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270" yWindow="135" windowWidth="28005" windowHeight="12105"/>
  </bookViews>
  <sheets>
    <sheet name="ImportantDisclosures" sheetId="24085" r:id="rId1"/>
    <sheet name="INPUT" sheetId="23916" r:id="rId2"/>
    <sheet name="FORECAST-CORE" sheetId="23917" r:id="rId3"/>
    <sheet name="__FDSCACHE__" sheetId="23936" state="veryHidden" r:id="rId4"/>
    <sheet name="MW-Cache" sheetId="24053" state="veryHidden" r:id="rId5"/>
    <sheet name="FORECAST- REPORTED" sheetId="24050" r:id="rId6"/>
    <sheet name="Guidance" sheetId="24068" r:id="rId7"/>
    <sheet name="IndexInformation" sheetId="24086" r:id="rId8"/>
    <sheet name="ModPubIndex" sheetId="24087" r:id="rId9"/>
  </sheets>
  <definedNames>
    <definedName name="__FDS_HYPERLINK_TOGGLE_STATE__" hidden="1">"ON"</definedName>
    <definedName name="__FDS_UNIQUE_RANGE_ID_GENERATOR_COUNTER" hidden="1">1</definedName>
    <definedName name="_1Q01">INPUT!$E$4:$E$585</definedName>
    <definedName name="_1Q02">INPUT!$M$4:$M$585</definedName>
    <definedName name="_1Q03">INPUT!$U$4:$U$585</definedName>
    <definedName name="_1Q04">INPUT!$AC$4:$AC$585</definedName>
    <definedName name="_1Q05">INPUT!$AK$4:$AK$585</definedName>
    <definedName name="_1Q06">INPUT!$AS$4:$AS$585</definedName>
    <definedName name="_1Q07">INPUT!$BA:$BA</definedName>
    <definedName name="_1Q08">INPUT!$BI:$BI</definedName>
    <definedName name="_1Q09">INPUT!$BQ:$BQ</definedName>
    <definedName name="_1Q10">INPUT!$BY:$BY</definedName>
    <definedName name="_1Q11">INPUT!$CG:$CG</definedName>
    <definedName name="_1Q12">INPUT!$CO:$CO</definedName>
    <definedName name="_1Q13">INPUT!$CW:$CW</definedName>
    <definedName name="_1Q14">INPUT!$DE:$DE</definedName>
    <definedName name="_1Q15">INPUT!$DM:$DM</definedName>
    <definedName name="_1Q16">INPUT!$DU:$DU</definedName>
    <definedName name="_1Q17">INPUT!$EC:$EC</definedName>
    <definedName name="_1Q18">INPUT!$EK:$EK</definedName>
    <definedName name="_2Q01">INPUT!$G$4:$G$585</definedName>
    <definedName name="_2Q02">INPUT!$O$4:$O$585</definedName>
    <definedName name="_2Q03">INPUT!$W$4:$W$585</definedName>
    <definedName name="_2Q04">INPUT!$AE$4:$AE$585</definedName>
    <definedName name="_2Q05">INPUT!$AM$4:$AM$585</definedName>
    <definedName name="_2Q06">INPUT!$AU$4:$AU$585</definedName>
    <definedName name="_2Q07">INPUT!$BC:$BC</definedName>
    <definedName name="_2Q08">INPUT!$BK:$BK</definedName>
    <definedName name="_2Q09">INPUT!$BS:$BS</definedName>
    <definedName name="_2Q10">INPUT!$CA:$CA</definedName>
    <definedName name="_2Q11">INPUT!$CI:$CI</definedName>
    <definedName name="_2Q12">INPUT!$CQ:$CQ</definedName>
    <definedName name="_2Q13">INPUT!$CY:$CY</definedName>
    <definedName name="_2Q14">INPUT!$DG:$DG</definedName>
    <definedName name="_2Q15">INPUT!$DO:$DO</definedName>
    <definedName name="_2Q16">INPUT!$DW:$DW</definedName>
    <definedName name="_2Q17">INPUT!$EE:$EE</definedName>
    <definedName name="_2Q18">INPUT!$EM:$EM</definedName>
    <definedName name="_3Q01">INPUT!$I$4:$I$585</definedName>
    <definedName name="_3Q02">INPUT!$Q$4:$Q$585</definedName>
    <definedName name="_3Q03">INPUT!$Y$4:$Y$585</definedName>
    <definedName name="_3Q04">INPUT!$AG$4:$AG$585</definedName>
    <definedName name="_3Q05">INPUT!$AO$4:$AO$585</definedName>
    <definedName name="_3Q06">INPUT!$AW$4:$AW$585</definedName>
    <definedName name="_3Q07">INPUT!$BE:$BE</definedName>
    <definedName name="_3Q08">INPUT!$BM:$BM</definedName>
    <definedName name="_3Q09">INPUT!$BU:$BU</definedName>
    <definedName name="_3Q10">INPUT!$CC:$CC</definedName>
    <definedName name="_3Q11">INPUT!$CK:$CK</definedName>
    <definedName name="_3Q12">INPUT!$CS:$CS</definedName>
    <definedName name="_3Q13">INPUT!$DA:$DA</definedName>
    <definedName name="_3Q14">INPUT!$DI:$DI</definedName>
    <definedName name="_3Q15">INPUT!$DQ:$DQ</definedName>
    <definedName name="_3Q16">INPUT!$DY:$DY</definedName>
    <definedName name="_3Q17">INPUT!$EG:$EG</definedName>
    <definedName name="_3Q18">INPUT!$EO:$EO</definedName>
    <definedName name="_4Q00">INPUT!$C$4:$C$585</definedName>
    <definedName name="_4Q01">INPUT!$K$4:$K$585</definedName>
    <definedName name="_4Q02">INPUT!$S$4:$S$585</definedName>
    <definedName name="_4Q03">INPUT!$AA$4:$AA$585</definedName>
    <definedName name="_4Q04">INPUT!$AI$4:$AI$585</definedName>
    <definedName name="_4Q05">INPUT!$AQ$4:$AQ$585</definedName>
    <definedName name="_4Q06">INPUT!$AY$4:$AY$585</definedName>
    <definedName name="_4Q07">INPUT!$BG:$BG</definedName>
    <definedName name="_4Q08">INPUT!$BO:$BO</definedName>
    <definedName name="_4Q09">INPUT!$BW:$BW</definedName>
    <definedName name="_4Q10">INPUT!$CE:$CE</definedName>
    <definedName name="_4Q11">INPUT!$CM:$CM</definedName>
    <definedName name="_4Q12">INPUT!$CU:$CU</definedName>
    <definedName name="_4Q13">INPUT!$DC:$DC</definedName>
    <definedName name="_4Q14">INPUT!$DK:$DK</definedName>
    <definedName name="_4Q15">INPUT!$DS:$DS</definedName>
    <definedName name="_4Q16">INPUT!$EA:$EA</definedName>
    <definedName name="_4Q17">INPUT!$EI:$EI</definedName>
    <definedName name="_4Q18">INPUT!$EQ:$EQ</definedName>
    <definedName name="_5_Yr">INPUT!$GV$4:$GV$585</definedName>
    <definedName name="_bdm.15D42F98901F4EC9A9DCABFD1A42F86E.edm" localSheetId="5" hidden="1">'FORECAST- REPORTED'!$A$3:$EA$71</definedName>
    <definedName name="_bdm.2653E1BBA54E4422945F8241FA033D14.edm" localSheetId="5" hidden="1">'FORECAST- REPORTED'!$A$53:$EH$59</definedName>
    <definedName name="_bdm.2653E1BBA54E4422945F8241FA033D14.edm" localSheetId="2" hidden="1">'FORECAST-CORE'!$A$60:$FN$66</definedName>
    <definedName name="_bdm.381376ACE8C2427B9BD7D113C2A650CD.edm" localSheetId="5" hidden="1">'FORECAST- REPORTED'!$A$54:$EC$97</definedName>
    <definedName name="_bdm.4950915CBF024E9DABAD3C3B88A84359.edm" hidden="1">'FORECAST- REPORTED'!$1:$1048576</definedName>
    <definedName name="_bdm.4BACD1D438BB4982805819E5788736C7.edm" localSheetId="2" hidden="1">'FORECAST-CORE'!$A$60:$GA$106</definedName>
    <definedName name="_bdm.56F5892316E643FD9B4E2BFEF82AA702.edm" localSheetId="5" hidden="1">'FORECAST- REPORTED'!$A$3:$EU$48</definedName>
    <definedName name="_bdm.8348E2BFDE1C48B4B1CF66C7BDA4D964.edm" localSheetId="5" hidden="1">'FORECAST- REPORTED'!$A$3:$EH$73</definedName>
    <definedName name="_bdm.8348E2BFDE1C48B4B1CF66C7BDA4D964.edm" localSheetId="2" hidden="1">'FORECAST-CORE'!$A$3:$FN$79</definedName>
    <definedName name="_bdm.88CF090958C64FE2B93BBD77E373DFE4.edm" localSheetId="5" hidden="1">'FORECAST- REPORTED'!$A$53:$EU$100</definedName>
    <definedName name="_bdm.8FFB90BF2C6B44138DDB91FAFD304972.edm" localSheetId="5" hidden="1">'FORECAST- REPORTED'!$A$3:$EU$35</definedName>
    <definedName name="_bdm.8FFB90BF2C6B44138DDB91FAFD304972.edm" localSheetId="2" hidden="1">'FORECAST-CORE'!$A$3:$GA$43</definedName>
    <definedName name="_bdm.96D13E4866B2474F984185B57DA1A8AD.edm" localSheetId="5" hidden="1">'FORECAST- REPORTED'!$A$53:$EU$59</definedName>
    <definedName name="_bdm.96D13E4866B2474F984185B57DA1A8AD.edm" localSheetId="2" hidden="1">'FORECAST-CORE'!$A$60:$GA$66</definedName>
    <definedName name="_bdm.AC9367EEF971482098147827218C67E2.edm" localSheetId="2" hidden="1">'FORECAST-CORE'!$A$3:$GA$56</definedName>
    <definedName name="_bdm.B08D06997BB04490B898D3390DE9BCFF.edm" localSheetId="5" hidden="1">'FORECAST- REPORTED'!$A$3:$EC$73</definedName>
    <definedName name="_bdm.B570515399DF4263B993530F1D720364.edm" localSheetId="5" hidden="1">'FORECAST- REPORTED'!$A$53:$EA$59</definedName>
    <definedName name="_bdm.C0CA6A91627940229301050AA9E460EB.edm" localSheetId="2" hidden="1">'FORECAST-CORE'!$A$3:$GA$57</definedName>
    <definedName name="_bdm.C746E872D8D548939FA97D19DFCF6801.edm" hidden="1">'FORECAST-CORE'!$1:$1048576</definedName>
    <definedName name="_bdm.CEA8E83A703D431596FECAA1DAF8C6FD.edm" localSheetId="5" hidden="1">'FORECAST- REPORTED'!$A$3:$EU$71</definedName>
    <definedName name="_bdm.CEA8E83A703D431596FECAA1DAF8C6FD.edm" localSheetId="2" hidden="1">'FORECAST-CORE'!$A$3:$GA$77</definedName>
    <definedName name="aa">INPUT!$A$3:$GW$585</definedName>
    <definedName name="AdditionalInstructions">IndexInformation!$B$42</definedName>
    <definedName name="Address" localSheetId="0">ImportantDisclosures!$A$2:$A$2</definedName>
    <definedName name="AmtIssued">INPUT!$B$468:$GW$468</definedName>
    <definedName name="AmtRepurch">INPUT!$B$473:$GW$473</definedName>
    <definedName name="ANA" localSheetId="8">ModPubIndex!$A$7</definedName>
    <definedName name="Authors" localSheetId="0">ImportantDisclosures!$A$7</definedName>
    <definedName name="Authors" localSheetId="7">IndexInformation!$B$18</definedName>
    <definedName name="Avg_Eq_ex115">INPUT!$B$533:$GW$533</definedName>
    <definedName name="Avg_Eq_incl115">INPUT!$B$532:$GW$532</definedName>
    <definedName name="AvgBasicShrs">INPUT!$483:$483</definedName>
    <definedName name="AvgShrsOut">INPUT!$485:$485</definedName>
    <definedName name="BenefitRatio_USBrokerage">INPUT!$154:$154</definedName>
    <definedName name="BenefitsRatio">INPUT!$51:$51</definedName>
    <definedName name="BenefitsRatio_Group">INPUT!$87:$87</definedName>
    <definedName name="BIG">INPUT!$B$513:$GW$513</definedName>
    <definedName name="BIG_FixPct">INPUT!$B$512:$GW$512</definedName>
    <definedName name="BIG_ShrEqPct">INPUT!$B$514:$GW$514</definedName>
    <definedName name="BRO" localSheetId="8">ModPubIndex!$A$1</definedName>
    <definedName name="Buybacks_AvgPrice">INPUT!$471:$471</definedName>
    <definedName name="BVPS_ex115">INPUT!$B$549:$GW$549</definedName>
    <definedName name="bvps_excl115">INPUT!$549:$549</definedName>
    <definedName name="BVPS_incl115">INPUT!$560:$560</definedName>
    <definedName name="CB_LossRatio">INPUT!$270:$270</definedName>
    <definedName name="Colonial_BenefitRatio">INPUT!$233:$233</definedName>
    <definedName name="Colonial_Core_PTMargin">INPUT!$244:$244</definedName>
    <definedName name="Consolidated_NII">INPUT!$385:$385</definedName>
    <definedName name="Consolidated_OtherRevs">INPUT!$386:$386</definedName>
    <definedName name="Consolidated_Premiums">INPUT!$384:$384</definedName>
    <definedName name="Consolidated_Revenues">INPUT!$387:$387</definedName>
    <definedName name="CopyrightStamp">ImportantDisclosures!$A$27</definedName>
    <definedName name="Core_ATEarns">INPUT!$417:$417</definedName>
    <definedName name="Core_closedblock_PTearns">INPUT!$280:$280</definedName>
    <definedName name="Core_Corporate_PTEarns">INPUT!$308:$308</definedName>
    <definedName name="Core_Group_PTEarns">INPUT!$571:$571</definedName>
    <definedName name="Core_GroupDisability_PTEarns">INPUT!$59:$59</definedName>
    <definedName name="Core_GroupLife_PTEarns">INPUT!$97:$97</definedName>
    <definedName name="Core_Indiv_PTEarns">INPUT!$129:$129</definedName>
    <definedName name="Core_Intl_ATEarns">INPUT!$585:$585</definedName>
    <definedName name="Core_Intl_PTEarns">INPUT!$573:$573</definedName>
    <definedName name="Core_Life_PTearns">INPUT!$243:$243</definedName>
    <definedName name="Core_NonMed_PTEarns">INPUT!$572:$572</definedName>
    <definedName name="Core_OpEPS">INPUT!$B$581:$GW$581</definedName>
    <definedName name="Core_Other_PTEarns">INPUT!$574:$574</definedName>
    <definedName name="Core_PT_Earnings">INPUT!$575:$575</definedName>
    <definedName name="Core_ROE">INPUT!$537:$537</definedName>
    <definedName name="Core_US_PTEarnings">INPUT!$163:$163</definedName>
    <definedName name="CoreOpEarns_AT">INPUT!$417:$417</definedName>
    <definedName name="CoreOpEarns_PT">INPUT!$411:$411</definedName>
    <definedName name="COU" localSheetId="8">ModPubIndex!$A$5</definedName>
    <definedName name="CQEnd" localSheetId="7">IndexInformation!$B$31</definedName>
    <definedName name="Currency" localSheetId="7">IndexInformation!$B$24</definedName>
    <definedName name="CurrentStockPrice" localSheetId="7">IndexInformation!$B$23</definedName>
    <definedName name="CurrQtrEPS" localSheetId="7">IndexInformation!$B$29</definedName>
    <definedName name="CurrYearEPS" localSheetId="7">IndexInformation!$B$11</definedName>
    <definedName name="CurrYearTotalRevenue" localSheetId="7">IndexInformation!$B$10</definedName>
    <definedName name="CurrYearTotalRevenueActual" localSheetId="7">IndexInformation!$B$32</definedName>
    <definedName name="CUSIP" localSheetId="7">IndexInformation!$B$20</definedName>
    <definedName name="CYEnd" localSheetId="7">IndexInformation!$B$30</definedName>
    <definedName name="DAC">INPUT!$B$503:$GW$503</definedName>
    <definedName name="DAC_Asset">INPUT!$503:$503</definedName>
    <definedName name="Date" localSheetId="0">ImportantDisclosures!$A$8</definedName>
    <definedName name="DebtService">INPUT!$296:$296</definedName>
    <definedName name="Deleted" localSheetId="7">IndexInformation!$B$27</definedName>
    <definedName name="Description" localSheetId="7">IndexInformation!$B$7</definedName>
    <definedName name="Discipline" localSheetId="7">IndexInformation!$B$3</definedName>
    <definedName name="DISCIPLINE" localSheetId="8">ModPubIndex!$A$12</definedName>
    <definedName name="DisclosuresText">ImportantDisclosures!$A$22</definedName>
    <definedName name="Distribution" localSheetId="7">IndexInformation!$B$26</definedName>
    <definedName name="DistTable" localSheetId="0">ImportantDisclosures!#REF!</definedName>
    <definedName name="DistTablePreamble" localSheetId="0">ImportantDisclosures!#REF!</definedName>
    <definedName name="DivAmt">INPUT!$B$461:$GW$461</definedName>
    <definedName name="DiviAmt">INPUT!$461:$461</definedName>
    <definedName name="DivPayout">INPUT!$B$460:$GW$460</definedName>
    <definedName name="DivPS">INPUT!$B$459:$GW$459</definedName>
    <definedName name="DOCDAT" localSheetId="8">ModPubIndex!$A$2</definedName>
    <definedName name="DOCTIME" localSheetId="8">ModPubIndex!$A$3</definedName>
    <definedName name="DocType" localSheetId="7">IndexInformation!$B$5</definedName>
    <definedName name="EMAIL_ALERT" localSheetId="8">ModPubIndex!$A$10</definedName>
    <definedName name="EmailAlert" localSheetId="7">IndexInformation!$B$28</definedName>
    <definedName name="EOP_Eq_ex115">INPUT!$531:$531</definedName>
    <definedName name="EOP_Eq_incl115">INPUT!$529:$529</definedName>
    <definedName name="EOPShrsOut">INPUT!$B$482:$GW$482</definedName>
    <definedName name="EPS_Cons">INPUT!$19:$19</definedName>
    <definedName name="EPS_ForConsensus">INPUT!$495:$495</definedName>
    <definedName name="F1998_">INPUT!$EV$4:$EV$585</definedName>
    <definedName name="F1999_">INPUT!$EX$4:$EX$585</definedName>
    <definedName name="F2000_">INPUT!$EZ$4:$EZ$585</definedName>
    <definedName name="F2001_">INPUT!$FB$4:$FB$585</definedName>
    <definedName name="F2002_">INPUT!$FD$4:$FD$585</definedName>
    <definedName name="F2003_">INPUT!$FF$4:$FF$585</definedName>
    <definedName name="F2004_">INPUT!$FH$4:$FH$585</definedName>
    <definedName name="F2005_">INPUT!$FJ:$FJ</definedName>
    <definedName name="F2006_">INPUT!$FL:$FL</definedName>
    <definedName name="F2007_">INPUT!$FN:$FN</definedName>
    <definedName name="F2008_">INPUT!$FP:$FP</definedName>
    <definedName name="F2009_">INPUT!$FR:$FR</definedName>
    <definedName name="F2010_">INPUT!$FT:$FT</definedName>
    <definedName name="F2011_">INPUT!$FV:$FV</definedName>
    <definedName name="F2012_">INPUT!$FX:$FX</definedName>
    <definedName name="F2013_">INPUT!$FZ:$FZ</definedName>
    <definedName name="F2014_">INPUT!$GB:$GB</definedName>
    <definedName name="F2015_">INPUT!$GD:$GD</definedName>
    <definedName name="F2016_">INPUT!$GF:$GF</definedName>
    <definedName name="F2017_">INPUT!$GH:$GH</definedName>
    <definedName name="F2018_">INPUT!$GJ:$GJ</definedName>
    <definedName name="F2019_">INPUT!$GL:$GL</definedName>
    <definedName name="F2020_">INPUT!$GN:$GN</definedName>
    <definedName name="F2021_">INPUT!$GP:$GP</definedName>
    <definedName name="F2022_">INPUT!$GR:$GR</definedName>
    <definedName name="FAS115_Adjmt">INPUT!$B$530:$GW$530</definedName>
    <definedName name="FD_Adjustment">INPUT!$484:$484</definedName>
    <definedName name="FiveYearGrowthRate" localSheetId="7">IndexInformation!$B$16</definedName>
    <definedName name="FollowingYearEPS" localSheetId="7">IndexInformation!$B$15</definedName>
    <definedName name="FollowingYearTotalRevenue" localSheetId="7">IndexInformation!$B$14</definedName>
    <definedName name="FollowingYearTotalRevenueActual" localSheetId="7">IndexInformation!$B$34</definedName>
    <definedName name="Goodwill">INPUT!$504:$504</definedName>
    <definedName name="Group_BenefitRatio">INPUT!$B$578:$GW$578</definedName>
    <definedName name="HL" localSheetId="8">ModPubIndex!$A$8</definedName>
    <definedName name="IND" localSheetId="8">ModPubIndex!$A$9</definedName>
    <definedName name="Industry" localSheetId="0">ImportantDisclosures!$A$12</definedName>
    <definedName name="IndustryId">IndexInformation!$B$40</definedName>
    <definedName name="IndustryRating" localSheetId="0">ImportantDisclosures!$A$13</definedName>
    <definedName name="Int_Expense">INPUT!$394:$394</definedName>
    <definedName name="Intl_NII">INPUT!$189:$189</definedName>
    <definedName name="Intl_Revenues">INPUT!$191:$191</definedName>
    <definedName name="Investments">INPUT!$501:$501</definedName>
    <definedName name="invinc">INPUT!$B$385:$GW$385</definedName>
    <definedName name="Issuance_Timing">INPUT!$467:$467</definedName>
    <definedName name="KeepVersions" localSheetId="7">IndexInformation!$B$8</definedName>
    <definedName name="Label">INPUT!$B$4:$B$585</definedName>
    <definedName name="LanguageCode">IndexInformation!$B$38</definedName>
    <definedName name="LastCell" localSheetId="0">ImportantDisclosures!$A$22</definedName>
    <definedName name="Linking_Range_1">'FORECAST-CORE'!$A$3:$GA$56</definedName>
    <definedName name="Linking_Range_4">'FORECAST- REPORTED'!$A$3:$EU$49</definedName>
    <definedName name="Linking_Range_5">'FORECAST-CORE'!$A$60:$GA$106</definedName>
    <definedName name="Linking_Range_6">'FORECAST-CORE'!$A$3:$GA$62</definedName>
    <definedName name="Linking_Range_7">'FORECAST-CORE'!$A$3:$GA$53</definedName>
    <definedName name="Linking_Range_8">'FORECAST-CORE'!$A$60:$GA$102</definedName>
    <definedName name="Linking_Text_1">'FORECAST-CORE'!$CH$9</definedName>
    <definedName name="LTC_BenefitRatio">INPUT!$268:$268</definedName>
    <definedName name="LTD_BenefitRatio">INPUT!$119:$119</definedName>
    <definedName name="LTD_to_Eq_ex115">INPUT!$556:$556</definedName>
    <definedName name="LTD_to_LTCap_ex115">INPUT!$B$543:$GW$543</definedName>
    <definedName name="LTD_to_LTCap_incl115">INPUT!$B$554:$GW$554</definedName>
    <definedName name="LTDebt">INPUT!$B$518:$GW$518</definedName>
    <definedName name="MacroVersion" localSheetId="7">IndexInformation!$B$1</definedName>
    <definedName name="ModelPrice" localSheetId="0">ImportantDisclosures!$A$14</definedName>
    <definedName name="Multiplier" localSheetId="7">IndexInformation!$B$35</definedName>
    <definedName name="Net_EPS">INPUT!$B$491:$GW$491</definedName>
    <definedName name="Net_Revenues">INPUT!$387:$387</definedName>
    <definedName name="NetEarns">INPUT!$B$438:$GW$438</definedName>
    <definedName name="NextYearEPS" localSheetId="7">IndexInformation!$B$13</definedName>
    <definedName name="NextYearTotalRevenue" localSheetId="7">IndexInformation!$B$12</definedName>
    <definedName name="NextYearTotalRevenueActual" localSheetId="7">IndexInformation!$B$33</definedName>
    <definedName name="ObjectType">IndexInformation!$B$37</definedName>
    <definedName name="Op_EPS">INPUT!$488:$488</definedName>
    <definedName name="Op_ROE">INPUT!$536:$536</definedName>
    <definedName name="Op_US_PTEarnings">INPUT!$159:$159</definedName>
    <definedName name="OpEarns_AT">INPUT!$416:$416</definedName>
    <definedName name="OpEarns_ForConsensus">INPUT!$419:$419</definedName>
    <definedName name="OpEarns_PT">INPUT!$B$413:$GW$413</definedName>
    <definedName name="OpExpense_Life">INPUT!$230:$230</definedName>
    <definedName name="OpExpense_US">INPUT!$151:$151</definedName>
    <definedName name="OpExpenses_ClosedBlock">INPUT!$263:$263</definedName>
    <definedName name="OpExpenses_Intl">INPUT!$197:$197</definedName>
    <definedName name="OpROE_exclCB">INPUT!$589:$589</definedName>
    <definedName name="PANA" localSheetId="8">ModPubIndex!$A$11</definedName>
    <definedName name="PathName" localSheetId="7">IndexInformation!$B$25</definedName>
    <definedName name="PctContrib_Colonial">INPUT!$B$451:$GW$451</definedName>
    <definedName name="PctContrib_Disab">INPUT!$B$449:$GW$449</definedName>
    <definedName name="PctContrib_GroupInc">INPUT!$B$447:$GW$447</definedName>
    <definedName name="PctContrib_GroupLife">INPUT!$B$448:$GW$448</definedName>
    <definedName name="PctContrib_Indiv">INPUT!$B$447:$GW$447</definedName>
    <definedName name="PctContrib_Indiv_Closed">INPUT!$B$452:$GW$452</definedName>
    <definedName name="PctContrib_Intl">INPUT!$B$450:$GW$450</definedName>
    <definedName name="PctContrib_LTC">INPUT!$B$448:$GW$448</definedName>
    <definedName name="PctContrib_Other">INPUT!$B$453:$GW$453</definedName>
    <definedName name="PctContrib_Supp">INPUT!$B$449:$GW$449</definedName>
    <definedName name="PctContrib_TotIncProt">INPUT!$B$450:$GW$450</definedName>
    <definedName name="Period">INPUT!$B$6:$GW$6</definedName>
    <definedName name="PfdStk">INPUT!$B$520:$GW$520</definedName>
    <definedName name="PolicyLiabilities">INPUT!$522:$522</definedName>
    <definedName name="Premium_grpdis">INPUT!$39:$39</definedName>
    <definedName name="Premium_GrpLife">INPUT!$75:$75</definedName>
    <definedName name="Premium_supplement">INPUT!$107:$107</definedName>
    <definedName name="Premium_UK">INPUT!$188:$188</definedName>
    <definedName name="Premiums_ClosedBLock">INPUT!$252:$252</definedName>
    <definedName name="Premiums_Life">INPUT!$221:$221</definedName>
    <definedName name="Premiums_Total">INPUT!$587:$587</definedName>
    <definedName name="Premiums_US">INPUT!$142:$142</definedName>
    <definedName name="_xlnm.Print_Titles" localSheetId="1">INPUT!$B:$B,INPUT!$4:$18</definedName>
    <definedName name="PRODUCT" localSheetId="8">ModPubIndex!$A$6</definedName>
    <definedName name="PSYM" localSheetId="8">ModPubIndex!$A$4</definedName>
    <definedName name="PT_OpEarns_UK">INPUT!$407:$407</definedName>
    <definedName name="PTEarns_CO">INPUT!$305:$305</definedName>
    <definedName name="PTEarns_Colonial">INPUT!$239:$239</definedName>
    <definedName name="PTEarns_Colonial_InvInc">INPUT!$B$222:$GW$222</definedName>
    <definedName name="PTEarns_GroupInc">INPUT!$B$55:$GW$55</definedName>
    <definedName name="PTEarns_GroupInc_InvInc">INPUT!$B$40:$GW$40</definedName>
    <definedName name="PTEarns_GroupLife">INPUT!$B$93:$GW$93</definedName>
    <definedName name="PTEarns_Indiv">INPUT!$B$125:$GW$125</definedName>
    <definedName name="PTEarns_Indiv_Closed">INPUT!$276:$276</definedName>
    <definedName name="PTEarns_Indiv_InvInc">INPUT!$B$253:$GW$253</definedName>
    <definedName name="PTEarns_Intl">INPUT!$205:$205</definedName>
    <definedName name="PTEarns_Other">INPUT!$B$329:$GW$329</definedName>
    <definedName name="PublishDate" localSheetId="7">IndexInformation!$B$2</definedName>
    <definedName name="Rating" localSheetId="7">IndexInformation!$B$9</definedName>
    <definedName name="RatingsDefined" localSheetId="0">ImportantDisclosures!$A$21</definedName>
    <definedName name="RatingsDefs" localSheetId="0">ImportantDisclosures!#REF!</definedName>
    <definedName name="RealGainLoss">INPUT!$434:$434</definedName>
    <definedName name="RegACDisclosure" localSheetId="0">ImportantDisclosures!#REF!</definedName>
    <definedName name="Rep_ROE_ex115">INPUT!$B$538:$GW$538</definedName>
    <definedName name="Rep_ROE_incl115">INPUT!$B$539:$GW$539</definedName>
    <definedName name="Rep_Timing">INPUT!$472:$472</definedName>
    <definedName name="reported_pt_earnings">INPUT!$413:$413</definedName>
    <definedName name="ResearchTopic" localSheetId="7">IndexInformation!$B$4</definedName>
    <definedName name="Rev">INPUT!$B$387:$GW$387</definedName>
    <definedName name="Rev_Corp">INPUT!$289:$289</definedName>
    <definedName name="Revenue_Life">INPUT!$224:$224</definedName>
    <definedName name="Revenues_ClosedBlock">INPUT!$256:$256</definedName>
    <definedName name="Revenues_US">INPUT!$145:$145</definedName>
    <definedName name="RIC" localSheetId="7">IndexInformation!$B$21</definedName>
    <definedName name="Sales_ADD">INPUT!$101:$101</definedName>
    <definedName name="Sales_Colonial">INPUT!$247:$247</definedName>
    <definedName name="Sales_GroupDis">INPUT!$B$70:$GW$70</definedName>
    <definedName name="Sales_GroupLife">INPUT!$100:$100</definedName>
    <definedName name="Sales_GroupLifeADD">INPUT!$102:$102</definedName>
    <definedName name="Sales_Intl_GroupLife">INPUT!$214:$214</definedName>
    <definedName name="Sales_Intl_GroupLT">INPUT!$213:$213</definedName>
    <definedName name="Sales_Intl_Other">INPUT!$215:$215</definedName>
    <definedName name="Sales_LTD">INPUT!$62:$62</definedName>
    <definedName name="Sales_STD">INPUT!$66:$66</definedName>
    <definedName name="Sales_supplement">INPUT!$137:$137</definedName>
    <definedName name="Sales_UK">INPUT!$216:$216</definedName>
    <definedName name="Sales_US">INPUT!$181:$181</definedName>
    <definedName name="SECSettlement" localSheetId="0">ImportantDisclosures!#REF!</definedName>
    <definedName name="SEDOL" localSheetId="7">IndexInformation!$B$22</definedName>
    <definedName name="SeptAcct">INPUT!$B$502:$GW$502</definedName>
    <definedName name="ShareBuyback">INPUT!$473:$473</definedName>
    <definedName name="ShrsIssued">INPUT!$B$465:$GW$465</definedName>
    <definedName name="ShrsRepurch">INPUT!$B$470:$GW$470</definedName>
    <definedName name="SourceDefined" localSheetId="0">ImportantDisclosures!$A$19</definedName>
    <definedName name="STDebt">INPUT!$B$517:$GW$517</definedName>
    <definedName name="StockRating" localSheetId="0">ImportantDisclosures!$A$11</definedName>
    <definedName name="SubjectCode" localSheetId="7">IndexInformation!$B$6</definedName>
    <definedName name="SubmitterUserId">IndexInformation!$B$39</definedName>
    <definedName name="SUPPRESSED" localSheetId="8">ModPubIndex!$A$13</definedName>
    <definedName name="TargetPrice" localSheetId="0">ImportantDisclosures!$A$15</definedName>
    <definedName name="Taxes">INPUT!$414:$414</definedName>
    <definedName name="TaxRate">INPUT!$415:$415</definedName>
    <definedName name="TemplateRegion">IndexInformation!$B$36</definedName>
    <definedName name="Ticker" localSheetId="0">ImportantDisclosures!$A$10</definedName>
    <definedName name="TickerRegion">IndexInformation!$B$41</definedName>
    <definedName name="Tickers" localSheetId="7">IndexInformation!$B$19</definedName>
    <definedName name="Tot_Debt">INPUT!$519:$519</definedName>
    <definedName name="Total_Cap_ex115">INPUT!$B$542:$GW$542</definedName>
    <definedName name="Total_Cap_incl115">INPUT!$B$553:$GW$553</definedName>
    <definedName name="Total_Expenses">INPUT!$395:$395</definedName>
    <definedName name="TotalAssets">INPUT!$506:$506</definedName>
    <definedName name="TotalNonOpItems">INPUT!$B$436:$GW$436</definedName>
    <definedName name="UK_BenefitRatio">INPUT!$200:$200</definedName>
    <definedName name="UK_PTMargin">INPUT!$210:$210</definedName>
    <definedName name="UpdateReason" localSheetId="7">IndexInformation!$B$17</definedName>
    <definedName name="USRegDisclosures" localSheetId="0">ImportantDisclosures!#REF!</definedName>
  </definedNames>
  <calcPr calcId="145621" iterate="1"/>
</workbook>
</file>

<file path=xl/calcChain.xml><?xml version="1.0" encoding="utf-8"?>
<calcChain xmlns="http://schemas.openxmlformats.org/spreadsheetml/2006/main">
  <c r="EV637" i="23916" l="1"/>
  <c r="GR630" i="23916"/>
  <c r="GR632" i="23916" s="1"/>
  <c r="GP630" i="23916"/>
  <c r="GP632" i="23916" s="1"/>
  <c r="GN630" i="23916"/>
  <c r="GN632" i="23916" s="1"/>
  <c r="GL630" i="23916"/>
  <c r="GL632" i="23916" s="1"/>
  <c r="EQ630" i="23916"/>
  <c r="EO630" i="23916"/>
  <c r="EM630" i="23916"/>
  <c r="EK630" i="23916"/>
  <c r="EI630" i="23916"/>
  <c r="EG630" i="23916"/>
  <c r="EE630" i="23916"/>
  <c r="EC630" i="23916"/>
  <c r="EA630" i="23916"/>
  <c r="EK625" i="23916"/>
  <c r="EK619" i="23916"/>
  <c r="EK607" i="23916"/>
  <c r="GR598" i="23916"/>
  <c r="GP598" i="23916"/>
  <c r="GN598" i="23916"/>
  <c r="GL598" i="23916"/>
  <c r="EQ598" i="23916"/>
  <c r="EO598" i="23916"/>
  <c r="EM598" i="23916"/>
  <c r="EK598" i="23916"/>
  <c r="EI598" i="23916"/>
  <c r="EG598" i="23916"/>
  <c r="EE598" i="23916"/>
  <c r="EC598" i="23916"/>
  <c r="EA598" i="23916"/>
  <c r="AC584" i="23916"/>
  <c r="FH581" i="23916"/>
  <c r="BQ581" i="23916"/>
  <c r="BO581" i="23916"/>
  <c r="BM581" i="23916"/>
  <c r="BK581" i="23916"/>
  <c r="BI581" i="23916"/>
  <c r="BG581" i="23916"/>
  <c r="BE581" i="23916"/>
  <c r="BC581" i="23916"/>
  <c r="AY581" i="23916"/>
  <c r="AA581" i="23916"/>
  <c r="Y581" i="23916"/>
  <c r="W581" i="23916"/>
  <c r="U581" i="23916"/>
  <c r="S581" i="23916"/>
  <c r="Q581" i="23916"/>
  <c r="O581" i="23916"/>
  <c r="M581" i="23916"/>
  <c r="K581" i="23916"/>
  <c r="I581" i="23916"/>
  <c r="G581" i="23916"/>
  <c r="E581" i="23916"/>
  <c r="FY580" i="23916"/>
  <c r="FB574" i="23916"/>
  <c r="AA571" i="23916"/>
  <c r="Y571" i="23916"/>
  <c r="W571" i="23916"/>
  <c r="U571" i="23916"/>
  <c r="S573" i="23916"/>
  <c r="S571" i="23916"/>
  <c r="Q573" i="23916"/>
  <c r="Q571" i="23916"/>
  <c r="O573" i="23916"/>
  <c r="O571" i="23916"/>
  <c r="M573" i="23916"/>
  <c r="M571" i="23916"/>
  <c r="K573" i="23916"/>
  <c r="K571" i="23916"/>
  <c r="I573" i="23916"/>
  <c r="I571" i="23916"/>
  <c r="G573" i="23916"/>
  <c r="G571" i="23916"/>
  <c r="E573" i="23916"/>
  <c r="E571" i="23916"/>
  <c r="EK566" i="23916"/>
  <c r="EI568" i="23916"/>
  <c r="EI567" i="23916"/>
  <c r="EG568" i="23916"/>
  <c r="EG567" i="23916"/>
  <c r="EE568" i="23916"/>
  <c r="EE567" i="23916"/>
  <c r="EC568" i="23916"/>
  <c r="EC567" i="23916"/>
  <c r="EA568" i="23916"/>
  <c r="EA567" i="23916"/>
  <c r="DY568" i="23916"/>
  <c r="DY567" i="23916"/>
  <c r="DW568" i="23916"/>
  <c r="DW567" i="23916"/>
  <c r="DU568" i="23916"/>
  <c r="DU567" i="23916"/>
  <c r="DS568" i="23916"/>
  <c r="DS567" i="23916"/>
  <c r="DQ568" i="23916"/>
  <c r="DQ567" i="23916"/>
  <c r="DO568" i="23916"/>
  <c r="DO567" i="23916"/>
  <c r="DM568" i="23916"/>
  <c r="DM567" i="23916"/>
  <c r="DK568" i="23916"/>
  <c r="DK567" i="23916"/>
  <c r="DI568" i="23916"/>
  <c r="DI567" i="23916"/>
  <c r="DG568" i="23916"/>
  <c r="DG567" i="23916"/>
  <c r="DE568" i="23916"/>
  <c r="DE567" i="23916"/>
  <c r="DC568" i="23916"/>
  <c r="DC567" i="23916"/>
  <c r="DA568" i="23916"/>
  <c r="DA567" i="23916"/>
  <c r="CY568" i="23916"/>
  <c r="CY567" i="23916"/>
  <c r="CW568" i="23916"/>
  <c r="CW567" i="23916"/>
  <c r="CU568" i="23916"/>
  <c r="CU567" i="23916"/>
  <c r="CS568" i="23916"/>
  <c r="CS567" i="23916"/>
  <c r="CQ568" i="23916"/>
  <c r="CQ567" i="23916"/>
  <c r="CO568" i="23916"/>
  <c r="CO567" i="23916"/>
  <c r="CM568" i="23916"/>
  <c r="CM567" i="23916"/>
  <c r="CK568" i="23916"/>
  <c r="CK567" i="23916"/>
  <c r="CI568" i="23916"/>
  <c r="CI567" i="23916"/>
  <c r="CG568" i="23916"/>
  <c r="CG567" i="23916"/>
  <c r="CE568" i="23916"/>
  <c r="CE567" i="23916"/>
  <c r="CC568" i="23916"/>
  <c r="CC567" i="23916"/>
  <c r="CA568" i="23916"/>
  <c r="CA567" i="23916"/>
  <c r="BY568" i="23916"/>
  <c r="BY567" i="23916"/>
  <c r="BW568" i="23916"/>
  <c r="BW567" i="23916"/>
  <c r="BU568" i="23916"/>
  <c r="BU567" i="23916"/>
  <c r="BS568" i="23916"/>
  <c r="BS567" i="23916"/>
  <c r="BQ568" i="23916"/>
  <c r="BQ567" i="23916"/>
  <c r="BO568" i="23916"/>
  <c r="BO567" i="23916"/>
  <c r="BM568" i="23916"/>
  <c r="BM567" i="23916"/>
  <c r="BK568" i="23916"/>
  <c r="BK567" i="23916"/>
  <c r="BI568" i="23916"/>
  <c r="BI567" i="23916"/>
  <c r="EY560" i="23916"/>
  <c r="EY558" i="23916"/>
  <c r="CH560" i="23916"/>
  <c r="CG560" i="23916"/>
  <c r="CE560" i="23916"/>
  <c r="CF560" i="23916" s="1"/>
  <c r="CD560" i="23916"/>
  <c r="CC560" i="23916"/>
  <c r="CA560" i="23916"/>
  <c r="CB560" i="23916" s="1"/>
  <c r="BZ560" i="23916"/>
  <c r="BY560" i="23916"/>
  <c r="BW560" i="23916"/>
  <c r="BX560" i="23916" s="1"/>
  <c r="BV560" i="23916"/>
  <c r="BU560" i="23916"/>
  <c r="BS560" i="23916"/>
  <c r="BT560" i="23916" s="1"/>
  <c r="BR560" i="23916"/>
  <c r="BQ560" i="23916"/>
  <c r="BO560" i="23916"/>
  <c r="BP560" i="23916" s="1"/>
  <c r="BN560" i="23916"/>
  <c r="BM560" i="23916"/>
  <c r="BK560" i="23916"/>
  <c r="BL560" i="23916" s="1"/>
  <c r="BJ560" i="23916"/>
  <c r="BI560" i="23916"/>
  <c r="BG560" i="23916"/>
  <c r="BH560" i="23916" s="1"/>
  <c r="BF560" i="23916"/>
  <c r="BE560" i="23916"/>
  <c r="BC560" i="23916"/>
  <c r="BD560" i="23916" s="1"/>
  <c r="BB560" i="23916"/>
  <c r="BA560" i="23916"/>
  <c r="AY560" i="23916"/>
  <c r="AZ560" i="23916" s="1"/>
  <c r="AX560" i="23916"/>
  <c r="AV560" i="23916"/>
  <c r="AV553" i="23916"/>
  <c r="AT560" i="23916"/>
  <c r="AT553" i="23916"/>
  <c r="AR560" i="23916"/>
  <c r="AP560" i="23916"/>
  <c r="AP558" i="23916"/>
  <c r="AP554" i="23916"/>
  <c r="AP553" i="23916"/>
  <c r="AN560" i="23916"/>
  <c r="AN553" i="23916"/>
  <c r="AL560" i="23916"/>
  <c r="AL553" i="23916"/>
  <c r="AJ560" i="23916"/>
  <c r="AH560" i="23916"/>
  <c r="AH558" i="23916"/>
  <c r="AH554" i="23916"/>
  <c r="AH553" i="23916"/>
  <c r="AF560" i="23916"/>
  <c r="AF553" i="23916"/>
  <c r="AD560" i="23916"/>
  <c r="AD553" i="23916"/>
  <c r="AB560" i="23916"/>
  <c r="Z560" i="23916"/>
  <c r="Z558" i="23916"/>
  <c r="Z554" i="23916"/>
  <c r="X560" i="23916"/>
  <c r="X553" i="23916"/>
  <c r="V560" i="23916"/>
  <c r="V553" i="23916"/>
  <c r="T560" i="23916"/>
  <c r="R560" i="23916"/>
  <c r="R558" i="23916"/>
  <c r="R554" i="23916"/>
  <c r="P560" i="23916"/>
  <c r="P553" i="23916"/>
  <c r="N560" i="23916"/>
  <c r="N553" i="23916"/>
  <c r="EX559" i="23916"/>
  <c r="EY559" i="23916" s="1"/>
  <c r="EX558" i="23916"/>
  <c r="AU558" i="23916"/>
  <c r="AV558" i="23916" s="1"/>
  <c r="AU555" i="23916"/>
  <c r="AU554" i="23916"/>
  <c r="AV554" i="23916" s="1"/>
  <c r="AU553" i="23916"/>
  <c r="AS558" i="23916"/>
  <c r="AT558" i="23916" s="1"/>
  <c r="AS555" i="23916"/>
  <c r="AT555" i="23916" s="1"/>
  <c r="AS554" i="23916"/>
  <c r="AS553" i="23916"/>
  <c r="AQ558" i="23916"/>
  <c r="AR558" i="23916" s="1"/>
  <c r="AQ555" i="23916"/>
  <c r="AR555" i="23916" s="1"/>
  <c r="AQ554" i="23916"/>
  <c r="AR554" i="23916" s="1"/>
  <c r="AQ553" i="23916"/>
  <c r="AR553" i="23916" s="1"/>
  <c r="AO558" i="23916"/>
  <c r="AO555" i="23916"/>
  <c r="AP555" i="23916" s="1"/>
  <c r="AO554" i="23916"/>
  <c r="AO553" i="23916"/>
  <c r="AM558" i="23916"/>
  <c r="AN558" i="23916" s="1"/>
  <c r="AM555" i="23916"/>
  <c r="AN555" i="23916" s="1"/>
  <c r="AM554" i="23916"/>
  <c r="AN554" i="23916" s="1"/>
  <c r="AM553" i="23916"/>
  <c r="AK558" i="23916"/>
  <c r="AK555" i="23916"/>
  <c r="AL555" i="23916" s="1"/>
  <c r="AK554" i="23916"/>
  <c r="AK553" i="23916"/>
  <c r="AI558" i="23916"/>
  <c r="AJ558" i="23916" s="1"/>
  <c r="AI555" i="23916"/>
  <c r="AJ555" i="23916" s="1"/>
  <c r="AI554" i="23916"/>
  <c r="AJ554" i="23916" s="1"/>
  <c r="AI553" i="23916"/>
  <c r="AG558" i="23916"/>
  <c r="AG555" i="23916"/>
  <c r="AH555" i="23916" s="1"/>
  <c r="AG554" i="23916"/>
  <c r="AG553" i="23916"/>
  <c r="AE558" i="23916"/>
  <c r="AF558" i="23916" s="1"/>
  <c r="AE555" i="23916"/>
  <c r="AE554" i="23916"/>
  <c r="AF554" i="23916" s="1"/>
  <c r="AE553" i="23916"/>
  <c r="AC558" i="23916"/>
  <c r="AC555" i="23916"/>
  <c r="AD555" i="23916" s="1"/>
  <c r="AC554" i="23916"/>
  <c r="AD554" i="23916" s="1"/>
  <c r="AC553" i="23916"/>
  <c r="AA558" i="23916"/>
  <c r="AB558" i="23916" s="1"/>
  <c r="AA555" i="23916"/>
  <c r="AB555" i="23916" s="1"/>
  <c r="AA554" i="23916"/>
  <c r="AB554" i="23916" s="1"/>
  <c r="AA553" i="23916"/>
  <c r="AJ553" i="23916" s="1"/>
  <c r="Y558" i="23916"/>
  <c r="Y555" i="23916"/>
  <c r="Z555" i="23916" s="1"/>
  <c r="Y554" i="23916"/>
  <c r="Y553" i="23916"/>
  <c r="W558" i="23916"/>
  <c r="X558" i="23916" s="1"/>
  <c r="W555" i="23916"/>
  <c r="W554" i="23916"/>
  <c r="X554" i="23916" s="1"/>
  <c r="W553" i="23916"/>
  <c r="U558" i="23916"/>
  <c r="U555" i="23916"/>
  <c r="V555" i="23916" s="1"/>
  <c r="U554" i="23916"/>
  <c r="U553" i="23916"/>
  <c r="S558" i="23916"/>
  <c r="S555" i="23916"/>
  <c r="T555" i="23916" s="1"/>
  <c r="S554" i="23916"/>
  <c r="T554" i="23916" s="1"/>
  <c r="S553" i="23916"/>
  <c r="T553" i="23916" s="1"/>
  <c r="Q558" i="23916"/>
  <c r="Q555" i="23916"/>
  <c r="R555" i="23916" s="1"/>
  <c r="Q554" i="23916"/>
  <c r="Q553" i="23916"/>
  <c r="R553" i="23916" s="1"/>
  <c r="O558" i="23916"/>
  <c r="P558" i="23916" s="1"/>
  <c r="O555" i="23916"/>
  <c r="O554" i="23916"/>
  <c r="P554" i="23916" s="1"/>
  <c r="O553" i="23916"/>
  <c r="M558" i="23916"/>
  <c r="M555" i="23916"/>
  <c r="M554" i="23916"/>
  <c r="N554" i="23916" s="1"/>
  <c r="M553" i="23916"/>
  <c r="K558" i="23916"/>
  <c r="K555" i="23916"/>
  <c r="K554" i="23916"/>
  <c r="K553" i="23916"/>
  <c r="I558" i="23916"/>
  <c r="I555" i="23916"/>
  <c r="I554" i="23916"/>
  <c r="I553" i="23916"/>
  <c r="G558" i="23916"/>
  <c r="G555" i="23916"/>
  <c r="G554" i="23916"/>
  <c r="G553" i="23916"/>
  <c r="E558" i="23916"/>
  <c r="E555" i="23916"/>
  <c r="E554" i="23916"/>
  <c r="E553" i="23916"/>
  <c r="EV558" i="23916"/>
  <c r="EV555" i="23916"/>
  <c r="EV554" i="23916"/>
  <c r="EV553" i="23916"/>
  <c r="FA560" i="23916"/>
  <c r="FA559" i="23916"/>
  <c r="FA558" i="23916"/>
  <c r="EI560" i="23916"/>
  <c r="EJ560" i="23916" s="1"/>
  <c r="EH560" i="23916"/>
  <c r="EG560" i="23916"/>
  <c r="EE560" i="23916"/>
  <c r="EF560" i="23916" s="1"/>
  <c r="EA560" i="23916"/>
  <c r="EB560" i="23916" s="1"/>
  <c r="DZ560" i="23916"/>
  <c r="DY560" i="23916"/>
  <c r="DW560" i="23916"/>
  <c r="DX560" i="23916" s="1"/>
  <c r="DV560" i="23916"/>
  <c r="DU560" i="23916"/>
  <c r="DS560" i="23916"/>
  <c r="DT560" i="23916" s="1"/>
  <c r="DQ560" i="23916"/>
  <c r="DO560" i="23916"/>
  <c r="DP560" i="23916" s="1"/>
  <c r="DN560" i="23916"/>
  <c r="DM560" i="23916"/>
  <c r="DK560" i="23916"/>
  <c r="DL560" i="23916" s="1"/>
  <c r="DG560" i="23916"/>
  <c r="DH560" i="23916" s="1"/>
  <c r="DF560" i="23916"/>
  <c r="DE560" i="23916"/>
  <c r="DC560" i="23916"/>
  <c r="DD560" i="23916" s="1"/>
  <c r="DB560" i="23916"/>
  <c r="DA560" i="23916"/>
  <c r="CY560" i="23916"/>
  <c r="CZ560" i="23916" s="1"/>
  <c r="CX560" i="23916"/>
  <c r="CW560" i="23916"/>
  <c r="CU560" i="23916"/>
  <c r="CV560" i="23916" s="1"/>
  <c r="CT560" i="23916"/>
  <c r="CS560" i="23916"/>
  <c r="CQ560" i="23916"/>
  <c r="CP560" i="23916"/>
  <c r="CO560" i="23916"/>
  <c r="CM560" i="23916"/>
  <c r="CN560" i="23916" s="1"/>
  <c r="CL560" i="23916"/>
  <c r="EJ558" i="23916"/>
  <c r="EI558" i="23916"/>
  <c r="EH558" i="23916"/>
  <c r="EG558" i="23916"/>
  <c r="EF558" i="23916"/>
  <c r="EE558" i="23916"/>
  <c r="EB558" i="23916"/>
  <c r="EA558" i="23916"/>
  <c r="DZ558" i="23916"/>
  <c r="DY558" i="23916"/>
  <c r="DX558" i="23916"/>
  <c r="DW558" i="23916"/>
  <c r="DV558" i="23916"/>
  <c r="DU558" i="23916"/>
  <c r="DT558" i="23916"/>
  <c r="DS558" i="23916"/>
  <c r="DQ558" i="23916"/>
  <c r="DP558" i="23916"/>
  <c r="DO558" i="23916"/>
  <c r="DN558" i="23916"/>
  <c r="DM558" i="23916"/>
  <c r="DL558" i="23916"/>
  <c r="DK558" i="23916"/>
  <c r="DH558" i="23916"/>
  <c r="DG558" i="23916"/>
  <c r="DF558" i="23916"/>
  <c r="DE558" i="23916"/>
  <c r="DD558" i="23916"/>
  <c r="DC558" i="23916"/>
  <c r="DB558" i="23916"/>
  <c r="DA558" i="23916"/>
  <c r="CZ558" i="23916"/>
  <c r="CY558" i="23916"/>
  <c r="CX558" i="23916"/>
  <c r="CW558" i="23916"/>
  <c r="CV558" i="23916"/>
  <c r="CU558" i="23916"/>
  <c r="CS558" i="23916"/>
  <c r="CQ558" i="23916"/>
  <c r="CO558" i="23916"/>
  <c r="CM558" i="23916"/>
  <c r="CK558" i="23916"/>
  <c r="CT558" i="23916" s="1"/>
  <c r="CG558" i="23916"/>
  <c r="CH558" i="23916" s="1"/>
  <c r="CE558" i="23916"/>
  <c r="CN558" i="23916" s="1"/>
  <c r="CC558" i="23916"/>
  <c r="CD558" i="23916" s="1"/>
  <c r="CA558" i="23916"/>
  <c r="CB558" i="23916" s="1"/>
  <c r="BY558" i="23916"/>
  <c r="BZ558" i="23916" s="1"/>
  <c r="BW558" i="23916"/>
  <c r="BX558" i="23916" s="1"/>
  <c r="BU558" i="23916"/>
  <c r="BV558" i="23916" s="1"/>
  <c r="BS558" i="23916"/>
  <c r="BT558" i="23916" s="1"/>
  <c r="BQ558" i="23916"/>
  <c r="BO558" i="23916"/>
  <c r="BP558" i="23916" s="1"/>
  <c r="BM558" i="23916"/>
  <c r="BK558" i="23916"/>
  <c r="BL558" i="23916" s="1"/>
  <c r="BI558" i="23916"/>
  <c r="BG558" i="23916"/>
  <c r="BH558" i="23916" s="1"/>
  <c r="BE558" i="23916"/>
  <c r="BC558" i="23916"/>
  <c r="BD558" i="23916" s="1"/>
  <c r="BA558" i="23916"/>
  <c r="BB558" i="23916" s="1"/>
  <c r="AY558" i="23916"/>
  <c r="AZ558" i="23916" s="1"/>
  <c r="AW558" i="23916"/>
  <c r="AX558" i="23916" s="1"/>
  <c r="AW555" i="23916"/>
  <c r="AX555" i="23916" s="1"/>
  <c r="AX554" i="23916"/>
  <c r="AW554" i="23916"/>
  <c r="AX553" i="23916"/>
  <c r="AW553" i="23916"/>
  <c r="EY549" i="23916"/>
  <c r="AB549" i="23916"/>
  <c r="Z549" i="23916"/>
  <c r="X549" i="23916"/>
  <c r="V549" i="23916"/>
  <c r="T549" i="23916"/>
  <c r="R549" i="23916"/>
  <c r="P549" i="23916"/>
  <c r="N549" i="23916"/>
  <c r="FA549" i="23916"/>
  <c r="EV539" i="23916"/>
  <c r="EV538" i="23916"/>
  <c r="EX539" i="23916"/>
  <c r="EY539" i="23916" s="1"/>
  <c r="EV536" i="23916"/>
  <c r="K532" i="23916"/>
  <c r="K531" i="23916"/>
  <c r="I532" i="23916"/>
  <c r="I531" i="23916"/>
  <c r="G533" i="23916"/>
  <c r="G532" i="23916"/>
  <c r="G531" i="23916"/>
  <c r="E533" i="23916"/>
  <c r="E532" i="23916"/>
  <c r="E531" i="23916"/>
  <c r="EY532" i="23916"/>
  <c r="EX532" i="23916"/>
  <c r="EX531" i="23916"/>
  <c r="EV531" i="23916"/>
  <c r="EX536" i="23916" s="1"/>
  <c r="EI532" i="23916"/>
  <c r="EJ532" i="23916" s="1"/>
  <c r="EG532" i="23916"/>
  <c r="EA532" i="23916"/>
  <c r="DY532" i="23916"/>
  <c r="DZ532" i="23916" s="1"/>
  <c r="DW532" i="23916"/>
  <c r="DX532" i="23916" s="1"/>
  <c r="DU532" i="23916"/>
  <c r="DV532" i="23916" s="1"/>
  <c r="DS532" i="23916"/>
  <c r="DQ532" i="23916"/>
  <c r="DO532" i="23916"/>
  <c r="DP532" i="23916" s="1"/>
  <c r="DM532" i="23916"/>
  <c r="DN532" i="23916" s="1"/>
  <c r="DH532" i="23916"/>
  <c r="DG532" i="23916"/>
  <c r="DE532" i="23916"/>
  <c r="DF532" i="23916" s="1"/>
  <c r="DD532" i="23916"/>
  <c r="DC532" i="23916"/>
  <c r="DA532" i="23916"/>
  <c r="DB532" i="23916" s="1"/>
  <c r="CZ532" i="23916"/>
  <c r="CY532" i="23916"/>
  <c r="CW532" i="23916"/>
  <c r="CX532" i="23916" s="1"/>
  <c r="CV532" i="23916"/>
  <c r="CU532" i="23916"/>
  <c r="CS532" i="23916"/>
  <c r="CQ532" i="23916"/>
  <c r="CO532" i="23916"/>
  <c r="CP532" i="23916" s="1"/>
  <c r="CN532" i="23916"/>
  <c r="CM532" i="23916"/>
  <c r="CG532" i="23916"/>
  <c r="CH532" i="23916" s="1"/>
  <c r="CF532" i="23916"/>
  <c r="CE532" i="23916"/>
  <c r="CC532" i="23916"/>
  <c r="CD532" i="23916" s="1"/>
  <c r="CB532" i="23916"/>
  <c r="CA532" i="23916"/>
  <c r="BY532" i="23916"/>
  <c r="BZ532" i="23916" s="1"/>
  <c r="BX532" i="23916"/>
  <c r="BW532" i="23916"/>
  <c r="BU532" i="23916"/>
  <c r="BV532" i="23916" s="1"/>
  <c r="BT532" i="23916"/>
  <c r="BS532" i="23916"/>
  <c r="BQ532" i="23916"/>
  <c r="BR532" i="23916" s="1"/>
  <c r="BP532" i="23916"/>
  <c r="BO532" i="23916"/>
  <c r="BM532" i="23916"/>
  <c r="BN532" i="23916" s="1"/>
  <c r="BL532" i="23916"/>
  <c r="BK532" i="23916"/>
  <c r="BI532" i="23916"/>
  <c r="BJ532" i="23916" s="1"/>
  <c r="BH532" i="23916"/>
  <c r="BG532" i="23916"/>
  <c r="BE532" i="23916"/>
  <c r="BF532" i="23916" s="1"/>
  <c r="BD532" i="23916"/>
  <c r="BC532" i="23916"/>
  <c r="BA532" i="23916"/>
  <c r="BB532" i="23916" s="1"/>
  <c r="AZ532" i="23916"/>
  <c r="AY532" i="23916"/>
  <c r="AW532" i="23916"/>
  <c r="AX532" i="23916" s="1"/>
  <c r="AV532" i="23916"/>
  <c r="AU532" i="23916"/>
  <c r="AS532" i="23916"/>
  <c r="AT532" i="23916" s="1"/>
  <c r="AR532" i="23916"/>
  <c r="AQ532" i="23916"/>
  <c r="AO532" i="23916"/>
  <c r="AP532" i="23916" s="1"/>
  <c r="AN532" i="23916"/>
  <c r="AM532" i="23916"/>
  <c r="AK532" i="23916"/>
  <c r="AL532" i="23916" s="1"/>
  <c r="AJ532" i="23916"/>
  <c r="AI532" i="23916"/>
  <c r="AG532" i="23916"/>
  <c r="AH532" i="23916" s="1"/>
  <c r="AF532" i="23916"/>
  <c r="AE532" i="23916"/>
  <c r="AC532" i="23916"/>
  <c r="AD532" i="23916" s="1"/>
  <c r="AB532" i="23916"/>
  <c r="AA532" i="23916"/>
  <c r="Y532" i="23916"/>
  <c r="Z532" i="23916" s="1"/>
  <c r="X532" i="23916"/>
  <c r="W532" i="23916"/>
  <c r="U532" i="23916"/>
  <c r="V532" i="23916" s="1"/>
  <c r="T532" i="23916"/>
  <c r="S532" i="23916"/>
  <c r="Q532" i="23916"/>
  <c r="R532" i="23916" s="1"/>
  <c r="P532" i="23916"/>
  <c r="O532" i="23916"/>
  <c r="M532" i="23916"/>
  <c r="N532" i="23916" s="1"/>
  <c r="EE531" i="23916"/>
  <c r="BU531" i="23916"/>
  <c r="BT531" i="23916"/>
  <c r="BS531" i="23916"/>
  <c r="BQ531" i="23916"/>
  <c r="BS533" i="23916" s="1"/>
  <c r="BP531" i="23916"/>
  <c r="BO531" i="23916"/>
  <c r="BM531" i="23916"/>
  <c r="BM533" i="23916" s="1"/>
  <c r="BL531" i="23916"/>
  <c r="BK531" i="23916"/>
  <c r="BI531" i="23916"/>
  <c r="BI533" i="23916" s="1"/>
  <c r="BH531" i="23916"/>
  <c r="BG531" i="23916"/>
  <c r="BE531" i="23916"/>
  <c r="BD531" i="23916"/>
  <c r="BC531" i="23916"/>
  <c r="BA531" i="23916"/>
  <c r="BC533" i="23916" s="1"/>
  <c r="AZ531" i="23916"/>
  <c r="AY531" i="23916"/>
  <c r="AW531" i="23916"/>
  <c r="AW533" i="23916" s="1"/>
  <c r="AV531" i="23916"/>
  <c r="AU531" i="23916"/>
  <c r="AS531" i="23916"/>
  <c r="AS533" i="23916" s="1"/>
  <c r="AR531" i="23916"/>
  <c r="AQ531" i="23916"/>
  <c r="AO531" i="23916"/>
  <c r="AN531" i="23916"/>
  <c r="AM531" i="23916"/>
  <c r="AK531" i="23916"/>
  <c r="AM533" i="23916" s="1"/>
  <c r="AJ531" i="23916"/>
  <c r="AI531" i="23916"/>
  <c r="AG531" i="23916"/>
  <c r="AG533" i="23916" s="1"/>
  <c r="AF531" i="23916"/>
  <c r="AE531" i="23916"/>
  <c r="AC531" i="23916"/>
  <c r="AC533" i="23916" s="1"/>
  <c r="AB531" i="23916"/>
  <c r="AA531" i="23916"/>
  <c r="Y531" i="23916"/>
  <c r="X531" i="23916"/>
  <c r="W531" i="23916"/>
  <c r="U531" i="23916"/>
  <c r="W533" i="23916" s="1"/>
  <c r="T531" i="23916"/>
  <c r="S531" i="23916"/>
  <c r="Q531" i="23916"/>
  <c r="Q533" i="23916" s="1"/>
  <c r="P531" i="23916"/>
  <c r="O531" i="23916"/>
  <c r="M531" i="23916"/>
  <c r="M533" i="23916" s="1"/>
  <c r="N533" i="23916" s="1"/>
  <c r="EY530" i="23916"/>
  <c r="EY529" i="23916"/>
  <c r="EY528" i="23916"/>
  <c r="EY527" i="23916"/>
  <c r="EY526" i="23916"/>
  <c r="EK530" i="23916"/>
  <c r="EM530" i="23916" s="1"/>
  <c r="EI530" i="23916"/>
  <c r="EI531" i="23916" s="1"/>
  <c r="EG530" i="23916"/>
  <c r="EG531" i="23916" s="1"/>
  <c r="EC530" i="23916"/>
  <c r="ED530" i="23916" s="1"/>
  <c r="EB530" i="23916"/>
  <c r="EA530" i="23916"/>
  <c r="EA531" i="23916" s="1"/>
  <c r="DY530" i="23916"/>
  <c r="DZ530" i="23916" s="1"/>
  <c r="DX530" i="23916"/>
  <c r="DW530" i="23916"/>
  <c r="DW531" i="23916" s="1"/>
  <c r="DU530" i="23916"/>
  <c r="DV530" i="23916" s="1"/>
  <c r="DT530" i="23916"/>
  <c r="DS530" i="23916"/>
  <c r="DS531" i="23916" s="1"/>
  <c r="DQ530" i="23916"/>
  <c r="DR530" i="23916" s="1"/>
  <c r="DP530" i="23916"/>
  <c r="DO530" i="23916"/>
  <c r="DO531" i="23916" s="1"/>
  <c r="DM530" i="23916"/>
  <c r="DN530" i="23916" s="1"/>
  <c r="DL530" i="23916"/>
  <c r="DK530" i="23916"/>
  <c r="DK531" i="23916" s="1"/>
  <c r="DI530" i="23916"/>
  <c r="DJ530" i="23916" s="1"/>
  <c r="DH530" i="23916"/>
  <c r="DG530" i="23916"/>
  <c r="DG531" i="23916" s="1"/>
  <c r="DE530" i="23916"/>
  <c r="DF530" i="23916" s="1"/>
  <c r="DD530" i="23916"/>
  <c r="DC530" i="23916"/>
  <c r="DC531" i="23916" s="1"/>
  <c r="DA530" i="23916"/>
  <c r="DB530" i="23916" s="1"/>
  <c r="CZ530" i="23916"/>
  <c r="CY530" i="23916"/>
  <c r="CY531" i="23916" s="1"/>
  <c r="CW530" i="23916"/>
  <c r="CX530" i="23916" s="1"/>
  <c r="CV530" i="23916"/>
  <c r="CU530" i="23916"/>
  <c r="CU531" i="23916" s="1"/>
  <c r="CS530" i="23916"/>
  <c r="CT530" i="23916" s="1"/>
  <c r="CR530" i="23916"/>
  <c r="CQ530" i="23916"/>
  <c r="CQ531" i="23916" s="1"/>
  <c r="CO530" i="23916"/>
  <c r="CP530" i="23916" s="1"/>
  <c r="CN530" i="23916"/>
  <c r="CM530" i="23916"/>
  <c r="CM531" i="23916" s="1"/>
  <c r="CK530" i="23916"/>
  <c r="CL530" i="23916" s="1"/>
  <c r="CJ530" i="23916"/>
  <c r="CI530" i="23916"/>
  <c r="CG530" i="23916"/>
  <c r="CH530" i="23916" s="1"/>
  <c r="CF530" i="23916"/>
  <c r="CE530" i="23916"/>
  <c r="CE531" i="23916" s="1"/>
  <c r="CC530" i="23916"/>
  <c r="CD530" i="23916" s="1"/>
  <c r="CB530" i="23916"/>
  <c r="CA530" i="23916"/>
  <c r="CA531" i="23916" s="1"/>
  <c r="BY530" i="23916"/>
  <c r="BZ530" i="23916" s="1"/>
  <c r="BX530" i="23916"/>
  <c r="BW530" i="23916"/>
  <c r="BW531" i="23916" s="1"/>
  <c r="BV530" i="23916"/>
  <c r="BT530" i="23916"/>
  <c r="BT529" i="23916"/>
  <c r="BT528" i="23916"/>
  <c r="BT527" i="23916"/>
  <c r="BR530" i="23916"/>
  <c r="BR529" i="23916"/>
  <c r="BR528" i="23916"/>
  <c r="BR527" i="23916"/>
  <c r="BP530" i="23916"/>
  <c r="BP529" i="23916"/>
  <c r="BP528" i="23916"/>
  <c r="BP527" i="23916"/>
  <c r="BN530" i="23916"/>
  <c r="BN529" i="23916"/>
  <c r="BN528" i="23916"/>
  <c r="BN527" i="23916"/>
  <c r="BL530" i="23916"/>
  <c r="BL529" i="23916"/>
  <c r="BL528" i="23916"/>
  <c r="BL527" i="23916"/>
  <c r="BJ530" i="23916"/>
  <c r="BJ529" i="23916"/>
  <c r="BJ528" i="23916"/>
  <c r="BJ527" i="23916"/>
  <c r="BH530" i="23916"/>
  <c r="BH529" i="23916"/>
  <c r="BH528" i="23916"/>
  <c r="BH527" i="23916"/>
  <c r="BF530" i="23916"/>
  <c r="BF529" i="23916"/>
  <c r="BF528" i="23916"/>
  <c r="BF527" i="23916"/>
  <c r="BD530" i="23916"/>
  <c r="BD529" i="23916"/>
  <c r="BD528" i="23916"/>
  <c r="BD527" i="23916"/>
  <c r="BB530" i="23916"/>
  <c r="BB529" i="23916"/>
  <c r="BB528" i="23916"/>
  <c r="BB527" i="23916"/>
  <c r="AZ530" i="23916"/>
  <c r="AZ529" i="23916"/>
  <c r="AZ528" i="23916"/>
  <c r="AZ527" i="23916"/>
  <c r="AX530" i="23916"/>
  <c r="AX529" i="23916"/>
  <c r="AX528" i="23916"/>
  <c r="AX527" i="23916"/>
  <c r="AV530" i="23916"/>
  <c r="AV529" i="23916"/>
  <c r="AV528" i="23916"/>
  <c r="AV527" i="23916"/>
  <c r="AT530" i="23916"/>
  <c r="AT529" i="23916"/>
  <c r="AT528" i="23916"/>
  <c r="AT527" i="23916"/>
  <c r="AR530" i="23916"/>
  <c r="AR529" i="23916"/>
  <c r="AR528" i="23916"/>
  <c r="AR527" i="23916"/>
  <c r="AP530" i="23916"/>
  <c r="AP529" i="23916"/>
  <c r="AP528" i="23916"/>
  <c r="AP527" i="23916"/>
  <c r="AN530" i="23916"/>
  <c r="AN529" i="23916"/>
  <c r="AN528" i="23916"/>
  <c r="AN527" i="23916"/>
  <c r="AL530" i="23916"/>
  <c r="AL529" i="23916"/>
  <c r="AL528" i="23916"/>
  <c r="AL527" i="23916"/>
  <c r="AJ530" i="23916"/>
  <c r="AJ529" i="23916"/>
  <c r="AJ528" i="23916"/>
  <c r="AJ527" i="23916"/>
  <c r="AH530" i="23916"/>
  <c r="AH529" i="23916"/>
  <c r="AH528" i="23916"/>
  <c r="AH527" i="23916"/>
  <c r="AF530" i="23916"/>
  <c r="AF529" i="23916"/>
  <c r="AF528" i="23916"/>
  <c r="AF527" i="23916"/>
  <c r="AD530" i="23916"/>
  <c r="AD529" i="23916"/>
  <c r="AD528" i="23916"/>
  <c r="AD527" i="23916"/>
  <c r="AB530" i="23916"/>
  <c r="AB529" i="23916"/>
  <c r="AB528" i="23916"/>
  <c r="AB527" i="23916"/>
  <c r="Z530" i="23916"/>
  <c r="Z529" i="23916"/>
  <c r="Z528" i="23916"/>
  <c r="Z527" i="23916"/>
  <c r="X530" i="23916"/>
  <c r="X529" i="23916"/>
  <c r="X528" i="23916"/>
  <c r="X527" i="23916"/>
  <c r="V530" i="23916"/>
  <c r="V529" i="23916"/>
  <c r="V528" i="23916"/>
  <c r="V527" i="23916"/>
  <c r="T530" i="23916"/>
  <c r="T529" i="23916"/>
  <c r="T528" i="23916"/>
  <c r="T527" i="23916"/>
  <c r="R530" i="23916"/>
  <c r="R529" i="23916"/>
  <c r="R528" i="23916"/>
  <c r="R527" i="23916"/>
  <c r="P530" i="23916"/>
  <c r="P529" i="23916"/>
  <c r="P528" i="23916"/>
  <c r="P527" i="23916"/>
  <c r="N530" i="23916"/>
  <c r="N529" i="23916"/>
  <c r="N528" i="23916"/>
  <c r="N527" i="23916"/>
  <c r="EZ529" i="23916"/>
  <c r="EH529" i="23916"/>
  <c r="EH528" i="23916"/>
  <c r="EH527" i="23916"/>
  <c r="EF529" i="23916"/>
  <c r="EF528" i="23916"/>
  <c r="EF527" i="23916"/>
  <c r="EB529" i="23916"/>
  <c r="DZ529" i="23916"/>
  <c r="DZ528" i="23916"/>
  <c r="DZ527" i="23916"/>
  <c r="DZ526" i="23916"/>
  <c r="DX529" i="23916"/>
  <c r="DX528" i="23916"/>
  <c r="DX527" i="23916"/>
  <c r="DV529" i="23916"/>
  <c r="DV528" i="23916"/>
  <c r="DV527" i="23916"/>
  <c r="DT529" i="23916"/>
  <c r="DT528" i="23916"/>
  <c r="DT527" i="23916"/>
  <c r="DT526" i="23916"/>
  <c r="DR528" i="23916"/>
  <c r="DR527" i="23916"/>
  <c r="DR526" i="23916"/>
  <c r="DP529" i="23916"/>
  <c r="DP528" i="23916"/>
  <c r="DP527" i="23916"/>
  <c r="DN529" i="23916"/>
  <c r="DN528" i="23916"/>
  <c r="DN527" i="23916"/>
  <c r="DL529" i="23916"/>
  <c r="DL528" i="23916"/>
  <c r="DL527" i="23916"/>
  <c r="DL526" i="23916"/>
  <c r="DI529" i="23916"/>
  <c r="DI532" i="23916" s="1"/>
  <c r="DH529" i="23916"/>
  <c r="DF529" i="23916"/>
  <c r="DF528" i="23916"/>
  <c r="DF527" i="23916"/>
  <c r="DD529" i="23916"/>
  <c r="DD528" i="23916"/>
  <c r="DD527" i="23916"/>
  <c r="DB529" i="23916"/>
  <c r="DB528" i="23916"/>
  <c r="DB527" i="23916"/>
  <c r="CZ529" i="23916"/>
  <c r="CZ528" i="23916"/>
  <c r="CZ527" i="23916"/>
  <c r="CX529" i="23916"/>
  <c r="CX528" i="23916"/>
  <c r="CX527" i="23916"/>
  <c r="CV529" i="23916"/>
  <c r="CV528" i="23916"/>
  <c r="CV527" i="23916"/>
  <c r="CT529" i="23916"/>
  <c r="CT528" i="23916"/>
  <c r="CT527" i="23916"/>
  <c r="CR529" i="23916"/>
  <c r="CR528" i="23916"/>
  <c r="CR527" i="23916"/>
  <c r="CP529" i="23916"/>
  <c r="CP528" i="23916"/>
  <c r="CP527" i="23916"/>
  <c r="CN529" i="23916"/>
  <c r="CN528" i="23916"/>
  <c r="CN527" i="23916"/>
  <c r="CL529" i="23916"/>
  <c r="CL528" i="23916"/>
  <c r="CL527" i="23916"/>
  <c r="CJ529" i="23916"/>
  <c r="CI529" i="23916"/>
  <c r="CH529" i="23916"/>
  <c r="CF529" i="23916"/>
  <c r="CF528" i="23916"/>
  <c r="CF527" i="23916"/>
  <c r="CD529" i="23916"/>
  <c r="CD528" i="23916"/>
  <c r="CD527" i="23916"/>
  <c r="CB529" i="23916"/>
  <c r="CB528" i="23916"/>
  <c r="CB527" i="23916"/>
  <c r="BZ529" i="23916"/>
  <c r="BZ528" i="23916"/>
  <c r="BZ527" i="23916"/>
  <c r="BX529" i="23916"/>
  <c r="BX528" i="23916"/>
  <c r="BX527" i="23916"/>
  <c r="BV529" i="23916"/>
  <c r="BV528" i="23916"/>
  <c r="BV527" i="23916"/>
  <c r="ED528" i="23916"/>
  <c r="ED527" i="23916"/>
  <c r="EB528" i="23916"/>
  <c r="EB527" i="23916"/>
  <c r="EB526" i="23916"/>
  <c r="DJ528" i="23916"/>
  <c r="DJ527" i="23916"/>
  <c r="DH528" i="23916"/>
  <c r="DH527" i="23916"/>
  <c r="CJ528" i="23916"/>
  <c r="CJ527" i="23916"/>
  <c r="CH528" i="23916"/>
  <c r="CH527" i="23916"/>
  <c r="FB532" i="23916"/>
  <c r="FC532" i="23916" s="1"/>
  <c r="FA532" i="23916"/>
  <c r="FA531" i="23916"/>
  <c r="GH530" i="23916"/>
  <c r="GI530" i="23916" s="1"/>
  <c r="GG530" i="23916"/>
  <c r="GF530" i="23916"/>
  <c r="GD530" i="23916"/>
  <c r="GE530" i="23916" s="1"/>
  <c r="GC530" i="23916"/>
  <c r="GB530" i="23916"/>
  <c r="FZ530" i="23916"/>
  <c r="GA530" i="23916" s="1"/>
  <c r="FY530" i="23916"/>
  <c r="FX530" i="23916"/>
  <c r="FV530" i="23916"/>
  <c r="FW530" i="23916" s="1"/>
  <c r="FU530" i="23916"/>
  <c r="FT530" i="23916"/>
  <c r="FR530" i="23916"/>
  <c r="FS530" i="23916" s="1"/>
  <c r="FQ530" i="23916"/>
  <c r="FP530" i="23916"/>
  <c r="FN530" i="23916"/>
  <c r="FO530" i="23916" s="1"/>
  <c r="FM530" i="23916"/>
  <c r="FL530" i="23916"/>
  <c r="FJ530" i="23916"/>
  <c r="FK530" i="23916" s="1"/>
  <c r="FI530" i="23916"/>
  <c r="FH530" i="23916"/>
  <c r="FF530" i="23916"/>
  <c r="FG530" i="23916" s="1"/>
  <c r="FE530" i="23916"/>
  <c r="FD530" i="23916"/>
  <c r="FB530" i="23916"/>
  <c r="FC530" i="23916" s="1"/>
  <c r="FA530" i="23916"/>
  <c r="GI529" i="23916"/>
  <c r="GH529" i="23916"/>
  <c r="GF529" i="23916"/>
  <c r="GF532" i="23916" s="1"/>
  <c r="GE529" i="23916"/>
  <c r="GD529" i="23916"/>
  <c r="GB529" i="23916"/>
  <c r="GB532" i="23916" s="1"/>
  <c r="GA529" i="23916"/>
  <c r="FZ529" i="23916"/>
  <c r="FX529" i="23916"/>
  <c r="FX532" i="23916" s="1"/>
  <c r="FW529" i="23916"/>
  <c r="FV529" i="23916"/>
  <c r="FT529" i="23916"/>
  <c r="FT532" i="23916" s="1"/>
  <c r="FS529" i="23916"/>
  <c r="FR529" i="23916"/>
  <c r="FP529" i="23916"/>
  <c r="FP532" i="23916" s="1"/>
  <c r="FO529" i="23916"/>
  <c r="FN529" i="23916"/>
  <c r="FL529" i="23916"/>
  <c r="FL532" i="23916" s="1"/>
  <c r="FK529" i="23916"/>
  <c r="FJ529" i="23916"/>
  <c r="FH529" i="23916"/>
  <c r="FH532" i="23916" s="1"/>
  <c r="FG529" i="23916"/>
  <c r="FF529" i="23916"/>
  <c r="FD529" i="23916"/>
  <c r="FD532" i="23916" s="1"/>
  <c r="FE532" i="23916" s="1"/>
  <c r="FC529" i="23916"/>
  <c r="FB529" i="23916"/>
  <c r="FA529" i="23916"/>
  <c r="GH528" i="23916"/>
  <c r="GI528" i="23916" s="1"/>
  <c r="GG528" i="23916"/>
  <c r="GF528" i="23916"/>
  <c r="GD528" i="23916"/>
  <c r="GE528" i="23916" s="1"/>
  <c r="GC528" i="23916"/>
  <c r="GB528" i="23916"/>
  <c r="FZ528" i="23916"/>
  <c r="GA528" i="23916" s="1"/>
  <c r="FY528" i="23916"/>
  <c r="FX528" i="23916"/>
  <c r="FV528" i="23916"/>
  <c r="FW528" i="23916" s="1"/>
  <c r="FU528" i="23916"/>
  <c r="FT528" i="23916"/>
  <c r="FR528" i="23916"/>
  <c r="FS528" i="23916" s="1"/>
  <c r="FQ528" i="23916"/>
  <c r="FP528" i="23916"/>
  <c r="FN528" i="23916"/>
  <c r="FO528" i="23916" s="1"/>
  <c r="FM528" i="23916"/>
  <c r="FL528" i="23916"/>
  <c r="FJ528" i="23916"/>
  <c r="FK528" i="23916" s="1"/>
  <c r="FI528" i="23916"/>
  <c r="FH528" i="23916"/>
  <c r="FF528" i="23916"/>
  <c r="FG528" i="23916" s="1"/>
  <c r="FE528" i="23916"/>
  <c r="FD528" i="23916"/>
  <c r="FB528" i="23916"/>
  <c r="FC528" i="23916" s="1"/>
  <c r="FA528" i="23916"/>
  <c r="GI527" i="23916"/>
  <c r="GH527" i="23916"/>
  <c r="GF527" i="23916"/>
  <c r="GG527" i="23916" s="1"/>
  <c r="GE527" i="23916"/>
  <c r="GD527" i="23916"/>
  <c r="GB527" i="23916"/>
  <c r="GC527" i="23916" s="1"/>
  <c r="GA527" i="23916"/>
  <c r="FZ527" i="23916"/>
  <c r="FX527" i="23916"/>
  <c r="FY527" i="23916" s="1"/>
  <c r="FW527" i="23916"/>
  <c r="FV527" i="23916"/>
  <c r="FT527" i="23916"/>
  <c r="FU527" i="23916" s="1"/>
  <c r="FS527" i="23916"/>
  <c r="FR527" i="23916"/>
  <c r="FP527" i="23916"/>
  <c r="FQ527" i="23916" s="1"/>
  <c r="FO527" i="23916"/>
  <c r="FN527" i="23916"/>
  <c r="FL527" i="23916"/>
  <c r="FM527" i="23916" s="1"/>
  <c r="FK527" i="23916"/>
  <c r="FJ527" i="23916"/>
  <c r="FH527" i="23916"/>
  <c r="FI527" i="23916" s="1"/>
  <c r="FG527" i="23916"/>
  <c r="FF527" i="23916"/>
  <c r="FD527" i="23916"/>
  <c r="FE527" i="23916" s="1"/>
  <c r="FC527" i="23916"/>
  <c r="FB527" i="23916"/>
  <c r="FA527" i="23916"/>
  <c r="GH526" i="23916"/>
  <c r="GD526" i="23916"/>
  <c r="GC526" i="23916"/>
  <c r="FZ526" i="23916"/>
  <c r="FV526" i="23916"/>
  <c r="FR526" i="23916"/>
  <c r="FN526" i="23916"/>
  <c r="FJ526" i="23916"/>
  <c r="FF526" i="23916"/>
  <c r="FB526" i="23916"/>
  <c r="FC526" i="23916" s="1"/>
  <c r="FA526" i="23916"/>
  <c r="EJ529" i="23916"/>
  <c r="EJ528" i="23916"/>
  <c r="EJ527" i="23916"/>
  <c r="EJ526" i="23916"/>
  <c r="EI526" i="23916"/>
  <c r="EG526" i="23916"/>
  <c r="EH526" i="23916" s="1"/>
  <c r="EE526" i="23916"/>
  <c r="EF526" i="23916" s="1"/>
  <c r="EA526" i="23916"/>
  <c r="GF526" i="23916" s="1"/>
  <c r="GG526" i="23916" s="1"/>
  <c r="DY526" i="23916"/>
  <c r="DW526" i="23916"/>
  <c r="DX526" i="23916" s="1"/>
  <c r="DU526" i="23916"/>
  <c r="DS526" i="23916"/>
  <c r="DQ526" i="23916"/>
  <c r="DO526" i="23916"/>
  <c r="DP526" i="23916" s="1"/>
  <c r="DM526" i="23916"/>
  <c r="DK526" i="23916"/>
  <c r="GB526" i="23916" s="1"/>
  <c r="DI526" i="23916"/>
  <c r="DJ526" i="23916" s="1"/>
  <c r="DG526" i="23916"/>
  <c r="DH526" i="23916" s="1"/>
  <c r="DE526" i="23916"/>
  <c r="DC526" i="23916"/>
  <c r="DD526" i="23916" s="1"/>
  <c r="DA526" i="23916"/>
  <c r="DB526" i="23916" s="1"/>
  <c r="CY526" i="23916"/>
  <c r="CZ526" i="23916" s="1"/>
  <c r="CW526" i="23916"/>
  <c r="CU526" i="23916"/>
  <c r="CV526" i="23916" s="1"/>
  <c r="CS526" i="23916"/>
  <c r="CT526" i="23916" s="1"/>
  <c r="CQ526" i="23916"/>
  <c r="CR526" i="23916" s="1"/>
  <c r="CO526" i="23916"/>
  <c r="CM526" i="23916"/>
  <c r="CN526" i="23916" s="1"/>
  <c r="CK526" i="23916"/>
  <c r="CL526" i="23916" s="1"/>
  <c r="CI526" i="23916"/>
  <c r="CJ526" i="23916" s="1"/>
  <c r="CG526" i="23916"/>
  <c r="CH526" i="23916" s="1"/>
  <c r="CE526" i="23916"/>
  <c r="CF526" i="23916" s="1"/>
  <c r="CC526" i="23916"/>
  <c r="CD526" i="23916" s="1"/>
  <c r="CA526" i="23916"/>
  <c r="CB526" i="23916" s="1"/>
  <c r="BY526" i="23916"/>
  <c r="BW526" i="23916"/>
  <c r="BX526" i="23916" s="1"/>
  <c r="BU526" i="23916"/>
  <c r="BV526" i="23916" s="1"/>
  <c r="BS526" i="23916"/>
  <c r="BQ526" i="23916"/>
  <c r="BO526" i="23916"/>
  <c r="BP526" i="23916" s="1"/>
  <c r="BM526" i="23916"/>
  <c r="BN526" i="23916" s="1"/>
  <c r="BK526" i="23916"/>
  <c r="BI526" i="23916"/>
  <c r="BG526" i="23916"/>
  <c r="BH526" i="23916" s="1"/>
  <c r="BE526" i="23916"/>
  <c r="BF526" i="23916" s="1"/>
  <c r="BC526" i="23916"/>
  <c r="BA526" i="23916"/>
  <c r="AY526" i="23916"/>
  <c r="AZ526" i="23916" s="1"/>
  <c r="AW526" i="23916"/>
  <c r="AX526" i="23916" s="1"/>
  <c r="AU526" i="23916"/>
  <c r="AS526" i="23916"/>
  <c r="AQ526" i="23916"/>
  <c r="AR526" i="23916" s="1"/>
  <c r="AO526" i="23916"/>
  <c r="AP526" i="23916" s="1"/>
  <c r="AM526" i="23916"/>
  <c r="AK526" i="23916"/>
  <c r="AI526" i="23916"/>
  <c r="AJ526" i="23916" s="1"/>
  <c r="AG526" i="23916"/>
  <c r="AH526" i="23916" s="1"/>
  <c r="AE526" i="23916"/>
  <c r="AC526" i="23916"/>
  <c r="AA526" i="23916"/>
  <c r="AB526" i="23916" s="1"/>
  <c r="Y526" i="23916"/>
  <c r="Z526" i="23916" s="1"/>
  <c r="W526" i="23916"/>
  <c r="U526" i="23916"/>
  <c r="S526" i="23916"/>
  <c r="T526" i="23916" s="1"/>
  <c r="Q526" i="23916"/>
  <c r="R526" i="23916" s="1"/>
  <c r="O526" i="23916"/>
  <c r="M526" i="23916"/>
  <c r="K526" i="23916"/>
  <c r="I526" i="23916"/>
  <c r="G526" i="23916"/>
  <c r="E526" i="23916"/>
  <c r="C526" i="23916"/>
  <c r="FC521" i="23916"/>
  <c r="GH520" i="23916"/>
  <c r="GI520" i="23916" s="1"/>
  <c r="GF520" i="23916"/>
  <c r="GD520" i="23916"/>
  <c r="GE520" i="23916" s="1"/>
  <c r="GB520" i="23916"/>
  <c r="FZ520" i="23916"/>
  <c r="GA520" i="23916" s="1"/>
  <c r="FY520" i="23916"/>
  <c r="FX520" i="23916"/>
  <c r="FV520" i="23916"/>
  <c r="FW520" i="23916" s="1"/>
  <c r="FU520" i="23916"/>
  <c r="FT520" i="23916"/>
  <c r="FR520" i="23916"/>
  <c r="FS520" i="23916" s="1"/>
  <c r="FP520" i="23916"/>
  <c r="FN520" i="23916"/>
  <c r="FO520" i="23916" s="1"/>
  <c r="FL520" i="23916"/>
  <c r="FJ520" i="23916"/>
  <c r="FK520" i="23916" s="1"/>
  <c r="FI520" i="23916"/>
  <c r="FH520" i="23916"/>
  <c r="FF520" i="23916"/>
  <c r="FG520" i="23916" s="1"/>
  <c r="FE520" i="23916"/>
  <c r="FD520" i="23916"/>
  <c r="FB520" i="23916"/>
  <c r="FC520" i="23916" s="1"/>
  <c r="FA520" i="23916"/>
  <c r="FC519" i="23916"/>
  <c r="FJ518" i="23916"/>
  <c r="FI518" i="23916"/>
  <c r="FH518" i="23916"/>
  <c r="FF518" i="23916"/>
  <c r="FE518" i="23916"/>
  <c r="FD518" i="23916"/>
  <c r="FB518" i="23916"/>
  <c r="GI517" i="23916"/>
  <c r="GH517" i="23916"/>
  <c r="GF517" i="23916"/>
  <c r="GG517" i="23916" s="1"/>
  <c r="GE517" i="23916"/>
  <c r="GD517" i="23916"/>
  <c r="GB517" i="23916"/>
  <c r="GC517" i="23916" s="1"/>
  <c r="FZ517" i="23916"/>
  <c r="FX517" i="23916"/>
  <c r="FY517" i="23916" s="1"/>
  <c r="FV517" i="23916"/>
  <c r="FT517" i="23916"/>
  <c r="FU517" i="23916" s="1"/>
  <c r="FS517" i="23916"/>
  <c r="FR517" i="23916"/>
  <c r="FP517" i="23916"/>
  <c r="FQ517" i="23916" s="1"/>
  <c r="FO517" i="23916"/>
  <c r="FN517" i="23916"/>
  <c r="FL517" i="23916"/>
  <c r="FM517" i="23916" s="1"/>
  <c r="FJ517" i="23916"/>
  <c r="FJ519" i="23916" s="1"/>
  <c r="FJ521" i="23916" s="1"/>
  <c r="FH517" i="23916"/>
  <c r="FI517" i="23916" s="1"/>
  <c r="FF517" i="23916"/>
  <c r="FF519" i="23916" s="1"/>
  <c r="FF521" i="23916" s="1"/>
  <c r="FD517" i="23916"/>
  <c r="FE517" i="23916" s="1"/>
  <c r="FC517" i="23916"/>
  <c r="FB517" i="23916"/>
  <c r="FB519" i="23916" s="1"/>
  <c r="FB521" i="23916" s="1"/>
  <c r="FA517" i="23916"/>
  <c r="EY520" i="23916"/>
  <c r="EY518" i="23916"/>
  <c r="EY517" i="23916"/>
  <c r="EH520" i="23916"/>
  <c r="EH517" i="23916"/>
  <c r="EF520" i="23916"/>
  <c r="EF517" i="23916"/>
  <c r="ED520" i="23916"/>
  <c r="ED517" i="23916"/>
  <c r="EB520" i="23916"/>
  <c r="EB517" i="23916"/>
  <c r="DZ520" i="23916"/>
  <c r="DZ517" i="23916"/>
  <c r="DX520" i="23916"/>
  <c r="DX517" i="23916"/>
  <c r="DV520" i="23916"/>
  <c r="DV517" i="23916"/>
  <c r="DT520" i="23916"/>
  <c r="DT517" i="23916"/>
  <c r="DR520" i="23916"/>
  <c r="DR517" i="23916"/>
  <c r="DP520" i="23916"/>
  <c r="DP517" i="23916"/>
  <c r="DN520" i="23916"/>
  <c r="DN517" i="23916"/>
  <c r="DL520" i="23916"/>
  <c r="DL517" i="23916"/>
  <c r="DJ520" i="23916"/>
  <c r="DJ517" i="23916"/>
  <c r="DH520" i="23916"/>
  <c r="DH517" i="23916"/>
  <c r="DF520" i="23916"/>
  <c r="DF517" i="23916"/>
  <c r="DD520" i="23916"/>
  <c r="DD517" i="23916"/>
  <c r="DB520" i="23916"/>
  <c r="DB517" i="23916"/>
  <c r="CZ520" i="23916"/>
  <c r="CZ517" i="23916"/>
  <c r="CX520" i="23916"/>
  <c r="CX517" i="23916"/>
  <c r="CV520" i="23916"/>
  <c r="CV517" i="23916"/>
  <c r="CT520" i="23916"/>
  <c r="CT517" i="23916"/>
  <c r="CR520" i="23916"/>
  <c r="CR517" i="23916"/>
  <c r="CP520" i="23916"/>
  <c r="CP517" i="23916"/>
  <c r="CN520" i="23916"/>
  <c r="CN517" i="23916"/>
  <c r="CL520" i="23916"/>
  <c r="CL517" i="23916"/>
  <c r="CJ520" i="23916"/>
  <c r="CJ517" i="23916"/>
  <c r="CH520" i="23916"/>
  <c r="CH517" i="23916"/>
  <c r="CF520" i="23916"/>
  <c r="CF517" i="23916"/>
  <c r="CD520" i="23916"/>
  <c r="CD517" i="23916"/>
  <c r="CB520" i="23916"/>
  <c r="CB517" i="23916"/>
  <c r="BZ520" i="23916"/>
  <c r="BZ517" i="23916"/>
  <c r="BX520" i="23916"/>
  <c r="BX517" i="23916"/>
  <c r="BV520" i="23916"/>
  <c r="BV517" i="23916"/>
  <c r="BT520" i="23916"/>
  <c r="BT517" i="23916"/>
  <c r="BR520" i="23916"/>
  <c r="BR517" i="23916"/>
  <c r="BP520" i="23916"/>
  <c r="BP517" i="23916"/>
  <c r="BN520" i="23916"/>
  <c r="BN517" i="23916"/>
  <c r="BL520" i="23916"/>
  <c r="BL517" i="23916"/>
  <c r="BJ520" i="23916"/>
  <c r="BJ517" i="23916"/>
  <c r="BH520" i="23916"/>
  <c r="BH517" i="23916"/>
  <c r="BF520" i="23916"/>
  <c r="BF517" i="23916"/>
  <c r="BD520" i="23916"/>
  <c r="BD517" i="23916"/>
  <c r="BB520" i="23916"/>
  <c r="BB517" i="23916"/>
  <c r="AZ520" i="23916"/>
  <c r="AZ517" i="23916"/>
  <c r="AX520" i="23916"/>
  <c r="AX518" i="23916"/>
  <c r="AX517" i="23916"/>
  <c r="AV520" i="23916"/>
  <c r="AV518" i="23916"/>
  <c r="AV517" i="23916"/>
  <c r="AT520" i="23916"/>
  <c r="AT518" i="23916"/>
  <c r="AT517" i="23916"/>
  <c r="AR520" i="23916"/>
  <c r="AR518" i="23916"/>
  <c r="AR517" i="23916"/>
  <c r="AP520" i="23916"/>
  <c r="AP518" i="23916"/>
  <c r="AP517" i="23916"/>
  <c r="AN520" i="23916"/>
  <c r="AN518" i="23916"/>
  <c r="AN517" i="23916"/>
  <c r="AL520" i="23916"/>
  <c r="AL518" i="23916"/>
  <c r="AL517" i="23916"/>
  <c r="AJ520" i="23916"/>
  <c r="AJ518" i="23916"/>
  <c r="AJ517" i="23916"/>
  <c r="AH520" i="23916"/>
  <c r="AH518" i="23916"/>
  <c r="AH517" i="23916"/>
  <c r="AF520" i="23916"/>
  <c r="AF518" i="23916"/>
  <c r="AF517" i="23916"/>
  <c r="AD520" i="23916"/>
  <c r="AD518" i="23916"/>
  <c r="AD517" i="23916"/>
  <c r="AB520" i="23916"/>
  <c r="AB518" i="23916"/>
  <c r="AB517" i="23916"/>
  <c r="Z520" i="23916"/>
  <c r="Z518" i="23916"/>
  <c r="Z517" i="23916"/>
  <c r="X520" i="23916"/>
  <c r="X518" i="23916"/>
  <c r="X517" i="23916"/>
  <c r="V520" i="23916"/>
  <c r="V518" i="23916"/>
  <c r="V517" i="23916"/>
  <c r="T520" i="23916"/>
  <c r="T518" i="23916"/>
  <c r="T517" i="23916"/>
  <c r="R520" i="23916"/>
  <c r="R518" i="23916"/>
  <c r="R517" i="23916"/>
  <c r="P520" i="23916"/>
  <c r="P518" i="23916"/>
  <c r="P517" i="23916"/>
  <c r="N520" i="23916"/>
  <c r="N518" i="23916"/>
  <c r="N517" i="23916"/>
  <c r="EX519" i="23916"/>
  <c r="FA519" i="23916" s="1"/>
  <c r="EX518" i="23916"/>
  <c r="EV519" i="23916"/>
  <c r="EV521" i="23916" s="1"/>
  <c r="EI519" i="23916"/>
  <c r="EI521" i="23916" s="1"/>
  <c r="EI518" i="23916"/>
  <c r="EG518" i="23916"/>
  <c r="EE519" i="23916"/>
  <c r="EE521" i="23916" s="1"/>
  <c r="EE518" i="23916"/>
  <c r="EC518" i="23916"/>
  <c r="EA519" i="23916"/>
  <c r="EA521" i="23916" s="1"/>
  <c r="EA518" i="23916"/>
  <c r="DY518" i="23916"/>
  <c r="DW519" i="23916"/>
  <c r="DW521" i="23916" s="1"/>
  <c r="DW518" i="23916"/>
  <c r="DU518" i="23916"/>
  <c r="DS519" i="23916"/>
  <c r="DS521" i="23916" s="1"/>
  <c r="DS518" i="23916"/>
  <c r="DQ518" i="23916"/>
  <c r="DO519" i="23916"/>
  <c r="DO521" i="23916" s="1"/>
  <c r="DO518" i="23916"/>
  <c r="DM518" i="23916"/>
  <c r="DK519" i="23916"/>
  <c r="DK521" i="23916" s="1"/>
  <c r="DK518" i="23916"/>
  <c r="DI518" i="23916"/>
  <c r="DG519" i="23916"/>
  <c r="DG521" i="23916" s="1"/>
  <c r="DG518" i="23916"/>
  <c r="DE518" i="23916"/>
  <c r="DC519" i="23916"/>
  <c r="DC521" i="23916" s="1"/>
  <c r="DC518" i="23916"/>
  <c r="DA518" i="23916"/>
  <c r="CY519" i="23916"/>
  <c r="CY521" i="23916" s="1"/>
  <c r="CY518" i="23916"/>
  <c r="CW518" i="23916"/>
  <c r="CU519" i="23916"/>
  <c r="CU521" i="23916" s="1"/>
  <c r="CU518" i="23916"/>
  <c r="CS518" i="23916"/>
  <c r="CQ519" i="23916"/>
  <c r="CQ521" i="23916" s="1"/>
  <c r="CQ518" i="23916"/>
  <c r="CO518" i="23916"/>
  <c r="CM519" i="23916"/>
  <c r="CM521" i="23916" s="1"/>
  <c r="CM518" i="23916"/>
  <c r="CK518" i="23916"/>
  <c r="CI519" i="23916"/>
  <c r="CI521" i="23916" s="1"/>
  <c r="CI518" i="23916"/>
  <c r="CG518" i="23916"/>
  <c r="CE519" i="23916"/>
  <c r="CE521" i="23916" s="1"/>
  <c r="CE518" i="23916"/>
  <c r="CC518" i="23916"/>
  <c r="CA519" i="23916"/>
  <c r="CA521" i="23916" s="1"/>
  <c r="CA518" i="23916"/>
  <c r="BY518" i="23916"/>
  <c r="BW519" i="23916"/>
  <c r="BW521" i="23916" s="1"/>
  <c r="BW518" i="23916"/>
  <c r="BU518" i="23916"/>
  <c r="BS519" i="23916"/>
  <c r="BS521" i="23916" s="1"/>
  <c r="BS518" i="23916"/>
  <c r="BQ518" i="23916"/>
  <c r="BO519" i="23916"/>
  <c r="BO521" i="23916" s="1"/>
  <c r="BO518" i="23916"/>
  <c r="BM518" i="23916"/>
  <c r="BK519" i="23916"/>
  <c r="BK521" i="23916" s="1"/>
  <c r="BK518" i="23916"/>
  <c r="BI518" i="23916"/>
  <c r="BG519" i="23916"/>
  <c r="BG521" i="23916" s="1"/>
  <c r="BG518" i="23916"/>
  <c r="BE518" i="23916"/>
  <c r="BC519" i="23916"/>
  <c r="BC521" i="23916" s="1"/>
  <c r="BC518" i="23916"/>
  <c r="BA518" i="23916"/>
  <c r="AY519" i="23916"/>
  <c r="AY521" i="23916" s="1"/>
  <c r="AY518" i="23916"/>
  <c r="AW519" i="23916"/>
  <c r="AX519" i="23916" s="1"/>
  <c r="AU519" i="23916"/>
  <c r="AU521" i="23916" s="1"/>
  <c r="AS519" i="23916"/>
  <c r="AT519" i="23916" s="1"/>
  <c r="AQ519" i="23916"/>
  <c r="AQ521" i="23916" s="1"/>
  <c r="AO519" i="23916"/>
  <c r="AP519" i="23916" s="1"/>
  <c r="AM519" i="23916"/>
  <c r="AM521" i="23916" s="1"/>
  <c r="AK519" i="23916"/>
  <c r="AL519" i="23916" s="1"/>
  <c r="AI519" i="23916"/>
  <c r="AI521" i="23916" s="1"/>
  <c r="AG519" i="23916"/>
  <c r="AH519" i="23916" s="1"/>
  <c r="AE519" i="23916"/>
  <c r="AE521" i="23916" s="1"/>
  <c r="AC519" i="23916"/>
  <c r="AD519" i="23916" s="1"/>
  <c r="AA519" i="23916"/>
  <c r="AA521" i="23916" s="1"/>
  <c r="Y519" i="23916"/>
  <c r="Z519" i="23916" s="1"/>
  <c r="W519" i="23916"/>
  <c r="W521" i="23916" s="1"/>
  <c r="U519" i="23916"/>
  <c r="V519" i="23916" s="1"/>
  <c r="S519" i="23916"/>
  <c r="S521" i="23916" s="1"/>
  <c r="Q519" i="23916"/>
  <c r="R519" i="23916" s="1"/>
  <c r="O519" i="23916"/>
  <c r="O521" i="23916" s="1"/>
  <c r="M519" i="23916"/>
  <c r="N519" i="23916" s="1"/>
  <c r="K519" i="23916"/>
  <c r="K521" i="23916" s="1"/>
  <c r="I519" i="23916"/>
  <c r="I521" i="23916" s="1"/>
  <c r="G519" i="23916"/>
  <c r="G521" i="23916" s="1"/>
  <c r="G522" i="23916" s="1"/>
  <c r="G523" i="23916" s="1"/>
  <c r="E519" i="23916"/>
  <c r="E521" i="23916" s="1"/>
  <c r="EK520" i="23916"/>
  <c r="EM520" i="23916" s="1"/>
  <c r="EJ520" i="23916"/>
  <c r="EJ518" i="23916"/>
  <c r="EK517" i="23916"/>
  <c r="EL517" i="23916" s="1"/>
  <c r="EJ517" i="23916"/>
  <c r="EI514" i="23916"/>
  <c r="EI513" i="23916"/>
  <c r="EG513" i="23916"/>
  <c r="EG514" i="23916" s="1"/>
  <c r="EE514" i="23916"/>
  <c r="EE513" i="23916"/>
  <c r="EC513" i="23916"/>
  <c r="EA514" i="23916"/>
  <c r="EA513" i="23916"/>
  <c r="DY513" i="23916"/>
  <c r="DW514" i="23916"/>
  <c r="DW513" i="23916"/>
  <c r="DU513" i="23916"/>
  <c r="DS514" i="23916"/>
  <c r="DS513" i="23916"/>
  <c r="DQ513" i="23916"/>
  <c r="DO514" i="23916"/>
  <c r="DO513" i="23916"/>
  <c r="DM513" i="23916"/>
  <c r="DK514" i="23916"/>
  <c r="DK513" i="23916"/>
  <c r="DI513" i="23916"/>
  <c r="DG514" i="23916"/>
  <c r="DG513" i="23916"/>
  <c r="DE513" i="23916"/>
  <c r="DC514" i="23916"/>
  <c r="DC513" i="23916"/>
  <c r="DA513" i="23916"/>
  <c r="CY514" i="23916"/>
  <c r="CY513" i="23916"/>
  <c r="CW513" i="23916"/>
  <c r="CU514" i="23916"/>
  <c r="CU513" i="23916"/>
  <c r="CS513" i="23916"/>
  <c r="CQ514" i="23916"/>
  <c r="CQ513" i="23916"/>
  <c r="CO513" i="23916"/>
  <c r="CM514" i="23916"/>
  <c r="CM513" i="23916"/>
  <c r="CI513" i="23916"/>
  <c r="CG513" i="23916"/>
  <c r="CE514" i="23916"/>
  <c r="CE513" i="23916"/>
  <c r="CC513" i="23916"/>
  <c r="CA514" i="23916"/>
  <c r="CA513" i="23916"/>
  <c r="BY513" i="23916"/>
  <c r="BW514" i="23916"/>
  <c r="BW513" i="23916"/>
  <c r="BU513" i="23916"/>
  <c r="BU514" i="23916" s="1"/>
  <c r="BS514" i="23916"/>
  <c r="BS513" i="23916"/>
  <c r="BQ513" i="23916"/>
  <c r="BQ514" i="23916" s="1"/>
  <c r="BO514" i="23916"/>
  <c r="BO513" i="23916"/>
  <c r="BI513" i="23916"/>
  <c r="BI514" i="23916" s="1"/>
  <c r="BM514" i="23916"/>
  <c r="BM513" i="23916"/>
  <c r="BL513" i="23916"/>
  <c r="BK513" i="23916"/>
  <c r="BK514" i="23916" s="1"/>
  <c r="BE514" i="23916"/>
  <c r="BF514" i="23916" s="1"/>
  <c r="BA514" i="23916"/>
  <c r="BB514" i="23916" s="1"/>
  <c r="AW514" i="23916"/>
  <c r="AX514" i="23916" s="1"/>
  <c r="AS514" i="23916"/>
  <c r="AT514" i="23916" s="1"/>
  <c r="AO514" i="23916"/>
  <c r="AP514" i="23916" s="1"/>
  <c r="AK514" i="23916"/>
  <c r="AL514" i="23916" s="1"/>
  <c r="AG514" i="23916"/>
  <c r="AH514" i="23916" s="1"/>
  <c r="AC514" i="23916"/>
  <c r="AD514" i="23916" s="1"/>
  <c r="Y514" i="23916"/>
  <c r="Z514" i="23916" s="1"/>
  <c r="U514" i="23916"/>
  <c r="V514" i="23916" s="1"/>
  <c r="Q514" i="23916"/>
  <c r="R514" i="23916" s="1"/>
  <c r="M514" i="23916"/>
  <c r="N514" i="23916" s="1"/>
  <c r="BG513" i="23916"/>
  <c r="BG514" i="23916" s="1"/>
  <c r="BE513" i="23916"/>
  <c r="BF513" i="23916" s="1"/>
  <c r="BD513" i="23916"/>
  <c r="BC513" i="23916"/>
  <c r="BC514" i="23916" s="1"/>
  <c r="BD514" i="23916" s="1"/>
  <c r="BA513" i="23916"/>
  <c r="BB513" i="23916" s="1"/>
  <c r="AZ513" i="23916"/>
  <c r="AY513" i="23916"/>
  <c r="AY514" i="23916" s="1"/>
  <c r="AZ514" i="23916" s="1"/>
  <c r="AW513" i="23916"/>
  <c r="AX513" i="23916" s="1"/>
  <c r="AV513" i="23916"/>
  <c r="AU513" i="23916"/>
  <c r="AU514" i="23916" s="1"/>
  <c r="AS513" i="23916"/>
  <c r="AT513" i="23916" s="1"/>
  <c r="AR513" i="23916"/>
  <c r="AQ513" i="23916"/>
  <c r="AQ514" i="23916" s="1"/>
  <c r="AO513" i="23916"/>
  <c r="AP513" i="23916" s="1"/>
  <c r="AN513" i="23916"/>
  <c r="AM513" i="23916"/>
  <c r="AM514" i="23916" s="1"/>
  <c r="AN514" i="23916" s="1"/>
  <c r="AK513" i="23916"/>
  <c r="AL513" i="23916" s="1"/>
  <c r="AJ513" i="23916"/>
  <c r="AI513" i="23916"/>
  <c r="AI514" i="23916" s="1"/>
  <c r="AJ514" i="23916" s="1"/>
  <c r="AG513" i="23916"/>
  <c r="AH513" i="23916" s="1"/>
  <c r="AF513" i="23916"/>
  <c r="AE513" i="23916"/>
  <c r="AE514" i="23916" s="1"/>
  <c r="AC513" i="23916"/>
  <c r="AD513" i="23916" s="1"/>
  <c r="AB513" i="23916"/>
  <c r="AA513" i="23916"/>
  <c r="AA514" i="23916" s="1"/>
  <c r="Y513" i="23916"/>
  <c r="Z513" i="23916" s="1"/>
  <c r="X513" i="23916"/>
  <c r="W513" i="23916"/>
  <c r="W514" i="23916" s="1"/>
  <c r="X514" i="23916" s="1"/>
  <c r="U513" i="23916"/>
  <c r="V513" i="23916" s="1"/>
  <c r="T513" i="23916"/>
  <c r="S513" i="23916"/>
  <c r="S514" i="23916" s="1"/>
  <c r="T514" i="23916" s="1"/>
  <c r="Q513" i="23916"/>
  <c r="R513" i="23916" s="1"/>
  <c r="P513" i="23916"/>
  <c r="O513" i="23916"/>
  <c r="O514" i="23916" s="1"/>
  <c r="P514" i="23916" s="1"/>
  <c r="M513" i="23916"/>
  <c r="N513" i="23916" s="1"/>
  <c r="BL512" i="23916"/>
  <c r="BF512" i="23916"/>
  <c r="BD512" i="23916"/>
  <c r="BB512" i="23916"/>
  <c r="AZ512" i="23916"/>
  <c r="AX512" i="23916"/>
  <c r="AV512" i="23916"/>
  <c r="AT512" i="23916"/>
  <c r="AR512" i="23916"/>
  <c r="AP512" i="23916"/>
  <c r="AN512" i="23916"/>
  <c r="AL512" i="23916"/>
  <c r="AJ512" i="23916"/>
  <c r="AH512" i="23916"/>
  <c r="AF512" i="23916"/>
  <c r="AD512" i="23916"/>
  <c r="AB512" i="23916"/>
  <c r="Z512" i="23916"/>
  <c r="X512" i="23916"/>
  <c r="V512" i="23916"/>
  <c r="T512" i="23916"/>
  <c r="R512" i="23916"/>
  <c r="P512" i="23916"/>
  <c r="N512" i="23916"/>
  <c r="EV510" i="23916"/>
  <c r="EV557" i="23916" s="1"/>
  <c r="EV507" i="23916"/>
  <c r="EV508" i="23916" s="1"/>
  <c r="EV509" i="23916" s="1"/>
  <c r="K510" i="23916"/>
  <c r="K557" i="23916" s="1"/>
  <c r="K507" i="23916"/>
  <c r="K508" i="23916" s="1"/>
  <c r="K509" i="23916" s="1"/>
  <c r="I510" i="23916"/>
  <c r="I557" i="23916" s="1"/>
  <c r="I507" i="23916"/>
  <c r="I508" i="23916" s="1"/>
  <c r="I509" i="23916" s="1"/>
  <c r="G510" i="23916"/>
  <c r="G557" i="23916" s="1"/>
  <c r="G507" i="23916"/>
  <c r="G508" i="23916" s="1"/>
  <c r="G509" i="23916" s="1"/>
  <c r="E510" i="23916"/>
  <c r="E557" i="23916" s="1"/>
  <c r="E507" i="23916"/>
  <c r="E508" i="23916" s="1"/>
  <c r="E509" i="23916" s="1"/>
  <c r="EX510" i="23916"/>
  <c r="EX557" i="23916" s="1"/>
  <c r="EX507" i="23916"/>
  <c r="EY507" i="23916" s="1"/>
  <c r="EJ510" i="23916"/>
  <c r="EI510" i="23916"/>
  <c r="EI557" i="23916" s="1"/>
  <c r="EG510" i="23916"/>
  <c r="EG557" i="23916" s="1"/>
  <c r="EF510" i="23916"/>
  <c r="EE510" i="23916"/>
  <c r="EE557" i="23916" s="1"/>
  <c r="EC510" i="23916"/>
  <c r="ED510" i="23916" s="1"/>
  <c r="EB510" i="23916"/>
  <c r="EA510" i="23916"/>
  <c r="EA557" i="23916" s="1"/>
  <c r="DY510" i="23916"/>
  <c r="DY557" i="23916" s="1"/>
  <c r="DX510" i="23916"/>
  <c r="DW510" i="23916"/>
  <c r="DW557" i="23916" s="1"/>
  <c r="DU510" i="23916"/>
  <c r="DU557" i="23916" s="1"/>
  <c r="DT510" i="23916"/>
  <c r="DS510" i="23916"/>
  <c r="DS557" i="23916" s="1"/>
  <c r="DQ510" i="23916"/>
  <c r="DQ557" i="23916" s="1"/>
  <c r="DP510" i="23916"/>
  <c r="DO510" i="23916"/>
  <c r="DO557" i="23916" s="1"/>
  <c r="DM510" i="23916"/>
  <c r="DM557" i="23916" s="1"/>
  <c r="DL510" i="23916"/>
  <c r="DK510" i="23916"/>
  <c r="DK557" i="23916" s="1"/>
  <c r="DI510" i="23916"/>
  <c r="DJ510" i="23916" s="1"/>
  <c r="DH510" i="23916"/>
  <c r="DG510" i="23916"/>
  <c r="DG557" i="23916" s="1"/>
  <c r="DE510" i="23916"/>
  <c r="DE557" i="23916" s="1"/>
  <c r="DD510" i="23916"/>
  <c r="DC510" i="23916"/>
  <c r="DC557" i="23916" s="1"/>
  <c r="DA510" i="23916"/>
  <c r="DA557" i="23916" s="1"/>
  <c r="CZ510" i="23916"/>
  <c r="CY510" i="23916"/>
  <c r="CY557" i="23916" s="1"/>
  <c r="CW510" i="23916"/>
  <c r="CW557" i="23916" s="1"/>
  <c r="CV510" i="23916"/>
  <c r="CU510" i="23916"/>
  <c r="CU557" i="23916" s="1"/>
  <c r="CS510" i="23916"/>
  <c r="CS557" i="23916" s="1"/>
  <c r="CR510" i="23916"/>
  <c r="CQ510" i="23916"/>
  <c r="CQ557" i="23916" s="1"/>
  <c r="CO510" i="23916"/>
  <c r="CO557" i="23916" s="1"/>
  <c r="CN510" i="23916"/>
  <c r="CM510" i="23916"/>
  <c r="CM557" i="23916" s="1"/>
  <c r="CK510" i="23916"/>
  <c r="CK557" i="23916" s="1"/>
  <c r="CJ510" i="23916"/>
  <c r="CI510" i="23916"/>
  <c r="CG510" i="23916"/>
  <c r="CG557" i="23916" s="1"/>
  <c r="CF510" i="23916"/>
  <c r="CE510" i="23916"/>
  <c r="CE557" i="23916" s="1"/>
  <c r="CC510" i="23916"/>
  <c r="CC557" i="23916" s="1"/>
  <c r="CB510" i="23916"/>
  <c r="CA510" i="23916"/>
  <c r="CA557" i="23916" s="1"/>
  <c r="BY510" i="23916"/>
  <c r="BY557" i="23916" s="1"/>
  <c r="BX510" i="23916"/>
  <c r="BW510" i="23916"/>
  <c r="BW557" i="23916" s="1"/>
  <c r="BU510" i="23916"/>
  <c r="BU557" i="23916" s="1"/>
  <c r="BT510" i="23916"/>
  <c r="BS510" i="23916"/>
  <c r="BS557" i="23916" s="1"/>
  <c r="BQ510" i="23916"/>
  <c r="BQ557" i="23916" s="1"/>
  <c r="BP510" i="23916"/>
  <c r="BO510" i="23916"/>
  <c r="BO557" i="23916" s="1"/>
  <c r="BM510" i="23916"/>
  <c r="BM557" i="23916" s="1"/>
  <c r="BL510" i="23916"/>
  <c r="BK510" i="23916"/>
  <c r="BK557" i="23916" s="1"/>
  <c r="BI510" i="23916"/>
  <c r="BI557" i="23916" s="1"/>
  <c r="BH510" i="23916"/>
  <c r="BG510" i="23916"/>
  <c r="BG557" i="23916" s="1"/>
  <c r="BE510" i="23916"/>
  <c r="BE557" i="23916" s="1"/>
  <c r="BD510" i="23916"/>
  <c r="BC510" i="23916"/>
  <c r="BC557" i="23916" s="1"/>
  <c r="BA510" i="23916"/>
  <c r="BA557" i="23916" s="1"/>
  <c r="AZ510" i="23916"/>
  <c r="AY510" i="23916"/>
  <c r="AY557" i="23916" s="1"/>
  <c r="AW510" i="23916"/>
  <c r="AW557" i="23916" s="1"/>
  <c r="AV510" i="23916"/>
  <c r="AU510" i="23916"/>
  <c r="AU557" i="23916" s="1"/>
  <c r="AS510" i="23916"/>
  <c r="AS557" i="23916" s="1"/>
  <c r="AR510" i="23916"/>
  <c r="AQ510" i="23916"/>
  <c r="AQ557" i="23916" s="1"/>
  <c r="AO510" i="23916"/>
  <c r="AO557" i="23916" s="1"/>
  <c r="AN510" i="23916"/>
  <c r="AM510" i="23916"/>
  <c r="AM557" i="23916" s="1"/>
  <c r="AK510" i="23916"/>
  <c r="AK557" i="23916" s="1"/>
  <c r="AJ510" i="23916"/>
  <c r="AI510" i="23916"/>
  <c r="AI557" i="23916" s="1"/>
  <c r="AG510" i="23916"/>
  <c r="AG557" i="23916" s="1"/>
  <c r="AF510" i="23916"/>
  <c r="AE510" i="23916"/>
  <c r="AE557" i="23916" s="1"/>
  <c r="AC510" i="23916"/>
  <c r="AC557" i="23916" s="1"/>
  <c r="AB510" i="23916"/>
  <c r="AA510" i="23916"/>
  <c r="AA557" i="23916" s="1"/>
  <c r="Y510" i="23916"/>
  <c r="Y557" i="23916" s="1"/>
  <c r="X510" i="23916"/>
  <c r="W510" i="23916"/>
  <c r="W557" i="23916" s="1"/>
  <c r="U510" i="23916"/>
  <c r="U557" i="23916" s="1"/>
  <c r="T510" i="23916"/>
  <c r="S510" i="23916"/>
  <c r="S557" i="23916" s="1"/>
  <c r="Q510" i="23916"/>
  <c r="Q557" i="23916" s="1"/>
  <c r="P510" i="23916"/>
  <c r="O510" i="23916"/>
  <c r="O557" i="23916" s="1"/>
  <c r="M510" i="23916"/>
  <c r="M557" i="23916" s="1"/>
  <c r="EB509" i="23916"/>
  <c r="DL509" i="23916"/>
  <c r="CV509" i="23916"/>
  <c r="CF509" i="23916"/>
  <c r="BP509" i="23916"/>
  <c r="EJ508" i="23916"/>
  <c r="DT508" i="23916"/>
  <c r="DD508" i="23916"/>
  <c r="CN508" i="23916"/>
  <c r="BX508" i="23916"/>
  <c r="BH508" i="23916"/>
  <c r="AR508" i="23916"/>
  <c r="AB508" i="23916"/>
  <c r="M508" i="23916"/>
  <c r="EN507" i="23916"/>
  <c r="EM507" i="23916"/>
  <c r="EK507" i="23916"/>
  <c r="EJ507" i="23916"/>
  <c r="EI507" i="23916"/>
  <c r="EI508" i="23916" s="1"/>
  <c r="EI509" i="23916" s="1"/>
  <c r="EJ509" i="23916" s="1"/>
  <c r="EG507" i="23916"/>
  <c r="EF507" i="23916"/>
  <c r="EE507" i="23916"/>
  <c r="EE508" i="23916" s="1"/>
  <c r="EE509" i="23916" s="1"/>
  <c r="EC507" i="23916"/>
  <c r="EB507" i="23916"/>
  <c r="EA507" i="23916"/>
  <c r="EA508" i="23916" s="1"/>
  <c r="EA509" i="23916" s="1"/>
  <c r="DY507" i="23916"/>
  <c r="DX507" i="23916"/>
  <c r="DW507" i="23916"/>
  <c r="DW508" i="23916" s="1"/>
  <c r="DW509" i="23916" s="1"/>
  <c r="EF509" i="23916" s="1"/>
  <c r="DU507" i="23916"/>
  <c r="DT507" i="23916"/>
  <c r="DS507" i="23916"/>
  <c r="DS508" i="23916" s="1"/>
  <c r="DS509" i="23916" s="1"/>
  <c r="DT509" i="23916" s="1"/>
  <c r="DQ507" i="23916"/>
  <c r="DP507" i="23916"/>
  <c r="DO507" i="23916"/>
  <c r="DO508" i="23916" s="1"/>
  <c r="DO509" i="23916" s="1"/>
  <c r="DM507" i="23916"/>
  <c r="DL507" i="23916"/>
  <c r="DK507" i="23916"/>
  <c r="DK508" i="23916" s="1"/>
  <c r="DK509" i="23916" s="1"/>
  <c r="DI507" i="23916"/>
  <c r="DH507" i="23916"/>
  <c r="DG507" i="23916"/>
  <c r="DG508" i="23916" s="1"/>
  <c r="DG509" i="23916" s="1"/>
  <c r="DP509" i="23916" s="1"/>
  <c r="DE507" i="23916"/>
  <c r="DD507" i="23916"/>
  <c r="DC507" i="23916"/>
  <c r="DC508" i="23916" s="1"/>
  <c r="DC509" i="23916" s="1"/>
  <c r="DD509" i="23916" s="1"/>
  <c r="DA507" i="23916"/>
  <c r="CZ507" i="23916"/>
  <c r="CY507" i="23916"/>
  <c r="CY508" i="23916" s="1"/>
  <c r="CY509" i="23916" s="1"/>
  <c r="CW507" i="23916"/>
  <c r="CV507" i="23916"/>
  <c r="CU507" i="23916"/>
  <c r="CU508" i="23916" s="1"/>
  <c r="CU509" i="23916" s="1"/>
  <c r="CS507" i="23916"/>
  <c r="CR507" i="23916"/>
  <c r="CQ507" i="23916"/>
  <c r="CQ508" i="23916" s="1"/>
  <c r="CQ509" i="23916" s="1"/>
  <c r="CZ509" i="23916" s="1"/>
  <c r="CO507" i="23916"/>
  <c r="CN507" i="23916"/>
  <c r="CM507" i="23916"/>
  <c r="CM508" i="23916" s="1"/>
  <c r="CM509" i="23916" s="1"/>
  <c r="CN509" i="23916" s="1"/>
  <c r="CK507" i="23916"/>
  <c r="CJ507" i="23916"/>
  <c r="CI507" i="23916"/>
  <c r="CI508" i="23916" s="1"/>
  <c r="CI509" i="23916" s="1"/>
  <c r="CG507" i="23916"/>
  <c r="CF507" i="23916"/>
  <c r="CE507" i="23916"/>
  <c r="CE508" i="23916" s="1"/>
  <c r="CE509" i="23916" s="1"/>
  <c r="CC507" i="23916"/>
  <c r="CB507" i="23916"/>
  <c r="CA507" i="23916"/>
  <c r="CA508" i="23916" s="1"/>
  <c r="CA509" i="23916" s="1"/>
  <c r="CJ509" i="23916" s="1"/>
  <c r="BY507" i="23916"/>
  <c r="BX507" i="23916"/>
  <c r="BW507" i="23916"/>
  <c r="BW508" i="23916" s="1"/>
  <c r="BW509" i="23916" s="1"/>
  <c r="BX509" i="23916" s="1"/>
  <c r="BU507" i="23916"/>
  <c r="BT507" i="23916"/>
  <c r="BS507" i="23916"/>
  <c r="BS508" i="23916" s="1"/>
  <c r="BS509" i="23916" s="1"/>
  <c r="BQ507" i="23916"/>
  <c r="BP507" i="23916"/>
  <c r="BO507" i="23916"/>
  <c r="BO508" i="23916" s="1"/>
  <c r="BO509" i="23916" s="1"/>
  <c r="BM507" i="23916"/>
  <c r="BL507" i="23916"/>
  <c r="BK507" i="23916"/>
  <c r="BK508" i="23916" s="1"/>
  <c r="BK509" i="23916" s="1"/>
  <c r="BT509" i="23916" s="1"/>
  <c r="BI507" i="23916"/>
  <c r="BH507" i="23916"/>
  <c r="BG507" i="23916"/>
  <c r="BG508" i="23916" s="1"/>
  <c r="BG509" i="23916" s="1"/>
  <c r="BH509" i="23916" s="1"/>
  <c r="BE507" i="23916"/>
  <c r="BD507" i="23916"/>
  <c r="BC507" i="23916"/>
  <c r="BC508" i="23916" s="1"/>
  <c r="BC509" i="23916" s="1"/>
  <c r="BA507" i="23916"/>
  <c r="AZ507" i="23916"/>
  <c r="AY507" i="23916"/>
  <c r="AY508" i="23916" s="1"/>
  <c r="AY509" i="23916" s="1"/>
  <c r="AW507" i="23916"/>
  <c r="AV507" i="23916"/>
  <c r="AU507" i="23916"/>
  <c r="AU508" i="23916" s="1"/>
  <c r="AU509" i="23916" s="1"/>
  <c r="BD509" i="23916" s="1"/>
  <c r="AS507" i="23916"/>
  <c r="AR507" i="23916"/>
  <c r="AQ507" i="23916"/>
  <c r="AQ508" i="23916" s="1"/>
  <c r="AQ509" i="23916" s="1"/>
  <c r="AZ509" i="23916" s="1"/>
  <c r="AO507" i="23916"/>
  <c r="AN507" i="23916"/>
  <c r="AM507" i="23916"/>
  <c r="AM508" i="23916" s="1"/>
  <c r="AM509" i="23916" s="1"/>
  <c r="AK507" i="23916"/>
  <c r="AJ507" i="23916"/>
  <c r="AI507" i="23916"/>
  <c r="AI508" i="23916" s="1"/>
  <c r="AI509" i="23916" s="1"/>
  <c r="AJ509" i="23916" s="1"/>
  <c r="AG507" i="23916"/>
  <c r="AF507" i="23916"/>
  <c r="AE507" i="23916"/>
  <c r="AE508" i="23916" s="1"/>
  <c r="AE509" i="23916" s="1"/>
  <c r="AN509" i="23916" s="1"/>
  <c r="AC507" i="23916"/>
  <c r="AB507" i="23916"/>
  <c r="AA507" i="23916"/>
  <c r="AA508" i="23916" s="1"/>
  <c r="AA509" i="23916" s="1"/>
  <c r="AB509" i="23916" s="1"/>
  <c r="Y507" i="23916"/>
  <c r="X507" i="23916"/>
  <c r="W507" i="23916"/>
  <c r="W508" i="23916" s="1"/>
  <c r="W509" i="23916" s="1"/>
  <c r="U507" i="23916"/>
  <c r="T507" i="23916"/>
  <c r="S507" i="23916"/>
  <c r="S508" i="23916" s="1"/>
  <c r="S509" i="23916" s="1"/>
  <c r="T509" i="23916" s="1"/>
  <c r="Q507" i="23916"/>
  <c r="P507" i="23916"/>
  <c r="O507" i="23916"/>
  <c r="O508" i="23916" s="1"/>
  <c r="O509" i="23916" s="1"/>
  <c r="X509" i="23916" s="1"/>
  <c r="M507" i="23916"/>
  <c r="N507" i="23916" s="1"/>
  <c r="EY506" i="23916"/>
  <c r="EY504" i="23916"/>
  <c r="EY503" i="23916"/>
  <c r="EY502" i="23916"/>
  <c r="EY501" i="23916"/>
  <c r="EH506" i="23916"/>
  <c r="EH504" i="23916"/>
  <c r="EH503" i="23916"/>
  <c r="EH502" i="23916"/>
  <c r="EH501" i="23916"/>
  <c r="EF506" i="23916"/>
  <c r="EF504" i="23916"/>
  <c r="EF503" i="23916"/>
  <c r="EF502" i="23916"/>
  <c r="EF501" i="23916"/>
  <c r="ED506" i="23916"/>
  <c r="ED504" i="23916"/>
  <c r="ED503" i="23916"/>
  <c r="ED502" i="23916"/>
  <c r="ED501" i="23916"/>
  <c r="EB506" i="23916"/>
  <c r="EB504" i="23916"/>
  <c r="EB503" i="23916"/>
  <c r="EB502" i="23916"/>
  <c r="EB501" i="23916"/>
  <c r="DZ506" i="23916"/>
  <c r="DZ504" i="23916"/>
  <c r="DZ503" i="23916"/>
  <c r="DZ502" i="23916"/>
  <c r="DZ501" i="23916"/>
  <c r="DX506" i="23916"/>
  <c r="DX504" i="23916"/>
  <c r="DX503" i="23916"/>
  <c r="DX502" i="23916"/>
  <c r="DX501" i="23916"/>
  <c r="DV506" i="23916"/>
  <c r="DV504" i="23916"/>
  <c r="DV503" i="23916"/>
  <c r="DV502" i="23916"/>
  <c r="DV501" i="23916"/>
  <c r="DT506" i="23916"/>
  <c r="DT504" i="23916"/>
  <c r="DT503" i="23916"/>
  <c r="DT502" i="23916"/>
  <c r="DT501" i="23916"/>
  <c r="DR506" i="23916"/>
  <c r="DR504" i="23916"/>
  <c r="DR503" i="23916"/>
  <c r="DR502" i="23916"/>
  <c r="DR501" i="23916"/>
  <c r="DP506" i="23916"/>
  <c r="DP504" i="23916"/>
  <c r="DP503" i="23916"/>
  <c r="DP502" i="23916"/>
  <c r="DP501" i="23916"/>
  <c r="DN506" i="23916"/>
  <c r="DN504" i="23916"/>
  <c r="DN503" i="23916"/>
  <c r="DN502" i="23916"/>
  <c r="DN501" i="23916"/>
  <c r="DL506" i="23916"/>
  <c r="DL504" i="23916"/>
  <c r="DL503" i="23916"/>
  <c r="DL502" i="23916"/>
  <c r="DL501" i="23916"/>
  <c r="DJ506" i="23916"/>
  <c r="DJ504" i="23916"/>
  <c r="DJ503" i="23916"/>
  <c r="DJ502" i="23916"/>
  <c r="DJ501" i="23916"/>
  <c r="DH506" i="23916"/>
  <c r="DH504" i="23916"/>
  <c r="DH503" i="23916"/>
  <c r="DH502" i="23916"/>
  <c r="DH501" i="23916"/>
  <c r="DF506" i="23916"/>
  <c r="DF504" i="23916"/>
  <c r="DF503" i="23916"/>
  <c r="DF502" i="23916"/>
  <c r="DF501" i="23916"/>
  <c r="DD506" i="23916"/>
  <c r="DD504" i="23916"/>
  <c r="DD503" i="23916"/>
  <c r="DD502" i="23916"/>
  <c r="DD501" i="23916"/>
  <c r="DB506" i="23916"/>
  <c r="DB504" i="23916"/>
  <c r="DB503" i="23916"/>
  <c r="DB502" i="23916"/>
  <c r="DB501" i="23916"/>
  <c r="CZ506" i="23916"/>
  <c r="CZ504" i="23916"/>
  <c r="CZ503" i="23916"/>
  <c r="CZ502" i="23916"/>
  <c r="CZ501" i="23916"/>
  <c r="CX506" i="23916"/>
  <c r="CX504" i="23916"/>
  <c r="CX503" i="23916"/>
  <c r="CX502" i="23916"/>
  <c r="CX501" i="23916"/>
  <c r="CV506" i="23916"/>
  <c r="CV504" i="23916"/>
  <c r="CV503" i="23916"/>
  <c r="CV502" i="23916"/>
  <c r="CV501" i="23916"/>
  <c r="CT506" i="23916"/>
  <c r="CT504" i="23916"/>
  <c r="CT503" i="23916"/>
  <c r="CT502" i="23916"/>
  <c r="CT501" i="23916"/>
  <c r="CR506" i="23916"/>
  <c r="CR504" i="23916"/>
  <c r="CR503" i="23916"/>
  <c r="CR502" i="23916"/>
  <c r="CR501" i="23916"/>
  <c r="CP506" i="23916"/>
  <c r="CP504" i="23916"/>
  <c r="CP503" i="23916"/>
  <c r="CP502" i="23916"/>
  <c r="CP501" i="23916"/>
  <c r="CN506" i="23916"/>
  <c r="CN504" i="23916"/>
  <c r="CN503" i="23916"/>
  <c r="CN502" i="23916"/>
  <c r="CN501" i="23916"/>
  <c r="CL506" i="23916"/>
  <c r="CL504" i="23916"/>
  <c r="CL503" i="23916"/>
  <c r="CL502" i="23916"/>
  <c r="CL501" i="23916"/>
  <c r="CJ506" i="23916"/>
  <c r="CJ504" i="23916"/>
  <c r="CJ503" i="23916"/>
  <c r="CJ502" i="23916"/>
  <c r="CJ501" i="23916"/>
  <c r="CH506" i="23916"/>
  <c r="CH505" i="23916"/>
  <c r="CH504" i="23916"/>
  <c r="CH503" i="23916"/>
  <c r="CH502" i="23916"/>
  <c r="CH501" i="23916"/>
  <c r="CF506" i="23916"/>
  <c r="CF504" i="23916"/>
  <c r="CF503" i="23916"/>
  <c r="CF502" i="23916"/>
  <c r="CF501" i="23916"/>
  <c r="CD506" i="23916"/>
  <c r="CD504" i="23916"/>
  <c r="CD503" i="23916"/>
  <c r="CD502" i="23916"/>
  <c r="CD501" i="23916"/>
  <c r="CB506" i="23916"/>
  <c r="CB504" i="23916"/>
  <c r="CB503" i="23916"/>
  <c r="CB502" i="23916"/>
  <c r="CB501" i="23916"/>
  <c r="BZ506" i="23916"/>
  <c r="BZ505" i="23916"/>
  <c r="BZ504" i="23916"/>
  <c r="BZ503" i="23916"/>
  <c r="BZ502" i="23916"/>
  <c r="BZ501" i="23916"/>
  <c r="BX506" i="23916"/>
  <c r="BX504" i="23916"/>
  <c r="BX503" i="23916"/>
  <c r="BX502" i="23916"/>
  <c r="BX501" i="23916"/>
  <c r="BV506" i="23916"/>
  <c r="BV504" i="23916"/>
  <c r="BV503" i="23916"/>
  <c r="BV502" i="23916"/>
  <c r="BV501" i="23916"/>
  <c r="BT506" i="23916"/>
  <c r="BT504" i="23916"/>
  <c r="BT503" i="23916"/>
  <c r="BT502" i="23916"/>
  <c r="BT501" i="23916"/>
  <c r="BR506" i="23916"/>
  <c r="BR505" i="23916"/>
  <c r="BR504" i="23916"/>
  <c r="BR503" i="23916"/>
  <c r="BR502" i="23916"/>
  <c r="BR501" i="23916"/>
  <c r="BP506" i="23916"/>
  <c r="BP504" i="23916"/>
  <c r="BP503" i="23916"/>
  <c r="BP502" i="23916"/>
  <c r="BP501" i="23916"/>
  <c r="BN506" i="23916"/>
  <c r="BN504" i="23916"/>
  <c r="BN503" i="23916"/>
  <c r="BN502" i="23916"/>
  <c r="BN501" i="23916"/>
  <c r="BL506" i="23916"/>
  <c r="BL504" i="23916"/>
  <c r="BL503" i="23916"/>
  <c r="BL502" i="23916"/>
  <c r="BL501" i="23916"/>
  <c r="BJ506" i="23916"/>
  <c r="BJ505" i="23916"/>
  <c r="BJ504" i="23916"/>
  <c r="BJ503" i="23916"/>
  <c r="BJ502" i="23916"/>
  <c r="BJ501" i="23916"/>
  <c r="BH506" i="23916"/>
  <c r="BH504" i="23916"/>
  <c r="BH503" i="23916"/>
  <c r="BH502" i="23916"/>
  <c r="BH501" i="23916"/>
  <c r="BF506" i="23916"/>
  <c r="BF504" i="23916"/>
  <c r="BF503" i="23916"/>
  <c r="BF502" i="23916"/>
  <c r="BF501" i="23916"/>
  <c r="BD506" i="23916"/>
  <c r="BD504" i="23916"/>
  <c r="BD503" i="23916"/>
  <c r="BD502" i="23916"/>
  <c r="BD501" i="23916"/>
  <c r="BB506" i="23916"/>
  <c r="BB505" i="23916"/>
  <c r="BB504" i="23916"/>
  <c r="BB503" i="23916"/>
  <c r="BB502" i="23916"/>
  <c r="BB501" i="23916"/>
  <c r="AZ506" i="23916"/>
  <c r="AZ504" i="23916"/>
  <c r="AZ503" i="23916"/>
  <c r="AZ502" i="23916"/>
  <c r="AZ501" i="23916"/>
  <c r="AX506" i="23916"/>
  <c r="AX504" i="23916"/>
  <c r="AX503" i="23916"/>
  <c r="AX502" i="23916"/>
  <c r="AX501" i="23916"/>
  <c r="AV506" i="23916"/>
  <c r="AV504" i="23916"/>
  <c r="AV503" i="23916"/>
  <c r="AV502" i="23916"/>
  <c r="AV501" i="23916"/>
  <c r="AT506" i="23916"/>
  <c r="AT505" i="23916"/>
  <c r="AT504" i="23916"/>
  <c r="AT503" i="23916"/>
  <c r="AT502" i="23916"/>
  <c r="AT501" i="23916"/>
  <c r="AR506" i="23916"/>
  <c r="AR504" i="23916"/>
  <c r="AR503" i="23916"/>
  <c r="AR502" i="23916"/>
  <c r="AR501" i="23916"/>
  <c r="AP506" i="23916"/>
  <c r="AP504" i="23916"/>
  <c r="AP503" i="23916"/>
  <c r="AP502" i="23916"/>
  <c r="AP501" i="23916"/>
  <c r="AN506" i="23916"/>
  <c r="AN504" i="23916"/>
  <c r="AN503" i="23916"/>
  <c r="AN502" i="23916"/>
  <c r="AN501" i="23916"/>
  <c r="AL506" i="23916"/>
  <c r="AL505" i="23916"/>
  <c r="AL504" i="23916"/>
  <c r="AL503" i="23916"/>
  <c r="AL502" i="23916"/>
  <c r="AL501" i="23916"/>
  <c r="AJ506" i="23916"/>
  <c r="AJ504" i="23916"/>
  <c r="AJ503" i="23916"/>
  <c r="AJ502" i="23916"/>
  <c r="AJ501" i="23916"/>
  <c r="AH506" i="23916"/>
  <c r="AH504" i="23916"/>
  <c r="AH503" i="23916"/>
  <c r="AH502" i="23916"/>
  <c r="AH501" i="23916"/>
  <c r="AF506" i="23916"/>
  <c r="AF504" i="23916"/>
  <c r="AF503" i="23916"/>
  <c r="AF502" i="23916"/>
  <c r="AF501" i="23916"/>
  <c r="AD506" i="23916"/>
  <c r="AD505" i="23916"/>
  <c r="AD504" i="23916"/>
  <c r="AD503" i="23916"/>
  <c r="AD502" i="23916"/>
  <c r="AD501" i="23916"/>
  <c r="AB506" i="23916"/>
  <c r="AB504" i="23916"/>
  <c r="AB503" i="23916"/>
  <c r="AB502" i="23916"/>
  <c r="AB501" i="23916"/>
  <c r="Z506" i="23916"/>
  <c r="Z504" i="23916"/>
  <c r="Z503" i="23916"/>
  <c r="Z502" i="23916"/>
  <c r="Z501" i="23916"/>
  <c r="X506" i="23916"/>
  <c r="X504" i="23916"/>
  <c r="X503" i="23916"/>
  <c r="X502" i="23916"/>
  <c r="X501" i="23916"/>
  <c r="V506" i="23916"/>
  <c r="V505" i="23916"/>
  <c r="V504" i="23916"/>
  <c r="V503" i="23916"/>
  <c r="V502" i="23916"/>
  <c r="V501" i="23916"/>
  <c r="T506" i="23916"/>
  <c r="T504" i="23916"/>
  <c r="T503" i="23916"/>
  <c r="T502" i="23916"/>
  <c r="T501" i="23916"/>
  <c r="R506" i="23916"/>
  <c r="R504" i="23916"/>
  <c r="R503" i="23916"/>
  <c r="R502" i="23916"/>
  <c r="R501" i="23916"/>
  <c r="P506" i="23916"/>
  <c r="P504" i="23916"/>
  <c r="P503" i="23916"/>
  <c r="P502" i="23916"/>
  <c r="P501" i="23916"/>
  <c r="N506" i="23916"/>
  <c r="N505" i="23916"/>
  <c r="N504" i="23916"/>
  <c r="N503" i="23916"/>
  <c r="N502" i="23916"/>
  <c r="N501" i="23916"/>
  <c r="EX505" i="23916"/>
  <c r="EY505" i="23916" s="1"/>
  <c r="EV505" i="23916"/>
  <c r="EI505" i="23916"/>
  <c r="EG505" i="23916"/>
  <c r="EH505" i="23916" s="1"/>
  <c r="EE505" i="23916"/>
  <c r="EF505" i="23916" s="1"/>
  <c r="EC505" i="23916"/>
  <c r="ED505" i="23916" s="1"/>
  <c r="EA505" i="23916"/>
  <c r="EB505" i="23916" s="1"/>
  <c r="DY505" i="23916"/>
  <c r="DZ505" i="23916" s="1"/>
  <c r="DW505" i="23916"/>
  <c r="DX505" i="23916" s="1"/>
  <c r="DU505" i="23916"/>
  <c r="DV505" i="23916" s="1"/>
  <c r="DS505" i="23916"/>
  <c r="DT505" i="23916" s="1"/>
  <c r="DQ505" i="23916"/>
  <c r="DR505" i="23916" s="1"/>
  <c r="DO505" i="23916"/>
  <c r="DP505" i="23916" s="1"/>
  <c r="DM505" i="23916"/>
  <c r="DN505" i="23916" s="1"/>
  <c r="DK505" i="23916"/>
  <c r="DL505" i="23916" s="1"/>
  <c r="DI505" i="23916"/>
  <c r="DJ505" i="23916" s="1"/>
  <c r="DG505" i="23916"/>
  <c r="DH505" i="23916" s="1"/>
  <c r="DE505" i="23916"/>
  <c r="DF505" i="23916" s="1"/>
  <c r="DC505" i="23916"/>
  <c r="DD505" i="23916" s="1"/>
  <c r="DA505" i="23916"/>
  <c r="DB505" i="23916" s="1"/>
  <c r="CY505" i="23916"/>
  <c r="CZ505" i="23916" s="1"/>
  <c r="CW505" i="23916"/>
  <c r="CX505" i="23916" s="1"/>
  <c r="CU505" i="23916"/>
  <c r="CV505" i="23916" s="1"/>
  <c r="CS505" i="23916"/>
  <c r="CT505" i="23916" s="1"/>
  <c r="CQ505" i="23916"/>
  <c r="CR505" i="23916" s="1"/>
  <c r="CO505" i="23916"/>
  <c r="CP505" i="23916" s="1"/>
  <c r="CM505" i="23916"/>
  <c r="CN505" i="23916" s="1"/>
  <c r="CK505" i="23916"/>
  <c r="CL505" i="23916" s="1"/>
  <c r="CI505" i="23916"/>
  <c r="CJ505" i="23916" s="1"/>
  <c r="CG505" i="23916"/>
  <c r="CE505" i="23916"/>
  <c r="CF505" i="23916" s="1"/>
  <c r="CC505" i="23916"/>
  <c r="CD505" i="23916" s="1"/>
  <c r="CA505" i="23916"/>
  <c r="CB505" i="23916" s="1"/>
  <c r="BY505" i="23916"/>
  <c r="BW505" i="23916"/>
  <c r="BX505" i="23916" s="1"/>
  <c r="BU505" i="23916"/>
  <c r="BV505" i="23916" s="1"/>
  <c r="BS505" i="23916"/>
  <c r="BT505" i="23916" s="1"/>
  <c r="BQ505" i="23916"/>
  <c r="BO505" i="23916"/>
  <c r="BP505" i="23916" s="1"/>
  <c r="BM505" i="23916"/>
  <c r="BN505" i="23916" s="1"/>
  <c r="BK505" i="23916"/>
  <c r="BL505" i="23916" s="1"/>
  <c r="BI505" i="23916"/>
  <c r="BG505" i="23916"/>
  <c r="BH505" i="23916" s="1"/>
  <c r="BE505" i="23916"/>
  <c r="BF505" i="23916" s="1"/>
  <c r="BC505" i="23916"/>
  <c r="BD505" i="23916" s="1"/>
  <c r="BA505" i="23916"/>
  <c r="AY505" i="23916"/>
  <c r="AZ505" i="23916" s="1"/>
  <c r="AW505" i="23916"/>
  <c r="AX505" i="23916" s="1"/>
  <c r="AU505" i="23916"/>
  <c r="AV505" i="23916" s="1"/>
  <c r="AS505" i="23916"/>
  <c r="AQ505" i="23916"/>
  <c r="AR505" i="23916" s="1"/>
  <c r="AO505" i="23916"/>
  <c r="AP505" i="23916" s="1"/>
  <c r="AM505" i="23916"/>
  <c r="AN505" i="23916" s="1"/>
  <c r="AK505" i="23916"/>
  <c r="AI505" i="23916"/>
  <c r="AJ505" i="23916" s="1"/>
  <c r="AG505" i="23916"/>
  <c r="AH505" i="23916" s="1"/>
  <c r="AE505" i="23916"/>
  <c r="AF505" i="23916" s="1"/>
  <c r="AC505" i="23916"/>
  <c r="AA505" i="23916"/>
  <c r="AB505" i="23916" s="1"/>
  <c r="Y505" i="23916"/>
  <c r="Z505" i="23916" s="1"/>
  <c r="W505" i="23916"/>
  <c r="X505" i="23916" s="1"/>
  <c r="U505" i="23916"/>
  <c r="S505" i="23916"/>
  <c r="T505" i="23916" s="1"/>
  <c r="Q505" i="23916"/>
  <c r="R505" i="23916" s="1"/>
  <c r="O505" i="23916"/>
  <c r="P505" i="23916" s="1"/>
  <c r="M505" i="23916"/>
  <c r="K505" i="23916"/>
  <c r="I505" i="23916"/>
  <c r="G505" i="23916"/>
  <c r="E505" i="23916"/>
  <c r="FA510" i="23916"/>
  <c r="GI507" i="23916"/>
  <c r="GH507" i="23916"/>
  <c r="GF507" i="23916"/>
  <c r="GE507" i="23916"/>
  <c r="GD507" i="23916"/>
  <c r="GG507" i="23916" s="1"/>
  <c r="GB507" i="23916"/>
  <c r="GA507" i="23916"/>
  <c r="FZ507" i="23916"/>
  <c r="GC507" i="23916" s="1"/>
  <c r="FX507" i="23916"/>
  <c r="FW507" i="23916"/>
  <c r="FV507" i="23916"/>
  <c r="FY507" i="23916" s="1"/>
  <c r="FT507" i="23916"/>
  <c r="FS507" i="23916"/>
  <c r="FR507" i="23916"/>
  <c r="FU507" i="23916" s="1"/>
  <c r="FP507" i="23916"/>
  <c r="FO507" i="23916"/>
  <c r="FN507" i="23916"/>
  <c r="FQ507" i="23916" s="1"/>
  <c r="FL507" i="23916"/>
  <c r="FK507" i="23916"/>
  <c r="FJ507" i="23916"/>
  <c r="FM507" i="23916" s="1"/>
  <c r="FH507" i="23916"/>
  <c r="FG507" i="23916"/>
  <c r="FF507" i="23916"/>
  <c r="FI507" i="23916" s="1"/>
  <c r="FD507" i="23916"/>
  <c r="FC507" i="23916"/>
  <c r="FB507" i="23916"/>
  <c r="FE507" i="23916" s="1"/>
  <c r="FA507" i="23916"/>
  <c r="GH506" i="23916"/>
  <c r="GG506" i="23916"/>
  <c r="GF506" i="23916"/>
  <c r="GI506" i="23916" s="1"/>
  <c r="GD506" i="23916"/>
  <c r="GC506" i="23916"/>
  <c r="GB506" i="23916"/>
  <c r="GE506" i="23916" s="1"/>
  <c r="FZ506" i="23916"/>
  <c r="FY506" i="23916"/>
  <c r="FX506" i="23916"/>
  <c r="GA506" i="23916" s="1"/>
  <c r="FV506" i="23916"/>
  <c r="FU506" i="23916"/>
  <c r="FT506" i="23916"/>
  <c r="FW506" i="23916" s="1"/>
  <c r="FR506" i="23916"/>
  <c r="FQ506" i="23916"/>
  <c r="FP506" i="23916"/>
  <c r="FS506" i="23916" s="1"/>
  <c r="FN506" i="23916"/>
  <c r="FM506" i="23916"/>
  <c r="FL506" i="23916"/>
  <c r="FO506" i="23916" s="1"/>
  <c r="FJ506" i="23916"/>
  <c r="FJ522" i="23916" s="1"/>
  <c r="FI506" i="23916"/>
  <c r="FH506" i="23916"/>
  <c r="FK506" i="23916" s="1"/>
  <c r="FF506" i="23916"/>
  <c r="FF522" i="23916" s="1"/>
  <c r="FE506" i="23916"/>
  <c r="FD506" i="23916"/>
  <c r="FG506" i="23916" s="1"/>
  <c r="FC506" i="23916"/>
  <c r="FB506" i="23916"/>
  <c r="FB522" i="23916" s="1"/>
  <c r="FA506" i="23916"/>
  <c r="GH504" i="23916"/>
  <c r="GG504" i="23916"/>
  <c r="GF504" i="23916"/>
  <c r="GI504" i="23916" s="1"/>
  <c r="GD504" i="23916"/>
  <c r="GC504" i="23916"/>
  <c r="GB504" i="23916"/>
  <c r="GE504" i="23916" s="1"/>
  <c r="FZ504" i="23916"/>
  <c r="FY504" i="23916"/>
  <c r="FX504" i="23916"/>
  <c r="GA504" i="23916" s="1"/>
  <c r="FV504" i="23916"/>
  <c r="FU504" i="23916"/>
  <c r="FT504" i="23916"/>
  <c r="FW504" i="23916" s="1"/>
  <c r="FR504" i="23916"/>
  <c r="FQ504" i="23916"/>
  <c r="FP504" i="23916"/>
  <c r="FS504" i="23916" s="1"/>
  <c r="FN504" i="23916"/>
  <c r="FM504" i="23916"/>
  <c r="FL504" i="23916"/>
  <c r="FO504" i="23916" s="1"/>
  <c r="FJ504" i="23916"/>
  <c r="FI504" i="23916"/>
  <c r="FH504" i="23916"/>
  <c r="FK504" i="23916" s="1"/>
  <c r="FF504" i="23916"/>
  <c r="FE504" i="23916"/>
  <c r="FD504" i="23916"/>
  <c r="FG504" i="23916" s="1"/>
  <c r="FC504" i="23916"/>
  <c r="FB504" i="23916"/>
  <c r="FA504" i="23916"/>
  <c r="GI503" i="23916"/>
  <c r="GH503" i="23916"/>
  <c r="GF503" i="23916"/>
  <c r="GE503" i="23916"/>
  <c r="GD503" i="23916"/>
  <c r="GG503" i="23916" s="1"/>
  <c r="GB503" i="23916"/>
  <c r="GA503" i="23916"/>
  <c r="FZ503" i="23916"/>
  <c r="GC503" i="23916" s="1"/>
  <c r="FX503" i="23916"/>
  <c r="FW503" i="23916"/>
  <c r="FV503" i="23916"/>
  <c r="FY503" i="23916" s="1"/>
  <c r="FT503" i="23916"/>
  <c r="FS503" i="23916"/>
  <c r="FR503" i="23916"/>
  <c r="FU503" i="23916" s="1"/>
  <c r="FP503" i="23916"/>
  <c r="FO503" i="23916"/>
  <c r="FN503" i="23916"/>
  <c r="FQ503" i="23916" s="1"/>
  <c r="FL503" i="23916"/>
  <c r="FK503" i="23916"/>
  <c r="FJ503" i="23916"/>
  <c r="FM503" i="23916" s="1"/>
  <c r="FH503" i="23916"/>
  <c r="FG503" i="23916"/>
  <c r="FF503" i="23916"/>
  <c r="FI503" i="23916" s="1"/>
  <c r="FD503" i="23916"/>
  <c r="FC503" i="23916"/>
  <c r="FB503" i="23916"/>
  <c r="FE503" i="23916" s="1"/>
  <c r="FA503" i="23916"/>
  <c r="GH502" i="23916"/>
  <c r="GG502" i="23916"/>
  <c r="GF502" i="23916"/>
  <c r="GI502" i="23916" s="1"/>
  <c r="GD502" i="23916"/>
  <c r="GC502" i="23916"/>
  <c r="GB502" i="23916"/>
  <c r="GE502" i="23916" s="1"/>
  <c r="FZ502" i="23916"/>
  <c r="FY502" i="23916"/>
  <c r="FX502" i="23916"/>
  <c r="GA502" i="23916" s="1"/>
  <c r="FV502" i="23916"/>
  <c r="FU502" i="23916"/>
  <c r="FT502" i="23916"/>
  <c r="FW502" i="23916" s="1"/>
  <c r="FR502" i="23916"/>
  <c r="FQ502" i="23916"/>
  <c r="FP502" i="23916"/>
  <c r="FS502" i="23916" s="1"/>
  <c r="FN502" i="23916"/>
  <c r="FM502" i="23916"/>
  <c r="FL502" i="23916"/>
  <c r="FO502" i="23916" s="1"/>
  <c r="FJ502" i="23916"/>
  <c r="FI502" i="23916"/>
  <c r="FH502" i="23916"/>
  <c r="FK502" i="23916" s="1"/>
  <c r="FF502" i="23916"/>
  <c r="FE502" i="23916"/>
  <c r="FD502" i="23916"/>
  <c r="FG502" i="23916" s="1"/>
  <c r="FC502" i="23916"/>
  <c r="FB502" i="23916"/>
  <c r="FA502" i="23916"/>
  <c r="GI501" i="23916"/>
  <c r="GH501" i="23916"/>
  <c r="GH505" i="23916" s="1"/>
  <c r="GF501" i="23916"/>
  <c r="GE501" i="23916"/>
  <c r="GD501" i="23916"/>
  <c r="GD505" i="23916" s="1"/>
  <c r="GB501" i="23916"/>
  <c r="GA501" i="23916"/>
  <c r="FZ501" i="23916"/>
  <c r="FZ505" i="23916" s="1"/>
  <c r="FX501" i="23916"/>
  <c r="FW501" i="23916"/>
  <c r="FV501" i="23916"/>
  <c r="FV505" i="23916" s="1"/>
  <c r="FT501" i="23916"/>
  <c r="FS501" i="23916"/>
  <c r="FR501" i="23916"/>
  <c r="FR505" i="23916" s="1"/>
  <c r="FP501" i="23916"/>
  <c r="FO501" i="23916"/>
  <c r="FN501" i="23916"/>
  <c r="FN505" i="23916" s="1"/>
  <c r="FL501" i="23916"/>
  <c r="FK501" i="23916"/>
  <c r="FJ501" i="23916"/>
  <c r="FJ505" i="23916" s="1"/>
  <c r="FH501" i="23916"/>
  <c r="FG501" i="23916"/>
  <c r="FF501" i="23916"/>
  <c r="FF505" i="23916" s="1"/>
  <c r="FD501" i="23916"/>
  <c r="FC501" i="23916"/>
  <c r="FB501" i="23916"/>
  <c r="FB505" i="23916" s="1"/>
  <c r="FC505" i="23916" s="1"/>
  <c r="FA501" i="23916"/>
  <c r="EM506" i="23916"/>
  <c r="EL506" i="23916"/>
  <c r="EK506" i="23916"/>
  <c r="EJ506" i="23916"/>
  <c r="EJ505" i="23916"/>
  <c r="EK504" i="23916"/>
  <c r="EL504" i="23916" s="1"/>
  <c r="EJ504" i="23916"/>
  <c r="EL503" i="23916"/>
  <c r="EK503" i="23916"/>
  <c r="EM503" i="23916" s="1"/>
  <c r="EJ503" i="23916"/>
  <c r="EM502" i="23916"/>
  <c r="EN502" i="23916" s="1"/>
  <c r="EL502" i="23916"/>
  <c r="EK502" i="23916"/>
  <c r="EJ502" i="23916"/>
  <c r="EN501" i="23916"/>
  <c r="EM501" i="23916"/>
  <c r="EO501" i="23916" s="1"/>
  <c r="EL501" i="23916"/>
  <c r="EK501" i="23916"/>
  <c r="EJ501" i="23916"/>
  <c r="FI493" i="23916"/>
  <c r="BR493" i="23916"/>
  <c r="BP493" i="23916"/>
  <c r="BN493" i="23916"/>
  <c r="BL493" i="23916"/>
  <c r="BH493" i="23916"/>
  <c r="K490" i="23916"/>
  <c r="I490" i="23916"/>
  <c r="G490" i="23916"/>
  <c r="E490" i="23916"/>
  <c r="EI490" i="23916"/>
  <c r="EG490" i="23916"/>
  <c r="EE490" i="23916"/>
  <c r="EC490" i="23916"/>
  <c r="BY490" i="23916"/>
  <c r="AF490" i="23916"/>
  <c r="AE490" i="23916"/>
  <c r="AB490" i="23916"/>
  <c r="AA490" i="23916"/>
  <c r="Y490" i="23916"/>
  <c r="X490" i="23916"/>
  <c r="W490" i="23916"/>
  <c r="U490" i="23916"/>
  <c r="T490" i="23916"/>
  <c r="S490" i="23916"/>
  <c r="Q490" i="23916"/>
  <c r="R490" i="23916" s="1"/>
  <c r="P490" i="23916"/>
  <c r="O490" i="23916"/>
  <c r="M490" i="23916"/>
  <c r="N490" i="23916" s="1"/>
  <c r="FG485" i="23916"/>
  <c r="FG483" i="23916"/>
  <c r="FE485" i="23916"/>
  <c r="FD485" i="23916"/>
  <c r="FB485" i="23916"/>
  <c r="EJ485" i="23916"/>
  <c r="EH485" i="23916"/>
  <c r="EF485" i="23916"/>
  <c r="ED485" i="23916"/>
  <c r="EB485" i="23916"/>
  <c r="DZ485" i="23916"/>
  <c r="DX485" i="23916"/>
  <c r="DV485" i="23916"/>
  <c r="DT485" i="23916"/>
  <c r="DR485" i="23916"/>
  <c r="DP485" i="23916"/>
  <c r="DN485" i="23916"/>
  <c r="DL485" i="23916"/>
  <c r="DJ485" i="23916"/>
  <c r="DH485" i="23916"/>
  <c r="DF485" i="23916"/>
  <c r="DD485" i="23916"/>
  <c r="DB485" i="23916"/>
  <c r="CZ485" i="23916"/>
  <c r="CX485" i="23916"/>
  <c r="CV485" i="23916"/>
  <c r="CT485" i="23916"/>
  <c r="CR485" i="23916"/>
  <c r="CP485" i="23916"/>
  <c r="CN485" i="23916"/>
  <c r="CL485" i="23916"/>
  <c r="CJ485" i="23916"/>
  <c r="CH485" i="23916"/>
  <c r="CF485" i="23916"/>
  <c r="CD485" i="23916"/>
  <c r="CB485" i="23916"/>
  <c r="BZ485" i="23916"/>
  <c r="BX485" i="23916"/>
  <c r="BV485" i="23916"/>
  <c r="BT485" i="23916"/>
  <c r="BR485" i="23916"/>
  <c r="BP485" i="23916"/>
  <c r="BN485" i="23916"/>
  <c r="BL485" i="23916"/>
  <c r="BJ485" i="23916"/>
  <c r="BH485" i="23916"/>
  <c r="BF485" i="23916"/>
  <c r="BD485" i="23916"/>
  <c r="BB485" i="23916"/>
  <c r="AZ485" i="23916"/>
  <c r="AX485" i="23916"/>
  <c r="AV485" i="23916"/>
  <c r="AT485" i="23916"/>
  <c r="AR485" i="23916"/>
  <c r="AP485" i="23916"/>
  <c r="AN485" i="23916"/>
  <c r="AL485" i="23916"/>
  <c r="AJ485" i="23916"/>
  <c r="AH485" i="23916"/>
  <c r="AF485" i="23916"/>
  <c r="AD485" i="23916"/>
  <c r="AB485" i="23916"/>
  <c r="Z485" i="23916"/>
  <c r="X485" i="23916"/>
  <c r="V485" i="23916"/>
  <c r="T485" i="23916"/>
  <c r="R485" i="23916"/>
  <c r="P485" i="23916"/>
  <c r="N485" i="23916"/>
  <c r="FH484" i="23916"/>
  <c r="FF484" i="23916"/>
  <c r="FG484" i="23916" s="1"/>
  <c r="FD484" i="23916"/>
  <c r="DY484" i="23916"/>
  <c r="EA484" i="23916" s="1"/>
  <c r="EC484" i="23916" s="1"/>
  <c r="EE484" i="23916" s="1"/>
  <c r="EG484" i="23916" s="1"/>
  <c r="EI484" i="23916" s="1"/>
  <c r="EK484" i="23916" s="1"/>
  <c r="EM484" i="23916" s="1"/>
  <c r="EO484" i="23916" s="1"/>
  <c r="EQ484" i="23916" s="1"/>
  <c r="DW484" i="23916"/>
  <c r="DU484" i="23916"/>
  <c r="DS484" i="23916"/>
  <c r="DQ484" i="23916"/>
  <c r="DO484" i="23916"/>
  <c r="DM484" i="23916"/>
  <c r="DK484" i="23916"/>
  <c r="DI484" i="23916"/>
  <c r="DG484" i="23916"/>
  <c r="DE484" i="23916"/>
  <c r="DC484" i="23916"/>
  <c r="DA484" i="23916"/>
  <c r="CY484" i="23916"/>
  <c r="CW484" i="23916"/>
  <c r="CU484" i="23916"/>
  <c r="CS484" i="23916"/>
  <c r="CQ484" i="23916"/>
  <c r="CO484" i="23916"/>
  <c r="CM484" i="23916"/>
  <c r="CK484" i="23916"/>
  <c r="CI484" i="23916"/>
  <c r="CG484" i="23916"/>
  <c r="CE484" i="23916"/>
  <c r="CC484" i="23916"/>
  <c r="CA484" i="23916"/>
  <c r="BY484" i="23916"/>
  <c r="BW484" i="23916"/>
  <c r="BU484" i="23916"/>
  <c r="BS484" i="23916"/>
  <c r="BQ484" i="23916"/>
  <c r="BO484" i="23916"/>
  <c r="BM484" i="23916"/>
  <c r="BK484" i="23916"/>
  <c r="BI484" i="23916"/>
  <c r="BG484" i="23916"/>
  <c r="BE484" i="23916"/>
  <c r="BC484" i="23916"/>
  <c r="BA484" i="23916"/>
  <c r="AY484" i="23916"/>
  <c r="AW484" i="23916"/>
  <c r="AU484" i="23916"/>
  <c r="AS484" i="23916"/>
  <c r="AQ484" i="23916"/>
  <c r="AO484" i="23916"/>
  <c r="AM484" i="23916"/>
  <c r="AK484" i="23916"/>
  <c r="AI484" i="23916"/>
  <c r="AG484" i="23916"/>
  <c r="AE484" i="23916"/>
  <c r="AC484" i="23916"/>
  <c r="AA484" i="23916"/>
  <c r="Y484" i="23916"/>
  <c r="W484" i="23916"/>
  <c r="U484" i="23916"/>
  <c r="FE483" i="23916"/>
  <c r="FC483" i="23916"/>
  <c r="EJ483" i="23916"/>
  <c r="EJ482" i="23916"/>
  <c r="EH483" i="23916"/>
  <c r="EH482" i="23916"/>
  <c r="EF483" i="23916"/>
  <c r="EF482" i="23916"/>
  <c r="ED483" i="23916"/>
  <c r="ED482" i="23916"/>
  <c r="EB483" i="23916"/>
  <c r="EB482" i="23916"/>
  <c r="DZ483" i="23916"/>
  <c r="DZ482" i="23916"/>
  <c r="DX483" i="23916"/>
  <c r="DX482" i="23916"/>
  <c r="DV483" i="23916"/>
  <c r="DV482" i="23916"/>
  <c r="DT483" i="23916"/>
  <c r="DT482" i="23916"/>
  <c r="DR483" i="23916"/>
  <c r="DR482" i="23916"/>
  <c r="DP483" i="23916"/>
  <c r="DP482" i="23916"/>
  <c r="DN483" i="23916"/>
  <c r="DN482" i="23916"/>
  <c r="DL483" i="23916"/>
  <c r="DL482" i="23916"/>
  <c r="DJ483" i="23916"/>
  <c r="DJ482" i="23916"/>
  <c r="DH483" i="23916"/>
  <c r="DH482" i="23916"/>
  <c r="DF483" i="23916"/>
  <c r="DF482" i="23916"/>
  <c r="DD483" i="23916"/>
  <c r="DD482" i="23916"/>
  <c r="DB483" i="23916"/>
  <c r="DB482" i="23916"/>
  <c r="CZ483" i="23916"/>
  <c r="CZ482" i="23916"/>
  <c r="CX483" i="23916"/>
  <c r="CX482" i="23916"/>
  <c r="CV483" i="23916"/>
  <c r="CV482" i="23916"/>
  <c r="CT483" i="23916"/>
  <c r="CT482" i="23916"/>
  <c r="CR483" i="23916"/>
  <c r="CR482" i="23916"/>
  <c r="CP483" i="23916"/>
  <c r="CP482" i="23916"/>
  <c r="CN483" i="23916"/>
  <c r="CN482" i="23916"/>
  <c r="CL483" i="23916"/>
  <c r="CL482" i="23916"/>
  <c r="CJ483" i="23916"/>
  <c r="CJ482" i="23916"/>
  <c r="CH483" i="23916"/>
  <c r="CH482" i="23916"/>
  <c r="CF483" i="23916"/>
  <c r="CF482" i="23916"/>
  <c r="CD483" i="23916"/>
  <c r="CD482" i="23916"/>
  <c r="CB483" i="23916"/>
  <c r="CB482" i="23916"/>
  <c r="BZ483" i="23916"/>
  <c r="BZ482" i="23916"/>
  <c r="BX483" i="23916"/>
  <c r="BX482" i="23916"/>
  <c r="BV483" i="23916"/>
  <c r="BV482" i="23916"/>
  <c r="BT483" i="23916"/>
  <c r="BT482" i="23916"/>
  <c r="BR483" i="23916"/>
  <c r="BR482" i="23916"/>
  <c r="BP483" i="23916"/>
  <c r="BP482" i="23916"/>
  <c r="BN483" i="23916"/>
  <c r="BN482" i="23916"/>
  <c r="BL483" i="23916"/>
  <c r="BL482" i="23916"/>
  <c r="BJ483" i="23916"/>
  <c r="BJ482" i="23916"/>
  <c r="BH483" i="23916"/>
  <c r="BH482" i="23916"/>
  <c r="BF483" i="23916"/>
  <c r="BF482" i="23916"/>
  <c r="BD483" i="23916"/>
  <c r="BD482" i="23916"/>
  <c r="BB483" i="23916"/>
  <c r="BB482" i="23916"/>
  <c r="AZ483" i="23916"/>
  <c r="AZ482" i="23916"/>
  <c r="AX483" i="23916"/>
  <c r="AX482" i="23916"/>
  <c r="AV483" i="23916"/>
  <c r="AV482" i="23916"/>
  <c r="AT483" i="23916"/>
  <c r="AT482" i="23916"/>
  <c r="AR483" i="23916"/>
  <c r="AR482" i="23916"/>
  <c r="AP483" i="23916"/>
  <c r="AP482" i="23916"/>
  <c r="AN483" i="23916"/>
  <c r="AN482" i="23916"/>
  <c r="AL483" i="23916"/>
  <c r="AL482" i="23916"/>
  <c r="AJ483" i="23916"/>
  <c r="AJ482" i="23916"/>
  <c r="AH483" i="23916"/>
  <c r="AH482" i="23916"/>
  <c r="AF483" i="23916"/>
  <c r="AF482" i="23916"/>
  <c r="AD483" i="23916"/>
  <c r="AD482" i="23916"/>
  <c r="AB482" i="23916"/>
  <c r="Z483" i="23916"/>
  <c r="Z482" i="23916"/>
  <c r="X483" i="23916"/>
  <c r="X482" i="23916"/>
  <c r="V483" i="23916"/>
  <c r="V482" i="23916"/>
  <c r="S483" i="23916"/>
  <c r="R483" i="23916"/>
  <c r="P483" i="23916"/>
  <c r="P482" i="23916"/>
  <c r="N483" i="23916"/>
  <c r="N482" i="23916"/>
  <c r="K483" i="23916"/>
  <c r="GI485" i="23916"/>
  <c r="GH485" i="23916"/>
  <c r="GH568" i="23916" s="1"/>
  <c r="GF485" i="23916"/>
  <c r="GG485" i="23916" s="1"/>
  <c r="GE485" i="23916"/>
  <c r="GD485" i="23916"/>
  <c r="GD568" i="23916" s="1"/>
  <c r="GB485" i="23916"/>
  <c r="GC485" i="23916" s="1"/>
  <c r="GA485" i="23916"/>
  <c r="FZ485" i="23916"/>
  <c r="FZ568" i="23916" s="1"/>
  <c r="FX485" i="23916"/>
  <c r="FX490" i="23916" s="1"/>
  <c r="FW485" i="23916"/>
  <c r="FV485" i="23916"/>
  <c r="FV568" i="23916" s="1"/>
  <c r="FT485" i="23916"/>
  <c r="FU485" i="23916" s="1"/>
  <c r="FS485" i="23916"/>
  <c r="FR485" i="23916"/>
  <c r="FR568" i="23916" s="1"/>
  <c r="FP485" i="23916"/>
  <c r="FQ485" i="23916" s="1"/>
  <c r="FO485" i="23916"/>
  <c r="FN485" i="23916"/>
  <c r="FL485" i="23916"/>
  <c r="FM485" i="23916" s="1"/>
  <c r="FK485" i="23916"/>
  <c r="FJ485" i="23916"/>
  <c r="FI485" i="23916"/>
  <c r="GH484" i="23916"/>
  <c r="GD484" i="23916"/>
  <c r="FR484" i="23916"/>
  <c r="FN484" i="23916"/>
  <c r="FI484" i="23916"/>
  <c r="GI483" i="23916"/>
  <c r="GH483" i="23916"/>
  <c r="GF483" i="23916"/>
  <c r="GG483" i="23916" s="1"/>
  <c r="GE483" i="23916"/>
  <c r="GD483" i="23916"/>
  <c r="GB483" i="23916"/>
  <c r="GC483" i="23916" s="1"/>
  <c r="GA483" i="23916"/>
  <c r="FZ483" i="23916"/>
  <c r="FZ484" i="23916" s="1"/>
  <c r="FX483" i="23916"/>
  <c r="FY483" i="23916" s="1"/>
  <c r="FW483" i="23916"/>
  <c r="FV483" i="23916"/>
  <c r="FV484" i="23916" s="1"/>
  <c r="FT483" i="23916"/>
  <c r="FU483" i="23916" s="1"/>
  <c r="FS483" i="23916"/>
  <c r="FR483" i="23916"/>
  <c r="FP483" i="23916"/>
  <c r="FQ483" i="23916" s="1"/>
  <c r="FO483" i="23916"/>
  <c r="FN483" i="23916"/>
  <c r="FL483" i="23916"/>
  <c r="FM483" i="23916" s="1"/>
  <c r="FK483" i="23916"/>
  <c r="FJ483" i="23916"/>
  <c r="FJ484" i="23916" s="1"/>
  <c r="FK484" i="23916" s="1"/>
  <c r="FI483" i="23916"/>
  <c r="GH482" i="23916"/>
  <c r="GH567" i="23916" s="1"/>
  <c r="GG482" i="23916"/>
  <c r="GF482" i="23916"/>
  <c r="GF567" i="23916" s="1"/>
  <c r="GD482" i="23916"/>
  <c r="GD567" i="23916" s="1"/>
  <c r="GC482" i="23916"/>
  <c r="GB482" i="23916"/>
  <c r="GB567" i="23916" s="1"/>
  <c r="FZ482" i="23916"/>
  <c r="FZ567" i="23916" s="1"/>
  <c r="FY482" i="23916"/>
  <c r="FX482" i="23916"/>
  <c r="FX567" i="23916" s="1"/>
  <c r="FV482" i="23916"/>
  <c r="FV567" i="23916" s="1"/>
  <c r="FU482" i="23916"/>
  <c r="FT482" i="23916"/>
  <c r="FT567" i="23916" s="1"/>
  <c r="FR482" i="23916"/>
  <c r="FR567" i="23916" s="1"/>
  <c r="FQ482" i="23916"/>
  <c r="FP482" i="23916"/>
  <c r="FP567" i="23916" s="1"/>
  <c r="FN482" i="23916"/>
  <c r="FO482" i="23916" s="1"/>
  <c r="FM482" i="23916"/>
  <c r="FL482" i="23916"/>
  <c r="FJ482" i="23916"/>
  <c r="FK482" i="23916" s="1"/>
  <c r="FI482" i="23916"/>
  <c r="FH482" i="23916"/>
  <c r="FF482" i="23916"/>
  <c r="FB482" i="23916"/>
  <c r="FC482" i="23916" s="1"/>
  <c r="T482" i="23916"/>
  <c r="R482" i="23916"/>
  <c r="GR474" i="23916"/>
  <c r="GP474" i="23916"/>
  <c r="GN474" i="23916"/>
  <c r="GL474" i="23916"/>
  <c r="EQ474" i="23916"/>
  <c r="EO474" i="23916"/>
  <c r="EM474" i="23916"/>
  <c r="EK474" i="23916"/>
  <c r="EK528" i="23916" s="1"/>
  <c r="EI474" i="23916"/>
  <c r="EG474" i="23916"/>
  <c r="EE474" i="23916"/>
  <c r="EC474" i="23916"/>
  <c r="EA474" i="23916"/>
  <c r="GQ473" i="23916"/>
  <c r="GQ472" i="23916"/>
  <c r="GO473" i="23916"/>
  <c r="GO472" i="23916"/>
  <c r="GM473" i="23916"/>
  <c r="GM472" i="23916"/>
  <c r="GJ473" i="23916"/>
  <c r="GH473" i="23916"/>
  <c r="GI473" i="23916" s="1"/>
  <c r="GF473" i="23916"/>
  <c r="GD473" i="23916"/>
  <c r="GE473" i="23916" s="1"/>
  <c r="GB473" i="23916"/>
  <c r="FZ473" i="23916"/>
  <c r="GA473" i="23916" s="1"/>
  <c r="FX473" i="23916"/>
  <c r="FX479" i="23916" s="1"/>
  <c r="FV473" i="23916"/>
  <c r="FW473" i="23916" s="1"/>
  <c r="FT473" i="23916"/>
  <c r="FR473" i="23916"/>
  <c r="FS473" i="23916" s="1"/>
  <c r="FP473" i="23916"/>
  <c r="FN473" i="23916"/>
  <c r="FO473" i="23916" s="1"/>
  <c r="FL473" i="23916"/>
  <c r="FJ473" i="23916"/>
  <c r="FK473" i="23916" s="1"/>
  <c r="FH473" i="23916"/>
  <c r="FF473" i="23916"/>
  <c r="FG473" i="23916" s="1"/>
  <c r="FD473" i="23916"/>
  <c r="FB473" i="23916"/>
  <c r="FC473" i="23916" s="1"/>
  <c r="ER473" i="23916"/>
  <c r="ER472" i="23916"/>
  <c r="EP473" i="23916"/>
  <c r="EP472" i="23916"/>
  <c r="EN473" i="23916"/>
  <c r="EN472" i="23916"/>
  <c r="EL473" i="23916"/>
  <c r="EL472" i="23916"/>
  <c r="EJ473" i="23916"/>
  <c r="EJ472" i="23916"/>
  <c r="EJ470" i="23916"/>
  <c r="EH473" i="23916"/>
  <c r="EH472" i="23916"/>
  <c r="EH470" i="23916"/>
  <c r="EF473" i="23916"/>
  <c r="EF472" i="23916"/>
  <c r="EF470" i="23916"/>
  <c r="ED473" i="23916"/>
  <c r="ED472" i="23916"/>
  <c r="ED470" i="23916"/>
  <c r="EB473" i="23916"/>
  <c r="EB472" i="23916"/>
  <c r="EB470" i="23916"/>
  <c r="DZ473" i="23916"/>
  <c r="DZ472" i="23916"/>
  <c r="DZ470" i="23916"/>
  <c r="DX473" i="23916"/>
  <c r="DX472" i="23916"/>
  <c r="DX470" i="23916"/>
  <c r="DV473" i="23916"/>
  <c r="DV472" i="23916"/>
  <c r="DV470" i="23916"/>
  <c r="DT473" i="23916"/>
  <c r="DT472" i="23916"/>
  <c r="DT470" i="23916"/>
  <c r="DR473" i="23916"/>
  <c r="DR472" i="23916"/>
  <c r="DR470" i="23916"/>
  <c r="DP473" i="23916"/>
  <c r="DP472" i="23916"/>
  <c r="DP470" i="23916"/>
  <c r="DN473" i="23916"/>
  <c r="DN472" i="23916"/>
  <c r="DN470" i="23916"/>
  <c r="DL473" i="23916"/>
  <c r="DL472" i="23916"/>
  <c r="DL470" i="23916"/>
  <c r="DJ473" i="23916"/>
  <c r="DJ472" i="23916"/>
  <c r="DJ470" i="23916"/>
  <c r="DH473" i="23916"/>
  <c r="DH472" i="23916"/>
  <c r="DH470" i="23916"/>
  <c r="DF473" i="23916"/>
  <c r="DF472" i="23916"/>
  <c r="DF470" i="23916"/>
  <c r="DD473" i="23916"/>
  <c r="DD472" i="23916"/>
  <c r="DD470" i="23916"/>
  <c r="DB473" i="23916"/>
  <c r="DB472" i="23916"/>
  <c r="DB470" i="23916"/>
  <c r="CZ473" i="23916"/>
  <c r="CZ472" i="23916"/>
  <c r="CZ470" i="23916"/>
  <c r="CX473" i="23916"/>
  <c r="CX472" i="23916"/>
  <c r="CX470" i="23916"/>
  <c r="CV473" i="23916"/>
  <c r="CV472" i="23916"/>
  <c r="CV470" i="23916"/>
  <c r="CT473" i="23916"/>
  <c r="CT472" i="23916"/>
  <c r="CT470" i="23916"/>
  <c r="CR473" i="23916"/>
  <c r="CR472" i="23916"/>
  <c r="CR470" i="23916"/>
  <c r="CP473" i="23916"/>
  <c r="CP472" i="23916"/>
  <c r="CP470" i="23916"/>
  <c r="CN473" i="23916"/>
  <c r="CN472" i="23916"/>
  <c r="CN470" i="23916"/>
  <c r="CL473" i="23916"/>
  <c r="CL472" i="23916"/>
  <c r="CL470" i="23916"/>
  <c r="CJ473" i="23916"/>
  <c r="CJ472" i="23916"/>
  <c r="CJ470" i="23916"/>
  <c r="CH473" i="23916"/>
  <c r="CG473" i="23916"/>
  <c r="CF473" i="23916"/>
  <c r="CD473" i="23916"/>
  <c r="CD472" i="23916"/>
  <c r="CD470" i="23916"/>
  <c r="CB473" i="23916"/>
  <c r="CB472" i="23916"/>
  <c r="CB471" i="23916"/>
  <c r="CB470" i="23916"/>
  <c r="BZ473" i="23916"/>
  <c r="BZ472" i="23916"/>
  <c r="BZ471" i="23916"/>
  <c r="BZ470" i="23916"/>
  <c r="BX473" i="23916"/>
  <c r="BX472" i="23916"/>
  <c r="BX470" i="23916"/>
  <c r="BV473" i="23916"/>
  <c r="BV472" i="23916"/>
  <c r="BV471" i="23916"/>
  <c r="BV470" i="23916"/>
  <c r="BT473" i="23916"/>
  <c r="BT472" i="23916"/>
  <c r="BT471" i="23916"/>
  <c r="BT470" i="23916"/>
  <c r="BR473" i="23916"/>
  <c r="BR472" i="23916"/>
  <c r="BR470" i="23916"/>
  <c r="BP473" i="23916"/>
  <c r="BP472" i="23916"/>
  <c r="BP470" i="23916"/>
  <c r="BN473" i="23916"/>
  <c r="BN472" i="23916"/>
  <c r="BN471" i="23916"/>
  <c r="BN470" i="23916"/>
  <c r="BL473" i="23916"/>
  <c r="BL472" i="23916"/>
  <c r="BL471" i="23916"/>
  <c r="BL470" i="23916"/>
  <c r="BJ473" i="23916"/>
  <c r="BJ472" i="23916"/>
  <c r="BJ470" i="23916"/>
  <c r="BH473" i="23916"/>
  <c r="BH472" i="23916"/>
  <c r="BH471" i="23916"/>
  <c r="BH470" i="23916"/>
  <c r="BF473" i="23916"/>
  <c r="BF472" i="23916"/>
  <c r="BF471" i="23916"/>
  <c r="BF470" i="23916"/>
  <c r="BD473" i="23916"/>
  <c r="BD472" i="23916"/>
  <c r="BD471" i="23916"/>
  <c r="BD470" i="23916"/>
  <c r="BB473" i="23916"/>
  <c r="BB472" i="23916"/>
  <c r="BB471" i="23916"/>
  <c r="BB470" i="23916"/>
  <c r="AZ473" i="23916"/>
  <c r="AZ472" i="23916"/>
  <c r="AZ471" i="23916"/>
  <c r="AZ470" i="23916"/>
  <c r="AX473" i="23916"/>
  <c r="AX472" i="23916"/>
  <c r="AX471" i="23916"/>
  <c r="AX470" i="23916"/>
  <c r="AV473" i="23916"/>
  <c r="AV472" i="23916"/>
  <c r="AV471" i="23916"/>
  <c r="AV470" i="23916"/>
  <c r="AT473" i="23916"/>
  <c r="AT472" i="23916"/>
  <c r="AT471" i="23916"/>
  <c r="AT470" i="23916"/>
  <c r="AR473" i="23916"/>
  <c r="AR472" i="23916"/>
  <c r="AR471" i="23916"/>
  <c r="AR470" i="23916"/>
  <c r="AP473" i="23916"/>
  <c r="AP472" i="23916"/>
  <c r="AP471" i="23916"/>
  <c r="AP470" i="23916"/>
  <c r="AN473" i="23916"/>
  <c r="AN472" i="23916"/>
  <c r="AN471" i="23916"/>
  <c r="AN470" i="23916"/>
  <c r="AL473" i="23916"/>
  <c r="AL472" i="23916"/>
  <c r="AL471" i="23916"/>
  <c r="AL470" i="23916"/>
  <c r="AJ473" i="23916"/>
  <c r="AJ472" i="23916"/>
  <c r="AJ471" i="23916"/>
  <c r="AJ470" i="23916"/>
  <c r="AH473" i="23916"/>
  <c r="AH472" i="23916"/>
  <c r="AH471" i="23916"/>
  <c r="AH470" i="23916"/>
  <c r="AF473" i="23916"/>
  <c r="AF472" i="23916"/>
  <c r="AF471" i="23916"/>
  <c r="AF470" i="23916"/>
  <c r="AD473" i="23916"/>
  <c r="AD472" i="23916"/>
  <c r="AD471" i="23916"/>
  <c r="AD470" i="23916"/>
  <c r="AB473" i="23916"/>
  <c r="AB472" i="23916"/>
  <c r="AB471" i="23916"/>
  <c r="AB470" i="23916"/>
  <c r="Z473" i="23916"/>
  <c r="Z472" i="23916"/>
  <c r="Z471" i="23916"/>
  <c r="Z470" i="23916"/>
  <c r="X473" i="23916"/>
  <c r="X472" i="23916"/>
  <c r="X471" i="23916"/>
  <c r="X470" i="23916"/>
  <c r="V473" i="23916"/>
  <c r="V472" i="23916"/>
  <c r="V471" i="23916"/>
  <c r="V470" i="23916"/>
  <c r="T473" i="23916"/>
  <c r="T472" i="23916"/>
  <c r="T471" i="23916"/>
  <c r="T470" i="23916"/>
  <c r="R473" i="23916"/>
  <c r="R472" i="23916"/>
  <c r="R471" i="23916"/>
  <c r="R470" i="23916"/>
  <c r="P473" i="23916"/>
  <c r="P472" i="23916"/>
  <c r="P471" i="23916"/>
  <c r="P470" i="23916"/>
  <c r="N473" i="23916"/>
  <c r="N472" i="23916"/>
  <c r="N471" i="23916"/>
  <c r="N470" i="23916"/>
  <c r="GK472" i="23916"/>
  <c r="GI472" i="23916"/>
  <c r="GG472" i="23916"/>
  <c r="GE472" i="23916"/>
  <c r="GC472" i="23916"/>
  <c r="GA472" i="23916"/>
  <c r="FY470" i="23916"/>
  <c r="FW472" i="23916"/>
  <c r="FV472" i="23916"/>
  <c r="FY472" i="23916" s="1"/>
  <c r="FU472" i="23916"/>
  <c r="FS472" i="23916"/>
  <c r="FQ472" i="23916"/>
  <c r="FQ471" i="23916"/>
  <c r="FO472" i="23916"/>
  <c r="FM472" i="23916"/>
  <c r="FK472" i="23916"/>
  <c r="FI472" i="23916"/>
  <c r="FI471" i="23916"/>
  <c r="FG472" i="23916"/>
  <c r="FE472" i="23916"/>
  <c r="FC472" i="23916"/>
  <c r="CH472" i="23916"/>
  <c r="CH471" i="23916"/>
  <c r="CH470" i="23916"/>
  <c r="CF472" i="23916"/>
  <c r="CF470" i="23916"/>
  <c r="FR471" i="23916"/>
  <c r="FS471" i="23916" s="1"/>
  <c r="FR470" i="23916"/>
  <c r="FS470" i="23916" s="1"/>
  <c r="FP471" i="23916"/>
  <c r="FP470" i="23916"/>
  <c r="FQ470" i="23916" s="1"/>
  <c r="FN471" i="23916"/>
  <c r="FO471" i="23916" s="1"/>
  <c r="FN470" i="23916"/>
  <c r="FL471" i="23916"/>
  <c r="FM471" i="23916" s="1"/>
  <c r="FL470" i="23916"/>
  <c r="FM470" i="23916" s="1"/>
  <c r="FJ471" i="23916"/>
  <c r="FK471" i="23916" s="1"/>
  <c r="FJ470" i="23916"/>
  <c r="FK470" i="23916" s="1"/>
  <c r="FH471" i="23916"/>
  <c r="FH470" i="23916"/>
  <c r="FI470" i="23916" s="1"/>
  <c r="FF471" i="23916"/>
  <c r="FG471" i="23916" s="1"/>
  <c r="FF470" i="23916"/>
  <c r="FD471" i="23916"/>
  <c r="FE471" i="23916" s="1"/>
  <c r="FD470" i="23916"/>
  <c r="FE470" i="23916" s="1"/>
  <c r="FB471" i="23916"/>
  <c r="FC471" i="23916" s="1"/>
  <c r="FB470" i="23916"/>
  <c r="FC470" i="23916" s="1"/>
  <c r="EI471" i="23916"/>
  <c r="EJ471" i="23916" s="1"/>
  <c r="EG471" i="23916"/>
  <c r="EH471" i="23916" s="1"/>
  <c r="EE471" i="23916"/>
  <c r="EF471" i="23916" s="1"/>
  <c r="EC471" i="23916"/>
  <c r="ED471" i="23916" s="1"/>
  <c r="EA471" i="23916"/>
  <c r="EB471" i="23916" s="1"/>
  <c r="DY471" i="23916"/>
  <c r="DZ471" i="23916" s="1"/>
  <c r="DW471" i="23916"/>
  <c r="DX471" i="23916" s="1"/>
  <c r="DU471" i="23916"/>
  <c r="DV471" i="23916" s="1"/>
  <c r="DS471" i="23916"/>
  <c r="DT471" i="23916" s="1"/>
  <c r="DQ471" i="23916"/>
  <c r="DR471" i="23916" s="1"/>
  <c r="DO471" i="23916"/>
  <c r="DP471" i="23916" s="1"/>
  <c r="DI471" i="23916"/>
  <c r="DJ471" i="23916" s="1"/>
  <c r="DG471" i="23916"/>
  <c r="DH471" i="23916" s="1"/>
  <c r="DE471" i="23916"/>
  <c r="DN471" i="23916" s="1"/>
  <c r="DC471" i="23916"/>
  <c r="DL471" i="23916" s="1"/>
  <c r="DA471" i="23916"/>
  <c r="DB471" i="23916" s="1"/>
  <c r="CY471" i="23916"/>
  <c r="CZ471" i="23916" s="1"/>
  <c r="CW471" i="23916"/>
  <c r="CX471" i="23916" s="1"/>
  <c r="CU471" i="23916"/>
  <c r="CV471" i="23916" s="1"/>
  <c r="CS471" i="23916"/>
  <c r="CT471" i="23916" s="1"/>
  <c r="CQ471" i="23916"/>
  <c r="CR471" i="23916" s="1"/>
  <c r="CO471" i="23916"/>
  <c r="CP471" i="23916" s="1"/>
  <c r="CK471" i="23916"/>
  <c r="CL471" i="23916" s="1"/>
  <c r="CI471" i="23916"/>
  <c r="CJ471" i="23916" s="1"/>
  <c r="CG471" i="23916"/>
  <c r="CE471" i="23916"/>
  <c r="CN471" i="23916" s="1"/>
  <c r="CC471" i="23916"/>
  <c r="CD471" i="23916" s="1"/>
  <c r="BO471" i="23916"/>
  <c r="BX471" i="23916" s="1"/>
  <c r="BI471" i="23916"/>
  <c r="BR471" i="23916" s="1"/>
  <c r="GT473" i="23916"/>
  <c r="GS473" i="23916"/>
  <c r="GT472" i="23916"/>
  <c r="GS472" i="23916"/>
  <c r="FX471" i="23916"/>
  <c r="FY471" i="23916" s="1"/>
  <c r="FV471" i="23916"/>
  <c r="FT471" i="23916"/>
  <c r="FU471" i="23916" s="1"/>
  <c r="FX470" i="23916"/>
  <c r="FV470" i="23916"/>
  <c r="FW470" i="23916" s="1"/>
  <c r="FU470" i="23916"/>
  <c r="FT470" i="23916"/>
  <c r="FL468" i="23916"/>
  <c r="FH468" i="23916"/>
  <c r="DZ468" i="23916"/>
  <c r="DY468" i="23916"/>
  <c r="DW468" i="23916"/>
  <c r="DX468" i="23916" s="1"/>
  <c r="DV468" i="23916"/>
  <c r="DU468" i="23916"/>
  <c r="DS468" i="23916"/>
  <c r="DT468" i="23916" s="1"/>
  <c r="DR468" i="23916"/>
  <c r="DQ468" i="23916"/>
  <c r="DO468" i="23916"/>
  <c r="DP468" i="23916" s="1"/>
  <c r="DN468" i="23916"/>
  <c r="DM468" i="23916"/>
  <c r="GD468" i="23916" s="1"/>
  <c r="DK468" i="23916"/>
  <c r="DL468" i="23916" s="1"/>
  <c r="DJ468" i="23916"/>
  <c r="DI468" i="23916"/>
  <c r="DG468" i="23916"/>
  <c r="DH468" i="23916" s="1"/>
  <c r="DF468" i="23916"/>
  <c r="DE468" i="23916"/>
  <c r="DC468" i="23916"/>
  <c r="DD468" i="23916" s="1"/>
  <c r="DB468" i="23916"/>
  <c r="DA468" i="23916"/>
  <c r="CY468" i="23916"/>
  <c r="CZ468" i="23916" s="1"/>
  <c r="CX468" i="23916"/>
  <c r="CW468" i="23916"/>
  <c r="FZ468" i="23916" s="1"/>
  <c r="CU468" i="23916"/>
  <c r="CV468" i="23916" s="1"/>
  <c r="CT468" i="23916"/>
  <c r="CS468" i="23916"/>
  <c r="CQ468" i="23916"/>
  <c r="CR468" i="23916" s="1"/>
  <c r="CP468" i="23916"/>
  <c r="CO468" i="23916"/>
  <c r="CM468" i="23916"/>
  <c r="CN468" i="23916" s="1"/>
  <c r="CL468" i="23916"/>
  <c r="CK468" i="23916"/>
  <c r="CI468" i="23916"/>
  <c r="CJ468" i="23916" s="1"/>
  <c r="CH468" i="23916"/>
  <c r="CG468" i="23916"/>
  <c r="FV468" i="23916" s="1"/>
  <c r="CE468" i="23916"/>
  <c r="CF468" i="23916" s="1"/>
  <c r="CD468" i="23916"/>
  <c r="CC468" i="23916"/>
  <c r="CA468" i="23916"/>
  <c r="CB468" i="23916" s="1"/>
  <c r="BZ468" i="23916"/>
  <c r="BY468" i="23916"/>
  <c r="BW468" i="23916"/>
  <c r="BX468" i="23916" s="1"/>
  <c r="BV468" i="23916"/>
  <c r="BU468" i="23916"/>
  <c r="BS468" i="23916"/>
  <c r="BT468" i="23916" s="1"/>
  <c r="BR468" i="23916"/>
  <c r="BQ468" i="23916"/>
  <c r="FR468" i="23916" s="1"/>
  <c r="BO468" i="23916"/>
  <c r="BP468" i="23916" s="1"/>
  <c r="BN468" i="23916"/>
  <c r="BM468" i="23916"/>
  <c r="BK468" i="23916"/>
  <c r="BL468" i="23916" s="1"/>
  <c r="BI468" i="23916"/>
  <c r="BG468" i="23916"/>
  <c r="BH468" i="23916" s="1"/>
  <c r="BE468" i="23916"/>
  <c r="BB468" i="23916"/>
  <c r="BA468" i="23916"/>
  <c r="BJ468" i="23916" s="1"/>
  <c r="AY468" i="23916"/>
  <c r="AZ468" i="23916" s="1"/>
  <c r="AX468" i="23916"/>
  <c r="AW468" i="23916"/>
  <c r="BF468" i="23916" s="1"/>
  <c r="AU468" i="23916"/>
  <c r="BD468" i="23916" s="1"/>
  <c r="AT468" i="23916"/>
  <c r="AS468" i="23916"/>
  <c r="AQ468" i="23916"/>
  <c r="FJ468" i="23916" s="1"/>
  <c r="FK468" i="23916" s="1"/>
  <c r="AP468" i="23916"/>
  <c r="AO468" i="23916"/>
  <c r="AM468" i="23916"/>
  <c r="AN468" i="23916" s="1"/>
  <c r="AL468" i="23916"/>
  <c r="AK468" i="23916"/>
  <c r="AI468" i="23916"/>
  <c r="AJ468" i="23916" s="1"/>
  <c r="AH468" i="23916"/>
  <c r="AG468" i="23916"/>
  <c r="AE468" i="23916"/>
  <c r="AF468" i="23916" s="1"/>
  <c r="AD468" i="23916"/>
  <c r="AC468" i="23916"/>
  <c r="AA468" i="23916"/>
  <c r="AB468" i="23916" s="1"/>
  <c r="Z468" i="23916"/>
  <c r="Y468" i="23916"/>
  <c r="W468" i="23916"/>
  <c r="X468" i="23916" s="1"/>
  <c r="V468" i="23916"/>
  <c r="U468" i="23916"/>
  <c r="FF468" i="23916" s="1"/>
  <c r="S468" i="23916"/>
  <c r="T468" i="23916" s="1"/>
  <c r="R468" i="23916"/>
  <c r="Q468" i="23916"/>
  <c r="O468" i="23916"/>
  <c r="P468" i="23916" s="1"/>
  <c r="N468" i="23916"/>
  <c r="M468" i="23916"/>
  <c r="K468" i="23916"/>
  <c r="I468" i="23916"/>
  <c r="G468" i="23916"/>
  <c r="E468" i="23916"/>
  <c r="FB468" i="23916" s="1"/>
  <c r="FC468" i="23916" s="1"/>
  <c r="GQ467" i="23916"/>
  <c r="GO467" i="23916"/>
  <c r="GM467" i="23916"/>
  <c r="GK467" i="23916"/>
  <c r="GI467" i="23916"/>
  <c r="GG467" i="23916"/>
  <c r="GE467" i="23916"/>
  <c r="GE465" i="23916"/>
  <c r="GC467" i="23916"/>
  <c r="GA467" i="23916"/>
  <c r="FY467" i="23916"/>
  <c r="FW467" i="23916"/>
  <c r="FU467" i="23916"/>
  <c r="FS467" i="23916"/>
  <c r="FQ467" i="23916"/>
  <c r="FL467" i="23916"/>
  <c r="FO467" i="23916" s="1"/>
  <c r="FK467" i="23916"/>
  <c r="FI467" i="23916"/>
  <c r="FG467" i="23916"/>
  <c r="FE467" i="23916"/>
  <c r="FC467" i="23916"/>
  <c r="ER467" i="23916"/>
  <c r="ER465" i="23916"/>
  <c r="EP467" i="23916"/>
  <c r="EP465" i="23916"/>
  <c r="EN467" i="23916"/>
  <c r="EN465" i="23916"/>
  <c r="EL467" i="23916"/>
  <c r="EL465" i="23916"/>
  <c r="EJ467" i="23916"/>
  <c r="EJ465" i="23916"/>
  <c r="EH467" i="23916"/>
  <c r="EH465" i="23916"/>
  <c r="EF467" i="23916"/>
  <c r="EF466" i="23916"/>
  <c r="EF465" i="23916"/>
  <c r="ED467" i="23916"/>
  <c r="ED465" i="23916"/>
  <c r="EB467" i="23916"/>
  <c r="EB465" i="23916"/>
  <c r="DZ467" i="23916"/>
  <c r="DZ466" i="23916"/>
  <c r="DZ465" i="23916"/>
  <c r="DX467" i="23916"/>
  <c r="DX466" i="23916"/>
  <c r="DX465" i="23916"/>
  <c r="DV467" i="23916"/>
  <c r="DV466" i="23916"/>
  <c r="DV465" i="23916"/>
  <c r="DT467" i="23916"/>
  <c r="DT466" i="23916"/>
  <c r="DT465" i="23916"/>
  <c r="DR467" i="23916"/>
  <c r="DR466" i="23916"/>
  <c r="DR465" i="23916"/>
  <c r="DP467" i="23916"/>
  <c r="DP466" i="23916"/>
  <c r="DP465" i="23916"/>
  <c r="DN467" i="23916"/>
  <c r="DN466" i="23916"/>
  <c r="DN465" i="23916"/>
  <c r="DL467" i="23916"/>
  <c r="DL466" i="23916"/>
  <c r="DL465" i="23916"/>
  <c r="DJ467" i="23916"/>
  <c r="DJ466" i="23916"/>
  <c r="DJ465" i="23916"/>
  <c r="DH467" i="23916"/>
  <c r="DH466" i="23916"/>
  <c r="DH465" i="23916"/>
  <c r="DF467" i="23916"/>
  <c r="DF466" i="23916"/>
  <c r="DF465" i="23916"/>
  <c r="DD467" i="23916"/>
  <c r="DD466" i="23916"/>
  <c r="DD465" i="23916"/>
  <c r="DB467" i="23916"/>
  <c r="DB466" i="23916"/>
  <c r="DB465" i="23916"/>
  <c r="CZ467" i="23916"/>
  <c r="CZ466" i="23916"/>
  <c r="CZ465" i="23916"/>
  <c r="CX467" i="23916"/>
  <c r="CX466" i="23916"/>
  <c r="CX465" i="23916"/>
  <c r="CV467" i="23916"/>
  <c r="CV466" i="23916"/>
  <c r="CV465" i="23916"/>
  <c r="CT467" i="23916"/>
  <c r="CT466" i="23916"/>
  <c r="CT465" i="23916"/>
  <c r="CR467" i="23916"/>
  <c r="CR466" i="23916"/>
  <c r="CR465" i="23916"/>
  <c r="CP467" i="23916"/>
  <c r="CP466" i="23916"/>
  <c r="CP465" i="23916"/>
  <c r="CN467" i="23916"/>
  <c r="CN466" i="23916"/>
  <c r="CN465" i="23916"/>
  <c r="CL467" i="23916"/>
  <c r="CL466" i="23916"/>
  <c r="CL465" i="23916"/>
  <c r="CJ467" i="23916"/>
  <c r="CJ466" i="23916"/>
  <c r="CJ465" i="23916"/>
  <c r="CH467" i="23916"/>
  <c r="CH466" i="23916"/>
  <c r="CH465" i="23916"/>
  <c r="CF467" i="23916"/>
  <c r="CF466" i="23916"/>
  <c r="CF465" i="23916"/>
  <c r="CD467" i="23916"/>
  <c r="CD466" i="23916"/>
  <c r="CD465" i="23916"/>
  <c r="CB467" i="23916"/>
  <c r="CB466" i="23916"/>
  <c r="CB465" i="23916"/>
  <c r="BZ467" i="23916"/>
  <c r="BZ466" i="23916"/>
  <c r="BZ465" i="23916"/>
  <c r="BX467" i="23916"/>
  <c r="BX466" i="23916"/>
  <c r="BX465" i="23916"/>
  <c r="BV467" i="23916"/>
  <c r="BV466" i="23916"/>
  <c r="BV465" i="23916"/>
  <c r="BT467" i="23916"/>
  <c r="BT466" i="23916"/>
  <c r="BT465" i="23916"/>
  <c r="BR467" i="23916"/>
  <c r="BR466" i="23916"/>
  <c r="BR465" i="23916"/>
  <c r="BP467" i="23916"/>
  <c r="BP466" i="23916"/>
  <c r="BP465" i="23916"/>
  <c r="BN467" i="23916"/>
  <c r="BN466" i="23916"/>
  <c r="BN465" i="23916"/>
  <c r="BL467" i="23916"/>
  <c r="BL466" i="23916"/>
  <c r="BL465" i="23916"/>
  <c r="BJ467" i="23916"/>
  <c r="BJ466" i="23916"/>
  <c r="BJ465" i="23916"/>
  <c r="BH467" i="23916"/>
  <c r="BH466" i="23916"/>
  <c r="BH465" i="23916"/>
  <c r="BF467" i="23916"/>
  <c r="BF466" i="23916"/>
  <c r="BF465" i="23916"/>
  <c r="BD467" i="23916"/>
  <c r="BD466" i="23916"/>
  <c r="BD465" i="23916"/>
  <c r="BB467" i="23916"/>
  <c r="BB466" i="23916"/>
  <c r="BB465" i="23916"/>
  <c r="AZ467" i="23916"/>
  <c r="AZ466" i="23916"/>
  <c r="AZ465" i="23916"/>
  <c r="AX467" i="23916"/>
  <c r="AX466" i="23916"/>
  <c r="AX465" i="23916"/>
  <c r="AV467" i="23916"/>
  <c r="AV466" i="23916"/>
  <c r="AV465" i="23916"/>
  <c r="AT467" i="23916"/>
  <c r="AT466" i="23916"/>
  <c r="AT465" i="23916"/>
  <c r="AR467" i="23916"/>
  <c r="AR466" i="23916"/>
  <c r="AR465" i="23916"/>
  <c r="AP467" i="23916"/>
  <c r="AP466" i="23916"/>
  <c r="AP465" i="23916"/>
  <c r="AN467" i="23916"/>
  <c r="AN466" i="23916"/>
  <c r="AN465" i="23916"/>
  <c r="AL467" i="23916"/>
  <c r="AL466" i="23916"/>
  <c r="AL465" i="23916"/>
  <c r="AJ467" i="23916"/>
  <c r="AJ466" i="23916"/>
  <c r="AJ465" i="23916"/>
  <c r="AH467" i="23916"/>
  <c r="AH466" i="23916"/>
  <c r="AH465" i="23916"/>
  <c r="AF467" i="23916"/>
  <c r="AF466" i="23916"/>
  <c r="AF465" i="23916"/>
  <c r="AD467" i="23916"/>
  <c r="AD466" i="23916"/>
  <c r="AD465" i="23916"/>
  <c r="AB467" i="23916"/>
  <c r="AB466" i="23916"/>
  <c r="AB465" i="23916"/>
  <c r="Z467" i="23916"/>
  <c r="Z466" i="23916"/>
  <c r="Z465" i="23916"/>
  <c r="X467" i="23916"/>
  <c r="X466" i="23916"/>
  <c r="X465" i="23916"/>
  <c r="V467" i="23916"/>
  <c r="V466" i="23916"/>
  <c r="V465" i="23916"/>
  <c r="T467" i="23916"/>
  <c r="T466" i="23916"/>
  <c r="T465" i="23916"/>
  <c r="R467" i="23916"/>
  <c r="R466" i="23916"/>
  <c r="R465" i="23916"/>
  <c r="P467" i="23916"/>
  <c r="P466" i="23916"/>
  <c r="P465" i="23916"/>
  <c r="N467" i="23916"/>
  <c r="N466" i="23916"/>
  <c r="N465" i="23916"/>
  <c r="GL465" i="23916"/>
  <c r="GJ465" i="23916"/>
  <c r="GK465" i="23916" s="1"/>
  <c r="GH465" i="23916"/>
  <c r="GI465" i="23916" s="1"/>
  <c r="GF465" i="23916"/>
  <c r="GG465" i="23916" s="1"/>
  <c r="GD466" i="23916"/>
  <c r="GE466" i="23916" s="1"/>
  <c r="GB466" i="23916"/>
  <c r="GC466" i="23916" s="1"/>
  <c r="FZ466" i="23916"/>
  <c r="GA466" i="23916" s="1"/>
  <c r="FZ465" i="23916"/>
  <c r="GA465" i="23916" s="1"/>
  <c r="FX466" i="23916"/>
  <c r="FY466" i="23916" s="1"/>
  <c r="FX465" i="23916"/>
  <c r="FY465" i="23916" s="1"/>
  <c r="FV466" i="23916"/>
  <c r="FW466" i="23916" s="1"/>
  <c r="FV465" i="23916"/>
  <c r="FW465" i="23916" s="1"/>
  <c r="FT466" i="23916"/>
  <c r="FU466" i="23916" s="1"/>
  <c r="FT465" i="23916"/>
  <c r="FU465" i="23916" s="1"/>
  <c r="FR466" i="23916"/>
  <c r="FS466" i="23916" s="1"/>
  <c r="FR465" i="23916"/>
  <c r="FS465" i="23916" s="1"/>
  <c r="FP466" i="23916"/>
  <c r="FQ466" i="23916" s="1"/>
  <c r="FP465" i="23916"/>
  <c r="FQ465" i="23916" s="1"/>
  <c r="FH466" i="23916"/>
  <c r="FI466" i="23916" s="1"/>
  <c r="FH465" i="23916"/>
  <c r="FI465" i="23916" s="1"/>
  <c r="FF466" i="23916"/>
  <c r="FG466" i="23916" s="1"/>
  <c r="FF465" i="23916"/>
  <c r="FG465" i="23916" s="1"/>
  <c r="FD466" i="23916"/>
  <c r="FE466" i="23916" s="1"/>
  <c r="FD465" i="23916"/>
  <c r="FD468" i="23916" s="1"/>
  <c r="FE468" i="23916" s="1"/>
  <c r="FB466" i="23916"/>
  <c r="FC466" i="23916" s="1"/>
  <c r="FB465" i="23916"/>
  <c r="FC465" i="23916" s="1"/>
  <c r="EI466" i="23916"/>
  <c r="EI468" i="23916" s="1"/>
  <c r="EG466" i="23916"/>
  <c r="EH466" i="23916" s="1"/>
  <c r="EE466" i="23916"/>
  <c r="EE468" i="23916" s="1"/>
  <c r="EF468" i="23916" s="1"/>
  <c r="EC466" i="23916"/>
  <c r="ED466" i="23916" s="1"/>
  <c r="EA466" i="23916"/>
  <c r="EA468" i="23916" s="1"/>
  <c r="EB468" i="23916" s="1"/>
  <c r="BC466" i="23916"/>
  <c r="GT467" i="23916"/>
  <c r="GS467" i="23916"/>
  <c r="FN466" i="23916"/>
  <c r="FO466" i="23916" s="1"/>
  <c r="FL466" i="23916"/>
  <c r="FM466" i="23916" s="1"/>
  <c r="FK466" i="23916"/>
  <c r="FJ466" i="23916"/>
  <c r="FN465" i="23916"/>
  <c r="FO465" i="23916" s="1"/>
  <c r="FL465" i="23916"/>
  <c r="FM465" i="23916" s="1"/>
  <c r="FK465" i="23916"/>
  <c r="FJ465" i="23916"/>
  <c r="K461" i="23916"/>
  <c r="I461" i="23916"/>
  <c r="G461" i="23916"/>
  <c r="E461" i="23916"/>
  <c r="EI461" i="23916"/>
  <c r="EJ461" i="23916" s="1"/>
  <c r="EH461" i="23916"/>
  <c r="EG461" i="23916"/>
  <c r="EE461" i="23916"/>
  <c r="EF461" i="23916" s="1"/>
  <c r="ED461" i="23916"/>
  <c r="EC461" i="23916"/>
  <c r="EA461" i="23916"/>
  <c r="EB461" i="23916" s="1"/>
  <c r="DZ461" i="23916"/>
  <c r="DY461" i="23916"/>
  <c r="DW461" i="23916"/>
  <c r="DV461" i="23916"/>
  <c r="DU461" i="23916"/>
  <c r="DS461" i="23916"/>
  <c r="DT461" i="23916" s="1"/>
  <c r="DR461" i="23916"/>
  <c r="DQ461" i="23916"/>
  <c r="DO461" i="23916"/>
  <c r="DN461" i="23916"/>
  <c r="DM461" i="23916"/>
  <c r="DK461" i="23916"/>
  <c r="DL461" i="23916" s="1"/>
  <c r="DJ461" i="23916"/>
  <c r="DI461" i="23916"/>
  <c r="DG461" i="23916"/>
  <c r="DF461" i="23916"/>
  <c r="DE461" i="23916"/>
  <c r="DC461" i="23916"/>
  <c r="DD461" i="23916" s="1"/>
  <c r="DB461" i="23916"/>
  <c r="DA461" i="23916"/>
  <c r="CY461" i="23916"/>
  <c r="CX461" i="23916"/>
  <c r="CW461" i="23916"/>
  <c r="CU461" i="23916"/>
  <c r="CV461" i="23916" s="1"/>
  <c r="CT461" i="23916"/>
  <c r="CS461" i="23916"/>
  <c r="CQ461" i="23916"/>
  <c r="CP461" i="23916"/>
  <c r="CO461" i="23916"/>
  <c r="CM461" i="23916"/>
  <c r="CN461" i="23916" s="1"/>
  <c r="CL461" i="23916"/>
  <c r="CK461" i="23916"/>
  <c r="CI461" i="23916"/>
  <c r="CH461" i="23916"/>
  <c r="CG461" i="23916"/>
  <c r="CE461" i="23916"/>
  <c r="CF461" i="23916" s="1"/>
  <c r="CD461" i="23916"/>
  <c r="CC461" i="23916"/>
  <c r="CA461" i="23916"/>
  <c r="BZ461" i="23916"/>
  <c r="BY461" i="23916"/>
  <c r="BW461" i="23916"/>
  <c r="BX461" i="23916" s="1"/>
  <c r="BV461" i="23916"/>
  <c r="BU461" i="23916"/>
  <c r="BS461" i="23916"/>
  <c r="BR461" i="23916"/>
  <c r="BQ461" i="23916"/>
  <c r="BO461" i="23916"/>
  <c r="BP461" i="23916" s="1"/>
  <c r="BN461" i="23916"/>
  <c r="BM461" i="23916"/>
  <c r="BK461" i="23916"/>
  <c r="BJ461" i="23916"/>
  <c r="BI461" i="23916"/>
  <c r="BG461" i="23916"/>
  <c r="BH461" i="23916" s="1"/>
  <c r="BF461" i="23916"/>
  <c r="BE461" i="23916"/>
  <c r="BC461" i="23916"/>
  <c r="BD461" i="23916" s="1"/>
  <c r="BB461" i="23916"/>
  <c r="BA461" i="23916"/>
  <c r="AY461" i="23916"/>
  <c r="AZ461" i="23916" s="1"/>
  <c r="AX461" i="23916"/>
  <c r="AW461" i="23916"/>
  <c r="AU461" i="23916"/>
  <c r="AV461" i="23916" s="1"/>
  <c r="AT461" i="23916"/>
  <c r="AS461" i="23916"/>
  <c r="AQ461" i="23916"/>
  <c r="AR461" i="23916" s="1"/>
  <c r="AP461" i="23916"/>
  <c r="AO461" i="23916"/>
  <c r="AM461" i="23916"/>
  <c r="AN461" i="23916" s="1"/>
  <c r="AL461" i="23916"/>
  <c r="AK461" i="23916"/>
  <c r="AI461" i="23916"/>
  <c r="AJ461" i="23916" s="1"/>
  <c r="AH461" i="23916"/>
  <c r="AG461" i="23916"/>
  <c r="AE461" i="23916"/>
  <c r="AF461" i="23916" s="1"/>
  <c r="AD461" i="23916"/>
  <c r="AC461" i="23916"/>
  <c r="AA461" i="23916"/>
  <c r="AB461" i="23916" s="1"/>
  <c r="Z461" i="23916"/>
  <c r="Y461" i="23916"/>
  <c r="W461" i="23916"/>
  <c r="X461" i="23916" s="1"/>
  <c r="V461" i="23916"/>
  <c r="U461" i="23916"/>
  <c r="S461" i="23916"/>
  <c r="T461" i="23916" s="1"/>
  <c r="R461" i="23916"/>
  <c r="Q461" i="23916"/>
  <c r="O461" i="23916"/>
  <c r="P461" i="23916" s="1"/>
  <c r="N461" i="23916"/>
  <c r="M461" i="23916"/>
  <c r="GF461" i="23916"/>
  <c r="GB461" i="23916"/>
  <c r="FX461" i="23916"/>
  <c r="FT461" i="23916"/>
  <c r="FP461" i="23916"/>
  <c r="FL461" i="23916"/>
  <c r="FH461" i="23916"/>
  <c r="FD461" i="23916"/>
  <c r="GI459" i="23916"/>
  <c r="GH459" i="23916"/>
  <c r="GH461" i="23916" s="1"/>
  <c r="GF459" i="23916"/>
  <c r="GE459" i="23916"/>
  <c r="GD459" i="23916"/>
  <c r="GD461" i="23916" s="1"/>
  <c r="GB459" i="23916"/>
  <c r="GA459" i="23916"/>
  <c r="FZ459" i="23916"/>
  <c r="FZ461" i="23916" s="1"/>
  <c r="FX459" i="23916"/>
  <c r="FW459" i="23916"/>
  <c r="FV459" i="23916"/>
  <c r="FV461" i="23916" s="1"/>
  <c r="FT459" i="23916"/>
  <c r="FS459" i="23916"/>
  <c r="FR459" i="23916"/>
  <c r="FR461" i="23916" s="1"/>
  <c r="FP459" i="23916"/>
  <c r="FO459" i="23916"/>
  <c r="FN459" i="23916"/>
  <c r="FN461" i="23916" s="1"/>
  <c r="FL459" i="23916"/>
  <c r="FK459" i="23916"/>
  <c r="FJ459" i="23916"/>
  <c r="FJ461" i="23916" s="1"/>
  <c r="FH459" i="23916"/>
  <c r="FG459" i="23916"/>
  <c r="FF459" i="23916"/>
  <c r="FF461" i="23916" s="1"/>
  <c r="FD459" i="23916"/>
  <c r="FC459" i="23916"/>
  <c r="FB459" i="23916"/>
  <c r="FB461" i="23916" s="1"/>
  <c r="EL459" i="23916"/>
  <c r="EK459" i="23916"/>
  <c r="EJ459" i="23916"/>
  <c r="EH459" i="23916"/>
  <c r="EF459" i="23916"/>
  <c r="ED459" i="23916"/>
  <c r="EB459" i="23916"/>
  <c r="DZ459" i="23916"/>
  <c r="DX459" i="23916"/>
  <c r="DV459" i="23916"/>
  <c r="DT459" i="23916"/>
  <c r="DR459" i="23916"/>
  <c r="DP459" i="23916"/>
  <c r="DN459" i="23916"/>
  <c r="DL459" i="23916"/>
  <c r="DJ459" i="23916"/>
  <c r="DH459" i="23916"/>
  <c r="DF459" i="23916"/>
  <c r="DD459" i="23916"/>
  <c r="DB459" i="23916"/>
  <c r="CZ459" i="23916"/>
  <c r="CX459" i="23916"/>
  <c r="CV459" i="23916"/>
  <c r="CT459" i="23916"/>
  <c r="CR459" i="23916"/>
  <c r="CP459" i="23916"/>
  <c r="CN459" i="23916"/>
  <c r="CL459" i="23916"/>
  <c r="CJ459" i="23916"/>
  <c r="CH459" i="23916"/>
  <c r="CF459" i="23916"/>
  <c r="CD459" i="23916"/>
  <c r="CB459" i="23916"/>
  <c r="BZ459" i="23916"/>
  <c r="BX459" i="23916"/>
  <c r="BV459" i="23916"/>
  <c r="BT459" i="23916"/>
  <c r="BR459" i="23916"/>
  <c r="BP459" i="23916"/>
  <c r="BN459" i="23916"/>
  <c r="BL459" i="23916"/>
  <c r="BJ459" i="23916"/>
  <c r="BH459" i="23916"/>
  <c r="BF459" i="23916"/>
  <c r="BD459" i="23916"/>
  <c r="BB459" i="23916"/>
  <c r="AZ459" i="23916"/>
  <c r="AX459" i="23916"/>
  <c r="AV459" i="23916"/>
  <c r="AT459" i="23916"/>
  <c r="AR459" i="23916"/>
  <c r="AP459" i="23916"/>
  <c r="AN459" i="23916"/>
  <c r="AL459" i="23916"/>
  <c r="AJ459" i="23916"/>
  <c r="AH459" i="23916"/>
  <c r="AF459" i="23916"/>
  <c r="AD459" i="23916"/>
  <c r="AB459" i="23916"/>
  <c r="Z459" i="23916"/>
  <c r="X459" i="23916"/>
  <c r="V459" i="23916"/>
  <c r="T459" i="23916"/>
  <c r="R459" i="23916"/>
  <c r="P459" i="23916"/>
  <c r="N459" i="23916"/>
  <c r="FX443" i="23916"/>
  <c r="K442" i="23916"/>
  <c r="I442" i="23916"/>
  <c r="G442" i="23916"/>
  <c r="E442" i="23916"/>
  <c r="GS442" i="23916"/>
  <c r="GQ442" i="23916"/>
  <c r="GO442" i="23916"/>
  <c r="FX442" i="23916"/>
  <c r="EZ442" i="23916"/>
  <c r="EX442" i="23916"/>
  <c r="EV442" i="23916"/>
  <c r="EI442" i="23916"/>
  <c r="EG442" i="23916"/>
  <c r="EE442" i="23916"/>
  <c r="EC442" i="23916"/>
  <c r="BY442" i="23916"/>
  <c r="AE442" i="23916"/>
  <c r="AF442" i="23916" s="1"/>
  <c r="AA442" i="23916"/>
  <c r="AB442" i="23916" s="1"/>
  <c r="Z442" i="23916"/>
  <c r="Y442" i="23916"/>
  <c r="W442" i="23916"/>
  <c r="X442" i="23916" s="1"/>
  <c r="V442" i="23916"/>
  <c r="U442" i="23916"/>
  <c r="S442" i="23916"/>
  <c r="T442" i="23916" s="1"/>
  <c r="R442" i="23916"/>
  <c r="Q442" i="23916"/>
  <c r="O442" i="23916"/>
  <c r="P442" i="23916" s="1"/>
  <c r="N442" i="23916"/>
  <c r="M442" i="23916"/>
  <c r="FX436" i="23916"/>
  <c r="FX489" i="23916" s="1"/>
  <c r="EC436" i="23916"/>
  <c r="EC489" i="23916" s="1"/>
  <c r="K436" i="23916"/>
  <c r="K489" i="23916" s="1"/>
  <c r="GQ435" i="23916"/>
  <c r="GO435" i="23916"/>
  <c r="GJ435" i="23916"/>
  <c r="GM435" i="23916" s="1"/>
  <c r="GH435" i="23916"/>
  <c r="GI435" i="23916" s="1"/>
  <c r="GF435" i="23916"/>
  <c r="GD435" i="23916"/>
  <c r="GE435" i="23916" s="1"/>
  <c r="GB435" i="23916"/>
  <c r="FZ435" i="23916"/>
  <c r="GA435" i="23916" s="1"/>
  <c r="ER435" i="23916"/>
  <c r="ER432" i="23916"/>
  <c r="ER431" i="23916"/>
  <c r="ER430" i="23916"/>
  <c r="ER429" i="23916"/>
  <c r="ER428" i="23916"/>
  <c r="ER427" i="23916"/>
  <c r="ER426" i="23916"/>
  <c r="ER425" i="23916"/>
  <c r="ER424" i="23916"/>
  <c r="ER423" i="23916"/>
  <c r="ER422" i="23916"/>
  <c r="EP435" i="23916"/>
  <c r="EP432" i="23916"/>
  <c r="EP431" i="23916"/>
  <c r="EP430" i="23916"/>
  <c r="EP429" i="23916"/>
  <c r="EP428" i="23916"/>
  <c r="EP427" i="23916"/>
  <c r="EP426" i="23916"/>
  <c r="EP425" i="23916"/>
  <c r="EP424" i="23916"/>
  <c r="EP423" i="23916"/>
  <c r="EP422" i="23916"/>
  <c r="EN435" i="23916"/>
  <c r="EN432" i="23916"/>
  <c r="EN431" i="23916"/>
  <c r="EN430" i="23916"/>
  <c r="EN429" i="23916"/>
  <c r="EN428" i="23916"/>
  <c r="EN427" i="23916"/>
  <c r="EN426" i="23916"/>
  <c r="EN425" i="23916"/>
  <c r="EN424" i="23916"/>
  <c r="EN423" i="23916"/>
  <c r="EN422" i="23916"/>
  <c r="EL435" i="23916"/>
  <c r="EL434" i="23916"/>
  <c r="EL432" i="23916"/>
  <c r="EL431" i="23916"/>
  <c r="EL430" i="23916"/>
  <c r="EL429" i="23916"/>
  <c r="EL428" i="23916"/>
  <c r="EL427" i="23916"/>
  <c r="EL426" i="23916"/>
  <c r="EL425" i="23916"/>
  <c r="EL424" i="23916"/>
  <c r="EL423" i="23916"/>
  <c r="EL422" i="23916"/>
  <c r="EJ435" i="23916"/>
  <c r="EJ432" i="23916"/>
  <c r="EJ431" i="23916"/>
  <c r="EJ430" i="23916"/>
  <c r="EJ429" i="23916"/>
  <c r="EJ428" i="23916"/>
  <c r="EJ427" i="23916"/>
  <c r="EJ426" i="23916"/>
  <c r="EJ425" i="23916"/>
  <c r="EJ424" i="23916"/>
  <c r="EJ423" i="23916"/>
  <c r="EJ422" i="23916"/>
  <c r="EH435" i="23916"/>
  <c r="EH432" i="23916"/>
  <c r="EH431" i="23916"/>
  <c r="EH430" i="23916"/>
  <c r="EH429" i="23916"/>
  <c r="EH428" i="23916"/>
  <c r="EH427" i="23916"/>
  <c r="EH426" i="23916"/>
  <c r="EH425" i="23916"/>
  <c r="EH424" i="23916"/>
  <c r="EH423" i="23916"/>
  <c r="EH422" i="23916"/>
  <c r="EF435" i="23916"/>
  <c r="EF432" i="23916"/>
  <c r="EF431" i="23916"/>
  <c r="EF430" i="23916"/>
  <c r="EF429" i="23916"/>
  <c r="EF428" i="23916"/>
  <c r="EF427" i="23916"/>
  <c r="EF426" i="23916"/>
  <c r="EF425" i="23916"/>
  <c r="EF424" i="23916"/>
  <c r="EF423" i="23916"/>
  <c r="EF422" i="23916"/>
  <c r="ED435" i="23916"/>
  <c r="ED433" i="23916"/>
  <c r="ED432" i="23916"/>
  <c r="ED431" i="23916"/>
  <c r="ED430" i="23916"/>
  <c r="ED429" i="23916"/>
  <c r="ED428" i="23916"/>
  <c r="ED427" i="23916"/>
  <c r="ED426" i="23916"/>
  <c r="ED425" i="23916"/>
  <c r="ED424" i="23916"/>
  <c r="ED423" i="23916"/>
  <c r="ED422" i="23916"/>
  <c r="EB435" i="23916"/>
  <c r="EB432" i="23916"/>
  <c r="EB431" i="23916"/>
  <c r="EB430" i="23916"/>
  <c r="EB429" i="23916"/>
  <c r="EB428" i="23916"/>
  <c r="EB427" i="23916"/>
  <c r="EB426" i="23916"/>
  <c r="EB425" i="23916"/>
  <c r="EB424" i="23916"/>
  <c r="EB423" i="23916"/>
  <c r="EB422" i="23916"/>
  <c r="DZ435" i="23916"/>
  <c r="DZ433" i="23916"/>
  <c r="DZ432" i="23916"/>
  <c r="DZ431" i="23916"/>
  <c r="DZ430" i="23916"/>
  <c r="DZ429" i="23916"/>
  <c r="DZ428" i="23916"/>
  <c r="DZ427" i="23916"/>
  <c r="DZ426" i="23916"/>
  <c r="DZ425" i="23916"/>
  <c r="DZ424" i="23916"/>
  <c r="DZ423" i="23916"/>
  <c r="DZ422" i="23916"/>
  <c r="DX435" i="23916"/>
  <c r="DX433" i="23916"/>
  <c r="DX432" i="23916"/>
  <c r="DX431" i="23916"/>
  <c r="DX430" i="23916"/>
  <c r="DX429" i="23916"/>
  <c r="DX428" i="23916"/>
  <c r="DX427" i="23916"/>
  <c r="DX426" i="23916"/>
  <c r="DX425" i="23916"/>
  <c r="DX424" i="23916"/>
  <c r="DX423" i="23916"/>
  <c r="DX422" i="23916"/>
  <c r="DV435" i="23916"/>
  <c r="DV433" i="23916"/>
  <c r="DV432" i="23916"/>
  <c r="DV431" i="23916"/>
  <c r="DV430" i="23916"/>
  <c r="DV429" i="23916"/>
  <c r="DV428" i="23916"/>
  <c r="DV427" i="23916"/>
  <c r="DV426" i="23916"/>
  <c r="DV425" i="23916"/>
  <c r="DV424" i="23916"/>
  <c r="DV423" i="23916"/>
  <c r="DV422" i="23916"/>
  <c r="DT435" i="23916"/>
  <c r="DT433" i="23916"/>
  <c r="DT432" i="23916"/>
  <c r="DT431" i="23916"/>
  <c r="DT430" i="23916"/>
  <c r="DT429" i="23916"/>
  <c r="DT428" i="23916"/>
  <c r="DT427" i="23916"/>
  <c r="DT426" i="23916"/>
  <c r="DT425" i="23916"/>
  <c r="DT424" i="23916"/>
  <c r="DT423" i="23916"/>
  <c r="DT422" i="23916"/>
  <c r="DR435" i="23916"/>
  <c r="DR433" i="23916"/>
  <c r="DP435" i="23916"/>
  <c r="DP433" i="23916"/>
  <c r="DN435" i="23916"/>
  <c r="DN433" i="23916"/>
  <c r="DL435" i="23916"/>
  <c r="DL433" i="23916"/>
  <c r="DL432" i="23916"/>
  <c r="DL431" i="23916"/>
  <c r="DL430" i="23916"/>
  <c r="DL429" i="23916"/>
  <c r="DL428" i="23916"/>
  <c r="DL427" i="23916"/>
  <c r="DL426" i="23916"/>
  <c r="DL425" i="23916"/>
  <c r="DL424" i="23916"/>
  <c r="DL423" i="23916"/>
  <c r="DL422" i="23916"/>
  <c r="CV435" i="23916"/>
  <c r="CV431" i="23916"/>
  <c r="CV430" i="23916"/>
  <c r="CV429" i="23916"/>
  <c r="CV428" i="23916"/>
  <c r="CV427" i="23916"/>
  <c r="CV426" i="23916"/>
  <c r="CV425" i="23916"/>
  <c r="CV424" i="23916"/>
  <c r="CV423" i="23916"/>
  <c r="CV422" i="23916"/>
  <c r="CT435" i="23916"/>
  <c r="CT431" i="23916"/>
  <c r="CT430" i="23916"/>
  <c r="CT429" i="23916"/>
  <c r="CT428" i="23916"/>
  <c r="CT427" i="23916"/>
  <c r="CT426" i="23916"/>
  <c r="CT425" i="23916"/>
  <c r="CT424" i="23916"/>
  <c r="CT423" i="23916"/>
  <c r="CT422" i="23916"/>
  <c r="CR435" i="23916"/>
  <c r="CR431" i="23916"/>
  <c r="CR430" i="23916"/>
  <c r="CR429" i="23916"/>
  <c r="CR428" i="23916"/>
  <c r="CR427" i="23916"/>
  <c r="CR426" i="23916"/>
  <c r="CR425" i="23916"/>
  <c r="CR424" i="23916"/>
  <c r="CR423" i="23916"/>
  <c r="CR422" i="23916"/>
  <c r="CP435" i="23916"/>
  <c r="CP431" i="23916"/>
  <c r="CP430" i="23916"/>
  <c r="CP429" i="23916"/>
  <c r="CP428" i="23916"/>
  <c r="CP427" i="23916"/>
  <c r="CP426" i="23916"/>
  <c r="CP425" i="23916"/>
  <c r="CP424" i="23916"/>
  <c r="CP423" i="23916"/>
  <c r="CP422" i="23916"/>
  <c r="CN435" i="23916"/>
  <c r="CN431" i="23916"/>
  <c r="CN430" i="23916"/>
  <c r="CN429" i="23916"/>
  <c r="CN428" i="23916"/>
  <c r="CN427" i="23916"/>
  <c r="CN426" i="23916"/>
  <c r="CN425" i="23916"/>
  <c r="CN424" i="23916"/>
  <c r="CN423" i="23916"/>
  <c r="CN422" i="23916"/>
  <c r="CL435" i="23916"/>
  <c r="CL431" i="23916"/>
  <c r="CL430" i="23916"/>
  <c r="CL429" i="23916"/>
  <c r="CL428" i="23916"/>
  <c r="CL427" i="23916"/>
  <c r="CL426" i="23916"/>
  <c r="CL425" i="23916"/>
  <c r="CL424" i="23916"/>
  <c r="CL423" i="23916"/>
  <c r="CL422" i="23916"/>
  <c r="CJ435" i="23916"/>
  <c r="CJ431" i="23916"/>
  <c r="CJ430" i="23916"/>
  <c r="CJ429" i="23916"/>
  <c r="CJ428" i="23916"/>
  <c r="CJ427" i="23916"/>
  <c r="CJ426" i="23916"/>
  <c r="CJ425" i="23916"/>
  <c r="CJ424" i="23916"/>
  <c r="CJ423" i="23916"/>
  <c r="CJ422" i="23916"/>
  <c r="CH435" i="23916"/>
  <c r="CH431" i="23916"/>
  <c r="CH430" i="23916"/>
  <c r="CH429" i="23916"/>
  <c r="CH428" i="23916"/>
  <c r="CH427" i="23916"/>
  <c r="CH426" i="23916"/>
  <c r="CH425" i="23916"/>
  <c r="CH424" i="23916"/>
  <c r="CH423" i="23916"/>
  <c r="CH422" i="23916"/>
  <c r="CF435" i="23916"/>
  <c r="CF431" i="23916"/>
  <c r="CF430" i="23916"/>
  <c r="CF429" i="23916"/>
  <c r="CF428" i="23916"/>
  <c r="CF427" i="23916"/>
  <c r="CF426" i="23916"/>
  <c r="CF425" i="23916"/>
  <c r="CF424" i="23916"/>
  <c r="CF423" i="23916"/>
  <c r="CF422" i="23916"/>
  <c r="CD435" i="23916"/>
  <c r="CD431" i="23916"/>
  <c r="CD430" i="23916"/>
  <c r="CD429" i="23916"/>
  <c r="CD428" i="23916"/>
  <c r="CD427" i="23916"/>
  <c r="CD426" i="23916"/>
  <c r="CD425" i="23916"/>
  <c r="CD424" i="23916"/>
  <c r="CD423" i="23916"/>
  <c r="CD422" i="23916"/>
  <c r="CB435" i="23916"/>
  <c r="CB431" i="23916"/>
  <c r="CB430" i="23916"/>
  <c r="CB429" i="23916"/>
  <c r="CB428" i="23916"/>
  <c r="CB427" i="23916"/>
  <c r="CB426" i="23916"/>
  <c r="CB425" i="23916"/>
  <c r="CB424" i="23916"/>
  <c r="CB423" i="23916"/>
  <c r="CB422" i="23916"/>
  <c r="BZ435" i="23916"/>
  <c r="BZ432" i="23916"/>
  <c r="BZ431" i="23916"/>
  <c r="BZ430" i="23916"/>
  <c r="BZ429" i="23916"/>
  <c r="BZ428" i="23916"/>
  <c r="BZ427" i="23916"/>
  <c r="BZ426" i="23916"/>
  <c r="BZ425" i="23916"/>
  <c r="BZ424" i="23916"/>
  <c r="BZ423" i="23916"/>
  <c r="BZ422" i="23916"/>
  <c r="BX435" i="23916"/>
  <c r="BX432" i="23916"/>
  <c r="BX431" i="23916"/>
  <c r="BX430" i="23916"/>
  <c r="BX429" i="23916"/>
  <c r="BX428" i="23916"/>
  <c r="BX427" i="23916"/>
  <c r="BX426" i="23916"/>
  <c r="BX425" i="23916"/>
  <c r="BX424" i="23916"/>
  <c r="BX423" i="23916"/>
  <c r="BX422" i="23916"/>
  <c r="BV435" i="23916"/>
  <c r="BV432" i="23916"/>
  <c r="BV431" i="23916"/>
  <c r="BV430" i="23916"/>
  <c r="BV429" i="23916"/>
  <c r="BV428" i="23916"/>
  <c r="BV427" i="23916"/>
  <c r="BV426" i="23916"/>
  <c r="BV425" i="23916"/>
  <c r="BV424" i="23916"/>
  <c r="BV423" i="23916"/>
  <c r="BV422" i="23916"/>
  <c r="BT435" i="23916"/>
  <c r="BT432" i="23916"/>
  <c r="BT431" i="23916"/>
  <c r="BT430" i="23916"/>
  <c r="BT429" i="23916"/>
  <c r="BT428" i="23916"/>
  <c r="BT427" i="23916"/>
  <c r="BT426" i="23916"/>
  <c r="BT425" i="23916"/>
  <c r="BT424" i="23916"/>
  <c r="BT423" i="23916"/>
  <c r="BT422" i="23916"/>
  <c r="BR435" i="23916"/>
  <c r="BR432" i="23916"/>
  <c r="BR431" i="23916"/>
  <c r="BR430" i="23916"/>
  <c r="BR429" i="23916"/>
  <c r="BR428" i="23916"/>
  <c r="BR427" i="23916"/>
  <c r="BR426" i="23916"/>
  <c r="BR425" i="23916"/>
  <c r="BR424" i="23916"/>
  <c r="BR423" i="23916"/>
  <c r="BR422" i="23916"/>
  <c r="BP435" i="23916"/>
  <c r="BP432" i="23916"/>
  <c r="BP431" i="23916"/>
  <c r="BP429" i="23916"/>
  <c r="BP428" i="23916"/>
  <c r="BP427" i="23916"/>
  <c r="BP426" i="23916"/>
  <c r="BP425" i="23916"/>
  <c r="BP424" i="23916"/>
  <c r="BP423" i="23916"/>
  <c r="BP422" i="23916"/>
  <c r="BN435" i="23916"/>
  <c r="BN432" i="23916"/>
  <c r="BN431" i="23916"/>
  <c r="BN430" i="23916"/>
  <c r="BN429" i="23916"/>
  <c r="BN428" i="23916"/>
  <c r="BN427" i="23916"/>
  <c r="BN426" i="23916"/>
  <c r="BN425" i="23916"/>
  <c r="BN424" i="23916"/>
  <c r="BN423" i="23916"/>
  <c r="BN422" i="23916"/>
  <c r="BL435" i="23916"/>
  <c r="BL432" i="23916"/>
  <c r="BL431" i="23916"/>
  <c r="BL430" i="23916"/>
  <c r="BL429" i="23916"/>
  <c r="BL428" i="23916"/>
  <c r="BL427" i="23916"/>
  <c r="BL426" i="23916"/>
  <c r="BL425" i="23916"/>
  <c r="BL424" i="23916"/>
  <c r="BL423" i="23916"/>
  <c r="BL422" i="23916"/>
  <c r="BJ435" i="23916"/>
  <c r="BJ432" i="23916"/>
  <c r="BJ431" i="23916"/>
  <c r="BJ430" i="23916"/>
  <c r="BJ429" i="23916"/>
  <c r="BJ428" i="23916"/>
  <c r="BJ427" i="23916"/>
  <c r="BJ426" i="23916"/>
  <c r="BJ425" i="23916"/>
  <c r="BJ424" i="23916"/>
  <c r="BJ423" i="23916"/>
  <c r="BJ422" i="23916"/>
  <c r="BH435" i="23916"/>
  <c r="BH432" i="23916"/>
  <c r="BH431" i="23916"/>
  <c r="BH429" i="23916"/>
  <c r="BH428" i="23916"/>
  <c r="BH427" i="23916"/>
  <c r="BH426" i="23916"/>
  <c r="BH425" i="23916"/>
  <c r="BH424" i="23916"/>
  <c r="BH423" i="23916"/>
  <c r="BH422" i="23916"/>
  <c r="BF435" i="23916"/>
  <c r="BF432" i="23916"/>
  <c r="BF431" i="23916"/>
  <c r="BF429" i="23916"/>
  <c r="BF427" i="23916"/>
  <c r="BF426" i="23916"/>
  <c r="BF425" i="23916"/>
  <c r="BF424" i="23916"/>
  <c r="BF423" i="23916"/>
  <c r="BF422" i="23916"/>
  <c r="BD435" i="23916"/>
  <c r="BD432" i="23916"/>
  <c r="BD431" i="23916"/>
  <c r="BD429" i="23916"/>
  <c r="BD428" i="23916"/>
  <c r="BD427" i="23916"/>
  <c r="BD426" i="23916"/>
  <c r="BD425" i="23916"/>
  <c r="BD424" i="23916"/>
  <c r="BD423" i="23916"/>
  <c r="BD422" i="23916"/>
  <c r="BB435" i="23916"/>
  <c r="BB432" i="23916"/>
  <c r="BB431" i="23916"/>
  <c r="BB430" i="23916"/>
  <c r="BB429" i="23916"/>
  <c r="BB428" i="23916"/>
  <c r="BB427" i="23916"/>
  <c r="BB426" i="23916"/>
  <c r="BB425" i="23916"/>
  <c r="BB424" i="23916"/>
  <c r="BB423" i="23916"/>
  <c r="BB422" i="23916"/>
  <c r="AZ435" i="23916"/>
  <c r="AZ432" i="23916"/>
  <c r="AZ431" i="23916"/>
  <c r="AZ429" i="23916"/>
  <c r="AZ428" i="23916"/>
  <c r="AZ427" i="23916"/>
  <c r="AZ426" i="23916"/>
  <c r="AZ425" i="23916"/>
  <c r="AZ424" i="23916"/>
  <c r="AZ423" i="23916"/>
  <c r="AZ422" i="23916"/>
  <c r="AX435" i="23916"/>
  <c r="AX432" i="23916"/>
  <c r="AX431" i="23916"/>
  <c r="AX429" i="23916"/>
  <c r="AX427" i="23916"/>
  <c r="AX426" i="23916"/>
  <c r="AX425" i="23916"/>
  <c r="AX424" i="23916"/>
  <c r="AX423" i="23916"/>
  <c r="AX422" i="23916"/>
  <c r="AV435" i="23916"/>
  <c r="AV432" i="23916"/>
  <c r="AV431" i="23916"/>
  <c r="AV429" i="23916"/>
  <c r="AV428" i="23916"/>
  <c r="AV427" i="23916"/>
  <c r="AV426" i="23916"/>
  <c r="AV425" i="23916"/>
  <c r="AV424" i="23916"/>
  <c r="AV423" i="23916"/>
  <c r="AV422" i="23916"/>
  <c r="AT435" i="23916"/>
  <c r="AT432" i="23916"/>
  <c r="AT431" i="23916"/>
  <c r="AT430" i="23916"/>
  <c r="AT429" i="23916"/>
  <c r="AT428" i="23916"/>
  <c r="AT427" i="23916"/>
  <c r="AT426" i="23916"/>
  <c r="AT425" i="23916"/>
  <c r="AT424" i="23916"/>
  <c r="AT423" i="23916"/>
  <c r="AT422" i="23916"/>
  <c r="AR435" i="23916"/>
  <c r="AR432" i="23916"/>
  <c r="AR431" i="23916"/>
  <c r="AR430" i="23916"/>
  <c r="AR429" i="23916"/>
  <c r="AR428" i="23916"/>
  <c r="AR427" i="23916"/>
  <c r="AR426" i="23916"/>
  <c r="AR425" i="23916"/>
  <c r="AR424" i="23916"/>
  <c r="AR423" i="23916"/>
  <c r="AR422" i="23916"/>
  <c r="AP435" i="23916"/>
  <c r="AP432" i="23916"/>
  <c r="AP431" i="23916"/>
  <c r="AP430" i="23916"/>
  <c r="AP429" i="23916"/>
  <c r="AP428" i="23916"/>
  <c r="AP427" i="23916"/>
  <c r="AP426" i="23916"/>
  <c r="AP425" i="23916"/>
  <c r="AP424" i="23916"/>
  <c r="AP423" i="23916"/>
  <c r="AP422" i="23916"/>
  <c r="AN435" i="23916"/>
  <c r="AN432" i="23916"/>
  <c r="AN431" i="23916"/>
  <c r="AN430" i="23916"/>
  <c r="AN429" i="23916"/>
  <c r="AN428" i="23916"/>
  <c r="AN427" i="23916"/>
  <c r="AN426" i="23916"/>
  <c r="AN425" i="23916"/>
  <c r="AN424" i="23916"/>
  <c r="AN423" i="23916"/>
  <c r="AN422" i="23916"/>
  <c r="AL435" i="23916"/>
  <c r="AL432" i="23916"/>
  <c r="AL431" i="23916"/>
  <c r="AL430" i="23916"/>
  <c r="AL429" i="23916"/>
  <c r="AL428" i="23916"/>
  <c r="AL427" i="23916"/>
  <c r="AL426" i="23916"/>
  <c r="AL425" i="23916"/>
  <c r="AL424" i="23916"/>
  <c r="AL423" i="23916"/>
  <c r="AL422" i="23916"/>
  <c r="AJ432" i="23916"/>
  <c r="AJ431" i="23916"/>
  <c r="AJ430" i="23916"/>
  <c r="AJ429" i="23916"/>
  <c r="AJ428" i="23916"/>
  <c r="AJ427" i="23916"/>
  <c r="AJ426" i="23916"/>
  <c r="AJ425" i="23916"/>
  <c r="AJ424" i="23916"/>
  <c r="AJ423" i="23916"/>
  <c r="AJ422" i="23916"/>
  <c r="AH435" i="23916"/>
  <c r="AH432" i="23916"/>
  <c r="AH431" i="23916"/>
  <c r="AH430" i="23916"/>
  <c r="AH429" i="23916"/>
  <c r="AH428" i="23916"/>
  <c r="AH427" i="23916"/>
  <c r="AH426" i="23916"/>
  <c r="AH425" i="23916"/>
  <c r="AH424" i="23916"/>
  <c r="AH423" i="23916"/>
  <c r="AH422" i="23916"/>
  <c r="AF435" i="23916"/>
  <c r="AF434" i="23916"/>
  <c r="AF432" i="23916"/>
  <c r="AF431" i="23916"/>
  <c r="AF430" i="23916"/>
  <c r="AF429" i="23916"/>
  <c r="AF428" i="23916"/>
  <c r="AF427" i="23916"/>
  <c r="AF426" i="23916"/>
  <c r="AF425" i="23916"/>
  <c r="AF424" i="23916"/>
  <c r="AF423" i="23916"/>
  <c r="AF422" i="23916"/>
  <c r="AD432" i="23916"/>
  <c r="AD431" i="23916"/>
  <c r="AD430" i="23916"/>
  <c r="AD429" i="23916"/>
  <c r="AD428" i="23916"/>
  <c r="AD427" i="23916"/>
  <c r="AD426" i="23916"/>
  <c r="AD425" i="23916"/>
  <c r="AD424" i="23916"/>
  <c r="AD423" i="23916"/>
  <c r="AD422" i="23916"/>
  <c r="AA435" i="23916"/>
  <c r="AJ435" i="23916" s="1"/>
  <c r="Y435" i="23916"/>
  <c r="U435" i="23916"/>
  <c r="V435" i="23916" s="1"/>
  <c r="S435" i="23916"/>
  <c r="T435" i="23916" s="1"/>
  <c r="Q435" i="23916"/>
  <c r="R435" i="23916" s="1"/>
  <c r="O435" i="23916"/>
  <c r="X435" i="23916" s="1"/>
  <c r="M435" i="23916"/>
  <c r="N435" i="23916" s="1"/>
  <c r="FB434" i="23916"/>
  <c r="FB490" i="23916" s="1"/>
  <c r="FC490" i="23916" s="1"/>
  <c r="FB432" i="23916"/>
  <c r="FB431" i="23916"/>
  <c r="FB430" i="23916"/>
  <c r="FB429" i="23916"/>
  <c r="FB428" i="23916"/>
  <c r="FB427" i="23916"/>
  <c r="FB426" i="23916"/>
  <c r="FB425" i="23916"/>
  <c r="FB424" i="23916"/>
  <c r="FB423" i="23916"/>
  <c r="FB422" i="23916"/>
  <c r="FB433" i="23916" s="1"/>
  <c r="EQ433" i="23916"/>
  <c r="ER433" i="23916" s="1"/>
  <c r="EO433" i="23916"/>
  <c r="EM434" i="23916"/>
  <c r="EM433" i="23916"/>
  <c r="EN433" i="23916" s="1"/>
  <c r="EA434" i="23916"/>
  <c r="EA490" i="23916" s="1"/>
  <c r="EA433" i="23916"/>
  <c r="EB433" i="23916" s="1"/>
  <c r="DY434" i="23916"/>
  <c r="DY490" i="23916" s="1"/>
  <c r="DW434" i="23916"/>
  <c r="DW490" i="23916" s="1"/>
  <c r="DU434" i="23916"/>
  <c r="DU490" i="23916" s="1"/>
  <c r="DS434" i="23916"/>
  <c r="DS490" i="23916" s="1"/>
  <c r="DQ434" i="23916"/>
  <c r="DQ490" i="23916" s="1"/>
  <c r="DO434" i="23916"/>
  <c r="DO490" i="23916" s="1"/>
  <c r="DM434" i="23916"/>
  <c r="DM490" i="23916" s="1"/>
  <c r="DK434" i="23916"/>
  <c r="DK490" i="23916" s="1"/>
  <c r="DI434" i="23916"/>
  <c r="DI490" i="23916" s="1"/>
  <c r="DG434" i="23916"/>
  <c r="DG490" i="23916" s="1"/>
  <c r="DE434" i="23916"/>
  <c r="DE490" i="23916" s="1"/>
  <c r="DC434" i="23916"/>
  <c r="DC490" i="23916" s="1"/>
  <c r="DA434" i="23916"/>
  <c r="DA490" i="23916" s="1"/>
  <c r="DB490" i="23916" s="1"/>
  <c r="CY434" i="23916"/>
  <c r="CY490" i="23916" s="1"/>
  <c r="CW434" i="23916"/>
  <c r="CW490" i="23916" s="1"/>
  <c r="CU434" i="23916"/>
  <c r="CU490" i="23916" s="1"/>
  <c r="CV490" i="23916" s="1"/>
  <c r="CU433" i="23916"/>
  <c r="CU436" i="23916" s="1"/>
  <c r="CS434" i="23916"/>
  <c r="CS490" i="23916" s="1"/>
  <c r="CS432" i="23916"/>
  <c r="CS433" i="23916" s="1"/>
  <c r="CQ434" i="23916"/>
  <c r="CQ490" i="23916" s="1"/>
  <c r="CQ432" i="23916"/>
  <c r="CR432" i="23916" s="1"/>
  <c r="CO434" i="23916"/>
  <c r="CO490" i="23916" s="1"/>
  <c r="CO433" i="23916"/>
  <c r="CO436" i="23916" s="1"/>
  <c r="CO432" i="23916"/>
  <c r="CP432" i="23916" s="1"/>
  <c r="CM434" i="23916"/>
  <c r="CM490" i="23916" s="1"/>
  <c r="CM432" i="23916"/>
  <c r="CM433" i="23916" s="1"/>
  <c r="CK434" i="23916"/>
  <c r="CK490" i="23916" s="1"/>
  <c r="CK432" i="23916"/>
  <c r="CK433" i="23916" s="1"/>
  <c r="CI434" i="23916"/>
  <c r="CI490" i="23916" s="1"/>
  <c r="CI432" i="23916"/>
  <c r="CJ432" i="23916" s="1"/>
  <c r="CG434" i="23916"/>
  <c r="CG490" i="23916" s="1"/>
  <c r="CH490" i="23916" s="1"/>
  <c r="CG433" i="23916"/>
  <c r="CG436" i="23916" s="1"/>
  <c r="CG432" i="23916"/>
  <c r="CH432" i="23916" s="1"/>
  <c r="CE434" i="23916"/>
  <c r="CE490" i="23916" s="1"/>
  <c r="CE433" i="23916"/>
  <c r="CE436" i="23916" s="1"/>
  <c r="CE432" i="23916"/>
  <c r="CF432" i="23916" s="1"/>
  <c r="CC434" i="23916"/>
  <c r="CC490" i="23916" s="1"/>
  <c r="CC432" i="23916"/>
  <c r="CC433" i="23916" s="1"/>
  <c r="CA434" i="23916"/>
  <c r="CA490" i="23916" s="1"/>
  <c r="CA432" i="23916"/>
  <c r="CB432" i="23916" s="1"/>
  <c r="BW434" i="23916"/>
  <c r="BW490" i="23916" s="1"/>
  <c r="BW433" i="23916"/>
  <c r="BW436" i="23916" s="1"/>
  <c r="BU434" i="23916"/>
  <c r="BU490" i="23916" s="1"/>
  <c r="BU433" i="23916"/>
  <c r="BU436" i="23916" s="1"/>
  <c r="BS434" i="23916"/>
  <c r="BS490" i="23916" s="1"/>
  <c r="BS433" i="23916"/>
  <c r="BS436" i="23916" s="1"/>
  <c r="BQ434" i="23916"/>
  <c r="BQ490" i="23916" s="1"/>
  <c r="BQ433" i="23916"/>
  <c r="BQ436" i="23916" s="1"/>
  <c r="BO434" i="23916"/>
  <c r="BO490" i="23916" s="1"/>
  <c r="BO433" i="23916"/>
  <c r="BO436" i="23916" s="1"/>
  <c r="BM434" i="23916"/>
  <c r="BM490" i="23916" s="1"/>
  <c r="BM433" i="23916"/>
  <c r="BM436" i="23916" s="1"/>
  <c r="BK434" i="23916"/>
  <c r="BK490" i="23916" s="1"/>
  <c r="BK433" i="23916"/>
  <c r="BK436" i="23916" s="1"/>
  <c r="BI434" i="23916"/>
  <c r="BI490" i="23916" s="1"/>
  <c r="BI433" i="23916"/>
  <c r="BI436" i="23916" s="1"/>
  <c r="BG434" i="23916"/>
  <c r="BG490" i="23916" s="1"/>
  <c r="BE434" i="23916"/>
  <c r="BE490" i="23916" s="1"/>
  <c r="BE433" i="23916"/>
  <c r="BE436" i="23916" s="1"/>
  <c r="BC434" i="23916"/>
  <c r="BC490" i="23916" s="1"/>
  <c r="BC433" i="23916"/>
  <c r="BC436" i="23916" s="1"/>
  <c r="BA434" i="23916"/>
  <c r="BA490" i="23916" s="1"/>
  <c r="BA433" i="23916"/>
  <c r="BA436" i="23916" s="1"/>
  <c r="AY434" i="23916"/>
  <c r="AY490" i="23916" s="1"/>
  <c r="AW434" i="23916"/>
  <c r="AW490" i="23916" s="1"/>
  <c r="AU434" i="23916"/>
  <c r="AU490" i="23916" s="1"/>
  <c r="AS434" i="23916"/>
  <c r="AS490" i="23916" s="1"/>
  <c r="AS433" i="23916"/>
  <c r="AS436" i="23916" s="1"/>
  <c r="AQ434" i="23916"/>
  <c r="AQ490" i="23916" s="1"/>
  <c r="AQ433" i="23916"/>
  <c r="AQ436" i="23916" s="1"/>
  <c r="AO434" i="23916"/>
  <c r="AO490" i="23916" s="1"/>
  <c r="AO433" i="23916"/>
  <c r="AO436" i="23916" s="1"/>
  <c r="AM434" i="23916"/>
  <c r="AM490" i="23916" s="1"/>
  <c r="AN490" i="23916" s="1"/>
  <c r="AM433" i="23916"/>
  <c r="AM436" i="23916" s="1"/>
  <c r="AK434" i="23916"/>
  <c r="AK490" i="23916" s="1"/>
  <c r="AK433" i="23916"/>
  <c r="AK436" i="23916" s="1"/>
  <c r="AI434" i="23916"/>
  <c r="AI490" i="23916" s="1"/>
  <c r="AJ490" i="23916" s="1"/>
  <c r="AI433" i="23916"/>
  <c r="AI436" i="23916" s="1"/>
  <c r="AG434" i="23916"/>
  <c r="AG490" i="23916" s="1"/>
  <c r="AH490" i="23916" s="1"/>
  <c r="AG433" i="23916"/>
  <c r="AG436" i="23916" s="1"/>
  <c r="Z434" i="23916"/>
  <c r="Z432" i="23916"/>
  <c r="Z431" i="23916"/>
  <c r="Z430" i="23916"/>
  <c r="Z429" i="23916"/>
  <c r="Z428" i="23916"/>
  <c r="Z427" i="23916"/>
  <c r="Z426" i="23916"/>
  <c r="Z425" i="23916"/>
  <c r="Z424" i="23916"/>
  <c r="Z423" i="23916"/>
  <c r="Z422" i="23916"/>
  <c r="X434" i="23916"/>
  <c r="X432" i="23916"/>
  <c r="X431" i="23916"/>
  <c r="X430" i="23916"/>
  <c r="X429" i="23916"/>
  <c r="X428" i="23916"/>
  <c r="X427" i="23916"/>
  <c r="X426" i="23916"/>
  <c r="X425" i="23916"/>
  <c r="X424" i="23916"/>
  <c r="X423" i="23916"/>
  <c r="X422" i="23916"/>
  <c r="V434" i="23916"/>
  <c r="V432" i="23916"/>
  <c r="V431" i="23916"/>
  <c r="V430" i="23916"/>
  <c r="V429" i="23916"/>
  <c r="V428" i="23916"/>
  <c r="V427" i="23916"/>
  <c r="V426" i="23916"/>
  <c r="V425" i="23916"/>
  <c r="V424" i="23916"/>
  <c r="V423" i="23916"/>
  <c r="V422" i="23916"/>
  <c r="T434" i="23916"/>
  <c r="T433" i="23916"/>
  <c r="T432" i="23916"/>
  <c r="T431" i="23916"/>
  <c r="T430" i="23916"/>
  <c r="T429" i="23916"/>
  <c r="T428" i="23916"/>
  <c r="T427" i="23916"/>
  <c r="T426" i="23916"/>
  <c r="T425" i="23916"/>
  <c r="T424" i="23916"/>
  <c r="T423" i="23916"/>
  <c r="T422" i="23916"/>
  <c r="R434" i="23916"/>
  <c r="R432" i="23916"/>
  <c r="R431" i="23916"/>
  <c r="R430" i="23916"/>
  <c r="R429" i="23916"/>
  <c r="R428" i="23916"/>
  <c r="R427" i="23916"/>
  <c r="R426" i="23916"/>
  <c r="R425" i="23916"/>
  <c r="R424" i="23916"/>
  <c r="R423" i="23916"/>
  <c r="R422" i="23916"/>
  <c r="P434" i="23916"/>
  <c r="P432" i="23916"/>
  <c r="P431" i="23916"/>
  <c r="P430" i="23916"/>
  <c r="P429" i="23916"/>
  <c r="P428" i="23916"/>
  <c r="P427" i="23916"/>
  <c r="P426" i="23916"/>
  <c r="P425" i="23916"/>
  <c r="P424" i="23916"/>
  <c r="P423" i="23916"/>
  <c r="P422" i="23916"/>
  <c r="N434" i="23916"/>
  <c r="N432" i="23916"/>
  <c r="N431" i="23916"/>
  <c r="N430" i="23916"/>
  <c r="N429" i="23916"/>
  <c r="N428" i="23916"/>
  <c r="N427" i="23916"/>
  <c r="N426" i="23916"/>
  <c r="N425" i="23916"/>
  <c r="N424" i="23916"/>
  <c r="N423" i="23916"/>
  <c r="N422" i="23916"/>
  <c r="GT435" i="23916"/>
  <c r="GS435" i="23916"/>
  <c r="GI434" i="23916"/>
  <c r="GH434" i="23916"/>
  <c r="GH490" i="23916" s="1"/>
  <c r="GI490" i="23916" s="1"/>
  <c r="GF434" i="23916"/>
  <c r="GF490" i="23916" s="1"/>
  <c r="GE434" i="23916"/>
  <c r="GD434" i="23916"/>
  <c r="GD490" i="23916" s="1"/>
  <c r="GE490" i="23916" s="1"/>
  <c r="GB434" i="23916"/>
  <c r="GB490" i="23916" s="1"/>
  <c r="GA434" i="23916"/>
  <c r="FZ434" i="23916"/>
  <c r="FZ490" i="23916" s="1"/>
  <c r="GA490" i="23916" s="1"/>
  <c r="GG433" i="23916"/>
  <c r="GF433" i="23916"/>
  <c r="GF436" i="23916" s="1"/>
  <c r="GD433" i="23916"/>
  <c r="GD436" i="23916" s="1"/>
  <c r="GC433" i="23916"/>
  <c r="GB433" i="23916"/>
  <c r="GB436" i="23916" s="1"/>
  <c r="GA433" i="23916"/>
  <c r="FZ433" i="23916"/>
  <c r="FZ436" i="23916" s="1"/>
  <c r="EK433" i="23916"/>
  <c r="EK436" i="23916" s="1"/>
  <c r="EI433" i="23916"/>
  <c r="EJ433" i="23916" s="1"/>
  <c r="EG433" i="23916"/>
  <c r="EG436" i="23916" s="1"/>
  <c r="EE433" i="23916"/>
  <c r="GH433" i="23916" s="1"/>
  <c r="BY433" i="23916"/>
  <c r="BY436" i="23916" s="1"/>
  <c r="AE433" i="23916"/>
  <c r="AE436" i="23916" s="1"/>
  <c r="AC434" i="23916"/>
  <c r="AC490" i="23916" s="1"/>
  <c r="AD490" i="23916" s="1"/>
  <c r="AB434" i="23916"/>
  <c r="AC433" i="23916"/>
  <c r="AC436" i="23916" s="1"/>
  <c r="AB433" i="23916"/>
  <c r="AA433" i="23916"/>
  <c r="AA436" i="23916" s="1"/>
  <c r="Y433" i="23916"/>
  <c r="Y436" i="23916" s="1"/>
  <c r="W433" i="23916"/>
  <c r="W436" i="23916" s="1"/>
  <c r="U433" i="23916"/>
  <c r="U436" i="23916" s="1"/>
  <c r="S433" i="23916"/>
  <c r="S436" i="23916" s="1"/>
  <c r="Q433" i="23916"/>
  <c r="Q436" i="23916" s="1"/>
  <c r="O433" i="23916"/>
  <c r="O436" i="23916" s="1"/>
  <c r="M433" i="23916"/>
  <c r="M436" i="23916" s="1"/>
  <c r="I433" i="23916"/>
  <c r="I436" i="23916" s="1"/>
  <c r="I489" i="23916" s="1"/>
  <c r="G433" i="23916"/>
  <c r="G436" i="23916" s="1"/>
  <c r="G489" i="23916" s="1"/>
  <c r="E433" i="23916"/>
  <c r="E436" i="23916" s="1"/>
  <c r="E489" i="23916" s="1"/>
  <c r="FV435" i="23916"/>
  <c r="FY435" i="23916" s="1"/>
  <c r="FT435" i="23916"/>
  <c r="FU435" i="23916" s="1"/>
  <c r="FR435" i="23916"/>
  <c r="FP435" i="23916"/>
  <c r="FQ435" i="23916" s="1"/>
  <c r="FN435" i="23916"/>
  <c r="FL435" i="23916"/>
  <c r="FM435" i="23916" s="1"/>
  <c r="FJ435" i="23916"/>
  <c r="FH435" i="23916"/>
  <c r="FI435" i="23916" s="1"/>
  <c r="FF435" i="23916"/>
  <c r="FD435" i="23916"/>
  <c r="FE435" i="23916" s="1"/>
  <c r="FC435" i="23916"/>
  <c r="FV434" i="23916"/>
  <c r="FV490" i="23916" s="1"/>
  <c r="FU434" i="23916"/>
  <c r="FT434" i="23916"/>
  <c r="FT490" i="23916" s="1"/>
  <c r="FU490" i="23916" s="1"/>
  <c r="FR434" i="23916"/>
  <c r="FR490" i="23916" s="1"/>
  <c r="FQ434" i="23916"/>
  <c r="FP434" i="23916"/>
  <c r="FP490" i="23916" s="1"/>
  <c r="FQ490" i="23916" s="1"/>
  <c r="FN434" i="23916"/>
  <c r="FN490" i="23916" s="1"/>
  <c r="FM434" i="23916"/>
  <c r="FL434" i="23916"/>
  <c r="FL490" i="23916" s="1"/>
  <c r="FM490" i="23916" s="1"/>
  <c r="FJ434" i="23916"/>
  <c r="FJ490" i="23916" s="1"/>
  <c r="FI434" i="23916"/>
  <c r="FH434" i="23916"/>
  <c r="FH490" i="23916" s="1"/>
  <c r="FI490" i="23916" s="1"/>
  <c r="FF434" i="23916"/>
  <c r="FF490" i="23916" s="1"/>
  <c r="FE434" i="23916"/>
  <c r="FD434" i="23916"/>
  <c r="FD490" i="23916" s="1"/>
  <c r="FE490" i="23916" s="1"/>
  <c r="FC434" i="23916"/>
  <c r="FP433" i="23916"/>
  <c r="FP436" i="23916" s="1"/>
  <c r="FJ433" i="23916"/>
  <c r="FJ436" i="23916" s="1"/>
  <c r="FF433" i="23916"/>
  <c r="FF436" i="23916" s="1"/>
  <c r="FW432" i="23916"/>
  <c r="FV432" i="23916"/>
  <c r="FY432" i="23916" s="1"/>
  <c r="FT432" i="23916"/>
  <c r="FP432" i="23916"/>
  <c r="FQ432" i="23916" s="1"/>
  <c r="FO432" i="23916"/>
  <c r="FN432" i="23916"/>
  <c r="FL432" i="23916"/>
  <c r="FM432" i="23916" s="1"/>
  <c r="FK432" i="23916"/>
  <c r="FJ432" i="23916"/>
  <c r="FH432" i="23916"/>
  <c r="FI432" i="23916" s="1"/>
  <c r="FG432" i="23916"/>
  <c r="FF432" i="23916"/>
  <c r="FD432" i="23916"/>
  <c r="FE432" i="23916" s="1"/>
  <c r="FC432" i="23916"/>
  <c r="AB432" i="23916"/>
  <c r="AB431" i="23916"/>
  <c r="AB430" i="23916"/>
  <c r="AB429" i="23916"/>
  <c r="AB428" i="23916"/>
  <c r="AB427" i="23916"/>
  <c r="AB426" i="23916"/>
  <c r="AB425" i="23916"/>
  <c r="AB424" i="23916"/>
  <c r="AB423" i="23916"/>
  <c r="AB422" i="23916"/>
  <c r="GQ431" i="23916"/>
  <c r="GQ430" i="23916"/>
  <c r="GQ429" i="23916"/>
  <c r="GQ428" i="23916"/>
  <c r="GQ427" i="23916"/>
  <c r="GQ426" i="23916"/>
  <c r="GQ425" i="23916"/>
  <c r="GQ424" i="23916"/>
  <c r="GQ423" i="23916"/>
  <c r="GQ422" i="23916"/>
  <c r="GO431" i="23916"/>
  <c r="GO430" i="23916"/>
  <c r="GO429" i="23916"/>
  <c r="GO428" i="23916"/>
  <c r="GO427" i="23916"/>
  <c r="GO426" i="23916"/>
  <c r="GO425" i="23916"/>
  <c r="GO424" i="23916"/>
  <c r="GO423" i="23916"/>
  <c r="GO422" i="23916"/>
  <c r="DR431" i="23916"/>
  <c r="DR430" i="23916"/>
  <c r="DR429" i="23916"/>
  <c r="DR428" i="23916"/>
  <c r="DR427" i="23916"/>
  <c r="DR426" i="23916"/>
  <c r="DR425" i="23916"/>
  <c r="DR424" i="23916"/>
  <c r="DR423" i="23916"/>
  <c r="DR422" i="23916"/>
  <c r="DP431" i="23916"/>
  <c r="DP430" i="23916"/>
  <c r="DP429" i="23916"/>
  <c r="DP428" i="23916"/>
  <c r="DP427" i="23916"/>
  <c r="DP426" i="23916"/>
  <c r="DP425" i="23916"/>
  <c r="DP424" i="23916"/>
  <c r="DP423" i="23916"/>
  <c r="DP422" i="23916"/>
  <c r="DN431" i="23916"/>
  <c r="DN430" i="23916"/>
  <c r="DN429" i="23916"/>
  <c r="DN428" i="23916"/>
  <c r="DN427" i="23916"/>
  <c r="DN426" i="23916"/>
  <c r="DN425" i="23916"/>
  <c r="DN424" i="23916"/>
  <c r="DN423" i="23916"/>
  <c r="DN422" i="23916"/>
  <c r="DJ431" i="23916"/>
  <c r="DJ430" i="23916"/>
  <c r="DJ429" i="23916"/>
  <c r="DJ428" i="23916"/>
  <c r="DJ427" i="23916"/>
  <c r="DJ426" i="23916"/>
  <c r="DJ425" i="23916"/>
  <c r="DJ424" i="23916"/>
  <c r="DJ423" i="23916"/>
  <c r="DJ422" i="23916"/>
  <c r="DH431" i="23916"/>
  <c r="DH430" i="23916"/>
  <c r="DH429" i="23916"/>
  <c r="DH428" i="23916"/>
  <c r="DH427" i="23916"/>
  <c r="DH426" i="23916"/>
  <c r="DH425" i="23916"/>
  <c r="DH424" i="23916"/>
  <c r="DH423" i="23916"/>
  <c r="DH422" i="23916"/>
  <c r="DF431" i="23916"/>
  <c r="DF430" i="23916"/>
  <c r="DF429" i="23916"/>
  <c r="DF428" i="23916"/>
  <c r="DF427" i="23916"/>
  <c r="DF426" i="23916"/>
  <c r="DF425" i="23916"/>
  <c r="DF424" i="23916"/>
  <c r="DF423" i="23916"/>
  <c r="DF422" i="23916"/>
  <c r="DD431" i="23916"/>
  <c r="DD430" i="23916"/>
  <c r="DD429" i="23916"/>
  <c r="DD428" i="23916"/>
  <c r="DD427" i="23916"/>
  <c r="DD426" i="23916"/>
  <c r="DD425" i="23916"/>
  <c r="DD424" i="23916"/>
  <c r="DD423" i="23916"/>
  <c r="DD422" i="23916"/>
  <c r="DB431" i="23916"/>
  <c r="DB430" i="23916"/>
  <c r="DB429" i="23916"/>
  <c r="DB428" i="23916"/>
  <c r="DB427" i="23916"/>
  <c r="DB426" i="23916"/>
  <c r="DB425" i="23916"/>
  <c r="DB424" i="23916"/>
  <c r="DB423" i="23916"/>
  <c r="DB422" i="23916"/>
  <c r="CZ431" i="23916"/>
  <c r="CZ430" i="23916"/>
  <c r="CZ429" i="23916"/>
  <c r="CZ428" i="23916"/>
  <c r="CZ427" i="23916"/>
  <c r="CZ426" i="23916"/>
  <c r="CZ425" i="23916"/>
  <c r="CZ424" i="23916"/>
  <c r="CZ423" i="23916"/>
  <c r="CZ422" i="23916"/>
  <c r="CX431" i="23916"/>
  <c r="CX430" i="23916"/>
  <c r="CX429" i="23916"/>
  <c r="CX428" i="23916"/>
  <c r="CX427" i="23916"/>
  <c r="CX426" i="23916"/>
  <c r="CX425" i="23916"/>
  <c r="CX424" i="23916"/>
  <c r="CX423" i="23916"/>
  <c r="CX422" i="23916"/>
  <c r="BG430" i="23916"/>
  <c r="BP430" i="23916" s="1"/>
  <c r="AY430" i="23916"/>
  <c r="AZ430" i="23916" s="1"/>
  <c r="AW430" i="23916"/>
  <c r="BF430" i="23916" s="1"/>
  <c r="AU430" i="23916"/>
  <c r="BD430" i="23916" s="1"/>
  <c r="AW428" i="23916"/>
  <c r="AW433" i="23916" s="1"/>
  <c r="GS431" i="23916"/>
  <c r="GT430" i="23916"/>
  <c r="GS430" i="23916"/>
  <c r="GS429" i="23916"/>
  <c r="GT428" i="23916"/>
  <c r="GS428" i="23916"/>
  <c r="GS427" i="23916"/>
  <c r="GT426" i="23916"/>
  <c r="GS426" i="23916"/>
  <c r="GS425" i="23916"/>
  <c r="GT424" i="23916"/>
  <c r="GS424" i="23916"/>
  <c r="GS423" i="23916"/>
  <c r="GT422" i="23916"/>
  <c r="GS422" i="23916"/>
  <c r="GJ431" i="23916"/>
  <c r="GK431" i="23916" s="1"/>
  <c r="GH431" i="23916"/>
  <c r="GT431" i="23916" s="1"/>
  <c r="GF431" i="23916"/>
  <c r="GG431" i="23916" s="1"/>
  <c r="GD431" i="23916"/>
  <c r="GB431" i="23916"/>
  <c r="GC431" i="23916" s="1"/>
  <c r="GA431" i="23916"/>
  <c r="FZ431" i="23916"/>
  <c r="GJ430" i="23916"/>
  <c r="GK430" i="23916" s="1"/>
  <c r="GH430" i="23916"/>
  <c r="GF430" i="23916"/>
  <c r="GG430" i="23916" s="1"/>
  <c r="GD430" i="23916"/>
  <c r="GB430" i="23916"/>
  <c r="GC430" i="23916" s="1"/>
  <c r="FZ430" i="23916"/>
  <c r="GJ429" i="23916"/>
  <c r="GK429" i="23916" s="1"/>
  <c r="GH429" i="23916"/>
  <c r="GT429" i="23916" s="1"/>
  <c r="GF429" i="23916"/>
  <c r="GG429" i="23916" s="1"/>
  <c r="GD429" i="23916"/>
  <c r="GB429" i="23916"/>
  <c r="GC429" i="23916" s="1"/>
  <c r="GA429" i="23916"/>
  <c r="FZ429" i="23916"/>
  <c r="GJ428" i="23916"/>
  <c r="GM428" i="23916" s="1"/>
  <c r="GH428" i="23916"/>
  <c r="GF428" i="23916"/>
  <c r="GG428" i="23916" s="1"/>
  <c r="GD428" i="23916"/>
  <c r="GB428" i="23916"/>
  <c r="GC428" i="23916" s="1"/>
  <c r="FZ428" i="23916"/>
  <c r="GJ427" i="23916"/>
  <c r="GK427" i="23916" s="1"/>
  <c r="GH427" i="23916"/>
  <c r="GT427" i="23916" s="1"/>
  <c r="GF427" i="23916"/>
  <c r="GG427" i="23916" s="1"/>
  <c r="GD427" i="23916"/>
  <c r="GB427" i="23916"/>
  <c r="GC427" i="23916" s="1"/>
  <c r="GA427" i="23916"/>
  <c r="FZ427" i="23916"/>
  <c r="GJ426" i="23916"/>
  <c r="GK426" i="23916" s="1"/>
  <c r="GH426" i="23916"/>
  <c r="GF426" i="23916"/>
  <c r="GG426" i="23916" s="1"/>
  <c r="GD426" i="23916"/>
  <c r="GB426" i="23916"/>
  <c r="GC426" i="23916" s="1"/>
  <c r="FZ426" i="23916"/>
  <c r="GJ425" i="23916"/>
  <c r="GK425" i="23916" s="1"/>
  <c r="GH425" i="23916"/>
  <c r="GT425" i="23916" s="1"/>
  <c r="GF425" i="23916"/>
  <c r="GG425" i="23916" s="1"/>
  <c r="GD425" i="23916"/>
  <c r="GB425" i="23916"/>
  <c r="GC425" i="23916" s="1"/>
  <c r="GA425" i="23916"/>
  <c r="FZ425" i="23916"/>
  <c r="GJ424" i="23916"/>
  <c r="GM424" i="23916" s="1"/>
  <c r="GH424" i="23916"/>
  <c r="GF424" i="23916"/>
  <c r="GG424" i="23916" s="1"/>
  <c r="GD424" i="23916"/>
  <c r="GB424" i="23916"/>
  <c r="GC424" i="23916" s="1"/>
  <c r="FZ424" i="23916"/>
  <c r="GJ423" i="23916"/>
  <c r="GK423" i="23916" s="1"/>
  <c r="GH423" i="23916"/>
  <c r="GT423" i="23916" s="1"/>
  <c r="GF423" i="23916"/>
  <c r="GG423" i="23916" s="1"/>
  <c r="GD423" i="23916"/>
  <c r="GB423" i="23916"/>
  <c r="GC423" i="23916" s="1"/>
  <c r="GA423" i="23916"/>
  <c r="FZ423" i="23916"/>
  <c r="GJ422" i="23916"/>
  <c r="GK422" i="23916" s="1"/>
  <c r="GH422" i="23916"/>
  <c r="GF422" i="23916"/>
  <c r="GG422" i="23916" s="1"/>
  <c r="GD422" i="23916"/>
  <c r="GB422" i="23916"/>
  <c r="GC422" i="23916" s="1"/>
  <c r="FZ422" i="23916"/>
  <c r="FX431" i="23916"/>
  <c r="FY431" i="23916" s="1"/>
  <c r="FW431" i="23916"/>
  <c r="FV431" i="23916"/>
  <c r="FT431" i="23916"/>
  <c r="FS431" i="23916"/>
  <c r="FR431" i="23916"/>
  <c r="FU431" i="23916" s="1"/>
  <c r="FP431" i="23916"/>
  <c r="FO431" i="23916"/>
  <c r="FN431" i="23916"/>
  <c r="FQ431" i="23916" s="1"/>
  <c r="FL431" i="23916"/>
  <c r="FK431" i="23916"/>
  <c r="FJ431" i="23916"/>
  <c r="FM431" i="23916" s="1"/>
  <c r="FH431" i="23916"/>
  <c r="FG431" i="23916"/>
  <c r="FF431" i="23916"/>
  <c r="FI431" i="23916" s="1"/>
  <c r="FE431" i="23916"/>
  <c r="FD431" i="23916"/>
  <c r="FC431" i="23916"/>
  <c r="FX430" i="23916"/>
  <c r="FY430" i="23916" s="1"/>
  <c r="FV430" i="23916"/>
  <c r="FU430" i="23916"/>
  <c r="FT430" i="23916"/>
  <c r="FW430" i="23916" s="1"/>
  <c r="FR430" i="23916"/>
  <c r="FQ430" i="23916"/>
  <c r="FP430" i="23916"/>
  <c r="FS430" i="23916" s="1"/>
  <c r="FN430" i="23916"/>
  <c r="FM430" i="23916"/>
  <c r="FL430" i="23916"/>
  <c r="FO430" i="23916" s="1"/>
  <c r="FJ430" i="23916"/>
  <c r="FI430" i="23916"/>
  <c r="FH430" i="23916"/>
  <c r="FK430" i="23916" s="1"/>
  <c r="FF430" i="23916"/>
  <c r="FE430" i="23916"/>
  <c r="FD430" i="23916"/>
  <c r="FG430" i="23916" s="1"/>
  <c r="FC430" i="23916"/>
  <c r="FX429" i="23916"/>
  <c r="FY429" i="23916" s="1"/>
  <c r="FW429" i="23916"/>
  <c r="FV429" i="23916"/>
  <c r="FT429" i="23916"/>
  <c r="FS429" i="23916"/>
  <c r="FR429" i="23916"/>
  <c r="FU429" i="23916" s="1"/>
  <c r="FP429" i="23916"/>
  <c r="FO429" i="23916"/>
  <c r="FN429" i="23916"/>
  <c r="FQ429" i="23916" s="1"/>
  <c r="FL429" i="23916"/>
  <c r="FK429" i="23916"/>
  <c r="FJ429" i="23916"/>
  <c r="FM429" i="23916" s="1"/>
  <c r="FH429" i="23916"/>
  <c r="FG429" i="23916"/>
  <c r="FF429" i="23916"/>
  <c r="FI429" i="23916" s="1"/>
  <c r="FE429" i="23916"/>
  <c r="FD429" i="23916"/>
  <c r="FC429" i="23916"/>
  <c r="FX428" i="23916"/>
  <c r="GA428" i="23916" s="1"/>
  <c r="FV428" i="23916"/>
  <c r="FU428" i="23916"/>
  <c r="FT428" i="23916"/>
  <c r="FW428" i="23916" s="1"/>
  <c r="FR428" i="23916"/>
  <c r="FQ428" i="23916"/>
  <c r="FP428" i="23916"/>
  <c r="FS428" i="23916" s="1"/>
  <c r="FN428" i="23916"/>
  <c r="FM428" i="23916"/>
  <c r="FL428" i="23916"/>
  <c r="FO428" i="23916" s="1"/>
  <c r="FJ428" i="23916"/>
  <c r="FH428" i="23916"/>
  <c r="FK428" i="23916" s="1"/>
  <c r="FF428" i="23916"/>
  <c r="FD428" i="23916"/>
  <c r="FG428" i="23916" s="1"/>
  <c r="FC428" i="23916"/>
  <c r="FX427" i="23916"/>
  <c r="FV427" i="23916"/>
  <c r="FW427" i="23916" s="1"/>
  <c r="FT427" i="23916"/>
  <c r="FS427" i="23916"/>
  <c r="FR427" i="23916"/>
  <c r="FU427" i="23916" s="1"/>
  <c r="FP427" i="23916"/>
  <c r="FO427" i="23916"/>
  <c r="FN427" i="23916"/>
  <c r="FQ427" i="23916" s="1"/>
  <c r="FL427" i="23916"/>
  <c r="FJ427" i="23916"/>
  <c r="FM427" i="23916" s="1"/>
  <c r="FH427" i="23916"/>
  <c r="FF427" i="23916"/>
  <c r="FI427" i="23916" s="1"/>
  <c r="FE427" i="23916"/>
  <c r="FD427" i="23916"/>
  <c r="FC427" i="23916"/>
  <c r="FX426" i="23916"/>
  <c r="FV426" i="23916"/>
  <c r="FU426" i="23916"/>
  <c r="FT426" i="23916"/>
  <c r="FW426" i="23916" s="1"/>
  <c r="FR426" i="23916"/>
  <c r="FQ426" i="23916"/>
  <c r="FP426" i="23916"/>
  <c r="FS426" i="23916" s="1"/>
  <c r="FN426" i="23916"/>
  <c r="FL426" i="23916"/>
  <c r="FO426" i="23916" s="1"/>
  <c r="FJ426" i="23916"/>
  <c r="FH426" i="23916"/>
  <c r="FK426" i="23916" s="1"/>
  <c r="FF426" i="23916"/>
  <c r="FE426" i="23916"/>
  <c r="FD426" i="23916"/>
  <c r="FG426" i="23916" s="1"/>
  <c r="FC426" i="23916"/>
  <c r="FX425" i="23916"/>
  <c r="FY425" i="23916" s="1"/>
  <c r="FW425" i="23916"/>
  <c r="FV425" i="23916"/>
  <c r="FT425" i="23916"/>
  <c r="FS425" i="23916"/>
  <c r="FR425" i="23916"/>
  <c r="FU425" i="23916" s="1"/>
  <c r="FP425" i="23916"/>
  <c r="FN425" i="23916"/>
  <c r="FQ425" i="23916" s="1"/>
  <c r="FL425" i="23916"/>
  <c r="FJ425" i="23916"/>
  <c r="FM425" i="23916" s="1"/>
  <c r="FH425" i="23916"/>
  <c r="FG425" i="23916"/>
  <c r="FF425" i="23916"/>
  <c r="FI425" i="23916" s="1"/>
  <c r="FE425" i="23916"/>
  <c r="FD425" i="23916"/>
  <c r="FC425" i="23916"/>
  <c r="FX424" i="23916"/>
  <c r="FV424" i="23916"/>
  <c r="FU424" i="23916"/>
  <c r="FT424" i="23916"/>
  <c r="FW424" i="23916" s="1"/>
  <c r="FR424" i="23916"/>
  <c r="FP424" i="23916"/>
  <c r="FS424" i="23916" s="1"/>
  <c r="FN424" i="23916"/>
  <c r="FL424" i="23916"/>
  <c r="FO424" i="23916" s="1"/>
  <c r="FJ424" i="23916"/>
  <c r="FI424" i="23916"/>
  <c r="FH424" i="23916"/>
  <c r="FK424" i="23916" s="1"/>
  <c r="FF424" i="23916"/>
  <c r="FE424" i="23916"/>
  <c r="FD424" i="23916"/>
  <c r="FG424" i="23916" s="1"/>
  <c r="FC424" i="23916"/>
  <c r="FX423" i="23916"/>
  <c r="FW423" i="23916"/>
  <c r="FV423" i="23916"/>
  <c r="FT423" i="23916"/>
  <c r="FR423" i="23916"/>
  <c r="FU423" i="23916" s="1"/>
  <c r="FP423" i="23916"/>
  <c r="FN423" i="23916"/>
  <c r="FQ423" i="23916" s="1"/>
  <c r="FL423" i="23916"/>
  <c r="FK423" i="23916"/>
  <c r="FJ423" i="23916"/>
  <c r="FM423" i="23916" s="1"/>
  <c r="FH423" i="23916"/>
  <c r="FG423" i="23916"/>
  <c r="FF423" i="23916"/>
  <c r="FI423" i="23916" s="1"/>
  <c r="FE423" i="23916"/>
  <c r="FD423" i="23916"/>
  <c r="FC423" i="23916"/>
  <c r="FX422" i="23916"/>
  <c r="FV422" i="23916"/>
  <c r="FT422" i="23916"/>
  <c r="FR422" i="23916"/>
  <c r="FP422" i="23916"/>
  <c r="FS422" i="23916" s="1"/>
  <c r="FN422" i="23916"/>
  <c r="FM422" i="23916"/>
  <c r="FL422" i="23916"/>
  <c r="FO422" i="23916" s="1"/>
  <c r="FJ422" i="23916"/>
  <c r="FI422" i="23916"/>
  <c r="FH422" i="23916"/>
  <c r="FK422" i="23916" s="1"/>
  <c r="FF422" i="23916"/>
  <c r="FD422" i="23916"/>
  <c r="FC422" i="23916"/>
  <c r="GF414" i="23916"/>
  <c r="GD414" i="23916"/>
  <c r="GB414" i="23916"/>
  <c r="FZ414" i="23916"/>
  <c r="FV414" i="23916"/>
  <c r="EM415" i="23916"/>
  <c r="EM566" i="23916" s="1"/>
  <c r="EI414" i="23916"/>
  <c r="BY414" i="23916"/>
  <c r="BG414" i="23916"/>
  <c r="BC414" i="23916"/>
  <c r="AY414" i="23916"/>
  <c r="AW414" i="23916"/>
  <c r="AU414" i="23916"/>
  <c r="AS414" i="23916"/>
  <c r="AA414" i="23916"/>
  <c r="Y414" i="23916"/>
  <c r="W414" i="23916"/>
  <c r="U414" i="23916"/>
  <c r="S414" i="23916"/>
  <c r="S415" i="23916" s="1"/>
  <c r="T415" i="23916" s="1"/>
  <c r="Q416" i="23916"/>
  <c r="Q415" i="23916"/>
  <c r="Q414" i="23916"/>
  <c r="O414" i="23916"/>
  <c r="O415" i="23916" s="1"/>
  <c r="P415" i="23916" s="1"/>
  <c r="M416" i="23916"/>
  <c r="M415" i="23916"/>
  <c r="M414" i="23916"/>
  <c r="K418" i="23916"/>
  <c r="K419" i="23916" s="1"/>
  <c r="K416" i="23916"/>
  <c r="K415" i="23916"/>
  <c r="I419" i="23916"/>
  <c r="I418" i="23916"/>
  <c r="I416" i="23916"/>
  <c r="I417" i="23916" s="1"/>
  <c r="I415" i="23916"/>
  <c r="G416" i="23916"/>
  <c r="G415" i="23916"/>
  <c r="E416" i="23916"/>
  <c r="E415" i="23916"/>
  <c r="GG414" i="23916"/>
  <c r="GE414" i="23916"/>
  <c r="GC414" i="23916"/>
  <c r="FP414" i="23916"/>
  <c r="FN414" i="23916"/>
  <c r="FL414" i="23916"/>
  <c r="FJ414" i="23916"/>
  <c r="FQ414" i="23916"/>
  <c r="FO414" i="23916"/>
  <c r="FM414" i="23916"/>
  <c r="EJ414" i="23916"/>
  <c r="EH414" i="23916"/>
  <c r="EF414" i="23916"/>
  <c r="ED414" i="23916"/>
  <c r="EB414" i="23916"/>
  <c r="DZ414" i="23916"/>
  <c r="DX414" i="23916"/>
  <c r="DV414" i="23916"/>
  <c r="DT414" i="23916"/>
  <c r="DR414" i="23916"/>
  <c r="DP414" i="23916"/>
  <c r="DN414" i="23916"/>
  <c r="DL414" i="23916"/>
  <c r="DJ414" i="23916"/>
  <c r="DH414" i="23916"/>
  <c r="DF414" i="23916"/>
  <c r="DD414" i="23916"/>
  <c r="DB414" i="23916"/>
  <c r="CZ414" i="23916"/>
  <c r="CX414" i="23916"/>
  <c r="CV414" i="23916"/>
  <c r="CT414" i="23916"/>
  <c r="CR414" i="23916"/>
  <c r="CP414" i="23916"/>
  <c r="CN414" i="23916"/>
  <c r="CL414" i="23916"/>
  <c r="CJ414" i="23916"/>
  <c r="CH414" i="23916"/>
  <c r="CF414" i="23916"/>
  <c r="CD414" i="23916"/>
  <c r="CB414" i="23916"/>
  <c r="BZ414" i="23916"/>
  <c r="BX414" i="23916"/>
  <c r="BV414" i="23916"/>
  <c r="BT414" i="23916"/>
  <c r="BR414" i="23916"/>
  <c r="BP414" i="23916"/>
  <c r="BN414" i="23916"/>
  <c r="BL414" i="23916"/>
  <c r="BJ414" i="23916"/>
  <c r="BH414" i="23916"/>
  <c r="BF414" i="23916"/>
  <c r="BD414" i="23916"/>
  <c r="BB414" i="23916"/>
  <c r="AZ414" i="23916"/>
  <c r="AX414" i="23916"/>
  <c r="AV414" i="23916"/>
  <c r="AT414" i="23916"/>
  <c r="AR414" i="23916"/>
  <c r="AP414" i="23916"/>
  <c r="AN414" i="23916"/>
  <c r="AL414" i="23916"/>
  <c r="AJ414" i="23916"/>
  <c r="AH414" i="23916"/>
  <c r="AF414" i="23916"/>
  <c r="AD414" i="23916"/>
  <c r="AB414" i="23916"/>
  <c r="Z414" i="23916"/>
  <c r="X414" i="23916"/>
  <c r="V414" i="23916"/>
  <c r="T414" i="23916"/>
  <c r="T413" i="23916"/>
  <c r="R416" i="23916"/>
  <c r="R415" i="23916"/>
  <c r="R414" i="23916"/>
  <c r="R413" i="23916"/>
  <c r="R412" i="23916"/>
  <c r="P414" i="23916"/>
  <c r="P413" i="23916"/>
  <c r="P412" i="23916"/>
  <c r="N416" i="23916"/>
  <c r="N415" i="23916"/>
  <c r="N414" i="23916"/>
  <c r="N413" i="23916"/>
  <c r="S412" i="23916"/>
  <c r="T412" i="23916" s="1"/>
  <c r="Q412" i="23916"/>
  <c r="O412" i="23916"/>
  <c r="M412" i="23916"/>
  <c r="N412" i="23916" s="1"/>
  <c r="K412" i="23916"/>
  <c r="K417" i="23916" s="1"/>
  <c r="K409" i="23916"/>
  <c r="K452" i="23916" s="1"/>
  <c r="K407" i="23916"/>
  <c r="K450" i="23916" s="1"/>
  <c r="K406" i="23916"/>
  <c r="K449" i="23916" s="1"/>
  <c r="K405" i="23916"/>
  <c r="K448" i="23916" s="1"/>
  <c r="K404" i="23916"/>
  <c r="K447" i="23916" s="1"/>
  <c r="K403" i="23916"/>
  <c r="K446" i="23916" s="1"/>
  <c r="I412" i="23916"/>
  <c r="I409" i="23916"/>
  <c r="I452" i="23916" s="1"/>
  <c r="I407" i="23916"/>
  <c r="I450" i="23916" s="1"/>
  <c r="I406" i="23916"/>
  <c r="I449" i="23916" s="1"/>
  <c r="I405" i="23916"/>
  <c r="I448" i="23916" s="1"/>
  <c r="I404" i="23916"/>
  <c r="I447" i="23916" s="1"/>
  <c r="I403" i="23916"/>
  <c r="I446" i="23916" s="1"/>
  <c r="G412" i="23916"/>
  <c r="P411" i="23916" s="1"/>
  <c r="G409" i="23916"/>
  <c r="G452" i="23916" s="1"/>
  <c r="G407" i="23916"/>
  <c r="G450" i="23916" s="1"/>
  <c r="G406" i="23916"/>
  <c r="G449" i="23916" s="1"/>
  <c r="G405" i="23916"/>
  <c r="G448" i="23916" s="1"/>
  <c r="G404" i="23916"/>
  <c r="G447" i="23916" s="1"/>
  <c r="G403" i="23916"/>
  <c r="G446" i="23916" s="1"/>
  <c r="E412" i="23916"/>
  <c r="E417" i="23916" s="1"/>
  <c r="E409" i="23916"/>
  <c r="E452" i="23916" s="1"/>
  <c r="E407" i="23916"/>
  <c r="E450" i="23916" s="1"/>
  <c r="E406" i="23916"/>
  <c r="E449" i="23916" s="1"/>
  <c r="E405" i="23916"/>
  <c r="E448" i="23916" s="1"/>
  <c r="E404" i="23916"/>
  <c r="E447" i="23916" s="1"/>
  <c r="E403" i="23916"/>
  <c r="E446" i="23916" s="1"/>
  <c r="FI414" i="23916"/>
  <c r="FH414" i="23916"/>
  <c r="FK414" i="23916" s="1"/>
  <c r="FG414" i="23916"/>
  <c r="FF414" i="23916"/>
  <c r="FE414" i="23916"/>
  <c r="FD414" i="23916"/>
  <c r="FC414" i="23916"/>
  <c r="FB414" i="23916"/>
  <c r="FC409" i="23916"/>
  <c r="FB409" i="23916"/>
  <c r="S407" i="23916"/>
  <c r="S450" i="23916" s="1"/>
  <c r="T450" i="23916" s="1"/>
  <c r="S406" i="23916"/>
  <c r="S449" i="23916" s="1"/>
  <c r="T449" i="23916" s="1"/>
  <c r="S405" i="23916"/>
  <c r="S448" i="23916" s="1"/>
  <c r="T448" i="23916" s="1"/>
  <c r="S404" i="23916"/>
  <c r="S447" i="23916" s="1"/>
  <c r="S403" i="23916"/>
  <c r="S446" i="23916" s="1"/>
  <c r="T446" i="23916" s="1"/>
  <c r="Q407" i="23916"/>
  <c r="Q450" i="23916" s="1"/>
  <c r="R450" i="23916" s="1"/>
  <c r="Q406" i="23916"/>
  <c r="Q449" i="23916" s="1"/>
  <c r="R449" i="23916" s="1"/>
  <c r="Q405" i="23916"/>
  <c r="Q448" i="23916" s="1"/>
  <c r="R448" i="23916" s="1"/>
  <c r="Q404" i="23916"/>
  <c r="Q447" i="23916" s="1"/>
  <c r="Q403" i="23916"/>
  <c r="Q446" i="23916" s="1"/>
  <c r="R446" i="23916" s="1"/>
  <c r="O407" i="23916"/>
  <c r="O450" i="23916" s="1"/>
  <c r="P450" i="23916" s="1"/>
  <c r="O406" i="23916"/>
  <c r="O449" i="23916" s="1"/>
  <c r="P449" i="23916" s="1"/>
  <c r="O405" i="23916"/>
  <c r="O448" i="23916" s="1"/>
  <c r="P448" i="23916" s="1"/>
  <c r="O404" i="23916"/>
  <c r="O447" i="23916" s="1"/>
  <c r="O403" i="23916"/>
  <c r="O446" i="23916" s="1"/>
  <c r="P446" i="23916" s="1"/>
  <c r="M407" i="23916"/>
  <c r="M450" i="23916" s="1"/>
  <c r="N450" i="23916" s="1"/>
  <c r="M406" i="23916"/>
  <c r="M449" i="23916" s="1"/>
  <c r="N449" i="23916" s="1"/>
  <c r="M405" i="23916"/>
  <c r="M448" i="23916" s="1"/>
  <c r="N448" i="23916" s="1"/>
  <c r="M404" i="23916"/>
  <c r="M447" i="23916" s="1"/>
  <c r="M403" i="23916"/>
  <c r="M446" i="23916" s="1"/>
  <c r="N446" i="23916" s="1"/>
  <c r="U406" i="23916"/>
  <c r="U405" i="23916"/>
  <c r="U404" i="23916"/>
  <c r="FC408" i="23916"/>
  <c r="FB408" i="23916"/>
  <c r="FC407" i="23916"/>
  <c r="FB407" i="23916"/>
  <c r="FB406" i="23916"/>
  <c r="FC405" i="23916"/>
  <c r="FB405" i="23916"/>
  <c r="FC404" i="23916"/>
  <c r="FB404" i="23916"/>
  <c r="FC403" i="23916"/>
  <c r="FB403" i="23916"/>
  <c r="AB406" i="23916"/>
  <c r="AA406" i="23916"/>
  <c r="Z406" i="23916"/>
  <c r="Y406" i="23916"/>
  <c r="X406" i="23916"/>
  <c r="W406" i="23916"/>
  <c r="AB405" i="23916"/>
  <c r="AA405" i="23916"/>
  <c r="Z405" i="23916"/>
  <c r="Y405" i="23916"/>
  <c r="X405" i="23916"/>
  <c r="W405" i="23916"/>
  <c r="AB404" i="23916"/>
  <c r="AA404" i="23916"/>
  <c r="Z404" i="23916"/>
  <c r="Y404" i="23916"/>
  <c r="X404" i="23916"/>
  <c r="W404" i="23916"/>
  <c r="T403" i="23916"/>
  <c r="R403" i="23916"/>
  <c r="P403" i="23916"/>
  <c r="N403" i="23916"/>
  <c r="AB398" i="23916"/>
  <c r="FB392" i="23916"/>
  <c r="FC392" i="23916" s="1"/>
  <c r="AB395" i="23916"/>
  <c r="AB394" i="23916"/>
  <c r="EI393" i="23916"/>
  <c r="EH393" i="23916"/>
  <c r="EG393" i="23916"/>
  <c r="EF393" i="23916"/>
  <c r="EE393" i="23916"/>
  <c r="ED393" i="23916"/>
  <c r="EC393" i="23916"/>
  <c r="DZ393" i="23916"/>
  <c r="DY393" i="23916"/>
  <c r="DX393" i="23916"/>
  <c r="DW393" i="23916"/>
  <c r="DV393" i="23916"/>
  <c r="DU393" i="23916"/>
  <c r="DT393" i="23916"/>
  <c r="DS393" i="23916"/>
  <c r="DR393" i="23916"/>
  <c r="DQ393" i="23916"/>
  <c r="DP393" i="23916"/>
  <c r="DO393" i="23916"/>
  <c r="DN393" i="23916"/>
  <c r="DM393" i="23916"/>
  <c r="DL393" i="23916"/>
  <c r="DK393" i="23916"/>
  <c r="DJ393" i="23916"/>
  <c r="DI393" i="23916"/>
  <c r="DH393" i="23916"/>
  <c r="DG393" i="23916"/>
  <c r="DF393" i="23916"/>
  <c r="DE393" i="23916"/>
  <c r="DD393" i="23916"/>
  <c r="DC393" i="23916"/>
  <c r="DA393" i="23916"/>
  <c r="CY393" i="23916"/>
  <c r="CW393" i="23916"/>
  <c r="CU393" i="23916"/>
  <c r="AB393" i="23916"/>
  <c r="AB392" i="23916"/>
  <c r="AB391" i="23916"/>
  <c r="AB390" i="23916"/>
  <c r="AB387" i="23916"/>
  <c r="AB386" i="23916"/>
  <c r="AB385" i="23916"/>
  <c r="AB384" i="23916"/>
  <c r="FP376" i="23916"/>
  <c r="FP375" i="23916"/>
  <c r="FP374" i="23916"/>
  <c r="FN376" i="23916"/>
  <c r="FN375" i="23916"/>
  <c r="FN374" i="23916"/>
  <c r="FL376" i="23916"/>
  <c r="FL375" i="23916"/>
  <c r="FL374" i="23916"/>
  <c r="BN378" i="23916"/>
  <c r="BN376" i="23916"/>
  <c r="BN375" i="23916"/>
  <c r="BN374" i="23916"/>
  <c r="BL378" i="23916"/>
  <c r="BL376" i="23916"/>
  <c r="BL375" i="23916"/>
  <c r="BL374" i="23916"/>
  <c r="BJ378" i="23916"/>
  <c r="BJ376" i="23916"/>
  <c r="BJ375" i="23916"/>
  <c r="BJ374" i="23916"/>
  <c r="BH378" i="23916"/>
  <c r="BH377" i="23916"/>
  <c r="BH376" i="23916"/>
  <c r="BH375" i="23916"/>
  <c r="BH374" i="23916"/>
  <c r="BM377" i="23916"/>
  <c r="FP377" i="23916" s="1"/>
  <c r="BK377" i="23916"/>
  <c r="BL377" i="23916" s="1"/>
  <c r="BI377" i="23916"/>
  <c r="BJ377" i="23916" s="1"/>
  <c r="BG377" i="23916"/>
  <c r="FN377" i="23916" s="1"/>
  <c r="BE377" i="23916"/>
  <c r="BE379" i="23916" s="1"/>
  <c r="BC377" i="23916"/>
  <c r="BC379" i="23916" s="1"/>
  <c r="BA377" i="23916"/>
  <c r="BA379" i="23916" s="1"/>
  <c r="BA287" i="23916" s="1"/>
  <c r="AY377" i="23916"/>
  <c r="AY379" i="23916" s="1"/>
  <c r="AW377" i="23916"/>
  <c r="FL377" i="23916" s="1"/>
  <c r="AU377" i="23916"/>
  <c r="AU379" i="23916" s="1"/>
  <c r="AU339" i="23916" s="1"/>
  <c r="AS377" i="23916"/>
  <c r="AS379" i="23916" s="1"/>
  <c r="AS339" i="23916" s="1"/>
  <c r="AQ377" i="23916"/>
  <c r="AQ379" i="23916" s="1"/>
  <c r="AQ339" i="23916" s="1"/>
  <c r="FP370" i="23916"/>
  <c r="FP369" i="23916"/>
  <c r="FN370" i="23916"/>
  <c r="FN369" i="23916"/>
  <c r="FL370" i="23916"/>
  <c r="FL369" i="23916"/>
  <c r="BN371" i="23916"/>
  <c r="BM371" i="23916"/>
  <c r="BK371" i="23916"/>
  <c r="BL371" i="23916" s="1"/>
  <c r="BJ371" i="23916"/>
  <c r="BI371" i="23916"/>
  <c r="BG371" i="23916"/>
  <c r="BH371" i="23916" s="1"/>
  <c r="BF371" i="23916"/>
  <c r="BE371" i="23916"/>
  <c r="BC371" i="23916"/>
  <c r="BD371" i="23916" s="1"/>
  <c r="BB371" i="23916"/>
  <c r="BA371" i="23916"/>
  <c r="FN371" i="23916" s="1"/>
  <c r="AY371" i="23916"/>
  <c r="FL371" i="23916" s="1"/>
  <c r="AX371" i="23916"/>
  <c r="AW371" i="23916"/>
  <c r="AU371" i="23916"/>
  <c r="AV371" i="23916" s="1"/>
  <c r="AT371" i="23916"/>
  <c r="AS371" i="23916"/>
  <c r="AQ371" i="23916"/>
  <c r="AR371" i="23916" s="1"/>
  <c r="AP371" i="23916"/>
  <c r="AN371" i="23916"/>
  <c r="AN370" i="23916"/>
  <c r="AN369" i="23916"/>
  <c r="BN370" i="23916"/>
  <c r="BN369" i="23916"/>
  <c r="BL370" i="23916"/>
  <c r="BL369" i="23916"/>
  <c r="BJ370" i="23916"/>
  <c r="BJ369" i="23916"/>
  <c r="BH370" i="23916"/>
  <c r="BH369" i="23916"/>
  <c r="BF370" i="23916"/>
  <c r="BF369" i="23916"/>
  <c r="BD370" i="23916"/>
  <c r="BD369" i="23916"/>
  <c r="BB370" i="23916"/>
  <c r="BB369" i="23916"/>
  <c r="AZ370" i="23916"/>
  <c r="AZ369" i="23916"/>
  <c r="AX370" i="23916"/>
  <c r="AX369" i="23916"/>
  <c r="AV370" i="23916"/>
  <c r="AV369" i="23916"/>
  <c r="AT370" i="23916"/>
  <c r="AT369" i="23916"/>
  <c r="AR370" i="23916"/>
  <c r="AR369" i="23916"/>
  <c r="AP370" i="23916"/>
  <c r="AP369" i="23916"/>
  <c r="FP366" i="23916"/>
  <c r="FP365" i="23916"/>
  <c r="FN366" i="23916"/>
  <c r="FN365" i="23916"/>
  <c r="FL366" i="23916"/>
  <c r="FL365" i="23916"/>
  <c r="BN367" i="23916"/>
  <c r="BM367" i="23916"/>
  <c r="BK367" i="23916"/>
  <c r="BL367" i="23916" s="1"/>
  <c r="BJ367" i="23916"/>
  <c r="BI367" i="23916"/>
  <c r="FP367" i="23916" s="1"/>
  <c r="BG367" i="23916"/>
  <c r="BH367" i="23916" s="1"/>
  <c r="BF367" i="23916"/>
  <c r="BE367" i="23916"/>
  <c r="BC367" i="23916"/>
  <c r="BD367" i="23916" s="1"/>
  <c r="BB367" i="23916"/>
  <c r="BA367" i="23916"/>
  <c r="FN367" i="23916" s="1"/>
  <c r="AY367" i="23916"/>
  <c r="AZ367" i="23916" s="1"/>
  <c r="AX367" i="23916"/>
  <c r="AW367" i="23916"/>
  <c r="FL367" i="23916" s="1"/>
  <c r="AU367" i="23916"/>
  <c r="AV367" i="23916" s="1"/>
  <c r="AT367" i="23916"/>
  <c r="AS367" i="23916"/>
  <c r="AQ367" i="23916"/>
  <c r="AR367" i="23916" s="1"/>
  <c r="AP367" i="23916"/>
  <c r="AN367" i="23916"/>
  <c r="AN366" i="23916"/>
  <c r="AN365" i="23916"/>
  <c r="BN366" i="23916"/>
  <c r="BN365" i="23916"/>
  <c r="BL366" i="23916"/>
  <c r="BL365" i="23916"/>
  <c r="BJ366" i="23916"/>
  <c r="BJ365" i="23916"/>
  <c r="BH366" i="23916"/>
  <c r="BH365" i="23916"/>
  <c r="BF366" i="23916"/>
  <c r="BF365" i="23916"/>
  <c r="BD366" i="23916"/>
  <c r="BD365" i="23916"/>
  <c r="BB366" i="23916"/>
  <c r="BB365" i="23916"/>
  <c r="AZ366" i="23916"/>
  <c r="AZ365" i="23916"/>
  <c r="AX366" i="23916"/>
  <c r="AX365" i="23916"/>
  <c r="AV366" i="23916"/>
  <c r="AV365" i="23916"/>
  <c r="AT366" i="23916"/>
  <c r="AT365" i="23916"/>
  <c r="AR366" i="23916"/>
  <c r="AR365" i="23916"/>
  <c r="AP366" i="23916"/>
  <c r="AP365" i="23916"/>
  <c r="FP362" i="23916"/>
  <c r="FP361" i="23916"/>
  <c r="FN362" i="23916"/>
  <c r="FN361" i="23916"/>
  <c r="FL362" i="23916"/>
  <c r="FL361" i="23916"/>
  <c r="BM363" i="23916"/>
  <c r="BN363" i="23916" s="1"/>
  <c r="BL363" i="23916"/>
  <c r="BK363" i="23916"/>
  <c r="BI363" i="23916"/>
  <c r="FP363" i="23916" s="1"/>
  <c r="BH363" i="23916"/>
  <c r="BG363" i="23916"/>
  <c r="BE363" i="23916"/>
  <c r="BF363" i="23916" s="1"/>
  <c r="BD363" i="23916"/>
  <c r="BC363" i="23916"/>
  <c r="BA363" i="23916"/>
  <c r="BB363" i="23916" s="1"/>
  <c r="AZ363" i="23916"/>
  <c r="AY363" i="23916"/>
  <c r="AW363" i="23916"/>
  <c r="AX363" i="23916" s="1"/>
  <c r="AV363" i="23916"/>
  <c r="AU363" i="23916"/>
  <c r="AS363" i="23916"/>
  <c r="AT363" i="23916" s="1"/>
  <c r="AR363" i="23916"/>
  <c r="AQ363" i="23916"/>
  <c r="AP363" i="23916"/>
  <c r="AN363" i="23916"/>
  <c r="AN362" i="23916"/>
  <c r="AN361" i="23916"/>
  <c r="BN362" i="23916"/>
  <c r="BN361" i="23916"/>
  <c r="BL362" i="23916"/>
  <c r="BL361" i="23916"/>
  <c r="BJ362" i="23916"/>
  <c r="BJ361" i="23916"/>
  <c r="BH362" i="23916"/>
  <c r="BH361" i="23916"/>
  <c r="BF362" i="23916"/>
  <c r="BF361" i="23916"/>
  <c r="BD362" i="23916"/>
  <c r="BD361" i="23916"/>
  <c r="BB362" i="23916"/>
  <c r="BB361" i="23916"/>
  <c r="AZ362" i="23916"/>
  <c r="AZ361" i="23916"/>
  <c r="AX362" i="23916"/>
  <c r="AX361" i="23916"/>
  <c r="AV362" i="23916"/>
  <c r="AV361" i="23916"/>
  <c r="AT362" i="23916"/>
  <c r="AT361" i="23916"/>
  <c r="AR362" i="23916"/>
  <c r="AR361" i="23916"/>
  <c r="AP362" i="23916"/>
  <c r="AP361" i="23916"/>
  <c r="FP358" i="23916"/>
  <c r="FP357" i="23916"/>
  <c r="FN359" i="23916"/>
  <c r="FN358" i="23916"/>
  <c r="FN357" i="23916"/>
  <c r="FL358" i="23916"/>
  <c r="FL357" i="23916"/>
  <c r="BM359" i="23916"/>
  <c r="BN359" i="23916" s="1"/>
  <c r="BL359" i="23916"/>
  <c r="BK359" i="23916"/>
  <c r="FP359" i="23916" s="1"/>
  <c r="BI359" i="23916"/>
  <c r="BJ359" i="23916" s="1"/>
  <c r="BH359" i="23916"/>
  <c r="BG359" i="23916"/>
  <c r="BE359" i="23916"/>
  <c r="BF359" i="23916" s="1"/>
  <c r="BD359" i="23916"/>
  <c r="BC359" i="23916"/>
  <c r="BA359" i="23916"/>
  <c r="BB359" i="23916" s="1"/>
  <c r="AZ359" i="23916"/>
  <c r="AY359" i="23916"/>
  <c r="FL359" i="23916" s="1"/>
  <c r="AW359" i="23916"/>
  <c r="AX359" i="23916" s="1"/>
  <c r="AV359" i="23916"/>
  <c r="AU359" i="23916"/>
  <c r="AS359" i="23916"/>
  <c r="AT359" i="23916" s="1"/>
  <c r="AR359" i="23916"/>
  <c r="AQ359" i="23916"/>
  <c r="AP359" i="23916"/>
  <c r="AN359" i="23916"/>
  <c r="AN358" i="23916"/>
  <c r="AN357" i="23916"/>
  <c r="BN358" i="23916"/>
  <c r="BN357" i="23916"/>
  <c r="BL358" i="23916"/>
  <c r="BL357" i="23916"/>
  <c r="BJ358" i="23916"/>
  <c r="BJ357" i="23916"/>
  <c r="BH358" i="23916"/>
  <c r="BH357" i="23916"/>
  <c r="BF358" i="23916"/>
  <c r="BF357" i="23916"/>
  <c r="BD358" i="23916"/>
  <c r="BD357" i="23916"/>
  <c r="BB358" i="23916"/>
  <c r="BB357" i="23916"/>
  <c r="AZ358" i="23916"/>
  <c r="AZ357" i="23916"/>
  <c r="AX358" i="23916"/>
  <c r="AX357" i="23916"/>
  <c r="AV358" i="23916"/>
  <c r="AV357" i="23916"/>
  <c r="AT358" i="23916"/>
  <c r="AT357" i="23916"/>
  <c r="AR358" i="23916"/>
  <c r="AR357" i="23916"/>
  <c r="AP358" i="23916"/>
  <c r="AP357" i="23916"/>
  <c r="GS355" i="23916"/>
  <c r="GS354" i="23916"/>
  <c r="GQ355" i="23916"/>
  <c r="GQ354" i="23916"/>
  <c r="GO355" i="23916"/>
  <c r="GO354" i="23916"/>
  <c r="GM355" i="23916"/>
  <c r="GM354" i="23916"/>
  <c r="GK355" i="23916"/>
  <c r="GK354" i="23916"/>
  <c r="GI355" i="23916"/>
  <c r="GI354" i="23916"/>
  <c r="GG355" i="23916"/>
  <c r="GG354" i="23916"/>
  <c r="GE355" i="23916"/>
  <c r="GE354" i="23916"/>
  <c r="GC355" i="23916"/>
  <c r="GC354" i="23916"/>
  <c r="GA355" i="23916"/>
  <c r="GA354" i="23916"/>
  <c r="FY355" i="23916"/>
  <c r="FY354" i="23916"/>
  <c r="FW355" i="23916"/>
  <c r="FW354" i="23916"/>
  <c r="FU355" i="23916"/>
  <c r="FU354" i="23916"/>
  <c r="FQ354" i="23916"/>
  <c r="FP354" i="23916"/>
  <c r="FS354" i="23916" s="1"/>
  <c r="FN354" i="23916"/>
  <c r="FO354" i="23916" s="1"/>
  <c r="FM354" i="23916"/>
  <c r="FL354" i="23916"/>
  <c r="FJ354" i="23916"/>
  <c r="FK354" i="23916" s="1"/>
  <c r="FI354" i="23916"/>
  <c r="FH354" i="23916"/>
  <c r="FF354" i="23916"/>
  <c r="FG354" i="23916" s="1"/>
  <c r="FE354" i="23916"/>
  <c r="FD354" i="23916"/>
  <c r="FB354" i="23916"/>
  <c r="FC354" i="23916" s="1"/>
  <c r="BN354" i="23916"/>
  <c r="BL354" i="23916"/>
  <c r="BJ354" i="23916"/>
  <c r="BH354" i="23916"/>
  <c r="BF354" i="23916"/>
  <c r="BD354" i="23916"/>
  <c r="BB354" i="23916"/>
  <c r="AZ354" i="23916"/>
  <c r="AX354" i="23916"/>
  <c r="AV354" i="23916"/>
  <c r="AT354" i="23916"/>
  <c r="AR354" i="23916"/>
  <c r="AP354" i="23916"/>
  <c r="AN354" i="23916"/>
  <c r="AL354" i="23916"/>
  <c r="AJ354" i="23916"/>
  <c r="AH354" i="23916"/>
  <c r="AF354" i="23916"/>
  <c r="AD354" i="23916"/>
  <c r="AB354" i="23916"/>
  <c r="Z354" i="23916"/>
  <c r="X354" i="23916"/>
  <c r="V354" i="23916"/>
  <c r="T354" i="23916"/>
  <c r="R354" i="23916"/>
  <c r="P354" i="23916"/>
  <c r="N354" i="23916"/>
  <c r="GS352" i="23916"/>
  <c r="GQ352" i="23916"/>
  <c r="GO352" i="23916"/>
  <c r="GM352" i="23916"/>
  <c r="GK352" i="23916"/>
  <c r="GI352" i="23916"/>
  <c r="GG352" i="23916"/>
  <c r="GE352" i="23916"/>
  <c r="GC352" i="23916"/>
  <c r="GA352" i="23916"/>
  <c r="FY352" i="23916"/>
  <c r="FW352" i="23916"/>
  <c r="FU352" i="23916"/>
  <c r="GS350" i="23916"/>
  <c r="GS349" i="23916"/>
  <c r="GS348" i="23916"/>
  <c r="GS347" i="23916"/>
  <c r="GS346" i="23916"/>
  <c r="GQ350" i="23916"/>
  <c r="GQ349" i="23916"/>
  <c r="GQ348" i="23916"/>
  <c r="GQ347" i="23916"/>
  <c r="GQ346" i="23916"/>
  <c r="GO350" i="23916"/>
  <c r="GO349" i="23916"/>
  <c r="GO348" i="23916"/>
  <c r="GO347" i="23916"/>
  <c r="GO346" i="23916"/>
  <c r="GM350" i="23916"/>
  <c r="GM349" i="23916"/>
  <c r="GM348" i="23916"/>
  <c r="GM347" i="23916"/>
  <c r="GM346" i="23916"/>
  <c r="GK350" i="23916"/>
  <c r="GK349" i="23916"/>
  <c r="GK348" i="23916"/>
  <c r="GK347" i="23916"/>
  <c r="GK346" i="23916"/>
  <c r="GI350" i="23916"/>
  <c r="GI349" i="23916"/>
  <c r="GI348" i="23916"/>
  <c r="GI347" i="23916"/>
  <c r="GI346" i="23916"/>
  <c r="GG350" i="23916"/>
  <c r="GG349" i="23916"/>
  <c r="GG348" i="23916"/>
  <c r="GG347" i="23916"/>
  <c r="GG346" i="23916"/>
  <c r="GE350" i="23916"/>
  <c r="GE349" i="23916"/>
  <c r="GE348" i="23916"/>
  <c r="GE347" i="23916"/>
  <c r="GE346" i="23916"/>
  <c r="GC350" i="23916"/>
  <c r="GC349" i="23916"/>
  <c r="GC348" i="23916"/>
  <c r="GC347" i="23916"/>
  <c r="GC346" i="23916"/>
  <c r="GA350" i="23916"/>
  <c r="GA349" i="23916"/>
  <c r="GA348" i="23916"/>
  <c r="GA347" i="23916"/>
  <c r="GA346" i="23916"/>
  <c r="FY350" i="23916"/>
  <c r="FY349" i="23916"/>
  <c r="FY348" i="23916"/>
  <c r="FY347" i="23916"/>
  <c r="FY346" i="23916"/>
  <c r="FW350" i="23916"/>
  <c r="FW349" i="23916"/>
  <c r="FW348" i="23916"/>
  <c r="FW347" i="23916"/>
  <c r="FW346" i="23916"/>
  <c r="FU350" i="23916"/>
  <c r="FU349" i="23916"/>
  <c r="FU348" i="23916"/>
  <c r="FU347" i="23916"/>
  <c r="FU346" i="23916"/>
  <c r="AA350" i="23916"/>
  <c r="AB350" i="23916" s="1"/>
  <c r="Y350" i="23916"/>
  <c r="Z350" i="23916" s="1"/>
  <c r="W350" i="23916"/>
  <c r="X350" i="23916" s="1"/>
  <c r="U350" i="23916"/>
  <c r="V350" i="23916" s="1"/>
  <c r="S350" i="23916"/>
  <c r="T350" i="23916" s="1"/>
  <c r="Q350" i="23916"/>
  <c r="R350" i="23916" s="1"/>
  <c r="O350" i="23916"/>
  <c r="P350" i="23916" s="1"/>
  <c r="M350" i="23916"/>
  <c r="N350" i="23916" s="1"/>
  <c r="K350" i="23916"/>
  <c r="I350" i="23916"/>
  <c r="I349" i="23916"/>
  <c r="G350" i="23916"/>
  <c r="E350" i="23916"/>
  <c r="BN349" i="23916"/>
  <c r="BN348" i="23916"/>
  <c r="BL349" i="23916"/>
  <c r="BK349" i="23916"/>
  <c r="BJ349" i="23916"/>
  <c r="BG349" i="23916"/>
  <c r="BH349" i="23916" s="1"/>
  <c r="BC349" i="23916"/>
  <c r="FN349" i="23916" s="1"/>
  <c r="FO349" i="23916" s="1"/>
  <c r="BB349" i="23916"/>
  <c r="BA349" i="23916"/>
  <c r="AY349" i="23916"/>
  <c r="AZ349" i="23916" s="1"/>
  <c r="AX349" i="23916"/>
  <c r="AW349" i="23916"/>
  <c r="BF349" i="23916" s="1"/>
  <c r="AV349" i="23916"/>
  <c r="AT349" i="23916"/>
  <c r="AT348" i="23916"/>
  <c r="AR349" i="23916"/>
  <c r="AR348" i="23916"/>
  <c r="AP349" i="23916"/>
  <c r="AP348" i="23916"/>
  <c r="AN349" i="23916"/>
  <c r="AN348" i="23916"/>
  <c r="AN346" i="23916"/>
  <c r="AL349" i="23916"/>
  <c r="AL348" i="23916"/>
  <c r="AJ349" i="23916"/>
  <c r="AJ348" i="23916"/>
  <c r="AJ346" i="23916"/>
  <c r="AH349" i="23916"/>
  <c r="AH348" i="23916"/>
  <c r="AF349" i="23916"/>
  <c r="AF348" i="23916"/>
  <c r="AF346" i="23916"/>
  <c r="AD349" i="23916"/>
  <c r="AD348" i="23916"/>
  <c r="AB349" i="23916"/>
  <c r="AB348" i="23916"/>
  <c r="Z349" i="23916"/>
  <c r="Z348" i="23916"/>
  <c r="X349" i="23916"/>
  <c r="X348" i="23916"/>
  <c r="V349" i="23916"/>
  <c r="V348" i="23916"/>
  <c r="T349" i="23916"/>
  <c r="T348" i="23916"/>
  <c r="R349" i="23916"/>
  <c r="R348" i="23916"/>
  <c r="P349" i="23916"/>
  <c r="P348" i="23916"/>
  <c r="N349" i="23916"/>
  <c r="N348" i="23916"/>
  <c r="FP349" i="23916"/>
  <c r="FS349" i="23916" s="1"/>
  <c r="FL349" i="23916"/>
  <c r="FM349" i="23916" s="1"/>
  <c r="FJ349" i="23916"/>
  <c r="FH349" i="23916"/>
  <c r="FK349" i="23916" s="1"/>
  <c r="FF349" i="23916"/>
  <c r="FD349" i="23916"/>
  <c r="FG349" i="23916" s="1"/>
  <c r="FC349" i="23916"/>
  <c r="FB349" i="23916"/>
  <c r="FP348" i="23916"/>
  <c r="FS348" i="23916" s="1"/>
  <c r="FN348" i="23916"/>
  <c r="FL348" i="23916"/>
  <c r="FO348" i="23916" s="1"/>
  <c r="FJ348" i="23916"/>
  <c r="FH348" i="23916"/>
  <c r="FK348" i="23916" s="1"/>
  <c r="FF348" i="23916"/>
  <c r="FD348" i="23916"/>
  <c r="FG348" i="23916" s="1"/>
  <c r="BL348" i="23916"/>
  <c r="BL347" i="23916"/>
  <c r="BJ348" i="23916"/>
  <c r="BH348" i="23916"/>
  <c r="BF348" i="23916"/>
  <c r="BF347" i="23916"/>
  <c r="BD348" i="23916"/>
  <c r="BD347" i="23916"/>
  <c r="BB348" i="23916"/>
  <c r="AZ348" i="23916"/>
  <c r="AX348" i="23916"/>
  <c r="AX347" i="23916"/>
  <c r="AV348" i="23916"/>
  <c r="K348" i="23916"/>
  <c r="FB348" i="23916" s="1"/>
  <c r="BM347" i="23916"/>
  <c r="BN347" i="23916" s="1"/>
  <c r="BM346" i="23916"/>
  <c r="BM344" i="23916" s="1"/>
  <c r="BM345" i="23916"/>
  <c r="BK347" i="23916"/>
  <c r="BK346" i="23916"/>
  <c r="BL346" i="23916" s="1"/>
  <c r="BK345" i="23916"/>
  <c r="BI347" i="23916"/>
  <c r="BJ347" i="23916" s="1"/>
  <c r="BI346" i="23916"/>
  <c r="BI344" i="23916" s="1"/>
  <c r="BI345" i="23916"/>
  <c r="BG347" i="23916"/>
  <c r="BH347" i="23916" s="1"/>
  <c r="BG346" i="23916"/>
  <c r="BG344" i="23916" s="1"/>
  <c r="BG345" i="23916"/>
  <c r="BE347" i="23916"/>
  <c r="BE346" i="23916"/>
  <c r="BF346" i="23916" s="1"/>
  <c r="BE345" i="23916"/>
  <c r="BC347" i="23916"/>
  <c r="BC346" i="23916"/>
  <c r="BD346" i="23916" s="1"/>
  <c r="BC345" i="23916"/>
  <c r="BA347" i="23916"/>
  <c r="BB347" i="23916" s="1"/>
  <c r="BA346" i="23916"/>
  <c r="BA344" i="23916" s="1"/>
  <c r="BA345" i="23916"/>
  <c r="FN345" i="23916" s="1"/>
  <c r="AY347" i="23916"/>
  <c r="AZ347" i="23916" s="1"/>
  <c r="AY346" i="23916"/>
  <c r="AY344" i="23916" s="1"/>
  <c r="AY345" i="23916"/>
  <c r="AW347" i="23916"/>
  <c r="AW346" i="23916"/>
  <c r="AX346" i="23916" s="1"/>
  <c r="AW345" i="23916"/>
  <c r="AU347" i="23916"/>
  <c r="AU346" i="23916"/>
  <c r="AV346" i="23916" s="1"/>
  <c r="AU345" i="23916"/>
  <c r="AS347" i="23916"/>
  <c r="AT347" i="23916" s="1"/>
  <c r="AS346" i="23916"/>
  <c r="AS344" i="23916" s="1"/>
  <c r="AS345" i="23916"/>
  <c r="AQ347" i="23916"/>
  <c r="AR347" i="23916" s="1"/>
  <c r="AQ346" i="23916"/>
  <c r="AQ344" i="23916" s="1"/>
  <c r="AQ345" i="23916"/>
  <c r="AO347" i="23916"/>
  <c r="AP347" i="23916" s="1"/>
  <c r="AO346" i="23916"/>
  <c r="AO344" i="23916" s="1"/>
  <c r="AM347" i="23916"/>
  <c r="AN347" i="23916" s="1"/>
  <c r="AM346" i="23916"/>
  <c r="AK347" i="23916"/>
  <c r="AL347" i="23916" s="1"/>
  <c r="AK346" i="23916"/>
  <c r="AK344" i="23916" s="1"/>
  <c r="AI347" i="23916"/>
  <c r="AJ347" i="23916" s="1"/>
  <c r="AI346" i="23916"/>
  <c r="AG347" i="23916"/>
  <c r="AH347" i="23916" s="1"/>
  <c r="AG346" i="23916"/>
  <c r="AG344" i="23916" s="1"/>
  <c r="AE347" i="23916"/>
  <c r="AF347" i="23916" s="1"/>
  <c r="AE346" i="23916"/>
  <c r="AC347" i="23916"/>
  <c r="AD347" i="23916" s="1"/>
  <c r="FQ347" i="23916"/>
  <c r="FP347" i="23916"/>
  <c r="FS347" i="23916" s="1"/>
  <c r="FN347" i="23916"/>
  <c r="FO347" i="23916" s="1"/>
  <c r="FL347" i="23916"/>
  <c r="FI347" i="23916"/>
  <c r="FH347" i="23916"/>
  <c r="FN346" i="23916"/>
  <c r="FJ346" i="23916"/>
  <c r="FP345" i="23916"/>
  <c r="FL345" i="23916"/>
  <c r="GS344" i="23916"/>
  <c r="GQ344" i="23916"/>
  <c r="GO344" i="23916"/>
  <c r="GM344" i="23916"/>
  <c r="GK344" i="23916"/>
  <c r="GI344" i="23916"/>
  <c r="GG344" i="23916"/>
  <c r="GE344" i="23916"/>
  <c r="GC344" i="23916"/>
  <c r="GA344" i="23916"/>
  <c r="FY344" i="23916"/>
  <c r="FW344" i="23916"/>
  <c r="FU344" i="23916"/>
  <c r="FF344" i="23916"/>
  <c r="FF350" i="23916" s="1"/>
  <c r="FD344" i="23916"/>
  <c r="FB344" i="23916"/>
  <c r="AM344" i="23916"/>
  <c r="AM350" i="23916" s="1"/>
  <c r="AI344" i="23916"/>
  <c r="AI350" i="23916" s="1"/>
  <c r="AJ350" i="23916" s="1"/>
  <c r="AE344" i="23916"/>
  <c r="AE350" i="23916" s="1"/>
  <c r="AF350" i="23916" s="1"/>
  <c r="AB344" i="23916"/>
  <c r="Z344" i="23916"/>
  <c r="X344" i="23916"/>
  <c r="V344" i="23916"/>
  <c r="T344" i="23916"/>
  <c r="R344" i="23916"/>
  <c r="P344" i="23916"/>
  <c r="N344" i="23916"/>
  <c r="GS341" i="23916"/>
  <c r="GS340" i="23916"/>
  <c r="GQ341" i="23916"/>
  <c r="GQ340" i="23916"/>
  <c r="GO341" i="23916"/>
  <c r="GO340" i="23916"/>
  <c r="GM341" i="23916"/>
  <c r="GM340" i="23916"/>
  <c r="GK341" i="23916"/>
  <c r="GK340" i="23916"/>
  <c r="GI341" i="23916"/>
  <c r="GI340" i="23916"/>
  <c r="GG341" i="23916"/>
  <c r="GG340" i="23916"/>
  <c r="GE341" i="23916"/>
  <c r="GE340" i="23916"/>
  <c r="GC341" i="23916"/>
  <c r="GC340" i="23916"/>
  <c r="GA341" i="23916"/>
  <c r="GA340" i="23916"/>
  <c r="FY341" i="23916"/>
  <c r="FY340" i="23916"/>
  <c r="FW341" i="23916"/>
  <c r="FW340" i="23916"/>
  <c r="FU341" i="23916"/>
  <c r="FU340" i="23916"/>
  <c r="BM341" i="23916"/>
  <c r="BL341" i="23916"/>
  <c r="BK341" i="23916"/>
  <c r="BE341" i="23916"/>
  <c r="BC341" i="23916"/>
  <c r="AO341" i="23916"/>
  <c r="AN341" i="23916"/>
  <c r="AM341" i="23916"/>
  <c r="AM352" i="23916" s="1"/>
  <c r="AK341" i="23916"/>
  <c r="AJ341" i="23916"/>
  <c r="AI341" i="23916"/>
  <c r="AI352" i="23916" s="1"/>
  <c r="AG341" i="23916"/>
  <c r="AF341" i="23916"/>
  <c r="AE341" i="23916"/>
  <c r="AE352" i="23916" s="1"/>
  <c r="AC341" i="23916"/>
  <c r="AB341" i="23916"/>
  <c r="AA341" i="23916"/>
  <c r="AA352" i="23916" s="1"/>
  <c r="Y341" i="23916"/>
  <c r="Y352" i="23916" s="1"/>
  <c r="X341" i="23916"/>
  <c r="W341" i="23916"/>
  <c r="W352" i="23916" s="1"/>
  <c r="U341" i="23916"/>
  <c r="U352" i="23916" s="1"/>
  <c r="S341" i="23916"/>
  <c r="S352" i="23916" s="1"/>
  <c r="Q341" i="23916"/>
  <c r="Q352" i="23916" s="1"/>
  <c r="P341" i="23916"/>
  <c r="O341" i="23916"/>
  <c r="O352" i="23916" s="1"/>
  <c r="M341" i="23916"/>
  <c r="M352" i="23916" s="1"/>
  <c r="K341" i="23916"/>
  <c r="T341" i="23916" s="1"/>
  <c r="I341" i="23916"/>
  <c r="I352" i="23916" s="1"/>
  <c r="I355" i="23916" s="1"/>
  <c r="G341" i="23916"/>
  <c r="G352" i="23916" s="1"/>
  <c r="G355" i="23916" s="1"/>
  <c r="E341" i="23916"/>
  <c r="E352" i="23916" s="1"/>
  <c r="E355" i="23916" s="1"/>
  <c r="FP340" i="23916"/>
  <c r="FS340" i="23916" s="1"/>
  <c r="FN340" i="23916"/>
  <c r="FQ340" i="23916" s="1"/>
  <c r="FL340" i="23916"/>
  <c r="FJ340" i="23916"/>
  <c r="FM340" i="23916" s="1"/>
  <c r="FH340" i="23916"/>
  <c r="FF340" i="23916"/>
  <c r="FI340" i="23916" s="1"/>
  <c r="FD340" i="23916"/>
  <c r="FB340" i="23916"/>
  <c r="FE340" i="23916" s="1"/>
  <c r="BN340" i="23916"/>
  <c r="BL340" i="23916"/>
  <c r="BJ340" i="23916"/>
  <c r="BH340" i="23916"/>
  <c r="BF340" i="23916"/>
  <c r="BD340" i="23916"/>
  <c r="BB340" i="23916"/>
  <c r="AZ340" i="23916"/>
  <c r="AX340" i="23916"/>
  <c r="AV340" i="23916"/>
  <c r="AT340" i="23916"/>
  <c r="AR340" i="23916"/>
  <c r="AP340" i="23916"/>
  <c r="AP339" i="23916"/>
  <c r="AP338" i="23916"/>
  <c r="AN340" i="23916"/>
  <c r="AN339" i="23916"/>
  <c r="AN338" i="23916"/>
  <c r="AL340" i="23916"/>
  <c r="AJ340" i="23916"/>
  <c r="AH340" i="23916"/>
  <c r="AF340" i="23916"/>
  <c r="AD340" i="23916"/>
  <c r="AB340" i="23916"/>
  <c r="Z340" i="23916"/>
  <c r="X340" i="23916"/>
  <c r="V340" i="23916"/>
  <c r="T340" i="23916"/>
  <c r="R340" i="23916"/>
  <c r="P340" i="23916"/>
  <c r="N340" i="23916"/>
  <c r="FP339" i="23916"/>
  <c r="GS338" i="23916"/>
  <c r="GQ338" i="23916"/>
  <c r="GO338" i="23916"/>
  <c r="GM338" i="23916"/>
  <c r="GK338" i="23916"/>
  <c r="GI338" i="23916"/>
  <c r="GG338" i="23916"/>
  <c r="GE338" i="23916"/>
  <c r="GC338" i="23916"/>
  <c r="GA338" i="23916"/>
  <c r="FY338" i="23916"/>
  <c r="FW338" i="23916"/>
  <c r="FU338" i="23916"/>
  <c r="FH338" i="23916"/>
  <c r="FH341" i="23916" s="1"/>
  <c r="FF338" i="23916"/>
  <c r="FI338" i="23916" s="1"/>
  <c r="FD338" i="23916"/>
  <c r="FD341" i="23916" s="1"/>
  <c r="FB338" i="23916"/>
  <c r="FE338" i="23916" s="1"/>
  <c r="BN338" i="23916"/>
  <c r="BL338" i="23916"/>
  <c r="BI338" i="23916"/>
  <c r="FP338" i="23916" s="1"/>
  <c r="BG338" i="23916"/>
  <c r="BG341" i="23916" s="1"/>
  <c r="AL338" i="23916"/>
  <c r="AJ338" i="23916"/>
  <c r="AH338" i="23916"/>
  <c r="AF338" i="23916"/>
  <c r="AD338" i="23916"/>
  <c r="AB338" i="23916"/>
  <c r="Z338" i="23916"/>
  <c r="X338" i="23916"/>
  <c r="V338" i="23916"/>
  <c r="T338" i="23916"/>
  <c r="R338" i="23916"/>
  <c r="P338" i="23916"/>
  <c r="N338" i="23916"/>
  <c r="GS333" i="23916"/>
  <c r="GS332" i="23916"/>
  <c r="GQ333" i="23916"/>
  <c r="GQ332" i="23916"/>
  <c r="GO333" i="23916"/>
  <c r="GO332" i="23916"/>
  <c r="GM333" i="23916"/>
  <c r="GM332" i="23916"/>
  <c r="GK333" i="23916"/>
  <c r="GK332" i="23916"/>
  <c r="GI333" i="23916"/>
  <c r="GI332" i="23916"/>
  <c r="GG333" i="23916"/>
  <c r="GG332" i="23916"/>
  <c r="GE333" i="23916"/>
  <c r="GE332" i="23916"/>
  <c r="GC333" i="23916"/>
  <c r="GC332" i="23916"/>
  <c r="GA333" i="23916"/>
  <c r="GA332" i="23916"/>
  <c r="FY333" i="23916"/>
  <c r="FY332" i="23916"/>
  <c r="FW333" i="23916"/>
  <c r="FW332" i="23916"/>
  <c r="FU333" i="23916"/>
  <c r="FU332" i="23916"/>
  <c r="FS332" i="23916"/>
  <c r="FP332" i="23916"/>
  <c r="FN332" i="23916"/>
  <c r="FQ332" i="23916" s="1"/>
  <c r="FL332" i="23916"/>
  <c r="FJ332" i="23916"/>
  <c r="FM332" i="23916" s="1"/>
  <c r="FH332" i="23916"/>
  <c r="FF332" i="23916"/>
  <c r="FI332" i="23916" s="1"/>
  <c r="FD332" i="23916"/>
  <c r="FB332" i="23916"/>
  <c r="FB412" i="23916" s="1"/>
  <c r="FC412" i="23916" s="1"/>
  <c r="BL332" i="23916"/>
  <c r="BJ332" i="23916"/>
  <c r="BH332" i="23916"/>
  <c r="BF332" i="23916"/>
  <c r="BD332" i="23916"/>
  <c r="BB332" i="23916"/>
  <c r="AZ332" i="23916"/>
  <c r="AX332" i="23916"/>
  <c r="AV332" i="23916"/>
  <c r="AT332" i="23916"/>
  <c r="AR332" i="23916"/>
  <c r="AP332" i="23916"/>
  <c r="AN332" i="23916"/>
  <c r="AL332" i="23916"/>
  <c r="AJ332" i="23916"/>
  <c r="AH332" i="23916"/>
  <c r="AF332" i="23916"/>
  <c r="AD332" i="23916"/>
  <c r="AB332" i="23916"/>
  <c r="Z332" i="23916"/>
  <c r="X332" i="23916"/>
  <c r="V332" i="23916"/>
  <c r="T332" i="23916"/>
  <c r="R332" i="23916"/>
  <c r="P332" i="23916"/>
  <c r="N332" i="23916"/>
  <c r="GS330" i="23916"/>
  <c r="GS329" i="23916"/>
  <c r="GQ330" i="23916"/>
  <c r="GQ329" i="23916"/>
  <c r="GO330" i="23916"/>
  <c r="GO329" i="23916"/>
  <c r="GM330" i="23916"/>
  <c r="GM329" i="23916"/>
  <c r="GK330" i="23916"/>
  <c r="GK329" i="23916"/>
  <c r="GI330" i="23916"/>
  <c r="GI329" i="23916"/>
  <c r="GG330" i="23916"/>
  <c r="GG329" i="23916"/>
  <c r="GE330" i="23916"/>
  <c r="GE329" i="23916"/>
  <c r="GC330" i="23916"/>
  <c r="GC329" i="23916"/>
  <c r="GA330" i="23916"/>
  <c r="GA329" i="23916"/>
  <c r="FY330" i="23916"/>
  <c r="FY329" i="23916"/>
  <c r="FW330" i="23916"/>
  <c r="FW329" i="23916"/>
  <c r="FU330" i="23916"/>
  <c r="FU329" i="23916"/>
  <c r="GS327" i="23916"/>
  <c r="GS326" i="23916"/>
  <c r="GS325" i="23916"/>
  <c r="GQ327" i="23916"/>
  <c r="GQ326" i="23916"/>
  <c r="GQ325" i="23916"/>
  <c r="GO327" i="23916"/>
  <c r="GO326" i="23916"/>
  <c r="GO325" i="23916"/>
  <c r="GM327" i="23916"/>
  <c r="GM326" i="23916"/>
  <c r="GM325" i="23916"/>
  <c r="GK327" i="23916"/>
  <c r="GK326" i="23916"/>
  <c r="GK325" i="23916"/>
  <c r="GI327" i="23916"/>
  <c r="GI326" i="23916"/>
  <c r="GI325" i="23916"/>
  <c r="GG327" i="23916"/>
  <c r="GG326" i="23916"/>
  <c r="GG325" i="23916"/>
  <c r="GE327" i="23916"/>
  <c r="GE326" i="23916"/>
  <c r="GE325" i="23916"/>
  <c r="GC327" i="23916"/>
  <c r="GC326" i="23916"/>
  <c r="GC325" i="23916"/>
  <c r="GA327" i="23916"/>
  <c r="GA326" i="23916"/>
  <c r="GA325" i="23916"/>
  <c r="FY327" i="23916"/>
  <c r="FY326" i="23916"/>
  <c r="FY325" i="23916"/>
  <c r="FW327" i="23916"/>
  <c r="FW326" i="23916"/>
  <c r="FW325" i="23916"/>
  <c r="FU327" i="23916"/>
  <c r="FU326" i="23916"/>
  <c r="FU325" i="23916"/>
  <c r="K327" i="23916"/>
  <c r="K326" i="23916"/>
  <c r="K325" i="23916"/>
  <c r="I327" i="23916"/>
  <c r="I326" i="23916"/>
  <c r="I325" i="23916"/>
  <c r="G327" i="23916"/>
  <c r="G326" i="23916"/>
  <c r="G325" i="23916"/>
  <c r="E327" i="23916"/>
  <c r="E326" i="23916"/>
  <c r="E325" i="23916"/>
  <c r="BM327" i="23916"/>
  <c r="BL327" i="23916"/>
  <c r="BK327" i="23916"/>
  <c r="BI327" i="23916"/>
  <c r="BJ327" i="23916" s="1"/>
  <c r="BH327" i="23916"/>
  <c r="BG327" i="23916"/>
  <c r="BE327" i="23916"/>
  <c r="BF327" i="23916" s="1"/>
  <c r="BD327" i="23916"/>
  <c r="BC327" i="23916"/>
  <c r="BA327" i="23916"/>
  <c r="BB327" i="23916" s="1"/>
  <c r="AZ327" i="23916"/>
  <c r="AY327" i="23916"/>
  <c r="AW327" i="23916"/>
  <c r="AX327" i="23916" s="1"/>
  <c r="AV327" i="23916"/>
  <c r="AU327" i="23916"/>
  <c r="AS327" i="23916"/>
  <c r="AT327" i="23916" s="1"/>
  <c r="AR327" i="23916"/>
  <c r="AQ327" i="23916"/>
  <c r="AO327" i="23916"/>
  <c r="AP327" i="23916" s="1"/>
  <c r="AN327" i="23916"/>
  <c r="AM327" i="23916"/>
  <c r="AK327" i="23916"/>
  <c r="AL327" i="23916" s="1"/>
  <c r="AJ327" i="23916"/>
  <c r="AI327" i="23916"/>
  <c r="AG327" i="23916"/>
  <c r="AH327" i="23916" s="1"/>
  <c r="AF327" i="23916"/>
  <c r="AE327" i="23916"/>
  <c r="AC327" i="23916"/>
  <c r="AD327" i="23916" s="1"/>
  <c r="AB327" i="23916"/>
  <c r="AA327" i="23916"/>
  <c r="Y327" i="23916"/>
  <c r="Z327" i="23916" s="1"/>
  <c r="X327" i="23916"/>
  <c r="W327" i="23916"/>
  <c r="U327" i="23916"/>
  <c r="V327" i="23916" s="1"/>
  <c r="T327" i="23916"/>
  <c r="S327" i="23916"/>
  <c r="Q327" i="23916"/>
  <c r="R327" i="23916" s="1"/>
  <c r="P327" i="23916"/>
  <c r="O327" i="23916"/>
  <c r="M327" i="23916"/>
  <c r="N327" i="23916" s="1"/>
  <c r="BM326" i="23916"/>
  <c r="BL326" i="23916"/>
  <c r="BK326" i="23916"/>
  <c r="BI326" i="23916"/>
  <c r="BJ326" i="23916" s="1"/>
  <c r="BH326" i="23916"/>
  <c r="BG326" i="23916"/>
  <c r="BE326" i="23916"/>
  <c r="BF326" i="23916" s="1"/>
  <c r="BD326" i="23916"/>
  <c r="BC326" i="23916"/>
  <c r="BA326" i="23916"/>
  <c r="BB326" i="23916" s="1"/>
  <c r="AZ326" i="23916"/>
  <c r="AY326" i="23916"/>
  <c r="AW326" i="23916"/>
  <c r="AX326" i="23916" s="1"/>
  <c r="AV326" i="23916"/>
  <c r="AU326" i="23916"/>
  <c r="AS326" i="23916"/>
  <c r="AT326" i="23916" s="1"/>
  <c r="AR326" i="23916"/>
  <c r="AQ326" i="23916"/>
  <c r="AO326" i="23916"/>
  <c r="AP326" i="23916" s="1"/>
  <c r="AN326" i="23916"/>
  <c r="AM326" i="23916"/>
  <c r="AK326" i="23916"/>
  <c r="AL326" i="23916" s="1"/>
  <c r="AJ326" i="23916"/>
  <c r="AI326" i="23916"/>
  <c r="AG326" i="23916"/>
  <c r="AH326" i="23916" s="1"/>
  <c r="AF326" i="23916"/>
  <c r="AE326" i="23916"/>
  <c r="AC326" i="23916"/>
  <c r="AD326" i="23916" s="1"/>
  <c r="AB326" i="23916"/>
  <c r="AA326" i="23916"/>
  <c r="Y326" i="23916"/>
  <c r="Z326" i="23916" s="1"/>
  <c r="X326" i="23916"/>
  <c r="W326" i="23916"/>
  <c r="U326" i="23916"/>
  <c r="V326" i="23916" s="1"/>
  <c r="T326" i="23916"/>
  <c r="S326" i="23916"/>
  <c r="Q326" i="23916"/>
  <c r="R326" i="23916" s="1"/>
  <c r="P326" i="23916"/>
  <c r="O326" i="23916"/>
  <c r="M326" i="23916"/>
  <c r="N326" i="23916" s="1"/>
  <c r="BM325" i="23916"/>
  <c r="BK325" i="23916"/>
  <c r="BL325" i="23916" s="1"/>
  <c r="BJ325" i="23916"/>
  <c r="BI325" i="23916"/>
  <c r="BG325" i="23916"/>
  <c r="BH325" i="23916" s="1"/>
  <c r="BF325" i="23916"/>
  <c r="BE325" i="23916"/>
  <c r="BC325" i="23916"/>
  <c r="BD325" i="23916" s="1"/>
  <c r="BB325" i="23916"/>
  <c r="BA325" i="23916"/>
  <c r="AY325" i="23916"/>
  <c r="AZ325" i="23916" s="1"/>
  <c r="AX325" i="23916"/>
  <c r="AW325" i="23916"/>
  <c r="AU325" i="23916"/>
  <c r="AV325" i="23916" s="1"/>
  <c r="AT325" i="23916"/>
  <c r="AS325" i="23916"/>
  <c r="AQ325" i="23916"/>
  <c r="AR325" i="23916" s="1"/>
  <c r="AP325" i="23916"/>
  <c r="AO325" i="23916"/>
  <c r="AM325" i="23916"/>
  <c r="AN325" i="23916" s="1"/>
  <c r="AL325" i="23916"/>
  <c r="AK325" i="23916"/>
  <c r="AI325" i="23916"/>
  <c r="AJ325" i="23916" s="1"/>
  <c r="AH325" i="23916"/>
  <c r="AG325" i="23916"/>
  <c r="AE325" i="23916"/>
  <c r="AF325" i="23916" s="1"/>
  <c r="AD325" i="23916"/>
  <c r="AC325" i="23916"/>
  <c r="AA325" i="23916"/>
  <c r="AB325" i="23916" s="1"/>
  <c r="Z325" i="23916"/>
  <c r="Y325" i="23916"/>
  <c r="W325" i="23916"/>
  <c r="X325" i="23916" s="1"/>
  <c r="V325" i="23916"/>
  <c r="U325" i="23916"/>
  <c r="S325" i="23916"/>
  <c r="T325" i="23916" s="1"/>
  <c r="R325" i="23916"/>
  <c r="Q325" i="23916"/>
  <c r="O325" i="23916"/>
  <c r="P325" i="23916" s="1"/>
  <c r="N325" i="23916"/>
  <c r="M325" i="23916"/>
  <c r="GS323" i="23916"/>
  <c r="GS322" i="23916"/>
  <c r="GS321" i="23916"/>
  <c r="GS320" i="23916"/>
  <c r="GS319" i="23916"/>
  <c r="GQ323" i="23916"/>
  <c r="GQ322" i="23916"/>
  <c r="GQ321" i="23916"/>
  <c r="GQ320" i="23916"/>
  <c r="GQ319" i="23916"/>
  <c r="GO323" i="23916"/>
  <c r="GO322" i="23916"/>
  <c r="GO321" i="23916"/>
  <c r="GO320" i="23916"/>
  <c r="GO319" i="23916"/>
  <c r="GM323" i="23916"/>
  <c r="GM322" i="23916"/>
  <c r="GM321" i="23916"/>
  <c r="GM320" i="23916"/>
  <c r="GM319" i="23916"/>
  <c r="GK323" i="23916"/>
  <c r="GK322" i="23916"/>
  <c r="GK321" i="23916"/>
  <c r="GK320" i="23916"/>
  <c r="GK319" i="23916"/>
  <c r="GI323" i="23916"/>
  <c r="GI322" i="23916"/>
  <c r="GI321" i="23916"/>
  <c r="GI320" i="23916"/>
  <c r="GI319" i="23916"/>
  <c r="GG323" i="23916"/>
  <c r="GG322" i="23916"/>
  <c r="GG321" i="23916"/>
  <c r="GG320" i="23916"/>
  <c r="GG319" i="23916"/>
  <c r="GE323" i="23916"/>
  <c r="GE322" i="23916"/>
  <c r="GE321" i="23916"/>
  <c r="GE320" i="23916"/>
  <c r="GE319" i="23916"/>
  <c r="GC323" i="23916"/>
  <c r="GC322" i="23916"/>
  <c r="GC321" i="23916"/>
  <c r="GC320" i="23916"/>
  <c r="GC319" i="23916"/>
  <c r="GA323" i="23916"/>
  <c r="GA322" i="23916"/>
  <c r="GA321" i="23916"/>
  <c r="GA320" i="23916"/>
  <c r="GA319" i="23916"/>
  <c r="FY323" i="23916"/>
  <c r="FY322" i="23916"/>
  <c r="FY321" i="23916"/>
  <c r="FY320" i="23916"/>
  <c r="FY319" i="23916"/>
  <c r="FW323" i="23916"/>
  <c r="FW322" i="23916"/>
  <c r="FW321" i="23916"/>
  <c r="FW320" i="23916"/>
  <c r="FW319" i="23916"/>
  <c r="FU323" i="23916"/>
  <c r="FU322" i="23916"/>
  <c r="FU321" i="23916"/>
  <c r="FU320" i="23916"/>
  <c r="FU319" i="23916"/>
  <c r="FS322" i="23916"/>
  <c r="FQ322" i="23916"/>
  <c r="FP322" i="23916"/>
  <c r="FP327" i="23916" s="1"/>
  <c r="FN322" i="23916"/>
  <c r="FN327" i="23916" s="1"/>
  <c r="FO327" i="23916" s="1"/>
  <c r="FM322" i="23916"/>
  <c r="FL322" i="23916"/>
  <c r="FL327" i="23916" s="1"/>
  <c r="FJ322" i="23916"/>
  <c r="FJ327" i="23916" s="1"/>
  <c r="FK327" i="23916" s="1"/>
  <c r="FI322" i="23916"/>
  <c r="FH322" i="23916"/>
  <c r="FH327" i="23916" s="1"/>
  <c r="FF322" i="23916"/>
  <c r="FF327" i="23916" s="1"/>
  <c r="FE322" i="23916"/>
  <c r="FD322" i="23916"/>
  <c r="FD327" i="23916" s="1"/>
  <c r="FE327" i="23916" s="1"/>
  <c r="FB322" i="23916"/>
  <c r="FB327" i="23916" s="1"/>
  <c r="FC327" i="23916" s="1"/>
  <c r="BM323" i="23916"/>
  <c r="BL323" i="23916"/>
  <c r="BK323" i="23916"/>
  <c r="BI323" i="23916"/>
  <c r="BJ323" i="23916" s="1"/>
  <c r="BH323" i="23916"/>
  <c r="BG323" i="23916"/>
  <c r="BE323" i="23916"/>
  <c r="BF323" i="23916" s="1"/>
  <c r="BD323" i="23916"/>
  <c r="BC323" i="23916"/>
  <c r="BA323" i="23916"/>
  <c r="BB323" i="23916" s="1"/>
  <c r="AZ323" i="23916"/>
  <c r="AY323" i="23916"/>
  <c r="AW323" i="23916"/>
  <c r="AU323" i="23916"/>
  <c r="AS323" i="23916"/>
  <c r="AT323" i="23916" s="1"/>
  <c r="AR323" i="23916"/>
  <c r="AQ323" i="23916"/>
  <c r="AK323" i="23916"/>
  <c r="AL323" i="23916" s="1"/>
  <c r="AJ323" i="23916"/>
  <c r="AI323" i="23916"/>
  <c r="AG323" i="23916"/>
  <c r="AH323" i="23916" s="1"/>
  <c r="AC323" i="23916"/>
  <c r="AD323" i="23916" s="1"/>
  <c r="AB323" i="23916"/>
  <c r="AA323" i="23916"/>
  <c r="Y323" i="23916"/>
  <c r="Z323" i="23916" s="1"/>
  <c r="X323" i="23916"/>
  <c r="W323" i="23916"/>
  <c r="U323" i="23916"/>
  <c r="V323" i="23916" s="1"/>
  <c r="S323" i="23916"/>
  <c r="Q323" i="23916"/>
  <c r="R323" i="23916" s="1"/>
  <c r="P323" i="23916"/>
  <c r="O323" i="23916"/>
  <c r="M323" i="23916"/>
  <c r="N323" i="23916" s="1"/>
  <c r="K323" i="23916"/>
  <c r="T323" i="23916" s="1"/>
  <c r="I323" i="23916"/>
  <c r="G323" i="23916"/>
  <c r="E323" i="23916"/>
  <c r="BL322" i="23916"/>
  <c r="BL321" i="23916"/>
  <c r="BL320" i="23916"/>
  <c r="BL319" i="23916"/>
  <c r="BJ322" i="23916"/>
  <c r="BJ321" i="23916"/>
  <c r="BJ320" i="23916"/>
  <c r="BJ319" i="23916"/>
  <c r="BH322" i="23916"/>
  <c r="BH321" i="23916"/>
  <c r="BH320" i="23916"/>
  <c r="BH319" i="23916"/>
  <c r="BF322" i="23916"/>
  <c r="BF321" i="23916"/>
  <c r="BF320" i="23916"/>
  <c r="BF319" i="23916"/>
  <c r="BD322" i="23916"/>
  <c r="BD321" i="23916"/>
  <c r="BD320" i="23916"/>
  <c r="BD319" i="23916"/>
  <c r="BB322" i="23916"/>
  <c r="BB321" i="23916"/>
  <c r="BB320" i="23916"/>
  <c r="BB319" i="23916"/>
  <c r="AZ322" i="23916"/>
  <c r="AZ321" i="23916"/>
  <c r="AZ320" i="23916"/>
  <c r="AZ319" i="23916"/>
  <c r="AX322" i="23916"/>
  <c r="AX320" i="23916"/>
  <c r="AX319" i="23916"/>
  <c r="AV322" i="23916"/>
  <c r="AV321" i="23916"/>
  <c r="AV320" i="23916"/>
  <c r="AV319" i="23916"/>
  <c r="AT322" i="23916"/>
  <c r="AT321" i="23916"/>
  <c r="AT320" i="23916"/>
  <c r="AT319" i="23916"/>
  <c r="AR322" i="23916"/>
  <c r="AR321" i="23916"/>
  <c r="AR320" i="23916"/>
  <c r="AR319" i="23916"/>
  <c r="AP322" i="23916"/>
  <c r="AP320" i="23916"/>
  <c r="AP319" i="23916"/>
  <c r="AN322" i="23916"/>
  <c r="AN320" i="23916"/>
  <c r="AN319" i="23916"/>
  <c r="AL322" i="23916"/>
  <c r="AL321" i="23916"/>
  <c r="AL320" i="23916"/>
  <c r="AL319" i="23916"/>
  <c r="AJ322" i="23916"/>
  <c r="AJ321" i="23916"/>
  <c r="AJ320" i="23916"/>
  <c r="AJ319" i="23916"/>
  <c r="AH322" i="23916"/>
  <c r="AH321" i="23916"/>
  <c r="AH320" i="23916"/>
  <c r="AH319" i="23916"/>
  <c r="AF322" i="23916"/>
  <c r="AF320" i="23916"/>
  <c r="AF319" i="23916"/>
  <c r="AD322" i="23916"/>
  <c r="AD321" i="23916"/>
  <c r="AD320" i="23916"/>
  <c r="AD319" i="23916"/>
  <c r="AB322" i="23916"/>
  <c r="AB321" i="23916"/>
  <c r="AB320" i="23916"/>
  <c r="AB319" i="23916"/>
  <c r="Z322" i="23916"/>
  <c r="Z321" i="23916"/>
  <c r="Z320" i="23916"/>
  <c r="Z319" i="23916"/>
  <c r="X322" i="23916"/>
  <c r="X321" i="23916"/>
  <c r="X320" i="23916"/>
  <c r="X319" i="23916"/>
  <c r="V322" i="23916"/>
  <c r="V321" i="23916"/>
  <c r="V320" i="23916"/>
  <c r="V319" i="23916"/>
  <c r="T322" i="23916"/>
  <c r="T321" i="23916"/>
  <c r="T320" i="23916"/>
  <c r="T319" i="23916"/>
  <c r="R322" i="23916"/>
  <c r="R321" i="23916"/>
  <c r="R320" i="23916"/>
  <c r="R319" i="23916"/>
  <c r="P322" i="23916"/>
  <c r="P321" i="23916"/>
  <c r="P320" i="23916"/>
  <c r="P319" i="23916"/>
  <c r="N322" i="23916"/>
  <c r="N321" i="23916"/>
  <c r="N320" i="23916"/>
  <c r="N319" i="23916"/>
  <c r="FC321" i="23916"/>
  <c r="FC320" i="23916"/>
  <c r="AO321" i="23916"/>
  <c r="AX321" i="23916" s="1"/>
  <c r="AM321" i="23916"/>
  <c r="AM323" i="23916" s="1"/>
  <c r="AE321" i="23916"/>
  <c r="AE323" i="23916" s="1"/>
  <c r="AF323" i="23916" s="1"/>
  <c r="FD320" i="23916"/>
  <c r="FD326" i="23916" s="1"/>
  <c r="FE326" i="23916" s="1"/>
  <c r="FD319" i="23916"/>
  <c r="FD323" i="23916" s="1"/>
  <c r="FB320" i="23916"/>
  <c r="FB326" i="23916" s="1"/>
  <c r="FC326" i="23916" s="1"/>
  <c r="FB319" i="23916"/>
  <c r="FB325" i="23916" s="1"/>
  <c r="FC325" i="23916" s="1"/>
  <c r="FP321" i="23916"/>
  <c r="FS321" i="23916" s="1"/>
  <c r="FN321" i="23916"/>
  <c r="FO321" i="23916" s="1"/>
  <c r="FL321" i="23916"/>
  <c r="FM321" i="23916" s="1"/>
  <c r="FJ321" i="23916"/>
  <c r="FK321" i="23916" s="1"/>
  <c r="FH321" i="23916"/>
  <c r="FI321" i="23916" s="1"/>
  <c r="FF321" i="23916"/>
  <c r="FG321" i="23916" s="1"/>
  <c r="FE321" i="23916"/>
  <c r="FQ320" i="23916"/>
  <c r="FP320" i="23916"/>
  <c r="FS320" i="23916" s="1"/>
  <c r="FO320" i="23916"/>
  <c r="FN320" i="23916"/>
  <c r="FN326" i="23916" s="1"/>
  <c r="FM320" i="23916"/>
  <c r="FL320" i="23916"/>
  <c r="FL326" i="23916" s="1"/>
  <c r="FM326" i="23916" s="1"/>
  <c r="FK320" i="23916"/>
  <c r="FJ320" i="23916"/>
  <c r="FJ326" i="23916" s="1"/>
  <c r="FI320" i="23916"/>
  <c r="FH320" i="23916"/>
  <c r="FH326" i="23916" s="1"/>
  <c r="FI326" i="23916" s="1"/>
  <c r="FG320" i="23916"/>
  <c r="FF320" i="23916"/>
  <c r="FF326" i="23916" s="1"/>
  <c r="FE320" i="23916"/>
  <c r="FP319" i="23916"/>
  <c r="FP323" i="23916" s="1"/>
  <c r="FN319" i="23916"/>
  <c r="FN325" i="23916" s="1"/>
  <c r="FL319" i="23916"/>
  <c r="FL323" i="23916" s="1"/>
  <c r="FJ319" i="23916"/>
  <c r="FJ325" i="23916" s="1"/>
  <c r="FH319" i="23916"/>
  <c r="FH323" i="23916" s="1"/>
  <c r="FF319" i="23916"/>
  <c r="FF325" i="23916" s="1"/>
  <c r="GS316" i="23916"/>
  <c r="GS315" i="23916"/>
  <c r="GS314" i="23916"/>
  <c r="GS313" i="23916"/>
  <c r="GQ316" i="23916"/>
  <c r="GQ315" i="23916"/>
  <c r="GQ314" i="23916"/>
  <c r="GQ313" i="23916"/>
  <c r="GO316" i="23916"/>
  <c r="GO315" i="23916"/>
  <c r="GO314" i="23916"/>
  <c r="GO313" i="23916"/>
  <c r="GM316" i="23916"/>
  <c r="GM315" i="23916"/>
  <c r="GM314" i="23916"/>
  <c r="GM313" i="23916"/>
  <c r="GK316" i="23916"/>
  <c r="GK315" i="23916"/>
  <c r="GK314" i="23916"/>
  <c r="GK313" i="23916"/>
  <c r="GI316" i="23916"/>
  <c r="GI315" i="23916"/>
  <c r="GI314" i="23916"/>
  <c r="GI313" i="23916"/>
  <c r="GG316" i="23916"/>
  <c r="GG315" i="23916"/>
  <c r="GG314" i="23916"/>
  <c r="GG313" i="23916"/>
  <c r="GE316" i="23916"/>
  <c r="GE315" i="23916"/>
  <c r="GE314" i="23916"/>
  <c r="GE313" i="23916"/>
  <c r="GC316" i="23916"/>
  <c r="GC315" i="23916"/>
  <c r="GC314" i="23916"/>
  <c r="GC313" i="23916"/>
  <c r="GA316" i="23916"/>
  <c r="GA315" i="23916"/>
  <c r="GA314" i="23916"/>
  <c r="GA313" i="23916"/>
  <c r="FY316" i="23916"/>
  <c r="FY315" i="23916"/>
  <c r="FY314" i="23916"/>
  <c r="FY313" i="23916"/>
  <c r="FW316" i="23916"/>
  <c r="FW315" i="23916"/>
  <c r="FW314" i="23916"/>
  <c r="FW313" i="23916"/>
  <c r="FU316" i="23916"/>
  <c r="FU315" i="23916"/>
  <c r="FU314" i="23916"/>
  <c r="FU313" i="23916"/>
  <c r="FS314" i="23916"/>
  <c r="BM316" i="23916"/>
  <c r="BM329" i="23916" s="1"/>
  <c r="BK316" i="23916"/>
  <c r="BK329" i="23916" s="1"/>
  <c r="BI316" i="23916"/>
  <c r="BJ316" i="23916" s="1"/>
  <c r="BG316" i="23916"/>
  <c r="BG329" i="23916" s="1"/>
  <c r="BE316" i="23916"/>
  <c r="BF316" i="23916" s="1"/>
  <c r="BC316" i="23916"/>
  <c r="BC329" i="23916" s="1"/>
  <c r="BA316" i="23916"/>
  <c r="BB316" i="23916" s="1"/>
  <c r="AY316" i="23916"/>
  <c r="AY329" i="23916" s="1"/>
  <c r="AW316" i="23916"/>
  <c r="AX316" i="23916" s="1"/>
  <c r="AU316" i="23916"/>
  <c r="AU329" i="23916" s="1"/>
  <c r="AS316" i="23916"/>
  <c r="AT316" i="23916" s="1"/>
  <c r="AQ316" i="23916"/>
  <c r="AQ329" i="23916" s="1"/>
  <c r="AO316" i="23916"/>
  <c r="AP316" i="23916" s="1"/>
  <c r="AM316" i="23916"/>
  <c r="AM329" i="23916" s="1"/>
  <c r="AK316" i="23916"/>
  <c r="AL316" i="23916" s="1"/>
  <c r="AI316" i="23916"/>
  <c r="AI329" i="23916" s="1"/>
  <c r="AG316" i="23916"/>
  <c r="AH316" i="23916" s="1"/>
  <c r="AE316" i="23916"/>
  <c r="AE329" i="23916" s="1"/>
  <c r="AC316" i="23916"/>
  <c r="AD316" i="23916" s="1"/>
  <c r="AA316" i="23916"/>
  <c r="AA329" i="23916" s="1"/>
  <c r="Y316" i="23916"/>
  <c r="Z316" i="23916" s="1"/>
  <c r="W316" i="23916"/>
  <c r="W329" i="23916" s="1"/>
  <c r="U316" i="23916"/>
  <c r="V316" i="23916" s="1"/>
  <c r="S316" i="23916"/>
  <c r="S329" i="23916" s="1"/>
  <c r="Q316" i="23916"/>
  <c r="R316" i="23916" s="1"/>
  <c r="O316" i="23916"/>
  <c r="O329" i="23916" s="1"/>
  <c r="M316" i="23916"/>
  <c r="N316" i="23916" s="1"/>
  <c r="K316" i="23916"/>
  <c r="K329" i="23916" s="1"/>
  <c r="I316" i="23916"/>
  <c r="I329" i="23916" s="1"/>
  <c r="G316" i="23916"/>
  <c r="G329" i="23916" s="1"/>
  <c r="E316" i="23916"/>
  <c r="E329" i="23916" s="1"/>
  <c r="BL315" i="23916"/>
  <c r="BL314" i="23916"/>
  <c r="BL313" i="23916"/>
  <c r="BJ315" i="23916"/>
  <c r="BJ314" i="23916"/>
  <c r="BJ313" i="23916"/>
  <c r="BH315" i="23916"/>
  <c r="BH314" i="23916"/>
  <c r="BH313" i="23916"/>
  <c r="BF315" i="23916"/>
  <c r="BF314" i="23916"/>
  <c r="BF313" i="23916"/>
  <c r="BD315" i="23916"/>
  <c r="BD314" i="23916"/>
  <c r="BD313" i="23916"/>
  <c r="BB315" i="23916"/>
  <c r="BB314" i="23916"/>
  <c r="BB313" i="23916"/>
  <c r="AZ315" i="23916"/>
  <c r="AZ314" i="23916"/>
  <c r="AZ313" i="23916"/>
  <c r="AX315" i="23916"/>
  <c r="AX314" i="23916"/>
  <c r="AX313" i="23916"/>
  <c r="AV315" i="23916"/>
  <c r="AV314" i="23916"/>
  <c r="AV313" i="23916"/>
  <c r="AT315" i="23916"/>
  <c r="AT314" i="23916"/>
  <c r="AT313" i="23916"/>
  <c r="AR315" i="23916"/>
  <c r="AR314" i="23916"/>
  <c r="AR313" i="23916"/>
  <c r="AP315" i="23916"/>
  <c r="AP314" i="23916"/>
  <c r="AP313" i="23916"/>
  <c r="AN315" i="23916"/>
  <c r="AN314" i="23916"/>
  <c r="AN313" i="23916"/>
  <c r="AL314" i="23916"/>
  <c r="AL313" i="23916"/>
  <c r="AJ314" i="23916"/>
  <c r="AJ313" i="23916"/>
  <c r="AH314" i="23916"/>
  <c r="AH313" i="23916"/>
  <c r="AF314" i="23916"/>
  <c r="AF313" i="23916"/>
  <c r="AD314" i="23916"/>
  <c r="AD313" i="23916"/>
  <c r="AB314" i="23916"/>
  <c r="AB313" i="23916"/>
  <c r="Z314" i="23916"/>
  <c r="Z313" i="23916"/>
  <c r="X314" i="23916"/>
  <c r="X313" i="23916"/>
  <c r="V314" i="23916"/>
  <c r="V313" i="23916"/>
  <c r="T314" i="23916"/>
  <c r="T313" i="23916"/>
  <c r="R314" i="23916"/>
  <c r="R313" i="23916"/>
  <c r="P314" i="23916"/>
  <c r="P313" i="23916"/>
  <c r="N314" i="23916"/>
  <c r="N313" i="23916"/>
  <c r="FQ315" i="23916"/>
  <c r="FP315" i="23916"/>
  <c r="FP316" i="23916" s="1"/>
  <c r="FO315" i="23916"/>
  <c r="FN315" i="23916"/>
  <c r="FN316" i="23916" s="1"/>
  <c r="FM315" i="23916"/>
  <c r="FL315" i="23916"/>
  <c r="FL316" i="23916" s="1"/>
  <c r="FK315" i="23916"/>
  <c r="FJ315" i="23916"/>
  <c r="FJ316" i="23916" s="1"/>
  <c r="FI315" i="23916"/>
  <c r="FH315" i="23916"/>
  <c r="FH316" i="23916" s="1"/>
  <c r="FG315" i="23916"/>
  <c r="FF315" i="23916"/>
  <c r="FF316" i="23916" s="1"/>
  <c r="FE315" i="23916"/>
  <c r="FD315" i="23916"/>
  <c r="FC315" i="23916"/>
  <c r="FB315" i="23916"/>
  <c r="FQ314" i="23916"/>
  <c r="FP314" i="23916"/>
  <c r="FO314" i="23916"/>
  <c r="FN314" i="23916"/>
  <c r="FM314" i="23916"/>
  <c r="FL314" i="23916"/>
  <c r="FK314" i="23916"/>
  <c r="FJ314" i="23916"/>
  <c r="FI314" i="23916"/>
  <c r="FH314" i="23916"/>
  <c r="FG314" i="23916"/>
  <c r="FF314" i="23916"/>
  <c r="FE314" i="23916"/>
  <c r="FD314" i="23916"/>
  <c r="FC314" i="23916"/>
  <c r="FB314" i="23916"/>
  <c r="FQ313" i="23916"/>
  <c r="FP313" i="23916"/>
  <c r="FS313" i="23916" s="1"/>
  <c r="FO313" i="23916"/>
  <c r="FN313" i="23916"/>
  <c r="FM313" i="23916"/>
  <c r="FL313" i="23916"/>
  <c r="FK313" i="23916"/>
  <c r="FJ313" i="23916"/>
  <c r="FI313" i="23916"/>
  <c r="FH313" i="23916"/>
  <c r="FG313" i="23916"/>
  <c r="FF313" i="23916"/>
  <c r="FE313" i="23916"/>
  <c r="FD313" i="23916"/>
  <c r="FD316" i="23916" s="1"/>
  <c r="FC313" i="23916"/>
  <c r="FB313" i="23916"/>
  <c r="FB316" i="23916" s="1"/>
  <c r="FG308" i="23916"/>
  <c r="FG307" i="23916"/>
  <c r="FE308" i="23916"/>
  <c r="FE307" i="23916"/>
  <c r="K307" i="23916"/>
  <c r="I307" i="23916"/>
  <c r="G307" i="23916"/>
  <c r="E307" i="23916"/>
  <c r="FI308" i="23916"/>
  <c r="GR307" i="23916"/>
  <c r="GS307" i="23916" s="1"/>
  <c r="GP307" i="23916"/>
  <c r="GQ307" i="23916" s="1"/>
  <c r="GN307" i="23916"/>
  <c r="GO307" i="23916" s="1"/>
  <c r="GL307" i="23916"/>
  <c r="GM307" i="23916" s="1"/>
  <c r="GJ307" i="23916"/>
  <c r="GK307" i="23916" s="1"/>
  <c r="GH307" i="23916"/>
  <c r="GI307" i="23916" s="1"/>
  <c r="GF307" i="23916"/>
  <c r="GG307" i="23916" s="1"/>
  <c r="GD307" i="23916"/>
  <c r="GE307" i="23916" s="1"/>
  <c r="GB307" i="23916"/>
  <c r="GC307" i="23916" s="1"/>
  <c r="FZ307" i="23916"/>
  <c r="GA307" i="23916" s="1"/>
  <c r="FX307" i="23916"/>
  <c r="FY307" i="23916" s="1"/>
  <c r="FV307" i="23916"/>
  <c r="FW307" i="23916" s="1"/>
  <c r="FT307" i="23916"/>
  <c r="FU307" i="23916" s="1"/>
  <c r="FR307" i="23916"/>
  <c r="FS307" i="23916" s="1"/>
  <c r="FP307" i="23916"/>
  <c r="FQ307" i="23916" s="1"/>
  <c r="FN307" i="23916"/>
  <c r="FO307" i="23916" s="1"/>
  <c r="FL307" i="23916"/>
  <c r="FM307" i="23916" s="1"/>
  <c r="FJ307" i="23916"/>
  <c r="FK307" i="23916" s="1"/>
  <c r="FI307" i="23916"/>
  <c r="ER307" i="23916"/>
  <c r="EP307" i="23916"/>
  <c r="EN307" i="23916"/>
  <c r="EL307" i="23916"/>
  <c r="EJ307" i="23916"/>
  <c r="EH307" i="23916"/>
  <c r="EF307" i="23916"/>
  <c r="ED307" i="23916"/>
  <c r="EB307" i="23916"/>
  <c r="DZ307" i="23916"/>
  <c r="DX307" i="23916"/>
  <c r="DV307" i="23916"/>
  <c r="DT307" i="23916"/>
  <c r="DR307" i="23916"/>
  <c r="DP307" i="23916"/>
  <c r="DN307" i="23916"/>
  <c r="DL307" i="23916"/>
  <c r="DJ307" i="23916"/>
  <c r="DH307" i="23916"/>
  <c r="DF307" i="23916"/>
  <c r="DD307" i="23916"/>
  <c r="DB307" i="23916"/>
  <c r="CZ307" i="23916"/>
  <c r="CX307" i="23916"/>
  <c r="CV307" i="23916"/>
  <c r="CT307" i="23916"/>
  <c r="CR307" i="23916"/>
  <c r="CP307" i="23916"/>
  <c r="CN307" i="23916"/>
  <c r="CL307" i="23916"/>
  <c r="CJ307" i="23916"/>
  <c r="CF307" i="23916"/>
  <c r="CE307" i="23916"/>
  <c r="CH307" i="23916" s="1"/>
  <c r="CD307" i="23916"/>
  <c r="CC307" i="23916"/>
  <c r="CB307" i="23916"/>
  <c r="CA307" i="23916"/>
  <c r="BZ307" i="23916"/>
  <c r="BY307" i="23916"/>
  <c r="BX307" i="23916"/>
  <c r="BW307" i="23916"/>
  <c r="BV307" i="23916"/>
  <c r="BU307" i="23916"/>
  <c r="BT307" i="23916"/>
  <c r="BS307" i="23916"/>
  <c r="BR307" i="23916"/>
  <c r="BQ307" i="23916"/>
  <c r="BP307" i="23916"/>
  <c r="BO307" i="23916"/>
  <c r="BN307" i="23916"/>
  <c r="BM307" i="23916"/>
  <c r="BL307" i="23916"/>
  <c r="BK307" i="23916"/>
  <c r="BJ307" i="23916"/>
  <c r="BI307" i="23916"/>
  <c r="BH307" i="23916"/>
  <c r="BG307" i="23916"/>
  <c r="BF307" i="23916"/>
  <c r="BE307" i="23916"/>
  <c r="BD307" i="23916"/>
  <c r="BC307" i="23916"/>
  <c r="BB307" i="23916"/>
  <c r="BA307" i="23916"/>
  <c r="AZ307" i="23916"/>
  <c r="AY307" i="23916"/>
  <c r="AX307" i="23916"/>
  <c r="AW307" i="23916"/>
  <c r="AV307" i="23916"/>
  <c r="AU307" i="23916"/>
  <c r="AT307" i="23916"/>
  <c r="AS307" i="23916"/>
  <c r="AR307" i="23916"/>
  <c r="AQ307" i="23916"/>
  <c r="AP307" i="23916"/>
  <c r="AO307" i="23916"/>
  <c r="AN307" i="23916"/>
  <c r="AM307" i="23916"/>
  <c r="AL307" i="23916"/>
  <c r="AK307" i="23916"/>
  <c r="AJ307" i="23916"/>
  <c r="AI307" i="23916"/>
  <c r="AH307" i="23916"/>
  <c r="AG307" i="23916"/>
  <c r="AF307" i="23916"/>
  <c r="AE307" i="23916"/>
  <c r="AD307" i="23916"/>
  <c r="AC307" i="23916"/>
  <c r="AB307" i="23916"/>
  <c r="AA307" i="23916"/>
  <c r="Z307" i="23916"/>
  <c r="Y307" i="23916"/>
  <c r="X307" i="23916"/>
  <c r="W307" i="23916"/>
  <c r="V307" i="23916"/>
  <c r="U307" i="23916"/>
  <c r="T307" i="23916"/>
  <c r="S307" i="23916"/>
  <c r="R307" i="23916"/>
  <c r="Q307" i="23916"/>
  <c r="P307" i="23916"/>
  <c r="O307" i="23916"/>
  <c r="N307" i="23916"/>
  <c r="M307" i="23916"/>
  <c r="DY305" i="23916"/>
  <c r="DI305" i="23916"/>
  <c r="CS305" i="23916"/>
  <c r="CC305" i="23916"/>
  <c r="GJ304" i="23916"/>
  <c r="GH304" i="23916"/>
  <c r="GF304" i="23916"/>
  <c r="GD304" i="23916"/>
  <c r="GB304" i="23916"/>
  <c r="FZ304" i="23916"/>
  <c r="EJ302" i="23916"/>
  <c r="EI302" i="23916"/>
  <c r="EH302" i="23916"/>
  <c r="EG302" i="23916"/>
  <c r="EF302" i="23916"/>
  <c r="EE302" i="23916"/>
  <c r="EC302" i="23916"/>
  <c r="DZ302" i="23916"/>
  <c r="DY302" i="23916"/>
  <c r="DX302" i="23916"/>
  <c r="DW302" i="23916"/>
  <c r="DV302" i="23916"/>
  <c r="DU302" i="23916"/>
  <c r="DT302" i="23916"/>
  <c r="DS302" i="23916"/>
  <c r="DR302" i="23916"/>
  <c r="DQ302" i="23916"/>
  <c r="DP302" i="23916"/>
  <c r="DO302" i="23916"/>
  <c r="DN302" i="23916"/>
  <c r="DM302" i="23916"/>
  <c r="DL302" i="23916"/>
  <c r="DK302" i="23916"/>
  <c r="DJ302" i="23916"/>
  <c r="DI302" i="23916"/>
  <c r="DH302" i="23916"/>
  <c r="DG302" i="23916"/>
  <c r="DF302" i="23916"/>
  <c r="DE302" i="23916"/>
  <c r="DC302" i="23916"/>
  <c r="CZ302" i="23916"/>
  <c r="CY302" i="23916"/>
  <c r="CX302" i="23916"/>
  <c r="CW302" i="23916"/>
  <c r="CV302" i="23916"/>
  <c r="CU302" i="23916"/>
  <c r="K301" i="23916"/>
  <c r="K300" i="23916"/>
  <c r="K299" i="23916"/>
  <c r="K298" i="23916"/>
  <c r="K297" i="23916"/>
  <c r="K296" i="23916"/>
  <c r="K295" i="23916"/>
  <c r="K294" i="23916"/>
  <c r="K293" i="23916"/>
  <c r="K292" i="23916"/>
  <c r="K302" i="23916" s="1"/>
  <c r="I301" i="23916"/>
  <c r="I300" i="23916"/>
  <c r="I299" i="23916"/>
  <c r="I298" i="23916"/>
  <c r="I297" i="23916"/>
  <c r="I296" i="23916" s="1"/>
  <c r="I295" i="23916"/>
  <c r="I294" i="23916"/>
  <c r="I293" i="23916"/>
  <c r="I292" i="23916"/>
  <c r="I302" i="23916" s="1"/>
  <c r="G301" i="23916"/>
  <c r="G300" i="23916"/>
  <c r="G299" i="23916"/>
  <c r="G298" i="23916"/>
  <c r="G297" i="23916"/>
  <c r="G296" i="23916"/>
  <c r="G295" i="23916"/>
  <c r="G294" i="23916"/>
  <c r="G293" i="23916"/>
  <c r="G292" i="23916"/>
  <c r="G302" i="23916" s="1"/>
  <c r="E301" i="23916"/>
  <c r="E300" i="23916"/>
  <c r="E299" i="23916"/>
  <c r="E298" i="23916"/>
  <c r="E297" i="23916"/>
  <c r="E296" i="23916" s="1"/>
  <c r="E295" i="23916"/>
  <c r="E294" i="23916"/>
  <c r="E293" i="23916"/>
  <c r="E292" i="23916"/>
  <c r="GH301" i="23916"/>
  <c r="GF301" i="23916"/>
  <c r="GG301" i="23916" s="1"/>
  <c r="GD301" i="23916"/>
  <c r="GE301" i="23916" s="1"/>
  <c r="GB301" i="23916"/>
  <c r="FZ301" i="23916"/>
  <c r="FX301" i="23916"/>
  <c r="FT301" i="23916"/>
  <c r="FU301" i="23916" s="1"/>
  <c r="ER301" i="23916"/>
  <c r="EP301" i="23916"/>
  <c r="EN301" i="23916"/>
  <c r="EM301" i="23916"/>
  <c r="EO301" i="23916" s="1"/>
  <c r="EQ301" i="23916" s="1"/>
  <c r="EL301" i="23916"/>
  <c r="EK301" i="23916"/>
  <c r="EJ301" i="23916"/>
  <c r="EH301" i="23916"/>
  <c r="EF301" i="23916"/>
  <c r="EB301" i="23916"/>
  <c r="EA301" i="23916"/>
  <c r="ED301" i="23916" s="1"/>
  <c r="DZ301" i="23916"/>
  <c r="DX301" i="23916"/>
  <c r="DV301" i="23916"/>
  <c r="DT301" i="23916"/>
  <c r="DR301" i="23916"/>
  <c r="DP301" i="23916"/>
  <c r="DN301" i="23916"/>
  <c r="DL301" i="23916"/>
  <c r="DJ301" i="23916"/>
  <c r="DH301" i="23916"/>
  <c r="DF301" i="23916"/>
  <c r="DD301" i="23916"/>
  <c r="DB301" i="23916"/>
  <c r="CZ301" i="23916"/>
  <c r="CX301" i="23916"/>
  <c r="CV301" i="23916"/>
  <c r="CT301" i="23916"/>
  <c r="CR301" i="23916"/>
  <c r="CP301" i="23916"/>
  <c r="CM301" i="23916"/>
  <c r="CK301" i="23916"/>
  <c r="CL301" i="23916" s="1"/>
  <c r="CJ301" i="23916"/>
  <c r="CH301" i="23916"/>
  <c r="CG301" i="23916"/>
  <c r="CF301" i="23916"/>
  <c r="CE301" i="23916"/>
  <c r="CD301" i="23916"/>
  <c r="CC301" i="23916"/>
  <c r="CB301" i="23916"/>
  <c r="CA301" i="23916"/>
  <c r="BZ301" i="23916"/>
  <c r="BY301" i="23916"/>
  <c r="BX301" i="23916"/>
  <c r="BV301" i="23916"/>
  <c r="BT301" i="23916"/>
  <c r="BR301" i="23916"/>
  <c r="GS300" i="23916"/>
  <c r="GS299" i="23916"/>
  <c r="GS298" i="23916"/>
  <c r="GS297" i="23916"/>
  <c r="GQ300" i="23916"/>
  <c r="GQ299" i="23916"/>
  <c r="GQ298" i="23916"/>
  <c r="GQ297" i="23916"/>
  <c r="GO300" i="23916"/>
  <c r="GO299" i="23916"/>
  <c r="GO298" i="23916"/>
  <c r="GO297" i="23916"/>
  <c r="GM300" i="23916"/>
  <c r="GM299" i="23916"/>
  <c r="GM298" i="23916"/>
  <c r="GM297" i="23916"/>
  <c r="GK300" i="23916"/>
  <c r="GK299" i="23916"/>
  <c r="GK298" i="23916"/>
  <c r="GK297" i="23916"/>
  <c r="GI300" i="23916"/>
  <c r="GI299" i="23916"/>
  <c r="GI298" i="23916"/>
  <c r="GI297" i="23916"/>
  <c r="GG300" i="23916"/>
  <c r="GG299" i="23916"/>
  <c r="GG298" i="23916"/>
  <c r="GG297" i="23916"/>
  <c r="GE300" i="23916"/>
  <c r="GE299" i="23916"/>
  <c r="GE298" i="23916"/>
  <c r="GE297" i="23916"/>
  <c r="GC300" i="23916"/>
  <c r="GC299" i="23916"/>
  <c r="GC298" i="23916"/>
  <c r="GC297" i="23916"/>
  <c r="GC295" i="23916"/>
  <c r="GC293" i="23916"/>
  <c r="GA300" i="23916"/>
  <c r="GA299" i="23916"/>
  <c r="GA298" i="23916"/>
  <c r="GA297" i="23916"/>
  <c r="FY300" i="23916"/>
  <c r="FY299" i="23916"/>
  <c r="FY298" i="23916"/>
  <c r="FY297" i="23916"/>
  <c r="FW300" i="23916"/>
  <c r="FW299" i="23916"/>
  <c r="FW298" i="23916"/>
  <c r="FW297" i="23916"/>
  <c r="FW296" i="23916"/>
  <c r="FU300" i="23916"/>
  <c r="FU299" i="23916"/>
  <c r="FU298" i="23916"/>
  <c r="FU297" i="23916"/>
  <c r="FU293" i="23916"/>
  <c r="GH296" i="23916"/>
  <c r="GH295" i="23916"/>
  <c r="GH294" i="23916"/>
  <c r="GH293" i="23916"/>
  <c r="GH292" i="23916"/>
  <c r="GF296" i="23916"/>
  <c r="GG296" i="23916" s="1"/>
  <c r="GD296" i="23916"/>
  <c r="GD295" i="23916"/>
  <c r="GE295" i="23916" s="1"/>
  <c r="GD294" i="23916"/>
  <c r="GD293" i="23916"/>
  <c r="GE293" i="23916" s="1"/>
  <c r="GD292" i="23916"/>
  <c r="GB296" i="23916"/>
  <c r="GB295" i="23916"/>
  <c r="GB294" i="23916"/>
  <c r="GC294" i="23916" s="1"/>
  <c r="GB293" i="23916"/>
  <c r="GB292" i="23916"/>
  <c r="GE292" i="23916" s="1"/>
  <c r="FZ295" i="23916"/>
  <c r="FZ294" i="23916"/>
  <c r="FZ293" i="23916"/>
  <c r="GA293" i="23916" s="1"/>
  <c r="FZ292" i="23916"/>
  <c r="FX296" i="23916"/>
  <c r="FY296" i="23916" s="1"/>
  <c r="FX293" i="23916"/>
  <c r="FX292" i="23916"/>
  <c r="FV296" i="23916"/>
  <c r="FV293" i="23916"/>
  <c r="FW293" i="23916" s="1"/>
  <c r="FV292" i="23916"/>
  <c r="FT296" i="23916"/>
  <c r="FU296" i="23916" s="1"/>
  <c r="FT293" i="23916"/>
  <c r="FT292" i="23916"/>
  <c r="EH296" i="23916"/>
  <c r="EH295" i="23916"/>
  <c r="EH294" i="23916"/>
  <c r="EH293" i="23916"/>
  <c r="EH292" i="23916"/>
  <c r="EF296" i="23916"/>
  <c r="EF295" i="23916"/>
  <c r="EF294" i="23916"/>
  <c r="EF293" i="23916"/>
  <c r="EF292" i="23916"/>
  <c r="ED296" i="23916"/>
  <c r="ED294" i="23916"/>
  <c r="EB296" i="23916"/>
  <c r="EB295" i="23916"/>
  <c r="DZ296" i="23916"/>
  <c r="DZ295" i="23916"/>
  <c r="DZ294" i="23916"/>
  <c r="DZ293" i="23916"/>
  <c r="DZ292" i="23916"/>
  <c r="DX296" i="23916"/>
  <c r="DX295" i="23916"/>
  <c r="DX294" i="23916"/>
  <c r="DX293" i="23916"/>
  <c r="DX292" i="23916"/>
  <c r="DV296" i="23916"/>
  <c r="DV295" i="23916"/>
  <c r="DV294" i="23916"/>
  <c r="DV293" i="23916"/>
  <c r="DV292" i="23916"/>
  <c r="DT296" i="23916"/>
  <c r="DT295" i="23916"/>
  <c r="DT294" i="23916"/>
  <c r="DT293" i="23916"/>
  <c r="DT292" i="23916"/>
  <c r="DR296" i="23916"/>
  <c r="DR295" i="23916"/>
  <c r="DR294" i="23916"/>
  <c r="DR293" i="23916"/>
  <c r="DR292" i="23916"/>
  <c r="DP296" i="23916"/>
  <c r="DP295" i="23916"/>
  <c r="DP294" i="23916"/>
  <c r="DP293" i="23916"/>
  <c r="DP292" i="23916"/>
  <c r="DN296" i="23916"/>
  <c r="DN295" i="23916"/>
  <c r="DN294" i="23916"/>
  <c r="DN293" i="23916"/>
  <c r="DN292" i="23916"/>
  <c r="DL296" i="23916"/>
  <c r="DL295" i="23916"/>
  <c r="DL294" i="23916"/>
  <c r="DL293" i="23916"/>
  <c r="DL292" i="23916"/>
  <c r="DJ296" i="23916"/>
  <c r="DJ295" i="23916"/>
  <c r="DJ294" i="23916"/>
  <c r="DJ293" i="23916"/>
  <c r="DJ292" i="23916"/>
  <c r="DH296" i="23916"/>
  <c r="DH295" i="23916"/>
  <c r="DH294" i="23916"/>
  <c r="DH293" i="23916"/>
  <c r="DH292" i="23916"/>
  <c r="DF296" i="23916"/>
  <c r="DF295" i="23916"/>
  <c r="DF294" i="23916"/>
  <c r="DF293" i="23916"/>
  <c r="DF292" i="23916"/>
  <c r="DD296" i="23916"/>
  <c r="DD295" i="23916"/>
  <c r="DD294" i="23916"/>
  <c r="DD293" i="23916"/>
  <c r="DD292" i="23916"/>
  <c r="DB296" i="23916"/>
  <c r="DA296" i="23916"/>
  <c r="CZ296" i="23916"/>
  <c r="CX296" i="23916"/>
  <c r="CX295" i="23916"/>
  <c r="CX294" i="23916"/>
  <c r="CX293" i="23916"/>
  <c r="CX292" i="23916"/>
  <c r="CV296" i="23916"/>
  <c r="CV293" i="23916"/>
  <c r="CV292" i="23916"/>
  <c r="CT296" i="23916"/>
  <c r="CT293" i="23916"/>
  <c r="CT292" i="23916"/>
  <c r="CR296" i="23916"/>
  <c r="CR293" i="23916"/>
  <c r="CR292" i="23916"/>
  <c r="CP296" i="23916"/>
  <c r="CP295" i="23916"/>
  <c r="CP293" i="23916"/>
  <c r="CP292" i="23916"/>
  <c r="CN296" i="23916"/>
  <c r="CN293" i="23916"/>
  <c r="CN292" i="23916"/>
  <c r="CL296" i="23916"/>
  <c r="CL293" i="23916"/>
  <c r="CL292" i="23916"/>
  <c r="CJ296" i="23916"/>
  <c r="CJ293" i="23916"/>
  <c r="CJ292" i="23916"/>
  <c r="CH296" i="23916"/>
  <c r="CH295" i="23916"/>
  <c r="CH293" i="23916"/>
  <c r="CH292" i="23916"/>
  <c r="CF296" i="23916"/>
  <c r="CF293" i="23916"/>
  <c r="CF292" i="23916"/>
  <c r="CD296" i="23916"/>
  <c r="CD293" i="23916"/>
  <c r="CD292" i="23916"/>
  <c r="CB296" i="23916"/>
  <c r="CB293" i="23916"/>
  <c r="CB292" i="23916"/>
  <c r="BZ296" i="23916"/>
  <c r="BZ295" i="23916"/>
  <c r="BZ293" i="23916"/>
  <c r="BZ292" i="23916"/>
  <c r="BX296" i="23916"/>
  <c r="BX293" i="23916"/>
  <c r="BX292" i="23916"/>
  <c r="BV296" i="23916"/>
  <c r="BV293" i="23916"/>
  <c r="BV292" i="23916"/>
  <c r="BT296" i="23916"/>
  <c r="BT293" i="23916"/>
  <c r="BT292" i="23916"/>
  <c r="BR296" i="23916"/>
  <c r="BR295" i="23916"/>
  <c r="BR293" i="23916"/>
  <c r="BR292" i="23916"/>
  <c r="BP292" i="23916"/>
  <c r="BM301" i="23916"/>
  <c r="BN301" i="23916" s="1"/>
  <c r="BK301" i="23916"/>
  <c r="BL301" i="23916" s="1"/>
  <c r="BI301" i="23916"/>
  <c r="FP301" i="23916" s="1"/>
  <c r="BG301" i="23916"/>
  <c r="BH301" i="23916" s="1"/>
  <c r="BE301" i="23916"/>
  <c r="BF301" i="23916" s="1"/>
  <c r="BC301" i="23916"/>
  <c r="BD301" i="23916" s="1"/>
  <c r="BA301" i="23916"/>
  <c r="BB301" i="23916" s="1"/>
  <c r="AY301" i="23916"/>
  <c r="AZ301" i="23916" s="1"/>
  <c r="AW301" i="23916"/>
  <c r="AX301" i="23916" s="1"/>
  <c r="AU301" i="23916"/>
  <c r="AV301" i="23916" s="1"/>
  <c r="AS301" i="23916"/>
  <c r="FL301" i="23916" s="1"/>
  <c r="AQ301" i="23916"/>
  <c r="AR301" i="23916" s="1"/>
  <c r="AO301" i="23916"/>
  <c r="AP301" i="23916" s="1"/>
  <c r="AM301" i="23916"/>
  <c r="AN301" i="23916" s="1"/>
  <c r="AK301" i="23916"/>
  <c r="AL301" i="23916" s="1"/>
  <c r="AI301" i="23916"/>
  <c r="AJ301" i="23916" s="1"/>
  <c r="AG301" i="23916"/>
  <c r="AH301" i="23916" s="1"/>
  <c r="AE301" i="23916"/>
  <c r="AF301" i="23916" s="1"/>
  <c r="AC301" i="23916"/>
  <c r="AD301" i="23916" s="1"/>
  <c r="AA301" i="23916"/>
  <c r="AB301" i="23916" s="1"/>
  <c r="Y301" i="23916"/>
  <c r="Z301" i="23916" s="1"/>
  <c r="W301" i="23916"/>
  <c r="X301" i="23916" s="1"/>
  <c r="U301" i="23916"/>
  <c r="V301" i="23916" s="1"/>
  <c r="S301" i="23916"/>
  <c r="FD301" i="23916" s="1"/>
  <c r="FE301" i="23916" s="1"/>
  <c r="Q301" i="23916"/>
  <c r="R301" i="23916" s="1"/>
  <c r="O301" i="23916"/>
  <c r="P301" i="23916" s="1"/>
  <c r="M301" i="23916"/>
  <c r="N301" i="23916" s="1"/>
  <c r="BM300" i="23916"/>
  <c r="BN300" i="23916" s="1"/>
  <c r="BK300" i="23916"/>
  <c r="BL300" i="23916" s="1"/>
  <c r="BI300" i="23916"/>
  <c r="BJ300" i="23916" s="1"/>
  <c r="BG300" i="23916"/>
  <c r="BH300" i="23916" s="1"/>
  <c r="BE300" i="23916"/>
  <c r="BF300" i="23916" s="1"/>
  <c r="BC300" i="23916"/>
  <c r="BD300" i="23916" s="1"/>
  <c r="BA300" i="23916"/>
  <c r="BB300" i="23916" s="1"/>
  <c r="AY300" i="23916"/>
  <c r="AZ300" i="23916" s="1"/>
  <c r="AW300" i="23916"/>
  <c r="AX300" i="23916" s="1"/>
  <c r="AU300" i="23916"/>
  <c r="AV300" i="23916" s="1"/>
  <c r="AS300" i="23916"/>
  <c r="FL300" i="23916" s="1"/>
  <c r="FM300" i="23916" s="1"/>
  <c r="AQ300" i="23916"/>
  <c r="FJ300" i="23916" s="1"/>
  <c r="AO300" i="23916"/>
  <c r="AP300" i="23916" s="1"/>
  <c r="AM300" i="23916"/>
  <c r="AN300" i="23916" s="1"/>
  <c r="AK300" i="23916"/>
  <c r="AL300" i="23916" s="1"/>
  <c r="AI300" i="23916"/>
  <c r="FH300" i="23916" s="1"/>
  <c r="AG300" i="23916"/>
  <c r="AH300" i="23916" s="1"/>
  <c r="AE300" i="23916"/>
  <c r="AF300" i="23916" s="1"/>
  <c r="AC300" i="23916"/>
  <c r="AD300" i="23916" s="1"/>
  <c r="AA300" i="23916"/>
  <c r="FF300" i="23916" s="1"/>
  <c r="Y300" i="23916"/>
  <c r="Z300" i="23916" s="1"/>
  <c r="W300" i="23916"/>
  <c r="X300" i="23916" s="1"/>
  <c r="U300" i="23916"/>
  <c r="V300" i="23916" s="1"/>
  <c r="S300" i="23916"/>
  <c r="FD300" i="23916" s="1"/>
  <c r="FE300" i="23916" s="1"/>
  <c r="Q300" i="23916"/>
  <c r="R300" i="23916" s="1"/>
  <c r="O300" i="23916"/>
  <c r="P300" i="23916" s="1"/>
  <c r="M300" i="23916"/>
  <c r="N300" i="23916" s="1"/>
  <c r="BM299" i="23916"/>
  <c r="BN299" i="23916" s="1"/>
  <c r="BK299" i="23916"/>
  <c r="BL299" i="23916" s="1"/>
  <c r="BI299" i="23916"/>
  <c r="FP299" i="23916" s="1"/>
  <c r="BG299" i="23916"/>
  <c r="BH299" i="23916" s="1"/>
  <c r="BE299" i="23916"/>
  <c r="BF299" i="23916" s="1"/>
  <c r="BC299" i="23916"/>
  <c r="BD299" i="23916" s="1"/>
  <c r="BA299" i="23916"/>
  <c r="FN299" i="23916" s="1"/>
  <c r="AY299" i="23916"/>
  <c r="AZ299" i="23916" s="1"/>
  <c r="AW299" i="23916"/>
  <c r="AX299" i="23916" s="1"/>
  <c r="AU299" i="23916"/>
  <c r="AV299" i="23916" s="1"/>
  <c r="AS299" i="23916"/>
  <c r="FL299" i="23916" s="1"/>
  <c r="AQ299" i="23916"/>
  <c r="FJ299" i="23916" s="1"/>
  <c r="AO299" i="23916"/>
  <c r="AP299" i="23916" s="1"/>
  <c r="AM299" i="23916"/>
  <c r="AN299" i="23916" s="1"/>
  <c r="AK299" i="23916"/>
  <c r="AL299" i="23916" s="1"/>
  <c r="AI299" i="23916"/>
  <c r="AJ299" i="23916" s="1"/>
  <c r="AG299" i="23916"/>
  <c r="AH299" i="23916" s="1"/>
  <c r="AE299" i="23916"/>
  <c r="AF299" i="23916" s="1"/>
  <c r="AC299" i="23916"/>
  <c r="AD299" i="23916" s="1"/>
  <c r="AA299" i="23916"/>
  <c r="FF299" i="23916" s="1"/>
  <c r="Y299" i="23916"/>
  <c r="Z299" i="23916" s="1"/>
  <c r="W299" i="23916"/>
  <c r="X299" i="23916" s="1"/>
  <c r="U299" i="23916"/>
  <c r="V299" i="23916" s="1"/>
  <c r="S299" i="23916"/>
  <c r="T299" i="23916" s="1"/>
  <c r="Q299" i="23916"/>
  <c r="R299" i="23916" s="1"/>
  <c r="O299" i="23916"/>
  <c r="P299" i="23916" s="1"/>
  <c r="M299" i="23916"/>
  <c r="N299" i="23916" s="1"/>
  <c r="BM298" i="23916"/>
  <c r="BN298" i="23916" s="1"/>
  <c r="BK298" i="23916"/>
  <c r="BL298" i="23916" s="1"/>
  <c r="BI298" i="23916"/>
  <c r="FP298" i="23916" s="1"/>
  <c r="BG298" i="23916"/>
  <c r="BH298" i="23916" s="1"/>
  <c r="BE298" i="23916"/>
  <c r="BF298" i="23916" s="1"/>
  <c r="BC298" i="23916"/>
  <c r="BD298" i="23916" s="1"/>
  <c r="BA298" i="23916"/>
  <c r="BB298" i="23916" s="1"/>
  <c r="AY298" i="23916"/>
  <c r="AZ298" i="23916" s="1"/>
  <c r="AW298" i="23916"/>
  <c r="AX298" i="23916" s="1"/>
  <c r="AU298" i="23916"/>
  <c r="AV298" i="23916" s="1"/>
  <c r="AS298" i="23916"/>
  <c r="FL298" i="23916" s="1"/>
  <c r="AQ298" i="23916"/>
  <c r="FJ298" i="23916" s="1"/>
  <c r="AO298" i="23916"/>
  <c r="AP298" i="23916" s="1"/>
  <c r="AM298" i="23916"/>
  <c r="AN298" i="23916" s="1"/>
  <c r="AK298" i="23916"/>
  <c r="AL298" i="23916" s="1"/>
  <c r="AI298" i="23916"/>
  <c r="FH298" i="23916" s="1"/>
  <c r="AG298" i="23916"/>
  <c r="AH298" i="23916" s="1"/>
  <c r="AE298" i="23916"/>
  <c r="AF298" i="23916" s="1"/>
  <c r="AC298" i="23916"/>
  <c r="AD298" i="23916" s="1"/>
  <c r="AA298" i="23916"/>
  <c r="FF298" i="23916" s="1"/>
  <c r="Y298" i="23916"/>
  <c r="Z298" i="23916" s="1"/>
  <c r="W298" i="23916"/>
  <c r="X298" i="23916" s="1"/>
  <c r="U298" i="23916"/>
  <c r="V298" i="23916" s="1"/>
  <c r="S298" i="23916"/>
  <c r="FD298" i="23916" s="1"/>
  <c r="FE298" i="23916" s="1"/>
  <c r="Q298" i="23916"/>
  <c r="R298" i="23916" s="1"/>
  <c r="O298" i="23916"/>
  <c r="P298" i="23916" s="1"/>
  <c r="M298" i="23916"/>
  <c r="N298" i="23916" s="1"/>
  <c r="BM297" i="23916"/>
  <c r="BN297" i="23916" s="1"/>
  <c r="BK297" i="23916"/>
  <c r="BL297" i="23916" s="1"/>
  <c r="BI297" i="23916"/>
  <c r="FP297" i="23916" s="1"/>
  <c r="BG297" i="23916"/>
  <c r="BH297" i="23916" s="1"/>
  <c r="BE297" i="23916"/>
  <c r="BF297" i="23916" s="1"/>
  <c r="BC297" i="23916"/>
  <c r="BD297" i="23916" s="1"/>
  <c r="BA297" i="23916"/>
  <c r="FN297" i="23916" s="1"/>
  <c r="AY297" i="23916"/>
  <c r="AZ297" i="23916" s="1"/>
  <c r="AW297" i="23916"/>
  <c r="AX297" i="23916" s="1"/>
  <c r="AU297" i="23916"/>
  <c r="AV297" i="23916" s="1"/>
  <c r="AS297" i="23916"/>
  <c r="FL297" i="23916" s="1"/>
  <c r="FM297" i="23916" s="1"/>
  <c r="AQ297" i="23916"/>
  <c r="FJ297" i="23916" s="1"/>
  <c r="AO297" i="23916"/>
  <c r="AP297" i="23916" s="1"/>
  <c r="AM297" i="23916"/>
  <c r="AN297" i="23916" s="1"/>
  <c r="AK297" i="23916"/>
  <c r="AL297" i="23916" s="1"/>
  <c r="AI297" i="23916"/>
  <c r="AJ297" i="23916" s="1"/>
  <c r="AG297" i="23916"/>
  <c r="AH297" i="23916" s="1"/>
  <c r="AE297" i="23916"/>
  <c r="AF297" i="23916" s="1"/>
  <c r="AC297" i="23916"/>
  <c r="AD297" i="23916" s="1"/>
  <c r="AA297" i="23916"/>
  <c r="FF297" i="23916" s="1"/>
  <c r="Y297" i="23916"/>
  <c r="Z297" i="23916" s="1"/>
  <c r="W297" i="23916"/>
  <c r="X297" i="23916" s="1"/>
  <c r="U297" i="23916"/>
  <c r="V297" i="23916" s="1"/>
  <c r="S297" i="23916"/>
  <c r="T297" i="23916" s="1"/>
  <c r="Q297" i="23916"/>
  <c r="R297" i="23916" s="1"/>
  <c r="O297" i="23916"/>
  <c r="P297" i="23916" s="1"/>
  <c r="M297" i="23916"/>
  <c r="N297" i="23916" s="1"/>
  <c r="BM296" i="23916"/>
  <c r="BI296" i="23916"/>
  <c r="BE296" i="23916"/>
  <c r="BA296" i="23916"/>
  <c r="AW296" i="23916"/>
  <c r="AS296" i="23916"/>
  <c r="AO296" i="23916"/>
  <c r="AK296" i="23916"/>
  <c r="AG296" i="23916"/>
  <c r="AC296" i="23916"/>
  <c r="Y296" i="23916"/>
  <c r="U296" i="23916"/>
  <c r="Q296" i="23916"/>
  <c r="M296" i="23916"/>
  <c r="N296" i="23916" s="1"/>
  <c r="EA295" i="23916"/>
  <c r="EA294" i="23916"/>
  <c r="GF294" i="23916" s="1"/>
  <c r="EA293" i="23916"/>
  <c r="GF293" i="23916" s="1"/>
  <c r="GG293" i="23916" s="1"/>
  <c r="EA292" i="23916"/>
  <c r="EA302" i="23916" s="1"/>
  <c r="ED302" i="23916" s="1"/>
  <c r="DB295" i="23916"/>
  <c r="DB294" i="23916"/>
  <c r="DB293" i="23916"/>
  <c r="DB292" i="23916"/>
  <c r="CZ295" i="23916"/>
  <c r="CZ294" i="23916"/>
  <c r="CZ293" i="23916"/>
  <c r="CZ292" i="23916"/>
  <c r="CS295" i="23916"/>
  <c r="CS393" i="23916" s="1"/>
  <c r="CS294" i="23916"/>
  <c r="CS302" i="23916" s="1"/>
  <c r="CT302" i="23916" s="1"/>
  <c r="CQ295" i="23916"/>
  <c r="CQ393" i="23916" s="1"/>
  <c r="CQ294" i="23916"/>
  <c r="CQ302" i="23916" s="1"/>
  <c r="CR302" i="23916" s="1"/>
  <c r="CO295" i="23916"/>
  <c r="CO294" i="23916"/>
  <c r="CO302" i="23916" s="1"/>
  <c r="CM295" i="23916"/>
  <c r="CM393" i="23916" s="1"/>
  <c r="CM294" i="23916"/>
  <c r="CM302" i="23916" s="1"/>
  <c r="CP302" i="23916" s="1"/>
  <c r="CK295" i="23916"/>
  <c r="CK393" i="23916" s="1"/>
  <c r="CK294" i="23916"/>
  <c r="CK302" i="23916" s="1"/>
  <c r="CL302" i="23916" s="1"/>
  <c r="CI295" i="23916"/>
  <c r="CI393" i="23916" s="1"/>
  <c r="CI294" i="23916"/>
  <c r="CI302" i="23916" s="1"/>
  <c r="CG295" i="23916"/>
  <c r="CG393" i="23916" s="1"/>
  <c r="CG294" i="23916"/>
  <c r="CE295" i="23916"/>
  <c r="CE393" i="23916" s="1"/>
  <c r="CE294" i="23916"/>
  <c r="CE302" i="23916" s="1"/>
  <c r="CF302" i="23916" s="1"/>
  <c r="CC295" i="23916"/>
  <c r="CC393" i="23916" s="1"/>
  <c r="CC294" i="23916"/>
  <c r="CC302" i="23916" s="1"/>
  <c r="CD302" i="23916" s="1"/>
  <c r="CA295" i="23916"/>
  <c r="CA393" i="23916" s="1"/>
  <c r="CA294" i="23916"/>
  <c r="CA302" i="23916" s="1"/>
  <c r="CB302" i="23916" s="1"/>
  <c r="BY295" i="23916"/>
  <c r="BY294" i="23916"/>
  <c r="BY302" i="23916" s="1"/>
  <c r="BW295" i="23916"/>
  <c r="BW393" i="23916" s="1"/>
  <c r="BW294" i="23916"/>
  <c r="BW302" i="23916" s="1"/>
  <c r="BZ302" i="23916" s="1"/>
  <c r="BU295" i="23916"/>
  <c r="BU393" i="23916" s="1"/>
  <c r="BU294" i="23916"/>
  <c r="BU302" i="23916" s="1"/>
  <c r="BV302" i="23916" s="1"/>
  <c r="BS295" i="23916"/>
  <c r="BS393" i="23916" s="1"/>
  <c r="BS294" i="23916"/>
  <c r="BS302" i="23916" s="1"/>
  <c r="BT302" i="23916" s="1"/>
  <c r="BQ295" i="23916"/>
  <c r="BQ393" i="23916" s="1"/>
  <c r="BQ294" i="23916"/>
  <c r="BQ302" i="23916" s="1"/>
  <c r="FR295" i="23916"/>
  <c r="BO295" i="23916"/>
  <c r="BO393" i="23916" s="1"/>
  <c r="BN295" i="23916"/>
  <c r="BM295" i="23916"/>
  <c r="BM393" i="23916" s="1"/>
  <c r="BL295" i="23916"/>
  <c r="BK295" i="23916"/>
  <c r="BK393" i="23916" s="1"/>
  <c r="BJ295" i="23916"/>
  <c r="BI295" i="23916"/>
  <c r="BI393" i="23916" s="1"/>
  <c r="BH295" i="23916"/>
  <c r="BG295" i="23916"/>
  <c r="BG393" i="23916" s="1"/>
  <c r="BF295" i="23916"/>
  <c r="BE295" i="23916"/>
  <c r="BE393" i="23916" s="1"/>
  <c r="BD295" i="23916"/>
  <c r="BC295" i="23916"/>
  <c r="BC393" i="23916" s="1"/>
  <c r="BB295" i="23916"/>
  <c r="BA295" i="23916"/>
  <c r="BA393" i="23916" s="1"/>
  <c r="AZ295" i="23916"/>
  <c r="AY295" i="23916"/>
  <c r="AY393" i="23916" s="1"/>
  <c r="AX295" i="23916"/>
  <c r="AW295" i="23916"/>
  <c r="AW393" i="23916" s="1"/>
  <c r="AV295" i="23916"/>
  <c r="AU295" i="23916"/>
  <c r="AU393" i="23916" s="1"/>
  <c r="AT295" i="23916"/>
  <c r="AS295" i="23916"/>
  <c r="AS393" i="23916" s="1"/>
  <c r="AR295" i="23916"/>
  <c r="AQ295" i="23916"/>
  <c r="AQ393" i="23916" s="1"/>
  <c r="AP295" i="23916"/>
  <c r="AO295" i="23916"/>
  <c r="AO393" i="23916" s="1"/>
  <c r="AN295" i="23916"/>
  <c r="AM295" i="23916"/>
  <c r="AM393" i="23916" s="1"/>
  <c r="AL295" i="23916"/>
  <c r="AK295" i="23916"/>
  <c r="AK393" i="23916" s="1"/>
  <c r="AJ295" i="23916"/>
  <c r="AI295" i="23916"/>
  <c r="AI393" i="23916" s="1"/>
  <c r="AJ393" i="23916" s="1"/>
  <c r="AH295" i="23916"/>
  <c r="AG295" i="23916"/>
  <c r="AG393" i="23916" s="1"/>
  <c r="AH393" i="23916" s="1"/>
  <c r="AF295" i="23916"/>
  <c r="AE295" i="23916"/>
  <c r="AE393" i="23916" s="1"/>
  <c r="AF393" i="23916" s="1"/>
  <c r="AD295" i="23916"/>
  <c r="AC295" i="23916"/>
  <c r="AC393" i="23916" s="1"/>
  <c r="AD393" i="23916" s="1"/>
  <c r="AB295" i="23916"/>
  <c r="AA295" i="23916"/>
  <c r="FF295" i="23916" s="1"/>
  <c r="Z295" i="23916"/>
  <c r="Y295" i="23916"/>
  <c r="X295" i="23916"/>
  <c r="W295" i="23916"/>
  <c r="V295" i="23916"/>
  <c r="U295" i="23916"/>
  <c r="T295" i="23916"/>
  <c r="S295" i="23916"/>
  <c r="FD295" i="23916" s="1"/>
  <c r="FE295" i="23916" s="1"/>
  <c r="R295" i="23916"/>
  <c r="Q295" i="23916"/>
  <c r="P295" i="23916"/>
  <c r="O295" i="23916"/>
  <c r="N295" i="23916"/>
  <c r="M295" i="23916"/>
  <c r="BO294" i="23916"/>
  <c r="BO302" i="23916" s="1"/>
  <c r="BR302" i="23916" s="1"/>
  <c r="BM294" i="23916"/>
  <c r="BN294" i="23916" s="1"/>
  <c r="BK294" i="23916"/>
  <c r="BL294" i="23916" s="1"/>
  <c r="BI294" i="23916"/>
  <c r="BJ294" i="23916" s="1"/>
  <c r="BG294" i="23916"/>
  <c r="BH294" i="23916" s="1"/>
  <c r="BE294" i="23916"/>
  <c r="BF294" i="23916" s="1"/>
  <c r="BC294" i="23916"/>
  <c r="BD294" i="23916" s="1"/>
  <c r="BA294" i="23916"/>
  <c r="BB294" i="23916" s="1"/>
  <c r="AY294" i="23916"/>
  <c r="AZ294" i="23916" s="1"/>
  <c r="AW294" i="23916"/>
  <c r="AX294" i="23916" s="1"/>
  <c r="AU294" i="23916"/>
  <c r="AV294" i="23916" s="1"/>
  <c r="AS294" i="23916"/>
  <c r="AT294" i="23916" s="1"/>
  <c r="AQ294" i="23916"/>
  <c r="AR294" i="23916" s="1"/>
  <c r="AO294" i="23916"/>
  <c r="AP294" i="23916" s="1"/>
  <c r="AM294" i="23916"/>
  <c r="AN294" i="23916" s="1"/>
  <c r="AK294" i="23916"/>
  <c r="AL294" i="23916" s="1"/>
  <c r="AI294" i="23916"/>
  <c r="AJ294" i="23916" s="1"/>
  <c r="AG294" i="23916"/>
  <c r="AH294" i="23916" s="1"/>
  <c r="AE294" i="23916"/>
  <c r="AF294" i="23916" s="1"/>
  <c r="AC294" i="23916"/>
  <c r="AD294" i="23916" s="1"/>
  <c r="AA294" i="23916"/>
  <c r="AB294" i="23916" s="1"/>
  <c r="Y294" i="23916"/>
  <c r="Z294" i="23916" s="1"/>
  <c r="W294" i="23916"/>
  <c r="X294" i="23916" s="1"/>
  <c r="U294" i="23916"/>
  <c r="V294" i="23916" s="1"/>
  <c r="S294" i="23916"/>
  <c r="T294" i="23916" s="1"/>
  <c r="Q294" i="23916"/>
  <c r="R294" i="23916" s="1"/>
  <c r="O294" i="23916"/>
  <c r="P294" i="23916" s="1"/>
  <c r="M294" i="23916"/>
  <c r="N294" i="23916" s="1"/>
  <c r="FP293" i="23916"/>
  <c r="FS293" i="23916" s="1"/>
  <c r="FN293" i="23916"/>
  <c r="FO293" i="23916" s="1"/>
  <c r="FL293" i="23916"/>
  <c r="FM293" i="23916" s="1"/>
  <c r="FJ293" i="23916"/>
  <c r="FK293" i="23916" s="1"/>
  <c r="FH293" i="23916"/>
  <c r="FI293" i="23916" s="1"/>
  <c r="FF293" i="23916"/>
  <c r="FG293" i="23916" s="1"/>
  <c r="FD293" i="23916"/>
  <c r="FE293" i="23916" s="1"/>
  <c r="FP292" i="23916"/>
  <c r="FN292" i="23916"/>
  <c r="FJ292" i="23916"/>
  <c r="FF292" i="23916"/>
  <c r="EM296" i="23916"/>
  <c r="EN296" i="23916" s="1"/>
  <c r="EK296" i="23916"/>
  <c r="EL296" i="23916" s="1"/>
  <c r="EJ296" i="23916"/>
  <c r="ER295" i="23916"/>
  <c r="EQ295" i="23916"/>
  <c r="EQ393" i="23916" s="1"/>
  <c r="ER393" i="23916" s="1"/>
  <c r="EP295" i="23916"/>
  <c r="EO295" i="23916"/>
  <c r="EO393" i="23916" s="1"/>
  <c r="EP393" i="23916" s="1"/>
  <c r="EN295" i="23916"/>
  <c r="EM295" i="23916"/>
  <c r="EM393" i="23916" s="1"/>
  <c r="EN393" i="23916" s="1"/>
  <c r="EL295" i="23916"/>
  <c r="EK295" i="23916"/>
  <c r="EJ295" i="23916"/>
  <c r="EQ294" i="23916"/>
  <c r="ER294" i="23916" s="1"/>
  <c r="EO294" i="23916"/>
  <c r="EP294" i="23916" s="1"/>
  <c r="EM294" i="23916"/>
  <c r="EN294" i="23916" s="1"/>
  <c r="EK294" i="23916"/>
  <c r="EL294" i="23916" s="1"/>
  <c r="EJ294" i="23916"/>
  <c r="EL293" i="23916"/>
  <c r="EK293" i="23916"/>
  <c r="EJ293" i="23916"/>
  <c r="EM292" i="23916"/>
  <c r="EO292" i="23916" s="1"/>
  <c r="EK292" i="23916"/>
  <c r="EJ292" i="23916"/>
  <c r="BN293" i="23916"/>
  <c r="BM293" i="23916"/>
  <c r="BP293" i="23916" s="1"/>
  <c r="BL293" i="23916"/>
  <c r="BK293" i="23916"/>
  <c r="BJ293" i="23916"/>
  <c r="BI293" i="23916"/>
  <c r="BH293" i="23916"/>
  <c r="BG293" i="23916"/>
  <c r="BF293" i="23916"/>
  <c r="BE293" i="23916"/>
  <c r="BD293" i="23916"/>
  <c r="BC293" i="23916"/>
  <c r="BB293" i="23916"/>
  <c r="BA293" i="23916"/>
  <c r="AZ293" i="23916"/>
  <c r="AY293" i="23916"/>
  <c r="AX293" i="23916"/>
  <c r="AW293" i="23916"/>
  <c r="AV293" i="23916"/>
  <c r="AU293" i="23916"/>
  <c r="AT293" i="23916"/>
  <c r="AS293" i="23916"/>
  <c r="AR293" i="23916"/>
  <c r="AQ293" i="23916"/>
  <c r="AP293" i="23916"/>
  <c r="AO293" i="23916"/>
  <c r="AN293" i="23916"/>
  <c r="AM293" i="23916"/>
  <c r="AL293" i="23916"/>
  <c r="AK293" i="23916"/>
  <c r="AJ293" i="23916"/>
  <c r="AI293" i="23916"/>
  <c r="AH293" i="23916"/>
  <c r="AG293" i="23916"/>
  <c r="AF293" i="23916"/>
  <c r="AE293" i="23916"/>
  <c r="AD293" i="23916"/>
  <c r="AC293" i="23916"/>
  <c r="AB293" i="23916"/>
  <c r="AA293" i="23916"/>
  <c r="Z293" i="23916"/>
  <c r="Y293" i="23916"/>
  <c r="X293" i="23916"/>
  <c r="W293" i="23916"/>
  <c r="V293" i="23916"/>
  <c r="U293" i="23916"/>
  <c r="T293" i="23916"/>
  <c r="S293" i="23916"/>
  <c r="R293" i="23916"/>
  <c r="Q293" i="23916"/>
  <c r="P293" i="23916"/>
  <c r="O293" i="23916"/>
  <c r="N293" i="23916"/>
  <c r="M293" i="23916"/>
  <c r="BN292" i="23916"/>
  <c r="BM292" i="23916"/>
  <c r="BL292" i="23916"/>
  <c r="BK292" i="23916"/>
  <c r="BJ292" i="23916"/>
  <c r="BI292" i="23916"/>
  <c r="BH292" i="23916"/>
  <c r="BG292" i="23916"/>
  <c r="BF292" i="23916"/>
  <c r="BE292" i="23916"/>
  <c r="BD292" i="23916"/>
  <c r="BC292" i="23916"/>
  <c r="BB292" i="23916"/>
  <c r="BA292" i="23916"/>
  <c r="AZ292" i="23916"/>
  <c r="AY292" i="23916"/>
  <c r="AX292" i="23916"/>
  <c r="AW292" i="23916"/>
  <c r="AV292" i="23916"/>
  <c r="AU292" i="23916"/>
  <c r="FL292" i="23916" s="1"/>
  <c r="AT292" i="23916"/>
  <c r="AS292" i="23916"/>
  <c r="AR292" i="23916"/>
  <c r="AQ292" i="23916"/>
  <c r="AP292" i="23916"/>
  <c r="AO292" i="23916"/>
  <c r="AN292" i="23916"/>
  <c r="AM292" i="23916"/>
  <c r="AL292" i="23916"/>
  <c r="AK292" i="23916"/>
  <c r="AJ292" i="23916"/>
  <c r="AI292" i="23916"/>
  <c r="FH292" i="23916" s="1"/>
  <c r="AH292" i="23916"/>
  <c r="AG292" i="23916"/>
  <c r="AF292" i="23916"/>
  <c r="AE292" i="23916"/>
  <c r="AD292" i="23916"/>
  <c r="AC292" i="23916"/>
  <c r="AB292" i="23916"/>
  <c r="AA292" i="23916"/>
  <c r="Z292" i="23916"/>
  <c r="Y292" i="23916"/>
  <c r="X292" i="23916"/>
  <c r="W292" i="23916"/>
  <c r="V292" i="23916"/>
  <c r="U292" i="23916"/>
  <c r="T292" i="23916"/>
  <c r="S292" i="23916"/>
  <c r="FD292" i="23916" s="1"/>
  <c r="R292" i="23916"/>
  <c r="Q292" i="23916"/>
  <c r="P292" i="23916"/>
  <c r="O292" i="23916"/>
  <c r="N292" i="23916"/>
  <c r="M292" i="23916"/>
  <c r="GH289" i="23916"/>
  <c r="GD289" i="23916"/>
  <c r="FZ289" i="23916"/>
  <c r="FV289" i="23916"/>
  <c r="FR289" i="23916"/>
  <c r="EI289" i="23916"/>
  <c r="EI305" i="23916" s="1"/>
  <c r="EG289" i="23916"/>
  <c r="EH289" i="23916" s="1"/>
  <c r="EE289" i="23916"/>
  <c r="EE305" i="23916" s="1"/>
  <c r="EC289" i="23916"/>
  <c r="EC305" i="23916" s="1"/>
  <c r="EA289" i="23916"/>
  <c r="EA305" i="23916" s="1"/>
  <c r="DY289" i="23916"/>
  <c r="DZ289" i="23916" s="1"/>
  <c r="DW289" i="23916"/>
  <c r="DW305" i="23916" s="1"/>
  <c r="DU289" i="23916"/>
  <c r="DU305" i="23916" s="1"/>
  <c r="DS289" i="23916"/>
  <c r="DS305" i="23916" s="1"/>
  <c r="DQ289" i="23916"/>
  <c r="DR289" i="23916" s="1"/>
  <c r="DO289" i="23916"/>
  <c r="DO305" i="23916" s="1"/>
  <c r="DM289" i="23916"/>
  <c r="DM305" i="23916" s="1"/>
  <c r="DK289" i="23916"/>
  <c r="DK305" i="23916" s="1"/>
  <c r="DI289" i="23916"/>
  <c r="DJ289" i="23916" s="1"/>
  <c r="DG289" i="23916"/>
  <c r="DG305" i="23916" s="1"/>
  <c r="DE289" i="23916"/>
  <c r="DE305" i="23916" s="1"/>
  <c r="DC289" i="23916"/>
  <c r="DC305" i="23916" s="1"/>
  <c r="DA289" i="23916"/>
  <c r="DB289" i="23916" s="1"/>
  <c r="CY289" i="23916"/>
  <c r="CY305" i="23916" s="1"/>
  <c r="CW289" i="23916"/>
  <c r="CW305" i="23916" s="1"/>
  <c r="CU289" i="23916"/>
  <c r="CU305" i="23916" s="1"/>
  <c r="CS289" i="23916"/>
  <c r="CT289" i="23916" s="1"/>
  <c r="CQ289" i="23916"/>
  <c r="CQ305" i="23916" s="1"/>
  <c r="CO289" i="23916"/>
  <c r="CO305" i="23916" s="1"/>
  <c r="CM289" i="23916"/>
  <c r="CM305" i="23916" s="1"/>
  <c r="CK289" i="23916"/>
  <c r="CL289" i="23916" s="1"/>
  <c r="CI289" i="23916"/>
  <c r="CI305" i="23916" s="1"/>
  <c r="CG289" i="23916"/>
  <c r="CE289" i="23916"/>
  <c r="CE305" i="23916" s="1"/>
  <c r="CC289" i="23916"/>
  <c r="CD289" i="23916" s="1"/>
  <c r="CA289" i="23916"/>
  <c r="CA305" i="23916" s="1"/>
  <c r="BY289" i="23916"/>
  <c r="BY305" i="23916" s="1"/>
  <c r="BW289" i="23916"/>
  <c r="BW305" i="23916" s="1"/>
  <c r="BU289" i="23916"/>
  <c r="BV289" i="23916" s="1"/>
  <c r="BS289" i="23916"/>
  <c r="BS305" i="23916" s="1"/>
  <c r="BQ289" i="23916"/>
  <c r="BQ305" i="23916" s="1"/>
  <c r="BO289" i="23916"/>
  <c r="BO305" i="23916" s="1"/>
  <c r="K288" i="23916"/>
  <c r="K287" i="23916"/>
  <c r="K286" i="23916"/>
  <c r="K285" i="23916"/>
  <c r="K289" i="23916" s="1"/>
  <c r="K305" i="23916" s="1"/>
  <c r="K308" i="23916" s="1"/>
  <c r="K410" i="23916" s="1"/>
  <c r="K453" i="23916" s="1"/>
  <c r="I288" i="23916"/>
  <c r="I287" i="23916"/>
  <c r="I286" i="23916"/>
  <c r="I285" i="23916"/>
  <c r="I289" i="23916" s="1"/>
  <c r="I305" i="23916" s="1"/>
  <c r="I308" i="23916" s="1"/>
  <c r="I410" i="23916" s="1"/>
  <c r="I453" i="23916" s="1"/>
  <c r="G288" i="23916"/>
  <c r="G287" i="23916"/>
  <c r="G286" i="23916"/>
  <c r="G285" i="23916"/>
  <c r="G289" i="23916" s="1"/>
  <c r="G305" i="23916" s="1"/>
  <c r="G308" i="23916" s="1"/>
  <c r="G410" i="23916" s="1"/>
  <c r="G453" i="23916" s="1"/>
  <c r="E288" i="23916"/>
  <c r="E287" i="23916"/>
  <c r="E286" i="23916"/>
  <c r="E285" i="23916"/>
  <c r="E289" i="23916" s="1"/>
  <c r="EJ288" i="23916"/>
  <c r="EJ287" i="23916"/>
  <c r="EJ286" i="23916"/>
  <c r="EJ285" i="23916"/>
  <c r="EH288" i="23916"/>
  <c r="EH287" i="23916"/>
  <c r="EH286" i="23916"/>
  <c r="EH285" i="23916"/>
  <c r="EF288" i="23916"/>
  <c r="EF287" i="23916"/>
  <c r="EF286" i="23916"/>
  <c r="EF285" i="23916"/>
  <c r="ED288" i="23916"/>
  <c r="ED286" i="23916"/>
  <c r="ED285" i="23916"/>
  <c r="EB288" i="23916"/>
  <c r="EB286" i="23916"/>
  <c r="EB285" i="23916"/>
  <c r="DZ288" i="23916"/>
  <c r="DZ287" i="23916"/>
  <c r="DZ286" i="23916"/>
  <c r="DZ285" i="23916"/>
  <c r="DX288" i="23916"/>
  <c r="DX287" i="23916"/>
  <c r="DX286" i="23916"/>
  <c r="DX285" i="23916"/>
  <c r="DV288" i="23916"/>
  <c r="DV287" i="23916"/>
  <c r="DV286" i="23916"/>
  <c r="DV285" i="23916"/>
  <c r="DT288" i="23916"/>
  <c r="DT287" i="23916"/>
  <c r="DT286" i="23916"/>
  <c r="DT285" i="23916"/>
  <c r="DR288" i="23916"/>
  <c r="DR287" i="23916"/>
  <c r="DR286" i="23916"/>
  <c r="DR285" i="23916"/>
  <c r="DP288" i="23916"/>
  <c r="DP287" i="23916"/>
  <c r="DP286" i="23916"/>
  <c r="DP285" i="23916"/>
  <c r="DN288" i="23916"/>
  <c r="DN287" i="23916"/>
  <c r="DN286" i="23916"/>
  <c r="DN285" i="23916"/>
  <c r="DL288" i="23916"/>
  <c r="DL287" i="23916"/>
  <c r="DL286" i="23916"/>
  <c r="DL285" i="23916"/>
  <c r="DJ288" i="23916"/>
  <c r="DJ287" i="23916"/>
  <c r="DJ286" i="23916"/>
  <c r="DJ285" i="23916"/>
  <c r="DH288" i="23916"/>
  <c r="DH287" i="23916"/>
  <c r="DH286" i="23916"/>
  <c r="DH285" i="23916"/>
  <c r="DF288" i="23916"/>
  <c r="DF287" i="23916"/>
  <c r="DF286" i="23916"/>
  <c r="DF285" i="23916"/>
  <c r="DD288" i="23916"/>
  <c r="DD287" i="23916"/>
  <c r="DD286" i="23916"/>
  <c r="DD285" i="23916"/>
  <c r="DB288" i="23916"/>
  <c r="DB287" i="23916"/>
  <c r="DB286" i="23916"/>
  <c r="DB285" i="23916"/>
  <c r="CZ288" i="23916"/>
  <c r="CZ287" i="23916"/>
  <c r="CZ286" i="23916"/>
  <c r="CZ285" i="23916"/>
  <c r="CX288" i="23916"/>
  <c r="CX287" i="23916"/>
  <c r="CX286" i="23916"/>
  <c r="CX285" i="23916"/>
  <c r="CV288" i="23916"/>
  <c r="CV287" i="23916"/>
  <c r="CV286" i="23916"/>
  <c r="CV285" i="23916"/>
  <c r="CT288" i="23916"/>
  <c r="CT287" i="23916"/>
  <c r="CT286" i="23916"/>
  <c r="CT285" i="23916"/>
  <c r="CR288" i="23916"/>
  <c r="CR287" i="23916"/>
  <c r="CR286" i="23916"/>
  <c r="CR285" i="23916"/>
  <c r="CP288" i="23916"/>
  <c r="CP287" i="23916"/>
  <c r="CP286" i="23916"/>
  <c r="CP285" i="23916"/>
  <c r="CN288" i="23916"/>
  <c r="CN287" i="23916"/>
  <c r="CN286" i="23916"/>
  <c r="CN285" i="23916"/>
  <c r="CL288" i="23916"/>
  <c r="CL287" i="23916"/>
  <c r="CL286" i="23916"/>
  <c r="CL285" i="23916"/>
  <c r="CJ288" i="23916"/>
  <c r="CJ287" i="23916"/>
  <c r="CJ286" i="23916"/>
  <c r="CJ285" i="23916"/>
  <c r="CH288" i="23916"/>
  <c r="CH287" i="23916"/>
  <c r="CH286" i="23916"/>
  <c r="CH285" i="23916"/>
  <c r="CF288" i="23916"/>
  <c r="CF287" i="23916"/>
  <c r="CF286" i="23916"/>
  <c r="CF285" i="23916"/>
  <c r="CD288" i="23916"/>
  <c r="CD287" i="23916"/>
  <c r="CD286" i="23916"/>
  <c r="CD285" i="23916"/>
  <c r="CB288" i="23916"/>
  <c r="CB287" i="23916"/>
  <c r="CB286" i="23916"/>
  <c r="CB285" i="23916"/>
  <c r="BZ288" i="23916"/>
  <c r="BZ287" i="23916"/>
  <c r="BZ286" i="23916"/>
  <c r="BZ285" i="23916"/>
  <c r="BX288" i="23916"/>
  <c r="BX287" i="23916"/>
  <c r="BX286" i="23916"/>
  <c r="BX285" i="23916"/>
  <c r="BV288" i="23916"/>
  <c r="BV287" i="23916"/>
  <c r="BV286" i="23916"/>
  <c r="BV285" i="23916"/>
  <c r="BT288" i="23916"/>
  <c r="BT287" i="23916"/>
  <c r="BT286" i="23916"/>
  <c r="BT285" i="23916"/>
  <c r="BR288" i="23916"/>
  <c r="BR287" i="23916"/>
  <c r="BR286" i="23916"/>
  <c r="BR285" i="23916"/>
  <c r="BP287" i="23916"/>
  <c r="BM288" i="23916"/>
  <c r="BP288" i="23916" s="1"/>
  <c r="BK288" i="23916"/>
  <c r="BL288" i="23916" s="1"/>
  <c r="BI288" i="23916"/>
  <c r="BJ288" i="23916" s="1"/>
  <c r="BG288" i="23916"/>
  <c r="BH288" i="23916" s="1"/>
  <c r="BE288" i="23916"/>
  <c r="BF288" i="23916" s="1"/>
  <c r="BC288" i="23916"/>
  <c r="BD288" i="23916" s="1"/>
  <c r="BA288" i="23916"/>
  <c r="BB288" i="23916" s="1"/>
  <c r="AY288" i="23916"/>
  <c r="AZ288" i="23916" s="1"/>
  <c r="AW288" i="23916"/>
  <c r="AX288" i="23916" s="1"/>
  <c r="AU288" i="23916"/>
  <c r="AV288" i="23916" s="1"/>
  <c r="AS288" i="23916"/>
  <c r="AT288" i="23916" s="1"/>
  <c r="AQ288" i="23916"/>
  <c r="AR288" i="23916" s="1"/>
  <c r="AO288" i="23916"/>
  <c r="AP288" i="23916" s="1"/>
  <c r="AM288" i="23916"/>
  <c r="AN288" i="23916" s="1"/>
  <c r="AK288" i="23916"/>
  <c r="AL288" i="23916" s="1"/>
  <c r="AI288" i="23916"/>
  <c r="AJ288" i="23916" s="1"/>
  <c r="AG288" i="23916"/>
  <c r="AH288" i="23916" s="1"/>
  <c r="AE288" i="23916"/>
  <c r="AF288" i="23916" s="1"/>
  <c r="AC288" i="23916"/>
  <c r="AD288" i="23916" s="1"/>
  <c r="AA288" i="23916"/>
  <c r="AB288" i="23916" s="1"/>
  <c r="Y288" i="23916"/>
  <c r="Z288" i="23916" s="1"/>
  <c r="W288" i="23916"/>
  <c r="X288" i="23916" s="1"/>
  <c r="U288" i="23916"/>
  <c r="V288" i="23916" s="1"/>
  <c r="S288" i="23916"/>
  <c r="T288" i="23916" s="1"/>
  <c r="Q288" i="23916"/>
  <c r="R288" i="23916" s="1"/>
  <c r="O288" i="23916"/>
  <c r="P288" i="23916" s="1"/>
  <c r="M288" i="23916"/>
  <c r="N288" i="23916" s="1"/>
  <c r="GI288" i="23916"/>
  <c r="GH288" i="23916"/>
  <c r="GG288" i="23916"/>
  <c r="GF288" i="23916"/>
  <c r="GE288" i="23916"/>
  <c r="GD288" i="23916"/>
  <c r="GC288" i="23916"/>
  <c r="GB288" i="23916"/>
  <c r="GA288" i="23916"/>
  <c r="FZ288" i="23916"/>
  <c r="FY288" i="23916"/>
  <c r="FX288" i="23916"/>
  <c r="FW288" i="23916"/>
  <c r="FV288" i="23916"/>
  <c r="FU288" i="23916"/>
  <c r="FT288" i="23916"/>
  <c r="GH287" i="23916"/>
  <c r="GE287" i="23916"/>
  <c r="GD287" i="23916"/>
  <c r="GC287" i="23916"/>
  <c r="GB287" i="23916"/>
  <c r="GA287" i="23916"/>
  <c r="FZ287" i="23916"/>
  <c r="FY287" i="23916"/>
  <c r="FX287" i="23916"/>
  <c r="FW287" i="23916"/>
  <c r="FV287" i="23916"/>
  <c r="FU287" i="23916"/>
  <c r="FT287" i="23916"/>
  <c r="FS287" i="23916"/>
  <c r="FR287" i="23916"/>
  <c r="FP287" i="23916"/>
  <c r="EK287" i="23916"/>
  <c r="GJ287" i="23916" s="1"/>
  <c r="EK286" i="23916"/>
  <c r="EK285" i="23916"/>
  <c r="GJ285" i="23916" s="1"/>
  <c r="EA287" i="23916"/>
  <c r="GF287" i="23916" s="1"/>
  <c r="BN287" i="23916"/>
  <c r="BL287" i="23916"/>
  <c r="BL286" i="23916"/>
  <c r="BJ287" i="23916"/>
  <c r="BH287" i="23916"/>
  <c r="BH286" i="23916"/>
  <c r="BF287" i="23916"/>
  <c r="AY287" i="23916"/>
  <c r="AU287" i="23916"/>
  <c r="AR287" i="23916"/>
  <c r="AQ287" i="23916"/>
  <c r="FJ287" i="23916" s="1"/>
  <c r="AP287" i="23916"/>
  <c r="AO287" i="23916"/>
  <c r="AN287" i="23916"/>
  <c r="AM287" i="23916"/>
  <c r="AL287" i="23916"/>
  <c r="AK287" i="23916"/>
  <c r="AJ287" i="23916"/>
  <c r="AI287" i="23916"/>
  <c r="FH287" i="23916" s="1"/>
  <c r="AH287" i="23916"/>
  <c r="AG287" i="23916"/>
  <c r="AF287" i="23916"/>
  <c r="AE287" i="23916"/>
  <c r="AD287" i="23916"/>
  <c r="AC287" i="23916"/>
  <c r="AB287" i="23916"/>
  <c r="AA287" i="23916"/>
  <c r="FF287" i="23916" s="1"/>
  <c r="Z287" i="23916"/>
  <c r="Y287" i="23916"/>
  <c r="X287" i="23916"/>
  <c r="W287" i="23916"/>
  <c r="V287" i="23916"/>
  <c r="U287" i="23916"/>
  <c r="T287" i="23916"/>
  <c r="S287" i="23916"/>
  <c r="FD287" i="23916" s="1"/>
  <c r="FE287" i="23916" s="1"/>
  <c r="R287" i="23916"/>
  <c r="Q287" i="23916"/>
  <c r="P287" i="23916"/>
  <c r="O287" i="23916"/>
  <c r="N287" i="23916"/>
  <c r="M287" i="23916"/>
  <c r="FW286" i="23916"/>
  <c r="FV286" i="23916"/>
  <c r="FU286" i="23916"/>
  <c r="FT286" i="23916"/>
  <c r="BM286" i="23916"/>
  <c r="BP286" i="23916" s="1"/>
  <c r="BM285" i="23916"/>
  <c r="BP285" i="23916" s="1"/>
  <c r="BK286" i="23916"/>
  <c r="BK285" i="23916"/>
  <c r="BL285" i="23916" s="1"/>
  <c r="BI286" i="23916"/>
  <c r="BJ286" i="23916" s="1"/>
  <c r="BI285" i="23916"/>
  <c r="BI289" i="23916" s="1"/>
  <c r="BG286" i="23916"/>
  <c r="BG285" i="23916"/>
  <c r="BH285" i="23916" s="1"/>
  <c r="BE286" i="23916"/>
  <c r="BF286" i="23916" s="1"/>
  <c r="BE285" i="23916"/>
  <c r="BF285" i="23916" s="1"/>
  <c r="GI286" i="23916"/>
  <c r="GH286" i="23916"/>
  <c r="GG286" i="23916"/>
  <c r="GF286" i="23916"/>
  <c r="GE286" i="23916"/>
  <c r="GD286" i="23916"/>
  <c r="GC286" i="23916"/>
  <c r="GB286" i="23916"/>
  <c r="GA286" i="23916"/>
  <c r="FZ286" i="23916"/>
  <c r="FY286" i="23916"/>
  <c r="GH285" i="23916"/>
  <c r="GE285" i="23916"/>
  <c r="GD285" i="23916"/>
  <c r="GC285" i="23916"/>
  <c r="GB285" i="23916"/>
  <c r="GB289" i="23916" s="1"/>
  <c r="GA285" i="23916"/>
  <c r="FZ285" i="23916"/>
  <c r="FY285" i="23916"/>
  <c r="FX285" i="23916"/>
  <c r="FX289" i="23916" s="1"/>
  <c r="FW285" i="23916"/>
  <c r="FV285" i="23916"/>
  <c r="FU285" i="23916"/>
  <c r="FT285" i="23916"/>
  <c r="FT289" i="23916" s="1"/>
  <c r="FP286" i="23916"/>
  <c r="FN285" i="23916"/>
  <c r="FO285" i="23916" s="1"/>
  <c r="FL285" i="23916"/>
  <c r="FM285" i="23916" s="1"/>
  <c r="FJ285" i="23916"/>
  <c r="FK285" i="23916" s="1"/>
  <c r="FH285" i="23916"/>
  <c r="FI285" i="23916" s="1"/>
  <c r="FF285" i="23916"/>
  <c r="FG285" i="23916" s="1"/>
  <c r="FD285" i="23916"/>
  <c r="FE285" i="23916" s="1"/>
  <c r="EM288" i="23916"/>
  <c r="EN288" i="23916" s="1"/>
  <c r="EL288" i="23916"/>
  <c r="ER287" i="23916"/>
  <c r="EQ287" i="23916"/>
  <c r="EP287" i="23916"/>
  <c r="EO287" i="23916"/>
  <c r="EN287" i="23916"/>
  <c r="EM287" i="23916"/>
  <c r="EL287" i="23916"/>
  <c r="EO286" i="23916"/>
  <c r="EP286" i="23916" s="1"/>
  <c r="EM286" i="23916"/>
  <c r="EL286" i="23916"/>
  <c r="ER285" i="23916"/>
  <c r="EQ285" i="23916"/>
  <c r="EP285" i="23916"/>
  <c r="EO285" i="23916"/>
  <c r="EN285" i="23916"/>
  <c r="EM285" i="23916"/>
  <c r="EA285" i="23916"/>
  <c r="GF285" i="23916" s="1"/>
  <c r="BC286" i="23916"/>
  <c r="BC289" i="23916" s="1"/>
  <c r="AO286" i="23916"/>
  <c r="AP286" i="23916" s="1"/>
  <c r="AM286" i="23916"/>
  <c r="AN286" i="23916" s="1"/>
  <c r="AK286" i="23916"/>
  <c r="AL286" i="23916" s="1"/>
  <c r="AI286" i="23916"/>
  <c r="AJ286" i="23916" s="1"/>
  <c r="AG286" i="23916"/>
  <c r="AH286" i="23916" s="1"/>
  <c r="AE286" i="23916"/>
  <c r="AF286" i="23916" s="1"/>
  <c r="AC286" i="23916"/>
  <c r="AD286" i="23916" s="1"/>
  <c r="AA286" i="23916"/>
  <c r="AB286" i="23916" s="1"/>
  <c r="Y286" i="23916"/>
  <c r="Z286" i="23916" s="1"/>
  <c r="W286" i="23916"/>
  <c r="X286" i="23916" s="1"/>
  <c r="U286" i="23916"/>
  <c r="V286" i="23916" s="1"/>
  <c r="S286" i="23916"/>
  <c r="T286" i="23916" s="1"/>
  <c r="Q286" i="23916"/>
  <c r="R286" i="23916" s="1"/>
  <c r="O286" i="23916"/>
  <c r="P286" i="23916" s="1"/>
  <c r="M286" i="23916"/>
  <c r="N286" i="23916" s="1"/>
  <c r="BC285" i="23916"/>
  <c r="BD285" i="23916" s="1"/>
  <c r="BB285" i="23916"/>
  <c r="BA285" i="23916"/>
  <c r="AZ285" i="23916"/>
  <c r="AY285" i="23916"/>
  <c r="AX285" i="23916"/>
  <c r="AW285" i="23916"/>
  <c r="AV285" i="23916"/>
  <c r="AU285" i="23916"/>
  <c r="AT285" i="23916"/>
  <c r="AS285" i="23916"/>
  <c r="AR285" i="23916"/>
  <c r="AQ285" i="23916"/>
  <c r="AP285" i="23916"/>
  <c r="AO285" i="23916"/>
  <c r="AO289" i="23916" s="1"/>
  <c r="AN285" i="23916"/>
  <c r="AM285" i="23916"/>
  <c r="AL285" i="23916"/>
  <c r="AK285" i="23916"/>
  <c r="AK289" i="23916" s="1"/>
  <c r="AJ285" i="23916"/>
  <c r="AI285" i="23916"/>
  <c r="AH285" i="23916"/>
  <c r="AG285" i="23916"/>
  <c r="AG289" i="23916" s="1"/>
  <c r="AF285" i="23916"/>
  <c r="AE285" i="23916"/>
  <c r="AD285" i="23916"/>
  <c r="AC285" i="23916"/>
  <c r="AC289" i="23916" s="1"/>
  <c r="AB285" i="23916"/>
  <c r="AA285" i="23916"/>
  <c r="Z285" i="23916"/>
  <c r="Y285" i="23916"/>
  <c r="Y289" i="23916" s="1"/>
  <c r="X285" i="23916"/>
  <c r="W285" i="23916"/>
  <c r="V285" i="23916"/>
  <c r="U285" i="23916"/>
  <c r="U289" i="23916" s="1"/>
  <c r="T285" i="23916"/>
  <c r="S285" i="23916"/>
  <c r="R285" i="23916"/>
  <c r="Q285" i="23916"/>
  <c r="Q289" i="23916" s="1"/>
  <c r="P285" i="23916"/>
  <c r="O285" i="23916"/>
  <c r="N285" i="23916"/>
  <c r="M285" i="23916"/>
  <c r="M289" i="23916" s="1"/>
  <c r="GS279" i="23916"/>
  <c r="GQ279" i="23916"/>
  <c r="GO279" i="23916"/>
  <c r="GK279" i="23916"/>
  <c r="GJ279" i="23916"/>
  <c r="GM279" i="23916" s="1"/>
  <c r="GI279" i="23916"/>
  <c r="GH279" i="23916"/>
  <c r="GT279" i="23916" s="1"/>
  <c r="GG279" i="23916"/>
  <c r="GF279" i="23916"/>
  <c r="GE279" i="23916"/>
  <c r="GD279" i="23916"/>
  <c r="GC279" i="23916"/>
  <c r="GB279" i="23916"/>
  <c r="GA279" i="23916"/>
  <c r="FZ279" i="23916"/>
  <c r="FX279" i="23916"/>
  <c r="FU279" i="23916"/>
  <c r="FT279" i="23916"/>
  <c r="FS279" i="23916"/>
  <c r="FR279" i="23916"/>
  <c r="FQ279" i="23916"/>
  <c r="FP279" i="23916"/>
  <c r="FO279" i="23916"/>
  <c r="FN279" i="23916"/>
  <c r="FM279" i="23916"/>
  <c r="FL279" i="23916"/>
  <c r="FK279" i="23916"/>
  <c r="FJ279" i="23916"/>
  <c r="FI279" i="23916"/>
  <c r="FH279" i="23916"/>
  <c r="FG279" i="23916"/>
  <c r="FF279" i="23916"/>
  <c r="FE279" i="23916"/>
  <c r="FD279" i="23916"/>
  <c r="ER279" i="23916"/>
  <c r="EP279" i="23916"/>
  <c r="EN279" i="23916"/>
  <c r="EL279" i="23916"/>
  <c r="EJ279" i="23916"/>
  <c r="EH279" i="23916"/>
  <c r="EF279" i="23916"/>
  <c r="ED279" i="23916"/>
  <c r="EB279" i="23916"/>
  <c r="DZ279" i="23916"/>
  <c r="DX279" i="23916"/>
  <c r="DV279" i="23916"/>
  <c r="DT279" i="23916"/>
  <c r="DR279" i="23916"/>
  <c r="DP279" i="23916"/>
  <c r="DN279" i="23916"/>
  <c r="DL279" i="23916"/>
  <c r="DJ279" i="23916"/>
  <c r="DH279" i="23916"/>
  <c r="DF279" i="23916"/>
  <c r="DD279" i="23916"/>
  <c r="DB279" i="23916"/>
  <c r="CZ279" i="23916"/>
  <c r="CX279" i="23916"/>
  <c r="CV279" i="23916"/>
  <c r="CT279" i="23916"/>
  <c r="CR279" i="23916"/>
  <c r="CP279" i="23916"/>
  <c r="CN279" i="23916"/>
  <c r="CM279" i="23916"/>
  <c r="FV279" i="23916" s="1"/>
  <c r="CL279" i="23916"/>
  <c r="CJ279" i="23916"/>
  <c r="CH279" i="23916"/>
  <c r="CF279" i="23916"/>
  <c r="CD279" i="23916"/>
  <c r="CB279" i="23916"/>
  <c r="BZ279" i="23916"/>
  <c r="BX279" i="23916"/>
  <c r="BV279" i="23916"/>
  <c r="BT279" i="23916"/>
  <c r="BR279" i="23916"/>
  <c r="BP279" i="23916"/>
  <c r="BN279" i="23916"/>
  <c r="BL279" i="23916"/>
  <c r="BJ279" i="23916"/>
  <c r="BH279" i="23916"/>
  <c r="BF279" i="23916"/>
  <c r="BD279" i="23916"/>
  <c r="BB279" i="23916"/>
  <c r="AZ279" i="23916"/>
  <c r="AX279" i="23916"/>
  <c r="AV279" i="23916"/>
  <c r="AT279" i="23916"/>
  <c r="AR279" i="23916"/>
  <c r="AP279" i="23916"/>
  <c r="AN279" i="23916"/>
  <c r="AL279" i="23916"/>
  <c r="AJ279" i="23916"/>
  <c r="AH279" i="23916"/>
  <c r="AF279" i="23916"/>
  <c r="AD279" i="23916"/>
  <c r="AB279" i="23916"/>
  <c r="Z279" i="23916"/>
  <c r="X279" i="23916"/>
  <c r="V279" i="23916"/>
  <c r="T279" i="23916"/>
  <c r="R279" i="23916"/>
  <c r="P279" i="23916"/>
  <c r="N279" i="23916"/>
  <c r="AY276" i="23916"/>
  <c r="AZ276" i="23916" s="1"/>
  <c r="AU276" i="23916"/>
  <c r="AV276" i="23916" s="1"/>
  <c r="AQ276" i="23916"/>
  <c r="AR276" i="23916" s="1"/>
  <c r="AM276" i="23916"/>
  <c r="AN276" i="23916" s="1"/>
  <c r="AI276" i="23916"/>
  <c r="AJ276" i="23916" s="1"/>
  <c r="AE276" i="23916"/>
  <c r="AF276" i="23916" s="1"/>
  <c r="AA276" i="23916"/>
  <c r="AB276" i="23916" s="1"/>
  <c r="W276" i="23916"/>
  <c r="X276" i="23916" s="1"/>
  <c r="S276" i="23916"/>
  <c r="T276" i="23916" s="1"/>
  <c r="O276" i="23916"/>
  <c r="P276" i="23916" s="1"/>
  <c r="GJ275" i="23916"/>
  <c r="GH275" i="23916"/>
  <c r="GF275" i="23916"/>
  <c r="GD275" i="23916"/>
  <c r="GB275" i="23916"/>
  <c r="FZ275" i="23916"/>
  <c r="GH272" i="23916"/>
  <c r="GD272" i="23916"/>
  <c r="FZ272" i="23916"/>
  <c r="FV272" i="23916"/>
  <c r="FR272" i="23916"/>
  <c r="EI273" i="23916"/>
  <c r="EJ273" i="23916" s="1"/>
  <c r="EE273" i="23916"/>
  <c r="EF273" i="23916" s="1"/>
  <c r="EA273" i="23916"/>
  <c r="EB273" i="23916" s="1"/>
  <c r="DW273" i="23916"/>
  <c r="DX273" i="23916" s="1"/>
  <c r="DS273" i="23916"/>
  <c r="DT273" i="23916" s="1"/>
  <c r="DO273" i="23916"/>
  <c r="DP273" i="23916" s="1"/>
  <c r="DK273" i="23916"/>
  <c r="DL273" i="23916" s="1"/>
  <c r="DG273" i="23916"/>
  <c r="DH273" i="23916" s="1"/>
  <c r="DC273" i="23916"/>
  <c r="DD273" i="23916" s="1"/>
  <c r="CY273" i="23916"/>
  <c r="CZ273" i="23916" s="1"/>
  <c r="CU273" i="23916"/>
  <c r="CV273" i="23916" s="1"/>
  <c r="CQ273" i="23916"/>
  <c r="CR273" i="23916" s="1"/>
  <c r="CM273" i="23916"/>
  <c r="CN273" i="23916" s="1"/>
  <c r="CI273" i="23916"/>
  <c r="CJ273" i="23916" s="1"/>
  <c r="CE273" i="23916"/>
  <c r="CA273" i="23916"/>
  <c r="BW273" i="23916"/>
  <c r="BX273" i="23916" s="1"/>
  <c r="BS273" i="23916"/>
  <c r="BO273" i="23916"/>
  <c r="BC273" i="23916"/>
  <c r="BD273" i="23916" s="1"/>
  <c r="AY273" i="23916"/>
  <c r="AU273" i="23916"/>
  <c r="AQ273" i="23916"/>
  <c r="AR273" i="23916" s="1"/>
  <c r="AM273" i="23916"/>
  <c r="AN273" i="23916" s="1"/>
  <c r="AI273" i="23916"/>
  <c r="AE273" i="23916"/>
  <c r="AA273" i="23916"/>
  <c r="AB273" i="23916" s="1"/>
  <c r="W273" i="23916"/>
  <c r="X273" i="23916" s="1"/>
  <c r="S273" i="23916"/>
  <c r="T273" i="23916" s="1"/>
  <c r="O273" i="23916"/>
  <c r="P273" i="23916" s="1"/>
  <c r="EI272" i="23916"/>
  <c r="EG272" i="23916"/>
  <c r="EH272" i="23916" s="1"/>
  <c r="EE272" i="23916"/>
  <c r="EC272" i="23916"/>
  <c r="ED272" i="23916" s="1"/>
  <c r="EA272" i="23916"/>
  <c r="DY272" i="23916"/>
  <c r="DZ272" i="23916" s="1"/>
  <c r="DW272" i="23916"/>
  <c r="DU272" i="23916"/>
  <c r="DV272" i="23916" s="1"/>
  <c r="DS272" i="23916"/>
  <c r="DQ272" i="23916"/>
  <c r="DR272" i="23916" s="1"/>
  <c r="DO272" i="23916"/>
  <c r="DM272" i="23916"/>
  <c r="DN272" i="23916" s="1"/>
  <c r="DK272" i="23916"/>
  <c r="DI272" i="23916"/>
  <c r="DJ272" i="23916" s="1"/>
  <c r="DG272" i="23916"/>
  <c r="DE272" i="23916"/>
  <c r="DF272" i="23916" s="1"/>
  <c r="DC272" i="23916"/>
  <c r="DA272" i="23916"/>
  <c r="DB272" i="23916" s="1"/>
  <c r="CY272" i="23916"/>
  <c r="CW272" i="23916"/>
  <c r="CX272" i="23916" s="1"/>
  <c r="CU272" i="23916"/>
  <c r="CS272" i="23916"/>
  <c r="CT272" i="23916" s="1"/>
  <c r="CQ272" i="23916"/>
  <c r="CO272" i="23916"/>
  <c r="CP272" i="23916" s="1"/>
  <c r="CM272" i="23916"/>
  <c r="CK272" i="23916"/>
  <c r="CL272" i="23916" s="1"/>
  <c r="CI272" i="23916"/>
  <c r="CG272" i="23916"/>
  <c r="CE272" i="23916"/>
  <c r="CC272" i="23916"/>
  <c r="CD272" i="23916" s="1"/>
  <c r="CA272" i="23916"/>
  <c r="BW272" i="23916"/>
  <c r="BU272" i="23916"/>
  <c r="BV272" i="23916" s="1"/>
  <c r="BS272" i="23916"/>
  <c r="BQ272" i="23916"/>
  <c r="BR272" i="23916" s="1"/>
  <c r="BO272" i="23916"/>
  <c r="BM272" i="23916"/>
  <c r="BN272" i="23916" s="1"/>
  <c r="BK272" i="23916"/>
  <c r="BI272" i="23916"/>
  <c r="BJ272" i="23916" s="1"/>
  <c r="BG272" i="23916"/>
  <c r="BE272" i="23916"/>
  <c r="BF272" i="23916" s="1"/>
  <c r="BC272" i="23916"/>
  <c r="BA272" i="23916"/>
  <c r="BB272" i="23916" s="1"/>
  <c r="AY272" i="23916"/>
  <c r="AW272" i="23916"/>
  <c r="AX272" i="23916" s="1"/>
  <c r="AU272" i="23916"/>
  <c r="AS272" i="23916"/>
  <c r="AT272" i="23916" s="1"/>
  <c r="AQ272" i="23916"/>
  <c r="AO272" i="23916"/>
  <c r="AP272" i="23916" s="1"/>
  <c r="AM272" i="23916"/>
  <c r="AK272" i="23916"/>
  <c r="AL272" i="23916" s="1"/>
  <c r="AI272" i="23916"/>
  <c r="AG272" i="23916"/>
  <c r="AH272" i="23916" s="1"/>
  <c r="AE272" i="23916"/>
  <c r="AC272" i="23916"/>
  <c r="AD272" i="23916" s="1"/>
  <c r="AA272" i="23916"/>
  <c r="Y272" i="23916"/>
  <c r="Z272" i="23916" s="1"/>
  <c r="W272" i="23916"/>
  <c r="U272" i="23916"/>
  <c r="V272" i="23916" s="1"/>
  <c r="S272" i="23916"/>
  <c r="T272" i="23916" s="1"/>
  <c r="Q272" i="23916"/>
  <c r="R272" i="23916" s="1"/>
  <c r="O272" i="23916"/>
  <c r="P272" i="23916" s="1"/>
  <c r="M272" i="23916"/>
  <c r="N272" i="23916" s="1"/>
  <c r="FR270" i="23916"/>
  <c r="EJ270" i="23916"/>
  <c r="EI270" i="23916"/>
  <c r="EK270" i="23916" s="1"/>
  <c r="EM270" i="23916" s="1"/>
  <c r="EH270" i="23916"/>
  <c r="EG270" i="23916"/>
  <c r="EF270" i="23916"/>
  <c r="EE270" i="23916"/>
  <c r="ED270" i="23916"/>
  <c r="EC270" i="23916"/>
  <c r="EB270" i="23916"/>
  <c r="EA270" i="23916"/>
  <c r="DZ270" i="23916"/>
  <c r="DY270" i="23916"/>
  <c r="DX270" i="23916"/>
  <c r="DW270" i="23916"/>
  <c r="DV270" i="23916"/>
  <c r="DU270" i="23916"/>
  <c r="DT270" i="23916"/>
  <c r="DS270" i="23916"/>
  <c r="DR270" i="23916"/>
  <c r="DQ270" i="23916"/>
  <c r="DP270" i="23916"/>
  <c r="DO270" i="23916"/>
  <c r="DN270" i="23916"/>
  <c r="DM270" i="23916"/>
  <c r="DL270" i="23916"/>
  <c r="DK270" i="23916"/>
  <c r="DJ270" i="23916"/>
  <c r="DI270" i="23916"/>
  <c r="DH270" i="23916"/>
  <c r="DG270" i="23916"/>
  <c r="DF270" i="23916"/>
  <c r="DE270" i="23916"/>
  <c r="DD270" i="23916"/>
  <c r="DC270" i="23916"/>
  <c r="DB270" i="23916"/>
  <c r="DA270" i="23916"/>
  <c r="CZ270" i="23916"/>
  <c r="CY270" i="23916"/>
  <c r="CX270" i="23916"/>
  <c r="CW270" i="23916"/>
  <c r="CV270" i="23916"/>
  <c r="CU270" i="23916"/>
  <c r="CT270" i="23916"/>
  <c r="CS270" i="23916"/>
  <c r="CR270" i="23916"/>
  <c r="CQ270" i="23916"/>
  <c r="CP270" i="23916"/>
  <c r="CO270" i="23916"/>
  <c r="CN270" i="23916"/>
  <c r="CM270" i="23916"/>
  <c r="CL270" i="23916"/>
  <c r="CK270" i="23916"/>
  <c r="CJ270" i="23916"/>
  <c r="CI270" i="23916"/>
  <c r="CG270" i="23916"/>
  <c r="CF270" i="23916"/>
  <c r="CE270" i="23916"/>
  <c r="CD270" i="23916"/>
  <c r="CC270" i="23916"/>
  <c r="CB270" i="23916"/>
  <c r="CA270" i="23916"/>
  <c r="BX270" i="23916"/>
  <c r="BW270" i="23916"/>
  <c r="BV270" i="23916"/>
  <c r="BU270" i="23916"/>
  <c r="BT270" i="23916"/>
  <c r="BS270" i="23916"/>
  <c r="BR270" i="23916"/>
  <c r="BQ270" i="23916"/>
  <c r="BP270" i="23916"/>
  <c r="BO270" i="23916"/>
  <c r="BN270" i="23916"/>
  <c r="BM270" i="23916"/>
  <c r="BK270" i="23916"/>
  <c r="BJ270" i="23916"/>
  <c r="BI270" i="23916"/>
  <c r="BH270" i="23916"/>
  <c r="BG270" i="23916"/>
  <c r="BE270" i="23916"/>
  <c r="BA270" i="23916"/>
  <c r="AZ270" i="23916"/>
  <c r="AY270" i="23916"/>
  <c r="AV270" i="23916"/>
  <c r="AU270" i="23916"/>
  <c r="AR270" i="23916"/>
  <c r="AQ270" i="23916"/>
  <c r="AN270" i="23916"/>
  <c r="AM270" i="23916"/>
  <c r="AL270" i="23916"/>
  <c r="AK270" i="23916"/>
  <c r="AJ270" i="23916"/>
  <c r="AI270" i="23916"/>
  <c r="AH270" i="23916"/>
  <c r="AG270" i="23916"/>
  <c r="AF270" i="23916"/>
  <c r="AE270" i="23916"/>
  <c r="AD270" i="23916"/>
  <c r="AC270" i="23916"/>
  <c r="AB270" i="23916"/>
  <c r="AA270" i="23916"/>
  <c r="Z270" i="23916"/>
  <c r="Y270" i="23916"/>
  <c r="X270" i="23916"/>
  <c r="W270" i="23916"/>
  <c r="V270" i="23916"/>
  <c r="U270" i="23916"/>
  <c r="T270" i="23916"/>
  <c r="S270" i="23916"/>
  <c r="R270" i="23916"/>
  <c r="Q270" i="23916"/>
  <c r="P270" i="23916"/>
  <c r="O270" i="23916"/>
  <c r="N270" i="23916"/>
  <c r="M270" i="23916"/>
  <c r="CM269" i="23916"/>
  <c r="EA267" i="23916"/>
  <c r="EF264" i="23916"/>
  <c r="DP264" i="23916"/>
  <c r="CZ264" i="23916"/>
  <c r="BT264" i="23916"/>
  <c r="BE264" i="23916"/>
  <c r="BA264" i="23916"/>
  <c r="AZ264" i="23916"/>
  <c r="AY264" i="23916"/>
  <c r="AV264" i="23916"/>
  <c r="AU264" i="23916"/>
  <c r="AR264" i="23916"/>
  <c r="AQ264" i="23916"/>
  <c r="AN264" i="23916"/>
  <c r="AM264" i="23916"/>
  <c r="AL264" i="23916"/>
  <c r="AK264" i="23916"/>
  <c r="AJ264" i="23916"/>
  <c r="AI264" i="23916"/>
  <c r="AH264" i="23916"/>
  <c r="AG264" i="23916"/>
  <c r="AF264" i="23916"/>
  <c r="AE264" i="23916"/>
  <c r="AD264" i="23916"/>
  <c r="AC264" i="23916"/>
  <c r="AB264" i="23916"/>
  <c r="AA264" i="23916"/>
  <c r="Z264" i="23916"/>
  <c r="Y264" i="23916"/>
  <c r="X264" i="23916"/>
  <c r="W264" i="23916"/>
  <c r="V264" i="23916"/>
  <c r="U264" i="23916"/>
  <c r="T264" i="23916"/>
  <c r="S264" i="23916"/>
  <c r="R264" i="23916"/>
  <c r="Q264" i="23916"/>
  <c r="P264" i="23916"/>
  <c r="O264" i="23916"/>
  <c r="N264" i="23916"/>
  <c r="M264" i="23916"/>
  <c r="FR264" i="23916"/>
  <c r="FH264" i="23916"/>
  <c r="FR263" i="23916"/>
  <c r="FL263" i="23916"/>
  <c r="FI263" i="23916"/>
  <c r="FH263" i="23916"/>
  <c r="FG263" i="23916"/>
  <c r="FF263" i="23916"/>
  <c r="FE263" i="23916"/>
  <c r="FD263" i="23916"/>
  <c r="EJ263" i="23916"/>
  <c r="EI263" i="23916"/>
  <c r="EI264" i="23916" s="1"/>
  <c r="EI276" i="23916" s="1"/>
  <c r="EH263" i="23916"/>
  <c r="EG263" i="23916"/>
  <c r="EG273" i="23916" s="1"/>
  <c r="EF263" i="23916"/>
  <c r="EE263" i="23916"/>
  <c r="EE264" i="23916" s="1"/>
  <c r="EE276" i="23916" s="1"/>
  <c r="ED263" i="23916"/>
  <c r="EC263" i="23916"/>
  <c r="EC273" i="23916" s="1"/>
  <c r="EB263" i="23916"/>
  <c r="EA263" i="23916"/>
  <c r="EA264" i="23916" s="1"/>
  <c r="EA276" i="23916" s="1"/>
  <c r="DZ263" i="23916"/>
  <c r="DY263" i="23916"/>
  <c r="DY273" i="23916" s="1"/>
  <c r="DX263" i="23916"/>
  <c r="DW263" i="23916"/>
  <c r="DW264" i="23916" s="1"/>
  <c r="DW276" i="23916" s="1"/>
  <c r="DV263" i="23916"/>
  <c r="DU263" i="23916"/>
  <c r="DU273" i="23916" s="1"/>
  <c r="DT263" i="23916"/>
  <c r="DS263" i="23916"/>
  <c r="DS264" i="23916" s="1"/>
  <c r="DS276" i="23916" s="1"/>
  <c r="DR263" i="23916"/>
  <c r="DQ263" i="23916"/>
  <c r="DQ273" i="23916" s="1"/>
  <c r="DP263" i="23916"/>
  <c r="DO263" i="23916"/>
  <c r="DO264" i="23916" s="1"/>
  <c r="DO276" i="23916" s="1"/>
  <c r="DN263" i="23916"/>
  <c r="DM263" i="23916"/>
  <c r="DM273" i="23916" s="1"/>
  <c r="DL263" i="23916"/>
  <c r="DK263" i="23916"/>
  <c r="DK264" i="23916" s="1"/>
  <c r="DK276" i="23916" s="1"/>
  <c r="DJ263" i="23916"/>
  <c r="DI263" i="23916"/>
  <c r="DI273" i="23916" s="1"/>
  <c r="DH263" i="23916"/>
  <c r="DG263" i="23916"/>
  <c r="DG264" i="23916" s="1"/>
  <c r="DG276" i="23916" s="1"/>
  <c r="DF263" i="23916"/>
  <c r="DE263" i="23916"/>
  <c r="DE273" i="23916" s="1"/>
  <c r="DD263" i="23916"/>
  <c r="DC263" i="23916"/>
  <c r="DC264" i="23916" s="1"/>
  <c r="DC276" i="23916" s="1"/>
  <c r="DB263" i="23916"/>
  <c r="DA263" i="23916"/>
  <c r="DA273" i="23916" s="1"/>
  <c r="CZ263" i="23916"/>
  <c r="CY263" i="23916"/>
  <c r="CY264" i="23916" s="1"/>
  <c r="CY276" i="23916" s="1"/>
  <c r="CX263" i="23916"/>
  <c r="CW263" i="23916"/>
  <c r="CW273" i="23916" s="1"/>
  <c r="CV263" i="23916"/>
  <c r="CU263" i="23916"/>
  <c r="CU264" i="23916" s="1"/>
  <c r="CU276" i="23916" s="1"/>
  <c r="CT263" i="23916"/>
  <c r="CS263" i="23916"/>
  <c r="CS273" i="23916" s="1"/>
  <c r="CR263" i="23916"/>
  <c r="CQ263" i="23916"/>
  <c r="CQ264" i="23916" s="1"/>
  <c r="CQ276" i="23916" s="1"/>
  <c r="CP263" i="23916"/>
  <c r="CO263" i="23916"/>
  <c r="CO273" i="23916" s="1"/>
  <c r="CN263" i="23916"/>
  <c r="CM263" i="23916"/>
  <c r="CL263" i="23916"/>
  <c r="CK263" i="23916"/>
  <c r="CK273" i="23916" s="1"/>
  <c r="CJ263" i="23916"/>
  <c r="CI263" i="23916"/>
  <c r="CH263" i="23916"/>
  <c r="CG263" i="23916"/>
  <c r="CG273" i="23916" s="1"/>
  <c r="CF263" i="23916"/>
  <c r="CE263" i="23916"/>
  <c r="CD263" i="23916"/>
  <c r="CC263" i="23916"/>
  <c r="CC273" i="23916" s="1"/>
  <c r="CB263" i="23916"/>
  <c r="CA263" i="23916"/>
  <c r="BZ263" i="23916"/>
  <c r="BY263" i="23916"/>
  <c r="BX263" i="23916"/>
  <c r="BW263" i="23916"/>
  <c r="BW264" i="23916" s="1"/>
  <c r="BW276" i="23916" s="1"/>
  <c r="BV263" i="23916"/>
  <c r="BU263" i="23916"/>
  <c r="BU273" i="23916" s="1"/>
  <c r="BT263" i="23916"/>
  <c r="BS263" i="23916"/>
  <c r="BS264" i="23916" s="1"/>
  <c r="BS276" i="23916" s="1"/>
  <c r="BR263" i="23916"/>
  <c r="BQ263" i="23916"/>
  <c r="BQ273" i="23916" s="1"/>
  <c r="BP263" i="23916"/>
  <c r="BO263" i="23916"/>
  <c r="BO264" i="23916" s="1"/>
  <c r="BO276" i="23916" s="1"/>
  <c r="BN263" i="23916"/>
  <c r="BM263" i="23916"/>
  <c r="BL263" i="23916"/>
  <c r="BK263" i="23916"/>
  <c r="BK264" i="23916" s="1"/>
  <c r="BJ263" i="23916"/>
  <c r="BI263" i="23916"/>
  <c r="BH263" i="23916"/>
  <c r="BG263" i="23916"/>
  <c r="BG264" i="23916" s="1"/>
  <c r="BH264" i="23916" s="1"/>
  <c r="BF263" i="23916"/>
  <c r="BD263" i="23916"/>
  <c r="BD262" i="23916"/>
  <c r="BD261" i="23916"/>
  <c r="BD260" i="23916"/>
  <c r="BB263" i="23916"/>
  <c r="BB262" i="23916"/>
  <c r="BB261" i="23916"/>
  <c r="BB260" i="23916"/>
  <c r="AZ263" i="23916"/>
  <c r="AZ262" i="23916"/>
  <c r="AZ261" i="23916"/>
  <c r="AZ260" i="23916"/>
  <c r="AZ259" i="23916"/>
  <c r="AX263" i="23916"/>
  <c r="AX262" i="23916"/>
  <c r="AX261" i="23916"/>
  <c r="AX260" i="23916"/>
  <c r="AV263" i="23916"/>
  <c r="AV262" i="23916"/>
  <c r="AV261" i="23916"/>
  <c r="AV260" i="23916"/>
  <c r="AV259" i="23916"/>
  <c r="AT263" i="23916"/>
  <c r="AT262" i="23916"/>
  <c r="AT261" i="23916"/>
  <c r="AT260" i="23916"/>
  <c r="AR263" i="23916"/>
  <c r="AR262" i="23916"/>
  <c r="AR261" i="23916"/>
  <c r="AR260" i="23916"/>
  <c r="AR259" i="23916"/>
  <c r="AP263" i="23916"/>
  <c r="AO263" i="23916"/>
  <c r="AN263" i="23916"/>
  <c r="AL263" i="23916"/>
  <c r="AL262" i="23916"/>
  <c r="AL261" i="23916"/>
  <c r="AL260" i="23916"/>
  <c r="AL259" i="23916"/>
  <c r="AJ263" i="23916"/>
  <c r="AJ262" i="23916"/>
  <c r="AJ261" i="23916"/>
  <c r="AJ260" i="23916"/>
  <c r="AJ259" i="23916"/>
  <c r="AH263" i="23916"/>
  <c r="AH262" i="23916"/>
  <c r="AH261" i="23916"/>
  <c r="AH260" i="23916"/>
  <c r="AH259" i="23916"/>
  <c r="AF263" i="23916"/>
  <c r="AF262" i="23916"/>
  <c r="AF261" i="23916"/>
  <c r="AF260" i="23916"/>
  <c r="AF259" i="23916"/>
  <c r="AD263" i="23916"/>
  <c r="AD262" i="23916"/>
  <c r="AD261" i="23916"/>
  <c r="AD260" i="23916"/>
  <c r="AD259" i="23916"/>
  <c r="AB263" i="23916"/>
  <c r="AB262" i="23916"/>
  <c r="AB261" i="23916"/>
  <c r="AB260" i="23916"/>
  <c r="AB259" i="23916"/>
  <c r="Z263" i="23916"/>
  <c r="Z262" i="23916"/>
  <c r="Z261" i="23916"/>
  <c r="Z260" i="23916"/>
  <c r="Z259" i="23916"/>
  <c r="X263" i="23916"/>
  <c r="X262" i="23916"/>
  <c r="X261" i="23916"/>
  <c r="X260" i="23916"/>
  <c r="X259" i="23916"/>
  <c r="V263" i="23916"/>
  <c r="V262" i="23916"/>
  <c r="V261" i="23916"/>
  <c r="V260" i="23916"/>
  <c r="V259" i="23916"/>
  <c r="T263" i="23916"/>
  <c r="T262" i="23916"/>
  <c r="T261" i="23916"/>
  <c r="T260" i="23916"/>
  <c r="T259" i="23916"/>
  <c r="R263" i="23916"/>
  <c r="R262" i="23916"/>
  <c r="R261" i="23916"/>
  <c r="R260" i="23916"/>
  <c r="R259" i="23916"/>
  <c r="P263" i="23916"/>
  <c r="P262" i="23916"/>
  <c r="P261" i="23916"/>
  <c r="P260" i="23916"/>
  <c r="P259" i="23916"/>
  <c r="N263" i="23916"/>
  <c r="N262" i="23916"/>
  <c r="N261" i="23916"/>
  <c r="N260" i="23916"/>
  <c r="N259" i="23916"/>
  <c r="GQ262" i="23916"/>
  <c r="GQ261" i="23916"/>
  <c r="GO262" i="23916"/>
  <c r="GO261" i="23916"/>
  <c r="GM262" i="23916"/>
  <c r="GK262" i="23916"/>
  <c r="GJ262" i="23916"/>
  <c r="GI262" i="23916"/>
  <c r="GH262" i="23916"/>
  <c r="GG262" i="23916"/>
  <c r="GF262" i="23916"/>
  <c r="GE262" i="23916"/>
  <c r="GD262" i="23916"/>
  <c r="GC262" i="23916"/>
  <c r="GB262" i="23916"/>
  <c r="GB393" i="23916" s="1"/>
  <c r="GC393" i="23916" s="1"/>
  <c r="GA262" i="23916"/>
  <c r="FZ262" i="23916"/>
  <c r="FZ393" i="23916" s="1"/>
  <c r="FY262" i="23916"/>
  <c r="FX262" i="23916"/>
  <c r="FW262" i="23916"/>
  <c r="FV262" i="23916"/>
  <c r="FU262" i="23916"/>
  <c r="FT262" i="23916"/>
  <c r="FS262" i="23916"/>
  <c r="FR262" i="23916"/>
  <c r="FR393" i="23916" s="1"/>
  <c r="FQ262" i="23916"/>
  <c r="FP262" i="23916"/>
  <c r="FO262" i="23916"/>
  <c r="FN262" i="23916"/>
  <c r="FM262" i="23916"/>
  <c r="FL262" i="23916"/>
  <c r="FK262" i="23916"/>
  <c r="FJ262" i="23916"/>
  <c r="FI262" i="23916"/>
  <c r="FH262" i="23916"/>
  <c r="FH393" i="23916" s="1"/>
  <c r="FG262" i="23916"/>
  <c r="FF262" i="23916"/>
  <c r="FF393" i="23916" s="1"/>
  <c r="FE262" i="23916"/>
  <c r="FD262" i="23916"/>
  <c r="FD393" i="23916" s="1"/>
  <c r="ER262" i="23916"/>
  <c r="ER261" i="23916"/>
  <c r="EP262" i="23916"/>
  <c r="EP261" i="23916"/>
  <c r="EN262" i="23916"/>
  <c r="EN261" i="23916"/>
  <c r="EL262" i="23916"/>
  <c r="EL261" i="23916"/>
  <c r="EJ262" i="23916"/>
  <c r="EJ261" i="23916"/>
  <c r="EJ260" i="23916"/>
  <c r="EJ259" i="23916"/>
  <c r="EH262" i="23916"/>
  <c r="EH261" i="23916"/>
  <c r="EH260" i="23916"/>
  <c r="EH259" i="23916"/>
  <c r="EF262" i="23916"/>
  <c r="EF261" i="23916"/>
  <c r="EF260" i="23916"/>
  <c r="EF259" i="23916"/>
  <c r="ED262" i="23916"/>
  <c r="ED261" i="23916"/>
  <c r="ED260" i="23916"/>
  <c r="ED259" i="23916"/>
  <c r="EB262" i="23916"/>
  <c r="EB261" i="23916"/>
  <c r="EB260" i="23916"/>
  <c r="EB259" i="23916"/>
  <c r="DZ262" i="23916"/>
  <c r="DZ261" i="23916"/>
  <c r="DZ260" i="23916"/>
  <c r="DZ259" i="23916"/>
  <c r="DX262" i="23916"/>
  <c r="DX261" i="23916"/>
  <c r="DX260" i="23916"/>
  <c r="DX259" i="23916"/>
  <c r="DV262" i="23916"/>
  <c r="DV261" i="23916"/>
  <c r="DV260" i="23916"/>
  <c r="DV259" i="23916"/>
  <c r="DT262" i="23916"/>
  <c r="DT261" i="23916"/>
  <c r="DT260" i="23916"/>
  <c r="DT259" i="23916"/>
  <c r="DR262" i="23916"/>
  <c r="DR261" i="23916"/>
  <c r="DR260" i="23916"/>
  <c r="DR259" i="23916"/>
  <c r="DP262" i="23916"/>
  <c r="DP261" i="23916"/>
  <c r="DP260" i="23916"/>
  <c r="DP259" i="23916"/>
  <c r="DN262" i="23916"/>
  <c r="DN261" i="23916"/>
  <c r="DN260" i="23916"/>
  <c r="DN259" i="23916"/>
  <c r="DL262" i="23916"/>
  <c r="DL261" i="23916"/>
  <c r="DL260" i="23916"/>
  <c r="DL259" i="23916"/>
  <c r="DJ262" i="23916"/>
  <c r="DJ261" i="23916"/>
  <c r="DJ260" i="23916"/>
  <c r="DJ259" i="23916"/>
  <c r="DH262" i="23916"/>
  <c r="DH261" i="23916"/>
  <c r="DH260" i="23916"/>
  <c r="DH259" i="23916"/>
  <c r="DF262" i="23916"/>
  <c r="DF261" i="23916"/>
  <c r="DF260" i="23916"/>
  <c r="DF259" i="23916"/>
  <c r="DD262" i="23916"/>
  <c r="DD261" i="23916"/>
  <c r="DD260" i="23916"/>
  <c r="DD259" i="23916"/>
  <c r="DB262" i="23916"/>
  <c r="DB261" i="23916"/>
  <c r="DB260" i="23916"/>
  <c r="DB259" i="23916"/>
  <c r="CZ262" i="23916"/>
  <c r="CZ261" i="23916"/>
  <c r="CZ260" i="23916"/>
  <c r="CZ259" i="23916"/>
  <c r="CX262" i="23916"/>
  <c r="CX261" i="23916"/>
  <c r="CX260" i="23916"/>
  <c r="CX259" i="23916"/>
  <c r="CV262" i="23916"/>
  <c r="CV260" i="23916"/>
  <c r="CV259" i="23916"/>
  <c r="CT262" i="23916"/>
  <c r="CT260" i="23916"/>
  <c r="CT259" i="23916"/>
  <c r="CR262" i="23916"/>
  <c r="CR260" i="23916"/>
  <c r="CR259" i="23916"/>
  <c r="CP262" i="23916"/>
  <c r="CP260" i="23916"/>
  <c r="CP259" i="23916"/>
  <c r="CN262" i="23916"/>
  <c r="CN260" i="23916"/>
  <c r="CN259" i="23916"/>
  <c r="CL262" i="23916"/>
  <c r="CL260" i="23916"/>
  <c r="CL259" i="23916"/>
  <c r="CJ262" i="23916"/>
  <c r="CJ260" i="23916"/>
  <c r="CJ259" i="23916"/>
  <c r="CH262" i="23916"/>
  <c r="CH260" i="23916"/>
  <c r="CH259" i="23916"/>
  <c r="CF262" i="23916"/>
  <c r="CF260" i="23916"/>
  <c r="CF259" i="23916"/>
  <c r="CD262" i="23916"/>
  <c r="CD260" i="23916"/>
  <c r="CD259" i="23916"/>
  <c r="CB262" i="23916"/>
  <c r="CB260" i="23916"/>
  <c r="CB259" i="23916"/>
  <c r="BZ262" i="23916"/>
  <c r="BZ260" i="23916"/>
  <c r="BZ259" i="23916"/>
  <c r="BX262" i="23916"/>
  <c r="BX261" i="23916"/>
  <c r="BX260" i="23916"/>
  <c r="BX259" i="23916"/>
  <c r="BV262" i="23916"/>
  <c r="BV261" i="23916"/>
  <c r="BV260" i="23916"/>
  <c r="BV259" i="23916"/>
  <c r="BT262" i="23916"/>
  <c r="BT261" i="23916"/>
  <c r="BT260" i="23916"/>
  <c r="BT259" i="23916"/>
  <c r="BR262" i="23916"/>
  <c r="BR261" i="23916"/>
  <c r="BR260" i="23916"/>
  <c r="BR259" i="23916"/>
  <c r="BP262" i="23916"/>
  <c r="BP261" i="23916"/>
  <c r="BP260" i="23916"/>
  <c r="BP259" i="23916"/>
  <c r="BN262" i="23916"/>
  <c r="BN261" i="23916"/>
  <c r="BN260" i="23916"/>
  <c r="BN259" i="23916"/>
  <c r="BL262" i="23916"/>
  <c r="BL261" i="23916"/>
  <c r="BL260" i="23916"/>
  <c r="BJ262" i="23916"/>
  <c r="BJ261" i="23916"/>
  <c r="BJ260" i="23916"/>
  <c r="BJ259" i="23916"/>
  <c r="BH262" i="23916"/>
  <c r="BH261" i="23916"/>
  <c r="BH260" i="23916"/>
  <c r="BH259" i="23916"/>
  <c r="BF262" i="23916"/>
  <c r="BF261" i="23916"/>
  <c r="BF260" i="23916"/>
  <c r="AP262" i="23916"/>
  <c r="AP261" i="23916"/>
  <c r="AP260" i="23916"/>
  <c r="AN262" i="23916"/>
  <c r="AN261" i="23916"/>
  <c r="AN260" i="23916"/>
  <c r="AN259" i="23916"/>
  <c r="GK261" i="23916"/>
  <c r="GJ261" i="23916"/>
  <c r="GM261" i="23916" s="1"/>
  <c r="GI261" i="23916"/>
  <c r="GH261" i="23916"/>
  <c r="GT261" i="23916" s="1"/>
  <c r="GG261" i="23916"/>
  <c r="GF261" i="23916"/>
  <c r="GE261" i="23916"/>
  <c r="GD261" i="23916"/>
  <c r="GC261" i="23916"/>
  <c r="GB261" i="23916"/>
  <c r="GA261" i="23916"/>
  <c r="FZ261" i="23916"/>
  <c r="FX261" i="23916"/>
  <c r="FS261" i="23916"/>
  <c r="FR261" i="23916"/>
  <c r="FQ261" i="23916"/>
  <c r="FP261" i="23916"/>
  <c r="FO261" i="23916"/>
  <c r="FN261" i="23916"/>
  <c r="FM261" i="23916"/>
  <c r="FL261" i="23916"/>
  <c r="FK261" i="23916"/>
  <c r="FJ261" i="23916"/>
  <c r="FI261" i="23916"/>
  <c r="FH261" i="23916"/>
  <c r="FG261" i="23916"/>
  <c r="FF261" i="23916"/>
  <c r="FE261" i="23916"/>
  <c r="CM261" i="23916"/>
  <c r="CV261" i="23916" s="1"/>
  <c r="CK261" i="23916"/>
  <c r="CI261" i="23916"/>
  <c r="CR261" i="23916" s="1"/>
  <c r="CG261" i="23916"/>
  <c r="CG264" i="23916" s="1"/>
  <c r="CE261" i="23916"/>
  <c r="CF261" i="23916" s="1"/>
  <c r="CC261" i="23916"/>
  <c r="CA261" i="23916"/>
  <c r="CB261" i="23916" s="1"/>
  <c r="BY261" i="23916"/>
  <c r="BY264" i="23916" s="1"/>
  <c r="EK259" i="23916"/>
  <c r="GT262" i="23916"/>
  <c r="GS262" i="23916"/>
  <c r="GS261" i="23916"/>
  <c r="GI260" i="23916"/>
  <c r="GH260" i="23916"/>
  <c r="GG260" i="23916"/>
  <c r="GF260" i="23916"/>
  <c r="GF272" i="23916" s="1"/>
  <c r="GG272" i="23916" s="1"/>
  <c r="GE260" i="23916"/>
  <c r="GD260" i="23916"/>
  <c r="GC260" i="23916"/>
  <c r="GB260" i="23916"/>
  <c r="GB272" i="23916" s="1"/>
  <c r="GC272" i="23916" s="1"/>
  <c r="GA260" i="23916"/>
  <c r="FZ260" i="23916"/>
  <c r="FY260" i="23916"/>
  <c r="FX260" i="23916"/>
  <c r="FX272" i="23916" s="1"/>
  <c r="FY272" i="23916" s="1"/>
  <c r="FW260" i="23916"/>
  <c r="FV260" i="23916"/>
  <c r="FU260" i="23916"/>
  <c r="FT260" i="23916"/>
  <c r="FS260" i="23916"/>
  <c r="GI259" i="23916"/>
  <c r="GH259" i="23916"/>
  <c r="GH270" i="23916" s="1"/>
  <c r="GG259" i="23916"/>
  <c r="GF259" i="23916"/>
  <c r="GF270" i="23916" s="1"/>
  <c r="GG270" i="23916" s="1"/>
  <c r="GE259" i="23916"/>
  <c r="GD259" i="23916"/>
  <c r="GD270" i="23916" s="1"/>
  <c r="GC259" i="23916"/>
  <c r="GB259" i="23916"/>
  <c r="GB270" i="23916" s="1"/>
  <c r="GC270" i="23916" s="1"/>
  <c r="GA259" i="23916"/>
  <c r="FZ259" i="23916"/>
  <c r="FZ270" i="23916" s="1"/>
  <c r="FY259" i="23916"/>
  <c r="FX259" i="23916"/>
  <c r="FX270" i="23916" s="1"/>
  <c r="FY270" i="23916" s="1"/>
  <c r="FW259" i="23916"/>
  <c r="FV259" i="23916"/>
  <c r="FV270" i="23916" s="1"/>
  <c r="FU259" i="23916"/>
  <c r="FT259" i="23916"/>
  <c r="FP260" i="23916"/>
  <c r="FN260" i="23916"/>
  <c r="FL260" i="23916"/>
  <c r="FM260" i="23916" s="1"/>
  <c r="FJ260" i="23916"/>
  <c r="FH260" i="23916"/>
  <c r="FF260" i="23916"/>
  <c r="FF264" i="23916" s="1"/>
  <c r="FD260" i="23916"/>
  <c r="FE260" i="23916" s="1"/>
  <c r="FP259" i="23916"/>
  <c r="FN259" i="23916"/>
  <c r="FN270" i="23916" s="1"/>
  <c r="FL259" i="23916"/>
  <c r="FH259" i="23916"/>
  <c r="FF259" i="23916"/>
  <c r="FF270" i="23916" s="1"/>
  <c r="FD259" i="23916"/>
  <c r="BC259" i="23916"/>
  <c r="BC270" i="23916" s="1"/>
  <c r="AW259" i="23916"/>
  <c r="AW264" i="23916" s="1"/>
  <c r="AS259" i="23916"/>
  <c r="AS264" i="23916" s="1"/>
  <c r="AO259" i="23916"/>
  <c r="AX259" i="23916" s="1"/>
  <c r="EJ256" i="23916"/>
  <c r="EI256" i="23916"/>
  <c r="EH256" i="23916"/>
  <c r="EG256" i="23916"/>
  <c r="EF256" i="23916"/>
  <c r="EE256" i="23916"/>
  <c r="ED256" i="23916"/>
  <c r="EC256" i="23916"/>
  <c r="EB256" i="23916"/>
  <c r="EA256" i="23916"/>
  <c r="DZ256" i="23916"/>
  <c r="DY256" i="23916"/>
  <c r="DX256" i="23916"/>
  <c r="DW256" i="23916"/>
  <c r="DV256" i="23916"/>
  <c r="DU256" i="23916"/>
  <c r="DT256" i="23916"/>
  <c r="DS256" i="23916"/>
  <c r="DR256" i="23916"/>
  <c r="DQ256" i="23916"/>
  <c r="DP256" i="23916"/>
  <c r="DO256" i="23916"/>
  <c r="DN256" i="23916"/>
  <c r="DM256" i="23916"/>
  <c r="DL256" i="23916"/>
  <c r="DK256" i="23916"/>
  <c r="DJ256" i="23916"/>
  <c r="DI256" i="23916"/>
  <c r="DH256" i="23916"/>
  <c r="DG256" i="23916"/>
  <c r="DF256" i="23916"/>
  <c r="DE256" i="23916"/>
  <c r="DD256" i="23916"/>
  <c r="DC256" i="23916"/>
  <c r="DB256" i="23916"/>
  <c r="DA256" i="23916"/>
  <c r="CZ256" i="23916"/>
  <c r="CY256" i="23916"/>
  <c r="CX256" i="23916"/>
  <c r="CW256" i="23916"/>
  <c r="CV256" i="23916"/>
  <c r="CU256" i="23916"/>
  <c r="CT256" i="23916"/>
  <c r="CS256" i="23916"/>
  <c r="CR256" i="23916"/>
  <c r="CQ256" i="23916"/>
  <c r="CP256" i="23916"/>
  <c r="CO256" i="23916"/>
  <c r="CN256" i="23916"/>
  <c r="CM256" i="23916"/>
  <c r="CL256" i="23916"/>
  <c r="CK256" i="23916"/>
  <c r="CJ256" i="23916"/>
  <c r="CI256" i="23916"/>
  <c r="CG256" i="23916"/>
  <c r="CF256" i="23916"/>
  <c r="CE256" i="23916"/>
  <c r="CD256" i="23916"/>
  <c r="CC256" i="23916"/>
  <c r="CB256" i="23916"/>
  <c r="CA256" i="23916"/>
  <c r="BX256" i="23916"/>
  <c r="BW256" i="23916"/>
  <c r="BU256" i="23916"/>
  <c r="BS256" i="23916"/>
  <c r="BQ256" i="23916"/>
  <c r="BO256" i="23916"/>
  <c r="BF256" i="23916"/>
  <c r="BE256" i="23916"/>
  <c r="BE276" i="23916" s="1"/>
  <c r="BD256" i="23916"/>
  <c r="BC256" i="23916"/>
  <c r="BB256" i="23916"/>
  <c r="BA256" i="23916"/>
  <c r="BA276" i="23916" s="1"/>
  <c r="AZ256" i="23916"/>
  <c r="AY256" i="23916"/>
  <c r="AW256" i="23916"/>
  <c r="AV256" i="23916"/>
  <c r="AU256" i="23916"/>
  <c r="AT256" i="23916"/>
  <c r="AS256" i="23916"/>
  <c r="AS276" i="23916" s="1"/>
  <c r="AR256" i="23916"/>
  <c r="AQ256" i="23916"/>
  <c r="AN256" i="23916"/>
  <c r="AM256" i="23916"/>
  <c r="AL256" i="23916"/>
  <c r="AK256" i="23916"/>
  <c r="AK276" i="23916" s="1"/>
  <c r="AJ256" i="23916"/>
  <c r="AI256" i="23916"/>
  <c r="AH256" i="23916"/>
  <c r="AG256" i="23916"/>
  <c r="AG276" i="23916" s="1"/>
  <c r="AF256" i="23916"/>
  <c r="AE256" i="23916"/>
  <c r="AD256" i="23916"/>
  <c r="AC256" i="23916"/>
  <c r="AC276" i="23916" s="1"/>
  <c r="AB256" i="23916"/>
  <c r="AA256" i="23916"/>
  <c r="Z256" i="23916"/>
  <c r="Y256" i="23916"/>
  <c r="Y276" i="23916" s="1"/>
  <c r="X256" i="23916"/>
  <c r="W256" i="23916"/>
  <c r="V256" i="23916"/>
  <c r="U256" i="23916"/>
  <c r="U276" i="23916" s="1"/>
  <c r="T256" i="23916"/>
  <c r="S256" i="23916"/>
  <c r="R256" i="23916"/>
  <c r="Q256" i="23916"/>
  <c r="Q276" i="23916" s="1"/>
  <c r="P256" i="23916"/>
  <c r="O256" i="23916"/>
  <c r="N256" i="23916"/>
  <c r="M256" i="23916"/>
  <c r="M276" i="23916" s="1"/>
  <c r="GK255" i="23916"/>
  <c r="GJ255" i="23916"/>
  <c r="GL255" i="23916" s="1"/>
  <c r="GI255" i="23916"/>
  <c r="GH255" i="23916"/>
  <c r="GG255" i="23916"/>
  <c r="GF255" i="23916"/>
  <c r="GE255" i="23916"/>
  <c r="GD255" i="23916"/>
  <c r="GC255" i="23916"/>
  <c r="GB255" i="23916"/>
  <c r="FZ255" i="23916"/>
  <c r="FX255" i="23916"/>
  <c r="GA255" i="23916" s="1"/>
  <c r="FX254" i="23916"/>
  <c r="FV255" i="23916"/>
  <c r="FV254" i="23916"/>
  <c r="FV253" i="23916"/>
  <c r="FV252" i="23916"/>
  <c r="FV256" i="23916" s="1"/>
  <c r="FT255" i="23916"/>
  <c r="FT254" i="23916"/>
  <c r="FT253" i="23916"/>
  <c r="FR255" i="23916"/>
  <c r="FR256" i="23916" s="1"/>
  <c r="FR276" i="23916" s="1"/>
  <c r="FP255" i="23916"/>
  <c r="FP254" i="23916"/>
  <c r="FP252" i="23916"/>
  <c r="EQ255" i="23916"/>
  <c r="EO255" i="23916"/>
  <c r="EM255" i="23916"/>
  <c r="EM254" i="23916"/>
  <c r="EN254" i="23916" s="1"/>
  <c r="EK255" i="23916"/>
  <c r="EK254" i="23916"/>
  <c r="EK253" i="23916"/>
  <c r="EM253" i="23916" s="1"/>
  <c r="EK252" i="23916"/>
  <c r="EK256" i="23916" s="1"/>
  <c r="EA255" i="23916"/>
  <c r="FW254" i="23916"/>
  <c r="FU254" i="23916"/>
  <c r="FU253" i="23916"/>
  <c r="FS252" i="23916"/>
  <c r="EL253" i="23916"/>
  <c r="EJ254" i="23916"/>
  <c r="EJ253" i="23916"/>
  <c r="EJ252" i="23916"/>
  <c r="EH254" i="23916"/>
  <c r="EH253" i="23916"/>
  <c r="EH252" i="23916"/>
  <c r="EF254" i="23916"/>
  <c r="EF253" i="23916"/>
  <c r="EF252" i="23916"/>
  <c r="ED254" i="23916"/>
  <c r="ED253" i="23916"/>
  <c r="ED252" i="23916"/>
  <c r="EB254" i="23916"/>
  <c r="EB253" i="23916"/>
  <c r="EB252" i="23916"/>
  <c r="DZ254" i="23916"/>
  <c r="DZ253" i="23916"/>
  <c r="DZ252" i="23916"/>
  <c r="DX254" i="23916"/>
  <c r="DX253" i="23916"/>
  <c r="DX252" i="23916"/>
  <c r="DV254" i="23916"/>
  <c r="DV253" i="23916"/>
  <c r="DV252" i="23916"/>
  <c r="DT254" i="23916"/>
  <c r="DT253" i="23916"/>
  <c r="DT252" i="23916"/>
  <c r="DR254" i="23916"/>
  <c r="DR253" i="23916"/>
  <c r="DR252" i="23916"/>
  <c r="DP254" i="23916"/>
  <c r="DP253" i="23916"/>
  <c r="DP252" i="23916"/>
  <c r="DN254" i="23916"/>
  <c r="DN253" i="23916"/>
  <c r="DN252" i="23916"/>
  <c r="DL254" i="23916"/>
  <c r="DL253" i="23916"/>
  <c r="DL252" i="23916"/>
  <c r="DJ254" i="23916"/>
  <c r="DJ253" i="23916"/>
  <c r="DJ252" i="23916"/>
  <c r="DH254" i="23916"/>
  <c r="DH253" i="23916"/>
  <c r="DH252" i="23916"/>
  <c r="DF254" i="23916"/>
  <c r="DF253" i="23916"/>
  <c r="DF252" i="23916"/>
  <c r="DD254" i="23916"/>
  <c r="DD253" i="23916"/>
  <c r="DD252" i="23916"/>
  <c r="DB254" i="23916"/>
  <c r="DB253" i="23916"/>
  <c r="DB252" i="23916"/>
  <c r="CZ254" i="23916"/>
  <c r="CZ253" i="23916"/>
  <c r="CZ252" i="23916"/>
  <c r="CX254" i="23916"/>
  <c r="CX253" i="23916"/>
  <c r="CX252" i="23916"/>
  <c r="CV254" i="23916"/>
  <c r="CV253" i="23916"/>
  <c r="CV252" i="23916"/>
  <c r="CT254" i="23916"/>
  <c r="CT253" i="23916"/>
  <c r="CT252" i="23916"/>
  <c r="CR254" i="23916"/>
  <c r="CR253" i="23916"/>
  <c r="CR252" i="23916"/>
  <c r="CP254" i="23916"/>
  <c r="CP253" i="23916"/>
  <c r="CP252" i="23916"/>
  <c r="CN254" i="23916"/>
  <c r="CN253" i="23916"/>
  <c r="CN252" i="23916"/>
  <c r="CL254" i="23916"/>
  <c r="CL253" i="23916"/>
  <c r="CL252" i="23916"/>
  <c r="CJ254" i="23916"/>
  <c r="CJ253" i="23916"/>
  <c r="CJ252" i="23916"/>
  <c r="CH254" i="23916"/>
  <c r="CH253" i="23916"/>
  <c r="CF254" i="23916"/>
  <c r="CF253" i="23916"/>
  <c r="CF252" i="23916"/>
  <c r="CD254" i="23916"/>
  <c r="CD253" i="23916"/>
  <c r="CD252" i="23916"/>
  <c r="CB254" i="23916"/>
  <c r="CB253" i="23916"/>
  <c r="CB252" i="23916"/>
  <c r="BZ254" i="23916"/>
  <c r="BZ253" i="23916"/>
  <c r="BX254" i="23916"/>
  <c r="BX253" i="23916"/>
  <c r="BX252" i="23916"/>
  <c r="BV252" i="23916"/>
  <c r="BT254" i="23916"/>
  <c r="BT252" i="23916"/>
  <c r="BR254" i="23916"/>
  <c r="BR253" i="23916"/>
  <c r="BR252" i="23916"/>
  <c r="BP254" i="23916"/>
  <c r="BP252" i="23916"/>
  <c r="BJ254" i="23916"/>
  <c r="BJ253" i="23916"/>
  <c r="BJ252" i="23916"/>
  <c r="BH254" i="23916"/>
  <c r="BG254" i="23916"/>
  <c r="BF254" i="23916"/>
  <c r="BD254" i="23916"/>
  <c r="BD253" i="23916"/>
  <c r="BD252" i="23916"/>
  <c r="BB254" i="23916"/>
  <c r="BB253" i="23916"/>
  <c r="BB252" i="23916"/>
  <c r="AZ254" i="23916"/>
  <c r="AZ253" i="23916"/>
  <c r="AZ252" i="23916"/>
  <c r="AX254" i="23916"/>
  <c r="AX253" i="23916"/>
  <c r="AX252" i="23916"/>
  <c r="AV254" i="23916"/>
  <c r="AV253" i="23916"/>
  <c r="AV252" i="23916"/>
  <c r="AT254" i="23916"/>
  <c r="AT253" i="23916"/>
  <c r="AT252" i="23916"/>
  <c r="AR254" i="23916"/>
  <c r="AR253" i="23916"/>
  <c r="AR252" i="23916"/>
  <c r="AP254" i="23916"/>
  <c r="AO254" i="23916"/>
  <c r="AO256" i="23916" s="1"/>
  <c r="AN254" i="23916"/>
  <c r="AL254" i="23916"/>
  <c r="AL253" i="23916"/>
  <c r="AL252" i="23916"/>
  <c r="AJ254" i="23916"/>
  <c r="AJ253" i="23916"/>
  <c r="AJ252" i="23916"/>
  <c r="AH254" i="23916"/>
  <c r="AH253" i="23916"/>
  <c r="AH252" i="23916"/>
  <c r="AF254" i="23916"/>
  <c r="AF253" i="23916"/>
  <c r="AF252" i="23916"/>
  <c r="AD254" i="23916"/>
  <c r="AD253" i="23916"/>
  <c r="AD252" i="23916"/>
  <c r="AB254" i="23916"/>
  <c r="AB253" i="23916"/>
  <c r="AB252" i="23916"/>
  <c r="Z254" i="23916"/>
  <c r="Z253" i="23916"/>
  <c r="Z252" i="23916"/>
  <c r="X254" i="23916"/>
  <c r="X253" i="23916"/>
  <c r="X252" i="23916"/>
  <c r="V254" i="23916"/>
  <c r="V253" i="23916"/>
  <c r="V252" i="23916"/>
  <c r="T254" i="23916"/>
  <c r="T253" i="23916"/>
  <c r="T252" i="23916"/>
  <c r="R254" i="23916"/>
  <c r="R253" i="23916"/>
  <c r="R252" i="23916"/>
  <c r="P254" i="23916"/>
  <c r="P253" i="23916"/>
  <c r="P252" i="23916"/>
  <c r="N254" i="23916"/>
  <c r="N253" i="23916"/>
  <c r="N252" i="23916"/>
  <c r="BN254" i="23916"/>
  <c r="BM254" i="23916"/>
  <c r="BV254" i="23916" s="1"/>
  <c r="BL254" i="23916"/>
  <c r="BM253" i="23916"/>
  <c r="BK253" i="23916"/>
  <c r="BT253" i="23916" s="1"/>
  <c r="BI253" i="23916"/>
  <c r="BI256" i="23916" s="1"/>
  <c r="BH253" i="23916"/>
  <c r="BG253" i="23916"/>
  <c r="BG256" i="23916" s="1"/>
  <c r="BG276" i="23916" s="1"/>
  <c r="BF253" i="23916"/>
  <c r="AP253" i="23916"/>
  <c r="AP252" i="23916"/>
  <c r="AN253" i="23916"/>
  <c r="AN252" i="23916"/>
  <c r="GI254" i="23916"/>
  <c r="GH254" i="23916"/>
  <c r="GG254" i="23916"/>
  <c r="GF254" i="23916"/>
  <c r="GE254" i="23916"/>
  <c r="GD254" i="23916"/>
  <c r="GC254" i="23916"/>
  <c r="GB254" i="23916"/>
  <c r="GA254" i="23916"/>
  <c r="FZ254" i="23916"/>
  <c r="FY254" i="23916"/>
  <c r="GI253" i="23916"/>
  <c r="GH253" i="23916"/>
  <c r="GG253" i="23916"/>
  <c r="GF253" i="23916"/>
  <c r="GE253" i="23916"/>
  <c r="GD253" i="23916"/>
  <c r="GC253" i="23916"/>
  <c r="GB253" i="23916"/>
  <c r="GA253" i="23916"/>
  <c r="FZ253" i="23916"/>
  <c r="GI252" i="23916"/>
  <c r="GH252" i="23916"/>
  <c r="GH256" i="23916" s="1"/>
  <c r="GG252" i="23916"/>
  <c r="GF252" i="23916"/>
  <c r="GF256" i="23916" s="1"/>
  <c r="GE252" i="23916"/>
  <c r="GD252" i="23916"/>
  <c r="GD256" i="23916" s="1"/>
  <c r="GC252" i="23916"/>
  <c r="GB252" i="23916"/>
  <c r="GB256" i="23916" s="1"/>
  <c r="GA252" i="23916"/>
  <c r="FZ252" i="23916"/>
  <c r="FZ256" i="23916" s="1"/>
  <c r="FY252" i="23916"/>
  <c r="FX252" i="23916"/>
  <c r="FX256" i="23916" s="1"/>
  <c r="FO254" i="23916"/>
  <c r="FN254" i="23916"/>
  <c r="FM254" i="23916"/>
  <c r="FL254" i="23916"/>
  <c r="FK254" i="23916"/>
  <c r="FJ254" i="23916"/>
  <c r="FI254" i="23916"/>
  <c r="FH254" i="23916"/>
  <c r="FG254" i="23916"/>
  <c r="FF254" i="23916"/>
  <c r="FE254" i="23916"/>
  <c r="FD254" i="23916"/>
  <c r="FO253" i="23916"/>
  <c r="FN253" i="23916"/>
  <c r="FM253" i="23916"/>
  <c r="FL253" i="23916"/>
  <c r="FK253" i="23916"/>
  <c r="FJ253" i="23916"/>
  <c r="FI253" i="23916"/>
  <c r="FH253" i="23916"/>
  <c r="FG253" i="23916"/>
  <c r="FF253" i="23916"/>
  <c r="FE253" i="23916"/>
  <c r="FD253" i="23916"/>
  <c r="FO252" i="23916"/>
  <c r="FN252" i="23916"/>
  <c r="FN256" i="23916" s="1"/>
  <c r="FM252" i="23916"/>
  <c r="FL252" i="23916"/>
  <c r="FL256" i="23916" s="1"/>
  <c r="FK252" i="23916"/>
  <c r="FJ252" i="23916"/>
  <c r="FJ256" i="23916" s="1"/>
  <c r="FI252" i="23916"/>
  <c r="FH252" i="23916"/>
  <c r="FH256" i="23916" s="1"/>
  <c r="FG252" i="23916"/>
  <c r="FF252" i="23916"/>
  <c r="FF256" i="23916" s="1"/>
  <c r="FE252" i="23916"/>
  <c r="FD252" i="23916"/>
  <c r="FD256" i="23916" s="1"/>
  <c r="BY252" i="23916"/>
  <c r="BY256" i="23916" s="1"/>
  <c r="BN252" i="23916"/>
  <c r="BL252" i="23916"/>
  <c r="BH252" i="23916"/>
  <c r="BF252" i="23916"/>
  <c r="GS247" i="23916"/>
  <c r="GQ247" i="23916"/>
  <c r="GO247" i="23916"/>
  <c r="GM247" i="23916"/>
  <c r="GI247" i="23916"/>
  <c r="GH247" i="23916"/>
  <c r="GK247" i="23916" s="1"/>
  <c r="GG247" i="23916"/>
  <c r="GF247" i="23916"/>
  <c r="GE247" i="23916"/>
  <c r="GD247" i="23916"/>
  <c r="GC247" i="23916"/>
  <c r="GB247" i="23916"/>
  <c r="GA247" i="23916"/>
  <c r="FZ247" i="23916"/>
  <c r="FY247" i="23916"/>
  <c r="FX247" i="23916"/>
  <c r="FW247" i="23916"/>
  <c r="FV247" i="23916"/>
  <c r="FU247" i="23916"/>
  <c r="FT247" i="23916"/>
  <c r="FS247" i="23916"/>
  <c r="FR247" i="23916"/>
  <c r="FQ247" i="23916"/>
  <c r="FO247" i="23916"/>
  <c r="FM247" i="23916"/>
  <c r="FK247" i="23916"/>
  <c r="FI247" i="23916"/>
  <c r="FH247" i="23916"/>
  <c r="FG247" i="23916"/>
  <c r="FF247" i="23916"/>
  <c r="FE247" i="23916"/>
  <c r="FD247" i="23916"/>
  <c r="FC247" i="23916"/>
  <c r="FB247" i="23916"/>
  <c r="ER247" i="23916"/>
  <c r="EP247" i="23916"/>
  <c r="EN247" i="23916"/>
  <c r="EL247" i="23916"/>
  <c r="EJ247" i="23916"/>
  <c r="EH247" i="23916"/>
  <c r="EF247" i="23916"/>
  <c r="ED247" i="23916"/>
  <c r="EB247" i="23916"/>
  <c r="DZ247" i="23916"/>
  <c r="DX247" i="23916"/>
  <c r="DV247" i="23916"/>
  <c r="DT247" i="23916"/>
  <c r="DR247" i="23916"/>
  <c r="DP247" i="23916"/>
  <c r="DN247" i="23916"/>
  <c r="DL247" i="23916"/>
  <c r="DJ247" i="23916"/>
  <c r="DH247" i="23916"/>
  <c r="DF247" i="23916"/>
  <c r="DD247" i="23916"/>
  <c r="DB247" i="23916"/>
  <c r="CZ247" i="23916"/>
  <c r="CX247" i="23916"/>
  <c r="CV247" i="23916"/>
  <c r="CT247" i="23916"/>
  <c r="CR247" i="23916"/>
  <c r="CP247" i="23916"/>
  <c r="CN247" i="23916"/>
  <c r="CH247" i="23916"/>
  <c r="CF247" i="23916"/>
  <c r="CD247" i="23916"/>
  <c r="CB247" i="23916"/>
  <c r="BT247" i="23916"/>
  <c r="BR247" i="23916"/>
  <c r="BP247" i="23916"/>
  <c r="BN247" i="23916"/>
  <c r="BL247" i="23916"/>
  <c r="BJ247" i="23916"/>
  <c r="BF247" i="23916"/>
  <c r="BD247" i="23916"/>
  <c r="BB247" i="23916"/>
  <c r="AZ247" i="23916"/>
  <c r="AX247" i="23916"/>
  <c r="AV247" i="23916"/>
  <c r="AT247" i="23916"/>
  <c r="AR247" i="23916"/>
  <c r="AP247" i="23916"/>
  <c r="AN247" i="23916"/>
  <c r="AL247" i="23916"/>
  <c r="AJ247" i="23916"/>
  <c r="AH247" i="23916"/>
  <c r="AF247" i="23916"/>
  <c r="AD247" i="23916"/>
  <c r="AB247" i="23916"/>
  <c r="Z247" i="23916"/>
  <c r="X247" i="23916"/>
  <c r="V247" i="23916"/>
  <c r="T247" i="23916"/>
  <c r="R247" i="23916"/>
  <c r="P247" i="23916"/>
  <c r="N247" i="23916"/>
  <c r="ER242" i="23916"/>
  <c r="EP242" i="23916"/>
  <c r="EN242" i="23916"/>
  <c r="EL242" i="23916"/>
  <c r="EJ242" i="23916"/>
  <c r="EH242" i="23916"/>
  <c r="EF242" i="23916"/>
  <c r="ED242" i="23916"/>
  <c r="EB242" i="23916"/>
  <c r="DZ242" i="23916"/>
  <c r="DX242" i="23916"/>
  <c r="DV242" i="23916"/>
  <c r="DT242" i="23916"/>
  <c r="DR242" i="23916"/>
  <c r="DP242" i="23916"/>
  <c r="DN242" i="23916"/>
  <c r="DL242" i="23916"/>
  <c r="DJ242" i="23916"/>
  <c r="DH242" i="23916"/>
  <c r="DF242" i="23916"/>
  <c r="DD242" i="23916"/>
  <c r="DB242" i="23916"/>
  <c r="CZ242" i="23916"/>
  <c r="CX242" i="23916"/>
  <c r="CV242" i="23916"/>
  <c r="CT242" i="23916"/>
  <c r="CR242" i="23916"/>
  <c r="CP242" i="23916"/>
  <c r="CN242" i="23916"/>
  <c r="CL242" i="23916"/>
  <c r="CJ242" i="23916"/>
  <c r="CH242" i="23916"/>
  <c r="CF242" i="23916"/>
  <c r="CD242" i="23916"/>
  <c r="CB242" i="23916"/>
  <c r="BZ242" i="23916"/>
  <c r="BX242" i="23916"/>
  <c r="BV242" i="23916"/>
  <c r="BT242" i="23916"/>
  <c r="BR242" i="23916"/>
  <c r="BP242" i="23916"/>
  <c r="BN242" i="23916"/>
  <c r="BL242" i="23916"/>
  <c r="BJ242" i="23916"/>
  <c r="BH242" i="23916"/>
  <c r="BF242" i="23916"/>
  <c r="BD242" i="23916"/>
  <c r="BB242" i="23916"/>
  <c r="AZ242" i="23916"/>
  <c r="AX242" i="23916"/>
  <c r="AV242" i="23916"/>
  <c r="AT242" i="23916"/>
  <c r="AR242" i="23916"/>
  <c r="AP242" i="23916"/>
  <c r="AN242" i="23916"/>
  <c r="AL242" i="23916"/>
  <c r="AJ242" i="23916"/>
  <c r="AH242" i="23916"/>
  <c r="AF242" i="23916"/>
  <c r="AD242" i="23916"/>
  <c r="AB242" i="23916"/>
  <c r="Z242" i="23916"/>
  <c r="X242" i="23916"/>
  <c r="V242" i="23916"/>
  <c r="T242" i="23916"/>
  <c r="R242" i="23916"/>
  <c r="P242" i="23916"/>
  <c r="N242" i="23916"/>
  <c r="GS242" i="23916"/>
  <c r="GQ242" i="23916"/>
  <c r="GO242" i="23916"/>
  <c r="GM242" i="23916"/>
  <c r="GK242" i="23916"/>
  <c r="GJ242" i="23916"/>
  <c r="GI242" i="23916"/>
  <c r="GH242" i="23916"/>
  <c r="GT242" i="23916" s="1"/>
  <c r="GG242" i="23916"/>
  <c r="GF242" i="23916"/>
  <c r="GE242" i="23916"/>
  <c r="GD242" i="23916"/>
  <c r="GC242" i="23916"/>
  <c r="GB242" i="23916"/>
  <c r="GA242" i="23916"/>
  <c r="FZ242" i="23916"/>
  <c r="FY242" i="23916"/>
  <c r="FX242" i="23916"/>
  <c r="FW242" i="23916"/>
  <c r="FV242" i="23916"/>
  <c r="FU242" i="23916"/>
  <c r="FT242" i="23916"/>
  <c r="FS242" i="23916"/>
  <c r="FR242" i="23916"/>
  <c r="FQ242" i="23916"/>
  <c r="FP242" i="23916"/>
  <c r="FO242" i="23916"/>
  <c r="FN242" i="23916"/>
  <c r="FM242" i="23916"/>
  <c r="FL242" i="23916"/>
  <c r="FK242" i="23916"/>
  <c r="FJ242" i="23916"/>
  <c r="FI242" i="23916"/>
  <c r="FH242" i="23916"/>
  <c r="FG242" i="23916"/>
  <c r="FF242" i="23916"/>
  <c r="FE242" i="23916"/>
  <c r="FD242" i="23916"/>
  <c r="GJ238" i="23916"/>
  <c r="GH238" i="23916"/>
  <c r="GF238" i="23916"/>
  <c r="GD238" i="23916"/>
  <c r="GB238" i="23916"/>
  <c r="FZ238" i="23916"/>
  <c r="K235" i="23916"/>
  <c r="I236" i="23916"/>
  <c r="I235" i="23916"/>
  <c r="G235" i="23916"/>
  <c r="E235" i="23916"/>
  <c r="EM236" i="23916"/>
  <c r="EO236" i="23916" s="1"/>
  <c r="EI235" i="23916"/>
  <c r="EG235" i="23916"/>
  <c r="EH235" i="23916" s="1"/>
  <c r="EE235" i="23916"/>
  <c r="EC235" i="23916"/>
  <c r="ED235" i="23916" s="1"/>
  <c r="EA235" i="23916"/>
  <c r="DY235" i="23916"/>
  <c r="DZ235" i="23916" s="1"/>
  <c r="DW235" i="23916"/>
  <c r="DU235" i="23916"/>
  <c r="DV235" i="23916" s="1"/>
  <c r="DS235" i="23916"/>
  <c r="DQ235" i="23916"/>
  <c r="DR235" i="23916" s="1"/>
  <c r="DO235" i="23916"/>
  <c r="DM235" i="23916"/>
  <c r="DN235" i="23916" s="1"/>
  <c r="DK235" i="23916"/>
  <c r="DI235" i="23916"/>
  <c r="DJ235" i="23916" s="1"/>
  <c r="DG235" i="23916"/>
  <c r="DE235" i="23916"/>
  <c r="DF235" i="23916" s="1"/>
  <c r="DC235" i="23916"/>
  <c r="DA235" i="23916"/>
  <c r="DB235" i="23916" s="1"/>
  <c r="CY235" i="23916"/>
  <c r="CW235" i="23916"/>
  <c r="CX235" i="23916" s="1"/>
  <c r="CU235" i="23916"/>
  <c r="CS235" i="23916"/>
  <c r="CT235" i="23916" s="1"/>
  <c r="CQ235" i="23916"/>
  <c r="CO235" i="23916"/>
  <c r="CP235" i="23916" s="1"/>
  <c r="CM235" i="23916"/>
  <c r="CK235" i="23916"/>
  <c r="CL235" i="23916" s="1"/>
  <c r="CI235" i="23916"/>
  <c r="CG235" i="23916"/>
  <c r="CH235" i="23916" s="1"/>
  <c r="CE235" i="23916"/>
  <c r="CC235" i="23916"/>
  <c r="CD235" i="23916" s="1"/>
  <c r="CA235" i="23916"/>
  <c r="BY235" i="23916"/>
  <c r="BZ235" i="23916" s="1"/>
  <c r="BW235" i="23916"/>
  <c r="BU235" i="23916"/>
  <c r="BV235" i="23916" s="1"/>
  <c r="BS235" i="23916"/>
  <c r="BQ235" i="23916"/>
  <c r="BR235" i="23916" s="1"/>
  <c r="BO235" i="23916"/>
  <c r="BM235" i="23916"/>
  <c r="BN235" i="23916" s="1"/>
  <c r="BK235" i="23916"/>
  <c r="BI235" i="23916"/>
  <c r="BJ235" i="23916" s="1"/>
  <c r="BG235" i="23916"/>
  <c r="BE235" i="23916"/>
  <c r="BF235" i="23916" s="1"/>
  <c r="BC235" i="23916"/>
  <c r="BA235" i="23916"/>
  <c r="BB235" i="23916" s="1"/>
  <c r="AY235" i="23916"/>
  <c r="AW235" i="23916"/>
  <c r="AX235" i="23916" s="1"/>
  <c r="AU235" i="23916"/>
  <c r="AS235" i="23916"/>
  <c r="AT235" i="23916" s="1"/>
  <c r="AQ235" i="23916"/>
  <c r="AO235" i="23916"/>
  <c r="AP235" i="23916" s="1"/>
  <c r="AM235" i="23916"/>
  <c r="AK235" i="23916"/>
  <c r="AL235" i="23916" s="1"/>
  <c r="AI235" i="23916"/>
  <c r="AG235" i="23916"/>
  <c r="AH235" i="23916" s="1"/>
  <c r="AE235" i="23916"/>
  <c r="AC235" i="23916"/>
  <c r="AD235" i="23916" s="1"/>
  <c r="AA235" i="23916"/>
  <c r="Y235" i="23916"/>
  <c r="Z235" i="23916" s="1"/>
  <c r="W235" i="23916"/>
  <c r="U235" i="23916"/>
  <c r="V235" i="23916" s="1"/>
  <c r="S235" i="23916"/>
  <c r="T235" i="23916" s="1"/>
  <c r="Q235" i="23916"/>
  <c r="R235" i="23916" s="1"/>
  <c r="O235" i="23916"/>
  <c r="P235" i="23916" s="1"/>
  <c r="M235" i="23916"/>
  <c r="N235" i="23916" s="1"/>
  <c r="EM233" i="23916"/>
  <c r="EK234" i="23916"/>
  <c r="EI233" i="23916"/>
  <c r="EG233" i="23916"/>
  <c r="EG625" i="23916" s="1"/>
  <c r="EE233" i="23916"/>
  <c r="EC233" i="23916"/>
  <c r="EC625" i="23916" s="1"/>
  <c r="EA233" i="23916"/>
  <c r="DY233" i="23916"/>
  <c r="DZ233" i="23916" s="1"/>
  <c r="DW233" i="23916"/>
  <c r="DU233" i="23916"/>
  <c r="DV233" i="23916" s="1"/>
  <c r="DS233" i="23916"/>
  <c r="DQ233" i="23916"/>
  <c r="DR233" i="23916" s="1"/>
  <c r="DO233" i="23916"/>
  <c r="DM233" i="23916"/>
  <c r="DN233" i="23916" s="1"/>
  <c r="DK233" i="23916"/>
  <c r="DI233" i="23916"/>
  <c r="DJ233" i="23916" s="1"/>
  <c r="DG233" i="23916"/>
  <c r="DE233" i="23916"/>
  <c r="DF233" i="23916" s="1"/>
  <c r="DC233" i="23916"/>
  <c r="DA233" i="23916"/>
  <c r="DB233" i="23916" s="1"/>
  <c r="CY233" i="23916"/>
  <c r="CW233" i="23916"/>
  <c r="CX233" i="23916" s="1"/>
  <c r="CU233" i="23916"/>
  <c r="CS233" i="23916"/>
  <c r="CT233" i="23916" s="1"/>
  <c r="CQ233" i="23916"/>
  <c r="CO233" i="23916"/>
  <c r="CP233" i="23916" s="1"/>
  <c r="CM233" i="23916"/>
  <c r="CK233" i="23916"/>
  <c r="CL233" i="23916" s="1"/>
  <c r="CI233" i="23916"/>
  <c r="CG233" i="23916"/>
  <c r="CH233" i="23916" s="1"/>
  <c r="CE233" i="23916"/>
  <c r="CC233" i="23916"/>
  <c r="CD233" i="23916" s="1"/>
  <c r="CA233" i="23916"/>
  <c r="BY233" i="23916"/>
  <c r="BZ233" i="23916" s="1"/>
  <c r="BW233" i="23916"/>
  <c r="BU233" i="23916"/>
  <c r="BV233" i="23916" s="1"/>
  <c r="BS233" i="23916"/>
  <c r="BQ233" i="23916"/>
  <c r="BR233" i="23916" s="1"/>
  <c r="BO233" i="23916"/>
  <c r="BM233" i="23916"/>
  <c r="BN233" i="23916" s="1"/>
  <c r="BK233" i="23916"/>
  <c r="BI233" i="23916"/>
  <c r="BJ233" i="23916" s="1"/>
  <c r="BG233" i="23916"/>
  <c r="BE233" i="23916"/>
  <c r="BF233" i="23916" s="1"/>
  <c r="BC233" i="23916"/>
  <c r="BA233" i="23916"/>
  <c r="BB233" i="23916" s="1"/>
  <c r="AY233" i="23916"/>
  <c r="AW233" i="23916"/>
  <c r="AX233" i="23916" s="1"/>
  <c r="AU233" i="23916"/>
  <c r="AS233" i="23916"/>
  <c r="AT233" i="23916" s="1"/>
  <c r="AQ233" i="23916"/>
  <c r="AO233" i="23916"/>
  <c r="AP233" i="23916" s="1"/>
  <c r="AM233" i="23916"/>
  <c r="AK233" i="23916"/>
  <c r="AL233" i="23916" s="1"/>
  <c r="AI233" i="23916"/>
  <c r="AG233" i="23916"/>
  <c r="AH233" i="23916" s="1"/>
  <c r="AE233" i="23916"/>
  <c r="AC233" i="23916"/>
  <c r="AD233" i="23916" s="1"/>
  <c r="AA233" i="23916"/>
  <c r="Y233" i="23916"/>
  <c r="Z233" i="23916" s="1"/>
  <c r="W233" i="23916"/>
  <c r="U233" i="23916"/>
  <c r="V233" i="23916" s="1"/>
  <c r="S233" i="23916"/>
  <c r="T233" i="23916" s="1"/>
  <c r="Q233" i="23916"/>
  <c r="O233" i="23916"/>
  <c r="P233" i="23916" s="1"/>
  <c r="M233" i="23916"/>
  <c r="N233" i="23916" s="1"/>
  <c r="K233" i="23916"/>
  <c r="I233" i="23916"/>
  <c r="G233" i="23916"/>
  <c r="E233" i="23916"/>
  <c r="DX231" i="23916"/>
  <c r="DH231" i="23916"/>
  <c r="CR231" i="23916"/>
  <c r="CB231" i="23916"/>
  <c r="BL231" i="23916"/>
  <c r="AV231" i="23916"/>
  <c r="AF231" i="23916"/>
  <c r="AD231" i="23916"/>
  <c r="AC231" i="23916"/>
  <c r="AB231" i="23916"/>
  <c r="AA231" i="23916"/>
  <c r="Z231" i="23916"/>
  <c r="Y231" i="23916"/>
  <c r="X231" i="23916"/>
  <c r="W231" i="23916"/>
  <c r="V231" i="23916"/>
  <c r="U231" i="23916"/>
  <c r="S231" i="23916"/>
  <c r="R231" i="23916"/>
  <c r="Q231" i="23916"/>
  <c r="P231" i="23916"/>
  <c r="O231" i="23916"/>
  <c r="N231" i="23916"/>
  <c r="M231" i="23916"/>
  <c r="K231" i="23916"/>
  <c r="T231" i="23916" s="1"/>
  <c r="I231" i="23916"/>
  <c r="G231" i="23916"/>
  <c r="E231" i="23916"/>
  <c r="FC230" i="23916"/>
  <c r="FC229" i="23916"/>
  <c r="EH230" i="23916"/>
  <c r="EH228" i="23916"/>
  <c r="EH227" i="23916"/>
  <c r="EF230" i="23916"/>
  <c r="EF228" i="23916"/>
  <c r="EF227" i="23916"/>
  <c r="ED230" i="23916"/>
  <c r="ED228" i="23916"/>
  <c r="ED227" i="23916"/>
  <c r="EB230" i="23916"/>
  <c r="EB228" i="23916"/>
  <c r="EB227" i="23916"/>
  <c r="DZ230" i="23916"/>
  <c r="DZ228" i="23916"/>
  <c r="DZ227" i="23916"/>
  <c r="DX230" i="23916"/>
  <c r="DX228" i="23916"/>
  <c r="DX227" i="23916"/>
  <c r="DV230" i="23916"/>
  <c r="DV228" i="23916"/>
  <c r="DV227" i="23916"/>
  <c r="DT230" i="23916"/>
  <c r="DT228" i="23916"/>
  <c r="DT227" i="23916"/>
  <c r="DR230" i="23916"/>
  <c r="DR228" i="23916"/>
  <c r="DR227" i="23916"/>
  <c r="DP230" i="23916"/>
  <c r="DP228" i="23916"/>
  <c r="DP227" i="23916"/>
  <c r="DN230" i="23916"/>
  <c r="DN228" i="23916"/>
  <c r="DN227" i="23916"/>
  <c r="DL230" i="23916"/>
  <c r="DL228" i="23916"/>
  <c r="DL227" i="23916"/>
  <c r="DJ230" i="23916"/>
  <c r="DJ228" i="23916"/>
  <c r="DJ227" i="23916"/>
  <c r="DH230" i="23916"/>
  <c r="DH228" i="23916"/>
  <c r="DH227" i="23916"/>
  <c r="DF230" i="23916"/>
  <c r="DF228" i="23916"/>
  <c r="DF227" i="23916"/>
  <c r="DD230" i="23916"/>
  <c r="DD228" i="23916"/>
  <c r="DD227" i="23916"/>
  <c r="DB230" i="23916"/>
  <c r="DB228" i="23916"/>
  <c r="DB227" i="23916"/>
  <c r="CZ230" i="23916"/>
  <c r="CZ228" i="23916"/>
  <c r="CZ227" i="23916"/>
  <c r="CX230" i="23916"/>
  <c r="CX228" i="23916"/>
  <c r="CX227" i="23916"/>
  <c r="CV230" i="23916"/>
  <c r="CV228" i="23916"/>
  <c r="CV227" i="23916"/>
  <c r="CT230" i="23916"/>
  <c r="CT228" i="23916"/>
  <c r="CT227" i="23916"/>
  <c r="CR230" i="23916"/>
  <c r="CR228" i="23916"/>
  <c r="CR227" i="23916"/>
  <c r="CP230" i="23916"/>
  <c r="CP228" i="23916"/>
  <c r="CP227" i="23916"/>
  <c r="CN230" i="23916"/>
  <c r="CN228" i="23916"/>
  <c r="CN227" i="23916"/>
  <c r="CL230" i="23916"/>
  <c r="CL228" i="23916"/>
  <c r="CL227" i="23916"/>
  <c r="CJ230" i="23916"/>
  <c r="CJ228" i="23916"/>
  <c r="CJ227" i="23916"/>
  <c r="CH230" i="23916"/>
  <c r="CH228" i="23916"/>
  <c r="CH227" i="23916"/>
  <c r="CF230" i="23916"/>
  <c r="CF228" i="23916"/>
  <c r="CF227" i="23916"/>
  <c r="CD230" i="23916"/>
  <c r="CD228" i="23916"/>
  <c r="CD227" i="23916"/>
  <c r="CB230" i="23916"/>
  <c r="CB228" i="23916"/>
  <c r="CB227" i="23916"/>
  <c r="BZ230" i="23916"/>
  <c r="BZ228" i="23916"/>
  <c r="BZ227" i="23916"/>
  <c r="BX230" i="23916"/>
  <c r="BX228" i="23916"/>
  <c r="BX227" i="23916"/>
  <c r="BV230" i="23916"/>
  <c r="BV228" i="23916"/>
  <c r="BV227" i="23916"/>
  <c r="BT230" i="23916"/>
  <c r="BT228" i="23916"/>
  <c r="BT227" i="23916"/>
  <c r="BR230" i="23916"/>
  <c r="BR228" i="23916"/>
  <c r="BR227" i="23916"/>
  <c r="BP230" i="23916"/>
  <c r="BP228" i="23916"/>
  <c r="BP227" i="23916"/>
  <c r="BN230" i="23916"/>
  <c r="BN228" i="23916"/>
  <c r="BN227" i="23916"/>
  <c r="BL230" i="23916"/>
  <c r="BL228" i="23916"/>
  <c r="BL227" i="23916"/>
  <c r="BJ230" i="23916"/>
  <c r="BJ228" i="23916"/>
  <c r="BJ227" i="23916"/>
  <c r="BH230" i="23916"/>
  <c r="BH228" i="23916"/>
  <c r="BH227" i="23916"/>
  <c r="BF230" i="23916"/>
  <c r="BF228" i="23916"/>
  <c r="BF227" i="23916"/>
  <c r="BD230" i="23916"/>
  <c r="BD228" i="23916"/>
  <c r="BD227" i="23916"/>
  <c r="BB230" i="23916"/>
  <c r="BB228" i="23916"/>
  <c r="BB227" i="23916"/>
  <c r="AZ230" i="23916"/>
  <c r="AZ228" i="23916"/>
  <c r="AZ227" i="23916"/>
  <c r="AX230" i="23916"/>
  <c r="AX228" i="23916"/>
  <c r="AX227" i="23916"/>
  <c r="AV230" i="23916"/>
  <c r="AU230" i="23916"/>
  <c r="AT230" i="23916"/>
  <c r="AS230" i="23916"/>
  <c r="AS236" i="23916" s="1"/>
  <c r="AT236" i="23916" s="1"/>
  <c r="AR230" i="23916"/>
  <c r="AQ230" i="23916"/>
  <c r="AP230" i="23916"/>
  <c r="AO230" i="23916"/>
  <c r="AN230" i="23916"/>
  <c r="AM230" i="23916"/>
  <c r="AL230" i="23916"/>
  <c r="AK230" i="23916"/>
  <c r="AK236" i="23916" s="1"/>
  <c r="AJ230" i="23916"/>
  <c r="AI230" i="23916"/>
  <c r="AH230" i="23916"/>
  <c r="AG230" i="23916"/>
  <c r="AF230" i="23916"/>
  <c r="AE230" i="23916"/>
  <c r="AD230" i="23916"/>
  <c r="AB230" i="23916"/>
  <c r="AB229" i="23916"/>
  <c r="AB228" i="23916"/>
  <c r="AB227" i="23916"/>
  <c r="Z230" i="23916"/>
  <c r="Z229" i="23916"/>
  <c r="Z228" i="23916"/>
  <c r="Z227" i="23916"/>
  <c r="X230" i="23916"/>
  <c r="X229" i="23916"/>
  <c r="X228" i="23916"/>
  <c r="X227" i="23916"/>
  <c r="V230" i="23916"/>
  <c r="V229" i="23916"/>
  <c r="V228" i="23916"/>
  <c r="V227" i="23916"/>
  <c r="T230" i="23916"/>
  <c r="T229" i="23916"/>
  <c r="T228" i="23916"/>
  <c r="T227" i="23916"/>
  <c r="R230" i="23916"/>
  <c r="R229" i="23916"/>
  <c r="R228" i="23916"/>
  <c r="R227" i="23916"/>
  <c r="P230" i="23916"/>
  <c r="P229" i="23916"/>
  <c r="P228" i="23916"/>
  <c r="P227" i="23916"/>
  <c r="N230" i="23916"/>
  <c r="N229" i="23916"/>
  <c r="N228" i="23916"/>
  <c r="N227" i="23916"/>
  <c r="EI229" i="23916"/>
  <c r="EI231" i="23916" s="1"/>
  <c r="EJ231" i="23916" s="1"/>
  <c r="EG229" i="23916"/>
  <c r="EE229" i="23916"/>
  <c r="EE231" i="23916" s="1"/>
  <c r="EF231" i="23916" s="1"/>
  <c r="EC229" i="23916"/>
  <c r="EC231" i="23916" s="1"/>
  <c r="EA229" i="23916"/>
  <c r="EA231" i="23916" s="1"/>
  <c r="EB231" i="23916" s="1"/>
  <c r="DY229" i="23916"/>
  <c r="DW229" i="23916"/>
  <c r="DW231" i="23916" s="1"/>
  <c r="DU229" i="23916"/>
  <c r="DU231" i="23916" s="1"/>
  <c r="DS229" i="23916"/>
  <c r="DS231" i="23916" s="1"/>
  <c r="DT231" i="23916" s="1"/>
  <c r="DQ229" i="23916"/>
  <c r="DO229" i="23916"/>
  <c r="DO231" i="23916" s="1"/>
  <c r="DP231" i="23916" s="1"/>
  <c r="DM229" i="23916"/>
  <c r="DM231" i="23916" s="1"/>
  <c r="DK229" i="23916"/>
  <c r="DK231" i="23916" s="1"/>
  <c r="DL231" i="23916" s="1"/>
  <c r="DI229" i="23916"/>
  <c r="DG229" i="23916"/>
  <c r="DG231" i="23916" s="1"/>
  <c r="DE229" i="23916"/>
  <c r="DE231" i="23916" s="1"/>
  <c r="DC229" i="23916"/>
  <c r="DC231" i="23916" s="1"/>
  <c r="DD231" i="23916" s="1"/>
  <c r="DA229" i="23916"/>
  <c r="CY229" i="23916"/>
  <c r="CY231" i="23916" s="1"/>
  <c r="CZ231" i="23916" s="1"/>
  <c r="CW229" i="23916"/>
  <c r="CW231" i="23916" s="1"/>
  <c r="CU229" i="23916"/>
  <c r="CU231" i="23916" s="1"/>
  <c r="CV231" i="23916" s="1"/>
  <c r="CS229" i="23916"/>
  <c r="CQ229" i="23916"/>
  <c r="CQ231" i="23916" s="1"/>
  <c r="CO229" i="23916"/>
  <c r="CO231" i="23916" s="1"/>
  <c r="CM229" i="23916"/>
  <c r="CM231" i="23916" s="1"/>
  <c r="CN231" i="23916" s="1"/>
  <c r="CK229" i="23916"/>
  <c r="CI229" i="23916"/>
  <c r="CI231" i="23916" s="1"/>
  <c r="CJ231" i="23916" s="1"/>
  <c r="CG229" i="23916"/>
  <c r="CG231" i="23916" s="1"/>
  <c r="CE229" i="23916"/>
  <c r="CE231" i="23916" s="1"/>
  <c r="CF231" i="23916" s="1"/>
  <c r="CC229" i="23916"/>
  <c r="CA229" i="23916"/>
  <c r="CA231" i="23916" s="1"/>
  <c r="BY229" i="23916"/>
  <c r="BY231" i="23916" s="1"/>
  <c r="BW229" i="23916"/>
  <c r="BW231" i="23916" s="1"/>
  <c r="BX231" i="23916" s="1"/>
  <c r="BU229" i="23916"/>
  <c r="BS229" i="23916"/>
  <c r="BS231" i="23916" s="1"/>
  <c r="BT231" i="23916" s="1"/>
  <c r="BQ229" i="23916"/>
  <c r="BQ231" i="23916" s="1"/>
  <c r="BO229" i="23916"/>
  <c r="BO231" i="23916" s="1"/>
  <c r="BP231" i="23916" s="1"/>
  <c r="BM229" i="23916"/>
  <c r="BK229" i="23916"/>
  <c r="BK231" i="23916" s="1"/>
  <c r="BI229" i="23916"/>
  <c r="BI231" i="23916" s="1"/>
  <c r="BG229" i="23916"/>
  <c r="BG231" i="23916" s="1"/>
  <c r="BH231" i="23916" s="1"/>
  <c r="BE229" i="23916"/>
  <c r="BC229" i="23916"/>
  <c r="BC231" i="23916" s="1"/>
  <c r="BD231" i="23916" s="1"/>
  <c r="BA229" i="23916"/>
  <c r="BA231" i="23916" s="1"/>
  <c r="AY229" i="23916"/>
  <c r="AY231" i="23916" s="1"/>
  <c r="AZ231" i="23916" s="1"/>
  <c r="AW229" i="23916"/>
  <c r="AU229" i="23916"/>
  <c r="AU231" i="23916" s="1"/>
  <c r="AS229" i="23916"/>
  <c r="AQ229" i="23916"/>
  <c r="AQ231" i="23916" s="1"/>
  <c r="AR231" i="23916" s="1"/>
  <c r="AO229" i="23916"/>
  <c r="AM229" i="23916"/>
  <c r="AM231" i="23916" s="1"/>
  <c r="AN231" i="23916" s="1"/>
  <c r="AK229" i="23916"/>
  <c r="AI229" i="23916"/>
  <c r="AI231" i="23916" s="1"/>
  <c r="AJ231" i="23916" s="1"/>
  <c r="AG229" i="23916"/>
  <c r="AE229" i="23916"/>
  <c r="AE231" i="23916" s="1"/>
  <c r="AD229" i="23916"/>
  <c r="FD228" i="23916"/>
  <c r="FD227" i="23916"/>
  <c r="FD231" i="23916" s="1"/>
  <c r="FB228" i="23916"/>
  <c r="FB391" i="23916" s="1"/>
  <c r="FC391" i="23916" s="1"/>
  <c r="FB227" i="23916"/>
  <c r="FB390" i="23916" s="1"/>
  <c r="AV228" i="23916"/>
  <c r="AV227" i="23916"/>
  <c r="AT228" i="23916"/>
  <c r="AT227" i="23916"/>
  <c r="AR228" i="23916"/>
  <c r="AR227" i="23916"/>
  <c r="AP228" i="23916"/>
  <c r="AP227" i="23916"/>
  <c r="AN228" i="23916"/>
  <c r="AN227" i="23916"/>
  <c r="AL228" i="23916"/>
  <c r="AL227" i="23916"/>
  <c r="AJ228" i="23916"/>
  <c r="AJ227" i="23916"/>
  <c r="AH228" i="23916"/>
  <c r="AH227" i="23916"/>
  <c r="AF228" i="23916"/>
  <c r="AF227" i="23916"/>
  <c r="AD228" i="23916"/>
  <c r="AD227" i="23916"/>
  <c r="GH230" i="23916"/>
  <c r="GF230" i="23916"/>
  <c r="GD230" i="23916"/>
  <c r="GB230" i="23916"/>
  <c r="GC230" i="23916" s="1"/>
  <c r="FZ230" i="23916"/>
  <c r="FX230" i="23916"/>
  <c r="FV230" i="23916"/>
  <c r="FT230" i="23916"/>
  <c r="FU230" i="23916" s="1"/>
  <c r="FR230" i="23916"/>
  <c r="FP230" i="23916"/>
  <c r="FN230" i="23916"/>
  <c r="FL230" i="23916"/>
  <c r="FM230" i="23916" s="1"/>
  <c r="FJ230" i="23916"/>
  <c r="FH230" i="23916"/>
  <c r="FF230" i="23916"/>
  <c r="FE230" i="23916"/>
  <c r="FT229" i="23916"/>
  <c r="FU229" i="23916" s="1"/>
  <c r="FR229" i="23916"/>
  <c r="FH229" i="23916"/>
  <c r="FI229" i="23916" s="1"/>
  <c r="FF229" i="23916"/>
  <c r="FG229" i="23916" s="1"/>
  <c r="FE229" i="23916"/>
  <c r="GH228" i="23916"/>
  <c r="GF228" i="23916"/>
  <c r="GD228" i="23916"/>
  <c r="GB228" i="23916"/>
  <c r="FZ228" i="23916"/>
  <c r="FX228" i="23916"/>
  <c r="FV228" i="23916"/>
  <c r="FT228" i="23916"/>
  <c r="FR228" i="23916"/>
  <c r="FP228" i="23916"/>
  <c r="FN228" i="23916"/>
  <c r="FL228" i="23916"/>
  <c r="FJ228" i="23916"/>
  <c r="FH228" i="23916"/>
  <c r="FF228" i="23916"/>
  <c r="GH227" i="23916"/>
  <c r="GF227" i="23916"/>
  <c r="GF233" i="23916" s="1"/>
  <c r="GD227" i="23916"/>
  <c r="GB227" i="23916"/>
  <c r="GB233" i="23916" s="1"/>
  <c r="FZ227" i="23916"/>
  <c r="FX227" i="23916"/>
  <c r="FV227" i="23916"/>
  <c r="FT227" i="23916"/>
  <c r="FR227" i="23916"/>
  <c r="FR231" i="23916" s="1"/>
  <c r="FP227" i="23916"/>
  <c r="FP233" i="23916" s="1"/>
  <c r="FN227" i="23916"/>
  <c r="FL227" i="23916"/>
  <c r="FL233" i="23916" s="1"/>
  <c r="FJ227" i="23916"/>
  <c r="FH227" i="23916"/>
  <c r="FF227" i="23916"/>
  <c r="FE227" i="23916"/>
  <c r="EJ230" i="23916"/>
  <c r="EK229" i="23916"/>
  <c r="EJ229" i="23916"/>
  <c r="EJ228" i="23916"/>
  <c r="EJ227" i="23916"/>
  <c r="GD223" i="23916"/>
  <c r="GE223" i="23916" s="1"/>
  <c r="GD222" i="23916"/>
  <c r="GD221" i="23916"/>
  <c r="EI224" i="23916"/>
  <c r="EI236" i="23916" s="1"/>
  <c r="EG224" i="23916"/>
  <c r="EE224" i="23916"/>
  <c r="EE236" i="23916" s="1"/>
  <c r="EC224" i="23916"/>
  <c r="EA224" i="23916"/>
  <c r="EA236" i="23916" s="1"/>
  <c r="DY224" i="23916"/>
  <c r="DW224" i="23916"/>
  <c r="DW236" i="23916" s="1"/>
  <c r="DU224" i="23916"/>
  <c r="DS224" i="23916"/>
  <c r="DS236" i="23916" s="1"/>
  <c r="DQ224" i="23916"/>
  <c r="DO224" i="23916"/>
  <c r="DO236" i="23916" s="1"/>
  <c r="DM224" i="23916"/>
  <c r="DK224" i="23916"/>
  <c r="DK236" i="23916" s="1"/>
  <c r="DI224" i="23916"/>
  <c r="DG224" i="23916"/>
  <c r="DG236" i="23916" s="1"/>
  <c r="DE224" i="23916"/>
  <c r="DC224" i="23916"/>
  <c r="DC236" i="23916" s="1"/>
  <c r="DA224" i="23916"/>
  <c r="CY224" i="23916"/>
  <c r="CY236" i="23916" s="1"/>
  <c r="CW224" i="23916"/>
  <c r="CU224" i="23916"/>
  <c r="CU236" i="23916" s="1"/>
  <c r="CS224" i="23916"/>
  <c r="CQ224" i="23916"/>
  <c r="CQ236" i="23916" s="1"/>
  <c r="CO224" i="23916"/>
  <c r="CM224" i="23916"/>
  <c r="CM236" i="23916" s="1"/>
  <c r="CK224" i="23916"/>
  <c r="CI224" i="23916"/>
  <c r="CI236" i="23916" s="1"/>
  <c r="CG224" i="23916"/>
  <c r="CE224" i="23916"/>
  <c r="CE236" i="23916" s="1"/>
  <c r="CC224" i="23916"/>
  <c r="CA224" i="23916"/>
  <c r="CA236" i="23916" s="1"/>
  <c r="BY224" i="23916"/>
  <c r="BW224" i="23916"/>
  <c r="BW236" i="23916" s="1"/>
  <c r="BU224" i="23916"/>
  <c r="BS224" i="23916"/>
  <c r="BS236" i="23916" s="1"/>
  <c r="BQ224" i="23916"/>
  <c r="BO224" i="23916"/>
  <c r="BO236" i="23916" s="1"/>
  <c r="BM224" i="23916"/>
  <c r="BK224" i="23916"/>
  <c r="BK236" i="23916" s="1"/>
  <c r="BI224" i="23916"/>
  <c r="BG224" i="23916"/>
  <c r="BG236" i="23916" s="1"/>
  <c r="BE224" i="23916"/>
  <c r="BC224" i="23916"/>
  <c r="BC236" i="23916" s="1"/>
  <c r="BA224" i="23916"/>
  <c r="AY224" i="23916"/>
  <c r="AY236" i="23916" s="1"/>
  <c r="AW224" i="23916"/>
  <c r="AU224" i="23916"/>
  <c r="AU239" i="23916" s="1"/>
  <c r="AS224" i="23916"/>
  <c r="AQ224" i="23916"/>
  <c r="AO224" i="23916"/>
  <c r="AM224" i="23916"/>
  <c r="AM239" i="23916" s="1"/>
  <c r="AK224" i="23916"/>
  <c r="AI224" i="23916"/>
  <c r="AG224" i="23916"/>
  <c r="AE224" i="23916"/>
  <c r="AE239" i="23916" s="1"/>
  <c r="AC224" i="23916"/>
  <c r="AA224" i="23916"/>
  <c r="AA236" i="23916" s="1"/>
  <c r="Y224" i="23916"/>
  <c r="W224" i="23916"/>
  <c r="W236" i="23916" s="1"/>
  <c r="U224" i="23916"/>
  <c r="S224" i="23916"/>
  <c r="S236" i="23916" s="1"/>
  <c r="Q224" i="23916"/>
  <c r="O224" i="23916"/>
  <c r="O236" i="23916" s="1"/>
  <c r="M224" i="23916"/>
  <c r="K224" i="23916"/>
  <c r="K239" i="23916" s="1"/>
  <c r="I224" i="23916"/>
  <c r="I239" i="23916" s="1"/>
  <c r="I243" i="23916" s="1"/>
  <c r="G224" i="23916"/>
  <c r="G239" i="23916" s="1"/>
  <c r="E224" i="23916"/>
  <c r="E239" i="23916" s="1"/>
  <c r="E243" i="23916" s="1"/>
  <c r="FR224" i="23916"/>
  <c r="FB224" i="23916"/>
  <c r="GB223" i="23916"/>
  <c r="GC223" i="23916" s="1"/>
  <c r="FZ223" i="23916"/>
  <c r="GA223" i="23916" s="1"/>
  <c r="FX223" i="23916"/>
  <c r="FV223" i="23916"/>
  <c r="FW223" i="23916" s="1"/>
  <c r="FT223" i="23916"/>
  <c r="FU223" i="23916" s="1"/>
  <c r="FR223" i="23916"/>
  <c r="FS223" i="23916" s="1"/>
  <c r="FP223" i="23916"/>
  <c r="FN223" i="23916"/>
  <c r="FO223" i="23916" s="1"/>
  <c r="FL223" i="23916"/>
  <c r="FM223" i="23916" s="1"/>
  <c r="FJ223" i="23916"/>
  <c r="FK223" i="23916" s="1"/>
  <c r="FH223" i="23916"/>
  <c r="FF223" i="23916"/>
  <c r="FG223" i="23916" s="1"/>
  <c r="FD223" i="23916"/>
  <c r="FE223" i="23916" s="1"/>
  <c r="FB223" i="23916"/>
  <c r="EH223" i="23916"/>
  <c r="EH222" i="23916"/>
  <c r="EH221" i="23916"/>
  <c r="EF223" i="23916"/>
  <c r="EF222" i="23916"/>
  <c r="EF221" i="23916"/>
  <c r="ED223" i="23916"/>
  <c r="ED222" i="23916"/>
  <c r="ED221" i="23916"/>
  <c r="EB223" i="23916"/>
  <c r="EB222" i="23916"/>
  <c r="EB221" i="23916"/>
  <c r="DZ223" i="23916"/>
  <c r="DZ222" i="23916"/>
  <c r="DZ221" i="23916"/>
  <c r="DX223" i="23916"/>
  <c r="DX222" i="23916"/>
  <c r="DX221" i="23916"/>
  <c r="DV223" i="23916"/>
  <c r="DV222" i="23916"/>
  <c r="DV221" i="23916"/>
  <c r="DT223" i="23916"/>
  <c r="DT222" i="23916"/>
  <c r="DT221" i="23916"/>
  <c r="DR223" i="23916"/>
  <c r="DR222" i="23916"/>
  <c r="DR221" i="23916"/>
  <c r="DP223" i="23916"/>
  <c r="DP222" i="23916"/>
  <c r="DP221" i="23916"/>
  <c r="DN223" i="23916"/>
  <c r="DN222" i="23916"/>
  <c r="DN221" i="23916"/>
  <c r="DL223" i="23916"/>
  <c r="DL222" i="23916"/>
  <c r="DL221" i="23916"/>
  <c r="DJ223" i="23916"/>
  <c r="DJ222" i="23916"/>
  <c r="DJ221" i="23916"/>
  <c r="DH223" i="23916"/>
  <c r="DH222" i="23916"/>
  <c r="DH221" i="23916"/>
  <c r="DF223" i="23916"/>
  <c r="DF222" i="23916"/>
  <c r="DF221" i="23916"/>
  <c r="DD223" i="23916"/>
  <c r="DD222" i="23916"/>
  <c r="DD221" i="23916"/>
  <c r="DB223" i="23916"/>
  <c r="DB222" i="23916"/>
  <c r="DB221" i="23916"/>
  <c r="CZ223" i="23916"/>
  <c r="CZ222" i="23916"/>
  <c r="CZ221" i="23916"/>
  <c r="CX223" i="23916"/>
  <c r="CX222" i="23916"/>
  <c r="CX221" i="23916"/>
  <c r="CV223" i="23916"/>
  <c r="CV222" i="23916"/>
  <c r="CV221" i="23916"/>
  <c r="CT223" i="23916"/>
  <c r="CT222" i="23916"/>
  <c r="CT221" i="23916"/>
  <c r="CR223" i="23916"/>
  <c r="CR222" i="23916"/>
  <c r="CR221" i="23916"/>
  <c r="CP223" i="23916"/>
  <c r="CP222" i="23916"/>
  <c r="CP221" i="23916"/>
  <c r="CN223" i="23916"/>
  <c r="CN222" i="23916"/>
  <c r="CN221" i="23916"/>
  <c r="CL223" i="23916"/>
  <c r="CL222" i="23916"/>
  <c r="CL221" i="23916"/>
  <c r="CJ223" i="23916"/>
  <c r="CJ222" i="23916"/>
  <c r="CJ221" i="23916"/>
  <c r="CH223" i="23916"/>
  <c r="CH222" i="23916"/>
  <c r="CH221" i="23916"/>
  <c r="CF223" i="23916"/>
  <c r="CF222" i="23916"/>
  <c r="CF221" i="23916"/>
  <c r="CD223" i="23916"/>
  <c r="CD222" i="23916"/>
  <c r="CD221" i="23916"/>
  <c r="CB223" i="23916"/>
  <c r="CB222" i="23916"/>
  <c r="CB221" i="23916"/>
  <c r="BZ223" i="23916"/>
  <c r="BZ222" i="23916"/>
  <c r="BZ221" i="23916"/>
  <c r="BX223" i="23916"/>
  <c r="BX222" i="23916"/>
  <c r="BX221" i="23916"/>
  <c r="BV223" i="23916"/>
  <c r="BV222" i="23916"/>
  <c r="BV221" i="23916"/>
  <c r="BT223" i="23916"/>
  <c r="BT222" i="23916"/>
  <c r="BT221" i="23916"/>
  <c r="BR223" i="23916"/>
  <c r="BR222" i="23916"/>
  <c r="BR221" i="23916"/>
  <c r="BP223" i="23916"/>
  <c r="BP222" i="23916"/>
  <c r="BP221" i="23916"/>
  <c r="BN223" i="23916"/>
  <c r="BN222" i="23916"/>
  <c r="BN221" i="23916"/>
  <c r="BL223" i="23916"/>
  <c r="BL222" i="23916"/>
  <c r="BL221" i="23916"/>
  <c r="BJ223" i="23916"/>
  <c r="BJ222" i="23916"/>
  <c r="BJ221" i="23916"/>
  <c r="BH223" i="23916"/>
  <c r="BH222" i="23916"/>
  <c r="BH221" i="23916"/>
  <c r="BF223" i="23916"/>
  <c r="BF222" i="23916"/>
  <c r="BF221" i="23916"/>
  <c r="BD223" i="23916"/>
  <c r="BD222" i="23916"/>
  <c r="BD221" i="23916"/>
  <c r="BB223" i="23916"/>
  <c r="BB222" i="23916"/>
  <c r="BB221" i="23916"/>
  <c r="AZ223" i="23916"/>
  <c r="AZ222" i="23916"/>
  <c r="AZ221" i="23916"/>
  <c r="AX223" i="23916"/>
  <c r="AX222" i="23916"/>
  <c r="AX221" i="23916"/>
  <c r="AV223" i="23916"/>
  <c r="AV222" i="23916"/>
  <c r="AV221" i="23916"/>
  <c r="AT223" i="23916"/>
  <c r="AT222" i="23916"/>
  <c r="AT221" i="23916"/>
  <c r="AR223" i="23916"/>
  <c r="AR222" i="23916"/>
  <c r="AR221" i="23916"/>
  <c r="AP223" i="23916"/>
  <c r="AP222" i="23916"/>
  <c r="AP221" i="23916"/>
  <c r="AN223" i="23916"/>
  <c r="AN222" i="23916"/>
  <c r="AN221" i="23916"/>
  <c r="AL223" i="23916"/>
  <c r="AL222" i="23916"/>
  <c r="AL221" i="23916"/>
  <c r="AJ223" i="23916"/>
  <c r="AJ222" i="23916"/>
  <c r="AJ221" i="23916"/>
  <c r="AH223" i="23916"/>
  <c r="AH222" i="23916"/>
  <c r="AH221" i="23916"/>
  <c r="AF223" i="23916"/>
  <c r="AF222" i="23916"/>
  <c r="AF221" i="23916"/>
  <c r="AD223" i="23916"/>
  <c r="AD222" i="23916"/>
  <c r="AD221" i="23916"/>
  <c r="AB223" i="23916"/>
  <c r="AB222" i="23916"/>
  <c r="AB221" i="23916"/>
  <c r="Z223" i="23916"/>
  <c r="Z222" i="23916"/>
  <c r="Z221" i="23916"/>
  <c r="X223" i="23916"/>
  <c r="X222" i="23916"/>
  <c r="X221" i="23916"/>
  <c r="V223" i="23916"/>
  <c r="V222" i="23916"/>
  <c r="V221" i="23916"/>
  <c r="T223" i="23916"/>
  <c r="T222" i="23916"/>
  <c r="T221" i="23916"/>
  <c r="R223" i="23916"/>
  <c r="R222" i="23916"/>
  <c r="R221" i="23916"/>
  <c r="P223" i="23916"/>
  <c r="P222" i="23916"/>
  <c r="P221" i="23916"/>
  <c r="N223" i="23916"/>
  <c r="N222" i="23916"/>
  <c r="N221" i="23916"/>
  <c r="FW222" i="23916"/>
  <c r="FV222" i="23916"/>
  <c r="FU222" i="23916"/>
  <c r="FT222" i="23916"/>
  <c r="FS222" i="23916"/>
  <c r="FR222" i="23916"/>
  <c r="FQ222" i="23916"/>
  <c r="FP222" i="23916"/>
  <c r="FO222" i="23916"/>
  <c r="FN222" i="23916"/>
  <c r="FM222" i="23916"/>
  <c r="FL222" i="23916"/>
  <c r="FK222" i="23916"/>
  <c r="FJ222" i="23916"/>
  <c r="FI222" i="23916"/>
  <c r="FH222" i="23916"/>
  <c r="FG222" i="23916"/>
  <c r="FF222" i="23916"/>
  <c r="FE222" i="23916"/>
  <c r="FD222" i="23916"/>
  <c r="FC222" i="23916"/>
  <c r="FB222" i="23916"/>
  <c r="FB385" i="23916" s="1"/>
  <c r="FC385" i="23916" s="1"/>
  <c r="GH223" i="23916"/>
  <c r="GI223" i="23916" s="1"/>
  <c r="GF223" i="23916"/>
  <c r="GG223" i="23916" s="1"/>
  <c r="GH222" i="23916"/>
  <c r="GI222" i="23916" s="1"/>
  <c r="GF222" i="23916"/>
  <c r="GG222" i="23916" s="1"/>
  <c r="GE222" i="23916"/>
  <c r="GH221" i="23916"/>
  <c r="GF221" i="23916"/>
  <c r="GG221" i="23916" s="1"/>
  <c r="GC222" i="23916"/>
  <c r="GB222" i="23916"/>
  <c r="GA222" i="23916"/>
  <c r="FZ222" i="23916"/>
  <c r="FY222" i="23916"/>
  <c r="GB221" i="23916"/>
  <c r="GC221" i="23916" s="1"/>
  <c r="FZ221" i="23916"/>
  <c r="FX221" i="23916"/>
  <c r="FY221" i="23916" s="1"/>
  <c r="FV221" i="23916"/>
  <c r="FT221" i="23916"/>
  <c r="FU221" i="23916" s="1"/>
  <c r="FR221" i="23916"/>
  <c r="FP221" i="23916"/>
  <c r="FQ221" i="23916" s="1"/>
  <c r="FN221" i="23916"/>
  <c r="FL221" i="23916"/>
  <c r="FM221" i="23916" s="1"/>
  <c r="FJ221" i="23916"/>
  <c r="FH221" i="23916"/>
  <c r="FI221" i="23916" s="1"/>
  <c r="FF221" i="23916"/>
  <c r="FD221" i="23916"/>
  <c r="FB221" i="23916"/>
  <c r="EQ223" i="23916"/>
  <c r="EO223" i="23916"/>
  <c r="EP223" i="23916" s="1"/>
  <c r="EM223" i="23916"/>
  <c r="EK223" i="23916"/>
  <c r="EL223" i="23916" s="1"/>
  <c r="EJ223" i="23916"/>
  <c r="EP222" i="23916"/>
  <c r="EN222" i="23916"/>
  <c r="EM222" i="23916"/>
  <c r="EO222" i="23916" s="1"/>
  <c r="EQ222" i="23916" s="1"/>
  <c r="ER222" i="23916" s="1"/>
  <c r="EL222" i="23916"/>
  <c r="EK222" i="23916"/>
  <c r="EJ222" i="23916"/>
  <c r="EM221" i="23916"/>
  <c r="EK221" i="23916"/>
  <c r="EJ221" i="23916"/>
  <c r="ER217" i="23916"/>
  <c r="ER215" i="23916"/>
  <c r="ER214" i="23916"/>
  <c r="ER213" i="23916"/>
  <c r="EP217" i="23916"/>
  <c r="EP216" i="23916"/>
  <c r="EP215" i="23916"/>
  <c r="EP214" i="23916"/>
  <c r="EP213" i="23916"/>
  <c r="EN217" i="23916"/>
  <c r="EN215" i="23916"/>
  <c r="EN214" i="23916"/>
  <c r="EN213" i="23916"/>
  <c r="EL217" i="23916"/>
  <c r="EL216" i="23916"/>
  <c r="EL215" i="23916"/>
  <c r="EL214" i="23916"/>
  <c r="EL213" i="23916"/>
  <c r="EJ217" i="23916"/>
  <c r="EJ215" i="23916"/>
  <c r="EJ214" i="23916"/>
  <c r="EJ213" i="23916"/>
  <c r="EH217" i="23916"/>
  <c r="EH216" i="23916"/>
  <c r="EH215" i="23916"/>
  <c r="EH214" i="23916"/>
  <c r="EH213" i="23916"/>
  <c r="EF217" i="23916"/>
  <c r="EF215" i="23916"/>
  <c r="EF214" i="23916"/>
  <c r="EF213" i="23916"/>
  <c r="ED217" i="23916"/>
  <c r="ED216" i="23916"/>
  <c r="ED215" i="23916"/>
  <c r="ED214" i="23916"/>
  <c r="ED213" i="23916"/>
  <c r="EB217" i="23916"/>
  <c r="EB215" i="23916"/>
  <c r="EB214" i="23916"/>
  <c r="EB213" i="23916"/>
  <c r="DZ217" i="23916"/>
  <c r="DZ216" i="23916"/>
  <c r="DZ215" i="23916"/>
  <c r="DZ214" i="23916"/>
  <c r="DZ213" i="23916"/>
  <c r="GS216" i="23916"/>
  <c r="GS215" i="23916"/>
  <c r="GS214" i="23916"/>
  <c r="GS213" i="23916"/>
  <c r="GQ216" i="23916"/>
  <c r="GQ215" i="23916"/>
  <c r="GQ214" i="23916"/>
  <c r="GQ213" i="23916"/>
  <c r="GO216" i="23916"/>
  <c r="GO215" i="23916"/>
  <c r="GO214" i="23916"/>
  <c r="GO213" i="23916"/>
  <c r="GM216" i="23916"/>
  <c r="GM215" i="23916"/>
  <c r="GM214" i="23916"/>
  <c r="GM213" i="23916"/>
  <c r="FM216" i="23916"/>
  <c r="FM215" i="23916"/>
  <c r="FM214" i="23916"/>
  <c r="FM213" i="23916"/>
  <c r="FK216" i="23916"/>
  <c r="FK215" i="23916"/>
  <c r="FK214" i="23916"/>
  <c r="FK213" i="23916"/>
  <c r="FI216" i="23916"/>
  <c r="FH216" i="23916"/>
  <c r="FG216" i="23916"/>
  <c r="FF216" i="23916"/>
  <c r="FE216" i="23916"/>
  <c r="FD216" i="23916"/>
  <c r="EI216" i="23916"/>
  <c r="EG216" i="23916"/>
  <c r="EE216" i="23916"/>
  <c r="EC216" i="23916"/>
  <c r="EA216" i="23916"/>
  <c r="EB216" i="23916" s="1"/>
  <c r="DY216" i="23916"/>
  <c r="DX216" i="23916"/>
  <c r="DW216" i="23916"/>
  <c r="DV216" i="23916"/>
  <c r="DU216" i="23916"/>
  <c r="DT216" i="23916"/>
  <c r="DS216" i="23916"/>
  <c r="DR216" i="23916"/>
  <c r="DQ216" i="23916"/>
  <c r="DP216" i="23916"/>
  <c r="DO216" i="23916"/>
  <c r="DN216" i="23916"/>
  <c r="DM216" i="23916"/>
  <c r="DL216" i="23916"/>
  <c r="DK216" i="23916"/>
  <c r="DJ216" i="23916"/>
  <c r="DI216" i="23916"/>
  <c r="DH216" i="23916"/>
  <c r="DG216" i="23916"/>
  <c r="DF216" i="23916"/>
  <c r="DE216" i="23916"/>
  <c r="DD216" i="23916"/>
  <c r="DC216" i="23916"/>
  <c r="DB216" i="23916"/>
  <c r="DA216" i="23916"/>
  <c r="CZ216" i="23916"/>
  <c r="CY216" i="23916"/>
  <c r="CX216" i="23916"/>
  <c r="CW216" i="23916"/>
  <c r="CV216" i="23916"/>
  <c r="CU216" i="23916"/>
  <c r="CT216" i="23916"/>
  <c r="CS216" i="23916"/>
  <c r="CR216" i="23916"/>
  <c r="CQ216" i="23916"/>
  <c r="CP216" i="23916"/>
  <c r="CO216" i="23916"/>
  <c r="CN216" i="23916"/>
  <c r="CM216" i="23916"/>
  <c r="CK216" i="23916"/>
  <c r="CJ216" i="23916"/>
  <c r="CI216" i="23916"/>
  <c r="CH216" i="23916"/>
  <c r="CG216" i="23916"/>
  <c r="CF216" i="23916"/>
  <c r="CE216" i="23916"/>
  <c r="CC216" i="23916"/>
  <c r="CL216" i="23916" s="1"/>
  <c r="CA216" i="23916"/>
  <c r="BY216" i="23916"/>
  <c r="FT216" i="23916" s="1"/>
  <c r="FU216" i="23916" s="1"/>
  <c r="BW216" i="23916"/>
  <c r="BU216" i="23916"/>
  <c r="BS216" i="23916"/>
  <c r="BQ216" i="23916"/>
  <c r="BO216" i="23916"/>
  <c r="BM216" i="23916"/>
  <c r="BK216" i="23916"/>
  <c r="BI216" i="23916"/>
  <c r="BG216" i="23916"/>
  <c r="BE216" i="23916"/>
  <c r="BC216" i="23916"/>
  <c r="BA216" i="23916"/>
  <c r="AY216" i="23916"/>
  <c r="AW216" i="23916"/>
  <c r="AU216" i="23916"/>
  <c r="AS216" i="23916"/>
  <c r="AQ216" i="23916"/>
  <c r="AO216" i="23916"/>
  <c r="AM216" i="23916"/>
  <c r="AI216" i="23916"/>
  <c r="AJ216" i="23916" s="1"/>
  <c r="AG216" i="23916"/>
  <c r="AH216" i="23916" s="1"/>
  <c r="AE216" i="23916"/>
  <c r="AF216" i="23916" s="1"/>
  <c r="AC216" i="23916"/>
  <c r="AD216" i="23916" s="1"/>
  <c r="FI215" i="23916"/>
  <c r="FI214" i="23916"/>
  <c r="FI213" i="23916"/>
  <c r="FG215" i="23916"/>
  <c r="FG214" i="23916"/>
  <c r="FG213" i="23916"/>
  <c r="FE215" i="23916"/>
  <c r="FE214" i="23916"/>
  <c r="FE213" i="23916"/>
  <c r="DX215" i="23916"/>
  <c r="DX214" i="23916"/>
  <c r="DX213" i="23916"/>
  <c r="DV215" i="23916"/>
  <c r="DV214" i="23916"/>
  <c r="DV213" i="23916"/>
  <c r="DT215" i="23916"/>
  <c r="DT214" i="23916"/>
  <c r="DT213" i="23916"/>
  <c r="DR215" i="23916"/>
  <c r="DR214" i="23916"/>
  <c r="DR213" i="23916"/>
  <c r="DP215" i="23916"/>
  <c r="DP214" i="23916"/>
  <c r="DP213" i="23916"/>
  <c r="DN215" i="23916"/>
  <c r="DN214" i="23916"/>
  <c r="DN213" i="23916"/>
  <c r="DL215" i="23916"/>
  <c r="DL214" i="23916"/>
  <c r="DL213" i="23916"/>
  <c r="DJ215" i="23916"/>
  <c r="DJ214" i="23916"/>
  <c r="DJ213" i="23916"/>
  <c r="DH215" i="23916"/>
  <c r="DH214" i="23916"/>
  <c r="DH213" i="23916"/>
  <c r="DF215" i="23916"/>
  <c r="DF214" i="23916"/>
  <c r="DF213" i="23916"/>
  <c r="DD215" i="23916"/>
  <c r="DD214" i="23916"/>
  <c r="DD213" i="23916"/>
  <c r="DB215" i="23916"/>
  <c r="DB214" i="23916"/>
  <c r="DB213" i="23916"/>
  <c r="CZ215" i="23916"/>
  <c r="CZ214" i="23916"/>
  <c r="CZ213" i="23916"/>
  <c r="CX215" i="23916"/>
  <c r="CX214" i="23916"/>
  <c r="CX213" i="23916"/>
  <c r="CV215" i="23916"/>
  <c r="CV214" i="23916"/>
  <c r="CV213" i="23916"/>
  <c r="CT215" i="23916"/>
  <c r="CT214" i="23916"/>
  <c r="CT213" i="23916"/>
  <c r="CR215" i="23916"/>
  <c r="CR214" i="23916"/>
  <c r="CR213" i="23916"/>
  <c r="CP215" i="23916"/>
  <c r="CP214" i="23916"/>
  <c r="CP213" i="23916"/>
  <c r="CN215" i="23916"/>
  <c r="CN214" i="23916"/>
  <c r="CN213" i="23916"/>
  <c r="CL215" i="23916"/>
  <c r="CL214" i="23916"/>
  <c r="CL213" i="23916"/>
  <c r="CJ215" i="23916"/>
  <c r="CJ214" i="23916"/>
  <c r="CJ213" i="23916"/>
  <c r="CH215" i="23916"/>
  <c r="CH214" i="23916"/>
  <c r="CH213" i="23916"/>
  <c r="CF215" i="23916"/>
  <c r="CF214" i="23916"/>
  <c r="CF213" i="23916"/>
  <c r="BL215" i="23916"/>
  <c r="BL214" i="23916"/>
  <c r="BL213" i="23916"/>
  <c r="BJ215" i="23916"/>
  <c r="BJ214" i="23916"/>
  <c r="BJ213" i="23916"/>
  <c r="BH215" i="23916"/>
  <c r="BH214" i="23916"/>
  <c r="BH213" i="23916"/>
  <c r="BF215" i="23916"/>
  <c r="BF214" i="23916"/>
  <c r="BF213" i="23916"/>
  <c r="BD215" i="23916"/>
  <c r="BD214" i="23916"/>
  <c r="BD213" i="23916"/>
  <c r="BB215" i="23916"/>
  <c r="BB214" i="23916"/>
  <c r="BB213" i="23916"/>
  <c r="AZ215" i="23916"/>
  <c r="AZ214" i="23916"/>
  <c r="AZ213" i="23916"/>
  <c r="AX215" i="23916"/>
  <c r="AX214" i="23916"/>
  <c r="AX213" i="23916"/>
  <c r="AV215" i="23916"/>
  <c r="AV214" i="23916"/>
  <c r="AV213" i="23916"/>
  <c r="AR214" i="23916"/>
  <c r="AP215" i="23916"/>
  <c r="AP214" i="23916"/>
  <c r="AP213" i="23916"/>
  <c r="AN215" i="23916"/>
  <c r="AN214" i="23916"/>
  <c r="AN213" i="23916"/>
  <c r="AF215" i="23916"/>
  <c r="AF214" i="23916"/>
  <c r="AF213" i="23916"/>
  <c r="FX216" i="23916"/>
  <c r="FV216" i="23916"/>
  <c r="FR216" i="23916"/>
  <c r="FO216" i="23916"/>
  <c r="GI215" i="23916"/>
  <c r="GH215" i="23916"/>
  <c r="GK215" i="23916" s="1"/>
  <c r="GG215" i="23916"/>
  <c r="GF215" i="23916"/>
  <c r="GE215" i="23916"/>
  <c r="GD215" i="23916"/>
  <c r="GC215" i="23916"/>
  <c r="GB215" i="23916"/>
  <c r="GA215" i="23916"/>
  <c r="FZ215" i="23916"/>
  <c r="FY215" i="23916"/>
  <c r="FX215" i="23916"/>
  <c r="FW215" i="23916"/>
  <c r="FV215" i="23916"/>
  <c r="FU215" i="23916"/>
  <c r="FT215" i="23916"/>
  <c r="FS215" i="23916"/>
  <c r="FR215" i="23916"/>
  <c r="FQ215" i="23916"/>
  <c r="FP215" i="23916"/>
  <c r="FO215" i="23916"/>
  <c r="GH214" i="23916"/>
  <c r="GI214" i="23916" s="1"/>
  <c r="GF214" i="23916"/>
  <c r="GD214" i="23916"/>
  <c r="GE214" i="23916" s="1"/>
  <c r="GB214" i="23916"/>
  <c r="FZ214" i="23916"/>
  <c r="GA214" i="23916" s="1"/>
  <c r="FX214" i="23916"/>
  <c r="FV214" i="23916"/>
  <c r="FW214" i="23916" s="1"/>
  <c r="FT214" i="23916"/>
  <c r="FR214" i="23916"/>
  <c r="FS214" i="23916" s="1"/>
  <c r="FP214" i="23916"/>
  <c r="FQ214" i="23916" s="1"/>
  <c r="FO214" i="23916"/>
  <c r="GI213" i="23916"/>
  <c r="GH213" i="23916"/>
  <c r="GK213" i="23916" s="1"/>
  <c r="GG213" i="23916"/>
  <c r="GF213" i="23916"/>
  <c r="GE213" i="23916"/>
  <c r="GD213" i="23916"/>
  <c r="GC213" i="23916"/>
  <c r="GB213" i="23916"/>
  <c r="GA213" i="23916"/>
  <c r="FZ213" i="23916"/>
  <c r="FY213" i="23916"/>
  <c r="FX213" i="23916"/>
  <c r="FW213" i="23916"/>
  <c r="FV213" i="23916"/>
  <c r="FU213" i="23916"/>
  <c r="FT213" i="23916"/>
  <c r="FS213" i="23916"/>
  <c r="FR213" i="23916"/>
  <c r="FQ213" i="23916"/>
  <c r="FP213" i="23916"/>
  <c r="FO213" i="23916"/>
  <c r="AK215" i="23916"/>
  <c r="AL215" i="23916" s="1"/>
  <c r="AI215" i="23916"/>
  <c r="AH215" i="23916"/>
  <c r="AL214" i="23916"/>
  <c r="AK214" i="23916"/>
  <c r="AT214" i="23916" s="1"/>
  <c r="AJ214" i="23916"/>
  <c r="AI214" i="23916"/>
  <c r="AH214" i="23916"/>
  <c r="AK213" i="23916"/>
  <c r="AL213" i="23916" s="1"/>
  <c r="AI213" i="23916"/>
  <c r="AH213" i="23916"/>
  <c r="AD215" i="23916"/>
  <c r="AC215" i="23916"/>
  <c r="AD214" i="23916"/>
  <c r="AC214" i="23916"/>
  <c r="AD213" i="23916"/>
  <c r="AC213" i="23916"/>
  <c r="GT208" i="23916"/>
  <c r="GS208" i="23916"/>
  <c r="GQ208" i="23916"/>
  <c r="GO208" i="23916"/>
  <c r="GM208" i="23916"/>
  <c r="GJ208" i="23916"/>
  <c r="GH208" i="23916"/>
  <c r="GF208" i="23916"/>
  <c r="GG208" i="23916" s="1"/>
  <c r="GD208" i="23916"/>
  <c r="GB208" i="23916"/>
  <c r="FZ208" i="23916"/>
  <c r="GA208" i="23916" s="1"/>
  <c r="FX208" i="23916"/>
  <c r="FY208" i="23916" s="1"/>
  <c r="FV208" i="23916"/>
  <c r="FW208" i="23916" s="1"/>
  <c r="FU208" i="23916"/>
  <c r="FT208" i="23916"/>
  <c r="FR208" i="23916"/>
  <c r="FP208" i="23916"/>
  <c r="FL208" i="23916"/>
  <c r="FJ208" i="23916"/>
  <c r="FK208" i="23916" s="1"/>
  <c r="FH208" i="23916"/>
  <c r="FI208" i="23916" s="1"/>
  <c r="FF208" i="23916"/>
  <c r="FG208" i="23916" s="1"/>
  <c r="FE208" i="23916"/>
  <c r="FD208" i="23916"/>
  <c r="ER208" i="23916"/>
  <c r="EP208" i="23916"/>
  <c r="EN208" i="23916"/>
  <c r="EL208" i="23916"/>
  <c r="EJ208" i="23916"/>
  <c r="EH208" i="23916"/>
  <c r="EF208" i="23916"/>
  <c r="ED208" i="23916"/>
  <c r="EB208" i="23916"/>
  <c r="DZ208" i="23916"/>
  <c r="DX208" i="23916"/>
  <c r="DV208" i="23916"/>
  <c r="DT208" i="23916"/>
  <c r="DR208" i="23916"/>
  <c r="DP208" i="23916"/>
  <c r="DN208" i="23916"/>
  <c r="DL208" i="23916"/>
  <c r="DJ208" i="23916"/>
  <c r="DH208" i="23916"/>
  <c r="DF208" i="23916"/>
  <c r="DD208" i="23916"/>
  <c r="DB208" i="23916"/>
  <c r="CZ208" i="23916"/>
  <c r="CX208" i="23916"/>
  <c r="CV208" i="23916"/>
  <c r="CT208" i="23916"/>
  <c r="CR208" i="23916"/>
  <c r="CP208" i="23916"/>
  <c r="CN208" i="23916"/>
  <c r="CL208" i="23916"/>
  <c r="CJ208" i="23916"/>
  <c r="CH208" i="23916"/>
  <c r="CF208" i="23916"/>
  <c r="CD208" i="23916"/>
  <c r="CB208" i="23916"/>
  <c r="BZ208" i="23916"/>
  <c r="BX208" i="23916"/>
  <c r="BV208" i="23916"/>
  <c r="BT208" i="23916"/>
  <c r="BR208" i="23916"/>
  <c r="BP208" i="23916"/>
  <c r="BN208" i="23916"/>
  <c r="BL208" i="23916"/>
  <c r="BJ208" i="23916"/>
  <c r="BH208" i="23916"/>
  <c r="BG208" i="23916"/>
  <c r="FN208" i="23916" s="1"/>
  <c r="FO208" i="23916" s="1"/>
  <c r="BF208" i="23916"/>
  <c r="BD208" i="23916"/>
  <c r="BB208" i="23916"/>
  <c r="AZ208" i="23916"/>
  <c r="AX208" i="23916"/>
  <c r="AV208" i="23916"/>
  <c r="AT208" i="23916"/>
  <c r="AR208" i="23916"/>
  <c r="AP208" i="23916"/>
  <c r="AN208" i="23916"/>
  <c r="AL208" i="23916"/>
  <c r="AJ208" i="23916"/>
  <c r="AH208" i="23916"/>
  <c r="AF208" i="23916"/>
  <c r="AD208" i="23916"/>
  <c r="AB208" i="23916"/>
  <c r="Z208" i="23916"/>
  <c r="X208" i="23916"/>
  <c r="V208" i="23916"/>
  <c r="FH202" i="23916"/>
  <c r="FI202" i="23916" s="1"/>
  <c r="FF202" i="23916"/>
  <c r="FG202" i="23916" s="1"/>
  <c r="FD202" i="23916"/>
  <c r="FE202" i="23916" s="1"/>
  <c r="EM203" i="23916"/>
  <c r="EO203" i="23916" s="1"/>
  <c r="EM202" i="23916"/>
  <c r="EO202" i="23916" s="1"/>
  <c r="DE203" i="23916"/>
  <c r="EI202" i="23916"/>
  <c r="EJ202" i="23916" s="1"/>
  <c r="EG202" i="23916"/>
  <c r="EH202" i="23916" s="1"/>
  <c r="EE202" i="23916"/>
  <c r="EF202" i="23916" s="1"/>
  <c r="EC202" i="23916"/>
  <c r="ED202" i="23916" s="1"/>
  <c r="EA202" i="23916"/>
  <c r="EB202" i="23916" s="1"/>
  <c r="DY202" i="23916"/>
  <c r="DZ202" i="23916" s="1"/>
  <c r="DW202" i="23916"/>
  <c r="DX202" i="23916" s="1"/>
  <c r="DU202" i="23916"/>
  <c r="DV202" i="23916" s="1"/>
  <c r="DS202" i="23916"/>
  <c r="DT202" i="23916" s="1"/>
  <c r="DQ202" i="23916"/>
  <c r="DR202" i="23916" s="1"/>
  <c r="DO202" i="23916"/>
  <c r="DP202" i="23916" s="1"/>
  <c r="DM202" i="23916"/>
  <c r="DN202" i="23916" s="1"/>
  <c r="DK202" i="23916"/>
  <c r="DL202" i="23916" s="1"/>
  <c r="DI202" i="23916"/>
  <c r="DJ202" i="23916" s="1"/>
  <c r="DG202" i="23916"/>
  <c r="DH202" i="23916" s="1"/>
  <c r="DE202" i="23916"/>
  <c r="DF202" i="23916" s="1"/>
  <c r="DC202" i="23916"/>
  <c r="DD202" i="23916" s="1"/>
  <c r="DA202" i="23916"/>
  <c r="DB202" i="23916" s="1"/>
  <c r="CY202" i="23916"/>
  <c r="CZ202" i="23916" s="1"/>
  <c r="CW202" i="23916"/>
  <c r="CX202" i="23916" s="1"/>
  <c r="CU202" i="23916"/>
  <c r="CV202" i="23916" s="1"/>
  <c r="CS202" i="23916"/>
  <c r="CT202" i="23916" s="1"/>
  <c r="CQ202" i="23916"/>
  <c r="CR202" i="23916" s="1"/>
  <c r="CO202" i="23916"/>
  <c r="CP202" i="23916" s="1"/>
  <c r="CM202" i="23916"/>
  <c r="CN202" i="23916" s="1"/>
  <c r="CK202" i="23916"/>
  <c r="CL202" i="23916" s="1"/>
  <c r="CI202" i="23916"/>
  <c r="CJ202" i="23916" s="1"/>
  <c r="CG202" i="23916"/>
  <c r="CH202" i="23916" s="1"/>
  <c r="CE202" i="23916"/>
  <c r="CF202" i="23916" s="1"/>
  <c r="CC202" i="23916"/>
  <c r="CD202" i="23916" s="1"/>
  <c r="CA202" i="23916"/>
  <c r="CB202" i="23916" s="1"/>
  <c r="BY202" i="23916"/>
  <c r="BZ202" i="23916" s="1"/>
  <c r="BW202" i="23916"/>
  <c r="BX202" i="23916" s="1"/>
  <c r="BU202" i="23916"/>
  <c r="BV202" i="23916" s="1"/>
  <c r="BS202" i="23916"/>
  <c r="BT202" i="23916" s="1"/>
  <c r="BQ202" i="23916"/>
  <c r="BR202" i="23916" s="1"/>
  <c r="BO202" i="23916"/>
  <c r="BP202" i="23916" s="1"/>
  <c r="BM202" i="23916"/>
  <c r="BN202" i="23916" s="1"/>
  <c r="BK202" i="23916"/>
  <c r="BL202" i="23916" s="1"/>
  <c r="BI202" i="23916"/>
  <c r="BJ202" i="23916" s="1"/>
  <c r="BG202" i="23916"/>
  <c r="BH202" i="23916" s="1"/>
  <c r="BE202" i="23916"/>
  <c r="BF202" i="23916" s="1"/>
  <c r="BC202" i="23916"/>
  <c r="BD202" i="23916" s="1"/>
  <c r="BA202" i="23916"/>
  <c r="BB202" i="23916" s="1"/>
  <c r="AY202" i="23916"/>
  <c r="AZ202" i="23916" s="1"/>
  <c r="AW202" i="23916"/>
  <c r="AX202" i="23916" s="1"/>
  <c r="AU202" i="23916"/>
  <c r="AV202" i="23916" s="1"/>
  <c r="AS202" i="23916"/>
  <c r="AQ202" i="23916"/>
  <c r="AO202" i="23916"/>
  <c r="AP202" i="23916" s="1"/>
  <c r="AM202" i="23916"/>
  <c r="AN202" i="23916" s="1"/>
  <c r="AG202" i="23916"/>
  <c r="AH202" i="23916" s="1"/>
  <c r="AE202" i="23916"/>
  <c r="AF202" i="23916" s="1"/>
  <c r="GK201" i="23916"/>
  <c r="GI201" i="23916"/>
  <c r="GG201" i="23916"/>
  <c r="GE201" i="23916"/>
  <c r="GC201" i="23916"/>
  <c r="GA201" i="23916"/>
  <c r="EO201" i="23916"/>
  <c r="EO200" i="23916"/>
  <c r="EO619" i="23916" s="1"/>
  <c r="EM201" i="23916"/>
  <c r="EM200" i="23916"/>
  <c r="EM619" i="23916" s="1"/>
  <c r="EK201" i="23916"/>
  <c r="FH200" i="23916"/>
  <c r="FI200" i="23916" s="1"/>
  <c r="FF200" i="23916"/>
  <c r="FG200" i="23916" s="1"/>
  <c r="FD200" i="23916"/>
  <c r="FE200" i="23916" s="1"/>
  <c r="EI200" i="23916"/>
  <c r="EI619" i="23916" s="1"/>
  <c r="EG200" i="23916"/>
  <c r="EG619" i="23916" s="1"/>
  <c r="EE200" i="23916"/>
  <c r="EE619" i="23916" s="1"/>
  <c r="EC200" i="23916"/>
  <c r="EC619" i="23916" s="1"/>
  <c r="EA200" i="23916"/>
  <c r="EA619" i="23916" s="1"/>
  <c r="DY200" i="23916"/>
  <c r="DZ200" i="23916" s="1"/>
  <c r="DW200" i="23916"/>
  <c r="DX200" i="23916" s="1"/>
  <c r="DU200" i="23916"/>
  <c r="DV200" i="23916" s="1"/>
  <c r="DS200" i="23916"/>
  <c r="DT200" i="23916" s="1"/>
  <c r="DQ200" i="23916"/>
  <c r="DR200" i="23916" s="1"/>
  <c r="DO200" i="23916"/>
  <c r="DP200" i="23916" s="1"/>
  <c r="DM200" i="23916"/>
  <c r="DN200" i="23916" s="1"/>
  <c r="DK200" i="23916"/>
  <c r="DL200" i="23916" s="1"/>
  <c r="DI200" i="23916"/>
  <c r="DJ200" i="23916" s="1"/>
  <c r="DG200" i="23916"/>
  <c r="DH200" i="23916" s="1"/>
  <c r="DE200" i="23916"/>
  <c r="DF200" i="23916" s="1"/>
  <c r="DC200" i="23916"/>
  <c r="DD200" i="23916" s="1"/>
  <c r="DA200" i="23916"/>
  <c r="DB200" i="23916" s="1"/>
  <c r="CY200" i="23916"/>
  <c r="CZ200" i="23916" s="1"/>
  <c r="CW200" i="23916"/>
  <c r="CX200" i="23916" s="1"/>
  <c r="CU200" i="23916"/>
  <c r="CV200" i="23916" s="1"/>
  <c r="CS200" i="23916"/>
  <c r="CT200" i="23916" s="1"/>
  <c r="CQ200" i="23916"/>
  <c r="CR200" i="23916" s="1"/>
  <c r="CO200" i="23916"/>
  <c r="CP200" i="23916" s="1"/>
  <c r="CM200" i="23916"/>
  <c r="CN200" i="23916" s="1"/>
  <c r="CK200" i="23916"/>
  <c r="CL200" i="23916" s="1"/>
  <c r="CI200" i="23916"/>
  <c r="CJ200" i="23916" s="1"/>
  <c r="CG200" i="23916"/>
  <c r="CH200" i="23916" s="1"/>
  <c r="CE200" i="23916"/>
  <c r="CF200" i="23916" s="1"/>
  <c r="CC200" i="23916"/>
  <c r="CD200" i="23916" s="1"/>
  <c r="CA200" i="23916"/>
  <c r="CB200" i="23916" s="1"/>
  <c r="BY200" i="23916"/>
  <c r="BZ200" i="23916" s="1"/>
  <c r="BW200" i="23916"/>
  <c r="BX200" i="23916" s="1"/>
  <c r="BU200" i="23916"/>
  <c r="BV200" i="23916" s="1"/>
  <c r="BS200" i="23916"/>
  <c r="BT200" i="23916" s="1"/>
  <c r="BQ200" i="23916"/>
  <c r="BR200" i="23916" s="1"/>
  <c r="BO200" i="23916"/>
  <c r="BP200" i="23916" s="1"/>
  <c r="BM200" i="23916"/>
  <c r="BN200" i="23916" s="1"/>
  <c r="BK200" i="23916"/>
  <c r="BL200" i="23916" s="1"/>
  <c r="BI200" i="23916"/>
  <c r="BJ200" i="23916" s="1"/>
  <c r="BG200" i="23916"/>
  <c r="BH200" i="23916" s="1"/>
  <c r="BE200" i="23916"/>
  <c r="BF200" i="23916" s="1"/>
  <c r="BC200" i="23916"/>
  <c r="BD200" i="23916" s="1"/>
  <c r="BA200" i="23916"/>
  <c r="BB200" i="23916" s="1"/>
  <c r="AY200" i="23916"/>
  <c r="AZ200" i="23916" s="1"/>
  <c r="AW200" i="23916"/>
  <c r="AX200" i="23916" s="1"/>
  <c r="AU200" i="23916"/>
  <c r="AV200" i="23916" s="1"/>
  <c r="AS200" i="23916"/>
  <c r="AQ200" i="23916"/>
  <c r="AO200" i="23916"/>
  <c r="AP200" i="23916" s="1"/>
  <c r="AM200" i="23916"/>
  <c r="AN200" i="23916" s="1"/>
  <c r="AG200" i="23916"/>
  <c r="AH200" i="23916" s="1"/>
  <c r="AE200" i="23916"/>
  <c r="AF200" i="23916" s="1"/>
  <c r="EI198" i="23916"/>
  <c r="EJ198" i="23916" s="1"/>
  <c r="EE198" i="23916"/>
  <c r="EF198" i="23916" s="1"/>
  <c r="EA198" i="23916"/>
  <c r="EB198" i="23916" s="1"/>
  <c r="DW198" i="23916"/>
  <c r="DX198" i="23916" s="1"/>
  <c r="DS198" i="23916"/>
  <c r="DT198" i="23916" s="1"/>
  <c r="DO198" i="23916"/>
  <c r="DP198" i="23916" s="1"/>
  <c r="DK198" i="23916"/>
  <c r="DL198" i="23916" s="1"/>
  <c r="DG198" i="23916"/>
  <c r="DH198" i="23916" s="1"/>
  <c r="DC198" i="23916"/>
  <c r="DD198" i="23916" s="1"/>
  <c r="CY198" i="23916"/>
  <c r="CZ198" i="23916" s="1"/>
  <c r="CU198" i="23916"/>
  <c r="CV198" i="23916" s="1"/>
  <c r="CQ198" i="23916"/>
  <c r="CR198" i="23916" s="1"/>
  <c r="CM198" i="23916"/>
  <c r="CN198" i="23916" s="1"/>
  <c r="CI198" i="23916"/>
  <c r="CJ198" i="23916" s="1"/>
  <c r="CE198" i="23916"/>
  <c r="CF198" i="23916" s="1"/>
  <c r="CA198" i="23916"/>
  <c r="CB198" i="23916" s="1"/>
  <c r="BW198" i="23916"/>
  <c r="BX198" i="23916" s="1"/>
  <c r="BS198" i="23916"/>
  <c r="BT198" i="23916" s="1"/>
  <c r="BO198" i="23916"/>
  <c r="BP198" i="23916" s="1"/>
  <c r="BK198" i="23916"/>
  <c r="BL198" i="23916" s="1"/>
  <c r="BG198" i="23916"/>
  <c r="BH198" i="23916" s="1"/>
  <c r="BC198" i="23916"/>
  <c r="AY198" i="23916"/>
  <c r="AB198" i="23916"/>
  <c r="Z198" i="23916"/>
  <c r="X198" i="23916"/>
  <c r="EH197" i="23916"/>
  <c r="EH195" i="23916"/>
  <c r="EH194" i="23916"/>
  <c r="EF197" i="23916"/>
  <c r="EF195" i="23916"/>
  <c r="EF194" i="23916"/>
  <c r="ED197" i="23916"/>
  <c r="ED195" i="23916"/>
  <c r="ED194" i="23916"/>
  <c r="EB197" i="23916"/>
  <c r="EB195" i="23916"/>
  <c r="EB194" i="23916"/>
  <c r="DZ197" i="23916"/>
  <c r="DZ195" i="23916"/>
  <c r="DZ194" i="23916"/>
  <c r="DX197" i="23916"/>
  <c r="DX195" i="23916"/>
  <c r="DX194" i="23916"/>
  <c r="DV197" i="23916"/>
  <c r="DV195" i="23916"/>
  <c r="DV194" i="23916"/>
  <c r="DT197" i="23916"/>
  <c r="DT195" i="23916"/>
  <c r="DT194" i="23916"/>
  <c r="DR197" i="23916"/>
  <c r="DR195" i="23916"/>
  <c r="DR194" i="23916"/>
  <c r="DP197" i="23916"/>
  <c r="DP195" i="23916"/>
  <c r="DP194" i="23916"/>
  <c r="DN197" i="23916"/>
  <c r="DN195" i="23916"/>
  <c r="DN194" i="23916"/>
  <c r="DL197" i="23916"/>
  <c r="DL195" i="23916"/>
  <c r="DL194" i="23916"/>
  <c r="DJ197" i="23916"/>
  <c r="DJ195" i="23916"/>
  <c r="DJ194" i="23916"/>
  <c r="DH197" i="23916"/>
  <c r="DH195" i="23916"/>
  <c r="DH194" i="23916"/>
  <c r="DF197" i="23916"/>
  <c r="DF195" i="23916"/>
  <c r="DF194" i="23916"/>
  <c r="DD197" i="23916"/>
  <c r="DD195" i="23916"/>
  <c r="DD194" i="23916"/>
  <c r="DB197" i="23916"/>
  <c r="DB195" i="23916"/>
  <c r="DB194" i="23916"/>
  <c r="CZ197" i="23916"/>
  <c r="CZ195" i="23916"/>
  <c r="CZ194" i="23916"/>
  <c r="CX197" i="23916"/>
  <c r="CX195" i="23916"/>
  <c r="CX194" i="23916"/>
  <c r="CV197" i="23916"/>
  <c r="CV195" i="23916"/>
  <c r="CV194" i="23916"/>
  <c r="CT197" i="23916"/>
  <c r="CT195" i="23916"/>
  <c r="CT194" i="23916"/>
  <c r="CR197" i="23916"/>
  <c r="CR195" i="23916"/>
  <c r="CR194" i="23916"/>
  <c r="CP197" i="23916"/>
  <c r="CP195" i="23916"/>
  <c r="CP194" i="23916"/>
  <c r="CN197" i="23916"/>
  <c r="CN195" i="23916"/>
  <c r="CN194" i="23916"/>
  <c r="CL197" i="23916"/>
  <c r="CL195" i="23916"/>
  <c r="CL194" i="23916"/>
  <c r="CJ197" i="23916"/>
  <c r="CJ195" i="23916"/>
  <c r="CJ194" i="23916"/>
  <c r="CH197" i="23916"/>
  <c r="CH195" i="23916"/>
  <c r="CH194" i="23916"/>
  <c r="CF197" i="23916"/>
  <c r="CF195" i="23916"/>
  <c r="CF194" i="23916"/>
  <c r="CD197" i="23916"/>
  <c r="CD195" i="23916"/>
  <c r="CD194" i="23916"/>
  <c r="CB197" i="23916"/>
  <c r="CB195" i="23916"/>
  <c r="CB194" i="23916"/>
  <c r="BZ197" i="23916"/>
  <c r="BZ195" i="23916"/>
  <c r="BZ194" i="23916"/>
  <c r="BX197" i="23916"/>
  <c r="BX195" i="23916"/>
  <c r="BX194" i="23916"/>
  <c r="BV197" i="23916"/>
  <c r="BV195" i="23916"/>
  <c r="BV194" i="23916"/>
  <c r="BT197" i="23916"/>
  <c r="BT195" i="23916"/>
  <c r="BT194" i="23916"/>
  <c r="BR197" i="23916"/>
  <c r="BR195" i="23916"/>
  <c r="BR194" i="23916"/>
  <c r="BP197" i="23916"/>
  <c r="BP195" i="23916"/>
  <c r="BP194" i="23916"/>
  <c r="BN197" i="23916"/>
  <c r="BN195" i="23916"/>
  <c r="BN194" i="23916"/>
  <c r="BL197" i="23916"/>
  <c r="BL195" i="23916"/>
  <c r="BL194" i="23916"/>
  <c r="BJ197" i="23916"/>
  <c r="BJ195" i="23916"/>
  <c r="BJ194" i="23916"/>
  <c r="BH197" i="23916"/>
  <c r="BH195" i="23916"/>
  <c r="BH194" i="23916"/>
  <c r="BF197" i="23916"/>
  <c r="BF195" i="23916"/>
  <c r="BF194" i="23916"/>
  <c r="BD197" i="23916"/>
  <c r="BD195" i="23916"/>
  <c r="BD194" i="23916"/>
  <c r="BB197" i="23916"/>
  <c r="BB195" i="23916"/>
  <c r="BB194" i="23916"/>
  <c r="AZ197" i="23916"/>
  <c r="AZ195" i="23916"/>
  <c r="AZ194" i="23916"/>
  <c r="AX197" i="23916"/>
  <c r="AX195" i="23916"/>
  <c r="AX194" i="23916"/>
  <c r="AV197" i="23916"/>
  <c r="AU197" i="23916"/>
  <c r="AT197" i="23916"/>
  <c r="AS197" i="23916"/>
  <c r="FL197" i="23916" s="1"/>
  <c r="AQ197" i="23916"/>
  <c r="AP197" i="23916"/>
  <c r="AO197" i="23916"/>
  <c r="AN197" i="23916"/>
  <c r="AM197" i="23916"/>
  <c r="AL197" i="23916"/>
  <c r="AK197" i="23916"/>
  <c r="AH197" i="23916"/>
  <c r="AG197" i="23916"/>
  <c r="AF197" i="23916"/>
  <c r="AE197" i="23916"/>
  <c r="AD197" i="23916"/>
  <c r="AC197" i="23916"/>
  <c r="GI197" i="23916"/>
  <c r="GH197" i="23916"/>
  <c r="GG197" i="23916"/>
  <c r="GF197" i="23916"/>
  <c r="GE197" i="23916"/>
  <c r="GD197" i="23916"/>
  <c r="GC197" i="23916"/>
  <c r="GB197" i="23916"/>
  <c r="GA197" i="23916"/>
  <c r="FZ197" i="23916"/>
  <c r="FY197" i="23916"/>
  <c r="FX197" i="23916"/>
  <c r="FW197" i="23916"/>
  <c r="FV197" i="23916"/>
  <c r="FU197" i="23916"/>
  <c r="FT197" i="23916"/>
  <c r="FS197" i="23916"/>
  <c r="FR197" i="23916"/>
  <c r="FQ197" i="23916"/>
  <c r="FP197" i="23916"/>
  <c r="FN197" i="23916"/>
  <c r="FK197" i="23916"/>
  <c r="FJ197" i="23916"/>
  <c r="FI197" i="23916"/>
  <c r="FH197" i="23916"/>
  <c r="FH203" i="23916" s="1"/>
  <c r="FI203" i="23916" s="1"/>
  <c r="FG197" i="23916"/>
  <c r="FF197" i="23916"/>
  <c r="FF203" i="23916" s="1"/>
  <c r="FE197" i="23916"/>
  <c r="FD197" i="23916"/>
  <c r="FD203" i="23916" s="1"/>
  <c r="FE203" i="23916" s="1"/>
  <c r="FR196" i="23916"/>
  <c r="FR198" i="23916" s="1"/>
  <c r="FH196" i="23916"/>
  <c r="FI196" i="23916" s="1"/>
  <c r="FF196" i="23916"/>
  <c r="FF198" i="23916" s="1"/>
  <c r="FD196" i="23916"/>
  <c r="FE196" i="23916" s="1"/>
  <c r="EI196" i="23916"/>
  <c r="EG196" i="23916"/>
  <c r="EE196" i="23916"/>
  <c r="EF196" i="23916" s="1"/>
  <c r="EC196" i="23916"/>
  <c r="EK196" i="23916" s="1"/>
  <c r="EA196" i="23916"/>
  <c r="EB196" i="23916" s="1"/>
  <c r="DY196" i="23916"/>
  <c r="DZ196" i="23916" s="1"/>
  <c r="DW196" i="23916"/>
  <c r="DX196" i="23916" s="1"/>
  <c r="DU196" i="23916"/>
  <c r="GF196" i="23916" s="1"/>
  <c r="DS196" i="23916"/>
  <c r="DT196" i="23916" s="1"/>
  <c r="DQ196" i="23916"/>
  <c r="DR196" i="23916" s="1"/>
  <c r="DO196" i="23916"/>
  <c r="DP196" i="23916" s="1"/>
  <c r="DM196" i="23916"/>
  <c r="DN196" i="23916" s="1"/>
  <c r="DK196" i="23916"/>
  <c r="DL196" i="23916" s="1"/>
  <c r="DI196" i="23916"/>
  <c r="DJ196" i="23916" s="1"/>
  <c r="DG196" i="23916"/>
  <c r="DH196" i="23916" s="1"/>
  <c r="DE196" i="23916"/>
  <c r="GB196" i="23916" s="1"/>
  <c r="DC196" i="23916"/>
  <c r="DD196" i="23916" s="1"/>
  <c r="DA196" i="23916"/>
  <c r="DB196" i="23916" s="1"/>
  <c r="CY196" i="23916"/>
  <c r="CZ196" i="23916" s="1"/>
  <c r="CW196" i="23916"/>
  <c r="CX196" i="23916" s="1"/>
  <c r="CU196" i="23916"/>
  <c r="CV196" i="23916" s="1"/>
  <c r="CS196" i="23916"/>
  <c r="CT196" i="23916" s="1"/>
  <c r="CQ196" i="23916"/>
  <c r="CR196" i="23916" s="1"/>
  <c r="CO196" i="23916"/>
  <c r="FX196" i="23916" s="1"/>
  <c r="CM196" i="23916"/>
  <c r="CN196" i="23916" s="1"/>
  <c r="CK196" i="23916"/>
  <c r="CL196" i="23916" s="1"/>
  <c r="CI196" i="23916"/>
  <c r="CJ196" i="23916" s="1"/>
  <c r="CG196" i="23916"/>
  <c r="CH196" i="23916" s="1"/>
  <c r="CE196" i="23916"/>
  <c r="CF196" i="23916" s="1"/>
  <c r="CC196" i="23916"/>
  <c r="CD196" i="23916" s="1"/>
  <c r="CA196" i="23916"/>
  <c r="CB196" i="23916" s="1"/>
  <c r="BY196" i="23916"/>
  <c r="FT196" i="23916" s="1"/>
  <c r="BW196" i="23916"/>
  <c r="BX196" i="23916" s="1"/>
  <c r="BU196" i="23916"/>
  <c r="BV196" i="23916" s="1"/>
  <c r="BS196" i="23916"/>
  <c r="BT196" i="23916" s="1"/>
  <c r="BQ196" i="23916"/>
  <c r="BR196" i="23916" s="1"/>
  <c r="BO196" i="23916"/>
  <c r="BP196" i="23916" s="1"/>
  <c r="BM196" i="23916"/>
  <c r="BN196" i="23916" s="1"/>
  <c r="BK196" i="23916"/>
  <c r="BL196" i="23916" s="1"/>
  <c r="BI196" i="23916"/>
  <c r="FP196" i="23916" s="1"/>
  <c r="BG196" i="23916"/>
  <c r="BH196" i="23916" s="1"/>
  <c r="BE196" i="23916"/>
  <c r="BF196" i="23916" s="1"/>
  <c r="BC196" i="23916"/>
  <c r="BD196" i="23916" s="1"/>
  <c r="BA196" i="23916"/>
  <c r="BB196" i="23916" s="1"/>
  <c r="AY196" i="23916"/>
  <c r="AZ196" i="23916" s="1"/>
  <c r="AW196" i="23916"/>
  <c r="AX196" i="23916" s="1"/>
  <c r="AU196" i="23916"/>
  <c r="AV196" i="23916" s="1"/>
  <c r="AS196" i="23916"/>
  <c r="FL196" i="23916" s="1"/>
  <c r="AQ196" i="23916"/>
  <c r="AO196" i="23916"/>
  <c r="AP196" i="23916" s="1"/>
  <c r="AM196" i="23916"/>
  <c r="AN196" i="23916" s="1"/>
  <c r="AK196" i="23916"/>
  <c r="AL196" i="23916" s="1"/>
  <c r="AG196" i="23916"/>
  <c r="AI196" i="23916" s="1"/>
  <c r="AJ196" i="23916" s="1"/>
  <c r="AE196" i="23916"/>
  <c r="AF196" i="23916" s="1"/>
  <c r="AC196" i="23916"/>
  <c r="AD196" i="23916" s="1"/>
  <c r="FG195" i="23916"/>
  <c r="FG194" i="23916"/>
  <c r="FE195" i="23916"/>
  <c r="FE194" i="23916"/>
  <c r="AV195" i="23916"/>
  <c r="AV194" i="23916"/>
  <c r="AT194" i="23916"/>
  <c r="AP195" i="23916"/>
  <c r="AP194" i="23916"/>
  <c r="AN195" i="23916"/>
  <c r="AN194" i="23916"/>
  <c r="AF195" i="23916"/>
  <c r="AF194" i="23916"/>
  <c r="GI195" i="23916"/>
  <c r="GH195" i="23916"/>
  <c r="GH202" i="23916" s="1"/>
  <c r="GI202" i="23916" s="1"/>
  <c r="GG195" i="23916"/>
  <c r="GF195" i="23916"/>
  <c r="GF202" i="23916" s="1"/>
  <c r="GE195" i="23916"/>
  <c r="GD195" i="23916"/>
  <c r="GD202" i="23916" s="1"/>
  <c r="GE202" i="23916" s="1"/>
  <c r="GC195" i="23916"/>
  <c r="GB195" i="23916"/>
  <c r="GB202" i="23916" s="1"/>
  <c r="GA195" i="23916"/>
  <c r="FZ195" i="23916"/>
  <c r="FZ202" i="23916" s="1"/>
  <c r="GA202" i="23916" s="1"/>
  <c r="FY195" i="23916"/>
  <c r="FX195" i="23916"/>
  <c r="FX202" i="23916" s="1"/>
  <c r="FW195" i="23916"/>
  <c r="FV195" i="23916"/>
  <c r="FV202" i="23916" s="1"/>
  <c r="FW202" i="23916" s="1"/>
  <c r="FU195" i="23916"/>
  <c r="FT195" i="23916"/>
  <c r="FT202" i="23916" s="1"/>
  <c r="FS195" i="23916"/>
  <c r="FR195" i="23916"/>
  <c r="FR202" i="23916" s="1"/>
  <c r="FS202" i="23916" s="1"/>
  <c r="FQ195" i="23916"/>
  <c r="FP195" i="23916"/>
  <c r="FP202" i="23916" s="1"/>
  <c r="FO195" i="23916"/>
  <c r="FN195" i="23916"/>
  <c r="FN202" i="23916" s="1"/>
  <c r="FO202" i="23916" s="1"/>
  <c r="FL195" i="23916"/>
  <c r="FL202" i="23916" s="1"/>
  <c r="FI195" i="23916"/>
  <c r="GI194" i="23916"/>
  <c r="GH194" i="23916"/>
  <c r="GG194" i="23916"/>
  <c r="GF194" i="23916"/>
  <c r="GF200" i="23916" s="1"/>
  <c r="GE194" i="23916"/>
  <c r="GD194" i="23916"/>
  <c r="GC194" i="23916"/>
  <c r="GB194" i="23916"/>
  <c r="GB200" i="23916" s="1"/>
  <c r="GA194" i="23916"/>
  <c r="FZ194" i="23916"/>
  <c r="FY194" i="23916"/>
  <c r="FX194" i="23916"/>
  <c r="FW194" i="23916"/>
  <c r="FV194" i="23916"/>
  <c r="FU194" i="23916"/>
  <c r="FT194" i="23916"/>
  <c r="FS194" i="23916"/>
  <c r="FR194" i="23916"/>
  <c r="FQ194" i="23916"/>
  <c r="FP194" i="23916"/>
  <c r="FO194" i="23916"/>
  <c r="FN194" i="23916"/>
  <c r="FL194" i="23916"/>
  <c r="FI194" i="23916"/>
  <c r="EJ197" i="23916"/>
  <c r="EJ196" i="23916"/>
  <c r="EJ195" i="23916"/>
  <c r="EJ194" i="23916"/>
  <c r="AK195" i="23916"/>
  <c r="FJ195" i="23916" s="1"/>
  <c r="AH195" i="23916"/>
  <c r="AK194" i="23916"/>
  <c r="FJ194" i="23916" s="1"/>
  <c r="AH194" i="23916"/>
  <c r="AC195" i="23916"/>
  <c r="AD195" i="23916" s="1"/>
  <c r="AC194" i="23916"/>
  <c r="AI194" i="23916" s="1"/>
  <c r="FI191" i="23916"/>
  <c r="FH191" i="23916"/>
  <c r="FG191" i="23916"/>
  <c r="FF191" i="23916"/>
  <c r="FF205" i="23916" s="1"/>
  <c r="FE191" i="23916"/>
  <c r="FD191" i="23916"/>
  <c r="EJ191" i="23916"/>
  <c r="EI191" i="23916"/>
  <c r="EI205" i="23916" s="1"/>
  <c r="EH191" i="23916"/>
  <c r="EG191" i="23916"/>
  <c r="EF191" i="23916"/>
  <c r="EE191" i="23916"/>
  <c r="EE205" i="23916" s="1"/>
  <c r="ED191" i="23916"/>
  <c r="EC191" i="23916"/>
  <c r="EB191" i="23916"/>
  <c r="EA191" i="23916"/>
  <c r="EA205" i="23916" s="1"/>
  <c r="DZ191" i="23916"/>
  <c r="DY191" i="23916"/>
  <c r="DX191" i="23916"/>
  <c r="DW191" i="23916"/>
  <c r="DW205" i="23916" s="1"/>
  <c r="DV191" i="23916"/>
  <c r="DU191" i="23916"/>
  <c r="DT191" i="23916"/>
  <c r="DS191" i="23916"/>
  <c r="DS205" i="23916" s="1"/>
  <c r="DR191" i="23916"/>
  <c r="DQ191" i="23916"/>
  <c r="DP191" i="23916"/>
  <c r="DO191" i="23916"/>
  <c r="DO205" i="23916" s="1"/>
  <c r="DN191" i="23916"/>
  <c r="DM191" i="23916"/>
  <c r="DK191" i="23916"/>
  <c r="DK205" i="23916" s="1"/>
  <c r="DI191" i="23916"/>
  <c r="DG191" i="23916"/>
  <c r="DG205" i="23916" s="1"/>
  <c r="DC191" i="23916"/>
  <c r="DD191" i="23916" s="1"/>
  <c r="DA191" i="23916"/>
  <c r="DB191" i="23916" s="1"/>
  <c r="CY191" i="23916"/>
  <c r="CZ191" i="23916" s="1"/>
  <c r="CW191" i="23916"/>
  <c r="CX191" i="23916" s="1"/>
  <c r="CU191" i="23916"/>
  <c r="CV191" i="23916" s="1"/>
  <c r="CS191" i="23916"/>
  <c r="CT191" i="23916" s="1"/>
  <c r="CQ191" i="23916"/>
  <c r="CR191" i="23916" s="1"/>
  <c r="CO191" i="23916"/>
  <c r="CP191" i="23916" s="1"/>
  <c r="CM191" i="23916"/>
  <c r="CN191" i="23916" s="1"/>
  <c r="CK191" i="23916"/>
  <c r="CL191" i="23916" s="1"/>
  <c r="CI191" i="23916"/>
  <c r="CJ191" i="23916" s="1"/>
  <c r="CG191" i="23916"/>
  <c r="CH191" i="23916" s="1"/>
  <c r="CE191" i="23916"/>
  <c r="CF191" i="23916" s="1"/>
  <c r="CC191" i="23916"/>
  <c r="CD191" i="23916" s="1"/>
  <c r="CA191" i="23916"/>
  <c r="CB191" i="23916" s="1"/>
  <c r="BY191" i="23916"/>
  <c r="BZ191" i="23916" s="1"/>
  <c r="BW191" i="23916"/>
  <c r="BX191" i="23916" s="1"/>
  <c r="BU191" i="23916"/>
  <c r="BV191" i="23916" s="1"/>
  <c r="BS191" i="23916"/>
  <c r="BQ191" i="23916"/>
  <c r="BO191" i="23916"/>
  <c r="BP191" i="23916" s="1"/>
  <c r="BM191" i="23916"/>
  <c r="BG191" i="23916"/>
  <c r="BH191" i="23916" s="1"/>
  <c r="BC191" i="23916"/>
  <c r="BD191" i="23916" s="1"/>
  <c r="AY191" i="23916"/>
  <c r="AZ191" i="23916" s="1"/>
  <c r="AW191" i="23916"/>
  <c r="AU191" i="23916"/>
  <c r="AV191" i="23916" s="1"/>
  <c r="AS191" i="23916"/>
  <c r="AQ191" i="23916"/>
  <c r="AM191" i="23916"/>
  <c r="AN191" i="23916" s="1"/>
  <c r="AG191" i="23916"/>
  <c r="AH191" i="23916" s="1"/>
  <c r="AE191" i="23916"/>
  <c r="AF191" i="23916" s="1"/>
  <c r="AA191" i="23916"/>
  <c r="AB191" i="23916" s="1"/>
  <c r="Y191" i="23916"/>
  <c r="Z191" i="23916" s="1"/>
  <c r="W191" i="23916"/>
  <c r="X191" i="23916" s="1"/>
  <c r="FG190" i="23916"/>
  <c r="FG189" i="23916"/>
  <c r="FG188" i="23916"/>
  <c r="FE190" i="23916"/>
  <c r="FE189" i="23916"/>
  <c r="FE188" i="23916"/>
  <c r="ER190" i="23916"/>
  <c r="EP190" i="23916"/>
  <c r="EN190" i="23916"/>
  <c r="EL190" i="23916"/>
  <c r="EJ190" i="23916"/>
  <c r="EJ189" i="23916"/>
  <c r="EJ188" i="23916"/>
  <c r="EH190" i="23916"/>
  <c r="EH189" i="23916"/>
  <c r="EH188" i="23916"/>
  <c r="EF190" i="23916"/>
  <c r="EF189" i="23916"/>
  <c r="EF188" i="23916"/>
  <c r="ED190" i="23916"/>
  <c r="ED189" i="23916"/>
  <c r="ED188" i="23916"/>
  <c r="EB190" i="23916"/>
  <c r="EB189" i="23916"/>
  <c r="EB188" i="23916"/>
  <c r="DZ190" i="23916"/>
  <c r="DZ189" i="23916"/>
  <c r="DZ188" i="23916"/>
  <c r="DX190" i="23916"/>
  <c r="DX189" i="23916"/>
  <c r="DX188" i="23916"/>
  <c r="DV190" i="23916"/>
  <c r="DV189" i="23916"/>
  <c r="DV188" i="23916"/>
  <c r="DT190" i="23916"/>
  <c r="DT189" i="23916"/>
  <c r="DT188" i="23916"/>
  <c r="DR190" i="23916"/>
  <c r="DR189" i="23916"/>
  <c r="DR188" i="23916"/>
  <c r="DP190" i="23916"/>
  <c r="DP189" i="23916"/>
  <c r="DP188" i="23916"/>
  <c r="DN190" i="23916"/>
  <c r="DN189" i="23916"/>
  <c r="DN188" i="23916"/>
  <c r="DL190" i="23916"/>
  <c r="DL189" i="23916"/>
  <c r="DL188" i="23916"/>
  <c r="DJ190" i="23916"/>
  <c r="DJ189" i="23916"/>
  <c r="DJ188" i="23916"/>
  <c r="DH190" i="23916"/>
  <c r="DH189" i="23916"/>
  <c r="DH188" i="23916"/>
  <c r="DF190" i="23916"/>
  <c r="DF189" i="23916"/>
  <c r="DF188" i="23916"/>
  <c r="DD190" i="23916"/>
  <c r="DD189" i="23916"/>
  <c r="DD188" i="23916"/>
  <c r="DB190" i="23916"/>
  <c r="DB189" i="23916"/>
  <c r="DB188" i="23916"/>
  <c r="CZ190" i="23916"/>
  <c r="CZ189" i="23916"/>
  <c r="CZ188" i="23916"/>
  <c r="CX190" i="23916"/>
  <c r="CX189" i="23916"/>
  <c r="CX188" i="23916"/>
  <c r="CV190" i="23916"/>
  <c r="CV189" i="23916"/>
  <c r="CV188" i="23916"/>
  <c r="CT190" i="23916"/>
  <c r="CT189" i="23916"/>
  <c r="CT188" i="23916"/>
  <c r="CR190" i="23916"/>
  <c r="CR189" i="23916"/>
  <c r="CR188" i="23916"/>
  <c r="CP190" i="23916"/>
  <c r="CP189" i="23916"/>
  <c r="CP188" i="23916"/>
  <c r="CN190" i="23916"/>
  <c r="CN189" i="23916"/>
  <c r="CN188" i="23916"/>
  <c r="CL190" i="23916"/>
  <c r="CL189" i="23916"/>
  <c r="CL188" i="23916"/>
  <c r="CJ190" i="23916"/>
  <c r="CJ189" i="23916"/>
  <c r="CJ188" i="23916"/>
  <c r="CH190" i="23916"/>
  <c r="CH189" i="23916"/>
  <c r="CH188" i="23916"/>
  <c r="CF190" i="23916"/>
  <c r="CF189" i="23916"/>
  <c r="CF188" i="23916"/>
  <c r="CD190" i="23916"/>
  <c r="CD189" i="23916"/>
  <c r="CD188" i="23916"/>
  <c r="CB190" i="23916"/>
  <c r="CB189" i="23916"/>
  <c r="CB188" i="23916"/>
  <c r="BZ190" i="23916"/>
  <c r="BZ189" i="23916"/>
  <c r="BZ188" i="23916"/>
  <c r="BX190" i="23916"/>
  <c r="BX189" i="23916"/>
  <c r="BX188" i="23916"/>
  <c r="BV190" i="23916"/>
  <c r="BV188" i="23916"/>
  <c r="BT189" i="23916"/>
  <c r="BT188" i="23916"/>
  <c r="BR190" i="23916"/>
  <c r="BR188" i="23916"/>
  <c r="BP190" i="23916"/>
  <c r="BP189" i="23916"/>
  <c r="BP188" i="23916"/>
  <c r="BN190" i="23916"/>
  <c r="BN188" i="23916"/>
  <c r="BK190" i="23916"/>
  <c r="BT190" i="23916" s="1"/>
  <c r="BJ190" i="23916"/>
  <c r="BH190" i="23916"/>
  <c r="BH188" i="23916"/>
  <c r="BF190" i="23916"/>
  <c r="BF188" i="23916"/>
  <c r="BD190" i="23916"/>
  <c r="BD188" i="23916"/>
  <c r="BB190" i="23916"/>
  <c r="BB188" i="23916"/>
  <c r="AZ190" i="23916"/>
  <c r="AZ189" i="23916"/>
  <c r="AZ188" i="23916"/>
  <c r="AX189" i="23916"/>
  <c r="AX188" i="23916"/>
  <c r="AV190" i="23916"/>
  <c r="AV189" i="23916"/>
  <c r="AV188" i="23916"/>
  <c r="AT189" i="23916"/>
  <c r="AO190" i="23916"/>
  <c r="AX190" i="23916" s="1"/>
  <c r="AN190" i="23916"/>
  <c r="AF190" i="23916"/>
  <c r="AF189" i="23916"/>
  <c r="AF188" i="23916"/>
  <c r="Z190" i="23916"/>
  <c r="Z189" i="23916"/>
  <c r="Z188" i="23916"/>
  <c r="X190" i="23916"/>
  <c r="X189" i="23916"/>
  <c r="X188" i="23916"/>
  <c r="BM189" i="23916"/>
  <c r="BV189" i="23916" s="1"/>
  <c r="BL189" i="23916"/>
  <c r="BI189" i="23916"/>
  <c r="BR189" i="23916" s="1"/>
  <c r="BG189" i="23916"/>
  <c r="BH189" i="23916" s="1"/>
  <c r="BE189" i="23916"/>
  <c r="BE191" i="23916" s="1"/>
  <c r="BC189" i="23916"/>
  <c r="BD189" i="23916" s="1"/>
  <c r="BA189" i="23916"/>
  <c r="FN189" i="23916" s="1"/>
  <c r="FO189" i="23916" s="1"/>
  <c r="AP189" i="23916"/>
  <c r="AP188" i="23916"/>
  <c r="AN189" i="23916"/>
  <c r="AN188" i="23916"/>
  <c r="GK190" i="23916"/>
  <c r="GJ190" i="23916"/>
  <c r="GI190" i="23916"/>
  <c r="GH190" i="23916"/>
  <c r="GH191" i="23916" s="1"/>
  <c r="GG190" i="23916"/>
  <c r="GF190" i="23916"/>
  <c r="GF191" i="23916" s="1"/>
  <c r="GE190" i="23916"/>
  <c r="GD190" i="23916"/>
  <c r="GD191" i="23916" s="1"/>
  <c r="GC190" i="23916"/>
  <c r="GB190" i="23916"/>
  <c r="GB191" i="23916" s="1"/>
  <c r="GA190" i="23916"/>
  <c r="FZ190" i="23916"/>
  <c r="FZ191" i="23916" s="1"/>
  <c r="FY190" i="23916"/>
  <c r="FX190" i="23916"/>
  <c r="FX191" i="23916" s="1"/>
  <c r="FW190" i="23916"/>
  <c r="FV190" i="23916"/>
  <c r="FV191" i="23916" s="1"/>
  <c r="FU190" i="23916"/>
  <c r="FT190" i="23916"/>
  <c r="FT191" i="23916" s="1"/>
  <c r="FR190" i="23916"/>
  <c r="FR191" i="23916" s="1"/>
  <c r="FO190" i="23916"/>
  <c r="FN190" i="23916"/>
  <c r="FN191" i="23916" s="1"/>
  <c r="FL190" i="23916"/>
  <c r="FL191" i="23916" s="1"/>
  <c r="FI190" i="23916"/>
  <c r="GI189" i="23916"/>
  <c r="GH189" i="23916"/>
  <c r="GG189" i="23916"/>
  <c r="GF189" i="23916"/>
  <c r="GE189" i="23916"/>
  <c r="GD189" i="23916"/>
  <c r="GC189" i="23916"/>
  <c r="GB189" i="23916"/>
  <c r="GA189" i="23916"/>
  <c r="FZ189" i="23916"/>
  <c r="FY189" i="23916"/>
  <c r="FX189" i="23916"/>
  <c r="FW189" i="23916"/>
  <c r="FV189" i="23916"/>
  <c r="FU189" i="23916"/>
  <c r="FT189" i="23916"/>
  <c r="FR189" i="23916"/>
  <c r="FL189" i="23916"/>
  <c r="FI189" i="23916"/>
  <c r="GI188" i="23916"/>
  <c r="GH188" i="23916"/>
  <c r="GH200" i="23916" s="1"/>
  <c r="GI200" i="23916" s="1"/>
  <c r="GG188" i="23916"/>
  <c r="GF188" i="23916"/>
  <c r="GE188" i="23916"/>
  <c r="GD188" i="23916"/>
  <c r="GD200" i="23916" s="1"/>
  <c r="GE200" i="23916" s="1"/>
  <c r="GC188" i="23916"/>
  <c r="GB188" i="23916"/>
  <c r="GA188" i="23916"/>
  <c r="FZ188" i="23916"/>
  <c r="FZ200" i="23916" s="1"/>
  <c r="FY188" i="23916"/>
  <c r="FX188" i="23916"/>
  <c r="FX200" i="23916" s="1"/>
  <c r="FY200" i="23916" s="1"/>
  <c r="FW188" i="23916"/>
  <c r="FV188" i="23916"/>
  <c r="FV200" i="23916" s="1"/>
  <c r="FU188" i="23916"/>
  <c r="FT188" i="23916"/>
  <c r="FT200" i="23916" s="1"/>
  <c r="FU200" i="23916" s="1"/>
  <c r="FS188" i="23916"/>
  <c r="FR188" i="23916"/>
  <c r="FR200" i="23916" s="1"/>
  <c r="FQ188" i="23916"/>
  <c r="FP188" i="23916"/>
  <c r="FP200" i="23916" s="1"/>
  <c r="FQ200" i="23916" s="1"/>
  <c r="FO188" i="23916"/>
  <c r="FN188" i="23916"/>
  <c r="FN200" i="23916" s="1"/>
  <c r="FL188" i="23916"/>
  <c r="FL200" i="23916" s="1"/>
  <c r="FI188" i="23916"/>
  <c r="BL188" i="23916"/>
  <c r="BJ188" i="23916"/>
  <c r="AK190" i="23916"/>
  <c r="AT190" i="23916" s="1"/>
  <c r="AI190" i="23916"/>
  <c r="AJ190" i="23916" s="1"/>
  <c r="AH190" i="23916"/>
  <c r="AK189" i="23916"/>
  <c r="FJ189" i="23916" s="1"/>
  <c r="AH189" i="23916"/>
  <c r="AK188" i="23916"/>
  <c r="AL188" i="23916" s="1"/>
  <c r="AI188" i="23916"/>
  <c r="AR188" i="23916" s="1"/>
  <c r="AH188" i="23916"/>
  <c r="AC190" i="23916"/>
  <c r="AB190" i="23916"/>
  <c r="AC189" i="23916"/>
  <c r="AD189" i="23916" s="1"/>
  <c r="AB189" i="23916"/>
  <c r="AC188" i="23916"/>
  <c r="AB188" i="23916"/>
  <c r="U190" i="23916"/>
  <c r="AD190" i="23916" s="1"/>
  <c r="U189" i="23916"/>
  <c r="V189" i="23916" s="1"/>
  <c r="U188" i="23916"/>
  <c r="V188" i="23916" s="1"/>
  <c r="GH185" i="23916"/>
  <c r="GB185" i="23916"/>
  <c r="FZ185" i="23916"/>
  <c r="EK189" i="23916"/>
  <c r="EA185" i="23916"/>
  <c r="GF185" i="23916" s="1"/>
  <c r="DM185" i="23916"/>
  <c r="GD185" i="23916" s="1"/>
  <c r="GE182" i="23916"/>
  <c r="ER182" i="23916"/>
  <c r="ER177" i="23916"/>
  <c r="EP182" i="23916"/>
  <c r="EP179" i="23916"/>
  <c r="EP177" i="23916"/>
  <c r="EN182" i="23916"/>
  <c r="EN177" i="23916"/>
  <c r="EL182" i="23916"/>
  <c r="EL179" i="23916"/>
  <c r="EL177" i="23916"/>
  <c r="EJ182" i="23916"/>
  <c r="EH182" i="23916"/>
  <c r="EF182" i="23916"/>
  <c r="ED182" i="23916"/>
  <c r="EB182" i="23916"/>
  <c r="DZ182" i="23916"/>
  <c r="GS181" i="23916"/>
  <c r="GS180" i="23916"/>
  <c r="GS179" i="23916"/>
  <c r="GS178" i="23916"/>
  <c r="GS177" i="23916"/>
  <c r="GS176" i="23916"/>
  <c r="GS175" i="23916"/>
  <c r="GS174" i="23916"/>
  <c r="GQ181" i="23916"/>
  <c r="GQ180" i="23916"/>
  <c r="GQ179" i="23916"/>
  <c r="GQ178" i="23916"/>
  <c r="GQ177" i="23916"/>
  <c r="GQ176" i="23916"/>
  <c r="GQ175" i="23916"/>
  <c r="GQ174" i="23916"/>
  <c r="GO181" i="23916"/>
  <c r="GO180" i="23916"/>
  <c r="GO179" i="23916"/>
  <c r="GO178" i="23916"/>
  <c r="GO177" i="23916"/>
  <c r="GO176" i="23916"/>
  <c r="GO175" i="23916"/>
  <c r="GO174" i="23916"/>
  <c r="GM181" i="23916"/>
  <c r="GM180" i="23916"/>
  <c r="GM179" i="23916"/>
  <c r="GM178" i="23916"/>
  <c r="GM177" i="23916"/>
  <c r="GM176" i="23916"/>
  <c r="GM175" i="23916"/>
  <c r="GM174" i="23916"/>
  <c r="GK179" i="23916"/>
  <c r="GK178" i="23916"/>
  <c r="GK175" i="23916"/>
  <c r="GK174" i="23916"/>
  <c r="FO181" i="23916"/>
  <c r="FO180" i="23916"/>
  <c r="FO179" i="23916"/>
  <c r="FO178" i="23916"/>
  <c r="FO177" i="23916"/>
  <c r="FM181" i="23916"/>
  <c r="FM180" i="23916"/>
  <c r="FM179" i="23916"/>
  <c r="FM178" i="23916"/>
  <c r="FM177" i="23916"/>
  <c r="FK180" i="23916"/>
  <c r="EI180" i="23916"/>
  <c r="ER180" i="23916" s="1"/>
  <c r="EI179" i="23916"/>
  <c r="ER179" i="23916" s="1"/>
  <c r="EG180" i="23916"/>
  <c r="EP180" i="23916" s="1"/>
  <c r="EG179" i="23916"/>
  <c r="EE180" i="23916"/>
  <c r="EN180" i="23916" s="1"/>
  <c r="EE179" i="23916"/>
  <c r="EN179" i="23916" s="1"/>
  <c r="EC180" i="23916"/>
  <c r="EL180" i="23916" s="1"/>
  <c r="EC179" i="23916"/>
  <c r="EA180" i="23916"/>
  <c r="EB180" i="23916" s="1"/>
  <c r="EA179" i="23916"/>
  <c r="EB179" i="23916" s="1"/>
  <c r="CK180" i="23916"/>
  <c r="CK179" i="23916"/>
  <c r="CK178" i="23916"/>
  <c r="CK177" i="23916"/>
  <c r="CE180" i="23916"/>
  <c r="CE179" i="23916"/>
  <c r="CE178" i="23916"/>
  <c r="CE177" i="23916"/>
  <c r="CC180" i="23916"/>
  <c r="CC179" i="23916"/>
  <c r="CC178" i="23916"/>
  <c r="CC177" i="23916"/>
  <c r="CA180" i="23916"/>
  <c r="CA179" i="23916"/>
  <c r="CA178" i="23916"/>
  <c r="CA177" i="23916"/>
  <c r="BY180" i="23916"/>
  <c r="BY179" i="23916"/>
  <c r="BY178" i="23916"/>
  <c r="BY177" i="23916"/>
  <c r="BW180" i="23916"/>
  <c r="BW181" i="23916" s="1"/>
  <c r="BW179" i="23916"/>
  <c r="BW178" i="23916"/>
  <c r="BW177" i="23916"/>
  <c r="BU180" i="23916"/>
  <c r="BU179" i="23916"/>
  <c r="BU178" i="23916"/>
  <c r="BU177" i="23916"/>
  <c r="BU181" i="23916" s="1"/>
  <c r="BO180" i="23916"/>
  <c r="BO181" i="23916" s="1"/>
  <c r="BO179" i="23916"/>
  <c r="BO178" i="23916"/>
  <c r="BO177" i="23916"/>
  <c r="CI180" i="23916"/>
  <c r="CI179" i="23916"/>
  <c r="CI178" i="23916"/>
  <c r="CI177" i="23916"/>
  <c r="CG180" i="23916"/>
  <c r="CG179" i="23916"/>
  <c r="CG178" i="23916"/>
  <c r="CG177" i="23916"/>
  <c r="B180" i="23916"/>
  <c r="B179" i="23916"/>
  <c r="B178" i="23916"/>
  <c r="B177" i="23916"/>
  <c r="GI179" i="23916"/>
  <c r="GI178" i="23916"/>
  <c r="GI175" i="23916"/>
  <c r="GI174" i="23916"/>
  <c r="FQ181" i="23916"/>
  <c r="GD180" i="23916"/>
  <c r="GE180" i="23916" s="1"/>
  <c r="GB180" i="23916"/>
  <c r="FQ180" i="23916"/>
  <c r="FQ179" i="23916"/>
  <c r="FI180" i="23916"/>
  <c r="FH180" i="23916"/>
  <c r="FG180" i="23916"/>
  <c r="FF180" i="23916"/>
  <c r="FE180" i="23916"/>
  <c r="FD180" i="23916"/>
  <c r="FI177" i="23916"/>
  <c r="FH177" i="23916"/>
  <c r="FK177" i="23916" s="1"/>
  <c r="FG177" i="23916"/>
  <c r="FF177" i="23916"/>
  <c r="FE177" i="23916"/>
  <c r="FD177" i="23916"/>
  <c r="DX180" i="23916"/>
  <c r="DW180" i="23916"/>
  <c r="DV180" i="23916"/>
  <c r="DU180" i="23916"/>
  <c r="DT180" i="23916"/>
  <c r="DS180" i="23916"/>
  <c r="DR180" i="23916"/>
  <c r="DQ180" i="23916"/>
  <c r="DP180" i="23916"/>
  <c r="DO180" i="23916"/>
  <c r="DN180" i="23916"/>
  <c r="DM180" i="23916"/>
  <c r="DL180" i="23916"/>
  <c r="DK180" i="23916"/>
  <c r="DJ180" i="23916"/>
  <c r="DI180" i="23916"/>
  <c r="DH180" i="23916"/>
  <c r="DG180" i="23916"/>
  <c r="DF180" i="23916"/>
  <c r="DE180" i="23916"/>
  <c r="DD180" i="23916"/>
  <c r="DC180" i="23916"/>
  <c r="DB180" i="23916"/>
  <c r="DA180" i="23916"/>
  <c r="CZ180" i="23916"/>
  <c r="CY180" i="23916"/>
  <c r="CX180" i="23916"/>
  <c r="CW180" i="23916"/>
  <c r="CV180" i="23916"/>
  <c r="CU180" i="23916"/>
  <c r="CT180" i="23916"/>
  <c r="CS180" i="23916"/>
  <c r="CR180" i="23916"/>
  <c r="CQ180" i="23916"/>
  <c r="CP180" i="23916"/>
  <c r="CO180" i="23916"/>
  <c r="CN180" i="23916"/>
  <c r="CM180" i="23916"/>
  <c r="DY179" i="23916"/>
  <c r="EH179" i="23916" s="1"/>
  <c r="DW179" i="23916"/>
  <c r="DX179" i="23916" s="1"/>
  <c r="DU179" i="23916"/>
  <c r="DV179" i="23916" s="1"/>
  <c r="DS179" i="23916"/>
  <c r="DT179" i="23916" s="1"/>
  <c r="DQ179" i="23916"/>
  <c r="DR179" i="23916" s="1"/>
  <c r="DO179" i="23916"/>
  <c r="DP179" i="23916" s="1"/>
  <c r="DM179" i="23916"/>
  <c r="DN179" i="23916" s="1"/>
  <c r="DK179" i="23916"/>
  <c r="DL179" i="23916" s="1"/>
  <c r="DI179" i="23916"/>
  <c r="DJ179" i="23916" s="1"/>
  <c r="DG179" i="23916"/>
  <c r="DH179" i="23916" s="1"/>
  <c r="DE179" i="23916"/>
  <c r="DF179" i="23916" s="1"/>
  <c r="DC179" i="23916"/>
  <c r="DD179" i="23916" s="1"/>
  <c r="DA179" i="23916"/>
  <c r="DB179" i="23916" s="1"/>
  <c r="CY179" i="23916"/>
  <c r="CZ179" i="23916" s="1"/>
  <c r="CW179" i="23916"/>
  <c r="CX179" i="23916" s="1"/>
  <c r="CU179" i="23916"/>
  <c r="CV179" i="23916" s="1"/>
  <c r="CS179" i="23916"/>
  <c r="CT179" i="23916" s="1"/>
  <c r="CQ179" i="23916"/>
  <c r="CR179" i="23916" s="1"/>
  <c r="CO179" i="23916"/>
  <c r="CP179" i="23916" s="1"/>
  <c r="CM179" i="23916"/>
  <c r="CN179" i="23916" s="1"/>
  <c r="BS180" i="23916"/>
  <c r="BS181" i="23916" s="1"/>
  <c r="BQ180" i="23916"/>
  <c r="BQ181" i="23916" s="1"/>
  <c r="BS179" i="23916"/>
  <c r="BQ179" i="23916"/>
  <c r="BS178" i="23916"/>
  <c r="BQ178" i="23916"/>
  <c r="BR178" i="23916" s="1"/>
  <c r="BS177" i="23916"/>
  <c r="BQ177" i="23916"/>
  <c r="BM180" i="23916"/>
  <c r="BL180" i="23916"/>
  <c r="BK180" i="23916"/>
  <c r="BJ180" i="23916"/>
  <c r="BI180" i="23916"/>
  <c r="BH180" i="23916"/>
  <c r="BG180" i="23916"/>
  <c r="BF180" i="23916"/>
  <c r="BE180" i="23916"/>
  <c r="BD180" i="23916"/>
  <c r="BC180" i="23916"/>
  <c r="BB180" i="23916"/>
  <c r="BA180" i="23916"/>
  <c r="AZ180" i="23916"/>
  <c r="AY180" i="23916"/>
  <c r="AX180" i="23916"/>
  <c r="AW180" i="23916"/>
  <c r="AV180" i="23916"/>
  <c r="AU180" i="23916"/>
  <c r="AS180" i="23916"/>
  <c r="AQ180" i="23916"/>
  <c r="AP180" i="23916"/>
  <c r="AO180" i="23916"/>
  <c r="AN180" i="23916"/>
  <c r="AM180" i="23916"/>
  <c r="AH180" i="23916"/>
  <c r="AG180" i="23916"/>
  <c r="AF180" i="23916"/>
  <c r="AE180" i="23916"/>
  <c r="BM179" i="23916"/>
  <c r="BK179" i="23916"/>
  <c r="BL179" i="23916" s="1"/>
  <c r="BI179" i="23916"/>
  <c r="BR179" i="23916" s="1"/>
  <c r="BG179" i="23916"/>
  <c r="BH179" i="23916" s="1"/>
  <c r="BE179" i="23916"/>
  <c r="BF179" i="23916" s="1"/>
  <c r="BC179" i="23916"/>
  <c r="BD179" i="23916" s="1"/>
  <c r="BA179" i="23916"/>
  <c r="BB179" i="23916" s="1"/>
  <c r="AY179" i="23916"/>
  <c r="AZ179" i="23916" s="1"/>
  <c r="AW179" i="23916"/>
  <c r="AX179" i="23916" s="1"/>
  <c r="AU179" i="23916"/>
  <c r="AV179" i="23916" s="1"/>
  <c r="AS179" i="23916"/>
  <c r="AT179" i="23916" s="1"/>
  <c r="AQ179" i="23916"/>
  <c r="AR179" i="23916" s="1"/>
  <c r="AO179" i="23916"/>
  <c r="AP179" i="23916" s="1"/>
  <c r="AM179" i="23916"/>
  <c r="AN179" i="23916" s="1"/>
  <c r="AK179" i="23916"/>
  <c r="AL179" i="23916" s="1"/>
  <c r="AI179" i="23916"/>
  <c r="AJ179" i="23916" s="1"/>
  <c r="AG179" i="23916"/>
  <c r="AH179" i="23916" s="1"/>
  <c r="AE179" i="23916"/>
  <c r="AF179" i="23916" s="1"/>
  <c r="AC179" i="23916"/>
  <c r="AD179" i="23916" s="1"/>
  <c r="BM178" i="23916"/>
  <c r="BL178" i="23916"/>
  <c r="BK178" i="23916"/>
  <c r="BJ178" i="23916"/>
  <c r="BI178" i="23916"/>
  <c r="BH178" i="23916"/>
  <c r="BG178" i="23916"/>
  <c r="BF178" i="23916"/>
  <c r="BE178" i="23916"/>
  <c r="BD178" i="23916"/>
  <c r="BC178" i="23916"/>
  <c r="BB178" i="23916"/>
  <c r="BA178" i="23916"/>
  <c r="AZ178" i="23916"/>
  <c r="AY178" i="23916"/>
  <c r="AX178" i="23916"/>
  <c r="AW178" i="23916"/>
  <c r="AV178" i="23916"/>
  <c r="AU178" i="23916"/>
  <c r="AT178" i="23916"/>
  <c r="AS178" i="23916"/>
  <c r="AR178" i="23916"/>
  <c r="AQ178" i="23916"/>
  <c r="AP178" i="23916"/>
  <c r="AO178" i="23916"/>
  <c r="AN178" i="23916"/>
  <c r="AM178" i="23916"/>
  <c r="AL178" i="23916"/>
  <c r="AK178" i="23916"/>
  <c r="AJ178" i="23916"/>
  <c r="AI178" i="23916"/>
  <c r="AH178" i="23916"/>
  <c r="AG178" i="23916"/>
  <c r="AF178" i="23916"/>
  <c r="AE178" i="23916"/>
  <c r="AD178" i="23916"/>
  <c r="AC178" i="23916"/>
  <c r="BM177" i="23916"/>
  <c r="BM181" i="23916" s="1"/>
  <c r="BK177" i="23916"/>
  <c r="BL177" i="23916" s="1"/>
  <c r="BI177" i="23916"/>
  <c r="BJ177" i="23916" s="1"/>
  <c r="BG177" i="23916"/>
  <c r="BH177" i="23916" s="1"/>
  <c r="BE177" i="23916"/>
  <c r="BF177" i="23916" s="1"/>
  <c r="BC177" i="23916"/>
  <c r="BD177" i="23916" s="1"/>
  <c r="BA177" i="23916"/>
  <c r="BB177" i="23916" s="1"/>
  <c r="AY177" i="23916"/>
  <c r="AZ177" i="23916" s="1"/>
  <c r="AW177" i="23916"/>
  <c r="AX177" i="23916" s="1"/>
  <c r="AU177" i="23916"/>
  <c r="AV177" i="23916" s="1"/>
  <c r="AS177" i="23916"/>
  <c r="AQ177" i="23916"/>
  <c r="AO177" i="23916"/>
  <c r="AP177" i="23916" s="1"/>
  <c r="AM177" i="23916"/>
  <c r="AN177" i="23916" s="1"/>
  <c r="AG177" i="23916"/>
  <c r="AH177" i="23916" s="1"/>
  <c r="AE177" i="23916"/>
  <c r="AF177" i="23916" s="1"/>
  <c r="GD178" i="23916"/>
  <c r="GG178" i="23916" s="1"/>
  <c r="GB178" i="23916"/>
  <c r="FQ178" i="23916"/>
  <c r="GH177" i="23916"/>
  <c r="GK177" i="23916" s="1"/>
  <c r="GF177" i="23916"/>
  <c r="GG177" i="23916" s="1"/>
  <c r="GD177" i="23916"/>
  <c r="GE177" i="23916" s="1"/>
  <c r="GB177" i="23916"/>
  <c r="FQ177" i="23916"/>
  <c r="EJ178" i="23916"/>
  <c r="EI178" i="23916"/>
  <c r="ER178" i="23916" s="1"/>
  <c r="EH178" i="23916"/>
  <c r="EG178" i="23916"/>
  <c r="EP178" i="23916" s="1"/>
  <c r="EF178" i="23916"/>
  <c r="EE178" i="23916"/>
  <c r="EN178" i="23916" s="1"/>
  <c r="ED178" i="23916"/>
  <c r="EC178" i="23916"/>
  <c r="EL178" i="23916" s="1"/>
  <c r="EB178" i="23916"/>
  <c r="EA178" i="23916"/>
  <c r="DZ178" i="23916"/>
  <c r="DY178" i="23916"/>
  <c r="DX178" i="23916"/>
  <c r="DW178" i="23916"/>
  <c r="DV178" i="23916"/>
  <c r="DU178" i="23916"/>
  <c r="DT178" i="23916"/>
  <c r="DS178" i="23916"/>
  <c r="DR178" i="23916"/>
  <c r="DQ178" i="23916"/>
  <c r="DP178" i="23916"/>
  <c r="DO178" i="23916"/>
  <c r="DN178" i="23916"/>
  <c r="DM178" i="23916"/>
  <c r="DL178" i="23916"/>
  <c r="DK178" i="23916"/>
  <c r="DJ178" i="23916"/>
  <c r="DI178" i="23916"/>
  <c r="DH178" i="23916"/>
  <c r="DG178" i="23916"/>
  <c r="DF178" i="23916"/>
  <c r="DE178" i="23916"/>
  <c r="DD178" i="23916"/>
  <c r="DC178" i="23916"/>
  <c r="DB178" i="23916"/>
  <c r="DA178" i="23916"/>
  <c r="CZ178" i="23916"/>
  <c r="CY178" i="23916"/>
  <c r="CX178" i="23916"/>
  <c r="CW178" i="23916"/>
  <c r="CV178" i="23916"/>
  <c r="CU178" i="23916"/>
  <c r="CT178" i="23916"/>
  <c r="CS178" i="23916"/>
  <c r="CR178" i="23916"/>
  <c r="CQ178" i="23916"/>
  <c r="CP178" i="23916"/>
  <c r="CO178" i="23916"/>
  <c r="CN178" i="23916"/>
  <c r="CM178" i="23916"/>
  <c r="EJ177" i="23916"/>
  <c r="EI177" i="23916"/>
  <c r="EH177" i="23916"/>
  <c r="EG177" i="23916"/>
  <c r="EF177" i="23916"/>
  <c r="EE177" i="23916"/>
  <c r="ED177" i="23916"/>
  <c r="EC177" i="23916"/>
  <c r="EB177" i="23916"/>
  <c r="EA177" i="23916"/>
  <c r="DZ177" i="23916"/>
  <c r="DY177" i="23916"/>
  <c r="DX177" i="23916"/>
  <c r="DW177" i="23916"/>
  <c r="DV177" i="23916"/>
  <c r="DU177" i="23916"/>
  <c r="DT177" i="23916"/>
  <c r="DS177" i="23916"/>
  <c r="DR177" i="23916"/>
  <c r="DQ177" i="23916"/>
  <c r="DP177" i="23916"/>
  <c r="DO177" i="23916"/>
  <c r="DN177" i="23916"/>
  <c r="DM177" i="23916"/>
  <c r="DL177" i="23916"/>
  <c r="DK177" i="23916"/>
  <c r="DJ177" i="23916"/>
  <c r="DI177" i="23916"/>
  <c r="DH177" i="23916"/>
  <c r="DG177" i="23916"/>
  <c r="DF177" i="23916"/>
  <c r="DE177" i="23916"/>
  <c r="DD177" i="23916"/>
  <c r="DC177" i="23916"/>
  <c r="DB177" i="23916"/>
  <c r="DA177" i="23916"/>
  <c r="CZ177" i="23916"/>
  <c r="CY177" i="23916"/>
  <c r="CX177" i="23916"/>
  <c r="CW177" i="23916"/>
  <c r="CV177" i="23916"/>
  <c r="CU177" i="23916"/>
  <c r="CT177" i="23916"/>
  <c r="CS177" i="23916"/>
  <c r="CR177" i="23916"/>
  <c r="CQ177" i="23916"/>
  <c r="CP177" i="23916"/>
  <c r="CO177" i="23916"/>
  <c r="CN177" i="23916"/>
  <c r="CM177" i="23916"/>
  <c r="EI176" i="23916"/>
  <c r="EI175" i="23916"/>
  <c r="ER175" i="23916" s="1"/>
  <c r="EI174" i="23916"/>
  <c r="EG176" i="23916"/>
  <c r="EG175" i="23916"/>
  <c r="EG174" i="23916"/>
  <c r="EE176" i="23916"/>
  <c r="EE175" i="23916"/>
  <c r="EN175" i="23916" s="1"/>
  <c r="EE174" i="23916"/>
  <c r="EC176" i="23916"/>
  <c r="GH176" i="23916" s="1"/>
  <c r="EC175" i="23916"/>
  <c r="EC174" i="23916"/>
  <c r="EA176" i="23916"/>
  <c r="EA175" i="23916"/>
  <c r="EB175" i="23916" s="1"/>
  <c r="EA174" i="23916"/>
  <c r="DY176" i="23916"/>
  <c r="DY175" i="23916"/>
  <c r="DY174" i="23916"/>
  <c r="DW176" i="23916"/>
  <c r="DW175" i="23916"/>
  <c r="DX175" i="23916" s="1"/>
  <c r="DW174" i="23916"/>
  <c r="DU176" i="23916"/>
  <c r="DU175" i="23916"/>
  <c r="DU174" i="23916"/>
  <c r="DS176" i="23916"/>
  <c r="DS175" i="23916"/>
  <c r="DT175" i="23916" s="1"/>
  <c r="DS174" i="23916"/>
  <c r="DQ176" i="23916"/>
  <c r="DQ175" i="23916"/>
  <c r="DQ174" i="23916"/>
  <c r="DO176" i="23916"/>
  <c r="DO175" i="23916"/>
  <c r="DP175" i="23916" s="1"/>
  <c r="DO174" i="23916"/>
  <c r="DM176" i="23916"/>
  <c r="DM175" i="23916"/>
  <c r="DM174" i="23916"/>
  <c r="DK176" i="23916"/>
  <c r="DK175" i="23916"/>
  <c r="DL175" i="23916" s="1"/>
  <c r="DK174" i="23916"/>
  <c r="DI176" i="23916"/>
  <c r="DI175" i="23916"/>
  <c r="DI174" i="23916"/>
  <c r="DG176" i="23916"/>
  <c r="DE176" i="23916"/>
  <c r="DC176" i="23916"/>
  <c r="CW176" i="23916"/>
  <c r="CW175" i="23916"/>
  <c r="CW174" i="23916"/>
  <c r="CU175" i="23916"/>
  <c r="CV175" i="23916" s="1"/>
  <c r="CU174" i="23916"/>
  <c r="CU176" i="23916" s="1"/>
  <c r="CS175" i="23916"/>
  <c r="CS174" i="23916"/>
  <c r="CS176" i="23916" s="1"/>
  <c r="CQ175" i="23916"/>
  <c r="CQ176" i="23916" s="1"/>
  <c r="CQ174" i="23916"/>
  <c r="CO176" i="23916"/>
  <c r="CO175" i="23916"/>
  <c r="CO174" i="23916"/>
  <c r="FO175" i="23916"/>
  <c r="FO174" i="23916"/>
  <c r="FM175" i="23916"/>
  <c r="FM174" i="23916"/>
  <c r="ER174" i="23916"/>
  <c r="EP175" i="23916"/>
  <c r="EP174" i="23916"/>
  <c r="EN174" i="23916"/>
  <c r="EL175" i="23916"/>
  <c r="EL174" i="23916"/>
  <c r="EJ174" i="23916"/>
  <c r="EH175" i="23916"/>
  <c r="EH174" i="23916"/>
  <c r="EF174" i="23916"/>
  <c r="ED175" i="23916"/>
  <c r="ED174" i="23916"/>
  <c r="EB174" i="23916"/>
  <c r="DZ175" i="23916"/>
  <c r="DZ174" i="23916"/>
  <c r="DX174" i="23916"/>
  <c r="DV175" i="23916"/>
  <c r="DV174" i="23916"/>
  <c r="DT174" i="23916"/>
  <c r="DR175" i="23916"/>
  <c r="DR174" i="23916"/>
  <c r="DP174" i="23916"/>
  <c r="DN174" i="23916"/>
  <c r="DL174" i="23916"/>
  <c r="DJ174" i="23916"/>
  <c r="CT175" i="23916"/>
  <c r="CP175" i="23916"/>
  <c r="CK175" i="23916"/>
  <c r="CK174" i="23916"/>
  <c r="CT174" i="23916" s="1"/>
  <c r="CI175" i="23916"/>
  <c r="CI174" i="23916"/>
  <c r="CR174" i="23916" s="1"/>
  <c r="CG175" i="23916"/>
  <c r="CE175" i="23916"/>
  <c r="CE174" i="23916"/>
  <c r="CC175" i="23916"/>
  <c r="CC174" i="23916"/>
  <c r="CA175" i="23916"/>
  <c r="CA174" i="23916"/>
  <c r="BY175" i="23916"/>
  <c r="BY174" i="23916"/>
  <c r="BW175" i="23916"/>
  <c r="BW174" i="23916"/>
  <c r="BU175" i="23916"/>
  <c r="BU174" i="23916"/>
  <c r="BO175" i="23916"/>
  <c r="BO174" i="23916"/>
  <c r="B175" i="23916"/>
  <c r="B174" i="23916"/>
  <c r="FQ175" i="23916"/>
  <c r="FQ174" i="23916"/>
  <c r="FH175" i="23916"/>
  <c r="FK175" i="23916" s="1"/>
  <c r="FF175" i="23916"/>
  <c r="FG175" i="23916" s="1"/>
  <c r="FD175" i="23916"/>
  <c r="FE175" i="23916" s="1"/>
  <c r="FH174" i="23916"/>
  <c r="FF174" i="23916"/>
  <c r="FG174" i="23916" s="1"/>
  <c r="FD174" i="23916"/>
  <c r="DG175" i="23916"/>
  <c r="DH175" i="23916" s="1"/>
  <c r="DE175" i="23916"/>
  <c r="DN175" i="23916" s="1"/>
  <c r="DC175" i="23916"/>
  <c r="DD175" i="23916" s="1"/>
  <c r="DA175" i="23916"/>
  <c r="DJ175" i="23916" s="1"/>
  <c r="CY175" i="23916"/>
  <c r="CZ175" i="23916" s="1"/>
  <c r="CX175" i="23916"/>
  <c r="DH174" i="23916"/>
  <c r="DG174" i="23916"/>
  <c r="GD174" i="23916" s="1"/>
  <c r="DF174" i="23916"/>
  <c r="DE174" i="23916"/>
  <c r="GB174" i="23916" s="1"/>
  <c r="DD174" i="23916"/>
  <c r="DC174" i="23916"/>
  <c r="DB174" i="23916"/>
  <c r="DA174" i="23916"/>
  <c r="DA176" i="23916" s="1"/>
  <c r="CZ174" i="23916"/>
  <c r="CY174" i="23916"/>
  <c r="CY176" i="23916" s="1"/>
  <c r="CX174" i="23916"/>
  <c r="CM175" i="23916"/>
  <c r="CN175" i="23916" s="1"/>
  <c r="CM174" i="23916"/>
  <c r="CN174" i="23916" s="1"/>
  <c r="BS175" i="23916"/>
  <c r="BR175" i="23916"/>
  <c r="BQ175" i="23916"/>
  <c r="BS174" i="23916"/>
  <c r="BQ174" i="23916"/>
  <c r="BR174" i="23916" s="1"/>
  <c r="BM175" i="23916"/>
  <c r="BL175" i="23916"/>
  <c r="BK175" i="23916"/>
  <c r="BJ175" i="23916"/>
  <c r="BI175" i="23916"/>
  <c r="BH175" i="23916"/>
  <c r="BG175" i="23916"/>
  <c r="BF175" i="23916"/>
  <c r="BE175" i="23916"/>
  <c r="BD175" i="23916"/>
  <c r="BC175" i="23916"/>
  <c r="BB175" i="23916"/>
  <c r="BA175" i="23916"/>
  <c r="AZ175" i="23916"/>
  <c r="AY175" i="23916"/>
  <c r="AX175" i="23916"/>
  <c r="AW175" i="23916"/>
  <c r="AV175" i="23916"/>
  <c r="AU175" i="23916"/>
  <c r="AS175" i="23916"/>
  <c r="AQ175" i="23916"/>
  <c r="AP175" i="23916"/>
  <c r="AO175" i="23916"/>
  <c r="AN175" i="23916"/>
  <c r="AM175" i="23916"/>
  <c r="AH175" i="23916"/>
  <c r="AG175" i="23916"/>
  <c r="AF175" i="23916"/>
  <c r="AE175" i="23916"/>
  <c r="BM174" i="23916"/>
  <c r="BK174" i="23916"/>
  <c r="BL174" i="23916" s="1"/>
  <c r="BI174" i="23916"/>
  <c r="BJ174" i="23916" s="1"/>
  <c r="BG174" i="23916"/>
  <c r="BH174" i="23916" s="1"/>
  <c r="BE174" i="23916"/>
  <c r="BF174" i="23916" s="1"/>
  <c r="BC174" i="23916"/>
  <c r="BD174" i="23916" s="1"/>
  <c r="BA174" i="23916"/>
  <c r="BB174" i="23916" s="1"/>
  <c r="AY174" i="23916"/>
  <c r="AZ174" i="23916" s="1"/>
  <c r="AW174" i="23916"/>
  <c r="AX174" i="23916" s="1"/>
  <c r="AU174" i="23916"/>
  <c r="AV174" i="23916" s="1"/>
  <c r="AS174" i="23916"/>
  <c r="AQ174" i="23916"/>
  <c r="AO174" i="23916"/>
  <c r="AP174" i="23916" s="1"/>
  <c r="AM174" i="23916"/>
  <c r="AN174" i="23916" s="1"/>
  <c r="AG174" i="23916"/>
  <c r="AH174" i="23916" s="1"/>
  <c r="AE174" i="23916"/>
  <c r="AF174" i="23916" s="1"/>
  <c r="GS172" i="23916"/>
  <c r="GS171" i="23916"/>
  <c r="GS170" i="23916"/>
  <c r="GQ172" i="23916"/>
  <c r="GQ171" i="23916"/>
  <c r="GQ170" i="23916"/>
  <c r="GO172" i="23916"/>
  <c r="GO171" i="23916"/>
  <c r="GO170" i="23916"/>
  <c r="GM172" i="23916"/>
  <c r="GM171" i="23916"/>
  <c r="GM170" i="23916"/>
  <c r="FO172" i="23916"/>
  <c r="FO171" i="23916"/>
  <c r="FO170" i="23916"/>
  <c r="FM172" i="23916"/>
  <c r="FM171" i="23916"/>
  <c r="FM170" i="23916"/>
  <c r="CK171" i="23916"/>
  <c r="CK170" i="23916"/>
  <c r="CI171" i="23916"/>
  <c r="CI170" i="23916"/>
  <c r="CG171" i="23916"/>
  <c r="CG170" i="23916"/>
  <c r="CE171" i="23916"/>
  <c r="CE170" i="23916"/>
  <c r="CC171" i="23916"/>
  <c r="CC170" i="23916"/>
  <c r="CA171" i="23916"/>
  <c r="CA170" i="23916"/>
  <c r="BY171" i="23916"/>
  <c r="BY170" i="23916"/>
  <c r="BW171" i="23916"/>
  <c r="BW170" i="23916"/>
  <c r="BU171" i="23916"/>
  <c r="BU170" i="23916"/>
  <c r="BO171" i="23916"/>
  <c r="BO170" i="23916"/>
  <c r="B172" i="23916"/>
  <c r="B171" i="23916"/>
  <c r="B170" i="23916"/>
  <c r="FQ172" i="23916"/>
  <c r="FQ171" i="23916"/>
  <c r="FQ170" i="23916"/>
  <c r="FH171" i="23916"/>
  <c r="FK171" i="23916" s="1"/>
  <c r="FF171" i="23916"/>
  <c r="FG171" i="23916" s="1"/>
  <c r="FD171" i="23916"/>
  <c r="FE171" i="23916" s="1"/>
  <c r="FH170" i="23916"/>
  <c r="FI170" i="23916" s="1"/>
  <c r="FF170" i="23916"/>
  <c r="FG170" i="23916" s="1"/>
  <c r="FD170" i="23916"/>
  <c r="FE170" i="23916" s="1"/>
  <c r="EI171" i="23916"/>
  <c r="EJ171" i="23916" s="1"/>
  <c r="EG171" i="23916"/>
  <c r="EP171" i="23916" s="1"/>
  <c r="EE171" i="23916"/>
  <c r="EF171" i="23916" s="1"/>
  <c r="EC171" i="23916"/>
  <c r="EL171" i="23916" s="1"/>
  <c r="EA171" i="23916"/>
  <c r="EB171" i="23916" s="1"/>
  <c r="DY171" i="23916"/>
  <c r="DZ171" i="23916" s="1"/>
  <c r="DW171" i="23916"/>
  <c r="DX171" i="23916" s="1"/>
  <c r="DU171" i="23916"/>
  <c r="GF171" i="23916" s="1"/>
  <c r="DS171" i="23916"/>
  <c r="DT171" i="23916" s="1"/>
  <c r="DQ171" i="23916"/>
  <c r="DR171" i="23916" s="1"/>
  <c r="DO171" i="23916"/>
  <c r="DP171" i="23916" s="1"/>
  <c r="DM171" i="23916"/>
  <c r="DN171" i="23916" s="1"/>
  <c r="DK171" i="23916"/>
  <c r="DL171" i="23916" s="1"/>
  <c r="DI171" i="23916"/>
  <c r="DJ171" i="23916" s="1"/>
  <c r="DG171" i="23916"/>
  <c r="DH171" i="23916" s="1"/>
  <c r="DE171" i="23916"/>
  <c r="GB171" i="23916" s="1"/>
  <c r="DC171" i="23916"/>
  <c r="DD171" i="23916" s="1"/>
  <c r="DA171" i="23916"/>
  <c r="DB171" i="23916" s="1"/>
  <c r="CY171" i="23916"/>
  <c r="CZ171" i="23916" s="1"/>
  <c r="CW171" i="23916"/>
  <c r="CX171" i="23916" s="1"/>
  <c r="CU171" i="23916"/>
  <c r="CV171" i="23916" s="1"/>
  <c r="CS171" i="23916"/>
  <c r="CT171" i="23916" s="1"/>
  <c r="CQ171" i="23916"/>
  <c r="CR171" i="23916" s="1"/>
  <c r="CO171" i="23916"/>
  <c r="CP171" i="23916" s="1"/>
  <c r="CM171" i="23916"/>
  <c r="CN171" i="23916" s="1"/>
  <c r="EI170" i="23916"/>
  <c r="ER170" i="23916" s="1"/>
  <c r="EG170" i="23916"/>
  <c r="EH170" i="23916" s="1"/>
  <c r="EE170" i="23916"/>
  <c r="EN170" i="23916" s="1"/>
  <c r="EC170" i="23916"/>
  <c r="ED170" i="23916" s="1"/>
  <c r="EA170" i="23916"/>
  <c r="EB170" i="23916" s="1"/>
  <c r="DY170" i="23916"/>
  <c r="DZ170" i="23916" s="1"/>
  <c r="DW170" i="23916"/>
  <c r="DX170" i="23916" s="1"/>
  <c r="DU170" i="23916"/>
  <c r="GF170" i="23916" s="1"/>
  <c r="DS170" i="23916"/>
  <c r="GD170" i="23916" s="1"/>
  <c r="DQ170" i="23916"/>
  <c r="DR170" i="23916" s="1"/>
  <c r="DO170" i="23916"/>
  <c r="DP170" i="23916" s="1"/>
  <c r="DM170" i="23916"/>
  <c r="DN170" i="23916" s="1"/>
  <c r="DK170" i="23916"/>
  <c r="DL170" i="23916" s="1"/>
  <c r="DI170" i="23916"/>
  <c r="DJ170" i="23916" s="1"/>
  <c r="DG170" i="23916"/>
  <c r="DH170" i="23916" s="1"/>
  <c r="DE170" i="23916"/>
  <c r="GB170" i="23916" s="1"/>
  <c r="DC170" i="23916"/>
  <c r="DD170" i="23916" s="1"/>
  <c r="DA170" i="23916"/>
  <c r="DB170" i="23916" s="1"/>
  <c r="CY170" i="23916"/>
  <c r="CZ170" i="23916" s="1"/>
  <c r="CW170" i="23916"/>
  <c r="CX170" i="23916" s="1"/>
  <c r="CU170" i="23916"/>
  <c r="CV170" i="23916" s="1"/>
  <c r="CS170" i="23916"/>
  <c r="CT170" i="23916" s="1"/>
  <c r="CQ170" i="23916"/>
  <c r="CR170" i="23916" s="1"/>
  <c r="CO170" i="23916"/>
  <c r="CP170" i="23916" s="1"/>
  <c r="CM170" i="23916"/>
  <c r="CN170" i="23916" s="1"/>
  <c r="BS171" i="23916"/>
  <c r="BQ171" i="23916"/>
  <c r="BR171" i="23916" s="1"/>
  <c r="BS170" i="23916"/>
  <c r="BQ170" i="23916"/>
  <c r="BM171" i="23916"/>
  <c r="BL171" i="23916"/>
  <c r="BK171" i="23916"/>
  <c r="BJ171" i="23916"/>
  <c r="BI171" i="23916"/>
  <c r="BH171" i="23916"/>
  <c r="BG171" i="23916"/>
  <c r="BF171" i="23916"/>
  <c r="BE171" i="23916"/>
  <c r="BD171" i="23916"/>
  <c r="BC171" i="23916"/>
  <c r="BB171" i="23916"/>
  <c r="BA171" i="23916"/>
  <c r="AZ171" i="23916"/>
  <c r="AY171" i="23916"/>
  <c r="AX171" i="23916"/>
  <c r="AW171" i="23916"/>
  <c r="AV171" i="23916"/>
  <c r="AU171" i="23916"/>
  <c r="AT171" i="23916"/>
  <c r="AS171" i="23916"/>
  <c r="AQ171" i="23916"/>
  <c r="AP171" i="23916"/>
  <c r="AO171" i="23916"/>
  <c r="AN171" i="23916"/>
  <c r="AM171" i="23916"/>
  <c r="AL171" i="23916"/>
  <c r="AK171" i="23916"/>
  <c r="AH171" i="23916"/>
  <c r="AG171" i="23916"/>
  <c r="AF171" i="23916"/>
  <c r="AE171" i="23916"/>
  <c r="AD171" i="23916"/>
  <c r="AC171" i="23916"/>
  <c r="BM170" i="23916"/>
  <c r="BK170" i="23916"/>
  <c r="BL170" i="23916" s="1"/>
  <c r="BI170" i="23916"/>
  <c r="BJ170" i="23916" s="1"/>
  <c r="BG170" i="23916"/>
  <c r="BH170" i="23916" s="1"/>
  <c r="BE170" i="23916"/>
  <c r="BF170" i="23916" s="1"/>
  <c r="BC170" i="23916"/>
  <c r="BD170" i="23916" s="1"/>
  <c r="BA170" i="23916"/>
  <c r="BB170" i="23916" s="1"/>
  <c r="AY170" i="23916"/>
  <c r="AZ170" i="23916" s="1"/>
  <c r="AW170" i="23916"/>
  <c r="AX170" i="23916" s="1"/>
  <c r="AU170" i="23916"/>
  <c r="AV170" i="23916" s="1"/>
  <c r="AS170" i="23916"/>
  <c r="AT170" i="23916" s="1"/>
  <c r="AQ170" i="23916"/>
  <c r="AO170" i="23916"/>
  <c r="AP170" i="23916" s="1"/>
  <c r="AM170" i="23916"/>
  <c r="AN170" i="23916" s="1"/>
  <c r="AK170" i="23916"/>
  <c r="AL170" i="23916" s="1"/>
  <c r="AG170" i="23916"/>
  <c r="AH170" i="23916" s="1"/>
  <c r="AE170" i="23916"/>
  <c r="AF170" i="23916" s="1"/>
  <c r="AC170" i="23916"/>
  <c r="AD170" i="23916" s="1"/>
  <c r="GS168" i="23916"/>
  <c r="GS167" i="23916"/>
  <c r="GS166" i="23916"/>
  <c r="GQ168" i="23916"/>
  <c r="GQ167" i="23916"/>
  <c r="GQ166" i="23916"/>
  <c r="GO168" i="23916"/>
  <c r="GO167" i="23916"/>
  <c r="GO166" i="23916"/>
  <c r="GM168" i="23916"/>
  <c r="GM167" i="23916"/>
  <c r="GM166" i="23916"/>
  <c r="FO168" i="23916"/>
  <c r="FO167" i="23916"/>
  <c r="FO166" i="23916"/>
  <c r="FM168" i="23916"/>
  <c r="FM167" i="23916"/>
  <c r="FM166" i="23916"/>
  <c r="CK167" i="23916"/>
  <c r="CK166" i="23916"/>
  <c r="CI167" i="23916"/>
  <c r="CI166" i="23916"/>
  <c r="CG167" i="23916"/>
  <c r="CG166" i="23916"/>
  <c r="CE167" i="23916"/>
  <c r="CE166" i="23916"/>
  <c r="CC167" i="23916"/>
  <c r="CC166" i="23916"/>
  <c r="CA167" i="23916"/>
  <c r="CA166" i="23916"/>
  <c r="BY167" i="23916"/>
  <c r="BY166" i="23916"/>
  <c r="BW167" i="23916"/>
  <c r="BW166" i="23916"/>
  <c r="BU167" i="23916"/>
  <c r="BU166" i="23916"/>
  <c r="BO167" i="23916"/>
  <c r="BO166" i="23916"/>
  <c r="B168" i="23916"/>
  <c r="B167" i="23916"/>
  <c r="B166" i="23916"/>
  <c r="FQ168" i="23916"/>
  <c r="FQ167" i="23916"/>
  <c r="FQ166" i="23916"/>
  <c r="FH167" i="23916"/>
  <c r="FI167" i="23916" s="1"/>
  <c r="FF167" i="23916"/>
  <c r="FG167" i="23916" s="1"/>
  <c r="FD167" i="23916"/>
  <c r="FE167" i="23916" s="1"/>
  <c r="FH166" i="23916"/>
  <c r="FI166" i="23916" s="1"/>
  <c r="FF166" i="23916"/>
  <c r="FG166" i="23916" s="1"/>
  <c r="FD166" i="23916"/>
  <c r="FE166" i="23916" s="1"/>
  <c r="EI167" i="23916"/>
  <c r="ER167" i="23916" s="1"/>
  <c r="EG167" i="23916"/>
  <c r="EP167" i="23916" s="1"/>
  <c r="EE167" i="23916"/>
  <c r="EF167" i="23916" s="1"/>
  <c r="EC167" i="23916"/>
  <c r="ED167" i="23916" s="1"/>
  <c r="EA167" i="23916"/>
  <c r="EB167" i="23916" s="1"/>
  <c r="DY167" i="23916"/>
  <c r="DZ167" i="23916" s="1"/>
  <c r="DW167" i="23916"/>
  <c r="DX167" i="23916" s="1"/>
  <c r="DU167" i="23916"/>
  <c r="DV167" i="23916" s="1"/>
  <c r="DS167" i="23916"/>
  <c r="GD167" i="23916" s="1"/>
  <c r="DQ167" i="23916"/>
  <c r="DR167" i="23916" s="1"/>
  <c r="DO167" i="23916"/>
  <c r="DP167" i="23916" s="1"/>
  <c r="DM167" i="23916"/>
  <c r="DN167" i="23916" s="1"/>
  <c r="DK167" i="23916"/>
  <c r="DL167" i="23916" s="1"/>
  <c r="DI167" i="23916"/>
  <c r="DJ167" i="23916" s="1"/>
  <c r="DG167" i="23916"/>
  <c r="DH167" i="23916" s="1"/>
  <c r="DE167" i="23916"/>
  <c r="DF167" i="23916" s="1"/>
  <c r="DC167" i="23916"/>
  <c r="DD167" i="23916" s="1"/>
  <c r="DA167" i="23916"/>
  <c r="DB167" i="23916" s="1"/>
  <c r="CY167" i="23916"/>
  <c r="CZ167" i="23916" s="1"/>
  <c r="CW167" i="23916"/>
  <c r="CX167" i="23916" s="1"/>
  <c r="CU167" i="23916"/>
  <c r="CV167" i="23916" s="1"/>
  <c r="CS167" i="23916"/>
  <c r="CT167" i="23916" s="1"/>
  <c r="CQ167" i="23916"/>
  <c r="CR167" i="23916" s="1"/>
  <c r="CO167" i="23916"/>
  <c r="CP167" i="23916" s="1"/>
  <c r="CM167" i="23916"/>
  <c r="CN167" i="23916" s="1"/>
  <c r="EI166" i="23916"/>
  <c r="EG166" i="23916"/>
  <c r="EP166" i="23916" s="1"/>
  <c r="EE166" i="23916"/>
  <c r="EC166" i="23916"/>
  <c r="GH166" i="23916" s="1"/>
  <c r="EA166" i="23916"/>
  <c r="DY166" i="23916"/>
  <c r="DZ166" i="23916" s="1"/>
  <c r="DW166" i="23916"/>
  <c r="DU166" i="23916"/>
  <c r="DS166" i="23916"/>
  <c r="DQ166" i="23916"/>
  <c r="DR166" i="23916" s="1"/>
  <c r="DO166" i="23916"/>
  <c r="DM166" i="23916"/>
  <c r="DN166" i="23916" s="1"/>
  <c r="DK166" i="23916"/>
  <c r="DI166" i="23916"/>
  <c r="DJ166" i="23916" s="1"/>
  <c r="DG166" i="23916"/>
  <c r="DE166" i="23916"/>
  <c r="DC166" i="23916"/>
  <c r="DA166" i="23916"/>
  <c r="DB166" i="23916" s="1"/>
  <c r="CY166" i="23916"/>
  <c r="CW166" i="23916"/>
  <c r="CX166" i="23916" s="1"/>
  <c r="CU166" i="23916"/>
  <c r="CS166" i="23916"/>
  <c r="CT166" i="23916" s="1"/>
  <c r="CQ166" i="23916"/>
  <c r="CR166" i="23916" s="1"/>
  <c r="CO166" i="23916"/>
  <c r="CP166" i="23916" s="1"/>
  <c r="CM166" i="23916"/>
  <c r="CN166" i="23916" s="1"/>
  <c r="BS167" i="23916"/>
  <c r="BQ167" i="23916"/>
  <c r="BR167" i="23916" s="1"/>
  <c r="BS166" i="23916"/>
  <c r="BQ166" i="23916"/>
  <c r="BM167" i="23916"/>
  <c r="BL167" i="23916"/>
  <c r="BK167" i="23916"/>
  <c r="BJ167" i="23916"/>
  <c r="BI167" i="23916"/>
  <c r="BH167" i="23916"/>
  <c r="BG167" i="23916"/>
  <c r="BF167" i="23916"/>
  <c r="BE167" i="23916"/>
  <c r="BD167" i="23916"/>
  <c r="BC167" i="23916"/>
  <c r="BB167" i="23916"/>
  <c r="BA167" i="23916"/>
  <c r="AZ167" i="23916"/>
  <c r="AY167" i="23916"/>
  <c r="AX167" i="23916"/>
  <c r="AW167" i="23916"/>
  <c r="AV167" i="23916"/>
  <c r="AU167" i="23916"/>
  <c r="AT167" i="23916"/>
  <c r="AS167" i="23916"/>
  <c r="AQ167" i="23916"/>
  <c r="AP167" i="23916"/>
  <c r="AO167" i="23916"/>
  <c r="AN167" i="23916"/>
  <c r="AM167" i="23916"/>
  <c r="AL167" i="23916"/>
  <c r="AK167" i="23916"/>
  <c r="AH167" i="23916"/>
  <c r="AG167" i="23916"/>
  <c r="AF167" i="23916"/>
  <c r="AE167" i="23916"/>
  <c r="AD167" i="23916"/>
  <c r="AC167" i="23916"/>
  <c r="BM166" i="23916"/>
  <c r="BK166" i="23916"/>
  <c r="BI166" i="23916"/>
  <c r="BG166" i="23916"/>
  <c r="BE166" i="23916"/>
  <c r="BC166" i="23916"/>
  <c r="BA166" i="23916"/>
  <c r="AY166" i="23916"/>
  <c r="AW166" i="23916"/>
  <c r="AU166" i="23916"/>
  <c r="AS166" i="23916"/>
  <c r="AQ166" i="23916"/>
  <c r="AO166" i="23916"/>
  <c r="AM166" i="23916"/>
  <c r="AG166" i="23916"/>
  <c r="AH166" i="23916" s="1"/>
  <c r="AE166" i="23916"/>
  <c r="AF166" i="23916" s="1"/>
  <c r="EI162" i="23916"/>
  <c r="EI412" i="23916" s="1"/>
  <c r="EG162" i="23916"/>
  <c r="EG412" i="23916" s="1"/>
  <c r="EE162" i="23916"/>
  <c r="EE412" i="23916" s="1"/>
  <c r="EC162" i="23916"/>
  <c r="EC412" i="23916" s="1"/>
  <c r="EA162" i="23916"/>
  <c r="EA412" i="23916" s="1"/>
  <c r="DY162" i="23916"/>
  <c r="DY412" i="23916" s="1"/>
  <c r="DW162" i="23916"/>
  <c r="DW412" i="23916" s="1"/>
  <c r="DU162" i="23916"/>
  <c r="DU412" i="23916" s="1"/>
  <c r="DS162" i="23916"/>
  <c r="DS412" i="23916" s="1"/>
  <c r="DQ162" i="23916"/>
  <c r="DQ412" i="23916" s="1"/>
  <c r="EF162" i="23916"/>
  <c r="EB162" i="23916"/>
  <c r="DT162" i="23916"/>
  <c r="GR162" i="23916"/>
  <c r="GP162" i="23916"/>
  <c r="GN162" i="23916"/>
  <c r="GL162" i="23916"/>
  <c r="ER162" i="23916"/>
  <c r="EQ162" i="23916"/>
  <c r="EQ412" i="23916" s="1"/>
  <c r="ER412" i="23916" s="1"/>
  <c r="EP162" i="23916"/>
  <c r="EO162" i="23916"/>
  <c r="EO412" i="23916" s="1"/>
  <c r="EN162" i="23916"/>
  <c r="EM162" i="23916"/>
  <c r="EM412" i="23916" s="1"/>
  <c r="EN412" i="23916" s="1"/>
  <c r="EL162" i="23916"/>
  <c r="EK162" i="23916"/>
  <c r="EK412" i="23916" s="1"/>
  <c r="EJ162" i="23916"/>
  <c r="DO162" i="23916"/>
  <c r="DX162" i="23916" s="1"/>
  <c r="DM162" i="23916"/>
  <c r="DK162" i="23916"/>
  <c r="DI162" i="23916"/>
  <c r="DG162" i="23916"/>
  <c r="DE162" i="23916"/>
  <c r="DA162" i="23916"/>
  <c r="CY162" i="23916"/>
  <c r="CW162" i="23916"/>
  <c r="CU162" i="23916"/>
  <c r="CS162" i="23916"/>
  <c r="CQ162" i="23916"/>
  <c r="CO162" i="23916"/>
  <c r="CM162" i="23916"/>
  <c r="CK162" i="23916"/>
  <c r="CI162" i="23916"/>
  <c r="CG162" i="23916"/>
  <c r="CE162" i="23916"/>
  <c r="CC162" i="23916"/>
  <c r="CA162" i="23916"/>
  <c r="BY162" i="23916"/>
  <c r="BW162" i="23916"/>
  <c r="BU162" i="23916"/>
  <c r="BS162" i="23916"/>
  <c r="BQ162" i="23916"/>
  <c r="BO162" i="23916"/>
  <c r="BM162" i="23916"/>
  <c r="BK162" i="23916"/>
  <c r="BI162" i="23916"/>
  <c r="BE162" i="23916"/>
  <c r="BC162" i="23916"/>
  <c r="BA162" i="23916"/>
  <c r="AY162" i="23916"/>
  <c r="AW162" i="23916"/>
  <c r="AU162" i="23916"/>
  <c r="AS162" i="23916"/>
  <c r="AQ162" i="23916"/>
  <c r="AO162" i="23916"/>
  <c r="AM162" i="23916"/>
  <c r="AK162" i="23916"/>
  <c r="AI162" i="23916"/>
  <c r="AG162" i="23916"/>
  <c r="AE162" i="23916"/>
  <c r="AC162" i="23916"/>
  <c r="AA162" i="23916"/>
  <c r="Y162" i="23916"/>
  <c r="W162" i="23916"/>
  <c r="U162" i="23916"/>
  <c r="GR158" i="23916"/>
  <c r="GR397" i="23916" s="1"/>
  <c r="GP158" i="23916"/>
  <c r="GP397" i="23916" s="1"/>
  <c r="GN158" i="23916"/>
  <c r="GN397" i="23916" s="1"/>
  <c r="GL158" i="23916"/>
  <c r="GL397" i="23916" s="1"/>
  <c r="FX158" i="23916"/>
  <c r="FX397" i="23916" s="1"/>
  <c r="EQ158" i="23916"/>
  <c r="EQ397" i="23916" s="1"/>
  <c r="EO158" i="23916"/>
  <c r="EO397" i="23916" s="1"/>
  <c r="EM158" i="23916"/>
  <c r="EM397" i="23916" s="1"/>
  <c r="EK158" i="23916"/>
  <c r="EK397" i="23916" s="1"/>
  <c r="EI158" i="23916"/>
  <c r="EI397" i="23916" s="1"/>
  <c r="EG158" i="23916"/>
  <c r="EG397" i="23916" s="1"/>
  <c r="EE158" i="23916"/>
  <c r="EE397" i="23916" s="1"/>
  <c r="EC158" i="23916"/>
  <c r="EC397" i="23916" s="1"/>
  <c r="EA158" i="23916"/>
  <c r="EA397" i="23916" s="1"/>
  <c r="DY158" i="23916"/>
  <c r="DY397" i="23916" s="1"/>
  <c r="DW158" i="23916"/>
  <c r="DW397" i="23916" s="1"/>
  <c r="DU158" i="23916"/>
  <c r="DU397" i="23916" s="1"/>
  <c r="DS158" i="23916"/>
  <c r="DS397" i="23916" s="1"/>
  <c r="DQ158" i="23916"/>
  <c r="DQ397" i="23916" s="1"/>
  <c r="DO158" i="23916"/>
  <c r="DO397" i="23916" s="1"/>
  <c r="DM158" i="23916"/>
  <c r="DM397" i="23916" s="1"/>
  <c r="DK158" i="23916"/>
  <c r="DK397" i="23916" s="1"/>
  <c r="DI158" i="23916"/>
  <c r="DI397" i="23916" s="1"/>
  <c r="DG158" i="23916"/>
  <c r="DG397" i="23916" s="1"/>
  <c r="DE158" i="23916"/>
  <c r="DE397" i="23916" s="1"/>
  <c r="DC158" i="23916"/>
  <c r="DC397" i="23916" s="1"/>
  <c r="DA158" i="23916"/>
  <c r="DA397" i="23916" s="1"/>
  <c r="CY158" i="23916"/>
  <c r="CY397" i="23916" s="1"/>
  <c r="CW158" i="23916"/>
  <c r="CW397" i="23916" s="1"/>
  <c r="Z156" i="23916"/>
  <c r="Z155" i="23916"/>
  <c r="Z154" i="23916"/>
  <c r="X156" i="23916"/>
  <c r="X155" i="23916"/>
  <c r="X154" i="23916"/>
  <c r="V156" i="23916"/>
  <c r="V155" i="23916"/>
  <c r="V154" i="23916"/>
  <c r="AB156" i="23916"/>
  <c r="AB155" i="23916"/>
  <c r="AB154" i="23916"/>
  <c r="Z152" i="23916"/>
  <c r="Z151" i="23916"/>
  <c r="Z150" i="23916"/>
  <c r="Z149" i="23916"/>
  <c r="Z148" i="23916"/>
  <c r="X152" i="23916"/>
  <c r="X151" i="23916"/>
  <c r="X150" i="23916"/>
  <c r="X149" i="23916"/>
  <c r="X148" i="23916"/>
  <c r="V151" i="23916"/>
  <c r="V150" i="23916"/>
  <c r="V149" i="23916"/>
  <c r="V148" i="23916"/>
  <c r="FH149" i="23916"/>
  <c r="FH155" i="23916" s="1"/>
  <c r="FF149" i="23916"/>
  <c r="FD149" i="23916"/>
  <c r="FI148" i="23916"/>
  <c r="FH148" i="23916"/>
  <c r="FH390" i="23916" s="1"/>
  <c r="FG148" i="23916"/>
  <c r="FF148" i="23916"/>
  <c r="FF390" i="23916" s="1"/>
  <c r="FE148" i="23916"/>
  <c r="FD148" i="23916"/>
  <c r="FD390" i="23916" s="1"/>
  <c r="AB152" i="23916"/>
  <c r="EI151" i="23916"/>
  <c r="EG151" i="23916"/>
  <c r="EE151" i="23916"/>
  <c r="EC151" i="23916"/>
  <c r="DY151" i="23916"/>
  <c r="DW151" i="23916"/>
  <c r="DU151" i="23916"/>
  <c r="DS151" i="23916"/>
  <c r="DQ151" i="23916"/>
  <c r="DO151" i="23916"/>
  <c r="DM151" i="23916"/>
  <c r="DK151" i="23916"/>
  <c r="DI151" i="23916"/>
  <c r="DG151" i="23916"/>
  <c r="DE151" i="23916"/>
  <c r="DC151" i="23916"/>
  <c r="DA151" i="23916"/>
  <c r="CY151" i="23916"/>
  <c r="CE151" i="23916"/>
  <c r="AY151" i="23916"/>
  <c r="AU151" i="23916"/>
  <c r="AM151" i="23916"/>
  <c r="AG151" i="23916"/>
  <c r="AB151" i="23916"/>
  <c r="AB150" i="23916"/>
  <c r="EI149" i="23916"/>
  <c r="EG149" i="23916"/>
  <c r="EE149" i="23916"/>
  <c r="EE155" i="23916" s="1"/>
  <c r="EC149" i="23916"/>
  <c r="EC155" i="23916" s="1"/>
  <c r="EA149" i="23916"/>
  <c r="DY149" i="23916"/>
  <c r="DW149" i="23916"/>
  <c r="DW155" i="23916" s="1"/>
  <c r="DU149" i="23916"/>
  <c r="DU155" i="23916" s="1"/>
  <c r="DS149" i="23916"/>
  <c r="DQ149" i="23916"/>
  <c r="DO149" i="23916"/>
  <c r="DO155" i="23916" s="1"/>
  <c r="DM149" i="23916"/>
  <c r="DM155" i="23916" s="1"/>
  <c r="DK149" i="23916"/>
  <c r="DI149" i="23916"/>
  <c r="DG149" i="23916"/>
  <c r="DG155" i="23916" s="1"/>
  <c r="DE149" i="23916"/>
  <c r="DE155" i="23916" s="1"/>
  <c r="DC149" i="23916"/>
  <c r="DA149" i="23916"/>
  <c r="CY149" i="23916"/>
  <c r="CY155" i="23916" s="1"/>
  <c r="CW149" i="23916"/>
  <c r="CW155" i="23916" s="1"/>
  <c r="CU149" i="23916"/>
  <c r="CS149" i="23916"/>
  <c r="CQ149" i="23916"/>
  <c r="CQ155" i="23916" s="1"/>
  <c r="CO149" i="23916"/>
  <c r="CO155" i="23916" s="1"/>
  <c r="CM149" i="23916"/>
  <c r="CK149" i="23916"/>
  <c r="CI149" i="23916"/>
  <c r="CI155" i="23916" s="1"/>
  <c r="CG149" i="23916"/>
  <c r="CG155" i="23916" s="1"/>
  <c r="CE149" i="23916"/>
  <c r="CC149" i="23916"/>
  <c r="CA149" i="23916"/>
  <c r="CA155" i="23916" s="1"/>
  <c r="BW149" i="23916"/>
  <c r="BU149" i="23916"/>
  <c r="BS149" i="23916"/>
  <c r="BS155" i="23916" s="1"/>
  <c r="BQ149" i="23916"/>
  <c r="BQ155" i="23916" s="1"/>
  <c r="BO149" i="23916"/>
  <c r="BM149" i="23916"/>
  <c r="BK149" i="23916"/>
  <c r="BK155" i="23916" s="1"/>
  <c r="BI149" i="23916"/>
  <c r="BI155" i="23916" s="1"/>
  <c r="BG149" i="23916"/>
  <c r="BE149" i="23916"/>
  <c r="BC149" i="23916"/>
  <c r="BC155" i="23916" s="1"/>
  <c r="BA149" i="23916"/>
  <c r="BA155" i="23916" s="1"/>
  <c r="AY149" i="23916"/>
  <c r="AW149" i="23916"/>
  <c r="AU149" i="23916"/>
  <c r="AU155" i="23916" s="1"/>
  <c r="AS149" i="23916"/>
  <c r="AS155" i="23916" s="1"/>
  <c r="AQ149" i="23916"/>
  <c r="AO149" i="23916"/>
  <c r="AM149" i="23916"/>
  <c r="AM155" i="23916" s="1"/>
  <c r="AG149" i="23916"/>
  <c r="AE149" i="23916"/>
  <c r="AB149" i="23916"/>
  <c r="EJ148" i="23916"/>
  <c r="EI148" i="23916"/>
  <c r="EI390" i="23916" s="1"/>
  <c r="EH148" i="23916"/>
  <c r="EG148" i="23916"/>
  <c r="EG390" i="23916" s="1"/>
  <c r="EF148" i="23916"/>
  <c r="EE148" i="23916"/>
  <c r="EE390" i="23916" s="1"/>
  <c r="ED148" i="23916"/>
  <c r="EC148" i="23916"/>
  <c r="EC390" i="23916" s="1"/>
  <c r="EB148" i="23916"/>
  <c r="EA148" i="23916"/>
  <c r="EA390" i="23916" s="1"/>
  <c r="DZ148" i="23916"/>
  <c r="DY148" i="23916"/>
  <c r="DY390" i="23916" s="1"/>
  <c r="DX148" i="23916"/>
  <c r="DW148" i="23916"/>
  <c r="DW390" i="23916" s="1"/>
  <c r="DV148" i="23916"/>
  <c r="DU148" i="23916"/>
  <c r="DU390" i="23916" s="1"/>
  <c r="DT148" i="23916"/>
  <c r="DS148" i="23916"/>
  <c r="DS390" i="23916" s="1"/>
  <c r="DR148" i="23916"/>
  <c r="DQ148" i="23916"/>
  <c r="DQ390" i="23916" s="1"/>
  <c r="DP148" i="23916"/>
  <c r="DO148" i="23916"/>
  <c r="DO390" i="23916" s="1"/>
  <c r="DN148" i="23916"/>
  <c r="DM148" i="23916"/>
  <c r="DM390" i="23916" s="1"/>
  <c r="DL148" i="23916"/>
  <c r="DK148" i="23916"/>
  <c r="DK390" i="23916" s="1"/>
  <c r="DJ148" i="23916"/>
  <c r="DI148" i="23916"/>
  <c r="DI390" i="23916" s="1"/>
  <c r="DH148" i="23916"/>
  <c r="DG148" i="23916"/>
  <c r="DG390" i="23916" s="1"/>
  <c r="DF148" i="23916"/>
  <c r="DE148" i="23916"/>
  <c r="DE390" i="23916" s="1"/>
  <c r="DD148" i="23916"/>
  <c r="DC148" i="23916"/>
  <c r="DC390" i="23916" s="1"/>
  <c r="DB148" i="23916"/>
  <c r="DA148" i="23916"/>
  <c r="DA390" i="23916" s="1"/>
  <c r="CZ148" i="23916"/>
  <c r="CY148" i="23916"/>
  <c r="CY390" i="23916" s="1"/>
  <c r="CX148" i="23916"/>
  <c r="CW148" i="23916"/>
  <c r="CW390" i="23916" s="1"/>
  <c r="CV148" i="23916"/>
  <c r="CU148" i="23916"/>
  <c r="CU390" i="23916" s="1"/>
  <c r="CT148" i="23916"/>
  <c r="CS148" i="23916"/>
  <c r="CS390" i="23916" s="1"/>
  <c r="CR148" i="23916"/>
  <c r="CQ148" i="23916"/>
  <c r="CQ390" i="23916" s="1"/>
  <c r="CP148" i="23916"/>
  <c r="CO148" i="23916"/>
  <c r="CO390" i="23916" s="1"/>
  <c r="CN148" i="23916"/>
  <c r="CM148" i="23916"/>
  <c r="CM390" i="23916" s="1"/>
  <c r="CL148" i="23916"/>
  <c r="CK148" i="23916"/>
  <c r="CK390" i="23916" s="1"/>
  <c r="CJ148" i="23916"/>
  <c r="CI148" i="23916"/>
  <c r="CI390" i="23916" s="1"/>
  <c r="CH148" i="23916"/>
  <c r="CG148" i="23916"/>
  <c r="CG390" i="23916" s="1"/>
  <c r="CF148" i="23916"/>
  <c r="CE148" i="23916"/>
  <c r="CE390" i="23916" s="1"/>
  <c r="CD148" i="23916"/>
  <c r="CC148" i="23916"/>
  <c r="CC390" i="23916" s="1"/>
  <c r="CB148" i="23916"/>
  <c r="CA148" i="23916"/>
  <c r="CA390" i="23916" s="1"/>
  <c r="BZ148" i="23916"/>
  <c r="BY148" i="23916"/>
  <c r="BY390" i="23916" s="1"/>
  <c r="BX148" i="23916"/>
  <c r="BW148" i="23916"/>
  <c r="BW390" i="23916" s="1"/>
  <c r="BV148" i="23916"/>
  <c r="BU148" i="23916"/>
  <c r="BU390" i="23916" s="1"/>
  <c r="BT148" i="23916"/>
  <c r="BS148" i="23916"/>
  <c r="BS390" i="23916" s="1"/>
  <c r="BR148" i="23916"/>
  <c r="BQ148" i="23916"/>
  <c r="BQ390" i="23916" s="1"/>
  <c r="BP148" i="23916"/>
  <c r="BO148" i="23916"/>
  <c r="BO390" i="23916" s="1"/>
  <c r="BN148" i="23916"/>
  <c r="BM148" i="23916"/>
  <c r="BM390" i="23916" s="1"/>
  <c r="BK148" i="23916"/>
  <c r="BK390" i="23916" s="1"/>
  <c r="BJ148" i="23916"/>
  <c r="BI148" i="23916"/>
  <c r="BI390" i="23916" s="1"/>
  <c r="BH148" i="23916"/>
  <c r="BG148" i="23916"/>
  <c r="BG390" i="23916" s="1"/>
  <c r="BE148" i="23916"/>
  <c r="BE390" i="23916" s="1"/>
  <c r="BA148" i="23916"/>
  <c r="BA390" i="23916" s="1"/>
  <c r="AY148" i="23916"/>
  <c r="AY390" i="23916" s="1"/>
  <c r="AV148" i="23916"/>
  <c r="AU148" i="23916"/>
  <c r="AU390" i="23916" s="1"/>
  <c r="AN148" i="23916"/>
  <c r="AM148" i="23916"/>
  <c r="AM390" i="23916" s="1"/>
  <c r="AG148" i="23916"/>
  <c r="AF148" i="23916"/>
  <c r="AE148" i="23916"/>
  <c r="AE390" i="23916" s="1"/>
  <c r="AB148" i="23916"/>
  <c r="AB145" i="23916"/>
  <c r="AA145" i="23916"/>
  <c r="AA159" i="23916" s="1"/>
  <c r="Z145" i="23916"/>
  <c r="Y145" i="23916"/>
  <c r="Y159" i="23916" s="1"/>
  <c r="X145" i="23916"/>
  <c r="W145" i="23916"/>
  <c r="W159" i="23916" s="1"/>
  <c r="Z144" i="23916"/>
  <c r="Z143" i="23916"/>
  <c r="Z142" i="23916"/>
  <c r="X144" i="23916"/>
  <c r="X143" i="23916"/>
  <c r="X142" i="23916"/>
  <c r="FI144" i="23916"/>
  <c r="FH144" i="23916"/>
  <c r="FH386" i="23916" s="1"/>
  <c r="FG144" i="23916"/>
  <c r="FF144" i="23916"/>
  <c r="FF386" i="23916" s="1"/>
  <c r="FG386" i="23916" s="1"/>
  <c r="FE144" i="23916"/>
  <c r="FD144" i="23916"/>
  <c r="FD386" i="23916" s="1"/>
  <c r="FX143" i="23916"/>
  <c r="FX385" i="23916" s="1"/>
  <c r="FH143" i="23916"/>
  <c r="FH385" i="23916" s="1"/>
  <c r="FI385" i="23916" s="1"/>
  <c r="FF143" i="23916"/>
  <c r="FF385" i="23916" s="1"/>
  <c r="FD143" i="23916"/>
  <c r="FD385" i="23916" s="1"/>
  <c r="FE385" i="23916" s="1"/>
  <c r="FI142" i="23916"/>
  <c r="FH142" i="23916"/>
  <c r="FH384" i="23916" s="1"/>
  <c r="FG142" i="23916"/>
  <c r="FF142" i="23916"/>
  <c r="FF384" i="23916" s="1"/>
  <c r="FE142" i="23916"/>
  <c r="FD142" i="23916"/>
  <c r="FD384" i="23916" s="1"/>
  <c r="EJ144" i="23916"/>
  <c r="EI144" i="23916"/>
  <c r="EI386" i="23916" s="1"/>
  <c r="EH144" i="23916"/>
  <c r="EG144" i="23916"/>
  <c r="EG386" i="23916" s="1"/>
  <c r="EF144" i="23916"/>
  <c r="EE144" i="23916"/>
  <c r="EE386" i="23916" s="1"/>
  <c r="ED144" i="23916"/>
  <c r="EC144" i="23916"/>
  <c r="EC386" i="23916" s="1"/>
  <c r="EB144" i="23916"/>
  <c r="EA144" i="23916"/>
  <c r="EA386" i="23916" s="1"/>
  <c r="DZ144" i="23916"/>
  <c r="DY144" i="23916"/>
  <c r="DY386" i="23916" s="1"/>
  <c r="DX144" i="23916"/>
  <c r="DW144" i="23916"/>
  <c r="DW386" i="23916" s="1"/>
  <c r="DV144" i="23916"/>
  <c r="DU144" i="23916"/>
  <c r="DU386" i="23916" s="1"/>
  <c r="DT144" i="23916"/>
  <c r="DS144" i="23916"/>
  <c r="DS386" i="23916" s="1"/>
  <c r="DR144" i="23916"/>
  <c r="DQ144" i="23916"/>
  <c r="DQ386" i="23916" s="1"/>
  <c r="DP144" i="23916"/>
  <c r="DO144" i="23916"/>
  <c r="DO386" i="23916" s="1"/>
  <c r="DN144" i="23916"/>
  <c r="DM144" i="23916"/>
  <c r="DM386" i="23916" s="1"/>
  <c r="DL144" i="23916"/>
  <c r="DK144" i="23916"/>
  <c r="DK386" i="23916" s="1"/>
  <c r="DJ144" i="23916"/>
  <c r="DI144" i="23916"/>
  <c r="DI386" i="23916" s="1"/>
  <c r="DH144" i="23916"/>
  <c r="DG144" i="23916"/>
  <c r="DG386" i="23916" s="1"/>
  <c r="DF144" i="23916"/>
  <c r="DE144" i="23916"/>
  <c r="DE386" i="23916" s="1"/>
  <c r="DD144" i="23916"/>
  <c r="DC144" i="23916"/>
  <c r="DC386" i="23916" s="1"/>
  <c r="DB144" i="23916"/>
  <c r="DA144" i="23916"/>
  <c r="DA386" i="23916" s="1"/>
  <c r="CZ144" i="23916"/>
  <c r="CY144" i="23916"/>
  <c r="CY386" i="23916" s="1"/>
  <c r="CX144" i="23916"/>
  <c r="CW144" i="23916"/>
  <c r="CW386" i="23916" s="1"/>
  <c r="CV144" i="23916"/>
  <c r="CU144" i="23916"/>
  <c r="CU386" i="23916" s="1"/>
  <c r="CT144" i="23916"/>
  <c r="CS144" i="23916"/>
  <c r="CS386" i="23916" s="1"/>
  <c r="CR144" i="23916"/>
  <c r="CQ144" i="23916"/>
  <c r="CQ386" i="23916" s="1"/>
  <c r="CP144" i="23916"/>
  <c r="CO144" i="23916"/>
  <c r="CO386" i="23916" s="1"/>
  <c r="CN144" i="23916"/>
  <c r="CM144" i="23916"/>
  <c r="CM386" i="23916" s="1"/>
  <c r="CL144" i="23916"/>
  <c r="CK144" i="23916"/>
  <c r="CK386" i="23916" s="1"/>
  <c r="CJ144" i="23916"/>
  <c r="CI144" i="23916"/>
  <c r="CI386" i="23916" s="1"/>
  <c r="CH144" i="23916"/>
  <c r="CG144" i="23916"/>
  <c r="CG386" i="23916" s="1"/>
  <c r="CF144" i="23916"/>
  <c r="CE144" i="23916"/>
  <c r="CE386" i="23916" s="1"/>
  <c r="CD144" i="23916"/>
  <c r="CC144" i="23916"/>
  <c r="CC386" i="23916" s="1"/>
  <c r="CB144" i="23916"/>
  <c r="CA144" i="23916"/>
  <c r="CA386" i="23916" s="1"/>
  <c r="BZ144" i="23916"/>
  <c r="BY144" i="23916"/>
  <c r="BY386" i="23916" s="1"/>
  <c r="BX144" i="23916"/>
  <c r="BW144" i="23916"/>
  <c r="BW386" i="23916" s="1"/>
  <c r="BU144" i="23916"/>
  <c r="BU386" i="23916" s="1"/>
  <c r="BT144" i="23916"/>
  <c r="BS144" i="23916"/>
  <c r="BS386" i="23916" s="1"/>
  <c r="BR144" i="23916"/>
  <c r="BQ144" i="23916"/>
  <c r="BQ386" i="23916" s="1"/>
  <c r="BO144" i="23916"/>
  <c r="BO386" i="23916" s="1"/>
  <c r="BK144" i="23916"/>
  <c r="BK386" i="23916" s="1"/>
  <c r="BI144" i="23916"/>
  <c r="BI386" i="23916" s="1"/>
  <c r="BF144" i="23916"/>
  <c r="BE144" i="23916"/>
  <c r="BE386" i="23916" s="1"/>
  <c r="AZ144" i="23916"/>
  <c r="AY144" i="23916"/>
  <c r="AY386" i="23916" s="1"/>
  <c r="AW144" i="23916"/>
  <c r="AW386" i="23916" s="1"/>
  <c r="AV144" i="23916"/>
  <c r="AU144" i="23916"/>
  <c r="AU386" i="23916" s="1"/>
  <c r="AS144" i="23916"/>
  <c r="AS386" i="23916" s="1"/>
  <c r="AQ144" i="23916"/>
  <c r="AQ386" i="23916" s="1"/>
  <c r="AN144" i="23916"/>
  <c r="AM144" i="23916"/>
  <c r="AM386" i="23916" s="1"/>
  <c r="AH144" i="23916"/>
  <c r="AG144" i="23916"/>
  <c r="AG386" i="23916" s="1"/>
  <c r="AH386" i="23916" s="1"/>
  <c r="AF144" i="23916"/>
  <c r="AE144" i="23916"/>
  <c r="AE386" i="23916" s="1"/>
  <c r="AF386" i="23916" s="1"/>
  <c r="AB144" i="23916"/>
  <c r="EI143" i="23916"/>
  <c r="EI385" i="23916" s="1"/>
  <c r="EG143" i="23916"/>
  <c r="EG385" i="23916" s="1"/>
  <c r="EE143" i="23916"/>
  <c r="EE385" i="23916" s="1"/>
  <c r="EC143" i="23916"/>
  <c r="EC385" i="23916" s="1"/>
  <c r="EA143" i="23916"/>
  <c r="EA385" i="23916" s="1"/>
  <c r="DY143" i="23916"/>
  <c r="DY385" i="23916" s="1"/>
  <c r="DW143" i="23916"/>
  <c r="DW385" i="23916" s="1"/>
  <c r="DU143" i="23916"/>
  <c r="DU385" i="23916" s="1"/>
  <c r="DS143" i="23916"/>
  <c r="DS385" i="23916" s="1"/>
  <c r="DQ143" i="23916"/>
  <c r="DQ385" i="23916" s="1"/>
  <c r="DO143" i="23916"/>
  <c r="DO385" i="23916" s="1"/>
  <c r="DM143" i="23916"/>
  <c r="DM385" i="23916" s="1"/>
  <c r="DK143" i="23916"/>
  <c r="DK385" i="23916" s="1"/>
  <c r="DI143" i="23916"/>
  <c r="DI385" i="23916" s="1"/>
  <c r="DG143" i="23916"/>
  <c r="DG385" i="23916" s="1"/>
  <c r="DE143" i="23916"/>
  <c r="DE385" i="23916" s="1"/>
  <c r="DC143" i="23916"/>
  <c r="DC385" i="23916" s="1"/>
  <c r="DA143" i="23916"/>
  <c r="DA385" i="23916" s="1"/>
  <c r="CY143" i="23916"/>
  <c r="CY385" i="23916" s="1"/>
  <c r="CW143" i="23916"/>
  <c r="CW385" i="23916" s="1"/>
  <c r="CU143" i="23916"/>
  <c r="CU385" i="23916" s="1"/>
  <c r="CS143" i="23916"/>
  <c r="CS385" i="23916" s="1"/>
  <c r="CQ143" i="23916"/>
  <c r="CQ385" i="23916" s="1"/>
  <c r="CO143" i="23916"/>
  <c r="CO385" i="23916" s="1"/>
  <c r="CM143" i="23916"/>
  <c r="CM385" i="23916" s="1"/>
  <c r="CK143" i="23916"/>
  <c r="CK385" i="23916" s="1"/>
  <c r="CI143" i="23916"/>
  <c r="CI385" i="23916" s="1"/>
  <c r="CG143" i="23916"/>
  <c r="CG385" i="23916" s="1"/>
  <c r="CE143" i="23916"/>
  <c r="CE385" i="23916" s="1"/>
  <c r="CC143" i="23916"/>
  <c r="CC385" i="23916" s="1"/>
  <c r="CA143" i="23916"/>
  <c r="CA385" i="23916" s="1"/>
  <c r="BY143" i="23916"/>
  <c r="BY385" i="23916" s="1"/>
  <c r="BW143" i="23916"/>
  <c r="BW385" i="23916" s="1"/>
  <c r="BU143" i="23916"/>
  <c r="BU385" i="23916" s="1"/>
  <c r="BS143" i="23916"/>
  <c r="BS385" i="23916" s="1"/>
  <c r="BQ143" i="23916"/>
  <c r="BQ385" i="23916" s="1"/>
  <c r="BO143" i="23916"/>
  <c r="BO385" i="23916" s="1"/>
  <c r="AY143" i="23916"/>
  <c r="AW143" i="23916"/>
  <c r="AU143" i="23916"/>
  <c r="AS143" i="23916"/>
  <c r="AQ143" i="23916"/>
  <c r="AO143" i="23916"/>
  <c r="AO385" i="23916" s="1"/>
  <c r="AM143" i="23916"/>
  <c r="AM385" i="23916" s="1"/>
  <c r="AG143" i="23916"/>
  <c r="AG385" i="23916" s="1"/>
  <c r="AH385" i="23916" s="1"/>
  <c r="AE143" i="23916"/>
  <c r="AE385" i="23916" s="1"/>
  <c r="AF385" i="23916" s="1"/>
  <c r="AB143" i="23916"/>
  <c r="EJ142" i="23916"/>
  <c r="EI142" i="23916"/>
  <c r="EI384" i="23916" s="1"/>
  <c r="EH142" i="23916"/>
  <c r="EG142" i="23916"/>
  <c r="EG384" i="23916" s="1"/>
  <c r="EF142" i="23916"/>
  <c r="EE142" i="23916"/>
  <c r="EE384" i="23916" s="1"/>
  <c r="ED142" i="23916"/>
  <c r="EC142" i="23916"/>
  <c r="EC384" i="23916" s="1"/>
  <c r="EB142" i="23916"/>
  <c r="EA142" i="23916"/>
  <c r="EA384" i="23916" s="1"/>
  <c r="DZ142" i="23916"/>
  <c r="DY142" i="23916"/>
  <c r="DY384" i="23916" s="1"/>
  <c r="DX142" i="23916"/>
  <c r="DW142" i="23916"/>
  <c r="DW384" i="23916" s="1"/>
  <c r="DV142" i="23916"/>
  <c r="DU142" i="23916"/>
  <c r="DU384" i="23916" s="1"/>
  <c r="DT142" i="23916"/>
  <c r="DS142" i="23916"/>
  <c r="DS384" i="23916" s="1"/>
  <c r="DR142" i="23916"/>
  <c r="DQ142" i="23916"/>
  <c r="DQ384" i="23916" s="1"/>
  <c r="DP142" i="23916"/>
  <c r="DO142" i="23916"/>
  <c r="DO384" i="23916" s="1"/>
  <c r="DN142" i="23916"/>
  <c r="DM142" i="23916"/>
  <c r="DM384" i="23916" s="1"/>
  <c r="DL142" i="23916"/>
  <c r="DK142" i="23916"/>
  <c r="DK384" i="23916" s="1"/>
  <c r="DJ142" i="23916"/>
  <c r="DI142" i="23916"/>
  <c r="DI384" i="23916" s="1"/>
  <c r="DH142" i="23916"/>
  <c r="DG142" i="23916"/>
  <c r="DG384" i="23916" s="1"/>
  <c r="DF142" i="23916"/>
  <c r="DE142" i="23916"/>
  <c r="DE384" i="23916" s="1"/>
  <c r="DD142" i="23916"/>
  <c r="DC142" i="23916"/>
  <c r="DC384" i="23916" s="1"/>
  <c r="DB142" i="23916"/>
  <c r="DA142" i="23916"/>
  <c r="DA384" i="23916" s="1"/>
  <c r="CZ142" i="23916"/>
  <c r="CY142" i="23916"/>
  <c r="CY384" i="23916" s="1"/>
  <c r="CX142" i="23916"/>
  <c r="CW142" i="23916"/>
  <c r="CW384" i="23916" s="1"/>
  <c r="CV142" i="23916"/>
  <c r="CU142" i="23916"/>
  <c r="CU384" i="23916" s="1"/>
  <c r="CT142" i="23916"/>
  <c r="CS142" i="23916"/>
  <c r="CS384" i="23916" s="1"/>
  <c r="CR142" i="23916"/>
  <c r="CQ142" i="23916"/>
  <c r="CQ384" i="23916" s="1"/>
  <c r="CP142" i="23916"/>
  <c r="CO142" i="23916"/>
  <c r="CO384" i="23916" s="1"/>
  <c r="CN142" i="23916"/>
  <c r="CM142" i="23916"/>
  <c r="CM384" i="23916" s="1"/>
  <c r="CL142" i="23916"/>
  <c r="CK142" i="23916"/>
  <c r="CK384" i="23916" s="1"/>
  <c r="CJ142" i="23916"/>
  <c r="CI142" i="23916"/>
  <c r="CI384" i="23916" s="1"/>
  <c r="CH142" i="23916"/>
  <c r="CG142" i="23916"/>
  <c r="CG384" i="23916" s="1"/>
  <c r="CF142" i="23916"/>
  <c r="CE142" i="23916"/>
  <c r="CE384" i="23916" s="1"/>
  <c r="CD142" i="23916"/>
  <c r="CC142" i="23916"/>
  <c r="CC384" i="23916" s="1"/>
  <c r="CB142" i="23916"/>
  <c r="CA142" i="23916"/>
  <c r="CA384" i="23916" s="1"/>
  <c r="BZ142" i="23916"/>
  <c r="BY142" i="23916"/>
  <c r="BY384" i="23916" s="1"/>
  <c r="BX142" i="23916"/>
  <c r="BW142" i="23916"/>
  <c r="BW384" i="23916" s="1"/>
  <c r="BV142" i="23916"/>
  <c r="BU142" i="23916"/>
  <c r="BU384" i="23916" s="1"/>
  <c r="BT142" i="23916"/>
  <c r="BS142" i="23916"/>
  <c r="BS384" i="23916" s="1"/>
  <c r="BR142" i="23916"/>
  <c r="BQ142" i="23916"/>
  <c r="BQ384" i="23916" s="1"/>
  <c r="BP142" i="23916"/>
  <c r="BO142" i="23916"/>
  <c r="BO384" i="23916" s="1"/>
  <c r="BN142" i="23916"/>
  <c r="BM142" i="23916"/>
  <c r="BM384" i="23916" s="1"/>
  <c r="BL142" i="23916"/>
  <c r="BK142" i="23916"/>
  <c r="BK384" i="23916" s="1"/>
  <c r="BJ142" i="23916"/>
  <c r="BI142" i="23916"/>
  <c r="BI384" i="23916" s="1"/>
  <c r="BH142" i="23916"/>
  <c r="BG142" i="23916"/>
  <c r="BG384" i="23916" s="1"/>
  <c r="BF142" i="23916"/>
  <c r="BE142" i="23916"/>
  <c r="BE384" i="23916" s="1"/>
  <c r="BD142" i="23916"/>
  <c r="BC142" i="23916"/>
  <c r="BC384" i="23916" s="1"/>
  <c r="BB142" i="23916"/>
  <c r="BA142" i="23916"/>
  <c r="BA384" i="23916" s="1"/>
  <c r="AZ142" i="23916"/>
  <c r="AY142" i="23916"/>
  <c r="AY384" i="23916" s="1"/>
  <c r="AX142" i="23916"/>
  <c r="AW142" i="23916"/>
  <c r="AW384" i="23916" s="1"/>
  <c r="AV142" i="23916"/>
  <c r="AU142" i="23916"/>
  <c r="AU384" i="23916" s="1"/>
  <c r="AS142" i="23916"/>
  <c r="AS384" i="23916" s="1"/>
  <c r="AQ142" i="23916"/>
  <c r="AQ384" i="23916" s="1"/>
  <c r="AP142" i="23916"/>
  <c r="AO142" i="23916"/>
  <c r="AO384" i="23916" s="1"/>
  <c r="AM142" i="23916"/>
  <c r="AM384" i="23916" s="1"/>
  <c r="AH142" i="23916"/>
  <c r="AG142" i="23916"/>
  <c r="AG384" i="23916" s="1"/>
  <c r="AB142" i="23916"/>
  <c r="U144" i="23916"/>
  <c r="V144" i="23916" s="1"/>
  <c r="U143" i="23916"/>
  <c r="V143" i="23916" s="1"/>
  <c r="U142" i="23916"/>
  <c r="V142" i="23916" s="1"/>
  <c r="GS137" i="23916"/>
  <c r="GS136" i="23916"/>
  <c r="GQ137" i="23916"/>
  <c r="GQ136" i="23916"/>
  <c r="GO137" i="23916"/>
  <c r="GO136" i="23916"/>
  <c r="GM137" i="23916"/>
  <c r="GM136" i="23916"/>
  <c r="GK137" i="23916"/>
  <c r="GK136" i="23916"/>
  <c r="GI137" i="23916"/>
  <c r="GI136" i="23916"/>
  <c r="GG137" i="23916"/>
  <c r="GG136" i="23916"/>
  <c r="FM137" i="23916"/>
  <c r="FM136" i="23916"/>
  <c r="FK136" i="23916"/>
  <c r="FF137" i="23916"/>
  <c r="FG137" i="23916" s="1"/>
  <c r="FD137" i="23916"/>
  <c r="FE137" i="23916" s="1"/>
  <c r="ER136" i="23916"/>
  <c r="EP136" i="23916"/>
  <c r="EN136" i="23916"/>
  <c r="EL136" i="23916"/>
  <c r="EI137" i="23916"/>
  <c r="ER137" i="23916" s="1"/>
  <c r="EG137" i="23916"/>
  <c r="EP137" i="23916" s="1"/>
  <c r="EE137" i="23916"/>
  <c r="EN137" i="23916" s="1"/>
  <c r="EC137" i="23916"/>
  <c r="EL137" i="23916" s="1"/>
  <c r="EB137" i="23916"/>
  <c r="EA137" i="23916"/>
  <c r="DX137" i="23916"/>
  <c r="DW137" i="23916"/>
  <c r="DV137" i="23916"/>
  <c r="DU137" i="23916"/>
  <c r="DT137" i="23916"/>
  <c r="DS137" i="23916"/>
  <c r="DR137" i="23916"/>
  <c r="DQ137" i="23916"/>
  <c r="DP137" i="23916"/>
  <c r="DO137" i="23916"/>
  <c r="DN137" i="23916"/>
  <c r="DM137" i="23916"/>
  <c r="DL137" i="23916"/>
  <c r="DK137" i="23916"/>
  <c r="DJ137" i="23916"/>
  <c r="DI137" i="23916"/>
  <c r="DH137" i="23916"/>
  <c r="DG137" i="23916"/>
  <c r="DF137" i="23916"/>
  <c r="DE137" i="23916"/>
  <c r="DD137" i="23916"/>
  <c r="DC137" i="23916"/>
  <c r="DB137" i="23916"/>
  <c r="DA137" i="23916"/>
  <c r="CZ137" i="23916"/>
  <c r="CY137" i="23916"/>
  <c r="CX137" i="23916"/>
  <c r="CW137" i="23916"/>
  <c r="CV137" i="23916"/>
  <c r="CU137" i="23916"/>
  <c r="CT137" i="23916"/>
  <c r="CS137" i="23916"/>
  <c r="CR137" i="23916"/>
  <c r="CQ137" i="23916"/>
  <c r="CP137" i="23916"/>
  <c r="CO137" i="23916"/>
  <c r="CN137" i="23916"/>
  <c r="CM137" i="23916"/>
  <c r="CL137" i="23916"/>
  <c r="CK137" i="23916"/>
  <c r="CJ137" i="23916"/>
  <c r="CI137" i="23916"/>
  <c r="CH137" i="23916"/>
  <c r="CG137" i="23916"/>
  <c r="CE137" i="23916"/>
  <c r="CD137" i="23916"/>
  <c r="CC137" i="23916"/>
  <c r="CA137" i="23916"/>
  <c r="BY137" i="23916"/>
  <c r="BW137" i="23916"/>
  <c r="CF137" i="23916" s="1"/>
  <c r="BU137" i="23916"/>
  <c r="BS137" i="23916"/>
  <c r="CB137" i="23916" s="1"/>
  <c r="BQ137" i="23916"/>
  <c r="BZ137" i="23916" s="1"/>
  <c r="BO137" i="23916"/>
  <c r="BM137" i="23916"/>
  <c r="BK137" i="23916"/>
  <c r="BL137" i="23916" s="1"/>
  <c r="BI137" i="23916"/>
  <c r="BJ137" i="23916" s="1"/>
  <c r="BG137" i="23916"/>
  <c r="BH137" i="23916" s="1"/>
  <c r="BE137" i="23916"/>
  <c r="BF137" i="23916" s="1"/>
  <c r="BC137" i="23916"/>
  <c r="BD137" i="23916" s="1"/>
  <c r="BA137" i="23916"/>
  <c r="BB137" i="23916" s="1"/>
  <c r="AY137" i="23916"/>
  <c r="AW137" i="23916"/>
  <c r="AX137" i="23916" s="1"/>
  <c r="AU137" i="23916"/>
  <c r="AV137" i="23916" s="1"/>
  <c r="AS137" i="23916"/>
  <c r="AQ137" i="23916"/>
  <c r="AO137" i="23916"/>
  <c r="AP137" i="23916" s="1"/>
  <c r="AM137" i="23916"/>
  <c r="AN137" i="23916" s="1"/>
  <c r="AG137" i="23916"/>
  <c r="AH137" i="23916" s="1"/>
  <c r="AE137" i="23916"/>
  <c r="AF137" i="23916" s="1"/>
  <c r="AB137" i="23916"/>
  <c r="GB137" i="23916"/>
  <c r="GE137" i="23916" s="1"/>
  <c r="FO137" i="23916"/>
  <c r="GB136" i="23916"/>
  <c r="GE136" i="23916" s="1"/>
  <c r="FZ136" i="23916"/>
  <c r="FZ180" i="23916" s="1"/>
  <c r="FX136" i="23916"/>
  <c r="FX180" i="23916" s="1"/>
  <c r="FV136" i="23916"/>
  <c r="FV180" i="23916" s="1"/>
  <c r="FT136" i="23916"/>
  <c r="FT180" i="23916" s="1"/>
  <c r="FR136" i="23916"/>
  <c r="FR180" i="23916" s="1"/>
  <c r="FP136" i="23916"/>
  <c r="FP137" i="23916" s="1"/>
  <c r="FQ137" i="23916" s="1"/>
  <c r="FO136" i="23916"/>
  <c r="FI136" i="23916"/>
  <c r="FG136" i="23916"/>
  <c r="FE136" i="23916"/>
  <c r="EJ136" i="23916"/>
  <c r="EF136" i="23916"/>
  <c r="EB136" i="23916"/>
  <c r="DY136" i="23916"/>
  <c r="DY180" i="23916" s="1"/>
  <c r="DX136" i="23916"/>
  <c r="DV136" i="23916"/>
  <c r="DT136" i="23916"/>
  <c r="DR136" i="23916"/>
  <c r="DP136" i="23916"/>
  <c r="DN136" i="23916"/>
  <c r="DL136" i="23916"/>
  <c r="DJ136" i="23916"/>
  <c r="DH136" i="23916"/>
  <c r="DF136" i="23916"/>
  <c r="DD136" i="23916"/>
  <c r="DB136" i="23916"/>
  <c r="CZ136" i="23916"/>
  <c r="CX136" i="23916"/>
  <c r="CV136" i="23916"/>
  <c r="CT136" i="23916"/>
  <c r="CR136" i="23916"/>
  <c r="CP136" i="23916"/>
  <c r="CN136" i="23916"/>
  <c r="CL136" i="23916"/>
  <c r="CJ136" i="23916"/>
  <c r="CH136" i="23916"/>
  <c r="CF136" i="23916"/>
  <c r="CD136" i="23916"/>
  <c r="CB136" i="23916"/>
  <c r="BZ136" i="23916"/>
  <c r="BR136" i="23916"/>
  <c r="BL136" i="23916"/>
  <c r="BJ136" i="23916"/>
  <c r="BH136" i="23916"/>
  <c r="BF136" i="23916"/>
  <c r="BD136" i="23916"/>
  <c r="BB136" i="23916"/>
  <c r="AZ136" i="23916"/>
  <c r="AZ137" i="23916" s="1"/>
  <c r="AX136" i="23916"/>
  <c r="AV136" i="23916"/>
  <c r="AP136" i="23916"/>
  <c r="AN136" i="23916"/>
  <c r="AK136" i="23916"/>
  <c r="AK180" i="23916" s="1"/>
  <c r="AH136" i="23916"/>
  <c r="AF136" i="23916"/>
  <c r="AC136" i="23916"/>
  <c r="AC180" i="23916" s="1"/>
  <c r="AD180" i="23916" s="1"/>
  <c r="AB136" i="23916"/>
  <c r="GS134" i="23916"/>
  <c r="GS133" i="23916"/>
  <c r="GS132" i="23916"/>
  <c r="GQ134" i="23916"/>
  <c r="GQ133" i="23916"/>
  <c r="GQ132" i="23916"/>
  <c r="GO134" i="23916"/>
  <c r="GO133" i="23916"/>
  <c r="GO132" i="23916"/>
  <c r="GM134" i="23916"/>
  <c r="GM133" i="23916"/>
  <c r="GM132" i="23916"/>
  <c r="GK134" i="23916"/>
  <c r="GK133" i="23916"/>
  <c r="GK132" i="23916"/>
  <c r="GI134" i="23916"/>
  <c r="GI133" i="23916"/>
  <c r="GI132" i="23916"/>
  <c r="GG134" i="23916"/>
  <c r="GG133" i="23916"/>
  <c r="GG132" i="23916"/>
  <c r="GE133" i="23916"/>
  <c r="FM134" i="23916"/>
  <c r="FM133" i="23916"/>
  <c r="FM132" i="23916"/>
  <c r="FK132" i="23916"/>
  <c r="CL134" i="23916"/>
  <c r="CL133" i="23916"/>
  <c r="CL132" i="23916"/>
  <c r="CJ134" i="23916"/>
  <c r="CJ133" i="23916"/>
  <c r="CJ132" i="23916"/>
  <c r="CH134" i="23916"/>
  <c r="CH133" i="23916"/>
  <c r="CH132" i="23916"/>
  <c r="CF134" i="23916"/>
  <c r="CF133" i="23916"/>
  <c r="CF132" i="23916"/>
  <c r="CD134" i="23916"/>
  <c r="CD133" i="23916"/>
  <c r="CD132" i="23916"/>
  <c r="CB134" i="23916"/>
  <c r="CB133" i="23916"/>
  <c r="CB132" i="23916"/>
  <c r="BZ134" i="23916"/>
  <c r="BZ133" i="23916"/>
  <c r="BZ132" i="23916"/>
  <c r="BR134" i="23916"/>
  <c r="BR133" i="23916"/>
  <c r="BR132" i="23916"/>
  <c r="BL134" i="23916"/>
  <c r="BL133" i="23916"/>
  <c r="BL132" i="23916"/>
  <c r="BJ134" i="23916"/>
  <c r="BJ133" i="23916"/>
  <c r="BJ132" i="23916"/>
  <c r="BH134" i="23916"/>
  <c r="BH133" i="23916"/>
  <c r="BH132" i="23916"/>
  <c r="BF134" i="23916"/>
  <c r="BF133" i="23916"/>
  <c r="BF132" i="23916"/>
  <c r="BD134" i="23916"/>
  <c r="BD133" i="23916"/>
  <c r="BD132" i="23916"/>
  <c r="BB134" i="23916"/>
  <c r="BB133" i="23916"/>
  <c r="BB132" i="23916"/>
  <c r="AZ134" i="23916"/>
  <c r="AZ133" i="23916"/>
  <c r="AZ132" i="23916"/>
  <c r="AX134" i="23916"/>
  <c r="AX133" i="23916"/>
  <c r="AX132" i="23916"/>
  <c r="AV134" i="23916"/>
  <c r="AV133" i="23916"/>
  <c r="AV132" i="23916"/>
  <c r="AT134" i="23916"/>
  <c r="AT133" i="23916"/>
  <c r="AR134" i="23916"/>
  <c r="AR133" i="23916"/>
  <c r="AP134" i="23916"/>
  <c r="AP133" i="23916"/>
  <c r="AP132" i="23916"/>
  <c r="AN134" i="23916"/>
  <c r="AN133" i="23916"/>
  <c r="AN132" i="23916"/>
  <c r="AL134" i="23916"/>
  <c r="AL133" i="23916"/>
  <c r="AJ134" i="23916"/>
  <c r="AJ133" i="23916"/>
  <c r="AH134" i="23916"/>
  <c r="AH133" i="23916"/>
  <c r="AH132" i="23916"/>
  <c r="AF134" i="23916"/>
  <c r="AF133" i="23916"/>
  <c r="AF132" i="23916"/>
  <c r="AD134" i="23916"/>
  <c r="AD133" i="23916"/>
  <c r="AB134" i="23916"/>
  <c r="AB133" i="23916"/>
  <c r="AB132" i="23916"/>
  <c r="Z134" i="23916"/>
  <c r="Z133" i="23916"/>
  <c r="X134" i="23916"/>
  <c r="X133" i="23916"/>
  <c r="V134" i="23916"/>
  <c r="V133" i="23916"/>
  <c r="T134" i="23916"/>
  <c r="T133" i="23916"/>
  <c r="R134" i="23916"/>
  <c r="R133" i="23916"/>
  <c r="P134" i="23916"/>
  <c r="P133" i="23916"/>
  <c r="N134" i="23916"/>
  <c r="N133" i="23916"/>
  <c r="FH134" i="23916"/>
  <c r="FH179" i="23916" s="1"/>
  <c r="FF134" i="23916"/>
  <c r="FF179" i="23916" s="1"/>
  <c r="FG179" i="23916" s="1"/>
  <c r="FD134" i="23916"/>
  <c r="FD179" i="23916" s="1"/>
  <c r="FE179" i="23916" s="1"/>
  <c r="FH133" i="23916"/>
  <c r="FH178" i="23916" s="1"/>
  <c r="FF133" i="23916"/>
  <c r="FF178" i="23916" s="1"/>
  <c r="FD133" i="23916"/>
  <c r="FD178" i="23916" s="1"/>
  <c r="FE178" i="23916" s="1"/>
  <c r="GB134" i="23916"/>
  <c r="GE134" i="23916" s="1"/>
  <c r="FZ134" i="23916"/>
  <c r="FZ179" i="23916" s="1"/>
  <c r="GA179" i="23916" s="1"/>
  <c r="FX134" i="23916"/>
  <c r="FX179" i="23916" s="1"/>
  <c r="FV134" i="23916"/>
  <c r="FV179" i="23916" s="1"/>
  <c r="FW179" i="23916" s="1"/>
  <c r="FT134" i="23916"/>
  <c r="FT179" i="23916" s="1"/>
  <c r="FR134" i="23916"/>
  <c r="FR179" i="23916" s="1"/>
  <c r="FS179" i="23916" s="1"/>
  <c r="FP134" i="23916"/>
  <c r="FQ134" i="23916" s="1"/>
  <c r="FO134" i="23916"/>
  <c r="GC133" i="23916"/>
  <c r="GB133" i="23916"/>
  <c r="GA133" i="23916"/>
  <c r="FZ133" i="23916"/>
  <c r="FZ178" i="23916" s="1"/>
  <c r="GA178" i="23916" s="1"/>
  <c r="FY133" i="23916"/>
  <c r="FX133" i="23916"/>
  <c r="FX178" i="23916" s="1"/>
  <c r="FW133" i="23916"/>
  <c r="FV133" i="23916"/>
  <c r="FV178" i="23916" s="1"/>
  <c r="FW178" i="23916" s="1"/>
  <c r="FU133" i="23916"/>
  <c r="FT133" i="23916"/>
  <c r="FT178" i="23916" s="1"/>
  <c r="FS133" i="23916"/>
  <c r="FR133" i="23916"/>
  <c r="FR178" i="23916" s="1"/>
  <c r="FS178" i="23916" s="1"/>
  <c r="FQ133" i="23916"/>
  <c r="FP133" i="23916"/>
  <c r="FO133" i="23916"/>
  <c r="GB132" i="23916"/>
  <c r="GE132" i="23916" s="1"/>
  <c r="FZ132" i="23916"/>
  <c r="FZ177" i="23916" s="1"/>
  <c r="FX132" i="23916"/>
  <c r="FX177" i="23916" s="1"/>
  <c r="FY177" i="23916" s="1"/>
  <c r="FV132" i="23916"/>
  <c r="FV177" i="23916" s="1"/>
  <c r="FT132" i="23916"/>
  <c r="FT177" i="23916" s="1"/>
  <c r="FU177" i="23916" s="1"/>
  <c r="FR132" i="23916"/>
  <c r="FR177" i="23916" s="1"/>
  <c r="FS177" i="23916" s="1"/>
  <c r="FP132" i="23916"/>
  <c r="FQ132" i="23916" s="1"/>
  <c r="FO132" i="23916"/>
  <c r="FI132" i="23916"/>
  <c r="FG132" i="23916"/>
  <c r="FE132" i="23916"/>
  <c r="ER132" i="23916"/>
  <c r="EP132" i="23916"/>
  <c r="EN132" i="23916"/>
  <c r="EL132" i="23916"/>
  <c r="EJ132" i="23916"/>
  <c r="EH132" i="23916"/>
  <c r="EF132" i="23916"/>
  <c r="ED132" i="23916"/>
  <c r="EB132" i="23916"/>
  <c r="DZ132" i="23916"/>
  <c r="DX132" i="23916"/>
  <c r="DV132" i="23916"/>
  <c r="DT132" i="23916"/>
  <c r="DR132" i="23916"/>
  <c r="DP132" i="23916"/>
  <c r="DN132" i="23916"/>
  <c r="DL132" i="23916"/>
  <c r="DJ132" i="23916"/>
  <c r="DH132" i="23916"/>
  <c r="DF132" i="23916"/>
  <c r="DD132" i="23916"/>
  <c r="DB132" i="23916"/>
  <c r="CZ132" i="23916"/>
  <c r="CX132" i="23916"/>
  <c r="CV132" i="23916"/>
  <c r="CT132" i="23916"/>
  <c r="CR132" i="23916"/>
  <c r="CP132" i="23916"/>
  <c r="CN132" i="23916"/>
  <c r="AK132" i="23916"/>
  <c r="AK177" i="23916" s="1"/>
  <c r="AC132" i="23916"/>
  <c r="AC177" i="23916" s="1"/>
  <c r="AD177" i="23916" s="1"/>
  <c r="GS128" i="23916"/>
  <c r="GQ128" i="23916"/>
  <c r="GO128" i="23916"/>
  <c r="GM128" i="23916"/>
  <c r="GJ128" i="23916"/>
  <c r="GK128" i="23916" s="1"/>
  <c r="GH128" i="23916"/>
  <c r="GI128" i="23916" s="1"/>
  <c r="GF128" i="23916"/>
  <c r="GG128" i="23916" s="1"/>
  <c r="GD128" i="23916"/>
  <c r="GE128" i="23916" s="1"/>
  <c r="GB128" i="23916"/>
  <c r="GC128" i="23916" s="1"/>
  <c r="FZ128" i="23916"/>
  <c r="GA128" i="23916" s="1"/>
  <c r="FX128" i="23916"/>
  <c r="FY128" i="23916" s="1"/>
  <c r="FV128" i="23916"/>
  <c r="FW128" i="23916" s="1"/>
  <c r="FT128" i="23916"/>
  <c r="FU128" i="23916" s="1"/>
  <c r="FR128" i="23916"/>
  <c r="FS128" i="23916" s="1"/>
  <c r="FP128" i="23916"/>
  <c r="FL128" i="23916"/>
  <c r="FM128" i="23916" s="1"/>
  <c r="FJ128" i="23916"/>
  <c r="FK128" i="23916" s="1"/>
  <c r="FH128" i="23916"/>
  <c r="FI128" i="23916" s="1"/>
  <c r="FF128" i="23916"/>
  <c r="FG128" i="23916" s="1"/>
  <c r="FD128" i="23916"/>
  <c r="FE128" i="23916" s="1"/>
  <c r="ER128" i="23916"/>
  <c r="EP128" i="23916"/>
  <c r="EN128" i="23916"/>
  <c r="EL128" i="23916"/>
  <c r="EJ128" i="23916"/>
  <c r="EH128" i="23916"/>
  <c r="EF128" i="23916"/>
  <c r="ED128" i="23916"/>
  <c r="EB128" i="23916"/>
  <c r="DZ128" i="23916"/>
  <c r="DX128" i="23916"/>
  <c r="DV128" i="23916"/>
  <c r="DT128" i="23916"/>
  <c r="DR128" i="23916"/>
  <c r="DP128" i="23916"/>
  <c r="DN128" i="23916"/>
  <c r="DL128" i="23916"/>
  <c r="DJ128" i="23916"/>
  <c r="DH128" i="23916"/>
  <c r="DF128" i="23916"/>
  <c r="DD128" i="23916"/>
  <c r="DB128" i="23916"/>
  <c r="CZ128" i="23916"/>
  <c r="CX128" i="23916"/>
  <c r="CV128" i="23916"/>
  <c r="CT128" i="23916"/>
  <c r="CR128" i="23916"/>
  <c r="CP128" i="23916"/>
  <c r="CN128" i="23916"/>
  <c r="CL128" i="23916"/>
  <c r="CJ128" i="23916"/>
  <c r="CH128" i="23916"/>
  <c r="CF128" i="23916"/>
  <c r="CD128" i="23916"/>
  <c r="CB128" i="23916"/>
  <c r="BZ128" i="23916"/>
  <c r="BX128" i="23916"/>
  <c r="BV128" i="23916"/>
  <c r="BT128" i="23916"/>
  <c r="BR128" i="23916"/>
  <c r="BN128" i="23916"/>
  <c r="BL128" i="23916"/>
  <c r="BJ128" i="23916"/>
  <c r="BG128" i="23916"/>
  <c r="BP128" i="23916" s="1"/>
  <c r="BF128" i="23916"/>
  <c r="BD128" i="23916"/>
  <c r="BB128" i="23916"/>
  <c r="AZ128" i="23916"/>
  <c r="AX128" i="23916"/>
  <c r="AV128" i="23916"/>
  <c r="AT128" i="23916"/>
  <c r="AR128" i="23916"/>
  <c r="AP128" i="23916"/>
  <c r="AN128" i="23916"/>
  <c r="AL128" i="23916"/>
  <c r="AJ128" i="23916"/>
  <c r="AH128" i="23916"/>
  <c r="AF128" i="23916"/>
  <c r="AD128" i="23916"/>
  <c r="GJ124" i="23916"/>
  <c r="GH124" i="23916"/>
  <c r="GF124" i="23916"/>
  <c r="GD124" i="23916"/>
  <c r="GB124" i="23916"/>
  <c r="FZ124" i="23916"/>
  <c r="FR122" i="23916"/>
  <c r="FR121" i="23916"/>
  <c r="FI121" i="23916"/>
  <c r="FH121" i="23916"/>
  <c r="FG121" i="23916"/>
  <c r="FF121" i="23916"/>
  <c r="FE121" i="23916"/>
  <c r="FD121" i="23916"/>
  <c r="EN122" i="23916"/>
  <c r="EM122" i="23916"/>
  <c r="EO122" i="23916" s="1"/>
  <c r="EL122" i="23916"/>
  <c r="EO121" i="23916"/>
  <c r="EQ121" i="23916" s="1"/>
  <c r="ER121" i="23916" s="1"/>
  <c r="EM121" i="23916"/>
  <c r="EN121" i="23916" s="1"/>
  <c r="EI122" i="23916"/>
  <c r="EH122" i="23916"/>
  <c r="EG122" i="23916"/>
  <c r="EF122" i="23916"/>
  <c r="EE122" i="23916"/>
  <c r="ED122" i="23916"/>
  <c r="EC122" i="23916"/>
  <c r="DZ122" i="23916"/>
  <c r="DY122" i="23916"/>
  <c r="DX122" i="23916"/>
  <c r="DW122" i="23916"/>
  <c r="DV122" i="23916"/>
  <c r="DU122" i="23916"/>
  <c r="DT122" i="23916"/>
  <c r="DS122" i="23916"/>
  <c r="DR122" i="23916"/>
  <c r="DQ122" i="23916"/>
  <c r="DP122" i="23916"/>
  <c r="DO122" i="23916"/>
  <c r="DN122" i="23916"/>
  <c r="DM122" i="23916"/>
  <c r="DL122" i="23916"/>
  <c r="DK122" i="23916"/>
  <c r="DJ122" i="23916"/>
  <c r="DI122" i="23916"/>
  <c r="DH122" i="23916"/>
  <c r="DG122" i="23916"/>
  <c r="DF122" i="23916"/>
  <c r="DE122" i="23916"/>
  <c r="DD122" i="23916"/>
  <c r="DC122" i="23916"/>
  <c r="DB122" i="23916"/>
  <c r="DA122" i="23916"/>
  <c r="CZ122" i="23916"/>
  <c r="CY122" i="23916"/>
  <c r="CX122" i="23916"/>
  <c r="CW122" i="23916"/>
  <c r="CV122" i="23916"/>
  <c r="CU122" i="23916"/>
  <c r="CT122" i="23916"/>
  <c r="CS122" i="23916"/>
  <c r="CR122" i="23916"/>
  <c r="CQ122" i="23916"/>
  <c r="CP122" i="23916"/>
  <c r="CO122" i="23916"/>
  <c r="CN122" i="23916"/>
  <c r="CM122" i="23916"/>
  <c r="CL122" i="23916"/>
  <c r="CK122" i="23916"/>
  <c r="CJ122" i="23916"/>
  <c r="CI122" i="23916"/>
  <c r="CH122" i="23916"/>
  <c r="CG122" i="23916"/>
  <c r="CF122" i="23916"/>
  <c r="CE122" i="23916"/>
  <c r="CD122" i="23916"/>
  <c r="CC122" i="23916"/>
  <c r="CB122" i="23916"/>
  <c r="CA122" i="23916"/>
  <c r="BZ122" i="23916"/>
  <c r="BY122" i="23916"/>
  <c r="BX122" i="23916"/>
  <c r="BW122" i="23916"/>
  <c r="BV122" i="23916"/>
  <c r="BU122" i="23916"/>
  <c r="BT122" i="23916"/>
  <c r="BS122" i="23916"/>
  <c r="BR122" i="23916"/>
  <c r="BQ122" i="23916"/>
  <c r="BP122" i="23916"/>
  <c r="BO122" i="23916"/>
  <c r="BN122" i="23916"/>
  <c r="BM122" i="23916"/>
  <c r="BL122" i="23916"/>
  <c r="BK122" i="23916"/>
  <c r="BJ122" i="23916"/>
  <c r="BI122" i="23916"/>
  <c r="BH122" i="23916"/>
  <c r="BG122" i="23916"/>
  <c r="BE122" i="23916"/>
  <c r="BD122" i="23916"/>
  <c r="BC122" i="23916"/>
  <c r="BA122" i="23916"/>
  <c r="AY122" i="23916"/>
  <c r="AV122" i="23916"/>
  <c r="AU122" i="23916"/>
  <c r="AM122" i="23916"/>
  <c r="AH122" i="23916"/>
  <c r="AG122" i="23916"/>
  <c r="EJ121" i="23916"/>
  <c r="EI121" i="23916"/>
  <c r="EH121" i="23916"/>
  <c r="EG121" i="23916"/>
  <c r="EF121" i="23916"/>
  <c r="EE121" i="23916"/>
  <c r="ED121" i="23916"/>
  <c r="EC121" i="23916"/>
  <c r="EL121" i="23916" s="1"/>
  <c r="EB121" i="23916"/>
  <c r="EA121" i="23916"/>
  <c r="DZ121" i="23916"/>
  <c r="DY121" i="23916"/>
  <c r="DX121" i="23916"/>
  <c r="DW121" i="23916"/>
  <c r="DV121" i="23916"/>
  <c r="DU121" i="23916"/>
  <c r="DT121" i="23916"/>
  <c r="DS121" i="23916"/>
  <c r="DR121" i="23916"/>
  <c r="DQ121" i="23916"/>
  <c r="DP121" i="23916"/>
  <c r="DO121" i="23916"/>
  <c r="DN121" i="23916"/>
  <c r="DM121" i="23916"/>
  <c r="DL121" i="23916"/>
  <c r="DK121" i="23916"/>
  <c r="DJ121" i="23916"/>
  <c r="DI121" i="23916"/>
  <c r="DH121" i="23916"/>
  <c r="DG121" i="23916"/>
  <c r="DF121" i="23916"/>
  <c r="DE121" i="23916"/>
  <c r="DD121" i="23916"/>
  <c r="DC121" i="23916"/>
  <c r="DB121" i="23916"/>
  <c r="DA121" i="23916"/>
  <c r="CZ121" i="23916"/>
  <c r="CY121" i="23916"/>
  <c r="CX121" i="23916"/>
  <c r="CW121" i="23916"/>
  <c r="CV121" i="23916"/>
  <c r="CU121" i="23916"/>
  <c r="CT121" i="23916"/>
  <c r="CS121" i="23916"/>
  <c r="CR121" i="23916"/>
  <c r="CQ121" i="23916"/>
  <c r="CP121" i="23916"/>
  <c r="CO121" i="23916"/>
  <c r="CN121" i="23916"/>
  <c r="CM121" i="23916"/>
  <c r="CL121" i="23916"/>
  <c r="CK121" i="23916"/>
  <c r="CJ121" i="23916"/>
  <c r="CI121" i="23916"/>
  <c r="CH121" i="23916"/>
  <c r="CG121" i="23916"/>
  <c r="CF121" i="23916"/>
  <c r="CE121" i="23916"/>
  <c r="CD121" i="23916"/>
  <c r="CC121" i="23916"/>
  <c r="CB121" i="23916"/>
  <c r="CA121" i="23916"/>
  <c r="BZ121" i="23916"/>
  <c r="BY121" i="23916"/>
  <c r="BX121" i="23916"/>
  <c r="BW121" i="23916"/>
  <c r="BV121" i="23916"/>
  <c r="BU121" i="23916"/>
  <c r="BT121" i="23916"/>
  <c r="BS121" i="23916"/>
  <c r="BR121" i="23916"/>
  <c r="BQ121" i="23916"/>
  <c r="BP121" i="23916"/>
  <c r="BO121" i="23916"/>
  <c r="BN121" i="23916"/>
  <c r="BM121" i="23916"/>
  <c r="BL121" i="23916"/>
  <c r="BK121" i="23916"/>
  <c r="BJ121" i="23916"/>
  <c r="BI121" i="23916"/>
  <c r="BH121" i="23916"/>
  <c r="BG121" i="23916"/>
  <c r="BF121" i="23916"/>
  <c r="BE121" i="23916"/>
  <c r="BD121" i="23916"/>
  <c r="BC121" i="23916"/>
  <c r="BB121" i="23916"/>
  <c r="BA121" i="23916"/>
  <c r="AZ121" i="23916"/>
  <c r="AY121" i="23916"/>
  <c r="AX121" i="23916"/>
  <c r="AW121" i="23916"/>
  <c r="AV121" i="23916"/>
  <c r="AU121" i="23916"/>
  <c r="AS121" i="23916"/>
  <c r="AQ121" i="23916"/>
  <c r="AP121" i="23916"/>
  <c r="AO121" i="23916"/>
  <c r="AN121" i="23916"/>
  <c r="AM121" i="23916"/>
  <c r="AH121" i="23916"/>
  <c r="AG121" i="23916"/>
  <c r="AF121" i="23916"/>
  <c r="AE121" i="23916"/>
  <c r="EK120" i="23916"/>
  <c r="EK119" i="23916"/>
  <c r="EK613" i="23916" s="1"/>
  <c r="EI120" i="23916"/>
  <c r="EI119" i="23916"/>
  <c r="EI613" i="23916" s="1"/>
  <c r="EG120" i="23916"/>
  <c r="EG119" i="23916"/>
  <c r="EG613" i="23916" s="1"/>
  <c r="EE120" i="23916"/>
  <c r="EE119" i="23916"/>
  <c r="EE613" i="23916" s="1"/>
  <c r="EC120" i="23916"/>
  <c r="EC119" i="23916"/>
  <c r="EC613" i="23916" s="1"/>
  <c r="EA120" i="23916"/>
  <c r="EA119" i="23916"/>
  <c r="EA613" i="23916" s="1"/>
  <c r="DY120" i="23916"/>
  <c r="DY119" i="23916"/>
  <c r="DW120" i="23916"/>
  <c r="DW119" i="23916"/>
  <c r="DU120" i="23916"/>
  <c r="DU119" i="23916"/>
  <c r="DS120" i="23916"/>
  <c r="DS119" i="23916"/>
  <c r="DQ120" i="23916"/>
  <c r="DQ119" i="23916"/>
  <c r="DO120" i="23916"/>
  <c r="DO119" i="23916"/>
  <c r="DM120" i="23916"/>
  <c r="DM119" i="23916"/>
  <c r="DK120" i="23916"/>
  <c r="DK119" i="23916"/>
  <c r="DI120" i="23916"/>
  <c r="DI119" i="23916"/>
  <c r="DG120" i="23916"/>
  <c r="DG119" i="23916"/>
  <c r="DE120" i="23916"/>
  <c r="DE119" i="23916"/>
  <c r="DC120" i="23916"/>
  <c r="DC119" i="23916"/>
  <c r="DA120" i="23916"/>
  <c r="DA119" i="23916"/>
  <c r="CY120" i="23916"/>
  <c r="CY119" i="23916"/>
  <c r="CW120" i="23916"/>
  <c r="CW119" i="23916"/>
  <c r="CU120" i="23916"/>
  <c r="CU119" i="23916"/>
  <c r="CS120" i="23916"/>
  <c r="CS119" i="23916"/>
  <c r="CQ120" i="23916"/>
  <c r="CQ119" i="23916"/>
  <c r="GF119" i="23916"/>
  <c r="GB119" i="23916"/>
  <c r="FX119" i="23916"/>
  <c r="FT119" i="23916"/>
  <c r="FU119" i="23916" s="1"/>
  <c r="FR119" i="23916"/>
  <c r="FS119" i="23916" s="1"/>
  <c r="FP119" i="23916"/>
  <c r="FL119" i="23916"/>
  <c r="FH119" i="23916"/>
  <c r="FI119" i="23916" s="1"/>
  <c r="FF119" i="23916"/>
  <c r="FG119" i="23916" s="1"/>
  <c r="FD119" i="23916"/>
  <c r="FE119" i="23916" s="1"/>
  <c r="EL119" i="23916"/>
  <c r="EJ119" i="23916"/>
  <c r="EH119" i="23916"/>
  <c r="EF119" i="23916"/>
  <c r="ED119" i="23916"/>
  <c r="EB119" i="23916"/>
  <c r="DZ119" i="23916"/>
  <c r="DX119" i="23916"/>
  <c r="DV119" i="23916"/>
  <c r="DT119" i="23916"/>
  <c r="DR119" i="23916"/>
  <c r="DP119" i="23916"/>
  <c r="DN119" i="23916"/>
  <c r="DL119" i="23916"/>
  <c r="DJ119" i="23916"/>
  <c r="DH119" i="23916"/>
  <c r="DF119" i="23916"/>
  <c r="DD119" i="23916"/>
  <c r="DB119" i="23916"/>
  <c r="CZ119" i="23916"/>
  <c r="CX119" i="23916"/>
  <c r="CT119" i="23916"/>
  <c r="CP119" i="23916"/>
  <c r="CO119" i="23916"/>
  <c r="CN119" i="23916"/>
  <c r="CM119" i="23916"/>
  <c r="CV119" i="23916" s="1"/>
  <c r="CL119" i="23916"/>
  <c r="CK119" i="23916"/>
  <c r="CJ119" i="23916"/>
  <c r="CI119" i="23916"/>
  <c r="CR119" i="23916" s="1"/>
  <c r="CH119" i="23916"/>
  <c r="CG119" i="23916"/>
  <c r="CF119" i="23916"/>
  <c r="CE119" i="23916"/>
  <c r="CD119" i="23916"/>
  <c r="CC119" i="23916"/>
  <c r="CB119" i="23916"/>
  <c r="CA119" i="23916"/>
  <c r="BZ119" i="23916"/>
  <c r="BY119" i="23916"/>
  <c r="BX119" i="23916"/>
  <c r="BW119" i="23916"/>
  <c r="BV119" i="23916"/>
  <c r="BU119" i="23916"/>
  <c r="BT119" i="23916"/>
  <c r="BS119" i="23916"/>
  <c r="BR119" i="23916"/>
  <c r="BQ119" i="23916"/>
  <c r="BP119" i="23916"/>
  <c r="BO119" i="23916"/>
  <c r="BN119" i="23916"/>
  <c r="BM119" i="23916"/>
  <c r="BL119" i="23916"/>
  <c r="BK119" i="23916"/>
  <c r="BJ119" i="23916"/>
  <c r="BI119" i="23916"/>
  <c r="BH119" i="23916"/>
  <c r="BG119" i="23916"/>
  <c r="BF119" i="23916"/>
  <c r="BE119" i="23916"/>
  <c r="BD119" i="23916"/>
  <c r="BC119" i="23916"/>
  <c r="BB119" i="23916"/>
  <c r="BA119" i="23916"/>
  <c r="AZ119" i="23916"/>
  <c r="AY119" i="23916"/>
  <c r="AW119" i="23916"/>
  <c r="AV119" i="23916"/>
  <c r="AU119" i="23916"/>
  <c r="AS119" i="23916"/>
  <c r="AQ119" i="23916"/>
  <c r="AN119" i="23916"/>
  <c r="AM119" i="23916"/>
  <c r="AH119" i="23916"/>
  <c r="AG119" i="23916"/>
  <c r="AF119" i="23916"/>
  <c r="AE119" i="23916"/>
  <c r="EG117" i="23916"/>
  <c r="EH117" i="23916" s="1"/>
  <c r="EC117" i="23916"/>
  <c r="ED117" i="23916" s="1"/>
  <c r="EA117" i="23916"/>
  <c r="DY117" i="23916"/>
  <c r="DZ117" i="23916" s="1"/>
  <c r="DU117" i="23916"/>
  <c r="DV117" i="23916" s="1"/>
  <c r="DQ117" i="23916"/>
  <c r="DR117" i="23916" s="1"/>
  <c r="DM117" i="23916"/>
  <c r="DN117" i="23916" s="1"/>
  <c r="DI117" i="23916"/>
  <c r="DJ117" i="23916" s="1"/>
  <c r="DE117" i="23916"/>
  <c r="DF117" i="23916" s="1"/>
  <c r="DA117" i="23916"/>
  <c r="DB117" i="23916" s="1"/>
  <c r="CW117" i="23916"/>
  <c r="CX117" i="23916" s="1"/>
  <c r="CS117" i="23916"/>
  <c r="CT117" i="23916" s="1"/>
  <c r="CO117" i="23916"/>
  <c r="CP117" i="23916" s="1"/>
  <c r="CK117" i="23916"/>
  <c r="CL117" i="23916" s="1"/>
  <c r="CG117" i="23916"/>
  <c r="CH117" i="23916" s="1"/>
  <c r="CC117" i="23916"/>
  <c r="CD117" i="23916" s="1"/>
  <c r="BY117" i="23916"/>
  <c r="BZ117" i="23916" s="1"/>
  <c r="BU117" i="23916"/>
  <c r="BV117" i="23916" s="1"/>
  <c r="BQ117" i="23916"/>
  <c r="BR117" i="23916" s="1"/>
  <c r="BM117" i="23916"/>
  <c r="BN117" i="23916" s="1"/>
  <c r="BI117" i="23916"/>
  <c r="BJ117" i="23916" s="1"/>
  <c r="BE117" i="23916"/>
  <c r="BA117" i="23916"/>
  <c r="BB117" i="23916" s="1"/>
  <c r="AS117" i="23916"/>
  <c r="AG117" i="23916"/>
  <c r="AH117" i="23916" s="1"/>
  <c r="FP116" i="23916"/>
  <c r="FQ116" i="23916" s="1"/>
  <c r="FN116" i="23916"/>
  <c r="FJ116" i="23916"/>
  <c r="FK116" i="23916" s="1"/>
  <c r="FH116" i="23916"/>
  <c r="FI116" i="23916" s="1"/>
  <c r="FF116" i="23916"/>
  <c r="FF151" i="23916" s="1"/>
  <c r="FD116" i="23916"/>
  <c r="FE116" i="23916" s="1"/>
  <c r="EJ116" i="23916"/>
  <c r="EH116" i="23916"/>
  <c r="EH114" i="23916"/>
  <c r="EH113" i="23916"/>
  <c r="EF116" i="23916"/>
  <c r="EF114" i="23916"/>
  <c r="EF113" i="23916"/>
  <c r="ED116" i="23916"/>
  <c r="ED114" i="23916"/>
  <c r="ED113" i="23916"/>
  <c r="EB116" i="23916"/>
  <c r="EA116" i="23916"/>
  <c r="EA151" i="23916" s="1"/>
  <c r="DZ116" i="23916"/>
  <c r="DX116" i="23916"/>
  <c r="DX115" i="23916"/>
  <c r="DX114" i="23916"/>
  <c r="DX113" i="23916"/>
  <c r="DV116" i="23916"/>
  <c r="DV115" i="23916"/>
  <c r="DV114" i="23916"/>
  <c r="DV113" i="23916"/>
  <c r="DT116" i="23916"/>
  <c r="DT114" i="23916"/>
  <c r="DT113" i="23916"/>
  <c r="DR116" i="23916"/>
  <c r="DR115" i="23916"/>
  <c r="DR114" i="23916"/>
  <c r="DR113" i="23916"/>
  <c r="DP116" i="23916"/>
  <c r="DP115" i="23916"/>
  <c r="DP114" i="23916"/>
  <c r="DP113" i="23916"/>
  <c r="DN116" i="23916"/>
  <c r="DN115" i="23916"/>
  <c r="DN114" i="23916"/>
  <c r="DN113" i="23916"/>
  <c r="DL116" i="23916"/>
  <c r="DL114" i="23916"/>
  <c r="DL113" i="23916"/>
  <c r="DJ116" i="23916"/>
  <c r="DJ115" i="23916"/>
  <c r="DJ114" i="23916"/>
  <c r="DJ113" i="23916"/>
  <c r="DH116" i="23916"/>
  <c r="DH115" i="23916"/>
  <c r="DH114" i="23916"/>
  <c r="DH113" i="23916"/>
  <c r="DF116" i="23916"/>
  <c r="DF115" i="23916"/>
  <c r="DF114" i="23916"/>
  <c r="DF113" i="23916"/>
  <c r="DD116" i="23916"/>
  <c r="DD114" i="23916"/>
  <c r="DD113" i="23916"/>
  <c r="DB116" i="23916"/>
  <c r="DB115" i="23916"/>
  <c r="DB114" i="23916"/>
  <c r="DB113" i="23916"/>
  <c r="CZ116" i="23916"/>
  <c r="CZ115" i="23916"/>
  <c r="CZ114" i="23916"/>
  <c r="CZ113" i="23916"/>
  <c r="CX116" i="23916"/>
  <c r="CX115" i="23916"/>
  <c r="CX114" i="23916"/>
  <c r="CX113" i="23916"/>
  <c r="CV116" i="23916"/>
  <c r="CV114" i="23916"/>
  <c r="CV113" i="23916"/>
  <c r="CT116" i="23916"/>
  <c r="CT115" i="23916"/>
  <c r="CT114" i="23916"/>
  <c r="CT113" i="23916"/>
  <c r="CR116" i="23916"/>
  <c r="CR115" i="23916"/>
  <c r="CR114" i="23916"/>
  <c r="CR113" i="23916"/>
  <c r="CP116" i="23916"/>
  <c r="CP115" i="23916"/>
  <c r="CP114" i="23916"/>
  <c r="CP113" i="23916"/>
  <c r="CN116" i="23916"/>
  <c r="CN114" i="23916"/>
  <c r="CN113" i="23916"/>
  <c r="CL116" i="23916"/>
  <c r="CL115" i="23916"/>
  <c r="CL114" i="23916"/>
  <c r="CL113" i="23916"/>
  <c r="CJ116" i="23916"/>
  <c r="CJ115" i="23916"/>
  <c r="CJ114" i="23916"/>
  <c r="CJ113" i="23916"/>
  <c r="CH116" i="23916"/>
  <c r="CH115" i="23916"/>
  <c r="CH114" i="23916"/>
  <c r="CH113" i="23916"/>
  <c r="CF116" i="23916"/>
  <c r="CF114" i="23916"/>
  <c r="CF113" i="23916"/>
  <c r="CD116" i="23916"/>
  <c r="CD115" i="23916"/>
  <c r="CD114" i="23916"/>
  <c r="CD113" i="23916"/>
  <c r="CB116" i="23916"/>
  <c r="CB115" i="23916"/>
  <c r="CB114" i="23916"/>
  <c r="CB113" i="23916"/>
  <c r="BZ116" i="23916"/>
  <c r="BZ115" i="23916"/>
  <c r="BZ114" i="23916"/>
  <c r="BZ113" i="23916"/>
  <c r="BX116" i="23916"/>
  <c r="BX114" i="23916"/>
  <c r="BX113" i="23916"/>
  <c r="BV116" i="23916"/>
  <c r="BV115" i="23916"/>
  <c r="BV114" i="23916"/>
  <c r="BV113" i="23916"/>
  <c r="BT116" i="23916"/>
  <c r="BT115" i="23916"/>
  <c r="BT114" i="23916"/>
  <c r="BT113" i="23916"/>
  <c r="BR116" i="23916"/>
  <c r="BR115" i="23916"/>
  <c r="BR114" i="23916"/>
  <c r="BR113" i="23916"/>
  <c r="BP116" i="23916"/>
  <c r="BP114" i="23916"/>
  <c r="BP113" i="23916"/>
  <c r="BN116" i="23916"/>
  <c r="BN115" i="23916"/>
  <c r="BN114" i="23916"/>
  <c r="BN113" i="23916"/>
  <c r="BL116" i="23916"/>
  <c r="BL115" i="23916"/>
  <c r="BL114" i="23916"/>
  <c r="BL113" i="23916"/>
  <c r="BJ116" i="23916"/>
  <c r="BJ115" i="23916"/>
  <c r="BJ114" i="23916"/>
  <c r="BJ113" i="23916"/>
  <c r="BH116" i="23916"/>
  <c r="BH114" i="23916"/>
  <c r="BH113" i="23916"/>
  <c r="BF115" i="23916"/>
  <c r="BF114" i="23916"/>
  <c r="BF113" i="23916"/>
  <c r="BD116" i="23916"/>
  <c r="BD114" i="23916"/>
  <c r="BD113" i="23916"/>
  <c r="BB115" i="23916"/>
  <c r="BB114" i="23916"/>
  <c r="BB113" i="23916"/>
  <c r="AZ114" i="23916"/>
  <c r="AZ113" i="23916"/>
  <c r="AW116" i="23916"/>
  <c r="AW151" i="23916" s="1"/>
  <c r="AV116" i="23916"/>
  <c r="AS116" i="23916"/>
  <c r="AS122" i="23916" s="1"/>
  <c r="AQ116" i="23916"/>
  <c r="AQ151" i="23916" s="1"/>
  <c r="AP116" i="23916"/>
  <c r="AO116" i="23916"/>
  <c r="AO122" i="23916" s="1"/>
  <c r="AP122" i="23916" s="1"/>
  <c r="AN116" i="23916"/>
  <c r="AK116" i="23916"/>
  <c r="AL116" i="23916" s="1"/>
  <c r="AI116" i="23916"/>
  <c r="AH116" i="23916"/>
  <c r="AF116" i="23916"/>
  <c r="AE116" i="23916"/>
  <c r="AE122" i="23916" s="1"/>
  <c r="AD116" i="23916"/>
  <c r="AC116" i="23916"/>
  <c r="AC122" i="23916" s="1"/>
  <c r="AD122" i="23916" s="1"/>
  <c r="FR115" i="23916"/>
  <c r="FR117" i="23916" s="1"/>
  <c r="FH115" i="23916"/>
  <c r="FI115" i="23916" s="1"/>
  <c r="FF115" i="23916"/>
  <c r="FG115" i="23916" s="1"/>
  <c r="FD115" i="23916"/>
  <c r="FE115" i="23916" s="1"/>
  <c r="EI115" i="23916"/>
  <c r="EJ115" i="23916" s="1"/>
  <c r="EG115" i="23916"/>
  <c r="EH115" i="23916" s="1"/>
  <c r="EE115" i="23916"/>
  <c r="EF115" i="23916" s="1"/>
  <c r="EC115" i="23916"/>
  <c r="ED115" i="23916" s="1"/>
  <c r="EA115" i="23916"/>
  <c r="DZ115" i="23916"/>
  <c r="DY115" i="23916"/>
  <c r="DW115" i="23916"/>
  <c r="DW117" i="23916" s="1"/>
  <c r="DU115" i="23916"/>
  <c r="DS115" i="23916"/>
  <c r="DS117" i="23916" s="1"/>
  <c r="DQ115" i="23916"/>
  <c r="DO115" i="23916"/>
  <c r="GD115" i="23916" s="1"/>
  <c r="DM115" i="23916"/>
  <c r="DK115" i="23916"/>
  <c r="DK117" i="23916" s="1"/>
  <c r="DI115" i="23916"/>
  <c r="DG115" i="23916"/>
  <c r="DG117" i="23916" s="1"/>
  <c r="DE115" i="23916"/>
  <c r="DC115" i="23916"/>
  <c r="DC117" i="23916" s="1"/>
  <c r="DA115" i="23916"/>
  <c r="CY115" i="23916"/>
  <c r="FZ115" i="23916" s="1"/>
  <c r="CW115" i="23916"/>
  <c r="CU115" i="23916"/>
  <c r="CU117" i="23916" s="1"/>
  <c r="CS115" i="23916"/>
  <c r="CQ115" i="23916"/>
  <c r="CQ117" i="23916" s="1"/>
  <c r="CO115" i="23916"/>
  <c r="CM115" i="23916"/>
  <c r="CM117" i="23916" s="1"/>
  <c r="CK115" i="23916"/>
  <c r="CI115" i="23916"/>
  <c r="FV115" i="23916" s="1"/>
  <c r="CG115" i="23916"/>
  <c r="CE115" i="23916"/>
  <c r="CE117" i="23916" s="1"/>
  <c r="CC115" i="23916"/>
  <c r="CA115" i="23916"/>
  <c r="CA117" i="23916" s="1"/>
  <c r="BY115" i="23916"/>
  <c r="BW115" i="23916"/>
  <c r="BW117" i="23916" s="1"/>
  <c r="BU115" i="23916"/>
  <c r="BS115" i="23916"/>
  <c r="BS117" i="23916" s="1"/>
  <c r="BQ115" i="23916"/>
  <c r="BO115" i="23916"/>
  <c r="BO117" i="23916" s="1"/>
  <c r="BM115" i="23916"/>
  <c r="BK115" i="23916"/>
  <c r="BK117" i="23916" s="1"/>
  <c r="BI115" i="23916"/>
  <c r="BG115" i="23916"/>
  <c r="BG117" i="23916" s="1"/>
  <c r="BE115" i="23916"/>
  <c r="BC115" i="23916"/>
  <c r="BC117" i="23916" s="1"/>
  <c r="BA115" i="23916"/>
  <c r="AY115" i="23916"/>
  <c r="AY117" i="23916" s="1"/>
  <c r="AW115" i="23916"/>
  <c r="AX115" i="23916" s="1"/>
  <c r="AU115" i="23916"/>
  <c r="AU117" i="23916" s="1"/>
  <c r="AS115" i="23916"/>
  <c r="AQ115" i="23916"/>
  <c r="AQ117" i="23916" s="1"/>
  <c r="AO115" i="23916"/>
  <c r="AP115" i="23916" s="1"/>
  <c r="AM115" i="23916"/>
  <c r="AM117" i="23916" s="1"/>
  <c r="AG115" i="23916"/>
  <c r="AH115" i="23916" s="1"/>
  <c r="AE115" i="23916"/>
  <c r="AE117" i="23916" s="1"/>
  <c r="AF117" i="23916" s="1"/>
  <c r="FG114" i="23916"/>
  <c r="FG113" i="23916"/>
  <c r="FE114" i="23916"/>
  <c r="FE113" i="23916"/>
  <c r="EB114" i="23916"/>
  <c r="EB113" i="23916"/>
  <c r="DZ114" i="23916"/>
  <c r="DZ113" i="23916"/>
  <c r="AX114" i="23916"/>
  <c r="AV114" i="23916"/>
  <c r="AV113" i="23916"/>
  <c r="AT113" i="23916"/>
  <c r="AP114" i="23916"/>
  <c r="AN114" i="23916"/>
  <c r="AN113" i="23916"/>
  <c r="AF114" i="23916"/>
  <c r="AF113" i="23916"/>
  <c r="GI116" i="23916"/>
  <c r="GH116" i="23916"/>
  <c r="GH122" i="23916" s="1"/>
  <c r="GG116" i="23916"/>
  <c r="GF116" i="23916"/>
  <c r="GF122" i="23916" s="1"/>
  <c r="GG122" i="23916" s="1"/>
  <c r="GE116" i="23916"/>
  <c r="GD116" i="23916"/>
  <c r="GD122" i="23916" s="1"/>
  <c r="GC116" i="23916"/>
  <c r="GB116" i="23916"/>
  <c r="GB122" i="23916" s="1"/>
  <c r="GC122" i="23916" s="1"/>
  <c r="GA116" i="23916"/>
  <c r="FZ116" i="23916"/>
  <c r="FZ122" i="23916" s="1"/>
  <c r="FY116" i="23916"/>
  <c r="FX116" i="23916"/>
  <c r="FX122" i="23916" s="1"/>
  <c r="FY122" i="23916" s="1"/>
  <c r="FW116" i="23916"/>
  <c r="FV116" i="23916"/>
  <c r="FV122" i="23916" s="1"/>
  <c r="FU116" i="23916"/>
  <c r="FT116" i="23916"/>
  <c r="FT122" i="23916" s="1"/>
  <c r="FU122" i="23916" s="1"/>
  <c r="FS116" i="23916"/>
  <c r="GI114" i="23916"/>
  <c r="GH114" i="23916"/>
  <c r="GH121" i="23916" s="1"/>
  <c r="GI121" i="23916" s="1"/>
  <c r="GG114" i="23916"/>
  <c r="GF114" i="23916"/>
  <c r="GF121" i="23916" s="1"/>
  <c r="GE114" i="23916"/>
  <c r="GD114" i="23916"/>
  <c r="GD121" i="23916" s="1"/>
  <c r="GE121" i="23916" s="1"/>
  <c r="GC114" i="23916"/>
  <c r="GB114" i="23916"/>
  <c r="GB121" i="23916" s="1"/>
  <c r="GA114" i="23916"/>
  <c r="FZ114" i="23916"/>
  <c r="FZ121" i="23916" s="1"/>
  <c r="GA121" i="23916" s="1"/>
  <c r="FY114" i="23916"/>
  <c r="FX114" i="23916"/>
  <c r="FX121" i="23916" s="1"/>
  <c r="FW114" i="23916"/>
  <c r="FV114" i="23916"/>
  <c r="FV121" i="23916" s="1"/>
  <c r="FW121" i="23916" s="1"/>
  <c r="FU114" i="23916"/>
  <c r="FT114" i="23916"/>
  <c r="FT121" i="23916" s="1"/>
  <c r="FU121" i="23916" s="1"/>
  <c r="FS114" i="23916"/>
  <c r="GI113" i="23916"/>
  <c r="GH113" i="23916"/>
  <c r="GH119" i="23916" s="1"/>
  <c r="GI119" i="23916" s="1"/>
  <c r="GG113" i="23916"/>
  <c r="GF113" i="23916"/>
  <c r="GE113" i="23916"/>
  <c r="GD113" i="23916"/>
  <c r="GD119" i="23916" s="1"/>
  <c r="GE119" i="23916" s="1"/>
  <c r="GC113" i="23916"/>
  <c r="GB113" i="23916"/>
  <c r="GA113" i="23916"/>
  <c r="FZ113" i="23916"/>
  <c r="FZ119" i="23916" s="1"/>
  <c r="GA119" i="23916" s="1"/>
  <c r="FY113" i="23916"/>
  <c r="FX113" i="23916"/>
  <c r="FW113" i="23916"/>
  <c r="FV113" i="23916"/>
  <c r="FV119" i="23916" s="1"/>
  <c r="FW119" i="23916" s="1"/>
  <c r="FU113" i="23916"/>
  <c r="FT113" i="23916"/>
  <c r="FS113" i="23916"/>
  <c r="FP114" i="23916"/>
  <c r="FP121" i="23916" s="1"/>
  <c r="FN114" i="23916"/>
  <c r="FL114" i="23916"/>
  <c r="FL121" i="23916" s="1"/>
  <c r="FJ114" i="23916"/>
  <c r="FI114" i="23916"/>
  <c r="FQ113" i="23916"/>
  <c r="FP113" i="23916"/>
  <c r="FO113" i="23916"/>
  <c r="FN113" i="23916"/>
  <c r="FN119" i="23916" s="1"/>
  <c r="FO119" i="23916" s="1"/>
  <c r="FL113" i="23916"/>
  <c r="FI113" i="23916"/>
  <c r="EM115" i="23916"/>
  <c r="EO115" i="23916" s="1"/>
  <c r="EL115" i="23916"/>
  <c r="EJ114" i="23916"/>
  <c r="EJ113" i="23916"/>
  <c r="AO113" i="23916"/>
  <c r="AO119" i="23916" s="1"/>
  <c r="AK114" i="23916"/>
  <c r="AL114" i="23916" s="1"/>
  <c r="AH114" i="23916"/>
  <c r="AK113" i="23916"/>
  <c r="AK119" i="23916" s="1"/>
  <c r="AH113" i="23916"/>
  <c r="AC114" i="23916"/>
  <c r="AC121" i="23916" s="1"/>
  <c r="AD121" i="23916" s="1"/>
  <c r="AC113" i="23916"/>
  <c r="AC119" i="23916" s="1"/>
  <c r="AD119" i="23916" s="1"/>
  <c r="FR110" i="23916"/>
  <c r="FR125" i="23916" s="1"/>
  <c r="FI110" i="23916"/>
  <c r="FH110" i="23916"/>
  <c r="FG110" i="23916"/>
  <c r="FF110" i="23916"/>
  <c r="FE110" i="23916"/>
  <c r="FD110" i="23916"/>
  <c r="EJ110" i="23916"/>
  <c r="EI110" i="23916"/>
  <c r="EH110" i="23916"/>
  <c r="EG110" i="23916"/>
  <c r="EG125" i="23916" s="1"/>
  <c r="EF110" i="23916"/>
  <c r="EE110" i="23916"/>
  <c r="ED110" i="23916"/>
  <c r="EC110" i="23916"/>
  <c r="EC125" i="23916" s="1"/>
  <c r="EB110" i="23916"/>
  <c r="EA110" i="23916"/>
  <c r="EA125" i="23916" s="1"/>
  <c r="DZ110" i="23916"/>
  <c r="DY110" i="23916"/>
  <c r="DY125" i="23916" s="1"/>
  <c r="DX110" i="23916"/>
  <c r="DW110" i="23916"/>
  <c r="DW125" i="23916" s="1"/>
  <c r="DV110" i="23916"/>
  <c r="DU110" i="23916"/>
  <c r="DU125" i="23916" s="1"/>
  <c r="DT110" i="23916"/>
  <c r="DS110" i="23916"/>
  <c r="DS125" i="23916" s="1"/>
  <c r="DR110" i="23916"/>
  <c r="DQ110" i="23916"/>
  <c r="DQ125" i="23916" s="1"/>
  <c r="DP110" i="23916"/>
  <c r="DO110" i="23916"/>
  <c r="DN110" i="23916"/>
  <c r="DM110" i="23916"/>
  <c r="DM125" i="23916" s="1"/>
  <c r="DL110" i="23916"/>
  <c r="DK110" i="23916"/>
  <c r="DK125" i="23916" s="1"/>
  <c r="DJ110" i="23916"/>
  <c r="DI110" i="23916"/>
  <c r="DI125" i="23916" s="1"/>
  <c r="DH110" i="23916"/>
  <c r="DG110" i="23916"/>
  <c r="DG125" i="23916" s="1"/>
  <c r="DF110" i="23916"/>
  <c r="DE110" i="23916"/>
  <c r="DE125" i="23916" s="1"/>
  <c r="DD110" i="23916"/>
  <c r="DC110" i="23916"/>
  <c r="DC125" i="23916" s="1"/>
  <c r="DB110" i="23916"/>
  <c r="DA110" i="23916"/>
  <c r="DA125" i="23916" s="1"/>
  <c r="CZ110" i="23916"/>
  <c r="CY110" i="23916"/>
  <c r="CX110" i="23916"/>
  <c r="CW110" i="23916"/>
  <c r="CW125" i="23916" s="1"/>
  <c r="CV110" i="23916"/>
  <c r="CU110" i="23916"/>
  <c r="CU125" i="23916" s="1"/>
  <c r="CT110" i="23916"/>
  <c r="CS110" i="23916"/>
  <c r="CS125" i="23916" s="1"/>
  <c r="CR110" i="23916"/>
  <c r="CQ110" i="23916"/>
  <c r="CQ125" i="23916" s="1"/>
  <c r="CP110" i="23916"/>
  <c r="CO110" i="23916"/>
  <c r="CO125" i="23916" s="1"/>
  <c r="CN110" i="23916"/>
  <c r="CM110" i="23916"/>
  <c r="CM125" i="23916" s="1"/>
  <c r="CL110" i="23916"/>
  <c r="CK110" i="23916"/>
  <c r="CK125" i="23916" s="1"/>
  <c r="CJ110" i="23916"/>
  <c r="CI110" i="23916"/>
  <c r="CH110" i="23916"/>
  <c r="CG110" i="23916"/>
  <c r="CG125" i="23916" s="1"/>
  <c r="CF110" i="23916"/>
  <c r="CE110" i="23916"/>
  <c r="CE125" i="23916" s="1"/>
  <c r="CD110" i="23916"/>
  <c r="CC110" i="23916"/>
  <c r="CC125" i="23916" s="1"/>
  <c r="CB110" i="23916"/>
  <c r="CA110" i="23916"/>
  <c r="CA125" i="23916" s="1"/>
  <c r="BZ110" i="23916"/>
  <c r="BY110" i="23916"/>
  <c r="BY125" i="23916" s="1"/>
  <c r="BX110" i="23916"/>
  <c r="BW110" i="23916"/>
  <c r="BW125" i="23916" s="1"/>
  <c r="BU110" i="23916"/>
  <c r="BU125" i="23916" s="1"/>
  <c r="BS110" i="23916"/>
  <c r="BS125" i="23916" s="1"/>
  <c r="BQ110" i="23916"/>
  <c r="BQ125" i="23916" s="1"/>
  <c r="BO110" i="23916"/>
  <c r="BO125" i="23916" s="1"/>
  <c r="AZ110" i="23916"/>
  <c r="AY110" i="23916"/>
  <c r="AY125" i="23916" s="1"/>
  <c r="AW110" i="23916"/>
  <c r="AV110" i="23916"/>
  <c r="AU110" i="23916"/>
  <c r="AU125" i="23916" s="1"/>
  <c r="AS110" i="23916"/>
  <c r="AS125" i="23916" s="1"/>
  <c r="AQ110" i="23916"/>
  <c r="AQ125" i="23916" s="1"/>
  <c r="AN110" i="23916"/>
  <c r="AM110" i="23916"/>
  <c r="AM125" i="23916" s="1"/>
  <c r="AH110" i="23916"/>
  <c r="AG110" i="23916"/>
  <c r="AG125" i="23916" s="1"/>
  <c r="AF110" i="23916"/>
  <c r="AE110" i="23916"/>
  <c r="AE125" i="23916" s="1"/>
  <c r="GH109" i="23916"/>
  <c r="GI109" i="23916" s="1"/>
  <c r="GF109" i="23916"/>
  <c r="GG109" i="23916" s="1"/>
  <c r="GD109" i="23916"/>
  <c r="GE109" i="23916" s="1"/>
  <c r="GB109" i="23916"/>
  <c r="GC109" i="23916" s="1"/>
  <c r="FZ109" i="23916"/>
  <c r="GA109" i="23916" s="1"/>
  <c r="FX109" i="23916"/>
  <c r="FY109" i="23916" s="1"/>
  <c r="FV109" i="23916"/>
  <c r="FW109" i="23916" s="1"/>
  <c r="FT109" i="23916"/>
  <c r="FU109" i="23916" s="1"/>
  <c r="FG109" i="23916"/>
  <c r="FG108" i="23916"/>
  <c r="FG107" i="23916"/>
  <c r="FE109" i="23916"/>
  <c r="FE108" i="23916"/>
  <c r="FE107" i="23916"/>
  <c r="EH109" i="23916"/>
  <c r="EH108" i="23916"/>
  <c r="EH107" i="23916"/>
  <c r="EF109" i="23916"/>
  <c r="EF108" i="23916"/>
  <c r="EF107" i="23916"/>
  <c r="ED109" i="23916"/>
  <c r="ED108" i="23916"/>
  <c r="ED107" i="23916"/>
  <c r="EB109" i="23916"/>
  <c r="EB108" i="23916"/>
  <c r="EB107" i="23916"/>
  <c r="DZ109" i="23916"/>
  <c r="DZ108" i="23916"/>
  <c r="DZ107" i="23916"/>
  <c r="DX109" i="23916"/>
  <c r="DX108" i="23916"/>
  <c r="DX107" i="23916"/>
  <c r="DV109" i="23916"/>
  <c r="DV108" i="23916"/>
  <c r="DV107" i="23916"/>
  <c r="DT109" i="23916"/>
  <c r="DT108" i="23916"/>
  <c r="DT107" i="23916"/>
  <c r="DR109" i="23916"/>
  <c r="DR108" i="23916"/>
  <c r="DR107" i="23916"/>
  <c r="DP109" i="23916"/>
  <c r="DP108" i="23916"/>
  <c r="DP107" i="23916"/>
  <c r="DN109" i="23916"/>
  <c r="DN108" i="23916"/>
  <c r="DN107" i="23916"/>
  <c r="DL109" i="23916"/>
  <c r="DL108" i="23916"/>
  <c r="DL107" i="23916"/>
  <c r="DJ109" i="23916"/>
  <c r="DJ108" i="23916"/>
  <c r="DJ107" i="23916"/>
  <c r="DH109" i="23916"/>
  <c r="DH108" i="23916"/>
  <c r="DH107" i="23916"/>
  <c r="DF109" i="23916"/>
  <c r="DF108" i="23916"/>
  <c r="DF107" i="23916"/>
  <c r="DD109" i="23916"/>
  <c r="DD108" i="23916"/>
  <c r="DD107" i="23916"/>
  <c r="DB109" i="23916"/>
  <c r="DB108" i="23916"/>
  <c r="DB107" i="23916"/>
  <c r="CZ109" i="23916"/>
  <c r="CZ108" i="23916"/>
  <c r="CZ107" i="23916"/>
  <c r="CX109" i="23916"/>
  <c r="CX108" i="23916"/>
  <c r="CX107" i="23916"/>
  <c r="CV109" i="23916"/>
  <c r="CV108" i="23916"/>
  <c r="CV107" i="23916"/>
  <c r="CT109" i="23916"/>
  <c r="CT108" i="23916"/>
  <c r="CT107" i="23916"/>
  <c r="CR109" i="23916"/>
  <c r="CR108" i="23916"/>
  <c r="CR107" i="23916"/>
  <c r="CP109" i="23916"/>
  <c r="CP108" i="23916"/>
  <c r="CP107" i="23916"/>
  <c r="CN109" i="23916"/>
  <c r="CN108" i="23916"/>
  <c r="CN107" i="23916"/>
  <c r="CL109" i="23916"/>
  <c r="CL108" i="23916"/>
  <c r="CL107" i="23916"/>
  <c r="CJ109" i="23916"/>
  <c r="CJ108" i="23916"/>
  <c r="CJ107" i="23916"/>
  <c r="CH109" i="23916"/>
  <c r="CH108" i="23916"/>
  <c r="CH107" i="23916"/>
  <c r="CF109" i="23916"/>
  <c r="CF108" i="23916"/>
  <c r="CF107" i="23916"/>
  <c r="CD109" i="23916"/>
  <c r="CD108" i="23916"/>
  <c r="CD107" i="23916"/>
  <c r="CB109" i="23916"/>
  <c r="CB108" i="23916"/>
  <c r="CB107" i="23916"/>
  <c r="BZ109" i="23916"/>
  <c r="BZ108" i="23916"/>
  <c r="BZ107" i="23916"/>
  <c r="BX109" i="23916"/>
  <c r="BX108" i="23916"/>
  <c r="BX107" i="23916"/>
  <c r="BV109" i="23916"/>
  <c r="BV107" i="23916"/>
  <c r="BT109" i="23916"/>
  <c r="BT107" i="23916"/>
  <c r="BR109" i="23916"/>
  <c r="BR107" i="23916"/>
  <c r="BP109" i="23916"/>
  <c r="BP107" i="23916"/>
  <c r="BN109" i="23916"/>
  <c r="BN107" i="23916"/>
  <c r="BL109" i="23916"/>
  <c r="BL107" i="23916"/>
  <c r="BJ109" i="23916"/>
  <c r="BJ107" i="23916"/>
  <c r="BH109" i="23916"/>
  <c r="BH107" i="23916"/>
  <c r="BF109" i="23916"/>
  <c r="BF107" i="23916"/>
  <c r="BD109" i="23916"/>
  <c r="BD107" i="23916"/>
  <c r="BB109" i="23916"/>
  <c r="BB107" i="23916"/>
  <c r="AZ109" i="23916"/>
  <c r="AZ108" i="23916"/>
  <c r="AZ107" i="23916"/>
  <c r="AX109" i="23916"/>
  <c r="AX108" i="23916"/>
  <c r="AX107" i="23916"/>
  <c r="AV109" i="23916"/>
  <c r="AV108" i="23916"/>
  <c r="AV107" i="23916"/>
  <c r="AT109" i="23916"/>
  <c r="AT107" i="23916"/>
  <c r="AP109" i="23916"/>
  <c r="AO109" i="23916"/>
  <c r="AO110" i="23916" s="1"/>
  <c r="AN109" i="23916"/>
  <c r="AF109" i="23916"/>
  <c r="AF108" i="23916"/>
  <c r="AF107" i="23916"/>
  <c r="FW108" i="23916"/>
  <c r="FV108" i="23916"/>
  <c r="FU108" i="23916"/>
  <c r="FT108" i="23916"/>
  <c r="BM108" i="23916"/>
  <c r="BM110" i="23916" s="1"/>
  <c r="BK108" i="23916"/>
  <c r="FP108" i="23916" s="1"/>
  <c r="BI108" i="23916"/>
  <c r="BI110" i="23916" s="1"/>
  <c r="BG108" i="23916"/>
  <c r="BP108" i="23916" s="1"/>
  <c r="BE108" i="23916"/>
  <c r="BE110" i="23916" s="1"/>
  <c r="BC108" i="23916"/>
  <c r="BC110" i="23916" s="1"/>
  <c r="BA108" i="23916"/>
  <c r="BA110" i="23916" s="1"/>
  <c r="AP108" i="23916"/>
  <c r="AP107" i="23916"/>
  <c r="AN108" i="23916"/>
  <c r="AN107" i="23916"/>
  <c r="GH108" i="23916"/>
  <c r="GI108" i="23916" s="1"/>
  <c r="GF108" i="23916"/>
  <c r="GG108" i="23916" s="1"/>
  <c r="GD108" i="23916"/>
  <c r="GE108" i="23916" s="1"/>
  <c r="GB108" i="23916"/>
  <c r="GC108" i="23916" s="1"/>
  <c r="FZ108" i="23916"/>
  <c r="GA108" i="23916" s="1"/>
  <c r="FY108" i="23916"/>
  <c r="GH107" i="23916"/>
  <c r="GH110" i="23916" s="1"/>
  <c r="GF107" i="23916"/>
  <c r="GF110" i="23916" s="1"/>
  <c r="GD107" i="23916"/>
  <c r="GD110" i="23916" s="1"/>
  <c r="GB107" i="23916"/>
  <c r="GB110" i="23916" s="1"/>
  <c r="FZ107" i="23916"/>
  <c r="FZ110" i="23916" s="1"/>
  <c r="FX107" i="23916"/>
  <c r="FX110" i="23916" s="1"/>
  <c r="FV107" i="23916"/>
  <c r="FV110" i="23916" s="1"/>
  <c r="FT107" i="23916"/>
  <c r="FT110" i="23916" s="1"/>
  <c r="FQ109" i="23916"/>
  <c r="FP109" i="23916"/>
  <c r="FS109" i="23916" s="1"/>
  <c r="FO109" i="23916"/>
  <c r="FN109" i="23916"/>
  <c r="FL109" i="23916"/>
  <c r="FI109" i="23916"/>
  <c r="FN108" i="23916"/>
  <c r="FO108" i="23916" s="1"/>
  <c r="FL108" i="23916"/>
  <c r="FI108" i="23916"/>
  <c r="FQ107" i="23916"/>
  <c r="FP107" i="23916"/>
  <c r="FP110" i="23916" s="1"/>
  <c r="FO107" i="23916"/>
  <c r="FN107" i="23916"/>
  <c r="FN110" i="23916" s="1"/>
  <c r="FL107" i="23916"/>
  <c r="FL110" i="23916" s="1"/>
  <c r="FI107" i="23916"/>
  <c r="EM109" i="23916"/>
  <c r="EO109" i="23916" s="1"/>
  <c r="EK109" i="23916"/>
  <c r="EL109" i="23916" s="1"/>
  <c r="EJ109" i="23916"/>
  <c r="EL108" i="23916"/>
  <c r="EK108" i="23916"/>
  <c r="EM108" i="23916" s="1"/>
  <c r="EJ108" i="23916"/>
  <c r="EK107" i="23916"/>
  <c r="EK110" i="23916" s="1"/>
  <c r="EJ107" i="23916"/>
  <c r="AK109" i="23916"/>
  <c r="FJ109" i="23916" s="1"/>
  <c r="AH109" i="23916"/>
  <c r="AK108" i="23916"/>
  <c r="AT108" i="23916" s="1"/>
  <c r="AH108" i="23916"/>
  <c r="AL107" i="23916"/>
  <c r="AK107" i="23916"/>
  <c r="AK110" i="23916" s="1"/>
  <c r="AH107" i="23916"/>
  <c r="AC109" i="23916"/>
  <c r="AI109" i="23916" s="1"/>
  <c r="AC108" i="23916"/>
  <c r="AI108" i="23916" s="1"/>
  <c r="AC107" i="23916"/>
  <c r="AC110" i="23916" s="1"/>
  <c r="GS102" i="23916"/>
  <c r="GS101" i="23916"/>
  <c r="GS100" i="23916"/>
  <c r="GQ102" i="23916"/>
  <c r="GQ101" i="23916"/>
  <c r="GQ100" i="23916"/>
  <c r="GO102" i="23916"/>
  <c r="GO101" i="23916"/>
  <c r="GO100" i="23916"/>
  <c r="GM102" i="23916"/>
  <c r="GM101" i="23916"/>
  <c r="GM100" i="23916"/>
  <c r="GK102" i="23916"/>
  <c r="GK101" i="23916"/>
  <c r="GK100" i="23916"/>
  <c r="GI102" i="23916"/>
  <c r="GI101" i="23916"/>
  <c r="GI100" i="23916"/>
  <c r="GG102" i="23916"/>
  <c r="GG101" i="23916"/>
  <c r="GG100" i="23916"/>
  <c r="GE101" i="23916"/>
  <c r="GE100" i="23916"/>
  <c r="GB102" i="23916"/>
  <c r="GC102" i="23916" s="1"/>
  <c r="FZ102" i="23916"/>
  <c r="FZ176" i="23916" s="1"/>
  <c r="FT102" i="23916"/>
  <c r="FQ102" i="23916"/>
  <c r="FO102" i="23916"/>
  <c r="FO101" i="23916"/>
  <c r="FO100" i="23916"/>
  <c r="FM102" i="23916"/>
  <c r="FM101" i="23916"/>
  <c r="FM100" i="23916"/>
  <c r="FK101" i="23916"/>
  <c r="FK100" i="23916"/>
  <c r="FH102" i="23916"/>
  <c r="FI102" i="23916" s="1"/>
  <c r="FF102" i="23916"/>
  <c r="FG102" i="23916" s="1"/>
  <c r="FD102" i="23916"/>
  <c r="FE102" i="23916" s="1"/>
  <c r="DR102" i="23916"/>
  <c r="DP102" i="23916"/>
  <c r="DN102" i="23916"/>
  <c r="DF102" i="23916"/>
  <c r="DB102" i="23916"/>
  <c r="DA102" i="23916"/>
  <c r="CY102" i="23916"/>
  <c r="CX102" i="23916"/>
  <c r="CW102" i="23916"/>
  <c r="CU102" i="23916"/>
  <c r="DD102" i="23916" s="1"/>
  <c r="CS102" i="23916"/>
  <c r="CQ102" i="23916"/>
  <c r="CZ102" i="23916" s="1"/>
  <c r="CO102" i="23916"/>
  <c r="CM102" i="23916"/>
  <c r="CK102" i="23916"/>
  <c r="CI102" i="23916"/>
  <c r="CE102" i="23916"/>
  <c r="CD102" i="23916"/>
  <c r="CC102" i="23916"/>
  <c r="CA102" i="23916"/>
  <c r="BZ102" i="23916"/>
  <c r="BY102" i="23916"/>
  <c r="BW102" i="23916"/>
  <c r="CF102" i="23916" s="1"/>
  <c r="BU102" i="23916"/>
  <c r="BS102" i="23916"/>
  <c r="CB102" i="23916" s="1"/>
  <c r="BQ102" i="23916"/>
  <c r="BR102" i="23916" s="1"/>
  <c r="BO102" i="23916"/>
  <c r="BM102" i="23916"/>
  <c r="BK102" i="23916"/>
  <c r="BL102" i="23916" s="1"/>
  <c r="BI102" i="23916"/>
  <c r="BJ102" i="23916" s="1"/>
  <c r="BG102" i="23916"/>
  <c r="BH102" i="23916" s="1"/>
  <c r="BE102" i="23916"/>
  <c r="BF102" i="23916" s="1"/>
  <c r="BC102" i="23916"/>
  <c r="BD102" i="23916" s="1"/>
  <c r="BA102" i="23916"/>
  <c r="BB102" i="23916" s="1"/>
  <c r="AY102" i="23916"/>
  <c r="AZ102" i="23916" s="1"/>
  <c r="AW102" i="23916"/>
  <c r="AX102" i="23916" s="1"/>
  <c r="AU102" i="23916"/>
  <c r="AV102" i="23916" s="1"/>
  <c r="AS102" i="23916"/>
  <c r="AQ102" i="23916"/>
  <c r="AO102" i="23916"/>
  <c r="AP102" i="23916" s="1"/>
  <c r="AM102" i="23916"/>
  <c r="AN102" i="23916" s="1"/>
  <c r="AG102" i="23916"/>
  <c r="AH102" i="23916" s="1"/>
  <c r="AE102" i="23916"/>
  <c r="AF102" i="23916" s="1"/>
  <c r="AC102" i="23916"/>
  <c r="AD102" i="23916" s="1"/>
  <c r="GC100" i="23916"/>
  <c r="FI101" i="23916"/>
  <c r="FI100" i="23916"/>
  <c r="FG101" i="23916"/>
  <c r="FG100" i="23916"/>
  <c r="FE101" i="23916"/>
  <c r="FE100" i="23916"/>
  <c r="CF101" i="23916"/>
  <c r="CF100" i="23916"/>
  <c r="CD101" i="23916"/>
  <c r="CD100" i="23916"/>
  <c r="CB101" i="23916"/>
  <c r="CB100" i="23916"/>
  <c r="BZ101" i="23916"/>
  <c r="BZ100" i="23916"/>
  <c r="BR101" i="23916"/>
  <c r="BR100" i="23916"/>
  <c r="BL101" i="23916"/>
  <c r="BL100" i="23916"/>
  <c r="BJ101" i="23916"/>
  <c r="BJ100" i="23916"/>
  <c r="BH101" i="23916"/>
  <c r="BH100" i="23916"/>
  <c r="BF101" i="23916"/>
  <c r="BF100" i="23916"/>
  <c r="BD101" i="23916"/>
  <c r="BD100" i="23916"/>
  <c r="BB101" i="23916"/>
  <c r="BB100" i="23916"/>
  <c r="AZ101" i="23916"/>
  <c r="AZ100" i="23916"/>
  <c r="AX101" i="23916"/>
  <c r="AX100" i="23916"/>
  <c r="AV101" i="23916"/>
  <c r="AV100" i="23916"/>
  <c r="AR100" i="23916"/>
  <c r="AP101" i="23916"/>
  <c r="AP100" i="23916"/>
  <c r="AN101" i="23916"/>
  <c r="AN100" i="23916"/>
  <c r="AF101" i="23916"/>
  <c r="AF100" i="23916"/>
  <c r="FZ101" i="23916"/>
  <c r="FZ175" i="23916" s="1"/>
  <c r="GA175" i="23916" s="1"/>
  <c r="FX101" i="23916"/>
  <c r="FX175" i="23916" s="1"/>
  <c r="FV101" i="23916"/>
  <c r="FV175" i="23916" s="1"/>
  <c r="FW175" i="23916" s="1"/>
  <c r="FT101" i="23916"/>
  <c r="FT175" i="23916" s="1"/>
  <c r="FR101" i="23916"/>
  <c r="FR175" i="23916" s="1"/>
  <c r="FS175" i="23916" s="1"/>
  <c r="FQ101" i="23916"/>
  <c r="GA100" i="23916"/>
  <c r="FZ100" i="23916"/>
  <c r="FZ174" i="23916" s="1"/>
  <c r="GA174" i="23916" s="1"/>
  <c r="FX100" i="23916"/>
  <c r="FX174" i="23916" s="1"/>
  <c r="FU100" i="23916"/>
  <c r="FT100" i="23916"/>
  <c r="FT174" i="23916" s="1"/>
  <c r="FS100" i="23916"/>
  <c r="FR100" i="23916"/>
  <c r="FR174" i="23916" s="1"/>
  <c r="FS174" i="23916" s="1"/>
  <c r="FQ100" i="23916"/>
  <c r="CG100" i="23916"/>
  <c r="CG174" i="23916" s="1"/>
  <c r="CP174" i="23916" s="1"/>
  <c r="AL101" i="23916"/>
  <c r="AK101" i="23916"/>
  <c r="AK175" i="23916" s="1"/>
  <c r="AH101" i="23916"/>
  <c r="AK100" i="23916"/>
  <c r="AK174" i="23916" s="1"/>
  <c r="AI100" i="23916"/>
  <c r="AI174" i="23916" s="1"/>
  <c r="AH100" i="23916"/>
  <c r="AD101" i="23916"/>
  <c r="AC101" i="23916"/>
  <c r="AC175" i="23916" s="1"/>
  <c r="AD175" i="23916" s="1"/>
  <c r="AD100" i="23916"/>
  <c r="AC100" i="23916"/>
  <c r="AC174" i="23916" s="1"/>
  <c r="GS96" i="23916"/>
  <c r="GQ96" i="23916"/>
  <c r="GO96" i="23916"/>
  <c r="GK96" i="23916"/>
  <c r="GJ96" i="23916"/>
  <c r="GM96" i="23916" s="1"/>
  <c r="GI96" i="23916"/>
  <c r="GH96" i="23916"/>
  <c r="GT96" i="23916" s="1"/>
  <c r="GG96" i="23916"/>
  <c r="GF96" i="23916"/>
  <c r="GE96" i="23916"/>
  <c r="GD96" i="23916"/>
  <c r="GB96" i="23916"/>
  <c r="FY96" i="23916"/>
  <c r="FX96" i="23916"/>
  <c r="FW96" i="23916"/>
  <c r="FV96" i="23916"/>
  <c r="FU96" i="23916"/>
  <c r="FT96" i="23916"/>
  <c r="FS96" i="23916"/>
  <c r="FR96" i="23916"/>
  <c r="FQ96" i="23916"/>
  <c r="FP96" i="23916"/>
  <c r="FO96" i="23916"/>
  <c r="FN96" i="23916"/>
  <c r="FM96" i="23916"/>
  <c r="FL96" i="23916"/>
  <c r="FK96" i="23916"/>
  <c r="FJ96" i="23916"/>
  <c r="FI96" i="23916"/>
  <c r="FH96" i="23916"/>
  <c r="FG96" i="23916"/>
  <c r="FF96" i="23916"/>
  <c r="FE96" i="23916"/>
  <c r="FD96" i="23916"/>
  <c r="ER96" i="23916"/>
  <c r="EP96" i="23916"/>
  <c r="EN96" i="23916"/>
  <c r="EL96" i="23916"/>
  <c r="EJ96" i="23916"/>
  <c r="EH96" i="23916"/>
  <c r="EF96" i="23916"/>
  <c r="ED96" i="23916"/>
  <c r="EB96" i="23916"/>
  <c r="DZ96" i="23916"/>
  <c r="DX96" i="23916"/>
  <c r="DV96" i="23916"/>
  <c r="DT96" i="23916"/>
  <c r="DR96" i="23916"/>
  <c r="DP96" i="23916"/>
  <c r="DN96" i="23916"/>
  <c r="DL96" i="23916"/>
  <c r="DJ96" i="23916"/>
  <c r="DH96" i="23916"/>
  <c r="DF96" i="23916"/>
  <c r="DD96" i="23916"/>
  <c r="DC96" i="23916"/>
  <c r="FZ96" i="23916" s="1"/>
  <c r="DB96" i="23916"/>
  <c r="CZ96" i="23916"/>
  <c r="CX96" i="23916"/>
  <c r="CV96" i="23916"/>
  <c r="CT96" i="23916"/>
  <c r="CR96" i="23916"/>
  <c r="CP96" i="23916"/>
  <c r="CN96" i="23916"/>
  <c r="CL96" i="23916"/>
  <c r="CJ96" i="23916"/>
  <c r="CH96" i="23916"/>
  <c r="CF96" i="23916"/>
  <c r="CD96" i="23916"/>
  <c r="CB96" i="23916"/>
  <c r="BZ96" i="23916"/>
  <c r="BX96" i="23916"/>
  <c r="BV96" i="23916"/>
  <c r="BT96" i="23916"/>
  <c r="BR96" i="23916"/>
  <c r="BP96" i="23916"/>
  <c r="BN96" i="23916"/>
  <c r="BL96" i="23916"/>
  <c r="BJ96" i="23916"/>
  <c r="BH96" i="23916"/>
  <c r="BF96" i="23916"/>
  <c r="BD96" i="23916"/>
  <c r="BB96" i="23916"/>
  <c r="AZ96" i="23916"/>
  <c r="AX96" i="23916"/>
  <c r="AV96" i="23916"/>
  <c r="AT96" i="23916"/>
  <c r="AR96" i="23916"/>
  <c r="AP96" i="23916"/>
  <c r="AN96" i="23916"/>
  <c r="AL96" i="23916"/>
  <c r="AJ96" i="23916"/>
  <c r="AH96" i="23916"/>
  <c r="AF96" i="23916"/>
  <c r="AD96" i="23916"/>
  <c r="GJ92" i="23916"/>
  <c r="GJ158" i="23916" s="1"/>
  <c r="GJ397" i="23916" s="1"/>
  <c r="GH92" i="23916"/>
  <c r="GH158" i="23916" s="1"/>
  <c r="GH397" i="23916" s="1"/>
  <c r="GF92" i="23916"/>
  <c r="GF158" i="23916" s="1"/>
  <c r="GF397" i="23916" s="1"/>
  <c r="GD92" i="23916"/>
  <c r="GD158" i="23916" s="1"/>
  <c r="GD397" i="23916" s="1"/>
  <c r="GB92" i="23916"/>
  <c r="GB158" i="23916" s="1"/>
  <c r="GB397" i="23916" s="1"/>
  <c r="FZ92" i="23916"/>
  <c r="FZ158" i="23916" s="1"/>
  <c r="FZ397" i="23916" s="1"/>
  <c r="GF89" i="23916"/>
  <c r="GB89" i="23916"/>
  <c r="FX89" i="23916"/>
  <c r="FT89" i="23916"/>
  <c r="FP89" i="23916"/>
  <c r="FL89" i="23916"/>
  <c r="FH89" i="23916"/>
  <c r="FI89" i="23916" s="1"/>
  <c r="FF89" i="23916"/>
  <c r="FG89" i="23916" s="1"/>
  <c r="FD89" i="23916"/>
  <c r="FE89" i="23916" s="1"/>
  <c r="EG90" i="23916"/>
  <c r="EH90" i="23916" s="1"/>
  <c r="EC90" i="23916"/>
  <c r="ED90" i="23916" s="1"/>
  <c r="DY90" i="23916"/>
  <c r="DZ90" i="23916" s="1"/>
  <c r="DU90" i="23916"/>
  <c r="DV90" i="23916" s="1"/>
  <c r="DQ90" i="23916"/>
  <c r="DR90" i="23916" s="1"/>
  <c r="DM90" i="23916"/>
  <c r="DN90" i="23916" s="1"/>
  <c r="DI90" i="23916"/>
  <c r="DJ90" i="23916" s="1"/>
  <c r="DE90" i="23916"/>
  <c r="DF90" i="23916" s="1"/>
  <c r="DA90" i="23916"/>
  <c r="DB90" i="23916" s="1"/>
  <c r="CW90" i="23916"/>
  <c r="CX90" i="23916" s="1"/>
  <c r="CS90" i="23916"/>
  <c r="CT90" i="23916" s="1"/>
  <c r="CO90" i="23916"/>
  <c r="CP90" i="23916" s="1"/>
  <c r="CK90" i="23916"/>
  <c r="CL90" i="23916" s="1"/>
  <c r="CG90" i="23916"/>
  <c r="CH90" i="23916" s="1"/>
  <c r="CC90" i="23916"/>
  <c r="CD90" i="23916" s="1"/>
  <c r="BY90" i="23916"/>
  <c r="BZ90" i="23916" s="1"/>
  <c r="BU90" i="23916"/>
  <c r="BV90" i="23916" s="1"/>
  <c r="BQ90" i="23916"/>
  <c r="BR90" i="23916" s="1"/>
  <c r="BM90" i="23916"/>
  <c r="BN90" i="23916" s="1"/>
  <c r="BI90" i="23916"/>
  <c r="BJ90" i="23916" s="1"/>
  <c r="BE90" i="23916"/>
  <c r="BF90" i="23916" s="1"/>
  <c r="BA90" i="23916"/>
  <c r="BB90" i="23916" s="1"/>
  <c r="AW90" i="23916"/>
  <c r="AX90" i="23916" s="1"/>
  <c r="AS90" i="23916"/>
  <c r="AO90" i="23916"/>
  <c r="AP90" i="23916" s="1"/>
  <c r="AG90" i="23916"/>
  <c r="AH90" i="23916" s="1"/>
  <c r="EK89" i="23916"/>
  <c r="EM89" i="23916" s="1"/>
  <c r="EI89" i="23916"/>
  <c r="EJ89" i="23916" s="1"/>
  <c r="EG89" i="23916"/>
  <c r="EH89" i="23916" s="1"/>
  <c r="EE89" i="23916"/>
  <c r="EF89" i="23916" s="1"/>
  <c r="EC89" i="23916"/>
  <c r="ED89" i="23916" s="1"/>
  <c r="EA89" i="23916"/>
  <c r="EB89" i="23916" s="1"/>
  <c r="DY89" i="23916"/>
  <c r="DZ89" i="23916" s="1"/>
  <c r="DW89" i="23916"/>
  <c r="DX89" i="23916" s="1"/>
  <c r="DU89" i="23916"/>
  <c r="DV89" i="23916" s="1"/>
  <c r="DS89" i="23916"/>
  <c r="DT89" i="23916" s="1"/>
  <c r="DQ89" i="23916"/>
  <c r="DR89" i="23916" s="1"/>
  <c r="DO89" i="23916"/>
  <c r="DP89" i="23916" s="1"/>
  <c r="DM89" i="23916"/>
  <c r="DN89" i="23916" s="1"/>
  <c r="DK89" i="23916"/>
  <c r="DL89" i="23916" s="1"/>
  <c r="DI89" i="23916"/>
  <c r="DJ89" i="23916" s="1"/>
  <c r="DG89" i="23916"/>
  <c r="DH89" i="23916" s="1"/>
  <c r="DE89" i="23916"/>
  <c r="DF89" i="23916" s="1"/>
  <c r="DC89" i="23916"/>
  <c r="DD89" i="23916" s="1"/>
  <c r="DA89" i="23916"/>
  <c r="DB89" i="23916" s="1"/>
  <c r="CY89" i="23916"/>
  <c r="CZ89" i="23916" s="1"/>
  <c r="CW89" i="23916"/>
  <c r="CX89" i="23916" s="1"/>
  <c r="CU89" i="23916"/>
  <c r="CV89" i="23916" s="1"/>
  <c r="CS89" i="23916"/>
  <c r="CT89" i="23916" s="1"/>
  <c r="CQ89" i="23916"/>
  <c r="CR89" i="23916" s="1"/>
  <c r="CO89" i="23916"/>
  <c r="CP89" i="23916" s="1"/>
  <c r="CM89" i="23916"/>
  <c r="CN89" i="23916" s="1"/>
  <c r="CK89" i="23916"/>
  <c r="CL89" i="23916" s="1"/>
  <c r="CI89" i="23916"/>
  <c r="CJ89" i="23916" s="1"/>
  <c r="CG89" i="23916"/>
  <c r="CH89" i="23916" s="1"/>
  <c r="CE89" i="23916"/>
  <c r="CF89" i="23916" s="1"/>
  <c r="CC89" i="23916"/>
  <c r="CD89" i="23916" s="1"/>
  <c r="CA89" i="23916"/>
  <c r="CB89" i="23916" s="1"/>
  <c r="BY89" i="23916"/>
  <c r="BZ89" i="23916" s="1"/>
  <c r="BW89" i="23916"/>
  <c r="BX89" i="23916" s="1"/>
  <c r="BU89" i="23916"/>
  <c r="BV89" i="23916" s="1"/>
  <c r="BS89" i="23916"/>
  <c r="BT89" i="23916" s="1"/>
  <c r="BQ89" i="23916"/>
  <c r="BR89" i="23916" s="1"/>
  <c r="BO89" i="23916"/>
  <c r="BP89" i="23916" s="1"/>
  <c r="BM89" i="23916"/>
  <c r="BN89" i="23916" s="1"/>
  <c r="BK89" i="23916"/>
  <c r="BL89" i="23916" s="1"/>
  <c r="BI89" i="23916"/>
  <c r="BJ89" i="23916" s="1"/>
  <c r="BG89" i="23916"/>
  <c r="BH89" i="23916" s="1"/>
  <c r="BE89" i="23916"/>
  <c r="BF89" i="23916" s="1"/>
  <c r="BC89" i="23916"/>
  <c r="BD89" i="23916" s="1"/>
  <c r="BA89" i="23916"/>
  <c r="BB89" i="23916" s="1"/>
  <c r="AY89" i="23916"/>
  <c r="AZ89" i="23916" s="1"/>
  <c r="AW89" i="23916"/>
  <c r="AX89" i="23916" s="1"/>
  <c r="AU89" i="23916"/>
  <c r="AV89" i="23916" s="1"/>
  <c r="AS89" i="23916"/>
  <c r="AQ89" i="23916"/>
  <c r="AO89" i="23916"/>
  <c r="AP89" i="23916" s="1"/>
  <c r="AM89" i="23916"/>
  <c r="AN89" i="23916" s="1"/>
  <c r="AG89" i="23916"/>
  <c r="AH89" i="23916" s="1"/>
  <c r="AE89" i="23916"/>
  <c r="AF89" i="23916" s="1"/>
  <c r="EM87" i="23916"/>
  <c r="EM607" i="23916" s="1"/>
  <c r="EK88" i="23916"/>
  <c r="FH87" i="23916"/>
  <c r="FI87" i="23916" s="1"/>
  <c r="FF87" i="23916"/>
  <c r="FG87" i="23916" s="1"/>
  <c r="FD87" i="23916"/>
  <c r="FE87" i="23916" s="1"/>
  <c r="EI87" i="23916"/>
  <c r="EI607" i="23916" s="1"/>
  <c r="EG87" i="23916"/>
  <c r="EG607" i="23916" s="1"/>
  <c r="EE87" i="23916"/>
  <c r="EE607" i="23916" s="1"/>
  <c r="EC87" i="23916"/>
  <c r="EC607" i="23916" s="1"/>
  <c r="EA87" i="23916"/>
  <c r="EA607" i="23916" s="1"/>
  <c r="DY87" i="23916"/>
  <c r="DZ87" i="23916" s="1"/>
  <c r="DW87" i="23916"/>
  <c r="DX87" i="23916" s="1"/>
  <c r="DU87" i="23916"/>
  <c r="DV87" i="23916" s="1"/>
  <c r="DS87" i="23916"/>
  <c r="DT87" i="23916" s="1"/>
  <c r="DQ87" i="23916"/>
  <c r="DR87" i="23916" s="1"/>
  <c r="DO87" i="23916"/>
  <c r="DP87" i="23916" s="1"/>
  <c r="DM87" i="23916"/>
  <c r="DN87" i="23916" s="1"/>
  <c r="DK87" i="23916"/>
  <c r="DL87" i="23916" s="1"/>
  <c r="DI87" i="23916"/>
  <c r="DJ87" i="23916" s="1"/>
  <c r="DG87" i="23916"/>
  <c r="DH87" i="23916" s="1"/>
  <c r="DE87" i="23916"/>
  <c r="DF87" i="23916" s="1"/>
  <c r="DC87" i="23916"/>
  <c r="DD87" i="23916" s="1"/>
  <c r="DA87" i="23916"/>
  <c r="DB87" i="23916" s="1"/>
  <c r="CY87" i="23916"/>
  <c r="CZ87" i="23916" s="1"/>
  <c r="CW87" i="23916"/>
  <c r="CX87" i="23916" s="1"/>
  <c r="CU87" i="23916"/>
  <c r="CV87" i="23916" s="1"/>
  <c r="CS87" i="23916"/>
  <c r="CT87" i="23916" s="1"/>
  <c r="CQ87" i="23916"/>
  <c r="CR87" i="23916" s="1"/>
  <c r="CO87" i="23916"/>
  <c r="CP87" i="23916" s="1"/>
  <c r="CM87" i="23916"/>
  <c r="CN87" i="23916" s="1"/>
  <c r="CK87" i="23916"/>
  <c r="CL87" i="23916" s="1"/>
  <c r="CI87" i="23916"/>
  <c r="CJ87" i="23916" s="1"/>
  <c r="CG87" i="23916"/>
  <c r="CH87" i="23916" s="1"/>
  <c r="CE87" i="23916"/>
  <c r="CF87" i="23916" s="1"/>
  <c r="CC87" i="23916"/>
  <c r="CD87" i="23916" s="1"/>
  <c r="CA87" i="23916"/>
  <c r="CB87" i="23916" s="1"/>
  <c r="BY87" i="23916"/>
  <c r="BZ87" i="23916" s="1"/>
  <c r="BW87" i="23916"/>
  <c r="BX87" i="23916" s="1"/>
  <c r="BU87" i="23916"/>
  <c r="BV87" i="23916" s="1"/>
  <c r="BS87" i="23916"/>
  <c r="BT87" i="23916" s="1"/>
  <c r="BQ87" i="23916"/>
  <c r="BR87" i="23916" s="1"/>
  <c r="BO87" i="23916"/>
  <c r="BP87" i="23916" s="1"/>
  <c r="BM87" i="23916"/>
  <c r="BN87" i="23916" s="1"/>
  <c r="BK87" i="23916"/>
  <c r="BL87" i="23916" s="1"/>
  <c r="BI87" i="23916"/>
  <c r="BJ87" i="23916" s="1"/>
  <c r="BG87" i="23916"/>
  <c r="BH87" i="23916" s="1"/>
  <c r="BE87" i="23916"/>
  <c r="BF87" i="23916" s="1"/>
  <c r="BC87" i="23916"/>
  <c r="BD87" i="23916" s="1"/>
  <c r="BA87" i="23916"/>
  <c r="BB87" i="23916" s="1"/>
  <c r="AY87" i="23916"/>
  <c r="AZ87" i="23916" s="1"/>
  <c r="AW87" i="23916"/>
  <c r="AX87" i="23916" s="1"/>
  <c r="AU87" i="23916"/>
  <c r="AV87" i="23916" s="1"/>
  <c r="AS87" i="23916"/>
  <c r="AQ87" i="23916"/>
  <c r="AO87" i="23916"/>
  <c r="AP87" i="23916" s="1"/>
  <c r="AM87" i="23916"/>
  <c r="AN87" i="23916" s="1"/>
  <c r="AG87" i="23916"/>
  <c r="AH87" i="23916" s="1"/>
  <c r="AE87" i="23916"/>
  <c r="AF87" i="23916" s="1"/>
  <c r="FG84" i="23916"/>
  <c r="FG82" i="23916"/>
  <c r="FG81" i="23916"/>
  <c r="FE84" i="23916"/>
  <c r="FE82" i="23916"/>
  <c r="FE81" i="23916"/>
  <c r="EH84" i="23916"/>
  <c r="EH82" i="23916"/>
  <c r="EH81" i="23916"/>
  <c r="EF84" i="23916"/>
  <c r="EF82" i="23916"/>
  <c r="EF81" i="23916"/>
  <c r="ED84" i="23916"/>
  <c r="ED82" i="23916"/>
  <c r="ED81" i="23916"/>
  <c r="EB84" i="23916"/>
  <c r="EB82" i="23916"/>
  <c r="EB81" i="23916"/>
  <c r="DZ84" i="23916"/>
  <c r="DZ82" i="23916"/>
  <c r="DZ81" i="23916"/>
  <c r="DX84" i="23916"/>
  <c r="DX82" i="23916"/>
  <c r="DX81" i="23916"/>
  <c r="DV84" i="23916"/>
  <c r="DV82" i="23916"/>
  <c r="DV81" i="23916"/>
  <c r="DT84" i="23916"/>
  <c r="DT82" i="23916"/>
  <c r="DT81" i="23916"/>
  <c r="DR84" i="23916"/>
  <c r="DR82" i="23916"/>
  <c r="DR81" i="23916"/>
  <c r="DP84" i="23916"/>
  <c r="DP82" i="23916"/>
  <c r="DP81" i="23916"/>
  <c r="DN84" i="23916"/>
  <c r="DN82" i="23916"/>
  <c r="DN81" i="23916"/>
  <c r="DL84" i="23916"/>
  <c r="DL82" i="23916"/>
  <c r="DL81" i="23916"/>
  <c r="DJ84" i="23916"/>
  <c r="DJ82" i="23916"/>
  <c r="DJ81" i="23916"/>
  <c r="DH84" i="23916"/>
  <c r="DH82" i="23916"/>
  <c r="DH81" i="23916"/>
  <c r="DF84" i="23916"/>
  <c r="DF82" i="23916"/>
  <c r="DF81" i="23916"/>
  <c r="DD84" i="23916"/>
  <c r="DD82" i="23916"/>
  <c r="DD81" i="23916"/>
  <c r="DB84" i="23916"/>
  <c r="DB82" i="23916"/>
  <c r="DB81" i="23916"/>
  <c r="CZ84" i="23916"/>
  <c r="CZ82" i="23916"/>
  <c r="CZ81" i="23916"/>
  <c r="CX84" i="23916"/>
  <c r="CW84" i="23916"/>
  <c r="CV84" i="23916"/>
  <c r="CT84" i="23916"/>
  <c r="CT82" i="23916"/>
  <c r="CT81" i="23916"/>
  <c r="CR84" i="23916"/>
  <c r="CR83" i="23916"/>
  <c r="CR82" i="23916"/>
  <c r="CR81" i="23916"/>
  <c r="CP84" i="23916"/>
  <c r="CP82" i="23916"/>
  <c r="CP81" i="23916"/>
  <c r="CN84" i="23916"/>
  <c r="CN83" i="23916"/>
  <c r="CN82" i="23916"/>
  <c r="CN81" i="23916"/>
  <c r="CL84" i="23916"/>
  <c r="CL82" i="23916"/>
  <c r="CL81" i="23916"/>
  <c r="CJ84" i="23916"/>
  <c r="CJ83" i="23916"/>
  <c r="CJ82" i="23916"/>
  <c r="CJ81" i="23916"/>
  <c r="CH84" i="23916"/>
  <c r="CH82" i="23916"/>
  <c r="CH81" i="23916"/>
  <c r="CF84" i="23916"/>
  <c r="CF83" i="23916"/>
  <c r="CF82" i="23916"/>
  <c r="CF81" i="23916"/>
  <c r="CD84" i="23916"/>
  <c r="CD82" i="23916"/>
  <c r="CD81" i="23916"/>
  <c r="CB84" i="23916"/>
  <c r="CB83" i="23916"/>
  <c r="CB82" i="23916"/>
  <c r="CB81" i="23916"/>
  <c r="BZ84" i="23916"/>
  <c r="BZ82" i="23916"/>
  <c r="BZ81" i="23916"/>
  <c r="BX84" i="23916"/>
  <c r="BX83" i="23916"/>
  <c r="BX82" i="23916"/>
  <c r="BX81" i="23916"/>
  <c r="BV84" i="23916"/>
  <c r="BV82" i="23916"/>
  <c r="BV81" i="23916"/>
  <c r="BT84" i="23916"/>
  <c r="BT83" i="23916"/>
  <c r="BT82" i="23916"/>
  <c r="BT81" i="23916"/>
  <c r="BR84" i="23916"/>
  <c r="BR82" i="23916"/>
  <c r="BR81" i="23916"/>
  <c r="BP84" i="23916"/>
  <c r="BP83" i="23916"/>
  <c r="BP82" i="23916"/>
  <c r="BP81" i="23916"/>
  <c r="BN84" i="23916"/>
  <c r="BN82" i="23916"/>
  <c r="BN81" i="23916"/>
  <c r="BL84" i="23916"/>
  <c r="BL83" i="23916"/>
  <c r="BL82" i="23916"/>
  <c r="BL81" i="23916"/>
  <c r="BJ84" i="23916"/>
  <c r="BJ82" i="23916"/>
  <c r="BJ81" i="23916"/>
  <c r="BH84" i="23916"/>
  <c r="BH83" i="23916"/>
  <c r="BH82" i="23916"/>
  <c r="BH81" i="23916"/>
  <c r="BF84" i="23916"/>
  <c r="BF82" i="23916"/>
  <c r="BF81" i="23916"/>
  <c r="BD84" i="23916"/>
  <c r="BD83" i="23916"/>
  <c r="BD82" i="23916"/>
  <c r="BD81" i="23916"/>
  <c r="BB84" i="23916"/>
  <c r="BB82" i="23916"/>
  <c r="BB81" i="23916"/>
  <c r="AZ84" i="23916"/>
  <c r="AZ83" i="23916"/>
  <c r="AZ82" i="23916"/>
  <c r="AZ81" i="23916"/>
  <c r="AX84" i="23916"/>
  <c r="AX82" i="23916"/>
  <c r="AX81" i="23916"/>
  <c r="AV84" i="23916"/>
  <c r="AV83" i="23916"/>
  <c r="AV82" i="23916"/>
  <c r="AV81" i="23916"/>
  <c r="AT81" i="23916"/>
  <c r="AP84" i="23916"/>
  <c r="AP82" i="23916"/>
  <c r="AP81" i="23916"/>
  <c r="AN84" i="23916"/>
  <c r="AN82" i="23916"/>
  <c r="AN81" i="23916"/>
  <c r="AK84" i="23916"/>
  <c r="AT84" i="23916" s="1"/>
  <c r="AI84" i="23916"/>
  <c r="AR84" i="23916" s="1"/>
  <c r="AH84" i="23916"/>
  <c r="AF84" i="23916"/>
  <c r="AF82" i="23916"/>
  <c r="AF81" i="23916"/>
  <c r="AD84" i="23916"/>
  <c r="AC84" i="23916"/>
  <c r="FH83" i="23916"/>
  <c r="FH85" i="23916" s="1"/>
  <c r="FF83" i="23916"/>
  <c r="FF85" i="23916" s="1"/>
  <c r="FG85" i="23916" s="1"/>
  <c r="FD83" i="23916"/>
  <c r="FD85" i="23916" s="1"/>
  <c r="EI83" i="23916"/>
  <c r="EI85" i="23916" s="1"/>
  <c r="EG83" i="23916"/>
  <c r="EG85" i="23916" s="1"/>
  <c r="EE83" i="23916"/>
  <c r="EE85" i="23916" s="1"/>
  <c r="EC83" i="23916"/>
  <c r="EC85" i="23916" s="1"/>
  <c r="EA83" i="23916"/>
  <c r="EA85" i="23916" s="1"/>
  <c r="DY83" i="23916"/>
  <c r="DY85" i="23916" s="1"/>
  <c r="DW83" i="23916"/>
  <c r="DW85" i="23916" s="1"/>
  <c r="DU83" i="23916"/>
  <c r="DU85" i="23916" s="1"/>
  <c r="DS83" i="23916"/>
  <c r="DS85" i="23916" s="1"/>
  <c r="DQ83" i="23916"/>
  <c r="DQ85" i="23916" s="1"/>
  <c r="DO83" i="23916"/>
  <c r="DO85" i="23916" s="1"/>
  <c r="DM83" i="23916"/>
  <c r="DM85" i="23916" s="1"/>
  <c r="DK83" i="23916"/>
  <c r="DK85" i="23916" s="1"/>
  <c r="DI83" i="23916"/>
  <c r="DI85" i="23916" s="1"/>
  <c r="DG83" i="23916"/>
  <c r="DG85" i="23916" s="1"/>
  <c r="DE83" i="23916"/>
  <c r="DE85" i="23916" s="1"/>
  <c r="DC83" i="23916"/>
  <c r="DC85" i="23916" s="1"/>
  <c r="DA83" i="23916"/>
  <c r="DA85" i="23916" s="1"/>
  <c r="CY83" i="23916"/>
  <c r="CY85" i="23916" s="1"/>
  <c r="CZ85" i="23916" s="1"/>
  <c r="CW83" i="23916"/>
  <c r="CW85" i="23916" s="1"/>
  <c r="CV83" i="23916"/>
  <c r="CU83" i="23916"/>
  <c r="CU85" i="23916" s="1"/>
  <c r="CS83" i="23916"/>
  <c r="CS85" i="23916" s="1"/>
  <c r="CQ83" i="23916"/>
  <c r="CQ85" i="23916" s="1"/>
  <c r="CO83" i="23916"/>
  <c r="CO85" i="23916" s="1"/>
  <c r="CM83" i="23916"/>
  <c r="CM85" i="23916" s="1"/>
  <c r="CK83" i="23916"/>
  <c r="CK85" i="23916" s="1"/>
  <c r="CI83" i="23916"/>
  <c r="CI85" i="23916" s="1"/>
  <c r="CG83" i="23916"/>
  <c r="CG85" i="23916" s="1"/>
  <c r="CE83" i="23916"/>
  <c r="CE85" i="23916" s="1"/>
  <c r="CC83" i="23916"/>
  <c r="CC85" i="23916" s="1"/>
  <c r="CA83" i="23916"/>
  <c r="CA85" i="23916" s="1"/>
  <c r="BY83" i="23916"/>
  <c r="BY85" i="23916" s="1"/>
  <c r="BW83" i="23916"/>
  <c r="BW85" i="23916" s="1"/>
  <c r="BU83" i="23916"/>
  <c r="BU85" i="23916" s="1"/>
  <c r="BS83" i="23916"/>
  <c r="BS85" i="23916" s="1"/>
  <c r="BQ83" i="23916"/>
  <c r="BQ85" i="23916" s="1"/>
  <c r="BO83" i="23916"/>
  <c r="BO85" i="23916" s="1"/>
  <c r="BM83" i="23916"/>
  <c r="BM85" i="23916" s="1"/>
  <c r="BK83" i="23916"/>
  <c r="BK85" i="23916" s="1"/>
  <c r="BI83" i="23916"/>
  <c r="BI85" i="23916" s="1"/>
  <c r="BG83" i="23916"/>
  <c r="BG85" i="23916" s="1"/>
  <c r="BE83" i="23916"/>
  <c r="BE85" i="23916" s="1"/>
  <c r="BC83" i="23916"/>
  <c r="BC85" i="23916" s="1"/>
  <c r="BA83" i="23916"/>
  <c r="BA85" i="23916" s="1"/>
  <c r="AY83" i="23916"/>
  <c r="AY85" i="23916" s="1"/>
  <c r="AW83" i="23916"/>
  <c r="AW85" i="23916" s="1"/>
  <c r="AU83" i="23916"/>
  <c r="AU85" i="23916" s="1"/>
  <c r="AS83" i="23916"/>
  <c r="AS85" i="23916" s="1"/>
  <c r="AQ83" i="23916"/>
  <c r="AQ85" i="23916" s="1"/>
  <c r="AO83" i="23916"/>
  <c r="AO85" i="23916" s="1"/>
  <c r="AM83" i="23916"/>
  <c r="AM85" i="23916" s="1"/>
  <c r="AK83" i="23916"/>
  <c r="AH83" i="23916"/>
  <c r="AG83" i="23916"/>
  <c r="AG85" i="23916" s="1"/>
  <c r="AE83" i="23916"/>
  <c r="AN83" i="23916" s="1"/>
  <c r="AC83" i="23916"/>
  <c r="AD83" i="23916" s="1"/>
  <c r="CX82" i="23916"/>
  <c r="CX81" i="23916"/>
  <c r="CV82" i="23916"/>
  <c r="CV81" i="23916"/>
  <c r="GI84" i="23916"/>
  <c r="GH84" i="23916"/>
  <c r="GG84" i="23916"/>
  <c r="GF84" i="23916"/>
  <c r="GE84" i="23916"/>
  <c r="GD84" i="23916"/>
  <c r="GC84" i="23916"/>
  <c r="GB84" i="23916"/>
  <c r="GA84" i="23916"/>
  <c r="FZ84" i="23916"/>
  <c r="FY84" i="23916"/>
  <c r="FX84" i="23916"/>
  <c r="FW84" i="23916"/>
  <c r="FV84" i="23916"/>
  <c r="FU84" i="23916"/>
  <c r="FT84" i="23916"/>
  <c r="FS84" i="23916"/>
  <c r="FR84" i="23916"/>
  <c r="FQ84" i="23916"/>
  <c r="FP84" i="23916"/>
  <c r="FO84" i="23916"/>
  <c r="FN84" i="23916"/>
  <c r="FL84" i="23916"/>
  <c r="FI84" i="23916"/>
  <c r="FR83" i="23916"/>
  <c r="FI83" i="23916"/>
  <c r="GI82" i="23916"/>
  <c r="GH82" i="23916"/>
  <c r="GH89" i="23916" s="1"/>
  <c r="GI89" i="23916" s="1"/>
  <c r="GG82" i="23916"/>
  <c r="GF82" i="23916"/>
  <c r="GE82" i="23916"/>
  <c r="GD82" i="23916"/>
  <c r="GD89" i="23916" s="1"/>
  <c r="GE89" i="23916" s="1"/>
  <c r="GC82" i="23916"/>
  <c r="GB82" i="23916"/>
  <c r="GA82" i="23916"/>
  <c r="FZ82" i="23916"/>
  <c r="FZ89" i="23916" s="1"/>
  <c r="GA89" i="23916" s="1"/>
  <c r="FY82" i="23916"/>
  <c r="FX82" i="23916"/>
  <c r="FW82" i="23916"/>
  <c r="FV82" i="23916"/>
  <c r="FV89" i="23916" s="1"/>
  <c r="FW89" i="23916" s="1"/>
  <c r="FU82" i="23916"/>
  <c r="FT82" i="23916"/>
  <c r="FS82" i="23916"/>
  <c r="FR82" i="23916"/>
  <c r="FR89" i="23916" s="1"/>
  <c r="FS89" i="23916" s="1"/>
  <c r="FQ82" i="23916"/>
  <c r="FP82" i="23916"/>
  <c r="FO82" i="23916"/>
  <c r="FN82" i="23916"/>
  <c r="FN89" i="23916" s="1"/>
  <c r="FO89" i="23916" s="1"/>
  <c r="FL82" i="23916"/>
  <c r="FI82" i="23916"/>
  <c r="GI81" i="23916"/>
  <c r="GH81" i="23916"/>
  <c r="GG81" i="23916"/>
  <c r="GF81" i="23916"/>
  <c r="GE81" i="23916"/>
  <c r="GD81" i="23916"/>
  <c r="GC81" i="23916"/>
  <c r="GB81" i="23916"/>
  <c r="GA81" i="23916"/>
  <c r="FZ81" i="23916"/>
  <c r="FY81" i="23916"/>
  <c r="FX81" i="23916"/>
  <c r="FW81" i="23916"/>
  <c r="FV81" i="23916"/>
  <c r="FU81" i="23916"/>
  <c r="FT81" i="23916"/>
  <c r="FS81" i="23916"/>
  <c r="FR81" i="23916"/>
  <c r="FR85" i="23916" s="1"/>
  <c r="FQ81" i="23916"/>
  <c r="FP81" i="23916"/>
  <c r="FO81" i="23916"/>
  <c r="FN81" i="23916"/>
  <c r="FL81" i="23916"/>
  <c r="FI81" i="23916"/>
  <c r="EJ84" i="23916"/>
  <c r="EJ83" i="23916"/>
  <c r="EJ82" i="23916"/>
  <c r="EJ81" i="23916"/>
  <c r="AK82" i="23916"/>
  <c r="FJ82" i="23916" s="1"/>
  <c r="AH82" i="23916"/>
  <c r="AK81" i="23916"/>
  <c r="AK85" i="23916" s="1"/>
  <c r="AH81" i="23916"/>
  <c r="AC82" i="23916"/>
  <c r="AD82" i="23916" s="1"/>
  <c r="AC81" i="23916"/>
  <c r="AC85" i="23916" s="1"/>
  <c r="AD85" i="23916" s="1"/>
  <c r="FI78" i="23916"/>
  <c r="FH78" i="23916"/>
  <c r="FH90" i="23916" s="1"/>
  <c r="FG78" i="23916"/>
  <c r="FF78" i="23916"/>
  <c r="FF93" i="23916" s="1"/>
  <c r="FE78" i="23916"/>
  <c r="FD78" i="23916"/>
  <c r="FD90" i="23916" s="1"/>
  <c r="FE90" i="23916" s="1"/>
  <c r="EJ78" i="23916"/>
  <c r="EI78" i="23916"/>
  <c r="EI93" i="23916" s="1"/>
  <c r="EH78" i="23916"/>
  <c r="EG78" i="23916"/>
  <c r="EF78" i="23916"/>
  <c r="EE78" i="23916"/>
  <c r="EE93" i="23916" s="1"/>
  <c r="ED78" i="23916"/>
  <c r="EC78" i="23916"/>
  <c r="EB78" i="23916"/>
  <c r="EA78" i="23916"/>
  <c r="EA93" i="23916" s="1"/>
  <c r="DZ78" i="23916"/>
  <c r="DY78" i="23916"/>
  <c r="DX78" i="23916"/>
  <c r="DW78" i="23916"/>
  <c r="DW93" i="23916" s="1"/>
  <c r="DV78" i="23916"/>
  <c r="DU78" i="23916"/>
  <c r="DT78" i="23916"/>
  <c r="DS78" i="23916"/>
  <c r="DS93" i="23916" s="1"/>
  <c r="DR78" i="23916"/>
  <c r="DQ78" i="23916"/>
  <c r="DP78" i="23916"/>
  <c r="DO78" i="23916"/>
  <c r="DO93" i="23916" s="1"/>
  <c r="DN78" i="23916"/>
  <c r="DM78" i="23916"/>
  <c r="DL78" i="23916"/>
  <c r="DK78" i="23916"/>
  <c r="DK93" i="23916" s="1"/>
  <c r="DJ78" i="23916"/>
  <c r="DI78" i="23916"/>
  <c r="DH78" i="23916"/>
  <c r="DG78" i="23916"/>
  <c r="DG93" i="23916" s="1"/>
  <c r="DF78" i="23916"/>
  <c r="DE78" i="23916"/>
  <c r="DD78" i="23916"/>
  <c r="DC78" i="23916"/>
  <c r="DC93" i="23916" s="1"/>
  <c r="DB78" i="23916"/>
  <c r="DA78" i="23916"/>
  <c r="CZ78" i="23916"/>
  <c r="CY78" i="23916"/>
  <c r="CY93" i="23916" s="1"/>
  <c r="CX78" i="23916"/>
  <c r="CW78" i="23916"/>
  <c r="CV78" i="23916"/>
  <c r="CU78" i="23916"/>
  <c r="CU93" i="23916" s="1"/>
  <c r="CT78" i="23916"/>
  <c r="CS78" i="23916"/>
  <c r="CR78" i="23916"/>
  <c r="CQ78" i="23916"/>
  <c r="CQ93" i="23916" s="1"/>
  <c r="CP78" i="23916"/>
  <c r="CO78" i="23916"/>
  <c r="CN78" i="23916"/>
  <c r="CM78" i="23916"/>
  <c r="CM93" i="23916" s="1"/>
  <c r="CL78" i="23916"/>
  <c r="CK78" i="23916"/>
  <c r="CJ78" i="23916"/>
  <c r="CI78" i="23916"/>
  <c r="CI93" i="23916" s="1"/>
  <c r="CH78" i="23916"/>
  <c r="CG78" i="23916"/>
  <c r="CF78" i="23916"/>
  <c r="CE78" i="23916"/>
  <c r="CE93" i="23916" s="1"/>
  <c r="CD78" i="23916"/>
  <c r="CC78" i="23916"/>
  <c r="CB78" i="23916"/>
  <c r="CA78" i="23916"/>
  <c r="CA93" i="23916" s="1"/>
  <c r="BZ78" i="23916"/>
  <c r="BY78" i="23916"/>
  <c r="BX78" i="23916"/>
  <c r="BW78" i="23916"/>
  <c r="BW93" i="23916" s="1"/>
  <c r="BV78" i="23916"/>
  <c r="BU78" i="23916"/>
  <c r="BT78" i="23916"/>
  <c r="BS78" i="23916"/>
  <c r="BS93" i="23916" s="1"/>
  <c r="BR78" i="23916"/>
  <c r="BQ78" i="23916"/>
  <c r="BP78" i="23916"/>
  <c r="BO78" i="23916"/>
  <c r="BO93" i="23916" s="1"/>
  <c r="BN78" i="23916"/>
  <c r="BM78" i="23916"/>
  <c r="BL78" i="23916"/>
  <c r="BK78" i="23916"/>
  <c r="BK93" i="23916" s="1"/>
  <c r="BJ78" i="23916"/>
  <c r="BI78" i="23916"/>
  <c r="BH78" i="23916"/>
  <c r="BG78" i="23916"/>
  <c r="BG93" i="23916" s="1"/>
  <c r="BF78" i="23916"/>
  <c r="BE78" i="23916"/>
  <c r="BD78" i="23916"/>
  <c r="BC78" i="23916"/>
  <c r="BC93" i="23916" s="1"/>
  <c r="BB78" i="23916"/>
  <c r="BA78" i="23916"/>
  <c r="AZ78" i="23916"/>
  <c r="AY78" i="23916"/>
  <c r="AY93" i="23916" s="1"/>
  <c r="AX78" i="23916"/>
  <c r="AW78" i="23916"/>
  <c r="AV78" i="23916"/>
  <c r="AU78" i="23916"/>
  <c r="AU93" i="23916" s="1"/>
  <c r="AS78" i="23916"/>
  <c r="AQ78" i="23916"/>
  <c r="AQ93" i="23916" s="1"/>
  <c r="AP78" i="23916"/>
  <c r="AO78" i="23916"/>
  <c r="AN78" i="23916"/>
  <c r="AM78" i="23916"/>
  <c r="AM93" i="23916" s="1"/>
  <c r="AH78" i="23916"/>
  <c r="AG78" i="23916"/>
  <c r="AF78" i="23916"/>
  <c r="AE78" i="23916"/>
  <c r="GJ77" i="23916"/>
  <c r="GL77" i="23916" s="1"/>
  <c r="GH77" i="23916"/>
  <c r="GI77" i="23916" s="1"/>
  <c r="GF77" i="23916"/>
  <c r="GG77" i="23916" s="1"/>
  <c r="GD77" i="23916"/>
  <c r="GE77" i="23916" s="1"/>
  <c r="GB77" i="23916"/>
  <c r="GC77" i="23916" s="1"/>
  <c r="FZ77" i="23916"/>
  <c r="GA77" i="23916" s="1"/>
  <c r="FX77" i="23916"/>
  <c r="FY77" i="23916" s="1"/>
  <c r="FV77" i="23916"/>
  <c r="FW77" i="23916" s="1"/>
  <c r="FT77" i="23916"/>
  <c r="FU77" i="23916" s="1"/>
  <c r="FR77" i="23916"/>
  <c r="FS77" i="23916" s="1"/>
  <c r="FP77" i="23916"/>
  <c r="FQ77" i="23916" s="1"/>
  <c r="FN77" i="23916"/>
  <c r="FO77" i="23916" s="1"/>
  <c r="FL77" i="23916"/>
  <c r="FI77" i="23916"/>
  <c r="FG77" i="23916"/>
  <c r="FG76" i="23916"/>
  <c r="FG75" i="23916"/>
  <c r="FE77" i="23916"/>
  <c r="FE76" i="23916"/>
  <c r="FE75" i="23916"/>
  <c r="EH77" i="23916"/>
  <c r="EH76" i="23916"/>
  <c r="EH75" i="23916"/>
  <c r="EF77" i="23916"/>
  <c r="EF76" i="23916"/>
  <c r="EF75" i="23916"/>
  <c r="ED77" i="23916"/>
  <c r="ED76" i="23916"/>
  <c r="ED75" i="23916"/>
  <c r="EB77" i="23916"/>
  <c r="EB76" i="23916"/>
  <c r="EB75" i="23916"/>
  <c r="DZ77" i="23916"/>
  <c r="DZ76" i="23916"/>
  <c r="DZ75" i="23916"/>
  <c r="DX77" i="23916"/>
  <c r="DX76" i="23916"/>
  <c r="DX75" i="23916"/>
  <c r="DV77" i="23916"/>
  <c r="DV76" i="23916"/>
  <c r="DV75" i="23916"/>
  <c r="DT77" i="23916"/>
  <c r="DT76" i="23916"/>
  <c r="DT75" i="23916"/>
  <c r="DR77" i="23916"/>
  <c r="DR76" i="23916"/>
  <c r="DR75" i="23916"/>
  <c r="DP77" i="23916"/>
  <c r="DP76" i="23916"/>
  <c r="DP75" i="23916"/>
  <c r="DN77" i="23916"/>
  <c r="DN76" i="23916"/>
  <c r="DN75" i="23916"/>
  <c r="DL77" i="23916"/>
  <c r="DL76" i="23916"/>
  <c r="DL75" i="23916"/>
  <c r="DJ77" i="23916"/>
  <c r="DJ76" i="23916"/>
  <c r="DJ75" i="23916"/>
  <c r="DH77" i="23916"/>
  <c r="DH76" i="23916"/>
  <c r="DH75" i="23916"/>
  <c r="DF77" i="23916"/>
  <c r="DF76" i="23916"/>
  <c r="DF75" i="23916"/>
  <c r="DD77" i="23916"/>
  <c r="DD76" i="23916"/>
  <c r="DD75" i="23916"/>
  <c r="DB77" i="23916"/>
  <c r="DB76" i="23916"/>
  <c r="DB75" i="23916"/>
  <c r="CZ77" i="23916"/>
  <c r="CZ76" i="23916"/>
  <c r="CZ75" i="23916"/>
  <c r="CX77" i="23916"/>
  <c r="CX76" i="23916"/>
  <c r="CX75" i="23916"/>
  <c r="CV77" i="23916"/>
  <c r="CV76" i="23916"/>
  <c r="CV75" i="23916"/>
  <c r="CT77" i="23916"/>
  <c r="CT76" i="23916"/>
  <c r="CT75" i="23916"/>
  <c r="CR77" i="23916"/>
  <c r="CR76" i="23916"/>
  <c r="CR75" i="23916"/>
  <c r="CP77" i="23916"/>
  <c r="CP76" i="23916"/>
  <c r="CP75" i="23916"/>
  <c r="CN77" i="23916"/>
  <c r="CN76" i="23916"/>
  <c r="CN75" i="23916"/>
  <c r="CL77" i="23916"/>
  <c r="CL76" i="23916"/>
  <c r="CL75" i="23916"/>
  <c r="CJ77" i="23916"/>
  <c r="CJ76" i="23916"/>
  <c r="CJ75" i="23916"/>
  <c r="CH77" i="23916"/>
  <c r="CH76" i="23916"/>
  <c r="CH75" i="23916"/>
  <c r="CF77" i="23916"/>
  <c r="CF76" i="23916"/>
  <c r="CF75" i="23916"/>
  <c r="CD77" i="23916"/>
  <c r="CD76" i="23916"/>
  <c r="CD75" i="23916"/>
  <c r="CB77" i="23916"/>
  <c r="CB76" i="23916"/>
  <c r="CB75" i="23916"/>
  <c r="BZ77" i="23916"/>
  <c r="BZ76" i="23916"/>
  <c r="BZ75" i="23916"/>
  <c r="BX77" i="23916"/>
  <c r="BX76" i="23916"/>
  <c r="BX75" i="23916"/>
  <c r="BV77" i="23916"/>
  <c r="BV76" i="23916"/>
  <c r="BV75" i="23916"/>
  <c r="BT77" i="23916"/>
  <c r="BT76" i="23916"/>
  <c r="BT75" i="23916"/>
  <c r="BR77" i="23916"/>
  <c r="BR76" i="23916"/>
  <c r="BR75" i="23916"/>
  <c r="BP77" i="23916"/>
  <c r="BP76" i="23916"/>
  <c r="BP75" i="23916"/>
  <c r="BN77" i="23916"/>
  <c r="BN76" i="23916"/>
  <c r="BN75" i="23916"/>
  <c r="BL77" i="23916"/>
  <c r="BL76" i="23916"/>
  <c r="BL75" i="23916"/>
  <c r="BJ77" i="23916"/>
  <c r="BJ76" i="23916"/>
  <c r="BJ75" i="23916"/>
  <c r="BH77" i="23916"/>
  <c r="BH76" i="23916"/>
  <c r="BH75" i="23916"/>
  <c r="BF77" i="23916"/>
  <c r="BF76" i="23916"/>
  <c r="BF75" i="23916"/>
  <c r="BD77" i="23916"/>
  <c r="BD76" i="23916"/>
  <c r="BD75" i="23916"/>
  <c r="BB77" i="23916"/>
  <c r="BB76" i="23916"/>
  <c r="BB75" i="23916"/>
  <c r="AZ77" i="23916"/>
  <c r="AZ76" i="23916"/>
  <c r="AZ75" i="23916"/>
  <c r="AX77" i="23916"/>
  <c r="AX76" i="23916"/>
  <c r="AX75" i="23916"/>
  <c r="AV77" i="23916"/>
  <c r="AV76" i="23916"/>
  <c r="AV75" i="23916"/>
  <c r="AT77" i="23916"/>
  <c r="AP77" i="23916"/>
  <c r="AP76" i="23916"/>
  <c r="AP75" i="23916"/>
  <c r="AN77" i="23916"/>
  <c r="AN76" i="23916"/>
  <c r="AN75" i="23916"/>
  <c r="AF77" i="23916"/>
  <c r="AF76" i="23916"/>
  <c r="AF75" i="23916"/>
  <c r="FV76" i="23916"/>
  <c r="FW76" i="23916" s="1"/>
  <c r="FT76" i="23916"/>
  <c r="FU76" i="23916" s="1"/>
  <c r="FR76" i="23916"/>
  <c r="FS76" i="23916" s="1"/>
  <c r="FP76" i="23916"/>
  <c r="FQ76" i="23916" s="1"/>
  <c r="FN76" i="23916"/>
  <c r="FO76" i="23916" s="1"/>
  <c r="FL76" i="23916"/>
  <c r="FM76" i="23916" s="1"/>
  <c r="FJ76" i="23916"/>
  <c r="FK76" i="23916" s="1"/>
  <c r="FI76" i="23916"/>
  <c r="GH76" i="23916"/>
  <c r="GI76" i="23916" s="1"/>
  <c r="GF76" i="23916"/>
  <c r="GG76" i="23916" s="1"/>
  <c r="GD76" i="23916"/>
  <c r="GE76" i="23916" s="1"/>
  <c r="GB76" i="23916"/>
  <c r="GC76" i="23916" s="1"/>
  <c r="FZ76" i="23916"/>
  <c r="GA76" i="23916" s="1"/>
  <c r="GL75" i="23916"/>
  <c r="GJ75" i="23916"/>
  <c r="GH75" i="23916"/>
  <c r="GH78" i="23916" s="1"/>
  <c r="GF75" i="23916"/>
  <c r="GF78" i="23916" s="1"/>
  <c r="GD75" i="23916"/>
  <c r="GD78" i="23916" s="1"/>
  <c r="GB75" i="23916"/>
  <c r="GB78" i="23916" s="1"/>
  <c r="FZ75" i="23916"/>
  <c r="FZ78" i="23916" s="1"/>
  <c r="FX75" i="23916"/>
  <c r="FX78" i="23916" s="1"/>
  <c r="FV75" i="23916"/>
  <c r="FV78" i="23916" s="1"/>
  <c r="FT75" i="23916"/>
  <c r="FT78" i="23916" s="1"/>
  <c r="FR75" i="23916"/>
  <c r="FR78" i="23916" s="1"/>
  <c r="FP75" i="23916"/>
  <c r="FP78" i="23916" s="1"/>
  <c r="FN75" i="23916"/>
  <c r="FN78" i="23916" s="1"/>
  <c r="FL75" i="23916"/>
  <c r="FL78" i="23916" s="1"/>
  <c r="FI75" i="23916"/>
  <c r="ER77" i="23916"/>
  <c r="EQ77" i="23916"/>
  <c r="EP77" i="23916"/>
  <c r="EO77" i="23916"/>
  <c r="EN77" i="23916"/>
  <c r="EM77" i="23916"/>
  <c r="EL77" i="23916"/>
  <c r="EK77" i="23916"/>
  <c r="EJ77" i="23916"/>
  <c r="EM76" i="23916"/>
  <c r="EO76" i="23916" s="1"/>
  <c r="EK76" i="23916"/>
  <c r="EL76" i="23916" s="1"/>
  <c r="EJ76" i="23916"/>
  <c r="ER75" i="23916"/>
  <c r="EQ75" i="23916"/>
  <c r="EP75" i="23916"/>
  <c r="EO75" i="23916"/>
  <c r="EN75" i="23916"/>
  <c r="EM75" i="23916"/>
  <c r="EL75" i="23916"/>
  <c r="EK75" i="23916"/>
  <c r="EK78" i="23916" s="1"/>
  <c r="EJ75" i="23916"/>
  <c r="AK77" i="23916"/>
  <c r="AL77" i="23916" s="1"/>
  <c r="AI77" i="23916"/>
  <c r="AR77" i="23916" s="1"/>
  <c r="AH77" i="23916"/>
  <c r="AL76" i="23916"/>
  <c r="AK76" i="23916"/>
  <c r="AT76" i="23916" s="1"/>
  <c r="AH76" i="23916"/>
  <c r="AK75" i="23916"/>
  <c r="AK78" i="23916" s="1"/>
  <c r="AI75" i="23916"/>
  <c r="AR75" i="23916" s="1"/>
  <c r="AH75" i="23916"/>
  <c r="AD77" i="23916"/>
  <c r="AC77" i="23916"/>
  <c r="AD76" i="23916"/>
  <c r="AC76" i="23916"/>
  <c r="AI76" i="23916" s="1"/>
  <c r="AD75" i="23916"/>
  <c r="AC75" i="23916"/>
  <c r="AC78" i="23916" s="1"/>
  <c r="GS70" i="23916"/>
  <c r="GQ70" i="23916"/>
  <c r="GO70" i="23916"/>
  <c r="GM70" i="23916"/>
  <c r="GK70" i="23916"/>
  <c r="GI70" i="23916"/>
  <c r="GG70" i="23916"/>
  <c r="FO70" i="23916"/>
  <c r="FM70" i="23916"/>
  <c r="FH70" i="23916"/>
  <c r="FK70" i="23916" s="1"/>
  <c r="FF70" i="23916"/>
  <c r="FG70" i="23916" s="1"/>
  <c r="FD70" i="23916"/>
  <c r="FE70" i="23916" s="1"/>
  <c r="EI70" i="23916"/>
  <c r="ER70" i="23916" s="1"/>
  <c r="EG70" i="23916"/>
  <c r="EP70" i="23916" s="1"/>
  <c r="EE70" i="23916"/>
  <c r="EF70" i="23916" s="1"/>
  <c r="EC70" i="23916"/>
  <c r="ED70" i="23916" s="1"/>
  <c r="EA70" i="23916"/>
  <c r="EB70" i="23916" s="1"/>
  <c r="DY70" i="23916"/>
  <c r="DZ70" i="23916" s="1"/>
  <c r="DW70" i="23916"/>
  <c r="DX70" i="23916" s="1"/>
  <c r="DU70" i="23916"/>
  <c r="DV70" i="23916" s="1"/>
  <c r="DS70" i="23916"/>
  <c r="DT70" i="23916" s="1"/>
  <c r="DQ70" i="23916"/>
  <c r="DR70" i="23916" s="1"/>
  <c r="DO70" i="23916"/>
  <c r="DP70" i="23916" s="1"/>
  <c r="DM70" i="23916"/>
  <c r="DN70" i="23916" s="1"/>
  <c r="DK70" i="23916"/>
  <c r="DL70" i="23916" s="1"/>
  <c r="DI70" i="23916"/>
  <c r="DJ70" i="23916" s="1"/>
  <c r="DG70" i="23916"/>
  <c r="DH70" i="23916" s="1"/>
  <c r="DE70" i="23916"/>
  <c r="GB70" i="23916" s="1"/>
  <c r="DC70" i="23916"/>
  <c r="DD70" i="23916" s="1"/>
  <c r="DA70" i="23916"/>
  <c r="DB70" i="23916" s="1"/>
  <c r="CY70" i="23916"/>
  <c r="CZ70" i="23916" s="1"/>
  <c r="CW70" i="23916"/>
  <c r="CX70" i="23916" s="1"/>
  <c r="CU70" i="23916"/>
  <c r="CV70" i="23916" s="1"/>
  <c r="CS70" i="23916"/>
  <c r="CT70" i="23916" s="1"/>
  <c r="CQ70" i="23916"/>
  <c r="CR70" i="23916" s="1"/>
  <c r="CO70" i="23916"/>
  <c r="CP70" i="23916" s="1"/>
  <c r="CM70" i="23916"/>
  <c r="CN70" i="23916" s="1"/>
  <c r="CK70" i="23916"/>
  <c r="CL70" i="23916" s="1"/>
  <c r="CI70" i="23916"/>
  <c r="CJ70" i="23916" s="1"/>
  <c r="CG70" i="23916"/>
  <c r="CH70" i="23916" s="1"/>
  <c r="CE70" i="23916"/>
  <c r="CC70" i="23916"/>
  <c r="CD70" i="23916" s="1"/>
  <c r="CA70" i="23916"/>
  <c r="BY70" i="23916"/>
  <c r="BU70" i="23916"/>
  <c r="BO70" i="23916"/>
  <c r="GS68" i="23916"/>
  <c r="GS67" i="23916"/>
  <c r="GS66" i="23916"/>
  <c r="GQ68" i="23916"/>
  <c r="GQ67" i="23916"/>
  <c r="GQ66" i="23916"/>
  <c r="GO68" i="23916"/>
  <c r="GO67" i="23916"/>
  <c r="GO66" i="23916"/>
  <c r="GM68" i="23916"/>
  <c r="GM67" i="23916"/>
  <c r="GM66" i="23916"/>
  <c r="GK68" i="23916"/>
  <c r="GK67" i="23916"/>
  <c r="GK66" i="23916"/>
  <c r="GI68" i="23916"/>
  <c r="GI67" i="23916"/>
  <c r="GI66" i="23916"/>
  <c r="GG68" i="23916"/>
  <c r="GG67" i="23916"/>
  <c r="GG66" i="23916"/>
  <c r="GE67" i="23916"/>
  <c r="FM68" i="23916"/>
  <c r="FM67" i="23916"/>
  <c r="FM66" i="23916"/>
  <c r="FK67" i="23916"/>
  <c r="FK66" i="23916"/>
  <c r="FI68" i="23916"/>
  <c r="FH68" i="23916"/>
  <c r="FH172" i="23916" s="1"/>
  <c r="FG68" i="23916"/>
  <c r="FF68" i="23916"/>
  <c r="FF172" i="23916" s="1"/>
  <c r="FG172" i="23916" s="1"/>
  <c r="FE68" i="23916"/>
  <c r="FD68" i="23916"/>
  <c r="FD172" i="23916" s="1"/>
  <c r="FE172" i="23916" s="1"/>
  <c r="ER68" i="23916"/>
  <c r="ER67" i="23916"/>
  <c r="ER66" i="23916"/>
  <c r="EP67" i="23916"/>
  <c r="EP66" i="23916"/>
  <c r="EN68" i="23916"/>
  <c r="EN67" i="23916"/>
  <c r="EN66" i="23916"/>
  <c r="EL67" i="23916"/>
  <c r="EL66" i="23916"/>
  <c r="EJ68" i="23916"/>
  <c r="EI68" i="23916"/>
  <c r="EI172" i="23916" s="1"/>
  <c r="EH68" i="23916"/>
  <c r="EG68" i="23916"/>
  <c r="EG172" i="23916" s="1"/>
  <c r="EF68" i="23916"/>
  <c r="EE68" i="23916"/>
  <c r="EE172" i="23916" s="1"/>
  <c r="ED68" i="23916"/>
  <c r="EC68" i="23916"/>
  <c r="EC172" i="23916" s="1"/>
  <c r="EB68" i="23916"/>
  <c r="EA68" i="23916"/>
  <c r="EA172" i="23916" s="1"/>
  <c r="DZ68" i="23916"/>
  <c r="DY68" i="23916"/>
  <c r="DY172" i="23916" s="1"/>
  <c r="DX68" i="23916"/>
  <c r="DW68" i="23916"/>
  <c r="DW172" i="23916" s="1"/>
  <c r="DV68" i="23916"/>
  <c r="DU68" i="23916"/>
  <c r="DU172" i="23916" s="1"/>
  <c r="DT68" i="23916"/>
  <c r="DS68" i="23916"/>
  <c r="DS172" i="23916" s="1"/>
  <c r="DR68" i="23916"/>
  <c r="DQ68" i="23916"/>
  <c r="DQ172" i="23916" s="1"/>
  <c r="DP68" i="23916"/>
  <c r="DO68" i="23916"/>
  <c r="DO172" i="23916" s="1"/>
  <c r="DN68" i="23916"/>
  <c r="DM68" i="23916"/>
  <c r="DM172" i="23916" s="1"/>
  <c r="DL68" i="23916"/>
  <c r="DK68" i="23916"/>
  <c r="DK172" i="23916" s="1"/>
  <c r="DJ68" i="23916"/>
  <c r="DI68" i="23916"/>
  <c r="DI172" i="23916" s="1"/>
  <c r="DH68" i="23916"/>
  <c r="DG68" i="23916"/>
  <c r="DG172" i="23916" s="1"/>
  <c r="DF68" i="23916"/>
  <c r="DE68" i="23916"/>
  <c r="DE172" i="23916" s="1"/>
  <c r="DD68" i="23916"/>
  <c r="DC68" i="23916"/>
  <c r="DC172" i="23916" s="1"/>
  <c r="DB68" i="23916"/>
  <c r="DA68" i="23916"/>
  <c r="DA172" i="23916" s="1"/>
  <c r="CZ68" i="23916"/>
  <c r="CY68" i="23916"/>
  <c r="CY172" i="23916" s="1"/>
  <c r="CX68" i="23916"/>
  <c r="CW68" i="23916"/>
  <c r="CW172" i="23916" s="1"/>
  <c r="CV68" i="23916"/>
  <c r="CU68" i="23916"/>
  <c r="CU172" i="23916" s="1"/>
  <c r="CT68" i="23916"/>
  <c r="CS68" i="23916"/>
  <c r="CS172" i="23916" s="1"/>
  <c r="CR68" i="23916"/>
  <c r="CQ68" i="23916"/>
  <c r="CQ172" i="23916" s="1"/>
  <c r="CP68" i="23916"/>
  <c r="CO68" i="23916"/>
  <c r="CO172" i="23916" s="1"/>
  <c r="CN68" i="23916"/>
  <c r="CM68" i="23916"/>
  <c r="CM172" i="23916" s="1"/>
  <c r="CL68" i="23916"/>
  <c r="CK68" i="23916"/>
  <c r="CK172" i="23916" s="1"/>
  <c r="CJ68" i="23916"/>
  <c r="CI68" i="23916"/>
  <c r="CI172" i="23916" s="1"/>
  <c r="CH68" i="23916"/>
  <c r="CG68" i="23916"/>
  <c r="CG172" i="23916" s="1"/>
  <c r="CE68" i="23916"/>
  <c r="CE172" i="23916" s="1"/>
  <c r="CD68" i="23916"/>
  <c r="CC68" i="23916"/>
  <c r="CC172" i="23916" s="1"/>
  <c r="CB68" i="23916"/>
  <c r="CA68" i="23916"/>
  <c r="CA172" i="23916" s="1"/>
  <c r="BY68" i="23916"/>
  <c r="BY172" i="23916" s="1"/>
  <c r="BW68" i="23916"/>
  <c r="BW172" i="23916" s="1"/>
  <c r="BU68" i="23916"/>
  <c r="BU172" i="23916" s="1"/>
  <c r="BS68" i="23916"/>
  <c r="BS172" i="23916" s="1"/>
  <c r="BQ68" i="23916"/>
  <c r="BQ172" i="23916" s="1"/>
  <c r="BR172" i="23916" s="1"/>
  <c r="BO68" i="23916"/>
  <c r="BO172" i="23916" s="1"/>
  <c r="BM68" i="23916"/>
  <c r="BM172" i="23916" s="1"/>
  <c r="BK68" i="23916"/>
  <c r="BK172" i="23916" s="1"/>
  <c r="BI68" i="23916"/>
  <c r="BI172" i="23916" s="1"/>
  <c r="BG68" i="23916"/>
  <c r="BG172" i="23916" s="1"/>
  <c r="BE68" i="23916"/>
  <c r="BE172" i="23916" s="1"/>
  <c r="BC68" i="23916"/>
  <c r="BC172" i="23916" s="1"/>
  <c r="BA68" i="23916"/>
  <c r="BA172" i="23916" s="1"/>
  <c r="AY68" i="23916"/>
  <c r="AY172" i="23916" s="1"/>
  <c r="AW68" i="23916"/>
  <c r="AW172" i="23916" s="1"/>
  <c r="AU68" i="23916"/>
  <c r="AU172" i="23916" s="1"/>
  <c r="AS68" i="23916"/>
  <c r="AS172" i="23916" s="1"/>
  <c r="AQ68" i="23916"/>
  <c r="AQ172" i="23916" s="1"/>
  <c r="AO68" i="23916"/>
  <c r="AO172" i="23916" s="1"/>
  <c r="AM68" i="23916"/>
  <c r="AM172" i="23916" s="1"/>
  <c r="AK68" i="23916"/>
  <c r="AK172" i="23916" s="1"/>
  <c r="AG68" i="23916"/>
  <c r="AG172" i="23916" s="1"/>
  <c r="AH172" i="23916" s="1"/>
  <c r="AE68" i="23916"/>
  <c r="AE172" i="23916" s="1"/>
  <c r="AF172" i="23916" s="1"/>
  <c r="AC68" i="23916"/>
  <c r="AC172" i="23916" s="1"/>
  <c r="AD172" i="23916" s="1"/>
  <c r="FI67" i="23916"/>
  <c r="FI66" i="23916"/>
  <c r="FG67" i="23916"/>
  <c r="FG66" i="23916"/>
  <c r="FE67" i="23916"/>
  <c r="FE66" i="23916"/>
  <c r="EJ67" i="23916"/>
  <c r="EJ66" i="23916"/>
  <c r="EH67" i="23916"/>
  <c r="EH66" i="23916"/>
  <c r="EF67" i="23916"/>
  <c r="EF66" i="23916"/>
  <c r="ED67" i="23916"/>
  <c r="ED66" i="23916"/>
  <c r="EB67" i="23916"/>
  <c r="EB66" i="23916"/>
  <c r="DZ67" i="23916"/>
  <c r="DZ66" i="23916"/>
  <c r="DX67" i="23916"/>
  <c r="DX66" i="23916"/>
  <c r="DV67" i="23916"/>
  <c r="DV66" i="23916"/>
  <c r="DT67" i="23916"/>
  <c r="DT66" i="23916"/>
  <c r="DR67" i="23916"/>
  <c r="DR66" i="23916"/>
  <c r="DP67" i="23916"/>
  <c r="DP66" i="23916"/>
  <c r="DN67" i="23916"/>
  <c r="DN66" i="23916"/>
  <c r="DL67" i="23916"/>
  <c r="DL66" i="23916"/>
  <c r="DJ67" i="23916"/>
  <c r="DJ66" i="23916"/>
  <c r="DH67" i="23916"/>
  <c r="DH66" i="23916"/>
  <c r="DF67" i="23916"/>
  <c r="DF66" i="23916"/>
  <c r="DD67" i="23916"/>
  <c r="DD66" i="23916"/>
  <c r="DB67" i="23916"/>
  <c r="DB66" i="23916"/>
  <c r="CZ67" i="23916"/>
  <c r="CZ66" i="23916"/>
  <c r="CX67" i="23916"/>
  <c r="CX66" i="23916"/>
  <c r="CV67" i="23916"/>
  <c r="CV66" i="23916"/>
  <c r="CT67" i="23916"/>
  <c r="CT66" i="23916"/>
  <c r="CR67" i="23916"/>
  <c r="CR66" i="23916"/>
  <c r="CP67" i="23916"/>
  <c r="CP66" i="23916"/>
  <c r="CN67" i="23916"/>
  <c r="CN66" i="23916"/>
  <c r="CL67" i="23916"/>
  <c r="CL66" i="23916"/>
  <c r="CJ67" i="23916"/>
  <c r="CJ66" i="23916"/>
  <c r="CH67" i="23916"/>
  <c r="CH66" i="23916"/>
  <c r="CF67" i="23916"/>
  <c r="CF66" i="23916"/>
  <c r="CD67" i="23916"/>
  <c r="CD66" i="23916"/>
  <c r="CB67" i="23916"/>
  <c r="CB66" i="23916"/>
  <c r="BZ67" i="23916"/>
  <c r="BZ66" i="23916"/>
  <c r="BR67" i="23916"/>
  <c r="BR66" i="23916"/>
  <c r="BL67" i="23916"/>
  <c r="BL66" i="23916"/>
  <c r="BJ67" i="23916"/>
  <c r="BJ66" i="23916"/>
  <c r="BH67" i="23916"/>
  <c r="BH66" i="23916"/>
  <c r="BF67" i="23916"/>
  <c r="BF66" i="23916"/>
  <c r="BD67" i="23916"/>
  <c r="BD66" i="23916"/>
  <c r="BB67" i="23916"/>
  <c r="BB66" i="23916"/>
  <c r="AZ67" i="23916"/>
  <c r="AZ66" i="23916"/>
  <c r="AX67" i="23916"/>
  <c r="AX66" i="23916"/>
  <c r="AV67" i="23916"/>
  <c r="AV66" i="23916"/>
  <c r="AT67" i="23916"/>
  <c r="AT66" i="23916"/>
  <c r="AP67" i="23916"/>
  <c r="AP66" i="23916"/>
  <c r="AN67" i="23916"/>
  <c r="AN66" i="23916"/>
  <c r="AL67" i="23916"/>
  <c r="AL66" i="23916"/>
  <c r="AF67" i="23916"/>
  <c r="AF66" i="23916"/>
  <c r="AD67" i="23916"/>
  <c r="AD66" i="23916"/>
  <c r="GB68" i="23916"/>
  <c r="GE68" i="23916" s="1"/>
  <c r="FZ68" i="23916"/>
  <c r="FZ172" i="23916" s="1"/>
  <c r="FX68" i="23916"/>
  <c r="FX172" i="23916" s="1"/>
  <c r="FT68" i="23916"/>
  <c r="FT172" i="23916" s="1"/>
  <c r="FP68" i="23916"/>
  <c r="FO68" i="23916"/>
  <c r="GC67" i="23916"/>
  <c r="GB67" i="23916"/>
  <c r="GA67" i="23916"/>
  <c r="FZ67" i="23916"/>
  <c r="FZ171" i="23916" s="1"/>
  <c r="FY67" i="23916"/>
  <c r="FX67" i="23916"/>
  <c r="FX171" i="23916" s="1"/>
  <c r="FY171" i="23916" s="1"/>
  <c r="FW67" i="23916"/>
  <c r="FV67" i="23916"/>
  <c r="FV171" i="23916" s="1"/>
  <c r="FU67" i="23916"/>
  <c r="FT67" i="23916"/>
  <c r="FT171" i="23916" s="1"/>
  <c r="FU171" i="23916" s="1"/>
  <c r="FS67" i="23916"/>
  <c r="FR67" i="23916"/>
  <c r="FR171" i="23916" s="1"/>
  <c r="FS171" i="23916" s="1"/>
  <c r="FQ67" i="23916"/>
  <c r="FP67" i="23916"/>
  <c r="FO67" i="23916"/>
  <c r="GB66" i="23916"/>
  <c r="GC66" i="23916" s="1"/>
  <c r="FZ66" i="23916"/>
  <c r="FZ170" i="23916" s="1"/>
  <c r="GA170" i="23916" s="1"/>
  <c r="FX66" i="23916"/>
  <c r="FX170" i="23916" s="1"/>
  <c r="FV66" i="23916"/>
  <c r="FV170" i="23916" s="1"/>
  <c r="FW170" i="23916" s="1"/>
  <c r="FT66" i="23916"/>
  <c r="FT170" i="23916" s="1"/>
  <c r="FR66" i="23916"/>
  <c r="FR170" i="23916" s="1"/>
  <c r="FS170" i="23916" s="1"/>
  <c r="FP66" i="23916"/>
  <c r="FQ66" i="23916" s="1"/>
  <c r="FO66" i="23916"/>
  <c r="AJ67" i="23916"/>
  <c r="AI67" i="23916"/>
  <c r="AI171" i="23916" s="1"/>
  <c r="AH67" i="23916"/>
  <c r="AI66" i="23916"/>
  <c r="AI170" i="23916" s="1"/>
  <c r="AJ170" i="23916" s="1"/>
  <c r="AH66" i="23916"/>
  <c r="GS64" i="23916"/>
  <c r="GS63" i="23916"/>
  <c r="GS62" i="23916"/>
  <c r="GQ64" i="23916"/>
  <c r="GQ63" i="23916"/>
  <c r="GQ62" i="23916"/>
  <c r="GO64" i="23916"/>
  <c r="GO63" i="23916"/>
  <c r="GO62" i="23916"/>
  <c r="GM64" i="23916"/>
  <c r="GM63" i="23916"/>
  <c r="GM62" i="23916"/>
  <c r="GK64" i="23916"/>
  <c r="GK63" i="23916"/>
  <c r="GK62" i="23916"/>
  <c r="GI64" i="23916"/>
  <c r="GI63" i="23916"/>
  <c r="GI62" i="23916"/>
  <c r="GG64" i="23916"/>
  <c r="GG63" i="23916"/>
  <c r="GG62" i="23916"/>
  <c r="GE63" i="23916"/>
  <c r="FM64" i="23916"/>
  <c r="FM63" i="23916"/>
  <c r="FM62" i="23916"/>
  <c r="FK63" i="23916"/>
  <c r="FK62" i="23916"/>
  <c r="FI64" i="23916"/>
  <c r="FH64" i="23916"/>
  <c r="FH168" i="23916" s="1"/>
  <c r="FG64" i="23916"/>
  <c r="FF64" i="23916"/>
  <c r="FF168" i="23916" s="1"/>
  <c r="FG168" i="23916" s="1"/>
  <c r="FE64" i="23916"/>
  <c r="FD64" i="23916"/>
  <c r="FD168" i="23916" s="1"/>
  <c r="FE168" i="23916" s="1"/>
  <c r="ER64" i="23916"/>
  <c r="ER63" i="23916"/>
  <c r="ER62" i="23916"/>
  <c r="EP63" i="23916"/>
  <c r="EP62" i="23916"/>
  <c r="EN64" i="23916"/>
  <c r="EN63" i="23916"/>
  <c r="EN62" i="23916"/>
  <c r="EL64" i="23916"/>
  <c r="EL63" i="23916"/>
  <c r="EL62" i="23916"/>
  <c r="EJ64" i="23916"/>
  <c r="EI64" i="23916"/>
  <c r="EI168" i="23916" s="1"/>
  <c r="EH64" i="23916"/>
  <c r="EG64" i="23916"/>
  <c r="EG168" i="23916" s="1"/>
  <c r="EF64" i="23916"/>
  <c r="EE64" i="23916"/>
  <c r="EE168" i="23916" s="1"/>
  <c r="ED64" i="23916"/>
  <c r="EC64" i="23916"/>
  <c r="EC168" i="23916" s="1"/>
  <c r="EB64" i="23916"/>
  <c r="EA64" i="23916"/>
  <c r="EA168" i="23916" s="1"/>
  <c r="DZ64" i="23916"/>
  <c r="DY64" i="23916"/>
  <c r="DY168" i="23916" s="1"/>
  <c r="DX64" i="23916"/>
  <c r="DW64" i="23916"/>
  <c r="DW168" i="23916" s="1"/>
  <c r="DV64" i="23916"/>
  <c r="DU64" i="23916"/>
  <c r="DU168" i="23916" s="1"/>
  <c r="DT64" i="23916"/>
  <c r="DS64" i="23916"/>
  <c r="DS168" i="23916" s="1"/>
  <c r="DR64" i="23916"/>
  <c r="DQ64" i="23916"/>
  <c r="DQ168" i="23916" s="1"/>
  <c r="DP64" i="23916"/>
  <c r="DO64" i="23916"/>
  <c r="DO168" i="23916" s="1"/>
  <c r="DN64" i="23916"/>
  <c r="DM64" i="23916"/>
  <c r="DM168" i="23916" s="1"/>
  <c r="DL64" i="23916"/>
  <c r="DK64" i="23916"/>
  <c r="DK168" i="23916" s="1"/>
  <c r="DJ64" i="23916"/>
  <c r="DI64" i="23916"/>
  <c r="DI168" i="23916" s="1"/>
  <c r="DH64" i="23916"/>
  <c r="DG64" i="23916"/>
  <c r="DG168" i="23916" s="1"/>
  <c r="DF64" i="23916"/>
  <c r="DE64" i="23916"/>
  <c r="DE168" i="23916" s="1"/>
  <c r="DD64" i="23916"/>
  <c r="DC64" i="23916"/>
  <c r="DC168" i="23916" s="1"/>
  <c r="DB64" i="23916"/>
  <c r="DA64" i="23916"/>
  <c r="DA168" i="23916" s="1"/>
  <c r="CZ64" i="23916"/>
  <c r="CY64" i="23916"/>
  <c r="CY168" i="23916" s="1"/>
  <c r="CX64" i="23916"/>
  <c r="CW64" i="23916"/>
  <c r="CW168" i="23916" s="1"/>
  <c r="CV64" i="23916"/>
  <c r="CU64" i="23916"/>
  <c r="CU168" i="23916" s="1"/>
  <c r="CT64" i="23916"/>
  <c r="CS64" i="23916"/>
  <c r="CS168" i="23916" s="1"/>
  <c r="CR64" i="23916"/>
  <c r="CQ64" i="23916"/>
  <c r="CQ168" i="23916" s="1"/>
  <c r="CP64" i="23916"/>
  <c r="CO64" i="23916"/>
  <c r="CO168" i="23916" s="1"/>
  <c r="CN64" i="23916"/>
  <c r="CM64" i="23916"/>
  <c r="CM168" i="23916" s="1"/>
  <c r="CL64" i="23916"/>
  <c r="CK64" i="23916"/>
  <c r="CK168" i="23916" s="1"/>
  <c r="CJ64" i="23916"/>
  <c r="CI64" i="23916"/>
  <c r="CI168" i="23916" s="1"/>
  <c r="CH64" i="23916"/>
  <c r="CG64" i="23916"/>
  <c r="CG168" i="23916" s="1"/>
  <c r="CE64" i="23916"/>
  <c r="CE168" i="23916" s="1"/>
  <c r="CD64" i="23916"/>
  <c r="CC64" i="23916"/>
  <c r="CC168" i="23916" s="1"/>
  <c r="CB64" i="23916"/>
  <c r="CA64" i="23916"/>
  <c r="CA168" i="23916" s="1"/>
  <c r="BZ64" i="23916"/>
  <c r="BY64" i="23916"/>
  <c r="BY168" i="23916" s="1"/>
  <c r="BW64" i="23916"/>
  <c r="BW168" i="23916" s="1"/>
  <c r="BU64" i="23916"/>
  <c r="BU168" i="23916" s="1"/>
  <c r="BT64" i="23916"/>
  <c r="BS64" i="23916"/>
  <c r="BS168" i="23916" s="1"/>
  <c r="BR64" i="23916"/>
  <c r="BQ64" i="23916"/>
  <c r="BQ168" i="23916" s="1"/>
  <c r="BP64" i="23916"/>
  <c r="BO64" i="23916"/>
  <c r="BO168" i="23916" s="1"/>
  <c r="BN64" i="23916"/>
  <c r="BM64" i="23916"/>
  <c r="BM168" i="23916" s="1"/>
  <c r="BL64" i="23916"/>
  <c r="BK64" i="23916"/>
  <c r="BK168" i="23916" s="1"/>
  <c r="BJ64" i="23916"/>
  <c r="BI64" i="23916"/>
  <c r="BI168" i="23916" s="1"/>
  <c r="BH64" i="23916"/>
  <c r="BG64" i="23916"/>
  <c r="BG168" i="23916" s="1"/>
  <c r="BF64" i="23916"/>
  <c r="BE64" i="23916"/>
  <c r="BE168" i="23916" s="1"/>
  <c r="BD64" i="23916"/>
  <c r="BC64" i="23916"/>
  <c r="BC168" i="23916" s="1"/>
  <c r="BB64" i="23916"/>
  <c r="BA64" i="23916"/>
  <c r="BA168" i="23916" s="1"/>
  <c r="AZ64" i="23916"/>
  <c r="AY64" i="23916"/>
  <c r="AY168" i="23916" s="1"/>
  <c r="AX64" i="23916"/>
  <c r="AW64" i="23916"/>
  <c r="AW168" i="23916" s="1"/>
  <c r="AV64" i="23916"/>
  <c r="AU64" i="23916"/>
  <c r="AU168" i="23916" s="1"/>
  <c r="AS64" i="23916"/>
  <c r="AS168" i="23916" s="1"/>
  <c r="AQ64" i="23916"/>
  <c r="AQ168" i="23916" s="1"/>
  <c r="AP64" i="23916"/>
  <c r="AO64" i="23916"/>
  <c r="AO168" i="23916" s="1"/>
  <c r="AN64" i="23916"/>
  <c r="AM64" i="23916"/>
  <c r="AM168" i="23916" s="1"/>
  <c r="AH64" i="23916"/>
  <c r="AG64" i="23916"/>
  <c r="AG168" i="23916" s="1"/>
  <c r="AH168" i="23916" s="1"/>
  <c r="AF64" i="23916"/>
  <c r="AE64" i="23916"/>
  <c r="AE168" i="23916" s="1"/>
  <c r="AF168" i="23916" s="1"/>
  <c r="FI63" i="23916"/>
  <c r="FI62" i="23916"/>
  <c r="FG63" i="23916"/>
  <c r="FG62" i="23916"/>
  <c r="FE63" i="23916"/>
  <c r="FE62" i="23916"/>
  <c r="EJ63" i="23916"/>
  <c r="EJ62" i="23916"/>
  <c r="EH63" i="23916"/>
  <c r="EH62" i="23916"/>
  <c r="EF63" i="23916"/>
  <c r="EF62" i="23916"/>
  <c r="ED63" i="23916"/>
  <c r="ED62" i="23916"/>
  <c r="EB63" i="23916"/>
  <c r="EB62" i="23916"/>
  <c r="DZ63" i="23916"/>
  <c r="DZ62" i="23916"/>
  <c r="DX63" i="23916"/>
  <c r="DX62" i="23916"/>
  <c r="DV63" i="23916"/>
  <c r="DV62" i="23916"/>
  <c r="DT63" i="23916"/>
  <c r="DT62" i="23916"/>
  <c r="DR63" i="23916"/>
  <c r="DR62" i="23916"/>
  <c r="DP63" i="23916"/>
  <c r="DP62" i="23916"/>
  <c r="DN63" i="23916"/>
  <c r="DN62" i="23916"/>
  <c r="DL63" i="23916"/>
  <c r="DL62" i="23916"/>
  <c r="DJ63" i="23916"/>
  <c r="DJ62" i="23916"/>
  <c r="DH63" i="23916"/>
  <c r="DH62" i="23916"/>
  <c r="DF63" i="23916"/>
  <c r="DF62" i="23916"/>
  <c r="DD63" i="23916"/>
  <c r="DD62" i="23916"/>
  <c r="DB63" i="23916"/>
  <c r="DB62" i="23916"/>
  <c r="CZ63" i="23916"/>
  <c r="CZ62" i="23916"/>
  <c r="CX63" i="23916"/>
  <c r="CX62" i="23916"/>
  <c r="CV63" i="23916"/>
  <c r="CV62" i="23916"/>
  <c r="CT63" i="23916"/>
  <c r="CT62" i="23916"/>
  <c r="CR63" i="23916"/>
  <c r="CR62" i="23916"/>
  <c r="CP63" i="23916"/>
  <c r="CP62" i="23916"/>
  <c r="CN63" i="23916"/>
  <c r="CN62" i="23916"/>
  <c r="CL63" i="23916"/>
  <c r="CL62" i="23916"/>
  <c r="CJ63" i="23916"/>
  <c r="CJ62" i="23916"/>
  <c r="CH63" i="23916"/>
  <c r="CH62" i="23916"/>
  <c r="CF63" i="23916"/>
  <c r="CF62" i="23916"/>
  <c r="CD63" i="23916"/>
  <c r="CD62" i="23916"/>
  <c r="CB63" i="23916"/>
  <c r="CB62" i="23916"/>
  <c r="BZ63" i="23916"/>
  <c r="BZ62" i="23916"/>
  <c r="BT63" i="23916"/>
  <c r="BT62" i="23916"/>
  <c r="BR63" i="23916"/>
  <c r="BR62" i="23916"/>
  <c r="BP63" i="23916"/>
  <c r="BP62" i="23916"/>
  <c r="BN63" i="23916"/>
  <c r="BN62" i="23916"/>
  <c r="BL63" i="23916"/>
  <c r="BL62" i="23916"/>
  <c r="BJ63" i="23916"/>
  <c r="BJ62" i="23916"/>
  <c r="BH63" i="23916"/>
  <c r="BH62" i="23916"/>
  <c r="BF63" i="23916"/>
  <c r="BF62" i="23916"/>
  <c r="BD63" i="23916"/>
  <c r="BD62" i="23916"/>
  <c r="BB63" i="23916"/>
  <c r="BB62" i="23916"/>
  <c r="AZ63" i="23916"/>
  <c r="AZ62" i="23916"/>
  <c r="AX63" i="23916"/>
  <c r="AX62" i="23916"/>
  <c r="AV63" i="23916"/>
  <c r="AV62" i="23916"/>
  <c r="AT63" i="23916"/>
  <c r="AR63" i="23916"/>
  <c r="AP63" i="23916"/>
  <c r="AP62" i="23916"/>
  <c r="AN63" i="23916"/>
  <c r="AN62" i="23916"/>
  <c r="AL63" i="23916"/>
  <c r="AJ63" i="23916"/>
  <c r="AI63" i="23916"/>
  <c r="AI167" i="23916" s="1"/>
  <c r="AR167" i="23916" s="1"/>
  <c r="AH63" i="23916"/>
  <c r="AF63" i="23916"/>
  <c r="AF62" i="23916"/>
  <c r="AD63" i="23916"/>
  <c r="AD62" i="23916"/>
  <c r="GB64" i="23916"/>
  <c r="GC64" i="23916" s="1"/>
  <c r="FZ64" i="23916"/>
  <c r="FZ168" i="23916" s="1"/>
  <c r="GA168" i="23916" s="1"/>
  <c r="FX64" i="23916"/>
  <c r="FX168" i="23916" s="1"/>
  <c r="FV64" i="23916"/>
  <c r="FV168" i="23916" s="1"/>
  <c r="FR64" i="23916"/>
  <c r="FR168" i="23916" s="1"/>
  <c r="FS168" i="23916" s="1"/>
  <c r="FO64" i="23916"/>
  <c r="GC63" i="23916"/>
  <c r="GB63" i="23916"/>
  <c r="GA63" i="23916"/>
  <c r="FZ63" i="23916"/>
  <c r="FZ167" i="23916" s="1"/>
  <c r="GA167" i="23916" s="1"/>
  <c r="FY63" i="23916"/>
  <c r="FX63" i="23916"/>
  <c r="FX167" i="23916" s="1"/>
  <c r="FW63" i="23916"/>
  <c r="FV63" i="23916"/>
  <c r="FV167" i="23916" s="1"/>
  <c r="FW167" i="23916" s="1"/>
  <c r="FU63" i="23916"/>
  <c r="FT63" i="23916"/>
  <c r="FT167" i="23916" s="1"/>
  <c r="FS63" i="23916"/>
  <c r="FR63" i="23916"/>
  <c r="FR167" i="23916" s="1"/>
  <c r="FS167" i="23916" s="1"/>
  <c r="FQ63" i="23916"/>
  <c r="FP63" i="23916"/>
  <c r="FO63" i="23916"/>
  <c r="GB62" i="23916"/>
  <c r="GE62" i="23916" s="1"/>
  <c r="FZ62" i="23916"/>
  <c r="FZ166" i="23916" s="1"/>
  <c r="FX62" i="23916"/>
  <c r="FX166" i="23916" s="1"/>
  <c r="FY166" i="23916" s="1"/>
  <c r="FV62" i="23916"/>
  <c r="FV166" i="23916" s="1"/>
  <c r="FT62" i="23916"/>
  <c r="FT166" i="23916" s="1"/>
  <c r="FU166" i="23916" s="1"/>
  <c r="FR62" i="23916"/>
  <c r="FR166" i="23916" s="1"/>
  <c r="FS166" i="23916" s="1"/>
  <c r="FP62" i="23916"/>
  <c r="FP64" i="23916" s="1"/>
  <c r="FQ64" i="23916" s="1"/>
  <c r="FO62" i="23916"/>
  <c r="AK62" i="23916"/>
  <c r="AT62" i="23916" s="1"/>
  <c r="AI62" i="23916"/>
  <c r="AI64" i="23916" s="1"/>
  <c r="AH62" i="23916"/>
  <c r="AC62" i="23916"/>
  <c r="AC166" i="23916" s="1"/>
  <c r="AD166" i="23916" s="1"/>
  <c r="GS58" i="23916"/>
  <c r="GQ58" i="23916"/>
  <c r="GO58" i="23916"/>
  <c r="GJ58" i="23916"/>
  <c r="GJ162" i="23916" s="1"/>
  <c r="GH58" i="23916"/>
  <c r="GI58" i="23916" s="1"/>
  <c r="GF58" i="23916"/>
  <c r="GG58" i="23916" s="1"/>
  <c r="GD58" i="23916"/>
  <c r="GD162" i="23916" s="1"/>
  <c r="GB58" i="23916"/>
  <c r="GB162" i="23916" s="1"/>
  <c r="FZ58" i="23916"/>
  <c r="GA58" i="23916" s="1"/>
  <c r="FX58" i="23916"/>
  <c r="FY58" i="23916" s="1"/>
  <c r="FV58" i="23916"/>
  <c r="FV162" i="23916" s="1"/>
  <c r="FT58" i="23916"/>
  <c r="FT162" i="23916" s="1"/>
  <c r="FR58" i="23916"/>
  <c r="FS58" i="23916" s="1"/>
  <c r="FP58" i="23916"/>
  <c r="FL58" i="23916"/>
  <c r="FL162" i="23916" s="1"/>
  <c r="FJ58" i="23916"/>
  <c r="FK58" i="23916" s="1"/>
  <c r="FH58" i="23916"/>
  <c r="FI58" i="23916" s="1"/>
  <c r="FF58" i="23916"/>
  <c r="FF162" i="23916" s="1"/>
  <c r="FD58" i="23916"/>
  <c r="FD162" i="23916" s="1"/>
  <c r="ER58" i="23916"/>
  <c r="EP58" i="23916"/>
  <c r="EN58" i="23916"/>
  <c r="EL58" i="23916"/>
  <c r="EJ58" i="23916"/>
  <c r="EH58" i="23916"/>
  <c r="EF58" i="23916"/>
  <c r="ED58" i="23916"/>
  <c r="EB58" i="23916"/>
  <c r="DZ58" i="23916"/>
  <c r="DX58" i="23916"/>
  <c r="DV58" i="23916"/>
  <c r="DT58" i="23916"/>
  <c r="DR58" i="23916"/>
  <c r="DP58" i="23916"/>
  <c r="DN58" i="23916"/>
  <c r="DL58" i="23916"/>
  <c r="DJ58" i="23916"/>
  <c r="DH58" i="23916"/>
  <c r="DF58" i="23916"/>
  <c r="DD58" i="23916"/>
  <c r="DB58" i="23916"/>
  <c r="CZ58" i="23916"/>
  <c r="CX58" i="23916"/>
  <c r="CV58" i="23916"/>
  <c r="CT58" i="23916"/>
  <c r="CR58" i="23916"/>
  <c r="CP58" i="23916"/>
  <c r="CN58" i="23916"/>
  <c r="CL58" i="23916"/>
  <c r="CJ58" i="23916"/>
  <c r="CH58" i="23916"/>
  <c r="CF58" i="23916"/>
  <c r="CD58" i="23916"/>
  <c r="CB58" i="23916"/>
  <c r="BZ58" i="23916"/>
  <c r="BX58" i="23916"/>
  <c r="BV58" i="23916"/>
  <c r="BT58" i="23916"/>
  <c r="BR58" i="23916"/>
  <c r="BN58" i="23916"/>
  <c r="BL58" i="23916"/>
  <c r="BJ58" i="23916"/>
  <c r="BG58" i="23916"/>
  <c r="BP58" i="23916" s="1"/>
  <c r="BF58" i="23916"/>
  <c r="BD58" i="23916"/>
  <c r="BB58" i="23916"/>
  <c r="AZ58" i="23916"/>
  <c r="AX58" i="23916"/>
  <c r="AV58" i="23916"/>
  <c r="AT58" i="23916"/>
  <c r="AR58" i="23916"/>
  <c r="AP58" i="23916"/>
  <c r="AN58" i="23916"/>
  <c r="AL58" i="23916"/>
  <c r="AJ58" i="23916"/>
  <c r="AH58" i="23916"/>
  <c r="AF58" i="23916"/>
  <c r="AD58" i="23916"/>
  <c r="EM51" i="23916"/>
  <c r="EK51" i="23916"/>
  <c r="FI51" i="23916"/>
  <c r="FH51" i="23916"/>
  <c r="FH578" i="23916" s="1"/>
  <c r="FG51" i="23916"/>
  <c r="FF51" i="23916"/>
  <c r="FE51" i="23916"/>
  <c r="FD51" i="23916"/>
  <c r="EN51" i="23916"/>
  <c r="EJ51" i="23916"/>
  <c r="EI51" i="23916"/>
  <c r="EH51" i="23916"/>
  <c r="EG51" i="23916"/>
  <c r="EF51" i="23916"/>
  <c r="EE51" i="23916"/>
  <c r="ED51" i="23916"/>
  <c r="EC51" i="23916"/>
  <c r="EB51" i="23916"/>
  <c r="EA51" i="23916"/>
  <c r="DZ51" i="23916"/>
  <c r="DY51" i="23916"/>
  <c r="DY578" i="23916" s="1"/>
  <c r="DX51" i="23916"/>
  <c r="DW51" i="23916"/>
  <c r="DW578" i="23916" s="1"/>
  <c r="DV51" i="23916"/>
  <c r="DU51" i="23916"/>
  <c r="DU578" i="23916" s="1"/>
  <c r="DT51" i="23916"/>
  <c r="DS51" i="23916"/>
  <c r="DS578" i="23916" s="1"/>
  <c r="DR51" i="23916"/>
  <c r="DQ51" i="23916"/>
  <c r="DQ578" i="23916" s="1"/>
  <c r="DP51" i="23916"/>
  <c r="DO51" i="23916"/>
  <c r="DO578" i="23916" s="1"/>
  <c r="DN51" i="23916"/>
  <c r="DM51" i="23916"/>
  <c r="DM578" i="23916" s="1"/>
  <c r="DL51" i="23916"/>
  <c r="DK51" i="23916"/>
  <c r="DK578" i="23916" s="1"/>
  <c r="DJ51" i="23916"/>
  <c r="DI51" i="23916"/>
  <c r="DI578" i="23916" s="1"/>
  <c r="DH51" i="23916"/>
  <c r="DG51" i="23916"/>
  <c r="DG578" i="23916" s="1"/>
  <c r="DF51" i="23916"/>
  <c r="DE51" i="23916"/>
  <c r="DE578" i="23916" s="1"/>
  <c r="DD51" i="23916"/>
  <c r="DC51" i="23916"/>
  <c r="DC578" i="23916" s="1"/>
  <c r="DB51" i="23916"/>
  <c r="DA51" i="23916"/>
  <c r="DA578" i="23916" s="1"/>
  <c r="CZ51" i="23916"/>
  <c r="CY51" i="23916"/>
  <c r="CY578" i="23916" s="1"/>
  <c r="CX51" i="23916"/>
  <c r="CW51" i="23916"/>
  <c r="CW578" i="23916" s="1"/>
  <c r="CV51" i="23916"/>
  <c r="CU51" i="23916"/>
  <c r="CU578" i="23916" s="1"/>
  <c r="CT51" i="23916"/>
  <c r="CS51" i="23916"/>
  <c r="CS578" i="23916" s="1"/>
  <c r="CR51" i="23916"/>
  <c r="CQ51" i="23916"/>
  <c r="CQ578" i="23916" s="1"/>
  <c r="CP51" i="23916"/>
  <c r="CO51" i="23916"/>
  <c r="CO578" i="23916" s="1"/>
  <c r="CN51" i="23916"/>
  <c r="CM51" i="23916"/>
  <c r="CM578" i="23916" s="1"/>
  <c r="CL51" i="23916"/>
  <c r="CK51" i="23916"/>
  <c r="CK578" i="23916" s="1"/>
  <c r="CJ51" i="23916"/>
  <c r="CI51" i="23916"/>
  <c r="CI578" i="23916" s="1"/>
  <c r="CH51" i="23916"/>
  <c r="CG51" i="23916"/>
  <c r="CG578" i="23916" s="1"/>
  <c r="CF51" i="23916"/>
  <c r="CE51" i="23916"/>
  <c r="CE578" i="23916" s="1"/>
  <c r="CD51" i="23916"/>
  <c r="CC51" i="23916"/>
  <c r="CC578" i="23916" s="1"/>
  <c r="CB51" i="23916"/>
  <c r="CA51" i="23916"/>
  <c r="CA578" i="23916" s="1"/>
  <c r="BZ51" i="23916"/>
  <c r="BY51" i="23916"/>
  <c r="BY578" i="23916" s="1"/>
  <c r="BX51" i="23916"/>
  <c r="BW51" i="23916"/>
  <c r="BW578" i="23916" s="1"/>
  <c r="BV51" i="23916"/>
  <c r="BU51" i="23916"/>
  <c r="BU578" i="23916" s="1"/>
  <c r="BT51" i="23916"/>
  <c r="BS51" i="23916"/>
  <c r="BS578" i="23916" s="1"/>
  <c r="BR51" i="23916"/>
  <c r="BQ51" i="23916"/>
  <c r="BQ578" i="23916" s="1"/>
  <c r="BP51" i="23916"/>
  <c r="BO51" i="23916"/>
  <c r="BO578" i="23916" s="1"/>
  <c r="BN51" i="23916"/>
  <c r="BM51" i="23916"/>
  <c r="BM578" i="23916" s="1"/>
  <c r="BK51" i="23916"/>
  <c r="BK578" i="23916" s="1"/>
  <c r="BJ51" i="23916"/>
  <c r="BI51" i="23916"/>
  <c r="BI578" i="23916" s="1"/>
  <c r="BH51" i="23916"/>
  <c r="BG51" i="23916"/>
  <c r="BG578" i="23916" s="1"/>
  <c r="BE51" i="23916"/>
  <c r="BE578" i="23916" s="1"/>
  <c r="BA51" i="23916"/>
  <c r="BA578" i="23916" s="1"/>
  <c r="AY51" i="23916"/>
  <c r="AY578" i="23916" s="1"/>
  <c r="AV51" i="23916"/>
  <c r="AU51" i="23916"/>
  <c r="AU578" i="23916" s="1"/>
  <c r="AM51" i="23916"/>
  <c r="AM578" i="23916" s="1"/>
  <c r="AH51" i="23916"/>
  <c r="AG51" i="23916"/>
  <c r="AG578" i="23916" s="1"/>
  <c r="FR49" i="23916"/>
  <c r="FH49" i="23916"/>
  <c r="FD49" i="23916"/>
  <c r="FE49" i="23916" s="1"/>
  <c r="EG49" i="23916"/>
  <c r="EH49" i="23916" s="1"/>
  <c r="EC49" i="23916"/>
  <c r="DY49" i="23916"/>
  <c r="DU49" i="23916"/>
  <c r="DV49" i="23916" s="1"/>
  <c r="DQ49" i="23916"/>
  <c r="DR49" i="23916" s="1"/>
  <c r="DM49" i="23916"/>
  <c r="DI49" i="23916"/>
  <c r="DE49" i="23916"/>
  <c r="DA49" i="23916"/>
  <c r="AW49" i="23916"/>
  <c r="AS49" i="23916"/>
  <c r="AE49" i="23916"/>
  <c r="AF49" i="23916" s="1"/>
  <c r="FG48" i="23916"/>
  <c r="FG46" i="23916"/>
  <c r="FG45" i="23916"/>
  <c r="FE48" i="23916"/>
  <c r="FE47" i="23916"/>
  <c r="FE46" i="23916"/>
  <c r="FE45" i="23916"/>
  <c r="EH48" i="23916"/>
  <c r="EH47" i="23916"/>
  <c r="EH46" i="23916"/>
  <c r="EH45" i="23916"/>
  <c r="EF48" i="23916"/>
  <c r="EF46" i="23916"/>
  <c r="EF45" i="23916"/>
  <c r="ED48" i="23916"/>
  <c r="ED47" i="23916"/>
  <c r="ED46" i="23916"/>
  <c r="ED45" i="23916"/>
  <c r="EB48" i="23916"/>
  <c r="EB46" i="23916"/>
  <c r="EB45" i="23916"/>
  <c r="DZ48" i="23916"/>
  <c r="DZ47" i="23916"/>
  <c r="DZ46" i="23916"/>
  <c r="DZ45" i="23916"/>
  <c r="DX48" i="23916"/>
  <c r="DX46" i="23916"/>
  <c r="DX45" i="23916"/>
  <c r="DV48" i="23916"/>
  <c r="DV47" i="23916"/>
  <c r="DV46" i="23916"/>
  <c r="DV45" i="23916"/>
  <c r="DT48" i="23916"/>
  <c r="DT46" i="23916"/>
  <c r="DT45" i="23916"/>
  <c r="DR48" i="23916"/>
  <c r="DR47" i="23916"/>
  <c r="DR46" i="23916"/>
  <c r="DR45" i="23916"/>
  <c r="DP48" i="23916"/>
  <c r="DP46" i="23916"/>
  <c r="DP45" i="23916"/>
  <c r="DN48" i="23916"/>
  <c r="DN47" i="23916"/>
  <c r="DN46" i="23916"/>
  <c r="DN45" i="23916"/>
  <c r="DL48" i="23916"/>
  <c r="DL46" i="23916"/>
  <c r="DL45" i="23916"/>
  <c r="DJ48" i="23916"/>
  <c r="DJ47" i="23916"/>
  <c r="DJ46" i="23916"/>
  <c r="DJ45" i="23916"/>
  <c r="DH48" i="23916"/>
  <c r="DH46" i="23916"/>
  <c r="DH45" i="23916"/>
  <c r="DF46" i="23916"/>
  <c r="DF45" i="23916"/>
  <c r="DD46" i="23916"/>
  <c r="DD45" i="23916"/>
  <c r="DB46" i="23916"/>
  <c r="DB45" i="23916"/>
  <c r="CZ46" i="23916"/>
  <c r="CZ45" i="23916"/>
  <c r="CW48" i="23916"/>
  <c r="DF48" i="23916" s="1"/>
  <c r="CU48" i="23916"/>
  <c r="CS48" i="23916"/>
  <c r="DB48" i="23916" s="1"/>
  <c r="CQ48" i="23916"/>
  <c r="CO48" i="23916"/>
  <c r="CP48" i="23916" s="1"/>
  <c r="CM48" i="23916"/>
  <c r="CK48" i="23916"/>
  <c r="CL48" i="23916" s="1"/>
  <c r="CI48" i="23916"/>
  <c r="CG48" i="23916"/>
  <c r="CH48" i="23916" s="1"/>
  <c r="CD48" i="23916"/>
  <c r="CC48" i="23916"/>
  <c r="CC151" i="23916" s="1"/>
  <c r="CB48" i="23916"/>
  <c r="CA48" i="23916"/>
  <c r="CA151" i="23916" s="1"/>
  <c r="BZ48" i="23916"/>
  <c r="BY48" i="23916"/>
  <c r="BY151" i="23916" s="1"/>
  <c r="BX48" i="23916"/>
  <c r="BW48" i="23916"/>
  <c r="BW151" i="23916" s="1"/>
  <c r="BV48" i="23916"/>
  <c r="BU48" i="23916"/>
  <c r="BU151" i="23916" s="1"/>
  <c r="BT48" i="23916"/>
  <c r="BS48" i="23916"/>
  <c r="BS151" i="23916" s="1"/>
  <c r="BR48" i="23916"/>
  <c r="BQ48" i="23916"/>
  <c r="BQ151" i="23916" s="1"/>
  <c r="BP48" i="23916"/>
  <c r="BO48" i="23916"/>
  <c r="BO151" i="23916" s="1"/>
  <c r="BN48" i="23916"/>
  <c r="BM48" i="23916"/>
  <c r="BM151" i="23916" s="1"/>
  <c r="BL48" i="23916"/>
  <c r="BK48" i="23916"/>
  <c r="BK151" i="23916" s="1"/>
  <c r="BJ48" i="23916"/>
  <c r="BI48" i="23916"/>
  <c r="BI151" i="23916" s="1"/>
  <c r="BH48" i="23916"/>
  <c r="BG48" i="23916"/>
  <c r="BG151" i="23916" s="1"/>
  <c r="BF48" i="23916"/>
  <c r="BE48" i="23916"/>
  <c r="BE151" i="23916" s="1"/>
  <c r="BD48" i="23916"/>
  <c r="BC48" i="23916"/>
  <c r="BC151" i="23916" s="1"/>
  <c r="BB48" i="23916"/>
  <c r="BA48" i="23916"/>
  <c r="BA151" i="23916" s="1"/>
  <c r="AZ48" i="23916"/>
  <c r="AX46" i="23916"/>
  <c r="AV48" i="23916"/>
  <c r="AV46" i="23916"/>
  <c r="AV45" i="23916"/>
  <c r="AT47" i="23916"/>
  <c r="AO48" i="23916"/>
  <c r="AN48" i="23916"/>
  <c r="AK48" i="23916"/>
  <c r="AT48" i="23916" s="1"/>
  <c r="AH48" i="23916"/>
  <c r="AF48" i="23916"/>
  <c r="AF47" i="23916"/>
  <c r="AF46" i="23916"/>
  <c r="AF45" i="23916"/>
  <c r="AC48" i="23916"/>
  <c r="AC49" i="23916" s="1"/>
  <c r="AD49" i="23916" s="1"/>
  <c r="FH47" i="23916"/>
  <c r="FF47" i="23916"/>
  <c r="FF150" i="23916" s="1"/>
  <c r="FF392" i="23916" s="1"/>
  <c r="FG392" i="23916" s="1"/>
  <c r="FD47" i="23916"/>
  <c r="FD150" i="23916" s="1"/>
  <c r="FD392" i="23916" s="1"/>
  <c r="FE392" i="23916" s="1"/>
  <c r="EI47" i="23916"/>
  <c r="EG47" i="23916"/>
  <c r="EE47" i="23916"/>
  <c r="EE150" i="23916" s="1"/>
  <c r="EE392" i="23916" s="1"/>
  <c r="EC47" i="23916"/>
  <c r="EC150" i="23916" s="1"/>
  <c r="EC392" i="23916" s="1"/>
  <c r="EA47" i="23916"/>
  <c r="DY47" i="23916"/>
  <c r="DW47" i="23916"/>
  <c r="DW150" i="23916" s="1"/>
  <c r="DW392" i="23916" s="1"/>
  <c r="DU47" i="23916"/>
  <c r="DU150" i="23916" s="1"/>
  <c r="DU392" i="23916" s="1"/>
  <c r="DS47" i="23916"/>
  <c r="DQ47" i="23916"/>
  <c r="DO47" i="23916"/>
  <c r="DO150" i="23916" s="1"/>
  <c r="DO392" i="23916" s="1"/>
  <c r="DM47" i="23916"/>
  <c r="DM150" i="23916" s="1"/>
  <c r="DM392" i="23916" s="1"/>
  <c r="DK47" i="23916"/>
  <c r="DI47" i="23916"/>
  <c r="DG47" i="23916"/>
  <c r="DG150" i="23916" s="1"/>
  <c r="DG392" i="23916" s="1"/>
  <c r="DE47" i="23916"/>
  <c r="DE150" i="23916" s="1"/>
  <c r="DE392" i="23916" s="1"/>
  <c r="DC47" i="23916"/>
  <c r="DA47" i="23916"/>
  <c r="CY47" i="23916"/>
  <c r="CY150" i="23916" s="1"/>
  <c r="CY392" i="23916" s="1"/>
  <c r="CW47" i="23916"/>
  <c r="CU47" i="23916"/>
  <c r="CU150" i="23916" s="1"/>
  <c r="CU392" i="23916" s="1"/>
  <c r="CS47" i="23916"/>
  <c r="CQ47" i="23916"/>
  <c r="CQ150" i="23916" s="1"/>
  <c r="CQ392" i="23916" s="1"/>
  <c r="CO47" i="23916"/>
  <c r="CM47" i="23916"/>
  <c r="CM150" i="23916" s="1"/>
  <c r="CM392" i="23916" s="1"/>
  <c r="CK47" i="23916"/>
  <c r="CK49" i="23916" s="1"/>
  <c r="CI47" i="23916"/>
  <c r="CI150" i="23916" s="1"/>
  <c r="CI392" i="23916" s="1"/>
  <c r="CG47" i="23916"/>
  <c r="CE47" i="23916"/>
  <c r="CE150" i="23916" s="1"/>
  <c r="CE392" i="23916" s="1"/>
  <c r="CC47" i="23916"/>
  <c r="CA47" i="23916"/>
  <c r="CA150" i="23916" s="1"/>
  <c r="CA392" i="23916" s="1"/>
  <c r="BY47" i="23916"/>
  <c r="BW47" i="23916"/>
  <c r="BW150" i="23916" s="1"/>
  <c r="BW392" i="23916" s="1"/>
  <c r="BU47" i="23916"/>
  <c r="BU49" i="23916" s="1"/>
  <c r="BS47" i="23916"/>
  <c r="BS150" i="23916" s="1"/>
  <c r="BS392" i="23916" s="1"/>
  <c r="BQ47" i="23916"/>
  <c r="BO47" i="23916"/>
  <c r="BO150" i="23916" s="1"/>
  <c r="BO392" i="23916" s="1"/>
  <c r="BM47" i="23916"/>
  <c r="BK47" i="23916"/>
  <c r="BK150" i="23916" s="1"/>
  <c r="BK392" i="23916" s="1"/>
  <c r="BI47" i="23916"/>
  <c r="BG47" i="23916"/>
  <c r="BG150" i="23916" s="1"/>
  <c r="BG392" i="23916" s="1"/>
  <c r="BE47" i="23916"/>
  <c r="BE49" i="23916" s="1"/>
  <c r="BF49" i="23916" s="1"/>
  <c r="BC47" i="23916"/>
  <c r="BC150" i="23916" s="1"/>
  <c r="BC392" i="23916" s="1"/>
  <c r="BA47" i="23916"/>
  <c r="AY47" i="23916"/>
  <c r="AY150" i="23916" s="1"/>
  <c r="AY392" i="23916" s="1"/>
  <c r="AW47" i="23916"/>
  <c r="AW150" i="23916" s="1"/>
  <c r="AW392" i="23916" s="1"/>
  <c r="AU47" i="23916"/>
  <c r="AS47" i="23916"/>
  <c r="AQ47" i="23916"/>
  <c r="AQ150" i="23916" s="1"/>
  <c r="AQ392" i="23916" s="1"/>
  <c r="AO47" i="23916"/>
  <c r="AO49" i="23916" s="1"/>
  <c r="AM47" i="23916"/>
  <c r="AM150" i="23916" s="1"/>
  <c r="AM392" i="23916" s="1"/>
  <c r="AN392" i="23916" s="1"/>
  <c r="AK47" i="23916"/>
  <c r="AG47" i="23916"/>
  <c r="AE47" i="23916"/>
  <c r="AE150" i="23916" s="1"/>
  <c r="AE392" i="23916" s="1"/>
  <c r="AF392" i="23916" s="1"/>
  <c r="AD47" i="23916"/>
  <c r="AC47" i="23916"/>
  <c r="CX46" i="23916"/>
  <c r="CX45" i="23916"/>
  <c r="CV46" i="23916"/>
  <c r="CV45" i="23916"/>
  <c r="CT46" i="23916"/>
  <c r="CT45" i="23916"/>
  <c r="CR46" i="23916"/>
  <c r="CR45" i="23916"/>
  <c r="CP46" i="23916"/>
  <c r="CP45" i="23916"/>
  <c r="CN46" i="23916"/>
  <c r="CN45" i="23916"/>
  <c r="CL46" i="23916"/>
  <c r="CL45" i="23916"/>
  <c r="CJ46" i="23916"/>
  <c r="CJ45" i="23916"/>
  <c r="CH46" i="23916"/>
  <c r="CH45" i="23916"/>
  <c r="CF46" i="23916"/>
  <c r="CF45" i="23916"/>
  <c r="CD46" i="23916"/>
  <c r="CD45" i="23916"/>
  <c r="CB46" i="23916"/>
  <c r="CB45" i="23916"/>
  <c r="BZ46" i="23916"/>
  <c r="BY46" i="23916"/>
  <c r="BY149" i="23916" s="1"/>
  <c r="BX46" i="23916"/>
  <c r="BV46" i="23916"/>
  <c r="BV45" i="23916"/>
  <c r="BT46" i="23916"/>
  <c r="BT45" i="23916"/>
  <c r="BR46" i="23916"/>
  <c r="BR45" i="23916"/>
  <c r="BP46" i="23916"/>
  <c r="BP45" i="23916"/>
  <c r="BN46" i="23916"/>
  <c r="BN45" i="23916"/>
  <c r="BL46" i="23916"/>
  <c r="BL45" i="23916"/>
  <c r="BJ46" i="23916"/>
  <c r="BJ45" i="23916"/>
  <c r="BH46" i="23916"/>
  <c r="BH45" i="23916"/>
  <c r="BF46" i="23916"/>
  <c r="BF45" i="23916"/>
  <c r="BD46" i="23916"/>
  <c r="BD45" i="23916"/>
  <c r="BB46" i="23916"/>
  <c r="BB45" i="23916"/>
  <c r="AZ46" i="23916"/>
  <c r="AP46" i="23916"/>
  <c r="AP45" i="23916"/>
  <c r="AN46" i="23916"/>
  <c r="AN45" i="23916"/>
  <c r="GI48" i="23916"/>
  <c r="GH48" i="23916"/>
  <c r="GH151" i="23916" s="1"/>
  <c r="GG48" i="23916"/>
  <c r="GF48" i="23916"/>
  <c r="GF151" i="23916" s="1"/>
  <c r="GE48" i="23916"/>
  <c r="GD48" i="23916"/>
  <c r="GD151" i="23916" s="1"/>
  <c r="GB48" i="23916"/>
  <c r="GB151" i="23916" s="1"/>
  <c r="FU48" i="23916"/>
  <c r="FT48" i="23916"/>
  <c r="FT151" i="23916" s="1"/>
  <c r="FS48" i="23916"/>
  <c r="FR48" i="23916"/>
  <c r="FR151" i="23916" s="1"/>
  <c r="FQ48" i="23916"/>
  <c r="FP48" i="23916"/>
  <c r="FP151" i="23916" s="1"/>
  <c r="FO48" i="23916"/>
  <c r="FN48" i="23916"/>
  <c r="FN151" i="23916" s="1"/>
  <c r="FL48" i="23916"/>
  <c r="FI48" i="23916"/>
  <c r="FR47" i="23916"/>
  <c r="FR150" i="23916" s="1"/>
  <c r="FI47" i="23916"/>
  <c r="GI46" i="23916"/>
  <c r="GH46" i="23916"/>
  <c r="GH149" i="23916" s="1"/>
  <c r="GG46" i="23916"/>
  <c r="GF46" i="23916"/>
  <c r="GF149" i="23916" s="1"/>
  <c r="GE46" i="23916"/>
  <c r="GD46" i="23916"/>
  <c r="GD149" i="23916" s="1"/>
  <c r="GC46" i="23916"/>
  <c r="GB46" i="23916"/>
  <c r="GB149" i="23916" s="1"/>
  <c r="GA46" i="23916"/>
  <c r="FZ46" i="23916"/>
  <c r="FZ149" i="23916" s="1"/>
  <c r="FY46" i="23916"/>
  <c r="FX46" i="23916"/>
  <c r="FX149" i="23916" s="1"/>
  <c r="FW46" i="23916"/>
  <c r="FV46" i="23916"/>
  <c r="FV149" i="23916" s="1"/>
  <c r="FU46" i="23916"/>
  <c r="FT46" i="23916"/>
  <c r="FT149" i="23916" s="1"/>
  <c r="FS46" i="23916"/>
  <c r="FR46" i="23916"/>
  <c r="FR149" i="23916" s="1"/>
  <c r="FQ46" i="23916"/>
  <c r="FP46" i="23916"/>
  <c r="FP149" i="23916" s="1"/>
  <c r="FO46" i="23916"/>
  <c r="FN46" i="23916"/>
  <c r="FN149" i="23916" s="1"/>
  <c r="FL46" i="23916"/>
  <c r="FL149" i="23916" s="1"/>
  <c r="FI46" i="23916"/>
  <c r="GI45" i="23916"/>
  <c r="GH45" i="23916"/>
  <c r="GH148" i="23916" s="1"/>
  <c r="GG45" i="23916"/>
  <c r="GF45" i="23916"/>
  <c r="GF148" i="23916" s="1"/>
  <c r="GE45" i="23916"/>
  <c r="GD45" i="23916"/>
  <c r="GD148" i="23916" s="1"/>
  <c r="GE148" i="23916" s="1"/>
  <c r="GC45" i="23916"/>
  <c r="GB45" i="23916"/>
  <c r="GB148" i="23916" s="1"/>
  <c r="GC148" i="23916" s="1"/>
  <c r="GA45" i="23916"/>
  <c r="FZ45" i="23916"/>
  <c r="FZ148" i="23916" s="1"/>
  <c r="FY45" i="23916"/>
  <c r="FX45" i="23916"/>
  <c r="FX148" i="23916" s="1"/>
  <c r="FW45" i="23916"/>
  <c r="FV45" i="23916"/>
  <c r="FV148" i="23916" s="1"/>
  <c r="FW148" i="23916" s="1"/>
  <c r="FU45" i="23916"/>
  <c r="FT45" i="23916"/>
  <c r="FT148" i="23916" s="1"/>
  <c r="FU148" i="23916" s="1"/>
  <c r="FS45" i="23916"/>
  <c r="FR45" i="23916"/>
  <c r="FR148" i="23916" s="1"/>
  <c r="FP45" i="23916"/>
  <c r="FP148" i="23916" s="1"/>
  <c r="FI45" i="23916"/>
  <c r="EJ48" i="23916"/>
  <c r="EJ47" i="23916"/>
  <c r="EK46" i="23916"/>
  <c r="EJ46" i="23916"/>
  <c r="EJ45" i="23916"/>
  <c r="BZ45" i="23916"/>
  <c r="BX45" i="23916"/>
  <c r="BC45" i="23916"/>
  <c r="BC148" i="23916" s="1"/>
  <c r="BL148" i="23916" s="1"/>
  <c r="AW45" i="23916"/>
  <c r="AW51" i="23916" s="1"/>
  <c r="AW578" i="23916" s="1"/>
  <c r="AS45" i="23916"/>
  <c r="AS51" i="23916" s="1"/>
  <c r="AS578" i="23916" s="1"/>
  <c r="AQ45" i="23916"/>
  <c r="AO45" i="23916"/>
  <c r="AO148" i="23916" s="1"/>
  <c r="AL46" i="23916"/>
  <c r="AK46" i="23916"/>
  <c r="AT46" i="23916" s="1"/>
  <c r="AJ46" i="23916"/>
  <c r="AH46" i="23916"/>
  <c r="AK45" i="23916"/>
  <c r="AI45" i="23916"/>
  <c r="AH45" i="23916"/>
  <c r="AD46" i="23916"/>
  <c r="AC46" i="23916"/>
  <c r="AI46" i="23916" s="1"/>
  <c r="AD45" i="23916"/>
  <c r="AC45" i="23916"/>
  <c r="AC51" i="23916" s="1"/>
  <c r="AC578" i="23916" s="1"/>
  <c r="FV42" i="23916"/>
  <c r="FR42" i="23916"/>
  <c r="FH42" i="23916"/>
  <c r="FI42" i="23916" s="1"/>
  <c r="FF42" i="23916"/>
  <c r="FD42" i="23916"/>
  <c r="FE42" i="23916" s="1"/>
  <c r="EI42" i="23916"/>
  <c r="EG42" i="23916"/>
  <c r="EH42" i="23916" s="1"/>
  <c r="EE42" i="23916"/>
  <c r="EC42" i="23916"/>
  <c r="ED42" i="23916" s="1"/>
  <c r="EA42" i="23916"/>
  <c r="DY42" i="23916"/>
  <c r="DZ42" i="23916" s="1"/>
  <c r="DW42" i="23916"/>
  <c r="DU42" i="23916"/>
  <c r="DV42" i="23916" s="1"/>
  <c r="DS42" i="23916"/>
  <c r="DQ42" i="23916"/>
  <c r="DR42" i="23916" s="1"/>
  <c r="DO42" i="23916"/>
  <c r="DM42" i="23916"/>
  <c r="DN42" i="23916" s="1"/>
  <c r="DK42" i="23916"/>
  <c r="DI42" i="23916"/>
  <c r="DJ42" i="23916" s="1"/>
  <c r="DG42" i="23916"/>
  <c r="DE42" i="23916"/>
  <c r="DF42" i="23916" s="1"/>
  <c r="DC42" i="23916"/>
  <c r="DA42" i="23916"/>
  <c r="DB42" i="23916" s="1"/>
  <c r="CY42" i="23916"/>
  <c r="CW42" i="23916"/>
  <c r="CX42" i="23916" s="1"/>
  <c r="CU42" i="23916"/>
  <c r="CS42" i="23916"/>
  <c r="CT42" i="23916" s="1"/>
  <c r="CQ42" i="23916"/>
  <c r="CO42" i="23916"/>
  <c r="CP42" i="23916" s="1"/>
  <c r="CM42" i="23916"/>
  <c r="CK42" i="23916"/>
  <c r="CL42" i="23916" s="1"/>
  <c r="CI42" i="23916"/>
  <c r="CG42" i="23916"/>
  <c r="CH42" i="23916" s="1"/>
  <c r="CE42" i="23916"/>
  <c r="CC42" i="23916"/>
  <c r="CD42" i="23916" s="1"/>
  <c r="CA42" i="23916"/>
  <c r="BY42" i="23916"/>
  <c r="BZ42" i="23916" s="1"/>
  <c r="BW42" i="23916"/>
  <c r="BU42" i="23916"/>
  <c r="BS42" i="23916"/>
  <c r="BQ42" i="23916"/>
  <c r="BO42" i="23916"/>
  <c r="BK42" i="23916"/>
  <c r="AY42" i="23916"/>
  <c r="AW42" i="23916"/>
  <c r="AX42" i="23916" s="1"/>
  <c r="AU42" i="23916"/>
  <c r="AS42" i="23916"/>
  <c r="AQ42" i="23916"/>
  <c r="AO42" i="23916"/>
  <c r="AP42" i="23916" s="1"/>
  <c r="AM42" i="23916"/>
  <c r="AG42" i="23916"/>
  <c r="AH42" i="23916" s="1"/>
  <c r="AE42" i="23916"/>
  <c r="AC42" i="23916"/>
  <c r="AD42" i="23916" s="1"/>
  <c r="GI41" i="23916"/>
  <c r="GH41" i="23916"/>
  <c r="GH144" i="23916" s="1"/>
  <c r="GG41" i="23916"/>
  <c r="GF41" i="23916"/>
  <c r="GF144" i="23916" s="1"/>
  <c r="GE41" i="23916"/>
  <c r="GD41" i="23916"/>
  <c r="GD144" i="23916" s="1"/>
  <c r="GC41" i="23916"/>
  <c r="GB41" i="23916"/>
  <c r="GB144" i="23916" s="1"/>
  <c r="GA41" i="23916"/>
  <c r="FZ41" i="23916"/>
  <c r="FZ144" i="23916" s="1"/>
  <c r="FY41" i="23916"/>
  <c r="FX41" i="23916"/>
  <c r="FX144" i="23916" s="1"/>
  <c r="FW41" i="23916"/>
  <c r="FV41" i="23916"/>
  <c r="FV144" i="23916" s="1"/>
  <c r="FU41" i="23916"/>
  <c r="FT41" i="23916"/>
  <c r="FT144" i="23916" s="1"/>
  <c r="FR41" i="23916"/>
  <c r="FR144" i="23916" s="1"/>
  <c r="FL41" i="23916"/>
  <c r="FL144" i="23916" s="1"/>
  <c r="FI41" i="23916"/>
  <c r="FG41" i="23916"/>
  <c r="FG40" i="23916"/>
  <c r="FG39" i="23916"/>
  <c r="FE41" i="23916"/>
  <c r="FE40" i="23916"/>
  <c r="FE39" i="23916"/>
  <c r="EH41" i="23916"/>
  <c r="EH40" i="23916"/>
  <c r="EH39" i="23916"/>
  <c r="EF41" i="23916"/>
  <c r="EF40" i="23916"/>
  <c r="EF39" i="23916"/>
  <c r="ED41" i="23916"/>
  <c r="ED40" i="23916"/>
  <c r="ED39" i="23916"/>
  <c r="EB41" i="23916"/>
  <c r="EB40" i="23916"/>
  <c r="EB39" i="23916"/>
  <c r="DZ41" i="23916"/>
  <c r="DZ40" i="23916"/>
  <c r="DZ39" i="23916"/>
  <c r="DX41" i="23916"/>
  <c r="DX40" i="23916"/>
  <c r="DX39" i="23916"/>
  <c r="DV41" i="23916"/>
  <c r="DV40" i="23916"/>
  <c r="DV39" i="23916"/>
  <c r="DT41" i="23916"/>
  <c r="DT40" i="23916"/>
  <c r="DT39" i="23916"/>
  <c r="DR41" i="23916"/>
  <c r="DR40" i="23916"/>
  <c r="DR39" i="23916"/>
  <c r="DP41" i="23916"/>
  <c r="DP40" i="23916"/>
  <c r="DP39" i="23916"/>
  <c r="DN41" i="23916"/>
  <c r="DN40" i="23916"/>
  <c r="DN39" i="23916"/>
  <c r="DL41" i="23916"/>
  <c r="DL40" i="23916"/>
  <c r="DL39" i="23916"/>
  <c r="DJ41" i="23916"/>
  <c r="DJ40" i="23916"/>
  <c r="DJ39" i="23916"/>
  <c r="DH41" i="23916"/>
  <c r="DH40" i="23916"/>
  <c r="DH39" i="23916"/>
  <c r="DF41" i="23916"/>
  <c r="DF40" i="23916"/>
  <c r="DF39" i="23916"/>
  <c r="DD41" i="23916"/>
  <c r="DD40" i="23916"/>
  <c r="DD39" i="23916"/>
  <c r="DB41" i="23916"/>
  <c r="DB40" i="23916"/>
  <c r="DB39" i="23916"/>
  <c r="CZ41" i="23916"/>
  <c r="CZ40" i="23916"/>
  <c r="CZ39" i="23916"/>
  <c r="CX41" i="23916"/>
  <c r="CX40" i="23916"/>
  <c r="CX39" i="23916"/>
  <c r="CV41" i="23916"/>
  <c r="CV40" i="23916"/>
  <c r="CV39" i="23916"/>
  <c r="CT41" i="23916"/>
  <c r="CT40" i="23916"/>
  <c r="CT39" i="23916"/>
  <c r="CR41" i="23916"/>
  <c r="CR40" i="23916"/>
  <c r="CR39" i="23916"/>
  <c r="CP41" i="23916"/>
  <c r="CP40" i="23916"/>
  <c r="CP39" i="23916"/>
  <c r="CN41" i="23916"/>
  <c r="CN40" i="23916"/>
  <c r="CN39" i="23916"/>
  <c r="CL41" i="23916"/>
  <c r="CL40" i="23916"/>
  <c r="CL39" i="23916"/>
  <c r="CJ41" i="23916"/>
  <c r="CJ40" i="23916"/>
  <c r="CJ39" i="23916"/>
  <c r="CH41" i="23916"/>
  <c r="CH40" i="23916"/>
  <c r="CH39" i="23916"/>
  <c r="CF41" i="23916"/>
  <c r="CF40" i="23916"/>
  <c r="CF39" i="23916"/>
  <c r="CD41" i="23916"/>
  <c r="CD40" i="23916"/>
  <c r="CD39" i="23916"/>
  <c r="CB41" i="23916"/>
  <c r="CB40" i="23916"/>
  <c r="CB39" i="23916"/>
  <c r="BZ41" i="23916"/>
  <c r="BZ40" i="23916"/>
  <c r="BZ39" i="23916"/>
  <c r="BX41" i="23916"/>
  <c r="BX40" i="23916"/>
  <c r="BX39" i="23916"/>
  <c r="BV40" i="23916"/>
  <c r="BV39" i="23916"/>
  <c r="BT41" i="23916"/>
  <c r="BT39" i="23916"/>
  <c r="BR41" i="23916"/>
  <c r="BR39" i="23916"/>
  <c r="BP41" i="23916"/>
  <c r="BP39" i="23916"/>
  <c r="BJ40" i="23916"/>
  <c r="BJ39" i="23916"/>
  <c r="BH41" i="23916"/>
  <c r="BG41" i="23916"/>
  <c r="BG144" i="23916" s="1"/>
  <c r="BF41" i="23916"/>
  <c r="BC41" i="23916"/>
  <c r="BD41" i="23916" s="1"/>
  <c r="BA41" i="23916"/>
  <c r="AZ41" i="23916"/>
  <c r="AX41" i="23916"/>
  <c r="AX40" i="23916"/>
  <c r="AX39" i="23916"/>
  <c r="AV41" i="23916"/>
  <c r="AV40" i="23916"/>
  <c r="AV39" i="23916"/>
  <c r="AT41" i="23916"/>
  <c r="AT39" i="23916"/>
  <c r="AR40" i="23916"/>
  <c r="AP41" i="23916"/>
  <c r="AO41" i="23916"/>
  <c r="AO144" i="23916" s="1"/>
  <c r="AN41" i="23916"/>
  <c r="AF41" i="23916"/>
  <c r="AF40" i="23916"/>
  <c r="FW40" i="23916"/>
  <c r="FV40" i="23916"/>
  <c r="FV143" i="23916" s="1"/>
  <c r="FU40" i="23916"/>
  <c r="FT40" i="23916"/>
  <c r="FT143" i="23916" s="1"/>
  <c r="FR40" i="23916"/>
  <c r="FR143" i="23916" s="1"/>
  <c r="FL40" i="23916"/>
  <c r="FL143" i="23916" s="1"/>
  <c r="FI40" i="23916"/>
  <c r="BM41" i="23916"/>
  <c r="BM40" i="23916"/>
  <c r="BM143" i="23916" s="1"/>
  <c r="BL40" i="23916"/>
  <c r="BK40" i="23916"/>
  <c r="BT40" i="23916" s="1"/>
  <c r="BI40" i="23916"/>
  <c r="BI143" i="23916" s="1"/>
  <c r="BG40" i="23916"/>
  <c r="BE40" i="23916"/>
  <c r="BF40" i="23916" s="1"/>
  <c r="BC40" i="23916"/>
  <c r="BA40" i="23916"/>
  <c r="FN40" i="23916" s="1"/>
  <c r="FN143" i="23916" s="1"/>
  <c r="AZ40" i="23916"/>
  <c r="AP40" i="23916"/>
  <c r="AP39" i="23916"/>
  <c r="AN40" i="23916"/>
  <c r="AD41" i="23916"/>
  <c r="AC41" i="23916"/>
  <c r="AC144" i="23916" s="1"/>
  <c r="AD40" i="23916"/>
  <c r="AC40" i="23916"/>
  <c r="AC143" i="23916" s="1"/>
  <c r="GH40" i="23916"/>
  <c r="GF40" i="23916"/>
  <c r="GD40" i="23916"/>
  <c r="GD42" i="23916" s="1"/>
  <c r="GB40" i="23916"/>
  <c r="FZ40" i="23916"/>
  <c r="FZ42" i="23916" s="1"/>
  <c r="FY40" i="23916"/>
  <c r="GH39" i="23916"/>
  <c r="GF39" i="23916"/>
  <c r="GD39" i="23916"/>
  <c r="GB39" i="23916"/>
  <c r="FZ39" i="23916"/>
  <c r="FV39" i="23916"/>
  <c r="FT39" i="23916"/>
  <c r="FR39" i="23916"/>
  <c r="FP39" i="23916"/>
  <c r="FN39" i="23916"/>
  <c r="FL39" i="23916"/>
  <c r="FJ39" i="23916"/>
  <c r="FK39" i="23916" s="1"/>
  <c r="FI39" i="23916"/>
  <c r="EL41" i="23916"/>
  <c r="EK41" i="23916"/>
  <c r="EK144" i="23916" s="1"/>
  <c r="EJ41" i="23916"/>
  <c r="EK40" i="23916"/>
  <c r="EJ40" i="23916"/>
  <c r="EJ39" i="23916"/>
  <c r="BN39" i="23916"/>
  <c r="BL39" i="23916"/>
  <c r="BH39" i="23916"/>
  <c r="BF39" i="23916"/>
  <c r="BD39" i="23916"/>
  <c r="BB39" i="23916"/>
  <c r="AZ39" i="23916"/>
  <c r="AL41" i="23916"/>
  <c r="AK41" i="23916"/>
  <c r="AK144" i="23916" s="1"/>
  <c r="AJ41" i="23916"/>
  <c r="AI41" i="23916"/>
  <c r="AI144" i="23916" s="1"/>
  <c r="AH41" i="23916"/>
  <c r="AK40" i="23916"/>
  <c r="AI40" i="23916"/>
  <c r="AJ40" i="23916" s="1"/>
  <c r="AH40" i="23916"/>
  <c r="AL39" i="23916"/>
  <c r="AK39" i="23916"/>
  <c r="AK142" i="23916" s="1"/>
  <c r="AH39" i="23916"/>
  <c r="AE39" i="23916"/>
  <c r="AE142" i="23916" s="1"/>
  <c r="AD39" i="23916"/>
  <c r="AC39" i="23916"/>
  <c r="AC142" i="23916" s="1"/>
  <c r="AD36" i="23916"/>
  <c r="EJ34" i="23916"/>
  <c r="EH34" i="23916"/>
  <c r="EF34" i="23916"/>
  <c r="EF33" i="23916"/>
  <c r="ED34" i="23916"/>
  <c r="EB34" i="23916"/>
  <c r="EB33" i="23916"/>
  <c r="DZ34" i="23916"/>
  <c r="DX34" i="23916"/>
  <c r="DX33" i="23916"/>
  <c r="DV34" i="23916"/>
  <c r="DT34" i="23916"/>
  <c r="DT33" i="23916"/>
  <c r="DR34" i="23916"/>
  <c r="DP34" i="23916"/>
  <c r="DP33" i="23916"/>
  <c r="DN34" i="23916"/>
  <c r="DL34" i="23916"/>
  <c r="DL33" i="23916"/>
  <c r="DJ34" i="23916"/>
  <c r="DH34" i="23916"/>
  <c r="DH33" i="23916"/>
  <c r="DF34" i="23916"/>
  <c r="DD34" i="23916"/>
  <c r="DD33" i="23916"/>
  <c r="DB34" i="23916"/>
  <c r="CZ34" i="23916"/>
  <c r="CZ33" i="23916"/>
  <c r="CX34" i="23916"/>
  <c r="CV34" i="23916"/>
  <c r="CV33" i="23916"/>
  <c r="CT34" i="23916"/>
  <c r="CR34" i="23916"/>
  <c r="CR33" i="23916"/>
  <c r="CP34" i="23916"/>
  <c r="CN34" i="23916"/>
  <c r="CN33" i="23916"/>
  <c r="CL34" i="23916"/>
  <c r="CJ34" i="23916"/>
  <c r="CJ33" i="23916"/>
  <c r="CH34" i="23916"/>
  <c r="CF34" i="23916"/>
  <c r="CF33" i="23916"/>
  <c r="CD34" i="23916"/>
  <c r="CB34" i="23916"/>
  <c r="CB33" i="23916"/>
  <c r="BZ34" i="23916"/>
  <c r="BX34" i="23916"/>
  <c r="BX33" i="23916"/>
  <c r="BV34" i="23916"/>
  <c r="BT34" i="23916"/>
  <c r="BT33" i="23916"/>
  <c r="BR34" i="23916"/>
  <c r="BP34" i="23916"/>
  <c r="BP33" i="23916"/>
  <c r="BN34" i="23916"/>
  <c r="BL34" i="23916"/>
  <c r="BL33" i="23916"/>
  <c r="BJ34" i="23916"/>
  <c r="BH34" i="23916"/>
  <c r="BH33" i="23916"/>
  <c r="BF34" i="23916"/>
  <c r="BD34" i="23916"/>
  <c r="BD33" i="23916"/>
  <c r="BB34" i="23916"/>
  <c r="AZ34" i="23916"/>
  <c r="AZ33" i="23916"/>
  <c r="AX34" i="23916"/>
  <c r="AV34" i="23916"/>
  <c r="AV33" i="23916"/>
  <c r="AT34" i="23916"/>
  <c r="AR34" i="23916"/>
  <c r="AR33" i="23916"/>
  <c r="AP34" i="23916"/>
  <c r="AN34" i="23916"/>
  <c r="AN33" i="23916"/>
  <c r="AL34" i="23916"/>
  <c r="AJ34" i="23916"/>
  <c r="AJ33" i="23916"/>
  <c r="AH34" i="23916"/>
  <c r="AF34" i="23916"/>
  <c r="AF33" i="23916"/>
  <c r="AD34" i="23916"/>
  <c r="EI33" i="23916"/>
  <c r="EG33" i="23916"/>
  <c r="EG35" i="23916" s="1"/>
  <c r="EG32" i="23916"/>
  <c r="EH32" i="23916" s="1"/>
  <c r="EE33" i="23916"/>
  <c r="EE35" i="23916" s="1"/>
  <c r="EF35" i="23916" s="1"/>
  <c r="EE32" i="23916"/>
  <c r="EC33" i="23916"/>
  <c r="ED33" i="23916" s="1"/>
  <c r="EC32" i="23916"/>
  <c r="ED32" i="23916" s="1"/>
  <c r="EA33" i="23916"/>
  <c r="EA35" i="23916" s="1"/>
  <c r="EB35" i="23916" s="1"/>
  <c r="EA32" i="23916"/>
  <c r="DY33" i="23916"/>
  <c r="DY35" i="23916" s="1"/>
  <c r="DY32" i="23916"/>
  <c r="DZ32" i="23916" s="1"/>
  <c r="DW33" i="23916"/>
  <c r="DW35" i="23916" s="1"/>
  <c r="DX35" i="23916" s="1"/>
  <c r="DW32" i="23916"/>
  <c r="DU33" i="23916"/>
  <c r="DV33" i="23916" s="1"/>
  <c r="DU32" i="23916"/>
  <c r="DV32" i="23916" s="1"/>
  <c r="DS33" i="23916"/>
  <c r="DS35" i="23916" s="1"/>
  <c r="DT35" i="23916" s="1"/>
  <c r="DS32" i="23916"/>
  <c r="DQ33" i="23916"/>
  <c r="DQ35" i="23916" s="1"/>
  <c r="DQ32" i="23916"/>
  <c r="DR32" i="23916" s="1"/>
  <c r="DO33" i="23916"/>
  <c r="DO35" i="23916" s="1"/>
  <c r="DP35" i="23916" s="1"/>
  <c r="DO32" i="23916"/>
  <c r="DM33" i="23916"/>
  <c r="DN33" i="23916" s="1"/>
  <c r="DM32" i="23916"/>
  <c r="DN32" i="23916" s="1"/>
  <c r="DK33" i="23916"/>
  <c r="DK35" i="23916" s="1"/>
  <c r="DL35" i="23916" s="1"/>
  <c r="DK32" i="23916"/>
  <c r="DI33" i="23916"/>
  <c r="DI35" i="23916" s="1"/>
  <c r="DJ35" i="23916" s="1"/>
  <c r="DI32" i="23916"/>
  <c r="DJ32" i="23916" s="1"/>
  <c r="DG33" i="23916"/>
  <c r="DG35" i="23916" s="1"/>
  <c r="DH35" i="23916" s="1"/>
  <c r="DG32" i="23916"/>
  <c r="DE33" i="23916"/>
  <c r="DF33" i="23916" s="1"/>
  <c r="DE32" i="23916"/>
  <c r="DF32" i="23916" s="1"/>
  <c r="DC33" i="23916"/>
  <c r="DC35" i="23916" s="1"/>
  <c r="DD35" i="23916" s="1"/>
  <c r="DC32" i="23916"/>
  <c r="DA33" i="23916"/>
  <c r="DA35" i="23916" s="1"/>
  <c r="DB35" i="23916" s="1"/>
  <c r="DA32" i="23916"/>
  <c r="DB32" i="23916" s="1"/>
  <c r="CY33" i="23916"/>
  <c r="CY35" i="23916" s="1"/>
  <c r="CZ35" i="23916" s="1"/>
  <c r="CY32" i="23916"/>
  <c r="CW33" i="23916"/>
  <c r="CX33" i="23916" s="1"/>
  <c r="CW32" i="23916"/>
  <c r="CX32" i="23916" s="1"/>
  <c r="CU33" i="23916"/>
  <c r="CU35" i="23916" s="1"/>
  <c r="CV35" i="23916" s="1"/>
  <c r="CU32" i="23916"/>
  <c r="CS33" i="23916"/>
  <c r="CS35" i="23916" s="1"/>
  <c r="CT35" i="23916" s="1"/>
  <c r="CS32" i="23916"/>
  <c r="CT32" i="23916" s="1"/>
  <c r="CQ33" i="23916"/>
  <c r="CQ35" i="23916" s="1"/>
  <c r="CR35" i="23916" s="1"/>
  <c r="CQ32" i="23916"/>
  <c r="CO33" i="23916"/>
  <c r="CP33" i="23916" s="1"/>
  <c r="CO32" i="23916"/>
  <c r="CP32" i="23916" s="1"/>
  <c r="CM33" i="23916"/>
  <c r="CM35" i="23916" s="1"/>
  <c r="CN35" i="23916" s="1"/>
  <c r="CM32" i="23916"/>
  <c r="CK33" i="23916"/>
  <c r="CK35" i="23916" s="1"/>
  <c r="CL35" i="23916" s="1"/>
  <c r="CK32" i="23916"/>
  <c r="CL32" i="23916" s="1"/>
  <c r="CI33" i="23916"/>
  <c r="CI35" i="23916" s="1"/>
  <c r="CJ35" i="23916" s="1"/>
  <c r="CI32" i="23916"/>
  <c r="CG33" i="23916"/>
  <c r="CH33" i="23916" s="1"/>
  <c r="CG32" i="23916"/>
  <c r="CH32" i="23916" s="1"/>
  <c r="CE33" i="23916"/>
  <c r="CE35" i="23916" s="1"/>
  <c r="CF35" i="23916" s="1"/>
  <c r="CE32" i="23916"/>
  <c r="CC33" i="23916"/>
  <c r="CC35" i="23916" s="1"/>
  <c r="CD35" i="23916" s="1"/>
  <c r="CC32" i="23916"/>
  <c r="CD32" i="23916" s="1"/>
  <c r="CA33" i="23916"/>
  <c r="CA35" i="23916" s="1"/>
  <c r="CB35" i="23916" s="1"/>
  <c r="CA32" i="23916"/>
  <c r="BY33" i="23916"/>
  <c r="BZ33" i="23916" s="1"/>
  <c r="BY32" i="23916"/>
  <c r="BZ32" i="23916" s="1"/>
  <c r="BW33" i="23916"/>
  <c r="BW35" i="23916" s="1"/>
  <c r="BX35" i="23916" s="1"/>
  <c r="BW32" i="23916"/>
  <c r="BU33" i="23916"/>
  <c r="BU35" i="23916" s="1"/>
  <c r="BV35" i="23916" s="1"/>
  <c r="BU32" i="23916"/>
  <c r="BV32" i="23916" s="1"/>
  <c r="BS33" i="23916"/>
  <c r="BS35" i="23916" s="1"/>
  <c r="BT35" i="23916" s="1"/>
  <c r="BS32" i="23916"/>
  <c r="BQ33" i="23916"/>
  <c r="BR33" i="23916" s="1"/>
  <c r="BQ32" i="23916"/>
  <c r="BR32" i="23916" s="1"/>
  <c r="BO33" i="23916"/>
  <c r="BO35" i="23916" s="1"/>
  <c r="BP35" i="23916" s="1"/>
  <c r="BO32" i="23916"/>
  <c r="BM33" i="23916"/>
  <c r="BM35" i="23916" s="1"/>
  <c r="BN35" i="23916" s="1"/>
  <c r="BM32" i="23916"/>
  <c r="BN32" i="23916" s="1"/>
  <c r="BK33" i="23916"/>
  <c r="BK35" i="23916" s="1"/>
  <c r="BL35" i="23916" s="1"/>
  <c r="BK32" i="23916"/>
  <c r="BI33" i="23916"/>
  <c r="BJ33" i="23916" s="1"/>
  <c r="BI32" i="23916"/>
  <c r="BJ32" i="23916" s="1"/>
  <c r="BG33" i="23916"/>
  <c r="BG35" i="23916" s="1"/>
  <c r="BH35" i="23916" s="1"/>
  <c r="BG32" i="23916"/>
  <c r="BE33" i="23916"/>
  <c r="BE35" i="23916" s="1"/>
  <c r="BF35" i="23916" s="1"/>
  <c r="BE32" i="23916"/>
  <c r="BF32" i="23916" s="1"/>
  <c r="BC33" i="23916"/>
  <c r="BC35" i="23916" s="1"/>
  <c r="BD35" i="23916" s="1"/>
  <c r="BC32" i="23916"/>
  <c r="BA33" i="23916"/>
  <c r="BB33" i="23916" s="1"/>
  <c r="BA32" i="23916"/>
  <c r="BB32" i="23916" s="1"/>
  <c r="AY33" i="23916"/>
  <c r="AY35" i="23916" s="1"/>
  <c r="AZ35" i="23916" s="1"/>
  <c r="AY32" i="23916"/>
  <c r="AW33" i="23916"/>
  <c r="AW35" i="23916" s="1"/>
  <c r="AX35" i="23916" s="1"/>
  <c r="AW32" i="23916"/>
  <c r="AX32" i="23916" s="1"/>
  <c r="AU33" i="23916"/>
  <c r="AU35" i="23916" s="1"/>
  <c r="AV35" i="23916" s="1"/>
  <c r="AU32" i="23916"/>
  <c r="AS33" i="23916"/>
  <c r="AT33" i="23916" s="1"/>
  <c r="AS32" i="23916"/>
  <c r="AT32" i="23916" s="1"/>
  <c r="AQ33" i="23916"/>
  <c r="AQ35" i="23916" s="1"/>
  <c r="AR35" i="23916" s="1"/>
  <c r="AQ32" i="23916"/>
  <c r="AO33" i="23916"/>
  <c r="AO35" i="23916" s="1"/>
  <c r="AP35" i="23916" s="1"/>
  <c r="AO32" i="23916"/>
  <c r="AP32" i="23916" s="1"/>
  <c r="AM33" i="23916"/>
  <c r="AM35" i="23916" s="1"/>
  <c r="AN35" i="23916" s="1"/>
  <c r="AM32" i="23916"/>
  <c r="AK33" i="23916"/>
  <c r="AL33" i="23916" s="1"/>
  <c r="AK32" i="23916"/>
  <c r="AL32" i="23916" s="1"/>
  <c r="AI33" i="23916"/>
  <c r="AI35" i="23916" s="1"/>
  <c r="AJ35" i="23916" s="1"/>
  <c r="AI32" i="23916"/>
  <c r="AJ32" i="23916" s="1"/>
  <c r="AG33" i="23916"/>
  <c r="AG35" i="23916" s="1"/>
  <c r="AH35" i="23916" s="1"/>
  <c r="AG32" i="23916"/>
  <c r="AH32" i="23916" s="1"/>
  <c r="AE33" i="23916"/>
  <c r="AE35" i="23916" s="1"/>
  <c r="AF35" i="23916" s="1"/>
  <c r="AE32" i="23916"/>
  <c r="AF32" i="23916" s="1"/>
  <c r="AC33" i="23916"/>
  <c r="AD33" i="23916" s="1"/>
  <c r="AC32" i="23916"/>
  <c r="AD32" i="23916" s="1"/>
  <c r="FI36" i="23916"/>
  <c r="FI35" i="23916"/>
  <c r="FI34" i="23916"/>
  <c r="FI33" i="23916"/>
  <c r="FI32" i="23916"/>
  <c r="EQ36" i="23916"/>
  <c r="EO36" i="23916"/>
  <c r="EM36" i="23916"/>
  <c r="EM34" i="23916"/>
  <c r="EN34" i="23916" s="1"/>
  <c r="EN33" i="23916"/>
  <c r="EM33" i="23916"/>
  <c r="EM35" i="23916" s="1"/>
  <c r="EN35" i="23916" s="1"/>
  <c r="EL33" i="23916"/>
  <c r="EM32" i="23916"/>
  <c r="EK32" i="23916"/>
  <c r="EI32" i="23916"/>
  <c r="EJ32" i="23916" s="1"/>
  <c r="EI29" i="23916"/>
  <c r="EI28" i="23916" s="1"/>
  <c r="EG29" i="23916"/>
  <c r="EE29" i="23916"/>
  <c r="EC29" i="23916"/>
  <c r="EA29" i="23916"/>
  <c r="DY29" i="23916"/>
  <c r="DW29" i="23916"/>
  <c r="DU29" i="23916"/>
  <c r="DS29" i="23916"/>
  <c r="DQ29" i="23916"/>
  <c r="DO29" i="23916"/>
  <c r="DM29" i="23916"/>
  <c r="DK29" i="23916"/>
  <c r="DI29" i="23916"/>
  <c r="DG29" i="23916"/>
  <c r="DE29" i="23916"/>
  <c r="DC29" i="23916"/>
  <c r="DA29" i="23916"/>
  <c r="CY29" i="23916"/>
  <c r="CW29" i="23916"/>
  <c r="CU29" i="23916"/>
  <c r="CS29" i="23916"/>
  <c r="CQ29" i="23916"/>
  <c r="CO29" i="23916"/>
  <c r="CM29" i="23916"/>
  <c r="CK29" i="23916"/>
  <c r="CI29" i="23916"/>
  <c r="CG29" i="23916"/>
  <c r="CE29" i="23916"/>
  <c r="CC29" i="23916"/>
  <c r="CA29" i="23916"/>
  <c r="BY29" i="23916"/>
  <c r="BW29" i="23916"/>
  <c r="BU29" i="23916"/>
  <c r="BS29" i="23916"/>
  <c r="BQ29" i="23916"/>
  <c r="BO29" i="23916"/>
  <c r="BM29" i="23916"/>
  <c r="BK29" i="23916"/>
  <c r="BI29" i="23916"/>
  <c r="BG29" i="23916"/>
  <c r="BE29" i="23916"/>
  <c r="BC29" i="23916"/>
  <c r="BA29" i="23916"/>
  <c r="AY29" i="23916"/>
  <c r="FL29" i="23916" s="1"/>
  <c r="AW29" i="23916"/>
  <c r="AU29" i="23916"/>
  <c r="AS29" i="23916"/>
  <c r="AQ29" i="23916"/>
  <c r="AO29" i="23916"/>
  <c r="AM29" i="23916"/>
  <c r="AK29" i="23916"/>
  <c r="AG29" i="23916"/>
  <c r="AH29" i="23916" s="1"/>
  <c r="AE29" i="23916"/>
  <c r="AF29" i="23916" s="1"/>
  <c r="AC29" i="23916"/>
  <c r="AD29" i="23916" s="1"/>
  <c r="AC26" i="23916"/>
  <c r="FI28" i="23916"/>
  <c r="FI27" i="23916"/>
  <c r="FI25" i="23916"/>
  <c r="AD28" i="23916"/>
  <c r="ED27" i="23916"/>
  <c r="DV27" i="23916"/>
  <c r="DN27" i="23916"/>
  <c r="DF27" i="23916"/>
  <c r="CX27" i="23916"/>
  <c r="CP27" i="23916"/>
  <c r="CH27" i="23916"/>
  <c r="BZ27" i="23916"/>
  <c r="BR27" i="23916"/>
  <c r="BJ27" i="23916"/>
  <c r="BB27" i="23916"/>
  <c r="AD27" i="23916"/>
  <c r="EJ25" i="23916"/>
  <c r="EI25" i="23916"/>
  <c r="EI27" i="23916" s="1"/>
  <c r="EJ27" i="23916" s="1"/>
  <c r="EH25" i="23916"/>
  <c r="EG25" i="23916"/>
  <c r="EG27" i="23916" s="1"/>
  <c r="EH27" i="23916" s="1"/>
  <c r="EF25" i="23916"/>
  <c r="EE25" i="23916"/>
  <c r="EE27" i="23916" s="1"/>
  <c r="EF27" i="23916" s="1"/>
  <c r="ED25" i="23916"/>
  <c r="EC25" i="23916"/>
  <c r="EC27" i="23916" s="1"/>
  <c r="EB25" i="23916"/>
  <c r="EA25" i="23916"/>
  <c r="EA27" i="23916" s="1"/>
  <c r="EB27" i="23916" s="1"/>
  <c r="DZ25" i="23916"/>
  <c r="DY25" i="23916"/>
  <c r="DY27" i="23916" s="1"/>
  <c r="DZ27" i="23916" s="1"/>
  <c r="DX25" i="23916"/>
  <c r="DW25" i="23916"/>
  <c r="DW27" i="23916" s="1"/>
  <c r="DX27" i="23916" s="1"/>
  <c r="DV25" i="23916"/>
  <c r="DU25" i="23916"/>
  <c r="DU27" i="23916" s="1"/>
  <c r="DT25" i="23916"/>
  <c r="DS25" i="23916"/>
  <c r="DS27" i="23916" s="1"/>
  <c r="DT27" i="23916" s="1"/>
  <c r="DR25" i="23916"/>
  <c r="DQ25" i="23916"/>
  <c r="DQ27" i="23916" s="1"/>
  <c r="DR27" i="23916" s="1"/>
  <c r="DP25" i="23916"/>
  <c r="DO25" i="23916"/>
  <c r="DO27" i="23916" s="1"/>
  <c r="DP27" i="23916" s="1"/>
  <c r="DN25" i="23916"/>
  <c r="DM25" i="23916"/>
  <c r="DM27" i="23916" s="1"/>
  <c r="DL25" i="23916"/>
  <c r="DK25" i="23916"/>
  <c r="DK27" i="23916" s="1"/>
  <c r="DL27" i="23916" s="1"/>
  <c r="DJ25" i="23916"/>
  <c r="DI25" i="23916"/>
  <c r="DI27" i="23916" s="1"/>
  <c r="DJ27" i="23916" s="1"/>
  <c r="DH25" i="23916"/>
  <c r="DG25" i="23916"/>
  <c r="DG27" i="23916" s="1"/>
  <c r="DH27" i="23916" s="1"/>
  <c r="DF25" i="23916"/>
  <c r="DE25" i="23916"/>
  <c r="DE27" i="23916" s="1"/>
  <c r="DD25" i="23916"/>
  <c r="DC25" i="23916"/>
  <c r="DC27" i="23916" s="1"/>
  <c r="DD27" i="23916" s="1"/>
  <c r="DB25" i="23916"/>
  <c r="DA25" i="23916"/>
  <c r="DA27" i="23916" s="1"/>
  <c r="DB27" i="23916" s="1"/>
  <c r="CZ25" i="23916"/>
  <c r="CY25" i="23916"/>
  <c r="CY27" i="23916" s="1"/>
  <c r="CZ27" i="23916" s="1"/>
  <c r="CX25" i="23916"/>
  <c r="CW25" i="23916"/>
  <c r="CW27" i="23916" s="1"/>
  <c r="CV25" i="23916"/>
  <c r="CU25" i="23916"/>
  <c r="CU27" i="23916" s="1"/>
  <c r="CV27" i="23916" s="1"/>
  <c r="CT25" i="23916"/>
  <c r="CS25" i="23916"/>
  <c r="CS27" i="23916" s="1"/>
  <c r="CT27" i="23916" s="1"/>
  <c r="CR25" i="23916"/>
  <c r="CQ25" i="23916"/>
  <c r="CQ27" i="23916" s="1"/>
  <c r="CR27" i="23916" s="1"/>
  <c r="CP25" i="23916"/>
  <c r="CO25" i="23916"/>
  <c r="CO27" i="23916" s="1"/>
  <c r="CN25" i="23916"/>
  <c r="CM25" i="23916"/>
  <c r="CM27" i="23916" s="1"/>
  <c r="CN27" i="23916" s="1"/>
  <c r="CL25" i="23916"/>
  <c r="CK25" i="23916"/>
  <c r="CK27" i="23916" s="1"/>
  <c r="CL27" i="23916" s="1"/>
  <c r="CJ25" i="23916"/>
  <c r="CI25" i="23916"/>
  <c r="CI27" i="23916" s="1"/>
  <c r="CJ27" i="23916" s="1"/>
  <c r="CH25" i="23916"/>
  <c r="CG25" i="23916"/>
  <c r="CG27" i="23916" s="1"/>
  <c r="CF25" i="23916"/>
  <c r="CE25" i="23916"/>
  <c r="CE27" i="23916" s="1"/>
  <c r="CF27" i="23916" s="1"/>
  <c r="CD25" i="23916"/>
  <c r="CC25" i="23916"/>
  <c r="CC27" i="23916" s="1"/>
  <c r="CD27" i="23916" s="1"/>
  <c r="CB25" i="23916"/>
  <c r="CA25" i="23916"/>
  <c r="CA27" i="23916" s="1"/>
  <c r="CB27" i="23916" s="1"/>
  <c r="BZ25" i="23916"/>
  <c r="BY25" i="23916"/>
  <c r="BY27" i="23916" s="1"/>
  <c r="BX25" i="23916"/>
  <c r="BW25" i="23916"/>
  <c r="BW27" i="23916" s="1"/>
  <c r="BX27" i="23916" s="1"/>
  <c r="BV25" i="23916"/>
  <c r="BU25" i="23916"/>
  <c r="BU27" i="23916" s="1"/>
  <c r="BV27" i="23916" s="1"/>
  <c r="BT25" i="23916"/>
  <c r="BS25" i="23916"/>
  <c r="BS27" i="23916" s="1"/>
  <c r="BT27" i="23916" s="1"/>
  <c r="BR25" i="23916"/>
  <c r="BQ25" i="23916"/>
  <c r="BQ27" i="23916" s="1"/>
  <c r="BP25" i="23916"/>
  <c r="BO25" i="23916"/>
  <c r="BO27" i="23916" s="1"/>
  <c r="BP27" i="23916" s="1"/>
  <c r="BN25" i="23916"/>
  <c r="BM25" i="23916"/>
  <c r="BM27" i="23916" s="1"/>
  <c r="BN27" i="23916" s="1"/>
  <c r="BL25" i="23916"/>
  <c r="BK25" i="23916"/>
  <c r="BK27" i="23916" s="1"/>
  <c r="BL27" i="23916" s="1"/>
  <c r="BJ25" i="23916"/>
  <c r="BI25" i="23916"/>
  <c r="BI27" i="23916" s="1"/>
  <c r="BH25" i="23916"/>
  <c r="BG25" i="23916"/>
  <c r="BG27" i="23916" s="1"/>
  <c r="BH27" i="23916" s="1"/>
  <c r="BF25" i="23916"/>
  <c r="BE25" i="23916"/>
  <c r="BE27" i="23916" s="1"/>
  <c r="BF27" i="23916" s="1"/>
  <c r="BD25" i="23916"/>
  <c r="BC25" i="23916"/>
  <c r="BC27" i="23916" s="1"/>
  <c r="BD27" i="23916" s="1"/>
  <c r="BB25" i="23916"/>
  <c r="BA25" i="23916"/>
  <c r="BA27" i="23916" s="1"/>
  <c r="AZ25" i="23916"/>
  <c r="AY25" i="23916"/>
  <c r="AY27" i="23916" s="1"/>
  <c r="AZ27" i="23916" s="1"/>
  <c r="AX25" i="23916"/>
  <c r="AW25" i="23916"/>
  <c r="AW27" i="23916" s="1"/>
  <c r="AX27" i="23916" s="1"/>
  <c r="AV25" i="23916"/>
  <c r="AU25" i="23916"/>
  <c r="AU27" i="23916" s="1"/>
  <c r="AV27" i="23916" s="1"/>
  <c r="AS25" i="23916"/>
  <c r="AS27" i="23916" s="1"/>
  <c r="AR25" i="23916"/>
  <c r="AQ25" i="23916"/>
  <c r="AQ27" i="23916" s="1"/>
  <c r="AR27" i="23916" s="1"/>
  <c r="AP25" i="23916"/>
  <c r="AO25" i="23916"/>
  <c r="AO27" i="23916" s="1"/>
  <c r="AP27" i="23916" s="1"/>
  <c r="AN25" i="23916"/>
  <c r="AM25" i="23916"/>
  <c r="AM27" i="23916" s="1"/>
  <c r="AN27" i="23916" s="1"/>
  <c r="AJ25" i="23916"/>
  <c r="AI25" i="23916"/>
  <c r="AI27" i="23916" s="1"/>
  <c r="AJ27" i="23916" s="1"/>
  <c r="AH25" i="23916"/>
  <c r="AG25" i="23916"/>
  <c r="AG27" i="23916" s="1"/>
  <c r="AH27" i="23916" s="1"/>
  <c r="AF25" i="23916"/>
  <c r="AE25" i="23916"/>
  <c r="AE27" i="23916" s="1"/>
  <c r="AF27" i="23916" s="1"/>
  <c r="AD25" i="23916"/>
  <c r="EI22" i="23916"/>
  <c r="EJ22" i="23916" s="1"/>
  <c r="EG22" i="23916"/>
  <c r="EE22" i="23916"/>
  <c r="EI26" i="23916" s="1"/>
  <c r="EC22" i="23916"/>
  <c r="EA22" i="23916"/>
  <c r="EF22" i="23916"/>
  <c r="DY22" i="23916"/>
  <c r="DW22" i="23916"/>
  <c r="DU22" i="23916"/>
  <c r="DS22" i="23916"/>
  <c r="GD22" i="23916" s="1"/>
  <c r="DQ22" i="23916"/>
  <c r="DO22" i="23916"/>
  <c r="DM22" i="23916"/>
  <c r="DK22" i="23916"/>
  <c r="DI22" i="23916"/>
  <c r="DG22" i="23916"/>
  <c r="DE22" i="23916"/>
  <c r="DC22" i="23916"/>
  <c r="DA22" i="23916"/>
  <c r="CY22" i="23916"/>
  <c r="CW22" i="23916"/>
  <c r="CU22" i="23916"/>
  <c r="CS22" i="23916"/>
  <c r="CQ22" i="23916"/>
  <c r="CO22" i="23916"/>
  <c r="CM22" i="23916"/>
  <c r="CK22" i="23916"/>
  <c r="CI22" i="23916"/>
  <c r="CG22" i="23916"/>
  <c r="CE22" i="23916"/>
  <c r="CC22" i="23916"/>
  <c r="CA22" i="23916"/>
  <c r="BY22" i="23916"/>
  <c r="BU22" i="23916"/>
  <c r="BO22" i="23916"/>
  <c r="GF14" i="23916"/>
  <c r="GD14" i="23916"/>
  <c r="GE14" i="23916" s="1"/>
  <c r="GB14" i="23916"/>
  <c r="FZ14" i="23916"/>
  <c r="FV14" i="23916"/>
  <c r="FW14" i="23916" s="1"/>
  <c r="EI14" i="23916"/>
  <c r="EI11" i="23916"/>
  <c r="EI10" i="23916"/>
  <c r="EJ10" i="23916" s="1"/>
  <c r="EI8" i="23916"/>
  <c r="EG14" i="23916"/>
  <c r="EE14" i="23916"/>
  <c r="EE11" i="23916"/>
  <c r="EE10" i="23916"/>
  <c r="EE8" i="23916"/>
  <c r="EC14" i="23916"/>
  <c r="EC11" i="23916"/>
  <c r="EA14" i="23916"/>
  <c r="EA11" i="23916"/>
  <c r="EA10" i="23916"/>
  <c r="EA8" i="23916"/>
  <c r="DY14" i="23916"/>
  <c r="DY11" i="23916"/>
  <c r="DW14" i="23916"/>
  <c r="DX14" i="23916" s="1"/>
  <c r="DW11" i="23916"/>
  <c r="DW10" i="23916"/>
  <c r="DW8" i="23916"/>
  <c r="DU14" i="23916"/>
  <c r="DU11" i="23916"/>
  <c r="DS14" i="23916"/>
  <c r="DT14" i="23916" s="1"/>
  <c r="DS11" i="23916"/>
  <c r="DS10" i="23916"/>
  <c r="DS8" i="23916"/>
  <c r="DQ14" i="23916"/>
  <c r="DO14" i="23916"/>
  <c r="DO11" i="23916"/>
  <c r="DO10" i="23916"/>
  <c r="DO8" i="23916"/>
  <c r="DM14" i="23916"/>
  <c r="DM11" i="23916"/>
  <c r="DK14" i="23916"/>
  <c r="DK11" i="23916"/>
  <c r="DK10" i="23916"/>
  <c r="DK8" i="23916"/>
  <c r="DI14" i="23916"/>
  <c r="DI11" i="23916"/>
  <c r="DG14" i="23916"/>
  <c r="DG11" i="23916"/>
  <c r="DG10" i="23916"/>
  <c r="DG8" i="23916"/>
  <c r="DE14" i="23916"/>
  <c r="DE11" i="23916"/>
  <c r="DC14" i="23916"/>
  <c r="DC11" i="23916"/>
  <c r="DC10" i="23916"/>
  <c r="DA14" i="23916"/>
  <c r="CY14" i="23916"/>
  <c r="CY11" i="23916"/>
  <c r="CY10" i="23916"/>
  <c r="CW14" i="23916"/>
  <c r="CW11" i="23916"/>
  <c r="CU14" i="23916"/>
  <c r="CU11" i="23916"/>
  <c r="CU10" i="23916"/>
  <c r="CS14" i="23916"/>
  <c r="CS11" i="23916"/>
  <c r="CQ14" i="23916"/>
  <c r="CQ11" i="23916"/>
  <c r="CQ10" i="23916"/>
  <c r="CO14" i="23916"/>
  <c r="CP14" i="23916" s="1"/>
  <c r="CO11" i="23916"/>
  <c r="CM14" i="23916"/>
  <c r="CN14" i="23916" s="1"/>
  <c r="CM11" i="23916"/>
  <c r="CK14" i="23916"/>
  <c r="CL14" i="23916" s="1"/>
  <c r="CI14" i="23916"/>
  <c r="CJ14" i="23916" s="1"/>
  <c r="CI11" i="23916"/>
  <c r="CG14" i="23916"/>
  <c r="CH14" i="23916" s="1"/>
  <c r="EJ11" i="23916"/>
  <c r="EJ8" i="23916"/>
  <c r="EF11" i="23916"/>
  <c r="EF10" i="23916"/>
  <c r="EF8" i="23916"/>
  <c r="ED11" i="23916"/>
  <c r="EB11" i="23916"/>
  <c r="EB10" i="23916"/>
  <c r="EB8" i="23916"/>
  <c r="DX11" i="23916"/>
  <c r="DX10" i="23916"/>
  <c r="DX8" i="23916"/>
  <c r="DV11" i="23916"/>
  <c r="DT11" i="23916"/>
  <c r="DT10" i="23916"/>
  <c r="DT8" i="23916"/>
  <c r="DP11" i="23916"/>
  <c r="DP10" i="23916"/>
  <c r="DP8" i="23916"/>
  <c r="DN11" i="23916"/>
  <c r="DL11" i="23916"/>
  <c r="DL10" i="23916"/>
  <c r="DH11" i="23916"/>
  <c r="DH10" i="23916"/>
  <c r="DF11" i="23916"/>
  <c r="DD11" i="23916"/>
  <c r="DD10" i="23916"/>
  <c r="CZ11" i="23916"/>
  <c r="CZ10" i="23916"/>
  <c r="CX11" i="23916"/>
  <c r="CV11" i="23916"/>
  <c r="CR11" i="23916"/>
  <c r="CN11" i="23916"/>
  <c r="CJ11" i="23916"/>
  <c r="GS5" i="23916"/>
  <c r="GS4" i="23916"/>
  <c r="GQ5" i="23916"/>
  <c r="GQ4" i="23916"/>
  <c r="GO5" i="23916"/>
  <c r="GO4" i="23916"/>
  <c r="GM5" i="23916"/>
  <c r="GM4" i="23916"/>
  <c r="GK5" i="23916"/>
  <c r="GK4" i="23916"/>
  <c r="GI5" i="23916"/>
  <c r="GI4" i="23916"/>
  <c r="GG5" i="23916"/>
  <c r="GG4" i="23916"/>
  <c r="GE5" i="23916"/>
  <c r="GE4" i="23916"/>
  <c r="GC5" i="23916"/>
  <c r="GC4" i="23916"/>
  <c r="GA5" i="23916"/>
  <c r="GA4" i="23916"/>
  <c r="FY5" i="23916"/>
  <c r="FY4" i="23916"/>
  <c r="FW5" i="23916"/>
  <c r="FW4" i="23916"/>
  <c r="FU5" i="23916"/>
  <c r="FS5" i="23916"/>
  <c r="FQ5" i="23916"/>
  <c r="FO5" i="23916"/>
  <c r="FM5" i="23916"/>
  <c r="FK5" i="23916"/>
  <c r="FI5" i="23916"/>
  <c r="FI4" i="23916"/>
  <c r="FG5" i="23916"/>
  <c r="FG4" i="23916"/>
  <c r="FE5" i="23916"/>
  <c r="FE4" i="23916"/>
  <c r="FC5" i="23916"/>
  <c r="FC4" i="23916"/>
  <c r="FA5" i="23916"/>
  <c r="FA4" i="23916"/>
  <c r="EY5" i="23916"/>
  <c r="EY4" i="23916"/>
  <c r="ER5" i="23916"/>
  <c r="ER4" i="23916"/>
  <c r="EP5" i="23916"/>
  <c r="EP4" i="23916"/>
  <c r="EN5" i="23916"/>
  <c r="EN4" i="23916"/>
  <c r="EL5" i="23916"/>
  <c r="EL4" i="23916"/>
  <c r="EJ5" i="23916"/>
  <c r="EJ4" i="23916"/>
  <c r="EH5" i="23916"/>
  <c r="EH4" i="23916"/>
  <c r="EF5" i="23916"/>
  <c r="EF4" i="23916"/>
  <c r="ED5" i="23916"/>
  <c r="ED4" i="23916"/>
  <c r="EB5" i="23916"/>
  <c r="EB4" i="23916"/>
  <c r="DZ5" i="23916"/>
  <c r="DZ4" i="23916"/>
  <c r="DX5" i="23916"/>
  <c r="DX4" i="23916"/>
  <c r="DV5" i="23916"/>
  <c r="DV4" i="23916"/>
  <c r="DT5" i="23916"/>
  <c r="DT4" i="23916"/>
  <c r="DR5" i="23916"/>
  <c r="DR4" i="23916"/>
  <c r="DP5" i="23916"/>
  <c r="DP4" i="23916"/>
  <c r="DN5" i="23916"/>
  <c r="DN4" i="23916"/>
  <c r="DL5" i="23916"/>
  <c r="DL4" i="23916"/>
  <c r="DJ5" i="23916"/>
  <c r="DJ4" i="23916"/>
  <c r="DH5" i="23916"/>
  <c r="DH4" i="23916"/>
  <c r="DF5" i="23916"/>
  <c r="DF4" i="23916"/>
  <c r="DD5" i="23916"/>
  <c r="DD4" i="23916"/>
  <c r="DB5" i="23916"/>
  <c r="DB4" i="23916"/>
  <c r="CZ5" i="23916"/>
  <c r="CZ4" i="23916"/>
  <c r="CX5" i="23916"/>
  <c r="CX4" i="23916"/>
  <c r="CV5" i="23916"/>
  <c r="CV4" i="23916"/>
  <c r="CT5" i="23916"/>
  <c r="CT4" i="23916"/>
  <c r="CR5" i="23916"/>
  <c r="CR4" i="23916"/>
  <c r="CP5" i="23916"/>
  <c r="CP4" i="23916"/>
  <c r="CN5" i="23916"/>
  <c r="CN4" i="23916"/>
  <c r="CL5" i="23916"/>
  <c r="CL4" i="23916"/>
  <c r="CJ5" i="23916"/>
  <c r="CJ4" i="23916"/>
  <c r="CH5" i="23916"/>
  <c r="CH4" i="23916"/>
  <c r="CF5" i="23916"/>
  <c r="CD5" i="23916"/>
  <c r="CD4" i="23916"/>
  <c r="CB5" i="23916"/>
  <c r="CB4" i="23916"/>
  <c r="BZ5" i="23916"/>
  <c r="BZ4" i="23916"/>
  <c r="BX5" i="23916"/>
  <c r="BX4" i="23916"/>
  <c r="BV5" i="23916"/>
  <c r="BV4" i="23916"/>
  <c r="BT5" i="23916"/>
  <c r="BT4" i="23916"/>
  <c r="BR5" i="23916"/>
  <c r="BR4" i="23916"/>
  <c r="BP5" i="23916"/>
  <c r="BP4" i="23916"/>
  <c r="BN5" i="23916"/>
  <c r="BN4" i="23916"/>
  <c r="BL5" i="23916"/>
  <c r="BL4" i="23916"/>
  <c r="BJ5" i="23916"/>
  <c r="BJ4" i="23916"/>
  <c r="BH5" i="23916"/>
  <c r="BH4" i="23916"/>
  <c r="BF5" i="23916"/>
  <c r="BF4" i="23916"/>
  <c r="BD5" i="23916"/>
  <c r="BD4" i="23916"/>
  <c r="BB5" i="23916"/>
  <c r="BB4" i="23916"/>
  <c r="AZ5" i="23916"/>
  <c r="AZ4" i="23916"/>
  <c r="AX5" i="23916"/>
  <c r="AX4" i="23916"/>
  <c r="AV5" i="23916"/>
  <c r="AV4" i="23916"/>
  <c r="AT5" i="23916"/>
  <c r="AT4" i="23916"/>
  <c r="AR5" i="23916"/>
  <c r="AR4" i="23916"/>
  <c r="AP5" i="23916"/>
  <c r="AP4" i="23916"/>
  <c r="AN5" i="23916"/>
  <c r="AN4" i="23916"/>
  <c r="AL5" i="23916"/>
  <c r="AL4" i="23916"/>
  <c r="AJ5" i="23916"/>
  <c r="AJ4" i="23916"/>
  <c r="AH5" i="23916"/>
  <c r="AH4" i="23916"/>
  <c r="AF5" i="23916"/>
  <c r="AF4" i="23916"/>
  <c r="AD5" i="23916"/>
  <c r="AD4" i="23916"/>
  <c r="AB5" i="23916"/>
  <c r="AB4" i="23916"/>
  <c r="Z5" i="23916"/>
  <c r="Z4" i="23916"/>
  <c r="X5" i="23916"/>
  <c r="X4" i="23916"/>
  <c r="V5" i="23916"/>
  <c r="V4" i="23916"/>
  <c r="T5" i="23916"/>
  <c r="T4" i="23916"/>
  <c r="R5" i="23916"/>
  <c r="R4" i="23916"/>
  <c r="P5" i="23916"/>
  <c r="P4" i="23916"/>
  <c r="N5" i="23916"/>
  <c r="N4" i="23916"/>
  <c r="EO87" i="23916" l="1"/>
  <c r="EI36" i="23916"/>
  <c r="GD53" i="23916"/>
  <c r="GD23" i="23916"/>
  <c r="DS28" i="23916"/>
  <c r="FL30" i="23916"/>
  <c r="FN25" i="23916"/>
  <c r="CM28" i="23916"/>
  <c r="DB14" i="23916"/>
  <c r="DF14" i="23916"/>
  <c r="DJ14" i="23916"/>
  <c r="DN14" i="23916"/>
  <c r="EJ14" i="23916"/>
  <c r="GC14" i="23916"/>
  <c r="CJ22" i="23916"/>
  <c r="CR22" i="23916"/>
  <c r="CZ22" i="23916"/>
  <c r="DH22" i="23916"/>
  <c r="DP22" i="23916"/>
  <c r="DX22" i="23916"/>
  <c r="EG596" i="23916"/>
  <c r="EG23" i="23916"/>
  <c r="EH22" i="23916"/>
  <c r="EO22" i="23916"/>
  <c r="CE26" i="23916"/>
  <c r="CM26" i="23916"/>
  <c r="CU26" i="23916"/>
  <c r="CU28" i="23916" s="1"/>
  <c r="DC26" i="23916"/>
  <c r="DC28" i="23916" s="1"/>
  <c r="DK26" i="23916"/>
  <c r="DK28" i="23916" s="1"/>
  <c r="DS26" i="23916"/>
  <c r="EA26" i="23916"/>
  <c r="EJ26" i="23916" s="1"/>
  <c r="AP29" i="23916"/>
  <c r="AX29" i="23916"/>
  <c r="BF29" i="23916"/>
  <c r="BN29" i="23916"/>
  <c r="BV29" i="23916"/>
  <c r="CD29" i="23916"/>
  <c r="CL29" i="23916"/>
  <c r="CT29" i="23916"/>
  <c r="DB29" i="23916"/>
  <c r="DJ29" i="23916"/>
  <c r="DR29" i="23916"/>
  <c r="DZ29" i="23916"/>
  <c r="EH29" i="23916"/>
  <c r="AG30" i="23916"/>
  <c r="AH30" i="23916" s="1"/>
  <c r="AO30" i="23916"/>
  <c r="AP30" i="23916" s="1"/>
  <c r="AW30" i="23916"/>
  <c r="AX30" i="23916" s="1"/>
  <c r="BE30" i="23916"/>
  <c r="BF30" i="23916" s="1"/>
  <c r="BM30" i="23916"/>
  <c r="BU30" i="23916"/>
  <c r="BV30" i="23916" s="1"/>
  <c r="CC30" i="23916"/>
  <c r="CD30" i="23916" s="1"/>
  <c r="CK30" i="23916"/>
  <c r="CL30" i="23916" s="1"/>
  <c r="CS30" i="23916"/>
  <c r="DA30" i="23916"/>
  <c r="DB30" i="23916" s="1"/>
  <c r="DI30" i="23916"/>
  <c r="DJ30" i="23916" s="1"/>
  <c r="DQ30" i="23916"/>
  <c r="DR30" i="23916" s="1"/>
  <c r="DY30" i="23916"/>
  <c r="EG30" i="23916"/>
  <c r="EH30" i="23916" s="1"/>
  <c r="ER36" i="23916"/>
  <c r="EK143" i="23916"/>
  <c r="EM40" i="23916"/>
  <c r="EL40" i="23916"/>
  <c r="FS39" i="23916"/>
  <c r="GI39" i="23916"/>
  <c r="GG40" i="23916"/>
  <c r="BP40" i="23916"/>
  <c r="BH40" i="23916"/>
  <c r="BG143" i="23916"/>
  <c r="BM385" i="23916"/>
  <c r="FT385" i="23916"/>
  <c r="FU143" i="23916"/>
  <c r="FR386" i="23916"/>
  <c r="AN42" i="23916"/>
  <c r="AM53" i="23916"/>
  <c r="AV42" i="23916"/>
  <c r="AU53" i="23916"/>
  <c r="AV53" i="23916" s="1"/>
  <c r="BG42" i="23916"/>
  <c r="BT42" i="23916"/>
  <c r="BS53" i="23916"/>
  <c r="CB42" i="23916"/>
  <c r="CA53" i="23916"/>
  <c r="CB53" i="23916" s="1"/>
  <c r="CJ42" i="23916"/>
  <c r="CR42" i="23916"/>
  <c r="CZ42" i="23916"/>
  <c r="CY53" i="23916"/>
  <c r="DH42" i="23916"/>
  <c r="DG53" i="23916"/>
  <c r="DP42" i="23916"/>
  <c r="DO53" i="23916"/>
  <c r="DP53" i="23916" s="1"/>
  <c r="DX42" i="23916"/>
  <c r="DW53" i="23916"/>
  <c r="DX53" i="23916" s="1"/>
  <c r="EF42" i="23916"/>
  <c r="EE53" i="23916"/>
  <c r="AR46" i="23916"/>
  <c r="AK148" i="23916"/>
  <c r="AK51" i="23916"/>
  <c r="AT45" i="23916"/>
  <c r="AL45" i="23916"/>
  <c r="EM46" i="23916"/>
  <c r="EL46" i="23916"/>
  <c r="FQ151" i="23916"/>
  <c r="FU151" i="23916"/>
  <c r="AL47" i="23916"/>
  <c r="BA150" i="23916"/>
  <c r="FN47" i="23916"/>
  <c r="BB47" i="23916"/>
  <c r="BI150" i="23916"/>
  <c r="BJ47" i="23916"/>
  <c r="FP47" i="23916"/>
  <c r="BQ150" i="23916"/>
  <c r="BR47" i="23916"/>
  <c r="BY150" i="23916"/>
  <c r="BZ47" i="23916"/>
  <c r="FT47" i="23916"/>
  <c r="CG150" i="23916"/>
  <c r="FV47" i="23916"/>
  <c r="CH47" i="23916"/>
  <c r="CO150" i="23916"/>
  <c r="CP47" i="23916"/>
  <c r="FX47" i="23916"/>
  <c r="CW150" i="23916"/>
  <c r="FZ47" i="23916"/>
  <c r="DF47" i="23916"/>
  <c r="CX47" i="23916"/>
  <c r="AO151" i="23916"/>
  <c r="AO53" i="23916"/>
  <c r="AX48" i="23916"/>
  <c r="AP48" i="23916"/>
  <c r="FJ48" i="23916"/>
  <c r="AX47" i="23916"/>
  <c r="BD151" i="23916"/>
  <c r="BC156" i="23916"/>
  <c r="BH151" i="23916"/>
  <c r="BG156" i="23916"/>
  <c r="BL151" i="23916"/>
  <c r="BK156" i="23916"/>
  <c r="BL156" i="23916" s="1"/>
  <c r="BP151" i="23916"/>
  <c r="BO156" i="23916"/>
  <c r="BP156" i="23916" s="1"/>
  <c r="BT151" i="23916"/>
  <c r="BS156" i="23916"/>
  <c r="BT156" i="23916" s="1"/>
  <c r="BX151" i="23916"/>
  <c r="BW156" i="23916"/>
  <c r="BX156" i="23916" s="1"/>
  <c r="CB151" i="23916"/>
  <c r="CA156" i="23916"/>
  <c r="CB156" i="23916" s="1"/>
  <c r="AK49" i="23916"/>
  <c r="AL49" i="23916" s="1"/>
  <c r="BA49" i="23916"/>
  <c r="BB49" i="23916" s="1"/>
  <c r="BQ49" i="23916"/>
  <c r="CG49" i="23916"/>
  <c r="CW49" i="23916"/>
  <c r="DN49" i="23916"/>
  <c r="ED49" i="23916"/>
  <c r="AD51" i="23916"/>
  <c r="BB51" i="23916"/>
  <c r="FD412" i="23916"/>
  <c r="FE412" i="23916" s="1"/>
  <c r="FE162" i="23916"/>
  <c r="FL412" i="23916"/>
  <c r="FV412" i="23916"/>
  <c r="FW162" i="23916"/>
  <c r="GD412" i="23916"/>
  <c r="GE162" i="23916"/>
  <c r="AV168" i="23916"/>
  <c r="AZ168" i="23916"/>
  <c r="BD168" i="23916"/>
  <c r="BH168" i="23916"/>
  <c r="BL168" i="23916"/>
  <c r="FP70" i="23916"/>
  <c r="FQ70" i="23916" s="1"/>
  <c r="FQ78" i="23916"/>
  <c r="FY78" i="23916"/>
  <c r="GG78" i="23916"/>
  <c r="GM77" i="23916"/>
  <c r="GN77" i="23916"/>
  <c r="FM82" i="23916"/>
  <c r="FK82" i="23916"/>
  <c r="FL90" i="23916"/>
  <c r="AV85" i="23916"/>
  <c r="BD85" i="23916"/>
  <c r="BL85" i="23916"/>
  <c r="BT85" i="23916"/>
  <c r="CB85" i="23916"/>
  <c r="CJ85" i="23916"/>
  <c r="CR85" i="23916"/>
  <c r="CW93" i="23916"/>
  <c r="CX85" i="23916"/>
  <c r="DE93" i="23916"/>
  <c r="DF85" i="23916"/>
  <c r="DM93" i="23916"/>
  <c r="DN85" i="23916"/>
  <c r="DU93" i="23916"/>
  <c r="DV85" i="23916"/>
  <c r="EC93" i="23916"/>
  <c r="ED85" i="23916"/>
  <c r="FD93" i="23916"/>
  <c r="FE85" i="23916"/>
  <c r="FQ89" i="23916"/>
  <c r="GG89" i="23916"/>
  <c r="AJ108" i="23916"/>
  <c r="AR108" i="23916"/>
  <c r="FK109" i="23916"/>
  <c r="FM109" i="23916"/>
  <c r="EO108" i="23916"/>
  <c r="EN108" i="23916"/>
  <c r="EP109" i="23916"/>
  <c r="EQ109" i="23916"/>
  <c r="ER109" i="23916" s="1"/>
  <c r="FU110" i="23916"/>
  <c r="GC110" i="23916"/>
  <c r="BE125" i="23916"/>
  <c r="BF110" i="23916"/>
  <c r="BM125" i="23916"/>
  <c r="BV110" i="23916"/>
  <c r="BN110" i="23916"/>
  <c r="AG126" i="23916"/>
  <c r="AH126" i="23916" s="1"/>
  <c r="AG129" i="23916"/>
  <c r="AH125" i="23916"/>
  <c r="AQ129" i="23916"/>
  <c r="AQ126" i="23916"/>
  <c r="BQ126" i="23916"/>
  <c r="BQ129" i="23916"/>
  <c r="FY121" i="23916"/>
  <c r="GC121" i="23916"/>
  <c r="GG121" i="23916"/>
  <c r="AN117" i="23916"/>
  <c r="AV117" i="23916"/>
  <c r="BD117" i="23916"/>
  <c r="BL117" i="23916"/>
  <c r="BT117" i="23916"/>
  <c r="CB117" i="23916"/>
  <c r="FV117" i="23916"/>
  <c r="FZ117" i="23916"/>
  <c r="GD117" i="23916"/>
  <c r="FY119" i="23916"/>
  <c r="AE155" i="23916"/>
  <c r="AF155" i="23916" s="1"/>
  <c r="CP155" i="23916"/>
  <c r="CX155" i="23916"/>
  <c r="DF155" i="23916"/>
  <c r="DN155" i="23916"/>
  <c r="DV155" i="23916"/>
  <c r="ED155" i="23916"/>
  <c r="CT14" i="23916"/>
  <c r="CX14" i="23916"/>
  <c r="EB14" i="23916"/>
  <c r="EF14" i="23916"/>
  <c r="CD22" i="23916"/>
  <c r="CL22" i="23916"/>
  <c r="CT22" i="23916"/>
  <c r="DB22" i="23916"/>
  <c r="DJ22" i="23916"/>
  <c r="DR22" i="23916"/>
  <c r="DZ22" i="23916"/>
  <c r="EA596" i="23916"/>
  <c r="EA23" i="23916"/>
  <c r="EI596" i="23916"/>
  <c r="EI23" i="23916"/>
  <c r="EQ22" i="23916"/>
  <c r="GF22" i="23916"/>
  <c r="CG26" i="23916"/>
  <c r="CO26" i="23916"/>
  <c r="CW26" i="23916"/>
  <c r="DE26" i="23916"/>
  <c r="DM26" i="23916"/>
  <c r="DU26" i="23916"/>
  <c r="EC26" i="23916"/>
  <c r="AD26" i="23916"/>
  <c r="AZ29" i="23916"/>
  <c r="BH29" i="23916"/>
  <c r="BP29" i="23916"/>
  <c r="BX29" i="23916"/>
  <c r="CF29" i="23916"/>
  <c r="CN29" i="23916"/>
  <c r="CV29" i="23916"/>
  <c r="DD29" i="23916"/>
  <c r="DL29" i="23916"/>
  <c r="DT29" i="23916"/>
  <c r="EB29" i="23916"/>
  <c r="EJ29" i="23916"/>
  <c r="EK25" i="23916"/>
  <c r="AQ30" i="23916"/>
  <c r="AY30" i="23916"/>
  <c r="BG30" i="23916"/>
  <c r="BH30" i="23916" s="1"/>
  <c r="BO30" i="23916"/>
  <c r="BP30" i="23916" s="1"/>
  <c r="BW30" i="23916"/>
  <c r="CE30" i="23916"/>
  <c r="CM30" i="23916"/>
  <c r="CN30" i="23916" s="1"/>
  <c r="CU30" i="23916"/>
  <c r="DC30" i="23916"/>
  <c r="DK30" i="23916"/>
  <c r="DS30" i="23916"/>
  <c r="EA30" i="23916"/>
  <c r="EI30" i="23916"/>
  <c r="FN29" i="23916"/>
  <c r="DR35" i="23916"/>
  <c r="DZ35" i="23916"/>
  <c r="EH35" i="23916"/>
  <c r="AE384" i="23916"/>
  <c r="AE145" i="23916"/>
  <c r="AN142" i="23916"/>
  <c r="AF142" i="23916"/>
  <c r="AI386" i="23916"/>
  <c r="AJ386" i="23916" s="1"/>
  <c r="AR144" i="23916"/>
  <c r="AJ144" i="23916"/>
  <c r="FL142" i="23916"/>
  <c r="FL155" i="23916" s="1"/>
  <c r="FL42" i="23916"/>
  <c r="FM39" i="23916"/>
  <c r="FT142" i="23916"/>
  <c r="FT156" i="23916" s="1"/>
  <c r="FT42" i="23916"/>
  <c r="FU39" i="23916"/>
  <c r="GB142" i="23916"/>
  <c r="GB42" i="23916"/>
  <c r="GC39" i="23916"/>
  <c r="GA40" i="23916"/>
  <c r="FZ143" i="23916"/>
  <c r="GI40" i="23916"/>
  <c r="GH143" i="23916"/>
  <c r="AC385" i="23916"/>
  <c r="AD385" i="23916" s="1"/>
  <c r="AD143" i="23916"/>
  <c r="FO143" i="23916"/>
  <c r="BI385" i="23916"/>
  <c r="BM144" i="23916"/>
  <c r="FP41" i="23916"/>
  <c r="BM42" i="23916"/>
  <c r="BV41" i="23916"/>
  <c r="BN41" i="23916"/>
  <c r="FO40" i="23916"/>
  <c r="FT386" i="23916"/>
  <c r="FU386" i="23916" s="1"/>
  <c r="FU144" i="23916"/>
  <c r="FX386" i="23916"/>
  <c r="FY144" i="23916"/>
  <c r="GB386" i="23916"/>
  <c r="GC144" i="23916"/>
  <c r="GF386" i="23916"/>
  <c r="GG144" i="23916"/>
  <c r="AE55" i="23916"/>
  <c r="AF42" i="23916"/>
  <c r="AE53" i="23916"/>
  <c r="AF53" i="23916" s="1"/>
  <c r="BK53" i="23916"/>
  <c r="BV42" i="23916"/>
  <c r="AO390" i="23916"/>
  <c r="AO154" i="23916"/>
  <c r="AP148" i="23916"/>
  <c r="FL391" i="23916"/>
  <c r="FP391" i="23916"/>
  <c r="FQ149" i="23916"/>
  <c r="FT391" i="23916"/>
  <c r="FU149" i="23916"/>
  <c r="FT155" i="23916"/>
  <c r="FX391" i="23916"/>
  <c r="FY149" i="23916"/>
  <c r="GB391" i="23916"/>
  <c r="GC149" i="23916"/>
  <c r="GB155" i="23916"/>
  <c r="GF391" i="23916"/>
  <c r="GG149" i="23916"/>
  <c r="GE151" i="23916"/>
  <c r="GI151" i="23916"/>
  <c r="AU150" i="23916"/>
  <c r="AU49" i="23916"/>
  <c r="FL47" i="23916"/>
  <c r="AV47" i="23916"/>
  <c r="CI151" i="23916"/>
  <c r="CJ48" i="23916"/>
  <c r="CI53" i="23916"/>
  <c r="CJ53" i="23916" s="1"/>
  <c r="CZ48" i="23916"/>
  <c r="CQ151" i="23916"/>
  <c r="CR48" i="23916"/>
  <c r="CQ53" i="23916"/>
  <c r="CR53" i="23916" s="1"/>
  <c r="FF412" i="23916"/>
  <c r="FG412" i="23916" s="1"/>
  <c r="FG162" i="23916"/>
  <c r="AI168" i="23916"/>
  <c r="AJ168" i="23916" s="1"/>
  <c r="AR64" i="23916"/>
  <c r="AJ64" i="23916"/>
  <c r="GE70" i="23916"/>
  <c r="AC93" i="23916"/>
  <c r="AC90" i="23916"/>
  <c r="AD90" i="23916" s="1"/>
  <c r="AD78" i="23916"/>
  <c r="AK93" i="23916"/>
  <c r="AK90" i="23916"/>
  <c r="AL90" i="23916" s="1"/>
  <c r="AT78" i="23916"/>
  <c r="AL78" i="23916"/>
  <c r="EL78" i="23916"/>
  <c r="EO78" i="23916"/>
  <c r="FR93" i="23916"/>
  <c r="FS78" i="23916"/>
  <c r="GA78" i="23916"/>
  <c r="GI78" i="23916"/>
  <c r="AM94" i="23916"/>
  <c r="AM97" i="23916"/>
  <c r="AQ94" i="23916"/>
  <c r="AQ97" i="23916"/>
  <c r="FN90" i="23916"/>
  <c r="FO90" i="23916" s="1"/>
  <c r="FR90" i="23916"/>
  <c r="FV90" i="23916"/>
  <c r="FZ90" i="23916"/>
  <c r="GD90" i="23916"/>
  <c r="GH90" i="23916"/>
  <c r="AG93" i="23916"/>
  <c r="AH85" i="23916"/>
  <c r="AO93" i="23916"/>
  <c r="AP85" i="23916"/>
  <c r="AW93" i="23916"/>
  <c r="AX85" i="23916"/>
  <c r="BE93" i="23916"/>
  <c r="BF85" i="23916"/>
  <c r="BM93" i="23916"/>
  <c r="BN85" i="23916"/>
  <c r="BU93" i="23916"/>
  <c r="BV85" i="23916"/>
  <c r="CC93" i="23916"/>
  <c r="CD85" i="23916"/>
  <c r="CK93" i="23916"/>
  <c r="CL85" i="23916"/>
  <c r="CS93" i="23916"/>
  <c r="CT85" i="23916"/>
  <c r="DH85" i="23916"/>
  <c r="DP85" i="23916"/>
  <c r="DX85" i="23916"/>
  <c r="EF85" i="23916"/>
  <c r="EN89" i="23916"/>
  <c r="EO89" i="23916"/>
  <c r="EM82" i="23916"/>
  <c r="EN82" i="23916" s="1"/>
  <c r="FU89" i="23916"/>
  <c r="AR109" i="23916"/>
  <c r="AJ109" i="23916"/>
  <c r="FS110" i="23916"/>
  <c r="FQ110" i="23916"/>
  <c r="FW110" i="23916"/>
  <c r="FV125" i="23916"/>
  <c r="GE110" i="23916"/>
  <c r="GD125" i="23916"/>
  <c r="AX110" i="23916"/>
  <c r="AP110" i="23916"/>
  <c r="AS126" i="23916"/>
  <c r="AS129" i="23916"/>
  <c r="AY129" i="23916"/>
  <c r="AZ125" i="23916"/>
  <c r="AY126" i="23916"/>
  <c r="AZ126" i="23916" s="1"/>
  <c r="BS129" i="23916"/>
  <c r="BS126" i="23916"/>
  <c r="BY126" i="23916"/>
  <c r="BZ126" i="23916" s="1"/>
  <c r="BY129" i="23916"/>
  <c r="BZ125" i="23916"/>
  <c r="CC126" i="23916"/>
  <c r="CC129" i="23916"/>
  <c r="CD125" i="23916"/>
  <c r="CG126" i="23916"/>
  <c r="CH126" i="23916" s="1"/>
  <c r="CG129" i="23916"/>
  <c r="CH125" i="23916"/>
  <c r="CK126" i="23916"/>
  <c r="CK129" i="23916"/>
  <c r="CL125" i="23916"/>
  <c r="CO126" i="23916"/>
  <c r="CO129" i="23916"/>
  <c r="CP125" i="23916"/>
  <c r="CS126" i="23916"/>
  <c r="CT126" i="23916" s="1"/>
  <c r="CS129" i="23916"/>
  <c r="CT125" i="23916"/>
  <c r="CW126" i="23916"/>
  <c r="CX126" i="23916" s="1"/>
  <c r="CW129" i="23916"/>
  <c r="CX125" i="23916"/>
  <c r="DA126" i="23916"/>
  <c r="DA129" i="23916"/>
  <c r="DB125" i="23916"/>
  <c r="DE126" i="23916"/>
  <c r="DE129" i="23916"/>
  <c r="DF125" i="23916"/>
  <c r="DI126" i="23916"/>
  <c r="DJ126" i="23916" s="1"/>
  <c r="DI129" i="23916"/>
  <c r="DJ125" i="23916"/>
  <c r="DM126" i="23916"/>
  <c r="DN126" i="23916" s="1"/>
  <c r="DM129" i="23916"/>
  <c r="DN125" i="23916"/>
  <c r="DQ126" i="23916"/>
  <c r="DQ129" i="23916"/>
  <c r="DR125" i="23916"/>
  <c r="DU126" i="23916"/>
  <c r="DU129" i="23916"/>
  <c r="DV125" i="23916"/>
  <c r="DY126" i="23916"/>
  <c r="DZ126" i="23916" s="1"/>
  <c r="DY129" i="23916"/>
  <c r="DZ125" i="23916"/>
  <c r="EC126" i="23916"/>
  <c r="ED126" i="23916" s="1"/>
  <c r="EC129" i="23916"/>
  <c r="ED125" i="23916"/>
  <c r="EG126" i="23916"/>
  <c r="EG129" i="23916"/>
  <c r="EH125" i="23916"/>
  <c r="FS121" i="23916"/>
  <c r="AW394" i="23916"/>
  <c r="AW156" i="23916"/>
  <c r="AX151" i="23916"/>
  <c r="EB151" i="23916"/>
  <c r="EA156" i="23916"/>
  <c r="EB117" i="23916"/>
  <c r="FQ119" i="23916"/>
  <c r="GC119" i="23916"/>
  <c r="X159" i="23916"/>
  <c r="W160" i="23916"/>
  <c r="X160" i="23916" s="1"/>
  <c r="W163" i="23916"/>
  <c r="AB159" i="23916"/>
  <c r="AA163" i="23916"/>
  <c r="AA160" i="23916"/>
  <c r="AB160" i="23916" s="1"/>
  <c r="BB155" i="23916"/>
  <c r="BJ155" i="23916"/>
  <c r="BR155" i="23916"/>
  <c r="CB155" i="23916"/>
  <c r="CJ155" i="23916"/>
  <c r="CR155" i="23916"/>
  <c r="CZ155" i="23916"/>
  <c r="DH155" i="23916"/>
  <c r="DP155" i="23916"/>
  <c r="DX155" i="23916"/>
  <c r="EF155" i="23916"/>
  <c r="DD14" i="23916"/>
  <c r="DH14" i="23916"/>
  <c r="DL14" i="23916"/>
  <c r="DP14" i="23916"/>
  <c r="EH14" i="23916"/>
  <c r="GG14" i="23916"/>
  <c r="FT22" i="23916"/>
  <c r="CN22" i="23916"/>
  <c r="FV22" i="23916"/>
  <c r="FW22" i="23916" s="1"/>
  <c r="FX22" i="23916"/>
  <c r="FY22" i="23916" s="1"/>
  <c r="CV22" i="23916"/>
  <c r="DD22" i="23916"/>
  <c r="DL22" i="23916"/>
  <c r="DT22" i="23916"/>
  <c r="EB22" i="23916"/>
  <c r="EC596" i="23916"/>
  <c r="EC23" i="23916"/>
  <c r="ED22" i="23916"/>
  <c r="EK22" i="23916"/>
  <c r="FZ22" i="23916"/>
  <c r="GH22" i="23916"/>
  <c r="FL27" i="23916"/>
  <c r="FN27" i="23916"/>
  <c r="FP27" i="23916"/>
  <c r="FR27" i="23916"/>
  <c r="FT27" i="23916"/>
  <c r="FV27" i="23916"/>
  <c r="FX27" i="23916"/>
  <c r="FZ27" i="23916"/>
  <c r="GB27" i="23916"/>
  <c r="GD27" i="23916"/>
  <c r="GF27" i="23916"/>
  <c r="GH27" i="23916"/>
  <c r="CI26" i="23916"/>
  <c r="CQ26" i="23916"/>
  <c r="CY26" i="23916"/>
  <c r="DG26" i="23916"/>
  <c r="DO26" i="23916"/>
  <c r="DW26" i="23916"/>
  <c r="EE26" i="23916"/>
  <c r="AL29" i="23916"/>
  <c r="AT29" i="23916"/>
  <c r="BB29" i="23916"/>
  <c r="BJ29" i="23916"/>
  <c r="BR29" i="23916"/>
  <c r="BZ29" i="23916"/>
  <c r="CH29" i="23916"/>
  <c r="CP29" i="23916"/>
  <c r="CX29" i="23916"/>
  <c r="DF29" i="23916"/>
  <c r="DN29" i="23916"/>
  <c r="DV29" i="23916"/>
  <c r="ED29" i="23916"/>
  <c r="AC30" i="23916"/>
  <c r="AD30" i="23916" s="1"/>
  <c r="AK30" i="23916"/>
  <c r="AL30" i="23916" s="1"/>
  <c r="AS30" i="23916"/>
  <c r="AT30" i="23916" s="1"/>
  <c r="BA30" i="23916"/>
  <c r="BI30" i="23916"/>
  <c r="BJ30" i="23916" s="1"/>
  <c r="BQ30" i="23916"/>
  <c r="BR30" i="23916" s="1"/>
  <c r="BY30" i="23916"/>
  <c r="BZ30" i="23916" s="1"/>
  <c r="CG30" i="23916"/>
  <c r="CO30" i="23916"/>
  <c r="CP30" i="23916" s="1"/>
  <c r="CW30" i="23916"/>
  <c r="CX30" i="23916" s="1"/>
  <c r="DE30" i="23916"/>
  <c r="DF30" i="23916" s="1"/>
  <c r="DM30" i="23916"/>
  <c r="DU30" i="23916"/>
  <c r="DV30" i="23916" s="1"/>
  <c r="EC30" i="23916"/>
  <c r="ED30" i="23916" s="1"/>
  <c r="FP29" i="23916"/>
  <c r="EK27" i="23916"/>
  <c r="EL32" i="23916"/>
  <c r="AN32" i="23916"/>
  <c r="AR32" i="23916"/>
  <c r="AV32" i="23916"/>
  <c r="AZ32" i="23916"/>
  <c r="BD32" i="23916"/>
  <c r="BH32" i="23916"/>
  <c r="BL32" i="23916"/>
  <c r="BP32" i="23916"/>
  <c r="BT32" i="23916"/>
  <c r="BX32" i="23916"/>
  <c r="CB32" i="23916"/>
  <c r="CF32" i="23916"/>
  <c r="CJ32" i="23916"/>
  <c r="CN32" i="23916"/>
  <c r="CR32" i="23916"/>
  <c r="CV32" i="23916"/>
  <c r="CZ32" i="23916"/>
  <c r="DD32" i="23916"/>
  <c r="DH32" i="23916"/>
  <c r="DL32" i="23916"/>
  <c r="DP32" i="23916"/>
  <c r="DT32" i="23916"/>
  <c r="DX32" i="23916"/>
  <c r="EB32" i="23916"/>
  <c r="EF32" i="23916"/>
  <c r="EI35" i="23916"/>
  <c r="EJ35" i="23916" s="1"/>
  <c r="EK35" i="23916"/>
  <c r="EJ33" i="23916"/>
  <c r="EK34" i="23916"/>
  <c r="EL34" i="23916" s="1"/>
  <c r="FO39" i="23916"/>
  <c r="FW39" i="23916"/>
  <c r="GE39" i="23916"/>
  <c r="GC40" i="23916"/>
  <c r="BD40" i="23916"/>
  <c r="BC143" i="23916"/>
  <c r="FR385" i="23916"/>
  <c r="FV385" i="23916"/>
  <c r="FW385" i="23916" s="1"/>
  <c r="FW143" i="23916"/>
  <c r="BG386" i="23916"/>
  <c r="BH386" i="23916" s="1"/>
  <c r="BP144" i="23916"/>
  <c r="BH144" i="23916"/>
  <c r="AQ53" i="23916"/>
  <c r="AZ42" i="23916"/>
  <c r="AY53" i="23916"/>
  <c r="AZ53" i="23916" s="1"/>
  <c r="BP42" i="23916"/>
  <c r="BO53" i="23916"/>
  <c r="BX42" i="23916"/>
  <c r="BW53" i="23916"/>
  <c r="CF42" i="23916"/>
  <c r="CE53" i="23916"/>
  <c r="CF53" i="23916" s="1"/>
  <c r="CN42" i="23916"/>
  <c r="CV42" i="23916"/>
  <c r="DD42" i="23916"/>
  <c r="DC53" i="23916"/>
  <c r="DL42" i="23916"/>
  <c r="DK53" i="23916"/>
  <c r="DT42" i="23916"/>
  <c r="DS53" i="23916"/>
  <c r="EB42" i="23916"/>
  <c r="EA53" i="23916"/>
  <c r="EB53" i="23916" s="1"/>
  <c r="EJ42" i="23916"/>
  <c r="EI53" i="23916"/>
  <c r="FG42" i="23916"/>
  <c r="FF53" i="23916"/>
  <c r="FR55" i="23916"/>
  <c r="FR53" i="23916"/>
  <c r="GH42" i="23916"/>
  <c r="AQ148" i="23916"/>
  <c r="FJ45" i="23916"/>
  <c r="AQ49" i="23916"/>
  <c r="AR45" i="23916"/>
  <c r="AZ45" i="23916"/>
  <c r="AQ51" i="23916"/>
  <c r="FS151" i="23916"/>
  <c r="BY391" i="23916"/>
  <c r="BZ149" i="23916"/>
  <c r="BY155" i="23916"/>
  <c r="BZ155" i="23916" s="1"/>
  <c r="AO150" i="23916"/>
  <c r="AO152" i="23916" s="1"/>
  <c r="AP152" i="23916" s="1"/>
  <c r="AP47" i="23916"/>
  <c r="BE150" i="23916"/>
  <c r="BF47" i="23916"/>
  <c r="BM150" i="23916"/>
  <c r="BN47" i="23916"/>
  <c r="BU150" i="23916"/>
  <c r="BV47" i="23916"/>
  <c r="CC150" i="23916"/>
  <c r="CD47" i="23916"/>
  <c r="CK150" i="23916"/>
  <c r="CL47" i="23916"/>
  <c r="CS150" i="23916"/>
  <c r="DB47" i="23916"/>
  <c r="CT47" i="23916"/>
  <c r="BA394" i="23916"/>
  <c r="BA156" i="23916"/>
  <c r="BE394" i="23916"/>
  <c r="BF394" i="23916" s="1"/>
  <c r="BE156" i="23916"/>
  <c r="BF156" i="23916" s="1"/>
  <c r="BF151" i="23916"/>
  <c r="BI156" i="23916"/>
  <c r="BJ151" i="23916"/>
  <c r="BM156" i="23916"/>
  <c r="BN156" i="23916" s="1"/>
  <c r="BN151" i="23916"/>
  <c r="BQ156" i="23916"/>
  <c r="BR156" i="23916" s="1"/>
  <c r="BR151" i="23916"/>
  <c r="BU156" i="23916"/>
  <c r="BV156" i="23916" s="1"/>
  <c r="BV151" i="23916"/>
  <c r="BY156" i="23916"/>
  <c r="BZ156" i="23916" s="1"/>
  <c r="BZ151" i="23916"/>
  <c r="CC156" i="23916"/>
  <c r="CD156" i="23916" s="1"/>
  <c r="CD151" i="23916"/>
  <c r="AT49" i="23916"/>
  <c r="BI49" i="23916"/>
  <c r="BJ49" i="23916" s="1"/>
  <c r="BY49" i="23916"/>
  <c r="BZ49" i="23916" s="1"/>
  <c r="CO49" i="23916"/>
  <c r="CP49" i="23916" s="1"/>
  <c r="DF49" i="23916"/>
  <c r="AT51" i="23916"/>
  <c r="BF51" i="23916"/>
  <c r="AN168" i="23916"/>
  <c r="AR168" i="23916"/>
  <c r="FU78" i="23916"/>
  <c r="GC78" i="23916"/>
  <c r="AL85" i="23916"/>
  <c r="AZ85" i="23916"/>
  <c r="BH85" i="23916"/>
  <c r="BP85" i="23916"/>
  <c r="BX85" i="23916"/>
  <c r="CF85" i="23916"/>
  <c r="CN85" i="23916"/>
  <c r="CV85" i="23916"/>
  <c r="DA93" i="23916"/>
  <c r="DB85" i="23916"/>
  <c r="DI93" i="23916"/>
  <c r="DJ85" i="23916"/>
  <c r="DQ93" i="23916"/>
  <c r="DR85" i="23916"/>
  <c r="DY93" i="23916"/>
  <c r="DZ85" i="23916"/>
  <c r="EG93" i="23916"/>
  <c r="EH85" i="23916"/>
  <c r="FH93" i="23916"/>
  <c r="FI85" i="23916"/>
  <c r="FY89" i="23916"/>
  <c r="GA96" i="23916"/>
  <c r="GC96" i="23916"/>
  <c r="EL110" i="23916"/>
  <c r="FY110" i="23916"/>
  <c r="GG110" i="23916"/>
  <c r="BA125" i="23916"/>
  <c r="BB110" i="23916"/>
  <c r="BI125" i="23916"/>
  <c r="BR125" i="23916" s="1"/>
  <c r="BR110" i="23916"/>
  <c r="BJ110" i="23916"/>
  <c r="AE129" i="23916"/>
  <c r="AF125" i="23916"/>
  <c r="AE126" i="23916"/>
  <c r="AF126" i="23916" s="1"/>
  <c r="AM129" i="23916"/>
  <c r="AN125" i="23916"/>
  <c r="AM126" i="23916"/>
  <c r="AU129" i="23916"/>
  <c r="AV125" i="23916"/>
  <c r="AU126" i="23916"/>
  <c r="BU126" i="23916"/>
  <c r="BU129" i="23916"/>
  <c r="BV125" i="23916"/>
  <c r="AX119" i="23916"/>
  <c r="AP119" i="23916"/>
  <c r="EP115" i="23916"/>
  <c r="EQ115" i="23916"/>
  <c r="ER115" i="23916" s="1"/>
  <c r="AZ117" i="23916"/>
  <c r="BH117" i="23916"/>
  <c r="BP117" i="23916"/>
  <c r="BX117" i="23916"/>
  <c r="CF117" i="23916"/>
  <c r="CN117" i="23916"/>
  <c r="CV117" i="23916"/>
  <c r="DD117" i="23916"/>
  <c r="DL117" i="23916"/>
  <c r="DT117" i="23916"/>
  <c r="AN122" i="23916"/>
  <c r="AF122" i="23916"/>
  <c r="AQ156" i="23916"/>
  <c r="FF156" i="23916"/>
  <c r="GG119" i="23916"/>
  <c r="AN155" i="23916"/>
  <c r="AV155" i="23916"/>
  <c r="BD155" i="23916"/>
  <c r="BL155" i="23916"/>
  <c r="BT155" i="23916"/>
  <c r="CR14" i="23916"/>
  <c r="CV14" i="23916"/>
  <c r="CZ14" i="23916"/>
  <c r="DR14" i="23916"/>
  <c r="DV14" i="23916"/>
  <c r="DZ14" i="23916"/>
  <c r="ED14" i="23916"/>
  <c r="CH22" i="23916"/>
  <c r="CP22" i="23916"/>
  <c r="CX22" i="23916"/>
  <c r="DF22" i="23916"/>
  <c r="DN22" i="23916"/>
  <c r="DV22" i="23916"/>
  <c r="EE596" i="23916"/>
  <c r="EE23" i="23916"/>
  <c r="EM22" i="23916"/>
  <c r="GB22" i="23916"/>
  <c r="CC26" i="23916"/>
  <c r="CK26" i="23916"/>
  <c r="CS26" i="23916"/>
  <c r="DA26" i="23916"/>
  <c r="DI26" i="23916"/>
  <c r="DQ26" i="23916"/>
  <c r="DY26" i="23916"/>
  <c r="EG26" i="23916"/>
  <c r="GH26" i="23916" s="1"/>
  <c r="AN29" i="23916"/>
  <c r="AV29" i="23916"/>
  <c r="BD29" i="23916"/>
  <c r="BL29" i="23916"/>
  <c r="BT29" i="23916"/>
  <c r="CB29" i="23916"/>
  <c r="CJ29" i="23916"/>
  <c r="CR29" i="23916"/>
  <c r="CZ29" i="23916"/>
  <c r="DH29" i="23916"/>
  <c r="DP29" i="23916"/>
  <c r="DX29" i="23916"/>
  <c r="EF29" i="23916"/>
  <c r="AE30" i="23916"/>
  <c r="AF30" i="23916" s="1"/>
  <c r="AM30" i="23916"/>
  <c r="AU30" i="23916"/>
  <c r="AV30" i="23916" s="1"/>
  <c r="BC30" i="23916"/>
  <c r="BD30" i="23916" s="1"/>
  <c r="BK30" i="23916"/>
  <c r="BS30" i="23916"/>
  <c r="CA30" i="23916"/>
  <c r="CB30" i="23916" s="1"/>
  <c r="CI30" i="23916"/>
  <c r="CJ30" i="23916" s="1"/>
  <c r="CQ30" i="23916"/>
  <c r="CY30" i="23916"/>
  <c r="DG30" i="23916"/>
  <c r="DH30" i="23916" s="1"/>
  <c r="DO30" i="23916"/>
  <c r="DP30" i="23916" s="1"/>
  <c r="DW30" i="23916"/>
  <c r="EE30" i="23916"/>
  <c r="FJ29" i="23916"/>
  <c r="FR29" i="23916"/>
  <c r="EN32" i="23916"/>
  <c r="AC384" i="23916"/>
  <c r="AD142" i="23916"/>
  <c r="AC145" i="23916"/>
  <c r="AK384" i="23916"/>
  <c r="AK145" i="23916"/>
  <c r="AT142" i="23916"/>
  <c r="AL142" i="23916"/>
  <c r="AT40" i="23916"/>
  <c r="FJ40" i="23916"/>
  <c r="AK143" i="23916"/>
  <c r="AK42" i="23916"/>
  <c r="AL40" i="23916"/>
  <c r="AK386" i="23916"/>
  <c r="AL386" i="23916" s="1"/>
  <c r="AT144" i="23916"/>
  <c r="AL144" i="23916"/>
  <c r="EK386" i="23916"/>
  <c r="EL386" i="23916" s="1"/>
  <c r="EL144" i="23916"/>
  <c r="FP142" i="23916"/>
  <c r="FQ39" i="23916"/>
  <c r="GF142" i="23916"/>
  <c r="GF155" i="23916" s="1"/>
  <c r="GF42" i="23916"/>
  <c r="GG39" i="23916"/>
  <c r="GE40" i="23916"/>
  <c r="GD143" i="23916"/>
  <c r="AC386" i="23916"/>
  <c r="AD386" i="23916" s="1"/>
  <c r="AD144" i="23916"/>
  <c r="AO386" i="23916"/>
  <c r="AP386" i="23916" s="1"/>
  <c r="AX144" i="23916"/>
  <c r="AP144" i="23916"/>
  <c r="BA144" i="23916"/>
  <c r="FN41" i="23916"/>
  <c r="BJ41" i="23916"/>
  <c r="BB41" i="23916"/>
  <c r="FV386" i="23916"/>
  <c r="FW386" i="23916" s="1"/>
  <c r="FW144" i="23916"/>
  <c r="FZ386" i="23916"/>
  <c r="GA386" i="23916" s="1"/>
  <c r="GA144" i="23916"/>
  <c r="GD386" i="23916"/>
  <c r="GE386" i="23916" s="1"/>
  <c r="GE144" i="23916"/>
  <c r="GH386" i="23916"/>
  <c r="GI386" i="23916" s="1"/>
  <c r="GI144" i="23916"/>
  <c r="AT42" i="23916"/>
  <c r="BC42" i="23916"/>
  <c r="BL42" i="23916" s="1"/>
  <c r="FW42" i="23916"/>
  <c r="FN391" i="23916"/>
  <c r="FO391" i="23916" s="1"/>
  <c r="FO149" i="23916"/>
  <c r="FR391" i="23916"/>
  <c r="FS391" i="23916" s="1"/>
  <c r="FS149" i="23916"/>
  <c r="FV391" i="23916"/>
  <c r="FW391" i="23916" s="1"/>
  <c r="FW149" i="23916"/>
  <c r="FZ391" i="23916"/>
  <c r="GA391" i="23916" s="1"/>
  <c r="GA149" i="23916"/>
  <c r="GD391" i="23916"/>
  <c r="GE391" i="23916" s="1"/>
  <c r="GE149" i="23916"/>
  <c r="GH391" i="23916"/>
  <c r="GI391" i="23916" s="1"/>
  <c r="GI149" i="23916"/>
  <c r="GB156" i="23916"/>
  <c r="GG151" i="23916"/>
  <c r="AG150" i="23916"/>
  <c r="AI47" i="23916"/>
  <c r="AH47" i="23916"/>
  <c r="DC150" i="23916"/>
  <c r="DC49" i="23916"/>
  <c r="DC55" i="23916" s="1"/>
  <c r="DD47" i="23916"/>
  <c r="DK150" i="23916"/>
  <c r="DK49" i="23916"/>
  <c r="DL47" i="23916"/>
  <c r="DS150" i="23916"/>
  <c r="DS49" i="23916"/>
  <c r="DT49" i="23916" s="1"/>
  <c r="DT47" i="23916"/>
  <c r="EA150" i="23916"/>
  <c r="EA49" i="23916"/>
  <c r="EB49" i="23916" s="1"/>
  <c r="EB47" i="23916"/>
  <c r="EI150" i="23916"/>
  <c r="EI49" i="23916"/>
  <c r="EI55" i="23916" s="1"/>
  <c r="EK47" i="23916"/>
  <c r="AI48" i="23916"/>
  <c r="AC53" i="23916"/>
  <c r="AD53" i="23916" s="1"/>
  <c r="AL48" i="23916"/>
  <c r="AD48" i="23916"/>
  <c r="AC151" i="23916"/>
  <c r="CM151" i="23916"/>
  <c r="CN48" i="23916"/>
  <c r="CM53" i="23916"/>
  <c r="CN53" i="23916" s="1"/>
  <c r="CU151" i="23916"/>
  <c r="DD48" i="23916"/>
  <c r="CV48" i="23916"/>
  <c r="CU53" i="23916"/>
  <c r="CV53" i="23916" s="1"/>
  <c r="AG49" i="23916"/>
  <c r="AH49" i="23916" s="1"/>
  <c r="AX49" i="23916"/>
  <c r="BM49" i="23916"/>
  <c r="BN49" i="23916" s="1"/>
  <c r="CC49" i="23916"/>
  <c r="CD49" i="23916" s="1"/>
  <c r="CS49" i="23916"/>
  <c r="CT49" i="23916" s="1"/>
  <c r="DJ49" i="23916"/>
  <c r="DZ49" i="23916"/>
  <c r="FT412" i="23916"/>
  <c r="GB412" i="23916"/>
  <c r="GJ412" i="23916"/>
  <c r="AR76" i="23916"/>
  <c r="AJ76" i="23916"/>
  <c r="EP76" i="23916"/>
  <c r="EQ76" i="23916"/>
  <c r="ER76" i="23916" s="1"/>
  <c r="FO78" i="23916"/>
  <c r="FW78" i="23916"/>
  <c r="GE78" i="23916"/>
  <c r="AV93" i="23916"/>
  <c r="AU94" i="23916"/>
  <c r="AV94" i="23916" s="1"/>
  <c r="AU97" i="23916"/>
  <c r="AZ93" i="23916"/>
  <c r="AY94" i="23916"/>
  <c r="AZ94" i="23916" s="1"/>
  <c r="AY97" i="23916"/>
  <c r="BD93" i="23916"/>
  <c r="BC94" i="23916"/>
  <c r="BC97" i="23916"/>
  <c r="BH93" i="23916"/>
  <c r="BG94" i="23916"/>
  <c r="BH94" i="23916" s="1"/>
  <c r="BG97" i="23916"/>
  <c r="BL93" i="23916"/>
  <c r="BK94" i="23916"/>
  <c r="BL94" i="23916" s="1"/>
  <c r="BK97" i="23916"/>
  <c r="BP93" i="23916"/>
  <c r="BO94" i="23916"/>
  <c r="BO97" i="23916"/>
  <c r="BT93" i="23916"/>
  <c r="BS94" i="23916"/>
  <c r="BS97" i="23916"/>
  <c r="BX93" i="23916"/>
  <c r="BW94" i="23916"/>
  <c r="BX94" i="23916" s="1"/>
  <c r="BW97" i="23916"/>
  <c r="CB93" i="23916"/>
  <c r="CA94" i="23916"/>
  <c r="CB94" i="23916" s="1"/>
  <c r="CA97" i="23916"/>
  <c r="CF93" i="23916"/>
  <c r="CE94" i="23916"/>
  <c r="CE97" i="23916"/>
  <c r="CJ93" i="23916"/>
  <c r="CI94" i="23916"/>
  <c r="CI97" i="23916"/>
  <c r="CN93" i="23916"/>
  <c r="CM94" i="23916"/>
  <c r="CN94" i="23916" s="1"/>
  <c r="CM97" i="23916"/>
  <c r="CR93" i="23916"/>
  <c r="CQ94" i="23916"/>
  <c r="CR94" i="23916" s="1"/>
  <c r="CQ97" i="23916"/>
  <c r="CV93" i="23916"/>
  <c r="CU94" i="23916"/>
  <c r="CU97" i="23916"/>
  <c r="CZ93" i="23916"/>
  <c r="CY94" i="23916"/>
  <c r="CY97" i="23916"/>
  <c r="DD93" i="23916"/>
  <c r="DC94" i="23916"/>
  <c r="DD94" i="23916" s="1"/>
  <c r="DC97" i="23916"/>
  <c r="DH93" i="23916"/>
  <c r="DG94" i="23916"/>
  <c r="DH94" i="23916" s="1"/>
  <c r="DG97" i="23916"/>
  <c r="DL93" i="23916"/>
  <c r="DK94" i="23916"/>
  <c r="DK97" i="23916"/>
  <c r="DP93" i="23916"/>
  <c r="DO94" i="23916"/>
  <c r="DO97" i="23916"/>
  <c r="DT93" i="23916"/>
  <c r="DS94" i="23916"/>
  <c r="DT94" i="23916" s="1"/>
  <c r="DS97" i="23916"/>
  <c r="DX93" i="23916"/>
  <c r="DW94" i="23916"/>
  <c r="DX94" i="23916" s="1"/>
  <c r="DW97" i="23916"/>
  <c r="EB93" i="23916"/>
  <c r="EA94" i="23916"/>
  <c r="EA97" i="23916"/>
  <c r="EF93" i="23916"/>
  <c r="EE94" i="23916"/>
  <c r="EE97" i="23916"/>
  <c r="EJ93" i="23916"/>
  <c r="EI94" i="23916"/>
  <c r="EJ94" i="23916" s="1"/>
  <c r="EI97" i="23916"/>
  <c r="FG93" i="23916"/>
  <c r="FF94" i="23916"/>
  <c r="FF97" i="23916"/>
  <c r="FP90" i="23916"/>
  <c r="FQ90" i="23916" s="1"/>
  <c r="FT90" i="23916"/>
  <c r="FU90" i="23916" s="1"/>
  <c r="FX90" i="23916"/>
  <c r="FY90" i="23916" s="1"/>
  <c r="GB90" i="23916"/>
  <c r="GC90" i="23916" s="1"/>
  <c r="GF90" i="23916"/>
  <c r="GG90" i="23916" s="1"/>
  <c r="AS93" i="23916"/>
  <c r="AT85" i="23916"/>
  <c r="BA93" i="23916"/>
  <c r="BB85" i="23916"/>
  <c r="BI93" i="23916"/>
  <c r="BJ85" i="23916"/>
  <c r="BQ93" i="23916"/>
  <c r="BR85" i="23916"/>
  <c r="BY93" i="23916"/>
  <c r="BZ85" i="23916"/>
  <c r="CG93" i="23916"/>
  <c r="CH85" i="23916"/>
  <c r="CO93" i="23916"/>
  <c r="CP85" i="23916"/>
  <c r="DD85" i="23916"/>
  <c r="DL85" i="23916"/>
  <c r="DT85" i="23916"/>
  <c r="EB85" i="23916"/>
  <c r="EJ85" i="23916"/>
  <c r="GC89" i="23916"/>
  <c r="AD110" i="23916"/>
  <c r="AT110" i="23916"/>
  <c r="AL110" i="23916"/>
  <c r="FO110" i="23916"/>
  <c r="GA110" i="23916"/>
  <c r="FZ125" i="23916"/>
  <c r="GI110" i="23916"/>
  <c r="BD110" i="23916"/>
  <c r="BC125" i="23916"/>
  <c r="FQ108" i="23916"/>
  <c r="FS108" i="23916"/>
  <c r="BO129" i="23916"/>
  <c r="BO126" i="23916"/>
  <c r="BW129" i="23916"/>
  <c r="BX125" i="23916"/>
  <c r="BW126" i="23916"/>
  <c r="CA129" i="23916"/>
  <c r="CB125" i="23916"/>
  <c r="CA126" i="23916"/>
  <c r="CB126" i="23916" s="1"/>
  <c r="CE129" i="23916"/>
  <c r="CF125" i="23916"/>
  <c r="CE126" i="23916"/>
  <c r="CF126" i="23916" s="1"/>
  <c r="CM129" i="23916"/>
  <c r="CN125" i="23916"/>
  <c r="CM126" i="23916"/>
  <c r="CN126" i="23916" s="1"/>
  <c r="CQ129" i="23916"/>
  <c r="CQ126" i="23916"/>
  <c r="CU129" i="23916"/>
  <c r="CV125" i="23916"/>
  <c r="CU126" i="23916"/>
  <c r="DC129" i="23916"/>
  <c r="DD125" i="23916"/>
  <c r="DC126" i="23916"/>
  <c r="DD126" i="23916" s="1"/>
  <c r="DG129" i="23916"/>
  <c r="DG126" i="23916"/>
  <c r="DK129" i="23916"/>
  <c r="DL125" i="23916"/>
  <c r="DK126" i="23916"/>
  <c r="DL126" i="23916" s="1"/>
  <c r="DS129" i="23916"/>
  <c r="DT125" i="23916"/>
  <c r="DS126" i="23916"/>
  <c r="DT126" i="23916" s="1"/>
  <c r="DW129" i="23916"/>
  <c r="DW126" i="23916"/>
  <c r="EA129" i="23916"/>
  <c r="EB125" i="23916"/>
  <c r="EA126" i="23916"/>
  <c r="FR129" i="23916"/>
  <c r="FR126" i="23916"/>
  <c r="AT119" i="23916"/>
  <c r="AL119" i="23916"/>
  <c r="FW122" i="23916"/>
  <c r="GA122" i="23916"/>
  <c r="GE122" i="23916"/>
  <c r="GI122" i="23916"/>
  <c r="BB122" i="23916"/>
  <c r="EQ122" i="23916"/>
  <c r="ER122" i="23916" s="1"/>
  <c r="EP122" i="23916"/>
  <c r="Z159" i="23916"/>
  <c r="Y163" i="23916"/>
  <c r="Y160" i="23916"/>
  <c r="Z160" i="23916" s="1"/>
  <c r="EM601" i="23916"/>
  <c r="EM578" i="23916"/>
  <c r="AR66" i="23916"/>
  <c r="AI68" i="23916"/>
  <c r="AN172" i="23916"/>
  <c r="AV172" i="23916"/>
  <c r="AZ172" i="23916"/>
  <c r="BD172" i="23916"/>
  <c r="BH172" i="23916"/>
  <c r="BL172" i="23916"/>
  <c r="CF68" i="23916"/>
  <c r="EL70" i="23916"/>
  <c r="FJ75" i="23916"/>
  <c r="FJ89" i="23916" s="1"/>
  <c r="GJ76" i="23916"/>
  <c r="GJ78" i="23916" s="1"/>
  <c r="AI82" i="23916"/>
  <c r="AL83" i="23916"/>
  <c r="FN87" i="23916"/>
  <c r="FR87" i="23916"/>
  <c r="FV87" i="23916"/>
  <c r="FZ87" i="23916"/>
  <c r="GD87" i="23916"/>
  <c r="GH87" i="23916"/>
  <c r="AC89" i="23916"/>
  <c r="AD89" i="23916" s="1"/>
  <c r="AK89" i="23916"/>
  <c r="AL89" i="23916" s="1"/>
  <c r="AL174" i="23916"/>
  <c r="AK102" i="23916"/>
  <c r="AL102" i="23916" s="1"/>
  <c r="FX102" i="23916"/>
  <c r="GE102" i="23916"/>
  <c r="FJ108" i="23916"/>
  <c r="FK108" i="23916" s="1"/>
  <c r="BD108" i="23916"/>
  <c r="BL108" i="23916"/>
  <c r="BT108" i="23916"/>
  <c r="GJ109" i="23916"/>
  <c r="AI114" i="23916"/>
  <c r="EK114" i="23916"/>
  <c r="AP113" i="23916"/>
  <c r="AX113" i="23916"/>
  <c r="FL115" i="23916"/>
  <c r="FP115" i="23916"/>
  <c r="AR116" i="23916"/>
  <c r="AZ115" i="23916"/>
  <c r="BD115" i="23916"/>
  <c r="BH115" i="23916"/>
  <c r="BP115" i="23916"/>
  <c r="BX115" i="23916"/>
  <c r="CF115" i="23916"/>
  <c r="CN115" i="23916"/>
  <c r="CV115" i="23916"/>
  <c r="DD115" i="23916"/>
  <c r="DL115" i="23916"/>
  <c r="DT115" i="23916"/>
  <c r="AO117" i="23916"/>
  <c r="AP117" i="23916" s="1"/>
  <c r="AW117" i="23916"/>
  <c r="AX117" i="23916" s="1"/>
  <c r="FD117" i="23916"/>
  <c r="FE117" i="23916" s="1"/>
  <c r="FH117" i="23916"/>
  <c r="FF122" i="23916"/>
  <c r="FN122" i="23916"/>
  <c r="FN128" i="23916"/>
  <c r="FO128" i="23916" s="1"/>
  <c r="GT128" i="23916"/>
  <c r="FK178" i="23916"/>
  <c r="FI178" i="23916"/>
  <c r="FK133" i="23916"/>
  <c r="AT180" i="23916"/>
  <c r="AL180" i="23916"/>
  <c r="FU180" i="23916"/>
  <c r="FY180" i="23916"/>
  <c r="AI143" i="23916"/>
  <c r="AN385" i="23916"/>
  <c r="BK143" i="23916"/>
  <c r="BX385" i="23916"/>
  <c r="CB385" i="23916"/>
  <c r="CF385" i="23916"/>
  <c r="CJ385" i="23916"/>
  <c r="CN385" i="23916"/>
  <c r="CR385" i="23916"/>
  <c r="CV385" i="23916"/>
  <c r="CZ385" i="23916"/>
  <c r="DD385" i="23916"/>
  <c r="DH385" i="23916"/>
  <c r="DL385" i="23916"/>
  <c r="DP385" i="23916"/>
  <c r="DT385" i="23916"/>
  <c r="DX385" i="23916"/>
  <c r="EB385" i="23916"/>
  <c r="EF385" i="23916"/>
  <c r="EJ385" i="23916"/>
  <c r="FG385" i="23916"/>
  <c r="FD145" i="23916"/>
  <c r="FH145" i="23916"/>
  <c r="AG145" i="23916"/>
  <c r="AQ145" i="23916"/>
  <c r="AW145" i="23916"/>
  <c r="BG145" i="23916"/>
  <c r="BM145" i="23916"/>
  <c r="BW145" i="23916"/>
  <c r="CC145" i="23916"/>
  <c r="CM145" i="23916"/>
  <c r="CS145" i="23916"/>
  <c r="DC145" i="23916"/>
  <c r="DI145" i="23916"/>
  <c r="DS145" i="23916"/>
  <c r="DY145" i="23916"/>
  <c r="EI145" i="23916"/>
  <c r="AC148" i="23916"/>
  <c r="AG390" i="23916"/>
  <c r="AG154" i="23916"/>
  <c r="AH154" i="23916" s="1"/>
  <c r="AG152" i="23916"/>
  <c r="AH152" i="23916" s="1"/>
  <c r="BD148" i="23916"/>
  <c r="AG391" i="23916"/>
  <c r="AH391" i="23916" s="1"/>
  <c r="AH149" i="23916"/>
  <c r="AO391" i="23916"/>
  <c r="AP391" i="23916" s="1"/>
  <c r="AP149" i="23916"/>
  <c r="AW391" i="23916"/>
  <c r="AX149" i="23916"/>
  <c r="BE391" i="23916"/>
  <c r="BF391" i="23916" s="1"/>
  <c r="BF149" i="23916"/>
  <c r="BM391" i="23916"/>
  <c r="BN149" i="23916"/>
  <c r="BU391" i="23916"/>
  <c r="BV391" i="23916" s="1"/>
  <c r="BV149" i="23916"/>
  <c r="CC391" i="23916"/>
  <c r="CD149" i="23916"/>
  <c r="CK391" i="23916"/>
  <c r="CL391" i="23916" s="1"/>
  <c r="CL149" i="23916"/>
  <c r="CS391" i="23916"/>
  <c r="CT149" i="23916"/>
  <c r="DA391" i="23916"/>
  <c r="DB391" i="23916" s="1"/>
  <c r="DB149" i="23916"/>
  <c r="DI391" i="23916"/>
  <c r="DJ149" i="23916"/>
  <c r="DQ391" i="23916"/>
  <c r="DR391" i="23916" s="1"/>
  <c r="DR149" i="23916"/>
  <c r="DY391" i="23916"/>
  <c r="DZ149" i="23916"/>
  <c r="EG391" i="23916"/>
  <c r="EH391" i="23916" s="1"/>
  <c r="EH149" i="23916"/>
  <c r="AF150" i="23916"/>
  <c r="AN150" i="23916"/>
  <c r="BD150" i="23916"/>
  <c r="BL150" i="23916"/>
  <c r="BT150" i="23916"/>
  <c r="CB150" i="23916"/>
  <c r="CJ150" i="23916"/>
  <c r="CR150" i="23916"/>
  <c r="CZ150" i="23916"/>
  <c r="DH150" i="23916"/>
  <c r="DP150" i="23916"/>
  <c r="DX150" i="23916"/>
  <c r="EF150" i="23916"/>
  <c r="AK151" i="23916"/>
  <c r="AS151" i="23916"/>
  <c r="BB151" i="23916" s="1"/>
  <c r="CG151" i="23916"/>
  <c r="CO151" i="23916"/>
  <c r="CW151" i="23916"/>
  <c r="DF151" i="23916" s="1"/>
  <c r="DE156" i="23916"/>
  <c r="DM156" i="23916"/>
  <c r="DN151" i="23916"/>
  <c r="DU156" i="23916"/>
  <c r="DV156" i="23916" s="1"/>
  <c r="DV151" i="23916"/>
  <c r="EC156" i="23916"/>
  <c r="ED151" i="23916"/>
  <c r="FG150" i="23916"/>
  <c r="FD151" i="23916"/>
  <c r="AA412" i="23916"/>
  <c r="AB412" i="23916" s="1"/>
  <c r="AB162" i="23916"/>
  <c r="AI412" i="23916"/>
  <c r="AJ412" i="23916" s="1"/>
  <c r="AJ162" i="23916"/>
  <c r="AQ412" i="23916"/>
  <c r="AR162" i="23916"/>
  <c r="AY412" i="23916"/>
  <c r="AZ412" i="23916" s="1"/>
  <c r="AZ162" i="23916"/>
  <c r="BG162" i="23916"/>
  <c r="BO412" i="23916"/>
  <c r="BP162" i="23916"/>
  <c r="BW412" i="23916"/>
  <c r="BX162" i="23916"/>
  <c r="CE412" i="23916"/>
  <c r="CF412" i="23916" s="1"/>
  <c r="CF162" i="23916"/>
  <c r="CM412" i="23916"/>
  <c r="CN162" i="23916"/>
  <c r="CU412" i="23916"/>
  <c r="CV412" i="23916" s="1"/>
  <c r="CV162" i="23916"/>
  <c r="DC162" i="23916"/>
  <c r="DK412" i="23916"/>
  <c r="DL162" i="23916"/>
  <c r="FH162" i="23916"/>
  <c r="FP162" i="23916"/>
  <c r="FX162" i="23916"/>
  <c r="GF162" i="23916"/>
  <c r="GN412" i="23916"/>
  <c r="GO162" i="23916"/>
  <c r="AP166" i="23916"/>
  <c r="AX166" i="23916"/>
  <c r="BF166" i="23916"/>
  <c r="CZ166" i="23916"/>
  <c r="DH166" i="23916"/>
  <c r="DP166" i="23916"/>
  <c r="DX166" i="23916"/>
  <c r="EN166" i="23916"/>
  <c r="EF166" i="23916"/>
  <c r="AR170" i="23916"/>
  <c r="GC171" i="23916"/>
  <c r="CS181" i="23916"/>
  <c r="DI181" i="23916"/>
  <c r="DQ181" i="23916"/>
  <c r="BY181" i="23916"/>
  <c r="CC181" i="23916"/>
  <c r="EL189" i="23916"/>
  <c r="FO191" i="23916"/>
  <c r="GC200" i="23916"/>
  <c r="GG200" i="23916"/>
  <c r="FQ202" i="23916"/>
  <c r="FU202" i="23916"/>
  <c r="FY202" i="23916"/>
  <c r="GC202" i="23916"/>
  <c r="GG202" i="23916"/>
  <c r="FL198" i="23916"/>
  <c r="FP198" i="23916"/>
  <c r="FU196" i="23916"/>
  <c r="FT198" i="23916"/>
  <c r="FU198" i="23916" s="1"/>
  <c r="FX198" i="23916"/>
  <c r="GB198" i="23916"/>
  <c r="GF198" i="23916"/>
  <c r="EL196" i="23916"/>
  <c r="FN203" i="23916"/>
  <c r="EQ202" i="23916"/>
  <c r="ER202" i="23916" s="1"/>
  <c r="EP202" i="23916"/>
  <c r="FQ208" i="23916"/>
  <c r="AH33" i="23916"/>
  <c r="AP33" i="23916"/>
  <c r="AX33" i="23916"/>
  <c r="BF33" i="23916"/>
  <c r="BN33" i="23916"/>
  <c r="BV33" i="23916"/>
  <c r="CD33" i="23916"/>
  <c r="CL33" i="23916"/>
  <c r="CT33" i="23916"/>
  <c r="DB33" i="23916"/>
  <c r="DJ33" i="23916"/>
  <c r="DR33" i="23916"/>
  <c r="DZ33" i="23916"/>
  <c r="EH33" i="23916"/>
  <c r="AC35" i="23916"/>
  <c r="AD35" i="23916" s="1"/>
  <c r="AK35" i="23916"/>
  <c r="AS35" i="23916"/>
  <c r="BA35" i="23916"/>
  <c r="BB35" i="23916" s="1"/>
  <c r="BI35" i="23916"/>
  <c r="BJ35" i="23916" s="1"/>
  <c r="BQ35" i="23916"/>
  <c r="BY35" i="23916"/>
  <c r="CG35" i="23916"/>
  <c r="CH35" i="23916" s="1"/>
  <c r="CO35" i="23916"/>
  <c r="CP35" i="23916" s="1"/>
  <c r="CW35" i="23916"/>
  <c r="DE35" i="23916"/>
  <c r="DM35" i="23916"/>
  <c r="DN35" i="23916" s="1"/>
  <c r="DU35" i="23916"/>
  <c r="DV35" i="23916" s="1"/>
  <c r="EC35" i="23916"/>
  <c r="AI39" i="23916"/>
  <c r="AN39" i="23916"/>
  <c r="FP40" i="23916"/>
  <c r="FP42" i="23916" s="1"/>
  <c r="AF39" i="23916"/>
  <c r="AR41" i="23916"/>
  <c r="FJ41" i="23916"/>
  <c r="FL45" i="23916"/>
  <c r="FP390" i="23916"/>
  <c r="FP154" i="23916"/>
  <c r="FT390" i="23916"/>
  <c r="FT154" i="23916"/>
  <c r="FX390" i="23916"/>
  <c r="GB390" i="23916"/>
  <c r="GB154" i="23916"/>
  <c r="GF154" i="23916"/>
  <c r="FJ46" i="23916"/>
  <c r="GB47" i="23916"/>
  <c r="GF47" i="23916"/>
  <c r="FV48" i="23916"/>
  <c r="FZ48" i="23916"/>
  <c r="DN392" i="23916"/>
  <c r="DV392" i="23916"/>
  <c r="ED392" i="23916"/>
  <c r="CF48" i="23916"/>
  <c r="AE51" i="23916"/>
  <c r="BC51" i="23916"/>
  <c r="EA601" i="23916"/>
  <c r="EA578" i="23916"/>
  <c r="EE601" i="23916"/>
  <c r="EE578" i="23916"/>
  <c r="EI601" i="23916"/>
  <c r="EI578" i="23916"/>
  <c r="FR51" i="23916"/>
  <c r="FV51" i="23916"/>
  <c r="FZ51" i="23916"/>
  <c r="GD51" i="23916"/>
  <c r="GH51" i="23916"/>
  <c r="EM52" i="23916"/>
  <c r="AC55" i="23916"/>
  <c r="AG55" i="23916"/>
  <c r="AO55" i="23916"/>
  <c r="AS55" i="23916"/>
  <c r="AW55" i="23916"/>
  <c r="BQ55" i="23916"/>
  <c r="BU55" i="23916"/>
  <c r="BY55" i="23916"/>
  <c r="CC55" i="23916"/>
  <c r="CG55" i="23916"/>
  <c r="CK55" i="23916"/>
  <c r="CO55" i="23916"/>
  <c r="CS55" i="23916"/>
  <c r="CW55" i="23916"/>
  <c r="DA55" i="23916"/>
  <c r="DE55" i="23916"/>
  <c r="DI55" i="23916"/>
  <c r="DM55" i="23916"/>
  <c r="DQ55" i="23916"/>
  <c r="DU55" i="23916"/>
  <c r="DY55" i="23916"/>
  <c r="EC55" i="23916"/>
  <c r="EG55" i="23916"/>
  <c r="FD55" i="23916"/>
  <c r="FH55" i="23916"/>
  <c r="FE58" i="23916"/>
  <c r="FM58" i="23916"/>
  <c r="FU58" i="23916"/>
  <c r="GC58" i="23916"/>
  <c r="GK58" i="23916"/>
  <c r="AJ62" i="23916"/>
  <c r="FQ62" i="23916"/>
  <c r="FU62" i="23916"/>
  <c r="FY62" i="23916"/>
  <c r="GC62" i="23916"/>
  <c r="FS64" i="23916"/>
  <c r="GA64" i="23916"/>
  <c r="AR62" i="23916"/>
  <c r="AC64" i="23916"/>
  <c r="AK64" i="23916"/>
  <c r="AP168" i="23916"/>
  <c r="AX168" i="23916"/>
  <c r="BB168" i="23916"/>
  <c r="BF168" i="23916"/>
  <c r="BJ168" i="23916"/>
  <c r="BR168" i="23916"/>
  <c r="CN168" i="23916"/>
  <c r="CR168" i="23916"/>
  <c r="CV168" i="23916"/>
  <c r="CZ168" i="23916"/>
  <c r="DD168" i="23916"/>
  <c r="DH168" i="23916"/>
  <c r="DL168" i="23916"/>
  <c r="DP168" i="23916"/>
  <c r="DT168" i="23916"/>
  <c r="GD168" i="23916"/>
  <c r="DX168" i="23916"/>
  <c r="EB168" i="23916"/>
  <c r="EF168" i="23916"/>
  <c r="EN168" i="23916"/>
  <c r="ER168" i="23916"/>
  <c r="EJ168" i="23916"/>
  <c r="GE64" i="23916"/>
  <c r="AJ66" i="23916"/>
  <c r="FS66" i="23916"/>
  <c r="FW66" i="23916"/>
  <c r="GA66" i="23916"/>
  <c r="FQ68" i="23916"/>
  <c r="GC68" i="23916"/>
  <c r="AR67" i="23916"/>
  <c r="AF68" i="23916"/>
  <c r="AN68" i="23916"/>
  <c r="AR68" i="23916"/>
  <c r="AV68" i="23916"/>
  <c r="AZ68" i="23916"/>
  <c r="BD68" i="23916"/>
  <c r="BH68" i="23916"/>
  <c r="BL68" i="23916"/>
  <c r="BR68" i="23916"/>
  <c r="CP172" i="23916"/>
  <c r="CT172" i="23916"/>
  <c r="CX172" i="23916"/>
  <c r="DB172" i="23916"/>
  <c r="DF172" i="23916"/>
  <c r="DE181" i="23916"/>
  <c r="GB172" i="23916"/>
  <c r="GC172" i="23916" s="1"/>
  <c r="DJ172" i="23916"/>
  <c r="DN172" i="23916"/>
  <c r="DR172" i="23916"/>
  <c r="DV172" i="23916"/>
  <c r="GF172" i="23916"/>
  <c r="DZ172" i="23916"/>
  <c r="GH172" i="23916"/>
  <c r="ED172" i="23916"/>
  <c r="EL172" i="23916"/>
  <c r="EH172" i="23916"/>
  <c r="EP172" i="23916"/>
  <c r="EP68" i="23916"/>
  <c r="FI172" i="23916"/>
  <c r="FK172" i="23916"/>
  <c r="FK68" i="23916"/>
  <c r="GE66" i="23916"/>
  <c r="AC70" i="23916"/>
  <c r="AG70" i="23916"/>
  <c r="AK70" i="23916"/>
  <c r="AO70" i="23916"/>
  <c r="AS70" i="23916"/>
  <c r="AW70" i="23916"/>
  <c r="BA70" i="23916"/>
  <c r="BE70" i="23916"/>
  <c r="BI70" i="23916"/>
  <c r="BM70" i="23916"/>
  <c r="BM22" i="23916" s="1"/>
  <c r="BV22" i="23916" s="1"/>
  <c r="BS70" i="23916"/>
  <c r="BS22" i="23916" s="1"/>
  <c r="DF70" i="23916"/>
  <c r="EH70" i="23916"/>
  <c r="EN70" i="23916"/>
  <c r="FI70" i="23916"/>
  <c r="FX70" i="23916"/>
  <c r="AL75" i="23916"/>
  <c r="AJ77" i="23916"/>
  <c r="EN76" i="23916"/>
  <c r="FO75" i="23916"/>
  <c r="FS75" i="23916"/>
  <c r="FW75" i="23916"/>
  <c r="GA75" i="23916"/>
  <c r="GE75" i="23916"/>
  <c r="GI75" i="23916"/>
  <c r="GM75" i="23916"/>
  <c r="FY76" i="23916"/>
  <c r="GK77" i="23916"/>
  <c r="AI78" i="23916"/>
  <c r="EM78" i="23916"/>
  <c r="EQ78" i="23916"/>
  <c r="EK81" i="23916"/>
  <c r="FJ81" i="23916"/>
  <c r="FJ83" i="23916"/>
  <c r="FK83" i="23916" s="1"/>
  <c r="FN83" i="23916"/>
  <c r="FV83" i="23916"/>
  <c r="FV85" i="23916" s="1"/>
  <c r="FZ83" i="23916"/>
  <c r="FZ85" i="23916" s="1"/>
  <c r="GD83" i="23916"/>
  <c r="GD85" i="23916" s="1"/>
  <c r="GH83" i="23916"/>
  <c r="AI83" i="23916"/>
  <c r="AF83" i="23916"/>
  <c r="AJ84" i="23916"/>
  <c r="AT82" i="23916"/>
  <c r="CZ83" i="23916"/>
  <c r="DB83" i="23916"/>
  <c r="DD83" i="23916"/>
  <c r="DF83" i="23916"/>
  <c r="DH83" i="23916"/>
  <c r="DJ83" i="23916"/>
  <c r="DL83" i="23916"/>
  <c r="DN83" i="23916"/>
  <c r="DP83" i="23916"/>
  <c r="DR83" i="23916"/>
  <c r="DT83" i="23916"/>
  <c r="DV83" i="23916"/>
  <c r="DX83" i="23916"/>
  <c r="DZ83" i="23916"/>
  <c r="EB83" i="23916"/>
  <c r="ED83" i="23916"/>
  <c r="EF83" i="23916"/>
  <c r="EH83" i="23916"/>
  <c r="FE83" i="23916"/>
  <c r="FG83" i="23916"/>
  <c r="AE85" i="23916"/>
  <c r="AF85" i="23916" s="1"/>
  <c r="EB87" i="23916"/>
  <c r="EF87" i="23916"/>
  <c r="EJ87" i="23916"/>
  <c r="EO88" i="23916"/>
  <c r="EO81" i="23916" s="1"/>
  <c r="EL89" i="23916"/>
  <c r="FF90" i="23916"/>
  <c r="FG90" i="23916" s="1"/>
  <c r="AD174" i="23916"/>
  <c r="AL100" i="23916"/>
  <c r="AT175" i="23916"/>
  <c r="AL175" i="23916"/>
  <c r="FV100" i="23916"/>
  <c r="FS101" i="23916"/>
  <c r="FW101" i="23916"/>
  <c r="GA101" i="23916"/>
  <c r="AD108" i="23916"/>
  <c r="AI107" i="23916"/>
  <c r="AI122" i="23916" s="1"/>
  <c r="AJ122" i="23916" s="1"/>
  <c r="AL108" i="23916"/>
  <c r="EL107" i="23916"/>
  <c r="EN109" i="23916"/>
  <c r="FS107" i="23916"/>
  <c r="FW107" i="23916"/>
  <c r="GA107" i="23916"/>
  <c r="GE107" i="23916"/>
  <c r="GI107" i="23916"/>
  <c r="BB108" i="23916"/>
  <c r="BJ108" i="23916"/>
  <c r="BR108" i="23916"/>
  <c r="BG110" i="23916"/>
  <c r="BK110" i="23916"/>
  <c r="AD114" i="23916"/>
  <c r="EN115" i="23916"/>
  <c r="FK114" i="23916"/>
  <c r="FO114" i="23916"/>
  <c r="FT115" i="23916"/>
  <c r="FX115" i="23916"/>
  <c r="GA115" i="23916" s="1"/>
  <c r="GB115" i="23916"/>
  <c r="GF115" i="23916"/>
  <c r="GJ115" i="23916"/>
  <c r="AT114" i="23916"/>
  <c r="AF115" i="23916"/>
  <c r="AN115" i="23916"/>
  <c r="AV115" i="23916"/>
  <c r="AJ116" i="23916"/>
  <c r="AX116" i="23916"/>
  <c r="AZ116" i="23916"/>
  <c r="BB116" i="23916"/>
  <c r="BF116" i="23916"/>
  <c r="FG116" i="23916"/>
  <c r="AK121" i="23916"/>
  <c r="AK122" i="23916"/>
  <c r="AL122" i="23916" s="1"/>
  <c r="AW122" i="23916"/>
  <c r="EP121" i="23916"/>
  <c r="FN121" i="23916"/>
  <c r="FO121" i="23916" s="1"/>
  <c r="BH128" i="23916"/>
  <c r="AI132" i="23916"/>
  <c r="FU132" i="23916"/>
  <c r="FY132" i="23916"/>
  <c r="GC132" i="23916"/>
  <c r="FS134" i="23916"/>
  <c r="FW134" i="23916"/>
  <c r="GA134" i="23916"/>
  <c r="FE133" i="23916"/>
  <c r="FI133" i="23916"/>
  <c r="FG134" i="23916"/>
  <c r="AD132" i="23916"/>
  <c r="AL132" i="23916"/>
  <c r="AT132" i="23916"/>
  <c r="FK134" i="23916"/>
  <c r="AL136" i="23916"/>
  <c r="AT136" i="23916"/>
  <c r="FQ136" i="23916"/>
  <c r="FU136" i="23916"/>
  <c r="FY136" i="23916"/>
  <c r="GC136" i="23916"/>
  <c r="FR137" i="23916"/>
  <c r="FS137" i="23916" s="1"/>
  <c r="FV137" i="23916"/>
  <c r="FZ137" i="23916"/>
  <c r="BR137" i="23916"/>
  <c r="DY137" i="23916"/>
  <c r="DZ137" i="23916" s="1"/>
  <c r="AH384" i="23916"/>
  <c r="AG387" i="23916"/>
  <c r="AP384" i="23916"/>
  <c r="AO387" i="23916"/>
  <c r="AS587" i="23916"/>
  <c r="AT384" i="23916"/>
  <c r="AW587" i="23916"/>
  <c r="AX384" i="23916"/>
  <c r="BB384" i="23916"/>
  <c r="BE587" i="23916"/>
  <c r="BF384" i="23916"/>
  <c r="BI587" i="23916"/>
  <c r="BJ384" i="23916"/>
  <c r="BI387" i="23916"/>
  <c r="BN384" i="23916"/>
  <c r="BQ587" i="23916"/>
  <c r="BR384" i="23916"/>
  <c r="BQ387" i="23916"/>
  <c r="BU587" i="23916"/>
  <c r="BV384" i="23916"/>
  <c r="BU387" i="23916"/>
  <c r="BY587" i="23916"/>
  <c r="BZ384" i="23916"/>
  <c r="BY387" i="23916"/>
  <c r="CC587" i="23916"/>
  <c r="CD384" i="23916"/>
  <c r="CC387" i="23916"/>
  <c r="CG587" i="23916"/>
  <c r="CH384" i="23916"/>
  <c r="CG387" i="23916"/>
  <c r="CK587" i="23916"/>
  <c r="CL384" i="23916"/>
  <c r="CK387" i="23916"/>
  <c r="CO587" i="23916"/>
  <c r="CP384" i="23916"/>
  <c r="CO387" i="23916"/>
  <c r="CS587" i="23916"/>
  <c r="CT384" i="23916"/>
  <c r="CS387" i="23916"/>
  <c r="CW587" i="23916"/>
  <c r="CX384" i="23916"/>
  <c r="CW387" i="23916"/>
  <c r="DA587" i="23916"/>
  <c r="DB384" i="23916"/>
  <c r="DA387" i="23916"/>
  <c r="DE587" i="23916"/>
  <c r="DF384" i="23916"/>
  <c r="DE387" i="23916"/>
  <c r="DI587" i="23916"/>
  <c r="DJ384" i="23916"/>
  <c r="DI387" i="23916"/>
  <c r="DM587" i="23916"/>
  <c r="DN384" i="23916"/>
  <c r="DM387" i="23916"/>
  <c r="DQ587" i="23916"/>
  <c r="DR384" i="23916"/>
  <c r="DQ387" i="23916"/>
  <c r="DU587" i="23916"/>
  <c r="DV384" i="23916"/>
  <c r="DU387" i="23916"/>
  <c r="DY587" i="23916"/>
  <c r="DZ384" i="23916"/>
  <c r="DY387" i="23916"/>
  <c r="EC587" i="23916"/>
  <c r="ED384" i="23916"/>
  <c r="EC387" i="23916"/>
  <c r="EG587" i="23916"/>
  <c r="EH384" i="23916"/>
  <c r="EG387" i="23916"/>
  <c r="AF143" i="23916"/>
  <c r="AN143" i="23916"/>
  <c r="AR143" i="23916"/>
  <c r="AV143" i="23916"/>
  <c r="AZ143" i="23916"/>
  <c r="BP143" i="23916"/>
  <c r="BT143" i="23916"/>
  <c r="BX143" i="23916"/>
  <c r="CB143" i="23916"/>
  <c r="CF143" i="23916"/>
  <c r="CJ143" i="23916"/>
  <c r="CN143" i="23916"/>
  <c r="CR143" i="23916"/>
  <c r="CV143" i="23916"/>
  <c r="CZ143" i="23916"/>
  <c r="DD143" i="23916"/>
  <c r="DH143" i="23916"/>
  <c r="DL143" i="23916"/>
  <c r="DP143" i="23916"/>
  <c r="DT143" i="23916"/>
  <c r="DX143" i="23916"/>
  <c r="EB143" i="23916"/>
  <c r="EF143" i="23916"/>
  <c r="EJ143" i="23916"/>
  <c r="AN386" i="23916"/>
  <c r="AR386" i="23916"/>
  <c r="AV386" i="23916"/>
  <c r="AZ386" i="23916"/>
  <c r="BC144" i="23916"/>
  <c r="BP386" i="23916"/>
  <c r="BT386" i="23916"/>
  <c r="BX386" i="23916"/>
  <c r="CB386" i="23916"/>
  <c r="CF386" i="23916"/>
  <c r="CJ386" i="23916"/>
  <c r="CN386" i="23916"/>
  <c r="CR386" i="23916"/>
  <c r="CV386" i="23916"/>
  <c r="CZ386" i="23916"/>
  <c r="DD386" i="23916"/>
  <c r="DH386" i="23916"/>
  <c r="DL386" i="23916"/>
  <c r="DP386" i="23916"/>
  <c r="DT386" i="23916"/>
  <c r="DX386" i="23916"/>
  <c r="EB386" i="23916"/>
  <c r="EF386" i="23916"/>
  <c r="EJ386" i="23916"/>
  <c r="FF587" i="23916"/>
  <c r="FF387" i="23916"/>
  <c r="FG384" i="23916"/>
  <c r="FN142" i="23916"/>
  <c r="FN156" i="23916" s="1"/>
  <c r="FR142" i="23916"/>
  <c r="FR155" i="23916" s="1"/>
  <c r="FV142" i="23916"/>
  <c r="FZ142" i="23916"/>
  <c r="GD142" i="23916"/>
  <c r="GD156" i="23916" s="1"/>
  <c r="GE156" i="23916" s="1"/>
  <c r="GH142" i="23916"/>
  <c r="GH155" i="23916" s="1"/>
  <c r="GI155" i="23916" s="1"/>
  <c r="FG143" i="23916"/>
  <c r="FI386" i="23916"/>
  <c r="U145" i="23916"/>
  <c r="AM145" i="23916"/>
  <c r="AS145" i="23916"/>
  <c r="BC145" i="23916"/>
  <c r="BI145" i="23916"/>
  <c r="BS145" i="23916"/>
  <c r="BY145" i="23916"/>
  <c r="CI145" i="23916"/>
  <c r="CO145" i="23916"/>
  <c r="CY145" i="23916"/>
  <c r="DE145" i="23916"/>
  <c r="DO145" i="23916"/>
  <c r="DU145" i="23916"/>
  <c r="EE145" i="23916"/>
  <c r="AH148" i="23916"/>
  <c r="AQ391" i="23916"/>
  <c r="AY391" i="23916"/>
  <c r="AZ391" i="23916" s="1"/>
  <c r="AZ149" i="23916"/>
  <c r="BG391" i="23916"/>
  <c r="BH149" i="23916"/>
  <c r="BO391" i="23916"/>
  <c r="BP391" i="23916" s="1"/>
  <c r="BP149" i="23916"/>
  <c r="BW391" i="23916"/>
  <c r="BX149" i="23916"/>
  <c r="CE391" i="23916"/>
  <c r="CF391" i="23916" s="1"/>
  <c r="CF149" i="23916"/>
  <c r="CM391" i="23916"/>
  <c r="CN149" i="23916"/>
  <c r="CU391" i="23916"/>
  <c r="CV391" i="23916" s="1"/>
  <c r="CV149" i="23916"/>
  <c r="DC391" i="23916"/>
  <c r="DD149" i="23916"/>
  <c r="DK391" i="23916"/>
  <c r="DL391" i="23916" s="1"/>
  <c r="DL149" i="23916"/>
  <c r="DS391" i="23916"/>
  <c r="DT149" i="23916"/>
  <c r="EA391" i="23916"/>
  <c r="EB391" i="23916" s="1"/>
  <c r="EB149" i="23916"/>
  <c r="EI391" i="23916"/>
  <c r="EJ149" i="23916"/>
  <c r="AX150" i="23916"/>
  <c r="AE151" i="23916"/>
  <c r="AN151" i="23916"/>
  <c r="AM156" i="23916"/>
  <c r="AV151" i="23916"/>
  <c r="AU156" i="23916"/>
  <c r="CZ151" i="23916"/>
  <c r="CY156" i="23916"/>
  <c r="DH151" i="23916"/>
  <c r="DG156" i="23916"/>
  <c r="DP151" i="23916"/>
  <c r="DO156" i="23916"/>
  <c r="DP156" i="23916" s="1"/>
  <c r="DX151" i="23916"/>
  <c r="DW156" i="23916"/>
  <c r="EF151" i="23916"/>
  <c r="EE156" i="23916"/>
  <c r="EF156" i="23916" s="1"/>
  <c r="FD391" i="23916"/>
  <c r="FE391" i="23916" s="1"/>
  <c r="FE149" i="23916"/>
  <c r="U412" i="23916"/>
  <c r="V412" i="23916" s="1"/>
  <c r="V162" i="23916"/>
  <c r="AC412" i="23916"/>
  <c r="AD412" i="23916" s="1"/>
  <c r="AD162" i="23916"/>
  <c r="AK412" i="23916"/>
  <c r="AL162" i="23916"/>
  <c r="AS412" i="23916"/>
  <c r="AT412" i="23916" s="1"/>
  <c r="AT162" i="23916"/>
  <c r="BA412" i="23916"/>
  <c r="BB162" i="23916"/>
  <c r="BI412" i="23916"/>
  <c r="BJ412" i="23916" s="1"/>
  <c r="BJ162" i="23916"/>
  <c r="BQ412" i="23916"/>
  <c r="BR162" i="23916"/>
  <c r="BY412" i="23916"/>
  <c r="BZ412" i="23916" s="1"/>
  <c r="BZ162" i="23916"/>
  <c r="CG412" i="23916"/>
  <c r="CH162" i="23916"/>
  <c r="CO412" i="23916"/>
  <c r="CP412" i="23916" s="1"/>
  <c r="CP162" i="23916"/>
  <c r="CW412" i="23916"/>
  <c r="CX162" i="23916"/>
  <c r="DE412" i="23916"/>
  <c r="DF412" i="23916" s="1"/>
  <c r="DF162" i="23916"/>
  <c r="DM412" i="23916"/>
  <c r="DN162" i="23916"/>
  <c r="FJ162" i="23916"/>
  <c r="FR162" i="23916"/>
  <c r="FZ162" i="23916"/>
  <c r="GH162" i="23916"/>
  <c r="GK162" i="23916" s="1"/>
  <c r="GP412" i="23916"/>
  <c r="GQ412" i="23916" s="1"/>
  <c r="GQ162" i="23916"/>
  <c r="DR162" i="23916"/>
  <c r="DZ162" i="23916"/>
  <c r="EH162" i="23916"/>
  <c r="AI166" i="23916"/>
  <c r="AJ166" i="23916" s="1"/>
  <c r="AR166" i="23916"/>
  <c r="AZ166" i="23916"/>
  <c r="BH166" i="23916"/>
  <c r="DA181" i="23916"/>
  <c r="DB181" i="23916" s="1"/>
  <c r="DB176" i="23916"/>
  <c r="GC174" i="23916"/>
  <c r="FH181" i="23916"/>
  <c r="GC177" i="23916"/>
  <c r="AT177" i="23916"/>
  <c r="GC180" i="23916"/>
  <c r="FM189" i="23916"/>
  <c r="FK189" i="23916"/>
  <c r="FO200" i="23916"/>
  <c r="FS200" i="23916"/>
  <c r="FW200" i="23916"/>
  <c r="GA200" i="23916"/>
  <c r="FW191" i="23916"/>
  <c r="GA191" i="23916"/>
  <c r="GE191" i="23916"/>
  <c r="GI191" i="23916"/>
  <c r="DG209" i="23916"/>
  <c r="DG206" i="23916"/>
  <c r="FK194" i="23916"/>
  <c r="FM194" i="23916"/>
  <c r="U198" i="23916"/>
  <c r="V198" i="23916" s="1"/>
  <c r="FT203" i="23916"/>
  <c r="FX203" i="23916"/>
  <c r="GB203" i="23916"/>
  <c r="GF203" i="23916"/>
  <c r="EQ203" i="23916"/>
  <c r="BN40" i="23916"/>
  <c r="BR40" i="23916"/>
  <c r="BA42" i="23916"/>
  <c r="BE42" i="23916"/>
  <c r="BI42" i="23916"/>
  <c r="BR42" i="23916" s="1"/>
  <c r="AZ392" i="23916"/>
  <c r="BH392" i="23916"/>
  <c r="BL392" i="23916"/>
  <c r="BP392" i="23916"/>
  <c r="BT392" i="23916"/>
  <c r="BX392" i="23916"/>
  <c r="CB392" i="23916"/>
  <c r="CF392" i="23916"/>
  <c r="CJ392" i="23916"/>
  <c r="CN392" i="23916"/>
  <c r="CR392" i="23916"/>
  <c r="CV392" i="23916"/>
  <c r="CZ392" i="23916"/>
  <c r="DH392" i="23916"/>
  <c r="DP392" i="23916"/>
  <c r="DX392" i="23916"/>
  <c r="EF392" i="23916"/>
  <c r="AX45" i="23916"/>
  <c r="CZ47" i="23916"/>
  <c r="DH47" i="23916"/>
  <c r="DP47" i="23916"/>
  <c r="DX47" i="23916"/>
  <c r="EF47" i="23916"/>
  <c r="FG47" i="23916"/>
  <c r="AI49" i="23916"/>
  <c r="AJ49" i="23916" s="1"/>
  <c r="AM49" i="23916"/>
  <c r="AN49" i="23916" s="1"/>
  <c r="AY49" i="23916"/>
  <c r="AZ49" i="23916" s="1"/>
  <c r="BC49" i="23916"/>
  <c r="BD49" i="23916" s="1"/>
  <c r="BG49" i="23916"/>
  <c r="BK49" i="23916"/>
  <c r="BL49" i="23916" s="1"/>
  <c r="BO49" i="23916"/>
  <c r="BP49" i="23916" s="1"/>
  <c r="BS49" i="23916"/>
  <c r="BW49" i="23916"/>
  <c r="BW55" i="23916" s="1"/>
  <c r="CA49" i="23916"/>
  <c r="CB49" i="23916" s="1"/>
  <c r="CE49" i="23916"/>
  <c r="CF49" i="23916" s="1"/>
  <c r="CI49" i="23916"/>
  <c r="CM49" i="23916"/>
  <c r="CM55" i="23916" s="1"/>
  <c r="CQ49" i="23916"/>
  <c r="CR49" i="23916" s="1"/>
  <c r="CU49" i="23916"/>
  <c r="CV49" i="23916" s="1"/>
  <c r="CY49" i="23916"/>
  <c r="DG49" i="23916"/>
  <c r="DH49" i="23916" s="1"/>
  <c r="DO49" i="23916"/>
  <c r="DP49" i="23916" s="1"/>
  <c r="DW49" i="23916"/>
  <c r="DX49" i="23916" s="1"/>
  <c r="EE49" i="23916"/>
  <c r="FF49" i="23916"/>
  <c r="FG49" i="23916" s="1"/>
  <c r="EK601" i="23916"/>
  <c r="EK578" i="23916"/>
  <c r="EO51" i="23916"/>
  <c r="AG53" i="23916"/>
  <c r="AH53" i="23916" s="1"/>
  <c r="AS53" i="23916"/>
  <c r="AW53" i="23916"/>
  <c r="AX53" i="23916" s="1"/>
  <c r="BQ53" i="23916"/>
  <c r="BU53" i="23916"/>
  <c r="BY53" i="23916"/>
  <c r="BZ53" i="23916" s="1"/>
  <c r="CC53" i="23916"/>
  <c r="CD53" i="23916" s="1"/>
  <c r="CG53" i="23916"/>
  <c r="CK53" i="23916"/>
  <c r="CO53" i="23916"/>
  <c r="CP53" i="23916" s="1"/>
  <c r="CS53" i="23916"/>
  <c r="CT53" i="23916" s="1"/>
  <c r="CW53" i="23916"/>
  <c r="DA53" i="23916"/>
  <c r="DE53" i="23916"/>
  <c r="DF53" i="23916" s="1"/>
  <c r="DI53" i="23916"/>
  <c r="DJ53" i="23916" s="1"/>
  <c r="DM53" i="23916"/>
  <c r="DQ53" i="23916"/>
  <c r="DU53" i="23916"/>
  <c r="DV53" i="23916" s="1"/>
  <c r="DY53" i="23916"/>
  <c r="DZ53" i="23916" s="1"/>
  <c r="EC53" i="23916"/>
  <c r="EG53" i="23916"/>
  <c r="FD53" i="23916"/>
  <c r="FE53" i="23916" s="1"/>
  <c r="FH53" i="23916"/>
  <c r="FI53" i="23916" s="1"/>
  <c r="FN58" i="23916"/>
  <c r="GM58" i="23916"/>
  <c r="GT58" i="23916"/>
  <c r="FW166" i="23916"/>
  <c r="GA166" i="23916"/>
  <c r="FT64" i="23916"/>
  <c r="FW64" i="23916" s="1"/>
  <c r="FY168" i="23916"/>
  <c r="CF64" i="23916"/>
  <c r="FU170" i="23916"/>
  <c r="FY170" i="23916"/>
  <c r="FR68" i="23916"/>
  <c r="FV68" i="23916"/>
  <c r="GA172" i="23916"/>
  <c r="AL172" i="23916"/>
  <c r="AP172" i="23916"/>
  <c r="AT172" i="23916"/>
  <c r="AX172" i="23916"/>
  <c r="BB172" i="23916"/>
  <c r="BF172" i="23916"/>
  <c r="BJ172" i="23916"/>
  <c r="BZ68" i="23916"/>
  <c r="GN75" i="23916"/>
  <c r="AT75" i="23916"/>
  <c r="FJ77" i="23916"/>
  <c r="FK77" i="23916" s="1"/>
  <c r="AL81" i="23916"/>
  <c r="EK82" i="23916"/>
  <c r="CX83" i="23916"/>
  <c r="AP83" i="23916"/>
  <c r="AT83" i="23916"/>
  <c r="AX83" i="23916"/>
  <c r="BB83" i="23916"/>
  <c r="BF83" i="23916"/>
  <c r="BJ83" i="23916"/>
  <c r="BN83" i="23916"/>
  <c r="BR83" i="23916"/>
  <c r="BV83" i="23916"/>
  <c r="BZ83" i="23916"/>
  <c r="CD83" i="23916"/>
  <c r="CH83" i="23916"/>
  <c r="CL83" i="23916"/>
  <c r="CP83" i="23916"/>
  <c r="CT83" i="23916"/>
  <c r="AC87" i="23916"/>
  <c r="AD87" i="23916" s="1"/>
  <c r="AK87" i="23916"/>
  <c r="AL87" i="23916" s="1"/>
  <c r="EL87" i="23916"/>
  <c r="FL87" i="23916"/>
  <c r="FP87" i="23916"/>
  <c r="FQ87" i="23916" s="1"/>
  <c r="FT87" i="23916"/>
  <c r="FU87" i="23916" s="1"/>
  <c r="FX87" i="23916"/>
  <c r="FY87" i="23916" s="1"/>
  <c r="GB87" i="23916"/>
  <c r="GC87" i="23916" s="1"/>
  <c r="GF87" i="23916"/>
  <c r="GG87" i="23916" s="1"/>
  <c r="EQ87" i="23916"/>
  <c r="AE90" i="23916"/>
  <c r="AF90" i="23916" s="1"/>
  <c r="AI90" i="23916"/>
  <c r="AJ90" i="23916" s="1"/>
  <c r="AM90" i="23916"/>
  <c r="AN90" i="23916" s="1"/>
  <c r="AQ90" i="23916"/>
  <c r="AR90" i="23916" s="1"/>
  <c r="AU90" i="23916"/>
  <c r="AY90" i="23916"/>
  <c r="BC90" i="23916"/>
  <c r="BD90" i="23916" s="1"/>
  <c r="BG90" i="23916"/>
  <c r="BH90" i="23916" s="1"/>
  <c r="BK90" i="23916"/>
  <c r="BO90" i="23916"/>
  <c r="BS90" i="23916"/>
  <c r="BT90" i="23916" s="1"/>
  <c r="BW90" i="23916"/>
  <c r="BX90" i="23916" s="1"/>
  <c r="CA90" i="23916"/>
  <c r="CE90" i="23916"/>
  <c r="CI90" i="23916"/>
  <c r="CJ90" i="23916" s="1"/>
  <c r="CM90" i="23916"/>
  <c r="CN90" i="23916" s="1"/>
  <c r="CQ90" i="23916"/>
  <c r="CU90" i="23916"/>
  <c r="CY90" i="23916"/>
  <c r="CZ90" i="23916" s="1"/>
  <c r="DC90" i="23916"/>
  <c r="DD90" i="23916" s="1"/>
  <c r="DG90" i="23916"/>
  <c r="DK90" i="23916"/>
  <c r="DO90" i="23916"/>
  <c r="DP90" i="23916" s="1"/>
  <c r="DS90" i="23916"/>
  <c r="DT90" i="23916" s="1"/>
  <c r="DW90" i="23916"/>
  <c r="EA90" i="23916"/>
  <c r="EE90" i="23916"/>
  <c r="EF90" i="23916" s="1"/>
  <c r="EI90" i="23916"/>
  <c r="AJ174" i="23916"/>
  <c r="FU175" i="23916"/>
  <c r="FY175" i="23916"/>
  <c r="AT100" i="23916"/>
  <c r="FK102" i="23916"/>
  <c r="FR102" i="23916"/>
  <c r="FS102" i="23916" s="1"/>
  <c r="AL109" i="23916"/>
  <c r="EM107" i="23916"/>
  <c r="BH108" i="23916"/>
  <c r="AL113" i="23916"/>
  <c r="EK113" i="23916"/>
  <c r="AC115" i="23916"/>
  <c r="AD115" i="23916" s="1"/>
  <c r="AK115" i="23916"/>
  <c r="EB115" i="23916"/>
  <c r="FJ115" i="23916"/>
  <c r="FK115" i="23916" s="1"/>
  <c r="FN115" i="23916"/>
  <c r="FO115" i="23916" s="1"/>
  <c r="AT116" i="23916"/>
  <c r="EK116" i="23916"/>
  <c r="FL116" i="23916"/>
  <c r="FL151" i="23916" s="1"/>
  <c r="CI117" i="23916"/>
  <c r="CJ117" i="23916" s="1"/>
  <c r="CY117" i="23916"/>
  <c r="CZ117" i="23916" s="1"/>
  <c r="DO117" i="23916"/>
  <c r="DP117" i="23916" s="1"/>
  <c r="EE117" i="23916"/>
  <c r="EF117" i="23916" s="1"/>
  <c r="EI117" i="23916"/>
  <c r="EJ117" i="23916" s="1"/>
  <c r="FF117" i="23916"/>
  <c r="FG117" i="23916" s="1"/>
  <c r="FD122" i="23916"/>
  <c r="FE122" i="23916" s="1"/>
  <c r="FH122" i="23916"/>
  <c r="FI122" i="23916" s="1"/>
  <c r="FP122" i="23916"/>
  <c r="FQ122" i="23916" s="1"/>
  <c r="AL177" i="23916"/>
  <c r="FW177" i="23916"/>
  <c r="GA177" i="23916"/>
  <c r="FU179" i="23916"/>
  <c r="FY179" i="23916"/>
  <c r="FG178" i="23916"/>
  <c r="FK179" i="23916"/>
  <c r="FI179" i="23916"/>
  <c r="AI136" i="23916"/>
  <c r="DY181" i="23916"/>
  <c r="DZ181" i="23916" s="1"/>
  <c r="DZ180" i="23916"/>
  <c r="EH136" i="23916"/>
  <c r="FS180" i="23916"/>
  <c r="FW180" i="23916"/>
  <c r="FZ181" i="23916"/>
  <c r="GA180" i="23916"/>
  <c r="AC137" i="23916"/>
  <c r="AD137" i="23916" s="1"/>
  <c r="AK137" i="23916"/>
  <c r="AL137" i="23916" s="1"/>
  <c r="AP385" i="23916"/>
  <c r="BA143" i="23916"/>
  <c r="BE143" i="23916"/>
  <c r="BR385" i="23916"/>
  <c r="BV385" i="23916"/>
  <c r="BZ385" i="23916"/>
  <c r="CD385" i="23916"/>
  <c r="CH385" i="23916"/>
  <c r="CL385" i="23916"/>
  <c r="CP385" i="23916"/>
  <c r="CT385" i="23916"/>
  <c r="CX385" i="23916"/>
  <c r="DB385" i="23916"/>
  <c r="DF385" i="23916"/>
  <c r="DJ385" i="23916"/>
  <c r="DN385" i="23916"/>
  <c r="DR385" i="23916"/>
  <c r="DV385" i="23916"/>
  <c r="DZ385" i="23916"/>
  <c r="ED385" i="23916"/>
  <c r="EH385" i="23916"/>
  <c r="FY385" i="23916"/>
  <c r="GB143" i="23916"/>
  <c r="GF143" i="23916"/>
  <c r="FF145" i="23916"/>
  <c r="AO145" i="23916"/>
  <c r="AY145" i="23916"/>
  <c r="BE145" i="23916"/>
  <c r="BO145" i="23916"/>
  <c r="BU145" i="23916"/>
  <c r="CE145" i="23916"/>
  <c r="CK145" i="23916"/>
  <c r="CU145" i="23916"/>
  <c r="DA145" i="23916"/>
  <c r="DK145" i="23916"/>
  <c r="DQ145" i="23916"/>
  <c r="EA145" i="23916"/>
  <c r="EG145" i="23916"/>
  <c r="AS148" i="23916"/>
  <c r="AW148" i="23916"/>
  <c r="AC149" i="23916"/>
  <c r="AK149" i="23916"/>
  <c r="AS391" i="23916"/>
  <c r="BA391" i="23916"/>
  <c r="BB391" i="23916" s="1"/>
  <c r="BB149" i="23916"/>
  <c r="BI391" i="23916"/>
  <c r="BJ149" i="23916"/>
  <c r="BQ391" i="23916"/>
  <c r="BR391" i="23916" s="1"/>
  <c r="BR149" i="23916"/>
  <c r="CG391" i="23916"/>
  <c r="CH391" i="23916" s="1"/>
  <c r="CH149" i="23916"/>
  <c r="CO391" i="23916"/>
  <c r="CP391" i="23916" s="1"/>
  <c r="CP149" i="23916"/>
  <c r="CW391" i="23916"/>
  <c r="CX149" i="23916"/>
  <c r="DE391" i="23916"/>
  <c r="DF391" i="23916" s="1"/>
  <c r="DF149" i="23916"/>
  <c r="DM391" i="23916"/>
  <c r="DN149" i="23916"/>
  <c r="DU391" i="23916"/>
  <c r="DV391" i="23916" s="1"/>
  <c r="DV149" i="23916"/>
  <c r="EC391" i="23916"/>
  <c r="ED149" i="23916"/>
  <c r="AZ150" i="23916"/>
  <c r="BH150" i="23916"/>
  <c r="BP150" i="23916"/>
  <c r="BX150" i="23916"/>
  <c r="CF150" i="23916"/>
  <c r="CN150" i="23916"/>
  <c r="CV150" i="23916"/>
  <c r="AG156" i="23916"/>
  <c r="AH156" i="23916" s="1"/>
  <c r="AH151" i="23916"/>
  <c r="CK151" i="23916"/>
  <c r="CS151" i="23916"/>
  <c r="DA156" i="23916"/>
  <c r="DB151" i="23916"/>
  <c r="DI156" i="23916"/>
  <c r="DJ151" i="23916"/>
  <c r="DQ156" i="23916"/>
  <c r="DR156" i="23916" s="1"/>
  <c r="DR151" i="23916"/>
  <c r="DY156" i="23916"/>
  <c r="DZ151" i="23916"/>
  <c r="EG156" i="23916"/>
  <c r="EH156" i="23916" s="1"/>
  <c r="EH151" i="23916"/>
  <c r="FY148" i="23916"/>
  <c r="GG148" i="23916"/>
  <c r="FF391" i="23916"/>
  <c r="FG391" i="23916" s="1"/>
  <c r="FG149" i="23916"/>
  <c r="FH151" i="23916"/>
  <c r="AG155" i="23916"/>
  <c r="AH155" i="23916" s="1"/>
  <c r="AO155" i="23916"/>
  <c r="AP155" i="23916" s="1"/>
  <c r="AW155" i="23916"/>
  <c r="BE155" i="23916"/>
  <c r="BF155" i="23916" s="1"/>
  <c r="BM155" i="23916"/>
  <c r="BN155" i="23916" s="1"/>
  <c r="BU155" i="23916"/>
  <c r="BV155" i="23916" s="1"/>
  <c r="CC155" i="23916"/>
  <c r="CK155" i="23916"/>
  <c r="CL155" i="23916" s="1"/>
  <c r="CS155" i="23916"/>
  <c r="CT155" i="23916" s="1"/>
  <c r="DA155" i="23916"/>
  <c r="DB155" i="23916" s="1"/>
  <c r="DI155" i="23916"/>
  <c r="DQ155" i="23916"/>
  <c r="DR155" i="23916" s="1"/>
  <c r="DY155" i="23916"/>
  <c r="DZ155" i="23916" s="1"/>
  <c r="EG155" i="23916"/>
  <c r="EH155" i="23916" s="1"/>
  <c r="FD155" i="23916"/>
  <c r="FE155" i="23916" s="1"/>
  <c r="W412" i="23916"/>
  <c r="X412" i="23916" s="1"/>
  <c r="X162" i="23916"/>
  <c r="AE412" i="23916"/>
  <c r="AF412" i="23916" s="1"/>
  <c r="AF162" i="23916"/>
  <c r="AM412" i="23916"/>
  <c r="AN162" i="23916"/>
  <c r="AU412" i="23916"/>
  <c r="AV412" i="23916" s="1"/>
  <c r="AV162" i="23916"/>
  <c r="BC412" i="23916"/>
  <c r="BD162" i="23916"/>
  <c r="BK412" i="23916"/>
  <c r="BL412" i="23916" s="1"/>
  <c r="BL162" i="23916"/>
  <c r="BS412" i="23916"/>
  <c r="BT162" i="23916"/>
  <c r="CA412" i="23916"/>
  <c r="CB412" i="23916" s="1"/>
  <c r="CB162" i="23916"/>
  <c r="CI412" i="23916"/>
  <c r="CJ162" i="23916"/>
  <c r="CQ412" i="23916"/>
  <c r="CR412" i="23916" s="1"/>
  <c r="CR162" i="23916"/>
  <c r="CY412" i="23916"/>
  <c r="CZ162" i="23916"/>
  <c r="DG412" i="23916"/>
  <c r="DH412" i="23916" s="1"/>
  <c r="DH162" i="23916"/>
  <c r="DO412" i="23916"/>
  <c r="DP162" i="23916"/>
  <c r="GR412" i="23916"/>
  <c r="GS162" i="23916"/>
  <c r="DV412" i="23916"/>
  <c r="DZ412" i="23916"/>
  <c r="ED412" i="23916"/>
  <c r="EH412" i="23916"/>
  <c r="AK166" i="23916"/>
  <c r="AL166" i="23916" s="1"/>
  <c r="AT166" i="23916"/>
  <c r="BB166" i="23916"/>
  <c r="BJ166" i="23916"/>
  <c r="BR166" i="23916"/>
  <c r="CV166" i="23916"/>
  <c r="DD166" i="23916"/>
  <c r="DL166" i="23916"/>
  <c r="GD166" i="23916"/>
  <c r="DT166" i="23916"/>
  <c r="EB166" i="23916"/>
  <c r="EJ166" i="23916"/>
  <c r="GE170" i="23916"/>
  <c r="AR174" i="23916"/>
  <c r="DD176" i="23916"/>
  <c r="CU181" i="23916"/>
  <c r="CW181" i="23916"/>
  <c r="DM181" i="23916"/>
  <c r="DN181" i="23916" s="1"/>
  <c r="DU181" i="23916"/>
  <c r="GK176" i="23916"/>
  <c r="GC178" i="23916"/>
  <c r="FR205" i="23916"/>
  <c r="DO209" i="23916"/>
  <c r="DP205" i="23916"/>
  <c r="DO206" i="23916"/>
  <c r="DP206" i="23916" s="1"/>
  <c r="DS209" i="23916"/>
  <c r="DT205" i="23916"/>
  <c r="DS206" i="23916"/>
  <c r="DW209" i="23916"/>
  <c r="DX205" i="23916"/>
  <c r="DW206" i="23916"/>
  <c r="EA209" i="23916"/>
  <c r="EB205" i="23916"/>
  <c r="EA206" i="23916"/>
  <c r="EB206" i="23916" s="1"/>
  <c r="EE209" i="23916"/>
  <c r="EF205" i="23916"/>
  <c r="EE206" i="23916"/>
  <c r="EF206" i="23916" s="1"/>
  <c r="EI209" i="23916"/>
  <c r="EJ205" i="23916"/>
  <c r="EI206" i="23916"/>
  <c r="FF209" i="23916"/>
  <c r="FF206" i="23916"/>
  <c r="AI200" i="23916"/>
  <c r="AJ200" i="23916" s="1"/>
  <c r="AR194" i="23916"/>
  <c r="AJ194" i="23916"/>
  <c r="FG203" i="23916"/>
  <c r="FM197" i="23916"/>
  <c r="FL203" i="23916"/>
  <c r="FO197" i="23916"/>
  <c r="EO33" i="23916"/>
  <c r="EM41" i="23916"/>
  <c r="BB40" i="23916"/>
  <c r="BL41" i="23916"/>
  <c r="AJ45" i="23916"/>
  <c r="BC390" i="23916"/>
  <c r="BC154" i="23916"/>
  <c r="BC152" i="23916"/>
  <c r="FN45" i="23916"/>
  <c r="FR390" i="23916"/>
  <c r="FR152" i="23916"/>
  <c r="FR154" i="23916"/>
  <c r="FS154" i="23916" s="1"/>
  <c r="FV390" i="23916"/>
  <c r="FV154" i="23916"/>
  <c r="FW154" i="23916" s="1"/>
  <c r="FZ390" i="23916"/>
  <c r="FZ154" i="23916"/>
  <c r="GD390" i="23916"/>
  <c r="GD154" i="23916"/>
  <c r="GE154" i="23916" s="1"/>
  <c r="GH390" i="23916"/>
  <c r="GH154" i="23916"/>
  <c r="GI154" i="23916" s="1"/>
  <c r="FJ47" i="23916"/>
  <c r="GD47" i="23916"/>
  <c r="GH47" i="23916"/>
  <c r="FX48" i="23916"/>
  <c r="AN47" i="23916"/>
  <c r="AS150" i="23916"/>
  <c r="AZ47" i="23916"/>
  <c r="BD47" i="23916"/>
  <c r="BH47" i="23916"/>
  <c r="BL47" i="23916"/>
  <c r="BP47" i="23916"/>
  <c r="BT47" i="23916"/>
  <c r="BX47" i="23916"/>
  <c r="CB47" i="23916"/>
  <c r="CF47" i="23916"/>
  <c r="CJ47" i="23916"/>
  <c r="CN47" i="23916"/>
  <c r="CR47" i="23916"/>
  <c r="CV47" i="23916"/>
  <c r="DA150" i="23916"/>
  <c r="DI150" i="23916"/>
  <c r="DQ150" i="23916"/>
  <c r="DY150" i="23916"/>
  <c r="EG150" i="23916"/>
  <c r="FH150" i="23916"/>
  <c r="CT48" i="23916"/>
  <c r="CX48" i="23916"/>
  <c r="AO51" i="23916"/>
  <c r="EC601" i="23916"/>
  <c r="EC578" i="23916"/>
  <c r="EG601" i="23916"/>
  <c r="EG578" i="23916"/>
  <c r="EL51" i="23916"/>
  <c r="FP51" i="23916"/>
  <c r="FT51" i="23916"/>
  <c r="GB51" i="23916"/>
  <c r="GF51" i="23916"/>
  <c r="EK52" i="23916"/>
  <c r="BH58" i="23916"/>
  <c r="FG58" i="23916"/>
  <c r="FW58" i="23916"/>
  <c r="GE58" i="23916"/>
  <c r="FS62" i="23916"/>
  <c r="FW62" i="23916"/>
  <c r="GA62" i="23916"/>
  <c r="FU167" i="23916"/>
  <c r="FY167" i="23916"/>
  <c r="FY64" i="23916"/>
  <c r="AL62" i="23916"/>
  <c r="CP168" i="23916"/>
  <c r="CT168" i="23916"/>
  <c r="CX168" i="23916"/>
  <c r="DB168" i="23916"/>
  <c r="GB168" i="23916"/>
  <c r="GC168" i="23916" s="1"/>
  <c r="DF168" i="23916"/>
  <c r="DJ168" i="23916"/>
  <c r="DN168" i="23916"/>
  <c r="DR168" i="23916"/>
  <c r="GF168" i="23916"/>
  <c r="GG168" i="23916" s="1"/>
  <c r="DV168" i="23916"/>
  <c r="DZ168" i="23916"/>
  <c r="EL168" i="23916"/>
  <c r="GH168" i="23916"/>
  <c r="ED168" i="23916"/>
  <c r="EH168" i="23916"/>
  <c r="EP168" i="23916"/>
  <c r="EP64" i="23916"/>
  <c r="FK168" i="23916"/>
  <c r="FI168" i="23916"/>
  <c r="FK64" i="23916"/>
  <c r="AR171" i="23916"/>
  <c r="AJ171" i="23916"/>
  <c r="FU66" i="23916"/>
  <c r="FY66" i="23916"/>
  <c r="FW171" i="23916"/>
  <c r="GA171" i="23916"/>
  <c r="GA68" i="23916"/>
  <c r="AD68" i="23916"/>
  <c r="AH68" i="23916"/>
  <c r="AL68" i="23916"/>
  <c r="AP68" i="23916"/>
  <c r="AT68" i="23916"/>
  <c r="AX68" i="23916"/>
  <c r="BB68" i="23916"/>
  <c r="BF68" i="23916"/>
  <c r="BJ68" i="23916"/>
  <c r="CN172" i="23916"/>
  <c r="CR172" i="23916"/>
  <c r="CV172" i="23916"/>
  <c r="CZ172" i="23916"/>
  <c r="DD172" i="23916"/>
  <c r="DC181" i="23916"/>
  <c r="DD181" i="23916" s="1"/>
  <c r="DH172" i="23916"/>
  <c r="DG181" i="23916"/>
  <c r="DL172" i="23916"/>
  <c r="DK181" i="23916"/>
  <c r="DL181" i="23916" s="1"/>
  <c r="DP172" i="23916"/>
  <c r="DO181" i="23916"/>
  <c r="DP181" i="23916" s="1"/>
  <c r="GD172" i="23916"/>
  <c r="GE172" i="23916" s="1"/>
  <c r="DT172" i="23916"/>
  <c r="DS181" i="23916"/>
  <c r="DX172" i="23916"/>
  <c r="DW181" i="23916"/>
  <c r="DX181" i="23916" s="1"/>
  <c r="EB172" i="23916"/>
  <c r="EA181" i="23916"/>
  <c r="EB181" i="23916" s="1"/>
  <c r="EN172" i="23916"/>
  <c r="EE181" i="23916"/>
  <c r="EF172" i="23916"/>
  <c r="ER172" i="23916"/>
  <c r="EJ172" i="23916"/>
  <c r="EI181" i="23916"/>
  <c r="EL68" i="23916"/>
  <c r="AE70" i="23916"/>
  <c r="AM70" i="23916"/>
  <c r="AQ70" i="23916"/>
  <c r="AU70" i="23916"/>
  <c r="AY70" i="23916"/>
  <c r="BC70" i="23916"/>
  <c r="BG70" i="23916"/>
  <c r="BK70" i="23916"/>
  <c r="BQ70" i="23916"/>
  <c r="BW70" i="23916"/>
  <c r="BW22" i="23916" s="1"/>
  <c r="BY26" i="23916" s="1"/>
  <c r="EJ70" i="23916"/>
  <c r="FZ70" i="23916"/>
  <c r="GA70" i="23916" s="1"/>
  <c r="AJ75" i="23916"/>
  <c r="FM75" i="23916"/>
  <c r="FQ75" i="23916"/>
  <c r="FU75" i="23916"/>
  <c r="FY75" i="23916"/>
  <c r="GC75" i="23916"/>
  <c r="GG75" i="23916"/>
  <c r="GK75" i="23916"/>
  <c r="AD81" i="23916"/>
  <c r="AI81" i="23916"/>
  <c r="AI148" i="23916" s="1"/>
  <c r="AL82" i="23916"/>
  <c r="FL83" i="23916"/>
  <c r="FM83" i="23916" s="1"/>
  <c r="FP83" i="23916"/>
  <c r="FT83" i="23916"/>
  <c r="FU83" i="23916" s="1"/>
  <c r="FX83" i="23916"/>
  <c r="FY83" i="23916" s="1"/>
  <c r="GB83" i="23916"/>
  <c r="GC83" i="23916" s="1"/>
  <c r="GF83" i="23916"/>
  <c r="GG83" i="23916" s="1"/>
  <c r="FJ84" i="23916"/>
  <c r="AL84" i="23916"/>
  <c r="ED87" i="23916"/>
  <c r="EH87" i="23916"/>
  <c r="EN87" i="23916"/>
  <c r="EM88" i="23916"/>
  <c r="EM81" i="23916" s="1"/>
  <c r="AJ100" i="23916"/>
  <c r="AI101" i="23916"/>
  <c r="FU174" i="23916"/>
  <c r="FU101" i="23916"/>
  <c r="FY101" i="23916"/>
  <c r="AT101" i="23916"/>
  <c r="GC101" i="23916"/>
  <c r="CG102" i="23916"/>
  <c r="FV102" i="23916" s="1"/>
  <c r="GA102" i="23916"/>
  <c r="AD107" i="23916"/>
  <c r="AD109" i="23916"/>
  <c r="FJ107" i="23916"/>
  <c r="FJ121" i="23916" s="1"/>
  <c r="FU107" i="23916"/>
  <c r="FY107" i="23916"/>
  <c r="GC107" i="23916"/>
  <c r="GG107" i="23916"/>
  <c r="BF108" i="23916"/>
  <c r="BN108" i="23916"/>
  <c r="BV108" i="23916"/>
  <c r="AD113" i="23916"/>
  <c r="AI113" i="23916"/>
  <c r="FJ113" i="23916"/>
  <c r="FM114" i="23916"/>
  <c r="FQ114" i="23916"/>
  <c r="GH115" i="23916"/>
  <c r="EM119" i="23916"/>
  <c r="AQ122" i="23916"/>
  <c r="EA122" i="23916"/>
  <c r="FS132" i="23916"/>
  <c r="FW132" i="23916"/>
  <c r="GA132" i="23916"/>
  <c r="FU178" i="23916"/>
  <c r="FY178" i="23916"/>
  <c r="FU134" i="23916"/>
  <c r="FY134" i="23916"/>
  <c r="GC134" i="23916"/>
  <c r="FG133" i="23916"/>
  <c r="FE134" i="23916"/>
  <c r="FI134" i="23916"/>
  <c r="AD136" i="23916"/>
  <c r="DZ136" i="23916"/>
  <c r="FS136" i="23916"/>
  <c r="FW136" i="23916"/>
  <c r="GA136" i="23916"/>
  <c r="FT137" i="23916"/>
  <c r="FU137" i="23916" s="1"/>
  <c r="FX137" i="23916"/>
  <c r="FY137" i="23916" s="1"/>
  <c r="EF137" i="23916"/>
  <c r="EJ137" i="23916"/>
  <c r="AM387" i="23916"/>
  <c r="AN384" i="23916"/>
  <c r="AU587" i="23916"/>
  <c r="AV384" i="23916"/>
  <c r="AY587" i="23916"/>
  <c r="AZ384" i="23916"/>
  <c r="BD384" i="23916"/>
  <c r="BG587" i="23916"/>
  <c r="BH384" i="23916"/>
  <c r="BK587" i="23916"/>
  <c r="BL384" i="23916"/>
  <c r="BO587" i="23916"/>
  <c r="BO387" i="23916"/>
  <c r="BP384" i="23916"/>
  <c r="BS587" i="23916"/>
  <c r="BS387" i="23916"/>
  <c r="BT384" i="23916"/>
  <c r="BW587" i="23916"/>
  <c r="BW387" i="23916"/>
  <c r="BX384" i="23916"/>
  <c r="CA587" i="23916"/>
  <c r="CA387" i="23916"/>
  <c r="CB384" i="23916"/>
  <c r="CE587" i="23916"/>
  <c r="CE387" i="23916"/>
  <c r="CF384" i="23916"/>
  <c r="CI587" i="23916"/>
  <c r="CI387" i="23916"/>
  <c r="CJ384" i="23916"/>
  <c r="CM587" i="23916"/>
  <c r="CM387" i="23916"/>
  <c r="CN384" i="23916"/>
  <c r="CQ587" i="23916"/>
  <c r="CQ387" i="23916"/>
  <c r="CR384" i="23916"/>
  <c r="CU587" i="23916"/>
  <c r="CU387" i="23916"/>
  <c r="CV384" i="23916"/>
  <c r="CY587" i="23916"/>
  <c r="CY387" i="23916"/>
  <c r="CZ384" i="23916"/>
  <c r="DC587" i="23916"/>
  <c r="DC387" i="23916"/>
  <c r="DD384" i="23916"/>
  <c r="DG587" i="23916"/>
  <c r="DG387" i="23916"/>
  <c r="DH384" i="23916"/>
  <c r="DK587" i="23916"/>
  <c r="DK387" i="23916"/>
  <c r="DL384" i="23916"/>
  <c r="DO587" i="23916"/>
  <c r="DO387" i="23916"/>
  <c r="DP384" i="23916"/>
  <c r="DS587" i="23916"/>
  <c r="DS387" i="23916"/>
  <c r="DT384" i="23916"/>
  <c r="DW587" i="23916"/>
  <c r="DW387" i="23916"/>
  <c r="DX384" i="23916"/>
  <c r="EA587" i="23916"/>
  <c r="EA387" i="23916"/>
  <c r="EB384" i="23916"/>
  <c r="EE587" i="23916"/>
  <c r="EE387" i="23916"/>
  <c r="EF384" i="23916"/>
  <c r="EI587" i="23916"/>
  <c r="EI387" i="23916"/>
  <c r="EJ384" i="23916"/>
  <c r="AH143" i="23916"/>
  <c r="AP143" i="23916"/>
  <c r="AT143" i="23916"/>
  <c r="AX143" i="23916"/>
  <c r="BR143" i="23916"/>
  <c r="BV143" i="23916"/>
  <c r="BZ143" i="23916"/>
  <c r="CD143" i="23916"/>
  <c r="CH143" i="23916"/>
  <c r="CL143" i="23916"/>
  <c r="CP143" i="23916"/>
  <c r="CT143" i="23916"/>
  <c r="CX143" i="23916"/>
  <c r="DB143" i="23916"/>
  <c r="DF143" i="23916"/>
  <c r="DJ143" i="23916"/>
  <c r="DN143" i="23916"/>
  <c r="DR143" i="23916"/>
  <c r="DV143" i="23916"/>
  <c r="DZ143" i="23916"/>
  <c r="ED143" i="23916"/>
  <c r="EH143" i="23916"/>
  <c r="AT386" i="23916"/>
  <c r="AX386" i="23916"/>
  <c r="BF386" i="23916"/>
  <c r="BR386" i="23916"/>
  <c r="BZ386" i="23916"/>
  <c r="CD386" i="23916"/>
  <c r="CH386" i="23916"/>
  <c r="CL386" i="23916"/>
  <c r="CP386" i="23916"/>
  <c r="CT386" i="23916"/>
  <c r="CX386" i="23916"/>
  <c r="DB386" i="23916"/>
  <c r="DF386" i="23916"/>
  <c r="DJ386" i="23916"/>
  <c r="DN386" i="23916"/>
  <c r="DR386" i="23916"/>
  <c r="DV386" i="23916"/>
  <c r="DZ386" i="23916"/>
  <c r="ED386" i="23916"/>
  <c r="EH386" i="23916"/>
  <c r="FD587" i="23916"/>
  <c r="FD387" i="23916"/>
  <c r="FH587" i="23916"/>
  <c r="FI384" i="23916"/>
  <c r="FH387" i="23916"/>
  <c r="FE143" i="23916"/>
  <c r="FI143" i="23916"/>
  <c r="FY143" i="23916"/>
  <c r="AU145" i="23916"/>
  <c r="BA145" i="23916"/>
  <c r="BK145" i="23916"/>
  <c r="BQ145" i="23916"/>
  <c r="CA145" i="23916"/>
  <c r="CG145" i="23916"/>
  <c r="CQ145" i="23916"/>
  <c r="CW145" i="23916"/>
  <c r="DG145" i="23916"/>
  <c r="DM145" i="23916"/>
  <c r="DW145" i="23916"/>
  <c r="EC145" i="23916"/>
  <c r="AE391" i="23916"/>
  <c r="AF391" i="23916" s="1"/>
  <c r="AF149" i="23916"/>
  <c r="AM391" i="23916"/>
  <c r="AN391" i="23916" s="1"/>
  <c r="AN149" i="23916"/>
  <c r="AU391" i="23916"/>
  <c r="AV149" i="23916"/>
  <c r="BC391" i="23916"/>
  <c r="BD391" i="23916" s="1"/>
  <c r="BD149" i="23916"/>
  <c r="BK391" i="23916"/>
  <c r="BL149" i="23916"/>
  <c r="BS391" i="23916"/>
  <c r="BT391" i="23916" s="1"/>
  <c r="BT149" i="23916"/>
  <c r="CA391" i="23916"/>
  <c r="CB149" i="23916"/>
  <c r="CI391" i="23916"/>
  <c r="CJ391" i="23916" s="1"/>
  <c r="CJ149" i="23916"/>
  <c r="CQ391" i="23916"/>
  <c r="CR149" i="23916"/>
  <c r="CY391" i="23916"/>
  <c r="CZ391" i="23916" s="1"/>
  <c r="CZ149" i="23916"/>
  <c r="DG391" i="23916"/>
  <c r="DH149" i="23916"/>
  <c r="DO391" i="23916"/>
  <c r="DP391" i="23916" s="1"/>
  <c r="DP149" i="23916"/>
  <c r="DW391" i="23916"/>
  <c r="DX149" i="23916"/>
  <c r="EE391" i="23916"/>
  <c r="EF391" i="23916" s="1"/>
  <c r="EF149" i="23916"/>
  <c r="DF150" i="23916"/>
  <c r="DN150" i="23916"/>
  <c r="DV150" i="23916"/>
  <c r="ED150" i="23916"/>
  <c r="AZ151" i="23916"/>
  <c r="AY156" i="23916"/>
  <c r="AZ156" i="23916" s="1"/>
  <c r="CF151" i="23916"/>
  <c r="CE156" i="23916"/>
  <c r="CF156" i="23916" s="1"/>
  <c r="DD151" i="23916"/>
  <c r="DC156" i="23916"/>
  <c r="DL151" i="23916"/>
  <c r="DK156" i="23916"/>
  <c r="DT151" i="23916"/>
  <c r="DS156" i="23916"/>
  <c r="DT156" i="23916" s="1"/>
  <c r="EJ151" i="23916"/>
  <c r="EI156" i="23916"/>
  <c r="EJ156" i="23916" s="1"/>
  <c r="FS148" i="23916"/>
  <c r="GA148" i="23916"/>
  <c r="GI148" i="23916"/>
  <c r="FH391" i="23916"/>
  <c r="FI391" i="23916" s="1"/>
  <c r="FI149" i="23916"/>
  <c r="FE150" i="23916"/>
  <c r="AQ155" i="23916"/>
  <c r="AY155" i="23916"/>
  <c r="AZ155" i="23916" s="1"/>
  <c r="BG155" i="23916"/>
  <c r="BH155" i="23916" s="1"/>
  <c r="BO155" i="23916"/>
  <c r="BP155" i="23916" s="1"/>
  <c r="BW155" i="23916"/>
  <c r="CE155" i="23916"/>
  <c r="CF155" i="23916" s="1"/>
  <c r="CM155" i="23916"/>
  <c r="CN155" i="23916" s="1"/>
  <c r="CU155" i="23916"/>
  <c r="CV155" i="23916" s="1"/>
  <c r="DC155" i="23916"/>
  <c r="DK155" i="23916"/>
  <c r="DL155" i="23916" s="1"/>
  <c r="DS155" i="23916"/>
  <c r="DT155" i="23916" s="1"/>
  <c r="EA155" i="23916"/>
  <c r="EB155" i="23916" s="1"/>
  <c r="EI155" i="23916"/>
  <c r="FF155" i="23916"/>
  <c r="FG155" i="23916" s="1"/>
  <c r="Y412" i="23916"/>
  <c r="Z412" i="23916" s="1"/>
  <c r="Z162" i="23916"/>
  <c r="AG412" i="23916"/>
  <c r="AH162" i="23916"/>
  <c r="AO412" i="23916"/>
  <c r="AP412" i="23916" s="1"/>
  <c r="AP162" i="23916"/>
  <c r="AW412" i="23916"/>
  <c r="AX162" i="23916"/>
  <c r="BE412" i="23916"/>
  <c r="BF412" i="23916" s="1"/>
  <c r="BF162" i="23916"/>
  <c r="BM412" i="23916"/>
  <c r="BN162" i="23916"/>
  <c r="BU412" i="23916"/>
  <c r="BV412" i="23916" s="1"/>
  <c r="BV162" i="23916"/>
  <c r="CC412" i="23916"/>
  <c r="CD162" i="23916"/>
  <c r="CK412" i="23916"/>
  <c r="CL412" i="23916" s="1"/>
  <c r="CL162" i="23916"/>
  <c r="CS412" i="23916"/>
  <c r="CT162" i="23916"/>
  <c r="DA412" i="23916"/>
  <c r="DB412" i="23916" s="1"/>
  <c r="DB162" i="23916"/>
  <c r="DI412" i="23916"/>
  <c r="DJ162" i="23916"/>
  <c r="GL412" i="23916"/>
  <c r="GM412" i="23916" s="1"/>
  <c r="GM162" i="23916"/>
  <c r="GT162" i="23916"/>
  <c r="DV162" i="23916"/>
  <c r="ED162" i="23916"/>
  <c r="AN166" i="23916"/>
  <c r="AV166" i="23916"/>
  <c r="BD166" i="23916"/>
  <c r="BL166" i="23916"/>
  <c r="AJ167" i="23916"/>
  <c r="GB166" i="23916"/>
  <c r="GC166" i="23916" s="1"/>
  <c r="GF166" i="23916"/>
  <c r="GG166" i="23916" s="1"/>
  <c r="GK166" i="23916"/>
  <c r="GI166" i="23916"/>
  <c r="GC170" i="23916"/>
  <c r="GG170" i="23916"/>
  <c r="AT174" i="23916"/>
  <c r="CZ176" i="23916"/>
  <c r="CY181" i="23916"/>
  <c r="GG174" i="23916"/>
  <c r="GE174" i="23916"/>
  <c r="FD181" i="23916"/>
  <c r="FE181" i="23916" s="1"/>
  <c r="CO181" i="23916"/>
  <c r="CQ181" i="23916"/>
  <c r="GF180" i="23916"/>
  <c r="GG180" i="23916" s="1"/>
  <c r="CG181" i="23916"/>
  <c r="CH181" i="23916" s="1"/>
  <c r="CI181" i="23916"/>
  <c r="CA181" i="23916"/>
  <c r="CE181" i="23916"/>
  <c r="CK181" i="23916"/>
  <c r="FL205" i="23916"/>
  <c r="FT205" i="23916"/>
  <c r="FU191" i="23916"/>
  <c r="FX205" i="23916"/>
  <c r="FY191" i="23916"/>
  <c r="GB205" i="23916"/>
  <c r="GC191" i="23916"/>
  <c r="GF205" i="23916"/>
  <c r="GG191" i="23916"/>
  <c r="BF191" i="23916"/>
  <c r="BE205" i="23916"/>
  <c r="BE203" i="23916"/>
  <c r="BF203" i="23916" s="1"/>
  <c r="BN191" i="23916"/>
  <c r="DK209" i="23916"/>
  <c r="DK206" i="23916"/>
  <c r="FM195" i="23916"/>
  <c r="FK195" i="23916"/>
  <c r="AR196" i="23916"/>
  <c r="FS198" i="23916"/>
  <c r="FR203" i="23916"/>
  <c r="FV203" i="23916"/>
  <c r="FW203" i="23916" s="1"/>
  <c r="FZ203" i="23916"/>
  <c r="GA203" i="23916" s="1"/>
  <c r="GD203" i="23916"/>
  <c r="GE203" i="23916" s="1"/>
  <c r="GH203" i="23916"/>
  <c r="GI203" i="23916" s="1"/>
  <c r="AR200" i="23916"/>
  <c r="GB167" i="23916"/>
  <c r="GC167" i="23916" s="1"/>
  <c r="GF167" i="23916"/>
  <c r="GG167" i="23916" s="1"/>
  <c r="EL166" i="23916"/>
  <c r="EN167" i="23916"/>
  <c r="FK166" i="23916"/>
  <c r="BR170" i="23916"/>
  <c r="GD171" i="23916"/>
  <c r="GE171" i="23916" s="1"/>
  <c r="GH171" i="23916"/>
  <c r="EP170" i="23916"/>
  <c r="ER171" i="23916"/>
  <c r="GB175" i="23916"/>
  <c r="GC175" i="23916" s="1"/>
  <c r="CV174" i="23916"/>
  <c r="DF176" i="23916"/>
  <c r="GB176" i="23916"/>
  <c r="GC176" i="23916" s="1"/>
  <c r="GF176" i="23916"/>
  <c r="AE181" i="23916"/>
  <c r="AF181" i="23916" s="1"/>
  <c r="AM181" i="23916"/>
  <c r="AN181" i="23916" s="1"/>
  <c r="AQ181" i="23916"/>
  <c r="AU181" i="23916"/>
  <c r="AV181" i="23916" s="1"/>
  <c r="AY181" i="23916"/>
  <c r="BC181" i="23916"/>
  <c r="BG181" i="23916"/>
  <c r="BH181" i="23916" s="1"/>
  <c r="BK181" i="23916"/>
  <c r="BL181" i="23916" s="1"/>
  <c r="BR177" i="23916"/>
  <c r="CM181" i="23916"/>
  <c r="CN181" i="23916" s="1"/>
  <c r="GB179" i="23916"/>
  <c r="GC179" i="23916" s="1"/>
  <c r="GI177" i="23916"/>
  <c r="DZ179" i="23916"/>
  <c r="ED179" i="23916"/>
  <c r="EF179" i="23916"/>
  <c r="EJ179" i="23916"/>
  <c r="AD188" i="23916"/>
  <c r="AL189" i="23916"/>
  <c r="AR190" i="23916"/>
  <c r="BF189" i="23916"/>
  <c r="U191" i="23916"/>
  <c r="V191" i="23916" s="1"/>
  <c r="AC191" i="23916"/>
  <c r="AK191" i="23916"/>
  <c r="AO191" i="23916"/>
  <c r="AX191" i="23916" s="1"/>
  <c r="BA191" i="23916"/>
  <c r="BI191" i="23916"/>
  <c r="BR191" i="23916" s="1"/>
  <c r="DF191" i="23916"/>
  <c r="DJ191" i="23916"/>
  <c r="AI195" i="23916"/>
  <c r="FJ196" i="23916"/>
  <c r="FK196" i="23916" s="1"/>
  <c r="FN196" i="23916"/>
  <c r="FQ196" i="23916" s="1"/>
  <c r="FV196" i="23916"/>
  <c r="FY196" i="23916" s="1"/>
  <c r="FZ196" i="23916"/>
  <c r="GD196" i="23916"/>
  <c r="GG196" i="23916" s="1"/>
  <c r="GH196" i="23916"/>
  <c r="FD198" i="23916"/>
  <c r="FE198" i="23916" s="1"/>
  <c r="FH198" i="23916"/>
  <c r="FI198" i="23916" s="1"/>
  <c r="AC198" i="23916"/>
  <c r="AD198" i="23916" s="1"/>
  <c r="AG198" i="23916"/>
  <c r="AH198" i="23916" s="1"/>
  <c r="AK198" i="23916"/>
  <c r="AL198" i="23916" s="1"/>
  <c r="AO198" i="23916"/>
  <c r="AS198" i="23916"/>
  <c r="AW198" i="23916"/>
  <c r="AX198" i="23916" s="1"/>
  <c r="BA198" i="23916"/>
  <c r="BB198" i="23916" s="1"/>
  <c r="BE198" i="23916"/>
  <c r="BI198" i="23916"/>
  <c r="BM198" i="23916"/>
  <c r="BN198" i="23916" s="1"/>
  <c r="BQ198" i="23916"/>
  <c r="BR198" i="23916" s="1"/>
  <c r="BU198" i="23916"/>
  <c r="BY198" i="23916"/>
  <c r="CC198" i="23916"/>
  <c r="CD198" i="23916" s="1"/>
  <c r="CG198" i="23916"/>
  <c r="CH198" i="23916" s="1"/>
  <c r="CK198" i="23916"/>
  <c r="CO198" i="23916"/>
  <c r="CS198" i="23916"/>
  <c r="CT198" i="23916" s="1"/>
  <c r="CW198" i="23916"/>
  <c r="CX198" i="23916" s="1"/>
  <c r="DA198" i="23916"/>
  <c r="DE198" i="23916"/>
  <c r="DI198" i="23916"/>
  <c r="DJ198" i="23916" s="1"/>
  <c r="DM198" i="23916"/>
  <c r="DN198" i="23916" s="1"/>
  <c r="DQ198" i="23916"/>
  <c r="DU198" i="23916"/>
  <c r="DY198" i="23916"/>
  <c r="DZ198" i="23916" s="1"/>
  <c r="EC198" i="23916"/>
  <c r="ED198" i="23916" s="1"/>
  <c r="EG198" i="23916"/>
  <c r="AC200" i="23916"/>
  <c r="AD200" i="23916" s="1"/>
  <c r="AK200" i="23916"/>
  <c r="AL200" i="23916" s="1"/>
  <c r="EL200" i="23916"/>
  <c r="AC202" i="23916"/>
  <c r="AD202" i="23916" s="1"/>
  <c r="AK202" i="23916"/>
  <c r="AL202" i="23916" s="1"/>
  <c r="AG203" i="23916"/>
  <c r="AH203" i="23916" s="1"/>
  <c r="AS203" i="23916"/>
  <c r="AW203" i="23916"/>
  <c r="BM203" i="23916"/>
  <c r="BQ203" i="23916"/>
  <c r="BU203" i="23916"/>
  <c r="BV203" i="23916" s="1"/>
  <c r="BY203" i="23916"/>
  <c r="CC203" i="23916"/>
  <c r="CG203" i="23916"/>
  <c r="CH203" i="23916" s="1"/>
  <c r="CK203" i="23916"/>
  <c r="CL203" i="23916" s="1"/>
  <c r="CO203" i="23916"/>
  <c r="CS203" i="23916"/>
  <c r="CW203" i="23916"/>
  <c r="CX203" i="23916" s="1"/>
  <c r="DA203" i="23916"/>
  <c r="DB203" i="23916" s="1"/>
  <c r="DI203" i="23916"/>
  <c r="DM203" i="23916"/>
  <c r="DN203" i="23916" s="1"/>
  <c r="DQ203" i="23916"/>
  <c r="DR203" i="23916" s="1"/>
  <c r="DU203" i="23916"/>
  <c r="DV203" i="23916" s="1"/>
  <c r="DY203" i="23916"/>
  <c r="EC203" i="23916"/>
  <c r="EG203" i="23916"/>
  <c r="EH203" i="23916" s="1"/>
  <c r="EL202" i="23916"/>
  <c r="Y205" i="23916"/>
  <c r="AS205" i="23916"/>
  <c r="AW205" i="23916"/>
  <c r="BU205" i="23916"/>
  <c r="BY205" i="23916"/>
  <c r="CK205" i="23916"/>
  <c r="CO205" i="23916"/>
  <c r="DA205" i="23916"/>
  <c r="FZ216" i="23916"/>
  <c r="GA216" i="23916" s="1"/>
  <c r="GH216" i="23916"/>
  <c r="AT215" i="23916"/>
  <c r="AP216" i="23916"/>
  <c r="AX216" i="23916"/>
  <c r="BF216" i="23916"/>
  <c r="ER216" i="23916"/>
  <c r="EJ216" i="23916"/>
  <c r="EN221" i="23916"/>
  <c r="EN223" i="23916"/>
  <c r="EM224" i="23916"/>
  <c r="FE221" i="23916"/>
  <c r="FD224" i="23916"/>
  <c r="GH224" i="23916"/>
  <c r="FC224" i="23916"/>
  <c r="FB236" i="23916"/>
  <c r="FC236" i="23916" s="1"/>
  <c r="FR239" i="23916"/>
  <c r="G243" i="23916"/>
  <c r="G240" i="23916"/>
  <c r="X236" i="23916"/>
  <c r="AE243" i="23916"/>
  <c r="AE240" i="23916"/>
  <c r="AM243" i="23916"/>
  <c r="AM240" i="23916"/>
  <c r="AU243" i="23916"/>
  <c r="AU240" i="23916"/>
  <c r="AV240" i="23916" s="1"/>
  <c r="BL236" i="23916"/>
  <c r="BT236" i="23916"/>
  <c r="CB236" i="23916"/>
  <c r="CJ236" i="23916"/>
  <c r="CR236" i="23916"/>
  <c r="CZ236" i="23916"/>
  <c r="DH236" i="23916"/>
  <c r="DP236" i="23916"/>
  <c r="DX236" i="23916"/>
  <c r="EF236" i="23916"/>
  <c r="EL229" i="23916"/>
  <c r="EM229" i="23916"/>
  <c r="FZ231" i="23916"/>
  <c r="FF235" i="23916"/>
  <c r="FG228" i="23916"/>
  <c r="FN235" i="23916"/>
  <c r="FO228" i="23916"/>
  <c r="FV235" i="23916"/>
  <c r="FW228" i="23916"/>
  <c r="GD235" i="23916"/>
  <c r="GE228" i="23916"/>
  <c r="FG230" i="23916"/>
  <c r="FO230" i="23916"/>
  <c r="FW230" i="23916"/>
  <c r="GE230" i="23916"/>
  <c r="AG231" i="23916"/>
  <c r="AH231" i="23916" s="1"/>
  <c r="AH229" i="23916"/>
  <c r="AO231" i="23916"/>
  <c r="AP229" i="23916"/>
  <c r="FJ229" i="23916"/>
  <c r="FK229" i="23916" s="1"/>
  <c r="AW231" i="23916"/>
  <c r="AX231" i="23916" s="1"/>
  <c r="AX229" i="23916"/>
  <c r="BE231" i="23916"/>
  <c r="BF229" i="23916"/>
  <c r="FN229" i="23916"/>
  <c r="BM231" i="23916"/>
  <c r="BN229" i="23916"/>
  <c r="BU231" i="23916"/>
  <c r="BV231" i="23916" s="1"/>
  <c r="BV229" i="23916"/>
  <c r="CC231" i="23916"/>
  <c r="CD229" i="23916"/>
  <c r="CK231" i="23916"/>
  <c r="CL231" i="23916" s="1"/>
  <c r="CL229" i="23916"/>
  <c r="FV229" i="23916"/>
  <c r="FW229" i="23916" s="1"/>
  <c r="CS231" i="23916"/>
  <c r="CT229" i="23916"/>
  <c r="DA231" i="23916"/>
  <c r="DB231" i="23916" s="1"/>
  <c r="DB229" i="23916"/>
  <c r="FZ229" i="23916"/>
  <c r="DI231" i="23916"/>
  <c r="DJ229" i="23916"/>
  <c r="DQ231" i="23916"/>
  <c r="DR229" i="23916"/>
  <c r="GD229" i="23916"/>
  <c r="DY231" i="23916"/>
  <c r="DZ231" i="23916" s="1"/>
  <c r="DZ229" i="23916"/>
  <c r="EG231" i="23916"/>
  <c r="EH229" i="23916"/>
  <c r="GH229" i="23916"/>
  <c r="GH231" i="23916" s="1"/>
  <c r="GI231" i="23916" s="1"/>
  <c r="AB233" i="23916"/>
  <c r="AJ233" i="23916"/>
  <c r="AR233" i="23916"/>
  <c r="AZ233" i="23916"/>
  <c r="BH233" i="23916"/>
  <c r="BP233" i="23916"/>
  <c r="BX233" i="23916"/>
  <c r="CF233" i="23916"/>
  <c r="CN233" i="23916"/>
  <c r="CV233" i="23916"/>
  <c r="DD233" i="23916"/>
  <c r="DL233" i="23916"/>
  <c r="DT233" i="23916"/>
  <c r="EA625" i="23916"/>
  <c r="EB233" i="23916"/>
  <c r="EI625" i="23916"/>
  <c r="EJ233" i="23916"/>
  <c r="AB235" i="23916"/>
  <c r="AJ235" i="23916"/>
  <c r="AR235" i="23916"/>
  <c r="AZ235" i="23916"/>
  <c r="BH235" i="23916"/>
  <c r="BP235" i="23916"/>
  <c r="BX235" i="23916"/>
  <c r="CF235" i="23916"/>
  <c r="CN235" i="23916"/>
  <c r="CV235" i="23916"/>
  <c r="DD235" i="23916"/>
  <c r="DL235" i="23916"/>
  <c r="DT235" i="23916"/>
  <c r="EB235" i="23916"/>
  <c r="EJ235" i="23916"/>
  <c r="EK235" i="23916"/>
  <c r="EN236" i="23916"/>
  <c r="AV239" i="23916"/>
  <c r="FF276" i="23916"/>
  <c r="BH276" i="23916"/>
  <c r="BG277" i="23916"/>
  <c r="BG280" i="23916"/>
  <c r="BM256" i="23916"/>
  <c r="BN253" i="23916"/>
  <c r="AX256" i="23916"/>
  <c r="AP256" i="23916"/>
  <c r="EL256" i="23916"/>
  <c r="GN255" i="23916"/>
  <c r="GM255" i="23916"/>
  <c r="M280" i="23916"/>
  <c r="N276" i="23916"/>
  <c r="M277" i="23916"/>
  <c r="N277" i="23916" s="1"/>
  <c r="Q280" i="23916"/>
  <c r="R276" i="23916"/>
  <c r="Q277" i="23916"/>
  <c r="R277" i="23916" s="1"/>
  <c r="U280" i="23916"/>
  <c r="V276" i="23916"/>
  <c r="U277" i="23916"/>
  <c r="V277" i="23916" s="1"/>
  <c r="Y280" i="23916"/>
  <c r="Z276" i="23916"/>
  <c r="Y277" i="23916"/>
  <c r="AC280" i="23916"/>
  <c r="AD276" i="23916"/>
  <c r="AC277" i="23916"/>
  <c r="AG280" i="23916"/>
  <c r="AH276" i="23916"/>
  <c r="AG277" i="23916"/>
  <c r="AH277" i="23916" s="1"/>
  <c r="AK280" i="23916"/>
  <c r="AL276" i="23916"/>
  <c r="AK277" i="23916"/>
  <c r="AL277" i="23916" s="1"/>
  <c r="FG256" i="23916"/>
  <c r="BF264" i="23916"/>
  <c r="FI259" i="23916"/>
  <c r="FH270" i="23916"/>
  <c r="FI270" i="23916" s="1"/>
  <c r="AO273" i="23916"/>
  <c r="FR273" i="23916"/>
  <c r="AB272" i="23916"/>
  <c r="AJ272" i="23916"/>
  <c r="AR272" i="23916"/>
  <c r="AZ272" i="23916"/>
  <c r="BH272" i="23916"/>
  <c r="BP272" i="23916"/>
  <c r="BX272" i="23916"/>
  <c r="GA272" i="23916"/>
  <c r="FE292" i="23916"/>
  <c r="FI292" i="23916"/>
  <c r="FM292" i="23916"/>
  <c r="EQ292" i="23916"/>
  <c r="EP292" i="23916"/>
  <c r="GG294" i="23916"/>
  <c r="GI294" i="23916"/>
  <c r="FO297" i="23916"/>
  <c r="FS297" i="23916"/>
  <c r="FQ297" i="23916"/>
  <c r="FG300" i="23916"/>
  <c r="FI300" i="23916"/>
  <c r="FK300" i="23916"/>
  <c r="FS301" i="23916"/>
  <c r="BJ390" i="23916"/>
  <c r="BN390" i="23916"/>
  <c r="BR390" i="23916"/>
  <c r="BV390" i="23916"/>
  <c r="BZ390" i="23916"/>
  <c r="CD390" i="23916"/>
  <c r="CH390" i="23916"/>
  <c r="CL390" i="23916"/>
  <c r="CP390" i="23916"/>
  <c r="CT390" i="23916"/>
  <c r="CX390" i="23916"/>
  <c r="DB390" i="23916"/>
  <c r="DF390" i="23916"/>
  <c r="DJ390" i="23916"/>
  <c r="DN390" i="23916"/>
  <c r="DR390" i="23916"/>
  <c r="DV390" i="23916"/>
  <c r="DZ390" i="23916"/>
  <c r="ED390" i="23916"/>
  <c r="EH390" i="23916"/>
  <c r="BA152" i="23916"/>
  <c r="BE152" i="23916"/>
  <c r="BI152" i="23916"/>
  <c r="BJ152" i="23916" s="1"/>
  <c r="BM152" i="23916"/>
  <c r="BQ152" i="23916"/>
  <c r="BU152" i="23916"/>
  <c r="BV152" i="23916" s="1"/>
  <c r="BY152" i="23916"/>
  <c r="BZ152" i="23916" s="1"/>
  <c r="CC152" i="23916"/>
  <c r="CG152" i="23916"/>
  <c r="CK152" i="23916"/>
  <c r="CL152" i="23916" s="1"/>
  <c r="CO152" i="23916"/>
  <c r="CP152" i="23916" s="1"/>
  <c r="CS152" i="23916"/>
  <c r="CW152" i="23916"/>
  <c r="DA152" i="23916"/>
  <c r="DB152" i="23916" s="1"/>
  <c r="DE152" i="23916"/>
  <c r="DF152" i="23916" s="1"/>
  <c r="DI152" i="23916"/>
  <c r="DM152" i="23916"/>
  <c r="DQ152" i="23916"/>
  <c r="DR152" i="23916" s="1"/>
  <c r="DU152" i="23916"/>
  <c r="DV152" i="23916" s="1"/>
  <c r="DY152" i="23916"/>
  <c r="EC152" i="23916"/>
  <c r="EG152" i="23916"/>
  <c r="EH152" i="23916" s="1"/>
  <c r="FE390" i="23916"/>
  <c r="FI390" i="23916"/>
  <c r="FD152" i="23916"/>
  <c r="FE152" i="23916" s="1"/>
  <c r="FH152" i="23916"/>
  <c r="BA154" i="23916"/>
  <c r="BE154" i="23916"/>
  <c r="BI154" i="23916"/>
  <c r="BJ154" i="23916" s="1"/>
  <c r="BM154" i="23916"/>
  <c r="BQ154" i="23916"/>
  <c r="BU154" i="23916"/>
  <c r="BV154" i="23916" s="1"/>
  <c r="BY154" i="23916"/>
  <c r="BZ154" i="23916" s="1"/>
  <c r="CC154" i="23916"/>
  <c r="CG154" i="23916"/>
  <c r="CK154" i="23916"/>
  <c r="CL154" i="23916" s="1"/>
  <c r="CO154" i="23916"/>
  <c r="CP154" i="23916" s="1"/>
  <c r="CS154" i="23916"/>
  <c r="CW154" i="23916"/>
  <c r="DA154" i="23916"/>
  <c r="DB154" i="23916" s="1"/>
  <c r="DE154" i="23916"/>
  <c r="DF154" i="23916" s="1"/>
  <c r="DI154" i="23916"/>
  <c r="DM154" i="23916"/>
  <c r="DQ154" i="23916"/>
  <c r="DR154" i="23916" s="1"/>
  <c r="DU154" i="23916"/>
  <c r="DV154" i="23916" s="1"/>
  <c r="DY154" i="23916"/>
  <c r="EC154" i="23916"/>
  <c r="EG154" i="23916"/>
  <c r="EH154" i="23916" s="1"/>
  <c r="FF154" i="23916"/>
  <c r="DX412" i="23916"/>
  <c r="EF412" i="23916"/>
  <c r="DF166" i="23916"/>
  <c r="DV166" i="23916"/>
  <c r="ED166" i="23916"/>
  <c r="EH166" i="23916"/>
  <c r="DT167" i="23916"/>
  <c r="EJ167" i="23916"/>
  <c r="EL167" i="23916"/>
  <c r="ER166" i="23916"/>
  <c r="FK167" i="23916"/>
  <c r="DT170" i="23916"/>
  <c r="EF170" i="23916"/>
  <c r="EJ170" i="23916"/>
  <c r="DF171" i="23916"/>
  <c r="DV171" i="23916"/>
  <c r="ED171" i="23916"/>
  <c r="EH171" i="23916"/>
  <c r="FI171" i="23916"/>
  <c r="GH170" i="23916"/>
  <c r="DB175" i="23916"/>
  <c r="DF175" i="23916"/>
  <c r="FE174" i="23916"/>
  <c r="FI174" i="23916"/>
  <c r="CR175" i="23916"/>
  <c r="EF175" i="23916"/>
  <c r="EJ175" i="23916"/>
  <c r="GE178" i="23916"/>
  <c r="BJ179" i="23916"/>
  <c r="BR180" i="23916"/>
  <c r="FF181" i="23916"/>
  <c r="FG181" i="23916" s="1"/>
  <c r="GH180" i="23916"/>
  <c r="EG181" i="23916"/>
  <c r="ED180" i="23916"/>
  <c r="EF180" i="23916"/>
  <c r="EH180" i="23916"/>
  <c r="EJ180" i="23916"/>
  <c r="V190" i="23916"/>
  <c r="AJ188" i="23916"/>
  <c r="AI189" i="23916"/>
  <c r="AL190" i="23916"/>
  <c r="FJ188" i="23916"/>
  <c r="FJ200" i="23916" s="1"/>
  <c r="FP189" i="23916"/>
  <c r="FJ190" i="23916"/>
  <c r="AP190" i="23916"/>
  <c r="AT188" i="23916"/>
  <c r="BN189" i="23916"/>
  <c r="AT195" i="23916"/>
  <c r="AH196" i="23916"/>
  <c r="AT196" i="23916"/>
  <c r="FG196" i="23916"/>
  <c r="FS196" i="23916"/>
  <c r="AI197" i="23916"/>
  <c r="BJ196" i="23916"/>
  <c r="BZ196" i="23916"/>
  <c r="CP196" i="23916"/>
  <c r="DF196" i="23916"/>
  <c r="DV196" i="23916"/>
  <c r="ED196" i="23916"/>
  <c r="EH196" i="23916"/>
  <c r="ED200" i="23916"/>
  <c r="EH200" i="23916"/>
  <c r="EN200" i="23916"/>
  <c r="FU214" i="23916"/>
  <c r="GC214" i="23916"/>
  <c r="GB216" i="23916"/>
  <c r="GC216" i="23916" s="1"/>
  <c r="AR216" i="23916"/>
  <c r="AZ216" i="23916"/>
  <c r="BH216" i="23916"/>
  <c r="EO221" i="23916"/>
  <c r="FG221" i="23916"/>
  <c r="FO221" i="23916"/>
  <c r="FW221" i="23916"/>
  <c r="GJ222" i="23916"/>
  <c r="GJ223" i="23916"/>
  <c r="FI223" i="23916"/>
  <c r="FQ223" i="23916"/>
  <c r="FY223" i="23916"/>
  <c r="FF224" i="23916"/>
  <c r="FV224" i="23916"/>
  <c r="FV236" i="23916" s="1"/>
  <c r="I572" i="23916"/>
  <c r="I408" i="23916"/>
  <c r="I451" i="23916" s="1"/>
  <c r="I244" i="23916"/>
  <c r="Q239" i="23916"/>
  <c r="R224" i="23916"/>
  <c r="Q236" i="23916"/>
  <c r="R236" i="23916" s="1"/>
  <c r="Y239" i="23916"/>
  <c r="Z224" i="23916"/>
  <c r="Y236" i="23916"/>
  <c r="AG239" i="23916"/>
  <c r="AH224" i="23916"/>
  <c r="AO239" i="23916"/>
  <c r="AP224" i="23916"/>
  <c r="AW239" i="23916"/>
  <c r="AX224" i="23916"/>
  <c r="AW236" i="23916"/>
  <c r="BE239" i="23916"/>
  <c r="BF224" i="23916"/>
  <c r="BE236" i="23916"/>
  <c r="BM239" i="23916"/>
  <c r="BN224" i="23916"/>
  <c r="BM236" i="23916"/>
  <c r="BN236" i="23916" s="1"/>
  <c r="BU239" i="23916"/>
  <c r="BV224" i="23916"/>
  <c r="BU236" i="23916"/>
  <c r="CC239" i="23916"/>
  <c r="CD224" i="23916"/>
  <c r="CC236" i="23916"/>
  <c r="CK239" i="23916"/>
  <c r="CL224" i="23916"/>
  <c r="CK236" i="23916"/>
  <c r="CS239" i="23916"/>
  <c r="CT224" i="23916"/>
  <c r="CS236" i="23916"/>
  <c r="CT236" i="23916" s="1"/>
  <c r="DA239" i="23916"/>
  <c r="DB224" i="23916"/>
  <c r="DA236" i="23916"/>
  <c r="DI239" i="23916"/>
  <c r="DJ224" i="23916"/>
  <c r="DI236" i="23916"/>
  <c r="DQ239" i="23916"/>
  <c r="DR224" i="23916"/>
  <c r="DQ236" i="23916"/>
  <c r="DY239" i="23916"/>
  <c r="DZ224" i="23916"/>
  <c r="DY236" i="23916"/>
  <c r="DZ236" i="23916" s="1"/>
  <c r="EG239" i="23916"/>
  <c r="EH224" i="23916"/>
  <c r="EG236" i="23916"/>
  <c r="GE221" i="23916"/>
  <c r="FM227" i="23916"/>
  <c r="FU227" i="23916"/>
  <c r="FT231" i="23916"/>
  <c r="FU231" i="23916" s="1"/>
  <c r="GC227" i="23916"/>
  <c r="FH235" i="23916"/>
  <c r="FI235" i="23916" s="1"/>
  <c r="FP235" i="23916"/>
  <c r="FQ235" i="23916" s="1"/>
  <c r="FX235" i="23916"/>
  <c r="FY235" i="23916" s="1"/>
  <c r="GF235" i="23916"/>
  <c r="GG235" i="23916" s="1"/>
  <c r="FL229" i="23916"/>
  <c r="FM229" i="23916" s="1"/>
  <c r="FX229" i="23916"/>
  <c r="FY229" i="23916" s="1"/>
  <c r="FI230" i="23916"/>
  <c r="FQ230" i="23916"/>
  <c r="FY230" i="23916"/>
  <c r="GG230" i="23916"/>
  <c r="FD235" i="23916"/>
  <c r="FE228" i="23916"/>
  <c r="AG236" i="23916"/>
  <c r="AH236" i="23916" s="1"/>
  <c r="AO236" i="23916"/>
  <c r="AP236" i="23916" s="1"/>
  <c r="EM625" i="23916"/>
  <c r="EM234" i="23916"/>
  <c r="EN233" i="23916"/>
  <c r="EO233" i="23916"/>
  <c r="E236" i="23916"/>
  <c r="BY276" i="23916"/>
  <c r="CH256" i="23916"/>
  <c r="BZ256" i="23916"/>
  <c r="BV253" i="23916"/>
  <c r="EN253" i="23916"/>
  <c r="EO253" i="23916"/>
  <c r="FR277" i="23916"/>
  <c r="FR280" i="23916"/>
  <c r="BA280" i="23916"/>
  <c r="BB276" i="23916"/>
  <c r="BA277" i="23916"/>
  <c r="BE280" i="23916"/>
  <c r="BE277" i="23916"/>
  <c r="FK256" i="23916"/>
  <c r="GA256" i="23916"/>
  <c r="BL270" i="23916"/>
  <c r="BD270" i="23916"/>
  <c r="FL270" i="23916"/>
  <c r="FL264" i="23916"/>
  <c r="FG260" i="23916"/>
  <c r="FF272" i="23916"/>
  <c r="FO260" i="23916"/>
  <c r="FN272" i="23916"/>
  <c r="EL259" i="23916"/>
  <c r="CH264" i="23916"/>
  <c r="BI273" i="23916"/>
  <c r="BM273" i="23916"/>
  <c r="BV273" i="23916"/>
  <c r="BY273" i="23916"/>
  <c r="BZ273" i="23916" s="1"/>
  <c r="CD273" i="23916"/>
  <c r="CL273" i="23916"/>
  <c r="CP273" i="23916"/>
  <c r="CT273" i="23916"/>
  <c r="CX273" i="23916"/>
  <c r="DB273" i="23916"/>
  <c r="DF273" i="23916"/>
  <c r="DJ273" i="23916"/>
  <c r="DN273" i="23916"/>
  <c r="DR273" i="23916"/>
  <c r="DV273" i="23916"/>
  <c r="DZ273" i="23916"/>
  <c r="ED273" i="23916"/>
  <c r="EH273" i="23916"/>
  <c r="FF273" i="23916"/>
  <c r="FI264" i="23916"/>
  <c r="BX264" i="23916"/>
  <c r="DD264" i="23916"/>
  <c r="DT264" i="23916"/>
  <c r="EJ264" i="23916"/>
  <c r="EO270" i="23916"/>
  <c r="EN270" i="23916"/>
  <c r="CB272" i="23916"/>
  <c r="CJ272" i="23916"/>
  <c r="CR272" i="23916"/>
  <c r="CZ272" i="23916"/>
  <c r="DH272" i="23916"/>
  <c r="DP272" i="23916"/>
  <c r="DX272" i="23916"/>
  <c r="EF272" i="23916"/>
  <c r="BG273" i="23916"/>
  <c r="BH273" i="23916" s="1"/>
  <c r="GE272" i="23916"/>
  <c r="GG285" i="23916"/>
  <c r="GF289" i="23916"/>
  <c r="GI285" i="23916"/>
  <c r="GL287" i="23916"/>
  <c r="GK287" i="23916"/>
  <c r="BR305" i="23916"/>
  <c r="BQ308" i="23916"/>
  <c r="BZ305" i="23916"/>
  <c r="BY308" i="23916"/>
  <c r="CP305" i="23916"/>
  <c r="CO308" i="23916"/>
  <c r="CX305" i="23916"/>
  <c r="CW308" i="23916"/>
  <c r="DF305" i="23916"/>
  <c r="DE308" i="23916"/>
  <c r="DN305" i="23916"/>
  <c r="DM308" i="23916"/>
  <c r="DV305" i="23916"/>
  <c r="DU308" i="23916"/>
  <c r="ED305" i="23916"/>
  <c r="EC308" i="23916"/>
  <c r="GH167" i="23916"/>
  <c r="EL170" i="23916"/>
  <c r="EN171" i="23916"/>
  <c r="FK170" i="23916"/>
  <c r="GD175" i="23916"/>
  <c r="FK174" i="23916"/>
  <c r="GD176" i="23916"/>
  <c r="GE176" i="23916" s="1"/>
  <c r="AG181" i="23916"/>
  <c r="AH181" i="23916" s="1"/>
  <c r="AO181" i="23916"/>
  <c r="AP181" i="23916" s="1"/>
  <c r="AS181" i="23916"/>
  <c r="AW181" i="23916"/>
  <c r="BA181" i="23916"/>
  <c r="BE181" i="23916"/>
  <c r="BF181" i="23916" s="1"/>
  <c r="BI181" i="23916"/>
  <c r="BJ181" i="23916" s="1"/>
  <c r="GD179" i="23916"/>
  <c r="EK188" i="23916"/>
  <c r="EK191" i="23916" s="1"/>
  <c r="BB189" i="23916"/>
  <c r="AI191" i="23916"/>
  <c r="BK191" i="23916"/>
  <c r="DH191" i="23916"/>
  <c r="DL191" i="23916"/>
  <c r="AL194" i="23916"/>
  <c r="AE198" i="23916"/>
  <c r="AF198" i="23916" s="1"/>
  <c r="AM198" i="23916"/>
  <c r="AN198" i="23916" s="1"/>
  <c r="AQ198" i="23916"/>
  <c r="AQ205" i="23916" s="1"/>
  <c r="AU198" i="23916"/>
  <c r="AV198" i="23916" s="1"/>
  <c r="EP200" i="23916"/>
  <c r="AE203" i="23916"/>
  <c r="AF203" i="23916" s="1"/>
  <c r="AM203" i="23916"/>
  <c r="AN203" i="23916" s="1"/>
  <c r="AQ203" i="23916"/>
  <c r="AU203" i="23916"/>
  <c r="AY203" i="23916"/>
  <c r="BC203" i="23916"/>
  <c r="BD203" i="23916" s="1"/>
  <c r="BG203" i="23916"/>
  <c r="BH203" i="23916" s="1"/>
  <c r="BO203" i="23916"/>
  <c r="BS203" i="23916"/>
  <c r="BW203" i="23916"/>
  <c r="BX203" i="23916" s="1"/>
  <c r="CA203" i="23916"/>
  <c r="CB203" i="23916" s="1"/>
  <c r="CE203" i="23916"/>
  <c r="CI203" i="23916"/>
  <c r="CM203" i="23916"/>
  <c r="CN203" i="23916" s="1"/>
  <c r="CQ203" i="23916"/>
  <c r="CR203" i="23916" s="1"/>
  <c r="CU203" i="23916"/>
  <c r="CY203" i="23916"/>
  <c r="DC203" i="23916"/>
  <c r="DD203" i="23916" s="1"/>
  <c r="DG203" i="23916"/>
  <c r="DH203" i="23916" s="1"/>
  <c r="DK203" i="23916"/>
  <c r="DO203" i="23916"/>
  <c r="DS203" i="23916"/>
  <c r="DT203" i="23916" s="1"/>
  <c r="DW203" i="23916"/>
  <c r="DX203" i="23916" s="1"/>
  <c r="EA203" i="23916"/>
  <c r="EE203" i="23916"/>
  <c r="EN203" i="23916" s="1"/>
  <c r="EI203" i="23916"/>
  <c r="EJ203" i="23916" s="1"/>
  <c r="EN202" i="23916"/>
  <c r="W205" i="23916"/>
  <c r="AA205" i="23916"/>
  <c r="AE205" i="23916"/>
  <c r="AM205" i="23916"/>
  <c r="AY205" i="23916"/>
  <c r="BC205" i="23916"/>
  <c r="BG205" i="23916"/>
  <c r="BO205" i="23916"/>
  <c r="BS205" i="23916"/>
  <c r="BW205" i="23916"/>
  <c r="CA205" i="23916"/>
  <c r="CE205" i="23916"/>
  <c r="CI205" i="23916"/>
  <c r="CM205" i="23916"/>
  <c r="CQ205" i="23916"/>
  <c r="CU205" i="23916"/>
  <c r="CY205" i="23916"/>
  <c r="DH205" i="23916" s="1"/>
  <c r="DC205" i="23916"/>
  <c r="FM208" i="23916"/>
  <c r="FS208" i="23916"/>
  <c r="GC208" i="23916"/>
  <c r="GI208" i="23916"/>
  <c r="FW216" i="23916"/>
  <c r="GD216" i="23916"/>
  <c r="GE216" i="23916" s="1"/>
  <c r="AK216" i="23916"/>
  <c r="AL216" i="23916" s="1"/>
  <c r="AT216" i="23916"/>
  <c r="BB216" i="23916"/>
  <c r="BJ216" i="23916"/>
  <c r="EN216" i="23916"/>
  <c r="EF216" i="23916"/>
  <c r="ER223" i="23916"/>
  <c r="FB386" i="23916"/>
  <c r="FC386" i="23916" s="1"/>
  <c r="FC223" i="23916"/>
  <c r="FJ224" i="23916"/>
  <c r="FZ224" i="23916"/>
  <c r="FZ236" i="23916" s="1"/>
  <c r="K243" i="23916"/>
  <c r="K240" i="23916"/>
  <c r="AB236" i="23916"/>
  <c r="AI239" i="23916"/>
  <c r="AQ239" i="23916"/>
  <c r="BH236" i="23916"/>
  <c r="BP236" i="23916"/>
  <c r="BX236" i="23916"/>
  <c r="CF236" i="23916"/>
  <c r="CN236" i="23916"/>
  <c r="CV236" i="23916"/>
  <c r="DD236" i="23916"/>
  <c r="DL236" i="23916"/>
  <c r="DT236" i="23916"/>
  <c r="EB236" i="23916"/>
  <c r="EJ236" i="23916"/>
  <c r="EM227" i="23916"/>
  <c r="FF231" i="23916"/>
  <c r="FG231" i="23916" s="1"/>
  <c r="FN231" i="23916"/>
  <c r="FV231" i="23916"/>
  <c r="FW231" i="23916" s="1"/>
  <c r="GD231" i="23916"/>
  <c r="FJ235" i="23916"/>
  <c r="FK235" i="23916" s="1"/>
  <c r="FK228" i="23916"/>
  <c r="FR235" i="23916"/>
  <c r="FS235" i="23916" s="1"/>
  <c r="FS228" i="23916"/>
  <c r="FZ235" i="23916"/>
  <c r="GA235" i="23916" s="1"/>
  <c r="GA228" i="23916"/>
  <c r="GH235" i="23916"/>
  <c r="GI235" i="23916" s="1"/>
  <c r="GI228" i="23916"/>
  <c r="FP229" i="23916"/>
  <c r="FQ229" i="23916" s="1"/>
  <c r="GB229" i="23916"/>
  <c r="GC229" i="23916" s="1"/>
  <c r="FK230" i="23916"/>
  <c r="FJ236" i="23916"/>
  <c r="FS230" i="23916"/>
  <c r="FR236" i="23916"/>
  <c r="GA230" i="23916"/>
  <c r="GI230" i="23916"/>
  <c r="GH236" i="23916"/>
  <c r="AK231" i="23916"/>
  <c r="AL231" i="23916" s="1"/>
  <c r="AL229" i="23916"/>
  <c r="AS231" i="23916"/>
  <c r="AT229" i="23916"/>
  <c r="BB231" i="23916"/>
  <c r="BJ231" i="23916"/>
  <c r="BR231" i="23916"/>
  <c r="BZ231" i="23916"/>
  <c r="CH231" i="23916"/>
  <c r="CP231" i="23916"/>
  <c r="CX231" i="23916"/>
  <c r="DF231" i="23916"/>
  <c r="DN231" i="23916"/>
  <c r="DV231" i="23916"/>
  <c r="ED231" i="23916"/>
  <c r="X233" i="23916"/>
  <c r="AF233" i="23916"/>
  <c r="AN233" i="23916"/>
  <c r="AV233" i="23916"/>
  <c r="BD233" i="23916"/>
  <c r="BL233" i="23916"/>
  <c r="BT233" i="23916"/>
  <c r="CB233" i="23916"/>
  <c r="CJ233" i="23916"/>
  <c r="CR233" i="23916"/>
  <c r="CZ233" i="23916"/>
  <c r="DH233" i="23916"/>
  <c r="DP233" i="23916"/>
  <c r="DX233" i="23916"/>
  <c r="EE625" i="23916"/>
  <c r="EF233" i="23916"/>
  <c r="FD233" i="23916"/>
  <c r="FE233" i="23916" s="1"/>
  <c r="FT233" i="23916"/>
  <c r="X235" i="23916"/>
  <c r="AF235" i="23916"/>
  <c r="AN235" i="23916"/>
  <c r="AV235" i="23916"/>
  <c r="BD235" i="23916"/>
  <c r="BL235" i="23916"/>
  <c r="BT235" i="23916"/>
  <c r="CB235" i="23916"/>
  <c r="CJ235" i="23916"/>
  <c r="CR235" i="23916"/>
  <c r="CZ235" i="23916"/>
  <c r="DH235" i="23916"/>
  <c r="DP235" i="23916"/>
  <c r="DX235" i="23916"/>
  <c r="EF235" i="23916"/>
  <c r="AN239" i="23916"/>
  <c r="E240" i="23916"/>
  <c r="FE256" i="23916"/>
  <c r="FH276" i="23916"/>
  <c r="FI256" i="23916"/>
  <c r="FL276" i="23916"/>
  <c r="FM256" i="23916"/>
  <c r="FY256" i="23916"/>
  <c r="GC256" i="23916"/>
  <c r="GG256" i="23916"/>
  <c r="BR256" i="23916"/>
  <c r="BJ256" i="23916"/>
  <c r="EL254" i="23916"/>
  <c r="EO254" i="23916"/>
  <c r="FW253" i="23916"/>
  <c r="FY253" i="23916"/>
  <c r="AS280" i="23916"/>
  <c r="AT276" i="23916"/>
  <c r="AS277" i="23916"/>
  <c r="AT277" i="23916" s="1"/>
  <c r="AW276" i="23916"/>
  <c r="BF276" i="23916" s="1"/>
  <c r="BP256" i="23916"/>
  <c r="FO256" i="23916"/>
  <c r="GE256" i="23916"/>
  <c r="AO264" i="23916"/>
  <c r="AO270" i="23916"/>
  <c r="AP270" i="23916" s="1"/>
  <c r="AP259" i="23916"/>
  <c r="FJ259" i="23916"/>
  <c r="FE259" i="23916"/>
  <c r="FD270" i="23916"/>
  <c r="FE270" i="23916" s="1"/>
  <c r="FD264" i="23916"/>
  <c r="FE264" i="23916" s="1"/>
  <c r="FO270" i="23916"/>
  <c r="FI260" i="23916"/>
  <c r="FQ260" i="23916"/>
  <c r="GA270" i="23916"/>
  <c r="GE270" i="23916"/>
  <c r="GI270" i="23916"/>
  <c r="DH264" i="23916"/>
  <c r="DX264" i="23916"/>
  <c r="X272" i="23916"/>
  <c r="AF272" i="23916"/>
  <c r="AN272" i="23916"/>
  <c r="AV272" i="23916"/>
  <c r="BD272" i="23916"/>
  <c r="BL272" i="23916"/>
  <c r="BT272" i="23916"/>
  <c r="AF273" i="23916"/>
  <c r="AV273" i="23916"/>
  <c r="CB273" i="23916"/>
  <c r="GI272" i="23916"/>
  <c r="FW279" i="23916"/>
  <c r="FY279" i="23916"/>
  <c r="N289" i="23916"/>
  <c r="GG287" i="23916"/>
  <c r="GI287" i="23916"/>
  <c r="FG295" i="23916"/>
  <c r="FG298" i="23916"/>
  <c r="FI298" i="23916"/>
  <c r="FK298" i="23916"/>
  <c r="FM299" i="23916"/>
  <c r="FO299" i="23916"/>
  <c r="FS299" i="23916"/>
  <c r="FQ299" i="23916"/>
  <c r="FN287" i="23916"/>
  <c r="BB287" i="23916"/>
  <c r="BD287" i="23916"/>
  <c r="AF390" i="23916"/>
  <c r="AN390" i="23916"/>
  <c r="AV390" i="23916"/>
  <c r="BH390" i="23916"/>
  <c r="BL390" i="23916"/>
  <c r="BP390" i="23916"/>
  <c r="BT390" i="23916"/>
  <c r="BX390" i="23916"/>
  <c r="CB390" i="23916"/>
  <c r="CF390" i="23916"/>
  <c r="CJ390" i="23916"/>
  <c r="CN390" i="23916"/>
  <c r="CR390" i="23916"/>
  <c r="CV390" i="23916"/>
  <c r="CZ390" i="23916"/>
  <c r="DD390" i="23916"/>
  <c r="DH390" i="23916"/>
  <c r="DL390" i="23916"/>
  <c r="DP390" i="23916"/>
  <c r="DT390" i="23916"/>
  <c r="DX390" i="23916"/>
  <c r="EB390" i="23916"/>
  <c r="EF390" i="23916"/>
  <c r="EJ390" i="23916"/>
  <c r="AE152" i="23916"/>
  <c r="AF152" i="23916" s="1"/>
  <c r="AM152" i="23916"/>
  <c r="AN152" i="23916" s="1"/>
  <c r="AU152" i="23916"/>
  <c r="AV152" i="23916" s="1"/>
  <c r="AY152" i="23916"/>
  <c r="BG152" i="23916"/>
  <c r="BH152" i="23916" s="1"/>
  <c r="BK152" i="23916"/>
  <c r="BL152" i="23916" s="1"/>
  <c r="BO152" i="23916"/>
  <c r="BP152" i="23916" s="1"/>
  <c r="BS152" i="23916"/>
  <c r="BW152" i="23916"/>
  <c r="CA152" i="23916"/>
  <c r="CB152" i="23916" s="1"/>
  <c r="CE152" i="23916"/>
  <c r="CF152" i="23916" s="1"/>
  <c r="CI152" i="23916"/>
  <c r="CM152" i="23916"/>
  <c r="CQ152" i="23916"/>
  <c r="CR152" i="23916" s="1"/>
  <c r="CU152" i="23916"/>
  <c r="CV152" i="23916" s="1"/>
  <c r="CY152" i="23916"/>
  <c r="DC152" i="23916"/>
  <c r="DG152" i="23916"/>
  <c r="DH152" i="23916" s="1"/>
  <c r="DK152" i="23916"/>
  <c r="DL152" i="23916" s="1"/>
  <c r="DO152" i="23916"/>
  <c r="DS152" i="23916"/>
  <c r="DW152" i="23916"/>
  <c r="DX152" i="23916" s="1"/>
  <c r="EA152" i="23916"/>
  <c r="EB152" i="23916" s="1"/>
  <c r="EE152" i="23916"/>
  <c r="EI152" i="23916"/>
  <c r="FG390" i="23916"/>
  <c r="FF152" i="23916"/>
  <c r="AE154" i="23916"/>
  <c r="AF154" i="23916" s="1"/>
  <c r="AM154" i="23916"/>
  <c r="AN154" i="23916" s="1"/>
  <c r="AU154" i="23916"/>
  <c r="AV154" i="23916" s="1"/>
  <c r="AY154" i="23916"/>
  <c r="BG154" i="23916"/>
  <c r="BH154" i="23916" s="1"/>
  <c r="BK154" i="23916"/>
  <c r="BL154" i="23916" s="1"/>
  <c r="BO154" i="23916"/>
  <c r="BP154" i="23916" s="1"/>
  <c r="BS154" i="23916"/>
  <c r="BW154" i="23916"/>
  <c r="CA154" i="23916"/>
  <c r="CB154" i="23916" s="1"/>
  <c r="CE154" i="23916"/>
  <c r="CF154" i="23916" s="1"/>
  <c r="CI154" i="23916"/>
  <c r="CM154" i="23916"/>
  <c r="CQ154" i="23916"/>
  <c r="CR154" i="23916" s="1"/>
  <c r="CU154" i="23916"/>
  <c r="CV154" i="23916" s="1"/>
  <c r="CY154" i="23916"/>
  <c r="DC154" i="23916"/>
  <c r="DG154" i="23916"/>
  <c r="DH154" i="23916" s="1"/>
  <c r="DK154" i="23916"/>
  <c r="DL154" i="23916" s="1"/>
  <c r="DO154" i="23916"/>
  <c r="DS154" i="23916"/>
  <c r="DW154" i="23916"/>
  <c r="DX154" i="23916" s="1"/>
  <c r="EA154" i="23916"/>
  <c r="EB154" i="23916" s="1"/>
  <c r="EE154" i="23916"/>
  <c r="EI154" i="23916"/>
  <c r="FD154" i="23916"/>
  <c r="FE154" i="23916" s="1"/>
  <c r="FH154" i="23916"/>
  <c r="FI154" i="23916" s="1"/>
  <c r="EL412" i="23916"/>
  <c r="EP412" i="23916"/>
  <c r="DT412" i="23916"/>
  <c r="EB412" i="23916"/>
  <c r="EJ412" i="23916"/>
  <c r="EH167" i="23916"/>
  <c r="DF170" i="23916"/>
  <c r="DV170" i="23916"/>
  <c r="FI175" i="23916"/>
  <c r="EC181" i="23916"/>
  <c r="EM185" i="23916"/>
  <c r="FP190" i="23916"/>
  <c r="BJ189" i="23916"/>
  <c r="BL190" i="23916"/>
  <c r="AD194" i="23916"/>
  <c r="AL195" i="23916"/>
  <c r="AC394" i="23916"/>
  <c r="AD394" i="23916" s="1"/>
  <c r="EB200" i="23916"/>
  <c r="EF200" i="23916"/>
  <c r="EJ200" i="23916"/>
  <c r="EQ200" i="23916"/>
  <c r="GE208" i="23916"/>
  <c r="GK208" i="23916"/>
  <c r="AR213" i="23916"/>
  <c r="AJ213" i="23916"/>
  <c r="AJ215" i="23916"/>
  <c r="AR215" i="23916"/>
  <c r="FY214" i="23916"/>
  <c r="GG214" i="23916"/>
  <c r="FP216" i="23916"/>
  <c r="FQ216" i="23916" s="1"/>
  <c r="FY216" i="23916"/>
  <c r="GF216" i="23916"/>
  <c r="GG216" i="23916" s="1"/>
  <c r="AT213" i="23916"/>
  <c r="AN216" i="23916"/>
  <c r="AV216" i="23916"/>
  <c r="BD216" i="23916"/>
  <c r="BL216" i="23916"/>
  <c r="GK214" i="23916"/>
  <c r="EK228" i="23916"/>
  <c r="EL221" i="23916"/>
  <c r="EK227" i="23916"/>
  <c r="FB384" i="23916"/>
  <c r="FC221" i="23916"/>
  <c r="FB233" i="23916"/>
  <c r="FC233" i="23916" s="1"/>
  <c r="FK221" i="23916"/>
  <c r="FS221" i="23916"/>
  <c r="GA221" i="23916"/>
  <c r="GI221" i="23916"/>
  <c r="GF224" i="23916"/>
  <c r="FN224" i="23916"/>
  <c r="E572" i="23916"/>
  <c r="E408" i="23916"/>
  <c r="E451" i="23916" s="1"/>
  <c r="E244" i="23916"/>
  <c r="M239" i="23916"/>
  <c r="N224" i="23916"/>
  <c r="M236" i="23916"/>
  <c r="N236" i="23916" s="1"/>
  <c r="U239" i="23916"/>
  <c r="V224" i="23916"/>
  <c r="U236" i="23916"/>
  <c r="V236" i="23916" s="1"/>
  <c r="AC239" i="23916"/>
  <c r="AD224" i="23916"/>
  <c r="AC236" i="23916"/>
  <c r="AK239" i="23916"/>
  <c r="AL224" i="23916"/>
  <c r="AS239" i="23916"/>
  <c r="AT224" i="23916"/>
  <c r="BA239" i="23916"/>
  <c r="BB224" i="23916"/>
  <c r="BA236" i="23916"/>
  <c r="BB236" i="23916" s="1"/>
  <c r="BI239" i="23916"/>
  <c r="BJ224" i="23916"/>
  <c r="BI236" i="23916"/>
  <c r="BJ236" i="23916" s="1"/>
  <c r="BQ239" i="23916"/>
  <c r="BR224" i="23916"/>
  <c r="BQ236" i="23916"/>
  <c r="BR236" i="23916" s="1"/>
  <c r="BY239" i="23916"/>
  <c r="BZ224" i="23916"/>
  <c r="BY236" i="23916"/>
  <c r="CG239" i="23916"/>
  <c r="CH224" i="23916"/>
  <c r="CG236" i="23916"/>
  <c r="CO239" i="23916"/>
  <c r="CP224" i="23916"/>
  <c r="CO236" i="23916"/>
  <c r="CP236" i="23916" s="1"/>
  <c r="CW239" i="23916"/>
  <c r="CX224" i="23916"/>
  <c r="CW236" i="23916"/>
  <c r="CX236" i="23916" s="1"/>
  <c r="DE239" i="23916"/>
  <c r="DF224" i="23916"/>
  <c r="DE236" i="23916"/>
  <c r="DM239" i="23916"/>
  <c r="DN224" i="23916"/>
  <c r="DM236" i="23916"/>
  <c r="DU239" i="23916"/>
  <c r="DV224" i="23916"/>
  <c r="DU236" i="23916"/>
  <c r="DV236" i="23916" s="1"/>
  <c r="EC239" i="23916"/>
  <c r="ED224" i="23916"/>
  <c r="EC236" i="23916"/>
  <c r="EK224" i="23916"/>
  <c r="FI227" i="23916"/>
  <c r="FH231" i="23916"/>
  <c r="FI231" i="23916" s="1"/>
  <c r="FQ227" i="23916"/>
  <c r="FP231" i="23916"/>
  <c r="FQ231" i="23916" s="1"/>
  <c r="FY227" i="23916"/>
  <c r="FX231" i="23916"/>
  <c r="FY231" i="23916" s="1"/>
  <c r="GG227" i="23916"/>
  <c r="GF231" i="23916"/>
  <c r="GG231" i="23916" s="1"/>
  <c r="FL235" i="23916"/>
  <c r="FM235" i="23916" s="1"/>
  <c r="FT235" i="23916"/>
  <c r="FU235" i="23916" s="1"/>
  <c r="GB235" i="23916"/>
  <c r="GC235" i="23916" s="1"/>
  <c r="FS229" i="23916"/>
  <c r="GF229" i="23916"/>
  <c r="GG229" i="23916" s="1"/>
  <c r="R233" i="23916"/>
  <c r="FH233" i="23916"/>
  <c r="FX233" i="23916"/>
  <c r="EQ236" i="23916"/>
  <c r="EP236" i="23916"/>
  <c r="I240" i="23916"/>
  <c r="FQ254" i="23916"/>
  <c r="FS254" i="23916"/>
  <c r="BH256" i="23916"/>
  <c r="CG276" i="23916"/>
  <c r="GI256" i="23916"/>
  <c r="BB264" i="23916"/>
  <c r="AT264" i="23916"/>
  <c r="FG270" i="23916"/>
  <c r="FQ259" i="23916"/>
  <c r="FP270" i="23916"/>
  <c r="FK260" i="23916"/>
  <c r="FJ272" i="23916"/>
  <c r="FS259" i="23916"/>
  <c r="CC264" i="23916"/>
  <c r="CD261" i="23916"/>
  <c r="CK264" i="23916"/>
  <c r="CT261" i="23916"/>
  <c r="CL261" i="23916"/>
  <c r="BP276" i="23916"/>
  <c r="BO277" i="23916"/>
  <c r="BP277" i="23916" s="1"/>
  <c r="BO280" i="23916"/>
  <c r="BS277" i="23916"/>
  <c r="BS280" i="23916"/>
  <c r="BX276" i="23916"/>
  <c r="BW277" i="23916"/>
  <c r="BX277" i="23916" s="1"/>
  <c r="BW280" i="23916"/>
  <c r="CQ277" i="23916"/>
  <c r="CQ280" i="23916"/>
  <c r="CU277" i="23916"/>
  <c r="CU280" i="23916"/>
  <c r="CZ276" i="23916"/>
  <c r="CY277" i="23916"/>
  <c r="CZ277" i="23916" s="1"/>
  <c r="CY280" i="23916"/>
  <c r="DD276" i="23916"/>
  <c r="DC277" i="23916"/>
  <c r="DD277" i="23916" s="1"/>
  <c r="DC280" i="23916"/>
  <c r="DH276" i="23916"/>
  <c r="DG277" i="23916"/>
  <c r="DG280" i="23916"/>
  <c r="DL276" i="23916"/>
  <c r="DK277" i="23916"/>
  <c r="DK280" i="23916"/>
  <c r="DP276" i="23916"/>
  <c r="DO277" i="23916"/>
  <c r="DP277" i="23916" s="1"/>
  <c r="DO280" i="23916"/>
  <c r="DT276" i="23916"/>
  <c r="DS277" i="23916"/>
  <c r="DT277" i="23916" s="1"/>
  <c r="DS280" i="23916"/>
  <c r="DX276" i="23916"/>
  <c r="DW277" i="23916"/>
  <c r="DW280" i="23916"/>
  <c r="EB276" i="23916"/>
  <c r="EA277" i="23916"/>
  <c r="EA280" i="23916"/>
  <c r="EF276" i="23916"/>
  <c r="EE277" i="23916"/>
  <c r="EF277" i="23916" s="1"/>
  <c r="EE280" i="23916"/>
  <c r="EJ276" i="23916"/>
  <c r="EI277" i="23916"/>
  <c r="EJ277" i="23916" s="1"/>
  <c r="EI280" i="23916"/>
  <c r="BP264" i="23916"/>
  <c r="DL264" i="23916"/>
  <c r="EB264" i="23916"/>
  <c r="EL270" i="23916"/>
  <c r="CF272" i="23916"/>
  <c r="CN272" i="23916"/>
  <c r="CV272" i="23916"/>
  <c r="DD272" i="23916"/>
  <c r="DL272" i="23916"/>
  <c r="DT272" i="23916"/>
  <c r="EB272" i="23916"/>
  <c r="EJ272" i="23916"/>
  <c r="EK272" i="23916"/>
  <c r="AJ273" i="23916"/>
  <c r="AZ273" i="23916"/>
  <c r="BP273" i="23916"/>
  <c r="CF273" i="23916"/>
  <c r="FU289" i="23916"/>
  <c r="FY289" i="23916"/>
  <c r="GC289" i="23916"/>
  <c r="FG287" i="23916"/>
  <c r="FI287" i="23916"/>
  <c r="FK287" i="23916"/>
  <c r="GL285" i="23916"/>
  <c r="GK285" i="23916"/>
  <c r="FM298" i="23916"/>
  <c r="FS298" i="23916"/>
  <c r="FH224" i="23916"/>
  <c r="FL224" i="23916"/>
  <c r="FP224" i="23916"/>
  <c r="FS224" i="23916" s="1"/>
  <c r="FT224" i="23916"/>
  <c r="FX224" i="23916"/>
  <c r="GB224" i="23916"/>
  <c r="FC228" i="23916"/>
  <c r="EL233" i="23916"/>
  <c r="FF233" i="23916"/>
  <c r="FG233" i="23916" s="1"/>
  <c r="FJ233" i="23916"/>
  <c r="FN233" i="23916"/>
  <c r="FO233" i="23916" s="1"/>
  <c r="FR233" i="23916"/>
  <c r="FS233" i="23916" s="1"/>
  <c r="FV233" i="23916"/>
  <c r="FW233" i="23916" s="1"/>
  <c r="FZ233" i="23916"/>
  <c r="GA233" i="23916" s="1"/>
  <c r="GD233" i="23916"/>
  <c r="GE233" i="23916" s="1"/>
  <c r="GH233" i="23916"/>
  <c r="GI233" i="23916" s="1"/>
  <c r="G236" i="23916"/>
  <c r="P236" i="23916" s="1"/>
  <c r="K236" i="23916"/>
  <c r="T236" i="23916" s="1"/>
  <c r="EM252" i="23916"/>
  <c r="EM259" i="23916" s="1"/>
  <c r="AT259" i="23916"/>
  <c r="BB259" i="23916"/>
  <c r="BY272" i="23916"/>
  <c r="BZ272" i="23916" s="1"/>
  <c r="M273" i="23916"/>
  <c r="N273" i="23916" s="1"/>
  <c r="Q273" i="23916"/>
  <c r="R273" i="23916" s="1"/>
  <c r="U273" i="23916"/>
  <c r="V273" i="23916" s="1"/>
  <c r="Y273" i="23916"/>
  <c r="AC273" i="23916"/>
  <c r="AG273" i="23916"/>
  <c r="AH273" i="23916" s="1"/>
  <c r="AK273" i="23916"/>
  <c r="AL273" i="23916" s="1"/>
  <c r="AS273" i="23916"/>
  <c r="AW273" i="23916"/>
  <c r="AX273" i="23916" s="1"/>
  <c r="BA273" i="23916"/>
  <c r="BB273" i="23916" s="1"/>
  <c r="BE273" i="23916"/>
  <c r="BF273" i="23916" s="1"/>
  <c r="EK273" i="23916"/>
  <c r="FD272" i="23916"/>
  <c r="FE272" i="23916" s="1"/>
  <c r="FH272" i="23916"/>
  <c r="FI272" i="23916" s="1"/>
  <c r="FL272" i="23916"/>
  <c r="FM272" i="23916" s="1"/>
  <c r="FP272" i="23916"/>
  <c r="FQ272" i="23916" s="1"/>
  <c r="O280" i="23916"/>
  <c r="S280" i="23916"/>
  <c r="W280" i="23916"/>
  <c r="AA280" i="23916"/>
  <c r="AE280" i="23916"/>
  <c r="AI280" i="23916"/>
  <c r="AM280" i="23916"/>
  <c r="AQ280" i="23916"/>
  <c r="AU280" i="23916"/>
  <c r="AY280" i="23916"/>
  <c r="EL285" i="23916"/>
  <c r="EQ286" i="23916"/>
  <c r="EO288" i="23916"/>
  <c r="EO289" i="23916" s="1"/>
  <c r="FP285" i="23916"/>
  <c r="FF286" i="23916"/>
  <c r="FS286" i="23916"/>
  <c r="BJ285" i="23916"/>
  <c r="EB287" i="23916"/>
  <c r="ED287" i="23916"/>
  <c r="FF288" i="23916"/>
  <c r="FJ288" i="23916"/>
  <c r="FN288" i="23916"/>
  <c r="BE289" i="23916"/>
  <c r="BM289" i="23916"/>
  <c r="EK289" i="23916"/>
  <c r="EK302" i="23916"/>
  <c r="EL302" i="23916" s="1"/>
  <c r="EO296" i="23916"/>
  <c r="FF294" i="23916"/>
  <c r="FJ294" i="23916"/>
  <c r="FN294" i="23916"/>
  <c r="FR294" i="23916"/>
  <c r="FV294" i="23916"/>
  <c r="CG302" i="23916"/>
  <c r="CH302" i="23916" s="1"/>
  <c r="O296" i="23916"/>
  <c r="P296" i="23916" s="1"/>
  <c r="S296" i="23916"/>
  <c r="W296" i="23916"/>
  <c r="X296" i="23916" s="1"/>
  <c r="AA296" i="23916"/>
  <c r="AA302" i="23916" s="1"/>
  <c r="AB302" i="23916" s="1"/>
  <c r="AE296" i="23916"/>
  <c r="AF296" i="23916" s="1"/>
  <c r="AI296" i="23916"/>
  <c r="AM296" i="23916"/>
  <c r="AN296" i="23916" s="1"/>
  <c r="AQ296" i="23916"/>
  <c r="AQ302" i="23916" s="1"/>
  <c r="AR302" i="23916" s="1"/>
  <c r="AU296" i="23916"/>
  <c r="AV296" i="23916" s="1"/>
  <c r="AY296" i="23916"/>
  <c r="AZ296" i="23916" s="1"/>
  <c r="BC296" i="23916"/>
  <c r="BD296" i="23916" s="1"/>
  <c r="BG296" i="23916"/>
  <c r="BH296" i="23916" s="1"/>
  <c r="BK296" i="23916"/>
  <c r="BL296" i="23916" s="1"/>
  <c r="BP294" i="23916"/>
  <c r="BV295" i="23916"/>
  <c r="BX294" i="23916"/>
  <c r="CD295" i="23916"/>
  <c r="CF294" i="23916"/>
  <c r="CL295" i="23916"/>
  <c r="CN294" i="23916"/>
  <c r="CT295" i="23916"/>
  <c r="CV294" i="23916"/>
  <c r="EB293" i="23916"/>
  <c r="ED292" i="23916"/>
  <c r="FF301" i="23916"/>
  <c r="FG301" i="23916" s="1"/>
  <c r="FN301" i="23916"/>
  <c r="FO301" i="23916" s="1"/>
  <c r="FT294" i="23916"/>
  <c r="FU294" i="23916" s="1"/>
  <c r="FV295" i="23916"/>
  <c r="FX294" i="23916"/>
  <c r="GF292" i="23916"/>
  <c r="GI293" i="23916"/>
  <c r="GJ292" i="23916"/>
  <c r="BP301" i="23916"/>
  <c r="GC301" i="23916"/>
  <c r="GJ301" i="23916"/>
  <c r="EB302" i="23916"/>
  <c r="BU305" i="23916"/>
  <c r="CK305" i="23916"/>
  <c r="DQ305" i="23916"/>
  <c r="EG305" i="23916"/>
  <c r="FC316" i="23916"/>
  <c r="FG316" i="23916"/>
  <c r="FK316" i="23916"/>
  <c r="FO316" i="23916"/>
  <c r="K333" i="23916"/>
  <c r="K330" i="23916"/>
  <c r="S330" i="23916"/>
  <c r="T330" i="23916" s="1"/>
  <c r="T329" i="23916"/>
  <c r="S333" i="23916"/>
  <c r="AA330" i="23916"/>
  <c r="AB329" i="23916"/>
  <c r="AA333" i="23916"/>
  <c r="AI330" i="23916"/>
  <c r="AJ329" i="23916"/>
  <c r="AI333" i="23916"/>
  <c r="AQ330" i="23916"/>
  <c r="AR330" i="23916" s="1"/>
  <c r="AR329" i="23916"/>
  <c r="AQ333" i="23916"/>
  <c r="AY330" i="23916"/>
  <c r="AZ329" i="23916"/>
  <c r="AY333" i="23916"/>
  <c r="BG330" i="23916"/>
  <c r="BH329" i="23916"/>
  <c r="BG333" i="23916"/>
  <c r="BH333" i="23916" s="1"/>
  <c r="FG326" i="23916"/>
  <c r="FK326" i="23916"/>
  <c r="FO326" i="23916"/>
  <c r="AV323" i="23916"/>
  <c r="AN323" i="23916"/>
  <c r="FG327" i="23916"/>
  <c r="FM327" i="23916"/>
  <c r="O355" i="23916"/>
  <c r="P355" i="23916" s="1"/>
  <c r="P352" i="23916"/>
  <c r="V352" i="23916"/>
  <c r="U355" i="23916"/>
  <c r="AA355" i="23916"/>
  <c r="AB352" i="23916"/>
  <c r="P224" i="23916"/>
  <c r="T224" i="23916"/>
  <c r="X224" i="23916"/>
  <c r="AB224" i="23916"/>
  <c r="AF224" i="23916"/>
  <c r="AJ224" i="23916"/>
  <c r="AN224" i="23916"/>
  <c r="AR224" i="23916"/>
  <c r="AV224" i="23916"/>
  <c r="AZ224" i="23916"/>
  <c r="BD224" i="23916"/>
  <c r="BH224" i="23916"/>
  <c r="BL224" i="23916"/>
  <c r="BP224" i="23916"/>
  <c r="BT224" i="23916"/>
  <c r="BX224" i="23916"/>
  <c r="CB224" i="23916"/>
  <c r="CF224" i="23916"/>
  <c r="CJ224" i="23916"/>
  <c r="CN224" i="23916"/>
  <c r="CR224" i="23916"/>
  <c r="CV224" i="23916"/>
  <c r="CZ224" i="23916"/>
  <c r="DD224" i="23916"/>
  <c r="DH224" i="23916"/>
  <c r="DL224" i="23916"/>
  <c r="DP224" i="23916"/>
  <c r="DT224" i="23916"/>
  <c r="DX224" i="23916"/>
  <c r="EB224" i="23916"/>
  <c r="EF224" i="23916"/>
  <c r="EJ224" i="23916"/>
  <c r="GD224" i="23916"/>
  <c r="FG227" i="23916"/>
  <c r="FK227" i="23916"/>
  <c r="FO227" i="23916"/>
  <c r="FS227" i="23916"/>
  <c r="FW227" i="23916"/>
  <c r="GA227" i="23916"/>
  <c r="GE227" i="23916"/>
  <c r="GI227" i="23916"/>
  <c r="FI228" i="23916"/>
  <c r="FM228" i="23916"/>
  <c r="FQ228" i="23916"/>
  <c r="FU228" i="23916"/>
  <c r="FY228" i="23916"/>
  <c r="GC228" i="23916"/>
  <c r="GG228" i="23916"/>
  <c r="AF229" i="23916"/>
  <c r="AJ229" i="23916"/>
  <c r="AN229" i="23916"/>
  <c r="AR229" i="23916"/>
  <c r="AV229" i="23916"/>
  <c r="AM394" i="23916"/>
  <c r="AQ394" i="23916"/>
  <c r="AZ229" i="23916"/>
  <c r="BB229" i="23916"/>
  <c r="BD229" i="23916"/>
  <c r="BH229" i="23916"/>
  <c r="BJ229" i="23916"/>
  <c r="BL229" i="23916"/>
  <c r="BP229" i="23916"/>
  <c r="BR229" i="23916"/>
  <c r="BT229" i="23916"/>
  <c r="BX229" i="23916"/>
  <c r="BZ229" i="23916"/>
  <c r="CB229" i="23916"/>
  <c r="CF229" i="23916"/>
  <c r="CH229" i="23916"/>
  <c r="CJ229" i="23916"/>
  <c r="CN229" i="23916"/>
  <c r="CP229" i="23916"/>
  <c r="CR229" i="23916"/>
  <c r="CV229" i="23916"/>
  <c r="CX229" i="23916"/>
  <c r="CZ229" i="23916"/>
  <c r="DD229" i="23916"/>
  <c r="DF229" i="23916"/>
  <c r="DH229" i="23916"/>
  <c r="DL229" i="23916"/>
  <c r="DN229" i="23916"/>
  <c r="DP229" i="23916"/>
  <c r="DT229" i="23916"/>
  <c r="DV229" i="23916"/>
  <c r="DX229" i="23916"/>
  <c r="EB229" i="23916"/>
  <c r="ED229" i="23916"/>
  <c r="EF229" i="23916"/>
  <c r="ED233" i="23916"/>
  <c r="EH233" i="23916"/>
  <c r="O239" i="23916"/>
  <c r="S239" i="23916"/>
  <c r="W239" i="23916"/>
  <c r="AA239" i="23916"/>
  <c r="AY239" i="23916"/>
  <c r="BC239" i="23916"/>
  <c r="BG239" i="23916"/>
  <c r="BK239" i="23916"/>
  <c r="BO239" i="23916"/>
  <c r="BS239" i="23916"/>
  <c r="BW239" i="23916"/>
  <c r="CA239" i="23916"/>
  <c r="CE239" i="23916"/>
  <c r="CI239" i="23916"/>
  <c r="CM239" i="23916"/>
  <c r="CQ239" i="23916"/>
  <c r="CU239" i="23916"/>
  <c r="CY239" i="23916"/>
  <c r="DC239" i="23916"/>
  <c r="DG239" i="23916"/>
  <c r="DK239" i="23916"/>
  <c r="DO239" i="23916"/>
  <c r="DS239" i="23916"/>
  <c r="DW239" i="23916"/>
  <c r="EA239" i="23916"/>
  <c r="EE239" i="23916"/>
  <c r="EI239" i="23916"/>
  <c r="BL253" i="23916"/>
  <c r="BP253" i="23916"/>
  <c r="FP253" i="23916"/>
  <c r="FP256" i="23916" s="1"/>
  <c r="FT252" i="23916"/>
  <c r="FT270" i="23916" s="1"/>
  <c r="BK256" i="23916"/>
  <c r="FG259" i="23916"/>
  <c r="FO259" i="23916"/>
  <c r="FV261" i="23916"/>
  <c r="BF259" i="23916"/>
  <c r="BL259" i="23916"/>
  <c r="FE393" i="23916"/>
  <c r="FI393" i="23916"/>
  <c r="AO394" i="23916"/>
  <c r="BD259" i="23916"/>
  <c r="BI394" i="23916"/>
  <c r="BJ394" i="23916" s="1"/>
  <c r="BM394" i="23916"/>
  <c r="BN394" i="23916" s="1"/>
  <c r="BQ394" i="23916"/>
  <c r="BR394" i="23916" s="1"/>
  <c r="BU394" i="23916"/>
  <c r="BV394" i="23916" s="1"/>
  <c r="BY394" i="23916"/>
  <c r="CC394" i="23916"/>
  <c r="CG394" i="23916"/>
  <c r="CH394" i="23916" s="1"/>
  <c r="CK394" i="23916"/>
  <c r="CL394" i="23916" s="1"/>
  <c r="CO394" i="23916"/>
  <c r="CS394" i="23916"/>
  <c r="CW394" i="23916"/>
  <c r="CX394" i="23916" s="1"/>
  <c r="DA394" i="23916"/>
  <c r="DB394" i="23916" s="1"/>
  <c r="DE394" i="23916"/>
  <c r="DI394" i="23916"/>
  <c r="DM394" i="23916"/>
  <c r="DN394" i="23916" s="1"/>
  <c r="DQ394" i="23916"/>
  <c r="DR394" i="23916" s="1"/>
  <c r="DU394" i="23916"/>
  <c r="DY394" i="23916"/>
  <c r="EC394" i="23916"/>
  <c r="ED394" i="23916" s="1"/>
  <c r="EG394" i="23916"/>
  <c r="EH394" i="23916" s="1"/>
  <c r="FP263" i="23916"/>
  <c r="FT263" i="23916"/>
  <c r="FX263" i="23916"/>
  <c r="GB263" i="23916"/>
  <c r="GF263" i="23916"/>
  <c r="BC264" i="23916"/>
  <c r="CA264" i="23916"/>
  <c r="CE264" i="23916"/>
  <c r="CI264" i="23916"/>
  <c r="CM264" i="23916"/>
  <c r="AS270" i="23916"/>
  <c r="AW270" i="23916"/>
  <c r="BY270" i="23916"/>
  <c r="EN286" i="23916"/>
  <c r="AS287" i="23916"/>
  <c r="BN288" i="23916"/>
  <c r="BR289" i="23916"/>
  <c r="BZ289" i="23916"/>
  <c r="CH289" i="23916"/>
  <c r="CP289" i="23916"/>
  <c r="CX289" i="23916"/>
  <c r="DF289" i="23916"/>
  <c r="DN289" i="23916"/>
  <c r="DV289" i="23916"/>
  <c r="ED289" i="23916"/>
  <c r="S302" i="23916"/>
  <c r="W302" i="23916"/>
  <c r="AI302" i="23916"/>
  <c r="AM302" i="23916"/>
  <c r="AY302" i="23916"/>
  <c r="BC302" i="23916"/>
  <c r="EL292" i="23916"/>
  <c r="FQ292" i="23916"/>
  <c r="AN393" i="23916"/>
  <c r="AR393" i="23916"/>
  <c r="AV393" i="23916"/>
  <c r="AZ393" i="23916"/>
  <c r="BD393" i="23916"/>
  <c r="BH393" i="23916"/>
  <c r="BL393" i="23916"/>
  <c r="BP393" i="23916"/>
  <c r="FH295" i="23916"/>
  <c r="FI295" i="23916" s="1"/>
  <c r="FL295" i="23916"/>
  <c r="FL393" i="23916" s="1"/>
  <c r="FM393" i="23916" s="1"/>
  <c r="FP295" i="23916"/>
  <c r="FQ295" i="23916" s="1"/>
  <c r="BR393" i="23916"/>
  <c r="BV393" i="23916"/>
  <c r="FT295" i="23916"/>
  <c r="FU295" i="23916" s="1"/>
  <c r="BY393" i="23916"/>
  <c r="BZ393" i="23916" s="1"/>
  <c r="CD393" i="23916"/>
  <c r="CL393" i="23916"/>
  <c r="FX295" i="23916"/>
  <c r="FY295" i="23916" s="1"/>
  <c r="CO393" i="23916"/>
  <c r="DB393" i="23916"/>
  <c r="CT393" i="23916"/>
  <c r="EA393" i="23916"/>
  <c r="GF295" i="23916"/>
  <c r="GG295" i="23916" s="1"/>
  <c r="AT297" i="23916"/>
  <c r="BB297" i="23916"/>
  <c r="BJ297" i="23916"/>
  <c r="T298" i="23916"/>
  <c r="AB298" i="23916"/>
  <c r="AJ298" i="23916"/>
  <c r="AR298" i="23916"/>
  <c r="AT299" i="23916"/>
  <c r="BB299" i="23916"/>
  <c r="BJ299" i="23916"/>
  <c r="T300" i="23916"/>
  <c r="AB300" i="23916"/>
  <c r="AJ300" i="23916"/>
  <c r="AR300" i="23916"/>
  <c r="AT301" i="23916"/>
  <c r="BJ301" i="23916"/>
  <c r="BP295" i="23916"/>
  <c r="BR294" i="23916"/>
  <c r="BX295" i="23916"/>
  <c r="BZ294" i="23916"/>
  <c r="CF295" i="23916"/>
  <c r="CH294" i="23916"/>
  <c r="CN295" i="23916"/>
  <c r="CP294" i="23916"/>
  <c r="CV295" i="23916"/>
  <c r="FZ296" i="23916"/>
  <c r="GA296" i="23916" s="1"/>
  <c r="DA302" i="23916"/>
  <c r="EB294" i="23916"/>
  <c r="ED293" i="23916"/>
  <c r="FN296" i="23916"/>
  <c r="FD297" i="23916"/>
  <c r="FE297" i="23916" s="1"/>
  <c r="FH297" i="23916"/>
  <c r="FI297" i="23916" s="1"/>
  <c r="FN298" i="23916"/>
  <c r="FO298" i="23916" s="1"/>
  <c r="FD299" i="23916"/>
  <c r="FE299" i="23916" s="1"/>
  <c r="FH299" i="23916"/>
  <c r="FI299" i="23916" s="1"/>
  <c r="FN300" i="23916"/>
  <c r="FO300" i="23916" s="1"/>
  <c r="FH301" i="23916"/>
  <c r="GA295" i="23916"/>
  <c r="GJ294" i="23916"/>
  <c r="FY293" i="23916"/>
  <c r="GE294" i="23916"/>
  <c r="CN301" i="23916"/>
  <c r="FV301" i="23916"/>
  <c r="FW301" i="23916" s="1"/>
  <c r="BX302" i="23916"/>
  <c r="CN302" i="23916"/>
  <c r="E330" i="23916"/>
  <c r="E333" i="23916"/>
  <c r="E574" i="23916" s="1"/>
  <c r="FI327" i="23916"/>
  <c r="W355" i="23916"/>
  <c r="X355" i="23916" s="1"/>
  <c r="X352" i="23916"/>
  <c r="AM355" i="23916"/>
  <c r="AN352" i="23916"/>
  <c r="AN350" i="23916"/>
  <c r="AS350" i="23916"/>
  <c r="AT344" i="23916"/>
  <c r="BA350" i="23916"/>
  <c r="BB344" i="23916"/>
  <c r="BI350" i="23916"/>
  <c r="BJ350" i="23916" s="1"/>
  <c r="BJ344" i="23916"/>
  <c r="FC348" i="23916"/>
  <c r="FB393" i="23916"/>
  <c r="FC393" i="23916" s="1"/>
  <c r="AQ338" i="23916"/>
  <c r="AR339" i="23916"/>
  <c r="AY339" i="23916"/>
  <c r="O277" i="23916"/>
  <c r="P277" i="23916" s="1"/>
  <c r="S277" i="23916"/>
  <c r="T277" i="23916" s="1"/>
  <c r="W277" i="23916"/>
  <c r="X277" i="23916" s="1"/>
  <c r="AA277" i="23916"/>
  <c r="AE277" i="23916"/>
  <c r="AI277" i="23916"/>
  <c r="AJ277" i="23916" s="1"/>
  <c r="AM277" i="23916"/>
  <c r="AN277" i="23916" s="1"/>
  <c r="AQ277" i="23916"/>
  <c r="AU277" i="23916"/>
  <c r="AY277" i="23916"/>
  <c r="AZ277" i="23916" s="1"/>
  <c r="FD286" i="23916"/>
  <c r="FE286" i="23916" s="1"/>
  <c r="FH286" i="23916"/>
  <c r="FI286" i="23916" s="1"/>
  <c r="BN285" i="23916"/>
  <c r="FD288" i="23916"/>
  <c r="FE288" i="23916" s="1"/>
  <c r="FH288" i="23916"/>
  <c r="FI288" i="23916" s="1"/>
  <c r="FL288" i="23916"/>
  <c r="FM288" i="23916" s="1"/>
  <c r="FP288" i="23916"/>
  <c r="O289" i="23916"/>
  <c r="S289" i="23916"/>
  <c r="W289" i="23916"/>
  <c r="AA289" i="23916"/>
  <c r="AD289" i="23916" s="1"/>
  <c r="AE289" i="23916"/>
  <c r="AI289" i="23916"/>
  <c r="AM289" i="23916"/>
  <c r="BG289" i="23916"/>
  <c r="BJ289" i="23916" s="1"/>
  <c r="BK289" i="23916"/>
  <c r="BO308" i="23916"/>
  <c r="BS308" i="23916"/>
  <c r="BT305" i="23916"/>
  <c r="BW308" i="23916"/>
  <c r="BX305" i="23916"/>
  <c r="CA308" i="23916"/>
  <c r="CB305" i="23916"/>
  <c r="CE308" i="23916"/>
  <c r="CF305" i="23916"/>
  <c r="CI308" i="23916"/>
  <c r="CM308" i="23916"/>
  <c r="CN305" i="23916"/>
  <c r="CQ308" i="23916"/>
  <c r="CR305" i="23916"/>
  <c r="CU308" i="23916"/>
  <c r="CV305" i="23916"/>
  <c r="CY308" i="23916"/>
  <c r="CZ305" i="23916"/>
  <c r="DC308" i="23916"/>
  <c r="DG308" i="23916"/>
  <c r="DH305" i="23916"/>
  <c r="DK308" i="23916"/>
  <c r="DL305" i="23916"/>
  <c r="DO308" i="23916"/>
  <c r="DP305" i="23916"/>
  <c r="DS308" i="23916"/>
  <c r="DT305" i="23916"/>
  <c r="DW308" i="23916"/>
  <c r="DX305" i="23916"/>
  <c r="EA308" i="23916"/>
  <c r="EB305" i="23916"/>
  <c r="EE308" i="23916"/>
  <c r="EF305" i="23916"/>
  <c r="EI308" i="23916"/>
  <c r="EJ305" i="23916"/>
  <c r="EM289" i="23916"/>
  <c r="FF289" i="23916"/>
  <c r="FZ305" i="23916"/>
  <c r="EM302" i="23916"/>
  <c r="EN302" i="23916" s="1"/>
  <c r="FD294" i="23916"/>
  <c r="FE294" i="23916" s="1"/>
  <c r="FH294" i="23916"/>
  <c r="FI294" i="23916" s="1"/>
  <c r="FL294" i="23916"/>
  <c r="FM294" i="23916" s="1"/>
  <c r="FP294" i="23916"/>
  <c r="FQ294" i="23916" s="1"/>
  <c r="BP296" i="23916"/>
  <c r="BT294" i="23916"/>
  <c r="CB294" i="23916"/>
  <c r="CJ294" i="23916"/>
  <c r="CR294" i="23916"/>
  <c r="FP300" i="23916"/>
  <c r="FJ301" i="23916"/>
  <c r="FK301" i="23916" s="1"/>
  <c r="FU292" i="23916"/>
  <c r="FT302" i="23916"/>
  <c r="FT305" i="23916" s="1"/>
  <c r="FV302" i="23916"/>
  <c r="FW302" i="23916" s="1"/>
  <c r="FY292" i="23916"/>
  <c r="FZ302" i="23916"/>
  <c r="GC292" i="23916"/>
  <c r="GB302" i="23916"/>
  <c r="GI295" i="23916"/>
  <c r="FW292" i="23916"/>
  <c r="GE296" i="23916"/>
  <c r="FY301" i="23916"/>
  <c r="CD305" i="23916"/>
  <c r="CC308" i="23916"/>
  <c r="CT305" i="23916"/>
  <c r="CS308" i="23916"/>
  <c r="DJ305" i="23916"/>
  <c r="DI308" i="23916"/>
  <c r="DZ305" i="23916"/>
  <c r="DY308" i="23916"/>
  <c r="FD329" i="23916"/>
  <c r="FE316" i="23916"/>
  <c r="FH329" i="23916"/>
  <c r="FI316" i="23916"/>
  <c r="FL329" i="23916"/>
  <c r="FM316" i="23916"/>
  <c r="FS316" i="23916"/>
  <c r="FP329" i="23916"/>
  <c r="FQ316" i="23916"/>
  <c r="G333" i="23916"/>
  <c r="G574" i="23916" s="1"/>
  <c r="G330" i="23916"/>
  <c r="O330" i="23916"/>
  <c r="P330" i="23916" s="1"/>
  <c r="P329" i="23916"/>
  <c r="O333" i="23916"/>
  <c r="W330" i="23916"/>
  <c r="X329" i="23916"/>
  <c r="W333" i="23916"/>
  <c r="AE330" i="23916"/>
  <c r="AF330" i="23916" s="1"/>
  <c r="AF329" i="23916"/>
  <c r="AE333" i="23916"/>
  <c r="AM330" i="23916"/>
  <c r="AN330" i="23916" s="1"/>
  <c r="AN329" i="23916"/>
  <c r="AM333" i="23916"/>
  <c r="AU330" i="23916"/>
  <c r="AV329" i="23916"/>
  <c r="AU333" i="23916"/>
  <c r="AV333" i="23916" s="1"/>
  <c r="BC330" i="23916"/>
  <c r="BD329" i="23916"/>
  <c r="BC333" i="23916"/>
  <c r="BD333" i="23916" s="1"/>
  <c r="BK330" i="23916"/>
  <c r="BL330" i="23916" s="1"/>
  <c r="BL329" i="23916"/>
  <c r="BK333" i="23916"/>
  <c r="FS323" i="23916"/>
  <c r="R352" i="23916"/>
  <c r="Q355" i="23916"/>
  <c r="R355" i="23916" s="1"/>
  <c r="AI355" i="23916"/>
  <c r="AJ355" i="23916" s="1"/>
  <c r="AJ352" i="23916"/>
  <c r="AQ350" i="23916"/>
  <c r="AR350" i="23916" s="1"/>
  <c r="FJ344" i="23916"/>
  <c r="AR344" i="23916"/>
  <c r="AY350" i="23916"/>
  <c r="AZ344" i="23916"/>
  <c r="BG350" i="23916"/>
  <c r="BH350" i="23916" s="1"/>
  <c r="BH344" i="23916"/>
  <c r="AS338" i="23916"/>
  <c r="AT339" i="23916"/>
  <c r="BA339" i="23916"/>
  <c r="FC390" i="23916"/>
  <c r="AG394" i="23916"/>
  <c r="AH394" i="23916" s="1"/>
  <c r="AK394" i="23916"/>
  <c r="AL394" i="23916" s="1"/>
  <c r="AS394" i="23916"/>
  <c r="AT394" i="23916" s="1"/>
  <c r="FC227" i="23916"/>
  <c r="FB231" i="23916"/>
  <c r="FC231" i="23916" s="1"/>
  <c r="FB235" i="23916"/>
  <c r="FC235" i="23916" s="1"/>
  <c r="AE236" i="23916"/>
  <c r="AF236" i="23916" s="1"/>
  <c r="AI236" i="23916"/>
  <c r="AJ236" i="23916" s="1"/>
  <c r="AM236" i="23916"/>
  <c r="AQ236" i="23916"/>
  <c r="AZ236" i="23916" s="1"/>
  <c r="AU236" i="23916"/>
  <c r="AV236" i="23916" s="1"/>
  <c r="BZ252" i="23916"/>
  <c r="CH252" i="23916"/>
  <c r="EL252" i="23916"/>
  <c r="FQ252" i="23916"/>
  <c r="FT261" i="23916"/>
  <c r="FU261" i="23916" s="1"/>
  <c r="BZ261" i="23916"/>
  <c r="CH261" i="23916"/>
  <c r="CJ261" i="23916"/>
  <c r="CN261" i="23916"/>
  <c r="CP261" i="23916"/>
  <c r="FG393" i="23916"/>
  <c r="FJ393" i="23916"/>
  <c r="FK393" i="23916" s="1"/>
  <c r="FN393" i="23916"/>
  <c r="FV393" i="23916"/>
  <c r="GD393" i="23916"/>
  <c r="GE393" i="23916" s="1"/>
  <c r="GH393" i="23916"/>
  <c r="BG394" i="23916"/>
  <c r="BG395" i="23916" s="1"/>
  <c r="BK394" i="23916"/>
  <c r="BO394" i="23916"/>
  <c r="BP394" i="23916" s="1"/>
  <c r="BS394" i="23916"/>
  <c r="BW394" i="23916"/>
  <c r="BW395" i="23916" s="1"/>
  <c r="CA394" i="23916"/>
  <c r="CB394" i="23916" s="1"/>
  <c r="CE394" i="23916"/>
  <c r="CF394" i="23916" s="1"/>
  <c r="CI394" i="23916"/>
  <c r="CM394" i="23916"/>
  <c r="CM395" i="23916" s="1"/>
  <c r="CQ394" i="23916"/>
  <c r="CR394" i="23916" s="1"/>
  <c r="CU394" i="23916"/>
  <c r="CV394" i="23916" s="1"/>
  <c r="CY394" i="23916"/>
  <c r="DC394" i="23916"/>
  <c r="DG394" i="23916"/>
  <c r="DH394" i="23916" s="1"/>
  <c r="DK394" i="23916"/>
  <c r="DL394" i="23916" s="1"/>
  <c r="DO394" i="23916"/>
  <c r="DS394" i="23916"/>
  <c r="DW394" i="23916"/>
  <c r="DX394" i="23916" s="1"/>
  <c r="EA394" i="23916"/>
  <c r="EB394" i="23916" s="1"/>
  <c r="EE394" i="23916"/>
  <c r="EI394" i="23916"/>
  <c r="FJ263" i="23916"/>
  <c r="FN263" i="23916"/>
  <c r="FR394" i="23916"/>
  <c r="FV263" i="23916"/>
  <c r="FZ263" i="23916"/>
  <c r="GD263" i="23916"/>
  <c r="GH263" i="23916"/>
  <c r="BI264" i="23916"/>
  <c r="BJ264" i="23916" s="1"/>
  <c r="BM264" i="23916"/>
  <c r="BN264" i="23916" s="1"/>
  <c r="BQ264" i="23916"/>
  <c r="BU264" i="23916"/>
  <c r="BU276" i="23916" s="1"/>
  <c r="CO264" i="23916"/>
  <c r="CP264" i="23916" s="1"/>
  <c r="CS264" i="23916"/>
  <c r="CT264" i="23916" s="1"/>
  <c r="CW264" i="23916"/>
  <c r="DA264" i="23916"/>
  <c r="DA276" i="23916" s="1"/>
  <c r="DE264" i="23916"/>
  <c r="DF264" i="23916" s="1"/>
  <c r="DI264" i="23916"/>
  <c r="DJ264" i="23916" s="1"/>
  <c r="DM264" i="23916"/>
  <c r="DQ264" i="23916"/>
  <c r="DQ276" i="23916" s="1"/>
  <c r="DU264" i="23916"/>
  <c r="DV264" i="23916" s="1"/>
  <c r="DY264" i="23916"/>
  <c r="DZ264" i="23916" s="1"/>
  <c r="EC264" i="23916"/>
  <c r="EG264" i="23916"/>
  <c r="EG276" i="23916" s="1"/>
  <c r="FD273" i="23916"/>
  <c r="FE273" i="23916" s="1"/>
  <c r="FH273" i="23916"/>
  <c r="FI273" i="23916" s="1"/>
  <c r="FL273" i="23916"/>
  <c r="BN286" i="23916"/>
  <c r="BP289" i="23916"/>
  <c r="BT289" i="23916"/>
  <c r="BX289" i="23916"/>
  <c r="CB289" i="23916"/>
  <c r="CF289" i="23916"/>
  <c r="CJ289" i="23916"/>
  <c r="CN289" i="23916"/>
  <c r="CR289" i="23916"/>
  <c r="CV289" i="23916"/>
  <c r="CZ289" i="23916"/>
  <c r="DD289" i="23916"/>
  <c r="DH289" i="23916"/>
  <c r="DL289" i="23916"/>
  <c r="DP289" i="23916"/>
  <c r="DT289" i="23916"/>
  <c r="DX289" i="23916"/>
  <c r="EB289" i="23916"/>
  <c r="EF289" i="23916"/>
  <c r="EJ289" i="23916"/>
  <c r="FW289" i="23916"/>
  <c r="GA289" i="23916"/>
  <c r="GE289" i="23916"/>
  <c r="GI289" i="23916"/>
  <c r="M302" i="23916"/>
  <c r="N302" i="23916" s="1"/>
  <c r="Q302" i="23916"/>
  <c r="Q305" i="23916" s="1"/>
  <c r="U302" i="23916"/>
  <c r="V302" i="23916" s="1"/>
  <c r="Y302" i="23916"/>
  <c r="AC302" i="23916"/>
  <c r="AG302" i="23916"/>
  <c r="AG305" i="23916" s="1"/>
  <c r="AK302" i="23916"/>
  <c r="AL302" i="23916" s="1"/>
  <c r="AO302" i="23916"/>
  <c r="AS302" i="23916"/>
  <c r="AW302" i="23916"/>
  <c r="BA302" i="23916"/>
  <c r="BB302" i="23916" s="1"/>
  <c r="BE302" i="23916"/>
  <c r="BI302" i="23916"/>
  <c r="BM302" i="23916"/>
  <c r="BP302" i="23916" s="1"/>
  <c r="EN292" i="23916"/>
  <c r="EM293" i="23916"/>
  <c r="GJ295" i="23916"/>
  <c r="EK393" i="23916"/>
  <c r="EL393" i="23916" s="1"/>
  <c r="FG292" i="23916"/>
  <c r="FK292" i="23916"/>
  <c r="FO292" i="23916"/>
  <c r="FQ293" i="23916"/>
  <c r="AL393" i="23916"/>
  <c r="AP393" i="23916"/>
  <c r="AT393" i="23916"/>
  <c r="AX393" i="23916"/>
  <c r="BB393" i="23916"/>
  <c r="BF393" i="23916"/>
  <c r="BJ393" i="23916"/>
  <c r="BN393" i="23916"/>
  <c r="FJ295" i="23916"/>
  <c r="FK295" i="23916" s="1"/>
  <c r="FN295" i="23916"/>
  <c r="FO295" i="23916" s="1"/>
  <c r="FS295" i="23916"/>
  <c r="BT393" i="23916"/>
  <c r="BX393" i="23916"/>
  <c r="CB393" i="23916"/>
  <c r="CF393" i="23916"/>
  <c r="CJ393" i="23916"/>
  <c r="CV393" i="23916"/>
  <c r="CN393" i="23916"/>
  <c r="CZ393" i="23916"/>
  <c r="CR393" i="23916"/>
  <c r="AT296" i="23916"/>
  <c r="BJ296" i="23916"/>
  <c r="AB297" i="23916"/>
  <c r="AR297" i="23916"/>
  <c r="AT298" i="23916"/>
  <c r="BJ298" i="23916"/>
  <c r="AB299" i="23916"/>
  <c r="AR299" i="23916"/>
  <c r="AT300" i="23916"/>
  <c r="T301" i="23916"/>
  <c r="BT295" i="23916"/>
  <c r="BV294" i="23916"/>
  <c r="CB295" i="23916"/>
  <c r="CD294" i="23916"/>
  <c r="CJ295" i="23916"/>
  <c r="CL294" i="23916"/>
  <c r="CR295" i="23916"/>
  <c r="CT294" i="23916"/>
  <c r="EB292" i="23916"/>
  <c r="ED295" i="23916"/>
  <c r="GD302" i="23916"/>
  <c r="GE302" i="23916" s="1"/>
  <c r="GH302" i="23916"/>
  <c r="FS292" i="23916"/>
  <c r="GA292" i="23916"/>
  <c r="GI296" i="23916"/>
  <c r="GA301" i="23916"/>
  <c r="GI301" i="23916"/>
  <c r="E302" i="23916"/>
  <c r="E305" i="23916" s="1"/>
  <c r="E308" i="23916" s="1"/>
  <c r="E410" i="23916" s="1"/>
  <c r="I330" i="23916"/>
  <c r="I333" i="23916"/>
  <c r="I574" i="23916" s="1"/>
  <c r="BM330" i="23916"/>
  <c r="BM333" i="23916"/>
  <c r="FQ327" i="23916"/>
  <c r="FS327" i="23916"/>
  <c r="FP341" i="23916"/>
  <c r="FS338" i="23916"/>
  <c r="FD352" i="23916"/>
  <c r="N352" i="23916"/>
  <c r="M355" i="23916"/>
  <c r="N355" i="23916" s="1"/>
  <c r="S355" i="23916"/>
  <c r="T355" i="23916" s="1"/>
  <c r="T352" i="23916"/>
  <c r="Z352" i="23916"/>
  <c r="Y355" i="23916"/>
  <c r="Z355" i="23916" s="1"/>
  <c r="AE355" i="23916"/>
  <c r="AF355" i="23916" s="1"/>
  <c r="AF352" i="23916"/>
  <c r="AH344" i="23916"/>
  <c r="AG350" i="23916"/>
  <c r="AH350" i="23916" s="1"/>
  <c r="AK350" i="23916"/>
  <c r="AP344" i="23916"/>
  <c r="AO350" i="23916"/>
  <c r="AP350" i="23916" s="1"/>
  <c r="BN344" i="23916"/>
  <c r="BM350" i="23916"/>
  <c r="BD339" i="23916"/>
  <c r="AV339" i="23916"/>
  <c r="AU338" i="23916"/>
  <c r="AO323" i="23916"/>
  <c r="AP323" i="23916" s="1"/>
  <c r="FD325" i="23916"/>
  <c r="FE325" i="23916" s="1"/>
  <c r="FH325" i="23916"/>
  <c r="FI325" i="23916" s="1"/>
  <c r="FL325" i="23916"/>
  <c r="FM325" i="23916" s="1"/>
  <c r="FP325" i="23916"/>
  <c r="FP326" i="23916"/>
  <c r="M329" i="23916"/>
  <c r="Q329" i="23916"/>
  <c r="U329" i="23916"/>
  <c r="Y329" i="23916"/>
  <c r="AC329" i="23916"/>
  <c r="AG329" i="23916"/>
  <c r="AK329" i="23916"/>
  <c r="AS329" i="23916"/>
  <c r="AW329" i="23916"/>
  <c r="BA329" i="23916"/>
  <c r="BE329" i="23916"/>
  <c r="BI329" i="23916"/>
  <c r="FB341" i="23916"/>
  <c r="FF341" i="23916"/>
  <c r="BI341" i="23916"/>
  <c r="FB394" i="23916"/>
  <c r="FC394" i="23916" s="1"/>
  <c r="AV347" i="23916"/>
  <c r="BB346" i="23916"/>
  <c r="BJ346" i="23916"/>
  <c r="FD350" i="23916"/>
  <c r="BN346" i="23916"/>
  <c r="K352" i="23916"/>
  <c r="K355" i="23916" s="1"/>
  <c r="FN363" i="23916"/>
  <c r="BN377" i="23916"/>
  <c r="BI379" i="23916"/>
  <c r="BM379" i="23916"/>
  <c r="BN379" i="23916" s="1"/>
  <c r="P316" i="23916"/>
  <c r="T316" i="23916"/>
  <c r="X316" i="23916"/>
  <c r="AB316" i="23916"/>
  <c r="AF316" i="23916"/>
  <c r="AJ316" i="23916"/>
  <c r="AN316" i="23916"/>
  <c r="AR316" i="23916"/>
  <c r="AV316" i="23916"/>
  <c r="AZ316" i="23916"/>
  <c r="BD316" i="23916"/>
  <c r="BH316" i="23916"/>
  <c r="BL316" i="23916"/>
  <c r="FS315" i="23916"/>
  <c r="FG319" i="23916"/>
  <c r="FK319" i="23916"/>
  <c r="FO319" i="23916"/>
  <c r="FQ321" i="23916"/>
  <c r="FC319" i="23916"/>
  <c r="FB323" i="23916"/>
  <c r="FC323" i="23916" s="1"/>
  <c r="FF323" i="23916"/>
  <c r="FG323" i="23916" s="1"/>
  <c r="FJ323" i="23916"/>
  <c r="FK323" i="23916" s="1"/>
  <c r="FN323" i="23916"/>
  <c r="FO323" i="23916" s="1"/>
  <c r="FS319" i="23916"/>
  <c r="FC332" i="23916"/>
  <c r="FG332" i="23916"/>
  <c r="FK332" i="23916"/>
  <c r="FO332" i="23916"/>
  <c r="FC338" i="23916"/>
  <c r="FG338" i="23916"/>
  <c r="FC340" i="23916"/>
  <c r="FG340" i="23916"/>
  <c r="FK340" i="23916"/>
  <c r="FO340" i="23916"/>
  <c r="N341" i="23916"/>
  <c r="R341" i="23916"/>
  <c r="V341" i="23916"/>
  <c r="Z341" i="23916"/>
  <c r="AD341" i="23916"/>
  <c r="AH341" i="23916"/>
  <c r="AL341" i="23916"/>
  <c r="AP341" i="23916"/>
  <c r="BN341" i="23916"/>
  <c r="AF344" i="23916"/>
  <c r="AJ344" i="23916"/>
  <c r="AN344" i="23916"/>
  <c r="FC344" i="23916"/>
  <c r="FG344" i="23916"/>
  <c r="FH346" i="23916"/>
  <c r="FL346" i="23916"/>
  <c r="FP346" i="23916"/>
  <c r="FJ347" i="23916"/>
  <c r="AZ346" i="23916"/>
  <c r="BH346" i="23916"/>
  <c r="FE348" i="23916"/>
  <c r="FI348" i="23916"/>
  <c r="FM348" i="23916"/>
  <c r="FQ348" i="23916"/>
  <c r="FE349" i="23916"/>
  <c r="FI349" i="23916"/>
  <c r="FQ349" i="23916"/>
  <c r="AH346" i="23916"/>
  <c r="AL346" i="23916"/>
  <c r="AP346" i="23916"/>
  <c r="AR346" i="23916"/>
  <c r="AT346" i="23916"/>
  <c r="BD349" i="23916"/>
  <c r="FL363" i="23916"/>
  <c r="FP371" i="23916"/>
  <c r="AW379" i="23916"/>
  <c r="FL379" i="23916" s="1"/>
  <c r="FL378" i="23916" s="1"/>
  <c r="E419" i="23916"/>
  <c r="GT307" i="23916"/>
  <c r="AF321" i="23916"/>
  <c r="AN321" i="23916"/>
  <c r="AP321" i="23916"/>
  <c r="FC322" i="23916"/>
  <c r="FG322" i="23916"/>
  <c r="FK322" i="23916"/>
  <c r="FO322" i="23916"/>
  <c r="AC344" i="23916"/>
  <c r="FH344" i="23916" s="1"/>
  <c r="AU344" i="23916"/>
  <c r="FL344" i="23916" s="1"/>
  <c r="AW344" i="23916"/>
  <c r="BC344" i="23916"/>
  <c r="BE344" i="23916"/>
  <c r="BK344" i="23916"/>
  <c r="FP344" i="23916" s="1"/>
  <c r="FB350" i="23916"/>
  <c r="FC350" i="23916" s="1"/>
  <c r="BJ363" i="23916"/>
  <c r="AZ371" i="23916"/>
  <c r="BG379" i="23916"/>
  <c r="BH379" i="23916" s="1"/>
  <c r="BK379" i="23916"/>
  <c r="BL379" i="23916" s="1"/>
  <c r="FE319" i="23916"/>
  <c r="FI319" i="23916"/>
  <c r="FM319" i="23916"/>
  <c r="FQ319" i="23916"/>
  <c r="FE332" i="23916"/>
  <c r="FE344" i="23916"/>
  <c r="R447" i="23916"/>
  <c r="I454" i="23916"/>
  <c r="G418" i="23916"/>
  <c r="G419" i="23916" s="1"/>
  <c r="K559" i="23916"/>
  <c r="K548" i="23916"/>
  <c r="K536" i="23916"/>
  <c r="K488" i="23916"/>
  <c r="K443" i="23916"/>
  <c r="K438" i="23916"/>
  <c r="M418" i="23916"/>
  <c r="M419" i="23916" s="1"/>
  <c r="O416" i="23916"/>
  <c r="Q418" i="23916"/>
  <c r="Q419" i="23916" s="1"/>
  <c r="S416" i="23916"/>
  <c r="FQ422" i="23916"/>
  <c r="FV433" i="23916"/>
  <c r="FO423" i="23916"/>
  <c r="FM424" i="23916"/>
  <c r="GA424" i="23916"/>
  <c r="FY424" i="23916"/>
  <c r="FK425" i="23916"/>
  <c r="FI426" i="23916"/>
  <c r="FG427" i="23916"/>
  <c r="FE428" i="23916"/>
  <c r="AW436" i="23916"/>
  <c r="AX433" i="23916"/>
  <c r="FP489" i="23916"/>
  <c r="O489" i="23916"/>
  <c r="P489" i="23916" s="1"/>
  <c r="P436" i="23916"/>
  <c r="W489" i="23916"/>
  <c r="X489" i="23916" s="1"/>
  <c r="X436" i="23916"/>
  <c r="AC489" i="23916"/>
  <c r="AD436" i="23916"/>
  <c r="BY489" i="23916"/>
  <c r="BZ436" i="23916"/>
  <c r="EL436" i="23916"/>
  <c r="BA489" i="23916"/>
  <c r="BB489" i="23916" s="1"/>
  <c r="BB436" i="23916"/>
  <c r="BE489" i="23916"/>
  <c r="BF436" i="23916"/>
  <c r="CE489" i="23916"/>
  <c r="CF436" i="23916"/>
  <c r="CO489" i="23916"/>
  <c r="CP436" i="23916"/>
  <c r="CS436" i="23916"/>
  <c r="CT433" i="23916"/>
  <c r="T447" i="23916"/>
  <c r="E559" i="23916"/>
  <c r="E548" i="23916"/>
  <c r="E536" i="23916"/>
  <c r="E488" i="23916"/>
  <c r="E443" i="23916"/>
  <c r="E438" i="23916"/>
  <c r="FY422" i="23916"/>
  <c r="GA422" i="23916"/>
  <c r="FY427" i="23916"/>
  <c r="Q489" i="23916"/>
  <c r="R489" i="23916" s="1"/>
  <c r="R436" i="23916"/>
  <c r="Y489" i="23916"/>
  <c r="Z489" i="23916" s="1"/>
  <c r="Z436" i="23916"/>
  <c r="GH436" i="23916"/>
  <c r="GI433" i="23916"/>
  <c r="FZ489" i="23916"/>
  <c r="GA489" i="23916" s="1"/>
  <c r="GA436" i="23916"/>
  <c r="GD489" i="23916"/>
  <c r="GE436" i="23916"/>
  <c r="AI489" i="23916"/>
  <c r="AJ436" i="23916"/>
  <c r="AM489" i="23916"/>
  <c r="AN436" i="23916"/>
  <c r="AQ489" i="23916"/>
  <c r="AR489" i="23916" s="1"/>
  <c r="AR436" i="23916"/>
  <c r="BK489" i="23916"/>
  <c r="BL436" i="23916"/>
  <c r="BO489" i="23916"/>
  <c r="BS489" i="23916"/>
  <c r="BT489" i="23916" s="1"/>
  <c r="BT436" i="23916"/>
  <c r="BW489" i="23916"/>
  <c r="BX489" i="23916" s="1"/>
  <c r="BX436" i="23916"/>
  <c r="CC436" i="23916"/>
  <c r="CD433" i="23916"/>
  <c r="CM436" i="23916"/>
  <c r="CV436" i="23916" s="1"/>
  <c r="CN433" i="23916"/>
  <c r="FB436" i="23916"/>
  <c r="FC433" i="23916"/>
  <c r="N447" i="23916"/>
  <c r="G559" i="23916"/>
  <c r="G548" i="23916"/>
  <c r="G536" i="23916"/>
  <c r="G488" i="23916"/>
  <c r="G443" i="23916"/>
  <c r="G438" i="23916"/>
  <c r="M559" i="23916"/>
  <c r="M548" i="23916"/>
  <c r="M536" i="23916"/>
  <c r="N536" i="23916" s="1"/>
  <c r="M488" i="23916"/>
  <c r="M443" i="23916"/>
  <c r="M438" i="23916"/>
  <c r="Q559" i="23916"/>
  <c r="Q536" i="23916"/>
  <c r="Q488" i="23916"/>
  <c r="Q443" i="23916"/>
  <c r="R443" i="23916" s="1"/>
  <c r="Q438" i="23916"/>
  <c r="Q480" i="23916" s="1"/>
  <c r="R480" i="23916" s="1"/>
  <c r="GH414" i="23916"/>
  <c r="FT414" i="23916"/>
  <c r="FD433" i="23916"/>
  <c r="FG422" i="23916"/>
  <c r="FT433" i="23916"/>
  <c r="FW422" i="23916"/>
  <c r="FF489" i="23916"/>
  <c r="S489" i="23916"/>
  <c r="T489" i="23916" s="1"/>
  <c r="T436" i="23916"/>
  <c r="AA489" i="23916"/>
  <c r="AB489" i="23916" s="1"/>
  <c r="AB436" i="23916"/>
  <c r="EG489" i="23916"/>
  <c r="GF489" i="23916"/>
  <c r="GG489" i="23916" s="1"/>
  <c r="GG436" i="23916"/>
  <c r="BC489" i="23916"/>
  <c r="CU489" i="23916"/>
  <c r="FC406" i="23916"/>
  <c r="P447" i="23916"/>
  <c r="I411" i="23916"/>
  <c r="I580" i="23916" s="1"/>
  <c r="E418" i="23916"/>
  <c r="G417" i="23916"/>
  <c r="I559" i="23916"/>
  <c r="I548" i="23916"/>
  <c r="I536" i="23916"/>
  <c r="I488" i="23916"/>
  <c r="I438" i="23916"/>
  <c r="I443" i="23916"/>
  <c r="M417" i="23916"/>
  <c r="Q417" i="23916"/>
  <c r="EO415" i="23916"/>
  <c r="FE422" i="23916"/>
  <c r="FU422" i="23916"/>
  <c r="FS423" i="23916"/>
  <c r="FY423" i="23916"/>
  <c r="FQ424" i="23916"/>
  <c r="FO425" i="23916"/>
  <c r="FM426" i="23916"/>
  <c r="FY426" i="23916"/>
  <c r="GA426" i="23916"/>
  <c r="FK427" i="23916"/>
  <c r="FI428" i="23916"/>
  <c r="FJ489" i="23916"/>
  <c r="M489" i="23916"/>
  <c r="N489" i="23916" s="1"/>
  <c r="N436" i="23916"/>
  <c r="U489" i="23916"/>
  <c r="V436" i="23916"/>
  <c r="AE489" i="23916"/>
  <c r="AF489" i="23916" s="1"/>
  <c r="AF436" i="23916"/>
  <c r="GB489" i="23916"/>
  <c r="GC436" i="23916"/>
  <c r="AG489" i="23916"/>
  <c r="AH489" i="23916" s="1"/>
  <c r="AH436" i="23916"/>
  <c r="AK489" i="23916"/>
  <c r="AL489" i="23916" s="1"/>
  <c r="AL436" i="23916"/>
  <c r="AO489" i="23916"/>
  <c r="AP489" i="23916" s="1"/>
  <c r="AP436" i="23916"/>
  <c r="AS489" i="23916"/>
  <c r="AT489" i="23916" s="1"/>
  <c r="AT436" i="23916"/>
  <c r="BI489" i="23916"/>
  <c r="BJ489" i="23916" s="1"/>
  <c r="BJ436" i="23916"/>
  <c r="BM489" i="23916"/>
  <c r="BN489" i="23916" s="1"/>
  <c r="BN436" i="23916"/>
  <c r="BQ489" i="23916"/>
  <c r="BR489" i="23916" s="1"/>
  <c r="BR436" i="23916"/>
  <c r="BU489" i="23916"/>
  <c r="BV489" i="23916" s="1"/>
  <c r="BV436" i="23916"/>
  <c r="CG489" i="23916"/>
  <c r="CH489" i="23916" s="1"/>
  <c r="CH436" i="23916"/>
  <c r="CK436" i="23916"/>
  <c r="CL433" i="23916"/>
  <c r="GM425" i="23916"/>
  <c r="GM429" i="23916"/>
  <c r="FH433" i="23916"/>
  <c r="FG434" i="23916"/>
  <c r="FK434" i="23916"/>
  <c r="FO434" i="23916"/>
  <c r="FS434" i="23916"/>
  <c r="FW434" i="23916"/>
  <c r="FY428" i="23916"/>
  <c r="GE433" i="23916"/>
  <c r="FY434" i="23916"/>
  <c r="GC434" i="23916"/>
  <c r="GG434" i="23916"/>
  <c r="P433" i="23916"/>
  <c r="X433" i="23916"/>
  <c r="AL490" i="23916"/>
  <c r="AP490" i="23916"/>
  <c r="AT490" i="23916"/>
  <c r="AX490" i="23916"/>
  <c r="BB490" i="23916"/>
  <c r="BF490" i="23916"/>
  <c r="BJ490" i="23916"/>
  <c r="BN490" i="23916"/>
  <c r="BR490" i="23916"/>
  <c r="BV490" i="23916"/>
  <c r="CA433" i="23916"/>
  <c r="CD490" i="23916"/>
  <c r="CI433" i="23916"/>
  <c r="CL490" i="23916"/>
  <c r="CQ433" i="23916"/>
  <c r="CT490" i="23916"/>
  <c r="CZ490" i="23916"/>
  <c r="DH490" i="23916"/>
  <c r="DP490" i="23916"/>
  <c r="EF490" i="23916"/>
  <c r="DX490" i="23916"/>
  <c r="P435" i="23916"/>
  <c r="AD434" i="23916"/>
  <c r="AH434" i="23916"/>
  <c r="AL434" i="23916"/>
  <c r="AP434" i="23916"/>
  <c r="AT434" i="23916"/>
  <c r="AX430" i="23916"/>
  <c r="AX434" i="23916"/>
  <c r="BB434" i="23916"/>
  <c r="BF434" i="23916"/>
  <c r="BJ434" i="23916"/>
  <c r="BN434" i="23916"/>
  <c r="BR434" i="23916"/>
  <c r="BV434" i="23916"/>
  <c r="BZ434" i="23916"/>
  <c r="CD434" i="23916"/>
  <c r="CH434" i="23916"/>
  <c r="CL434" i="23916"/>
  <c r="CN432" i="23916"/>
  <c r="CP434" i="23916"/>
  <c r="CT434" i="23916"/>
  <c r="CV432" i="23916"/>
  <c r="DL434" i="23916"/>
  <c r="EH433" i="23916"/>
  <c r="EL433" i="23916"/>
  <c r="EP433" i="23916"/>
  <c r="AC442" i="23916"/>
  <c r="AD442" i="23916" s="1"/>
  <c r="AG442" i="23916"/>
  <c r="AH442" i="23916" s="1"/>
  <c r="AK442" i="23916"/>
  <c r="AL442" i="23916" s="1"/>
  <c r="AO442" i="23916"/>
  <c r="AS442" i="23916"/>
  <c r="AW442" i="23916"/>
  <c r="AX442" i="23916" s="1"/>
  <c r="BA442" i="23916"/>
  <c r="BB442" i="23916" s="1"/>
  <c r="BE442" i="23916"/>
  <c r="BI442" i="23916"/>
  <c r="BM442" i="23916"/>
  <c r="BN442" i="23916" s="1"/>
  <c r="BQ442" i="23916"/>
  <c r="BU442" i="23916"/>
  <c r="CC442" i="23916"/>
  <c r="CD442" i="23916" s="1"/>
  <c r="CG442" i="23916"/>
  <c r="CH442" i="23916" s="1"/>
  <c r="CK442" i="23916"/>
  <c r="CL442" i="23916" s="1"/>
  <c r="CO442" i="23916"/>
  <c r="CS442" i="23916"/>
  <c r="CW442" i="23916"/>
  <c r="CX442" i="23916" s="1"/>
  <c r="DA442" i="23916"/>
  <c r="DB442" i="23916" s="1"/>
  <c r="DE442" i="23916"/>
  <c r="DI442" i="23916"/>
  <c r="DM442" i="23916"/>
  <c r="DN442" i="23916" s="1"/>
  <c r="DQ442" i="23916"/>
  <c r="DR442" i="23916" s="1"/>
  <c r="DU442" i="23916"/>
  <c r="DY442" i="23916"/>
  <c r="EK442" i="23916"/>
  <c r="FQ461" i="23916"/>
  <c r="FO461" i="23916"/>
  <c r="GG461" i="23916"/>
  <c r="GE461" i="23916"/>
  <c r="K480" i="23916"/>
  <c r="EJ468" i="23916"/>
  <c r="GE422" i="23916"/>
  <c r="GI422" i="23916"/>
  <c r="GE423" i="23916"/>
  <c r="GI423" i="23916"/>
  <c r="GE424" i="23916"/>
  <c r="GI424" i="23916"/>
  <c r="GE425" i="23916"/>
  <c r="GI425" i="23916"/>
  <c r="GE426" i="23916"/>
  <c r="GI426" i="23916"/>
  <c r="GE427" i="23916"/>
  <c r="GI427" i="23916"/>
  <c r="GE428" i="23916"/>
  <c r="GI428" i="23916"/>
  <c r="GE429" i="23916"/>
  <c r="GI429" i="23916"/>
  <c r="GA430" i="23916"/>
  <c r="GE430" i="23916"/>
  <c r="GI430" i="23916"/>
  <c r="GE431" i="23916"/>
  <c r="GI431" i="23916"/>
  <c r="GM422" i="23916"/>
  <c r="GM426" i="23916"/>
  <c r="GM430" i="23916"/>
  <c r="FG435" i="23916"/>
  <c r="FK435" i="23916"/>
  <c r="FO435" i="23916"/>
  <c r="FS435" i="23916"/>
  <c r="FW435" i="23916"/>
  <c r="GJ433" i="23916"/>
  <c r="R433" i="23916"/>
  <c r="Z433" i="23916"/>
  <c r="AU433" i="23916"/>
  <c r="AY433" i="23916"/>
  <c r="BG433" i="23916"/>
  <c r="CB490" i="23916"/>
  <c r="CJ490" i="23916"/>
  <c r="CR490" i="23916"/>
  <c r="DJ490" i="23916"/>
  <c r="DR490" i="23916"/>
  <c r="DZ490" i="23916"/>
  <c r="Z435" i="23916"/>
  <c r="AD435" i="23916"/>
  <c r="AF433" i="23916"/>
  <c r="AJ433" i="23916"/>
  <c r="AN433" i="23916"/>
  <c r="AR433" i="23916"/>
  <c r="BD433" i="23916"/>
  <c r="BL433" i="23916"/>
  <c r="BP433" i="23916"/>
  <c r="BT433" i="23916"/>
  <c r="BX433" i="23916"/>
  <c r="CF433" i="23916"/>
  <c r="CV433" i="23916"/>
  <c r="DR434" i="23916"/>
  <c r="DV434" i="23916"/>
  <c r="DZ434" i="23916"/>
  <c r="ED434" i="23916"/>
  <c r="EH434" i="23916"/>
  <c r="GC435" i="23916"/>
  <c r="GG435" i="23916"/>
  <c r="GK435" i="23916"/>
  <c r="CY436" i="23916"/>
  <c r="DC436" i="23916"/>
  <c r="DG436" i="23916"/>
  <c r="DK436" i="23916"/>
  <c r="DO436" i="23916"/>
  <c r="DS436" i="23916"/>
  <c r="DW436" i="23916"/>
  <c r="EA436" i="23916"/>
  <c r="EE436" i="23916"/>
  <c r="EI436" i="23916"/>
  <c r="EM436" i="23916"/>
  <c r="FD442" i="23916"/>
  <c r="FH442" i="23916"/>
  <c r="FI442" i="23916" s="1"/>
  <c r="FL442" i="23916"/>
  <c r="FP442" i="23916"/>
  <c r="FT442" i="23916"/>
  <c r="GB442" i="23916"/>
  <c r="GF442" i="23916"/>
  <c r="FM461" i="23916"/>
  <c r="FK461" i="23916"/>
  <c r="GC461" i="23916"/>
  <c r="GA461" i="23916"/>
  <c r="M480" i="23916"/>
  <c r="E480" i="23916"/>
  <c r="GM423" i="23916"/>
  <c r="GM427" i="23916"/>
  <c r="GM431" i="23916"/>
  <c r="AR490" i="23916"/>
  <c r="AV490" i="23916"/>
  <c r="AZ490" i="23916"/>
  <c r="BD490" i="23916"/>
  <c r="BH490" i="23916"/>
  <c r="BL490" i="23916"/>
  <c r="BP490" i="23916"/>
  <c r="BT490" i="23916"/>
  <c r="BX490" i="23916"/>
  <c r="CP490" i="23916"/>
  <c r="DD490" i="23916"/>
  <c r="DL490" i="23916"/>
  <c r="DT490" i="23916"/>
  <c r="AJ434" i="23916"/>
  <c r="AN434" i="23916"/>
  <c r="AR434" i="23916"/>
  <c r="AV430" i="23916"/>
  <c r="AV434" i="23916"/>
  <c r="AX428" i="23916"/>
  <c r="AZ434" i="23916"/>
  <c r="BD434" i="23916"/>
  <c r="BF428" i="23916"/>
  <c r="BH430" i="23916"/>
  <c r="BH434" i="23916"/>
  <c r="BL434" i="23916"/>
  <c r="BP434" i="23916"/>
  <c r="BT434" i="23916"/>
  <c r="BX434" i="23916"/>
  <c r="CB434" i="23916"/>
  <c r="CD432" i="23916"/>
  <c r="CF434" i="23916"/>
  <c r="CJ434" i="23916"/>
  <c r="CL432" i="23916"/>
  <c r="CN434" i="23916"/>
  <c r="CR434" i="23916"/>
  <c r="CT432" i="23916"/>
  <c r="CV434" i="23916"/>
  <c r="DP434" i="23916"/>
  <c r="EF433" i="23916"/>
  <c r="FX438" i="23916"/>
  <c r="AI442" i="23916"/>
  <c r="AJ442" i="23916" s="1"/>
  <c r="AM442" i="23916"/>
  <c r="AN442" i="23916" s="1"/>
  <c r="AQ442" i="23916"/>
  <c r="AU442" i="23916"/>
  <c r="AV442" i="23916" s="1"/>
  <c r="AY442" i="23916"/>
  <c r="AZ442" i="23916" s="1"/>
  <c r="BC442" i="23916"/>
  <c r="BG442" i="23916"/>
  <c r="BK442" i="23916"/>
  <c r="BL442" i="23916" s="1"/>
  <c r="BO442" i="23916"/>
  <c r="BP442" i="23916" s="1"/>
  <c r="BS442" i="23916"/>
  <c r="BW442" i="23916"/>
  <c r="CA442" i="23916"/>
  <c r="CB442" i="23916" s="1"/>
  <c r="CE442" i="23916"/>
  <c r="CF442" i="23916" s="1"/>
  <c r="CI442" i="23916"/>
  <c r="CM442" i="23916"/>
  <c r="CQ442" i="23916"/>
  <c r="CR442" i="23916" s="1"/>
  <c r="CU442" i="23916"/>
  <c r="CV442" i="23916" s="1"/>
  <c r="CY442" i="23916"/>
  <c r="DC442" i="23916"/>
  <c r="DG442" i="23916"/>
  <c r="DH442" i="23916" s="1"/>
  <c r="DK442" i="23916"/>
  <c r="DL442" i="23916" s="1"/>
  <c r="DO442" i="23916"/>
  <c r="DS442" i="23916"/>
  <c r="DW442" i="23916"/>
  <c r="DX442" i="23916" s="1"/>
  <c r="EA442" i="23916"/>
  <c r="EB442" i="23916" s="1"/>
  <c r="FI461" i="23916"/>
  <c r="FG461" i="23916"/>
  <c r="FY461" i="23916"/>
  <c r="FW461" i="23916"/>
  <c r="G480" i="23916"/>
  <c r="FG468" i="23916"/>
  <c r="FI468" i="23916"/>
  <c r="GK424" i="23916"/>
  <c r="GK428" i="23916"/>
  <c r="FG433" i="23916"/>
  <c r="FK433" i="23916"/>
  <c r="FG490" i="23916"/>
  <c r="FK490" i="23916"/>
  <c r="FO490" i="23916"/>
  <c r="FS490" i="23916"/>
  <c r="FW490" i="23916"/>
  <c r="GC490" i="23916"/>
  <c r="GG490" i="23916"/>
  <c r="N433" i="23916"/>
  <c r="V433" i="23916"/>
  <c r="CF490" i="23916"/>
  <c r="CN490" i="23916"/>
  <c r="CX490" i="23916"/>
  <c r="DF490" i="23916"/>
  <c r="DN490" i="23916"/>
  <c r="DV490" i="23916"/>
  <c r="EJ490" i="23916"/>
  <c r="EB490" i="23916"/>
  <c r="EO434" i="23916"/>
  <c r="AB435" i="23916"/>
  <c r="AD433" i="23916"/>
  <c r="AH433" i="23916"/>
  <c r="AL433" i="23916"/>
  <c r="AP433" i="23916"/>
  <c r="AT433" i="23916"/>
  <c r="BB433" i="23916"/>
  <c r="BF433" i="23916"/>
  <c r="BJ433" i="23916"/>
  <c r="BN433" i="23916"/>
  <c r="BR433" i="23916"/>
  <c r="BV433" i="23916"/>
  <c r="BZ433" i="23916"/>
  <c r="CH433" i="23916"/>
  <c r="CP433" i="23916"/>
  <c r="DN434" i="23916"/>
  <c r="DT434" i="23916"/>
  <c r="DX434" i="23916"/>
  <c r="EB434" i="23916"/>
  <c r="EF434" i="23916"/>
  <c r="EJ434" i="23916"/>
  <c r="EN434" i="23916"/>
  <c r="CW436" i="23916"/>
  <c r="DA436" i="23916"/>
  <c r="DE436" i="23916"/>
  <c r="DI436" i="23916"/>
  <c r="DM436" i="23916"/>
  <c r="DQ436" i="23916"/>
  <c r="DU436" i="23916"/>
  <c r="DY436" i="23916"/>
  <c r="FB442" i="23916"/>
  <c r="FC442" i="23916" s="1"/>
  <c r="FF442" i="23916"/>
  <c r="FG442" i="23916" s="1"/>
  <c r="FJ442" i="23916"/>
  <c r="FK442" i="23916" s="1"/>
  <c r="FN442" i="23916"/>
  <c r="FO442" i="23916" s="1"/>
  <c r="FR442" i="23916"/>
  <c r="FS442" i="23916" s="1"/>
  <c r="FV442" i="23916"/>
  <c r="FZ442" i="23916"/>
  <c r="GA442" i="23916" s="1"/>
  <c r="GD442" i="23916"/>
  <c r="GE442" i="23916" s="1"/>
  <c r="GH442" i="23916"/>
  <c r="FE461" i="23916"/>
  <c r="FC461" i="23916"/>
  <c r="FU461" i="23916"/>
  <c r="FS461" i="23916"/>
  <c r="GI461" i="23916"/>
  <c r="I480" i="23916"/>
  <c r="FM468" i="23916"/>
  <c r="FY490" i="23916"/>
  <c r="FE459" i="23916"/>
  <c r="FI459" i="23916"/>
  <c r="FM459" i="23916"/>
  <c r="FQ459" i="23916"/>
  <c r="FU459" i="23916"/>
  <c r="FY459" i="23916"/>
  <c r="GC459" i="23916"/>
  <c r="GG459" i="23916"/>
  <c r="GN465" i="23916"/>
  <c r="EB466" i="23916"/>
  <c r="EJ466" i="23916"/>
  <c r="FM467" i="23916"/>
  <c r="GM465" i="23916"/>
  <c r="AR468" i="23916"/>
  <c r="AV468" i="23916"/>
  <c r="EC468" i="23916"/>
  <c r="EG468" i="23916"/>
  <c r="EH468" i="23916" s="1"/>
  <c r="FN468" i="23916"/>
  <c r="FO468" i="23916" s="1"/>
  <c r="BJ471" i="23916"/>
  <c r="BP471" i="23916"/>
  <c r="O479" i="23916"/>
  <c r="P479" i="23916" s="1"/>
  <c r="S479" i="23916"/>
  <c r="E479" i="23916"/>
  <c r="I479" i="23916"/>
  <c r="FS482" i="23916"/>
  <c r="FW482" i="23916"/>
  <c r="GA482" i="23916"/>
  <c r="GE482" i="23916"/>
  <c r="GI482" i="23916"/>
  <c r="FY485" i="23916"/>
  <c r="FE484" i="23916"/>
  <c r="V490" i="23916"/>
  <c r="BZ490" i="23916"/>
  <c r="EH490" i="23916"/>
  <c r="GF466" i="23916"/>
  <c r="GG466" i="23916" s="1"/>
  <c r="FE465" i="23916"/>
  <c r="FW471" i="23916"/>
  <c r="GB471" i="23916"/>
  <c r="GF471" i="23916"/>
  <c r="FE473" i="23916"/>
  <c r="FI473" i="23916"/>
  <c r="FM473" i="23916"/>
  <c r="FQ473" i="23916"/>
  <c r="FU473" i="23916"/>
  <c r="FY473" i="23916"/>
  <c r="GC473" i="23916"/>
  <c r="GG473" i="23916"/>
  <c r="GK473" i="23916"/>
  <c r="FX480" i="23916"/>
  <c r="AB483" i="23916"/>
  <c r="T483" i="23916"/>
  <c r="FP468" i="23916"/>
  <c r="FT468" i="23916"/>
  <c r="FU468" i="23916" s="1"/>
  <c r="FX468" i="23916"/>
  <c r="FY468" i="23916" s="1"/>
  <c r="GB468" i="23916"/>
  <c r="GC468" i="23916" s="1"/>
  <c r="GF468" i="23916"/>
  <c r="GG468" i="23916" s="1"/>
  <c r="FG470" i="23916"/>
  <c r="FO470" i="23916"/>
  <c r="M479" i="23916"/>
  <c r="Q479" i="23916"/>
  <c r="R479" i="23916" s="1"/>
  <c r="G479" i="23916"/>
  <c r="K479" i="23916"/>
  <c r="ED490" i="23916"/>
  <c r="EO503" i="23916"/>
  <c r="EN503" i="23916"/>
  <c r="EM505" i="23916"/>
  <c r="EN505" i="23916" s="1"/>
  <c r="EM459" i="23916"/>
  <c r="BL461" i="23916"/>
  <c r="BT461" i="23916"/>
  <c r="CB461" i="23916"/>
  <c r="CJ461" i="23916"/>
  <c r="CR461" i="23916"/>
  <c r="CZ461" i="23916"/>
  <c r="DH461" i="23916"/>
  <c r="DP461" i="23916"/>
  <c r="DX461" i="23916"/>
  <c r="GH466" i="23916"/>
  <c r="GI466" i="23916" s="1"/>
  <c r="FZ471" i="23916"/>
  <c r="GD471" i="23916"/>
  <c r="GH471" i="23916"/>
  <c r="CF471" i="23916"/>
  <c r="DD471" i="23916"/>
  <c r="DF471" i="23916"/>
  <c r="EM528" i="23916"/>
  <c r="EL528" i="23916"/>
  <c r="FD482" i="23916"/>
  <c r="FL484" i="23916"/>
  <c r="FM484" i="23916" s="1"/>
  <c r="FP484" i="23916"/>
  <c r="FQ484" i="23916" s="1"/>
  <c r="FT568" i="23916"/>
  <c r="FT484" i="23916"/>
  <c r="FU484" i="23916" s="1"/>
  <c r="FX568" i="23916"/>
  <c r="FX484" i="23916"/>
  <c r="FY484" i="23916" s="1"/>
  <c r="FX488" i="23916"/>
  <c r="GB568" i="23916"/>
  <c r="GB484" i="23916"/>
  <c r="GC484" i="23916" s="1"/>
  <c r="GF568" i="23916"/>
  <c r="GF484" i="23916"/>
  <c r="GG484" i="23916" s="1"/>
  <c r="FC485" i="23916"/>
  <c r="FB484" i="23916"/>
  <c r="FC484" i="23916" s="1"/>
  <c r="Z490" i="23916"/>
  <c r="EQ501" i="23916"/>
  <c r="EP501" i="23916"/>
  <c r="EO502" i="23916"/>
  <c r="EM504" i="23916"/>
  <c r="EK510" i="23916"/>
  <c r="EL510" i="23916" s="1"/>
  <c r="EK508" i="23916"/>
  <c r="EO506" i="23916"/>
  <c r="FE501" i="23916"/>
  <c r="FI501" i="23916"/>
  <c r="FM501" i="23916"/>
  <c r="FQ501" i="23916"/>
  <c r="FU501" i="23916"/>
  <c r="FY501" i="23916"/>
  <c r="GC501" i="23916"/>
  <c r="GG501" i="23916"/>
  <c r="FA505" i="23916"/>
  <c r="R507" i="23916"/>
  <c r="Q508" i="23916"/>
  <c r="AH507" i="23916"/>
  <c r="AG508" i="23916"/>
  <c r="AX507" i="23916"/>
  <c r="AW508" i="23916"/>
  <c r="BN507" i="23916"/>
  <c r="BM508" i="23916"/>
  <c r="CD507" i="23916"/>
  <c r="CC508" i="23916"/>
  <c r="CT507" i="23916"/>
  <c r="CS508" i="23916"/>
  <c r="DJ507" i="23916"/>
  <c r="DI508" i="23916"/>
  <c r="DZ507" i="23916"/>
  <c r="DY508" i="23916"/>
  <c r="T508" i="23916"/>
  <c r="AJ508" i="23916"/>
  <c r="AZ508" i="23916"/>
  <c r="BP508" i="23916"/>
  <c r="CF508" i="23916"/>
  <c r="CV508" i="23916"/>
  <c r="DL508" i="23916"/>
  <c r="EB508" i="23916"/>
  <c r="AR509" i="23916"/>
  <c r="EY510" i="23916"/>
  <c r="AF514" i="23916"/>
  <c r="AV514" i="23916"/>
  <c r="BG522" i="23916"/>
  <c r="BH521" i="23916"/>
  <c r="BW522" i="23916"/>
  <c r="BX521" i="23916"/>
  <c r="CM522" i="23916"/>
  <c r="CN521" i="23916"/>
  <c r="DC522" i="23916"/>
  <c r="DD521" i="23916"/>
  <c r="DS522" i="23916"/>
  <c r="DT521" i="23916"/>
  <c r="EI522" i="23916"/>
  <c r="EJ521" i="23916"/>
  <c r="FX559" i="23916"/>
  <c r="FD508" i="23916"/>
  <c r="FH508" i="23916"/>
  <c r="FL508" i="23916"/>
  <c r="FP508" i="23916"/>
  <c r="FT508" i="23916"/>
  <c r="FX508" i="23916"/>
  <c r="GB508" i="23916"/>
  <c r="GF508" i="23916"/>
  <c r="FD510" i="23916"/>
  <c r="FH510" i="23916"/>
  <c r="FL510" i="23916"/>
  <c r="FM510" i="23916" s="1"/>
  <c r="FP510" i="23916"/>
  <c r="FT510" i="23916"/>
  <c r="FX510" i="23916"/>
  <c r="GB510" i="23916"/>
  <c r="GC510" i="23916" s="1"/>
  <c r="GF510" i="23916"/>
  <c r="AD507" i="23916"/>
  <c r="AC508" i="23916"/>
  <c r="AT507" i="23916"/>
  <c r="AS508" i="23916"/>
  <c r="BJ507" i="23916"/>
  <c r="BI508" i="23916"/>
  <c r="BZ507" i="23916"/>
  <c r="BY508" i="23916"/>
  <c r="CP507" i="23916"/>
  <c r="CO508" i="23916"/>
  <c r="DF507" i="23916"/>
  <c r="DE508" i="23916"/>
  <c r="DV507" i="23916"/>
  <c r="DU508" i="23916"/>
  <c r="EL507" i="23916"/>
  <c r="X508" i="23916"/>
  <c r="AN508" i="23916"/>
  <c r="BD508" i="23916"/>
  <c r="BT508" i="23916"/>
  <c r="CJ508" i="23916"/>
  <c r="CZ508" i="23916"/>
  <c r="DP508" i="23916"/>
  <c r="EF508" i="23916"/>
  <c r="P509" i="23916"/>
  <c r="AF509" i="23916"/>
  <c r="AV509" i="23916"/>
  <c r="BL509" i="23916"/>
  <c r="CB509" i="23916"/>
  <c r="CR509" i="23916"/>
  <c r="DH509" i="23916"/>
  <c r="DX509" i="23916"/>
  <c r="AB514" i="23916"/>
  <c r="AR514" i="23916"/>
  <c r="EO520" i="23916"/>
  <c r="EN520" i="23916"/>
  <c r="K556" i="23916"/>
  <c r="K545" i="23916"/>
  <c r="K522" i="23916"/>
  <c r="K523" i="23916" s="1"/>
  <c r="S556" i="23916"/>
  <c r="T556" i="23916" s="1"/>
  <c r="S545" i="23916"/>
  <c r="S522" i="23916"/>
  <c r="T521" i="23916"/>
  <c r="AA556" i="23916"/>
  <c r="AB556" i="23916" s="1"/>
  <c r="AA545" i="23916"/>
  <c r="AB545" i="23916" s="1"/>
  <c r="AA522" i="23916"/>
  <c r="AB521" i="23916"/>
  <c r="AI556" i="23916"/>
  <c r="AJ556" i="23916" s="1"/>
  <c r="AI545" i="23916"/>
  <c r="AJ545" i="23916" s="1"/>
  <c r="AI522" i="23916"/>
  <c r="AJ521" i="23916"/>
  <c r="AQ556" i="23916"/>
  <c r="AR556" i="23916" s="1"/>
  <c r="AQ545" i="23916"/>
  <c r="AR545" i="23916" s="1"/>
  <c r="AQ522" i="23916"/>
  <c r="AR521" i="23916"/>
  <c r="BC522" i="23916"/>
  <c r="BD521" i="23916"/>
  <c r="BS522" i="23916"/>
  <c r="BT521" i="23916"/>
  <c r="CI522" i="23916"/>
  <c r="CJ521" i="23916"/>
  <c r="CY522" i="23916"/>
  <c r="CZ521" i="23916"/>
  <c r="DO522" i="23916"/>
  <c r="DP521" i="23916"/>
  <c r="EE522" i="23916"/>
  <c r="EF521" i="23916"/>
  <c r="EV556" i="23916"/>
  <c r="EV545" i="23916"/>
  <c r="EV522" i="23916"/>
  <c r="EV523" i="23916" s="1"/>
  <c r="EM510" i="23916"/>
  <c r="EN510" i="23916" s="1"/>
  <c r="EM508" i="23916"/>
  <c r="Z507" i="23916"/>
  <c r="Y508" i="23916"/>
  <c r="AP507" i="23916"/>
  <c r="AO508" i="23916"/>
  <c r="BF507" i="23916"/>
  <c r="BE508" i="23916"/>
  <c r="BV507" i="23916"/>
  <c r="BU508" i="23916"/>
  <c r="CL507" i="23916"/>
  <c r="CK508" i="23916"/>
  <c r="DB507" i="23916"/>
  <c r="DA508" i="23916"/>
  <c r="DR507" i="23916"/>
  <c r="DQ508" i="23916"/>
  <c r="EH507" i="23916"/>
  <c r="EG508" i="23916"/>
  <c r="N508" i="23916"/>
  <c r="M509" i="23916"/>
  <c r="N509" i="23916" s="1"/>
  <c r="BL514" i="23916"/>
  <c r="E556" i="23916"/>
  <c r="E545" i="23916"/>
  <c r="E522" i="23916"/>
  <c r="E523" i="23916" s="1"/>
  <c r="AY522" i="23916"/>
  <c r="AZ521" i="23916"/>
  <c r="BO522" i="23916"/>
  <c r="BP521" i="23916"/>
  <c r="CE522" i="23916"/>
  <c r="CF521" i="23916"/>
  <c r="CU522" i="23916"/>
  <c r="CV521" i="23916"/>
  <c r="DK522" i="23916"/>
  <c r="DL521" i="23916"/>
  <c r="EA522" i="23916"/>
  <c r="EB521" i="23916"/>
  <c r="EK505" i="23916"/>
  <c r="EL505" i="23916" s="1"/>
  <c r="EN506" i="23916"/>
  <c r="FD505" i="23916"/>
  <c r="FE505" i="23916" s="1"/>
  <c r="FH505" i="23916"/>
  <c r="FI505" i="23916" s="1"/>
  <c r="FL505" i="23916"/>
  <c r="FM505" i="23916" s="1"/>
  <c r="FP505" i="23916"/>
  <c r="FQ505" i="23916" s="1"/>
  <c r="FT505" i="23916"/>
  <c r="FU505" i="23916" s="1"/>
  <c r="FX505" i="23916"/>
  <c r="FY505" i="23916" s="1"/>
  <c r="GB505" i="23916"/>
  <c r="GC505" i="23916" s="1"/>
  <c r="GF505" i="23916"/>
  <c r="GG505" i="23916" s="1"/>
  <c r="FC522" i="23916"/>
  <c r="FB523" i="23916"/>
  <c r="FC523" i="23916" s="1"/>
  <c r="FF523" i="23916"/>
  <c r="FJ523" i="23916"/>
  <c r="FB508" i="23916"/>
  <c r="FF508" i="23916"/>
  <c r="FJ508" i="23916"/>
  <c r="FN508" i="23916"/>
  <c r="FR508" i="23916"/>
  <c r="FV508" i="23916"/>
  <c r="FZ508" i="23916"/>
  <c r="GD508" i="23916"/>
  <c r="GH508" i="23916"/>
  <c r="FB510" i="23916"/>
  <c r="FC510" i="23916" s="1"/>
  <c r="FF510" i="23916"/>
  <c r="FG510" i="23916" s="1"/>
  <c r="FJ510" i="23916"/>
  <c r="FN510" i="23916"/>
  <c r="FO510" i="23916" s="1"/>
  <c r="FR510" i="23916"/>
  <c r="FS510" i="23916" s="1"/>
  <c r="FV510" i="23916"/>
  <c r="FW510" i="23916" s="1"/>
  <c r="FZ510" i="23916"/>
  <c r="GD510" i="23916"/>
  <c r="GE510" i="23916" s="1"/>
  <c r="GH510" i="23916"/>
  <c r="GI510" i="23916" s="1"/>
  <c r="V507" i="23916"/>
  <c r="U508" i="23916"/>
  <c r="AL507" i="23916"/>
  <c r="AK508" i="23916"/>
  <c r="BB507" i="23916"/>
  <c r="BA508" i="23916"/>
  <c r="BR507" i="23916"/>
  <c r="BQ508" i="23916"/>
  <c r="CH507" i="23916"/>
  <c r="CG508" i="23916"/>
  <c r="CX507" i="23916"/>
  <c r="CW508" i="23916"/>
  <c r="DN507" i="23916"/>
  <c r="DM508" i="23916"/>
  <c r="ED507" i="23916"/>
  <c r="EC508" i="23916"/>
  <c r="P508" i="23916"/>
  <c r="AF508" i="23916"/>
  <c r="AV508" i="23916"/>
  <c r="BL508" i="23916"/>
  <c r="CB508" i="23916"/>
  <c r="CR508" i="23916"/>
  <c r="DH508" i="23916"/>
  <c r="DX508" i="23916"/>
  <c r="O556" i="23916"/>
  <c r="O545" i="23916"/>
  <c r="O522" i="23916"/>
  <c r="P521" i="23916"/>
  <c r="W556" i="23916"/>
  <c r="X556" i="23916" s="1"/>
  <c r="W545" i="23916"/>
  <c r="X545" i="23916" s="1"/>
  <c r="W522" i="23916"/>
  <c r="X521" i="23916"/>
  <c r="AE556" i="23916"/>
  <c r="AF556" i="23916" s="1"/>
  <c r="AE545" i="23916"/>
  <c r="AF545" i="23916" s="1"/>
  <c r="AE522" i="23916"/>
  <c r="AF521" i="23916"/>
  <c r="AM556" i="23916"/>
  <c r="AN556" i="23916" s="1"/>
  <c r="AM545" i="23916"/>
  <c r="AN545" i="23916" s="1"/>
  <c r="AM522" i="23916"/>
  <c r="AN521" i="23916"/>
  <c r="AU556" i="23916"/>
  <c r="AV556" i="23916" s="1"/>
  <c r="AU545" i="23916"/>
  <c r="AV545" i="23916" s="1"/>
  <c r="AU522" i="23916"/>
  <c r="AV521" i="23916"/>
  <c r="BK522" i="23916"/>
  <c r="BL521" i="23916"/>
  <c r="CA522" i="23916"/>
  <c r="CB521" i="23916"/>
  <c r="CQ522" i="23916"/>
  <c r="CR521" i="23916"/>
  <c r="DG522" i="23916"/>
  <c r="DH521" i="23916"/>
  <c r="DW522" i="23916"/>
  <c r="DX521" i="23916"/>
  <c r="P557" i="23916"/>
  <c r="T557" i="23916"/>
  <c r="X557" i="23916"/>
  <c r="AB557" i="23916"/>
  <c r="AF557" i="23916"/>
  <c r="AJ557" i="23916"/>
  <c r="AN557" i="23916"/>
  <c r="AR557" i="23916"/>
  <c r="AV557" i="23916"/>
  <c r="AZ557" i="23916"/>
  <c r="BD557" i="23916"/>
  <c r="BH557" i="23916"/>
  <c r="BL557" i="23916"/>
  <c r="BP557" i="23916"/>
  <c r="BT557" i="23916"/>
  <c r="BX557" i="23916"/>
  <c r="CB557" i="23916"/>
  <c r="CF557" i="23916"/>
  <c r="CN557" i="23916"/>
  <c r="CV557" i="23916"/>
  <c r="CZ557" i="23916"/>
  <c r="DD557" i="23916"/>
  <c r="DH557" i="23916"/>
  <c r="DL557" i="23916"/>
  <c r="DP557" i="23916"/>
  <c r="DT557" i="23916"/>
  <c r="DX557" i="23916"/>
  <c r="EB557" i="23916"/>
  <c r="EF557" i="23916"/>
  <c r="EJ557" i="23916"/>
  <c r="EX508" i="23916"/>
  <c r="EY557" i="23916"/>
  <c r="FA557" i="23916"/>
  <c r="EM517" i="23916"/>
  <c r="AY554" i="23916"/>
  <c r="AZ554" i="23916" s="1"/>
  <c r="AY555" i="23916"/>
  <c r="AZ555" i="23916" s="1"/>
  <c r="AY556" i="23916"/>
  <c r="AZ556" i="23916" s="1"/>
  <c r="AY553" i="23916"/>
  <c r="AZ553" i="23916" s="1"/>
  <c r="AY545" i="23916"/>
  <c r="AZ545" i="23916" s="1"/>
  <c r="AY543" i="23916"/>
  <c r="AY542" i="23916"/>
  <c r="AY544" i="23916"/>
  <c r="FL518" i="23916"/>
  <c r="BC554" i="23916"/>
  <c r="BD554" i="23916" s="1"/>
  <c r="BC555" i="23916"/>
  <c r="BD555" i="23916" s="1"/>
  <c r="BC553" i="23916"/>
  <c r="BD553" i="23916" s="1"/>
  <c r="BC556" i="23916"/>
  <c r="BD556" i="23916" s="1"/>
  <c r="BC545" i="23916"/>
  <c r="BC543" i="23916"/>
  <c r="BC542" i="23916"/>
  <c r="BC544" i="23916"/>
  <c r="BG554" i="23916"/>
  <c r="BH554" i="23916" s="1"/>
  <c r="BG555" i="23916"/>
  <c r="BG556" i="23916"/>
  <c r="BH556" i="23916" s="1"/>
  <c r="BG553" i="23916"/>
  <c r="BG545" i="23916"/>
  <c r="BH545" i="23916" s="1"/>
  <c r="BG543" i="23916"/>
  <c r="BG544" i="23916"/>
  <c r="BH544" i="23916" s="1"/>
  <c r="BG542" i="23916"/>
  <c r="BH542" i="23916" s="1"/>
  <c r="BK554" i="23916"/>
  <c r="BL554" i="23916" s="1"/>
  <c r="BK555" i="23916"/>
  <c r="BL555" i="23916" s="1"/>
  <c r="BK553" i="23916"/>
  <c r="BL553" i="23916" s="1"/>
  <c r="BK556" i="23916"/>
  <c r="BL556" i="23916" s="1"/>
  <c r="BK545" i="23916"/>
  <c r="BL545" i="23916" s="1"/>
  <c r="BK543" i="23916"/>
  <c r="BL543" i="23916" s="1"/>
  <c r="BK542" i="23916"/>
  <c r="BL542" i="23916" s="1"/>
  <c r="BK544" i="23916"/>
  <c r="BL544" i="23916" s="1"/>
  <c r="BO554" i="23916"/>
  <c r="BP554" i="23916" s="1"/>
  <c r="BO555" i="23916"/>
  <c r="BP555" i="23916" s="1"/>
  <c r="BO556" i="23916"/>
  <c r="BP556" i="23916" s="1"/>
  <c r="BO553" i="23916"/>
  <c r="BP553" i="23916" s="1"/>
  <c r="BO545" i="23916"/>
  <c r="BP545" i="23916" s="1"/>
  <c r="BO543" i="23916"/>
  <c r="BP543" i="23916" s="1"/>
  <c r="BO542" i="23916"/>
  <c r="BP542" i="23916" s="1"/>
  <c r="BO544" i="23916"/>
  <c r="FP518" i="23916"/>
  <c r="BS554" i="23916"/>
  <c r="BS555" i="23916"/>
  <c r="BT555" i="23916" s="1"/>
  <c r="BS553" i="23916"/>
  <c r="BS556" i="23916"/>
  <c r="BT556" i="23916" s="1"/>
  <c r="BS545" i="23916"/>
  <c r="BS543" i="23916"/>
  <c r="BT543" i="23916" s="1"/>
  <c r="BS542" i="23916"/>
  <c r="BS544" i="23916"/>
  <c r="BT544" i="23916" s="1"/>
  <c r="BW554" i="23916"/>
  <c r="BW555" i="23916"/>
  <c r="BX555" i="23916" s="1"/>
  <c r="BW556" i="23916"/>
  <c r="BW553" i="23916"/>
  <c r="BX553" i="23916" s="1"/>
  <c r="BW545" i="23916"/>
  <c r="BW543" i="23916"/>
  <c r="BX543" i="23916" s="1"/>
  <c r="BW544" i="23916"/>
  <c r="BX544" i="23916" s="1"/>
  <c r="BW542" i="23916"/>
  <c r="CA554" i="23916"/>
  <c r="CB554" i="23916" s="1"/>
  <c r="CA555" i="23916"/>
  <c r="CB555" i="23916" s="1"/>
  <c r="CA553" i="23916"/>
  <c r="CB553" i="23916" s="1"/>
  <c r="CA556" i="23916"/>
  <c r="CB556" i="23916" s="1"/>
  <c r="CA545" i="23916"/>
  <c r="CB545" i="23916" s="1"/>
  <c r="CA543" i="23916"/>
  <c r="CB543" i="23916" s="1"/>
  <c r="CA542" i="23916"/>
  <c r="CB542" i="23916" s="1"/>
  <c r="CA544" i="23916"/>
  <c r="CB544" i="23916" s="1"/>
  <c r="CE554" i="23916"/>
  <c r="CF554" i="23916" s="1"/>
  <c r="CE555" i="23916"/>
  <c r="CF555" i="23916" s="1"/>
  <c r="CE556" i="23916"/>
  <c r="CF556" i="23916" s="1"/>
  <c r="CE553" i="23916"/>
  <c r="CF553" i="23916" s="1"/>
  <c r="CE545" i="23916"/>
  <c r="CF545" i="23916" s="1"/>
  <c r="CE543" i="23916"/>
  <c r="CF543" i="23916" s="1"/>
  <c r="CE542" i="23916"/>
  <c r="CF542" i="23916" s="1"/>
  <c r="CE544" i="23916"/>
  <c r="CF544" i="23916" s="1"/>
  <c r="FT518" i="23916"/>
  <c r="CI554" i="23916"/>
  <c r="CJ554" i="23916" s="1"/>
  <c r="CI555" i="23916"/>
  <c r="CI553" i="23916"/>
  <c r="CJ553" i="23916" s="1"/>
  <c r="CI556" i="23916"/>
  <c r="CM554" i="23916"/>
  <c r="CN554" i="23916" s="1"/>
  <c r="CM556" i="23916"/>
  <c r="CN556" i="23916" s="1"/>
  <c r="CM555" i="23916"/>
  <c r="CM553" i="23916"/>
  <c r="CM545" i="23916"/>
  <c r="CN545" i="23916" s="1"/>
  <c r="CM543" i="23916"/>
  <c r="CM542" i="23916"/>
  <c r="CN542" i="23916" s="1"/>
  <c r="CM544" i="23916"/>
  <c r="CQ554" i="23916"/>
  <c r="CR554" i="23916" s="1"/>
  <c r="CQ556" i="23916"/>
  <c r="CR556" i="23916" s="1"/>
  <c r="CQ555" i="23916"/>
  <c r="CR555" i="23916" s="1"/>
  <c r="CQ553" i="23916"/>
  <c r="CQ545" i="23916"/>
  <c r="CQ543" i="23916"/>
  <c r="CQ542" i="23916"/>
  <c r="CQ544" i="23916"/>
  <c r="CU554" i="23916"/>
  <c r="CV554" i="23916" s="1"/>
  <c r="CU556" i="23916"/>
  <c r="CV556" i="23916" s="1"/>
  <c r="CU555" i="23916"/>
  <c r="CV555" i="23916" s="1"/>
  <c r="CU553" i="23916"/>
  <c r="CV553" i="23916" s="1"/>
  <c r="CU545" i="23916"/>
  <c r="CV545" i="23916" s="1"/>
  <c r="CU543" i="23916"/>
  <c r="CV543" i="23916" s="1"/>
  <c r="CU544" i="23916"/>
  <c r="CV544" i="23916" s="1"/>
  <c r="CU542" i="23916"/>
  <c r="FX518" i="23916"/>
  <c r="FX519" i="23916" s="1"/>
  <c r="CY554" i="23916"/>
  <c r="CY556" i="23916"/>
  <c r="CZ556" i="23916" s="1"/>
  <c r="CY555" i="23916"/>
  <c r="CY553" i="23916"/>
  <c r="CZ553" i="23916" s="1"/>
  <c r="CY545" i="23916"/>
  <c r="CY543" i="23916"/>
  <c r="CZ543" i="23916" s="1"/>
  <c r="CY542" i="23916"/>
  <c r="CY544" i="23916"/>
  <c r="CZ544" i="23916" s="1"/>
  <c r="DC554" i="23916"/>
  <c r="DC556" i="23916"/>
  <c r="DD556" i="23916" s="1"/>
  <c r="DC555" i="23916"/>
  <c r="DC553" i="23916"/>
  <c r="DD553" i="23916" s="1"/>
  <c r="DC545" i="23916"/>
  <c r="DC543" i="23916"/>
  <c r="DD543" i="23916" s="1"/>
  <c r="DC542" i="23916"/>
  <c r="DD542" i="23916" s="1"/>
  <c r="DC544" i="23916"/>
  <c r="DD544" i="23916" s="1"/>
  <c r="DG554" i="23916"/>
  <c r="DH554" i="23916" s="1"/>
  <c r="DG556" i="23916"/>
  <c r="DH556" i="23916" s="1"/>
  <c r="DG555" i="23916"/>
  <c r="DH555" i="23916" s="1"/>
  <c r="DG553" i="23916"/>
  <c r="DH553" i="23916" s="1"/>
  <c r="DG545" i="23916"/>
  <c r="DH545" i="23916" s="1"/>
  <c r="DG543" i="23916"/>
  <c r="DH543" i="23916" s="1"/>
  <c r="DG542" i="23916"/>
  <c r="DH542" i="23916" s="1"/>
  <c r="DG544" i="23916"/>
  <c r="DH544" i="23916" s="1"/>
  <c r="DK554" i="23916"/>
  <c r="DL554" i="23916" s="1"/>
  <c r="DK556" i="23916"/>
  <c r="DL556" i="23916" s="1"/>
  <c r="DK555" i="23916"/>
  <c r="DL555" i="23916" s="1"/>
  <c r="DK553" i="23916"/>
  <c r="DL553" i="23916" s="1"/>
  <c r="DK545" i="23916"/>
  <c r="DL545" i="23916" s="1"/>
  <c r="DK543" i="23916"/>
  <c r="DL543" i="23916" s="1"/>
  <c r="DK544" i="23916"/>
  <c r="DK542" i="23916"/>
  <c r="DL542" i="23916" s="1"/>
  <c r="GB518" i="23916"/>
  <c r="DO554" i="23916"/>
  <c r="DP554" i="23916" s="1"/>
  <c r="DO556" i="23916"/>
  <c r="DO555" i="23916"/>
  <c r="DP555" i="23916" s="1"/>
  <c r="DO553" i="23916"/>
  <c r="DO545" i="23916"/>
  <c r="DP545" i="23916" s="1"/>
  <c r="DO543" i="23916"/>
  <c r="DO542" i="23916"/>
  <c r="DP542" i="23916" s="1"/>
  <c r="DO544" i="23916"/>
  <c r="DS554" i="23916"/>
  <c r="DT554" i="23916" s="1"/>
  <c r="DS556" i="23916"/>
  <c r="DS555" i="23916"/>
  <c r="DT555" i="23916" s="1"/>
  <c r="DS553" i="23916"/>
  <c r="DS545" i="23916"/>
  <c r="DT545" i="23916" s="1"/>
  <c r="DS543" i="23916"/>
  <c r="DS542" i="23916"/>
  <c r="DT542" i="23916" s="1"/>
  <c r="DS544" i="23916"/>
  <c r="DT544" i="23916" s="1"/>
  <c r="DW554" i="23916"/>
  <c r="DX554" i="23916" s="1"/>
  <c r="DW556" i="23916"/>
  <c r="DX556" i="23916" s="1"/>
  <c r="DW555" i="23916"/>
  <c r="DX555" i="23916" s="1"/>
  <c r="DW553" i="23916"/>
  <c r="DX553" i="23916" s="1"/>
  <c r="DW545" i="23916"/>
  <c r="DX545" i="23916" s="1"/>
  <c r="DW543" i="23916"/>
  <c r="DX543" i="23916" s="1"/>
  <c r="DW542" i="23916"/>
  <c r="DX542" i="23916" s="1"/>
  <c r="DW544" i="23916"/>
  <c r="DX544" i="23916" s="1"/>
  <c r="EA554" i="23916"/>
  <c r="EB554" i="23916" s="1"/>
  <c r="EA556" i="23916"/>
  <c r="EB556" i="23916" s="1"/>
  <c r="EA555" i="23916"/>
  <c r="EB555" i="23916" s="1"/>
  <c r="EA553" i="23916"/>
  <c r="EB553" i="23916" s="1"/>
  <c r="EA545" i="23916"/>
  <c r="EB545" i="23916" s="1"/>
  <c r="EA543" i="23916"/>
  <c r="EB543" i="23916" s="1"/>
  <c r="EA544" i="23916"/>
  <c r="EB544" i="23916" s="1"/>
  <c r="EA542" i="23916"/>
  <c r="GF518" i="23916"/>
  <c r="EE554" i="23916"/>
  <c r="EE556" i="23916"/>
  <c r="EF556" i="23916" s="1"/>
  <c r="EE555" i="23916"/>
  <c r="EE553" i="23916"/>
  <c r="EF553" i="23916" s="1"/>
  <c r="EE545" i="23916"/>
  <c r="EE543" i="23916"/>
  <c r="EF543" i="23916" s="1"/>
  <c r="EE542" i="23916"/>
  <c r="EE544" i="23916"/>
  <c r="EF544" i="23916" s="1"/>
  <c r="EI554" i="23916"/>
  <c r="EI556" i="23916"/>
  <c r="EJ556" i="23916" s="1"/>
  <c r="EI555" i="23916"/>
  <c r="EI553" i="23916"/>
  <c r="EJ553" i="23916" s="1"/>
  <c r="EI545" i="23916"/>
  <c r="EI543" i="23916"/>
  <c r="EJ543" i="23916" s="1"/>
  <c r="EI542" i="23916"/>
  <c r="EJ542" i="23916" s="1"/>
  <c r="EI544" i="23916"/>
  <c r="FG517" i="23916"/>
  <c r="FW517" i="23916"/>
  <c r="FB555" i="23916"/>
  <c r="FC555" i="23916" s="1"/>
  <c r="FB556" i="23916"/>
  <c r="FC556" i="23916" s="1"/>
  <c r="FB554" i="23916"/>
  <c r="FC554" i="23916" s="1"/>
  <c r="FB553" i="23916"/>
  <c r="FC553" i="23916" s="1"/>
  <c r="FC518" i="23916"/>
  <c r="FN518" i="23916"/>
  <c r="FN519" i="23916" s="1"/>
  <c r="FV518" i="23916"/>
  <c r="GD518" i="23916"/>
  <c r="FH519" i="23916"/>
  <c r="FP519" i="23916"/>
  <c r="GF519" i="23916"/>
  <c r="FM520" i="23916"/>
  <c r="GC520" i="23916"/>
  <c r="N526" i="23916"/>
  <c r="V526" i="23916"/>
  <c r="AD526" i="23916"/>
  <c r="AL526" i="23916"/>
  <c r="AT526" i="23916"/>
  <c r="BB526" i="23916"/>
  <c r="BJ526" i="23916"/>
  <c r="BR526" i="23916"/>
  <c r="BZ526" i="23916"/>
  <c r="CP526" i="23916"/>
  <c r="CX526" i="23916"/>
  <c r="DF526" i="23916"/>
  <c r="DN526" i="23916"/>
  <c r="DV526" i="23916"/>
  <c r="CY546" i="23916"/>
  <c r="CY547" i="23916"/>
  <c r="CY549" i="23916"/>
  <c r="CZ531" i="23916"/>
  <c r="DO546" i="23916"/>
  <c r="DO547" i="23916"/>
  <c r="DO549" i="23916"/>
  <c r="DP531" i="23916"/>
  <c r="EG549" i="23916"/>
  <c r="EG547" i="23916"/>
  <c r="EG533" i="23916"/>
  <c r="FA536" i="23916"/>
  <c r="EY536" i="23916"/>
  <c r="M521" i="23916"/>
  <c r="Q521" i="23916"/>
  <c r="U521" i="23916"/>
  <c r="Y521" i="23916"/>
  <c r="AC521" i="23916"/>
  <c r="AG521" i="23916"/>
  <c r="AK521" i="23916"/>
  <c r="AO521" i="23916"/>
  <c r="AS521" i="23916"/>
  <c r="AW521" i="23916"/>
  <c r="GD519" i="23916"/>
  <c r="FK519" i="23916"/>
  <c r="P526" i="23916"/>
  <c r="X526" i="23916"/>
  <c r="AF526" i="23916"/>
  <c r="AN526" i="23916"/>
  <c r="AV526" i="23916"/>
  <c r="BD526" i="23916"/>
  <c r="BL526" i="23916"/>
  <c r="BT526" i="23916"/>
  <c r="GI526" i="23916"/>
  <c r="CE546" i="23916"/>
  <c r="CE549" i="23916"/>
  <c r="CE547" i="23916"/>
  <c r="CF531" i="23916"/>
  <c r="CU546" i="23916"/>
  <c r="CU547" i="23916"/>
  <c r="CU549" i="23916"/>
  <c r="CV531" i="23916"/>
  <c r="DK546" i="23916"/>
  <c r="DK547" i="23916"/>
  <c r="DK549" i="23916"/>
  <c r="DL531" i="23916"/>
  <c r="EA546" i="23916"/>
  <c r="EA547" i="23916"/>
  <c r="EA549" i="23916"/>
  <c r="EB531" i="23916"/>
  <c r="EI546" i="23916"/>
  <c r="EJ546" i="23916" s="1"/>
  <c r="EI547" i="23916"/>
  <c r="EI549" i="23916"/>
  <c r="EJ549" i="23916" s="1"/>
  <c r="EI533" i="23916"/>
  <c r="EJ531" i="23916"/>
  <c r="N557" i="23916"/>
  <c r="R557" i="23916"/>
  <c r="V557" i="23916"/>
  <c r="Z557" i="23916"/>
  <c r="AD557" i="23916"/>
  <c r="AH557" i="23916"/>
  <c r="AL557" i="23916"/>
  <c r="AP557" i="23916"/>
  <c r="AT557" i="23916"/>
  <c r="AX557" i="23916"/>
  <c r="BB557" i="23916"/>
  <c r="BF557" i="23916"/>
  <c r="BJ557" i="23916"/>
  <c r="BN557" i="23916"/>
  <c r="BR557" i="23916"/>
  <c r="BV557" i="23916"/>
  <c r="BZ557" i="23916"/>
  <c r="CD557" i="23916"/>
  <c r="CH557" i="23916"/>
  <c r="CL557" i="23916"/>
  <c r="CP557" i="23916"/>
  <c r="CT557" i="23916"/>
  <c r="CX557" i="23916"/>
  <c r="DB557" i="23916"/>
  <c r="DF557" i="23916"/>
  <c r="DN557" i="23916"/>
  <c r="DV557" i="23916"/>
  <c r="DZ557" i="23916"/>
  <c r="EH557" i="23916"/>
  <c r="EL520" i="23916"/>
  <c r="G556" i="23916"/>
  <c r="G545" i="23916"/>
  <c r="BA555" i="23916"/>
  <c r="BB555" i="23916" s="1"/>
  <c r="BA553" i="23916"/>
  <c r="BB553" i="23916" s="1"/>
  <c r="BA554" i="23916"/>
  <c r="BB554" i="23916" s="1"/>
  <c r="BA544" i="23916"/>
  <c r="BA543" i="23916"/>
  <c r="BA542" i="23916"/>
  <c r="BE555" i="23916"/>
  <c r="BF555" i="23916" s="1"/>
  <c r="BE553" i="23916"/>
  <c r="BF553" i="23916" s="1"/>
  <c r="BE554" i="23916"/>
  <c r="BF554" i="23916" s="1"/>
  <c r="BE544" i="23916"/>
  <c r="BE542" i="23916"/>
  <c r="BE543" i="23916"/>
  <c r="BI555" i="23916"/>
  <c r="BJ555" i="23916" s="1"/>
  <c r="BI553" i="23916"/>
  <c r="BJ553" i="23916" s="1"/>
  <c r="BI554" i="23916"/>
  <c r="BJ554" i="23916" s="1"/>
  <c r="BI543" i="23916"/>
  <c r="BI544" i="23916"/>
  <c r="BJ544" i="23916" s="1"/>
  <c r="BI542" i="23916"/>
  <c r="BJ542" i="23916" s="1"/>
  <c r="BM555" i="23916"/>
  <c r="BN555" i="23916" s="1"/>
  <c r="BM553" i="23916"/>
  <c r="BN553" i="23916" s="1"/>
  <c r="BM554" i="23916"/>
  <c r="BN554" i="23916" s="1"/>
  <c r="BM543" i="23916"/>
  <c r="BN543" i="23916" s="1"/>
  <c r="BM542" i="23916"/>
  <c r="BN542" i="23916" s="1"/>
  <c r="BM544" i="23916"/>
  <c r="BN544" i="23916" s="1"/>
  <c r="BQ555" i="23916"/>
  <c r="BR555" i="23916" s="1"/>
  <c r="BQ553" i="23916"/>
  <c r="BR553" i="23916" s="1"/>
  <c r="BQ554" i="23916"/>
  <c r="BR554" i="23916" s="1"/>
  <c r="BQ544" i="23916"/>
  <c r="BQ543" i="23916"/>
  <c r="BR543" i="23916" s="1"/>
  <c r="BQ542" i="23916"/>
  <c r="BU555" i="23916"/>
  <c r="BV555" i="23916" s="1"/>
  <c r="BU553" i="23916"/>
  <c r="BV553" i="23916" s="1"/>
  <c r="BU554" i="23916"/>
  <c r="BV554" i="23916" s="1"/>
  <c r="BU544" i="23916"/>
  <c r="BU542" i="23916"/>
  <c r="BV542" i="23916" s="1"/>
  <c r="BU543" i="23916"/>
  <c r="BV543" i="23916" s="1"/>
  <c r="BY555" i="23916"/>
  <c r="BZ555" i="23916" s="1"/>
  <c r="BY553" i="23916"/>
  <c r="BZ553" i="23916" s="1"/>
  <c r="BY554" i="23916"/>
  <c r="BZ554" i="23916" s="1"/>
  <c r="CC555" i="23916"/>
  <c r="CD555" i="23916" s="1"/>
  <c r="CC553" i="23916"/>
  <c r="CD553" i="23916" s="1"/>
  <c r="CC554" i="23916"/>
  <c r="CD554" i="23916" s="1"/>
  <c r="CG555" i="23916"/>
  <c r="CH555" i="23916" s="1"/>
  <c r="CG553" i="23916"/>
  <c r="CH553" i="23916" s="1"/>
  <c r="CG554" i="23916"/>
  <c r="CH554" i="23916" s="1"/>
  <c r="CK555" i="23916"/>
  <c r="CL555" i="23916" s="1"/>
  <c r="CK553" i="23916"/>
  <c r="CL553" i="23916" s="1"/>
  <c r="CK554" i="23916"/>
  <c r="CL554" i="23916" s="1"/>
  <c r="CO555" i="23916"/>
  <c r="CP555" i="23916" s="1"/>
  <c r="CO554" i="23916"/>
  <c r="CP554" i="23916" s="1"/>
  <c r="CO553" i="23916"/>
  <c r="CS553" i="23916"/>
  <c r="CS555" i="23916"/>
  <c r="CT555" i="23916" s="1"/>
  <c r="CS554" i="23916"/>
  <c r="CT554" i="23916" s="1"/>
  <c r="CW553" i="23916"/>
  <c r="CX553" i="23916" s="1"/>
  <c r="CW555" i="23916"/>
  <c r="CX555" i="23916" s="1"/>
  <c r="CW554" i="23916"/>
  <c r="DA555" i="23916"/>
  <c r="DA554" i="23916"/>
  <c r="DB554" i="23916" s="1"/>
  <c r="DA553" i="23916"/>
  <c r="DB553" i="23916" s="1"/>
  <c r="DE555" i="23916"/>
  <c r="DE554" i="23916"/>
  <c r="DF554" i="23916" s="1"/>
  <c r="DE553" i="23916"/>
  <c r="DF553" i="23916" s="1"/>
  <c r="DI553" i="23916"/>
  <c r="DJ553" i="23916" s="1"/>
  <c r="DI555" i="23916"/>
  <c r="DJ555" i="23916" s="1"/>
  <c r="DI554" i="23916"/>
  <c r="DM553" i="23916"/>
  <c r="DN553" i="23916" s="1"/>
  <c r="DM555" i="23916"/>
  <c r="DN555" i="23916" s="1"/>
  <c r="DM554" i="23916"/>
  <c r="DQ555" i="23916"/>
  <c r="DQ554" i="23916"/>
  <c r="DR554" i="23916" s="1"/>
  <c r="DQ553" i="23916"/>
  <c r="DR553" i="23916" s="1"/>
  <c r="DU555" i="23916"/>
  <c r="DU554" i="23916"/>
  <c r="DV554" i="23916" s="1"/>
  <c r="DU553" i="23916"/>
  <c r="DV553" i="23916" s="1"/>
  <c r="DY553" i="23916"/>
  <c r="DZ553" i="23916" s="1"/>
  <c r="DY555" i="23916"/>
  <c r="DZ555" i="23916" s="1"/>
  <c r="DY554" i="23916"/>
  <c r="EG555" i="23916"/>
  <c r="EG554" i="23916"/>
  <c r="EH554" i="23916" s="1"/>
  <c r="EG553" i="23916"/>
  <c r="EH553" i="23916" s="1"/>
  <c r="EG544" i="23916"/>
  <c r="EG542" i="23916"/>
  <c r="EG543" i="23916"/>
  <c r="AZ518" i="23916"/>
  <c r="BB518" i="23916"/>
  <c r="BD518" i="23916"/>
  <c r="BF518" i="23916"/>
  <c r="BH518" i="23916"/>
  <c r="BJ518" i="23916"/>
  <c r="BL518" i="23916"/>
  <c r="BN518" i="23916"/>
  <c r="BP518" i="23916"/>
  <c r="BR518" i="23916"/>
  <c r="BT518" i="23916"/>
  <c r="BV518" i="23916"/>
  <c r="BX518" i="23916"/>
  <c r="BZ518" i="23916"/>
  <c r="CB518" i="23916"/>
  <c r="CD518" i="23916"/>
  <c r="CF518" i="23916"/>
  <c r="CH518" i="23916"/>
  <c r="CJ518" i="23916"/>
  <c r="CL518" i="23916"/>
  <c r="CN518" i="23916"/>
  <c r="CP518" i="23916"/>
  <c r="CR518" i="23916"/>
  <c r="CT518" i="23916"/>
  <c r="CV518" i="23916"/>
  <c r="CX518" i="23916"/>
  <c r="CZ518" i="23916"/>
  <c r="DB518" i="23916"/>
  <c r="DD518" i="23916"/>
  <c r="DF518" i="23916"/>
  <c r="DH518" i="23916"/>
  <c r="DJ518" i="23916"/>
  <c r="DL518" i="23916"/>
  <c r="DN518" i="23916"/>
  <c r="DP518" i="23916"/>
  <c r="DR518" i="23916"/>
  <c r="DT518" i="23916"/>
  <c r="DV518" i="23916"/>
  <c r="DX518" i="23916"/>
  <c r="DZ518" i="23916"/>
  <c r="EB518" i="23916"/>
  <c r="ED518" i="23916"/>
  <c r="EF518" i="23916"/>
  <c r="EH518" i="23916"/>
  <c r="FJ555" i="23916"/>
  <c r="FJ554" i="23916"/>
  <c r="FK554" i="23916" s="1"/>
  <c r="FJ556" i="23916"/>
  <c r="FJ553" i="23916"/>
  <c r="FK518" i="23916"/>
  <c r="FR518" i="23916"/>
  <c r="FZ518" i="23916"/>
  <c r="FZ519" i="23916" s="1"/>
  <c r="GH518" i="23916"/>
  <c r="FD519" i="23916"/>
  <c r="FT519" i="23916"/>
  <c r="DJ532" i="23916"/>
  <c r="DR532" i="23916"/>
  <c r="CA546" i="23916"/>
  <c r="CA549" i="23916"/>
  <c r="CA547" i="23916"/>
  <c r="CB531" i="23916"/>
  <c r="CQ546" i="23916"/>
  <c r="CQ547" i="23916"/>
  <c r="CQ549" i="23916"/>
  <c r="DG546" i="23916"/>
  <c r="DH546" i="23916" s="1"/>
  <c r="DG547" i="23916"/>
  <c r="DH547" i="23916" s="1"/>
  <c r="DG549" i="23916"/>
  <c r="DH549" i="23916" s="1"/>
  <c r="DH531" i="23916"/>
  <c r="DW546" i="23916"/>
  <c r="DX546" i="23916" s="1"/>
  <c r="DW547" i="23916"/>
  <c r="DX547" i="23916" s="1"/>
  <c r="DW549" i="23916"/>
  <c r="DX549" i="23916" s="1"/>
  <c r="EF531" i="23916"/>
  <c r="DX531" i="23916"/>
  <c r="EO530" i="23916"/>
  <c r="EN530" i="23916"/>
  <c r="N510" i="23916"/>
  <c r="R510" i="23916"/>
  <c r="V510" i="23916"/>
  <c r="Z510" i="23916"/>
  <c r="AD510" i="23916"/>
  <c r="AH510" i="23916"/>
  <c r="AL510" i="23916"/>
  <c r="AP510" i="23916"/>
  <c r="AT510" i="23916"/>
  <c r="AX510" i="23916"/>
  <c r="BB510" i="23916"/>
  <c r="BF510" i="23916"/>
  <c r="BJ510" i="23916"/>
  <c r="BN510" i="23916"/>
  <c r="BR510" i="23916"/>
  <c r="BV510" i="23916"/>
  <c r="BZ510" i="23916"/>
  <c r="CD510" i="23916"/>
  <c r="CH510" i="23916"/>
  <c r="CL510" i="23916"/>
  <c r="CP510" i="23916"/>
  <c r="CT510" i="23916"/>
  <c r="CX510" i="23916"/>
  <c r="DB510" i="23916"/>
  <c r="DF510" i="23916"/>
  <c r="DN510" i="23916"/>
  <c r="DR510" i="23916"/>
  <c r="DV510" i="23916"/>
  <c r="DZ510" i="23916"/>
  <c r="EH510" i="23916"/>
  <c r="EK518" i="23916"/>
  <c r="EJ519" i="23916"/>
  <c r="I556" i="23916"/>
  <c r="I545" i="23916"/>
  <c r="I522" i="23916"/>
  <c r="I523" i="23916" s="1"/>
  <c r="BA519" i="23916"/>
  <c r="BE519" i="23916"/>
  <c r="BI519" i="23916"/>
  <c r="BM519" i="23916"/>
  <c r="BQ519" i="23916"/>
  <c r="BU519" i="23916"/>
  <c r="BY519" i="23916"/>
  <c r="CC519" i="23916"/>
  <c r="CG519" i="23916"/>
  <c r="CK519" i="23916"/>
  <c r="CO519" i="23916"/>
  <c r="CS519" i="23916"/>
  <c r="CW519" i="23916"/>
  <c r="DA519" i="23916"/>
  <c r="DE519" i="23916"/>
  <c r="DI519" i="23916"/>
  <c r="DM519" i="23916"/>
  <c r="DQ519" i="23916"/>
  <c r="DU519" i="23916"/>
  <c r="DY519" i="23916"/>
  <c r="EC519" i="23916"/>
  <c r="EG519" i="23916"/>
  <c r="EX554" i="23916"/>
  <c r="EX553" i="23916"/>
  <c r="EX555" i="23916"/>
  <c r="EX544" i="23916"/>
  <c r="EX543" i="23916"/>
  <c r="EX542" i="23916"/>
  <c r="P519" i="23916"/>
  <c r="T519" i="23916"/>
  <c r="X519" i="23916"/>
  <c r="AB519" i="23916"/>
  <c r="AF519" i="23916"/>
  <c r="AJ519" i="23916"/>
  <c r="AN519" i="23916"/>
  <c r="AR519" i="23916"/>
  <c r="AV519" i="23916"/>
  <c r="AZ519" i="23916"/>
  <c r="BD519" i="23916"/>
  <c r="BH519" i="23916"/>
  <c r="BL519" i="23916"/>
  <c r="BP519" i="23916"/>
  <c r="BT519" i="23916"/>
  <c r="BX519" i="23916"/>
  <c r="CB519" i="23916"/>
  <c r="CF519" i="23916"/>
  <c r="CJ519" i="23916"/>
  <c r="CN519" i="23916"/>
  <c r="CR519" i="23916"/>
  <c r="CV519" i="23916"/>
  <c r="CZ519" i="23916"/>
  <c r="DD519" i="23916"/>
  <c r="DH519" i="23916"/>
  <c r="DL519" i="23916"/>
  <c r="DP519" i="23916"/>
  <c r="DT519" i="23916"/>
  <c r="DX519" i="23916"/>
  <c r="EB519" i="23916"/>
  <c r="EF519" i="23916"/>
  <c r="EY519" i="23916"/>
  <c r="EX521" i="23916"/>
  <c r="EX545" i="23916" s="1"/>
  <c r="FK517" i="23916"/>
  <c r="FV519" i="23916"/>
  <c r="GA517" i="23916"/>
  <c r="FA518" i="23916"/>
  <c r="FF555" i="23916"/>
  <c r="FF556" i="23916"/>
  <c r="FF554" i="23916"/>
  <c r="FG554" i="23916" s="1"/>
  <c r="FF553" i="23916"/>
  <c r="FG553" i="23916" s="1"/>
  <c r="FF542" i="23916"/>
  <c r="FG518" i="23916"/>
  <c r="FG519" i="23916"/>
  <c r="FQ520" i="23916"/>
  <c r="GG520" i="23916"/>
  <c r="GE526" i="23916"/>
  <c r="BW546" i="23916"/>
  <c r="BW549" i="23916"/>
  <c r="BW547" i="23916"/>
  <c r="BX531" i="23916"/>
  <c r="BW533" i="23916"/>
  <c r="CM546" i="23916"/>
  <c r="CN546" i="23916" s="1"/>
  <c r="CM547" i="23916"/>
  <c r="CN547" i="23916" s="1"/>
  <c r="CM549" i="23916"/>
  <c r="CN549" i="23916" s="1"/>
  <c r="CN531" i="23916"/>
  <c r="DC546" i="23916"/>
  <c r="DD546" i="23916" s="1"/>
  <c r="DC547" i="23916"/>
  <c r="DD547" i="23916" s="1"/>
  <c r="DC549" i="23916"/>
  <c r="DD549" i="23916" s="1"/>
  <c r="DD531" i="23916"/>
  <c r="DS546" i="23916"/>
  <c r="DT546" i="23916" s="1"/>
  <c r="DS547" i="23916"/>
  <c r="DT547" i="23916" s="1"/>
  <c r="DS549" i="23916"/>
  <c r="DT549" i="23916" s="1"/>
  <c r="DT531" i="23916"/>
  <c r="FD554" i="23916"/>
  <c r="FE554" i="23916" s="1"/>
  <c r="FD553" i="23916"/>
  <c r="FE553" i="23916" s="1"/>
  <c r="FD555" i="23916"/>
  <c r="FE555" i="23916" s="1"/>
  <c r="FH554" i="23916"/>
  <c r="FH553" i="23916"/>
  <c r="FH555" i="23916"/>
  <c r="FI555" i="23916" s="1"/>
  <c r="FH543" i="23916"/>
  <c r="FD526" i="23916"/>
  <c r="FE526" i="23916" s="1"/>
  <c r="FH526" i="23916"/>
  <c r="FI526" i="23916" s="1"/>
  <c r="FL526" i="23916"/>
  <c r="FM526" i="23916" s="1"/>
  <c r="FP526" i="23916"/>
  <c r="FQ526" i="23916" s="1"/>
  <c r="FT526" i="23916"/>
  <c r="FU526" i="23916" s="1"/>
  <c r="FX526" i="23916"/>
  <c r="FY526" i="23916" s="1"/>
  <c r="FB557" i="23916"/>
  <c r="FC557" i="23916" s="1"/>
  <c r="FB560" i="23916"/>
  <c r="FC560" i="23916" s="1"/>
  <c r="FB558" i="23916"/>
  <c r="FC558" i="23916" s="1"/>
  <c r="FF557" i="23916"/>
  <c r="FF560" i="23916"/>
  <c r="FF558" i="23916"/>
  <c r="FG558" i="23916" s="1"/>
  <c r="FJ557" i="23916"/>
  <c r="FJ560" i="23916"/>
  <c r="FJ558" i="23916"/>
  <c r="FN557" i="23916"/>
  <c r="FN560" i="23916"/>
  <c r="FN558" i="23916"/>
  <c r="FR557" i="23916"/>
  <c r="FR560" i="23916"/>
  <c r="FS560" i="23916" s="1"/>
  <c r="FR558" i="23916"/>
  <c r="FV557" i="23916"/>
  <c r="FV560" i="23916"/>
  <c r="FV558" i="23916"/>
  <c r="FW558" i="23916" s="1"/>
  <c r="FZ557" i="23916"/>
  <c r="FZ560" i="23916"/>
  <c r="FZ558" i="23916"/>
  <c r="GD557" i="23916"/>
  <c r="GD560" i="23916"/>
  <c r="GD558" i="23916"/>
  <c r="GH557" i="23916"/>
  <c r="GH560" i="23916"/>
  <c r="GI560" i="23916" s="1"/>
  <c r="GH558" i="23916"/>
  <c r="FB531" i="23916"/>
  <c r="FB544" i="23916" s="1"/>
  <c r="FC544" i="23916" s="1"/>
  <c r="FF531" i="23916"/>
  <c r="FJ531" i="23916"/>
  <c r="FJ542" i="23916" s="1"/>
  <c r="FN531" i="23916"/>
  <c r="FR531" i="23916"/>
  <c r="FV531" i="23916"/>
  <c r="FZ531" i="23916"/>
  <c r="GD531" i="23916"/>
  <c r="GH531" i="23916"/>
  <c r="CI560" i="23916"/>
  <c r="CJ560" i="23916" s="1"/>
  <c r="CI558" i="23916"/>
  <c r="CI557" i="23916"/>
  <c r="CJ557" i="23916" s="1"/>
  <c r="DJ529" i="23916"/>
  <c r="DR529" i="23916"/>
  <c r="EF530" i="23916"/>
  <c r="EJ530" i="23916"/>
  <c r="O546" i="23916"/>
  <c r="O547" i="23916"/>
  <c r="O544" i="23916"/>
  <c r="O543" i="23916"/>
  <c r="O542" i="23916"/>
  <c r="S544" i="23916"/>
  <c r="S546" i="23916"/>
  <c r="T546" i="23916" s="1"/>
  <c r="S547" i="23916"/>
  <c r="S543" i="23916"/>
  <c r="S542" i="23916"/>
  <c r="W546" i="23916"/>
  <c r="X546" i="23916" s="1"/>
  <c r="W547" i="23916"/>
  <c r="X547" i="23916" s="1"/>
  <c r="W544" i="23916"/>
  <c r="W543" i="23916"/>
  <c r="X543" i="23916" s="1"/>
  <c r="W542" i="23916"/>
  <c r="X542" i="23916" s="1"/>
  <c r="AA543" i="23916"/>
  <c r="AB543" i="23916" s="1"/>
  <c r="AA544" i="23916"/>
  <c r="AA542" i="23916"/>
  <c r="AB542" i="23916" s="1"/>
  <c r="AA546" i="23916"/>
  <c r="AB546" i="23916" s="1"/>
  <c r="AA547" i="23916"/>
  <c r="AB547" i="23916" s="1"/>
  <c r="AE549" i="23916"/>
  <c r="AF549" i="23916" s="1"/>
  <c r="AE543" i="23916"/>
  <c r="AF543" i="23916" s="1"/>
  <c r="AE547" i="23916"/>
  <c r="AF547" i="23916" s="1"/>
  <c r="AE542" i="23916"/>
  <c r="AE544" i="23916"/>
  <c r="AF544" i="23916" s="1"/>
  <c r="AE546" i="23916"/>
  <c r="AI549" i="23916"/>
  <c r="AJ549" i="23916" s="1"/>
  <c r="AI543" i="23916"/>
  <c r="AJ543" i="23916" s="1"/>
  <c r="AI542" i="23916"/>
  <c r="AI547" i="23916"/>
  <c r="AJ547" i="23916" s="1"/>
  <c r="AI544" i="23916"/>
  <c r="AJ544" i="23916" s="1"/>
  <c r="AI546" i="23916"/>
  <c r="AM549" i="23916"/>
  <c r="AN549" i="23916" s="1"/>
  <c r="AM543" i="23916"/>
  <c r="AN543" i="23916" s="1"/>
  <c r="AM547" i="23916"/>
  <c r="AN547" i="23916" s="1"/>
  <c r="AM546" i="23916"/>
  <c r="AN546" i="23916" s="1"/>
  <c r="AM542" i="23916"/>
  <c r="AM544" i="23916"/>
  <c r="AN544" i="23916" s="1"/>
  <c r="AQ549" i="23916"/>
  <c r="AR549" i="23916" s="1"/>
  <c r="AQ543" i="23916"/>
  <c r="AR543" i="23916" s="1"/>
  <c r="AQ544" i="23916"/>
  <c r="AQ542" i="23916"/>
  <c r="AR542" i="23916" s="1"/>
  <c r="AQ546" i="23916"/>
  <c r="AR546" i="23916" s="1"/>
  <c r="AQ547" i="23916"/>
  <c r="AR547" i="23916" s="1"/>
  <c r="AU549" i="23916"/>
  <c r="AV549" i="23916" s="1"/>
  <c r="AU543" i="23916"/>
  <c r="AV543" i="23916" s="1"/>
  <c r="AU547" i="23916"/>
  <c r="AV547" i="23916" s="1"/>
  <c r="AU542" i="23916"/>
  <c r="AV542" i="23916" s="1"/>
  <c r="AU544" i="23916"/>
  <c r="AU546" i="23916"/>
  <c r="AV546" i="23916" s="1"/>
  <c r="AY549" i="23916"/>
  <c r="AZ549" i="23916" s="1"/>
  <c r="AY547" i="23916"/>
  <c r="AZ547" i="23916" s="1"/>
  <c r="AY546" i="23916"/>
  <c r="BC549" i="23916"/>
  <c r="BD549" i="23916" s="1"/>
  <c r="BC547" i="23916"/>
  <c r="BD547" i="23916" s="1"/>
  <c r="BC546" i="23916"/>
  <c r="BD546" i="23916" s="1"/>
  <c r="BG546" i="23916"/>
  <c r="BH546" i="23916" s="1"/>
  <c r="BG549" i="23916"/>
  <c r="BG547" i="23916"/>
  <c r="BH547" i="23916" s="1"/>
  <c r="BK546" i="23916"/>
  <c r="BL546" i="23916" s="1"/>
  <c r="BK549" i="23916"/>
  <c r="BK547" i="23916"/>
  <c r="BO546" i="23916"/>
  <c r="BP546" i="23916" s="1"/>
  <c r="BO549" i="23916"/>
  <c r="BO547" i="23916"/>
  <c r="BS549" i="23916"/>
  <c r="BT549" i="23916" s="1"/>
  <c r="BS546" i="23916"/>
  <c r="BT546" i="23916" s="1"/>
  <c r="BS547" i="23916"/>
  <c r="CI531" i="23916"/>
  <c r="CI544" i="23916" s="1"/>
  <c r="CJ544" i="23916" s="1"/>
  <c r="EE546" i="23916"/>
  <c r="EF546" i="23916" s="1"/>
  <c r="EE547" i="23916"/>
  <c r="EF547" i="23916" s="1"/>
  <c r="EE549" i="23916"/>
  <c r="EF549" i="23916" s="1"/>
  <c r="CI532" i="23916"/>
  <c r="DK532" i="23916"/>
  <c r="DL532" i="23916" s="1"/>
  <c r="EB532" i="23916"/>
  <c r="AA533" i="23916"/>
  <c r="AQ533" i="23916"/>
  <c r="BG533" i="23916"/>
  <c r="EX547" i="23916"/>
  <c r="EX538" i="23916"/>
  <c r="EY531" i="23916"/>
  <c r="K546" i="23916"/>
  <c r="K542" i="23916"/>
  <c r="K543" i="23916"/>
  <c r="K547" i="23916"/>
  <c r="K544" i="23916"/>
  <c r="K533" i="23916"/>
  <c r="EH532" i="23916"/>
  <c r="FD560" i="23916"/>
  <c r="FE560" i="23916" s="1"/>
  <c r="FD558" i="23916"/>
  <c r="FE558" i="23916" s="1"/>
  <c r="FD557" i="23916"/>
  <c r="FE557" i="23916" s="1"/>
  <c r="FH560" i="23916"/>
  <c r="FI560" i="23916" s="1"/>
  <c r="FH558" i="23916"/>
  <c r="FI558" i="23916" s="1"/>
  <c r="FH557" i="23916"/>
  <c r="FI557" i="23916" s="1"/>
  <c r="FL560" i="23916"/>
  <c r="FM560" i="23916" s="1"/>
  <c r="FL558" i="23916"/>
  <c r="FM558" i="23916" s="1"/>
  <c r="FL557" i="23916"/>
  <c r="FM557" i="23916" s="1"/>
  <c r="FP560" i="23916"/>
  <c r="FQ560" i="23916" s="1"/>
  <c r="FP558" i="23916"/>
  <c r="FQ558" i="23916" s="1"/>
  <c r="FP557" i="23916"/>
  <c r="FT560" i="23916"/>
  <c r="FU560" i="23916" s="1"/>
  <c r="FT558" i="23916"/>
  <c r="FU558" i="23916" s="1"/>
  <c r="FT557" i="23916"/>
  <c r="FU557" i="23916" s="1"/>
  <c r="FX560" i="23916"/>
  <c r="FY560" i="23916" s="1"/>
  <c r="FX558" i="23916"/>
  <c r="FY558" i="23916" s="1"/>
  <c r="FX557" i="23916"/>
  <c r="FY557" i="23916" s="1"/>
  <c r="GB560" i="23916"/>
  <c r="GC560" i="23916" s="1"/>
  <c r="GB558" i="23916"/>
  <c r="GC558" i="23916" s="1"/>
  <c r="GB557" i="23916"/>
  <c r="GC557" i="23916" s="1"/>
  <c r="GF560" i="23916"/>
  <c r="GG560" i="23916" s="1"/>
  <c r="GF558" i="23916"/>
  <c r="GG558" i="23916" s="1"/>
  <c r="GF557" i="23916"/>
  <c r="FD531" i="23916"/>
  <c r="FD544" i="23916" s="1"/>
  <c r="FE544" i="23916" s="1"/>
  <c r="FH531" i="23916"/>
  <c r="FH544" i="23916" s="1"/>
  <c r="FL531" i="23916"/>
  <c r="FP531" i="23916"/>
  <c r="FT531" i="23916"/>
  <c r="FX531" i="23916"/>
  <c r="GB531" i="23916"/>
  <c r="GF531" i="23916"/>
  <c r="FF532" i="23916"/>
  <c r="FG532" i="23916" s="1"/>
  <c r="FJ532" i="23916"/>
  <c r="FN532" i="23916"/>
  <c r="FR532" i="23916"/>
  <c r="FS532" i="23916" s="1"/>
  <c r="FV532" i="23916"/>
  <c r="FW532" i="23916" s="1"/>
  <c r="FZ532" i="23916"/>
  <c r="GD532" i="23916"/>
  <c r="GH532" i="23916"/>
  <c r="GI532" i="23916" s="1"/>
  <c r="EH530" i="23916"/>
  <c r="EL530" i="23916"/>
  <c r="M546" i="23916"/>
  <c r="M547" i="23916"/>
  <c r="M544" i="23916"/>
  <c r="N544" i="23916" s="1"/>
  <c r="M543" i="23916"/>
  <c r="M542" i="23916"/>
  <c r="Q544" i="23916"/>
  <c r="Q547" i="23916"/>
  <c r="Q543" i="23916"/>
  <c r="Q542" i="23916"/>
  <c r="U547" i="23916"/>
  <c r="V547" i="23916" s="1"/>
  <c r="U544" i="23916"/>
  <c r="U543" i="23916"/>
  <c r="V543" i="23916" s="1"/>
  <c r="U542" i="23916"/>
  <c r="V542" i="23916" s="1"/>
  <c r="Y547" i="23916"/>
  <c r="Z547" i="23916" s="1"/>
  <c r="Y544" i="23916"/>
  <c r="Y542" i="23916"/>
  <c r="Z542" i="23916" s="1"/>
  <c r="Y543" i="23916"/>
  <c r="Z543" i="23916" s="1"/>
  <c r="AC549" i="23916"/>
  <c r="AD549" i="23916" s="1"/>
  <c r="AC547" i="23916"/>
  <c r="AC543" i="23916"/>
  <c r="AD543" i="23916" s="1"/>
  <c r="AC544" i="23916"/>
  <c r="AD544" i="23916" s="1"/>
  <c r="AC542" i="23916"/>
  <c r="AG549" i="23916"/>
  <c r="AH549" i="23916" s="1"/>
  <c r="AG547" i="23916"/>
  <c r="AH547" i="23916" s="1"/>
  <c r="AG543" i="23916"/>
  <c r="AH543" i="23916" s="1"/>
  <c r="AG542" i="23916"/>
  <c r="AH542" i="23916" s="1"/>
  <c r="AG544" i="23916"/>
  <c r="AH544" i="23916" s="1"/>
  <c r="AK549" i="23916"/>
  <c r="AL549" i="23916" s="1"/>
  <c r="AK547" i="23916"/>
  <c r="AL547" i="23916" s="1"/>
  <c r="AK544" i="23916"/>
  <c r="AL544" i="23916" s="1"/>
  <c r="AK543" i="23916"/>
  <c r="AK542" i="23916"/>
  <c r="AL542" i="23916" s="1"/>
  <c r="AO549" i="23916"/>
  <c r="AP549" i="23916" s="1"/>
  <c r="AO547" i="23916"/>
  <c r="AP547" i="23916" s="1"/>
  <c r="AO544" i="23916"/>
  <c r="AO542" i="23916"/>
  <c r="AO543" i="23916"/>
  <c r="AP543" i="23916" s="1"/>
  <c r="AS549" i="23916"/>
  <c r="AT549" i="23916" s="1"/>
  <c r="AS547" i="23916"/>
  <c r="AT547" i="23916" s="1"/>
  <c r="AS543" i="23916"/>
  <c r="AT543" i="23916" s="1"/>
  <c r="AS544" i="23916"/>
  <c r="AS542" i="23916"/>
  <c r="AT542" i="23916" s="1"/>
  <c r="AW549" i="23916"/>
  <c r="AX549" i="23916" s="1"/>
  <c r="AW547" i="23916"/>
  <c r="AX547" i="23916" s="1"/>
  <c r="AW543" i="23916"/>
  <c r="AX543" i="23916" s="1"/>
  <c r="AW542" i="23916"/>
  <c r="AX542" i="23916" s="1"/>
  <c r="AW544" i="23916"/>
  <c r="AX544" i="23916" s="1"/>
  <c r="BA549" i="23916"/>
  <c r="BB549" i="23916" s="1"/>
  <c r="BA547" i="23916"/>
  <c r="BB547" i="23916" s="1"/>
  <c r="BE549" i="23916"/>
  <c r="BE547" i="23916"/>
  <c r="BI549" i="23916"/>
  <c r="BJ549" i="23916" s="1"/>
  <c r="BI547" i="23916"/>
  <c r="BJ547" i="23916" s="1"/>
  <c r="BM549" i="23916"/>
  <c r="BN549" i="23916" s="1"/>
  <c r="BM547" i="23916"/>
  <c r="BN547" i="23916" s="1"/>
  <c r="BQ549" i="23916"/>
  <c r="BQ547" i="23916"/>
  <c r="BR547" i="23916" s="1"/>
  <c r="BU549" i="23916"/>
  <c r="BV549" i="23916" s="1"/>
  <c r="BU547" i="23916"/>
  <c r="BY531" i="23916"/>
  <c r="BY543" i="23916" s="1"/>
  <c r="BZ543" i="23916" s="1"/>
  <c r="CC531" i="23916"/>
  <c r="CE533" i="23916" s="1"/>
  <c r="CF533" i="23916" s="1"/>
  <c r="CG531" i="23916"/>
  <c r="CK531" i="23916"/>
  <c r="CO531" i="23916"/>
  <c r="CQ533" i="23916" s="1"/>
  <c r="CS531" i="23916"/>
  <c r="CS544" i="23916" s="1"/>
  <c r="CW531" i="23916"/>
  <c r="DA531" i="23916"/>
  <c r="DE531" i="23916"/>
  <c r="DE514" i="23916" s="1"/>
  <c r="DI531" i="23916"/>
  <c r="DI514" i="23916" s="1"/>
  <c r="DM531" i="23916"/>
  <c r="DO533" i="23916" s="1"/>
  <c r="DQ531" i="23916"/>
  <c r="DU531" i="23916"/>
  <c r="DU542" i="23916" s="1"/>
  <c r="DY531" i="23916"/>
  <c r="EA533" i="23916" s="1"/>
  <c r="CK532" i="23916"/>
  <c r="CL532" i="23916" s="1"/>
  <c r="S533" i="23916"/>
  <c r="T533" i="23916" s="1"/>
  <c r="Y533" i="23916"/>
  <c r="Z533" i="23916" s="1"/>
  <c r="AI533" i="23916"/>
  <c r="AJ533" i="23916" s="1"/>
  <c r="AO533" i="23916"/>
  <c r="AP533" i="23916" s="1"/>
  <c r="AY533" i="23916"/>
  <c r="AZ533" i="23916" s="1"/>
  <c r="BE533" i="23916"/>
  <c r="BF533" i="23916" s="1"/>
  <c r="BO533" i="23916"/>
  <c r="BU533" i="23916"/>
  <c r="BV533" i="23916" s="1"/>
  <c r="I544" i="23916"/>
  <c r="I543" i="23916"/>
  <c r="I547" i="23916"/>
  <c r="I542" i="23916"/>
  <c r="I546" i="23916"/>
  <c r="I533" i="23916"/>
  <c r="R533" i="23916" s="1"/>
  <c r="FE529" i="23916"/>
  <c r="FI529" i="23916"/>
  <c r="FM529" i="23916"/>
  <c r="FQ529" i="23916"/>
  <c r="FU529" i="23916"/>
  <c r="FY529" i="23916"/>
  <c r="GC529" i="23916"/>
  <c r="GG529" i="23916"/>
  <c r="DI560" i="23916"/>
  <c r="DI557" i="23916"/>
  <c r="DJ557" i="23916" s="1"/>
  <c r="DI558" i="23916"/>
  <c r="N531" i="23916"/>
  <c r="R531" i="23916"/>
  <c r="V531" i="23916"/>
  <c r="Z531" i="23916"/>
  <c r="AD531" i="23916"/>
  <c r="AH531" i="23916"/>
  <c r="AL531" i="23916"/>
  <c r="AP531" i="23916"/>
  <c r="AT531" i="23916"/>
  <c r="AX531" i="23916"/>
  <c r="BB531" i="23916"/>
  <c r="BF531" i="23916"/>
  <c r="BJ531" i="23916"/>
  <c r="BN531" i="23916"/>
  <c r="BR531" i="23916"/>
  <c r="BV531" i="23916"/>
  <c r="O533" i="23916"/>
  <c r="P533" i="23916" s="1"/>
  <c r="U533" i="23916"/>
  <c r="V533" i="23916" s="1"/>
  <c r="AE533" i="23916"/>
  <c r="AF533" i="23916" s="1"/>
  <c r="AK533" i="23916"/>
  <c r="AL533" i="23916" s="1"/>
  <c r="AU533" i="23916"/>
  <c r="AV533" i="23916" s="1"/>
  <c r="BA533" i="23916"/>
  <c r="BB533" i="23916" s="1"/>
  <c r="BK533" i="23916"/>
  <c r="BL533" i="23916" s="1"/>
  <c r="BQ533" i="23916"/>
  <c r="BR533" i="23916" s="1"/>
  <c r="EV543" i="23916"/>
  <c r="EV547" i="23916"/>
  <c r="EV542" i="23916"/>
  <c r="EV546" i="23916"/>
  <c r="EV544" i="23916"/>
  <c r="EX533" i="23916"/>
  <c r="E547" i="23916"/>
  <c r="E543" i="23916"/>
  <c r="E542" i="23916"/>
  <c r="E546" i="23916"/>
  <c r="E544" i="23916"/>
  <c r="FA539" i="23916"/>
  <c r="G544" i="23916"/>
  <c r="G546" i="23916"/>
  <c r="G543" i="23916"/>
  <c r="G547" i="23916"/>
  <c r="G542" i="23916"/>
  <c r="BF558" i="23916"/>
  <c r="BN558" i="23916"/>
  <c r="CR560" i="23916"/>
  <c r="BJ558" i="23916"/>
  <c r="BR558" i="23916"/>
  <c r="CF558" i="23916"/>
  <c r="CL558" i="23916"/>
  <c r="CP558" i="23916"/>
  <c r="N555" i="23916"/>
  <c r="V554" i="23916"/>
  <c r="AF555" i="23916"/>
  <c r="AL558" i="23916"/>
  <c r="Z553" i="23916"/>
  <c r="N558" i="23916"/>
  <c r="P555" i="23916"/>
  <c r="X555" i="23916"/>
  <c r="AD558" i="23916"/>
  <c r="AT554" i="23916"/>
  <c r="AB553" i="23916"/>
  <c r="T558" i="23916"/>
  <c r="V558" i="23916"/>
  <c r="AL554" i="23916"/>
  <c r="AV555" i="23916"/>
  <c r="FU4" i="23916"/>
  <c r="FS4" i="23916"/>
  <c r="FQ4" i="23916"/>
  <c r="FO4" i="23916"/>
  <c r="FM4" i="23916"/>
  <c r="FK4" i="23916"/>
  <c r="EO607" i="23916" l="1"/>
  <c r="EP87" i="23916"/>
  <c r="FN521" i="23916"/>
  <c r="FZ521" i="23916"/>
  <c r="GA519" i="23916"/>
  <c r="FI344" i="23916"/>
  <c r="FH350" i="23916"/>
  <c r="EG280" i="23916"/>
  <c r="EG277" i="23916"/>
  <c r="EG10" i="23916"/>
  <c r="DQ280" i="23916"/>
  <c r="DQ277" i="23916"/>
  <c r="DQ10" i="23916"/>
  <c r="DA280" i="23916"/>
  <c r="DA277" i="23916"/>
  <c r="DA10" i="23916"/>
  <c r="BU280" i="23916"/>
  <c r="BU277" i="23916"/>
  <c r="FT308" i="23916"/>
  <c r="FU270" i="23916"/>
  <c r="FW270" i="23916"/>
  <c r="AQ209" i="23916"/>
  <c r="AQ206" i="23916"/>
  <c r="FL156" i="23916"/>
  <c r="FO151" i="23916"/>
  <c r="GD93" i="23916"/>
  <c r="GK78" i="23916"/>
  <c r="EI56" i="23916"/>
  <c r="EI59" i="23916"/>
  <c r="DC56" i="23916"/>
  <c r="DC59" i="23916"/>
  <c r="DK36" i="23916"/>
  <c r="DL28" i="23916"/>
  <c r="EY545" i="23916"/>
  <c r="FA545" i="23916"/>
  <c r="FY519" i="23916"/>
  <c r="FX521" i="23916"/>
  <c r="FQ256" i="23916"/>
  <c r="FS256" i="23916"/>
  <c r="EK197" i="23916"/>
  <c r="EL191" i="23916"/>
  <c r="FK121" i="23916"/>
  <c r="FM121" i="23916"/>
  <c r="EN81" i="23916"/>
  <c r="CM56" i="23916"/>
  <c r="CM59" i="23916"/>
  <c r="BW56" i="23916"/>
  <c r="BW59" i="23916"/>
  <c r="FZ93" i="23916"/>
  <c r="FK89" i="23916"/>
  <c r="FM89" i="23916"/>
  <c r="DC36" i="23916"/>
  <c r="DD28" i="23916"/>
  <c r="EP289" i="23916"/>
  <c r="EN259" i="23916"/>
  <c r="FK200" i="23916"/>
  <c r="FM200" i="23916"/>
  <c r="AI390" i="23916"/>
  <c r="AJ148" i="23916"/>
  <c r="BY28" i="23916"/>
  <c r="FO156" i="23916"/>
  <c r="EP81" i="23916"/>
  <c r="FV93" i="23916"/>
  <c r="CU36" i="23916"/>
  <c r="CV28" i="23916"/>
  <c r="FS344" i="23916"/>
  <c r="FP350" i="23916"/>
  <c r="FM344" i="23916"/>
  <c r="FL350" i="23916"/>
  <c r="E453" i="23916"/>
  <c r="E454" i="23916" s="1"/>
  <c r="E411" i="23916"/>
  <c r="E580" i="23916" s="1"/>
  <c r="AG308" i="23916"/>
  <c r="Q308" i="23916"/>
  <c r="FP53" i="23916"/>
  <c r="FS42" i="23916"/>
  <c r="DR558" i="23916"/>
  <c r="DJ558" i="23916"/>
  <c r="FT549" i="23916"/>
  <c r="FT547" i="23916"/>
  <c r="FU531" i="23916"/>
  <c r="FT533" i="23916"/>
  <c r="BH533" i="23916"/>
  <c r="DT532" i="23916"/>
  <c r="DQ549" i="23916"/>
  <c r="DQ547" i="23916"/>
  <c r="DR531" i="23916"/>
  <c r="DQ533" i="23916"/>
  <c r="DA549" i="23916"/>
  <c r="DA547" i="23916"/>
  <c r="DB531" i="23916"/>
  <c r="DA533" i="23916"/>
  <c r="CK547" i="23916"/>
  <c r="CL531" i="23916"/>
  <c r="CK533" i="23916"/>
  <c r="CK514" i="23916"/>
  <c r="AP542" i="23916"/>
  <c r="AD542" i="23916"/>
  <c r="AD547" i="23916"/>
  <c r="Z544" i="23916"/>
  <c r="R542" i="23916"/>
  <c r="N547" i="23916"/>
  <c r="GF549" i="23916"/>
  <c r="GF547" i="23916"/>
  <c r="GG531" i="23916"/>
  <c r="GF533" i="23916"/>
  <c r="FP549" i="23916"/>
  <c r="FP547" i="23916"/>
  <c r="FQ531" i="23916"/>
  <c r="FP533" i="23916"/>
  <c r="GG557" i="23916"/>
  <c r="FQ557" i="23916"/>
  <c r="FA538" i="23916"/>
  <c r="EY538" i="23916"/>
  <c r="AR533" i="23916"/>
  <c r="CR532" i="23916"/>
  <c r="CJ532" i="23916"/>
  <c r="BL547" i="23916"/>
  <c r="BH549" i="23916"/>
  <c r="AF546" i="23916"/>
  <c r="T542" i="23916"/>
  <c r="T544" i="23916"/>
  <c r="P547" i="23916"/>
  <c r="FV549" i="23916"/>
  <c r="FW549" i="23916" s="1"/>
  <c r="FV547" i="23916"/>
  <c r="FW547" i="23916" s="1"/>
  <c r="FV533" i="23916"/>
  <c r="FW533" i="23916" s="1"/>
  <c r="FW531" i="23916"/>
  <c r="FF550" i="23916"/>
  <c r="FF547" i="23916"/>
  <c r="FF549" i="23916"/>
  <c r="FF533" i="23916"/>
  <c r="FG531" i="23916"/>
  <c r="GI557" i="23916"/>
  <c r="GA558" i="23916"/>
  <c r="FW560" i="23916"/>
  <c r="FS557" i="23916"/>
  <c r="FK558" i="23916"/>
  <c r="FG560" i="23916"/>
  <c r="FH542" i="23916"/>
  <c r="FI542" i="23916" s="1"/>
  <c r="FI553" i="23916"/>
  <c r="FD542" i="23916"/>
  <c r="AX533" i="23916"/>
  <c r="DS533" i="23916"/>
  <c r="EB533" i="23916" s="1"/>
  <c r="BX547" i="23916"/>
  <c r="FW526" i="23916"/>
  <c r="FF543" i="23916"/>
  <c r="EY542" i="23916"/>
  <c r="FA542" i="23916"/>
  <c r="EX556" i="23916"/>
  <c r="EH519" i="23916"/>
  <c r="EG521" i="23916"/>
  <c r="DR519" i="23916"/>
  <c r="DQ521" i="23916"/>
  <c r="DB519" i="23916"/>
  <c r="DA521" i="23916"/>
  <c r="CL519" i="23916"/>
  <c r="CK521" i="23916"/>
  <c r="BV519" i="23916"/>
  <c r="BU521" i="23916"/>
  <c r="BF519" i="23916"/>
  <c r="BE521" i="23916"/>
  <c r="AN533" i="23916"/>
  <c r="CB546" i="23916"/>
  <c r="FE519" i="23916"/>
  <c r="FD521" i="23916"/>
  <c r="FJ545" i="23916"/>
  <c r="FK555" i="23916"/>
  <c r="EH555" i="23916"/>
  <c r="DV555" i="23916"/>
  <c r="DR555" i="23916"/>
  <c r="DF555" i="23916"/>
  <c r="DB555" i="23916"/>
  <c r="CT553" i="23916"/>
  <c r="CC543" i="23916"/>
  <c r="CD543" i="23916" s="1"/>
  <c r="BY544" i="23916"/>
  <c r="BZ544" i="23916" s="1"/>
  <c r="DR557" i="23916"/>
  <c r="EJ533" i="23916"/>
  <c r="EB546" i="23916"/>
  <c r="DL547" i="23916"/>
  <c r="CV549" i="23916"/>
  <c r="AS556" i="23916"/>
  <c r="AS545" i="23916"/>
  <c r="AT521" i="23916"/>
  <c r="AS522" i="23916"/>
  <c r="AC556" i="23916"/>
  <c r="AC545" i="23916"/>
  <c r="AD521" i="23916"/>
  <c r="AC522" i="23916"/>
  <c r="M556" i="23916"/>
  <c r="N556" i="23916" s="1"/>
  <c r="M545" i="23916"/>
  <c r="N545" i="23916" s="1"/>
  <c r="N521" i="23916"/>
  <c r="M522" i="23916"/>
  <c r="AT533" i="23916"/>
  <c r="CZ546" i="23916"/>
  <c r="FI519" i="23916"/>
  <c r="FH521" i="23916"/>
  <c r="EJ545" i="23916"/>
  <c r="EJ554" i="23916"/>
  <c r="EF545" i="23916"/>
  <c r="EF554" i="23916"/>
  <c r="DT543" i="23916"/>
  <c r="DT556" i="23916"/>
  <c r="DP543" i="23916"/>
  <c r="DP556" i="23916"/>
  <c r="DL544" i="23916"/>
  <c r="DD555" i="23916"/>
  <c r="CZ542" i="23916"/>
  <c r="CZ555" i="23916"/>
  <c r="CV542" i="23916"/>
  <c r="CR544" i="23916"/>
  <c r="CR553" i="23916"/>
  <c r="CN544" i="23916"/>
  <c r="CN553" i="23916"/>
  <c r="CJ556" i="23916"/>
  <c r="FT554" i="23916"/>
  <c r="FT555" i="23916"/>
  <c r="FT553" i="23916"/>
  <c r="FT544" i="23916"/>
  <c r="FT542" i="23916"/>
  <c r="FT543" i="23916"/>
  <c r="FU518" i="23916"/>
  <c r="BX545" i="23916"/>
  <c r="BX554" i="23916"/>
  <c r="BT545" i="23916"/>
  <c r="BT554" i="23916"/>
  <c r="BH543" i="23916"/>
  <c r="BH555" i="23916"/>
  <c r="BD543" i="23916"/>
  <c r="AZ542" i="23916"/>
  <c r="EO517" i="23916"/>
  <c r="EN517" i="23916"/>
  <c r="DW523" i="23916"/>
  <c r="DX522" i="23916"/>
  <c r="CQ523" i="23916"/>
  <c r="CR522" i="23916"/>
  <c r="BK523" i="23916"/>
  <c r="BL522" i="23916"/>
  <c r="P556" i="23916"/>
  <c r="BY514" i="23916"/>
  <c r="FZ509" i="23916"/>
  <c r="GA508" i="23916"/>
  <c r="FJ509" i="23916"/>
  <c r="FK508" i="23916"/>
  <c r="T545" i="23916"/>
  <c r="DF508" i="23916"/>
  <c r="DE509" i="23916"/>
  <c r="BZ508" i="23916"/>
  <c r="BY509" i="23916"/>
  <c r="AT508" i="23916"/>
  <c r="AS509" i="23916"/>
  <c r="GG510" i="23916"/>
  <c r="FQ510" i="23916"/>
  <c r="GF509" i="23916"/>
  <c r="GG508" i="23916"/>
  <c r="FP509" i="23916"/>
  <c r="FP546" i="23916" s="1"/>
  <c r="FQ508" i="23916"/>
  <c r="DY514" i="23916"/>
  <c r="EO510" i="23916"/>
  <c r="EP510" i="23916" s="1"/>
  <c r="EQ506" i="23916"/>
  <c r="EP506" i="23916"/>
  <c r="EO504" i="23916"/>
  <c r="EO505" i="23916" s="1"/>
  <c r="EP505" i="23916" s="1"/>
  <c r="EN504" i="23916"/>
  <c r="FG482" i="23916"/>
  <c r="FE482" i="23916"/>
  <c r="GA471" i="23916"/>
  <c r="FZ470" i="23916"/>
  <c r="GA470" i="23916" s="1"/>
  <c r="GA505" i="23916"/>
  <c r="EQ503" i="23916"/>
  <c r="EP503" i="23916"/>
  <c r="N479" i="23916"/>
  <c r="GE505" i="23916"/>
  <c r="EL471" i="23916"/>
  <c r="EM471" i="23916"/>
  <c r="EK466" i="23916"/>
  <c r="EK470" i="23916"/>
  <c r="GI505" i="23916"/>
  <c r="T479" i="23916"/>
  <c r="ED468" i="23916"/>
  <c r="GH468" i="23916"/>
  <c r="GI468" i="23916" s="1"/>
  <c r="FW484" i="23916"/>
  <c r="GE468" i="23916"/>
  <c r="GT442" i="23916"/>
  <c r="GI442" i="23916"/>
  <c r="DQ489" i="23916"/>
  <c r="DR436" i="23916"/>
  <c r="DA489" i="23916"/>
  <c r="DB436" i="23916"/>
  <c r="GJ434" i="23916"/>
  <c r="EP434" i="23916"/>
  <c r="EQ434" i="23916"/>
  <c r="DP442" i="23916"/>
  <c r="CZ442" i="23916"/>
  <c r="CJ442" i="23916"/>
  <c r="BT442" i="23916"/>
  <c r="BD442" i="23916"/>
  <c r="N480" i="23916"/>
  <c r="FQ442" i="23916"/>
  <c r="EE489" i="23916"/>
  <c r="EF436" i="23916"/>
  <c r="DO489" i="23916"/>
  <c r="DP436" i="23916"/>
  <c r="CY489" i="23916"/>
  <c r="FS484" i="23916"/>
  <c r="ED442" i="23916"/>
  <c r="DV442" i="23916"/>
  <c r="DF442" i="23916"/>
  <c r="CP442" i="23916"/>
  <c r="BV442" i="23916"/>
  <c r="BF442" i="23916"/>
  <c r="AP442" i="23916"/>
  <c r="CQ436" i="23916"/>
  <c r="CR433" i="23916"/>
  <c r="CA436" i="23916"/>
  <c r="CB433" i="23916"/>
  <c r="CK489" i="23916"/>
  <c r="CL436" i="23916"/>
  <c r="GC489" i="23916"/>
  <c r="V489" i="23916"/>
  <c r="GI414" i="23916"/>
  <c r="GH14" i="23916"/>
  <c r="GI14" i="23916" s="1"/>
  <c r="R536" i="23916"/>
  <c r="N443" i="23916"/>
  <c r="N559" i="23916"/>
  <c r="EJ442" i="23916"/>
  <c r="CP489" i="23916"/>
  <c r="AD489" i="23916"/>
  <c r="AW489" i="23916"/>
  <c r="AX489" i="23916" s="1"/>
  <c r="AX436" i="23916"/>
  <c r="BF344" i="23916"/>
  <c r="BE350" i="23916"/>
  <c r="FI346" i="23916"/>
  <c r="FK346" i="23916"/>
  <c r="FF352" i="23916"/>
  <c r="FG341" i="23916"/>
  <c r="BA330" i="23916"/>
  <c r="BB329" i="23916"/>
  <c r="BA333" i="23916"/>
  <c r="AK330" i="23916"/>
  <c r="AL329" i="23916"/>
  <c r="AK333" i="23916"/>
  <c r="U330" i="23916"/>
  <c r="V329" i="23916"/>
  <c r="U333" i="23916"/>
  <c r="FS325" i="23916"/>
  <c r="FQ325" i="23916"/>
  <c r="BN350" i="23916"/>
  <c r="AO352" i="23916"/>
  <c r="FK325" i="23916"/>
  <c r="ED264" i="23916"/>
  <c r="DN264" i="23916"/>
  <c r="CX264" i="23916"/>
  <c r="BR264" i="23916"/>
  <c r="GD394" i="23916"/>
  <c r="GD273" i="23916"/>
  <c r="GE263" i="23916"/>
  <c r="GD264" i="23916"/>
  <c r="FN394" i="23916"/>
  <c r="FN273" i="23916"/>
  <c r="FO273" i="23916" s="1"/>
  <c r="FO263" i="23916"/>
  <c r="EF394" i="23916"/>
  <c r="DP394" i="23916"/>
  <c r="CZ394" i="23916"/>
  <c r="CJ394" i="23916"/>
  <c r="BT394" i="23916"/>
  <c r="AN236" i="23916"/>
  <c r="FN339" i="23916"/>
  <c r="BA338" i="23916"/>
  <c r="BB339" i="23916"/>
  <c r="O574" i="23916"/>
  <c r="P333" i="23916"/>
  <c r="DI410" i="23916"/>
  <c r="DJ308" i="23916"/>
  <c r="CC410" i="23916"/>
  <c r="CD308" i="23916"/>
  <c r="GC302" i="23916"/>
  <c r="FX302" i="23916"/>
  <c r="GD305" i="23916"/>
  <c r="AM305" i="23916"/>
  <c r="AN289" i="23916"/>
  <c r="W305" i="23916"/>
  <c r="X289" i="23916"/>
  <c r="AR277" i="23916"/>
  <c r="AB277" i="23916"/>
  <c r="AY338" i="23916"/>
  <c r="AZ339" i="23916"/>
  <c r="CX393" i="23916"/>
  <c r="CP393" i="23916"/>
  <c r="BG302" i="23916"/>
  <c r="BH302" i="23916" s="1"/>
  <c r="CM276" i="23916"/>
  <c r="CN264" i="23916"/>
  <c r="BC276" i="23916"/>
  <c r="BD264" i="23916"/>
  <c r="FT394" i="23916"/>
  <c r="FU394" i="23916" s="1"/>
  <c r="FU263" i="23916"/>
  <c r="DV394" i="23916"/>
  <c r="DF394" i="23916"/>
  <c r="CP394" i="23916"/>
  <c r="BZ394" i="23916"/>
  <c r="GF393" i="23916"/>
  <c r="GG393" i="23916" s="1"/>
  <c r="BK276" i="23916"/>
  <c r="BK273" i="23916"/>
  <c r="BT256" i="23916"/>
  <c r="BL256" i="23916"/>
  <c r="EA243" i="23916"/>
  <c r="EA240" i="23916"/>
  <c r="EB239" i="23916"/>
  <c r="EA9" i="23916"/>
  <c r="DK243" i="23916"/>
  <c r="DK240" i="23916"/>
  <c r="DL239" i="23916"/>
  <c r="DK9" i="23916"/>
  <c r="CU243" i="23916"/>
  <c r="CU240" i="23916"/>
  <c r="CV239" i="23916"/>
  <c r="CU9" i="23916"/>
  <c r="CE243" i="23916"/>
  <c r="CE240" i="23916"/>
  <c r="CF239" i="23916"/>
  <c r="BO243" i="23916"/>
  <c r="BO240" i="23916"/>
  <c r="BP239" i="23916"/>
  <c r="AY243" i="23916"/>
  <c r="AY240" i="23916"/>
  <c r="AZ239" i="23916"/>
  <c r="O243" i="23916"/>
  <c r="O240" i="23916"/>
  <c r="P240" i="23916" s="1"/>
  <c r="P239" i="23916"/>
  <c r="AU394" i="23916"/>
  <c r="AV394" i="23916" s="1"/>
  <c r="AE394" i="23916"/>
  <c r="V355" i="23916"/>
  <c r="FM323" i="23916"/>
  <c r="AZ333" i="23916"/>
  <c r="AJ330" i="23916"/>
  <c r="S574" i="23916"/>
  <c r="T333" i="23916"/>
  <c r="K574" i="23916"/>
  <c r="FJ329" i="23916"/>
  <c r="FB329" i="23916"/>
  <c r="CL305" i="23916"/>
  <c r="CK308" i="23916"/>
  <c r="CK11" i="23916"/>
  <c r="GF302" i="23916"/>
  <c r="GG302" i="23916" s="1"/>
  <c r="GG292" i="23916"/>
  <c r="GI292" i="23916"/>
  <c r="FH296" i="23916"/>
  <c r="AJ296" i="23916"/>
  <c r="FD296" i="23916"/>
  <c r="T296" i="23916"/>
  <c r="FR302" i="23916"/>
  <c r="FS294" i="23916"/>
  <c r="FH289" i="23916"/>
  <c r="BF289" i="23916"/>
  <c r="BE305" i="23916"/>
  <c r="ER286" i="23916"/>
  <c r="AQ409" i="23916"/>
  <c r="AR280" i="23916"/>
  <c r="AA409" i="23916"/>
  <c r="AB280" i="23916"/>
  <c r="EM273" i="23916"/>
  <c r="EL273" i="23916"/>
  <c r="EK263" i="23916"/>
  <c r="AT273" i="23916"/>
  <c r="Z273" i="23916"/>
  <c r="FT264" i="23916"/>
  <c r="FU264" i="23916" s="1"/>
  <c r="FK233" i="23916"/>
  <c r="GC224" i="23916"/>
  <c r="GB236" i="23916"/>
  <c r="GC236" i="23916" s="1"/>
  <c r="FM224" i="23916"/>
  <c r="FL236" i="23916"/>
  <c r="FM236" i="23916" s="1"/>
  <c r="AX296" i="23916"/>
  <c r="GB305" i="23916"/>
  <c r="FN264" i="23916"/>
  <c r="EE409" i="23916"/>
  <c r="EF280" i="23916"/>
  <c r="EB277" i="23916"/>
  <c r="DO409" i="23916"/>
  <c r="DP280" i="23916"/>
  <c r="DL277" i="23916"/>
  <c r="CY409" i="23916"/>
  <c r="CZ280" i="23916"/>
  <c r="BS409" i="23916"/>
  <c r="CL264" i="23916"/>
  <c r="FK272" i="23916"/>
  <c r="BQ276" i="23916"/>
  <c r="FY233" i="23916"/>
  <c r="EK230" i="23916"/>
  <c r="EL224" i="23916"/>
  <c r="DE243" i="23916"/>
  <c r="DE240" i="23916"/>
  <c r="DF239" i="23916"/>
  <c r="DE9" i="23916"/>
  <c r="BY243" i="23916"/>
  <c r="BY240" i="23916"/>
  <c r="BZ239" i="23916"/>
  <c r="AC243" i="23916"/>
  <c r="AC240" i="23916"/>
  <c r="AD239" i="23916"/>
  <c r="FP191" i="23916"/>
  <c r="FS190" i="23916"/>
  <c r="FQ190" i="23916"/>
  <c r="EF154" i="23916"/>
  <c r="DP154" i="23916"/>
  <c r="CZ154" i="23916"/>
  <c r="CJ154" i="23916"/>
  <c r="BT154" i="23916"/>
  <c r="U152" i="23916"/>
  <c r="V152" i="23916" s="1"/>
  <c r="FG152" i="23916"/>
  <c r="EF152" i="23916"/>
  <c r="DP152" i="23916"/>
  <c r="CZ152" i="23916"/>
  <c r="CJ152" i="23916"/>
  <c r="BT152" i="23916"/>
  <c r="FQ287" i="23916"/>
  <c r="FP296" i="23916"/>
  <c r="AP289" i="23916"/>
  <c r="Z289" i="23916"/>
  <c r="CK276" i="23916"/>
  <c r="EN227" i="23916"/>
  <c r="FK224" i="23916"/>
  <c r="CQ209" i="23916"/>
  <c r="CR205" i="23916"/>
  <c r="CQ206" i="23916"/>
  <c r="CQ8" i="23916"/>
  <c r="CA209" i="23916"/>
  <c r="CB205" i="23916"/>
  <c r="CA206" i="23916"/>
  <c r="BG209" i="23916"/>
  <c r="BH205" i="23916"/>
  <c r="BG206" i="23916"/>
  <c r="W209" i="23916"/>
  <c r="X205" i="23916"/>
  <c r="W206" i="23916"/>
  <c r="X206" i="23916" s="1"/>
  <c r="EB203" i="23916"/>
  <c r="DL203" i="23916"/>
  <c r="CV203" i="23916"/>
  <c r="CF203" i="23916"/>
  <c r="BP203" i="23916"/>
  <c r="AV203" i="23916"/>
  <c r="BL191" i="23916"/>
  <c r="BK205" i="23916"/>
  <c r="BK203" i="23916"/>
  <c r="BL203" i="23916" s="1"/>
  <c r="GE179" i="23916"/>
  <c r="GG179" i="23916"/>
  <c r="AX181" i="23916"/>
  <c r="FG299" i="23916"/>
  <c r="EC410" i="23916"/>
  <c r="ED308" i="23916"/>
  <c r="DM410" i="23916"/>
  <c r="DN308" i="23916"/>
  <c r="CW410" i="23916"/>
  <c r="CX308" i="23916"/>
  <c r="CG305" i="23916"/>
  <c r="BN273" i="23916"/>
  <c r="FO272" i="23916"/>
  <c r="BA409" i="23916"/>
  <c r="BB280" i="23916"/>
  <c r="FE235" i="23916"/>
  <c r="EG243" i="23916"/>
  <c r="EG240" i="23916"/>
  <c r="EH239" i="23916"/>
  <c r="EG9" i="23916"/>
  <c r="DR236" i="23916"/>
  <c r="DA243" i="23916"/>
  <c r="DA240" i="23916"/>
  <c r="DB239" i="23916"/>
  <c r="DA9" i="23916"/>
  <c r="CL236" i="23916"/>
  <c r="BU243" i="23916"/>
  <c r="BU240" i="23916"/>
  <c r="BV239" i="23916"/>
  <c r="BF236" i="23916"/>
  <c r="Y243" i="23916"/>
  <c r="Y240" i="23916"/>
  <c r="Z239" i="23916"/>
  <c r="FF239" i="23916"/>
  <c r="FG224" i="23916"/>
  <c r="GK223" i="23916"/>
  <c r="GL223" i="23916"/>
  <c r="EH181" i="23916"/>
  <c r="EP181" i="23916"/>
  <c r="DZ154" i="23916"/>
  <c r="DJ154" i="23916"/>
  <c r="CT154" i="23916"/>
  <c r="CD154" i="23916"/>
  <c r="BN154" i="23916"/>
  <c r="FI152" i="23916"/>
  <c r="DZ152" i="23916"/>
  <c r="DJ152" i="23916"/>
  <c r="CT152" i="23916"/>
  <c r="CD152" i="23916"/>
  <c r="BN152" i="23916"/>
  <c r="FH302" i="23916"/>
  <c r="AK409" i="23916"/>
  <c r="AL280" i="23916"/>
  <c r="AD277" i="23916"/>
  <c r="U409" i="23916"/>
  <c r="V280" i="23916"/>
  <c r="GP255" i="23916"/>
  <c r="GO255" i="23916"/>
  <c r="BG409" i="23916"/>
  <c r="BH280" i="23916"/>
  <c r="FF277" i="23916"/>
  <c r="FF280" i="23916"/>
  <c r="EL235" i="23916"/>
  <c r="EM235" i="23916"/>
  <c r="DR231" i="23916"/>
  <c r="CD231" i="23916"/>
  <c r="BN231" i="23916"/>
  <c r="AP231" i="23916"/>
  <c r="EN229" i="23916"/>
  <c r="EO229" i="23916"/>
  <c r="AN240" i="23916"/>
  <c r="FB239" i="23916"/>
  <c r="CS205" i="23916"/>
  <c r="CC205" i="23916"/>
  <c r="BM205" i="23916"/>
  <c r="Y209" i="23916"/>
  <c r="Z205" i="23916"/>
  <c r="Y206" i="23916"/>
  <c r="Z206" i="23916" s="1"/>
  <c r="DZ203" i="23916"/>
  <c r="DJ203" i="23916"/>
  <c r="CP203" i="23916"/>
  <c r="BZ203" i="23916"/>
  <c r="EH198" i="23916"/>
  <c r="DR198" i="23916"/>
  <c r="DB198" i="23916"/>
  <c r="CL198" i="23916"/>
  <c r="BV198" i="23916"/>
  <c r="BF198" i="23916"/>
  <c r="AP198" i="23916"/>
  <c r="FZ198" i="23916"/>
  <c r="GA196" i="23916"/>
  <c r="AR195" i="23916"/>
  <c r="AI202" i="23916"/>
  <c r="AJ195" i="23916"/>
  <c r="BB191" i="23916"/>
  <c r="BA205" i="23916"/>
  <c r="BA203" i="23916"/>
  <c r="BB203" i="23916" s="1"/>
  <c r="AZ181" i="23916"/>
  <c r="GI171" i="23916"/>
  <c r="GK171" i="23916"/>
  <c r="FE231" i="23916"/>
  <c r="AT202" i="23916"/>
  <c r="GB209" i="23916"/>
  <c r="GB206" i="23916"/>
  <c r="GB8" i="23916"/>
  <c r="FT209" i="23916"/>
  <c r="FT206" i="23916"/>
  <c r="FU205" i="23916"/>
  <c r="GE167" i="23916"/>
  <c r="DJ412" i="23916"/>
  <c r="CT412" i="23916"/>
  <c r="CD412" i="23916"/>
  <c r="BN412" i="23916"/>
  <c r="AX412" i="23916"/>
  <c r="AH412" i="23916"/>
  <c r="EJ155" i="23916"/>
  <c r="DD155" i="23916"/>
  <c r="BX155" i="23916"/>
  <c r="EC159" i="23916"/>
  <c r="ED145" i="23916"/>
  <c r="CW159" i="23916"/>
  <c r="CX145" i="23916"/>
  <c r="BQ159" i="23916"/>
  <c r="BR145" i="23916"/>
  <c r="EB387" i="23916"/>
  <c r="DL387" i="23916"/>
  <c r="CV387" i="23916"/>
  <c r="CF387" i="23916"/>
  <c r="GH117" i="23916"/>
  <c r="GI115" i="23916"/>
  <c r="AR113" i="23916"/>
  <c r="AI119" i="23916"/>
  <c r="AJ113" i="23916"/>
  <c r="AI175" i="23916"/>
  <c r="AR101" i="23916"/>
  <c r="AJ101" i="23916"/>
  <c r="FS83" i="23916"/>
  <c r="FQ83" i="23916"/>
  <c r="BR70" i="23916"/>
  <c r="BQ22" i="23916"/>
  <c r="AZ70" i="23916"/>
  <c r="AY22" i="23916"/>
  <c r="AF70" i="23916"/>
  <c r="AE22" i="23916"/>
  <c r="GD181" i="23916"/>
  <c r="DT181" i="23916"/>
  <c r="GF578" i="23916"/>
  <c r="GG51" i="23916"/>
  <c r="FP578" i="23916"/>
  <c r="DQ392" i="23916"/>
  <c r="DR150" i="23916"/>
  <c r="AS392" i="23916"/>
  <c r="GD150" i="23916"/>
  <c r="GD49" i="23916"/>
  <c r="GE47" i="23916"/>
  <c r="GE390" i="23916"/>
  <c r="BD154" i="23916"/>
  <c r="EE573" i="23916"/>
  <c r="EE407" i="23916"/>
  <c r="EE210" i="23916"/>
  <c r="EF209" i="23916"/>
  <c r="DX206" i="23916"/>
  <c r="DO573" i="23916"/>
  <c r="DO407" i="23916"/>
  <c r="DO210" i="23916"/>
  <c r="DP209" i="23916"/>
  <c r="FR209" i="23916"/>
  <c r="FR206" i="23916"/>
  <c r="GF181" i="23916"/>
  <c r="GG181" i="23916" s="1"/>
  <c r="DV181" i="23916"/>
  <c r="DJ155" i="23916"/>
  <c r="CD155" i="23916"/>
  <c r="AX155" i="23916"/>
  <c r="DZ156" i="23916"/>
  <c r="DJ156" i="23916"/>
  <c r="CK156" i="23916"/>
  <c r="CL156" i="23916" s="1"/>
  <c r="CL151" i="23916"/>
  <c r="ED391" i="23916"/>
  <c r="DN391" i="23916"/>
  <c r="CX391" i="23916"/>
  <c r="BJ391" i="23916"/>
  <c r="AS390" i="23916"/>
  <c r="AS154" i="23916"/>
  <c r="AS152" i="23916"/>
  <c r="BB148" i="23916"/>
  <c r="AT148" i="23916"/>
  <c r="DL145" i="23916"/>
  <c r="DK159" i="23916"/>
  <c r="CF145" i="23916"/>
  <c r="CE159" i="23916"/>
  <c r="AZ145" i="23916"/>
  <c r="AY159" i="23916"/>
  <c r="GB385" i="23916"/>
  <c r="GC143" i="23916"/>
  <c r="BE385" i="23916"/>
  <c r="BF143" i="23916"/>
  <c r="AI180" i="23916"/>
  <c r="AJ136" i="23916"/>
  <c r="AR136" i="23916"/>
  <c r="AL115" i="23916"/>
  <c r="AK117" i="23916"/>
  <c r="DX90" i="23916"/>
  <c r="DH90" i="23916"/>
  <c r="CR90" i="23916"/>
  <c r="CB90" i="23916"/>
  <c r="BL90" i="23916"/>
  <c r="AV90" i="23916"/>
  <c r="FN162" i="23916"/>
  <c r="FO58" i="23916"/>
  <c r="ED53" i="23916"/>
  <c r="DN53" i="23916"/>
  <c r="CX53" i="23916"/>
  <c r="CH53" i="23916"/>
  <c r="EO601" i="23916"/>
  <c r="EO578" i="23916"/>
  <c r="EO52" i="23916"/>
  <c r="EP51" i="23916"/>
  <c r="EQ51" i="23916"/>
  <c r="EF49" i="23916"/>
  <c r="CZ49" i="23916"/>
  <c r="CJ49" i="23916"/>
  <c r="BT49" i="23916"/>
  <c r="BF42" i="23916"/>
  <c r="BE53" i="23916"/>
  <c r="BF53" i="23916" s="1"/>
  <c r="BE55" i="23916"/>
  <c r="FG264" i="23916"/>
  <c r="ER203" i="23916"/>
  <c r="GC203" i="23916"/>
  <c r="FG198" i="23916"/>
  <c r="FR412" i="23916"/>
  <c r="FS162" i="23916"/>
  <c r="DX156" i="23916"/>
  <c r="DH156" i="23916"/>
  <c r="AV156" i="23916"/>
  <c r="AF151" i="23916"/>
  <c r="AE156" i="23916"/>
  <c r="AF156" i="23916" s="1"/>
  <c r="DE159" i="23916"/>
  <c r="DF145" i="23916"/>
  <c r="BY159" i="23916"/>
  <c r="BZ145" i="23916"/>
  <c r="AS159" i="23916"/>
  <c r="AT145" i="23916"/>
  <c r="FE386" i="23916"/>
  <c r="FZ384" i="23916"/>
  <c r="FZ145" i="23916"/>
  <c r="FJ142" i="23916"/>
  <c r="BC386" i="23916"/>
  <c r="BL144" i="23916"/>
  <c r="BD144" i="23916"/>
  <c r="ED387" i="23916"/>
  <c r="DN387" i="23916"/>
  <c r="CX387" i="23916"/>
  <c r="CH387" i="23916"/>
  <c r="BR387" i="23916"/>
  <c r="GA137" i="23916"/>
  <c r="GC137" i="23916"/>
  <c r="AT121" i="23916"/>
  <c r="AL121" i="23916"/>
  <c r="GK115" i="23916"/>
  <c r="FU115" i="23916"/>
  <c r="FT117" i="23916"/>
  <c r="GI83" i="23916"/>
  <c r="FO83" i="23916"/>
  <c r="EN78" i="23916"/>
  <c r="BW26" i="23916"/>
  <c r="BB70" i="23916"/>
  <c r="BA22" i="23916"/>
  <c r="AL70" i="23916"/>
  <c r="AK22" i="23916"/>
  <c r="GK172" i="23916"/>
  <c r="GI172" i="23916"/>
  <c r="DF181" i="23916"/>
  <c r="GB181" i="23916"/>
  <c r="GC181" i="23916" s="1"/>
  <c r="AT64" i="23916"/>
  <c r="AL64" i="23916"/>
  <c r="AK168" i="23916"/>
  <c r="FH59" i="23916"/>
  <c r="FH56" i="23916"/>
  <c r="DY59" i="23916"/>
  <c r="DZ55" i="23916"/>
  <c r="DY56" i="23916"/>
  <c r="DI59" i="23916"/>
  <c r="DJ55" i="23916"/>
  <c r="DI56" i="23916"/>
  <c r="CS59" i="23916"/>
  <c r="CT55" i="23916"/>
  <c r="CS56" i="23916"/>
  <c r="CC59" i="23916"/>
  <c r="CD55" i="23916"/>
  <c r="CC56" i="23916"/>
  <c r="AW59" i="23916"/>
  <c r="AX55" i="23916"/>
  <c r="AW56" i="23916"/>
  <c r="AC59" i="23916"/>
  <c r="AD55" i="23916"/>
  <c r="AC56" i="23916"/>
  <c r="AD56" i="23916" s="1"/>
  <c r="FZ578" i="23916"/>
  <c r="GF150" i="23916"/>
  <c r="GG47" i="23916"/>
  <c r="GF49" i="23916"/>
  <c r="GG49" i="23916" s="1"/>
  <c r="GG154" i="23916"/>
  <c r="GC390" i="23916"/>
  <c r="AI142" i="23916"/>
  <c r="AR39" i="23916"/>
  <c r="AJ39" i="23916"/>
  <c r="AK25" i="23916"/>
  <c r="AI42" i="23916"/>
  <c r="AI29" i="23916"/>
  <c r="DF35" i="23916"/>
  <c r="BZ35" i="23916"/>
  <c r="AT35" i="23916"/>
  <c r="FO203" i="23916"/>
  <c r="EG205" i="23916"/>
  <c r="DQ205" i="23916"/>
  <c r="GG171" i="23916"/>
  <c r="FP412" i="23916"/>
  <c r="FQ162" i="23916"/>
  <c r="DC412" i="23916"/>
  <c r="DD412" i="23916" s="1"/>
  <c r="DD162" i="23916"/>
  <c r="CN412" i="23916"/>
  <c r="BX412" i="23916"/>
  <c r="FE151" i="23916"/>
  <c r="FD156" i="23916"/>
  <c r="FE156" i="23916" s="1"/>
  <c r="CG156" i="23916"/>
  <c r="CH156" i="23916" s="1"/>
  <c r="CH151" i="23916"/>
  <c r="AC390" i="23916"/>
  <c r="AC154" i="23916"/>
  <c r="AD154" i="23916" s="1"/>
  <c r="AD148" i="23916"/>
  <c r="DJ145" i="23916"/>
  <c r="DI159" i="23916"/>
  <c r="CD145" i="23916"/>
  <c r="CC159" i="23916"/>
  <c r="AX145" i="23916"/>
  <c r="FD159" i="23916"/>
  <c r="FE145" i="23916"/>
  <c r="FG122" i="23916"/>
  <c r="AI115" i="23916"/>
  <c r="AI117" i="23916" s="1"/>
  <c r="AI121" i="23916"/>
  <c r="AR114" i="23916"/>
  <c r="AJ114" i="23916"/>
  <c r="FW87" i="23916"/>
  <c r="AI89" i="23916"/>
  <c r="AR82" i="23916"/>
  <c r="AJ82" i="23916"/>
  <c r="AI172" i="23916"/>
  <c r="AI70" i="23916"/>
  <c r="AJ68" i="23916"/>
  <c r="Y403" i="23916"/>
  <c r="Z163" i="23916"/>
  <c r="FF125" i="23916"/>
  <c r="DW572" i="23916"/>
  <c r="DW406" i="23916"/>
  <c r="DO125" i="23916"/>
  <c r="CQ572" i="23916"/>
  <c r="CQ406" i="23916"/>
  <c r="CI125" i="23916"/>
  <c r="BO572" i="23916"/>
  <c r="BO406" i="23916"/>
  <c r="AT102" i="23916"/>
  <c r="FN85" i="23916"/>
  <c r="EI405" i="23916"/>
  <c r="EJ97" i="23916"/>
  <c r="EF94" i="23916"/>
  <c r="DS405" i="23916"/>
  <c r="DT97" i="23916"/>
  <c r="DP94" i="23916"/>
  <c r="DC405" i="23916"/>
  <c r="DD97" i="23916"/>
  <c r="CZ94" i="23916"/>
  <c r="CM405" i="23916"/>
  <c r="CN97" i="23916"/>
  <c r="CJ94" i="23916"/>
  <c r="BW405" i="23916"/>
  <c r="BX97" i="23916"/>
  <c r="BT94" i="23916"/>
  <c r="BG405" i="23916"/>
  <c r="BH97" i="23916"/>
  <c r="BD94" i="23916"/>
  <c r="CN151" i="23916"/>
  <c r="CM156" i="23916"/>
  <c r="CN156" i="23916" s="1"/>
  <c r="EI392" i="23916"/>
  <c r="EJ150" i="23916"/>
  <c r="DL49" i="23916"/>
  <c r="DC392" i="23916"/>
  <c r="DD150" i="23916"/>
  <c r="GF156" i="23916"/>
  <c r="GG156" i="23916" s="1"/>
  <c r="GD155" i="23916"/>
  <c r="GE155" i="23916" s="1"/>
  <c r="FN155" i="23916"/>
  <c r="FO155" i="23916" s="1"/>
  <c r="BA386" i="23916"/>
  <c r="BJ144" i="23916"/>
  <c r="BB144" i="23916"/>
  <c r="AL42" i="23916"/>
  <c r="AK53" i="23916"/>
  <c r="AL53" i="23916" s="1"/>
  <c r="AK55" i="23916"/>
  <c r="AD145" i="23916"/>
  <c r="EF30" i="23916"/>
  <c r="CZ30" i="23916"/>
  <c r="BT30" i="23916"/>
  <c r="AN30" i="23916"/>
  <c r="DZ26" i="23916"/>
  <c r="DY28" i="23916"/>
  <c r="CT26" i="23916"/>
  <c r="CS28" i="23916"/>
  <c r="EM596" i="23916"/>
  <c r="EM23" i="23916"/>
  <c r="EN22" i="23916"/>
  <c r="EQ26" i="23916"/>
  <c r="FG156" i="23916"/>
  <c r="AV126" i="23916"/>
  <c r="AE572" i="23916"/>
  <c r="AE406" i="23916"/>
  <c r="AF129" i="23916"/>
  <c r="BJ156" i="23916"/>
  <c r="BZ391" i="23916"/>
  <c r="AR49" i="23916"/>
  <c r="FS53" i="23916"/>
  <c r="DT53" i="23916"/>
  <c r="BX53" i="23916"/>
  <c r="AY55" i="23916"/>
  <c r="EL27" i="23916"/>
  <c r="DN30" i="23916"/>
  <c r="CH30" i="23916"/>
  <c r="BB30" i="23916"/>
  <c r="DP26" i="23916"/>
  <c r="DO28" i="23916"/>
  <c r="CI28" i="23916"/>
  <c r="GE27" i="23916"/>
  <c r="FW27" i="23916"/>
  <c r="FN32" i="23916"/>
  <c r="FO27" i="23916"/>
  <c r="EK596" i="23916"/>
  <c r="EK23" i="23916"/>
  <c r="EL22" i="23916"/>
  <c r="EO26" i="23916"/>
  <c r="EP26" i="23916" s="1"/>
  <c r="CF22" i="23916"/>
  <c r="W403" i="23916"/>
  <c r="X163" i="23916"/>
  <c r="FD125" i="23916"/>
  <c r="DY572" i="23916"/>
  <c r="DY406" i="23916"/>
  <c r="DZ129" i="23916"/>
  <c r="DV126" i="23916"/>
  <c r="DI572" i="23916"/>
  <c r="DI406" i="23916"/>
  <c r="DJ129" i="23916"/>
  <c r="DF126" i="23916"/>
  <c r="CS572" i="23916"/>
  <c r="CS406" i="23916"/>
  <c r="CT129" i="23916"/>
  <c r="CP126" i="23916"/>
  <c r="CC572" i="23916"/>
  <c r="CC406" i="23916"/>
  <c r="CD129" i="23916"/>
  <c r="AS572" i="23916"/>
  <c r="AS406" i="23916"/>
  <c r="AO125" i="23916"/>
  <c r="AT87" i="23916"/>
  <c r="CK97" i="23916"/>
  <c r="CL93" i="23916"/>
  <c r="CK94" i="23916"/>
  <c r="BU97" i="23916"/>
  <c r="BV93" i="23916"/>
  <c r="BU94" i="23916"/>
  <c r="BE97" i="23916"/>
  <c r="BF93" i="23916"/>
  <c r="BE94" i="23916"/>
  <c r="AO97" i="23916"/>
  <c r="AP93" i="23916"/>
  <c r="AO94" i="23916"/>
  <c r="GE90" i="23916"/>
  <c r="FT85" i="23916"/>
  <c r="EP78" i="23916"/>
  <c r="BZ70" i="23916"/>
  <c r="FQ58" i="23916"/>
  <c r="FI49" i="23916"/>
  <c r="CR151" i="23916"/>
  <c r="CQ156" i="23916"/>
  <c r="CR156" i="23916" s="1"/>
  <c r="CJ151" i="23916"/>
  <c r="CI156" i="23916"/>
  <c r="CJ156" i="23916" s="1"/>
  <c r="AU392" i="23916"/>
  <c r="AV150" i="23916"/>
  <c r="FU391" i="23916"/>
  <c r="GG386" i="23916"/>
  <c r="FY386" i="23916"/>
  <c r="FL386" i="23916"/>
  <c r="BN42" i="23916"/>
  <c r="BM53" i="23916"/>
  <c r="BN53" i="23916" s="1"/>
  <c r="BM55" i="23916"/>
  <c r="FL53" i="23916"/>
  <c r="AE387" i="23916"/>
  <c r="AF384" i="23916"/>
  <c r="FO29" i="23916"/>
  <c r="FN30" i="23916"/>
  <c r="FO30" i="23916" s="1"/>
  <c r="FP25" i="23916"/>
  <c r="FQ25" i="23916" s="1"/>
  <c r="GB30" i="23916"/>
  <c r="DL30" i="23916"/>
  <c r="CF30" i="23916"/>
  <c r="AZ30" i="23916"/>
  <c r="DV26" i="23916"/>
  <c r="DU28" i="23916"/>
  <c r="CP26" i="23916"/>
  <c r="CO28" i="23916"/>
  <c r="EQ596" i="23916"/>
  <c r="EQ23" i="23916"/>
  <c r="GJ22" i="23916"/>
  <c r="ER22" i="23916"/>
  <c r="DH117" i="23916"/>
  <c r="FW115" i="23916"/>
  <c r="AG406" i="23916"/>
  <c r="AH129" i="23916"/>
  <c r="BM126" i="23916"/>
  <c r="BM129" i="23916"/>
  <c r="BN125" i="23916"/>
  <c r="EQ108" i="23916"/>
  <c r="EP108" i="23916"/>
  <c r="FM77" i="23916"/>
  <c r="CH49" i="23916"/>
  <c r="BD156" i="23916"/>
  <c r="FJ151" i="23916"/>
  <c r="FK48" i="23916"/>
  <c r="FM48" i="23916"/>
  <c r="AO156" i="23916"/>
  <c r="AP156" i="23916" s="1"/>
  <c r="AP151" i="23916"/>
  <c r="CW392" i="23916"/>
  <c r="CX150" i="23916"/>
  <c r="FP150" i="23916"/>
  <c r="FQ47" i="23916"/>
  <c r="FP49" i="23916"/>
  <c r="FP55" i="23916" s="1"/>
  <c r="FS47" i="23916"/>
  <c r="FN150" i="23916"/>
  <c r="FO47" i="23916"/>
  <c r="AK390" i="23916"/>
  <c r="AK154" i="23916"/>
  <c r="AL154" i="23916" s="1"/>
  <c r="AL148" i="23916"/>
  <c r="DW55" i="23916"/>
  <c r="DH53" i="23916"/>
  <c r="CA55" i="23916"/>
  <c r="BG55" i="23916"/>
  <c r="BH42" i="23916"/>
  <c r="BG53" i="23916"/>
  <c r="BH53" i="23916" s="1"/>
  <c r="AN53" i="23916"/>
  <c r="DZ30" i="23916"/>
  <c r="CT30" i="23916"/>
  <c r="BN30" i="23916"/>
  <c r="DT26" i="23916"/>
  <c r="GD26" i="23916"/>
  <c r="CN26" i="23916"/>
  <c r="CB22" i="23916"/>
  <c r="CL49" i="23916"/>
  <c r="DE549" i="23916"/>
  <c r="DE546" i="23916"/>
  <c r="DE547" i="23916"/>
  <c r="DE533" i="23916"/>
  <c r="DF531" i="23916"/>
  <c r="CO549" i="23916"/>
  <c r="CO547" i="23916"/>
  <c r="CP531" i="23916"/>
  <c r="CO533" i="23916"/>
  <c r="CP533" i="23916" s="1"/>
  <c r="EY533" i="23916"/>
  <c r="FA533" i="23916"/>
  <c r="DR560" i="23916"/>
  <c r="DJ560" i="23916"/>
  <c r="BP533" i="23916"/>
  <c r="DM549" i="23916"/>
  <c r="DM547" i="23916"/>
  <c r="DN547" i="23916" s="1"/>
  <c r="DM533" i="23916"/>
  <c r="DN533" i="23916" s="1"/>
  <c r="DN531" i="23916"/>
  <c r="CW549" i="23916"/>
  <c r="CW547" i="23916"/>
  <c r="CX547" i="23916" s="1"/>
  <c r="CW533" i="23916"/>
  <c r="CX531" i="23916"/>
  <c r="CG549" i="23916"/>
  <c r="CG547" i="23916"/>
  <c r="CG533" i="23916"/>
  <c r="CH531" i="23916"/>
  <c r="BV547" i="23916"/>
  <c r="BR549" i="23916"/>
  <c r="BF547" i="23916"/>
  <c r="AT544" i="23916"/>
  <c r="AP544" i="23916"/>
  <c r="AL543" i="23916"/>
  <c r="V544" i="23916"/>
  <c r="R543" i="23916"/>
  <c r="N542" i="23916"/>
  <c r="N546" i="23916"/>
  <c r="GE532" i="23916"/>
  <c r="GG532" i="23916"/>
  <c r="FO532" i="23916"/>
  <c r="FQ532" i="23916"/>
  <c r="GB549" i="23916"/>
  <c r="GB547" i="23916"/>
  <c r="GC531" i="23916"/>
  <c r="GB533" i="23916"/>
  <c r="FL549" i="23916"/>
  <c r="FL547" i="23916"/>
  <c r="FM531" i="23916"/>
  <c r="FL533" i="23916"/>
  <c r="AB533" i="23916"/>
  <c r="CI549" i="23916"/>
  <c r="CJ549" i="23916" s="1"/>
  <c r="CI546" i="23916"/>
  <c r="CJ546" i="23916" s="1"/>
  <c r="CI547" i="23916"/>
  <c r="CJ547" i="23916" s="1"/>
  <c r="CI533" i="23916"/>
  <c r="CR533" i="23916" s="1"/>
  <c r="CJ531" i="23916"/>
  <c r="CI514" i="23916"/>
  <c r="BP547" i="23916"/>
  <c r="BL549" i="23916"/>
  <c r="AZ546" i="23916"/>
  <c r="AV544" i="23916"/>
  <c r="AR544" i="23916"/>
  <c r="AN542" i="23916"/>
  <c r="AJ542" i="23916"/>
  <c r="AB544" i="23916"/>
  <c r="X544" i="23916"/>
  <c r="T543" i="23916"/>
  <c r="P542" i="23916"/>
  <c r="P546" i="23916"/>
  <c r="GH549" i="23916"/>
  <c r="GI549" i="23916" s="1"/>
  <c r="GH547" i="23916"/>
  <c r="GI547" i="23916" s="1"/>
  <c r="GH533" i="23916"/>
  <c r="GI533" i="23916" s="1"/>
  <c r="GI531" i="23916"/>
  <c r="FR549" i="23916"/>
  <c r="FS549" i="23916" s="1"/>
  <c r="FR547" i="23916"/>
  <c r="FS547" i="23916" s="1"/>
  <c r="FR533" i="23916"/>
  <c r="FS533" i="23916" s="1"/>
  <c r="FS531" i="23916"/>
  <c r="FB547" i="23916"/>
  <c r="FC547" i="23916" s="1"/>
  <c r="FB549" i="23916"/>
  <c r="FC549" i="23916" s="1"/>
  <c r="FB533" i="23916"/>
  <c r="FC533" i="23916" s="1"/>
  <c r="FC531" i="23916"/>
  <c r="GE558" i="23916"/>
  <c r="GA560" i="23916"/>
  <c r="FW557" i="23916"/>
  <c r="FO558" i="23916"/>
  <c r="FK560" i="23916"/>
  <c r="FG557" i="23916"/>
  <c r="FI554" i="23916"/>
  <c r="AH533" i="23916"/>
  <c r="DC533" i="23916"/>
  <c r="CM533" i="23916"/>
  <c r="CN533" i="23916" s="1"/>
  <c r="BX549" i="23916"/>
  <c r="FO526" i="23916"/>
  <c r="FF544" i="23916"/>
  <c r="FG544" i="23916" s="1"/>
  <c r="FV521" i="23916"/>
  <c r="FW519" i="23916"/>
  <c r="FA543" i="23916"/>
  <c r="EY543" i="23916"/>
  <c r="EY555" i="23916"/>
  <c r="FA555" i="23916"/>
  <c r="ED519" i="23916"/>
  <c r="EC521" i="23916"/>
  <c r="DN519" i="23916"/>
  <c r="DM521" i="23916"/>
  <c r="CX519" i="23916"/>
  <c r="CW521" i="23916"/>
  <c r="CH519" i="23916"/>
  <c r="CG521" i="23916"/>
  <c r="BR519" i="23916"/>
  <c r="BQ521" i="23916"/>
  <c r="BB519" i="23916"/>
  <c r="BA521" i="23916"/>
  <c r="CT532" i="23916"/>
  <c r="X533" i="23916"/>
  <c r="CR549" i="23916"/>
  <c r="CA533" i="23916"/>
  <c r="CB533" i="23916" s="1"/>
  <c r="GH555" i="23916"/>
  <c r="GH554" i="23916"/>
  <c r="GH553" i="23916"/>
  <c r="GH544" i="23916"/>
  <c r="GH543" i="23916"/>
  <c r="GH542" i="23916"/>
  <c r="GI518" i="23916"/>
  <c r="FJ543" i="23916"/>
  <c r="FK543" i="23916" s="1"/>
  <c r="FK553" i="23916"/>
  <c r="DY544" i="23916"/>
  <c r="DZ544" i="23916" s="1"/>
  <c r="DU544" i="23916"/>
  <c r="DV544" i="23916" s="1"/>
  <c r="DQ544" i="23916"/>
  <c r="DM544" i="23916"/>
  <c r="DI544" i="23916"/>
  <c r="DJ544" i="23916" s="1"/>
  <c r="DE544" i="23916"/>
  <c r="DF544" i="23916" s="1"/>
  <c r="DA544" i="23916"/>
  <c r="DB544" i="23916" s="1"/>
  <c r="CW544" i="23916"/>
  <c r="CO544" i="23916"/>
  <c r="CP544" i="23916" s="1"/>
  <c r="CK544" i="23916"/>
  <c r="CG544" i="23916"/>
  <c r="CH544" i="23916" s="1"/>
  <c r="BV544" i="23916"/>
  <c r="BR544" i="23916"/>
  <c r="BJ543" i="23916"/>
  <c r="BF544" i="23916"/>
  <c r="BB544" i="23916"/>
  <c r="DL546" i="23916"/>
  <c r="CV547" i="23916"/>
  <c r="CF547" i="23916"/>
  <c r="GA526" i="23916"/>
  <c r="GD521" i="23916"/>
  <c r="AO556" i="23916"/>
  <c r="AO545" i="23916"/>
  <c r="AP521" i="23916"/>
  <c r="AO522" i="23916"/>
  <c r="Y556" i="23916"/>
  <c r="Y545" i="23916"/>
  <c r="Z521" i="23916"/>
  <c r="Y522" i="23916"/>
  <c r="AD533" i="23916"/>
  <c r="DP549" i="23916"/>
  <c r="CY533" i="23916"/>
  <c r="CZ533" i="23916" s="1"/>
  <c r="GG519" i="23916"/>
  <c r="GF521" i="23916"/>
  <c r="GF556" i="23916" s="1"/>
  <c r="GG556" i="23916" s="1"/>
  <c r="GD555" i="23916"/>
  <c r="GD556" i="23916"/>
  <c r="GD554" i="23916"/>
  <c r="GD553" i="23916"/>
  <c r="GD544" i="23916"/>
  <c r="GD542" i="23916"/>
  <c r="GD543" i="23916"/>
  <c r="GE518" i="23916"/>
  <c r="FB542" i="23916"/>
  <c r="FC542" i="23916" s="1"/>
  <c r="GH519" i="23916"/>
  <c r="EJ544" i="23916"/>
  <c r="GF554" i="23916"/>
  <c r="GG554" i="23916" s="1"/>
  <c r="GF555" i="23916"/>
  <c r="GG555" i="23916" s="1"/>
  <c r="GF553" i="23916"/>
  <c r="GG553" i="23916" s="1"/>
  <c r="GF544" i="23916"/>
  <c r="GG544" i="23916" s="1"/>
  <c r="GF542" i="23916"/>
  <c r="GG542" i="23916" s="1"/>
  <c r="GF543" i="23916"/>
  <c r="GG543" i="23916" s="1"/>
  <c r="GG518" i="23916"/>
  <c r="CR542" i="23916"/>
  <c r="CN555" i="23916"/>
  <c r="CI542" i="23916"/>
  <c r="CJ542" i="23916" s="1"/>
  <c r="BX542" i="23916"/>
  <c r="FP554" i="23916"/>
  <c r="FP555" i="23916"/>
  <c r="FP553" i="23916"/>
  <c r="FP544" i="23916"/>
  <c r="FP542" i="23916"/>
  <c r="FP543" i="23916"/>
  <c r="FQ518" i="23916"/>
  <c r="BD545" i="23916"/>
  <c r="AZ543" i="23916"/>
  <c r="ED508" i="23916"/>
  <c r="EC509" i="23916"/>
  <c r="CX508" i="23916"/>
  <c r="CW509" i="23916"/>
  <c r="CW546" i="23916" s="1"/>
  <c r="BR508" i="23916"/>
  <c r="BQ509" i="23916"/>
  <c r="AL508" i="23916"/>
  <c r="AK509" i="23916"/>
  <c r="FV509" i="23916"/>
  <c r="FW508" i="23916"/>
  <c r="FF509" i="23916"/>
  <c r="FG508" i="23916"/>
  <c r="DK523" i="23916"/>
  <c r="DL522" i="23916"/>
  <c r="CE523" i="23916"/>
  <c r="CF523" i="23916" s="1"/>
  <c r="CF522" i="23916"/>
  <c r="AY523" i="23916"/>
  <c r="AZ522" i="23916"/>
  <c r="DQ514" i="23916"/>
  <c r="DR508" i="23916"/>
  <c r="DQ509" i="23916"/>
  <c r="CL508" i="23916"/>
  <c r="CK509" i="23916"/>
  <c r="CK546" i="23916" s="1"/>
  <c r="CL546" i="23916" s="1"/>
  <c r="BF508" i="23916"/>
  <c r="BE509" i="23916"/>
  <c r="Z508" i="23916"/>
  <c r="Y509" i="23916"/>
  <c r="DO523" i="23916"/>
  <c r="DP522" i="23916"/>
  <c r="CI523" i="23916"/>
  <c r="CJ522" i="23916"/>
  <c r="BC523" i="23916"/>
  <c r="BD522" i="23916"/>
  <c r="CO514" i="23916"/>
  <c r="GB509" i="23916"/>
  <c r="GC509" i="23916" s="1"/>
  <c r="GC508" i="23916"/>
  <c r="FL509" i="23916"/>
  <c r="FM509" i="23916" s="1"/>
  <c r="FM508" i="23916"/>
  <c r="FY532" i="23916"/>
  <c r="EI523" i="23916"/>
  <c r="EJ522" i="23916"/>
  <c r="DC523" i="23916"/>
  <c r="DD522" i="23916"/>
  <c r="BW523" i="23916"/>
  <c r="BX522" i="23916"/>
  <c r="DJ508" i="23916"/>
  <c r="DI509" i="23916"/>
  <c r="CD508" i="23916"/>
  <c r="CC509" i="23916"/>
  <c r="AX508" i="23916"/>
  <c r="AW509" i="23916"/>
  <c r="R508" i="23916"/>
  <c r="Q509" i="23916"/>
  <c r="EQ502" i="23916"/>
  <c r="EP502" i="23916"/>
  <c r="GJ501" i="23916"/>
  <c r="ER501" i="23916"/>
  <c r="FX637" i="23916"/>
  <c r="FX17" i="23916"/>
  <c r="FK505" i="23916"/>
  <c r="FO505" i="23916"/>
  <c r="FS505" i="23916"/>
  <c r="GA468" i="23916"/>
  <c r="DM489" i="23916"/>
  <c r="DN436" i="23916"/>
  <c r="CW489" i="23916"/>
  <c r="CX489" i="23916" s="1"/>
  <c r="CX436" i="23916"/>
  <c r="GE484" i="23916"/>
  <c r="GG442" i="23916"/>
  <c r="FM442" i="23916"/>
  <c r="EA489" i="23916"/>
  <c r="EB436" i="23916"/>
  <c r="DK489" i="23916"/>
  <c r="DL436" i="23916"/>
  <c r="FN433" i="23916"/>
  <c r="BG436" i="23916"/>
  <c r="BH433" i="23916"/>
  <c r="BZ442" i="23916"/>
  <c r="BR442" i="23916"/>
  <c r="EO566" i="23916"/>
  <c r="EQ415" i="23916"/>
  <c r="I538" i="23916"/>
  <c r="I539" i="23916"/>
  <c r="I491" i="23916"/>
  <c r="FD436" i="23916"/>
  <c r="FE433" i="23916"/>
  <c r="Q539" i="23916"/>
  <c r="Q538" i="23916"/>
  <c r="R538" i="23916" s="1"/>
  <c r="Q491" i="23916"/>
  <c r="R491" i="23916" s="1"/>
  <c r="R438" i="23916"/>
  <c r="Q548" i="23916"/>
  <c r="R548" i="23916" s="1"/>
  <c r="M637" i="23916"/>
  <c r="N488" i="23916"/>
  <c r="M460" i="23916"/>
  <c r="G539" i="23916"/>
  <c r="G538" i="23916"/>
  <c r="G491" i="23916"/>
  <c r="CM489" i="23916"/>
  <c r="CN489" i="23916" s="1"/>
  <c r="CN436" i="23916"/>
  <c r="AJ489" i="23916"/>
  <c r="E538" i="23916"/>
  <c r="E539" i="23916"/>
  <c r="E491" i="23916"/>
  <c r="FV436" i="23916"/>
  <c r="FW433" i="23916"/>
  <c r="FY433" i="23916"/>
  <c r="O559" i="23916"/>
  <c r="P559" i="23916" s="1"/>
  <c r="O548" i="23916"/>
  <c r="P548" i="23916" s="1"/>
  <c r="O536" i="23916"/>
  <c r="P536" i="23916" s="1"/>
  <c r="O488" i="23916"/>
  <c r="O443" i="23916"/>
  <c r="P443" i="23916" s="1"/>
  <c r="O438" i="23916"/>
  <c r="P416" i="23916"/>
  <c r="O418" i="23916"/>
  <c r="O419" i="23916" s="1"/>
  <c r="O417" i="23916"/>
  <c r="K637" i="23916"/>
  <c r="K460" i="23916"/>
  <c r="BC350" i="23916"/>
  <c r="BD344" i="23916"/>
  <c r="AD344" i="23916"/>
  <c r="AC350" i="23916"/>
  <c r="AL350" i="23916" s="1"/>
  <c r="FK347" i="23916"/>
  <c r="FM347" i="23916"/>
  <c r="FP379" i="23916"/>
  <c r="FP378" i="23916" s="1"/>
  <c r="BJ379" i="23916"/>
  <c r="FB352" i="23916"/>
  <c r="FC341" i="23916"/>
  <c r="AW330" i="23916"/>
  <c r="AW333" i="23916"/>
  <c r="AG330" i="23916"/>
  <c r="AH329" i="23916"/>
  <c r="AG333" i="23916"/>
  <c r="Q330" i="23916"/>
  <c r="R330" i="23916" s="1"/>
  <c r="R329" i="23916"/>
  <c r="Q333" i="23916"/>
  <c r="AU341" i="23916"/>
  <c r="BD338" i="23916"/>
  <c r="AV338" i="23916"/>
  <c r="AU286" i="23916"/>
  <c r="AL344" i="23916"/>
  <c r="FD355" i="23916"/>
  <c r="FE352" i="23916"/>
  <c r="FS341" i="23916"/>
  <c r="FP352" i="23916"/>
  <c r="FZ273" i="23916"/>
  <c r="GA263" i="23916"/>
  <c r="FZ264" i="23916"/>
  <c r="FJ273" i="23916"/>
  <c r="FK273" i="23916" s="1"/>
  <c r="FK263" i="23916"/>
  <c r="FM263" i="23916"/>
  <c r="FO393" i="23916"/>
  <c r="FJ350" i="23916"/>
  <c r="FK350" i="23916" s="1"/>
  <c r="FK344" i="23916"/>
  <c r="FI323" i="23916"/>
  <c r="W574" i="23916"/>
  <c r="X333" i="23916"/>
  <c r="FL333" i="23916"/>
  <c r="FM329" i="23916"/>
  <c r="FL330" i="23916"/>
  <c r="FD333" i="23916"/>
  <c r="FE329" i="23916"/>
  <c r="FD330" i="23916"/>
  <c r="FQ300" i="23916"/>
  <c r="FS300" i="23916"/>
  <c r="FZ308" i="23916"/>
  <c r="FZ11" i="23916"/>
  <c r="EI410" i="23916"/>
  <c r="EA574" i="23916"/>
  <c r="EA410" i="23916"/>
  <c r="EB308" i="23916"/>
  <c r="DS410" i="23916"/>
  <c r="DK574" i="23916"/>
  <c r="DK410" i="23916"/>
  <c r="DL308" i="23916"/>
  <c r="DC410" i="23916"/>
  <c r="CU574" i="23916"/>
  <c r="CU410" i="23916"/>
  <c r="CV308" i="23916"/>
  <c r="CM410" i="23916"/>
  <c r="CN308" i="23916"/>
  <c r="CE410" i="23916"/>
  <c r="CF308" i="23916"/>
  <c r="BW410" i="23916"/>
  <c r="BO574" i="23916"/>
  <c r="BO410" i="23916"/>
  <c r="AI305" i="23916"/>
  <c r="AJ289" i="23916"/>
  <c r="S305" i="23916"/>
  <c r="T289" i="23916"/>
  <c r="AT350" i="23916"/>
  <c r="FE323" i="23916"/>
  <c r="GL294" i="23916"/>
  <c r="GK294" i="23916"/>
  <c r="DB302" i="23916"/>
  <c r="DD302" i="23916"/>
  <c r="EJ393" i="23916"/>
  <c r="EB393" i="23916"/>
  <c r="BD302" i="23916"/>
  <c r="AN302" i="23916"/>
  <c r="X302" i="23916"/>
  <c r="CH270" i="23916"/>
  <c r="BZ270" i="23916"/>
  <c r="CI276" i="23916"/>
  <c r="CJ264" i="23916"/>
  <c r="GF394" i="23916"/>
  <c r="GG394" i="23916" s="1"/>
  <c r="GF273" i="23916"/>
  <c r="GG273" i="23916" s="1"/>
  <c r="GG263" i="23916"/>
  <c r="FP394" i="23916"/>
  <c r="FQ394" i="23916" s="1"/>
  <c r="FP273" i="23916"/>
  <c r="FQ273" i="23916" s="1"/>
  <c r="FS263" i="23916"/>
  <c r="FQ263" i="23916"/>
  <c r="FX393" i="23916"/>
  <c r="FY261" i="23916"/>
  <c r="FV264" i="23916"/>
  <c r="FW261" i="23916"/>
  <c r="FT256" i="23916"/>
  <c r="FT273" i="23916" s="1"/>
  <c r="FU273" i="23916" s="1"/>
  <c r="FU252" i="23916"/>
  <c r="FW252" i="23916"/>
  <c r="DW243" i="23916"/>
  <c r="DW240" i="23916"/>
  <c r="DX239" i="23916"/>
  <c r="DW9" i="23916"/>
  <c r="DG243" i="23916"/>
  <c r="DG240" i="23916"/>
  <c r="DH239" i="23916"/>
  <c r="DG9" i="23916"/>
  <c r="CQ243" i="23916"/>
  <c r="CQ240" i="23916"/>
  <c r="CR239" i="23916"/>
  <c r="CQ9" i="23916"/>
  <c r="CA243" i="23916"/>
  <c r="CA240" i="23916"/>
  <c r="CB239" i="23916"/>
  <c r="BK243" i="23916"/>
  <c r="BK240" i="23916"/>
  <c r="BL239" i="23916"/>
  <c r="AA243" i="23916"/>
  <c r="AA240" i="23916"/>
  <c r="AB239" i="23916"/>
  <c r="GD239" i="23916"/>
  <c r="GE224" i="23916"/>
  <c r="GD225" i="23916"/>
  <c r="AK352" i="23916"/>
  <c r="AA574" i="23916"/>
  <c r="AB333" i="23916"/>
  <c r="EH305" i="23916"/>
  <c r="EG308" i="23916"/>
  <c r="EJ308" i="23916" s="1"/>
  <c r="EG11" i="23916"/>
  <c r="EH11" i="23916" s="1"/>
  <c r="BV305" i="23916"/>
  <c r="BU308" i="23916"/>
  <c r="FY294" i="23916"/>
  <c r="GA294" i="23916"/>
  <c r="FO294" i="23916"/>
  <c r="EQ296" i="23916"/>
  <c r="EP296" i="23916"/>
  <c r="FD289" i="23916"/>
  <c r="FO288" i="23916"/>
  <c r="FG286" i="23916"/>
  <c r="AM409" i="23916"/>
  <c r="AN280" i="23916"/>
  <c r="W409" i="23916"/>
  <c r="X280" i="23916"/>
  <c r="GF264" i="23916"/>
  <c r="FX239" i="23916"/>
  <c r="FY224" i="23916"/>
  <c r="FX236" i="23916"/>
  <c r="FY236" i="23916" s="1"/>
  <c r="FH239" i="23916"/>
  <c r="FI224" i="23916"/>
  <c r="FH236" i="23916"/>
  <c r="FK297" i="23916"/>
  <c r="AH296" i="23916"/>
  <c r="GN285" i="23916"/>
  <c r="GM285" i="23916"/>
  <c r="EI409" i="23916"/>
  <c r="EJ280" i="23916"/>
  <c r="DS409" i="23916"/>
  <c r="DT280" i="23916"/>
  <c r="DC409" i="23916"/>
  <c r="DD280" i="23916"/>
  <c r="BW409" i="23916"/>
  <c r="BX280" i="23916"/>
  <c r="FI233" i="23916"/>
  <c r="EL236" i="23916"/>
  <c r="ED236" i="23916"/>
  <c r="DM243" i="23916"/>
  <c r="DM240" i="23916"/>
  <c r="DN240" i="23916" s="1"/>
  <c r="DN239" i="23916"/>
  <c r="DM9" i="23916"/>
  <c r="DN9" i="23916" s="1"/>
  <c r="CG243" i="23916"/>
  <c r="CG240" i="23916"/>
  <c r="CH240" i="23916" s="1"/>
  <c r="CH239" i="23916"/>
  <c r="CG9" i="23916"/>
  <c r="CH9" i="23916" s="1"/>
  <c r="BA243" i="23916"/>
  <c r="BA240" i="23916"/>
  <c r="BB239" i="23916"/>
  <c r="AK243" i="23916"/>
  <c r="AK240" i="23916"/>
  <c r="AL240" i="23916" s="1"/>
  <c r="AL239" i="23916"/>
  <c r="EL228" i="23916"/>
  <c r="CU395" i="23916"/>
  <c r="CV395" i="23916" s="1"/>
  <c r="CE395" i="23916"/>
  <c r="CF395" i="23916" s="1"/>
  <c r="BO395" i="23916"/>
  <c r="BP395" i="23916" s="1"/>
  <c r="FL296" i="23916"/>
  <c r="AL289" i="23916"/>
  <c r="V289" i="23916"/>
  <c r="AP264" i="23916"/>
  <c r="FJ264" i="23916"/>
  <c r="EC276" i="23916"/>
  <c r="DM276" i="23916"/>
  <c r="CW276" i="23916"/>
  <c r="FH277" i="23916"/>
  <c r="FI277" i="23916" s="1"/>
  <c r="FH280" i="23916"/>
  <c r="FI276" i="23916"/>
  <c r="FU233" i="23916"/>
  <c r="AQ243" i="23916"/>
  <c r="AQ240" i="23916"/>
  <c r="AR239" i="23916"/>
  <c r="DC209" i="23916"/>
  <c r="DD205" i="23916"/>
  <c r="DC206" i="23916"/>
  <c r="DL206" i="23916" s="1"/>
  <c r="DC8" i="23916"/>
  <c r="CM209" i="23916"/>
  <c r="CN205" i="23916"/>
  <c r="CM206" i="23916"/>
  <c r="CM8" i="23916"/>
  <c r="CN8" i="23916" s="1"/>
  <c r="BW209" i="23916"/>
  <c r="BX205" i="23916"/>
  <c r="BW206" i="23916"/>
  <c r="BC209" i="23916"/>
  <c r="BC206" i="23916"/>
  <c r="AM209" i="23916"/>
  <c r="AN205" i="23916"/>
  <c r="AM206" i="23916"/>
  <c r="AJ191" i="23916"/>
  <c r="BF296" i="23916"/>
  <c r="BY410" i="23916"/>
  <c r="BZ308" i="23916"/>
  <c r="GF305" i="23916"/>
  <c r="GG289" i="23916"/>
  <c r="FG273" i="23916"/>
  <c r="BJ273" i="23916"/>
  <c r="BE409" i="23916"/>
  <c r="EQ253" i="23916"/>
  <c r="ER253" i="23916" s="1"/>
  <c r="EP253" i="23916"/>
  <c r="EO625" i="23916"/>
  <c r="EO234" i="23916"/>
  <c r="EQ233" i="23916"/>
  <c r="EP233" i="23916"/>
  <c r="DI243" i="23916"/>
  <c r="DI240" i="23916"/>
  <c r="DJ240" i="23916" s="1"/>
  <c r="DJ239" i="23916"/>
  <c r="DI9" i="23916"/>
  <c r="DJ9" i="23916" s="1"/>
  <c r="CC243" i="23916"/>
  <c r="CC240" i="23916"/>
  <c r="CD240" i="23916" s="1"/>
  <c r="CD239" i="23916"/>
  <c r="AW243" i="23916"/>
  <c r="AW240" i="23916"/>
  <c r="AX239" i="23916"/>
  <c r="AG243" i="23916"/>
  <c r="AG240" i="23916"/>
  <c r="AH240" i="23916" s="1"/>
  <c r="AH239" i="23916"/>
  <c r="GK222" i="23916"/>
  <c r="GL222" i="23916"/>
  <c r="EP221" i="23916"/>
  <c r="EO227" i="23916"/>
  <c r="EQ221" i="23916"/>
  <c r="FK190" i="23916"/>
  <c r="FJ191" i="23916"/>
  <c r="FM190" i="23916"/>
  <c r="AR189" i="23916"/>
  <c r="AJ189" i="23916"/>
  <c r="GK180" i="23916"/>
  <c r="GI180" i="23916"/>
  <c r="GK170" i="23916"/>
  <c r="GI170" i="23916"/>
  <c r="FG154" i="23916"/>
  <c r="FQ301" i="23916"/>
  <c r="BB296" i="23916"/>
  <c r="CH272" i="23916"/>
  <c r="Y409" i="23916"/>
  <c r="Z280" i="23916"/>
  <c r="AO276" i="23916"/>
  <c r="BH277" i="23916"/>
  <c r="GI229" i="23916"/>
  <c r="FO229" i="23916"/>
  <c r="FF236" i="23916"/>
  <c r="GE235" i="23916"/>
  <c r="FO235" i="23916"/>
  <c r="GA231" i="23916"/>
  <c r="BD236" i="23916"/>
  <c r="AM408" i="23916"/>
  <c r="AN243" i="23916"/>
  <c r="AM244" i="23916"/>
  <c r="FR240" i="23916"/>
  <c r="FR243" i="23916"/>
  <c r="GH239" i="23916"/>
  <c r="GI224" i="23916"/>
  <c r="EM230" i="23916"/>
  <c r="EN230" i="23916" s="1"/>
  <c r="EN224" i="23916"/>
  <c r="FS216" i="23916"/>
  <c r="CO209" i="23916"/>
  <c r="CO206" i="23916"/>
  <c r="CO8" i="23916"/>
  <c r="BY209" i="23916"/>
  <c r="BY206" i="23916"/>
  <c r="AW209" i="23916"/>
  <c r="AX205" i="23916"/>
  <c r="AW206" i="23916"/>
  <c r="FV198" i="23916"/>
  <c r="FW196" i="23916"/>
  <c r="AP191" i="23916"/>
  <c r="AO205" i="23916"/>
  <c r="AO203" i="23916"/>
  <c r="AP203" i="23916" s="1"/>
  <c r="GG176" i="23916"/>
  <c r="GG233" i="23916"/>
  <c r="DL205" i="23916"/>
  <c r="BR181" i="23916"/>
  <c r="DX145" i="23916"/>
  <c r="DW159" i="23916"/>
  <c r="CR145" i="23916"/>
  <c r="CQ159" i="23916"/>
  <c r="BL145" i="23916"/>
  <c r="BK159" i="23916"/>
  <c r="EF387" i="23916"/>
  <c r="DP387" i="23916"/>
  <c r="CZ387" i="23916"/>
  <c r="CJ387" i="23916"/>
  <c r="EJ122" i="23916"/>
  <c r="EB122" i="23916"/>
  <c r="FM107" i="23916"/>
  <c r="FJ110" i="23916"/>
  <c r="FK107" i="23916"/>
  <c r="FV176" i="23916"/>
  <c r="FW102" i="23916"/>
  <c r="BL70" i="23916"/>
  <c r="BK22" i="23916"/>
  <c r="BT22" i="23916" s="1"/>
  <c r="AV70" i="23916"/>
  <c r="AU22" i="23916"/>
  <c r="GB578" i="23916"/>
  <c r="GC51" i="23916"/>
  <c r="FH392" i="23916"/>
  <c r="FI150" i="23916"/>
  <c r="DI392" i="23916"/>
  <c r="DJ150" i="23916"/>
  <c r="FR392" i="23916"/>
  <c r="FR395" i="23916"/>
  <c r="FS390" i="23916"/>
  <c r="BD390" i="23916"/>
  <c r="AI198" i="23916"/>
  <c r="AJ198" i="23916" s="1"/>
  <c r="EI573" i="23916"/>
  <c r="EI407" i="23916"/>
  <c r="EI210" i="23916"/>
  <c r="EJ209" i="23916"/>
  <c r="DS573" i="23916"/>
  <c r="DS407" i="23916"/>
  <c r="DS210" i="23916"/>
  <c r="DT209" i="23916"/>
  <c r="DI205" i="23916"/>
  <c r="GS412" i="23916"/>
  <c r="AK391" i="23916"/>
  <c r="AL149" i="23916"/>
  <c r="AK155" i="23916"/>
  <c r="EH145" i="23916"/>
  <c r="EG159" i="23916"/>
  <c r="DB145" i="23916"/>
  <c r="DA159" i="23916"/>
  <c r="BV145" i="23916"/>
  <c r="BU159" i="23916"/>
  <c r="AP145" i="23916"/>
  <c r="AO159" i="23916"/>
  <c r="BB143" i="23916"/>
  <c r="EJ90" i="23916"/>
  <c r="EK90" i="23916"/>
  <c r="EQ607" i="23916"/>
  <c r="EQ88" i="23916"/>
  <c r="EQ81" i="23916" s="1"/>
  <c r="ER87" i="23916"/>
  <c r="FV172" i="23916"/>
  <c r="FV70" i="23916"/>
  <c r="FW68" i="23916"/>
  <c r="BB42" i="23916"/>
  <c r="BA53" i="23916"/>
  <c r="BB53" i="23916" s="1"/>
  <c r="BA55" i="23916"/>
  <c r="GC233" i="23916"/>
  <c r="EP203" i="23916"/>
  <c r="FY203" i="23916"/>
  <c r="FJ198" i="23916"/>
  <c r="FK198" i="23916" s="1"/>
  <c r="DG573" i="23916"/>
  <c r="DG407" i="23916"/>
  <c r="DG210" i="23916"/>
  <c r="FK181" i="23916"/>
  <c r="FI181" i="23916"/>
  <c r="FJ412" i="23916"/>
  <c r="FK162" i="23916"/>
  <c r="EF145" i="23916"/>
  <c r="EE159" i="23916"/>
  <c r="CZ145" i="23916"/>
  <c r="CY159" i="23916"/>
  <c r="BT145" i="23916"/>
  <c r="BS159" i="23916"/>
  <c r="AN145" i="23916"/>
  <c r="AM159" i="23916"/>
  <c r="FV384" i="23916"/>
  <c r="FV145" i="23916"/>
  <c r="FW142" i="23916"/>
  <c r="EH387" i="23916"/>
  <c r="DR387" i="23916"/>
  <c r="DB387" i="23916"/>
  <c r="CL387" i="23916"/>
  <c r="AP387" i="23916"/>
  <c r="EH137" i="23916"/>
  <c r="FW137" i="23916"/>
  <c r="GG115" i="23916"/>
  <c r="GF117" i="23916"/>
  <c r="BT110" i="23916"/>
  <c r="BL110" i="23916"/>
  <c r="BK125" i="23916"/>
  <c r="GE83" i="23916"/>
  <c r="GJ81" i="23916"/>
  <c r="EL81" i="23916"/>
  <c r="AR78" i="23916"/>
  <c r="AJ78" i="23916"/>
  <c r="BQ26" i="23916"/>
  <c r="AX70" i="23916"/>
  <c r="AW22" i="23916"/>
  <c r="AH70" i="23916"/>
  <c r="AG22" i="23916"/>
  <c r="FY68" i="23916"/>
  <c r="AD64" i="23916"/>
  <c r="AC168" i="23916"/>
  <c r="FD59" i="23916"/>
  <c r="FE55" i="23916"/>
  <c r="FD56" i="23916"/>
  <c r="FE56" i="23916" s="1"/>
  <c r="DU59" i="23916"/>
  <c r="DV55" i="23916"/>
  <c r="DU56" i="23916"/>
  <c r="DE59" i="23916"/>
  <c r="DF55" i="23916"/>
  <c r="DE56" i="23916"/>
  <c r="CO59" i="23916"/>
  <c r="CP55" i="23916"/>
  <c r="CO56" i="23916"/>
  <c r="BY59" i="23916"/>
  <c r="BZ55" i="23916"/>
  <c r="BY56" i="23916"/>
  <c r="AS59" i="23916"/>
  <c r="AT55" i="23916"/>
  <c r="AS56" i="23916"/>
  <c r="FV578" i="23916"/>
  <c r="FW51" i="23916"/>
  <c r="BC578" i="23916"/>
  <c r="BL51" i="23916"/>
  <c r="BD51" i="23916"/>
  <c r="AC150" i="23916"/>
  <c r="GB150" i="23916"/>
  <c r="GC47" i="23916"/>
  <c r="GB49" i="23916"/>
  <c r="GF390" i="23916"/>
  <c r="GI390" i="23916" s="1"/>
  <c r="FU154" i="23916"/>
  <c r="ED35" i="23916"/>
  <c r="CX35" i="23916"/>
  <c r="BR35" i="23916"/>
  <c r="AL35" i="23916"/>
  <c r="BL264" i="23916"/>
  <c r="GC198" i="23916"/>
  <c r="FM198" i="23916"/>
  <c r="EC205" i="23916"/>
  <c r="DM205" i="23916"/>
  <c r="DR181" i="23916"/>
  <c r="GO412" i="23916"/>
  <c r="FH412" i="23916"/>
  <c r="FI412" i="23916" s="1"/>
  <c r="FI162" i="23916"/>
  <c r="AS156" i="23916"/>
  <c r="AT151" i="23916"/>
  <c r="EJ145" i="23916"/>
  <c r="EI159" i="23916"/>
  <c r="DD145" i="23916"/>
  <c r="DC159" i="23916"/>
  <c r="BX145" i="23916"/>
  <c r="BW159" i="23916"/>
  <c r="BK385" i="23916"/>
  <c r="BL143" i="23916"/>
  <c r="FI117" i="23916"/>
  <c r="AC117" i="23916"/>
  <c r="GL109" i="23916"/>
  <c r="GK109" i="23916"/>
  <c r="GI87" i="23916"/>
  <c r="FS87" i="23916"/>
  <c r="GL76" i="23916"/>
  <c r="GK76" i="23916"/>
  <c r="AT115" i="23916"/>
  <c r="EI125" i="23916"/>
  <c r="EA572" i="23916"/>
  <c r="EA406" i="23916"/>
  <c r="EB129" i="23916"/>
  <c r="DC572" i="23916"/>
  <c r="DC406" i="23916"/>
  <c r="DD129" i="23916"/>
  <c r="CU572" i="23916"/>
  <c r="CU406" i="23916"/>
  <c r="CV129" i="23916"/>
  <c r="BW572" i="23916"/>
  <c r="BW406" i="23916"/>
  <c r="BX129" i="23916"/>
  <c r="CO97" i="23916"/>
  <c r="CP93" i="23916"/>
  <c r="CO94" i="23916"/>
  <c r="BY97" i="23916"/>
  <c r="BZ93" i="23916"/>
  <c r="BY94" i="23916"/>
  <c r="BI97" i="23916"/>
  <c r="BJ93" i="23916"/>
  <c r="BI94" i="23916"/>
  <c r="AS97" i="23916"/>
  <c r="AT93" i="23916"/>
  <c r="AS94" i="23916"/>
  <c r="FF405" i="23916"/>
  <c r="DW405" i="23916"/>
  <c r="DX97" i="23916"/>
  <c r="DG405" i="23916"/>
  <c r="DH97" i="23916"/>
  <c r="CQ405" i="23916"/>
  <c r="CR97" i="23916"/>
  <c r="CA405" i="23916"/>
  <c r="CB97" i="23916"/>
  <c r="BK405" i="23916"/>
  <c r="BL97" i="23916"/>
  <c r="AU405" i="23916"/>
  <c r="AV97" i="23916"/>
  <c r="FU162" i="23916"/>
  <c r="CV151" i="23916"/>
  <c r="CU156" i="23916"/>
  <c r="CV156" i="23916" s="1"/>
  <c r="AC156" i="23916"/>
  <c r="AD156" i="23916" s="1"/>
  <c r="AD151" i="23916"/>
  <c r="AI151" i="23916"/>
  <c r="AR48" i="23916"/>
  <c r="AI53" i="23916"/>
  <c r="AJ53" i="23916" s="1"/>
  <c r="AJ48" i="23916"/>
  <c r="DK392" i="23916"/>
  <c r="DL150" i="23916"/>
  <c r="GG42" i="23916"/>
  <c r="GF53" i="23916"/>
  <c r="GG53" i="23916" s="1"/>
  <c r="GF55" i="23916"/>
  <c r="FP384" i="23916"/>
  <c r="FQ142" i="23916"/>
  <c r="AK385" i="23916"/>
  <c r="AL385" i="23916" s="1"/>
  <c r="AL143" i="23916"/>
  <c r="DX30" i="23916"/>
  <c r="CR30" i="23916"/>
  <c r="BL30" i="23916"/>
  <c r="DR26" i="23916"/>
  <c r="DQ28" i="23916"/>
  <c r="CL26" i="23916"/>
  <c r="CK28" i="23916"/>
  <c r="AM572" i="23916"/>
  <c r="AM406" i="23916"/>
  <c r="AN129" i="23916"/>
  <c r="BA126" i="23916"/>
  <c r="BB126" i="23916" s="1"/>
  <c r="BA129" i="23916"/>
  <c r="BB125" i="23916"/>
  <c r="EG97" i="23916"/>
  <c r="EH93" i="23916"/>
  <c r="EG94" i="23916"/>
  <c r="DQ97" i="23916"/>
  <c r="DR93" i="23916"/>
  <c r="DQ94" i="23916"/>
  <c r="DA97" i="23916"/>
  <c r="DB93" i="23916"/>
  <c r="DA94" i="23916"/>
  <c r="BB156" i="23916"/>
  <c r="CS392" i="23916"/>
  <c r="CT150" i="23916"/>
  <c r="CC392" i="23916"/>
  <c r="CD150" i="23916"/>
  <c r="BM392" i="23916"/>
  <c r="BN150" i="23916"/>
  <c r="AO392" i="23916"/>
  <c r="AP150" i="23916"/>
  <c r="AQ578" i="23916"/>
  <c r="AZ51" i="23916"/>
  <c r="FJ148" i="23916"/>
  <c r="FJ49" i="23916"/>
  <c r="FK49" i="23916" s="1"/>
  <c r="FJ51" i="23916"/>
  <c r="FK45" i="23916"/>
  <c r="FF55" i="23916"/>
  <c r="DK55" i="23916"/>
  <c r="BO55" i="23916"/>
  <c r="BX55" i="23916" s="1"/>
  <c r="AR53" i="23916"/>
  <c r="FP30" i="23916"/>
  <c r="FQ30" i="23916" s="1"/>
  <c r="FQ29" i="23916"/>
  <c r="EM26" i="23916"/>
  <c r="EN26" i="23916" s="1"/>
  <c r="DH26" i="23916"/>
  <c r="DG28" i="23916"/>
  <c r="GC27" i="23916"/>
  <c r="FU27" i="23916"/>
  <c r="FQ121" i="23916"/>
  <c r="EC572" i="23916"/>
  <c r="EC406" i="23916"/>
  <c r="ED129" i="23916"/>
  <c r="DM572" i="23916"/>
  <c r="DM406" i="23916"/>
  <c r="DN129" i="23916"/>
  <c r="CW572" i="23916"/>
  <c r="CW406" i="23916"/>
  <c r="CX129" i="23916"/>
  <c r="CG572" i="23916"/>
  <c r="CG406" i="23916"/>
  <c r="CH129" i="23916"/>
  <c r="CD126" i="23916"/>
  <c r="GD129" i="23916"/>
  <c r="GD126" i="23916"/>
  <c r="EQ89" i="23916"/>
  <c r="EO82" i="23916"/>
  <c r="EP82" i="23916" s="1"/>
  <c r="EP89" i="23916"/>
  <c r="GA90" i="23916"/>
  <c r="GF85" i="23916"/>
  <c r="FP85" i="23916"/>
  <c r="AE93" i="23916"/>
  <c r="AC97" i="23916"/>
  <c r="AD93" i="23916"/>
  <c r="AC94" i="23916"/>
  <c r="AD94" i="23916" s="1"/>
  <c r="DB49" i="23916"/>
  <c r="FY391" i="23916"/>
  <c r="FP155" i="23916"/>
  <c r="FQ155" i="23916" s="1"/>
  <c r="AP154" i="23916"/>
  <c r="FS41" i="23916"/>
  <c r="FP144" i="23916"/>
  <c r="FQ41" i="23916"/>
  <c r="GH385" i="23916"/>
  <c r="GI143" i="23916"/>
  <c r="FU42" i="23916"/>
  <c r="FT53" i="23916"/>
  <c r="FU53" i="23916" s="1"/>
  <c r="FL384" i="23916"/>
  <c r="FL145" i="23916"/>
  <c r="FM142" i="23916"/>
  <c r="EJ30" i="23916"/>
  <c r="GH30" i="23916"/>
  <c r="DD30" i="23916"/>
  <c r="FZ30" i="23916"/>
  <c r="BX30" i="23916"/>
  <c r="DN26" i="23916"/>
  <c r="DM28" i="23916"/>
  <c r="FV26" i="23916"/>
  <c r="CH26" i="23916"/>
  <c r="CG28" i="23916"/>
  <c r="FS122" i="23916"/>
  <c r="DX117" i="23916"/>
  <c r="FW117" i="23916"/>
  <c r="BQ572" i="23916"/>
  <c r="BQ406" i="23916"/>
  <c r="EC97" i="23916"/>
  <c r="ED93" i="23916"/>
  <c r="EC94" i="23916"/>
  <c r="DM97" i="23916"/>
  <c r="DN93" i="23916"/>
  <c r="DM94" i="23916"/>
  <c r="CW97" i="23916"/>
  <c r="CX93" i="23916"/>
  <c r="CW94" i="23916"/>
  <c r="CX94" i="23916" s="1"/>
  <c r="AN85" i="23916"/>
  <c r="FW412" i="23916"/>
  <c r="BR49" i="23916"/>
  <c r="FX150" i="23916"/>
  <c r="FY47" i="23916"/>
  <c r="FX49" i="23916"/>
  <c r="FV150" i="23916"/>
  <c r="FV49" i="23916"/>
  <c r="FW47" i="23916"/>
  <c r="BY392" i="23916"/>
  <c r="BZ150" i="23916"/>
  <c r="BA392" i="23916"/>
  <c r="BB150" i="23916"/>
  <c r="AI149" i="23916"/>
  <c r="AI152" i="23916" s="1"/>
  <c r="AJ152" i="23916" s="1"/>
  <c r="EE55" i="23916"/>
  <c r="CY55" i="23916"/>
  <c r="CI55" i="23916"/>
  <c r="BT53" i="23916"/>
  <c r="BN143" i="23916"/>
  <c r="EK385" i="23916"/>
  <c r="EL385" i="23916" s="1"/>
  <c r="EL143" i="23916"/>
  <c r="GB26" i="23916"/>
  <c r="DL26" i="23916"/>
  <c r="CF26" i="23916"/>
  <c r="CM36" i="23916"/>
  <c r="FV28" i="23916"/>
  <c r="DS36" i="23916"/>
  <c r="DT36" i="23916" s="1"/>
  <c r="DT28" i="23916"/>
  <c r="BV49" i="23916"/>
  <c r="CE28" i="23916"/>
  <c r="FD549" i="23916"/>
  <c r="FE549" i="23916" s="1"/>
  <c r="FD547" i="23916"/>
  <c r="FE547" i="23916" s="1"/>
  <c r="FE531" i="23916"/>
  <c r="FD533" i="23916"/>
  <c r="FE533" i="23916" s="1"/>
  <c r="DY549" i="23916"/>
  <c r="DZ549" i="23916" s="1"/>
  <c r="DY547" i="23916"/>
  <c r="DZ547" i="23916" s="1"/>
  <c r="DZ531" i="23916"/>
  <c r="DY533" i="23916"/>
  <c r="DZ533" i="23916" s="1"/>
  <c r="DI549" i="23916"/>
  <c r="DJ549" i="23916" s="1"/>
  <c r="DI546" i="23916"/>
  <c r="DI547" i="23916"/>
  <c r="DJ547" i="23916" s="1"/>
  <c r="DJ531" i="23916"/>
  <c r="DI533" i="23916"/>
  <c r="DJ533" i="23916" s="1"/>
  <c r="CS549" i="23916"/>
  <c r="CT549" i="23916" s="1"/>
  <c r="CS547" i="23916"/>
  <c r="CT547" i="23916" s="1"/>
  <c r="CT531" i="23916"/>
  <c r="CS533" i="23916"/>
  <c r="CT533" i="23916" s="1"/>
  <c r="CC549" i="23916"/>
  <c r="CC547" i="23916"/>
  <c r="CD547" i="23916" s="1"/>
  <c r="CC546" i="23916"/>
  <c r="CD531" i="23916"/>
  <c r="CC533" i="23916"/>
  <c r="CD533" i="23916" s="1"/>
  <c r="BF549" i="23916"/>
  <c r="R547" i="23916"/>
  <c r="N543" i="23916"/>
  <c r="GA532" i="23916"/>
  <c r="GC532" i="23916"/>
  <c r="FK532" i="23916"/>
  <c r="FM532" i="23916"/>
  <c r="FX549" i="23916"/>
  <c r="FY549" i="23916" s="1"/>
  <c r="FX547" i="23916"/>
  <c r="FY547" i="23916" s="1"/>
  <c r="FY531" i="23916"/>
  <c r="FX533" i="23916"/>
  <c r="FH549" i="23916"/>
  <c r="FI549" i="23916" s="1"/>
  <c r="FH547" i="23916"/>
  <c r="FI547" i="23916" s="1"/>
  <c r="FI531" i="23916"/>
  <c r="FH533" i="23916"/>
  <c r="FI533" i="23916" s="1"/>
  <c r="EY547" i="23916"/>
  <c r="FA547" i="23916"/>
  <c r="BT547" i="23916"/>
  <c r="BP549" i="23916"/>
  <c r="AJ546" i="23916"/>
  <c r="AF542" i="23916"/>
  <c r="T547" i="23916"/>
  <c r="P543" i="23916"/>
  <c r="GD549" i="23916"/>
  <c r="GE549" i="23916" s="1"/>
  <c r="GD547" i="23916"/>
  <c r="GE547" i="23916" s="1"/>
  <c r="GD533" i="23916"/>
  <c r="GE533" i="23916" s="1"/>
  <c r="GE531" i="23916"/>
  <c r="FN549" i="23916"/>
  <c r="FO549" i="23916" s="1"/>
  <c r="FN547" i="23916"/>
  <c r="FO547" i="23916" s="1"/>
  <c r="FN533" i="23916"/>
  <c r="FO533" i="23916" s="1"/>
  <c r="FO531" i="23916"/>
  <c r="GI558" i="23916"/>
  <c r="GE560" i="23916"/>
  <c r="GA557" i="23916"/>
  <c r="FS558" i="23916"/>
  <c r="FO560" i="23916"/>
  <c r="FK557" i="23916"/>
  <c r="BX533" i="23916"/>
  <c r="BX546" i="23916"/>
  <c r="FG526" i="23916"/>
  <c r="FF545" i="23916"/>
  <c r="FG555" i="23916"/>
  <c r="EY553" i="23916"/>
  <c r="FA553" i="23916"/>
  <c r="DZ519" i="23916"/>
  <c r="DY521" i="23916"/>
  <c r="DJ519" i="23916"/>
  <c r="DI521" i="23916"/>
  <c r="CT519" i="23916"/>
  <c r="CS521" i="23916"/>
  <c r="CD519" i="23916"/>
  <c r="CC521" i="23916"/>
  <c r="BN519" i="23916"/>
  <c r="BM521" i="23916"/>
  <c r="EM518" i="23916"/>
  <c r="EL518" i="23916"/>
  <c r="BT533" i="23916"/>
  <c r="DW533" i="23916"/>
  <c r="DX533" i="23916" s="1"/>
  <c r="CR547" i="23916"/>
  <c r="CB547" i="23916"/>
  <c r="FZ555" i="23916"/>
  <c r="FZ554" i="23916"/>
  <c r="FZ553" i="23916"/>
  <c r="FZ556" i="23916"/>
  <c r="FZ545" i="23916"/>
  <c r="FZ544" i="23916"/>
  <c r="FZ542" i="23916"/>
  <c r="FZ543" i="23916"/>
  <c r="GA518" i="23916"/>
  <c r="DY542" i="23916"/>
  <c r="DZ554" i="23916"/>
  <c r="DQ543" i="23916"/>
  <c r="DM542" i="23916"/>
  <c r="DN554" i="23916"/>
  <c r="DI542" i="23916"/>
  <c r="DJ554" i="23916"/>
  <c r="DE542" i="23916"/>
  <c r="DF542" i="23916" s="1"/>
  <c r="DA543" i="23916"/>
  <c r="CW542" i="23916"/>
  <c r="CX542" i="23916" s="1"/>
  <c r="CX554" i="23916"/>
  <c r="CS542" i="23916"/>
  <c r="CO542" i="23916"/>
  <c r="CP553" i="23916"/>
  <c r="CK543" i="23916"/>
  <c r="CL543" i="23916" s="1"/>
  <c r="CG542" i="23916"/>
  <c r="CC544" i="23916"/>
  <c r="CD544" i="23916" s="1"/>
  <c r="BR542" i="23916"/>
  <c r="BF543" i="23916"/>
  <c r="BB542" i="23916"/>
  <c r="EJ547" i="23916"/>
  <c r="EB549" i="23916"/>
  <c r="DK533" i="23916"/>
  <c r="DL533" i="23916" s="1"/>
  <c r="CV546" i="23916"/>
  <c r="CF549" i="23916"/>
  <c r="FS526" i="23916"/>
  <c r="AK556" i="23916"/>
  <c r="AL556" i="23916" s="1"/>
  <c r="AK545" i="23916"/>
  <c r="AL545" i="23916" s="1"/>
  <c r="AL521" i="23916"/>
  <c r="AK522" i="23916"/>
  <c r="U556" i="23916"/>
  <c r="V556" i="23916" s="1"/>
  <c r="U545" i="23916"/>
  <c r="V545" i="23916" s="1"/>
  <c r="V521" i="23916"/>
  <c r="U522" i="23916"/>
  <c r="EH533" i="23916"/>
  <c r="EH549" i="23916"/>
  <c r="DP547" i="23916"/>
  <c r="CZ549" i="23916"/>
  <c r="FV555" i="23916"/>
  <c r="FW555" i="23916" s="1"/>
  <c r="FV556" i="23916"/>
  <c r="FV554" i="23916"/>
  <c r="FW554" i="23916" s="1"/>
  <c r="FV553" i="23916"/>
  <c r="FW553" i="23916" s="1"/>
  <c r="FV545" i="23916"/>
  <c r="FV544" i="23916"/>
  <c r="FW544" i="23916" s="1"/>
  <c r="FV543" i="23916"/>
  <c r="FW543" i="23916" s="1"/>
  <c r="FV542" i="23916"/>
  <c r="FW542" i="23916" s="1"/>
  <c r="FW518" i="23916"/>
  <c r="FB543" i="23916"/>
  <c r="FC543" i="23916" s="1"/>
  <c r="EJ555" i="23916"/>
  <c r="EF542" i="23916"/>
  <c r="EF555" i="23916"/>
  <c r="EB542" i="23916"/>
  <c r="DT553" i="23916"/>
  <c r="DP544" i="23916"/>
  <c r="DP553" i="23916"/>
  <c r="GB554" i="23916"/>
  <c r="GC554" i="23916" s="1"/>
  <c r="GB555" i="23916"/>
  <c r="GC555" i="23916" s="1"/>
  <c r="GB553" i="23916"/>
  <c r="GC553" i="23916" s="1"/>
  <c r="GB544" i="23916"/>
  <c r="GC544" i="23916" s="1"/>
  <c r="GB543" i="23916"/>
  <c r="GC543" i="23916" s="1"/>
  <c r="GB542" i="23916"/>
  <c r="GC542" i="23916" s="1"/>
  <c r="GC518" i="23916"/>
  <c r="GB519" i="23916"/>
  <c r="DD545" i="23916"/>
  <c r="DD554" i="23916"/>
  <c r="CZ545" i="23916"/>
  <c r="CZ554" i="23916"/>
  <c r="CN543" i="23916"/>
  <c r="CI543" i="23916"/>
  <c r="CJ543" i="23916" s="1"/>
  <c r="CJ555" i="23916"/>
  <c r="BX556" i="23916"/>
  <c r="BT542" i="23916"/>
  <c r="BT553" i="23916"/>
  <c r="BP544" i="23916"/>
  <c r="BH553" i="23916"/>
  <c r="BD544" i="23916"/>
  <c r="FL554" i="23916"/>
  <c r="FM554" i="23916" s="1"/>
  <c r="FL555" i="23916"/>
  <c r="FM555" i="23916" s="1"/>
  <c r="FL553" i="23916"/>
  <c r="FM553" i="23916" s="1"/>
  <c r="FL544" i="23916"/>
  <c r="FL543" i="23916"/>
  <c r="FM543" i="23916" s="1"/>
  <c r="FL542" i="23916"/>
  <c r="FM542" i="23916" s="1"/>
  <c r="FM518" i="23916"/>
  <c r="FL519" i="23916"/>
  <c r="DG523" i="23916"/>
  <c r="DH522" i="23916"/>
  <c r="CA523" i="23916"/>
  <c r="CB522" i="23916"/>
  <c r="AU523" i="23916"/>
  <c r="AV522" i="23916"/>
  <c r="AM523" i="23916"/>
  <c r="AN523" i="23916" s="1"/>
  <c r="AN522" i="23916"/>
  <c r="AE523" i="23916"/>
  <c r="AF522" i="23916"/>
  <c r="W523" i="23916"/>
  <c r="X523" i="23916" s="1"/>
  <c r="X522" i="23916"/>
  <c r="O523" i="23916"/>
  <c r="P523" i="23916" s="1"/>
  <c r="P522" i="23916"/>
  <c r="DM514" i="23916"/>
  <c r="GH509" i="23916"/>
  <c r="GI509" i="23916" s="1"/>
  <c r="GI508" i="23916"/>
  <c r="FR509" i="23916"/>
  <c r="FS509" i="23916" s="1"/>
  <c r="FS508" i="23916"/>
  <c r="FB509" i="23916"/>
  <c r="FC509" i="23916" s="1"/>
  <c r="FC508" i="23916"/>
  <c r="DA514" i="23916"/>
  <c r="FU532" i="23916"/>
  <c r="EQ520" i="23916"/>
  <c r="EP520" i="23916"/>
  <c r="CG514" i="23916"/>
  <c r="DV508" i="23916"/>
  <c r="DU509" i="23916"/>
  <c r="CP508" i="23916"/>
  <c r="CO509" i="23916"/>
  <c r="BJ508" i="23916"/>
  <c r="BI509" i="23916"/>
  <c r="AD508" i="23916"/>
  <c r="AC509" i="23916"/>
  <c r="FY510" i="23916"/>
  <c r="FI510" i="23916"/>
  <c r="FX548" i="23916"/>
  <c r="FX509" i="23916"/>
  <c r="FY509" i="23916" s="1"/>
  <c r="FY508" i="23916"/>
  <c r="FH509" i="23916"/>
  <c r="FI509" i="23916" s="1"/>
  <c r="FI508" i="23916"/>
  <c r="FI532" i="23916"/>
  <c r="CS514" i="23916"/>
  <c r="EL508" i="23916"/>
  <c r="EK509" i="23916"/>
  <c r="EL509" i="23916" s="1"/>
  <c r="FW505" i="23916"/>
  <c r="EN528" i="23916"/>
  <c r="EO528" i="23916"/>
  <c r="GI471" i="23916"/>
  <c r="GH470" i="23916"/>
  <c r="GI470" i="23916" s="1"/>
  <c r="GG471" i="23916"/>
  <c r="GF470" i="23916"/>
  <c r="FW468" i="23916"/>
  <c r="DY489" i="23916"/>
  <c r="DZ489" i="23916" s="1"/>
  <c r="DZ436" i="23916"/>
  <c r="DI489" i="23916"/>
  <c r="DJ489" i="23916" s="1"/>
  <c r="DJ436" i="23916"/>
  <c r="GI484" i="23916"/>
  <c r="FX538" i="23916"/>
  <c r="FX539" i="23916"/>
  <c r="FX491" i="23916"/>
  <c r="GC442" i="23916"/>
  <c r="EN436" i="23916"/>
  <c r="DW489" i="23916"/>
  <c r="DX489" i="23916" s="1"/>
  <c r="DX436" i="23916"/>
  <c r="DG489" i="23916"/>
  <c r="DH489" i="23916" s="1"/>
  <c r="DH436" i="23916"/>
  <c r="AY436" i="23916"/>
  <c r="AZ433" i="23916"/>
  <c r="GL433" i="23916"/>
  <c r="GK433" i="23916"/>
  <c r="GJ436" i="23916"/>
  <c r="EM442" i="23916"/>
  <c r="EL442" i="23916"/>
  <c r="CI436" i="23916"/>
  <c r="CJ433" i="23916"/>
  <c r="EO436" i="23916"/>
  <c r="I637" i="23916"/>
  <c r="I460" i="23916"/>
  <c r="EH436" i="23916"/>
  <c r="FR432" i="23916"/>
  <c r="FW414" i="23916"/>
  <c r="R559" i="23916"/>
  <c r="CS489" i="23916"/>
  <c r="CT489" i="23916" s="1"/>
  <c r="CT436" i="23916"/>
  <c r="CF489" i="23916"/>
  <c r="BZ489" i="23916"/>
  <c r="AX344" i="23916"/>
  <c r="AW350" i="23916"/>
  <c r="AX350" i="23916" s="1"/>
  <c r="FS346" i="23916"/>
  <c r="FQ346" i="23916"/>
  <c r="FE350" i="23916"/>
  <c r="BI330" i="23916"/>
  <c r="BJ330" i="23916" s="1"/>
  <c r="BJ329" i="23916"/>
  <c r="BI333" i="23916"/>
  <c r="BJ333" i="23916" s="1"/>
  <c r="AS330" i="23916"/>
  <c r="AT330" i="23916" s="1"/>
  <c r="AT329" i="23916"/>
  <c r="AS333" i="23916"/>
  <c r="AT333" i="23916" s="1"/>
  <c r="AC330" i="23916"/>
  <c r="AD330" i="23916" s="1"/>
  <c r="AD329" i="23916"/>
  <c r="AC333" i="23916"/>
  <c r="M330" i="23916"/>
  <c r="N330" i="23916" s="1"/>
  <c r="N329" i="23916"/>
  <c r="M333" i="23916"/>
  <c r="FE341" i="23916"/>
  <c r="GK295" i="23916"/>
  <c r="GL295" i="23916"/>
  <c r="BJ302" i="23916"/>
  <c r="AT302" i="23916"/>
  <c r="AD302" i="23916"/>
  <c r="FV273" i="23916"/>
  <c r="FW263" i="23916"/>
  <c r="FB395" i="23916"/>
  <c r="FC395" i="23916" s="1"/>
  <c r="BG352" i="23916"/>
  <c r="BL333" i="23916"/>
  <c r="AV330" i="23916"/>
  <c r="AE574" i="23916"/>
  <c r="AF333" i="23916"/>
  <c r="FP333" i="23916"/>
  <c r="FS329" i="23916"/>
  <c r="FP330" i="23916"/>
  <c r="DY410" i="23916"/>
  <c r="DZ308" i="23916"/>
  <c r="CS410" i="23916"/>
  <c r="CT308" i="23916"/>
  <c r="GA302" i="23916"/>
  <c r="FU302" i="23916"/>
  <c r="FV305" i="23916"/>
  <c r="FG289" i="23916"/>
  <c r="BL289" i="23916"/>
  <c r="AF289" i="23916"/>
  <c r="P289" i="23916"/>
  <c r="FN344" i="23916"/>
  <c r="AN355" i="23916"/>
  <c r="FO325" i="23916"/>
  <c r="FO296" i="23916"/>
  <c r="FM295" i="23916"/>
  <c r="AZ302" i="23916"/>
  <c r="AJ302" i="23916"/>
  <c r="T302" i="23916"/>
  <c r="BF270" i="23916"/>
  <c r="AX270" i="23916"/>
  <c r="CE276" i="23916"/>
  <c r="CF264" i="23916"/>
  <c r="GB394" i="23916"/>
  <c r="GB273" i="23916"/>
  <c r="GC273" i="23916" s="1"/>
  <c r="GC263" i="23916"/>
  <c r="AP394" i="23916"/>
  <c r="FT393" i="23916"/>
  <c r="FU393" i="23916" s="1"/>
  <c r="FS253" i="23916"/>
  <c r="FQ253" i="23916"/>
  <c r="EI243" i="23916"/>
  <c r="EI240" i="23916"/>
  <c r="EJ240" i="23916" s="1"/>
  <c r="EJ239" i="23916"/>
  <c r="EI9" i="23916"/>
  <c r="EJ9" i="23916" s="1"/>
  <c r="DS243" i="23916"/>
  <c r="DS240" i="23916"/>
  <c r="DT240" i="23916" s="1"/>
  <c r="DT239" i="23916"/>
  <c r="DS9" i="23916"/>
  <c r="DT9" i="23916" s="1"/>
  <c r="DC243" i="23916"/>
  <c r="DC240" i="23916"/>
  <c r="DD240" i="23916" s="1"/>
  <c r="DD239" i="23916"/>
  <c r="DC9" i="23916"/>
  <c r="DD9" i="23916" s="1"/>
  <c r="CM243" i="23916"/>
  <c r="CM240" i="23916"/>
  <c r="CN240" i="23916" s="1"/>
  <c r="CN239" i="23916"/>
  <c r="CM9" i="23916"/>
  <c r="CN9" i="23916" s="1"/>
  <c r="BW243" i="23916"/>
  <c r="BW240" i="23916"/>
  <c r="BX240" i="23916" s="1"/>
  <c r="BX239" i="23916"/>
  <c r="BG243" i="23916"/>
  <c r="BG240" i="23916"/>
  <c r="BH240" i="23916" s="1"/>
  <c r="BH239" i="23916"/>
  <c r="W243" i="23916"/>
  <c r="W240" i="23916"/>
  <c r="X240" i="23916" s="1"/>
  <c r="X239" i="23916"/>
  <c r="AN394" i="23916"/>
  <c r="FG350" i="23916"/>
  <c r="AX323" i="23916"/>
  <c r="AZ330" i="23916"/>
  <c r="AI574" i="23916"/>
  <c r="AJ333" i="23916"/>
  <c r="FN329" i="23916"/>
  <c r="FF329" i="23916"/>
  <c r="DR305" i="23916"/>
  <c r="DQ308" i="23916"/>
  <c r="DQ11" i="23916"/>
  <c r="GK292" i="23916"/>
  <c r="FW295" i="23916"/>
  <c r="FJ296" i="23916"/>
  <c r="FK296" i="23916" s="1"/>
  <c r="AR296" i="23916"/>
  <c r="FF296" i="23916"/>
  <c r="AB296" i="23916"/>
  <c r="FK294" i="23916"/>
  <c r="EK305" i="23916"/>
  <c r="EL289" i="23916"/>
  <c r="FK288" i="23916"/>
  <c r="FQ285" i="23916"/>
  <c r="FP289" i="23916"/>
  <c r="FS285" i="23916"/>
  <c r="AY409" i="23916"/>
  <c r="AZ280" i="23916"/>
  <c r="AI409" i="23916"/>
  <c r="AJ280" i="23916"/>
  <c r="S409" i="23916"/>
  <c r="T280" i="23916"/>
  <c r="GB264" i="23916"/>
  <c r="FT239" i="23916"/>
  <c r="FU224" i="23916"/>
  <c r="FT236" i="23916"/>
  <c r="FU236" i="23916" s="1"/>
  <c r="FQ298" i="23916"/>
  <c r="FG297" i="23916"/>
  <c r="R296" i="23916"/>
  <c r="BI305" i="23916"/>
  <c r="EK260" i="23916"/>
  <c r="EL272" i="23916"/>
  <c r="EM272" i="23916"/>
  <c r="CV264" i="23916"/>
  <c r="DW409" i="23916"/>
  <c r="DX280" i="23916"/>
  <c r="DG409" i="23916"/>
  <c r="DH280" i="23916"/>
  <c r="CQ409" i="23916"/>
  <c r="CD264" i="23916"/>
  <c r="FP264" i="23916"/>
  <c r="FP276" i="23916" s="1"/>
  <c r="CG280" i="23916"/>
  <c r="CH276" i="23916"/>
  <c r="CG277" i="23916"/>
  <c r="CG10" i="23916"/>
  <c r="CH10" i="23916" s="1"/>
  <c r="ER236" i="23916"/>
  <c r="DU243" i="23916"/>
  <c r="DU240" i="23916"/>
  <c r="DV240" i="23916" s="1"/>
  <c r="DV239" i="23916"/>
  <c r="DU9" i="23916"/>
  <c r="DV9" i="23916" s="1"/>
  <c r="DF236" i="23916"/>
  <c r="CO243" i="23916"/>
  <c r="CO240" i="23916"/>
  <c r="CP240" i="23916" s="1"/>
  <c r="CP239" i="23916"/>
  <c r="CO9" i="23916"/>
  <c r="CP9" i="23916" s="1"/>
  <c r="BZ236" i="23916"/>
  <c r="BI243" i="23916"/>
  <c r="BI240" i="23916"/>
  <c r="BJ240" i="23916" s="1"/>
  <c r="BJ239" i="23916"/>
  <c r="AD236" i="23916"/>
  <c r="M243" i="23916"/>
  <c r="M240" i="23916"/>
  <c r="N240" i="23916" s="1"/>
  <c r="N239" i="23916"/>
  <c r="FN239" i="23916"/>
  <c r="FO224" i="23916"/>
  <c r="FB587" i="23916"/>
  <c r="FB387" i="23916"/>
  <c r="FC384" i="23916"/>
  <c r="EM196" i="23916"/>
  <c r="EM188" i="23916"/>
  <c r="EO185" i="23916"/>
  <c r="AD296" i="23916"/>
  <c r="AK305" i="23916"/>
  <c r="AC305" i="23916"/>
  <c r="U305" i="23916"/>
  <c r="M305" i="23916"/>
  <c r="FS272" i="23916"/>
  <c r="FJ270" i="23916"/>
  <c r="FK270" i="23916" s="1"/>
  <c r="FK259" i="23916"/>
  <c r="DY276" i="23916"/>
  <c r="EH276" i="23916" s="1"/>
  <c r="DI276" i="23916"/>
  <c r="CS276" i="23916"/>
  <c r="DB276" i="23916" s="1"/>
  <c r="AS409" i="23916"/>
  <c r="AT280" i="23916"/>
  <c r="EP254" i="23916"/>
  <c r="EQ254" i="23916"/>
  <c r="ER254" i="23916" s="1"/>
  <c r="AI243" i="23916"/>
  <c r="AI240" i="23916"/>
  <c r="AJ240" i="23916" s="1"/>
  <c r="AJ239" i="23916"/>
  <c r="K572" i="23916"/>
  <c r="K408" i="23916"/>
  <c r="K244" i="23916"/>
  <c r="CY209" i="23916"/>
  <c r="CZ205" i="23916"/>
  <c r="CY206" i="23916"/>
  <c r="CZ206" i="23916" s="1"/>
  <c r="CY8" i="23916"/>
  <c r="CI209" i="23916"/>
  <c r="CJ205" i="23916"/>
  <c r="CI206" i="23916"/>
  <c r="CJ206" i="23916" s="1"/>
  <c r="CI8" i="23916"/>
  <c r="CJ8" i="23916" s="1"/>
  <c r="BS209" i="23916"/>
  <c r="BT205" i="23916"/>
  <c r="BS206" i="23916"/>
  <c r="AY209" i="23916"/>
  <c r="AZ205" i="23916"/>
  <c r="AY206" i="23916"/>
  <c r="AZ206" i="23916" s="1"/>
  <c r="AE209" i="23916"/>
  <c r="AF205" i="23916"/>
  <c r="AE206" i="23916"/>
  <c r="AF206" i="23916" s="1"/>
  <c r="AR198" i="23916"/>
  <c r="GE175" i="23916"/>
  <c r="GG175" i="23916"/>
  <c r="GI167" i="23916"/>
  <c r="GK167" i="23916"/>
  <c r="AP296" i="23916"/>
  <c r="DU410" i="23916"/>
  <c r="DV308" i="23916"/>
  <c r="DE410" i="23916"/>
  <c r="DF308" i="23916"/>
  <c r="CO410" i="23916"/>
  <c r="CP308" i="23916"/>
  <c r="GN287" i="23916"/>
  <c r="GM287" i="23916"/>
  <c r="FG272" i="23916"/>
  <c r="FM259" i="23916"/>
  <c r="BB277" i="23916"/>
  <c r="FR409" i="23916"/>
  <c r="GJ253" i="23916"/>
  <c r="EH236" i="23916"/>
  <c r="DQ243" i="23916"/>
  <c r="DQ240" i="23916"/>
  <c r="DR240" i="23916" s="1"/>
  <c r="DR239" i="23916"/>
  <c r="DQ9" i="23916"/>
  <c r="DR9" i="23916" s="1"/>
  <c r="DB236" i="23916"/>
  <c r="CK243" i="23916"/>
  <c r="CK240" i="23916"/>
  <c r="CL240" i="23916" s="1"/>
  <c r="CL239" i="23916"/>
  <c r="CK9" i="23916"/>
  <c r="CL9" i="23916" s="1"/>
  <c r="BV236" i="23916"/>
  <c r="BE243" i="23916"/>
  <c r="BE240" i="23916"/>
  <c r="BF240" i="23916" s="1"/>
  <c r="BF239" i="23916"/>
  <c r="Z236" i="23916"/>
  <c r="FQ189" i="23916"/>
  <c r="FS189" i="23916"/>
  <c r="FM301" i="23916"/>
  <c r="AL296" i="23916"/>
  <c r="FL302" i="23916"/>
  <c r="FD302" i="23916"/>
  <c r="FE302" i="23916" s="1"/>
  <c r="BC305" i="23916"/>
  <c r="FS273" i="23916"/>
  <c r="AC409" i="23916"/>
  <c r="AD280" i="23916"/>
  <c r="M409" i="23916"/>
  <c r="N280" i="23916"/>
  <c r="AF239" i="23916"/>
  <c r="GE229" i="23916"/>
  <c r="DJ231" i="23916"/>
  <c r="FS231" i="23916"/>
  <c r="EO224" i="23916"/>
  <c r="AF240" i="23916"/>
  <c r="GJ221" i="23916"/>
  <c r="GJ224" i="23916" s="1"/>
  <c r="DA209" i="23916"/>
  <c r="DB205" i="23916"/>
  <c r="DA206" i="23916"/>
  <c r="DA8" i="23916"/>
  <c r="CK209" i="23916"/>
  <c r="CL205" i="23916"/>
  <c r="CK206" i="23916"/>
  <c r="CK8" i="23916"/>
  <c r="CL8" i="23916" s="1"/>
  <c r="BU209" i="23916"/>
  <c r="BV205" i="23916"/>
  <c r="BU206" i="23916"/>
  <c r="AS209" i="23916"/>
  <c r="AS206" i="23916"/>
  <c r="GH198" i="23916"/>
  <c r="GI196" i="23916"/>
  <c r="FN198" i="23916"/>
  <c r="FO196" i="23916"/>
  <c r="AL191" i="23916"/>
  <c r="AK205" i="23916"/>
  <c r="AK203" i="23916"/>
  <c r="FQ233" i="23916"/>
  <c r="FJ202" i="23916"/>
  <c r="DK573" i="23916"/>
  <c r="DK407" i="23916"/>
  <c r="DK210" i="23916"/>
  <c r="DL209" i="23916"/>
  <c r="BE209" i="23916"/>
  <c r="BF205" i="23916"/>
  <c r="BE206" i="23916"/>
  <c r="BF206" i="23916" s="1"/>
  <c r="GF209" i="23916"/>
  <c r="GF206" i="23916"/>
  <c r="GF8" i="23916"/>
  <c r="FX209" i="23916"/>
  <c r="FX206" i="23916"/>
  <c r="FX8" i="23916"/>
  <c r="FL209" i="23916"/>
  <c r="FL206" i="23916"/>
  <c r="CR181" i="23916"/>
  <c r="DM159" i="23916"/>
  <c r="DN145" i="23916"/>
  <c r="CG159" i="23916"/>
  <c r="CH145" i="23916"/>
  <c r="BA159" i="23916"/>
  <c r="BB145" i="23916"/>
  <c r="FE387" i="23916"/>
  <c r="EJ387" i="23916"/>
  <c r="DT387" i="23916"/>
  <c r="DD387" i="23916"/>
  <c r="CM398" i="23916"/>
  <c r="CN387" i="23916"/>
  <c r="BW398" i="23916"/>
  <c r="BX387" i="23916"/>
  <c r="AZ122" i="23916"/>
  <c r="AR122" i="23916"/>
  <c r="BH70" i="23916"/>
  <c r="BG22" i="23916"/>
  <c r="AR70" i="23916"/>
  <c r="AQ22" i="23916"/>
  <c r="ER181" i="23916"/>
  <c r="EJ181" i="23916"/>
  <c r="EN181" i="23916"/>
  <c r="EF181" i="23916"/>
  <c r="GK168" i="23916"/>
  <c r="GI168" i="23916"/>
  <c r="AO578" i="23916"/>
  <c r="AP51" i="23916"/>
  <c r="EG392" i="23916"/>
  <c r="EH150" i="23916"/>
  <c r="DA392" i="23916"/>
  <c r="DB150" i="23916"/>
  <c r="FX151" i="23916"/>
  <c r="FY48" i="23916"/>
  <c r="FJ150" i="23916"/>
  <c r="FK47" i="23916"/>
  <c r="FW390" i="23916"/>
  <c r="FN148" i="23916"/>
  <c r="FN49" i="23916"/>
  <c r="FQ45" i="23916"/>
  <c r="FN51" i="23916"/>
  <c r="FQ51" i="23916" s="1"/>
  <c r="FO45" i="23916"/>
  <c r="EM144" i="23916"/>
  <c r="EO41" i="23916"/>
  <c r="EN41" i="23916"/>
  <c r="FF407" i="23916"/>
  <c r="FF210" i="23916"/>
  <c r="FG210" i="23916" s="1"/>
  <c r="DW573" i="23916"/>
  <c r="DW407" i="23916"/>
  <c r="DW210" i="23916"/>
  <c r="DX210" i="23916" s="1"/>
  <c r="DX209" i="23916"/>
  <c r="BT191" i="23916"/>
  <c r="CX181" i="23916"/>
  <c r="GE166" i="23916"/>
  <c r="AC391" i="23916"/>
  <c r="AD391" i="23916" s="1"/>
  <c r="AD149" i="23916"/>
  <c r="AC155" i="23916"/>
  <c r="AD155" i="23916" s="1"/>
  <c r="EB145" i="23916"/>
  <c r="EA159" i="23916"/>
  <c r="CV145" i="23916"/>
  <c r="CU159" i="23916"/>
  <c r="BP145" i="23916"/>
  <c r="BO159" i="23916"/>
  <c r="FF159" i="23916"/>
  <c r="FG145" i="23916"/>
  <c r="FM116" i="23916"/>
  <c r="FL122" i="23916"/>
  <c r="EL113" i="23916"/>
  <c r="EK117" i="23916"/>
  <c r="EN107" i="23916"/>
  <c r="EM114" i="23916"/>
  <c r="EN114" i="23916" s="1"/>
  <c r="EM110" i="23916"/>
  <c r="EM116" i="23916"/>
  <c r="EN116" i="23916" s="1"/>
  <c r="EO107" i="23916"/>
  <c r="FR172" i="23916"/>
  <c r="FR70" i="23916"/>
  <c r="FS70" i="23916" s="1"/>
  <c r="FS68" i="23916"/>
  <c r="AT53" i="23916"/>
  <c r="FM233" i="23916"/>
  <c r="BD198" i="23916"/>
  <c r="FU203" i="23916"/>
  <c r="GH412" i="23916"/>
  <c r="GI162" i="23916"/>
  <c r="CZ156" i="23916"/>
  <c r="AN156" i="23916"/>
  <c r="DU159" i="23916"/>
  <c r="DV145" i="23916"/>
  <c r="CO159" i="23916"/>
  <c r="CP145" i="23916"/>
  <c r="BI159" i="23916"/>
  <c r="BJ145" i="23916"/>
  <c r="U159" i="23916"/>
  <c r="V145" i="23916"/>
  <c r="GH384" i="23916"/>
  <c r="GH145" i="23916"/>
  <c r="GI142" i="23916"/>
  <c r="FR384" i="23916"/>
  <c r="FR145" i="23916"/>
  <c r="FS142" i="23916"/>
  <c r="FG387" i="23916"/>
  <c r="DV387" i="23916"/>
  <c r="DF387" i="23916"/>
  <c r="CP387" i="23916"/>
  <c r="BZ387" i="23916"/>
  <c r="AI177" i="23916"/>
  <c r="AR132" i="23916"/>
  <c r="AJ132" i="23916"/>
  <c r="AI137" i="23916"/>
  <c r="BF122" i="23916"/>
  <c r="AX122" i="23916"/>
  <c r="GC115" i="23916"/>
  <c r="GB117" i="23916"/>
  <c r="BP110" i="23916"/>
  <c r="BH110" i="23916"/>
  <c r="BG125" i="23916"/>
  <c r="AJ107" i="23916"/>
  <c r="AI110" i="23916"/>
  <c r="AR107" i="23916"/>
  <c r="GA83" i="23916"/>
  <c r="FY70" i="23916"/>
  <c r="BJ70" i="23916"/>
  <c r="BI22" i="23916"/>
  <c r="AT70" i="23916"/>
  <c r="AS22" i="23916"/>
  <c r="AD70" i="23916"/>
  <c r="AC22" i="23916"/>
  <c r="GG172" i="23916"/>
  <c r="FU68" i="23916"/>
  <c r="EG59" i="23916"/>
  <c r="EH55" i="23916"/>
  <c r="EG56" i="23916"/>
  <c r="EH56" i="23916" s="1"/>
  <c r="DQ59" i="23916"/>
  <c r="DR55" i="23916"/>
  <c r="DQ56" i="23916"/>
  <c r="DR56" i="23916" s="1"/>
  <c r="DA59" i="23916"/>
  <c r="DB55" i="23916"/>
  <c r="DA56" i="23916"/>
  <c r="DB56" i="23916" s="1"/>
  <c r="CK59" i="23916"/>
  <c r="CL55" i="23916"/>
  <c r="CK56" i="23916"/>
  <c r="CL56" i="23916" s="1"/>
  <c r="BU59" i="23916"/>
  <c r="BV55" i="23916"/>
  <c r="BU56" i="23916"/>
  <c r="AO59" i="23916"/>
  <c r="AP55" i="23916"/>
  <c r="AO56" i="23916"/>
  <c r="GH578" i="23916"/>
  <c r="GI51" i="23916"/>
  <c r="FR578" i="23916"/>
  <c r="FS51" i="23916"/>
  <c r="AE578" i="23916"/>
  <c r="AN51" i="23916"/>
  <c r="AF51" i="23916"/>
  <c r="FZ151" i="23916"/>
  <c r="FZ394" i="23916" s="1"/>
  <c r="GA394" i="23916" s="1"/>
  <c r="GA48" i="23916"/>
  <c r="FZ53" i="23916"/>
  <c r="GC48" i="23916"/>
  <c r="FK46" i="23916"/>
  <c r="FJ149" i="23916"/>
  <c r="FM46" i="23916"/>
  <c r="FU390" i="23916"/>
  <c r="FL148" i="23916"/>
  <c r="FL51" i="23916"/>
  <c r="FM45" i="23916"/>
  <c r="FL49" i="23916"/>
  <c r="FM49" i="23916" s="1"/>
  <c r="FP143" i="23916"/>
  <c r="FQ40" i="23916"/>
  <c r="FS40" i="23916"/>
  <c r="AL236" i="23916"/>
  <c r="AT200" i="23916"/>
  <c r="GC196" i="23916"/>
  <c r="FM196" i="23916"/>
  <c r="FH205" i="23916"/>
  <c r="DY205" i="23916"/>
  <c r="AR191" i="23916"/>
  <c r="DJ181" i="23916"/>
  <c r="GF412" i="23916"/>
  <c r="GG412" i="23916" s="1"/>
  <c r="GG162" i="23916"/>
  <c r="CW156" i="23916"/>
  <c r="DF156" i="23916" s="1"/>
  <c r="CX151" i="23916"/>
  <c r="AK156" i="23916"/>
  <c r="AL156" i="23916" s="1"/>
  <c r="AL151" i="23916"/>
  <c r="DZ145" i="23916"/>
  <c r="DY159" i="23916"/>
  <c r="CT145" i="23916"/>
  <c r="CS159" i="23916"/>
  <c r="BN145" i="23916"/>
  <c r="BM159" i="23916"/>
  <c r="AH145" i="23916"/>
  <c r="AG159" i="23916"/>
  <c r="AI385" i="23916"/>
  <c r="AJ385" i="23916" s="1"/>
  <c r="AJ143" i="23916"/>
  <c r="FO122" i="23916"/>
  <c r="FQ115" i="23916"/>
  <c r="FP117" i="23916"/>
  <c r="FS115" i="23916"/>
  <c r="GE87" i="23916"/>
  <c r="FO87" i="23916"/>
  <c r="FJ78" i="23916"/>
  <c r="FK75" i="23916"/>
  <c r="AT137" i="23916"/>
  <c r="AT122" i="23916"/>
  <c r="EE125" i="23916"/>
  <c r="DG572" i="23916"/>
  <c r="DG406" i="23916"/>
  <c r="CY125" i="23916"/>
  <c r="CA572" i="23916"/>
  <c r="CA406" i="23916"/>
  <c r="CB129" i="23916"/>
  <c r="EA405" i="23916"/>
  <c r="EB97" i="23916"/>
  <c r="DK405" i="23916"/>
  <c r="DL97" i="23916"/>
  <c r="CU405" i="23916"/>
  <c r="CV97" i="23916"/>
  <c r="CE405" i="23916"/>
  <c r="CF97" i="23916"/>
  <c r="BO405" i="23916"/>
  <c r="BP97" i="23916"/>
  <c r="AY405" i="23916"/>
  <c r="AZ97" i="23916"/>
  <c r="GK412" i="23916"/>
  <c r="FU412" i="23916"/>
  <c r="EM47" i="23916"/>
  <c r="EL47" i="23916"/>
  <c r="DS392" i="23916"/>
  <c r="DT150" i="23916"/>
  <c r="AI150" i="23916"/>
  <c r="AJ47" i="23916"/>
  <c r="AR47" i="23916"/>
  <c r="FV155" i="23916"/>
  <c r="FW155" i="23916" s="1"/>
  <c r="GD385" i="23916"/>
  <c r="GE385" i="23916" s="1"/>
  <c r="GE143" i="23916"/>
  <c r="GF384" i="23916"/>
  <c r="GF145" i="23916"/>
  <c r="GG142" i="23916"/>
  <c r="FM40" i="23916"/>
  <c r="FJ143" i="23916"/>
  <c r="FK40" i="23916"/>
  <c r="FJ42" i="23916"/>
  <c r="AL145" i="23916"/>
  <c r="AD384" i="23916"/>
  <c r="AC387" i="23916"/>
  <c r="FS29" i="23916"/>
  <c r="FR30" i="23916"/>
  <c r="FS30" i="23916" s="1"/>
  <c r="FT25" i="23916"/>
  <c r="FT32" i="23916" s="1"/>
  <c r="DJ26" i="23916"/>
  <c r="DI28" i="23916"/>
  <c r="CC28" i="23916"/>
  <c r="FI155" i="23916"/>
  <c r="BF117" i="23916"/>
  <c r="BU572" i="23916"/>
  <c r="BU406" i="23916"/>
  <c r="BV129" i="23916"/>
  <c r="AU572" i="23916"/>
  <c r="AU406" i="23916"/>
  <c r="AV129" i="23916"/>
  <c r="FL85" i="23916"/>
  <c r="BB394" i="23916"/>
  <c r="FR156" i="23916"/>
  <c r="FU156" i="23916" s="1"/>
  <c r="AQ390" i="23916"/>
  <c r="AQ154" i="23916"/>
  <c r="AQ152" i="23916"/>
  <c r="AQ159" i="23916" s="1"/>
  <c r="AZ148" i="23916"/>
  <c r="AR148" i="23916"/>
  <c r="FR56" i="23916"/>
  <c r="FR59" i="23916"/>
  <c r="EK53" i="23916"/>
  <c r="EJ53" i="23916"/>
  <c r="DS55" i="23916"/>
  <c r="DD53" i="23916"/>
  <c r="CU55" i="23916"/>
  <c r="DD55" i="23916" s="1"/>
  <c r="EF26" i="23916"/>
  <c r="EE28" i="23916"/>
  <c r="CZ26" i="23916"/>
  <c r="CY28" i="23916"/>
  <c r="GI27" i="23916"/>
  <c r="GA27" i="23916"/>
  <c r="FS27" i="23916"/>
  <c r="GH23" i="23916"/>
  <c r="GI22" i="23916"/>
  <c r="AA403" i="23916"/>
  <c r="AB163" i="23916"/>
  <c r="FO116" i="23916"/>
  <c r="AX156" i="23916"/>
  <c r="EG572" i="23916"/>
  <c r="EG406" i="23916"/>
  <c r="EH129" i="23916"/>
  <c r="DQ572" i="23916"/>
  <c r="DQ406" i="23916"/>
  <c r="DR129" i="23916"/>
  <c r="DA572" i="23916"/>
  <c r="DA406" i="23916"/>
  <c r="DB129" i="23916"/>
  <c r="CK572" i="23916"/>
  <c r="CK406" i="23916"/>
  <c r="CL129" i="23916"/>
  <c r="AY572" i="23916"/>
  <c r="AY406" i="23916"/>
  <c r="AZ129" i="23916"/>
  <c r="FU102" i="23916"/>
  <c r="CS97" i="23916"/>
  <c r="CT93" i="23916"/>
  <c r="CS94" i="23916"/>
  <c r="CT94" i="23916" s="1"/>
  <c r="CC97" i="23916"/>
  <c r="CD93" i="23916"/>
  <c r="CC94" i="23916"/>
  <c r="CD94" i="23916" s="1"/>
  <c r="BM97" i="23916"/>
  <c r="BN93" i="23916"/>
  <c r="BM94" i="23916"/>
  <c r="BN94" i="23916" s="1"/>
  <c r="AW97" i="23916"/>
  <c r="AX93" i="23916"/>
  <c r="AW94" i="23916"/>
  <c r="AX94" i="23916" s="1"/>
  <c r="AG97" i="23916"/>
  <c r="AH93" i="23916"/>
  <c r="AG94" i="23916"/>
  <c r="AH94" i="23916" s="1"/>
  <c r="FW90" i="23916"/>
  <c r="GB85" i="23916"/>
  <c r="GE85" i="23916" s="1"/>
  <c r="FI90" i="23916"/>
  <c r="AM405" i="23916"/>
  <c r="AK97" i="23916"/>
  <c r="AL93" i="23916"/>
  <c r="AK94" i="23916"/>
  <c r="AL94" i="23916" s="1"/>
  <c r="GC70" i="23916"/>
  <c r="FL150" i="23916"/>
  <c r="FM47" i="23916"/>
  <c r="GH156" i="23916"/>
  <c r="GI156" i="23916" s="1"/>
  <c r="GC391" i="23916"/>
  <c r="FU155" i="23916"/>
  <c r="AO395" i="23916"/>
  <c r="AP390" i="23916"/>
  <c r="AE56" i="23916"/>
  <c r="AF56" i="23916" s="1"/>
  <c r="AE59" i="23916"/>
  <c r="AF55" i="23916"/>
  <c r="GC386" i="23916"/>
  <c r="BM386" i="23916"/>
  <c r="BV144" i="23916"/>
  <c r="BN144" i="23916"/>
  <c r="GC42" i="23916"/>
  <c r="GB53" i="23916"/>
  <c r="GC53" i="23916" s="1"/>
  <c r="GB55" i="23916"/>
  <c r="FT384" i="23916"/>
  <c r="FT145" i="23916"/>
  <c r="FU142" i="23916"/>
  <c r="GF30" i="23916"/>
  <c r="EB30" i="23916"/>
  <c r="FX30" i="23916"/>
  <c r="CV30" i="23916"/>
  <c r="EL25" i="23916"/>
  <c r="EK28" i="23916"/>
  <c r="EK26" i="23916"/>
  <c r="EL26" i="23916" s="1"/>
  <c r="DF26" i="23916"/>
  <c r="DE28" i="23916"/>
  <c r="GE115" i="23916"/>
  <c r="AQ572" i="23916"/>
  <c r="AQ406" i="23916"/>
  <c r="BE126" i="23916"/>
  <c r="BE129" i="23916"/>
  <c r="GP77" i="23916"/>
  <c r="GO77" i="23916"/>
  <c r="FM162" i="23916"/>
  <c r="BH156" i="23916"/>
  <c r="BC394" i="23916"/>
  <c r="BD394" i="23916" s="1"/>
  <c r="CG392" i="23916"/>
  <c r="CH150" i="23916"/>
  <c r="BI392" i="23916"/>
  <c r="BJ150" i="23916"/>
  <c r="FP156" i="23916"/>
  <c r="FQ156" i="23916" s="1"/>
  <c r="EM149" i="23916"/>
  <c r="EN46" i="23916"/>
  <c r="EO46" i="23916"/>
  <c r="DG55" i="23916"/>
  <c r="AM55" i="23916"/>
  <c r="FU385" i="23916"/>
  <c r="BN385" i="23916"/>
  <c r="DD26" i="23916"/>
  <c r="FZ26" i="23916"/>
  <c r="EO596" i="23916"/>
  <c r="EO23" i="23916"/>
  <c r="EP22" i="23916"/>
  <c r="AP49" i="23916"/>
  <c r="GE42" i="23916"/>
  <c r="DU549" i="23916"/>
  <c r="DV549" i="23916" s="1"/>
  <c r="DU546" i="23916"/>
  <c r="DU547" i="23916"/>
  <c r="DV547" i="23916" s="1"/>
  <c r="DU533" i="23916"/>
  <c r="DV533" i="23916" s="1"/>
  <c r="DV531" i="23916"/>
  <c r="BY549" i="23916"/>
  <c r="BZ549" i="23916" s="1"/>
  <c r="BY547" i="23916"/>
  <c r="BZ547" i="23916" s="1"/>
  <c r="BY546" i="23916"/>
  <c r="BZ531" i="23916"/>
  <c r="BY533" i="23916"/>
  <c r="BZ533" i="23916" s="1"/>
  <c r="R544" i="23916"/>
  <c r="P544" i="23916"/>
  <c r="CR558" i="23916"/>
  <c r="CJ558" i="23916"/>
  <c r="FZ549" i="23916"/>
  <c r="GA549" i="23916" s="1"/>
  <c r="FZ547" i="23916"/>
  <c r="GA547" i="23916" s="1"/>
  <c r="FZ546" i="23916"/>
  <c r="FZ533" i="23916"/>
  <c r="GA533" i="23916" s="1"/>
  <c r="GA531" i="23916"/>
  <c r="FJ549" i="23916"/>
  <c r="FK549" i="23916" s="1"/>
  <c r="FJ547" i="23916"/>
  <c r="FK547" i="23916" s="1"/>
  <c r="FJ546" i="23916"/>
  <c r="FJ533" i="23916"/>
  <c r="FK533" i="23916" s="1"/>
  <c r="FK531" i="23916"/>
  <c r="GE557" i="23916"/>
  <c r="FO557" i="23916"/>
  <c r="FI543" i="23916"/>
  <c r="FD543" i="23916"/>
  <c r="FE543" i="23916" s="1"/>
  <c r="BN533" i="23916"/>
  <c r="FG542" i="23916"/>
  <c r="FA521" i="23916"/>
  <c r="EX522" i="23916"/>
  <c r="EY521" i="23916"/>
  <c r="FA544" i="23916"/>
  <c r="EY544" i="23916"/>
  <c r="EY554" i="23916"/>
  <c r="FA554" i="23916"/>
  <c r="DV519" i="23916"/>
  <c r="DU521" i="23916"/>
  <c r="DF519" i="23916"/>
  <c r="DE521" i="23916"/>
  <c r="CP519" i="23916"/>
  <c r="CO521" i="23916"/>
  <c r="BZ519" i="23916"/>
  <c r="BY521" i="23916"/>
  <c r="BJ519" i="23916"/>
  <c r="BI521" i="23916"/>
  <c r="BD533" i="23916"/>
  <c r="EQ530" i="23916"/>
  <c r="EP530" i="23916"/>
  <c r="EO507" i="23916"/>
  <c r="EP507" i="23916" s="1"/>
  <c r="DG533" i="23916"/>
  <c r="DH533" i="23916" s="1"/>
  <c r="CR531" i="23916"/>
  <c r="CR546" i="23916"/>
  <c r="CB549" i="23916"/>
  <c r="FU519" i="23916"/>
  <c r="FT521" i="23916"/>
  <c r="FR555" i="23916"/>
  <c r="FS555" i="23916" s="1"/>
  <c r="FR553" i="23916"/>
  <c r="FS553" i="23916" s="1"/>
  <c r="FR554" i="23916"/>
  <c r="FS554" i="23916" s="1"/>
  <c r="FR544" i="23916"/>
  <c r="FS544" i="23916" s="1"/>
  <c r="FR543" i="23916"/>
  <c r="FS543" i="23916" s="1"/>
  <c r="FR542" i="23916"/>
  <c r="FS542" i="23916" s="1"/>
  <c r="FS518" i="23916"/>
  <c r="FJ544" i="23916"/>
  <c r="FK544" i="23916" s="1"/>
  <c r="EH542" i="23916"/>
  <c r="DY543" i="23916"/>
  <c r="DZ543" i="23916" s="1"/>
  <c r="DU543" i="23916"/>
  <c r="DQ542" i="23916"/>
  <c r="DR542" i="23916" s="1"/>
  <c r="DM543" i="23916"/>
  <c r="DN543" i="23916" s="1"/>
  <c r="DI543" i="23916"/>
  <c r="DJ543" i="23916" s="1"/>
  <c r="DE543" i="23916"/>
  <c r="DA542" i="23916"/>
  <c r="DB542" i="23916" s="1"/>
  <c r="CW543" i="23916"/>
  <c r="CX543" i="23916" s="1"/>
  <c r="CS543" i="23916"/>
  <c r="CT543" i="23916" s="1"/>
  <c r="CO543" i="23916"/>
  <c r="CK542" i="23916"/>
  <c r="CG543" i="23916"/>
  <c r="CH543" i="23916" s="1"/>
  <c r="CC542" i="23916"/>
  <c r="CD542" i="23916" s="1"/>
  <c r="BY542" i="23916"/>
  <c r="BZ542" i="23916" s="1"/>
  <c r="BF542" i="23916"/>
  <c r="BB543" i="23916"/>
  <c r="EB547" i="23916"/>
  <c r="DL549" i="23916"/>
  <c r="CU533" i="23916"/>
  <c r="CV533" i="23916" s="1"/>
  <c r="CF546" i="23916"/>
  <c r="FK526" i="23916"/>
  <c r="AW556" i="23916"/>
  <c r="AX556" i="23916" s="1"/>
  <c r="AW545" i="23916"/>
  <c r="AX545" i="23916" s="1"/>
  <c r="AX521" i="23916"/>
  <c r="AW522" i="23916"/>
  <c r="AG556" i="23916"/>
  <c r="AH556" i="23916" s="1"/>
  <c r="AG545" i="23916"/>
  <c r="AH545" i="23916" s="1"/>
  <c r="AH521" i="23916"/>
  <c r="AG522" i="23916"/>
  <c r="Q556" i="23916"/>
  <c r="R556" i="23916" s="1"/>
  <c r="Q545" i="23916"/>
  <c r="R545" i="23916" s="1"/>
  <c r="R521" i="23916"/>
  <c r="Q522" i="23916"/>
  <c r="BJ533" i="23916"/>
  <c r="EH531" i="23916"/>
  <c r="DP546" i="23916"/>
  <c r="CZ547" i="23916"/>
  <c r="FQ519" i="23916"/>
  <c r="FP521" i="23916"/>
  <c r="FP556" i="23916" s="1"/>
  <c r="FQ556" i="23916" s="1"/>
  <c r="FN555" i="23916"/>
  <c r="FO555" i="23916" s="1"/>
  <c r="FN556" i="23916"/>
  <c r="FN554" i="23916"/>
  <c r="FO554" i="23916" s="1"/>
  <c r="FN553" i="23916"/>
  <c r="FO553" i="23916" s="1"/>
  <c r="FN545" i="23916"/>
  <c r="FN544" i="23916"/>
  <c r="FO544" i="23916" s="1"/>
  <c r="FN542" i="23916"/>
  <c r="FO542" i="23916" s="1"/>
  <c r="FN543" i="23916"/>
  <c r="FO543" i="23916" s="1"/>
  <c r="FO518" i="23916"/>
  <c r="FB545" i="23916"/>
  <c r="FC545" i="23916" s="1"/>
  <c r="FR519" i="23916"/>
  <c r="FX556" i="23916"/>
  <c r="FY556" i="23916" s="1"/>
  <c r="FX554" i="23916"/>
  <c r="FY554" i="23916" s="1"/>
  <c r="FX553" i="23916"/>
  <c r="FY553" i="23916" s="1"/>
  <c r="FX555" i="23916"/>
  <c r="FY555" i="23916" s="1"/>
  <c r="FX545" i="23916"/>
  <c r="FY545" i="23916" s="1"/>
  <c r="FX544" i="23916"/>
  <c r="FY544" i="23916" s="1"/>
  <c r="FX542" i="23916"/>
  <c r="FY542" i="23916" s="1"/>
  <c r="FX543" i="23916"/>
  <c r="FY543" i="23916" s="1"/>
  <c r="FY518" i="23916"/>
  <c r="CI545" i="23916"/>
  <c r="CJ545" i="23916" s="1"/>
  <c r="BD542" i="23916"/>
  <c r="AZ544" i="23916"/>
  <c r="EK519" i="23916"/>
  <c r="EX548" i="23916"/>
  <c r="EX509" i="23916"/>
  <c r="EY508" i="23916"/>
  <c r="FA508" i="23916"/>
  <c r="CR557" i="23916"/>
  <c r="P545" i="23916"/>
  <c r="CW514" i="23916"/>
  <c r="DN508" i="23916"/>
  <c r="DM509" i="23916"/>
  <c r="DN509" i="23916" s="1"/>
  <c r="CH508" i="23916"/>
  <c r="CG509" i="23916"/>
  <c r="CH509" i="23916" s="1"/>
  <c r="BB508" i="23916"/>
  <c r="BA509" i="23916"/>
  <c r="V508" i="23916"/>
  <c r="U509" i="23916"/>
  <c r="GA510" i="23916"/>
  <c r="FK510" i="23916"/>
  <c r="GD509" i="23916"/>
  <c r="GE509" i="23916" s="1"/>
  <c r="GE508" i="23916"/>
  <c r="FN509" i="23916"/>
  <c r="FO509" i="23916" s="1"/>
  <c r="FO508" i="23916"/>
  <c r="EA523" i="23916"/>
  <c r="EB523" i="23916" s="1"/>
  <c r="EB522" i="23916"/>
  <c r="CU523" i="23916"/>
  <c r="CV523" i="23916" s="1"/>
  <c r="CV522" i="23916"/>
  <c r="BO523" i="23916"/>
  <c r="BP523" i="23916" s="1"/>
  <c r="BP522" i="23916"/>
  <c r="CC514" i="23916"/>
  <c r="EH508" i="23916"/>
  <c r="EG509" i="23916"/>
  <c r="DB508" i="23916"/>
  <c r="DA509" i="23916"/>
  <c r="DB509" i="23916" s="1"/>
  <c r="BV508" i="23916"/>
  <c r="BU509" i="23916"/>
  <c r="AP508" i="23916"/>
  <c r="AO509" i="23916"/>
  <c r="EM509" i="23916"/>
  <c r="EN509" i="23916" s="1"/>
  <c r="EN508" i="23916"/>
  <c r="EE523" i="23916"/>
  <c r="EF523" i="23916" s="1"/>
  <c r="EF522" i="23916"/>
  <c r="CY523" i="23916"/>
  <c r="CZ523" i="23916" s="1"/>
  <c r="CZ522" i="23916"/>
  <c r="BS523" i="23916"/>
  <c r="BT523" i="23916" s="1"/>
  <c r="BT522" i="23916"/>
  <c r="AQ523" i="23916"/>
  <c r="AR522" i="23916"/>
  <c r="AI523" i="23916"/>
  <c r="AJ523" i="23916" s="1"/>
  <c r="AJ522" i="23916"/>
  <c r="AA523" i="23916"/>
  <c r="AB522" i="23916"/>
  <c r="S523" i="23916"/>
  <c r="T523" i="23916" s="1"/>
  <c r="T522" i="23916"/>
  <c r="DU514" i="23916"/>
  <c r="FU510" i="23916"/>
  <c r="FE510" i="23916"/>
  <c r="FT509" i="23916"/>
  <c r="FU509" i="23916" s="1"/>
  <c r="FU508" i="23916"/>
  <c r="FD509" i="23916"/>
  <c r="FE509" i="23916" s="1"/>
  <c r="FE508" i="23916"/>
  <c r="DS523" i="23916"/>
  <c r="DT523" i="23916" s="1"/>
  <c r="DT522" i="23916"/>
  <c r="CM523" i="23916"/>
  <c r="CN523" i="23916" s="1"/>
  <c r="CN522" i="23916"/>
  <c r="BG523" i="23916"/>
  <c r="BH523" i="23916" s="1"/>
  <c r="BH522" i="23916"/>
  <c r="DZ508" i="23916"/>
  <c r="DY509" i="23916"/>
  <c r="DZ509" i="23916" s="1"/>
  <c r="CT508" i="23916"/>
  <c r="CS509" i="23916"/>
  <c r="CT509" i="23916" s="1"/>
  <c r="BN508" i="23916"/>
  <c r="BM509" i="23916"/>
  <c r="AH508" i="23916"/>
  <c r="AG509" i="23916"/>
  <c r="FG505" i="23916"/>
  <c r="GD470" i="23916"/>
  <c r="GE471" i="23916"/>
  <c r="EO459" i="23916"/>
  <c r="EN459" i="23916"/>
  <c r="FQ468" i="23916"/>
  <c r="GC471" i="23916"/>
  <c r="GB470" i="23916"/>
  <c r="GC470" i="23916" s="1"/>
  <c r="GO465" i="23916"/>
  <c r="GP465" i="23916"/>
  <c r="FO484" i="23916"/>
  <c r="FS468" i="23916"/>
  <c r="FY442" i="23916"/>
  <c r="FW442" i="23916"/>
  <c r="DU489" i="23916"/>
  <c r="ED436" i="23916"/>
  <c r="DV436" i="23916"/>
  <c r="DE489" i="23916"/>
  <c r="DF489" i="23916" s="1"/>
  <c r="DF436" i="23916"/>
  <c r="GA484" i="23916"/>
  <c r="DT442" i="23916"/>
  <c r="DD442" i="23916"/>
  <c r="CN442" i="23916"/>
  <c r="BX442" i="23916"/>
  <c r="BH442" i="23916"/>
  <c r="AR442" i="23916"/>
  <c r="FU442" i="23916"/>
  <c r="FE442" i="23916"/>
  <c r="EI489" i="23916"/>
  <c r="EJ489" i="23916" s="1"/>
  <c r="EJ436" i="23916"/>
  <c r="DS489" i="23916"/>
  <c r="DT489" i="23916" s="1"/>
  <c r="DT436" i="23916"/>
  <c r="DC489" i="23916"/>
  <c r="DD489" i="23916" s="1"/>
  <c r="DD436" i="23916"/>
  <c r="AU436" i="23916"/>
  <c r="AV433" i="23916"/>
  <c r="FL433" i="23916"/>
  <c r="FX460" i="23916"/>
  <c r="EH442" i="23916"/>
  <c r="DZ442" i="23916"/>
  <c r="DJ442" i="23916"/>
  <c r="CT442" i="23916"/>
  <c r="BJ442" i="23916"/>
  <c r="AT442" i="23916"/>
  <c r="FH436" i="23916"/>
  <c r="FI433" i="23916"/>
  <c r="EF442" i="23916"/>
  <c r="EH489" i="23916"/>
  <c r="FT436" i="23916"/>
  <c r="Q637" i="23916"/>
  <c r="R488" i="23916"/>
  <c r="Q460" i="23916"/>
  <c r="R460" i="23916" s="1"/>
  <c r="M539" i="23916"/>
  <c r="N539" i="23916" s="1"/>
  <c r="M538" i="23916"/>
  <c r="N538" i="23916" s="1"/>
  <c r="M491" i="23916"/>
  <c r="N491" i="23916" s="1"/>
  <c r="N438" i="23916"/>
  <c r="N548" i="23916"/>
  <c r="G637" i="23916"/>
  <c r="G460" i="23916"/>
  <c r="FB489" i="23916"/>
  <c r="FC489" i="23916" s="1"/>
  <c r="FC436" i="23916"/>
  <c r="CC489" i="23916"/>
  <c r="CD489" i="23916" s="1"/>
  <c r="CD436" i="23916"/>
  <c r="BL489" i="23916"/>
  <c r="AN489" i="23916"/>
  <c r="GE489" i="23916"/>
  <c r="GH489" i="23916"/>
  <c r="GI489" i="23916" s="1"/>
  <c r="GI436" i="23916"/>
  <c r="E637" i="23916"/>
  <c r="E460" i="23916"/>
  <c r="S559" i="23916"/>
  <c r="T559" i="23916" s="1"/>
  <c r="S548" i="23916"/>
  <c r="T548" i="23916" s="1"/>
  <c r="S536" i="23916"/>
  <c r="T536" i="23916" s="1"/>
  <c r="S488" i="23916"/>
  <c r="S443" i="23916"/>
  <c r="T443" i="23916" s="1"/>
  <c r="S438" i="23916"/>
  <c r="S419" i="23916"/>
  <c r="S418" i="23916"/>
  <c r="S417" i="23916"/>
  <c r="T416" i="23916"/>
  <c r="K539" i="23916"/>
  <c r="K538" i="23916"/>
  <c r="K491" i="23916"/>
  <c r="BK350" i="23916"/>
  <c r="BL344" i="23916"/>
  <c r="AU350" i="23916"/>
  <c r="AV350" i="23916" s="1"/>
  <c r="AV344" i="23916"/>
  <c r="AW339" i="23916"/>
  <c r="AW287" i="23916"/>
  <c r="FM346" i="23916"/>
  <c r="FO346" i="23916"/>
  <c r="BI352" i="23916"/>
  <c r="BE330" i="23916"/>
  <c r="BF330" i="23916" s="1"/>
  <c r="BF329" i="23916"/>
  <c r="BE333" i="23916"/>
  <c r="BF333" i="23916" s="1"/>
  <c r="AO329" i="23916"/>
  <c r="Y330" i="23916"/>
  <c r="Z330" i="23916" s="1"/>
  <c r="Z329" i="23916"/>
  <c r="Y333" i="23916"/>
  <c r="FS326" i="23916"/>
  <c r="FQ326" i="23916"/>
  <c r="GI302" i="23916"/>
  <c r="EO293" i="23916"/>
  <c r="EN293" i="23916"/>
  <c r="BF302" i="23916"/>
  <c r="AP302" i="23916"/>
  <c r="Z302" i="23916"/>
  <c r="EH264" i="23916"/>
  <c r="DR264" i="23916"/>
  <c r="DB264" i="23916"/>
  <c r="BV264" i="23916"/>
  <c r="GH394" i="23916"/>
  <c r="GI394" i="23916" s="1"/>
  <c r="GH273" i="23916"/>
  <c r="GI273" i="23916" s="1"/>
  <c r="GI263" i="23916"/>
  <c r="GH264" i="23916"/>
  <c r="FS394" i="23916"/>
  <c r="EJ394" i="23916"/>
  <c r="DT394" i="23916"/>
  <c r="DD394" i="23916"/>
  <c r="CN394" i="23916"/>
  <c r="BX394" i="23916"/>
  <c r="FW393" i="23916"/>
  <c r="AR236" i="23916"/>
  <c r="FN379" i="23916"/>
  <c r="FN378" i="23916" s="1"/>
  <c r="AT338" i="23916"/>
  <c r="AS341" i="23916"/>
  <c r="AS286" i="23916"/>
  <c r="AZ350" i="23916"/>
  <c r="FQ323" i="23916"/>
  <c r="BD330" i="23916"/>
  <c r="AM574" i="23916"/>
  <c r="AN333" i="23916"/>
  <c r="X330" i="23916"/>
  <c r="FH333" i="23916"/>
  <c r="FI329" i="23916"/>
  <c r="FH330" i="23916"/>
  <c r="GC296" i="23916"/>
  <c r="FN302" i="23916"/>
  <c r="FO302" i="23916" s="1"/>
  <c r="GH305" i="23916"/>
  <c r="EM305" i="23916"/>
  <c r="EN289" i="23916"/>
  <c r="EE574" i="23916"/>
  <c r="EE410" i="23916"/>
  <c r="EF308" i="23916"/>
  <c r="DW574" i="23916"/>
  <c r="DW410" i="23916"/>
  <c r="DX308" i="23916"/>
  <c r="DO574" i="23916"/>
  <c r="DO410" i="23916"/>
  <c r="DP308" i="23916"/>
  <c r="DG574" i="23916"/>
  <c r="DG410" i="23916"/>
  <c r="DH308" i="23916"/>
  <c r="CY574" i="23916"/>
  <c r="CY410" i="23916"/>
  <c r="CZ308" i="23916"/>
  <c r="CQ574" i="23916"/>
  <c r="CQ410" i="23916"/>
  <c r="CR308" i="23916"/>
  <c r="CI410" i="23916"/>
  <c r="CA410" i="23916"/>
  <c r="CB308" i="23916"/>
  <c r="BS574" i="23916"/>
  <c r="BS410" i="23916"/>
  <c r="BT308" i="23916"/>
  <c r="BG305" i="23916"/>
  <c r="BH289" i="23916"/>
  <c r="AA305" i="23916"/>
  <c r="AB289" i="23916"/>
  <c r="FQ288" i="23916"/>
  <c r="FS288" i="23916"/>
  <c r="AV277" i="23916"/>
  <c r="AF277" i="23916"/>
  <c r="AQ341" i="23916"/>
  <c r="AR338" i="23916"/>
  <c r="FJ338" i="23916"/>
  <c r="AQ286" i="23916"/>
  <c r="BB350" i="23916"/>
  <c r="AG352" i="23916"/>
  <c r="FI341" i="23916"/>
  <c r="FG325" i="23916"/>
  <c r="FI301" i="23916"/>
  <c r="CH393" i="23916"/>
  <c r="BK302" i="23916"/>
  <c r="BL302" i="23916" s="1"/>
  <c r="AU302" i="23916"/>
  <c r="AV302" i="23916" s="1"/>
  <c r="AE302" i="23916"/>
  <c r="AF302" i="23916" s="1"/>
  <c r="O302" i="23916"/>
  <c r="P302" i="23916" s="1"/>
  <c r="AT287" i="23916"/>
  <c r="FL287" i="23916"/>
  <c r="FM287" i="23916" s="1"/>
  <c r="AV287" i="23916"/>
  <c r="AT270" i="23916"/>
  <c r="BB270" i="23916"/>
  <c r="CA276" i="23916"/>
  <c r="CB264" i="23916"/>
  <c r="FX394" i="23916"/>
  <c r="FX273" i="23916"/>
  <c r="FY273" i="23916" s="1"/>
  <c r="FY263" i="23916"/>
  <c r="DZ394" i="23916"/>
  <c r="DJ394" i="23916"/>
  <c r="CT394" i="23916"/>
  <c r="CD394" i="23916"/>
  <c r="GJ393" i="23916"/>
  <c r="GK393" i="23916" s="1"/>
  <c r="FP393" i="23916"/>
  <c r="EE243" i="23916"/>
  <c r="EE240" i="23916"/>
  <c r="EF240" i="23916" s="1"/>
  <c r="EF239" i="23916"/>
  <c r="EE9" i="23916"/>
  <c r="EF9" i="23916" s="1"/>
  <c r="DO243" i="23916"/>
  <c r="DO240" i="23916"/>
  <c r="DP240" i="23916" s="1"/>
  <c r="DP239" i="23916"/>
  <c r="DO9" i="23916"/>
  <c r="DP9" i="23916" s="1"/>
  <c r="CY243" i="23916"/>
  <c r="CY240" i="23916"/>
  <c r="CZ240" i="23916" s="1"/>
  <c r="CZ239" i="23916"/>
  <c r="CY9" i="23916"/>
  <c r="CZ9" i="23916" s="1"/>
  <c r="CI243" i="23916"/>
  <c r="CI240" i="23916"/>
  <c r="CJ240" i="23916" s="1"/>
  <c r="CJ239" i="23916"/>
  <c r="CI9" i="23916"/>
  <c r="CJ9" i="23916" s="1"/>
  <c r="BS243" i="23916"/>
  <c r="BS240" i="23916"/>
  <c r="BT240" i="23916" s="1"/>
  <c r="BT239" i="23916"/>
  <c r="BC243" i="23916"/>
  <c r="BC240" i="23916"/>
  <c r="BD240" i="23916" s="1"/>
  <c r="BD239" i="23916"/>
  <c r="S243" i="23916"/>
  <c r="S240" i="23916"/>
  <c r="T240" i="23916" s="1"/>
  <c r="T239" i="23916"/>
  <c r="BM352" i="23916"/>
  <c r="AB355" i="23916"/>
  <c r="BH330" i="23916"/>
  <c r="AR333" i="23916"/>
  <c r="AB330" i="23916"/>
  <c r="DA305" i="23916"/>
  <c r="GK301" i="23916"/>
  <c r="GL301" i="23916"/>
  <c r="FW294" i="23916"/>
  <c r="FG294" i="23916"/>
  <c r="BM305" i="23916"/>
  <c r="BN289" i="23916"/>
  <c r="FG288" i="23916"/>
  <c r="EQ288" i="23916"/>
  <c r="EP288" i="23916"/>
  <c r="AU409" i="23916"/>
  <c r="AV280" i="23916"/>
  <c r="AE409" i="23916"/>
  <c r="AF280" i="23916"/>
  <c r="O409" i="23916"/>
  <c r="P280" i="23916"/>
  <c r="AD273" i="23916"/>
  <c r="FX264" i="23916"/>
  <c r="EM256" i="23916"/>
  <c r="EO252" i="23916"/>
  <c r="EN252" i="23916"/>
  <c r="FP239" i="23916"/>
  <c r="FQ224" i="23916"/>
  <c r="FP236" i="23916"/>
  <c r="FS236" i="23916" s="1"/>
  <c r="BN296" i="23916"/>
  <c r="EA409" i="23916"/>
  <c r="EB280" i="23916"/>
  <c r="DX277" i="23916"/>
  <c r="DK409" i="23916"/>
  <c r="DL280" i="23916"/>
  <c r="DH277" i="23916"/>
  <c r="CU409" i="23916"/>
  <c r="BO409" i="23916"/>
  <c r="BP280" i="23916"/>
  <c r="FS270" i="23916"/>
  <c r="FQ270" i="23916"/>
  <c r="CC276" i="23916"/>
  <c r="EC243" i="23916"/>
  <c r="EC240" i="23916"/>
  <c r="ED240" i="23916" s="1"/>
  <c r="ED239" i="23916"/>
  <c r="EC9" i="23916"/>
  <c r="ED9" i="23916" s="1"/>
  <c r="DN236" i="23916"/>
  <c r="CW243" i="23916"/>
  <c r="CW240" i="23916"/>
  <c r="CX240" i="23916" s="1"/>
  <c r="CX239" i="23916"/>
  <c r="CW9" i="23916"/>
  <c r="CX9" i="23916" s="1"/>
  <c r="CH236" i="23916"/>
  <c r="BQ243" i="23916"/>
  <c r="BQ240" i="23916"/>
  <c r="BR240" i="23916" s="1"/>
  <c r="BR239" i="23916"/>
  <c r="AS243" i="23916"/>
  <c r="AS240" i="23916"/>
  <c r="AT240" i="23916" s="1"/>
  <c r="AT239" i="23916"/>
  <c r="U243" i="23916"/>
  <c r="U240" i="23916"/>
  <c r="V240" i="23916" s="1"/>
  <c r="V239" i="23916"/>
  <c r="GF239" i="23916"/>
  <c r="GG224" i="23916"/>
  <c r="GF236" i="23916"/>
  <c r="EK231" i="23916"/>
  <c r="EL231" i="23916" s="1"/>
  <c r="EL227" i="23916"/>
  <c r="EQ619" i="23916"/>
  <c r="ER200" i="23916"/>
  <c r="EQ201" i="23916"/>
  <c r="ED181" i="23916"/>
  <c r="GH181" i="23916"/>
  <c r="EL181" i="23916"/>
  <c r="EJ154" i="23916"/>
  <c r="DT154" i="23916"/>
  <c r="DD154" i="23916"/>
  <c r="CN154" i="23916"/>
  <c r="BX154" i="23916"/>
  <c r="EJ152" i="23916"/>
  <c r="DT152" i="23916"/>
  <c r="DD152" i="23916"/>
  <c r="CN152" i="23916"/>
  <c r="BX152" i="23916"/>
  <c r="EE395" i="23916"/>
  <c r="EF395" i="23916" s="1"/>
  <c r="DW395" i="23916"/>
  <c r="DO395" i="23916"/>
  <c r="DP395" i="23916" s="1"/>
  <c r="DG395" i="23916"/>
  <c r="CY395" i="23916"/>
  <c r="CZ395" i="23916" s="1"/>
  <c r="CQ395" i="23916"/>
  <c r="CI395" i="23916"/>
  <c r="CJ395" i="23916" s="1"/>
  <c r="CA395" i="23916"/>
  <c r="BS395" i="23916"/>
  <c r="BT395" i="23916" s="1"/>
  <c r="BK395" i="23916"/>
  <c r="AM395" i="23916"/>
  <c r="AM398" i="23916" s="1"/>
  <c r="CJ302" i="23916"/>
  <c r="AO305" i="23916"/>
  <c r="AH289" i="23916"/>
  <c r="Y305" i="23916"/>
  <c r="R289" i="23916"/>
  <c r="CR264" i="23916"/>
  <c r="DU276" i="23916"/>
  <c r="DE276" i="23916"/>
  <c r="CO276" i="23916"/>
  <c r="AW280" i="23916"/>
  <c r="AX276" i="23916"/>
  <c r="AW277" i="23916"/>
  <c r="GJ254" i="23916"/>
  <c r="BI276" i="23916"/>
  <c r="FL277" i="23916"/>
  <c r="FL280" i="23916"/>
  <c r="FD276" i="23916"/>
  <c r="FG276" i="23916" s="1"/>
  <c r="AT231" i="23916"/>
  <c r="FZ239" i="23916"/>
  <c r="GA224" i="23916"/>
  <c r="CU209" i="23916"/>
  <c r="CV205" i="23916"/>
  <c r="CU206" i="23916"/>
  <c r="CV206" i="23916" s="1"/>
  <c r="CU8" i="23916"/>
  <c r="CV8" i="23916" s="1"/>
  <c r="CE209" i="23916"/>
  <c r="CF205" i="23916"/>
  <c r="CE206" i="23916"/>
  <c r="CF206" i="23916" s="1"/>
  <c r="BO209" i="23916"/>
  <c r="BP205" i="23916"/>
  <c r="BO206" i="23916"/>
  <c r="BP206" i="23916" s="1"/>
  <c r="AU205" i="23916"/>
  <c r="BD205" i="23916" s="1"/>
  <c r="AA209" i="23916"/>
  <c r="AB205" i="23916"/>
  <c r="AA206" i="23916"/>
  <c r="AB206" i="23916" s="1"/>
  <c r="EF203" i="23916"/>
  <c r="DP203" i="23916"/>
  <c r="CZ203" i="23916"/>
  <c r="CJ203" i="23916"/>
  <c r="BT203" i="23916"/>
  <c r="AZ203" i="23916"/>
  <c r="EK195" i="23916"/>
  <c r="EL188" i="23916"/>
  <c r="EK194" i="23916"/>
  <c r="BB181" i="23916"/>
  <c r="FK299" i="23916"/>
  <c r="Z296" i="23916"/>
  <c r="BQ410" i="23916"/>
  <c r="BR308" i="23916"/>
  <c r="GJ286" i="23916"/>
  <c r="EQ270" i="23916"/>
  <c r="EO259" i="23916"/>
  <c r="EP270" i="23916"/>
  <c r="CH273" i="23916"/>
  <c r="BR273" i="23916"/>
  <c r="BZ264" i="23916"/>
  <c r="FT272" i="23916"/>
  <c r="BF277" i="23916"/>
  <c r="BY280" i="23916"/>
  <c r="BZ276" i="23916"/>
  <c r="BY277" i="23916"/>
  <c r="GB231" i="23916"/>
  <c r="GC231" i="23916" s="1"/>
  <c r="FL231" i="23916"/>
  <c r="FM231" i="23916" s="1"/>
  <c r="DY243" i="23916"/>
  <c r="DY240" i="23916"/>
  <c r="DZ240" i="23916" s="1"/>
  <c r="DZ239" i="23916"/>
  <c r="DY9" i="23916"/>
  <c r="DZ9" i="23916" s="1"/>
  <c r="DJ236" i="23916"/>
  <c r="CS243" i="23916"/>
  <c r="CS240" i="23916"/>
  <c r="CT240" i="23916" s="1"/>
  <c r="CT239" i="23916"/>
  <c r="CS9" i="23916"/>
  <c r="CT9" i="23916" s="1"/>
  <c r="CD236" i="23916"/>
  <c r="BM243" i="23916"/>
  <c r="BM240" i="23916"/>
  <c r="BN240" i="23916" s="1"/>
  <c r="BN239" i="23916"/>
  <c r="AX236" i="23916"/>
  <c r="AO243" i="23916"/>
  <c r="AO240" i="23916"/>
  <c r="AP240" i="23916" s="1"/>
  <c r="AP239" i="23916"/>
  <c r="Q243" i="23916"/>
  <c r="Q240" i="23916"/>
  <c r="R240" i="23916" s="1"/>
  <c r="R239" i="23916"/>
  <c r="FV239" i="23916"/>
  <c r="FW224" i="23916"/>
  <c r="AI203" i="23916"/>
  <c r="AJ203" i="23916" s="1"/>
  <c r="AR197" i="23916"/>
  <c r="AJ197" i="23916"/>
  <c r="FK188" i="23916"/>
  <c r="FM188" i="23916"/>
  <c r="ED154" i="23916"/>
  <c r="DN154" i="23916"/>
  <c r="CX154" i="23916"/>
  <c r="CH154" i="23916"/>
  <c r="BR154" i="23916"/>
  <c r="BB154" i="23916"/>
  <c r="ED152" i="23916"/>
  <c r="DN152" i="23916"/>
  <c r="CX152" i="23916"/>
  <c r="CH152" i="23916"/>
  <c r="BR152" i="23916"/>
  <c r="BB152" i="23916"/>
  <c r="EC395" i="23916"/>
  <c r="ED395" i="23916" s="1"/>
  <c r="DU395" i="23916"/>
  <c r="DM395" i="23916"/>
  <c r="DM398" i="23916" s="1"/>
  <c r="DE395" i="23916"/>
  <c r="V296" i="23916"/>
  <c r="ER292" i="23916"/>
  <c r="AP273" i="23916"/>
  <c r="AX264" i="23916"/>
  <c r="AG409" i="23916"/>
  <c r="AH280" i="23916"/>
  <c r="Z277" i="23916"/>
  <c r="Q409" i="23916"/>
  <c r="R280" i="23916"/>
  <c r="BM276" i="23916"/>
  <c r="BV276" i="23916" s="1"/>
  <c r="BV256" i="23916"/>
  <c r="BN256" i="23916"/>
  <c r="EH231" i="23916"/>
  <c r="GA229" i="23916"/>
  <c r="CT231" i="23916"/>
  <c r="BF231" i="23916"/>
  <c r="GD236" i="23916"/>
  <c r="GE236" i="23916" s="1"/>
  <c r="FN236" i="23916"/>
  <c r="FO236" i="23916" s="1"/>
  <c r="FW235" i="23916"/>
  <c r="FG235" i="23916"/>
  <c r="FJ231" i="23916"/>
  <c r="FK231" i="23916" s="1"/>
  <c r="AU408" i="23916"/>
  <c r="AV243" i="23916"/>
  <c r="AU244" i="23916"/>
  <c r="AE408" i="23916"/>
  <c r="AF243" i="23916"/>
  <c r="AE244" i="23916"/>
  <c r="G572" i="23916"/>
  <c r="G408" i="23916"/>
  <c r="G244" i="23916"/>
  <c r="FD239" i="23916"/>
  <c r="FE224" i="23916"/>
  <c r="FD236" i="23916"/>
  <c r="FE236" i="23916" s="1"/>
  <c r="GI216" i="23916"/>
  <c r="GK216" i="23916"/>
  <c r="CW205" i="23916"/>
  <c r="CG205" i="23916"/>
  <c r="BQ205" i="23916"/>
  <c r="AG205" i="23916"/>
  <c r="EL203" i="23916"/>
  <c r="ED203" i="23916"/>
  <c r="CT203" i="23916"/>
  <c r="CD203" i="23916"/>
  <c r="BN203" i="23916"/>
  <c r="DV198" i="23916"/>
  <c r="DF198" i="23916"/>
  <c r="DE205" i="23916"/>
  <c r="CP198" i="23916"/>
  <c r="BZ198" i="23916"/>
  <c r="BJ198" i="23916"/>
  <c r="AT198" i="23916"/>
  <c r="GD198" i="23916"/>
  <c r="GE196" i="23916"/>
  <c r="BJ191" i="23916"/>
  <c r="BI205" i="23916"/>
  <c r="BI203" i="23916"/>
  <c r="BJ203" i="23916" s="1"/>
  <c r="AD191" i="23916"/>
  <c r="AC205" i="23916"/>
  <c r="AC203" i="23916"/>
  <c r="AD203" i="23916" s="1"/>
  <c r="BD181" i="23916"/>
  <c r="DF203" i="23916"/>
  <c r="CP181" i="23916"/>
  <c r="CZ181" i="23916"/>
  <c r="DL156" i="23916"/>
  <c r="AY394" i="23916"/>
  <c r="DX391" i="23916"/>
  <c r="DH391" i="23916"/>
  <c r="CR391" i="23916"/>
  <c r="CB391" i="23916"/>
  <c r="BL391" i="23916"/>
  <c r="AV391" i="23916"/>
  <c r="DH145" i="23916"/>
  <c r="DG159" i="23916"/>
  <c r="CB145" i="23916"/>
  <c r="CA159" i="23916"/>
  <c r="AV145" i="23916"/>
  <c r="AU159" i="23916"/>
  <c r="FI387" i="23916"/>
  <c r="FE384" i="23916"/>
  <c r="DW398" i="23916"/>
  <c r="DX387" i="23916"/>
  <c r="DG398" i="23916"/>
  <c r="DH387" i="23916"/>
  <c r="CQ398" i="23916"/>
  <c r="CR387" i="23916"/>
  <c r="CA398" i="23916"/>
  <c r="CB387" i="23916"/>
  <c r="EM613" i="23916"/>
  <c r="EO119" i="23916"/>
  <c r="EN119" i="23916"/>
  <c r="EM120" i="23916"/>
  <c r="EM113" i="23916" s="1"/>
  <c r="FJ119" i="23916"/>
  <c r="FJ117" i="23916"/>
  <c r="FK117" i="23916" s="1"/>
  <c r="FM113" i="23916"/>
  <c r="FK113" i="23916"/>
  <c r="FM84" i="23916"/>
  <c r="FJ90" i="23916"/>
  <c r="FK90" i="23916" s="1"/>
  <c r="FK84" i="23916"/>
  <c r="AI85" i="23916"/>
  <c r="AI93" i="23916" s="1"/>
  <c r="AI87" i="23916"/>
  <c r="AR81" i="23916"/>
  <c r="AJ81" i="23916"/>
  <c r="BX22" i="23916"/>
  <c r="CA26" i="23916"/>
  <c r="BD70" i="23916"/>
  <c r="BC22" i="23916"/>
  <c r="AN70" i="23916"/>
  <c r="AM22" i="23916"/>
  <c r="DH181" i="23916"/>
  <c r="FT578" i="23916"/>
  <c r="FU51" i="23916"/>
  <c r="DY392" i="23916"/>
  <c r="DZ150" i="23916"/>
  <c r="GH150" i="23916"/>
  <c r="GH49" i="23916"/>
  <c r="GI49" i="23916" s="1"/>
  <c r="GI47" i="23916"/>
  <c r="GA390" i="23916"/>
  <c r="BD152" i="23916"/>
  <c r="EO35" i="23916"/>
  <c r="EP35" i="23916" s="1"/>
  <c r="EQ33" i="23916"/>
  <c r="EQ34" i="23916"/>
  <c r="ER34" i="23916" s="1"/>
  <c r="EP33" i="23916"/>
  <c r="EO34" i="23916"/>
  <c r="EP34" i="23916" s="1"/>
  <c r="EO32" i="23916"/>
  <c r="U205" i="23916"/>
  <c r="EJ206" i="23916"/>
  <c r="EA573" i="23916"/>
  <c r="EA407" i="23916"/>
  <c r="EA210" i="23916"/>
  <c r="EB210" i="23916" s="1"/>
  <c r="EB209" i="23916"/>
  <c r="DT206" i="23916"/>
  <c r="GI176" i="23916"/>
  <c r="CV181" i="23916"/>
  <c r="DR412" i="23916"/>
  <c r="DP412" i="23916"/>
  <c r="CZ412" i="23916"/>
  <c r="CJ412" i="23916"/>
  <c r="BT412" i="23916"/>
  <c r="BD412" i="23916"/>
  <c r="AN412" i="23916"/>
  <c r="FI151" i="23916"/>
  <c r="FH156" i="23916"/>
  <c r="FI156" i="23916" s="1"/>
  <c r="CS156" i="23916"/>
  <c r="CT156" i="23916" s="1"/>
  <c r="CT151" i="23916"/>
  <c r="AT149" i="23916"/>
  <c r="AW390" i="23916"/>
  <c r="AW154" i="23916"/>
  <c r="AX154" i="23916" s="1"/>
  <c r="AW152" i="23916"/>
  <c r="AX152" i="23916" s="1"/>
  <c r="AX148" i="23916"/>
  <c r="BF148" i="23916"/>
  <c r="DR145" i="23916"/>
  <c r="DQ159" i="23916"/>
  <c r="CL145" i="23916"/>
  <c r="CK159" i="23916"/>
  <c r="BF145" i="23916"/>
  <c r="BE159" i="23916"/>
  <c r="GF385" i="23916"/>
  <c r="GG385" i="23916" s="1"/>
  <c r="GG143" i="23916"/>
  <c r="EL116" i="23916"/>
  <c r="AI102" i="23916"/>
  <c r="EB90" i="23916"/>
  <c r="DL90" i="23916"/>
  <c r="CV90" i="23916"/>
  <c r="CF90" i="23916"/>
  <c r="BP90" i="23916"/>
  <c r="AZ90" i="23916"/>
  <c r="EK83" i="23916"/>
  <c r="EK150" i="23916" s="1"/>
  <c r="EL82" i="23916"/>
  <c r="GO75" i="23916"/>
  <c r="GP75" i="23916"/>
  <c r="FT168" i="23916"/>
  <c r="FU64" i="23916"/>
  <c r="EH53" i="23916"/>
  <c r="DR53" i="23916"/>
  <c r="DB53" i="23916"/>
  <c r="CL53" i="23916"/>
  <c r="BV53" i="23916"/>
  <c r="CN49" i="23916"/>
  <c r="BX49" i="23916"/>
  <c r="BH49" i="23916"/>
  <c r="BJ42" i="23916"/>
  <c r="BI53" i="23916"/>
  <c r="BJ53" i="23916" s="1"/>
  <c r="BI55" i="23916"/>
  <c r="GG203" i="23916"/>
  <c r="DH206" i="23916"/>
  <c r="AT191" i="23916"/>
  <c r="FZ412" i="23916"/>
  <c r="GC412" i="23916" s="1"/>
  <c r="GA162" i="23916"/>
  <c r="DN412" i="23916"/>
  <c r="CX412" i="23916"/>
  <c r="CH412" i="23916"/>
  <c r="BR412" i="23916"/>
  <c r="BB412" i="23916"/>
  <c r="AL412" i="23916"/>
  <c r="EJ391" i="23916"/>
  <c r="DT391" i="23916"/>
  <c r="DD391" i="23916"/>
  <c r="CN391" i="23916"/>
  <c r="BX391" i="23916"/>
  <c r="BH391" i="23916"/>
  <c r="DP145" i="23916"/>
  <c r="DO159" i="23916"/>
  <c r="CJ145" i="23916"/>
  <c r="CI159" i="23916"/>
  <c r="BD145" i="23916"/>
  <c r="BC159" i="23916"/>
  <c r="GD384" i="23916"/>
  <c r="GD145" i="23916"/>
  <c r="GE142" i="23916"/>
  <c r="FN384" i="23916"/>
  <c r="FO142" i="23916"/>
  <c r="DZ387" i="23916"/>
  <c r="DJ387" i="23916"/>
  <c r="CT387" i="23916"/>
  <c r="CD387" i="23916"/>
  <c r="AH387" i="23916"/>
  <c r="FY115" i="23916"/>
  <c r="FX117" i="23916"/>
  <c r="FV174" i="23916"/>
  <c r="FW100" i="23916"/>
  <c r="FY100" i="23916"/>
  <c r="AR83" i="23916"/>
  <c r="AJ83" i="23916"/>
  <c r="FW83" i="23916"/>
  <c r="FK81" i="23916"/>
  <c r="FJ85" i="23916"/>
  <c r="FK85" i="23916" s="1"/>
  <c r="FJ87" i="23916"/>
  <c r="FK87" i="23916" s="1"/>
  <c r="FM81" i="23916"/>
  <c r="ER78" i="23916"/>
  <c r="FT70" i="23916"/>
  <c r="FU70" i="23916" s="1"/>
  <c r="BF70" i="23916"/>
  <c r="BE22" i="23916"/>
  <c r="AP70" i="23916"/>
  <c r="AO22" i="23916"/>
  <c r="GE168" i="23916"/>
  <c r="EC59" i="23916"/>
  <c r="ED55" i="23916"/>
  <c r="EC56" i="23916"/>
  <c r="ED56" i="23916" s="1"/>
  <c r="DM59" i="23916"/>
  <c r="DN55" i="23916"/>
  <c r="DM56" i="23916"/>
  <c r="DN56" i="23916" s="1"/>
  <c r="CW59" i="23916"/>
  <c r="CX55" i="23916"/>
  <c r="CW56" i="23916"/>
  <c r="CX56" i="23916" s="1"/>
  <c r="CG59" i="23916"/>
  <c r="CH55" i="23916"/>
  <c r="CG56" i="23916"/>
  <c r="CH56" i="23916" s="1"/>
  <c r="BQ59" i="23916"/>
  <c r="BQ56" i="23916"/>
  <c r="AG59" i="23916"/>
  <c r="AH55" i="23916"/>
  <c r="AG56" i="23916"/>
  <c r="AH56" i="23916" s="1"/>
  <c r="GD578" i="23916"/>
  <c r="GE51" i="23916"/>
  <c r="FW48" i="23916"/>
  <c r="FV151" i="23916"/>
  <c r="FV53" i="23916"/>
  <c r="FW53" i="23916" s="1"/>
  <c r="GC154" i="23916"/>
  <c r="FY390" i="23916"/>
  <c r="FJ144" i="23916"/>
  <c r="FK41" i="23916"/>
  <c r="FM41" i="23916"/>
  <c r="AZ198" i="23916"/>
  <c r="GG198" i="23916"/>
  <c r="FY198" i="23916"/>
  <c r="FQ198" i="23916"/>
  <c r="FD205" i="23916"/>
  <c r="DU205" i="23916"/>
  <c r="EM189" i="23916"/>
  <c r="CT181" i="23916"/>
  <c r="FX412" i="23916"/>
  <c r="FY162" i="23916"/>
  <c r="DL412" i="23916"/>
  <c r="BG412" i="23916"/>
  <c r="BH412" i="23916" s="1"/>
  <c r="BH162" i="23916"/>
  <c r="AR412" i="23916"/>
  <c r="ED156" i="23916"/>
  <c r="DN156" i="23916"/>
  <c r="CO156" i="23916"/>
  <c r="CP156" i="23916" s="1"/>
  <c r="CP151" i="23916"/>
  <c r="DZ391" i="23916"/>
  <c r="DJ391" i="23916"/>
  <c r="CT391" i="23916"/>
  <c r="CD391" i="23916"/>
  <c r="BN391" i="23916"/>
  <c r="AX391" i="23916"/>
  <c r="AG395" i="23916"/>
  <c r="AH395" i="23916" s="1"/>
  <c r="AH390" i="23916"/>
  <c r="DT145" i="23916"/>
  <c r="DS159" i="23916"/>
  <c r="CN145" i="23916"/>
  <c r="CM159" i="23916"/>
  <c r="BH145" i="23916"/>
  <c r="BG159" i="23916"/>
  <c r="FI145" i="23916"/>
  <c r="FH159" i="23916"/>
  <c r="FJ122" i="23916"/>
  <c r="FK122" i="23916" s="1"/>
  <c r="FM115" i="23916"/>
  <c r="FL117" i="23916"/>
  <c r="EL114" i="23916"/>
  <c r="FX176" i="23916"/>
  <c r="FY102" i="23916"/>
  <c r="GA87" i="23916"/>
  <c r="FQ128" i="23916"/>
  <c r="FR572" i="23916"/>
  <c r="FR406" i="23916"/>
  <c r="EB126" i="23916"/>
  <c r="DS572" i="23916"/>
  <c r="DS406" i="23916"/>
  <c r="DT129" i="23916"/>
  <c r="DK572" i="23916"/>
  <c r="DK406" i="23916"/>
  <c r="DL129" i="23916"/>
  <c r="CV126" i="23916"/>
  <c r="CM572" i="23916"/>
  <c r="CM406" i="23916"/>
  <c r="CN129" i="23916"/>
  <c r="CE572" i="23916"/>
  <c r="CE406" i="23916"/>
  <c r="CF129" i="23916"/>
  <c r="BX126" i="23916"/>
  <c r="BC129" i="23916"/>
  <c r="BD125" i="23916"/>
  <c r="BC126" i="23916"/>
  <c r="BD126" i="23916" s="1"/>
  <c r="FZ129" i="23916"/>
  <c r="FZ126" i="23916"/>
  <c r="CG97" i="23916"/>
  <c r="CH93" i="23916"/>
  <c r="CG94" i="23916"/>
  <c r="CH94" i="23916" s="1"/>
  <c r="BQ97" i="23916"/>
  <c r="BR93" i="23916"/>
  <c r="BQ94" i="23916"/>
  <c r="BR94" i="23916" s="1"/>
  <c r="BA97" i="23916"/>
  <c r="BB93" i="23916"/>
  <c r="BA94" i="23916"/>
  <c r="BB94" i="23916" s="1"/>
  <c r="GH85" i="23916"/>
  <c r="EE405" i="23916"/>
  <c r="EF97" i="23916"/>
  <c r="EB94" i="23916"/>
  <c r="DO405" i="23916"/>
  <c r="DP97" i="23916"/>
  <c r="DL94" i="23916"/>
  <c r="CY405" i="23916"/>
  <c r="CZ97" i="23916"/>
  <c r="CV94" i="23916"/>
  <c r="CI405" i="23916"/>
  <c r="CJ97" i="23916"/>
  <c r="CF94" i="23916"/>
  <c r="BS405" i="23916"/>
  <c r="BT97" i="23916"/>
  <c r="BP94" i="23916"/>
  <c r="BC405" i="23916"/>
  <c r="BD97" i="23916"/>
  <c r="GC162" i="23916"/>
  <c r="EJ49" i="23916"/>
  <c r="EA392" i="23916"/>
  <c r="EB150" i="23916"/>
  <c r="DD49" i="23916"/>
  <c r="AG392" i="23916"/>
  <c r="AH392" i="23916" s="1"/>
  <c r="AH150" i="23916"/>
  <c r="FZ155" i="23916"/>
  <c r="GC155" i="23916" s="1"/>
  <c r="AI51" i="23916"/>
  <c r="BC55" i="23916"/>
  <c r="BD42" i="23916"/>
  <c r="BC53" i="23916"/>
  <c r="BD53" i="23916" s="1"/>
  <c r="FN144" i="23916"/>
  <c r="FN145" i="23916" s="1"/>
  <c r="FO41" i="23916"/>
  <c r="AL384" i="23916"/>
  <c r="AK387" i="23916"/>
  <c r="FJ30" i="23916"/>
  <c r="FL25" i="23916"/>
  <c r="EH26" i="23916"/>
  <c r="EG28" i="23916"/>
  <c r="DB26" i="23916"/>
  <c r="DA28" i="23916"/>
  <c r="GB23" i="23916"/>
  <c r="GC22" i="23916"/>
  <c r="FG151" i="23916"/>
  <c r="BV126" i="23916"/>
  <c r="AN126" i="23916"/>
  <c r="BI126" i="23916"/>
  <c r="BJ126" i="23916" s="1"/>
  <c r="BI129" i="23916"/>
  <c r="BR129" i="23916" s="1"/>
  <c r="BJ125" i="23916"/>
  <c r="FH94" i="23916"/>
  <c r="FI94" i="23916" s="1"/>
  <c r="FH97" i="23916"/>
  <c r="FI93" i="23916"/>
  <c r="DY97" i="23916"/>
  <c r="DZ93" i="23916"/>
  <c r="DY94" i="23916"/>
  <c r="DZ94" i="23916" s="1"/>
  <c r="DI97" i="23916"/>
  <c r="DJ93" i="23916"/>
  <c r="DI94" i="23916"/>
  <c r="DJ94" i="23916" s="1"/>
  <c r="CB70" i="23916"/>
  <c r="CK392" i="23916"/>
  <c r="CL150" i="23916"/>
  <c r="BU392" i="23916"/>
  <c r="BV150" i="23916"/>
  <c r="BE392" i="23916"/>
  <c r="BF150" i="23916"/>
  <c r="GH55" i="23916"/>
  <c r="GI42" i="23916"/>
  <c r="GH53" i="23916"/>
  <c r="GI53" i="23916" s="1"/>
  <c r="FG53" i="23916"/>
  <c r="EA55" i="23916"/>
  <c r="DL53" i="23916"/>
  <c r="CE55" i="23916"/>
  <c r="CN55" i="23916" s="1"/>
  <c r="BP53" i="23916"/>
  <c r="AQ55" i="23916"/>
  <c r="BC385" i="23916"/>
  <c r="BD143" i="23916"/>
  <c r="EL35" i="23916"/>
  <c r="DX26" i="23916"/>
  <c r="DW28" i="23916"/>
  <c r="CR26" i="23916"/>
  <c r="CQ28" i="23916"/>
  <c r="GG27" i="23916"/>
  <c r="FY27" i="23916"/>
  <c r="FP32" i="23916"/>
  <c r="FQ27" i="23916"/>
  <c r="FZ23" i="23916"/>
  <c r="GA22" i="23916"/>
  <c r="EB156" i="23916"/>
  <c r="AX394" i="23916"/>
  <c r="FH125" i="23916"/>
  <c r="EH126" i="23916"/>
  <c r="DU572" i="23916"/>
  <c r="DU406" i="23916"/>
  <c r="DV129" i="23916"/>
  <c r="DR126" i="23916"/>
  <c r="DE572" i="23916"/>
  <c r="DE406" i="23916"/>
  <c r="DF129" i="23916"/>
  <c r="DB126" i="23916"/>
  <c r="CO572" i="23916"/>
  <c r="CO406" i="23916"/>
  <c r="CP129" i="23916"/>
  <c r="CL126" i="23916"/>
  <c r="BY572" i="23916"/>
  <c r="BY406" i="23916"/>
  <c r="BZ129" i="23916"/>
  <c r="BS572" i="23916"/>
  <c r="BS406" i="23916"/>
  <c r="FV129" i="23916"/>
  <c r="FV126" i="23916"/>
  <c r="AT89" i="23916"/>
  <c r="GI90" i="23916"/>
  <c r="FS90" i="23916"/>
  <c r="FX85" i="23916"/>
  <c r="AQ405" i="23916"/>
  <c r="FR94" i="23916"/>
  <c r="FR97" i="23916"/>
  <c r="AX51" i="23916"/>
  <c r="AV49" i="23916"/>
  <c r="GG391" i="23916"/>
  <c r="FQ391" i="23916"/>
  <c r="FN42" i="23916"/>
  <c r="BK55" i="23916"/>
  <c r="BJ143" i="23916"/>
  <c r="FZ385" i="23916"/>
  <c r="GA385" i="23916" s="1"/>
  <c r="GA143" i="23916"/>
  <c r="GB384" i="23916"/>
  <c r="GB145" i="23916"/>
  <c r="GC142" i="23916"/>
  <c r="AF145" i="23916"/>
  <c r="AE159" i="23916"/>
  <c r="DT30" i="23916"/>
  <c r="GD30" i="23916"/>
  <c r="GE30" i="23916" s="1"/>
  <c r="ED26" i="23916"/>
  <c r="EC28" i="23916"/>
  <c r="CX26" i="23916"/>
  <c r="CW28" i="23916"/>
  <c r="GF23" i="23916"/>
  <c r="GG22" i="23916"/>
  <c r="CH155" i="23916"/>
  <c r="GE117" i="23916"/>
  <c r="CR117" i="23916"/>
  <c r="FN117" i="23916"/>
  <c r="AW125" i="23916"/>
  <c r="FM108" i="23916"/>
  <c r="AT90" i="23916"/>
  <c r="FD94" i="23916"/>
  <c r="FE94" i="23916" s="1"/>
  <c r="FD97" i="23916"/>
  <c r="FE93" i="23916"/>
  <c r="DU97" i="23916"/>
  <c r="DV93" i="23916"/>
  <c r="DU94" i="23916"/>
  <c r="DV94" i="23916" s="1"/>
  <c r="DE97" i="23916"/>
  <c r="DF93" i="23916"/>
  <c r="DE94" i="23916"/>
  <c r="DF94" i="23916" s="1"/>
  <c r="CF70" i="23916"/>
  <c r="GE412" i="23916"/>
  <c r="FM412" i="23916"/>
  <c r="CX49" i="23916"/>
  <c r="AP53" i="23916"/>
  <c r="FZ150" i="23916"/>
  <c r="FZ49" i="23916"/>
  <c r="GA47" i="23916"/>
  <c r="CO392" i="23916"/>
  <c r="CP150" i="23916"/>
  <c r="FT150" i="23916"/>
  <c r="FU47" i="23916"/>
  <c r="FT49" i="23916"/>
  <c r="FU49" i="23916" s="1"/>
  <c r="BQ392" i="23916"/>
  <c r="BR150" i="23916"/>
  <c r="AK150" i="23916"/>
  <c r="AK152" i="23916" s="1"/>
  <c r="EK149" i="23916"/>
  <c r="AK578" i="23916"/>
  <c r="AL51" i="23916"/>
  <c r="EF53" i="23916"/>
  <c r="DO55" i="23916"/>
  <c r="CZ53" i="23916"/>
  <c r="CQ55" i="23916"/>
  <c r="BS55" i="23916"/>
  <c r="AU55" i="23916"/>
  <c r="BG385" i="23916"/>
  <c r="BH143" i="23916"/>
  <c r="EN40" i="23916"/>
  <c r="EM143" i="23916"/>
  <c r="EO40" i="23916"/>
  <c r="GF26" i="23916"/>
  <c r="GG26" i="23916" s="1"/>
  <c r="EB26" i="23916"/>
  <c r="FX26" i="23916"/>
  <c r="FY26" i="23916" s="1"/>
  <c r="CV26" i="23916"/>
  <c r="EA28" i="23916"/>
  <c r="FM29" i="23916"/>
  <c r="GE22" i="23916"/>
  <c r="FT34" i="23916" l="1"/>
  <c r="GK224" i="23916"/>
  <c r="EK392" i="23916"/>
  <c r="EL392" i="23916" s="1"/>
  <c r="EL150" i="23916"/>
  <c r="AJ93" i="23916"/>
  <c r="AI94" i="23916"/>
  <c r="AI97" i="23916"/>
  <c r="AR93" i="23916"/>
  <c r="EN113" i="23916"/>
  <c r="EM117" i="23916"/>
  <c r="EN117" i="23916" s="1"/>
  <c r="FP277" i="23916"/>
  <c r="FP280" i="23916"/>
  <c r="FS276" i="23916"/>
  <c r="AJ117" i="23916"/>
  <c r="AR117" i="23916"/>
  <c r="FO145" i="23916"/>
  <c r="FP59" i="23916"/>
  <c r="FP56" i="23916"/>
  <c r="FS55" i="23916"/>
  <c r="AK159" i="23916"/>
  <c r="AQ163" i="23916"/>
  <c r="AQ160" i="23916"/>
  <c r="EM385" i="23916"/>
  <c r="EN385" i="23916" s="1"/>
  <c r="EN143" i="23916"/>
  <c r="AU56" i="23916"/>
  <c r="AU59" i="23916"/>
  <c r="AV55" i="23916"/>
  <c r="DO56" i="23916"/>
  <c r="DO59" i="23916"/>
  <c r="DP55" i="23916"/>
  <c r="EK391" i="23916"/>
  <c r="EL391" i="23916" s="1"/>
  <c r="EL149" i="23916"/>
  <c r="CP392" i="23916"/>
  <c r="CO395" i="23916"/>
  <c r="FD405" i="23916"/>
  <c r="FE97" i="23916"/>
  <c r="AW126" i="23916"/>
  <c r="AW129" i="23916"/>
  <c r="AX125" i="23916"/>
  <c r="GC145" i="23916"/>
  <c r="BZ406" i="23916"/>
  <c r="CP406" i="23916"/>
  <c r="DF406" i="23916"/>
  <c r="DV406" i="23916"/>
  <c r="DW36" i="23916"/>
  <c r="DX28" i="23916"/>
  <c r="BC387" i="23916"/>
  <c r="FH405" i="23916"/>
  <c r="FI97" i="23916"/>
  <c r="EH28" i="23916"/>
  <c r="EG36" i="23916"/>
  <c r="BC56" i="23916"/>
  <c r="BD56" i="23916" s="1"/>
  <c r="BC59" i="23916"/>
  <c r="BD55" i="23916"/>
  <c r="CZ405" i="23916"/>
  <c r="CG405" i="23916"/>
  <c r="CH97" i="23916"/>
  <c r="CN406" i="23916"/>
  <c r="DL406" i="23916"/>
  <c r="FX181" i="23916"/>
  <c r="GA176" i="23916"/>
  <c r="BH159" i="23916"/>
  <c r="BG163" i="23916"/>
  <c r="BG160" i="23916"/>
  <c r="DT159" i="23916"/>
  <c r="DS7" i="23916"/>
  <c r="DS163" i="23916"/>
  <c r="DS160" i="23916"/>
  <c r="BQ571" i="23916"/>
  <c r="BQ404" i="23916"/>
  <c r="EC571" i="23916"/>
  <c r="EC404" i="23916"/>
  <c r="ED59" i="23916"/>
  <c r="BF22" i="23916"/>
  <c r="BI26" i="23916"/>
  <c r="GD587" i="23916"/>
  <c r="GD387" i="23916"/>
  <c r="GE384" i="23916"/>
  <c r="CL159" i="23916"/>
  <c r="CK163" i="23916"/>
  <c r="CK7" i="23916"/>
  <c r="CK160" i="23916"/>
  <c r="AW395" i="23916"/>
  <c r="AX395" i="23916" s="1"/>
  <c r="AX390" i="23916"/>
  <c r="BF390" i="23916"/>
  <c r="DZ392" i="23916"/>
  <c r="DY395" i="23916"/>
  <c r="AN22" i="23916"/>
  <c r="AQ26" i="23916"/>
  <c r="CA28" i="23916"/>
  <c r="AJ87" i="23916"/>
  <c r="AR87" i="23916"/>
  <c r="FK119" i="23916"/>
  <c r="FM119" i="23916"/>
  <c r="AV159" i="23916"/>
  <c r="AU160" i="23916"/>
  <c r="AU163" i="23916"/>
  <c r="DH159" i="23916"/>
  <c r="DG160" i="23916"/>
  <c r="DG7" i="23916"/>
  <c r="DG163" i="23916"/>
  <c r="AZ394" i="23916"/>
  <c r="AY395" i="23916"/>
  <c r="CG209" i="23916"/>
  <c r="CH205" i="23916"/>
  <c r="CG206" i="23916"/>
  <c r="CH206" i="23916" s="1"/>
  <c r="CG8" i="23916"/>
  <c r="CH8" i="23916" s="1"/>
  <c r="G451" i="23916"/>
  <c r="G454" i="23916" s="1"/>
  <c r="G411" i="23916"/>
  <c r="G580" i="23916" s="1"/>
  <c r="AH409" i="23916"/>
  <c r="DV395" i="23916"/>
  <c r="FV240" i="23916"/>
  <c r="FW239" i="23916"/>
  <c r="FV243" i="23916"/>
  <c r="FV9" i="23916"/>
  <c r="FW9" i="23916" s="1"/>
  <c r="DY408" i="23916"/>
  <c r="DZ243" i="23916"/>
  <c r="DY244" i="23916"/>
  <c r="FU272" i="23916"/>
  <c r="FW272" i="23916"/>
  <c r="EL195" i="23916"/>
  <c r="DU280" i="23916"/>
  <c r="DV276" i="23916"/>
  <c r="DU277" i="23916"/>
  <c r="DU10" i="23916"/>
  <c r="CR395" i="23916"/>
  <c r="DX395" i="23916"/>
  <c r="BQ408" i="23916"/>
  <c r="BR243" i="23916"/>
  <c r="BQ244" i="23916"/>
  <c r="EB409" i="23916"/>
  <c r="FP243" i="23916"/>
  <c r="FQ239" i="23916"/>
  <c r="FP240" i="23916"/>
  <c r="FY264" i="23916"/>
  <c r="FX276" i="23916"/>
  <c r="BM308" i="23916"/>
  <c r="BP305" i="23916"/>
  <c r="BS408" i="23916"/>
  <c r="BT243" i="23916"/>
  <c r="BS244" i="23916"/>
  <c r="CI408" i="23916"/>
  <c r="CJ243" i="23916"/>
  <c r="CI244" i="23916"/>
  <c r="CY408" i="23916"/>
  <c r="CZ243" i="23916"/>
  <c r="CY244" i="23916"/>
  <c r="DO408" i="23916"/>
  <c r="DP243" i="23916"/>
  <c r="DO244" i="23916"/>
  <c r="EE408" i="23916"/>
  <c r="EF243" i="23916"/>
  <c r="EE244" i="23916"/>
  <c r="FK338" i="23916"/>
  <c r="FJ341" i="23916"/>
  <c r="AA308" i="23916"/>
  <c r="AB305" i="23916"/>
  <c r="CZ410" i="23916"/>
  <c r="EF410" i="23916"/>
  <c r="GI305" i="23916"/>
  <c r="GH308" i="23916"/>
  <c r="GH11" i="23916"/>
  <c r="AT286" i="23916"/>
  <c r="AS385" i="23916"/>
  <c r="AS289" i="23916"/>
  <c r="S637" i="23916"/>
  <c r="S460" i="23916"/>
  <c r="T460" i="23916" s="1"/>
  <c r="T488" i="23916"/>
  <c r="AB523" i="23916"/>
  <c r="AR523" i="23916"/>
  <c r="EY509" i="23916"/>
  <c r="FA509" i="23916"/>
  <c r="EX546" i="23916"/>
  <c r="FR521" i="23916"/>
  <c r="FS519" i="23916"/>
  <c r="CP543" i="23916"/>
  <c r="DF543" i="23916"/>
  <c r="DV543" i="23916"/>
  <c r="FM30" i="23916"/>
  <c r="GA26" i="23916"/>
  <c r="AM56" i="23916"/>
  <c r="AN56" i="23916" s="1"/>
  <c r="AM59" i="23916"/>
  <c r="AN55" i="23916"/>
  <c r="EN149" i="23916"/>
  <c r="BF125" i="23916"/>
  <c r="EL28" i="23916"/>
  <c r="FX39" i="23916"/>
  <c r="FU145" i="23916"/>
  <c r="CC405" i="23916"/>
  <c r="CD97" i="23916"/>
  <c r="DB406" i="23916"/>
  <c r="CY36" i="23916"/>
  <c r="CZ28" i="23916"/>
  <c r="FS56" i="23916"/>
  <c r="FM85" i="23916"/>
  <c r="FL93" i="23916"/>
  <c r="DT392" i="23916"/>
  <c r="DS395" i="23916"/>
  <c r="AZ405" i="23916"/>
  <c r="CF405" i="23916"/>
  <c r="DL405" i="23916"/>
  <c r="DY209" i="23916"/>
  <c r="DZ205" i="23916"/>
  <c r="DY206" i="23916"/>
  <c r="DY8" i="23916"/>
  <c r="FP385" i="23916"/>
  <c r="FQ143" i="23916"/>
  <c r="FS143" i="23916"/>
  <c r="FL390" i="23916"/>
  <c r="FL154" i="23916"/>
  <c r="FL152" i="23916"/>
  <c r="FM148" i="23916"/>
  <c r="FJ391" i="23916"/>
  <c r="FK149" i="23916"/>
  <c r="FJ155" i="23916"/>
  <c r="FM149" i="23916"/>
  <c r="DA571" i="23916"/>
  <c r="DA404" i="23916"/>
  <c r="DB59" i="23916"/>
  <c r="BG129" i="23916"/>
  <c r="BH125" i="23916"/>
  <c r="BG126" i="23916"/>
  <c r="BP125" i="23916"/>
  <c r="DU398" i="23916"/>
  <c r="DV398" i="23916" s="1"/>
  <c r="FR159" i="23916"/>
  <c r="GH587" i="23916"/>
  <c r="GH387" i="23916"/>
  <c r="GI384" i="23916"/>
  <c r="BJ159" i="23916"/>
  <c r="BI163" i="23916"/>
  <c r="BI160" i="23916"/>
  <c r="DU163" i="23916"/>
  <c r="DV159" i="23916"/>
  <c r="DU160" i="23916"/>
  <c r="DU7" i="23916"/>
  <c r="GI412" i="23916"/>
  <c r="EO114" i="23916"/>
  <c r="EO110" i="23916"/>
  <c r="EO116" i="23916"/>
  <c r="EQ107" i="23916"/>
  <c r="EP107" i="23916"/>
  <c r="GJ107" i="23916"/>
  <c r="FF403" i="23916"/>
  <c r="FG159" i="23916"/>
  <c r="FF163" i="23916"/>
  <c r="FF160" i="23916"/>
  <c r="DX407" i="23916"/>
  <c r="EM386" i="23916"/>
  <c r="EN386" i="23916" s="1"/>
  <c r="EN144" i="23916"/>
  <c r="FO49" i="23916"/>
  <c r="FY151" i="23916"/>
  <c r="EH392" i="23916"/>
  <c r="EG395" i="23916"/>
  <c r="BB159" i="23916"/>
  <c r="BA163" i="23916"/>
  <c r="BA160" i="23916"/>
  <c r="DN159" i="23916"/>
  <c r="DM163" i="23916"/>
  <c r="DM160" i="23916"/>
  <c r="DM7" i="23916"/>
  <c r="FL573" i="23916"/>
  <c r="FL407" i="23916"/>
  <c r="FL210" i="23916"/>
  <c r="FX573" i="23916"/>
  <c r="FX407" i="23916"/>
  <c r="FX210" i="23916"/>
  <c r="GF573" i="23916"/>
  <c r="GF407" i="23916"/>
  <c r="GF210" i="23916"/>
  <c r="GG210" i="23916" s="1"/>
  <c r="FK202" i="23916"/>
  <c r="FM202" i="23916"/>
  <c r="AL203" i="23916"/>
  <c r="FO198" i="23916"/>
  <c r="FN205" i="23916"/>
  <c r="EP224" i="23916"/>
  <c r="EO230" i="23916"/>
  <c r="EP230" i="23916" s="1"/>
  <c r="AD409" i="23916"/>
  <c r="BF154" i="23916"/>
  <c r="DQ408" i="23916"/>
  <c r="DR243" i="23916"/>
  <c r="DQ244" i="23916"/>
  <c r="FO231" i="23916"/>
  <c r="DI280" i="23916"/>
  <c r="DJ276" i="23916"/>
  <c r="DI277" i="23916"/>
  <c r="DJ277" i="23916" s="1"/>
  <c r="DI10" i="23916"/>
  <c r="DJ10" i="23916" s="1"/>
  <c r="AL305" i="23916"/>
  <c r="AK308" i="23916"/>
  <c r="EN196" i="23916"/>
  <c r="M572" i="23916"/>
  <c r="M408" i="23916"/>
  <c r="N243" i="23916"/>
  <c r="M244" i="23916"/>
  <c r="BI408" i="23916"/>
  <c r="BJ243" i="23916"/>
  <c r="BI244" i="23916"/>
  <c r="CG409" i="23916"/>
  <c r="CH280" i="23916"/>
  <c r="DX409" i="23916"/>
  <c r="EL260" i="23916"/>
  <c r="EK264" i="23916"/>
  <c r="GC264" i="23916"/>
  <c r="GB276" i="23916"/>
  <c r="AJ409" i="23916"/>
  <c r="FS289" i="23916"/>
  <c r="EL305" i="23916"/>
  <c r="EK308" i="23916"/>
  <c r="EK11" i="23916"/>
  <c r="EL11" i="23916" s="1"/>
  <c r="GC394" i="23916"/>
  <c r="FO344" i="23916"/>
  <c r="FN350" i="23916"/>
  <c r="FO350" i="23916" s="1"/>
  <c r="AE305" i="23916"/>
  <c r="BL394" i="23916"/>
  <c r="EP436" i="23916"/>
  <c r="EN442" i="23916"/>
  <c r="EO442" i="23916"/>
  <c r="GG470" i="23916"/>
  <c r="EQ528" i="23916"/>
  <c r="EP528" i="23916"/>
  <c r="BJ509" i="23916"/>
  <c r="BI546" i="23916"/>
  <c r="DV509" i="23916"/>
  <c r="GJ520" i="23916"/>
  <c r="ER520" i="23916"/>
  <c r="FM519" i="23916"/>
  <c r="FL521" i="23916"/>
  <c r="FM544" i="23916"/>
  <c r="GC519" i="23916"/>
  <c r="GB521" i="23916"/>
  <c r="CP542" i="23916"/>
  <c r="DB543" i="23916"/>
  <c r="DZ542" i="23916"/>
  <c r="GA543" i="23916"/>
  <c r="GA556" i="23916"/>
  <c r="CD521" i="23916"/>
  <c r="CC522" i="23916"/>
  <c r="CC556" i="23916"/>
  <c r="CC545" i="23916"/>
  <c r="DJ521" i="23916"/>
  <c r="DI522" i="23916"/>
  <c r="DI556" i="23916"/>
  <c r="DI545" i="23916"/>
  <c r="GD546" i="23916"/>
  <c r="FX536" i="23916"/>
  <c r="FY533" i="23916"/>
  <c r="FX546" i="23916"/>
  <c r="CD549" i="23916"/>
  <c r="CL549" i="23916"/>
  <c r="CS546" i="23916"/>
  <c r="CT546" i="23916" s="1"/>
  <c r="FD546" i="23916"/>
  <c r="CI56" i="23916"/>
  <c r="CI59" i="23916"/>
  <c r="CJ55" i="23916"/>
  <c r="DN94" i="23916"/>
  <c r="CH28" i="23916"/>
  <c r="CG36" i="23916"/>
  <c r="FL159" i="23916"/>
  <c r="FP386" i="23916"/>
  <c r="FQ144" i="23916"/>
  <c r="FS144" i="23916"/>
  <c r="GG85" i="23916"/>
  <c r="GF93" i="23916"/>
  <c r="ER89" i="23916"/>
  <c r="EQ82" i="23916"/>
  <c r="CH406" i="23916"/>
  <c r="FF56" i="23916"/>
  <c r="FG56" i="23916" s="1"/>
  <c r="FF59" i="23916"/>
  <c r="FG55" i="23916"/>
  <c r="FJ390" i="23916"/>
  <c r="FJ152" i="23916"/>
  <c r="FK152" i="23916" s="1"/>
  <c r="FJ154" i="23916"/>
  <c r="FK154" i="23916" s="1"/>
  <c r="FK148" i="23916"/>
  <c r="DR94" i="23916"/>
  <c r="FP587" i="23916"/>
  <c r="FQ384" i="23916"/>
  <c r="FP387" i="23916"/>
  <c r="AV405" i="23916"/>
  <c r="CB405" i="23916"/>
  <c r="DH405" i="23916"/>
  <c r="FG405" i="23916"/>
  <c r="BJ94" i="23916"/>
  <c r="CO405" i="23916"/>
  <c r="CP97" i="23916"/>
  <c r="DD406" i="23916"/>
  <c r="BX159" i="23916"/>
  <c r="BW163" i="23916"/>
  <c r="BW160" i="23916"/>
  <c r="EJ159" i="23916"/>
  <c r="EI7" i="23916"/>
  <c r="EI163" i="23916"/>
  <c r="EI160" i="23916"/>
  <c r="GB392" i="23916"/>
  <c r="GC150" i="23916"/>
  <c r="GB152" i="23916"/>
  <c r="GB159" i="23916" s="1"/>
  <c r="BY571" i="23916"/>
  <c r="BY404" i="23916"/>
  <c r="BZ59" i="23916"/>
  <c r="DF56" i="23916"/>
  <c r="FD404" i="23916"/>
  <c r="FE59" i="23916"/>
  <c r="AH22" i="23916"/>
  <c r="BR26" i="23916"/>
  <c r="BQ28" i="23916"/>
  <c r="GG117" i="23916"/>
  <c r="GF125" i="23916"/>
  <c r="FK412" i="23916"/>
  <c r="FW172" i="23916"/>
  <c r="FY172" i="23916"/>
  <c r="EM90" i="23916"/>
  <c r="EL90" i="23916"/>
  <c r="EK84" i="23916"/>
  <c r="AP159" i="23916"/>
  <c r="AO163" i="23916"/>
  <c r="AO160" i="23916"/>
  <c r="DB159" i="23916"/>
  <c r="DA163" i="23916"/>
  <c r="DA7" i="23916"/>
  <c r="DA160" i="23916"/>
  <c r="AL155" i="23916"/>
  <c r="AT155" i="23916"/>
  <c r="DT407" i="23916"/>
  <c r="EJ407" i="23916"/>
  <c r="BC395" i="23916"/>
  <c r="DJ392" i="23916"/>
  <c r="DI395" i="23916"/>
  <c r="FK110" i="23916"/>
  <c r="FJ125" i="23916"/>
  <c r="FM110" i="23916"/>
  <c r="CR159" i="23916"/>
  <c r="CQ160" i="23916"/>
  <c r="CQ7" i="23916"/>
  <c r="CQ163" i="23916"/>
  <c r="DD156" i="23916"/>
  <c r="BY573" i="23916"/>
  <c r="BY407" i="23916"/>
  <c r="BY210" i="23916"/>
  <c r="CO573" i="23916"/>
  <c r="CO407" i="23916"/>
  <c r="CO210" i="23916"/>
  <c r="CP209" i="23916"/>
  <c r="FS239" i="23916"/>
  <c r="AN408" i="23916"/>
  <c r="AW408" i="23916"/>
  <c r="AX243" i="23916"/>
  <c r="AW244" i="23916"/>
  <c r="FM270" i="23916"/>
  <c r="GG305" i="23916"/>
  <c r="GF308" i="23916"/>
  <c r="GF11" i="23916"/>
  <c r="AR203" i="23916"/>
  <c r="AQ408" i="23916"/>
  <c r="AR243" i="23916"/>
  <c r="AQ244" i="23916"/>
  <c r="FK264" i="23916"/>
  <c r="FJ276" i="23916"/>
  <c r="FM296" i="23916"/>
  <c r="AK408" i="23916"/>
  <c r="AL243" i="23916"/>
  <c r="AK244" i="23916"/>
  <c r="GL296" i="23916"/>
  <c r="ER296" i="23916"/>
  <c r="GJ296" i="23916"/>
  <c r="GK296" i="23916" s="1"/>
  <c r="BU574" i="23916"/>
  <c r="BU410" i="23916"/>
  <c r="BV308" i="23916"/>
  <c r="BL240" i="23916"/>
  <c r="CA408" i="23916"/>
  <c r="CB243" i="23916"/>
  <c r="CA244" i="23916"/>
  <c r="CQ408" i="23916"/>
  <c r="CR243" i="23916"/>
  <c r="CQ244" i="23916"/>
  <c r="DG408" i="23916"/>
  <c r="DH243" i="23916"/>
  <c r="DG244" i="23916"/>
  <c r="DW408" i="23916"/>
  <c r="DX243" i="23916"/>
  <c r="DW244" i="23916"/>
  <c r="CJ276" i="23916"/>
  <c r="CI277" i="23916"/>
  <c r="CI280" i="23916"/>
  <c r="CI10" i="23916"/>
  <c r="CR276" i="23916"/>
  <c r="CN410" i="23916"/>
  <c r="DT410" i="23916"/>
  <c r="FJ394" i="23916"/>
  <c r="BN302" i="23916"/>
  <c r="AH330" i="23916"/>
  <c r="O539" i="23916"/>
  <c r="P539" i="23916" s="1"/>
  <c r="O538" i="23916"/>
  <c r="P538" i="23916" s="1"/>
  <c r="O491" i="23916"/>
  <c r="P491" i="23916" s="1"/>
  <c r="P438" i="23916"/>
  <c r="O480" i="23916"/>
  <c r="P480" i="23916" s="1"/>
  <c r="FV489" i="23916"/>
  <c r="FY436" i="23916"/>
  <c r="FW436" i="23916"/>
  <c r="FD489" i="23916"/>
  <c r="FE436" i="23916"/>
  <c r="FG436" i="23916"/>
  <c r="BG489" i="23916"/>
  <c r="BH436" i="23916"/>
  <c r="BP436" i="23916"/>
  <c r="DN489" i="23916"/>
  <c r="ER502" i="23916"/>
  <c r="GJ502" i="23916"/>
  <c r="DD523" i="23916"/>
  <c r="CJ523" i="23916"/>
  <c r="FG509" i="23916"/>
  <c r="FQ544" i="23916"/>
  <c r="FQ554" i="23916"/>
  <c r="GH521" i="23916"/>
  <c r="GI519" i="23916"/>
  <c r="GE542" i="23916"/>
  <c r="GE554" i="23916"/>
  <c r="Z522" i="23916"/>
  <c r="Y523" i="23916"/>
  <c r="AP522" i="23916"/>
  <c r="AO523" i="23916"/>
  <c r="GE519" i="23916"/>
  <c r="CL544" i="23916"/>
  <c r="GI544" i="23916"/>
  <c r="BR521" i="23916"/>
  <c r="BQ522" i="23916"/>
  <c r="BQ556" i="23916"/>
  <c r="BQ545" i="23916"/>
  <c r="CX521" i="23916"/>
  <c r="CW522" i="23916"/>
  <c r="CW556" i="23916"/>
  <c r="CW545" i="23916"/>
  <c r="ED521" i="23916"/>
  <c r="FM533" i="23916"/>
  <c r="FL546" i="23916"/>
  <c r="FM546" i="23916" s="1"/>
  <c r="GC549" i="23916"/>
  <c r="CH549" i="23916"/>
  <c r="CP549" i="23916"/>
  <c r="DF546" i="23916"/>
  <c r="CA56" i="23916"/>
  <c r="CA59" i="23916"/>
  <c r="CB55" i="23916"/>
  <c r="FN392" i="23916"/>
  <c r="FO150" i="23916"/>
  <c r="FP392" i="23916"/>
  <c r="FQ150" i="23916"/>
  <c r="FP152" i="23916"/>
  <c r="FS150" i="23916"/>
  <c r="FJ156" i="23916"/>
  <c r="FK156" i="23916" s="1"/>
  <c r="FK151" i="23916"/>
  <c r="BN126" i="23916"/>
  <c r="GJ23" i="23916"/>
  <c r="GK22" i="23916"/>
  <c r="GL22" i="23916"/>
  <c r="AF387" i="23916"/>
  <c r="BE405" i="23916"/>
  <c r="BF97" i="23916"/>
  <c r="CL94" i="23916"/>
  <c r="AO126" i="23916"/>
  <c r="AP126" i="23916" s="1"/>
  <c r="AO129" i="23916"/>
  <c r="AP125" i="23916"/>
  <c r="FN34" i="23916"/>
  <c r="DZ28" i="23916"/>
  <c r="DY36" i="23916"/>
  <c r="AK59" i="23916"/>
  <c r="AL55" i="23916"/>
  <c r="AK56" i="23916"/>
  <c r="AL56" i="23916" s="1"/>
  <c r="DD405" i="23916"/>
  <c r="CI129" i="23916"/>
  <c r="CJ125" i="23916"/>
  <c r="CI126" i="23916"/>
  <c r="CR125" i="23916"/>
  <c r="CD159" i="23916"/>
  <c r="CC163" i="23916"/>
  <c r="CC160" i="23916"/>
  <c r="EG209" i="23916"/>
  <c r="EH205" i="23916"/>
  <c r="EG206" i="23916"/>
  <c r="EH206" i="23916" s="1"/>
  <c r="EG8" i="23916"/>
  <c r="EH8" i="23916" s="1"/>
  <c r="CC571" i="23916"/>
  <c r="CC404" i="23916"/>
  <c r="CD59" i="23916"/>
  <c r="DJ56" i="23916"/>
  <c r="FH571" i="23916"/>
  <c r="FH404" i="23916"/>
  <c r="FI59" i="23916"/>
  <c r="FJ22" i="23916"/>
  <c r="AL22" i="23916"/>
  <c r="AO26" i="23916"/>
  <c r="BW28" i="23916"/>
  <c r="AT159" i="23916"/>
  <c r="AS163" i="23916"/>
  <c r="AS160" i="23916"/>
  <c r="DF159" i="23916"/>
  <c r="DE163" i="23916"/>
  <c r="DE160" i="23916"/>
  <c r="DE7" i="23916"/>
  <c r="EQ601" i="23916"/>
  <c r="EQ578" i="23916"/>
  <c r="ER51" i="23916"/>
  <c r="EQ52" i="23916"/>
  <c r="AZ159" i="23916"/>
  <c r="AY163" i="23916"/>
  <c r="AY160" i="23916"/>
  <c r="AZ160" i="23916" s="1"/>
  <c r="DL159" i="23916"/>
  <c r="DK7" i="23916"/>
  <c r="DK163" i="23916"/>
  <c r="DK160" i="23916"/>
  <c r="AT152" i="23916"/>
  <c r="GD392" i="23916"/>
  <c r="GE150" i="23916"/>
  <c r="GD152" i="23916"/>
  <c r="GE152" i="23916" s="1"/>
  <c r="DR392" i="23916"/>
  <c r="DQ395" i="23916"/>
  <c r="AN387" i="23916"/>
  <c r="Y573" i="23916"/>
  <c r="Y407" i="23916"/>
  <c r="Y210" i="23916"/>
  <c r="Z210" i="23916" s="1"/>
  <c r="Z209" i="23916"/>
  <c r="FB240" i="23916"/>
  <c r="FC240" i="23916" s="1"/>
  <c r="FC239" i="23916"/>
  <c r="EN235" i="23916"/>
  <c r="EO235" i="23916"/>
  <c r="EM228" i="23916"/>
  <c r="GR255" i="23916"/>
  <c r="GS255" i="23916" s="1"/>
  <c r="GQ255" i="23916"/>
  <c r="FF240" i="23916"/>
  <c r="FG239" i="23916"/>
  <c r="FF243" i="23916"/>
  <c r="DA408" i="23916"/>
  <c r="DB243" i="23916"/>
  <c r="DA244" i="23916"/>
  <c r="EH240" i="23916"/>
  <c r="BB409" i="23916"/>
  <c r="CH305" i="23916"/>
  <c r="CG308" i="23916"/>
  <c r="CG11" i="23916"/>
  <c r="CJ305" i="23916"/>
  <c r="ED410" i="23916"/>
  <c r="BG573" i="23916"/>
  <c r="BG407" i="23916"/>
  <c r="BG210" i="23916"/>
  <c r="BH209" i="23916"/>
  <c r="CR8" i="23916"/>
  <c r="GE231" i="23916"/>
  <c r="AZ152" i="23916"/>
  <c r="AZ154" i="23916"/>
  <c r="FP205" i="23916"/>
  <c r="FQ191" i="23916"/>
  <c r="FP203" i="23916"/>
  <c r="FS191" i="23916"/>
  <c r="EL230" i="23916"/>
  <c r="EF409" i="23916"/>
  <c r="EN273" i="23916"/>
  <c r="EM263" i="23916"/>
  <c r="EO273" i="23916"/>
  <c r="AR409" i="23916"/>
  <c r="FR305" i="23916"/>
  <c r="FI296" i="23916"/>
  <c r="FH394" i="23916"/>
  <c r="CT11" i="23916"/>
  <c r="CL11" i="23916"/>
  <c r="FK329" i="23916"/>
  <c r="FJ330" i="23916"/>
  <c r="FK330" i="23916" s="1"/>
  <c r="FJ333" i="23916"/>
  <c r="FK333" i="23916" s="1"/>
  <c r="AF394" i="23916"/>
  <c r="AE395" i="23916"/>
  <c r="AF395" i="23916" s="1"/>
  <c r="O572" i="23916"/>
  <c r="O408" i="23916"/>
  <c r="P243" i="23916"/>
  <c r="O244" i="23916"/>
  <c r="CF240" i="23916"/>
  <c r="CV240" i="23916"/>
  <c r="DL240" i="23916"/>
  <c r="EB240" i="23916"/>
  <c r="BL273" i="23916"/>
  <c r="BT273" i="23916"/>
  <c r="AM308" i="23916"/>
  <c r="AN305" i="23916"/>
  <c r="GE273" i="23916"/>
  <c r="AP352" i="23916"/>
  <c r="AO355" i="23916"/>
  <c r="AL333" i="23916"/>
  <c r="CL489" i="23916"/>
  <c r="CQ489" i="23916"/>
  <c r="CR436" i="23916"/>
  <c r="DP489" i="23916"/>
  <c r="DB489" i="23916"/>
  <c r="EQ510" i="23916"/>
  <c r="ER510" i="23916" s="1"/>
  <c r="ER506" i="23916"/>
  <c r="GJ506" i="23916"/>
  <c r="AT509" i="23916"/>
  <c r="AS546" i="23916"/>
  <c r="DF509" i="23916"/>
  <c r="FK509" i="23916"/>
  <c r="CR523" i="23916"/>
  <c r="EP517" i="23916"/>
  <c r="EQ517" i="23916"/>
  <c r="FU542" i="23916"/>
  <c r="FU555" i="23916"/>
  <c r="EH547" i="23916"/>
  <c r="AD545" i="23916"/>
  <c r="AT545" i="23916"/>
  <c r="FG543" i="23916"/>
  <c r="FF546" i="23916"/>
  <c r="FG546" i="23916" s="1"/>
  <c r="DR533" i="23916"/>
  <c r="DR549" i="23916"/>
  <c r="BX395" i="23916"/>
  <c r="AG410" i="23916"/>
  <c r="FM350" i="23916"/>
  <c r="FT26" i="23916"/>
  <c r="AJ390" i="23916"/>
  <c r="FS155" i="23916"/>
  <c r="EL197" i="23916"/>
  <c r="EI571" i="23916"/>
  <c r="EI404" i="23916"/>
  <c r="GD94" i="23916"/>
  <c r="GD97" i="23916"/>
  <c r="FM156" i="23916"/>
  <c r="DR276" i="23916"/>
  <c r="FK542" i="23916"/>
  <c r="BS56" i="23916"/>
  <c r="BS59" i="23916"/>
  <c r="BT55" i="23916"/>
  <c r="AK392" i="23916"/>
  <c r="AL150" i="23916"/>
  <c r="FO117" i="23916"/>
  <c r="FN125" i="23916"/>
  <c r="ED28" i="23916"/>
  <c r="EC36" i="23916"/>
  <c r="GH28" i="23916"/>
  <c r="AF159" i="23916"/>
  <c r="AE160" i="23916"/>
  <c r="AF160" i="23916" s="1"/>
  <c r="AE163" i="23916"/>
  <c r="GB587" i="23916"/>
  <c r="GC384" i="23916"/>
  <c r="GB387" i="23916"/>
  <c r="BK56" i="23916"/>
  <c r="BL56" i="23916" s="1"/>
  <c r="BK59" i="23916"/>
  <c r="BL55" i="23916"/>
  <c r="FY85" i="23916"/>
  <c r="FX93" i="23916"/>
  <c r="FP34" i="23916"/>
  <c r="FQ32" i="23916"/>
  <c r="AQ56" i="23916"/>
  <c r="AQ59" i="23916"/>
  <c r="EA56" i="23916"/>
  <c r="EA59" i="23916"/>
  <c r="EB55" i="23916"/>
  <c r="GH56" i="23916"/>
  <c r="GH59" i="23916"/>
  <c r="GI55" i="23916"/>
  <c r="BV392" i="23916"/>
  <c r="BU395" i="23916"/>
  <c r="FN386" i="23916"/>
  <c r="FO386" i="23916" s="1"/>
  <c r="FO144" i="23916"/>
  <c r="AI578" i="23916"/>
  <c r="AJ51" i="23916"/>
  <c r="CJ405" i="23916"/>
  <c r="BQ405" i="23916"/>
  <c r="BR97" i="23916"/>
  <c r="CF406" i="23916"/>
  <c r="EO189" i="23916"/>
  <c r="EN189" i="23916"/>
  <c r="EM191" i="23916"/>
  <c r="AG571" i="23916"/>
  <c r="AG404" i="23916"/>
  <c r="AH59" i="23916"/>
  <c r="DM571" i="23916"/>
  <c r="DM404" i="23916"/>
  <c r="DN59" i="23916"/>
  <c r="FN587" i="23916"/>
  <c r="FO384" i="23916"/>
  <c r="BD159" i="23916"/>
  <c r="BC160" i="23916"/>
  <c r="BD160" i="23916" s="1"/>
  <c r="BC163" i="23916"/>
  <c r="DP159" i="23916"/>
  <c r="DO160" i="23916"/>
  <c r="DP160" i="23916" s="1"/>
  <c r="DO7" i="23916"/>
  <c r="DO163" i="23916"/>
  <c r="GA412" i="23916"/>
  <c r="BI59" i="23916"/>
  <c r="BJ55" i="23916"/>
  <c r="BI56" i="23916"/>
  <c r="FU168" i="23916"/>
  <c r="FT181" i="23916"/>
  <c r="FW168" i="23916"/>
  <c r="EM83" i="23916"/>
  <c r="EL83" i="23916"/>
  <c r="AJ102" i="23916"/>
  <c r="AR102" i="23916"/>
  <c r="U209" i="23916"/>
  <c r="V205" i="23916"/>
  <c r="U206" i="23916"/>
  <c r="V206" i="23916" s="1"/>
  <c r="AJ85" i="23916"/>
  <c r="AR85" i="23916"/>
  <c r="GE198" i="23916"/>
  <c r="GD205" i="23916"/>
  <c r="CW209" i="23916"/>
  <c r="CX205" i="23916"/>
  <c r="CW206" i="23916"/>
  <c r="CX206" i="23916" s="1"/>
  <c r="CW8" i="23916"/>
  <c r="CX8" i="23916" s="1"/>
  <c r="Q452" i="23916"/>
  <c r="R452" i="23916" s="1"/>
  <c r="R409" i="23916"/>
  <c r="BY409" i="23916"/>
  <c r="EP259" i="23916"/>
  <c r="CE573" i="23916"/>
  <c r="CE407" i="23916"/>
  <c r="CE210" i="23916"/>
  <c r="CF209" i="23916"/>
  <c r="CU573" i="23916"/>
  <c r="CU407" i="23916"/>
  <c r="CU210" i="23916"/>
  <c r="CV209" i="23916"/>
  <c r="FD277" i="23916"/>
  <c r="FE277" i="23916" s="1"/>
  <c r="FD280" i="23916"/>
  <c r="FE276" i="23916"/>
  <c r="BI280" i="23916"/>
  <c r="BJ276" i="23916"/>
  <c r="BI277" i="23916"/>
  <c r="BJ277" i="23916" s="1"/>
  <c r="AW409" i="23916"/>
  <c r="AP305" i="23916"/>
  <c r="AO308" i="23916"/>
  <c r="GK181" i="23916"/>
  <c r="GI181" i="23916"/>
  <c r="GG236" i="23916"/>
  <c r="AS408" i="23916"/>
  <c r="AT243" i="23916"/>
  <c r="AS244" i="23916"/>
  <c r="CW408" i="23916"/>
  <c r="CX243" i="23916"/>
  <c r="CW244" i="23916"/>
  <c r="DL409" i="23916"/>
  <c r="AF409" i="23916"/>
  <c r="ER288" i="23916"/>
  <c r="GJ288" i="23916"/>
  <c r="DB305" i="23916"/>
  <c r="DA308" i="23916"/>
  <c r="DA11" i="23916"/>
  <c r="DD305" i="23916"/>
  <c r="BC408" i="23916"/>
  <c r="BD243" i="23916"/>
  <c r="BC244" i="23916"/>
  <c r="FQ393" i="23916"/>
  <c r="FS393" i="23916"/>
  <c r="AH352" i="23916"/>
  <c r="AG355" i="23916"/>
  <c r="AH355" i="23916" s="1"/>
  <c r="CR410" i="23916"/>
  <c r="DX410" i="23916"/>
  <c r="FH410" i="23916"/>
  <c r="AS352" i="23916"/>
  <c r="AT341" i="23916"/>
  <c r="AO330" i="23916"/>
  <c r="AP330" i="23916" s="1"/>
  <c r="AP329" i="23916"/>
  <c r="AO333" i="23916"/>
  <c r="AX287" i="23916"/>
  <c r="AZ287" i="23916"/>
  <c r="AU489" i="23916"/>
  <c r="AV436" i="23916"/>
  <c r="BD436" i="23916"/>
  <c r="DV489" i="23916"/>
  <c r="ED489" i="23916"/>
  <c r="EQ459" i="23916"/>
  <c r="EP459" i="23916"/>
  <c r="GE470" i="23916"/>
  <c r="BN509" i="23916"/>
  <c r="BM546" i="23916"/>
  <c r="AP509" i="23916"/>
  <c r="AO546" i="23916"/>
  <c r="BB509" i="23916"/>
  <c r="BA546" i="23916"/>
  <c r="BB546" i="23916" s="1"/>
  <c r="FA548" i="23916"/>
  <c r="EY548" i="23916"/>
  <c r="R522" i="23916"/>
  <c r="Q523" i="23916"/>
  <c r="R523" i="23916" s="1"/>
  <c r="AH522" i="23916"/>
  <c r="AG523" i="23916"/>
  <c r="AH523" i="23916" s="1"/>
  <c r="AX522" i="23916"/>
  <c r="AW523" i="23916"/>
  <c r="AX523" i="23916" s="1"/>
  <c r="FU521" i="23916"/>
  <c r="FT522" i="23916"/>
  <c r="ER530" i="23916"/>
  <c r="GJ530" i="23916"/>
  <c r="EQ507" i="23916"/>
  <c r="ER507" i="23916" s="1"/>
  <c r="BZ521" i="23916"/>
  <c r="BY522" i="23916"/>
  <c r="BY545" i="23916"/>
  <c r="BZ545" i="23916" s="1"/>
  <c r="BY556" i="23916"/>
  <c r="BZ556" i="23916" s="1"/>
  <c r="DF521" i="23916"/>
  <c r="DE522" i="23916"/>
  <c r="DE556" i="23916"/>
  <c r="DF556" i="23916" s="1"/>
  <c r="DE545" i="23916"/>
  <c r="DF545" i="23916" s="1"/>
  <c r="GA546" i="23916"/>
  <c r="DG56" i="23916"/>
  <c r="DG59" i="23916"/>
  <c r="DH55" i="23916"/>
  <c r="CH392" i="23916"/>
  <c r="CG395" i="23916"/>
  <c r="BE572" i="23916"/>
  <c r="BE406" i="23916"/>
  <c r="BF129" i="23916"/>
  <c r="GB28" i="23916"/>
  <c r="DF28" i="23916"/>
  <c r="DE36" i="23916"/>
  <c r="FT587" i="23916"/>
  <c r="FU384" i="23916"/>
  <c r="FT387" i="23916"/>
  <c r="AP395" i="23916"/>
  <c r="BM405" i="23916"/>
  <c r="BN97" i="23916"/>
  <c r="CL406" i="23916"/>
  <c r="CU56" i="23916"/>
  <c r="CV56" i="23916" s="1"/>
  <c r="CU59" i="23916"/>
  <c r="CV55" i="23916"/>
  <c r="EL53" i="23916"/>
  <c r="EM53" i="23916"/>
  <c r="AQ395" i="23916"/>
  <c r="AR390" i="23916"/>
  <c r="AZ390" i="23916"/>
  <c r="CC36" i="23916"/>
  <c r="AD387" i="23916"/>
  <c r="FJ55" i="23916"/>
  <c r="FK42" i="23916"/>
  <c r="CY129" i="23916"/>
  <c r="CZ125" i="23916"/>
  <c r="CY126" i="23916"/>
  <c r="DH125" i="23916"/>
  <c r="BN159" i="23916"/>
  <c r="BM163" i="23916"/>
  <c r="BM160" i="23916"/>
  <c r="DY163" i="23916"/>
  <c r="DZ159" i="23916"/>
  <c r="DY7" i="23916"/>
  <c r="DY160" i="23916"/>
  <c r="FH209" i="23916"/>
  <c r="FH206" i="23916"/>
  <c r="FI206" i="23916" s="1"/>
  <c r="FI205" i="23916"/>
  <c r="FZ156" i="23916"/>
  <c r="GA151" i="23916"/>
  <c r="GC151" i="23916"/>
  <c r="AP56" i="23916"/>
  <c r="CK571" i="23916"/>
  <c r="CK404" i="23916"/>
  <c r="CL59" i="23916"/>
  <c r="AD22" i="23916"/>
  <c r="AG26" i="23916"/>
  <c r="AE26" i="23916"/>
  <c r="FP22" i="23916"/>
  <c r="BJ22" i="23916"/>
  <c r="BM26" i="23916"/>
  <c r="FR587" i="23916"/>
  <c r="FR387" i="23916"/>
  <c r="FS384" i="23916"/>
  <c r="FM122" i="23916"/>
  <c r="BP159" i="23916"/>
  <c r="BO163" i="23916"/>
  <c r="BO160" i="23916"/>
  <c r="BP160" i="23916" s="1"/>
  <c r="EB159" i="23916"/>
  <c r="EA7" i="23916"/>
  <c r="EA163" i="23916"/>
  <c r="EA160" i="23916"/>
  <c r="EB160" i="23916" s="1"/>
  <c r="FN390" i="23916"/>
  <c r="FN152" i="23916"/>
  <c r="FO152" i="23916" s="1"/>
  <c r="FN154" i="23916"/>
  <c r="FO148" i="23916"/>
  <c r="FQ148" i="23916"/>
  <c r="FJ392" i="23916"/>
  <c r="FK392" i="23916" s="1"/>
  <c r="FK150" i="23916"/>
  <c r="AU26" i="23916"/>
  <c r="AK209" i="23916"/>
  <c r="AL205" i="23916"/>
  <c r="AK206" i="23916"/>
  <c r="AT206" i="23916" s="1"/>
  <c r="AT205" i="23916"/>
  <c r="BU573" i="23916"/>
  <c r="BU407" i="23916"/>
  <c r="BU210" i="23916"/>
  <c r="CK573" i="23916"/>
  <c r="CK407" i="23916"/>
  <c r="CK210" i="23916"/>
  <c r="DA573" i="23916"/>
  <c r="DA407" i="23916"/>
  <c r="DA210" i="23916"/>
  <c r="GP287" i="23916"/>
  <c r="GO287" i="23916"/>
  <c r="DV410" i="23916"/>
  <c r="BS573" i="23916"/>
  <c r="BS407" i="23916"/>
  <c r="BS210" i="23916"/>
  <c r="CI573" i="23916"/>
  <c r="CI407" i="23916"/>
  <c r="CI210" i="23916"/>
  <c r="CJ209" i="23916"/>
  <c r="CY573" i="23916"/>
  <c r="CY407" i="23916"/>
  <c r="CY210" i="23916"/>
  <c r="DH210" i="23916" s="1"/>
  <c r="CZ209" i="23916"/>
  <c r="DY280" i="23916"/>
  <c r="DZ276" i="23916"/>
  <c r="DY277" i="23916"/>
  <c r="DZ277" i="23916" s="1"/>
  <c r="DY10" i="23916"/>
  <c r="DZ10" i="23916" s="1"/>
  <c r="N305" i="23916"/>
  <c r="M308" i="23916"/>
  <c r="FN240" i="23916"/>
  <c r="FN243" i="23916"/>
  <c r="CO408" i="23916"/>
  <c r="CP243" i="23916"/>
  <c r="CO244" i="23916"/>
  <c r="FQ264" i="23916"/>
  <c r="FS264" i="23916"/>
  <c r="BJ305" i="23916"/>
  <c r="BI308" i="23916"/>
  <c r="FG329" i="23916"/>
  <c r="FF330" i="23916"/>
  <c r="FG330" i="23916" s="1"/>
  <c r="FF333" i="23916"/>
  <c r="FI333" i="23916" s="1"/>
  <c r="BW408" i="23916"/>
  <c r="BX243" i="23916"/>
  <c r="BW244" i="23916"/>
  <c r="CM408" i="23916"/>
  <c r="CN243" i="23916"/>
  <c r="CM244" i="23916"/>
  <c r="DC408" i="23916"/>
  <c r="DD243" i="23916"/>
  <c r="DC244" i="23916"/>
  <c r="DS408" i="23916"/>
  <c r="DT243" i="23916"/>
  <c r="DS244" i="23916"/>
  <c r="EI408" i="23916"/>
  <c r="EJ243" i="23916"/>
  <c r="EI244" i="23916"/>
  <c r="FW305" i="23916"/>
  <c r="FV308" i="23916"/>
  <c r="FV11" i="23916"/>
  <c r="FW11" i="23916" s="1"/>
  <c r="FS333" i="23916"/>
  <c r="AD333" i="23916"/>
  <c r="GK436" i="23916"/>
  <c r="AY489" i="23916"/>
  <c r="AZ489" i="23916" s="1"/>
  <c r="AZ436" i="23916"/>
  <c r="CB523" i="23916"/>
  <c r="CH542" i="23916"/>
  <c r="CT542" i="23916"/>
  <c r="DN542" i="23916"/>
  <c r="EH543" i="23916"/>
  <c r="GA542" i="23916"/>
  <c r="GA553" i="23916"/>
  <c r="EO518" i="23916"/>
  <c r="EN518" i="23916"/>
  <c r="CE36" i="23916"/>
  <c r="FT28" i="23916"/>
  <c r="CF28" i="23916"/>
  <c r="CY56" i="23916"/>
  <c r="CY59" i="23916"/>
  <c r="CZ55" i="23916"/>
  <c r="BB392" i="23916"/>
  <c r="BA395" i="23916"/>
  <c r="FW49" i="23916"/>
  <c r="FV55" i="23916"/>
  <c r="FX392" i="23916"/>
  <c r="FY150" i="23916"/>
  <c r="FX152" i="23916"/>
  <c r="EC405" i="23916"/>
  <c r="ED97" i="23916"/>
  <c r="GI30" i="23916"/>
  <c r="FL587" i="23916"/>
  <c r="AC405" i="23916"/>
  <c r="AD97" i="23916"/>
  <c r="ED406" i="23916"/>
  <c r="AR51" i="23916"/>
  <c r="AP392" i="23916"/>
  <c r="AX392" i="23916"/>
  <c r="CD392" i="23916"/>
  <c r="CC395" i="23916"/>
  <c r="DB94" i="23916"/>
  <c r="EG405" i="23916"/>
  <c r="EH97" i="23916"/>
  <c r="CL28" i="23916"/>
  <c r="CK36" i="23916"/>
  <c r="CL36" i="23916" s="1"/>
  <c r="GF59" i="23916"/>
  <c r="GF56" i="23916"/>
  <c r="DL392" i="23916"/>
  <c r="DK395" i="23916"/>
  <c r="AJ151" i="23916"/>
  <c r="AI156" i="23916"/>
  <c r="AI394" i="23916"/>
  <c r="AR151" i="23916"/>
  <c r="AT94" i="23916"/>
  <c r="BY405" i="23916"/>
  <c r="BZ97" i="23916"/>
  <c r="CV406" i="23916"/>
  <c r="EI129" i="23916"/>
  <c r="EJ125" i="23916"/>
  <c r="EI126" i="23916"/>
  <c r="EJ126" i="23916" s="1"/>
  <c r="GM76" i="23916"/>
  <c r="GN76" i="23916"/>
  <c r="GL78" i="23916"/>
  <c r="GM109" i="23916"/>
  <c r="GN109" i="23916"/>
  <c r="BL385" i="23916"/>
  <c r="BT385" i="23916"/>
  <c r="BK387" i="23916"/>
  <c r="DM209" i="23916"/>
  <c r="DN205" i="23916"/>
  <c r="DM206" i="23916"/>
  <c r="DM8" i="23916"/>
  <c r="GG390" i="23916"/>
  <c r="AC392" i="23916"/>
  <c r="AD392" i="23916" s="1"/>
  <c r="AD150" i="23916"/>
  <c r="AS571" i="23916"/>
  <c r="AS404" i="23916"/>
  <c r="AT59" i="23916"/>
  <c r="CP56" i="23916"/>
  <c r="DU571" i="23916"/>
  <c r="DU404" i="23916"/>
  <c r="DV59" i="23916"/>
  <c r="AD168" i="23916"/>
  <c r="AC181" i="23916"/>
  <c r="AD181" i="23916" s="1"/>
  <c r="BN22" i="23916"/>
  <c r="BK129" i="23916"/>
  <c r="BL125" i="23916"/>
  <c r="BK126" i="23916"/>
  <c r="BT125" i="23916"/>
  <c r="AO398" i="23916"/>
  <c r="FW145" i="23916"/>
  <c r="BT159" i="23916"/>
  <c r="BS160" i="23916"/>
  <c r="BS163" i="23916"/>
  <c r="EF159" i="23916"/>
  <c r="EE160" i="23916"/>
  <c r="EE7" i="23916"/>
  <c r="EE163" i="23916"/>
  <c r="DH407" i="23916"/>
  <c r="DI209" i="23916"/>
  <c r="DJ205" i="23916"/>
  <c r="DI206" i="23916"/>
  <c r="DJ206" i="23916" s="1"/>
  <c r="DI8" i="23916"/>
  <c r="DJ8" i="23916" s="1"/>
  <c r="AV22" i="23916"/>
  <c r="AY26" i="23916"/>
  <c r="BS398" i="23916"/>
  <c r="CY398" i="23916"/>
  <c r="CZ398" i="23916" s="1"/>
  <c r="EE398" i="23916"/>
  <c r="EF398" i="23916" s="1"/>
  <c r="FW198" i="23916"/>
  <c r="FV205" i="23916"/>
  <c r="AW573" i="23916"/>
  <c r="AW407" i="23916"/>
  <c r="AW210" i="23916"/>
  <c r="CP8" i="23916"/>
  <c r="FS240" i="23916"/>
  <c r="FG236" i="23916"/>
  <c r="AO280" i="23916"/>
  <c r="AX280" i="23916" s="1"/>
  <c r="AP276" i="23916"/>
  <c r="AO277" i="23916"/>
  <c r="AP277" i="23916" s="1"/>
  <c r="ER221" i="23916"/>
  <c r="EQ224" i="23916"/>
  <c r="GM222" i="23916"/>
  <c r="GN222" i="23916"/>
  <c r="AG408" i="23916"/>
  <c r="AH243" i="23916"/>
  <c r="AG244" i="23916"/>
  <c r="EQ625" i="23916"/>
  <c r="EQ234" i="23916"/>
  <c r="EQ227" i="23916" s="1"/>
  <c r="ER233" i="23916"/>
  <c r="AN206" i="23916"/>
  <c r="BW573" i="23916"/>
  <c r="BW407" i="23916"/>
  <c r="BW210" i="23916"/>
  <c r="BX209" i="23916"/>
  <c r="CM573" i="23916"/>
  <c r="CM407" i="23916"/>
  <c r="CM210" i="23916"/>
  <c r="CN210" i="23916" s="1"/>
  <c r="CN209" i="23916"/>
  <c r="DC573" i="23916"/>
  <c r="DC407" i="23916"/>
  <c r="DC210" i="23916"/>
  <c r="DD210" i="23916" s="1"/>
  <c r="DD209" i="23916"/>
  <c r="CW280" i="23916"/>
  <c r="CX276" i="23916"/>
  <c r="CW277" i="23916"/>
  <c r="CW10" i="23916"/>
  <c r="BX409" i="23916"/>
  <c r="DT409" i="23916"/>
  <c r="GP285" i="23916"/>
  <c r="GO285" i="23916"/>
  <c r="FI236" i="23916"/>
  <c r="X409" i="23916"/>
  <c r="AB240" i="23916"/>
  <c r="BK408" i="23916"/>
  <c r="BL243" i="23916"/>
  <c r="BK244" i="23916"/>
  <c r="CR9" i="23916"/>
  <c r="DH9" i="23916"/>
  <c r="DX9" i="23916"/>
  <c r="FW264" i="23916"/>
  <c r="FV276" i="23916"/>
  <c r="AI308" i="23916"/>
  <c r="AJ305" i="23916"/>
  <c r="BX308" i="23916"/>
  <c r="CF410" i="23916"/>
  <c r="DL410" i="23916"/>
  <c r="DS574" i="23916"/>
  <c r="FZ410" i="23916"/>
  <c r="GA264" i="23916"/>
  <c r="FZ276" i="23916"/>
  <c r="R302" i="23916"/>
  <c r="FS352" i="23916"/>
  <c r="FP355" i="23916"/>
  <c r="AX333" i="23916"/>
  <c r="FB355" i="23916"/>
  <c r="FC355" i="23916" s="1"/>
  <c r="FC352" i="23916"/>
  <c r="BD350" i="23916"/>
  <c r="BC352" i="23916"/>
  <c r="FN436" i="23916"/>
  <c r="FO433" i="23916"/>
  <c r="FQ433" i="23916"/>
  <c r="EB489" i="23916"/>
  <c r="R509" i="23916"/>
  <c r="Q546" i="23916"/>
  <c r="R546" i="23916" s="1"/>
  <c r="CD509" i="23916"/>
  <c r="BF509" i="23916"/>
  <c r="BE546" i="23916"/>
  <c r="DR509" i="23916"/>
  <c r="AZ523" i="23916"/>
  <c r="DL523" i="23916"/>
  <c r="BR509" i="23916"/>
  <c r="BQ546" i="23916"/>
  <c r="BR546" i="23916" s="1"/>
  <c r="ED509" i="23916"/>
  <c r="FP545" i="23916"/>
  <c r="FQ545" i="23916" s="1"/>
  <c r="GE544" i="23916"/>
  <c r="GE521" i="23916"/>
  <c r="GD522" i="23916"/>
  <c r="GI555" i="23916"/>
  <c r="DD533" i="23916"/>
  <c r="FB546" i="23916"/>
  <c r="FC546" i="23916" s="1"/>
  <c r="FR546" i="23916"/>
  <c r="FS546" i="23916" s="1"/>
  <c r="GC533" i="23916"/>
  <c r="GB546" i="23916"/>
  <c r="GC546" i="23916" s="1"/>
  <c r="CH533" i="23916"/>
  <c r="CX549" i="23916"/>
  <c r="DM546" i="23916"/>
  <c r="DN546" i="23916" s="1"/>
  <c r="DF549" i="23916"/>
  <c r="ER108" i="23916"/>
  <c r="GJ108" i="23916"/>
  <c r="GF28" i="23916"/>
  <c r="DV28" i="23916"/>
  <c r="DU36" i="23916"/>
  <c r="FL55" i="23916"/>
  <c r="BM59" i="23916"/>
  <c r="BN55" i="23916"/>
  <c r="BM56" i="23916"/>
  <c r="FU85" i="23916"/>
  <c r="FT93" i="23916"/>
  <c r="AO405" i="23916"/>
  <c r="AP97" i="23916"/>
  <c r="BV94" i="23916"/>
  <c r="CD406" i="23916"/>
  <c r="CT406" i="23916"/>
  <c r="DJ406" i="23916"/>
  <c r="DZ406" i="23916"/>
  <c r="X403" i="23916"/>
  <c r="CI36" i="23916"/>
  <c r="CJ28" i="23916"/>
  <c r="BB386" i="23916"/>
  <c r="BJ386" i="23916"/>
  <c r="BA587" i="23916"/>
  <c r="EJ392" i="23916"/>
  <c r="EI395" i="23916"/>
  <c r="CN405" i="23916"/>
  <c r="DO129" i="23916"/>
  <c r="DP125" i="23916"/>
  <c r="DO126" i="23916"/>
  <c r="DX125" i="23916"/>
  <c r="FF129" i="23916"/>
  <c r="FG125" i="23916"/>
  <c r="FF126" i="23916"/>
  <c r="AJ70" i="23916"/>
  <c r="AI22" i="23916"/>
  <c r="AR22" i="23916" s="1"/>
  <c r="AJ89" i="23916"/>
  <c r="AR89" i="23916"/>
  <c r="AR121" i="23916"/>
  <c r="AJ121" i="23916"/>
  <c r="FD403" i="23916"/>
  <c r="FD163" i="23916"/>
  <c r="FE163" i="23916" s="1"/>
  <c r="FD160" i="23916"/>
  <c r="FE160" i="23916" s="1"/>
  <c r="FE159" i="23916"/>
  <c r="AC152" i="23916"/>
  <c r="AL152" i="23916" s="1"/>
  <c r="AJ29" i="23916"/>
  <c r="FH29" i="23916"/>
  <c r="AI30" i="23916"/>
  <c r="AR29" i="23916"/>
  <c r="GF392" i="23916"/>
  <c r="GG392" i="23916" s="1"/>
  <c r="GG150" i="23916"/>
  <c r="GF152" i="23916"/>
  <c r="GG152" i="23916" s="1"/>
  <c r="AW571" i="23916"/>
  <c r="AW404" i="23916"/>
  <c r="AX59" i="23916"/>
  <c r="CT56" i="23916"/>
  <c r="DY571" i="23916"/>
  <c r="DY404" i="23916"/>
  <c r="DZ59" i="23916"/>
  <c r="AL168" i="23916"/>
  <c r="AT168" i="23916"/>
  <c r="AK181" i="23916"/>
  <c r="BD386" i="23916"/>
  <c r="BL386" i="23916"/>
  <c r="BC587" i="23916"/>
  <c r="FZ587" i="23916"/>
  <c r="FZ387" i="23916"/>
  <c r="BE59" i="23916"/>
  <c r="BF55" i="23916"/>
  <c r="BE56" i="23916"/>
  <c r="BF56" i="23916" s="1"/>
  <c r="BR53" i="23916"/>
  <c r="BE387" i="23916"/>
  <c r="AT154" i="23916"/>
  <c r="DP210" i="23916"/>
  <c r="AT150" i="23916"/>
  <c r="AZ22" i="23916"/>
  <c r="BC26" i="23916"/>
  <c r="AR175" i="23916"/>
  <c r="AJ175" i="23916"/>
  <c r="AI181" i="23916"/>
  <c r="CE398" i="23916"/>
  <c r="CF398" i="23916" s="1"/>
  <c r="BR159" i="23916"/>
  <c r="BQ163" i="23916"/>
  <c r="BQ160" i="23916"/>
  <c r="BR160" i="23916" s="1"/>
  <c r="EC163" i="23916"/>
  <c r="ED159" i="23916"/>
  <c r="EC160" i="23916"/>
  <c r="ED160" i="23916" s="1"/>
  <c r="EC7" i="23916"/>
  <c r="GA198" i="23916"/>
  <c r="FZ205" i="23916"/>
  <c r="AX203" i="23916"/>
  <c r="BM209" i="23916"/>
  <c r="BV209" i="23916" s="1"/>
  <c r="BN205" i="23916"/>
  <c r="BM206" i="23916"/>
  <c r="BN206" i="23916" s="1"/>
  <c r="AL409" i="23916"/>
  <c r="GM223" i="23916"/>
  <c r="GN223" i="23916"/>
  <c r="DB9" i="23916"/>
  <c r="EG408" i="23916"/>
  <c r="EH243" i="23916"/>
  <c r="EG244" i="23916"/>
  <c r="FM264" i="23916"/>
  <c r="DN410" i="23916"/>
  <c r="W573" i="23916"/>
  <c r="W407" i="23916"/>
  <c r="W210" i="23916"/>
  <c r="X210" i="23916" s="1"/>
  <c r="X209" i="23916"/>
  <c r="CB206" i="23916"/>
  <c r="CR206" i="23916"/>
  <c r="FJ239" i="23916"/>
  <c r="FK236" i="23916"/>
  <c r="FS296" i="23916"/>
  <c r="FQ296" i="23916"/>
  <c r="BZ240" i="23916"/>
  <c r="DF240" i="23916"/>
  <c r="EK239" i="23916"/>
  <c r="DP409" i="23916"/>
  <c r="FO264" i="23916"/>
  <c r="FN276" i="23916"/>
  <c r="FQ276" i="23916" s="1"/>
  <c r="GB239" i="23916"/>
  <c r="FI289" i="23916"/>
  <c r="FH305" i="23916"/>
  <c r="CK410" i="23916"/>
  <c r="CL308" i="23916"/>
  <c r="BP240" i="23916"/>
  <c r="CE408" i="23916"/>
  <c r="CF243" i="23916"/>
  <c r="CE244" i="23916"/>
  <c r="CU408" i="23916"/>
  <c r="CV243" i="23916"/>
  <c r="CU244" i="23916"/>
  <c r="DK408" i="23916"/>
  <c r="DL243" i="23916"/>
  <c r="DK244" i="23916"/>
  <c r="EA408" i="23916"/>
  <c r="EB243" i="23916"/>
  <c r="EA244" i="23916"/>
  <c r="BL276" i="23916"/>
  <c r="BK277" i="23916"/>
  <c r="BK280" i="23916"/>
  <c r="BT276" i="23916"/>
  <c r="CN276" i="23916"/>
  <c r="CM277" i="23916"/>
  <c r="CM280" i="23916"/>
  <c r="CM10" i="23916"/>
  <c r="CV276" i="23916"/>
  <c r="GE305" i="23916"/>
  <c r="GD308" i="23916"/>
  <c r="GD11" i="23916"/>
  <c r="GI393" i="23916"/>
  <c r="GE394" i="23916"/>
  <c r="U574" i="23916"/>
  <c r="V333" i="23916"/>
  <c r="BB330" i="23916"/>
  <c r="CZ436" i="23916"/>
  <c r="GJ442" i="23916"/>
  <c r="GK434" i="23916"/>
  <c r="EL466" i="23916"/>
  <c r="EK468" i="23916"/>
  <c r="GG509" i="23916"/>
  <c r="EM519" i="23916"/>
  <c r="FU544" i="23916"/>
  <c r="FU554" i="23916"/>
  <c r="FI521" i="23916"/>
  <c r="FH522" i="23916"/>
  <c r="FH556" i="23916"/>
  <c r="FH545" i="23916"/>
  <c r="FI545" i="23916" s="1"/>
  <c r="FK521" i="23916"/>
  <c r="AD556" i="23916"/>
  <c r="AT556" i="23916"/>
  <c r="FE521" i="23916"/>
  <c r="FG521" i="23916"/>
  <c r="FD556" i="23916"/>
  <c r="FD545" i="23916"/>
  <c r="FE545" i="23916" s="1"/>
  <c r="FD522" i="23916"/>
  <c r="BF521" i="23916"/>
  <c r="BE522" i="23916"/>
  <c r="BE556" i="23916"/>
  <c r="BF556" i="23916" s="1"/>
  <c r="BE545" i="23916"/>
  <c r="BF545" i="23916" s="1"/>
  <c r="CL521" i="23916"/>
  <c r="CK522" i="23916"/>
  <c r="CK556" i="23916"/>
  <c r="CL556" i="23916" s="1"/>
  <c r="CK545" i="23916"/>
  <c r="CL545" i="23916" s="1"/>
  <c r="DR521" i="23916"/>
  <c r="DQ522" i="23916"/>
  <c r="DQ556" i="23916"/>
  <c r="DR556" i="23916" s="1"/>
  <c r="DQ545" i="23916"/>
  <c r="DR545" i="23916" s="1"/>
  <c r="EY556" i="23916"/>
  <c r="FA556" i="23916"/>
  <c r="FE542" i="23916"/>
  <c r="FG549" i="23916"/>
  <c r="FQ547" i="23916"/>
  <c r="GF546" i="23916"/>
  <c r="GG546" i="23916" s="1"/>
  <c r="DB547" i="23916"/>
  <c r="FT546" i="23916"/>
  <c r="FU546" i="23916" s="1"/>
  <c r="CN395" i="23916"/>
  <c r="FW93" i="23916"/>
  <c r="FV94" i="23916"/>
  <c r="FV97" i="23916"/>
  <c r="DD36" i="23916"/>
  <c r="CM571" i="23916"/>
  <c r="CM404" i="23916"/>
  <c r="FY521" i="23916"/>
  <c r="FX522" i="23916"/>
  <c r="DC571" i="23916"/>
  <c r="DC404" i="23916"/>
  <c r="DD59" i="23916"/>
  <c r="EJ56" i="23916"/>
  <c r="FM151" i="23916"/>
  <c r="AQ573" i="23916"/>
  <c r="AQ407" i="23916"/>
  <c r="AQ210" i="23916"/>
  <c r="FT410" i="23916"/>
  <c r="BU409" i="23916"/>
  <c r="DA409" i="23916"/>
  <c r="DQ409" i="23916"/>
  <c r="DR280" i="23916"/>
  <c r="EG409" i="23916"/>
  <c r="EH280" i="23916"/>
  <c r="DV542" i="23916"/>
  <c r="CT544" i="23916"/>
  <c r="EA36" i="23916"/>
  <c r="EB28" i="23916"/>
  <c r="EJ28" i="23916"/>
  <c r="CQ56" i="23916"/>
  <c r="CR56" i="23916" s="1"/>
  <c r="CQ59" i="23916"/>
  <c r="CR55" i="23916"/>
  <c r="FT392" i="23916"/>
  <c r="FU150" i="23916"/>
  <c r="FT152" i="23916"/>
  <c r="FU152" i="23916" s="1"/>
  <c r="GA49" i="23916"/>
  <c r="FZ55" i="23916"/>
  <c r="DU405" i="23916"/>
  <c r="DV97" i="23916"/>
  <c r="FN55" i="23916"/>
  <c r="FQ55" i="23916" s="1"/>
  <c r="FO42" i="23916"/>
  <c r="FN53" i="23916"/>
  <c r="FO53" i="23916" s="1"/>
  <c r="CQ36" i="23916"/>
  <c r="CR36" i="23916" s="1"/>
  <c r="CR28" i="23916"/>
  <c r="DY405" i="23916"/>
  <c r="DZ97" i="23916"/>
  <c r="DB28" i="23916"/>
  <c r="DA36" i="23916"/>
  <c r="AL387" i="23916"/>
  <c r="BT405" i="23916"/>
  <c r="EF405" i="23916"/>
  <c r="BA405" i="23916"/>
  <c r="BB97" i="23916"/>
  <c r="BC572" i="23916"/>
  <c r="BC406" i="23916"/>
  <c r="BD129" i="23916"/>
  <c r="FH403" i="23916"/>
  <c r="FH163" i="23916"/>
  <c r="FI163" i="23916" s="1"/>
  <c r="FH160" i="23916"/>
  <c r="FI160" i="23916" s="1"/>
  <c r="FI159" i="23916"/>
  <c r="CN159" i="23916"/>
  <c r="CM7" i="23916"/>
  <c r="CM163" i="23916"/>
  <c r="CM160" i="23916"/>
  <c r="DU209" i="23916"/>
  <c r="DV205" i="23916"/>
  <c r="DU206" i="23916"/>
  <c r="DV206" i="23916" s="1"/>
  <c r="DU8" i="23916"/>
  <c r="DV8" i="23916" s="1"/>
  <c r="FJ386" i="23916"/>
  <c r="FK386" i="23916" s="1"/>
  <c r="FK144" i="23916"/>
  <c r="FM144" i="23916"/>
  <c r="BR56" i="23916"/>
  <c r="CW571" i="23916"/>
  <c r="CW404" i="23916"/>
  <c r="CX59" i="23916"/>
  <c r="AP22" i="23916"/>
  <c r="AS26" i="23916"/>
  <c r="FW174" i="23916"/>
  <c r="FY174" i="23916"/>
  <c r="AG398" i="23916"/>
  <c r="AH398" i="23916" s="1"/>
  <c r="GR75" i="23916"/>
  <c r="GQ75" i="23916"/>
  <c r="FM87" i="23916"/>
  <c r="BE163" i="23916"/>
  <c r="BE160" i="23916"/>
  <c r="DQ163" i="23916"/>
  <c r="DR159" i="23916"/>
  <c r="DQ7" i="23916"/>
  <c r="DQ160" i="23916"/>
  <c r="EB407" i="23916"/>
  <c r="EP32" i="23916"/>
  <c r="EQ35" i="23916"/>
  <c r="ER35" i="23916" s="1"/>
  <c r="ER33" i="23916"/>
  <c r="EQ32" i="23916"/>
  <c r="GH392" i="23916"/>
  <c r="GI150" i="23916"/>
  <c r="GH152" i="23916"/>
  <c r="GI152" i="23916" s="1"/>
  <c r="BD22" i="23916"/>
  <c r="BG26" i="23916"/>
  <c r="CB398" i="23916"/>
  <c r="DH398" i="23916"/>
  <c r="CB159" i="23916"/>
  <c r="CA160" i="23916"/>
  <c r="CB160" i="23916" s="1"/>
  <c r="CA163" i="23916"/>
  <c r="BI209" i="23916"/>
  <c r="BJ205" i="23916"/>
  <c r="BI206" i="23916"/>
  <c r="DE209" i="23916"/>
  <c r="DF205" i="23916"/>
  <c r="DE206" i="23916"/>
  <c r="DF206" i="23916" s="1"/>
  <c r="DE8" i="23916"/>
  <c r="DF8" i="23916" s="1"/>
  <c r="AG209" i="23916"/>
  <c r="AH205" i="23916"/>
  <c r="AG206" i="23916"/>
  <c r="AH206" i="23916" s="1"/>
  <c r="FD243" i="23916"/>
  <c r="FD240" i="23916"/>
  <c r="FE240" i="23916" s="1"/>
  <c r="FE239" i="23916"/>
  <c r="AO408" i="23916"/>
  <c r="AP243" i="23916"/>
  <c r="AO244" i="23916"/>
  <c r="BM408" i="23916"/>
  <c r="BN243" i="23916"/>
  <c r="BM244" i="23916"/>
  <c r="ER270" i="23916"/>
  <c r="EL194" i="23916"/>
  <c r="EK198" i="23916"/>
  <c r="AA573" i="23916"/>
  <c r="AA407" i="23916"/>
  <c r="AA210" i="23916"/>
  <c r="AB210" i="23916" s="1"/>
  <c r="AB209" i="23916"/>
  <c r="BO573" i="23916"/>
  <c r="BO407" i="23916"/>
  <c r="BO210" i="23916"/>
  <c r="BP210" i="23916" s="1"/>
  <c r="BP209" i="23916"/>
  <c r="GL254" i="23916"/>
  <c r="GK254" i="23916"/>
  <c r="CO280" i="23916"/>
  <c r="CP276" i="23916"/>
  <c r="CO277" i="23916"/>
  <c r="CP277" i="23916" s="1"/>
  <c r="CO10" i="23916"/>
  <c r="CP10" i="23916" s="1"/>
  <c r="CB395" i="23916"/>
  <c r="DH395" i="23916"/>
  <c r="U572" i="23916"/>
  <c r="U408" i="23916"/>
  <c r="V243" i="23916"/>
  <c r="U244" i="23916"/>
  <c r="EC408" i="23916"/>
  <c r="ED243" i="23916"/>
  <c r="EC244" i="23916"/>
  <c r="FQ236" i="23916"/>
  <c r="EO256" i="23916"/>
  <c r="EP252" i="23916"/>
  <c r="EQ252" i="23916"/>
  <c r="GJ252" i="23916"/>
  <c r="S572" i="23916"/>
  <c r="S408" i="23916"/>
  <c r="T243" i="23916"/>
  <c r="S244" i="23916"/>
  <c r="AQ352" i="23916"/>
  <c r="AR341" i="23916"/>
  <c r="BG308" i="23916"/>
  <c r="BH305" i="23916"/>
  <c r="CJ410" i="23916"/>
  <c r="DP410" i="23916"/>
  <c r="GI264" i="23916"/>
  <c r="GH276" i="23916"/>
  <c r="EQ293" i="23916"/>
  <c r="EP293" i="23916"/>
  <c r="GJ293" i="23916"/>
  <c r="EO302" i="23916"/>
  <c r="Y574" i="23916"/>
  <c r="Z333" i="23916"/>
  <c r="BI355" i="23916"/>
  <c r="BF339" i="23916"/>
  <c r="AX339" i="23916"/>
  <c r="AW338" i="23916"/>
  <c r="FL339" i="23916"/>
  <c r="BL350" i="23916"/>
  <c r="BK352" i="23916"/>
  <c r="S539" i="23916"/>
  <c r="T539" i="23916" s="1"/>
  <c r="S538" i="23916"/>
  <c r="T538" i="23916" s="1"/>
  <c r="S491" i="23916"/>
  <c r="T491" i="23916" s="1"/>
  <c r="T438" i="23916"/>
  <c r="S480" i="23916"/>
  <c r="T480" i="23916" s="1"/>
  <c r="FT489" i="23916"/>
  <c r="GQ465" i="23916"/>
  <c r="GR465" i="23916"/>
  <c r="EK521" i="23916"/>
  <c r="EL519" i="23916"/>
  <c r="CR545" i="23916"/>
  <c r="EY522" i="23916"/>
  <c r="FA522" i="23916"/>
  <c r="EX523" i="23916"/>
  <c r="BZ546" i="23916"/>
  <c r="EQ46" i="23916"/>
  <c r="EP46" i="23916"/>
  <c r="EO149" i="23916"/>
  <c r="GQ77" i="23916"/>
  <c r="GR77" i="23916"/>
  <c r="BF126" i="23916"/>
  <c r="BR126" i="23916"/>
  <c r="EK29" i="23916"/>
  <c r="GG30" i="23916"/>
  <c r="GB59" i="23916"/>
  <c r="GC55" i="23916"/>
  <c r="GB56" i="23916"/>
  <c r="AE404" i="23916"/>
  <c r="AF59" i="23916"/>
  <c r="AW405" i="23916"/>
  <c r="AX97" i="23916"/>
  <c r="AZ406" i="23916"/>
  <c r="EH406" i="23916"/>
  <c r="EE36" i="23916"/>
  <c r="EF28" i="23916"/>
  <c r="FS156" i="23916"/>
  <c r="AV406" i="23916"/>
  <c r="GG145" i="23916"/>
  <c r="GF159" i="23916"/>
  <c r="AI392" i="23916"/>
  <c r="AJ150" i="23916"/>
  <c r="AR150" i="23916"/>
  <c r="BP405" i="23916"/>
  <c r="CV405" i="23916"/>
  <c r="EB405" i="23916"/>
  <c r="CB406" i="23916"/>
  <c r="EE129" i="23916"/>
  <c r="EF125" i="23916"/>
  <c r="EE126" i="23916"/>
  <c r="EF126" i="23916" s="1"/>
  <c r="FJ93" i="23916"/>
  <c r="FK78" i="23916"/>
  <c r="FM78" i="23916"/>
  <c r="FQ117" i="23916"/>
  <c r="FP125" i="23916"/>
  <c r="FS117" i="23916"/>
  <c r="CX156" i="23916"/>
  <c r="BU571" i="23916"/>
  <c r="BU404" i="23916"/>
  <c r="BV59" i="23916"/>
  <c r="EG571" i="23916"/>
  <c r="EG404" i="23916"/>
  <c r="EH59" i="23916"/>
  <c r="AR110" i="23916"/>
  <c r="AJ110" i="23916"/>
  <c r="AI125" i="23916"/>
  <c r="AJ177" i="23916"/>
  <c r="AR177" i="23916"/>
  <c r="DE398" i="23916"/>
  <c r="DN398" i="23916" s="1"/>
  <c r="V159" i="23916"/>
  <c r="U163" i="23916"/>
  <c r="U160" i="23916"/>
  <c r="V160" i="23916" s="1"/>
  <c r="CP159" i="23916"/>
  <c r="CO163" i="23916"/>
  <c r="CO160" i="23916"/>
  <c r="CO7" i="23916"/>
  <c r="EN110" i="23916"/>
  <c r="EM125" i="23916"/>
  <c r="EL117" i="23916"/>
  <c r="EK125" i="23916"/>
  <c r="DB156" i="23916"/>
  <c r="FN578" i="23916"/>
  <c r="FO51" i="23916"/>
  <c r="DB392" i="23916"/>
  <c r="DA395" i="23916"/>
  <c r="CN398" i="23916"/>
  <c r="CH159" i="23916"/>
  <c r="CG163" i="23916"/>
  <c r="CG160" i="23916"/>
  <c r="CG7" i="23916"/>
  <c r="DL407" i="23916"/>
  <c r="GI198" i="23916"/>
  <c r="GH205" i="23916"/>
  <c r="AS573" i="23916"/>
  <c r="AS407" i="23916"/>
  <c r="AS210" i="23916"/>
  <c r="AT209" i="23916"/>
  <c r="GK221" i="23916"/>
  <c r="GL221" i="23916"/>
  <c r="M452" i="23916"/>
  <c r="N452" i="23916" s="1"/>
  <c r="N409" i="23916"/>
  <c r="BC308" i="23916"/>
  <c r="BE408" i="23916"/>
  <c r="BF243" i="23916"/>
  <c r="BE244" i="23916"/>
  <c r="GL253" i="23916"/>
  <c r="GK253" i="23916"/>
  <c r="DF410" i="23916"/>
  <c r="AY573" i="23916"/>
  <c r="AY407" i="23916"/>
  <c r="AY210" i="23916"/>
  <c r="AZ210" i="23916" s="1"/>
  <c r="AZ209" i="23916"/>
  <c r="DH8" i="23916"/>
  <c r="CZ8" i="23916"/>
  <c r="GI236" i="23916"/>
  <c r="AT409" i="23916"/>
  <c r="V305" i="23916"/>
  <c r="U308" i="23916"/>
  <c r="EO188" i="23916"/>
  <c r="EQ185" i="23916"/>
  <c r="EO196" i="23916"/>
  <c r="EP196" i="23916" s="1"/>
  <c r="GJ185" i="23916"/>
  <c r="FB398" i="23916"/>
  <c r="FC398" i="23916" s="1"/>
  <c r="FC387" i="23916"/>
  <c r="DU408" i="23916"/>
  <c r="DV243" i="23916"/>
  <c r="DU244" i="23916"/>
  <c r="CH277" i="23916"/>
  <c r="DH409" i="23916"/>
  <c r="EN272" i="23916"/>
  <c r="EM260" i="23916"/>
  <c r="EO272" i="23916"/>
  <c r="S452" i="23916"/>
  <c r="T452" i="23916" s="1"/>
  <c r="T409" i="23916"/>
  <c r="AZ409" i="23916"/>
  <c r="DZ11" i="23916"/>
  <c r="DR11" i="23916"/>
  <c r="FO329" i="23916"/>
  <c r="FN330" i="23916"/>
  <c r="FO330" i="23916" s="1"/>
  <c r="FN333" i="23916"/>
  <c r="FO333" i="23916" s="1"/>
  <c r="BG408" i="23916"/>
  <c r="BH243" i="23916"/>
  <c r="BG244" i="23916"/>
  <c r="CF276" i="23916"/>
  <c r="CE277" i="23916"/>
  <c r="CF277" i="23916" s="1"/>
  <c r="CE280" i="23916"/>
  <c r="O305" i="23916"/>
  <c r="BK305" i="23916"/>
  <c r="FS330" i="23916"/>
  <c r="FQ330" i="23916"/>
  <c r="BG355" i="23916"/>
  <c r="FW273" i="23916"/>
  <c r="M574" i="23916"/>
  <c r="N333" i="23916"/>
  <c r="CI489" i="23916"/>
  <c r="CJ436" i="23916"/>
  <c r="AD509" i="23916"/>
  <c r="AC546" i="23916"/>
  <c r="CP509" i="23916"/>
  <c r="DR543" i="23916"/>
  <c r="GA544" i="23916"/>
  <c r="GA554" i="23916"/>
  <c r="BN521" i="23916"/>
  <c r="BM522" i="23916"/>
  <c r="BM556" i="23916"/>
  <c r="BN556" i="23916" s="1"/>
  <c r="BM545" i="23916"/>
  <c r="BN545" i="23916" s="1"/>
  <c r="CT521" i="23916"/>
  <c r="CS522" i="23916"/>
  <c r="CS556" i="23916"/>
  <c r="CT556" i="23916" s="1"/>
  <c r="CS545" i="23916"/>
  <c r="CT545" i="23916" s="1"/>
  <c r="DZ521" i="23916"/>
  <c r="DY522" i="23916"/>
  <c r="DY556" i="23916"/>
  <c r="DZ556" i="23916" s="1"/>
  <c r="DY545" i="23916"/>
  <c r="DZ545" i="23916" s="1"/>
  <c r="DY546" i="23916"/>
  <c r="GE53" i="23916"/>
  <c r="CN28" i="23916"/>
  <c r="EE56" i="23916"/>
  <c r="EE59" i="23916"/>
  <c r="EF55" i="23916"/>
  <c r="FV392" i="23916"/>
  <c r="FW150" i="23916"/>
  <c r="FV152" i="23916"/>
  <c r="FW152" i="23916" s="1"/>
  <c r="DM405" i="23916"/>
  <c r="DN97" i="23916"/>
  <c r="FW26" i="23916"/>
  <c r="FT55" i="23916"/>
  <c r="GI385" i="23916"/>
  <c r="BL53" i="23916"/>
  <c r="AF93" i="23916"/>
  <c r="AE94" i="23916"/>
  <c r="AE97" i="23916"/>
  <c r="AN93" i="23916"/>
  <c r="DN406" i="23916"/>
  <c r="FL32" i="23916"/>
  <c r="BO56" i="23916"/>
  <c r="BO59" i="23916"/>
  <c r="BP55" i="23916"/>
  <c r="FJ578" i="23916"/>
  <c r="FK51" i="23916"/>
  <c r="DQ405" i="23916"/>
  <c r="DR97" i="23916"/>
  <c r="AN406" i="23916"/>
  <c r="BL405" i="23916"/>
  <c r="CR405" i="23916"/>
  <c r="DX405" i="23916"/>
  <c r="BI405" i="23916"/>
  <c r="BJ97" i="23916"/>
  <c r="CP94" i="23916"/>
  <c r="BX406" i="23916"/>
  <c r="AD117" i="23916"/>
  <c r="AC125" i="23916"/>
  <c r="DD159" i="23916"/>
  <c r="DC7" i="23916"/>
  <c r="DC163" i="23916"/>
  <c r="DC160" i="23916"/>
  <c r="EC209" i="23916"/>
  <c r="ED205" i="23916"/>
  <c r="EC206" i="23916"/>
  <c r="ED206" i="23916" s="1"/>
  <c r="EC8" i="23916"/>
  <c r="ED8" i="23916" s="1"/>
  <c r="GC49" i="23916"/>
  <c r="BZ56" i="23916"/>
  <c r="DE571" i="23916"/>
  <c r="DE404" i="23916"/>
  <c r="DF59" i="23916"/>
  <c r="AX22" i="23916"/>
  <c r="BA26" i="23916"/>
  <c r="GJ87" i="23916"/>
  <c r="GK81" i="23916"/>
  <c r="FV587" i="23916"/>
  <c r="FV387" i="23916"/>
  <c r="FW384" i="23916"/>
  <c r="ER81" i="23916"/>
  <c r="BV159" i="23916"/>
  <c r="BU163" i="23916"/>
  <c r="BU160" i="23916"/>
  <c r="BV160" i="23916" s="1"/>
  <c r="EG163" i="23916"/>
  <c r="EH159" i="23916"/>
  <c r="EG7" i="23916"/>
  <c r="EG160" i="23916"/>
  <c r="EH160" i="23916" s="1"/>
  <c r="AL391" i="23916"/>
  <c r="FS392" i="23916"/>
  <c r="FI392" i="23916"/>
  <c r="FH395" i="23916"/>
  <c r="FV181" i="23916"/>
  <c r="FW181" i="23916" s="1"/>
  <c r="BL159" i="23916"/>
  <c r="BK160" i="23916"/>
  <c r="BL160" i="23916" s="1"/>
  <c r="BK163" i="23916"/>
  <c r="DX159" i="23916"/>
  <c r="DW160" i="23916"/>
  <c r="DX160" i="23916" s="1"/>
  <c r="DW7" i="23916"/>
  <c r="DW163" i="23916"/>
  <c r="AO209" i="23916"/>
  <c r="AX209" i="23916" s="1"/>
  <c r="AP205" i="23916"/>
  <c r="AO206" i="23916"/>
  <c r="AP206" i="23916" s="1"/>
  <c r="AT203" i="23916"/>
  <c r="CP206" i="23916"/>
  <c r="GH240" i="23916"/>
  <c r="GI239" i="23916"/>
  <c r="GH243" i="23916"/>
  <c r="GH9" i="23916"/>
  <c r="EP227" i="23916"/>
  <c r="BF280" i="23916"/>
  <c r="BZ410" i="23916"/>
  <c r="AI205" i="23916"/>
  <c r="BC573" i="23916"/>
  <c r="BC407" i="23916"/>
  <c r="BC210" i="23916"/>
  <c r="DL8" i="23916"/>
  <c r="DD8" i="23916"/>
  <c r="DM280" i="23916"/>
  <c r="DN276" i="23916"/>
  <c r="DM277" i="23916"/>
  <c r="DM10" i="23916"/>
  <c r="BB240" i="23916"/>
  <c r="FX243" i="23916"/>
  <c r="FY239" i="23916"/>
  <c r="FX240" i="23916"/>
  <c r="FY240" i="23916" s="1"/>
  <c r="FX9" i="23916"/>
  <c r="FY9" i="23916" s="1"/>
  <c r="FD305" i="23916"/>
  <c r="FE305" i="23916" s="1"/>
  <c r="FE289" i="23916"/>
  <c r="GD240" i="23916"/>
  <c r="GE239" i="23916"/>
  <c r="GD243" i="23916"/>
  <c r="GD9" i="23916"/>
  <c r="AA572" i="23916"/>
  <c r="AA408" i="23916"/>
  <c r="AB243" i="23916"/>
  <c r="AA244" i="23916"/>
  <c r="BX410" i="23916"/>
  <c r="DD410" i="23916"/>
  <c r="EJ410" i="23916"/>
  <c r="FM333" i="23916"/>
  <c r="AH302" i="23916"/>
  <c r="AU352" i="23916"/>
  <c r="BD341" i="23916"/>
  <c r="AV341" i="23916"/>
  <c r="AG574" i="23916"/>
  <c r="AH333" i="23916"/>
  <c r="AX329" i="23916"/>
  <c r="AD350" i="23916"/>
  <c r="AC352" i="23916"/>
  <c r="O637" i="23916"/>
  <c r="P488" i="23916"/>
  <c r="O460" i="23916"/>
  <c r="P460" i="23916" s="1"/>
  <c r="R539" i="23916"/>
  <c r="CV489" i="23916"/>
  <c r="GL501" i="23916"/>
  <c r="GK501" i="23916"/>
  <c r="BX523" i="23916"/>
  <c r="EJ523" i="23916"/>
  <c r="BD523" i="23916"/>
  <c r="DP523" i="23916"/>
  <c r="FW509" i="23916"/>
  <c r="FQ543" i="23916"/>
  <c r="FQ553" i="23916"/>
  <c r="GF545" i="23916"/>
  <c r="GG545" i="23916" s="1"/>
  <c r="GD545" i="23916"/>
  <c r="GE555" i="23916"/>
  <c r="Z545" i="23916"/>
  <c r="AP545" i="23916"/>
  <c r="CX544" i="23916"/>
  <c r="DN544" i="23916"/>
  <c r="EH544" i="23916"/>
  <c r="GI542" i="23916"/>
  <c r="GI553" i="23916"/>
  <c r="BB521" i="23916"/>
  <c r="BA522" i="23916"/>
  <c r="BA556" i="23916"/>
  <c r="BB556" i="23916" s="1"/>
  <c r="BA545" i="23916"/>
  <c r="BB545" i="23916" s="1"/>
  <c r="CH521" i="23916"/>
  <c r="CG522" i="23916"/>
  <c r="CG556" i="23916"/>
  <c r="CH556" i="23916" s="1"/>
  <c r="CG545" i="23916"/>
  <c r="CH545" i="23916" s="1"/>
  <c r="DN521" i="23916"/>
  <c r="DM522" i="23916"/>
  <c r="DM556" i="23916"/>
  <c r="DN556" i="23916" s="1"/>
  <c r="DM545" i="23916"/>
  <c r="DN545" i="23916" s="1"/>
  <c r="GH546" i="23916"/>
  <c r="GI546" i="23916" s="1"/>
  <c r="FM547" i="23916"/>
  <c r="CG546" i="23916"/>
  <c r="CH546" i="23916" s="1"/>
  <c r="CX533" i="23916"/>
  <c r="DN549" i="23916"/>
  <c r="CP547" i="23916"/>
  <c r="DF533" i="23916"/>
  <c r="GE26" i="23916"/>
  <c r="DW56" i="23916"/>
  <c r="DX56" i="23916" s="1"/>
  <c r="DW59" i="23916"/>
  <c r="DX55" i="23916"/>
  <c r="AK395" i="23916"/>
  <c r="AL390" i="23916"/>
  <c r="FQ49" i="23916"/>
  <c r="FS49" i="23916"/>
  <c r="CX392" i="23916"/>
  <c r="DF392" i="23916"/>
  <c r="CW395" i="23916"/>
  <c r="FJ53" i="23916"/>
  <c r="FK53" i="23916" s="1"/>
  <c r="AH406" i="23916"/>
  <c r="GC30" i="23916"/>
  <c r="FM53" i="23916"/>
  <c r="AV392" i="23916"/>
  <c r="BD392" i="23916"/>
  <c r="AU395" i="23916"/>
  <c r="AV395" i="23916" s="1"/>
  <c r="BF94" i="23916"/>
  <c r="CK405" i="23916"/>
  <c r="CL97" i="23916"/>
  <c r="CJ26" i="23916"/>
  <c r="AY56" i="23916"/>
  <c r="AZ56" i="23916" s="1"/>
  <c r="AY59" i="23916"/>
  <c r="AZ55" i="23916"/>
  <c r="AF406" i="23916"/>
  <c r="GJ26" i="23916"/>
  <c r="GK26" i="23916" s="1"/>
  <c r="ER26" i="23916"/>
  <c r="CT28" i="23916"/>
  <c r="CS36" i="23916"/>
  <c r="CT36" i="23916" s="1"/>
  <c r="DD392" i="23916"/>
  <c r="DC395" i="23916"/>
  <c r="BX405" i="23916"/>
  <c r="EJ405" i="23916"/>
  <c r="AJ172" i="23916"/>
  <c r="AR172" i="23916"/>
  <c r="AJ115" i="23916"/>
  <c r="AR115" i="23916"/>
  <c r="AW159" i="23916"/>
  <c r="BF159" i="23916" s="1"/>
  <c r="DJ159" i="23916"/>
  <c r="DI163" i="23916"/>
  <c r="DI7" i="23916"/>
  <c r="DI160" i="23916"/>
  <c r="DJ160" i="23916" s="1"/>
  <c r="AI55" i="23916"/>
  <c r="AJ42" i="23916"/>
  <c r="AR42" i="23916"/>
  <c r="AI384" i="23916"/>
  <c r="AI145" i="23916"/>
  <c r="AR142" i="23916"/>
  <c r="AJ142" i="23916"/>
  <c r="AC571" i="23916"/>
  <c r="AC404" i="23916"/>
  <c r="AD59" i="23916"/>
  <c r="CD56" i="23916"/>
  <c r="DI571" i="23916"/>
  <c r="DI404" i="23916"/>
  <c r="DJ59" i="23916"/>
  <c r="FI56" i="23916"/>
  <c r="FN22" i="23916"/>
  <c r="BB22" i="23916"/>
  <c r="BE26" i="23916"/>
  <c r="FU117" i="23916"/>
  <c r="FT125" i="23916"/>
  <c r="EC398" i="23916"/>
  <c r="ED398" i="23916" s="1"/>
  <c r="FJ384" i="23916"/>
  <c r="FJ145" i="23916"/>
  <c r="FM145" i="23916" s="1"/>
  <c r="FK142" i="23916"/>
  <c r="BZ159" i="23916"/>
  <c r="BY163" i="23916"/>
  <c r="BY160" i="23916"/>
  <c r="BZ160" i="23916" s="1"/>
  <c r="AL117" i="23916"/>
  <c r="AK125" i="23916"/>
  <c r="AT117" i="23916"/>
  <c r="AR180" i="23916"/>
  <c r="AJ180" i="23916"/>
  <c r="CF159" i="23916"/>
  <c r="CE163" i="23916"/>
  <c r="CE160" i="23916"/>
  <c r="CF160" i="23916" s="1"/>
  <c r="AS395" i="23916"/>
  <c r="AT395" i="23916" s="1"/>
  <c r="AT390" i="23916"/>
  <c r="BB390" i="23916"/>
  <c r="DP407" i="23916"/>
  <c r="EF210" i="23916"/>
  <c r="AT392" i="23916"/>
  <c r="GE181" i="23916"/>
  <c r="FU206" i="23916"/>
  <c r="AJ202" i="23916"/>
  <c r="AR202" i="23916"/>
  <c r="CC209" i="23916"/>
  <c r="CL209" i="23916" s="1"/>
  <c r="CD205" i="23916"/>
  <c r="CC206" i="23916"/>
  <c r="CD206" i="23916" s="1"/>
  <c r="EP229" i="23916"/>
  <c r="EQ229" i="23916"/>
  <c r="ER229" i="23916" s="1"/>
  <c r="GJ229" i="23916"/>
  <c r="GK229" i="23916" s="1"/>
  <c r="FF574" i="23916"/>
  <c r="FF409" i="23916"/>
  <c r="FG280" i="23916"/>
  <c r="BH409" i="23916"/>
  <c r="V409" i="23916"/>
  <c r="Z240" i="23916"/>
  <c r="BV240" i="23916"/>
  <c r="EH9" i="23916"/>
  <c r="CX410" i="23916"/>
  <c r="BH206" i="23916"/>
  <c r="CK280" i="23916"/>
  <c r="CL276" i="23916"/>
  <c r="CK277" i="23916"/>
  <c r="CK10" i="23916"/>
  <c r="CL10" i="23916" s="1"/>
  <c r="FO287" i="23916"/>
  <c r="AD240" i="23916"/>
  <c r="BY408" i="23916"/>
  <c r="BZ243" i="23916"/>
  <c r="BY244" i="23916"/>
  <c r="DE408" i="23916"/>
  <c r="DF243" i="23916"/>
  <c r="DE244" i="23916"/>
  <c r="CZ409" i="23916"/>
  <c r="GC305" i="23916"/>
  <c r="GB308" i="23916"/>
  <c r="GB11" i="23916"/>
  <c r="GC11" i="23916" s="1"/>
  <c r="FL239" i="23916"/>
  <c r="EL263" i="23916"/>
  <c r="AB409" i="23916"/>
  <c r="EQ289" i="23916"/>
  <c r="FP302" i="23916"/>
  <c r="FQ302" i="23916" s="1"/>
  <c r="FE296" i="23916"/>
  <c r="FD394" i="23916"/>
  <c r="AZ240" i="23916"/>
  <c r="BO408" i="23916"/>
  <c r="BP243" i="23916"/>
  <c r="BO244" i="23916"/>
  <c r="CV9" i="23916"/>
  <c r="DL9" i="23916"/>
  <c r="EB9" i="23916"/>
  <c r="BH338" i="23916"/>
  <c r="AY341" i="23916"/>
  <c r="AZ338" i="23916"/>
  <c r="AY286" i="23916"/>
  <c r="W308" i="23916"/>
  <c r="X305" i="23916"/>
  <c r="FJ302" i="23916"/>
  <c r="FK302" i="23916" s="1"/>
  <c r="CD410" i="23916"/>
  <c r="BB338" i="23916"/>
  <c r="FN338" i="23916"/>
  <c r="BA341" i="23916"/>
  <c r="BA286" i="23916"/>
  <c r="BJ338" i="23916"/>
  <c r="GE264" i="23916"/>
  <c r="GD276" i="23916"/>
  <c r="FM273" i="23916"/>
  <c r="AL330" i="23916"/>
  <c r="BF350" i="23916"/>
  <c r="BE352" i="23916"/>
  <c r="CA489" i="23916"/>
  <c r="CB489" i="23916" s="1"/>
  <c r="CB436" i="23916"/>
  <c r="CZ489" i="23916"/>
  <c r="EF489" i="23916"/>
  <c r="DR489" i="23916"/>
  <c r="EN471" i="23916"/>
  <c r="EM466" i="23916"/>
  <c r="EM470" i="23916"/>
  <c r="EN470" i="23916" s="1"/>
  <c r="EO471" i="23916"/>
  <c r="EP504" i="23916"/>
  <c r="EQ504" i="23916"/>
  <c r="EQ505" i="23916" s="1"/>
  <c r="ER505" i="23916" s="1"/>
  <c r="BZ509" i="23916"/>
  <c r="GA509" i="23916"/>
  <c r="BL523" i="23916"/>
  <c r="DX523" i="23916"/>
  <c r="FT545" i="23916"/>
  <c r="FT556" i="23916"/>
  <c r="N522" i="23916"/>
  <c r="M523" i="23916"/>
  <c r="N523" i="23916" s="1"/>
  <c r="AD522" i="23916"/>
  <c r="AC523" i="23916"/>
  <c r="AT522" i="23916"/>
  <c r="AS523" i="23916"/>
  <c r="FG547" i="23916"/>
  <c r="FV546" i="23916"/>
  <c r="FW546" i="23916" s="1"/>
  <c r="FQ533" i="23916"/>
  <c r="FQ549" i="23916"/>
  <c r="GG547" i="23916"/>
  <c r="CL547" i="23916"/>
  <c r="DA546" i="23916"/>
  <c r="DB546" i="23916" s="1"/>
  <c r="DR547" i="23916"/>
  <c r="FU547" i="23916"/>
  <c r="GG155" i="23916"/>
  <c r="FQ42" i="23916"/>
  <c r="Q410" i="23916"/>
  <c r="FQ344" i="23916"/>
  <c r="CV36" i="23916"/>
  <c r="FW85" i="23916"/>
  <c r="BZ28" i="23916"/>
  <c r="BY36" i="23916"/>
  <c r="GA93" i="23916"/>
  <c r="FZ94" i="23916"/>
  <c r="FZ97" i="23916"/>
  <c r="BW571" i="23916"/>
  <c r="BW404" i="23916"/>
  <c r="BX59" i="23916"/>
  <c r="CN56" i="23916"/>
  <c r="DL36" i="23916"/>
  <c r="DD56" i="23916"/>
  <c r="FL394" i="23916"/>
  <c r="FM394" i="23916" s="1"/>
  <c r="FW236" i="23916"/>
  <c r="GA236" i="23916"/>
  <c r="DR10" i="23916"/>
  <c r="EH10" i="23916"/>
  <c r="FI350" i="23916"/>
  <c r="FH352" i="23916"/>
  <c r="GA521" i="23916"/>
  <c r="FZ522" i="23916"/>
  <c r="FO519" i="23916"/>
  <c r="EO143" i="23916"/>
  <c r="EQ40" i="23916"/>
  <c r="EP40" i="23916"/>
  <c r="BG387" i="23916"/>
  <c r="BP385" i="23916"/>
  <c r="BR392" i="23916"/>
  <c r="BQ395" i="23916"/>
  <c r="FZ392" i="23916"/>
  <c r="GA150" i="23916"/>
  <c r="FZ152" i="23916"/>
  <c r="GA152" i="23916" s="1"/>
  <c r="DE405" i="23916"/>
  <c r="DF97" i="23916"/>
  <c r="CX28" i="23916"/>
  <c r="CW36" i="23916"/>
  <c r="FZ28" i="23916"/>
  <c r="FR405" i="23916"/>
  <c r="FV572" i="23916"/>
  <c r="FV406" i="23916"/>
  <c r="FH126" i="23916"/>
  <c r="FI126" i="23916" s="1"/>
  <c r="FH129" i="23916"/>
  <c r="FI125" i="23916"/>
  <c r="CE56" i="23916"/>
  <c r="CF56" i="23916" s="1"/>
  <c r="CE59" i="23916"/>
  <c r="CF55" i="23916"/>
  <c r="BF392" i="23916"/>
  <c r="BE395" i="23916"/>
  <c r="BF395" i="23916" s="1"/>
  <c r="CL392" i="23916"/>
  <c r="CK395" i="23916"/>
  <c r="DI405" i="23916"/>
  <c r="DJ97" i="23916"/>
  <c r="BI572" i="23916"/>
  <c r="BI406" i="23916"/>
  <c r="BJ129" i="23916"/>
  <c r="EB392" i="23916"/>
  <c r="EA395" i="23916"/>
  <c r="BD405" i="23916"/>
  <c r="DP405" i="23916"/>
  <c r="GI85" i="23916"/>
  <c r="GH93" i="23916"/>
  <c r="FZ572" i="23916"/>
  <c r="FZ406" i="23916"/>
  <c r="DT406" i="23916"/>
  <c r="FM117" i="23916"/>
  <c r="FL125" i="23916"/>
  <c r="FX537" i="23916"/>
  <c r="FX417" i="23916"/>
  <c r="FY412" i="23916"/>
  <c r="FD209" i="23916"/>
  <c r="FD206" i="23916"/>
  <c r="FE205" i="23916"/>
  <c r="FG205" i="23916"/>
  <c r="FV156" i="23916"/>
  <c r="FW156" i="23916" s="1"/>
  <c r="FW151" i="23916"/>
  <c r="BR55" i="23916"/>
  <c r="CG571" i="23916"/>
  <c r="CG404" i="23916"/>
  <c r="CH59" i="23916"/>
  <c r="FY117" i="23916"/>
  <c r="FX125" i="23916"/>
  <c r="GD159" i="23916"/>
  <c r="GE145" i="23916"/>
  <c r="CJ159" i="23916"/>
  <c r="CI160" i="23916"/>
  <c r="CJ160" i="23916" s="1"/>
  <c r="CI7" i="23916"/>
  <c r="CI163" i="23916"/>
  <c r="EO613" i="23916"/>
  <c r="EQ119" i="23916"/>
  <c r="EO120" i="23916"/>
  <c r="EO113" i="23916" s="1"/>
  <c r="EP119" i="23916"/>
  <c r="AC209" i="23916"/>
  <c r="AD205" i="23916"/>
  <c r="AC206" i="23916"/>
  <c r="AD206" i="23916" s="1"/>
  <c r="BQ209" i="23916"/>
  <c r="BR205" i="23916"/>
  <c r="BQ206" i="23916"/>
  <c r="BR206" i="23916" s="1"/>
  <c r="AV408" i="23916"/>
  <c r="BM280" i="23916"/>
  <c r="BN276" i="23916"/>
  <c r="BM277" i="23916"/>
  <c r="BN277" i="23916" s="1"/>
  <c r="DN395" i="23916"/>
  <c r="Q572" i="23916"/>
  <c r="Q408" i="23916"/>
  <c r="R243" i="23916"/>
  <c r="Q244" i="23916"/>
  <c r="CS408" i="23916"/>
  <c r="CT243" i="23916"/>
  <c r="CS244" i="23916"/>
  <c r="GL286" i="23916"/>
  <c r="GK286" i="23916"/>
  <c r="GJ289" i="23916"/>
  <c r="AU209" i="23916"/>
  <c r="BD209" i="23916" s="1"/>
  <c r="AV205" i="23916"/>
  <c r="AU206" i="23916"/>
  <c r="AV206" i="23916" s="1"/>
  <c r="FZ240" i="23916"/>
  <c r="GA240" i="23916" s="1"/>
  <c r="GA239" i="23916"/>
  <c r="FZ243" i="23916"/>
  <c r="FZ9" i="23916"/>
  <c r="GA9" i="23916" s="1"/>
  <c r="FL409" i="23916"/>
  <c r="AX277" i="23916"/>
  <c r="DE280" i="23916"/>
  <c r="DF276" i="23916"/>
  <c r="DE277" i="23916"/>
  <c r="DF277" i="23916" s="1"/>
  <c r="DE10" i="23916"/>
  <c r="DF10" i="23916" s="1"/>
  <c r="Z305" i="23916"/>
  <c r="Y308" i="23916"/>
  <c r="AN395" i="23916"/>
  <c r="GF243" i="23916"/>
  <c r="GG239" i="23916"/>
  <c r="GF240" i="23916"/>
  <c r="GG240" i="23916" s="1"/>
  <c r="GF9" i="23916"/>
  <c r="GG9" i="23916" s="1"/>
  <c r="CC280" i="23916"/>
  <c r="CD276" i="23916"/>
  <c r="CC277" i="23916"/>
  <c r="CD277" i="23916" s="1"/>
  <c r="BP409" i="23916"/>
  <c r="EN256" i="23916"/>
  <c r="O452" i="23916"/>
  <c r="P452" i="23916" s="1"/>
  <c r="P409" i="23916"/>
  <c r="AV409" i="23916"/>
  <c r="GM301" i="23916"/>
  <c r="GN301" i="23916"/>
  <c r="BN352" i="23916"/>
  <c r="BM355" i="23916"/>
  <c r="CB276" i="23916"/>
  <c r="CA277" i="23916"/>
  <c r="CB277" i="23916" s="1"/>
  <c r="CA280" i="23916"/>
  <c r="AR286" i="23916"/>
  <c r="AQ289" i="23916"/>
  <c r="FJ286" i="23916"/>
  <c r="AQ385" i="23916"/>
  <c r="CB410" i="23916"/>
  <c r="DH410" i="23916"/>
  <c r="EM308" i="23916"/>
  <c r="EN305" i="23916"/>
  <c r="EM11" i="23916"/>
  <c r="EN11" i="23916" s="1"/>
  <c r="FI330" i="23916"/>
  <c r="BH394" i="23916"/>
  <c r="FH489" i="23916"/>
  <c r="FI436" i="23916"/>
  <c r="FK436" i="23916"/>
  <c r="FL436" i="23916"/>
  <c r="FM433" i="23916"/>
  <c r="AH509" i="23916"/>
  <c r="AG546" i="23916"/>
  <c r="BV509" i="23916"/>
  <c r="BU546" i="23916"/>
  <c r="BV546" i="23916" s="1"/>
  <c r="EH509" i="23916"/>
  <c r="EG546" i="23916"/>
  <c r="EH546" i="23916" s="1"/>
  <c r="V509" i="23916"/>
  <c r="U546" i="23916"/>
  <c r="V546" i="23916" s="1"/>
  <c r="FQ521" i="23916"/>
  <c r="FP522" i="23916"/>
  <c r="CL542" i="23916"/>
  <c r="BJ521" i="23916"/>
  <c r="BI522" i="23916"/>
  <c r="BI545" i="23916"/>
  <c r="BJ545" i="23916" s="1"/>
  <c r="BI556" i="23916"/>
  <c r="BJ556" i="23916" s="1"/>
  <c r="CP521" i="23916"/>
  <c r="CO522" i="23916"/>
  <c r="CO556" i="23916"/>
  <c r="CP556" i="23916" s="1"/>
  <c r="CO545" i="23916"/>
  <c r="CP545" i="23916" s="1"/>
  <c r="DV521" i="23916"/>
  <c r="DU522" i="23916"/>
  <c r="DU556" i="23916"/>
  <c r="DV556" i="23916" s="1"/>
  <c r="DU545" i="23916"/>
  <c r="DV545" i="23916" s="1"/>
  <c r="BJ392" i="23916"/>
  <c r="BI395" i="23916"/>
  <c r="FM90" i="23916"/>
  <c r="GA117" i="23916"/>
  <c r="BN386" i="23916"/>
  <c r="BM387" i="23916"/>
  <c r="BM587" i="23916"/>
  <c r="BV386" i="23916"/>
  <c r="FL392" i="23916"/>
  <c r="FM392" i="23916" s="1"/>
  <c r="FM150" i="23916"/>
  <c r="AK405" i="23916"/>
  <c r="AL97" i="23916"/>
  <c r="GC85" i="23916"/>
  <c r="GB93" i="23916"/>
  <c r="GE93" i="23916" s="1"/>
  <c r="AG405" i="23916"/>
  <c r="AH97" i="23916"/>
  <c r="CS405" i="23916"/>
  <c r="CT97" i="23916"/>
  <c r="DR406" i="23916"/>
  <c r="AB403" i="23916"/>
  <c r="DS56" i="23916"/>
  <c r="DS59" i="23916"/>
  <c r="DT55" i="23916"/>
  <c r="FR571" i="23916"/>
  <c r="FR404" i="23916"/>
  <c r="FS59" i="23916"/>
  <c r="AR152" i="23916"/>
  <c r="DJ28" i="23916"/>
  <c r="DI36" i="23916"/>
  <c r="DJ36" i="23916" s="1"/>
  <c r="FJ385" i="23916"/>
  <c r="FK385" i="23916" s="1"/>
  <c r="FK143" i="23916"/>
  <c r="FM143" i="23916"/>
  <c r="GF587" i="23916"/>
  <c r="GG384" i="23916"/>
  <c r="GF387" i="23916"/>
  <c r="EM150" i="23916"/>
  <c r="EO47" i="23916"/>
  <c r="EN47" i="23916"/>
  <c r="FG94" i="23916"/>
  <c r="AH159" i="23916"/>
  <c r="AG163" i="23916"/>
  <c r="AG160" i="23916"/>
  <c r="AH160" i="23916" s="1"/>
  <c r="CT159" i="23916"/>
  <c r="CS163" i="23916"/>
  <c r="CS7" i="23916"/>
  <c r="CS160" i="23916"/>
  <c r="CT160" i="23916" s="1"/>
  <c r="BP412" i="23916"/>
  <c r="FL578" i="23916"/>
  <c r="FM51" i="23916"/>
  <c r="AO571" i="23916"/>
  <c r="AO404" i="23916"/>
  <c r="AP59" i="23916"/>
  <c r="DQ571" i="23916"/>
  <c r="DQ404" i="23916"/>
  <c r="DR59" i="23916"/>
  <c r="FL22" i="23916"/>
  <c r="FM22" i="23916" s="1"/>
  <c r="AT22" i="23916"/>
  <c r="AW26" i="23916"/>
  <c r="GC117" i="23916"/>
  <c r="GB125" i="23916"/>
  <c r="AJ137" i="23916"/>
  <c r="FH137" i="23916"/>
  <c r="AR137" i="23916"/>
  <c r="GI145" i="23916"/>
  <c r="GH159" i="23916"/>
  <c r="FS172" i="23916"/>
  <c r="FU172" i="23916"/>
  <c r="FR181" i="23916"/>
  <c r="FS181" i="23916" s="1"/>
  <c r="CV159" i="23916"/>
  <c r="CU7" i="23916"/>
  <c r="CU163" i="23916"/>
  <c r="CU160" i="23916"/>
  <c r="CV160" i="23916" s="1"/>
  <c r="EO144" i="23916"/>
  <c r="EQ41" i="23916"/>
  <c r="EP41" i="23916"/>
  <c r="BH22" i="23916"/>
  <c r="BK26" i="23916"/>
  <c r="BP22" i="23916"/>
  <c r="BE573" i="23916"/>
  <c r="BE407" i="23916"/>
  <c r="BE210" i="23916"/>
  <c r="BF210" i="23916" s="1"/>
  <c r="BF209" i="23916"/>
  <c r="BR203" i="23916"/>
  <c r="BV206" i="23916"/>
  <c r="CL206" i="23916"/>
  <c r="BF152" i="23916"/>
  <c r="CK408" i="23916"/>
  <c r="CL243" i="23916"/>
  <c r="CK244" i="23916"/>
  <c r="AE573" i="23916"/>
  <c r="AE407" i="23916"/>
  <c r="AE210" i="23916"/>
  <c r="AF210" i="23916" s="1"/>
  <c r="AF209" i="23916"/>
  <c r="K451" i="23916"/>
  <c r="K454" i="23916" s="1"/>
  <c r="K411" i="23916"/>
  <c r="K580" i="23916" s="1"/>
  <c r="AI408" i="23916"/>
  <c r="AJ243" i="23916"/>
  <c r="AI244" i="23916"/>
  <c r="CS280" i="23916"/>
  <c r="DB280" i="23916" s="1"/>
  <c r="CT276" i="23916"/>
  <c r="CS277" i="23916"/>
  <c r="CT277" i="23916" s="1"/>
  <c r="CS10" i="23916"/>
  <c r="CT10" i="23916" s="1"/>
  <c r="AD305" i="23916"/>
  <c r="AC308" i="23916"/>
  <c r="EM194" i="23916"/>
  <c r="EN188" i="23916"/>
  <c r="EM195" i="23916"/>
  <c r="EN195" i="23916" s="1"/>
  <c r="FT243" i="23916"/>
  <c r="FT240" i="23916"/>
  <c r="FU240" i="23916" s="1"/>
  <c r="FU239" i="23916"/>
  <c r="FG296" i="23916"/>
  <c r="FF394" i="23916"/>
  <c r="FF302" i="23916"/>
  <c r="DQ574" i="23916"/>
  <c r="DQ410" i="23916"/>
  <c r="DR308" i="23916"/>
  <c r="W572" i="23916"/>
  <c r="W408" i="23916"/>
  <c r="X243" i="23916"/>
  <c r="W244" i="23916"/>
  <c r="FQ329" i="23916"/>
  <c r="FV394" i="23916"/>
  <c r="FW394" i="23916" s="1"/>
  <c r="GL393" i="23916"/>
  <c r="GM393" i="23916" s="1"/>
  <c r="GM295" i="23916"/>
  <c r="GN295" i="23916"/>
  <c r="FS432" i="23916"/>
  <c r="FR414" i="23916"/>
  <c r="FR433" i="23916"/>
  <c r="FU432" i="23916"/>
  <c r="GN433" i="23916"/>
  <c r="GM433" i="23916"/>
  <c r="AF523" i="23916"/>
  <c r="AV523" i="23916"/>
  <c r="DH523" i="23916"/>
  <c r="CR543" i="23916"/>
  <c r="V522" i="23916"/>
  <c r="U523" i="23916"/>
  <c r="V523" i="23916" s="1"/>
  <c r="AL522" i="23916"/>
  <c r="AK523" i="23916"/>
  <c r="AL523" i="23916" s="1"/>
  <c r="DJ542" i="23916"/>
  <c r="GA545" i="23916"/>
  <c r="GA555" i="23916"/>
  <c r="FG545" i="23916"/>
  <c r="FN546" i="23916"/>
  <c r="FO546" i="23916" s="1"/>
  <c r="FH546" i="23916"/>
  <c r="FI546" i="23916" s="1"/>
  <c r="FW28" i="23916"/>
  <c r="GC26" i="23916"/>
  <c r="AI391" i="23916"/>
  <c r="AI395" i="23916" s="1"/>
  <c r="AJ395" i="23916" s="1"/>
  <c r="AJ149" i="23916"/>
  <c r="AI155" i="23916"/>
  <c r="AR149" i="23916"/>
  <c r="BZ392" i="23916"/>
  <c r="BY395" i="23916"/>
  <c r="FY49" i="23916"/>
  <c r="CW405" i="23916"/>
  <c r="CX97" i="23916"/>
  <c r="ED94" i="23916"/>
  <c r="BR406" i="23916"/>
  <c r="DN28" i="23916"/>
  <c r="DM36" i="23916"/>
  <c r="DN36" i="23916" s="1"/>
  <c r="GD28" i="23916"/>
  <c r="GA30" i="23916"/>
  <c r="FQ85" i="23916"/>
  <c r="FS85" i="23916"/>
  <c r="FP93" i="23916"/>
  <c r="GD572" i="23916"/>
  <c r="GD406" i="23916"/>
  <c r="CX406" i="23916"/>
  <c r="DG36" i="23916"/>
  <c r="DH36" i="23916" s="1"/>
  <c r="DH28" i="23916"/>
  <c r="DK56" i="23916"/>
  <c r="DL56" i="23916" s="1"/>
  <c r="DK59" i="23916"/>
  <c r="DL55" i="23916"/>
  <c r="BN392" i="23916"/>
  <c r="BM395" i="23916"/>
  <c r="BN395" i="23916" s="1"/>
  <c r="CT392" i="23916"/>
  <c r="CS395" i="23916"/>
  <c r="DA405" i="23916"/>
  <c r="DB97" i="23916"/>
  <c r="EH94" i="23916"/>
  <c r="BA572" i="23916"/>
  <c r="BA406" i="23916"/>
  <c r="BB129" i="23916"/>
  <c r="DR28" i="23916"/>
  <c r="DQ36" i="23916"/>
  <c r="DR36" i="23916" s="1"/>
  <c r="FP145" i="23916"/>
  <c r="FS145" i="23916" s="1"/>
  <c r="FG97" i="23916"/>
  <c r="AS405" i="23916"/>
  <c r="AT97" i="23916"/>
  <c r="BZ94" i="23916"/>
  <c r="EB406" i="23916"/>
  <c r="AT156" i="23916"/>
  <c r="AT56" i="23916"/>
  <c r="CO571" i="23916"/>
  <c r="CO404" i="23916"/>
  <c r="CP59" i="23916"/>
  <c r="DV56" i="23916"/>
  <c r="EK85" i="23916"/>
  <c r="AN159" i="23916"/>
  <c r="AM160" i="23916"/>
  <c r="AN160" i="23916" s="1"/>
  <c r="AM163" i="23916"/>
  <c r="CZ159" i="23916"/>
  <c r="CY160" i="23916"/>
  <c r="CZ160" i="23916" s="1"/>
  <c r="CY7" i="23916"/>
  <c r="CY163" i="23916"/>
  <c r="DH209" i="23916"/>
  <c r="BA59" i="23916"/>
  <c r="BB55" i="23916"/>
  <c r="BA56" i="23916"/>
  <c r="BB56" i="23916" s="1"/>
  <c r="FW70" i="23916"/>
  <c r="GT412" i="23916"/>
  <c r="DT210" i="23916"/>
  <c r="EJ210" i="23916"/>
  <c r="BL22" i="23916"/>
  <c r="BO26" i="23916"/>
  <c r="BX26" i="23916" s="1"/>
  <c r="CI398" i="23916"/>
  <c r="CJ398" i="23916" s="1"/>
  <c r="DO398" i="23916"/>
  <c r="DP398" i="23916" s="1"/>
  <c r="AX206" i="23916"/>
  <c r="BZ205" i="23916"/>
  <c r="CP205" i="23916"/>
  <c r="FR408" i="23916"/>
  <c r="FS243" i="23916"/>
  <c r="Z409" i="23916"/>
  <c r="FJ205" i="23916"/>
  <c r="FK191" i="23916"/>
  <c r="FM191" i="23916"/>
  <c r="FJ203" i="23916"/>
  <c r="AX240" i="23916"/>
  <c r="CC408" i="23916"/>
  <c r="CD243" i="23916"/>
  <c r="CC244" i="23916"/>
  <c r="DI408" i="23916"/>
  <c r="DJ243" i="23916"/>
  <c r="DI244" i="23916"/>
  <c r="BF409" i="23916"/>
  <c r="BY574" i="23916"/>
  <c r="AM573" i="23916"/>
  <c r="AM407" i="23916"/>
  <c r="AM210" i="23916"/>
  <c r="AN210" i="23916" s="1"/>
  <c r="AN209" i="23916"/>
  <c r="BX206" i="23916"/>
  <c r="CN206" i="23916"/>
  <c r="DD206" i="23916"/>
  <c r="AR240" i="23916"/>
  <c r="FH574" i="23916"/>
  <c r="FH409" i="23916"/>
  <c r="FI280" i="23916"/>
  <c r="EC280" i="23916"/>
  <c r="ED276" i="23916"/>
  <c r="EC277" i="23916"/>
  <c r="ED277" i="23916" s="1"/>
  <c r="EC10" i="23916"/>
  <c r="ED10" i="23916" s="1"/>
  <c r="BA408" i="23916"/>
  <c r="BB243" i="23916"/>
  <c r="BA244" i="23916"/>
  <c r="CG408" i="23916"/>
  <c r="CH243" i="23916"/>
  <c r="CG244" i="23916"/>
  <c r="DM408" i="23916"/>
  <c r="DN243" i="23916"/>
  <c r="DM244" i="23916"/>
  <c r="DD409" i="23916"/>
  <c r="EJ409" i="23916"/>
  <c r="FH243" i="23916"/>
  <c r="FI239" i="23916"/>
  <c r="FH240" i="23916"/>
  <c r="FI240" i="23916" s="1"/>
  <c r="GG264" i="23916"/>
  <c r="GF276" i="23916"/>
  <c r="AN409" i="23916"/>
  <c r="EG574" i="23916"/>
  <c r="EG410" i="23916"/>
  <c r="EH308" i="23916"/>
  <c r="AL352" i="23916"/>
  <c r="AK355" i="23916"/>
  <c r="CB240" i="23916"/>
  <c r="CR240" i="23916"/>
  <c r="DH240" i="23916"/>
  <c r="DX240" i="23916"/>
  <c r="FT276" i="23916"/>
  <c r="FU256" i="23916"/>
  <c r="FW256" i="23916"/>
  <c r="FY393" i="23916"/>
  <c r="GA393" i="23916"/>
  <c r="GM294" i="23916"/>
  <c r="GN294" i="23916"/>
  <c r="S308" i="23916"/>
  <c r="T305" i="23916"/>
  <c r="BW574" i="23916"/>
  <c r="CV410" i="23916"/>
  <c r="DC574" i="23916"/>
  <c r="DT308" i="23916"/>
  <c r="EB410" i="23916"/>
  <c r="EI574" i="23916"/>
  <c r="FD410" i="23916"/>
  <c r="GA273" i="23916"/>
  <c r="AX302" i="23916"/>
  <c r="AV286" i="23916"/>
  <c r="AU289" i="23916"/>
  <c r="AU385" i="23916"/>
  <c r="Q574" i="23916"/>
  <c r="R333" i="23916"/>
  <c r="AX330" i="23916"/>
  <c r="N460" i="23916"/>
  <c r="EQ566" i="23916"/>
  <c r="DL489" i="23916"/>
  <c r="AX509" i="23916"/>
  <c r="AW546" i="23916"/>
  <c r="AX546" i="23916" s="1"/>
  <c r="DJ509" i="23916"/>
  <c r="Z509" i="23916"/>
  <c r="Y546" i="23916"/>
  <c r="Z546" i="23916" s="1"/>
  <c r="CL509" i="23916"/>
  <c r="AL509" i="23916"/>
  <c r="AK546" i="23916"/>
  <c r="AL546" i="23916" s="1"/>
  <c r="CX509" i="23916"/>
  <c r="FQ542" i="23916"/>
  <c r="FQ555" i="23916"/>
  <c r="GE543" i="23916"/>
  <c r="GE553" i="23916"/>
  <c r="GG521" i="23916"/>
  <c r="GF522" i="23916"/>
  <c r="Z556" i="23916"/>
  <c r="AP556" i="23916"/>
  <c r="DR544" i="23916"/>
  <c r="GI543" i="23916"/>
  <c r="GI554" i="23916"/>
  <c r="FW521" i="23916"/>
  <c r="FV522" i="23916"/>
  <c r="CJ533" i="23916"/>
  <c r="FM549" i="23916"/>
  <c r="GC547" i="23916"/>
  <c r="CH547" i="23916"/>
  <c r="CO546" i="23916"/>
  <c r="CP546" i="23916" s="1"/>
  <c r="DF547" i="23916"/>
  <c r="FO25" i="23916"/>
  <c r="BG56" i="23916"/>
  <c r="BH56" i="23916" s="1"/>
  <c r="BG59" i="23916"/>
  <c r="BH55" i="23916"/>
  <c r="BM572" i="23916"/>
  <c r="BM406" i="23916"/>
  <c r="BN129" i="23916"/>
  <c r="AG572" i="23916"/>
  <c r="FX28" i="23916"/>
  <c r="CP28" i="23916"/>
  <c r="CO36" i="23916"/>
  <c r="CP36" i="23916" s="1"/>
  <c r="FM42" i="23916"/>
  <c r="AP94" i="23916"/>
  <c r="BU405" i="23916"/>
  <c r="BV97" i="23916"/>
  <c r="FD126" i="23916"/>
  <c r="FE126" i="23916" s="1"/>
  <c r="FD129" i="23916"/>
  <c r="FE125" i="23916"/>
  <c r="DO36" i="23916"/>
  <c r="DP36" i="23916" s="1"/>
  <c r="DP28" i="23916"/>
  <c r="BH405" i="23916"/>
  <c r="DT405" i="23916"/>
  <c r="FO85" i="23916"/>
  <c r="FN93" i="23916"/>
  <c r="Z403" i="23916"/>
  <c r="AC395" i="23916"/>
  <c r="AD395" i="23916" s="1"/>
  <c r="AD390" i="23916"/>
  <c r="DQ209" i="23916"/>
  <c r="DR205" i="23916"/>
  <c r="DQ206" i="23916"/>
  <c r="DR206" i="23916" s="1"/>
  <c r="DQ8" i="23916"/>
  <c r="DR8" i="23916" s="1"/>
  <c r="AK27" i="23916"/>
  <c r="AT25" i="23916"/>
  <c r="AL25" i="23916"/>
  <c r="AX56" i="23916"/>
  <c r="CS571" i="23916"/>
  <c r="CS404" i="23916"/>
  <c r="CT59" i="23916"/>
  <c r="DZ56" i="23916"/>
  <c r="FI55" i="23916"/>
  <c r="FS412" i="23916"/>
  <c r="FN412" i="23916"/>
  <c r="FO412" i="23916" s="1"/>
  <c r="FO162" i="23916"/>
  <c r="GC385" i="23916"/>
  <c r="AT391" i="23916"/>
  <c r="FR573" i="23916"/>
  <c r="FR407" i="23916"/>
  <c r="FR210" i="23916"/>
  <c r="EF407" i="23916"/>
  <c r="GE49" i="23916"/>
  <c r="GD55" i="23916"/>
  <c r="GG55" i="23916" s="1"/>
  <c r="AF22" i="23916"/>
  <c r="AI26" i="23916"/>
  <c r="AJ26" i="23916" s="1"/>
  <c r="FR22" i="23916"/>
  <c r="BR22" i="23916"/>
  <c r="BU26" i="23916"/>
  <c r="BS26" i="23916"/>
  <c r="BZ22" i="23916"/>
  <c r="AR119" i="23916"/>
  <c r="AJ119" i="23916"/>
  <c r="GI117" i="23916"/>
  <c r="GH125" i="23916"/>
  <c r="BO398" i="23916"/>
  <c r="BX398" i="23916" s="1"/>
  <c r="CU398" i="23916"/>
  <c r="CV398" i="23916" s="1"/>
  <c r="CX159" i="23916"/>
  <c r="CW163" i="23916"/>
  <c r="CW160" i="23916"/>
  <c r="CX160" i="23916" s="1"/>
  <c r="CW7" i="23916"/>
  <c r="FT573" i="23916"/>
  <c r="FT407" i="23916"/>
  <c r="FT210" i="23916"/>
  <c r="FU210" i="23916" s="1"/>
  <c r="FU209" i="23916"/>
  <c r="GB573" i="23916"/>
  <c r="GB407" i="23916"/>
  <c r="GB210" i="23916"/>
  <c r="GC210" i="23916" s="1"/>
  <c r="BA209" i="23916"/>
  <c r="BB205" i="23916"/>
  <c r="BA206" i="23916"/>
  <c r="BB206" i="23916" s="1"/>
  <c r="CS209" i="23916"/>
  <c r="DB209" i="23916" s="1"/>
  <c r="CT205" i="23916"/>
  <c r="CS206" i="23916"/>
  <c r="CT206" i="23916" s="1"/>
  <c r="CS8" i="23916"/>
  <c r="CT8" i="23916" s="1"/>
  <c r="FG277" i="23916"/>
  <c r="Y572" i="23916"/>
  <c r="Y408" i="23916"/>
  <c r="Z243" i="23916"/>
  <c r="Y244" i="23916"/>
  <c r="BU408" i="23916"/>
  <c r="BV243" i="23916"/>
  <c r="BU244" i="23916"/>
  <c r="DB240" i="23916"/>
  <c r="BK209" i="23916"/>
  <c r="BL205" i="23916"/>
  <c r="BK206" i="23916"/>
  <c r="BL206" i="23916" s="1"/>
  <c r="CA573" i="23916"/>
  <c r="CA407" i="23916"/>
  <c r="CA210" i="23916"/>
  <c r="CB210" i="23916" s="1"/>
  <c r="CB209" i="23916"/>
  <c r="CQ573" i="23916"/>
  <c r="CQ407" i="23916"/>
  <c r="CQ210" i="23916"/>
  <c r="CR210" i="23916" s="1"/>
  <c r="CR209" i="23916"/>
  <c r="AC408" i="23916"/>
  <c r="AD243" i="23916"/>
  <c r="AC244" i="23916"/>
  <c r="DF9" i="23916"/>
  <c r="BQ280" i="23916"/>
  <c r="BZ280" i="23916" s="1"/>
  <c r="BR276" i="23916"/>
  <c r="BQ277" i="23916"/>
  <c r="BR277" i="23916" s="1"/>
  <c r="BF305" i="23916"/>
  <c r="BE308" i="23916"/>
  <c r="FC329" i="23916"/>
  <c r="FB330" i="23916"/>
  <c r="FC330" i="23916" s="1"/>
  <c r="FB333" i="23916"/>
  <c r="AY408" i="23916"/>
  <c r="AZ243" i="23916"/>
  <c r="AY244" i="23916"/>
  <c r="BD276" i="23916"/>
  <c r="BC277" i="23916"/>
  <c r="BD277" i="23916" s="1"/>
  <c r="BC280" i="23916"/>
  <c r="FY302" i="23916"/>
  <c r="FX305" i="23916"/>
  <c r="V330" i="23916"/>
  <c r="BB333" i="23916"/>
  <c r="FF355" i="23916"/>
  <c r="FG355" i="23916" s="1"/>
  <c r="FG352" i="23916"/>
  <c r="BF489" i="23916"/>
  <c r="ER434" i="23916"/>
  <c r="EQ436" i="23916"/>
  <c r="EK482" i="23916"/>
  <c r="EL470" i="23916"/>
  <c r="EK483" i="23916"/>
  <c r="GJ503" i="23916"/>
  <c r="ER503" i="23916"/>
  <c r="EO508" i="23916"/>
  <c r="FQ509" i="23916"/>
  <c r="FU543" i="23916"/>
  <c r="FU553" i="23916"/>
  <c r="BV521" i="23916"/>
  <c r="BU522" i="23916"/>
  <c r="BU556" i="23916"/>
  <c r="BV556" i="23916" s="1"/>
  <c r="BU545" i="23916"/>
  <c r="BV545" i="23916" s="1"/>
  <c r="DB521" i="23916"/>
  <c r="DA522" i="23916"/>
  <c r="DA556" i="23916"/>
  <c r="DB556" i="23916" s="1"/>
  <c r="DA545" i="23916"/>
  <c r="DB545" i="23916" s="1"/>
  <c r="EH521" i="23916"/>
  <c r="EG522" i="23916"/>
  <c r="EG556" i="23916"/>
  <c r="EH556" i="23916" s="1"/>
  <c r="EG545" i="23916"/>
  <c r="EH545" i="23916" s="1"/>
  <c r="DT533" i="23916"/>
  <c r="FG533" i="23916"/>
  <c r="GG533" i="23916"/>
  <c r="GG549" i="23916"/>
  <c r="CL533" i="23916"/>
  <c r="DB533" i="23916"/>
  <c r="DB549" i="23916"/>
  <c r="DQ546" i="23916"/>
  <c r="DR546" i="23916" s="1"/>
  <c r="FU533" i="23916"/>
  <c r="FU549" i="23916"/>
  <c r="FS350" i="23916"/>
  <c r="FQ350" i="23916"/>
  <c r="GJ46" i="23916"/>
  <c r="BZ26" i="23916"/>
  <c r="AI154" i="23916"/>
  <c r="AJ154" i="23916" s="1"/>
  <c r="GI26" i="23916"/>
  <c r="GA85" i="23916"/>
  <c r="BX56" i="23916"/>
  <c r="GJ40" i="23916"/>
  <c r="EJ55" i="23916"/>
  <c r="BV277" i="23916"/>
  <c r="DB277" i="23916"/>
  <c r="DR277" i="23916"/>
  <c r="EH277" i="23916"/>
  <c r="FI544" i="23916"/>
  <c r="FO521" i="23916"/>
  <c r="FN522" i="23916"/>
  <c r="DP533" i="23916"/>
  <c r="ER227" i="23916" l="1"/>
  <c r="GJ227" i="23916"/>
  <c r="GB163" i="23916"/>
  <c r="GB160" i="23916"/>
  <c r="GB7" i="23916"/>
  <c r="EP113" i="23916"/>
  <c r="EO117" i="23916"/>
  <c r="EP117" i="23916" s="1"/>
  <c r="GL503" i="23916"/>
  <c r="GK503" i="23916"/>
  <c r="ER436" i="23916"/>
  <c r="AZ408" i="23916"/>
  <c r="BE574" i="23916"/>
  <c r="BE410" i="23916"/>
  <c r="BF308" i="23916"/>
  <c r="Z408" i="23916"/>
  <c r="FU407" i="23916"/>
  <c r="CW403" i="23916"/>
  <c r="CX163" i="23916"/>
  <c r="GH129" i="23916"/>
  <c r="GI125" i="23916"/>
  <c r="GH126" i="23916"/>
  <c r="FS22" i="23916"/>
  <c r="FU22" i="23916"/>
  <c r="BG571" i="23916"/>
  <c r="BG404" i="23916"/>
  <c r="BH59" i="23916"/>
  <c r="GG522" i="23916"/>
  <c r="GF523" i="23916"/>
  <c r="S410" i="23916"/>
  <c r="T308" i="23916"/>
  <c r="BB408" i="23916"/>
  <c r="EC409" i="23916"/>
  <c r="ED280" i="23916"/>
  <c r="EC574" i="23916"/>
  <c r="CD408" i="23916"/>
  <c r="EL85" i="23916"/>
  <c r="EK93" i="23916"/>
  <c r="FP94" i="23916"/>
  <c r="FP97" i="23916"/>
  <c r="FQ93" i="23916"/>
  <c r="FS93" i="23916"/>
  <c r="GE28" i="23916"/>
  <c r="AJ155" i="23916"/>
  <c r="AR155" i="23916"/>
  <c r="X408" i="23916"/>
  <c r="AF407" i="23916"/>
  <c r="DB206" i="23916"/>
  <c r="BL26" i="23916"/>
  <c r="BK28" i="23916"/>
  <c r="EO386" i="23916"/>
  <c r="EP386" i="23916" s="1"/>
  <c r="EP144" i="23916"/>
  <c r="GI159" i="23916"/>
  <c r="GH163" i="23916"/>
  <c r="GH160" i="23916"/>
  <c r="GH7" i="23916"/>
  <c r="EM392" i="23916"/>
  <c r="EN392" i="23916" s="1"/>
  <c r="EN150" i="23916"/>
  <c r="AH405" i="23916"/>
  <c r="AL405" i="23916"/>
  <c r="FQ522" i="23916"/>
  <c r="FP523" i="23916"/>
  <c r="AH546" i="23916"/>
  <c r="AR385" i="23916"/>
  <c r="AQ387" i="23916"/>
  <c r="CA409" i="23916"/>
  <c r="CB280" i="23916"/>
  <c r="CA574" i="23916"/>
  <c r="DE409" i="23916"/>
  <c r="DF280" i="23916"/>
  <c r="DE574" i="23916"/>
  <c r="Q451" i="23916"/>
  <c r="R408" i="23916"/>
  <c r="Q411" i="23916"/>
  <c r="EQ613" i="23916"/>
  <c r="ER119" i="23916"/>
  <c r="EQ120" i="23916"/>
  <c r="FX126" i="23916"/>
  <c r="FX129" i="23916"/>
  <c r="FY125" i="23916"/>
  <c r="GA125" i="23916"/>
  <c r="GI93" i="23916"/>
  <c r="GH94" i="23916"/>
  <c r="GH97" i="23916"/>
  <c r="DJ405" i="23916"/>
  <c r="GA28" i="23916"/>
  <c r="DF405" i="23916"/>
  <c r="BR395" i="23916"/>
  <c r="BQ398" i="23916"/>
  <c r="AD523" i="23916"/>
  <c r="EP471" i="23916"/>
  <c r="EQ471" i="23916"/>
  <c r="GJ471" i="23916" s="1"/>
  <c r="EO470" i="23916"/>
  <c r="EP470" i="23916" s="1"/>
  <c r="EO466" i="23916"/>
  <c r="BB286" i="23916"/>
  <c r="FN286" i="23916"/>
  <c r="BD286" i="23916"/>
  <c r="BA289" i="23916"/>
  <c r="BA385" i="23916"/>
  <c r="W410" i="23916"/>
  <c r="X308" i="23916"/>
  <c r="FE394" i="23916"/>
  <c r="FD395" i="23916"/>
  <c r="BZ408" i="23916"/>
  <c r="CL277" i="23916"/>
  <c r="CE403" i="23916"/>
  <c r="CF163" i="23916"/>
  <c r="BY403" i="23916"/>
  <c r="BZ163" i="23916"/>
  <c r="FJ587" i="23916"/>
  <c r="FJ387" i="23916"/>
  <c r="FK384" i="23916"/>
  <c r="BF26" i="23916"/>
  <c r="BE28" i="23916"/>
  <c r="DI403" i="23916"/>
  <c r="DJ163" i="23916"/>
  <c r="AY571" i="23916"/>
  <c r="AY404" i="23916"/>
  <c r="AZ59" i="23916"/>
  <c r="CX395" i="23916"/>
  <c r="CW398" i="23916"/>
  <c r="DW571" i="23916"/>
  <c r="DW575" i="23916" s="1"/>
  <c r="DW404" i="23916"/>
  <c r="DX59" i="23916"/>
  <c r="DN522" i="23916"/>
  <c r="DM523" i="23916"/>
  <c r="CH522" i="23916"/>
  <c r="CG523" i="23916"/>
  <c r="BB522" i="23916"/>
  <c r="BA523" i="23916"/>
  <c r="BB523" i="23916" s="1"/>
  <c r="GN501" i="23916"/>
  <c r="GM501" i="23916"/>
  <c r="GL434" i="23916"/>
  <c r="GD408" i="23916"/>
  <c r="FX408" i="23916"/>
  <c r="FY243" i="23916"/>
  <c r="AI209" i="23916"/>
  <c r="AJ205" i="23916"/>
  <c r="AI206" i="23916"/>
  <c r="AR205" i="23916"/>
  <c r="DW403" i="23916"/>
  <c r="DW164" i="23916"/>
  <c r="DX163" i="23916"/>
  <c r="BK403" i="23916"/>
  <c r="BL163" i="23916"/>
  <c r="FH398" i="23916"/>
  <c r="EG403" i="23916"/>
  <c r="EH163" i="23916"/>
  <c r="EG164" i="23916"/>
  <c r="FN26" i="23916"/>
  <c r="BB26" i="23916"/>
  <c r="BA28" i="23916"/>
  <c r="DC403" i="23916"/>
  <c r="DD163" i="23916"/>
  <c r="BP56" i="23916"/>
  <c r="FW392" i="23916"/>
  <c r="FV395" i="23916"/>
  <c r="CJ489" i="23916"/>
  <c r="BK308" i="23916"/>
  <c r="BL305" i="23916"/>
  <c r="GL185" i="23916"/>
  <c r="GN185" i="23916" s="1"/>
  <c r="GP185" i="23916" s="1"/>
  <c r="GR185" i="23916" s="1"/>
  <c r="GL190" i="23916"/>
  <c r="U410" i="23916"/>
  <c r="V308" i="23916"/>
  <c r="DB8" i="23916"/>
  <c r="CP160" i="23916"/>
  <c r="U403" i="23916"/>
  <c r="V163" i="23916"/>
  <c r="BU411" i="23916"/>
  <c r="FP126" i="23916"/>
  <c r="FP129" i="23916"/>
  <c r="FQ125" i="23916"/>
  <c r="FS125" i="23916"/>
  <c r="FK93" i="23916"/>
  <c r="FJ94" i="23916"/>
  <c r="FK94" i="23916" s="1"/>
  <c r="FJ97" i="23916"/>
  <c r="EP149" i="23916"/>
  <c r="FA523" i="23916"/>
  <c r="EY523" i="23916"/>
  <c r="EP302" i="23916"/>
  <c r="EO305" i="23916"/>
  <c r="GI276" i="23916"/>
  <c r="GH277" i="23916"/>
  <c r="GH280" i="23916"/>
  <c r="GH10" i="23916"/>
  <c r="S451" i="23916"/>
  <c r="T408" i="23916"/>
  <c r="S411" i="23916"/>
  <c r="EL198" i="23916"/>
  <c r="EK205" i="23916"/>
  <c r="BI573" i="23916"/>
  <c r="BI407" i="23916"/>
  <c r="BI210" i="23916"/>
  <c r="BJ209" i="23916"/>
  <c r="CM403" i="23916"/>
  <c r="CN163" i="23916"/>
  <c r="BD406" i="23916"/>
  <c r="DZ405" i="23916"/>
  <c r="FZ56" i="23916"/>
  <c r="FZ59" i="23916"/>
  <c r="FU392" i="23916"/>
  <c r="FT395" i="23916"/>
  <c r="FU395" i="23916" s="1"/>
  <c r="DC575" i="23916"/>
  <c r="FE522" i="23916"/>
  <c r="FD523" i="23916"/>
  <c r="FG522" i="23916"/>
  <c r="EL468" i="23916"/>
  <c r="GM442" i="23916"/>
  <c r="GK442" i="23916"/>
  <c r="FO394" i="23916"/>
  <c r="GE11" i="23916"/>
  <c r="CV10" i="23916"/>
  <c r="CN10" i="23916"/>
  <c r="CV408" i="23916"/>
  <c r="GO223" i="23916"/>
  <c r="GP223" i="23916"/>
  <c r="FZ209" i="23916"/>
  <c r="GA205" i="23916"/>
  <c r="FZ206" i="23916"/>
  <c r="FZ8" i="23916"/>
  <c r="GC205" i="23916"/>
  <c r="BE571" i="23916"/>
  <c r="BE404" i="23916"/>
  <c r="BF59" i="23916"/>
  <c r="FL59" i="23916"/>
  <c r="FM55" i="23916"/>
  <c r="FL56" i="23916"/>
  <c r="FM56" i="23916" s="1"/>
  <c r="GL108" i="23916"/>
  <c r="GK108" i="23916"/>
  <c r="GD523" i="23916"/>
  <c r="BC355" i="23916"/>
  <c r="BD352" i="23916"/>
  <c r="FE330" i="23916"/>
  <c r="FW276" i="23916"/>
  <c r="FV277" i="23916"/>
  <c r="FV280" i="23916"/>
  <c r="FV10" i="23916"/>
  <c r="FW10" i="23916" s="1"/>
  <c r="CX277" i="23916"/>
  <c r="BX210" i="23916"/>
  <c r="ER224" i="23916"/>
  <c r="EQ230" i="23916"/>
  <c r="DI573" i="23916"/>
  <c r="DI407" i="23916"/>
  <c r="DI210" i="23916"/>
  <c r="DJ210" i="23916" s="1"/>
  <c r="DJ209" i="23916"/>
  <c r="EE12" i="23916"/>
  <c r="EF7" i="23916"/>
  <c r="BT160" i="23916"/>
  <c r="AP398" i="23916"/>
  <c r="BK572" i="23916"/>
  <c r="BK406" i="23916"/>
  <c r="BL129" i="23916"/>
  <c r="BT129" i="23916"/>
  <c r="DN206" i="23916"/>
  <c r="GM78" i="23916"/>
  <c r="AJ394" i="23916"/>
  <c r="AR394" i="23916"/>
  <c r="FM384" i="23916"/>
  <c r="ED405" i="23916"/>
  <c r="FV56" i="23916"/>
  <c r="FV59" i="23916"/>
  <c r="FW55" i="23916"/>
  <c r="FT36" i="23916"/>
  <c r="EQ518" i="23916"/>
  <c r="EP518" i="23916"/>
  <c r="DT408" i="23916"/>
  <c r="FN408" i="23916"/>
  <c r="DY409" i="23916"/>
  <c r="DZ280" i="23916"/>
  <c r="DY574" i="23916"/>
  <c r="GR287" i="23916"/>
  <c r="GQ287" i="23916"/>
  <c r="AK573" i="23916"/>
  <c r="AK407" i="23916"/>
  <c r="AK210" i="23916"/>
  <c r="AL209" i="23916"/>
  <c r="AU28" i="23916"/>
  <c r="FN395" i="23916"/>
  <c r="FO390" i="23916"/>
  <c r="FQ390" i="23916"/>
  <c r="BN26" i="23916"/>
  <c r="BM28" i="23916"/>
  <c r="AH26" i="23916"/>
  <c r="AG28" i="23916"/>
  <c r="GC156" i="23916"/>
  <c r="DZ160" i="23916"/>
  <c r="BN160" i="23916"/>
  <c r="CZ126" i="23916"/>
  <c r="DH126" i="23916"/>
  <c r="FJ56" i="23916"/>
  <c r="FK56" i="23916" s="1"/>
  <c r="FJ59" i="23916"/>
  <c r="FK55" i="23916"/>
  <c r="EO53" i="23916"/>
  <c r="EN53" i="23916"/>
  <c r="CU571" i="23916"/>
  <c r="CU575" i="23916" s="1"/>
  <c r="CU404" i="23916"/>
  <c r="CV59" i="23916"/>
  <c r="DF36" i="23916"/>
  <c r="AP546" i="23916"/>
  <c r="ER459" i="23916"/>
  <c r="AO574" i="23916"/>
  <c r="AP333" i="23916"/>
  <c r="AT352" i="23916"/>
  <c r="AS355" i="23916"/>
  <c r="AT355" i="23916" s="1"/>
  <c r="DJ11" i="23916"/>
  <c r="DB11" i="23916"/>
  <c r="BI409" i="23916"/>
  <c r="BJ280" i="23916"/>
  <c r="GD209" i="23916"/>
  <c r="GE205" i="23916"/>
  <c r="GD206" i="23916"/>
  <c r="GD8" i="23916"/>
  <c r="GG205" i="23916"/>
  <c r="DO12" i="23916"/>
  <c r="DP7" i="23916"/>
  <c r="EM197" i="23916"/>
  <c r="EN191" i="23916"/>
  <c r="EA571" i="23916"/>
  <c r="EA575" i="23916" s="1"/>
  <c r="EA404" i="23916"/>
  <c r="EB59" i="23916"/>
  <c r="FN129" i="23916"/>
  <c r="FO125" i="23916"/>
  <c r="FN126" i="23916"/>
  <c r="EQ508" i="23916"/>
  <c r="FI394" i="23916"/>
  <c r="FP209" i="23916"/>
  <c r="FP206" i="23916"/>
  <c r="FQ205" i="23916"/>
  <c r="FS205" i="23916"/>
  <c r="CP11" i="23916"/>
  <c r="CH11" i="23916"/>
  <c r="DB408" i="23916"/>
  <c r="DK403" i="23916"/>
  <c r="DL163" i="23916"/>
  <c r="AY403" i="23916"/>
  <c r="AZ163" i="23916"/>
  <c r="DE403" i="23916"/>
  <c r="DF163" i="23916"/>
  <c r="CC403" i="23916"/>
  <c r="CD163" i="23916"/>
  <c r="AO572" i="23916"/>
  <c r="AO406" i="23916"/>
  <c r="AP129" i="23916"/>
  <c r="BF405" i="23916"/>
  <c r="GL596" i="23916"/>
  <c r="GL23" i="23916"/>
  <c r="GL26" i="23916" s="1"/>
  <c r="GM26" i="23916" s="1"/>
  <c r="GM22" i="23916"/>
  <c r="GN22" i="23916"/>
  <c r="CX545" i="23916"/>
  <c r="BR545" i="23916"/>
  <c r="GL502" i="23916"/>
  <c r="GK502" i="23916"/>
  <c r="FE489" i="23916"/>
  <c r="FG489" i="23916"/>
  <c r="FM330" i="23916"/>
  <c r="CI409" i="23916"/>
  <c r="CJ280" i="23916"/>
  <c r="CR280" i="23916"/>
  <c r="CI574" i="23916"/>
  <c r="DH408" i="23916"/>
  <c r="AL408" i="23916"/>
  <c r="CQ403" i="23916"/>
  <c r="CR163" i="23916"/>
  <c r="DB160" i="23916"/>
  <c r="AP160" i="23916"/>
  <c r="BQ36" i="23916"/>
  <c r="EI12" i="23916"/>
  <c r="EJ7" i="23916"/>
  <c r="CP405" i="23916"/>
  <c r="CH36" i="23916"/>
  <c r="CI571" i="23916"/>
  <c r="CI404" i="23916"/>
  <c r="CJ59" i="23916"/>
  <c r="DJ556" i="23916"/>
  <c r="CD556" i="23916"/>
  <c r="GC521" i="23916"/>
  <c r="GB522" i="23916"/>
  <c r="GE522" i="23916" s="1"/>
  <c r="GB556" i="23916"/>
  <c r="GB545" i="23916"/>
  <c r="GC545" i="23916" s="1"/>
  <c r="BJ546" i="23916"/>
  <c r="DR408" i="23916"/>
  <c r="DM403" i="23916"/>
  <c r="DN163" i="23916"/>
  <c r="FG403" i="23916"/>
  <c r="ER107" i="23916"/>
  <c r="EQ113" i="23916"/>
  <c r="EQ114" i="23916"/>
  <c r="ER114" i="23916" s="1"/>
  <c r="EQ110" i="23916"/>
  <c r="EQ116" i="23916"/>
  <c r="ER116" i="23916" s="1"/>
  <c r="DU403" i="23916"/>
  <c r="DV163" i="23916"/>
  <c r="DU164" i="23916"/>
  <c r="DA575" i="23916"/>
  <c r="FM154" i="23916"/>
  <c r="FS385" i="23916"/>
  <c r="DY573" i="23916"/>
  <c r="DY575" i="23916" s="1"/>
  <c r="DY407" i="23916"/>
  <c r="DY210" i="23916"/>
  <c r="DZ209" i="23916"/>
  <c r="FT159" i="23916"/>
  <c r="AM571" i="23916"/>
  <c r="AM404" i="23916"/>
  <c r="AN59" i="23916"/>
  <c r="DV546" i="23916"/>
  <c r="AT385" i="23916"/>
  <c r="AS387" i="23916"/>
  <c r="GH574" i="23916"/>
  <c r="GH410" i="23916"/>
  <c r="GI308" i="23916"/>
  <c r="CZ408" i="23916"/>
  <c r="BM574" i="23916"/>
  <c r="BM410" i="23916"/>
  <c r="BN308" i="23916"/>
  <c r="BP308" i="23916"/>
  <c r="FQ240" i="23916"/>
  <c r="DV277" i="23916"/>
  <c r="FV408" i="23916"/>
  <c r="FW243" i="23916"/>
  <c r="DG403" i="23916"/>
  <c r="DH163" i="23916"/>
  <c r="AU403" i="23916"/>
  <c r="AV163" i="23916"/>
  <c r="CR398" i="23916"/>
  <c r="CK403" i="23916"/>
  <c r="CL163" i="23916"/>
  <c r="ED404" i="23916"/>
  <c r="AW572" i="23916"/>
  <c r="AW406" i="23916"/>
  <c r="BF406" i="23916" s="1"/>
  <c r="AX129" i="23916"/>
  <c r="CP395" i="23916"/>
  <c r="CO398" i="23916"/>
  <c r="AK163" i="23916"/>
  <c r="AK160" i="23916"/>
  <c r="FN159" i="23916"/>
  <c r="EH522" i="23916"/>
  <c r="EG523" i="23916"/>
  <c r="DB522" i="23916"/>
  <c r="DA523" i="23916"/>
  <c r="BV522" i="23916"/>
  <c r="BU523" i="23916"/>
  <c r="EK485" i="23916"/>
  <c r="EL483" i="23916"/>
  <c r="FY305" i="23916"/>
  <c r="FX308" i="23916"/>
  <c r="FX11" i="23916"/>
  <c r="GA305" i="23916"/>
  <c r="FB410" i="23916"/>
  <c r="FE410" i="23916" s="1"/>
  <c r="FC333" i="23916"/>
  <c r="CR407" i="23916"/>
  <c r="CB407" i="23916"/>
  <c r="BK573" i="23916"/>
  <c r="BK407" i="23916"/>
  <c r="BK210" i="23916"/>
  <c r="BL210" i="23916" s="1"/>
  <c r="BL209" i="23916"/>
  <c r="BV408" i="23916"/>
  <c r="BA573" i="23916"/>
  <c r="BA407" i="23916"/>
  <c r="BA210" i="23916"/>
  <c r="BB210" i="23916" s="1"/>
  <c r="BB209" i="23916"/>
  <c r="BT26" i="23916"/>
  <c r="BS28" i="23916"/>
  <c r="FJ27" i="23916"/>
  <c r="AT27" i="23916"/>
  <c r="AL27" i="23916"/>
  <c r="DQ573" i="23916"/>
  <c r="DQ575" i="23916" s="1"/>
  <c r="DQ407" i="23916"/>
  <c r="DQ210" i="23916"/>
  <c r="DR210" i="23916" s="1"/>
  <c r="DR209" i="23916"/>
  <c r="FO93" i="23916"/>
  <c r="FN94" i="23916"/>
  <c r="FO94" i="23916" s="1"/>
  <c r="FN97" i="23916"/>
  <c r="BV405" i="23916"/>
  <c r="BN406" i="23916"/>
  <c r="FW522" i="23916"/>
  <c r="FV523" i="23916"/>
  <c r="GO294" i="23916"/>
  <c r="GP294" i="23916"/>
  <c r="CH408" i="23916"/>
  <c r="DJ408" i="23916"/>
  <c r="FJ209" i="23916"/>
  <c r="FK205" i="23916"/>
  <c r="FJ206" i="23916"/>
  <c r="FM205" i="23916"/>
  <c r="CY403" i="23916"/>
  <c r="CZ163" i="23916"/>
  <c r="AM403" i="23916"/>
  <c r="AN163" i="23916"/>
  <c r="FQ145" i="23916"/>
  <c r="FP159" i="23916"/>
  <c r="BB406" i="23916"/>
  <c r="DB405" i="23916"/>
  <c r="BZ395" i="23916"/>
  <c r="BY398" i="23916"/>
  <c r="BZ398" i="23916" s="1"/>
  <c r="GN393" i="23916"/>
  <c r="GO393" i="23916" s="1"/>
  <c r="GO295" i="23916"/>
  <c r="GP295" i="23916"/>
  <c r="FG302" i="23916"/>
  <c r="FF305" i="23916"/>
  <c r="FG305" i="23916" s="1"/>
  <c r="EM198" i="23916"/>
  <c r="EN198" i="23916" s="1"/>
  <c r="EN194" i="23916"/>
  <c r="BT206" i="23916"/>
  <c r="GB126" i="23916"/>
  <c r="GB129" i="23916"/>
  <c r="GC125" i="23916"/>
  <c r="GE125" i="23916"/>
  <c r="CT7" i="23916"/>
  <c r="CS12" i="23916"/>
  <c r="AG403" i="23916"/>
  <c r="AH163" i="23916"/>
  <c r="GG387" i="23916"/>
  <c r="GB94" i="23916"/>
  <c r="GC94" i="23916" s="1"/>
  <c r="GB97" i="23916"/>
  <c r="GC93" i="23916"/>
  <c r="BM398" i="23916"/>
  <c r="BN387" i="23916"/>
  <c r="BV387" i="23916"/>
  <c r="BJ395" i="23916"/>
  <c r="BI398" i="23916"/>
  <c r="DU523" i="23916"/>
  <c r="DV523" i="23916" s="1"/>
  <c r="DV522" i="23916"/>
  <c r="CO523" i="23916"/>
  <c r="CP523" i="23916" s="1"/>
  <c r="CP522" i="23916"/>
  <c r="BJ522" i="23916"/>
  <c r="BI523" i="23916"/>
  <c r="BJ523" i="23916" s="1"/>
  <c r="FK286" i="23916"/>
  <c r="FJ289" i="23916"/>
  <c r="GO301" i="23916"/>
  <c r="GP301" i="23916"/>
  <c r="CC409" i="23916"/>
  <c r="CD280" i="23916"/>
  <c r="CC574" i="23916"/>
  <c r="GF408" i="23916"/>
  <c r="GG243" i="23916"/>
  <c r="FZ408" i="23916"/>
  <c r="GA243" i="23916"/>
  <c r="GN286" i="23916"/>
  <c r="GM286" i="23916"/>
  <c r="CT408" i="23916"/>
  <c r="BM409" i="23916"/>
  <c r="BN280" i="23916"/>
  <c r="AC573" i="23916"/>
  <c r="AC407" i="23916"/>
  <c r="AC210" i="23916"/>
  <c r="AD209" i="23916"/>
  <c r="FX580" i="23916"/>
  <c r="FX493" i="23916"/>
  <c r="BJ406" i="23916"/>
  <c r="CL395" i="23916"/>
  <c r="CK398" i="23916"/>
  <c r="FH572" i="23916"/>
  <c r="FH406" i="23916"/>
  <c r="FI129" i="23916"/>
  <c r="CX36" i="23916"/>
  <c r="GA522" i="23916"/>
  <c r="FZ523" i="23916"/>
  <c r="FZ405" i="23916"/>
  <c r="BE355" i="23916"/>
  <c r="GE276" i="23916"/>
  <c r="GD277" i="23916"/>
  <c r="GE277" i="23916" s="1"/>
  <c r="GD280" i="23916"/>
  <c r="GD10" i="23916"/>
  <c r="BA352" i="23916"/>
  <c r="BB341" i="23916"/>
  <c r="BJ341" i="23916"/>
  <c r="AY289" i="23916"/>
  <c r="AY385" i="23916"/>
  <c r="FL243" i="23916"/>
  <c r="FM239" i="23916"/>
  <c r="FL240" i="23916"/>
  <c r="DF408" i="23916"/>
  <c r="FI302" i="23916"/>
  <c r="AK126" i="23916"/>
  <c r="AK129" i="23916"/>
  <c r="AL125" i="23916"/>
  <c r="AT125" i="23916"/>
  <c r="DJ404" i="23916"/>
  <c r="AD404" i="23916"/>
  <c r="AJ145" i="23916"/>
  <c r="AI159" i="23916"/>
  <c r="AR145" i="23916"/>
  <c r="AI56" i="23916"/>
  <c r="AJ56" i="23916" s="1"/>
  <c r="AI59" i="23916"/>
  <c r="AJ55" i="23916"/>
  <c r="AB408" i="23916"/>
  <c r="DM409" i="23916"/>
  <c r="DN280" i="23916"/>
  <c r="DM574" i="23916"/>
  <c r="BD210" i="23916"/>
  <c r="GI240" i="23916"/>
  <c r="DW12" i="23916"/>
  <c r="DX7" i="23916"/>
  <c r="DC12" i="23916"/>
  <c r="DD7" i="23916"/>
  <c r="BJ405" i="23916"/>
  <c r="FL34" i="23916"/>
  <c r="AE405" i="23916"/>
  <c r="AF97" i="23916"/>
  <c r="AN97" i="23916"/>
  <c r="DN405" i="23916"/>
  <c r="AD546" i="23916"/>
  <c r="O308" i="23916"/>
  <c r="P305" i="23916"/>
  <c r="R305" i="23916"/>
  <c r="EO260" i="23916"/>
  <c r="EP272" i="23916"/>
  <c r="EQ272" i="23916"/>
  <c r="DV408" i="23916"/>
  <c r="AZ407" i="23916"/>
  <c r="BF408" i="23916"/>
  <c r="GH209" i="23916"/>
  <c r="GI205" i="23916"/>
  <c r="GH206" i="23916"/>
  <c r="GI206" i="23916" s="1"/>
  <c r="GH8" i="23916"/>
  <c r="GI8" i="23916" s="1"/>
  <c r="CH7" i="23916"/>
  <c r="CG12" i="23916"/>
  <c r="EM129" i="23916"/>
  <c r="EN125" i="23916"/>
  <c r="EM126" i="23916"/>
  <c r="EN126" i="23916" s="1"/>
  <c r="CO403" i="23916"/>
  <c r="CP163" i="23916"/>
  <c r="AI129" i="23916"/>
  <c r="AJ125" i="23916"/>
  <c r="AI126" i="23916"/>
  <c r="AR125" i="23916"/>
  <c r="EH404" i="23916"/>
  <c r="EF36" i="23916"/>
  <c r="EN36" i="23916"/>
  <c r="AF404" i="23916"/>
  <c r="GB571" i="23916"/>
  <c r="GB404" i="23916"/>
  <c r="GC59" i="23916"/>
  <c r="BF338" i="23916"/>
  <c r="AX338" i="23916"/>
  <c r="AW341" i="23916"/>
  <c r="AW286" i="23916"/>
  <c r="FL338" i="23916"/>
  <c r="GL293" i="23916"/>
  <c r="GK293" i="23916"/>
  <c r="GJ302" i="23916"/>
  <c r="GK302" i="23916" s="1"/>
  <c r="AQ355" i="23916"/>
  <c r="AR352" i="23916"/>
  <c r="EP256" i="23916"/>
  <c r="CO409" i="23916"/>
  <c r="CP280" i="23916"/>
  <c r="CO574" i="23916"/>
  <c r="CO575" i="23916" s="1"/>
  <c r="AG573" i="23916"/>
  <c r="AG407" i="23916"/>
  <c r="AG210" i="23916"/>
  <c r="AH210" i="23916" s="1"/>
  <c r="AH209" i="23916"/>
  <c r="DE573" i="23916"/>
  <c r="DE575" i="23916" s="1"/>
  <c r="DE407" i="23916"/>
  <c r="DE210" i="23916"/>
  <c r="DF209" i="23916"/>
  <c r="CA403" i="23916"/>
  <c r="CB163" i="23916"/>
  <c r="DQ403" i="23916"/>
  <c r="DR163" i="23916"/>
  <c r="DQ164" i="23916"/>
  <c r="GS75" i="23916"/>
  <c r="GT75" i="23916"/>
  <c r="CX404" i="23916"/>
  <c r="CM12" i="23916"/>
  <c r="CN7" i="23916"/>
  <c r="DB36" i="23916"/>
  <c r="FN56" i="23916"/>
  <c r="FO56" i="23916" s="1"/>
  <c r="FN59" i="23916"/>
  <c r="FO55" i="23916"/>
  <c r="FY522" i="23916"/>
  <c r="FX523" i="23916"/>
  <c r="FY523" i="23916" s="1"/>
  <c r="FI556" i="23916"/>
  <c r="FK556" i="23916"/>
  <c r="GD574" i="23916"/>
  <c r="GD410" i="23916"/>
  <c r="GE308" i="23916"/>
  <c r="CM409" i="23916"/>
  <c r="CN280" i="23916"/>
  <c r="CM574" i="23916"/>
  <c r="CM575" i="23916" s="1"/>
  <c r="CV280" i="23916"/>
  <c r="BK409" i="23916"/>
  <c r="BL280" i="23916"/>
  <c r="BT280" i="23916"/>
  <c r="DL408" i="23916"/>
  <c r="FJ240" i="23916"/>
  <c r="FK240" i="23916" s="1"/>
  <c r="FK239" i="23916"/>
  <c r="FJ243" i="23916"/>
  <c r="EH408" i="23916"/>
  <c r="EC403" i="23916"/>
  <c r="ED163" i="23916"/>
  <c r="EC164" i="23916"/>
  <c r="BD26" i="23916"/>
  <c r="BC28" i="23916"/>
  <c r="AI28" i="23916"/>
  <c r="FQ412" i="23916"/>
  <c r="FG126" i="23916"/>
  <c r="DP126" i="23916"/>
  <c r="DX126" i="23916"/>
  <c r="BN56" i="23916"/>
  <c r="DV36" i="23916"/>
  <c r="FE355" i="23916"/>
  <c r="DD407" i="23916"/>
  <c r="CN407" i="23916"/>
  <c r="BX407" i="23916"/>
  <c r="AH408" i="23916"/>
  <c r="EF160" i="23916"/>
  <c r="DV404" i="23916"/>
  <c r="GF395" i="23916"/>
  <c r="GG395" i="23916" s="1"/>
  <c r="GP76" i="23916"/>
  <c r="GO76" i="23916"/>
  <c r="GN78" i="23916"/>
  <c r="EI572" i="23916"/>
  <c r="EI406" i="23916"/>
  <c r="EJ129" i="23916"/>
  <c r="BZ405" i="23916"/>
  <c r="AJ156" i="23916"/>
  <c r="AR156" i="23916"/>
  <c r="CD395" i="23916"/>
  <c r="CC398" i="23916"/>
  <c r="FY152" i="23916"/>
  <c r="CY571" i="23916"/>
  <c r="CY404" i="23916"/>
  <c r="CZ59" i="23916"/>
  <c r="FQ333" i="23916"/>
  <c r="FV574" i="23916"/>
  <c r="FV410" i="23916"/>
  <c r="FW308" i="23916"/>
  <c r="EJ408" i="23916"/>
  <c r="BX408" i="23916"/>
  <c r="BI574" i="23916"/>
  <c r="BI410" i="23916"/>
  <c r="BJ308" i="23916"/>
  <c r="FO239" i="23916"/>
  <c r="BT209" i="23916"/>
  <c r="DL210" i="23916"/>
  <c r="DY12" i="23916"/>
  <c r="DZ7" i="23916"/>
  <c r="BM403" i="23916"/>
  <c r="BN163" i="23916"/>
  <c r="BN405" i="23916"/>
  <c r="FT398" i="23916"/>
  <c r="FU387" i="23916"/>
  <c r="DG571" i="23916"/>
  <c r="DG575" i="23916" s="1"/>
  <c r="DG404" i="23916"/>
  <c r="DH59" i="23916"/>
  <c r="GL530" i="23916"/>
  <c r="GK530" i="23916"/>
  <c r="GJ507" i="23916"/>
  <c r="GK507" i="23916" s="1"/>
  <c r="AV489" i="23916"/>
  <c r="BD489" i="23916"/>
  <c r="FY394" i="23916"/>
  <c r="DA574" i="23916"/>
  <c r="DA410" i="23916"/>
  <c r="DB308" i="23916"/>
  <c r="DD308" i="23916"/>
  <c r="CV210" i="23916"/>
  <c r="CF210" i="23916"/>
  <c r="BZ409" i="23916"/>
  <c r="FU181" i="23916"/>
  <c r="BI571" i="23916"/>
  <c r="BI404" i="23916"/>
  <c r="BJ59" i="23916"/>
  <c r="AG411" i="23916"/>
  <c r="AH404" i="23916"/>
  <c r="GH571" i="23916"/>
  <c r="GH404" i="23916"/>
  <c r="GI59" i="23916"/>
  <c r="EB56" i="23916"/>
  <c r="BK571" i="23916"/>
  <c r="BK404" i="23916"/>
  <c r="BL59" i="23916"/>
  <c r="GI28" i="23916"/>
  <c r="BS571" i="23916"/>
  <c r="BS404" i="23916"/>
  <c r="BT59" i="23916"/>
  <c r="EJ59" i="23916"/>
  <c r="GJ517" i="23916"/>
  <c r="EQ519" i="23916"/>
  <c r="ER517" i="23916"/>
  <c r="AK574" i="23916"/>
  <c r="CG574" i="23916"/>
  <c r="CG410" i="23916"/>
  <c r="CH308" i="23916"/>
  <c r="CJ308" i="23916"/>
  <c r="FF408" i="23916"/>
  <c r="FG243" i="23916"/>
  <c r="Z407" i="23916"/>
  <c r="DR395" i="23916"/>
  <c r="DQ398" i="23916"/>
  <c r="GE392" i="23916"/>
  <c r="GD395" i="23916"/>
  <c r="DK12" i="23916"/>
  <c r="DL7" i="23916"/>
  <c r="FZ159" i="23916"/>
  <c r="AP26" i="23916"/>
  <c r="AO28" i="23916"/>
  <c r="CD404" i="23916"/>
  <c r="CI572" i="23916"/>
  <c r="CI406" i="23916"/>
  <c r="CJ129" i="23916"/>
  <c r="CR129" i="23916"/>
  <c r="FO32" i="23916"/>
  <c r="FM386" i="23916"/>
  <c r="FQ392" i="23916"/>
  <c r="FP395" i="23916"/>
  <c r="CA571" i="23916"/>
  <c r="CA575" i="23916" s="1"/>
  <c r="CA404" i="23916"/>
  <c r="CB59" i="23916"/>
  <c r="CX556" i="23916"/>
  <c r="BR556" i="23916"/>
  <c r="Z523" i="23916"/>
  <c r="BH489" i="23916"/>
  <c r="BP489" i="23916"/>
  <c r="CJ277" i="23916"/>
  <c r="CR277" i="23916"/>
  <c r="DX408" i="23916"/>
  <c r="BV410" i="23916"/>
  <c r="GN296" i="23916"/>
  <c r="GM296" i="23916"/>
  <c r="GG11" i="23916"/>
  <c r="CQ12" i="23916"/>
  <c r="CR7" i="23916"/>
  <c r="FJ129" i="23916"/>
  <c r="FK125" i="23916"/>
  <c r="FJ126" i="23916"/>
  <c r="FK126" i="23916" s="1"/>
  <c r="BD395" i="23916"/>
  <c r="DA12" i="23916"/>
  <c r="DB7" i="23916"/>
  <c r="AO403" i="23916"/>
  <c r="AP163" i="23916"/>
  <c r="EN90" i="23916"/>
  <c r="EM84" i="23916"/>
  <c r="EN84" i="23916" s="1"/>
  <c r="EO90" i="23916"/>
  <c r="BY411" i="23916"/>
  <c r="BZ404" i="23916"/>
  <c r="GC392" i="23916"/>
  <c r="GB395" i="23916"/>
  <c r="FJ395" i="23916"/>
  <c r="FK395" i="23916" s="1"/>
  <c r="FK390" i="23916"/>
  <c r="GF94" i="23916"/>
  <c r="GG94" i="23916" s="1"/>
  <c r="GF97" i="23916"/>
  <c r="GG93" i="23916"/>
  <c r="FQ386" i="23916"/>
  <c r="FS386" i="23916"/>
  <c r="CJ56" i="23916"/>
  <c r="DI523" i="23916"/>
  <c r="DJ523" i="23916" s="1"/>
  <c r="DJ522" i="23916"/>
  <c r="CD522" i="23916"/>
  <c r="CC523" i="23916"/>
  <c r="CD523" i="23916" s="1"/>
  <c r="AE308" i="23916"/>
  <c r="AF305" i="23916"/>
  <c r="AH305" i="23916"/>
  <c r="GB277" i="23916"/>
  <c r="GB280" i="23916"/>
  <c r="GC276" i="23916"/>
  <c r="GB10" i="23916"/>
  <c r="M451" i="23916"/>
  <c r="N408" i="23916"/>
  <c r="AK410" i="23916"/>
  <c r="AL308" i="23916"/>
  <c r="FN209" i="23916"/>
  <c r="FO205" i="23916"/>
  <c r="FN206" i="23916"/>
  <c r="FO206" i="23916" s="1"/>
  <c r="FG160" i="23916"/>
  <c r="GJ110" i="23916"/>
  <c r="GK107" i="23916"/>
  <c r="GL107" i="23916"/>
  <c r="EP116" i="23916"/>
  <c r="GJ116" i="23916"/>
  <c r="DU12" i="23916"/>
  <c r="DV7" i="23916"/>
  <c r="BJ160" i="23916"/>
  <c r="GI387" i="23916"/>
  <c r="BG572" i="23916"/>
  <c r="BG406" i="23916"/>
  <c r="BH129" i="23916"/>
  <c r="BP129" i="23916"/>
  <c r="BV56" i="23916"/>
  <c r="FK391" i="23916"/>
  <c r="FM391" i="23916"/>
  <c r="FL395" i="23916"/>
  <c r="FM395" i="23916" s="1"/>
  <c r="FM390" i="23916"/>
  <c r="DZ8" i="23916"/>
  <c r="FL94" i="23916"/>
  <c r="FM94" i="23916" s="1"/>
  <c r="FL97" i="23916"/>
  <c r="FM93" i="23916"/>
  <c r="FK546" i="23916"/>
  <c r="AA410" i="23916"/>
  <c r="AB308" i="23916"/>
  <c r="DP408" i="23916"/>
  <c r="BN305" i="23916"/>
  <c r="CG573" i="23916"/>
  <c r="CG575" i="23916" s="1"/>
  <c r="CG407" i="23916"/>
  <c r="CG210" i="23916"/>
  <c r="CH210" i="23916" s="1"/>
  <c r="CH209" i="23916"/>
  <c r="DG12" i="23916"/>
  <c r="DH7" i="23916"/>
  <c r="AV160" i="23916"/>
  <c r="CA36" i="23916"/>
  <c r="CJ36" i="23916" s="1"/>
  <c r="CB28" i="23916"/>
  <c r="DZ395" i="23916"/>
  <c r="DY398" i="23916"/>
  <c r="DZ398" i="23916" s="1"/>
  <c r="FP26" i="23916"/>
  <c r="BJ26" i="23916"/>
  <c r="BI28" i="23916"/>
  <c r="DT160" i="23916"/>
  <c r="BH160" i="23916"/>
  <c r="FY181" i="23916"/>
  <c r="GA181" i="23916"/>
  <c r="FI405" i="23916"/>
  <c r="DX36" i="23916"/>
  <c r="AX126" i="23916"/>
  <c r="AU571" i="23916"/>
  <c r="AU404" i="23916"/>
  <c r="AV59" i="23916"/>
  <c r="FP571" i="23916"/>
  <c r="FP404" i="23916"/>
  <c r="FQ59" i="23916"/>
  <c r="FN523" i="23916"/>
  <c r="GL46" i="23916"/>
  <c r="GK46" i="23916"/>
  <c r="EP508" i="23916"/>
  <c r="EO509" i="23916"/>
  <c r="EP509" i="23916" s="1"/>
  <c r="BQ409" i="23916"/>
  <c r="BR280" i="23916"/>
  <c r="BQ574" i="23916"/>
  <c r="AD408" i="23916"/>
  <c r="CS573" i="23916"/>
  <c r="CS575" i="23916" s="1"/>
  <c r="CS407" i="23916"/>
  <c r="CS210" i="23916"/>
  <c r="CT210" i="23916" s="1"/>
  <c r="CT209" i="23916"/>
  <c r="CX7" i="23916"/>
  <c r="CW12" i="23916"/>
  <c r="BV26" i="23916"/>
  <c r="BU28" i="23916"/>
  <c r="CD26" i="23916"/>
  <c r="FD406" i="23916"/>
  <c r="FE129" i="23916"/>
  <c r="FY28" i="23916"/>
  <c r="AV385" i="23916"/>
  <c r="AU387" i="23916"/>
  <c r="DN408" i="23916"/>
  <c r="FI409" i="23916"/>
  <c r="AN407" i="23916"/>
  <c r="FK203" i="23916"/>
  <c r="FM203" i="23916"/>
  <c r="CY12" i="23916"/>
  <c r="CZ7" i="23916"/>
  <c r="CT395" i="23916"/>
  <c r="CS398" i="23916"/>
  <c r="CT398" i="23916" s="1"/>
  <c r="AJ391" i="23916"/>
  <c r="AR391" i="23916"/>
  <c r="FR436" i="23916"/>
  <c r="FS433" i="23916"/>
  <c r="FU433" i="23916"/>
  <c r="FG394" i="23916"/>
  <c r="FF395" i="23916"/>
  <c r="FT408" i="23916"/>
  <c r="FU243" i="23916"/>
  <c r="AC410" i="23916"/>
  <c r="AD308" i="23916"/>
  <c r="AJ408" i="23916"/>
  <c r="CL408" i="23916"/>
  <c r="BF407" i="23916"/>
  <c r="CU403" i="23916"/>
  <c r="CV163" i="23916"/>
  <c r="AP404" i="23916"/>
  <c r="CS403" i="23916"/>
  <c r="CT163" i="23916"/>
  <c r="DS571" i="23916"/>
  <c r="DS575" i="23916" s="1"/>
  <c r="DS404" i="23916"/>
  <c r="DT59" i="23916"/>
  <c r="CT405" i="23916"/>
  <c r="FI489" i="23916"/>
  <c r="FK489" i="23916"/>
  <c r="AQ305" i="23916"/>
  <c r="AR289" i="23916"/>
  <c r="AU573" i="23916"/>
  <c r="AU407" i="23916"/>
  <c r="BD407" i="23916" s="1"/>
  <c r="AU210" i="23916"/>
  <c r="AV210" i="23916" s="1"/>
  <c r="AV209" i="23916"/>
  <c r="BZ277" i="23916"/>
  <c r="BQ573" i="23916"/>
  <c r="BQ407" i="23916"/>
  <c r="BQ210" i="23916"/>
  <c r="BR210" i="23916" s="1"/>
  <c r="BR209" i="23916"/>
  <c r="CI403" i="23916"/>
  <c r="CJ163" i="23916"/>
  <c r="FE206" i="23916"/>
  <c r="FG206" i="23916"/>
  <c r="EB395" i="23916"/>
  <c r="EA398" i="23916"/>
  <c r="CE571" i="23916"/>
  <c r="CE404" i="23916"/>
  <c r="CF59" i="23916"/>
  <c r="ER40" i="23916"/>
  <c r="EQ143" i="23916"/>
  <c r="Q453" i="23916"/>
  <c r="R453" i="23916" s="1"/>
  <c r="R410" i="23916"/>
  <c r="AT523" i="23916"/>
  <c r="GJ504" i="23916"/>
  <c r="ER504" i="23916"/>
  <c r="EM468" i="23916"/>
  <c r="EN468" i="23916" s="1"/>
  <c r="EN466" i="23916"/>
  <c r="FO338" i="23916"/>
  <c r="FN341" i="23916"/>
  <c r="FQ338" i="23916"/>
  <c r="BP408" i="23916"/>
  <c r="CK409" i="23916"/>
  <c r="CL280" i="23916"/>
  <c r="CC573" i="23916"/>
  <c r="CC407" i="23916"/>
  <c r="CC210" i="23916"/>
  <c r="CD210" i="23916" s="1"/>
  <c r="CD209" i="23916"/>
  <c r="FT126" i="23916"/>
  <c r="FT129" i="23916"/>
  <c r="FU125" i="23916"/>
  <c r="FW125" i="23916"/>
  <c r="FO22" i="23916"/>
  <c r="AI387" i="23916"/>
  <c r="AJ384" i="23916"/>
  <c r="AR384" i="23916"/>
  <c r="AX159" i="23916"/>
  <c r="AW163" i="23916"/>
  <c r="AW160" i="23916"/>
  <c r="AX160" i="23916" s="1"/>
  <c r="CL405" i="23916"/>
  <c r="AL395" i="23916"/>
  <c r="GE545" i="23916"/>
  <c r="AU355" i="23916"/>
  <c r="AV355" i="23916" s="1"/>
  <c r="AV352" i="23916"/>
  <c r="DN10" i="23916"/>
  <c r="GI9" i="23916"/>
  <c r="EH7" i="23916"/>
  <c r="EG12" i="23916"/>
  <c r="BU403" i="23916"/>
  <c r="BV163" i="23916"/>
  <c r="GK87" i="23916"/>
  <c r="GL87" i="23916"/>
  <c r="EC573" i="23916"/>
  <c r="EC575" i="23916" s="1"/>
  <c r="EC407" i="23916"/>
  <c r="EC411" i="23916" s="1"/>
  <c r="EC210" i="23916"/>
  <c r="ED210" i="23916" s="1"/>
  <c r="ED209" i="23916"/>
  <c r="AF94" i="23916"/>
  <c r="AN94" i="23916"/>
  <c r="FT59" i="23916"/>
  <c r="FU55" i="23916"/>
  <c r="FT56" i="23916"/>
  <c r="FU56" i="23916" s="1"/>
  <c r="EE571" i="23916"/>
  <c r="EE404" i="23916"/>
  <c r="EF59" i="23916"/>
  <c r="DZ546" i="23916"/>
  <c r="DY523" i="23916"/>
  <c r="DZ523" i="23916" s="1"/>
  <c r="DZ522" i="23916"/>
  <c r="CS523" i="23916"/>
  <c r="CT522" i="23916"/>
  <c r="BN522" i="23916"/>
  <c r="BM523" i="23916"/>
  <c r="BN523" i="23916" s="1"/>
  <c r="CE409" i="23916"/>
  <c r="CF280" i="23916"/>
  <c r="CE574" i="23916"/>
  <c r="EN260" i="23916"/>
  <c r="EM264" i="23916"/>
  <c r="EQ196" i="23916"/>
  <c r="ER196" i="23916" s="1"/>
  <c r="EQ188" i="23916"/>
  <c r="GN253" i="23916"/>
  <c r="GM253" i="23916"/>
  <c r="GM221" i="23916"/>
  <c r="GN221" i="23916"/>
  <c r="AT210" i="23916"/>
  <c r="CH160" i="23916"/>
  <c r="DB395" i="23916"/>
  <c r="DA398" i="23916"/>
  <c r="DF398" i="23916"/>
  <c r="AJ392" i="23916"/>
  <c r="AR392" i="23916"/>
  <c r="AE571" i="23916"/>
  <c r="GT77" i="23916"/>
  <c r="GS77" i="23916"/>
  <c r="ER46" i="23916"/>
  <c r="EQ149" i="23916"/>
  <c r="EL521" i="23916"/>
  <c r="BK355" i="23916"/>
  <c r="BL355" i="23916" s="1"/>
  <c r="BL352" i="23916"/>
  <c r="GJ256" i="23916"/>
  <c r="GL252" i="23916"/>
  <c r="GK252" i="23916"/>
  <c r="V408" i="23916"/>
  <c r="BP407" i="23916"/>
  <c r="AB407" i="23916"/>
  <c r="AP408" i="23916"/>
  <c r="FD408" i="23916"/>
  <c r="FE243" i="23916"/>
  <c r="BJ206" i="23916"/>
  <c r="BH26" i="23916"/>
  <c r="BG28" i="23916"/>
  <c r="GI392" i="23916"/>
  <c r="GH395" i="23916"/>
  <c r="DR160" i="23916"/>
  <c r="BF160" i="23916"/>
  <c r="FL26" i="23916"/>
  <c r="AS28" i="23916"/>
  <c r="DU573" i="23916"/>
  <c r="DU407" i="23916"/>
  <c r="DU210" i="23916"/>
  <c r="DV209" i="23916"/>
  <c r="FI403" i="23916"/>
  <c r="AK398" i="23916"/>
  <c r="CQ571" i="23916"/>
  <c r="CQ575" i="23916" s="1"/>
  <c r="CQ404" i="23916"/>
  <c r="CR59" i="23916"/>
  <c r="EB36" i="23916"/>
  <c r="EJ36" i="23916"/>
  <c r="EH409" i="23916"/>
  <c r="DB409" i="23916"/>
  <c r="DR522" i="23916"/>
  <c r="DQ523" i="23916"/>
  <c r="DR523" i="23916" s="1"/>
  <c r="CL522" i="23916"/>
  <c r="CK523" i="23916"/>
  <c r="CL523" i="23916" s="1"/>
  <c r="BF522" i="23916"/>
  <c r="BE523" i="23916"/>
  <c r="BF523" i="23916" s="1"/>
  <c r="FE556" i="23916"/>
  <c r="FG556" i="23916"/>
  <c r="FI522" i="23916"/>
  <c r="FH523" i="23916"/>
  <c r="FK522" i="23916"/>
  <c r="EM521" i="23916"/>
  <c r="EN519" i="23916"/>
  <c r="CN277" i="23916"/>
  <c r="CV277" i="23916"/>
  <c r="BL277" i="23916"/>
  <c r="BT277" i="23916"/>
  <c r="EB408" i="23916"/>
  <c r="CL410" i="23916"/>
  <c r="GB243" i="23916"/>
  <c r="GC239" i="23916"/>
  <c r="GB240" i="23916"/>
  <c r="GC240" i="23916" s="1"/>
  <c r="GB9" i="23916"/>
  <c r="GC9" i="23916" s="1"/>
  <c r="X407" i="23916"/>
  <c r="BM573" i="23916"/>
  <c r="BM407" i="23916"/>
  <c r="BM210" i="23916"/>
  <c r="BN210" i="23916" s="1"/>
  <c r="BN209" i="23916"/>
  <c r="EC12" i="23916"/>
  <c r="ED7" i="23916"/>
  <c r="AJ181" i="23916"/>
  <c r="AR181" i="23916"/>
  <c r="FZ398" i="23916"/>
  <c r="AJ30" i="23916"/>
  <c r="AR30" i="23916"/>
  <c r="AD152" i="23916"/>
  <c r="AC159" i="23916"/>
  <c r="FE403" i="23916"/>
  <c r="EJ395" i="23916"/>
  <c r="EI398" i="23916"/>
  <c r="W411" i="23916"/>
  <c r="AP405" i="23916"/>
  <c r="GA276" i="23916"/>
  <c r="FZ277" i="23916"/>
  <c r="FZ280" i="23916"/>
  <c r="FZ10" i="23916"/>
  <c r="GA10" i="23916" s="1"/>
  <c r="GR285" i="23916"/>
  <c r="GQ285" i="23916"/>
  <c r="CW409" i="23916"/>
  <c r="CX280" i="23916"/>
  <c r="CW574" i="23916"/>
  <c r="GO222" i="23916"/>
  <c r="GP222" i="23916"/>
  <c r="AO409" i="23916"/>
  <c r="AX409" i="23916" s="1"/>
  <c r="AP280" i="23916"/>
  <c r="FV209" i="23916"/>
  <c r="FW205" i="23916"/>
  <c r="FV206" i="23916"/>
  <c r="FV8" i="23916"/>
  <c r="FY205" i="23916"/>
  <c r="BL126" i="23916"/>
  <c r="BT126" i="23916"/>
  <c r="DM573" i="23916"/>
  <c r="DM407" i="23916"/>
  <c r="DM411" i="23916" s="1"/>
  <c r="DM210" i="23916"/>
  <c r="DN210" i="23916" s="1"/>
  <c r="DN209" i="23916"/>
  <c r="GP109" i="23916"/>
  <c r="GO109" i="23916"/>
  <c r="AD405" i="23916"/>
  <c r="BB395" i="23916"/>
  <c r="CZ56" i="23916"/>
  <c r="DJ546" i="23916"/>
  <c r="CT410" i="23916"/>
  <c r="CN408" i="23916"/>
  <c r="FF410" i="23916"/>
  <c r="FG333" i="23916"/>
  <c r="FO240" i="23916"/>
  <c r="CZ210" i="23916"/>
  <c r="CJ210" i="23916"/>
  <c r="BT210" i="23916"/>
  <c r="CL210" i="23916"/>
  <c r="BV210" i="23916"/>
  <c r="AL206" i="23916"/>
  <c r="FO154" i="23916"/>
  <c r="FQ154" i="23916"/>
  <c r="EA403" i="23916"/>
  <c r="EA164" i="23916"/>
  <c r="EB163" i="23916"/>
  <c r="BO403" i="23916"/>
  <c r="BP163" i="23916"/>
  <c r="FR398" i="23916"/>
  <c r="FS387" i="23916"/>
  <c r="FQ22" i="23916"/>
  <c r="CY572" i="23916"/>
  <c r="CY406" i="23916"/>
  <c r="CZ129" i="23916"/>
  <c r="DH129" i="23916"/>
  <c r="AC398" i="23916"/>
  <c r="AD398" i="23916" s="1"/>
  <c r="GC28" i="23916"/>
  <c r="CH395" i="23916"/>
  <c r="CG398" i="23916"/>
  <c r="CH398" i="23916" s="1"/>
  <c r="DH56" i="23916"/>
  <c r="DE523" i="23916"/>
  <c r="DF522" i="23916"/>
  <c r="BZ522" i="23916"/>
  <c r="BY523" i="23916"/>
  <c r="BN546" i="23916"/>
  <c r="FI410" i="23916"/>
  <c r="BD408" i="23916"/>
  <c r="AT408" i="23916"/>
  <c r="AO410" i="23916"/>
  <c r="AP308" i="23916"/>
  <c r="FD574" i="23916"/>
  <c r="FD409" i="23916"/>
  <c r="FE280" i="23916"/>
  <c r="CV407" i="23916"/>
  <c r="CF407" i="23916"/>
  <c r="U573" i="23916"/>
  <c r="U407" i="23916"/>
  <c r="U210" i="23916"/>
  <c r="V210" i="23916" s="1"/>
  <c r="V209" i="23916"/>
  <c r="EO83" i="23916"/>
  <c r="EN83" i="23916"/>
  <c r="EM85" i="23916"/>
  <c r="DN404" i="23916"/>
  <c r="EO191" i="23916"/>
  <c r="EP189" i="23916"/>
  <c r="EQ189" i="23916"/>
  <c r="BV395" i="23916"/>
  <c r="BU398" i="23916"/>
  <c r="BV398" i="23916" s="1"/>
  <c r="GI56" i="23916"/>
  <c r="AR55" i="23916"/>
  <c r="FP35" i="23916"/>
  <c r="FQ35" i="23916" s="1"/>
  <c r="FP33" i="23916"/>
  <c r="FQ33" i="23916" s="1"/>
  <c r="FQ34" i="23916"/>
  <c r="FX94" i="23916"/>
  <c r="FY94" i="23916" s="1"/>
  <c r="FX97" i="23916"/>
  <c r="FY93" i="23916"/>
  <c r="AE403" i="23916"/>
  <c r="AF163" i="23916"/>
  <c r="ED36" i="23916"/>
  <c r="EL36" i="23916"/>
  <c r="BT56" i="23916"/>
  <c r="GD405" i="23916"/>
  <c r="GE97" i="23916"/>
  <c r="EI411" i="23916"/>
  <c r="EJ404" i="23916"/>
  <c r="EO519" i="23916"/>
  <c r="GL506" i="23916"/>
  <c r="GJ505" i="23916"/>
  <c r="GK505" i="23916" s="1"/>
  <c r="GK506" i="23916"/>
  <c r="GJ510" i="23916"/>
  <c r="GK510" i="23916" s="1"/>
  <c r="GJ508" i="23916"/>
  <c r="CR489" i="23916"/>
  <c r="AP355" i="23916"/>
  <c r="AM410" i="23916"/>
  <c r="AN308" i="23916"/>
  <c r="FR308" i="23916"/>
  <c r="FU305" i="23916"/>
  <c r="EQ273" i="23916"/>
  <c r="EP273" i="23916"/>
  <c r="EO263" i="23916"/>
  <c r="FQ203" i="23916"/>
  <c r="FS203" i="23916"/>
  <c r="BH210" i="23916"/>
  <c r="EN228" i="23916"/>
  <c r="EM231" i="23916"/>
  <c r="DE12" i="23916"/>
  <c r="DF7" i="23916"/>
  <c r="AT160" i="23916"/>
  <c r="CC575" i="23916"/>
  <c r="EG573" i="23916"/>
  <c r="EG575" i="23916" s="1"/>
  <c r="EG407" i="23916"/>
  <c r="EG411" i="23916" s="1"/>
  <c r="EG210" i="23916"/>
  <c r="EH210" i="23916" s="1"/>
  <c r="EH209" i="23916"/>
  <c r="AK571" i="23916"/>
  <c r="AK404" i="23916"/>
  <c r="AL59" i="23916"/>
  <c r="FN35" i="23916"/>
  <c r="FN33" i="23916"/>
  <c r="FO34" i="23916"/>
  <c r="CB56" i="23916"/>
  <c r="CX522" i="23916"/>
  <c r="CW523" i="23916"/>
  <c r="CX523" i="23916" s="1"/>
  <c r="BR522" i="23916"/>
  <c r="BQ523" i="23916"/>
  <c r="BR523" i="23916" s="1"/>
  <c r="GI521" i="23916"/>
  <c r="GH522" i="23916"/>
  <c r="GH545" i="23916"/>
  <c r="GI545" i="23916" s="1"/>
  <c r="GH556" i="23916"/>
  <c r="GI556" i="23916" s="1"/>
  <c r="CB408" i="23916"/>
  <c r="FK276" i="23916"/>
  <c r="FJ277" i="23916"/>
  <c r="FJ280" i="23916"/>
  <c r="FM276" i="23916"/>
  <c r="AR408" i="23916"/>
  <c r="GF410" i="23916"/>
  <c r="GG308" i="23916"/>
  <c r="CR160" i="23916"/>
  <c r="DA403" i="23916"/>
  <c r="DB163" i="23916"/>
  <c r="GF126" i="23916"/>
  <c r="GG126" i="23916" s="1"/>
  <c r="GF129" i="23916"/>
  <c r="GG125" i="23916"/>
  <c r="FR26" i="23916"/>
  <c r="FS26" i="23916" s="1"/>
  <c r="FE404" i="23916"/>
  <c r="BY575" i="23916"/>
  <c r="EJ160" i="23916"/>
  <c r="BX160" i="23916"/>
  <c r="FP398" i="23916"/>
  <c r="CN36" i="23916"/>
  <c r="GE546" i="23916"/>
  <c r="GL520" i="23916"/>
  <c r="GK520" i="23916"/>
  <c r="EQ442" i="23916"/>
  <c r="ER442" i="23916" s="1"/>
  <c r="EP442" i="23916"/>
  <c r="EK410" i="23916"/>
  <c r="EL308" i="23916"/>
  <c r="FP305" i="23916"/>
  <c r="FS305" i="23916" s="1"/>
  <c r="BJ408" i="23916"/>
  <c r="DI409" i="23916"/>
  <c r="DI411" i="23916" s="1"/>
  <c r="DJ280" i="23916"/>
  <c r="DI574" i="23916"/>
  <c r="DI575" i="23916" s="1"/>
  <c r="FM302" i="23916"/>
  <c r="DM12" i="23916"/>
  <c r="DN7" i="23916"/>
  <c r="BB160" i="23916"/>
  <c r="EH395" i="23916"/>
  <c r="EG398" i="23916"/>
  <c r="EH398" i="23916" s="1"/>
  <c r="FG163" i="23916"/>
  <c r="EO125" i="23916"/>
  <c r="EP110" i="23916"/>
  <c r="DV160" i="23916"/>
  <c r="BI403" i="23916"/>
  <c r="BJ163" i="23916"/>
  <c r="DZ206" i="23916"/>
  <c r="CZ36" i="23916"/>
  <c r="CD405" i="23916"/>
  <c r="FX142" i="23916"/>
  <c r="FX42" i="23916"/>
  <c r="FY39" i="23916"/>
  <c r="FX51" i="23916"/>
  <c r="GA39" i="23916"/>
  <c r="EM391" i="23916"/>
  <c r="EN391" i="23916" s="1"/>
  <c r="FS521" i="23916"/>
  <c r="FR522" i="23916"/>
  <c r="FR556" i="23916"/>
  <c r="FS556" i="23916" s="1"/>
  <c r="FR545" i="23916"/>
  <c r="FS545" i="23916" s="1"/>
  <c r="FJ352" i="23916"/>
  <c r="FK341" i="23916"/>
  <c r="EF408" i="23916"/>
  <c r="BT408" i="23916"/>
  <c r="FX277" i="23916"/>
  <c r="FY277" i="23916" s="1"/>
  <c r="FX280" i="23916"/>
  <c r="FY276" i="23916"/>
  <c r="FX10" i="23916"/>
  <c r="FY10" i="23916" s="1"/>
  <c r="FP408" i="23916"/>
  <c r="FQ243" i="23916"/>
  <c r="BL395" i="23916"/>
  <c r="DU409" i="23916"/>
  <c r="DV280" i="23916"/>
  <c r="DU574" i="23916"/>
  <c r="DU575" i="23916" s="1"/>
  <c r="DZ408" i="23916"/>
  <c r="FW240" i="23916"/>
  <c r="AF408" i="23916"/>
  <c r="AZ395" i="23916"/>
  <c r="BH395" i="23916"/>
  <c r="DH160" i="23916"/>
  <c r="CB26" i="23916"/>
  <c r="CL160" i="23916"/>
  <c r="BR59" i="23916"/>
  <c r="DS403" i="23916"/>
  <c r="DS164" i="23916"/>
  <c r="DT163" i="23916"/>
  <c r="BG403" i="23916"/>
  <c r="BH163" i="23916"/>
  <c r="EH36" i="23916"/>
  <c r="EP36" i="23916"/>
  <c r="BC398" i="23916"/>
  <c r="BD387" i="23916"/>
  <c r="DO571" i="23916"/>
  <c r="DO575" i="23916" s="1"/>
  <c r="DO404" i="23916"/>
  <c r="DP59" i="23916"/>
  <c r="AV56" i="23916"/>
  <c r="AQ403" i="23916"/>
  <c r="GJ459" i="23916"/>
  <c r="FP409" i="23916"/>
  <c r="FQ280" i="23916"/>
  <c r="FS280" i="23916"/>
  <c r="AI405" i="23916"/>
  <c r="AJ97" i="23916"/>
  <c r="AR97" i="23916"/>
  <c r="GK40" i="23916"/>
  <c r="GJ143" i="23916"/>
  <c r="GL40" i="23916"/>
  <c r="EK567" i="23916"/>
  <c r="EM482" i="23916"/>
  <c r="EM483" i="23916"/>
  <c r="EL482" i="23916"/>
  <c r="EK461" i="23916"/>
  <c r="BC409" i="23916"/>
  <c r="BD280" i="23916"/>
  <c r="GD56" i="23916"/>
  <c r="GE56" i="23916" s="1"/>
  <c r="GD59" i="23916"/>
  <c r="GE55" i="23916"/>
  <c r="CS411" i="23916"/>
  <c r="CT404" i="23916"/>
  <c r="AU305" i="23916"/>
  <c r="AV289" i="23916"/>
  <c r="FE333" i="23916"/>
  <c r="FT277" i="23916"/>
  <c r="FU277" i="23916" s="1"/>
  <c r="FT280" i="23916"/>
  <c r="FU276" i="23916"/>
  <c r="EH410" i="23916"/>
  <c r="GF277" i="23916"/>
  <c r="GG277" i="23916" s="1"/>
  <c r="GF280" i="23916"/>
  <c r="GF574" i="23916" s="1"/>
  <c r="GG276" i="23916"/>
  <c r="GF10" i="23916"/>
  <c r="GG10" i="23916" s="1"/>
  <c r="FH408" i="23916"/>
  <c r="FI243" i="23916"/>
  <c r="BP26" i="23916"/>
  <c r="BO28" i="23916"/>
  <c r="BA571" i="23916"/>
  <c r="BA404" i="23916"/>
  <c r="BB59" i="23916"/>
  <c r="CO411" i="23916"/>
  <c r="CP404" i="23916"/>
  <c r="AT405" i="23916"/>
  <c r="DK571" i="23916"/>
  <c r="DK575" i="23916" s="1"/>
  <c r="DK404" i="23916"/>
  <c r="DL59" i="23916"/>
  <c r="CX405" i="23916"/>
  <c r="GO433" i="23916"/>
  <c r="GP433" i="23916"/>
  <c r="FS414" i="23916"/>
  <c r="FU414" i="23916"/>
  <c r="DR410" i="23916"/>
  <c r="CS409" i="23916"/>
  <c r="CT280" i="23916"/>
  <c r="CS574" i="23916"/>
  <c r="EQ144" i="23916"/>
  <c r="ER41" i="23916"/>
  <c r="GJ41" i="23916"/>
  <c r="CU12" i="23916"/>
  <c r="CV7" i="23916"/>
  <c r="FK137" i="23916"/>
  <c r="FI137" i="23916"/>
  <c r="AX26" i="23916"/>
  <c r="AW28" i="23916"/>
  <c r="DQ411" i="23916"/>
  <c r="DR404" i="23916"/>
  <c r="EO150" i="23916"/>
  <c r="EQ47" i="23916"/>
  <c r="GJ47" i="23916" s="1"/>
  <c r="EP47" i="23916"/>
  <c r="FS404" i="23916"/>
  <c r="DT56" i="23916"/>
  <c r="FL489" i="23916"/>
  <c r="FM489" i="23916" s="1"/>
  <c r="FM436" i="23916"/>
  <c r="EM410" i="23916"/>
  <c r="EN308" i="23916"/>
  <c r="BN355" i="23916"/>
  <c r="Y410" i="23916"/>
  <c r="Z308" i="23916"/>
  <c r="GJ305" i="23916"/>
  <c r="GK289" i="23916"/>
  <c r="CI12" i="23916"/>
  <c r="CJ7" i="23916"/>
  <c r="GE159" i="23916"/>
  <c r="GD163" i="23916"/>
  <c r="GD160" i="23916"/>
  <c r="GE160" i="23916" s="1"/>
  <c r="GD7" i="23916"/>
  <c r="CG411" i="23916"/>
  <c r="CH404" i="23916"/>
  <c r="FD407" i="23916"/>
  <c r="FD210" i="23916"/>
  <c r="FE210" i="23916" s="1"/>
  <c r="FE209" i="23916"/>
  <c r="FG209" i="23916"/>
  <c r="FL126" i="23916"/>
  <c r="FM126" i="23916" s="1"/>
  <c r="FL129" i="23916"/>
  <c r="FM125" i="23916"/>
  <c r="GA392" i="23916"/>
  <c r="FZ395" i="23916"/>
  <c r="BG398" i="23916"/>
  <c r="BP387" i="23916"/>
  <c r="EO385" i="23916"/>
  <c r="EP385" i="23916" s="1"/>
  <c r="EP143" i="23916"/>
  <c r="FH355" i="23916"/>
  <c r="FI355" i="23916" s="1"/>
  <c r="FI352" i="23916"/>
  <c r="DB10" i="23916"/>
  <c r="BX404" i="23916"/>
  <c r="BW411" i="23916"/>
  <c r="AY352" i="23916"/>
  <c r="AZ341" i="23916"/>
  <c r="BH341" i="23916"/>
  <c r="ER289" i="23916"/>
  <c r="GB574" i="23916"/>
  <c r="GB410" i="23916"/>
  <c r="GC308" i="23916"/>
  <c r="FK145" i="23916"/>
  <c r="FJ159" i="23916"/>
  <c r="DI12" i="23916"/>
  <c r="DJ7" i="23916"/>
  <c r="DD395" i="23916"/>
  <c r="DC398" i="23916"/>
  <c r="DD398" i="23916" s="1"/>
  <c r="AD352" i="23916"/>
  <c r="AC355" i="23916"/>
  <c r="AL355" i="23916" s="1"/>
  <c r="GE9" i="23916"/>
  <c r="DN277" i="23916"/>
  <c r="GH408" i="23916"/>
  <c r="GI243" i="23916"/>
  <c r="BZ206" i="23916"/>
  <c r="AO573" i="23916"/>
  <c r="AO407" i="23916"/>
  <c r="AO210" i="23916"/>
  <c r="AP210" i="23916" s="1"/>
  <c r="AP209" i="23916"/>
  <c r="FV398" i="23916"/>
  <c r="FW398" i="23916" s="1"/>
  <c r="FW387" i="23916"/>
  <c r="DE411" i="23916"/>
  <c r="DF404" i="23916"/>
  <c r="DD160" i="23916"/>
  <c r="AC126" i="23916"/>
  <c r="AD126" i="23916" s="1"/>
  <c r="AC129" i="23916"/>
  <c r="AD125" i="23916"/>
  <c r="DR405" i="23916"/>
  <c r="BO571" i="23916"/>
  <c r="BO404" i="23916"/>
  <c r="BP59" i="23916"/>
  <c r="EF56" i="23916"/>
  <c r="CD546" i="23916"/>
  <c r="FW545" i="23916"/>
  <c r="BH408" i="23916"/>
  <c r="EO195" i="23916"/>
  <c r="EP195" i="23916" s="1"/>
  <c r="EO194" i="23916"/>
  <c r="EP188" i="23916"/>
  <c r="GJ188" i="23916"/>
  <c r="BC574" i="23916"/>
  <c r="BC410" i="23916"/>
  <c r="AT407" i="23916"/>
  <c r="CG403" i="23916"/>
  <c r="CH163" i="23916"/>
  <c r="EK126" i="23916"/>
  <c r="EL126" i="23916" s="1"/>
  <c r="EK129" i="23916"/>
  <c r="EL125" i="23916"/>
  <c r="CP7" i="23916"/>
  <c r="CO12" i="23916"/>
  <c r="EE572" i="23916"/>
  <c r="EE406" i="23916"/>
  <c r="EF129" i="23916"/>
  <c r="GF163" i="23916"/>
  <c r="GF160" i="23916"/>
  <c r="GG160" i="23916" s="1"/>
  <c r="GG159" i="23916"/>
  <c r="GF7" i="23916"/>
  <c r="AX405" i="23916"/>
  <c r="GC56" i="23916"/>
  <c r="EM25" i="23916"/>
  <c r="EL29" i="23916"/>
  <c r="EK30" i="23916"/>
  <c r="GT465" i="23916"/>
  <c r="GS465" i="23916"/>
  <c r="ER293" i="23916"/>
  <c r="EQ302" i="23916"/>
  <c r="ER302" i="23916" s="1"/>
  <c r="BG574" i="23916"/>
  <c r="BG410" i="23916"/>
  <c r="BH308" i="23916"/>
  <c r="EQ256" i="23916"/>
  <c r="ER252" i="23916"/>
  <c r="ED408" i="23916"/>
  <c r="GN254" i="23916"/>
  <c r="GM254" i="23916"/>
  <c r="EQ259" i="23916"/>
  <c r="BN408" i="23916"/>
  <c r="DF395" i="23916"/>
  <c r="ER32" i="23916"/>
  <c r="DQ12" i="23916"/>
  <c r="DR7" i="23916"/>
  <c r="BE403" i="23916"/>
  <c r="BF163" i="23916"/>
  <c r="CN160" i="23916"/>
  <c r="BB405" i="23916"/>
  <c r="DV405" i="23916"/>
  <c r="BV280" i="23916"/>
  <c r="DC411" i="23916"/>
  <c r="DD404" i="23916"/>
  <c r="CN59" i="23916"/>
  <c r="FV405" i="23916"/>
  <c r="FW97" i="23916"/>
  <c r="FQ53" i="23916"/>
  <c r="CF408" i="23916"/>
  <c r="CK574" i="23916"/>
  <c r="CK575" i="23916" s="1"/>
  <c r="FO276" i="23916"/>
  <c r="FN277" i="23916"/>
  <c r="FO277" i="23916" s="1"/>
  <c r="FN280" i="23916"/>
  <c r="EK243" i="23916"/>
  <c r="EK240" i="23916"/>
  <c r="EL240" i="23916" s="1"/>
  <c r="EL239" i="23916"/>
  <c r="EK9" i="23916"/>
  <c r="EL9" i="23916" s="1"/>
  <c r="GL224" i="23916"/>
  <c r="BQ403" i="23916"/>
  <c r="BR163" i="23916"/>
  <c r="BE398" i="23916"/>
  <c r="AL181" i="23916"/>
  <c r="AT181" i="23916"/>
  <c r="DY411" i="23916"/>
  <c r="DZ404" i="23916"/>
  <c r="AX404" i="23916"/>
  <c r="FH30" i="23916"/>
  <c r="FJ25" i="23916"/>
  <c r="FI29" i="23916"/>
  <c r="FK29" i="23916"/>
  <c r="FH22" i="23916"/>
  <c r="FI22" i="23916" s="1"/>
  <c r="AJ22" i="23916"/>
  <c r="AM26" i="23916"/>
  <c r="AV26" i="23916" s="1"/>
  <c r="FF406" i="23916"/>
  <c r="FG129" i="23916"/>
  <c r="DO572" i="23916"/>
  <c r="DO406" i="23916"/>
  <c r="DP129" i="23916"/>
  <c r="DX129" i="23916"/>
  <c r="FT94" i="23916"/>
  <c r="FU94" i="23916" s="1"/>
  <c r="FT97" i="23916"/>
  <c r="FU93" i="23916"/>
  <c r="BM571" i="23916"/>
  <c r="BM404" i="23916"/>
  <c r="BN59" i="23916"/>
  <c r="GG28" i="23916"/>
  <c r="BF546" i="23916"/>
  <c r="FN489" i="23916"/>
  <c r="FO436" i="23916"/>
  <c r="FQ436" i="23916"/>
  <c r="FS355" i="23916"/>
  <c r="AI410" i="23916"/>
  <c r="AJ308" i="23916"/>
  <c r="BL408" i="23916"/>
  <c r="CX10" i="23916"/>
  <c r="AX210" i="23916"/>
  <c r="AZ26" i="23916"/>
  <c r="AY28" i="23916"/>
  <c r="EE403" i="23916"/>
  <c r="EE164" i="23916"/>
  <c r="EF163" i="23916"/>
  <c r="BS403" i="23916"/>
  <c r="BT163" i="23916"/>
  <c r="FV159" i="23916"/>
  <c r="DN8" i="23916"/>
  <c r="BK398" i="23916"/>
  <c r="BL398" i="23916" s="1"/>
  <c r="BL387" i="23916"/>
  <c r="BT387" i="23916"/>
  <c r="DL395" i="23916"/>
  <c r="DK398" i="23916"/>
  <c r="DL398" i="23916" s="1"/>
  <c r="GF571" i="23916"/>
  <c r="GF404" i="23916"/>
  <c r="GG59" i="23916"/>
  <c r="EH405" i="23916"/>
  <c r="FY392" i="23916"/>
  <c r="FX395" i="23916"/>
  <c r="FY395" i="23916" s="1"/>
  <c r="FW556" i="23916"/>
  <c r="DD408" i="23916"/>
  <c r="CP408" i="23916"/>
  <c r="M410" i="23916"/>
  <c r="N308" i="23916"/>
  <c r="CZ407" i="23916"/>
  <c r="CJ407" i="23916"/>
  <c r="BT407" i="23916"/>
  <c r="DB407" i="23916"/>
  <c r="CL407" i="23916"/>
  <c r="BV407" i="23916"/>
  <c r="EA12" i="23916"/>
  <c r="EB7" i="23916"/>
  <c r="AF26" i="23916"/>
  <c r="AE28" i="23916"/>
  <c r="FH26" i="23916"/>
  <c r="FI26" i="23916" s="1"/>
  <c r="CK411" i="23916"/>
  <c r="CL404" i="23916"/>
  <c r="FH573" i="23916"/>
  <c r="FH407" i="23916"/>
  <c r="FI209" i="23916"/>
  <c r="FH210" i="23916"/>
  <c r="FI210" i="23916" s="1"/>
  <c r="DY403" i="23916"/>
  <c r="DZ163" i="23916"/>
  <c r="DY164" i="23916"/>
  <c r="FT29" i="23916"/>
  <c r="BV406" i="23916"/>
  <c r="AR395" i="23916"/>
  <c r="FU522" i="23916"/>
  <c r="FT523" i="23916"/>
  <c r="GL288" i="23916"/>
  <c r="GK288" i="23916"/>
  <c r="CX408" i="23916"/>
  <c r="CW573" i="23916"/>
  <c r="CW575" i="23916" s="1"/>
  <c r="CW407" i="23916"/>
  <c r="CW411" i="23916" s="1"/>
  <c r="CW210" i="23916"/>
  <c r="CX210" i="23916" s="1"/>
  <c r="CX209" i="23916"/>
  <c r="BJ56" i="23916"/>
  <c r="DO403" i="23916"/>
  <c r="DP163" i="23916"/>
  <c r="BC403" i="23916"/>
  <c r="BD163" i="23916"/>
  <c r="DM575" i="23916"/>
  <c r="BR405" i="23916"/>
  <c r="AQ571" i="23916"/>
  <c r="AQ404" i="23916"/>
  <c r="AR59" i="23916"/>
  <c r="GB398" i="23916"/>
  <c r="GC398" i="23916" s="1"/>
  <c r="GC387" i="23916"/>
  <c r="AL392" i="23916"/>
  <c r="GE94" i="23916"/>
  <c r="EI575" i="23916"/>
  <c r="FK545" i="23916"/>
  <c r="AT546" i="23916"/>
  <c r="O451" i="23916"/>
  <c r="P408" i="23916"/>
  <c r="FS302" i="23916"/>
  <c r="EN263" i="23916"/>
  <c r="BH407" i="23916"/>
  <c r="FG240" i="23916"/>
  <c r="EP235" i="23916"/>
  <c r="EQ235" i="23916"/>
  <c r="EO228" i="23916"/>
  <c r="DL160" i="23916"/>
  <c r="DF160" i="23916"/>
  <c r="AS403" i="23916"/>
  <c r="AT163" i="23916"/>
  <c r="BW36" i="23916"/>
  <c r="BX28" i="23916"/>
  <c r="FK22" i="23916"/>
  <c r="CD160" i="23916"/>
  <c r="CJ126" i="23916"/>
  <c r="CR126" i="23916"/>
  <c r="DZ36" i="23916"/>
  <c r="AE398" i="23916"/>
  <c r="FQ152" i="23916"/>
  <c r="FS152" i="23916"/>
  <c r="FO392" i="23916"/>
  <c r="AP523" i="23916"/>
  <c r="FW489" i="23916"/>
  <c r="FY489" i="23916"/>
  <c r="FK394" i="23916"/>
  <c r="CR10" i="23916"/>
  <c r="CJ10" i="23916"/>
  <c r="CR408" i="23916"/>
  <c r="BD206" i="23916"/>
  <c r="AX408" i="23916"/>
  <c r="BZ209" i="23916"/>
  <c r="DJ395" i="23916"/>
  <c r="DI398" i="23916"/>
  <c r="DJ398" i="23916" s="1"/>
  <c r="EL84" i="23916"/>
  <c r="AK26" i="23916"/>
  <c r="AT26" i="23916" s="1"/>
  <c r="GC152" i="23916"/>
  <c r="EI403" i="23916"/>
  <c r="EJ163" i="23916"/>
  <c r="EI164" i="23916"/>
  <c r="BW403" i="23916"/>
  <c r="BX163" i="23916"/>
  <c r="FF404" i="23916"/>
  <c r="FG59" i="23916"/>
  <c r="ER82" i="23916"/>
  <c r="GJ82" i="23916"/>
  <c r="FL163" i="23916"/>
  <c r="FL160" i="23916"/>
  <c r="FM159" i="23916"/>
  <c r="FE546" i="23916"/>
  <c r="FY546" i="23916"/>
  <c r="DJ545" i="23916"/>
  <c r="CD545" i="23916"/>
  <c r="FM521" i="23916"/>
  <c r="FL522" i="23916"/>
  <c r="FL556" i="23916"/>
  <c r="FL545" i="23916"/>
  <c r="ER528" i="23916"/>
  <c r="GJ528" i="23916"/>
  <c r="DZ410" i="23916"/>
  <c r="EL264" i="23916"/>
  <c r="EK276" i="23916"/>
  <c r="CH409" i="23916"/>
  <c r="GJ196" i="23916"/>
  <c r="FM210" i="23916"/>
  <c r="DN160" i="23916"/>
  <c r="BA403" i="23916"/>
  <c r="BB163" i="23916"/>
  <c r="EP114" i="23916"/>
  <c r="GJ114" i="23916"/>
  <c r="FS159" i="23916"/>
  <c r="FR163" i="23916"/>
  <c r="FR160" i="23916"/>
  <c r="BH126" i="23916"/>
  <c r="BP126" i="23916"/>
  <c r="DA411" i="23916"/>
  <c r="DB404" i="23916"/>
  <c r="FK155" i="23916"/>
  <c r="FM155" i="23916"/>
  <c r="FM152" i="23916"/>
  <c r="DT395" i="23916"/>
  <c r="DS398" i="23916"/>
  <c r="DT398" i="23916" s="1"/>
  <c r="AR154" i="23916"/>
  <c r="EY546" i="23916"/>
  <c r="FA546" i="23916"/>
  <c r="AS305" i="23916"/>
  <c r="AT289" i="23916"/>
  <c r="GI11" i="23916"/>
  <c r="CJ408" i="23916"/>
  <c r="BR408" i="23916"/>
  <c r="DV10" i="23916"/>
  <c r="DX398" i="23916"/>
  <c r="AR26" i="23916"/>
  <c r="AQ28" i="23916"/>
  <c r="CL7" i="23916"/>
  <c r="CK12" i="23916"/>
  <c r="GD398" i="23916"/>
  <c r="GE398" i="23916" s="1"/>
  <c r="GE387" i="23916"/>
  <c r="BQ411" i="23916"/>
  <c r="BR404" i="23916"/>
  <c r="DS12" i="23916"/>
  <c r="DT7" i="23916"/>
  <c r="CH405" i="23916"/>
  <c r="BC571" i="23916"/>
  <c r="BC404" i="23916"/>
  <c r="BD59" i="23916"/>
  <c r="BD385" i="23916"/>
  <c r="FE405" i="23916"/>
  <c r="DP56" i="23916"/>
  <c r="FQ56" i="23916"/>
  <c r="CX546" i="23916"/>
  <c r="FQ277" i="23916"/>
  <c r="FS277" i="23916"/>
  <c r="AJ94" i="23916"/>
  <c r="AR94" i="23916"/>
  <c r="FQ546" i="23916"/>
  <c r="FT35" i="23916"/>
  <c r="FT33" i="23916"/>
  <c r="DN411" i="23916" l="1"/>
  <c r="DM413" i="23916"/>
  <c r="DM452" i="23916" s="1"/>
  <c r="DN452" i="23916" s="1"/>
  <c r="CX411" i="23916"/>
  <c r="CW413" i="23916"/>
  <c r="ED411" i="23916"/>
  <c r="EC413" i="23916"/>
  <c r="GL47" i="23916"/>
  <c r="GK47" i="23916"/>
  <c r="DJ411" i="23916"/>
  <c r="DI413" i="23916"/>
  <c r="EH411" i="23916"/>
  <c r="EG413" i="23916"/>
  <c r="AJ410" i="23916"/>
  <c r="GM224" i="23916"/>
  <c r="DF411" i="23916"/>
  <c r="DE413" i="23916"/>
  <c r="FE407" i="23916"/>
  <c r="FG407" i="23916"/>
  <c r="DR411" i="23916"/>
  <c r="DQ413" i="23916"/>
  <c r="CK15" i="23916"/>
  <c r="CL12" i="23916"/>
  <c r="AT305" i="23916"/>
  <c r="AS308" i="23916"/>
  <c r="BC411" i="23916"/>
  <c r="BD404" i="23916"/>
  <c r="GJ121" i="23916"/>
  <c r="GK114" i="23916"/>
  <c r="GL528" i="23916"/>
  <c r="GK528" i="23916"/>
  <c r="FM522" i="23916"/>
  <c r="FL523" i="23916"/>
  <c r="FM523" i="23916" s="1"/>
  <c r="FL403" i="23916"/>
  <c r="FF411" i="23916"/>
  <c r="FG404" i="23916"/>
  <c r="ER235" i="23916"/>
  <c r="EQ228" i="23916"/>
  <c r="GN288" i="23916"/>
  <c r="GM288" i="23916"/>
  <c r="DZ403" i="23916"/>
  <c r="EA15" i="23916"/>
  <c r="EB12" i="23916"/>
  <c r="BM411" i="23916"/>
  <c r="BN404" i="23916"/>
  <c r="FK25" i="23916"/>
  <c r="FJ28" i="23916"/>
  <c r="FM25" i="23916"/>
  <c r="EN25" i="23916"/>
  <c r="EM28" i="23916"/>
  <c r="EM27" i="23916"/>
  <c r="GG7" i="23916"/>
  <c r="GF12" i="23916"/>
  <c r="AP407" i="23916"/>
  <c r="GI408" i="23916"/>
  <c r="DI13" i="23916"/>
  <c r="DI15" i="23916"/>
  <c r="DJ12" i="23916"/>
  <c r="AY355" i="23916"/>
  <c r="AZ352" i="23916"/>
  <c r="BH352" i="23916"/>
  <c r="GA395" i="23916"/>
  <c r="CH411" i="23916"/>
  <c r="CG413" i="23916"/>
  <c r="GD403" i="23916"/>
  <c r="GE163" i="23916"/>
  <c r="EO392" i="23916"/>
  <c r="EP392" i="23916" s="1"/>
  <c r="EP150" i="23916"/>
  <c r="AX28" i="23916"/>
  <c r="AW36" i="23916"/>
  <c r="EQ386" i="23916"/>
  <c r="ER386" i="23916" s="1"/>
  <c r="ER144" i="23916"/>
  <c r="CP411" i="23916"/>
  <c r="CO413" i="23916"/>
  <c r="FI408" i="23916"/>
  <c r="FT409" i="23916"/>
  <c r="FU280" i="23916"/>
  <c r="FT574" i="23916"/>
  <c r="AU308" i="23916"/>
  <c r="AV305" i="23916"/>
  <c r="EN483" i="23916"/>
  <c r="EM485" i="23916"/>
  <c r="GK143" i="23916"/>
  <c r="AJ405" i="23916"/>
  <c r="AR405" i="23916"/>
  <c r="GL459" i="23916"/>
  <c r="GK459" i="23916"/>
  <c r="BH403" i="23916"/>
  <c r="DV409" i="23916"/>
  <c r="FS522" i="23916"/>
  <c r="FR523" i="23916"/>
  <c r="FS523" i="23916" s="1"/>
  <c r="FX578" i="23916"/>
  <c r="FY51" i="23916"/>
  <c r="GA51" i="23916"/>
  <c r="EO126" i="23916"/>
  <c r="EP126" i="23916" s="1"/>
  <c r="EO129" i="23916"/>
  <c r="EP125" i="23916"/>
  <c r="EL410" i="23916"/>
  <c r="GG410" i="23916"/>
  <c r="GI522" i="23916"/>
  <c r="GH523" i="23916"/>
  <c r="GI523" i="23916" s="1"/>
  <c r="DE13" i="23916"/>
  <c r="DE15" i="23916"/>
  <c r="DF12" i="23916"/>
  <c r="EQ191" i="23916"/>
  <c r="ER189" i="23916"/>
  <c r="GJ189" i="23916"/>
  <c r="EQ83" i="23916"/>
  <c r="EP83" i="23916"/>
  <c r="GJ83" i="23916"/>
  <c r="DF523" i="23916"/>
  <c r="DB210" i="23916"/>
  <c r="GQ109" i="23916"/>
  <c r="GR109" i="23916"/>
  <c r="BT398" i="23916"/>
  <c r="GQ222" i="23916"/>
  <c r="GR222" i="23916"/>
  <c r="CW452" i="23916"/>
  <c r="CX409" i="23916"/>
  <c r="GA277" i="23916"/>
  <c r="W413" i="23916"/>
  <c r="GB408" i="23916"/>
  <c r="GC243" i="23916"/>
  <c r="FI523" i="23916"/>
  <c r="FK523" i="23916"/>
  <c r="DV407" i="23916"/>
  <c r="GI395" i="23916"/>
  <c r="ER149" i="23916"/>
  <c r="BV403" i="23916"/>
  <c r="FT572" i="23916"/>
  <c r="FT406" i="23916"/>
  <c r="FU129" i="23916"/>
  <c r="FW129" i="23916"/>
  <c r="CD407" i="23916"/>
  <c r="GL504" i="23916"/>
  <c r="GK504" i="23916"/>
  <c r="GA94" i="23916"/>
  <c r="CF404" i="23916"/>
  <c r="CE411" i="23916"/>
  <c r="BR407" i="23916"/>
  <c r="AQ308" i="23916"/>
  <c r="AR305" i="23916"/>
  <c r="FU408" i="23916"/>
  <c r="FO522" i="23916"/>
  <c r="BH406" i="23916"/>
  <c r="BP406" i="23916"/>
  <c r="N451" i="23916"/>
  <c r="GC277" i="23916"/>
  <c r="BZ411" i="23916"/>
  <c r="BY413" i="23916"/>
  <c r="DA13" i="23916"/>
  <c r="DA15" i="23916"/>
  <c r="DB12" i="23916"/>
  <c r="FJ572" i="23916"/>
  <c r="FJ406" i="23916"/>
  <c r="FK129" i="23916"/>
  <c r="FQ395" i="23916"/>
  <c r="FS395" i="23916"/>
  <c r="FI404" i="23916"/>
  <c r="FZ163" i="23916"/>
  <c r="FZ160" i="23916"/>
  <c r="FZ7" i="23916"/>
  <c r="BT404" i="23916"/>
  <c r="BS411" i="23916"/>
  <c r="AG413" i="23916"/>
  <c r="CF36" i="23916"/>
  <c r="BL409" i="23916"/>
  <c r="BT409" i="23916"/>
  <c r="CN409" i="23916"/>
  <c r="CV409" i="23916"/>
  <c r="CB403" i="23916"/>
  <c r="AX286" i="23916"/>
  <c r="AW385" i="23916"/>
  <c r="AW289" i="23916"/>
  <c r="FL286" i="23916"/>
  <c r="AJ126" i="23916"/>
  <c r="AR126" i="23916"/>
  <c r="CO446" i="23916"/>
  <c r="CP403" i="23916"/>
  <c r="CG13" i="23916"/>
  <c r="CG15" i="23916"/>
  <c r="CH12" i="23916"/>
  <c r="ER272" i="23916"/>
  <c r="EQ260" i="23916"/>
  <c r="ER260" i="23916" s="1"/>
  <c r="AF405" i="23916"/>
  <c r="AN405" i="23916"/>
  <c r="DW15" i="23916"/>
  <c r="DX12" i="23916"/>
  <c r="AJ159" i="23916"/>
  <c r="AI163" i="23916"/>
  <c r="AI160" i="23916"/>
  <c r="AR159" i="23916"/>
  <c r="AZ286" i="23916"/>
  <c r="GE10" i="23916"/>
  <c r="AG446" i="23916"/>
  <c r="AH403" i="23916"/>
  <c r="GR295" i="23916"/>
  <c r="GP393" i="23916"/>
  <c r="GQ393" i="23916" s="1"/>
  <c r="GQ295" i="23916"/>
  <c r="AN403" i="23916"/>
  <c r="FJ573" i="23916"/>
  <c r="FJ407" i="23916"/>
  <c r="FJ210" i="23916"/>
  <c r="FK209" i="23916"/>
  <c r="FM209" i="23916"/>
  <c r="FY11" i="23916"/>
  <c r="GA11" i="23916"/>
  <c r="EK568" i="23916"/>
  <c r="EL485" i="23916"/>
  <c r="EK490" i="23916"/>
  <c r="EL490" i="23916" s="1"/>
  <c r="EK489" i="23916"/>
  <c r="EL489" i="23916" s="1"/>
  <c r="CK446" i="23916"/>
  <c r="CL403" i="23916"/>
  <c r="AS398" i="23916"/>
  <c r="AT398" i="23916" s="1"/>
  <c r="AT387" i="23916"/>
  <c r="AN404" i="23916"/>
  <c r="AM411" i="23916"/>
  <c r="DZ210" i="23916"/>
  <c r="CI575" i="23916"/>
  <c r="BZ210" i="23916"/>
  <c r="AP406" i="23916"/>
  <c r="FQ206" i="23916"/>
  <c r="FS206" i="23916"/>
  <c r="FO126" i="23916"/>
  <c r="EN197" i="23916"/>
  <c r="GD573" i="23916"/>
  <c r="GD407" i="23916"/>
  <c r="GD210" i="23916"/>
  <c r="GE210" i="23916" s="1"/>
  <c r="GE209" i="23916"/>
  <c r="GG209" i="23916"/>
  <c r="AH28" i="23916"/>
  <c r="AG36" i="23916"/>
  <c r="AH36" i="23916" s="1"/>
  <c r="FW56" i="23916"/>
  <c r="EE15" i="23916"/>
  <c r="EF12" i="23916"/>
  <c r="GA8" i="23916"/>
  <c r="GC8" i="23916"/>
  <c r="GQ223" i="23916"/>
  <c r="GR223" i="23916"/>
  <c r="DR409" i="23916"/>
  <c r="CN403" i="23916"/>
  <c r="GI277" i="23916"/>
  <c r="FP572" i="23916"/>
  <c r="FP406" i="23916"/>
  <c r="FQ129" i="23916"/>
  <c r="FS129" i="23916"/>
  <c r="FW395" i="23916"/>
  <c r="DD403" i="23916"/>
  <c r="FO26" i="23916"/>
  <c r="FN28" i="23916"/>
  <c r="AJ206" i="23916"/>
  <c r="AR206" i="23916"/>
  <c r="FY408" i="23916"/>
  <c r="CH523" i="23916"/>
  <c r="BY446" i="23916"/>
  <c r="BZ403" i="23916"/>
  <c r="EP466" i="23916"/>
  <c r="EO468" i="23916"/>
  <c r="EP468" i="23916" s="1"/>
  <c r="FU556" i="23916"/>
  <c r="FY126" i="23916"/>
  <c r="GA126" i="23916"/>
  <c r="Q580" i="23916"/>
  <c r="R411" i="23916"/>
  <c r="CB409" i="23916"/>
  <c r="FQ523" i="23916"/>
  <c r="GH403" i="23916"/>
  <c r="GI163" i="23916"/>
  <c r="BK36" i="23916"/>
  <c r="BL28" i="23916"/>
  <c r="EK97" i="23916"/>
  <c r="EL93" i="23916"/>
  <c r="EK94" i="23916"/>
  <c r="EL94" i="23916" s="1"/>
  <c r="GI126" i="23916"/>
  <c r="CW446" i="23916"/>
  <c r="CX446" i="23916" s="1"/>
  <c r="CX403" i="23916"/>
  <c r="GB12" i="23916"/>
  <c r="FG406" i="23916"/>
  <c r="DZ411" i="23916"/>
  <c r="DY413" i="23916"/>
  <c r="DY446" i="23916" s="1"/>
  <c r="DZ446" i="23916" s="1"/>
  <c r="GE7" i="23916"/>
  <c r="GD12" i="23916"/>
  <c r="GJ144" i="23916"/>
  <c r="GL41" i="23916"/>
  <c r="GK41" i="23916"/>
  <c r="DS15" i="23916"/>
  <c r="DT12" i="23916"/>
  <c r="AQ36" i="23916"/>
  <c r="AR28" i="23916"/>
  <c r="DB411" i="23916"/>
  <c r="DA413" i="23916"/>
  <c r="DA446" i="23916" s="1"/>
  <c r="EK280" i="23916"/>
  <c r="EL276" i="23916"/>
  <c r="EK277" i="23916"/>
  <c r="EL277" i="23916" s="1"/>
  <c r="EK10" i="23916"/>
  <c r="EL10" i="23916" s="1"/>
  <c r="GK82" i="23916"/>
  <c r="GJ89" i="23916"/>
  <c r="EJ403" i="23916"/>
  <c r="BD403" i="23916"/>
  <c r="FT30" i="23916"/>
  <c r="FU30" i="23916" s="1"/>
  <c r="FV25" i="23916"/>
  <c r="FR25" i="23916"/>
  <c r="FU29" i="23916"/>
  <c r="AE36" i="23916"/>
  <c r="AF36" i="23916" s="1"/>
  <c r="AF28" i="23916"/>
  <c r="FW159" i="23916"/>
  <c r="FV163" i="23916"/>
  <c r="FV160" i="23916"/>
  <c r="FV7" i="23916"/>
  <c r="FI30" i="23916"/>
  <c r="FK30" i="23916"/>
  <c r="BR403" i="23916"/>
  <c r="DQ13" i="23916"/>
  <c r="DQ15" i="23916"/>
  <c r="DR12" i="23916"/>
  <c r="GP254" i="23916"/>
  <c r="GO254" i="23916"/>
  <c r="ER256" i="23916"/>
  <c r="EF406" i="23916"/>
  <c r="CG446" i="23916"/>
  <c r="CH446" i="23916" s="1"/>
  <c r="CH403" i="23916"/>
  <c r="EP194" i="23916"/>
  <c r="BP404" i="23916"/>
  <c r="BO411" i="23916"/>
  <c r="FK159" i="23916"/>
  <c r="FJ163" i="23916"/>
  <c r="FJ160" i="23916"/>
  <c r="FK160" i="23916" s="1"/>
  <c r="EQ305" i="23916"/>
  <c r="BW413" i="23916"/>
  <c r="BX411" i="23916"/>
  <c r="FL572" i="23916"/>
  <c r="FL406" i="23916"/>
  <c r="FM129" i="23916"/>
  <c r="EN410" i="23916"/>
  <c r="CU15" i="23916"/>
  <c r="CV12" i="23916"/>
  <c r="GR433" i="23916"/>
  <c r="GQ433" i="23916"/>
  <c r="BO36" i="23916"/>
  <c r="BX36" i="23916" s="1"/>
  <c r="BP28" i="23916"/>
  <c r="GD571" i="23916"/>
  <c r="GD575" i="23916" s="1"/>
  <c r="GD404" i="23916"/>
  <c r="GE59" i="23916"/>
  <c r="BD409" i="23916"/>
  <c r="EM567" i="23916"/>
  <c r="EO483" i="23916"/>
  <c r="EN482" i="23916"/>
  <c r="EO482" i="23916"/>
  <c r="EM461" i="23916"/>
  <c r="DP404" i="23916"/>
  <c r="DO411" i="23916"/>
  <c r="FJ355" i="23916"/>
  <c r="FK355" i="23916" s="1"/>
  <c r="FK352" i="23916"/>
  <c r="BJ403" i="23916"/>
  <c r="GM520" i="23916"/>
  <c r="GN520" i="23916"/>
  <c r="FD411" i="23916"/>
  <c r="DB403" i="23916"/>
  <c r="FJ409" i="23916"/>
  <c r="FK280" i="23916"/>
  <c r="FM280" i="23916"/>
  <c r="ER273" i="23916"/>
  <c r="EQ263" i="23916"/>
  <c r="GJ263" i="23916" s="1"/>
  <c r="GJ509" i="23916"/>
  <c r="GK509" i="23916" s="1"/>
  <c r="GK508" i="23916"/>
  <c r="GL510" i="23916"/>
  <c r="GM510" i="23916" s="1"/>
  <c r="GN506" i="23916"/>
  <c r="GL505" i="23916"/>
  <c r="GM505" i="23916" s="1"/>
  <c r="GM506" i="23916"/>
  <c r="EI413" i="23916"/>
  <c r="AF403" i="23916"/>
  <c r="AP410" i="23916"/>
  <c r="BZ523" i="23916"/>
  <c r="CZ406" i="23916"/>
  <c r="DH406" i="23916"/>
  <c r="FS398" i="23916"/>
  <c r="FV573" i="23916"/>
  <c r="FV407" i="23916"/>
  <c r="FV210" i="23916"/>
  <c r="FW209" i="23916"/>
  <c r="FY209" i="23916"/>
  <c r="EJ398" i="23916"/>
  <c r="AD159" i="23916"/>
  <c r="AC163" i="23916"/>
  <c r="AL163" i="23916" s="1"/>
  <c r="AC160" i="23916"/>
  <c r="AD160" i="23916" s="1"/>
  <c r="BN407" i="23916"/>
  <c r="CR404" i="23916"/>
  <c r="CQ411" i="23916"/>
  <c r="FL28" i="23916"/>
  <c r="GL256" i="23916"/>
  <c r="GN252" i="23916"/>
  <c r="GM252" i="23916"/>
  <c r="DB398" i="23916"/>
  <c r="GO221" i="23916"/>
  <c r="GP221" i="23916"/>
  <c r="GP224" i="23916" s="1"/>
  <c r="EN264" i="23916"/>
  <c r="EM276" i="23916"/>
  <c r="CF409" i="23916"/>
  <c r="CT523" i="23916"/>
  <c r="GL607" i="23916"/>
  <c r="GN87" i="23916"/>
  <c r="GL88" i="23916"/>
  <c r="GL81" i="23916" s="1"/>
  <c r="GM87" i="23916"/>
  <c r="EG13" i="23916"/>
  <c r="EG15" i="23916"/>
  <c r="EH12" i="23916"/>
  <c r="FU126" i="23916"/>
  <c r="FW126" i="23916"/>
  <c r="EQ385" i="23916"/>
  <c r="ER385" i="23916" s="1"/>
  <c r="ER143" i="23916"/>
  <c r="CE575" i="23916"/>
  <c r="CJ403" i="23916"/>
  <c r="AV407" i="23916"/>
  <c r="CT403" i="23916"/>
  <c r="FG395" i="23916"/>
  <c r="FF398" i="23916"/>
  <c r="FI398" i="23916" s="1"/>
  <c r="FR489" i="23916"/>
  <c r="FS436" i="23916"/>
  <c r="FU436" i="23916"/>
  <c r="CY15" i="23916"/>
  <c r="CZ12" i="23916"/>
  <c r="BV28" i="23916"/>
  <c r="BU36" i="23916"/>
  <c r="CD28" i="23916"/>
  <c r="BR409" i="23916"/>
  <c r="GN46" i="23916"/>
  <c r="GM46" i="23916"/>
  <c r="BJ28" i="23916"/>
  <c r="BI36" i="23916"/>
  <c r="CG450" i="23916"/>
  <c r="CH407" i="23916"/>
  <c r="GN107" i="23916"/>
  <c r="GL110" i="23916"/>
  <c r="GM107" i="23916"/>
  <c r="AL410" i="23916"/>
  <c r="GC10" i="23916"/>
  <c r="GF405" i="23916"/>
  <c r="GG97" i="23916"/>
  <c r="GC395" i="23916"/>
  <c r="CP407" i="23916"/>
  <c r="GP296" i="23916"/>
  <c r="GO296" i="23916"/>
  <c r="CC411" i="23916"/>
  <c r="DR398" i="23916"/>
  <c r="CG453" i="23916"/>
  <c r="CH410" i="23916"/>
  <c r="CP410" i="23916"/>
  <c r="EQ521" i="23916"/>
  <c r="ER521" i="23916" s="1"/>
  <c r="ER519" i="23916"/>
  <c r="FU26" i="23916"/>
  <c r="BL404" i="23916"/>
  <c r="GI404" i="23916"/>
  <c r="GM530" i="23916"/>
  <c r="GN530" i="23916"/>
  <c r="GL507" i="23916"/>
  <c r="GM507" i="23916" s="1"/>
  <c r="DY15" i="23916"/>
  <c r="DZ12" i="23916"/>
  <c r="FW410" i="23916"/>
  <c r="CD398" i="23916"/>
  <c r="EI449" i="23916"/>
  <c r="EJ406" i="23916"/>
  <c r="GQ76" i="23916"/>
  <c r="GR76" i="23916"/>
  <c r="GP78" i="23916"/>
  <c r="AI36" i="23916"/>
  <c r="AJ36" i="23916" s="1"/>
  <c r="AJ28" i="23916"/>
  <c r="FJ408" i="23916"/>
  <c r="FK243" i="23916"/>
  <c r="AW352" i="23916"/>
  <c r="AX341" i="23916"/>
  <c r="BF341" i="23916"/>
  <c r="GH573" i="23916"/>
  <c r="GH407" i="23916"/>
  <c r="GH210" i="23916"/>
  <c r="GI210" i="23916" s="1"/>
  <c r="GI209" i="23916"/>
  <c r="O410" i="23916"/>
  <c r="X410" i="23916" s="1"/>
  <c r="P308" i="23916"/>
  <c r="R308" i="23916"/>
  <c r="DN409" i="23916"/>
  <c r="AI571" i="23916"/>
  <c r="AI404" i="23916"/>
  <c r="AJ59" i="23916"/>
  <c r="FL408" i="23916"/>
  <c r="FM243" i="23916"/>
  <c r="GD409" i="23916"/>
  <c r="GE280" i="23916"/>
  <c r="GA523" i="23916"/>
  <c r="FI406" i="23916"/>
  <c r="GL289" i="23916"/>
  <c r="GA408" i="23916"/>
  <c r="FJ305" i="23916"/>
  <c r="FK289" i="23916"/>
  <c r="BN398" i="23916"/>
  <c r="CS15" i="23916"/>
  <c r="CT12" i="23916"/>
  <c r="GB572" i="23916"/>
  <c r="GB406" i="23916"/>
  <c r="GC129" i="23916"/>
  <c r="GE129" i="23916"/>
  <c r="FP163" i="23916"/>
  <c r="FP160" i="23916"/>
  <c r="FQ160" i="23916" s="1"/>
  <c r="FQ159" i="23916"/>
  <c r="GR294" i="23916"/>
  <c r="GQ294" i="23916"/>
  <c r="FN405" i="23916"/>
  <c r="FO97" i="23916"/>
  <c r="BS36" i="23916"/>
  <c r="BT36" i="23916" s="1"/>
  <c r="BT28" i="23916"/>
  <c r="BB407" i="23916"/>
  <c r="FX574" i="23916"/>
  <c r="FX410" i="23916"/>
  <c r="FY308" i="23916"/>
  <c r="GA308" i="23916"/>
  <c r="BV523" i="23916"/>
  <c r="EH523" i="23916"/>
  <c r="AK403" i="23916"/>
  <c r="DH403" i="23916"/>
  <c r="BN410" i="23916"/>
  <c r="DZ407" i="23916"/>
  <c r="DV403" i="23916"/>
  <c r="ER113" i="23916"/>
  <c r="EQ117" i="23916"/>
  <c r="ER117" i="23916" s="1"/>
  <c r="GC556" i="23916"/>
  <c r="GE556" i="23916"/>
  <c r="EI15" i="23916"/>
  <c r="EI13" i="23916"/>
  <c r="EJ12" i="23916"/>
  <c r="CP210" i="23916"/>
  <c r="CJ409" i="23916"/>
  <c r="CR409" i="23916"/>
  <c r="GN596" i="23916"/>
  <c r="GN23" i="23916"/>
  <c r="GN26" i="23916" s="1"/>
  <c r="GO26" i="23916" s="1"/>
  <c r="GO22" i="23916"/>
  <c r="GP22" i="23916"/>
  <c r="DE446" i="23916"/>
  <c r="DF446" i="23916" s="1"/>
  <c r="DF403" i="23916"/>
  <c r="DL403" i="23916"/>
  <c r="FP573" i="23916"/>
  <c r="FP407" i="23916"/>
  <c r="FQ209" i="23916"/>
  <c r="FP210" i="23916"/>
  <c r="FS209" i="23916"/>
  <c r="EA411" i="23916"/>
  <c r="EB404" i="23916"/>
  <c r="EM205" i="23916"/>
  <c r="GE8" i="23916"/>
  <c r="GG8" i="23916"/>
  <c r="CU411" i="23916"/>
  <c r="CV404" i="23916"/>
  <c r="EP53" i="23916"/>
  <c r="EQ53" i="23916"/>
  <c r="DZ409" i="23916"/>
  <c r="AX407" i="23916"/>
  <c r="FV409" i="23916"/>
  <c r="FW280" i="23916"/>
  <c r="FL571" i="23916"/>
  <c r="FL404" i="23916"/>
  <c r="FM59" i="23916"/>
  <c r="BE411" i="23916"/>
  <c r="BF404" i="23916"/>
  <c r="GA206" i="23916"/>
  <c r="GC206" i="23916"/>
  <c r="GN224" i="23916"/>
  <c r="FW94" i="23916"/>
  <c r="FZ571" i="23916"/>
  <c r="FZ404" i="23916"/>
  <c r="GC404" i="23916" s="1"/>
  <c r="EK209" i="23916"/>
  <c r="EL205" i="23916"/>
  <c r="EK206" i="23916"/>
  <c r="EL206" i="23916" s="1"/>
  <c r="EK8" i="23916"/>
  <c r="EL8" i="23916" s="1"/>
  <c r="T451" i="23916"/>
  <c r="FQ126" i="23916"/>
  <c r="FS126" i="23916"/>
  <c r="FI395" i="23916"/>
  <c r="GE243" i="23916"/>
  <c r="GP501" i="23916"/>
  <c r="GO501" i="23916"/>
  <c r="GN434" i="23916"/>
  <c r="DX404" i="23916"/>
  <c r="DW411" i="23916"/>
  <c r="DI446" i="23916"/>
  <c r="DJ403" i="23916"/>
  <c r="FJ398" i="23916"/>
  <c r="FK398" i="23916" s="1"/>
  <c r="FK387" i="23916"/>
  <c r="W453" i="23916"/>
  <c r="FO286" i="23916"/>
  <c r="FQ286" i="23916"/>
  <c r="FN385" i="23916"/>
  <c r="FN289" i="23916"/>
  <c r="GH405" i="23916"/>
  <c r="GH411" i="23916" s="1"/>
  <c r="GI97" i="23916"/>
  <c r="DE452" i="23916"/>
  <c r="DF452" i="23916" s="1"/>
  <c r="DF409" i="23916"/>
  <c r="AQ398" i="23916"/>
  <c r="AR387" i="23916"/>
  <c r="FP405" i="23916"/>
  <c r="FQ97" i="23916"/>
  <c r="FS97" i="23916"/>
  <c r="BH404" i="23916"/>
  <c r="BG411" i="23916"/>
  <c r="GJ113" i="23916"/>
  <c r="GC159" i="23916"/>
  <c r="GK227" i="23916"/>
  <c r="GJ233" i="23916"/>
  <c r="FR403" i="23916"/>
  <c r="FS163" i="23916"/>
  <c r="GK196" i="23916"/>
  <c r="GL196" i="23916"/>
  <c r="BW446" i="23916"/>
  <c r="BX403" i="23916"/>
  <c r="CK493" i="23916"/>
  <c r="CK413" i="23916"/>
  <c r="CL411" i="23916"/>
  <c r="M453" i="23916"/>
  <c r="N453" i="23916" s="1"/>
  <c r="N410" i="23916"/>
  <c r="EF403" i="23916"/>
  <c r="EK39" i="23916"/>
  <c r="EL30" i="23916"/>
  <c r="EK572" i="23916"/>
  <c r="EK406" i="23916"/>
  <c r="EL129" i="23916"/>
  <c r="AC572" i="23916"/>
  <c r="AC406" i="23916"/>
  <c r="AD129" i="23916"/>
  <c r="FX409" i="23916"/>
  <c r="FY280" i="23916"/>
  <c r="FY42" i="23916"/>
  <c r="FX55" i="23916"/>
  <c r="GA42" i="23916"/>
  <c r="FX53" i="23916"/>
  <c r="DM15" i="23916"/>
  <c r="DN12" i="23916"/>
  <c r="FP308" i="23916"/>
  <c r="GF572" i="23916"/>
  <c r="GF575" i="23916" s="1"/>
  <c r="GF406" i="23916"/>
  <c r="GG129" i="23916"/>
  <c r="FK277" i="23916"/>
  <c r="FM277" i="23916"/>
  <c r="EN231" i="23916"/>
  <c r="EM239" i="23916"/>
  <c r="EP191" i="23916"/>
  <c r="EO197" i="23916"/>
  <c r="EP197" i="23916" s="1"/>
  <c r="EN85" i="23916"/>
  <c r="EM93" i="23916"/>
  <c r="FE409" i="23916"/>
  <c r="EB403" i="23916"/>
  <c r="FG410" i="23916"/>
  <c r="FW8" i="23916"/>
  <c r="FY8" i="23916"/>
  <c r="GT285" i="23916"/>
  <c r="GS285" i="23916"/>
  <c r="EC13" i="23916"/>
  <c r="EC15" i="23916"/>
  <c r="ED12" i="23916"/>
  <c r="EN521" i="23916"/>
  <c r="BG36" i="23916"/>
  <c r="BH28" i="23916"/>
  <c r="FE408" i="23916"/>
  <c r="GK256" i="23916"/>
  <c r="GP253" i="23916"/>
  <c r="GO253" i="23916"/>
  <c r="EF404" i="23916"/>
  <c r="EE411" i="23916"/>
  <c r="FT571" i="23916"/>
  <c r="FT404" i="23916"/>
  <c r="FU59" i="23916"/>
  <c r="EB398" i="23916"/>
  <c r="DS411" i="23916"/>
  <c r="DT404" i="23916"/>
  <c r="CV403" i="23916"/>
  <c r="AD410" i="23916"/>
  <c r="AU398" i="23916"/>
  <c r="AV398" i="23916" s="1"/>
  <c r="AV387" i="23916"/>
  <c r="GJ149" i="23916"/>
  <c r="AV404" i="23916"/>
  <c r="DG15" i="23916"/>
  <c r="DH12" i="23916"/>
  <c r="FL405" i="23916"/>
  <c r="FM97" i="23916"/>
  <c r="DU15" i="23916"/>
  <c r="DV12" i="23916"/>
  <c r="M411" i="23916"/>
  <c r="EQ90" i="23916"/>
  <c r="EP90" i="23916"/>
  <c r="EO84" i="23916"/>
  <c r="AP403" i="23916"/>
  <c r="CQ15" i="23916"/>
  <c r="CR12" i="23916"/>
  <c r="CB404" i="23916"/>
  <c r="CA411" i="23916"/>
  <c r="CJ406" i="23916"/>
  <c r="CR406" i="23916"/>
  <c r="AP28" i="23916"/>
  <c r="AO36" i="23916"/>
  <c r="DK15" i="23916"/>
  <c r="DL12" i="23916"/>
  <c r="FG408" i="23916"/>
  <c r="GK517" i="23916"/>
  <c r="GL517" i="23916"/>
  <c r="DA453" i="23916"/>
  <c r="DB410" i="23916"/>
  <c r="DJ410" i="23916"/>
  <c r="FU398" i="23916"/>
  <c r="BR410" i="23916"/>
  <c r="CZ404" i="23916"/>
  <c r="CY411" i="23916"/>
  <c r="BC36" i="23916"/>
  <c r="BD28" i="23916"/>
  <c r="EC446" i="23916"/>
  <c r="ED403" i="23916"/>
  <c r="GE410" i="23916"/>
  <c r="DQ446" i="23916"/>
  <c r="DR446" i="23916" s="1"/>
  <c r="DR403" i="23916"/>
  <c r="DF210" i="23916"/>
  <c r="GN293" i="23916"/>
  <c r="GM293" i="23916"/>
  <c r="GB575" i="23916"/>
  <c r="AI572" i="23916"/>
  <c r="AI406" i="23916"/>
  <c r="AJ129" i="23916"/>
  <c r="AR129" i="23916"/>
  <c r="EP260" i="23916"/>
  <c r="EO264" i="23916"/>
  <c r="FL35" i="23916"/>
  <c r="FL33" i="23916"/>
  <c r="DC15" i="23916"/>
  <c r="DC13" i="23916"/>
  <c r="DD12" i="23916"/>
  <c r="AK572" i="23916"/>
  <c r="AK406" i="23916"/>
  <c r="AL129" i="23916"/>
  <c r="AT129" i="23916"/>
  <c r="AZ385" i="23916"/>
  <c r="AY387" i="23916"/>
  <c r="BH385" i="23916"/>
  <c r="FU545" i="23916"/>
  <c r="AD210" i="23916"/>
  <c r="BN409" i="23916"/>
  <c r="CD409" i="23916"/>
  <c r="GF398" i="23916"/>
  <c r="GG398" i="23916" s="1"/>
  <c r="GC126" i="23916"/>
  <c r="GE126" i="23916"/>
  <c r="CZ403" i="23916"/>
  <c r="FK206" i="23916"/>
  <c r="FM206" i="23916"/>
  <c r="DQ450" i="23916"/>
  <c r="DR407" i="23916"/>
  <c r="FJ32" i="23916"/>
  <c r="FK27" i="23916"/>
  <c r="FM27" i="23916"/>
  <c r="FC410" i="23916"/>
  <c r="FB411" i="23916"/>
  <c r="AL159" i="23916"/>
  <c r="AX406" i="23916"/>
  <c r="GI410" i="23916"/>
  <c r="FT163" i="23916"/>
  <c r="FT160" i="23916"/>
  <c r="FU160" i="23916" s="1"/>
  <c r="FU159" i="23916"/>
  <c r="DN403" i="23916"/>
  <c r="GC522" i="23916"/>
  <c r="GB523" i="23916"/>
  <c r="GC523" i="23916" s="1"/>
  <c r="BR36" i="23916"/>
  <c r="GN502" i="23916"/>
  <c r="GM502" i="23916"/>
  <c r="FN572" i="23916"/>
  <c r="FN406" i="23916"/>
  <c r="FO129" i="23916"/>
  <c r="GE206" i="23916"/>
  <c r="GG206" i="23916"/>
  <c r="BJ409" i="23916"/>
  <c r="BN28" i="23916"/>
  <c r="BM36" i="23916"/>
  <c r="FO395" i="23916"/>
  <c r="AL210" i="23916"/>
  <c r="GT287" i="23916"/>
  <c r="GS287" i="23916"/>
  <c r="FO243" i="23916"/>
  <c r="FW277" i="23916"/>
  <c r="BD355" i="23916"/>
  <c r="GM108" i="23916"/>
  <c r="GN108" i="23916"/>
  <c r="CM411" i="23916"/>
  <c r="BV409" i="23916"/>
  <c r="BJ210" i="23916"/>
  <c r="GI10" i="23916"/>
  <c r="EP305" i="23916"/>
  <c r="EO308" i="23916"/>
  <c r="EO11" i="23916"/>
  <c r="EP11" i="23916" s="1"/>
  <c r="EO391" i="23916"/>
  <c r="EP391" i="23916" s="1"/>
  <c r="BV404" i="23916"/>
  <c r="V403" i="23916"/>
  <c r="U411" i="23916"/>
  <c r="V410" i="23916"/>
  <c r="BK574" i="23916"/>
  <c r="BK410" i="23916"/>
  <c r="BL308" i="23916"/>
  <c r="BB28" i="23916"/>
  <c r="BA36" i="23916"/>
  <c r="DX403" i="23916"/>
  <c r="AI573" i="23916"/>
  <c r="AI407" i="23916"/>
  <c r="AI210" i="23916"/>
  <c r="AJ209" i="23916"/>
  <c r="AR209" i="23916"/>
  <c r="GE408" i="23916"/>
  <c r="DN523" i="23916"/>
  <c r="AZ404" i="23916"/>
  <c r="BF28" i="23916"/>
  <c r="BE36" i="23916"/>
  <c r="BF36" i="23916" s="1"/>
  <c r="CF403" i="23916"/>
  <c r="FE395" i="23916"/>
  <c r="FD398" i="23916"/>
  <c r="FE398" i="23916" s="1"/>
  <c r="BB385" i="23916"/>
  <c r="BA387" i="23916"/>
  <c r="BJ385" i="23916"/>
  <c r="ER471" i="23916"/>
  <c r="EQ470" i="23916"/>
  <c r="ER470" i="23916" s="1"/>
  <c r="EQ466" i="23916"/>
  <c r="GJ466" i="23916" s="1"/>
  <c r="GK466" i="23916" s="1"/>
  <c r="BZ36" i="23916"/>
  <c r="GI94" i="23916"/>
  <c r="R451" i="23916"/>
  <c r="Q454" i="23916"/>
  <c r="R454" i="23916" s="1"/>
  <c r="GI7" i="23916"/>
  <c r="GH12" i="23916"/>
  <c r="FQ94" i="23916"/>
  <c r="FS94" i="23916"/>
  <c r="EC452" i="23916"/>
  <c r="ED409" i="23916"/>
  <c r="GG523" i="23916"/>
  <c r="GH572" i="23916"/>
  <c r="GH575" i="23916" s="1"/>
  <c r="GH576" i="23916" s="1"/>
  <c r="GH406" i="23916"/>
  <c r="GI129" i="23916"/>
  <c r="GC160" i="23916"/>
  <c r="FM545" i="23916"/>
  <c r="FO545" i="23916"/>
  <c r="P451" i="23916"/>
  <c r="EK408" i="23916"/>
  <c r="EL243" i="23916"/>
  <c r="EK244" i="23916"/>
  <c r="DD411" i="23916"/>
  <c r="DC413" i="23916"/>
  <c r="GC410" i="23916"/>
  <c r="GK305" i="23916"/>
  <c r="GJ308" i="23916"/>
  <c r="GJ11" i="23916"/>
  <c r="GK11" i="23916" s="1"/>
  <c r="Z410" i="23916"/>
  <c r="CT411" i="23916"/>
  <c r="CS413" i="23916"/>
  <c r="EL461" i="23916"/>
  <c r="BQ413" i="23916"/>
  <c r="BB403" i="23916"/>
  <c r="FM556" i="23916"/>
  <c r="FO556" i="23916"/>
  <c r="FM160" i="23916"/>
  <c r="FJ26" i="23916"/>
  <c r="FK26" i="23916" s="1"/>
  <c r="AL26" i="23916"/>
  <c r="AK28" i="23916"/>
  <c r="AT28" i="23916" s="1"/>
  <c r="AF398" i="23916"/>
  <c r="AN398" i="23916"/>
  <c r="EP228" i="23916"/>
  <c r="EO231" i="23916"/>
  <c r="DP403" i="23916"/>
  <c r="CW450" i="23916"/>
  <c r="CX407" i="23916"/>
  <c r="FI407" i="23916"/>
  <c r="BT403" i="23916"/>
  <c r="AY36" i="23916"/>
  <c r="AZ36" i="23916" s="1"/>
  <c r="AZ28" i="23916"/>
  <c r="FO489" i="23916"/>
  <c r="FQ489" i="23916"/>
  <c r="FT405" i="23916"/>
  <c r="FU97" i="23916"/>
  <c r="DP406" i="23916"/>
  <c r="DX406" i="23916"/>
  <c r="AN26" i="23916"/>
  <c r="AM28" i="23916"/>
  <c r="FN409" i="23916"/>
  <c r="FO280" i="23916"/>
  <c r="ER259" i="23916"/>
  <c r="GJ259" i="23916"/>
  <c r="BP410" i="23916"/>
  <c r="GF403" i="23916"/>
  <c r="GG163" i="23916"/>
  <c r="CO13" i="23916"/>
  <c r="CO15" i="23916"/>
  <c r="CP12" i="23916"/>
  <c r="GL188" i="23916"/>
  <c r="GK188" i="23916"/>
  <c r="AD355" i="23916"/>
  <c r="AC574" i="23916"/>
  <c r="FG409" i="23916"/>
  <c r="CI15" i="23916"/>
  <c r="CJ12" i="23916"/>
  <c r="EQ150" i="23916"/>
  <c r="ER47" i="23916"/>
  <c r="CS452" i="23916"/>
  <c r="CT452" i="23916" s="1"/>
  <c r="CT409" i="23916"/>
  <c r="DK411" i="23916"/>
  <c r="DL404" i="23916"/>
  <c r="BB404" i="23916"/>
  <c r="GF409" i="23916"/>
  <c r="GG280" i="23916"/>
  <c r="BP398" i="23916"/>
  <c r="GN40" i="23916"/>
  <c r="GM40" i="23916"/>
  <c r="GL143" i="23916"/>
  <c r="FS409" i="23916"/>
  <c r="DT403" i="23916"/>
  <c r="FQ408" i="23916"/>
  <c r="FX384" i="23916"/>
  <c r="FX145" i="23916"/>
  <c r="FY142" i="23916"/>
  <c r="FX155" i="23916"/>
  <c r="FX154" i="23916"/>
  <c r="GA142" i="23916"/>
  <c r="FX156" i="23916"/>
  <c r="DI452" i="23916"/>
  <c r="DJ409" i="23916"/>
  <c r="AK411" i="23916"/>
  <c r="AL404" i="23916"/>
  <c r="EG450" i="23916"/>
  <c r="EH407" i="23916"/>
  <c r="EP263" i="23916"/>
  <c r="FR574" i="23916"/>
  <c r="FR575" i="23916" s="1"/>
  <c r="FR410" i="23916"/>
  <c r="FS308" i="23916"/>
  <c r="FU308" i="23916"/>
  <c r="EO521" i="23916"/>
  <c r="EP519" i="23916"/>
  <c r="FX405" i="23916"/>
  <c r="GA405" i="23916" s="1"/>
  <c r="FY97" i="23916"/>
  <c r="V407" i="23916"/>
  <c r="BP403" i="23916"/>
  <c r="DN407" i="23916"/>
  <c r="FW206" i="23916"/>
  <c r="FY206" i="23916"/>
  <c r="AP409" i="23916"/>
  <c r="FZ409" i="23916"/>
  <c r="GA280" i="23916"/>
  <c r="FZ574" i="23916"/>
  <c r="AL398" i="23916"/>
  <c r="DV210" i="23916"/>
  <c r="AS36" i="23916"/>
  <c r="EQ194" i="23916"/>
  <c r="GJ194" i="23916" s="1"/>
  <c r="ER188" i="23916"/>
  <c r="EQ195" i="23916"/>
  <c r="ER195" i="23916" s="1"/>
  <c r="EE575" i="23916"/>
  <c r="EC450" i="23916"/>
  <c r="ED407" i="23916"/>
  <c r="GE240" i="23916"/>
  <c r="AW403" i="23916"/>
  <c r="BF403" i="23916" s="1"/>
  <c r="AX163" i="23916"/>
  <c r="AI398" i="23916"/>
  <c r="AJ398" i="23916" s="1"/>
  <c r="AJ387" i="23916"/>
  <c r="CK452" i="23916"/>
  <c r="CL409" i="23916"/>
  <c r="FN352" i="23916"/>
  <c r="FQ341" i="23916"/>
  <c r="AO411" i="23916"/>
  <c r="FE406" i="23916"/>
  <c r="CW13" i="23916"/>
  <c r="CW15" i="23916"/>
  <c r="CX12" i="23916"/>
  <c r="CT407" i="23916"/>
  <c r="FO523" i="23916"/>
  <c r="FQ26" i="23916"/>
  <c r="FP28" i="23916"/>
  <c r="CB36" i="23916"/>
  <c r="AB410" i="23916"/>
  <c r="AA411" i="23916"/>
  <c r="GH398" i="23916"/>
  <c r="GI398" i="23916" s="1"/>
  <c r="GJ122" i="23916"/>
  <c r="GK116" i="23916"/>
  <c r="GK110" i="23916"/>
  <c r="FN573" i="23916"/>
  <c r="FN407" i="23916"/>
  <c r="FN210" i="23916"/>
  <c r="FO210" i="23916" s="1"/>
  <c r="FO209" i="23916"/>
  <c r="GB409" i="23916"/>
  <c r="GC280" i="23916"/>
  <c r="AE410" i="23916"/>
  <c r="AN410" i="23916" s="1"/>
  <c r="AF308" i="23916"/>
  <c r="AH308" i="23916"/>
  <c r="BZ407" i="23916"/>
  <c r="FH411" i="23916"/>
  <c r="GE395" i="23916"/>
  <c r="AH410" i="23916"/>
  <c r="BI411" i="23916"/>
  <c r="BR411" i="23916" s="1"/>
  <c r="BJ404" i="23916"/>
  <c r="DH404" i="23916"/>
  <c r="DG411" i="23916"/>
  <c r="BN403" i="23916"/>
  <c r="CY575" i="23916"/>
  <c r="GG56" i="23916"/>
  <c r="GO78" i="23916"/>
  <c r="AT404" i="23916"/>
  <c r="DU411" i="23916"/>
  <c r="FN571" i="23916"/>
  <c r="FN404" i="23916"/>
  <c r="FQ404" i="23916" s="1"/>
  <c r="FO59" i="23916"/>
  <c r="CM15" i="23916"/>
  <c r="CN12" i="23916"/>
  <c r="DE450" i="23916"/>
  <c r="DF450" i="23916" s="1"/>
  <c r="DF407" i="23916"/>
  <c r="AG450" i="23916"/>
  <c r="AH407" i="23916"/>
  <c r="CO452" i="23916"/>
  <c r="CP409" i="23916"/>
  <c r="AR355" i="23916"/>
  <c r="AQ574" i="23916"/>
  <c r="FL341" i="23916"/>
  <c r="FM338" i="23916"/>
  <c r="EM572" i="23916"/>
  <c r="EM406" i="23916"/>
  <c r="EN129" i="23916"/>
  <c r="AL126" i="23916"/>
  <c r="AT126" i="23916"/>
  <c r="FM240" i="23916"/>
  <c r="AY305" i="23916"/>
  <c r="AZ289" i="23916"/>
  <c r="BB352" i="23916"/>
  <c r="BA355" i="23916"/>
  <c r="BJ352" i="23916"/>
  <c r="GA97" i="23916"/>
  <c r="CL398" i="23916"/>
  <c r="FX581" i="23916"/>
  <c r="FX18" i="23916"/>
  <c r="AD407" i="23916"/>
  <c r="GP286" i="23916"/>
  <c r="GO286" i="23916"/>
  <c r="GN289" i="23916"/>
  <c r="GG408" i="23916"/>
  <c r="GQ301" i="23916"/>
  <c r="GR301" i="23916"/>
  <c r="GB405" i="23916"/>
  <c r="GB411" i="23916" s="1"/>
  <c r="GC97" i="23916"/>
  <c r="FS408" i="23916"/>
  <c r="FW523" i="23916"/>
  <c r="BL407" i="23916"/>
  <c r="DB523" i="23916"/>
  <c r="FO159" i="23916"/>
  <c r="FN163" i="23916"/>
  <c r="FN160" i="23916"/>
  <c r="FO160" i="23916" s="1"/>
  <c r="CP398" i="23916"/>
  <c r="AV403" i="23916"/>
  <c r="FW408" i="23916"/>
  <c r="ER110" i="23916"/>
  <c r="EQ125" i="23916"/>
  <c r="CJ404" i="23916"/>
  <c r="CI411" i="23916"/>
  <c r="BR28" i="23916"/>
  <c r="CR403" i="23916"/>
  <c r="CD403" i="23916"/>
  <c r="AZ403" i="23916"/>
  <c r="EQ509" i="23916"/>
  <c r="ER509" i="23916" s="1"/>
  <c r="ER508" i="23916"/>
  <c r="AR56" i="23916"/>
  <c r="DO15" i="23916"/>
  <c r="DP12" i="23916"/>
  <c r="FJ571" i="23916"/>
  <c r="FJ404" i="23916"/>
  <c r="FK59" i="23916"/>
  <c r="AU36" i="23916"/>
  <c r="AV28" i="23916"/>
  <c r="AL407" i="23916"/>
  <c r="FO408" i="23916"/>
  <c r="GJ518" i="23916"/>
  <c r="ER518" i="23916"/>
  <c r="FV571" i="23916"/>
  <c r="FV575" i="23916" s="1"/>
  <c r="FV404" i="23916"/>
  <c r="FW59" i="23916"/>
  <c r="BL406" i="23916"/>
  <c r="BT406" i="23916"/>
  <c r="DI450" i="23916"/>
  <c r="DJ407" i="23916"/>
  <c r="ER230" i="23916"/>
  <c r="GJ230" i="23916"/>
  <c r="GE523" i="23916"/>
  <c r="FZ573" i="23916"/>
  <c r="FZ407" i="23916"/>
  <c r="FZ210" i="23916"/>
  <c r="GA210" i="23916" s="1"/>
  <c r="GA209" i="23916"/>
  <c r="GC209" i="23916"/>
  <c r="FI305" i="23916"/>
  <c r="FE523" i="23916"/>
  <c r="FG523" i="23916"/>
  <c r="CN404" i="23916"/>
  <c r="BJ407" i="23916"/>
  <c r="S580" i="23916"/>
  <c r="T411" i="23916"/>
  <c r="GH409" i="23916"/>
  <c r="GI280" i="23916"/>
  <c r="FJ405" i="23916"/>
  <c r="FK97" i="23916"/>
  <c r="BU413" i="23916"/>
  <c r="BU446" i="23916" s="1"/>
  <c r="BV411" i="23916"/>
  <c r="GN190" i="23916"/>
  <c r="GM190" i="23916"/>
  <c r="EG446" i="23916"/>
  <c r="EH403" i="23916"/>
  <c r="BL403" i="23916"/>
  <c r="GM434" i="23916"/>
  <c r="GL436" i="23916"/>
  <c r="CX398" i="23916"/>
  <c r="BA305" i="23916"/>
  <c r="BB289" i="23916"/>
  <c r="BD289" i="23916"/>
  <c r="GL471" i="23916"/>
  <c r="GK471" i="23916"/>
  <c r="GJ470" i="23916"/>
  <c r="GK470" i="23916" s="1"/>
  <c r="BR398" i="23916"/>
  <c r="FX572" i="23916"/>
  <c r="FX406" i="23916"/>
  <c r="FY129" i="23916"/>
  <c r="GA129" i="23916"/>
  <c r="GI160" i="23916"/>
  <c r="S453" i="23916"/>
  <c r="T453" i="23916" s="1"/>
  <c r="T410" i="23916"/>
  <c r="Y411" i="23916"/>
  <c r="GN503" i="23916"/>
  <c r="GM503" i="23916"/>
  <c r="GB403" i="23916"/>
  <c r="GC163" i="23916"/>
  <c r="GH413" i="23916" l="1"/>
  <c r="GJ200" i="23916"/>
  <c r="GK194" i="23916"/>
  <c r="GB413" i="23916"/>
  <c r="GQ224" i="23916"/>
  <c r="GJ273" i="23916"/>
  <c r="GK263" i="23916"/>
  <c r="FY406" i="23916"/>
  <c r="GA406" i="23916"/>
  <c r="GA407" i="23916"/>
  <c r="GC407" i="23916"/>
  <c r="GC409" i="23916"/>
  <c r="FN355" i="23916"/>
  <c r="FQ352" i="23916"/>
  <c r="GA409" i="23916"/>
  <c r="GG409" i="23916"/>
  <c r="GG403" i="23916"/>
  <c r="FU405" i="23916"/>
  <c r="CS416" i="23916"/>
  <c r="CS415" i="23916"/>
  <c r="CT413" i="23916"/>
  <c r="CS453" i="23916"/>
  <c r="CS449" i="23916"/>
  <c r="CS447" i="23916"/>
  <c r="CS451" i="23916"/>
  <c r="CS448" i="23916"/>
  <c r="FJ34" i="23916"/>
  <c r="FK32" i="23916"/>
  <c r="FM32" i="23916"/>
  <c r="GK113" i="23916"/>
  <c r="GJ119" i="23916"/>
  <c r="GJ117" i="23916"/>
  <c r="BE413" i="23916"/>
  <c r="FO405" i="23916"/>
  <c r="CS13" i="23916"/>
  <c r="CC413" i="23916"/>
  <c r="CD411" i="23916"/>
  <c r="FJ403" i="23916"/>
  <c r="FK163" i="23916"/>
  <c r="GR254" i="23916"/>
  <c r="GQ254" i="23916"/>
  <c r="EK409" i="23916"/>
  <c r="EL280" i="23916"/>
  <c r="EK574" i="23916"/>
  <c r="GS223" i="23916"/>
  <c r="GT223" i="23916"/>
  <c r="FK407" i="23916"/>
  <c r="FM407" i="23916"/>
  <c r="FZ12" i="23916"/>
  <c r="FJ36" i="23916"/>
  <c r="FK36" i="23916" s="1"/>
  <c r="FK28" i="23916"/>
  <c r="ER228" i="23916"/>
  <c r="EQ231" i="23916"/>
  <c r="FM403" i="23916"/>
  <c r="GB446" i="23916"/>
  <c r="GK230" i="23916"/>
  <c r="GJ236" i="23916"/>
  <c r="FV411" i="23916"/>
  <c r="FW404" i="23916"/>
  <c r="GR286" i="23916"/>
  <c r="GQ286" i="23916"/>
  <c r="AY308" i="23916"/>
  <c r="FM341" i="23916"/>
  <c r="FL352" i="23916"/>
  <c r="FO352" i="23916" s="1"/>
  <c r="FO407" i="23916"/>
  <c r="CS450" i="23916"/>
  <c r="FO341" i="23916"/>
  <c r="FY154" i="23916"/>
  <c r="GA154" i="23916"/>
  <c r="FX587" i="23916"/>
  <c r="FY384" i="23916"/>
  <c r="FX387" i="23916"/>
  <c r="GA384" i="23916"/>
  <c r="GM143" i="23916"/>
  <c r="GN188" i="23916"/>
  <c r="GM188" i="23916"/>
  <c r="GJ410" i="23916"/>
  <c r="GK308" i="23916"/>
  <c r="DC416" i="23916"/>
  <c r="DC415" i="23916"/>
  <c r="DC448" i="23916"/>
  <c r="DC452" i="23916"/>
  <c r="DC449" i="23916"/>
  <c r="DC453" i="23916"/>
  <c r="DC447" i="23916"/>
  <c r="DC450" i="23916"/>
  <c r="DC451" i="23916"/>
  <c r="GH13" i="23916"/>
  <c r="GH15" i="23916"/>
  <c r="GI12" i="23916"/>
  <c r="EO410" i="23916"/>
  <c r="EP308" i="23916"/>
  <c r="BN36" i="23916"/>
  <c r="FB413" i="23916"/>
  <c r="FC411" i="23916"/>
  <c r="GB576" i="23916"/>
  <c r="CZ411" i="23916"/>
  <c r="CY413" i="23916"/>
  <c r="GM517" i="23916"/>
  <c r="GN517" i="23916"/>
  <c r="CB411" i="23916"/>
  <c r="CA413" i="23916"/>
  <c r="EP84" i="23916"/>
  <c r="FM405" i="23916"/>
  <c r="EF411" i="23916"/>
  <c r="EE413" i="23916"/>
  <c r="GR253" i="23916"/>
  <c r="GQ253" i="23916"/>
  <c r="EM243" i="23916"/>
  <c r="EM240" i="23916"/>
  <c r="EN240" i="23916" s="1"/>
  <c r="EN239" i="23916"/>
  <c r="EM9" i="23916"/>
  <c r="EN9" i="23916" s="1"/>
  <c r="FY53" i="23916"/>
  <c r="GA53" i="23916"/>
  <c r="EL406" i="23916"/>
  <c r="GN196" i="23916"/>
  <c r="GM196" i="23916"/>
  <c r="DX411" i="23916"/>
  <c r="DW413" i="23916"/>
  <c r="FM404" i="23916"/>
  <c r="ER53" i="23916"/>
  <c r="CV411" i="23916"/>
  <c r="CU413" i="23916"/>
  <c r="EM209" i="23916"/>
  <c r="EN205" i="23916"/>
  <c r="EM206" i="23916"/>
  <c r="EN206" i="23916" s="1"/>
  <c r="EM8" i="23916"/>
  <c r="EN8" i="23916" s="1"/>
  <c r="CS16" i="23916"/>
  <c r="CT15" i="23916"/>
  <c r="GM289" i="23916"/>
  <c r="GL292" i="23916"/>
  <c r="DY13" i="23916"/>
  <c r="GM110" i="23916"/>
  <c r="GM81" i="23916"/>
  <c r="GL508" i="23916"/>
  <c r="EN461" i="23916"/>
  <c r="GD411" i="23916"/>
  <c r="GE404" i="23916"/>
  <c r="BW416" i="23916"/>
  <c r="BW415" i="23916"/>
  <c r="BW452" i="23916"/>
  <c r="BW449" i="23916"/>
  <c r="BW453" i="23916"/>
  <c r="BW448" i="23916"/>
  <c r="BW447" i="23916"/>
  <c r="BW450" i="23916"/>
  <c r="BW451" i="23916"/>
  <c r="FV29" i="23916"/>
  <c r="FW25" i="23916"/>
  <c r="FV32" i="23916"/>
  <c r="FV36" i="23916"/>
  <c r="FW36" i="23916" s="1"/>
  <c r="GL89" i="23916"/>
  <c r="GK89" i="23916"/>
  <c r="AR36" i="23916"/>
  <c r="EK405" i="23916"/>
  <c r="EL97" i="23916"/>
  <c r="GH446" i="23916"/>
  <c r="GI403" i="23916"/>
  <c r="FK210" i="23916"/>
  <c r="FS210" i="23916"/>
  <c r="AJ160" i="23916"/>
  <c r="AR160" i="23916"/>
  <c r="CH15" i="23916"/>
  <c r="AX385" i="23916"/>
  <c r="AW387" i="23916"/>
  <c r="BF385" i="23916"/>
  <c r="AG416" i="23916"/>
  <c r="AG415" i="23916"/>
  <c r="AG449" i="23916"/>
  <c r="AG452" i="23916"/>
  <c r="AG451" i="23916"/>
  <c r="AG448" i="23916"/>
  <c r="AG447" i="23916"/>
  <c r="AG453" i="23916"/>
  <c r="DB15" i="23916"/>
  <c r="AQ410" i="23916"/>
  <c r="AR308" i="23916"/>
  <c r="GN504" i="23916"/>
  <c r="GM504" i="23916"/>
  <c r="CX452" i="23916"/>
  <c r="GT109" i="23916"/>
  <c r="GS109" i="23916"/>
  <c r="EO85" i="23916"/>
  <c r="GL189" i="23916"/>
  <c r="GK189" i="23916"/>
  <c r="GJ191" i="23916"/>
  <c r="FO33" i="23916"/>
  <c r="EO572" i="23916"/>
  <c r="EO406" i="23916"/>
  <c r="EP129" i="23916"/>
  <c r="GJ385" i="23916"/>
  <c r="GK385" i="23916" s="1"/>
  <c r="AU574" i="23916"/>
  <c r="AU410" i="23916"/>
  <c r="AV308" i="23916"/>
  <c r="AX36" i="23916"/>
  <c r="DJ15" i="23916"/>
  <c r="EN27" i="23916"/>
  <c r="BM413" i="23916"/>
  <c r="BN411" i="23916"/>
  <c r="EB15" i="23916"/>
  <c r="GP288" i="23916"/>
  <c r="GO288" i="23916"/>
  <c r="FM163" i="23916"/>
  <c r="DQ415" i="23916"/>
  <c r="DQ416" i="23916"/>
  <c r="DR413" i="23916"/>
  <c r="DQ449" i="23916"/>
  <c r="DQ447" i="23916"/>
  <c r="DQ451" i="23916"/>
  <c r="DQ452" i="23916"/>
  <c r="DR452" i="23916" s="1"/>
  <c r="DQ453" i="23916"/>
  <c r="DQ448" i="23916"/>
  <c r="EC416" i="23916"/>
  <c r="EC415" i="23916"/>
  <c r="EC449" i="23916"/>
  <c r="EC453" i="23916"/>
  <c r="EC451" i="23916"/>
  <c r="EC448" i="23916"/>
  <c r="EC447" i="23916"/>
  <c r="GJ260" i="23916"/>
  <c r="GP190" i="23916"/>
  <c r="GO190" i="23916"/>
  <c r="FV576" i="23916"/>
  <c r="EN406" i="23916"/>
  <c r="AL28" i="23916"/>
  <c r="AK36" i="23916"/>
  <c r="AL36" i="23916" s="1"/>
  <c r="DB453" i="23916"/>
  <c r="DV15" i="23916"/>
  <c r="GO224" i="23916"/>
  <c r="GP596" i="23916"/>
  <c r="GP23" i="23916"/>
  <c r="GP26" i="23916" s="1"/>
  <c r="GQ26" i="23916" s="1"/>
  <c r="GQ22" i="23916"/>
  <c r="GR22" i="23916"/>
  <c r="AX352" i="23916"/>
  <c r="AW355" i="23916"/>
  <c r="BF352" i="23916"/>
  <c r="GN607" i="23916"/>
  <c r="GN88" i="23916"/>
  <c r="GN81" i="23916" s="1"/>
  <c r="GO87" i="23916"/>
  <c r="GP87" i="23916"/>
  <c r="EO567" i="23916"/>
  <c r="EP482" i="23916"/>
  <c r="EQ483" i="23916"/>
  <c r="EQ482" i="23916"/>
  <c r="EO461" i="23916"/>
  <c r="FW7" i="23916"/>
  <c r="FV12" i="23916"/>
  <c r="GL144" i="23916"/>
  <c r="GN41" i="23916"/>
  <c r="GM41" i="23916"/>
  <c r="EN28" i="23916"/>
  <c r="BC413" i="23916"/>
  <c r="GH452" i="23916"/>
  <c r="GI409" i="23916"/>
  <c r="GB448" i="23916"/>
  <c r="GC405" i="23916"/>
  <c r="BB355" i="23916"/>
  <c r="BJ355" i="23916"/>
  <c r="GK122" i="23916"/>
  <c r="GL122" i="23916"/>
  <c r="GJ270" i="23916"/>
  <c r="GJ264" i="23916"/>
  <c r="GK259" i="23916"/>
  <c r="FO409" i="23916"/>
  <c r="EP231" i="23916"/>
  <c r="EO239" i="23916"/>
  <c r="BQ416" i="23916"/>
  <c r="BQ415" i="23916"/>
  <c r="BQ453" i="23916"/>
  <c r="BQ449" i="23916"/>
  <c r="BQ451" i="23916"/>
  <c r="BQ447" i="23916"/>
  <c r="BQ448" i="23916"/>
  <c r="GG406" i="23916"/>
  <c r="AD406" i="23916"/>
  <c r="AC411" i="23916"/>
  <c r="GB449" i="23916"/>
  <c r="GC406" i="23916"/>
  <c r="GE406" i="23916"/>
  <c r="BQ452" i="23916"/>
  <c r="EH15" i="23916"/>
  <c r="GQ221" i="23916"/>
  <c r="GR221" i="23916"/>
  <c r="FL36" i="23916"/>
  <c r="FM36" i="23916" s="1"/>
  <c r="FM28" i="23916"/>
  <c r="DP411" i="23916"/>
  <c r="DO413" i="23916"/>
  <c r="CV15" i="23916"/>
  <c r="DX15" i="23916"/>
  <c r="FK406" i="23916"/>
  <c r="GS222" i="23916"/>
  <c r="GT222" i="23916"/>
  <c r="GK83" i="23916"/>
  <c r="EM568" i="23916"/>
  <c r="EN485" i="23916"/>
  <c r="EM490" i="23916"/>
  <c r="EN490" i="23916" s="1"/>
  <c r="EM489" i="23916"/>
  <c r="EN489" i="23916" s="1"/>
  <c r="GE403" i="23916"/>
  <c r="GM528" i="23916"/>
  <c r="GN528" i="23916"/>
  <c r="DM416" i="23916"/>
  <c r="DM415" i="23916"/>
  <c r="DN413" i="23916"/>
  <c r="DM449" i="23916"/>
  <c r="DM453" i="23916"/>
  <c r="DM448" i="23916"/>
  <c r="DM451" i="23916"/>
  <c r="DM447" i="23916"/>
  <c r="GP503" i="23916"/>
  <c r="GO503" i="23916"/>
  <c r="GM471" i="23916"/>
  <c r="GL466" i="23916"/>
  <c r="GL470" i="23916"/>
  <c r="GM470" i="23916" s="1"/>
  <c r="EH446" i="23916"/>
  <c r="CJ411" i="23916"/>
  <c r="CI413" i="23916"/>
  <c r="GS301" i="23916"/>
  <c r="GT301" i="23916"/>
  <c r="GO289" i="23916"/>
  <c r="CX15" i="23916"/>
  <c r="AO413" i="23916"/>
  <c r="AP411" i="23916"/>
  <c r="ER194" i="23916"/>
  <c r="FR411" i="23916"/>
  <c r="FU410" i="23916"/>
  <c r="AK413" i="23916"/>
  <c r="AK446" i="23916" s="1"/>
  <c r="FY156" i="23916"/>
  <c r="GA156" i="23916"/>
  <c r="FQ409" i="23916"/>
  <c r="GO40" i="23916"/>
  <c r="GN143" i="23916"/>
  <c r="GP40" i="23916"/>
  <c r="DL411" i="23916"/>
  <c r="DK413" i="23916"/>
  <c r="CJ15" i="23916"/>
  <c r="CP15" i="23916"/>
  <c r="FW405" i="23916"/>
  <c r="EL408" i="23916"/>
  <c r="EQ468" i="23916"/>
  <c r="ER468" i="23916" s="1"/>
  <c r="ER466" i="23916"/>
  <c r="BA398" i="23916"/>
  <c r="BB387" i="23916"/>
  <c r="BJ387" i="23916"/>
  <c r="AJ210" i="23916"/>
  <c r="AR210" i="23916"/>
  <c r="BL410" i="23916"/>
  <c r="BT410" i="23916"/>
  <c r="U413" i="23916"/>
  <c r="V411" i="23916"/>
  <c r="CM413" i="23916"/>
  <c r="CN411" i="23916"/>
  <c r="GP502" i="23916"/>
  <c r="GO502" i="23916"/>
  <c r="FT403" i="23916"/>
  <c r="FU163" i="23916"/>
  <c r="AY398" i="23916"/>
  <c r="AZ387" i="23916"/>
  <c r="BH387" i="23916"/>
  <c r="AK449" i="23916"/>
  <c r="AL406" i="23916"/>
  <c r="AT406" i="23916"/>
  <c r="DC16" i="23916"/>
  <c r="DD15" i="23916"/>
  <c r="EP264" i="23916"/>
  <c r="EO276" i="23916"/>
  <c r="AJ406" i="23916"/>
  <c r="AR406" i="23916"/>
  <c r="GO293" i="23916"/>
  <c r="GP293" i="23916"/>
  <c r="DL15" i="23916"/>
  <c r="ER90" i="23916"/>
  <c r="EQ84" i="23916"/>
  <c r="ER84" i="23916" s="1"/>
  <c r="GK149" i="23916"/>
  <c r="DT411" i="23916"/>
  <c r="DS413" i="23916"/>
  <c r="FT411" i="23916"/>
  <c r="FU404" i="23916"/>
  <c r="BH36" i="23916"/>
  <c r="DM16" i="23916"/>
  <c r="DN15" i="23916"/>
  <c r="FX59" i="23916"/>
  <c r="FY55" i="23916"/>
  <c r="FX56" i="23916"/>
  <c r="GA55" i="23916"/>
  <c r="CL413" i="23916"/>
  <c r="CK416" i="23916"/>
  <c r="CK415" i="23916"/>
  <c r="CK449" i="23916"/>
  <c r="CK447" i="23916"/>
  <c r="CK451" i="23916"/>
  <c r="CK453" i="23916"/>
  <c r="CK448" i="23916"/>
  <c r="CK450" i="23916"/>
  <c r="BG413" i="23916"/>
  <c r="FN305" i="23916"/>
  <c r="FQ289" i="23916"/>
  <c r="S454" i="23916"/>
  <c r="T454" i="23916" s="1"/>
  <c r="FZ575" i="23916"/>
  <c r="EB411" i="23916"/>
  <c r="EA413" i="23916"/>
  <c r="FY410" i="23916"/>
  <c r="GA410" i="23916"/>
  <c r="FP403" i="23916"/>
  <c r="FQ163" i="23916"/>
  <c r="GH450" i="23916"/>
  <c r="GI407" i="23916"/>
  <c r="GQ78" i="23916"/>
  <c r="GP530" i="23916"/>
  <c r="GO530" i="23916"/>
  <c r="GN507" i="23916"/>
  <c r="GO507" i="23916" s="1"/>
  <c r="FS489" i="23916"/>
  <c r="FU489" i="23916"/>
  <c r="CS446" i="23916"/>
  <c r="CT446" i="23916" s="1"/>
  <c r="EN276" i="23916"/>
  <c r="EM277" i="23916"/>
  <c r="EN277" i="23916" s="1"/>
  <c r="EM280" i="23916"/>
  <c r="EM10" i="23916"/>
  <c r="EN10" i="23916" s="1"/>
  <c r="GN256" i="23916"/>
  <c r="GP252" i="23916"/>
  <c r="GO252" i="23916"/>
  <c r="FM26" i="23916"/>
  <c r="FW210" i="23916"/>
  <c r="EI416" i="23916"/>
  <c r="EJ413" i="23916"/>
  <c r="EI415" i="23916"/>
  <c r="EI450" i="23916"/>
  <c r="EI453" i="23916"/>
  <c r="EI452" i="23916"/>
  <c r="EI448" i="23916"/>
  <c r="EI451" i="23916"/>
  <c r="EI447" i="23916"/>
  <c r="FK409" i="23916"/>
  <c r="FM409" i="23916"/>
  <c r="EO198" i="23916"/>
  <c r="BQ446" i="23916"/>
  <c r="BZ446" i="23916" s="1"/>
  <c r="FW160" i="23916"/>
  <c r="GG404" i="23916"/>
  <c r="FU523" i="23916"/>
  <c r="EI446" i="23916"/>
  <c r="FS160" i="23916"/>
  <c r="GJ386" i="23916"/>
  <c r="GK386" i="23916" s="1"/>
  <c r="GK144" i="23916"/>
  <c r="GB15" i="23916"/>
  <c r="GB13" i="23916"/>
  <c r="GC12" i="23916"/>
  <c r="BL36" i="23916"/>
  <c r="DC446" i="23916"/>
  <c r="FQ406" i="23916"/>
  <c r="FS406" i="23916"/>
  <c r="GE407" i="23916"/>
  <c r="GG407" i="23916"/>
  <c r="AM413" i="23916"/>
  <c r="AL160" i="23916"/>
  <c r="FM286" i="23916"/>
  <c r="FL289" i="23916"/>
  <c r="FO289" i="23916" s="1"/>
  <c r="FL385" i="23916"/>
  <c r="BS413" i="23916"/>
  <c r="BZ413" i="23916"/>
  <c r="BY416" i="23916"/>
  <c r="BY415" i="23916"/>
  <c r="BY453" i="23916"/>
  <c r="BZ453" i="23916" s="1"/>
  <c r="BY449" i="23916"/>
  <c r="BZ449" i="23916" s="1"/>
  <c r="BY448" i="23916"/>
  <c r="BZ448" i="23916" s="1"/>
  <c r="BY452" i="23916"/>
  <c r="BZ452" i="23916" s="1"/>
  <c r="BY451" i="23916"/>
  <c r="BZ451" i="23916" s="1"/>
  <c r="BY447" i="23916"/>
  <c r="BY450" i="23916"/>
  <c r="BZ450" i="23916" s="1"/>
  <c r="BQ450" i="23916"/>
  <c r="GB451" i="23916"/>
  <c r="GC408" i="23916"/>
  <c r="ER191" i="23916"/>
  <c r="EQ197" i="23916"/>
  <c r="ER197" i="23916" s="1"/>
  <c r="DF15" i="23916"/>
  <c r="GN459" i="23916"/>
  <c r="GM459" i="23916"/>
  <c r="CO415" i="23916"/>
  <c r="CP413" i="23916"/>
  <c r="CO416" i="23916"/>
  <c r="CO449" i="23916"/>
  <c r="CP449" i="23916" s="1"/>
  <c r="CO453" i="23916"/>
  <c r="CP453" i="23916" s="1"/>
  <c r="CO448" i="23916"/>
  <c r="CO450" i="23916"/>
  <c r="CP450" i="23916" s="1"/>
  <c r="CO447" i="23916"/>
  <c r="CO451" i="23916"/>
  <c r="CP451" i="23916" s="1"/>
  <c r="CG415" i="23916"/>
  <c r="CH413" i="23916"/>
  <c r="CG416" i="23916"/>
  <c r="CG449" i="23916"/>
  <c r="CH449" i="23916" s="1"/>
  <c r="CG447" i="23916"/>
  <c r="CG451" i="23916"/>
  <c r="CH451" i="23916" s="1"/>
  <c r="CG452" i="23916"/>
  <c r="CH452" i="23916" s="1"/>
  <c r="CG448" i="23916"/>
  <c r="CH448" i="23916" s="1"/>
  <c r="AZ355" i="23916"/>
  <c r="BH355" i="23916"/>
  <c r="GF15" i="23916"/>
  <c r="GG12" i="23916"/>
  <c r="FF413" i="23916"/>
  <c r="FG411" i="23916"/>
  <c r="CK16" i="23916"/>
  <c r="CL15" i="23916"/>
  <c r="DE415" i="23916"/>
  <c r="DF413" i="23916"/>
  <c r="DE416" i="23916"/>
  <c r="DE449" i="23916"/>
  <c r="DE453" i="23916"/>
  <c r="DE447" i="23916"/>
  <c r="DE448" i="23916"/>
  <c r="DE451" i="23916"/>
  <c r="DI416" i="23916"/>
  <c r="DI415" i="23916"/>
  <c r="DJ413" i="23916"/>
  <c r="DI449" i="23916"/>
  <c r="DI453" i="23916"/>
  <c r="DJ453" i="23916" s="1"/>
  <c r="DI447" i="23916"/>
  <c r="DI451" i="23916"/>
  <c r="DI448" i="23916"/>
  <c r="GN47" i="23916"/>
  <c r="GM47" i="23916"/>
  <c r="BB305" i="23916"/>
  <c r="BA308" i="23916"/>
  <c r="BD305" i="23916"/>
  <c r="EQ129" i="23916"/>
  <c r="ER125" i="23916"/>
  <c r="EQ126" i="23916"/>
  <c r="ER126" i="23916" s="1"/>
  <c r="FN403" i="23916"/>
  <c r="FO163" i="23916"/>
  <c r="FO404" i="23916"/>
  <c r="FY405" i="23916"/>
  <c r="FY155" i="23916"/>
  <c r="GA155" i="23916"/>
  <c r="GH449" i="23916"/>
  <c r="GI406" i="23916"/>
  <c r="CR15" i="23916"/>
  <c r="EN93" i="23916"/>
  <c r="EM94" i="23916"/>
  <c r="EN94" i="23916" s="1"/>
  <c r="EM97" i="23916"/>
  <c r="FY409" i="23916"/>
  <c r="GK233" i="23916"/>
  <c r="GL233" i="23916"/>
  <c r="AR398" i="23916"/>
  <c r="GH448" i="23916"/>
  <c r="GI405" i="23916"/>
  <c r="GR501" i="23916"/>
  <c r="GQ501" i="23916"/>
  <c r="GP434" i="23916"/>
  <c r="FZ411" i="23916"/>
  <c r="FQ210" i="23916"/>
  <c r="FY210" i="23916"/>
  <c r="FK305" i="23916"/>
  <c r="FJ308" i="23916"/>
  <c r="GE409" i="23916"/>
  <c r="AJ404" i="23916"/>
  <c r="AI411" i="23916"/>
  <c r="GN110" i="23916"/>
  <c r="GO107" i="23916"/>
  <c r="GP107" i="23916"/>
  <c r="AC403" i="23916"/>
  <c r="AD163" i="23916"/>
  <c r="ER263" i="23916"/>
  <c r="FE411" i="23916"/>
  <c r="FD413" i="23916"/>
  <c r="GT433" i="23916"/>
  <c r="GS433" i="23916"/>
  <c r="FM406" i="23916"/>
  <c r="GF411" i="23916"/>
  <c r="DY415" i="23916"/>
  <c r="DY416" i="23916"/>
  <c r="DZ413" i="23916"/>
  <c r="DY449" i="23916"/>
  <c r="DZ449" i="23916" s="1"/>
  <c r="DY453" i="23916"/>
  <c r="DZ453" i="23916" s="1"/>
  <c r="DY447" i="23916"/>
  <c r="DY451" i="23916"/>
  <c r="DZ451" i="23916" s="1"/>
  <c r="DY448" i="23916"/>
  <c r="DZ448" i="23916" s="1"/>
  <c r="AI403" i="23916"/>
  <c r="AJ163" i="23916"/>
  <c r="AR163" i="23916"/>
  <c r="FU406" i="23916"/>
  <c r="FW406" i="23916"/>
  <c r="Y413" i="23916"/>
  <c r="Z411" i="23916"/>
  <c r="GM436" i="23916"/>
  <c r="BV413" i="23916"/>
  <c r="BU416" i="23916"/>
  <c r="BU415" i="23916"/>
  <c r="BU449" i="23916"/>
  <c r="BU452" i="23916"/>
  <c r="BU453" i="23916"/>
  <c r="BU450" i="23916"/>
  <c r="BU447" i="23916"/>
  <c r="BU451" i="23916"/>
  <c r="BU448" i="23916"/>
  <c r="FK405" i="23916"/>
  <c r="GK518" i="23916"/>
  <c r="GL518" i="23916"/>
  <c r="FK404" i="23916"/>
  <c r="DP15" i="23916"/>
  <c r="CN15" i="23916"/>
  <c r="DV411" i="23916"/>
  <c r="DU413" i="23916"/>
  <c r="DH411" i="23916"/>
  <c r="DG413" i="23916"/>
  <c r="BI413" i="23916"/>
  <c r="BR413" i="23916" s="1"/>
  <c r="FI411" i="23916"/>
  <c r="FH413" i="23916"/>
  <c r="AF410" i="23916"/>
  <c r="AE411" i="23916"/>
  <c r="AA413" i="23916"/>
  <c r="AB411" i="23916"/>
  <c r="FP36" i="23916"/>
  <c r="FQ28" i="23916"/>
  <c r="AX403" i="23916"/>
  <c r="AT36" i="23916"/>
  <c r="DM450" i="23916"/>
  <c r="DN450" i="23916" s="1"/>
  <c r="EP521" i="23916"/>
  <c r="FR576" i="23916"/>
  <c r="FY145" i="23916"/>
  <c r="FX159" i="23916"/>
  <c r="GA145" i="23916"/>
  <c r="EQ392" i="23916"/>
  <c r="ER392" i="23916" s="1"/>
  <c r="ER150" i="23916"/>
  <c r="EQ264" i="23916"/>
  <c r="AM36" i="23916"/>
  <c r="AN36" i="23916" s="1"/>
  <c r="AN28" i="23916"/>
  <c r="CX450" i="23916"/>
  <c r="AR404" i="23916"/>
  <c r="AJ407" i="23916"/>
  <c r="AR407" i="23916"/>
  <c r="BB36" i="23916"/>
  <c r="GP108" i="23916"/>
  <c r="GO108" i="23916"/>
  <c r="FO406" i="23916"/>
  <c r="DM446" i="23916"/>
  <c r="DN446" i="23916" s="1"/>
  <c r="DR450" i="23916"/>
  <c r="BD36" i="23916"/>
  <c r="GJ519" i="23916"/>
  <c r="AP36" i="23916"/>
  <c r="M580" i="23916"/>
  <c r="N411" i="23916"/>
  <c r="DH15" i="23916"/>
  <c r="FT575" i="23916"/>
  <c r="FT576" i="23916" s="1"/>
  <c r="EC16" i="23916"/>
  <c r="ED15" i="23916"/>
  <c r="FP574" i="23916"/>
  <c r="FP575" i="23916" s="1"/>
  <c r="FP410" i="23916"/>
  <c r="FS410" i="23916" s="1"/>
  <c r="DM13" i="23916"/>
  <c r="EK45" i="23916"/>
  <c r="EK42" i="23916"/>
  <c r="EK142" i="23916"/>
  <c r="EL39" i="23916"/>
  <c r="CK581" i="23916"/>
  <c r="CK18" i="23916"/>
  <c r="CL18" i="23916" s="1"/>
  <c r="FS403" i="23916"/>
  <c r="FQ405" i="23916"/>
  <c r="FS405" i="23916"/>
  <c r="FO385" i="23916"/>
  <c r="FN387" i="23916"/>
  <c r="FQ385" i="23916"/>
  <c r="X453" i="23916"/>
  <c r="DJ446" i="23916"/>
  <c r="GO434" i="23916"/>
  <c r="GN436" i="23916"/>
  <c r="EK573" i="23916"/>
  <c r="EK407" i="23916"/>
  <c r="EK210" i="23916"/>
  <c r="EL210" i="23916" s="1"/>
  <c r="EL209" i="23916"/>
  <c r="FW409" i="23916"/>
  <c r="DY452" i="23916"/>
  <c r="DZ452" i="23916" s="1"/>
  <c r="FQ407" i="23916"/>
  <c r="FS407" i="23916"/>
  <c r="EJ15" i="23916"/>
  <c r="EI16" i="23916"/>
  <c r="DY450" i="23916"/>
  <c r="DZ450" i="23916" s="1"/>
  <c r="GT294" i="23916"/>
  <c r="GS294" i="23916"/>
  <c r="FM408" i="23916"/>
  <c r="O453" i="23916"/>
  <c r="P410" i="23916"/>
  <c r="O411" i="23916"/>
  <c r="FK408" i="23916"/>
  <c r="GT76" i="23916"/>
  <c r="GS76" i="23916"/>
  <c r="GR78" i="23916"/>
  <c r="DZ15" i="23916"/>
  <c r="DY16" i="23916"/>
  <c r="BK411" i="23916"/>
  <c r="CH453" i="23916"/>
  <c r="GQ296" i="23916"/>
  <c r="GR296" i="23916"/>
  <c r="GG405" i="23916"/>
  <c r="BJ36" i="23916"/>
  <c r="GP46" i="23916"/>
  <c r="GO46" i="23916"/>
  <c r="BV36" i="23916"/>
  <c r="CD36" i="23916"/>
  <c r="CZ15" i="23916"/>
  <c r="FG398" i="23916"/>
  <c r="GM256" i="23916"/>
  <c r="CR411" i="23916"/>
  <c r="CQ413" i="23916"/>
  <c r="FW407" i="23916"/>
  <c r="FY407" i="23916"/>
  <c r="EJ411" i="23916"/>
  <c r="GP506" i="23916"/>
  <c r="GN505" i="23916"/>
  <c r="GO505" i="23916" s="1"/>
  <c r="GO506" i="23916"/>
  <c r="GN510" i="23916"/>
  <c r="GO510" i="23916" s="1"/>
  <c r="GN508" i="23916"/>
  <c r="FO35" i="23916"/>
  <c r="GO520" i="23916"/>
  <c r="GP520" i="23916"/>
  <c r="EP483" i="23916"/>
  <c r="EO485" i="23916"/>
  <c r="BP36" i="23916"/>
  <c r="EQ308" i="23916"/>
  <c r="ER305" i="23916"/>
  <c r="EQ11" i="23916"/>
  <c r="ER11" i="23916" s="1"/>
  <c r="BO413" i="23916"/>
  <c r="BP411" i="23916"/>
  <c r="DR15" i="23916"/>
  <c r="DQ16" i="23916"/>
  <c r="FV403" i="23916"/>
  <c r="FW163" i="23916"/>
  <c r="FS25" i="23916"/>
  <c r="FR32" i="23916"/>
  <c r="FR28" i="23916"/>
  <c r="FU25" i="23916"/>
  <c r="DA416" i="23916"/>
  <c r="DA415" i="23916"/>
  <c r="DB413" i="23916"/>
  <c r="DA449" i="23916"/>
  <c r="DB449" i="23916" s="1"/>
  <c r="DA451" i="23916"/>
  <c r="DB451" i="23916" s="1"/>
  <c r="DA452" i="23916"/>
  <c r="DB452" i="23916" s="1"/>
  <c r="DA448" i="23916"/>
  <c r="DB448" i="23916" s="1"/>
  <c r="DA450" i="23916"/>
  <c r="DB450" i="23916" s="1"/>
  <c r="DA447" i="23916"/>
  <c r="DT15" i="23916"/>
  <c r="GD15" i="23916"/>
  <c r="GE12" i="23916"/>
  <c r="GC7" i="23916"/>
  <c r="FN36" i="23916"/>
  <c r="FO36" i="23916" s="1"/>
  <c r="FO28" i="23916"/>
  <c r="EF15" i="23916"/>
  <c r="GJ195" i="23916"/>
  <c r="GR393" i="23916"/>
  <c r="GS295" i="23916"/>
  <c r="GT295" i="23916"/>
  <c r="CP446" i="23916"/>
  <c r="AW305" i="23916"/>
  <c r="AX289" i="23916"/>
  <c r="AH411" i="23916"/>
  <c r="FZ403" i="23916"/>
  <c r="M454" i="23916"/>
  <c r="N454" i="23916" s="1"/>
  <c r="CE413" i="23916"/>
  <c r="CF411" i="23916"/>
  <c r="EQ391" i="23916"/>
  <c r="ER391" i="23916" s="1"/>
  <c r="W416" i="23916"/>
  <c r="X413" i="23916"/>
  <c r="W449" i="23916"/>
  <c r="X449" i="23916" s="1"/>
  <c r="W447" i="23916"/>
  <c r="W415" i="23916"/>
  <c r="W448" i="23916"/>
  <c r="X448" i="23916" s="1"/>
  <c r="W446" i="23916"/>
  <c r="X446" i="23916" s="1"/>
  <c r="W452" i="23916"/>
  <c r="X452" i="23916" s="1"/>
  <c r="W451" i="23916"/>
  <c r="X451" i="23916" s="1"/>
  <c r="W450" i="23916"/>
  <c r="X450" i="23916" s="1"/>
  <c r="ER83" i="23916"/>
  <c r="EQ85" i="23916"/>
  <c r="GE405" i="23916"/>
  <c r="BD398" i="23916"/>
  <c r="FU409" i="23916"/>
  <c r="EM29" i="23916"/>
  <c r="AT403" i="23916"/>
  <c r="GL121" i="23916"/>
  <c r="GK121" i="23916"/>
  <c r="AS574" i="23916"/>
  <c r="AS410" i="23916"/>
  <c r="AT308" i="23916"/>
  <c r="CK13" i="23916"/>
  <c r="EG415" i="23916"/>
  <c r="EG416" i="23916"/>
  <c r="EH413" i="23916"/>
  <c r="EG449" i="23916"/>
  <c r="EH449" i="23916" s="1"/>
  <c r="EG448" i="23916"/>
  <c r="EH448" i="23916" s="1"/>
  <c r="EG447" i="23916"/>
  <c r="EG453" i="23916"/>
  <c r="EH453" i="23916" s="1"/>
  <c r="EG452" i="23916"/>
  <c r="EH452" i="23916" s="1"/>
  <c r="EG451" i="23916"/>
  <c r="EH451" i="23916" s="1"/>
  <c r="GJ150" i="23916"/>
  <c r="CW415" i="23916"/>
  <c r="CX413" i="23916"/>
  <c r="CW416" i="23916"/>
  <c r="CW453" i="23916"/>
  <c r="CX453" i="23916" s="1"/>
  <c r="CW449" i="23916"/>
  <c r="CX449" i="23916" s="1"/>
  <c r="CW447" i="23916"/>
  <c r="CW448" i="23916"/>
  <c r="CX448" i="23916" s="1"/>
  <c r="CW451" i="23916"/>
  <c r="CX451" i="23916" s="1"/>
  <c r="GJ228" i="23916"/>
  <c r="GJ392" i="23916" l="1"/>
  <c r="GK392" i="23916" s="1"/>
  <c r="GK150" i="23916"/>
  <c r="EG454" i="23916"/>
  <c r="EH447" i="23916"/>
  <c r="EG580" i="23916"/>
  <c r="EG559" i="23916"/>
  <c r="EG548" i="23916"/>
  <c r="EG537" i="23916"/>
  <c r="EG536" i="23916"/>
  <c r="EG488" i="23916"/>
  <c r="EG443" i="23916"/>
  <c r="EG438" i="23916"/>
  <c r="EG417" i="23916"/>
  <c r="EG493" i="23916" s="1"/>
  <c r="EH416" i="23916"/>
  <c r="EG479" i="23916"/>
  <c r="AT410" i="23916"/>
  <c r="AS411" i="23916"/>
  <c r="CE416" i="23916"/>
  <c r="CE415" i="23916"/>
  <c r="CF413" i="23916"/>
  <c r="CE448" i="23916"/>
  <c r="CF448" i="23916" s="1"/>
  <c r="CE449" i="23916"/>
  <c r="CF449" i="23916" s="1"/>
  <c r="CE453" i="23916"/>
  <c r="CF453" i="23916" s="1"/>
  <c r="CE450" i="23916"/>
  <c r="CF450" i="23916" s="1"/>
  <c r="CE451" i="23916"/>
  <c r="CF451" i="23916" s="1"/>
  <c r="CE446" i="23916"/>
  <c r="CF446" i="23916" s="1"/>
  <c r="CE447" i="23916"/>
  <c r="CE452" i="23916"/>
  <c r="CF452" i="23916" s="1"/>
  <c r="DA566" i="23916"/>
  <c r="DB415" i="23916"/>
  <c r="DA493" i="23916"/>
  <c r="DA584" i="23916"/>
  <c r="DA585" i="23916" s="1"/>
  <c r="FR36" i="23916"/>
  <c r="FS28" i="23916"/>
  <c r="FU28" i="23916"/>
  <c r="FW403" i="23916"/>
  <c r="BO416" i="23916"/>
  <c r="BP413" i="23916"/>
  <c r="BO415" i="23916"/>
  <c r="BO448" i="23916"/>
  <c r="BO449" i="23916"/>
  <c r="BO452" i="23916"/>
  <c r="BO453" i="23916"/>
  <c r="BO451" i="23916"/>
  <c r="BO450" i="23916"/>
  <c r="BO447" i="23916"/>
  <c r="BO446" i="23916"/>
  <c r="GN509" i="23916"/>
  <c r="GO508" i="23916"/>
  <c r="GP510" i="23916"/>
  <c r="GQ510" i="23916" s="1"/>
  <c r="GR506" i="23916"/>
  <c r="GQ506" i="23916"/>
  <c r="GT78" i="23916"/>
  <c r="GS78" i="23916"/>
  <c r="FN398" i="23916"/>
  <c r="FQ387" i="23916"/>
  <c r="GK519" i="23916"/>
  <c r="GJ521" i="23916"/>
  <c r="ER264" i="23916"/>
  <c r="EQ276" i="23916"/>
  <c r="FX163" i="23916"/>
  <c r="FX160" i="23916"/>
  <c r="FY159" i="23916"/>
  <c r="FX7" i="23916"/>
  <c r="GA159" i="23916"/>
  <c r="FQ36" i="23916"/>
  <c r="AF411" i="23916"/>
  <c r="AE413" i="23916"/>
  <c r="DJ450" i="23916"/>
  <c r="Z413" i="23916"/>
  <c r="Y416" i="23916"/>
  <c r="Y415" i="23916"/>
  <c r="Y449" i="23916"/>
  <c r="Z449" i="23916" s="1"/>
  <c r="Y447" i="23916"/>
  <c r="Y448" i="23916"/>
  <c r="Z448" i="23916" s="1"/>
  <c r="Y452" i="23916"/>
  <c r="Z452" i="23916" s="1"/>
  <c r="Y446" i="23916"/>
  <c r="Y451" i="23916"/>
  <c r="Z451" i="23916" s="1"/>
  <c r="Y450" i="23916"/>
  <c r="Y453" i="23916"/>
  <c r="Z453" i="23916" s="1"/>
  <c r="GF413" i="23916"/>
  <c r="GG411" i="23916"/>
  <c r="AI413" i="23916"/>
  <c r="AJ411" i="23916"/>
  <c r="GQ434" i="23916"/>
  <c r="GP436" i="23916"/>
  <c r="BA574" i="23916"/>
  <c r="BA410" i="23916"/>
  <c r="BB308" i="23916"/>
  <c r="BD308" i="23916"/>
  <c r="DI580" i="23916"/>
  <c r="DI559" i="23916"/>
  <c r="DI548" i="23916"/>
  <c r="DI537" i="23916"/>
  <c r="DI536" i="23916"/>
  <c r="DI488" i="23916"/>
  <c r="DI438" i="23916"/>
  <c r="DI417" i="23916"/>
  <c r="DI493" i="23916" s="1"/>
  <c r="DJ416" i="23916"/>
  <c r="DI479" i="23916"/>
  <c r="DI443" i="23916"/>
  <c r="DF453" i="23916"/>
  <c r="DE566" i="23916"/>
  <c r="DF415" i="23916"/>
  <c r="DE584" i="23916"/>
  <c r="DE585" i="23916" s="1"/>
  <c r="DE493" i="23916"/>
  <c r="FF416" i="23916"/>
  <c r="FG413" i="23916"/>
  <c r="FF415" i="23916"/>
  <c r="FF448" i="23916"/>
  <c r="FF450" i="23916"/>
  <c r="FF446" i="23916"/>
  <c r="FF452" i="23916"/>
  <c r="FF447" i="23916"/>
  <c r="FF451" i="23916"/>
  <c r="FF449" i="23916"/>
  <c r="FF453" i="23916"/>
  <c r="CO566" i="23916"/>
  <c r="CP415" i="23916"/>
  <c r="CO493" i="23916"/>
  <c r="CO584" i="23916"/>
  <c r="CO585" i="23916" s="1"/>
  <c r="BY566" i="23916"/>
  <c r="BZ415" i="23916"/>
  <c r="BY584" i="23916"/>
  <c r="BY585" i="23916" s="1"/>
  <c r="BY580" i="23916"/>
  <c r="BS415" i="23916"/>
  <c r="BS416" i="23916"/>
  <c r="BS453" i="23916"/>
  <c r="BS448" i="23916"/>
  <c r="BS452" i="23916"/>
  <c r="BS449" i="23916"/>
  <c r="BS451" i="23916"/>
  <c r="BS450" i="23916"/>
  <c r="BS446" i="23916"/>
  <c r="BS447" i="23916"/>
  <c r="FM385" i="23916"/>
  <c r="FL387" i="23916"/>
  <c r="FO387" i="23916" s="1"/>
  <c r="AM416" i="23916"/>
  <c r="AM415" i="23916"/>
  <c r="AN413" i="23916"/>
  <c r="AM448" i="23916"/>
  <c r="AM452" i="23916"/>
  <c r="AM451" i="23916"/>
  <c r="AM449" i="23916"/>
  <c r="AM450" i="23916"/>
  <c r="AM453" i="23916"/>
  <c r="AM446" i="23916"/>
  <c r="AM447" i="23916"/>
  <c r="GO256" i="23916"/>
  <c r="CH450" i="23916"/>
  <c r="CK566" i="23916"/>
  <c r="CK584" i="23916"/>
  <c r="CK585" i="23916" s="1"/>
  <c r="CK580" i="23916"/>
  <c r="FY56" i="23916"/>
  <c r="GA56" i="23916"/>
  <c r="EO280" i="23916"/>
  <c r="EP276" i="23916"/>
  <c r="EO277" i="23916"/>
  <c r="EP277" i="23916" s="1"/>
  <c r="EO10" i="23916"/>
  <c r="EP10" i="23916" s="1"/>
  <c r="GR40" i="23916"/>
  <c r="GQ40" i="23916"/>
  <c r="GP143" i="23916"/>
  <c r="GR503" i="23916"/>
  <c r="GQ503" i="23916"/>
  <c r="DN453" i="23916"/>
  <c r="DM580" i="23916"/>
  <c r="DM559" i="23916"/>
  <c r="DM548" i="23916"/>
  <c r="DM537" i="23916"/>
  <c r="DM536" i="23916"/>
  <c r="DM488" i="23916"/>
  <c r="DM438" i="23916"/>
  <c r="DM417" i="23916"/>
  <c r="DM493" i="23916" s="1"/>
  <c r="DN416" i="23916"/>
  <c r="DM479" i="23916"/>
  <c r="DM443" i="23916"/>
  <c r="DO415" i="23916"/>
  <c r="DO416" i="23916"/>
  <c r="DP413" i="23916"/>
  <c r="DO453" i="23916"/>
  <c r="DO450" i="23916"/>
  <c r="DO448" i="23916"/>
  <c r="DO452" i="23916"/>
  <c r="DO451" i="23916"/>
  <c r="DO447" i="23916"/>
  <c r="DO449" i="23916"/>
  <c r="DO446" i="23916"/>
  <c r="DO13" i="23916"/>
  <c r="EO243" i="23916"/>
  <c r="EO240" i="23916"/>
  <c r="EP240" i="23916" s="1"/>
  <c r="EP239" i="23916"/>
  <c r="EO9" i="23916"/>
  <c r="EP9" i="23916" s="1"/>
  <c r="GL386" i="23916"/>
  <c r="GM386" i="23916" s="1"/>
  <c r="GM144" i="23916"/>
  <c r="EQ567" i="23916"/>
  <c r="GJ482" i="23916"/>
  <c r="ER482" i="23916"/>
  <c r="EQ461" i="23916"/>
  <c r="GP607" i="23916"/>
  <c r="GR87" i="23916"/>
  <c r="GQ87" i="23916"/>
  <c r="GP88" i="23916"/>
  <c r="GP81" i="23916" s="1"/>
  <c r="GJ272" i="23916"/>
  <c r="GK260" i="23916"/>
  <c r="EC580" i="23916"/>
  <c r="EC559" i="23916"/>
  <c r="EC548" i="23916"/>
  <c r="EC488" i="23916"/>
  <c r="EC443" i="23916"/>
  <c r="EC438" i="23916"/>
  <c r="EC417" i="23916"/>
  <c r="EC493" i="23916" s="1"/>
  <c r="EC479" i="23916"/>
  <c r="DR451" i="23916"/>
  <c r="DQ580" i="23916"/>
  <c r="DQ559" i="23916"/>
  <c r="DR559" i="23916" s="1"/>
  <c r="DQ548" i="23916"/>
  <c r="DR548" i="23916" s="1"/>
  <c r="DQ537" i="23916"/>
  <c r="DR537" i="23916" s="1"/>
  <c r="DQ536" i="23916"/>
  <c r="DR536" i="23916" s="1"/>
  <c r="DQ488" i="23916"/>
  <c r="DQ438" i="23916"/>
  <c r="DQ417" i="23916"/>
  <c r="DQ493" i="23916" s="1"/>
  <c r="DR416" i="23916"/>
  <c r="DQ443" i="23916"/>
  <c r="DR443" i="23916" s="1"/>
  <c r="DQ479" i="23916"/>
  <c r="DR479" i="23916" s="1"/>
  <c r="GR288" i="23916"/>
  <c r="GQ288" i="23916"/>
  <c r="BN413" i="23916"/>
  <c r="BM416" i="23916"/>
  <c r="BM415" i="23916"/>
  <c r="BM449" i="23916"/>
  <c r="BM448" i="23916"/>
  <c r="BM451" i="23916"/>
  <c r="BM450" i="23916"/>
  <c r="BM452" i="23916"/>
  <c r="BM446" i="23916"/>
  <c r="BM453" i="23916"/>
  <c r="BM447" i="23916"/>
  <c r="GK191" i="23916"/>
  <c r="GP504" i="23916"/>
  <c r="GO504" i="23916"/>
  <c r="AH451" i="23916"/>
  <c r="AH413" i="23916"/>
  <c r="EL405" i="23916"/>
  <c r="BX451" i="23916"/>
  <c r="BX453" i="23916"/>
  <c r="BX413" i="23916"/>
  <c r="GL509" i="23916"/>
  <c r="GM509" i="23916" s="1"/>
  <c r="GM508" i="23916"/>
  <c r="GJ468" i="23916"/>
  <c r="GK468" i="23916" s="1"/>
  <c r="EE415" i="23916"/>
  <c r="EE416" i="23916"/>
  <c r="EF413" i="23916"/>
  <c r="EE453" i="23916"/>
  <c r="EE452" i="23916"/>
  <c r="EE450" i="23916"/>
  <c r="EE448" i="23916"/>
  <c r="EE451" i="23916"/>
  <c r="EE13" i="23916"/>
  <c r="EE447" i="23916"/>
  <c r="EE446" i="23916"/>
  <c r="EE449" i="23916"/>
  <c r="GO517" i="23916"/>
  <c r="GP517" i="23916"/>
  <c r="DC566" i="23916"/>
  <c r="DC584" i="23916"/>
  <c r="DC585" i="23916" s="1"/>
  <c r="DC493" i="23916"/>
  <c r="FX398" i="23916"/>
  <c r="FY387" i="23916"/>
  <c r="GA387" i="23916"/>
  <c r="GT254" i="23916"/>
  <c r="GS254" i="23916"/>
  <c r="GK117" i="23916"/>
  <c r="GJ125" i="23916"/>
  <c r="CS454" i="23916"/>
  <c r="CT447" i="23916"/>
  <c r="CS566" i="23916"/>
  <c r="CT415" i="23916"/>
  <c r="CS493" i="23916"/>
  <c r="CS584" i="23916"/>
  <c r="CS585" i="23916" s="1"/>
  <c r="DJ452" i="23916"/>
  <c r="AV36" i="23916"/>
  <c r="GI411" i="23916"/>
  <c r="CW580" i="23916"/>
  <c r="CW559" i="23916"/>
  <c r="CW548" i="23916"/>
  <c r="CW537" i="23916"/>
  <c r="CW536" i="23916"/>
  <c r="CW488" i="23916"/>
  <c r="CW438" i="23916"/>
  <c r="CW417" i="23916"/>
  <c r="CX416" i="23916"/>
  <c r="CW479" i="23916"/>
  <c r="CW443" i="23916"/>
  <c r="EG566" i="23916"/>
  <c r="EH415" i="23916"/>
  <c r="EP415" i="23916"/>
  <c r="EG584" i="23916"/>
  <c r="EG585" i="23916" s="1"/>
  <c r="EN29" i="23916"/>
  <c r="EO25" i="23916"/>
  <c r="EM30" i="23916"/>
  <c r="X415" i="23916"/>
  <c r="W580" i="23916"/>
  <c r="W559" i="23916"/>
  <c r="X559" i="23916" s="1"/>
  <c r="W548" i="23916"/>
  <c r="X548" i="23916" s="1"/>
  <c r="W536" i="23916"/>
  <c r="X536" i="23916" s="1"/>
  <c r="W488" i="23916"/>
  <c r="W443" i="23916"/>
  <c r="X443" i="23916" s="1"/>
  <c r="W438" i="23916"/>
  <c r="X416" i="23916"/>
  <c r="W418" i="23916"/>
  <c r="W419" i="23916" s="1"/>
  <c r="W417" i="23916"/>
  <c r="W479" i="23916"/>
  <c r="X479" i="23916" s="1"/>
  <c r="AX305" i="23916"/>
  <c r="AW308" i="23916"/>
  <c r="GT393" i="23916"/>
  <c r="GS393" i="23916"/>
  <c r="GE15" i="23916"/>
  <c r="DA454" i="23916"/>
  <c r="DB454" i="23916" s="1"/>
  <c r="DB447" i="23916"/>
  <c r="DA580" i="23916"/>
  <c r="DA559" i="23916"/>
  <c r="DA548" i="23916"/>
  <c r="DA537" i="23916"/>
  <c r="DA536" i="23916"/>
  <c r="DA488" i="23916"/>
  <c r="DA438" i="23916"/>
  <c r="DA417" i="23916"/>
  <c r="DB416" i="23916"/>
  <c r="DA443" i="23916"/>
  <c r="DA479" i="23916"/>
  <c r="FR34" i="23916"/>
  <c r="FS32" i="23916"/>
  <c r="FU32" i="23916"/>
  <c r="EQ410" i="23916"/>
  <c r="ER308" i="23916"/>
  <c r="GQ520" i="23916"/>
  <c r="GR520" i="23916"/>
  <c r="GR46" i="23916"/>
  <c r="GQ46" i="23916"/>
  <c r="BL411" i="23916"/>
  <c r="BK413" i="23916"/>
  <c r="O580" i="23916"/>
  <c r="X411" i="23916"/>
  <c r="GO436" i="23916"/>
  <c r="EK384" i="23916"/>
  <c r="EL142" i="23916"/>
  <c r="EK145" i="23916"/>
  <c r="EK155" i="23916"/>
  <c r="EL155" i="23916" s="1"/>
  <c r="BU454" i="23916"/>
  <c r="BV447" i="23916"/>
  <c r="BV449" i="23916"/>
  <c r="AD403" i="23916"/>
  <c r="FJ574" i="23916"/>
  <c r="FJ410" i="23916"/>
  <c r="FK308" i="23916"/>
  <c r="DJ448" i="23916"/>
  <c r="DJ449" i="23916"/>
  <c r="DF451" i="23916"/>
  <c r="DF449" i="23916"/>
  <c r="GG15" i="23916"/>
  <c r="CG559" i="23916"/>
  <c r="CH559" i="23916" s="1"/>
  <c r="CG548" i="23916"/>
  <c r="CG537" i="23916"/>
  <c r="CH537" i="23916" s="1"/>
  <c r="CG536" i="23916"/>
  <c r="CG488" i="23916"/>
  <c r="CG438" i="23916"/>
  <c r="CG417" i="23916"/>
  <c r="CH416" i="23916"/>
  <c r="CG479" i="23916"/>
  <c r="CG443" i="23916"/>
  <c r="CH443" i="23916" s="1"/>
  <c r="CO454" i="23916"/>
  <c r="CP447" i="23916"/>
  <c r="BY559" i="23916"/>
  <c r="BY548" i="23916"/>
  <c r="BY537" i="23916"/>
  <c r="BZ537" i="23916" s="1"/>
  <c r="BY536" i="23916"/>
  <c r="BY493" i="23916"/>
  <c r="BY488" i="23916"/>
  <c r="BY443" i="23916"/>
  <c r="BY438" i="23916"/>
  <c r="BY417" i="23916"/>
  <c r="BZ416" i="23916"/>
  <c r="BY479" i="23916"/>
  <c r="BT411" i="23916"/>
  <c r="FL305" i="23916"/>
  <c r="FO305" i="23916" s="1"/>
  <c r="FM289" i="23916"/>
  <c r="AN411" i="23916"/>
  <c r="EI566" i="23916"/>
  <c r="ER415" i="23916"/>
  <c r="EI584" i="23916"/>
  <c r="EI585" i="23916" s="1"/>
  <c r="FZ576" i="23916"/>
  <c r="FN308" i="23916"/>
  <c r="FQ305" i="23916"/>
  <c r="CK559" i="23916"/>
  <c r="CK548" i="23916"/>
  <c r="CK537" i="23916"/>
  <c r="CK536" i="23916"/>
  <c r="CK488" i="23916"/>
  <c r="CK438" i="23916"/>
  <c r="CK417" i="23916"/>
  <c r="CK443" i="23916"/>
  <c r="CK479" i="23916"/>
  <c r="DS415" i="23916"/>
  <c r="DT413" i="23916"/>
  <c r="DS416" i="23916"/>
  <c r="DS453" i="23916"/>
  <c r="DT453" i="23916" s="1"/>
  <c r="DS450" i="23916"/>
  <c r="DS452" i="23916"/>
  <c r="DS449" i="23916"/>
  <c r="DT449" i="23916" s="1"/>
  <c r="DS448" i="23916"/>
  <c r="DT448" i="23916" s="1"/>
  <c r="DS451" i="23916"/>
  <c r="DS447" i="23916"/>
  <c r="DS13" i="23916"/>
  <c r="DS446" i="23916"/>
  <c r="AZ398" i="23916"/>
  <c r="BH398" i="23916"/>
  <c r="GR502" i="23916"/>
  <c r="GQ502" i="23916"/>
  <c r="DK416" i="23916"/>
  <c r="DK415" i="23916"/>
  <c r="DL413" i="23916"/>
  <c r="DK449" i="23916"/>
  <c r="DL449" i="23916" s="1"/>
  <c r="DK448" i="23916"/>
  <c r="DL448" i="23916" s="1"/>
  <c r="DK453" i="23916"/>
  <c r="DL453" i="23916" s="1"/>
  <c r="DK452" i="23916"/>
  <c r="DL452" i="23916" s="1"/>
  <c r="DK450" i="23916"/>
  <c r="DL450" i="23916" s="1"/>
  <c r="DK451" i="23916"/>
  <c r="DL451" i="23916" s="1"/>
  <c r="DK447" i="23916"/>
  <c r="DK446" i="23916"/>
  <c r="DL446" i="23916" s="1"/>
  <c r="DK13" i="23916"/>
  <c r="GO143" i="23916"/>
  <c r="CI416" i="23916"/>
  <c r="CI415" i="23916"/>
  <c r="CJ413" i="23916"/>
  <c r="CI448" i="23916"/>
  <c r="CI453" i="23916"/>
  <c r="CI450" i="23916"/>
  <c r="CI451" i="23916"/>
  <c r="CI452" i="23916"/>
  <c r="CI449" i="23916"/>
  <c r="CI446" i="23916"/>
  <c r="CI13" i="23916"/>
  <c r="CI447" i="23916"/>
  <c r="GM466" i="23916"/>
  <c r="GL468" i="23916"/>
  <c r="GM468" i="23916" s="1"/>
  <c r="DM454" i="23916"/>
  <c r="DN447" i="23916"/>
  <c r="DN449" i="23916"/>
  <c r="GP528" i="23916"/>
  <c r="GO528" i="23916"/>
  <c r="GS221" i="23916"/>
  <c r="GT221" i="23916"/>
  <c r="AD411" i="23916"/>
  <c r="AC413" i="23916"/>
  <c r="BQ454" i="23916"/>
  <c r="GK264" i="23916"/>
  <c r="GJ276" i="23916"/>
  <c r="FV15" i="23916"/>
  <c r="FW12" i="23916"/>
  <c r="ER483" i="23916"/>
  <c r="EQ485" i="23916"/>
  <c r="GJ483" i="23916"/>
  <c r="GK483" i="23916" s="1"/>
  <c r="AX355" i="23916"/>
  <c r="BF355" i="23916"/>
  <c r="EC454" i="23916"/>
  <c r="DR448" i="23916"/>
  <c r="DQ454" i="23916"/>
  <c r="DR447" i="23916"/>
  <c r="DQ566" i="23916"/>
  <c r="DR415" i="23916"/>
  <c r="DQ584" i="23916"/>
  <c r="DQ585" i="23916" s="1"/>
  <c r="DI16" i="23916"/>
  <c r="AV410" i="23916"/>
  <c r="AU411" i="23916"/>
  <c r="BD410" i="23916"/>
  <c r="EP406" i="23916"/>
  <c r="AH453" i="23916"/>
  <c r="AH452" i="23916"/>
  <c r="AG559" i="23916"/>
  <c r="AG548" i="23916"/>
  <c r="AG536" i="23916"/>
  <c r="AG488" i="23916"/>
  <c r="AG438" i="23916"/>
  <c r="AG419" i="23916"/>
  <c r="AH416" i="23916"/>
  <c r="AG418" i="23916"/>
  <c r="AG417" i="23916"/>
  <c r="AG479" i="23916"/>
  <c r="AG443" i="23916"/>
  <c r="FV34" i="23916"/>
  <c r="FW32" i="23916"/>
  <c r="BX450" i="23916"/>
  <c r="BX449" i="23916"/>
  <c r="BW559" i="23916"/>
  <c r="BW548" i="23916"/>
  <c r="BW536" i="23916"/>
  <c r="BW488" i="23916"/>
  <c r="BW438" i="23916"/>
  <c r="BW417" i="23916"/>
  <c r="BX416" i="23916"/>
  <c r="BW443" i="23916"/>
  <c r="BW479" i="23916"/>
  <c r="DW415" i="23916"/>
  <c r="DW416" i="23916"/>
  <c r="DX413" i="23916"/>
  <c r="DW452" i="23916"/>
  <c r="DX452" i="23916" s="1"/>
  <c r="DW448" i="23916"/>
  <c r="DX448" i="23916" s="1"/>
  <c r="DW450" i="23916"/>
  <c r="DX450" i="23916" s="1"/>
  <c r="DW453" i="23916"/>
  <c r="DX453" i="23916" s="1"/>
  <c r="DW449" i="23916"/>
  <c r="DX449" i="23916" s="1"/>
  <c r="DW451" i="23916"/>
  <c r="DX451" i="23916" s="1"/>
  <c r="DW447" i="23916"/>
  <c r="DW446" i="23916"/>
  <c r="DX446" i="23916" s="1"/>
  <c r="DW13" i="23916"/>
  <c r="GO196" i="23916"/>
  <c r="GP196" i="23916"/>
  <c r="EM408" i="23916"/>
  <c r="EN243" i="23916"/>
  <c r="EM244" i="23916"/>
  <c r="GJ84" i="23916"/>
  <c r="DC580" i="23916"/>
  <c r="DC559" i="23916"/>
  <c r="DC548" i="23916"/>
  <c r="DC537" i="23916"/>
  <c r="DC536" i="23916"/>
  <c r="DC488" i="23916"/>
  <c r="DC438" i="23916"/>
  <c r="DC417" i="23916"/>
  <c r="DC443" i="23916"/>
  <c r="DC479" i="23916"/>
  <c r="EH450" i="23916"/>
  <c r="AZ305" i="23916"/>
  <c r="GT286" i="23916"/>
  <c r="GS286" i="23916"/>
  <c r="GR289" i="23916"/>
  <c r="GK236" i="23916"/>
  <c r="GL236" i="23916"/>
  <c r="GR224" i="23916"/>
  <c r="CD413" i="23916"/>
  <c r="CC416" i="23916"/>
  <c r="CC415" i="23916"/>
  <c r="CC449" i="23916"/>
  <c r="CD449" i="23916" s="1"/>
  <c r="CC453" i="23916"/>
  <c r="CD453" i="23916" s="1"/>
  <c r="CC451" i="23916"/>
  <c r="CD451" i="23916" s="1"/>
  <c r="CC447" i="23916"/>
  <c r="CC448" i="23916"/>
  <c r="CD448" i="23916" s="1"/>
  <c r="CC450" i="23916"/>
  <c r="CD450" i="23916" s="1"/>
  <c r="CC446" i="23916"/>
  <c r="CC452" i="23916"/>
  <c r="BE415" i="23916"/>
  <c r="BE416" i="23916"/>
  <c r="BE452" i="23916"/>
  <c r="BE451" i="23916"/>
  <c r="BE449" i="23916"/>
  <c r="BE448" i="23916"/>
  <c r="BE450" i="23916"/>
  <c r="BE453" i="23916"/>
  <c r="BE447" i="23916"/>
  <c r="BE446" i="23916"/>
  <c r="GL119" i="23916"/>
  <c r="GK119" i="23916"/>
  <c r="FJ35" i="23916"/>
  <c r="FJ33" i="23916"/>
  <c r="FK34" i="23916"/>
  <c r="FM34" i="23916"/>
  <c r="CT449" i="23916"/>
  <c r="CS580" i="23916"/>
  <c r="CS559" i="23916"/>
  <c r="CT559" i="23916" s="1"/>
  <c r="CS548" i="23916"/>
  <c r="CT548" i="23916" s="1"/>
  <c r="CS537" i="23916"/>
  <c r="CT537" i="23916" s="1"/>
  <c r="CS536" i="23916"/>
  <c r="CT536" i="23916" s="1"/>
  <c r="CS488" i="23916"/>
  <c r="CS438" i="23916"/>
  <c r="CS417" i="23916"/>
  <c r="CT416" i="23916"/>
  <c r="CS479" i="23916"/>
  <c r="CT479" i="23916" s="1"/>
  <c r="CS443" i="23916"/>
  <c r="CT443" i="23916" s="1"/>
  <c r="FQ355" i="23916"/>
  <c r="GL273" i="23916"/>
  <c r="GK273" i="23916"/>
  <c r="GB416" i="23916"/>
  <c r="GB415" i="23916"/>
  <c r="GB450" i="23916"/>
  <c r="GB453" i="23916"/>
  <c r="GB447" i="23916"/>
  <c r="GH416" i="23916"/>
  <c r="GI413" i="23916"/>
  <c r="GH415" i="23916"/>
  <c r="GH451" i="23916"/>
  <c r="GH447" i="23916"/>
  <c r="GH453" i="23916"/>
  <c r="CW454" i="23916"/>
  <c r="CX454" i="23916" s="1"/>
  <c r="CX447" i="23916"/>
  <c r="ER85" i="23916"/>
  <c r="EQ93" i="23916"/>
  <c r="W454" i="23916"/>
  <c r="X447" i="23916"/>
  <c r="GJ202" i="23916"/>
  <c r="GK195" i="23916"/>
  <c r="CQ416" i="23916"/>
  <c r="CR413" i="23916"/>
  <c r="CQ415" i="23916"/>
  <c r="CQ453" i="23916"/>
  <c r="CR453" i="23916" s="1"/>
  <c r="CQ452" i="23916"/>
  <c r="CR452" i="23916" s="1"/>
  <c r="CQ448" i="23916"/>
  <c r="CR448" i="23916" s="1"/>
  <c r="CQ449" i="23916"/>
  <c r="CR449" i="23916" s="1"/>
  <c r="CQ451" i="23916"/>
  <c r="CR451" i="23916" s="1"/>
  <c r="CQ450" i="23916"/>
  <c r="CR450" i="23916" s="1"/>
  <c r="CQ447" i="23916"/>
  <c r="CQ13" i="23916"/>
  <c r="CQ446" i="23916"/>
  <c r="CR446" i="23916" s="1"/>
  <c r="GS296" i="23916"/>
  <c r="GT296" i="23916"/>
  <c r="EL42" i="23916"/>
  <c r="EK48" i="23916"/>
  <c r="FP411" i="23916"/>
  <c r="AB413" i="23916"/>
  <c r="AA416" i="23916"/>
  <c r="AA415" i="23916"/>
  <c r="AA449" i="23916"/>
  <c r="AB449" i="23916" s="1"/>
  <c r="AA447" i="23916"/>
  <c r="AA448" i="23916"/>
  <c r="AB448" i="23916" s="1"/>
  <c r="AA446" i="23916"/>
  <c r="AB446" i="23916" s="1"/>
  <c r="AA452" i="23916"/>
  <c r="AB452" i="23916" s="1"/>
  <c r="AA451" i="23916"/>
  <c r="AB451" i="23916" s="1"/>
  <c r="AA450" i="23916"/>
  <c r="AB450" i="23916" s="1"/>
  <c r="AA453" i="23916"/>
  <c r="AB453" i="23916" s="1"/>
  <c r="GM518" i="23916"/>
  <c r="GN518" i="23916"/>
  <c r="BV450" i="23916"/>
  <c r="BU566" i="23916"/>
  <c r="BV415" i="23916"/>
  <c r="BU580" i="23916"/>
  <c r="BU584" i="23916"/>
  <c r="BU585" i="23916" s="1"/>
  <c r="DY454" i="23916"/>
  <c r="DZ454" i="23916" s="1"/>
  <c r="DZ447" i="23916"/>
  <c r="DY580" i="23916"/>
  <c r="DY559" i="23916"/>
  <c r="DZ559" i="23916" s="1"/>
  <c r="DY548" i="23916"/>
  <c r="DZ548" i="23916" s="1"/>
  <c r="DY537" i="23916"/>
  <c r="DZ537" i="23916" s="1"/>
  <c r="DY536" i="23916"/>
  <c r="DZ536" i="23916" s="1"/>
  <c r="DY488" i="23916"/>
  <c r="DY438" i="23916"/>
  <c r="DY417" i="23916"/>
  <c r="DY493" i="23916" s="1"/>
  <c r="DZ416" i="23916"/>
  <c r="DY479" i="23916"/>
  <c r="DZ479" i="23916" s="1"/>
  <c r="DY443" i="23916"/>
  <c r="DZ443" i="23916" s="1"/>
  <c r="FE413" i="23916"/>
  <c r="FD416" i="23916"/>
  <c r="FD415" i="23916"/>
  <c r="FD447" i="23916"/>
  <c r="FD453" i="23916"/>
  <c r="FD448" i="23916"/>
  <c r="FD446" i="23916"/>
  <c r="FD450" i="23916"/>
  <c r="FD452" i="23916"/>
  <c r="FD451" i="23916"/>
  <c r="FD449" i="23916"/>
  <c r="GR107" i="23916"/>
  <c r="GP110" i="23916"/>
  <c r="GQ107" i="23916"/>
  <c r="FZ413" i="23916"/>
  <c r="GC413" i="23916" s="1"/>
  <c r="GT501" i="23916"/>
  <c r="GS501" i="23916"/>
  <c r="GR434" i="23916"/>
  <c r="GL625" i="23916"/>
  <c r="GL234" i="23916"/>
  <c r="GL227" i="23916" s="1"/>
  <c r="GM233" i="23916"/>
  <c r="GN233" i="23916"/>
  <c r="EQ572" i="23916"/>
  <c r="EQ406" i="23916"/>
  <c r="ER129" i="23916"/>
  <c r="DJ451" i="23916"/>
  <c r="DF448" i="23916"/>
  <c r="DE580" i="23916"/>
  <c r="DE559" i="23916"/>
  <c r="DF559" i="23916" s="1"/>
  <c r="DE548" i="23916"/>
  <c r="DF548" i="23916" s="1"/>
  <c r="DE537" i="23916"/>
  <c r="DF537" i="23916" s="1"/>
  <c r="DE536" i="23916"/>
  <c r="DF536" i="23916" s="1"/>
  <c r="DE488" i="23916"/>
  <c r="DE438" i="23916"/>
  <c r="DE417" i="23916"/>
  <c r="DF416" i="23916"/>
  <c r="DE443" i="23916"/>
  <c r="DF443" i="23916" s="1"/>
  <c r="DE479" i="23916"/>
  <c r="DF479" i="23916" s="1"/>
  <c r="CO580" i="23916"/>
  <c r="CO559" i="23916"/>
  <c r="CP559" i="23916" s="1"/>
  <c r="CO548" i="23916"/>
  <c r="CP548" i="23916" s="1"/>
  <c r="CO537" i="23916"/>
  <c r="CP537" i="23916" s="1"/>
  <c r="CO536" i="23916"/>
  <c r="CP536" i="23916" s="1"/>
  <c r="CO488" i="23916"/>
  <c r="CO438" i="23916"/>
  <c r="CO417" i="23916"/>
  <c r="CP416" i="23916"/>
  <c r="CO443" i="23916"/>
  <c r="CP443" i="23916" s="1"/>
  <c r="CO479" i="23916"/>
  <c r="CP479" i="23916" s="1"/>
  <c r="DE16" i="23916"/>
  <c r="BY454" i="23916"/>
  <c r="BZ454" i="23916" s="1"/>
  <c r="BZ447" i="23916"/>
  <c r="GB16" i="23916"/>
  <c r="EM409" i="23916"/>
  <c r="EN280" i="23916"/>
  <c r="EM574" i="23916"/>
  <c r="FQ403" i="23916"/>
  <c r="EA416" i="23916"/>
  <c r="EA415" i="23916"/>
  <c r="EB413" i="23916"/>
  <c r="EA448" i="23916"/>
  <c r="EB448" i="23916" s="1"/>
  <c r="EA453" i="23916"/>
  <c r="EB453" i="23916" s="1"/>
  <c r="EA450" i="23916"/>
  <c r="EB450" i="23916" s="1"/>
  <c r="EA452" i="23916"/>
  <c r="EB452" i="23916" s="1"/>
  <c r="EA449" i="23916"/>
  <c r="EA451" i="23916"/>
  <c r="EB451" i="23916" s="1"/>
  <c r="EA13" i="23916"/>
  <c r="EA447" i="23916"/>
  <c r="EA446" i="23916"/>
  <c r="EB446" i="23916" s="1"/>
  <c r="CL450" i="23916"/>
  <c r="CK454" i="23916"/>
  <c r="CL447" i="23916"/>
  <c r="FX571" i="23916"/>
  <c r="FX575" i="23916" s="1"/>
  <c r="FX404" i="23916"/>
  <c r="FY59" i="23916"/>
  <c r="GA59" i="23916"/>
  <c r="GJ391" i="23916"/>
  <c r="GK391" i="23916" s="1"/>
  <c r="U416" i="23916"/>
  <c r="U415" i="23916"/>
  <c r="V413" i="23916"/>
  <c r="U449" i="23916"/>
  <c r="V449" i="23916" s="1"/>
  <c r="U448" i="23916"/>
  <c r="V448" i="23916" s="1"/>
  <c r="U447" i="23916"/>
  <c r="U452" i="23916"/>
  <c r="V452" i="23916" s="1"/>
  <c r="U451" i="23916"/>
  <c r="V451" i="23916" s="1"/>
  <c r="U450" i="23916"/>
  <c r="V450" i="23916" s="1"/>
  <c r="U453" i="23916"/>
  <c r="V453" i="23916" s="1"/>
  <c r="U446" i="23916"/>
  <c r="V446" i="23916" s="1"/>
  <c r="CO16" i="23916"/>
  <c r="AK416" i="23916"/>
  <c r="AL413" i="23916"/>
  <c r="AK415" i="23916"/>
  <c r="AK452" i="23916"/>
  <c r="AK448" i="23916"/>
  <c r="AK451" i="23916"/>
  <c r="AK447" i="23916"/>
  <c r="AK450" i="23916"/>
  <c r="AK453" i="23916"/>
  <c r="AO416" i="23916"/>
  <c r="AP413" i="23916"/>
  <c r="AO415" i="23916"/>
  <c r="AO448" i="23916"/>
  <c r="AP448" i="23916" s="1"/>
  <c r="AO447" i="23916"/>
  <c r="AO451" i="23916"/>
  <c r="AP451" i="23916" s="1"/>
  <c r="AO453" i="23916"/>
  <c r="AP453" i="23916" s="1"/>
  <c r="AO446" i="23916"/>
  <c r="AP446" i="23916" s="1"/>
  <c r="AO452" i="23916"/>
  <c r="AP452" i="23916" s="1"/>
  <c r="AO450" i="23916"/>
  <c r="AP450" i="23916" s="1"/>
  <c r="AO449" i="23916"/>
  <c r="AP449" i="23916" s="1"/>
  <c r="CW16" i="23916"/>
  <c r="DN451" i="23916"/>
  <c r="EG16" i="23916"/>
  <c r="BQ566" i="23916"/>
  <c r="BQ584" i="23916"/>
  <c r="BQ585" i="23916" s="1"/>
  <c r="BQ580" i="23916"/>
  <c r="GL270" i="23916"/>
  <c r="GK270" i="23916"/>
  <c r="GO81" i="23916"/>
  <c r="GR190" i="23916"/>
  <c r="GQ190" i="23916"/>
  <c r="EC566" i="23916"/>
  <c r="EL415" i="23916"/>
  <c r="EC584" i="23916"/>
  <c r="EC585" i="23916" s="1"/>
  <c r="DR453" i="23916"/>
  <c r="DR449" i="23916"/>
  <c r="GN189" i="23916"/>
  <c r="GM189" i="23916"/>
  <c r="GL191" i="23916"/>
  <c r="AR410" i="23916"/>
  <c r="AQ411" i="23916"/>
  <c r="AG454" i="23916"/>
  <c r="AH447" i="23916"/>
  <c r="AH449" i="23916"/>
  <c r="CG16" i="23916"/>
  <c r="BW454" i="23916"/>
  <c r="BX447" i="23916"/>
  <c r="BX452" i="23916"/>
  <c r="GL302" i="23916"/>
  <c r="GM292" i="23916"/>
  <c r="GN292" i="23916"/>
  <c r="EM573" i="23916"/>
  <c r="EM407" i="23916"/>
  <c r="EM210" i="23916"/>
  <c r="EN210" i="23916" s="1"/>
  <c r="EN209" i="23916"/>
  <c r="GL519" i="23916"/>
  <c r="FB416" i="23916"/>
  <c r="FC413" i="23916"/>
  <c r="FB415" i="23916"/>
  <c r="FB446" i="23916"/>
  <c r="FC446" i="23916" s="1"/>
  <c r="FB447" i="23916"/>
  <c r="FB448" i="23916"/>
  <c r="FC448" i="23916" s="1"/>
  <c r="FB449" i="23916"/>
  <c r="FC449" i="23916" s="1"/>
  <c r="FB451" i="23916"/>
  <c r="FC451" i="23916" s="1"/>
  <c r="FB450" i="23916"/>
  <c r="FC450" i="23916" s="1"/>
  <c r="FB452" i="23916"/>
  <c r="FC452" i="23916" s="1"/>
  <c r="FB453" i="23916"/>
  <c r="FC453" i="23916" s="1"/>
  <c r="GI15" i="23916"/>
  <c r="GH16" i="23916"/>
  <c r="DC454" i="23916"/>
  <c r="GL385" i="23916"/>
  <c r="GM385" i="23916" s="1"/>
  <c r="CP452" i="23916"/>
  <c r="AY574" i="23916"/>
  <c r="AY410" i="23916"/>
  <c r="AZ308" i="23916"/>
  <c r="EL409" i="23916"/>
  <c r="FK403" i="23916"/>
  <c r="CT448" i="23916"/>
  <c r="CT453" i="23916"/>
  <c r="GC411" i="23916"/>
  <c r="GJ235" i="23916"/>
  <c r="GK228" i="23916"/>
  <c r="GJ231" i="23916"/>
  <c r="CW566" i="23916"/>
  <c r="CX415" i="23916"/>
  <c r="CW493" i="23916"/>
  <c r="CW584" i="23916"/>
  <c r="CW585" i="23916" s="1"/>
  <c r="GN121" i="23916"/>
  <c r="GM121" i="23916"/>
  <c r="GL114" i="23916"/>
  <c r="EO568" i="23916"/>
  <c r="EP485" i="23916"/>
  <c r="EO490" i="23916"/>
  <c r="EP490" i="23916" s="1"/>
  <c r="EO489" i="23916"/>
  <c r="EP489" i="23916" s="1"/>
  <c r="P453" i="23916"/>
  <c r="O454" i="23916"/>
  <c r="P454" i="23916" s="1"/>
  <c r="EL407" i="23916"/>
  <c r="EK148" i="23916"/>
  <c r="EK49" i="23916"/>
  <c r="EL49" i="23916" s="1"/>
  <c r="EL45" i="23916"/>
  <c r="FP576" i="23916"/>
  <c r="GQ108" i="23916"/>
  <c r="GR108" i="23916"/>
  <c r="FI413" i="23916"/>
  <c r="FH416" i="23916"/>
  <c r="FH415" i="23916"/>
  <c r="FH448" i="23916"/>
  <c r="FI448" i="23916" s="1"/>
  <c r="FH452" i="23916"/>
  <c r="FI452" i="23916" s="1"/>
  <c r="FH453" i="23916"/>
  <c r="FI453" i="23916" s="1"/>
  <c r="FH447" i="23916"/>
  <c r="FH446" i="23916"/>
  <c r="FI446" i="23916" s="1"/>
  <c r="FH450" i="23916"/>
  <c r="FI450" i="23916" s="1"/>
  <c r="FH449" i="23916"/>
  <c r="FI449" i="23916" s="1"/>
  <c r="FH451" i="23916"/>
  <c r="FI451" i="23916" s="1"/>
  <c r="BI416" i="23916"/>
  <c r="BI415" i="23916"/>
  <c r="BI449" i="23916"/>
  <c r="BI451" i="23916"/>
  <c r="BI448" i="23916"/>
  <c r="BI452" i="23916"/>
  <c r="BI453" i="23916"/>
  <c r="BI450" i="23916"/>
  <c r="BR450" i="23916" s="1"/>
  <c r="BI446" i="23916"/>
  <c r="BI447" i="23916"/>
  <c r="BR447" i="23916" s="1"/>
  <c r="DG416" i="23916"/>
  <c r="DH413" i="23916"/>
  <c r="DG415" i="23916"/>
  <c r="DG450" i="23916"/>
  <c r="DG448" i="23916"/>
  <c r="DG452" i="23916"/>
  <c r="DG453" i="23916"/>
  <c r="DG449" i="23916"/>
  <c r="DG451" i="23916"/>
  <c r="DG446" i="23916"/>
  <c r="DG13" i="23916"/>
  <c r="DG447" i="23916"/>
  <c r="DU416" i="23916"/>
  <c r="DU415" i="23916"/>
  <c r="DV413" i="23916"/>
  <c r="DU449" i="23916"/>
  <c r="DV449" i="23916" s="1"/>
  <c r="DU453" i="23916"/>
  <c r="DV453" i="23916" s="1"/>
  <c r="DU451" i="23916"/>
  <c r="DV451" i="23916" s="1"/>
  <c r="DU448" i="23916"/>
  <c r="DV448" i="23916" s="1"/>
  <c r="DU447" i="23916"/>
  <c r="ED447" i="23916" s="1"/>
  <c r="DU450" i="23916"/>
  <c r="DU13" i="23916"/>
  <c r="DU446" i="23916"/>
  <c r="DU452" i="23916"/>
  <c r="BV448" i="23916"/>
  <c r="BV453" i="23916"/>
  <c r="BU559" i="23916"/>
  <c r="BU548" i="23916"/>
  <c r="BU536" i="23916"/>
  <c r="BU488" i="23916"/>
  <c r="BU438" i="23916"/>
  <c r="BU417" i="23916"/>
  <c r="BV416" i="23916"/>
  <c r="BU443" i="23916"/>
  <c r="BU479" i="23916"/>
  <c r="AI446" i="23916"/>
  <c r="AJ446" i="23916" s="1"/>
  <c r="AJ403" i="23916"/>
  <c r="AR403" i="23916"/>
  <c r="DY566" i="23916"/>
  <c r="DZ415" i="23916"/>
  <c r="DY584" i="23916"/>
  <c r="DY585" i="23916" s="1"/>
  <c r="GO110" i="23916"/>
  <c r="EM405" i="23916"/>
  <c r="EN97" i="23916"/>
  <c r="FO403" i="23916"/>
  <c r="GP47" i="23916"/>
  <c r="GO47" i="23916"/>
  <c r="DI454" i="23916"/>
  <c r="DJ454" i="23916" s="1"/>
  <c r="DJ447" i="23916"/>
  <c r="DI566" i="23916"/>
  <c r="DJ415" i="23916"/>
  <c r="DI584" i="23916"/>
  <c r="DI585" i="23916" s="1"/>
  <c r="DE454" i="23916"/>
  <c r="DF454" i="23916" s="1"/>
  <c r="DF447" i="23916"/>
  <c r="CG454" i="23916"/>
  <c r="CH454" i="23916" s="1"/>
  <c r="CH447" i="23916"/>
  <c r="CG566" i="23916"/>
  <c r="CH415" i="23916"/>
  <c r="CG580" i="23916"/>
  <c r="CG493" i="23916"/>
  <c r="CG584" i="23916"/>
  <c r="CG585" i="23916" s="1"/>
  <c r="CP448" i="23916"/>
  <c r="GP459" i="23916"/>
  <c r="GO459" i="23916"/>
  <c r="EP198" i="23916"/>
  <c r="EO205" i="23916"/>
  <c r="EI454" i="23916"/>
  <c r="EJ447" i="23916"/>
  <c r="EJ453" i="23916"/>
  <c r="EI580" i="23916"/>
  <c r="EI559" i="23916"/>
  <c r="EI548" i="23916"/>
  <c r="EI537" i="23916"/>
  <c r="EI536" i="23916"/>
  <c r="EI488" i="23916"/>
  <c r="EI443" i="23916"/>
  <c r="EI438" i="23916"/>
  <c r="EI417" i="23916"/>
  <c r="EI493" i="23916" s="1"/>
  <c r="EJ416" i="23916"/>
  <c r="EI479" i="23916"/>
  <c r="GP256" i="23916"/>
  <c r="GR252" i="23916"/>
  <c r="GQ252" i="23916"/>
  <c r="GQ530" i="23916"/>
  <c r="GR530" i="23916"/>
  <c r="GP507" i="23916"/>
  <c r="GQ507" i="23916" s="1"/>
  <c r="BG416" i="23916"/>
  <c r="BG415" i="23916"/>
  <c r="BG448" i="23916"/>
  <c r="BG452" i="23916"/>
  <c r="BG451" i="23916"/>
  <c r="BG450" i="23916"/>
  <c r="BG449" i="23916"/>
  <c r="BG446" i="23916"/>
  <c r="BG447" i="23916"/>
  <c r="BG453" i="23916"/>
  <c r="CL448" i="23916"/>
  <c r="CL449" i="23916"/>
  <c r="FU411" i="23916"/>
  <c r="FT413" i="23916"/>
  <c r="FT446" i="23916" s="1"/>
  <c r="GQ293" i="23916"/>
  <c r="GR293" i="23916"/>
  <c r="FU403" i="23916"/>
  <c r="CM416" i="23916"/>
  <c r="CM415" i="23916"/>
  <c r="CN413" i="23916"/>
  <c r="CM449" i="23916"/>
  <c r="CN449" i="23916" s="1"/>
  <c r="CM453" i="23916"/>
  <c r="CN453" i="23916" s="1"/>
  <c r="CM448" i="23916"/>
  <c r="CN448" i="23916" s="1"/>
  <c r="CM450" i="23916"/>
  <c r="CN450" i="23916" s="1"/>
  <c r="CM447" i="23916"/>
  <c r="CM451" i="23916"/>
  <c r="CN451" i="23916" s="1"/>
  <c r="CM452" i="23916"/>
  <c r="CN452" i="23916" s="1"/>
  <c r="CM446" i="23916"/>
  <c r="CN446" i="23916" s="1"/>
  <c r="CM13" i="23916"/>
  <c r="BB398" i="23916"/>
  <c r="BJ398" i="23916"/>
  <c r="AL411" i="23916"/>
  <c r="FS411" i="23916"/>
  <c r="FR413" i="23916"/>
  <c r="EQ198" i="23916"/>
  <c r="GN471" i="23916"/>
  <c r="DN448" i="23916"/>
  <c r="DM566" i="23916"/>
  <c r="DN415" i="23916"/>
  <c r="DM584" i="23916"/>
  <c r="DM585" i="23916" s="1"/>
  <c r="BR452" i="23916"/>
  <c r="AL403" i="23916"/>
  <c r="BR449" i="23916"/>
  <c r="BQ559" i="23916"/>
  <c r="BQ548" i="23916"/>
  <c r="BQ536" i="23916"/>
  <c r="BQ488" i="23916"/>
  <c r="BQ438" i="23916"/>
  <c r="BQ417" i="23916"/>
  <c r="BR416" i="23916"/>
  <c r="BQ443" i="23916"/>
  <c r="BQ479" i="23916"/>
  <c r="GN122" i="23916"/>
  <c r="GM122" i="23916"/>
  <c r="GL116" i="23916"/>
  <c r="GM116" i="23916" s="1"/>
  <c r="BC416" i="23916"/>
  <c r="BC415" i="23916"/>
  <c r="BC448" i="23916"/>
  <c r="BC449" i="23916"/>
  <c r="BC450" i="23916"/>
  <c r="BC451" i="23916"/>
  <c r="BC447" i="23916"/>
  <c r="BC452" i="23916"/>
  <c r="BC453" i="23916"/>
  <c r="BC446" i="23916"/>
  <c r="GN144" i="23916"/>
  <c r="GP41" i="23916"/>
  <c r="GO41" i="23916"/>
  <c r="EP461" i="23916"/>
  <c r="GR596" i="23916"/>
  <c r="GT22" i="23916"/>
  <c r="GR23" i="23916"/>
  <c r="GR26" i="23916" s="1"/>
  <c r="GS22" i="23916"/>
  <c r="ED451" i="23916"/>
  <c r="ED413" i="23916"/>
  <c r="EP85" i="23916"/>
  <c r="EO93" i="23916"/>
  <c r="DA16" i="23916"/>
  <c r="AH448" i="23916"/>
  <c r="AH415" i="23916"/>
  <c r="AG580" i="23916"/>
  <c r="AW398" i="23916"/>
  <c r="AX387" i="23916"/>
  <c r="BF387" i="23916"/>
  <c r="GJ197" i="23916"/>
  <c r="GM89" i="23916"/>
  <c r="GN89" i="23916"/>
  <c r="GL82" i="23916"/>
  <c r="FW29" i="23916"/>
  <c r="FV30" i="23916"/>
  <c r="FX25" i="23916"/>
  <c r="BX448" i="23916"/>
  <c r="BW566" i="23916"/>
  <c r="BX415" i="23916"/>
  <c r="BW584" i="23916"/>
  <c r="BW585" i="23916" s="1"/>
  <c r="BW580" i="23916"/>
  <c r="GD413" i="23916"/>
  <c r="GE411" i="23916"/>
  <c r="CU416" i="23916"/>
  <c r="CU415" i="23916"/>
  <c r="CV413" i="23916"/>
  <c r="CU449" i="23916"/>
  <c r="CV449" i="23916" s="1"/>
  <c r="CU453" i="23916"/>
  <c r="CV453" i="23916" s="1"/>
  <c r="CU448" i="23916"/>
  <c r="CV448" i="23916" s="1"/>
  <c r="CU452" i="23916"/>
  <c r="CV452" i="23916" s="1"/>
  <c r="CU451" i="23916"/>
  <c r="CV451" i="23916" s="1"/>
  <c r="CU450" i="23916"/>
  <c r="CV450" i="23916" s="1"/>
  <c r="CU13" i="23916"/>
  <c r="CU446" i="23916"/>
  <c r="CV446" i="23916" s="1"/>
  <c r="CU447" i="23916"/>
  <c r="DD447" i="23916" s="1"/>
  <c r="GT253" i="23916"/>
  <c r="GS253" i="23916"/>
  <c r="CA416" i="23916"/>
  <c r="CA415" i="23916"/>
  <c r="CB413" i="23916"/>
  <c r="CA448" i="23916"/>
  <c r="CB448" i="23916" s="1"/>
  <c r="CA453" i="23916"/>
  <c r="CB453" i="23916" s="1"/>
  <c r="CA449" i="23916"/>
  <c r="CB449" i="23916" s="1"/>
  <c r="CA450" i="23916"/>
  <c r="CB450" i="23916" s="1"/>
  <c r="CA451" i="23916"/>
  <c r="CB451" i="23916" s="1"/>
  <c r="CA446" i="23916"/>
  <c r="CB446" i="23916" s="1"/>
  <c r="CA452" i="23916"/>
  <c r="CB452" i="23916" s="1"/>
  <c r="CA447" i="23916"/>
  <c r="CY416" i="23916"/>
  <c r="CZ413" i="23916"/>
  <c r="CY415" i="23916"/>
  <c r="CY452" i="23916"/>
  <c r="CZ452" i="23916" s="1"/>
  <c r="CY448" i="23916"/>
  <c r="CZ448" i="23916" s="1"/>
  <c r="CY453" i="23916"/>
  <c r="CZ453" i="23916" s="1"/>
  <c r="CY451" i="23916"/>
  <c r="CZ451" i="23916" s="1"/>
  <c r="CY450" i="23916"/>
  <c r="CZ450" i="23916" s="1"/>
  <c r="CY446" i="23916"/>
  <c r="CZ446" i="23916" s="1"/>
  <c r="CY13" i="23916"/>
  <c r="CY447" i="23916"/>
  <c r="CY449" i="23916"/>
  <c r="CZ449" i="23916" s="1"/>
  <c r="EP410" i="23916"/>
  <c r="DD413" i="23916"/>
  <c r="GK410" i="23916"/>
  <c r="GP188" i="23916"/>
  <c r="GO188" i="23916"/>
  <c r="CT450" i="23916"/>
  <c r="FL355" i="23916"/>
  <c r="FM355" i="23916" s="1"/>
  <c r="FM352" i="23916"/>
  <c r="GP289" i="23916"/>
  <c r="FV413" i="23916"/>
  <c r="FW411" i="23916"/>
  <c r="GC403" i="23916"/>
  <c r="ER231" i="23916"/>
  <c r="EQ239" i="23916"/>
  <c r="FZ13" i="23916"/>
  <c r="FZ15" i="23916"/>
  <c r="GC15" i="23916" s="1"/>
  <c r="GD576" i="23916"/>
  <c r="CT451" i="23916"/>
  <c r="GB452" i="23916"/>
  <c r="DB446" i="23916"/>
  <c r="GL200" i="23916"/>
  <c r="GK200" i="23916"/>
  <c r="GF576" i="23916"/>
  <c r="GR188" i="23916" l="1"/>
  <c r="GQ188" i="23916"/>
  <c r="CY580" i="23916"/>
  <c r="CY559" i="23916"/>
  <c r="CY548" i="23916"/>
  <c r="CY537" i="23916"/>
  <c r="CY536" i="23916"/>
  <c r="CY488" i="23916"/>
  <c r="CY438" i="23916"/>
  <c r="CY417" i="23916"/>
  <c r="CZ416" i="23916"/>
  <c r="CY443" i="23916"/>
  <c r="CY479" i="23916"/>
  <c r="CY16" i="23916"/>
  <c r="CU566" i="23916"/>
  <c r="CV415" i="23916"/>
  <c r="CU584" i="23916"/>
  <c r="CU585" i="23916" s="1"/>
  <c r="CU493" i="23916"/>
  <c r="GK197" i="23916"/>
  <c r="GJ203" i="23916"/>
  <c r="EO97" i="23916"/>
  <c r="EP93" i="23916"/>
  <c r="EO94" i="23916"/>
  <c r="EP94" i="23916" s="1"/>
  <c r="GP144" i="23916"/>
  <c r="GR41" i="23916"/>
  <c r="GQ41" i="23916"/>
  <c r="BC559" i="23916"/>
  <c r="BC548" i="23916"/>
  <c r="BC536" i="23916"/>
  <c r="BC488" i="23916"/>
  <c r="BC438" i="23916"/>
  <c r="BC417" i="23916"/>
  <c r="BC443" i="23916"/>
  <c r="BC479" i="23916"/>
  <c r="BG559" i="23916"/>
  <c r="BG548" i="23916"/>
  <c r="BG536" i="23916"/>
  <c r="BG488" i="23916"/>
  <c r="BG438" i="23916"/>
  <c r="BG417" i="23916"/>
  <c r="BG443" i="23916"/>
  <c r="BG479" i="23916"/>
  <c r="BU539" i="23916"/>
  <c r="BU538" i="23916"/>
  <c r="BU491" i="23916"/>
  <c r="BU480" i="23916"/>
  <c r="DV446" i="23916"/>
  <c r="ED446" i="23916"/>
  <c r="DH453" i="23916"/>
  <c r="DG566" i="23916"/>
  <c r="DH415" i="23916"/>
  <c r="DG584" i="23916"/>
  <c r="DG585" i="23916" s="1"/>
  <c r="DG493" i="23916"/>
  <c r="BI566" i="23916"/>
  <c r="BI580" i="23916"/>
  <c r="BI584" i="23916"/>
  <c r="BI585" i="23916" s="1"/>
  <c r="GK231" i="23916"/>
  <c r="GJ239" i="23916"/>
  <c r="AZ410" i="23916"/>
  <c r="AY411" i="23916"/>
  <c r="BH410" i="23916"/>
  <c r="DD448" i="23916"/>
  <c r="GL521" i="23916"/>
  <c r="GM519" i="23916"/>
  <c r="AQ413" i="23916"/>
  <c r="AR411" i="23916"/>
  <c r="ED448" i="23916"/>
  <c r="GN270" i="23916"/>
  <c r="GL259" i="23916"/>
  <c r="GM270" i="23916"/>
  <c r="AO454" i="23916"/>
  <c r="AP454" i="23916" s="1"/>
  <c r="AP447" i="23916"/>
  <c r="AO559" i="23916"/>
  <c r="AP559" i="23916" s="1"/>
  <c r="AO548" i="23916"/>
  <c r="AP548" i="23916" s="1"/>
  <c r="AO536" i="23916"/>
  <c r="AP536" i="23916" s="1"/>
  <c r="AO488" i="23916"/>
  <c r="AO438" i="23916"/>
  <c r="AP416" i="23916"/>
  <c r="AO418" i="23916"/>
  <c r="AO419" i="23916" s="1"/>
  <c r="AO417" i="23916"/>
  <c r="AO443" i="23916"/>
  <c r="AP443" i="23916" s="1"/>
  <c r="AO479" i="23916"/>
  <c r="AP479" i="23916" s="1"/>
  <c r="AL451" i="23916"/>
  <c r="U454" i="23916"/>
  <c r="V454" i="23916" s="1"/>
  <c r="V447" i="23916"/>
  <c r="V415" i="23916"/>
  <c r="U580" i="23916"/>
  <c r="EA454" i="23916"/>
  <c r="EB447" i="23916"/>
  <c r="EJ452" i="23916"/>
  <c r="ER406" i="23916"/>
  <c r="FE451" i="23916"/>
  <c r="FE448" i="23916"/>
  <c r="FD589" i="23916"/>
  <c r="FD559" i="23916"/>
  <c r="FD548" i="23916"/>
  <c r="FD536" i="23916"/>
  <c r="FD488" i="23916"/>
  <c r="FD438" i="23916"/>
  <c r="FE416" i="23916"/>
  <c r="FD479" i="23916"/>
  <c r="FD443" i="23916"/>
  <c r="DY637" i="23916"/>
  <c r="DY495" i="23916"/>
  <c r="DZ488" i="23916"/>
  <c r="DY460" i="23916"/>
  <c r="DY17" i="23916"/>
  <c r="AA559" i="23916"/>
  <c r="AB559" i="23916" s="1"/>
  <c r="AA548" i="23916"/>
  <c r="AB548" i="23916" s="1"/>
  <c r="AA536" i="23916"/>
  <c r="AB536" i="23916" s="1"/>
  <c r="AA488" i="23916"/>
  <c r="AA443" i="23916"/>
  <c r="AB443" i="23916" s="1"/>
  <c r="AA438" i="23916"/>
  <c r="AA419" i="23916"/>
  <c r="AA418" i="23916"/>
  <c r="AA417" i="23916"/>
  <c r="AB416" i="23916"/>
  <c r="AA479" i="23916"/>
  <c r="AB479" i="23916" s="1"/>
  <c r="CQ454" i="23916"/>
  <c r="CR447" i="23916"/>
  <c r="ER93" i="23916"/>
  <c r="EQ94" i="23916"/>
  <c r="ER94" i="23916" s="1"/>
  <c r="EQ97" i="23916"/>
  <c r="FK35" i="23916"/>
  <c r="FM35" i="23916"/>
  <c r="BE454" i="23916"/>
  <c r="GT289" i="23916"/>
  <c r="GS289" i="23916"/>
  <c r="DW566" i="23916"/>
  <c r="DX415" i="23916"/>
  <c r="DW584" i="23916"/>
  <c r="DW585" i="23916" s="1"/>
  <c r="GJ277" i="23916"/>
  <c r="GK277" i="23916" s="1"/>
  <c r="GJ280" i="23916"/>
  <c r="GK276" i="23916"/>
  <c r="GJ10" i="23916"/>
  <c r="GK10" i="23916" s="1"/>
  <c r="AC416" i="23916"/>
  <c r="AD413" i="23916"/>
  <c r="AC415" i="23916"/>
  <c r="AC452" i="23916"/>
  <c r="AD452" i="23916" s="1"/>
  <c r="AC451" i="23916"/>
  <c r="AD451" i="23916" s="1"/>
  <c r="AC448" i="23916"/>
  <c r="AD448" i="23916" s="1"/>
  <c r="AC447" i="23916"/>
  <c r="AC453" i="23916"/>
  <c r="AD453" i="23916" s="1"/>
  <c r="AC450" i="23916"/>
  <c r="AD450" i="23916" s="1"/>
  <c r="AC449" i="23916"/>
  <c r="GQ528" i="23916"/>
  <c r="GR528" i="23916"/>
  <c r="CJ446" i="23916"/>
  <c r="CJ450" i="23916"/>
  <c r="CI566" i="23916"/>
  <c r="CJ415" i="23916"/>
  <c r="CI493" i="23916"/>
  <c r="CI584" i="23916"/>
  <c r="CI585" i="23916" s="1"/>
  <c r="CI580" i="23916"/>
  <c r="DT446" i="23916"/>
  <c r="EJ448" i="23916"/>
  <c r="BY581" i="23916"/>
  <c r="BZ493" i="23916"/>
  <c r="BZ559" i="23916"/>
  <c r="CH479" i="23916"/>
  <c r="CG539" i="23916"/>
  <c r="CG538" i="23916"/>
  <c r="CG491" i="23916"/>
  <c r="CH438" i="23916"/>
  <c r="CG480" i="23916"/>
  <c r="CH548" i="23916"/>
  <c r="AC446" i="23916"/>
  <c r="BK415" i="23916"/>
  <c r="BK416" i="23916"/>
  <c r="BL413" i="23916"/>
  <c r="BK448" i="23916"/>
  <c r="BL448" i="23916" s="1"/>
  <c r="BK451" i="23916"/>
  <c r="BL451" i="23916" s="1"/>
  <c r="BK447" i="23916"/>
  <c r="BK449" i="23916"/>
  <c r="BL449" i="23916" s="1"/>
  <c r="BK446" i="23916"/>
  <c r="BL446" i="23916" s="1"/>
  <c r="BK452" i="23916"/>
  <c r="BL452" i="23916" s="1"/>
  <c r="BK450" i="23916"/>
  <c r="BL450" i="23916" s="1"/>
  <c r="BK453" i="23916"/>
  <c r="BL453" i="23916" s="1"/>
  <c r="DB443" i="23916"/>
  <c r="DA539" i="23916"/>
  <c r="DA538" i="23916"/>
  <c r="DA491" i="23916"/>
  <c r="DB438" i="23916"/>
  <c r="DA480" i="23916"/>
  <c r="DB548" i="23916"/>
  <c r="W539" i="23916"/>
  <c r="X539" i="23916" s="1"/>
  <c r="W538" i="23916"/>
  <c r="X538" i="23916" s="1"/>
  <c r="W491" i="23916"/>
  <c r="X491" i="23916" s="1"/>
  <c r="X438" i="23916"/>
  <c r="W480" i="23916"/>
  <c r="X480" i="23916" s="1"/>
  <c r="EN30" i="23916"/>
  <c r="EM39" i="23916"/>
  <c r="CX479" i="23916"/>
  <c r="CW539" i="23916"/>
  <c r="CW538" i="23916"/>
  <c r="CW491" i="23916"/>
  <c r="CX438" i="23916"/>
  <c r="CW480" i="23916"/>
  <c r="CX548" i="23916"/>
  <c r="GJ126" i="23916"/>
  <c r="GK126" i="23916" s="1"/>
  <c r="GJ129" i="23916"/>
  <c r="GK125" i="23916"/>
  <c r="DC581" i="23916"/>
  <c r="DD493" i="23916"/>
  <c r="DC18" i="23916"/>
  <c r="DD449" i="23916"/>
  <c r="EF452" i="23916"/>
  <c r="EE566" i="23916"/>
  <c r="EN415" i="23916"/>
  <c r="EF415" i="23916"/>
  <c r="EE584" i="23916"/>
  <c r="EE585" i="23916" s="1"/>
  <c r="GR504" i="23916"/>
  <c r="GQ504" i="23916"/>
  <c r="BN453" i="23916"/>
  <c r="BN451" i="23916"/>
  <c r="BM559" i="23916"/>
  <c r="BM548" i="23916"/>
  <c r="BM536" i="23916"/>
  <c r="BM488" i="23916"/>
  <c r="BM438" i="23916"/>
  <c r="BM417" i="23916"/>
  <c r="BN416" i="23916"/>
  <c r="BM479" i="23916"/>
  <c r="BM443" i="23916"/>
  <c r="EC581" i="23916"/>
  <c r="EC18" i="23916"/>
  <c r="GQ81" i="23916"/>
  <c r="ER461" i="23916"/>
  <c r="BR448" i="23916"/>
  <c r="DO454" i="23916"/>
  <c r="DP447" i="23916"/>
  <c r="DP450" i="23916"/>
  <c r="DO566" i="23916"/>
  <c r="DP415" i="23916"/>
  <c r="DO584" i="23916"/>
  <c r="DO585" i="23916" s="1"/>
  <c r="DM581" i="23916"/>
  <c r="DN493" i="23916"/>
  <c r="DM18" i="23916"/>
  <c r="DN18" i="23916" s="1"/>
  <c r="DN536" i="23916"/>
  <c r="GQ143" i="23916"/>
  <c r="AM454" i="23916"/>
  <c r="BT451" i="23916"/>
  <c r="FF454" i="23916"/>
  <c r="FG447" i="23916"/>
  <c r="FG448" i="23916"/>
  <c r="DE581" i="23916"/>
  <c r="DF493" i="23916"/>
  <c r="DE18" i="23916"/>
  <c r="DJ536" i="23916"/>
  <c r="Z415" i="23916"/>
  <c r="Y580" i="23916"/>
  <c r="BV451" i="23916"/>
  <c r="GP508" i="23916"/>
  <c r="GO509" i="23916"/>
  <c r="BP451" i="23916"/>
  <c r="BP448" i="23916"/>
  <c r="FS36" i="23916"/>
  <c r="FU36" i="23916"/>
  <c r="AS413" i="23916"/>
  <c r="AT411" i="23916"/>
  <c r="EH443" i="23916"/>
  <c r="EH548" i="23916"/>
  <c r="EH454" i="23916"/>
  <c r="GL619" i="23916"/>
  <c r="GN200" i="23916"/>
  <c r="GM200" i="23916"/>
  <c r="GL201" i="23916"/>
  <c r="EQ243" i="23916"/>
  <c r="EQ240" i="23916"/>
  <c r="ER240" i="23916" s="1"/>
  <c r="ER239" i="23916"/>
  <c r="EQ9" i="23916"/>
  <c r="ER9" i="23916" s="1"/>
  <c r="FV416" i="23916"/>
  <c r="FW413" i="23916"/>
  <c r="FV415" i="23916"/>
  <c r="FV449" i="23916"/>
  <c r="FV448" i="23916"/>
  <c r="FV453" i="23916"/>
  <c r="FV451" i="23916"/>
  <c r="FV450" i="23916"/>
  <c r="FV447" i="23916"/>
  <c r="FV452" i="23916"/>
  <c r="CA454" i="23916"/>
  <c r="CB447" i="23916"/>
  <c r="CU580" i="23916"/>
  <c r="CU559" i="23916"/>
  <c r="CU548" i="23916"/>
  <c r="CU537" i="23916"/>
  <c r="CU536" i="23916"/>
  <c r="DD536" i="23916" s="1"/>
  <c r="CU488" i="23916"/>
  <c r="CU438" i="23916"/>
  <c r="CU417" i="23916"/>
  <c r="CV416" i="23916"/>
  <c r="CU443" i="23916"/>
  <c r="CU479" i="23916"/>
  <c r="CU16" i="23916"/>
  <c r="GM82" i="23916"/>
  <c r="GL149" i="23916"/>
  <c r="GL83" i="23916"/>
  <c r="GT26" i="23916"/>
  <c r="GS26" i="23916"/>
  <c r="GN386" i="23916"/>
  <c r="GO386" i="23916" s="1"/>
  <c r="GO144" i="23916"/>
  <c r="BC454" i="23916"/>
  <c r="BQ539" i="23916"/>
  <c r="BQ538" i="23916"/>
  <c r="BQ491" i="23916"/>
  <c r="BR438" i="23916"/>
  <c r="BQ480" i="23916"/>
  <c r="GO471" i="23916"/>
  <c r="GP471" i="23916"/>
  <c r="GN466" i="23916"/>
  <c r="GN470" i="23916"/>
  <c r="GO470" i="23916" s="1"/>
  <c r="CM566" i="23916"/>
  <c r="CN415" i="23916"/>
  <c r="CM584" i="23916"/>
  <c r="CM585" i="23916" s="1"/>
  <c r="GS293" i="23916"/>
  <c r="GT293" i="23916"/>
  <c r="GR256" i="23916"/>
  <c r="GT252" i="23916"/>
  <c r="GS252" i="23916"/>
  <c r="EI581" i="23916"/>
  <c r="EI18" i="23916"/>
  <c r="EI637" i="23916"/>
  <c r="EI495" i="23916"/>
  <c r="EI460" i="23916"/>
  <c r="EI17" i="23916"/>
  <c r="EJ454" i="23916"/>
  <c r="GR47" i="23916"/>
  <c r="GQ47" i="23916"/>
  <c r="BU637" i="23916"/>
  <c r="BU495" i="23916"/>
  <c r="BV488" i="23916"/>
  <c r="BU493" i="23916"/>
  <c r="BU460" i="23916"/>
  <c r="DU566" i="23916"/>
  <c r="DV415" i="23916"/>
  <c r="DU584" i="23916"/>
  <c r="DU585" i="23916" s="1"/>
  <c r="DH446" i="23916"/>
  <c r="DH452" i="23916"/>
  <c r="BI559" i="23916"/>
  <c r="BI548" i="23916"/>
  <c r="BI536" i="23916"/>
  <c r="BI488" i="23916"/>
  <c r="BI438" i="23916"/>
  <c r="BI417" i="23916"/>
  <c r="BI443" i="23916"/>
  <c r="BR443" i="23916" s="1"/>
  <c r="BI479" i="23916"/>
  <c r="BR479" i="23916" s="1"/>
  <c r="GT108" i="23916"/>
  <c r="GS108" i="23916"/>
  <c r="GL115" i="23916"/>
  <c r="GM115" i="23916" s="1"/>
  <c r="GM114" i="23916"/>
  <c r="CW581" i="23916"/>
  <c r="CX493" i="23916"/>
  <c r="CW18" i="23916"/>
  <c r="FC415" i="23916"/>
  <c r="FB580" i="23916"/>
  <c r="FB584" i="23916"/>
  <c r="FB585" i="23916" s="1"/>
  <c r="GP292" i="23916"/>
  <c r="GN302" i="23916"/>
  <c r="GO292" i="23916"/>
  <c r="GP189" i="23916"/>
  <c r="GO189" i="23916"/>
  <c r="GN191" i="23916"/>
  <c r="ED415" i="23916"/>
  <c r="BR451" i="23916"/>
  <c r="AL453" i="23916"/>
  <c r="AL448" i="23916"/>
  <c r="AK559" i="23916"/>
  <c r="AK548" i="23916"/>
  <c r="AK536" i="23916"/>
  <c r="AK488" i="23916"/>
  <c r="AK438" i="23916"/>
  <c r="AK418" i="23916"/>
  <c r="AK417" i="23916"/>
  <c r="AK419" i="23916"/>
  <c r="AL416" i="23916"/>
  <c r="AK443" i="23916"/>
  <c r="AK479" i="23916"/>
  <c r="U559" i="23916"/>
  <c r="V559" i="23916" s="1"/>
  <c r="U548" i="23916"/>
  <c r="V548" i="23916" s="1"/>
  <c r="U536" i="23916"/>
  <c r="V536" i="23916" s="1"/>
  <c r="U488" i="23916"/>
  <c r="U443" i="23916"/>
  <c r="V443" i="23916" s="1"/>
  <c r="U438" i="23916"/>
  <c r="U417" i="23916"/>
  <c r="U419" i="23916"/>
  <c r="U418" i="23916"/>
  <c r="V416" i="23916"/>
  <c r="U479" i="23916"/>
  <c r="V479" i="23916" s="1"/>
  <c r="EA566" i="23916"/>
  <c r="EB415" i="23916"/>
  <c r="EA584" i="23916"/>
  <c r="EA585" i="23916" s="1"/>
  <c r="BR446" i="23916"/>
  <c r="DD446" i="23916"/>
  <c r="GM227" i="23916"/>
  <c r="FE452" i="23916"/>
  <c r="FE453" i="23916"/>
  <c r="DY581" i="23916"/>
  <c r="DZ493" i="23916"/>
  <c r="DY18" i="23916"/>
  <c r="GP518" i="23916"/>
  <c r="GO518" i="23916"/>
  <c r="AA454" i="23916"/>
  <c r="AB454" i="23916" s="1"/>
  <c r="AB447" i="23916"/>
  <c r="EL48" i="23916"/>
  <c r="EK151" i="23916"/>
  <c r="CQ580" i="23916"/>
  <c r="CQ559" i="23916"/>
  <c r="CQ548" i="23916"/>
  <c r="CR548" i="23916" s="1"/>
  <c r="CQ537" i="23916"/>
  <c r="CQ536" i="23916"/>
  <c r="CR536" i="23916" s="1"/>
  <c r="CQ493" i="23916"/>
  <c r="CQ488" i="23916"/>
  <c r="CQ438" i="23916"/>
  <c r="CQ417" i="23916"/>
  <c r="CR416" i="23916"/>
  <c r="CQ443" i="23916"/>
  <c r="CQ479" i="23916"/>
  <c r="CQ16" i="23916"/>
  <c r="FZ446" i="23916"/>
  <c r="GH454" i="23916"/>
  <c r="GH589" i="23916"/>
  <c r="GH559" i="23916"/>
  <c r="GH548" i="23916"/>
  <c r="GH537" i="23916"/>
  <c r="GH536" i="23916"/>
  <c r="GH488" i="23916"/>
  <c r="GH438" i="23916"/>
  <c r="GH417" i="23916"/>
  <c r="GH443" i="23916"/>
  <c r="GH479" i="23916"/>
  <c r="GB566" i="23916"/>
  <c r="GB584" i="23916"/>
  <c r="GB585" i="23916" s="1"/>
  <c r="GN273" i="23916"/>
  <c r="GL263" i="23916"/>
  <c r="GM273" i="23916"/>
  <c r="CS539" i="23916"/>
  <c r="CS538" i="23916"/>
  <c r="CS491" i="23916"/>
  <c r="CT438" i="23916"/>
  <c r="CS480" i="23916"/>
  <c r="BE580" i="23916"/>
  <c r="BE584" i="23916"/>
  <c r="BE585" i="23916" s="1"/>
  <c r="GS224" i="23916"/>
  <c r="GT224" i="23916"/>
  <c r="DD479" i="23916"/>
  <c r="DD537" i="23916"/>
  <c r="DD452" i="23916"/>
  <c r="AG539" i="23916"/>
  <c r="AG538" i="23916"/>
  <c r="AG491" i="23916"/>
  <c r="AH438" i="23916"/>
  <c r="AG480" i="23916"/>
  <c r="ED449" i="23916"/>
  <c r="CJ449" i="23916"/>
  <c r="CJ453" i="23916"/>
  <c r="CI559" i="23916"/>
  <c r="CI548" i="23916"/>
  <c r="CI537" i="23916"/>
  <c r="CI536" i="23916"/>
  <c r="CI488" i="23916"/>
  <c r="CI438" i="23916"/>
  <c r="CJ416" i="23916"/>
  <c r="CI417" i="23916"/>
  <c r="CI443" i="23916"/>
  <c r="CI479" i="23916"/>
  <c r="CI16" i="23916"/>
  <c r="GT502" i="23916"/>
  <c r="GS502" i="23916"/>
  <c r="DS580" i="23916"/>
  <c r="DS559" i="23916"/>
  <c r="DS548" i="23916"/>
  <c r="DS537" i="23916"/>
  <c r="DS536" i="23916"/>
  <c r="DS488" i="23916"/>
  <c r="DS417" i="23916"/>
  <c r="DS493" i="23916" s="1"/>
  <c r="DS438" i="23916"/>
  <c r="DT416" i="23916"/>
  <c r="DS443" i="23916"/>
  <c r="DS479" i="23916"/>
  <c r="DS16" i="23916"/>
  <c r="CK539" i="23916"/>
  <c r="CK538" i="23916"/>
  <c r="CK491" i="23916"/>
  <c r="CK480" i="23916"/>
  <c r="FN574" i="23916"/>
  <c r="FN575" i="23916" s="1"/>
  <c r="FN410" i="23916"/>
  <c r="FQ308" i="23916"/>
  <c r="BZ479" i="23916"/>
  <c r="BY539" i="23916"/>
  <c r="BZ539" i="23916" s="1"/>
  <c r="BY538" i="23916"/>
  <c r="BZ538" i="23916" s="1"/>
  <c r="BY491" i="23916"/>
  <c r="BZ491" i="23916" s="1"/>
  <c r="BZ438" i="23916"/>
  <c r="BY480" i="23916"/>
  <c r="BZ480" i="23916" s="1"/>
  <c r="BZ536" i="23916"/>
  <c r="CG637" i="23916"/>
  <c r="CG495" i="23916"/>
  <c r="CH488" i="23916"/>
  <c r="CG460" i="23916"/>
  <c r="CG17" i="23916"/>
  <c r="CH17" i="23916" s="1"/>
  <c r="FK410" i="23916"/>
  <c r="FJ411" i="23916"/>
  <c r="EL145" i="23916"/>
  <c r="DA637" i="23916"/>
  <c r="DA495" i="23916"/>
  <c r="DB488" i="23916"/>
  <c r="DA460" i="23916"/>
  <c r="DA17" i="23916"/>
  <c r="DB559" i="23916"/>
  <c r="AW574" i="23916"/>
  <c r="AW410" i="23916"/>
  <c r="AX308" i="23916"/>
  <c r="EO28" i="23916"/>
  <c r="EO29" i="23916" s="1"/>
  <c r="EP25" i="23916"/>
  <c r="EO27" i="23916"/>
  <c r="CW637" i="23916"/>
  <c r="CW495" i="23916"/>
  <c r="CX488" i="23916"/>
  <c r="CW460" i="23916"/>
  <c r="CW17" i="23916"/>
  <c r="CX559" i="23916"/>
  <c r="DD451" i="23916"/>
  <c r="EF449" i="23916"/>
  <c r="EF451" i="23916"/>
  <c r="EF453" i="23916"/>
  <c r="BN446" i="23916"/>
  <c r="BV446" i="23916"/>
  <c r="BN448" i="23916"/>
  <c r="DQ539" i="23916"/>
  <c r="DQ538" i="23916"/>
  <c r="DQ491" i="23916"/>
  <c r="DR438" i="23916"/>
  <c r="DQ480" i="23916"/>
  <c r="EC529" i="23916"/>
  <c r="EC491" i="23916"/>
  <c r="EC480" i="23916"/>
  <c r="ED453" i="23916"/>
  <c r="DP451" i="23916"/>
  <c r="DP453" i="23916"/>
  <c r="DN443" i="23916"/>
  <c r="DN537" i="23916"/>
  <c r="CL453" i="23916"/>
  <c r="AM580" i="23916"/>
  <c r="AM584" i="23916"/>
  <c r="BS454" i="23916"/>
  <c r="BT447" i="23916"/>
  <c r="BT449" i="23916"/>
  <c r="BT413" i="23916"/>
  <c r="FG453" i="23916"/>
  <c r="FG452" i="23916"/>
  <c r="FG415" i="23916"/>
  <c r="FF584" i="23916"/>
  <c r="FF585" i="23916" s="1"/>
  <c r="FF580" i="23916"/>
  <c r="DJ443" i="23916"/>
  <c r="DI581" i="23916"/>
  <c r="DJ493" i="23916"/>
  <c r="DI18" i="23916"/>
  <c r="DJ537" i="23916"/>
  <c r="Z450" i="23916"/>
  <c r="AH450" i="23916"/>
  <c r="Y559" i="23916"/>
  <c r="Z559" i="23916" s="1"/>
  <c r="Y548" i="23916"/>
  <c r="Z548" i="23916" s="1"/>
  <c r="Y536" i="23916"/>
  <c r="Z536" i="23916" s="1"/>
  <c r="Y488" i="23916"/>
  <c r="Y443" i="23916"/>
  <c r="Z443" i="23916" s="1"/>
  <c r="Y438" i="23916"/>
  <c r="Y417" i="23916"/>
  <c r="Z416" i="23916"/>
  <c r="Y419" i="23916"/>
  <c r="Y418" i="23916"/>
  <c r="Y479" i="23916"/>
  <c r="Z479" i="23916" s="1"/>
  <c r="FY160" i="23916"/>
  <c r="GA160" i="23916"/>
  <c r="GK521" i="23916"/>
  <c r="FQ398" i="23916"/>
  <c r="BP446" i="23916"/>
  <c r="BX446" i="23916"/>
  <c r="BP453" i="23916"/>
  <c r="BO566" i="23916"/>
  <c r="BP415" i="23916"/>
  <c r="BO584" i="23916"/>
  <c r="BO585" i="23916" s="1"/>
  <c r="BO580" i="23916"/>
  <c r="FV446" i="23916"/>
  <c r="FW446" i="23916" s="1"/>
  <c r="EG581" i="23916"/>
  <c r="EH493" i="23916"/>
  <c r="EG18" i="23916"/>
  <c r="EH18" i="23916" s="1"/>
  <c r="EG637" i="23916"/>
  <c r="EG495" i="23916"/>
  <c r="EH488" i="23916"/>
  <c r="EG460" i="23916"/>
  <c r="EH460" i="23916" s="1"/>
  <c r="EG17" i="23916"/>
  <c r="EH17" i="23916" s="1"/>
  <c r="EH559" i="23916"/>
  <c r="DD453" i="23916"/>
  <c r="CY454" i="23916"/>
  <c r="CZ454" i="23916" s="1"/>
  <c r="CZ447" i="23916"/>
  <c r="CY566" i="23916"/>
  <c r="CZ415" i="23916"/>
  <c r="CY584" i="23916"/>
  <c r="CY585" i="23916" s="1"/>
  <c r="CY493" i="23916"/>
  <c r="CA566" i="23916"/>
  <c r="CB415" i="23916"/>
  <c r="CA584" i="23916"/>
  <c r="CA585" i="23916" s="1"/>
  <c r="CA580" i="23916"/>
  <c r="CA493" i="23916"/>
  <c r="CU454" i="23916"/>
  <c r="CV447" i="23916"/>
  <c r="FX29" i="23916"/>
  <c r="FY25" i="23916"/>
  <c r="FX32" i="23916"/>
  <c r="FX36" i="23916"/>
  <c r="FY36" i="23916" s="1"/>
  <c r="GP89" i="23916"/>
  <c r="GO89" i="23916"/>
  <c r="GN82" i="23916"/>
  <c r="BQ637" i="23916"/>
  <c r="BQ495" i="23916"/>
  <c r="BR488" i="23916"/>
  <c r="BQ460" i="23916"/>
  <c r="ER198" i="23916"/>
  <c r="EQ205" i="23916"/>
  <c r="CM580" i="23916"/>
  <c r="FV580" i="23916" s="1"/>
  <c r="CM559" i="23916"/>
  <c r="CM548" i="23916"/>
  <c r="CM537" i="23916"/>
  <c r="CM536" i="23916"/>
  <c r="CM488" i="23916"/>
  <c r="CM438" i="23916"/>
  <c r="CN416" i="23916"/>
  <c r="CM417" i="23916"/>
  <c r="CM443" i="23916"/>
  <c r="CM479" i="23916"/>
  <c r="CM16" i="23916"/>
  <c r="BG584" i="23916"/>
  <c r="BG585" i="23916" s="1"/>
  <c r="BG580" i="23916"/>
  <c r="GT530" i="23916"/>
  <c r="GS530" i="23916"/>
  <c r="GR507" i="23916"/>
  <c r="GQ256" i="23916"/>
  <c r="EI539" i="23916"/>
  <c r="EI538" i="23916"/>
  <c r="EI491" i="23916"/>
  <c r="EI480" i="23916"/>
  <c r="EO209" i="23916"/>
  <c r="EP205" i="23916"/>
  <c r="EO206" i="23916"/>
  <c r="EP206" i="23916" s="1"/>
  <c r="EO8" i="23916"/>
  <c r="EP8" i="23916" s="1"/>
  <c r="EN405" i="23916"/>
  <c r="BV536" i="23916"/>
  <c r="DV450" i="23916"/>
  <c r="ED450" i="23916"/>
  <c r="DU580" i="23916"/>
  <c r="DU559" i="23916"/>
  <c r="DV559" i="23916" s="1"/>
  <c r="DU548" i="23916"/>
  <c r="DV548" i="23916" s="1"/>
  <c r="DU537" i="23916"/>
  <c r="DV537" i="23916" s="1"/>
  <c r="DU536" i="23916"/>
  <c r="DV536" i="23916" s="1"/>
  <c r="DU488" i="23916"/>
  <c r="DU438" i="23916"/>
  <c r="DU417" i="23916"/>
  <c r="DU493" i="23916" s="1"/>
  <c r="ED493" i="23916" s="1"/>
  <c r="DV416" i="23916"/>
  <c r="DU443" i="23916"/>
  <c r="DV443" i="23916" s="1"/>
  <c r="DU479" i="23916"/>
  <c r="DV479" i="23916" s="1"/>
  <c r="DU16" i="23916"/>
  <c r="DH451" i="23916"/>
  <c r="DH448" i="23916"/>
  <c r="DG580" i="23916"/>
  <c r="DG559" i="23916"/>
  <c r="DH559" i="23916" s="1"/>
  <c r="DG548" i="23916"/>
  <c r="DH548" i="23916" s="1"/>
  <c r="DG537" i="23916"/>
  <c r="DH537" i="23916" s="1"/>
  <c r="DG536" i="23916"/>
  <c r="DH536" i="23916" s="1"/>
  <c r="DG488" i="23916"/>
  <c r="DG438" i="23916"/>
  <c r="DG417" i="23916"/>
  <c r="DH416" i="23916"/>
  <c r="DG443" i="23916"/>
  <c r="DH443" i="23916" s="1"/>
  <c r="DG479" i="23916"/>
  <c r="DH479" i="23916" s="1"/>
  <c r="DG16" i="23916"/>
  <c r="FI447" i="23916"/>
  <c r="FH454" i="23916"/>
  <c r="FI454" i="23916" s="1"/>
  <c r="FI415" i="23916"/>
  <c r="FH584" i="23916"/>
  <c r="FH585" i="23916" s="1"/>
  <c r="FH580" i="23916"/>
  <c r="GL235" i="23916"/>
  <c r="GK235" i="23916"/>
  <c r="DD454" i="23916"/>
  <c r="AP415" i="23916"/>
  <c r="AO580" i="23916"/>
  <c r="AO584" i="23916"/>
  <c r="AL450" i="23916"/>
  <c r="AL452" i="23916"/>
  <c r="FY404" i="23916"/>
  <c r="FX411" i="23916"/>
  <c r="GA404" i="23916"/>
  <c r="EA580" i="23916"/>
  <c r="EA559" i="23916"/>
  <c r="EB559" i="23916" s="1"/>
  <c r="EA548" i="23916"/>
  <c r="EB548" i="23916" s="1"/>
  <c r="EA537" i="23916"/>
  <c r="EB537" i="23916" s="1"/>
  <c r="EA536" i="23916"/>
  <c r="EB536" i="23916" s="1"/>
  <c r="EA488" i="23916"/>
  <c r="EA417" i="23916"/>
  <c r="EA493" i="23916" s="1"/>
  <c r="EA438" i="23916"/>
  <c r="EB416" i="23916"/>
  <c r="EA443" i="23916"/>
  <c r="EB443" i="23916" s="1"/>
  <c r="EA479" i="23916"/>
  <c r="EB479" i="23916" s="1"/>
  <c r="EA16" i="23916"/>
  <c r="EJ446" i="23916"/>
  <c r="CO539" i="23916"/>
  <c r="CP539" i="23916" s="1"/>
  <c r="CO538" i="23916"/>
  <c r="CP538" i="23916" s="1"/>
  <c r="CO491" i="23916"/>
  <c r="CP491" i="23916" s="1"/>
  <c r="CP438" i="23916"/>
  <c r="CO480" i="23916"/>
  <c r="CP480" i="23916" s="1"/>
  <c r="DE539" i="23916"/>
  <c r="DF539" i="23916" s="1"/>
  <c r="DE538" i="23916"/>
  <c r="DF538" i="23916" s="1"/>
  <c r="DE491" i="23916"/>
  <c r="DF491" i="23916" s="1"/>
  <c r="DF438" i="23916"/>
  <c r="DE480" i="23916"/>
  <c r="DF480" i="23916" s="1"/>
  <c r="GQ110" i="23916"/>
  <c r="FE450" i="23916"/>
  <c r="FE447" i="23916"/>
  <c r="FD454" i="23916"/>
  <c r="FP413" i="23916"/>
  <c r="EK55" i="23916"/>
  <c r="GB454" i="23916"/>
  <c r="CS637" i="23916"/>
  <c r="CS495" i="23916"/>
  <c r="CT488" i="23916"/>
  <c r="CS460" i="23916"/>
  <c r="CS17" i="23916"/>
  <c r="CT17" i="23916" s="1"/>
  <c r="GL613" i="23916"/>
  <c r="GN119" i="23916"/>
  <c r="GL120" i="23916"/>
  <c r="GL113" i="23916" s="1"/>
  <c r="GM119" i="23916"/>
  <c r="CD452" i="23916"/>
  <c r="CL452" i="23916"/>
  <c r="CC454" i="23916"/>
  <c r="CD454" i="23916" s="1"/>
  <c r="CD447" i="23916"/>
  <c r="CC566" i="23916"/>
  <c r="CD415" i="23916"/>
  <c r="CC580" i="23916"/>
  <c r="CC493" i="23916"/>
  <c r="CC584" i="23916"/>
  <c r="CC585" i="23916" s="1"/>
  <c r="GM236" i="23916"/>
  <c r="GL230" i="23916"/>
  <c r="GM230" i="23916" s="1"/>
  <c r="GN236" i="23916"/>
  <c r="DD443" i="23916"/>
  <c r="DC539" i="23916"/>
  <c r="DC538" i="23916"/>
  <c r="DC491" i="23916"/>
  <c r="DD438" i="23916"/>
  <c r="DC480" i="23916"/>
  <c r="DD548" i="23916"/>
  <c r="DD450" i="23916"/>
  <c r="EN408" i="23916"/>
  <c r="BW539" i="23916"/>
  <c r="BW538" i="23916"/>
  <c r="BW491" i="23916"/>
  <c r="BW480" i="23916"/>
  <c r="FV35" i="23916"/>
  <c r="FW35" i="23916" s="1"/>
  <c r="FV33" i="23916"/>
  <c r="FW33" i="23916" s="1"/>
  <c r="FW34" i="23916"/>
  <c r="AG637" i="23916"/>
  <c r="AH488" i="23916"/>
  <c r="AG493" i="23916"/>
  <c r="AG581" i="23916" s="1"/>
  <c r="AG460" i="23916"/>
  <c r="FV16" i="23916"/>
  <c r="FW15" i="23916"/>
  <c r="CI454" i="23916"/>
  <c r="CJ454" i="23916" s="1"/>
  <c r="CJ447" i="23916"/>
  <c r="CJ452" i="23916"/>
  <c r="CJ448" i="23916"/>
  <c r="DK454" i="23916"/>
  <c r="DL454" i="23916" s="1"/>
  <c r="DL447" i="23916"/>
  <c r="DK566" i="23916"/>
  <c r="DL415" i="23916"/>
  <c r="DK584" i="23916"/>
  <c r="DK585" i="23916" s="1"/>
  <c r="DS454" i="23916"/>
  <c r="DT454" i="23916" s="1"/>
  <c r="DT447" i="23916"/>
  <c r="DT452" i="23916"/>
  <c r="CK637" i="23916"/>
  <c r="CK495" i="23916"/>
  <c r="CK460" i="23916"/>
  <c r="CK17" i="23916"/>
  <c r="CL17" i="23916" s="1"/>
  <c r="EJ415" i="23916"/>
  <c r="BZ443" i="23916"/>
  <c r="CP454" i="23916"/>
  <c r="CH536" i="23916"/>
  <c r="GT46" i="23916"/>
  <c r="GS46" i="23916"/>
  <c r="ER410" i="23916"/>
  <c r="FR35" i="23916"/>
  <c r="FR33" i="23916"/>
  <c r="FS34" i="23916"/>
  <c r="FU34" i="23916"/>
  <c r="DB536" i="23916"/>
  <c r="W637" i="23916"/>
  <c r="X488" i="23916"/>
  <c r="W460" i="23916"/>
  <c r="X460" i="23916" s="1"/>
  <c r="CX536" i="23916"/>
  <c r="DD415" i="23916"/>
  <c r="GN519" i="23916"/>
  <c r="EF446" i="23916"/>
  <c r="EF448" i="23916"/>
  <c r="BN452" i="23916"/>
  <c r="BN449" i="23916"/>
  <c r="DQ637" i="23916"/>
  <c r="DQ495" i="23916"/>
  <c r="DR488" i="23916"/>
  <c r="DQ460" i="23916"/>
  <c r="DQ17" i="23916"/>
  <c r="ED416" i="23916"/>
  <c r="ED443" i="23916"/>
  <c r="ED548" i="23916"/>
  <c r="GR607" i="23916"/>
  <c r="GR88" i="23916"/>
  <c r="GR81" i="23916" s="1"/>
  <c r="GS87" i="23916"/>
  <c r="GT87" i="23916"/>
  <c r="GJ567" i="23916"/>
  <c r="GL483" i="23916"/>
  <c r="GL482" i="23916"/>
  <c r="GK482" i="23916"/>
  <c r="GJ461" i="23916"/>
  <c r="EO408" i="23916"/>
  <c r="EP243" i="23916"/>
  <c r="EO244" i="23916"/>
  <c r="DP446" i="23916"/>
  <c r="DP452" i="23916"/>
  <c r="DN479" i="23916"/>
  <c r="DM539" i="23916"/>
  <c r="DN539" i="23916" s="1"/>
  <c r="DM538" i="23916"/>
  <c r="DM491" i="23916"/>
  <c r="DN491" i="23916" s="1"/>
  <c r="DN438" i="23916"/>
  <c r="DM480" i="23916"/>
  <c r="DN548" i="23916"/>
  <c r="GS40" i="23916"/>
  <c r="GR143" i="23916"/>
  <c r="GT40" i="23916"/>
  <c r="EO409" i="23916"/>
  <c r="EP280" i="23916"/>
  <c r="EO574" i="23916"/>
  <c r="EJ450" i="23916"/>
  <c r="AM559" i="23916"/>
  <c r="AM548" i="23916"/>
  <c r="AM536" i="23916"/>
  <c r="AM488" i="23916"/>
  <c r="AM438" i="23916"/>
  <c r="AM417" i="23916"/>
  <c r="AN416" i="23916"/>
  <c r="AM418" i="23916"/>
  <c r="AM419" i="23916" s="1"/>
  <c r="AM443" i="23916"/>
  <c r="AM479" i="23916"/>
  <c r="BT446" i="23916"/>
  <c r="BT452" i="23916"/>
  <c r="BS559" i="23916"/>
  <c r="BS548" i="23916"/>
  <c r="BS536" i="23916"/>
  <c r="BS488" i="23916"/>
  <c r="BS438" i="23916"/>
  <c r="BT416" i="23916"/>
  <c r="BS417" i="23916"/>
  <c r="BS443" i="23916"/>
  <c r="BS479" i="23916"/>
  <c r="CO581" i="23916"/>
  <c r="CP493" i="23916"/>
  <c r="CO18" i="23916"/>
  <c r="FG449" i="23916"/>
  <c r="FG446" i="23916"/>
  <c r="DJ479" i="23916"/>
  <c r="DI539" i="23916"/>
  <c r="DJ539" i="23916" s="1"/>
  <c r="DI538" i="23916"/>
  <c r="DJ538" i="23916" s="1"/>
  <c r="DI491" i="23916"/>
  <c r="DJ491" i="23916" s="1"/>
  <c r="DJ438" i="23916"/>
  <c r="DI480" i="23916"/>
  <c r="DJ480" i="23916" s="1"/>
  <c r="DJ548" i="23916"/>
  <c r="GQ436" i="23916"/>
  <c r="GF416" i="23916"/>
  <c r="GF415" i="23916"/>
  <c r="GG413" i="23916"/>
  <c r="GF450" i="23916"/>
  <c r="GF447" i="23916"/>
  <c r="GF451" i="23916"/>
  <c r="GF453" i="23916"/>
  <c r="GG453" i="23916" s="1"/>
  <c r="GF452" i="23916"/>
  <c r="GF446" i="23916"/>
  <c r="GF449" i="23916"/>
  <c r="GF448" i="23916"/>
  <c r="GF13" i="23916"/>
  <c r="Y454" i="23916"/>
  <c r="Z454" i="23916" s="1"/>
  <c r="Z447" i="23916"/>
  <c r="AE416" i="23916"/>
  <c r="AE415" i="23916"/>
  <c r="AN415" i="23916" s="1"/>
  <c r="AF413" i="23916"/>
  <c r="AE451" i="23916"/>
  <c r="AF451" i="23916" s="1"/>
  <c r="AE452" i="23916"/>
  <c r="AF452" i="23916" s="1"/>
  <c r="AE449" i="23916"/>
  <c r="AF449" i="23916" s="1"/>
  <c r="AE447" i="23916"/>
  <c r="AE450" i="23916"/>
  <c r="AF450" i="23916" s="1"/>
  <c r="AE446" i="23916"/>
  <c r="AF446" i="23916" s="1"/>
  <c r="AE448" i="23916"/>
  <c r="AF448" i="23916" s="1"/>
  <c r="AE453" i="23916"/>
  <c r="AF453" i="23916" s="1"/>
  <c r="FX403" i="23916"/>
  <c r="FY163" i="23916"/>
  <c r="GA163" i="23916"/>
  <c r="GP505" i="23916"/>
  <c r="GQ505" i="23916" s="1"/>
  <c r="BO454" i="23916"/>
  <c r="BP447" i="23916"/>
  <c r="BP452" i="23916"/>
  <c r="DA581" i="23916"/>
  <c r="DB493" i="23916"/>
  <c r="DA18" i="23916"/>
  <c r="CE454" i="23916"/>
  <c r="CF454" i="23916" s="1"/>
  <c r="CF447" i="23916"/>
  <c r="CE566" i="23916"/>
  <c r="CF415" i="23916"/>
  <c r="CE584" i="23916"/>
  <c r="CE585" i="23916" s="1"/>
  <c r="CE580" i="23916"/>
  <c r="CE493" i="23916"/>
  <c r="EH536" i="23916"/>
  <c r="GQ289" i="23916"/>
  <c r="CA559" i="23916"/>
  <c r="CB559" i="23916" s="1"/>
  <c r="CA548" i="23916"/>
  <c r="CA537" i="23916"/>
  <c r="CB537" i="23916" s="1"/>
  <c r="CA536" i="23916"/>
  <c r="CB536" i="23916" s="1"/>
  <c r="CA488" i="23916"/>
  <c r="CA438" i="23916"/>
  <c r="CB416" i="23916"/>
  <c r="CA417" i="23916"/>
  <c r="CA443" i="23916"/>
  <c r="CB443" i="23916" s="1"/>
  <c r="CA479" i="23916"/>
  <c r="GD416" i="23916"/>
  <c r="GE413" i="23916"/>
  <c r="GD415" i="23916"/>
  <c r="GD449" i="23916"/>
  <c r="GE449" i="23916" s="1"/>
  <c r="GD453" i="23916"/>
  <c r="GE453" i="23916" s="1"/>
  <c r="GD451" i="23916"/>
  <c r="GE451" i="23916" s="1"/>
  <c r="GD448" i="23916"/>
  <c r="GE448" i="23916" s="1"/>
  <c r="GD450" i="23916"/>
  <c r="GE450" i="23916" s="1"/>
  <c r="GD13" i="23916"/>
  <c r="GD447" i="23916"/>
  <c r="GD446" i="23916"/>
  <c r="GE446" i="23916" s="1"/>
  <c r="GD452" i="23916"/>
  <c r="GE452" i="23916" s="1"/>
  <c r="FW30" i="23916"/>
  <c r="FY30" i="23916"/>
  <c r="AX398" i="23916"/>
  <c r="BF398" i="23916"/>
  <c r="BC584" i="23916"/>
  <c r="BC585" i="23916" s="1"/>
  <c r="BC580" i="23916"/>
  <c r="GO122" i="23916"/>
  <c r="GP122" i="23916"/>
  <c r="GN116" i="23916"/>
  <c r="GO116" i="23916" s="1"/>
  <c r="BR536" i="23916"/>
  <c r="FS413" i="23916"/>
  <c r="FR416" i="23916"/>
  <c r="FR449" i="23916"/>
  <c r="FR452" i="23916"/>
  <c r="FR448" i="23916"/>
  <c r="FR450" i="23916"/>
  <c r="FR451" i="23916"/>
  <c r="FR415" i="23916"/>
  <c r="FR447" i="23916"/>
  <c r="FR446" i="23916"/>
  <c r="FR453" i="23916"/>
  <c r="CM454" i="23916"/>
  <c r="CN454" i="23916" s="1"/>
  <c r="CN447" i="23916"/>
  <c r="FT416" i="23916"/>
  <c r="FU413" i="23916"/>
  <c r="FT415" i="23916"/>
  <c r="FT450" i="23916"/>
  <c r="FU450" i="23916" s="1"/>
  <c r="FT453" i="23916"/>
  <c r="FT451" i="23916"/>
  <c r="FU451" i="23916" s="1"/>
  <c r="FT448" i="23916"/>
  <c r="FT452" i="23916"/>
  <c r="FU452" i="23916" s="1"/>
  <c r="FT447" i="23916"/>
  <c r="FT449" i="23916"/>
  <c r="FU449" i="23916" s="1"/>
  <c r="BG454" i="23916"/>
  <c r="EJ479" i="23916"/>
  <c r="EJ443" i="23916"/>
  <c r="EJ537" i="23916"/>
  <c r="GR459" i="23916"/>
  <c r="GQ459" i="23916"/>
  <c r="CG581" i="23916"/>
  <c r="CH493" i="23916"/>
  <c r="CG18" i="23916"/>
  <c r="CH18" i="23916" s="1"/>
  <c r="BV479" i="23916"/>
  <c r="BV548" i="23916"/>
  <c r="DV452" i="23916"/>
  <c r="ED452" i="23916"/>
  <c r="DU454" i="23916"/>
  <c r="DV454" i="23916" s="1"/>
  <c r="DV447" i="23916"/>
  <c r="DG454" i="23916"/>
  <c r="DH454" i="23916" s="1"/>
  <c r="DH447" i="23916"/>
  <c r="DH449" i="23916"/>
  <c r="DH450" i="23916"/>
  <c r="BI454" i="23916"/>
  <c r="FH589" i="23916"/>
  <c r="FH559" i="23916"/>
  <c r="FH548" i="23916"/>
  <c r="FH536" i="23916"/>
  <c r="FH488" i="23916"/>
  <c r="FH438" i="23916"/>
  <c r="FI416" i="23916"/>
  <c r="FH443" i="23916"/>
  <c r="FH479" i="23916"/>
  <c r="EK390" i="23916"/>
  <c r="EK154" i="23916"/>
  <c r="EL154" i="23916" s="1"/>
  <c r="EK152" i="23916"/>
  <c r="EL152" i="23916" s="1"/>
  <c r="EL148" i="23916"/>
  <c r="GP121" i="23916"/>
  <c r="GO121" i="23916"/>
  <c r="GN114" i="23916"/>
  <c r="GJ198" i="23916"/>
  <c r="FB454" i="23916"/>
  <c r="FC454" i="23916" s="1"/>
  <c r="FC447" i="23916"/>
  <c r="FB589" i="23916"/>
  <c r="FB559" i="23916"/>
  <c r="FC559" i="23916" s="1"/>
  <c r="FB548" i="23916"/>
  <c r="FC548" i="23916" s="1"/>
  <c r="FB536" i="23916"/>
  <c r="FC536" i="23916" s="1"/>
  <c r="FB488" i="23916"/>
  <c r="FB438" i="23916"/>
  <c r="FC416" i="23916"/>
  <c r="FB443" i="23916"/>
  <c r="FC443" i="23916" s="1"/>
  <c r="FB479" i="23916"/>
  <c r="FC479" i="23916" s="1"/>
  <c r="EN407" i="23916"/>
  <c r="GM302" i="23916"/>
  <c r="GL305" i="23916"/>
  <c r="GM191" i="23916"/>
  <c r="GT190" i="23916"/>
  <c r="GS190" i="23916"/>
  <c r="BR415" i="23916"/>
  <c r="AK454" i="23916"/>
  <c r="AL447" i="23916"/>
  <c r="AL415" i="23916"/>
  <c r="AK584" i="23916"/>
  <c r="AK580" i="23916"/>
  <c r="FX576" i="23916"/>
  <c r="EB449" i="23916"/>
  <c r="EJ449" i="23916"/>
  <c r="EN409" i="23916"/>
  <c r="CO637" i="23916"/>
  <c r="CO495" i="23916"/>
  <c r="CP488" i="23916"/>
  <c r="CO460" i="23916"/>
  <c r="CP460" i="23916" s="1"/>
  <c r="CO17" i="23916"/>
  <c r="CP17" i="23916" s="1"/>
  <c r="DE637" i="23916"/>
  <c r="DE495" i="23916"/>
  <c r="DF488" i="23916"/>
  <c r="DE460" i="23916"/>
  <c r="DF460" i="23916" s="1"/>
  <c r="DE17" i="23916"/>
  <c r="DF17" i="23916" s="1"/>
  <c r="GN625" i="23916"/>
  <c r="GN234" i="23916"/>
  <c r="GN227" i="23916" s="1"/>
  <c r="GO233" i="23916"/>
  <c r="GP233" i="23916"/>
  <c r="GT434" i="23916"/>
  <c r="GS434" i="23916"/>
  <c r="GR436" i="23916"/>
  <c r="FZ415" i="23916"/>
  <c r="FZ416" i="23916"/>
  <c r="FZ16" i="23916" s="1"/>
  <c r="FZ449" i="23916"/>
  <c r="FZ453" i="23916"/>
  <c r="FZ448" i="23916"/>
  <c r="FZ451" i="23916"/>
  <c r="FZ450" i="23916"/>
  <c r="FZ447" i="23916"/>
  <c r="FZ452" i="23916"/>
  <c r="GC452" i="23916" s="1"/>
  <c r="GR110" i="23916"/>
  <c r="GS107" i="23916"/>
  <c r="GT107" i="23916"/>
  <c r="FE449" i="23916"/>
  <c r="FE446" i="23916"/>
  <c r="FE415" i="23916"/>
  <c r="FD584" i="23916"/>
  <c r="FD585" i="23916" s="1"/>
  <c r="FD580" i="23916"/>
  <c r="DY539" i="23916"/>
  <c r="DZ539" i="23916" s="1"/>
  <c r="DY538" i="23916"/>
  <c r="DZ538" i="23916" s="1"/>
  <c r="DY491" i="23916"/>
  <c r="DZ491" i="23916" s="1"/>
  <c r="DZ438" i="23916"/>
  <c r="DY480" i="23916"/>
  <c r="DZ480" i="23916" s="1"/>
  <c r="AB415" i="23916"/>
  <c r="AA580" i="23916"/>
  <c r="CQ566" i="23916"/>
  <c r="CR415" i="23916"/>
  <c r="CQ584" i="23916"/>
  <c r="CQ585" i="23916" s="1"/>
  <c r="GK202" i="23916"/>
  <c r="GL202" i="23916"/>
  <c r="X454" i="23916"/>
  <c r="GH566" i="23916"/>
  <c r="GI415" i="23916"/>
  <c r="GH584" i="23916"/>
  <c r="GH585" i="23916" s="1"/>
  <c r="GC453" i="23916"/>
  <c r="GB589" i="23916"/>
  <c r="GB559" i="23916"/>
  <c r="GB548" i="23916"/>
  <c r="GB536" i="23916"/>
  <c r="GB537" i="23916"/>
  <c r="GB488" i="23916"/>
  <c r="GB438" i="23916"/>
  <c r="GB417" i="23916"/>
  <c r="GC416" i="23916"/>
  <c r="GB479" i="23916"/>
  <c r="GB443" i="23916"/>
  <c r="FO355" i="23916"/>
  <c r="FK33" i="23916"/>
  <c r="FM33" i="23916"/>
  <c r="BE559" i="23916"/>
  <c r="BE548" i="23916"/>
  <c r="BE536" i="23916"/>
  <c r="BE488" i="23916"/>
  <c r="BE438" i="23916"/>
  <c r="BE417" i="23916"/>
  <c r="BE443" i="23916"/>
  <c r="BE479" i="23916"/>
  <c r="CD446" i="23916"/>
  <c r="CL446" i="23916"/>
  <c r="CC559" i="23916"/>
  <c r="CD559" i="23916" s="1"/>
  <c r="CC548" i="23916"/>
  <c r="CD548" i="23916" s="1"/>
  <c r="CC537" i="23916"/>
  <c r="CD537" i="23916" s="1"/>
  <c r="CC536" i="23916"/>
  <c r="CD536" i="23916" s="1"/>
  <c r="CC488" i="23916"/>
  <c r="CC438" i="23916"/>
  <c r="CC417" i="23916"/>
  <c r="CD416" i="23916"/>
  <c r="CC479" i="23916"/>
  <c r="CD479" i="23916" s="1"/>
  <c r="CC443" i="23916"/>
  <c r="CD443" i="23916" s="1"/>
  <c r="DD416" i="23916"/>
  <c r="DC637" i="23916"/>
  <c r="DC495" i="23916"/>
  <c r="DD488" i="23916"/>
  <c r="DC460" i="23916"/>
  <c r="DC17" i="23916"/>
  <c r="DD559" i="23916"/>
  <c r="GJ90" i="23916"/>
  <c r="GK84" i="23916"/>
  <c r="GJ85" i="23916"/>
  <c r="GR196" i="23916"/>
  <c r="GQ196" i="23916"/>
  <c r="DW454" i="23916"/>
  <c r="DX454" i="23916" s="1"/>
  <c r="DX447" i="23916"/>
  <c r="DW580" i="23916"/>
  <c r="DW559" i="23916"/>
  <c r="DW548" i="23916"/>
  <c r="DW537" i="23916"/>
  <c r="DW536" i="23916"/>
  <c r="DW488" i="23916"/>
  <c r="DW438" i="23916"/>
  <c r="DW417" i="23916"/>
  <c r="DW493" i="23916" s="1"/>
  <c r="DX416" i="23916"/>
  <c r="DW443" i="23916"/>
  <c r="DW479" i="23916"/>
  <c r="DW16" i="23916"/>
  <c r="BW637" i="23916"/>
  <c r="BW493" i="23916"/>
  <c r="BW495" i="23916"/>
  <c r="BW460" i="23916"/>
  <c r="AH443" i="23916"/>
  <c r="AH536" i="23916"/>
  <c r="AV411" i="23916"/>
  <c r="AU413" i="23916"/>
  <c r="BD411" i="23916"/>
  <c r="DR454" i="23916"/>
  <c r="EQ568" i="23916"/>
  <c r="GJ485" i="23916"/>
  <c r="ER485" i="23916"/>
  <c r="EQ490" i="23916"/>
  <c r="ER490" i="23916" s="1"/>
  <c r="EQ489" i="23916"/>
  <c r="ER489" i="23916" s="1"/>
  <c r="FV13" i="23916"/>
  <c r="BR454" i="23916"/>
  <c r="DN454" i="23916"/>
  <c r="CJ451" i="23916"/>
  <c r="GN385" i="23916"/>
  <c r="GO385" i="23916" s="1"/>
  <c r="DK580" i="23916"/>
  <c r="DK559" i="23916"/>
  <c r="DL559" i="23916" s="1"/>
  <c r="DK548" i="23916"/>
  <c r="DL548" i="23916" s="1"/>
  <c r="DK537" i="23916"/>
  <c r="DL537" i="23916" s="1"/>
  <c r="DK536" i="23916"/>
  <c r="DL536" i="23916" s="1"/>
  <c r="DK488" i="23916"/>
  <c r="DK438" i="23916"/>
  <c r="DK417" i="23916"/>
  <c r="DK493" i="23916" s="1"/>
  <c r="DL416" i="23916"/>
  <c r="DK443" i="23916"/>
  <c r="DL443" i="23916" s="1"/>
  <c r="DK479" i="23916"/>
  <c r="DL479" i="23916" s="1"/>
  <c r="DK16" i="23916"/>
  <c r="DT451" i="23916"/>
  <c r="DT450" i="23916"/>
  <c r="DS566" i="23916"/>
  <c r="DT415" i="23916"/>
  <c r="DS584" i="23916"/>
  <c r="DS585" i="23916" s="1"/>
  <c r="CL416" i="23916"/>
  <c r="CL536" i="23916"/>
  <c r="CL451" i="23916"/>
  <c r="FM305" i="23916"/>
  <c r="FL308" i="23916"/>
  <c r="BY637" i="23916"/>
  <c r="BY495" i="23916"/>
  <c r="BZ488" i="23916"/>
  <c r="BY460" i="23916"/>
  <c r="BZ460" i="23916" s="1"/>
  <c r="BZ548" i="23916"/>
  <c r="EK587" i="23916"/>
  <c r="EL384" i="23916"/>
  <c r="EK387" i="23916"/>
  <c r="GT520" i="23916"/>
  <c r="GS520" i="23916"/>
  <c r="DB479" i="23916"/>
  <c r="DB537" i="23916"/>
  <c r="CX443" i="23916"/>
  <c r="CX537" i="23916"/>
  <c r="CS581" i="23916"/>
  <c r="CT493" i="23916"/>
  <c r="CS18" i="23916"/>
  <c r="CT18" i="23916" s="1"/>
  <c r="CT454" i="23916"/>
  <c r="FY398" i="23916"/>
  <c r="GA398" i="23916"/>
  <c r="GP519" i="23916"/>
  <c r="GR517" i="23916"/>
  <c r="GQ517" i="23916"/>
  <c r="EE454" i="23916"/>
  <c r="EF454" i="23916" s="1"/>
  <c r="EF447" i="23916"/>
  <c r="EF450" i="23916"/>
  <c r="EE580" i="23916"/>
  <c r="EE559" i="23916"/>
  <c r="EF559" i="23916" s="1"/>
  <c r="EE548" i="23916"/>
  <c r="EF548" i="23916" s="1"/>
  <c r="EE488" i="23916"/>
  <c r="EE443" i="23916"/>
  <c r="EF443" i="23916" s="1"/>
  <c r="EE438" i="23916"/>
  <c r="EE417" i="23916"/>
  <c r="EE493" i="23916" s="1"/>
  <c r="EF416" i="23916"/>
  <c r="EE479" i="23916"/>
  <c r="EF479" i="23916" s="1"/>
  <c r="EE16" i="23916"/>
  <c r="BM454" i="23916"/>
  <c r="BN454" i="23916" s="1"/>
  <c r="BN447" i="23916"/>
  <c r="BN450" i="23916"/>
  <c r="BM566" i="23916"/>
  <c r="BN415" i="23916"/>
  <c r="BM580" i="23916"/>
  <c r="BM584" i="23916"/>
  <c r="BM585" i="23916" s="1"/>
  <c r="GT288" i="23916"/>
  <c r="GS288" i="23916"/>
  <c r="DQ581" i="23916"/>
  <c r="DR493" i="23916"/>
  <c r="DQ18" i="23916"/>
  <c r="DR18" i="23916" s="1"/>
  <c r="EC637" i="23916"/>
  <c r="EC495" i="23916"/>
  <c r="ED488" i="23916"/>
  <c r="EC460" i="23916"/>
  <c r="EC17" i="23916"/>
  <c r="ED559" i="23916"/>
  <c r="GL272" i="23916"/>
  <c r="GK272" i="23916"/>
  <c r="BR453" i="23916"/>
  <c r="DP449" i="23916"/>
  <c r="DP448" i="23916"/>
  <c r="DO580" i="23916"/>
  <c r="DO559" i="23916"/>
  <c r="DP559" i="23916" s="1"/>
  <c r="DO548" i="23916"/>
  <c r="DP548" i="23916" s="1"/>
  <c r="DO537" i="23916"/>
  <c r="DP537" i="23916" s="1"/>
  <c r="DO536" i="23916"/>
  <c r="DP536" i="23916" s="1"/>
  <c r="DO488" i="23916"/>
  <c r="DO438" i="23916"/>
  <c r="DO417" i="23916"/>
  <c r="DO493" i="23916" s="1"/>
  <c r="DP416" i="23916"/>
  <c r="DO443" i="23916"/>
  <c r="DP443" i="23916" s="1"/>
  <c r="DO479" i="23916"/>
  <c r="DP479" i="23916" s="1"/>
  <c r="DO16" i="23916"/>
  <c r="DM637" i="23916"/>
  <c r="DM495" i="23916"/>
  <c r="DN488" i="23916"/>
  <c r="DM460" i="23916"/>
  <c r="DN460" i="23916" s="1"/>
  <c r="DM17" i="23916"/>
  <c r="DN17" i="23916" s="1"/>
  <c r="DN559" i="23916"/>
  <c r="GT503" i="23916"/>
  <c r="GS503" i="23916"/>
  <c r="CL415" i="23916"/>
  <c r="EJ451" i="23916"/>
  <c r="AN450" i="23916"/>
  <c r="AN448" i="23916"/>
  <c r="FL398" i="23916"/>
  <c r="FM398" i="23916" s="1"/>
  <c r="FM387" i="23916"/>
  <c r="BT450" i="23916"/>
  <c r="BT448" i="23916"/>
  <c r="BS566" i="23916"/>
  <c r="BT415" i="23916"/>
  <c r="BS584" i="23916"/>
  <c r="BS585" i="23916" s="1"/>
  <c r="BS580" i="23916"/>
  <c r="FG451" i="23916"/>
  <c r="FG450" i="23916"/>
  <c r="FF589" i="23916"/>
  <c r="FF559" i="23916"/>
  <c r="FG559" i="23916" s="1"/>
  <c r="FF548" i="23916"/>
  <c r="FG548" i="23916" s="1"/>
  <c r="FF536" i="23916"/>
  <c r="FG536" i="23916" s="1"/>
  <c r="FF488" i="23916"/>
  <c r="FF438" i="23916"/>
  <c r="FG416" i="23916"/>
  <c r="FF443" i="23916"/>
  <c r="FG443" i="23916" s="1"/>
  <c r="FF479" i="23916"/>
  <c r="FG479" i="23916" s="1"/>
  <c r="DI637" i="23916"/>
  <c r="DI495" i="23916"/>
  <c r="DJ488" i="23916"/>
  <c r="DI460" i="23916"/>
  <c r="DJ460" i="23916" s="1"/>
  <c r="DI17" i="23916"/>
  <c r="DJ17" i="23916" s="1"/>
  <c r="DJ559" i="23916"/>
  <c r="BB410" i="23916"/>
  <c r="BA411" i="23916"/>
  <c r="BJ410" i="23916"/>
  <c r="AI415" i="23916"/>
  <c r="AJ413" i="23916"/>
  <c r="AI416" i="23916"/>
  <c r="AI452" i="23916"/>
  <c r="AJ452" i="23916" s="1"/>
  <c r="AI451" i="23916"/>
  <c r="AJ451" i="23916" s="1"/>
  <c r="AI453" i="23916"/>
  <c r="AJ453" i="23916" s="1"/>
  <c r="AI448" i="23916"/>
  <c r="AJ448" i="23916" s="1"/>
  <c r="AI449" i="23916"/>
  <c r="AJ449" i="23916" s="1"/>
  <c r="AI450" i="23916"/>
  <c r="AJ450" i="23916" s="1"/>
  <c r="AI447" i="23916"/>
  <c r="Z446" i="23916"/>
  <c r="AH446" i="23916"/>
  <c r="BV452" i="23916"/>
  <c r="FY7" i="23916"/>
  <c r="FX12" i="23916"/>
  <c r="GA7" i="23916"/>
  <c r="ER276" i="23916"/>
  <c r="EQ277" i="23916"/>
  <c r="ER277" i="23916" s="1"/>
  <c r="EQ280" i="23916"/>
  <c r="EQ10" i="23916"/>
  <c r="ER10" i="23916" s="1"/>
  <c r="GT506" i="23916"/>
  <c r="GR505" i="23916"/>
  <c r="GS506" i="23916"/>
  <c r="GR510" i="23916"/>
  <c r="GR508" i="23916"/>
  <c r="BP450" i="23916"/>
  <c r="BP449" i="23916"/>
  <c r="BO559" i="23916"/>
  <c r="BP559" i="23916" s="1"/>
  <c r="BO548" i="23916"/>
  <c r="BP548" i="23916" s="1"/>
  <c r="BO536" i="23916"/>
  <c r="BO488" i="23916"/>
  <c r="BO438" i="23916"/>
  <c r="BX438" i="23916" s="1"/>
  <c r="BO417" i="23916"/>
  <c r="BP416" i="23916"/>
  <c r="BO443" i="23916"/>
  <c r="BP443" i="23916" s="1"/>
  <c r="BO479" i="23916"/>
  <c r="BP479" i="23916" s="1"/>
  <c r="CE559" i="23916"/>
  <c r="CF559" i="23916" s="1"/>
  <c r="CE537" i="23916"/>
  <c r="CF537" i="23916" s="1"/>
  <c r="CE536" i="23916"/>
  <c r="CF536" i="23916" s="1"/>
  <c r="CE548" i="23916"/>
  <c r="CF548" i="23916" s="1"/>
  <c r="CE488" i="23916"/>
  <c r="CE438" i="23916"/>
  <c r="CF416" i="23916"/>
  <c r="CE417" i="23916"/>
  <c r="CE443" i="23916"/>
  <c r="CF443" i="23916" s="1"/>
  <c r="CE479" i="23916"/>
  <c r="CF479" i="23916" s="1"/>
  <c r="EH479" i="23916"/>
  <c r="EG539" i="23916"/>
  <c r="EH539" i="23916" s="1"/>
  <c r="EG538" i="23916"/>
  <c r="EH538" i="23916" s="1"/>
  <c r="EG491" i="23916"/>
  <c r="EH491" i="23916" s="1"/>
  <c r="EH438" i="23916"/>
  <c r="EG480" i="23916"/>
  <c r="EH480" i="23916" s="1"/>
  <c r="EH537" i="23916"/>
  <c r="EQ25" i="23916" l="1"/>
  <c r="EP29" i="23916"/>
  <c r="EO30" i="23916"/>
  <c r="GR509" i="23916"/>
  <c r="GT508" i="23916"/>
  <c r="GS508" i="23916"/>
  <c r="CE539" i="23916"/>
  <c r="CF539" i="23916" s="1"/>
  <c r="CE538" i="23916"/>
  <c r="CF538" i="23916" s="1"/>
  <c r="CE491" i="23916"/>
  <c r="CF491" i="23916" s="1"/>
  <c r="CF438" i="23916"/>
  <c r="CE480" i="23916"/>
  <c r="CF480" i="23916" s="1"/>
  <c r="DO637" i="23916"/>
  <c r="DO495" i="23916"/>
  <c r="DP488" i="23916"/>
  <c r="DO460" i="23916"/>
  <c r="DO17" i="23916"/>
  <c r="CE637" i="23916"/>
  <c r="CE495" i="23916"/>
  <c r="CF488" i="23916"/>
  <c r="CE460" i="23916"/>
  <c r="CF460" i="23916" s="1"/>
  <c r="BP536" i="23916"/>
  <c r="GT505" i="23916"/>
  <c r="GS505" i="23916"/>
  <c r="EQ409" i="23916"/>
  <c r="ER280" i="23916"/>
  <c r="EQ574" i="23916"/>
  <c r="FY12" i="23916"/>
  <c r="GA12" i="23916"/>
  <c r="AI559" i="23916"/>
  <c r="AJ559" i="23916" s="1"/>
  <c r="AI548" i="23916"/>
  <c r="AJ548" i="23916" s="1"/>
  <c r="AI536" i="23916"/>
  <c r="AJ536" i="23916" s="1"/>
  <c r="AI488" i="23916"/>
  <c r="AI438" i="23916"/>
  <c r="AI419" i="23916"/>
  <c r="AI418" i="23916"/>
  <c r="AI417" i="23916"/>
  <c r="AJ416" i="23916"/>
  <c r="AI443" i="23916"/>
  <c r="AJ443" i="23916" s="1"/>
  <c r="AI479" i="23916"/>
  <c r="AJ479" i="23916" s="1"/>
  <c r="BB411" i="23916"/>
  <c r="BA413" i="23916"/>
  <c r="BJ411" i="23916"/>
  <c r="FF539" i="23916"/>
  <c r="FF538" i="23916"/>
  <c r="FF491" i="23916"/>
  <c r="FG438" i="23916"/>
  <c r="FF480" i="23916"/>
  <c r="DO581" i="23916"/>
  <c r="DP493" i="23916"/>
  <c r="DO18" i="23916"/>
  <c r="EE539" i="23916"/>
  <c r="EE491" i="23916"/>
  <c r="EF438" i="23916"/>
  <c r="EE480" i="23916"/>
  <c r="FL574" i="23916"/>
  <c r="FL410" i="23916"/>
  <c r="FM308" i="23916"/>
  <c r="DK539" i="23916"/>
  <c r="DL539" i="23916" s="1"/>
  <c r="DK538" i="23916"/>
  <c r="DL538" i="23916" s="1"/>
  <c r="DK491" i="23916"/>
  <c r="DL491" i="23916" s="1"/>
  <c r="DL438" i="23916"/>
  <c r="DK480" i="23916"/>
  <c r="DL480" i="23916" s="1"/>
  <c r="GJ568" i="23916"/>
  <c r="GJ484" i="23916"/>
  <c r="GK485" i="23916"/>
  <c r="GJ490" i="23916"/>
  <c r="GK490" i="23916" s="1"/>
  <c r="GJ489" i="23916"/>
  <c r="GK489" i="23916" s="1"/>
  <c r="DW581" i="23916"/>
  <c r="DX493" i="23916"/>
  <c r="DW18" i="23916"/>
  <c r="DX536" i="23916"/>
  <c r="GS196" i="23916"/>
  <c r="GT196" i="23916"/>
  <c r="DC418" i="23916"/>
  <c r="DC19" i="23916"/>
  <c r="CC539" i="23916"/>
  <c r="CD539" i="23916" s="1"/>
  <c r="CC538" i="23916"/>
  <c r="CD538" i="23916" s="1"/>
  <c r="CC491" i="23916"/>
  <c r="CD491" i="23916" s="1"/>
  <c r="CD438" i="23916"/>
  <c r="CC480" i="23916"/>
  <c r="CD480" i="23916" s="1"/>
  <c r="GB637" i="23916"/>
  <c r="GB17" i="23916"/>
  <c r="GB460" i="23916"/>
  <c r="FZ454" i="23916"/>
  <c r="FZ566" i="23916"/>
  <c r="FZ584" i="23916"/>
  <c r="FZ585" i="23916" s="1"/>
  <c r="GO227" i="23916"/>
  <c r="AH454" i="23916"/>
  <c r="FB539" i="23916"/>
  <c r="FC539" i="23916" s="1"/>
  <c r="FB538" i="23916"/>
  <c r="FC538" i="23916" s="1"/>
  <c r="FB491" i="23916"/>
  <c r="FC491" i="23916" s="1"/>
  <c r="FC438" i="23916"/>
  <c r="FB480" i="23916"/>
  <c r="FC480" i="23916" s="1"/>
  <c r="GK198" i="23916"/>
  <c r="GJ205" i="23916"/>
  <c r="FI479" i="23916"/>
  <c r="FH637" i="23916"/>
  <c r="FI488" i="23916"/>
  <c r="FH460" i="23916"/>
  <c r="FU447" i="23916"/>
  <c r="FT454" i="23916"/>
  <c r="FU453" i="23916"/>
  <c r="FT589" i="23916"/>
  <c r="FT559" i="23916"/>
  <c r="FU559" i="23916" s="1"/>
  <c r="FT548" i="23916"/>
  <c r="FT536" i="23916"/>
  <c r="FU536" i="23916" s="1"/>
  <c r="FT537" i="23916"/>
  <c r="FT488" i="23916"/>
  <c r="FT438" i="23916"/>
  <c r="FT417" i="23916"/>
  <c r="FU416" i="23916"/>
  <c r="FT443" i="23916"/>
  <c r="FU443" i="23916" s="1"/>
  <c r="FT479" i="23916"/>
  <c r="FS446" i="23916"/>
  <c r="FR589" i="23916"/>
  <c r="FR559" i="23916"/>
  <c r="FR548" i="23916"/>
  <c r="FR537" i="23916"/>
  <c r="FR536" i="23916"/>
  <c r="FR488" i="23916"/>
  <c r="FR438" i="23916"/>
  <c r="FR417" i="23916"/>
  <c r="FR443" i="23916"/>
  <c r="FR479" i="23916"/>
  <c r="GR122" i="23916"/>
  <c r="GQ122" i="23916"/>
  <c r="GP116" i="23916"/>
  <c r="GQ116" i="23916" s="1"/>
  <c r="GD566" i="23916"/>
  <c r="GE415" i="23916"/>
  <c r="GD584" i="23916"/>
  <c r="GD585" i="23916" s="1"/>
  <c r="CA539" i="23916"/>
  <c r="CA538" i="23916"/>
  <c r="CA491" i="23916"/>
  <c r="CB438" i="23916"/>
  <c r="CA480" i="23916"/>
  <c r="CB548" i="23916"/>
  <c r="CE581" i="23916"/>
  <c r="CF493" i="23916"/>
  <c r="BP454" i="23916"/>
  <c r="FY403" i="23916"/>
  <c r="GA403" i="23916"/>
  <c r="GG449" i="23916"/>
  <c r="GI449" i="23916"/>
  <c r="GG451" i="23916"/>
  <c r="GF566" i="23916"/>
  <c r="GG415" i="23916"/>
  <c r="GF584" i="23916"/>
  <c r="GF585" i="23916" s="1"/>
  <c r="AM637" i="23916"/>
  <c r="AM493" i="23916"/>
  <c r="AM460" i="23916"/>
  <c r="AN452" i="23916"/>
  <c r="GL567" i="23916"/>
  <c r="GN483" i="23916"/>
  <c r="GN482" i="23916"/>
  <c r="GM482" i="23916"/>
  <c r="GL461" i="23916"/>
  <c r="FS33" i="23916"/>
  <c r="FU33" i="23916"/>
  <c r="GL117" i="23916"/>
  <c r="GM113" i="23916"/>
  <c r="CT460" i="23916"/>
  <c r="GC454" i="23916"/>
  <c r="FP416" i="23916"/>
  <c r="FS416" i="23916" s="1"/>
  <c r="FP415" i="23916"/>
  <c r="FP452" i="23916"/>
  <c r="FP451" i="23916"/>
  <c r="FP447" i="23916"/>
  <c r="FP449" i="23916"/>
  <c r="FP450" i="23916"/>
  <c r="FP448" i="23916"/>
  <c r="FP453" i="23916"/>
  <c r="FP446" i="23916"/>
  <c r="FE454" i="23916"/>
  <c r="EA581" i="23916"/>
  <c r="EB493" i="23916"/>
  <c r="EA18" i="23916"/>
  <c r="FY411" i="23916"/>
  <c r="FX413" i="23916"/>
  <c r="FX13" i="23916" s="1"/>
  <c r="GA411" i="23916"/>
  <c r="BX454" i="23916"/>
  <c r="DU539" i="23916"/>
  <c r="DV539" i="23916" s="1"/>
  <c r="DU538" i="23916"/>
  <c r="DV538" i="23916" s="1"/>
  <c r="DU491" i="23916"/>
  <c r="DV491" i="23916" s="1"/>
  <c r="DV438" i="23916"/>
  <c r="DU480" i="23916"/>
  <c r="DV480" i="23916" s="1"/>
  <c r="EJ536" i="23916"/>
  <c r="CM637" i="23916"/>
  <c r="CM493" i="23916"/>
  <c r="CM495" i="23916"/>
  <c r="CN488" i="23916"/>
  <c r="CM460" i="23916"/>
  <c r="CN460" i="23916" s="1"/>
  <c r="CM17" i="23916"/>
  <c r="CN17" i="23916" s="1"/>
  <c r="CN559" i="23916"/>
  <c r="GQ89" i="23916"/>
  <c r="GR89" i="23916"/>
  <c r="GP82" i="23916"/>
  <c r="FZ25" i="23916"/>
  <c r="FY29" i="23916"/>
  <c r="CY581" i="23916"/>
  <c r="CZ493" i="23916"/>
  <c r="CY18" i="23916"/>
  <c r="Y539" i="23916"/>
  <c r="Z539" i="23916" s="1"/>
  <c r="Y538" i="23916"/>
  <c r="Z538" i="23916" s="1"/>
  <c r="Y491" i="23916"/>
  <c r="Z491" i="23916" s="1"/>
  <c r="Z438" i="23916"/>
  <c r="Y480" i="23916"/>
  <c r="Z480" i="23916" s="1"/>
  <c r="ED479" i="23916"/>
  <c r="DR491" i="23916"/>
  <c r="CX460" i="23916"/>
  <c r="EP27" i="23916"/>
  <c r="DB17" i="23916"/>
  <c r="FO308" i="23916"/>
  <c r="CL480" i="23916"/>
  <c r="CL538" i="23916"/>
  <c r="DT479" i="23916"/>
  <c r="DS539" i="23916"/>
  <c r="DT539" i="23916" s="1"/>
  <c r="DS538" i="23916"/>
  <c r="DT538" i="23916" s="1"/>
  <c r="DS491" i="23916"/>
  <c r="DT491" i="23916" s="1"/>
  <c r="DT438" i="23916"/>
  <c r="DS480" i="23916"/>
  <c r="DT480" i="23916" s="1"/>
  <c r="DT537" i="23916"/>
  <c r="CJ443" i="23916"/>
  <c r="CI539" i="23916"/>
  <c r="CJ539" i="23916" s="1"/>
  <c r="CI538" i="23916"/>
  <c r="CI491" i="23916"/>
  <c r="CJ491" i="23916" s="1"/>
  <c r="CJ438" i="23916"/>
  <c r="CI480" i="23916"/>
  <c r="CJ548" i="23916"/>
  <c r="BX479" i="23916"/>
  <c r="CT480" i="23916"/>
  <c r="CT538" i="23916"/>
  <c r="GP273" i="23916"/>
  <c r="GN263" i="23916"/>
  <c r="GO273" i="23916"/>
  <c r="GH539" i="23916"/>
  <c r="GH538" i="23916"/>
  <c r="GH491" i="23916"/>
  <c r="GH480" i="23916"/>
  <c r="CR443" i="23916"/>
  <c r="CQ539" i="23916"/>
  <c r="CR539" i="23916" s="1"/>
  <c r="CQ538" i="23916"/>
  <c r="CR538" i="23916" s="1"/>
  <c r="CQ491" i="23916"/>
  <c r="CR491" i="23916" s="1"/>
  <c r="CR438" i="23916"/>
  <c r="CQ480" i="23916"/>
  <c r="CR480" i="23916" s="1"/>
  <c r="CR537" i="23916"/>
  <c r="EK156" i="23916"/>
  <c r="EL156" i="23916" s="1"/>
  <c r="EL151" i="23916"/>
  <c r="EK394" i="23916"/>
  <c r="EL394" i="23916" s="1"/>
  <c r="GR189" i="23916"/>
  <c r="GQ189" i="23916"/>
  <c r="GP191" i="23916"/>
  <c r="BI637" i="23916"/>
  <c r="BI495" i="23916"/>
  <c r="BI460" i="23916"/>
  <c r="BR460" i="23916" s="1"/>
  <c r="BU581" i="23916"/>
  <c r="BV493" i="23916"/>
  <c r="EJ559" i="23916"/>
  <c r="EI418" i="23916"/>
  <c r="EI19" i="23916"/>
  <c r="GO466" i="23916"/>
  <c r="GN468" i="23916"/>
  <c r="GO468" i="23916" s="1"/>
  <c r="GM149" i="23916"/>
  <c r="CV443" i="23916"/>
  <c r="CU539" i="23916"/>
  <c r="CU538" i="23916"/>
  <c r="CU491" i="23916"/>
  <c r="CV438" i="23916"/>
  <c r="CU480" i="23916"/>
  <c r="CV548" i="23916"/>
  <c r="CB454" i="23916"/>
  <c r="FW451" i="23916"/>
  <c r="FV566" i="23916"/>
  <c r="FW415" i="23916"/>
  <c r="FV584" i="23916"/>
  <c r="FV585" i="23916" s="1"/>
  <c r="DF18" i="23916"/>
  <c r="AN449" i="23916"/>
  <c r="GP385" i="23916"/>
  <c r="GQ385" i="23916" s="1"/>
  <c r="BN443" i="23916"/>
  <c r="BN548" i="23916"/>
  <c r="GJ572" i="23916"/>
  <c r="GJ406" i="23916"/>
  <c r="GK129" i="23916"/>
  <c r="CX539" i="23916"/>
  <c r="AD446" i="23916"/>
  <c r="AL446" i="23916"/>
  <c r="AC454" i="23916"/>
  <c r="AD454" i="23916" s="1"/>
  <c r="AD447" i="23916"/>
  <c r="AD415" i="23916"/>
  <c r="AC580" i="23916"/>
  <c r="AH479" i="23916"/>
  <c r="EQ405" i="23916"/>
  <c r="ER97" i="23916"/>
  <c r="CR454" i="23916"/>
  <c r="AA637" i="23916"/>
  <c r="AA460" i="23916"/>
  <c r="AB460" i="23916" s="1"/>
  <c r="AB488" i="23916"/>
  <c r="DZ17" i="23916"/>
  <c r="FD538" i="23916"/>
  <c r="FE538" i="23916" s="1"/>
  <c r="FD539" i="23916"/>
  <c r="FE539" i="23916" s="1"/>
  <c r="FD491" i="23916"/>
  <c r="FE491" i="23916" s="1"/>
  <c r="FE438" i="23916"/>
  <c r="FD480" i="23916"/>
  <c r="FE480" i="23916" s="1"/>
  <c r="FE559" i="23916"/>
  <c r="EB454" i="23916"/>
  <c r="AO539" i="23916"/>
  <c r="AP539" i="23916" s="1"/>
  <c r="AO538" i="23916"/>
  <c r="AP538" i="23916" s="1"/>
  <c r="AO491" i="23916"/>
  <c r="AP491" i="23916" s="1"/>
  <c r="AP438" i="23916"/>
  <c r="AO480" i="23916"/>
  <c r="AP480" i="23916" s="1"/>
  <c r="GM259" i="23916"/>
  <c r="AQ415" i="23916"/>
  <c r="AR413" i="23916"/>
  <c r="AQ416" i="23916"/>
  <c r="AQ448" i="23916"/>
  <c r="AR448" i="23916" s="1"/>
  <c r="AQ449" i="23916"/>
  <c r="AR449" i="23916" s="1"/>
  <c r="AQ452" i="23916"/>
  <c r="AR452" i="23916" s="1"/>
  <c r="AQ450" i="23916"/>
  <c r="AR450" i="23916" s="1"/>
  <c r="AQ451" i="23916"/>
  <c r="AR451" i="23916" s="1"/>
  <c r="AQ446" i="23916"/>
  <c r="AR446" i="23916" s="1"/>
  <c r="AQ447" i="23916"/>
  <c r="AQ453" i="23916"/>
  <c r="AR453" i="23916" s="1"/>
  <c r="GM521" i="23916"/>
  <c r="BV443" i="23916"/>
  <c r="BG539" i="23916"/>
  <c r="BG538" i="23916"/>
  <c r="BG491" i="23916"/>
  <c r="BG480" i="23916"/>
  <c r="GL203" i="23916"/>
  <c r="GK203" i="23916"/>
  <c r="CZ443" i="23916"/>
  <c r="CY539" i="23916"/>
  <c r="CY538" i="23916"/>
  <c r="CZ538" i="23916" s="1"/>
  <c r="CY491" i="23916"/>
  <c r="CZ491" i="23916" s="1"/>
  <c r="CZ438" i="23916"/>
  <c r="CY480" i="23916"/>
  <c r="CZ480" i="23916" s="1"/>
  <c r="CZ548" i="23916"/>
  <c r="GM272" i="23916"/>
  <c r="GL260" i="23916"/>
  <c r="GM260" i="23916" s="1"/>
  <c r="GN272" i="23916"/>
  <c r="DK637" i="23916"/>
  <c r="DK495" i="23916"/>
  <c r="DL488" i="23916"/>
  <c r="DK460" i="23916"/>
  <c r="DL460" i="23916" s="1"/>
  <c r="DK17" i="23916"/>
  <c r="DL17" i="23916" s="1"/>
  <c r="AU416" i="23916"/>
  <c r="AV413" i="23916"/>
  <c r="AU415" i="23916"/>
  <c r="AU451" i="23916"/>
  <c r="AU449" i="23916"/>
  <c r="AU448" i="23916"/>
  <c r="AU452" i="23916"/>
  <c r="AU447" i="23916"/>
  <c r="AU446" i="23916"/>
  <c r="AU450" i="23916"/>
  <c r="BD413" i="23916"/>
  <c r="AU453" i="23916"/>
  <c r="BW418" i="23916"/>
  <c r="DX479" i="23916"/>
  <c r="DW539" i="23916"/>
  <c r="DW538" i="23916"/>
  <c r="DW491" i="23916"/>
  <c r="DX438" i="23916"/>
  <c r="DW480" i="23916"/>
  <c r="DX537" i="23916"/>
  <c r="GK85" i="23916"/>
  <c r="GJ93" i="23916"/>
  <c r="CC637" i="23916"/>
  <c r="CC495" i="23916"/>
  <c r="CD488" i="23916"/>
  <c r="CC460" i="23916"/>
  <c r="CD460" i="23916" s="1"/>
  <c r="BE539" i="23916"/>
  <c r="BE538" i="23916"/>
  <c r="BE491" i="23916"/>
  <c r="BE480" i="23916"/>
  <c r="GC449" i="23916"/>
  <c r="GT436" i="23916"/>
  <c r="GS436" i="23916"/>
  <c r="DF495" i="23916"/>
  <c r="DE418" i="23916"/>
  <c r="DE19" i="23916"/>
  <c r="AL454" i="23916"/>
  <c r="GM305" i="23916"/>
  <c r="GL308" i="23916"/>
  <c r="GL11" i="23916"/>
  <c r="GM11" i="23916" s="1"/>
  <c r="FB637" i="23916"/>
  <c r="FC488" i="23916"/>
  <c r="FB460" i="23916"/>
  <c r="FC460" i="23916" s="1"/>
  <c r="GO114" i="23916"/>
  <c r="GN115" i="23916"/>
  <c r="GO115" i="23916" s="1"/>
  <c r="FI443" i="23916"/>
  <c r="FI536" i="23916"/>
  <c r="FR454" i="23916"/>
  <c r="FS447" i="23916"/>
  <c r="FS448" i="23916"/>
  <c r="GD454" i="23916"/>
  <c r="GE454" i="23916" s="1"/>
  <c r="GE447" i="23916"/>
  <c r="CA637" i="23916"/>
  <c r="CA495" i="23916"/>
  <c r="CB488" i="23916"/>
  <c r="CA460" i="23916"/>
  <c r="AE454" i="23916"/>
  <c r="AF454" i="23916" s="1"/>
  <c r="AF447" i="23916"/>
  <c r="GG446" i="23916"/>
  <c r="GI446" i="23916"/>
  <c r="GG447" i="23916"/>
  <c r="GF454" i="23916"/>
  <c r="GG454" i="23916" s="1"/>
  <c r="GF589" i="23916"/>
  <c r="GF559" i="23916"/>
  <c r="GF548" i="23916"/>
  <c r="GF536" i="23916"/>
  <c r="GF537" i="23916"/>
  <c r="GF488" i="23916"/>
  <c r="GF417" i="23916"/>
  <c r="GF438" i="23916"/>
  <c r="GI438" i="23916" s="1"/>
  <c r="GG416" i="23916"/>
  <c r="GF479" i="23916"/>
  <c r="GF443" i="23916"/>
  <c r="GF16" i="23916"/>
  <c r="AN453" i="23916"/>
  <c r="EP409" i="23916"/>
  <c r="EP408" i="23916"/>
  <c r="GM483" i="23916"/>
  <c r="GT81" i="23916"/>
  <c r="GS81" i="23916"/>
  <c r="DR495" i="23916"/>
  <c r="DQ418" i="23916"/>
  <c r="DQ19" i="23916"/>
  <c r="FS35" i="23916"/>
  <c r="FU35" i="23916"/>
  <c r="CL460" i="23916"/>
  <c r="BX443" i="23916"/>
  <c r="DD491" i="23916"/>
  <c r="GO236" i="23916"/>
  <c r="GP236" i="23916"/>
  <c r="GN230" i="23916"/>
  <c r="GO230" i="23916" s="1"/>
  <c r="CC581" i="23916"/>
  <c r="CD493" i="23916"/>
  <c r="CL493" i="23916"/>
  <c r="GN613" i="23916"/>
  <c r="GO119" i="23916"/>
  <c r="GP119" i="23916"/>
  <c r="GN120" i="23916"/>
  <c r="GN113" i="23916" s="1"/>
  <c r="GC447" i="23916"/>
  <c r="EA637" i="23916"/>
  <c r="EA495" i="23916"/>
  <c r="EB488" i="23916"/>
  <c r="EA460" i="23916"/>
  <c r="EA17" i="23916"/>
  <c r="DG539" i="23916"/>
  <c r="DH539" i="23916" s="1"/>
  <c r="DG538" i="23916"/>
  <c r="DH538" i="23916" s="1"/>
  <c r="DG491" i="23916"/>
  <c r="DH438" i="23916"/>
  <c r="DG480" i="23916"/>
  <c r="DH480" i="23916" s="1"/>
  <c r="DU637" i="23916"/>
  <c r="DU495" i="23916"/>
  <c r="DV488" i="23916"/>
  <c r="DU460" i="23916"/>
  <c r="DV460" i="23916" s="1"/>
  <c r="DU17" i="23916"/>
  <c r="DV17" i="23916" s="1"/>
  <c r="GT507" i="23916"/>
  <c r="GS507" i="23916"/>
  <c r="CN536" i="23916"/>
  <c r="FO398" i="23916"/>
  <c r="DJ18" i="23916"/>
  <c r="AN451" i="23916"/>
  <c r="ED480" i="23916"/>
  <c r="EC560" i="23916"/>
  <c r="ED560" i="23916" s="1"/>
  <c r="EC557" i="23916"/>
  <c r="ED557" i="23916" s="1"/>
  <c r="EC558" i="23916"/>
  <c r="ED558" i="23916" s="1"/>
  <c r="EE532" i="23916"/>
  <c r="EF532" i="23916" s="1"/>
  <c r="ED529" i="23916"/>
  <c r="EC531" i="23916"/>
  <c r="EE538" i="23916" s="1"/>
  <c r="EF538" i="23916" s="1"/>
  <c r="EC532" i="23916"/>
  <c r="ED532" i="23916" s="1"/>
  <c r="EC522" i="23916"/>
  <c r="EC526" i="23916"/>
  <c r="ED526" i="23916" s="1"/>
  <c r="EC555" i="23916"/>
  <c r="ED555" i="23916" s="1"/>
  <c r="EC554" i="23916"/>
  <c r="ED554" i="23916" s="1"/>
  <c r="EC553" i="23916"/>
  <c r="ED553" i="23916" s="1"/>
  <c r="EC556" i="23916"/>
  <c r="ED556" i="23916" s="1"/>
  <c r="DR480" i="23916"/>
  <c r="DR538" i="23916"/>
  <c r="AX410" i="23916"/>
  <c r="AW411" i="23916"/>
  <c r="BF410" i="23916"/>
  <c r="DB460" i="23916"/>
  <c r="CH495" i="23916"/>
  <c r="CG418" i="23916"/>
  <c r="CG19" i="23916"/>
  <c r="CH19" i="23916" s="1"/>
  <c r="FO410" i="23916"/>
  <c r="FN411" i="23916"/>
  <c r="FQ410" i="23916"/>
  <c r="CL438" i="23916"/>
  <c r="CL539" i="23916"/>
  <c r="DT443" i="23916"/>
  <c r="DS581" i="23916"/>
  <c r="DT493" i="23916"/>
  <c r="DS18" i="23916"/>
  <c r="DT548" i="23916"/>
  <c r="CI637" i="23916"/>
  <c r="CI495" i="23916"/>
  <c r="CJ488" i="23916"/>
  <c r="CI460" i="23916"/>
  <c r="CJ460" i="23916" s="1"/>
  <c r="CI17" i="23916"/>
  <c r="CJ17" i="23916" s="1"/>
  <c r="CJ559" i="23916"/>
  <c r="AH559" i="23916"/>
  <c r="AH538" i="23916"/>
  <c r="CT539" i="23916"/>
  <c r="GI443" i="23916"/>
  <c r="GH637" i="23916"/>
  <c r="GI488" i="23916"/>
  <c r="GH460" i="23916"/>
  <c r="GH17" i="23916"/>
  <c r="GI559" i="23916"/>
  <c r="GC446" i="23916"/>
  <c r="CQ637" i="23916"/>
  <c r="CQ495" i="23916"/>
  <c r="CR488" i="23916"/>
  <c r="CQ460" i="23916"/>
  <c r="CQ17" i="23916"/>
  <c r="CR17" i="23916" s="1"/>
  <c r="U539" i="23916"/>
  <c r="V539" i="23916" s="1"/>
  <c r="U538" i="23916"/>
  <c r="V538" i="23916" s="1"/>
  <c r="U491" i="23916"/>
  <c r="V491" i="23916" s="1"/>
  <c r="V438" i="23916"/>
  <c r="U480" i="23916"/>
  <c r="V480" i="23916" s="1"/>
  <c r="AK539" i="23916"/>
  <c r="AK538" i="23916"/>
  <c r="AK491" i="23916"/>
  <c r="AK480" i="23916"/>
  <c r="GT47" i="23916"/>
  <c r="GS47" i="23916"/>
  <c r="EJ17" i="23916"/>
  <c r="GQ471" i="23916"/>
  <c r="GP466" i="23916"/>
  <c r="GP470" i="23916"/>
  <c r="GQ470" i="23916" s="1"/>
  <c r="GR471" i="23916"/>
  <c r="CU637" i="23916"/>
  <c r="CU495" i="23916"/>
  <c r="DD495" i="23916" s="1"/>
  <c r="CV488" i="23916"/>
  <c r="CU460" i="23916"/>
  <c r="CV460" i="23916" s="1"/>
  <c r="CU17" i="23916"/>
  <c r="CV17" i="23916" s="1"/>
  <c r="CV559" i="23916"/>
  <c r="FW452" i="23916"/>
  <c r="FW453" i="23916"/>
  <c r="GN619" i="23916"/>
  <c r="GN201" i="23916"/>
  <c r="GP200" i="23916"/>
  <c r="GO200" i="23916"/>
  <c r="FG454" i="23916"/>
  <c r="AN447" i="23916"/>
  <c r="BN479" i="23916"/>
  <c r="BM539" i="23916"/>
  <c r="BN539" i="23916" s="1"/>
  <c r="BM538" i="23916"/>
  <c r="BN538" i="23916" s="1"/>
  <c r="BM491" i="23916"/>
  <c r="BN491" i="23916" s="1"/>
  <c r="BN438" i="23916"/>
  <c r="BM480" i="23916"/>
  <c r="BN480" i="23916" s="1"/>
  <c r="BN559" i="23916"/>
  <c r="GT504" i="23916"/>
  <c r="GS504" i="23916"/>
  <c r="DB491" i="23916"/>
  <c r="CH491" i="23916"/>
  <c r="CL537" i="23916"/>
  <c r="AD449" i="23916"/>
  <c r="AL449" i="23916"/>
  <c r="GJ409" i="23916"/>
  <c r="GK280" i="23916"/>
  <c r="BX536" i="23916"/>
  <c r="DZ460" i="23916"/>
  <c r="FE443" i="23916"/>
  <c r="FD637" i="23916"/>
  <c r="FE488" i="23916"/>
  <c r="FD460" i="23916"/>
  <c r="FE460" i="23916" s="1"/>
  <c r="AO637" i="23916"/>
  <c r="AP488" i="23916"/>
  <c r="AO493" i="23916"/>
  <c r="AO460" i="23916"/>
  <c r="AP460" i="23916" s="1"/>
  <c r="GP270" i="23916"/>
  <c r="GO270" i="23916"/>
  <c r="GN259" i="23916"/>
  <c r="BV559" i="23916"/>
  <c r="BV491" i="23916"/>
  <c r="BG637" i="23916"/>
  <c r="BG495" i="23916"/>
  <c r="BG460" i="23916"/>
  <c r="CY637" i="23916"/>
  <c r="CY495" i="23916"/>
  <c r="CZ488" i="23916"/>
  <c r="CY460" i="23916"/>
  <c r="CZ460" i="23916" s="1"/>
  <c r="CY17" i="23916"/>
  <c r="CZ559" i="23916"/>
  <c r="GT188" i="23916"/>
  <c r="GS188" i="23916"/>
  <c r="DO539" i="23916"/>
  <c r="DP539" i="23916" s="1"/>
  <c r="DO538" i="23916"/>
  <c r="DP538" i="23916" s="1"/>
  <c r="DO491" i="23916"/>
  <c r="DP491" i="23916" s="1"/>
  <c r="DP438" i="23916"/>
  <c r="DO480" i="23916"/>
  <c r="DP480" i="23916" s="1"/>
  <c r="GS517" i="23916"/>
  <c r="GT517" i="23916"/>
  <c r="BO539" i="23916"/>
  <c r="BP539" i="23916" s="1"/>
  <c r="BO538" i="23916"/>
  <c r="BP538" i="23916" s="1"/>
  <c r="BO491" i="23916"/>
  <c r="BP491" i="23916" s="1"/>
  <c r="BP438" i="23916"/>
  <c r="BO480" i="23916"/>
  <c r="BP480" i="23916" s="1"/>
  <c r="GT510" i="23916"/>
  <c r="GS510" i="23916"/>
  <c r="AJ415" i="23916"/>
  <c r="AI580" i="23916"/>
  <c r="DN495" i="23916"/>
  <c r="DM418" i="23916"/>
  <c r="DM19" i="23916"/>
  <c r="DN19" i="23916" s="1"/>
  <c r="ED495" i="23916"/>
  <c r="EC418" i="23916"/>
  <c r="EC19" i="23916"/>
  <c r="GP521" i="23916"/>
  <c r="GQ519" i="23916"/>
  <c r="BV454" i="23916"/>
  <c r="BZ495" i="23916"/>
  <c r="BY418" i="23916"/>
  <c r="DK581" i="23916"/>
  <c r="DL493" i="23916"/>
  <c r="DK18" i="23916"/>
  <c r="DL18" i="23916" s="1"/>
  <c r="ED454" i="23916"/>
  <c r="BW581" i="23916"/>
  <c r="BX493" i="23916"/>
  <c r="DX443" i="23916"/>
  <c r="DX548" i="23916"/>
  <c r="DD460" i="23916"/>
  <c r="BE637" i="23916"/>
  <c r="BE495" i="23916"/>
  <c r="BE460" i="23916"/>
  <c r="GB580" i="23916"/>
  <c r="GB493" i="23916"/>
  <c r="GC417" i="23916"/>
  <c r="GC580" i="23916" s="1"/>
  <c r="GC536" i="23916"/>
  <c r="GT110" i="23916"/>
  <c r="GS110" i="23916"/>
  <c r="GC451" i="23916"/>
  <c r="FZ589" i="23916"/>
  <c r="FZ559" i="23916"/>
  <c r="GA559" i="23916" s="1"/>
  <c r="FZ548" i="23916"/>
  <c r="GA548" i="23916" s="1"/>
  <c r="FZ537" i="23916"/>
  <c r="FZ536" i="23916"/>
  <c r="GA536" i="23916" s="1"/>
  <c r="FZ488" i="23916"/>
  <c r="GC488" i="23916" s="1"/>
  <c r="FZ438" i="23916"/>
  <c r="FZ417" i="23916"/>
  <c r="GA416" i="23916"/>
  <c r="FZ443" i="23916"/>
  <c r="GA443" i="23916" s="1"/>
  <c r="FZ479" i="23916"/>
  <c r="GA479" i="23916" s="1"/>
  <c r="GP625" i="23916"/>
  <c r="GP234" i="23916"/>
  <c r="GP227" i="23916" s="1"/>
  <c r="GQ233" i="23916"/>
  <c r="GR233" i="23916"/>
  <c r="CP495" i="23916"/>
  <c r="CO418" i="23916"/>
  <c r="CO19" i="23916"/>
  <c r="CP19" i="23916" s="1"/>
  <c r="FI548" i="23916"/>
  <c r="FU448" i="23916"/>
  <c r="FT566" i="23916"/>
  <c r="FU415" i="23916"/>
  <c r="FT584" i="23916"/>
  <c r="FT585" i="23916" s="1"/>
  <c r="FT580" i="23916"/>
  <c r="FT493" i="23916"/>
  <c r="FR566" i="23916"/>
  <c r="FS415" i="23916"/>
  <c r="FR584" i="23916"/>
  <c r="FR585" i="23916" s="1"/>
  <c r="FR580" i="23916"/>
  <c r="FR493" i="23916"/>
  <c r="FS452" i="23916"/>
  <c r="GD589" i="23916"/>
  <c r="GD559" i="23916"/>
  <c r="GE559" i="23916" s="1"/>
  <c r="GD548" i="23916"/>
  <c r="GE548" i="23916" s="1"/>
  <c r="GD537" i="23916"/>
  <c r="GD536" i="23916"/>
  <c r="GE536" i="23916" s="1"/>
  <c r="GD488" i="23916"/>
  <c r="GD438" i="23916"/>
  <c r="GD417" i="23916"/>
  <c r="GE416" i="23916"/>
  <c r="GD443" i="23916"/>
  <c r="GE443" i="23916" s="1"/>
  <c r="GD479" i="23916"/>
  <c r="GE479" i="23916" s="1"/>
  <c r="GD16" i="23916"/>
  <c r="AF415" i="23916"/>
  <c r="AE580" i="23916"/>
  <c r="GG452" i="23916"/>
  <c r="GI452" i="23916"/>
  <c r="GG450" i="23916"/>
  <c r="GI450" i="23916"/>
  <c r="CP18" i="23916"/>
  <c r="BS539" i="23916"/>
  <c r="BS538" i="23916"/>
  <c r="BS491" i="23916"/>
  <c r="BS480" i="23916"/>
  <c r="DN480" i="23916"/>
  <c r="DN538" i="23916"/>
  <c r="GK461" i="23916"/>
  <c r="DR17" i="23916"/>
  <c r="CL488" i="23916"/>
  <c r="BX559" i="23916"/>
  <c r="BX491" i="23916"/>
  <c r="DD480" i="23916"/>
  <c r="DD538" i="23916"/>
  <c r="CT495" i="23916"/>
  <c r="CS418" i="23916"/>
  <c r="CS19" i="23916"/>
  <c r="GI451" i="23916"/>
  <c r="DG637" i="23916"/>
  <c r="DG495" i="23916"/>
  <c r="DH488" i="23916"/>
  <c r="DG460" i="23916"/>
  <c r="DH460" i="23916" s="1"/>
  <c r="DG17" i="23916"/>
  <c r="DH17" i="23916" s="1"/>
  <c r="CN479" i="23916"/>
  <c r="CN537" i="23916"/>
  <c r="EQ209" i="23916"/>
  <c r="ER205" i="23916"/>
  <c r="EQ206" i="23916"/>
  <c r="ER206" i="23916" s="1"/>
  <c r="EQ8" i="23916"/>
  <c r="ER8" i="23916" s="1"/>
  <c r="BR495" i="23916"/>
  <c r="BQ418" i="23916"/>
  <c r="GO82" i="23916"/>
  <c r="GN149" i="23916"/>
  <c r="FX34" i="23916"/>
  <c r="FY32" i="23916"/>
  <c r="CV454" i="23916"/>
  <c r="Y637" i="23916"/>
  <c r="Z488" i="23916"/>
  <c r="Y460" i="23916"/>
  <c r="Z460" i="23916" s="1"/>
  <c r="AN446" i="23916"/>
  <c r="ED438" i="23916"/>
  <c r="DR539" i="23916"/>
  <c r="CX495" i="23916"/>
  <c r="CW418" i="23916"/>
  <c r="CW19" i="23916"/>
  <c r="EK159" i="23916"/>
  <c r="FN576" i="23916"/>
  <c r="CL443" i="23916"/>
  <c r="DS637" i="23916"/>
  <c r="DS495" i="23916"/>
  <c r="DT488" i="23916"/>
  <c r="DS460" i="23916"/>
  <c r="DT460" i="23916" s="1"/>
  <c r="DS17" i="23916"/>
  <c r="DT17" i="23916" s="1"/>
  <c r="DT559" i="23916"/>
  <c r="CJ536" i="23916"/>
  <c r="AH480" i="23916"/>
  <c r="AH539" i="23916"/>
  <c r="GC415" i="23916"/>
  <c r="GH580" i="23916"/>
  <c r="GH493" i="23916"/>
  <c r="GI417" i="23916"/>
  <c r="GI580" i="23916" s="1"/>
  <c r="GI536" i="23916"/>
  <c r="CQ581" i="23916"/>
  <c r="CR493" i="23916"/>
  <c r="CQ18" i="23916"/>
  <c r="CR559" i="23916"/>
  <c r="GQ518" i="23916"/>
  <c r="GR518" i="23916"/>
  <c r="GR519" i="23916" s="1"/>
  <c r="AK637" i="23916"/>
  <c r="AK493" i="23916"/>
  <c r="AK460" i="23916"/>
  <c r="GO191" i="23916"/>
  <c r="GO302" i="23916"/>
  <c r="GN305" i="23916"/>
  <c r="BU418" i="23916"/>
  <c r="EJ460" i="23916"/>
  <c r="EJ18" i="23916"/>
  <c r="CV536" i="23916"/>
  <c r="FV454" i="23916"/>
  <c r="FW454" i="23916" s="1"/>
  <c r="FW447" i="23916"/>
  <c r="FW448" i="23916"/>
  <c r="FV589" i="23916"/>
  <c r="FV559" i="23916"/>
  <c r="FV548" i="23916"/>
  <c r="FV537" i="23916"/>
  <c r="FV536" i="23916"/>
  <c r="FV488" i="23916"/>
  <c r="FV438" i="23916"/>
  <c r="FV417" i="23916"/>
  <c r="FY416" i="23916"/>
  <c r="FW416" i="23916"/>
  <c r="FV443" i="23916"/>
  <c r="FV479" i="23916"/>
  <c r="EQ408" i="23916"/>
  <c r="ER243" i="23916"/>
  <c r="EQ244" i="23916"/>
  <c r="BT453" i="23916"/>
  <c r="AN454" i="23916"/>
  <c r="DP454" i="23916"/>
  <c r="BM637" i="23916"/>
  <c r="BM495" i="23916"/>
  <c r="BV495" i="23916" s="1"/>
  <c r="BN488" i="23916"/>
  <c r="BM460" i="23916"/>
  <c r="BN460" i="23916" s="1"/>
  <c r="CX491" i="23916"/>
  <c r="EM142" i="23916"/>
  <c r="EN39" i="23916"/>
  <c r="EM45" i="23916"/>
  <c r="EM42" i="23916"/>
  <c r="DB480" i="23916"/>
  <c r="DB538" i="23916"/>
  <c r="BK454" i="23916"/>
  <c r="BL454" i="23916" s="1"/>
  <c r="BL447" i="23916"/>
  <c r="BK559" i="23916"/>
  <c r="BL559" i="23916" s="1"/>
  <c r="BK548" i="23916"/>
  <c r="BL548" i="23916" s="1"/>
  <c r="BK536" i="23916"/>
  <c r="BL536" i="23916" s="1"/>
  <c r="BK488" i="23916"/>
  <c r="BK438" i="23916"/>
  <c r="BT438" i="23916" s="1"/>
  <c r="BL416" i="23916"/>
  <c r="BK417" i="23916"/>
  <c r="BK443" i="23916"/>
  <c r="BL443" i="23916" s="1"/>
  <c r="BK479" i="23916"/>
  <c r="BL479" i="23916" s="1"/>
  <c r="CH480" i="23916"/>
  <c r="CH538" i="23916"/>
  <c r="CL479" i="23916"/>
  <c r="CI581" i="23916"/>
  <c r="CJ493" i="23916"/>
  <c r="CI18" i="23916"/>
  <c r="CJ18" i="23916" s="1"/>
  <c r="AC559" i="23916"/>
  <c r="AD559" i="23916" s="1"/>
  <c r="AC548" i="23916"/>
  <c r="AD548" i="23916" s="1"/>
  <c r="AC536" i="23916"/>
  <c r="AD536" i="23916" s="1"/>
  <c r="AC488" i="23916"/>
  <c r="AC438" i="23916"/>
  <c r="AC418" i="23916"/>
  <c r="AC417" i="23916"/>
  <c r="AC419" i="23916"/>
  <c r="AD416" i="23916"/>
  <c r="AC443" i="23916"/>
  <c r="AD443" i="23916" s="1"/>
  <c r="AC479" i="23916"/>
  <c r="AD479" i="23916" s="1"/>
  <c r="GC450" i="23916"/>
  <c r="AA539" i="23916"/>
  <c r="AB539" i="23916" s="1"/>
  <c r="AA538" i="23916"/>
  <c r="AB538" i="23916" s="1"/>
  <c r="AA491" i="23916"/>
  <c r="AB491" i="23916" s="1"/>
  <c r="AB438" i="23916"/>
  <c r="AA480" i="23916"/>
  <c r="AB480" i="23916" s="1"/>
  <c r="FE479" i="23916"/>
  <c r="FE536" i="23916"/>
  <c r="GJ243" i="23916"/>
  <c r="GJ574" i="23916" s="1"/>
  <c r="GJ240" i="23916"/>
  <c r="GK240" i="23916" s="1"/>
  <c r="GK239" i="23916"/>
  <c r="GJ9" i="23916"/>
  <c r="GK9" i="23916" s="1"/>
  <c r="DG581" i="23916"/>
  <c r="DH493" i="23916"/>
  <c r="DG18" i="23916"/>
  <c r="DH18" i="23916" s="1"/>
  <c r="BV480" i="23916"/>
  <c r="BV538" i="23916"/>
  <c r="EJ548" i="23916"/>
  <c r="BC539" i="23916"/>
  <c r="BC538" i="23916"/>
  <c r="BC491" i="23916"/>
  <c r="BC480" i="23916"/>
  <c r="GR144" i="23916"/>
  <c r="GT41" i="23916"/>
  <c r="GS41" i="23916"/>
  <c r="EO405" i="23916"/>
  <c r="EP97" i="23916"/>
  <c r="CU581" i="23916"/>
  <c r="CV493" i="23916"/>
  <c r="CU18" i="23916"/>
  <c r="CZ536" i="23916"/>
  <c r="AI454" i="23916"/>
  <c r="AJ454" i="23916" s="1"/>
  <c r="AJ447" i="23916"/>
  <c r="FF637" i="23916"/>
  <c r="FG488" i="23916"/>
  <c r="FF460" i="23916"/>
  <c r="FG460" i="23916" s="1"/>
  <c r="BO637" i="23916"/>
  <c r="BO495" i="23916"/>
  <c r="BO460" i="23916"/>
  <c r="BP460" i="23916" s="1"/>
  <c r="BP488" i="23916"/>
  <c r="DJ495" i="23916"/>
  <c r="DI418" i="23916"/>
  <c r="DI19" i="23916"/>
  <c r="ED17" i="23916"/>
  <c r="EE581" i="23916"/>
  <c r="EF493" i="23916"/>
  <c r="EE18" i="23916"/>
  <c r="EF18" i="23916" s="1"/>
  <c r="EE637" i="23916"/>
  <c r="EE495" i="23916"/>
  <c r="EF488" i="23916"/>
  <c r="EE460" i="23916"/>
  <c r="EE17" i="23916"/>
  <c r="EL387" i="23916"/>
  <c r="BX488" i="23916"/>
  <c r="DW637" i="23916"/>
  <c r="DW495" i="23916"/>
  <c r="DX488" i="23916"/>
  <c r="DW460" i="23916"/>
  <c r="DX460" i="23916" s="1"/>
  <c r="DW17" i="23916"/>
  <c r="DX17" i="23916" s="1"/>
  <c r="DX559" i="23916"/>
  <c r="GL90" i="23916"/>
  <c r="GK90" i="23916"/>
  <c r="GC443" i="23916"/>
  <c r="GB538" i="23916"/>
  <c r="GB539" i="23916"/>
  <c r="GB491" i="23916"/>
  <c r="GC438" i="23916"/>
  <c r="GB480" i="23916"/>
  <c r="GC548" i="23916"/>
  <c r="GN202" i="23916"/>
  <c r="GM202" i="23916"/>
  <c r="GL195" i="23916"/>
  <c r="GM195" i="23916" s="1"/>
  <c r="GC448" i="23916"/>
  <c r="GR121" i="23916"/>
  <c r="GQ121" i="23916"/>
  <c r="GP114" i="23916"/>
  <c r="EK395" i="23916"/>
  <c r="EL395" i="23916" s="1"/>
  <c r="EL390" i="23916"/>
  <c r="FH538" i="23916"/>
  <c r="FI538" i="23916" s="1"/>
  <c r="FH539" i="23916"/>
  <c r="FI539" i="23916" s="1"/>
  <c r="FH491" i="23916"/>
  <c r="FI491" i="23916" s="1"/>
  <c r="FI438" i="23916"/>
  <c r="FH480" i="23916"/>
  <c r="FI480" i="23916" s="1"/>
  <c r="FI559" i="23916"/>
  <c r="GT459" i="23916"/>
  <c r="GS459" i="23916"/>
  <c r="FS453" i="23916"/>
  <c r="FS451" i="23916"/>
  <c r="FS449" i="23916"/>
  <c r="CB479" i="23916"/>
  <c r="DB18" i="23916"/>
  <c r="AE559" i="23916"/>
  <c r="AF559" i="23916" s="1"/>
  <c r="AE548" i="23916"/>
  <c r="AF548" i="23916" s="1"/>
  <c r="AE536" i="23916"/>
  <c r="AF536" i="23916" s="1"/>
  <c r="AE488" i="23916"/>
  <c r="AN488" i="23916" s="1"/>
  <c r="AE443" i="23916"/>
  <c r="AF443" i="23916" s="1"/>
  <c r="AE438" i="23916"/>
  <c r="AE417" i="23916"/>
  <c r="AF416" i="23916"/>
  <c r="AE419" i="23916"/>
  <c r="AE418" i="23916"/>
  <c r="AE479" i="23916"/>
  <c r="AF479" i="23916" s="1"/>
  <c r="GG448" i="23916"/>
  <c r="GI448" i="23916"/>
  <c r="BS637" i="23916"/>
  <c r="BS493" i="23916"/>
  <c r="BS495" i="23916"/>
  <c r="BT488" i="23916"/>
  <c r="BS460" i="23916"/>
  <c r="AM539" i="23916"/>
  <c r="AM538" i="23916"/>
  <c r="AM491" i="23916"/>
  <c r="AN438" i="23916"/>
  <c r="AM480" i="23916"/>
  <c r="AN559" i="23916"/>
  <c r="GR385" i="23916"/>
  <c r="GS143" i="23916"/>
  <c r="GT143" i="23916"/>
  <c r="DR460" i="23916"/>
  <c r="GO519" i="23916"/>
  <c r="GN521" i="23916"/>
  <c r="CL559" i="23916"/>
  <c r="CL495" i="23916"/>
  <c r="CK418" i="23916"/>
  <c r="CK19" i="23916"/>
  <c r="CL19" i="23916" s="1"/>
  <c r="AH460" i="23916"/>
  <c r="BX480" i="23916"/>
  <c r="BX538" i="23916"/>
  <c r="DD539" i="23916"/>
  <c r="EK59" i="23916"/>
  <c r="EL55" i="23916"/>
  <c r="EK56" i="23916"/>
  <c r="EL56" i="23916" s="1"/>
  <c r="EA539" i="23916"/>
  <c r="EB539" i="23916" s="1"/>
  <c r="EA538" i="23916"/>
  <c r="EB538" i="23916" s="1"/>
  <c r="EA491" i="23916"/>
  <c r="EB491" i="23916" s="1"/>
  <c r="EB438" i="23916"/>
  <c r="EA480" i="23916"/>
  <c r="EB480" i="23916" s="1"/>
  <c r="GN235" i="23916"/>
  <c r="GM235" i="23916"/>
  <c r="GL228" i="23916"/>
  <c r="DU581" i="23916"/>
  <c r="DV493" i="23916"/>
  <c r="DU18" i="23916"/>
  <c r="DV18" i="23916" s="1"/>
  <c r="EO573" i="23916"/>
  <c r="EO407" i="23916"/>
  <c r="EO210" i="23916"/>
  <c r="EP210" i="23916" s="1"/>
  <c r="EP209" i="23916"/>
  <c r="EJ438" i="23916"/>
  <c r="CN443" i="23916"/>
  <c r="CM539" i="23916"/>
  <c r="CN539" i="23916" s="1"/>
  <c r="CM538" i="23916"/>
  <c r="CN538" i="23916" s="1"/>
  <c r="CM491" i="23916"/>
  <c r="CN491" i="23916" s="1"/>
  <c r="CN438" i="23916"/>
  <c r="CM480" i="23916"/>
  <c r="CN480" i="23916" s="1"/>
  <c r="CN548" i="23916"/>
  <c r="CA581" i="23916"/>
  <c r="CB493" i="23916"/>
  <c r="EH495" i="23916"/>
  <c r="EG418" i="23916"/>
  <c r="EG19" i="23916"/>
  <c r="EC539" i="23916"/>
  <c r="ED539" i="23916" s="1"/>
  <c r="CX17" i="23916"/>
  <c r="EP28" i="23916"/>
  <c r="DB495" i="23916"/>
  <c r="DA418" i="23916"/>
  <c r="DA19" i="23916"/>
  <c r="DB19" i="23916" s="1"/>
  <c r="FK411" i="23916"/>
  <c r="FJ413" i="23916"/>
  <c r="CH460" i="23916"/>
  <c r="CL548" i="23916"/>
  <c r="CL491" i="23916"/>
  <c r="DT536" i="23916"/>
  <c r="CJ479" i="23916"/>
  <c r="CJ537" i="23916"/>
  <c r="BX548" i="23916"/>
  <c r="CT491" i="23916"/>
  <c r="GM263" i="23916"/>
  <c r="GI416" i="23916"/>
  <c r="GI447" i="23916"/>
  <c r="CR479" i="23916"/>
  <c r="DZ18" i="23916"/>
  <c r="CL454" i="23916"/>
  <c r="U637" i="23916"/>
  <c r="V488" i="23916"/>
  <c r="U460" i="23916"/>
  <c r="V460" i="23916" s="1"/>
  <c r="AL479" i="23916"/>
  <c r="AL536" i="23916"/>
  <c r="GP302" i="23916"/>
  <c r="GQ292" i="23916"/>
  <c r="GR292" i="23916"/>
  <c r="CX18" i="23916"/>
  <c r="BI539" i="23916"/>
  <c r="BR539" i="23916" s="1"/>
  <c r="BI538" i="23916"/>
  <c r="BI491" i="23916"/>
  <c r="BI480" i="23916"/>
  <c r="BR480" i="23916" s="1"/>
  <c r="BV460" i="23916"/>
  <c r="EJ488" i="23916"/>
  <c r="EJ493" i="23916"/>
  <c r="GT256" i="23916"/>
  <c r="GS256" i="23916"/>
  <c r="BR559" i="23916"/>
  <c r="BR491" i="23916"/>
  <c r="GN83" i="23916"/>
  <c r="GM83" i="23916"/>
  <c r="GL150" i="23916"/>
  <c r="CV479" i="23916"/>
  <c r="CV537" i="23916"/>
  <c r="FW450" i="23916"/>
  <c r="FW449" i="23916"/>
  <c r="GM201" i="23916"/>
  <c r="GL194" i="23916"/>
  <c r="AS416" i="23916"/>
  <c r="AS415" i="23916"/>
  <c r="AT413" i="23916"/>
  <c r="AS452" i="23916"/>
  <c r="AT452" i="23916" s="1"/>
  <c r="AS449" i="23916"/>
  <c r="AT449" i="23916" s="1"/>
  <c r="AS451" i="23916"/>
  <c r="AT451" i="23916" s="1"/>
  <c r="AS450" i="23916"/>
  <c r="AT450" i="23916" s="1"/>
  <c r="AS448" i="23916"/>
  <c r="AT448" i="23916" s="1"/>
  <c r="AS447" i="23916"/>
  <c r="AS446" i="23916"/>
  <c r="AT446" i="23916" s="1"/>
  <c r="AS453" i="23916"/>
  <c r="AT453" i="23916" s="1"/>
  <c r="GP509" i="23916"/>
  <c r="GQ509" i="23916" s="1"/>
  <c r="GQ508" i="23916"/>
  <c r="BN536" i="23916"/>
  <c r="CX480" i="23916"/>
  <c r="CX538" i="23916"/>
  <c r="DB539" i="23916"/>
  <c r="BK566" i="23916"/>
  <c r="BL415" i="23916"/>
  <c r="BK584" i="23916"/>
  <c r="BK585" i="23916" s="1"/>
  <c r="BK580" i="23916"/>
  <c r="CH539" i="23916"/>
  <c r="GT528" i="23916"/>
  <c r="GS528" i="23916"/>
  <c r="AH548" i="23916"/>
  <c r="GI453" i="23916"/>
  <c r="DZ495" i="23916"/>
  <c r="DY418" i="23916"/>
  <c r="DY19" i="23916"/>
  <c r="DZ19" i="23916" s="1"/>
  <c r="FE548" i="23916"/>
  <c r="AY413" i="23916"/>
  <c r="AZ411" i="23916"/>
  <c r="BH411" i="23916"/>
  <c r="BV438" i="23916"/>
  <c r="BV539" i="23916"/>
  <c r="BR548" i="23916"/>
  <c r="BC637" i="23916"/>
  <c r="BC495" i="23916"/>
  <c r="BC460" i="23916"/>
  <c r="GP386" i="23916"/>
  <c r="GQ386" i="23916" s="1"/>
  <c r="GQ144" i="23916"/>
  <c r="CZ479" i="23916"/>
  <c r="CZ537" i="23916"/>
  <c r="FU446" i="23916"/>
  <c r="EK398" i="23916" l="1"/>
  <c r="EL398" i="23916" s="1"/>
  <c r="GS519" i="23916"/>
  <c r="GT519" i="23916"/>
  <c r="GR521" i="23916"/>
  <c r="DY419" i="23916"/>
  <c r="DY440" i="23916"/>
  <c r="DY475" i="23916" s="1"/>
  <c r="AS454" i="23916"/>
  <c r="AT454" i="23916" s="1"/>
  <c r="AT447" i="23916"/>
  <c r="AS559" i="23916"/>
  <c r="AT559" i="23916" s="1"/>
  <c r="AS548" i="23916"/>
  <c r="AT548" i="23916" s="1"/>
  <c r="AS536" i="23916"/>
  <c r="AT536" i="23916" s="1"/>
  <c r="AS488" i="23916"/>
  <c r="AS438" i="23916"/>
  <c r="AS417" i="23916"/>
  <c r="AT416" i="23916"/>
  <c r="AS443" i="23916"/>
  <c r="AT443" i="23916" s="1"/>
  <c r="AS479" i="23916"/>
  <c r="AT479" i="23916" s="1"/>
  <c r="GM194" i="23916"/>
  <c r="GP83" i="23916"/>
  <c r="GO83" i="23916"/>
  <c r="GN150" i="23916"/>
  <c r="GQ302" i="23916"/>
  <c r="GP305" i="23916"/>
  <c r="EH19" i="23916"/>
  <c r="EP407" i="23916"/>
  <c r="EK571" i="23916"/>
  <c r="EK575" i="23916" s="1"/>
  <c r="EK404" i="23916"/>
  <c r="EL59" i="23916"/>
  <c r="BS581" i="23916"/>
  <c r="BT493" i="23916"/>
  <c r="GN90" i="23916"/>
  <c r="GL84" i="23916"/>
  <c r="GM90" i="23916"/>
  <c r="DI419" i="23916"/>
  <c r="DI440" i="23916"/>
  <c r="DI475" i="23916" s="1"/>
  <c r="BP495" i="23916"/>
  <c r="BO418" i="23916"/>
  <c r="EP405" i="23916"/>
  <c r="EN42" i="23916"/>
  <c r="EM48" i="23916"/>
  <c r="FW443" i="23916"/>
  <c r="FY443" i="23916"/>
  <c r="FV539" i="23916"/>
  <c r="FV538" i="23916"/>
  <c r="FV491" i="23916"/>
  <c r="FW438" i="23916"/>
  <c r="FV480" i="23916"/>
  <c r="FY438" i="23916"/>
  <c r="FW548" i="23916"/>
  <c r="FY548" i="23916"/>
  <c r="CR18" i="23916"/>
  <c r="CX19" i="23916"/>
  <c r="EQ573" i="23916"/>
  <c r="EQ407" i="23916"/>
  <c r="EQ210" i="23916"/>
  <c r="ER210" i="23916" s="1"/>
  <c r="ER209" i="23916"/>
  <c r="AN548" i="23916"/>
  <c r="CO419" i="23916"/>
  <c r="CO440" i="23916"/>
  <c r="CO475" i="23916" s="1"/>
  <c r="GQ227" i="23916"/>
  <c r="GB581" i="23916"/>
  <c r="GB18" i="23916"/>
  <c r="BE418" i="23916"/>
  <c r="DM419" i="23916"/>
  <c r="DM440" i="23916"/>
  <c r="DM475" i="23916" s="1"/>
  <c r="AL559" i="23916"/>
  <c r="CR460" i="23916"/>
  <c r="ED522" i="23916"/>
  <c r="EC523" i="23916"/>
  <c r="ED523" i="23916" s="1"/>
  <c r="EJ538" i="23916"/>
  <c r="EB495" i="23916"/>
  <c r="EA418" i="23916"/>
  <c r="EA19" i="23916"/>
  <c r="GP613" i="23916"/>
  <c r="GR119" i="23916"/>
  <c r="GP120" i="23916"/>
  <c r="GP113" i="23916" s="1"/>
  <c r="GQ119" i="23916"/>
  <c r="AN479" i="23916"/>
  <c r="GG443" i="23916"/>
  <c r="GF580" i="23916"/>
  <c r="GF493" i="23916"/>
  <c r="GG417" i="23916"/>
  <c r="GG580" i="23916" s="1"/>
  <c r="GG548" i="23916"/>
  <c r="CD495" i="23916"/>
  <c r="CC418" i="23916"/>
  <c r="AV452" i="23916"/>
  <c r="BD452" i="23916"/>
  <c r="AV415" i="23916"/>
  <c r="AU580" i="23916"/>
  <c r="BD415" i="23916"/>
  <c r="AU584" i="23916"/>
  <c r="AU585" i="23916" s="1"/>
  <c r="GN260" i="23916"/>
  <c r="GO260" i="23916" s="1"/>
  <c r="GP272" i="23916"/>
  <c r="GO272" i="23916"/>
  <c r="GL197" i="23916"/>
  <c r="GN203" i="23916"/>
  <c r="GM203" i="23916"/>
  <c r="AR415" i="23916"/>
  <c r="AQ584" i="23916"/>
  <c r="AQ580" i="23916"/>
  <c r="CV491" i="23916"/>
  <c r="EI419" i="23916"/>
  <c r="EI440" i="23916"/>
  <c r="EI475" i="23916" s="1"/>
  <c r="AL548" i="23916"/>
  <c r="GR273" i="23916"/>
  <c r="GP263" i="23916"/>
  <c r="GQ273" i="23916"/>
  <c r="AH491" i="23916"/>
  <c r="CZ18" i="23916"/>
  <c r="FZ29" i="23916"/>
  <c r="GA25" i="23916"/>
  <c r="FZ32" i="23916"/>
  <c r="FZ36" i="23916"/>
  <c r="GA36" i="23916" s="1"/>
  <c r="EJ491" i="23916"/>
  <c r="BX539" i="23916"/>
  <c r="CB539" i="23916"/>
  <c r="FR637" i="23916"/>
  <c r="FR5" i="23916" s="1"/>
  <c r="FR460" i="23916"/>
  <c r="FU479" i="23916"/>
  <c r="FT538" i="23916"/>
  <c r="FT539" i="23916"/>
  <c r="FT491" i="23916"/>
  <c r="FU438" i="23916"/>
  <c r="FT480" i="23916"/>
  <c r="FT475" i="23916"/>
  <c r="FU548" i="23916"/>
  <c r="FU454" i="23916"/>
  <c r="EF480" i="23916"/>
  <c r="FG491" i="23916"/>
  <c r="BA416" i="23916"/>
  <c r="BB413" i="23916"/>
  <c r="BA415" i="23916"/>
  <c r="BA452" i="23916"/>
  <c r="BA451" i="23916"/>
  <c r="BA449" i="23916"/>
  <c r="BA448" i="23916"/>
  <c r="BA450" i="23916"/>
  <c r="BA446" i="23916"/>
  <c r="BA447" i="23916"/>
  <c r="BJ413" i="23916"/>
  <c r="BA453" i="23916"/>
  <c r="CF495" i="23916"/>
  <c r="CE418" i="23916"/>
  <c r="EO39" i="23916"/>
  <c r="EP30" i="23916"/>
  <c r="BC418" i="23916"/>
  <c r="FK413" i="23916"/>
  <c r="FJ416" i="23916"/>
  <c r="FJ415" i="23916"/>
  <c r="FJ450" i="23916"/>
  <c r="FK450" i="23916" s="1"/>
  <c r="FJ449" i="23916"/>
  <c r="FK449" i="23916" s="1"/>
  <c r="FJ452" i="23916"/>
  <c r="FK452" i="23916" s="1"/>
  <c r="FJ448" i="23916"/>
  <c r="FK448" i="23916" s="1"/>
  <c r="FJ447" i="23916"/>
  <c r="FJ451" i="23916"/>
  <c r="FK451" i="23916" s="1"/>
  <c r="FJ446" i="23916"/>
  <c r="FK446" i="23916" s="1"/>
  <c r="FJ453" i="23916"/>
  <c r="FK453" i="23916" s="1"/>
  <c r="EG419" i="23916"/>
  <c r="EG440" i="23916"/>
  <c r="EG475" i="23916" s="1"/>
  <c r="GM228" i="23916"/>
  <c r="GL229" i="23916"/>
  <c r="GM229" i="23916" s="1"/>
  <c r="GL231" i="23916"/>
  <c r="GO521" i="23916"/>
  <c r="AE539" i="23916"/>
  <c r="AF539" i="23916" s="1"/>
  <c r="AE538" i="23916"/>
  <c r="AF538" i="23916" s="1"/>
  <c r="AE491" i="23916"/>
  <c r="AF491" i="23916" s="1"/>
  <c r="AF438" i="23916"/>
  <c r="AE480" i="23916"/>
  <c r="AF480" i="23916" s="1"/>
  <c r="GP115" i="23916"/>
  <c r="GQ115" i="23916" s="1"/>
  <c r="GQ114" i="23916"/>
  <c r="GO202" i="23916"/>
  <c r="GP202" i="23916"/>
  <c r="GN195" i="23916"/>
  <c r="GO195" i="23916" s="1"/>
  <c r="DX495" i="23916"/>
  <c r="DW418" i="23916"/>
  <c r="DW19" i="23916"/>
  <c r="EF495" i="23916"/>
  <c r="EE418" i="23916"/>
  <c r="EE19" i="23916"/>
  <c r="EF19" i="23916" s="1"/>
  <c r="EM148" i="23916"/>
  <c r="EM49" i="23916"/>
  <c r="EN49" i="23916" s="1"/>
  <c r="EN45" i="23916"/>
  <c r="FV637" i="23916"/>
  <c r="FW488" i="23916"/>
  <c r="FV493" i="23916"/>
  <c r="FV460" i="23916"/>
  <c r="FV17" i="23916"/>
  <c r="FY488" i="23916"/>
  <c r="FW559" i="23916"/>
  <c r="FY559" i="23916"/>
  <c r="BU419" i="23916"/>
  <c r="BU440" i="23916"/>
  <c r="BU475" i="23916" s="1"/>
  <c r="GO305" i="23916"/>
  <c r="GN308" i="23916"/>
  <c r="GN11" i="23916"/>
  <c r="GO11" i="23916" s="1"/>
  <c r="GS518" i="23916"/>
  <c r="GT518" i="23916"/>
  <c r="GH581" i="23916"/>
  <c r="GI493" i="23916"/>
  <c r="GH18" i="23916"/>
  <c r="CW419" i="23916"/>
  <c r="CW440" i="23916"/>
  <c r="CW475" i="23916" s="1"/>
  <c r="GO149" i="23916"/>
  <c r="AN443" i="23916"/>
  <c r="BT443" i="23916"/>
  <c r="GD580" i="23916"/>
  <c r="GD493" i="23916"/>
  <c r="GE417" i="23916"/>
  <c r="GE580" i="23916" s="1"/>
  <c r="FZ580" i="23916"/>
  <c r="FZ493" i="23916"/>
  <c r="GC493" i="23916" s="1"/>
  <c r="GA417" i="23916"/>
  <c r="GA580" i="23916" s="1"/>
  <c r="EC419" i="23916"/>
  <c r="EC440" i="23916"/>
  <c r="EC475" i="23916" s="1"/>
  <c r="CZ495" i="23916"/>
  <c r="CY418" i="23916"/>
  <c r="CY19" i="23916"/>
  <c r="GR270" i="23916"/>
  <c r="GQ270" i="23916"/>
  <c r="GP259" i="23916"/>
  <c r="GQ466" i="23916"/>
  <c r="GP468" i="23916"/>
  <c r="GQ468" i="23916" s="1"/>
  <c r="FN413" i="23916"/>
  <c r="FQ411" i="23916"/>
  <c r="CG419" i="23916"/>
  <c r="CG440" i="23916"/>
  <c r="CG475" i="23916" s="1"/>
  <c r="AW413" i="23916"/>
  <c r="AX411" i="23916"/>
  <c r="BF411" i="23916"/>
  <c r="EJ480" i="23916"/>
  <c r="DV495" i="23916"/>
  <c r="DU418" i="23916"/>
  <c r="DU19" i="23916"/>
  <c r="DV19" i="23916" s="1"/>
  <c r="EB17" i="23916"/>
  <c r="BT548" i="23916"/>
  <c r="GG479" i="23916"/>
  <c r="GF637" i="23916"/>
  <c r="GG488" i="23916"/>
  <c r="GF17" i="23916"/>
  <c r="GF460" i="23916"/>
  <c r="GG559" i="23916"/>
  <c r="CB460" i="23916"/>
  <c r="DF19" i="23916"/>
  <c r="DX491" i="23916"/>
  <c r="BW419" i="23916"/>
  <c r="BW440" i="23916"/>
  <c r="BW475" i="23916" s="1"/>
  <c r="AV450" i="23916"/>
  <c r="BD450" i="23916"/>
  <c r="AV448" i="23916"/>
  <c r="BD448" i="23916"/>
  <c r="CZ539" i="23916"/>
  <c r="GL264" i="23916"/>
  <c r="ER405" i="23916"/>
  <c r="DD18" i="23916"/>
  <c r="CV480" i="23916"/>
  <c r="CV538" i="23916"/>
  <c r="EJ495" i="23916"/>
  <c r="GQ191" i="23916"/>
  <c r="AL443" i="23916"/>
  <c r="GI454" i="23916"/>
  <c r="GI479" i="23916"/>
  <c r="GQ82" i="23916"/>
  <c r="GP149" i="23916"/>
  <c r="CN495" i="23916"/>
  <c r="CM418" i="23916"/>
  <c r="CM19" i="23916"/>
  <c r="CN19" i="23916" s="1"/>
  <c r="EB18" i="23916"/>
  <c r="GN567" i="23916"/>
  <c r="GP483" i="23916"/>
  <c r="GP482" i="23916"/>
  <c r="GO482" i="23916"/>
  <c r="GN461" i="23916"/>
  <c r="BT536" i="23916"/>
  <c r="FT637" i="23916"/>
  <c r="FU488" i="23916"/>
  <c r="FT460" i="23916"/>
  <c r="FU460" i="23916" s="1"/>
  <c r="DC419" i="23916"/>
  <c r="DC440" i="23916"/>
  <c r="DC475" i="23916" s="1"/>
  <c r="BX460" i="23916"/>
  <c r="GL484" i="23916"/>
  <c r="GK484" i="23916"/>
  <c r="EF539" i="23916"/>
  <c r="FG538" i="23916"/>
  <c r="ER409" i="23916"/>
  <c r="FP536" i="23916"/>
  <c r="FS536" i="23916" s="1"/>
  <c r="DP495" i="23916"/>
  <c r="DO418" i="23916"/>
  <c r="DO19" i="23916"/>
  <c r="AZ413" i="23916"/>
  <c r="AY416" i="23916"/>
  <c r="AY415" i="23916"/>
  <c r="AY448" i="23916"/>
  <c r="AY452" i="23916"/>
  <c r="AY449" i="23916"/>
  <c r="AY451" i="23916"/>
  <c r="AY450" i="23916"/>
  <c r="AY447" i="23916"/>
  <c r="AY446" i="23916"/>
  <c r="BH413" i="23916"/>
  <c r="AY453" i="23916"/>
  <c r="AT415" i="23916"/>
  <c r="AS584" i="23916"/>
  <c r="AS585" i="23916" s="1"/>
  <c r="AS580" i="23916"/>
  <c r="GL392" i="23916"/>
  <c r="GM392" i="23916" s="1"/>
  <c r="GM150" i="23916"/>
  <c r="GS292" i="23916"/>
  <c r="GR302" i="23916"/>
  <c r="GT292" i="23916"/>
  <c r="DA419" i="23916"/>
  <c r="DA440" i="23916"/>
  <c r="DA475" i="23916" s="1"/>
  <c r="CK419" i="23916"/>
  <c r="CK440" i="23916"/>
  <c r="CK475" i="23916" s="1"/>
  <c r="GT385" i="23916"/>
  <c r="GS385" i="23916"/>
  <c r="AN491" i="23916"/>
  <c r="EF17" i="23916"/>
  <c r="AC539" i="23916"/>
  <c r="AD539" i="23916" s="1"/>
  <c r="AC538" i="23916"/>
  <c r="AD538" i="23916" s="1"/>
  <c r="AC491" i="23916"/>
  <c r="AD491" i="23916" s="1"/>
  <c r="AD438" i="23916"/>
  <c r="AC480" i="23916"/>
  <c r="AD480" i="23916" s="1"/>
  <c r="BK539" i="23916"/>
  <c r="BL539" i="23916" s="1"/>
  <c r="BK538" i="23916"/>
  <c r="BL538" i="23916" s="1"/>
  <c r="BK491" i="23916"/>
  <c r="BL491" i="23916" s="1"/>
  <c r="BL438" i="23916"/>
  <c r="BK480" i="23916"/>
  <c r="BL480" i="23916" s="1"/>
  <c r="ER408" i="23916"/>
  <c r="FW536" i="23916"/>
  <c r="FY536" i="23916"/>
  <c r="AK581" i="23916"/>
  <c r="AL493" i="23916"/>
  <c r="CT19" i="23916"/>
  <c r="BT559" i="23916"/>
  <c r="BT491" i="23916"/>
  <c r="GD539" i="23916"/>
  <c r="GE539" i="23916" s="1"/>
  <c r="GD538" i="23916"/>
  <c r="GE538" i="23916" s="1"/>
  <c r="GD491" i="23916"/>
  <c r="GE491" i="23916" s="1"/>
  <c r="GE438" i="23916"/>
  <c r="GD480" i="23916"/>
  <c r="GE480" i="23916" s="1"/>
  <c r="FR581" i="23916"/>
  <c r="GR625" i="23916"/>
  <c r="GR234" i="23916"/>
  <c r="GR227" i="23916" s="1"/>
  <c r="GS233" i="23916"/>
  <c r="GT233" i="23916"/>
  <c r="FZ539" i="23916"/>
  <c r="GA539" i="23916" s="1"/>
  <c r="FZ538" i="23916"/>
  <c r="GA538" i="23916" s="1"/>
  <c r="FZ491" i="23916"/>
  <c r="GA491" i="23916" s="1"/>
  <c r="GA438" i="23916"/>
  <c r="FZ480" i="23916"/>
  <c r="GA480" i="23916" s="1"/>
  <c r="CZ17" i="23916"/>
  <c r="GK409" i="23916"/>
  <c r="ED18" i="23916"/>
  <c r="GP619" i="23916"/>
  <c r="GR200" i="23916"/>
  <c r="GQ200" i="23916"/>
  <c r="GP201" i="23916"/>
  <c r="AL438" i="23916"/>
  <c r="CR495" i="23916"/>
  <c r="CQ418" i="23916"/>
  <c r="CQ19" i="23916"/>
  <c r="DT18" i="23916"/>
  <c r="EC549" i="23916"/>
  <c r="ED549" i="23916" s="1"/>
  <c r="EC546" i="23916"/>
  <c r="ED546" i="23916" s="1"/>
  <c r="EC547" i="23916"/>
  <c r="ED547" i="23916" s="1"/>
  <c r="EC533" i="23916"/>
  <c r="ED533" i="23916" s="1"/>
  <c r="ED531" i="23916"/>
  <c r="EC543" i="23916"/>
  <c r="ED543" i="23916" s="1"/>
  <c r="EC542" i="23916"/>
  <c r="ED542" i="23916" s="1"/>
  <c r="EC514" i="23916"/>
  <c r="EC544" i="23916"/>
  <c r="ED544" i="23916" s="1"/>
  <c r="EE533" i="23916"/>
  <c r="EF533" i="23916" s="1"/>
  <c r="EC545" i="23916"/>
  <c r="ED545" i="23916" s="1"/>
  <c r="EC537" i="23916"/>
  <c r="ED537" i="23916" s="1"/>
  <c r="EC536" i="23916"/>
  <c r="ED536" i="23916" s="1"/>
  <c r="EC538" i="23916"/>
  <c r="ED538" i="23916" s="1"/>
  <c r="EE537" i="23916"/>
  <c r="EF537" i="23916" s="1"/>
  <c r="EE536" i="23916"/>
  <c r="EF536" i="23916" s="1"/>
  <c r="BT454" i="23916"/>
  <c r="DH491" i="23916"/>
  <c r="EB460" i="23916"/>
  <c r="DR19" i="23916"/>
  <c r="BT479" i="23916"/>
  <c r="GL410" i="23916"/>
  <c r="GM308" i="23916"/>
  <c r="DE419" i="23916"/>
  <c r="DE440" i="23916"/>
  <c r="DE475" i="23916" s="1"/>
  <c r="DD17" i="23916"/>
  <c r="DX480" i="23916"/>
  <c r="DX538" i="23916"/>
  <c r="BX495" i="23916"/>
  <c r="AV446" i="23916"/>
  <c r="BD446" i="23916"/>
  <c r="AV449" i="23916"/>
  <c r="BD449" i="23916"/>
  <c r="AU559" i="23916"/>
  <c r="AU548" i="23916"/>
  <c r="AU536" i="23916"/>
  <c r="AU488" i="23916"/>
  <c r="AU438" i="23916"/>
  <c r="AV416" i="23916"/>
  <c r="AU417" i="23916"/>
  <c r="AU443" i="23916"/>
  <c r="AU479" i="23916"/>
  <c r="BD416" i="23916"/>
  <c r="DL495" i="23916"/>
  <c r="DK418" i="23916"/>
  <c r="DK19" i="23916"/>
  <c r="DL19" i="23916" s="1"/>
  <c r="AQ559" i="23916"/>
  <c r="AR559" i="23916" s="1"/>
  <c r="AQ548" i="23916"/>
  <c r="AR548" i="23916" s="1"/>
  <c r="AQ536" i="23916"/>
  <c r="AR536" i="23916" s="1"/>
  <c r="AQ488" i="23916"/>
  <c r="AQ438" i="23916"/>
  <c r="AQ418" i="23916"/>
  <c r="AQ419" i="23916" s="1"/>
  <c r="AQ417" i="23916"/>
  <c r="AR416" i="23916"/>
  <c r="AQ443" i="23916"/>
  <c r="AR443" i="23916" s="1"/>
  <c r="AQ479" i="23916"/>
  <c r="AR479" i="23916" s="1"/>
  <c r="CV539" i="23916"/>
  <c r="GL391" i="23916"/>
  <c r="GM391" i="23916" s="1"/>
  <c r="GI548" i="23916"/>
  <c r="CJ480" i="23916"/>
  <c r="CJ538" i="23916"/>
  <c r="ED491" i="23916"/>
  <c r="GT89" i="23916"/>
  <c r="GS89" i="23916"/>
  <c r="GR82" i="23916"/>
  <c r="CM581" i="23916"/>
  <c r="CN493" i="23916"/>
  <c r="CM18" i="23916"/>
  <c r="CN18" i="23916" s="1"/>
  <c r="FY413" i="23916"/>
  <c r="FX414" i="23916"/>
  <c r="FX450" i="23916"/>
  <c r="FX451" i="23916"/>
  <c r="FX449" i="23916"/>
  <c r="FX448" i="23916"/>
  <c r="FX453" i="23916"/>
  <c r="FX452" i="23916"/>
  <c r="GA413" i="23916"/>
  <c r="FX447" i="23916"/>
  <c r="FP454" i="23916"/>
  <c r="FP566" i="23916"/>
  <c r="FP584" i="23916"/>
  <c r="FP585" i="23916" s="1"/>
  <c r="FP580" i="23916"/>
  <c r="GO483" i="23916"/>
  <c r="FX446" i="23916"/>
  <c r="CB491" i="23916"/>
  <c r="GS122" i="23916"/>
  <c r="GT122" i="23916"/>
  <c r="GR116" i="23916"/>
  <c r="FS450" i="23916"/>
  <c r="FI460" i="23916"/>
  <c r="GJ209" i="23916"/>
  <c r="GJ206" i="23916"/>
  <c r="GK206" i="23916" s="1"/>
  <c r="GK205" i="23916"/>
  <c r="GJ8" i="23916"/>
  <c r="GK8" i="23916" s="1"/>
  <c r="GC559" i="23916"/>
  <c r="DX18" i="23916"/>
  <c r="FM410" i="23916"/>
  <c r="FL411" i="23916"/>
  <c r="FO411" i="23916" s="1"/>
  <c r="ED460" i="23916"/>
  <c r="FG480" i="23916"/>
  <c r="FG539" i="23916"/>
  <c r="AI539" i="23916"/>
  <c r="AJ539" i="23916" s="1"/>
  <c r="AI538" i="23916"/>
  <c r="AJ538" i="23916" s="1"/>
  <c r="AI491" i="23916"/>
  <c r="AJ491" i="23916" s="1"/>
  <c r="AJ438" i="23916"/>
  <c r="AI480" i="23916"/>
  <c r="AJ480" i="23916" s="1"/>
  <c r="DP17" i="23916"/>
  <c r="EQ29" i="23916"/>
  <c r="ER25" i="23916"/>
  <c r="EQ28" i="23916"/>
  <c r="EQ27" i="23916"/>
  <c r="GP235" i="23916"/>
  <c r="GO235" i="23916"/>
  <c r="GN228" i="23916"/>
  <c r="AN538" i="23916"/>
  <c r="BS418" i="23916"/>
  <c r="AE637" i="23916"/>
  <c r="AE493" i="23916"/>
  <c r="AE581" i="23916" s="1"/>
  <c r="AF488" i="23916"/>
  <c r="AE460" i="23916"/>
  <c r="AF460" i="23916" s="1"/>
  <c r="GT121" i="23916"/>
  <c r="GS121" i="23916"/>
  <c r="GR114" i="23916"/>
  <c r="GC480" i="23916"/>
  <c r="GC539" i="23916"/>
  <c r="EF460" i="23916"/>
  <c r="DJ19" i="23916"/>
  <c r="GR386" i="23916"/>
  <c r="GT144" i="23916"/>
  <c r="GS144" i="23916"/>
  <c r="GJ408" i="23916"/>
  <c r="GK243" i="23916"/>
  <c r="AC637" i="23916"/>
  <c r="AD488" i="23916"/>
  <c r="AC493" i="23916"/>
  <c r="AC581" i="23916" s="1"/>
  <c r="AC460" i="23916"/>
  <c r="AD460" i="23916" s="1"/>
  <c r="BK637" i="23916"/>
  <c r="BK495" i="23916"/>
  <c r="BT495" i="23916" s="1"/>
  <c r="BL488" i="23916"/>
  <c r="BK460" i="23916"/>
  <c r="BL460" i="23916" s="1"/>
  <c r="EM384" i="23916"/>
  <c r="EM145" i="23916"/>
  <c r="EN142" i="23916"/>
  <c r="EM155" i="23916"/>
  <c r="EN155" i="23916" s="1"/>
  <c r="BN495" i="23916"/>
  <c r="BM418" i="23916"/>
  <c r="FW479" i="23916"/>
  <c r="FY479" i="23916"/>
  <c r="AL488" i="23916"/>
  <c r="DT495" i="23916"/>
  <c r="DS418" i="23916"/>
  <c r="DS19" i="23916"/>
  <c r="DT19" i="23916" s="1"/>
  <c r="EL159" i="23916"/>
  <c r="EK163" i="23916"/>
  <c r="EK160" i="23916"/>
  <c r="EL160" i="23916" s="1"/>
  <c r="EK7" i="23916"/>
  <c r="FX35" i="23916"/>
  <c r="FY35" i="23916" s="1"/>
  <c r="FX33" i="23916"/>
  <c r="FY33" i="23916" s="1"/>
  <c r="FY34" i="23916"/>
  <c r="BQ419" i="23916"/>
  <c r="BQ440" i="23916"/>
  <c r="BQ475" i="23916" s="1"/>
  <c r="EJ539" i="23916"/>
  <c r="DH495" i="23916"/>
  <c r="DG418" i="23916"/>
  <c r="DG19" i="23916"/>
  <c r="DH19" i="23916" s="1"/>
  <c r="CS419" i="23916"/>
  <c r="CS440" i="23916"/>
  <c r="CS475" i="23916" s="1"/>
  <c r="BT480" i="23916"/>
  <c r="BT538" i="23916"/>
  <c r="GD637" i="23916"/>
  <c r="GE488" i="23916"/>
  <c r="GD460" i="23916"/>
  <c r="GE460" i="23916" s="1"/>
  <c r="GD17" i="23916"/>
  <c r="GE17" i="23916" s="1"/>
  <c r="FT581" i="23916"/>
  <c r="FU493" i="23916"/>
  <c r="FZ637" i="23916"/>
  <c r="GA488" i="23916"/>
  <c r="FZ460" i="23916"/>
  <c r="GA460" i="23916" s="1"/>
  <c r="FZ17" i="23916"/>
  <c r="GA17" i="23916" s="1"/>
  <c r="BY419" i="23916"/>
  <c r="BY440" i="23916"/>
  <c r="BY475" i="23916" s="1"/>
  <c r="GQ521" i="23916"/>
  <c r="BG418" i="23916"/>
  <c r="GO259" i="23916"/>
  <c r="GN264" i="23916"/>
  <c r="AO581" i="23916"/>
  <c r="AP493" i="23916"/>
  <c r="GO201" i="23916"/>
  <c r="GN194" i="23916"/>
  <c r="CV495" i="23916"/>
  <c r="CU418" i="23916"/>
  <c r="CU19" i="23916"/>
  <c r="CV19" i="23916" s="1"/>
  <c r="GT471" i="23916"/>
  <c r="GS471" i="23916"/>
  <c r="GR466" i="23916"/>
  <c r="GR470" i="23916"/>
  <c r="AL491" i="23916"/>
  <c r="GI17" i="23916"/>
  <c r="CJ495" i="23916"/>
  <c r="CI418" i="23916"/>
  <c r="CI19" i="23916"/>
  <c r="CJ19" i="23916" s="1"/>
  <c r="GO113" i="23916"/>
  <c r="GN117" i="23916"/>
  <c r="GQ236" i="23916"/>
  <c r="GR236" i="23916"/>
  <c r="GP230" i="23916"/>
  <c r="GQ230" i="23916" s="1"/>
  <c r="DQ419" i="23916"/>
  <c r="DQ440" i="23916"/>
  <c r="DQ475" i="23916" s="1"/>
  <c r="AN536" i="23916"/>
  <c r="GF538" i="23916"/>
  <c r="GG538" i="23916" s="1"/>
  <c r="GF539" i="23916"/>
  <c r="GG539" i="23916" s="1"/>
  <c r="GF491" i="23916"/>
  <c r="GG491" i="23916" s="1"/>
  <c r="GG438" i="23916"/>
  <c r="GF480" i="23916"/>
  <c r="GG480" i="23916" s="1"/>
  <c r="GG536" i="23916"/>
  <c r="CB495" i="23916"/>
  <c r="CA418" i="23916"/>
  <c r="GJ94" i="23916"/>
  <c r="GK94" i="23916" s="1"/>
  <c r="GJ97" i="23916"/>
  <c r="GK93" i="23916"/>
  <c r="DX539" i="23916"/>
  <c r="AV453" i="23916"/>
  <c r="BD453" i="23916"/>
  <c r="AU454" i="23916"/>
  <c r="AV447" i="23916"/>
  <c r="BD447" i="23916"/>
  <c r="AV451" i="23916"/>
  <c r="BD451" i="23916"/>
  <c r="AQ454" i="23916"/>
  <c r="AR454" i="23916" s="1"/>
  <c r="AR447" i="23916"/>
  <c r="GK406" i="23916"/>
  <c r="BR538" i="23916"/>
  <c r="EJ19" i="23916"/>
  <c r="BI418" i="23916"/>
  <c r="GT189" i="23916"/>
  <c r="GS189" i="23916"/>
  <c r="GR191" i="23916"/>
  <c r="GI480" i="23916"/>
  <c r="GI538" i="23916"/>
  <c r="GO263" i="23916"/>
  <c r="FP589" i="23916"/>
  <c r="FP559" i="23916"/>
  <c r="FS559" i="23916" s="1"/>
  <c r="FP548" i="23916"/>
  <c r="FP537" i="23916"/>
  <c r="FP488" i="23916"/>
  <c r="FP438" i="23916"/>
  <c r="FP417" i="23916"/>
  <c r="FP443" i="23916"/>
  <c r="FS443" i="23916" s="1"/>
  <c r="FP479" i="23916"/>
  <c r="FS479" i="23916" s="1"/>
  <c r="GM117" i="23916"/>
  <c r="GL125" i="23916"/>
  <c r="GM461" i="23916"/>
  <c r="AM581" i="23916"/>
  <c r="AN493" i="23916"/>
  <c r="CB480" i="23916"/>
  <c r="CB538" i="23916"/>
  <c r="FR539" i="23916"/>
  <c r="FR538" i="23916"/>
  <c r="FR491" i="23916"/>
  <c r="FR440" i="23916"/>
  <c r="FR480" i="23916"/>
  <c r="FR475" i="23916"/>
  <c r="FS548" i="23916"/>
  <c r="GC479" i="23916"/>
  <c r="EF491" i="23916"/>
  <c r="DP18" i="23916"/>
  <c r="AI637" i="23916"/>
  <c r="AI493" i="23916"/>
  <c r="AI581" i="23916" s="1"/>
  <c r="AI460" i="23916"/>
  <c r="AJ460" i="23916" s="1"/>
  <c r="AJ488" i="23916"/>
  <c r="DP460" i="23916"/>
  <c r="GT509" i="23916"/>
  <c r="GS509" i="23916"/>
  <c r="BI419" i="23916" l="1"/>
  <c r="BI440" i="23916"/>
  <c r="BI475" i="23916" s="1"/>
  <c r="GO194" i="23916"/>
  <c r="GL129" i="23916"/>
  <c r="GM125" i="23916"/>
  <c r="GL126" i="23916"/>
  <c r="GM126" i="23916" s="1"/>
  <c r="GJ405" i="23916"/>
  <c r="GK97" i="23916"/>
  <c r="CA419" i="23916"/>
  <c r="CA440" i="23916"/>
  <c r="CA475" i="23916" s="1"/>
  <c r="DS419" i="23916"/>
  <c r="DS440" i="23916"/>
  <c r="DS475" i="23916" s="1"/>
  <c r="GK408" i="23916"/>
  <c r="GT114" i="23916"/>
  <c r="GS114" i="23916"/>
  <c r="GR115" i="23916"/>
  <c r="GR235" i="23916"/>
  <c r="GQ235" i="23916"/>
  <c r="GP228" i="23916"/>
  <c r="FY447" i="23916"/>
  <c r="FX454" i="23916"/>
  <c r="GA447" i="23916"/>
  <c r="FY448" i="23916"/>
  <c r="GA448" i="23916"/>
  <c r="GA414" i="23916"/>
  <c r="FY414" i="23916"/>
  <c r="FX415" i="23916"/>
  <c r="FX14" i="23916"/>
  <c r="FX584" i="23916"/>
  <c r="FX585" i="23916" s="1"/>
  <c r="DK419" i="23916"/>
  <c r="DK440" i="23916"/>
  <c r="DK475" i="23916" s="1"/>
  <c r="AV443" i="23916"/>
  <c r="BD443" i="23916"/>
  <c r="AU539" i="23916"/>
  <c r="AU538" i="23916"/>
  <c r="AU491" i="23916"/>
  <c r="AV438" i="23916"/>
  <c r="AU480" i="23916"/>
  <c r="BD438" i="23916"/>
  <c r="AV559" i="23916"/>
  <c r="BD559" i="23916"/>
  <c r="GC491" i="23916"/>
  <c r="AZ446" i="23916"/>
  <c r="BH446" i="23916"/>
  <c r="AZ449" i="23916"/>
  <c r="BH449" i="23916"/>
  <c r="AY559" i="23916"/>
  <c r="AY548" i="23916"/>
  <c r="AY536" i="23916"/>
  <c r="AY488" i="23916"/>
  <c r="AY438" i="23916"/>
  <c r="AY417" i="23916"/>
  <c r="AZ416" i="23916"/>
  <c r="AY443" i="23916"/>
  <c r="AY479" i="23916"/>
  <c r="BH416" i="23916"/>
  <c r="DO419" i="23916"/>
  <c r="DO440" i="23916"/>
  <c r="DO475" i="23916" s="1"/>
  <c r="GN484" i="23916"/>
  <c r="GM484" i="23916"/>
  <c r="GL485" i="23916"/>
  <c r="CM419" i="23916"/>
  <c r="CM440" i="23916"/>
  <c r="CM475" i="23916" s="1"/>
  <c r="CZ19" i="23916"/>
  <c r="FW17" i="23916"/>
  <c r="FY17" i="23916"/>
  <c r="EM390" i="23916"/>
  <c r="EM154" i="23916"/>
  <c r="EN154" i="23916" s="1"/>
  <c r="EN148" i="23916"/>
  <c r="EE419" i="23916"/>
  <c r="GH419" i="23916" s="1"/>
  <c r="EE440" i="23916"/>
  <c r="EE475" i="23916" s="1"/>
  <c r="FK415" i="23916"/>
  <c r="FJ584" i="23916"/>
  <c r="FJ585" i="23916" s="1"/>
  <c r="FJ580" i="23916"/>
  <c r="BC419" i="23916"/>
  <c r="BC440" i="23916"/>
  <c r="CE419" i="23916"/>
  <c r="CE440" i="23916"/>
  <c r="CE475" i="23916" s="1"/>
  <c r="BA454" i="23916"/>
  <c r="BB447" i="23916"/>
  <c r="BJ447" i="23916"/>
  <c r="BB449" i="23916"/>
  <c r="BJ449" i="23916"/>
  <c r="DD19" i="23916"/>
  <c r="FU491" i="23916"/>
  <c r="GQ272" i="23916"/>
  <c r="GP260" i="23916"/>
  <c r="GQ260" i="23916" s="1"/>
  <c r="GR272" i="23916"/>
  <c r="CC419" i="23916"/>
  <c r="CC440" i="23916"/>
  <c r="CC475" i="23916" s="1"/>
  <c r="GD419" i="23916"/>
  <c r="FW539" i="23916"/>
  <c r="FY539" i="23916"/>
  <c r="GP90" i="23916"/>
  <c r="GN84" i="23916"/>
  <c r="GO90" i="23916"/>
  <c r="AN539" i="23916"/>
  <c r="GQ305" i="23916"/>
  <c r="GP308" i="23916"/>
  <c r="GP11" i="23916"/>
  <c r="GQ11" i="23916" s="1"/>
  <c r="GR83" i="23916"/>
  <c r="GQ83" i="23916"/>
  <c r="GP150" i="23916"/>
  <c r="AS539" i="23916"/>
  <c r="AT539" i="23916" s="1"/>
  <c r="AS538" i="23916"/>
  <c r="AT538" i="23916" s="1"/>
  <c r="AS491" i="23916"/>
  <c r="AT491" i="23916" s="1"/>
  <c r="AT438" i="23916"/>
  <c r="AS480" i="23916"/>
  <c r="AT480" i="23916" s="1"/>
  <c r="EK403" i="23916"/>
  <c r="EL163" i="23916"/>
  <c r="BM419" i="23916"/>
  <c r="BM440" i="23916"/>
  <c r="BM475" i="23916" s="1"/>
  <c r="EN145" i="23916"/>
  <c r="BL495" i="23916"/>
  <c r="BK418" i="23916"/>
  <c r="ER29" i="23916"/>
  <c r="EQ30" i="23916"/>
  <c r="FY449" i="23916"/>
  <c r="GA449" i="23916"/>
  <c r="GT82" i="23916"/>
  <c r="GS82" i="23916"/>
  <c r="GR149" i="23916"/>
  <c r="AQ539" i="23916"/>
  <c r="AR539" i="23916" s="1"/>
  <c r="AQ538" i="23916"/>
  <c r="AR538" i="23916" s="1"/>
  <c r="AQ491" i="23916"/>
  <c r="AR491" i="23916" s="1"/>
  <c r="AR438" i="23916"/>
  <c r="AQ480" i="23916"/>
  <c r="AR480" i="23916" s="1"/>
  <c r="AU637" i="23916"/>
  <c r="AU495" i="23916"/>
  <c r="AU493" i="23916"/>
  <c r="AV488" i="23916"/>
  <c r="AU460" i="23916"/>
  <c r="BD488" i="23916"/>
  <c r="GM410" i="23916"/>
  <c r="CR19" i="23916"/>
  <c r="GQ201" i="23916"/>
  <c r="GP194" i="23916"/>
  <c r="GT302" i="23916"/>
  <c r="GS302" i="23916"/>
  <c r="GR305" i="23916"/>
  <c r="AY454" i="23916"/>
  <c r="AZ447" i="23916"/>
  <c r="BH447" i="23916"/>
  <c r="AZ452" i="23916"/>
  <c r="BH452" i="23916"/>
  <c r="GP567" i="23916"/>
  <c r="GR483" i="23916"/>
  <c r="GR482" i="23916"/>
  <c r="GQ482" i="23916"/>
  <c r="GP461" i="23916"/>
  <c r="GM264" i="23916"/>
  <c r="GL276" i="23916"/>
  <c r="AL539" i="23916"/>
  <c r="GQ259" i="23916"/>
  <c r="GP264" i="23916"/>
  <c r="CY419" i="23916"/>
  <c r="CY440" i="23916"/>
  <c r="CY475" i="23916" s="1"/>
  <c r="GD581" i="23916"/>
  <c r="GE493" i="23916"/>
  <c r="GD18" i="23916"/>
  <c r="GE18" i="23916" s="1"/>
  <c r="FZ419" i="23916"/>
  <c r="GN410" i="23916"/>
  <c r="GO308" i="23916"/>
  <c r="FW460" i="23916"/>
  <c r="FY460" i="23916"/>
  <c r="FJ589" i="23916"/>
  <c r="FJ559" i="23916"/>
  <c r="FK559" i="23916" s="1"/>
  <c r="FJ548" i="23916"/>
  <c r="FK548" i="23916" s="1"/>
  <c r="FJ536" i="23916"/>
  <c r="FK536" i="23916" s="1"/>
  <c r="FJ438" i="23916"/>
  <c r="FJ417" i="23916"/>
  <c r="FK416" i="23916"/>
  <c r="FJ443" i="23916"/>
  <c r="FK443" i="23916" s="1"/>
  <c r="FJ479" i="23916"/>
  <c r="FK479" i="23916" s="1"/>
  <c r="BB446" i="23916"/>
  <c r="BJ446" i="23916"/>
  <c r="BB451" i="23916"/>
  <c r="BJ451" i="23916"/>
  <c r="BA559" i="23916"/>
  <c r="BA548" i="23916"/>
  <c r="BA536" i="23916"/>
  <c r="BA488" i="23916"/>
  <c r="BA438" i="23916"/>
  <c r="BA417" i="23916"/>
  <c r="BB416" i="23916"/>
  <c r="BA443" i="23916"/>
  <c r="BA479" i="23916"/>
  <c r="BJ416" i="23916"/>
  <c r="GC17" i="23916"/>
  <c r="FU480" i="23916"/>
  <c r="FU539" i="23916"/>
  <c r="GA29" i="23916"/>
  <c r="GB25" i="23916"/>
  <c r="GQ263" i="23916"/>
  <c r="GP203" i="23916"/>
  <c r="GO203" i="23916"/>
  <c r="GN197" i="23916"/>
  <c r="GN198" i="23916" s="1"/>
  <c r="GF581" i="23916"/>
  <c r="GG493" i="23916"/>
  <c r="GF18" i="23916"/>
  <c r="GG18" i="23916" s="1"/>
  <c r="EB19" i="23916"/>
  <c r="AL538" i="23916"/>
  <c r="ED19" i="23916"/>
  <c r="EM55" i="23916"/>
  <c r="CV18" i="23916"/>
  <c r="GC538" i="23916"/>
  <c r="AN480" i="23916"/>
  <c r="AS637" i="23916"/>
  <c r="AS495" i="23916"/>
  <c r="AT488" i="23916"/>
  <c r="AS493" i="23916"/>
  <c r="AS460" i="23916"/>
  <c r="AT460" i="23916" s="1"/>
  <c r="GS521" i="23916"/>
  <c r="GT521" i="23916"/>
  <c r="FP538" i="23916"/>
  <c r="FP539" i="23916"/>
  <c r="FP491" i="23916"/>
  <c r="FP440" i="23916"/>
  <c r="FP475" i="23916"/>
  <c r="FP480" i="23916"/>
  <c r="FS480" i="23916" s="1"/>
  <c r="GS236" i="23916"/>
  <c r="GT236" i="23916"/>
  <c r="GR230" i="23916"/>
  <c r="GO264" i="23916"/>
  <c r="GN276" i="23916"/>
  <c r="GC460" i="23916"/>
  <c r="FS438" i="23916"/>
  <c r="FS539" i="23916"/>
  <c r="FP637" i="23916"/>
  <c r="FP5" i="23916" s="1"/>
  <c r="FP493" i="23916"/>
  <c r="FP460" i="23916"/>
  <c r="FP568" i="23916"/>
  <c r="GT191" i="23916"/>
  <c r="GS191" i="23916"/>
  <c r="CI419" i="23916"/>
  <c r="FV419" i="23916" s="1"/>
  <c r="CI440" i="23916"/>
  <c r="CI475" i="23916" s="1"/>
  <c r="GS470" i="23916"/>
  <c r="GT470" i="23916"/>
  <c r="EM587" i="23916"/>
  <c r="EM387" i="23916"/>
  <c r="EN384" i="23916"/>
  <c r="GO228" i="23916"/>
  <c r="GN229" i="23916"/>
  <c r="GO229" i="23916" s="1"/>
  <c r="ER27" i="23916"/>
  <c r="GJ27" i="23916"/>
  <c r="GT116" i="23916"/>
  <c r="GS116" i="23916"/>
  <c r="FY446" i="23916"/>
  <c r="GA446" i="23916"/>
  <c r="FY452" i="23916"/>
  <c r="GA452" i="23916"/>
  <c r="FY451" i="23916"/>
  <c r="GA451" i="23916"/>
  <c r="AQ637" i="23916"/>
  <c r="AQ493" i="23916"/>
  <c r="AQ460" i="23916"/>
  <c r="AR460" i="23916" s="1"/>
  <c r="FJ488" i="23916"/>
  <c r="AR488" i="23916"/>
  <c r="AV536" i="23916"/>
  <c r="BD536" i="23916"/>
  <c r="CQ419" i="23916"/>
  <c r="CQ440" i="23916"/>
  <c r="CQ475" i="23916" s="1"/>
  <c r="AZ453" i="23916"/>
  <c r="BH453" i="23916"/>
  <c r="AZ450" i="23916"/>
  <c r="BH450" i="23916"/>
  <c r="AZ448" i="23916"/>
  <c r="BH448" i="23916"/>
  <c r="AN460" i="23916"/>
  <c r="GQ483" i="23916"/>
  <c r="GG460" i="23916"/>
  <c r="DU419" i="23916"/>
  <c r="DU440" i="23916"/>
  <c r="DU475" i="23916" s="1"/>
  <c r="FN416" i="23916"/>
  <c r="FN415" i="23916"/>
  <c r="FN451" i="23916"/>
  <c r="FN448" i="23916"/>
  <c r="FN452" i="23916"/>
  <c r="FN450" i="23916"/>
  <c r="FN447" i="23916"/>
  <c r="FN449" i="23916"/>
  <c r="FN446" i="23916"/>
  <c r="FN453" i="23916"/>
  <c r="FQ413" i="23916"/>
  <c r="AL480" i="23916"/>
  <c r="FZ581" i="23916"/>
  <c r="GA493" i="23916"/>
  <c r="FZ18" i="23916"/>
  <c r="GA18" i="23916" s="1"/>
  <c r="GI18" i="23916"/>
  <c r="FV581" i="23916"/>
  <c r="FW493" i="23916"/>
  <c r="FV18" i="23916"/>
  <c r="FY493" i="23916"/>
  <c r="DX19" i="23916"/>
  <c r="GR202" i="23916"/>
  <c r="GQ202" i="23916"/>
  <c r="GP195" i="23916"/>
  <c r="GQ195" i="23916" s="1"/>
  <c r="BB453" i="23916"/>
  <c r="BJ453" i="23916"/>
  <c r="BB450" i="23916"/>
  <c r="BJ450" i="23916"/>
  <c r="BB452" i="23916"/>
  <c r="BJ452" i="23916"/>
  <c r="FU538" i="23916"/>
  <c r="FS488" i="23916"/>
  <c r="GT273" i="23916"/>
  <c r="GR263" i="23916"/>
  <c r="GS273" i="23916"/>
  <c r="GM197" i="23916"/>
  <c r="GP117" i="23916"/>
  <c r="GQ113" i="23916"/>
  <c r="EA419" i="23916"/>
  <c r="EA440" i="23916"/>
  <c r="EA475" i="23916" s="1"/>
  <c r="BE419" i="23916"/>
  <c r="BE440" i="23916"/>
  <c r="FW491" i="23916"/>
  <c r="FY491" i="23916"/>
  <c r="BO419" i="23916"/>
  <c r="BO440" i="23916"/>
  <c r="BO475" i="23916" s="1"/>
  <c r="GO150" i="23916"/>
  <c r="GL198" i="23916"/>
  <c r="AV454" i="23916"/>
  <c r="BD454" i="23916"/>
  <c r="GO117" i="23916"/>
  <c r="GN125" i="23916"/>
  <c r="GT466" i="23916"/>
  <c r="GS466" i="23916"/>
  <c r="GR468" i="23916"/>
  <c r="CU419" i="23916"/>
  <c r="FX419" i="23916" s="1"/>
  <c r="CU440" i="23916"/>
  <c r="CU475" i="23916" s="1"/>
  <c r="BG419" i="23916"/>
  <c r="BG440" i="23916"/>
  <c r="FT419" i="23916"/>
  <c r="DG419" i="23916"/>
  <c r="DG440" i="23916"/>
  <c r="DG475" i="23916" s="1"/>
  <c r="EL7" i="23916"/>
  <c r="EK12" i="23916"/>
  <c r="GT386" i="23916"/>
  <c r="GS386" i="23916"/>
  <c r="BS419" i="23916"/>
  <c r="BS440" i="23916"/>
  <c r="BS475" i="23916" s="1"/>
  <c r="ER28" i="23916"/>
  <c r="GJ28" i="23916"/>
  <c r="FM411" i="23916"/>
  <c r="FL413" i="23916"/>
  <c r="GJ573" i="23916"/>
  <c r="GJ407" i="23916"/>
  <c r="GJ210" i="23916"/>
  <c r="GK210" i="23916" s="1"/>
  <c r="GK209" i="23916"/>
  <c r="FY453" i="23916"/>
  <c r="GA453" i="23916"/>
  <c r="FY450" i="23916"/>
  <c r="GA450" i="23916"/>
  <c r="GI491" i="23916"/>
  <c r="AV479" i="23916"/>
  <c r="BD479" i="23916"/>
  <c r="AV548" i="23916"/>
  <c r="BD548" i="23916"/>
  <c r="GB419" i="23916"/>
  <c r="GR619" i="23916"/>
  <c r="GR201" i="23916"/>
  <c r="GT200" i="23916"/>
  <c r="GS200" i="23916"/>
  <c r="GS227" i="23916"/>
  <c r="GT227" i="23916"/>
  <c r="AZ451" i="23916"/>
  <c r="BH451" i="23916"/>
  <c r="AZ415" i="23916"/>
  <c r="BH415" i="23916"/>
  <c r="AY584" i="23916"/>
  <c r="AY585" i="23916" s="1"/>
  <c r="AY580" i="23916"/>
  <c r="DP19" i="23916"/>
  <c r="GO461" i="23916"/>
  <c r="GQ149" i="23916"/>
  <c r="FS454" i="23916"/>
  <c r="GG17" i="23916"/>
  <c r="AX413" i="23916"/>
  <c r="AW416" i="23916"/>
  <c r="AW415" i="23916"/>
  <c r="AW452" i="23916"/>
  <c r="AW448" i="23916"/>
  <c r="AW450" i="23916"/>
  <c r="AW447" i="23916"/>
  <c r="AW451" i="23916"/>
  <c r="AW449" i="23916"/>
  <c r="AW446" i="23916"/>
  <c r="BF413" i="23916"/>
  <c r="AW453" i="23916"/>
  <c r="GT270" i="23916"/>
  <c r="GS270" i="23916"/>
  <c r="GR259" i="23916"/>
  <c r="GN391" i="23916"/>
  <c r="GO391" i="23916" s="1"/>
  <c r="AL460" i="23916"/>
  <c r="DW419" i="23916"/>
  <c r="DW440" i="23916"/>
  <c r="DW475" i="23916" s="1"/>
  <c r="BT460" i="23916"/>
  <c r="GM231" i="23916"/>
  <c r="GL239" i="23916"/>
  <c r="FJ454" i="23916"/>
  <c r="FK454" i="23916" s="1"/>
  <c r="FK447" i="23916"/>
  <c r="EO45" i="23916"/>
  <c r="EO42" i="23916"/>
  <c r="EO142" i="23916"/>
  <c r="EP39" i="23916"/>
  <c r="BB448" i="23916"/>
  <c r="BJ448" i="23916"/>
  <c r="BB415" i="23916"/>
  <c r="BJ415" i="23916"/>
  <c r="BA580" i="23916"/>
  <c r="BA584" i="23916"/>
  <c r="BA585" i="23916" s="1"/>
  <c r="FZ34" i="23916"/>
  <c r="GA32" i="23916"/>
  <c r="GI539" i="23916"/>
  <c r="GR613" i="23916"/>
  <c r="GT119" i="23916"/>
  <c r="GS119" i="23916"/>
  <c r="GR120" i="23916"/>
  <c r="GR113" i="23916" s="1"/>
  <c r="GI460" i="23916"/>
  <c r="BT539" i="23916"/>
  <c r="ER407" i="23916"/>
  <c r="FW480" i="23916"/>
  <c r="FY480" i="23916"/>
  <c r="FW538" i="23916"/>
  <c r="FY538" i="23916"/>
  <c r="EM151" i="23916"/>
  <c r="EN48" i="23916"/>
  <c r="GM84" i="23916"/>
  <c r="GL85" i="23916"/>
  <c r="EK411" i="23916"/>
  <c r="EL404" i="23916"/>
  <c r="FV495" i="23916" l="1"/>
  <c r="FV418" i="23916"/>
  <c r="FV440" i="23916" s="1"/>
  <c r="FV475" i="23916" s="1"/>
  <c r="GH495" i="23916"/>
  <c r="GH418" i="23916"/>
  <c r="GH440" i="23916" s="1"/>
  <c r="GH475" i="23916" s="1"/>
  <c r="FX495" i="23916"/>
  <c r="FX418" i="23916"/>
  <c r="FX440" i="23916" s="1"/>
  <c r="FX475" i="23916" s="1"/>
  <c r="GO198" i="23916"/>
  <c r="GN205" i="23916"/>
  <c r="EK580" i="23916"/>
  <c r="EL411" i="23916"/>
  <c r="EK413" i="23916"/>
  <c r="EK13" i="23916" s="1"/>
  <c r="GB495" i="23916"/>
  <c r="GB418" i="23916"/>
  <c r="GB440" i="23916" s="1"/>
  <c r="GB475" i="23916" s="1"/>
  <c r="EN151" i="23916"/>
  <c r="EM156" i="23916"/>
  <c r="EN156" i="23916" s="1"/>
  <c r="EM394" i="23916"/>
  <c r="EN394" i="23916" s="1"/>
  <c r="GS201" i="23916"/>
  <c r="GR194" i="23916"/>
  <c r="FL416" i="23916"/>
  <c r="FM413" i="23916"/>
  <c r="FL415" i="23916"/>
  <c r="FL450" i="23916"/>
  <c r="FM450" i="23916" s="1"/>
  <c r="FL452" i="23916"/>
  <c r="FM452" i="23916" s="1"/>
  <c r="FL447" i="23916"/>
  <c r="FL446" i="23916"/>
  <c r="FM446" i="23916" s="1"/>
  <c r="FL449" i="23916"/>
  <c r="FM449" i="23916" s="1"/>
  <c r="FL451" i="23916"/>
  <c r="FM451" i="23916" s="1"/>
  <c r="FL448" i="23916"/>
  <c r="FM448" i="23916" s="1"/>
  <c r="FL453" i="23916"/>
  <c r="FM453" i="23916" s="1"/>
  <c r="FO453" i="23916"/>
  <c r="FQ453" i="23916"/>
  <c r="GF419" i="23916"/>
  <c r="AS581" i="23916"/>
  <c r="AT493" i="23916"/>
  <c r="GP197" i="23916"/>
  <c r="GP198" i="23916" s="1"/>
  <c r="GR203" i="23916"/>
  <c r="GQ203" i="23916"/>
  <c r="BA637" i="23916"/>
  <c r="BA495" i="23916"/>
  <c r="BB488" i="23916"/>
  <c r="BA493" i="23916"/>
  <c r="BA460" i="23916"/>
  <c r="BJ488" i="23916"/>
  <c r="FJ539" i="23916"/>
  <c r="FK539" i="23916" s="1"/>
  <c r="FJ538" i="23916"/>
  <c r="FK538" i="23916" s="1"/>
  <c r="FJ491" i="23916"/>
  <c r="FK491" i="23916" s="1"/>
  <c r="FK438" i="23916"/>
  <c r="FJ480" i="23916"/>
  <c r="FK480" i="23916" s="1"/>
  <c r="GO410" i="23916"/>
  <c r="GQ264" i="23916"/>
  <c r="GP276" i="23916"/>
  <c r="GT483" i="23916"/>
  <c r="GS483" i="23916"/>
  <c r="AV460" i="23916"/>
  <c r="BD460" i="23916"/>
  <c r="GR90" i="23916"/>
  <c r="GP84" i="23916"/>
  <c r="GQ90" i="23916"/>
  <c r="GD495" i="23916"/>
  <c r="GD418" i="23916"/>
  <c r="GD440" i="23916" s="1"/>
  <c r="GD475" i="23916" s="1"/>
  <c r="BB454" i="23916"/>
  <c r="BJ454" i="23916"/>
  <c r="GL568" i="23916"/>
  <c r="GM485" i="23916"/>
  <c r="GL490" i="23916"/>
  <c r="GM490" i="23916" s="1"/>
  <c r="GL489" i="23916"/>
  <c r="GM489" i="23916" s="1"/>
  <c r="AY637" i="23916"/>
  <c r="AY495" i="23916"/>
  <c r="AY460" i="23916"/>
  <c r="AZ488" i="23916"/>
  <c r="BH488" i="23916"/>
  <c r="AV480" i="23916"/>
  <c r="BD480" i="23916"/>
  <c r="AV538" i="23916"/>
  <c r="BD538" i="23916"/>
  <c r="FX566" i="23916"/>
  <c r="FY415" i="23916"/>
  <c r="FX589" i="23916"/>
  <c r="GA415" i="23916"/>
  <c r="GQ228" i="23916"/>
  <c r="GP229" i="23916"/>
  <c r="GQ229" i="23916" s="1"/>
  <c r="AX446" i="23916"/>
  <c r="BF446" i="23916"/>
  <c r="EL12" i="23916"/>
  <c r="GM85" i="23916"/>
  <c r="GL93" i="23916"/>
  <c r="EO384" i="23916"/>
  <c r="EP142" i="23916"/>
  <c r="EO145" i="23916"/>
  <c r="EO155" i="23916"/>
  <c r="EP155" i="23916" s="1"/>
  <c r="GT259" i="23916"/>
  <c r="GS259" i="23916"/>
  <c r="AX453" i="23916"/>
  <c r="BF453" i="23916"/>
  <c r="AX451" i="23916"/>
  <c r="BF451" i="23916"/>
  <c r="AX452" i="23916"/>
  <c r="BF452" i="23916"/>
  <c r="GP391" i="23916"/>
  <c r="GQ391" i="23916" s="1"/>
  <c r="GK28" i="23916"/>
  <c r="GQ117" i="23916"/>
  <c r="GP125" i="23916"/>
  <c r="GT263" i="23916"/>
  <c r="GS263" i="23916"/>
  <c r="GS202" i="23916"/>
  <c r="GT202" i="23916"/>
  <c r="GR195" i="23916"/>
  <c r="FQ450" i="23916"/>
  <c r="FO413" i="23916"/>
  <c r="GT113" i="23916"/>
  <c r="GS113" i="23916"/>
  <c r="GR117" i="23916"/>
  <c r="EP42" i="23916"/>
  <c r="EO55" i="23916"/>
  <c r="EO48" i="23916"/>
  <c r="GL240" i="23916"/>
  <c r="GM240" i="23916" s="1"/>
  <c r="GM239" i="23916"/>
  <c r="GL243" i="23916"/>
  <c r="GL9" i="23916"/>
  <c r="GM9" i="23916" s="1"/>
  <c r="AW454" i="23916"/>
  <c r="AX447" i="23916"/>
  <c r="BF447" i="23916"/>
  <c r="AX415" i="23916"/>
  <c r="BF415" i="23916"/>
  <c r="AW580" i="23916"/>
  <c r="AW584" i="23916"/>
  <c r="AW585" i="23916" s="1"/>
  <c r="GN392" i="23916"/>
  <c r="GO392" i="23916" s="1"/>
  <c r="FO446" i="23916"/>
  <c r="FQ446" i="23916"/>
  <c r="FO452" i="23916"/>
  <c r="FQ452" i="23916"/>
  <c r="FO415" i="23916"/>
  <c r="FN580" i="23916"/>
  <c r="FQ415" i="23916"/>
  <c r="FN584" i="23916"/>
  <c r="FN585" i="23916" s="1"/>
  <c r="FJ637" i="23916"/>
  <c r="FK488" i="23916"/>
  <c r="FJ460" i="23916"/>
  <c r="FK460" i="23916" s="1"/>
  <c r="GK27" i="23916"/>
  <c r="GN277" i="23916"/>
  <c r="GO277" i="23916" s="1"/>
  <c r="GN280" i="23916"/>
  <c r="GO276" i="23916"/>
  <c r="GN10" i="23916"/>
  <c r="FS460" i="23916"/>
  <c r="BB536" i="23916"/>
  <c r="BJ536" i="23916"/>
  <c r="FN536" i="23916"/>
  <c r="GQ461" i="23916"/>
  <c r="GJ30" i="23916"/>
  <c r="ER30" i="23916"/>
  <c r="EQ39" i="23916"/>
  <c r="GT83" i="23916"/>
  <c r="GS83" i="23916"/>
  <c r="GR150" i="23916"/>
  <c r="EM395" i="23916"/>
  <c r="EN395" i="23916" s="1"/>
  <c r="EN390" i="23916"/>
  <c r="AZ536" i="23916"/>
  <c r="BH536" i="23916"/>
  <c r="AV539" i="23916"/>
  <c r="BD539" i="23916"/>
  <c r="GK405" i="23916"/>
  <c r="EO148" i="23916"/>
  <c r="EO49" i="23916"/>
  <c r="EP49" i="23916" s="1"/>
  <c r="EP45" i="23916"/>
  <c r="AX450" i="23916"/>
  <c r="BF450" i="23916"/>
  <c r="GN126" i="23916"/>
  <c r="GO126" i="23916" s="1"/>
  <c r="GN129" i="23916"/>
  <c r="GO125" i="23916"/>
  <c r="FO448" i="23916"/>
  <c r="FQ448" i="23916"/>
  <c r="FN589" i="23916"/>
  <c r="FN559" i="23916"/>
  <c r="FN548" i="23916"/>
  <c r="FN537" i="23916"/>
  <c r="FN488" i="23916"/>
  <c r="FN438" i="23916"/>
  <c r="FN417" i="23916"/>
  <c r="FO416" i="23916"/>
  <c r="FN443" i="23916"/>
  <c r="FN479" i="23916"/>
  <c r="FQ416" i="23916"/>
  <c r="GO197" i="23916"/>
  <c r="GQ194" i="23916"/>
  <c r="AZ548" i="23916"/>
  <c r="BH548" i="23916"/>
  <c r="FY454" i="23916"/>
  <c r="GA454" i="23916"/>
  <c r="GT235" i="23916"/>
  <c r="GS235" i="23916"/>
  <c r="GR228" i="23916"/>
  <c r="GL572" i="23916"/>
  <c r="GL406" i="23916"/>
  <c r="GM129" i="23916"/>
  <c r="AW559" i="23916"/>
  <c r="AW548" i="23916"/>
  <c r="AW536" i="23916"/>
  <c r="AW488" i="23916"/>
  <c r="AW438" i="23916"/>
  <c r="AW417" i="23916"/>
  <c r="AX416" i="23916"/>
  <c r="AW479" i="23916"/>
  <c r="AW443" i="23916"/>
  <c r="BF416" i="23916"/>
  <c r="GK407" i="23916"/>
  <c r="FT495" i="23916"/>
  <c r="FT418" i="23916"/>
  <c r="FT440" i="23916" s="1"/>
  <c r="FQ449" i="23916"/>
  <c r="FP581" i="23916"/>
  <c r="FS493" i="23916"/>
  <c r="AT495" i="23916"/>
  <c r="AS418" i="23916"/>
  <c r="BB479" i="23916"/>
  <c r="BJ479" i="23916"/>
  <c r="BB548" i="23916"/>
  <c r="BJ548" i="23916"/>
  <c r="FZ495" i="23916"/>
  <c r="FZ418" i="23916"/>
  <c r="FZ440" i="23916" s="1"/>
  <c r="FZ475" i="23916" s="1"/>
  <c r="AZ454" i="23916"/>
  <c r="BH454" i="23916"/>
  <c r="AU581" i="23916"/>
  <c r="BD493" i="23916"/>
  <c r="AV493" i="23916"/>
  <c r="EL403" i="23916"/>
  <c r="GO484" i="23916"/>
  <c r="GP484" i="23916"/>
  <c r="GN485" i="23916"/>
  <c r="AZ479" i="23916"/>
  <c r="BH479" i="23916"/>
  <c r="FZ35" i="23916"/>
  <c r="GA35" i="23916" s="1"/>
  <c r="FZ33" i="23916"/>
  <c r="GA33" i="23916" s="1"/>
  <c r="GA34" i="23916"/>
  <c r="AX449" i="23916"/>
  <c r="BF449" i="23916"/>
  <c r="AX448" i="23916"/>
  <c r="BF448" i="23916"/>
  <c r="GS468" i="23916"/>
  <c r="GT468" i="23916"/>
  <c r="GM198" i="23916"/>
  <c r="GL205" i="23916"/>
  <c r="FW18" i="23916"/>
  <c r="FY18" i="23916"/>
  <c r="FN454" i="23916"/>
  <c r="FO447" i="23916"/>
  <c r="FQ447" i="23916"/>
  <c r="FO451" i="23916"/>
  <c r="FQ451" i="23916"/>
  <c r="AQ581" i="23916"/>
  <c r="AR493" i="23916"/>
  <c r="AZ493" i="23916"/>
  <c r="FJ493" i="23916"/>
  <c r="GN231" i="23916"/>
  <c r="EN387" i="23916"/>
  <c r="GS230" i="23916"/>
  <c r="GT230" i="23916"/>
  <c r="EM56" i="23916"/>
  <c r="EN56" i="23916" s="1"/>
  <c r="EM59" i="23916"/>
  <c r="EN55" i="23916"/>
  <c r="GC25" i="23916"/>
  <c r="GB29" i="23916"/>
  <c r="GB32" i="23916"/>
  <c r="GB36" i="23916"/>
  <c r="GC36" i="23916" s="1"/>
  <c r="BB443" i="23916"/>
  <c r="BJ443" i="23916"/>
  <c r="BA539" i="23916"/>
  <c r="BA538" i="23916"/>
  <c r="BA491" i="23916"/>
  <c r="BB438" i="23916"/>
  <c r="BA480" i="23916"/>
  <c r="BJ438" i="23916"/>
  <c r="BB559" i="23916"/>
  <c r="BJ559" i="23916"/>
  <c r="GM276" i="23916"/>
  <c r="GL277" i="23916"/>
  <c r="GM277" i="23916" s="1"/>
  <c r="GL280" i="23916"/>
  <c r="GL10" i="23916"/>
  <c r="GM10" i="23916" s="1"/>
  <c r="GR567" i="23916"/>
  <c r="GT482" i="23916"/>
  <c r="GS482" i="23916"/>
  <c r="GR461" i="23916"/>
  <c r="GS305" i="23916"/>
  <c r="GR308" i="23916"/>
  <c r="GT305" i="23916"/>
  <c r="GR11" i="23916"/>
  <c r="AV495" i="23916"/>
  <c r="AU418" i="23916"/>
  <c r="BD495" i="23916"/>
  <c r="GR391" i="23916"/>
  <c r="GS149" i="23916"/>
  <c r="GT149" i="23916"/>
  <c r="BK419" i="23916"/>
  <c r="BK440" i="23916"/>
  <c r="BK475" i="23916" s="1"/>
  <c r="GQ150" i="23916"/>
  <c r="GP410" i="23916"/>
  <c r="GQ308" i="23916"/>
  <c r="GO84" i="23916"/>
  <c r="GN85" i="23916"/>
  <c r="GC18" i="23916"/>
  <c r="GR260" i="23916"/>
  <c r="GT272" i="23916"/>
  <c r="GS272" i="23916"/>
  <c r="EM152" i="23916"/>
  <c r="AZ443" i="23916"/>
  <c r="BH443" i="23916"/>
  <c r="AY539" i="23916"/>
  <c r="AY538" i="23916"/>
  <c r="AY491" i="23916"/>
  <c r="AZ438" i="23916"/>
  <c r="AY480" i="23916"/>
  <c r="BH438" i="23916"/>
  <c r="AZ559" i="23916"/>
  <c r="BH559" i="23916"/>
  <c r="AV491" i="23916"/>
  <c r="BD491" i="23916"/>
  <c r="FY14" i="23916"/>
  <c r="GA14" i="23916"/>
  <c r="FX15" i="23916"/>
  <c r="GT115" i="23916"/>
  <c r="GS115" i="23916"/>
  <c r="FS491" i="23916"/>
  <c r="FS538" i="23916"/>
  <c r="EM398" i="23916" l="1"/>
  <c r="EN398" i="23916" s="1"/>
  <c r="EK446" i="23916"/>
  <c r="EL446" i="23916" s="1"/>
  <c r="AZ539" i="23916"/>
  <c r="BH539" i="23916"/>
  <c r="GS391" i="23916"/>
  <c r="GT391" i="23916"/>
  <c r="BB539" i="23916"/>
  <c r="BJ539" i="23916"/>
  <c r="EM571" i="23916"/>
  <c r="EM575" i="23916" s="1"/>
  <c r="EM404" i="23916"/>
  <c r="EN59" i="23916"/>
  <c r="FQ454" i="23916"/>
  <c r="GN568" i="23916"/>
  <c r="GO485" i="23916"/>
  <c r="GN490" i="23916"/>
  <c r="GO490" i="23916" s="1"/>
  <c r="GN489" i="23916"/>
  <c r="GO489" i="23916" s="1"/>
  <c r="AX536" i="23916"/>
  <c r="BF536" i="23916"/>
  <c r="FN637" i="23916"/>
  <c r="FN5" i="23916" s="1"/>
  <c r="FN460" i="23916"/>
  <c r="FQ488" i="23916"/>
  <c r="GR392" i="23916"/>
  <c r="GT150" i="23916"/>
  <c r="GS150" i="23916"/>
  <c r="GT203" i="23916"/>
  <c r="GS203" i="23916"/>
  <c r="GR197" i="23916"/>
  <c r="GT194" i="23916"/>
  <c r="GR198" i="23916"/>
  <c r="GS194" i="23916"/>
  <c r="GH19" i="23916"/>
  <c r="FX16" i="23916"/>
  <c r="FY15" i="23916"/>
  <c r="GA15" i="23916"/>
  <c r="AZ480" i="23916"/>
  <c r="BH480" i="23916"/>
  <c r="AZ538" i="23916"/>
  <c r="BH538" i="23916"/>
  <c r="EN152" i="23916"/>
  <c r="EM159" i="23916"/>
  <c r="GQ410" i="23916"/>
  <c r="BB480" i="23916"/>
  <c r="BJ480" i="23916"/>
  <c r="BB538" i="23916"/>
  <c r="BJ538" i="23916"/>
  <c r="GO231" i="23916"/>
  <c r="GN239" i="23916"/>
  <c r="GL209" i="23916"/>
  <c r="GM205" i="23916"/>
  <c r="GL206" i="23916"/>
  <c r="GM206" i="23916" s="1"/>
  <c r="GL8" i="23916"/>
  <c r="GM8" i="23916" s="1"/>
  <c r="GA495" i="23916"/>
  <c r="FZ19" i="23916"/>
  <c r="FO449" i="23916"/>
  <c r="AW637" i="23916"/>
  <c r="AW495" i="23916"/>
  <c r="AX488" i="23916"/>
  <c r="AW493" i="23916"/>
  <c r="AW460" i="23916"/>
  <c r="BF488" i="23916"/>
  <c r="FQ479" i="23916"/>
  <c r="FN539" i="23916"/>
  <c r="FN538" i="23916"/>
  <c r="FN491" i="23916"/>
  <c r="FN480" i="23916"/>
  <c r="FQ438" i="23916"/>
  <c r="FO559" i="23916"/>
  <c r="FQ559" i="23916"/>
  <c r="EO390" i="23916"/>
  <c r="EO154" i="23916"/>
  <c r="EP154" i="23916" s="1"/>
  <c r="EP148" i="23916"/>
  <c r="EQ142" i="23916"/>
  <c r="ER39" i="23916"/>
  <c r="EQ45" i="23916"/>
  <c r="EQ42" i="23916"/>
  <c r="GJ39" i="23916"/>
  <c r="GN409" i="23916"/>
  <c r="GO280" i="23916"/>
  <c r="EP48" i="23916"/>
  <c r="EO151" i="23916"/>
  <c r="EO152" i="23916" s="1"/>
  <c r="FO450" i="23916"/>
  <c r="EO587" i="23916"/>
  <c r="EP384" i="23916"/>
  <c r="EO387" i="23916"/>
  <c r="GP231" i="23916"/>
  <c r="GE495" i="23916"/>
  <c r="GD19" i="23916"/>
  <c r="BA581" i="23916"/>
  <c r="FN493" i="23916"/>
  <c r="BJ493" i="23916"/>
  <c r="BB493" i="23916"/>
  <c r="FL589" i="23916"/>
  <c r="FL559" i="23916"/>
  <c r="FM559" i="23916" s="1"/>
  <c r="FL548" i="23916"/>
  <c r="FM548" i="23916" s="1"/>
  <c r="FL536" i="23916"/>
  <c r="FM536" i="23916" s="1"/>
  <c r="FL537" i="23916"/>
  <c r="FL488" i="23916"/>
  <c r="FO488" i="23916" s="1"/>
  <c r="FL438" i="23916"/>
  <c r="FL417" i="23916"/>
  <c r="FM416" i="23916"/>
  <c r="FL479" i="23916"/>
  <c r="FM479" i="23916" s="1"/>
  <c r="FL443" i="23916"/>
  <c r="FM443" i="23916" s="1"/>
  <c r="EK414" i="23916"/>
  <c r="EK416" i="23916" s="1"/>
  <c r="EL413" i="23916"/>
  <c r="EK453" i="23916"/>
  <c r="EL453" i="23916" s="1"/>
  <c r="EK449" i="23916"/>
  <c r="EL449" i="23916" s="1"/>
  <c r="EK451" i="23916"/>
  <c r="EL451" i="23916" s="1"/>
  <c r="EK452" i="23916"/>
  <c r="EL452" i="23916" s="1"/>
  <c r="EK450" i="23916"/>
  <c r="EL450" i="23916" s="1"/>
  <c r="EK448" i="23916"/>
  <c r="EL448" i="23916" s="1"/>
  <c r="EK447" i="23916"/>
  <c r="GN209" i="23916"/>
  <c r="GN206" i="23916"/>
  <c r="GO206" i="23916" s="1"/>
  <c r="GO205" i="23916"/>
  <c r="GN8" i="23916"/>
  <c r="GO8" i="23916" s="1"/>
  <c r="GO85" i="23916"/>
  <c r="GN93" i="23916"/>
  <c r="GT11" i="23916"/>
  <c r="GS11" i="23916"/>
  <c r="GB34" i="23916"/>
  <c r="GC32" i="23916"/>
  <c r="FJ581" i="23916"/>
  <c r="FK493" i="23916"/>
  <c r="AS419" i="23916"/>
  <c r="AS440" i="23916"/>
  <c r="GM406" i="23916"/>
  <c r="AZ460" i="23916"/>
  <c r="BH460" i="23916"/>
  <c r="GL409" i="23916"/>
  <c r="GM280" i="23916"/>
  <c r="GL574" i="23916"/>
  <c r="GD25" i="23916"/>
  <c r="GC29" i="23916"/>
  <c r="GR484" i="23916"/>
  <c r="GQ484" i="23916"/>
  <c r="GP485" i="23916"/>
  <c r="FU495" i="23916"/>
  <c r="FT5" i="23916"/>
  <c r="AX443" i="23916"/>
  <c r="BF443" i="23916"/>
  <c r="AX548" i="23916"/>
  <c r="BF548" i="23916"/>
  <c r="GK30" i="23916"/>
  <c r="FO536" i="23916"/>
  <c r="FQ536" i="23916"/>
  <c r="GO10" i="23916"/>
  <c r="EP145" i="23916"/>
  <c r="AZ495" i="23916"/>
  <c r="AY418" i="23916"/>
  <c r="BH495" i="23916"/>
  <c r="GQ84" i="23916"/>
  <c r="GP85" i="23916"/>
  <c r="BB495" i="23916"/>
  <c r="BA418" i="23916"/>
  <c r="BJ495" i="23916"/>
  <c r="GQ197" i="23916"/>
  <c r="FM415" i="23916"/>
  <c r="FL584" i="23916"/>
  <c r="FL585" i="23916" s="1"/>
  <c r="FL580" i="23916"/>
  <c r="GT461" i="23916"/>
  <c r="GS461" i="23916"/>
  <c r="FO443" i="23916"/>
  <c r="FQ443" i="23916"/>
  <c r="GN572" i="23916"/>
  <c r="GN406" i="23916"/>
  <c r="GO129" i="23916"/>
  <c r="GL408" i="23916"/>
  <c r="GM243" i="23916"/>
  <c r="EO59" i="23916"/>
  <c r="EP55" i="23916"/>
  <c r="EO56" i="23916"/>
  <c r="EP56" i="23916" s="1"/>
  <c r="GT195" i="23916"/>
  <c r="GS195" i="23916"/>
  <c r="GM93" i="23916"/>
  <c r="GL94" i="23916"/>
  <c r="GM94" i="23916" s="1"/>
  <c r="GL97" i="23916"/>
  <c r="GQ276" i="23916"/>
  <c r="GP277" i="23916"/>
  <c r="GQ277" i="23916" s="1"/>
  <c r="GP280" i="23916"/>
  <c r="GP10" i="23916"/>
  <c r="GQ10" i="23916" s="1"/>
  <c r="AZ491" i="23916"/>
  <c r="BH491" i="23916"/>
  <c r="GT260" i="23916"/>
  <c r="GS260" i="23916"/>
  <c r="GP392" i="23916"/>
  <c r="GQ392" i="23916" s="1"/>
  <c r="AU419" i="23916"/>
  <c r="AU440" i="23916"/>
  <c r="GR410" i="23916"/>
  <c r="GS308" i="23916"/>
  <c r="GT308" i="23916"/>
  <c r="BB491" i="23916"/>
  <c r="BJ491" i="23916"/>
  <c r="AX479" i="23916"/>
  <c r="BF479" i="23916"/>
  <c r="AW539" i="23916"/>
  <c r="AW538" i="23916"/>
  <c r="AW491" i="23916"/>
  <c r="AX438" i="23916"/>
  <c r="AW480" i="23916"/>
  <c r="BF438" i="23916"/>
  <c r="AX559" i="23916"/>
  <c r="BF559" i="23916"/>
  <c r="GS228" i="23916"/>
  <c r="GR229" i="23916"/>
  <c r="GT228" i="23916"/>
  <c r="GR231" i="23916"/>
  <c r="GQ198" i="23916"/>
  <c r="GP205" i="23916"/>
  <c r="FO548" i="23916"/>
  <c r="FQ548" i="23916"/>
  <c r="AX454" i="23916"/>
  <c r="BF454" i="23916"/>
  <c r="GT117" i="23916"/>
  <c r="GS117" i="23916"/>
  <c r="GR125" i="23916"/>
  <c r="GP129" i="23916"/>
  <c r="GQ125" i="23916"/>
  <c r="GP126" i="23916"/>
  <c r="GQ126" i="23916" s="1"/>
  <c r="GR264" i="23916"/>
  <c r="GT90" i="23916"/>
  <c r="GR84" i="23916"/>
  <c r="GS90" i="23916"/>
  <c r="BB460" i="23916"/>
  <c r="BJ460" i="23916"/>
  <c r="GF495" i="23916"/>
  <c r="GI495" i="23916" s="1"/>
  <c r="GF418" i="23916"/>
  <c r="GF440" i="23916" s="1"/>
  <c r="GF475" i="23916" s="1"/>
  <c r="FM447" i="23916"/>
  <c r="FL454" i="23916"/>
  <c r="FM454" i="23916" s="1"/>
  <c r="GC495" i="23916"/>
  <c r="GB19" i="23916"/>
  <c r="GC19" i="23916" s="1"/>
  <c r="FY495" i="23916"/>
  <c r="FX19" i="23916"/>
  <c r="FW495" i="23916"/>
  <c r="FV19" i="23916"/>
  <c r="FW19" i="23916" s="1"/>
  <c r="EP152" i="23916" l="1"/>
  <c r="EO159" i="23916"/>
  <c r="GL405" i="23916"/>
  <c r="GM97" i="23916"/>
  <c r="EK559" i="23916"/>
  <c r="EL559" i="23916" s="1"/>
  <c r="EK548" i="23916"/>
  <c r="EL548" i="23916" s="1"/>
  <c r="EK488" i="23916"/>
  <c r="EK443" i="23916"/>
  <c r="EL443" i="23916" s="1"/>
  <c r="EK438" i="23916"/>
  <c r="EK417" i="23916"/>
  <c r="EK493" i="23916" s="1"/>
  <c r="EL416" i="23916"/>
  <c r="EK479" i="23916"/>
  <c r="EL479" i="23916" s="1"/>
  <c r="FO538" i="23916"/>
  <c r="FQ538" i="23916"/>
  <c r="AX495" i="23916"/>
  <c r="AW418" i="23916"/>
  <c r="BF495" i="23916"/>
  <c r="GS264" i="23916"/>
  <c r="GT264" i="23916"/>
  <c r="GR276" i="23916"/>
  <c r="GR126" i="23916"/>
  <c r="GR129" i="23916"/>
  <c r="GT125" i="23916"/>
  <c r="GS125" i="23916"/>
  <c r="AX480" i="23916"/>
  <c r="BF480" i="23916"/>
  <c r="AX538" i="23916"/>
  <c r="BF538" i="23916"/>
  <c r="GT410" i="23916"/>
  <c r="GS410" i="23916"/>
  <c r="EO571" i="23916"/>
  <c r="EO575" i="23916" s="1"/>
  <c r="EO404" i="23916"/>
  <c r="EP59" i="23916"/>
  <c r="GO406" i="23916"/>
  <c r="GQ85" i="23916"/>
  <c r="GP93" i="23916"/>
  <c r="GT484" i="23916"/>
  <c r="GS484" i="23916"/>
  <c r="GR485" i="23916"/>
  <c r="EK454" i="23916"/>
  <c r="EL454" i="23916" s="1"/>
  <c r="EL447" i="23916"/>
  <c r="EL414" i="23916"/>
  <c r="EK14" i="23916"/>
  <c r="EK584" i="23916"/>
  <c r="EK585" i="23916" s="1"/>
  <c r="EP387" i="23916"/>
  <c r="EQ148" i="23916"/>
  <c r="ER45" i="23916"/>
  <c r="GJ45" i="23916"/>
  <c r="FQ491" i="23916"/>
  <c r="FO479" i="23916"/>
  <c r="GA19" i="23916"/>
  <c r="GT197" i="23916"/>
  <c r="GS197" i="23916"/>
  <c r="EN404" i="23916"/>
  <c r="EM411" i="23916"/>
  <c r="GE19" i="23916"/>
  <c r="EO156" i="23916"/>
  <c r="EP156" i="23916" s="1"/>
  <c r="EP151" i="23916"/>
  <c r="EO394" i="23916"/>
  <c r="EP394" i="23916" s="1"/>
  <c r="GO409" i="23916"/>
  <c r="GL573" i="23916"/>
  <c r="GL407" i="23916"/>
  <c r="GL210" i="23916"/>
  <c r="GM210" i="23916" s="1"/>
  <c r="GM209" i="23916"/>
  <c r="GT392" i="23916"/>
  <c r="GS392" i="23916"/>
  <c r="GG495" i="23916"/>
  <c r="GF19" i="23916"/>
  <c r="GG19" i="23916" s="1"/>
  <c r="GM408" i="23916"/>
  <c r="BA419" i="23916"/>
  <c r="BA440" i="23916"/>
  <c r="GP568" i="23916"/>
  <c r="GQ485" i="23916"/>
  <c r="GP490" i="23916"/>
  <c r="GQ490" i="23916" s="1"/>
  <c r="GP489" i="23916"/>
  <c r="GQ489" i="23916" s="1"/>
  <c r="GD29" i="23916"/>
  <c r="GE25" i="23916"/>
  <c r="GD32" i="23916"/>
  <c r="GD36" i="23916"/>
  <c r="GE36" i="23916" s="1"/>
  <c r="GN94" i="23916"/>
  <c r="GO94" i="23916" s="1"/>
  <c r="GN97" i="23916"/>
  <c r="GO93" i="23916"/>
  <c r="FL538" i="23916"/>
  <c r="FM538" i="23916" s="1"/>
  <c r="FL539" i="23916"/>
  <c r="FM539" i="23916" s="1"/>
  <c r="FL491" i="23916"/>
  <c r="FM491" i="23916" s="1"/>
  <c r="FM438" i="23916"/>
  <c r="FL480" i="23916"/>
  <c r="FM480" i="23916" s="1"/>
  <c r="GJ142" i="23916"/>
  <c r="GJ42" i="23916"/>
  <c r="GK39" i="23916"/>
  <c r="EQ384" i="23916"/>
  <c r="EQ145" i="23916"/>
  <c r="ER142" i="23916"/>
  <c r="EQ155" i="23916"/>
  <c r="ER155" i="23916" s="1"/>
  <c r="EO395" i="23916"/>
  <c r="EP395" i="23916" s="1"/>
  <c r="EP390" i="23916"/>
  <c r="FQ480" i="23916"/>
  <c r="FO539" i="23916"/>
  <c r="FQ539" i="23916"/>
  <c r="AX460" i="23916"/>
  <c r="BF460" i="23916"/>
  <c r="GN243" i="23916"/>
  <c r="GO239" i="23916"/>
  <c r="GN240" i="23916"/>
  <c r="GO240" i="23916" s="1"/>
  <c r="GN9" i="23916"/>
  <c r="GO9" i="23916" s="1"/>
  <c r="EN159" i="23916"/>
  <c r="EM163" i="23916"/>
  <c r="EM160" i="23916"/>
  <c r="EN160" i="23916" s="1"/>
  <c r="EM7" i="23916"/>
  <c r="GT198" i="23916"/>
  <c r="GS198" i="23916"/>
  <c r="GR205" i="23916"/>
  <c r="FO454" i="23916"/>
  <c r="GT231" i="23916"/>
  <c r="GS231" i="23916"/>
  <c r="GR239" i="23916"/>
  <c r="AX539" i="23916"/>
  <c r="BF539" i="23916"/>
  <c r="GM409" i="23916"/>
  <c r="GT84" i="23916"/>
  <c r="GS84" i="23916"/>
  <c r="GR85" i="23916"/>
  <c r="GP409" i="23916"/>
  <c r="GQ280" i="23916"/>
  <c r="FY19" i="23916"/>
  <c r="GP572" i="23916"/>
  <c r="GP406" i="23916"/>
  <c r="GQ129" i="23916"/>
  <c r="GP209" i="23916"/>
  <c r="GQ205" i="23916"/>
  <c r="GP206" i="23916"/>
  <c r="GQ206" i="23916" s="1"/>
  <c r="GP8" i="23916"/>
  <c r="GQ8" i="23916" s="1"/>
  <c r="GS229" i="23916"/>
  <c r="GT229" i="23916"/>
  <c r="AX491" i="23916"/>
  <c r="BF491" i="23916"/>
  <c r="AY419" i="23916"/>
  <c r="AY440" i="23916"/>
  <c r="GB35" i="23916"/>
  <c r="GC35" i="23916" s="1"/>
  <c r="GB33" i="23916"/>
  <c r="GC33" i="23916" s="1"/>
  <c r="GC34" i="23916"/>
  <c r="GN573" i="23916"/>
  <c r="GN407" i="23916"/>
  <c r="GO209" i="23916"/>
  <c r="GN210" i="23916"/>
  <c r="GO210" i="23916" s="1"/>
  <c r="FL637" i="23916"/>
  <c r="FL5" i="23916" s="1"/>
  <c r="FM488" i="23916"/>
  <c r="FL460" i="23916"/>
  <c r="FM460" i="23916" s="1"/>
  <c r="FN581" i="23916"/>
  <c r="FQ493" i="23916"/>
  <c r="GQ231" i="23916"/>
  <c r="GP239" i="23916"/>
  <c r="ER42" i="23916"/>
  <c r="EQ48" i="23916"/>
  <c r="EQ49" i="23916" s="1"/>
  <c r="FO438" i="23916"/>
  <c r="AW581" i="23916"/>
  <c r="AX493" i="23916"/>
  <c r="BF493" i="23916"/>
  <c r="FL493" i="23916"/>
  <c r="FO493" i="23916" s="1"/>
  <c r="FO460" i="23916"/>
  <c r="FQ460" i="23916"/>
  <c r="ER49" i="23916" l="1"/>
  <c r="EQ55" i="23916"/>
  <c r="GD34" i="23916"/>
  <c r="GE32" i="23916"/>
  <c r="EO411" i="23916"/>
  <c r="EP404" i="23916"/>
  <c r="EK527" i="23916"/>
  <c r="EK529" i="23916"/>
  <c r="EK539" i="23916" s="1"/>
  <c r="EL539" i="23916" s="1"/>
  <c r="EK491" i="23916"/>
  <c r="EL491" i="23916" s="1"/>
  <c r="EL438" i="23916"/>
  <c r="EK480" i="23916"/>
  <c r="EL480" i="23916" s="1"/>
  <c r="GI19" i="23916"/>
  <c r="GQ409" i="23916"/>
  <c r="GT239" i="23916"/>
  <c r="GR243" i="23916"/>
  <c r="GS239" i="23916"/>
  <c r="GR240" i="23916"/>
  <c r="GR9" i="23916"/>
  <c r="GR209" i="23916"/>
  <c r="GR206" i="23916"/>
  <c r="GT205" i="23916"/>
  <c r="GS205" i="23916"/>
  <c r="GR8" i="23916"/>
  <c r="FO480" i="23916"/>
  <c r="GK42" i="23916"/>
  <c r="GN405" i="23916"/>
  <c r="GO97" i="23916"/>
  <c r="EO398" i="23916"/>
  <c r="EP398" i="23916" s="1"/>
  <c r="GR277" i="23916"/>
  <c r="GR280" i="23916"/>
  <c r="GT276" i="23916"/>
  <c r="GS276" i="23916"/>
  <c r="GR10" i="23916"/>
  <c r="AW419" i="23916"/>
  <c r="AW440" i="23916"/>
  <c r="GM405" i="23916"/>
  <c r="GO407" i="23916"/>
  <c r="GQ406" i="23916"/>
  <c r="EM12" i="23916"/>
  <c r="EN7" i="23916"/>
  <c r="GJ148" i="23916"/>
  <c r="GJ51" i="23916"/>
  <c r="GK45" i="23916"/>
  <c r="GR568" i="23916"/>
  <c r="GT485" i="23916"/>
  <c r="GS485" i="23916"/>
  <c r="GR490" i="23916"/>
  <c r="GR489" i="23916"/>
  <c r="GS126" i="23916"/>
  <c r="GT126" i="23916"/>
  <c r="FL581" i="23916"/>
  <c r="FM493" i="23916"/>
  <c r="GP240" i="23916"/>
  <c r="GQ240" i="23916" s="1"/>
  <c r="GQ239" i="23916"/>
  <c r="GP243" i="23916"/>
  <c r="GP9" i="23916"/>
  <c r="GQ9" i="23916" s="1"/>
  <c r="GP573" i="23916"/>
  <c r="GP407" i="23916"/>
  <c r="GP210" i="23916"/>
  <c r="GQ210" i="23916" s="1"/>
  <c r="GQ209" i="23916"/>
  <c r="GT85" i="23916"/>
  <c r="GS85" i="23916"/>
  <c r="GR93" i="23916"/>
  <c r="EM403" i="23916"/>
  <c r="EN163" i="23916"/>
  <c r="ER145" i="23916"/>
  <c r="GJ384" i="23916"/>
  <c r="GJ145" i="23916"/>
  <c r="GK142" i="23916"/>
  <c r="GJ155" i="23916"/>
  <c r="GK155" i="23916" s="1"/>
  <c r="GE29" i="23916"/>
  <c r="GF25" i="23916"/>
  <c r="GM407" i="23916"/>
  <c r="EM580" i="23916"/>
  <c r="EM413" i="23916"/>
  <c r="EN411" i="23916"/>
  <c r="EP159" i="23916"/>
  <c r="EO7" i="23916"/>
  <c r="EO163" i="23916"/>
  <c r="EO160" i="23916"/>
  <c r="EP160" i="23916" s="1"/>
  <c r="EQ151" i="23916"/>
  <c r="ER48" i="23916"/>
  <c r="GJ48" i="23916"/>
  <c r="GN408" i="23916"/>
  <c r="GO243" i="23916"/>
  <c r="GN574" i="23916"/>
  <c r="EQ587" i="23916"/>
  <c r="EQ387" i="23916"/>
  <c r="ER384" i="23916"/>
  <c r="FO491" i="23916"/>
  <c r="EQ390" i="23916"/>
  <c r="EQ154" i="23916"/>
  <c r="ER154" i="23916" s="1"/>
  <c r="EQ152" i="23916"/>
  <c r="ER152" i="23916" s="1"/>
  <c r="ER148" i="23916"/>
  <c r="EL14" i="23916"/>
  <c r="EK15" i="23916"/>
  <c r="GQ93" i="23916"/>
  <c r="GP94" i="23916"/>
  <c r="GQ94" i="23916" s="1"/>
  <c r="GP97" i="23916"/>
  <c r="GR572" i="23916"/>
  <c r="GR406" i="23916"/>
  <c r="GT129" i="23916"/>
  <c r="GS129" i="23916"/>
  <c r="EK581" i="23916"/>
  <c r="EK495" i="23916"/>
  <c r="EL493" i="23916"/>
  <c r="EK18" i="23916"/>
  <c r="EL18" i="23916" s="1"/>
  <c r="EK637" i="23916"/>
  <c r="EL488" i="23916"/>
  <c r="EK17" i="23916"/>
  <c r="EL17" i="23916" s="1"/>
  <c r="EK460" i="23916"/>
  <c r="EL460" i="23916" s="1"/>
  <c r="EO12" i="23916" l="1"/>
  <c r="EP7" i="23916"/>
  <c r="GF29" i="23916"/>
  <c r="GG25" i="23916"/>
  <c r="GF32" i="23916"/>
  <c r="GF36" i="23916"/>
  <c r="GG36" i="23916" s="1"/>
  <c r="GK145" i="23916"/>
  <c r="EM13" i="23916"/>
  <c r="EN12" i="23916"/>
  <c r="GR409" i="23916"/>
  <c r="GS280" i="23916"/>
  <c r="GT280" i="23916"/>
  <c r="GR574" i="23916"/>
  <c r="GO405" i="23916"/>
  <c r="GT8" i="23916"/>
  <c r="GS8" i="23916"/>
  <c r="GR573" i="23916"/>
  <c r="GR407" i="23916"/>
  <c r="GT209" i="23916"/>
  <c r="GR210" i="23916"/>
  <c r="GS209" i="23916"/>
  <c r="GR408" i="23916"/>
  <c r="GS243" i="23916"/>
  <c r="GT243" i="23916"/>
  <c r="EL495" i="23916"/>
  <c r="EK19" i="23916"/>
  <c r="EL19" i="23916" s="1"/>
  <c r="EK418" i="23916"/>
  <c r="GT406" i="23916"/>
  <c r="GS406" i="23916"/>
  <c r="ER151" i="23916"/>
  <c r="EQ156" i="23916"/>
  <c r="ER156" i="23916" s="1"/>
  <c r="EQ394" i="23916"/>
  <c r="ER394" i="23916" s="1"/>
  <c r="GJ587" i="23916"/>
  <c r="GK384" i="23916"/>
  <c r="GJ387" i="23916"/>
  <c r="EM446" i="23916"/>
  <c r="EN446" i="23916" s="1"/>
  <c r="EN403" i="23916"/>
  <c r="GT489" i="23916"/>
  <c r="GS489" i="23916"/>
  <c r="GJ578" i="23916"/>
  <c r="GL51" i="23916"/>
  <c r="GK51" i="23916"/>
  <c r="GT10" i="23916"/>
  <c r="GS10" i="23916"/>
  <c r="GT277" i="23916"/>
  <c r="GS277" i="23916"/>
  <c r="GT9" i="23916"/>
  <c r="GS9" i="23916"/>
  <c r="EK560" i="23916"/>
  <c r="EL560" i="23916" s="1"/>
  <c r="EK557" i="23916"/>
  <c r="EL557" i="23916" s="1"/>
  <c r="EK558" i="23916"/>
  <c r="EL558" i="23916" s="1"/>
  <c r="EK532" i="23916"/>
  <c r="EL532" i="23916" s="1"/>
  <c r="EK531" i="23916"/>
  <c r="EL529" i="23916"/>
  <c r="EK526" i="23916"/>
  <c r="EL526" i="23916" s="1"/>
  <c r="EK522" i="23916"/>
  <c r="EK554" i="23916"/>
  <c r="EL554" i="23916" s="1"/>
  <c r="EK553" i="23916"/>
  <c r="EL553" i="23916" s="1"/>
  <c r="EK555" i="23916"/>
  <c r="EL555" i="23916" s="1"/>
  <c r="EK556" i="23916"/>
  <c r="EL556" i="23916" s="1"/>
  <c r="GD35" i="23916"/>
  <c r="GE35" i="23916" s="1"/>
  <c r="GD33" i="23916"/>
  <c r="GE33" i="23916" s="1"/>
  <c r="GE34" i="23916"/>
  <c r="EK16" i="23916"/>
  <c r="EL15" i="23916"/>
  <c r="ER387" i="23916"/>
  <c r="GO408" i="23916"/>
  <c r="EQ159" i="23916"/>
  <c r="GR94" i="23916"/>
  <c r="GR97" i="23916"/>
  <c r="GT93" i="23916"/>
  <c r="GS93" i="23916"/>
  <c r="GP408" i="23916"/>
  <c r="GQ243" i="23916"/>
  <c r="GP574" i="23916"/>
  <c r="GS490" i="23916"/>
  <c r="GT490" i="23916"/>
  <c r="GJ390" i="23916"/>
  <c r="GJ154" i="23916"/>
  <c r="GK154" i="23916" s="1"/>
  <c r="GK148" i="23916"/>
  <c r="GS240" i="23916"/>
  <c r="GT240" i="23916"/>
  <c r="EL527" i="23916"/>
  <c r="EO580" i="23916"/>
  <c r="EO413" i="23916"/>
  <c r="EP411" i="23916"/>
  <c r="EQ56" i="23916"/>
  <c r="ER56" i="23916" s="1"/>
  <c r="EQ59" i="23916"/>
  <c r="ER55" i="23916"/>
  <c r="GP405" i="23916"/>
  <c r="GQ97" i="23916"/>
  <c r="ER390" i="23916"/>
  <c r="GJ53" i="23916"/>
  <c r="GJ151" i="23916"/>
  <c r="GK48" i="23916"/>
  <c r="EO403" i="23916"/>
  <c r="EP163" i="23916"/>
  <c r="EM414" i="23916"/>
  <c r="EM416" i="23916" s="1"/>
  <c r="EN413" i="23916"/>
  <c r="EM453" i="23916"/>
  <c r="EN453" i="23916" s="1"/>
  <c r="EM449" i="23916"/>
  <c r="EN449" i="23916" s="1"/>
  <c r="EM448" i="23916"/>
  <c r="EN448" i="23916" s="1"/>
  <c r="EM451" i="23916"/>
  <c r="EN451" i="23916" s="1"/>
  <c r="EM452" i="23916"/>
  <c r="EN452" i="23916" s="1"/>
  <c r="EM450" i="23916"/>
  <c r="EN450" i="23916" s="1"/>
  <c r="EM447" i="23916"/>
  <c r="GQ407" i="23916"/>
  <c r="GJ49" i="23916"/>
  <c r="GT206" i="23916"/>
  <c r="GS206" i="23916"/>
  <c r="EQ395" i="23916" l="1"/>
  <c r="EM454" i="23916"/>
  <c r="EN454" i="23916" s="1"/>
  <c r="EN447" i="23916"/>
  <c r="EN414" i="23916"/>
  <c r="EM14" i="23916"/>
  <c r="EM584" i="23916"/>
  <c r="EM585" i="23916" s="1"/>
  <c r="EQ571" i="23916"/>
  <c r="EQ575" i="23916" s="1"/>
  <c r="EQ404" i="23916"/>
  <c r="ER59" i="23916"/>
  <c r="GS409" i="23916"/>
  <c r="GT409" i="23916"/>
  <c r="GK390" i="23916"/>
  <c r="GR405" i="23916"/>
  <c r="GS97" i="23916"/>
  <c r="GT97" i="23916"/>
  <c r="GH25" i="23916"/>
  <c r="GG29" i="23916"/>
  <c r="GK53" i="23916"/>
  <c r="GL53" i="23916"/>
  <c r="GQ405" i="23916"/>
  <c r="GQ408" i="23916"/>
  <c r="GT94" i="23916"/>
  <c r="GS94" i="23916"/>
  <c r="EK523" i="23916"/>
  <c r="EL523" i="23916" s="1"/>
  <c r="EL522" i="23916"/>
  <c r="EK549" i="23916"/>
  <c r="EL549" i="23916" s="1"/>
  <c r="EK546" i="23916"/>
  <c r="EL546" i="23916" s="1"/>
  <c r="EK547" i="23916"/>
  <c r="EL547" i="23916" s="1"/>
  <c r="EK533" i="23916"/>
  <c r="EL533" i="23916" s="1"/>
  <c r="EL531" i="23916"/>
  <c r="EK543" i="23916"/>
  <c r="EL543" i="23916" s="1"/>
  <c r="EK542" i="23916"/>
  <c r="EL542" i="23916" s="1"/>
  <c r="EK544" i="23916"/>
  <c r="EL544" i="23916" s="1"/>
  <c r="EK545" i="23916"/>
  <c r="EL545" i="23916" s="1"/>
  <c r="EK536" i="23916"/>
  <c r="EL536" i="23916" s="1"/>
  <c r="EK537" i="23916"/>
  <c r="EL537" i="23916" s="1"/>
  <c r="EK538" i="23916"/>
  <c r="EL538" i="23916" s="1"/>
  <c r="EK419" i="23916"/>
  <c r="EK440" i="23916"/>
  <c r="EK475" i="23916" s="1"/>
  <c r="GK49" i="23916"/>
  <c r="GJ55" i="23916"/>
  <c r="EM559" i="23916"/>
  <c r="EN559" i="23916" s="1"/>
  <c r="EM548" i="23916"/>
  <c r="EN548" i="23916" s="1"/>
  <c r="EM488" i="23916"/>
  <c r="EM438" i="23916"/>
  <c r="EM417" i="23916"/>
  <c r="EM493" i="23916" s="1"/>
  <c r="EN416" i="23916"/>
  <c r="EM443" i="23916"/>
  <c r="EN443" i="23916" s="1"/>
  <c r="EM479" i="23916"/>
  <c r="EN479" i="23916" s="1"/>
  <c r="GK151" i="23916"/>
  <c r="GJ156" i="23916"/>
  <c r="GK156" i="23916" s="1"/>
  <c r="GJ394" i="23916"/>
  <c r="GK394" i="23916" s="1"/>
  <c r="GK387" i="23916"/>
  <c r="GS210" i="23916"/>
  <c r="GT210" i="23916"/>
  <c r="EO446" i="23916"/>
  <c r="EP446" i="23916" s="1"/>
  <c r="EP403" i="23916"/>
  <c r="EO414" i="23916"/>
  <c r="EO416" i="23916" s="1"/>
  <c r="EP413" i="23916"/>
  <c r="EO449" i="23916"/>
  <c r="EP449" i="23916" s="1"/>
  <c r="EO453" i="23916"/>
  <c r="EP453" i="23916" s="1"/>
  <c r="EO451" i="23916"/>
  <c r="EP451" i="23916" s="1"/>
  <c r="EO452" i="23916"/>
  <c r="EP452" i="23916" s="1"/>
  <c r="EO450" i="23916"/>
  <c r="EP450" i="23916" s="1"/>
  <c r="EO448" i="23916"/>
  <c r="EP448" i="23916" s="1"/>
  <c r="EO447" i="23916"/>
  <c r="GJ152" i="23916"/>
  <c r="ER159" i="23916"/>
  <c r="EQ7" i="23916"/>
  <c r="EQ163" i="23916"/>
  <c r="EQ160" i="23916"/>
  <c r="ER160" i="23916" s="1"/>
  <c r="GL601" i="23916"/>
  <c r="GL578" i="23916"/>
  <c r="GL52" i="23916"/>
  <c r="GM51" i="23916"/>
  <c r="GN51" i="23916"/>
  <c r="GS408" i="23916"/>
  <c r="GT408" i="23916"/>
  <c r="GT407" i="23916"/>
  <c r="GS407" i="23916"/>
  <c r="GF34" i="23916"/>
  <c r="GG32" i="23916"/>
  <c r="EO13" i="23916"/>
  <c r="EP12" i="23916"/>
  <c r="V48" i="24068"/>
  <c r="V9" i="24068"/>
  <c r="V27" i="24068"/>
  <c r="V18" i="24068"/>
  <c r="V19" i="24068"/>
  <c r="ER395" i="23916" l="1"/>
  <c r="EQ398" i="23916"/>
  <c r="ER398" i="23916" s="1"/>
  <c r="EM491" i="23916"/>
  <c r="EN491" i="23916" s="1"/>
  <c r="EN438" i="23916"/>
  <c r="EM480" i="23916"/>
  <c r="EN480" i="23916" s="1"/>
  <c r="EM529" i="23916"/>
  <c r="EM527" i="23916"/>
  <c r="GN601" i="23916"/>
  <c r="GN578" i="23916"/>
  <c r="GP51" i="23916"/>
  <c r="GO51" i="23916"/>
  <c r="GN52" i="23916"/>
  <c r="GF35" i="23916"/>
  <c r="GG35" i="23916" s="1"/>
  <c r="GF33" i="23916"/>
  <c r="GG33" i="23916" s="1"/>
  <c r="GG34" i="23916"/>
  <c r="GK152" i="23916"/>
  <c r="GJ159" i="23916"/>
  <c r="EO559" i="23916"/>
  <c r="EP559" i="23916" s="1"/>
  <c r="EO548" i="23916"/>
  <c r="EP548" i="23916" s="1"/>
  <c r="EO488" i="23916"/>
  <c r="EO417" i="23916"/>
  <c r="EO493" i="23916" s="1"/>
  <c r="EO438" i="23916"/>
  <c r="EP416" i="23916"/>
  <c r="EO443" i="23916"/>
  <c r="EP443" i="23916" s="1"/>
  <c r="EO479" i="23916"/>
  <c r="EP479" i="23916" s="1"/>
  <c r="EM581" i="23916"/>
  <c r="EM495" i="23916"/>
  <c r="EN493" i="23916"/>
  <c r="EM18" i="23916"/>
  <c r="EN18" i="23916" s="1"/>
  <c r="EQ411" i="23916"/>
  <c r="ER404" i="23916"/>
  <c r="EN14" i="23916"/>
  <c r="EM15" i="23916"/>
  <c r="EQ12" i="23916"/>
  <c r="ER7" i="23916"/>
  <c r="EP414" i="23916"/>
  <c r="EO14" i="23916"/>
  <c r="EO584" i="23916"/>
  <c r="EO585" i="23916" s="1"/>
  <c r="EM637" i="23916"/>
  <c r="EN488" i="23916"/>
  <c r="EM17" i="23916"/>
  <c r="EN17" i="23916" s="1"/>
  <c r="EM460" i="23916"/>
  <c r="EN460" i="23916" s="1"/>
  <c r="GH29" i="23916"/>
  <c r="GI25" i="23916"/>
  <c r="GH32" i="23916"/>
  <c r="GH36" i="23916"/>
  <c r="GI36" i="23916" s="1"/>
  <c r="EQ403" i="23916"/>
  <c r="ER163" i="23916"/>
  <c r="EO454" i="23916"/>
  <c r="EP454" i="23916" s="1"/>
  <c r="EP447" i="23916"/>
  <c r="GT405" i="23916"/>
  <c r="GS405" i="23916"/>
  <c r="GJ59" i="23916"/>
  <c r="GK55" i="23916"/>
  <c r="GJ56" i="23916"/>
  <c r="GK56" i="23916" s="1"/>
  <c r="GN53" i="23916"/>
  <c r="GM53" i="23916"/>
  <c r="GJ395" i="23916"/>
  <c r="V16" i="24068"/>
  <c r="GO53" i="23916" l="1"/>
  <c r="GP53" i="23916"/>
  <c r="ER12" i="23916"/>
  <c r="GI29" i="23916"/>
  <c r="GJ25" i="23916"/>
  <c r="GJ571" i="23916"/>
  <c r="GJ575" i="23916" s="1"/>
  <c r="GJ404" i="23916"/>
  <c r="GK59" i="23916"/>
  <c r="EO581" i="23916"/>
  <c r="EO495" i="23916"/>
  <c r="EP493" i="23916"/>
  <c r="EO18" i="23916"/>
  <c r="EP18" i="23916" s="1"/>
  <c r="EO527" i="23916"/>
  <c r="EN527" i="23916"/>
  <c r="EQ580" i="23916"/>
  <c r="ER411" i="23916"/>
  <c r="EQ413" i="23916"/>
  <c r="EQ446" i="23916" s="1"/>
  <c r="ER446" i="23916" s="1"/>
  <c r="EN495" i="23916"/>
  <c r="EM19" i="23916"/>
  <c r="EN19" i="23916" s="1"/>
  <c r="EM418" i="23916"/>
  <c r="EO637" i="23916"/>
  <c r="EP488" i="23916"/>
  <c r="EO17" i="23916"/>
  <c r="EP17" i="23916" s="1"/>
  <c r="EO460" i="23916"/>
  <c r="EP460" i="23916" s="1"/>
  <c r="GP601" i="23916"/>
  <c r="GP578" i="23916"/>
  <c r="GP52" i="23916"/>
  <c r="GQ51" i="23916"/>
  <c r="GR51" i="23916"/>
  <c r="EM558" i="23916"/>
  <c r="EN558" i="23916" s="1"/>
  <c r="EM560" i="23916"/>
  <c r="EN560" i="23916" s="1"/>
  <c r="EM557" i="23916"/>
  <c r="EN557" i="23916" s="1"/>
  <c r="EM532" i="23916"/>
  <c r="EN532" i="23916" s="1"/>
  <c r="EM531" i="23916"/>
  <c r="EN529" i="23916"/>
  <c r="EM526" i="23916"/>
  <c r="EN526" i="23916" s="1"/>
  <c r="EO529" i="23916"/>
  <c r="EO539" i="23916" s="1"/>
  <c r="EP539" i="23916" s="1"/>
  <c r="EM522" i="23916"/>
  <c r="EM553" i="23916"/>
  <c r="EN553" i="23916" s="1"/>
  <c r="EM555" i="23916"/>
  <c r="EN555" i="23916" s="1"/>
  <c r="EM554" i="23916"/>
  <c r="EN554" i="23916" s="1"/>
  <c r="EM556" i="23916"/>
  <c r="EN556" i="23916" s="1"/>
  <c r="GK395" i="23916"/>
  <c r="GJ398" i="23916"/>
  <c r="GK398" i="23916" s="1"/>
  <c r="EP14" i="23916"/>
  <c r="EO15" i="23916"/>
  <c r="EM16" i="23916"/>
  <c r="EN15" i="23916"/>
  <c r="GJ163" i="23916"/>
  <c r="GJ160" i="23916"/>
  <c r="GK160" i="23916" s="1"/>
  <c r="GK159" i="23916"/>
  <c r="GJ7" i="23916"/>
  <c r="GH34" i="23916"/>
  <c r="GI32" i="23916"/>
  <c r="ER403" i="23916"/>
  <c r="EO491" i="23916"/>
  <c r="EP491" i="23916" s="1"/>
  <c r="EP438" i="23916"/>
  <c r="EO480" i="23916"/>
  <c r="EP480" i="23916" s="1"/>
  <c r="EM539" i="23916"/>
  <c r="EN539" i="23916" s="1"/>
  <c r="V32" i="24068"/>
  <c r="EP15" i="23916" l="1"/>
  <c r="EO16" i="23916"/>
  <c r="EM419" i="23916"/>
  <c r="EM440" i="23916"/>
  <c r="EM475" i="23916" s="1"/>
  <c r="EP527" i="23916"/>
  <c r="GK25" i="23916"/>
  <c r="GJ29" i="23916"/>
  <c r="GJ36" i="23916"/>
  <c r="GJ32" i="23916"/>
  <c r="EM523" i="23916"/>
  <c r="EN523" i="23916" s="1"/>
  <c r="EN522" i="23916"/>
  <c r="GR53" i="23916"/>
  <c r="GQ53" i="23916"/>
  <c r="GH35" i="23916"/>
  <c r="GI35" i="23916" s="1"/>
  <c r="GH33" i="23916"/>
  <c r="GI33" i="23916" s="1"/>
  <c r="GI34" i="23916"/>
  <c r="GJ403" i="23916"/>
  <c r="GK163" i="23916"/>
  <c r="EM546" i="23916"/>
  <c r="EN546" i="23916" s="1"/>
  <c r="EM547" i="23916"/>
  <c r="EN547" i="23916" s="1"/>
  <c r="EM549" i="23916"/>
  <c r="EN549" i="23916" s="1"/>
  <c r="EM533" i="23916"/>
  <c r="EN533" i="23916" s="1"/>
  <c r="EN531" i="23916"/>
  <c r="EM543" i="23916"/>
  <c r="EN543" i="23916" s="1"/>
  <c r="EM542" i="23916"/>
  <c r="EN542" i="23916" s="1"/>
  <c r="EM544" i="23916"/>
  <c r="EN544" i="23916" s="1"/>
  <c r="EM545" i="23916"/>
  <c r="EN545" i="23916" s="1"/>
  <c r="EM536" i="23916"/>
  <c r="EN536" i="23916" s="1"/>
  <c r="EM537" i="23916"/>
  <c r="EN537" i="23916" s="1"/>
  <c r="EM538" i="23916"/>
  <c r="EN538" i="23916" s="1"/>
  <c r="GJ411" i="23916"/>
  <c r="GJ576" i="23916" s="1"/>
  <c r="GK404" i="23916"/>
  <c r="GK7" i="23916"/>
  <c r="GJ12" i="23916"/>
  <c r="EO560" i="23916"/>
  <c r="EP560" i="23916" s="1"/>
  <c r="EO558" i="23916"/>
  <c r="EP558" i="23916" s="1"/>
  <c r="EO557" i="23916"/>
  <c r="EP557" i="23916" s="1"/>
  <c r="EO532" i="23916"/>
  <c r="EP532" i="23916" s="1"/>
  <c r="EO531" i="23916"/>
  <c r="EP529" i="23916"/>
  <c r="EO526" i="23916"/>
  <c r="EP526" i="23916" s="1"/>
  <c r="EO522" i="23916"/>
  <c r="EO555" i="23916"/>
  <c r="EP555" i="23916" s="1"/>
  <c r="EO554" i="23916"/>
  <c r="EP554" i="23916" s="1"/>
  <c r="EO553" i="23916"/>
  <c r="EP553" i="23916" s="1"/>
  <c r="EO556" i="23916"/>
  <c r="EP556" i="23916" s="1"/>
  <c r="GR601" i="23916"/>
  <c r="GR578" i="23916"/>
  <c r="GR52" i="23916"/>
  <c r="GT51" i="23916"/>
  <c r="GS51" i="23916"/>
  <c r="EQ414" i="23916"/>
  <c r="EQ416" i="23916" s="1"/>
  <c r="ER413" i="23916"/>
  <c r="EQ453" i="23916"/>
  <c r="ER453" i="23916" s="1"/>
  <c r="EQ449" i="23916"/>
  <c r="ER449" i="23916" s="1"/>
  <c r="EQ451" i="23916"/>
  <c r="ER451" i="23916" s="1"/>
  <c r="EQ448" i="23916"/>
  <c r="ER448" i="23916" s="1"/>
  <c r="EQ452" i="23916"/>
  <c r="ER452" i="23916" s="1"/>
  <c r="EQ450" i="23916"/>
  <c r="ER450" i="23916" s="1"/>
  <c r="EQ447" i="23916"/>
  <c r="EP495" i="23916"/>
  <c r="EO19" i="23916"/>
  <c r="EP19" i="23916" s="1"/>
  <c r="EO418" i="23916"/>
  <c r="EQ13" i="23916"/>
  <c r="V25" i="24068"/>
  <c r="EQ559" i="23916" l="1"/>
  <c r="ER559" i="23916" s="1"/>
  <c r="EQ548" i="23916"/>
  <c r="ER548" i="23916" s="1"/>
  <c r="EQ488" i="23916"/>
  <c r="EQ438" i="23916"/>
  <c r="EQ417" i="23916"/>
  <c r="EQ493" i="23916" s="1"/>
  <c r="ER416" i="23916"/>
  <c r="EQ443" i="23916"/>
  <c r="ER443" i="23916" s="1"/>
  <c r="EQ479" i="23916"/>
  <c r="ER479" i="23916" s="1"/>
  <c r="EO419" i="23916"/>
  <c r="EO440" i="23916"/>
  <c r="EO475" i="23916" s="1"/>
  <c r="GL25" i="23916"/>
  <c r="GK29" i="23916"/>
  <c r="EP522" i="23916"/>
  <c r="EO523" i="23916"/>
  <c r="EP523" i="23916" s="1"/>
  <c r="EO549" i="23916"/>
  <c r="EP549" i="23916" s="1"/>
  <c r="EO546" i="23916"/>
  <c r="EP546" i="23916" s="1"/>
  <c r="EO547" i="23916"/>
  <c r="EP547" i="23916" s="1"/>
  <c r="EP531" i="23916"/>
  <c r="EO533" i="23916"/>
  <c r="EP533" i="23916" s="1"/>
  <c r="EO544" i="23916"/>
  <c r="EP544" i="23916" s="1"/>
  <c r="EO543" i="23916"/>
  <c r="EP543" i="23916" s="1"/>
  <c r="EO542" i="23916"/>
  <c r="EP542" i="23916" s="1"/>
  <c r="EO545" i="23916"/>
  <c r="EP545" i="23916" s="1"/>
  <c r="EO537" i="23916"/>
  <c r="EP537" i="23916" s="1"/>
  <c r="EO536" i="23916"/>
  <c r="EP536" i="23916" s="1"/>
  <c r="EO538" i="23916"/>
  <c r="EP538" i="23916" s="1"/>
  <c r="GK403" i="23916"/>
  <c r="EQ454" i="23916"/>
  <c r="ER454" i="23916" s="1"/>
  <c r="ER447" i="23916"/>
  <c r="GJ413" i="23916"/>
  <c r="GJ446" i="23916" s="1"/>
  <c r="GK446" i="23916" s="1"/>
  <c r="GK411" i="23916"/>
  <c r="GJ34" i="23916"/>
  <c r="GK32" i="23916"/>
  <c r="ER414" i="23916"/>
  <c r="EQ14" i="23916"/>
  <c r="GJ414" i="23916"/>
  <c r="EQ584" i="23916"/>
  <c r="EQ585" i="23916" s="1"/>
  <c r="GJ13" i="23916"/>
  <c r="GK12" i="23916"/>
  <c r="GS53" i="23916"/>
  <c r="GT53" i="23916"/>
  <c r="GL36" i="23916"/>
  <c r="GK36" i="23916"/>
  <c r="EQ581" i="23916" l="1"/>
  <c r="EQ495" i="23916"/>
  <c r="ER493" i="23916"/>
  <c r="EQ18" i="23916"/>
  <c r="ER18" i="23916" s="1"/>
  <c r="GN36" i="23916"/>
  <c r="GM36" i="23916"/>
  <c r="GJ415" i="23916"/>
  <c r="GK414" i="23916"/>
  <c r="GJ14" i="23916"/>
  <c r="GJ35" i="23916"/>
  <c r="GK35" i="23916" s="1"/>
  <c r="GL34" i="23916"/>
  <c r="GJ33" i="23916"/>
  <c r="GK34" i="23916"/>
  <c r="GL28" i="23916"/>
  <c r="GM28" i="23916" s="1"/>
  <c r="GM25" i="23916"/>
  <c r="ER14" i="23916"/>
  <c r="EQ15" i="23916"/>
  <c r="EQ491" i="23916"/>
  <c r="ER491" i="23916" s="1"/>
  <c r="ER438" i="23916"/>
  <c r="EQ480" i="23916"/>
  <c r="ER480" i="23916" s="1"/>
  <c r="EQ529" i="23916"/>
  <c r="EQ539" i="23916" s="1"/>
  <c r="ER539" i="23916" s="1"/>
  <c r="EQ527" i="23916"/>
  <c r="GJ416" i="23916"/>
  <c r="GK413" i="23916"/>
  <c r="GJ453" i="23916"/>
  <c r="GK453" i="23916" s="1"/>
  <c r="GJ452" i="23916"/>
  <c r="GK452" i="23916" s="1"/>
  <c r="GJ449" i="23916"/>
  <c r="GK449" i="23916" s="1"/>
  <c r="GJ451" i="23916"/>
  <c r="GK451" i="23916" s="1"/>
  <c r="GJ448" i="23916"/>
  <c r="GK448" i="23916" s="1"/>
  <c r="GJ450" i="23916"/>
  <c r="GK450" i="23916" s="1"/>
  <c r="GJ447" i="23916"/>
  <c r="EQ637" i="23916"/>
  <c r="ER488" i="23916"/>
  <c r="EQ17" i="23916"/>
  <c r="ER17" i="23916" s="1"/>
  <c r="EQ460" i="23916"/>
  <c r="ER460" i="23916" s="1"/>
  <c r="ET399" i="24050"/>
  <c r="ES399" i="24050"/>
  <c r="ET397" i="24050"/>
  <c r="ES397" i="24050"/>
  <c r="ET396" i="24050"/>
  <c r="ES396" i="24050"/>
  <c r="ET395" i="24050"/>
  <c r="ES395" i="24050"/>
  <c r="ET394" i="24050"/>
  <c r="ES394" i="24050"/>
  <c r="ET393" i="24050"/>
  <c r="ES393" i="24050"/>
  <c r="ET392" i="24050"/>
  <c r="ES392" i="24050"/>
  <c r="ET391" i="24050"/>
  <c r="ES391" i="24050"/>
  <c r="ET390" i="24050"/>
  <c r="ES390" i="24050"/>
  <c r="ET389" i="24050"/>
  <c r="ES389" i="24050"/>
  <c r="ET388" i="24050"/>
  <c r="ES388" i="24050"/>
  <c r="ET387" i="24050"/>
  <c r="ES387" i="24050"/>
  <c r="ET384" i="24050"/>
  <c r="ES384" i="24050"/>
  <c r="ET383" i="24050"/>
  <c r="ES383" i="24050"/>
  <c r="ET382" i="24050"/>
  <c r="ES382" i="24050"/>
  <c r="ET381" i="24050"/>
  <c r="ES381" i="24050"/>
  <c r="ET380" i="24050"/>
  <c r="ES380" i="24050"/>
  <c r="ES319" i="24050"/>
  <c r="ES318" i="24050"/>
  <c r="ES263" i="24050"/>
  <c r="ES262" i="24050"/>
  <c r="ES261" i="24050"/>
  <c r="ES260" i="24050"/>
  <c r="ES222" i="24050"/>
  <c r="ES221" i="24050"/>
  <c r="ES220" i="24050"/>
  <c r="ES219" i="24050"/>
  <c r="ES218" i="24050"/>
  <c r="ES180" i="24050"/>
  <c r="ES179" i="24050"/>
  <c r="ES178" i="24050"/>
  <c r="ES140" i="24050"/>
  <c r="ES139" i="24050"/>
  <c r="ES138" i="24050"/>
  <c r="ES137" i="24050"/>
  <c r="ES136" i="24050"/>
  <c r="ES135" i="24050"/>
  <c r="ES134" i="24050"/>
  <c r="ET5" i="24050"/>
  <c r="ET307" i="24050" s="1"/>
  <c r="ES5" i="24050"/>
  <c r="ES377" i="24050" s="1"/>
  <c r="GJ559" i="23916" l="1"/>
  <c r="GK559" i="23916" s="1"/>
  <c r="GJ548" i="23916"/>
  <c r="GK548" i="23916" s="1"/>
  <c r="GJ488" i="23916"/>
  <c r="GJ438" i="23916"/>
  <c r="GK416" i="23916"/>
  <c r="GJ417" i="23916"/>
  <c r="GJ443" i="23916"/>
  <c r="GK443" i="23916" s="1"/>
  <c r="GJ479" i="23916"/>
  <c r="GK479" i="23916" s="1"/>
  <c r="GL33" i="23916"/>
  <c r="GK33" i="23916"/>
  <c r="GL35" i="23916"/>
  <c r="GM35" i="23916" s="1"/>
  <c r="GN34" i="23916"/>
  <c r="GL32" i="23916"/>
  <c r="GM34" i="23916"/>
  <c r="GJ566" i="23916"/>
  <c r="GL415" i="23916"/>
  <c r="GK415" i="23916"/>
  <c r="GJ584" i="23916"/>
  <c r="GJ585" i="23916" s="1"/>
  <c r="GJ527" i="23916"/>
  <c r="ER527" i="23916"/>
  <c r="ER15" i="23916"/>
  <c r="EQ16" i="23916"/>
  <c r="ER495" i="23916"/>
  <c r="EQ19" i="23916"/>
  <c r="ER19" i="23916" s="1"/>
  <c r="EQ418" i="23916"/>
  <c r="GK447" i="23916"/>
  <c r="GJ454" i="23916"/>
  <c r="GK454" i="23916" s="1"/>
  <c r="EQ558" i="23916"/>
  <c r="ER558" i="23916" s="1"/>
  <c r="EQ560" i="23916"/>
  <c r="ER560" i="23916" s="1"/>
  <c r="EQ557" i="23916"/>
  <c r="ER557" i="23916" s="1"/>
  <c r="GJ529" i="23916"/>
  <c r="EQ532" i="23916"/>
  <c r="ER532" i="23916" s="1"/>
  <c r="EQ531" i="23916"/>
  <c r="ER529" i="23916"/>
  <c r="EQ526" i="23916"/>
  <c r="EQ522" i="23916"/>
  <c r="EQ554" i="23916"/>
  <c r="ER554" i="23916" s="1"/>
  <c r="EQ556" i="23916"/>
  <c r="ER556" i="23916" s="1"/>
  <c r="EQ555" i="23916"/>
  <c r="ER555" i="23916" s="1"/>
  <c r="EQ553" i="23916"/>
  <c r="ER553" i="23916" s="1"/>
  <c r="GK14" i="23916"/>
  <c r="GJ15" i="23916"/>
  <c r="GP36" i="23916"/>
  <c r="GO36" i="23916"/>
  <c r="ES400" i="24050"/>
  <c r="ET106" i="24050"/>
  <c r="ET189" i="24050"/>
  <c r="ES231" i="24050"/>
  <c r="ET272" i="24050"/>
  <c r="ET343" i="24050"/>
  <c r="ET377" i="24050"/>
  <c r="ES55" i="24050"/>
  <c r="ET231" i="24050"/>
  <c r="ET55" i="24050"/>
  <c r="ES149" i="24050"/>
  <c r="ES307" i="24050"/>
  <c r="ES106" i="24050"/>
  <c r="ET149" i="24050"/>
  <c r="ES189" i="24050"/>
  <c r="ES272" i="24050"/>
  <c r="ES343" i="24050"/>
  <c r="GK15" i="23916" l="1"/>
  <c r="GJ16" i="23916"/>
  <c r="GJ560" i="23916"/>
  <c r="GK560" i="23916" s="1"/>
  <c r="GJ558" i="23916"/>
  <c r="GK558" i="23916" s="1"/>
  <c r="GJ557" i="23916"/>
  <c r="GK557" i="23916" s="1"/>
  <c r="GK529" i="23916"/>
  <c r="GJ531" i="23916"/>
  <c r="GJ532" i="23916"/>
  <c r="GK532" i="23916" s="1"/>
  <c r="GJ522" i="23916"/>
  <c r="GJ554" i="23916"/>
  <c r="GK554" i="23916" s="1"/>
  <c r="GJ553" i="23916"/>
  <c r="GK553" i="23916" s="1"/>
  <c r="GJ555" i="23916"/>
  <c r="GK555" i="23916" s="1"/>
  <c r="GJ556" i="23916"/>
  <c r="GK556" i="23916" s="1"/>
  <c r="EQ523" i="23916"/>
  <c r="ER523" i="23916" s="1"/>
  <c r="ER522" i="23916"/>
  <c r="EQ546" i="23916"/>
  <c r="ER546" i="23916" s="1"/>
  <c r="EQ547" i="23916"/>
  <c r="ER547" i="23916" s="1"/>
  <c r="EQ549" i="23916"/>
  <c r="ER549" i="23916" s="1"/>
  <c r="EQ533" i="23916"/>
  <c r="ER533" i="23916" s="1"/>
  <c r="ER531" i="23916"/>
  <c r="EQ545" i="23916"/>
  <c r="ER545" i="23916" s="1"/>
  <c r="EQ543" i="23916"/>
  <c r="ER543" i="23916" s="1"/>
  <c r="EQ542" i="23916"/>
  <c r="ER542" i="23916" s="1"/>
  <c r="EQ544" i="23916"/>
  <c r="ER544" i="23916" s="1"/>
  <c r="EQ537" i="23916"/>
  <c r="ER537" i="23916" s="1"/>
  <c r="EQ536" i="23916"/>
  <c r="ER536" i="23916" s="1"/>
  <c r="EQ538" i="23916"/>
  <c r="ER538" i="23916" s="1"/>
  <c r="EQ419" i="23916"/>
  <c r="GJ419" i="23916" s="1"/>
  <c r="EQ440" i="23916"/>
  <c r="EQ475" i="23916" s="1"/>
  <c r="GL27" i="23916"/>
  <c r="GM32" i="23916"/>
  <c r="GN33" i="23916"/>
  <c r="GM33" i="23916"/>
  <c r="GR36" i="23916"/>
  <c r="GQ36" i="23916"/>
  <c r="GL566" i="23916"/>
  <c r="GN415" i="23916"/>
  <c r="GM415" i="23916"/>
  <c r="GN32" i="23916"/>
  <c r="GN35" i="23916"/>
  <c r="GO35" i="23916" s="1"/>
  <c r="GP34" i="23916"/>
  <c r="GO34" i="23916"/>
  <c r="GJ539" i="23916"/>
  <c r="GK539" i="23916" s="1"/>
  <c r="GJ491" i="23916"/>
  <c r="GK491" i="23916" s="1"/>
  <c r="GK438" i="23916"/>
  <c r="GJ480" i="23916"/>
  <c r="GK480" i="23916" s="1"/>
  <c r="GJ526" i="23916"/>
  <c r="GK526" i="23916" s="1"/>
  <c r="ER526" i="23916"/>
  <c r="GK527" i="23916"/>
  <c r="GJ637" i="23916"/>
  <c r="GK488" i="23916"/>
  <c r="GJ17" i="23916"/>
  <c r="GK17" i="23916" s="1"/>
  <c r="GJ460" i="23916"/>
  <c r="GK460" i="23916" s="1"/>
  <c r="GJ580" i="23916"/>
  <c r="GJ493" i="23916"/>
  <c r="GK417" i="23916"/>
  <c r="GK580" i="23916" s="1"/>
  <c r="V14" i="24068"/>
  <c r="M48" i="24068"/>
  <c r="L48" i="24068"/>
  <c r="K48" i="24068"/>
  <c r="J48" i="24068"/>
  <c r="I48" i="24068"/>
  <c r="H48" i="24068"/>
  <c r="G48" i="24068"/>
  <c r="F48" i="24068"/>
  <c r="E48" i="24068"/>
  <c r="D48" i="24068"/>
  <c r="C48" i="24068"/>
  <c r="B48" i="24068"/>
  <c r="U27" i="24068"/>
  <c r="T27" i="24068"/>
  <c r="E27" i="24068"/>
  <c r="D27" i="24068"/>
  <c r="C27" i="24068"/>
  <c r="B27" i="24068"/>
  <c r="E25" i="24068"/>
  <c r="D25" i="24068"/>
  <c r="C25" i="24068"/>
  <c r="B25" i="24068"/>
  <c r="M27" i="24068"/>
  <c r="L27" i="24068"/>
  <c r="K27" i="24068"/>
  <c r="J27" i="24068"/>
  <c r="I27" i="24068"/>
  <c r="I28" i="24068" s="1"/>
  <c r="H27" i="24068"/>
  <c r="H28" i="24068" s="1"/>
  <c r="G27" i="24068"/>
  <c r="F27" i="24068"/>
  <c r="F28" i="24068" s="1"/>
  <c r="M25" i="24068"/>
  <c r="L25" i="24068"/>
  <c r="K25" i="24068"/>
  <c r="J25" i="24068"/>
  <c r="I25" i="24068"/>
  <c r="H25" i="24068"/>
  <c r="H26" i="24068" s="1"/>
  <c r="G25" i="24068"/>
  <c r="F25" i="24068"/>
  <c r="F26" i="24068" s="1"/>
  <c r="E16" i="24068"/>
  <c r="D16" i="24068"/>
  <c r="C16" i="24068"/>
  <c r="B16" i="24068"/>
  <c r="U18" i="24068"/>
  <c r="U19" i="24068" s="1"/>
  <c r="T18" i="24068"/>
  <c r="M16" i="24068"/>
  <c r="L16" i="24068"/>
  <c r="K16" i="24068"/>
  <c r="J16" i="24068"/>
  <c r="I16" i="24068"/>
  <c r="I17" i="24068" s="1"/>
  <c r="H16" i="24068"/>
  <c r="G16" i="24068"/>
  <c r="F16" i="24068"/>
  <c r="U9" i="24068"/>
  <c r="V10" i="24068" s="1"/>
  <c r="T9" i="24068"/>
  <c r="EQ399" i="24050"/>
  <c r="EO399" i="24050"/>
  <c r="EM399" i="24050"/>
  <c r="BP399" i="24050"/>
  <c r="BN399" i="24050"/>
  <c r="ER399" i="24050"/>
  <c r="EP399" i="24050"/>
  <c r="EN399" i="24050"/>
  <c r="BO399" i="24050"/>
  <c r="ER397" i="24050"/>
  <c r="EQ397" i="24050"/>
  <c r="EP397" i="24050"/>
  <c r="EO397" i="24050"/>
  <c r="EN397" i="24050"/>
  <c r="EM397" i="24050"/>
  <c r="ER396" i="24050"/>
  <c r="EQ396" i="24050"/>
  <c r="EP396" i="24050"/>
  <c r="EO396" i="24050"/>
  <c r="EN396" i="24050"/>
  <c r="EM396" i="24050"/>
  <c r="ER395" i="24050"/>
  <c r="EQ395" i="24050"/>
  <c r="EP395" i="24050"/>
  <c r="EO395" i="24050"/>
  <c r="EN395" i="24050"/>
  <c r="EM395" i="24050"/>
  <c r="ER394" i="24050"/>
  <c r="EQ394" i="24050"/>
  <c r="EP394" i="24050"/>
  <c r="EO394" i="24050"/>
  <c r="EN394" i="24050"/>
  <c r="EM394" i="24050"/>
  <c r="ER393" i="24050"/>
  <c r="EQ393" i="24050"/>
  <c r="EP393" i="24050"/>
  <c r="EO393" i="24050"/>
  <c r="EN393" i="24050"/>
  <c r="EM393" i="24050"/>
  <c r="ER392" i="24050"/>
  <c r="EQ392" i="24050"/>
  <c r="EP392" i="24050"/>
  <c r="EO392" i="24050"/>
  <c r="EN392" i="24050"/>
  <c r="EM392" i="24050"/>
  <c r="ER391" i="24050"/>
  <c r="EQ391" i="24050"/>
  <c r="EP391" i="24050"/>
  <c r="EO391" i="24050"/>
  <c r="EN391" i="24050"/>
  <c r="EM391" i="24050"/>
  <c r="ER390" i="24050"/>
  <c r="EQ390" i="24050"/>
  <c r="EP390" i="24050"/>
  <c r="EO390" i="24050"/>
  <c r="EN390" i="24050"/>
  <c r="EM390" i="24050"/>
  <c r="ER389" i="24050"/>
  <c r="EQ389" i="24050"/>
  <c r="EP389" i="24050"/>
  <c r="EO389" i="24050"/>
  <c r="EN389" i="24050"/>
  <c r="EM389" i="24050"/>
  <c r="ER388" i="24050"/>
  <c r="EQ388" i="24050"/>
  <c r="EP388" i="24050"/>
  <c r="EO388" i="24050"/>
  <c r="EN388" i="24050"/>
  <c r="EM388" i="24050"/>
  <c r="ER387" i="24050"/>
  <c r="EQ387" i="24050"/>
  <c r="EP387" i="24050"/>
  <c r="EO387" i="24050"/>
  <c r="EN387" i="24050"/>
  <c r="EM387" i="24050"/>
  <c r="BP397" i="24050"/>
  <c r="BO397" i="24050"/>
  <c r="BN397" i="24050"/>
  <c r="BP396" i="24050"/>
  <c r="BO396" i="24050"/>
  <c r="BN396" i="24050"/>
  <c r="BP395" i="24050"/>
  <c r="BO395" i="24050"/>
  <c r="BN395" i="24050"/>
  <c r="BP394" i="24050"/>
  <c r="BO394" i="24050"/>
  <c r="BN394" i="24050"/>
  <c r="BP393" i="24050"/>
  <c r="BO393" i="24050"/>
  <c r="BN393" i="24050"/>
  <c r="BP392" i="24050"/>
  <c r="BO392" i="24050"/>
  <c r="BN392" i="24050"/>
  <c r="BP391" i="24050"/>
  <c r="BO391" i="24050"/>
  <c r="BN391" i="24050"/>
  <c r="BP390" i="24050"/>
  <c r="BO390" i="24050"/>
  <c r="BN390" i="24050"/>
  <c r="BP389" i="24050"/>
  <c r="BO389" i="24050"/>
  <c r="BN389" i="24050"/>
  <c r="BP388" i="24050"/>
  <c r="BO388" i="24050"/>
  <c r="BN388" i="24050"/>
  <c r="BP387" i="24050"/>
  <c r="BO387" i="24050"/>
  <c r="BN387" i="24050"/>
  <c r="ER384" i="24050"/>
  <c r="EQ384" i="24050"/>
  <c r="EP384" i="24050"/>
  <c r="EO384" i="24050"/>
  <c r="EN384" i="24050"/>
  <c r="EM384" i="24050"/>
  <c r="ER383" i="24050"/>
  <c r="EQ383" i="24050"/>
  <c r="EP383" i="24050"/>
  <c r="EO383" i="24050"/>
  <c r="EN383" i="24050"/>
  <c r="EM383" i="24050"/>
  <c r="ER382" i="24050"/>
  <c r="EQ382" i="24050"/>
  <c r="EP382" i="24050"/>
  <c r="EO382" i="24050"/>
  <c r="EN382" i="24050"/>
  <c r="EM382" i="24050"/>
  <c r="ER381" i="24050"/>
  <c r="EQ381" i="24050"/>
  <c r="EP381" i="24050"/>
  <c r="EO381" i="24050"/>
  <c r="EN381" i="24050"/>
  <c r="EM381" i="24050"/>
  <c r="ER380" i="24050"/>
  <c r="EQ380" i="24050"/>
  <c r="EP380" i="24050"/>
  <c r="EO380" i="24050"/>
  <c r="EN380" i="24050"/>
  <c r="EM380" i="24050"/>
  <c r="BP384" i="24050"/>
  <c r="BO384" i="24050"/>
  <c r="BN384" i="24050"/>
  <c r="BP383" i="24050"/>
  <c r="BO383" i="24050"/>
  <c r="BN383" i="24050"/>
  <c r="BP382" i="24050"/>
  <c r="BO382" i="24050"/>
  <c r="BN382" i="24050"/>
  <c r="BP381" i="24050"/>
  <c r="BO381" i="24050"/>
  <c r="BN381" i="24050"/>
  <c r="BP380" i="24050"/>
  <c r="BO380" i="24050"/>
  <c r="BN380" i="24050"/>
  <c r="EU377" i="24050"/>
  <c r="EU376" i="24050"/>
  <c r="A375" i="24050"/>
  <c r="A373" i="24050"/>
  <c r="A370" i="24050"/>
  <c r="W368" i="24050"/>
  <c r="A368" i="24050"/>
  <c r="W367" i="24050"/>
  <c r="A367" i="24050"/>
  <c r="W366" i="24050"/>
  <c r="A366" i="24050"/>
  <c r="W363" i="24050"/>
  <c r="A363" i="24050"/>
  <c r="W358" i="24050"/>
  <c r="A358" i="24050"/>
  <c r="DE354" i="24050"/>
  <c r="DC354" i="24050"/>
  <c r="W356" i="24050"/>
  <c r="A356" i="24050"/>
  <c r="W355" i="24050"/>
  <c r="V355" i="24050"/>
  <c r="T355" i="24050"/>
  <c r="R355" i="24050"/>
  <c r="P355" i="24050"/>
  <c r="N355" i="24050"/>
  <c r="L355" i="24050"/>
  <c r="J355" i="24050"/>
  <c r="H355" i="24050"/>
  <c r="F355" i="24050"/>
  <c r="D355" i="24050"/>
  <c r="B355" i="24050"/>
  <c r="A355" i="24050"/>
  <c r="W354" i="24050"/>
  <c r="V354" i="24050"/>
  <c r="T354" i="24050"/>
  <c r="R354" i="24050"/>
  <c r="P354" i="24050"/>
  <c r="N354" i="24050"/>
  <c r="L354" i="24050"/>
  <c r="J354" i="24050"/>
  <c r="H354" i="24050"/>
  <c r="F354" i="24050"/>
  <c r="D354" i="24050"/>
  <c r="B354" i="24050"/>
  <c r="A354" i="24050"/>
  <c r="W353" i="24050"/>
  <c r="V353" i="24050"/>
  <c r="T353" i="24050"/>
  <c r="R353" i="24050"/>
  <c r="P353" i="24050"/>
  <c r="N353" i="24050"/>
  <c r="L353" i="24050"/>
  <c r="J353" i="24050"/>
  <c r="H353" i="24050"/>
  <c r="F353" i="24050"/>
  <c r="D353" i="24050"/>
  <c r="B353" i="24050"/>
  <c r="A353" i="24050"/>
  <c r="W352" i="24050"/>
  <c r="V352" i="24050"/>
  <c r="T352" i="24050"/>
  <c r="R352" i="24050"/>
  <c r="P352" i="24050"/>
  <c r="N352" i="24050"/>
  <c r="L352" i="24050"/>
  <c r="J352" i="24050"/>
  <c r="H352" i="24050"/>
  <c r="F352" i="24050"/>
  <c r="D352" i="24050"/>
  <c r="B352" i="24050"/>
  <c r="A352" i="24050"/>
  <c r="W349" i="24050"/>
  <c r="A349" i="24050"/>
  <c r="W348" i="24050"/>
  <c r="V348" i="24050"/>
  <c r="T348" i="24050"/>
  <c r="R348" i="24050"/>
  <c r="P348" i="24050"/>
  <c r="N348" i="24050"/>
  <c r="L348" i="24050"/>
  <c r="J348" i="24050"/>
  <c r="H348" i="24050"/>
  <c r="F348" i="24050"/>
  <c r="D348" i="24050"/>
  <c r="B348" i="24050"/>
  <c r="A348" i="24050"/>
  <c r="W347" i="24050"/>
  <c r="V347" i="24050"/>
  <c r="T347" i="24050"/>
  <c r="R347" i="24050"/>
  <c r="P347" i="24050"/>
  <c r="N347" i="24050"/>
  <c r="L347" i="24050"/>
  <c r="J347" i="24050"/>
  <c r="H347" i="24050"/>
  <c r="F347" i="24050"/>
  <c r="D347" i="24050"/>
  <c r="B347" i="24050"/>
  <c r="A347" i="24050"/>
  <c r="W346" i="24050"/>
  <c r="V346" i="24050"/>
  <c r="T346" i="24050"/>
  <c r="R346" i="24050"/>
  <c r="P346" i="24050"/>
  <c r="N346" i="24050"/>
  <c r="L346" i="24050"/>
  <c r="J346" i="24050"/>
  <c r="H346" i="24050"/>
  <c r="F346" i="24050"/>
  <c r="D346" i="24050"/>
  <c r="B346" i="24050"/>
  <c r="A346" i="24050"/>
  <c r="EU343" i="24050"/>
  <c r="EU342" i="24050"/>
  <c r="A341" i="24050"/>
  <c r="A339" i="24050"/>
  <c r="A336" i="24050"/>
  <c r="DD334" i="24050"/>
  <c r="DC334" i="24050"/>
  <c r="DD333" i="24050"/>
  <c r="DC333" i="24050"/>
  <c r="DD332" i="24050"/>
  <c r="DC332" i="24050"/>
  <c r="A334" i="24050"/>
  <c r="A333" i="24050"/>
  <c r="CZ332" i="24050"/>
  <c r="CX332" i="24050"/>
  <c r="CV332" i="24050"/>
  <c r="CT332" i="24050"/>
  <c r="A332" i="24050"/>
  <c r="DD329" i="24050"/>
  <c r="DC329" i="24050"/>
  <c r="A329" i="24050"/>
  <c r="DD323" i="24050"/>
  <c r="DC323" i="24050"/>
  <c r="A323" i="24050"/>
  <c r="DD321" i="24050"/>
  <c r="DC321" i="24050"/>
  <c r="DD320" i="24050"/>
  <c r="DC320" i="24050"/>
  <c r="EQ319" i="24050"/>
  <c r="EO319" i="24050"/>
  <c r="EM319" i="24050"/>
  <c r="DD319" i="24050"/>
  <c r="DC319" i="24050"/>
  <c r="EQ318" i="24050"/>
  <c r="EO318" i="24050"/>
  <c r="EM318" i="24050"/>
  <c r="DE318" i="24050"/>
  <c r="DD318" i="24050"/>
  <c r="DC318" i="24050"/>
  <c r="DS317" i="24050"/>
  <c r="DD317" i="24050"/>
  <c r="DC317" i="24050"/>
  <c r="DS316" i="24050"/>
  <c r="DD316" i="24050"/>
  <c r="DC316" i="24050"/>
  <c r="A321" i="24050"/>
  <c r="N320" i="24050"/>
  <c r="L320" i="24050"/>
  <c r="J320" i="24050"/>
  <c r="H320" i="24050"/>
  <c r="F320" i="24050"/>
  <c r="D320" i="24050"/>
  <c r="B320" i="24050"/>
  <c r="A320" i="24050"/>
  <c r="CZ319" i="24050"/>
  <c r="CX319" i="24050"/>
  <c r="CV319" i="24050"/>
  <c r="CT319" i="24050"/>
  <c r="CR319" i="24050"/>
  <c r="CP319" i="24050"/>
  <c r="CN319" i="24050"/>
  <c r="CL319" i="24050"/>
  <c r="CJ319" i="24050"/>
  <c r="CH319" i="24050"/>
  <c r="CF319" i="24050"/>
  <c r="CD319" i="24050"/>
  <c r="CB319" i="24050"/>
  <c r="BZ319" i="24050"/>
  <c r="BX319" i="24050"/>
  <c r="BV319" i="24050"/>
  <c r="BT319" i="24050"/>
  <c r="BR319" i="24050"/>
  <c r="BP319" i="24050"/>
  <c r="BN319" i="24050"/>
  <c r="BL319" i="24050"/>
  <c r="BJ319" i="24050"/>
  <c r="BH319" i="24050"/>
  <c r="BF319" i="24050"/>
  <c r="BD319" i="24050"/>
  <c r="BB319" i="24050"/>
  <c r="AZ319" i="24050"/>
  <c r="AX319" i="24050"/>
  <c r="AV319" i="24050"/>
  <c r="AT319" i="24050"/>
  <c r="AR319" i="24050"/>
  <c r="AP319" i="24050"/>
  <c r="AN319" i="24050"/>
  <c r="AL319" i="24050"/>
  <c r="AJ319" i="24050"/>
  <c r="AH319" i="24050"/>
  <c r="AF319" i="24050"/>
  <c r="AD319" i="24050"/>
  <c r="AB319" i="24050"/>
  <c r="Z319" i="24050"/>
  <c r="X319" i="24050"/>
  <c r="V319" i="24050"/>
  <c r="T319" i="24050"/>
  <c r="R319" i="24050"/>
  <c r="P319" i="24050"/>
  <c r="N319" i="24050"/>
  <c r="L319" i="24050"/>
  <c r="J319" i="24050"/>
  <c r="H319" i="24050"/>
  <c r="F319" i="24050"/>
  <c r="D319" i="24050"/>
  <c r="B319" i="24050"/>
  <c r="A319" i="24050"/>
  <c r="CZ318" i="24050"/>
  <c r="CX318" i="24050"/>
  <c r="CV318" i="24050"/>
  <c r="CT318" i="24050"/>
  <c r="CR318" i="24050"/>
  <c r="CP318" i="24050"/>
  <c r="CN318" i="24050"/>
  <c r="CL318" i="24050"/>
  <c r="CJ318" i="24050"/>
  <c r="CH318" i="24050"/>
  <c r="CF318" i="24050"/>
  <c r="CD318" i="24050"/>
  <c r="CB318" i="24050"/>
  <c r="BZ318" i="24050"/>
  <c r="BX318" i="24050"/>
  <c r="BV318" i="24050"/>
  <c r="BT318" i="24050"/>
  <c r="BR318" i="24050"/>
  <c r="BP318" i="24050"/>
  <c r="BN318" i="24050"/>
  <c r="BL318" i="24050"/>
  <c r="BJ318" i="24050"/>
  <c r="BH318" i="24050"/>
  <c r="BF318" i="24050"/>
  <c r="BD318" i="24050"/>
  <c r="BB318" i="24050"/>
  <c r="AZ318" i="24050"/>
  <c r="AX318" i="24050"/>
  <c r="AF318" i="24050"/>
  <c r="AD318" i="24050"/>
  <c r="AB318" i="24050"/>
  <c r="Z318" i="24050"/>
  <c r="X318" i="24050"/>
  <c r="V318" i="24050"/>
  <c r="T318" i="24050"/>
  <c r="R318" i="24050"/>
  <c r="P318" i="24050"/>
  <c r="N318" i="24050"/>
  <c r="L318" i="24050"/>
  <c r="J318" i="24050"/>
  <c r="H318" i="24050"/>
  <c r="F318" i="24050"/>
  <c r="D318" i="24050"/>
  <c r="B318" i="24050"/>
  <c r="A318" i="24050"/>
  <c r="CN317" i="24050"/>
  <c r="CL317" i="24050"/>
  <c r="CJ317" i="24050"/>
  <c r="CH317" i="24050"/>
  <c r="CF317" i="24050"/>
  <c r="CD317" i="24050"/>
  <c r="CB317" i="24050"/>
  <c r="BZ317" i="24050"/>
  <c r="BX317" i="24050"/>
  <c r="BV317" i="24050"/>
  <c r="BT317" i="24050"/>
  <c r="BR317" i="24050"/>
  <c r="BP317" i="24050"/>
  <c r="BN317" i="24050"/>
  <c r="BL317" i="24050"/>
  <c r="BJ317" i="24050"/>
  <c r="BH317" i="24050"/>
  <c r="BF317" i="24050"/>
  <c r="BD317" i="24050"/>
  <c r="BB317" i="24050"/>
  <c r="AZ317" i="24050"/>
  <c r="AX317" i="24050"/>
  <c r="AV317" i="24050"/>
  <c r="AT317" i="24050"/>
  <c r="AR317" i="24050"/>
  <c r="AP317" i="24050"/>
  <c r="AN317" i="24050"/>
  <c r="AL317" i="24050"/>
  <c r="AJ317" i="24050"/>
  <c r="AH317" i="24050"/>
  <c r="AF317" i="24050"/>
  <c r="AD317" i="24050"/>
  <c r="AB317" i="24050"/>
  <c r="Z317" i="24050"/>
  <c r="X317" i="24050"/>
  <c r="V317" i="24050"/>
  <c r="T317" i="24050"/>
  <c r="R317" i="24050"/>
  <c r="P317" i="24050"/>
  <c r="N317" i="24050"/>
  <c r="L317" i="24050"/>
  <c r="J317" i="24050"/>
  <c r="H317" i="24050"/>
  <c r="F317" i="24050"/>
  <c r="D317" i="24050"/>
  <c r="B317" i="24050"/>
  <c r="A317" i="24050"/>
  <c r="CN316" i="24050"/>
  <c r="CL316" i="24050"/>
  <c r="CJ316" i="24050"/>
  <c r="CH316" i="24050"/>
  <c r="CF316" i="24050"/>
  <c r="CD316" i="24050"/>
  <c r="CB316" i="24050"/>
  <c r="BZ316" i="24050"/>
  <c r="BX316" i="24050"/>
  <c r="BV316" i="24050"/>
  <c r="BT316" i="24050"/>
  <c r="BR316" i="24050"/>
  <c r="BP316" i="24050"/>
  <c r="BN316" i="24050"/>
  <c r="BL316" i="24050"/>
  <c r="BJ316" i="24050"/>
  <c r="BH316" i="24050"/>
  <c r="BF316" i="24050"/>
  <c r="BD316" i="24050"/>
  <c r="BB316" i="24050"/>
  <c r="AZ316" i="24050"/>
  <c r="AX316" i="24050"/>
  <c r="AV316" i="24050"/>
  <c r="AT316" i="24050"/>
  <c r="AR316" i="24050"/>
  <c r="AP316" i="24050"/>
  <c r="AN316" i="24050"/>
  <c r="AL316" i="24050"/>
  <c r="AJ316" i="24050"/>
  <c r="AH316" i="24050"/>
  <c r="AF316" i="24050"/>
  <c r="AD316" i="24050"/>
  <c r="AB316" i="24050"/>
  <c r="Z316" i="24050"/>
  <c r="X316" i="24050"/>
  <c r="V316" i="24050"/>
  <c r="T316" i="24050"/>
  <c r="R316" i="24050"/>
  <c r="P316" i="24050"/>
  <c r="N316" i="24050"/>
  <c r="J316" i="24050"/>
  <c r="H316" i="24050"/>
  <c r="D316" i="24050"/>
  <c r="A316" i="24050"/>
  <c r="DD313" i="24050"/>
  <c r="DC313" i="24050"/>
  <c r="DS312" i="24050"/>
  <c r="DD312" i="24050"/>
  <c r="DC312" i="24050"/>
  <c r="DY311" i="24050"/>
  <c r="DS311" i="24050"/>
  <c r="DD311" i="24050"/>
  <c r="DC311" i="24050"/>
  <c r="DS310" i="24050"/>
  <c r="DD310" i="24050"/>
  <c r="DC310" i="24050"/>
  <c r="A313" i="24050"/>
  <c r="CN312" i="24050"/>
  <c r="CL312" i="24050"/>
  <c r="CJ312" i="24050"/>
  <c r="CH312" i="24050"/>
  <c r="CF312" i="24050"/>
  <c r="CD312" i="24050"/>
  <c r="CB312" i="24050"/>
  <c r="BZ312" i="24050"/>
  <c r="BX312" i="24050"/>
  <c r="BV312" i="24050"/>
  <c r="BT312" i="24050"/>
  <c r="BR312" i="24050"/>
  <c r="BP312" i="24050"/>
  <c r="BN312" i="24050"/>
  <c r="BL312" i="24050"/>
  <c r="BJ312" i="24050"/>
  <c r="BH312" i="24050"/>
  <c r="BF312" i="24050"/>
  <c r="BD312" i="24050"/>
  <c r="BB312" i="24050"/>
  <c r="AZ312" i="24050"/>
  <c r="AX312" i="24050"/>
  <c r="AV312" i="24050"/>
  <c r="AT312" i="24050"/>
  <c r="AR312" i="24050"/>
  <c r="AP312" i="24050"/>
  <c r="AN312" i="24050"/>
  <c r="AL312" i="24050"/>
  <c r="AJ312" i="24050"/>
  <c r="AH312" i="24050"/>
  <c r="AF312" i="24050"/>
  <c r="AD312" i="24050"/>
  <c r="AB312" i="24050"/>
  <c r="Z312" i="24050"/>
  <c r="X312" i="24050"/>
  <c r="T312" i="24050"/>
  <c r="R312" i="24050"/>
  <c r="N312" i="24050"/>
  <c r="L312" i="24050"/>
  <c r="J312" i="24050"/>
  <c r="H312" i="24050"/>
  <c r="F312" i="24050"/>
  <c r="D312" i="24050"/>
  <c r="B312" i="24050"/>
  <c r="A312" i="24050"/>
  <c r="CN311" i="24050"/>
  <c r="CL311" i="24050"/>
  <c r="CJ311" i="24050"/>
  <c r="CH311" i="24050"/>
  <c r="CF311" i="24050"/>
  <c r="CD311" i="24050"/>
  <c r="CB311" i="24050"/>
  <c r="BZ311" i="24050"/>
  <c r="BX311" i="24050"/>
  <c r="BV311" i="24050"/>
  <c r="BT311" i="24050"/>
  <c r="BR311" i="24050"/>
  <c r="BP311" i="24050"/>
  <c r="BN311" i="24050"/>
  <c r="BL311" i="24050"/>
  <c r="BJ311" i="24050"/>
  <c r="BH311" i="24050"/>
  <c r="BF311" i="24050"/>
  <c r="BD311" i="24050"/>
  <c r="BB311" i="24050"/>
  <c r="AZ311" i="24050"/>
  <c r="AX311" i="24050"/>
  <c r="AV311" i="24050"/>
  <c r="AT311" i="24050"/>
  <c r="AR311" i="24050"/>
  <c r="AP311" i="24050"/>
  <c r="AN311" i="24050"/>
  <c r="AL311" i="24050"/>
  <c r="AJ311" i="24050"/>
  <c r="AH311" i="24050"/>
  <c r="AF311" i="24050"/>
  <c r="AD311" i="24050"/>
  <c r="AB311" i="24050"/>
  <c r="Z311" i="24050"/>
  <c r="X311" i="24050"/>
  <c r="N311" i="24050"/>
  <c r="L311" i="24050"/>
  <c r="J311" i="24050"/>
  <c r="H311" i="24050"/>
  <c r="F311" i="24050"/>
  <c r="D311" i="24050"/>
  <c r="B311" i="24050"/>
  <c r="A311" i="24050"/>
  <c r="CN310" i="24050"/>
  <c r="CL310" i="24050"/>
  <c r="CJ310" i="24050"/>
  <c r="CH310" i="24050"/>
  <c r="CF310" i="24050"/>
  <c r="CD310" i="24050"/>
  <c r="CB310" i="24050"/>
  <c r="BZ310" i="24050"/>
  <c r="BX310" i="24050"/>
  <c r="BV310" i="24050"/>
  <c r="BT310" i="24050"/>
  <c r="BR310" i="24050"/>
  <c r="BP310" i="24050"/>
  <c r="BN310" i="24050"/>
  <c r="BL310" i="24050"/>
  <c r="BJ310" i="24050"/>
  <c r="BH310" i="24050"/>
  <c r="BF310" i="24050"/>
  <c r="BD310" i="24050"/>
  <c r="BB310" i="24050"/>
  <c r="AZ310" i="24050"/>
  <c r="AX310" i="24050"/>
  <c r="AV310" i="24050"/>
  <c r="AT310" i="24050"/>
  <c r="AR310" i="24050"/>
  <c r="AP310" i="24050"/>
  <c r="AN310" i="24050"/>
  <c r="AL310" i="24050"/>
  <c r="AJ310" i="24050"/>
  <c r="AF310" i="24050"/>
  <c r="AD310" i="24050"/>
  <c r="AB310" i="24050"/>
  <c r="Z310" i="24050"/>
  <c r="X310" i="24050"/>
  <c r="V310" i="24050"/>
  <c r="T310" i="24050"/>
  <c r="R310" i="24050"/>
  <c r="P310" i="24050"/>
  <c r="N310" i="24050"/>
  <c r="L310" i="24050"/>
  <c r="J310" i="24050"/>
  <c r="H310" i="24050"/>
  <c r="F310" i="24050"/>
  <c r="D310" i="24050"/>
  <c r="B310" i="24050"/>
  <c r="A310" i="24050"/>
  <c r="EU307" i="24050"/>
  <c r="EU306" i="24050"/>
  <c r="A305" i="24050"/>
  <c r="A303" i="24050"/>
  <c r="AU301" i="24050"/>
  <c r="AS301" i="24050"/>
  <c r="AI301" i="24050"/>
  <c r="AG301" i="24050"/>
  <c r="AE301" i="24050"/>
  <c r="Q301" i="24050"/>
  <c r="A301" i="24050"/>
  <c r="A300" i="24050"/>
  <c r="CP298" i="24050"/>
  <c r="A298" i="24050"/>
  <c r="A297" i="24050"/>
  <c r="CT296" i="24050"/>
  <c r="A296" i="24050"/>
  <c r="A293" i="24050"/>
  <c r="A287" i="24050"/>
  <c r="DE284" i="24050"/>
  <c r="DC284" i="24050"/>
  <c r="DE283" i="24050"/>
  <c r="DC283" i="24050"/>
  <c r="A285" i="24050"/>
  <c r="CN284" i="24050"/>
  <c r="CL284" i="24050"/>
  <c r="CJ284" i="24050"/>
  <c r="CH284" i="24050"/>
  <c r="CF284" i="24050"/>
  <c r="CD284" i="24050"/>
  <c r="CB284" i="24050"/>
  <c r="BZ284" i="24050"/>
  <c r="BX284" i="24050"/>
  <c r="BV284" i="24050"/>
  <c r="BT284" i="24050"/>
  <c r="BR284" i="24050"/>
  <c r="BP284" i="24050"/>
  <c r="BN284" i="24050"/>
  <c r="BL284" i="24050"/>
  <c r="BJ284" i="24050"/>
  <c r="BH284" i="24050"/>
  <c r="BF284" i="24050"/>
  <c r="BD284" i="24050"/>
  <c r="BB284" i="24050"/>
  <c r="AZ284" i="24050"/>
  <c r="AX284" i="24050"/>
  <c r="AV284" i="24050"/>
  <c r="AT284" i="24050"/>
  <c r="AR284" i="24050"/>
  <c r="AP284" i="24050"/>
  <c r="AN284" i="24050"/>
  <c r="AL284" i="24050"/>
  <c r="AJ284" i="24050"/>
  <c r="AH284" i="24050"/>
  <c r="AF284" i="24050"/>
  <c r="AD284" i="24050"/>
  <c r="AB284" i="24050"/>
  <c r="Z284" i="24050"/>
  <c r="X284" i="24050"/>
  <c r="V284" i="24050"/>
  <c r="T284" i="24050"/>
  <c r="R284" i="24050"/>
  <c r="P284" i="24050"/>
  <c r="N284" i="24050"/>
  <c r="L284" i="24050"/>
  <c r="J284" i="24050"/>
  <c r="H284" i="24050"/>
  <c r="F284" i="24050"/>
  <c r="A284" i="24050"/>
  <c r="A283" i="24050"/>
  <c r="CN282" i="24050"/>
  <c r="CL282" i="24050"/>
  <c r="CJ282" i="24050"/>
  <c r="CH282" i="24050"/>
  <c r="CF282" i="24050"/>
  <c r="CD282" i="24050"/>
  <c r="CB282" i="24050"/>
  <c r="BZ282" i="24050"/>
  <c r="BX282" i="24050"/>
  <c r="BV282" i="24050"/>
  <c r="BT282" i="24050"/>
  <c r="BR282" i="24050"/>
  <c r="BP282" i="24050"/>
  <c r="BN282" i="24050"/>
  <c r="BL282" i="24050"/>
  <c r="BJ282" i="24050"/>
  <c r="BH282" i="24050"/>
  <c r="BF282" i="24050"/>
  <c r="BD282" i="24050"/>
  <c r="BB282" i="24050"/>
  <c r="AZ282" i="24050"/>
  <c r="AX282" i="24050"/>
  <c r="AV282" i="24050"/>
  <c r="AT282" i="24050"/>
  <c r="AR282" i="24050"/>
  <c r="AP282" i="24050"/>
  <c r="AN282" i="24050"/>
  <c r="AL282" i="24050"/>
  <c r="AJ282" i="24050"/>
  <c r="AH282" i="24050"/>
  <c r="AF282" i="24050"/>
  <c r="AD282" i="24050"/>
  <c r="AB282" i="24050"/>
  <c r="Z282" i="24050"/>
  <c r="X282" i="24050"/>
  <c r="V282" i="24050"/>
  <c r="T282" i="24050"/>
  <c r="R282" i="24050"/>
  <c r="P282" i="24050"/>
  <c r="N282" i="24050"/>
  <c r="L282" i="24050"/>
  <c r="J282" i="24050"/>
  <c r="H282" i="24050"/>
  <c r="F282" i="24050"/>
  <c r="D282" i="24050"/>
  <c r="B282" i="24050"/>
  <c r="A282" i="24050"/>
  <c r="CN281" i="24050"/>
  <c r="CL281" i="24050"/>
  <c r="CJ281" i="24050"/>
  <c r="CH281" i="24050"/>
  <c r="CF281" i="24050"/>
  <c r="CD281" i="24050"/>
  <c r="CB281" i="24050"/>
  <c r="BZ281" i="24050"/>
  <c r="BX281" i="24050"/>
  <c r="BV281" i="24050"/>
  <c r="BT281" i="24050"/>
  <c r="BR281" i="24050"/>
  <c r="BP281" i="24050"/>
  <c r="BN281" i="24050"/>
  <c r="BL281" i="24050"/>
  <c r="BJ281" i="24050"/>
  <c r="BH281" i="24050"/>
  <c r="BF281" i="24050"/>
  <c r="BD281" i="24050"/>
  <c r="BB281" i="24050"/>
  <c r="AZ281" i="24050"/>
  <c r="AX281" i="24050"/>
  <c r="AV281" i="24050"/>
  <c r="AT281" i="24050"/>
  <c r="AR281" i="24050"/>
  <c r="AP281" i="24050"/>
  <c r="AN281" i="24050"/>
  <c r="AL281" i="24050"/>
  <c r="AJ281" i="24050"/>
  <c r="AH281" i="24050"/>
  <c r="AF281" i="24050"/>
  <c r="AD281" i="24050"/>
  <c r="AB281" i="24050"/>
  <c r="Z281" i="24050"/>
  <c r="X281" i="24050"/>
  <c r="V281" i="24050"/>
  <c r="T281" i="24050"/>
  <c r="R281" i="24050"/>
  <c r="P281" i="24050"/>
  <c r="N281" i="24050"/>
  <c r="L281" i="24050"/>
  <c r="J281" i="24050"/>
  <c r="H281" i="24050"/>
  <c r="F281" i="24050"/>
  <c r="D281" i="24050"/>
  <c r="B281" i="24050"/>
  <c r="A281" i="24050"/>
  <c r="DY276" i="24050"/>
  <c r="A278" i="24050"/>
  <c r="CN277" i="24050"/>
  <c r="CL277" i="24050"/>
  <c r="CJ277" i="24050"/>
  <c r="CH277" i="24050"/>
  <c r="CF277" i="24050"/>
  <c r="CD277" i="24050"/>
  <c r="CB277" i="24050"/>
  <c r="BZ277" i="24050"/>
  <c r="BX277" i="24050"/>
  <c r="BV277" i="24050"/>
  <c r="BT277" i="24050"/>
  <c r="BR277" i="24050"/>
  <c r="BP277" i="24050"/>
  <c r="BN277" i="24050"/>
  <c r="BL277" i="24050"/>
  <c r="BJ277" i="24050"/>
  <c r="BH277" i="24050"/>
  <c r="BF277" i="24050"/>
  <c r="BD277" i="24050"/>
  <c r="BB277" i="24050"/>
  <c r="AZ277" i="24050"/>
  <c r="AX277" i="24050"/>
  <c r="AV277" i="24050"/>
  <c r="AT277" i="24050"/>
  <c r="AR277" i="24050"/>
  <c r="AP277" i="24050"/>
  <c r="AN277" i="24050"/>
  <c r="AL277" i="24050"/>
  <c r="AJ277" i="24050"/>
  <c r="AH277" i="24050"/>
  <c r="AF277" i="24050"/>
  <c r="AD277" i="24050"/>
  <c r="AB277" i="24050"/>
  <c r="Z277" i="24050"/>
  <c r="X277" i="24050"/>
  <c r="V277" i="24050"/>
  <c r="T277" i="24050"/>
  <c r="R277" i="24050"/>
  <c r="P277" i="24050"/>
  <c r="N277" i="24050"/>
  <c r="L277" i="24050"/>
  <c r="J277" i="24050"/>
  <c r="H277" i="24050"/>
  <c r="F277" i="24050"/>
  <c r="D277" i="24050"/>
  <c r="B277" i="24050"/>
  <c r="A277" i="24050"/>
  <c r="CN276" i="24050"/>
  <c r="CL276" i="24050"/>
  <c r="CJ276" i="24050"/>
  <c r="CH276" i="24050"/>
  <c r="CF276" i="24050"/>
  <c r="CD276" i="24050"/>
  <c r="CB276" i="24050"/>
  <c r="BZ276" i="24050"/>
  <c r="BX276" i="24050"/>
  <c r="BV276" i="24050"/>
  <c r="BT276" i="24050"/>
  <c r="BR276" i="24050"/>
  <c r="BP276" i="24050"/>
  <c r="BN276" i="24050"/>
  <c r="BL276" i="24050"/>
  <c r="BJ276" i="24050"/>
  <c r="BH276" i="24050"/>
  <c r="BF276" i="24050"/>
  <c r="BD276" i="24050"/>
  <c r="BB276" i="24050"/>
  <c r="AZ276" i="24050"/>
  <c r="AX276" i="24050"/>
  <c r="AV276" i="24050"/>
  <c r="AT276" i="24050"/>
  <c r="AR276" i="24050"/>
  <c r="AP276" i="24050"/>
  <c r="AN276" i="24050"/>
  <c r="AL276" i="24050"/>
  <c r="AJ276" i="24050"/>
  <c r="AH276" i="24050"/>
  <c r="AF276" i="24050"/>
  <c r="AD276" i="24050"/>
  <c r="AB276" i="24050"/>
  <c r="Z276" i="24050"/>
  <c r="X276" i="24050"/>
  <c r="V276" i="24050"/>
  <c r="T276" i="24050"/>
  <c r="R276" i="24050"/>
  <c r="P276" i="24050"/>
  <c r="N276" i="24050"/>
  <c r="L276" i="24050"/>
  <c r="J276" i="24050"/>
  <c r="H276" i="24050"/>
  <c r="F276" i="24050"/>
  <c r="D276" i="24050"/>
  <c r="B276" i="24050"/>
  <c r="A276" i="24050"/>
  <c r="CN275" i="24050"/>
  <c r="CL275" i="24050"/>
  <c r="CJ275" i="24050"/>
  <c r="CH275" i="24050"/>
  <c r="CF275" i="24050"/>
  <c r="CD275" i="24050"/>
  <c r="CB275" i="24050"/>
  <c r="BZ275" i="24050"/>
  <c r="BX275" i="24050"/>
  <c r="BV275" i="24050"/>
  <c r="BT275" i="24050"/>
  <c r="BR275" i="24050"/>
  <c r="BP275" i="24050"/>
  <c r="BN275" i="24050"/>
  <c r="BL275" i="24050"/>
  <c r="BJ275" i="24050"/>
  <c r="BH275" i="24050"/>
  <c r="BF275" i="24050"/>
  <c r="BD275" i="24050"/>
  <c r="BB275" i="24050"/>
  <c r="AZ275" i="24050"/>
  <c r="AX275" i="24050"/>
  <c r="AV275" i="24050"/>
  <c r="AT275" i="24050"/>
  <c r="AR275" i="24050"/>
  <c r="AP275" i="24050"/>
  <c r="AN275" i="24050"/>
  <c r="AL275" i="24050"/>
  <c r="AJ275" i="24050"/>
  <c r="AH275" i="24050"/>
  <c r="AF275" i="24050"/>
  <c r="AD275" i="24050"/>
  <c r="AB275" i="24050"/>
  <c r="Z275" i="24050"/>
  <c r="X275" i="24050"/>
  <c r="V275" i="24050"/>
  <c r="T275" i="24050"/>
  <c r="R275" i="24050"/>
  <c r="P275" i="24050"/>
  <c r="N275" i="24050"/>
  <c r="L275" i="24050"/>
  <c r="J275" i="24050"/>
  <c r="H275" i="24050"/>
  <c r="F275" i="24050"/>
  <c r="D275" i="24050"/>
  <c r="B275" i="24050"/>
  <c r="A275" i="24050"/>
  <c r="EU272" i="24050"/>
  <c r="EU271" i="24050"/>
  <c r="A270" i="24050"/>
  <c r="A268" i="24050"/>
  <c r="A265" i="24050"/>
  <c r="EU263" i="24050"/>
  <c r="EQ263" i="24050"/>
  <c r="EO263" i="24050"/>
  <c r="EM263" i="24050"/>
  <c r="EK263" i="24050"/>
  <c r="EI263" i="24050"/>
  <c r="EG263" i="24050"/>
  <c r="DO263" i="24050"/>
  <c r="DM263" i="24050"/>
  <c r="DK263" i="24050"/>
  <c r="DD263" i="24050"/>
  <c r="DC263" i="24050"/>
  <c r="EU262" i="24050"/>
  <c r="EQ262" i="24050"/>
  <c r="EO262" i="24050"/>
  <c r="EM262" i="24050"/>
  <c r="EK262" i="24050"/>
  <c r="EI262" i="24050"/>
  <c r="EG262" i="24050"/>
  <c r="DO262" i="24050"/>
  <c r="DM262" i="24050"/>
  <c r="DK262" i="24050"/>
  <c r="DI262" i="24050"/>
  <c r="DG262" i="24050"/>
  <c r="DE262" i="24050"/>
  <c r="DD262" i="24050"/>
  <c r="DC262" i="24050"/>
  <c r="EU261" i="24050"/>
  <c r="EQ261" i="24050"/>
  <c r="EO261" i="24050"/>
  <c r="EM261" i="24050"/>
  <c r="EK261" i="24050"/>
  <c r="EI261" i="24050"/>
  <c r="EG261" i="24050"/>
  <c r="DO261" i="24050"/>
  <c r="DM261" i="24050"/>
  <c r="DK261" i="24050"/>
  <c r="DI261" i="24050"/>
  <c r="DG261" i="24050"/>
  <c r="DE261" i="24050"/>
  <c r="DD261" i="24050"/>
  <c r="DC261" i="24050"/>
  <c r="EU260" i="24050"/>
  <c r="EQ260" i="24050"/>
  <c r="EO260" i="24050"/>
  <c r="EM260" i="24050"/>
  <c r="EK260" i="24050"/>
  <c r="EI260" i="24050"/>
  <c r="EG260" i="24050"/>
  <c r="DO260" i="24050"/>
  <c r="DM260" i="24050"/>
  <c r="DK260" i="24050"/>
  <c r="DI260" i="24050"/>
  <c r="DG260" i="24050"/>
  <c r="DE260" i="24050"/>
  <c r="DD260" i="24050"/>
  <c r="DC260" i="24050"/>
  <c r="CZ263" i="24050"/>
  <c r="CX263" i="24050"/>
  <c r="CV263" i="24050"/>
  <c r="CT263" i="24050"/>
  <c r="CR263" i="24050"/>
  <c r="CP263" i="24050"/>
  <c r="AM263" i="24050"/>
  <c r="AK263" i="24050"/>
  <c r="AI263" i="24050"/>
  <c r="AG263" i="24050"/>
  <c r="AE263" i="24050"/>
  <c r="AC263" i="24050"/>
  <c r="AA263" i="24050"/>
  <c r="Y263" i="24050"/>
  <c r="W263" i="24050"/>
  <c r="A263" i="24050"/>
  <c r="CZ262" i="24050"/>
  <c r="CX262" i="24050"/>
  <c r="CV262" i="24050"/>
  <c r="CT262" i="24050"/>
  <c r="CR262" i="24050"/>
  <c r="CP262" i="24050"/>
  <c r="CN262" i="24050"/>
  <c r="CL262" i="24050"/>
  <c r="CJ262" i="24050"/>
  <c r="CH262" i="24050"/>
  <c r="CF262" i="24050"/>
  <c r="CD262" i="24050"/>
  <c r="CB262" i="24050"/>
  <c r="BZ262" i="24050"/>
  <c r="BX262" i="24050"/>
  <c r="BV262" i="24050"/>
  <c r="BT262" i="24050"/>
  <c r="BR262" i="24050"/>
  <c r="BP262" i="24050"/>
  <c r="BN262" i="24050"/>
  <c r="BL262" i="24050"/>
  <c r="BJ262" i="24050"/>
  <c r="BH262" i="24050"/>
  <c r="BF262" i="24050"/>
  <c r="BD262" i="24050"/>
  <c r="BB262" i="24050"/>
  <c r="AZ262" i="24050"/>
  <c r="AX262" i="24050"/>
  <c r="AV262" i="24050"/>
  <c r="AT262" i="24050"/>
  <c r="AR262" i="24050"/>
  <c r="AP262" i="24050"/>
  <c r="AN262" i="24050"/>
  <c r="AM262" i="24050"/>
  <c r="AL262" i="24050"/>
  <c r="AK262" i="24050"/>
  <c r="AJ262" i="24050"/>
  <c r="AI262" i="24050"/>
  <c r="AH262" i="24050"/>
  <c r="AG262" i="24050"/>
  <c r="AF262" i="24050"/>
  <c r="AE262" i="24050"/>
  <c r="AD262" i="24050"/>
  <c r="AC262" i="24050"/>
  <c r="AB262" i="24050"/>
  <c r="AA262" i="24050"/>
  <c r="Z262" i="24050"/>
  <c r="Y262" i="24050"/>
  <c r="X262" i="24050"/>
  <c r="W262" i="24050"/>
  <c r="V262" i="24050"/>
  <c r="T262" i="24050"/>
  <c r="R262" i="24050"/>
  <c r="P262" i="24050"/>
  <c r="N262" i="24050"/>
  <c r="L262" i="24050"/>
  <c r="J262" i="24050"/>
  <c r="H262" i="24050"/>
  <c r="F262" i="24050"/>
  <c r="D262" i="24050"/>
  <c r="B262" i="24050"/>
  <c r="A262" i="24050"/>
  <c r="CZ261" i="24050"/>
  <c r="CX261" i="24050"/>
  <c r="CV261" i="24050"/>
  <c r="CT261" i="24050"/>
  <c r="CR261" i="24050"/>
  <c r="CP261" i="24050"/>
  <c r="CN261" i="24050"/>
  <c r="CL261" i="24050"/>
  <c r="CJ261" i="24050"/>
  <c r="CH261" i="24050"/>
  <c r="CF261" i="24050"/>
  <c r="CD261" i="24050"/>
  <c r="CB261" i="24050"/>
  <c r="BZ261" i="24050"/>
  <c r="BX261" i="24050"/>
  <c r="BV261" i="24050"/>
  <c r="BT261" i="24050"/>
  <c r="BR261" i="24050"/>
  <c r="BP261" i="24050"/>
  <c r="BN261" i="24050"/>
  <c r="BL261" i="24050"/>
  <c r="BJ261" i="24050"/>
  <c r="BH261" i="24050"/>
  <c r="BF261" i="24050"/>
  <c r="BD261" i="24050"/>
  <c r="BB261" i="24050"/>
  <c r="AZ261" i="24050"/>
  <c r="AX261" i="24050"/>
  <c r="AV261" i="24050"/>
  <c r="AT261" i="24050"/>
  <c r="AR261" i="24050"/>
  <c r="AP261" i="24050"/>
  <c r="AN261" i="24050"/>
  <c r="AM261" i="24050"/>
  <c r="AL261" i="24050"/>
  <c r="AK261" i="24050"/>
  <c r="AJ261" i="24050"/>
  <c r="AI261" i="24050"/>
  <c r="AH261" i="24050"/>
  <c r="AG261" i="24050"/>
  <c r="AF261" i="24050"/>
  <c r="AE261" i="24050"/>
  <c r="AD261" i="24050"/>
  <c r="AC261" i="24050"/>
  <c r="AB261" i="24050"/>
  <c r="AA261" i="24050"/>
  <c r="Z261" i="24050"/>
  <c r="Y261" i="24050"/>
  <c r="X261" i="24050"/>
  <c r="W261" i="24050"/>
  <c r="V261" i="24050"/>
  <c r="T261" i="24050"/>
  <c r="R261" i="24050"/>
  <c r="P261" i="24050"/>
  <c r="N261" i="24050"/>
  <c r="L261" i="24050"/>
  <c r="J261" i="24050"/>
  <c r="H261" i="24050"/>
  <c r="F261" i="24050"/>
  <c r="D261" i="24050"/>
  <c r="B261" i="24050"/>
  <c r="A261" i="24050"/>
  <c r="CZ260" i="24050"/>
  <c r="CX260" i="24050"/>
  <c r="CV260" i="24050"/>
  <c r="CT260" i="24050"/>
  <c r="CR260" i="24050"/>
  <c r="CP260" i="24050"/>
  <c r="CN260" i="24050"/>
  <c r="CL260" i="24050"/>
  <c r="CJ260" i="24050"/>
  <c r="CH260" i="24050"/>
  <c r="CF260" i="24050"/>
  <c r="CD260" i="24050"/>
  <c r="CB260" i="24050"/>
  <c r="BZ260" i="24050"/>
  <c r="BX260" i="24050"/>
  <c r="BV260" i="24050"/>
  <c r="BT260" i="24050"/>
  <c r="BR260" i="24050"/>
  <c r="BP260" i="24050"/>
  <c r="BN260" i="24050"/>
  <c r="BL260" i="24050"/>
  <c r="BJ260" i="24050"/>
  <c r="BH260" i="24050"/>
  <c r="BF260" i="24050"/>
  <c r="BD260" i="24050"/>
  <c r="BB260" i="24050"/>
  <c r="AZ260" i="24050"/>
  <c r="AX260" i="24050"/>
  <c r="AV260" i="24050"/>
  <c r="AT260" i="24050"/>
  <c r="AR260" i="24050"/>
  <c r="AP260" i="24050"/>
  <c r="AN260" i="24050"/>
  <c r="AM260" i="24050"/>
  <c r="AL260" i="24050"/>
  <c r="AK260" i="24050"/>
  <c r="AJ260" i="24050"/>
  <c r="AI260" i="24050"/>
  <c r="AH260" i="24050"/>
  <c r="AG260" i="24050"/>
  <c r="AF260" i="24050"/>
  <c r="AE260" i="24050"/>
  <c r="AD260" i="24050"/>
  <c r="AC260" i="24050"/>
  <c r="AB260" i="24050"/>
  <c r="AA260" i="24050"/>
  <c r="Z260" i="24050"/>
  <c r="Y260" i="24050"/>
  <c r="X260" i="24050"/>
  <c r="W260" i="24050"/>
  <c r="V260" i="24050"/>
  <c r="T260" i="24050"/>
  <c r="R260" i="24050"/>
  <c r="P260" i="24050"/>
  <c r="N260" i="24050"/>
  <c r="L260" i="24050"/>
  <c r="J260" i="24050"/>
  <c r="H260" i="24050"/>
  <c r="F260" i="24050"/>
  <c r="D260" i="24050"/>
  <c r="B260" i="24050"/>
  <c r="A260" i="24050"/>
  <c r="A259" i="24050"/>
  <c r="DD257" i="24050"/>
  <c r="DC257" i="24050"/>
  <c r="DD256" i="24050"/>
  <c r="DC256" i="24050"/>
  <c r="DD255" i="24050"/>
  <c r="DC255" i="24050"/>
  <c r="CP257" i="24050"/>
  <c r="A257" i="24050"/>
  <c r="A256" i="24050"/>
  <c r="CT255" i="24050"/>
  <c r="CP255" i="24050"/>
  <c r="A255" i="24050"/>
  <c r="DD252" i="24050"/>
  <c r="DC252" i="24050"/>
  <c r="A252" i="24050"/>
  <c r="DD246" i="24050"/>
  <c r="DC246" i="24050"/>
  <c r="A246" i="24050"/>
  <c r="DD244" i="24050"/>
  <c r="DC244" i="24050"/>
  <c r="DD243" i="24050"/>
  <c r="DC243" i="24050"/>
  <c r="DD242" i="24050"/>
  <c r="DC242" i="24050"/>
  <c r="DI241" i="24050"/>
  <c r="DG241" i="24050"/>
  <c r="DE241" i="24050"/>
  <c r="DD241" i="24050"/>
  <c r="DC241" i="24050"/>
  <c r="DI240" i="24050"/>
  <c r="DG240" i="24050"/>
  <c r="DE240" i="24050"/>
  <c r="DD240" i="24050"/>
  <c r="DC240" i="24050"/>
  <c r="A244" i="24050"/>
  <c r="CN243" i="24050"/>
  <c r="CL243" i="24050"/>
  <c r="CJ243" i="24050"/>
  <c r="CH243" i="24050"/>
  <c r="CF243" i="24050"/>
  <c r="CD243" i="24050"/>
  <c r="CB243" i="24050"/>
  <c r="BZ243" i="24050"/>
  <c r="BX243" i="24050"/>
  <c r="BV243" i="24050"/>
  <c r="BT243" i="24050"/>
  <c r="BR243" i="24050"/>
  <c r="BP243" i="24050"/>
  <c r="BN243" i="24050"/>
  <c r="BL243" i="24050"/>
  <c r="BJ243" i="24050"/>
  <c r="BH243" i="24050"/>
  <c r="BF243" i="24050"/>
  <c r="BD243" i="24050"/>
  <c r="BB243" i="24050"/>
  <c r="AZ243" i="24050"/>
  <c r="AX243" i="24050"/>
  <c r="AV243" i="24050"/>
  <c r="AT243" i="24050"/>
  <c r="AR243" i="24050"/>
  <c r="AP243" i="24050"/>
  <c r="AN243" i="24050"/>
  <c r="AL243" i="24050"/>
  <c r="AJ243" i="24050"/>
  <c r="AH243" i="24050"/>
  <c r="AF243" i="24050"/>
  <c r="AD243" i="24050"/>
  <c r="AB243" i="24050"/>
  <c r="Z243" i="24050"/>
  <c r="X243" i="24050"/>
  <c r="V243" i="24050"/>
  <c r="T243" i="24050"/>
  <c r="R243" i="24050"/>
  <c r="P243" i="24050"/>
  <c r="N243" i="24050"/>
  <c r="L243" i="24050"/>
  <c r="J243" i="24050"/>
  <c r="H243" i="24050"/>
  <c r="F243" i="24050"/>
  <c r="A243" i="24050"/>
  <c r="A242" i="24050"/>
  <c r="CN241" i="24050"/>
  <c r="CL241" i="24050"/>
  <c r="CJ241" i="24050"/>
  <c r="CH241" i="24050"/>
  <c r="CF241" i="24050"/>
  <c r="CD241" i="24050"/>
  <c r="CB241" i="24050"/>
  <c r="BZ241" i="24050"/>
  <c r="BX241" i="24050"/>
  <c r="BV241" i="24050"/>
  <c r="BT241" i="24050"/>
  <c r="BR241" i="24050"/>
  <c r="BP241" i="24050"/>
  <c r="BN241" i="24050"/>
  <c r="BL241" i="24050"/>
  <c r="BJ241" i="24050"/>
  <c r="BH241" i="24050"/>
  <c r="BF241" i="24050"/>
  <c r="BD241" i="24050"/>
  <c r="BB241" i="24050"/>
  <c r="AZ241" i="24050"/>
  <c r="AX241" i="24050"/>
  <c r="AV241" i="24050"/>
  <c r="AT241" i="24050"/>
  <c r="AR241" i="24050"/>
  <c r="AP241" i="24050"/>
  <c r="AN241" i="24050"/>
  <c r="AL241" i="24050"/>
  <c r="AJ241" i="24050"/>
  <c r="AH241" i="24050"/>
  <c r="AF241" i="24050"/>
  <c r="AD241" i="24050"/>
  <c r="AB241" i="24050"/>
  <c r="Z241" i="24050"/>
  <c r="X241" i="24050"/>
  <c r="V241" i="24050"/>
  <c r="T241" i="24050"/>
  <c r="R241" i="24050"/>
  <c r="P241" i="24050"/>
  <c r="N241" i="24050"/>
  <c r="L241" i="24050"/>
  <c r="J241" i="24050"/>
  <c r="H241" i="24050"/>
  <c r="F241" i="24050"/>
  <c r="D241" i="24050"/>
  <c r="B241" i="24050"/>
  <c r="A241" i="24050"/>
  <c r="CN240" i="24050"/>
  <c r="CL240" i="24050"/>
  <c r="CJ240" i="24050"/>
  <c r="CH240" i="24050"/>
  <c r="CF240" i="24050"/>
  <c r="CD240" i="24050"/>
  <c r="CB240" i="24050"/>
  <c r="BZ240" i="24050"/>
  <c r="BX240" i="24050"/>
  <c r="BV240" i="24050"/>
  <c r="BT240" i="24050"/>
  <c r="BR240" i="24050"/>
  <c r="BP240" i="24050"/>
  <c r="BN240" i="24050"/>
  <c r="BL240" i="24050"/>
  <c r="BJ240" i="24050"/>
  <c r="BH240" i="24050"/>
  <c r="BF240" i="24050"/>
  <c r="BD240" i="24050"/>
  <c r="BB240" i="24050"/>
  <c r="AZ240" i="24050"/>
  <c r="AX240" i="24050"/>
  <c r="AV240" i="24050"/>
  <c r="AT240" i="24050"/>
  <c r="AR240" i="24050"/>
  <c r="AP240" i="24050"/>
  <c r="AN240" i="24050"/>
  <c r="AL240" i="24050"/>
  <c r="AJ240" i="24050"/>
  <c r="AH240" i="24050"/>
  <c r="AF240" i="24050"/>
  <c r="AD240" i="24050"/>
  <c r="AB240" i="24050"/>
  <c r="Z240" i="24050"/>
  <c r="X240" i="24050"/>
  <c r="V240" i="24050"/>
  <c r="T240" i="24050"/>
  <c r="R240" i="24050"/>
  <c r="P240" i="24050"/>
  <c r="N240" i="24050"/>
  <c r="L240" i="24050"/>
  <c r="J240" i="24050"/>
  <c r="H240" i="24050"/>
  <c r="F240" i="24050"/>
  <c r="D240" i="24050"/>
  <c r="B240" i="24050"/>
  <c r="A240" i="24050"/>
  <c r="DD237" i="24050"/>
  <c r="DC237" i="24050"/>
  <c r="DI236" i="24050"/>
  <c r="DG236" i="24050"/>
  <c r="DE236" i="24050"/>
  <c r="DD236" i="24050"/>
  <c r="DC236" i="24050"/>
  <c r="DI235" i="24050"/>
  <c r="DG235" i="24050"/>
  <c r="DE235" i="24050"/>
  <c r="DD235" i="24050"/>
  <c r="DC235" i="24050"/>
  <c r="DI234" i="24050"/>
  <c r="DG234" i="24050"/>
  <c r="DE234" i="24050"/>
  <c r="DD234" i="24050"/>
  <c r="DC234" i="24050"/>
  <c r="BN237" i="24050"/>
  <c r="A237" i="24050"/>
  <c r="CZ236" i="24050"/>
  <c r="CX236" i="24050"/>
  <c r="CV236" i="24050"/>
  <c r="CT236" i="24050"/>
  <c r="CR236" i="24050"/>
  <c r="CP236" i="24050"/>
  <c r="CN236" i="24050"/>
  <c r="CL236" i="24050"/>
  <c r="CJ236" i="24050"/>
  <c r="CH236" i="24050"/>
  <c r="CF236" i="24050"/>
  <c r="CD236" i="24050"/>
  <c r="CB236" i="24050"/>
  <c r="BZ236" i="24050"/>
  <c r="BX236" i="24050"/>
  <c r="BV236" i="24050"/>
  <c r="BT236" i="24050"/>
  <c r="BR236" i="24050"/>
  <c r="BP236" i="24050"/>
  <c r="BN236" i="24050"/>
  <c r="BL236" i="24050"/>
  <c r="BJ236" i="24050"/>
  <c r="BH236" i="24050"/>
  <c r="BF236" i="24050"/>
  <c r="BD236" i="24050"/>
  <c r="BB236" i="24050"/>
  <c r="AZ236" i="24050"/>
  <c r="AX236" i="24050"/>
  <c r="AV236" i="24050"/>
  <c r="AT236" i="24050"/>
  <c r="AR236" i="24050"/>
  <c r="AP236" i="24050"/>
  <c r="AN236" i="24050"/>
  <c r="AL236" i="24050"/>
  <c r="AJ236" i="24050"/>
  <c r="AH236" i="24050"/>
  <c r="AF236" i="24050"/>
  <c r="AD236" i="24050"/>
  <c r="AB236" i="24050"/>
  <c r="Z236" i="24050"/>
  <c r="X236" i="24050"/>
  <c r="V236" i="24050"/>
  <c r="R236" i="24050"/>
  <c r="P236" i="24050"/>
  <c r="N236" i="24050"/>
  <c r="L236" i="24050"/>
  <c r="J236" i="24050"/>
  <c r="H236" i="24050"/>
  <c r="F236" i="24050"/>
  <c r="D236" i="24050"/>
  <c r="B236" i="24050"/>
  <c r="A236" i="24050"/>
  <c r="CN235" i="24050"/>
  <c r="CL235" i="24050"/>
  <c r="CJ235" i="24050"/>
  <c r="CH235" i="24050"/>
  <c r="CF235" i="24050"/>
  <c r="CD235" i="24050"/>
  <c r="CB235" i="24050"/>
  <c r="BZ235" i="24050"/>
  <c r="BX235" i="24050"/>
  <c r="BV235" i="24050"/>
  <c r="BT235" i="24050"/>
  <c r="BR235" i="24050"/>
  <c r="BP235" i="24050"/>
  <c r="BN235" i="24050"/>
  <c r="BL235" i="24050"/>
  <c r="BJ235" i="24050"/>
  <c r="BH235" i="24050"/>
  <c r="BF235" i="24050"/>
  <c r="BD235" i="24050"/>
  <c r="BB235" i="24050"/>
  <c r="AZ235" i="24050"/>
  <c r="AX235" i="24050"/>
  <c r="AV235" i="24050"/>
  <c r="AT235" i="24050"/>
  <c r="AR235" i="24050"/>
  <c r="AP235" i="24050"/>
  <c r="AN235" i="24050"/>
  <c r="AL235" i="24050"/>
  <c r="AJ235" i="24050"/>
  <c r="AH235" i="24050"/>
  <c r="AF235" i="24050"/>
  <c r="AD235" i="24050"/>
  <c r="AB235" i="24050"/>
  <c r="Z235" i="24050"/>
  <c r="X235" i="24050"/>
  <c r="T235" i="24050"/>
  <c r="H235" i="24050"/>
  <c r="F235" i="24050"/>
  <c r="D235" i="24050"/>
  <c r="B235" i="24050"/>
  <c r="A235" i="24050"/>
  <c r="CN234" i="24050"/>
  <c r="CL234" i="24050"/>
  <c r="CJ234" i="24050"/>
  <c r="CH234" i="24050"/>
  <c r="CF234" i="24050"/>
  <c r="CD234" i="24050"/>
  <c r="CB234" i="24050"/>
  <c r="BZ234" i="24050"/>
  <c r="BX234" i="24050"/>
  <c r="BV234" i="24050"/>
  <c r="BT234" i="24050"/>
  <c r="BR234" i="24050"/>
  <c r="BP234" i="24050"/>
  <c r="BN234" i="24050"/>
  <c r="BL234" i="24050"/>
  <c r="BJ234" i="24050"/>
  <c r="BH234" i="24050"/>
  <c r="BF234" i="24050"/>
  <c r="BD234" i="24050"/>
  <c r="BB234" i="24050"/>
  <c r="AZ234" i="24050"/>
  <c r="AX234" i="24050"/>
  <c r="AV234" i="24050"/>
  <c r="AT234" i="24050"/>
  <c r="AR234" i="24050"/>
  <c r="AP234" i="24050"/>
  <c r="AN234" i="24050"/>
  <c r="AL234" i="24050"/>
  <c r="AJ234" i="24050"/>
  <c r="AH234" i="24050"/>
  <c r="AF234" i="24050"/>
  <c r="AD234" i="24050"/>
  <c r="AB234" i="24050"/>
  <c r="Z234" i="24050"/>
  <c r="X234" i="24050"/>
  <c r="V234" i="24050"/>
  <c r="T234" i="24050"/>
  <c r="R234" i="24050"/>
  <c r="P234" i="24050"/>
  <c r="N234" i="24050"/>
  <c r="L234" i="24050"/>
  <c r="J234" i="24050"/>
  <c r="H234" i="24050"/>
  <c r="F234" i="24050"/>
  <c r="D234" i="24050"/>
  <c r="B234" i="24050"/>
  <c r="A234" i="24050"/>
  <c r="EU231" i="24050"/>
  <c r="EU230" i="24050"/>
  <c r="A229" i="24050"/>
  <c r="A227" i="24050"/>
  <c r="A224" i="24050"/>
  <c r="EU222" i="24050"/>
  <c r="EQ222" i="24050"/>
  <c r="EO222" i="24050"/>
  <c r="EM222" i="24050"/>
  <c r="EK222" i="24050"/>
  <c r="EI222" i="24050"/>
  <c r="EG222" i="24050"/>
  <c r="EE222" i="24050"/>
  <c r="DO222" i="24050"/>
  <c r="DM222" i="24050"/>
  <c r="DK222" i="24050"/>
  <c r="DD222" i="24050"/>
  <c r="DC222" i="24050"/>
  <c r="EU221" i="24050"/>
  <c r="EQ221" i="24050"/>
  <c r="EO221" i="24050"/>
  <c r="EM221" i="24050"/>
  <c r="EK221" i="24050"/>
  <c r="EI221" i="24050"/>
  <c r="EG221" i="24050"/>
  <c r="EE221" i="24050"/>
  <c r="DO221" i="24050"/>
  <c r="DM221" i="24050"/>
  <c r="DK221" i="24050"/>
  <c r="DI221" i="24050"/>
  <c r="DG221" i="24050"/>
  <c r="DE221" i="24050"/>
  <c r="DD221" i="24050"/>
  <c r="DC221" i="24050"/>
  <c r="EU220" i="24050"/>
  <c r="EQ220" i="24050"/>
  <c r="EO220" i="24050"/>
  <c r="EM220" i="24050"/>
  <c r="EK220" i="24050"/>
  <c r="EI220" i="24050"/>
  <c r="EG220" i="24050"/>
  <c r="EE220" i="24050"/>
  <c r="DO220" i="24050"/>
  <c r="DM220" i="24050"/>
  <c r="DK220" i="24050"/>
  <c r="DD220" i="24050"/>
  <c r="DC220" i="24050"/>
  <c r="EU219" i="24050"/>
  <c r="EQ219" i="24050"/>
  <c r="EO219" i="24050"/>
  <c r="EM219" i="24050"/>
  <c r="EK219" i="24050"/>
  <c r="EI219" i="24050"/>
  <c r="EG219" i="24050"/>
  <c r="EE219" i="24050"/>
  <c r="DO219" i="24050"/>
  <c r="DM219" i="24050"/>
  <c r="DK219" i="24050"/>
  <c r="DD219" i="24050"/>
  <c r="DC219" i="24050"/>
  <c r="EU218" i="24050"/>
  <c r="EQ218" i="24050"/>
  <c r="EO218" i="24050"/>
  <c r="EM218" i="24050"/>
  <c r="EK218" i="24050"/>
  <c r="EI218" i="24050"/>
  <c r="EG218" i="24050"/>
  <c r="EE218" i="24050"/>
  <c r="DO218" i="24050"/>
  <c r="DM218" i="24050"/>
  <c r="DK218" i="24050"/>
  <c r="DI218" i="24050"/>
  <c r="DG218" i="24050"/>
  <c r="DE218" i="24050"/>
  <c r="DD218" i="24050"/>
  <c r="DC218" i="24050"/>
  <c r="CZ222" i="24050"/>
  <c r="CX222" i="24050"/>
  <c r="CV222" i="24050"/>
  <c r="CT222" i="24050"/>
  <c r="CR222" i="24050"/>
  <c r="CP222" i="24050"/>
  <c r="CM222" i="24050"/>
  <c r="AG222" i="24050"/>
  <c r="AE222" i="24050"/>
  <c r="AC222" i="24050"/>
  <c r="Y222" i="24050"/>
  <c r="W222" i="24050"/>
  <c r="A222" i="24050"/>
  <c r="CZ221" i="24050"/>
  <c r="CX221" i="24050"/>
  <c r="CV221" i="24050"/>
  <c r="CT221" i="24050"/>
  <c r="CR221" i="24050"/>
  <c r="CP221" i="24050"/>
  <c r="CN221" i="24050"/>
  <c r="CM221" i="24050"/>
  <c r="CL221" i="24050"/>
  <c r="CJ221" i="24050"/>
  <c r="CF221" i="24050"/>
  <c r="CD221" i="24050"/>
  <c r="CB221" i="24050"/>
  <c r="BZ221" i="24050"/>
  <c r="BX221" i="24050"/>
  <c r="BV221" i="24050"/>
  <c r="BT221" i="24050"/>
  <c r="BR221" i="24050"/>
  <c r="BP221" i="24050"/>
  <c r="BN221" i="24050"/>
  <c r="BL221" i="24050"/>
  <c r="BJ221" i="24050"/>
  <c r="BH221" i="24050"/>
  <c r="BF221" i="24050"/>
  <c r="BD221" i="24050"/>
  <c r="BB221" i="24050"/>
  <c r="AZ221" i="24050"/>
  <c r="AX221" i="24050"/>
  <c r="AV221" i="24050"/>
  <c r="AT221" i="24050"/>
  <c r="AR221" i="24050"/>
  <c r="AP221" i="24050"/>
  <c r="AN221" i="24050"/>
  <c r="AL221" i="24050"/>
  <c r="AJ221" i="24050"/>
  <c r="AH221" i="24050"/>
  <c r="AG221" i="24050"/>
  <c r="AF221" i="24050"/>
  <c r="AE221" i="24050"/>
  <c r="AD221" i="24050"/>
  <c r="AC221" i="24050"/>
  <c r="AB221" i="24050"/>
  <c r="Z221" i="24050"/>
  <c r="Y221" i="24050"/>
  <c r="X221" i="24050"/>
  <c r="W221" i="24050"/>
  <c r="V221" i="24050"/>
  <c r="T221" i="24050"/>
  <c r="R221" i="24050"/>
  <c r="P221" i="24050"/>
  <c r="N221" i="24050"/>
  <c r="L221" i="24050"/>
  <c r="J221" i="24050"/>
  <c r="H221" i="24050"/>
  <c r="F221" i="24050"/>
  <c r="D221" i="24050"/>
  <c r="B221" i="24050"/>
  <c r="A221" i="24050"/>
  <c r="DA220" i="24050"/>
  <c r="CZ220" i="24050"/>
  <c r="CY220" i="24050"/>
  <c r="CX220" i="24050"/>
  <c r="CW220" i="24050"/>
  <c r="CV220" i="24050"/>
  <c r="CU220" i="24050"/>
  <c r="CT220" i="24050"/>
  <c r="CS220" i="24050"/>
  <c r="CR220" i="24050"/>
  <c r="CQ220" i="24050"/>
  <c r="CP220" i="24050"/>
  <c r="CO220" i="24050"/>
  <c r="CN220" i="24050"/>
  <c r="CM220" i="24050"/>
  <c r="CL220" i="24050"/>
  <c r="CK220" i="24050"/>
  <c r="CJ220" i="24050"/>
  <c r="CI220" i="24050"/>
  <c r="CH220" i="24050"/>
  <c r="CG220" i="24050"/>
  <c r="CF220" i="24050"/>
  <c r="CE220" i="24050"/>
  <c r="CD220" i="24050"/>
  <c r="CC220" i="24050"/>
  <c r="CB220" i="24050"/>
  <c r="CA220" i="24050"/>
  <c r="BZ220" i="24050"/>
  <c r="BY220" i="24050"/>
  <c r="BX220" i="24050"/>
  <c r="BW220" i="24050"/>
  <c r="BV220" i="24050"/>
  <c r="BU220" i="24050"/>
  <c r="BT220" i="24050"/>
  <c r="BS220" i="24050"/>
  <c r="BR220" i="24050"/>
  <c r="BQ220" i="24050"/>
  <c r="BP220" i="24050"/>
  <c r="BO220" i="24050"/>
  <c r="BN220" i="24050"/>
  <c r="BM220" i="24050"/>
  <c r="BL220" i="24050"/>
  <c r="BK220" i="24050"/>
  <c r="BJ220" i="24050"/>
  <c r="BI220" i="24050"/>
  <c r="BH220" i="24050"/>
  <c r="BG220" i="24050"/>
  <c r="BF220" i="24050"/>
  <c r="BE220" i="24050"/>
  <c r="BD220" i="24050"/>
  <c r="BC220" i="24050"/>
  <c r="BB220" i="24050"/>
  <c r="BA220" i="24050"/>
  <c r="AZ220" i="24050"/>
  <c r="AY220" i="24050"/>
  <c r="AX220" i="24050"/>
  <c r="AW220" i="24050"/>
  <c r="AV220" i="24050"/>
  <c r="AT220" i="24050"/>
  <c r="AR220" i="24050"/>
  <c r="AP220" i="24050"/>
  <c r="AN220" i="24050"/>
  <c r="AL220" i="24050"/>
  <c r="AJ220" i="24050"/>
  <c r="AH220" i="24050"/>
  <c r="AG220" i="24050"/>
  <c r="AF220" i="24050"/>
  <c r="AE220" i="24050"/>
  <c r="AD220" i="24050"/>
  <c r="AC220" i="24050"/>
  <c r="AB220" i="24050"/>
  <c r="Z220" i="24050"/>
  <c r="Y220" i="24050"/>
  <c r="X220" i="24050"/>
  <c r="W220" i="24050"/>
  <c r="V220" i="24050"/>
  <c r="T220" i="24050"/>
  <c r="R220" i="24050"/>
  <c r="P220" i="24050"/>
  <c r="N220" i="24050"/>
  <c r="L220" i="24050"/>
  <c r="J220" i="24050"/>
  <c r="H220" i="24050"/>
  <c r="F220" i="24050"/>
  <c r="D220" i="24050"/>
  <c r="B220" i="24050"/>
  <c r="A220" i="24050"/>
  <c r="DA219" i="24050"/>
  <c r="CZ219" i="24050"/>
  <c r="CY219" i="24050"/>
  <c r="CX219" i="24050"/>
  <c r="CW219" i="24050"/>
  <c r="CV219" i="24050"/>
  <c r="CU219" i="24050"/>
  <c r="CT219" i="24050"/>
  <c r="CS219" i="24050"/>
  <c r="CR219" i="24050"/>
  <c r="CQ219" i="24050"/>
  <c r="CP219" i="24050"/>
  <c r="CO219" i="24050"/>
  <c r="CN219" i="24050"/>
  <c r="CM219" i="24050"/>
  <c r="CL219" i="24050"/>
  <c r="CK219" i="24050"/>
  <c r="CJ219" i="24050"/>
  <c r="CI219" i="24050"/>
  <c r="CH219" i="24050"/>
  <c r="CG219" i="24050"/>
  <c r="CF219" i="24050"/>
  <c r="CE219" i="24050"/>
  <c r="CD219" i="24050"/>
  <c r="CC219" i="24050"/>
  <c r="CB219" i="24050"/>
  <c r="CA219" i="24050"/>
  <c r="BZ219" i="24050"/>
  <c r="BY219" i="24050"/>
  <c r="BX219" i="24050"/>
  <c r="BW219" i="24050"/>
  <c r="BV219" i="24050"/>
  <c r="BU219" i="24050"/>
  <c r="BT219" i="24050"/>
  <c r="BS219" i="24050"/>
  <c r="BR219" i="24050"/>
  <c r="BQ219" i="24050"/>
  <c r="BP219" i="24050"/>
  <c r="BO219" i="24050"/>
  <c r="BN219" i="24050"/>
  <c r="BM219" i="24050"/>
  <c r="BL219" i="24050"/>
  <c r="BK219" i="24050"/>
  <c r="BJ219" i="24050"/>
  <c r="BI219" i="24050"/>
  <c r="BH219" i="24050"/>
  <c r="BG219" i="24050"/>
  <c r="BF219" i="24050"/>
  <c r="BE219" i="24050"/>
  <c r="BD219" i="24050"/>
  <c r="BC219" i="24050"/>
  <c r="BB219" i="24050"/>
  <c r="BA219" i="24050"/>
  <c r="AZ219" i="24050"/>
  <c r="AY219" i="24050"/>
  <c r="AX219" i="24050"/>
  <c r="AW219" i="24050"/>
  <c r="AV219" i="24050"/>
  <c r="AT219" i="24050"/>
  <c r="AR219" i="24050"/>
  <c r="AP219" i="24050"/>
  <c r="AN219" i="24050"/>
  <c r="AL219" i="24050"/>
  <c r="AJ219" i="24050"/>
  <c r="AH219" i="24050"/>
  <c r="AG219" i="24050"/>
  <c r="AF219" i="24050"/>
  <c r="AE219" i="24050"/>
  <c r="AD219" i="24050"/>
  <c r="AC219" i="24050"/>
  <c r="AB219" i="24050"/>
  <c r="Z219" i="24050"/>
  <c r="Y219" i="24050"/>
  <c r="X219" i="24050"/>
  <c r="W219" i="24050"/>
  <c r="V219" i="24050"/>
  <c r="T219" i="24050"/>
  <c r="R219" i="24050"/>
  <c r="P219" i="24050"/>
  <c r="N219" i="24050"/>
  <c r="L219" i="24050"/>
  <c r="J219" i="24050"/>
  <c r="H219" i="24050"/>
  <c r="F219" i="24050"/>
  <c r="D219" i="24050"/>
  <c r="B219" i="24050"/>
  <c r="A219" i="24050"/>
  <c r="CZ218" i="24050"/>
  <c r="CX218" i="24050"/>
  <c r="CV218" i="24050"/>
  <c r="CT218" i="24050"/>
  <c r="CR218" i="24050"/>
  <c r="CP218" i="24050"/>
  <c r="CN218" i="24050"/>
  <c r="CL218" i="24050"/>
  <c r="CJ218" i="24050"/>
  <c r="CH218" i="24050"/>
  <c r="CF218" i="24050"/>
  <c r="CD218" i="24050"/>
  <c r="CB218" i="24050"/>
  <c r="BZ218" i="24050"/>
  <c r="BX218" i="24050"/>
  <c r="BV218" i="24050"/>
  <c r="BT218" i="24050"/>
  <c r="BR218" i="24050"/>
  <c r="BP218" i="24050"/>
  <c r="BN218" i="24050"/>
  <c r="BL218" i="24050"/>
  <c r="BJ218" i="24050"/>
  <c r="BH218" i="24050"/>
  <c r="BF218" i="24050"/>
  <c r="BD218" i="24050"/>
  <c r="BB218" i="24050"/>
  <c r="AZ218" i="24050"/>
  <c r="AX218" i="24050"/>
  <c r="AV218" i="24050"/>
  <c r="AT218" i="24050"/>
  <c r="AR218" i="24050"/>
  <c r="AP218" i="24050"/>
  <c r="AN218" i="24050"/>
  <c r="AL218" i="24050"/>
  <c r="AJ218" i="24050"/>
  <c r="AH218" i="24050"/>
  <c r="AG218" i="24050"/>
  <c r="AF218" i="24050"/>
  <c r="AE218" i="24050"/>
  <c r="AD218" i="24050"/>
  <c r="AC218" i="24050"/>
  <c r="AB218" i="24050"/>
  <c r="Z218" i="24050"/>
  <c r="Y218" i="24050"/>
  <c r="X218" i="24050"/>
  <c r="W218" i="24050"/>
  <c r="V218" i="24050"/>
  <c r="T218" i="24050"/>
  <c r="R218" i="24050"/>
  <c r="P218" i="24050"/>
  <c r="N218" i="24050"/>
  <c r="L218" i="24050"/>
  <c r="J218" i="24050"/>
  <c r="H218" i="24050"/>
  <c r="F218" i="24050"/>
  <c r="D218" i="24050"/>
  <c r="B218" i="24050"/>
  <c r="A218" i="24050"/>
  <c r="A217" i="24050"/>
  <c r="DD215" i="24050"/>
  <c r="DC215" i="24050"/>
  <c r="DD214" i="24050"/>
  <c r="DC214" i="24050"/>
  <c r="DD213" i="24050"/>
  <c r="DC213" i="24050"/>
  <c r="CT215" i="24050"/>
  <c r="CP215" i="24050"/>
  <c r="A215" i="24050"/>
  <c r="CT214" i="24050"/>
  <c r="CP214" i="24050"/>
  <c r="A214" i="24050"/>
  <c r="A213" i="24050"/>
  <c r="DD210" i="24050"/>
  <c r="DC210" i="24050"/>
  <c r="A210" i="24050"/>
  <c r="DD204" i="24050"/>
  <c r="DC204" i="24050"/>
  <c r="A204" i="24050"/>
  <c r="DD202" i="24050"/>
  <c r="DC202" i="24050"/>
  <c r="DS201" i="24050"/>
  <c r="DD201" i="24050"/>
  <c r="DC201" i="24050"/>
  <c r="DD200" i="24050"/>
  <c r="DC200" i="24050"/>
  <c r="DS199" i="24050"/>
  <c r="DI199" i="24050"/>
  <c r="DG199" i="24050"/>
  <c r="DE199" i="24050"/>
  <c r="DD199" i="24050"/>
  <c r="DC199" i="24050"/>
  <c r="DS198" i="24050"/>
  <c r="DI198" i="24050"/>
  <c r="DG198" i="24050"/>
  <c r="DE198" i="24050"/>
  <c r="DD198" i="24050"/>
  <c r="DC198" i="24050"/>
  <c r="A202" i="24050"/>
  <c r="CN201" i="24050"/>
  <c r="CL201" i="24050"/>
  <c r="CH201" i="24050"/>
  <c r="CF201" i="24050"/>
  <c r="CD201" i="24050"/>
  <c r="CB201" i="24050"/>
  <c r="BZ201" i="24050"/>
  <c r="BX201" i="24050"/>
  <c r="BV201" i="24050"/>
  <c r="BT201" i="24050"/>
  <c r="BR201" i="24050"/>
  <c r="BP201" i="24050"/>
  <c r="BN201" i="24050"/>
  <c r="BL201" i="24050"/>
  <c r="BJ201" i="24050"/>
  <c r="BH201" i="24050"/>
  <c r="BF201" i="24050"/>
  <c r="BD201" i="24050"/>
  <c r="BB201" i="24050"/>
  <c r="AZ201" i="24050"/>
  <c r="AX201" i="24050"/>
  <c r="AV201" i="24050"/>
  <c r="AT201" i="24050"/>
  <c r="AR201" i="24050"/>
  <c r="AP201" i="24050"/>
  <c r="AN201" i="24050"/>
  <c r="AL201" i="24050"/>
  <c r="AJ201" i="24050"/>
  <c r="AH201" i="24050"/>
  <c r="AF201" i="24050"/>
  <c r="AD201" i="24050"/>
  <c r="AB201" i="24050"/>
  <c r="Z201" i="24050"/>
  <c r="X201" i="24050"/>
  <c r="V201" i="24050"/>
  <c r="T201" i="24050"/>
  <c r="R201" i="24050"/>
  <c r="P201" i="24050"/>
  <c r="N201" i="24050"/>
  <c r="L201" i="24050"/>
  <c r="J201" i="24050"/>
  <c r="H201" i="24050"/>
  <c r="D201" i="24050"/>
  <c r="A201" i="24050"/>
  <c r="CT200" i="24050"/>
  <c r="A200" i="24050"/>
  <c r="CN199" i="24050"/>
  <c r="CL199" i="24050"/>
  <c r="CJ199" i="24050"/>
  <c r="CH199" i="24050"/>
  <c r="CF199" i="24050"/>
  <c r="CD199" i="24050"/>
  <c r="CB199" i="24050"/>
  <c r="BZ199" i="24050"/>
  <c r="BX199" i="24050"/>
  <c r="BV199" i="24050"/>
  <c r="BT199" i="24050"/>
  <c r="BR199" i="24050"/>
  <c r="BP199" i="24050"/>
  <c r="BN199" i="24050"/>
  <c r="BL199" i="24050"/>
  <c r="BJ199" i="24050"/>
  <c r="BH199" i="24050"/>
  <c r="BF199" i="24050"/>
  <c r="BD199" i="24050"/>
  <c r="BB199" i="24050"/>
  <c r="AZ199" i="24050"/>
  <c r="AX199" i="24050"/>
  <c r="AV199" i="24050"/>
  <c r="AT199" i="24050"/>
  <c r="AR199" i="24050"/>
  <c r="AP199" i="24050"/>
  <c r="AN199" i="24050"/>
  <c r="AL199" i="24050"/>
  <c r="AJ199" i="24050"/>
  <c r="AH199" i="24050"/>
  <c r="AF199" i="24050"/>
  <c r="AD199" i="24050"/>
  <c r="AB199" i="24050"/>
  <c r="Z199" i="24050"/>
  <c r="X199" i="24050"/>
  <c r="V199" i="24050"/>
  <c r="T199" i="24050"/>
  <c r="R199" i="24050"/>
  <c r="P199" i="24050"/>
  <c r="N199" i="24050"/>
  <c r="L199" i="24050"/>
  <c r="J199" i="24050"/>
  <c r="H199" i="24050"/>
  <c r="F199" i="24050"/>
  <c r="D199" i="24050"/>
  <c r="B199" i="24050"/>
  <c r="A199" i="24050"/>
  <c r="CN198" i="24050"/>
  <c r="CL198" i="24050"/>
  <c r="CJ198" i="24050"/>
  <c r="CH198" i="24050"/>
  <c r="CF198" i="24050"/>
  <c r="CD198" i="24050"/>
  <c r="CB198" i="24050"/>
  <c r="BZ198" i="24050"/>
  <c r="BX198" i="24050"/>
  <c r="BV198" i="24050"/>
  <c r="BT198" i="24050"/>
  <c r="BR198" i="24050"/>
  <c r="BP198" i="24050"/>
  <c r="BN198" i="24050"/>
  <c r="BL198" i="24050"/>
  <c r="BJ198" i="24050"/>
  <c r="BH198" i="24050"/>
  <c r="BF198" i="24050"/>
  <c r="BD198" i="24050"/>
  <c r="BB198" i="24050"/>
  <c r="AZ198" i="24050"/>
  <c r="AX198" i="24050"/>
  <c r="AV198" i="24050"/>
  <c r="AT198" i="24050"/>
  <c r="AR198" i="24050"/>
  <c r="AP198" i="24050"/>
  <c r="AN198" i="24050"/>
  <c r="AL198" i="24050"/>
  <c r="AJ198" i="24050"/>
  <c r="AH198" i="24050"/>
  <c r="AF198" i="24050"/>
  <c r="AD198" i="24050"/>
  <c r="AB198" i="24050"/>
  <c r="Z198" i="24050"/>
  <c r="X198" i="24050"/>
  <c r="V198" i="24050"/>
  <c r="T198" i="24050"/>
  <c r="R198" i="24050"/>
  <c r="P198" i="24050"/>
  <c r="N198" i="24050"/>
  <c r="L198" i="24050"/>
  <c r="J198" i="24050"/>
  <c r="H198" i="24050"/>
  <c r="F198" i="24050"/>
  <c r="D198" i="24050"/>
  <c r="B198" i="24050"/>
  <c r="A198" i="24050"/>
  <c r="DD195" i="24050"/>
  <c r="DC195" i="24050"/>
  <c r="DS194" i="24050"/>
  <c r="DI194" i="24050"/>
  <c r="DG194" i="24050"/>
  <c r="DE194" i="24050"/>
  <c r="DD194" i="24050"/>
  <c r="DC194" i="24050"/>
  <c r="DY193" i="24050"/>
  <c r="DS193" i="24050"/>
  <c r="DI193" i="24050"/>
  <c r="DG193" i="24050"/>
  <c r="DE193" i="24050"/>
  <c r="DD193" i="24050"/>
  <c r="DC193" i="24050"/>
  <c r="DS192" i="24050"/>
  <c r="DI192" i="24050"/>
  <c r="DG192" i="24050"/>
  <c r="DE192" i="24050"/>
  <c r="DD192" i="24050"/>
  <c r="DC192" i="24050"/>
  <c r="A195" i="24050"/>
  <c r="CN194" i="24050"/>
  <c r="CL194" i="24050"/>
  <c r="CJ194" i="24050"/>
  <c r="CH194" i="24050"/>
  <c r="CF194" i="24050"/>
  <c r="CD194" i="24050"/>
  <c r="CB194" i="24050"/>
  <c r="BZ194" i="24050"/>
  <c r="BX194" i="24050"/>
  <c r="BV194" i="24050"/>
  <c r="BT194" i="24050"/>
  <c r="BR194" i="24050"/>
  <c r="BP194" i="24050"/>
  <c r="BN194" i="24050"/>
  <c r="BL194" i="24050"/>
  <c r="BJ194" i="24050"/>
  <c r="BH194" i="24050"/>
  <c r="BF194" i="24050"/>
  <c r="BD194" i="24050"/>
  <c r="BB194" i="24050"/>
  <c r="AZ194" i="24050"/>
  <c r="AX194" i="24050"/>
  <c r="AV194" i="24050"/>
  <c r="AT194" i="24050"/>
  <c r="AR194" i="24050"/>
  <c r="AP194" i="24050"/>
  <c r="AN194" i="24050"/>
  <c r="AL194" i="24050"/>
  <c r="AJ194" i="24050"/>
  <c r="AH194" i="24050"/>
  <c r="AF194" i="24050"/>
  <c r="AD194" i="24050"/>
  <c r="AB194" i="24050"/>
  <c r="Z194" i="24050"/>
  <c r="X194" i="24050"/>
  <c r="V194" i="24050"/>
  <c r="T194" i="24050"/>
  <c r="R194" i="24050"/>
  <c r="P194" i="24050"/>
  <c r="N194" i="24050"/>
  <c r="L194" i="24050"/>
  <c r="J194" i="24050"/>
  <c r="H194" i="24050"/>
  <c r="F194" i="24050"/>
  <c r="D194" i="24050"/>
  <c r="B194" i="24050"/>
  <c r="A194" i="24050"/>
  <c r="CN193" i="24050"/>
  <c r="CL193" i="24050"/>
  <c r="CJ193" i="24050"/>
  <c r="CH193" i="24050"/>
  <c r="CF193" i="24050"/>
  <c r="CD193" i="24050"/>
  <c r="CB193" i="24050"/>
  <c r="BZ193" i="24050"/>
  <c r="BX193" i="24050"/>
  <c r="BV193" i="24050"/>
  <c r="BT193" i="24050"/>
  <c r="BR193" i="24050"/>
  <c r="BP193" i="24050"/>
  <c r="BN193" i="24050"/>
  <c r="BL193" i="24050"/>
  <c r="BJ193" i="24050"/>
  <c r="BH193" i="24050"/>
  <c r="BF193" i="24050"/>
  <c r="BD193" i="24050"/>
  <c r="BB193" i="24050"/>
  <c r="AZ193" i="24050"/>
  <c r="AX193" i="24050"/>
  <c r="AV193" i="24050"/>
  <c r="AT193" i="24050"/>
  <c r="AR193" i="24050"/>
  <c r="AP193" i="24050"/>
  <c r="AN193" i="24050"/>
  <c r="AL193" i="24050"/>
  <c r="AJ193" i="24050"/>
  <c r="AH193" i="24050"/>
  <c r="AF193" i="24050"/>
  <c r="AD193" i="24050"/>
  <c r="AB193" i="24050"/>
  <c r="Z193" i="24050"/>
  <c r="X193" i="24050"/>
  <c r="H193" i="24050"/>
  <c r="F193" i="24050"/>
  <c r="D193" i="24050"/>
  <c r="B193" i="24050"/>
  <c r="A193" i="24050"/>
  <c r="CN192" i="24050"/>
  <c r="CL192" i="24050"/>
  <c r="CJ192" i="24050"/>
  <c r="CH192" i="24050"/>
  <c r="CF192" i="24050"/>
  <c r="CD192" i="24050"/>
  <c r="CB192" i="24050"/>
  <c r="BZ192" i="24050"/>
  <c r="BX192" i="24050"/>
  <c r="BV192" i="24050"/>
  <c r="BT192" i="24050"/>
  <c r="BR192" i="24050"/>
  <c r="BP192" i="24050"/>
  <c r="BN192" i="24050"/>
  <c r="BL192" i="24050"/>
  <c r="BJ192" i="24050"/>
  <c r="BH192" i="24050"/>
  <c r="BF192" i="24050"/>
  <c r="BD192" i="24050"/>
  <c r="BB192" i="24050"/>
  <c r="AZ192" i="24050"/>
  <c r="AX192" i="24050"/>
  <c r="AV192" i="24050"/>
  <c r="AT192" i="24050"/>
  <c r="AR192" i="24050"/>
  <c r="AP192" i="24050"/>
  <c r="AN192" i="24050"/>
  <c r="AL192" i="24050"/>
  <c r="AJ192" i="24050"/>
  <c r="AH192" i="24050"/>
  <c r="AF192" i="24050"/>
  <c r="AD192" i="24050"/>
  <c r="AB192" i="24050"/>
  <c r="Z192" i="24050"/>
  <c r="X192" i="24050"/>
  <c r="V192" i="24050"/>
  <c r="T192" i="24050"/>
  <c r="R192" i="24050"/>
  <c r="P192" i="24050"/>
  <c r="N192" i="24050"/>
  <c r="L192" i="24050"/>
  <c r="J192" i="24050"/>
  <c r="H192" i="24050"/>
  <c r="F192" i="24050"/>
  <c r="D192" i="24050"/>
  <c r="B192" i="24050"/>
  <c r="A192" i="24050"/>
  <c r="EU189" i="24050"/>
  <c r="EU188" i="24050"/>
  <c r="A187" i="24050"/>
  <c r="A185" i="24050"/>
  <c r="A182" i="24050"/>
  <c r="EU180" i="24050"/>
  <c r="EQ180" i="24050"/>
  <c r="EO180" i="24050"/>
  <c r="EM180" i="24050"/>
  <c r="EK180" i="24050"/>
  <c r="EI180" i="24050"/>
  <c r="EG180" i="24050"/>
  <c r="EE180" i="24050"/>
  <c r="DQ180" i="24050"/>
  <c r="DO180" i="24050"/>
  <c r="DM180" i="24050"/>
  <c r="DK180" i="24050"/>
  <c r="DD180" i="24050"/>
  <c r="DC180" i="24050"/>
  <c r="EU179" i="24050"/>
  <c r="EQ179" i="24050"/>
  <c r="EO179" i="24050"/>
  <c r="EM179" i="24050"/>
  <c r="EK179" i="24050"/>
  <c r="EI179" i="24050"/>
  <c r="EG179" i="24050"/>
  <c r="EE179" i="24050"/>
  <c r="EC179" i="24050"/>
  <c r="DQ179" i="24050"/>
  <c r="DO179" i="24050"/>
  <c r="DM179" i="24050"/>
  <c r="DK179" i="24050"/>
  <c r="DI179" i="24050"/>
  <c r="DG179" i="24050"/>
  <c r="DE179" i="24050"/>
  <c r="DD179" i="24050"/>
  <c r="DC179" i="24050"/>
  <c r="EU178" i="24050"/>
  <c r="EQ178" i="24050"/>
  <c r="EO178" i="24050"/>
  <c r="EM178" i="24050"/>
  <c r="EK178" i="24050"/>
  <c r="EI178" i="24050"/>
  <c r="EG178" i="24050"/>
  <c r="EE178" i="24050"/>
  <c r="EC178" i="24050"/>
  <c r="DQ178" i="24050"/>
  <c r="DO178" i="24050"/>
  <c r="DM178" i="24050"/>
  <c r="DK178" i="24050"/>
  <c r="DI178" i="24050"/>
  <c r="DG178" i="24050"/>
  <c r="DE178" i="24050"/>
  <c r="DD178" i="24050"/>
  <c r="DC178" i="24050"/>
  <c r="DA180" i="24050"/>
  <c r="CZ180" i="24050"/>
  <c r="CY180" i="24050"/>
  <c r="CX180" i="24050"/>
  <c r="CW180" i="24050"/>
  <c r="CV180" i="24050"/>
  <c r="CU180" i="24050"/>
  <c r="CT180" i="24050"/>
  <c r="CS180" i="24050"/>
  <c r="CR180" i="24050"/>
  <c r="CQ180" i="24050"/>
  <c r="CP180" i="24050"/>
  <c r="CO180" i="24050"/>
  <c r="CN180" i="24050"/>
  <c r="CM180" i="24050"/>
  <c r="CL180" i="24050"/>
  <c r="CK180" i="24050"/>
  <c r="CJ180" i="24050"/>
  <c r="CI180" i="24050"/>
  <c r="CH180" i="24050"/>
  <c r="CG180" i="24050"/>
  <c r="CF180" i="24050"/>
  <c r="CE180" i="24050"/>
  <c r="CD180" i="24050"/>
  <c r="CC180" i="24050"/>
  <c r="CB180" i="24050"/>
  <c r="BZ180" i="24050"/>
  <c r="BX180" i="24050"/>
  <c r="BV180" i="24050"/>
  <c r="BU180" i="24050"/>
  <c r="BT180" i="24050"/>
  <c r="BS180" i="24050"/>
  <c r="BR180" i="24050"/>
  <c r="BQ180" i="24050"/>
  <c r="BP180" i="24050"/>
  <c r="BN180" i="24050"/>
  <c r="BL180" i="24050"/>
  <c r="BE180" i="24050"/>
  <c r="BC180" i="24050"/>
  <c r="BA180" i="24050"/>
  <c r="AY180" i="24050"/>
  <c r="AW180" i="24050"/>
  <c r="AU180" i="24050"/>
  <c r="AS180" i="24050"/>
  <c r="AQ180" i="24050"/>
  <c r="AG180" i="24050"/>
  <c r="AE180" i="24050"/>
  <c r="AC180" i="24050"/>
  <c r="Y180" i="24050"/>
  <c r="W180" i="24050"/>
  <c r="A180" i="24050"/>
  <c r="DA179" i="24050"/>
  <c r="CZ179" i="24050"/>
  <c r="CY179" i="24050"/>
  <c r="CX179" i="24050"/>
  <c r="CW179" i="24050"/>
  <c r="CV179" i="24050"/>
  <c r="CU179" i="24050"/>
  <c r="CT179" i="24050"/>
  <c r="CS179" i="24050"/>
  <c r="CR179" i="24050"/>
  <c r="CQ179" i="24050"/>
  <c r="CP179" i="24050"/>
  <c r="CO179" i="24050"/>
  <c r="CN179" i="24050"/>
  <c r="CM179" i="24050"/>
  <c r="CL179" i="24050"/>
  <c r="CK179" i="24050"/>
  <c r="CJ179" i="24050"/>
  <c r="CI179" i="24050"/>
  <c r="CH179" i="24050"/>
  <c r="CG179" i="24050"/>
  <c r="CF179" i="24050"/>
  <c r="CE179" i="24050"/>
  <c r="CD179" i="24050"/>
  <c r="CC179" i="24050"/>
  <c r="CB179" i="24050"/>
  <c r="CA179" i="24050"/>
  <c r="BZ179" i="24050"/>
  <c r="BY179" i="24050"/>
  <c r="BX179" i="24050"/>
  <c r="BW179" i="24050"/>
  <c r="BV179" i="24050"/>
  <c r="BU179" i="24050"/>
  <c r="BT179" i="24050"/>
  <c r="BS179" i="24050"/>
  <c r="BR179" i="24050"/>
  <c r="BQ179" i="24050"/>
  <c r="BP179" i="24050"/>
  <c r="BO179" i="24050"/>
  <c r="BN179" i="24050"/>
  <c r="BM179" i="24050"/>
  <c r="BL179" i="24050"/>
  <c r="BK179" i="24050"/>
  <c r="BJ179" i="24050"/>
  <c r="BI179" i="24050"/>
  <c r="BH179" i="24050"/>
  <c r="BG179" i="24050"/>
  <c r="BF179" i="24050"/>
  <c r="BE179" i="24050"/>
  <c r="BD179" i="24050"/>
  <c r="BC179" i="24050"/>
  <c r="BB179" i="24050"/>
  <c r="BA179" i="24050"/>
  <c r="AZ179" i="24050"/>
  <c r="AY179" i="24050"/>
  <c r="AX179" i="24050"/>
  <c r="AW179" i="24050"/>
  <c r="AV179" i="24050"/>
  <c r="AU179" i="24050"/>
  <c r="AT179" i="24050"/>
  <c r="AS179" i="24050"/>
  <c r="AR179" i="24050"/>
  <c r="AQ179" i="24050"/>
  <c r="AP179" i="24050"/>
  <c r="AN179" i="24050"/>
  <c r="AL179" i="24050"/>
  <c r="AJ179" i="24050"/>
  <c r="AH179" i="24050"/>
  <c r="AG179" i="24050"/>
  <c r="AF179" i="24050"/>
  <c r="AE179" i="24050"/>
  <c r="AD179" i="24050"/>
  <c r="AC179" i="24050"/>
  <c r="AB179" i="24050"/>
  <c r="Z179" i="24050"/>
  <c r="Y179" i="24050"/>
  <c r="X179" i="24050"/>
  <c r="W179" i="24050"/>
  <c r="V179" i="24050"/>
  <c r="T179" i="24050"/>
  <c r="R179" i="24050"/>
  <c r="P179" i="24050"/>
  <c r="N179" i="24050"/>
  <c r="L179" i="24050"/>
  <c r="J179" i="24050"/>
  <c r="H179" i="24050"/>
  <c r="F179" i="24050"/>
  <c r="D179" i="24050"/>
  <c r="B179" i="24050"/>
  <c r="A179" i="24050"/>
  <c r="DA178" i="24050"/>
  <c r="CZ178" i="24050"/>
  <c r="CY178" i="24050"/>
  <c r="CX178" i="24050"/>
  <c r="CW178" i="24050"/>
  <c r="CV178" i="24050"/>
  <c r="CU178" i="24050"/>
  <c r="CT178" i="24050"/>
  <c r="CS178" i="24050"/>
  <c r="CR178" i="24050"/>
  <c r="CQ178" i="24050"/>
  <c r="CP178" i="24050"/>
  <c r="CO178" i="24050"/>
  <c r="CN178" i="24050"/>
  <c r="CM178" i="24050"/>
  <c r="CL178" i="24050"/>
  <c r="CK178" i="24050"/>
  <c r="CJ178" i="24050"/>
  <c r="CI178" i="24050"/>
  <c r="CH178" i="24050"/>
  <c r="CG178" i="24050"/>
  <c r="CF178" i="24050"/>
  <c r="CE178" i="24050"/>
  <c r="CD178" i="24050"/>
  <c r="CC178" i="24050"/>
  <c r="CB178" i="24050"/>
  <c r="CA178" i="24050"/>
  <c r="BZ178" i="24050"/>
  <c r="BY178" i="24050"/>
  <c r="BX178" i="24050"/>
  <c r="BW178" i="24050"/>
  <c r="BV178" i="24050"/>
  <c r="BU178" i="24050"/>
  <c r="BT178" i="24050"/>
  <c r="BS178" i="24050"/>
  <c r="BR178" i="24050"/>
  <c r="BQ178" i="24050"/>
  <c r="BP178" i="24050"/>
  <c r="BO178" i="24050"/>
  <c r="BN178" i="24050"/>
  <c r="BM178" i="24050"/>
  <c r="BL178" i="24050"/>
  <c r="BK178" i="24050"/>
  <c r="BJ178" i="24050"/>
  <c r="BI178" i="24050"/>
  <c r="BH178" i="24050"/>
  <c r="BG178" i="24050"/>
  <c r="BF178" i="24050"/>
  <c r="BE178" i="24050"/>
  <c r="BD178" i="24050"/>
  <c r="BC178" i="24050"/>
  <c r="BB178" i="24050"/>
  <c r="BA178" i="24050"/>
  <c r="AZ178" i="24050"/>
  <c r="AY178" i="24050"/>
  <c r="AX178" i="24050"/>
  <c r="AW178" i="24050"/>
  <c r="AV178" i="24050"/>
  <c r="AU178" i="24050"/>
  <c r="AT178" i="24050"/>
  <c r="AS178" i="24050"/>
  <c r="AR178" i="24050"/>
  <c r="AQ178" i="24050"/>
  <c r="AN178" i="24050"/>
  <c r="AL178" i="24050"/>
  <c r="AJ178" i="24050"/>
  <c r="AH178" i="24050"/>
  <c r="AG178" i="24050"/>
  <c r="AF178" i="24050"/>
  <c r="AE178" i="24050"/>
  <c r="AD178" i="24050"/>
  <c r="AC178" i="24050"/>
  <c r="AB178" i="24050"/>
  <c r="Z178" i="24050"/>
  <c r="Y178" i="24050"/>
  <c r="X178" i="24050"/>
  <c r="W178" i="24050"/>
  <c r="V178" i="24050"/>
  <c r="T178" i="24050"/>
  <c r="R178" i="24050"/>
  <c r="P178" i="24050"/>
  <c r="N178" i="24050"/>
  <c r="L178" i="24050"/>
  <c r="J178" i="24050"/>
  <c r="H178" i="24050"/>
  <c r="F178" i="24050"/>
  <c r="D178" i="24050"/>
  <c r="B178" i="24050"/>
  <c r="A178" i="24050"/>
  <c r="A177" i="24050"/>
  <c r="DD175" i="24050"/>
  <c r="DD174" i="24050"/>
  <c r="DD173" i="24050"/>
  <c r="A175" i="24050"/>
  <c r="CP174" i="24050"/>
  <c r="A174" i="24050"/>
  <c r="CT173" i="24050"/>
  <c r="CP173" i="24050"/>
  <c r="A173" i="24050"/>
  <c r="DD170" i="24050"/>
  <c r="A170" i="24050"/>
  <c r="DD164" i="24050"/>
  <c r="DC164" i="24050"/>
  <c r="A164" i="24050"/>
  <c r="DD162" i="24050"/>
  <c r="DC162" i="24050"/>
  <c r="DI161" i="24050"/>
  <c r="DG161" i="24050"/>
  <c r="DE161" i="24050"/>
  <c r="DD161" i="24050"/>
  <c r="DC161" i="24050"/>
  <c r="DD160" i="24050"/>
  <c r="DC160" i="24050"/>
  <c r="DI159" i="24050"/>
  <c r="DG159" i="24050"/>
  <c r="DE159" i="24050"/>
  <c r="DD159" i="24050"/>
  <c r="DC159" i="24050"/>
  <c r="DI158" i="24050"/>
  <c r="DG158" i="24050"/>
  <c r="DE158" i="24050"/>
  <c r="DD158" i="24050"/>
  <c r="DC158" i="24050"/>
  <c r="A162" i="24050"/>
  <c r="CN161" i="24050"/>
  <c r="CL161" i="24050"/>
  <c r="CJ161" i="24050"/>
  <c r="CH161" i="24050"/>
  <c r="CF161" i="24050"/>
  <c r="CD161" i="24050"/>
  <c r="CB161" i="24050"/>
  <c r="BZ161" i="24050"/>
  <c r="BX161" i="24050"/>
  <c r="BV161" i="24050"/>
  <c r="BT161" i="24050"/>
  <c r="BR161" i="24050"/>
  <c r="BP161" i="24050"/>
  <c r="BN161" i="24050"/>
  <c r="BL161" i="24050"/>
  <c r="BJ161" i="24050"/>
  <c r="BH161" i="24050"/>
  <c r="BD161" i="24050"/>
  <c r="BB161" i="24050"/>
  <c r="AZ161" i="24050"/>
  <c r="AX161" i="24050"/>
  <c r="AV161" i="24050"/>
  <c r="AT161" i="24050"/>
  <c r="AR161" i="24050"/>
  <c r="AP161" i="24050"/>
  <c r="AN161" i="24050"/>
  <c r="AL161" i="24050"/>
  <c r="AJ161" i="24050"/>
  <c r="AH161" i="24050"/>
  <c r="AF161" i="24050"/>
  <c r="AD161" i="24050"/>
  <c r="AB161" i="24050"/>
  <c r="Z161" i="24050"/>
  <c r="X161" i="24050"/>
  <c r="V161" i="24050"/>
  <c r="T161" i="24050"/>
  <c r="R161" i="24050"/>
  <c r="P161" i="24050"/>
  <c r="N161" i="24050"/>
  <c r="L161" i="24050"/>
  <c r="J161" i="24050"/>
  <c r="H161" i="24050"/>
  <c r="F161" i="24050"/>
  <c r="D161" i="24050"/>
  <c r="B161" i="24050"/>
  <c r="A161" i="24050"/>
  <c r="A160" i="24050"/>
  <c r="CN159" i="24050"/>
  <c r="CL159" i="24050"/>
  <c r="CJ159" i="24050"/>
  <c r="CH159" i="24050"/>
  <c r="CF159" i="24050"/>
  <c r="CD159" i="24050"/>
  <c r="CB159" i="24050"/>
  <c r="BZ159" i="24050"/>
  <c r="BX159" i="24050"/>
  <c r="BV159" i="24050"/>
  <c r="BT159" i="24050"/>
  <c r="BR159" i="24050"/>
  <c r="BP159" i="24050"/>
  <c r="BN159" i="24050"/>
  <c r="BL159" i="24050"/>
  <c r="BJ159" i="24050"/>
  <c r="BH159" i="24050"/>
  <c r="BF159" i="24050"/>
  <c r="BD159" i="24050"/>
  <c r="BB159" i="24050"/>
  <c r="AZ159" i="24050"/>
  <c r="AX159" i="24050"/>
  <c r="AV159" i="24050"/>
  <c r="AT159" i="24050"/>
  <c r="AR159" i="24050"/>
  <c r="AP159" i="24050"/>
  <c r="AN159" i="24050"/>
  <c r="AL159" i="24050"/>
  <c r="AJ159" i="24050"/>
  <c r="AH159" i="24050"/>
  <c r="AF159" i="24050"/>
  <c r="AD159" i="24050"/>
  <c r="AB159" i="24050"/>
  <c r="Z159" i="24050"/>
  <c r="X159" i="24050"/>
  <c r="V159" i="24050"/>
  <c r="T159" i="24050"/>
  <c r="R159" i="24050"/>
  <c r="P159" i="24050"/>
  <c r="N159" i="24050"/>
  <c r="L159" i="24050"/>
  <c r="J159" i="24050"/>
  <c r="H159" i="24050"/>
  <c r="F159" i="24050"/>
  <c r="D159" i="24050"/>
  <c r="B159" i="24050"/>
  <c r="A159" i="24050"/>
  <c r="CN158" i="24050"/>
  <c r="CL158" i="24050"/>
  <c r="CJ158" i="24050"/>
  <c r="CH158" i="24050"/>
  <c r="CF158" i="24050"/>
  <c r="CD158" i="24050"/>
  <c r="CB158" i="24050"/>
  <c r="BZ158" i="24050"/>
  <c r="BX158" i="24050"/>
  <c r="BV158" i="24050"/>
  <c r="BT158" i="24050"/>
  <c r="BR158" i="24050"/>
  <c r="BP158" i="24050"/>
  <c r="BN158" i="24050"/>
  <c r="BL158" i="24050"/>
  <c r="BJ158" i="24050"/>
  <c r="BH158" i="24050"/>
  <c r="BF158" i="24050"/>
  <c r="BD158" i="24050"/>
  <c r="BB158" i="24050"/>
  <c r="AZ158" i="24050"/>
  <c r="AX158" i="24050"/>
  <c r="AV158" i="24050"/>
  <c r="AT158" i="24050"/>
  <c r="AR158" i="24050"/>
  <c r="AP158" i="24050"/>
  <c r="AN158" i="24050"/>
  <c r="AL158" i="24050"/>
  <c r="AJ158" i="24050"/>
  <c r="AH158" i="24050"/>
  <c r="AF158" i="24050"/>
  <c r="AD158" i="24050"/>
  <c r="AB158" i="24050"/>
  <c r="Z158" i="24050"/>
  <c r="X158" i="24050"/>
  <c r="V158" i="24050"/>
  <c r="T158" i="24050"/>
  <c r="R158" i="24050"/>
  <c r="P158" i="24050"/>
  <c r="N158" i="24050"/>
  <c r="L158" i="24050"/>
  <c r="J158" i="24050"/>
  <c r="H158" i="24050"/>
  <c r="F158" i="24050"/>
  <c r="D158" i="24050"/>
  <c r="B158" i="24050"/>
  <c r="A158" i="24050"/>
  <c r="DD155" i="24050"/>
  <c r="DC155" i="24050"/>
  <c r="DI154" i="24050"/>
  <c r="DG154" i="24050"/>
  <c r="DE154" i="24050"/>
  <c r="DD154" i="24050"/>
  <c r="DC154" i="24050"/>
  <c r="DY153" i="24050"/>
  <c r="DI153" i="24050"/>
  <c r="DG153" i="24050"/>
  <c r="DE153" i="24050"/>
  <c r="DD153" i="24050"/>
  <c r="DC153" i="24050"/>
  <c r="DI152" i="24050"/>
  <c r="DG152" i="24050"/>
  <c r="DE152" i="24050"/>
  <c r="DD152" i="24050"/>
  <c r="DC152" i="24050"/>
  <c r="A155" i="24050"/>
  <c r="CN154" i="24050"/>
  <c r="CL154" i="24050"/>
  <c r="CJ154" i="24050"/>
  <c r="CH154" i="24050"/>
  <c r="CF154" i="24050"/>
  <c r="CD154" i="24050"/>
  <c r="CB154" i="24050"/>
  <c r="BZ154" i="24050"/>
  <c r="BX154" i="24050"/>
  <c r="BV154" i="24050"/>
  <c r="BT154" i="24050"/>
  <c r="BR154" i="24050"/>
  <c r="BP154" i="24050"/>
  <c r="BN154" i="24050"/>
  <c r="BL154" i="24050"/>
  <c r="BJ154" i="24050"/>
  <c r="BH154" i="24050"/>
  <c r="BF154" i="24050"/>
  <c r="BD154" i="24050"/>
  <c r="BB154" i="24050"/>
  <c r="AZ154" i="24050"/>
  <c r="AX154" i="24050"/>
  <c r="AV154" i="24050"/>
  <c r="AT154" i="24050"/>
  <c r="AR154" i="24050"/>
  <c r="AP154" i="24050"/>
  <c r="AN154" i="24050"/>
  <c r="AL154" i="24050"/>
  <c r="AJ154" i="24050"/>
  <c r="AH154" i="24050"/>
  <c r="AF154" i="24050"/>
  <c r="AD154" i="24050"/>
  <c r="AB154" i="24050"/>
  <c r="Z154" i="24050"/>
  <c r="X154" i="24050"/>
  <c r="V154" i="24050"/>
  <c r="T154" i="24050"/>
  <c r="R154" i="24050"/>
  <c r="P154" i="24050"/>
  <c r="N154" i="24050"/>
  <c r="L154" i="24050"/>
  <c r="J154" i="24050"/>
  <c r="H154" i="24050"/>
  <c r="F154" i="24050"/>
  <c r="D154" i="24050"/>
  <c r="B154" i="24050"/>
  <c r="A154" i="24050"/>
  <c r="CN153" i="24050"/>
  <c r="CL153" i="24050"/>
  <c r="CJ153" i="24050"/>
  <c r="CH153" i="24050"/>
  <c r="CF153" i="24050"/>
  <c r="CD153" i="24050"/>
  <c r="CB153" i="24050"/>
  <c r="BZ153" i="24050"/>
  <c r="BX153" i="24050"/>
  <c r="BV153" i="24050"/>
  <c r="BT153" i="24050"/>
  <c r="BR153" i="24050"/>
  <c r="BP153" i="24050"/>
  <c r="BN153" i="24050"/>
  <c r="BL153" i="24050"/>
  <c r="BJ153" i="24050"/>
  <c r="BH153" i="24050"/>
  <c r="BF153" i="24050"/>
  <c r="BD153" i="24050"/>
  <c r="BB153" i="24050"/>
  <c r="AZ153" i="24050"/>
  <c r="AX153" i="24050"/>
  <c r="AV153" i="24050"/>
  <c r="AT153" i="24050"/>
  <c r="AR153" i="24050"/>
  <c r="AP153" i="24050"/>
  <c r="AN153" i="24050"/>
  <c r="AL153" i="24050"/>
  <c r="AJ153" i="24050"/>
  <c r="AH153" i="24050"/>
  <c r="AF153" i="24050"/>
  <c r="AD153" i="24050"/>
  <c r="AB153" i="24050"/>
  <c r="Z153" i="24050"/>
  <c r="X153" i="24050"/>
  <c r="V153" i="24050"/>
  <c r="T153" i="24050"/>
  <c r="R153" i="24050"/>
  <c r="P153" i="24050"/>
  <c r="N153" i="24050"/>
  <c r="L153" i="24050"/>
  <c r="J153" i="24050"/>
  <c r="H153" i="24050"/>
  <c r="F153" i="24050"/>
  <c r="D153" i="24050"/>
  <c r="B153" i="24050"/>
  <c r="A153" i="24050"/>
  <c r="CN152" i="24050"/>
  <c r="CL152" i="24050"/>
  <c r="CJ152" i="24050"/>
  <c r="CH152" i="24050"/>
  <c r="CF152" i="24050"/>
  <c r="CD152" i="24050"/>
  <c r="CB152" i="24050"/>
  <c r="BZ152" i="24050"/>
  <c r="BX152" i="24050"/>
  <c r="BV152" i="24050"/>
  <c r="BT152" i="24050"/>
  <c r="BR152" i="24050"/>
  <c r="BP152" i="24050"/>
  <c r="BN152" i="24050"/>
  <c r="BL152" i="24050"/>
  <c r="BJ152" i="24050"/>
  <c r="BH152" i="24050"/>
  <c r="BF152" i="24050"/>
  <c r="BD152" i="24050"/>
  <c r="BB152" i="24050"/>
  <c r="AZ152" i="24050"/>
  <c r="AX152" i="24050"/>
  <c r="AV152" i="24050"/>
  <c r="AT152" i="24050"/>
  <c r="AR152" i="24050"/>
  <c r="AP152" i="24050"/>
  <c r="AN152" i="24050"/>
  <c r="AL152" i="24050"/>
  <c r="AJ152" i="24050"/>
  <c r="AH152" i="24050"/>
  <c r="AF152" i="24050"/>
  <c r="AD152" i="24050"/>
  <c r="AB152" i="24050"/>
  <c r="Z152" i="24050"/>
  <c r="X152" i="24050"/>
  <c r="V152" i="24050"/>
  <c r="T152" i="24050"/>
  <c r="R152" i="24050"/>
  <c r="P152" i="24050"/>
  <c r="N152" i="24050"/>
  <c r="L152" i="24050"/>
  <c r="J152" i="24050"/>
  <c r="H152" i="24050"/>
  <c r="F152" i="24050"/>
  <c r="D152" i="24050"/>
  <c r="B152" i="24050"/>
  <c r="A152" i="24050"/>
  <c r="EU149" i="24050"/>
  <c r="EU148" i="24050"/>
  <c r="A147" i="24050"/>
  <c r="A145" i="24050"/>
  <c r="A142" i="24050"/>
  <c r="EU140" i="24050"/>
  <c r="EQ140" i="24050"/>
  <c r="EO140" i="24050"/>
  <c r="EM140" i="24050"/>
  <c r="EK140" i="24050"/>
  <c r="EI140" i="24050"/>
  <c r="EG140" i="24050"/>
  <c r="EE140" i="24050"/>
  <c r="DO140" i="24050"/>
  <c r="DM140" i="24050"/>
  <c r="DK140" i="24050"/>
  <c r="DD140" i="24050"/>
  <c r="DC140" i="24050"/>
  <c r="EU139" i="24050"/>
  <c r="EQ139" i="24050"/>
  <c r="EO139" i="24050"/>
  <c r="EM139" i="24050"/>
  <c r="EK139" i="24050"/>
  <c r="EI139" i="24050"/>
  <c r="EG139" i="24050"/>
  <c r="EE139" i="24050"/>
  <c r="DO139" i="24050"/>
  <c r="DM139" i="24050"/>
  <c r="DK139" i="24050"/>
  <c r="DD139" i="24050"/>
  <c r="DC139" i="24050"/>
  <c r="EU138" i="24050"/>
  <c r="EQ138" i="24050"/>
  <c r="EO138" i="24050"/>
  <c r="EM138" i="24050"/>
  <c r="EK138" i="24050"/>
  <c r="EI138" i="24050"/>
  <c r="EG138" i="24050"/>
  <c r="EE138" i="24050"/>
  <c r="DO138" i="24050"/>
  <c r="DM138" i="24050"/>
  <c r="DK138" i="24050"/>
  <c r="DI138" i="24050"/>
  <c r="DG138" i="24050"/>
  <c r="DE138" i="24050"/>
  <c r="DD138" i="24050"/>
  <c r="DC138" i="24050"/>
  <c r="EU137" i="24050"/>
  <c r="EQ137" i="24050"/>
  <c r="EO137" i="24050"/>
  <c r="EM137" i="24050"/>
  <c r="EK137" i="24050"/>
  <c r="EI137" i="24050"/>
  <c r="EG137" i="24050"/>
  <c r="EE137" i="24050"/>
  <c r="DO137" i="24050"/>
  <c r="DM137" i="24050"/>
  <c r="DK137" i="24050"/>
  <c r="DI137" i="24050"/>
  <c r="DG137" i="24050"/>
  <c r="DE137" i="24050"/>
  <c r="DD137" i="24050"/>
  <c r="DC137" i="24050"/>
  <c r="EU136" i="24050"/>
  <c r="EQ136" i="24050"/>
  <c r="EO136" i="24050"/>
  <c r="EM136" i="24050"/>
  <c r="EK136" i="24050"/>
  <c r="EI136" i="24050"/>
  <c r="EG136" i="24050"/>
  <c r="EE136" i="24050"/>
  <c r="DO136" i="24050"/>
  <c r="DM136" i="24050"/>
  <c r="DK136" i="24050"/>
  <c r="DD136" i="24050"/>
  <c r="DC136" i="24050"/>
  <c r="EU135" i="24050"/>
  <c r="EQ135" i="24050"/>
  <c r="EO135" i="24050"/>
  <c r="EM135" i="24050"/>
  <c r="EK135" i="24050"/>
  <c r="EI135" i="24050"/>
  <c r="EG135" i="24050"/>
  <c r="EE135" i="24050"/>
  <c r="DO135" i="24050"/>
  <c r="DM135" i="24050"/>
  <c r="DK135" i="24050"/>
  <c r="DI135" i="24050"/>
  <c r="DG135" i="24050"/>
  <c r="DE135" i="24050"/>
  <c r="DD135" i="24050"/>
  <c r="DC135" i="24050"/>
  <c r="EQ134" i="24050"/>
  <c r="EO134" i="24050"/>
  <c r="EM134" i="24050"/>
  <c r="EK134" i="24050"/>
  <c r="EI134" i="24050"/>
  <c r="EG134" i="24050"/>
  <c r="EE134" i="24050"/>
  <c r="DO134" i="24050"/>
  <c r="DM134" i="24050"/>
  <c r="DK134" i="24050"/>
  <c r="DI134" i="24050"/>
  <c r="DG134" i="24050"/>
  <c r="DE134" i="24050"/>
  <c r="DD134" i="24050"/>
  <c r="DC134" i="24050"/>
  <c r="CZ140" i="24050"/>
  <c r="CX140" i="24050"/>
  <c r="CV140" i="24050"/>
  <c r="CT140" i="24050"/>
  <c r="CR140" i="24050"/>
  <c r="CP140" i="24050"/>
  <c r="AG140" i="24050"/>
  <c r="AE140" i="24050"/>
  <c r="AC140" i="24050"/>
  <c r="Y140" i="24050"/>
  <c r="W140" i="24050"/>
  <c r="A140" i="24050"/>
  <c r="CZ139" i="24050"/>
  <c r="CX139" i="24050"/>
  <c r="CV139" i="24050"/>
  <c r="CT139" i="24050"/>
  <c r="CR139" i="24050"/>
  <c r="CP139" i="24050"/>
  <c r="AG139" i="24050"/>
  <c r="AE139" i="24050"/>
  <c r="AC139" i="24050"/>
  <c r="Y139" i="24050"/>
  <c r="W139" i="24050"/>
  <c r="A139" i="24050"/>
  <c r="CZ138" i="24050"/>
  <c r="CX138" i="24050"/>
  <c r="CV138" i="24050"/>
  <c r="CT138" i="24050"/>
  <c r="CR138" i="24050"/>
  <c r="CP138" i="24050"/>
  <c r="CN138" i="24050"/>
  <c r="CL138" i="24050"/>
  <c r="CJ138" i="24050"/>
  <c r="CH138" i="24050"/>
  <c r="CF138" i="24050"/>
  <c r="CD138" i="24050"/>
  <c r="CB138" i="24050"/>
  <c r="BZ138" i="24050"/>
  <c r="BX138" i="24050"/>
  <c r="BV138" i="24050"/>
  <c r="BT138" i="24050"/>
  <c r="BR138" i="24050"/>
  <c r="BP138" i="24050"/>
  <c r="BN138" i="24050"/>
  <c r="BL138" i="24050"/>
  <c r="BJ138" i="24050"/>
  <c r="BH138" i="24050"/>
  <c r="BF138" i="24050"/>
  <c r="BD138" i="24050"/>
  <c r="BB138" i="24050"/>
  <c r="AZ138" i="24050"/>
  <c r="AX138" i="24050"/>
  <c r="AV138" i="24050"/>
  <c r="AT138" i="24050"/>
  <c r="AR138" i="24050"/>
  <c r="AP138" i="24050"/>
  <c r="AN138" i="24050"/>
  <c r="AL138" i="24050"/>
  <c r="AJ138" i="24050"/>
  <c r="AH138" i="24050"/>
  <c r="AG138" i="24050"/>
  <c r="AF138" i="24050"/>
  <c r="AE138" i="24050"/>
  <c r="AD138" i="24050"/>
  <c r="AC138" i="24050"/>
  <c r="AB138" i="24050"/>
  <c r="Z138" i="24050"/>
  <c r="Y138" i="24050"/>
  <c r="X138" i="24050"/>
  <c r="W138" i="24050"/>
  <c r="V138" i="24050"/>
  <c r="T138" i="24050"/>
  <c r="R138" i="24050"/>
  <c r="P138" i="24050"/>
  <c r="N138" i="24050"/>
  <c r="L138" i="24050"/>
  <c r="J138" i="24050"/>
  <c r="H138" i="24050"/>
  <c r="F138" i="24050"/>
  <c r="D138" i="24050"/>
  <c r="B138" i="24050"/>
  <c r="A138" i="24050"/>
  <c r="CZ137" i="24050"/>
  <c r="CX137" i="24050"/>
  <c r="CV137" i="24050"/>
  <c r="CT137" i="24050"/>
  <c r="CR137" i="24050"/>
  <c r="CP137" i="24050"/>
  <c r="CN137" i="24050"/>
  <c r="CL137" i="24050"/>
  <c r="CJ137" i="24050"/>
  <c r="CH137" i="24050"/>
  <c r="CF137" i="24050"/>
  <c r="CD137" i="24050"/>
  <c r="CB137" i="24050"/>
  <c r="BZ137" i="24050"/>
  <c r="BX137" i="24050"/>
  <c r="BV137" i="24050"/>
  <c r="BT137" i="24050"/>
  <c r="BR137" i="24050"/>
  <c r="BP137" i="24050"/>
  <c r="BN137" i="24050"/>
  <c r="BL137" i="24050"/>
  <c r="BJ137" i="24050"/>
  <c r="BH137" i="24050"/>
  <c r="BF137" i="24050"/>
  <c r="BD137" i="24050"/>
  <c r="BB137" i="24050"/>
  <c r="AZ137" i="24050"/>
  <c r="AX137" i="24050"/>
  <c r="AV137" i="24050"/>
  <c r="AT137" i="24050"/>
  <c r="AR137" i="24050"/>
  <c r="AP137" i="24050"/>
  <c r="AN137" i="24050"/>
  <c r="AL137" i="24050"/>
  <c r="AJ137" i="24050"/>
  <c r="AH137" i="24050"/>
  <c r="AG137" i="24050"/>
  <c r="AF137" i="24050"/>
  <c r="AE137" i="24050"/>
  <c r="AD137" i="24050"/>
  <c r="AC137" i="24050"/>
  <c r="AB137" i="24050"/>
  <c r="Z137" i="24050"/>
  <c r="Y137" i="24050"/>
  <c r="X137" i="24050"/>
  <c r="W137" i="24050"/>
  <c r="V137" i="24050"/>
  <c r="T137" i="24050"/>
  <c r="R137" i="24050"/>
  <c r="P137" i="24050"/>
  <c r="N137" i="24050"/>
  <c r="L137" i="24050"/>
  <c r="J137" i="24050"/>
  <c r="H137" i="24050"/>
  <c r="F137" i="24050"/>
  <c r="D137" i="24050"/>
  <c r="B137" i="24050"/>
  <c r="A137" i="24050"/>
  <c r="CZ136" i="24050"/>
  <c r="CX136" i="24050"/>
  <c r="CV136" i="24050"/>
  <c r="CT136" i="24050"/>
  <c r="CR136" i="24050"/>
  <c r="CP136" i="24050"/>
  <c r="AG136" i="24050"/>
  <c r="AE136" i="24050"/>
  <c r="A136" i="24050"/>
  <c r="CZ135" i="24050"/>
  <c r="CX135" i="24050"/>
  <c r="CV135" i="24050"/>
  <c r="CT135" i="24050"/>
  <c r="CR135" i="24050"/>
  <c r="CP135" i="24050"/>
  <c r="CN135" i="24050"/>
  <c r="CL135" i="24050"/>
  <c r="CJ135" i="24050"/>
  <c r="CH135" i="24050"/>
  <c r="CF135" i="24050"/>
  <c r="CD135" i="24050"/>
  <c r="CB135" i="24050"/>
  <c r="BZ135" i="24050"/>
  <c r="BX135" i="24050"/>
  <c r="BV135" i="24050"/>
  <c r="BT135" i="24050"/>
  <c r="BR135" i="24050"/>
  <c r="BP135" i="24050"/>
  <c r="BN135" i="24050"/>
  <c r="BL135" i="24050"/>
  <c r="BJ135" i="24050"/>
  <c r="BH135" i="24050"/>
  <c r="BF135" i="24050"/>
  <c r="BD135" i="24050"/>
  <c r="BB135" i="24050"/>
  <c r="AZ135" i="24050"/>
  <c r="AX135" i="24050"/>
  <c r="AV135" i="24050"/>
  <c r="AT135" i="24050"/>
  <c r="AR135" i="24050"/>
  <c r="AP135" i="24050"/>
  <c r="AN135" i="24050"/>
  <c r="AL135" i="24050"/>
  <c r="AJ135" i="24050"/>
  <c r="AH135" i="24050"/>
  <c r="AG135" i="24050"/>
  <c r="AF135" i="24050"/>
  <c r="AE135" i="24050"/>
  <c r="AD135" i="24050"/>
  <c r="AB135" i="24050"/>
  <c r="Z135" i="24050"/>
  <c r="X135" i="24050"/>
  <c r="V135" i="24050"/>
  <c r="T135" i="24050"/>
  <c r="R135" i="24050"/>
  <c r="P135" i="24050"/>
  <c r="N135" i="24050"/>
  <c r="L135" i="24050"/>
  <c r="J135" i="24050"/>
  <c r="H135" i="24050"/>
  <c r="F135" i="24050"/>
  <c r="D135" i="24050"/>
  <c r="B135" i="24050"/>
  <c r="A135" i="24050"/>
  <c r="CZ134" i="24050"/>
  <c r="CX134" i="24050"/>
  <c r="CV134" i="24050"/>
  <c r="CT134" i="24050"/>
  <c r="CR134" i="24050"/>
  <c r="CP134" i="24050"/>
  <c r="CN134" i="24050"/>
  <c r="CL134" i="24050"/>
  <c r="CJ134" i="24050"/>
  <c r="CH134" i="24050"/>
  <c r="CF134" i="24050"/>
  <c r="CD134" i="24050"/>
  <c r="CB134" i="24050"/>
  <c r="BZ134" i="24050"/>
  <c r="BX134" i="24050"/>
  <c r="BV134" i="24050"/>
  <c r="BT134" i="24050"/>
  <c r="BR134" i="24050"/>
  <c r="BP134" i="24050"/>
  <c r="BN134" i="24050"/>
  <c r="BL134" i="24050"/>
  <c r="BJ134" i="24050"/>
  <c r="BH134" i="24050"/>
  <c r="BF134" i="24050"/>
  <c r="BD134" i="24050"/>
  <c r="BB134" i="24050"/>
  <c r="AZ134" i="24050"/>
  <c r="AX134" i="24050"/>
  <c r="AV134" i="24050"/>
  <c r="AT134" i="24050"/>
  <c r="AR134" i="24050"/>
  <c r="AP134" i="24050"/>
  <c r="AN134" i="24050"/>
  <c r="AL134" i="24050"/>
  <c r="AJ134" i="24050"/>
  <c r="AH134" i="24050"/>
  <c r="AG134" i="24050"/>
  <c r="AF134" i="24050"/>
  <c r="AE134" i="24050"/>
  <c r="AD134" i="24050"/>
  <c r="AB134" i="24050"/>
  <c r="Z134" i="24050"/>
  <c r="X134" i="24050"/>
  <c r="V134" i="24050"/>
  <c r="T134" i="24050"/>
  <c r="R134" i="24050"/>
  <c r="P134" i="24050"/>
  <c r="N134" i="24050"/>
  <c r="L134" i="24050"/>
  <c r="J134" i="24050"/>
  <c r="H134" i="24050"/>
  <c r="F134" i="24050"/>
  <c r="D134" i="24050"/>
  <c r="B134" i="24050"/>
  <c r="A134" i="24050"/>
  <c r="A133" i="24050"/>
  <c r="DD131" i="24050"/>
  <c r="DC131" i="24050"/>
  <c r="DD130" i="24050"/>
  <c r="DC130" i="24050"/>
  <c r="CP131" i="24050"/>
  <c r="A131" i="24050"/>
  <c r="A130" i="24050"/>
  <c r="DD127" i="24050"/>
  <c r="DC127" i="24050"/>
  <c r="A127" i="24050"/>
  <c r="DD121" i="24050"/>
  <c r="DC121" i="24050"/>
  <c r="A121" i="24050"/>
  <c r="DD119" i="24050"/>
  <c r="DC119" i="24050"/>
  <c r="DI118" i="24050"/>
  <c r="DG118" i="24050"/>
  <c r="DE118" i="24050"/>
  <c r="DD118" i="24050"/>
  <c r="DC118" i="24050"/>
  <c r="DD117" i="24050"/>
  <c r="DC117" i="24050"/>
  <c r="DI116" i="24050"/>
  <c r="DG116" i="24050"/>
  <c r="DE116" i="24050"/>
  <c r="DD116" i="24050"/>
  <c r="DC116" i="24050"/>
  <c r="DI115" i="24050"/>
  <c r="DG115" i="24050"/>
  <c r="DE115" i="24050"/>
  <c r="DD115" i="24050"/>
  <c r="DC115" i="24050"/>
  <c r="A119" i="24050"/>
  <c r="CN118" i="24050"/>
  <c r="CL118" i="24050"/>
  <c r="CJ118" i="24050"/>
  <c r="CH118" i="24050"/>
  <c r="CF118" i="24050"/>
  <c r="CD118" i="24050"/>
  <c r="CB118" i="24050"/>
  <c r="BZ118" i="24050"/>
  <c r="BX118" i="24050"/>
  <c r="BV118" i="24050"/>
  <c r="BT118" i="24050"/>
  <c r="BR118" i="24050"/>
  <c r="BP118" i="24050"/>
  <c r="BN118" i="24050"/>
  <c r="BL118" i="24050"/>
  <c r="BJ118" i="24050"/>
  <c r="BH118" i="24050"/>
  <c r="AN118" i="24050"/>
  <c r="H118" i="24050"/>
  <c r="F118" i="24050"/>
  <c r="D118" i="24050"/>
  <c r="B118" i="24050"/>
  <c r="A118" i="24050"/>
  <c r="A117" i="24050"/>
  <c r="CN116" i="24050"/>
  <c r="CL116" i="24050"/>
  <c r="CJ116" i="24050"/>
  <c r="CH116" i="24050"/>
  <c r="CF116" i="24050"/>
  <c r="CD116" i="24050"/>
  <c r="CB116" i="24050"/>
  <c r="BZ116" i="24050"/>
  <c r="BX116" i="24050"/>
  <c r="BV116" i="24050"/>
  <c r="BT116" i="24050"/>
  <c r="BR116" i="24050"/>
  <c r="BP116" i="24050"/>
  <c r="BN116" i="24050"/>
  <c r="BL116" i="24050"/>
  <c r="BJ116" i="24050"/>
  <c r="BH116" i="24050"/>
  <c r="BF116" i="24050"/>
  <c r="BD116" i="24050"/>
  <c r="BB116" i="24050"/>
  <c r="AZ116" i="24050"/>
  <c r="AX116" i="24050"/>
  <c r="AV116" i="24050"/>
  <c r="AT116" i="24050"/>
  <c r="AR116" i="24050"/>
  <c r="AP116" i="24050"/>
  <c r="AN116" i="24050"/>
  <c r="AL116" i="24050"/>
  <c r="AJ116" i="24050"/>
  <c r="AF116" i="24050"/>
  <c r="AD116" i="24050"/>
  <c r="AB116" i="24050"/>
  <c r="Z116" i="24050"/>
  <c r="X116" i="24050"/>
  <c r="V116" i="24050"/>
  <c r="T116" i="24050"/>
  <c r="R116" i="24050"/>
  <c r="P116" i="24050"/>
  <c r="N116" i="24050"/>
  <c r="L116" i="24050"/>
  <c r="J116" i="24050"/>
  <c r="H116" i="24050"/>
  <c r="F116" i="24050"/>
  <c r="D116" i="24050"/>
  <c r="B116" i="24050"/>
  <c r="A116" i="24050"/>
  <c r="CN115" i="24050"/>
  <c r="CL115" i="24050"/>
  <c r="CJ115" i="24050"/>
  <c r="CH115" i="24050"/>
  <c r="CF115" i="24050"/>
  <c r="CD115" i="24050"/>
  <c r="CB115" i="24050"/>
  <c r="BZ115" i="24050"/>
  <c r="BX115" i="24050"/>
  <c r="BV115" i="24050"/>
  <c r="BT115" i="24050"/>
  <c r="BR115" i="24050"/>
  <c r="BP115" i="24050"/>
  <c r="BN115" i="24050"/>
  <c r="BL115" i="24050"/>
  <c r="BJ115" i="24050"/>
  <c r="BH115" i="24050"/>
  <c r="BF115" i="24050"/>
  <c r="BD115" i="24050"/>
  <c r="BB115" i="24050"/>
  <c r="AZ115" i="24050"/>
  <c r="AX115" i="24050"/>
  <c r="AV115" i="24050"/>
  <c r="AT115" i="24050"/>
  <c r="AR115" i="24050"/>
  <c r="AP115" i="24050"/>
  <c r="AN115" i="24050"/>
  <c r="AL115" i="24050"/>
  <c r="AJ115" i="24050"/>
  <c r="AH115" i="24050"/>
  <c r="AF115" i="24050"/>
  <c r="AD115" i="24050"/>
  <c r="AB115" i="24050"/>
  <c r="Z115" i="24050"/>
  <c r="X115" i="24050"/>
  <c r="V115" i="24050"/>
  <c r="T115" i="24050"/>
  <c r="R115" i="24050"/>
  <c r="P115" i="24050"/>
  <c r="N115" i="24050"/>
  <c r="J115" i="24050"/>
  <c r="H115" i="24050"/>
  <c r="D115" i="24050"/>
  <c r="A115" i="24050"/>
  <c r="DD112" i="24050"/>
  <c r="DC112" i="24050"/>
  <c r="DI111" i="24050"/>
  <c r="DG111" i="24050"/>
  <c r="DE111" i="24050"/>
  <c r="DD111" i="24050"/>
  <c r="DC111" i="24050"/>
  <c r="DY110" i="24050"/>
  <c r="DI110" i="24050"/>
  <c r="DG110" i="24050"/>
  <c r="DE110" i="24050"/>
  <c r="DD110" i="24050"/>
  <c r="DC110" i="24050"/>
  <c r="DI109" i="24050"/>
  <c r="DG109" i="24050"/>
  <c r="DE109" i="24050"/>
  <c r="DD109" i="24050"/>
  <c r="DC109" i="24050"/>
  <c r="A112" i="24050"/>
  <c r="CN111" i="24050"/>
  <c r="CL111" i="24050"/>
  <c r="CJ111" i="24050"/>
  <c r="CH111" i="24050"/>
  <c r="CF111" i="24050"/>
  <c r="CD111" i="24050"/>
  <c r="CB111" i="24050"/>
  <c r="BZ111" i="24050"/>
  <c r="BX111" i="24050"/>
  <c r="BV111" i="24050"/>
  <c r="BT111" i="24050"/>
  <c r="BR111" i="24050"/>
  <c r="BP111" i="24050"/>
  <c r="BN111" i="24050"/>
  <c r="BL111" i="24050"/>
  <c r="BJ111" i="24050"/>
  <c r="BH111" i="24050"/>
  <c r="BF111" i="24050"/>
  <c r="BD111" i="24050"/>
  <c r="BB111" i="24050"/>
  <c r="AZ111" i="24050"/>
  <c r="AX111" i="24050"/>
  <c r="AV111" i="24050"/>
  <c r="AT111" i="24050"/>
  <c r="AR111" i="24050"/>
  <c r="AP111" i="24050"/>
  <c r="AN111" i="24050"/>
  <c r="AL111" i="24050"/>
  <c r="AJ111" i="24050"/>
  <c r="AH111" i="24050"/>
  <c r="AF111" i="24050"/>
  <c r="AD111" i="24050"/>
  <c r="AB111" i="24050"/>
  <c r="Z111" i="24050"/>
  <c r="X111" i="24050"/>
  <c r="T111" i="24050"/>
  <c r="R111" i="24050"/>
  <c r="N111" i="24050"/>
  <c r="H111" i="24050"/>
  <c r="F111" i="24050"/>
  <c r="D111" i="24050"/>
  <c r="B111" i="24050"/>
  <c r="A111" i="24050"/>
  <c r="CN110" i="24050"/>
  <c r="CL110" i="24050"/>
  <c r="CJ110" i="24050"/>
  <c r="CH110" i="24050"/>
  <c r="CF110" i="24050"/>
  <c r="CD110" i="24050"/>
  <c r="CB110" i="24050"/>
  <c r="BZ110" i="24050"/>
  <c r="BX110" i="24050"/>
  <c r="BV110" i="24050"/>
  <c r="BT110" i="24050"/>
  <c r="BR110" i="24050"/>
  <c r="BP110" i="24050"/>
  <c r="BN110" i="24050"/>
  <c r="BL110" i="24050"/>
  <c r="BJ110" i="24050"/>
  <c r="BH110" i="24050"/>
  <c r="BF110" i="24050"/>
  <c r="BD110" i="24050"/>
  <c r="BB110" i="24050"/>
  <c r="AZ110" i="24050"/>
  <c r="AX110" i="24050"/>
  <c r="AV110" i="24050"/>
  <c r="AT110" i="24050"/>
  <c r="AR110" i="24050"/>
  <c r="AP110" i="24050"/>
  <c r="AN110" i="24050"/>
  <c r="AL110" i="24050"/>
  <c r="AJ110" i="24050"/>
  <c r="AH110" i="24050"/>
  <c r="AF110" i="24050"/>
  <c r="AD110" i="24050"/>
  <c r="AB110" i="24050"/>
  <c r="Z110" i="24050"/>
  <c r="X110" i="24050"/>
  <c r="H110" i="24050"/>
  <c r="F110" i="24050"/>
  <c r="D110" i="24050"/>
  <c r="B110" i="24050"/>
  <c r="A110" i="24050"/>
  <c r="CN109" i="24050"/>
  <c r="CL109" i="24050"/>
  <c r="CJ109" i="24050"/>
  <c r="CH109" i="24050"/>
  <c r="CF109" i="24050"/>
  <c r="CD109" i="24050"/>
  <c r="CB109" i="24050"/>
  <c r="BZ109" i="24050"/>
  <c r="BX109" i="24050"/>
  <c r="BV109" i="24050"/>
  <c r="BT109" i="24050"/>
  <c r="BR109" i="24050"/>
  <c r="BP109" i="24050"/>
  <c r="BN109" i="24050"/>
  <c r="BL109" i="24050"/>
  <c r="BJ109" i="24050"/>
  <c r="BH109" i="24050"/>
  <c r="BF109" i="24050"/>
  <c r="BD109" i="24050"/>
  <c r="BB109" i="24050"/>
  <c r="AZ109" i="24050"/>
  <c r="AX109" i="24050"/>
  <c r="AV109" i="24050"/>
  <c r="AT109" i="24050"/>
  <c r="AR109" i="24050"/>
  <c r="AP109" i="24050"/>
  <c r="AN109" i="24050"/>
  <c r="AL109" i="24050"/>
  <c r="AJ109" i="24050"/>
  <c r="AH109" i="24050"/>
  <c r="AF109" i="24050"/>
  <c r="AD109" i="24050"/>
  <c r="AB109" i="24050"/>
  <c r="Z109" i="24050"/>
  <c r="X109" i="24050"/>
  <c r="V109" i="24050"/>
  <c r="T109" i="24050"/>
  <c r="R109" i="24050"/>
  <c r="P109" i="24050"/>
  <c r="N109" i="24050"/>
  <c r="L109" i="24050"/>
  <c r="J109" i="24050"/>
  <c r="H109" i="24050"/>
  <c r="F109" i="24050"/>
  <c r="D109" i="24050"/>
  <c r="B109" i="24050"/>
  <c r="A109" i="24050"/>
  <c r="EU106" i="24050"/>
  <c r="EU105" i="24050"/>
  <c r="A104" i="24050"/>
  <c r="A102" i="24050"/>
  <c r="A98" i="24050"/>
  <c r="AT96" i="24050"/>
  <c r="F96" i="24050"/>
  <c r="D96" i="24050"/>
  <c r="B96" i="24050"/>
  <c r="A96" i="24050"/>
  <c r="A95" i="24050"/>
  <c r="A94" i="24050"/>
  <c r="A93" i="24050"/>
  <c r="A92" i="24050"/>
  <c r="A91" i="24050"/>
  <c r="A90" i="24050"/>
  <c r="CN89" i="24050"/>
  <c r="CJ89" i="24050"/>
  <c r="CH89" i="24050"/>
  <c r="CF89" i="24050"/>
  <c r="CD89" i="24050"/>
  <c r="CB89" i="24050"/>
  <c r="BZ89" i="24050"/>
  <c r="BX89" i="24050"/>
  <c r="BV89" i="24050"/>
  <c r="BT89" i="24050"/>
  <c r="BP89" i="24050"/>
  <c r="BN89" i="24050"/>
  <c r="BL89" i="24050"/>
  <c r="BJ89" i="24050"/>
  <c r="BH89" i="24050"/>
  <c r="BF89" i="24050"/>
  <c r="BD89" i="24050"/>
  <c r="BB89" i="24050"/>
  <c r="AZ89" i="24050"/>
  <c r="AX89" i="24050"/>
  <c r="AV89" i="24050"/>
  <c r="AT89" i="24050"/>
  <c r="AR89" i="24050"/>
  <c r="AP89" i="24050"/>
  <c r="AN89" i="24050"/>
  <c r="AL89" i="24050"/>
  <c r="AJ89" i="24050"/>
  <c r="AH89" i="24050"/>
  <c r="AF89" i="24050"/>
  <c r="AD89" i="24050"/>
  <c r="AB89" i="24050"/>
  <c r="Z89" i="24050"/>
  <c r="X89" i="24050"/>
  <c r="V89" i="24050"/>
  <c r="T89" i="24050"/>
  <c r="R89" i="24050"/>
  <c r="P89" i="24050"/>
  <c r="N89" i="24050"/>
  <c r="L89" i="24050"/>
  <c r="J89" i="24050"/>
  <c r="H89" i="24050"/>
  <c r="F89" i="24050"/>
  <c r="D89" i="24050"/>
  <c r="B89" i="24050"/>
  <c r="A89" i="24050"/>
  <c r="CD88" i="24050"/>
  <c r="BN88" i="24050"/>
  <c r="AX88" i="24050"/>
  <c r="AH88" i="24050"/>
  <c r="R88" i="24050"/>
  <c r="F88" i="24050"/>
  <c r="D88" i="24050"/>
  <c r="B88" i="24050"/>
  <c r="A88" i="24050"/>
  <c r="CN87" i="24050"/>
  <c r="CL87" i="24050"/>
  <c r="CJ87" i="24050"/>
  <c r="CH87" i="24050"/>
  <c r="CF87" i="24050"/>
  <c r="CD87" i="24050"/>
  <c r="CB87" i="24050"/>
  <c r="BZ87" i="24050"/>
  <c r="BX87" i="24050"/>
  <c r="BV87" i="24050"/>
  <c r="BT87" i="24050"/>
  <c r="BR87" i="24050"/>
  <c r="BP87" i="24050"/>
  <c r="BN87" i="24050"/>
  <c r="BL87" i="24050"/>
  <c r="BJ87" i="24050"/>
  <c r="BH87" i="24050"/>
  <c r="BF87" i="24050"/>
  <c r="BD87" i="24050"/>
  <c r="BB87" i="24050"/>
  <c r="AZ87" i="24050"/>
  <c r="AX87" i="24050"/>
  <c r="AV87" i="24050"/>
  <c r="AT87" i="24050"/>
  <c r="AR87" i="24050"/>
  <c r="AP87" i="24050"/>
  <c r="AN87" i="24050"/>
  <c r="AL87" i="24050"/>
  <c r="AJ87" i="24050"/>
  <c r="AH87" i="24050"/>
  <c r="AF87" i="24050"/>
  <c r="AD87" i="24050"/>
  <c r="AB87" i="24050"/>
  <c r="Z87" i="24050"/>
  <c r="X87" i="24050"/>
  <c r="V87" i="24050"/>
  <c r="T87" i="24050"/>
  <c r="R87" i="24050"/>
  <c r="P87" i="24050"/>
  <c r="N87" i="24050"/>
  <c r="L87" i="24050"/>
  <c r="J87" i="24050"/>
  <c r="H87" i="24050"/>
  <c r="F87" i="24050"/>
  <c r="D87" i="24050"/>
  <c r="B87" i="24050"/>
  <c r="A87" i="24050"/>
  <c r="A86" i="24050"/>
  <c r="AT84" i="24050"/>
  <c r="A84" i="24050"/>
  <c r="A83" i="24050"/>
  <c r="A82" i="24050"/>
  <c r="A81" i="24050"/>
  <c r="A80" i="24050"/>
  <c r="A79" i="24050"/>
  <c r="A78" i="24050"/>
  <c r="A77" i="24050"/>
  <c r="CD76" i="24050"/>
  <c r="BN76" i="24050"/>
  <c r="AX76" i="24050"/>
  <c r="AH76" i="24050"/>
  <c r="R76" i="24050"/>
  <c r="F76" i="24050"/>
  <c r="D76" i="24050"/>
  <c r="B76" i="24050"/>
  <c r="A76" i="24050"/>
  <c r="A75" i="24050"/>
  <c r="A74" i="24050"/>
  <c r="A71" i="24050"/>
  <c r="A70" i="24050"/>
  <c r="A68" i="24050"/>
  <c r="A67" i="24050"/>
  <c r="A66" i="24050"/>
  <c r="A65" i="24050"/>
  <c r="A64" i="24050"/>
  <c r="A63" i="24050"/>
  <c r="DI59" i="24050"/>
  <c r="DG59" i="24050"/>
  <c r="CN59" i="24050"/>
  <c r="CL59" i="24050"/>
  <c r="CJ59" i="24050"/>
  <c r="CH59" i="24050"/>
  <c r="CF59" i="24050"/>
  <c r="CD59" i="24050"/>
  <c r="CB59" i="24050"/>
  <c r="BZ59" i="24050"/>
  <c r="BX59" i="24050"/>
  <c r="BV59" i="24050"/>
  <c r="BT59" i="24050"/>
  <c r="BR59" i="24050"/>
  <c r="BP59" i="24050"/>
  <c r="BN59" i="24050"/>
  <c r="BL59" i="24050"/>
  <c r="BJ59" i="24050"/>
  <c r="BH59" i="24050"/>
  <c r="BF59" i="24050"/>
  <c r="BD59" i="24050"/>
  <c r="BB59" i="24050"/>
  <c r="AZ59" i="24050"/>
  <c r="AX59" i="24050"/>
  <c r="AV59" i="24050"/>
  <c r="AT59" i="24050"/>
  <c r="AR59" i="24050"/>
  <c r="AP59" i="24050"/>
  <c r="AN59" i="24050"/>
  <c r="AL59" i="24050"/>
  <c r="AJ59" i="24050"/>
  <c r="AH59" i="24050"/>
  <c r="AF59" i="24050"/>
  <c r="AD59" i="24050"/>
  <c r="AB59" i="24050"/>
  <c r="Z59" i="24050"/>
  <c r="X59" i="24050"/>
  <c r="V59" i="24050"/>
  <c r="T59" i="24050"/>
  <c r="R59" i="24050"/>
  <c r="P59" i="24050"/>
  <c r="N59" i="24050"/>
  <c r="L59" i="24050"/>
  <c r="J59" i="24050"/>
  <c r="H59" i="24050"/>
  <c r="F59" i="24050"/>
  <c r="D59" i="24050"/>
  <c r="B59" i="24050"/>
  <c r="A59" i="24050"/>
  <c r="CN58" i="24050"/>
  <c r="CL58" i="24050"/>
  <c r="CJ58" i="24050"/>
  <c r="CH58" i="24050"/>
  <c r="CF58" i="24050"/>
  <c r="CD58" i="24050"/>
  <c r="CB58" i="24050"/>
  <c r="BZ58" i="24050"/>
  <c r="BX58" i="24050"/>
  <c r="BV58" i="24050"/>
  <c r="BT58" i="24050"/>
  <c r="BR58" i="24050"/>
  <c r="BP58" i="24050"/>
  <c r="BN58" i="24050"/>
  <c r="BL58" i="24050"/>
  <c r="BJ58" i="24050"/>
  <c r="BH58" i="24050"/>
  <c r="BF58" i="24050"/>
  <c r="BD58" i="24050"/>
  <c r="BB58" i="24050"/>
  <c r="AZ58" i="24050"/>
  <c r="AX58" i="24050"/>
  <c r="AV58" i="24050"/>
  <c r="AT58" i="24050"/>
  <c r="AR58" i="24050"/>
  <c r="AP58" i="24050"/>
  <c r="AN58" i="24050"/>
  <c r="AL58" i="24050"/>
  <c r="AJ58" i="24050"/>
  <c r="AH58" i="24050"/>
  <c r="AF58" i="24050"/>
  <c r="AD58" i="24050"/>
  <c r="AB58" i="24050"/>
  <c r="Z58" i="24050"/>
  <c r="X58" i="24050"/>
  <c r="V58" i="24050"/>
  <c r="T58" i="24050"/>
  <c r="R58" i="24050"/>
  <c r="P58" i="24050"/>
  <c r="N58" i="24050"/>
  <c r="L58" i="24050"/>
  <c r="J58" i="24050"/>
  <c r="H58" i="24050"/>
  <c r="F58" i="24050"/>
  <c r="D58" i="24050"/>
  <c r="B58" i="24050"/>
  <c r="A58" i="24050"/>
  <c r="EU53" i="24050"/>
  <c r="A53" i="24050"/>
  <c r="A51" i="24050"/>
  <c r="A45" i="24050"/>
  <c r="CP44" i="24050"/>
  <c r="CN44" i="24050"/>
  <c r="CL44" i="24050"/>
  <c r="CJ44" i="24050"/>
  <c r="CH44" i="24050"/>
  <c r="CF44" i="24050"/>
  <c r="CD44" i="24050"/>
  <c r="CB44" i="24050"/>
  <c r="BZ44" i="24050"/>
  <c r="BX44" i="24050"/>
  <c r="BV44" i="24050"/>
  <c r="BT44" i="24050"/>
  <c r="BR44" i="24050"/>
  <c r="BP44" i="24050"/>
  <c r="BN44" i="24050"/>
  <c r="BL44" i="24050"/>
  <c r="BJ44" i="24050"/>
  <c r="BH44" i="24050"/>
  <c r="BF44" i="24050"/>
  <c r="BD44" i="24050"/>
  <c r="BB44" i="24050"/>
  <c r="AZ44" i="24050"/>
  <c r="AX44" i="24050"/>
  <c r="AV44" i="24050"/>
  <c r="AT44" i="24050"/>
  <c r="AR44" i="24050"/>
  <c r="AP44" i="24050"/>
  <c r="AN44" i="24050"/>
  <c r="AL44" i="24050"/>
  <c r="AJ44" i="24050"/>
  <c r="AH44" i="24050"/>
  <c r="AF44" i="24050"/>
  <c r="AD44" i="24050"/>
  <c r="AB44" i="24050"/>
  <c r="Z44" i="24050"/>
  <c r="X44" i="24050"/>
  <c r="V44" i="24050"/>
  <c r="T44" i="24050"/>
  <c r="R44" i="24050"/>
  <c r="P44" i="24050"/>
  <c r="N44" i="24050"/>
  <c r="L44" i="24050"/>
  <c r="J44" i="24050"/>
  <c r="H44" i="24050"/>
  <c r="F44" i="24050"/>
  <c r="D44" i="24050"/>
  <c r="B44" i="24050"/>
  <c r="A44" i="24050"/>
  <c r="A43" i="24050"/>
  <c r="A41" i="24050"/>
  <c r="A40" i="24050"/>
  <c r="A39" i="24050"/>
  <c r="A38" i="24050"/>
  <c r="A35" i="24050"/>
  <c r="DY31" i="24050"/>
  <c r="DY30" i="24050"/>
  <c r="CT31" i="24050"/>
  <c r="CN31" i="24050"/>
  <c r="CL31" i="24050"/>
  <c r="CL30" i="24050"/>
  <c r="CH30" i="24050"/>
  <c r="CF30" i="24050"/>
  <c r="CD30" i="24050"/>
  <c r="CB30" i="24050"/>
  <c r="BZ30" i="24050"/>
  <c r="BX30" i="24050"/>
  <c r="BV30" i="24050"/>
  <c r="BT30" i="24050"/>
  <c r="BR30" i="24050"/>
  <c r="BP30" i="24050"/>
  <c r="BN30" i="24050"/>
  <c r="BL30" i="24050"/>
  <c r="BJ30" i="24050"/>
  <c r="BH30" i="24050"/>
  <c r="BF30" i="24050"/>
  <c r="AT31" i="24050"/>
  <c r="BS31" i="24050"/>
  <c r="BS30" i="24050"/>
  <c r="BQ31" i="24050"/>
  <c r="BQ30" i="24050"/>
  <c r="BO31" i="24050"/>
  <c r="BO30" i="24050"/>
  <c r="BM31" i="24050"/>
  <c r="BM30" i="24050"/>
  <c r="BK31" i="24050"/>
  <c r="BK30" i="24050"/>
  <c r="BI31" i="24050"/>
  <c r="BI30" i="24050"/>
  <c r="BG31" i="24050"/>
  <c r="BG30" i="24050"/>
  <c r="A32" i="24050"/>
  <c r="AH31" i="24050"/>
  <c r="AD31" i="24050"/>
  <c r="V31" i="24050"/>
  <c r="A31" i="24050"/>
  <c r="A30" i="24050"/>
  <c r="DT28" i="24050"/>
  <c r="DS28" i="24050"/>
  <c r="DR28" i="24050"/>
  <c r="DQ28" i="24050"/>
  <c r="CN24" i="24050"/>
  <c r="CL24" i="24050"/>
  <c r="CJ24" i="24050"/>
  <c r="CH24" i="24050"/>
  <c r="CF24" i="24050"/>
  <c r="CD24" i="24050"/>
  <c r="CB24" i="24050"/>
  <c r="BZ24" i="24050"/>
  <c r="BX24" i="24050"/>
  <c r="BV24" i="24050"/>
  <c r="BT24" i="24050"/>
  <c r="BR24" i="24050"/>
  <c r="BP24" i="24050"/>
  <c r="BN24" i="24050"/>
  <c r="BL24" i="24050"/>
  <c r="BJ24" i="24050"/>
  <c r="BH24" i="24050"/>
  <c r="BF24" i="24050"/>
  <c r="BD24" i="24050"/>
  <c r="BB24" i="24050"/>
  <c r="AZ24" i="24050"/>
  <c r="AX24" i="24050"/>
  <c r="AV24" i="24050"/>
  <c r="AT24" i="24050"/>
  <c r="AR24" i="24050"/>
  <c r="AP24" i="24050"/>
  <c r="DI24" i="24050"/>
  <c r="DG24" i="24050"/>
  <c r="A25" i="24050"/>
  <c r="AN24" i="24050"/>
  <c r="AL24" i="24050"/>
  <c r="AJ24" i="24050"/>
  <c r="AH24" i="24050"/>
  <c r="AF24" i="24050"/>
  <c r="AD24" i="24050"/>
  <c r="AB24" i="24050"/>
  <c r="Z24" i="24050"/>
  <c r="X24" i="24050"/>
  <c r="V24" i="24050"/>
  <c r="T24" i="24050"/>
  <c r="R24" i="24050"/>
  <c r="P24" i="24050"/>
  <c r="N24" i="24050"/>
  <c r="L24" i="24050"/>
  <c r="J24" i="24050"/>
  <c r="H24" i="24050"/>
  <c r="F24" i="24050"/>
  <c r="D24" i="24050"/>
  <c r="B24" i="24050"/>
  <c r="A24" i="24050"/>
  <c r="DY21" i="24050"/>
  <c r="CT20" i="24050"/>
  <c r="CN19" i="24050"/>
  <c r="CL19" i="24050"/>
  <c r="CJ19" i="24050"/>
  <c r="CH19" i="24050"/>
  <c r="CF19" i="24050"/>
  <c r="CD19" i="24050"/>
  <c r="CB19" i="24050"/>
  <c r="BZ19" i="24050"/>
  <c r="BX19" i="24050"/>
  <c r="BV19" i="24050"/>
  <c r="BT19" i="24050"/>
  <c r="BR19" i="24050"/>
  <c r="BP19" i="24050"/>
  <c r="BN19" i="24050"/>
  <c r="BL19" i="24050"/>
  <c r="BJ19" i="24050"/>
  <c r="BH19" i="24050"/>
  <c r="BF19" i="24050"/>
  <c r="BD19" i="24050"/>
  <c r="BB19" i="24050"/>
  <c r="AZ19" i="24050"/>
  <c r="AX19" i="24050"/>
  <c r="AV19" i="24050"/>
  <c r="AT19" i="24050"/>
  <c r="AR19" i="24050"/>
  <c r="AP19" i="24050"/>
  <c r="A21" i="24050"/>
  <c r="A20" i="24050"/>
  <c r="AN19" i="24050"/>
  <c r="AL19" i="24050"/>
  <c r="AJ19" i="24050"/>
  <c r="AF19" i="24050"/>
  <c r="AD19" i="24050"/>
  <c r="AB19" i="24050"/>
  <c r="Z19" i="24050"/>
  <c r="X19" i="24050"/>
  <c r="V19" i="24050"/>
  <c r="T19" i="24050"/>
  <c r="R19" i="24050"/>
  <c r="N19" i="24050"/>
  <c r="J19" i="24050"/>
  <c r="B19" i="24050"/>
  <c r="A19" i="24050"/>
  <c r="A17" i="24050"/>
  <c r="DD15" i="24050"/>
  <c r="DC15" i="24050"/>
  <c r="DD14" i="24050"/>
  <c r="DC14" i="24050"/>
  <c r="DD12" i="24050"/>
  <c r="DC12" i="24050"/>
  <c r="DD11" i="24050"/>
  <c r="DC11" i="24050"/>
  <c r="DD10" i="24050"/>
  <c r="DC10" i="24050"/>
  <c r="DD9" i="24050"/>
  <c r="DC9" i="24050"/>
  <c r="DD8" i="24050"/>
  <c r="DC8" i="24050"/>
  <c r="ER5" i="24050"/>
  <c r="EQ5" i="24050"/>
  <c r="EP5" i="24050"/>
  <c r="EO5" i="24050"/>
  <c r="EN5" i="24050"/>
  <c r="EM5" i="24050"/>
  <c r="EL5" i="24050"/>
  <c r="EK5" i="24050"/>
  <c r="EJ5" i="24050"/>
  <c r="EI5" i="24050"/>
  <c r="EH5" i="24050"/>
  <c r="EG5" i="24050"/>
  <c r="EF5" i="24050"/>
  <c r="EE5" i="24050"/>
  <c r="ED5" i="24050"/>
  <c r="EC5" i="24050"/>
  <c r="EB5" i="24050"/>
  <c r="EA5" i="24050"/>
  <c r="DZ5" i="24050"/>
  <c r="DY5" i="24050"/>
  <c r="DX5" i="24050"/>
  <c r="DW5" i="24050"/>
  <c r="DV5" i="24050"/>
  <c r="DU5" i="24050"/>
  <c r="DT5" i="24050"/>
  <c r="DS5" i="24050"/>
  <c r="DR5" i="24050"/>
  <c r="DQ5" i="24050"/>
  <c r="DP5" i="24050"/>
  <c r="DO5" i="24050"/>
  <c r="DN5" i="24050"/>
  <c r="DM5" i="24050"/>
  <c r="DL5" i="24050"/>
  <c r="DK5" i="24050"/>
  <c r="DJ5" i="24050"/>
  <c r="DI5" i="24050"/>
  <c r="DH5" i="24050"/>
  <c r="DG5" i="24050"/>
  <c r="DF5" i="24050"/>
  <c r="DE5" i="24050"/>
  <c r="DD5" i="24050"/>
  <c r="DC5" i="24050"/>
  <c r="DA5" i="24050"/>
  <c r="CZ5" i="24050"/>
  <c r="CY5" i="24050"/>
  <c r="CX5" i="24050"/>
  <c r="CW5" i="24050"/>
  <c r="CV5" i="24050"/>
  <c r="CU5" i="24050"/>
  <c r="CT5" i="24050"/>
  <c r="CS5" i="24050"/>
  <c r="CR5" i="24050"/>
  <c r="CQ5" i="24050"/>
  <c r="CP5" i="24050"/>
  <c r="CO5" i="24050"/>
  <c r="CN5" i="24050"/>
  <c r="CM5" i="24050"/>
  <c r="CL5" i="24050"/>
  <c r="CK5" i="24050"/>
  <c r="CJ5" i="24050"/>
  <c r="CI5" i="24050"/>
  <c r="CH5" i="24050"/>
  <c r="CG5" i="24050"/>
  <c r="CF5" i="24050"/>
  <c r="CE5" i="24050"/>
  <c r="CD5" i="24050"/>
  <c r="CC5" i="24050"/>
  <c r="CB5" i="24050"/>
  <c r="CA5" i="24050"/>
  <c r="BZ5" i="24050"/>
  <c r="BY5" i="24050"/>
  <c r="BX5" i="24050"/>
  <c r="BW5" i="24050"/>
  <c r="BV5" i="24050"/>
  <c r="BU5" i="24050"/>
  <c r="BT5" i="24050"/>
  <c r="BS5" i="24050"/>
  <c r="BR5" i="24050"/>
  <c r="BQ5" i="24050"/>
  <c r="BP5" i="24050"/>
  <c r="BO5" i="24050"/>
  <c r="BN5" i="24050"/>
  <c r="BM5" i="24050"/>
  <c r="BL5" i="24050"/>
  <c r="BK5" i="24050"/>
  <c r="BJ5" i="24050"/>
  <c r="BI5" i="24050"/>
  <c r="BH5" i="24050"/>
  <c r="BG5" i="24050"/>
  <c r="BF5" i="24050"/>
  <c r="BE5" i="24050"/>
  <c r="BD5" i="24050"/>
  <c r="BC5" i="24050"/>
  <c r="BB5" i="24050"/>
  <c r="BA5" i="24050"/>
  <c r="AZ5" i="24050"/>
  <c r="AY5" i="24050"/>
  <c r="AX5" i="24050"/>
  <c r="AW5" i="24050"/>
  <c r="AV5" i="24050"/>
  <c r="AU5" i="24050"/>
  <c r="AT5" i="24050"/>
  <c r="AS5" i="24050"/>
  <c r="AR5" i="24050"/>
  <c r="AQ5" i="24050"/>
  <c r="AP5" i="24050"/>
  <c r="AO5" i="24050"/>
  <c r="AN5" i="24050"/>
  <c r="AM5" i="24050"/>
  <c r="AL5" i="24050"/>
  <c r="AK5" i="24050"/>
  <c r="AJ5" i="24050"/>
  <c r="AI5" i="24050"/>
  <c r="AH5" i="24050"/>
  <c r="AG5" i="24050"/>
  <c r="AF5" i="24050"/>
  <c r="AE5" i="24050"/>
  <c r="AD5" i="24050"/>
  <c r="AC5" i="24050"/>
  <c r="AB5" i="24050"/>
  <c r="AA5" i="24050"/>
  <c r="Z5" i="24050"/>
  <c r="Y5" i="24050"/>
  <c r="X5" i="24050"/>
  <c r="W5" i="24050"/>
  <c r="V5" i="24050"/>
  <c r="U5" i="24050"/>
  <c r="T5" i="24050"/>
  <c r="S5" i="24050"/>
  <c r="R5" i="24050"/>
  <c r="Q5" i="24050"/>
  <c r="P5" i="24050"/>
  <c r="O5" i="24050"/>
  <c r="N5" i="24050"/>
  <c r="M5" i="24050"/>
  <c r="L5" i="24050"/>
  <c r="K5" i="24050"/>
  <c r="J5" i="24050"/>
  <c r="I5" i="24050"/>
  <c r="H5" i="24050"/>
  <c r="G5" i="24050"/>
  <c r="F5" i="24050"/>
  <c r="E5" i="24050"/>
  <c r="D5" i="24050"/>
  <c r="C5" i="24050"/>
  <c r="B5" i="24050"/>
  <c r="AO3" i="24050"/>
  <c r="AO53" i="24050" s="1"/>
  <c r="EU3" i="24050"/>
  <c r="A1" i="24050"/>
  <c r="A408" i="23917"/>
  <c r="A399" i="24050" s="1"/>
  <c r="FZ406" i="23917"/>
  <c r="FZ405" i="23917"/>
  <c r="FX406" i="23917"/>
  <c r="FX405" i="23917"/>
  <c r="FV406" i="23917"/>
  <c r="FV405" i="23917"/>
  <c r="FT406" i="23917"/>
  <c r="FT405" i="23917"/>
  <c r="FR406" i="23917"/>
  <c r="FR405" i="23917"/>
  <c r="FP406" i="23917"/>
  <c r="FP405" i="23917"/>
  <c r="FN406" i="23917"/>
  <c r="FN405" i="23917"/>
  <c r="FL406" i="23917"/>
  <c r="FL405" i="23917"/>
  <c r="FJ406" i="23917"/>
  <c r="FJ405" i="23917"/>
  <c r="FH406" i="23917"/>
  <c r="FH405" i="23917"/>
  <c r="FF406" i="23917"/>
  <c r="FF405" i="23917"/>
  <c r="FD406" i="23917"/>
  <c r="FD405" i="23917"/>
  <c r="FB406" i="23917"/>
  <c r="FB405" i="23917"/>
  <c r="EZ406" i="23917"/>
  <c r="EZ405" i="23917"/>
  <c r="EX406" i="23917"/>
  <c r="EX405" i="23917"/>
  <c r="EV406" i="23917"/>
  <c r="EV405" i="23917"/>
  <c r="ET406" i="23917"/>
  <c r="ET405" i="23917"/>
  <c r="ER406" i="23917"/>
  <c r="ER405" i="23917"/>
  <c r="EP406" i="23917"/>
  <c r="EP405" i="23917"/>
  <c r="EN406" i="23917"/>
  <c r="EN405" i="23917"/>
  <c r="EL406" i="23917"/>
  <c r="EL405" i="23917"/>
  <c r="EG406" i="23917"/>
  <c r="EG405" i="23917"/>
  <c r="EE406" i="23917"/>
  <c r="EE405" i="23917"/>
  <c r="EC406" i="23917"/>
  <c r="EC405" i="23917"/>
  <c r="EA406" i="23917"/>
  <c r="EA405" i="23917"/>
  <c r="DY406" i="23917"/>
  <c r="DY405" i="23917"/>
  <c r="DW406" i="23917"/>
  <c r="DW405" i="23917"/>
  <c r="DU406" i="23917"/>
  <c r="DU405" i="23917"/>
  <c r="DS406" i="23917"/>
  <c r="DS405" i="23917"/>
  <c r="DQ406" i="23917"/>
  <c r="DQ405" i="23917"/>
  <c r="DO406" i="23917"/>
  <c r="DO405" i="23917"/>
  <c r="DM406" i="23917"/>
  <c r="DM405" i="23917"/>
  <c r="DK406" i="23917"/>
  <c r="DK405" i="23917"/>
  <c r="DI406" i="23917"/>
  <c r="DI405" i="23917"/>
  <c r="DG406" i="23917"/>
  <c r="DG405" i="23917"/>
  <c r="DE406" i="23917"/>
  <c r="DE405" i="23917"/>
  <c r="DC406" i="23917"/>
  <c r="DC405" i="23917"/>
  <c r="DA406" i="23917"/>
  <c r="DA405" i="23917"/>
  <c r="CY406" i="23917"/>
  <c r="CY405" i="23917"/>
  <c r="CW406" i="23917"/>
  <c r="CW405" i="23917"/>
  <c r="CU406" i="23917"/>
  <c r="CU405" i="23917"/>
  <c r="CS406" i="23917"/>
  <c r="CS405" i="23917"/>
  <c r="CQ406" i="23917"/>
  <c r="CQ405" i="23917"/>
  <c r="CO406" i="23917"/>
  <c r="CO405" i="23917"/>
  <c r="CM406" i="23917"/>
  <c r="CM405" i="23917"/>
  <c r="CK406" i="23917"/>
  <c r="CK405" i="23917"/>
  <c r="CI406" i="23917"/>
  <c r="CI405" i="23917"/>
  <c r="CG406" i="23917"/>
  <c r="CG405" i="23917"/>
  <c r="CE406" i="23917"/>
  <c r="CE405" i="23917"/>
  <c r="CC406" i="23917"/>
  <c r="CC405" i="23917"/>
  <c r="CA406" i="23917"/>
  <c r="CA405" i="23917"/>
  <c r="BY406" i="23917"/>
  <c r="BY405" i="23917"/>
  <c r="BW406" i="23917"/>
  <c r="BW405" i="23917"/>
  <c r="BU406" i="23917"/>
  <c r="BU405" i="23917"/>
  <c r="BS406" i="23917"/>
  <c r="BS405" i="23917"/>
  <c r="BQ406" i="23917"/>
  <c r="BQ405" i="23917"/>
  <c r="BO406" i="23917"/>
  <c r="BO405" i="23917"/>
  <c r="BM406" i="23917"/>
  <c r="BM405" i="23917"/>
  <c r="BK406" i="23917"/>
  <c r="BK405" i="23917"/>
  <c r="BI406" i="23917"/>
  <c r="BI405" i="23917"/>
  <c r="BG406" i="23917"/>
  <c r="BG405" i="23917"/>
  <c r="BE406" i="23917"/>
  <c r="BE405" i="23917"/>
  <c r="BC406" i="23917"/>
  <c r="BC405" i="23917"/>
  <c r="BA406" i="23917"/>
  <c r="BA405" i="23917"/>
  <c r="AY406" i="23917"/>
  <c r="AY405" i="23917"/>
  <c r="AW406" i="23917"/>
  <c r="AW405" i="23917"/>
  <c r="AU406" i="23917"/>
  <c r="AU405" i="23917"/>
  <c r="AS406" i="23917"/>
  <c r="AS405" i="23917"/>
  <c r="AQ406" i="23917"/>
  <c r="AQ405" i="23917"/>
  <c r="AO406" i="23917"/>
  <c r="AO405" i="23917"/>
  <c r="AM406" i="23917"/>
  <c r="AM405" i="23917"/>
  <c r="AK406" i="23917"/>
  <c r="AK405" i="23917"/>
  <c r="AI406" i="23917"/>
  <c r="AI405" i="23917"/>
  <c r="AG406" i="23917"/>
  <c r="AG405" i="23917"/>
  <c r="AE406" i="23917"/>
  <c r="AE405" i="23917"/>
  <c r="AC406" i="23917"/>
  <c r="AC405" i="23917"/>
  <c r="AA406" i="23917"/>
  <c r="AA405" i="23917"/>
  <c r="Y406" i="23917"/>
  <c r="Y405" i="23917"/>
  <c r="W406" i="23917"/>
  <c r="W405" i="23917"/>
  <c r="U406" i="23917"/>
  <c r="U405" i="23917"/>
  <c r="S406" i="23917"/>
  <c r="S405" i="23917"/>
  <c r="Q406" i="23917"/>
  <c r="Q405" i="23917"/>
  <c r="O406" i="23917"/>
  <c r="O405" i="23917"/>
  <c r="M406" i="23917"/>
  <c r="M405" i="23917"/>
  <c r="K406" i="23917"/>
  <c r="K405" i="23917"/>
  <c r="I406" i="23917"/>
  <c r="I405" i="23917"/>
  <c r="G406" i="23917"/>
  <c r="G405" i="23917"/>
  <c r="E406" i="23917"/>
  <c r="E405" i="23917"/>
  <c r="C406" i="23917"/>
  <c r="C405" i="23917"/>
  <c r="A406" i="23917"/>
  <c r="A405" i="23917"/>
  <c r="EY402" i="23917"/>
  <c r="GA401" i="23917"/>
  <c r="EU395" i="24050" s="1"/>
  <c r="FY401" i="23917"/>
  <c r="FW401" i="23917"/>
  <c r="FU401" i="23917"/>
  <c r="DA395" i="24050" s="1"/>
  <c r="FS401" i="23917"/>
  <c r="CY395" i="24050" s="1"/>
  <c r="FQ401" i="23917"/>
  <c r="FO401" i="23917"/>
  <c r="FM401" i="23917"/>
  <c r="FK401" i="23917"/>
  <c r="FI401" i="23917"/>
  <c r="FG401" i="23917"/>
  <c r="FE401" i="23917"/>
  <c r="FC401" i="23917"/>
  <c r="FA401" i="23917"/>
  <c r="EY401" i="23917"/>
  <c r="GA400" i="23917"/>
  <c r="EU394" i="24050" s="1"/>
  <c r="FY400" i="23917"/>
  <c r="FW400" i="23917"/>
  <c r="FU400" i="23917"/>
  <c r="DA394" i="24050" s="1"/>
  <c r="FS400" i="23917"/>
  <c r="CY394" i="24050" s="1"/>
  <c r="FQ400" i="23917"/>
  <c r="FO400" i="23917"/>
  <c r="FM400" i="23917"/>
  <c r="FK400" i="23917"/>
  <c r="FI400" i="23917"/>
  <c r="FG400" i="23917"/>
  <c r="FE400" i="23917"/>
  <c r="FC400" i="23917"/>
  <c r="FA400" i="23917"/>
  <c r="EY400" i="23917"/>
  <c r="GA399" i="23917"/>
  <c r="EU393" i="24050" s="1"/>
  <c r="FY399" i="23917"/>
  <c r="FW399" i="23917"/>
  <c r="FU399" i="23917"/>
  <c r="DA393" i="24050" s="1"/>
  <c r="FS399" i="23917"/>
  <c r="CY393" i="24050" s="1"/>
  <c r="FQ399" i="23917"/>
  <c r="FO399" i="23917"/>
  <c r="FM399" i="23917"/>
  <c r="FK399" i="23917"/>
  <c r="FI399" i="23917"/>
  <c r="FG399" i="23917"/>
  <c r="FE399" i="23917"/>
  <c r="FC399" i="23917"/>
  <c r="FA399" i="23917"/>
  <c r="EY399" i="23917"/>
  <c r="GA398" i="23917"/>
  <c r="EU392" i="24050" s="1"/>
  <c r="FY398" i="23917"/>
  <c r="FW398" i="23917"/>
  <c r="FU398" i="23917"/>
  <c r="DA392" i="24050" s="1"/>
  <c r="FS398" i="23917"/>
  <c r="CY392" i="24050" s="1"/>
  <c r="FQ398" i="23917"/>
  <c r="FO398" i="23917"/>
  <c r="FM398" i="23917"/>
  <c r="FK398" i="23917"/>
  <c r="FI398" i="23917"/>
  <c r="FG398" i="23917"/>
  <c r="FE398" i="23917"/>
  <c r="FC398" i="23917"/>
  <c r="FA398" i="23917"/>
  <c r="EY398" i="23917"/>
  <c r="EY397" i="23917"/>
  <c r="EY394" i="23917"/>
  <c r="EY393" i="23917"/>
  <c r="A403" i="23917"/>
  <c r="A397" i="24050" s="1"/>
  <c r="DT402" i="23917"/>
  <c r="DR402" i="23917"/>
  <c r="DN402" i="23917"/>
  <c r="DL402" i="23917"/>
  <c r="DJ402" i="23917"/>
  <c r="DH402" i="23917"/>
  <c r="DF402" i="23917"/>
  <c r="DD402" i="23917"/>
  <c r="DB402" i="23917"/>
  <c r="CZ402" i="23917"/>
  <c r="CX402" i="23917"/>
  <c r="CV402" i="23917"/>
  <c r="CT402" i="23917"/>
  <c r="CR402" i="23917"/>
  <c r="BL396" i="24050" s="1"/>
  <c r="CP402" i="23917"/>
  <c r="BJ396" i="24050" s="1"/>
  <c r="CN402" i="23917"/>
  <c r="BH396" i="24050" s="1"/>
  <c r="CL402" i="23917"/>
  <c r="BF396" i="24050" s="1"/>
  <c r="CJ402" i="23917"/>
  <c r="BD396" i="24050" s="1"/>
  <c r="CH402" i="23917"/>
  <c r="BB396" i="24050" s="1"/>
  <c r="CF402" i="23917"/>
  <c r="AZ396" i="24050" s="1"/>
  <c r="CD402" i="23917"/>
  <c r="AX396" i="24050" s="1"/>
  <c r="BX402" i="23917"/>
  <c r="AR396" i="24050" s="1"/>
  <c r="BL402" i="23917"/>
  <c r="AF396" i="24050" s="1"/>
  <c r="BJ402" i="23917"/>
  <c r="AD396" i="24050" s="1"/>
  <c r="BH402" i="23917"/>
  <c r="AB396" i="24050" s="1"/>
  <c r="BF402" i="23917"/>
  <c r="Z396" i="24050" s="1"/>
  <c r="BD402" i="23917"/>
  <c r="X396" i="24050" s="1"/>
  <c r="A402" i="23917"/>
  <c r="A396" i="24050" s="1"/>
  <c r="EG401" i="23917"/>
  <c r="EF401" i="23917"/>
  <c r="EE401" i="23917"/>
  <c r="ED401" i="23917"/>
  <c r="EC401" i="23917"/>
  <c r="EB401" i="23917"/>
  <c r="EA401" i="23917"/>
  <c r="DZ401" i="23917"/>
  <c r="DY401" i="23917"/>
  <c r="DX401" i="23917"/>
  <c r="DW401" i="23917"/>
  <c r="DV401" i="23917"/>
  <c r="DU401" i="23917"/>
  <c r="DT401" i="23917"/>
  <c r="DS401" i="23917"/>
  <c r="DR401" i="23917"/>
  <c r="DQ401" i="23917"/>
  <c r="DP401" i="23917"/>
  <c r="DO401" i="23917"/>
  <c r="DN401" i="23917"/>
  <c r="DM401" i="23917"/>
  <c r="DL401" i="23917"/>
  <c r="DK401" i="23917"/>
  <c r="DJ401" i="23917"/>
  <c r="DI401" i="23917"/>
  <c r="DH401" i="23917"/>
  <c r="DG401" i="23917"/>
  <c r="DF401" i="23917"/>
  <c r="DE401" i="23917"/>
  <c r="DD401" i="23917"/>
  <c r="DC401" i="23917"/>
  <c r="DB401" i="23917"/>
  <c r="DA401" i="23917"/>
  <c r="CZ401" i="23917"/>
  <c r="CY401" i="23917"/>
  <c r="CX401" i="23917"/>
  <c r="CW401" i="23917"/>
  <c r="CV401" i="23917"/>
  <c r="CU401" i="23917"/>
  <c r="CT401" i="23917"/>
  <c r="CS401" i="23917"/>
  <c r="BM395" i="24050" s="1"/>
  <c r="CR401" i="23917"/>
  <c r="BL395" i="24050" s="1"/>
  <c r="CQ401" i="23917"/>
  <c r="BK395" i="24050" s="1"/>
  <c r="CP401" i="23917"/>
  <c r="BJ395" i="24050" s="1"/>
  <c r="CO401" i="23917"/>
  <c r="BI395" i="24050" s="1"/>
  <c r="CN401" i="23917"/>
  <c r="BH395" i="24050" s="1"/>
  <c r="CM401" i="23917"/>
  <c r="BG395" i="24050" s="1"/>
  <c r="CL401" i="23917"/>
  <c r="BF395" i="24050" s="1"/>
  <c r="CK401" i="23917"/>
  <c r="BE395" i="24050" s="1"/>
  <c r="CJ401" i="23917"/>
  <c r="BD395" i="24050" s="1"/>
  <c r="CI401" i="23917"/>
  <c r="BC395" i="24050" s="1"/>
  <c r="CH401" i="23917"/>
  <c r="BB395" i="24050" s="1"/>
  <c r="CG401" i="23917"/>
  <c r="BA395" i="24050" s="1"/>
  <c r="CF401" i="23917"/>
  <c r="AZ395" i="24050" s="1"/>
  <c r="CE401" i="23917"/>
  <c r="AY395" i="24050" s="1"/>
  <c r="CD401" i="23917"/>
  <c r="AX395" i="24050" s="1"/>
  <c r="CC401" i="23917"/>
  <c r="AW395" i="24050" s="1"/>
  <c r="CB401" i="23917"/>
  <c r="AV395" i="24050" s="1"/>
  <c r="CA401" i="23917"/>
  <c r="AU395" i="24050" s="1"/>
  <c r="BZ401" i="23917"/>
  <c r="AT395" i="24050" s="1"/>
  <c r="BY401" i="23917"/>
  <c r="AS395" i="24050" s="1"/>
  <c r="BX401" i="23917"/>
  <c r="AR395" i="24050" s="1"/>
  <c r="BW401" i="23917"/>
  <c r="AQ395" i="24050" s="1"/>
  <c r="BV401" i="23917"/>
  <c r="AP395" i="24050" s="1"/>
  <c r="BU401" i="23917"/>
  <c r="AO395" i="24050" s="1"/>
  <c r="BT401" i="23917"/>
  <c r="AN395" i="24050" s="1"/>
  <c r="BS401" i="23917"/>
  <c r="AM395" i="24050" s="1"/>
  <c r="BR401" i="23917"/>
  <c r="AL395" i="24050" s="1"/>
  <c r="BQ401" i="23917"/>
  <c r="AK395" i="24050" s="1"/>
  <c r="BP401" i="23917"/>
  <c r="AJ395" i="24050" s="1"/>
  <c r="BO401" i="23917"/>
  <c r="AI395" i="24050" s="1"/>
  <c r="BN401" i="23917"/>
  <c r="AH395" i="24050" s="1"/>
  <c r="BM401" i="23917"/>
  <c r="AG395" i="24050" s="1"/>
  <c r="BL401" i="23917"/>
  <c r="AF395" i="24050" s="1"/>
  <c r="BK401" i="23917"/>
  <c r="AE395" i="24050" s="1"/>
  <c r="BJ401" i="23917"/>
  <c r="AD395" i="24050" s="1"/>
  <c r="BI401" i="23917"/>
  <c r="AC395" i="24050" s="1"/>
  <c r="BH401" i="23917"/>
  <c r="AB395" i="24050" s="1"/>
  <c r="BG401" i="23917"/>
  <c r="AA395" i="24050" s="1"/>
  <c r="BF401" i="23917"/>
  <c r="Z395" i="24050" s="1"/>
  <c r="BE401" i="23917"/>
  <c r="Y395" i="24050" s="1"/>
  <c r="BD401" i="23917"/>
  <c r="X395" i="24050" s="1"/>
  <c r="A401" i="23917"/>
  <c r="A395" i="24050" s="1"/>
  <c r="EG400" i="23917"/>
  <c r="EF400" i="23917"/>
  <c r="EE400" i="23917"/>
  <c r="ED400" i="23917"/>
  <c r="EC400" i="23917"/>
  <c r="EB400" i="23917"/>
  <c r="EA400" i="23917"/>
  <c r="DZ400" i="23917"/>
  <c r="DY400" i="23917"/>
  <c r="DX400" i="23917"/>
  <c r="DW400" i="23917"/>
  <c r="DV400" i="23917"/>
  <c r="DU400" i="23917"/>
  <c r="DT400" i="23917"/>
  <c r="DS400" i="23917"/>
  <c r="DR400" i="23917"/>
  <c r="DQ400" i="23917"/>
  <c r="DP400" i="23917"/>
  <c r="DO400" i="23917"/>
  <c r="DN400" i="23917"/>
  <c r="DM400" i="23917"/>
  <c r="DL400" i="23917"/>
  <c r="DK400" i="23917"/>
  <c r="DJ400" i="23917"/>
  <c r="DI400" i="23917"/>
  <c r="DH400" i="23917"/>
  <c r="DG400" i="23917"/>
  <c r="DF400" i="23917"/>
  <c r="DE400" i="23917"/>
  <c r="DD400" i="23917"/>
  <c r="DC400" i="23917"/>
  <c r="DB400" i="23917"/>
  <c r="DA400" i="23917"/>
  <c r="CZ400" i="23917"/>
  <c r="CY400" i="23917"/>
  <c r="CX400" i="23917"/>
  <c r="CW400" i="23917"/>
  <c r="CV400" i="23917"/>
  <c r="CU400" i="23917"/>
  <c r="CT400" i="23917"/>
  <c r="CS400" i="23917"/>
  <c r="BM394" i="24050" s="1"/>
  <c r="CR400" i="23917"/>
  <c r="BL394" i="24050" s="1"/>
  <c r="CQ400" i="23917"/>
  <c r="BK394" i="24050" s="1"/>
  <c r="CP400" i="23917"/>
  <c r="BJ394" i="24050" s="1"/>
  <c r="CO400" i="23917"/>
  <c r="BI394" i="24050" s="1"/>
  <c r="CN400" i="23917"/>
  <c r="BH394" i="24050" s="1"/>
  <c r="CM400" i="23917"/>
  <c r="BG394" i="24050" s="1"/>
  <c r="CL400" i="23917"/>
  <c r="BF394" i="24050" s="1"/>
  <c r="CK400" i="23917"/>
  <c r="BE394" i="24050" s="1"/>
  <c r="CJ400" i="23917"/>
  <c r="BD394" i="24050" s="1"/>
  <c r="CI400" i="23917"/>
  <c r="BC394" i="24050" s="1"/>
  <c r="CH400" i="23917"/>
  <c r="BB394" i="24050" s="1"/>
  <c r="CG400" i="23917"/>
  <c r="BA394" i="24050" s="1"/>
  <c r="CF400" i="23917"/>
  <c r="AZ394" i="24050" s="1"/>
  <c r="CE400" i="23917"/>
  <c r="AY394" i="24050" s="1"/>
  <c r="CD400" i="23917"/>
  <c r="AX394" i="24050" s="1"/>
  <c r="CC400" i="23917"/>
  <c r="AW394" i="24050" s="1"/>
  <c r="CB400" i="23917"/>
  <c r="AV394" i="24050" s="1"/>
  <c r="CA400" i="23917"/>
  <c r="AU394" i="24050" s="1"/>
  <c r="BZ400" i="23917"/>
  <c r="AT394" i="24050" s="1"/>
  <c r="BY400" i="23917"/>
  <c r="AS394" i="24050" s="1"/>
  <c r="BX400" i="23917"/>
  <c r="AR394" i="24050" s="1"/>
  <c r="BW400" i="23917"/>
  <c r="AQ394" i="24050" s="1"/>
  <c r="BV400" i="23917"/>
  <c r="AP394" i="24050" s="1"/>
  <c r="BU400" i="23917"/>
  <c r="AO394" i="24050" s="1"/>
  <c r="BT400" i="23917"/>
  <c r="AN394" i="24050" s="1"/>
  <c r="BS400" i="23917"/>
  <c r="AM394" i="24050" s="1"/>
  <c r="BR400" i="23917"/>
  <c r="AL394" i="24050" s="1"/>
  <c r="BQ400" i="23917"/>
  <c r="AK394" i="24050" s="1"/>
  <c r="BP400" i="23917"/>
  <c r="AJ394" i="24050" s="1"/>
  <c r="BO400" i="23917"/>
  <c r="AI394" i="24050" s="1"/>
  <c r="BN400" i="23917"/>
  <c r="AH394" i="24050" s="1"/>
  <c r="BM400" i="23917"/>
  <c r="AG394" i="24050" s="1"/>
  <c r="BL400" i="23917"/>
  <c r="AF394" i="24050" s="1"/>
  <c r="BK400" i="23917"/>
  <c r="AE394" i="24050" s="1"/>
  <c r="BJ400" i="23917"/>
  <c r="AD394" i="24050" s="1"/>
  <c r="BI400" i="23917"/>
  <c r="AC394" i="24050" s="1"/>
  <c r="BH400" i="23917"/>
  <c r="AB394" i="24050" s="1"/>
  <c r="BG400" i="23917"/>
  <c r="AA394" i="24050" s="1"/>
  <c r="BF400" i="23917"/>
  <c r="Z394" i="24050" s="1"/>
  <c r="BE400" i="23917"/>
  <c r="Y394" i="24050" s="1"/>
  <c r="BD400" i="23917"/>
  <c r="X394" i="24050" s="1"/>
  <c r="A400" i="23917"/>
  <c r="A394" i="24050" s="1"/>
  <c r="EG399" i="23917"/>
  <c r="EF399" i="23917"/>
  <c r="EE399" i="23917"/>
  <c r="ED399" i="23917"/>
  <c r="EC399" i="23917"/>
  <c r="EB399" i="23917"/>
  <c r="EA399" i="23917"/>
  <c r="DZ399" i="23917"/>
  <c r="DY399" i="23917"/>
  <c r="DX399" i="23917"/>
  <c r="DW399" i="23917"/>
  <c r="DV399" i="23917"/>
  <c r="DU399" i="23917"/>
  <c r="DT399" i="23917"/>
  <c r="DS399" i="23917"/>
  <c r="DR399" i="23917"/>
  <c r="DQ399" i="23917"/>
  <c r="DP399" i="23917"/>
  <c r="DO399" i="23917"/>
  <c r="DN399" i="23917"/>
  <c r="DM399" i="23917"/>
  <c r="DL399" i="23917"/>
  <c r="DK399" i="23917"/>
  <c r="DJ399" i="23917"/>
  <c r="DI399" i="23917"/>
  <c r="DH399" i="23917"/>
  <c r="DG399" i="23917"/>
  <c r="DF399" i="23917"/>
  <c r="DE399" i="23917"/>
  <c r="DD399" i="23917"/>
  <c r="DC399" i="23917"/>
  <c r="DB399" i="23917"/>
  <c r="DA399" i="23917"/>
  <c r="CZ399" i="23917"/>
  <c r="CY399" i="23917"/>
  <c r="CX399" i="23917"/>
  <c r="CW399" i="23917"/>
  <c r="CV399" i="23917"/>
  <c r="CU399" i="23917"/>
  <c r="CT399" i="23917"/>
  <c r="CS399" i="23917"/>
  <c r="BM393" i="24050" s="1"/>
  <c r="CR399" i="23917"/>
  <c r="BL393" i="24050" s="1"/>
  <c r="CQ399" i="23917"/>
  <c r="BK393" i="24050" s="1"/>
  <c r="CP399" i="23917"/>
  <c r="BJ393" i="24050" s="1"/>
  <c r="CO399" i="23917"/>
  <c r="BI393" i="24050" s="1"/>
  <c r="CN399" i="23917"/>
  <c r="BH393" i="24050" s="1"/>
  <c r="CM399" i="23917"/>
  <c r="BG393" i="24050" s="1"/>
  <c r="CL399" i="23917"/>
  <c r="BF393" i="24050" s="1"/>
  <c r="CK399" i="23917"/>
  <c r="BE393" i="24050" s="1"/>
  <c r="CJ399" i="23917"/>
  <c r="BD393" i="24050" s="1"/>
  <c r="CI399" i="23917"/>
  <c r="BC393" i="24050" s="1"/>
  <c r="CH399" i="23917"/>
  <c r="BB393" i="24050" s="1"/>
  <c r="CG399" i="23917"/>
  <c r="BA393" i="24050" s="1"/>
  <c r="CF399" i="23917"/>
  <c r="AZ393" i="24050" s="1"/>
  <c r="CE399" i="23917"/>
  <c r="AY393" i="24050" s="1"/>
  <c r="CD399" i="23917"/>
  <c r="AX393" i="24050" s="1"/>
  <c r="CC399" i="23917"/>
  <c r="AW393" i="24050" s="1"/>
  <c r="CB399" i="23917"/>
  <c r="AV393" i="24050" s="1"/>
  <c r="CA399" i="23917"/>
  <c r="AU393" i="24050" s="1"/>
  <c r="BZ399" i="23917"/>
  <c r="AT393" i="24050" s="1"/>
  <c r="BY399" i="23917"/>
  <c r="AS393" i="24050" s="1"/>
  <c r="BX399" i="23917"/>
  <c r="AR393" i="24050" s="1"/>
  <c r="BW399" i="23917"/>
  <c r="AQ393" i="24050" s="1"/>
  <c r="BV399" i="23917"/>
  <c r="AP393" i="24050" s="1"/>
  <c r="BU399" i="23917"/>
  <c r="AO393" i="24050" s="1"/>
  <c r="BT399" i="23917"/>
  <c r="AN393" i="24050" s="1"/>
  <c r="BS399" i="23917"/>
  <c r="AM393" i="24050" s="1"/>
  <c r="BR399" i="23917"/>
  <c r="AL393" i="24050" s="1"/>
  <c r="BQ399" i="23917"/>
  <c r="AK393" i="24050" s="1"/>
  <c r="BP399" i="23917"/>
  <c r="AJ393" i="24050" s="1"/>
  <c r="BO399" i="23917"/>
  <c r="AI393" i="24050" s="1"/>
  <c r="BN399" i="23917"/>
  <c r="AH393" i="24050" s="1"/>
  <c r="BM399" i="23917"/>
  <c r="AG393" i="24050" s="1"/>
  <c r="BL399" i="23917"/>
  <c r="AF393" i="24050" s="1"/>
  <c r="BK399" i="23917"/>
  <c r="AE393" i="24050" s="1"/>
  <c r="BJ399" i="23917"/>
  <c r="AD393" i="24050" s="1"/>
  <c r="BI399" i="23917"/>
  <c r="AC393" i="24050" s="1"/>
  <c r="BH399" i="23917"/>
  <c r="AB393" i="24050" s="1"/>
  <c r="BG399" i="23917"/>
  <c r="AA393" i="24050" s="1"/>
  <c r="BF399" i="23917"/>
  <c r="Z393" i="24050" s="1"/>
  <c r="BE399" i="23917"/>
  <c r="Y393" i="24050" s="1"/>
  <c r="BD399" i="23917"/>
  <c r="X393" i="24050" s="1"/>
  <c r="A399" i="23917"/>
  <c r="A393" i="24050" s="1"/>
  <c r="EG398" i="23917"/>
  <c r="EF398" i="23917"/>
  <c r="EE398" i="23917"/>
  <c r="ED398" i="23917"/>
  <c r="EC398" i="23917"/>
  <c r="EB398" i="23917"/>
  <c r="EA398" i="23917"/>
  <c r="DZ398" i="23917"/>
  <c r="DY398" i="23917"/>
  <c r="DX398" i="23917"/>
  <c r="DW398" i="23917"/>
  <c r="DV398" i="23917"/>
  <c r="DU398" i="23917"/>
  <c r="DT398" i="23917"/>
  <c r="DS398" i="23917"/>
  <c r="DR398" i="23917"/>
  <c r="DQ398" i="23917"/>
  <c r="DP398" i="23917"/>
  <c r="DO398" i="23917"/>
  <c r="DN398" i="23917"/>
  <c r="DM398" i="23917"/>
  <c r="DL398" i="23917"/>
  <c r="DK398" i="23917"/>
  <c r="DJ398" i="23917"/>
  <c r="DI398" i="23917"/>
  <c r="DH398" i="23917"/>
  <c r="DG398" i="23917"/>
  <c r="DF398" i="23917"/>
  <c r="DE398" i="23917"/>
  <c r="DD398" i="23917"/>
  <c r="DC398" i="23917"/>
  <c r="DB398" i="23917"/>
  <c r="DA398" i="23917"/>
  <c r="CZ398" i="23917"/>
  <c r="CY398" i="23917"/>
  <c r="CX398" i="23917"/>
  <c r="CW398" i="23917"/>
  <c r="CV398" i="23917"/>
  <c r="CU398" i="23917"/>
  <c r="CT398" i="23917"/>
  <c r="CS398" i="23917"/>
  <c r="BM392" i="24050" s="1"/>
  <c r="CR398" i="23917"/>
  <c r="BL392" i="24050" s="1"/>
  <c r="CQ398" i="23917"/>
  <c r="BK392" i="24050" s="1"/>
  <c r="CP398" i="23917"/>
  <c r="BJ392" i="24050" s="1"/>
  <c r="CO398" i="23917"/>
  <c r="BI392" i="24050" s="1"/>
  <c r="CN398" i="23917"/>
  <c r="BH392" i="24050" s="1"/>
  <c r="CM398" i="23917"/>
  <c r="BG392" i="24050" s="1"/>
  <c r="CL398" i="23917"/>
  <c r="BF392" i="24050" s="1"/>
  <c r="CK398" i="23917"/>
  <c r="BE392" i="24050" s="1"/>
  <c r="CJ398" i="23917"/>
  <c r="BD392" i="24050" s="1"/>
  <c r="CI398" i="23917"/>
  <c r="BC392" i="24050" s="1"/>
  <c r="CH398" i="23917"/>
  <c r="BB392" i="24050" s="1"/>
  <c r="CG398" i="23917"/>
  <c r="BA392" i="24050" s="1"/>
  <c r="CF398" i="23917"/>
  <c r="AZ392" i="24050" s="1"/>
  <c r="CE398" i="23917"/>
  <c r="AY392" i="24050" s="1"/>
  <c r="CD398" i="23917"/>
  <c r="AX392" i="24050" s="1"/>
  <c r="CC398" i="23917"/>
  <c r="AW392" i="24050" s="1"/>
  <c r="CB398" i="23917"/>
  <c r="AV392" i="24050" s="1"/>
  <c r="CA398" i="23917"/>
  <c r="AU392" i="24050" s="1"/>
  <c r="BZ398" i="23917"/>
  <c r="AT392" i="24050" s="1"/>
  <c r="BY398" i="23917"/>
  <c r="AS392" i="24050" s="1"/>
  <c r="BX398" i="23917"/>
  <c r="AR392" i="24050" s="1"/>
  <c r="BW398" i="23917"/>
  <c r="AQ392" i="24050" s="1"/>
  <c r="BV398" i="23917"/>
  <c r="AP392" i="24050" s="1"/>
  <c r="BU398" i="23917"/>
  <c r="AO392" i="24050" s="1"/>
  <c r="BT398" i="23917"/>
  <c r="AN392" i="24050" s="1"/>
  <c r="BS398" i="23917"/>
  <c r="AM392" i="24050" s="1"/>
  <c r="BR398" i="23917"/>
  <c r="AL392" i="24050" s="1"/>
  <c r="BQ398" i="23917"/>
  <c r="AK392" i="24050" s="1"/>
  <c r="BP398" i="23917"/>
  <c r="AJ392" i="24050" s="1"/>
  <c r="BO398" i="23917"/>
  <c r="AI392" i="24050" s="1"/>
  <c r="BN398" i="23917"/>
  <c r="AH392" i="24050" s="1"/>
  <c r="BM398" i="23917"/>
  <c r="AG392" i="24050" s="1"/>
  <c r="BL398" i="23917"/>
  <c r="AF392" i="24050" s="1"/>
  <c r="BK398" i="23917"/>
  <c r="AE392" i="24050" s="1"/>
  <c r="BJ398" i="23917"/>
  <c r="AD392" i="24050" s="1"/>
  <c r="BI398" i="23917"/>
  <c r="AC392" i="24050" s="1"/>
  <c r="BH398" i="23917"/>
  <c r="AB392" i="24050" s="1"/>
  <c r="BG398" i="23917"/>
  <c r="AA392" i="24050" s="1"/>
  <c r="BF398" i="23917"/>
  <c r="Z392" i="24050" s="1"/>
  <c r="BE398" i="23917"/>
  <c r="Y392" i="24050" s="1"/>
  <c r="BD398" i="23917"/>
  <c r="X392" i="24050" s="1"/>
  <c r="A398" i="23917"/>
  <c r="A392" i="24050" s="1"/>
  <c r="DT397" i="23917"/>
  <c r="DR397" i="23917"/>
  <c r="DP397" i="23917"/>
  <c r="DN397" i="23917"/>
  <c r="DL397" i="23917"/>
  <c r="DJ397" i="23917"/>
  <c r="DH397" i="23917"/>
  <c r="DF397" i="23917"/>
  <c r="DD397" i="23917"/>
  <c r="DB397" i="23917"/>
  <c r="CZ397" i="23917"/>
  <c r="CX397" i="23917"/>
  <c r="CV397" i="23917"/>
  <c r="CT397" i="23917"/>
  <c r="CR397" i="23917"/>
  <c r="BL391" i="24050" s="1"/>
  <c r="CN397" i="23917"/>
  <c r="BH391" i="24050" s="1"/>
  <c r="CL397" i="23917"/>
  <c r="BF391" i="24050" s="1"/>
  <c r="CJ397" i="23917"/>
  <c r="BD391" i="24050" s="1"/>
  <c r="CH397" i="23917"/>
  <c r="BB391" i="24050" s="1"/>
  <c r="CF397" i="23917"/>
  <c r="AZ391" i="24050" s="1"/>
  <c r="CD397" i="23917"/>
  <c r="AX391" i="24050" s="1"/>
  <c r="CB397" i="23917"/>
  <c r="AV391" i="24050" s="1"/>
  <c r="BZ397" i="23917"/>
  <c r="AT391" i="24050" s="1"/>
  <c r="BX397" i="23917"/>
  <c r="AR391" i="24050" s="1"/>
  <c r="BV397" i="23917"/>
  <c r="AP391" i="24050" s="1"/>
  <c r="BT397" i="23917"/>
  <c r="AN391" i="24050" s="1"/>
  <c r="BR397" i="23917"/>
  <c r="AL391" i="24050" s="1"/>
  <c r="BP397" i="23917"/>
  <c r="AJ391" i="24050" s="1"/>
  <c r="BN397" i="23917"/>
  <c r="AH391" i="24050" s="1"/>
  <c r="BL397" i="23917"/>
  <c r="AF391" i="24050" s="1"/>
  <c r="BJ397" i="23917"/>
  <c r="AD391" i="24050" s="1"/>
  <c r="BH397" i="23917"/>
  <c r="AB391" i="24050" s="1"/>
  <c r="BF397" i="23917"/>
  <c r="Z391" i="24050" s="1"/>
  <c r="BD397" i="23917"/>
  <c r="X391" i="24050" s="1"/>
  <c r="A397" i="23917"/>
  <c r="A391" i="24050" s="1"/>
  <c r="DT396" i="23917"/>
  <c r="DR396" i="23917"/>
  <c r="DN396" i="23917"/>
  <c r="DL396" i="23917"/>
  <c r="DJ396" i="23917"/>
  <c r="DH396" i="23917"/>
  <c r="DF396" i="23917"/>
  <c r="DD396" i="23917"/>
  <c r="DB396" i="23917"/>
  <c r="CZ396" i="23917"/>
  <c r="CX396" i="23917"/>
  <c r="CV396" i="23917"/>
  <c r="CT396" i="23917"/>
  <c r="CR396" i="23917"/>
  <c r="BL390" i="24050" s="1"/>
  <c r="CP396" i="23917"/>
  <c r="BJ390" i="24050" s="1"/>
  <c r="CN396" i="23917"/>
  <c r="BH390" i="24050" s="1"/>
  <c r="CL396" i="23917"/>
  <c r="BF390" i="24050" s="1"/>
  <c r="CJ396" i="23917"/>
  <c r="BD390" i="24050" s="1"/>
  <c r="A396" i="23917"/>
  <c r="A390" i="24050" s="1"/>
  <c r="DT395" i="23917"/>
  <c r="DR395" i="23917"/>
  <c r="DN395" i="23917"/>
  <c r="DL395" i="23917"/>
  <c r="DJ395" i="23917"/>
  <c r="DH395" i="23917"/>
  <c r="DF395" i="23917"/>
  <c r="DD395" i="23917"/>
  <c r="DB395" i="23917"/>
  <c r="CZ395" i="23917"/>
  <c r="CX395" i="23917"/>
  <c r="CV395" i="23917"/>
  <c r="CT395" i="23917"/>
  <c r="CR395" i="23917"/>
  <c r="BL389" i="24050" s="1"/>
  <c r="CP395" i="23917"/>
  <c r="BJ389" i="24050" s="1"/>
  <c r="CN395" i="23917"/>
  <c r="BH389" i="24050" s="1"/>
  <c r="CL395" i="23917"/>
  <c r="BF389" i="24050" s="1"/>
  <c r="CJ395" i="23917"/>
  <c r="BD389" i="24050" s="1"/>
  <c r="A395" i="23917"/>
  <c r="A389" i="24050" s="1"/>
  <c r="DT394" i="23917"/>
  <c r="DR394" i="23917"/>
  <c r="DN394" i="23917"/>
  <c r="DL394" i="23917"/>
  <c r="DJ394" i="23917"/>
  <c r="DH394" i="23917"/>
  <c r="DF394" i="23917"/>
  <c r="DD394" i="23917"/>
  <c r="DB394" i="23917"/>
  <c r="CZ394" i="23917"/>
  <c r="CX394" i="23917"/>
  <c r="CV394" i="23917"/>
  <c r="CT394" i="23917"/>
  <c r="CR394" i="23917"/>
  <c r="BL388" i="24050" s="1"/>
  <c r="CP394" i="23917"/>
  <c r="BJ388" i="24050" s="1"/>
  <c r="CN394" i="23917"/>
  <c r="BH388" i="24050" s="1"/>
  <c r="CL394" i="23917"/>
  <c r="BF388" i="24050" s="1"/>
  <c r="CJ394" i="23917"/>
  <c r="BD388" i="24050" s="1"/>
  <c r="CH394" i="23917"/>
  <c r="BB388" i="24050" s="1"/>
  <c r="CF394" i="23917"/>
  <c r="AZ388" i="24050" s="1"/>
  <c r="CD394" i="23917"/>
  <c r="AX388" i="24050" s="1"/>
  <c r="CB394" i="23917"/>
  <c r="AV388" i="24050" s="1"/>
  <c r="BZ394" i="23917"/>
  <c r="AT388" i="24050" s="1"/>
  <c r="BX394" i="23917"/>
  <c r="AR388" i="24050" s="1"/>
  <c r="BV394" i="23917"/>
  <c r="AP388" i="24050" s="1"/>
  <c r="BT394" i="23917"/>
  <c r="AN388" i="24050" s="1"/>
  <c r="BR394" i="23917"/>
  <c r="AL388" i="24050" s="1"/>
  <c r="BP394" i="23917"/>
  <c r="AJ388" i="24050" s="1"/>
  <c r="BN394" i="23917"/>
  <c r="AH388" i="24050" s="1"/>
  <c r="BL394" i="23917"/>
  <c r="AF388" i="24050" s="1"/>
  <c r="BJ394" i="23917"/>
  <c r="AD388" i="24050" s="1"/>
  <c r="BH394" i="23917"/>
  <c r="AB388" i="24050" s="1"/>
  <c r="BF394" i="23917"/>
  <c r="Z388" i="24050" s="1"/>
  <c r="BD394" i="23917"/>
  <c r="X388" i="24050" s="1"/>
  <c r="A394" i="23917"/>
  <c r="A388" i="24050" s="1"/>
  <c r="DT393" i="23917"/>
  <c r="DR393" i="23917"/>
  <c r="DN393" i="23917"/>
  <c r="DL393" i="23917"/>
  <c r="DJ393" i="23917"/>
  <c r="DH393" i="23917"/>
  <c r="DF393" i="23917"/>
  <c r="DD393" i="23917"/>
  <c r="DB393" i="23917"/>
  <c r="CZ393" i="23917"/>
  <c r="CX393" i="23917"/>
  <c r="CV393" i="23917"/>
  <c r="CT393" i="23917"/>
  <c r="CR393" i="23917"/>
  <c r="BL387" i="24050" s="1"/>
  <c r="CP393" i="23917"/>
  <c r="BJ387" i="24050" s="1"/>
  <c r="CN393" i="23917"/>
  <c r="BH387" i="24050" s="1"/>
  <c r="CL393" i="23917"/>
  <c r="BF387" i="24050" s="1"/>
  <c r="CJ393" i="23917"/>
  <c r="BD387" i="24050" s="1"/>
  <c r="CH393" i="23917"/>
  <c r="BB387" i="24050" s="1"/>
  <c r="CF393" i="23917"/>
  <c r="AZ387" i="24050" s="1"/>
  <c r="CD393" i="23917"/>
  <c r="AX387" i="24050" s="1"/>
  <c r="CB393" i="23917"/>
  <c r="AV387" i="24050" s="1"/>
  <c r="BZ393" i="23917"/>
  <c r="AT387" i="24050" s="1"/>
  <c r="BX393" i="23917"/>
  <c r="AR387" i="24050" s="1"/>
  <c r="BV393" i="23917"/>
  <c r="AP387" i="24050" s="1"/>
  <c r="BT393" i="23917"/>
  <c r="AN387" i="24050" s="1"/>
  <c r="BR393" i="23917"/>
  <c r="AL387" i="24050" s="1"/>
  <c r="BP393" i="23917"/>
  <c r="AJ387" i="24050" s="1"/>
  <c r="BN393" i="23917"/>
  <c r="AH387" i="24050" s="1"/>
  <c r="BL393" i="23917"/>
  <c r="AF387" i="24050" s="1"/>
  <c r="BJ393" i="23917"/>
  <c r="AD387" i="24050" s="1"/>
  <c r="BH393" i="23917"/>
  <c r="AB387" i="24050" s="1"/>
  <c r="BF393" i="23917"/>
  <c r="Z387" i="24050" s="1"/>
  <c r="BD393" i="23917"/>
  <c r="X387" i="24050" s="1"/>
  <c r="A393" i="23917"/>
  <c r="A387" i="24050" s="1"/>
  <c r="A392" i="23917"/>
  <c r="A386" i="24050" s="1"/>
  <c r="EY389" i="23917"/>
  <c r="FE387" i="23917"/>
  <c r="EY387" i="23917"/>
  <c r="EY386" i="23917"/>
  <c r="A390" i="23917"/>
  <c r="A384" i="24050" s="1"/>
  <c r="DT389" i="23917"/>
  <c r="DR389" i="23917"/>
  <c r="DP389" i="23917"/>
  <c r="DN389" i="23917"/>
  <c r="DL389" i="23917"/>
  <c r="DJ389" i="23917"/>
  <c r="DH389" i="23917"/>
  <c r="DF389" i="23917"/>
  <c r="DD389" i="23917"/>
  <c r="DB389" i="23917"/>
  <c r="CZ389" i="23917"/>
  <c r="CX389" i="23917"/>
  <c r="CV389" i="23917"/>
  <c r="CT389" i="23917"/>
  <c r="CR389" i="23917"/>
  <c r="BL383" i="24050" s="1"/>
  <c r="CP389" i="23917"/>
  <c r="BJ383" i="24050" s="1"/>
  <c r="CN389" i="23917"/>
  <c r="BH383" i="24050" s="1"/>
  <c r="CL389" i="23917"/>
  <c r="BF383" i="24050" s="1"/>
  <c r="CJ389" i="23917"/>
  <c r="BD383" i="24050" s="1"/>
  <c r="CH389" i="23917"/>
  <c r="BB383" i="24050" s="1"/>
  <c r="CF389" i="23917"/>
  <c r="AZ383" i="24050" s="1"/>
  <c r="CD389" i="23917"/>
  <c r="AX383" i="24050" s="1"/>
  <c r="CB389" i="23917"/>
  <c r="AV383" i="24050" s="1"/>
  <c r="BZ389" i="23917"/>
  <c r="AT383" i="24050" s="1"/>
  <c r="BX389" i="23917"/>
  <c r="AR383" i="24050" s="1"/>
  <c r="BV389" i="23917"/>
  <c r="AP383" i="24050" s="1"/>
  <c r="BT389" i="23917"/>
  <c r="AN383" i="24050" s="1"/>
  <c r="BR389" i="23917"/>
  <c r="AL383" i="24050" s="1"/>
  <c r="BP389" i="23917"/>
  <c r="AJ383" i="24050" s="1"/>
  <c r="BN389" i="23917"/>
  <c r="AH383" i="24050" s="1"/>
  <c r="BL389" i="23917"/>
  <c r="AF383" i="24050" s="1"/>
  <c r="BJ389" i="23917"/>
  <c r="AD383" i="24050" s="1"/>
  <c r="BH389" i="23917"/>
  <c r="AB383" i="24050" s="1"/>
  <c r="BF389" i="23917"/>
  <c r="Z383" i="24050" s="1"/>
  <c r="BD389" i="23917"/>
  <c r="X383" i="24050" s="1"/>
  <c r="A389" i="23917"/>
  <c r="A383" i="24050" s="1"/>
  <c r="DT388" i="23917"/>
  <c r="DR388" i="23917"/>
  <c r="DN388" i="23917"/>
  <c r="DL388" i="23917"/>
  <c r="DJ388" i="23917"/>
  <c r="DH388" i="23917"/>
  <c r="DF388" i="23917"/>
  <c r="DD388" i="23917"/>
  <c r="DB388" i="23917"/>
  <c r="CZ388" i="23917"/>
  <c r="CX388" i="23917"/>
  <c r="CV388" i="23917"/>
  <c r="CT388" i="23917"/>
  <c r="CR388" i="23917"/>
  <c r="BL382" i="24050" s="1"/>
  <c r="CP388" i="23917"/>
  <c r="BJ382" i="24050" s="1"/>
  <c r="CN388" i="23917"/>
  <c r="BH382" i="24050" s="1"/>
  <c r="CL388" i="23917"/>
  <c r="BF382" i="24050" s="1"/>
  <c r="CJ388" i="23917"/>
  <c r="BD382" i="24050" s="1"/>
  <c r="CH388" i="23917"/>
  <c r="BB382" i="24050" s="1"/>
  <c r="CF388" i="23917"/>
  <c r="AZ382" i="24050" s="1"/>
  <c r="CD388" i="23917"/>
  <c r="AX382" i="24050" s="1"/>
  <c r="CB388" i="23917"/>
  <c r="AV382" i="24050" s="1"/>
  <c r="BZ388" i="23917"/>
  <c r="AT382" i="24050" s="1"/>
  <c r="BX388" i="23917"/>
  <c r="AR382" i="24050" s="1"/>
  <c r="BV388" i="23917"/>
  <c r="AP382" i="24050" s="1"/>
  <c r="BT388" i="23917"/>
  <c r="AN382" i="24050" s="1"/>
  <c r="BR388" i="23917"/>
  <c r="AL382" i="24050" s="1"/>
  <c r="BP388" i="23917"/>
  <c r="AJ382" i="24050" s="1"/>
  <c r="BN388" i="23917"/>
  <c r="AH382" i="24050" s="1"/>
  <c r="BL388" i="23917"/>
  <c r="AF382" i="24050" s="1"/>
  <c r="BJ388" i="23917"/>
  <c r="AD382" i="24050" s="1"/>
  <c r="BH388" i="23917"/>
  <c r="AB382" i="24050" s="1"/>
  <c r="BF388" i="23917"/>
  <c r="Z382" i="24050" s="1"/>
  <c r="BD388" i="23917"/>
  <c r="X382" i="24050" s="1"/>
  <c r="BB388" i="23917"/>
  <c r="V382" i="24050" s="1"/>
  <c r="AZ388" i="23917"/>
  <c r="T382" i="24050" s="1"/>
  <c r="AX388" i="23917"/>
  <c r="R382" i="24050" s="1"/>
  <c r="AV388" i="23917"/>
  <c r="P382" i="24050" s="1"/>
  <c r="AT388" i="23917"/>
  <c r="N382" i="24050" s="1"/>
  <c r="AR388" i="23917"/>
  <c r="L382" i="24050" s="1"/>
  <c r="A388" i="23917"/>
  <c r="A382" i="24050" s="1"/>
  <c r="DV387" i="23917"/>
  <c r="DT387" i="23917"/>
  <c r="DR387" i="23917"/>
  <c r="DP387" i="23917"/>
  <c r="DN387" i="23917"/>
  <c r="DL387" i="23917"/>
  <c r="DJ387" i="23917"/>
  <c r="DH387" i="23917"/>
  <c r="DF387" i="23917"/>
  <c r="DD387" i="23917"/>
  <c r="DB387" i="23917"/>
  <c r="CZ387" i="23917"/>
  <c r="CX387" i="23917"/>
  <c r="CV387" i="23917"/>
  <c r="CT387" i="23917"/>
  <c r="CR387" i="23917"/>
  <c r="BL381" i="24050" s="1"/>
  <c r="CP387" i="23917"/>
  <c r="BJ381" i="24050" s="1"/>
  <c r="CN387" i="23917"/>
  <c r="BH381" i="24050" s="1"/>
  <c r="CL387" i="23917"/>
  <c r="BF381" i="24050" s="1"/>
  <c r="CJ387" i="23917"/>
  <c r="BD381" i="24050" s="1"/>
  <c r="CH387" i="23917"/>
  <c r="BB381" i="24050" s="1"/>
  <c r="CF387" i="23917"/>
  <c r="AZ381" i="24050" s="1"/>
  <c r="CD387" i="23917"/>
  <c r="AX381" i="24050" s="1"/>
  <c r="CB387" i="23917"/>
  <c r="AV381" i="24050" s="1"/>
  <c r="BZ387" i="23917"/>
  <c r="AT381" i="24050" s="1"/>
  <c r="BX387" i="23917"/>
  <c r="AR381" i="24050" s="1"/>
  <c r="BV387" i="23917"/>
  <c r="AP381" i="24050" s="1"/>
  <c r="BT387" i="23917"/>
  <c r="AN381" i="24050" s="1"/>
  <c r="BR387" i="23917"/>
  <c r="AL381" i="24050" s="1"/>
  <c r="BP387" i="23917"/>
  <c r="AJ381" i="24050" s="1"/>
  <c r="BN387" i="23917"/>
  <c r="AH381" i="24050" s="1"/>
  <c r="BL387" i="23917"/>
  <c r="AF381" i="24050" s="1"/>
  <c r="BJ387" i="23917"/>
  <c r="AD381" i="24050" s="1"/>
  <c r="BH387" i="23917"/>
  <c r="AB381" i="24050" s="1"/>
  <c r="BF387" i="23917"/>
  <c r="Z381" i="24050" s="1"/>
  <c r="BD387" i="23917"/>
  <c r="X381" i="24050" s="1"/>
  <c r="A387" i="23917"/>
  <c r="A381" i="24050" s="1"/>
  <c r="DT386" i="23917"/>
  <c r="DR386" i="23917"/>
  <c r="DN386" i="23917"/>
  <c r="DL386" i="23917"/>
  <c r="DJ386" i="23917"/>
  <c r="DH386" i="23917"/>
  <c r="DF386" i="23917"/>
  <c r="DD386" i="23917"/>
  <c r="DB386" i="23917"/>
  <c r="CZ386" i="23917"/>
  <c r="CX386" i="23917"/>
  <c r="CV386" i="23917"/>
  <c r="CT386" i="23917"/>
  <c r="CR386" i="23917"/>
  <c r="BL380" i="24050" s="1"/>
  <c r="CP386" i="23917"/>
  <c r="BJ380" i="24050" s="1"/>
  <c r="CN386" i="23917"/>
  <c r="BH380" i="24050" s="1"/>
  <c r="CL386" i="23917"/>
  <c r="BF380" i="24050" s="1"/>
  <c r="CJ386" i="23917"/>
  <c r="BD380" i="24050" s="1"/>
  <c r="CH386" i="23917"/>
  <c r="BB380" i="24050" s="1"/>
  <c r="CF386" i="23917"/>
  <c r="AZ380" i="24050" s="1"/>
  <c r="CD386" i="23917"/>
  <c r="AX380" i="24050" s="1"/>
  <c r="CB386" i="23917"/>
  <c r="AV380" i="24050" s="1"/>
  <c r="BZ386" i="23917"/>
  <c r="AT380" i="24050" s="1"/>
  <c r="BX386" i="23917"/>
  <c r="AR380" i="24050" s="1"/>
  <c r="BV386" i="23917"/>
  <c r="AP380" i="24050" s="1"/>
  <c r="BT386" i="23917"/>
  <c r="AN380" i="24050" s="1"/>
  <c r="BR386" i="23917"/>
  <c r="AL380" i="24050" s="1"/>
  <c r="BP386" i="23917"/>
  <c r="AJ380" i="24050" s="1"/>
  <c r="BN386" i="23917"/>
  <c r="AH380" i="24050" s="1"/>
  <c r="BL386" i="23917"/>
  <c r="AF380" i="24050" s="1"/>
  <c r="BJ386" i="23917"/>
  <c r="AD380" i="24050" s="1"/>
  <c r="BH386" i="23917"/>
  <c r="AB380" i="24050" s="1"/>
  <c r="BF386" i="23917"/>
  <c r="Z380" i="24050" s="1"/>
  <c r="BD386" i="23917"/>
  <c r="X380" i="24050" s="1"/>
  <c r="A386" i="23917"/>
  <c r="A380" i="24050" s="1"/>
  <c r="A385" i="23917"/>
  <c r="A379" i="24050" s="1"/>
  <c r="GA381" i="23917"/>
  <c r="A381" i="23917"/>
  <c r="A379" i="23917"/>
  <c r="A376" i="23917"/>
  <c r="BC374" i="23917"/>
  <c r="A374" i="23917"/>
  <c r="BC373" i="23917"/>
  <c r="A373" i="23917"/>
  <c r="BC372" i="23917"/>
  <c r="A372" i="23917"/>
  <c r="BC369" i="23917"/>
  <c r="A369" i="23917"/>
  <c r="BC364" i="23917"/>
  <c r="A364" i="23917"/>
  <c r="EK360" i="23917"/>
  <c r="EI360" i="23917"/>
  <c r="BC362" i="23917"/>
  <c r="A362" i="23917"/>
  <c r="BC361" i="23917"/>
  <c r="BB361" i="23917"/>
  <c r="AZ361" i="23917"/>
  <c r="AX361" i="23917"/>
  <c r="AV361" i="23917"/>
  <c r="AT361" i="23917"/>
  <c r="AR361" i="23917"/>
  <c r="AP361" i="23917"/>
  <c r="AN361" i="23917"/>
  <c r="AL361" i="23917"/>
  <c r="AJ361" i="23917"/>
  <c r="AH361" i="23917"/>
  <c r="AF361" i="23917"/>
  <c r="AD361" i="23917"/>
  <c r="AB361" i="23917"/>
  <c r="Z361" i="23917"/>
  <c r="X361" i="23917"/>
  <c r="V361" i="23917"/>
  <c r="T361" i="23917"/>
  <c r="R361" i="23917"/>
  <c r="P361" i="23917"/>
  <c r="N361" i="23917"/>
  <c r="L361" i="23917"/>
  <c r="J361" i="23917"/>
  <c r="H361" i="23917"/>
  <c r="F361" i="23917"/>
  <c r="D361" i="23917"/>
  <c r="B361" i="23917"/>
  <c r="A361" i="23917"/>
  <c r="BC360" i="23917"/>
  <c r="BB360" i="23917"/>
  <c r="AZ360" i="23917"/>
  <c r="AX360" i="23917"/>
  <c r="AV360" i="23917"/>
  <c r="AT360" i="23917"/>
  <c r="AR360" i="23917"/>
  <c r="AP360" i="23917"/>
  <c r="AN360" i="23917"/>
  <c r="AL360" i="23917"/>
  <c r="AJ360" i="23917"/>
  <c r="AH360" i="23917"/>
  <c r="AF360" i="23917"/>
  <c r="Z360" i="23917"/>
  <c r="X360" i="23917"/>
  <c r="V360" i="23917"/>
  <c r="R360" i="23917"/>
  <c r="P360" i="23917"/>
  <c r="N360" i="23917"/>
  <c r="L360" i="23917"/>
  <c r="J360" i="23917"/>
  <c r="H360" i="23917"/>
  <c r="F360" i="23917"/>
  <c r="D360" i="23917"/>
  <c r="B360" i="23917"/>
  <c r="A360" i="23917"/>
  <c r="BC359" i="23917"/>
  <c r="BB359" i="23917"/>
  <c r="AZ359" i="23917"/>
  <c r="AX359" i="23917"/>
  <c r="AV359" i="23917"/>
  <c r="AT359" i="23917"/>
  <c r="AR359" i="23917"/>
  <c r="AP359" i="23917"/>
  <c r="AN359" i="23917"/>
  <c r="AL359" i="23917"/>
  <c r="AJ359" i="23917"/>
  <c r="AH359" i="23917"/>
  <c r="AF359" i="23917"/>
  <c r="AD359" i="23917"/>
  <c r="AB359" i="23917"/>
  <c r="Z359" i="23917"/>
  <c r="X359" i="23917"/>
  <c r="V359" i="23917"/>
  <c r="T359" i="23917"/>
  <c r="R359" i="23917"/>
  <c r="P359" i="23917"/>
  <c r="N359" i="23917"/>
  <c r="L359" i="23917"/>
  <c r="J359" i="23917"/>
  <c r="H359" i="23917"/>
  <c r="F359" i="23917"/>
  <c r="D359" i="23917"/>
  <c r="B359" i="23917"/>
  <c r="A359" i="23917"/>
  <c r="BC358" i="23917"/>
  <c r="BB358" i="23917"/>
  <c r="AZ358" i="23917"/>
  <c r="AX358" i="23917"/>
  <c r="AV358" i="23917"/>
  <c r="AT358" i="23917"/>
  <c r="AR358" i="23917"/>
  <c r="AP358" i="23917"/>
  <c r="AN358" i="23917"/>
  <c r="AL358" i="23917"/>
  <c r="AJ358" i="23917"/>
  <c r="AH358" i="23917"/>
  <c r="AF358" i="23917"/>
  <c r="AD358" i="23917"/>
  <c r="AB358" i="23917"/>
  <c r="Z358" i="23917"/>
  <c r="X358" i="23917"/>
  <c r="V358" i="23917"/>
  <c r="T358" i="23917"/>
  <c r="R358" i="23917"/>
  <c r="P358" i="23917"/>
  <c r="N358" i="23917"/>
  <c r="L358" i="23917"/>
  <c r="J358" i="23917"/>
  <c r="H358" i="23917"/>
  <c r="F358" i="23917"/>
  <c r="D358" i="23917"/>
  <c r="B358" i="23917"/>
  <c r="A358" i="23917"/>
  <c r="BC355" i="23917"/>
  <c r="A355" i="23917"/>
  <c r="BC354" i="23917"/>
  <c r="BB354" i="23917"/>
  <c r="AZ354" i="23917"/>
  <c r="AX354" i="23917"/>
  <c r="AV354" i="23917"/>
  <c r="AT354" i="23917"/>
  <c r="AR354" i="23917"/>
  <c r="AP354" i="23917"/>
  <c r="AN354" i="23917"/>
  <c r="AL354" i="23917"/>
  <c r="AJ354" i="23917"/>
  <c r="AH354" i="23917"/>
  <c r="AF354" i="23917"/>
  <c r="AD354" i="23917"/>
  <c r="AB354" i="23917"/>
  <c r="AA354" i="23917"/>
  <c r="Z354" i="23917"/>
  <c r="Y354" i="23917"/>
  <c r="X354" i="23917"/>
  <c r="W354" i="23917"/>
  <c r="V354" i="23917"/>
  <c r="U354" i="23917"/>
  <c r="T354" i="23917"/>
  <c r="S354" i="23917"/>
  <c r="R354" i="23917"/>
  <c r="Q354" i="23917"/>
  <c r="P354" i="23917"/>
  <c r="O354" i="23917"/>
  <c r="N354" i="23917"/>
  <c r="M354" i="23917"/>
  <c r="L354" i="23917"/>
  <c r="K354" i="23917"/>
  <c r="J354" i="23917"/>
  <c r="I354" i="23917"/>
  <c r="H354" i="23917"/>
  <c r="G354" i="23917"/>
  <c r="F354" i="23917"/>
  <c r="E354" i="23917"/>
  <c r="D354" i="23917"/>
  <c r="C354" i="23917"/>
  <c r="B354" i="23917"/>
  <c r="A354" i="23917"/>
  <c r="BC353" i="23917"/>
  <c r="BB353" i="23917"/>
  <c r="AZ353" i="23917"/>
  <c r="AX353" i="23917"/>
  <c r="AV353" i="23917"/>
  <c r="AT353" i="23917"/>
  <c r="AR353" i="23917"/>
  <c r="AP353" i="23917"/>
  <c r="AN353" i="23917"/>
  <c r="AL353" i="23917"/>
  <c r="AJ353" i="23917"/>
  <c r="AH353" i="23917"/>
  <c r="AF353" i="23917"/>
  <c r="AD353" i="23917"/>
  <c r="AB353" i="23917"/>
  <c r="Z353" i="23917"/>
  <c r="X353" i="23917"/>
  <c r="V353" i="23917"/>
  <c r="T353" i="23917"/>
  <c r="R353" i="23917"/>
  <c r="P353" i="23917"/>
  <c r="N353" i="23917"/>
  <c r="L353" i="23917"/>
  <c r="J353" i="23917"/>
  <c r="H353" i="23917"/>
  <c r="F353" i="23917"/>
  <c r="D353" i="23917"/>
  <c r="B353" i="23917"/>
  <c r="A353" i="23917"/>
  <c r="BC352" i="23917"/>
  <c r="BB352" i="23917"/>
  <c r="AZ352" i="23917"/>
  <c r="AX352" i="23917"/>
  <c r="AV352" i="23917"/>
  <c r="AT352" i="23917"/>
  <c r="AR352" i="23917"/>
  <c r="AP352" i="23917"/>
  <c r="AN352" i="23917"/>
  <c r="AL352" i="23917"/>
  <c r="AJ352" i="23917"/>
  <c r="AH352" i="23917"/>
  <c r="AF352" i="23917"/>
  <c r="AD352" i="23917"/>
  <c r="AB352" i="23917"/>
  <c r="Z352" i="23917"/>
  <c r="X352" i="23917"/>
  <c r="V352" i="23917"/>
  <c r="T352" i="23917"/>
  <c r="R352" i="23917"/>
  <c r="P352" i="23917"/>
  <c r="N352" i="23917"/>
  <c r="L352" i="23917"/>
  <c r="J352" i="23917"/>
  <c r="H352" i="23917"/>
  <c r="F352" i="23917"/>
  <c r="D352" i="23917"/>
  <c r="B352" i="23917"/>
  <c r="A352" i="23917"/>
  <c r="GA347" i="23917"/>
  <c r="A347" i="23917"/>
  <c r="A345" i="23917"/>
  <c r="A342" i="23917"/>
  <c r="EJ340" i="23917"/>
  <c r="EI340" i="23917"/>
  <c r="EJ339" i="23917"/>
  <c r="EI339" i="23917"/>
  <c r="EJ338" i="23917"/>
  <c r="EI338" i="23917"/>
  <c r="A340" i="23917"/>
  <c r="A339" i="23917"/>
  <c r="EF338" i="23917"/>
  <c r="ED338" i="23917"/>
  <c r="EB338" i="23917"/>
  <c r="DZ338" i="23917"/>
  <c r="A338" i="23917"/>
  <c r="EJ335" i="23917"/>
  <c r="EI335" i="23917"/>
  <c r="A335" i="23917"/>
  <c r="EJ329" i="23917"/>
  <c r="EI329" i="23917"/>
  <c r="A329" i="23917"/>
  <c r="EJ327" i="23917"/>
  <c r="EI327" i="23917"/>
  <c r="EJ326" i="23917"/>
  <c r="EI326" i="23917"/>
  <c r="FY325" i="23917"/>
  <c r="FW325" i="23917"/>
  <c r="FU325" i="23917"/>
  <c r="FS325" i="23917"/>
  <c r="EJ325" i="23917"/>
  <c r="EI325" i="23917"/>
  <c r="FY324" i="23917"/>
  <c r="FW324" i="23917"/>
  <c r="FU324" i="23917"/>
  <c r="FS324" i="23917"/>
  <c r="EK324" i="23917"/>
  <c r="EJ324" i="23917"/>
  <c r="EI324" i="23917"/>
  <c r="EY323" i="23917"/>
  <c r="EJ323" i="23917"/>
  <c r="EI323" i="23917"/>
  <c r="EY322" i="23917"/>
  <c r="EJ322" i="23917"/>
  <c r="EI322" i="23917"/>
  <c r="A327" i="23917"/>
  <c r="AT326" i="23917"/>
  <c r="AR326" i="23917"/>
  <c r="AP326" i="23917"/>
  <c r="AN326" i="23917"/>
  <c r="AL326" i="23917"/>
  <c r="AJ326" i="23917"/>
  <c r="AH326" i="23917"/>
  <c r="AF326" i="23917"/>
  <c r="AB326" i="23917"/>
  <c r="Z326" i="23917"/>
  <c r="X326" i="23917"/>
  <c r="V326" i="23917"/>
  <c r="T326" i="23917"/>
  <c r="R326" i="23917"/>
  <c r="P326" i="23917"/>
  <c r="N326" i="23917"/>
  <c r="L326" i="23917"/>
  <c r="J326" i="23917"/>
  <c r="H326" i="23917"/>
  <c r="F326" i="23917"/>
  <c r="D326" i="23917"/>
  <c r="B326" i="23917"/>
  <c r="A326" i="23917"/>
  <c r="EF325" i="23917"/>
  <c r="ED325" i="23917"/>
  <c r="EB325" i="23917"/>
  <c r="DZ325" i="23917"/>
  <c r="DX325" i="23917"/>
  <c r="DV325" i="23917"/>
  <c r="DT325" i="23917"/>
  <c r="DR325" i="23917"/>
  <c r="DP325" i="23917"/>
  <c r="DN325" i="23917"/>
  <c r="DL325" i="23917"/>
  <c r="DJ325" i="23917"/>
  <c r="DH325" i="23917"/>
  <c r="DF325" i="23917"/>
  <c r="DD325" i="23917"/>
  <c r="DB325" i="23917"/>
  <c r="CZ325" i="23917"/>
  <c r="CX325" i="23917"/>
  <c r="CV325" i="23917"/>
  <c r="CT325" i="23917"/>
  <c r="CR325" i="23917"/>
  <c r="CP325" i="23917"/>
  <c r="CN325" i="23917"/>
  <c r="CL325" i="23917"/>
  <c r="CJ325" i="23917"/>
  <c r="CH325" i="23917"/>
  <c r="CF325" i="23917"/>
  <c r="CD325" i="23917"/>
  <c r="CB325" i="23917"/>
  <c r="BZ325" i="23917"/>
  <c r="BX325" i="23917"/>
  <c r="BV325" i="23917"/>
  <c r="BT325" i="23917"/>
  <c r="BR325" i="23917"/>
  <c r="BP325" i="23917"/>
  <c r="BN325" i="23917"/>
  <c r="BL325" i="23917"/>
  <c r="BJ325" i="23917"/>
  <c r="BH325" i="23917"/>
  <c r="BF325" i="23917"/>
  <c r="BD325" i="23917"/>
  <c r="BB325" i="23917"/>
  <c r="AZ325" i="23917"/>
  <c r="AX325" i="23917"/>
  <c r="AV325" i="23917"/>
  <c r="AT325" i="23917"/>
  <c r="AR325" i="23917"/>
  <c r="AP325" i="23917"/>
  <c r="AN325" i="23917"/>
  <c r="AL325" i="23917"/>
  <c r="AJ325" i="23917"/>
  <c r="AH325" i="23917"/>
  <c r="AF325" i="23917"/>
  <c r="AD325" i="23917"/>
  <c r="AB325" i="23917"/>
  <c r="Z325" i="23917"/>
  <c r="X325" i="23917"/>
  <c r="V325" i="23917"/>
  <c r="T325" i="23917"/>
  <c r="R325" i="23917"/>
  <c r="P325" i="23917"/>
  <c r="N325" i="23917"/>
  <c r="L325" i="23917"/>
  <c r="J325" i="23917"/>
  <c r="H325" i="23917"/>
  <c r="F325" i="23917"/>
  <c r="D325" i="23917"/>
  <c r="B325" i="23917"/>
  <c r="A325" i="23917"/>
  <c r="EF324" i="23917"/>
  <c r="ED324" i="23917"/>
  <c r="EB324" i="23917"/>
  <c r="DZ324" i="23917"/>
  <c r="DX324" i="23917"/>
  <c r="DV324" i="23917"/>
  <c r="DT324" i="23917"/>
  <c r="DR324" i="23917"/>
  <c r="DP324" i="23917"/>
  <c r="DN324" i="23917"/>
  <c r="DL324" i="23917"/>
  <c r="DJ324" i="23917"/>
  <c r="DH324" i="23917"/>
  <c r="DF324" i="23917"/>
  <c r="DD324" i="23917"/>
  <c r="DB324" i="23917"/>
  <c r="CZ324" i="23917"/>
  <c r="CX324" i="23917"/>
  <c r="CV324" i="23917"/>
  <c r="CT324" i="23917"/>
  <c r="CR324" i="23917"/>
  <c r="CP324" i="23917"/>
  <c r="CN324" i="23917"/>
  <c r="CL324" i="23917"/>
  <c r="CJ324" i="23917"/>
  <c r="CH324" i="23917"/>
  <c r="CF324" i="23917"/>
  <c r="CD324" i="23917"/>
  <c r="BL324" i="23917"/>
  <c r="BJ324" i="23917"/>
  <c r="BH324" i="23917"/>
  <c r="BF324" i="23917"/>
  <c r="BD324" i="23917"/>
  <c r="BB324" i="23917"/>
  <c r="AZ324" i="23917"/>
  <c r="AX324" i="23917"/>
  <c r="AV324" i="23917"/>
  <c r="AT324" i="23917"/>
  <c r="AR324" i="23917"/>
  <c r="AP324" i="23917"/>
  <c r="AN324" i="23917"/>
  <c r="AL324" i="23917"/>
  <c r="AJ324" i="23917"/>
  <c r="AH324" i="23917"/>
  <c r="AF324" i="23917"/>
  <c r="AD324" i="23917"/>
  <c r="AB324" i="23917"/>
  <c r="Z324" i="23917"/>
  <c r="X324" i="23917"/>
  <c r="V324" i="23917"/>
  <c r="T324" i="23917"/>
  <c r="R324" i="23917"/>
  <c r="P324" i="23917"/>
  <c r="N324" i="23917"/>
  <c r="L324" i="23917"/>
  <c r="J324" i="23917"/>
  <c r="H324" i="23917"/>
  <c r="F324" i="23917"/>
  <c r="D324" i="23917"/>
  <c r="B324" i="23917"/>
  <c r="A324" i="23917"/>
  <c r="DT323" i="23917"/>
  <c r="DR323" i="23917"/>
  <c r="DP323" i="23917"/>
  <c r="DN323" i="23917"/>
  <c r="DL323" i="23917"/>
  <c r="DJ323" i="23917"/>
  <c r="DH323" i="23917"/>
  <c r="DF323" i="23917"/>
  <c r="DD323" i="23917"/>
  <c r="DB323" i="23917"/>
  <c r="CZ323" i="23917"/>
  <c r="CX323" i="23917"/>
  <c r="CV323" i="23917"/>
  <c r="CT323" i="23917"/>
  <c r="CR323" i="23917"/>
  <c r="CP323" i="23917"/>
  <c r="CN323" i="23917"/>
  <c r="CL323" i="23917"/>
  <c r="CJ323" i="23917"/>
  <c r="CH323" i="23917"/>
  <c r="CF323" i="23917"/>
  <c r="CD323" i="23917"/>
  <c r="CB323" i="23917"/>
  <c r="BZ323" i="23917"/>
  <c r="BX323" i="23917"/>
  <c r="BV323" i="23917"/>
  <c r="BT323" i="23917"/>
  <c r="BR323" i="23917"/>
  <c r="BP323" i="23917"/>
  <c r="BN323" i="23917"/>
  <c r="BL323" i="23917"/>
  <c r="BJ323" i="23917"/>
  <c r="BH323" i="23917"/>
  <c r="BF323" i="23917"/>
  <c r="BD323" i="23917"/>
  <c r="BB323" i="23917"/>
  <c r="AZ323" i="23917"/>
  <c r="AX323" i="23917"/>
  <c r="AV323" i="23917"/>
  <c r="AT323" i="23917"/>
  <c r="AR323" i="23917"/>
  <c r="AP323" i="23917"/>
  <c r="AN323" i="23917"/>
  <c r="AL323" i="23917"/>
  <c r="AJ323" i="23917"/>
  <c r="AH323" i="23917"/>
  <c r="AF323" i="23917"/>
  <c r="AD323" i="23917"/>
  <c r="AB323" i="23917"/>
  <c r="Z323" i="23917"/>
  <c r="X323" i="23917"/>
  <c r="V323" i="23917"/>
  <c r="T323" i="23917"/>
  <c r="R323" i="23917"/>
  <c r="P323" i="23917"/>
  <c r="N323" i="23917"/>
  <c r="L323" i="23917"/>
  <c r="J323" i="23917"/>
  <c r="H323" i="23917"/>
  <c r="F323" i="23917"/>
  <c r="D323" i="23917"/>
  <c r="B323" i="23917"/>
  <c r="A323" i="23917"/>
  <c r="DT322" i="23917"/>
  <c r="DR322" i="23917"/>
  <c r="DP322" i="23917"/>
  <c r="DN322" i="23917"/>
  <c r="DL322" i="23917"/>
  <c r="DJ322" i="23917"/>
  <c r="DH322" i="23917"/>
  <c r="DF322" i="23917"/>
  <c r="DD322" i="23917"/>
  <c r="DB322" i="23917"/>
  <c r="CZ322" i="23917"/>
  <c r="CX322" i="23917"/>
  <c r="CV322" i="23917"/>
  <c r="CT322" i="23917"/>
  <c r="CR322" i="23917"/>
  <c r="CP322" i="23917"/>
  <c r="CN322" i="23917"/>
  <c r="CL322" i="23917"/>
  <c r="CJ322" i="23917"/>
  <c r="CH322" i="23917"/>
  <c r="CF322" i="23917"/>
  <c r="CD322" i="23917"/>
  <c r="CB322" i="23917"/>
  <c r="BZ322" i="23917"/>
  <c r="BX322" i="23917"/>
  <c r="BV322" i="23917"/>
  <c r="BT322" i="23917"/>
  <c r="BR322" i="23917"/>
  <c r="BP322" i="23917"/>
  <c r="BN322" i="23917"/>
  <c r="BL322" i="23917"/>
  <c r="BJ322" i="23917"/>
  <c r="BH322" i="23917"/>
  <c r="BF322" i="23917"/>
  <c r="BD322" i="23917"/>
  <c r="BB322" i="23917"/>
  <c r="AZ322" i="23917"/>
  <c r="AX322" i="23917"/>
  <c r="AV322" i="23917"/>
  <c r="AT322" i="23917"/>
  <c r="AP322" i="23917"/>
  <c r="AN322" i="23917"/>
  <c r="AJ322" i="23917"/>
  <c r="AF322" i="23917"/>
  <c r="AB322" i="23917"/>
  <c r="Z322" i="23917"/>
  <c r="X322" i="23917"/>
  <c r="V322" i="23917"/>
  <c r="T322" i="23917"/>
  <c r="R322" i="23917"/>
  <c r="P322" i="23917"/>
  <c r="N322" i="23917"/>
  <c r="L322" i="23917"/>
  <c r="J322" i="23917"/>
  <c r="H322" i="23917"/>
  <c r="F322" i="23917"/>
  <c r="D322" i="23917"/>
  <c r="B322" i="23917"/>
  <c r="A322" i="23917"/>
  <c r="EJ319" i="23917"/>
  <c r="EI319" i="23917"/>
  <c r="EY318" i="23917"/>
  <c r="EJ318" i="23917"/>
  <c r="EI318" i="23917"/>
  <c r="FE317" i="23917"/>
  <c r="EY317" i="23917"/>
  <c r="EJ317" i="23917"/>
  <c r="EI317" i="23917"/>
  <c r="EY316" i="23917"/>
  <c r="EJ316" i="23917"/>
  <c r="EI316" i="23917"/>
  <c r="A319" i="23917"/>
  <c r="DT318" i="23917"/>
  <c r="DR318" i="23917"/>
  <c r="DP318" i="23917"/>
  <c r="DN318" i="23917"/>
  <c r="DL318" i="23917"/>
  <c r="DJ318" i="23917"/>
  <c r="DH318" i="23917"/>
  <c r="DF318" i="23917"/>
  <c r="DD318" i="23917"/>
  <c r="DB318" i="23917"/>
  <c r="CZ318" i="23917"/>
  <c r="CX318" i="23917"/>
  <c r="CV318" i="23917"/>
  <c r="CT318" i="23917"/>
  <c r="CR318" i="23917"/>
  <c r="CP318" i="23917"/>
  <c r="CN318" i="23917"/>
  <c r="CL318" i="23917"/>
  <c r="CJ318" i="23917"/>
  <c r="CH318" i="23917"/>
  <c r="CF318" i="23917"/>
  <c r="CD318" i="23917"/>
  <c r="CB318" i="23917"/>
  <c r="BZ318" i="23917"/>
  <c r="BX318" i="23917"/>
  <c r="BV318" i="23917"/>
  <c r="BT318" i="23917"/>
  <c r="BR318" i="23917"/>
  <c r="BP318" i="23917"/>
  <c r="BN318" i="23917"/>
  <c r="BL318" i="23917"/>
  <c r="BJ318" i="23917"/>
  <c r="BH318" i="23917"/>
  <c r="BF318" i="23917"/>
  <c r="BD318" i="23917"/>
  <c r="AZ318" i="23917"/>
  <c r="AX318" i="23917"/>
  <c r="AT318" i="23917"/>
  <c r="AR318" i="23917"/>
  <c r="AP318" i="23917"/>
  <c r="AN318" i="23917"/>
  <c r="AL318" i="23917"/>
  <c r="AJ318" i="23917"/>
  <c r="AH318" i="23917"/>
  <c r="AF318" i="23917"/>
  <c r="AB318" i="23917"/>
  <c r="Z318" i="23917"/>
  <c r="X318" i="23917"/>
  <c r="V318" i="23917"/>
  <c r="T318" i="23917"/>
  <c r="R318" i="23917"/>
  <c r="P318" i="23917"/>
  <c r="N318" i="23917"/>
  <c r="L318" i="23917"/>
  <c r="J318" i="23917"/>
  <c r="H318" i="23917"/>
  <c r="F318" i="23917"/>
  <c r="D318" i="23917"/>
  <c r="B318" i="23917"/>
  <c r="A318" i="23917"/>
  <c r="DT317" i="23917"/>
  <c r="DR317" i="23917"/>
  <c r="DP317" i="23917"/>
  <c r="DN317" i="23917"/>
  <c r="DL317" i="23917"/>
  <c r="DJ317" i="23917"/>
  <c r="DH317" i="23917"/>
  <c r="DF317" i="23917"/>
  <c r="DD317" i="23917"/>
  <c r="DB317" i="23917"/>
  <c r="CZ317" i="23917"/>
  <c r="CX317" i="23917"/>
  <c r="CV317" i="23917"/>
  <c r="CT317" i="23917"/>
  <c r="CR317" i="23917"/>
  <c r="CP317" i="23917"/>
  <c r="CN317" i="23917"/>
  <c r="CL317" i="23917"/>
  <c r="CJ317" i="23917"/>
  <c r="CH317" i="23917"/>
  <c r="CF317" i="23917"/>
  <c r="CD317" i="23917"/>
  <c r="CB317" i="23917"/>
  <c r="BZ317" i="23917"/>
  <c r="BX317" i="23917"/>
  <c r="BV317" i="23917"/>
  <c r="BT317" i="23917"/>
  <c r="BR317" i="23917"/>
  <c r="BP317" i="23917"/>
  <c r="BN317" i="23917"/>
  <c r="BL317" i="23917"/>
  <c r="BJ317" i="23917"/>
  <c r="BH317" i="23917"/>
  <c r="BF317" i="23917"/>
  <c r="BD317" i="23917"/>
  <c r="AT317" i="23917"/>
  <c r="AR317" i="23917"/>
  <c r="AP317" i="23917"/>
  <c r="AN317" i="23917"/>
  <c r="AL317" i="23917"/>
  <c r="AJ317" i="23917"/>
  <c r="AH317" i="23917"/>
  <c r="AF317" i="23917"/>
  <c r="AD317" i="23917"/>
  <c r="AB317" i="23917"/>
  <c r="Z317" i="23917"/>
  <c r="X317" i="23917"/>
  <c r="V317" i="23917"/>
  <c r="T317" i="23917"/>
  <c r="R317" i="23917"/>
  <c r="P317" i="23917"/>
  <c r="N317" i="23917"/>
  <c r="L317" i="23917"/>
  <c r="J317" i="23917"/>
  <c r="H317" i="23917"/>
  <c r="F317" i="23917"/>
  <c r="D317" i="23917"/>
  <c r="B317" i="23917"/>
  <c r="A317" i="23917"/>
  <c r="DT316" i="23917"/>
  <c r="DR316" i="23917"/>
  <c r="DP316" i="23917"/>
  <c r="DN316" i="23917"/>
  <c r="DL316" i="23917"/>
  <c r="DJ316" i="23917"/>
  <c r="DH316" i="23917"/>
  <c r="DF316" i="23917"/>
  <c r="DD316" i="23917"/>
  <c r="DB316" i="23917"/>
  <c r="CZ316" i="23917"/>
  <c r="CX316" i="23917"/>
  <c r="CV316" i="23917"/>
  <c r="CT316" i="23917"/>
  <c r="CR316" i="23917"/>
  <c r="CP316" i="23917"/>
  <c r="CN316" i="23917"/>
  <c r="CL316" i="23917"/>
  <c r="CJ316" i="23917"/>
  <c r="CH316" i="23917"/>
  <c r="CF316" i="23917"/>
  <c r="CD316" i="23917"/>
  <c r="CB316" i="23917"/>
  <c r="BZ316" i="23917"/>
  <c r="BX316" i="23917"/>
  <c r="BV316" i="23917"/>
  <c r="BT316" i="23917"/>
  <c r="BR316" i="23917"/>
  <c r="BP316" i="23917"/>
  <c r="BL316" i="23917"/>
  <c r="BJ316" i="23917"/>
  <c r="BH316" i="23917"/>
  <c r="BF316" i="23917"/>
  <c r="BD316" i="23917"/>
  <c r="BB316" i="23917"/>
  <c r="AZ316" i="23917"/>
  <c r="AX316" i="23917"/>
  <c r="AV316" i="23917"/>
  <c r="AT316" i="23917"/>
  <c r="AR316" i="23917"/>
  <c r="AP316" i="23917"/>
  <c r="AN316" i="23917"/>
  <c r="AL316" i="23917"/>
  <c r="AJ316" i="23917"/>
  <c r="AH316" i="23917"/>
  <c r="AF316" i="23917"/>
  <c r="AD316" i="23917"/>
  <c r="AB316" i="23917"/>
  <c r="Z316" i="23917"/>
  <c r="X316" i="23917"/>
  <c r="V316" i="23917"/>
  <c r="T316" i="23917"/>
  <c r="R316" i="23917"/>
  <c r="P316" i="23917"/>
  <c r="N316" i="23917"/>
  <c r="L316" i="23917"/>
  <c r="J316" i="23917"/>
  <c r="H316" i="23917"/>
  <c r="F316" i="23917"/>
  <c r="D316" i="23917"/>
  <c r="B316" i="23917"/>
  <c r="A316" i="23917"/>
  <c r="GA311" i="23917"/>
  <c r="A311" i="23917"/>
  <c r="A309" i="23917"/>
  <c r="AW307" i="23917"/>
  <c r="T307" i="23917"/>
  <c r="R307" i="23917"/>
  <c r="P307" i="23917"/>
  <c r="N307" i="23917"/>
  <c r="L307" i="23917"/>
  <c r="J307" i="23917"/>
  <c r="H307" i="23917"/>
  <c r="F307" i="23917"/>
  <c r="D307" i="23917"/>
  <c r="B307" i="23917"/>
  <c r="A307" i="23917"/>
  <c r="A306" i="23917"/>
  <c r="DV304" i="23917"/>
  <c r="A304" i="23917"/>
  <c r="A303" i="23917"/>
  <c r="DZ302" i="23917"/>
  <c r="A302" i="23917"/>
  <c r="A299" i="23917"/>
  <c r="A293" i="23917"/>
  <c r="EK290" i="23917"/>
  <c r="EI290" i="23917"/>
  <c r="EK289" i="23917"/>
  <c r="EI289" i="23917"/>
  <c r="A291" i="23917"/>
  <c r="DT290" i="23917"/>
  <c r="DR290" i="23917"/>
  <c r="DP290" i="23917"/>
  <c r="DN290" i="23917"/>
  <c r="DL290" i="23917"/>
  <c r="DJ290" i="23917"/>
  <c r="DH290" i="23917"/>
  <c r="DF290" i="23917"/>
  <c r="DD290" i="23917"/>
  <c r="DB290" i="23917"/>
  <c r="CZ290" i="23917"/>
  <c r="CX290" i="23917"/>
  <c r="CV290" i="23917"/>
  <c r="CT290" i="23917"/>
  <c r="CR290" i="23917"/>
  <c r="CP290" i="23917"/>
  <c r="CN290" i="23917"/>
  <c r="CL290" i="23917"/>
  <c r="CJ290" i="23917"/>
  <c r="CH290" i="23917"/>
  <c r="CF290" i="23917"/>
  <c r="CD290" i="23917"/>
  <c r="CB290" i="23917"/>
  <c r="BZ290" i="23917"/>
  <c r="BX290" i="23917"/>
  <c r="BV290" i="23917"/>
  <c r="BT290" i="23917"/>
  <c r="BR290" i="23917"/>
  <c r="BP290" i="23917"/>
  <c r="BN290" i="23917"/>
  <c r="BL290" i="23917"/>
  <c r="BJ290" i="23917"/>
  <c r="BH290" i="23917"/>
  <c r="BF290" i="23917"/>
  <c r="BD290" i="23917"/>
  <c r="BB290" i="23917"/>
  <c r="AZ290" i="23917"/>
  <c r="AX290" i="23917"/>
  <c r="AV290" i="23917"/>
  <c r="AT290" i="23917"/>
  <c r="AR290" i="23917"/>
  <c r="AP290" i="23917"/>
  <c r="AN290" i="23917"/>
  <c r="AL290" i="23917"/>
  <c r="R290" i="23917"/>
  <c r="P290" i="23917"/>
  <c r="N290" i="23917"/>
  <c r="L290" i="23917"/>
  <c r="J290" i="23917"/>
  <c r="H290" i="23917"/>
  <c r="F290" i="23917"/>
  <c r="D290" i="23917"/>
  <c r="B290" i="23917"/>
  <c r="A290" i="23917"/>
  <c r="R289" i="23917"/>
  <c r="P289" i="23917"/>
  <c r="N289" i="23917"/>
  <c r="L289" i="23917"/>
  <c r="J289" i="23917"/>
  <c r="H289" i="23917"/>
  <c r="F289" i="23917"/>
  <c r="D289" i="23917"/>
  <c r="B289" i="23917"/>
  <c r="A289" i="23917"/>
  <c r="DT288" i="23917"/>
  <c r="DR288" i="23917"/>
  <c r="DP288" i="23917"/>
  <c r="DN288" i="23917"/>
  <c r="DL288" i="23917"/>
  <c r="DJ288" i="23917"/>
  <c r="DH288" i="23917"/>
  <c r="DF288" i="23917"/>
  <c r="DD288" i="23917"/>
  <c r="DB288" i="23917"/>
  <c r="CZ288" i="23917"/>
  <c r="CX288" i="23917"/>
  <c r="CV288" i="23917"/>
  <c r="CT288" i="23917"/>
  <c r="CR288" i="23917"/>
  <c r="CP288" i="23917"/>
  <c r="CN288" i="23917"/>
  <c r="CL288" i="23917"/>
  <c r="CJ288" i="23917"/>
  <c r="CH288" i="23917"/>
  <c r="CF288" i="23917"/>
  <c r="CD288" i="23917"/>
  <c r="CB288" i="23917"/>
  <c r="BZ288" i="23917"/>
  <c r="BX288" i="23917"/>
  <c r="BV288" i="23917"/>
  <c r="BT288" i="23917"/>
  <c r="BR288" i="23917"/>
  <c r="BP288" i="23917"/>
  <c r="BN288" i="23917"/>
  <c r="BL288" i="23917"/>
  <c r="BJ288" i="23917"/>
  <c r="BH288" i="23917"/>
  <c r="BF288" i="23917"/>
  <c r="BD288" i="23917"/>
  <c r="BB288" i="23917"/>
  <c r="AZ288" i="23917"/>
  <c r="AX288" i="23917"/>
  <c r="AV288" i="23917"/>
  <c r="AT288" i="23917"/>
  <c r="AR288" i="23917"/>
  <c r="AP288" i="23917"/>
  <c r="AN288" i="23917"/>
  <c r="AL288" i="23917"/>
  <c r="AJ288" i="23917"/>
  <c r="AH288" i="23917"/>
  <c r="AF288" i="23917"/>
  <c r="AD288" i="23917"/>
  <c r="AB288" i="23917"/>
  <c r="Z288" i="23917"/>
  <c r="X288" i="23917"/>
  <c r="V288" i="23917"/>
  <c r="T288" i="23917"/>
  <c r="R288" i="23917"/>
  <c r="P288" i="23917"/>
  <c r="N288" i="23917"/>
  <c r="L288" i="23917"/>
  <c r="J288" i="23917"/>
  <c r="H288" i="23917"/>
  <c r="F288" i="23917"/>
  <c r="D288" i="23917"/>
  <c r="B288" i="23917"/>
  <c r="A288" i="23917"/>
  <c r="DT287" i="23917"/>
  <c r="DR287" i="23917"/>
  <c r="DP287" i="23917"/>
  <c r="DN287" i="23917"/>
  <c r="DL287" i="23917"/>
  <c r="DJ287" i="23917"/>
  <c r="DH287" i="23917"/>
  <c r="DF287" i="23917"/>
  <c r="DD287" i="23917"/>
  <c r="DB287" i="23917"/>
  <c r="CZ287" i="23917"/>
  <c r="CX287" i="23917"/>
  <c r="CV287" i="23917"/>
  <c r="CT287" i="23917"/>
  <c r="CR287" i="23917"/>
  <c r="CP287" i="23917"/>
  <c r="CN287" i="23917"/>
  <c r="CL287" i="23917"/>
  <c r="CJ287" i="23917"/>
  <c r="CH287" i="23917"/>
  <c r="CF287" i="23917"/>
  <c r="CD287" i="23917"/>
  <c r="CB287" i="23917"/>
  <c r="BZ287" i="23917"/>
  <c r="BX287" i="23917"/>
  <c r="BV287" i="23917"/>
  <c r="BT287" i="23917"/>
  <c r="BR287" i="23917"/>
  <c r="BP287" i="23917"/>
  <c r="BN287" i="23917"/>
  <c r="BL287" i="23917"/>
  <c r="BJ287" i="23917"/>
  <c r="BH287" i="23917"/>
  <c r="BF287" i="23917"/>
  <c r="BD287" i="23917"/>
  <c r="BB287" i="23917"/>
  <c r="AZ287" i="23917"/>
  <c r="AX287" i="23917"/>
  <c r="AV287" i="23917"/>
  <c r="AT287" i="23917"/>
  <c r="AR287" i="23917"/>
  <c r="AP287" i="23917"/>
  <c r="AN287" i="23917"/>
  <c r="AL287" i="23917"/>
  <c r="AJ287" i="23917"/>
  <c r="AH287" i="23917"/>
  <c r="AF287" i="23917"/>
  <c r="AD287" i="23917"/>
  <c r="AB287" i="23917"/>
  <c r="Z287" i="23917"/>
  <c r="X287" i="23917"/>
  <c r="V287" i="23917"/>
  <c r="T287" i="23917"/>
  <c r="R287" i="23917"/>
  <c r="P287" i="23917"/>
  <c r="N287" i="23917"/>
  <c r="L287" i="23917"/>
  <c r="J287" i="23917"/>
  <c r="H287" i="23917"/>
  <c r="F287" i="23917"/>
  <c r="D287" i="23917"/>
  <c r="B287" i="23917"/>
  <c r="A287" i="23917"/>
  <c r="FE282" i="23917"/>
  <c r="A284" i="23917"/>
  <c r="DT283" i="23917"/>
  <c r="DR283" i="23917"/>
  <c r="DP283" i="23917"/>
  <c r="DN283" i="23917"/>
  <c r="DL283" i="23917"/>
  <c r="DJ283" i="23917"/>
  <c r="DH283" i="23917"/>
  <c r="DF283" i="23917"/>
  <c r="DD283" i="23917"/>
  <c r="DB283" i="23917"/>
  <c r="CZ283" i="23917"/>
  <c r="CX283" i="23917"/>
  <c r="CV283" i="23917"/>
  <c r="CT283" i="23917"/>
  <c r="CR283" i="23917"/>
  <c r="CP283" i="23917"/>
  <c r="CN283" i="23917"/>
  <c r="CL283" i="23917"/>
  <c r="CJ283" i="23917"/>
  <c r="CH283" i="23917"/>
  <c r="CF283" i="23917"/>
  <c r="CD283" i="23917"/>
  <c r="CB283" i="23917"/>
  <c r="BZ283" i="23917"/>
  <c r="BX283" i="23917"/>
  <c r="BV283" i="23917"/>
  <c r="BT283" i="23917"/>
  <c r="BR283" i="23917"/>
  <c r="BP283" i="23917"/>
  <c r="BN283" i="23917"/>
  <c r="BL283" i="23917"/>
  <c r="BJ283" i="23917"/>
  <c r="BH283" i="23917"/>
  <c r="BF283" i="23917"/>
  <c r="BD283" i="23917"/>
  <c r="BB283" i="23917"/>
  <c r="AZ283" i="23917"/>
  <c r="AX283" i="23917"/>
  <c r="AV283" i="23917"/>
  <c r="AT283" i="23917"/>
  <c r="AR283" i="23917"/>
  <c r="AP283" i="23917"/>
  <c r="AN283" i="23917"/>
  <c r="AL283" i="23917"/>
  <c r="AJ283" i="23917"/>
  <c r="AH283" i="23917"/>
  <c r="AF283" i="23917"/>
  <c r="AD283" i="23917"/>
  <c r="AB283" i="23917"/>
  <c r="Z283" i="23917"/>
  <c r="X283" i="23917"/>
  <c r="V283" i="23917"/>
  <c r="T283" i="23917"/>
  <c r="R283" i="23917"/>
  <c r="P283" i="23917"/>
  <c r="N283" i="23917"/>
  <c r="L283" i="23917"/>
  <c r="J283" i="23917"/>
  <c r="H283" i="23917"/>
  <c r="F283" i="23917"/>
  <c r="D283" i="23917"/>
  <c r="B283" i="23917"/>
  <c r="A283" i="23917"/>
  <c r="DT282" i="23917"/>
  <c r="DR282" i="23917"/>
  <c r="DP282" i="23917"/>
  <c r="DN282" i="23917"/>
  <c r="DL282" i="23917"/>
  <c r="DJ282" i="23917"/>
  <c r="DH282" i="23917"/>
  <c r="DF282" i="23917"/>
  <c r="DD282" i="23917"/>
  <c r="DB282" i="23917"/>
  <c r="CZ282" i="23917"/>
  <c r="CX282" i="23917"/>
  <c r="CV282" i="23917"/>
  <c r="CT282" i="23917"/>
  <c r="CR282" i="23917"/>
  <c r="CP282" i="23917"/>
  <c r="CN282" i="23917"/>
  <c r="CL282" i="23917"/>
  <c r="CJ282" i="23917"/>
  <c r="CH282" i="23917"/>
  <c r="CF282" i="23917"/>
  <c r="CD282" i="23917"/>
  <c r="CB282" i="23917"/>
  <c r="BZ282" i="23917"/>
  <c r="BX282" i="23917"/>
  <c r="BV282" i="23917"/>
  <c r="BT282" i="23917"/>
  <c r="BR282" i="23917"/>
  <c r="BP282" i="23917"/>
  <c r="BN282" i="23917"/>
  <c r="BL282" i="23917"/>
  <c r="BJ282" i="23917"/>
  <c r="BH282" i="23917"/>
  <c r="BF282" i="23917"/>
  <c r="BD282" i="23917"/>
  <c r="BB282" i="23917"/>
  <c r="AZ282" i="23917"/>
  <c r="AX282" i="23917"/>
  <c r="AV282" i="23917"/>
  <c r="AT282" i="23917"/>
  <c r="AR282" i="23917"/>
  <c r="AP282" i="23917"/>
  <c r="AN282" i="23917"/>
  <c r="AL282" i="23917"/>
  <c r="AJ282" i="23917"/>
  <c r="AH282" i="23917"/>
  <c r="AF282" i="23917"/>
  <c r="AD282" i="23917"/>
  <c r="AB282" i="23917"/>
  <c r="Z282" i="23917"/>
  <c r="X282" i="23917"/>
  <c r="V282" i="23917"/>
  <c r="T282" i="23917"/>
  <c r="R282" i="23917"/>
  <c r="P282" i="23917"/>
  <c r="N282" i="23917"/>
  <c r="L282" i="23917"/>
  <c r="J282" i="23917"/>
  <c r="H282" i="23917"/>
  <c r="F282" i="23917"/>
  <c r="D282" i="23917"/>
  <c r="B282" i="23917"/>
  <c r="A282" i="23917"/>
  <c r="DT281" i="23917"/>
  <c r="DR281" i="23917"/>
  <c r="DP281" i="23917"/>
  <c r="DN281" i="23917"/>
  <c r="DL281" i="23917"/>
  <c r="DJ281" i="23917"/>
  <c r="DH281" i="23917"/>
  <c r="DF281" i="23917"/>
  <c r="DD281" i="23917"/>
  <c r="DB281" i="23917"/>
  <c r="CZ281" i="23917"/>
  <c r="CX281" i="23917"/>
  <c r="CV281" i="23917"/>
  <c r="CT281" i="23917"/>
  <c r="CR281" i="23917"/>
  <c r="CP281" i="23917"/>
  <c r="CN281" i="23917"/>
  <c r="CL281" i="23917"/>
  <c r="CJ281" i="23917"/>
  <c r="CH281" i="23917"/>
  <c r="CF281" i="23917"/>
  <c r="CD281" i="23917"/>
  <c r="CB281" i="23917"/>
  <c r="BZ281" i="23917"/>
  <c r="BX281" i="23917"/>
  <c r="BV281" i="23917"/>
  <c r="BT281" i="23917"/>
  <c r="BR281" i="23917"/>
  <c r="BP281" i="23917"/>
  <c r="BN281" i="23917"/>
  <c r="BL281" i="23917"/>
  <c r="BJ281" i="23917"/>
  <c r="BH281" i="23917"/>
  <c r="BF281" i="23917"/>
  <c r="BD281" i="23917"/>
  <c r="BB281" i="23917"/>
  <c r="AZ281" i="23917"/>
  <c r="AX281" i="23917"/>
  <c r="AV281" i="23917"/>
  <c r="AT281" i="23917"/>
  <c r="AR281" i="23917"/>
  <c r="AP281" i="23917"/>
  <c r="AN281" i="23917"/>
  <c r="AL281" i="23917"/>
  <c r="AJ281" i="23917"/>
  <c r="AH281" i="23917"/>
  <c r="AF281" i="23917"/>
  <c r="AD281" i="23917"/>
  <c r="AB281" i="23917"/>
  <c r="Z281" i="23917"/>
  <c r="X281" i="23917"/>
  <c r="V281" i="23917"/>
  <c r="T281" i="23917"/>
  <c r="R281" i="23917"/>
  <c r="P281" i="23917"/>
  <c r="N281" i="23917"/>
  <c r="L281" i="23917"/>
  <c r="J281" i="23917"/>
  <c r="H281" i="23917"/>
  <c r="F281" i="23917"/>
  <c r="D281" i="23917"/>
  <c r="B281" i="23917"/>
  <c r="A281" i="23917"/>
  <c r="GA276" i="23917"/>
  <c r="A276" i="23917"/>
  <c r="A274" i="23917"/>
  <c r="A271" i="23917"/>
  <c r="A269" i="23917"/>
  <c r="A268" i="23917"/>
  <c r="A267" i="23917"/>
  <c r="A266" i="23917"/>
  <c r="A265" i="23917"/>
  <c r="GA269" i="23917"/>
  <c r="FY269" i="23917"/>
  <c r="FW269" i="23917"/>
  <c r="FU269" i="23917"/>
  <c r="FS269" i="23917"/>
  <c r="FQ269" i="23917"/>
  <c r="FO269" i="23917"/>
  <c r="FM269" i="23917"/>
  <c r="EU269" i="23917"/>
  <c r="ES269" i="23917"/>
  <c r="EQ269" i="23917"/>
  <c r="EJ269" i="23917"/>
  <c r="EI269" i="23917"/>
  <c r="GA268" i="23917"/>
  <c r="FY268" i="23917"/>
  <c r="FW268" i="23917"/>
  <c r="FU268" i="23917"/>
  <c r="FS268" i="23917"/>
  <c r="FQ268" i="23917"/>
  <c r="FO268" i="23917"/>
  <c r="FM268" i="23917"/>
  <c r="EU268" i="23917"/>
  <c r="ES268" i="23917"/>
  <c r="EQ268" i="23917"/>
  <c r="EO268" i="23917"/>
  <c r="EM268" i="23917"/>
  <c r="EK268" i="23917"/>
  <c r="EJ268" i="23917"/>
  <c r="EI268" i="23917"/>
  <c r="GA267" i="23917"/>
  <c r="FY267" i="23917"/>
  <c r="FW267" i="23917"/>
  <c r="FU267" i="23917"/>
  <c r="FS267" i="23917"/>
  <c r="FQ267" i="23917"/>
  <c r="FO267" i="23917"/>
  <c r="FM267" i="23917"/>
  <c r="EU267" i="23917"/>
  <c r="ES267" i="23917"/>
  <c r="EQ267" i="23917"/>
  <c r="EO267" i="23917"/>
  <c r="EM267" i="23917"/>
  <c r="EK267" i="23917"/>
  <c r="EJ267" i="23917"/>
  <c r="EI267" i="23917"/>
  <c r="GA266" i="23917"/>
  <c r="FY266" i="23917"/>
  <c r="FW266" i="23917"/>
  <c r="FU266" i="23917"/>
  <c r="FS266" i="23917"/>
  <c r="FQ266" i="23917"/>
  <c r="FO266" i="23917"/>
  <c r="FM266" i="23917"/>
  <c r="EU266" i="23917"/>
  <c r="ES266" i="23917"/>
  <c r="EQ266" i="23917"/>
  <c r="EO266" i="23917"/>
  <c r="EM266" i="23917"/>
  <c r="EK266" i="23917"/>
  <c r="EJ266" i="23917"/>
  <c r="EI266" i="23917"/>
  <c r="EF269" i="23917"/>
  <c r="ED269" i="23917"/>
  <c r="EB269" i="23917"/>
  <c r="DZ269" i="23917"/>
  <c r="DX269" i="23917"/>
  <c r="DV269" i="23917"/>
  <c r="BS269" i="23917"/>
  <c r="BQ269" i="23917"/>
  <c r="BO269" i="23917"/>
  <c r="BM269" i="23917"/>
  <c r="BK269" i="23917"/>
  <c r="BI269" i="23917"/>
  <c r="BG269" i="23917"/>
  <c r="BE269" i="23917"/>
  <c r="BC269" i="23917"/>
  <c r="EF268" i="23917"/>
  <c r="ED268" i="23917"/>
  <c r="EB268" i="23917"/>
  <c r="DZ268" i="23917"/>
  <c r="DX268" i="23917"/>
  <c r="DV268" i="23917"/>
  <c r="DT268" i="23917"/>
  <c r="DR268" i="23917"/>
  <c r="DP268" i="23917"/>
  <c r="DN268" i="23917"/>
  <c r="DL268" i="23917"/>
  <c r="DJ268" i="23917"/>
  <c r="DH268" i="23917"/>
  <c r="DF268" i="23917"/>
  <c r="DD268" i="23917"/>
  <c r="DB268" i="23917"/>
  <c r="CZ268" i="23917"/>
  <c r="CX268" i="23917"/>
  <c r="CV268" i="23917"/>
  <c r="CT268" i="23917"/>
  <c r="CR268" i="23917"/>
  <c r="CP268" i="23917"/>
  <c r="CN268" i="23917"/>
  <c r="CL268" i="23917"/>
  <c r="CJ268" i="23917"/>
  <c r="CH268" i="23917"/>
  <c r="CF268" i="23917"/>
  <c r="CD268" i="23917"/>
  <c r="CB268" i="23917"/>
  <c r="BZ268" i="23917"/>
  <c r="BX268" i="23917"/>
  <c r="BV268" i="23917"/>
  <c r="BT268" i="23917"/>
  <c r="BS268" i="23917"/>
  <c r="BR268" i="23917"/>
  <c r="BQ268" i="23917"/>
  <c r="BP268" i="23917"/>
  <c r="BO268" i="23917"/>
  <c r="BN268" i="23917"/>
  <c r="BM268" i="23917"/>
  <c r="BL268" i="23917"/>
  <c r="BK268" i="23917"/>
  <c r="BJ268" i="23917"/>
  <c r="BI268" i="23917"/>
  <c r="BH268" i="23917"/>
  <c r="BG268" i="23917"/>
  <c r="BF268" i="23917"/>
  <c r="BE268" i="23917"/>
  <c r="BD268" i="23917"/>
  <c r="BC268" i="23917"/>
  <c r="BB268" i="23917"/>
  <c r="AZ268" i="23917"/>
  <c r="AX268" i="23917"/>
  <c r="AV268" i="23917"/>
  <c r="AT268" i="23917"/>
  <c r="AR268" i="23917"/>
  <c r="AP268" i="23917"/>
  <c r="AN268" i="23917"/>
  <c r="AL268" i="23917"/>
  <c r="AJ268" i="23917"/>
  <c r="AH268" i="23917"/>
  <c r="AF268" i="23917"/>
  <c r="AD268" i="23917"/>
  <c r="AB268" i="23917"/>
  <c r="V268" i="23917"/>
  <c r="T268" i="23917"/>
  <c r="EF267" i="23917"/>
  <c r="ED267" i="23917"/>
  <c r="EB267" i="23917"/>
  <c r="DZ267" i="23917"/>
  <c r="DX267" i="23917"/>
  <c r="DV267" i="23917"/>
  <c r="DT267" i="23917"/>
  <c r="DR267" i="23917"/>
  <c r="DP267" i="23917"/>
  <c r="DN267" i="23917"/>
  <c r="DL267" i="23917"/>
  <c r="DJ267" i="23917"/>
  <c r="DH267" i="23917"/>
  <c r="DF267" i="23917"/>
  <c r="DD267" i="23917"/>
  <c r="DB267" i="23917"/>
  <c r="CZ267" i="23917"/>
  <c r="CX267" i="23917"/>
  <c r="CV267" i="23917"/>
  <c r="CT267" i="23917"/>
  <c r="CR267" i="23917"/>
  <c r="CP267" i="23917"/>
  <c r="CN267" i="23917"/>
  <c r="CL267" i="23917"/>
  <c r="CJ267" i="23917"/>
  <c r="CH267" i="23917"/>
  <c r="CF267" i="23917"/>
  <c r="CD267" i="23917"/>
  <c r="CB267" i="23917"/>
  <c r="BZ267" i="23917"/>
  <c r="BX267" i="23917"/>
  <c r="BV267" i="23917"/>
  <c r="BT267" i="23917"/>
  <c r="BS267" i="23917"/>
  <c r="BR267" i="23917"/>
  <c r="BQ267" i="23917"/>
  <c r="BP267" i="23917"/>
  <c r="BO267" i="23917"/>
  <c r="BN267" i="23917"/>
  <c r="BM267" i="23917"/>
  <c r="BL267" i="23917"/>
  <c r="BK267" i="23917"/>
  <c r="BJ267" i="23917"/>
  <c r="BI267" i="23917"/>
  <c r="BH267" i="23917"/>
  <c r="BG267" i="23917"/>
  <c r="BF267" i="23917"/>
  <c r="BE267" i="23917"/>
  <c r="BD267" i="23917"/>
  <c r="BC267" i="23917"/>
  <c r="BB267" i="23917"/>
  <c r="AZ267" i="23917"/>
  <c r="AX267" i="23917"/>
  <c r="AV267" i="23917"/>
  <c r="AT267" i="23917"/>
  <c r="AR267" i="23917"/>
  <c r="AP267" i="23917"/>
  <c r="AN267" i="23917"/>
  <c r="AL267" i="23917"/>
  <c r="AJ267" i="23917"/>
  <c r="AH267" i="23917"/>
  <c r="AF267" i="23917"/>
  <c r="AD267" i="23917"/>
  <c r="AB267" i="23917"/>
  <c r="V267" i="23917"/>
  <c r="T267" i="23917"/>
  <c r="EF266" i="23917"/>
  <c r="ED266" i="23917"/>
  <c r="EB266" i="23917"/>
  <c r="DZ266" i="23917"/>
  <c r="DX266" i="23917"/>
  <c r="DV266" i="23917"/>
  <c r="DT266" i="23917"/>
  <c r="DR266" i="23917"/>
  <c r="DP266" i="23917"/>
  <c r="DN266" i="23917"/>
  <c r="DL266" i="23917"/>
  <c r="DJ266" i="23917"/>
  <c r="DH266" i="23917"/>
  <c r="DF266" i="23917"/>
  <c r="DD266" i="23917"/>
  <c r="DB266" i="23917"/>
  <c r="CZ266" i="23917"/>
  <c r="CX266" i="23917"/>
  <c r="CV266" i="23917"/>
  <c r="CT266" i="23917"/>
  <c r="CR266" i="23917"/>
  <c r="CP266" i="23917"/>
  <c r="CN266" i="23917"/>
  <c r="CL266" i="23917"/>
  <c r="CJ266" i="23917"/>
  <c r="CH266" i="23917"/>
  <c r="CF266" i="23917"/>
  <c r="CD266" i="23917"/>
  <c r="CB266" i="23917"/>
  <c r="BZ266" i="23917"/>
  <c r="BX266" i="23917"/>
  <c r="BV266" i="23917"/>
  <c r="BT266" i="23917"/>
  <c r="BS266" i="23917"/>
  <c r="BR266" i="23917"/>
  <c r="BQ266" i="23917"/>
  <c r="BP266" i="23917"/>
  <c r="BO266" i="23917"/>
  <c r="BN266" i="23917"/>
  <c r="BM266" i="23917"/>
  <c r="BL266" i="23917"/>
  <c r="BK266" i="23917"/>
  <c r="BJ266" i="23917"/>
  <c r="BI266" i="23917"/>
  <c r="BH266" i="23917"/>
  <c r="BG266" i="23917"/>
  <c r="BF266" i="23917"/>
  <c r="BE266" i="23917"/>
  <c r="BD266" i="23917"/>
  <c r="BC266" i="23917"/>
  <c r="BB266" i="23917"/>
  <c r="AZ266" i="23917"/>
  <c r="AX266" i="23917"/>
  <c r="AV266" i="23917"/>
  <c r="AT266" i="23917"/>
  <c r="AR266" i="23917"/>
  <c r="AP266" i="23917"/>
  <c r="AN266" i="23917"/>
  <c r="AL266" i="23917"/>
  <c r="AJ266" i="23917"/>
  <c r="AH266" i="23917"/>
  <c r="AF266" i="23917"/>
  <c r="AD266" i="23917"/>
  <c r="AB266" i="23917"/>
  <c r="V266" i="23917"/>
  <c r="T266" i="23917"/>
  <c r="A263" i="23917"/>
  <c r="A262" i="23917"/>
  <c r="A261" i="23917"/>
  <c r="EJ263" i="23917"/>
  <c r="EI263" i="23917"/>
  <c r="EJ262" i="23917"/>
  <c r="EI262" i="23917"/>
  <c r="EJ261" i="23917"/>
  <c r="EI261" i="23917"/>
  <c r="DV263" i="23917"/>
  <c r="DZ261" i="23917"/>
  <c r="DV261" i="23917"/>
  <c r="EJ258" i="23917"/>
  <c r="EI258" i="23917"/>
  <c r="A258" i="23917"/>
  <c r="EJ252" i="23917"/>
  <c r="EI252" i="23917"/>
  <c r="A252" i="23917"/>
  <c r="A250" i="23917"/>
  <c r="A249" i="23917"/>
  <c r="A248" i="23917"/>
  <c r="A247" i="23917"/>
  <c r="A246" i="23917"/>
  <c r="EJ250" i="23917"/>
  <c r="EI250" i="23917"/>
  <c r="EJ249" i="23917"/>
  <c r="EI249" i="23917"/>
  <c r="EJ248" i="23917"/>
  <c r="EI248" i="23917"/>
  <c r="EO247" i="23917"/>
  <c r="EM247" i="23917"/>
  <c r="EK247" i="23917"/>
  <c r="EJ247" i="23917"/>
  <c r="EI247" i="23917"/>
  <c r="EO246" i="23917"/>
  <c r="EM246" i="23917"/>
  <c r="EK246" i="23917"/>
  <c r="EJ246" i="23917"/>
  <c r="EI246" i="23917"/>
  <c r="P250" i="23917"/>
  <c r="N250" i="23917"/>
  <c r="L250" i="23917"/>
  <c r="DT249" i="23917"/>
  <c r="DR249" i="23917"/>
  <c r="DP249" i="23917"/>
  <c r="DN249" i="23917"/>
  <c r="DL249" i="23917"/>
  <c r="DJ249" i="23917"/>
  <c r="DH249" i="23917"/>
  <c r="DF249" i="23917"/>
  <c r="DD249" i="23917"/>
  <c r="DB249" i="23917"/>
  <c r="CZ249" i="23917"/>
  <c r="CX249" i="23917"/>
  <c r="CV249" i="23917"/>
  <c r="CT249" i="23917"/>
  <c r="CR249" i="23917"/>
  <c r="CP249" i="23917"/>
  <c r="CN249" i="23917"/>
  <c r="CL249" i="23917"/>
  <c r="CJ249" i="23917"/>
  <c r="CH249" i="23917"/>
  <c r="CF249" i="23917"/>
  <c r="CD249" i="23917"/>
  <c r="CB249" i="23917"/>
  <c r="BZ249" i="23917"/>
  <c r="BX249" i="23917"/>
  <c r="BV249" i="23917"/>
  <c r="BT249" i="23917"/>
  <c r="BR249" i="23917"/>
  <c r="BP249" i="23917"/>
  <c r="BN249" i="23917"/>
  <c r="BL249" i="23917"/>
  <c r="BJ249" i="23917"/>
  <c r="BH249" i="23917"/>
  <c r="BF249" i="23917"/>
  <c r="BD249" i="23917"/>
  <c r="BB249" i="23917"/>
  <c r="AZ249" i="23917"/>
  <c r="AX249" i="23917"/>
  <c r="AV249" i="23917"/>
  <c r="AT249" i="23917"/>
  <c r="AR249" i="23917"/>
  <c r="AP249" i="23917"/>
  <c r="AN249" i="23917"/>
  <c r="AL249" i="23917"/>
  <c r="Q249" i="23917"/>
  <c r="P249" i="23917"/>
  <c r="O249" i="23917"/>
  <c r="N249" i="23917"/>
  <c r="M249" i="23917"/>
  <c r="L249" i="23917"/>
  <c r="K249" i="23917"/>
  <c r="J249" i="23917"/>
  <c r="Q248" i="23917"/>
  <c r="P248" i="23917"/>
  <c r="O248" i="23917"/>
  <c r="N248" i="23917"/>
  <c r="M248" i="23917"/>
  <c r="L248" i="23917"/>
  <c r="K248" i="23917"/>
  <c r="J248" i="23917"/>
  <c r="DT247" i="23917"/>
  <c r="DR247" i="23917"/>
  <c r="DP247" i="23917"/>
  <c r="DN247" i="23917"/>
  <c r="DL247" i="23917"/>
  <c r="DJ247" i="23917"/>
  <c r="DH247" i="23917"/>
  <c r="DF247" i="23917"/>
  <c r="DD247" i="23917"/>
  <c r="DB247" i="23917"/>
  <c r="CZ247" i="23917"/>
  <c r="CX247" i="23917"/>
  <c r="CV247" i="23917"/>
  <c r="CT247" i="23917"/>
  <c r="CR247" i="23917"/>
  <c r="CP247" i="23917"/>
  <c r="CN247" i="23917"/>
  <c r="CL247" i="23917"/>
  <c r="CJ247" i="23917"/>
  <c r="CH247" i="23917"/>
  <c r="CF247" i="23917"/>
  <c r="CD247" i="23917"/>
  <c r="CB247" i="23917"/>
  <c r="BZ247" i="23917"/>
  <c r="BX247" i="23917"/>
  <c r="BV247" i="23917"/>
  <c r="BT247" i="23917"/>
  <c r="BR247" i="23917"/>
  <c r="BP247" i="23917"/>
  <c r="BN247" i="23917"/>
  <c r="BL247" i="23917"/>
  <c r="BJ247" i="23917"/>
  <c r="BH247" i="23917"/>
  <c r="BF247" i="23917"/>
  <c r="BD247" i="23917"/>
  <c r="BB247" i="23917"/>
  <c r="AZ247" i="23917"/>
  <c r="AX247" i="23917"/>
  <c r="AV247" i="23917"/>
  <c r="AT247" i="23917"/>
  <c r="AR247" i="23917"/>
  <c r="AP247" i="23917"/>
  <c r="AN247" i="23917"/>
  <c r="AL247" i="23917"/>
  <c r="AJ247" i="23917"/>
  <c r="AH247" i="23917"/>
  <c r="AF247" i="23917"/>
  <c r="AD247" i="23917"/>
  <c r="AB247" i="23917"/>
  <c r="V247" i="23917"/>
  <c r="T247" i="23917"/>
  <c r="Q247" i="23917"/>
  <c r="P247" i="23917"/>
  <c r="O247" i="23917"/>
  <c r="N247" i="23917"/>
  <c r="M247" i="23917"/>
  <c r="L247" i="23917"/>
  <c r="K247" i="23917"/>
  <c r="J247" i="23917"/>
  <c r="DT246" i="23917"/>
  <c r="DR246" i="23917"/>
  <c r="DP246" i="23917"/>
  <c r="DN246" i="23917"/>
  <c r="DL246" i="23917"/>
  <c r="DJ246" i="23917"/>
  <c r="DH246" i="23917"/>
  <c r="DF246" i="23917"/>
  <c r="DD246" i="23917"/>
  <c r="DB246" i="23917"/>
  <c r="CZ246" i="23917"/>
  <c r="CX246" i="23917"/>
  <c r="CV246" i="23917"/>
  <c r="CT246" i="23917"/>
  <c r="CR246" i="23917"/>
  <c r="CP246" i="23917"/>
  <c r="CN246" i="23917"/>
  <c r="CL246" i="23917"/>
  <c r="CJ246" i="23917"/>
  <c r="CH246" i="23917"/>
  <c r="CF246" i="23917"/>
  <c r="CD246" i="23917"/>
  <c r="CB246" i="23917"/>
  <c r="BZ246" i="23917"/>
  <c r="BX246" i="23917"/>
  <c r="BV246" i="23917"/>
  <c r="BT246" i="23917"/>
  <c r="BR246" i="23917"/>
  <c r="BP246" i="23917"/>
  <c r="BN246" i="23917"/>
  <c r="BL246" i="23917"/>
  <c r="BJ246" i="23917"/>
  <c r="BH246" i="23917"/>
  <c r="BF246" i="23917"/>
  <c r="BD246" i="23917"/>
  <c r="BB246" i="23917"/>
  <c r="AZ246" i="23917"/>
  <c r="AX246" i="23917"/>
  <c r="AV246" i="23917"/>
  <c r="AT246" i="23917"/>
  <c r="AR246" i="23917"/>
  <c r="AP246" i="23917"/>
  <c r="AN246" i="23917"/>
  <c r="AL246" i="23917"/>
  <c r="AJ246" i="23917"/>
  <c r="AH246" i="23917"/>
  <c r="AF246" i="23917"/>
  <c r="AD246" i="23917"/>
  <c r="AB246" i="23917"/>
  <c r="V246" i="23917"/>
  <c r="T246" i="23917"/>
  <c r="Q246" i="23917"/>
  <c r="P246" i="23917"/>
  <c r="O246" i="23917"/>
  <c r="N246" i="23917"/>
  <c r="M246" i="23917"/>
  <c r="L246" i="23917"/>
  <c r="K246" i="23917"/>
  <c r="J246" i="23917"/>
  <c r="A243" i="23917"/>
  <c r="A242" i="23917"/>
  <c r="A241" i="23917"/>
  <c r="A240" i="23917"/>
  <c r="EJ243" i="23917"/>
  <c r="EI243" i="23917"/>
  <c r="EO242" i="23917"/>
  <c r="EM242" i="23917"/>
  <c r="EK242" i="23917"/>
  <c r="EJ242" i="23917"/>
  <c r="EI242" i="23917"/>
  <c r="EO241" i="23917"/>
  <c r="EM241" i="23917"/>
  <c r="EK241" i="23917"/>
  <c r="EJ241" i="23917"/>
  <c r="EI241" i="23917"/>
  <c r="EO240" i="23917"/>
  <c r="EM240" i="23917"/>
  <c r="EK240" i="23917"/>
  <c r="EJ240" i="23917"/>
  <c r="EI240" i="23917"/>
  <c r="CT243" i="23917"/>
  <c r="EF242" i="23917"/>
  <c r="ED242" i="23917"/>
  <c r="EB242" i="23917"/>
  <c r="DZ242" i="23917"/>
  <c r="DX242" i="23917"/>
  <c r="DV242" i="23917"/>
  <c r="DT242" i="23917"/>
  <c r="DR242" i="23917"/>
  <c r="DP242" i="23917"/>
  <c r="DN242" i="23917"/>
  <c r="DL242" i="23917"/>
  <c r="DJ242" i="23917"/>
  <c r="DH242" i="23917"/>
  <c r="DF242" i="23917"/>
  <c r="DD242" i="23917"/>
  <c r="DB242" i="23917"/>
  <c r="CZ242" i="23917"/>
  <c r="CX242" i="23917"/>
  <c r="CV242" i="23917"/>
  <c r="CT242" i="23917"/>
  <c r="CR242" i="23917"/>
  <c r="CP242" i="23917"/>
  <c r="CN242" i="23917"/>
  <c r="CL242" i="23917"/>
  <c r="CJ242" i="23917"/>
  <c r="CH242" i="23917"/>
  <c r="CF242" i="23917"/>
  <c r="CD242" i="23917"/>
  <c r="CB242" i="23917"/>
  <c r="BZ242" i="23917"/>
  <c r="BX242" i="23917"/>
  <c r="BV242" i="23917"/>
  <c r="BT242" i="23917"/>
  <c r="BR242" i="23917"/>
  <c r="BP242" i="23917"/>
  <c r="BN242" i="23917"/>
  <c r="BL242" i="23917"/>
  <c r="BJ242" i="23917"/>
  <c r="BH242" i="23917"/>
  <c r="BF242" i="23917"/>
  <c r="BD242" i="23917"/>
  <c r="BB242" i="23917"/>
  <c r="AX242" i="23917"/>
  <c r="AV242" i="23917"/>
  <c r="AT242" i="23917"/>
  <c r="AR242" i="23917"/>
  <c r="AP242" i="23917"/>
  <c r="AN242" i="23917"/>
  <c r="AL242" i="23917"/>
  <c r="AJ242" i="23917"/>
  <c r="AH242" i="23917"/>
  <c r="AF242" i="23917"/>
  <c r="AB242" i="23917"/>
  <c r="V242" i="23917"/>
  <c r="T242" i="23917"/>
  <c r="P242" i="23917"/>
  <c r="N242" i="23917"/>
  <c r="L242" i="23917"/>
  <c r="DT241" i="23917"/>
  <c r="DR241" i="23917"/>
  <c r="DP241" i="23917"/>
  <c r="DN241" i="23917"/>
  <c r="DL241" i="23917"/>
  <c r="DJ241" i="23917"/>
  <c r="DH241" i="23917"/>
  <c r="DF241" i="23917"/>
  <c r="DD241" i="23917"/>
  <c r="DB241" i="23917"/>
  <c r="CZ241" i="23917"/>
  <c r="CX241" i="23917"/>
  <c r="CV241" i="23917"/>
  <c r="CT241" i="23917"/>
  <c r="CR241" i="23917"/>
  <c r="CP241" i="23917"/>
  <c r="CN241" i="23917"/>
  <c r="CL241" i="23917"/>
  <c r="CJ241" i="23917"/>
  <c r="CH241" i="23917"/>
  <c r="CF241" i="23917"/>
  <c r="CD241" i="23917"/>
  <c r="CB241" i="23917"/>
  <c r="BZ241" i="23917"/>
  <c r="BX241" i="23917"/>
  <c r="BV241" i="23917"/>
  <c r="BT241" i="23917"/>
  <c r="BR241" i="23917"/>
  <c r="BP241" i="23917"/>
  <c r="BN241" i="23917"/>
  <c r="BL241" i="23917"/>
  <c r="BJ241" i="23917"/>
  <c r="BH241" i="23917"/>
  <c r="BF241" i="23917"/>
  <c r="BD241" i="23917"/>
  <c r="AZ241" i="23917"/>
  <c r="AN241" i="23917"/>
  <c r="AL241" i="23917"/>
  <c r="AJ241" i="23917"/>
  <c r="AH241" i="23917"/>
  <c r="AF241" i="23917"/>
  <c r="AD241" i="23917"/>
  <c r="AB241" i="23917"/>
  <c r="V241" i="23917"/>
  <c r="T241" i="23917"/>
  <c r="P241" i="23917"/>
  <c r="N241" i="23917"/>
  <c r="L241" i="23917"/>
  <c r="DT240" i="23917"/>
  <c r="DR240" i="23917"/>
  <c r="DP240" i="23917"/>
  <c r="DN240" i="23917"/>
  <c r="DL240" i="23917"/>
  <c r="DJ240" i="23917"/>
  <c r="DH240" i="23917"/>
  <c r="DF240" i="23917"/>
  <c r="DD240" i="23917"/>
  <c r="DB240" i="23917"/>
  <c r="CZ240" i="23917"/>
  <c r="CX240" i="23917"/>
  <c r="CV240" i="23917"/>
  <c r="CT240" i="23917"/>
  <c r="CR240" i="23917"/>
  <c r="CP240" i="23917"/>
  <c r="CN240" i="23917"/>
  <c r="CL240" i="23917"/>
  <c r="CJ240" i="23917"/>
  <c r="CH240" i="23917"/>
  <c r="CF240" i="23917"/>
  <c r="CD240" i="23917"/>
  <c r="CB240" i="23917"/>
  <c r="BZ240" i="23917"/>
  <c r="BX240" i="23917"/>
  <c r="BV240" i="23917"/>
  <c r="BT240" i="23917"/>
  <c r="BR240" i="23917"/>
  <c r="BP240" i="23917"/>
  <c r="BN240" i="23917"/>
  <c r="BL240" i="23917"/>
  <c r="BJ240" i="23917"/>
  <c r="BH240" i="23917"/>
  <c r="BF240" i="23917"/>
  <c r="BD240" i="23917"/>
  <c r="BB240" i="23917"/>
  <c r="AZ240" i="23917"/>
  <c r="AX240" i="23917"/>
  <c r="AV240" i="23917"/>
  <c r="AT240" i="23917"/>
  <c r="AR240" i="23917"/>
  <c r="AP240" i="23917"/>
  <c r="AN240" i="23917"/>
  <c r="AL240" i="23917"/>
  <c r="AJ240" i="23917"/>
  <c r="AH240" i="23917"/>
  <c r="AF240" i="23917"/>
  <c r="AD240" i="23917"/>
  <c r="AB240" i="23917"/>
  <c r="V240" i="23917"/>
  <c r="T240" i="23917"/>
  <c r="P240" i="23917"/>
  <c r="N240" i="23917"/>
  <c r="L240" i="23917"/>
  <c r="GA235" i="23917"/>
  <c r="A235" i="23917"/>
  <c r="A233" i="23917"/>
  <c r="A230" i="23917"/>
  <c r="GA228" i="23917"/>
  <c r="FY228" i="23917"/>
  <c r="FW228" i="23917"/>
  <c r="FU228" i="23917"/>
  <c r="FS228" i="23917"/>
  <c r="FQ228" i="23917"/>
  <c r="FO228" i="23917"/>
  <c r="FM228" i="23917"/>
  <c r="FK228" i="23917"/>
  <c r="EU228" i="23917"/>
  <c r="ES228" i="23917"/>
  <c r="EQ228" i="23917"/>
  <c r="EJ228" i="23917"/>
  <c r="EI228" i="23917"/>
  <c r="GA227" i="23917"/>
  <c r="FY227" i="23917"/>
  <c r="FW227" i="23917"/>
  <c r="FU227" i="23917"/>
  <c r="FS227" i="23917"/>
  <c r="FQ227" i="23917"/>
  <c r="FO227" i="23917"/>
  <c r="FM227" i="23917"/>
  <c r="FK227" i="23917"/>
  <c r="EU227" i="23917"/>
  <c r="ES227" i="23917"/>
  <c r="EQ227" i="23917"/>
  <c r="EO227" i="23917"/>
  <c r="EM227" i="23917"/>
  <c r="EK227" i="23917"/>
  <c r="EJ227" i="23917"/>
  <c r="EI227" i="23917"/>
  <c r="GA226" i="23917"/>
  <c r="FY226" i="23917"/>
  <c r="FW226" i="23917"/>
  <c r="FU226" i="23917"/>
  <c r="FS226" i="23917"/>
  <c r="FQ226" i="23917"/>
  <c r="FO226" i="23917"/>
  <c r="FM226" i="23917"/>
  <c r="FK226" i="23917"/>
  <c r="EU226" i="23917"/>
  <c r="ES226" i="23917"/>
  <c r="EQ226" i="23917"/>
  <c r="EJ226" i="23917"/>
  <c r="EI226" i="23917"/>
  <c r="GA225" i="23917"/>
  <c r="FY225" i="23917"/>
  <c r="FW225" i="23917"/>
  <c r="FU225" i="23917"/>
  <c r="FS225" i="23917"/>
  <c r="FQ225" i="23917"/>
  <c r="FO225" i="23917"/>
  <c r="FM225" i="23917"/>
  <c r="FK225" i="23917"/>
  <c r="EU225" i="23917"/>
  <c r="ES225" i="23917"/>
  <c r="EQ225" i="23917"/>
  <c r="EJ225" i="23917"/>
  <c r="EI225" i="23917"/>
  <c r="GA224" i="23917"/>
  <c r="FY224" i="23917"/>
  <c r="FW224" i="23917"/>
  <c r="FU224" i="23917"/>
  <c r="FS224" i="23917"/>
  <c r="FQ224" i="23917"/>
  <c r="FO224" i="23917"/>
  <c r="FM224" i="23917"/>
  <c r="FK224" i="23917"/>
  <c r="EU224" i="23917"/>
  <c r="ES224" i="23917"/>
  <c r="EQ224" i="23917"/>
  <c r="EO224" i="23917"/>
  <c r="EM224" i="23917"/>
  <c r="EK224" i="23917"/>
  <c r="EJ224" i="23917"/>
  <c r="EI224" i="23917"/>
  <c r="EF228" i="23917"/>
  <c r="ED228" i="23917"/>
  <c r="EB228" i="23917"/>
  <c r="DZ228" i="23917"/>
  <c r="DX228" i="23917"/>
  <c r="DV228" i="23917"/>
  <c r="DS228" i="23917"/>
  <c r="BM228" i="23917"/>
  <c r="BK228" i="23917"/>
  <c r="BI228" i="23917"/>
  <c r="BE228" i="23917"/>
  <c r="BC228" i="23917"/>
  <c r="P228" i="23917"/>
  <c r="O228" i="23917"/>
  <c r="N228" i="23917"/>
  <c r="M228" i="23917"/>
  <c r="L228" i="23917"/>
  <c r="K228" i="23917"/>
  <c r="J228" i="23917"/>
  <c r="I228" i="23917"/>
  <c r="H228" i="23917"/>
  <c r="G228" i="23917"/>
  <c r="F228" i="23917"/>
  <c r="E228" i="23917"/>
  <c r="D228" i="23917"/>
  <c r="C228" i="23917"/>
  <c r="B228" i="23917"/>
  <c r="A228" i="23917"/>
  <c r="EF227" i="23917"/>
  <c r="ED227" i="23917"/>
  <c r="EB227" i="23917"/>
  <c r="DZ227" i="23917"/>
  <c r="DX227" i="23917"/>
  <c r="DV227" i="23917"/>
  <c r="DT227" i="23917"/>
  <c r="DS227" i="23917"/>
  <c r="DR227" i="23917"/>
  <c r="DP227" i="23917"/>
  <c r="DL227" i="23917"/>
  <c r="DJ227" i="23917"/>
  <c r="DH227" i="23917"/>
  <c r="DF227" i="23917"/>
  <c r="DD227" i="23917"/>
  <c r="DB227" i="23917"/>
  <c r="CZ227" i="23917"/>
  <c r="CX227" i="23917"/>
  <c r="CV227" i="23917"/>
  <c r="CT227" i="23917"/>
  <c r="CR227" i="23917"/>
  <c r="CP227" i="23917"/>
  <c r="CN227" i="23917"/>
  <c r="CL227" i="23917"/>
  <c r="CJ227" i="23917"/>
  <c r="CH227" i="23917"/>
  <c r="CF227" i="23917"/>
  <c r="CD227" i="23917"/>
  <c r="CB227" i="23917"/>
  <c r="BZ227" i="23917"/>
  <c r="BX227" i="23917"/>
  <c r="BV227" i="23917"/>
  <c r="BT227" i="23917"/>
  <c r="BR227" i="23917"/>
  <c r="BP227" i="23917"/>
  <c r="BN227" i="23917"/>
  <c r="BM227" i="23917"/>
  <c r="BL227" i="23917"/>
  <c r="BK227" i="23917"/>
  <c r="BJ227" i="23917"/>
  <c r="BI227" i="23917"/>
  <c r="BH227" i="23917"/>
  <c r="BF227" i="23917"/>
  <c r="BE227" i="23917"/>
  <c r="BD227" i="23917"/>
  <c r="BC227" i="23917"/>
  <c r="BB227" i="23917"/>
  <c r="AZ227" i="23917"/>
  <c r="AX227" i="23917"/>
  <c r="AV227" i="23917"/>
  <c r="AT227" i="23917"/>
  <c r="AR227" i="23917"/>
  <c r="AP227" i="23917"/>
  <c r="AN227" i="23917"/>
  <c r="AL227" i="23917"/>
  <c r="AJ227" i="23917"/>
  <c r="AH227" i="23917"/>
  <c r="AF227" i="23917"/>
  <c r="AD227" i="23917"/>
  <c r="AB227" i="23917"/>
  <c r="V227" i="23917"/>
  <c r="T227" i="23917"/>
  <c r="P227" i="23917"/>
  <c r="O227" i="23917"/>
  <c r="N227" i="23917"/>
  <c r="M227" i="23917"/>
  <c r="L227" i="23917"/>
  <c r="K227" i="23917"/>
  <c r="J227" i="23917"/>
  <c r="I227" i="23917"/>
  <c r="H227" i="23917"/>
  <c r="G227" i="23917"/>
  <c r="F227" i="23917"/>
  <c r="E227" i="23917"/>
  <c r="D227" i="23917"/>
  <c r="C227" i="23917"/>
  <c r="B227" i="23917"/>
  <c r="A227" i="23917"/>
  <c r="EG226" i="23917"/>
  <c r="EF226" i="23917"/>
  <c r="EE226" i="23917"/>
  <c r="ED226" i="23917"/>
  <c r="EC226" i="23917"/>
  <c r="EB226" i="23917"/>
  <c r="EA226" i="23917"/>
  <c r="DZ226" i="23917"/>
  <c r="DY226" i="23917"/>
  <c r="DX226" i="23917"/>
  <c r="DW226" i="23917"/>
  <c r="DV226" i="23917"/>
  <c r="DU226" i="23917"/>
  <c r="DT226" i="23917"/>
  <c r="DS226" i="23917"/>
  <c r="DR226" i="23917"/>
  <c r="DQ226" i="23917"/>
  <c r="DP226" i="23917"/>
  <c r="DO226" i="23917"/>
  <c r="DN226" i="23917"/>
  <c r="DM226" i="23917"/>
  <c r="DL226" i="23917"/>
  <c r="DK226" i="23917"/>
  <c r="DJ226" i="23917"/>
  <c r="DI226" i="23917"/>
  <c r="DH226" i="23917"/>
  <c r="DG226" i="23917"/>
  <c r="DF226" i="23917"/>
  <c r="DE226" i="23917"/>
  <c r="DD226" i="23917"/>
  <c r="DC226" i="23917"/>
  <c r="DB226" i="23917"/>
  <c r="DA226" i="23917"/>
  <c r="CZ226" i="23917"/>
  <c r="CY226" i="23917"/>
  <c r="CX226" i="23917"/>
  <c r="CW226" i="23917"/>
  <c r="CV226" i="23917"/>
  <c r="CU226" i="23917"/>
  <c r="CT226" i="23917"/>
  <c r="CS226" i="23917"/>
  <c r="CR226" i="23917"/>
  <c r="CQ226" i="23917"/>
  <c r="CP226" i="23917"/>
  <c r="CO226" i="23917"/>
  <c r="CN226" i="23917"/>
  <c r="CM226" i="23917"/>
  <c r="CL226" i="23917"/>
  <c r="CK226" i="23917"/>
  <c r="CJ226" i="23917"/>
  <c r="CI226" i="23917"/>
  <c r="CH226" i="23917"/>
  <c r="CG226" i="23917"/>
  <c r="CF226" i="23917"/>
  <c r="CE226" i="23917"/>
  <c r="CD226" i="23917"/>
  <c r="CC226" i="23917"/>
  <c r="CB226" i="23917"/>
  <c r="BZ226" i="23917"/>
  <c r="BX226" i="23917"/>
  <c r="BV226" i="23917"/>
  <c r="BT226" i="23917"/>
  <c r="BR226" i="23917"/>
  <c r="BP226" i="23917"/>
  <c r="BN226" i="23917"/>
  <c r="BM226" i="23917"/>
  <c r="BL226" i="23917"/>
  <c r="BK226" i="23917"/>
  <c r="BJ226" i="23917"/>
  <c r="BI226" i="23917"/>
  <c r="BH226" i="23917"/>
  <c r="BF226" i="23917"/>
  <c r="BE226" i="23917"/>
  <c r="BD226" i="23917"/>
  <c r="BC226" i="23917"/>
  <c r="BB226" i="23917"/>
  <c r="AZ226" i="23917"/>
  <c r="AX226" i="23917"/>
  <c r="AV226" i="23917"/>
  <c r="AT226" i="23917"/>
  <c r="AR226" i="23917"/>
  <c r="AP226" i="23917"/>
  <c r="AN226" i="23917"/>
  <c r="AL226" i="23917"/>
  <c r="AJ226" i="23917"/>
  <c r="AH226" i="23917"/>
  <c r="AF226" i="23917"/>
  <c r="AD226" i="23917"/>
  <c r="AB226" i="23917"/>
  <c r="Z226" i="23917"/>
  <c r="X226" i="23917"/>
  <c r="V226" i="23917"/>
  <c r="T226" i="23917"/>
  <c r="R226" i="23917"/>
  <c r="P226" i="23917"/>
  <c r="N226" i="23917"/>
  <c r="L226" i="23917"/>
  <c r="J226" i="23917"/>
  <c r="H226" i="23917"/>
  <c r="F226" i="23917"/>
  <c r="D226" i="23917"/>
  <c r="B226" i="23917"/>
  <c r="A226" i="23917"/>
  <c r="EG225" i="23917"/>
  <c r="EF225" i="23917"/>
  <c r="EE225" i="23917"/>
  <c r="ED225" i="23917"/>
  <c r="EC225" i="23917"/>
  <c r="EB225" i="23917"/>
  <c r="EA225" i="23917"/>
  <c r="DZ225" i="23917"/>
  <c r="DY225" i="23917"/>
  <c r="DX225" i="23917"/>
  <c r="DW225" i="23917"/>
  <c r="DV225" i="23917"/>
  <c r="DU225" i="23917"/>
  <c r="DT225" i="23917"/>
  <c r="DS225" i="23917"/>
  <c r="DR225" i="23917"/>
  <c r="DQ225" i="23917"/>
  <c r="DP225" i="23917"/>
  <c r="DO225" i="23917"/>
  <c r="DN225" i="23917"/>
  <c r="DM225" i="23917"/>
  <c r="DL225" i="23917"/>
  <c r="DK225" i="23917"/>
  <c r="DJ225" i="23917"/>
  <c r="DI225" i="23917"/>
  <c r="DH225" i="23917"/>
  <c r="DG225" i="23917"/>
  <c r="DF225" i="23917"/>
  <c r="DE225" i="23917"/>
  <c r="DD225" i="23917"/>
  <c r="DC225" i="23917"/>
  <c r="DB225" i="23917"/>
  <c r="DA225" i="23917"/>
  <c r="CZ225" i="23917"/>
  <c r="CY225" i="23917"/>
  <c r="CX225" i="23917"/>
  <c r="CW225" i="23917"/>
  <c r="CV225" i="23917"/>
  <c r="CU225" i="23917"/>
  <c r="CT225" i="23917"/>
  <c r="CS225" i="23917"/>
  <c r="CR225" i="23917"/>
  <c r="CQ225" i="23917"/>
  <c r="CP225" i="23917"/>
  <c r="CO225" i="23917"/>
  <c r="CN225" i="23917"/>
  <c r="CM225" i="23917"/>
  <c r="CL225" i="23917"/>
  <c r="CK225" i="23917"/>
  <c r="CJ225" i="23917"/>
  <c r="CI225" i="23917"/>
  <c r="CH225" i="23917"/>
  <c r="CG225" i="23917"/>
  <c r="CF225" i="23917"/>
  <c r="CE225" i="23917"/>
  <c r="CD225" i="23917"/>
  <c r="CC225" i="23917"/>
  <c r="CB225" i="23917"/>
  <c r="BZ225" i="23917"/>
  <c r="BX225" i="23917"/>
  <c r="BV225" i="23917"/>
  <c r="BT225" i="23917"/>
  <c r="BR225" i="23917"/>
  <c r="BP225" i="23917"/>
  <c r="BN225" i="23917"/>
  <c r="BM225" i="23917"/>
  <c r="BL225" i="23917"/>
  <c r="BK225" i="23917"/>
  <c r="BJ225" i="23917"/>
  <c r="BI225" i="23917"/>
  <c r="BH225" i="23917"/>
  <c r="BF225" i="23917"/>
  <c r="BE225" i="23917"/>
  <c r="BD225" i="23917"/>
  <c r="BC225" i="23917"/>
  <c r="BB225" i="23917"/>
  <c r="AZ225" i="23917"/>
  <c r="AX225" i="23917"/>
  <c r="AV225" i="23917"/>
  <c r="AT225" i="23917"/>
  <c r="AR225" i="23917"/>
  <c r="AP225" i="23917"/>
  <c r="AN225" i="23917"/>
  <c r="AL225" i="23917"/>
  <c r="AJ225" i="23917"/>
  <c r="AH225" i="23917"/>
  <c r="AF225" i="23917"/>
  <c r="AD225" i="23917"/>
  <c r="AB225" i="23917"/>
  <c r="Z225" i="23917"/>
  <c r="X225" i="23917"/>
  <c r="V225" i="23917"/>
  <c r="T225" i="23917"/>
  <c r="R225" i="23917"/>
  <c r="P225" i="23917"/>
  <c r="N225" i="23917"/>
  <c r="L225" i="23917"/>
  <c r="J225" i="23917"/>
  <c r="H225" i="23917"/>
  <c r="F225" i="23917"/>
  <c r="D225" i="23917"/>
  <c r="B225" i="23917"/>
  <c r="A225" i="23917"/>
  <c r="EF224" i="23917"/>
  <c r="ED224" i="23917"/>
  <c r="EB224" i="23917"/>
  <c r="DZ224" i="23917"/>
  <c r="DX224" i="23917"/>
  <c r="DV224" i="23917"/>
  <c r="DT224" i="23917"/>
  <c r="DR224" i="23917"/>
  <c r="DP224" i="23917"/>
  <c r="DN224" i="23917"/>
  <c r="DL224" i="23917"/>
  <c r="DJ224" i="23917"/>
  <c r="DH224" i="23917"/>
  <c r="DF224" i="23917"/>
  <c r="DD224" i="23917"/>
  <c r="DB224" i="23917"/>
  <c r="CZ224" i="23917"/>
  <c r="CX224" i="23917"/>
  <c r="CV224" i="23917"/>
  <c r="CT224" i="23917"/>
  <c r="CR224" i="23917"/>
  <c r="CP224" i="23917"/>
  <c r="CN224" i="23917"/>
  <c r="CL224" i="23917"/>
  <c r="CJ224" i="23917"/>
  <c r="CH224" i="23917"/>
  <c r="CF224" i="23917"/>
  <c r="CD224" i="23917"/>
  <c r="CB224" i="23917"/>
  <c r="BZ224" i="23917"/>
  <c r="BX224" i="23917"/>
  <c r="BV224" i="23917"/>
  <c r="BT224" i="23917"/>
  <c r="BR224" i="23917"/>
  <c r="BP224" i="23917"/>
  <c r="BN224" i="23917"/>
  <c r="BM224" i="23917"/>
  <c r="BL224" i="23917"/>
  <c r="BK224" i="23917"/>
  <c r="BJ224" i="23917"/>
  <c r="BI224" i="23917"/>
  <c r="BH224" i="23917"/>
  <c r="BF224" i="23917"/>
  <c r="BE224" i="23917"/>
  <c r="BD224" i="23917"/>
  <c r="BC224" i="23917"/>
  <c r="BB224" i="23917"/>
  <c r="AZ224" i="23917"/>
  <c r="AX224" i="23917"/>
  <c r="AV224" i="23917"/>
  <c r="AT224" i="23917"/>
  <c r="AR224" i="23917"/>
  <c r="AP224" i="23917"/>
  <c r="AN224" i="23917"/>
  <c r="AL224" i="23917"/>
  <c r="AJ224" i="23917"/>
  <c r="AH224" i="23917"/>
  <c r="AF224" i="23917"/>
  <c r="AD224" i="23917"/>
  <c r="AB224" i="23917"/>
  <c r="V224" i="23917"/>
  <c r="T224" i="23917"/>
  <c r="P224" i="23917"/>
  <c r="O224" i="23917"/>
  <c r="N224" i="23917"/>
  <c r="M224" i="23917"/>
  <c r="L224" i="23917"/>
  <c r="K224" i="23917"/>
  <c r="J224" i="23917"/>
  <c r="I224" i="23917"/>
  <c r="H224" i="23917"/>
  <c r="G224" i="23917"/>
  <c r="F224" i="23917"/>
  <c r="E224" i="23917"/>
  <c r="D224" i="23917"/>
  <c r="C224" i="23917"/>
  <c r="B224" i="23917"/>
  <c r="A224" i="23917"/>
  <c r="A223" i="23917"/>
  <c r="A221" i="23917"/>
  <c r="A220" i="23917"/>
  <c r="A219" i="23917"/>
  <c r="EJ221" i="23917"/>
  <c r="EI221" i="23917"/>
  <c r="EJ220" i="23917"/>
  <c r="EI220" i="23917"/>
  <c r="EJ219" i="23917"/>
  <c r="EI219" i="23917"/>
  <c r="DZ221" i="23917"/>
  <c r="DV221" i="23917"/>
  <c r="DZ220" i="23917"/>
  <c r="DV220" i="23917"/>
  <c r="EJ216" i="23917"/>
  <c r="EI216" i="23917"/>
  <c r="A216" i="23917"/>
  <c r="EJ210" i="23917"/>
  <c r="EI210" i="23917"/>
  <c r="A210" i="23917"/>
  <c r="A208" i="23917"/>
  <c r="A207" i="23917"/>
  <c r="A206" i="23917"/>
  <c r="A205" i="23917"/>
  <c r="A204" i="23917"/>
  <c r="EJ208" i="23917"/>
  <c r="EI208" i="23917"/>
  <c r="EY207" i="23917"/>
  <c r="EJ207" i="23917"/>
  <c r="EI207" i="23917"/>
  <c r="EJ206" i="23917"/>
  <c r="EI206" i="23917"/>
  <c r="EY205" i="23917"/>
  <c r="EO205" i="23917"/>
  <c r="EM205" i="23917"/>
  <c r="EK205" i="23917"/>
  <c r="EJ205" i="23917"/>
  <c r="EI205" i="23917"/>
  <c r="EY204" i="23917"/>
  <c r="EO204" i="23917"/>
  <c r="EM204" i="23917"/>
  <c r="EK204" i="23917"/>
  <c r="EJ204" i="23917"/>
  <c r="EI204" i="23917"/>
  <c r="DT207" i="23917"/>
  <c r="DR207" i="23917"/>
  <c r="DN207" i="23917"/>
  <c r="DL207" i="23917"/>
  <c r="DJ207" i="23917"/>
  <c r="DH207" i="23917"/>
  <c r="DF207" i="23917"/>
  <c r="DD207" i="23917"/>
  <c r="DB207" i="23917"/>
  <c r="CZ207" i="23917"/>
  <c r="CX207" i="23917"/>
  <c r="CV207" i="23917"/>
  <c r="CT207" i="23917"/>
  <c r="CR207" i="23917"/>
  <c r="CP207" i="23917"/>
  <c r="CN207" i="23917"/>
  <c r="CL207" i="23917"/>
  <c r="CJ207" i="23917"/>
  <c r="CH207" i="23917"/>
  <c r="CF207" i="23917"/>
  <c r="CD207" i="23917"/>
  <c r="CB207" i="23917"/>
  <c r="BZ207" i="23917"/>
  <c r="BX207" i="23917"/>
  <c r="BV207" i="23917"/>
  <c r="BT207" i="23917"/>
  <c r="BR207" i="23917"/>
  <c r="BP207" i="23917"/>
  <c r="BN207" i="23917"/>
  <c r="BL207" i="23917"/>
  <c r="BJ207" i="23917"/>
  <c r="BH207" i="23917"/>
  <c r="BF207" i="23917"/>
  <c r="BD207" i="23917"/>
  <c r="BB207" i="23917"/>
  <c r="AZ207" i="23917"/>
  <c r="AX207" i="23917"/>
  <c r="AV207" i="23917"/>
  <c r="AT207" i="23917"/>
  <c r="AR207" i="23917"/>
  <c r="AP207" i="23917"/>
  <c r="AN207" i="23917"/>
  <c r="AJ207" i="23917"/>
  <c r="AB207" i="23917"/>
  <c r="V207" i="23917"/>
  <c r="DZ206" i="23917"/>
  <c r="DT205" i="23917"/>
  <c r="DR205" i="23917"/>
  <c r="DP205" i="23917"/>
  <c r="DN205" i="23917"/>
  <c r="DL205" i="23917"/>
  <c r="DJ205" i="23917"/>
  <c r="DH205" i="23917"/>
  <c r="DF205" i="23917"/>
  <c r="DD205" i="23917"/>
  <c r="DB205" i="23917"/>
  <c r="CZ205" i="23917"/>
  <c r="CX205" i="23917"/>
  <c r="CV205" i="23917"/>
  <c r="CT205" i="23917"/>
  <c r="CR205" i="23917"/>
  <c r="CP205" i="23917"/>
  <c r="CN205" i="23917"/>
  <c r="CL205" i="23917"/>
  <c r="CJ205" i="23917"/>
  <c r="CH205" i="23917"/>
  <c r="CF205" i="23917"/>
  <c r="CD205" i="23917"/>
  <c r="CB205" i="23917"/>
  <c r="BZ205" i="23917"/>
  <c r="BX205" i="23917"/>
  <c r="BV205" i="23917"/>
  <c r="BT205" i="23917"/>
  <c r="BR205" i="23917"/>
  <c r="BP205" i="23917"/>
  <c r="BN205" i="23917"/>
  <c r="BL205" i="23917"/>
  <c r="BJ205" i="23917"/>
  <c r="BH205" i="23917"/>
  <c r="BF205" i="23917"/>
  <c r="BD205" i="23917"/>
  <c r="BB205" i="23917"/>
  <c r="AZ205" i="23917"/>
  <c r="AX205" i="23917"/>
  <c r="AV205" i="23917"/>
  <c r="AT205" i="23917"/>
  <c r="AR205" i="23917"/>
  <c r="AP205" i="23917"/>
  <c r="AN205" i="23917"/>
  <c r="AL205" i="23917"/>
  <c r="AJ205" i="23917"/>
  <c r="AH205" i="23917"/>
  <c r="AF205" i="23917"/>
  <c r="AD205" i="23917"/>
  <c r="AB205" i="23917"/>
  <c r="V205" i="23917"/>
  <c r="T205" i="23917"/>
  <c r="DT204" i="23917"/>
  <c r="DR204" i="23917"/>
  <c r="DP204" i="23917"/>
  <c r="DN204" i="23917"/>
  <c r="DL204" i="23917"/>
  <c r="DJ204" i="23917"/>
  <c r="DH204" i="23917"/>
  <c r="DF204" i="23917"/>
  <c r="DD204" i="23917"/>
  <c r="DB204" i="23917"/>
  <c r="CZ204" i="23917"/>
  <c r="CX204" i="23917"/>
  <c r="CV204" i="23917"/>
  <c r="CT204" i="23917"/>
  <c r="CR204" i="23917"/>
  <c r="CP204" i="23917"/>
  <c r="CN204" i="23917"/>
  <c r="CL204" i="23917"/>
  <c r="CJ204" i="23917"/>
  <c r="CH204" i="23917"/>
  <c r="CF204" i="23917"/>
  <c r="CD204" i="23917"/>
  <c r="CB204" i="23917"/>
  <c r="BZ204" i="23917"/>
  <c r="BX204" i="23917"/>
  <c r="BV204" i="23917"/>
  <c r="BT204" i="23917"/>
  <c r="BR204" i="23917"/>
  <c r="BP204" i="23917"/>
  <c r="BN204" i="23917"/>
  <c r="BL204" i="23917"/>
  <c r="BJ204" i="23917"/>
  <c r="BH204" i="23917"/>
  <c r="BF204" i="23917"/>
  <c r="BD204" i="23917"/>
  <c r="BB204" i="23917"/>
  <c r="AZ204" i="23917"/>
  <c r="AX204" i="23917"/>
  <c r="AV204" i="23917"/>
  <c r="AT204" i="23917"/>
  <c r="AR204" i="23917"/>
  <c r="AP204" i="23917"/>
  <c r="AN204" i="23917"/>
  <c r="AL204" i="23917"/>
  <c r="AJ204" i="23917"/>
  <c r="AH204" i="23917"/>
  <c r="AF204" i="23917"/>
  <c r="AB204" i="23917"/>
  <c r="V204" i="23917"/>
  <c r="T204" i="23917"/>
  <c r="A201" i="23917"/>
  <c r="A200" i="23917"/>
  <c r="A199" i="23917"/>
  <c r="A198" i="23917"/>
  <c r="EJ201" i="23917"/>
  <c r="EI201" i="23917"/>
  <c r="EY200" i="23917"/>
  <c r="EO200" i="23917"/>
  <c r="EM200" i="23917"/>
  <c r="EK200" i="23917"/>
  <c r="EJ200" i="23917"/>
  <c r="EI200" i="23917"/>
  <c r="FE199" i="23917"/>
  <c r="EY199" i="23917"/>
  <c r="EO199" i="23917"/>
  <c r="EM199" i="23917"/>
  <c r="EK199" i="23917"/>
  <c r="EJ199" i="23917"/>
  <c r="EI199" i="23917"/>
  <c r="EY198" i="23917"/>
  <c r="EO198" i="23917"/>
  <c r="EM198" i="23917"/>
  <c r="EK198" i="23917"/>
  <c r="EJ198" i="23917"/>
  <c r="EI198" i="23917"/>
  <c r="DT200" i="23917"/>
  <c r="DR200" i="23917"/>
  <c r="DP200" i="23917"/>
  <c r="DN200" i="23917"/>
  <c r="DL200" i="23917"/>
  <c r="DJ200" i="23917"/>
  <c r="DH200" i="23917"/>
  <c r="DF200" i="23917"/>
  <c r="DD200" i="23917"/>
  <c r="DB200" i="23917"/>
  <c r="CZ200" i="23917"/>
  <c r="CX200" i="23917"/>
  <c r="CV200" i="23917"/>
  <c r="CT200" i="23917"/>
  <c r="CR200" i="23917"/>
  <c r="CP200" i="23917"/>
  <c r="CN200" i="23917"/>
  <c r="CL200" i="23917"/>
  <c r="CJ200" i="23917"/>
  <c r="CH200" i="23917"/>
  <c r="CF200" i="23917"/>
  <c r="CD200" i="23917"/>
  <c r="CB200" i="23917"/>
  <c r="BZ200" i="23917"/>
  <c r="BX200" i="23917"/>
  <c r="BV200" i="23917"/>
  <c r="BT200" i="23917"/>
  <c r="BR200" i="23917"/>
  <c r="BP200" i="23917"/>
  <c r="BN200" i="23917"/>
  <c r="BL200" i="23917"/>
  <c r="BJ200" i="23917"/>
  <c r="BH200" i="23917"/>
  <c r="BF200" i="23917"/>
  <c r="BD200" i="23917"/>
  <c r="BB200" i="23917"/>
  <c r="AZ200" i="23917"/>
  <c r="AX200" i="23917"/>
  <c r="AV200" i="23917"/>
  <c r="AT200" i="23917"/>
  <c r="AR200" i="23917"/>
  <c r="AP200" i="23917"/>
  <c r="AN200" i="23917"/>
  <c r="AL200" i="23917"/>
  <c r="AJ200" i="23917"/>
  <c r="AH200" i="23917"/>
  <c r="AF200" i="23917"/>
  <c r="AB200" i="23917"/>
  <c r="V200" i="23917"/>
  <c r="T200" i="23917"/>
  <c r="DT199" i="23917"/>
  <c r="DR199" i="23917"/>
  <c r="DP199" i="23917"/>
  <c r="DN199" i="23917"/>
  <c r="DL199" i="23917"/>
  <c r="DJ199" i="23917"/>
  <c r="DH199" i="23917"/>
  <c r="DF199" i="23917"/>
  <c r="DD199" i="23917"/>
  <c r="DB199" i="23917"/>
  <c r="CZ199" i="23917"/>
  <c r="CX199" i="23917"/>
  <c r="CV199" i="23917"/>
  <c r="CT199" i="23917"/>
  <c r="CR199" i="23917"/>
  <c r="CP199" i="23917"/>
  <c r="CN199" i="23917"/>
  <c r="CL199" i="23917"/>
  <c r="CJ199" i="23917"/>
  <c r="CH199" i="23917"/>
  <c r="CF199" i="23917"/>
  <c r="CD199" i="23917"/>
  <c r="CB199" i="23917"/>
  <c r="BZ199" i="23917"/>
  <c r="BX199" i="23917"/>
  <c r="BV199" i="23917"/>
  <c r="BT199" i="23917"/>
  <c r="BR199" i="23917"/>
  <c r="BP199" i="23917"/>
  <c r="BN199" i="23917"/>
  <c r="BL199" i="23917"/>
  <c r="BJ199" i="23917"/>
  <c r="BH199" i="23917"/>
  <c r="BF199" i="23917"/>
  <c r="BD199" i="23917"/>
  <c r="AN199" i="23917"/>
  <c r="AL199" i="23917"/>
  <c r="AJ199" i="23917"/>
  <c r="AH199" i="23917"/>
  <c r="AF199" i="23917"/>
  <c r="AD199" i="23917"/>
  <c r="AB199" i="23917"/>
  <c r="V199" i="23917"/>
  <c r="T199" i="23917"/>
  <c r="DT198" i="23917"/>
  <c r="DR198" i="23917"/>
  <c r="DP198" i="23917"/>
  <c r="DN198" i="23917"/>
  <c r="DL198" i="23917"/>
  <c r="DJ198" i="23917"/>
  <c r="DH198" i="23917"/>
  <c r="DF198" i="23917"/>
  <c r="DD198" i="23917"/>
  <c r="DB198" i="23917"/>
  <c r="CZ198" i="23917"/>
  <c r="CX198" i="23917"/>
  <c r="CV198" i="23917"/>
  <c r="CT198" i="23917"/>
  <c r="CR198" i="23917"/>
  <c r="CP198" i="23917"/>
  <c r="CN198" i="23917"/>
  <c r="CL198" i="23917"/>
  <c r="CJ198" i="23917"/>
  <c r="CH198" i="23917"/>
  <c r="CF198" i="23917"/>
  <c r="CD198" i="23917"/>
  <c r="CB198" i="23917"/>
  <c r="BZ198" i="23917"/>
  <c r="BX198" i="23917"/>
  <c r="BV198" i="23917"/>
  <c r="BT198" i="23917"/>
  <c r="BR198" i="23917"/>
  <c r="BP198" i="23917"/>
  <c r="BN198" i="23917"/>
  <c r="BL198" i="23917"/>
  <c r="BJ198" i="23917"/>
  <c r="BH198" i="23917"/>
  <c r="BF198" i="23917"/>
  <c r="BD198" i="23917"/>
  <c r="BB198" i="23917"/>
  <c r="AZ198" i="23917"/>
  <c r="AX198" i="23917"/>
  <c r="AV198" i="23917"/>
  <c r="AT198" i="23917"/>
  <c r="AR198" i="23917"/>
  <c r="AP198" i="23917"/>
  <c r="AN198" i="23917"/>
  <c r="AL198" i="23917"/>
  <c r="AJ198" i="23917"/>
  <c r="AH198" i="23917"/>
  <c r="AF198" i="23917"/>
  <c r="AD198" i="23917"/>
  <c r="AB198" i="23917"/>
  <c r="V198" i="23917"/>
  <c r="T198" i="23917"/>
  <c r="GA193" i="23917"/>
  <c r="A193" i="23917"/>
  <c r="A191" i="23917"/>
  <c r="A188" i="23917"/>
  <c r="A186" i="23917"/>
  <c r="A185" i="23917"/>
  <c r="A184" i="23917"/>
  <c r="A183" i="23917"/>
  <c r="GA186" i="23917"/>
  <c r="FY186" i="23917"/>
  <c r="FW186" i="23917"/>
  <c r="FU186" i="23917"/>
  <c r="FS186" i="23917"/>
  <c r="FQ186" i="23917"/>
  <c r="FO186" i="23917"/>
  <c r="FM186" i="23917"/>
  <c r="FK186" i="23917"/>
  <c r="EW186" i="23917"/>
  <c r="EU186" i="23917"/>
  <c r="ES186" i="23917"/>
  <c r="EQ186" i="23917"/>
  <c r="EJ186" i="23917"/>
  <c r="EI186" i="23917"/>
  <c r="GA185" i="23917"/>
  <c r="FY185" i="23917"/>
  <c r="FW185" i="23917"/>
  <c r="FU185" i="23917"/>
  <c r="FS185" i="23917"/>
  <c r="FQ185" i="23917"/>
  <c r="FO185" i="23917"/>
  <c r="FM185" i="23917"/>
  <c r="FK185" i="23917"/>
  <c r="FI185" i="23917"/>
  <c r="EW185" i="23917"/>
  <c r="EU185" i="23917"/>
  <c r="ES185" i="23917"/>
  <c r="EQ185" i="23917"/>
  <c r="EO185" i="23917"/>
  <c r="EM185" i="23917"/>
  <c r="EK185" i="23917"/>
  <c r="EJ185" i="23917"/>
  <c r="EI185" i="23917"/>
  <c r="GA184" i="23917"/>
  <c r="FY184" i="23917"/>
  <c r="FW184" i="23917"/>
  <c r="FU184" i="23917"/>
  <c r="FS184" i="23917"/>
  <c r="FQ184" i="23917"/>
  <c r="FO184" i="23917"/>
  <c r="FM184" i="23917"/>
  <c r="FK184" i="23917"/>
  <c r="FI184" i="23917"/>
  <c r="EW184" i="23917"/>
  <c r="EU184" i="23917"/>
  <c r="ES184" i="23917"/>
  <c r="EQ184" i="23917"/>
  <c r="EO184" i="23917"/>
  <c r="EM184" i="23917"/>
  <c r="EK184" i="23917"/>
  <c r="EJ184" i="23917"/>
  <c r="EI184" i="23917"/>
  <c r="EG186" i="23917"/>
  <c r="EF186" i="23917"/>
  <c r="EE186" i="23917"/>
  <c r="ED186" i="23917"/>
  <c r="EC186" i="23917"/>
  <c r="EB186" i="23917"/>
  <c r="EA186" i="23917"/>
  <c r="DZ186" i="23917"/>
  <c r="DY186" i="23917"/>
  <c r="DX186" i="23917"/>
  <c r="DW186" i="23917"/>
  <c r="DV186" i="23917"/>
  <c r="DU186" i="23917"/>
  <c r="DT186" i="23917"/>
  <c r="DS186" i="23917"/>
  <c r="DR186" i="23917"/>
  <c r="DQ186" i="23917"/>
  <c r="DP186" i="23917"/>
  <c r="DO186" i="23917"/>
  <c r="DN186" i="23917"/>
  <c r="DM186" i="23917"/>
  <c r="DL186" i="23917"/>
  <c r="DK186" i="23917"/>
  <c r="DJ186" i="23917"/>
  <c r="DI186" i="23917"/>
  <c r="DH186" i="23917"/>
  <c r="DF186" i="23917"/>
  <c r="DD186" i="23917"/>
  <c r="DB186" i="23917"/>
  <c r="DA186" i="23917"/>
  <c r="CZ186" i="23917"/>
  <c r="CY186" i="23917"/>
  <c r="CX186" i="23917"/>
  <c r="CW186" i="23917"/>
  <c r="CV186" i="23917"/>
  <c r="CT186" i="23917"/>
  <c r="CR186" i="23917"/>
  <c r="CK186" i="23917"/>
  <c r="CI186" i="23917"/>
  <c r="CG186" i="23917"/>
  <c r="CE186" i="23917"/>
  <c r="CC186" i="23917"/>
  <c r="CA186" i="23917"/>
  <c r="BY186" i="23917"/>
  <c r="BW186" i="23917"/>
  <c r="BM186" i="23917"/>
  <c r="BK186" i="23917"/>
  <c r="BI186" i="23917"/>
  <c r="BE186" i="23917"/>
  <c r="BC186" i="23917"/>
  <c r="EG185" i="23917"/>
  <c r="EF185" i="23917"/>
  <c r="EE185" i="23917"/>
  <c r="ED185" i="23917"/>
  <c r="EC185" i="23917"/>
  <c r="EB185" i="23917"/>
  <c r="EA185" i="23917"/>
  <c r="DZ185" i="23917"/>
  <c r="DY185" i="23917"/>
  <c r="DX185" i="23917"/>
  <c r="DW185" i="23917"/>
  <c r="DV185" i="23917"/>
  <c r="DU185" i="23917"/>
  <c r="DT185" i="23917"/>
  <c r="DS185" i="23917"/>
  <c r="DR185" i="23917"/>
  <c r="DQ185" i="23917"/>
  <c r="DP185" i="23917"/>
  <c r="DO185" i="23917"/>
  <c r="DN185" i="23917"/>
  <c r="DM185" i="23917"/>
  <c r="DL185" i="23917"/>
  <c r="DK185" i="23917"/>
  <c r="DJ185" i="23917"/>
  <c r="DI185" i="23917"/>
  <c r="DH185" i="23917"/>
  <c r="DG185" i="23917"/>
  <c r="DF185" i="23917"/>
  <c r="DE185" i="23917"/>
  <c r="DD185" i="23917"/>
  <c r="DC185" i="23917"/>
  <c r="DB185" i="23917"/>
  <c r="DA185" i="23917"/>
  <c r="CZ185" i="23917"/>
  <c r="CY185" i="23917"/>
  <c r="CX185" i="23917"/>
  <c r="CW185" i="23917"/>
  <c r="CV185" i="23917"/>
  <c r="CU185" i="23917"/>
  <c r="CT185" i="23917"/>
  <c r="CS185" i="23917"/>
  <c r="CR185" i="23917"/>
  <c r="CQ185" i="23917"/>
  <c r="CP185" i="23917"/>
  <c r="CO185" i="23917"/>
  <c r="CN185" i="23917"/>
  <c r="CM185" i="23917"/>
  <c r="CL185" i="23917"/>
  <c r="CK185" i="23917"/>
  <c r="CJ185" i="23917"/>
  <c r="CI185" i="23917"/>
  <c r="CH185" i="23917"/>
  <c r="CG185" i="23917"/>
  <c r="CF185" i="23917"/>
  <c r="CE185" i="23917"/>
  <c r="CD185" i="23917"/>
  <c r="CC185" i="23917"/>
  <c r="CB185" i="23917"/>
  <c r="CA185" i="23917"/>
  <c r="BZ185" i="23917"/>
  <c r="BY185" i="23917"/>
  <c r="BX185" i="23917"/>
  <c r="BW185" i="23917"/>
  <c r="BV185" i="23917"/>
  <c r="BT185" i="23917"/>
  <c r="BR185" i="23917"/>
  <c r="BP185" i="23917"/>
  <c r="BN185" i="23917"/>
  <c r="BM185" i="23917"/>
  <c r="BL185" i="23917"/>
  <c r="BK185" i="23917"/>
  <c r="BJ185" i="23917"/>
  <c r="BI185" i="23917"/>
  <c r="BH185" i="23917"/>
  <c r="BF185" i="23917"/>
  <c r="BE185" i="23917"/>
  <c r="BD185" i="23917"/>
  <c r="BC185" i="23917"/>
  <c r="BB185" i="23917"/>
  <c r="AZ185" i="23917"/>
  <c r="AX185" i="23917"/>
  <c r="AV185" i="23917"/>
  <c r="AT185" i="23917"/>
  <c r="AR185" i="23917"/>
  <c r="AP185" i="23917"/>
  <c r="AN185" i="23917"/>
  <c r="AL185" i="23917"/>
  <c r="AJ185" i="23917"/>
  <c r="AH185" i="23917"/>
  <c r="AF185" i="23917"/>
  <c r="AD185" i="23917"/>
  <c r="AB185" i="23917"/>
  <c r="V185" i="23917"/>
  <c r="T185" i="23917"/>
  <c r="EG184" i="23917"/>
  <c r="EF184" i="23917"/>
  <c r="EE184" i="23917"/>
  <c r="ED184" i="23917"/>
  <c r="EC184" i="23917"/>
  <c r="EB184" i="23917"/>
  <c r="EA184" i="23917"/>
  <c r="DZ184" i="23917"/>
  <c r="DY184" i="23917"/>
  <c r="DX184" i="23917"/>
  <c r="DW184" i="23917"/>
  <c r="DV184" i="23917"/>
  <c r="DU184" i="23917"/>
  <c r="DT184" i="23917"/>
  <c r="DS184" i="23917"/>
  <c r="DR184" i="23917"/>
  <c r="DQ184" i="23917"/>
  <c r="DP184" i="23917"/>
  <c r="DO184" i="23917"/>
  <c r="DN184" i="23917"/>
  <c r="DM184" i="23917"/>
  <c r="DL184" i="23917"/>
  <c r="DK184" i="23917"/>
  <c r="DJ184" i="23917"/>
  <c r="DI184" i="23917"/>
  <c r="DH184" i="23917"/>
  <c r="DG184" i="23917"/>
  <c r="DF184" i="23917"/>
  <c r="DE184" i="23917"/>
  <c r="DD184" i="23917"/>
  <c r="DC184" i="23917"/>
  <c r="DB184" i="23917"/>
  <c r="DA184" i="23917"/>
  <c r="CZ184" i="23917"/>
  <c r="CY184" i="23917"/>
  <c r="CX184" i="23917"/>
  <c r="CW184" i="23917"/>
  <c r="CV184" i="23917"/>
  <c r="CU184" i="23917"/>
  <c r="CT184" i="23917"/>
  <c r="CS184" i="23917"/>
  <c r="CR184" i="23917"/>
  <c r="CQ184" i="23917"/>
  <c r="CP184" i="23917"/>
  <c r="CO184" i="23917"/>
  <c r="CN184" i="23917"/>
  <c r="CM184" i="23917"/>
  <c r="CL184" i="23917"/>
  <c r="CK184" i="23917"/>
  <c r="CJ184" i="23917"/>
  <c r="CI184" i="23917"/>
  <c r="CH184" i="23917"/>
  <c r="CG184" i="23917"/>
  <c r="CF184" i="23917"/>
  <c r="CE184" i="23917"/>
  <c r="CD184" i="23917"/>
  <c r="CC184" i="23917"/>
  <c r="CB184" i="23917"/>
  <c r="CA184" i="23917"/>
  <c r="BZ184" i="23917"/>
  <c r="BY184" i="23917"/>
  <c r="BX184" i="23917"/>
  <c r="BW184" i="23917"/>
  <c r="BT184" i="23917"/>
  <c r="BR184" i="23917"/>
  <c r="BP184" i="23917"/>
  <c r="BN184" i="23917"/>
  <c r="BM184" i="23917"/>
  <c r="BL184" i="23917"/>
  <c r="BK184" i="23917"/>
  <c r="BJ184" i="23917"/>
  <c r="BI184" i="23917"/>
  <c r="BH184" i="23917"/>
  <c r="BF184" i="23917"/>
  <c r="BE184" i="23917"/>
  <c r="BD184" i="23917"/>
  <c r="BC184" i="23917"/>
  <c r="BB184" i="23917"/>
  <c r="AZ184" i="23917"/>
  <c r="AX184" i="23917"/>
  <c r="AV184" i="23917"/>
  <c r="AT184" i="23917"/>
  <c r="AR184" i="23917"/>
  <c r="AP184" i="23917"/>
  <c r="AN184" i="23917"/>
  <c r="AL184" i="23917"/>
  <c r="AJ184" i="23917"/>
  <c r="AH184" i="23917"/>
  <c r="AF184" i="23917"/>
  <c r="AD184" i="23917"/>
  <c r="AB184" i="23917"/>
  <c r="V184" i="23917"/>
  <c r="T184" i="23917"/>
  <c r="A181" i="23917"/>
  <c r="A180" i="23917"/>
  <c r="A179" i="23917"/>
  <c r="EJ181" i="23917"/>
  <c r="EJ180" i="23917"/>
  <c r="EJ179" i="23917"/>
  <c r="DV180" i="23917"/>
  <c r="DZ179" i="23917"/>
  <c r="DV179" i="23917"/>
  <c r="EJ176" i="23917"/>
  <c r="A176" i="23917"/>
  <c r="EJ170" i="23917"/>
  <c r="EI170" i="23917"/>
  <c r="A170" i="23917"/>
  <c r="A168" i="23917"/>
  <c r="A167" i="23917"/>
  <c r="A166" i="23917"/>
  <c r="A165" i="23917"/>
  <c r="A164" i="23917"/>
  <c r="EJ168" i="23917"/>
  <c r="EI168" i="23917"/>
  <c r="EO167" i="23917"/>
  <c r="EM167" i="23917"/>
  <c r="EK167" i="23917"/>
  <c r="EJ167" i="23917"/>
  <c r="EI167" i="23917"/>
  <c r="EJ166" i="23917"/>
  <c r="EI166" i="23917"/>
  <c r="EO165" i="23917"/>
  <c r="EM165" i="23917"/>
  <c r="EK165" i="23917"/>
  <c r="EJ165" i="23917"/>
  <c r="EI165" i="23917"/>
  <c r="EO164" i="23917"/>
  <c r="EM164" i="23917"/>
  <c r="EK164" i="23917"/>
  <c r="EJ164" i="23917"/>
  <c r="EI164" i="23917"/>
  <c r="DT167" i="23917"/>
  <c r="DR167" i="23917"/>
  <c r="DP167" i="23917"/>
  <c r="DN167" i="23917"/>
  <c r="DL167" i="23917"/>
  <c r="DJ167" i="23917"/>
  <c r="DH167" i="23917"/>
  <c r="DF167" i="23917"/>
  <c r="DD167" i="23917"/>
  <c r="DB167" i="23917"/>
  <c r="CZ167" i="23917"/>
  <c r="CX167" i="23917"/>
  <c r="CV167" i="23917"/>
  <c r="CT167" i="23917"/>
  <c r="CR167" i="23917"/>
  <c r="CP167" i="23917"/>
  <c r="CN167" i="23917"/>
  <c r="CJ167" i="23917"/>
  <c r="CH167" i="23917"/>
  <c r="CF167" i="23917"/>
  <c r="CD167" i="23917"/>
  <c r="CB167" i="23917"/>
  <c r="BZ167" i="23917"/>
  <c r="BX167" i="23917"/>
  <c r="BV167" i="23917"/>
  <c r="BT167" i="23917"/>
  <c r="BR167" i="23917"/>
  <c r="BP167" i="23917"/>
  <c r="BN167" i="23917"/>
  <c r="BL167" i="23917"/>
  <c r="BJ167" i="23917"/>
  <c r="BH167" i="23917"/>
  <c r="BF167" i="23917"/>
  <c r="BD167" i="23917"/>
  <c r="BB167" i="23917"/>
  <c r="AZ167" i="23917"/>
  <c r="AX167" i="23917"/>
  <c r="AV167" i="23917"/>
  <c r="AT167" i="23917"/>
  <c r="AR167" i="23917"/>
  <c r="AP167" i="23917"/>
  <c r="AN167" i="23917"/>
  <c r="AL167" i="23917"/>
  <c r="AJ167" i="23917"/>
  <c r="AH167" i="23917"/>
  <c r="AF167" i="23917"/>
  <c r="AD167" i="23917"/>
  <c r="AB167" i="23917"/>
  <c r="V167" i="23917"/>
  <c r="T167" i="23917"/>
  <c r="DT165" i="23917"/>
  <c r="DR165" i="23917"/>
  <c r="DP165" i="23917"/>
  <c r="DN165" i="23917"/>
  <c r="DL165" i="23917"/>
  <c r="DJ165" i="23917"/>
  <c r="DH165" i="23917"/>
  <c r="DF165" i="23917"/>
  <c r="DD165" i="23917"/>
  <c r="DB165" i="23917"/>
  <c r="CZ165" i="23917"/>
  <c r="CX165" i="23917"/>
  <c r="CV165" i="23917"/>
  <c r="CT165" i="23917"/>
  <c r="CR165" i="23917"/>
  <c r="CP165" i="23917"/>
  <c r="CN165" i="23917"/>
  <c r="CL165" i="23917"/>
  <c r="CJ165" i="23917"/>
  <c r="CH165" i="23917"/>
  <c r="CF165" i="23917"/>
  <c r="CD165" i="23917"/>
  <c r="CB165" i="23917"/>
  <c r="BZ165" i="23917"/>
  <c r="BX165" i="23917"/>
  <c r="BV165" i="23917"/>
  <c r="BT165" i="23917"/>
  <c r="BR165" i="23917"/>
  <c r="BP165" i="23917"/>
  <c r="BN165" i="23917"/>
  <c r="BL165" i="23917"/>
  <c r="BJ165" i="23917"/>
  <c r="BH165" i="23917"/>
  <c r="BF165" i="23917"/>
  <c r="BD165" i="23917"/>
  <c r="BB165" i="23917"/>
  <c r="AZ165" i="23917"/>
  <c r="AX165" i="23917"/>
  <c r="AV165" i="23917"/>
  <c r="AT165" i="23917"/>
  <c r="AR165" i="23917"/>
  <c r="AP165" i="23917"/>
  <c r="AN165" i="23917"/>
  <c r="AL165" i="23917"/>
  <c r="AJ165" i="23917"/>
  <c r="AH165" i="23917"/>
  <c r="AF165" i="23917"/>
  <c r="AD165" i="23917"/>
  <c r="AB165" i="23917"/>
  <c r="V165" i="23917"/>
  <c r="T165" i="23917"/>
  <c r="DT164" i="23917"/>
  <c r="DR164" i="23917"/>
  <c r="DP164" i="23917"/>
  <c r="DN164" i="23917"/>
  <c r="DL164" i="23917"/>
  <c r="DJ164" i="23917"/>
  <c r="DH164" i="23917"/>
  <c r="DF164" i="23917"/>
  <c r="DD164" i="23917"/>
  <c r="DB164" i="23917"/>
  <c r="CZ164" i="23917"/>
  <c r="CX164" i="23917"/>
  <c r="CV164" i="23917"/>
  <c r="CT164" i="23917"/>
  <c r="CR164" i="23917"/>
  <c r="CP164" i="23917"/>
  <c r="CN164" i="23917"/>
  <c r="CL164" i="23917"/>
  <c r="CJ164" i="23917"/>
  <c r="CH164" i="23917"/>
  <c r="CF164" i="23917"/>
  <c r="CD164" i="23917"/>
  <c r="CB164" i="23917"/>
  <c r="BZ164" i="23917"/>
  <c r="BX164" i="23917"/>
  <c r="BV164" i="23917"/>
  <c r="BT164" i="23917"/>
  <c r="BR164" i="23917"/>
  <c r="BP164" i="23917"/>
  <c r="BN164" i="23917"/>
  <c r="BL164" i="23917"/>
  <c r="BJ164" i="23917"/>
  <c r="BH164" i="23917"/>
  <c r="BF164" i="23917"/>
  <c r="BD164" i="23917"/>
  <c r="BB164" i="23917"/>
  <c r="AZ164" i="23917"/>
  <c r="AX164" i="23917"/>
  <c r="AV164" i="23917"/>
  <c r="AT164" i="23917"/>
  <c r="AR164" i="23917"/>
  <c r="AP164" i="23917"/>
  <c r="AN164" i="23917"/>
  <c r="AL164" i="23917"/>
  <c r="AJ164" i="23917"/>
  <c r="AH164" i="23917"/>
  <c r="AF164" i="23917"/>
  <c r="AD164" i="23917"/>
  <c r="AB164" i="23917"/>
  <c r="V164" i="23917"/>
  <c r="T164" i="23917"/>
  <c r="A161" i="23917"/>
  <c r="A160" i="23917"/>
  <c r="A159" i="23917"/>
  <c r="A158" i="23917"/>
  <c r="EJ161" i="23917"/>
  <c r="EI161" i="23917"/>
  <c r="EO160" i="23917"/>
  <c r="EM160" i="23917"/>
  <c r="EK160" i="23917"/>
  <c r="EJ160" i="23917"/>
  <c r="EI160" i="23917"/>
  <c r="FE159" i="23917"/>
  <c r="EO159" i="23917"/>
  <c r="EM159" i="23917"/>
  <c r="EK159" i="23917"/>
  <c r="EJ159" i="23917"/>
  <c r="EI159" i="23917"/>
  <c r="EO158" i="23917"/>
  <c r="EM158" i="23917"/>
  <c r="EK158" i="23917"/>
  <c r="EJ158" i="23917"/>
  <c r="EI158" i="23917"/>
  <c r="DT160" i="23917"/>
  <c r="DR160" i="23917"/>
  <c r="DP160" i="23917"/>
  <c r="DN160" i="23917"/>
  <c r="DL160" i="23917"/>
  <c r="DJ160" i="23917"/>
  <c r="DH160" i="23917"/>
  <c r="DF160" i="23917"/>
  <c r="DD160" i="23917"/>
  <c r="DB160" i="23917"/>
  <c r="CZ160" i="23917"/>
  <c r="CX160" i="23917"/>
  <c r="CV160" i="23917"/>
  <c r="CT160" i="23917"/>
  <c r="CR160" i="23917"/>
  <c r="CP160" i="23917"/>
  <c r="CN160" i="23917"/>
  <c r="CL160" i="23917"/>
  <c r="CJ160" i="23917"/>
  <c r="CH160" i="23917"/>
  <c r="CF160" i="23917"/>
  <c r="CD160" i="23917"/>
  <c r="CB160" i="23917"/>
  <c r="BZ160" i="23917"/>
  <c r="BX160" i="23917"/>
  <c r="BV160" i="23917"/>
  <c r="BT160" i="23917"/>
  <c r="BR160" i="23917"/>
  <c r="BP160" i="23917"/>
  <c r="BN160" i="23917"/>
  <c r="BL160" i="23917"/>
  <c r="BJ160" i="23917"/>
  <c r="BH160" i="23917"/>
  <c r="BF160" i="23917"/>
  <c r="BD160" i="23917"/>
  <c r="BB160" i="23917"/>
  <c r="AZ160" i="23917"/>
  <c r="AX160" i="23917"/>
  <c r="AV160" i="23917"/>
  <c r="AT160" i="23917"/>
  <c r="AR160" i="23917"/>
  <c r="AP160" i="23917"/>
  <c r="AN160" i="23917"/>
  <c r="AL160" i="23917"/>
  <c r="AJ160" i="23917"/>
  <c r="AH160" i="23917"/>
  <c r="AF160" i="23917"/>
  <c r="AD160" i="23917"/>
  <c r="AB160" i="23917"/>
  <c r="V160" i="23917"/>
  <c r="T160" i="23917"/>
  <c r="DT159" i="23917"/>
  <c r="DR159" i="23917"/>
  <c r="DP159" i="23917"/>
  <c r="DN159" i="23917"/>
  <c r="DL159" i="23917"/>
  <c r="DJ159" i="23917"/>
  <c r="DH159" i="23917"/>
  <c r="DF159" i="23917"/>
  <c r="DD159" i="23917"/>
  <c r="DB159" i="23917"/>
  <c r="CZ159" i="23917"/>
  <c r="CX159" i="23917"/>
  <c r="CV159" i="23917"/>
  <c r="CT159" i="23917"/>
  <c r="CR159" i="23917"/>
  <c r="CP159" i="23917"/>
  <c r="CN159" i="23917"/>
  <c r="CL159" i="23917"/>
  <c r="CJ159" i="23917"/>
  <c r="CH159" i="23917"/>
  <c r="CF159" i="23917"/>
  <c r="CD159" i="23917"/>
  <c r="CB159" i="23917"/>
  <c r="BZ159" i="23917"/>
  <c r="BX159" i="23917"/>
  <c r="BV159" i="23917"/>
  <c r="BT159" i="23917"/>
  <c r="BR159" i="23917"/>
  <c r="BP159" i="23917"/>
  <c r="BN159" i="23917"/>
  <c r="BL159" i="23917"/>
  <c r="BJ159" i="23917"/>
  <c r="BH159" i="23917"/>
  <c r="BF159" i="23917"/>
  <c r="BD159" i="23917"/>
  <c r="BB159" i="23917"/>
  <c r="AZ159" i="23917"/>
  <c r="AX159" i="23917"/>
  <c r="AV159" i="23917"/>
  <c r="AT159" i="23917"/>
  <c r="AR159" i="23917"/>
  <c r="AP159" i="23917"/>
  <c r="AN159" i="23917"/>
  <c r="AL159" i="23917"/>
  <c r="AJ159" i="23917"/>
  <c r="AH159" i="23917"/>
  <c r="AF159" i="23917"/>
  <c r="AD159" i="23917"/>
  <c r="AB159" i="23917"/>
  <c r="V159" i="23917"/>
  <c r="T159" i="23917"/>
  <c r="DT158" i="23917"/>
  <c r="DR158" i="23917"/>
  <c r="DP158" i="23917"/>
  <c r="DN158" i="23917"/>
  <c r="DL158" i="23917"/>
  <c r="DJ158" i="23917"/>
  <c r="DH158" i="23917"/>
  <c r="DF158" i="23917"/>
  <c r="DD158" i="23917"/>
  <c r="DB158" i="23917"/>
  <c r="CZ158" i="23917"/>
  <c r="CX158" i="23917"/>
  <c r="CV158" i="23917"/>
  <c r="CT158" i="23917"/>
  <c r="CR158" i="23917"/>
  <c r="CP158" i="23917"/>
  <c r="CN158" i="23917"/>
  <c r="CL158" i="23917"/>
  <c r="CJ158" i="23917"/>
  <c r="CH158" i="23917"/>
  <c r="CF158" i="23917"/>
  <c r="CD158" i="23917"/>
  <c r="CB158" i="23917"/>
  <c r="BZ158" i="23917"/>
  <c r="BX158" i="23917"/>
  <c r="BV158" i="23917"/>
  <c r="BT158" i="23917"/>
  <c r="BR158" i="23917"/>
  <c r="BP158" i="23917"/>
  <c r="BN158" i="23917"/>
  <c r="BL158" i="23917"/>
  <c r="BJ158" i="23917"/>
  <c r="BH158" i="23917"/>
  <c r="BF158" i="23917"/>
  <c r="BD158" i="23917"/>
  <c r="BB158" i="23917"/>
  <c r="AZ158" i="23917"/>
  <c r="AX158" i="23917"/>
  <c r="AV158" i="23917"/>
  <c r="AT158" i="23917"/>
  <c r="AR158" i="23917"/>
  <c r="AP158" i="23917"/>
  <c r="AN158" i="23917"/>
  <c r="AL158" i="23917"/>
  <c r="AJ158" i="23917"/>
  <c r="AH158" i="23917"/>
  <c r="AF158" i="23917"/>
  <c r="AD158" i="23917"/>
  <c r="AB158" i="23917"/>
  <c r="V158" i="23917"/>
  <c r="T158" i="23917"/>
  <c r="GA153" i="23917"/>
  <c r="A153" i="23917"/>
  <c r="A151" i="23917"/>
  <c r="A148" i="23917"/>
  <c r="A146" i="23917"/>
  <c r="A145" i="23917"/>
  <c r="A144" i="23917"/>
  <c r="A143" i="23917"/>
  <c r="A142" i="23917"/>
  <c r="A141" i="23917"/>
  <c r="A140" i="23917"/>
  <c r="A139" i="23917"/>
  <c r="GA146" i="23917"/>
  <c r="FY146" i="23917"/>
  <c r="FW146" i="23917"/>
  <c r="FU146" i="23917"/>
  <c r="FS146" i="23917"/>
  <c r="FQ146" i="23917"/>
  <c r="FO146" i="23917"/>
  <c r="FM146" i="23917"/>
  <c r="FK146" i="23917"/>
  <c r="EU146" i="23917"/>
  <c r="ES146" i="23917"/>
  <c r="EQ146" i="23917"/>
  <c r="EJ146" i="23917"/>
  <c r="EI146" i="23917"/>
  <c r="GA145" i="23917"/>
  <c r="FY145" i="23917"/>
  <c r="FW145" i="23917"/>
  <c r="FU145" i="23917"/>
  <c r="FS145" i="23917"/>
  <c r="FQ145" i="23917"/>
  <c r="FO145" i="23917"/>
  <c r="FM145" i="23917"/>
  <c r="FK145" i="23917"/>
  <c r="EU145" i="23917"/>
  <c r="ES145" i="23917"/>
  <c r="EQ145" i="23917"/>
  <c r="EJ145" i="23917"/>
  <c r="EI145" i="23917"/>
  <c r="GA144" i="23917"/>
  <c r="FY144" i="23917"/>
  <c r="FW144" i="23917"/>
  <c r="FU144" i="23917"/>
  <c r="FS144" i="23917"/>
  <c r="FQ144" i="23917"/>
  <c r="FO144" i="23917"/>
  <c r="FM144" i="23917"/>
  <c r="FK144" i="23917"/>
  <c r="EU144" i="23917"/>
  <c r="ES144" i="23917"/>
  <c r="EQ144" i="23917"/>
  <c r="EO144" i="23917"/>
  <c r="EM144" i="23917"/>
  <c r="EK144" i="23917"/>
  <c r="EJ144" i="23917"/>
  <c r="EI144" i="23917"/>
  <c r="GA143" i="23917"/>
  <c r="FY143" i="23917"/>
  <c r="FW143" i="23917"/>
  <c r="FU143" i="23917"/>
  <c r="FS143" i="23917"/>
  <c r="FQ143" i="23917"/>
  <c r="FO143" i="23917"/>
  <c r="FM143" i="23917"/>
  <c r="FK143" i="23917"/>
  <c r="EU143" i="23917"/>
  <c r="ES143" i="23917"/>
  <c r="EQ143" i="23917"/>
  <c r="EO143" i="23917"/>
  <c r="EM143" i="23917"/>
  <c r="EK143" i="23917"/>
  <c r="EJ143" i="23917"/>
  <c r="EI143" i="23917"/>
  <c r="GA142" i="23917"/>
  <c r="FY142" i="23917"/>
  <c r="FW142" i="23917"/>
  <c r="FU142" i="23917"/>
  <c r="FS142" i="23917"/>
  <c r="FQ142" i="23917"/>
  <c r="FO142" i="23917"/>
  <c r="FM142" i="23917"/>
  <c r="FK142" i="23917"/>
  <c r="EU142" i="23917"/>
  <c r="ES142" i="23917"/>
  <c r="EQ142" i="23917"/>
  <c r="EJ142" i="23917"/>
  <c r="EI142" i="23917"/>
  <c r="GA141" i="23917"/>
  <c r="FY141" i="23917"/>
  <c r="FW141" i="23917"/>
  <c r="FU141" i="23917"/>
  <c r="FS141" i="23917"/>
  <c r="FQ141" i="23917"/>
  <c r="FO141" i="23917"/>
  <c r="FM141" i="23917"/>
  <c r="FK141" i="23917"/>
  <c r="EU141" i="23917"/>
  <c r="ES141" i="23917"/>
  <c r="EQ141" i="23917"/>
  <c r="EO141" i="23917"/>
  <c r="EM141" i="23917"/>
  <c r="EK141" i="23917"/>
  <c r="EJ141" i="23917"/>
  <c r="EI141" i="23917"/>
  <c r="FY140" i="23917"/>
  <c r="FW140" i="23917"/>
  <c r="FU140" i="23917"/>
  <c r="FS140" i="23917"/>
  <c r="FQ140" i="23917"/>
  <c r="FO140" i="23917"/>
  <c r="FM140" i="23917"/>
  <c r="FK140" i="23917"/>
  <c r="EU140" i="23917"/>
  <c r="ES140" i="23917"/>
  <c r="EQ140" i="23917"/>
  <c r="EO140" i="23917"/>
  <c r="EM140" i="23917"/>
  <c r="EK140" i="23917"/>
  <c r="EJ140" i="23917"/>
  <c r="EI140" i="23917"/>
  <c r="EF146" i="23917"/>
  <c r="ED146" i="23917"/>
  <c r="EB146" i="23917"/>
  <c r="DZ146" i="23917"/>
  <c r="DX146" i="23917"/>
  <c r="DV146" i="23917"/>
  <c r="BM146" i="23917"/>
  <c r="BK146" i="23917"/>
  <c r="BI146" i="23917"/>
  <c r="BE146" i="23917"/>
  <c r="BC146" i="23917"/>
  <c r="EF145" i="23917"/>
  <c r="ED145" i="23917"/>
  <c r="EB145" i="23917"/>
  <c r="DZ145" i="23917"/>
  <c r="DX145" i="23917"/>
  <c r="DV145" i="23917"/>
  <c r="BM145" i="23917"/>
  <c r="BK145" i="23917"/>
  <c r="BI145" i="23917"/>
  <c r="BE145" i="23917"/>
  <c r="BC145" i="23917"/>
  <c r="EF144" i="23917"/>
  <c r="ED144" i="23917"/>
  <c r="EB144" i="23917"/>
  <c r="DZ144" i="23917"/>
  <c r="DX144" i="23917"/>
  <c r="DV144" i="23917"/>
  <c r="DT144" i="23917"/>
  <c r="DR144" i="23917"/>
  <c r="DP144" i="23917"/>
  <c r="DN144" i="23917"/>
  <c r="DL144" i="23917"/>
  <c r="DJ144" i="23917"/>
  <c r="DH144" i="23917"/>
  <c r="DF144" i="23917"/>
  <c r="DD144" i="23917"/>
  <c r="DB144" i="23917"/>
  <c r="CZ144" i="23917"/>
  <c r="CX144" i="23917"/>
  <c r="CV144" i="23917"/>
  <c r="CT144" i="23917"/>
  <c r="CR144" i="23917"/>
  <c r="CP144" i="23917"/>
  <c r="CN144" i="23917"/>
  <c r="CL144" i="23917"/>
  <c r="CJ144" i="23917"/>
  <c r="CH144" i="23917"/>
  <c r="CF144" i="23917"/>
  <c r="CD144" i="23917"/>
  <c r="CB144" i="23917"/>
  <c r="BZ144" i="23917"/>
  <c r="BX144" i="23917"/>
  <c r="BV144" i="23917"/>
  <c r="BT144" i="23917"/>
  <c r="BR144" i="23917"/>
  <c r="BP144" i="23917"/>
  <c r="BN144" i="23917"/>
  <c r="BM144" i="23917"/>
  <c r="BL144" i="23917"/>
  <c r="BK144" i="23917"/>
  <c r="BJ144" i="23917"/>
  <c r="BI144" i="23917"/>
  <c r="BH144" i="23917"/>
  <c r="BF144" i="23917"/>
  <c r="BE144" i="23917"/>
  <c r="BD144" i="23917"/>
  <c r="BC144" i="23917"/>
  <c r="BB144" i="23917"/>
  <c r="AZ144" i="23917"/>
  <c r="AX144" i="23917"/>
  <c r="AV144" i="23917"/>
  <c r="AT144" i="23917"/>
  <c r="AR144" i="23917"/>
  <c r="AP144" i="23917"/>
  <c r="AN144" i="23917"/>
  <c r="AL144" i="23917"/>
  <c r="AJ144" i="23917"/>
  <c r="AH144" i="23917"/>
  <c r="AF144" i="23917"/>
  <c r="AD144" i="23917"/>
  <c r="AB144" i="23917"/>
  <c r="Z144" i="23917"/>
  <c r="V144" i="23917"/>
  <c r="T144" i="23917"/>
  <c r="R144" i="23917"/>
  <c r="EF143" i="23917"/>
  <c r="ED143" i="23917"/>
  <c r="EB143" i="23917"/>
  <c r="DZ143" i="23917"/>
  <c r="DX143" i="23917"/>
  <c r="DV143" i="23917"/>
  <c r="DT143" i="23917"/>
  <c r="DR143" i="23917"/>
  <c r="DP143" i="23917"/>
  <c r="DN143" i="23917"/>
  <c r="DL143" i="23917"/>
  <c r="DJ143" i="23917"/>
  <c r="DH143" i="23917"/>
  <c r="DF143" i="23917"/>
  <c r="DD143" i="23917"/>
  <c r="DB143" i="23917"/>
  <c r="CZ143" i="23917"/>
  <c r="CX143" i="23917"/>
  <c r="CV143" i="23917"/>
  <c r="CT143" i="23917"/>
  <c r="CR143" i="23917"/>
  <c r="CP143" i="23917"/>
  <c r="CN143" i="23917"/>
  <c r="CL143" i="23917"/>
  <c r="CJ143" i="23917"/>
  <c r="CH143" i="23917"/>
  <c r="CF143" i="23917"/>
  <c r="CD143" i="23917"/>
  <c r="CB143" i="23917"/>
  <c r="BZ143" i="23917"/>
  <c r="BX143" i="23917"/>
  <c r="BV143" i="23917"/>
  <c r="BT143" i="23917"/>
  <c r="BR143" i="23917"/>
  <c r="BP143" i="23917"/>
  <c r="BN143" i="23917"/>
  <c r="BM143" i="23917"/>
  <c r="BL143" i="23917"/>
  <c r="BK143" i="23917"/>
  <c r="BJ143" i="23917"/>
  <c r="BI143" i="23917"/>
  <c r="BH143" i="23917"/>
  <c r="BF143" i="23917"/>
  <c r="BE143" i="23917"/>
  <c r="BD143" i="23917"/>
  <c r="BC143" i="23917"/>
  <c r="BB143" i="23917"/>
  <c r="AZ143" i="23917"/>
  <c r="AX143" i="23917"/>
  <c r="AV143" i="23917"/>
  <c r="AT143" i="23917"/>
  <c r="AR143" i="23917"/>
  <c r="AP143" i="23917"/>
  <c r="AN143" i="23917"/>
  <c r="AL143" i="23917"/>
  <c r="AJ143" i="23917"/>
  <c r="AH143" i="23917"/>
  <c r="AF143" i="23917"/>
  <c r="AD143" i="23917"/>
  <c r="AB143" i="23917"/>
  <c r="Z143" i="23917"/>
  <c r="V143" i="23917"/>
  <c r="T143" i="23917"/>
  <c r="R143" i="23917"/>
  <c r="EF142" i="23917"/>
  <c r="ED142" i="23917"/>
  <c r="EB142" i="23917"/>
  <c r="DZ142" i="23917"/>
  <c r="DX142" i="23917"/>
  <c r="DV142" i="23917"/>
  <c r="BM142" i="23917"/>
  <c r="BK142" i="23917"/>
  <c r="EF141" i="23917"/>
  <c r="ED141" i="23917"/>
  <c r="EB141" i="23917"/>
  <c r="DZ141" i="23917"/>
  <c r="DX141" i="23917"/>
  <c r="DV141" i="23917"/>
  <c r="DT141" i="23917"/>
  <c r="DR141" i="23917"/>
  <c r="DP141" i="23917"/>
  <c r="DN141" i="23917"/>
  <c r="DL141" i="23917"/>
  <c r="DJ141" i="23917"/>
  <c r="DH141" i="23917"/>
  <c r="DF141" i="23917"/>
  <c r="DD141" i="23917"/>
  <c r="DB141" i="23917"/>
  <c r="CZ141" i="23917"/>
  <c r="CX141" i="23917"/>
  <c r="CV141" i="23917"/>
  <c r="CT141" i="23917"/>
  <c r="CR141" i="23917"/>
  <c r="CP141" i="23917"/>
  <c r="CN141" i="23917"/>
  <c r="CL141" i="23917"/>
  <c r="CJ141" i="23917"/>
  <c r="CH141" i="23917"/>
  <c r="CF141" i="23917"/>
  <c r="CD141" i="23917"/>
  <c r="CB141" i="23917"/>
  <c r="BZ141" i="23917"/>
  <c r="BX141" i="23917"/>
  <c r="BV141" i="23917"/>
  <c r="BT141" i="23917"/>
  <c r="BR141" i="23917"/>
  <c r="BP141" i="23917"/>
  <c r="BN141" i="23917"/>
  <c r="BM141" i="23917"/>
  <c r="BL141" i="23917"/>
  <c r="BK141" i="23917"/>
  <c r="BJ141" i="23917"/>
  <c r="BH141" i="23917"/>
  <c r="BF141" i="23917"/>
  <c r="BD141" i="23917"/>
  <c r="BB141" i="23917"/>
  <c r="AZ141" i="23917"/>
  <c r="AX141" i="23917"/>
  <c r="AV141" i="23917"/>
  <c r="AT141" i="23917"/>
  <c r="AR141" i="23917"/>
  <c r="AP141" i="23917"/>
  <c r="AN141" i="23917"/>
  <c r="AL141" i="23917"/>
  <c r="AJ141" i="23917"/>
  <c r="AH141" i="23917"/>
  <c r="AF141" i="23917"/>
  <c r="AD141" i="23917"/>
  <c r="AB141" i="23917"/>
  <c r="Z141" i="23917"/>
  <c r="V141" i="23917"/>
  <c r="T141" i="23917"/>
  <c r="R141" i="23917"/>
  <c r="EF140" i="23917"/>
  <c r="ED140" i="23917"/>
  <c r="EB140" i="23917"/>
  <c r="DZ140" i="23917"/>
  <c r="DX140" i="23917"/>
  <c r="DV140" i="23917"/>
  <c r="DT140" i="23917"/>
  <c r="DR140" i="23917"/>
  <c r="DP140" i="23917"/>
  <c r="DN140" i="23917"/>
  <c r="DL140" i="23917"/>
  <c r="DJ140" i="23917"/>
  <c r="DH140" i="23917"/>
  <c r="DF140" i="23917"/>
  <c r="DD140" i="23917"/>
  <c r="DB140" i="23917"/>
  <c r="CZ140" i="23917"/>
  <c r="CX140" i="23917"/>
  <c r="CV140" i="23917"/>
  <c r="CT140" i="23917"/>
  <c r="CR140" i="23917"/>
  <c r="CP140" i="23917"/>
  <c r="CN140" i="23917"/>
  <c r="CL140" i="23917"/>
  <c r="CJ140" i="23917"/>
  <c r="CH140" i="23917"/>
  <c r="CF140" i="23917"/>
  <c r="CD140" i="23917"/>
  <c r="CB140" i="23917"/>
  <c r="BZ140" i="23917"/>
  <c r="BX140" i="23917"/>
  <c r="BV140" i="23917"/>
  <c r="BT140" i="23917"/>
  <c r="BR140" i="23917"/>
  <c r="BP140" i="23917"/>
  <c r="BN140" i="23917"/>
  <c r="BM140" i="23917"/>
  <c r="BL140" i="23917"/>
  <c r="BK140" i="23917"/>
  <c r="BJ140" i="23917"/>
  <c r="BH140" i="23917"/>
  <c r="BF140" i="23917"/>
  <c r="BD140" i="23917"/>
  <c r="BB140" i="23917"/>
  <c r="AZ140" i="23917"/>
  <c r="AX140" i="23917"/>
  <c r="AV140" i="23917"/>
  <c r="AT140" i="23917"/>
  <c r="AR140" i="23917"/>
  <c r="AP140" i="23917"/>
  <c r="AN140" i="23917"/>
  <c r="AL140" i="23917"/>
  <c r="AJ140" i="23917"/>
  <c r="AH140" i="23917"/>
  <c r="AF140" i="23917"/>
  <c r="AD140" i="23917"/>
  <c r="AB140" i="23917"/>
  <c r="V140" i="23917"/>
  <c r="T140" i="23917"/>
  <c r="A137" i="23917"/>
  <c r="A136" i="23917"/>
  <c r="EJ137" i="23917"/>
  <c r="EI137" i="23917"/>
  <c r="EJ136" i="23917"/>
  <c r="EI136" i="23917"/>
  <c r="DV137" i="23917"/>
  <c r="EJ133" i="23917"/>
  <c r="EI133" i="23917"/>
  <c r="A133" i="23917"/>
  <c r="EJ127" i="23917"/>
  <c r="EI127" i="23917"/>
  <c r="A127" i="23917"/>
  <c r="A125" i="23917"/>
  <c r="A124" i="23917"/>
  <c r="A123" i="23917"/>
  <c r="A122" i="23917"/>
  <c r="A121" i="23917"/>
  <c r="EJ125" i="23917"/>
  <c r="EI125" i="23917"/>
  <c r="EO124" i="23917"/>
  <c r="EM124" i="23917"/>
  <c r="EK124" i="23917"/>
  <c r="EJ124" i="23917"/>
  <c r="EI124" i="23917"/>
  <c r="EJ123" i="23917"/>
  <c r="EI123" i="23917"/>
  <c r="EO122" i="23917"/>
  <c r="EM122" i="23917"/>
  <c r="EK122" i="23917"/>
  <c r="EJ122" i="23917"/>
  <c r="EI122" i="23917"/>
  <c r="EO121" i="23917"/>
  <c r="EM121" i="23917"/>
  <c r="EK121" i="23917"/>
  <c r="EJ121" i="23917"/>
  <c r="EI121" i="23917"/>
  <c r="DT124" i="23917"/>
  <c r="DR124" i="23917"/>
  <c r="DP124" i="23917"/>
  <c r="DN124" i="23917"/>
  <c r="DL124" i="23917"/>
  <c r="DJ124" i="23917"/>
  <c r="DH124" i="23917"/>
  <c r="DF124" i="23917"/>
  <c r="DD124" i="23917"/>
  <c r="DB124" i="23917"/>
  <c r="CZ124" i="23917"/>
  <c r="CX124" i="23917"/>
  <c r="CV124" i="23917"/>
  <c r="CT124" i="23917"/>
  <c r="CR124" i="23917"/>
  <c r="CP124" i="23917"/>
  <c r="CN124" i="23917"/>
  <c r="BT124" i="23917"/>
  <c r="AN124" i="23917"/>
  <c r="AL124" i="23917"/>
  <c r="AJ124" i="23917"/>
  <c r="AH124" i="23917"/>
  <c r="AF124" i="23917"/>
  <c r="AB124" i="23917"/>
  <c r="V124" i="23917"/>
  <c r="T124" i="23917"/>
  <c r="DT122" i="23917"/>
  <c r="DR122" i="23917"/>
  <c r="DP122" i="23917"/>
  <c r="DN122" i="23917"/>
  <c r="DL122" i="23917"/>
  <c r="DJ122" i="23917"/>
  <c r="DH122" i="23917"/>
  <c r="DF122" i="23917"/>
  <c r="DD122" i="23917"/>
  <c r="DB122" i="23917"/>
  <c r="CZ122" i="23917"/>
  <c r="CX122" i="23917"/>
  <c r="CV122" i="23917"/>
  <c r="CT122" i="23917"/>
  <c r="CR122" i="23917"/>
  <c r="CP122" i="23917"/>
  <c r="CN122" i="23917"/>
  <c r="CL122" i="23917"/>
  <c r="CJ122" i="23917"/>
  <c r="CH122" i="23917"/>
  <c r="CF122" i="23917"/>
  <c r="CD122" i="23917"/>
  <c r="CB122" i="23917"/>
  <c r="BZ122" i="23917"/>
  <c r="BX122" i="23917"/>
  <c r="BV122" i="23917"/>
  <c r="BT122" i="23917"/>
  <c r="BR122" i="23917"/>
  <c r="BP122" i="23917"/>
  <c r="BL122" i="23917"/>
  <c r="BJ122" i="23917"/>
  <c r="BH122" i="23917"/>
  <c r="BF122" i="23917"/>
  <c r="BD122" i="23917"/>
  <c r="BB122" i="23917"/>
  <c r="AZ122" i="23917"/>
  <c r="AX122" i="23917"/>
  <c r="AV122" i="23917"/>
  <c r="AT122" i="23917"/>
  <c r="AR122" i="23917"/>
  <c r="AP122" i="23917"/>
  <c r="AN122" i="23917"/>
  <c r="AL122" i="23917"/>
  <c r="AJ122" i="23917"/>
  <c r="AH122" i="23917"/>
  <c r="AF122" i="23917"/>
  <c r="AD122" i="23917"/>
  <c r="AB122" i="23917"/>
  <c r="V122" i="23917"/>
  <c r="T122" i="23917"/>
  <c r="DT121" i="23917"/>
  <c r="DR121" i="23917"/>
  <c r="DP121" i="23917"/>
  <c r="DN121" i="23917"/>
  <c r="DL121" i="23917"/>
  <c r="DJ121" i="23917"/>
  <c r="DH121" i="23917"/>
  <c r="DF121" i="23917"/>
  <c r="DD121" i="23917"/>
  <c r="DB121" i="23917"/>
  <c r="CZ121" i="23917"/>
  <c r="CX121" i="23917"/>
  <c r="CV121" i="23917"/>
  <c r="CT121" i="23917"/>
  <c r="CR121" i="23917"/>
  <c r="CP121" i="23917"/>
  <c r="CN121" i="23917"/>
  <c r="CL121" i="23917"/>
  <c r="CJ121" i="23917"/>
  <c r="CH121" i="23917"/>
  <c r="CF121" i="23917"/>
  <c r="CD121" i="23917"/>
  <c r="CB121" i="23917"/>
  <c r="BZ121" i="23917"/>
  <c r="BX121" i="23917"/>
  <c r="BV121" i="23917"/>
  <c r="BT121" i="23917"/>
  <c r="BR121" i="23917"/>
  <c r="BP121" i="23917"/>
  <c r="BN121" i="23917"/>
  <c r="BL121" i="23917"/>
  <c r="BJ121" i="23917"/>
  <c r="BH121" i="23917"/>
  <c r="BF121" i="23917"/>
  <c r="BD121" i="23917"/>
  <c r="BB121" i="23917"/>
  <c r="AZ121" i="23917"/>
  <c r="AX121" i="23917"/>
  <c r="AV121" i="23917"/>
  <c r="AT121" i="23917"/>
  <c r="AP121" i="23917"/>
  <c r="AN121" i="23917"/>
  <c r="AJ121" i="23917"/>
  <c r="AB121" i="23917"/>
  <c r="V121" i="23917"/>
  <c r="T121" i="23917"/>
  <c r="A118" i="23917"/>
  <c r="A117" i="23917"/>
  <c r="A116" i="23917"/>
  <c r="A115" i="23917"/>
  <c r="EJ118" i="23917"/>
  <c r="EI118" i="23917"/>
  <c r="EO117" i="23917"/>
  <c r="EM117" i="23917"/>
  <c r="EK117" i="23917"/>
  <c r="EJ117" i="23917"/>
  <c r="EI117" i="23917"/>
  <c r="FE116" i="23917"/>
  <c r="EO116" i="23917"/>
  <c r="EM116" i="23917"/>
  <c r="EK116" i="23917"/>
  <c r="EJ116" i="23917"/>
  <c r="EI116" i="23917"/>
  <c r="EO115" i="23917"/>
  <c r="EM115" i="23917"/>
  <c r="EK115" i="23917"/>
  <c r="EJ115" i="23917"/>
  <c r="EI115" i="23917"/>
  <c r="DT117" i="23917"/>
  <c r="DR117" i="23917"/>
  <c r="DP117" i="23917"/>
  <c r="DN117" i="23917"/>
  <c r="DL117" i="23917"/>
  <c r="DJ117" i="23917"/>
  <c r="DH117" i="23917"/>
  <c r="DF117" i="23917"/>
  <c r="DD117" i="23917"/>
  <c r="DB117" i="23917"/>
  <c r="CZ117" i="23917"/>
  <c r="CX117" i="23917"/>
  <c r="CV117" i="23917"/>
  <c r="CT117" i="23917"/>
  <c r="CR117" i="23917"/>
  <c r="CP117" i="23917"/>
  <c r="CN117" i="23917"/>
  <c r="CL117" i="23917"/>
  <c r="CJ117" i="23917"/>
  <c r="CH117" i="23917"/>
  <c r="CF117" i="23917"/>
  <c r="CD117" i="23917"/>
  <c r="CB117" i="23917"/>
  <c r="BZ117" i="23917"/>
  <c r="BX117" i="23917"/>
  <c r="BV117" i="23917"/>
  <c r="BT117" i="23917"/>
  <c r="BR117" i="23917"/>
  <c r="BP117" i="23917"/>
  <c r="BN117" i="23917"/>
  <c r="BL117" i="23917"/>
  <c r="BJ117" i="23917"/>
  <c r="BH117" i="23917"/>
  <c r="BF117" i="23917"/>
  <c r="BD117" i="23917"/>
  <c r="AZ117" i="23917"/>
  <c r="AX117" i="23917"/>
  <c r="AT117" i="23917"/>
  <c r="AN117" i="23917"/>
  <c r="AL117" i="23917"/>
  <c r="AJ117" i="23917"/>
  <c r="AH117" i="23917"/>
  <c r="AF117" i="23917"/>
  <c r="AB117" i="23917"/>
  <c r="V117" i="23917"/>
  <c r="T117" i="23917"/>
  <c r="DT116" i="23917"/>
  <c r="DR116" i="23917"/>
  <c r="DP116" i="23917"/>
  <c r="DN116" i="23917"/>
  <c r="DL116" i="23917"/>
  <c r="DJ116" i="23917"/>
  <c r="DH116" i="23917"/>
  <c r="DF116" i="23917"/>
  <c r="DD116" i="23917"/>
  <c r="DB116" i="23917"/>
  <c r="CZ116" i="23917"/>
  <c r="CX116" i="23917"/>
  <c r="CV116" i="23917"/>
  <c r="CT116" i="23917"/>
  <c r="CR116" i="23917"/>
  <c r="CP116" i="23917"/>
  <c r="CN116" i="23917"/>
  <c r="CL116" i="23917"/>
  <c r="CJ116" i="23917"/>
  <c r="CH116" i="23917"/>
  <c r="CF116" i="23917"/>
  <c r="CD116" i="23917"/>
  <c r="CB116" i="23917"/>
  <c r="BZ116" i="23917"/>
  <c r="BX116" i="23917"/>
  <c r="BV116" i="23917"/>
  <c r="BT116" i="23917"/>
  <c r="BR116" i="23917"/>
  <c r="BP116" i="23917"/>
  <c r="BN116" i="23917"/>
  <c r="BL116" i="23917"/>
  <c r="BJ116" i="23917"/>
  <c r="BH116" i="23917"/>
  <c r="BF116" i="23917"/>
  <c r="BD116" i="23917"/>
  <c r="AN116" i="23917"/>
  <c r="AL116" i="23917"/>
  <c r="AJ116" i="23917"/>
  <c r="AH116" i="23917"/>
  <c r="AF116" i="23917"/>
  <c r="AD116" i="23917"/>
  <c r="AB116" i="23917"/>
  <c r="V116" i="23917"/>
  <c r="T116" i="23917"/>
  <c r="DT115" i="23917"/>
  <c r="DR115" i="23917"/>
  <c r="DP115" i="23917"/>
  <c r="DN115" i="23917"/>
  <c r="DL115" i="23917"/>
  <c r="DJ115" i="23917"/>
  <c r="DH115" i="23917"/>
  <c r="DF115" i="23917"/>
  <c r="DD115" i="23917"/>
  <c r="DB115" i="23917"/>
  <c r="CZ115" i="23917"/>
  <c r="CX115" i="23917"/>
  <c r="CV115" i="23917"/>
  <c r="CT115" i="23917"/>
  <c r="CR115" i="23917"/>
  <c r="CP115" i="23917"/>
  <c r="CN115" i="23917"/>
  <c r="CL115" i="23917"/>
  <c r="CJ115" i="23917"/>
  <c r="CH115" i="23917"/>
  <c r="CF115" i="23917"/>
  <c r="CD115" i="23917"/>
  <c r="CB115" i="23917"/>
  <c r="BZ115" i="23917"/>
  <c r="BX115" i="23917"/>
  <c r="BV115" i="23917"/>
  <c r="BT115" i="23917"/>
  <c r="BR115" i="23917"/>
  <c r="BP115" i="23917"/>
  <c r="BN115" i="23917"/>
  <c r="BL115" i="23917"/>
  <c r="BJ115" i="23917"/>
  <c r="BH115" i="23917"/>
  <c r="BF115" i="23917"/>
  <c r="BD115" i="23917"/>
  <c r="BB115" i="23917"/>
  <c r="AZ115" i="23917"/>
  <c r="AX115" i="23917"/>
  <c r="AV115" i="23917"/>
  <c r="AT115" i="23917"/>
  <c r="AR115" i="23917"/>
  <c r="AP115" i="23917"/>
  <c r="AN115" i="23917"/>
  <c r="AL115" i="23917"/>
  <c r="AJ115" i="23917"/>
  <c r="AH115" i="23917"/>
  <c r="AF115" i="23917"/>
  <c r="AD115" i="23917"/>
  <c r="AB115" i="23917"/>
  <c r="V115" i="23917"/>
  <c r="GA110" i="23917"/>
  <c r="A110" i="23917"/>
  <c r="A108" i="23917"/>
  <c r="A104" i="23917"/>
  <c r="BZ102" i="23917"/>
  <c r="AL102" i="23917"/>
  <c r="AJ102" i="23917"/>
  <c r="AH102" i="23917"/>
  <c r="AF102" i="23917"/>
  <c r="AD102" i="23917"/>
  <c r="AB102" i="23917"/>
  <c r="Z102" i="23917"/>
  <c r="X102" i="23917"/>
  <c r="V102" i="23917"/>
  <c r="T102" i="23917"/>
  <c r="R102" i="23917"/>
  <c r="P102" i="23917"/>
  <c r="N102" i="23917"/>
  <c r="L102" i="23917"/>
  <c r="J102" i="23917"/>
  <c r="H102" i="23917"/>
  <c r="F102" i="23917"/>
  <c r="D102" i="23917"/>
  <c r="B102" i="23917"/>
  <c r="A102" i="23917"/>
  <c r="A101" i="23917"/>
  <c r="A100" i="23917"/>
  <c r="A99" i="23917"/>
  <c r="A98" i="23917"/>
  <c r="A97" i="23917"/>
  <c r="A96" i="23917"/>
  <c r="DT95" i="23917"/>
  <c r="DP95" i="23917"/>
  <c r="DN95" i="23917"/>
  <c r="DL95" i="23917"/>
  <c r="DJ95" i="23917"/>
  <c r="DH95" i="23917"/>
  <c r="DF95" i="23917"/>
  <c r="DD95" i="23917"/>
  <c r="DB95" i="23917"/>
  <c r="CZ95" i="23917"/>
  <c r="CV95" i="23917"/>
  <c r="CT95" i="23917"/>
  <c r="CR95" i="23917"/>
  <c r="CP95" i="23917"/>
  <c r="CN95" i="23917"/>
  <c r="CL95" i="23917"/>
  <c r="CJ95" i="23917"/>
  <c r="CH95" i="23917"/>
  <c r="CF95" i="23917"/>
  <c r="CD95" i="23917"/>
  <c r="CB95" i="23917"/>
  <c r="BZ95" i="23917"/>
  <c r="BX95" i="23917"/>
  <c r="BV95" i="23917"/>
  <c r="BT95" i="23917"/>
  <c r="BR95" i="23917"/>
  <c r="BP95" i="23917"/>
  <c r="BN95" i="23917"/>
  <c r="BL95" i="23917"/>
  <c r="BJ95" i="23917"/>
  <c r="BH95" i="23917"/>
  <c r="BF95" i="23917"/>
  <c r="BD95" i="23917"/>
  <c r="BB95" i="23917"/>
  <c r="AZ95" i="23917"/>
  <c r="AX95" i="23917"/>
  <c r="AV95" i="23917"/>
  <c r="AT95" i="23917"/>
  <c r="AR95" i="23917"/>
  <c r="AP95" i="23917"/>
  <c r="AN95" i="23917"/>
  <c r="AL95" i="23917"/>
  <c r="AJ95" i="23917"/>
  <c r="AH95" i="23917"/>
  <c r="AF95" i="23917"/>
  <c r="AD95" i="23917"/>
  <c r="AB95" i="23917"/>
  <c r="Z95" i="23917"/>
  <c r="X95" i="23917"/>
  <c r="V95" i="23917"/>
  <c r="T95" i="23917"/>
  <c r="R95" i="23917"/>
  <c r="P95" i="23917"/>
  <c r="N95" i="23917"/>
  <c r="L95" i="23917"/>
  <c r="J95" i="23917"/>
  <c r="H95" i="23917"/>
  <c r="F95" i="23917"/>
  <c r="D95" i="23917"/>
  <c r="B95" i="23917"/>
  <c r="A95" i="23917"/>
  <c r="DJ94" i="23917"/>
  <c r="CT94" i="23917"/>
  <c r="CD94" i="23917"/>
  <c r="BN94" i="23917"/>
  <c r="AX94" i="23917"/>
  <c r="AL94" i="23917"/>
  <c r="AJ94" i="23917"/>
  <c r="AH94" i="23917"/>
  <c r="AF94" i="23917"/>
  <c r="AD94" i="23917"/>
  <c r="AB94" i="23917"/>
  <c r="Z94" i="23917"/>
  <c r="X94" i="23917"/>
  <c r="V94" i="23917"/>
  <c r="T94" i="23917"/>
  <c r="R94" i="23917"/>
  <c r="P94" i="23917"/>
  <c r="N94" i="23917"/>
  <c r="L94" i="23917"/>
  <c r="J94" i="23917"/>
  <c r="H94" i="23917"/>
  <c r="F94" i="23917"/>
  <c r="D94" i="23917"/>
  <c r="B94" i="23917"/>
  <c r="A94" i="23917"/>
  <c r="DT93" i="23917"/>
  <c r="DR93" i="23917"/>
  <c r="DP93" i="23917"/>
  <c r="DN93" i="23917"/>
  <c r="DL93" i="23917"/>
  <c r="DJ93" i="23917"/>
  <c r="DH93" i="23917"/>
  <c r="DF93" i="23917"/>
  <c r="DD93" i="23917"/>
  <c r="DB93" i="23917"/>
  <c r="CZ93" i="23917"/>
  <c r="CX93" i="23917"/>
  <c r="CV93" i="23917"/>
  <c r="CT93" i="23917"/>
  <c r="CR93" i="23917"/>
  <c r="CP93" i="23917"/>
  <c r="CN93" i="23917"/>
  <c r="CL93" i="23917"/>
  <c r="CJ93" i="23917"/>
  <c r="CH93" i="23917"/>
  <c r="CF93" i="23917"/>
  <c r="CD93" i="23917"/>
  <c r="CB93" i="23917"/>
  <c r="BZ93" i="23917"/>
  <c r="BX93" i="23917"/>
  <c r="BV93" i="23917"/>
  <c r="BT93" i="23917"/>
  <c r="BR93" i="23917"/>
  <c r="BP93" i="23917"/>
  <c r="BN93" i="23917"/>
  <c r="BL93" i="23917"/>
  <c r="BJ93" i="23917"/>
  <c r="BH93" i="23917"/>
  <c r="BF93" i="23917"/>
  <c r="BD93" i="23917"/>
  <c r="BB93" i="23917"/>
  <c r="AZ93" i="23917"/>
  <c r="AX93" i="23917"/>
  <c r="AV93" i="23917"/>
  <c r="AT93" i="23917"/>
  <c r="AR93" i="23917"/>
  <c r="AP93" i="23917"/>
  <c r="AN93" i="23917"/>
  <c r="AL93" i="23917"/>
  <c r="AJ93" i="23917"/>
  <c r="AH93" i="23917"/>
  <c r="AF93" i="23917"/>
  <c r="AD93" i="23917"/>
  <c r="AB93" i="23917"/>
  <c r="Z93" i="23917"/>
  <c r="X93" i="23917"/>
  <c r="V93" i="23917"/>
  <c r="T93" i="23917"/>
  <c r="R93" i="23917"/>
  <c r="P93" i="23917"/>
  <c r="N93" i="23917"/>
  <c r="L93" i="23917"/>
  <c r="J93" i="23917"/>
  <c r="H93" i="23917"/>
  <c r="F93" i="23917"/>
  <c r="D93" i="23917"/>
  <c r="B93" i="23917"/>
  <c r="A93" i="23917"/>
  <c r="A92" i="23917"/>
  <c r="BZ90" i="23917"/>
  <c r="P90" i="23917"/>
  <c r="N90" i="23917"/>
  <c r="L90" i="23917"/>
  <c r="J90" i="23917"/>
  <c r="H90" i="23917"/>
  <c r="F90" i="23917"/>
  <c r="D90" i="23917"/>
  <c r="B90" i="23917"/>
  <c r="A90" i="23917"/>
  <c r="A89" i="23917"/>
  <c r="A88" i="23917"/>
  <c r="A87" i="23917"/>
  <c r="A86" i="23917"/>
  <c r="A85" i="23917"/>
  <c r="A84" i="23917"/>
  <c r="A83" i="23917"/>
  <c r="DJ82" i="23917"/>
  <c r="CT82" i="23917"/>
  <c r="CD82" i="23917"/>
  <c r="BN82" i="23917"/>
  <c r="AX82" i="23917"/>
  <c r="AL82" i="23917"/>
  <c r="AJ82" i="23917"/>
  <c r="AH82" i="23917"/>
  <c r="AF82" i="23917"/>
  <c r="AD82" i="23917"/>
  <c r="AB82" i="23917"/>
  <c r="Z82" i="23917"/>
  <c r="X82" i="23917"/>
  <c r="V82" i="23917"/>
  <c r="T82" i="23917"/>
  <c r="R82" i="23917"/>
  <c r="P82" i="23917"/>
  <c r="N82" i="23917"/>
  <c r="L82" i="23917"/>
  <c r="J82" i="23917"/>
  <c r="H82" i="23917"/>
  <c r="F82" i="23917"/>
  <c r="D82" i="23917"/>
  <c r="B82" i="23917"/>
  <c r="A82" i="23917"/>
  <c r="A81" i="23917"/>
  <c r="A80" i="23917"/>
  <c r="A77" i="23917"/>
  <c r="A76" i="23917"/>
  <c r="A75" i="23917"/>
  <c r="A74" i="23917"/>
  <c r="A73" i="23917"/>
  <c r="A72" i="23917"/>
  <c r="A71" i="23917"/>
  <c r="A70" i="23917"/>
  <c r="A69" i="23917"/>
  <c r="EO66" i="23917"/>
  <c r="EM66" i="23917"/>
  <c r="DT66" i="23917"/>
  <c r="DR66" i="23917"/>
  <c r="DP66" i="23917"/>
  <c r="DN66" i="23917"/>
  <c r="DL66" i="23917"/>
  <c r="DJ66" i="23917"/>
  <c r="DH66" i="23917"/>
  <c r="DF66" i="23917"/>
  <c r="DD66" i="23917"/>
  <c r="DB66" i="23917"/>
  <c r="CZ66" i="23917"/>
  <c r="CX66" i="23917"/>
  <c r="CV66" i="23917"/>
  <c r="CT66" i="23917"/>
  <c r="CR66" i="23917"/>
  <c r="CP66" i="23917"/>
  <c r="CN66" i="23917"/>
  <c r="CL66" i="23917"/>
  <c r="CJ66" i="23917"/>
  <c r="CH66" i="23917"/>
  <c r="CF66" i="23917"/>
  <c r="CD66" i="23917"/>
  <c r="CB66" i="23917"/>
  <c r="BZ66" i="23917"/>
  <c r="BX66" i="23917"/>
  <c r="BV66" i="23917"/>
  <c r="BT66" i="23917"/>
  <c r="BR66" i="23917"/>
  <c r="BP66" i="23917"/>
  <c r="BN66" i="23917"/>
  <c r="BL66" i="23917"/>
  <c r="BJ66" i="23917"/>
  <c r="BH66" i="23917"/>
  <c r="BF66" i="23917"/>
  <c r="BD66" i="23917"/>
  <c r="BB66" i="23917"/>
  <c r="AZ66" i="23917"/>
  <c r="AX66" i="23917"/>
  <c r="AV66" i="23917"/>
  <c r="AT66" i="23917"/>
  <c r="AR66" i="23917"/>
  <c r="AP66" i="23917"/>
  <c r="AN66" i="23917"/>
  <c r="AL66" i="23917"/>
  <c r="AJ66" i="23917"/>
  <c r="AH66" i="23917"/>
  <c r="AF66" i="23917"/>
  <c r="AD66" i="23917"/>
  <c r="AB66" i="23917"/>
  <c r="Z66" i="23917"/>
  <c r="X66" i="23917"/>
  <c r="V66" i="23917"/>
  <c r="T66" i="23917"/>
  <c r="R66" i="23917"/>
  <c r="P66" i="23917"/>
  <c r="N66" i="23917"/>
  <c r="L66" i="23917"/>
  <c r="J66" i="23917"/>
  <c r="H66" i="23917"/>
  <c r="F66" i="23917"/>
  <c r="D66" i="23917"/>
  <c r="B66" i="23917"/>
  <c r="A66" i="23917"/>
  <c r="DT65" i="23917"/>
  <c r="DR65" i="23917"/>
  <c r="DP65" i="23917"/>
  <c r="DN65" i="23917"/>
  <c r="DL65" i="23917"/>
  <c r="DJ65" i="23917"/>
  <c r="DH65" i="23917"/>
  <c r="DF65" i="23917"/>
  <c r="DD65" i="23917"/>
  <c r="DB65" i="23917"/>
  <c r="CZ65" i="23917"/>
  <c r="CX65" i="23917"/>
  <c r="CV65" i="23917"/>
  <c r="CT65" i="23917"/>
  <c r="CR65" i="23917"/>
  <c r="CP65" i="23917"/>
  <c r="CN65" i="23917"/>
  <c r="CL65" i="23917"/>
  <c r="CJ65" i="23917"/>
  <c r="CH65" i="23917"/>
  <c r="CF65" i="23917"/>
  <c r="CD65" i="23917"/>
  <c r="CB65" i="23917"/>
  <c r="BZ65" i="23917"/>
  <c r="BX65" i="23917"/>
  <c r="BV65" i="23917"/>
  <c r="BT65" i="23917"/>
  <c r="BR65" i="23917"/>
  <c r="BP65" i="23917"/>
  <c r="BN65" i="23917"/>
  <c r="BL65" i="23917"/>
  <c r="BJ65" i="23917"/>
  <c r="BH65" i="23917"/>
  <c r="BF65" i="23917"/>
  <c r="BD65" i="23917"/>
  <c r="BB65" i="23917"/>
  <c r="AZ65" i="23917"/>
  <c r="AX65" i="23917"/>
  <c r="AV65" i="23917"/>
  <c r="AT65" i="23917"/>
  <c r="AR65" i="23917"/>
  <c r="AP65" i="23917"/>
  <c r="AN65" i="23917"/>
  <c r="AL65" i="23917"/>
  <c r="AJ65" i="23917"/>
  <c r="AH65" i="23917"/>
  <c r="AF65" i="23917"/>
  <c r="AD65" i="23917"/>
  <c r="AB65" i="23917"/>
  <c r="Z65" i="23917"/>
  <c r="X65" i="23917"/>
  <c r="V65" i="23917"/>
  <c r="T65" i="23917"/>
  <c r="R65" i="23917"/>
  <c r="P65" i="23917"/>
  <c r="N65" i="23917"/>
  <c r="L65" i="23917"/>
  <c r="J65" i="23917"/>
  <c r="H65" i="23917"/>
  <c r="F65" i="23917"/>
  <c r="D65" i="23917"/>
  <c r="B65" i="23917"/>
  <c r="A65" i="23917"/>
  <c r="GA60" i="23917"/>
  <c r="A60" i="23917"/>
  <c r="A58" i="23917"/>
  <c r="A53" i="23917"/>
  <c r="DV52" i="23917"/>
  <c r="DT52" i="23917"/>
  <c r="DR52" i="23917"/>
  <c r="DP52" i="23917"/>
  <c r="DN52" i="23917"/>
  <c r="DL52" i="23917"/>
  <c r="DJ52" i="23917"/>
  <c r="DH52" i="23917"/>
  <c r="DF52" i="23917"/>
  <c r="DD52" i="23917"/>
  <c r="DB52" i="23917"/>
  <c r="CZ52" i="23917"/>
  <c r="CX52" i="23917"/>
  <c r="CV52" i="23917"/>
  <c r="CT52" i="23917"/>
  <c r="CR52" i="23917"/>
  <c r="CP52" i="23917"/>
  <c r="CN52" i="23917"/>
  <c r="CL52" i="23917"/>
  <c r="CJ52" i="23917"/>
  <c r="CH52" i="23917"/>
  <c r="CF52" i="23917"/>
  <c r="CD52" i="23917"/>
  <c r="CB52" i="23917"/>
  <c r="BZ52" i="23917"/>
  <c r="BX52" i="23917"/>
  <c r="BV52" i="23917"/>
  <c r="BT52" i="23917"/>
  <c r="BR52" i="23917"/>
  <c r="BP52" i="23917"/>
  <c r="BN52" i="23917"/>
  <c r="BL52" i="23917"/>
  <c r="BJ52" i="23917"/>
  <c r="BH52" i="23917"/>
  <c r="BF52" i="23917"/>
  <c r="BD52" i="23917"/>
  <c r="BB52" i="23917"/>
  <c r="AZ52" i="23917"/>
  <c r="AX52" i="23917"/>
  <c r="AV52" i="23917"/>
  <c r="AT52" i="23917"/>
  <c r="AR52" i="23917"/>
  <c r="AP52" i="23917"/>
  <c r="AN52" i="23917"/>
  <c r="AL52" i="23917"/>
  <c r="AJ52" i="23917"/>
  <c r="AH52" i="23917"/>
  <c r="AF52" i="23917"/>
  <c r="AD52" i="23917"/>
  <c r="AB52" i="23917"/>
  <c r="Z52" i="23917"/>
  <c r="X52" i="23917"/>
  <c r="V52" i="23917"/>
  <c r="T52" i="23917"/>
  <c r="R52" i="23917"/>
  <c r="P52" i="23917"/>
  <c r="N52" i="23917"/>
  <c r="L52" i="23917"/>
  <c r="J52" i="23917"/>
  <c r="H52" i="23917"/>
  <c r="F52" i="23917"/>
  <c r="D52" i="23917"/>
  <c r="B52" i="23917"/>
  <c r="A52" i="23917"/>
  <c r="A51" i="23917"/>
  <c r="A49" i="23917"/>
  <c r="A48" i="23917"/>
  <c r="A47" i="23917"/>
  <c r="A46" i="23917"/>
  <c r="A43" i="23917"/>
  <c r="FE39" i="23917"/>
  <c r="FE38" i="23917"/>
  <c r="DZ39" i="23917"/>
  <c r="DT39" i="23917"/>
  <c r="DR39" i="23917"/>
  <c r="DR38" i="23917"/>
  <c r="DN38" i="23917"/>
  <c r="DL38" i="23917"/>
  <c r="DJ38" i="23917"/>
  <c r="DH39" i="23917"/>
  <c r="DH38" i="23917"/>
  <c r="DF38" i="23917"/>
  <c r="DD38" i="23917"/>
  <c r="DB38" i="23917"/>
  <c r="CZ39" i="23917"/>
  <c r="CZ38" i="23917"/>
  <c r="CX38" i="23917"/>
  <c r="CV38" i="23917"/>
  <c r="CT38" i="23917"/>
  <c r="CR39" i="23917"/>
  <c r="CR38" i="23917"/>
  <c r="CP38" i="23917"/>
  <c r="CN38" i="23917"/>
  <c r="CL38" i="23917"/>
  <c r="CJ39" i="23917"/>
  <c r="CB39" i="23917"/>
  <c r="CY39" i="23917"/>
  <c r="CY38" i="23917"/>
  <c r="CW39" i="23917"/>
  <c r="CW38" i="23917"/>
  <c r="CU39" i="23917"/>
  <c r="CU38" i="23917"/>
  <c r="CS39" i="23917"/>
  <c r="CS38" i="23917"/>
  <c r="CQ39" i="23917"/>
  <c r="CQ38" i="23917"/>
  <c r="CO39" i="23917"/>
  <c r="CO38" i="23917"/>
  <c r="CM39" i="23917"/>
  <c r="CM38" i="23917"/>
  <c r="A40" i="23917"/>
  <c r="BN39" i="23917"/>
  <c r="BL39" i="23917"/>
  <c r="AN39" i="23917"/>
  <c r="AF39" i="23917"/>
  <c r="T39" i="23917"/>
  <c r="P39" i="23917"/>
  <c r="N39" i="23917"/>
  <c r="L39" i="23917"/>
  <c r="J39" i="23917"/>
  <c r="H39" i="23917"/>
  <c r="F39" i="23917"/>
  <c r="D39" i="23917"/>
  <c r="B39" i="23917"/>
  <c r="A39" i="23917"/>
  <c r="A38" i="23917"/>
  <c r="EZ36" i="23917"/>
  <c r="EY36" i="23917"/>
  <c r="EX36" i="23917"/>
  <c r="EW36" i="23917"/>
  <c r="A33" i="23917"/>
  <c r="DT27" i="23917"/>
  <c r="DR27" i="23917"/>
  <c r="DP27" i="23917"/>
  <c r="DN27" i="23917"/>
  <c r="DL27" i="23917"/>
  <c r="DJ27" i="23917"/>
  <c r="DH27" i="23917"/>
  <c r="DF27" i="23917"/>
  <c r="DD27" i="23917"/>
  <c r="DB27" i="23917"/>
  <c r="CZ27" i="23917"/>
  <c r="CX27" i="23917"/>
  <c r="CV27" i="23917"/>
  <c r="CT27" i="23917"/>
  <c r="CR27" i="23917"/>
  <c r="CP27" i="23917"/>
  <c r="CN27" i="23917"/>
  <c r="CL27" i="23917"/>
  <c r="CJ27" i="23917"/>
  <c r="CH27" i="23917"/>
  <c r="CF27" i="23917"/>
  <c r="CD27" i="23917"/>
  <c r="A28" i="23917"/>
  <c r="A27" i="23917"/>
  <c r="EO27" i="23917"/>
  <c r="EM27" i="23917"/>
  <c r="BF28" i="23917"/>
  <c r="BD28" i="23917"/>
  <c r="BB28" i="23917"/>
  <c r="AZ28" i="23917"/>
  <c r="AX28" i="23917"/>
  <c r="AV28" i="23917"/>
  <c r="AT28" i="23917"/>
  <c r="AR28" i="23917"/>
  <c r="AN28" i="23917"/>
  <c r="CB27" i="23917"/>
  <c r="BZ27" i="23917"/>
  <c r="BX27" i="23917"/>
  <c r="BV27" i="23917"/>
  <c r="BT27" i="23917"/>
  <c r="BR27" i="23917"/>
  <c r="BP27" i="23917"/>
  <c r="BN27" i="23917"/>
  <c r="BL27" i="23917"/>
  <c r="BJ27" i="23917"/>
  <c r="BH27" i="23917"/>
  <c r="BF27" i="23917"/>
  <c r="BD27" i="23917"/>
  <c r="BB27" i="23917"/>
  <c r="AZ27" i="23917"/>
  <c r="AX27" i="23917"/>
  <c r="AV27" i="23917"/>
  <c r="AT27" i="23917"/>
  <c r="AR27" i="23917"/>
  <c r="AP27" i="23917"/>
  <c r="AN27" i="23917"/>
  <c r="AL27" i="23917"/>
  <c r="AJ27" i="23917"/>
  <c r="AH27" i="23917"/>
  <c r="AF27" i="23917"/>
  <c r="AD27" i="23917"/>
  <c r="AB27" i="23917"/>
  <c r="Z27" i="23917"/>
  <c r="X27" i="23917"/>
  <c r="V27" i="23917"/>
  <c r="T27" i="23917"/>
  <c r="R27" i="23917"/>
  <c r="P27" i="23917"/>
  <c r="N27" i="23917"/>
  <c r="L27" i="23917"/>
  <c r="J27" i="23917"/>
  <c r="H27" i="23917"/>
  <c r="F27" i="23917"/>
  <c r="D27" i="23917"/>
  <c r="B27" i="23917"/>
  <c r="FE24" i="23917"/>
  <c r="DZ23" i="23917"/>
  <c r="DT22" i="23917"/>
  <c r="DR22" i="23917"/>
  <c r="DP22" i="23917"/>
  <c r="DN22" i="23917"/>
  <c r="DL22" i="23917"/>
  <c r="DJ22" i="23917"/>
  <c r="DH22" i="23917"/>
  <c r="DF22" i="23917"/>
  <c r="DD22" i="23917"/>
  <c r="DB22" i="23917"/>
  <c r="CZ22" i="23917"/>
  <c r="CX22" i="23917"/>
  <c r="CV22" i="23917"/>
  <c r="CT22" i="23917"/>
  <c r="CR22" i="23917"/>
  <c r="CP22" i="23917"/>
  <c r="CN22" i="23917"/>
  <c r="CL22" i="23917"/>
  <c r="CJ22" i="23917"/>
  <c r="CH22" i="23917"/>
  <c r="CF22" i="23917"/>
  <c r="CD22" i="23917"/>
  <c r="CB22" i="23917"/>
  <c r="BZ22" i="23917"/>
  <c r="BX22" i="23917"/>
  <c r="BV22" i="23917"/>
  <c r="A24" i="23917"/>
  <c r="A23" i="23917"/>
  <c r="BT22" i="23917"/>
  <c r="BR22" i="23917"/>
  <c r="BP22" i="23917"/>
  <c r="BL22" i="23917"/>
  <c r="BJ22" i="23917"/>
  <c r="BH22" i="23917"/>
  <c r="BF22" i="23917"/>
  <c r="BD22" i="23917"/>
  <c r="BB22" i="23917"/>
  <c r="AZ22" i="23917"/>
  <c r="AX22" i="23917"/>
  <c r="AT22" i="23917"/>
  <c r="AP22" i="23917"/>
  <c r="AN22" i="23917"/>
  <c r="AF22" i="23917"/>
  <c r="AD22" i="23917"/>
  <c r="AB22" i="23917"/>
  <c r="Z22" i="23917"/>
  <c r="X22" i="23917"/>
  <c r="V22" i="23917"/>
  <c r="T22" i="23917"/>
  <c r="R22" i="23917"/>
  <c r="P22" i="23917"/>
  <c r="A22" i="23917"/>
  <c r="H20" i="23917"/>
  <c r="F20" i="23917"/>
  <c r="D20" i="23917"/>
  <c r="B20" i="23917"/>
  <c r="A20" i="23917"/>
  <c r="A17" i="23917"/>
  <c r="A15" i="23917"/>
  <c r="A14" i="23917"/>
  <c r="A13" i="23917"/>
  <c r="I12" i="23917"/>
  <c r="G12" i="23917"/>
  <c r="E12" i="23917"/>
  <c r="C12" i="23917"/>
  <c r="A12" i="23917"/>
  <c r="A11" i="23917"/>
  <c r="K10" i="23917"/>
  <c r="I10" i="23917"/>
  <c r="G10" i="23917"/>
  <c r="E10" i="23917"/>
  <c r="C10" i="23917"/>
  <c r="A10" i="23917"/>
  <c r="K9" i="23917"/>
  <c r="I9" i="23917"/>
  <c r="G9" i="23917"/>
  <c r="E9" i="23917"/>
  <c r="C9" i="23917"/>
  <c r="A9" i="23917"/>
  <c r="K8" i="23917"/>
  <c r="I8" i="23917"/>
  <c r="G8" i="23917"/>
  <c r="E8" i="23917"/>
  <c r="C8" i="23917"/>
  <c r="A8" i="23917"/>
  <c r="A7" i="23917"/>
  <c r="FZ5" i="23917"/>
  <c r="FZ62" i="23917" s="1"/>
  <c r="FY5" i="23917"/>
  <c r="FX5" i="23917"/>
  <c r="FW5" i="23917"/>
  <c r="FW62" i="23917" s="1"/>
  <c r="FV5" i="23917"/>
  <c r="FV62" i="23917" s="1"/>
  <c r="FU5" i="23917"/>
  <c r="FT5" i="23917"/>
  <c r="FS5" i="23917"/>
  <c r="FS62" i="23917" s="1"/>
  <c r="FR5" i="23917"/>
  <c r="FR62" i="23917" s="1"/>
  <c r="FQ5" i="23917"/>
  <c r="FP5" i="23917"/>
  <c r="FP62" i="23917" s="1"/>
  <c r="FO5" i="23917"/>
  <c r="FO62" i="23917" s="1"/>
  <c r="FN5" i="23917"/>
  <c r="FN62" i="23917" s="1"/>
  <c r="FM5" i="23917"/>
  <c r="FL5" i="23917"/>
  <c r="FK5" i="23917"/>
  <c r="FK62" i="23917" s="1"/>
  <c r="FJ5" i="23917"/>
  <c r="FJ62" i="23917" s="1"/>
  <c r="FI5" i="23917"/>
  <c r="FH5" i="23917"/>
  <c r="FG5" i="23917"/>
  <c r="FG62" i="23917" s="1"/>
  <c r="FF5" i="23917"/>
  <c r="FF62" i="23917" s="1"/>
  <c r="FE5" i="23917"/>
  <c r="FD5" i="23917"/>
  <c r="FD62" i="23917" s="1"/>
  <c r="FC5" i="23917"/>
  <c r="FC62" i="23917" s="1"/>
  <c r="FB5" i="23917"/>
  <c r="FB62" i="23917" s="1"/>
  <c r="FA5" i="23917"/>
  <c r="EZ5" i="23917"/>
  <c r="EY5" i="23917"/>
  <c r="EY62" i="23917" s="1"/>
  <c r="EX5" i="23917"/>
  <c r="EX62" i="23917" s="1"/>
  <c r="EW5" i="23917"/>
  <c r="EV5" i="23917"/>
  <c r="EU5" i="23917"/>
  <c r="EU62" i="23917" s="1"/>
  <c r="ET5" i="23917"/>
  <c r="ET62" i="23917" s="1"/>
  <c r="ES5" i="23917"/>
  <c r="ER5" i="23917"/>
  <c r="ER62" i="23917" s="1"/>
  <c r="EQ5" i="23917"/>
  <c r="EQ62" i="23917" s="1"/>
  <c r="EP5" i="23917"/>
  <c r="EP62" i="23917" s="1"/>
  <c r="EO5" i="23917"/>
  <c r="EN5" i="23917"/>
  <c r="EM5" i="23917"/>
  <c r="EM62" i="23917" s="1"/>
  <c r="EL5" i="23917"/>
  <c r="EL62" i="23917" s="1"/>
  <c r="EK5" i="23917"/>
  <c r="EJ5" i="23917"/>
  <c r="EI5" i="23917"/>
  <c r="EI62" i="23917" s="1"/>
  <c r="EG5" i="23917"/>
  <c r="EG62" i="23917" s="1"/>
  <c r="EF5" i="23917"/>
  <c r="EE5" i="23917"/>
  <c r="ED5" i="23917"/>
  <c r="ED62" i="23917" s="1"/>
  <c r="EC5" i="23917"/>
  <c r="EC62" i="23917" s="1"/>
  <c r="EB5" i="23917"/>
  <c r="EA5" i="23917"/>
  <c r="EA62" i="23917" s="1"/>
  <c r="DZ5" i="23917"/>
  <c r="DZ62" i="23917" s="1"/>
  <c r="DY5" i="23917"/>
  <c r="DY62" i="23917" s="1"/>
  <c r="DX5" i="23917"/>
  <c r="DW5" i="23917"/>
  <c r="DV5" i="23917"/>
  <c r="DV62" i="23917" s="1"/>
  <c r="DU5" i="23917"/>
  <c r="DU62" i="23917" s="1"/>
  <c r="DT5" i="23917"/>
  <c r="DS5" i="23917"/>
  <c r="DR5" i="23917"/>
  <c r="DR62" i="23917" s="1"/>
  <c r="DQ5" i="23917"/>
  <c r="DQ62" i="23917" s="1"/>
  <c r="DP5" i="23917"/>
  <c r="DO5" i="23917"/>
  <c r="DN5" i="23917"/>
  <c r="DN62" i="23917" s="1"/>
  <c r="DM5" i="23917"/>
  <c r="DM62" i="23917" s="1"/>
  <c r="DL5" i="23917"/>
  <c r="DK5" i="23917"/>
  <c r="DK62" i="23917" s="1"/>
  <c r="DJ5" i="23917"/>
  <c r="DJ62" i="23917" s="1"/>
  <c r="DI5" i="23917"/>
  <c r="DI62" i="23917" s="1"/>
  <c r="DH5" i="23917"/>
  <c r="DG5" i="23917"/>
  <c r="DF5" i="23917"/>
  <c r="DF62" i="23917" s="1"/>
  <c r="DE5" i="23917"/>
  <c r="DE62" i="23917" s="1"/>
  <c r="DD5" i="23917"/>
  <c r="DC5" i="23917"/>
  <c r="DB5" i="23917"/>
  <c r="DB62" i="23917" s="1"/>
  <c r="DA5" i="23917"/>
  <c r="DA62" i="23917" s="1"/>
  <c r="CZ5" i="23917"/>
  <c r="CY5" i="23917"/>
  <c r="CX5" i="23917"/>
  <c r="CX62" i="23917" s="1"/>
  <c r="CW5" i="23917"/>
  <c r="CW62" i="23917" s="1"/>
  <c r="CV5" i="23917"/>
  <c r="CU5" i="23917"/>
  <c r="CU62" i="23917" s="1"/>
  <c r="CT5" i="23917"/>
  <c r="CT62" i="23917" s="1"/>
  <c r="CS5" i="23917"/>
  <c r="CS62" i="23917" s="1"/>
  <c r="CR5" i="23917"/>
  <c r="CQ5" i="23917"/>
  <c r="CP5" i="23917"/>
  <c r="CP62" i="23917" s="1"/>
  <c r="CO5" i="23917"/>
  <c r="CO62" i="23917" s="1"/>
  <c r="CN5" i="23917"/>
  <c r="CM5" i="23917"/>
  <c r="CL5" i="23917"/>
  <c r="CL62" i="23917" s="1"/>
  <c r="CK5" i="23917"/>
  <c r="CK62" i="23917" s="1"/>
  <c r="CJ5" i="23917"/>
  <c r="CI5" i="23917"/>
  <c r="CH5" i="23917"/>
  <c r="CH62" i="23917" s="1"/>
  <c r="CG5" i="23917"/>
  <c r="CG62" i="23917" s="1"/>
  <c r="CF5" i="23917"/>
  <c r="CE5" i="23917"/>
  <c r="CE62" i="23917" s="1"/>
  <c r="CD5" i="23917"/>
  <c r="CD62" i="23917" s="1"/>
  <c r="CC5" i="23917"/>
  <c r="CC62" i="23917" s="1"/>
  <c r="CB5" i="23917"/>
  <c r="CA5" i="23917"/>
  <c r="BZ5" i="23917"/>
  <c r="BZ62" i="23917" s="1"/>
  <c r="BY5" i="23917"/>
  <c r="BY62" i="23917" s="1"/>
  <c r="BX5" i="23917"/>
  <c r="BW5" i="23917"/>
  <c r="BV5" i="23917"/>
  <c r="BV62" i="23917" s="1"/>
  <c r="BU5" i="23917"/>
  <c r="BU62" i="23917" s="1"/>
  <c r="BT5" i="23917"/>
  <c r="BS5" i="23917"/>
  <c r="BR5" i="23917"/>
  <c r="BR62" i="23917" s="1"/>
  <c r="BQ5" i="23917"/>
  <c r="BQ62" i="23917" s="1"/>
  <c r="BP5" i="23917"/>
  <c r="BO5" i="23917"/>
  <c r="BN5" i="23917"/>
  <c r="BN62" i="23917" s="1"/>
  <c r="BM5" i="23917"/>
  <c r="BM62" i="23917" s="1"/>
  <c r="BL5" i="23917"/>
  <c r="BK5" i="23917"/>
  <c r="BK62" i="23917" s="1"/>
  <c r="BJ5" i="23917"/>
  <c r="BJ62" i="23917" s="1"/>
  <c r="BI5" i="23917"/>
  <c r="BI62" i="23917" s="1"/>
  <c r="BH5" i="23917"/>
  <c r="BG5" i="23917"/>
  <c r="BF5" i="23917"/>
  <c r="BF62" i="23917" s="1"/>
  <c r="BE5" i="23917"/>
  <c r="BE62" i="23917" s="1"/>
  <c r="BD5" i="23917"/>
  <c r="BC5" i="23917"/>
  <c r="BB5" i="23917"/>
  <c r="BB62" i="23917" s="1"/>
  <c r="BA5" i="23917"/>
  <c r="BA62" i="23917" s="1"/>
  <c r="AZ5" i="23917"/>
  <c r="AY5" i="23917"/>
  <c r="AX5" i="23917"/>
  <c r="AX62" i="23917" s="1"/>
  <c r="AW5" i="23917"/>
  <c r="AW62" i="23917" s="1"/>
  <c r="AV5" i="23917"/>
  <c r="AU5" i="23917"/>
  <c r="AT5" i="23917"/>
  <c r="AT62" i="23917" s="1"/>
  <c r="AS5" i="23917"/>
  <c r="AS62" i="23917" s="1"/>
  <c r="AR5" i="23917"/>
  <c r="AQ5" i="23917"/>
  <c r="AP5" i="23917"/>
  <c r="AP62" i="23917" s="1"/>
  <c r="AO5" i="23917"/>
  <c r="AO62" i="23917" s="1"/>
  <c r="AN5" i="23917"/>
  <c r="AM5" i="23917"/>
  <c r="AM62" i="23917" s="1"/>
  <c r="AL5" i="23917"/>
  <c r="AL62" i="23917" s="1"/>
  <c r="AK5" i="23917"/>
  <c r="AK62" i="23917" s="1"/>
  <c r="AJ5" i="23917"/>
  <c r="AI5" i="23917"/>
  <c r="AH5" i="23917"/>
  <c r="AH62" i="23917" s="1"/>
  <c r="AG5" i="23917"/>
  <c r="AG62" i="23917" s="1"/>
  <c r="AF5" i="23917"/>
  <c r="AE5" i="23917"/>
  <c r="AD5" i="23917"/>
  <c r="AD62" i="23917" s="1"/>
  <c r="AC5" i="23917"/>
  <c r="AC62" i="23917" s="1"/>
  <c r="AB5" i="23917"/>
  <c r="AA5" i="23917"/>
  <c r="Z5" i="23917"/>
  <c r="Z62" i="23917" s="1"/>
  <c r="Y5" i="23917"/>
  <c r="Y62" i="23917" s="1"/>
  <c r="X5" i="23917"/>
  <c r="W5" i="23917"/>
  <c r="W62" i="23917" s="1"/>
  <c r="V5" i="23917"/>
  <c r="V62" i="23917" s="1"/>
  <c r="U5" i="23917"/>
  <c r="U62" i="23917" s="1"/>
  <c r="T5" i="23917"/>
  <c r="S5" i="23917"/>
  <c r="R5" i="23917"/>
  <c r="R62" i="23917" s="1"/>
  <c r="Q5" i="23917"/>
  <c r="Q62" i="23917" s="1"/>
  <c r="P5" i="23917"/>
  <c r="O5" i="23917"/>
  <c r="N5" i="23917"/>
  <c r="N62" i="23917" s="1"/>
  <c r="M5" i="23917"/>
  <c r="M62" i="23917" s="1"/>
  <c r="L5" i="23917"/>
  <c r="K5" i="23917"/>
  <c r="K62" i="23917" s="1"/>
  <c r="J5" i="23917"/>
  <c r="J62" i="23917" s="1"/>
  <c r="I5" i="23917"/>
  <c r="I62" i="23917" s="1"/>
  <c r="H5" i="23917"/>
  <c r="G5" i="23917"/>
  <c r="F5" i="23917"/>
  <c r="F62" i="23917" s="1"/>
  <c r="E5" i="23917"/>
  <c r="E62" i="23917" s="1"/>
  <c r="D5" i="23917"/>
  <c r="C5" i="23917"/>
  <c r="B5" i="23917"/>
  <c r="B62" i="23917" s="1"/>
  <c r="BU3" i="23917"/>
  <c r="GA3" i="23917"/>
  <c r="A1" i="23917"/>
  <c r="AG102" i="23917"/>
  <c r="AE102" i="23917"/>
  <c r="AC102" i="23917"/>
  <c r="AA102" i="23917"/>
  <c r="Y102" i="23917"/>
  <c r="W102" i="23917"/>
  <c r="U102" i="23917"/>
  <c r="S102" i="23917"/>
  <c r="Q102" i="23917"/>
  <c r="O102" i="23917"/>
  <c r="M102" i="23917"/>
  <c r="K102" i="23917"/>
  <c r="I102" i="23917"/>
  <c r="G102" i="23917"/>
  <c r="E102" i="23917"/>
  <c r="C102" i="23917"/>
  <c r="B91" i="24050"/>
  <c r="AF97" i="23917"/>
  <c r="AB97" i="23917"/>
  <c r="Z97" i="23917"/>
  <c r="V100" i="23917"/>
  <c r="V97" i="23917"/>
  <c r="V96" i="23917"/>
  <c r="T97" i="23917"/>
  <c r="R97" i="23917"/>
  <c r="P97" i="23917"/>
  <c r="L97" i="23917"/>
  <c r="J97" i="23917"/>
  <c r="F100" i="23917"/>
  <c r="F97" i="23917"/>
  <c r="F96" i="23917"/>
  <c r="D97" i="23917"/>
  <c r="F91" i="24050"/>
  <c r="Q90" i="23917"/>
  <c r="O90" i="23917"/>
  <c r="M90" i="23917"/>
  <c r="K90" i="23917"/>
  <c r="I90" i="23917"/>
  <c r="G90" i="23917"/>
  <c r="E90" i="23917"/>
  <c r="C90" i="23917"/>
  <c r="BZ77" i="24050"/>
  <c r="BJ77" i="24050"/>
  <c r="AH77" i="24050"/>
  <c r="AD77" i="24050"/>
  <c r="AB77" i="24050"/>
  <c r="Z77" i="24050"/>
  <c r="BD83" i="23917"/>
  <c r="V77" i="24050"/>
  <c r="T77" i="24050"/>
  <c r="P77" i="24050"/>
  <c r="N77" i="24050"/>
  <c r="L77" i="24050"/>
  <c r="J77" i="24050"/>
  <c r="H77" i="24050"/>
  <c r="F77" i="24050"/>
  <c r="D77" i="24050"/>
  <c r="AF83" i="23917"/>
  <c r="AD83" i="23917"/>
  <c r="AB83" i="23917"/>
  <c r="Z83" i="23917"/>
  <c r="X84" i="23917"/>
  <c r="V83" i="23917"/>
  <c r="R83" i="23917"/>
  <c r="N83" i="23917"/>
  <c r="L83" i="23917"/>
  <c r="I83" i="23917"/>
  <c r="F83" i="23917"/>
  <c r="E83" i="23917"/>
  <c r="D83" i="23917"/>
  <c r="B84" i="23917"/>
  <c r="CJ77" i="24050"/>
  <c r="CD77" i="24050"/>
  <c r="BV77" i="24050"/>
  <c r="BT77" i="24050"/>
  <c r="BN77" i="24050"/>
  <c r="BF77" i="24050"/>
  <c r="BD77" i="24050"/>
  <c r="AX77" i="24050"/>
  <c r="AP77" i="24050"/>
  <c r="BT83" i="23917"/>
  <c r="AC89" i="24050"/>
  <c r="AA89" i="24050"/>
  <c r="Y89" i="24050"/>
  <c r="W89" i="24050"/>
  <c r="U89" i="24050"/>
  <c r="S89" i="24050"/>
  <c r="Q89" i="24050"/>
  <c r="O89" i="24050"/>
  <c r="M89" i="24050"/>
  <c r="K89" i="24050"/>
  <c r="I89" i="24050"/>
  <c r="G89" i="24050"/>
  <c r="E89" i="24050"/>
  <c r="C89" i="24050"/>
  <c r="AG95" i="23917"/>
  <c r="AE95" i="23917"/>
  <c r="AC95" i="23917"/>
  <c r="AA95" i="23917"/>
  <c r="Y95" i="23917"/>
  <c r="W95" i="23917"/>
  <c r="U95" i="23917"/>
  <c r="S95" i="23917"/>
  <c r="Q95" i="23917"/>
  <c r="O95" i="23917"/>
  <c r="M95" i="23917"/>
  <c r="K95" i="23917"/>
  <c r="I95" i="23917"/>
  <c r="G95" i="23917"/>
  <c r="E95" i="23917"/>
  <c r="C95" i="23917"/>
  <c r="CI89" i="24050"/>
  <c r="CG89" i="24050"/>
  <c r="CE89" i="24050"/>
  <c r="CC89" i="24050"/>
  <c r="BY89" i="24050"/>
  <c r="BW89" i="24050"/>
  <c r="BU89" i="24050"/>
  <c r="BR89" i="24050"/>
  <c r="BQ89" i="24050"/>
  <c r="BO89" i="24050"/>
  <c r="BM89" i="24050"/>
  <c r="BK89" i="24050"/>
  <c r="BI89" i="24050"/>
  <c r="BG89" i="24050"/>
  <c r="BE89" i="24050"/>
  <c r="BC89" i="24050"/>
  <c r="AY89" i="24050"/>
  <c r="AW89" i="24050"/>
  <c r="AU89" i="24050"/>
  <c r="AQ89" i="24050"/>
  <c r="AO89" i="24050"/>
  <c r="AM89" i="24050"/>
  <c r="AK89" i="24050"/>
  <c r="AI89" i="24050"/>
  <c r="AG89" i="24050"/>
  <c r="AE89" i="24050"/>
  <c r="EO82" i="23917"/>
  <c r="EK82" i="23917"/>
  <c r="AG94" i="23917"/>
  <c r="AE94" i="23917"/>
  <c r="AC82" i="23917"/>
  <c r="AA94" i="23917"/>
  <c r="Y94" i="23917"/>
  <c r="W94" i="23917"/>
  <c r="U94" i="23917"/>
  <c r="S94" i="23917"/>
  <c r="Q94" i="23917"/>
  <c r="O94" i="23917"/>
  <c r="M82" i="23917"/>
  <c r="K94" i="23917"/>
  <c r="I94" i="23917"/>
  <c r="G94" i="23917"/>
  <c r="E94" i="23917"/>
  <c r="C94" i="23917"/>
  <c r="CN88" i="24050"/>
  <c r="DR94" i="23917"/>
  <c r="CH88" i="24050"/>
  <c r="CB88" i="24050"/>
  <c r="BZ88" i="24050"/>
  <c r="BX88" i="24050"/>
  <c r="BR88" i="24050"/>
  <c r="CS82" i="23917"/>
  <c r="BJ88" i="24050"/>
  <c r="BH88" i="24050"/>
  <c r="CL94" i="23917"/>
  <c r="BB88" i="24050"/>
  <c r="CC82" i="23917"/>
  <c r="AT88" i="24050"/>
  <c r="AR88" i="24050"/>
  <c r="AL88" i="24050"/>
  <c r="BM82" i="23917"/>
  <c r="AD88" i="24050"/>
  <c r="AB88" i="24050"/>
  <c r="BF94" i="23917"/>
  <c r="V88" i="24050"/>
  <c r="AW82" i="23917"/>
  <c r="N88" i="24050"/>
  <c r="DV94" i="23917"/>
  <c r="AF99" i="23917"/>
  <c r="AD99" i="23917"/>
  <c r="AB99" i="23917"/>
  <c r="Z99" i="23917"/>
  <c r="X99" i="23917"/>
  <c r="T99" i="23917"/>
  <c r="R99" i="23917"/>
  <c r="P99" i="23917"/>
  <c r="N99" i="23917"/>
  <c r="L99" i="23917"/>
  <c r="J99" i="23917"/>
  <c r="F99" i="23917"/>
  <c r="B99" i="23917"/>
  <c r="CM87" i="24050"/>
  <c r="CK87" i="24050"/>
  <c r="CI87" i="24050"/>
  <c r="CG87" i="24050"/>
  <c r="CE87" i="24050"/>
  <c r="CC87" i="24050"/>
  <c r="CA87" i="24050"/>
  <c r="BY87" i="24050"/>
  <c r="BW87" i="24050"/>
  <c r="BU87" i="24050"/>
  <c r="BS87" i="24050"/>
  <c r="BQ87" i="24050"/>
  <c r="BO87" i="24050"/>
  <c r="BM87" i="24050"/>
  <c r="BK87" i="24050"/>
  <c r="BI87" i="24050"/>
  <c r="BG87" i="24050"/>
  <c r="BE87" i="24050"/>
  <c r="BC87" i="24050"/>
  <c r="BA87" i="24050"/>
  <c r="AY87" i="24050"/>
  <c r="AW87" i="24050"/>
  <c r="AU87" i="24050"/>
  <c r="AS87" i="24050"/>
  <c r="AQ87" i="24050"/>
  <c r="AO87" i="24050"/>
  <c r="AM87" i="24050"/>
  <c r="AK87" i="24050"/>
  <c r="AI87" i="24050"/>
  <c r="AG87" i="24050"/>
  <c r="AE87" i="24050"/>
  <c r="AC87" i="24050"/>
  <c r="AA87" i="24050"/>
  <c r="Y87" i="24050"/>
  <c r="W87" i="24050"/>
  <c r="U87" i="24050"/>
  <c r="S87" i="24050"/>
  <c r="Q87" i="24050"/>
  <c r="O87" i="24050"/>
  <c r="M87" i="24050"/>
  <c r="K87" i="24050"/>
  <c r="I87" i="24050"/>
  <c r="G87" i="24050"/>
  <c r="E87" i="24050"/>
  <c r="C87" i="24050"/>
  <c r="AG93" i="23917"/>
  <c r="AE93" i="23917"/>
  <c r="AC93" i="23917"/>
  <c r="AA93" i="23917"/>
  <c r="Y93" i="23917"/>
  <c r="W93" i="23917"/>
  <c r="U93" i="23917"/>
  <c r="S93" i="23917"/>
  <c r="Q93" i="23917"/>
  <c r="O93" i="23917"/>
  <c r="M93" i="23917"/>
  <c r="K93" i="23917"/>
  <c r="I93" i="23917"/>
  <c r="G93" i="23917"/>
  <c r="E93" i="23917"/>
  <c r="C93" i="23917"/>
  <c r="CQ87" i="24050"/>
  <c r="CP87" i="24050"/>
  <c r="CO87" i="24050"/>
  <c r="EK27" i="23917"/>
  <c r="DU66" i="23917"/>
  <c r="DS27" i="23917"/>
  <c r="DQ66" i="23917"/>
  <c r="DM66" i="23917"/>
  <c r="DK27" i="23917"/>
  <c r="DI66" i="23917"/>
  <c r="DE66" i="23917"/>
  <c r="DC27" i="23917"/>
  <c r="DA66" i="23917"/>
  <c r="CW66" i="23917"/>
  <c r="CU27" i="23917"/>
  <c r="CS66" i="23917"/>
  <c r="CO66" i="23917"/>
  <c r="CM27" i="23917"/>
  <c r="CK66" i="23917"/>
  <c r="CG66" i="23917"/>
  <c r="CE27" i="23917"/>
  <c r="CC66" i="23917"/>
  <c r="BY27" i="23917"/>
  <c r="BW27" i="23917"/>
  <c r="BU66" i="23917"/>
  <c r="BQ27" i="23917"/>
  <c r="BO27" i="23917"/>
  <c r="BM66" i="23917"/>
  <c r="BI27" i="23917"/>
  <c r="BG27" i="23917"/>
  <c r="BE66" i="23917"/>
  <c r="BA27" i="23917"/>
  <c r="AY27" i="23917"/>
  <c r="AW66" i="23917"/>
  <c r="AS27" i="23917"/>
  <c r="AQ27" i="23917"/>
  <c r="AO66" i="23917"/>
  <c r="AK27" i="23917"/>
  <c r="AI27" i="23917"/>
  <c r="AG27" i="23917"/>
  <c r="AE66" i="23917"/>
  <c r="AC27" i="23917"/>
  <c r="AA66" i="23917"/>
  <c r="Y27" i="23917"/>
  <c r="W66" i="23917"/>
  <c r="U27" i="23917"/>
  <c r="S66" i="23917"/>
  <c r="Q27" i="23917"/>
  <c r="O66" i="23917"/>
  <c r="M27" i="23917"/>
  <c r="K66" i="23917"/>
  <c r="I27" i="23917"/>
  <c r="G66" i="23917"/>
  <c r="E27" i="23917"/>
  <c r="C66" i="23917"/>
  <c r="CO58" i="24050"/>
  <c r="CM58" i="24050"/>
  <c r="CK58" i="24050"/>
  <c r="CI58" i="24050"/>
  <c r="CG58" i="24050"/>
  <c r="CE58" i="24050"/>
  <c r="CC58" i="24050"/>
  <c r="CA58" i="24050"/>
  <c r="BY58" i="24050"/>
  <c r="BW58" i="24050"/>
  <c r="BU58" i="24050"/>
  <c r="BS58" i="24050"/>
  <c r="BQ58" i="24050"/>
  <c r="BO58" i="24050"/>
  <c r="BM58" i="24050"/>
  <c r="BK58" i="24050"/>
  <c r="BI58" i="24050"/>
  <c r="BG58" i="24050"/>
  <c r="BE58" i="24050"/>
  <c r="BC58" i="24050"/>
  <c r="BA58" i="24050"/>
  <c r="AY58" i="24050"/>
  <c r="AW58" i="24050"/>
  <c r="AU58" i="24050"/>
  <c r="AS58" i="24050"/>
  <c r="AQ58" i="24050"/>
  <c r="AO58" i="24050"/>
  <c r="AM58" i="24050"/>
  <c r="AK58" i="24050"/>
  <c r="AI58" i="24050"/>
  <c r="AG58" i="24050"/>
  <c r="AE58" i="24050"/>
  <c r="AC58" i="24050"/>
  <c r="AA58" i="24050"/>
  <c r="Y58" i="24050"/>
  <c r="W58" i="24050"/>
  <c r="U58" i="24050"/>
  <c r="S58" i="24050"/>
  <c r="Q58" i="24050"/>
  <c r="O58" i="24050"/>
  <c r="M58" i="24050"/>
  <c r="K58" i="24050"/>
  <c r="I58" i="24050"/>
  <c r="G58" i="24050"/>
  <c r="E58" i="24050"/>
  <c r="C58" i="24050"/>
  <c r="AG65" i="23917"/>
  <c r="AE65" i="23917"/>
  <c r="AC65" i="23917"/>
  <c r="AA65" i="23917"/>
  <c r="Y65" i="23917"/>
  <c r="W65" i="23917"/>
  <c r="U65" i="23917"/>
  <c r="S65" i="23917"/>
  <c r="Q65" i="23917"/>
  <c r="O65" i="23917"/>
  <c r="M65" i="23917"/>
  <c r="K65" i="23917"/>
  <c r="E65" i="23917"/>
  <c r="C65" i="23917"/>
  <c r="FK27" i="23917"/>
  <c r="FG66" i="23917"/>
  <c r="FE27" i="23917"/>
  <c r="EY66" i="23917"/>
  <c r="EW27" i="23917"/>
  <c r="EQ66" i="23917"/>
  <c r="EP66" i="23917"/>
  <c r="EG58" i="24050"/>
  <c r="EC58" i="24050"/>
  <c r="FG65" i="23917"/>
  <c r="DY58" i="24050"/>
  <c r="DU58" i="24050"/>
  <c r="EY65" i="23917"/>
  <c r="DQ58" i="24050"/>
  <c r="DO58" i="24050"/>
  <c r="DK58" i="24050"/>
  <c r="DG58" i="24050"/>
  <c r="EI65" i="23917"/>
  <c r="I65" i="23917"/>
  <c r="G65" i="23917"/>
  <c r="R48" i="24068"/>
  <c r="P48" i="24068"/>
  <c r="EG44" i="24050"/>
  <c r="EE44" i="24050"/>
  <c r="EC44" i="24050"/>
  <c r="EA44" i="24050"/>
  <c r="DY44" i="24050"/>
  <c r="DW44" i="24050"/>
  <c r="DU44" i="24050"/>
  <c r="DS44" i="24050"/>
  <c r="DQ44" i="24050"/>
  <c r="DO44" i="24050"/>
  <c r="DM44" i="24050"/>
  <c r="DK44" i="24050"/>
  <c r="DI44" i="24050"/>
  <c r="DG44" i="24050"/>
  <c r="DE44" i="24050"/>
  <c r="DC44" i="24050"/>
  <c r="CR44" i="24050"/>
  <c r="CQ44" i="24050"/>
  <c r="CO44" i="24050"/>
  <c r="CM44" i="24050"/>
  <c r="CK44" i="24050"/>
  <c r="CI44" i="24050"/>
  <c r="CG44" i="24050"/>
  <c r="CE44" i="24050"/>
  <c r="CC44" i="24050"/>
  <c r="CA44" i="24050"/>
  <c r="BY44" i="24050"/>
  <c r="BW44" i="24050"/>
  <c r="BU44" i="24050"/>
  <c r="BS44" i="24050"/>
  <c r="BQ44" i="24050"/>
  <c r="BO44" i="24050"/>
  <c r="BM44" i="24050"/>
  <c r="BK44" i="24050"/>
  <c r="BI44" i="24050"/>
  <c r="BG44" i="24050"/>
  <c r="BE44" i="24050"/>
  <c r="BC44" i="24050"/>
  <c r="BA44" i="24050"/>
  <c r="AY44" i="24050"/>
  <c r="AW44" i="24050"/>
  <c r="AU44" i="24050"/>
  <c r="AS44" i="24050"/>
  <c r="AQ44" i="24050"/>
  <c r="AO44" i="24050"/>
  <c r="AM44" i="24050"/>
  <c r="AK44" i="24050"/>
  <c r="AI44" i="24050"/>
  <c r="AG44" i="24050"/>
  <c r="AE44" i="24050"/>
  <c r="AC44" i="24050"/>
  <c r="AA44" i="24050"/>
  <c r="Y44" i="24050"/>
  <c r="W44" i="24050"/>
  <c r="U44" i="24050"/>
  <c r="S44" i="24050"/>
  <c r="Q44" i="24050"/>
  <c r="O44" i="24050"/>
  <c r="M44" i="24050"/>
  <c r="K44" i="24050"/>
  <c r="I44" i="24050"/>
  <c r="G44" i="24050"/>
  <c r="E44" i="24050"/>
  <c r="C44" i="24050"/>
  <c r="AG52" i="23917"/>
  <c r="AE52" i="23917"/>
  <c r="AC52" i="23917"/>
  <c r="AA52" i="23917"/>
  <c r="Y52" i="23917"/>
  <c r="W52" i="23917"/>
  <c r="U52" i="23917"/>
  <c r="S52" i="23917"/>
  <c r="Q52" i="23917"/>
  <c r="O52" i="23917"/>
  <c r="M52" i="23917"/>
  <c r="K52" i="23917"/>
  <c r="I52" i="23917"/>
  <c r="G52" i="23917"/>
  <c r="E52" i="23917"/>
  <c r="C52" i="23917"/>
  <c r="DY32" i="24050"/>
  <c r="CU31" i="24050"/>
  <c r="CM30" i="24050"/>
  <c r="CI30" i="24050"/>
  <c r="CG30" i="24050"/>
  <c r="CE30" i="24050"/>
  <c r="CC30" i="24050"/>
  <c r="CA30" i="24050"/>
  <c r="BY30" i="24050"/>
  <c r="BW30" i="24050"/>
  <c r="BU30" i="24050"/>
  <c r="CI28" i="23917"/>
  <c r="BY28" i="23917"/>
  <c r="BW28" i="23917"/>
  <c r="BU28" i="23917"/>
  <c r="BS28" i="23917"/>
  <c r="BQ28" i="23917"/>
  <c r="BO28" i="23917"/>
  <c r="BM28" i="23917"/>
  <c r="BK28" i="23917"/>
  <c r="BI28" i="23917"/>
  <c r="BG28" i="23917"/>
  <c r="BE28" i="23917"/>
  <c r="BC28" i="23917"/>
  <c r="BA28" i="23917"/>
  <c r="AY28" i="23917"/>
  <c r="AW28" i="23917"/>
  <c r="AO28" i="23917"/>
  <c r="U39" i="23917"/>
  <c r="DC31" i="24050"/>
  <c r="CZ30" i="24050"/>
  <c r="CX30" i="24050"/>
  <c r="CV31" i="24050"/>
  <c r="CR30" i="24050"/>
  <c r="CJ30" i="24050"/>
  <c r="BT31" i="24050"/>
  <c r="BD30" i="24050"/>
  <c r="BB30" i="24050"/>
  <c r="CD38" i="23917"/>
  <c r="AV30" i="24050"/>
  <c r="AP31" i="24050"/>
  <c r="Z31" i="24050"/>
  <c r="BD39" i="23917"/>
  <c r="AT38" i="23917"/>
  <c r="AR39" i="23917"/>
  <c r="AP38" i="23917"/>
  <c r="I31" i="24050"/>
  <c r="Z39" i="23917"/>
  <c r="O39" i="23917"/>
  <c r="M39" i="23917"/>
  <c r="K39" i="23917"/>
  <c r="I39" i="23917"/>
  <c r="G39" i="23917"/>
  <c r="E39" i="23917"/>
  <c r="C39" i="23917"/>
  <c r="FG38" i="23917"/>
  <c r="DZ38" i="23917"/>
  <c r="BN38" i="23917"/>
  <c r="T38" i="23917"/>
  <c r="Q39" i="23917"/>
  <c r="Q38" i="23917"/>
  <c r="J38" i="23917"/>
  <c r="B38" i="23917"/>
  <c r="DQ30" i="24050"/>
  <c r="DK30" i="24050"/>
  <c r="D30" i="24050"/>
  <c r="EG19" i="24050"/>
  <c r="EE19" i="24050"/>
  <c r="EC19" i="24050"/>
  <c r="P19" i="24050"/>
  <c r="AR22" i="23917"/>
  <c r="H19" i="24050"/>
  <c r="AH22" i="23917"/>
  <c r="J22" i="23917"/>
  <c r="H22" i="23917"/>
  <c r="E23" i="23917"/>
  <c r="EH19" i="24050"/>
  <c r="DQ19" i="24050"/>
  <c r="DK19" i="24050"/>
  <c r="CO19" i="24050"/>
  <c r="CM19" i="24050"/>
  <c r="CK19" i="24050"/>
  <c r="CI19" i="24050"/>
  <c r="CG19" i="24050"/>
  <c r="CE19" i="24050"/>
  <c r="CC19" i="24050"/>
  <c r="CA19" i="24050"/>
  <c r="BY19" i="24050"/>
  <c r="BW19" i="24050"/>
  <c r="BU19" i="24050"/>
  <c r="BS19" i="24050"/>
  <c r="BQ19" i="24050"/>
  <c r="BO19" i="24050"/>
  <c r="BM19" i="24050"/>
  <c r="BK19" i="24050"/>
  <c r="BI19" i="24050"/>
  <c r="BG19" i="24050"/>
  <c r="BE19" i="24050"/>
  <c r="BC19" i="24050"/>
  <c r="BA19" i="24050"/>
  <c r="AY19" i="24050"/>
  <c r="AW19" i="24050"/>
  <c r="AU19" i="24050"/>
  <c r="AS19" i="24050"/>
  <c r="AQ19" i="24050"/>
  <c r="AO19" i="24050"/>
  <c r="AM19" i="24050"/>
  <c r="AK19" i="24050"/>
  <c r="AI19" i="24050"/>
  <c r="AG19" i="24050"/>
  <c r="AE19" i="24050"/>
  <c r="AC19" i="24050"/>
  <c r="AA19" i="24050"/>
  <c r="W19" i="24050"/>
  <c r="U19" i="24050"/>
  <c r="S19" i="24050"/>
  <c r="K19" i="24050"/>
  <c r="I19" i="24050"/>
  <c r="C19" i="24050"/>
  <c r="AG22" i="23917"/>
  <c r="AE22" i="23917"/>
  <c r="AC22" i="23917"/>
  <c r="AA22" i="23917"/>
  <c r="Y22" i="23917"/>
  <c r="S22" i="23917"/>
  <c r="I20" i="23917"/>
  <c r="G20" i="23917"/>
  <c r="E22" i="23917"/>
  <c r="E20" i="23917"/>
  <c r="E19" i="23917"/>
  <c r="E17" i="23917"/>
  <c r="C20" i="23917"/>
  <c r="H19" i="23917"/>
  <c r="F19" i="23917"/>
  <c r="D19" i="23917"/>
  <c r="EJ14" i="23917"/>
  <c r="H73" i="23917"/>
  <c r="H70" i="23917"/>
  <c r="H69" i="23917"/>
  <c r="G72" i="23917"/>
  <c r="F70" i="23917"/>
  <c r="D72" i="23917"/>
  <c r="E71" i="23917"/>
  <c r="D70" i="23917"/>
  <c r="B73" i="23917"/>
  <c r="B70" i="23917"/>
  <c r="B69" i="23917"/>
  <c r="J10" i="23917"/>
  <c r="J9" i="23917"/>
  <c r="J8" i="23917"/>
  <c r="EJ13" i="23917"/>
  <c r="EI10" i="23917"/>
  <c r="EJ9" i="23917"/>
  <c r="EJ8" i="23917"/>
  <c r="EI11" i="23917"/>
  <c r="P10" i="23917"/>
  <c r="N10" i="23917"/>
  <c r="M10" i="23917"/>
  <c r="P9" i="23917"/>
  <c r="M9" i="23917"/>
  <c r="L9" i="23917"/>
  <c r="O8" i="23917"/>
  <c r="N8" i="23917"/>
  <c r="AV387" i="23917"/>
  <c r="P381" i="24050" s="1"/>
  <c r="EJ19" i="23917"/>
  <c r="G372" i="23917"/>
  <c r="C374" i="23917"/>
  <c r="BB374" i="23917"/>
  <c r="AZ374" i="23917"/>
  <c r="AX374" i="23917"/>
  <c r="AF374" i="23917"/>
  <c r="AD374" i="23917"/>
  <c r="AB374" i="23917"/>
  <c r="Z374" i="23917"/>
  <c r="X374" i="23917"/>
  <c r="V374" i="23917"/>
  <c r="U374" i="23917"/>
  <c r="T374" i="23917"/>
  <c r="R374" i="23917"/>
  <c r="P374" i="23917"/>
  <c r="N374" i="23917"/>
  <c r="L374" i="23917"/>
  <c r="J374" i="23917"/>
  <c r="I374" i="23917"/>
  <c r="H374" i="23917"/>
  <c r="F374" i="23917"/>
  <c r="E374" i="23917"/>
  <c r="D374" i="23917"/>
  <c r="B374" i="23917"/>
  <c r="BB373" i="23917"/>
  <c r="BB372" i="23917"/>
  <c r="AX372" i="23917"/>
  <c r="AE372" i="23917"/>
  <c r="AD372" i="23917"/>
  <c r="AA372" i="23917"/>
  <c r="Z372" i="23917"/>
  <c r="W372" i="23917"/>
  <c r="V372" i="23917"/>
  <c r="S372" i="23917"/>
  <c r="R372" i="23917"/>
  <c r="N372" i="23917"/>
  <c r="J372" i="23917"/>
  <c r="F372" i="23917"/>
  <c r="E372" i="23917"/>
  <c r="D372" i="23917"/>
  <c r="C372" i="23917"/>
  <c r="B372" i="23917"/>
  <c r="AG361" i="23917"/>
  <c r="AG360" i="23917"/>
  <c r="AG359" i="23917"/>
  <c r="AG358" i="23917"/>
  <c r="AE361" i="23917"/>
  <c r="AE359" i="23917"/>
  <c r="AE358" i="23917"/>
  <c r="AC361" i="23917"/>
  <c r="AC359" i="23917"/>
  <c r="AC358" i="23917"/>
  <c r="AA361" i="23917"/>
  <c r="AA360" i="23917"/>
  <c r="AA359" i="23917"/>
  <c r="AA358" i="23917"/>
  <c r="Y361" i="23917"/>
  <c r="Y360" i="23917"/>
  <c r="Y359" i="23917"/>
  <c r="Y358" i="23917"/>
  <c r="W361" i="23917"/>
  <c r="W360" i="23917"/>
  <c r="W359" i="23917"/>
  <c r="W358" i="23917"/>
  <c r="U361" i="23917"/>
  <c r="U359" i="23917"/>
  <c r="U358" i="23917"/>
  <c r="S361" i="23917"/>
  <c r="S360" i="23917"/>
  <c r="S359" i="23917"/>
  <c r="S358" i="23917"/>
  <c r="Q361" i="23917"/>
  <c r="Q360" i="23917"/>
  <c r="Q359" i="23917"/>
  <c r="Q358" i="23917"/>
  <c r="O361" i="23917"/>
  <c r="O360" i="23917"/>
  <c r="O359" i="23917"/>
  <c r="O358" i="23917"/>
  <c r="M361" i="23917"/>
  <c r="M360" i="23917"/>
  <c r="M359" i="23917"/>
  <c r="M358" i="23917"/>
  <c r="K361" i="23917"/>
  <c r="K360" i="23917"/>
  <c r="K359" i="23917"/>
  <c r="K358" i="23917"/>
  <c r="I361" i="23917"/>
  <c r="I360" i="23917"/>
  <c r="I359" i="23917"/>
  <c r="I358" i="23917"/>
  <c r="G361" i="23917"/>
  <c r="G360" i="23917"/>
  <c r="G359" i="23917"/>
  <c r="G358" i="23917"/>
  <c r="E361" i="23917"/>
  <c r="E360" i="23917"/>
  <c r="E359" i="23917"/>
  <c r="E358" i="23917"/>
  <c r="C361" i="23917"/>
  <c r="C360" i="23917"/>
  <c r="C359" i="23917"/>
  <c r="C358" i="23917"/>
  <c r="AB360" i="23917"/>
  <c r="AG354" i="23917"/>
  <c r="AG353" i="23917"/>
  <c r="AG352" i="23917"/>
  <c r="AE354" i="23917"/>
  <c r="AE353" i="23917"/>
  <c r="AE352" i="23917"/>
  <c r="AC354" i="23917"/>
  <c r="AC353" i="23917"/>
  <c r="AC352" i="23917"/>
  <c r="AA353" i="23917"/>
  <c r="AA352" i="23917"/>
  <c r="Y353" i="23917"/>
  <c r="Y352" i="23917"/>
  <c r="W353" i="23917"/>
  <c r="W352" i="23917"/>
  <c r="U353" i="23917"/>
  <c r="U352" i="23917"/>
  <c r="S353" i="23917"/>
  <c r="S352" i="23917"/>
  <c r="Q353" i="23917"/>
  <c r="Q352" i="23917"/>
  <c r="O353" i="23917"/>
  <c r="O352" i="23917"/>
  <c r="M353" i="23917"/>
  <c r="M352" i="23917"/>
  <c r="K353" i="23917"/>
  <c r="K352" i="23917"/>
  <c r="I353" i="23917"/>
  <c r="I352" i="23917"/>
  <c r="G353" i="23917"/>
  <c r="G352" i="23917"/>
  <c r="E353" i="23917"/>
  <c r="E352" i="23917"/>
  <c r="C353" i="23917"/>
  <c r="C352" i="23917"/>
  <c r="DT403" i="23917"/>
  <c r="DR403" i="23917"/>
  <c r="DN403" i="23917"/>
  <c r="DL403" i="23917"/>
  <c r="DK403" i="23917"/>
  <c r="DH403" i="23917"/>
  <c r="DG403" i="23917"/>
  <c r="DD403" i="23917"/>
  <c r="CZ403" i="23917"/>
  <c r="CV403" i="23917"/>
  <c r="CT403" i="23917"/>
  <c r="CR403" i="23917"/>
  <c r="BL397" i="24050" s="1"/>
  <c r="CN403" i="23917"/>
  <c r="BH397" i="24050" s="1"/>
  <c r="CL403" i="23917"/>
  <c r="BF397" i="24050" s="1"/>
  <c r="CJ403" i="23917"/>
  <c r="BD397" i="24050" s="1"/>
  <c r="DU402" i="23917"/>
  <c r="DQ402" i="23917"/>
  <c r="DO402" i="23917"/>
  <c r="DM402" i="23917"/>
  <c r="DK402" i="23917"/>
  <c r="DI402" i="23917"/>
  <c r="DG402" i="23917"/>
  <c r="DE402" i="23917"/>
  <c r="DC402" i="23917"/>
  <c r="DA402" i="23917"/>
  <c r="CY402" i="23917"/>
  <c r="CW402" i="23917"/>
  <c r="CU402" i="23917"/>
  <c r="CS402" i="23917"/>
  <c r="BM396" i="24050" s="1"/>
  <c r="CQ402" i="23917"/>
  <c r="BK396" i="24050" s="1"/>
  <c r="CO402" i="23917"/>
  <c r="BI396" i="24050" s="1"/>
  <c r="CM402" i="23917"/>
  <c r="BG396" i="24050" s="1"/>
  <c r="CK402" i="23917"/>
  <c r="BE396" i="24050" s="1"/>
  <c r="CI402" i="23917"/>
  <c r="BC396" i="24050" s="1"/>
  <c r="CG402" i="23917"/>
  <c r="BA396" i="24050" s="1"/>
  <c r="BU402" i="23917"/>
  <c r="AO396" i="24050" s="1"/>
  <c r="BT402" i="23917"/>
  <c r="AN396" i="24050" s="1"/>
  <c r="BP402" i="23917"/>
  <c r="AJ396" i="24050" s="1"/>
  <c r="BM402" i="23917"/>
  <c r="AG396" i="24050" s="1"/>
  <c r="BK402" i="23917"/>
  <c r="AE396" i="24050" s="1"/>
  <c r="BI402" i="23917"/>
  <c r="AC396" i="24050" s="1"/>
  <c r="BG402" i="23917"/>
  <c r="AA396" i="24050" s="1"/>
  <c r="FZ401" i="23917"/>
  <c r="FZ400" i="23917"/>
  <c r="FZ399" i="23917"/>
  <c r="FZ398" i="23917"/>
  <c r="FX401" i="23917"/>
  <c r="FX400" i="23917"/>
  <c r="FX399" i="23917"/>
  <c r="FX398" i="23917"/>
  <c r="FV401" i="23917"/>
  <c r="FV400" i="23917"/>
  <c r="FV399" i="23917"/>
  <c r="FV398" i="23917"/>
  <c r="FT401" i="23917"/>
  <c r="CZ395" i="24050" s="1"/>
  <c r="FT400" i="23917"/>
  <c r="CZ394" i="24050" s="1"/>
  <c r="FT399" i="23917"/>
  <c r="CZ393" i="24050" s="1"/>
  <c r="FT398" i="23917"/>
  <c r="CZ392" i="24050" s="1"/>
  <c r="FR401" i="23917"/>
  <c r="FR400" i="23917"/>
  <c r="FR399" i="23917"/>
  <c r="FR398" i="23917"/>
  <c r="FP401" i="23917"/>
  <c r="FP400" i="23917"/>
  <c r="FP399" i="23917"/>
  <c r="FP398" i="23917"/>
  <c r="FN401" i="23917"/>
  <c r="FN400" i="23917"/>
  <c r="FN399" i="23917"/>
  <c r="FN398" i="23917"/>
  <c r="FL401" i="23917"/>
  <c r="FL400" i="23917"/>
  <c r="FL399" i="23917"/>
  <c r="FL398" i="23917"/>
  <c r="FJ401" i="23917"/>
  <c r="FJ400" i="23917"/>
  <c r="FJ399" i="23917"/>
  <c r="FJ398" i="23917"/>
  <c r="FH401" i="23917"/>
  <c r="FH400" i="23917"/>
  <c r="FH399" i="23917"/>
  <c r="FH398" i="23917"/>
  <c r="FF401" i="23917"/>
  <c r="FF400" i="23917"/>
  <c r="FF399" i="23917"/>
  <c r="FF398" i="23917"/>
  <c r="FD401" i="23917"/>
  <c r="FD400" i="23917"/>
  <c r="FD399" i="23917"/>
  <c r="FD398" i="23917"/>
  <c r="FB401" i="23917"/>
  <c r="FB400" i="23917"/>
  <c r="FB399" i="23917"/>
  <c r="FB398" i="23917"/>
  <c r="FB394" i="23917"/>
  <c r="FK397" i="23917"/>
  <c r="FK395" i="23917"/>
  <c r="FI396" i="23917"/>
  <c r="FI394" i="23917"/>
  <c r="FG395" i="23917"/>
  <c r="FG393" i="23917"/>
  <c r="FE394" i="23917"/>
  <c r="FC397" i="23917"/>
  <c r="FC393" i="23917"/>
  <c r="FA394" i="23917"/>
  <c r="DS397" i="23917"/>
  <c r="DQ397" i="23917"/>
  <c r="DO397" i="23917"/>
  <c r="DO396" i="23917"/>
  <c r="DO395" i="23917"/>
  <c r="DO394" i="23917"/>
  <c r="DO393" i="23917"/>
  <c r="DM397" i="23917"/>
  <c r="DM396" i="23917"/>
  <c r="DM395" i="23917"/>
  <c r="DM394" i="23917"/>
  <c r="DM393" i="23917"/>
  <c r="DK397" i="23917"/>
  <c r="DK396" i="23917"/>
  <c r="DK395" i="23917"/>
  <c r="DK394" i="23917"/>
  <c r="DK393" i="23917"/>
  <c r="DI397" i="23917"/>
  <c r="DI396" i="23917"/>
  <c r="DI395" i="23917"/>
  <c r="DI394" i="23917"/>
  <c r="DI393" i="23917"/>
  <c r="DG397" i="23917"/>
  <c r="DG396" i="23917"/>
  <c r="DG395" i="23917"/>
  <c r="DG394" i="23917"/>
  <c r="DG393" i="23917"/>
  <c r="DE397" i="23917"/>
  <c r="DE396" i="23917"/>
  <c r="DE395" i="23917"/>
  <c r="DE394" i="23917"/>
  <c r="DE393" i="23917"/>
  <c r="DC397" i="23917"/>
  <c r="DC396" i="23917"/>
  <c r="DC395" i="23917"/>
  <c r="DC394" i="23917"/>
  <c r="DC393" i="23917"/>
  <c r="DA397" i="23917"/>
  <c r="DA396" i="23917"/>
  <c r="DA395" i="23917"/>
  <c r="DA394" i="23917"/>
  <c r="DA393" i="23917"/>
  <c r="CY397" i="23917"/>
  <c r="CY396" i="23917"/>
  <c r="CY395" i="23917"/>
  <c r="CY394" i="23917"/>
  <c r="CY393" i="23917"/>
  <c r="CW397" i="23917"/>
  <c r="CW396" i="23917"/>
  <c r="CW395" i="23917"/>
  <c r="CW394" i="23917"/>
  <c r="CW393" i="23917"/>
  <c r="CU397" i="23917"/>
  <c r="CU396" i="23917"/>
  <c r="CU395" i="23917"/>
  <c r="CU394" i="23917"/>
  <c r="CU393" i="23917"/>
  <c r="CS396" i="23917"/>
  <c r="BM390" i="24050" s="1"/>
  <c r="CS395" i="23917"/>
  <c r="BM389" i="24050" s="1"/>
  <c r="CS394" i="23917"/>
  <c r="BM388" i="24050" s="1"/>
  <c r="CS393" i="23917"/>
  <c r="BM387" i="24050" s="1"/>
  <c r="CO397" i="23917"/>
  <c r="BI391" i="24050" s="1"/>
  <c r="CM397" i="23917"/>
  <c r="BG391" i="24050" s="1"/>
  <c r="CM396" i="23917"/>
  <c r="BG390" i="24050" s="1"/>
  <c r="CM395" i="23917"/>
  <c r="BG389" i="24050" s="1"/>
  <c r="CM394" i="23917"/>
  <c r="BG388" i="24050" s="1"/>
  <c r="CM393" i="23917"/>
  <c r="BG387" i="24050" s="1"/>
  <c r="CK397" i="23917"/>
  <c r="BE391" i="24050" s="1"/>
  <c r="CK394" i="23917"/>
  <c r="BE388" i="24050" s="1"/>
  <c r="CK393" i="23917"/>
  <c r="BE387" i="24050" s="1"/>
  <c r="CI397" i="23917"/>
  <c r="BC391" i="24050" s="1"/>
  <c r="CI394" i="23917"/>
  <c r="BC388" i="24050" s="1"/>
  <c r="CI393" i="23917"/>
  <c r="BC387" i="24050" s="1"/>
  <c r="CG397" i="23917"/>
  <c r="BA391" i="24050" s="1"/>
  <c r="CG394" i="23917"/>
  <c r="BA388" i="24050" s="1"/>
  <c r="CG393" i="23917"/>
  <c r="BA387" i="24050" s="1"/>
  <c r="CE397" i="23917"/>
  <c r="AY391" i="24050" s="1"/>
  <c r="CE394" i="23917"/>
  <c r="AY388" i="24050" s="1"/>
  <c r="CE393" i="23917"/>
  <c r="AY387" i="24050" s="1"/>
  <c r="CC397" i="23917"/>
  <c r="AW391" i="24050" s="1"/>
  <c r="CC394" i="23917"/>
  <c r="AW388" i="24050" s="1"/>
  <c r="CC393" i="23917"/>
  <c r="AW387" i="24050" s="1"/>
  <c r="CA397" i="23917"/>
  <c r="AU391" i="24050" s="1"/>
  <c r="CA394" i="23917"/>
  <c r="AU388" i="24050" s="1"/>
  <c r="CA393" i="23917"/>
  <c r="AU387" i="24050" s="1"/>
  <c r="BY397" i="23917"/>
  <c r="AS391" i="24050" s="1"/>
  <c r="BY394" i="23917"/>
  <c r="AS388" i="24050" s="1"/>
  <c r="BY393" i="23917"/>
  <c r="AS387" i="24050" s="1"/>
  <c r="BW397" i="23917"/>
  <c r="AQ391" i="24050" s="1"/>
  <c r="BW394" i="23917"/>
  <c r="AQ388" i="24050" s="1"/>
  <c r="BW393" i="23917"/>
  <c r="AQ387" i="24050" s="1"/>
  <c r="BU397" i="23917"/>
  <c r="AO391" i="24050" s="1"/>
  <c r="BU394" i="23917"/>
  <c r="AO388" i="24050" s="1"/>
  <c r="BU393" i="23917"/>
  <c r="AO387" i="24050" s="1"/>
  <c r="BS397" i="23917"/>
  <c r="AM391" i="24050" s="1"/>
  <c r="BS394" i="23917"/>
  <c r="AM388" i="24050" s="1"/>
  <c r="BS393" i="23917"/>
  <c r="AM387" i="24050" s="1"/>
  <c r="BQ397" i="23917"/>
  <c r="AK391" i="24050" s="1"/>
  <c r="BQ394" i="23917"/>
  <c r="AK388" i="24050" s="1"/>
  <c r="BQ393" i="23917"/>
  <c r="AK387" i="24050" s="1"/>
  <c r="BO397" i="23917"/>
  <c r="AI391" i="24050" s="1"/>
  <c r="BO394" i="23917"/>
  <c r="AI388" i="24050" s="1"/>
  <c r="BO393" i="23917"/>
  <c r="AI387" i="24050" s="1"/>
  <c r="BM397" i="23917"/>
  <c r="AG391" i="24050" s="1"/>
  <c r="BM394" i="23917"/>
  <c r="AG388" i="24050" s="1"/>
  <c r="BM393" i="23917"/>
  <c r="AG387" i="24050" s="1"/>
  <c r="BK397" i="23917"/>
  <c r="AE391" i="24050" s="1"/>
  <c r="BK394" i="23917"/>
  <c r="AE388" i="24050" s="1"/>
  <c r="BK393" i="23917"/>
  <c r="AE387" i="24050" s="1"/>
  <c r="BI397" i="23917"/>
  <c r="AC391" i="24050" s="1"/>
  <c r="BI394" i="23917"/>
  <c r="AC388" i="24050" s="1"/>
  <c r="BI393" i="23917"/>
  <c r="AC387" i="24050" s="1"/>
  <c r="BG397" i="23917"/>
  <c r="AA391" i="24050" s="1"/>
  <c r="BG394" i="23917"/>
  <c r="AA388" i="24050" s="1"/>
  <c r="BG393" i="23917"/>
  <c r="AA387" i="24050" s="1"/>
  <c r="BB402" i="23917"/>
  <c r="V396" i="24050" s="1"/>
  <c r="AW402" i="23917"/>
  <c r="Q396" i="24050" s="1"/>
  <c r="AT402" i="23917"/>
  <c r="N396" i="24050" s="1"/>
  <c r="AN402" i="23917"/>
  <c r="H396" i="24050" s="1"/>
  <c r="AL402" i="23917"/>
  <c r="F396" i="24050" s="1"/>
  <c r="AK402" i="23917"/>
  <c r="E396" i="24050" s="1"/>
  <c r="AG402" i="23917"/>
  <c r="AD402" i="23917"/>
  <c r="Z402" i="23917"/>
  <c r="AA402" i="23917"/>
  <c r="V402" i="23917"/>
  <c r="U402" i="23917"/>
  <c r="R402" i="23917"/>
  <c r="Q402" i="23917"/>
  <c r="N402" i="23917"/>
  <c r="J402" i="23917"/>
  <c r="I402" i="23917"/>
  <c r="F402" i="23917"/>
  <c r="E402" i="23917"/>
  <c r="D402" i="23917"/>
  <c r="B402" i="23917"/>
  <c r="BC401" i="23917"/>
  <c r="W395" i="24050" s="1"/>
  <c r="BB401" i="23917"/>
  <c r="V395" i="24050" s="1"/>
  <c r="AZ401" i="23917"/>
  <c r="T395" i="24050" s="1"/>
  <c r="AX401" i="23917"/>
  <c r="R395" i="24050" s="1"/>
  <c r="AV401" i="23917"/>
  <c r="P395" i="24050" s="1"/>
  <c r="AT401" i="23917"/>
  <c r="N395" i="24050" s="1"/>
  <c r="AR401" i="23917"/>
  <c r="L395" i="24050" s="1"/>
  <c r="AQ401" i="23917"/>
  <c r="K395" i="24050" s="1"/>
  <c r="AN401" i="23917"/>
  <c r="H395" i="24050" s="1"/>
  <c r="AM401" i="23917"/>
  <c r="G395" i="24050" s="1"/>
  <c r="AL401" i="23917"/>
  <c r="F395" i="24050" s="1"/>
  <c r="AJ401" i="23917"/>
  <c r="D395" i="24050" s="1"/>
  <c r="AH401" i="23917"/>
  <c r="B395" i="24050" s="1"/>
  <c r="AD401" i="23917"/>
  <c r="AB401" i="23917"/>
  <c r="AA401" i="23917"/>
  <c r="Z401" i="23917"/>
  <c r="X401" i="23917"/>
  <c r="W401" i="23917"/>
  <c r="V401" i="23917"/>
  <c r="T401" i="23917"/>
  <c r="R401" i="23917"/>
  <c r="N401" i="23917"/>
  <c r="L401" i="23917"/>
  <c r="K401" i="23917"/>
  <c r="J401" i="23917"/>
  <c r="H401" i="23917"/>
  <c r="G401" i="23917"/>
  <c r="F401" i="23917"/>
  <c r="D401" i="23917"/>
  <c r="B401" i="23917"/>
  <c r="BB400" i="23917"/>
  <c r="V394" i="24050" s="1"/>
  <c r="AZ400" i="23917"/>
  <c r="T394" i="24050" s="1"/>
  <c r="AW400" i="23917"/>
  <c r="Q394" i="24050" s="1"/>
  <c r="AV400" i="23917"/>
  <c r="P394" i="24050" s="1"/>
  <c r="AT400" i="23917"/>
  <c r="N394" i="24050" s="1"/>
  <c r="AR400" i="23917"/>
  <c r="L394" i="24050" s="1"/>
  <c r="AP400" i="23917"/>
  <c r="J394" i="24050" s="1"/>
  <c r="AN400" i="23917"/>
  <c r="H394" i="24050" s="1"/>
  <c r="AF400" i="23917"/>
  <c r="AD400" i="23917"/>
  <c r="AB400" i="23917"/>
  <c r="Z400" i="23917"/>
  <c r="Y400" i="23917"/>
  <c r="V400" i="23917"/>
  <c r="U400" i="23917"/>
  <c r="T400" i="23917"/>
  <c r="R400" i="23917"/>
  <c r="P400" i="23917"/>
  <c r="N400" i="23917"/>
  <c r="L400" i="23917"/>
  <c r="J400" i="23917"/>
  <c r="I400" i="23917"/>
  <c r="F400" i="23917"/>
  <c r="E400" i="23917"/>
  <c r="D400" i="23917"/>
  <c r="B400" i="23917"/>
  <c r="BB399" i="23917"/>
  <c r="V393" i="24050" s="1"/>
  <c r="AY399" i="23917"/>
  <c r="S393" i="24050" s="1"/>
  <c r="AX399" i="23917"/>
  <c r="R393" i="24050" s="1"/>
  <c r="AV399" i="23917"/>
  <c r="P393" i="24050" s="1"/>
  <c r="AT399" i="23917"/>
  <c r="N393" i="24050" s="1"/>
  <c r="AM399" i="23917"/>
  <c r="G393" i="24050" s="1"/>
  <c r="AL399" i="23917"/>
  <c r="F393" i="24050" s="1"/>
  <c r="AJ399" i="23917"/>
  <c r="D393" i="24050" s="1"/>
  <c r="AE399" i="23917"/>
  <c r="AD399" i="23917"/>
  <c r="AB399" i="23917"/>
  <c r="AA399" i="23917"/>
  <c r="Z399" i="23917"/>
  <c r="X399" i="23917"/>
  <c r="V399" i="23917"/>
  <c r="T399" i="23917"/>
  <c r="R399" i="23917"/>
  <c r="Q399" i="23917"/>
  <c r="O399" i="23917"/>
  <c r="N399" i="23917"/>
  <c r="L399" i="23917"/>
  <c r="K399" i="23917"/>
  <c r="J399" i="23917"/>
  <c r="H399" i="23917"/>
  <c r="F399" i="23917"/>
  <c r="D399" i="23917"/>
  <c r="B399" i="23917"/>
  <c r="BA398" i="23917"/>
  <c r="U392" i="24050" s="1"/>
  <c r="AS398" i="23917"/>
  <c r="M392" i="24050" s="1"/>
  <c r="AP398" i="23917"/>
  <c r="J392" i="24050" s="1"/>
  <c r="AO398" i="23917"/>
  <c r="I392" i="24050" s="1"/>
  <c r="AL398" i="23917"/>
  <c r="F392" i="24050" s="1"/>
  <c r="AG398" i="23917"/>
  <c r="AD398" i="23917"/>
  <c r="AC398" i="23917"/>
  <c r="Z398" i="23917"/>
  <c r="V398" i="23917"/>
  <c r="R398" i="23917"/>
  <c r="Q398" i="23917"/>
  <c r="N398" i="23917"/>
  <c r="M398" i="23917"/>
  <c r="J398" i="23917"/>
  <c r="F398" i="23917"/>
  <c r="B398" i="23917"/>
  <c r="AD397" i="23917"/>
  <c r="Z397" i="23917"/>
  <c r="R397" i="23917"/>
  <c r="N397" i="23917"/>
  <c r="J397" i="23917"/>
  <c r="B397" i="23917"/>
  <c r="CQ396" i="23917"/>
  <c r="BK390" i="24050" s="1"/>
  <c r="CQ395" i="23917"/>
  <c r="BK389" i="24050" s="1"/>
  <c r="CQ394" i="23917"/>
  <c r="BK388" i="24050" s="1"/>
  <c r="CQ393" i="23917"/>
  <c r="BK387" i="24050" s="1"/>
  <c r="CO396" i="23917"/>
  <c r="BI390" i="24050" s="1"/>
  <c r="CO395" i="23917"/>
  <c r="BI389" i="24050" s="1"/>
  <c r="CO394" i="23917"/>
  <c r="BI388" i="24050" s="1"/>
  <c r="CO393" i="23917"/>
  <c r="BI387" i="24050" s="1"/>
  <c r="EY395" i="23917"/>
  <c r="BC395" i="23917"/>
  <c r="W389" i="24050" s="1"/>
  <c r="BB395" i="23917"/>
  <c r="V389" i="24050" s="1"/>
  <c r="AT395" i="23917"/>
  <c r="N389" i="24050" s="1"/>
  <c r="AU395" i="23917"/>
  <c r="O389" i="24050" s="1"/>
  <c r="AQ395" i="23917"/>
  <c r="K389" i="24050" s="1"/>
  <c r="AM395" i="23917"/>
  <c r="G389" i="24050" s="1"/>
  <c r="AL395" i="23917"/>
  <c r="F389" i="24050" s="1"/>
  <c r="AA395" i="23917"/>
  <c r="Z395" i="23917"/>
  <c r="Y395" i="23917"/>
  <c r="V395" i="23917"/>
  <c r="R395" i="23917"/>
  <c r="Q395" i="23917"/>
  <c r="O395" i="23917"/>
  <c r="N395" i="23917"/>
  <c r="K395" i="23917"/>
  <c r="J395" i="23917"/>
  <c r="I395" i="23917"/>
  <c r="F395" i="23917"/>
  <c r="C395" i="23917"/>
  <c r="B395" i="23917"/>
  <c r="DW397" i="23917"/>
  <c r="DU397" i="23917"/>
  <c r="DU396" i="23917"/>
  <c r="EE395" i="23917"/>
  <c r="ED395" i="23917"/>
  <c r="EA395" i="23917"/>
  <c r="DW395" i="23917"/>
  <c r="DU395" i="23917"/>
  <c r="DU394" i="23917"/>
  <c r="DU393" i="23917"/>
  <c r="DU390" i="23917"/>
  <c r="CP390" i="23917"/>
  <c r="BJ384" i="24050" s="1"/>
  <c r="CH390" i="23917"/>
  <c r="BB384" i="24050" s="1"/>
  <c r="CD390" i="23917"/>
  <c r="AX384" i="24050" s="1"/>
  <c r="BZ390" i="23917"/>
  <c r="AT384" i="24050" s="1"/>
  <c r="BV390" i="23917"/>
  <c r="AP384" i="24050" s="1"/>
  <c r="BR390" i="23917"/>
  <c r="AL384" i="24050" s="1"/>
  <c r="BN390" i="23917"/>
  <c r="AH384" i="24050" s="1"/>
  <c r="BJ390" i="23917"/>
  <c r="AD384" i="24050" s="1"/>
  <c r="BF390" i="23917"/>
  <c r="Z384" i="24050" s="1"/>
  <c r="DS389" i="23917"/>
  <c r="DS387" i="23917"/>
  <c r="DQ389" i="23917"/>
  <c r="DQ387" i="23917"/>
  <c r="DO389" i="23917"/>
  <c r="DO388" i="23917"/>
  <c r="DO387" i="23917"/>
  <c r="DO386" i="23917"/>
  <c r="DM389" i="23917"/>
  <c r="DM388" i="23917"/>
  <c r="DM387" i="23917"/>
  <c r="DM386" i="23917"/>
  <c r="DK389" i="23917"/>
  <c r="DK388" i="23917"/>
  <c r="DK387" i="23917"/>
  <c r="DK386" i="23917"/>
  <c r="DI389" i="23917"/>
  <c r="DI388" i="23917"/>
  <c r="DI387" i="23917"/>
  <c r="DI386" i="23917"/>
  <c r="DG389" i="23917"/>
  <c r="DG388" i="23917"/>
  <c r="DG387" i="23917"/>
  <c r="DG386" i="23917"/>
  <c r="DE389" i="23917"/>
  <c r="DE388" i="23917"/>
  <c r="DE387" i="23917"/>
  <c r="DE386" i="23917"/>
  <c r="DC389" i="23917"/>
  <c r="DC388" i="23917"/>
  <c r="DC387" i="23917"/>
  <c r="DC386" i="23917"/>
  <c r="DA389" i="23917"/>
  <c r="DA388" i="23917"/>
  <c r="DA387" i="23917"/>
  <c r="DA386" i="23917"/>
  <c r="CY389" i="23917"/>
  <c r="CY388" i="23917"/>
  <c r="CY387" i="23917"/>
  <c r="CY386" i="23917"/>
  <c r="CW389" i="23917"/>
  <c r="CW388" i="23917"/>
  <c r="CW387" i="23917"/>
  <c r="CW386" i="23917"/>
  <c r="CU389" i="23917"/>
  <c r="CU388" i="23917"/>
  <c r="CU387" i="23917"/>
  <c r="CU386" i="23917"/>
  <c r="CS389" i="23917"/>
  <c r="BM383" i="24050" s="1"/>
  <c r="CS388" i="23917"/>
  <c r="BM382" i="24050" s="1"/>
  <c r="CS387" i="23917"/>
  <c r="BM381" i="24050" s="1"/>
  <c r="CS386" i="23917"/>
  <c r="BM380" i="24050" s="1"/>
  <c r="CQ389" i="23917"/>
  <c r="BK383" i="24050" s="1"/>
  <c r="CQ388" i="23917"/>
  <c r="BK382" i="24050" s="1"/>
  <c r="CQ387" i="23917"/>
  <c r="BK381" i="24050" s="1"/>
  <c r="CQ386" i="23917"/>
  <c r="BK380" i="24050" s="1"/>
  <c r="CO389" i="23917"/>
  <c r="BI383" i="24050" s="1"/>
  <c r="CO388" i="23917"/>
  <c r="BI382" i="24050" s="1"/>
  <c r="CO387" i="23917"/>
  <c r="BI381" i="24050" s="1"/>
  <c r="CO386" i="23917"/>
  <c r="BI380" i="24050" s="1"/>
  <c r="CM389" i="23917"/>
  <c r="BG383" i="24050" s="1"/>
  <c r="CM388" i="23917"/>
  <c r="BG382" i="24050" s="1"/>
  <c r="CM387" i="23917"/>
  <c r="BG381" i="24050" s="1"/>
  <c r="CM386" i="23917"/>
  <c r="BG380" i="24050" s="1"/>
  <c r="CK389" i="23917"/>
  <c r="BE383" i="24050" s="1"/>
  <c r="CK388" i="23917"/>
  <c r="BE382" i="24050" s="1"/>
  <c r="CK387" i="23917"/>
  <c r="BE381" i="24050" s="1"/>
  <c r="CK386" i="23917"/>
  <c r="BE380" i="24050" s="1"/>
  <c r="CI389" i="23917"/>
  <c r="BC383" i="24050" s="1"/>
  <c r="CI388" i="23917"/>
  <c r="BC382" i="24050" s="1"/>
  <c r="CI387" i="23917"/>
  <c r="BC381" i="24050" s="1"/>
  <c r="CI386" i="23917"/>
  <c r="BC380" i="24050" s="1"/>
  <c r="CG389" i="23917"/>
  <c r="BA383" i="24050" s="1"/>
  <c r="CG388" i="23917"/>
  <c r="BA382" i="24050" s="1"/>
  <c r="CG387" i="23917"/>
  <c r="BA381" i="24050" s="1"/>
  <c r="CG386" i="23917"/>
  <c r="BA380" i="24050" s="1"/>
  <c r="CE389" i="23917"/>
  <c r="AY383" i="24050" s="1"/>
  <c r="CE388" i="23917"/>
  <c r="AY382" i="24050" s="1"/>
  <c r="CE387" i="23917"/>
  <c r="AY381" i="24050" s="1"/>
  <c r="CE386" i="23917"/>
  <c r="AY380" i="24050" s="1"/>
  <c r="CC389" i="23917"/>
  <c r="AW383" i="24050" s="1"/>
  <c r="CC388" i="23917"/>
  <c r="AW382" i="24050" s="1"/>
  <c r="CC387" i="23917"/>
  <c r="AW381" i="24050" s="1"/>
  <c r="CC386" i="23917"/>
  <c r="AW380" i="24050" s="1"/>
  <c r="CA389" i="23917"/>
  <c r="AU383" i="24050" s="1"/>
  <c r="CA388" i="23917"/>
  <c r="AU382" i="24050" s="1"/>
  <c r="CA387" i="23917"/>
  <c r="AU381" i="24050" s="1"/>
  <c r="CA386" i="23917"/>
  <c r="AU380" i="24050" s="1"/>
  <c r="BY389" i="23917"/>
  <c r="AS383" i="24050" s="1"/>
  <c r="BY388" i="23917"/>
  <c r="AS382" i="24050" s="1"/>
  <c r="BY387" i="23917"/>
  <c r="AS381" i="24050" s="1"/>
  <c r="BY386" i="23917"/>
  <c r="AS380" i="24050" s="1"/>
  <c r="BW389" i="23917"/>
  <c r="AQ383" i="24050" s="1"/>
  <c r="BW388" i="23917"/>
  <c r="AQ382" i="24050" s="1"/>
  <c r="BW387" i="23917"/>
  <c r="AQ381" i="24050" s="1"/>
  <c r="BW386" i="23917"/>
  <c r="AQ380" i="24050" s="1"/>
  <c r="BU389" i="23917"/>
  <c r="AO383" i="24050" s="1"/>
  <c r="BU388" i="23917"/>
  <c r="AO382" i="24050" s="1"/>
  <c r="BU387" i="23917"/>
  <c r="AO381" i="24050" s="1"/>
  <c r="BU386" i="23917"/>
  <c r="AO380" i="24050" s="1"/>
  <c r="BS389" i="23917"/>
  <c r="AM383" i="24050" s="1"/>
  <c r="BS388" i="23917"/>
  <c r="AM382" i="24050" s="1"/>
  <c r="BS387" i="23917"/>
  <c r="AM381" i="24050" s="1"/>
  <c r="BS386" i="23917"/>
  <c r="AM380" i="24050" s="1"/>
  <c r="BQ389" i="23917"/>
  <c r="AK383" i="24050" s="1"/>
  <c r="BQ388" i="23917"/>
  <c r="AK382" i="24050" s="1"/>
  <c r="BQ387" i="23917"/>
  <c r="AK381" i="24050" s="1"/>
  <c r="BQ386" i="23917"/>
  <c r="AK380" i="24050" s="1"/>
  <c r="BO389" i="23917"/>
  <c r="AI383" i="24050" s="1"/>
  <c r="BO388" i="23917"/>
  <c r="AI382" i="24050" s="1"/>
  <c r="BO387" i="23917"/>
  <c r="AI381" i="24050" s="1"/>
  <c r="BO386" i="23917"/>
  <c r="AI380" i="24050" s="1"/>
  <c r="BM389" i="23917"/>
  <c r="AG383" i="24050" s="1"/>
  <c r="BM388" i="23917"/>
  <c r="AG382" i="24050" s="1"/>
  <c r="BM387" i="23917"/>
  <c r="AG381" i="24050" s="1"/>
  <c r="BM386" i="23917"/>
  <c r="AG380" i="24050" s="1"/>
  <c r="BK389" i="23917"/>
  <c r="AE383" i="24050" s="1"/>
  <c r="BK388" i="23917"/>
  <c r="AE382" i="24050" s="1"/>
  <c r="BK387" i="23917"/>
  <c r="AE381" i="24050" s="1"/>
  <c r="BK386" i="23917"/>
  <c r="AE380" i="24050" s="1"/>
  <c r="BI389" i="23917"/>
  <c r="AC383" i="24050" s="1"/>
  <c r="BI388" i="23917"/>
  <c r="AC382" i="24050" s="1"/>
  <c r="BI387" i="23917"/>
  <c r="AC381" i="24050" s="1"/>
  <c r="BI386" i="23917"/>
  <c r="AC380" i="24050" s="1"/>
  <c r="BG389" i="23917"/>
  <c r="AA383" i="24050" s="1"/>
  <c r="BG388" i="23917"/>
  <c r="AA382" i="24050" s="1"/>
  <c r="BG387" i="23917"/>
  <c r="AA381" i="24050" s="1"/>
  <c r="BG386" i="23917"/>
  <c r="AA380" i="24050" s="1"/>
  <c r="BE388" i="23917"/>
  <c r="Y382" i="24050" s="1"/>
  <c r="BB389" i="23917"/>
  <c r="V383" i="24050" s="1"/>
  <c r="AZ389" i="23917"/>
  <c r="T383" i="24050" s="1"/>
  <c r="AV389" i="23917"/>
  <c r="P383" i="24050" s="1"/>
  <c r="AT389" i="23917"/>
  <c r="N383" i="24050" s="1"/>
  <c r="AR389" i="23917"/>
  <c r="L383" i="24050" s="1"/>
  <c r="AN389" i="23917"/>
  <c r="H383" i="24050" s="1"/>
  <c r="AL389" i="23917"/>
  <c r="F383" i="24050" s="1"/>
  <c r="AJ389" i="23917"/>
  <c r="D383" i="24050" s="1"/>
  <c r="AD389" i="23917"/>
  <c r="AB389" i="23917"/>
  <c r="Z389" i="23917"/>
  <c r="V389" i="23917"/>
  <c r="T389" i="23917"/>
  <c r="R389" i="23917"/>
  <c r="N389" i="23917"/>
  <c r="L389" i="23917"/>
  <c r="J389" i="23917"/>
  <c r="F389" i="23917"/>
  <c r="D389" i="23917"/>
  <c r="B389" i="23917"/>
  <c r="DV389" i="23917"/>
  <c r="DU389" i="23917"/>
  <c r="EB388" i="23917"/>
  <c r="DZ388" i="23917"/>
  <c r="DW388" i="23917"/>
  <c r="DU388" i="23917"/>
  <c r="BC388" i="23917"/>
  <c r="W382" i="24050" s="1"/>
  <c r="BA388" i="23917"/>
  <c r="U382" i="24050" s="1"/>
  <c r="AY388" i="23917"/>
  <c r="S382" i="24050" s="1"/>
  <c r="AW388" i="23917"/>
  <c r="Q382" i="24050" s="1"/>
  <c r="AU388" i="23917"/>
  <c r="O382" i="24050" s="1"/>
  <c r="AN388" i="23917"/>
  <c r="H382" i="24050" s="1"/>
  <c r="AJ388" i="23917"/>
  <c r="D382" i="24050" s="1"/>
  <c r="AH388" i="23917"/>
  <c r="B382" i="24050" s="1"/>
  <c r="AF388" i="23917"/>
  <c r="AD388" i="23917"/>
  <c r="AB388" i="23917"/>
  <c r="Z388" i="23917"/>
  <c r="X388" i="23917"/>
  <c r="V388" i="23917"/>
  <c r="T388" i="23917"/>
  <c r="R388" i="23917"/>
  <c r="P388" i="23917"/>
  <c r="N388" i="23917"/>
  <c r="L388" i="23917"/>
  <c r="J388" i="23917"/>
  <c r="H388" i="23917"/>
  <c r="F388" i="23917"/>
  <c r="D388" i="23917"/>
  <c r="B388" i="23917"/>
  <c r="FC387" i="23917"/>
  <c r="FB387" i="23917"/>
  <c r="FA387" i="23917"/>
  <c r="DU387" i="23917"/>
  <c r="DU386" i="23917"/>
  <c r="AZ387" i="23917"/>
  <c r="T381" i="24050" s="1"/>
  <c r="FM387" i="23917"/>
  <c r="FL387" i="23917"/>
  <c r="FK387" i="23917"/>
  <c r="FI387" i="23917"/>
  <c r="FH387" i="23917"/>
  <c r="FG387" i="23917"/>
  <c r="DW387" i="23917"/>
  <c r="EB386" i="23917"/>
  <c r="DZ386" i="23917"/>
  <c r="DW386" i="23917"/>
  <c r="AR387" i="23917"/>
  <c r="L381" i="24050" s="1"/>
  <c r="AD387" i="23917"/>
  <c r="AC387" i="23917"/>
  <c r="AB387" i="23917"/>
  <c r="Z387" i="23917"/>
  <c r="Y387" i="23917"/>
  <c r="X387" i="23917"/>
  <c r="V387" i="23917"/>
  <c r="U387" i="23917"/>
  <c r="T387" i="23917"/>
  <c r="R387" i="23917"/>
  <c r="Q387" i="23917"/>
  <c r="P387" i="23917"/>
  <c r="N387" i="23917"/>
  <c r="M387" i="23917"/>
  <c r="L387" i="23917"/>
  <c r="J387" i="23917"/>
  <c r="I387" i="23917"/>
  <c r="H387" i="23917"/>
  <c r="F387" i="23917"/>
  <c r="E387" i="23917"/>
  <c r="D387" i="23917"/>
  <c r="B387" i="23917"/>
  <c r="AN386" i="23917"/>
  <c r="H380" i="24050" s="1"/>
  <c r="AJ386" i="23917"/>
  <c r="D380" i="24050" s="1"/>
  <c r="AF386" i="23917"/>
  <c r="AD339" i="23917"/>
  <c r="Z339" i="23917"/>
  <c r="V339" i="23917"/>
  <c r="R339" i="23917"/>
  <c r="N339" i="23917"/>
  <c r="J339" i="23917"/>
  <c r="F339" i="23917"/>
  <c r="B339" i="23917"/>
  <c r="L327" i="23917"/>
  <c r="AG326" i="23917"/>
  <c r="AG325" i="23917"/>
  <c r="AG324" i="23917"/>
  <c r="AG323" i="23917"/>
  <c r="AG322" i="23917"/>
  <c r="AD326" i="23917"/>
  <c r="AC326" i="23917"/>
  <c r="AA326" i="23917"/>
  <c r="AA325" i="23917"/>
  <c r="AA324" i="23917"/>
  <c r="AA323" i="23917"/>
  <c r="AA322" i="23917"/>
  <c r="Y326" i="23917"/>
  <c r="Y325" i="23917"/>
  <c r="Y324" i="23917"/>
  <c r="Y323" i="23917"/>
  <c r="Y322" i="23917"/>
  <c r="W326" i="23917"/>
  <c r="W325" i="23917"/>
  <c r="W324" i="23917"/>
  <c r="W323" i="23917"/>
  <c r="W322" i="23917"/>
  <c r="U326" i="23917"/>
  <c r="U325" i="23917"/>
  <c r="U324" i="23917"/>
  <c r="U323" i="23917"/>
  <c r="U322" i="23917"/>
  <c r="S326" i="23917"/>
  <c r="S325" i="23917"/>
  <c r="S324" i="23917"/>
  <c r="S323" i="23917"/>
  <c r="S322" i="23917"/>
  <c r="Q326" i="23917"/>
  <c r="Q325" i="23917"/>
  <c r="Q324" i="23917"/>
  <c r="Q323" i="23917"/>
  <c r="Q322" i="23917"/>
  <c r="O326" i="23917"/>
  <c r="O325" i="23917"/>
  <c r="O324" i="23917"/>
  <c r="O323" i="23917"/>
  <c r="O322" i="23917"/>
  <c r="M326" i="23917"/>
  <c r="M325" i="23917"/>
  <c r="M324" i="23917"/>
  <c r="M323" i="23917"/>
  <c r="M322" i="23917"/>
  <c r="K326" i="23917"/>
  <c r="K325" i="23917"/>
  <c r="K324" i="23917"/>
  <c r="K323" i="23917"/>
  <c r="K322" i="23917"/>
  <c r="I326" i="23917"/>
  <c r="I325" i="23917"/>
  <c r="I324" i="23917"/>
  <c r="I323" i="23917"/>
  <c r="I322" i="23917"/>
  <c r="G326" i="23917"/>
  <c r="G325" i="23917"/>
  <c r="G324" i="23917"/>
  <c r="G323" i="23917"/>
  <c r="G322" i="23917"/>
  <c r="E326" i="23917"/>
  <c r="E325" i="23917"/>
  <c r="E324" i="23917"/>
  <c r="E323" i="23917"/>
  <c r="E322" i="23917"/>
  <c r="C326" i="23917"/>
  <c r="C325" i="23917"/>
  <c r="C324" i="23917"/>
  <c r="C323" i="23917"/>
  <c r="C322" i="23917"/>
  <c r="AE325" i="23917"/>
  <c r="AE324" i="23917"/>
  <c r="AE323" i="23917"/>
  <c r="AE322" i="23917"/>
  <c r="AC325" i="23917"/>
  <c r="AC324" i="23917"/>
  <c r="AC323" i="23917"/>
  <c r="AC322" i="23917"/>
  <c r="AF319" i="23917"/>
  <c r="AB319" i="23917"/>
  <c r="X319" i="23917"/>
  <c r="T319" i="23917"/>
  <c r="P319" i="23917"/>
  <c r="L319" i="23917"/>
  <c r="H319" i="23917"/>
  <c r="D319" i="23917"/>
  <c r="AG318" i="23917"/>
  <c r="AG317" i="23917"/>
  <c r="AG316" i="23917"/>
  <c r="AD318" i="23917"/>
  <c r="AC318" i="23917"/>
  <c r="AA318" i="23917"/>
  <c r="AA317" i="23917"/>
  <c r="AA316" i="23917"/>
  <c r="Y318" i="23917"/>
  <c r="Y317" i="23917"/>
  <c r="Y316" i="23917"/>
  <c r="W318" i="23917"/>
  <c r="W317" i="23917"/>
  <c r="W316" i="23917"/>
  <c r="U318" i="23917"/>
  <c r="U317" i="23917"/>
  <c r="U316" i="23917"/>
  <c r="S318" i="23917"/>
  <c r="S317" i="23917"/>
  <c r="S316" i="23917"/>
  <c r="Q318" i="23917"/>
  <c r="Q317" i="23917"/>
  <c r="Q316" i="23917"/>
  <c r="O318" i="23917"/>
  <c r="O317" i="23917"/>
  <c r="O316" i="23917"/>
  <c r="M318" i="23917"/>
  <c r="M317" i="23917"/>
  <c r="M316" i="23917"/>
  <c r="K318" i="23917"/>
  <c r="K317" i="23917"/>
  <c r="K316" i="23917"/>
  <c r="I318" i="23917"/>
  <c r="I317" i="23917"/>
  <c r="I316" i="23917"/>
  <c r="G318" i="23917"/>
  <c r="G317" i="23917"/>
  <c r="G316" i="23917"/>
  <c r="E318" i="23917"/>
  <c r="E317" i="23917"/>
  <c r="E316" i="23917"/>
  <c r="C318" i="23917"/>
  <c r="C317" i="23917"/>
  <c r="C316" i="23917"/>
  <c r="AE317" i="23917"/>
  <c r="AE316" i="23917"/>
  <c r="AC317" i="23917"/>
  <c r="AC316" i="23917"/>
  <c r="S27" i="24068"/>
  <c r="Q27" i="24068"/>
  <c r="P27" i="24068"/>
  <c r="O27" i="24068"/>
  <c r="DA301" i="24050"/>
  <c r="CY301" i="24050"/>
  <c r="CW301" i="24050"/>
  <c r="CU301" i="24050"/>
  <c r="CS301" i="24050"/>
  <c r="CQ301" i="24050"/>
  <c r="CO301" i="24050"/>
  <c r="CM301" i="24050"/>
  <c r="CK301" i="24050"/>
  <c r="CI301" i="24050"/>
  <c r="CG301" i="24050"/>
  <c r="CE301" i="24050"/>
  <c r="CC301" i="24050"/>
  <c r="CA301" i="24050"/>
  <c r="BY301" i="24050"/>
  <c r="BW301" i="24050"/>
  <c r="BU301" i="24050"/>
  <c r="BS301" i="24050"/>
  <c r="BQ301" i="24050"/>
  <c r="BO301" i="24050"/>
  <c r="BM301" i="24050"/>
  <c r="BK301" i="24050"/>
  <c r="BI301" i="24050"/>
  <c r="BG301" i="24050"/>
  <c r="BE301" i="24050"/>
  <c r="BC301" i="24050"/>
  <c r="BA301" i="24050"/>
  <c r="AY301" i="24050"/>
  <c r="AW301" i="24050"/>
  <c r="AQ301" i="24050"/>
  <c r="AM301" i="24050"/>
  <c r="AK301" i="24050"/>
  <c r="AC301" i="24050"/>
  <c r="AA301" i="24050"/>
  <c r="Y301" i="24050"/>
  <c r="W301" i="24050"/>
  <c r="U301" i="24050"/>
  <c r="S301" i="24050"/>
  <c r="AG307" i="23917"/>
  <c r="AE307" i="23917"/>
  <c r="AC307" i="23917"/>
  <c r="AA307" i="23917"/>
  <c r="Y307" i="23917"/>
  <c r="U307" i="23917"/>
  <c r="S307" i="23917"/>
  <c r="Q307" i="23917"/>
  <c r="O307" i="23917"/>
  <c r="M307" i="23917"/>
  <c r="K307" i="23917"/>
  <c r="I307" i="23917"/>
  <c r="G307" i="23917"/>
  <c r="E307" i="23917"/>
  <c r="C307" i="23917"/>
  <c r="AG303" i="23917"/>
  <c r="AF303" i="23917"/>
  <c r="X303" i="23917"/>
  <c r="T303" i="23917"/>
  <c r="P303" i="23917"/>
  <c r="H303" i="23917"/>
  <c r="D303" i="23917"/>
  <c r="AA302" i="23917"/>
  <c r="Z302" i="23917"/>
  <c r="V302" i="23917"/>
  <c r="R302" i="23917"/>
  <c r="J302" i="23917"/>
  <c r="F302" i="23917"/>
  <c r="B302" i="23917"/>
  <c r="R291" i="23917"/>
  <c r="N291" i="23917"/>
  <c r="J291" i="23917"/>
  <c r="F291" i="23917"/>
  <c r="B291" i="23917"/>
  <c r="G291" i="23917"/>
  <c r="AF290" i="23917"/>
  <c r="AD290" i="23917"/>
  <c r="AB290" i="23917"/>
  <c r="AA290" i="23917"/>
  <c r="Z290" i="23917"/>
  <c r="X290" i="23917"/>
  <c r="V290" i="23917"/>
  <c r="T290" i="23917"/>
  <c r="S290" i="23917"/>
  <c r="Q290" i="23917"/>
  <c r="Q289" i="23917"/>
  <c r="Q288" i="23917"/>
  <c r="Q287" i="23917"/>
  <c r="O290" i="23917"/>
  <c r="O289" i="23917"/>
  <c r="O288" i="23917"/>
  <c r="O287" i="23917"/>
  <c r="M290" i="23917"/>
  <c r="M289" i="23917"/>
  <c r="M288" i="23917"/>
  <c r="M287" i="23917"/>
  <c r="K290" i="23917"/>
  <c r="K289" i="23917"/>
  <c r="K288" i="23917"/>
  <c r="K287" i="23917"/>
  <c r="I290" i="23917"/>
  <c r="I289" i="23917"/>
  <c r="I288" i="23917"/>
  <c r="I287" i="23917"/>
  <c r="G290" i="23917"/>
  <c r="G289" i="23917"/>
  <c r="G288" i="23917"/>
  <c r="G287" i="23917"/>
  <c r="E290" i="23917"/>
  <c r="E289" i="23917"/>
  <c r="E288" i="23917"/>
  <c r="E287" i="23917"/>
  <c r="C290" i="23917"/>
  <c r="C289" i="23917"/>
  <c r="C288" i="23917"/>
  <c r="C287" i="23917"/>
  <c r="W289" i="23917"/>
  <c r="S289" i="23917"/>
  <c r="AG288" i="23917"/>
  <c r="AG287" i="23917"/>
  <c r="AE288" i="23917"/>
  <c r="AE287" i="23917"/>
  <c r="AC288" i="23917"/>
  <c r="AC287" i="23917"/>
  <c r="AA288" i="23917"/>
  <c r="AA287" i="23917"/>
  <c r="Y288" i="23917"/>
  <c r="Y287" i="23917"/>
  <c r="W288" i="23917"/>
  <c r="W287" i="23917"/>
  <c r="U288" i="23917"/>
  <c r="U287" i="23917"/>
  <c r="S288" i="23917"/>
  <c r="S287" i="23917"/>
  <c r="AB284" i="23917"/>
  <c r="Z284" i="23917"/>
  <c r="X284" i="23917"/>
  <c r="T284" i="23917"/>
  <c r="S284" i="23917"/>
  <c r="K284" i="23917"/>
  <c r="C284" i="23917"/>
  <c r="AG283" i="23917"/>
  <c r="AG282" i="23917"/>
  <c r="AG281" i="23917"/>
  <c r="AE283" i="23917"/>
  <c r="AE282" i="23917"/>
  <c r="AE281" i="23917"/>
  <c r="AC283" i="23917"/>
  <c r="AC282" i="23917"/>
  <c r="AC281" i="23917"/>
  <c r="AA283" i="23917"/>
  <c r="AA282" i="23917"/>
  <c r="AA281" i="23917"/>
  <c r="Y283" i="23917"/>
  <c r="Y282" i="23917"/>
  <c r="Y281" i="23917"/>
  <c r="W283" i="23917"/>
  <c r="W282" i="23917"/>
  <c r="W281" i="23917"/>
  <c r="U283" i="23917"/>
  <c r="U282" i="23917"/>
  <c r="U281" i="23917"/>
  <c r="S283" i="23917"/>
  <c r="S282" i="23917"/>
  <c r="S281" i="23917"/>
  <c r="Q283" i="23917"/>
  <c r="Q282" i="23917"/>
  <c r="Q281" i="23917"/>
  <c r="O283" i="23917"/>
  <c r="O282" i="23917"/>
  <c r="O281" i="23917"/>
  <c r="M283" i="23917"/>
  <c r="M282" i="23917"/>
  <c r="M281" i="23917"/>
  <c r="K283" i="23917"/>
  <c r="K282" i="23917"/>
  <c r="K281" i="23917"/>
  <c r="I283" i="23917"/>
  <c r="I282" i="23917"/>
  <c r="I281" i="23917"/>
  <c r="G283" i="23917"/>
  <c r="G282" i="23917"/>
  <c r="G281" i="23917"/>
  <c r="E283" i="23917"/>
  <c r="E282" i="23917"/>
  <c r="E281" i="23917"/>
  <c r="C283" i="23917"/>
  <c r="C282" i="23917"/>
  <c r="C281" i="23917"/>
  <c r="AF269" i="23917"/>
  <c r="V269" i="23917"/>
  <c r="AE268" i="23917"/>
  <c r="AE267" i="23917"/>
  <c r="AE266" i="23917"/>
  <c r="AC268" i="23917"/>
  <c r="AC267" i="23917"/>
  <c r="AC266" i="23917"/>
  <c r="U268" i="23917"/>
  <c r="U267" i="23917"/>
  <c r="U266" i="23917"/>
  <c r="W268" i="23917"/>
  <c r="W267" i="23917"/>
  <c r="W266" i="23917"/>
  <c r="S266" i="23917"/>
  <c r="AF262" i="23917"/>
  <c r="AD262" i="23917"/>
  <c r="AE262" i="23917"/>
  <c r="CU255" i="24050"/>
  <c r="AF261" i="23917"/>
  <c r="U261" i="23917"/>
  <c r="T261" i="23917"/>
  <c r="Q250" i="23917"/>
  <c r="O250" i="23917"/>
  <c r="M250" i="23917"/>
  <c r="AF249" i="23917"/>
  <c r="AC249" i="23917"/>
  <c r="U249" i="23917"/>
  <c r="R249" i="23917"/>
  <c r="AF248" i="23917"/>
  <c r="AE248" i="23917"/>
  <c r="Z248" i="23917"/>
  <c r="W248" i="23917"/>
  <c r="AE247" i="23917"/>
  <c r="AE246" i="23917"/>
  <c r="AC247" i="23917"/>
  <c r="AC246" i="23917"/>
  <c r="U247" i="23917"/>
  <c r="U246" i="23917"/>
  <c r="W247" i="23917"/>
  <c r="W246" i="23917"/>
  <c r="S247" i="23917"/>
  <c r="AF243" i="23917"/>
  <c r="W243" i="23917"/>
  <c r="O243" i="23917"/>
  <c r="AC242" i="23917"/>
  <c r="U242" i="23917"/>
  <c r="U241" i="23917"/>
  <c r="U240" i="23917"/>
  <c r="O242" i="23917"/>
  <c r="O241" i="23917"/>
  <c r="O240" i="23917"/>
  <c r="M242" i="23917"/>
  <c r="M241" i="23917"/>
  <c r="M240" i="23917"/>
  <c r="AE241" i="23917"/>
  <c r="AE240" i="23917"/>
  <c r="AC241" i="23917"/>
  <c r="AC240" i="23917"/>
  <c r="W242" i="23917"/>
  <c r="W241" i="23917"/>
  <c r="Y240" i="23917"/>
  <c r="W240" i="23917"/>
  <c r="Q242" i="23917"/>
  <c r="Q241" i="23917"/>
  <c r="R240" i="23917"/>
  <c r="Q240" i="23917"/>
  <c r="K240" i="23917"/>
  <c r="DR19" i="23917"/>
  <c r="DP19" i="23917"/>
  <c r="DL19" i="23917"/>
  <c r="DJ19" i="23917"/>
  <c r="DH19" i="23917"/>
  <c r="FW19" i="23917"/>
  <c r="FS19" i="23917"/>
  <c r="ED19" i="23917"/>
  <c r="DV19" i="23917"/>
  <c r="CX19" i="23917"/>
  <c r="CT19" i="23917"/>
  <c r="CP19" i="23917"/>
  <c r="CL19" i="23917"/>
  <c r="CH19" i="23917"/>
  <c r="CD19" i="23917"/>
  <c r="BZ19" i="23917"/>
  <c r="BV19" i="23917"/>
  <c r="BR19" i="23917"/>
  <c r="BN19" i="23917"/>
  <c r="BJ19" i="23917"/>
  <c r="BF19" i="23917"/>
  <c r="BB19" i="23917"/>
  <c r="AX19" i="23917"/>
  <c r="AT19" i="23917"/>
  <c r="AP19" i="23917"/>
  <c r="AL19" i="23917"/>
  <c r="AH19" i="23917"/>
  <c r="AD19" i="23917"/>
  <c r="V19" i="23917"/>
  <c r="R19" i="23917"/>
  <c r="L7" i="24068"/>
  <c r="J7" i="24068"/>
  <c r="F7" i="24068"/>
  <c r="D7" i="24068"/>
  <c r="B7" i="24068"/>
  <c r="AF228" i="23917"/>
  <c r="AB228" i="23917"/>
  <c r="Q228" i="23917"/>
  <c r="AE227" i="23917"/>
  <c r="AC227" i="23917"/>
  <c r="W227" i="23917"/>
  <c r="U227" i="23917"/>
  <c r="Q227" i="23917"/>
  <c r="AG226" i="23917"/>
  <c r="AG225" i="23917"/>
  <c r="AE226" i="23917"/>
  <c r="AE225" i="23917"/>
  <c r="AE224" i="23917"/>
  <c r="AC226" i="23917"/>
  <c r="AC225" i="23917"/>
  <c r="AC224" i="23917"/>
  <c r="AA226" i="23917"/>
  <c r="AA225" i="23917"/>
  <c r="Y226" i="23917"/>
  <c r="Y225" i="23917"/>
  <c r="W226" i="23917"/>
  <c r="W225" i="23917"/>
  <c r="W224" i="23917"/>
  <c r="U226" i="23917"/>
  <c r="U225" i="23917"/>
  <c r="U224" i="23917"/>
  <c r="S226" i="23917"/>
  <c r="S225" i="23917"/>
  <c r="Q226" i="23917"/>
  <c r="Q225" i="23917"/>
  <c r="Q224" i="23917"/>
  <c r="O226" i="23917"/>
  <c r="O225" i="23917"/>
  <c r="M226" i="23917"/>
  <c r="M225" i="23917"/>
  <c r="K226" i="23917"/>
  <c r="K225" i="23917"/>
  <c r="I226" i="23917"/>
  <c r="I225" i="23917"/>
  <c r="G226" i="23917"/>
  <c r="G225" i="23917"/>
  <c r="E226" i="23917"/>
  <c r="E225" i="23917"/>
  <c r="C226" i="23917"/>
  <c r="C225" i="23917"/>
  <c r="Z224" i="23917"/>
  <c r="AB221" i="23917"/>
  <c r="AF220" i="23917"/>
  <c r="AD220" i="23917"/>
  <c r="AB220" i="23917"/>
  <c r="T220" i="23917"/>
  <c r="AF219" i="23917"/>
  <c r="V219" i="23917"/>
  <c r="AF207" i="23917"/>
  <c r="AC207" i="23917"/>
  <c r="Z207" i="23917"/>
  <c r="W207" i="23917"/>
  <c r="S207" i="23917"/>
  <c r="AF206" i="23917"/>
  <c r="AC206" i="23917"/>
  <c r="Z206" i="23917"/>
  <c r="U206" i="23917"/>
  <c r="T208" i="23917"/>
  <c r="AE205" i="23917"/>
  <c r="AC205" i="23917"/>
  <c r="AC204" i="23917"/>
  <c r="U205" i="23917"/>
  <c r="U204" i="23917"/>
  <c r="Z205" i="23917"/>
  <c r="W205" i="23917"/>
  <c r="Z204" i="23917"/>
  <c r="W204" i="23917"/>
  <c r="S205" i="23917"/>
  <c r="R204" i="23917"/>
  <c r="AF201" i="23917"/>
  <c r="U201" i="23917"/>
  <c r="AD200" i="23917"/>
  <c r="AC200" i="23917"/>
  <c r="U200" i="23917"/>
  <c r="U199" i="23917"/>
  <c r="U198" i="23917"/>
  <c r="R193" i="24050"/>
  <c r="J193" i="24050"/>
  <c r="AE199" i="23917"/>
  <c r="AE198" i="23917"/>
  <c r="AC199" i="23917"/>
  <c r="AC198" i="23917"/>
  <c r="W200" i="23917"/>
  <c r="W199" i="23917"/>
  <c r="Z198" i="23917"/>
  <c r="W198" i="23917"/>
  <c r="R200" i="23917"/>
  <c r="R199" i="23917"/>
  <c r="R198" i="23917"/>
  <c r="AF186" i="23917"/>
  <c r="AD186" i="23917"/>
  <c r="AB186" i="23917"/>
  <c r="T186" i="23917"/>
  <c r="AE185" i="23917"/>
  <c r="AE184" i="23917"/>
  <c r="AC185" i="23917"/>
  <c r="AC184" i="23917"/>
  <c r="U185" i="23917"/>
  <c r="U184" i="23917"/>
  <c r="Z185" i="23917"/>
  <c r="X185" i="23917"/>
  <c r="W185" i="23917"/>
  <c r="Z184" i="23917"/>
  <c r="W184" i="23917"/>
  <c r="S185" i="23917"/>
  <c r="AF180" i="23917"/>
  <c r="AB180" i="23917"/>
  <c r="T180" i="23917"/>
  <c r="AF179" i="23917"/>
  <c r="AD179" i="23917"/>
  <c r="V179" i="23917"/>
  <c r="AE167" i="23917"/>
  <c r="AE165" i="23917"/>
  <c r="AE164" i="23917"/>
  <c r="AC167" i="23917"/>
  <c r="AC165" i="23917"/>
  <c r="AC164" i="23917"/>
  <c r="Z167" i="23917"/>
  <c r="X167" i="23917"/>
  <c r="W167" i="23917"/>
  <c r="U167" i="23917"/>
  <c r="U165" i="23917"/>
  <c r="U164" i="23917"/>
  <c r="R167" i="23917"/>
  <c r="BZ160" i="24050"/>
  <c r="CP166" i="23917"/>
  <c r="BB160" i="24050"/>
  <c r="AT160" i="24050"/>
  <c r="AL160" i="24050"/>
  <c r="V160" i="24050"/>
  <c r="N160" i="24050"/>
  <c r="AF166" i="23917"/>
  <c r="AD168" i="23917"/>
  <c r="V166" i="23917"/>
  <c r="W165" i="23917"/>
  <c r="Z164" i="23917"/>
  <c r="W164" i="23917"/>
  <c r="R165" i="23917"/>
  <c r="R164" i="23917"/>
  <c r="AD161" i="23917"/>
  <c r="AB161" i="23917"/>
  <c r="V161" i="23917"/>
  <c r="U161" i="23917"/>
  <c r="T161" i="23917"/>
  <c r="AE160" i="23917"/>
  <c r="AE159" i="23917"/>
  <c r="AE158" i="23917"/>
  <c r="AC160" i="23917"/>
  <c r="AC159" i="23917"/>
  <c r="AC158" i="23917"/>
  <c r="U160" i="23917"/>
  <c r="U159" i="23917"/>
  <c r="U158" i="23917"/>
  <c r="Z160" i="23917"/>
  <c r="W160" i="23917"/>
  <c r="Z159" i="23917"/>
  <c r="W159" i="23917"/>
  <c r="AA158" i="23917"/>
  <c r="W158" i="23917"/>
  <c r="R159" i="23917"/>
  <c r="AC145" i="23917"/>
  <c r="W145" i="23917"/>
  <c r="S145" i="23917"/>
  <c r="AE144" i="23917"/>
  <c r="AE143" i="23917"/>
  <c r="AC144" i="23917"/>
  <c r="AC143" i="23917"/>
  <c r="AA144" i="23917"/>
  <c r="AA143" i="23917"/>
  <c r="U144" i="23917"/>
  <c r="U143" i="23917"/>
  <c r="S144" i="23917"/>
  <c r="S143" i="23917"/>
  <c r="W144" i="23917"/>
  <c r="W143" i="23917"/>
  <c r="AF142" i="23917"/>
  <c r="AB142" i="23917"/>
  <c r="W142" i="23917"/>
  <c r="T142" i="23917"/>
  <c r="AE141" i="23917"/>
  <c r="AE140" i="23917"/>
  <c r="AC141" i="23917"/>
  <c r="AC140" i="23917"/>
  <c r="AA141" i="23917"/>
  <c r="Y141" i="23917"/>
  <c r="W141" i="23917"/>
  <c r="U141" i="23917"/>
  <c r="U140" i="23917"/>
  <c r="S141" i="23917"/>
  <c r="Z140" i="23917"/>
  <c r="W140" i="23917"/>
  <c r="R140" i="23917"/>
  <c r="AB125" i="23917"/>
  <c r="BF118" i="24050"/>
  <c r="AX118" i="24050"/>
  <c r="AP118" i="24050"/>
  <c r="BN124" i="23917"/>
  <c r="AE124" i="23917"/>
  <c r="AD124" i="23917"/>
  <c r="AC124" i="23917"/>
  <c r="Z124" i="23917"/>
  <c r="W124" i="23917"/>
  <c r="U124" i="23917"/>
  <c r="U122" i="23917"/>
  <c r="U121" i="23917"/>
  <c r="R124" i="23917"/>
  <c r="DI117" i="24050"/>
  <c r="DP123" i="23917"/>
  <c r="CR123" i="23917"/>
  <c r="BD117" i="24050"/>
  <c r="AV117" i="24050"/>
  <c r="AN117" i="24050"/>
  <c r="AF117" i="24050"/>
  <c r="X117" i="24050"/>
  <c r="P117" i="24050"/>
  <c r="H117" i="24050"/>
  <c r="AF123" i="23917"/>
  <c r="AD123" i="23917"/>
  <c r="Z123" i="23917"/>
  <c r="V123" i="23917"/>
  <c r="T123" i="23917"/>
  <c r="AE122" i="23917"/>
  <c r="AC122" i="23917"/>
  <c r="AC121" i="23917"/>
  <c r="L115" i="24050"/>
  <c r="AF121" i="23917"/>
  <c r="AD121" i="23917"/>
  <c r="Z122" i="23917"/>
  <c r="W122" i="23917"/>
  <c r="W121" i="23917"/>
  <c r="R122" i="23917"/>
  <c r="S121" i="23917"/>
  <c r="R121" i="23917"/>
  <c r="AF118" i="23917"/>
  <c r="AB118" i="23917"/>
  <c r="V118" i="23917"/>
  <c r="AC117" i="23917"/>
  <c r="U117" i="23917"/>
  <c r="U116" i="23917"/>
  <c r="BB117" i="23917"/>
  <c r="AR116" i="23917"/>
  <c r="AE116" i="23917"/>
  <c r="AE115" i="23917"/>
  <c r="AC116" i="23917"/>
  <c r="AC115" i="23917"/>
  <c r="S117" i="23917"/>
  <c r="Z117" i="23917"/>
  <c r="W117" i="23917"/>
  <c r="W116" i="23917"/>
  <c r="Z115" i="23917"/>
  <c r="W115" i="23917"/>
  <c r="S115" i="23917"/>
  <c r="R115" i="23917"/>
  <c r="AG4" i="23917"/>
  <c r="AG61" i="23917" s="1"/>
  <c r="AG3" i="23917"/>
  <c r="AG110" i="23917" s="1"/>
  <c r="AE4" i="23917"/>
  <c r="AE3" i="23917"/>
  <c r="AE60" i="23917" s="1"/>
  <c r="AC4" i="23917"/>
  <c r="AC61" i="23917" s="1"/>
  <c r="AC3" i="23917"/>
  <c r="AA4" i="23917"/>
  <c r="AA61" i="23917" s="1"/>
  <c r="AA3" i="23917"/>
  <c r="AA60" i="23917" s="1"/>
  <c r="Y4" i="23917"/>
  <c r="Y61" i="23917" s="1"/>
  <c r="Y3" i="23917"/>
  <c r="W4" i="23917"/>
  <c r="W3" i="23917"/>
  <c r="W60" i="23917" s="1"/>
  <c r="U4" i="23917"/>
  <c r="U61" i="23917" s="1"/>
  <c r="U3" i="23917"/>
  <c r="S4" i="23917"/>
  <c r="S3" i="23917"/>
  <c r="S60" i="23917" s="1"/>
  <c r="Q4" i="23917"/>
  <c r="Q61" i="23917" s="1"/>
  <c r="Q3" i="23917"/>
  <c r="Q110" i="23917" s="1"/>
  <c r="O4" i="23917"/>
  <c r="O3" i="23917"/>
  <c r="O60" i="23917" s="1"/>
  <c r="M4" i="23917"/>
  <c r="M61" i="23917" s="1"/>
  <c r="M3" i="23917"/>
  <c r="K4" i="23917"/>
  <c r="K61" i="23917" s="1"/>
  <c r="K3" i="23917"/>
  <c r="K60" i="23917" s="1"/>
  <c r="I4" i="23917"/>
  <c r="I61" i="23917" s="1"/>
  <c r="I3" i="23917"/>
  <c r="G4" i="23917"/>
  <c r="G3" i="23917"/>
  <c r="G60" i="23917" s="1"/>
  <c r="E4" i="23917"/>
  <c r="E61" i="23917" s="1"/>
  <c r="E3" i="23917"/>
  <c r="C4" i="23917"/>
  <c r="C3" i="23917"/>
  <c r="C60" i="23917" s="1"/>
  <c r="GJ581" i="23916" l="1"/>
  <c r="GK493" i="23916"/>
  <c r="GJ18" i="23916"/>
  <c r="GK18" i="23916" s="1"/>
  <c r="GT36" i="23916"/>
  <c r="GS36" i="23916"/>
  <c r="GM27" i="23916"/>
  <c r="GL29" i="23916"/>
  <c r="GP35" i="23916"/>
  <c r="GQ35" i="23916" s="1"/>
  <c r="GR34" i="23916"/>
  <c r="GP32" i="23916"/>
  <c r="GQ34" i="23916"/>
  <c r="GN566" i="23916"/>
  <c r="GP415" i="23916"/>
  <c r="GO415" i="23916"/>
  <c r="GK522" i="23916"/>
  <c r="GJ523" i="23916"/>
  <c r="GK523" i="23916" s="1"/>
  <c r="GJ549" i="23916"/>
  <c r="GK549" i="23916" s="1"/>
  <c r="GJ547" i="23916"/>
  <c r="GK547" i="23916" s="1"/>
  <c r="GJ546" i="23916"/>
  <c r="GK546" i="23916" s="1"/>
  <c r="GK531" i="23916"/>
  <c r="GJ533" i="23916"/>
  <c r="GJ544" i="23916"/>
  <c r="GK544" i="23916" s="1"/>
  <c r="GJ542" i="23916"/>
  <c r="GK542" i="23916" s="1"/>
  <c r="GJ543" i="23916"/>
  <c r="GK543" i="23916" s="1"/>
  <c r="GJ545" i="23916"/>
  <c r="GK545" i="23916" s="1"/>
  <c r="GP33" i="23916"/>
  <c r="GO33" i="23916"/>
  <c r="GJ495" i="23916"/>
  <c r="GJ418" i="23916"/>
  <c r="GJ440" i="23916" s="1"/>
  <c r="GJ475" i="23916" s="1"/>
  <c r="GJ538" i="23916"/>
  <c r="GK538" i="23916" s="1"/>
  <c r="GO32" i="23916"/>
  <c r="G17" i="24068"/>
  <c r="V23" i="24068"/>
  <c r="V35" i="24068"/>
  <c r="L28" i="24068"/>
  <c r="AJ400" i="23917"/>
  <c r="D394" i="24050" s="1"/>
  <c r="AK400" i="23917"/>
  <c r="E394" i="24050" s="1"/>
  <c r="N110" i="24050"/>
  <c r="AT116" i="23917"/>
  <c r="T110" i="24050"/>
  <c r="EY123" i="23917"/>
  <c r="DS117" i="24050"/>
  <c r="AE121" i="23917"/>
  <c r="BN122" i="23917"/>
  <c r="AH116" i="24050"/>
  <c r="F117" i="24050"/>
  <c r="AL123" i="23917"/>
  <c r="AR123" i="23917"/>
  <c r="L117" i="24050"/>
  <c r="V117" i="24050"/>
  <c r="BB123" i="23917"/>
  <c r="BH123" i="23917"/>
  <c r="AB117" i="24050"/>
  <c r="AL117" i="24050"/>
  <c r="BR123" i="23917"/>
  <c r="BX123" i="23917"/>
  <c r="AR117" i="24050"/>
  <c r="BB117" i="24050"/>
  <c r="CH123" i="23917"/>
  <c r="CN123" i="23917"/>
  <c r="BH117" i="24050"/>
  <c r="CV123" i="23917"/>
  <c r="BP117" i="24050"/>
  <c r="DD123" i="23917"/>
  <c r="BX117" i="24050"/>
  <c r="DL123" i="23917"/>
  <c r="CF117" i="24050"/>
  <c r="DT123" i="23917"/>
  <c r="CN117" i="24050"/>
  <c r="J118" i="24050"/>
  <c r="AZ124" i="23917"/>
  <c r="T118" i="24050"/>
  <c r="Z118" i="24050"/>
  <c r="BP124" i="23917"/>
  <c r="AJ118" i="24050"/>
  <c r="BX124" i="23917"/>
  <c r="AR118" i="24050"/>
  <c r="BD118" i="24050"/>
  <c r="CJ124" i="23917"/>
  <c r="T166" i="23917"/>
  <c r="F160" i="24050"/>
  <c r="AD160" i="24050"/>
  <c r="BH160" i="24050"/>
  <c r="CN166" i="23917"/>
  <c r="BP160" i="24050"/>
  <c r="CV166" i="23917"/>
  <c r="BX160" i="24050"/>
  <c r="DD166" i="23917"/>
  <c r="CF160" i="24050"/>
  <c r="DL166" i="23917"/>
  <c r="CN160" i="24050"/>
  <c r="DT166" i="23917"/>
  <c r="CL167" i="23917"/>
  <c r="BF161" i="24050"/>
  <c r="AC180" i="23917"/>
  <c r="AD204" i="23917"/>
  <c r="AB208" i="23917"/>
  <c r="AB206" i="23917"/>
  <c r="B200" i="24050"/>
  <c r="AH206" i="23917"/>
  <c r="H200" i="24050"/>
  <c r="P200" i="24050"/>
  <c r="X200" i="24050"/>
  <c r="AF200" i="24050"/>
  <c r="AN200" i="24050"/>
  <c r="AV200" i="24050"/>
  <c r="BD200" i="24050"/>
  <c r="BL200" i="24050"/>
  <c r="BT200" i="24050"/>
  <c r="CB200" i="24050"/>
  <c r="CJ200" i="24050"/>
  <c r="DI200" i="24050"/>
  <c r="EO206" i="23917"/>
  <c r="AE207" i="23917"/>
  <c r="AD207" i="23917"/>
  <c r="F201" i="24050"/>
  <c r="AL207" i="23917"/>
  <c r="DI201" i="24050"/>
  <c r="EO207" i="23917"/>
  <c r="CH221" i="24050"/>
  <c r="DN227" i="23917"/>
  <c r="AP241" i="23917"/>
  <c r="J235" i="24050"/>
  <c r="AX241" i="23917"/>
  <c r="R235" i="24050"/>
  <c r="D242" i="24050"/>
  <c r="AJ248" i="23917"/>
  <c r="L242" i="24050"/>
  <c r="AR248" i="23917"/>
  <c r="T242" i="24050"/>
  <c r="AZ248" i="23917"/>
  <c r="AB242" i="24050"/>
  <c r="BH248" i="23917"/>
  <c r="AJ242" i="24050"/>
  <c r="BP248" i="23917"/>
  <c r="AR242" i="24050"/>
  <c r="BX248" i="23917"/>
  <c r="AZ242" i="24050"/>
  <c r="CF248" i="23917"/>
  <c r="BH242" i="24050"/>
  <c r="CN248" i="23917"/>
  <c r="BP242" i="24050"/>
  <c r="CV248" i="23917"/>
  <c r="BX242" i="24050"/>
  <c r="DD248" i="23917"/>
  <c r="CF242" i="24050"/>
  <c r="DL248" i="23917"/>
  <c r="CN242" i="24050"/>
  <c r="DT248" i="23917"/>
  <c r="EO248" i="23917"/>
  <c r="DI242" i="24050"/>
  <c r="D243" i="24050"/>
  <c r="AJ249" i="23917"/>
  <c r="DS283" i="24050"/>
  <c r="EY289" i="23917"/>
  <c r="AC289" i="23917"/>
  <c r="AB289" i="23917"/>
  <c r="B283" i="24050"/>
  <c r="AH289" i="23917"/>
  <c r="H283" i="24050"/>
  <c r="AN289" i="23917"/>
  <c r="P283" i="24050"/>
  <c r="AV289" i="23917"/>
  <c r="X283" i="24050"/>
  <c r="BD289" i="23917"/>
  <c r="AF283" i="24050"/>
  <c r="BL289" i="23917"/>
  <c r="AN283" i="24050"/>
  <c r="BT289" i="23917"/>
  <c r="AV283" i="24050"/>
  <c r="CB289" i="23917"/>
  <c r="BD283" i="24050"/>
  <c r="CJ289" i="23917"/>
  <c r="BL283" i="24050"/>
  <c r="CR289" i="23917"/>
  <c r="BT283" i="24050"/>
  <c r="CZ289" i="23917"/>
  <c r="CB283" i="24050"/>
  <c r="DH289" i="23917"/>
  <c r="CJ283" i="24050"/>
  <c r="DP289" i="23917"/>
  <c r="AE290" i="23917"/>
  <c r="D284" i="24050"/>
  <c r="AJ290" i="23917"/>
  <c r="S291" i="23917"/>
  <c r="S302" i="23917"/>
  <c r="Y303" i="23917"/>
  <c r="T311" i="24050"/>
  <c r="AZ317" i="23917"/>
  <c r="P312" i="24050"/>
  <c r="AV318" i="23917"/>
  <c r="AD322" i="23917"/>
  <c r="AJ318" i="24050"/>
  <c r="BP324" i="23917"/>
  <c r="AR318" i="24050"/>
  <c r="BX324" i="23917"/>
  <c r="T320" i="24050"/>
  <c r="AZ326" i="23917"/>
  <c r="AB320" i="24050"/>
  <c r="BH326" i="23917"/>
  <c r="AJ320" i="24050"/>
  <c r="BP326" i="23917"/>
  <c r="AR320" i="24050"/>
  <c r="BX326" i="23917"/>
  <c r="AZ320" i="24050"/>
  <c r="CF326" i="23917"/>
  <c r="BH320" i="24050"/>
  <c r="CN326" i="23917"/>
  <c r="BP320" i="24050"/>
  <c r="CV326" i="23917"/>
  <c r="BX320" i="24050"/>
  <c r="DD326" i="23917"/>
  <c r="CF320" i="24050"/>
  <c r="DL326" i="23917"/>
  <c r="CN320" i="24050"/>
  <c r="DT326" i="23917"/>
  <c r="DX395" i="23917"/>
  <c r="DY395" i="23917"/>
  <c r="S395" i="23917"/>
  <c r="AJ395" i="23917"/>
  <c r="D389" i="24050" s="1"/>
  <c r="AK395" i="23917"/>
  <c r="E389" i="24050" s="1"/>
  <c r="AZ395" i="23917"/>
  <c r="T389" i="24050" s="1"/>
  <c r="BA395" i="23917"/>
  <c r="U389" i="24050" s="1"/>
  <c r="L398" i="23917"/>
  <c r="AB398" i="23917"/>
  <c r="AN398" i="23917"/>
  <c r="H392" i="24050" s="1"/>
  <c r="AZ398" i="23917"/>
  <c r="T392" i="24050" s="1"/>
  <c r="Q401" i="23917"/>
  <c r="AG401" i="23917"/>
  <c r="P402" i="23917"/>
  <c r="S402" i="23917"/>
  <c r="AF402" i="23917"/>
  <c r="AI402" i="23917"/>
  <c r="C396" i="24050" s="1"/>
  <c r="AR402" i="23917"/>
  <c r="L396" i="24050" s="1"/>
  <c r="AU402" i="23917"/>
  <c r="O396" i="24050" s="1"/>
  <c r="BR402" i="23917"/>
  <c r="AL396" i="24050" s="1"/>
  <c r="BS402" i="23917"/>
  <c r="AM396" i="24050" s="1"/>
  <c r="DF403" i="23917"/>
  <c r="DI403" i="23917"/>
  <c r="AD360" i="23917"/>
  <c r="AE360" i="23917"/>
  <c r="L372" i="23917"/>
  <c r="M372" i="23917"/>
  <c r="AB372" i="23917"/>
  <c r="AC372" i="23917"/>
  <c r="Y374" i="23917"/>
  <c r="AT398" i="23917"/>
  <c r="N392" i="24050" s="1"/>
  <c r="AU398" i="23917"/>
  <c r="O392" i="24050" s="1"/>
  <c r="AZ399" i="23917"/>
  <c r="T393" i="24050" s="1"/>
  <c r="BA399" i="23917"/>
  <c r="U393" i="24050" s="1"/>
  <c r="L8" i="23917"/>
  <c r="M8" i="23917"/>
  <c r="EJ11" i="23917"/>
  <c r="EI12" i="23917"/>
  <c r="EJ12" i="23917"/>
  <c r="Q22" i="23917"/>
  <c r="B24" i="23917"/>
  <c r="B22" i="23917"/>
  <c r="K22" i="23917"/>
  <c r="C22" i="23917"/>
  <c r="DW19" i="24050"/>
  <c r="DX19" i="24050"/>
  <c r="H30" i="24050"/>
  <c r="EY39" i="23917"/>
  <c r="DS31" i="24050"/>
  <c r="EC30" i="24050"/>
  <c r="ED30" i="24050"/>
  <c r="CL39" i="23917"/>
  <c r="BF31" i="24050"/>
  <c r="CT39" i="23917"/>
  <c r="BN31" i="24050"/>
  <c r="DB39" i="23917"/>
  <c r="BV31" i="24050"/>
  <c r="DJ39" i="23917"/>
  <c r="CD31" i="24050"/>
  <c r="CJ31" i="24050"/>
  <c r="DP39" i="23917"/>
  <c r="T48" i="24068"/>
  <c r="J88" i="24050"/>
  <c r="J76" i="24050"/>
  <c r="BQ82" i="23917"/>
  <c r="AJ88" i="24050"/>
  <c r="AJ76" i="24050"/>
  <c r="BP94" i="23917"/>
  <c r="BP82" i="23917"/>
  <c r="AP88" i="24050"/>
  <c r="AP76" i="24050"/>
  <c r="CW82" i="23917"/>
  <c r="BP88" i="24050"/>
  <c r="BP76" i="24050"/>
  <c r="CV94" i="23917"/>
  <c r="CV82" i="23917"/>
  <c r="BV88" i="24050"/>
  <c r="BV76" i="24050"/>
  <c r="AT77" i="24050"/>
  <c r="T83" i="23917"/>
  <c r="U83" i="23917"/>
  <c r="X39" i="23917"/>
  <c r="BF82" i="23917"/>
  <c r="CL82" i="23917"/>
  <c r="DR82" i="23917"/>
  <c r="AD117" i="23917"/>
  <c r="BD123" i="23917"/>
  <c r="CJ123" i="23917"/>
  <c r="CL124" i="23917"/>
  <c r="BB166" i="23917"/>
  <c r="CH166" i="23917"/>
  <c r="DN166" i="23917"/>
  <c r="AP199" i="23917"/>
  <c r="AV206" i="23917"/>
  <c r="CB206" i="23917"/>
  <c r="DH206" i="23917"/>
  <c r="J110" i="24050"/>
  <c r="AP116" i="23917"/>
  <c r="AX123" i="23917"/>
  <c r="R117" i="24050"/>
  <c r="BJ117" i="24050"/>
  <c r="CP123" i="23917"/>
  <c r="BZ117" i="24050"/>
  <c r="DF123" i="23917"/>
  <c r="EK123" i="23917"/>
  <c r="DE117" i="24050"/>
  <c r="BZ124" i="23917"/>
  <c r="AT118" i="24050"/>
  <c r="F242" i="24050"/>
  <c r="AL248" i="23917"/>
  <c r="AL242" i="24050"/>
  <c r="BR248" i="23917"/>
  <c r="BJ242" i="24050"/>
  <c r="CP248" i="23917"/>
  <c r="BZ242" i="24050"/>
  <c r="DF248" i="23917"/>
  <c r="DE242" i="24050"/>
  <c r="EK248" i="23917"/>
  <c r="Y289" i="23917"/>
  <c r="X289" i="23917"/>
  <c r="J283" i="24050"/>
  <c r="AP289" i="23917"/>
  <c r="AH283" i="24050"/>
  <c r="BN289" i="23917"/>
  <c r="BN283" i="24050"/>
  <c r="CT289" i="23917"/>
  <c r="B316" i="24050"/>
  <c r="AH322" i="23917"/>
  <c r="AL318" i="24050"/>
  <c r="BR324" i="23917"/>
  <c r="AT318" i="24050"/>
  <c r="BZ324" i="23917"/>
  <c r="V320" i="24050"/>
  <c r="BB326" i="23917"/>
  <c r="AD320" i="24050"/>
  <c r="BJ326" i="23917"/>
  <c r="AL320" i="24050"/>
  <c r="BR326" i="23917"/>
  <c r="AT320" i="24050"/>
  <c r="BZ326" i="23917"/>
  <c r="BB320" i="24050"/>
  <c r="CH326" i="23917"/>
  <c r="BJ320" i="24050"/>
  <c r="CP326" i="23917"/>
  <c r="BR320" i="24050"/>
  <c r="CX326" i="23917"/>
  <c r="BZ320" i="24050"/>
  <c r="DF326" i="23917"/>
  <c r="CH320" i="24050"/>
  <c r="DN326" i="23917"/>
  <c r="D395" i="23917"/>
  <c r="E395" i="23917"/>
  <c r="T395" i="23917"/>
  <c r="U395" i="23917"/>
  <c r="AG395" i="23917"/>
  <c r="AV395" i="23917"/>
  <c r="P389" i="24050" s="1"/>
  <c r="AW395" i="23917"/>
  <c r="Q389" i="24050" s="1"/>
  <c r="H397" i="23917"/>
  <c r="X397" i="23917"/>
  <c r="Y397" i="23917"/>
  <c r="AJ398" i="23917"/>
  <c r="D392" i="24050" s="1"/>
  <c r="AV398" i="23917"/>
  <c r="P392" i="24050" s="1"/>
  <c r="AH399" i="23917"/>
  <c r="B393" i="24050" s="1"/>
  <c r="L402" i="23917"/>
  <c r="O402" i="23917"/>
  <c r="AB402" i="23917"/>
  <c r="AE402" i="23917"/>
  <c r="BO402" i="23917"/>
  <c r="AI396" i="24050" s="1"/>
  <c r="BN402" i="23917"/>
  <c r="AH396" i="24050" s="1"/>
  <c r="CC402" i="23917"/>
  <c r="AW396" i="24050" s="1"/>
  <c r="CB402" i="23917"/>
  <c r="AV396" i="24050" s="1"/>
  <c r="DB403" i="23917"/>
  <c r="DE403" i="23917"/>
  <c r="H372" i="23917"/>
  <c r="I372" i="23917"/>
  <c r="X372" i="23917"/>
  <c r="Y372" i="23917"/>
  <c r="AK398" i="23917"/>
  <c r="E392" i="24050" s="1"/>
  <c r="AG399" i="23917"/>
  <c r="L22" i="23917"/>
  <c r="U22" i="23917"/>
  <c r="AJ22" i="23917"/>
  <c r="E19" i="24050"/>
  <c r="D19" i="24050"/>
  <c r="EA19" i="24050"/>
  <c r="ED19" i="24050"/>
  <c r="AN31" i="24050"/>
  <c r="BX39" i="23917"/>
  <c r="AR31" i="24050"/>
  <c r="AS31" i="24050"/>
  <c r="AX31" i="24050"/>
  <c r="CD39" i="23917"/>
  <c r="BB31" i="24050"/>
  <c r="CH39" i="23917"/>
  <c r="BH31" i="24050"/>
  <c r="BP31" i="24050"/>
  <c r="BY31" i="24050"/>
  <c r="BX31" i="24050"/>
  <c r="CF31" i="24050"/>
  <c r="D81" i="23917"/>
  <c r="BB77" i="24050"/>
  <c r="CB77" i="24050"/>
  <c r="CH77" i="24050"/>
  <c r="CV39" i="23917"/>
  <c r="DL39" i="23917"/>
  <c r="AZ116" i="23917"/>
  <c r="AR121" i="23917"/>
  <c r="BL123" i="23917"/>
  <c r="AP124" i="23917"/>
  <c r="AD166" i="23917"/>
  <c r="BJ166" i="23917"/>
  <c r="AX199" i="23917"/>
  <c r="T206" i="23917"/>
  <c r="BD206" i="23917"/>
  <c r="CJ206" i="23917"/>
  <c r="DP206" i="23917"/>
  <c r="CD123" i="23917"/>
  <c r="AX117" i="24050"/>
  <c r="P118" i="24050"/>
  <c r="AV124" i="23917"/>
  <c r="AF118" i="24050"/>
  <c r="BL124" i="23917"/>
  <c r="CF124" i="23917"/>
  <c r="AZ118" i="24050"/>
  <c r="AV166" i="23917"/>
  <c r="P160" i="24050"/>
  <c r="BL166" i="23917"/>
  <c r="AF160" i="24050"/>
  <c r="CJ166" i="23917"/>
  <c r="BD160" i="24050"/>
  <c r="BR162" i="24050"/>
  <c r="BR160" i="24050"/>
  <c r="AR199" i="23917"/>
  <c r="L193" i="24050"/>
  <c r="AZ199" i="23917"/>
  <c r="T193" i="24050"/>
  <c r="J200" i="24050"/>
  <c r="AP206" i="23917"/>
  <c r="Z200" i="24050"/>
  <c r="BF206" i="23917"/>
  <c r="AP200" i="24050"/>
  <c r="BV206" i="23917"/>
  <c r="BF200" i="24050"/>
  <c r="CL206" i="23917"/>
  <c r="BV200" i="24050"/>
  <c r="DB206" i="23917"/>
  <c r="CD200" i="24050"/>
  <c r="DJ206" i="23917"/>
  <c r="AD243" i="23917"/>
  <c r="AD242" i="23917"/>
  <c r="V242" i="24050"/>
  <c r="BB248" i="23917"/>
  <c r="AT242" i="24050"/>
  <c r="BZ248" i="23917"/>
  <c r="BR242" i="24050"/>
  <c r="CX248" i="23917"/>
  <c r="CH242" i="24050"/>
  <c r="DN248" i="23917"/>
  <c r="AD289" i="23917"/>
  <c r="Z283" i="24050"/>
  <c r="BF289" i="23917"/>
  <c r="BF283" i="24050"/>
  <c r="CL289" i="23917"/>
  <c r="T115" i="23917"/>
  <c r="L110" i="24050"/>
  <c r="V111" i="24050"/>
  <c r="X122" i="23917"/>
  <c r="B115" i="24050"/>
  <c r="AH121" i="23917"/>
  <c r="AH123" i="23917"/>
  <c r="B117" i="24050"/>
  <c r="N117" i="24050"/>
  <c r="AT123" i="23917"/>
  <c r="AZ123" i="23917"/>
  <c r="T117" i="24050"/>
  <c r="AD117" i="24050"/>
  <c r="BJ123" i="23917"/>
  <c r="BP123" i="23917"/>
  <c r="AJ117" i="24050"/>
  <c r="AT117" i="24050"/>
  <c r="BZ123" i="23917"/>
  <c r="CF123" i="23917"/>
  <c r="AZ117" i="24050"/>
  <c r="BL117" i="24050"/>
  <c r="BT117" i="24050"/>
  <c r="CB117" i="24050"/>
  <c r="CJ117" i="24050"/>
  <c r="DG117" i="24050"/>
  <c r="EM123" i="23917"/>
  <c r="AR124" i="23917"/>
  <c r="L118" i="24050"/>
  <c r="R118" i="24050"/>
  <c r="BH124" i="23917"/>
  <c r="AB118" i="24050"/>
  <c r="AH118" i="24050"/>
  <c r="AV118" i="24050"/>
  <c r="CB124" i="23917"/>
  <c r="EC136" i="24050"/>
  <c r="AD140" i="24050"/>
  <c r="FD164" i="23917"/>
  <c r="AH166" i="23917"/>
  <c r="B160" i="24050"/>
  <c r="AP166" i="23917"/>
  <c r="J160" i="24050"/>
  <c r="AX166" i="23917"/>
  <c r="R160" i="24050"/>
  <c r="BF166" i="23917"/>
  <c r="Z160" i="24050"/>
  <c r="BN166" i="23917"/>
  <c r="AH160" i="24050"/>
  <c r="BV166" i="23917"/>
  <c r="AP160" i="24050"/>
  <c r="CD166" i="23917"/>
  <c r="AX160" i="24050"/>
  <c r="CL166" i="23917"/>
  <c r="BF160" i="24050"/>
  <c r="CR166" i="23917"/>
  <c r="BL160" i="24050"/>
  <c r="CZ166" i="23917"/>
  <c r="BT160" i="24050"/>
  <c r="DH166" i="23917"/>
  <c r="CB160" i="24050"/>
  <c r="DP166" i="23917"/>
  <c r="CJ160" i="24050"/>
  <c r="DG160" i="24050"/>
  <c r="AP178" i="24050"/>
  <c r="BV184" i="23917"/>
  <c r="AC186" i="23917"/>
  <c r="S200" i="23917"/>
  <c r="AT199" i="23917"/>
  <c r="N193" i="24050"/>
  <c r="BB199" i="23917"/>
  <c r="V193" i="24050"/>
  <c r="W206" i="23917"/>
  <c r="V206" i="23917"/>
  <c r="AE206" i="23917"/>
  <c r="AD206" i="23917"/>
  <c r="L200" i="24050"/>
  <c r="AR206" i="23917"/>
  <c r="T200" i="24050"/>
  <c r="AZ206" i="23917"/>
  <c r="AB200" i="24050"/>
  <c r="BH206" i="23917"/>
  <c r="AJ200" i="24050"/>
  <c r="BP206" i="23917"/>
  <c r="AR200" i="24050"/>
  <c r="BX206" i="23917"/>
  <c r="AZ200" i="24050"/>
  <c r="CF206" i="23917"/>
  <c r="BH200" i="24050"/>
  <c r="CN206" i="23917"/>
  <c r="BP200" i="24050"/>
  <c r="CV206" i="23917"/>
  <c r="BX200" i="24050"/>
  <c r="DD206" i="23917"/>
  <c r="CF200" i="24050"/>
  <c r="DL206" i="23917"/>
  <c r="CL200" i="24050"/>
  <c r="DR206" i="23917"/>
  <c r="EM206" i="23917"/>
  <c r="DG200" i="24050"/>
  <c r="B201" i="24050"/>
  <c r="AH207" i="23917"/>
  <c r="U220" i="23917"/>
  <c r="AT241" i="23917"/>
  <c r="N235" i="24050"/>
  <c r="BB241" i="23917"/>
  <c r="V235" i="24050"/>
  <c r="AE242" i="23917"/>
  <c r="T236" i="24050"/>
  <c r="AZ242" i="23917"/>
  <c r="U248" i="23917"/>
  <c r="T248" i="23917"/>
  <c r="AC248" i="23917"/>
  <c r="AB248" i="23917"/>
  <c r="B242" i="24050"/>
  <c r="AH248" i="23917"/>
  <c r="AN248" i="23917"/>
  <c r="H242" i="24050"/>
  <c r="AV248" i="23917"/>
  <c r="P242" i="24050"/>
  <c r="BD248" i="23917"/>
  <c r="X242" i="24050"/>
  <c r="BL248" i="23917"/>
  <c r="AF242" i="24050"/>
  <c r="BT248" i="23917"/>
  <c r="AN242" i="24050"/>
  <c r="CB248" i="23917"/>
  <c r="AV242" i="24050"/>
  <c r="CJ248" i="23917"/>
  <c r="BD242" i="24050"/>
  <c r="CR248" i="23917"/>
  <c r="BL242" i="24050"/>
  <c r="CZ248" i="23917"/>
  <c r="BT242" i="24050"/>
  <c r="DH248" i="23917"/>
  <c r="CB242" i="24050"/>
  <c r="DP248" i="23917"/>
  <c r="CJ242" i="24050"/>
  <c r="EY248" i="23917"/>
  <c r="DS242" i="24050"/>
  <c r="X249" i="23917"/>
  <c r="DI243" i="24050"/>
  <c r="EO249" i="23917"/>
  <c r="W269" i="23917"/>
  <c r="U289" i="23917"/>
  <c r="T289" i="23917"/>
  <c r="Z289" i="23917"/>
  <c r="AE289" i="23917"/>
  <c r="D283" i="24050"/>
  <c r="AJ289" i="23917"/>
  <c r="L283" i="24050"/>
  <c r="AR289" i="23917"/>
  <c r="T283" i="24050"/>
  <c r="AZ289" i="23917"/>
  <c r="AB283" i="24050"/>
  <c r="BH289" i="23917"/>
  <c r="AJ283" i="24050"/>
  <c r="BP289" i="23917"/>
  <c r="AR283" i="24050"/>
  <c r="BX289" i="23917"/>
  <c r="AZ283" i="24050"/>
  <c r="CF289" i="23917"/>
  <c r="BH283" i="24050"/>
  <c r="CN289" i="23917"/>
  <c r="BP283" i="24050"/>
  <c r="CV289" i="23917"/>
  <c r="BX283" i="24050"/>
  <c r="DD289" i="23917"/>
  <c r="CF283" i="24050"/>
  <c r="DL289" i="23917"/>
  <c r="CN283" i="24050"/>
  <c r="DT289" i="23917"/>
  <c r="W290" i="23917"/>
  <c r="B284" i="24050"/>
  <c r="AH290" i="23917"/>
  <c r="C302" i="23917"/>
  <c r="P311" i="24050"/>
  <c r="AV317" i="23917"/>
  <c r="V311" i="24050"/>
  <c r="BB317" i="23917"/>
  <c r="F316" i="24050"/>
  <c r="AL322" i="23917"/>
  <c r="AN318" i="24050"/>
  <c r="BT324" i="23917"/>
  <c r="AV318" i="24050"/>
  <c r="CB324" i="23917"/>
  <c r="DS318" i="24050"/>
  <c r="EY324" i="23917"/>
  <c r="P320" i="24050"/>
  <c r="AV326" i="23917"/>
  <c r="X320" i="24050"/>
  <c r="BD326" i="23917"/>
  <c r="AF320" i="24050"/>
  <c r="BL326" i="23917"/>
  <c r="AN320" i="24050"/>
  <c r="BT326" i="23917"/>
  <c r="AV320" i="24050"/>
  <c r="CB326" i="23917"/>
  <c r="BD320" i="24050"/>
  <c r="CJ326" i="23917"/>
  <c r="BL320" i="24050"/>
  <c r="CR326" i="23917"/>
  <c r="BT320" i="24050"/>
  <c r="CZ326" i="23917"/>
  <c r="CB320" i="24050"/>
  <c r="DH326" i="23917"/>
  <c r="CJ320" i="24050"/>
  <c r="DP326" i="23917"/>
  <c r="EY326" i="23917"/>
  <c r="DS320" i="24050"/>
  <c r="EF395" i="23917"/>
  <c r="EG395" i="23917"/>
  <c r="AR395" i="23917"/>
  <c r="L389" i="24050" s="1"/>
  <c r="AS395" i="23917"/>
  <c r="M389" i="24050" s="1"/>
  <c r="K397" i="23917"/>
  <c r="AA397" i="23917"/>
  <c r="D398" i="23917"/>
  <c r="I398" i="23917"/>
  <c r="T398" i="23917"/>
  <c r="Y398" i="23917"/>
  <c r="AW398" i="23917"/>
  <c r="Q392" i="24050" s="1"/>
  <c r="G399" i="23917"/>
  <c r="W399" i="23917"/>
  <c r="BC399" i="23917"/>
  <c r="W393" i="24050" s="1"/>
  <c r="Q400" i="23917"/>
  <c r="AG400" i="23917"/>
  <c r="AS400" i="23917"/>
  <c r="M394" i="24050" s="1"/>
  <c r="C401" i="23917"/>
  <c r="S401" i="23917"/>
  <c r="AI401" i="23917"/>
  <c r="C395" i="24050" s="1"/>
  <c r="AY401" i="23917"/>
  <c r="S395" i="24050" s="1"/>
  <c r="M402" i="23917"/>
  <c r="AC402" i="23917"/>
  <c r="AZ402" i="23917"/>
  <c r="T396" i="24050" s="1"/>
  <c r="BC402" i="23917"/>
  <c r="W396" i="24050" s="1"/>
  <c r="EU400" i="23917"/>
  <c r="CE402" i="23917"/>
  <c r="AY396" i="24050" s="1"/>
  <c r="CX403" i="23917"/>
  <c r="DA403" i="23917"/>
  <c r="DC403" i="23917"/>
  <c r="O372" i="23917"/>
  <c r="T372" i="23917"/>
  <c r="U372" i="23917"/>
  <c r="AZ372" i="23917"/>
  <c r="Q374" i="23917"/>
  <c r="AG374" i="23917"/>
  <c r="N9" i="23917"/>
  <c r="O9" i="23917"/>
  <c r="E69" i="23917"/>
  <c r="E73" i="23917"/>
  <c r="I71" i="23917"/>
  <c r="DE19" i="24050"/>
  <c r="M19" i="24050"/>
  <c r="F24" i="23917"/>
  <c r="F22" i="23917"/>
  <c r="W22" i="23917"/>
  <c r="N22" i="23917"/>
  <c r="O19" i="24050"/>
  <c r="F19" i="24050"/>
  <c r="AL22" i="23917"/>
  <c r="BN22" i="23917"/>
  <c r="AH19" i="24050"/>
  <c r="DU19" i="24050"/>
  <c r="AJ39" i="23917"/>
  <c r="E31" i="24050"/>
  <c r="D31" i="24050"/>
  <c r="J31" i="24050"/>
  <c r="AP39" i="23917"/>
  <c r="N31" i="24050"/>
  <c r="AT39" i="23917"/>
  <c r="AP30" i="24050"/>
  <c r="BA82" i="23917"/>
  <c r="T88" i="24050"/>
  <c r="T76" i="24050"/>
  <c r="AZ94" i="23917"/>
  <c r="AZ82" i="23917"/>
  <c r="Z88" i="24050"/>
  <c r="Z76" i="24050"/>
  <c r="CG82" i="23917"/>
  <c r="AZ88" i="24050"/>
  <c r="AZ76" i="24050"/>
  <c r="CF94" i="23917"/>
  <c r="CF82" i="23917"/>
  <c r="BF88" i="24050"/>
  <c r="BF76" i="24050"/>
  <c r="DM82" i="23917"/>
  <c r="CF88" i="24050"/>
  <c r="CF76" i="24050"/>
  <c r="DL94" i="23917"/>
  <c r="DL82" i="23917"/>
  <c r="CL88" i="24050"/>
  <c r="CL76" i="24050"/>
  <c r="CN77" i="24050"/>
  <c r="AP82" i="23917"/>
  <c r="BV82" i="23917"/>
  <c r="DB82" i="23917"/>
  <c r="AP94" i="23917"/>
  <c r="BV94" i="23917"/>
  <c r="DB94" i="23917"/>
  <c r="AN123" i="23917"/>
  <c r="BT123" i="23917"/>
  <c r="CZ123" i="23917"/>
  <c r="AX124" i="23917"/>
  <c r="BV124" i="23917"/>
  <c r="EO123" i="23917"/>
  <c r="AL166" i="23917"/>
  <c r="BR166" i="23917"/>
  <c r="CX166" i="23917"/>
  <c r="BL206" i="23917"/>
  <c r="CR206" i="23917"/>
  <c r="Y110" i="24050"/>
  <c r="AV116" i="23917"/>
  <c r="P110" i="24050"/>
  <c r="V110" i="24050"/>
  <c r="BB116" i="23917"/>
  <c r="L111" i="24050"/>
  <c r="AR117" i="23917"/>
  <c r="BN123" i="23917"/>
  <c r="AH117" i="24050"/>
  <c r="BR117" i="24050"/>
  <c r="CX123" i="23917"/>
  <c r="CH117" i="24050"/>
  <c r="DN123" i="23917"/>
  <c r="BB124" i="23917"/>
  <c r="V118" i="24050"/>
  <c r="BR124" i="23917"/>
  <c r="AL118" i="24050"/>
  <c r="CT131" i="24050"/>
  <c r="DZ137" i="23917"/>
  <c r="AN166" i="23917"/>
  <c r="H160" i="24050"/>
  <c r="BD166" i="23917"/>
  <c r="X160" i="24050"/>
  <c r="BT166" i="23917"/>
  <c r="AN160" i="24050"/>
  <c r="CB166" i="23917"/>
  <c r="AV160" i="24050"/>
  <c r="BJ160" i="24050"/>
  <c r="CH160" i="24050"/>
  <c r="DE160" i="24050"/>
  <c r="EK166" i="23917"/>
  <c r="D200" i="24050"/>
  <c r="AJ206" i="23917"/>
  <c r="R200" i="24050"/>
  <c r="AX206" i="23917"/>
  <c r="AH200" i="24050"/>
  <c r="BN206" i="23917"/>
  <c r="AX200" i="24050"/>
  <c r="CD206" i="23917"/>
  <c r="BN200" i="24050"/>
  <c r="CT206" i="23917"/>
  <c r="DE200" i="24050"/>
  <c r="EK206" i="23917"/>
  <c r="DS200" i="24050"/>
  <c r="EY206" i="23917"/>
  <c r="DE201" i="24050"/>
  <c r="EK207" i="23917"/>
  <c r="CT213" i="24050"/>
  <c r="DZ219" i="23917"/>
  <c r="AR241" i="23917"/>
  <c r="L235" i="24050"/>
  <c r="N242" i="24050"/>
  <c r="AT248" i="23917"/>
  <c r="AD242" i="24050"/>
  <c r="BJ248" i="23917"/>
  <c r="BB242" i="24050"/>
  <c r="CH248" i="23917"/>
  <c r="EM249" i="23917"/>
  <c r="DG243" i="24050"/>
  <c r="W249" i="23917"/>
  <c r="V249" i="23917"/>
  <c r="AE249" i="23917"/>
  <c r="AD249" i="23917"/>
  <c r="R283" i="24050"/>
  <c r="AX289" i="23917"/>
  <c r="AP283" i="24050"/>
  <c r="BV289" i="23917"/>
  <c r="AX283" i="24050"/>
  <c r="CD289" i="23917"/>
  <c r="BV283" i="24050"/>
  <c r="DB289" i="23917"/>
  <c r="CD283" i="24050"/>
  <c r="DJ289" i="23917"/>
  <c r="CL283" i="24050"/>
  <c r="DR289" i="23917"/>
  <c r="AH310" i="24050"/>
  <c r="BN316" i="23917"/>
  <c r="V312" i="24050"/>
  <c r="BB318" i="23917"/>
  <c r="R110" i="24050"/>
  <c r="AX116" i="23917"/>
  <c r="U115" i="23917"/>
  <c r="AP117" i="23917"/>
  <c r="J111" i="24050"/>
  <c r="P111" i="24050"/>
  <c r="AV117" i="23917"/>
  <c r="AR121" i="24050"/>
  <c r="AR122" i="24050" s="1"/>
  <c r="X121" i="23917"/>
  <c r="AL121" i="23917"/>
  <c r="F115" i="24050"/>
  <c r="AB123" i="23917"/>
  <c r="AJ123" i="23917"/>
  <c r="D117" i="24050"/>
  <c r="AP123" i="23917"/>
  <c r="J117" i="24050"/>
  <c r="BF123" i="23917"/>
  <c r="Z117" i="24050"/>
  <c r="BV123" i="23917"/>
  <c r="AP117" i="24050"/>
  <c r="CL123" i="23917"/>
  <c r="BF117" i="24050"/>
  <c r="CT123" i="23917"/>
  <c r="BN117" i="24050"/>
  <c r="DB123" i="23917"/>
  <c r="BV117" i="24050"/>
  <c r="DJ123" i="23917"/>
  <c r="CD117" i="24050"/>
  <c r="DR123" i="23917"/>
  <c r="CL117" i="24050"/>
  <c r="AT124" i="23917"/>
  <c r="N118" i="24050"/>
  <c r="X118" i="24050"/>
  <c r="BD124" i="23917"/>
  <c r="BJ124" i="23917"/>
  <c r="AD118" i="24050"/>
  <c r="CH124" i="23917"/>
  <c r="BB118" i="24050"/>
  <c r="BC130" i="24050"/>
  <c r="CI130" i="24050"/>
  <c r="FD143" i="23917"/>
  <c r="AA145" i="23917"/>
  <c r="AC161" i="23917"/>
  <c r="CW161" i="23917"/>
  <c r="DS160" i="24050"/>
  <c r="EY166" i="23917"/>
  <c r="AB168" i="23917"/>
  <c r="AB166" i="23917"/>
  <c r="D160" i="24050"/>
  <c r="AJ166" i="23917"/>
  <c r="L160" i="24050"/>
  <c r="AR166" i="23917"/>
  <c r="T160" i="24050"/>
  <c r="AZ166" i="23917"/>
  <c r="AB160" i="24050"/>
  <c r="BH166" i="23917"/>
  <c r="AJ160" i="24050"/>
  <c r="BP166" i="23917"/>
  <c r="AR160" i="24050"/>
  <c r="BX166" i="23917"/>
  <c r="AZ160" i="24050"/>
  <c r="CF166" i="23917"/>
  <c r="CT166" i="23917"/>
  <c r="BN160" i="24050"/>
  <c r="DB166" i="23917"/>
  <c r="BV160" i="24050"/>
  <c r="DJ166" i="23917"/>
  <c r="CD160" i="24050"/>
  <c r="DR166" i="23917"/>
  <c r="CL160" i="24050"/>
  <c r="DI160" i="24050"/>
  <c r="EO166" i="23917"/>
  <c r="AJ168" i="23917"/>
  <c r="BV162" i="24050"/>
  <c r="U186" i="23917"/>
  <c r="P193" i="24050"/>
  <c r="AV199" i="23917"/>
  <c r="CU200" i="24050"/>
  <c r="F200" i="24050"/>
  <c r="AL206" i="23917"/>
  <c r="N200" i="24050"/>
  <c r="AT206" i="23917"/>
  <c r="V200" i="24050"/>
  <c r="BB206" i="23917"/>
  <c r="AD200" i="24050"/>
  <c r="BJ206" i="23917"/>
  <c r="AL200" i="24050"/>
  <c r="BR206" i="23917"/>
  <c r="AT200" i="24050"/>
  <c r="BZ206" i="23917"/>
  <c r="BB200" i="24050"/>
  <c r="CH206" i="23917"/>
  <c r="BJ200" i="24050"/>
  <c r="CP206" i="23917"/>
  <c r="BR200" i="24050"/>
  <c r="CX206" i="23917"/>
  <c r="BZ200" i="24050"/>
  <c r="DF206" i="23917"/>
  <c r="CH200" i="24050"/>
  <c r="DN206" i="23917"/>
  <c r="CN200" i="24050"/>
  <c r="DT206" i="23917"/>
  <c r="CJ201" i="24050"/>
  <c r="DP207" i="23917"/>
  <c r="DG201" i="24050"/>
  <c r="EM207" i="23917"/>
  <c r="W219" i="23917"/>
  <c r="P235" i="24050"/>
  <c r="AV241" i="23917"/>
  <c r="V248" i="23917"/>
  <c r="AD248" i="23917"/>
  <c r="J242" i="24050"/>
  <c r="AP248" i="23917"/>
  <c r="R242" i="24050"/>
  <c r="AX248" i="23917"/>
  <c r="Z242" i="24050"/>
  <c r="BF248" i="23917"/>
  <c r="AH242" i="24050"/>
  <c r="BN248" i="23917"/>
  <c r="AP242" i="24050"/>
  <c r="BV248" i="23917"/>
  <c r="AX242" i="24050"/>
  <c r="CD248" i="23917"/>
  <c r="BF242" i="24050"/>
  <c r="CL248" i="23917"/>
  <c r="BN242" i="24050"/>
  <c r="CT248" i="23917"/>
  <c r="BV242" i="24050"/>
  <c r="DB248" i="23917"/>
  <c r="CD242" i="24050"/>
  <c r="DJ248" i="23917"/>
  <c r="CL242" i="24050"/>
  <c r="DR248" i="23917"/>
  <c r="EM248" i="23917"/>
  <c r="DG242" i="24050"/>
  <c r="EK249" i="23917"/>
  <c r="DE243" i="24050"/>
  <c r="T249" i="23917"/>
  <c r="AB263" i="23917"/>
  <c r="AB249" i="23917"/>
  <c r="AH249" i="23917"/>
  <c r="B243" i="24050"/>
  <c r="CT257" i="24050"/>
  <c r="DZ263" i="23917"/>
  <c r="AA284" i="23917"/>
  <c r="V289" i="23917"/>
  <c r="AA289" i="23917"/>
  <c r="AG289" i="23917"/>
  <c r="AF289" i="23917"/>
  <c r="F283" i="24050"/>
  <c r="AL289" i="23917"/>
  <c r="N283" i="24050"/>
  <c r="AT289" i="23917"/>
  <c r="V283" i="24050"/>
  <c r="BB289" i="23917"/>
  <c r="AD283" i="24050"/>
  <c r="BJ289" i="23917"/>
  <c r="AL283" i="24050"/>
  <c r="BR289" i="23917"/>
  <c r="AT283" i="24050"/>
  <c r="BZ289" i="23917"/>
  <c r="BB283" i="24050"/>
  <c r="CH289" i="23917"/>
  <c r="BJ283" i="24050"/>
  <c r="CP289" i="23917"/>
  <c r="BR283" i="24050"/>
  <c r="CX289" i="23917"/>
  <c r="BZ283" i="24050"/>
  <c r="DF289" i="23917"/>
  <c r="CH283" i="24050"/>
  <c r="DN289" i="23917"/>
  <c r="K291" i="23917"/>
  <c r="K302" i="23917"/>
  <c r="Q303" i="23917"/>
  <c r="I303" i="23917"/>
  <c r="R311" i="24050"/>
  <c r="AX317" i="23917"/>
  <c r="L316" i="24050"/>
  <c r="AR322" i="23917"/>
  <c r="AH318" i="24050"/>
  <c r="BN324" i="23917"/>
  <c r="AP318" i="24050"/>
  <c r="BV324" i="23917"/>
  <c r="R320" i="24050"/>
  <c r="AX326" i="23917"/>
  <c r="Z320" i="24050"/>
  <c r="BF326" i="23917"/>
  <c r="AH320" i="24050"/>
  <c r="BN326" i="23917"/>
  <c r="AP320" i="24050"/>
  <c r="BV326" i="23917"/>
  <c r="AX320" i="24050"/>
  <c r="CD326" i="23917"/>
  <c r="BF320" i="24050"/>
  <c r="CL326" i="23917"/>
  <c r="BN320" i="24050"/>
  <c r="CT326" i="23917"/>
  <c r="BV320" i="24050"/>
  <c r="DB326" i="23917"/>
  <c r="CD320" i="24050"/>
  <c r="DJ326" i="23917"/>
  <c r="CL320" i="24050"/>
  <c r="DR326" i="23917"/>
  <c r="C387" i="23917"/>
  <c r="G387" i="23917"/>
  <c r="K387" i="23917"/>
  <c r="O387" i="23917"/>
  <c r="S387" i="23917"/>
  <c r="W387" i="23917"/>
  <c r="AA387" i="23917"/>
  <c r="AE387" i="23917"/>
  <c r="FF387" i="23917"/>
  <c r="FJ387" i="23917"/>
  <c r="FN387" i="23917"/>
  <c r="FD387" i="23917"/>
  <c r="EB395" i="23917"/>
  <c r="EC395" i="23917"/>
  <c r="G395" i="23917"/>
  <c r="L395" i="23917"/>
  <c r="M395" i="23917"/>
  <c r="W395" i="23917"/>
  <c r="AB395" i="23917"/>
  <c r="AC395" i="23917"/>
  <c r="AI395" i="23917"/>
  <c r="C389" i="24050" s="1"/>
  <c r="AN395" i="23917"/>
  <c r="H389" i="24050" s="1"/>
  <c r="AO395" i="23917"/>
  <c r="I389" i="24050" s="1"/>
  <c r="AY395" i="23917"/>
  <c r="S389" i="24050" s="1"/>
  <c r="I397" i="23917"/>
  <c r="E398" i="23917"/>
  <c r="P398" i="23917"/>
  <c r="Q397" i="23917"/>
  <c r="U398" i="23917"/>
  <c r="AF398" i="23917"/>
  <c r="EQ398" i="23917"/>
  <c r="AG397" i="23917"/>
  <c r="AR398" i="23917"/>
  <c r="L392" i="24050" s="1"/>
  <c r="AY398" i="23917"/>
  <c r="S392" i="24050" s="1"/>
  <c r="C399" i="23917"/>
  <c r="S399" i="23917"/>
  <c r="M400" i="23917"/>
  <c r="AC400" i="23917"/>
  <c r="AI400" i="23917"/>
  <c r="C394" i="24050" s="1"/>
  <c r="BA400" i="23917"/>
  <c r="U394" i="24050" s="1"/>
  <c r="O401" i="23917"/>
  <c r="AE401" i="23917"/>
  <c r="AU401" i="23917"/>
  <c r="O395" i="24050" s="1"/>
  <c r="T402" i="23917"/>
  <c r="W402" i="23917"/>
  <c r="Y402" i="23917"/>
  <c r="AJ402" i="23917"/>
  <c r="D396" i="24050" s="1"/>
  <c r="AM402" i="23917"/>
  <c r="G396" i="24050" s="1"/>
  <c r="AO402" i="23917"/>
  <c r="I396" i="24050" s="1"/>
  <c r="AV402" i="23917"/>
  <c r="P396" i="24050" s="1"/>
  <c r="AY402" i="23917"/>
  <c r="S396" i="24050" s="1"/>
  <c r="BA402" i="23917"/>
  <c r="U396" i="24050" s="1"/>
  <c r="BQ402" i="23917"/>
  <c r="AK396" i="24050" s="1"/>
  <c r="BY402" i="23917"/>
  <c r="AS396" i="24050" s="1"/>
  <c r="BW402" i="23917"/>
  <c r="AQ396" i="24050" s="1"/>
  <c r="BV402" i="23917"/>
  <c r="AP396" i="24050" s="1"/>
  <c r="C397" i="23917"/>
  <c r="CY403" i="23917"/>
  <c r="DJ403" i="23917"/>
  <c r="DM403" i="23917"/>
  <c r="DO403" i="23917"/>
  <c r="K372" i="23917"/>
  <c r="P372" i="23917"/>
  <c r="Q372" i="23917"/>
  <c r="AF372" i="23917"/>
  <c r="AG372" i="23917"/>
  <c r="M374" i="23917"/>
  <c r="AC374" i="23917"/>
  <c r="P8" i="23917"/>
  <c r="Q8" i="23917"/>
  <c r="M22" i="23917"/>
  <c r="H23" i="23917"/>
  <c r="H24" i="23917"/>
  <c r="I22" i="23917"/>
  <c r="AB39" i="23917"/>
  <c r="AG39" i="23917"/>
  <c r="F31" i="24050"/>
  <c r="AL39" i="23917"/>
  <c r="P31" i="24050"/>
  <c r="AZ39" i="23917"/>
  <c r="T31" i="24050"/>
  <c r="X31" i="24050"/>
  <c r="BH39" i="23917"/>
  <c r="AC31" i="24050"/>
  <c r="AB31" i="24050"/>
  <c r="AF31" i="24050"/>
  <c r="AL31" i="24050"/>
  <c r="BR39" i="23917"/>
  <c r="V99" i="23917"/>
  <c r="AF77" i="24050"/>
  <c r="AL77" i="24050"/>
  <c r="BL77" i="24050"/>
  <c r="R77" i="24050"/>
  <c r="AV77" i="24050"/>
  <c r="AV22" i="23917"/>
  <c r="AV39" i="23917"/>
  <c r="BT39" i="23917"/>
  <c r="CN39" i="23917"/>
  <c r="DD39" i="23917"/>
  <c r="AV123" i="23917"/>
  <c r="CB123" i="23917"/>
  <c r="DH123" i="23917"/>
  <c r="BF124" i="23917"/>
  <c r="CD124" i="23917"/>
  <c r="AT166" i="23917"/>
  <c r="BZ166" i="23917"/>
  <c r="DF166" i="23917"/>
  <c r="EM166" i="23917"/>
  <c r="AN206" i="23917"/>
  <c r="BT206" i="23917"/>
  <c r="CZ206" i="23917"/>
  <c r="T207" i="23917"/>
  <c r="BK395" i="23917"/>
  <c r="AE389" i="24050" s="1"/>
  <c r="BO395" i="23917"/>
  <c r="AI389" i="24050" s="1"/>
  <c r="BW395" i="23917"/>
  <c r="AQ389" i="24050" s="1"/>
  <c r="C398" i="23917"/>
  <c r="G398" i="23917"/>
  <c r="K398" i="23917"/>
  <c r="O398" i="23917"/>
  <c r="S398" i="23917"/>
  <c r="W398" i="23917"/>
  <c r="AA398" i="23917"/>
  <c r="AE398" i="23917"/>
  <c r="AM398" i="23917"/>
  <c r="G392" i="24050" s="1"/>
  <c r="AQ398" i="23917"/>
  <c r="K392" i="24050" s="1"/>
  <c r="E399" i="23917"/>
  <c r="I399" i="23917"/>
  <c r="M399" i="23917"/>
  <c r="U399" i="23917"/>
  <c r="Y399" i="23917"/>
  <c r="AC399" i="23917"/>
  <c r="AK399" i="23917"/>
  <c r="E393" i="24050" s="1"/>
  <c r="AW399" i="23917"/>
  <c r="Q393" i="24050" s="1"/>
  <c r="C400" i="23917"/>
  <c r="G400" i="23917"/>
  <c r="K400" i="23917"/>
  <c r="O400" i="23917"/>
  <c r="S400" i="23917"/>
  <c r="W400" i="23917"/>
  <c r="AA400" i="23917"/>
  <c r="AE400" i="23917"/>
  <c r="AQ400" i="23917"/>
  <c r="K394" i="24050" s="1"/>
  <c r="AU400" i="23917"/>
  <c r="O394" i="24050" s="1"/>
  <c r="BC400" i="23917"/>
  <c r="W394" i="24050" s="1"/>
  <c r="E401" i="23917"/>
  <c r="I401" i="23917"/>
  <c r="M401" i="23917"/>
  <c r="U401" i="23917"/>
  <c r="Y401" i="23917"/>
  <c r="AC401" i="23917"/>
  <c r="AK401" i="23917"/>
  <c r="E395" i="24050" s="1"/>
  <c r="AO401" i="23917"/>
  <c r="I395" i="24050" s="1"/>
  <c r="AS401" i="23917"/>
  <c r="M395" i="24050" s="1"/>
  <c r="AW401" i="23917"/>
  <c r="Q395" i="24050" s="1"/>
  <c r="BA401" i="23917"/>
  <c r="U395" i="24050" s="1"/>
  <c r="C402" i="23917"/>
  <c r="G402" i="23917"/>
  <c r="K402" i="23917"/>
  <c r="CW403" i="23917"/>
  <c r="G374" i="23917"/>
  <c r="K374" i="23917"/>
  <c r="O374" i="23917"/>
  <c r="S374" i="23917"/>
  <c r="W374" i="23917"/>
  <c r="AA374" i="23917"/>
  <c r="AE374" i="23917"/>
  <c r="Q10" i="23917"/>
  <c r="AN30" i="24050"/>
  <c r="X85" i="23917"/>
  <c r="BU102" i="23917"/>
  <c r="V39" i="23917"/>
  <c r="AD39" i="23917"/>
  <c r="BB39" i="23917"/>
  <c r="BJ39" i="23917"/>
  <c r="BZ39" i="23917"/>
  <c r="AN82" i="23917"/>
  <c r="AV82" i="23917"/>
  <c r="BD82" i="23917"/>
  <c r="BL82" i="23917"/>
  <c r="BT82" i="23917"/>
  <c r="CB82" i="23917"/>
  <c r="CJ82" i="23917"/>
  <c r="CR82" i="23917"/>
  <c r="CZ82" i="23917"/>
  <c r="DH82" i="23917"/>
  <c r="DP82" i="23917"/>
  <c r="AN94" i="23917"/>
  <c r="AV94" i="23917"/>
  <c r="BD94" i="23917"/>
  <c r="BL94" i="23917"/>
  <c r="BT94" i="23917"/>
  <c r="CB94" i="23917"/>
  <c r="CJ94" i="23917"/>
  <c r="CR94" i="23917"/>
  <c r="CZ94" i="23917"/>
  <c r="DH94" i="23917"/>
  <c r="DP94" i="23917"/>
  <c r="L31" i="24050"/>
  <c r="AJ31" i="24050"/>
  <c r="AZ31" i="24050"/>
  <c r="BJ31" i="24050"/>
  <c r="BR31" i="24050"/>
  <c r="BZ31" i="24050"/>
  <c r="CH31" i="24050"/>
  <c r="H76" i="24050"/>
  <c r="P76" i="24050"/>
  <c r="X76" i="24050"/>
  <c r="AF76" i="24050"/>
  <c r="AN76" i="24050"/>
  <c r="AV76" i="24050"/>
  <c r="BD76" i="24050"/>
  <c r="BL76" i="24050"/>
  <c r="BT76" i="24050"/>
  <c r="CB76" i="24050"/>
  <c r="CJ76" i="24050"/>
  <c r="H88" i="24050"/>
  <c r="P88" i="24050"/>
  <c r="X88" i="24050"/>
  <c r="AF88" i="24050"/>
  <c r="AN88" i="24050"/>
  <c r="AV88" i="24050"/>
  <c r="BD88" i="24050"/>
  <c r="BL88" i="24050"/>
  <c r="BT88" i="24050"/>
  <c r="CJ88" i="24050"/>
  <c r="G26" i="24068"/>
  <c r="DI82" i="23917"/>
  <c r="R39" i="23917"/>
  <c r="AH39" i="23917"/>
  <c r="AX39" i="23917"/>
  <c r="BF39" i="23917"/>
  <c r="BV39" i="23917"/>
  <c r="AR82" i="23917"/>
  <c r="BH82" i="23917"/>
  <c r="BX82" i="23917"/>
  <c r="CN82" i="23917"/>
  <c r="DD82" i="23917"/>
  <c r="DT82" i="23917"/>
  <c r="AR94" i="23917"/>
  <c r="BH94" i="23917"/>
  <c r="BX94" i="23917"/>
  <c r="CN94" i="23917"/>
  <c r="DD94" i="23917"/>
  <c r="DT94" i="23917"/>
  <c r="CX95" i="23917"/>
  <c r="T360" i="23917"/>
  <c r="L19" i="24050"/>
  <c r="H31" i="24050"/>
  <c r="AV31" i="24050"/>
  <c r="BD31" i="24050"/>
  <c r="BL31" i="24050"/>
  <c r="CB31" i="24050"/>
  <c r="L76" i="24050"/>
  <c r="AB76" i="24050"/>
  <c r="AR76" i="24050"/>
  <c r="BH76" i="24050"/>
  <c r="BX76" i="24050"/>
  <c r="CN76" i="24050"/>
  <c r="L88" i="24050"/>
  <c r="DQ395" i="23917"/>
  <c r="C72" i="23917"/>
  <c r="AW31" i="24050"/>
  <c r="BA31" i="24050"/>
  <c r="C97" i="23917"/>
  <c r="O97" i="23917"/>
  <c r="AE97" i="23917"/>
  <c r="D22" i="23917"/>
  <c r="BP39" i="23917"/>
  <c r="CF39" i="23917"/>
  <c r="CP39" i="23917"/>
  <c r="CX39" i="23917"/>
  <c r="DF39" i="23917"/>
  <c r="DN39" i="23917"/>
  <c r="AT82" i="23917"/>
  <c r="BB82" i="23917"/>
  <c r="BJ82" i="23917"/>
  <c r="BR82" i="23917"/>
  <c r="BZ82" i="23917"/>
  <c r="CH82" i="23917"/>
  <c r="CP82" i="23917"/>
  <c r="CX82" i="23917"/>
  <c r="DF82" i="23917"/>
  <c r="DN82" i="23917"/>
  <c r="AT94" i="23917"/>
  <c r="BB94" i="23917"/>
  <c r="BJ94" i="23917"/>
  <c r="BR94" i="23917"/>
  <c r="BZ94" i="23917"/>
  <c r="CH94" i="23917"/>
  <c r="CP94" i="23917"/>
  <c r="CX94" i="23917"/>
  <c r="DF94" i="23917"/>
  <c r="DN94" i="23917"/>
  <c r="BZ402" i="23917"/>
  <c r="AT396" i="24050" s="1"/>
  <c r="B31" i="24050"/>
  <c r="R31" i="24050"/>
  <c r="N76" i="24050"/>
  <c r="V76" i="24050"/>
  <c r="AD76" i="24050"/>
  <c r="AL76" i="24050"/>
  <c r="AT76" i="24050"/>
  <c r="BB76" i="24050"/>
  <c r="BJ76" i="24050"/>
  <c r="BR76" i="24050"/>
  <c r="BZ76" i="24050"/>
  <c r="CH76" i="24050"/>
  <c r="DE30" i="24050"/>
  <c r="DI30" i="24050"/>
  <c r="E222" i="24050"/>
  <c r="EP226" i="23917"/>
  <c r="U10" i="24068"/>
  <c r="DR109" i="24050"/>
  <c r="EX115" i="23917"/>
  <c r="DE131" i="24050"/>
  <c r="EK137" i="23917"/>
  <c r="Y130" i="24050"/>
  <c r="BE136" i="23917"/>
  <c r="EI152" i="24050"/>
  <c r="FO158" i="23917"/>
  <c r="AI180" i="24050"/>
  <c r="BO186" i="23917"/>
  <c r="AY112" i="24050"/>
  <c r="CE118" i="23917"/>
  <c r="CA112" i="24050"/>
  <c r="DG118" i="23917"/>
  <c r="W130" i="24050"/>
  <c r="BC136" i="23917"/>
  <c r="AE130" i="24050"/>
  <c r="BK136" i="23917"/>
  <c r="BK130" i="24050"/>
  <c r="CQ136" i="23917"/>
  <c r="CA130" i="24050"/>
  <c r="DG136" i="23917"/>
  <c r="BM136" i="24050"/>
  <c r="CS142" i="23917"/>
  <c r="S139" i="24050"/>
  <c r="AY145" i="23917"/>
  <c r="AW139" i="24050"/>
  <c r="CC145" i="23917"/>
  <c r="CF140" i="24050"/>
  <c r="DL146" i="23917"/>
  <c r="CW152" i="24050"/>
  <c r="EC158" i="23917"/>
  <c r="EI154" i="24050"/>
  <c r="FO160" i="23917"/>
  <c r="DX152" i="24050"/>
  <c r="FD158" i="23917"/>
  <c r="T368" i="24050"/>
  <c r="T175" i="24050"/>
  <c r="AZ181" i="23917"/>
  <c r="G173" i="24050"/>
  <c r="AM179" i="23917"/>
  <c r="BS173" i="24050"/>
  <c r="CY179" i="23917"/>
  <c r="DH173" i="24050"/>
  <c r="EN179" i="23917"/>
  <c r="E180" i="24050"/>
  <c r="AK186" i="23917"/>
  <c r="BK180" i="24050"/>
  <c r="CQ186" i="23917"/>
  <c r="CX215" i="24050"/>
  <c r="ED221" i="23917"/>
  <c r="AR8" i="24050"/>
  <c r="BX127" i="23917"/>
  <c r="AQ130" i="24050"/>
  <c r="BW136" i="23917"/>
  <c r="W173" i="24050"/>
  <c r="BC179" i="23917"/>
  <c r="EF110" i="24050"/>
  <c r="FL116" i="23917"/>
  <c r="CE112" i="24050"/>
  <c r="DK118" i="23917"/>
  <c r="CM119" i="24050"/>
  <c r="DS125" i="23917"/>
  <c r="CI136" i="23917"/>
  <c r="BS130" i="24050"/>
  <c r="CY136" i="23917"/>
  <c r="DO136" i="23917"/>
  <c r="S136" i="24050"/>
  <c r="AY142" i="23917"/>
  <c r="FI142" i="23917"/>
  <c r="G139" i="24050"/>
  <c r="AM145" i="23917"/>
  <c r="BJ146" i="23917"/>
  <c r="AZ140" i="24050"/>
  <c r="CF146" i="23917"/>
  <c r="CQ153" i="24050"/>
  <c r="DW159" i="23917"/>
  <c r="AZ175" i="24050"/>
  <c r="CF181" i="23917"/>
  <c r="DX158" i="24050"/>
  <c r="AM173" i="24050"/>
  <c r="BS179" i="23917"/>
  <c r="DV201" i="24050"/>
  <c r="FB207" i="23917"/>
  <c r="BE213" i="24050"/>
  <c r="CK219" i="23917"/>
  <c r="BM139" i="24050"/>
  <c r="CS145" i="23917"/>
  <c r="CI173" i="24050"/>
  <c r="DO179" i="23917"/>
  <c r="CO195" i="24050"/>
  <c r="DU201" i="23917"/>
  <c r="CR110" i="24050"/>
  <c r="DX116" i="23917"/>
  <c r="DU130" i="24050"/>
  <c r="FA136" i="23917"/>
  <c r="DZ111" i="24050"/>
  <c r="FF117" i="23917"/>
  <c r="AI112" i="24050"/>
  <c r="BO118" i="23917"/>
  <c r="AY130" i="24050"/>
  <c r="CE136" i="23917"/>
  <c r="AW136" i="24050"/>
  <c r="CC142" i="23917"/>
  <c r="DX137" i="24050"/>
  <c r="BQ139" i="24050"/>
  <c r="CW145" i="23917"/>
  <c r="DP153" i="24050"/>
  <c r="EV159" i="23917"/>
  <c r="E155" i="24050"/>
  <c r="AK161" i="23917"/>
  <c r="BQ155" i="24050"/>
  <c r="ED179" i="24050"/>
  <c r="FJ185" i="23917"/>
  <c r="E3" i="24050"/>
  <c r="AK3" i="23917"/>
  <c r="U3" i="24050"/>
  <c r="BA3" i="23917"/>
  <c r="AK3" i="24050"/>
  <c r="BQ3" i="23917"/>
  <c r="AW4" i="24050"/>
  <c r="CC4" i="23917"/>
  <c r="CC61" i="23917" s="1"/>
  <c r="BI4" i="24050"/>
  <c r="CO4" i="23917"/>
  <c r="CO61" i="23917" s="1"/>
  <c r="BM4" i="24050"/>
  <c r="CS4" i="23917"/>
  <c r="CS61" i="23917" s="1"/>
  <c r="BY4" i="24050"/>
  <c r="DE4" i="23917"/>
  <c r="DE61" i="23917" s="1"/>
  <c r="CK4" i="24050"/>
  <c r="DQ4" i="23917"/>
  <c r="DQ61" i="23917" s="1"/>
  <c r="CW4" i="24050"/>
  <c r="EC4" i="23917"/>
  <c r="EC61" i="23917" s="1"/>
  <c r="DJ4" i="24050"/>
  <c r="EP4" i="23917"/>
  <c r="EP61" i="23917" s="1"/>
  <c r="EF4" i="24050"/>
  <c r="FL4" i="23917"/>
  <c r="ER4" i="24050"/>
  <c r="FX4" i="23917"/>
  <c r="FX61" i="23917" s="1"/>
  <c r="K109" i="24050"/>
  <c r="AQ115" i="23917"/>
  <c r="CP111" i="24050"/>
  <c r="DV117" i="23917"/>
  <c r="EH109" i="24050"/>
  <c r="FN115" i="23917"/>
  <c r="BE116" i="23917"/>
  <c r="DV110" i="24050"/>
  <c r="FB116" i="23917"/>
  <c r="Q111" i="24050"/>
  <c r="AW117" i="23917"/>
  <c r="AG110" i="24050"/>
  <c r="BM116" i="23917"/>
  <c r="AM109" i="24050"/>
  <c r="BS115" i="23917"/>
  <c r="AU109" i="24050"/>
  <c r="CA115" i="23917"/>
  <c r="BC109" i="24050"/>
  <c r="CI115" i="23917"/>
  <c r="BK109" i="24050"/>
  <c r="CQ115" i="23917"/>
  <c r="BS109" i="24050"/>
  <c r="CY115" i="23917"/>
  <c r="CA109" i="24050"/>
  <c r="DG115" i="23917"/>
  <c r="CI109" i="24050"/>
  <c r="DO115" i="23917"/>
  <c r="DH109" i="24050"/>
  <c r="EN115" i="23917"/>
  <c r="U118" i="23917"/>
  <c r="T118" i="23917"/>
  <c r="AM112" i="24050"/>
  <c r="BS118" i="23917"/>
  <c r="BS112" i="24050"/>
  <c r="CY118" i="23917"/>
  <c r="BX112" i="24050"/>
  <c r="DD118" i="23917"/>
  <c r="CN112" i="24050"/>
  <c r="DT118" i="23917"/>
  <c r="DX115" i="24050"/>
  <c r="FD121" i="23917"/>
  <c r="DM116" i="24050"/>
  <c r="ES122" i="23917"/>
  <c r="DM118" i="24050"/>
  <c r="ES124" i="23917"/>
  <c r="O115" i="24050"/>
  <c r="AU121" i="23917"/>
  <c r="W116" i="24050"/>
  <c r="BC122" i="23917"/>
  <c r="AK116" i="24050"/>
  <c r="BQ122" i="23917"/>
  <c r="BC115" i="24050"/>
  <c r="CI121" i="23917"/>
  <c r="I117" i="24050"/>
  <c r="AO123" i="23917"/>
  <c r="BE117" i="24050"/>
  <c r="CK123" i="23917"/>
  <c r="G116" i="24050"/>
  <c r="AM122" i="23917"/>
  <c r="AL131" i="24050"/>
  <c r="BR137" i="23917"/>
  <c r="BQ115" i="24050"/>
  <c r="CW121" i="23917"/>
  <c r="BW116" i="24050"/>
  <c r="DC122" i="23917"/>
  <c r="CE117" i="24050"/>
  <c r="DK123" i="23917"/>
  <c r="CK118" i="24050"/>
  <c r="DQ124" i="23917"/>
  <c r="BX119" i="24050"/>
  <c r="DD125" i="23917"/>
  <c r="AB136" i="23917"/>
  <c r="T130" i="24050"/>
  <c r="AZ136" i="23917"/>
  <c r="AO130" i="24050"/>
  <c r="BU136" i="23917"/>
  <c r="BA130" i="24050"/>
  <c r="CG136" i="23917"/>
  <c r="BM130" i="24050"/>
  <c r="CS136" i="23917"/>
  <c r="BY130" i="24050"/>
  <c r="DE136" i="23917"/>
  <c r="CK130" i="24050"/>
  <c r="DQ136" i="23917"/>
  <c r="CX131" i="24050"/>
  <c r="ED137" i="23917"/>
  <c r="DY134" i="24050"/>
  <c r="FE140" i="23917"/>
  <c r="DW135" i="24050"/>
  <c r="FC141" i="23917"/>
  <c r="DU136" i="24050"/>
  <c r="FA142" i="23917"/>
  <c r="S134" i="24050"/>
  <c r="AY140" i="23917"/>
  <c r="AI134" i="24050"/>
  <c r="BO140" i="23917"/>
  <c r="AU134" i="24050"/>
  <c r="CA140" i="23917"/>
  <c r="BG134" i="24050"/>
  <c r="CM140" i="23917"/>
  <c r="BS134" i="24050"/>
  <c r="CY140" i="23917"/>
  <c r="CI134" i="24050"/>
  <c r="DO140" i="23917"/>
  <c r="DJ134" i="24050"/>
  <c r="EP140" i="23917"/>
  <c r="G136" i="24050"/>
  <c r="AM142" i="23917"/>
  <c r="AO136" i="24050"/>
  <c r="BU142" i="23917"/>
  <c r="BU136" i="24050"/>
  <c r="DA142" i="23917"/>
  <c r="CF136" i="24050"/>
  <c r="DL142" i="23917"/>
  <c r="CU134" i="24050"/>
  <c r="EA140" i="23917"/>
  <c r="DA134" i="24050"/>
  <c r="EG140" i="23917"/>
  <c r="EH136" i="24050"/>
  <c r="FN142" i="23917"/>
  <c r="EN135" i="24050"/>
  <c r="FT141" i="23917"/>
  <c r="ET134" i="24050"/>
  <c r="FZ140" i="23917"/>
  <c r="DU137" i="24050"/>
  <c r="FA143" i="23917"/>
  <c r="C138" i="24050"/>
  <c r="AI144" i="23917"/>
  <c r="S138" i="24050"/>
  <c r="AY144" i="23917"/>
  <c r="AO138" i="24050"/>
  <c r="BU144" i="23917"/>
  <c r="AW138" i="24050"/>
  <c r="CC144" i="23917"/>
  <c r="BI138" i="24050"/>
  <c r="CO144" i="23917"/>
  <c r="BU138" i="24050"/>
  <c r="DA144" i="23917"/>
  <c r="CG138" i="24050"/>
  <c r="DM144" i="23917"/>
  <c r="CO138" i="24050"/>
  <c r="DU144" i="23917"/>
  <c r="B139" i="24050"/>
  <c r="AH145" i="23917"/>
  <c r="N139" i="24050"/>
  <c r="AT145" i="23917"/>
  <c r="V139" i="24050"/>
  <c r="BB145" i="23917"/>
  <c r="AJ139" i="24050"/>
  <c r="BP145" i="23917"/>
  <c r="AT139" i="24050"/>
  <c r="BZ145" i="23917"/>
  <c r="BJ139" i="24050"/>
  <c r="CP145" i="23917"/>
  <c r="CK139" i="24050"/>
  <c r="DQ145" i="23917"/>
  <c r="CW139" i="24050"/>
  <c r="EC145" i="23917"/>
  <c r="DF139" i="24050"/>
  <c r="EL145" i="23917"/>
  <c r="DN139" i="24050"/>
  <c r="ET145" i="23917"/>
  <c r="EN137" i="24050"/>
  <c r="FT143" i="23917"/>
  <c r="AF146" i="23917"/>
  <c r="EL140" i="24050"/>
  <c r="FR146" i="23917"/>
  <c r="AA160" i="23917"/>
  <c r="R160" i="23917"/>
  <c r="CU154" i="24050"/>
  <c r="EA160" i="23917"/>
  <c r="DQ152" i="24050"/>
  <c r="EW158" i="23917"/>
  <c r="EC152" i="24050"/>
  <c r="FI158" i="23917"/>
  <c r="DT153" i="24050"/>
  <c r="EZ159" i="23917"/>
  <c r="I152" i="24050"/>
  <c r="AO158" i="23917"/>
  <c r="S153" i="24050"/>
  <c r="AY159" i="23917"/>
  <c r="Y152" i="24050"/>
  <c r="BE158" i="23917"/>
  <c r="AG152" i="24050"/>
  <c r="BM158" i="23917"/>
  <c r="AO152" i="24050"/>
  <c r="BU158" i="23917"/>
  <c r="AW152" i="24050"/>
  <c r="CC158" i="23917"/>
  <c r="BE152" i="24050"/>
  <c r="CK158" i="23917"/>
  <c r="BM152" i="24050"/>
  <c r="CS158" i="23917"/>
  <c r="BY154" i="24050"/>
  <c r="DE160" i="23917"/>
  <c r="CE153" i="24050"/>
  <c r="DK159" i="23917"/>
  <c r="CM153" i="24050"/>
  <c r="DS159" i="23917"/>
  <c r="DO154" i="24050"/>
  <c r="EU160" i="23917"/>
  <c r="EA154" i="24050"/>
  <c r="FG160" i="23917"/>
  <c r="Y155" i="24050"/>
  <c r="BE161" i="23917"/>
  <c r="AJ155" i="24050"/>
  <c r="BP161" i="23917"/>
  <c r="AT155" i="24050"/>
  <c r="BZ161" i="23917"/>
  <c r="BU155" i="24050"/>
  <c r="DA161" i="23917"/>
  <c r="CF155" i="24050"/>
  <c r="DL161" i="23917"/>
  <c r="DI155" i="24050"/>
  <c r="EO161" i="23917"/>
  <c r="CO160" i="24050"/>
  <c r="DU166" i="23917"/>
  <c r="EB158" i="24050"/>
  <c r="FH164" i="23917"/>
  <c r="DW159" i="24050"/>
  <c r="FC165" i="23917"/>
  <c r="BE159" i="24050"/>
  <c r="CK165" i="23917"/>
  <c r="CX168" i="23917"/>
  <c r="K159" i="24050"/>
  <c r="AQ165" i="23917"/>
  <c r="S159" i="24050"/>
  <c r="AY165" i="23917"/>
  <c r="AA159" i="24050"/>
  <c r="BG165" i="23917"/>
  <c r="AI159" i="24050"/>
  <c r="BO165" i="23917"/>
  <c r="AO158" i="24050"/>
  <c r="BU164" i="23917"/>
  <c r="AW158" i="24050"/>
  <c r="CC164" i="23917"/>
  <c r="BI161" i="24050"/>
  <c r="CO167" i="23917"/>
  <c r="BO159" i="24050"/>
  <c r="CU165" i="23917"/>
  <c r="BW158" i="24050"/>
  <c r="DC164" i="23917"/>
  <c r="CC159" i="24050"/>
  <c r="DI165" i="23917"/>
  <c r="CG159" i="24050"/>
  <c r="DM165" i="23917"/>
  <c r="CM160" i="24050"/>
  <c r="DS166" i="23917"/>
  <c r="D162" i="24050"/>
  <c r="BF162" i="24050"/>
  <c r="CL168" i="23917"/>
  <c r="DB168" i="23917"/>
  <c r="AE179" i="23917"/>
  <c r="P173" i="24050"/>
  <c r="AV179" i="23917"/>
  <c r="AQ173" i="24050"/>
  <c r="BW179" i="23917"/>
  <c r="BB173" i="24050"/>
  <c r="CH179" i="23917"/>
  <c r="BL173" i="24050"/>
  <c r="CR179" i="23917"/>
  <c r="CM173" i="24050"/>
  <c r="DS179" i="23917"/>
  <c r="D174" i="24050"/>
  <c r="AJ180" i="23917"/>
  <c r="R367" i="24050"/>
  <c r="R174" i="24050"/>
  <c r="AX180" i="23917"/>
  <c r="AN174" i="24050"/>
  <c r="BT180" i="23917"/>
  <c r="BH174" i="24050"/>
  <c r="CN180" i="23917"/>
  <c r="BV174" i="24050"/>
  <c r="DB180" i="23917"/>
  <c r="CT174" i="24050"/>
  <c r="DZ180" i="23917"/>
  <c r="L175" i="24050"/>
  <c r="AR181" i="23917"/>
  <c r="M178" i="24050"/>
  <c r="AS184" i="23917"/>
  <c r="AI178" i="24050"/>
  <c r="BO184" i="23917"/>
  <c r="DJ178" i="24050"/>
  <c r="EP184" i="23917"/>
  <c r="I180" i="24050"/>
  <c r="AO186" i="23917"/>
  <c r="T180" i="24050"/>
  <c r="AZ186" i="23917"/>
  <c r="BY180" i="24050"/>
  <c r="DE186" i="23917"/>
  <c r="DP179" i="24050"/>
  <c r="EV185" i="23917"/>
  <c r="EN178" i="24050"/>
  <c r="FT184" i="23917"/>
  <c r="CR194" i="24050"/>
  <c r="DX200" i="23917"/>
  <c r="DQ192" i="24050"/>
  <c r="EW198" i="23917"/>
  <c r="DY192" i="24050"/>
  <c r="FE198" i="23917"/>
  <c r="E193" i="24050"/>
  <c r="AK199" i="23917"/>
  <c r="O192" i="24050"/>
  <c r="AU198" i="23917"/>
  <c r="Y192" i="24050"/>
  <c r="BE198" i="23917"/>
  <c r="AM193" i="24050"/>
  <c r="BS199" i="23917"/>
  <c r="AU193" i="24050"/>
  <c r="CA199" i="23917"/>
  <c r="BC193" i="24050"/>
  <c r="CI199" i="23917"/>
  <c r="BK193" i="24050"/>
  <c r="CQ199" i="23917"/>
  <c r="BU194" i="24050"/>
  <c r="DA200" i="23917"/>
  <c r="CA193" i="24050"/>
  <c r="DG199" i="23917"/>
  <c r="CI193" i="24050"/>
  <c r="DO199" i="23917"/>
  <c r="DF192" i="24050"/>
  <c r="EL198" i="23917"/>
  <c r="DW194" i="24050"/>
  <c r="FC200" i="23917"/>
  <c r="AB201" i="23917"/>
  <c r="AP195" i="24050"/>
  <c r="BV201" i="23917"/>
  <c r="AV195" i="24050"/>
  <c r="CB201" i="23917"/>
  <c r="BJ195" i="24050"/>
  <c r="CP201" i="23917"/>
  <c r="CF195" i="24050"/>
  <c r="DL201" i="23917"/>
  <c r="DQ198" i="24050"/>
  <c r="EW204" i="23917"/>
  <c r="DQ199" i="24050"/>
  <c r="EW205" i="23917"/>
  <c r="EE198" i="24050"/>
  <c r="FK204" i="23917"/>
  <c r="EC199" i="24050"/>
  <c r="FI205" i="23917"/>
  <c r="EA201" i="24050"/>
  <c r="FG207" i="23917"/>
  <c r="DH199" i="24050"/>
  <c r="EN205" i="23917"/>
  <c r="E200" i="24050"/>
  <c r="AK206" i="23917"/>
  <c r="T202" i="24050"/>
  <c r="AZ208" i="23917"/>
  <c r="AR202" i="24050"/>
  <c r="BX208" i="23917"/>
  <c r="BP202" i="24050"/>
  <c r="CV208" i="23917"/>
  <c r="DF200" i="24050"/>
  <c r="EL206" i="23917"/>
  <c r="I198" i="24050"/>
  <c r="AO204" i="23917"/>
  <c r="Q200" i="24050"/>
  <c r="AW206" i="23917"/>
  <c r="W201" i="24050"/>
  <c r="BC207" i="23917"/>
  <c r="AC198" i="24050"/>
  <c r="BI204" i="23917"/>
  <c r="AI198" i="24050"/>
  <c r="BO204" i="23917"/>
  <c r="AO199" i="24050"/>
  <c r="BU205" i="23917"/>
  <c r="AU200" i="24050"/>
  <c r="CA206" i="23917"/>
  <c r="BA201" i="24050"/>
  <c r="CG207" i="23917"/>
  <c r="BI198" i="24050"/>
  <c r="CO204" i="23917"/>
  <c r="BM198" i="24050"/>
  <c r="CS204" i="23917"/>
  <c r="BS199" i="24050"/>
  <c r="CY205" i="23917"/>
  <c r="BW199" i="24050"/>
  <c r="DC205" i="23917"/>
  <c r="CA200" i="24050"/>
  <c r="DG206" i="23917"/>
  <c r="CC200" i="24050"/>
  <c r="DI206" i="23917"/>
  <c r="CE201" i="24050"/>
  <c r="DK207" i="23917"/>
  <c r="CG201" i="24050"/>
  <c r="DM207" i="23917"/>
  <c r="CM198" i="24050"/>
  <c r="DS204" i="23917"/>
  <c r="DJ201" i="24050"/>
  <c r="EP207" i="23917"/>
  <c r="W208" i="23917"/>
  <c r="V208" i="23917"/>
  <c r="V202" i="24050"/>
  <c r="BB208" i="23917"/>
  <c r="AL202" i="24050"/>
  <c r="BR208" i="23917"/>
  <c r="BB202" i="24050"/>
  <c r="CH208" i="23917"/>
  <c r="BR202" i="24050"/>
  <c r="CX208" i="23917"/>
  <c r="CH202" i="24050"/>
  <c r="DN208" i="23917"/>
  <c r="H213" i="24050"/>
  <c r="AN219" i="23917"/>
  <c r="O213" i="24050"/>
  <c r="AU219" i="23917"/>
  <c r="V213" i="24050"/>
  <c r="BB219" i="23917"/>
  <c r="AD213" i="24050"/>
  <c r="BJ219" i="23917"/>
  <c r="AJ213" i="24050"/>
  <c r="BP219" i="23917"/>
  <c r="AR213" i="24050"/>
  <c r="BX219" i="23917"/>
  <c r="AX213" i="24050"/>
  <c r="CD219" i="23917"/>
  <c r="BW213" i="24050"/>
  <c r="DC219" i="23917"/>
  <c r="CU213" i="24050"/>
  <c r="EA219" i="23917"/>
  <c r="DI213" i="24050"/>
  <c r="EO219" i="23917"/>
  <c r="BF213" i="24050"/>
  <c r="CL219" i="23917"/>
  <c r="BR213" i="24050"/>
  <c r="CX219" i="23917"/>
  <c r="BX213" i="24050"/>
  <c r="DD219" i="23917"/>
  <c r="CD213" i="24050"/>
  <c r="DJ219" i="23917"/>
  <c r="CJ213" i="24050"/>
  <c r="DP219" i="23917"/>
  <c r="B214" i="24050"/>
  <c r="AH220" i="23917"/>
  <c r="H214" i="24050"/>
  <c r="AN220" i="23917"/>
  <c r="M214" i="24050"/>
  <c r="AS220" i="23917"/>
  <c r="X214" i="24050"/>
  <c r="BD220" i="23917"/>
  <c r="AC214" i="24050"/>
  <c r="BI220" i="23917"/>
  <c r="AH214" i="24050"/>
  <c r="BN220" i="23917"/>
  <c r="AN214" i="24050"/>
  <c r="BT220" i="23917"/>
  <c r="AX214" i="24050"/>
  <c r="CD220" i="23917"/>
  <c r="BD214" i="24050"/>
  <c r="CJ220" i="23917"/>
  <c r="BI214" i="24050"/>
  <c r="CO220" i="23917"/>
  <c r="BN214" i="24050"/>
  <c r="CT220" i="23917"/>
  <c r="BT214" i="24050"/>
  <c r="CZ220" i="23917"/>
  <c r="BY214" i="24050"/>
  <c r="DE220" i="23917"/>
  <c r="CD214" i="24050"/>
  <c r="DJ220" i="23917"/>
  <c r="CJ214" i="24050"/>
  <c r="DP220" i="23917"/>
  <c r="CO214" i="24050"/>
  <c r="DU220" i="23917"/>
  <c r="B215" i="24050"/>
  <c r="AH221" i="23917"/>
  <c r="J215" i="24050"/>
  <c r="AP221" i="23917"/>
  <c r="P215" i="24050"/>
  <c r="AV221" i="23917"/>
  <c r="U215" i="24050"/>
  <c r="BA221" i="23917"/>
  <c r="Z215" i="24050"/>
  <c r="BF221" i="23917"/>
  <c r="AF215" i="24050"/>
  <c r="BL221" i="23917"/>
  <c r="AK215" i="24050"/>
  <c r="BQ221" i="23917"/>
  <c r="AP215" i="24050"/>
  <c r="BV221" i="23917"/>
  <c r="AV215" i="24050"/>
  <c r="CB221" i="23917"/>
  <c r="BA215" i="24050"/>
  <c r="CG221" i="23917"/>
  <c r="BF215" i="24050"/>
  <c r="CL221" i="23917"/>
  <c r="BL215" i="24050"/>
  <c r="CR221" i="23917"/>
  <c r="BQ215" i="24050"/>
  <c r="CW221" i="23917"/>
  <c r="BV215" i="24050"/>
  <c r="DB221" i="23917"/>
  <c r="CB215" i="24050"/>
  <c r="DH221" i="23917"/>
  <c r="CG215" i="24050"/>
  <c r="DM221" i="23917"/>
  <c r="CO215" i="24050"/>
  <c r="DU221" i="23917"/>
  <c r="CV214" i="24050"/>
  <c r="EB220" i="23917"/>
  <c r="CW215" i="24050"/>
  <c r="EC221" i="23917"/>
  <c r="DH214" i="24050"/>
  <c r="EN220" i="23917"/>
  <c r="R224" i="23917"/>
  <c r="BA218" i="24050"/>
  <c r="CG224" i="23917"/>
  <c r="BI218" i="24050"/>
  <c r="CO224" i="23917"/>
  <c r="BQ218" i="24050"/>
  <c r="CW224" i="23917"/>
  <c r="BY218" i="24050"/>
  <c r="DE224" i="23917"/>
  <c r="CG218" i="24050"/>
  <c r="DM224" i="23917"/>
  <c r="CO218" i="24050"/>
  <c r="DU224" i="23917"/>
  <c r="CW218" i="24050"/>
  <c r="EC224" i="23917"/>
  <c r="DH218" i="24050"/>
  <c r="EN224" i="23917"/>
  <c r="DS218" i="24050"/>
  <c r="EY224" i="23917"/>
  <c r="DX218" i="24050"/>
  <c r="FD224" i="23917"/>
  <c r="DP219" i="24050"/>
  <c r="EV225" i="23917"/>
  <c r="DW219" i="24050"/>
  <c r="FC225" i="23917"/>
  <c r="EC219" i="24050"/>
  <c r="FI225" i="23917"/>
  <c r="DS220" i="24050"/>
  <c r="EY226" i="23917"/>
  <c r="DY220" i="24050"/>
  <c r="FE226" i="23917"/>
  <c r="DE219" i="24050"/>
  <c r="EK225" i="23917"/>
  <c r="DE220" i="24050"/>
  <c r="EK226" i="23917"/>
  <c r="E218" i="24050"/>
  <c r="AK224" i="23917"/>
  <c r="G219" i="24050"/>
  <c r="AM225" i="23917"/>
  <c r="I220" i="24050"/>
  <c r="AO226" i="23917"/>
  <c r="M218" i="24050"/>
  <c r="AS224" i="23917"/>
  <c r="O219" i="24050"/>
  <c r="AU225" i="23917"/>
  <c r="Q220" i="24050"/>
  <c r="AW226" i="23917"/>
  <c r="U218" i="24050"/>
  <c r="BA224" i="23917"/>
  <c r="AA219" i="24050"/>
  <c r="BG225" i="23917"/>
  <c r="AI220" i="24050"/>
  <c r="BO226" i="23917"/>
  <c r="AM218" i="24050"/>
  <c r="BS224" i="23917"/>
  <c r="AO219" i="24050"/>
  <c r="BU225" i="23917"/>
  <c r="AQ220" i="24050"/>
  <c r="BW226" i="23917"/>
  <c r="AU218" i="24050"/>
  <c r="CA224" i="23917"/>
  <c r="DN218" i="24050"/>
  <c r="ET224" i="23917"/>
  <c r="EH218" i="24050"/>
  <c r="FN224" i="23917"/>
  <c r="EJ219" i="24050"/>
  <c r="FP225" i="23917"/>
  <c r="EL220" i="24050"/>
  <c r="FR226" i="23917"/>
  <c r="EP218" i="24050"/>
  <c r="FV224" i="23917"/>
  <c r="ER219" i="24050"/>
  <c r="FX225" i="23917"/>
  <c r="ET220" i="24050"/>
  <c r="FZ226" i="23917"/>
  <c r="K221" i="24050"/>
  <c r="AQ227" i="23917"/>
  <c r="S221" i="24050"/>
  <c r="AY227" i="23917"/>
  <c r="AK221" i="24050"/>
  <c r="BQ227" i="23917"/>
  <c r="AS221" i="24050"/>
  <c r="BY227" i="23917"/>
  <c r="BA221" i="24050"/>
  <c r="CG227" i="23917"/>
  <c r="BI221" i="24050"/>
  <c r="CO227" i="23917"/>
  <c r="BQ221" i="24050"/>
  <c r="CW227" i="23917"/>
  <c r="BY221" i="24050"/>
  <c r="DE227" i="23917"/>
  <c r="CG221" i="24050"/>
  <c r="DM227" i="23917"/>
  <c r="DF221" i="24050"/>
  <c r="EL227" i="23917"/>
  <c r="DQ221" i="24050"/>
  <c r="EW227" i="23917"/>
  <c r="DW221" i="24050"/>
  <c r="FC227" i="23917"/>
  <c r="EC221" i="24050"/>
  <c r="FI227" i="23917"/>
  <c r="AE228" i="23917"/>
  <c r="AD228" i="23917"/>
  <c r="AK228" i="23917"/>
  <c r="J222" i="24050"/>
  <c r="AP228" i="23917"/>
  <c r="R222" i="24050"/>
  <c r="AX228" i="23917"/>
  <c r="X222" i="24050"/>
  <c r="BD228" i="23917"/>
  <c r="AD222" i="24050"/>
  <c r="BJ228" i="23917"/>
  <c r="AK222" i="24050"/>
  <c r="BQ228" i="23917"/>
  <c r="AR222" i="24050"/>
  <c r="BX228" i="23917"/>
  <c r="AW222" i="24050"/>
  <c r="CC228" i="23917"/>
  <c r="BB222" i="24050"/>
  <c r="CH228" i="23917"/>
  <c r="BH222" i="24050"/>
  <c r="CN228" i="23917"/>
  <c r="BM222" i="24050"/>
  <c r="CS228" i="23917"/>
  <c r="BR222" i="24050"/>
  <c r="CX228" i="23917"/>
  <c r="BX222" i="24050"/>
  <c r="DD228" i="23917"/>
  <c r="CC222" i="24050"/>
  <c r="DI228" i="23917"/>
  <c r="CJ222" i="24050"/>
  <c r="DP228" i="23917"/>
  <c r="CS221" i="24050"/>
  <c r="DY227" i="23917"/>
  <c r="CY221" i="24050"/>
  <c r="EE227" i="23917"/>
  <c r="DE222" i="24050"/>
  <c r="EK228" i="23917"/>
  <c r="DN221" i="24050"/>
  <c r="ET227" i="23917"/>
  <c r="EJ221" i="24050"/>
  <c r="FP227" i="23917"/>
  <c r="EN221" i="24050"/>
  <c r="FT227" i="23917"/>
  <c r="ER221" i="24050"/>
  <c r="FX227" i="23917"/>
  <c r="C7" i="24068"/>
  <c r="H7" i="24068"/>
  <c r="H8" i="24068" s="1"/>
  <c r="K7" i="24068"/>
  <c r="FV19" i="23917"/>
  <c r="FU19" i="23917"/>
  <c r="Z241" i="23917"/>
  <c r="AA241" i="23917"/>
  <c r="AJ237" i="24050"/>
  <c r="BP243" i="23917"/>
  <c r="BK237" i="24050"/>
  <c r="CQ243" i="23917"/>
  <c r="BT237" i="24050"/>
  <c r="CZ243" i="23917"/>
  <c r="BZ237" i="24050"/>
  <c r="DF243" i="23917"/>
  <c r="DF240" i="24050"/>
  <c r="EL246" i="23917"/>
  <c r="R248" i="23917"/>
  <c r="AA248" i="23917"/>
  <c r="S248" i="23917"/>
  <c r="H255" i="24050"/>
  <c r="AN261" i="23917"/>
  <c r="AH255" i="24050"/>
  <c r="BN261" i="23917"/>
  <c r="AN255" i="24050"/>
  <c r="BT261" i="23917"/>
  <c r="BN255" i="24050"/>
  <c r="CT261" i="23917"/>
  <c r="BT255" i="24050"/>
  <c r="CZ261" i="23917"/>
  <c r="K256" i="24050"/>
  <c r="AQ262" i="23917"/>
  <c r="AQ256" i="24050"/>
  <c r="BW262" i="23917"/>
  <c r="BW256" i="24050"/>
  <c r="DC262" i="23917"/>
  <c r="BN257" i="24050"/>
  <c r="CT263" i="23917"/>
  <c r="R268" i="23917"/>
  <c r="S268" i="23917"/>
  <c r="DR262" i="24050"/>
  <c r="EX268" i="23917"/>
  <c r="DY262" i="24050"/>
  <c r="FE268" i="23917"/>
  <c r="DP263" i="24050"/>
  <c r="EV269" i="23917"/>
  <c r="O263" i="24050"/>
  <c r="AU269" i="23917"/>
  <c r="M18" i="24068"/>
  <c r="BT263" i="24050"/>
  <c r="CZ269" i="23917"/>
  <c r="BZ263" i="24050"/>
  <c r="DF269" i="23917"/>
  <c r="EJ261" i="24050"/>
  <c r="FP267" i="23917"/>
  <c r="EL261" i="24050"/>
  <c r="FR267" i="23917"/>
  <c r="EN261" i="24050"/>
  <c r="FT267" i="23917"/>
  <c r="EP261" i="24050"/>
  <c r="FV267" i="23917"/>
  <c r="ER261" i="24050"/>
  <c r="FX267" i="23917"/>
  <c r="ET261" i="24050"/>
  <c r="FZ267" i="23917"/>
  <c r="CI261" i="24050"/>
  <c r="DO267" i="23917"/>
  <c r="CK261" i="24050"/>
  <c r="DQ267" i="23917"/>
  <c r="CM261" i="24050"/>
  <c r="DS267" i="23917"/>
  <c r="CO261" i="24050"/>
  <c r="DU267" i="23917"/>
  <c r="CQ261" i="24050"/>
  <c r="DW267" i="23917"/>
  <c r="CS261" i="24050"/>
  <c r="DY267" i="23917"/>
  <c r="CU260" i="24050"/>
  <c r="EA266" i="23917"/>
  <c r="CW260" i="24050"/>
  <c r="EC266" i="23917"/>
  <c r="CY260" i="24050"/>
  <c r="EE266" i="23917"/>
  <c r="DA263" i="24050"/>
  <c r="EG269" i="23917"/>
  <c r="CQ275" i="24050"/>
  <c r="DW281" i="23917"/>
  <c r="DO275" i="24050"/>
  <c r="EU281" i="23917"/>
  <c r="DP277" i="24050"/>
  <c r="EV283" i="23917"/>
  <c r="H293" i="23917"/>
  <c r="H284" i="23917"/>
  <c r="N304" i="23917"/>
  <c r="N284" i="23917"/>
  <c r="O284" i="23917"/>
  <c r="H278" i="24050"/>
  <c r="AN284" i="23917"/>
  <c r="N278" i="24050"/>
  <c r="AT284" i="23917"/>
  <c r="AN278" i="24050"/>
  <c r="BT284" i="23917"/>
  <c r="AT278" i="24050"/>
  <c r="BZ284" i="23917"/>
  <c r="BT278" i="24050"/>
  <c r="CZ284" i="23917"/>
  <c r="BZ278" i="24050"/>
  <c r="DF284" i="23917"/>
  <c r="DN281" i="24050"/>
  <c r="ET287" i="23917"/>
  <c r="DG282" i="24050"/>
  <c r="EM288" i="23917"/>
  <c r="EB282" i="24050"/>
  <c r="FH288" i="23917"/>
  <c r="DW284" i="24050"/>
  <c r="FC290" i="23917"/>
  <c r="Q291" i="23917"/>
  <c r="P291" i="23917"/>
  <c r="C296" i="24050"/>
  <c r="AI302" i="23917"/>
  <c r="AI296" i="24050"/>
  <c r="BO302" i="23917"/>
  <c r="BO296" i="24050"/>
  <c r="CU302" i="23917"/>
  <c r="CX296" i="24050"/>
  <c r="ED302" i="23917"/>
  <c r="W303" i="23917"/>
  <c r="V303" i="23917"/>
  <c r="AB303" i="23917"/>
  <c r="AC303" i="23917"/>
  <c r="V297" i="24050"/>
  <c r="BB303" i="23917"/>
  <c r="AB297" i="24050"/>
  <c r="BH303" i="23917"/>
  <c r="BB297" i="24050"/>
  <c r="CH303" i="23917"/>
  <c r="BH297" i="24050"/>
  <c r="CN303" i="23917"/>
  <c r="CH297" i="24050"/>
  <c r="DN303" i="23917"/>
  <c r="CN297" i="24050"/>
  <c r="DT303" i="23917"/>
  <c r="EA311" i="24050"/>
  <c r="FG317" i="23917"/>
  <c r="EA312" i="24050"/>
  <c r="FG318" i="23917"/>
  <c r="U312" i="24050"/>
  <c r="BA318" i="23917"/>
  <c r="C312" i="24050"/>
  <c r="AI318" i="23917"/>
  <c r="G310" i="24050"/>
  <c r="AM316" i="23917"/>
  <c r="I312" i="24050"/>
  <c r="AO318" i="23917"/>
  <c r="M310" i="24050"/>
  <c r="AS316" i="23917"/>
  <c r="AA310" i="24050"/>
  <c r="BG316" i="23917"/>
  <c r="AC312" i="24050"/>
  <c r="BI318" i="23917"/>
  <c r="AG311" i="24050"/>
  <c r="BM317" i="23917"/>
  <c r="AI312" i="24050"/>
  <c r="BO318" i="23917"/>
  <c r="AM310" i="24050"/>
  <c r="BS316" i="23917"/>
  <c r="AO311" i="24050"/>
  <c r="BU317" i="23917"/>
  <c r="AQ312" i="24050"/>
  <c r="BW318" i="23917"/>
  <c r="AU310" i="24050"/>
  <c r="CA316" i="23917"/>
  <c r="AW311" i="24050"/>
  <c r="CC317" i="23917"/>
  <c r="AY312" i="24050"/>
  <c r="CE318" i="23917"/>
  <c r="BC310" i="24050"/>
  <c r="CI316" i="23917"/>
  <c r="BE311" i="24050"/>
  <c r="CK317" i="23917"/>
  <c r="BG312" i="24050"/>
  <c r="CM318" i="23917"/>
  <c r="BK310" i="24050"/>
  <c r="CQ316" i="23917"/>
  <c r="BM311" i="24050"/>
  <c r="CS317" i="23917"/>
  <c r="BO312" i="24050"/>
  <c r="CU318" i="23917"/>
  <c r="BS310" i="24050"/>
  <c r="CY316" i="23917"/>
  <c r="BU311" i="24050"/>
  <c r="DA317" i="23917"/>
  <c r="BW312" i="24050"/>
  <c r="DC318" i="23917"/>
  <c r="CA310" i="24050"/>
  <c r="DG316" i="23917"/>
  <c r="CC311" i="24050"/>
  <c r="DI317" i="23917"/>
  <c r="CE312" i="24050"/>
  <c r="DK318" i="23917"/>
  <c r="CI310" i="24050"/>
  <c r="DO316" i="23917"/>
  <c r="CK311" i="24050"/>
  <c r="DQ317" i="23917"/>
  <c r="CM312" i="24050"/>
  <c r="DS318" i="23917"/>
  <c r="CQ310" i="24050"/>
  <c r="DW316" i="23917"/>
  <c r="DI317" i="24050"/>
  <c r="EO323" i="23917"/>
  <c r="DQ317" i="24050"/>
  <c r="EW323" i="23917"/>
  <c r="EN318" i="24050"/>
  <c r="FT324" i="23917"/>
  <c r="DQ332" i="24050"/>
  <c r="EW338" i="23917"/>
  <c r="AU333" i="24050"/>
  <c r="CA339" i="23917"/>
  <c r="EK38" i="23917"/>
  <c r="CW30" i="24050"/>
  <c r="EC38" i="23917"/>
  <c r="AC81" i="23917"/>
  <c r="AB81" i="23917"/>
  <c r="AB75" i="24050"/>
  <c r="BH81" i="23917"/>
  <c r="BH75" i="24050"/>
  <c r="CN81" i="23917"/>
  <c r="ED89" i="24050"/>
  <c r="FJ95" i="23917"/>
  <c r="AO96" i="24050"/>
  <c r="EH139" i="24050"/>
  <c r="FN145" i="23917"/>
  <c r="EL137" i="24050"/>
  <c r="FR143" i="23917"/>
  <c r="EN138" i="24050"/>
  <c r="FT144" i="23917"/>
  <c r="EP139" i="24050"/>
  <c r="FV145" i="23917"/>
  <c r="ET137" i="24050"/>
  <c r="FZ143" i="23917"/>
  <c r="D140" i="24050"/>
  <c r="AJ146" i="23917"/>
  <c r="AR140" i="24050"/>
  <c r="BX146" i="23917"/>
  <c r="BH140" i="24050"/>
  <c r="CN146" i="23917"/>
  <c r="BX140" i="24050"/>
  <c r="DD146" i="23917"/>
  <c r="CN140" i="24050"/>
  <c r="DT146" i="23917"/>
  <c r="DE140" i="24050"/>
  <c r="EK146" i="23917"/>
  <c r="DP140" i="24050"/>
  <c r="EV146" i="23917"/>
  <c r="EN140" i="24050"/>
  <c r="FT146" i="23917"/>
  <c r="X158" i="23917"/>
  <c r="R158" i="23917"/>
  <c r="S160" i="23917"/>
  <c r="CR152" i="24050"/>
  <c r="DX158" i="23917"/>
  <c r="CV154" i="24050"/>
  <c r="EB160" i="23917"/>
  <c r="DM152" i="24050"/>
  <c r="ES158" i="23917"/>
  <c r="DS152" i="24050"/>
  <c r="EY158" i="23917"/>
  <c r="EE152" i="24050"/>
  <c r="FK158" i="23917"/>
  <c r="EC153" i="24050"/>
  <c r="FI159" i="23917"/>
  <c r="DJ153" i="24050"/>
  <c r="EP159" i="23917"/>
  <c r="DU153" i="24050"/>
  <c r="FA159" i="23917"/>
  <c r="C154" i="24050"/>
  <c r="AI160" i="23917"/>
  <c r="G152" i="24050"/>
  <c r="AM158" i="23917"/>
  <c r="I153" i="24050"/>
  <c r="AO159" i="23917"/>
  <c r="K154" i="24050"/>
  <c r="AQ160" i="23917"/>
  <c r="O152" i="24050"/>
  <c r="AU158" i="23917"/>
  <c r="Q153" i="24050"/>
  <c r="AW159" i="23917"/>
  <c r="S154" i="24050"/>
  <c r="AY160" i="23917"/>
  <c r="W152" i="24050"/>
  <c r="BC158" i="23917"/>
  <c r="Y153" i="24050"/>
  <c r="BE159" i="23917"/>
  <c r="AA154" i="24050"/>
  <c r="BG160" i="23917"/>
  <c r="AE152" i="24050"/>
  <c r="BK158" i="23917"/>
  <c r="AG153" i="24050"/>
  <c r="BM159" i="23917"/>
  <c r="AI154" i="24050"/>
  <c r="BO160" i="23917"/>
  <c r="AM152" i="24050"/>
  <c r="BS158" i="23917"/>
  <c r="AO153" i="24050"/>
  <c r="BU159" i="23917"/>
  <c r="AQ154" i="24050"/>
  <c r="BW160" i="23917"/>
  <c r="AU152" i="24050"/>
  <c r="CA158" i="23917"/>
  <c r="AW153" i="24050"/>
  <c r="CC159" i="23917"/>
  <c r="AY154" i="24050"/>
  <c r="CE160" i="23917"/>
  <c r="BC152" i="24050"/>
  <c r="CI158" i="23917"/>
  <c r="BE153" i="24050"/>
  <c r="CK159" i="23917"/>
  <c r="BG154" i="24050"/>
  <c r="CM160" i="23917"/>
  <c r="BK152" i="24050"/>
  <c r="CQ158" i="23917"/>
  <c r="BM153" i="24050"/>
  <c r="CS159" i="23917"/>
  <c r="BO154" i="24050"/>
  <c r="CU160" i="23917"/>
  <c r="BS152" i="24050"/>
  <c r="CY158" i="23917"/>
  <c r="BU153" i="24050"/>
  <c r="DA159" i="23917"/>
  <c r="BW154" i="24050"/>
  <c r="DC160" i="23917"/>
  <c r="CA152" i="24050"/>
  <c r="DG158" i="23917"/>
  <c r="CC153" i="24050"/>
  <c r="DI159" i="23917"/>
  <c r="CE154" i="24050"/>
  <c r="DK160" i="23917"/>
  <c r="CI152" i="24050"/>
  <c r="DO158" i="23917"/>
  <c r="CK153" i="24050"/>
  <c r="DQ159" i="23917"/>
  <c r="CM154" i="24050"/>
  <c r="DS160" i="23917"/>
  <c r="DH152" i="24050"/>
  <c r="EN158" i="23917"/>
  <c r="DK154" i="24050"/>
  <c r="EQ160" i="23917"/>
  <c r="DW154" i="24050"/>
  <c r="FC160" i="23917"/>
  <c r="EG154" i="24050"/>
  <c r="FM160" i="23917"/>
  <c r="J155" i="24050"/>
  <c r="AP161" i="23917"/>
  <c r="P155" i="24050"/>
  <c r="AV161" i="23917"/>
  <c r="Z155" i="24050"/>
  <c r="BF161" i="23917"/>
  <c r="AF155" i="24050"/>
  <c r="BL161" i="23917"/>
  <c r="AP155" i="24050"/>
  <c r="BV161" i="23917"/>
  <c r="AV155" i="24050"/>
  <c r="CB161" i="23917"/>
  <c r="BF155" i="24050"/>
  <c r="CL161" i="23917"/>
  <c r="BL155" i="24050"/>
  <c r="CR161" i="23917"/>
  <c r="BV155" i="24050"/>
  <c r="DB161" i="23917"/>
  <c r="CB155" i="24050"/>
  <c r="DH161" i="23917"/>
  <c r="CL155" i="24050"/>
  <c r="DR161" i="23917"/>
  <c r="DE155" i="24050"/>
  <c r="EK161" i="23917"/>
  <c r="S165" i="23917"/>
  <c r="CO159" i="24050"/>
  <c r="DU165" i="23917"/>
  <c r="CO161" i="24050"/>
  <c r="DU167" i="23917"/>
  <c r="DQ158" i="24050"/>
  <c r="EW164" i="23917"/>
  <c r="EC158" i="24050"/>
  <c r="FI164" i="23917"/>
  <c r="DM159" i="24050"/>
  <c r="ES165" i="23917"/>
  <c r="DS159" i="24050"/>
  <c r="EY165" i="23917"/>
  <c r="DY159" i="24050"/>
  <c r="FE165" i="23917"/>
  <c r="EG159" i="24050"/>
  <c r="FM165" i="23917"/>
  <c r="DY160" i="24050"/>
  <c r="FE166" i="23917"/>
  <c r="DK161" i="24050"/>
  <c r="EQ167" i="23917"/>
  <c r="DS161" i="24050"/>
  <c r="EY167" i="23917"/>
  <c r="DY161" i="24050"/>
  <c r="FE167" i="23917"/>
  <c r="EE161" i="24050"/>
  <c r="FK167" i="23917"/>
  <c r="BG158" i="24050"/>
  <c r="CM164" i="23917"/>
  <c r="AA166" i="23917"/>
  <c r="Z166" i="23917"/>
  <c r="K160" i="24050"/>
  <c r="AQ166" i="23917"/>
  <c r="S160" i="24050"/>
  <c r="AY166" i="23917"/>
  <c r="AA160" i="24050"/>
  <c r="BG166" i="23917"/>
  <c r="AI160" i="24050"/>
  <c r="BO166" i="23917"/>
  <c r="AQ160" i="24050"/>
  <c r="BW166" i="23917"/>
  <c r="AY160" i="24050"/>
  <c r="CE166" i="23917"/>
  <c r="BL162" i="24050"/>
  <c r="CR168" i="23917"/>
  <c r="CB162" i="24050"/>
  <c r="DH168" i="23917"/>
  <c r="DG162" i="24050"/>
  <c r="EM168" i="23917"/>
  <c r="G158" i="24050"/>
  <c r="AM164" i="23917"/>
  <c r="I159" i="24050"/>
  <c r="AO165" i="23917"/>
  <c r="K161" i="24050"/>
  <c r="AQ167" i="23917"/>
  <c r="O158" i="24050"/>
  <c r="AU164" i="23917"/>
  <c r="Q159" i="24050"/>
  <c r="AW165" i="23917"/>
  <c r="S161" i="24050"/>
  <c r="AY167" i="23917"/>
  <c r="W158" i="24050"/>
  <c r="BC164" i="23917"/>
  <c r="Y159" i="24050"/>
  <c r="BE165" i="23917"/>
  <c r="AA161" i="24050"/>
  <c r="BG167" i="23917"/>
  <c r="AE158" i="24050"/>
  <c r="BK164" i="23917"/>
  <c r="AG159" i="24050"/>
  <c r="BM165" i="23917"/>
  <c r="AI161" i="24050"/>
  <c r="BO167" i="23917"/>
  <c r="AM158" i="24050"/>
  <c r="BS164" i="23917"/>
  <c r="AO159" i="24050"/>
  <c r="BU165" i="23917"/>
  <c r="AQ161" i="24050"/>
  <c r="BW167" i="23917"/>
  <c r="AU158" i="24050"/>
  <c r="CA164" i="23917"/>
  <c r="AW159" i="24050"/>
  <c r="CC165" i="23917"/>
  <c r="AY161" i="24050"/>
  <c r="CE167" i="23917"/>
  <c r="BC158" i="24050"/>
  <c r="CI164" i="23917"/>
  <c r="BK158" i="24050"/>
  <c r="CQ164" i="23917"/>
  <c r="BM159" i="24050"/>
  <c r="CS165" i="23917"/>
  <c r="BQ158" i="24050"/>
  <c r="CW164" i="23917"/>
  <c r="BS159" i="24050"/>
  <c r="CY165" i="23917"/>
  <c r="BU159" i="24050"/>
  <c r="DA165" i="23917"/>
  <c r="BW159" i="24050"/>
  <c r="DC165" i="23917"/>
  <c r="BY159" i="24050"/>
  <c r="DE165" i="23917"/>
  <c r="CA160" i="24050"/>
  <c r="DG166" i="23917"/>
  <c r="CC160" i="24050"/>
  <c r="DI166" i="23917"/>
  <c r="CE160" i="24050"/>
  <c r="DK166" i="23917"/>
  <c r="CG161" i="24050"/>
  <c r="DM167" i="23917"/>
  <c r="CI161" i="24050"/>
  <c r="DO167" i="23917"/>
  <c r="CK161" i="24050"/>
  <c r="DQ167" i="23917"/>
  <c r="CM161" i="24050"/>
  <c r="DS167" i="23917"/>
  <c r="DF161" i="24050"/>
  <c r="EL167" i="23917"/>
  <c r="DH161" i="24050"/>
  <c r="EN167" i="23917"/>
  <c r="J162" i="24050"/>
  <c r="AP168" i="23917"/>
  <c r="Z162" i="24050"/>
  <c r="BF168" i="23917"/>
  <c r="AP162" i="24050"/>
  <c r="BV168" i="23917"/>
  <c r="BJ162" i="24050"/>
  <c r="CP168" i="23917"/>
  <c r="BZ162" i="24050"/>
  <c r="DF168" i="23917"/>
  <c r="DE162" i="24050"/>
  <c r="EK168" i="23917"/>
  <c r="W179" i="23917"/>
  <c r="L173" i="24050"/>
  <c r="AR179" i="23917"/>
  <c r="R366" i="24050"/>
  <c r="R173" i="24050"/>
  <c r="AX179" i="23917"/>
  <c r="AB173" i="24050"/>
  <c r="BH179" i="23917"/>
  <c r="AH173" i="24050"/>
  <c r="BN179" i="23917"/>
  <c r="AR173" i="24050"/>
  <c r="BX179" i="23917"/>
  <c r="AX173" i="24050"/>
  <c r="CD179" i="23917"/>
  <c r="BH173" i="24050"/>
  <c r="CN179" i="23917"/>
  <c r="BN173" i="24050"/>
  <c r="CT179" i="23917"/>
  <c r="BX173" i="24050"/>
  <c r="DD179" i="23917"/>
  <c r="CD173" i="24050"/>
  <c r="DJ179" i="23917"/>
  <c r="CN173" i="24050"/>
  <c r="DT179" i="23917"/>
  <c r="U180" i="23917"/>
  <c r="AE180" i="23917"/>
  <c r="AD180" i="23917"/>
  <c r="F174" i="24050"/>
  <c r="AL180" i="23917"/>
  <c r="L174" i="24050"/>
  <c r="AR180" i="23917"/>
  <c r="T367" i="24050"/>
  <c r="T174" i="24050"/>
  <c r="AZ180" i="23917"/>
  <c r="Z174" i="24050"/>
  <c r="BF180" i="23917"/>
  <c r="AH174" i="24050"/>
  <c r="BN180" i="23917"/>
  <c r="AV174" i="24050"/>
  <c r="CB180" i="23917"/>
  <c r="BD174" i="24050"/>
  <c r="CJ180" i="23917"/>
  <c r="BJ174" i="24050"/>
  <c r="CP180" i="23917"/>
  <c r="BR174" i="24050"/>
  <c r="CX180" i="23917"/>
  <c r="BX174" i="24050"/>
  <c r="DD180" i="23917"/>
  <c r="CF174" i="24050"/>
  <c r="DL180" i="23917"/>
  <c r="CL174" i="24050"/>
  <c r="DR180" i="23917"/>
  <c r="DE174" i="24050"/>
  <c r="EK180" i="23917"/>
  <c r="U181" i="23917"/>
  <c r="T181" i="23917"/>
  <c r="Y185" i="23917"/>
  <c r="DS178" i="24050"/>
  <c r="EY184" i="23917"/>
  <c r="EA178" i="24050"/>
  <c r="FG184" i="23917"/>
  <c r="DW179" i="24050"/>
  <c r="FC185" i="23917"/>
  <c r="E179" i="24050"/>
  <c r="AK185" i="23917"/>
  <c r="I179" i="24050"/>
  <c r="AO185" i="23917"/>
  <c r="M179" i="24050"/>
  <c r="AS185" i="23917"/>
  <c r="Q179" i="24050"/>
  <c r="AW185" i="23917"/>
  <c r="U179" i="24050"/>
  <c r="BA185" i="23917"/>
  <c r="AI179" i="24050"/>
  <c r="BO185" i="23917"/>
  <c r="AM179" i="24050"/>
  <c r="BS185" i="23917"/>
  <c r="DF179" i="24050"/>
  <c r="EL185" i="23917"/>
  <c r="DJ179" i="24050"/>
  <c r="EP185" i="23917"/>
  <c r="W186" i="23917"/>
  <c r="V186" i="23917"/>
  <c r="J180" i="24050"/>
  <c r="AP186" i="23917"/>
  <c r="P180" i="24050"/>
  <c r="AV186" i="23917"/>
  <c r="AB180" i="24050"/>
  <c r="BH186" i="23917"/>
  <c r="AN180" i="24050"/>
  <c r="BT186" i="23917"/>
  <c r="AV180" i="24050"/>
  <c r="CB186" i="23917"/>
  <c r="BD180" i="24050"/>
  <c r="CJ186" i="23917"/>
  <c r="CA180" i="24050"/>
  <c r="DG186" i="23917"/>
  <c r="DI180" i="24050"/>
  <c r="EO186" i="23917"/>
  <c r="DN179" i="24050"/>
  <c r="ET185" i="23917"/>
  <c r="DP180" i="24050"/>
  <c r="EV186" i="23917"/>
  <c r="EF178" i="24050"/>
  <c r="FL184" i="23917"/>
  <c r="EH180" i="24050"/>
  <c r="FN186" i="23917"/>
  <c r="EL178" i="24050"/>
  <c r="FR184" i="23917"/>
  <c r="EN179" i="24050"/>
  <c r="FT185" i="23917"/>
  <c r="EP180" i="24050"/>
  <c r="FV186" i="23917"/>
  <c r="ET178" i="24050"/>
  <c r="FZ184" i="23917"/>
  <c r="S198" i="23917"/>
  <c r="Z199" i="23917"/>
  <c r="Z200" i="23917"/>
  <c r="CP193" i="24050"/>
  <c r="DV199" i="23917"/>
  <c r="CO194" i="24050"/>
  <c r="DU200" i="23917"/>
  <c r="DJ192" i="24050"/>
  <c r="EP198" i="23917"/>
  <c r="DJ193" i="24050"/>
  <c r="EP199" i="23917"/>
  <c r="DM194" i="24050"/>
  <c r="ES200" i="23917"/>
  <c r="DU192" i="24050"/>
  <c r="FA198" i="23917"/>
  <c r="EG192" i="24050"/>
  <c r="FM198" i="23917"/>
  <c r="EC193" i="24050"/>
  <c r="FI199" i="23917"/>
  <c r="L195" i="24050"/>
  <c r="AR201" i="23917"/>
  <c r="T195" i="24050"/>
  <c r="AZ201" i="23917"/>
  <c r="DW193" i="24050"/>
  <c r="FC199" i="23917"/>
  <c r="E194" i="24050"/>
  <c r="AK200" i="23917"/>
  <c r="I193" i="24050"/>
  <c r="AO199" i="23917"/>
  <c r="M192" i="24050"/>
  <c r="AS198" i="23917"/>
  <c r="O193" i="24050"/>
  <c r="AU199" i="23917"/>
  <c r="S192" i="24050"/>
  <c r="AY198" i="23917"/>
  <c r="W192" i="24050"/>
  <c r="BC198" i="23917"/>
  <c r="Y194" i="24050"/>
  <c r="BE200" i="23917"/>
  <c r="AC193" i="24050"/>
  <c r="BI199" i="23917"/>
  <c r="AE194" i="24050"/>
  <c r="BK200" i="23917"/>
  <c r="AI192" i="24050"/>
  <c r="BO198" i="23917"/>
  <c r="AK193" i="24050"/>
  <c r="BQ199" i="23917"/>
  <c r="AM194" i="24050"/>
  <c r="BS200" i="23917"/>
  <c r="AQ192" i="24050"/>
  <c r="BW198" i="23917"/>
  <c r="AS193" i="24050"/>
  <c r="BY199" i="23917"/>
  <c r="AU194" i="24050"/>
  <c r="CA200" i="23917"/>
  <c r="AY192" i="24050"/>
  <c r="CE198" i="23917"/>
  <c r="BA193" i="24050"/>
  <c r="CG199" i="23917"/>
  <c r="BC194" i="24050"/>
  <c r="CI200" i="23917"/>
  <c r="BG192" i="24050"/>
  <c r="CM198" i="23917"/>
  <c r="BI193" i="24050"/>
  <c r="CO199" i="23917"/>
  <c r="BK194" i="24050"/>
  <c r="CQ200" i="23917"/>
  <c r="BO192" i="24050"/>
  <c r="CU198" i="23917"/>
  <c r="BQ193" i="24050"/>
  <c r="CW199" i="23917"/>
  <c r="BS194" i="24050"/>
  <c r="CY200" i="23917"/>
  <c r="BW192" i="24050"/>
  <c r="DC198" i="23917"/>
  <c r="BY193" i="24050"/>
  <c r="DE199" i="23917"/>
  <c r="CA194" i="24050"/>
  <c r="DG200" i="23917"/>
  <c r="CE192" i="24050"/>
  <c r="DK198" i="23917"/>
  <c r="CG193" i="24050"/>
  <c r="DM199" i="23917"/>
  <c r="CI194" i="24050"/>
  <c r="DO200" i="23917"/>
  <c r="CM192" i="24050"/>
  <c r="DS198" i="23917"/>
  <c r="DF193" i="24050"/>
  <c r="EL199" i="23917"/>
  <c r="DH194" i="24050"/>
  <c r="EN200" i="23917"/>
  <c r="DY194" i="24050"/>
  <c r="FE200" i="23917"/>
  <c r="EE194" i="24050"/>
  <c r="FK200" i="23917"/>
  <c r="T201" i="23917"/>
  <c r="H195" i="24050"/>
  <c r="AN201" i="23917"/>
  <c r="AB195" i="24050"/>
  <c r="BH201" i="23917"/>
  <c r="AJ195" i="24050"/>
  <c r="BP201" i="23917"/>
  <c r="AR195" i="24050"/>
  <c r="BX201" i="23917"/>
  <c r="AX195" i="24050"/>
  <c r="CD201" i="23917"/>
  <c r="BF195" i="24050"/>
  <c r="CL201" i="23917"/>
  <c r="BL195" i="24050"/>
  <c r="CR201" i="23917"/>
  <c r="BT195" i="24050"/>
  <c r="CZ201" i="23917"/>
  <c r="BZ195" i="24050"/>
  <c r="DF201" i="23917"/>
  <c r="CH195" i="24050"/>
  <c r="DN201" i="23917"/>
  <c r="DS195" i="24050"/>
  <c r="EY201" i="23917"/>
  <c r="EA206" i="23917"/>
  <c r="DJ198" i="24050"/>
  <c r="EP204" i="23917"/>
  <c r="DJ199" i="24050"/>
  <c r="EP205" i="23917"/>
  <c r="DU198" i="24050"/>
  <c r="FA204" i="23917"/>
  <c r="EA198" i="24050"/>
  <c r="FG204" i="23917"/>
  <c r="EG198" i="24050"/>
  <c r="FM204" i="23917"/>
  <c r="DW199" i="24050"/>
  <c r="FC205" i="23917"/>
  <c r="DY200" i="24050"/>
  <c r="FE206" i="23917"/>
  <c r="EC201" i="24050"/>
  <c r="FI207" i="23917"/>
  <c r="CI198" i="24050"/>
  <c r="DO204" i="23917"/>
  <c r="DF198" i="24050"/>
  <c r="EL204" i="23917"/>
  <c r="S206" i="23917"/>
  <c r="R206" i="23917"/>
  <c r="O200" i="24050"/>
  <c r="AU206" i="23917"/>
  <c r="CI200" i="24050"/>
  <c r="DO206" i="23917"/>
  <c r="CN202" i="24050"/>
  <c r="DT208" i="23917"/>
  <c r="DG202" i="24050"/>
  <c r="EM208" i="23917"/>
  <c r="X207" i="23917"/>
  <c r="R207" i="23917"/>
  <c r="I199" i="24050"/>
  <c r="AO205" i="23917"/>
  <c r="M198" i="24050"/>
  <c r="AS204" i="23917"/>
  <c r="O199" i="24050"/>
  <c r="AU205" i="23917"/>
  <c r="Q201" i="24050"/>
  <c r="AW207" i="23917"/>
  <c r="U198" i="24050"/>
  <c r="BA204" i="23917"/>
  <c r="W198" i="24050"/>
  <c r="BC204" i="23917"/>
  <c r="Y198" i="24050"/>
  <c r="BE204" i="23917"/>
  <c r="AA198" i="24050"/>
  <c r="BG204" i="23917"/>
  <c r="AC199" i="24050"/>
  <c r="BI205" i="23917"/>
  <c r="AE199" i="24050"/>
  <c r="BK205" i="23917"/>
  <c r="AG199" i="24050"/>
  <c r="BM205" i="23917"/>
  <c r="AI199" i="24050"/>
  <c r="BO205" i="23917"/>
  <c r="AK200" i="24050"/>
  <c r="BQ206" i="23917"/>
  <c r="AM200" i="24050"/>
  <c r="BS206" i="23917"/>
  <c r="AO200" i="24050"/>
  <c r="BU206" i="23917"/>
  <c r="AQ201" i="24050"/>
  <c r="BW207" i="23917"/>
  <c r="AS201" i="24050"/>
  <c r="BY207" i="23917"/>
  <c r="AU201" i="24050"/>
  <c r="CA207" i="23917"/>
  <c r="AW201" i="24050"/>
  <c r="CC207" i="23917"/>
  <c r="BA198" i="24050"/>
  <c r="CG204" i="23917"/>
  <c r="BC198" i="24050"/>
  <c r="CI204" i="23917"/>
  <c r="BE198" i="24050"/>
  <c r="CK204" i="23917"/>
  <c r="BG198" i="24050"/>
  <c r="CM204" i="23917"/>
  <c r="BI199" i="24050"/>
  <c r="CO205" i="23917"/>
  <c r="BK199" i="24050"/>
  <c r="CQ205" i="23917"/>
  <c r="BM199" i="24050"/>
  <c r="CS205" i="23917"/>
  <c r="BO199" i="24050"/>
  <c r="CU205" i="23917"/>
  <c r="BQ200" i="24050"/>
  <c r="CW206" i="23917"/>
  <c r="BS200" i="24050"/>
  <c r="CY206" i="23917"/>
  <c r="BU200" i="24050"/>
  <c r="DA206" i="23917"/>
  <c r="BW201" i="24050"/>
  <c r="DC207" i="23917"/>
  <c r="BY201" i="24050"/>
  <c r="DE207" i="23917"/>
  <c r="CA201" i="24050"/>
  <c r="DG207" i="23917"/>
  <c r="CC201" i="24050"/>
  <c r="DI207" i="23917"/>
  <c r="CG198" i="24050"/>
  <c r="DM204" i="23917"/>
  <c r="CI201" i="24050"/>
  <c r="DO207" i="23917"/>
  <c r="CM199" i="24050"/>
  <c r="DS205" i="23917"/>
  <c r="DF201" i="24050"/>
  <c r="EL207" i="23917"/>
  <c r="DO201" i="24050"/>
  <c r="EU207" i="23917"/>
  <c r="AC208" i="23917"/>
  <c r="CL202" i="24050"/>
  <c r="DR208" i="23917"/>
  <c r="AC219" i="23917"/>
  <c r="AB219" i="23917"/>
  <c r="B213" i="24050"/>
  <c r="AH219" i="23917"/>
  <c r="J213" i="24050"/>
  <c r="AP219" i="23917"/>
  <c r="P213" i="24050"/>
  <c r="AV219" i="23917"/>
  <c r="X213" i="24050"/>
  <c r="BD219" i="23917"/>
  <c r="AL213" i="24050"/>
  <c r="BR219" i="23917"/>
  <c r="AT213" i="24050"/>
  <c r="BZ219" i="23917"/>
  <c r="DE213" i="24050"/>
  <c r="EK219" i="23917"/>
  <c r="DS213" i="24050"/>
  <c r="EY219" i="23917"/>
  <c r="BB213" i="24050"/>
  <c r="CH219" i="23917"/>
  <c r="BH213" i="24050"/>
  <c r="CN219" i="23917"/>
  <c r="BN213" i="24050"/>
  <c r="CT219" i="23917"/>
  <c r="BT213" i="24050"/>
  <c r="CZ219" i="23917"/>
  <c r="BZ213" i="24050"/>
  <c r="DF219" i="23917"/>
  <c r="CF213" i="24050"/>
  <c r="DL219" i="23917"/>
  <c r="CV213" i="24050"/>
  <c r="EB219" i="23917"/>
  <c r="AC220" i="23917"/>
  <c r="D214" i="24050"/>
  <c r="AJ220" i="23917"/>
  <c r="N214" i="24050"/>
  <c r="AT220" i="23917"/>
  <c r="T214" i="24050"/>
  <c r="AZ220" i="23917"/>
  <c r="AD214" i="24050"/>
  <c r="BJ220" i="23917"/>
  <c r="AJ214" i="24050"/>
  <c r="BP220" i="23917"/>
  <c r="AT214" i="24050"/>
  <c r="BZ220" i="23917"/>
  <c r="AZ214" i="24050"/>
  <c r="CF220" i="23917"/>
  <c r="BJ214" i="24050"/>
  <c r="CP220" i="23917"/>
  <c r="BP214" i="24050"/>
  <c r="CV220" i="23917"/>
  <c r="BZ214" i="24050"/>
  <c r="DF220" i="23917"/>
  <c r="CF214" i="24050"/>
  <c r="DL220" i="23917"/>
  <c r="W221" i="23917"/>
  <c r="V221" i="23917"/>
  <c r="D215" i="24050"/>
  <c r="AJ221" i="23917"/>
  <c r="L215" i="24050"/>
  <c r="AR221" i="23917"/>
  <c r="V215" i="24050"/>
  <c r="BB221" i="23917"/>
  <c r="AB215" i="24050"/>
  <c r="BH221" i="23917"/>
  <c r="AL215" i="24050"/>
  <c r="BR221" i="23917"/>
  <c r="AR215" i="24050"/>
  <c r="BX221" i="23917"/>
  <c r="BB215" i="24050"/>
  <c r="CH221" i="23917"/>
  <c r="BH215" i="24050"/>
  <c r="CN221" i="23917"/>
  <c r="BR215" i="24050"/>
  <c r="CX221" i="23917"/>
  <c r="BX215" i="24050"/>
  <c r="DD221" i="23917"/>
  <c r="CH215" i="24050"/>
  <c r="DN221" i="23917"/>
  <c r="CR214" i="24050"/>
  <c r="DX220" i="23917"/>
  <c r="DI214" i="24050"/>
  <c r="EO220" i="23917"/>
  <c r="DE215" i="24050"/>
  <c r="EK221" i="23917"/>
  <c r="DS215" i="24050"/>
  <c r="EY221" i="23917"/>
  <c r="BC218" i="24050"/>
  <c r="CI224" i="23917"/>
  <c r="BK218" i="24050"/>
  <c r="CQ224" i="23917"/>
  <c r="BS218" i="24050"/>
  <c r="CY224" i="23917"/>
  <c r="CA218" i="24050"/>
  <c r="DG224" i="23917"/>
  <c r="CI218" i="24050"/>
  <c r="DO224" i="23917"/>
  <c r="CQ218" i="24050"/>
  <c r="DW224" i="23917"/>
  <c r="CY218" i="24050"/>
  <c r="EE224" i="23917"/>
  <c r="DJ218" i="24050"/>
  <c r="EP224" i="23917"/>
  <c r="DY218" i="24050"/>
  <c r="FE224" i="23917"/>
  <c r="DQ219" i="24050"/>
  <c r="EW225" i="23917"/>
  <c r="DY219" i="24050"/>
  <c r="FE225" i="23917"/>
  <c r="DP220" i="24050"/>
  <c r="EV226" i="23917"/>
  <c r="DU220" i="24050"/>
  <c r="FA226" i="23917"/>
  <c r="DG219" i="24050"/>
  <c r="EM225" i="23917"/>
  <c r="E219" i="24050"/>
  <c r="AK225" i="23917"/>
  <c r="G220" i="24050"/>
  <c r="AM226" i="23917"/>
  <c r="K218" i="24050"/>
  <c r="AQ224" i="23917"/>
  <c r="M219" i="24050"/>
  <c r="AS225" i="23917"/>
  <c r="O220" i="24050"/>
  <c r="AU226" i="23917"/>
  <c r="S218" i="24050"/>
  <c r="AY224" i="23917"/>
  <c r="U219" i="24050"/>
  <c r="BA225" i="23917"/>
  <c r="AA220" i="24050"/>
  <c r="BG226" i="23917"/>
  <c r="AK218" i="24050"/>
  <c r="BQ224" i="23917"/>
  <c r="AM219" i="24050"/>
  <c r="BS225" i="23917"/>
  <c r="AO220" i="24050"/>
  <c r="BU226" i="23917"/>
  <c r="AS218" i="24050"/>
  <c r="BY224" i="23917"/>
  <c r="AU219" i="24050"/>
  <c r="CA225" i="23917"/>
  <c r="DN219" i="24050"/>
  <c r="ET225" i="23917"/>
  <c r="EH219" i="24050"/>
  <c r="FN225" i="23917"/>
  <c r="EJ220" i="24050"/>
  <c r="FP226" i="23917"/>
  <c r="EN218" i="24050"/>
  <c r="FT224" i="23917"/>
  <c r="EP219" i="24050"/>
  <c r="FV225" i="23917"/>
  <c r="ER220" i="24050"/>
  <c r="FX226" i="23917"/>
  <c r="E221" i="24050"/>
  <c r="AK227" i="23917"/>
  <c r="M221" i="24050"/>
  <c r="AS227" i="23917"/>
  <c r="U221" i="24050"/>
  <c r="BA227" i="23917"/>
  <c r="AM221" i="24050"/>
  <c r="BS227" i="23917"/>
  <c r="AU221" i="24050"/>
  <c r="CA227" i="23917"/>
  <c r="BC221" i="24050"/>
  <c r="CI227" i="23917"/>
  <c r="BK221" i="24050"/>
  <c r="CQ227" i="23917"/>
  <c r="BS221" i="24050"/>
  <c r="CY227" i="23917"/>
  <c r="CA221" i="24050"/>
  <c r="DG227" i="23917"/>
  <c r="DH221" i="24050"/>
  <c r="EN227" i="23917"/>
  <c r="DS221" i="24050"/>
  <c r="EY227" i="23917"/>
  <c r="DY221" i="24050"/>
  <c r="FE227" i="23917"/>
  <c r="AC228" i="23917"/>
  <c r="T228" i="23917"/>
  <c r="F222" i="24050"/>
  <c r="AL228" i="23917"/>
  <c r="L222" i="24050"/>
  <c r="AR228" i="23917"/>
  <c r="T222" i="24050"/>
  <c r="AZ228" i="23917"/>
  <c r="Z222" i="24050"/>
  <c r="BF228" i="23917"/>
  <c r="AF222" i="24050"/>
  <c r="BL228" i="23917"/>
  <c r="AL222" i="24050"/>
  <c r="BR228" i="23917"/>
  <c r="AX222" i="24050"/>
  <c r="CD228" i="23917"/>
  <c r="BD222" i="24050"/>
  <c r="CJ228" i="23917"/>
  <c r="BN222" i="24050"/>
  <c r="CT228" i="23917"/>
  <c r="BT222" i="24050"/>
  <c r="CZ228" i="23917"/>
  <c r="CD222" i="24050"/>
  <c r="DJ228" i="23917"/>
  <c r="CU221" i="24050"/>
  <c r="EA227" i="23917"/>
  <c r="CY222" i="24050"/>
  <c r="EE228" i="23917"/>
  <c r="DN222" i="24050"/>
  <c r="ET228" i="23917"/>
  <c r="EJ222" i="24050"/>
  <c r="FP228" i="23917"/>
  <c r="EN222" i="24050"/>
  <c r="FT228" i="23917"/>
  <c r="ER222" i="24050"/>
  <c r="FX228" i="23917"/>
  <c r="I7" i="24068"/>
  <c r="K19" i="23917"/>
  <c r="J19" i="23917"/>
  <c r="EA19" i="23917"/>
  <c r="DZ19" i="23917"/>
  <c r="G234" i="24050"/>
  <c r="AM240" i="23917"/>
  <c r="I235" i="24050"/>
  <c r="AO241" i="23917"/>
  <c r="M234" i="24050"/>
  <c r="AS240" i="23917"/>
  <c r="O236" i="24050"/>
  <c r="AU242" i="23917"/>
  <c r="AC236" i="24050"/>
  <c r="BI242" i="23917"/>
  <c r="Y236" i="24050"/>
  <c r="BE242" i="23917"/>
  <c r="AC235" i="24050"/>
  <c r="BI241" i="23917"/>
  <c r="AG235" i="24050"/>
  <c r="BM241" i="23917"/>
  <c r="AI236" i="24050"/>
  <c r="BO242" i="23917"/>
  <c r="AM234" i="24050"/>
  <c r="BS240" i="23917"/>
  <c r="AO235" i="24050"/>
  <c r="BU241" i="23917"/>
  <c r="AQ236" i="24050"/>
  <c r="BW242" i="23917"/>
  <c r="AU234" i="24050"/>
  <c r="CA240" i="23917"/>
  <c r="AW235" i="24050"/>
  <c r="CC241" i="23917"/>
  <c r="AY236" i="24050"/>
  <c r="CE242" i="23917"/>
  <c r="BC234" i="24050"/>
  <c r="CI240" i="23917"/>
  <c r="BE235" i="24050"/>
  <c r="CK241" i="23917"/>
  <c r="BG236" i="24050"/>
  <c r="CM242" i="23917"/>
  <c r="BK234" i="24050"/>
  <c r="CQ240" i="23917"/>
  <c r="BM235" i="24050"/>
  <c r="CS241" i="23917"/>
  <c r="BO236" i="24050"/>
  <c r="CU242" i="23917"/>
  <c r="BS234" i="24050"/>
  <c r="CY240" i="23917"/>
  <c r="BU235" i="24050"/>
  <c r="DA241" i="23917"/>
  <c r="BW236" i="24050"/>
  <c r="DC242" i="23917"/>
  <c r="CA234" i="24050"/>
  <c r="DG240" i="23917"/>
  <c r="CC235" i="24050"/>
  <c r="DI241" i="23917"/>
  <c r="CE236" i="24050"/>
  <c r="DK242" i="23917"/>
  <c r="CI234" i="24050"/>
  <c r="DO240" i="23917"/>
  <c r="CK235" i="24050"/>
  <c r="DQ241" i="23917"/>
  <c r="CM236" i="24050"/>
  <c r="DS242" i="23917"/>
  <c r="CQ236" i="24050"/>
  <c r="DW242" i="23917"/>
  <c r="CY236" i="24050"/>
  <c r="EE242" i="23917"/>
  <c r="DF236" i="24050"/>
  <c r="EL242" i="23917"/>
  <c r="M243" i="23917"/>
  <c r="L243" i="23917"/>
  <c r="U243" i="23917"/>
  <c r="T243" i="23917"/>
  <c r="H237" i="24050"/>
  <c r="AN243" i="23917"/>
  <c r="AD237" i="24050"/>
  <c r="BJ243" i="23917"/>
  <c r="AZ237" i="24050"/>
  <c r="CF243" i="23917"/>
  <c r="BF237" i="24050"/>
  <c r="CL243" i="23917"/>
  <c r="X246" i="23917"/>
  <c r="R246" i="23917"/>
  <c r="Z261" i="23917"/>
  <c r="Z246" i="23917"/>
  <c r="CO241" i="24050"/>
  <c r="DU247" i="23917"/>
  <c r="DM240" i="24050"/>
  <c r="ES246" i="23917"/>
  <c r="DU240" i="24050"/>
  <c r="FA246" i="23917"/>
  <c r="EC240" i="24050"/>
  <c r="FI246" i="23917"/>
  <c r="DM241" i="24050"/>
  <c r="ES247" i="23917"/>
  <c r="DU241" i="24050"/>
  <c r="FA247" i="23917"/>
  <c r="EC241" i="24050"/>
  <c r="FI247" i="23917"/>
  <c r="B255" i="24050"/>
  <c r="AH261" i="23917"/>
  <c r="AC255" i="24050"/>
  <c r="BI261" i="23917"/>
  <c r="BI255" i="24050"/>
  <c r="CO261" i="23917"/>
  <c r="CO255" i="24050"/>
  <c r="DU261" i="23917"/>
  <c r="F256" i="24050"/>
  <c r="AL262" i="23917"/>
  <c r="AF256" i="24050"/>
  <c r="BL262" i="23917"/>
  <c r="AL256" i="24050"/>
  <c r="BR262" i="23917"/>
  <c r="BL256" i="24050"/>
  <c r="CR262" i="23917"/>
  <c r="BR256" i="24050"/>
  <c r="CX262" i="23917"/>
  <c r="DE256" i="24050"/>
  <c r="EK262" i="23917"/>
  <c r="EE261" i="24050"/>
  <c r="FK267" i="23917"/>
  <c r="J263" i="24050"/>
  <c r="AP269" i="23917"/>
  <c r="BO263" i="24050"/>
  <c r="CU269" i="23917"/>
  <c r="DN262" i="24050"/>
  <c r="ET268" i="23917"/>
  <c r="DJ275" i="24050"/>
  <c r="EP281" i="23917"/>
  <c r="DZ276" i="24050"/>
  <c r="FF282" i="23917"/>
  <c r="T25" i="24068"/>
  <c r="EG275" i="24050"/>
  <c r="FM281" i="23917"/>
  <c r="DK277" i="24050"/>
  <c r="EQ283" i="23917"/>
  <c r="C278" i="24050"/>
  <c r="AI284" i="23917"/>
  <c r="AI278" i="24050"/>
  <c r="BO284" i="23917"/>
  <c r="BO278" i="24050"/>
  <c r="CU284" i="23917"/>
  <c r="CR283" i="24050"/>
  <c r="DX289" i="23917"/>
  <c r="DI281" i="24050"/>
  <c r="EO287" i="23917"/>
  <c r="ED281" i="24050"/>
  <c r="FJ287" i="23917"/>
  <c r="DW282" i="24050"/>
  <c r="FC288" i="23917"/>
  <c r="DQ284" i="24050"/>
  <c r="EW290" i="23917"/>
  <c r="E291" i="23917"/>
  <c r="D291" i="23917"/>
  <c r="Y302" i="23917"/>
  <c r="X302" i="23917"/>
  <c r="AD302" i="23917"/>
  <c r="AE302" i="23917"/>
  <c r="X296" i="24050"/>
  <c r="BD302" i="23917"/>
  <c r="AD296" i="24050"/>
  <c r="BJ302" i="23917"/>
  <c r="BD296" i="24050"/>
  <c r="CJ302" i="23917"/>
  <c r="BJ296" i="24050"/>
  <c r="CP302" i="23917"/>
  <c r="CJ296" i="24050"/>
  <c r="DP302" i="23917"/>
  <c r="CU296" i="24050"/>
  <c r="EA302" i="23917"/>
  <c r="Q297" i="24050"/>
  <c r="AW303" i="23917"/>
  <c r="AW297" i="24050"/>
  <c r="CC303" i="23917"/>
  <c r="CC297" i="24050"/>
  <c r="DI303" i="23917"/>
  <c r="CQ312" i="24050"/>
  <c r="DW318" i="23917"/>
  <c r="ER318" i="24050"/>
  <c r="FX324" i="23917"/>
  <c r="C319" i="24050"/>
  <c r="AI325" i="23917"/>
  <c r="E318" i="24050"/>
  <c r="AK324" i="23917"/>
  <c r="G318" i="24050"/>
  <c r="AM324" i="23917"/>
  <c r="I318" i="24050"/>
  <c r="AO324" i="23917"/>
  <c r="K318" i="24050"/>
  <c r="AQ324" i="23917"/>
  <c r="M318" i="24050"/>
  <c r="AS324" i="23917"/>
  <c r="DG320" i="24050"/>
  <c r="EM326" i="23917"/>
  <c r="E327" i="23917"/>
  <c r="D327" i="23917"/>
  <c r="U327" i="23917"/>
  <c r="T327" i="23917"/>
  <c r="AC327" i="23917"/>
  <c r="AB327" i="23917"/>
  <c r="H321" i="24050"/>
  <c r="AN327" i="23917"/>
  <c r="T321" i="24050"/>
  <c r="AZ327" i="23917"/>
  <c r="AN321" i="24050"/>
  <c r="BT327" i="23917"/>
  <c r="BH321" i="24050"/>
  <c r="CN327" i="23917"/>
  <c r="BX321" i="24050"/>
  <c r="DD327" i="23917"/>
  <c r="CN321" i="24050"/>
  <c r="DT327" i="23917"/>
  <c r="E338" i="23917"/>
  <c r="D338" i="23917"/>
  <c r="M338" i="23917"/>
  <c r="L338" i="23917"/>
  <c r="U338" i="23917"/>
  <c r="T338" i="23917"/>
  <c r="AC338" i="23917"/>
  <c r="AB338" i="23917"/>
  <c r="F332" i="24050"/>
  <c r="AL338" i="23917"/>
  <c r="P332" i="24050"/>
  <c r="AV338" i="23917"/>
  <c r="X332" i="24050"/>
  <c r="BD338" i="23917"/>
  <c r="AF332" i="24050"/>
  <c r="BL338" i="23917"/>
  <c r="AN332" i="24050"/>
  <c r="BT338" i="23917"/>
  <c r="AV332" i="24050"/>
  <c r="CB338" i="23917"/>
  <c r="BD332" i="24050"/>
  <c r="CJ338" i="23917"/>
  <c r="BL332" i="24050"/>
  <c r="CR338" i="23917"/>
  <c r="BT332" i="24050"/>
  <c r="CZ338" i="23917"/>
  <c r="CB332" i="24050"/>
  <c r="DH338" i="23917"/>
  <c r="CJ332" i="24050"/>
  <c r="DP338" i="23917"/>
  <c r="H339" i="23917"/>
  <c r="I339" i="23917"/>
  <c r="P339" i="23917"/>
  <c r="Q339" i="23917"/>
  <c r="X339" i="23917"/>
  <c r="Y339" i="23917"/>
  <c r="AF339" i="23917"/>
  <c r="AG339" i="23917"/>
  <c r="H333" i="24050"/>
  <c r="AN339" i="23917"/>
  <c r="P333" i="24050"/>
  <c r="AV339" i="23917"/>
  <c r="X333" i="24050"/>
  <c r="BD339" i="23917"/>
  <c r="AF333" i="24050"/>
  <c r="BL339" i="23917"/>
  <c r="AP333" i="24050"/>
  <c r="BV339" i="23917"/>
  <c r="D75" i="24050"/>
  <c r="AJ81" i="23917"/>
  <c r="AJ75" i="24050"/>
  <c r="BP81" i="23917"/>
  <c r="BP75" i="24050"/>
  <c r="CV81" i="23917"/>
  <c r="I3" i="24050"/>
  <c r="I53" i="24050" s="1"/>
  <c r="AO3" i="23917"/>
  <c r="Q3" i="24050"/>
  <c r="AW3" i="23917"/>
  <c r="AW110" i="23917" s="1"/>
  <c r="AC3" i="24050"/>
  <c r="AC53" i="24050" s="1"/>
  <c r="BI3" i="23917"/>
  <c r="AO4" i="24050"/>
  <c r="BU4" i="23917"/>
  <c r="BU61" i="23917" s="1"/>
  <c r="BE4" i="24050"/>
  <c r="CK4" i="23917"/>
  <c r="CK61" i="23917" s="1"/>
  <c r="BU4" i="24050"/>
  <c r="DA4" i="23917"/>
  <c r="DA61" i="23917" s="1"/>
  <c r="CC4" i="24050"/>
  <c r="DI4" i="23917"/>
  <c r="DI61" i="23917" s="1"/>
  <c r="CO4" i="24050"/>
  <c r="DU4" i="23917"/>
  <c r="DU61" i="23917" s="1"/>
  <c r="CS4" i="24050"/>
  <c r="DY4" i="23917"/>
  <c r="DY61" i="23917" s="1"/>
  <c r="DR4" i="24050"/>
  <c r="EX4" i="23917"/>
  <c r="EX61" i="23917" s="1"/>
  <c r="EB4" i="24050"/>
  <c r="FH4" i="23917"/>
  <c r="EJ4" i="24050"/>
  <c r="FP4" i="23917"/>
  <c r="U109" i="24050"/>
  <c r="BA115" i="23917"/>
  <c r="DO109" i="24050"/>
  <c r="EU115" i="23917"/>
  <c r="R7" i="24068"/>
  <c r="EC109" i="24050"/>
  <c r="FI115" i="23917"/>
  <c r="EC110" i="24050"/>
  <c r="FI116" i="23917"/>
  <c r="R116" i="23917"/>
  <c r="DM110" i="24050"/>
  <c r="ES116" i="23917"/>
  <c r="C109" i="24050"/>
  <c r="AI115" i="23917"/>
  <c r="K111" i="24050"/>
  <c r="AQ117" i="23917"/>
  <c r="AC111" i="24050"/>
  <c r="BI117" i="23917"/>
  <c r="AI111" i="24050"/>
  <c r="BO117" i="23917"/>
  <c r="AQ111" i="24050"/>
  <c r="BW117" i="23917"/>
  <c r="AY111" i="24050"/>
  <c r="CE117" i="23917"/>
  <c r="BG111" i="24050"/>
  <c r="CM117" i="23917"/>
  <c r="BM110" i="24050"/>
  <c r="CS116" i="23917"/>
  <c r="BW111" i="24050"/>
  <c r="DC117" i="23917"/>
  <c r="CE111" i="24050"/>
  <c r="DK117" i="23917"/>
  <c r="CM111" i="24050"/>
  <c r="DS117" i="23917"/>
  <c r="DW111" i="24050"/>
  <c r="FC117" i="23917"/>
  <c r="EC111" i="24050"/>
  <c r="FI117" i="23917"/>
  <c r="Z112" i="24050"/>
  <c r="BF118" i="23917"/>
  <c r="BC112" i="24050"/>
  <c r="CI118" i="23917"/>
  <c r="BN112" i="24050"/>
  <c r="CT118" i="23917"/>
  <c r="CI112" i="24050"/>
  <c r="DO118" i="23917"/>
  <c r="DI112" i="24050"/>
  <c r="EO118" i="23917"/>
  <c r="AI115" i="24050"/>
  <c r="BO121" i="23917"/>
  <c r="DQ115" i="24050"/>
  <c r="EW121" i="23917"/>
  <c r="DZ116" i="24050"/>
  <c r="FF122" i="23917"/>
  <c r="S115" i="24050"/>
  <c r="AY121" i="23917"/>
  <c r="AE116" i="24050"/>
  <c r="BK122" i="23917"/>
  <c r="AU115" i="24050"/>
  <c r="CA121" i="23917"/>
  <c r="BG115" i="24050"/>
  <c r="CM121" i="23917"/>
  <c r="AO117" i="24050"/>
  <c r="BU123" i="23917"/>
  <c r="E115" i="24050"/>
  <c r="AK121" i="23917"/>
  <c r="AA118" i="24050"/>
  <c r="BG124" i="23917"/>
  <c r="BI117" i="24050"/>
  <c r="CO123" i="23917"/>
  <c r="BM116" i="24050"/>
  <c r="CS122" i="23917"/>
  <c r="BU115" i="24050"/>
  <c r="DA121" i="23917"/>
  <c r="CA116" i="24050"/>
  <c r="DG122" i="23917"/>
  <c r="CG117" i="24050"/>
  <c r="DM123" i="23917"/>
  <c r="CM118" i="24050"/>
  <c r="DS124" i="23917"/>
  <c r="BN119" i="24050"/>
  <c r="CT125" i="23917"/>
  <c r="T136" i="23917"/>
  <c r="P130" i="24050"/>
  <c r="AV136" i="23917"/>
  <c r="AK130" i="24050"/>
  <c r="BQ136" i="23917"/>
  <c r="AW130" i="24050"/>
  <c r="CC136" i="23917"/>
  <c r="BI130" i="24050"/>
  <c r="CO136" i="23917"/>
  <c r="BQ130" i="24050"/>
  <c r="CW136" i="23917"/>
  <c r="CC130" i="24050"/>
  <c r="DI136" i="23917"/>
  <c r="CO130" i="24050"/>
  <c r="DU136" i="23917"/>
  <c r="DP135" i="24050"/>
  <c r="EV141" i="23917"/>
  <c r="K134" i="24050"/>
  <c r="AQ140" i="23917"/>
  <c r="W134" i="24050"/>
  <c r="BC140" i="23917"/>
  <c r="AM134" i="24050"/>
  <c r="BS140" i="23917"/>
  <c r="AY134" i="24050"/>
  <c r="CE140" i="23917"/>
  <c r="BK134" i="24050"/>
  <c r="CQ140" i="23917"/>
  <c r="BW134" i="24050"/>
  <c r="DC140" i="23917"/>
  <c r="CE134" i="24050"/>
  <c r="DK140" i="23917"/>
  <c r="W136" i="24050"/>
  <c r="BC142" i="23917"/>
  <c r="AJ136" i="24050"/>
  <c r="BP142" i="23917"/>
  <c r="AT136" i="24050"/>
  <c r="BZ142" i="23917"/>
  <c r="AZ136" i="24050"/>
  <c r="CF142" i="23917"/>
  <c r="BJ136" i="24050"/>
  <c r="CP142" i="23917"/>
  <c r="BZ136" i="24050"/>
  <c r="DF142" i="23917"/>
  <c r="CQ134" i="24050"/>
  <c r="DW140" i="23917"/>
  <c r="DL134" i="24050"/>
  <c r="ER140" i="23917"/>
  <c r="DP137" i="24050"/>
  <c r="EV143" i="23917"/>
  <c r="EA137" i="24050"/>
  <c r="FG143" i="23917"/>
  <c r="EA138" i="24050"/>
  <c r="FG144" i="23917"/>
  <c r="K138" i="24050"/>
  <c r="AQ144" i="23917"/>
  <c r="AA138" i="24050"/>
  <c r="BG144" i="23917"/>
  <c r="AS138" i="24050"/>
  <c r="BY144" i="23917"/>
  <c r="BE138" i="24050"/>
  <c r="CK144" i="23917"/>
  <c r="BM138" i="24050"/>
  <c r="CS144" i="23917"/>
  <c r="BY138" i="24050"/>
  <c r="DE144" i="23917"/>
  <c r="CK138" i="24050"/>
  <c r="DQ144" i="23917"/>
  <c r="J139" i="24050"/>
  <c r="AP145" i="23917"/>
  <c r="AO139" i="24050"/>
  <c r="BU145" i="23917"/>
  <c r="AZ139" i="24050"/>
  <c r="CF145" i="23917"/>
  <c r="BU139" i="24050"/>
  <c r="DA145" i="23917"/>
  <c r="CF139" i="24050"/>
  <c r="DL145" i="23917"/>
  <c r="CU137" i="24050"/>
  <c r="EA143" i="23917"/>
  <c r="DL137" i="24050"/>
  <c r="ER143" i="23917"/>
  <c r="EH138" i="24050"/>
  <c r="FN144" i="23917"/>
  <c r="ER139" i="24050"/>
  <c r="FX145" i="23917"/>
  <c r="AN140" i="24050"/>
  <c r="BT146" i="23917"/>
  <c r="DN140" i="24050"/>
  <c r="ET146" i="23917"/>
  <c r="CP152" i="24050"/>
  <c r="DV158" i="23917"/>
  <c r="CP153" i="24050"/>
  <c r="DV159" i="23917"/>
  <c r="DK152" i="24050"/>
  <c r="EQ158" i="23917"/>
  <c r="EB153" i="24050"/>
  <c r="FH159" i="23917"/>
  <c r="E154" i="24050"/>
  <c r="AK160" i="23917"/>
  <c r="M154" i="24050"/>
  <c r="AS160" i="23917"/>
  <c r="U154" i="24050"/>
  <c r="BA160" i="23917"/>
  <c r="AA153" i="24050"/>
  <c r="BG159" i="23917"/>
  <c r="AI153" i="24050"/>
  <c r="BO159" i="23917"/>
  <c r="AQ153" i="24050"/>
  <c r="BW159" i="23917"/>
  <c r="AY153" i="24050"/>
  <c r="CE159" i="23917"/>
  <c r="BI154" i="24050"/>
  <c r="CO160" i="23917"/>
  <c r="BQ154" i="24050"/>
  <c r="CW160" i="23917"/>
  <c r="BW153" i="24050"/>
  <c r="DC159" i="23917"/>
  <c r="CG154" i="24050"/>
  <c r="DM160" i="23917"/>
  <c r="DJ154" i="24050"/>
  <c r="EP160" i="23917"/>
  <c r="EF154" i="24050"/>
  <c r="FL160" i="23917"/>
  <c r="I155" i="24050"/>
  <c r="AO161" i="23917"/>
  <c r="T155" i="24050"/>
  <c r="AZ161" i="23917"/>
  <c r="AD155" i="24050"/>
  <c r="BJ161" i="23917"/>
  <c r="BE155" i="24050"/>
  <c r="CK161" i="23917"/>
  <c r="BP155" i="24050"/>
  <c r="CV161" i="23917"/>
  <c r="CK155" i="24050"/>
  <c r="DQ161" i="23917"/>
  <c r="DY155" i="24050"/>
  <c r="FE161" i="23917"/>
  <c r="DO158" i="24050"/>
  <c r="EU164" i="23917"/>
  <c r="DJ159" i="24050"/>
  <c r="EP165" i="23917"/>
  <c r="DJ161" i="24050"/>
  <c r="EP167" i="23917"/>
  <c r="DW161" i="24050"/>
  <c r="FC167" i="23917"/>
  <c r="BK160" i="24050"/>
  <c r="CQ166" i="23917"/>
  <c r="E161" i="24050"/>
  <c r="AK167" i="23917"/>
  <c r="M161" i="24050"/>
  <c r="AS167" i="23917"/>
  <c r="U161" i="24050"/>
  <c r="BA167" i="23917"/>
  <c r="AC161" i="24050"/>
  <c r="BI167" i="23917"/>
  <c r="AK161" i="24050"/>
  <c r="BQ167" i="23917"/>
  <c r="AS161" i="24050"/>
  <c r="BY167" i="23917"/>
  <c r="BA161" i="24050"/>
  <c r="CG167" i="23917"/>
  <c r="BM158" i="24050"/>
  <c r="CS164" i="23917"/>
  <c r="BU158" i="24050"/>
  <c r="DA164" i="23917"/>
  <c r="CA159" i="24050"/>
  <c r="DG165" i="23917"/>
  <c r="CI160" i="24050"/>
  <c r="DO166" i="23917"/>
  <c r="DH160" i="24050"/>
  <c r="EN166" i="23917"/>
  <c r="T162" i="24050"/>
  <c r="AZ168" i="23917"/>
  <c r="CL162" i="24050"/>
  <c r="DR168" i="23917"/>
  <c r="K173" i="24050"/>
  <c r="AQ179" i="23917"/>
  <c r="V366" i="24050"/>
  <c r="V173" i="24050"/>
  <c r="BB179" i="23917"/>
  <c r="AF173" i="24050"/>
  <c r="BL179" i="23917"/>
  <c r="AV173" i="24050"/>
  <c r="CB179" i="23917"/>
  <c r="BW173" i="24050"/>
  <c r="DC179" i="23917"/>
  <c r="J174" i="24050"/>
  <c r="AP180" i="23917"/>
  <c r="AF174" i="24050"/>
  <c r="BL180" i="23917"/>
  <c r="BB174" i="24050"/>
  <c r="CH180" i="23917"/>
  <c r="CK174" i="24050"/>
  <c r="DQ180" i="23917"/>
  <c r="DI174" i="24050"/>
  <c r="EO180" i="23917"/>
  <c r="AR175" i="24050"/>
  <c r="BX181" i="23917"/>
  <c r="BX175" i="24050"/>
  <c r="DD181" i="23917"/>
  <c r="DR178" i="24050"/>
  <c r="EX184" i="23917"/>
  <c r="DU179" i="24050"/>
  <c r="FA185" i="23917"/>
  <c r="E178" i="24050"/>
  <c r="AK184" i="23917"/>
  <c r="Q178" i="24050"/>
  <c r="AW184" i="23917"/>
  <c r="AM178" i="24050"/>
  <c r="BS184" i="23917"/>
  <c r="D180" i="24050"/>
  <c r="AJ186" i="23917"/>
  <c r="AM180" i="24050"/>
  <c r="BS186" i="23917"/>
  <c r="BB180" i="24050"/>
  <c r="CH186" i="23917"/>
  <c r="DN178" i="24050"/>
  <c r="ET184" i="23917"/>
  <c r="EH179" i="24050"/>
  <c r="FN185" i="23917"/>
  <c r="EP179" i="24050"/>
  <c r="FV185" i="23917"/>
  <c r="CO193" i="24050"/>
  <c r="DU199" i="23917"/>
  <c r="DJ194" i="24050"/>
  <c r="EP200" i="23917"/>
  <c r="EB193" i="24050"/>
  <c r="FH199" i="23917"/>
  <c r="DV193" i="24050"/>
  <c r="FB199" i="23917"/>
  <c r="K194" i="24050"/>
  <c r="AQ200" i="23917"/>
  <c r="Q194" i="24050"/>
  <c r="AW200" i="23917"/>
  <c r="AC192" i="24050"/>
  <c r="BI198" i="23917"/>
  <c r="AG194" i="24050"/>
  <c r="BM200" i="23917"/>
  <c r="AO194" i="24050"/>
  <c r="BU200" i="23917"/>
  <c r="AW194" i="24050"/>
  <c r="CC200" i="23917"/>
  <c r="BE194" i="24050"/>
  <c r="CK200" i="23917"/>
  <c r="BM194" i="24050"/>
  <c r="CS200" i="23917"/>
  <c r="BS193" i="24050"/>
  <c r="CY199" i="23917"/>
  <c r="CC194" i="24050"/>
  <c r="DI200" i="23917"/>
  <c r="CK194" i="24050"/>
  <c r="DQ200" i="23917"/>
  <c r="ED194" i="24050"/>
  <c r="FJ200" i="23917"/>
  <c r="F195" i="24050"/>
  <c r="AL201" i="23917"/>
  <c r="AH195" i="24050"/>
  <c r="BN201" i="23917"/>
  <c r="BD195" i="24050"/>
  <c r="CJ201" i="23917"/>
  <c r="BR195" i="24050"/>
  <c r="CX201" i="23917"/>
  <c r="CN195" i="24050"/>
  <c r="DT201" i="23917"/>
  <c r="DI195" i="24050"/>
  <c r="EO201" i="23917"/>
  <c r="CO199" i="24050"/>
  <c r="DU205" i="23917"/>
  <c r="DZ198" i="24050"/>
  <c r="FF204" i="23917"/>
  <c r="EH199" i="24050"/>
  <c r="FN205" i="23917"/>
  <c r="DU201" i="24050"/>
  <c r="FA207" i="23917"/>
  <c r="CK199" i="24050"/>
  <c r="DQ205" i="23917"/>
  <c r="L202" i="24050"/>
  <c r="AR208" i="23917"/>
  <c r="AB202" i="24050"/>
  <c r="BH208" i="23917"/>
  <c r="AJ202" i="24050"/>
  <c r="BP208" i="23917"/>
  <c r="BH202" i="24050"/>
  <c r="CN208" i="23917"/>
  <c r="BX202" i="24050"/>
  <c r="DD208" i="23917"/>
  <c r="CF202" i="24050"/>
  <c r="DL208" i="23917"/>
  <c r="DS202" i="24050"/>
  <c r="EY208" i="23917"/>
  <c r="K199" i="24050"/>
  <c r="AQ205" i="23917"/>
  <c r="S201" i="24050"/>
  <c r="AY207" i="23917"/>
  <c r="Y201" i="24050"/>
  <c r="BE207" i="23917"/>
  <c r="AG198" i="24050"/>
  <c r="BM204" i="23917"/>
  <c r="AK199" i="24050"/>
  <c r="BQ205" i="23917"/>
  <c r="AQ199" i="24050"/>
  <c r="BW205" i="23917"/>
  <c r="AW200" i="24050"/>
  <c r="CC206" i="23917"/>
  <c r="BC201" i="24050"/>
  <c r="CI207" i="23917"/>
  <c r="BE201" i="24050"/>
  <c r="CK207" i="23917"/>
  <c r="BK198" i="24050"/>
  <c r="CQ204" i="23917"/>
  <c r="BO198" i="24050"/>
  <c r="CU204" i="23917"/>
  <c r="BU199" i="24050"/>
  <c r="DA205" i="23917"/>
  <c r="BY200" i="24050"/>
  <c r="DE206" i="23917"/>
  <c r="AS214" i="24050"/>
  <c r="BY220" i="23917"/>
  <c r="E4" i="24050"/>
  <c r="AK4" i="23917"/>
  <c r="AK61" i="23917" s="1"/>
  <c r="I4" i="24050"/>
  <c r="AO4" i="23917"/>
  <c r="AO61" i="23917" s="1"/>
  <c r="M4" i="24050"/>
  <c r="AS4" i="23917"/>
  <c r="AS61" i="23917" s="1"/>
  <c r="Q4" i="24050"/>
  <c r="AW4" i="23917"/>
  <c r="AW61" i="23917" s="1"/>
  <c r="U4" i="24050"/>
  <c r="BA4" i="23917"/>
  <c r="BA61" i="23917" s="1"/>
  <c r="Y4" i="24050"/>
  <c r="BE4" i="23917"/>
  <c r="BE61" i="23917" s="1"/>
  <c r="AC4" i="24050"/>
  <c r="BI4" i="23917"/>
  <c r="BI61" i="23917" s="1"/>
  <c r="AG4" i="24050"/>
  <c r="BM4" i="23917"/>
  <c r="BM61" i="23917" s="1"/>
  <c r="AK4" i="24050"/>
  <c r="BQ4" i="23917"/>
  <c r="BQ61" i="23917" s="1"/>
  <c r="AQ3" i="24050"/>
  <c r="BW3" i="23917"/>
  <c r="BW60" i="23917" s="1"/>
  <c r="AU3" i="24050"/>
  <c r="CA3" i="23917"/>
  <c r="CA60" i="23917" s="1"/>
  <c r="AY3" i="24050"/>
  <c r="CE3" i="23917"/>
  <c r="CE60" i="23917" s="1"/>
  <c r="BC3" i="24050"/>
  <c r="CI3" i="23917"/>
  <c r="CI60" i="23917" s="1"/>
  <c r="BG3" i="24050"/>
  <c r="CM3" i="23917"/>
  <c r="CM60" i="23917" s="1"/>
  <c r="BK3" i="24050"/>
  <c r="CQ3" i="23917"/>
  <c r="CQ60" i="23917" s="1"/>
  <c r="BO3" i="24050"/>
  <c r="CU3" i="23917"/>
  <c r="CU60" i="23917" s="1"/>
  <c r="BS3" i="24050"/>
  <c r="CY3" i="23917"/>
  <c r="CY60" i="23917" s="1"/>
  <c r="BW3" i="24050"/>
  <c r="DC3" i="23917"/>
  <c r="DC60" i="23917" s="1"/>
  <c r="CA3" i="24050"/>
  <c r="DG3" i="23917"/>
  <c r="DG60" i="23917" s="1"/>
  <c r="CE3" i="24050"/>
  <c r="DK3" i="23917"/>
  <c r="DK60" i="23917" s="1"/>
  <c r="CI3" i="24050"/>
  <c r="DO3" i="23917"/>
  <c r="DO60" i="23917" s="1"/>
  <c r="CM3" i="24050"/>
  <c r="DS3" i="23917"/>
  <c r="DS60" i="23917" s="1"/>
  <c r="CQ3" i="24050"/>
  <c r="DW3" i="23917"/>
  <c r="DW60" i="23917" s="1"/>
  <c r="CU3" i="24050"/>
  <c r="EA3" i="23917"/>
  <c r="EA60" i="23917" s="1"/>
  <c r="DH3" i="24050"/>
  <c r="EN3" i="23917"/>
  <c r="EN60" i="23917" s="1"/>
  <c r="DT4" i="24050"/>
  <c r="EZ4" i="23917"/>
  <c r="ED3" i="24050"/>
  <c r="FJ3" i="23917"/>
  <c r="EL3" i="24050"/>
  <c r="FR3" i="23917"/>
  <c r="ET3" i="24050"/>
  <c r="FZ3" i="23917"/>
  <c r="W109" i="24050"/>
  <c r="BC115" i="23917"/>
  <c r="DZ110" i="24050"/>
  <c r="FF116" i="23917"/>
  <c r="G110" i="24050"/>
  <c r="AM116" i="23917"/>
  <c r="AA111" i="24050"/>
  <c r="BG117" i="23917"/>
  <c r="AG111" i="24050"/>
  <c r="BM117" i="23917"/>
  <c r="AM110" i="24050"/>
  <c r="BS116" i="23917"/>
  <c r="AS109" i="24050"/>
  <c r="BY115" i="23917"/>
  <c r="AW111" i="24050"/>
  <c r="CC117" i="23917"/>
  <c r="BC110" i="24050"/>
  <c r="CI116" i="23917"/>
  <c r="BI109" i="24050"/>
  <c r="CO115" i="23917"/>
  <c r="BM111" i="24050"/>
  <c r="CS117" i="23917"/>
  <c r="BS110" i="24050"/>
  <c r="CY116" i="23917"/>
  <c r="BY109" i="24050"/>
  <c r="DE115" i="23917"/>
  <c r="CC111" i="24050"/>
  <c r="DI117" i="23917"/>
  <c r="CI110" i="24050"/>
  <c r="DO116" i="23917"/>
  <c r="DF109" i="24050"/>
  <c r="EL115" i="23917"/>
  <c r="DQ111" i="24050"/>
  <c r="EW117" i="23917"/>
  <c r="P112" i="24050"/>
  <c r="AV118" i="23917"/>
  <c r="AT112" i="24050"/>
  <c r="BZ118" i="23917"/>
  <c r="BJ112" i="24050"/>
  <c r="CP118" i="23917"/>
  <c r="BT112" i="24050"/>
  <c r="CZ118" i="23917"/>
  <c r="DS112" i="24050"/>
  <c r="EY118" i="23917"/>
  <c r="Y121" i="23917"/>
  <c r="CO118" i="24050"/>
  <c r="DU124" i="23917"/>
  <c r="DY115" i="24050"/>
  <c r="FE121" i="23917"/>
  <c r="DO116" i="24050"/>
  <c r="EU122" i="23917"/>
  <c r="EA116" i="24050"/>
  <c r="FG122" i="23917"/>
  <c r="O116" i="24050"/>
  <c r="AU122" i="23917"/>
  <c r="S116" i="24050"/>
  <c r="AY122" i="23917"/>
  <c r="AC115" i="24050"/>
  <c r="BI121" i="23917"/>
  <c r="AM115" i="24050"/>
  <c r="BS121" i="23917"/>
  <c r="AU116" i="24050"/>
  <c r="CA122" i="23917"/>
  <c r="BC116" i="24050"/>
  <c r="CI122" i="23917"/>
  <c r="AK117" i="24050"/>
  <c r="BQ123" i="23917"/>
  <c r="E116" i="24050"/>
  <c r="AK122" i="23917"/>
  <c r="W118" i="24050"/>
  <c r="BC124" i="23917"/>
  <c r="BK115" i="24050"/>
  <c r="CQ121" i="23917"/>
  <c r="BQ116" i="24050"/>
  <c r="CW122" i="23917"/>
  <c r="BU116" i="24050"/>
  <c r="DA122" i="23917"/>
  <c r="BY117" i="24050"/>
  <c r="DE123" i="23917"/>
  <c r="CC118" i="24050"/>
  <c r="DI124" i="23917"/>
  <c r="CG118" i="24050"/>
  <c r="DM124" i="23917"/>
  <c r="CM115" i="24050"/>
  <c r="DS121" i="23917"/>
  <c r="DF115" i="24050"/>
  <c r="EL121" i="23917"/>
  <c r="H119" i="24050"/>
  <c r="AN125" i="23917"/>
  <c r="BP119" i="24050"/>
  <c r="CV125" i="23917"/>
  <c r="AC136" i="23917"/>
  <c r="Z130" i="24050"/>
  <c r="BF136" i="23917"/>
  <c r="AH130" i="24050"/>
  <c r="BN136" i="23917"/>
  <c r="AL130" i="24050"/>
  <c r="BR136" i="23917"/>
  <c r="AT130" i="24050"/>
  <c r="BZ136" i="23917"/>
  <c r="BF130" i="24050"/>
  <c r="CL136" i="23917"/>
  <c r="BN130" i="24050"/>
  <c r="CT136" i="23917"/>
  <c r="BV130" i="24050"/>
  <c r="DB136" i="23917"/>
  <c r="CD130" i="24050"/>
  <c r="DJ136" i="23917"/>
  <c r="CL130" i="24050"/>
  <c r="DR136" i="23917"/>
  <c r="DG130" i="24050"/>
  <c r="EM136" i="23917"/>
  <c r="AB127" i="23917"/>
  <c r="DP134" i="24050"/>
  <c r="EV140" i="23917"/>
  <c r="EA134" i="24050"/>
  <c r="FG140" i="23917"/>
  <c r="EC135" i="24050"/>
  <c r="FI141" i="23917"/>
  <c r="G135" i="24050"/>
  <c r="AM141" i="23917"/>
  <c r="S135" i="24050"/>
  <c r="AY141" i="23917"/>
  <c r="AA135" i="24050"/>
  <c r="BG141" i="23917"/>
  <c r="AM135" i="24050"/>
  <c r="BS141" i="23917"/>
  <c r="AU135" i="24050"/>
  <c r="CA141" i="23917"/>
  <c r="BC135" i="24050"/>
  <c r="CI141" i="23917"/>
  <c r="BK135" i="24050"/>
  <c r="CQ141" i="23917"/>
  <c r="BS135" i="24050"/>
  <c r="CY141" i="23917"/>
  <c r="CA135" i="24050"/>
  <c r="DG141" i="23917"/>
  <c r="CI135" i="24050"/>
  <c r="DO141" i="23917"/>
  <c r="DF135" i="24050"/>
  <c r="EL141" i="23917"/>
  <c r="B136" i="24050"/>
  <c r="AH142" i="23917"/>
  <c r="N136" i="24050"/>
  <c r="AT142" i="23917"/>
  <c r="AD136" i="24050"/>
  <c r="BJ142" i="23917"/>
  <c r="AP136" i="24050"/>
  <c r="BV142" i="23917"/>
  <c r="BF136" i="24050"/>
  <c r="CL142" i="23917"/>
  <c r="CB136" i="24050"/>
  <c r="DH142" i="23917"/>
  <c r="CL136" i="24050"/>
  <c r="DR142" i="23917"/>
  <c r="CU135" i="24050"/>
  <c r="EA141" i="23917"/>
  <c r="DA135" i="24050"/>
  <c r="EG141" i="23917"/>
  <c r="DG136" i="24050"/>
  <c r="EM142" i="23917"/>
  <c r="EF134" i="24050"/>
  <c r="FL140" i="23917"/>
  <c r="EL135" i="24050"/>
  <c r="FR141" i="23917"/>
  <c r="ER134" i="24050"/>
  <c r="FX140" i="23917"/>
  <c r="ET135" i="24050"/>
  <c r="FZ141" i="23917"/>
  <c r="DQ137" i="24050"/>
  <c r="EW143" i="23917"/>
  <c r="EC137" i="24050"/>
  <c r="FI143" i="23917"/>
  <c r="I137" i="24050"/>
  <c r="AO143" i="23917"/>
  <c r="Q137" i="24050"/>
  <c r="AW143" i="23917"/>
  <c r="AI137" i="24050"/>
  <c r="BO143" i="23917"/>
  <c r="AQ137" i="24050"/>
  <c r="BW143" i="23917"/>
  <c r="AU137" i="24050"/>
  <c r="CA143" i="23917"/>
  <c r="BG137" i="24050"/>
  <c r="CM143" i="23917"/>
  <c r="BO137" i="24050"/>
  <c r="CU143" i="23917"/>
  <c r="BW137" i="24050"/>
  <c r="DC143" i="23917"/>
  <c r="CE137" i="24050"/>
  <c r="DK143" i="23917"/>
  <c r="CM137" i="24050"/>
  <c r="DS143" i="23917"/>
  <c r="DF137" i="24050"/>
  <c r="EL143" i="23917"/>
  <c r="T145" i="23917"/>
  <c r="AD145" i="23917"/>
  <c r="AD139" i="24050"/>
  <c r="BJ145" i="23917"/>
  <c r="AP139" i="24050"/>
  <c r="BV145" i="23917"/>
  <c r="BF139" i="24050"/>
  <c r="CL145" i="23917"/>
  <c r="CB139" i="24050"/>
  <c r="DH145" i="23917"/>
  <c r="CQ138" i="24050"/>
  <c r="DW144" i="23917"/>
  <c r="CU138" i="24050"/>
  <c r="EA144" i="23917"/>
  <c r="DA138" i="24050"/>
  <c r="EG144" i="23917"/>
  <c r="DL138" i="24050"/>
  <c r="ER144" i="23917"/>
  <c r="C3" i="24050"/>
  <c r="AI3" i="23917"/>
  <c r="AI60" i="23917" s="1"/>
  <c r="G3" i="24050"/>
  <c r="AM3" i="23917"/>
  <c r="AM60" i="23917" s="1"/>
  <c r="K3" i="24050"/>
  <c r="AQ3" i="23917"/>
  <c r="AQ60" i="23917" s="1"/>
  <c r="O3" i="24050"/>
  <c r="AU3" i="23917"/>
  <c r="AU60" i="23917" s="1"/>
  <c r="S3" i="24050"/>
  <c r="AY3" i="23917"/>
  <c r="AY60" i="23917" s="1"/>
  <c r="W3" i="24050"/>
  <c r="BC3" i="23917"/>
  <c r="BC60" i="23917" s="1"/>
  <c r="AA3" i="24050"/>
  <c r="BG3" i="23917"/>
  <c r="BG60" i="23917" s="1"/>
  <c r="AE3" i="24050"/>
  <c r="BK3" i="23917"/>
  <c r="BK60" i="23917" s="1"/>
  <c r="AI3" i="24050"/>
  <c r="BO3" i="23917"/>
  <c r="BO60" i="23917" s="1"/>
  <c r="AM3" i="24050"/>
  <c r="BS3" i="23917"/>
  <c r="BS60" i="23917" s="1"/>
  <c r="AQ4" i="24050"/>
  <c r="BW4" i="23917"/>
  <c r="BW61" i="23917" s="1"/>
  <c r="AU4" i="24050"/>
  <c r="CA4" i="23917"/>
  <c r="AY4" i="24050"/>
  <c r="CE4" i="23917"/>
  <c r="BC4" i="24050"/>
  <c r="CI4" i="23917"/>
  <c r="CI61" i="23917" s="1"/>
  <c r="BG4" i="24050"/>
  <c r="CM4" i="23917"/>
  <c r="BK4" i="24050"/>
  <c r="CQ4" i="23917"/>
  <c r="BO4" i="24050"/>
  <c r="CU4" i="23917"/>
  <c r="BS4" i="24050"/>
  <c r="CY4" i="23917"/>
  <c r="CY61" i="23917" s="1"/>
  <c r="BW4" i="24050"/>
  <c r="DC4" i="23917"/>
  <c r="CA4" i="24050"/>
  <c r="DG4" i="23917"/>
  <c r="CE4" i="24050"/>
  <c r="DK4" i="23917"/>
  <c r="CI4" i="24050"/>
  <c r="DO4" i="23917"/>
  <c r="CM4" i="24050"/>
  <c r="DS4" i="23917"/>
  <c r="DS61" i="23917" s="1"/>
  <c r="CQ4" i="24050"/>
  <c r="DW4" i="23917"/>
  <c r="CU4" i="24050"/>
  <c r="EA4" i="23917"/>
  <c r="CY4" i="24050"/>
  <c r="EE4" i="23917"/>
  <c r="DD4" i="24050"/>
  <c r="EJ4" i="23917"/>
  <c r="EJ61" i="23917" s="1"/>
  <c r="DH4" i="24050"/>
  <c r="EN4" i="23917"/>
  <c r="DN4" i="24050"/>
  <c r="ET4" i="23917"/>
  <c r="ET61" i="23917" s="1"/>
  <c r="DV4" i="24050"/>
  <c r="FB4" i="23917"/>
  <c r="FB61" i="23917" s="1"/>
  <c r="DZ4" i="24050"/>
  <c r="FF4" i="23917"/>
  <c r="FF61" i="23917" s="1"/>
  <c r="ED4" i="24050"/>
  <c r="FJ4" i="23917"/>
  <c r="FJ61" i="23917" s="1"/>
  <c r="EH4" i="24050"/>
  <c r="FN4" i="23917"/>
  <c r="FN61" i="23917" s="1"/>
  <c r="EL4" i="24050"/>
  <c r="FR4" i="23917"/>
  <c r="FR61" i="23917" s="1"/>
  <c r="EP4" i="24050"/>
  <c r="FV4" i="23917"/>
  <c r="FV61" i="23917" s="1"/>
  <c r="ET4" i="24050"/>
  <c r="FZ4" i="23917"/>
  <c r="FZ61" i="23917" s="1"/>
  <c r="AA117" i="23917"/>
  <c r="O109" i="24050"/>
  <c r="AU115" i="23917"/>
  <c r="CO109" i="24050"/>
  <c r="DU115" i="23917"/>
  <c r="DW109" i="24050"/>
  <c r="FC115" i="23917"/>
  <c r="EE109" i="24050"/>
  <c r="FK115" i="23917"/>
  <c r="EA110" i="24050"/>
  <c r="FG116" i="23917"/>
  <c r="M110" i="24050"/>
  <c r="AS116" i="23917"/>
  <c r="W111" i="24050"/>
  <c r="BC117" i="23917"/>
  <c r="DS110" i="24050"/>
  <c r="EY116" i="23917"/>
  <c r="G111" i="24050"/>
  <c r="AM117" i="23917"/>
  <c r="E110" i="24050"/>
  <c r="AK116" i="23917"/>
  <c r="I111" i="24050"/>
  <c r="AO117" i="23917"/>
  <c r="O111" i="24050"/>
  <c r="AU117" i="23917"/>
  <c r="S111" i="24050"/>
  <c r="AY117" i="23917"/>
  <c r="AC109" i="24050"/>
  <c r="BI115" i="23917"/>
  <c r="AE111" i="24050"/>
  <c r="BK117" i="23917"/>
  <c r="AI109" i="24050"/>
  <c r="BO115" i="23917"/>
  <c r="AK110" i="24050"/>
  <c r="BQ116" i="23917"/>
  <c r="AM111" i="24050"/>
  <c r="BS117" i="23917"/>
  <c r="AQ109" i="24050"/>
  <c r="BW115" i="23917"/>
  <c r="AS110" i="24050"/>
  <c r="BY116" i="23917"/>
  <c r="AU111" i="24050"/>
  <c r="CA117" i="23917"/>
  <c r="AY109" i="24050"/>
  <c r="CE115" i="23917"/>
  <c r="BA110" i="24050"/>
  <c r="CG116" i="23917"/>
  <c r="BC111" i="24050"/>
  <c r="CI117" i="23917"/>
  <c r="BG109" i="24050"/>
  <c r="CM115" i="23917"/>
  <c r="BI110" i="24050"/>
  <c r="CO116" i="23917"/>
  <c r="BK111" i="24050"/>
  <c r="CQ117" i="23917"/>
  <c r="BO109" i="24050"/>
  <c r="CU115" i="23917"/>
  <c r="BQ110" i="24050"/>
  <c r="CW116" i="23917"/>
  <c r="BS111" i="24050"/>
  <c r="CY117" i="23917"/>
  <c r="BW109" i="24050"/>
  <c r="DC115" i="23917"/>
  <c r="BY110" i="24050"/>
  <c r="DE116" i="23917"/>
  <c r="CA111" i="24050"/>
  <c r="DG117" i="23917"/>
  <c r="CE109" i="24050"/>
  <c r="DK115" i="23917"/>
  <c r="CG110" i="24050"/>
  <c r="DM116" i="23917"/>
  <c r="CI111" i="24050"/>
  <c r="DO117" i="23917"/>
  <c r="CM109" i="24050"/>
  <c r="DS115" i="23917"/>
  <c r="DF110" i="24050"/>
  <c r="EL116" i="23917"/>
  <c r="DH111" i="24050"/>
  <c r="EN117" i="23917"/>
  <c r="DS111" i="24050"/>
  <c r="EY117" i="23917"/>
  <c r="EG111" i="24050"/>
  <c r="FM117" i="23917"/>
  <c r="W118" i="23917"/>
  <c r="D112" i="24050"/>
  <c r="AJ118" i="23917"/>
  <c r="T112" i="24050"/>
  <c r="AZ118" i="23917"/>
  <c r="AD112" i="24050"/>
  <c r="BJ118" i="23917"/>
  <c r="AJ112" i="24050"/>
  <c r="BP118" i="23917"/>
  <c r="AP112" i="24050"/>
  <c r="BV118" i="23917"/>
  <c r="AZ112" i="24050"/>
  <c r="CF118" i="23917"/>
  <c r="BF112" i="24050"/>
  <c r="CL118" i="23917"/>
  <c r="BP112" i="24050"/>
  <c r="CV118" i="23917"/>
  <c r="BV112" i="24050"/>
  <c r="DB118" i="23917"/>
  <c r="CF112" i="24050"/>
  <c r="DL118" i="23917"/>
  <c r="CL112" i="24050"/>
  <c r="DR118" i="23917"/>
  <c r="S122" i="23917"/>
  <c r="Z121" i="23917"/>
  <c r="CO116" i="24050"/>
  <c r="DU122" i="23917"/>
  <c r="DJ115" i="24050"/>
  <c r="EP121" i="23917"/>
  <c r="DU115" i="24050"/>
  <c r="FA121" i="23917"/>
  <c r="EA115" i="24050"/>
  <c r="FG121" i="23917"/>
  <c r="EG115" i="24050"/>
  <c r="FM121" i="23917"/>
  <c r="DQ116" i="24050"/>
  <c r="EW122" i="23917"/>
  <c r="DW116" i="24050"/>
  <c r="FC122" i="23917"/>
  <c r="EC116" i="24050"/>
  <c r="FI122" i="23917"/>
  <c r="EE118" i="24050"/>
  <c r="FK124" i="23917"/>
  <c r="K116" i="24050"/>
  <c r="AQ122" i="23917"/>
  <c r="Q115" i="24050"/>
  <c r="AW121" i="23917"/>
  <c r="U116" i="24050"/>
  <c r="BA122" i="23917"/>
  <c r="Y116" i="24050"/>
  <c r="BE122" i="23917"/>
  <c r="AC116" i="24050"/>
  <c r="BI122" i="23917"/>
  <c r="AQ116" i="24050"/>
  <c r="BW122" i="23917"/>
  <c r="AM116" i="24050"/>
  <c r="BS122" i="23917"/>
  <c r="AS115" i="24050"/>
  <c r="BY121" i="23917"/>
  <c r="AW115" i="24050"/>
  <c r="CC121" i="23917"/>
  <c r="BA115" i="24050"/>
  <c r="CG121" i="23917"/>
  <c r="BE115" i="24050"/>
  <c r="CK121" i="23917"/>
  <c r="Q117" i="24050"/>
  <c r="AW123" i="23917"/>
  <c r="AG117" i="24050"/>
  <c r="BM123" i="23917"/>
  <c r="AW117" i="24050"/>
  <c r="CC123" i="23917"/>
  <c r="CP117" i="24050"/>
  <c r="DV123" i="23917"/>
  <c r="E118" i="24050"/>
  <c r="AK124" i="23917"/>
  <c r="I118" i="24050"/>
  <c r="AO124" i="23917"/>
  <c r="S118" i="24050"/>
  <c r="AY124" i="23917"/>
  <c r="AI118" i="24050"/>
  <c r="BO124" i="23917"/>
  <c r="AW118" i="24050"/>
  <c r="CC124" i="23917"/>
  <c r="DY118" i="24050"/>
  <c r="FE124" i="23917"/>
  <c r="BI115" i="24050"/>
  <c r="CO121" i="23917"/>
  <c r="BK116" i="24050"/>
  <c r="CQ122" i="23917"/>
  <c r="BO116" i="24050"/>
  <c r="CU122" i="23917"/>
  <c r="BQ117" i="24050"/>
  <c r="CW123" i="23917"/>
  <c r="BS117" i="24050"/>
  <c r="CY123" i="23917"/>
  <c r="BU118" i="24050"/>
  <c r="DA124" i="23917"/>
  <c r="BW118" i="24050"/>
  <c r="DC124" i="23917"/>
  <c r="BY118" i="24050"/>
  <c r="DE124" i="23917"/>
  <c r="CA118" i="24050"/>
  <c r="DG124" i="23917"/>
  <c r="CE115" i="24050"/>
  <c r="DK121" i="23917"/>
  <c r="CG115" i="24050"/>
  <c r="DM121" i="23917"/>
  <c r="CI115" i="24050"/>
  <c r="DO121" i="23917"/>
  <c r="CK115" i="24050"/>
  <c r="DQ121" i="23917"/>
  <c r="CM116" i="24050"/>
  <c r="DS122" i="23917"/>
  <c r="DF116" i="24050"/>
  <c r="EL122" i="23917"/>
  <c r="DH116" i="24050"/>
  <c r="EN122" i="23917"/>
  <c r="AN119" i="24050"/>
  <c r="BT125" i="23917"/>
  <c r="BD119" i="24050"/>
  <c r="CJ125" i="23917"/>
  <c r="BV119" i="24050"/>
  <c r="DB125" i="23917"/>
  <c r="CN119" i="24050"/>
  <c r="DT125" i="23917"/>
  <c r="V136" i="23917"/>
  <c r="D130" i="24050"/>
  <c r="AJ136" i="23917"/>
  <c r="L130" i="24050"/>
  <c r="AR136" i="23917"/>
  <c r="R130" i="24050"/>
  <c r="AX136" i="23917"/>
  <c r="DI130" i="24050"/>
  <c r="EO136" i="23917"/>
  <c r="AF137" i="23917"/>
  <c r="CR131" i="24050"/>
  <c r="DX137" i="23917"/>
  <c r="DQ134" i="24050"/>
  <c r="EW140" i="23917"/>
  <c r="DU134" i="24050"/>
  <c r="FA140" i="23917"/>
  <c r="DS135" i="24050"/>
  <c r="EY141" i="23917"/>
  <c r="DY135" i="24050"/>
  <c r="FE141" i="23917"/>
  <c r="DP136" i="24050"/>
  <c r="EV142" i="23917"/>
  <c r="E134" i="24050"/>
  <c r="AK140" i="23917"/>
  <c r="I134" i="24050"/>
  <c r="AO140" i="23917"/>
  <c r="M134" i="24050"/>
  <c r="AS140" i="23917"/>
  <c r="Q134" i="24050"/>
  <c r="AW140" i="23917"/>
  <c r="U134" i="24050"/>
  <c r="BA140" i="23917"/>
  <c r="Y134" i="24050"/>
  <c r="BE140" i="23917"/>
  <c r="AC134" i="24050"/>
  <c r="BI140" i="23917"/>
  <c r="AK134" i="24050"/>
  <c r="BQ140" i="23917"/>
  <c r="AO134" i="24050"/>
  <c r="BU140" i="23917"/>
  <c r="AS134" i="24050"/>
  <c r="BY140" i="23917"/>
  <c r="AW134" i="24050"/>
  <c r="CC140" i="23917"/>
  <c r="BA134" i="24050"/>
  <c r="CG140" i="23917"/>
  <c r="BE134" i="24050"/>
  <c r="CK140" i="23917"/>
  <c r="BI134" i="24050"/>
  <c r="CO140" i="23917"/>
  <c r="BM134" i="24050"/>
  <c r="CS140" i="23917"/>
  <c r="BQ134" i="24050"/>
  <c r="CW140" i="23917"/>
  <c r="BU134" i="24050"/>
  <c r="DA140" i="23917"/>
  <c r="BY134" i="24050"/>
  <c r="DE140" i="23917"/>
  <c r="CC134" i="24050"/>
  <c r="DI140" i="23917"/>
  <c r="CG134" i="24050"/>
  <c r="DM140" i="23917"/>
  <c r="CK134" i="24050"/>
  <c r="DQ140" i="23917"/>
  <c r="CO134" i="24050"/>
  <c r="DU140" i="23917"/>
  <c r="DH134" i="24050"/>
  <c r="EN140" i="23917"/>
  <c r="AD142" i="23917"/>
  <c r="D136" i="24050"/>
  <c r="AJ142" i="23917"/>
  <c r="J136" i="24050"/>
  <c r="AP142" i="23917"/>
  <c r="T136" i="24050"/>
  <c r="AZ142" i="23917"/>
  <c r="Z136" i="24050"/>
  <c r="BF142" i="23917"/>
  <c r="AF136" i="24050"/>
  <c r="BL142" i="23917"/>
  <c r="AL136" i="24050"/>
  <c r="BR142" i="23917"/>
  <c r="AR136" i="24050"/>
  <c r="BX142" i="23917"/>
  <c r="BB136" i="24050"/>
  <c r="CH142" i="23917"/>
  <c r="BH136" i="24050"/>
  <c r="CN142" i="23917"/>
  <c r="BR136" i="24050"/>
  <c r="CX142" i="23917"/>
  <c r="BX136" i="24050"/>
  <c r="DD142" i="23917"/>
  <c r="CH136" i="24050"/>
  <c r="DN142" i="23917"/>
  <c r="CN136" i="24050"/>
  <c r="DT142" i="23917"/>
  <c r="CS134" i="24050"/>
  <c r="DY140" i="23917"/>
  <c r="CW134" i="24050"/>
  <c r="EC140" i="23917"/>
  <c r="CY135" i="24050"/>
  <c r="EE141" i="23917"/>
  <c r="DA136" i="24050"/>
  <c r="EG142" i="23917"/>
  <c r="DI136" i="24050"/>
  <c r="EO142" i="23917"/>
  <c r="DN134" i="24050"/>
  <c r="ET140" i="23917"/>
  <c r="EH134" i="24050"/>
  <c r="FN140" i="23917"/>
  <c r="EJ135" i="24050"/>
  <c r="FP141" i="23917"/>
  <c r="EL136" i="24050"/>
  <c r="FR142" i="23917"/>
  <c r="EP134" i="24050"/>
  <c r="FV140" i="23917"/>
  <c r="ER135" i="24050"/>
  <c r="FX141" i="23917"/>
  <c r="ET136" i="24050"/>
  <c r="FZ142" i="23917"/>
  <c r="X144" i="23917"/>
  <c r="DP138" i="24050"/>
  <c r="EV144" i="23917"/>
  <c r="DW138" i="24050"/>
  <c r="FC144" i="23917"/>
  <c r="EC138" i="24050"/>
  <c r="FI144" i="23917"/>
  <c r="AG144" i="23917"/>
  <c r="E138" i="24050"/>
  <c r="AK144" i="23917"/>
  <c r="I138" i="24050"/>
  <c r="AO144" i="23917"/>
  <c r="M138" i="24050"/>
  <c r="AS144" i="23917"/>
  <c r="Q138" i="24050"/>
  <c r="AW144" i="23917"/>
  <c r="U138" i="24050"/>
  <c r="BA144" i="23917"/>
  <c r="AI138" i="24050"/>
  <c r="BO144" i="23917"/>
  <c r="AM138" i="24050"/>
  <c r="BS144" i="23917"/>
  <c r="AQ138" i="24050"/>
  <c r="BW144" i="23917"/>
  <c r="AU138" i="24050"/>
  <c r="CA144" i="23917"/>
  <c r="AY138" i="24050"/>
  <c r="CE144" i="23917"/>
  <c r="BC138" i="24050"/>
  <c r="CI144" i="23917"/>
  <c r="BG138" i="24050"/>
  <c r="CM144" i="23917"/>
  <c r="BK138" i="24050"/>
  <c r="CQ144" i="23917"/>
  <c r="BO138" i="24050"/>
  <c r="CU144" i="23917"/>
  <c r="BS138" i="24050"/>
  <c r="CY144" i="23917"/>
  <c r="BW138" i="24050"/>
  <c r="DC144" i="23917"/>
  <c r="CA138" i="24050"/>
  <c r="DG144" i="23917"/>
  <c r="CE138" i="24050"/>
  <c r="DK144" i="23917"/>
  <c r="CI138" i="24050"/>
  <c r="DO144" i="23917"/>
  <c r="CM138" i="24050"/>
  <c r="DS144" i="23917"/>
  <c r="DF138" i="24050"/>
  <c r="EL144" i="23917"/>
  <c r="DJ138" i="24050"/>
  <c r="EP144" i="23917"/>
  <c r="U145" i="23917"/>
  <c r="AE145" i="23917"/>
  <c r="D139" i="24050"/>
  <c r="AJ145" i="23917"/>
  <c r="H139" i="24050"/>
  <c r="AN145" i="23917"/>
  <c r="L139" i="24050"/>
  <c r="AR145" i="23917"/>
  <c r="P139" i="24050"/>
  <c r="AV145" i="23917"/>
  <c r="T139" i="24050"/>
  <c r="AZ145" i="23917"/>
  <c r="Z139" i="24050"/>
  <c r="BF145" i="23917"/>
  <c r="AF139" i="24050"/>
  <c r="BL145" i="23917"/>
  <c r="AL139" i="24050"/>
  <c r="BR145" i="23917"/>
  <c r="AR139" i="24050"/>
  <c r="BX145" i="23917"/>
  <c r="BB139" i="24050"/>
  <c r="CH145" i="23917"/>
  <c r="BH139" i="24050"/>
  <c r="CN145" i="23917"/>
  <c r="BR139" i="24050"/>
  <c r="CX145" i="23917"/>
  <c r="BX139" i="24050"/>
  <c r="DD145" i="23917"/>
  <c r="CH139" i="24050"/>
  <c r="DN145" i="23917"/>
  <c r="CN139" i="24050"/>
  <c r="DT145" i="23917"/>
  <c r="CS137" i="24050"/>
  <c r="DY143" i="23917"/>
  <c r="CW137" i="24050"/>
  <c r="EC143" i="23917"/>
  <c r="CY138" i="24050"/>
  <c r="EE144" i="23917"/>
  <c r="DA139" i="24050"/>
  <c r="EG145" i="23917"/>
  <c r="DI139" i="24050"/>
  <c r="EO145" i="23917"/>
  <c r="DN137" i="24050"/>
  <c r="ET143" i="23917"/>
  <c r="EJ137" i="24050"/>
  <c r="FP143" i="23917"/>
  <c r="EL138" i="24050"/>
  <c r="FR144" i="23917"/>
  <c r="EN139" i="24050"/>
  <c r="FT145" i="23917"/>
  <c r="ER137" i="24050"/>
  <c r="FX143" i="23917"/>
  <c r="ET138" i="24050"/>
  <c r="FZ144" i="23917"/>
  <c r="EH140" i="24050"/>
  <c r="FN146" i="23917"/>
  <c r="EP140" i="24050"/>
  <c r="FV146" i="23917"/>
  <c r="S158" i="23917"/>
  <c r="CR154" i="24050"/>
  <c r="DX160" i="23917"/>
  <c r="DO152" i="24050"/>
  <c r="EU158" i="23917"/>
  <c r="DY152" i="24050"/>
  <c r="FE158" i="23917"/>
  <c r="DZ153" i="24050"/>
  <c r="FF159" i="23917"/>
  <c r="EE153" i="24050"/>
  <c r="FK159" i="23917"/>
  <c r="DQ153" i="24050"/>
  <c r="EW159" i="23917"/>
  <c r="DW153" i="24050"/>
  <c r="FC159" i="23917"/>
  <c r="E152" i="24050"/>
  <c r="AK158" i="23917"/>
  <c r="G153" i="24050"/>
  <c r="AM159" i="23917"/>
  <c r="I154" i="24050"/>
  <c r="AO160" i="23917"/>
  <c r="M152" i="24050"/>
  <c r="AS158" i="23917"/>
  <c r="O153" i="24050"/>
  <c r="AU159" i="23917"/>
  <c r="Q154" i="24050"/>
  <c r="AW160" i="23917"/>
  <c r="U152" i="24050"/>
  <c r="BA158" i="23917"/>
  <c r="W153" i="24050"/>
  <c r="BC159" i="23917"/>
  <c r="Y154" i="24050"/>
  <c r="BE160" i="23917"/>
  <c r="AC152" i="24050"/>
  <c r="BI158" i="23917"/>
  <c r="AE153" i="24050"/>
  <c r="BK159" i="23917"/>
  <c r="AG154" i="24050"/>
  <c r="BM160" i="23917"/>
  <c r="AK152" i="24050"/>
  <c r="BQ158" i="23917"/>
  <c r="AM153" i="24050"/>
  <c r="BS159" i="23917"/>
  <c r="AO154" i="24050"/>
  <c r="BU160" i="23917"/>
  <c r="AS152" i="24050"/>
  <c r="BY158" i="23917"/>
  <c r="AU153" i="24050"/>
  <c r="CA159" i="23917"/>
  <c r="AW154" i="24050"/>
  <c r="CC160" i="23917"/>
  <c r="BA152" i="24050"/>
  <c r="CG158" i="23917"/>
  <c r="BC153" i="24050"/>
  <c r="CI159" i="23917"/>
  <c r="BE154" i="24050"/>
  <c r="CK160" i="23917"/>
  <c r="BI152" i="24050"/>
  <c r="CO158" i="23917"/>
  <c r="BK153" i="24050"/>
  <c r="CQ159" i="23917"/>
  <c r="BM154" i="24050"/>
  <c r="CS160" i="23917"/>
  <c r="BQ152" i="24050"/>
  <c r="CW158" i="23917"/>
  <c r="BS153" i="24050"/>
  <c r="CY159" i="23917"/>
  <c r="BU154" i="24050"/>
  <c r="DA160" i="23917"/>
  <c r="BY152" i="24050"/>
  <c r="DE158" i="23917"/>
  <c r="CA153" i="24050"/>
  <c r="DG159" i="23917"/>
  <c r="CC154" i="24050"/>
  <c r="DI160" i="23917"/>
  <c r="CG152" i="24050"/>
  <c r="DM158" i="23917"/>
  <c r="CI153" i="24050"/>
  <c r="DO159" i="23917"/>
  <c r="CK154" i="24050"/>
  <c r="DQ160" i="23917"/>
  <c r="DF152" i="24050"/>
  <c r="EL158" i="23917"/>
  <c r="DH153" i="24050"/>
  <c r="EN159" i="23917"/>
  <c r="DQ154" i="24050"/>
  <c r="EW160" i="23917"/>
  <c r="EC154" i="24050"/>
  <c r="FI160" i="23917"/>
  <c r="Z161" i="23917"/>
  <c r="AF181" i="23917"/>
  <c r="AF161" i="23917"/>
  <c r="F155" i="24050"/>
  <c r="AL161" i="23917"/>
  <c r="L155" i="24050"/>
  <c r="AR161" i="23917"/>
  <c r="V155" i="24050"/>
  <c r="BB161" i="23917"/>
  <c r="AB155" i="24050"/>
  <c r="BH161" i="23917"/>
  <c r="AL155" i="24050"/>
  <c r="BR161" i="23917"/>
  <c r="AR155" i="24050"/>
  <c r="BX161" i="23917"/>
  <c r="BB155" i="24050"/>
  <c r="CH161" i="23917"/>
  <c r="BH155" i="24050"/>
  <c r="CN161" i="23917"/>
  <c r="BR155" i="24050"/>
  <c r="CX161" i="23917"/>
  <c r="BX155" i="24050"/>
  <c r="DD161" i="23917"/>
  <c r="CH155" i="24050"/>
  <c r="DN161" i="23917"/>
  <c r="CN155" i="24050"/>
  <c r="DT161" i="23917"/>
  <c r="DG155" i="24050"/>
  <c r="EM161" i="23917"/>
  <c r="Z180" i="23917"/>
  <c r="Z165" i="23917"/>
  <c r="DJ158" i="24050"/>
  <c r="EP164" i="23917"/>
  <c r="DS158" i="24050"/>
  <c r="EY164" i="23917"/>
  <c r="DY158" i="24050"/>
  <c r="FE164" i="23917"/>
  <c r="EE158" i="24050"/>
  <c r="FK164" i="23917"/>
  <c r="DO159" i="24050"/>
  <c r="EU165" i="23917"/>
  <c r="DU159" i="24050"/>
  <c r="FA165" i="23917"/>
  <c r="EA159" i="24050"/>
  <c r="FG165" i="23917"/>
  <c r="EC160" i="24050"/>
  <c r="FI166" i="23917"/>
  <c r="DM161" i="24050"/>
  <c r="ES167" i="23917"/>
  <c r="DU161" i="24050"/>
  <c r="FA167" i="23917"/>
  <c r="EG161" i="24050"/>
  <c r="FM167" i="23917"/>
  <c r="BG159" i="24050"/>
  <c r="CM165" i="23917"/>
  <c r="E160" i="24050"/>
  <c r="AK166" i="23917"/>
  <c r="L162" i="24050"/>
  <c r="AR168" i="23917"/>
  <c r="U160" i="24050"/>
  <c r="BA166" i="23917"/>
  <c r="AB162" i="24050"/>
  <c r="BH168" i="23917"/>
  <c r="AK160" i="24050"/>
  <c r="BQ166" i="23917"/>
  <c r="AR162" i="24050"/>
  <c r="BX168" i="23917"/>
  <c r="BG160" i="24050"/>
  <c r="CM166" i="23917"/>
  <c r="CD162" i="24050"/>
  <c r="DJ168" i="23917"/>
  <c r="E158" i="24050"/>
  <c r="AK164" i="23917"/>
  <c r="G159" i="24050"/>
  <c r="AM165" i="23917"/>
  <c r="I161" i="24050"/>
  <c r="AO167" i="23917"/>
  <c r="M158" i="24050"/>
  <c r="AS164" i="23917"/>
  <c r="O159" i="24050"/>
  <c r="AU165" i="23917"/>
  <c r="Q161" i="24050"/>
  <c r="AW167" i="23917"/>
  <c r="U158" i="24050"/>
  <c r="BA164" i="23917"/>
  <c r="W159" i="24050"/>
  <c r="BC165" i="23917"/>
  <c r="Y161" i="24050"/>
  <c r="BE167" i="23917"/>
  <c r="AC158" i="24050"/>
  <c r="BI164" i="23917"/>
  <c r="AE159" i="24050"/>
  <c r="BK165" i="23917"/>
  <c r="AG161" i="24050"/>
  <c r="BM167" i="23917"/>
  <c r="AK158" i="24050"/>
  <c r="BQ164" i="23917"/>
  <c r="AM159" i="24050"/>
  <c r="BS165" i="23917"/>
  <c r="AO161" i="24050"/>
  <c r="BU167" i="23917"/>
  <c r="AS158" i="24050"/>
  <c r="BY164" i="23917"/>
  <c r="AU159" i="24050"/>
  <c r="CA165" i="23917"/>
  <c r="AW161" i="24050"/>
  <c r="CC167" i="23917"/>
  <c r="BA158" i="24050"/>
  <c r="CG164" i="23917"/>
  <c r="BC159" i="24050"/>
  <c r="CI165" i="23917"/>
  <c r="BI158" i="24050"/>
  <c r="CO164" i="23917"/>
  <c r="BK159" i="24050"/>
  <c r="CQ165" i="23917"/>
  <c r="BM161" i="24050"/>
  <c r="CS167" i="23917"/>
  <c r="BQ159" i="24050"/>
  <c r="CW165" i="23917"/>
  <c r="BS160" i="24050"/>
  <c r="CY166" i="23917"/>
  <c r="BU160" i="24050"/>
  <c r="DA166" i="23917"/>
  <c r="BW160" i="24050"/>
  <c r="DC166" i="23917"/>
  <c r="BY161" i="24050"/>
  <c r="DE167" i="23917"/>
  <c r="CA161" i="24050"/>
  <c r="DG167" i="23917"/>
  <c r="CC161" i="24050"/>
  <c r="DI167" i="23917"/>
  <c r="CE161" i="24050"/>
  <c r="DK167" i="23917"/>
  <c r="CI158" i="24050"/>
  <c r="DO164" i="23917"/>
  <c r="CK158" i="24050"/>
  <c r="DQ164" i="23917"/>
  <c r="CM158" i="24050"/>
  <c r="DS164" i="23917"/>
  <c r="DF158" i="24050"/>
  <c r="EL164" i="23917"/>
  <c r="DH158" i="24050"/>
  <c r="EN164" i="23917"/>
  <c r="U168" i="23917"/>
  <c r="T168" i="23917"/>
  <c r="N162" i="24050"/>
  <c r="AT168" i="23917"/>
  <c r="AH162" i="24050"/>
  <c r="BN168" i="23917"/>
  <c r="AX162" i="24050"/>
  <c r="CD168" i="23917"/>
  <c r="BP162" i="24050"/>
  <c r="CV168" i="23917"/>
  <c r="DI162" i="24050"/>
  <c r="EO168" i="23917"/>
  <c r="AC179" i="23917"/>
  <c r="AB179" i="23917"/>
  <c r="B173" i="24050"/>
  <c r="AH179" i="23917"/>
  <c r="H173" i="24050"/>
  <c r="AN179" i="23917"/>
  <c r="N173" i="24050"/>
  <c r="AT179" i="23917"/>
  <c r="X173" i="24050"/>
  <c r="BD179" i="23917"/>
  <c r="AD173" i="24050"/>
  <c r="BJ179" i="23917"/>
  <c r="AN173" i="24050"/>
  <c r="BT179" i="23917"/>
  <c r="AT173" i="24050"/>
  <c r="BZ179" i="23917"/>
  <c r="BD173" i="24050"/>
  <c r="CJ179" i="23917"/>
  <c r="BJ173" i="24050"/>
  <c r="CP179" i="23917"/>
  <c r="BT173" i="24050"/>
  <c r="CZ179" i="23917"/>
  <c r="BZ173" i="24050"/>
  <c r="DF179" i="23917"/>
  <c r="CJ173" i="24050"/>
  <c r="DP179" i="23917"/>
  <c r="CU173" i="24050"/>
  <c r="EA179" i="23917"/>
  <c r="DI173" i="24050"/>
  <c r="EO179" i="23917"/>
  <c r="CV173" i="24050"/>
  <c r="EB179" i="23917"/>
  <c r="W180" i="23917"/>
  <c r="V180" i="23917"/>
  <c r="H174" i="24050"/>
  <c r="AN180" i="23917"/>
  <c r="N174" i="24050"/>
  <c r="AT180" i="23917"/>
  <c r="V367" i="24050"/>
  <c r="V174" i="24050"/>
  <c r="BB180" i="23917"/>
  <c r="AB174" i="24050"/>
  <c r="BH180" i="23917"/>
  <c r="AJ174" i="24050"/>
  <c r="BP180" i="23917"/>
  <c r="AP174" i="24050"/>
  <c r="BV180" i="23917"/>
  <c r="AX174" i="24050"/>
  <c r="CD180" i="23917"/>
  <c r="BL174" i="24050"/>
  <c r="CR180" i="23917"/>
  <c r="BT174" i="24050"/>
  <c r="CZ180" i="23917"/>
  <c r="BZ174" i="24050"/>
  <c r="DF180" i="23917"/>
  <c r="CH174" i="24050"/>
  <c r="DN180" i="23917"/>
  <c r="CN174" i="24050"/>
  <c r="DT180" i="23917"/>
  <c r="DG174" i="24050"/>
  <c r="EM180" i="23917"/>
  <c r="AB181" i="23917"/>
  <c r="R184" i="23917"/>
  <c r="DU178" i="24050"/>
  <c r="FA184" i="23917"/>
  <c r="DR179" i="24050"/>
  <c r="EX185" i="23917"/>
  <c r="DY179" i="24050"/>
  <c r="FE185" i="23917"/>
  <c r="G178" i="24050"/>
  <c r="AM184" i="23917"/>
  <c r="K178" i="24050"/>
  <c r="AQ184" i="23917"/>
  <c r="O178" i="24050"/>
  <c r="AU184" i="23917"/>
  <c r="S178" i="24050"/>
  <c r="AY184" i="23917"/>
  <c r="AA178" i="24050"/>
  <c r="BG184" i="23917"/>
  <c r="AK178" i="24050"/>
  <c r="BQ184" i="23917"/>
  <c r="AO178" i="24050"/>
  <c r="BU184" i="23917"/>
  <c r="DH178" i="24050"/>
  <c r="EN184" i="23917"/>
  <c r="Z186" i="23917"/>
  <c r="F180" i="24050"/>
  <c r="AL186" i="23917"/>
  <c r="L180" i="24050"/>
  <c r="AR186" i="23917"/>
  <c r="Q180" i="24050"/>
  <c r="AW186" i="23917"/>
  <c r="V180" i="24050"/>
  <c r="BB186" i="23917"/>
  <c r="AD180" i="24050"/>
  <c r="BJ186" i="23917"/>
  <c r="AJ180" i="24050"/>
  <c r="BP186" i="23917"/>
  <c r="AP180" i="24050"/>
  <c r="BV186" i="23917"/>
  <c r="AX180" i="24050"/>
  <c r="CD186" i="23917"/>
  <c r="BF180" i="24050"/>
  <c r="CL186" i="23917"/>
  <c r="BM180" i="24050"/>
  <c r="CS186" i="23917"/>
  <c r="DE180" i="24050"/>
  <c r="EK186" i="23917"/>
  <c r="DL178" i="24050"/>
  <c r="ER184" i="23917"/>
  <c r="DN180" i="24050"/>
  <c r="ET186" i="23917"/>
  <c r="DR180" i="24050"/>
  <c r="EX186" i="23917"/>
  <c r="EF179" i="24050"/>
  <c r="FL185" i="23917"/>
  <c r="EJ178" i="24050"/>
  <c r="FP184" i="23917"/>
  <c r="EL179" i="24050"/>
  <c r="FR185" i="23917"/>
  <c r="EN180" i="24050"/>
  <c r="FT186" i="23917"/>
  <c r="ER178" i="24050"/>
  <c r="FX184" i="23917"/>
  <c r="ET179" i="24050"/>
  <c r="FZ185" i="23917"/>
  <c r="CO192" i="24050"/>
  <c r="DU198" i="23917"/>
  <c r="CR193" i="24050"/>
  <c r="DX199" i="23917"/>
  <c r="CP194" i="24050"/>
  <c r="DV200" i="23917"/>
  <c r="DM192" i="24050"/>
  <c r="ES198" i="23917"/>
  <c r="DM193" i="24050"/>
  <c r="ES199" i="23917"/>
  <c r="DO194" i="24050"/>
  <c r="EU200" i="23917"/>
  <c r="DV192" i="24050"/>
  <c r="FB198" i="23917"/>
  <c r="EA192" i="24050"/>
  <c r="FG198" i="23917"/>
  <c r="DZ193" i="24050"/>
  <c r="FF199" i="23917"/>
  <c r="EE193" i="24050"/>
  <c r="FK199" i="23917"/>
  <c r="N195" i="24050"/>
  <c r="AT201" i="23917"/>
  <c r="V195" i="24050"/>
  <c r="BB201" i="23917"/>
  <c r="G192" i="24050"/>
  <c r="AM198" i="23917"/>
  <c r="I194" i="24050"/>
  <c r="AO200" i="23917"/>
  <c r="M193" i="24050"/>
  <c r="AS199" i="23917"/>
  <c r="O194" i="24050"/>
  <c r="AU200" i="23917"/>
  <c r="S194" i="24050"/>
  <c r="AY200" i="23917"/>
  <c r="W193" i="24050"/>
  <c r="BC199" i="23917"/>
  <c r="AA192" i="24050"/>
  <c r="BG198" i="23917"/>
  <c r="AC194" i="24050"/>
  <c r="BI200" i="23917"/>
  <c r="AG192" i="24050"/>
  <c r="BM198" i="23917"/>
  <c r="AI193" i="24050"/>
  <c r="BO199" i="23917"/>
  <c r="AK194" i="24050"/>
  <c r="BQ200" i="23917"/>
  <c r="AO192" i="24050"/>
  <c r="BU198" i="23917"/>
  <c r="AQ193" i="24050"/>
  <c r="BW199" i="23917"/>
  <c r="AS194" i="24050"/>
  <c r="BY200" i="23917"/>
  <c r="AW192" i="24050"/>
  <c r="CC198" i="23917"/>
  <c r="AY193" i="24050"/>
  <c r="CE199" i="23917"/>
  <c r="BA194" i="24050"/>
  <c r="CG200" i="23917"/>
  <c r="BE192" i="24050"/>
  <c r="CK198" i="23917"/>
  <c r="BG193" i="24050"/>
  <c r="CM199" i="23917"/>
  <c r="BI194" i="24050"/>
  <c r="CO200" i="23917"/>
  <c r="BM192" i="24050"/>
  <c r="CS198" i="23917"/>
  <c r="BO193" i="24050"/>
  <c r="CU199" i="23917"/>
  <c r="BQ194" i="24050"/>
  <c r="CW200" i="23917"/>
  <c r="BU192" i="24050"/>
  <c r="DA198" i="23917"/>
  <c r="BW193" i="24050"/>
  <c r="DC199" i="23917"/>
  <c r="BY194" i="24050"/>
  <c r="DE200" i="23917"/>
  <c r="CC192" i="24050"/>
  <c r="DI198" i="23917"/>
  <c r="CE193" i="24050"/>
  <c r="DK199" i="23917"/>
  <c r="CG194" i="24050"/>
  <c r="DM200" i="23917"/>
  <c r="CK192" i="24050"/>
  <c r="DQ198" i="23917"/>
  <c r="CM193" i="24050"/>
  <c r="DS199" i="23917"/>
  <c r="DF194" i="24050"/>
  <c r="EL200" i="23917"/>
  <c r="DU194" i="24050"/>
  <c r="FA200" i="23917"/>
  <c r="EA194" i="24050"/>
  <c r="FG200" i="23917"/>
  <c r="EG194" i="24050"/>
  <c r="FM200" i="23917"/>
  <c r="B195" i="24050"/>
  <c r="AH201" i="23917"/>
  <c r="P195" i="24050"/>
  <c r="AV201" i="23917"/>
  <c r="AD195" i="24050"/>
  <c r="BJ201" i="23917"/>
  <c r="AL195" i="24050"/>
  <c r="BR201" i="23917"/>
  <c r="AS195" i="24050"/>
  <c r="BY201" i="23917"/>
  <c r="AZ195" i="24050"/>
  <c r="CF201" i="23917"/>
  <c r="BH195" i="24050"/>
  <c r="CN201" i="23917"/>
  <c r="BN195" i="24050"/>
  <c r="CT201" i="23917"/>
  <c r="BV195" i="24050"/>
  <c r="DB201" i="23917"/>
  <c r="CB195" i="24050"/>
  <c r="DH201" i="23917"/>
  <c r="CJ195" i="24050"/>
  <c r="DP201" i="23917"/>
  <c r="DE195" i="24050"/>
  <c r="EK201" i="23917"/>
  <c r="G198" i="24050"/>
  <c r="AM204" i="23917"/>
  <c r="CV200" i="24050"/>
  <c r="EB206" i="23917"/>
  <c r="DM198" i="24050"/>
  <c r="ES204" i="23917"/>
  <c r="DM199" i="24050"/>
  <c r="ES205" i="23917"/>
  <c r="DW198" i="24050"/>
  <c r="FC204" i="23917"/>
  <c r="EC198" i="24050"/>
  <c r="FI204" i="23917"/>
  <c r="DY199" i="24050"/>
  <c r="FE205" i="23917"/>
  <c r="EE199" i="24050"/>
  <c r="FK205" i="23917"/>
  <c r="EG200" i="24050"/>
  <c r="FM206" i="23917"/>
  <c r="DW201" i="24050"/>
  <c r="FC207" i="23917"/>
  <c r="E198" i="24050"/>
  <c r="AK204" i="23917"/>
  <c r="CI199" i="24050"/>
  <c r="DO205" i="23917"/>
  <c r="DF199" i="24050"/>
  <c r="EL205" i="23917"/>
  <c r="C200" i="24050"/>
  <c r="AI206" i="23917"/>
  <c r="H202" i="24050"/>
  <c r="AN208" i="23917"/>
  <c r="P202" i="24050"/>
  <c r="AV208" i="23917"/>
  <c r="X202" i="24050"/>
  <c r="BD208" i="23917"/>
  <c r="AF202" i="24050"/>
  <c r="BL208" i="23917"/>
  <c r="AN202" i="24050"/>
  <c r="BT208" i="23917"/>
  <c r="AV202" i="24050"/>
  <c r="CB208" i="23917"/>
  <c r="BD202" i="24050"/>
  <c r="CJ208" i="23917"/>
  <c r="BL202" i="24050"/>
  <c r="CR208" i="23917"/>
  <c r="BT202" i="24050"/>
  <c r="CZ208" i="23917"/>
  <c r="CB202" i="24050"/>
  <c r="DH208" i="23917"/>
  <c r="CJ202" i="24050"/>
  <c r="DP208" i="23917"/>
  <c r="CO200" i="24050"/>
  <c r="DU206" i="23917"/>
  <c r="DH200" i="24050"/>
  <c r="EN206" i="23917"/>
  <c r="E201" i="24050"/>
  <c r="AK207" i="23917"/>
  <c r="I200" i="24050"/>
  <c r="AO206" i="23917"/>
  <c r="M199" i="24050"/>
  <c r="AS205" i="23917"/>
  <c r="Q198" i="24050"/>
  <c r="AW204" i="23917"/>
  <c r="S198" i="24050"/>
  <c r="AY204" i="23917"/>
  <c r="U199" i="24050"/>
  <c r="BA205" i="23917"/>
  <c r="W199" i="24050"/>
  <c r="BC205" i="23917"/>
  <c r="Y199" i="24050"/>
  <c r="BE205" i="23917"/>
  <c r="AA199" i="24050"/>
  <c r="BG205" i="23917"/>
  <c r="AC200" i="24050"/>
  <c r="BI206" i="23917"/>
  <c r="AE200" i="24050"/>
  <c r="BK206" i="23917"/>
  <c r="AG200" i="24050"/>
  <c r="BM206" i="23917"/>
  <c r="AI201" i="24050"/>
  <c r="BO207" i="23917"/>
  <c r="AK201" i="24050"/>
  <c r="BQ207" i="23917"/>
  <c r="AM201" i="24050"/>
  <c r="BS207" i="23917"/>
  <c r="AO201" i="24050"/>
  <c r="BU207" i="23917"/>
  <c r="AS198" i="24050"/>
  <c r="BY204" i="23917"/>
  <c r="AU198" i="24050"/>
  <c r="CA204" i="23917"/>
  <c r="AW198" i="24050"/>
  <c r="CC204" i="23917"/>
  <c r="AY198" i="24050"/>
  <c r="CE204" i="23917"/>
  <c r="BA199" i="24050"/>
  <c r="CG205" i="23917"/>
  <c r="BC199" i="24050"/>
  <c r="CI205" i="23917"/>
  <c r="BE199" i="24050"/>
  <c r="CK205" i="23917"/>
  <c r="BG199" i="24050"/>
  <c r="CM205" i="23917"/>
  <c r="BI200" i="24050"/>
  <c r="CO206" i="23917"/>
  <c r="BK200" i="24050"/>
  <c r="CQ206" i="23917"/>
  <c r="BM200" i="24050"/>
  <c r="CS206" i="23917"/>
  <c r="BO201" i="24050"/>
  <c r="CU207" i="23917"/>
  <c r="BQ201" i="24050"/>
  <c r="CW207" i="23917"/>
  <c r="BS201" i="24050"/>
  <c r="CY207" i="23917"/>
  <c r="BU201" i="24050"/>
  <c r="DA207" i="23917"/>
  <c r="BY198" i="24050"/>
  <c r="DE204" i="23917"/>
  <c r="CA198" i="24050"/>
  <c r="DG204" i="23917"/>
  <c r="CC198" i="24050"/>
  <c r="DI204" i="23917"/>
  <c r="CE198" i="24050"/>
  <c r="DK204" i="23917"/>
  <c r="CG199" i="24050"/>
  <c r="DM205" i="23917"/>
  <c r="EG201" i="24050"/>
  <c r="FM207" i="23917"/>
  <c r="CM201" i="24050"/>
  <c r="DS207" i="23917"/>
  <c r="DQ201" i="24050"/>
  <c r="EW207" i="23917"/>
  <c r="N202" i="24050"/>
  <c r="AT208" i="23917"/>
  <c r="AD202" i="24050"/>
  <c r="BJ208" i="23917"/>
  <c r="AT202" i="24050"/>
  <c r="BZ208" i="23917"/>
  <c r="BJ202" i="24050"/>
  <c r="CP208" i="23917"/>
  <c r="BZ202" i="24050"/>
  <c r="DF208" i="23917"/>
  <c r="U219" i="23917"/>
  <c r="T219" i="23917"/>
  <c r="AD219" i="23917"/>
  <c r="D213" i="24050"/>
  <c r="AJ219" i="23917"/>
  <c r="L213" i="24050"/>
  <c r="AR219" i="23917"/>
  <c r="R213" i="24050"/>
  <c r="AX219" i="23917"/>
  <c r="Z213" i="24050"/>
  <c r="BF219" i="23917"/>
  <c r="AF213" i="24050"/>
  <c r="BL219" i="23917"/>
  <c r="AN213" i="24050"/>
  <c r="BT219" i="23917"/>
  <c r="AU213" i="24050"/>
  <c r="CA219" i="23917"/>
  <c r="DG213" i="24050"/>
  <c r="EM219" i="23917"/>
  <c r="BD213" i="24050"/>
  <c r="CJ219" i="23917"/>
  <c r="BJ213" i="24050"/>
  <c r="CP219" i="23917"/>
  <c r="BP213" i="24050"/>
  <c r="CV219" i="23917"/>
  <c r="CB213" i="24050"/>
  <c r="DH219" i="23917"/>
  <c r="CL213" i="24050"/>
  <c r="DR219" i="23917"/>
  <c r="J214" i="24050"/>
  <c r="AP220" i="23917"/>
  <c r="P214" i="24050"/>
  <c r="AV220" i="23917"/>
  <c r="U214" i="24050"/>
  <c r="BA220" i="23917"/>
  <c r="Z214" i="24050"/>
  <c r="BF220" i="23917"/>
  <c r="AF214" i="24050"/>
  <c r="BL220" i="23917"/>
  <c r="AK214" i="24050"/>
  <c r="BQ220" i="23917"/>
  <c r="AP214" i="24050"/>
  <c r="BV220" i="23917"/>
  <c r="AV214" i="24050"/>
  <c r="CB220" i="23917"/>
  <c r="BA214" i="24050"/>
  <c r="CG220" i="23917"/>
  <c r="BF214" i="24050"/>
  <c r="CL220" i="23917"/>
  <c r="BL214" i="24050"/>
  <c r="CR220" i="23917"/>
  <c r="BQ214" i="24050"/>
  <c r="CW220" i="23917"/>
  <c r="BV214" i="24050"/>
  <c r="DB220" i="23917"/>
  <c r="CB214" i="24050"/>
  <c r="DH220" i="23917"/>
  <c r="CG214" i="24050"/>
  <c r="DM220" i="23917"/>
  <c r="CL214" i="24050"/>
  <c r="DR220" i="23917"/>
  <c r="M215" i="24050"/>
  <c r="AS221" i="23917"/>
  <c r="R215" i="24050"/>
  <c r="AX221" i="23917"/>
  <c r="X215" i="24050"/>
  <c r="BD221" i="23917"/>
  <c r="AC215" i="24050"/>
  <c r="BI221" i="23917"/>
  <c r="AH215" i="24050"/>
  <c r="BN221" i="23917"/>
  <c r="AN215" i="24050"/>
  <c r="BT221" i="23917"/>
  <c r="AS215" i="24050"/>
  <c r="BY221" i="23917"/>
  <c r="AX215" i="24050"/>
  <c r="CD221" i="23917"/>
  <c r="BD215" i="24050"/>
  <c r="CJ221" i="23917"/>
  <c r="BI215" i="24050"/>
  <c r="CO221" i="23917"/>
  <c r="BN215" i="24050"/>
  <c r="CT221" i="23917"/>
  <c r="BT215" i="24050"/>
  <c r="CZ221" i="23917"/>
  <c r="BY215" i="24050"/>
  <c r="DE221" i="23917"/>
  <c r="CD215" i="24050"/>
  <c r="DJ221" i="23917"/>
  <c r="CL215" i="24050"/>
  <c r="DR221" i="23917"/>
  <c r="CQ215" i="24050"/>
  <c r="DW221" i="23917"/>
  <c r="DE214" i="24050"/>
  <c r="EK220" i="23917"/>
  <c r="DS214" i="24050"/>
  <c r="EY220" i="23917"/>
  <c r="DF215" i="24050"/>
  <c r="EL221" i="23917"/>
  <c r="AW218" i="24050"/>
  <c r="CC224" i="23917"/>
  <c r="BE218" i="24050"/>
  <c r="CK224" i="23917"/>
  <c r="BM218" i="24050"/>
  <c r="CS224" i="23917"/>
  <c r="BU218" i="24050"/>
  <c r="DA224" i="23917"/>
  <c r="CC218" i="24050"/>
  <c r="DI224" i="23917"/>
  <c r="CK218" i="24050"/>
  <c r="DQ224" i="23917"/>
  <c r="CS218" i="24050"/>
  <c r="DY224" i="23917"/>
  <c r="DA218" i="24050"/>
  <c r="EG224" i="23917"/>
  <c r="DP218" i="24050"/>
  <c r="EV224" i="23917"/>
  <c r="DU218" i="24050"/>
  <c r="FA224" i="23917"/>
  <c r="EA218" i="24050"/>
  <c r="FG224" i="23917"/>
  <c r="DS219" i="24050"/>
  <c r="EY225" i="23917"/>
  <c r="EA219" i="24050"/>
  <c r="FG225" i="23917"/>
  <c r="DQ220" i="24050"/>
  <c r="EW226" i="23917"/>
  <c r="EA220" i="24050"/>
  <c r="FG226" i="23917"/>
  <c r="DG220" i="24050"/>
  <c r="EM226" i="23917"/>
  <c r="C219" i="24050"/>
  <c r="AI225" i="23917"/>
  <c r="E220" i="24050"/>
  <c r="AK226" i="23917"/>
  <c r="I218" i="24050"/>
  <c r="AO224" i="23917"/>
  <c r="K219" i="24050"/>
  <c r="AQ225" i="23917"/>
  <c r="M220" i="24050"/>
  <c r="AS226" i="23917"/>
  <c r="Q218" i="24050"/>
  <c r="AW224" i="23917"/>
  <c r="S219" i="24050"/>
  <c r="AY225" i="23917"/>
  <c r="U220" i="24050"/>
  <c r="BA226" i="23917"/>
  <c r="AI218" i="24050"/>
  <c r="BO224" i="23917"/>
  <c r="AK219" i="24050"/>
  <c r="BQ225" i="23917"/>
  <c r="AM220" i="24050"/>
  <c r="BS226" i="23917"/>
  <c r="AQ218" i="24050"/>
  <c r="BW224" i="23917"/>
  <c r="AS219" i="24050"/>
  <c r="BY225" i="23917"/>
  <c r="AU220" i="24050"/>
  <c r="CA226" i="23917"/>
  <c r="DN220" i="24050"/>
  <c r="ET226" i="23917"/>
  <c r="EH220" i="24050"/>
  <c r="FN226" i="23917"/>
  <c r="EL218" i="24050"/>
  <c r="FR224" i="23917"/>
  <c r="EN219" i="24050"/>
  <c r="FT225" i="23917"/>
  <c r="EP220" i="24050"/>
  <c r="FV226" i="23917"/>
  <c r="ET218" i="24050"/>
  <c r="FZ224" i="23917"/>
  <c r="R227" i="23917"/>
  <c r="Z227" i="23917"/>
  <c r="G221" i="24050"/>
  <c r="AM227" i="23917"/>
  <c r="O221" i="24050"/>
  <c r="AU227" i="23917"/>
  <c r="AA221" i="24050"/>
  <c r="BG227" i="23917"/>
  <c r="AO221" i="24050"/>
  <c r="BU227" i="23917"/>
  <c r="AW221" i="24050"/>
  <c r="CC227" i="23917"/>
  <c r="BE221" i="24050"/>
  <c r="CK227" i="23917"/>
  <c r="BM221" i="24050"/>
  <c r="CS227" i="23917"/>
  <c r="BU221" i="24050"/>
  <c r="DA227" i="23917"/>
  <c r="CC221" i="24050"/>
  <c r="DI227" i="23917"/>
  <c r="CK221" i="24050"/>
  <c r="DQ227" i="23917"/>
  <c r="DJ221" i="24050"/>
  <c r="EP227" i="23917"/>
  <c r="DU221" i="24050"/>
  <c r="FA227" i="23917"/>
  <c r="DP222" i="24050"/>
  <c r="EV228" i="23917"/>
  <c r="W228" i="23917"/>
  <c r="V228" i="23917"/>
  <c r="B222" i="24050"/>
  <c r="AH228" i="23917"/>
  <c r="H222" i="24050"/>
  <c r="AN228" i="23917"/>
  <c r="N222" i="24050"/>
  <c r="AT228" i="23917"/>
  <c r="U222" i="24050"/>
  <c r="BA228" i="23917"/>
  <c r="AH222" i="24050"/>
  <c r="BN228" i="23917"/>
  <c r="AN222" i="24050"/>
  <c r="BT228" i="23917"/>
  <c r="AT222" i="24050"/>
  <c r="BZ228" i="23917"/>
  <c r="AZ222" i="24050"/>
  <c r="CF228" i="23917"/>
  <c r="BE222" i="24050"/>
  <c r="CK228" i="23917"/>
  <c r="BJ222" i="24050"/>
  <c r="CP228" i="23917"/>
  <c r="BP222" i="24050"/>
  <c r="CV228" i="23917"/>
  <c r="BU222" i="24050"/>
  <c r="DA228" i="23917"/>
  <c r="BZ222" i="24050"/>
  <c r="DF228" i="23917"/>
  <c r="CF222" i="24050"/>
  <c r="DL228" i="23917"/>
  <c r="CL222" i="24050"/>
  <c r="DR228" i="23917"/>
  <c r="DA221" i="24050"/>
  <c r="EG227" i="23917"/>
  <c r="DG222" i="24050"/>
  <c r="EM228" i="23917"/>
  <c r="EH221" i="24050"/>
  <c r="FN227" i="23917"/>
  <c r="EL221" i="24050"/>
  <c r="FR227" i="23917"/>
  <c r="EP221" i="24050"/>
  <c r="FV227" i="23917"/>
  <c r="ET221" i="24050"/>
  <c r="FZ227" i="23917"/>
  <c r="G7" i="24068"/>
  <c r="DM236" i="24050"/>
  <c r="ES242" i="23917"/>
  <c r="DW236" i="24050"/>
  <c r="FC242" i="23917"/>
  <c r="EE236" i="24050"/>
  <c r="FK242" i="23917"/>
  <c r="DO235" i="24050"/>
  <c r="EU241" i="23917"/>
  <c r="AA235" i="24050"/>
  <c r="BG241" i="23917"/>
  <c r="AU237" i="24050"/>
  <c r="CA243" i="23917"/>
  <c r="CJ237" i="24050"/>
  <c r="DP243" i="23917"/>
  <c r="DE237" i="24050"/>
  <c r="EK243" i="23917"/>
  <c r="AE250" i="23917"/>
  <c r="AD250" i="23917"/>
  <c r="C242" i="24050"/>
  <c r="AI248" i="23917"/>
  <c r="K242" i="24050"/>
  <c r="AQ248" i="23917"/>
  <c r="S242" i="24050"/>
  <c r="AY248" i="23917"/>
  <c r="AA242" i="24050"/>
  <c r="BG248" i="23917"/>
  <c r="AI242" i="24050"/>
  <c r="BO248" i="23917"/>
  <c r="AQ242" i="24050"/>
  <c r="BW248" i="23917"/>
  <c r="AY242" i="24050"/>
  <c r="CE248" i="23917"/>
  <c r="BG242" i="24050"/>
  <c r="CM248" i="23917"/>
  <c r="BO242" i="24050"/>
  <c r="CU248" i="23917"/>
  <c r="BW242" i="24050"/>
  <c r="DC248" i="23917"/>
  <c r="CE242" i="24050"/>
  <c r="DK248" i="23917"/>
  <c r="CM242" i="24050"/>
  <c r="DS248" i="23917"/>
  <c r="DH242" i="24050"/>
  <c r="EN248" i="23917"/>
  <c r="DK243" i="24050"/>
  <c r="EQ249" i="23917"/>
  <c r="DU243" i="24050"/>
  <c r="FA249" i="23917"/>
  <c r="EC243" i="24050"/>
  <c r="FI249" i="23917"/>
  <c r="U263" i="23917"/>
  <c r="T263" i="23917"/>
  <c r="DM243" i="24050"/>
  <c r="ES249" i="23917"/>
  <c r="G241" i="24050"/>
  <c r="AM247" i="23917"/>
  <c r="K240" i="24050"/>
  <c r="AQ246" i="23917"/>
  <c r="M243" i="24050"/>
  <c r="AS249" i="23917"/>
  <c r="Q240" i="24050"/>
  <c r="AW246" i="23917"/>
  <c r="S241" i="24050"/>
  <c r="AY247" i="23917"/>
  <c r="U243" i="24050"/>
  <c r="BA249" i="23917"/>
  <c r="Y240" i="24050"/>
  <c r="BE246" i="23917"/>
  <c r="AA241" i="24050"/>
  <c r="BG247" i="23917"/>
  <c r="AC243" i="24050"/>
  <c r="BI249" i="23917"/>
  <c r="AG240" i="24050"/>
  <c r="BM246" i="23917"/>
  <c r="AI241" i="24050"/>
  <c r="BO247" i="23917"/>
  <c r="AK243" i="24050"/>
  <c r="BQ249" i="23917"/>
  <c r="AO240" i="24050"/>
  <c r="BU246" i="23917"/>
  <c r="AQ241" i="24050"/>
  <c r="BW247" i="23917"/>
  <c r="AS243" i="24050"/>
  <c r="BY249" i="23917"/>
  <c r="AW240" i="24050"/>
  <c r="CC246" i="23917"/>
  <c r="AY241" i="24050"/>
  <c r="CE247" i="23917"/>
  <c r="BA243" i="24050"/>
  <c r="CG249" i="23917"/>
  <c r="BE240" i="24050"/>
  <c r="CK246" i="23917"/>
  <c r="BG241" i="24050"/>
  <c r="CM247" i="23917"/>
  <c r="BI243" i="24050"/>
  <c r="CO249" i="23917"/>
  <c r="BM240" i="24050"/>
  <c r="CS246" i="23917"/>
  <c r="BO241" i="24050"/>
  <c r="CU247" i="23917"/>
  <c r="BQ243" i="24050"/>
  <c r="CW249" i="23917"/>
  <c r="BU240" i="24050"/>
  <c r="DA246" i="23917"/>
  <c r="BW241" i="24050"/>
  <c r="DC247" i="23917"/>
  <c r="BY243" i="24050"/>
  <c r="DE249" i="23917"/>
  <c r="CC240" i="24050"/>
  <c r="DI246" i="23917"/>
  <c r="CE241" i="24050"/>
  <c r="DK247" i="23917"/>
  <c r="CG243" i="24050"/>
  <c r="DM249" i="23917"/>
  <c r="CK240" i="24050"/>
  <c r="DQ246" i="23917"/>
  <c r="CM241" i="24050"/>
  <c r="DS247" i="23917"/>
  <c r="AB261" i="23917"/>
  <c r="AC261" i="23917"/>
  <c r="R255" i="24050"/>
  <c r="AX261" i="23917"/>
  <c r="X255" i="24050"/>
  <c r="BD261" i="23917"/>
  <c r="AX255" i="24050"/>
  <c r="CD261" i="23917"/>
  <c r="BD255" i="24050"/>
  <c r="CJ261" i="23917"/>
  <c r="CD255" i="24050"/>
  <c r="DJ261" i="23917"/>
  <c r="CJ255" i="24050"/>
  <c r="DP261" i="23917"/>
  <c r="CW255" i="24050"/>
  <c r="V262" i="23917"/>
  <c r="W262" i="23917"/>
  <c r="AA256" i="24050"/>
  <c r="BG262" i="23917"/>
  <c r="BG256" i="24050"/>
  <c r="CM262" i="23917"/>
  <c r="CM256" i="24050"/>
  <c r="DS262" i="23917"/>
  <c r="Z269" i="23917"/>
  <c r="Z266" i="23917"/>
  <c r="AA266" i="23917"/>
  <c r="DY261" i="24050"/>
  <c r="FE267" i="23917"/>
  <c r="D263" i="24050"/>
  <c r="AJ269" i="23917"/>
  <c r="E18" i="24068"/>
  <c r="BD263" i="24050"/>
  <c r="CJ269" i="23917"/>
  <c r="H18" i="24068"/>
  <c r="BJ263" i="24050"/>
  <c r="CP269" i="23917"/>
  <c r="DG263" i="24050"/>
  <c r="EM269" i="23917"/>
  <c r="DL262" i="24050"/>
  <c r="ER268" i="23917"/>
  <c r="CT277" i="24050"/>
  <c r="DZ283" i="23917"/>
  <c r="DE275" i="24050"/>
  <c r="EK281" i="23917"/>
  <c r="DZ275" i="24050"/>
  <c r="FF281" i="23917"/>
  <c r="DE277" i="24050"/>
  <c r="EK283" i="23917"/>
  <c r="EA277" i="24050"/>
  <c r="FG283" i="23917"/>
  <c r="AD284" i="23917"/>
  <c r="AE284" i="23917"/>
  <c r="X278" i="24050"/>
  <c r="BD284" i="23917"/>
  <c r="AD278" i="24050"/>
  <c r="BJ284" i="23917"/>
  <c r="BD278" i="24050"/>
  <c r="CJ284" i="23917"/>
  <c r="BJ278" i="24050"/>
  <c r="CP284" i="23917"/>
  <c r="CJ278" i="24050"/>
  <c r="DP284" i="23917"/>
  <c r="S25" i="24068"/>
  <c r="EE275" i="24050"/>
  <c r="FK281" i="23917"/>
  <c r="CO282" i="24050"/>
  <c r="DU288" i="23917"/>
  <c r="DY281" i="24050"/>
  <c r="FE287" i="23917"/>
  <c r="DQ282" i="24050"/>
  <c r="EW288" i="23917"/>
  <c r="DL284" i="24050"/>
  <c r="ER290" i="23917"/>
  <c r="EG284" i="24050"/>
  <c r="FM290" i="23917"/>
  <c r="E282" i="24050"/>
  <c r="AK288" i="23917"/>
  <c r="DE282" i="24050"/>
  <c r="EK288" i="23917"/>
  <c r="B285" i="24050"/>
  <c r="AH291" i="23917"/>
  <c r="H285" i="24050"/>
  <c r="AN291" i="23917"/>
  <c r="P285" i="24050"/>
  <c r="AV291" i="23917"/>
  <c r="X285" i="24050"/>
  <c r="BD291" i="23917"/>
  <c r="AF285" i="24050"/>
  <c r="BL291" i="23917"/>
  <c r="AN285" i="24050"/>
  <c r="BT291" i="23917"/>
  <c r="AV285" i="24050"/>
  <c r="CB291" i="23917"/>
  <c r="BD285" i="24050"/>
  <c r="CJ291" i="23917"/>
  <c r="BL285" i="24050"/>
  <c r="CR291" i="23917"/>
  <c r="BT285" i="24050"/>
  <c r="CZ291" i="23917"/>
  <c r="CB285" i="24050"/>
  <c r="DH291" i="23917"/>
  <c r="CJ285" i="24050"/>
  <c r="DP291" i="23917"/>
  <c r="I281" i="24050"/>
  <c r="AO287" i="23917"/>
  <c r="K284" i="24050"/>
  <c r="AQ290" i="23917"/>
  <c r="O282" i="24050"/>
  <c r="AU288" i="23917"/>
  <c r="Q284" i="24050"/>
  <c r="AW290" i="23917"/>
  <c r="U281" i="24050"/>
  <c r="BA287" i="23917"/>
  <c r="W281" i="24050"/>
  <c r="BC287" i="23917"/>
  <c r="Y282" i="24050"/>
  <c r="BE288" i="23917"/>
  <c r="AA284" i="24050"/>
  <c r="BG290" i="23917"/>
  <c r="AC284" i="24050"/>
  <c r="BI290" i="23917"/>
  <c r="AG281" i="24050"/>
  <c r="BM287" i="23917"/>
  <c r="AI282" i="24050"/>
  <c r="BO288" i="23917"/>
  <c r="AK283" i="24050"/>
  <c r="BQ289" i="23917"/>
  <c r="AM284" i="24050"/>
  <c r="BS290" i="23917"/>
  <c r="AQ281" i="24050"/>
  <c r="BW287" i="23917"/>
  <c r="AS282" i="24050"/>
  <c r="BY288" i="23917"/>
  <c r="AU282" i="24050"/>
  <c r="CA288" i="23917"/>
  <c r="AW284" i="24050"/>
  <c r="CC290" i="23917"/>
  <c r="BA281" i="24050"/>
  <c r="CG287" i="23917"/>
  <c r="BC281" i="24050"/>
  <c r="CI287" i="23917"/>
  <c r="BE282" i="24050"/>
  <c r="CK288" i="23917"/>
  <c r="BG284" i="24050"/>
  <c r="CM290" i="23917"/>
  <c r="BI284" i="24050"/>
  <c r="CO290" i="23917"/>
  <c r="BM281" i="24050"/>
  <c r="CS287" i="23917"/>
  <c r="BO282" i="24050"/>
  <c r="CU288" i="23917"/>
  <c r="BQ283" i="24050"/>
  <c r="CW289" i="23917"/>
  <c r="BS284" i="24050"/>
  <c r="CY290" i="23917"/>
  <c r="BW281" i="24050"/>
  <c r="DC287" i="23917"/>
  <c r="BY282" i="24050"/>
  <c r="DE288" i="23917"/>
  <c r="CA282" i="24050"/>
  <c r="DG288" i="23917"/>
  <c r="CC284" i="24050"/>
  <c r="DI290" i="23917"/>
  <c r="CG281" i="24050"/>
  <c r="DM287" i="23917"/>
  <c r="CI282" i="24050"/>
  <c r="DO288" i="23917"/>
  <c r="CK284" i="24050"/>
  <c r="DQ290" i="23917"/>
  <c r="DD283" i="24050"/>
  <c r="EJ289" i="23917"/>
  <c r="S296" i="24050"/>
  <c r="AY302" i="23917"/>
  <c r="AY296" i="24050"/>
  <c r="CE302" i="23917"/>
  <c r="CE296" i="24050"/>
  <c r="DK302" i="23917"/>
  <c r="L303" i="23917"/>
  <c r="M303" i="23917"/>
  <c r="F297" i="24050"/>
  <c r="AL303" i="23917"/>
  <c r="L297" i="24050"/>
  <c r="AR303" i="23917"/>
  <c r="AL297" i="24050"/>
  <c r="BR303" i="23917"/>
  <c r="AR297" i="24050"/>
  <c r="BX303" i="23917"/>
  <c r="BR297" i="24050"/>
  <c r="CX303" i="23917"/>
  <c r="BX297" i="24050"/>
  <c r="DD303" i="23917"/>
  <c r="CT298" i="24050"/>
  <c r="DZ304" i="23917"/>
  <c r="C301" i="24050"/>
  <c r="AI307" i="23917"/>
  <c r="K301" i="24050"/>
  <c r="AQ307" i="23917"/>
  <c r="DG301" i="24050"/>
  <c r="EM307" i="23917"/>
  <c r="U310" i="24050"/>
  <c r="BA316" i="23917"/>
  <c r="DG310" i="24050"/>
  <c r="EM316" i="23917"/>
  <c r="DO310" i="24050"/>
  <c r="EU316" i="23917"/>
  <c r="DK311" i="24050"/>
  <c r="EQ317" i="23917"/>
  <c r="DG312" i="24050"/>
  <c r="EM318" i="23917"/>
  <c r="DO312" i="24050"/>
  <c r="EU318" i="23917"/>
  <c r="S32" i="24068"/>
  <c r="EE310" i="24050"/>
  <c r="FK316" i="23917"/>
  <c r="DW313" i="24050"/>
  <c r="FC319" i="23917"/>
  <c r="U316" i="24050"/>
  <c r="BA322" i="23917"/>
  <c r="DH316" i="24050"/>
  <c r="EN322" i="23917"/>
  <c r="DE317" i="24050"/>
  <c r="EK323" i="23917"/>
  <c r="DM317" i="24050"/>
  <c r="ES323" i="23917"/>
  <c r="DY317" i="24050"/>
  <c r="FE323" i="23917"/>
  <c r="EG317" i="24050"/>
  <c r="FM323" i="23917"/>
  <c r="DF318" i="24050"/>
  <c r="EL324" i="23917"/>
  <c r="DM318" i="24050"/>
  <c r="ES324" i="23917"/>
  <c r="DY318" i="24050"/>
  <c r="FE324" i="23917"/>
  <c r="EG318" i="24050"/>
  <c r="FM324" i="23917"/>
  <c r="O317" i="24050"/>
  <c r="AU323" i="23917"/>
  <c r="Q317" i="24050"/>
  <c r="AW323" i="23917"/>
  <c r="S317" i="24050"/>
  <c r="AY323" i="23917"/>
  <c r="U318" i="24050"/>
  <c r="BA324" i="23917"/>
  <c r="W318" i="24050"/>
  <c r="BC324" i="23917"/>
  <c r="Y318" i="24050"/>
  <c r="BE324" i="23917"/>
  <c r="AA318" i="24050"/>
  <c r="BG324" i="23917"/>
  <c r="AC318" i="24050"/>
  <c r="BI324" i="23917"/>
  <c r="AE318" i="24050"/>
  <c r="BK324" i="23917"/>
  <c r="AG318" i="24050"/>
  <c r="BM324" i="23917"/>
  <c r="AI318" i="24050"/>
  <c r="BO324" i="23917"/>
  <c r="AK319" i="24050"/>
  <c r="BQ325" i="23917"/>
  <c r="AM319" i="24050"/>
  <c r="BS325" i="23917"/>
  <c r="AQ316" i="24050"/>
  <c r="BW322" i="23917"/>
  <c r="AS316" i="24050"/>
  <c r="BY322" i="23917"/>
  <c r="AU317" i="24050"/>
  <c r="CA323" i="23917"/>
  <c r="AW317" i="24050"/>
  <c r="CC323" i="23917"/>
  <c r="AY318" i="24050"/>
  <c r="CE324" i="23917"/>
  <c r="BA319" i="24050"/>
  <c r="CG325" i="23917"/>
  <c r="BC319" i="24050"/>
  <c r="CI325" i="23917"/>
  <c r="BG316" i="24050"/>
  <c r="CM322" i="23917"/>
  <c r="BI316" i="24050"/>
  <c r="CO322" i="23917"/>
  <c r="BK316" i="24050"/>
  <c r="CQ322" i="23917"/>
  <c r="BM316" i="24050"/>
  <c r="CS322" i="23917"/>
  <c r="BO316" i="24050"/>
  <c r="CU322" i="23917"/>
  <c r="BQ316" i="24050"/>
  <c r="CW322" i="23917"/>
  <c r="BS316" i="24050"/>
  <c r="CY322" i="23917"/>
  <c r="BU316" i="24050"/>
  <c r="DA322" i="23917"/>
  <c r="BW316" i="24050"/>
  <c r="DC322" i="23917"/>
  <c r="BY316" i="24050"/>
  <c r="DE322" i="23917"/>
  <c r="CA316" i="24050"/>
  <c r="DG322" i="23917"/>
  <c r="CC316" i="24050"/>
  <c r="DI322" i="23917"/>
  <c r="CE316" i="24050"/>
  <c r="DK322" i="23917"/>
  <c r="CG316" i="24050"/>
  <c r="DM322" i="23917"/>
  <c r="CI316" i="24050"/>
  <c r="DO322" i="23917"/>
  <c r="CK316" i="24050"/>
  <c r="DQ322" i="23917"/>
  <c r="CM316" i="24050"/>
  <c r="DS322" i="23917"/>
  <c r="CO316" i="24050"/>
  <c r="DU322" i="23917"/>
  <c r="CQ318" i="24050"/>
  <c r="DW324" i="23917"/>
  <c r="CU318" i="24050"/>
  <c r="EA324" i="23917"/>
  <c r="CY318" i="24050"/>
  <c r="EE324" i="23917"/>
  <c r="DE319" i="24050"/>
  <c r="EK325" i="23917"/>
  <c r="DM319" i="24050"/>
  <c r="ES325" i="23917"/>
  <c r="DU319" i="24050"/>
  <c r="FA325" i="23917"/>
  <c r="EC319" i="24050"/>
  <c r="FI325" i="23917"/>
  <c r="EK319" i="24050"/>
  <c r="FQ325" i="23917"/>
  <c r="M81" i="23917"/>
  <c r="L81" i="23917"/>
  <c r="L75" i="24050"/>
  <c r="AR81" i="23917"/>
  <c r="AR75" i="24050"/>
  <c r="BX81" i="23917"/>
  <c r="BX75" i="24050"/>
  <c r="DD81" i="23917"/>
  <c r="DR89" i="24050"/>
  <c r="EX95" i="23917"/>
  <c r="I96" i="24050"/>
  <c r="AO102" i="23917"/>
  <c r="M3" i="24050"/>
  <c r="M53" i="24050" s="1"/>
  <c r="AS3" i="23917"/>
  <c r="Y3" i="24050"/>
  <c r="Y53" i="24050" s="1"/>
  <c r="BE3" i="23917"/>
  <c r="AG3" i="24050"/>
  <c r="BM3" i="23917"/>
  <c r="BM110" i="23917" s="1"/>
  <c r="AS4" i="24050"/>
  <c r="BY4" i="23917"/>
  <c r="BY61" i="23917" s="1"/>
  <c r="BA4" i="24050"/>
  <c r="CG4" i="23917"/>
  <c r="CG61" i="23917" s="1"/>
  <c r="BQ4" i="24050"/>
  <c r="CW4" i="23917"/>
  <c r="CW61" i="23917" s="1"/>
  <c r="CG4" i="24050"/>
  <c r="DM4" i="23917"/>
  <c r="DM61" i="23917" s="1"/>
  <c r="DA4" i="24050"/>
  <c r="EG4" i="23917"/>
  <c r="EG61" i="23917" s="1"/>
  <c r="DF4" i="24050"/>
  <c r="EL4" i="23917"/>
  <c r="EL61" i="23917" s="1"/>
  <c r="DX4" i="24050"/>
  <c r="FD4" i="23917"/>
  <c r="FD61" i="23917" s="1"/>
  <c r="EN4" i="24050"/>
  <c r="FT4" i="23917"/>
  <c r="CP110" i="24050"/>
  <c r="DV116" i="23917"/>
  <c r="DU109" i="24050"/>
  <c r="FA115" i="23917"/>
  <c r="G109" i="24050"/>
  <c r="AM115" i="23917"/>
  <c r="AA109" i="24050"/>
  <c r="BG115" i="23917"/>
  <c r="AO110" i="24050"/>
  <c r="BU116" i="23917"/>
  <c r="AW110" i="24050"/>
  <c r="CC116" i="23917"/>
  <c r="BE110" i="24050"/>
  <c r="CK116" i="23917"/>
  <c r="BO111" i="24050"/>
  <c r="CU117" i="23917"/>
  <c r="BU110" i="24050"/>
  <c r="DA116" i="23917"/>
  <c r="CC110" i="24050"/>
  <c r="DI116" i="23917"/>
  <c r="CK110" i="24050"/>
  <c r="DQ116" i="23917"/>
  <c r="DM111" i="24050"/>
  <c r="ES117" i="23917"/>
  <c r="H112" i="24050"/>
  <c r="AN118" i="23917"/>
  <c r="AH112" i="24050"/>
  <c r="BN118" i="23917"/>
  <c r="AR112" i="24050"/>
  <c r="BX118" i="23917"/>
  <c r="AX112" i="24050"/>
  <c r="CD118" i="23917"/>
  <c r="BH112" i="24050"/>
  <c r="CN118" i="23917"/>
  <c r="CD112" i="24050"/>
  <c r="DJ118" i="23917"/>
  <c r="CO117" i="24050"/>
  <c r="DU123" i="23917"/>
  <c r="EE115" i="24050"/>
  <c r="FK121" i="23917"/>
  <c r="DS116" i="24050"/>
  <c r="EY122" i="23917"/>
  <c r="EG116" i="24050"/>
  <c r="FM122" i="23917"/>
  <c r="I116" i="24050"/>
  <c r="AO122" i="23917"/>
  <c r="AA116" i="24050"/>
  <c r="BG122" i="23917"/>
  <c r="AO116" i="24050"/>
  <c r="BU122" i="23917"/>
  <c r="AY115" i="24050"/>
  <c r="CE121" i="23917"/>
  <c r="Y117" i="24050"/>
  <c r="BE123" i="23917"/>
  <c r="DW117" i="24050"/>
  <c r="FC123" i="23917"/>
  <c r="K118" i="24050"/>
  <c r="AQ124" i="23917"/>
  <c r="BE118" i="24050"/>
  <c r="CK124" i="23917"/>
  <c r="BS115" i="24050"/>
  <c r="CY121" i="23917"/>
  <c r="BY116" i="24050"/>
  <c r="DE122" i="23917"/>
  <c r="CC116" i="24050"/>
  <c r="DI122" i="23917"/>
  <c r="CI117" i="24050"/>
  <c r="DO123" i="23917"/>
  <c r="DF118" i="24050"/>
  <c r="EL124" i="23917"/>
  <c r="AV119" i="24050"/>
  <c r="CB125" i="23917"/>
  <c r="CL119" i="24050"/>
  <c r="DR125" i="23917"/>
  <c r="H130" i="24050"/>
  <c r="AN136" i="23917"/>
  <c r="AG130" i="24050"/>
  <c r="BM136" i="23917"/>
  <c r="AS130" i="24050"/>
  <c r="BY136" i="23917"/>
  <c r="BE130" i="24050"/>
  <c r="CK136" i="23917"/>
  <c r="BU130" i="24050"/>
  <c r="DA136" i="23917"/>
  <c r="CG130" i="24050"/>
  <c r="DM136" i="23917"/>
  <c r="DF130" i="24050"/>
  <c r="EL136" i="23917"/>
  <c r="BL131" i="24050"/>
  <c r="CR137" i="23917"/>
  <c r="DS134" i="24050"/>
  <c r="EY140" i="23917"/>
  <c r="EB135" i="24050"/>
  <c r="FH141" i="23917"/>
  <c r="G134" i="24050"/>
  <c r="AM140" i="23917"/>
  <c r="O134" i="24050"/>
  <c r="AU140" i="23917"/>
  <c r="AA134" i="24050"/>
  <c r="BG140" i="23917"/>
  <c r="AQ134" i="24050"/>
  <c r="BW140" i="23917"/>
  <c r="BC134" i="24050"/>
  <c r="CI140" i="23917"/>
  <c r="BO134" i="24050"/>
  <c r="CU140" i="23917"/>
  <c r="CA134" i="24050"/>
  <c r="DG140" i="23917"/>
  <c r="CM134" i="24050"/>
  <c r="DS140" i="23917"/>
  <c r="DF134" i="24050"/>
  <c r="EL140" i="23917"/>
  <c r="L136" i="24050"/>
  <c r="AR142" i="23917"/>
  <c r="R136" i="24050"/>
  <c r="AX142" i="23917"/>
  <c r="AB136" i="24050"/>
  <c r="BH142" i="23917"/>
  <c r="BE136" i="24050"/>
  <c r="CK142" i="23917"/>
  <c r="BP136" i="24050"/>
  <c r="CV142" i="23917"/>
  <c r="CK136" i="24050"/>
  <c r="DQ142" i="23917"/>
  <c r="CW136" i="24050"/>
  <c r="EC142" i="23917"/>
  <c r="DF136" i="24050"/>
  <c r="EL142" i="23917"/>
  <c r="DN136" i="24050"/>
  <c r="ET142" i="23917"/>
  <c r="EL134" i="24050"/>
  <c r="FR140" i="23917"/>
  <c r="EP136" i="24050"/>
  <c r="FV142" i="23917"/>
  <c r="X143" i="23917"/>
  <c r="DS138" i="24050"/>
  <c r="EY144" i="23917"/>
  <c r="G138" i="24050"/>
  <c r="AM144" i="23917"/>
  <c r="O138" i="24050"/>
  <c r="AU144" i="23917"/>
  <c r="AK138" i="24050"/>
  <c r="BQ144" i="23917"/>
  <c r="BA138" i="24050"/>
  <c r="CG144" i="23917"/>
  <c r="BQ138" i="24050"/>
  <c r="CW144" i="23917"/>
  <c r="CC138" i="24050"/>
  <c r="DI144" i="23917"/>
  <c r="DH138" i="24050"/>
  <c r="EN144" i="23917"/>
  <c r="F139" i="24050"/>
  <c r="AL145" i="23917"/>
  <c r="R139" i="24050"/>
  <c r="AX145" i="23917"/>
  <c r="AB139" i="24050"/>
  <c r="BH145" i="23917"/>
  <c r="BE139" i="24050"/>
  <c r="CK145" i="23917"/>
  <c r="BP139" i="24050"/>
  <c r="CV145" i="23917"/>
  <c r="BZ139" i="24050"/>
  <c r="DF145" i="23917"/>
  <c r="CQ137" i="24050"/>
  <c r="DW143" i="23917"/>
  <c r="DA137" i="24050"/>
  <c r="EG143" i="23917"/>
  <c r="EJ139" i="24050"/>
  <c r="FP145" i="23917"/>
  <c r="EP138" i="24050"/>
  <c r="FV144" i="23917"/>
  <c r="Z140" i="24050"/>
  <c r="BF146" i="23917"/>
  <c r="DA140" i="24050"/>
  <c r="EG146" i="23917"/>
  <c r="ET140" i="24050"/>
  <c r="FZ146" i="23917"/>
  <c r="CV152" i="24050"/>
  <c r="EB158" i="23917"/>
  <c r="CP154" i="24050"/>
  <c r="DV160" i="23917"/>
  <c r="DW152" i="24050"/>
  <c r="FC158" i="23917"/>
  <c r="EH153" i="24050"/>
  <c r="FN159" i="23917"/>
  <c r="DO153" i="24050"/>
  <c r="EU159" i="23917"/>
  <c r="K153" i="24050"/>
  <c r="AQ159" i="23917"/>
  <c r="Q152" i="24050"/>
  <c r="AW158" i="23917"/>
  <c r="AC154" i="24050"/>
  <c r="BI160" i="23917"/>
  <c r="AK154" i="24050"/>
  <c r="BQ160" i="23917"/>
  <c r="AS154" i="24050"/>
  <c r="BY160" i="23917"/>
  <c r="BA154" i="24050"/>
  <c r="CG160" i="23917"/>
  <c r="BG153" i="24050"/>
  <c r="CM159" i="23917"/>
  <c r="BO153" i="24050"/>
  <c r="CU159" i="23917"/>
  <c r="BU152" i="24050"/>
  <c r="DA158" i="23917"/>
  <c r="CC152" i="24050"/>
  <c r="DI158" i="23917"/>
  <c r="CK152" i="24050"/>
  <c r="DQ158" i="23917"/>
  <c r="DF154" i="24050"/>
  <c r="EL160" i="23917"/>
  <c r="DU154" i="24050"/>
  <c r="FA160" i="23917"/>
  <c r="D155" i="24050"/>
  <c r="AJ161" i="23917"/>
  <c r="N155" i="24050"/>
  <c r="AT161" i="23917"/>
  <c r="AO155" i="24050"/>
  <c r="BU161" i="23917"/>
  <c r="AZ155" i="24050"/>
  <c r="CF161" i="23917"/>
  <c r="BJ155" i="24050"/>
  <c r="CP161" i="23917"/>
  <c r="BZ155" i="24050"/>
  <c r="DF161" i="23917"/>
  <c r="DW158" i="24050"/>
  <c r="FC164" i="23917"/>
  <c r="DR159" i="24050"/>
  <c r="EX165" i="23917"/>
  <c r="EE159" i="24050"/>
  <c r="FK165" i="23917"/>
  <c r="DQ161" i="24050"/>
  <c r="EW167" i="23917"/>
  <c r="EC161" i="24050"/>
  <c r="FI167" i="23917"/>
  <c r="CH162" i="24050"/>
  <c r="DN168" i="23917"/>
  <c r="I158" i="24050"/>
  <c r="AO164" i="23917"/>
  <c r="Q158" i="24050"/>
  <c r="AW164" i="23917"/>
  <c r="Y158" i="24050"/>
  <c r="BE164" i="23917"/>
  <c r="AG158" i="24050"/>
  <c r="BM164" i="23917"/>
  <c r="AQ159" i="24050"/>
  <c r="BW165" i="23917"/>
  <c r="AY159" i="24050"/>
  <c r="CE165" i="23917"/>
  <c r="BE161" i="24050"/>
  <c r="CK167" i="23917"/>
  <c r="BS158" i="24050"/>
  <c r="CY164" i="23917"/>
  <c r="BY158" i="24050"/>
  <c r="DE164" i="23917"/>
  <c r="CE159" i="24050"/>
  <c r="DK165" i="23917"/>
  <c r="CK160" i="24050"/>
  <c r="DQ166" i="23917"/>
  <c r="DF160" i="24050"/>
  <c r="EL166" i="23917"/>
  <c r="AN162" i="24050"/>
  <c r="BT168" i="23917"/>
  <c r="F173" i="24050"/>
  <c r="AL179" i="23917"/>
  <c r="AA173" i="24050"/>
  <c r="BG179" i="23917"/>
  <c r="AL173" i="24050"/>
  <c r="BR179" i="23917"/>
  <c r="BG173" i="24050"/>
  <c r="CM179" i="23917"/>
  <c r="BR173" i="24050"/>
  <c r="CX179" i="23917"/>
  <c r="CB173" i="24050"/>
  <c r="DH179" i="23917"/>
  <c r="CH173" i="24050"/>
  <c r="DN179" i="23917"/>
  <c r="DG173" i="24050"/>
  <c r="EM179" i="23917"/>
  <c r="CR173" i="24050"/>
  <c r="DX179" i="23917"/>
  <c r="Y174" i="24050"/>
  <c r="BE180" i="23917"/>
  <c r="AT174" i="24050"/>
  <c r="BZ180" i="23917"/>
  <c r="BP174" i="24050"/>
  <c r="CV180" i="23917"/>
  <c r="CD174" i="24050"/>
  <c r="DJ180" i="23917"/>
  <c r="DE175" i="24050"/>
  <c r="EK181" i="23917"/>
  <c r="DY178" i="24050"/>
  <c r="FE184" i="23917"/>
  <c r="EA179" i="24050"/>
  <c r="FG185" i="23917"/>
  <c r="I178" i="24050"/>
  <c r="AO184" i="23917"/>
  <c r="U178" i="24050"/>
  <c r="BA184" i="23917"/>
  <c r="DF178" i="24050"/>
  <c r="EL184" i="23917"/>
  <c r="N180" i="24050"/>
  <c r="AT186" i="23917"/>
  <c r="Z180" i="24050"/>
  <c r="BF186" i="23917"/>
  <c r="AH180" i="24050"/>
  <c r="BN186" i="23917"/>
  <c r="AT180" i="24050"/>
  <c r="BZ186" i="23917"/>
  <c r="BJ180" i="24050"/>
  <c r="CP186" i="23917"/>
  <c r="DG180" i="24050"/>
  <c r="EM186" i="23917"/>
  <c r="EC180" i="24050"/>
  <c r="FI186" i="23917"/>
  <c r="EJ180" i="24050"/>
  <c r="FP186" i="23917"/>
  <c r="ER180" i="24050"/>
  <c r="FX186" i="23917"/>
  <c r="DR194" i="24050"/>
  <c r="EX200" i="23917"/>
  <c r="EE192" i="24050"/>
  <c r="FK198" i="23917"/>
  <c r="I192" i="24050"/>
  <c r="AO198" i="23917"/>
  <c r="U194" i="24050"/>
  <c r="BA200" i="23917"/>
  <c r="AE193" i="24050"/>
  <c r="BK199" i="23917"/>
  <c r="AK192" i="24050"/>
  <c r="BQ198" i="23917"/>
  <c r="AS192" i="24050"/>
  <c r="BY198" i="23917"/>
  <c r="BA192" i="24050"/>
  <c r="CG198" i="23917"/>
  <c r="BI192" i="24050"/>
  <c r="CO198" i="23917"/>
  <c r="BQ192" i="24050"/>
  <c r="CW198" i="23917"/>
  <c r="BY192" i="24050"/>
  <c r="DE198" i="23917"/>
  <c r="CG192" i="24050"/>
  <c r="DM198" i="23917"/>
  <c r="DH193" i="24050"/>
  <c r="EN199" i="23917"/>
  <c r="Z195" i="24050"/>
  <c r="BF201" i="23917"/>
  <c r="BY195" i="24050"/>
  <c r="DE201" i="23917"/>
  <c r="CX200" i="24050"/>
  <c r="ED206" i="23917"/>
  <c r="DV199" i="24050"/>
  <c r="FB205" i="23917"/>
  <c r="G199" i="24050"/>
  <c r="AM205" i="23917"/>
  <c r="AZ202" i="24050"/>
  <c r="CF208" i="23917"/>
  <c r="O198" i="24050"/>
  <c r="AU204" i="23917"/>
  <c r="U201" i="24050"/>
  <c r="BA207" i="23917"/>
  <c r="AE198" i="24050"/>
  <c r="BK204" i="23917"/>
  <c r="AM199" i="24050"/>
  <c r="BS205" i="23917"/>
  <c r="AS200" i="24050"/>
  <c r="BY206" i="23917"/>
  <c r="AY201" i="24050"/>
  <c r="CE207" i="23917"/>
  <c r="BQ199" i="24050"/>
  <c r="CW205" i="23917"/>
  <c r="R214" i="24050"/>
  <c r="AX220" i="23917"/>
  <c r="CY3" i="24050"/>
  <c r="EE3" i="23917"/>
  <c r="EE60" i="23917" s="1"/>
  <c r="DD3" i="24050"/>
  <c r="EJ3" i="23917"/>
  <c r="EJ60" i="23917" s="1"/>
  <c r="DL4" i="24050"/>
  <c r="ER4" i="23917"/>
  <c r="DZ3" i="24050"/>
  <c r="FF3" i="23917"/>
  <c r="EH3" i="24050"/>
  <c r="FN3" i="23917"/>
  <c r="EP3" i="24050"/>
  <c r="FV3" i="23917"/>
  <c r="Z116" i="23917"/>
  <c r="M109" i="24050"/>
  <c r="AS115" i="23917"/>
  <c r="DJ109" i="24050"/>
  <c r="EP115" i="23917"/>
  <c r="DQ109" i="24050"/>
  <c r="EW115" i="23917"/>
  <c r="EE110" i="24050"/>
  <c r="FK116" i="23917"/>
  <c r="R117" i="23917"/>
  <c r="Q110" i="24050"/>
  <c r="AW116" i="23917"/>
  <c r="DQ110" i="24050"/>
  <c r="EW116" i="23917"/>
  <c r="DW110" i="24050"/>
  <c r="FC116" i="23917"/>
  <c r="E109" i="24050"/>
  <c r="AK115" i="23917"/>
  <c r="S109" i="24050"/>
  <c r="AY115" i="23917"/>
  <c r="AE109" i="24050"/>
  <c r="BK115" i="23917"/>
  <c r="AK109" i="24050"/>
  <c r="BQ115" i="23917"/>
  <c r="AO111" i="24050"/>
  <c r="BU117" i="23917"/>
  <c r="AU110" i="24050"/>
  <c r="CA116" i="23917"/>
  <c r="BA109" i="24050"/>
  <c r="CG115" i="23917"/>
  <c r="BE111" i="24050"/>
  <c r="CK117" i="23917"/>
  <c r="BK110" i="24050"/>
  <c r="CQ116" i="23917"/>
  <c r="BQ109" i="24050"/>
  <c r="CW115" i="23917"/>
  <c r="BU111" i="24050"/>
  <c r="DA117" i="23917"/>
  <c r="CA110" i="24050"/>
  <c r="DG116" i="23917"/>
  <c r="CG109" i="24050"/>
  <c r="DM115" i="23917"/>
  <c r="CK111" i="24050"/>
  <c r="DQ117" i="23917"/>
  <c r="DH110" i="24050"/>
  <c r="EN116" i="23917"/>
  <c r="DY111" i="24050"/>
  <c r="FE117" i="23917"/>
  <c r="EE111" i="24050"/>
  <c r="FK117" i="23917"/>
  <c r="B112" i="24050"/>
  <c r="AH118" i="23917"/>
  <c r="AB112" i="24050"/>
  <c r="BH118" i="23917"/>
  <c r="AN112" i="24050"/>
  <c r="BT118" i="23917"/>
  <c r="BD112" i="24050"/>
  <c r="CJ118" i="23917"/>
  <c r="BZ112" i="24050"/>
  <c r="DF118" i="23917"/>
  <c r="CJ112" i="24050"/>
  <c r="DP118" i="23917"/>
  <c r="DE112" i="24050"/>
  <c r="EK118" i="23917"/>
  <c r="CO115" i="24050"/>
  <c r="DU121" i="23917"/>
  <c r="DS115" i="24050"/>
  <c r="EY121" i="23917"/>
  <c r="DU116" i="24050"/>
  <c r="FA122" i="23917"/>
  <c r="EC118" i="24050"/>
  <c r="FI124" i="23917"/>
  <c r="K115" i="24050"/>
  <c r="AQ121" i="23917"/>
  <c r="Y115" i="24050"/>
  <c r="BE121" i="23917"/>
  <c r="AG116" i="24050"/>
  <c r="BM122" i="23917"/>
  <c r="AQ115" i="24050"/>
  <c r="BW121" i="23917"/>
  <c r="AY116" i="24050"/>
  <c r="CE122" i="23917"/>
  <c r="BG116" i="24050"/>
  <c r="CM122" i="23917"/>
  <c r="U117" i="24050"/>
  <c r="BA123" i="23917"/>
  <c r="BA117" i="24050"/>
  <c r="CG123" i="23917"/>
  <c r="G118" i="24050"/>
  <c r="AM124" i="23917"/>
  <c r="AM118" i="24050"/>
  <c r="BS124" i="23917"/>
  <c r="BA118" i="24050"/>
  <c r="CG124" i="23917"/>
  <c r="BO115" i="24050"/>
  <c r="CU121" i="23917"/>
  <c r="BS116" i="24050"/>
  <c r="CY122" i="23917"/>
  <c r="BW117" i="24050"/>
  <c r="DC123" i="23917"/>
  <c r="CA117" i="24050"/>
  <c r="DG123" i="23917"/>
  <c r="CE118" i="24050"/>
  <c r="DK124" i="23917"/>
  <c r="CI118" i="24050"/>
  <c r="DO124" i="23917"/>
  <c r="DH115" i="24050"/>
  <c r="EN121" i="23917"/>
  <c r="AZ119" i="24050"/>
  <c r="CF125" i="23917"/>
  <c r="CD119" i="24050"/>
  <c r="DJ125" i="23917"/>
  <c r="U136" i="23917"/>
  <c r="J130" i="24050"/>
  <c r="AP136" i="23917"/>
  <c r="V130" i="24050"/>
  <c r="BB136" i="23917"/>
  <c r="AD130" i="24050"/>
  <c r="BJ136" i="23917"/>
  <c r="AP130" i="24050"/>
  <c r="BV136" i="23917"/>
  <c r="AX130" i="24050"/>
  <c r="CD136" i="23917"/>
  <c r="BB130" i="24050"/>
  <c r="CH136" i="23917"/>
  <c r="BJ130" i="24050"/>
  <c r="CP136" i="23917"/>
  <c r="BR130" i="24050"/>
  <c r="CX136" i="23917"/>
  <c r="BZ130" i="24050"/>
  <c r="DF136" i="23917"/>
  <c r="CH130" i="24050"/>
  <c r="DN136" i="23917"/>
  <c r="CB131" i="24050"/>
  <c r="DH137" i="23917"/>
  <c r="DQ135" i="24050"/>
  <c r="EW141" i="23917"/>
  <c r="AA140" i="23917"/>
  <c r="C135" i="24050"/>
  <c r="AI141" i="23917"/>
  <c r="K135" i="24050"/>
  <c r="AQ141" i="23917"/>
  <c r="O135" i="24050"/>
  <c r="AU141" i="23917"/>
  <c r="W135" i="24050"/>
  <c r="BC141" i="23917"/>
  <c r="AI135" i="24050"/>
  <c r="BO141" i="23917"/>
  <c r="AQ135" i="24050"/>
  <c r="BW141" i="23917"/>
  <c r="AY135" i="24050"/>
  <c r="CE141" i="23917"/>
  <c r="BG135" i="24050"/>
  <c r="CM141" i="23917"/>
  <c r="BO135" i="24050"/>
  <c r="CU141" i="23917"/>
  <c r="BW135" i="24050"/>
  <c r="DC141" i="23917"/>
  <c r="CE135" i="24050"/>
  <c r="DK141" i="23917"/>
  <c r="CM135" i="24050"/>
  <c r="DS141" i="23917"/>
  <c r="DJ135" i="24050"/>
  <c r="EP141" i="23917"/>
  <c r="H136" i="24050"/>
  <c r="AN142" i="23917"/>
  <c r="X136" i="24050"/>
  <c r="BD142" i="23917"/>
  <c r="AV136" i="24050"/>
  <c r="CB142" i="23917"/>
  <c r="BL136" i="24050"/>
  <c r="CR142" i="23917"/>
  <c r="BV136" i="24050"/>
  <c r="DB142" i="23917"/>
  <c r="CQ135" i="24050"/>
  <c r="DW141" i="23917"/>
  <c r="CY134" i="24050"/>
  <c r="EE140" i="23917"/>
  <c r="DL135" i="24050"/>
  <c r="ER141" i="23917"/>
  <c r="EJ134" i="24050"/>
  <c r="FP140" i="23917"/>
  <c r="EN136" i="24050"/>
  <c r="FT142" i="23917"/>
  <c r="DW137" i="24050"/>
  <c r="FC143" i="23917"/>
  <c r="DU138" i="24050"/>
  <c r="FA144" i="23917"/>
  <c r="E137" i="24050"/>
  <c r="AK143" i="23917"/>
  <c r="M137" i="24050"/>
  <c r="AS143" i="23917"/>
  <c r="U137" i="24050"/>
  <c r="BA143" i="23917"/>
  <c r="AM137" i="24050"/>
  <c r="BS143" i="23917"/>
  <c r="AY137" i="24050"/>
  <c r="CE143" i="23917"/>
  <c r="BC137" i="24050"/>
  <c r="CI143" i="23917"/>
  <c r="BK137" i="24050"/>
  <c r="CQ143" i="23917"/>
  <c r="BS137" i="24050"/>
  <c r="CY143" i="23917"/>
  <c r="CA137" i="24050"/>
  <c r="DG143" i="23917"/>
  <c r="CI137" i="24050"/>
  <c r="DO143" i="23917"/>
  <c r="DJ137" i="24050"/>
  <c r="EP143" i="23917"/>
  <c r="Z145" i="23917"/>
  <c r="X139" i="24050"/>
  <c r="BD145" i="23917"/>
  <c r="AV139" i="24050"/>
  <c r="CB145" i="23917"/>
  <c r="BL139" i="24050"/>
  <c r="CR145" i="23917"/>
  <c r="BV139" i="24050"/>
  <c r="DB145" i="23917"/>
  <c r="CL139" i="24050"/>
  <c r="DR145" i="23917"/>
  <c r="CY137" i="24050"/>
  <c r="EE143" i="23917"/>
  <c r="DG139" i="24050"/>
  <c r="EM145" i="23917"/>
  <c r="C4" i="24050"/>
  <c r="C271" i="24050" s="1"/>
  <c r="AI4" i="23917"/>
  <c r="G4" i="24050"/>
  <c r="G376" i="24050" s="1"/>
  <c r="AM4" i="23917"/>
  <c r="K4" i="24050"/>
  <c r="K342" i="24050" s="1"/>
  <c r="AQ4" i="23917"/>
  <c r="AQ61" i="23917" s="1"/>
  <c r="O4" i="24050"/>
  <c r="O306" i="24050" s="1"/>
  <c r="AU4" i="23917"/>
  <c r="S4" i="24050"/>
  <c r="S271" i="24050" s="1"/>
  <c r="AY4" i="23917"/>
  <c r="W4" i="24050"/>
  <c r="W342" i="24050" s="1"/>
  <c r="BC4" i="23917"/>
  <c r="AA4" i="24050"/>
  <c r="AA342" i="24050" s="1"/>
  <c r="BG4" i="23917"/>
  <c r="BG61" i="23917" s="1"/>
  <c r="AE4" i="24050"/>
  <c r="AE271" i="24050" s="1"/>
  <c r="BK4" i="23917"/>
  <c r="AI4" i="24050"/>
  <c r="AI271" i="24050" s="1"/>
  <c r="BO4" i="23917"/>
  <c r="AM4" i="24050"/>
  <c r="AM306" i="24050" s="1"/>
  <c r="BS4" i="23917"/>
  <c r="AS3" i="24050"/>
  <c r="AS53" i="24050" s="1"/>
  <c r="BY3" i="23917"/>
  <c r="AW3" i="24050"/>
  <c r="AW305" i="24050" s="1"/>
  <c r="CC3" i="23917"/>
  <c r="CC110" i="23917" s="1"/>
  <c r="BA3" i="24050"/>
  <c r="CG3" i="23917"/>
  <c r="BE3" i="24050"/>
  <c r="BE53" i="24050" s="1"/>
  <c r="CK3" i="23917"/>
  <c r="BI3" i="24050"/>
  <c r="BI53" i="24050" s="1"/>
  <c r="CO3" i="23917"/>
  <c r="BM3" i="24050"/>
  <c r="BM305" i="24050" s="1"/>
  <c r="CS3" i="23917"/>
  <c r="CS110" i="23917" s="1"/>
  <c r="BQ3" i="24050"/>
  <c r="CW3" i="23917"/>
  <c r="BU3" i="24050"/>
  <c r="BU53" i="24050" s="1"/>
  <c r="DA3" i="23917"/>
  <c r="BY3" i="24050"/>
  <c r="BY53" i="24050" s="1"/>
  <c r="DE3" i="23917"/>
  <c r="CC3" i="24050"/>
  <c r="CC305" i="24050" s="1"/>
  <c r="DI3" i="23917"/>
  <c r="DI110" i="23917" s="1"/>
  <c r="CG3" i="24050"/>
  <c r="DM3" i="23917"/>
  <c r="CK3" i="24050"/>
  <c r="CK53" i="24050" s="1"/>
  <c r="DQ3" i="23917"/>
  <c r="CO3" i="24050"/>
  <c r="CO53" i="24050" s="1"/>
  <c r="DU3" i="23917"/>
  <c r="CS3" i="24050"/>
  <c r="CS305" i="24050" s="1"/>
  <c r="DY3" i="23917"/>
  <c r="DY110" i="23917" s="1"/>
  <c r="CW3" i="24050"/>
  <c r="EC3" i="23917"/>
  <c r="DA3" i="24050"/>
  <c r="DA53" i="24050" s="1"/>
  <c r="EG3" i="23917"/>
  <c r="DF3" i="24050"/>
  <c r="DF53" i="24050" s="1"/>
  <c r="EL3" i="23917"/>
  <c r="DJ3" i="24050"/>
  <c r="DJ305" i="24050" s="1"/>
  <c r="EP3" i="23917"/>
  <c r="DP4" i="24050"/>
  <c r="DP306" i="24050" s="1"/>
  <c r="EV4" i="23917"/>
  <c r="DX3" i="24050"/>
  <c r="DX375" i="24050" s="1"/>
  <c r="FD3" i="23917"/>
  <c r="FD60" i="23917" s="1"/>
  <c r="EB3" i="24050"/>
  <c r="EB375" i="24050" s="1"/>
  <c r="FH3" i="23917"/>
  <c r="FH60" i="23917" s="1"/>
  <c r="EF3" i="24050"/>
  <c r="EF270" i="24050" s="1"/>
  <c r="FL3" i="23917"/>
  <c r="FL60" i="23917" s="1"/>
  <c r="EJ3" i="24050"/>
  <c r="EJ270" i="24050" s="1"/>
  <c r="FP3" i="23917"/>
  <c r="FP60" i="23917" s="1"/>
  <c r="EN3" i="24050"/>
  <c r="EN341" i="24050" s="1"/>
  <c r="FT3" i="23917"/>
  <c r="FT60" i="23917" s="1"/>
  <c r="ER3" i="24050"/>
  <c r="ER375" i="24050" s="1"/>
  <c r="FX3" i="23917"/>
  <c r="FX60" i="23917" s="1"/>
  <c r="I109" i="24050"/>
  <c r="AO115" i="23917"/>
  <c r="Q109" i="24050"/>
  <c r="AW115" i="23917"/>
  <c r="CO110" i="24050"/>
  <c r="DU116" i="23917"/>
  <c r="CO111" i="24050"/>
  <c r="DU117" i="23917"/>
  <c r="DM109" i="24050"/>
  <c r="ES115" i="23917"/>
  <c r="DS109" i="24050"/>
  <c r="EY115" i="23917"/>
  <c r="EA109" i="24050"/>
  <c r="FG115" i="23917"/>
  <c r="T7" i="24068"/>
  <c r="EG109" i="24050"/>
  <c r="FM115" i="23917"/>
  <c r="EB110" i="24050"/>
  <c r="FH116" i="23917"/>
  <c r="EG110" i="24050"/>
  <c r="FM116" i="23917"/>
  <c r="I110" i="24050"/>
  <c r="AO116" i="23917"/>
  <c r="DJ110" i="24050"/>
  <c r="EP116" i="23917"/>
  <c r="DU110" i="24050"/>
  <c r="FA116" i="23917"/>
  <c r="E111" i="24050"/>
  <c r="AK117" i="23917"/>
  <c r="Y109" i="24050"/>
  <c r="BE115" i="23917"/>
  <c r="AC110" i="24050"/>
  <c r="BI116" i="23917"/>
  <c r="AG109" i="24050"/>
  <c r="BM115" i="23917"/>
  <c r="AI110" i="24050"/>
  <c r="BO116" i="23917"/>
  <c r="AK111" i="24050"/>
  <c r="BQ117" i="23917"/>
  <c r="AO109" i="24050"/>
  <c r="BU115" i="23917"/>
  <c r="AQ110" i="24050"/>
  <c r="BW116" i="23917"/>
  <c r="AS111" i="24050"/>
  <c r="BY117" i="23917"/>
  <c r="AW109" i="24050"/>
  <c r="CC115" i="23917"/>
  <c r="AY110" i="24050"/>
  <c r="CE116" i="23917"/>
  <c r="BA111" i="24050"/>
  <c r="CG117" i="23917"/>
  <c r="BE109" i="24050"/>
  <c r="CK115" i="23917"/>
  <c r="BG110" i="24050"/>
  <c r="CM116" i="23917"/>
  <c r="BI111" i="24050"/>
  <c r="CO117" i="23917"/>
  <c r="BM109" i="24050"/>
  <c r="CS115" i="23917"/>
  <c r="BO110" i="24050"/>
  <c r="CU116" i="23917"/>
  <c r="BQ111" i="24050"/>
  <c r="CW117" i="23917"/>
  <c r="BU109" i="24050"/>
  <c r="DA115" i="23917"/>
  <c r="BW110" i="24050"/>
  <c r="DC116" i="23917"/>
  <c r="BY111" i="24050"/>
  <c r="DE117" i="23917"/>
  <c r="CC109" i="24050"/>
  <c r="DI115" i="23917"/>
  <c r="CE110" i="24050"/>
  <c r="DK116" i="23917"/>
  <c r="CG111" i="24050"/>
  <c r="DM117" i="23917"/>
  <c r="CK109" i="24050"/>
  <c r="DQ115" i="23917"/>
  <c r="CM110" i="24050"/>
  <c r="DS116" i="23917"/>
  <c r="DF111" i="24050"/>
  <c r="EL117" i="23917"/>
  <c r="DJ111" i="24050"/>
  <c r="EP117" i="23917"/>
  <c r="DU111" i="24050"/>
  <c r="FA117" i="23917"/>
  <c r="EA111" i="24050"/>
  <c r="FG117" i="23917"/>
  <c r="F112" i="24050"/>
  <c r="AL118" i="23917"/>
  <c r="X112" i="24050"/>
  <c r="BD118" i="23917"/>
  <c r="AF112" i="24050"/>
  <c r="BL118" i="23917"/>
  <c r="AL112" i="24050"/>
  <c r="BR118" i="23917"/>
  <c r="AV112" i="24050"/>
  <c r="CB118" i="23917"/>
  <c r="BB112" i="24050"/>
  <c r="CH118" i="23917"/>
  <c r="BL112" i="24050"/>
  <c r="CR118" i="23917"/>
  <c r="BR112" i="24050"/>
  <c r="CX118" i="23917"/>
  <c r="CB112" i="24050"/>
  <c r="DH118" i="23917"/>
  <c r="CH112" i="24050"/>
  <c r="DN118" i="23917"/>
  <c r="DG112" i="24050"/>
  <c r="EM118" i="23917"/>
  <c r="AG121" i="23917"/>
  <c r="AG115" i="24050"/>
  <c r="BM121" i="23917"/>
  <c r="CP116" i="24050"/>
  <c r="DV122" i="23917"/>
  <c r="DO115" i="24050"/>
  <c r="EU121" i="23917"/>
  <c r="DW115" i="24050"/>
  <c r="FC121" i="23917"/>
  <c r="EC115" i="24050"/>
  <c r="FI121" i="23917"/>
  <c r="DJ116" i="24050"/>
  <c r="EP122" i="23917"/>
  <c r="DY116" i="24050"/>
  <c r="FE122" i="23917"/>
  <c r="EE116" i="24050"/>
  <c r="FK122" i="23917"/>
  <c r="DJ118" i="24050"/>
  <c r="EP124" i="23917"/>
  <c r="EG118" i="24050"/>
  <c r="FM124" i="23917"/>
  <c r="M116" i="24050"/>
  <c r="AS122" i="23917"/>
  <c r="Q116" i="24050"/>
  <c r="AW122" i="23917"/>
  <c r="W115" i="24050"/>
  <c r="BC121" i="23917"/>
  <c r="AA115" i="24050"/>
  <c r="BG121" i="23917"/>
  <c r="AE115" i="24050"/>
  <c r="BK121" i="23917"/>
  <c r="AK115" i="24050"/>
  <c r="BQ121" i="23917"/>
  <c r="AO115" i="24050"/>
  <c r="BU121" i="23917"/>
  <c r="AS116" i="24050"/>
  <c r="BY122" i="23917"/>
  <c r="AW116" i="24050"/>
  <c r="CC122" i="23917"/>
  <c r="BA116" i="24050"/>
  <c r="CG122" i="23917"/>
  <c r="BE116" i="24050"/>
  <c r="CK122" i="23917"/>
  <c r="M117" i="24050"/>
  <c r="AS123" i="23917"/>
  <c r="AC117" i="24050"/>
  <c r="BI123" i="23917"/>
  <c r="AS117" i="24050"/>
  <c r="BY123" i="23917"/>
  <c r="S124" i="23917"/>
  <c r="G115" i="24050"/>
  <c r="AM121" i="23917"/>
  <c r="O118" i="24050"/>
  <c r="AU124" i="23917"/>
  <c r="AE118" i="24050"/>
  <c r="BK124" i="23917"/>
  <c r="BI116" i="24050"/>
  <c r="CO122" i="23917"/>
  <c r="BM115" i="24050"/>
  <c r="CS121" i="23917"/>
  <c r="BO117" i="24050"/>
  <c r="CU123" i="23917"/>
  <c r="BQ118" i="24050"/>
  <c r="CW124" i="23917"/>
  <c r="BS118" i="24050"/>
  <c r="CY124" i="23917"/>
  <c r="BW115" i="24050"/>
  <c r="DC121" i="23917"/>
  <c r="BY115" i="24050"/>
  <c r="DE121" i="23917"/>
  <c r="CA115" i="24050"/>
  <c r="DG121" i="23917"/>
  <c r="CC115" i="24050"/>
  <c r="DI121" i="23917"/>
  <c r="CE116" i="24050"/>
  <c r="DK122" i="23917"/>
  <c r="CG116" i="24050"/>
  <c r="DM122" i="23917"/>
  <c r="CI116" i="24050"/>
  <c r="DO122" i="23917"/>
  <c r="CK116" i="24050"/>
  <c r="DQ122" i="23917"/>
  <c r="CM117" i="24050"/>
  <c r="DS123" i="23917"/>
  <c r="DF117" i="24050"/>
  <c r="EL123" i="23917"/>
  <c r="DH118" i="24050"/>
  <c r="EN124" i="23917"/>
  <c r="AR119" i="24050"/>
  <c r="BX125" i="23917"/>
  <c r="BH119" i="24050"/>
  <c r="CN125" i="23917"/>
  <c r="CF119" i="24050"/>
  <c r="DL125" i="23917"/>
  <c r="DI119" i="24050"/>
  <c r="EO125" i="23917"/>
  <c r="W136" i="23917"/>
  <c r="N130" i="24050"/>
  <c r="AT136" i="23917"/>
  <c r="X130" i="24050"/>
  <c r="BD136" i="23917"/>
  <c r="AB130" i="24050"/>
  <c r="BH136" i="23917"/>
  <c r="AF130" i="24050"/>
  <c r="BL136" i="23917"/>
  <c r="AJ130" i="24050"/>
  <c r="BP136" i="23917"/>
  <c r="AN130" i="24050"/>
  <c r="BT136" i="23917"/>
  <c r="AR130" i="24050"/>
  <c r="BX136" i="23917"/>
  <c r="AV130" i="24050"/>
  <c r="CB136" i="23917"/>
  <c r="AZ130" i="24050"/>
  <c r="CF136" i="23917"/>
  <c r="BD130" i="24050"/>
  <c r="CJ136" i="23917"/>
  <c r="BH130" i="24050"/>
  <c r="CN136" i="23917"/>
  <c r="BL130" i="24050"/>
  <c r="CR136" i="23917"/>
  <c r="BP130" i="24050"/>
  <c r="CV136" i="23917"/>
  <c r="BT130" i="24050"/>
  <c r="CZ136" i="23917"/>
  <c r="BX130" i="24050"/>
  <c r="DD136" i="23917"/>
  <c r="CB130" i="24050"/>
  <c r="DH136" i="23917"/>
  <c r="CF130" i="24050"/>
  <c r="DL136" i="23917"/>
  <c r="CJ130" i="24050"/>
  <c r="DP136" i="23917"/>
  <c r="CN130" i="24050"/>
  <c r="DT136" i="23917"/>
  <c r="DE130" i="24050"/>
  <c r="EK136" i="23917"/>
  <c r="CV131" i="24050"/>
  <c r="EB137" i="23917"/>
  <c r="DW134" i="24050"/>
  <c r="FC140" i="23917"/>
  <c r="EC134" i="24050"/>
  <c r="FI140" i="23917"/>
  <c r="DU135" i="24050"/>
  <c r="FA141" i="23917"/>
  <c r="EA135" i="24050"/>
  <c r="FG141" i="23917"/>
  <c r="X141" i="23917"/>
  <c r="AG141" i="23917"/>
  <c r="E135" i="24050"/>
  <c r="AK141" i="23917"/>
  <c r="I135" i="24050"/>
  <c r="AO141" i="23917"/>
  <c r="M135" i="24050"/>
  <c r="AS141" i="23917"/>
  <c r="Q135" i="24050"/>
  <c r="AW141" i="23917"/>
  <c r="U135" i="24050"/>
  <c r="BA141" i="23917"/>
  <c r="Y135" i="24050"/>
  <c r="BE141" i="23917"/>
  <c r="AC135" i="24050"/>
  <c r="BI141" i="23917"/>
  <c r="AK135" i="24050"/>
  <c r="BQ141" i="23917"/>
  <c r="AO135" i="24050"/>
  <c r="BU141" i="23917"/>
  <c r="AS135" i="24050"/>
  <c r="BY141" i="23917"/>
  <c r="AW135" i="24050"/>
  <c r="CC141" i="23917"/>
  <c r="BA135" i="24050"/>
  <c r="CG141" i="23917"/>
  <c r="BE135" i="24050"/>
  <c r="CK141" i="23917"/>
  <c r="BI135" i="24050"/>
  <c r="CO141" i="23917"/>
  <c r="BM135" i="24050"/>
  <c r="CS141" i="23917"/>
  <c r="BQ135" i="24050"/>
  <c r="CW141" i="23917"/>
  <c r="BU135" i="24050"/>
  <c r="DA141" i="23917"/>
  <c r="BY135" i="24050"/>
  <c r="DE141" i="23917"/>
  <c r="CC135" i="24050"/>
  <c r="DI141" i="23917"/>
  <c r="CG135" i="24050"/>
  <c r="DM141" i="23917"/>
  <c r="CK135" i="24050"/>
  <c r="DQ141" i="23917"/>
  <c r="CO135" i="24050"/>
  <c r="DU141" i="23917"/>
  <c r="DH135" i="24050"/>
  <c r="EN141" i="23917"/>
  <c r="V142" i="23917"/>
  <c r="AE142" i="23917"/>
  <c r="F136" i="24050"/>
  <c r="AL142" i="23917"/>
  <c r="P136" i="24050"/>
  <c r="AV142" i="23917"/>
  <c r="V136" i="24050"/>
  <c r="BB142" i="23917"/>
  <c r="AH136" i="24050"/>
  <c r="BN142" i="23917"/>
  <c r="AN136" i="24050"/>
  <c r="BT142" i="23917"/>
  <c r="AX136" i="24050"/>
  <c r="CD142" i="23917"/>
  <c r="BD136" i="24050"/>
  <c r="CJ142" i="23917"/>
  <c r="BN136" i="24050"/>
  <c r="CT142" i="23917"/>
  <c r="BT136" i="24050"/>
  <c r="CZ142" i="23917"/>
  <c r="CD136" i="24050"/>
  <c r="DJ142" i="23917"/>
  <c r="CJ136" i="24050"/>
  <c r="DP142" i="23917"/>
  <c r="CS135" i="24050"/>
  <c r="DY141" i="23917"/>
  <c r="CW135" i="24050"/>
  <c r="EC141" i="23917"/>
  <c r="CY136" i="24050"/>
  <c r="EE142" i="23917"/>
  <c r="DE136" i="24050"/>
  <c r="EK142" i="23917"/>
  <c r="DN135" i="24050"/>
  <c r="ET141" i="23917"/>
  <c r="EH135" i="24050"/>
  <c r="FN141" i="23917"/>
  <c r="EJ136" i="24050"/>
  <c r="FP142" i="23917"/>
  <c r="EN134" i="24050"/>
  <c r="FT140" i="23917"/>
  <c r="EP135" i="24050"/>
  <c r="FV141" i="23917"/>
  <c r="ER136" i="24050"/>
  <c r="FX142" i="23917"/>
  <c r="Y144" i="23917"/>
  <c r="DS137" i="24050"/>
  <c r="EY143" i="23917"/>
  <c r="DY137" i="24050"/>
  <c r="FE143" i="23917"/>
  <c r="DQ138" i="24050"/>
  <c r="EW144" i="23917"/>
  <c r="DY138" i="24050"/>
  <c r="FE144" i="23917"/>
  <c r="DP139" i="24050"/>
  <c r="EV145" i="23917"/>
  <c r="C137" i="24050"/>
  <c r="AI143" i="23917"/>
  <c r="G137" i="24050"/>
  <c r="AM143" i="23917"/>
  <c r="K137" i="24050"/>
  <c r="AQ143" i="23917"/>
  <c r="O137" i="24050"/>
  <c r="AU143" i="23917"/>
  <c r="S137" i="24050"/>
  <c r="AY143" i="23917"/>
  <c r="AA137" i="24050"/>
  <c r="BG143" i="23917"/>
  <c r="AK137" i="24050"/>
  <c r="BQ143" i="23917"/>
  <c r="AO137" i="24050"/>
  <c r="BU143" i="23917"/>
  <c r="AS137" i="24050"/>
  <c r="BY143" i="23917"/>
  <c r="AW137" i="24050"/>
  <c r="CC143" i="23917"/>
  <c r="BA137" i="24050"/>
  <c r="CG143" i="23917"/>
  <c r="BE137" i="24050"/>
  <c r="CK143" i="23917"/>
  <c r="BI137" i="24050"/>
  <c r="CO143" i="23917"/>
  <c r="BM137" i="24050"/>
  <c r="CS143" i="23917"/>
  <c r="BQ137" i="24050"/>
  <c r="CW143" i="23917"/>
  <c r="BU137" i="24050"/>
  <c r="DA143" i="23917"/>
  <c r="BY137" i="24050"/>
  <c r="DE143" i="23917"/>
  <c r="CC137" i="24050"/>
  <c r="DI143" i="23917"/>
  <c r="CG137" i="24050"/>
  <c r="DM143" i="23917"/>
  <c r="CK137" i="24050"/>
  <c r="DQ143" i="23917"/>
  <c r="CO137" i="24050"/>
  <c r="DU143" i="23917"/>
  <c r="DH137" i="24050"/>
  <c r="EN143" i="23917"/>
  <c r="R145" i="23917"/>
  <c r="V145" i="23917"/>
  <c r="AB145" i="23917"/>
  <c r="AF145" i="23917"/>
  <c r="AH139" i="24050"/>
  <c r="BN145" i="23917"/>
  <c r="AN139" i="24050"/>
  <c r="BT145" i="23917"/>
  <c r="AX139" i="24050"/>
  <c r="CD145" i="23917"/>
  <c r="BD139" i="24050"/>
  <c r="CJ145" i="23917"/>
  <c r="BN139" i="24050"/>
  <c r="CT145" i="23917"/>
  <c r="BT139" i="24050"/>
  <c r="CZ145" i="23917"/>
  <c r="CD139" i="24050"/>
  <c r="DJ145" i="23917"/>
  <c r="CJ139" i="24050"/>
  <c r="DP145" i="23917"/>
  <c r="CS138" i="24050"/>
  <c r="DY144" i="23917"/>
  <c r="CW138" i="24050"/>
  <c r="EC144" i="23917"/>
  <c r="CY139" i="24050"/>
  <c r="EE145" i="23917"/>
  <c r="DE139" i="24050"/>
  <c r="EK145" i="23917"/>
  <c r="DN138" i="24050"/>
  <c r="ET144" i="23917"/>
  <c r="EH137" i="24050"/>
  <c r="FN143" i="23917"/>
  <c r="EJ138" i="24050"/>
  <c r="FP144" i="23917"/>
  <c r="EL139" i="24050"/>
  <c r="FR145" i="23917"/>
  <c r="EP137" i="24050"/>
  <c r="FV143" i="23917"/>
  <c r="ER138" i="24050"/>
  <c r="FX144" i="23917"/>
  <c r="ET139" i="24050"/>
  <c r="FZ145" i="23917"/>
  <c r="CY140" i="24050"/>
  <c r="EE146" i="23917"/>
  <c r="EJ140" i="24050"/>
  <c r="FP146" i="23917"/>
  <c r="ER140" i="24050"/>
  <c r="FX146" i="23917"/>
  <c r="Z158" i="23917"/>
  <c r="CO152" i="24050"/>
  <c r="DU158" i="23917"/>
  <c r="CT152" i="24050"/>
  <c r="DZ158" i="23917"/>
  <c r="CO153" i="24050"/>
  <c r="DU159" i="23917"/>
  <c r="CO154" i="24050"/>
  <c r="DU160" i="23917"/>
  <c r="CT154" i="24050"/>
  <c r="DZ160" i="23917"/>
  <c r="DJ152" i="24050"/>
  <c r="EP158" i="23917"/>
  <c r="DU152" i="24050"/>
  <c r="FA158" i="23917"/>
  <c r="EA152" i="24050"/>
  <c r="FG158" i="23917"/>
  <c r="EG152" i="24050"/>
  <c r="FM158" i="23917"/>
  <c r="EA153" i="24050"/>
  <c r="FG159" i="23917"/>
  <c r="EG153" i="24050"/>
  <c r="FM159" i="23917"/>
  <c r="DM153" i="24050"/>
  <c r="ES159" i="23917"/>
  <c r="DS153" i="24050"/>
  <c r="EY159" i="23917"/>
  <c r="E153" i="24050"/>
  <c r="AK159" i="23917"/>
  <c r="G154" i="24050"/>
  <c r="AM160" i="23917"/>
  <c r="K152" i="24050"/>
  <c r="AQ158" i="23917"/>
  <c r="M153" i="24050"/>
  <c r="AS159" i="23917"/>
  <c r="O154" i="24050"/>
  <c r="AU160" i="23917"/>
  <c r="S152" i="24050"/>
  <c r="AY158" i="23917"/>
  <c r="U153" i="24050"/>
  <c r="BA159" i="23917"/>
  <c r="W154" i="24050"/>
  <c r="BC160" i="23917"/>
  <c r="AA152" i="24050"/>
  <c r="BG158" i="23917"/>
  <c r="AC153" i="24050"/>
  <c r="BI159" i="23917"/>
  <c r="AE154" i="24050"/>
  <c r="BK160" i="23917"/>
  <c r="AI152" i="24050"/>
  <c r="BO158" i="23917"/>
  <c r="AK153" i="24050"/>
  <c r="BQ159" i="23917"/>
  <c r="AM154" i="24050"/>
  <c r="BS160" i="23917"/>
  <c r="AQ152" i="24050"/>
  <c r="BW158" i="23917"/>
  <c r="AS153" i="24050"/>
  <c r="BY159" i="23917"/>
  <c r="AU154" i="24050"/>
  <c r="CA160" i="23917"/>
  <c r="AY152" i="24050"/>
  <c r="CE158" i="23917"/>
  <c r="BA153" i="24050"/>
  <c r="CG159" i="23917"/>
  <c r="BC154" i="24050"/>
  <c r="CI160" i="23917"/>
  <c r="BG152" i="24050"/>
  <c r="CM158" i="23917"/>
  <c r="BI153" i="24050"/>
  <c r="CO159" i="23917"/>
  <c r="BK154" i="24050"/>
  <c r="CQ160" i="23917"/>
  <c r="BO152" i="24050"/>
  <c r="CU158" i="23917"/>
  <c r="BQ153" i="24050"/>
  <c r="CW159" i="23917"/>
  <c r="BS154" i="24050"/>
  <c r="CY160" i="23917"/>
  <c r="BW152" i="24050"/>
  <c r="DC158" i="23917"/>
  <c r="BY153" i="24050"/>
  <c r="DE159" i="23917"/>
  <c r="CA154" i="24050"/>
  <c r="DG160" i="23917"/>
  <c r="CE152" i="24050"/>
  <c r="DK158" i="23917"/>
  <c r="CG153" i="24050"/>
  <c r="DM159" i="23917"/>
  <c r="CI154" i="24050"/>
  <c r="DO160" i="23917"/>
  <c r="CM152" i="24050"/>
  <c r="DS158" i="23917"/>
  <c r="DF153" i="24050"/>
  <c r="EL159" i="23917"/>
  <c r="DH154" i="24050"/>
  <c r="EN160" i="23917"/>
  <c r="DM154" i="24050"/>
  <c r="ES160" i="23917"/>
  <c r="DS154" i="24050"/>
  <c r="EY160" i="23917"/>
  <c r="DY154" i="24050"/>
  <c r="FE160" i="23917"/>
  <c r="EE154" i="24050"/>
  <c r="FK160" i="23917"/>
  <c r="B155" i="24050"/>
  <c r="AH161" i="23917"/>
  <c r="H155" i="24050"/>
  <c r="AN161" i="23917"/>
  <c r="R155" i="24050"/>
  <c r="AX161" i="23917"/>
  <c r="X155" i="24050"/>
  <c r="BD161" i="23917"/>
  <c r="AH155" i="24050"/>
  <c r="BN161" i="23917"/>
  <c r="AN155" i="24050"/>
  <c r="BT161" i="23917"/>
  <c r="AX155" i="24050"/>
  <c r="CD161" i="23917"/>
  <c r="BD155" i="24050"/>
  <c r="CJ161" i="23917"/>
  <c r="BN155" i="24050"/>
  <c r="CT161" i="23917"/>
  <c r="BT155" i="24050"/>
  <c r="CZ161" i="23917"/>
  <c r="CD155" i="24050"/>
  <c r="DJ161" i="23917"/>
  <c r="CJ155" i="24050"/>
  <c r="DP161" i="23917"/>
  <c r="S164" i="23917"/>
  <c r="CO158" i="24050"/>
  <c r="DU164" i="23917"/>
  <c r="DM158" i="24050"/>
  <c r="ES164" i="23917"/>
  <c r="DU158" i="24050"/>
  <c r="FA164" i="23917"/>
  <c r="EA158" i="24050"/>
  <c r="FG164" i="23917"/>
  <c r="EG158" i="24050"/>
  <c r="FM164" i="23917"/>
  <c r="DQ159" i="24050"/>
  <c r="EW165" i="23917"/>
  <c r="EC159" i="24050"/>
  <c r="FI165" i="23917"/>
  <c r="DQ160" i="24050"/>
  <c r="EW166" i="23917"/>
  <c r="EG160" i="24050"/>
  <c r="FM166" i="23917"/>
  <c r="DO161" i="24050"/>
  <c r="EU167" i="23917"/>
  <c r="EA161" i="24050"/>
  <c r="FG167" i="23917"/>
  <c r="BE158" i="24050"/>
  <c r="CK164" i="23917"/>
  <c r="S166" i="23917"/>
  <c r="R166" i="23917"/>
  <c r="DM160" i="24050"/>
  <c r="ES166" i="23917"/>
  <c r="AD162" i="24050"/>
  <c r="BJ168" i="23917"/>
  <c r="BQ160" i="24050"/>
  <c r="CW166" i="23917"/>
  <c r="BX162" i="24050"/>
  <c r="DD168" i="23917"/>
  <c r="CF162" i="24050"/>
  <c r="DL168" i="23917"/>
  <c r="CN162" i="24050"/>
  <c r="DT168" i="23917"/>
  <c r="E159" i="24050"/>
  <c r="AK165" i="23917"/>
  <c r="G161" i="24050"/>
  <c r="AM167" i="23917"/>
  <c r="K158" i="24050"/>
  <c r="AQ164" i="23917"/>
  <c r="M159" i="24050"/>
  <c r="AS165" i="23917"/>
  <c r="O161" i="24050"/>
  <c r="AU167" i="23917"/>
  <c r="S158" i="24050"/>
  <c r="AY164" i="23917"/>
  <c r="U159" i="24050"/>
  <c r="BA165" i="23917"/>
  <c r="W161" i="24050"/>
  <c r="BC167" i="23917"/>
  <c r="AA158" i="24050"/>
  <c r="BG164" i="23917"/>
  <c r="AC159" i="24050"/>
  <c r="BI165" i="23917"/>
  <c r="AE161" i="24050"/>
  <c r="BK167" i="23917"/>
  <c r="AI158" i="24050"/>
  <c r="BO164" i="23917"/>
  <c r="AK159" i="24050"/>
  <c r="BQ165" i="23917"/>
  <c r="AM161" i="24050"/>
  <c r="BS167" i="23917"/>
  <c r="AQ158" i="24050"/>
  <c r="BW164" i="23917"/>
  <c r="AS159" i="24050"/>
  <c r="BY165" i="23917"/>
  <c r="AU161" i="24050"/>
  <c r="CA167" i="23917"/>
  <c r="AY158" i="24050"/>
  <c r="CE164" i="23917"/>
  <c r="BA159" i="24050"/>
  <c r="CG165" i="23917"/>
  <c r="BC161" i="24050"/>
  <c r="CI167" i="23917"/>
  <c r="BI159" i="24050"/>
  <c r="CO165" i="23917"/>
  <c r="BK161" i="24050"/>
  <c r="CQ167" i="23917"/>
  <c r="BO158" i="24050"/>
  <c r="CU164" i="23917"/>
  <c r="BQ161" i="24050"/>
  <c r="CW167" i="23917"/>
  <c r="BS161" i="24050"/>
  <c r="CY167" i="23917"/>
  <c r="BU161" i="24050"/>
  <c r="DA167" i="23917"/>
  <c r="BW161" i="24050"/>
  <c r="DC167" i="23917"/>
  <c r="CA158" i="24050"/>
  <c r="DG164" i="23917"/>
  <c r="CC158" i="24050"/>
  <c r="DI164" i="23917"/>
  <c r="CE158" i="24050"/>
  <c r="DK164" i="23917"/>
  <c r="CG158" i="24050"/>
  <c r="DM164" i="23917"/>
  <c r="CI159" i="24050"/>
  <c r="DO165" i="23917"/>
  <c r="CK159" i="24050"/>
  <c r="DQ165" i="23917"/>
  <c r="CM159" i="24050"/>
  <c r="DS165" i="23917"/>
  <c r="DF159" i="24050"/>
  <c r="EL165" i="23917"/>
  <c r="DH159" i="24050"/>
  <c r="EN165" i="23917"/>
  <c r="B162" i="24050"/>
  <c r="AH168" i="23917"/>
  <c r="R162" i="24050"/>
  <c r="AX168" i="23917"/>
  <c r="AJ162" i="24050"/>
  <c r="BP168" i="23917"/>
  <c r="AZ162" i="24050"/>
  <c r="CF168" i="23917"/>
  <c r="BT162" i="24050"/>
  <c r="CZ168" i="23917"/>
  <c r="CJ162" i="24050"/>
  <c r="DP168" i="23917"/>
  <c r="U179" i="23917"/>
  <c r="T179" i="23917"/>
  <c r="D173" i="24050"/>
  <c r="AJ179" i="23917"/>
  <c r="J173" i="24050"/>
  <c r="AP179" i="23917"/>
  <c r="T366" i="24050"/>
  <c r="T173" i="24050"/>
  <c r="AZ179" i="23917"/>
  <c r="Z173" i="24050"/>
  <c r="BF179" i="23917"/>
  <c r="AJ173" i="24050"/>
  <c r="BP179" i="23917"/>
  <c r="AP173" i="24050"/>
  <c r="BV179" i="23917"/>
  <c r="AZ173" i="24050"/>
  <c r="CF179" i="23917"/>
  <c r="BF173" i="24050"/>
  <c r="CL179" i="23917"/>
  <c r="BP173" i="24050"/>
  <c r="CV179" i="23917"/>
  <c r="BV173" i="24050"/>
  <c r="DB179" i="23917"/>
  <c r="CF173" i="24050"/>
  <c r="DL179" i="23917"/>
  <c r="CL173" i="24050"/>
  <c r="DR179" i="23917"/>
  <c r="DE173" i="24050"/>
  <c r="EK179" i="23917"/>
  <c r="B174" i="24050"/>
  <c r="AH180" i="23917"/>
  <c r="P174" i="24050"/>
  <c r="AV180" i="23917"/>
  <c r="X174" i="24050"/>
  <c r="BD180" i="23917"/>
  <c r="AD174" i="24050"/>
  <c r="BJ180" i="23917"/>
  <c r="AL174" i="24050"/>
  <c r="BR180" i="23917"/>
  <c r="AR174" i="24050"/>
  <c r="BX180" i="23917"/>
  <c r="AZ174" i="24050"/>
  <c r="CF180" i="23917"/>
  <c r="BF174" i="24050"/>
  <c r="CL180" i="23917"/>
  <c r="BN174" i="24050"/>
  <c r="CT180" i="23917"/>
  <c r="CB174" i="24050"/>
  <c r="DH180" i="23917"/>
  <c r="CJ174" i="24050"/>
  <c r="DP180" i="23917"/>
  <c r="CR174" i="24050"/>
  <c r="DX180" i="23917"/>
  <c r="R185" i="23917"/>
  <c r="DS179" i="24050"/>
  <c r="EY185" i="23917"/>
  <c r="G179" i="24050"/>
  <c r="AM185" i="23917"/>
  <c r="K179" i="24050"/>
  <c r="AQ185" i="23917"/>
  <c r="O179" i="24050"/>
  <c r="AU185" i="23917"/>
  <c r="S179" i="24050"/>
  <c r="AY185" i="23917"/>
  <c r="AA179" i="24050"/>
  <c r="BG185" i="23917"/>
  <c r="AK179" i="24050"/>
  <c r="BQ185" i="23917"/>
  <c r="AO179" i="24050"/>
  <c r="BU185" i="23917"/>
  <c r="DH179" i="24050"/>
  <c r="EN185" i="23917"/>
  <c r="B180" i="24050"/>
  <c r="AH186" i="23917"/>
  <c r="H180" i="24050"/>
  <c r="AN186" i="23917"/>
  <c r="R180" i="24050"/>
  <c r="AX186" i="23917"/>
  <c r="X180" i="24050"/>
  <c r="BD186" i="23917"/>
  <c r="AF180" i="24050"/>
  <c r="BL186" i="23917"/>
  <c r="AL180" i="24050"/>
  <c r="BR186" i="23917"/>
  <c r="AR180" i="24050"/>
  <c r="BX186" i="23917"/>
  <c r="AZ180" i="24050"/>
  <c r="CF186" i="23917"/>
  <c r="BH180" i="24050"/>
  <c r="CN186" i="23917"/>
  <c r="BW180" i="24050"/>
  <c r="DC186" i="23917"/>
  <c r="DL179" i="24050"/>
  <c r="ER185" i="23917"/>
  <c r="DP178" i="24050"/>
  <c r="EV184" i="23917"/>
  <c r="EH178" i="24050"/>
  <c r="FN184" i="23917"/>
  <c r="EJ179" i="24050"/>
  <c r="FP185" i="23917"/>
  <c r="EL180" i="24050"/>
  <c r="FR186" i="23917"/>
  <c r="EP178" i="24050"/>
  <c r="FV184" i="23917"/>
  <c r="ER179" i="24050"/>
  <c r="FX185" i="23917"/>
  <c r="ET180" i="24050"/>
  <c r="FZ186" i="23917"/>
  <c r="CP192" i="24050"/>
  <c r="DV198" i="23917"/>
  <c r="DO192" i="24050"/>
  <c r="EU198" i="23917"/>
  <c r="DO193" i="24050"/>
  <c r="EU199" i="23917"/>
  <c r="DQ194" i="24050"/>
  <c r="EW200" i="23917"/>
  <c r="DW192" i="24050"/>
  <c r="FC198" i="23917"/>
  <c r="EC192" i="24050"/>
  <c r="FI198" i="23917"/>
  <c r="EA193" i="24050"/>
  <c r="FG199" i="23917"/>
  <c r="EG193" i="24050"/>
  <c r="FM199" i="23917"/>
  <c r="Y193" i="24050"/>
  <c r="BE199" i="23917"/>
  <c r="DU193" i="24050"/>
  <c r="FA199" i="23917"/>
  <c r="E192" i="24050"/>
  <c r="AK198" i="23917"/>
  <c r="G193" i="24050"/>
  <c r="AM199" i="23917"/>
  <c r="K192" i="24050"/>
  <c r="AQ198" i="23917"/>
  <c r="M194" i="24050"/>
  <c r="AS200" i="23917"/>
  <c r="Q192" i="24050"/>
  <c r="AW198" i="23917"/>
  <c r="U192" i="24050"/>
  <c r="BA198" i="23917"/>
  <c r="W194" i="24050"/>
  <c r="BC200" i="23917"/>
  <c r="AA194" i="24050"/>
  <c r="BG200" i="23917"/>
  <c r="AE192" i="24050"/>
  <c r="BK198" i="23917"/>
  <c r="AG193" i="24050"/>
  <c r="BM199" i="23917"/>
  <c r="AI194" i="24050"/>
  <c r="BO200" i="23917"/>
  <c r="AM192" i="24050"/>
  <c r="BS198" i="23917"/>
  <c r="AO193" i="24050"/>
  <c r="BU199" i="23917"/>
  <c r="AQ194" i="24050"/>
  <c r="BW200" i="23917"/>
  <c r="AU192" i="24050"/>
  <c r="CA198" i="23917"/>
  <c r="AW193" i="24050"/>
  <c r="CC199" i="23917"/>
  <c r="AY194" i="24050"/>
  <c r="CE200" i="23917"/>
  <c r="BC192" i="24050"/>
  <c r="CI198" i="23917"/>
  <c r="BE193" i="24050"/>
  <c r="CK199" i="23917"/>
  <c r="BG194" i="24050"/>
  <c r="CM200" i="23917"/>
  <c r="BK192" i="24050"/>
  <c r="CQ198" i="23917"/>
  <c r="BM193" i="24050"/>
  <c r="CS199" i="23917"/>
  <c r="BO194" i="24050"/>
  <c r="CU200" i="23917"/>
  <c r="BS192" i="24050"/>
  <c r="CY198" i="23917"/>
  <c r="BU193" i="24050"/>
  <c r="DA199" i="23917"/>
  <c r="BW194" i="24050"/>
  <c r="DC200" i="23917"/>
  <c r="CA192" i="24050"/>
  <c r="DG198" i="23917"/>
  <c r="CC193" i="24050"/>
  <c r="DI199" i="23917"/>
  <c r="CE194" i="24050"/>
  <c r="DK200" i="23917"/>
  <c r="CI192" i="24050"/>
  <c r="DO198" i="23917"/>
  <c r="CK193" i="24050"/>
  <c r="DQ199" i="23917"/>
  <c r="CM194" i="24050"/>
  <c r="DS200" i="23917"/>
  <c r="DH192" i="24050"/>
  <c r="EN198" i="23917"/>
  <c r="EC194" i="24050"/>
  <c r="FI200" i="23917"/>
  <c r="W201" i="23917"/>
  <c r="V201" i="23917"/>
  <c r="D195" i="24050"/>
  <c r="AJ201" i="23917"/>
  <c r="X195" i="24050"/>
  <c r="BD201" i="23917"/>
  <c r="AF195" i="24050"/>
  <c r="BL201" i="23917"/>
  <c r="AN195" i="24050"/>
  <c r="BT201" i="23917"/>
  <c r="AT195" i="24050"/>
  <c r="BZ201" i="23917"/>
  <c r="BB195" i="24050"/>
  <c r="CH201" i="23917"/>
  <c r="BP195" i="24050"/>
  <c r="CV201" i="23917"/>
  <c r="BX195" i="24050"/>
  <c r="DD201" i="23917"/>
  <c r="CD195" i="24050"/>
  <c r="DJ201" i="23917"/>
  <c r="CL195" i="24050"/>
  <c r="DR201" i="23917"/>
  <c r="DG195" i="24050"/>
  <c r="EM201" i="23917"/>
  <c r="R205" i="23917"/>
  <c r="AA204" i="23917"/>
  <c r="CO198" i="24050"/>
  <c r="DU204" i="23917"/>
  <c r="DO198" i="24050"/>
  <c r="EU204" i="23917"/>
  <c r="DO199" i="24050"/>
  <c r="EU205" i="23917"/>
  <c r="DY198" i="24050"/>
  <c r="FE204" i="23917"/>
  <c r="DU199" i="24050"/>
  <c r="FA205" i="23917"/>
  <c r="EA199" i="24050"/>
  <c r="FG205" i="23917"/>
  <c r="EG199" i="24050"/>
  <c r="FM205" i="23917"/>
  <c r="DY201" i="24050"/>
  <c r="FE207" i="23917"/>
  <c r="EE201" i="24050"/>
  <c r="FK207" i="23917"/>
  <c r="E199" i="24050"/>
  <c r="AK205" i="23917"/>
  <c r="CK198" i="24050"/>
  <c r="DQ204" i="23917"/>
  <c r="DH198" i="24050"/>
  <c r="EN204" i="23917"/>
  <c r="D202" i="24050"/>
  <c r="AJ208" i="23917"/>
  <c r="DO200" i="24050"/>
  <c r="EU206" i="23917"/>
  <c r="R202" i="24050"/>
  <c r="AX208" i="23917"/>
  <c r="Z202" i="24050"/>
  <c r="BF208" i="23917"/>
  <c r="AH202" i="24050"/>
  <c r="BN208" i="23917"/>
  <c r="DW200" i="24050"/>
  <c r="FC206" i="23917"/>
  <c r="AX202" i="24050"/>
  <c r="CD208" i="23917"/>
  <c r="EA200" i="24050"/>
  <c r="FG206" i="23917"/>
  <c r="BN202" i="24050"/>
  <c r="CT208" i="23917"/>
  <c r="EE200" i="24050"/>
  <c r="FK206" i="23917"/>
  <c r="CM200" i="24050"/>
  <c r="DS206" i="23917"/>
  <c r="CK200" i="24050"/>
  <c r="DQ206" i="23917"/>
  <c r="CP200" i="24050"/>
  <c r="DV206" i="23917"/>
  <c r="K198" i="24050"/>
  <c r="AQ204" i="23917"/>
  <c r="M201" i="24050"/>
  <c r="AS207" i="23917"/>
  <c r="Q199" i="24050"/>
  <c r="AW205" i="23917"/>
  <c r="S199" i="24050"/>
  <c r="AY205" i="23917"/>
  <c r="U200" i="24050"/>
  <c r="BA206" i="23917"/>
  <c r="W200" i="24050"/>
  <c r="BC206" i="23917"/>
  <c r="Y200" i="24050"/>
  <c r="BE206" i="23917"/>
  <c r="AA201" i="24050"/>
  <c r="BG207" i="23917"/>
  <c r="AC201" i="24050"/>
  <c r="BI207" i="23917"/>
  <c r="AE201" i="24050"/>
  <c r="BK207" i="23917"/>
  <c r="AG201" i="24050"/>
  <c r="BM207" i="23917"/>
  <c r="AK198" i="24050"/>
  <c r="BQ204" i="23917"/>
  <c r="AM198" i="24050"/>
  <c r="BS204" i="23917"/>
  <c r="AO198" i="24050"/>
  <c r="BU204" i="23917"/>
  <c r="AQ198" i="24050"/>
  <c r="BW204" i="23917"/>
  <c r="AS199" i="24050"/>
  <c r="BY205" i="23917"/>
  <c r="AU199" i="24050"/>
  <c r="CA205" i="23917"/>
  <c r="AW199" i="24050"/>
  <c r="CC205" i="23917"/>
  <c r="AY199" i="24050"/>
  <c r="CE205" i="23917"/>
  <c r="BA200" i="24050"/>
  <c r="CG206" i="23917"/>
  <c r="BC200" i="24050"/>
  <c r="CI206" i="23917"/>
  <c r="BE200" i="24050"/>
  <c r="CK206" i="23917"/>
  <c r="BG201" i="24050"/>
  <c r="CM207" i="23917"/>
  <c r="BI201" i="24050"/>
  <c r="CO207" i="23917"/>
  <c r="BK201" i="24050"/>
  <c r="CQ207" i="23917"/>
  <c r="BM201" i="24050"/>
  <c r="CS207" i="23917"/>
  <c r="BQ198" i="24050"/>
  <c r="CW204" i="23917"/>
  <c r="BS198" i="24050"/>
  <c r="CY204" i="23917"/>
  <c r="BU198" i="24050"/>
  <c r="DA204" i="23917"/>
  <c r="BW198" i="24050"/>
  <c r="DC204" i="23917"/>
  <c r="BY199" i="24050"/>
  <c r="DE205" i="23917"/>
  <c r="CA199" i="24050"/>
  <c r="DG205" i="23917"/>
  <c r="CC199" i="24050"/>
  <c r="DI205" i="23917"/>
  <c r="CE199" i="24050"/>
  <c r="DK205" i="23917"/>
  <c r="CG200" i="24050"/>
  <c r="DM206" i="23917"/>
  <c r="CK201" i="24050"/>
  <c r="DQ207" i="23917"/>
  <c r="CO201" i="24050"/>
  <c r="DU207" i="23917"/>
  <c r="U208" i="23917"/>
  <c r="DI202" i="24050"/>
  <c r="EO208" i="23917"/>
  <c r="AE219" i="23917"/>
  <c r="F213" i="24050"/>
  <c r="AL219" i="23917"/>
  <c r="N213" i="24050"/>
  <c r="AT219" i="23917"/>
  <c r="T213" i="24050"/>
  <c r="AZ219" i="23917"/>
  <c r="AB213" i="24050"/>
  <c r="BH219" i="23917"/>
  <c r="AH213" i="24050"/>
  <c r="BN219" i="23917"/>
  <c r="AP213" i="24050"/>
  <c r="BV219" i="23917"/>
  <c r="AV213" i="24050"/>
  <c r="CB219" i="23917"/>
  <c r="BU213" i="24050"/>
  <c r="DA219" i="23917"/>
  <c r="AZ213" i="24050"/>
  <c r="CF219" i="23917"/>
  <c r="BL213" i="24050"/>
  <c r="CR219" i="23917"/>
  <c r="BV213" i="24050"/>
  <c r="DB219" i="23917"/>
  <c r="CH213" i="24050"/>
  <c r="DN219" i="23917"/>
  <c r="CN213" i="24050"/>
  <c r="DT219" i="23917"/>
  <c r="W220" i="23917"/>
  <c r="V220" i="23917"/>
  <c r="F214" i="24050"/>
  <c r="AL220" i="23917"/>
  <c r="L214" i="24050"/>
  <c r="AR220" i="23917"/>
  <c r="V214" i="24050"/>
  <c r="BB220" i="23917"/>
  <c r="AB214" i="24050"/>
  <c r="BH220" i="23917"/>
  <c r="AL214" i="24050"/>
  <c r="BR220" i="23917"/>
  <c r="AR214" i="24050"/>
  <c r="BX220" i="23917"/>
  <c r="BB214" i="24050"/>
  <c r="CH220" i="23917"/>
  <c r="BH214" i="24050"/>
  <c r="CN220" i="23917"/>
  <c r="BR214" i="24050"/>
  <c r="CX220" i="23917"/>
  <c r="BX214" i="24050"/>
  <c r="DD220" i="23917"/>
  <c r="CH214" i="24050"/>
  <c r="DN220" i="23917"/>
  <c r="CN214" i="24050"/>
  <c r="DT220" i="23917"/>
  <c r="AE221" i="23917"/>
  <c r="AD221" i="23917"/>
  <c r="H215" i="24050"/>
  <c r="AN221" i="23917"/>
  <c r="N215" i="24050"/>
  <c r="AT221" i="23917"/>
  <c r="T215" i="24050"/>
  <c r="AZ221" i="23917"/>
  <c r="AD215" i="24050"/>
  <c r="BJ221" i="23917"/>
  <c r="AJ215" i="24050"/>
  <c r="BP221" i="23917"/>
  <c r="AT215" i="24050"/>
  <c r="BZ221" i="23917"/>
  <c r="AZ215" i="24050"/>
  <c r="CF221" i="23917"/>
  <c r="BJ215" i="24050"/>
  <c r="CP221" i="23917"/>
  <c r="BP215" i="24050"/>
  <c r="CV221" i="23917"/>
  <c r="BZ215" i="24050"/>
  <c r="DF221" i="23917"/>
  <c r="CF215" i="24050"/>
  <c r="DL221" i="23917"/>
  <c r="CN215" i="24050"/>
  <c r="DT221" i="23917"/>
  <c r="CR215" i="24050"/>
  <c r="DX221" i="23917"/>
  <c r="CV215" i="24050"/>
  <c r="EB221" i="23917"/>
  <c r="DG214" i="24050"/>
  <c r="EM220" i="23917"/>
  <c r="DI215" i="24050"/>
  <c r="EO221" i="23917"/>
  <c r="AY218" i="24050"/>
  <c r="CE224" i="23917"/>
  <c r="BG218" i="24050"/>
  <c r="CM224" i="23917"/>
  <c r="BO218" i="24050"/>
  <c r="CU224" i="23917"/>
  <c r="BW218" i="24050"/>
  <c r="DC224" i="23917"/>
  <c r="CE218" i="24050"/>
  <c r="DK224" i="23917"/>
  <c r="CM218" i="24050"/>
  <c r="DS224" i="23917"/>
  <c r="CU218" i="24050"/>
  <c r="EA224" i="23917"/>
  <c r="DF218" i="24050"/>
  <c r="EL224" i="23917"/>
  <c r="DQ218" i="24050"/>
  <c r="EW224" i="23917"/>
  <c r="DW218" i="24050"/>
  <c r="FC224" i="23917"/>
  <c r="EC218" i="24050"/>
  <c r="FI224" i="23917"/>
  <c r="DU219" i="24050"/>
  <c r="FA225" i="23917"/>
  <c r="DW220" i="24050"/>
  <c r="FC226" i="23917"/>
  <c r="EC220" i="24050"/>
  <c r="FI226" i="23917"/>
  <c r="DI219" i="24050"/>
  <c r="EO225" i="23917"/>
  <c r="DI220" i="24050"/>
  <c r="EO226" i="23917"/>
  <c r="C220" i="24050"/>
  <c r="AI226" i="23917"/>
  <c r="G218" i="24050"/>
  <c r="AM224" i="23917"/>
  <c r="I219" i="24050"/>
  <c r="AO225" i="23917"/>
  <c r="K220" i="24050"/>
  <c r="AQ226" i="23917"/>
  <c r="O218" i="24050"/>
  <c r="AU224" i="23917"/>
  <c r="Q219" i="24050"/>
  <c r="AW225" i="23917"/>
  <c r="S220" i="24050"/>
  <c r="AY226" i="23917"/>
  <c r="AA218" i="24050"/>
  <c r="BG224" i="23917"/>
  <c r="AI219" i="24050"/>
  <c r="BO225" i="23917"/>
  <c r="AK220" i="24050"/>
  <c r="BQ226" i="23917"/>
  <c r="AO218" i="24050"/>
  <c r="BU224" i="23917"/>
  <c r="AQ219" i="24050"/>
  <c r="BW225" i="23917"/>
  <c r="AS220" i="24050"/>
  <c r="BY226" i="23917"/>
  <c r="DL218" i="24050"/>
  <c r="ER224" i="23917"/>
  <c r="EJ218" i="24050"/>
  <c r="FP224" i="23917"/>
  <c r="EL219" i="24050"/>
  <c r="FR225" i="23917"/>
  <c r="EN220" i="24050"/>
  <c r="FT226" i="23917"/>
  <c r="ER218" i="24050"/>
  <c r="FX224" i="23917"/>
  <c r="ET219" i="24050"/>
  <c r="FZ225" i="23917"/>
  <c r="S227" i="23917"/>
  <c r="I221" i="24050"/>
  <c r="AO227" i="23917"/>
  <c r="Q221" i="24050"/>
  <c r="AW227" i="23917"/>
  <c r="AI221" i="24050"/>
  <c r="BO227" i="23917"/>
  <c r="AQ221" i="24050"/>
  <c r="BW227" i="23917"/>
  <c r="AY221" i="24050"/>
  <c r="CE227" i="23917"/>
  <c r="BG221" i="24050"/>
  <c r="CM227" i="23917"/>
  <c r="BO221" i="24050"/>
  <c r="CU227" i="23917"/>
  <c r="BW221" i="24050"/>
  <c r="DC227" i="23917"/>
  <c r="CE221" i="24050"/>
  <c r="DK227" i="23917"/>
  <c r="CO221" i="24050"/>
  <c r="DU227" i="23917"/>
  <c r="DP221" i="24050"/>
  <c r="EV227" i="23917"/>
  <c r="EA221" i="24050"/>
  <c r="FG227" i="23917"/>
  <c r="D222" i="24050"/>
  <c r="AJ228" i="23917"/>
  <c r="P222" i="24050"/>
  <c r="AV228" i="23917"/>
  <c r="V222" i="24050"/>
  <c r="BB228" i="23917"/>
  <c r="AB222" i="24050"/>
  <c r="BH228" i="23917"/>
  <c r="AJ222" i="24050"/>
  <c r="BP228" i="23917"/>
  <c r="AP222" i="24050"/>
  <c r="BV228" i="23917"/>
  <c r="AV222" i="24050"/>
  <c r="CB228" i="23917"/>
  <c r="BF222" i="24050"/>
  <c r="CL228" i="23917"/>
  <c r="BL222" i="24050"/>
  <c r="CR228" i="23917"/>
  <c r="BV222" i="24050"/>
  <c r="DB228" i="23917"/>
  <c r="CB222" i="24050"/>
  <c r="DH228" i="23917"/>
  <c r="CN222" i="24050"/>
  <c r="DT228" i="23917"/>
  <c r="CW221" i="24050"/>
  <c r="EC227" i="23917"/>
  <c r="DA222" i="24050"/>
  <c r="EG228" i="23917"/>
  <c r="DL221" i="24050"/>
  <c r="ER227" i="23917"/>
  <c r="EH222" i="24050"/>
  <c r="FN228" i="23917"/>
  <c r="EL222" i="24050"/>
  <c r="FR228" i="23917"/>
  <c r="EP222" i="24050"/>
  <c r="FV228" i="23917"/>
  <c r="ET222" i="24050"/>
  <c r="FZ228" i="23917"/>
  <c r="E7" i="24068"/>
  <c r="M7" i="24068"/>
  <c r="O19" i="23917"/>
  <c r="N19" i="23917"/>
  <c r="S234" i="24050"/>
  <c r="AY240" i="23917"/>
  <c r="DM234" i="24050"/>
  <c r="ES240" i="23917"/>
  <c r="DU234" i="24050"/>
  <c r="FA240" i="23917"/>
  <c r="R16" i="24068"/>
  <c r="EC234" i="24050"/>
  <c r="FI240" i="23917"/>
  <c r="DM235" i="24050"/>
  <c r="ES241" i="23917"/>
  <c r="DW235" i="24050"/>
  <c r="FC241" i="23917"/>
  <c r="EE235" i="24050"/>
  <c r="FK241" i="23917"/>
  <c r="AP237" i="24050"/>
  <c r="BV243" i="23917"/>
  <c r="CE237" i="24050"/>
  <c r="DK243" i="23917"/>
  <c r="C241" i="24050"/>
  <c r="AI247" i="23917"/>
  <c r="M255" i="24050"/>
  <c r="AS261" i="23917"/>
  <c r="AS255" i="24050"/>
  <c r="BY261" i="23917"/>
  <c r="BY255" i="24050"/>
  <c r="DE261" i="23917"/>
  <c r="DF255" i="24050"/>
  <c r="EL261" i="23917"/>
  <c r="P256" i="24050"/>
  <c r="AV262" i="23917"/>
  <c r="V256" i="24050"/>
  <c r="BB262" i="23917"/>
  <c r="AV256" i="24050"/>
  <c r="CB262" i="23917"/>
  <c r="BB256" i="24050"/>
  <c r="CH262" i="23917"/>
  <c r="CB256" i="24050"/>
  <c r="DH262" i="23917"/>
  <c r="CH256" i="24050"/>
  <c r="DN262" i="23917"/>
  <c r="DP260" i="24050"/>
  <c r="EV266" i="23917"/>
  <c r="DW260" i="24050"/>
  <c r="FC266" i="23917"/>
  <c r="EE260" i="24050"/>
  <c r="FK266" i="23917"/>
  <c r="DT261" i="24050"/>
  <c r="EZ267" i="23917"/>
  <c r="E261" i="24050"/>
  <c r="AK267" i="23917"/>
  <c r="G262" i="24050"/>
  <c r="AM268" i="23917"/>
  <c r="K260" i="24050"/>
  <c r="AQ266" i="23917"/>
  <c r="M261" i="24050"/>
  <c r="AS267" i="23917"/>
  <c r="O262" i="24050"/>
  <c r="AU268" i="23917"/>
  <c r="S260" i="24050"/>
  <c r="AY266" i="23917"/>
  <c r="U261" i="24050"/>
  <c r="BA267" i="23917"/>
  <c r="AO262" i="24050"/>
  <c r="BU268" i="23917"/>
  <c r="AS260" i="24050"/>
  <c r="BY266" i="23917"/>
  <c r="AU261" i="24050"/>
  <c r="CA267" i="23917"/>
  <c r="AW262" i="24050"/>
  <c r="CC268" i="23917"/>
  <c r="BA260" i="24050"/>
  <c r="CG266" i="23917"/>
  <c r="BC261" i="24050"/>
  <c r="CI267" i="23917"/>
  <c r="BE262" i="24050"/>
  <c r="CK268" i="23917"/>
  <c r="BI260" i="24050"/>
  <c r="CO266" i="23917"/>
  <c r="BK261" i="24050"/>
  <c r="CQ267" i="23917"/>
  <c r="BM262" i="24050"/>
  <c r="CS268" i="23917"/>
  <c r="BQ260" i="24050"/>
  <c r="CW266" i="23917"/>
  <c r="BS261" i="24050"/>
  <c r="CY267" i="23917"/>
  <c r="BU262" i="24050"/>
  <c r="DA268" i="23917"/>
  <c r="BY260" i="24050"/>
  <c r="DE266" i="23917"/>
  <c r="CA261" i="24050"/>
  <c r="DG267" i="23917"/>
  <c r="CC262" i="24050"/>
  <c r="DI268" i="23917"/>
  <c r="CG260" i="24050"/>
  <c r="DM266" i="23917"/>
  <c r="DF261" i="24050"/>
  <c r="EL267" i="23917"/>
  <c r="DH262" i="24050"/>
  <c r="EN268" i="23917"/>
  <c r="U269" i="23917"/>
  <c r="T269" i="23917"/>
  <c r="AD269" i="23917"/>
  <c r="AE269" i="23917"/>
  <c r="T263" i="24050"/>
  <c r="AZ269" i="23917"/>
  <c r="AB263" i="24050"/>
  <c r="BH269" i="23917"/>
  <c r="AJ263" i="24050"/>
  <c r="BP269" i="23917"/>
  <c r="AR263" i="24050"/>
  <c r="BX269" i="23917"/>
  <c r="AY263" i="24050"/>
  <c r="CE269" i="23917"/>
  <c r="CE263" i="24050"/>
  <c r="DK269" i="23917"/>
  <c r="CL263" i="24050"/>
  <c r="DR269" i="23917"/>
  <c r="CR275" i="24050"/>
  <c r="DX281" i="23917"/>
  <c r="CO277" i="24050"/>
  <c r="DU283" i="23917"/>
  <c r="DU275" i="24050"/>
  <c r="FA281" i="23917"/>
  <c r="EF277" i="24050"/>
  <c r="FL283" i="23917"/>
  <c r="DD276" i="24050"/>
  <c r="EJ282" i="23917"/>
  <c r="DK276" i="24050"/>
  <c r="EQ282" i="23917"/>
  <c r="DS276" i="24050"/>
  <c r="EY282" i="23917"/>
  <c r="C276" i="24050"/>
  <c r="AI282" i="23917"/>
  <c r="E277" i="24050"/>
  <c r="AK283" i="23917"/>
  <c r="I275" i="24050"/>
  <c r="AO281" i="23917"/>
  <c r="K276" i="24050"/>
  <c r="AQ282" i="23917"/>
  <c r="M277" i="24050"/>
  <c r="AS283" i="23917"/>
  <c r="Q275" i="24050"/>
  <c r="AW281" i="23917"/>
  <c r="S276" i="24050"/>
  <c r="AY282" i="23917"/>
  <c r="U277" i="24050"/>
  <c r="BA283" i="23917"/>
  <c r="Y275" i="24050"/>
  <c r="BE281" i="23917"/>
  <c r="AA276" i="24050"/>
  <c r="BG282" i="23917"/>
  <c r="AC277" i="24050"/>
  <c r="BI283" i="23917"/>
  <c r="AG275" i="24050"/>
  <c r="BM281" i="23917"/>
  <c r="AI276" i="24050"/>
  <c r="BO282" i="23917"/>
  <c r="AK277" i="24050"/>
  <c r="BQ283" i="23917"/>
  <c r="AO275" i="24050"/>
  <c r="BU281" i="23917"/>
  <c r="AQ276" i="24050"/>
  <c r="BW282" i="23917"/>
  <c r="AS277" i="24050"/>
  <c r="BY283" i="23917"/>
  <c r="AW275" i="24050"/>
  <c r="CC281" i="23917"/>
  <c r="AY276" i="24050"/>
  <c r="CE282" i="23917"/>
  <c r="BA277" i="24050"/>
  <c r="CG283" i="23917"/>
  <c r="BE275" i="24050"/>
  <c r="CK281" i="23917"/>
  <c r="BG276" i="24050"/>
  <c r="CM282" i="23917"/>
  <c r="BI277" i="24050"/>
  <c r="CO283" i="23917"/>
  <c r="BM275" i="24050"/>
  <c r="CS281" i="23917"/>
  <c r="BO276" i="24050"/>
  <c r="CU282" i="23917"/>
  <c r="BQ277" i="24050"/>
  <c r="CW283" i="23917"/>
  <c r="BU275" i="24050"/>
  <c r="DA281" i="23917"/>
  <c r="BW276" i="24050"/>
  <c r="DC282" i="23917"/>
  <c r="BY277" i="24050"/>
  <c r="DE283" i="23917"/>
  <c r="CC275" i="24050"/>
  <c r="DI281" i="23917"/>
  <c r="CE276" i="24050"/>
  <c r="DK282" i="23917"/>
  <c r="CG277" i="24050"/>
  <c r="DM283" i="23917"/>
  <c r="CK275" i="24050"/>
  <c r="DQ281" i="23917"/>
  <c r="CM276" i="24050"/>
  <c r="DS282" i="23917"/>
  <c r="DU277" i="24050"/>
  <c r="FA283" i="23917"/>
  <c r="S278" i="24050"/>
  <c r="AY284" i="23917"/>
  <c r="AY278" i="24050"/>
  <c r="CE284" i="23917"/>
  <c r="CE278" i="24050"/>
  <c r="DK284" i="23917"/>
  <c r="DS281" i="24050"/>
  <c r="EY287" i="23917"/>
  <c r="DL282" i="24050"/>
  <c r="ER288" i="23917"/>
  <c r="EG282" i="24050"/>
  <c r="FM288" i="23917"/>
  <c r="DJ283" i="24050"/>
  <c r="EP289" i="23917"/>
  <c r="DW283" i="24050"/>
  <c r="FC289" i="23917"/>
  <c r="DG284" i="24050"/>
  <c r="EM290" i="23917"/>
  <c r="EB284" i="24050"/>
  <c r="FH290" i="23917"/>
  <c r="I302" i="23917"/>
  <c r="H302" i="23917"/>
  <c r="N302" i="23917"/>
  <c r="O302" i="23917"/>
  <c r="H296" i="24050"/>
  <c r="AN302" i="23917"/>
  <c r="N296" i="24050"/>
  <c r="AT302" i="23917"/>
  <c r="AN296" i="24050"/>
  <c r="BT302" i="23917"/>
  <c r="AT296" i="24050"/>
  <c r="BZ302" i="23917"/>
  <c r="BT296" i="24050"/>
  <c r="CZ302" i="23917"/>
  <c r="BZ296" i="24050"/>
  <c r="DF302" i="23917"/>
  <c r="G303" i="23917"/>
  <c r="F303" i="23917"/>
  <c r="AG297" i="24050"/>
  <c r="BM303" i="23917"/>
  <c r="BM297" i="24050"/>
  <c r="CS303" i="23917"/>
  <c r="DV311" i="24050"/>
  <c r="FB317" i="23917"/>
  <c r="CP310" i="24050"/>
  <c r="DV316" i="23917"/>
  <c r="DS313" i="24050"/>
  <c r="EY319" i="23917"/>
  <c r="F329" i="23917"/>
  <c r="F319" i="23917"/>
  <c r="N329" i="23917"/>
  <c r="N319" i="23917"/>
  <c r="V329" i="23917"/>
  <c r="V319" i="23917"/>
  <c r="H313" i="24050"/>
  <c r="AN319" i="23917"/>
  <c r="T313" i="24050"/>
  <c r="AZ319" i="23917"/>
  <c r="AD313" i="24050"/>
  <c r="BJ319" i="23917"/>
  <c r="AL313" i="24050"/>
  <c r="BR319" i="23917"/>
  <c r="AT313" i="24050"/>
  <c r="BZ319" i="23917"/>
  <c r="BB313" i="24050"/>
  <c r="CH319" i="23917"/>
  <c r="BJ313" i="24050"/>
  <c r="CP319" i="23917"/>
  <c r="BR313" i="24050"/>
  <c r="CX319" i="23917"/>
  <c r="BZ313" i="24050"/>
  <c r="DF319" i="23917"/>
  <c r="CH313" i="24050"/>
  <c r="DN319" i="23917"/>
  <c r="DY316" i="24050"/>
  <c r="FE322" i="23917"/>
  <c r="EG316" i="24050"/>
  <c r="FM322" i="23917"/>
  <c r="D339" i="23917"/>
  <c r="E339" i="23917"/>
  <c r="L339" i="23917"/>
  <c r="M339" i="23917"/>
  <c r="T339" i="23917"/>
  <c r="U339" i="23917"/>
  <c r="AB339" i="23917"/>
  <c r="AC339" i="23917"/>
  <c r="D333" i="24050"/>
  <c r="AJ339" i="23917"/>
  <c r="L333" i="24050"/>
  <c r="AR339" i="23917"/>
  <c r="T333" i="24050"/>
  <c r="AZ339" i="23917"/>
  <c r="AB333" i="24050"/>
  <c r="BH339" i="23917"/>
  <c r="AL333" i="24050"/>
  <c r="BR339" i="23917"/>
  <c r="AY333" i="24050"/>
  <c r="CE339" i="23917"/>
  <c r="BC333" i="24050"/>
  <c r="CI339" i="23917"/>
  <c r="BG333" i="24050"/>
  <c r="CM339" i="23917"/>
  <c r="BK333" i="24050"/>
  <c r="CQ339" i="23917"/>
  <c r="BO333" i="24050"/>
  <c r="CU339" i="23917"/>
  <c r="BS333" i="24050"/>
  <c r="CY339" i="23917"/>
  <c r="BW333" i="24050"/>
  <c r="DC339" i="23917"/>
  <c r="CA333" i="24050"/>
  <c r="DG339" i="23917"/>
  <c r="CE333" i="24050"/>
  <c r="DK339" i="23917"/>
  <c r="CI333" i="24050"/>
  <c r="DO339" i="23917"/>
  <c r="CM333" i="24050"/>
  <c r="DS339" i="23917"/>
  <c r="EU388" i="23917"/>
  <c r="EE75" i="24050"/>
  <c r="FK81" i="23917"/>
  <c r="U81" i="23917"/>
  <c r="T81" i="23917"/>
  <c r="T75" i="24050"/>
  <c r="AZ81" i="23917"/>
  <c r="AZ75" i="24050"/>
  <c r="CF81" i="23917"/>
  <c r="CF75" i="24050"/>
  <c r="DL81" i="23917"/>
  <c r="DN89" i="24050"/>
  <c r="ET95" i="23917"/>
  <c r="EH89" i="24050"/>
  <c r="FN95" i="23917"/>
  <c r="E91" i="24050"/>
  <c r="AK97" i="23917"/>
  <c r="Y96" i="24050"/>
  <c r="BE102" i="23917"/>
  <c r="AU96" i="24050"/>
  <c r="CA102" i="23917"/>
  <c r="EK386" i="23917"/>
  <c r="H386" i="23917"/>
  <c r="P390" i="23917"/>
  <c r="P386" i="23917"/>
  <c r="EO386" i="23917"/>
  <c r="X386" i="23917"/>
  <c r="EO387" i="23917"/>
  <c r="FC390" i="23917"/>
  <c r="FC386" i="23917"/>
  <c r="FG390" i="23917"/>
  <c r="FG386" i="23917"/>
  <c r="FK390" i="23917"/>
  <c r="FK386" i="23917"/>
  <c r="CN381" i="24050"/>
  <c r="EB381" i="24050"/>
  <c r="EF381" i="24050"/>
  <c r="CR381" i="24050"/>
  <c r="AU387" i="23917"/>
  <c r="O381" i="24050" s="1"/>
  <c r="AT387" i="23917"/>
  <c r="N381" i="24050" s="1"/>
  <c r="AY387" i="23917"/>
  <c r="S381" i="24050" s="1"/>
  <c r="AX387" i="23917"/>
  <c r="R381" i="24050" s="1"/>
  <c r="BC387" i="23917"/>
  <c r="W381" i="24050" s="1"/>
  <c r="BB387" i="23917"/>
  <c r="V381" i="24050" s="1"/>
  <c r="DV381" i="24050"/>
  <c r="CH381" i="24050"/>
  <c r="BA387" i="23917"/>
  <c r="U381" i="24050" s="1"/>
  <c r="FB388" i="23917"/>
  <c r="FA388" i="23917"/>
  <c r="FJ388" i="23917"/>
  <c r="FI388" i="23917"/>
  <c r="FD389" i="23917"/>
  <c r="FC389" i="23917"/>
  <c r="FL389" i="23917"/>
  <c r="FK389" i="23917"/>
  <c r="H389" i="23917"/>
  <c r="EM389" i="23917"/>
  <c r="P389" i="23917"/>
  <c r="EO389" i="23917"/>
  <c r="X389" i="23917"/>
  <c r="EQ389" i="23917"/>
  <c r="AF389" i="23917"/>
  <c r="BE387" i="23917"/>
  <c r="Y381" i="24050" s="1"/>
  <c r="CL390" i="23917"/>
  <c r="BF384" i="24050" s="1"/>
  <c r="CT390" i="23917"/>
  <c r="CX390" i="23917"/>
  <c r="DB390" i="23917"/>
  <c r="DF390" i="23917"/>
  <c r="DJ390" i="23917"/>
  <c r="DN390" i="23917"/>
  <c r="H403" i="23917"/>
  <c r="H393" i="23917"/>
  <c r="P403" i="23917"/>
  <c r="P393" i="23917"/>
  <c r="X403" i="23917"/>
  <c r="X393" i="23917"/>
  <c r="AF403" i="23917"/>
  <c r="AF393" i="23917"/>
  <c r="AN393" i="23917"/>
  <c r="H387" i="24050" s="1"/>
  <c r="AV403" i="23917"/>
  <c r="P397" i="24050" s="1"/>
  <c r="AV393" i="23917"/>
  <c r="P387" i="24050" s="1"/>
  <c r="C394" i="23917"/>
  <c r="B394" i="23917"/>
  <c r="K394" i="23917"/>
  <c r="J394" i="23917"/>
  <c r="S394" i="23917"/>
  <c r="R394" i="23917"/>
  <c r="AA394" i="23917"/>
  <c r="Z394" i="23917"/>
  <c r="ES394" i="23917"/>
  <c r="AH394" i="23917"/>
  <c r="B388" i="24050" s="1"/>
  <c r="AQ394" i="23917"/>
  <c r="K388" i="24050" s="1"/>
  <c r="AP394" i="23917"/>
  <c r="J388" i="24050" s="1"/>
  <c r="EW394" i="23917"/>
  <c r="AX394" i="23917"/>
  <c r="R388" i="24050" s="1"/>
  <c r="DX393" i="23917"/>
  <c r="DV393" i="23917"/>
  <c r="DZ396" i="23917"/>
  <c r="G396" i="23917"/>
  <c r="F396" i="23917"/>
  <c r="O396" i="23917"/>
  <c r="N396" i="23917"/>
  <c r="V396" i="23917"/>
  <c r="AD396" i="23917"/>
  <c r="AL396" i="23917"/>
  <c r="F390" i="24050" s="1"/>
  <c r="AT396" i="23917"/>
  <c r="N390" i="24050" s="1"/>
  <c r="BB396" i="23917"/>
  <c r="V390" i="24050" s="1"/>
  <c r="BF396" i="23917"/>
  <c r="Z390" i="24050" s="1"/>
  <c r="BJ396" i="23917"/>
  <c r="AD390" i="24050" s="1"/>
  <c r="BN396" i="23917"/>
  <c r="AH390" i="24050" s="1"/>
  <c r="BR396" i="23917"/>
  <c r="AL390" i="24050" s="1"/>
  <c r="BV396" i="23917"/>
  <c r="AP390" i="24050" s="1"/>
  <c r="BZ396" i="23917"/>
  <c r="AT390" i="24050" s="1"/>
  <c r="CD396" i="23917"/>
  <c r="AX390" i="24050" s="1"/>
  <c r="CH396" i="23917"/>
  <c r="BB390" i="24050" s="1"/>
  <c r="DP396" i="23917"/>
  <c r="CS397" i="23917"/>
  <c r="BM391" i="24050" s="1"/>
  <c r="CP397" i="23917"/>
  <c r="BJ391" i="24050" s="1"/>
  <c r="DK392" i="24050"/>
  <c r="BW392" i="24050"/>
  <c r="DO394" i="24050"/>
  <c r="CA394" i="24050"/>
  <c r="EZ401" i="23917"/>
  <c r="EW401" i="23917"/>
  <c r="FD393" i="23917"/>
  <c r="FA393" i="23917"/>
  <c r="FF394" i="23917"/>
  <c r="FC394" i="23917"/>
  <c r="FH395" i="23917"/>
  <c r="FE395" i="23917"/>
  <c r="EA389" i="24050"/>
  <c r="CM389" i="24050"/>
  <c r="FL395" i="23917"/>
  <c r="FI395" i="23917"/>
  <c r="FL394" i="23917"/>
  <c r="FK394" i="23917"/>
  <c r="FN395" i="23917"/>
  <c r="FM395" i="23917"/>
  <c r="DV393" i="24050"/>
  <c r="CH393" i="24050"/>
  <c r="CJ393" i="24050"/>
  <c r="DX393" i="24050"/>
  <c r="DZ393" i="24050"/>
  <c r="CL393" i="24050"/>
  <c r="CN393" i="24050"/>
  <c r="EB393" i="24050"/>
  <c r="ED393" i="24050"/>
  <c r="CP393" i="24050"/>
  <c r="CR393" i="24050"/>
  <c r="EF393" i="24050"/>
  <c r="EH393" i="24050"/>
  <c r="CT393" i="24050"/>
  <c r="EJ393" i="24050"/>
  <c r="CV393" i="24050"/>
  <c r="EL393" i="24050"/>
  <c r="CX393" i="24050"/>
  <c r="FB402" i="23917"/>
  <c r="FA402" i="23917"/>
  <c r="FL402" i="23917"/>
  <c r="FK402" i="23917"/>
  <c r="DD346" i="24050"/>
  <c r="EJ352" i="23917"/>
  <c r="DH346" i="24050"/>
  <c r="EN352" i="23917"/>
  <c r="DL346" i="24050"/>
  <c r="ER352" i="23917"/>
  <c r="DP346" i="24050"/>
  <c r="EV352" i="23917"/>
  <c r="DD347" i="24050"/>
  <c r="EJ353" i="23917"/>
  <c r="DH347" i="24050"/>
  <c r="EN353" i="23917"/>
  <c r="DL347" i="24050"/>
  <c r="ER353" i="23917"/>
  <c r="DP347" i="24050"/>
  <c r="EV353" i="23917"/>
  <c r="DD348" i="24050"/>
  <c r="EJ354" i="23917"/>
  <c r="DH348" i="24050"/>
  <c r="EN354" i="23917"/>
  <c r="DL348" i="24050"/>
  <c r="ER354" i="23917"/>
  <c r="DP348" i="24050"/>
  <c r="EV354" i="23917"/>
  <c r="C348" i="24050"/>
  <c r="AI354" i="23917"/>
  <c r="G346" i="24050"/>
  <c r="AM352" i="23917"/>
  <c r="I347" i="24050"/>
  <c r="AO353" i="23917"/>
  <c r="K348" i="24050"/>
  <c r="AQ354" i="23917"/>
  <c r="O346" i="24050"/>
  <c r="AU352" i="23917"/>
  <c r="Q347" i="24050"/>
  <c r="AW353" i="23917"/>
  <c r="S348" i="24050"/>
  <c r="AY354" i="23917"/>
  <c r="B364" i="23917"/>
  <c r="B355" i="23917"/>
  <c r="J364" i="23917"/>
  <c r="J355" i="23917"/>
  <c r="R364" i="23917"/>
  <c r="R355" i="23917"/>
  <c r="Z364" i="23917"/>
  <c r="Z355" i="23917"/>
  <c r="B349" i="24050"/>
  <c r="AH355" i="23917"/>
  <c r="J349" i="24050"/>
  <c r="AP355" i="23917"/>
  <c r="R349" i="24050"/>
  <c r="AX355" i="23917"/>
  <c r="DG352" i="24050"/>
  <c r="EM358" i="23917"/>
  <c r="DO352" i="24050"/>
  <c r="EU358" i="23917"/>
  <c r="DH353" i="24050"/>
  <c r="EN359" i="23917"/>
  <c r="DL353" i="24050"/>
  <c r="ER359" i="23917"/>
  <c r="DP353" i="24050"/>
  <c r="EV359" i="23917"/>
  <c r="DG354" i="24050"/>
  <c r="EM360" i="23917"/>
  <c r="DO354" i="24050"/>
  <c r="EU360" i="23917"/>
  <c r="DE352" i="24050"/>
  <c r="EK358" i="23917"/>
  <c r="AE362" i="23917"/>
  <c r="AD362" i="23917"/>
  <c r="C355" i="24050"/>
  <c r="AI361" i="23917"/>
  <c r="E355" i="24050"/>
  <c r="AK361" i="23917"/>
  <c r="G355" i="24050"/>
  <c r="AM361" i="23917"/>
  <c r="I355" i="24050"/>
  <c r="AO361" i="23917"/>
  <c r="K355" i="24050"/>
  <c r="AQ361" i="23917"/>
  <c r="M355" i="24050"/>
  <c r="AS361" i="23917"/>
  <c r="O355" i="24050"/>
  <c r="AU361" i="23917"/>
  <c r="Q355" i="24050"/>
  <c r="AW361" i="23917"/>
  <c r="S355" i="24050"/>
  <c r="AY361" i="23917"/>
  <c r="U355" i="24050"/>
  <c r="BA361" i="23917"/>
  <c r="I362" i="23917"/>
  <c r="H362" i="23917"/>
  <c r="Q362" i="23917"/>
  <c r="P362" i="23917"/>
  <c r="AA362" i="23917"/>
  <c r="Z362" i="23917"/>
  <c r="D356" i="24050"/>
  <c r="AJ362" i="23917"/>
  <c r="L356" i="24050"/>
  <c r="AR362" i="23917"/>
  <c r="T356" i="24050"/>
  <c r="AZ362" i="23917"/>
  <c r="DE355" i="24050"/>
  <c r="EK361" i="23917"/>
  <c r="DI355" i="24050"/>
  <c r="EO361" i="23917"/>
  <c r="DM355" i="24050"/>
  <c r="ES361" i="23917"/>
  <c r="DQ355" i="24050"/>
  <c r="EW361" i="23917"/>
  <c r="E366" i="24050"/>
  <c r="AK372" i="23917"/>
  <c r="I366" i="24050"/>
  <c r="AO372" i="23917"/>
  <c r="M366" i="24050"/>
  <c r="AS372" i="23917"/>
  <c r="Q366" i="24050"/>
  <c r="AW372" i="23917"/>
  <c r="U366" i="24050"/>
  <c r="BA372" i="23917"/>
  <c r="G373" i="23917"/>
  <c r="F373" i="23917"/>
  <c r="O373" i="23917"/>
  <c r="N373" i="23917"/>
  <c r="W373" i="23917"/>
  <c r="V373" i="23917"/>
  <c r="AE373" i="23917"/>
  <c r="AD373" i="23917"/>
  <c r="F367" i="24050"/>
  <c r="AL373" i="23917"/>
  <c r="N367" i="24050"/>
  <c r="AT373" i="23917"/>
  <c r="E368" i="24050"/>
  <c r="AK374" i="23917"/>
  <c r="I368" i="24050"/>
  <c r="AO374" i="23917"/>
  <c r="M368" i="24050"/>
  <c r="AS374" i="23917"/>
  <c r="Q368" i="24050"/>
  <c r="AW374" i="23917"/>
  <c r="U368" i="24050"/>
  <c r="BA374" i="23917"/>
  <c r="G19" i="23917"/>
  <c r="CV20" i="24050"/>
  <c r="DE31" i="24050"/>
  <c r="DU31" i="24050"/>
  <c r="CN30" i="24050"/>
  <c r="L30" i="24050"/>
  <c r="CP30" i="24050"/>
  <c r="S48" i="24068"/>
  <c r="DW58" i="24050"/>
  <c r="EE58" i="24050"/>
  <c r="DM59" i="24050"/>
  <c r="DM24" i="24050"/>
  <c r="DU59" i="24050"/>
  <c r="DU24" i="24050"/>
  <c r="EC59" i="24050"/>
  <c r="EC24" i="24050"/>
  <c r="G59" i="24050"/>
  <c r="G24" i="24050"/>
  <c r="O59" i="24050"/>
  <c r="O24" i="24050"/>
  <c r="W59" i="24050"/>
  <c r="W24" i="24050"/>
  <c r="AE59" i="24050"/>
  <c r="AE24" i="24050"/>
  <c r="AM59" i="24050"/>
  <c r="AM24" i="24050"/>
  <c r="AU59" i="24050"/>
  <c r="AU24" i="24050"/>
  <c r="BC24" i="24050"/>
  <c r="BC59" i="24050"/>
  <c r="BK59" i="24050"/>
  <c r="BK24" i="24050"/>
  <c r="BS24" i="24050"/>
  <c r="BS59" i="24050"/>
  <c r="CA59" i="24050"/>
  <c r="CA24" i="24050"/>
  <c r="CI59" i="24050"/>
  <c r="CI24" i="24050"/>
  <c r="DC59" i="24050"/>
  <c r="DC24" i="24050"/>
  <c r="DE87" i="24050"/>
  <c r="EK93" i="23917"/>
  <c r="DM87" i="24050"/>
  <c r="ES93" i="23917"/>
  <c r="DU87" i="24050"/>
  <c r="FA93" i="23917"/>
  <c r="EC87" i="24050"/>
  <c r="FI93" i="23917"/>
  <c r="E99" i="23917"/>
  <c r="D99" i="23917"/>
  <c r="D93" i="24050"/>
  <c r="AJ99" i="23917"/>
  <c r="J93" i="24050"/>
  <c r="AP99" i="23917"/>
  <c r="T93" i="24050"/>
  <c r="AZ99" i="23917"/>
  <c r="Z93" i="24050"/>
  <c r="BF99" i="23917"/>
  <c r="AJ93" i="24050"/>
  <c r="BP99" i="23917"/>
  <c r="AP93" i="24050"/>
  <c r="BV99" i="23917"/>
  <c r="AZ93" i="24050"/>
  <c r="CF99" i="23917"/>
  <c r="BF93" i="24050"/>
  <c r="CL99" i="23917"/>
  <c r="BP93" i="24050"/>
  <c r="CV99" i="23917"/>
  <c r="BV93" i="24050"/>
  <c r="DB99" i="23917"/>
  <c r="CF93" i="24050"/>
  <c r="DL99" i="23917"/>
  <c r="M76" i="24050"/>
  <c r="M88" i="24050"/>
  <c r="AC76" i="24050"/>
  <c r="AC88" i="24050"/>
  <c r="AS76" i="24050"/>
  <c r="AS88" i="24050"/>
  <c r="BI76" i="24050"/>
  <c r="BI88" i="24050"/>
  <c r="BY76" i="24050"/>
  <c r="BY88" i="24050"/>
  <c r="CO76" i="24050"/>
  <c r="CO88" i="24050"/>
  <c r="C88" i="24050"/>
  <c r="C76" i="24050"/>
  <c r="AI94" i="23917"/>
  <c r="E76" i="24050"/>
  <c r="E88" i="24050"/>
  <c r="G88" i="24050"/>
  <c r="G76" i="24050"/>
  <c r="AM94" i="23917"/>
  <c r="DK76" i="24050"/>
  <c r="DK88" i="24050"/>
  <c r="EQ94" i="23917"/>
  <c r="DG89" i="24050"/>
  <c r="EM95" i="23917"/>
  <c r="DM89" i="24050"/>
  <c r="ES95" i="23917"/>
  <c r="DW89" i="24050"/>
  <c r="FC95" i="23917"/>
  <c r="EC89" i="24050"/>
  <c r="FI95" i="23917"/>
  <c r="H84" i="23917"/>
  <c r="H94" i="24050"/>
  <c r="AN100" i="23917"/>
  <c r="L94" i="24050"/>
  <c r="AR100" i="23917"/>
  <c r="P94" i="24050"/>
  <c r="AV100" i="23917"/>
  <c r="T94" i="24050"/>
  <c r="AZ100" i="23917"/>
  <c r="X94" i="24050"/>
  <c r="BD100" i="23917"/>
  <c r="AB94" i="24050"/>
  <c r="BH100" i="23917"/>
  <c r="AF94" i="24050"/>
  <c r="BL100" i="23917"/>
  <c r="AJ94" i="24050"/>
  <c r="BP100" i="23917"/>
  <c r="AN94" i="24050"/>
  <c r="BT100" i="23917"/>
  <c r="AT94" i="24050"/>
  <c r="BZ100" i="23917"/>
  <c r="AZ94" i="24050"/>
  <c r="CF100" i="23917"/>
  <c r="BH94" i="24050"/>
  <c r="CN100" i="23917"/>
  <c r="BP94" i="24050"/>
  <c r="CV100" i="23917"/>
  <c r="BX94" i="24050"/>
  <c r="DD100" i="23917"/>
  <c r="CF94" i="24050"/>
  <c r="DL100" i="23917"/>
  <c r="CN94" i="24050"/>
  <c r="DT100" i="23917"/>
  <c r="AZ96" i="24050"/>
  <c r="CF102" i="23917"/>
  <c r="BH96" i="24050"/>
  <c r="CN102" i="23917"/>
  <c r="BN96" i="24050"/>
  <c r="CT102" i="23917"/>
  <c r="BX96" i="24050"/>
  <c r="DD102" i="23917"/>
  <c r="CF96" i="24050"/>
  <c r="DL102" i="23917"/>
  <c r="CN96" i="24050"/>
  <c r="DT102" i="23917"/>
  <c r="E97" i="23917"/>
  <c r="S97" i="23917"/>
  <c r="W97" i="23917"/>
  <c r="N96" i="24050"/>
  <c r="AT102" i="23917"/>
  <c r="T96" i="24050"/>
  <c r="AZ102" i="23917"/>
  <c r="AD96" i="24050"/>
  <c r="BJ102" i="23917"/>
  <c r="AJ96" i="24050"/>
  <c r="BP102" i="23917"/>
  <c r="B8" i="23917"/>
  <c r="F8" i="23917"/>
  <c r="D10" i="23917"/>
  <c r="H10" i="23917"/>
  <c r="L10" i="23917"/>
  <c r="B12" i="23917"/>
  <c r="F12" i="23917"/>
  <c r="AK22" i="23917"/>
  <c r="AO22" i="23917"/>
  <c r="AS22" i="23917"/>
  <c r="BA22" i="23917"/>
  <c r="BI22" i="23917"/>
  <c r="BM22" i="23917"/>
  <c r="BQ22" i="23917"/>
  <c r="BU22" i="23917"/>
  <c r="D23" i="23917"/>
  <c r="BY22" i="23917"/>
  <c r="CG22" i="23917"/>
  <c r="CO22" i="23917"/>
  <c r="CW22" i="23917"/>
  <c r="DE22" i="23917"/>
  <c r="DM22" i="23917"/>
  <c r="DU22" i="23917"/>
  <c r="FD22" i="23917"/>
  <c r="FM22" i="23917"/>
  <c r="C27" i="23917"/>
  <c r="G27" i="23917"/>
  <c r="K27" i="23917"/>
  <c r="O27" i="23917"/>
  <c r="S27" i="23917"/>
  <c r="W27" i="23917"/>
  <c r="AA27" i="23917"/>
  <c r="AE27" i="23917"/>
  <c r="AM27" i="23917"/>
  <c r="AU27" i="23917"/>
  <c r="BC27" i="23917"/>
  <c r="BK27" i="23917"/>
  <c r="BS27" i="23917"/>
  <c r="CA27" i="23917"/>
  <c r="DE38" i="23917"/>
  <c r="DM38" i="23917"/>
  <c r="EA39" i="23917"/>
  <c r="CH38" i="23917"/>
  <c r="DV38" i="23917"/>
  <c r="ED38" i="23917"/>
  <c r="FE40" i="23917"/>
  <c r="FI38" i="23917"/>
  <c r="E66" i="23917"/>
  <c r="I66" i="23917"/>
  <c r="M66" i="23917"/>
  <c r="Q66" i="23917"/>
  <c r="U66" i="23917"/>
  <c r="Y66" i="23917"/>
  <c r="AC66" i="23917"/>
  <c r="AG66" i="23917"/>
  <c r="AK66" i="23917"/>
  <c r="AS66" i="23917"/>
  <c r="BA66" i="23917"/>
  <c r="BI66" i="23917"/>
  <c r="BQ66" i="23917"/>
  <c r="BY66" i="23917"/>
  <c r="EK66" i="23917"/>
  <c r="ES66" i="23917"/>
  <c r="EW66" i="23917"/>
  <c r="FA66" i="23917"/>
  <c r="FE66" i="23917"/>
  <c r="FI66" i="23917"/>
  <c r="FM66" i="23917"/>
  <c r="B72" i="23917"/>
  <c r="F72" i="23917"/>
  <c r="M94" i="23917"/>
  <c r="AC94" i="23917"/>
  <c r="AS94" i="23917"/>
  <c r="BI94" i="23917"/>
  <c r="BY94" i="23917"/>
  <c r="CO94" i="23917"/>
  <c r="DE94" i="23917"/>
  <c r="DU94" i="23917"/>
  <c r="AI95" i="23917"/>
  <c r="AM95" i="23917"/>
  <c r="AQ95" i="23917"/>
  <c r="AU95" i="23917"/>
  <c r="AY95" i="23917"/>
  <c r="BC95" i="23917"/>
  <c r="BG95" i="23917"/>
  <c r="BK95" i="23917"/>
  <c r="BO95" i="23917"/>
  <c r="BS95" i="23917"/>
  <c r="BW95" i="23917"/>
  <c r="CA95" i="23917"/>
  <c r="CE95" i="23917"/>
  <c r="CI95" i="23917"/>
  <c r="CM95" i="23917"/>
  <c r="CQ95" i="23917"/>
  <c r="CU95" i="23917"/>
  <c r="DC95" i="23917"/>
  <c r="DK95" i="23917"/>
  <c r="DO95" i="23917"/>
  <c r="N97" i="23917"/>
  <c r="AD97" i="23917"/>
  <c r="K241" i="23917"/>
  <c r="J241" i="23917"/>
  <c r="X242" i="23917"/>
  <c r="R242" i="23917"/>
  <c r="AA240" i="23917"/>
  <c r="Z240" i="23917"/>
  <c r="U234" i="24050"/>
  <c r="BA240" i="23917"/>
  <c r="DO234" i="24050"/>
  <c r="EU240" i="23917"/>
  <c r="O16" i="24068"/>
  <c r="DW234" i="24050"/>
  <c r="FC240" i="23917"/>
  <c r="S16" i="24068"/>
  <c r="EE234" i="24050"/>
  <c r="FK240" i="23917"/>
  <c r="DQ235" i="24050"/>
  <c r="EW241" i="23917"/>
  <c r="DY235" i="24050"/>
  <c r="FE241" i="23917"/>
  <c r="EG235" i="24050"/>
  <c r="FM241" i="23917"/>
  <c r="DO236" i="24050"/>
  <c r="EU242" i="23917"/>
  <c r="DY236" i="24050"/>
  <c r="FE242" i="23917"/>
  <c r="EG236" i="24050"/>
  <c r="FM242" i="23917"/>
  <c r="L237" i="24050"/>
  <c r="AR243" i="23917"/>
  <c r="U235" i="24050"/>
  <c r="BA241" i="23917"/>
  <c r="E234" i="24050"/>
  <c r="AK240" i="23917"/>
  <c r="G235" i="24050"/>
  <c r="AM241" i="23917"/>
  <c r="I236" i="24050"/>
  <c r="AO242" i="23917"/>
  <c r="M235" i="24050"/>
  <c r="AS241" i="23917"/>
  <c r="Q234" i="24050"/>
  <c r="AW240" i="23917"/>
  <c r="W234" i="24050"/>
  <c r="BC240" i="23917"/>
  <c r="AA234" i="24050"/>
  <c r="BG240" i="23917"/>
  <c r="AE234" i="24050"/>
  <c r="BK240" i="23917"/>
  <c r="AG236" i="24050"/>
  <c r="BM242" i="23917"/>
  <c r="AK234" i="24050"/>
  <c r="BQ240" i="23917"/>
  <c r="AM235" i="24050"/>
  <c r="BS241" i="23917"/>
  <c r="AO236" i="24050"/>
  <c r="BU242" i="23917"/>
  <c r="AS234" i="24050"/>
  <c r="BY240" i="23917"/>
  <c r="AU235" i="24050"/>
  <c r="CA241" i="23917"/>
  <c r="AW236" i="24050"/>
  <c r="CC242" i="23917"/>
  <c r="BA234" i="24050"/>
  <c r="CG240" i="23917"/>
  <c r="BC235" i="24050"/>
  <c r="CI241" i="23917"/>
  <c r="BE236" i="24050"/>
  <c r="CK242" i="23917"/>
  <c r="BI234" i="24050"/>
  <c r="CO240" i="23917"/>
  <c r="BK235" i="24050"/>
  <c r="CQ241" i="23917"/>
  <c r="BM236" i="24050"/>
  <c r="CS242" i="23917"/>
  <c r="BQ234" i="24050"/>
  <c r="CW240" i="23917"/>
  <c r="BS235" i="24050"/>
  <c r="CY241" i="23917"/>
  <c r="BU236" i="24050"/>
  <c r="DA242" i="23917"/>
  <c r="BY234" i="24050"/>
  <c r="DE240" i="23917"/>
  <c r="CA235" i="24050"/>
  <c r="DG241" i="23917"/>
  <c r="CC236" i="24050"/>
  <c r="DI242" i="23917"/>
  <c r="CG234" i="24050"/>
  <c r="DM240" i="23917"/>
  <c r="CI235" i="24050"/>
  <c r="DO241" i="23917"/>
  <c r="CK236" i="24050"/>
  <c r="DQ242" i="23917"/>
  <c r="CO234" i="24050"/>
  <c r="DU240" i="23917"/>
  <c r="CS236" i="24050"/>
  <c r="DY242" i="23917"/>
  <c r="DA236" i="24050"/>
  <c r="EG242" i="23917"/>
  <c r="DH234" i="24050"/>
  <c r="EN240" i="23917"/>
  <c r="N252" i="23917"/>
  <c r="N243" i="23917"/>
  <c r="V252" i="23917"/>
  <c r="V243" i="23917"/>
  <c r="B237" i="24050"/>
  <c r="AH243" i="23917"/>
  <c r="X237" i="24050"/>
  <c r="BD243" i="23917"/>
  <c r="AF237" i="24050"/>
  <c r="BL243" i="23917"/>
  <c r="AL237" i="24050"/>
  <c r="BR243" i="23917"/>
  <c r="AV237" i="24050"/>
  <c r="CB243" i="23917"/>
  <c r="BB237" i="24050"/>
  <c r="CH243" i="23917"/>
  <c r="BL237" i="24050"/>
  <c r="CR243" i="23917"/>
  <c r="BV237" i="24050"/>
  <c r="DB243" i="23917"/>
  <c r="CF237" i="24050"/>
  <c r="DL243" i="23917"/>
  <c r="CL237" i="24050"/>
  <c r="DR243" i="23917"/>
  <c r="R247" i="23917"/>
  <c r="CO242" i="24050"/>
  <c r="DU248" i="23917"/>
  <c r="DO240" i="24050"/>
  <c r="EU246" i="23917"/>
  <c r="DW240" i="24050"/>
  <c r="FC246" i="23917"/>
  <c r="EE240" i="24050"/>
  <c r="FK246" i="23917"/>
  <c r="DO241" i="24050"/>
  <c r="EU247" i="23917"/>
  <c r="DW241" i="24050"/>
  <c r="FC247" i="23917"/>
  <c r="EE241" i="24050"/>
  <c r="FK247" i="23917"/>
  <c r="DF241" i="24050"/>
  <c r="EL247" i="23917"/>
  <c r="E242" i="24050"/>
  <c r="AK248" i="23917"/>
  <c r="M242" i="24050"/>
  <c r="AS248" i="23917"/>
  <c r="U242" i="24050"/>
  <c r="BA248" i="23917"/>
  <c r="AC242" i="24050"/>
  <c r="BI248" i="23917"/>
  <c r="AK242" i="24050"/>
  <c r="BQ248" i="23917"/>
  <c r="AS242" i="24050"/>
  <c r="BY248" i="23917"/>
  <c r="BA242" i="24050"/>
  <c r="CG248" i="23917"/>
  <c r="BI242" i="24050"/>
  <c r="CO248" i="23917"/>
  <c r="BQ242" i="24050"/>
  <c r="CW248" i="23917"/>
  <c r="BY242" i="24050"/>
  <c r="DE248" i="23917"/>
  <c r="CG242" i="24050"/>
  <c r="DM248" i="23917"/>
  <c r="CN244" i="24050"/>
  <c r="DT250" i="23917"/>
  <c r="DI244" i="24050"/>
  <c r="EO250" i="23917"/>
  <c r="DF243" i="24050"/>
  <c r="EL249" i="23917"/>
  <c r="DO243" i="24050"/>
  <c r="EU249" i="23917"/>
  <c r="DW243" i="24050"/>
  <c r="FC249" i="23917"/>
  <c r="EE243" i="24050"/>
  <c r="FK249" i="23917"/>
  <c r="I240" i="24050"/>
  <c r="AO246" i="23917"/>
  <c r="K241" i="24050"/>
  <c r="AQ247" i="23917"/>
  <c r="O240" i="24050"/>
  <c r="AU246" i="23917"/>
  <c r="Q241" i="24050"/>
  <c r="AW247" i="23917"/>
  <c r="S243" i="24050"/>
  <c r="AY249" i="23917"/>
  <c r="W240" i="24050"/>
  <c r="BC246" i="23917"/>
  <c r="Y241" i="24050"/>
  <c r="BE247" i="23917"/>
  <c r="AA243" i="24050"/>
  <c r="BG249" i="23917"/>
  <c r="AE240" i="24050"/>
  <c r="BK246" i="23917"/>
  <c r="AG241" i="24050"/>
  <c r="BM247" i="23917"/>
  <c r="AI243" i="24050"/>
  <c r="BO249" i="23917"/>
  <c r="AM240" i="24050"/>
  <c r="BS246" i="23917"/>
  <c r="AO241" i="24050"/>
  <c r="BU247" i="23917"/>
  <c r="AQ243" i="24050"/>
  <c r="BW249" i="23917"/>
  <c r="AU240" i="24050"/>
  <c r="CA246" i="23917"/>
  <c r="AW241" i="24050"/>
  <c r="CC247" i="23917"/>
  <c r="AY243" i="24050"/>
  <c r="CE249" i="23917"/>
  <c r="BC240" i="24050"/>
  <c r="CI246" i="23917"/>
  <c r="BE241" i="24050"/>
  <c r="CK247" i="23917"/>
  <c r="BG243" i="24050"/>
  <c r="CM249" i="23917"/>
  <c r="BK240" i="24050"/>
  <c r="CQ246" i="23917"/>
  <c r="BM241" i="24050"/>
  <c r="CS247" i="23917"/>
  <c r="BO243" i="24050"/>
  <c r="CU249" i="23917"/>
  <c r="BS240" i="24050"/>
  <c r="CY246" i="23917"/>
  <c r="BU241" i="24050"/>
  <c r="DA247" i="23917"/>
  <c r="BW243" i="24050"/>
  <c r="DC249" i="23917"/>
  <c r="CA240" i="24050"/>
  <c r="DG246" i="23917"/>
  <c r="CC241" i="24050"/>
  <c r="DI247" i="23917"/>
  <c r="CE243" i="24050"/>
  <c r="DK249" i="23917"/>
  <c r="CI240" i="24050"/>
  <c r="DO246" i="23917"/>
  <c r="CK241" i="24050"/>
  <c r="DQ247" i="23917"/>
  <c r="CM243" i="24050"/>
  <c r="DS249" i="23917"/>
  <c r="D255" i="24050"/>
  <c r="AJ261" i="23917"/>
  <c r="N255" i="24050"/>
  <c r="AT261" i="23917"/>
  <c r="T255" i="24050"/>
  <c r="AZ261" i="23917"/>
  <c r="AD255" i="24050"/>
  <c r="BJ261" i="23917"/>
  <c r="AJ255" i="24050"/>
  <c r="BP261" i="23917"/>
  <c r="AT255" i="24050"/>
  <c r="BZ261" i="23917"/>
  <c r="AZ255" i="24050"/>
  <c r="CF261" i="23917"/>
  <c r="BJ255" i="24050"/>
  <c r="CP261" i="23917"/>
  <c r="BP255" i="24050"/>
  <c r="CV261" i="23917"/>
  <c r="BZ255" i="24050"/>
  <c r="DF261" i="23917"/>
  <c r="CF255" i="24050"/>
  <c r="DL261" i="23917"/>
  <c r="DG255" i="24050"/>
  <c r="EM261" i="23917"/>
  <c r="CR255" i="24050"/>
  <c r="DX261" i="23917"/>
  <c r="L256" i="24050"/>
  <c r="AR262" i="23917"/>
  <c r="R256" i="24050"/>
  <c r="AX262" i="23917"/>
  <c r="AB256" i="24050"/>
  <c r="BH262" i="23917"/>
  <c r="AH256" i="24050"/>
  <c r="BN262" i="23917"/>
  <c r="AR256" i="24050"/>
  <c r="BX262" i="23917"/>
  <c r="AX256" i="24050"/>
  <c r="CD262" i="23917"/>
  <c r="BH256" i="24050"/>
  <c r="CN262" i="23917"/>
  <c r="BN256" i="24050"/>
  <c r="CT262" i="23917"/>
  <c r="BX256" i="24050"/>
  <c r="DD262" i="23917"/>
  <c r="CD256" i="24050"/>
  <c r="DJ262" i="23917"/>
  <c r="CN256" i="24050"/>
  <c r="DT262" i="23917"/>
  <c r="DG256" i="24050"/>
  <c r="EM262" i="23917"/>
  <c r="CR257" i="24050"/>
  <c r="DX263" i="23917"/>
  <c r="R266" i="23917"/>
  <c r="DQ260" i="24050"/>
  <c r="EW266" i="23917"/>
  <c r="DY260" i="24050"/>
  <c r="FE266" i="23917"/>
  <c r="DP261" i="24050"/>
  <c r="EV267" i="23917"/>
  <c r="DU261" i="24050"/>
  <c r="FA267" i="23917"/>
  <c r="EA261" i="24050"/>
  <c r="FG267" i="23917"/>
  <c r="DS262" i="24050"/>
  <c r="EY268" i="23917"/>
  <c r="EA262" i="24050"/>
  <c r="FG268" i="23917"/>
  <c r="E262" i="24050"/>
  <c r="AK268" i="23917"/>
  <c r="I260" i="24050"/>
  <c r="AO266" i="23917"/>
  <c r="K261" i="24050"/>
  <c r="AQ267" i="23917"/>
  <c r="M262" i="24050"/>
  <c r="AS268" i="23917"/>
  <c r="Q260" i="24050"/>
  <c r="AW266" i="23917"/>
  <c r="S261" i="24050"/>
  <c r="AY267" i="23917"/>
  <c r="U262" i="24050"/>
  <c r="BA268" i="23917"/>
  <c r="AQ260" i="24050"/>
  <c r="BW266" i="23917"/>
  <c r="AS261" i="24050"/>
  <c r="BY267" i="23917"/>
  <c r="AU262" i="24050"/>
  <c r="CA268" i="23917"/>
  <c r="AY260" i="24050"/>
  <c r="CE266" i="23917"/>
  <c r="BA261" i="24050"/>
  <c r="CG267" i="23917"/>
  <c r="BC262" i="24050"/>
  <c r="CI268" i="23917"/>
  <c r="BG260" i="24050"/>
  <c r="CM266" i="23917"/>
  <c r="BI261" i="24050"/>
  <c r="CO267" i="23917"/>
  <c r="BK262" i="24050"/>
  <c r="CQ268" i="23917"/>
  <c r="BO260" i="24050"/>
  <c r="CU266" i="23917"/>
  <c r="BQ261" i="24050"/>
  <c r="CW267" i="23917"/>
  <c r="BS262" i="24050"/>
  <c r="CY268" i="23917"/>
  <c r="BW260" i="24050"/>
  <c r="DC266" i="23917"/>
  <c r="BY261" i="24050"/>
  <c r="DE267" i="23917"/>
  <c r="CA262" i="24050"/>
  <c r="DG268" i="23917"/>
  <c r="CE260" i="24050"/>
  <c r="DK266" i="23917"/>
  <c r="CG261" i="24050"/>
  <c r="DM267" i="23917"/>
  <c r="DF262" i="24050"/>
  <c r="EL268" i="23917"/>
  <c r="DJ260" i="24050"/>
  <c r="EP266" i="23917"/>
  <c r="F263" i="24050"/>
  <c r="AL269" i="23917"/>
  <c r="P263" i="24050"/>
  <c r="AV269" i="23917"/>
  <c r="V263" i="24050"/>
  <c r="BB269" i="23917"/>
  <c r="AD263" i="24050"/>
  <c r="BJ269" i="23917"/>
  <c r="AL263" i="24050"/>
  <c r="BR269" i="23917"/>
  <c r="AT263" i="24050"/>
  <c r="BZ269" i="23917"/>
  <c r="C18" i="24068"/>
  <c r="AZ263" i="24050"/>
  <c r="CF269" i="23917"/>
  <c r="F18" i="24068"/>
  <c r="BF263" i="24050"/>
  <c r="CL269" i="23917"/>
  <c r="K18" i="24068"/>
  <c r="BP263" i="24050"/>
  <c r="CV269" i="23917"/>
  <c r="BV263" i="24050"/>
  <c r="DB269" i="23917"/>
  <c r="CF263" i="24050"/>
  <c r="DL269" i="23917"/>
  <c r="CN263" i="24050"/>
  <c r="DT269" i="23917"/>
  <c r="DI263" i="24050"/>
  <c r="EO269" i="23917"/>
  <c r="DN263" i="24050"/>
  <c r="ET269" i="23917"/>
  <c r="EJ262" i="24050"/>
  <c r="FP268" i="23917"/>
  <c r="EL262" i="24050"/>
  <c r="FR268" i="23917"/>
  <c r="EN262" i="24050"/>
  <c r="FT268" i="23917"/>
  <c r="EP262" i="24050"/>
  <c r="FV268" i="23917"/>
  <c r="ER262" i="24050"/>
  <c r="FX268" i="23917"/>
  <c r="ET262" i="24050"/>
  <c r="FZ268" i="23917"/>
  <c r="CI262" i="24050"/>
  <c r="DO268" i="23917"/>
  <c r="CK262" i="24050"/>
  <c r="DQ268" i="23917"/>
  <c r="CM262" i="24050"/>
  <c r="DS268" i="23917"/>
  <c r="CO262" i="24050"/>
  <c r="DU268" i="23917"/>
  <c r="CQ262" i="24050"/>
  <c r="DW268" i="23917"/>
  <c r="CS262" i="24050"/>
  <c r="DY268" i="23917"/>
  <c r="CU261" i="24050"/>
  <c r="EA267" i="23917"/>
  <c r="CW261" i="24050"/>
  <c r="EC267" i="23917"/>
  <c r="CY261" i="24050"/>
  <c r="EE267" i="23917"/>
  <c r="DA260" i="24050"/>
  <c r="EG266" i="23917"/>
  <c r="CP277" i="24050"/>
  <c r="DV283" i="23917"/>
  <c r="CV277" i="24050"/>
  <c r="EB283" i="23917"/>
  <c r="DK275" i="24050"/>
  <c r="EQ281" i="23917"/>
  <c r="DQ275" i="24050"/>
  <c r="EW281" i="23917"/>
  <c r="Q25" i="24068"/>
  <c r="EA275" i="24050"/>
  <c r="FG281" i="23917"/>
  <c r="EA276" i="24050"/>
  <c r="FG282" i="23917"/>
  <c r="EG277" i="24050"/>
  <c r="FM283" i="23917"/>
  <c r="DE276" i="24050"/>
  <c r="EK282" i="23917"/>
  <c r="DM276" i="24050"/>
  <c r="ES282" i="23917"/>
  <c r="DU276" i="24050"/>
  <c r="FA282" i="23917"/>
  <c r="C277" i="24050"/>
  <c r="AI283" i="23917"/>
  <c r="G275" i="24050"/>
  <c r="AM281" i="23917"/>
  <c r="I276" i="24050"/>
  <c r="AO282" i="23917"/>
  <c r="K277" i="24050"/>
  <c r="AQ283" i="23917"/>
  <c r="O275" i="24050"/>
  <c r="AU281" i="23917"/>
  <c r="Q276" i="24050"/>
  <c r="AW282" i="23917"/>
  <c r="S277" i="24050"/>
  <c r="AY283" i="23917"/>
  <c r="W275" i="24050"/>
  <c r="BC281" i="23917"/>
  <c r="Y276" i="24050"/>
  <c r="BE282" i="23917"/>
  <c r="AA277" i="24050"/>
  <c r="BG283" i="23917"/>
  <c r="AE275" i="24050"/>
  <c r="BK281" i="23917"/>
  <c r="AG276" i="24050"/>
  <c r="BM282" i="23917"/>
  <c r="AI277" i="24050"/>
  <c r="BO283" i="23917"/>
  <c r="AM275" i="24050"/>
  <c r="BS281" i="23917"/>
  <c r="AO276" i="24050"/>
  <c r="BU282" i="23917"/>
  <c r="AQ277" i="24050"/>
  <c r="BW283" i="23917"/>
  <c r="AU275" i="24050"/>
  <c r="CA281" i="23917"/>
  <c r="AW276" i="24050"/>
  <c r="CC282" i="23917"/>
  <c r="AY277" i="24050"/>
  <c r="CE283" i="23917"/>
  <c r="BC275" i="24050"/>
  <c r="CI281" i="23917"/>
  <c r="BE276" i="24050"/>
  <c r="CK282" i="23917"/>
  <c r="BG277" i="24050"/>
  <c r="CM283" i="23917"/>
  <c r="BK275" i="24050"/>
  <c r="CQ281" i="23917"/>
  <c r="BM276" i="24050"/>
  <c r="CS282" i="23917"/>
  <c r="BO277" i="24050"/>
  <c r="CU283" i="23917"/>
  <c r="BS275" i="24050"/>
  <c r="CY281" i="23917"/>
  <c r="BU276" i="24050"/>
  <c r="DA282" i="23917"/>
  <c r="BW277" i="24050"/>
  <c r="DC283" i="23917"/>
  <c r="CA275" i="24050"/>
  <c r="DG281" i="23917"/>
  <c r="CC276" i="24050"/>
  <c r="DI282" i="23917"/>
  <c r="CE277" i="24050"/>
  <c r="DK283" i="23917"/>
  <c r="CI275" i="24050"/>
  <c r="DO281" i="23917"/>
  <c r="CK276" i="24050"/>
  <c r="DQ282" i="23917"/>
  <c r="CM277" i="24050"/>
  <c r="DS283" i="23917"/>
  <c r="DG277" i="24050"/>
  <c r="EM283" i="23917"/>
  <c r="DQ277" i="24050"/>
  <c r="EW283" i="23917"/>
  <c r="DW277" i="24050"/>
  <c r="FC283" i="23917"/>
  <c r="D293" i="23917"/>
  <c r="D284" i="23917"/>
  <c r="J284" i="23917"/>
  <c r="D278" i="24050"/>
  <c r="AJ284" i="23917"/>
  <c r="J278" i="24050"/>
  <c r="AP284" i="23917"/>
  <c r="T278" i="24050"/>
  <c r="AZ284" i="23917"/>
  <c r="Z278" i="24050"/>
  <c r="BF284" i="23917"/>
  <c r="AJ278" i="24050"/>
  <c r="BP284" i="23917"/>
  <c r="AP278" i="24050"/>
  <c r="BV284" i="23917"/>
  <c r="AZ278" i="24050"/>
  <c r="CF284" i="23917"/>
  <c r="BF278" i="24050"/>
  <c r="CL284" i="23917"/>
  <c r="BP278" i="24050"/>
  <c r="CV284" i="23917"/>
  <c r="BV278" i="24050"/>
  <c r="DB284" i="23917"/>
  <c r="CF278" i="24050"/>
  <c r="DL284" i="23917"/>
  <c r="CL278" i="24050"/>
  <c r="DR284" i="23917"/>
  <c r="EE276" i="24050"/>
  <c r="FK282" i="23917"/>
  <c r="CO283" i="24050"/>
  <c r="DU289" i="23917"/>
  <c r="CO284" i="24050"/>
  <c r="DU290" i="23917"/>
  <c r="DO281" i="24050"/>
  <c r="EU287" i="23917"/>
  <c r="DU281" i="24050"/>
  <c r="FA287" i="23917"/>
  <c r="EE281" i="24050"/>
  <c r="FK287" i="23917"/>
  <c r="DM282" i="24050"/>
  <c r="ES288" i="23917"/>
  <c r="DS282" i="24050"/>
  <c r="EY288" i="23917"/>
  <c r="EC282" i="24050"/>
  <c r="FI288" i="23917"/>
  <c r="DF283" i="24050"/>
  <c r="EL289" i="23917"/>
  <c r="DK283" i="24050"/>
  <c r="EQ289" i="23917"/>
  <c r="EA283" i="24050"/>
  <c r="FG289" i="23917"/>
  <c r="DM284" i="24050"/>
  <c r="ES290" i="23917"/>
  <c r="DS284" i="24050"/>
  <c r="EY290" i="23917"/>
  <c r="EC284" i="24050"/>
  <c r="FI290" i="23917"/>
  <c r="C281" i="24050"/>
  <c r="AI287" i="23917"/>
  <c r="DC281" i="24050"/>
  <c r="EI287" i="23917"/>
  <c r="AE291" i="23917"/>
  <c r="AD291" i="23917"/>
  <c r="C283" i="24050"/>
  <c r="AI289" i="23917"/>
  <c r="J285" i="24050"/>
  <c r="AP291" i="23917"/>
  <c r="R285" i="24050"/>
  <c r="AX291" i="23917"/>
  <c r="Z285" i="24050"/>
  <c r="BF291" i="23917"/>
  <c r="AH285" i="24050"/>
  <c r="BN291" i="23917"/>
  <c r="AP285" i="24050"/>
  <c r="BV291" i="23917"/>
  <c r="AX285" i="24050"/>
  <c r="CD291" i="23917"/>
  <c r="BF285" i="24050"/>
  <c r="CL291" i="23917"/>
  <c r="BN285" i="24050"/>
  <c r="CT291" i="23917"/>
  <c r="BV285" i="24050"/>
  <c r="DB291" i="23917"/>
  <c r="CD285" i="24050"/>
  <c r="DJ291" i="23917"/>
  <c r="CL285" i="24050"/>
  <c r="DR291" i="23917"/>
  <c r="G281" i="24050"/>
  <c r="AM287" i="23917"/>
  <c r="I282" i="24050"/>
  <c r="AO288" i="23917"/>
  <c r="M281" i="24050"/>
  <c r="AS287" i="23917"/>
  <c r="O284" i="24050"/>
  <c r="AU290" i="23917"/>
  <c r="S281" i="24050"/>
  <c r="AY287" i="23917"/>
  <c r="U282" i="24050"/>
  <c r="BA288" i="23917"/>
  <c r="W282" i="24050"/>
  <c r="BC288" i="23917"/>
  <c r="Y284" i="24050"/>
  <c r="BE290" i="23917"/>
  <c r="AC281" i="24050"/>
  <c r="BI287" i="23917"/>
  <c r="AE281" i="24050"/>
  <c r="BK287" i="23917"/>
  <c r="AG282" i="24050"/>
  <c r="BM288" i="23917"/>
  <c r="AI284" i="24050"/>
  <c r="BO290" i="23917"/>
  <c r="AK284" i="24050"/>
  <c r="BQ290" i="23917"/>
  <c r="AO281" i="24050"/>
  <c r="BU287" i="23917"/>
  <c r="AQ282" i="24050"/>
  <c r="BW288" i="23917"/>
  <c r="AS283" i="24050"/>
  <c r="BY289" i="23917"/>
  <c r="AU284" i="24050"/>
  <c r="CA290" i="23917"/>
  <c r="AY281" i="24050"/>
  <c r="CE287" i="23917"/>
  <c r="BA282" i="24050"/>
  <c r="CG288" i="23917"/>
  <c r="BC282" i="24050"/>
  <c r="CI288" i="23917"/>
  <c r="BE284" i="24050"/>
  <c r="CK290" i="23917"/>
  <c r="BI281" i="24050"/>
  <c r="CO287" i="23917"/>
  <c r="BK281" i="24050"/>
  <c r="CQ287" i="23917"/>
  <c r="BM282" i="24050"/>
  <c r="CS288" i="23917"/>
  <c r="BO284" i="24050"/>
  <c r="CU290" i="23917"/>
  <c r="BQ284" i="24050"/>
  <c r="CW290" i="23917"/>
  <c r="BU281" i="24050"/>
  <c r="DA287" i="23917"/>
  <c r="BW282" i="24050"/>
  <c r="DC288" i="23917"/>
  <c r="BY283" i="24050"/>
  <c r="DE289" i="23917"/>
  <c r="CA284" i="24050"/>
  <c r="DG290" i="23917"/>
  <c r="CE281" i="24050"/>
  <c r="DK287" i="23917"/>
  <c r="CG282" i="24050"/>
  <c r="DM288" i="23917"/>
  <c r="CI284" i="24050"/>
  <c r="DO290" i="23917"/>
  <c r="CM281" i="24050"/>
  <c r="DS287" i="23917"/>
  <c r="DD284" i="24050"/>
  <c r="EJ290" i="23917"/>
  <c r="M291" i="23917"/>
  <c r="L291" i="23917"/>
  <c r="E302" i="23917"/>
  <c r="D302" i="23917"/>
  <c r="U302" i="23917"/>
  <c r="T302" i="23917"/>
  <c r="D296" i="24050"/>
  <c r="AJ302" i="23917"/>
  <c r="J296" i="24050"/>
  <c r="AP302" i="23917"/>
  <c r="T296" i="24050"/>
  <c r="AZ302" i="23917"/>
  <c r="Z296" i="24050"/>
  <c r="BF302" i="23917"/>
  <c r="AJ296" i="24050"/>
  <c r="BP302" i="23917"/>
  <c r="AP296" i="24050"/>
  <c r="BV302" i="23917"/>
  <c r="AZ296" i="24050"/>
  <c r="CF302" i="23917"/>
  <c r="BF296" i="24050"/>
  <c r="CL302" i="23917"/>
  <c r="BP296" i="24050"/>
  <c r="CV302" i="23917"/>
  <c r="BV296" i="24050"/>
  <c r="DB302" i="23917"/>
  <c r="CF296" i="24050"/>
  <c r="DL302" i="23917"/>
  <c r="CL296" i="24050"/>
  <c r="DR302" i="23917"/>
  <c r="C303" i="23917"/>
  <c r="B303" i="23917"/>
  <c r="S303" i="23917"/>
  <c r="R303" i="23917"/>
  <c r="B297" i="24050"/>
  <c r="AH303" i="23917"/>
  <c r="H297" i="24050"/>
  <c r="AN303" i="23917"/>
  <c r="R297" i="24050"/>
  <c r="AX303" i="23917"/>
  <c r="X297" i="24050"/>
  <c r="BD303" i="23917"/>
  <c r="AH297" i="24050"/>
  <c r="BN303" i="23917"/>
  <c r="AN297" i="24050"/>
  <c r="BT303" i="23917"/>
  <c r="AX297" i="24050"/>
  <c r="CD303" i="23917"/>
  <c r="BD297" i="24050"/>
  <c r="CJ303" i="23917"/>
  <c r="BN297" i="24050"/>
  <c r="CT303" i="23917"/>
  <c r="BT297" i="24050"/>
  <c r="CZ303" i="23917"/>
  <c r="CD297" i="24050"/>
  <c r="DJ303" i="23917"/>
  <c r="CJ297" i="24050"/>
  <c r="DP303" i="23917"/>
  <c r="E301" i="24050"/>
  <c r="AK307" i="23917"/>
  <c r="M301" i="24050"/>
  <c r="AS307" i="23917"/>
  <c r="W310" i="24050"/>
  <c r="BC316" i="23917"/>
  <c r="DI310" i="24050"/>
  <c r="EO316" i="23917"/>
  <c r="DE311" i="24050"/>
  <c r="EK317" i="23917"/>
  <c r="DM311" i="24050"/>
  <c r="ES317" i="23917"/>
  <c r="DI312" i="24050"/>
  <c r="EO318" i="23917"/>
  <c r="P32" i="24068"/>
  <c r="DY310" i="24050"/>
  <c r="FE316" i="23917"/>
  <c r="T32" i="24068"/>
  <c r="T33" i="24068" s="1"/>
  <c r="EG310" i="24050"/>
  <c r="FM316" i="23917"/>
  <c r="EC311" i="24050"/>
  <c r="FI317" i="23917"/>
  <c r="EC312" i="24050"/>
  <c r="FI318" i="23917"/>
  <c r="O311" i="24050"/>
  <c r="AU317" i="23917"/>
  <c r="U311" i="24050"/>
  <c r="BA317" i="23917"/>
  <c r="E310" i="24050"/>
  <c r="AK316" i="23917"/>
  <c r="G311" i="24050"/>
  <c r="AM317" i="23917"/>
  <c r="K310" i="24050"/>
  <c r="AQ316" i="23917"/>
  <c r="M311" i="24050"/>
  <c r="AS317" i="23917"/>
  <c r="S310" i="24050"/>
  <c r="AY316" i="23917"/>
  <c r="AA312" i="24050"/>
  <c r="BG318" i="23917"/>
  <c r="AE310" i="24050"/>
  <c r="BK316" i="23917"/>
  <c r="AG312" i="24050"/>
  <c r="BM318" i="23917"/>
  <c r="AK310" i="24050"/>
  <c r="BQ316" i="23917"/>
  <c r="AM311" i="24050"/>
  <c r="BS317" i="23917"/>
  <c r="AO312" i="24050"/>
  <c r="BU318" i="23917"/>
  <c r="AS310" i="24050"/>
  <c r="BY316" i="23917"/>
  <c r="AU311" i="24050"/>
  <c r="CA317" i="23917"/>
  <c r="AW312" i="24050"/>
  <c r="CC318" i="23917"/>
  <c r="BA310" i="24050"/>
  <c r="CG316" i="23917"/>
  <c r="BC311" i="24050"/>
  <c r="CI317" i="23917"/>
  <c r="BE312" i="24050"/>
  <c r="CK318" i="23917"/>
  <c r="BI310" i="24050"/>
  <c r="CO316" i="23917"/>
  <c r="BK311" i="24050"/>
  <c r="CQ317" i="23917"/>
  <c r="BM312" i="24050"/>
  <c r="CS318" i="23917"/>
  <c r="BQ310" i="24050"/>
  <c r="CW316" i="23917"/>
  <c r="BS311" i="24050"/>
  <c r="CY317" i="23917"/>
  <c r="BU312" i="24050"/>
  <c r="DA318" i="23917"/>
  <c r="BY310" i="24050"/>
  <c r="DE316" i="23917"/>
  <c r="CA311" i="24050"/>
  <c r="DG317" i="23917"/>
  <c r="CC312" i="24050"/>
  <c r="DI318" i="23917"/>
  <c r="CG310" i="24050"/>
  <c r="DM316" i="23917"/>
  <c r="CI311" i="24050"/>
  <c r="DO317" i="23917"/>
  <c r="CK312" i="24050"/>
  <c r="DQ318" i="23917"/>
  <c r="CO310" i="24050"/>
  <c r="DU316" i="23917"/>
  <c r="DV312" i="24050"/>
  <c r="FB318" i="23917"/>
  <c r="CP311" i="24050"/>
  <c r="DV317" i="23917"/>
  <c r="DU310" i="24050"/>
  <c r="FA316" i="23917"/>
  <c r="DW310" i="24050"/>
  <c r="FC316" i="23917"/>
  <c r="DY312" i="24050"/>
  <c r="FE318" i="23917"/>
  <c r="B313" i="24050"/>
  <c r="AH319" i="23917"/>
  <c r="J313" i="24050"/>
  <c r="AP319" i="23917"/>
  <c r="X313" i="24050"/>
  <c r="BD319" i="23917"/>
  <c r="AF313" i="24050"/>
  <c r="BL319" i="23917"/>
  <c r="AN313" i="24050"/>
  <c r="BT319" i="23917"/>
  <c r="AV313" i="24050"/>
  <c r="CB319" i="23917"/>
  <c r="BD313" i="24050"/>
  <c r="CJ319" i="23917"/>
  <c r="BL313" i="24050"/>
  <c r="CR319" i="23917"/>
  <c r="BT313" i="24050"/>
  <c r="CZ319" i="23917"/>
  <c r="CB313" i="24050"/>
  <c r="DH319" i="23917"/>
  <c r="CL313" i="24050"/>
  <c r="DR319" i="23917"/>
  <c r="DK316" i="24050"/>
  <c r="EQ322" i="23917"/>
  <c r="DE316" i="24050"/>
  <c r="EK322" i="23917"/>
  <c r="DI316" i="24050"/>
  <c r="EO322" i="23917"/>
  <c r="EA316" i="24050"/>
  <c r="FG322" i="23917"/>
  <c r="EA317" i="24050"/>
  <c r="FG323" i="23917"/>
  <c r="ET318" i="24050"/>
  <c r="FZ324" i="23917"/>
  <c r="DW318" i="24050"/>
  <c r="FC324" i="23917"/>
  <c r="DG318" i="24050"/>
  <c r="EM324" i="23917"/>
  <c r="DO318" i="24050"/>
  <c r="EU324" i="23917"/>
  <c r="EA318" i="24050"/>
  <c r="FG324" i="23917"/>
  <c r="EI318" i="24050"/>
  <c r="FO324" i="23917"/>
  <c r="O318" i="24050"/>
  <c r="AU324" i="23917"/>
  <c r="Q318" i="24050"/>
  <c r="AW324" i="23917"/>
  <c r="S318" i="24050"/>
  <c r="AY324" i="23917"/>
  <c r="U319" i="24050"/>
  <c r="BA325" i="23917"/>
  <c r="W319" i="24050"/>
  <c r="BC325" i="23917"/>
  <c r="Y319" i="24050"/>
  <c r="BE325" i="23917"/>
  <c r="AA319" i="24050"/>
  <c r="BG325" i="23917"/>
  <c r="AC319" i="24050"/>
  <c r="BI325" i="23917"/>
  <c r="AE319" i="24050"/>
  <c r="BK325" i="23917"/>
  <c r="AG319" i="24050"/>
  <c r="BM325" i="23917"/>
  <c r="AI319" i="24050"/>
  <c r="BO325" i="23917"/>
  <c r="AM316" i="24050"/>
  <c r="BS322" i="23917"/>
  <c r="AO316" i="24050"/>
  <c r="BU322" i="23917"/>
  <c r="AQ317" i="24050"/>
  <c r="BW323" i="23917"/>
  <c r="AS317" i="24050"/>
  <c r="BY323" i="23917"/>
  <c r="AU318" i="24050"/>
  <c r="CA324" i="23917"/>
  <c r="AW319" i="24050"/>
  <c r="CC325" i="23917"/>
  <c r="AY319" i="24050"/>
  <c r="CE325" i="23917"/>
  <c r="BC316" i="24050"/>
  <c r="CI322" i="23917"/>
  <c r="BE316" i="24050"/>
  <c r="CK322" i="23917"/>
  <c r="BG317" i="24050"/>
  <c r="CM323" i="23917"/>
  <c r="BI317" i="24050"/>
  <c r="CO323" i="23917"/>
  <c r="BK317" i="24050"/>
  <c r="CQ323" i="23917"/>
  <c r="BM317" i="24050"/>
  <c r="CS323" i="23917"/>
  <c r="BO317" i="24050"/>
  <c r="CU323" i="23917"/>
  <c r="BQ317" i="24050"/>
  <c r="CW323" i="23917"/>
  <c r="BS317" i="24050"/>
  <c r="CY323" i="23917"/>
  <c r="BU317" i="24050"/>
  <c r="DA323" i="23917"/>
  <c r="BW317" i="24050"/>
  <c r="DC323" i="23917"/>
  <c r="BY317" i="24050"/>
  <c r="DE323" i="23917"/>
  <c r="CA317" i="24050"/>
  <c r="DG323" i="23917"/>
  <c r="CC317" i="24050"/>
  <c r="DI323" i="23917"/>
  <c r="CE317" i="24050"/>
  <c r="DK323" i="23917"/>
  <c r="CG317" i="24050"/>
  <c r="DM323" i="23917"/>
  <c r="CI317" i="24050"/>
  <c r="DO323" i="23917"/>
  <c r="CK317" i="24050"/>
  <c r="DQ323" i="23917"/>
  <c r="CM317" i="24050"/>
  <c r="DS323" i="23917"/>
  <c r="CO317" i="24050"/>
  <c r="DU323" i="23917"/>
  <c r="CQ319" i="24050"/>
  <c r="DW325" i="23917"/>
  <c r="CU319" i="24050"/>
  <c r="EA325" i="23917"/>
  <c r="CY319" i="24050"/>
  <c r="EE325" i="23917"/>
  <c r="DG319" i="24050"/>
  <c r="EM325" i="23917"/>
  <c r="DO319" i="24050"/>
  <c r="EU325" i="23917"/>
  <c r="DW319" i="24050"/>
  <c r="FC325" i="23917"/>
  <c r="EE319" i="24050"/>
  <c r="FK325" i="23917"/>
  <c r="ER319" i="24050"/>
  <c r="FX325" i="23917"/>
  <c r="C320" i="24050"/>
  <c r="AI326" i="23917"/>
  <c r="E319" i="24050"/>
  <c r="AK325" i="23917"/>
  <c r="G319" i="24050"/>
  <c r="AM325" i="23917"/>
  <c r="I319" i="24050"/>
  <c r="AO325" i="23917"/>
  <c r="K319" i="24050"/>
  <c r="AQ325" i="23917"/>
  <c r="M319" i="24050"/>
  <c r="AS325" i="23917"/>
  <c r="EG320" i="24050"/>
  <c r="FM326" i="23917"/>
  <c r="DI320" i="24050"/>
  <c r="EO326" i="23917"/>
  <c r="DU320" i="24050"/>
  <c r="FA326" i="23917"/>
  <c r="G327" i="23917"/>
  <c r="F327" i="23917"/>
  <c r="O327" i="23917"/>
  <c r="N327" i="23917"/>
  <c r="W327" i="23917"/>
  <c r="V327" i="23917"/>
  <c r="AG327" i="23917"/>
  <c r="AF327" i="23917"/>
  <c r="J321" i="24050"/>
  <c r="AP327" i="23917"/>
  <c r="X321" i="24050"/>
  <c r="BD327" i="23917"/>
  <c r="AV321" i="24050"/>
  <c r="CB327" i="23917"/>
  <c r="BL321" i="24050"/>
  <c r="CR327" i="23917"/>
  <c r="CB321" i="24050"/>
  <c r="DH327" i="23917"/>
  <c r="G338" i="23917"/>
  <c r="F338" i="23917"/>
  <c r="O338" i="23917"/>
  <c r="N338" i="23917"/>
  <c r="W338" i="23917"/>
  <c r="V338" i="23917"/>
  <c r="AE338" i="23917"/>
  <c r="AD338" i="23917"/>
  <c r="H332" i="24050"/>
  <c r="AN338" i="23917"/>
  <c r="R332" i="24050"/>
  <c r="AX338" i="23917"/>
  <c r="Z332" i="24050"/>
  <c r="BF338" i="23917"/>
  <c r="AH332" i="24050"/>
  <c r="BN338" i="23917"/>
  <c r="AP332" i="24050"/>
  <c r="BV338" i="23917"/>
  <c r="AX332" i="24050"/>
  <c r="CD338" i="23917"/>
  <c r="BF332" i="24050"/>
  <c r="CL338" i="23917"/>
  <c r="BN332" i="24050"/>
  <c r="CT338" i="23917"/>
  <c r="BV332" i="24050"/>
  <c r="DB338" i="23917"/>
  <c r="CD332" i="24050"/>
  <c r="DJ338" i="23917"/>
  <c r="CL332" i="24050"/>
  <c r="DR338" i="23917"/>
  <c r="DS332" i="24050"/>
  <c r="EY338" i="23917"/>
  <c r="AR333" i="24050"/>
  <c r="BX339" i="23917"/>
  <c r="AV333" i="24050"/>
  <c r="CB339" i="23917"/>
  <c r="AZ333" i="24050"/>
  <c r="CF339" i="23917"/>
  <c r="BD333" i="24050"/>
  <c r="CJ339" i="23917"/>
  <c r="BH333" i="24050"/>
  <c r="CN339" i="23917"/>
  <c r="BL333" i="24050"/>
  <c r="CR339" i="23917"/>
  <c r="BP333" i="24050"/>
  <c r="CV339" i="23917"/>
  <c r="BT333" i="24050"/>
  <c r="CZ339" i="23917"/>
  <c r="BX333" i="24050"/>
  <c r="DD339" i="23917"/>
  <c r="CB333" i="24050"/>
  <c r="DH339" i="23917"/>
  <c r="CF333" i="24050"/>
  <c r="DL339" i="23917"/>
  <c r="CJ333" i="24050"/>
  <c r="DP339" i="23917"/>
  <c r="CN333" i="24050"/>
  <c r="DT339" i="23917"/>
  <c r="C386" i="23917"/>
  <c r="B386" i="23917"/>
  <c r="K386" i="23917"/>
  <c r="J386" i="23917"/>
  <c r="S386" i="23917"/>
  <c r="R386" i="23917"/>
  <c r="AA386" i="23917"/>
  <c r="Z386" i="23917"/>
  <c r="ES386" i="23917"/>
  <c r="AH386" i="23917"/>
  <c r="B380" i="24050" s="1"/>
  <c r="AQ386" i="23917"/>
  <c r="K380" i="24050" s="1"/>
  <c r="AP386" i="23917"/>
  <c r="J380" i="24050" s="1"/>
  <c r="DZ387" i="23917"/>
  <c r="DX387" i="23917"/>
  <c r="EW387" i="23917"/>
  <c r="FD386" i="23917"/>
  <c r="FH386" i="23917"/>
  <c r="FL386" i="23917"/>
  <c r="EC381" i="24050"/>
  <c r="CO381" i="24050"/>
  <c r="EG381" i="24050"/>
  <c r="CS381" i="24050"/>
  <c r="AV390" i="23917"/>
  <c r="P384" i="24050" s="1"/>
  <c r="AV386" i="23917"/>
  <c r="P380" i="24050" s="1"/>
  <c r="AZ390" i="23917"/>
  <c r="T384" i="24050" s="1"/>
  <c r="AZ386" i="23917"/>
  <c r="T380" i="24050" s="1"/>
  <c r="DW381" i="24050"/>
  <c r="CI381" i="24050"/>
  <c r="E388" i="23917"/>
  <c r="I388" i="23917"/>
  <c r="M388" i="23917"/>
  <c r="Q388" i="23917"/>
  <c r="U388" i="23917"/>
  <c r="Y388" i="23917"/>
  <c r="AC388" i="23917"/>
  <c r="AG388" i="23917"/>
  <c r="AK388" i="23917"/>
  <c r="E382" i="24050" s="1"/>
  <c r="AO388" i="23917"/>
  <c r="I382" i="24050" s="1"/>
  <c r="AW387" i="23917"/>
  <c r="Q381" i="24050" s="1"/>
  <c r="ED388" i="23917"/>
  <c r="DV388" i="23917"/>
  <c r="EC388" i="23917"/>
  <c r="FD388" i="23917"/>
  <c r="FC388" i="23917"/>
  <c r="FL388" i="23917"/>
  <c r="FK388" i="23917"/>
  <c r="FF389" i="23917"/>
  <c r="FE389" i="23917"/>
  <c r="FN389" i="23917"/>
  <c r="FM389" i="23917"/>
  <c r="E389" i="23917"/>
  <c r="I389" i="23917"/>
  <c r="M389" i="23917"/>
  <c r="Q389" i="23917"/>
  <c r="U389" i="23917"/>
  <c r="Y389" i="23917"/>
  <c r="AC389" i="23917"/>
  <c r="AG389" i="23917"/>
  <c r="AK389" i="23917"/>
  <c r="E383" i="24050" s="1"/>
  <c r="AO389" i="23917"/>
  <c r="I383" i="24050" s="1"/>
  <c r="AS389" i="23917"/>
  <c r="M383" i="24050" s="1"/>
  <c r="AW389" i="23917"/>
  <c r="Q383" i="24050" s="1"/>
  <c r="BA389" i="23917"/>
  <c r="U383" i="24050" s="1"/>
  <c r="C388" i="23917"/>
  <c r="BG390" i="23917"/>
  <c r="AA384" i="24050" s="1"/>
  <c r="BK390" i="23917"/>
  <c r="AE384" i="24050" s="1"/>
  <c r="BO390" i="23917"/>
  <c r="AI384" i="24050" s="1"/>
  <c r="BS390" i="23917"/>
  <c r="AM384" i="24050" s="1"/>
  <c r="BW390" i="23917"/>
  <c r="AQ384" i="24050" s="1"/>
  <c r="CA390" i="23917"/>
  <c r="AU384" i="24050" s="1"/>
  <c r="CE390" i="23917"/>
  <c r="AY384" i="24050" s="1"/>
  <c r="CI390" i="23917"/>
  <c r="BC384" i="24050" s="1"/>
  <c r="CM390" i="23917"/>
  <c r="BG384" i="24050" s="1"/>
  <c r="CQ390" i="23917"/>
  <c r="BK384" i="24050" s="1"/>
  <c r="CU390" i="23917"/>
  <c r="CY390" i="23917"/>
  <c r="DC390" i="23917"/>
  <c r="DG390" i="23917"/>
  <c r="DK390" i="23917"/>
  <c r="DO390" i="23917"/>
  <c r="E403" i="23917"/>
  <c r="B393" i="23917"/>
  <c r="J393" i="23917"/>
  <c r="R393" i="23917"/>
  <c r="Z393" i="23917"/>
  <c r="AH393" i="23917"/>
  <c r="B387" i="24050" s="1"/>
  <c r="EU393" i="23917"/>
  <c r="AP393" i="23917"/>
  <c r="J387" i="24050" s="1"/>
  <c r="AX393" i="23917"/>
  <c r="R387" i="24050" s="1"/>
  <c r="E394" i="23917"/>
  <c r="D394" i="23917"/>
  <c r="M394" i="23917"/>
  <c r="L394" i="23917"/>
  <c r="U394" i="23917"/>
  <c r="T394" i="23917"/>
  <c r="AC394" i="23917"/>
  <c r="AB394" i="23917"/>
  <c r="AK394" i="23917"/>
  <c r="E388" i="24050" s="1"/>
  <c r="AJ394" i="23917"/>
  <c r="D388" i="24050" s="1"/>
  <c r="AS394" i="23917"/>
  <c r="M388" i="24050" s="1"/>
  <c r="AR394" i="23917"/>
  <c r="L388" i="24050" s="1"/>
  <c r="BA394" i="23917"/>
  <c r="U388" i="24050" s="1"/>
  <c r="AZ394" i="23917"/>
  <c r="T388" i="24050" s="1"/>
  <c r="DW393" i="23917"/>
  <c r="DV395" i="23917"/>
  <c r="FQ395" i="23917"/>
  <c r="DZ395" i="23917"/>
  <c r="EB396" i="23917"/>
  <c r="DX397" i="23917"/>
  <c r="DV397" i="23917"/>
  <c r="H395" i="23917"/>
  <c r="EM395" i="23917"/>
  <c r="P395" i="23917"/>
  <c r="EO395" i="23917"/>
  <c r="X395" i="23917"/>
  <c r="EQ395" i="23917"/>
  <c r="AF395" i="23917"/>
  <c r="BD403" i="23917"/>
  <c r="X397" i="24050" s="1"/>
  <c r="BD395" i="23917"/>
  <c r="X389" i="24050" s="1"/>
  <c r="I396" i="23917"/>
  <c r="H396" i="23917"/>
  <c r="EM396" i="23917"/>
  <c r="P396" i="23917"/>
  <c r="X396" i="23917"/>
  <c r="AF396" i="23917"/>
  <c r="AN396" i="23917"/>
  <c r="H390" i="24050" s="1"/>
  <c r="AV396" i="23917"/>
  <c r="P390" i="24050" s="1"/>
  <c r="BD396" i="23917"/>
  <c r="X390" i="24050" s="1"/>
  <c r="BH395" i="23917"/>
  <c r="AB389" i="24050" s="1"/>
  <c r="BL395" i="23917"/>
  <c r="AF389" i="24050" s="1"/>
  <c r="BP403" i="23917"/>
  <c r="AJ397" i="24050" s="1"/>
  <c r="BP395" i="23917"/>
  <c r="AJ389" i="24050" s="1"/>
  <c r="BT403" i="23917"/>
  <c r="AN397" i="24050" s="1"/>
  <c r="BT395" i="23917"/>
  <c r="AN389" i="24050" s="1"/>
  <c r="BX395" i="23917"/>
  <c r="AR389" i="24050" s="1"/>
  <c r="CB403" i="23917"/>
  <c r="AV397" i="24050" s="1"/>
  <c r="CB395" i="23917"/>
  <c r="AV389" i="24050" s="1"/>
  <c r="CF395" i="23917"/>
  <c r="AZ389" i="24050" s="1"/>
  <c r="FM393" i="23917"/>
  <c r="DP393" i="23917"/>
  <c r="AP397" i="23917"/>
  <c r="J391" i="24050" s="1"/>
  <c r="H398" i="23917"/>
  <c r="X398" i="23917"/>
  <c r="AP399" i="23917"/>
  <c r="J393" i="24050" s="1"/>
  <c r="H400" i="23917"/>
  <c r="X400" i="23917"/>
  <c r="AP401" i="23917"/>
  <c r="J395" i="24050" s="1"/>
  <c r="H402" i="23917"/>
  <c r="X402" i="23917"/>
  <c r="EU398" i="23917"/>
  <c r="EW399" i="23917"/>
  <c r="EM402" i="23917"/>
  <c r="DU388" i="24050"/>
  <c r="CG388" i="24050"/>
  <c r="DW391" i="24050"/>
  <c r="CI391" i="24050"/>
  <c r="FF397" i="23917"/>
  <c r="FE397" i="23917"/>
  <c r="FJ396" i="23917"/>
  <c r="FG396" i="23917"/>
  <c r="EC390" i="24050"/>
  <c r="CO390" i="24050"/>
  <c r="CQ389" i="24050"/>
  <c r="EE389" i="24050"/>
  <c r="FN397" i="23917"/>
  <c r="FM397" i="23917"/>
  <c r="DV394" i="24050"/>
  <c r="CH394" i="24050"/>
  <c r="CJ394" i="24050"/>
  <c r="DX394" i="24050"/>
  <c r="DZ394" i="24050"/>
  <c r="CL394" i="24050"/>
  <c r="EB394" i="24050"/>
  <c r="CN394" i="24050"/>
  <c r="ED394" i="24050"/>
  <c r="CP394" i="24050"/>
  <c r="EF394" i="24050"/>
  <c r="CR394" i="24050"/>
  <c r="EH394" i="24050"/>
  <c r="CT394" i="24050"/>
  <c r="EJ394" i="24050"/>
  <c r="CV394" i="24050"/>
  <c r="EL394" i="24050"/>
  <c r="CX394" i="24050"/>
  <c r="FF402" i="23917"/>
  <c r="FE402" i="23917"/>
  <c r="FN402" i="23917"/>
  <c r="FM402" i="23917"/>
  <c r="CM403" i="23917"/>
  <c r="BG397" i="24050" s="1"/>
  <c r="DU403" i="23917"/>
  <c r="DE346" i="24050"/>
  <c r="EK352" i="23917"/>
  <c r="DI346" i="24050"/>
  <c r="EO352" i="23917"/>
  <c r="DM346" i="24050"/>
  <c r="ES352" i="23917"/>
  <c r="DQ346" i="24050"/>
  <c r="EW352" i="23917"/>
  <c r="DE347" i="24050"/>
  <c r="EK353" i="23917"/>
  <c r="DI347" i="24050"/>
  <c r="EO353" i="23917"/>
  <c r="DM347" i="24050"/>
  <c r="ES353" i="23917"/>
  <c r="DQ347" i="24050"/>
  <c r="EW353" i="23917"/>
  <c r="DE348" i="24050"/>
  <c r="EK354" i="23917"/>
  <c r="DI348" i="24050"/>
  <c r="EO354" i="23917"/>
  <c r="DM348" i="24050"/>
  <c r="ES354" i="23917"/>
  <c r="DQ348" i="24050"/>
  <c r="EW354" i="23917"/>
  <c r="E346" i="24050"/>
  <c r="AK352" i="23917"/>
  <c r="G347" i="24050"/>
  <c r="AM353" i="23917"/>
  <c r="I348" i="24050"/>
  <c r="AO354" i="23917"/>
  <c r="M346" i="24050"/>
  <c r="AS352" i="23917"/>
  <c r="O347" i="24050"/>
  <c r="AU353" i="23917"/>
  <c r="Q348" i="24050"/>
  <c r="AW354" i="23917"/>
  <c r="U346" i="24050"/>
  <c r="BA352" i="23917"/>
  <c r="D364" i="23917"/>
  <c r="D355" i="23917"/>
  <c r="L364" i="23917"/>
  <c r="L355" i="23917"/>
  <c r="T364" i="23917"/>
  <c r="T355" i="23917"/>
  <c r="AB364" i="23917"/>
  <c r="AB355" i="23917"/>
  <c r="D349" i="24050"/>
  <c r="AJ355" i="23917"/>
  <c r="L349" i="24050"/>
  <c r="AR355" i="23917"/>
  <c r="T349" i="24050"/>
  <c r="AZ355" i="23917"/>
  <c r="DI352" i="24050"/>
  <c r="EO358" i="23917"/>
  <c r="DQ352" i="24050"/>
  <c r="EW358" i="23917"/>
  <c r="DI353" i="24050"/>
  <c r="EO359" i="23917"/>
  <c r="DM353" i="24050"/>
  <c r="ES359" i="23917"/>
  <c r="DQ353" i="24050"/>
  <c r="EW359" i="23917"/>
  <c r="DI354" i="24050"/>
  <c r="EO360" i="23917"/>
  <c r="DQ354" i="24050"/>
  <c r="EW360" i="23917"/>
  <c r="DE353" i="24050"/>
  <c r="EK359" i="23917"/>
  <c r="DD353" i="24050"/>
  <c r="EJ359" i="23917"/>
  <c r="C352" i="24050"/>
  <c r="AI358" i="23917"/>
  <c r="E352" i="24050"/>
  <c r="AK358" i="23917"/>
  <c r="G352" i="24050"/>
  <c r="AM358" i="23917"/>
  <c r="I352" i="24050"/>
  <c r="AO358" i="23917"/>
  <c r="K352" i="24050"/>
  <c r="AQ358" i="23917"/>
  <c r="M352" i="24050"/>
  <c r="AS358" i="23917"/>
  <c r="O352" i="24050"/>
  <c r="AU358" i="23917"/>
  <c r="Q352" i="24050"/>
  <c r="AW358" i="23917"/>
  <c r="S352" i="24050"/>
  <c r="AY358" i="23917"/>
  <c r="U352" i="24050"/>
  <c r="BA358" i="23917"/>
  <c r="C362" i="23917"/>
  <c r="B362" i="23917"/>
  <c r="K362" i="23917"/>
  <c r="J362" i="23917"/>
  <c r="S362" i="23917"/>
  <c r="R362" i="23917"/>
  <c r="AC362" i="23917"/>
  <c r="AB362" i="23917"/>
  <c r="F356" i="24050"/>
  <c r="AL362" i="23917"/>
  <c r="N356" i="24050"/>
  <c r="AT362" i="23917"/>
  <c r="V356" i="24050"/>
  <c r="BB362" i="23917"/>
  <c r="B366" i="24050"/>
  <c r="AH372" i="23917"/>
  <c r="F366" i="24050"/>
  <c r="AL372" i="23917"/>
  <c r="J366" i="24050"/>
  <c r="AP372" i="23917"/>
  <c r="N366" i="24050"/>
  <c r="AT372" i="23917"/>
  <c r="I373" i="23917"/>
  <c r="H373" i="23917"/>
  <c r="Q373" i="23917"/>
  <c r="P373" i="23917"/>
  <c r="Y373" i="23917"/>
  <c r="X373" i="23917"/>
  <c r="AG373" i="23917"/>
  <c r="AF373" i="23917"/>
  <c r="H367" i="24050"/>
  <c r="AN373" i="23917"/>
  <c r="P367" i="24050"/>
  <c r="AV373" i="23917"/>
  <c r="B368" i="24050"/>
  <c r="AH374" i="23917"/>
  <c r="F368" i="24050"/>
  <c r="AL374" i="23917"/>
  <c r="J368" i="24050"/>
  <c r="AP374" i="23917"/>
  <c r="N368" i="24050"/>
  <c r="AT374" i="23917"/>
  <c r="C11" i="23917"/>
  <c r="C71" i="23917"/>
  <c r="G69" i="23917"/>
  <c r="G73" i="23917"/>
  <c r="I72" i="23917"/>
  <c r="DI19" i="24050"/>
  <c r="I19" i="23917"/>
  <c r="DG31" i="24050"/>
  <c r="CT30" i="24050"/>
  <c r="EE30" i="24050"/>
  <c r="B30" i="24050"/>
  <c r="R30" i="24050"/>
  <c r="V30" i="24050"/>
  <c r="Z30" i="24050"/>
  <c r="AD30" i="24050"/>
  <c r="Q48" i="24068"/>
  <c r="DI58" i="24050"/>
  <c r="DO59" i="24050"/>
  <c r="DO24" i="24050"/>
  <c r="DW59" i="24050"/>
  <c r="DW24" i="24050"/>
  <c r="EE59" i="24050"/>
  <c r="EE24" i="24050"/>
  <c r="I59" i="24050"/>
  <c r="I24" i="24050"/>
  <c r="Q59" i="24050"/>
  <c r="Q24" i="24050"/>
  <c r="Y59" i="24050"/>
  <c r="Y24" i="24050"/>
  <c r="AG59" i="24050"/>
  <c r="AG24" i="24050"/>
  <c r="AO59" i="24050"/>
  <c r="AO24" i="24050"/>
  <c r="AW59" i="24050"/>
  <c r="AW24" i="24050"/>
  <c r="BE59" i="24050"/>
  <c r="BE24" i="24050"/>
  <c r="BM59" i="24050"/>
  <c r="BM24" i="24050"/>
  <c r="BU59" i="24050"/>
  <c r="BU24" i="24050"/>
  <c r="CC59" i="24050"/>
  <c r="CC24" i="24050"/>
  <c r="CK59" i="24050"/>
  <c r="CK24" i="24050"/>
  <c r="DG87" i="24050"/>
  <c r="EM93" i="23917"/>
  <c r="DO87" i="24050"/>
  <c r="EU93" i="23917"/>
  <c r="DW87" i="24050"/>
  <c r="FC93" i="23917"/>
  <c r="EE87" i="24050"/>
  <c r="FK93" i="23917"/>
  <c r="CN75" i="24050"/>
  <c r="F93" i="24050"/>
  <c r="AL99" i="23917"/>
  <c r="P93" i="24050"/>
  <c r="AV99" i="23917"/>
  <c r="V93" i="24050"/>
  <c r="BB99" i="23917"/>
  <c r="AF93" i="24050"/>
  <c r="BL99" i="23917"/>
  <c r="AL93" i="24050"/>
  <c r="BR99" i="23917"/>
  <c r="AV93" i="24050"/>
  <c r="CB99" i="23917"/>
  <c r="BB93" i="24050"/>
  <c r="CH99" i="23917"/>
  <c r="BL93" i="24050"/>
  <c r="CR99" i="23917"/>
  <c r="CB93" i="24050"/>
  <c r="DH99" i="23917"/>
  <c r="CH93" i="24050"/>
  <c r="DN99" i="23917"/>
  <c r="DM88" i="24050"/>
  <c r="DM76" i="24050"/>
  <c r="ES94" i="23917"/>
  <c r="DQ88" i="24050"/>
  <c r="DQ76" i="24050"/>
  <c r="EW94" i="23917"/>
  <c r="DU88" i="24050"/>
  <c r="DU76" i="24050"/>
  <c r="FA94" i="23917"/>
  <c r="DY88" i="24050"/>
  <c r="DY76" i="24050"/>
  <c r="FE94" i="23917"/>
  <c r="EC88" i="24050"/>
  <c r="EC76" i="24050"/>
  <c r="FI94" i="23917"/>
  <c r="EG88" i="24050"/>
  <c r="EG76" i="24050"/>
  <c r="FM94" i="23917"/>
  <c r="DG76" i="24050"/>
  <c r="DG88" i="24050"/>
  <c r="EM94" i="23917"/>
  <c r="DC89" i="24050"/>
  <c r="EI95" i="23917"/>
  <c r="DI89" i="24050"/>
  <c r="EO95" i="23917"/>
  <c r="DS89" i="24050"/>
  <c r="EY95" i="23917"/>
  <c r="DY89" i="24050"/>
  <c r="FE95" i="23917"/>
  <c r="B77" i="24050"/>
  <c r="I94" i="24050"/>
  <c r="AO100" i="23917"/>
  <c r="M94" i="24050"/>
  <c r="AS100" i="23917"/>
  <c r="Q94" i="24050"/>
  <c r="AW100" i="23917"/>
  <c r="U94" i="24050"/>
  <c r="BA100" i="23917"/>
  <c r="Y94" i="24050"/>
  <c r="BE100" i="23917"/>
  <c r="AC94" i="24050"/>
  <c r="BI100" i="23917"/>
  <c r="AG94" i="24050"/>
  <c r="BM100" i="23917"/>
  <c r="AK94" i="24050"/>
  <c r="BQ100" i="23917"/>
  <c r="AO94" i="24050"/>
  <c r="BU100" i="23917"/>
  <c r="BP91" i="24050"/>
  <c r="CV97" i="23917"/>
  <c r="BB94" i="24050"/>
  <c r="CH100" i="23917"/>
  <c r="BJ94" i="24050"/>
  <c r="CP100" i="23917"/>
  <c r="BQ94" i="24050"/>
  <c r="CW100" i="23917"/>
  <c r="BZ94" i="24050"/>
  <c r="DF100" i="23917"/>
  <c r="CG94" i="24050"/>
  <c r="DM100" i="23917"/>
  <c r="BB96" i="24050"/>
  <c r="CH102" i="23917"/>
  <c r="BJ96" i="24050"/>
  <c r="CP102" i="23917"/>
  <c r="BP96" i="24050"/>
  <c r="CV102" i="23917"/>
  <c r="BZ96" i="24050"/>
  <c r="DF102" i="23917"/>
  <c r="CH96" i="24050"/>
  <c r="DN102" i="23917"/>
  <c r="C96" i="23917"/>
  <c r="E96" i="23917"/>
  <c r="D96" i="23917"/>
  <c r="I96" i="23917"/>
  <c r="H96" i="23917"/>
  <c r="K96" i="23917"/>
  <c r="M96" i="23917"/>
  <c r="L96" i="23917"/>
  <c r="O96" i="23917"/>
  <c r="Q96" i="23917"/>
  <c r="P96" i="23917"/>
  <c r="S96" i="23917"/>
  <c r="R96" i="23917"/>
  <c r="U96" i="23917"/>
  <c r="T96" i="23917"/>
  <c r="Y96" i="23917"/>
  <c r="X96" i="23917"/>
  <c r="AA96" i="23917"/>
  <c r="Z96" i="23917"/>
  <c r="AC96" i="23917"/>
  <c r="AB96" i="23917"/>
  <c r="AE96" i="23917"/>
  <c r="AD96" i="23917"/>
  <c r="AG96" i="23917"/>
  <c r="AF96" i="23917"/>
  <c r="B90" i="24050"/>
  <c r="AH96" i="23917"/>
  <c r="D90" i="24050"/>
  <c r="AJ96" i="23917"/>
  <c r="K97" i="23917"/>
  <c r="AC97" i="23917"/>
  <c r="E96" i="24050"/>
  <c r="AK102" i="23917"/>
  <c r="J96" i="24050"/>
  <c r="AP102" i="23917"/>
  <c r="P96" i="24050"/>
  <c r="AV102" i="23917"/>
  <c r="Z96" i="24050"/>
  <c r="BF102" i="23917"/>
  <c r="AF96" i="24050"/>
  <c r="BL102" i="23917"/>
  <c r="AP96" i="24050"/>
  <c r="BV102" i="23917"/>
  <c r="B9" i="23917"/>
  <c r="F9" i="23917"/>
  <c r="D11" i="23917"/>
  <c r="H11" i="23917"/>
  <c r="EI8" i="23917"/>
  <c r="EI13" i="23917"/>
  <c r="D24" i="23917"/>
  <c r="EK22" i="23917"/>
  <c r="EO22" i="23917"/>
  <c r="EW22" i="23917"/>
  <c r="BW22" i="23917"/>
  <c r="CE22" i="23917"/>
  <c r="CM22" i="23917"/>
  <c r="CU22" i="23917"/>
  <c r="DC22" i="23917"/>
  <c r="DK22" i="23917"/>
  <c r="DS22" i="23917"/>
  <c r="FJ22" i="23917"/>
  <c r="FC22" i="23917"/>
  <c r="FK22" i="23917"/>
  <c r="ES27" i="23917"/>
  <c r="FA27" i="23917"/>
  <c r="CI27" i="23917"/>
  <c r="CQ27" i="23917"/>
  <c r="CY27" i="23917"/>
  <c r="DG27" i="23917"/>
  <c r="DO27" i="23917"/>
  <c r="F38" i="23917"/>
  <c r="N38" i="23917"/>
  <c r="R38" i="23917"/>
  <c r="V38" i="23917"/>
  <c r="Z38" i="23917"/>
  <c r="AD38" i="23917"/>
  <c r="AH38" i="23917"/>
  <c r="AX38" i="23917"/>
  <c r="BB38" i="23917"/>
  <c r="BF38" i="23917"/>
  <c r="BJ38" i="23917"/>
  <c r="AK39" i="23917"/>
  <c r="AO39" i="23917"/>
  <c r="BI39" i="23917"/>
  <c r="EO38" i="23917"/>
  <c r="EW38" i="23917"/>
  <c r="EI39" i="23917"/>
  <c r="EM39" i="23917"/>
  <c r="BY39" i="23917"/>
  <c r="CG39" i="23917"/>
  <c r="DC38" i="23917"/>
  <c r="DE39" i="23917"/>
  <c r="DK38" i="23917"/>
  <c r="DS38" i="23917"/>
  <c r="DT38" i="23917"/>
  <c r="FA39" i="23917"/>
  <c r="AI52" i="23917"/>
  <c r="AM52" i="23917"/>
  <c r="AQ52" i="23917"/>
  <c r="AU52" i="23917"/>
  <c r="AY52" i="23917"/>
  <c r="BC52" i="23917"/>
  <c r="BG52" i="23917"/>
  <c r="BK52" i="23917"/>
  <c r="BO52" i="23917"/>
  <c r="BS52" i="23917"/>
  <c r="BW52" i="23917"/>
  <c r="CA52" i="23917"/>
  <c r="CE52" i="23917"/>
  <c r="CI52" i="23917"/>
  <c r="CM52" i="23917"/>
  <c r="CQ52" i="23917"/>
  <c r="CU52" i="23917"/>
  <c r="CY52" i="23917"/>
  <c r="DC52" i="23917"/>
  <c r="DG52" i="23917"/>
  <c r="DK52" i="23917"/>
  <c r="DO52" i="23917"/>
  <c r="DS52" i="23917"/>
  <c r="DW52" i="23917"/>
  <c r="EI52" i="23917"/>
  <c r="EM52" i="23917"/>
  <c r="EQ52" i="23917"/>
  <c r="EU52" i="23917"/>
  <c r="EY52" i="23917"/>
  <c r="FC52" i="23917"/>
  <c r="FG52" i="23917"/>
  <c r="FK52" i="23917"/>
  <c r="AI65" i="23917"/>
  <c r="AM65" i="23917"/>
  <c r="AQ65" i="23917"/>
  <c r="AU65" i="23917"/>
  <c r="AY65" i="23917"/>
  <c r="BC65" i="23917"/>
  <c r="BG65" i="23917"/>
  <c r="BK65" i="23917"/>
  <c r="BO65" i="23917"/>
  <c r="BS65" i="23917"/>
  <c r="BW65" i="23917"/>
  <c r="CA65" i="23917"/>
  <c r="CE65" i="23917"/>
  <c r="CI65" i="23917"/>
  <c r="CM65" i="23917"/>
  <c r="CQ65" i="23917"/>
  <c r="CU65" i="23917"/>
  <c r="CY65" i="23917"/>
  <c r="DC65" i="23917"/>
  <c r="DG65" i="23917"/>
  <c r="DK65" i="23917"/>
  <c r="DO65" i="23917"/>
  <c r="DS65" i="23917"/>
  <c r="EM65" i="23917"/>
  <c r="EQ65" i="23917"/>
  <c r="EU65" i="23917"/>
  <c r="FC65" i="23917"/>
  <c r="FK65" i="23917"/>
  <c r="F69" i="23917"/>
  <c r="D71" i="23917"/>
  <c r="H71" i="23917"/>
  <c r="F73" i="23917"/>
  <c r="ES82" i="23917"/>
  <c r="EW82" i="23917"/>
  <c r="FA82" i="23917"/>
  <c r="FE82" i="23917"/>
  <c r="FI82" i="23917"/>
  <c r="FM82" i="23917"/>
  <c r="E82" i="23917"/>
  <c r="I82" i="23917"/>
  <c r="Q82" i="23917"/>
  <c r="U82" i="23917"/>
  <c r="Y82" i="23917"/>
  <c r="AG82" i="23917"/>
  <c r="AK82" i="23917"/>
  <c r="AS82" i="23917"/>
  <c r="BI82" i="23917"/>
  <c r="BY82" i="23917"/>
  <c r="CO82" i="23917"/>
  <c r="DE82" i="23917"/>
  <c r="DU82" i="23917"/>
  <c r="H83" i="23917"/>
  <c r="P83" i="23917"/>
  <c r="X83" i="23917"/>
  <c r="AJ83" i="23917"/>
  <c r="AN83" i="23917"/>
  <c r="AR83" i="23917"/>
  <c r="AV83" i="23917"/>
  <c r="AZ83" i="23917"/>
  <c r="BH83" i="23917"/>
  <c r="BL83" i="23917"/>
  <c r="CB83" i="23917"/>
  <c r="CJ83" i="23917"/>
  <c r="CR83" i="23917"/>
  <c r="CZ83" i="23917"/>
  <c r="DH83" i="23917"/>
  <c r="DP83" i="23917"/>
  <c r="DT83" i="23917"/>
  <c r="AK93" i="23917"/>
  <c r="AO93" i="23917"/>
  <c r="AS93" i="23917"/>
  <c r="AW93" i="23917"/>
  <c r="BA93" i="23917"/>
  <c r="BE93" i="23917"/>
  <c r="BI93" i="23917"/>
  <c r="BM93" i="23917"/>
  <c r="BQ93" i="23917"/>
  <c r="BU93" i="23917"/>
  <c r="BY93" i="23917"/>
  <c r="CC93" i="23917"/>
  <c r="CG93" i="23917"/>
  <c r="CK93" i="23917"/>
  <c r="CO93" i="23917"/>
  <c r="CS93" i="23917"/>
  <c r="CW93" i="23917"/>
  <c r="DA93" i="23917"/>
  <c r="DE93" i="23917"/>
  <c r="DI93" i="23917"/>
  <c r="DM93" i="23917"/>
  <c r="DQ93" i="23917"/>
  <c r="DU93" i="23917"/>
  <c r="B96" i="23917"/>
  <c r="J96" i="23917"/>
  <c r="B97" i="23917"/>
  <c r="AH97" i="23917"/>
  <c r="J242" i="23917"/>
  <c r="DJ234" i="24050"/>
  <c r="EP240" i="23917"/>
  <c r="DQ234" i="24050"/>
  <c r="EW240" i="23917"/>
  <c r="P16" i="24068"/>
  <c r="DY234" i="24050"/>
  <c r="FE240" i="23917"/>
  <c r="T16" i="24068"/>
  <c r="EG234" i="24050"/>
  <c r="FM240" i="23917"/>
  <c r="DS235" i="24050"/>
  <c r="EY241" i="23917"/>
  <c r="EA235" i="24050"/>
  <c r="FG241" i="23917"/>
  <c r="DJ236" i="24050"/>
  <c r="EP242" i="23917"/>
  <c r="DS236" i="24050"/>
  <c r="EY242" i="23917"/>
  <c r="EA236" i="24050"/>
  <c r="FG242" i="23917"/>
  <c r="EI236" i="24050"/>
  <c r="FO242" i="23917"/>
  <c r="N237" i="24050"/>
  <c r="AT243" i="23917"/>
  <c r="AE235" i="24050"/>
  <c r="BK241" i="23917"/>
  <c r="E235" i="24050"/>
  <c r="AK241" i="23917"/>
  <c r="G236" i="24050"/>
  <c r="AM242" i="23917"/>
  <c r="K234" i="24050"/>
  <c r="AQ240" i="23917"/>
  <c r="M236" i="24050"/>
  <c r="AS242" i="23917"/>
  <c r="Q236" i="24050"/>
  <c r="AW242" i="23917"/>
  <c r="W236" i="24050"/>
  <c r="BC242" i="23917"/>
  <c r="AA236" i="24050"/>
  <c r="BG242" i="23917"/>
  <c r="AE236" i="24050"/>
  <c r="BK242" i="23917"/>
  <c r="AI234" i="24050"/>
  <c r="BO240" i="23917"/>
  <c r="AK235" i="24050"/>
  <c r="BQ241" i="23917"/>
  <c r="AM236" i="24050"/>
  <c r="BS242" i="23917"/>
  <c r="AQ234" i="24050"/>
  <c r="BW240" i="23917"/>
  <c r="AS235" i="24050"/>
  <c r="BY241" i="23917"/>
  <c r="AU236" i="24050"/>
  <c r="CA242" i="23917"/>
  <c r="AY234" i="24050"/>
  <c r="CE240" i="23917"/>
  <c r="BA235" i="24050"/>
  <c r="CG241" i="23917"/>
  <c r="BC236" i="24050"/>
  <c r="CI242" i="23917"/>
  <c r="BG234" i="24050"/>
  <c r="CM240" i="23917"/>
  <c r="BI235" i="24050"/>
  <c r="CO241" i="23917"/>
  <c r="BK236" i="24050"/>
  <c r="CQ242" i="23917"/>
  <c r="BO234" i="24050"/>
  <c r="CU240" i="23917"/>
  <c r="BQ235" i="24050"/>
  <c r="CW241" i="23917"/>
  <c r="BS236" i="24050"/>
  <c r="CY242" i="23917"/>
  <c r="BW234" i="24050"/>
  <c r="DC240" i="23917"/>
  <c r="BY235" i="24050"/>
  <c r="DE241" i="23917"/>
  <c r="CA236" i="24050"/>
  <c r="DG242" i="23917"/>
  <c r="CE234" i="24050"/>
  <c r="DK240" i="23917"/>
  <c r="CG235" i="24050"/>
  <c r="DM241" i="23917"/>
  <c r="CI236" i="24050"/>
  <c r="DO242" i="23917"/>
  <c r="CM234" i="24050"/>
  <c r="DS240" i="23917"/>
  <c r="CO235" i="24050"/>
  <c r="DU241" i="23917"/>
  <c r="CU236" i="24050"/>
  <c r="EA242" i="23917"/>
  <c r="DF234" i="24050"/>
  <c r="EL240" i="23917"/>
  <c r="DH235" i="24050"/>
  <c r="EN241" i="23917"/>
  <c r="D237" i="24050"/>
  <c r="AJ243" i="23917"/>
  <c r="Z237" i="24050"/>
  <c r="BF243" i="23917"/>
  <c r="AH237" i="24050"/>
  <c r="BN243" i="23917"/>
  <c r="AR237" i="24050"/>
  <c r="BX243" i="23917"/>
  <c r="AX237" i="24050"/>
  <c r="CD243" i="23917"/>
  <c r="BC237" i="24050"/>
  <c r="CI243" i="23917"/>
  <c r="BH237" i="24050"/>
  <c r="CN243" i="23917"/>
  <c r="BP237" i="24050"/>
  <c r="CV243" i="23917"/>
  <c r="BW237" i="24050"/>
  <c r="DC243" i="23917"/>
  <c r="CB237" i="24050"/>
  <c r="DH243" i="23917"/>
  <c r="CH237" i="24050"/>
  <c r="DN243" i="23917"/>
  <c r="CM237" i="24050"/>
  <c r="DS243" i="23917"/>
  <c r="DG237" i="24050"/>
  <c r="EM243" i="23917"/>
  <c r="Z262" i="23917"/>
  <c r="Z247" i="23917"/>
  <c r="CO243" i="24050"/>
  <c r="DU249" i="23917"/>
  <c r="DQ240" i="24050"/>
  <c r="EW246" i="23917"/>
  <c r="DY240" i="24050"/>
  <c r="FE246" i="23917"/>
  <c r="EG240" i="24050"/>
  <c r="FM246" i="23917"/>
  <c r="DQ241" i="24050"/>
  <c r="EW247" i="23917"/>
  <c r="DY241" i="24050"/>
  <c r="FE247" i="23917"/>
  <c r="EG241" i="24050"/>
  <c r="FM247" i="23917"/>
  <c r="E240" i="24050"/>
  <c r="AK246" i="23917"/>
  <c r="DH240" i="24050"/>
  <c r="EN246" i="23917"/>
  <c r="G242" i="24050"/>
  <c r="AM248" i="23917"/>
  <c r="O242" i="24050"/>
  <c r="AU248" i="23917"/>
  <c r="W242" i="24050"/>
  <c r="BC248" i="23917"/>
  <c r="AE242" i="24050"/>
  <c r="BK248" i="23917"/>
  <c r="AM242" i="24050"/>
  <c r="BS248" i="23917"/>
  <c r="AU242" i="24050"/>
  <c r="CA248" i="23917"/>
  <c r="BC242" i="24050"/>
  <c r="CI248" i="23917"/>
  <c r="BK242" i="24050"/>
  <c r="CQ248" i="23917"/>
  <c r="BS242" i="24050"/>
  <c r="CY248" i="23917"/>
  <c r="CA242" i="24050"/>
  <c r="DG248" i="23917"/>
  <c r="CI242" i="24050"/>
  <c r="DO248" i="23917"/>
  <c r="DE244" i="24050"/>
  <c r="EK250" i="23917"/>
  <c r="DJ242" i="24050"/>
  <c r="EP248" i="23917"/>
  <c r="DQ243" i="24050"/>
  <c r="EW249" i="23917"/>
  <c r="DY243" i="24050"/>
  <c r="FE249" i="23917"/>
  <c r="EG243" i="24050"/>
  <c r="FM249" i="23917"/>
  <c r="E243" i="24050"/>
  <c r="AK249" i="23917"/>
  <c r="I241" i="24050"/>
  <c r="AO247" i="23917"/>
  <c r="M240" i="24050"/>
  <c r="AS246" i="23917"/>
  <c r="O241" i="24050"/>
  <c r="AU247" i="23917"/>
  <c r="Q243" i="24050"/>
  <c r="AW249" i="23917"/>
  <c r="U240" i="24050"/>
  <c r="BA246" i="23917"/>
  <c r="W241" i="24050"/>
  <c r="BC247" i="23917"/>
  <c r="Y243" i="24050"/>
  <c r="BE249" i="23917"/>
  <c r="AC240" i="24050"/>
  <c r="BI246" i="23917"/>
  <c r="AE241" i="24050"/>
  <c r="BK247" i="23917"/>
  <c r="AG243" i="24050"/>
  <c r="BM249" i="23917"/>
  <c r="AK240" i="24050"/>
  <c r="BQ246" i="23917"/>
  <c r="AM241" i="24050"/>
  <c r="BS247" i="23917"/>
  <c r="AO243" i="24050"/>
  <c r="BU249" i="23917"/>
  <c r="AS240" i="24050"/>
  <c r="BY246" i="23917"/>
  <c r="AU241" i="24050"/>
  <c r="CA247" i="23917"/>
  <c r="AW243" i="24050"/>
  <c r="CC249" i="23917"/>
  <c r="BA240" i="24050"/>
  <c r="CG246" i="23917"/>
  <c r="BC241" i="24050"/>
  <c r="CI247" i="23917"/>
  <c r="BE243" i="24050"/>
  <c r="CK249" i="23917"/>
  <c r="BI240" i="24050"/>
  <c r="CO246" i="23917"/>
  <c r="BK241" i="24050"/>
  <c r="CQ247" i="23917"/>
  <c r="BM243" i="24050"/>
  <c r="CS249" i="23917"/>
  <c r="BQ240" i="24050"/>
  <c r="CW246" i="23917"/>
  <c r="BS241" i="24050"/>
  <c r="CY247" i="23917"/>
  <c r="BU243" i="24050"/>
  <c r="DA249" i="23917"/>
  <c r="BY240" i="24050"/>
  <c r="DE246" i="23917"/>
  <c r="CA241" i="24050"/>
  <c r="DG247" i="23917"/>
  <c r="CC243" i="24050"/>
  <c r="DI249" i="23917"/>
  <c r="CG240" i="24050"/>
  <c r="DM246" i="23917"/>
  <c r="CI241" i="24050"/>
  <c r="DO247" i="23917"/>
  <c r="CK243" i="24050"/>
  <c r="DQ249" i="23917"/>
  <c r="AE261" i="23917"/>
  <c r="AD261" i="23917"/>
  <c r="J255" i="24050"/>
  <c r="AP261" i="23917"/>
  <c r="P255" i="24050"/>
  <c r="AV261" i="23917"/>
  <c r="U255" i="24050"/>
  <c r="BA261" i="23917"/>
  <c r="Z255" i="24050"/>
  <c r="BF261" i="23917"/>
  <c r="AF255" i="24050"/>
  <c r="BL261" i="23917"/>
  <c r="AK255" i="24050"/>
  <c r="BQ261" i="23917"/>
  <c r="AP255" i="24050"/>
  <c r="BV261" i="23917"/>
  <c r="AV255" i="24050"/>
  <c r="CB261" i="23917"/>
  <c r="BA255" i="24050"/>
  <c r="CG261" i="23917"/>
  <c r="BF255" i="24050"/>
  <c r="CL261" i="23917"/>
  <c r="BL255" i="24050"/>
  <c r="CR261" i="23917"/>
  <c r="BQ255" i="24050"/>
  <c r="CW261" i="23917"/>
  <c r="BV255" i="24050"/>
  <c r="DB261" i="23917"/>
  <c r="CB255" i="24050"/>
  <c r="DH261" i="23917"/>
  <c r="CG255" i="24050"/>
  <c r="DM261" i="23917"/>
  <c r="CL255" i="24050"/>
  <c r="DR261" i="23917"/>
  <c r="DI255" i="24050"/>
  <c r="EO261" i="23917"/>
  <c r="AC262" i="23917"/>
  <c r="AB262" i="23917"/>
  <c r="B256" i="24050"/>
  <c r="AH262" i="23917"/>
  <c r="H256" i="24050"/>
  <c r="AN262" i="23917"/>
  <c r="N256" i="24050"/>
  <c r="AT262" i="23917"/>
  <c r="S256" i="24050"/>
  <c r="AY262" i="23917"/>
  <c r="X256" i="24050"/>
  <c r="BD262" i="23917"/>
  <c r="AD256" i="24050"/>
  <c r="BJ262" i="23917"/>
  <c r="AI256" i="24050"/>
  <c r="BO262" i="23917"/>
  <c r="AN256" i="24050"/>
  <c r="BT262" i="23917"/>
  <c r="AT256" i="24050"/>
  <c r="BZ262" i="23917"/>
  <c r="AY256" i="24050"/>
  <c r="CE262" i="23917"/>
  <c r="BD256" i="24050"/>
  <c r="CJ262" i="23917"/>
  <c r="BJ256" i="24050"/>
  <c r="CP262" i="23917"/>
  <c r="BO256" i="24050"/>
  <c r="CU262" i="23917"/>
  <c r="BT256" i="24050"/>
  <c r="CZ262" i="23917"/>
  <c r="BZ256" i="24050"/>
  <c r="DF262" i="23917"/>
  <c r="CE256" i="24050"/>
  <c r="DK262" i="23917"/>
  <c r="CJ256" i="24050"/>
  <c r="DP262" i="23917"/>
  <c r="CV257" i="24050"/>
  <c r="EB263" i="23917"/>
  <c r="DS260" i="24050"/>
  <c r="EY266" i="23917"/>
  <c r="EA260" i="24050"/>
  <c r="FG266" i="23917"/>
  <c r="DQ261" i="24050"/>
  <c r="EW267" i="23917"/>
  <c r="DW261" i="24050"/>
  <c r="FC267" i="23917"/>
  <c r="DP262" i="24050"/>
  <c r="EV268" i="23917"/>
  <c r="DU262" i="24050"/>
  <c r="FA268" i="23917"/>
  <c r="EC262" i="24050"/>
  <c r="FI268" i="23917"/>
  <c r="G260" i="24050"/>
  <c r="AM266" i="23917"/>
  <c r="I261" i="24050"/>
  <c r="AO267" i="23917"/>
  <c r="K262" i="24050"/>
  <c r="AQ268" i="23917"/>
  <c r="O260" i="24050"/>
  <c r="AU266" i="23917"/>
  <c r="Q261" i="24050"/>
  <c r="AW267" i="23917"/>
  <c r="S262" i="24050"/>
  <c r="AY268" i="23917"/>
  <c r="AO260" i="24050"/>
  <c r="BU266" i="23917"/>
  <c r="AQ261" i="24050"/>
  <c r="BW267" i="23917"/>
  <c r="AS262" i="24050"/>
  <c r="BY268" i="23917"/>
  <c r="AW260" i="24050"/>
  <c r="CC266" i="23917"/>
  <c r="AY261" i="24050"/>
  <c r="CE267" i="23917"/>
  <c r="BA262" i="24050"/>
  <c r="CG268" i="23917"/>
  <c r="BE260" i="24050"/>
  <c r="CK266" i="23917"/>
  <c r="BG261" i="24050"/>
  <c r="CM267" i="23917"/>
  <c r="BI262" i="24050"/>
  <c r="CO268" i="23917"/>
  <c r="BM260" i="24050"/>
  <c r="CS266" i="23917"/>
  <c r="BO261" i="24050"/>
  <c r="CU267" i="23917"/>
  <c r="BQ262" i="24050"/>
  <c r="CW268" i="23917"/>
  <c r="BU260" i="24050"/>
  <c r="DA266" i="23917"/>
  <c r="BW261" i="24050"/>
  <c r="DC267" i="23917"/>
  <c r="BY262" i="24050"/>
  <c r="DE268" i="23917"/>
  <c r="CC260" i="24050"/>
  <c r="DI266" i="23917"/>
  <c r="CE261" i="24050"/>
  <c r="DK267" i="23917"/>
  <c r="CG262" i="24050"/>
  <c r="DM268" i="23917"/>
  <c r="DH260" i="24050"/>
  <c r="EN266" i="23917"/>
  <c r="DJ261" i="24050"/>
  <c r="EP267" i="23917"/>
  <c r="L263" i="24050"/>
  <c r="AR269" i="23917"/>
  <c r="R263" i="24050"/>
  <c r="AX269" i="23917"/>
  <c r="X263" i="24050"/>
  <c r="BD269" i="23917"/>
  <c r="AF263" i="24050"/>
  <c r="BL269" i="23917"/>
  <c r="AN263" i="24050"/>
  <c r="BT269" i="23917"/>
  <c r="AV263" i="24050"/>
  <c r="CB269" i="23917"/>
  <c r="D18" i="24068"/>
  <c r="BB263" i="24050"/>
  <c r="CH269" i="23917"/>
  <c r="BG263" i="24050"/>
  <c r="CM269" i="23917"/>
  <c r="I18" i="24068"/>
  <c r="I19" i="24068" s="1"/>
  <c r="BL263" i="24050"/>
  <c r="CR269" i="23917"/>
  <c r="L18" i="24068"/>
  <c r="L19" i="24068" s="1"/>
  <c r="BR263" i="24050"/>
  <c r="CX269" i="23917"/>
  <c r="BW263" i="24050"/>
  <c r="DC269" i="23917"/>
  <c r="CB263" i="24050"/>
  <c r="DH269" i="23917"/>
  <c r="CH263" i="24050"/>
  <c r="DN269" i="23917"/>
  <c r="DE263" i="24050"/>
  <c r="EK269" i="23917"/>
  <c r="DL260" i="24050"/>
  <c r="ER266" i="23917"/>
  <c r="DN260" i="24050"/>
  <c r="ET266" i="23917"/>
  <c r="EJ263" i="24050"/>
  <c r="FP269" i="23917"/>
  <c r="EL263" i="24050"/>
  <c r="FR269" i="23917"/>
  <c r="EN263" i="24050"/>
  <c r="FT269" i="23917"/>
  <c r="EP263" i="24050"/>
  <c r="FV269" i="23917"/>
  <c r="ER263" i="24050"/>
  <c r="FX269" i="23917"/>
  <c r="ET263" i="24050"/>
  <c r="FZ269" i="23917"/>
  <c r="CS263" i="24050"/>
  <c r="DY269" i="23917"/>
  <c r="CU262" i="24050"/>
  <c r="EA268" i="23917"/>
  <c r="CW262" i="24050"/>
  <c r="EC268" i="23917"/>
  <c r="CY262" i="24050"/>
  <c r="EE268" i="23917"/>
  <c r="DA261" i="24050"/>
  <c r="EG267" i="23917"/>
  <c r="CO275" i="24050"/>
  <c r="DU281" i="23917"/>
  <c r="CO276" i="24050"/>
  <c r="DU282" i="23917"/>
  <c r="CR277" i="24050"/>
  <c r="DX283" i="23917"/>
  <c r="CW277" i="24050"/>
  <c r="EC283" i="23917"/>
  <c r="DG275" i="24050"/>
  <c r="EM281" i="23917"/>
  <c r="DM275" i="24050"/>
  <c r="ES281" i="23917"/>
  <c r="O25" i="24068"/>
  <c r="DW275" i="24050"/>
  <c r="FC281" i="23917"/>
  <c r="R25" i="24068"/>
  <c r="EC275" i="24050"/>
  <c r="FI281" i="23917"/>
  <c r="EB276" i="24050"/>
  <c r="FH282" i="23917"/>
  <c r="EG276" i="24050"/>
  <c r="FM282" i="23917"/>
  <c r="EH277" i="24050"/>
  <c r="FN283" i="23917"/>
  <c r="DG276" i="24050"/>
  <c r="EM282" i="23917"/>
  <c r="DO276" i="24050"/>
  <c r="EU282" i="23917"/>
  <c r="DW276" i="24050"/>
  <c r="FC282" i="23917"/>
  <c r="E275" i="24050"/>
  <c r="AK281" i="23917"/>
  <c r="G276" i="24050"/>
  <c r="AM282" i="23917"/>
  <c r="I277" i="24050"/>
  <c r="AO283" i="23917"/>
  <c r="M275" i="24050"/>
  <c r="AS281" i="23917"/>
  <c r="O276" i="24050"/>
  <c r="AU282" i="23917"/>
  <c r="Q277" i="24050"/>
  <c r="AW283" i="23917"/>
  <c r="U275" i="24050"/>
  <c r="BA281" i="23917"/>
  <c r="W276" i="24050"/>
  <c r="BC282" i="23917"/>
  <c r="Y277" i="24050"/>
  <c r="BE283" i="23917"/>
  <c r="AC275" i="24050"/>
  <c r="BI281" i="23917"/>
  <c r="AE276" i="24050"/>
  <c r="BK282" i="23917"/>
  <c r="AG277" i="24050"/>
  <c r="BM283" i="23917"/>
  <c r="AK275" i="24050"/>
  <c r="BQ281" i="23917"/>
  <c r="AM276" i="24050"/>
  <c r="BS282" i="23917"/>
  <c r="AO277" i="24050"/>
  <c r="BU283" i="23917"/>
  <c r="AS275" i="24050"/>
  <c r="BY281" i="23917"/>
  <c r="AU276" i="24050"/>
  <c r="CA282" i="23917"/>
  <c r="AW277" i="24050"/>
  <c r="CC283" i="23917"/>
  <c r="BA275" i="24050"/>
  <c r="CG281" i="23917"/>
  <c r="BC276" i="24050"/>
  <c r="CI282" i="23917"/>
  <c r="BE277" i="24050"/>
  <c r="CK283" i="23917"/>
  <c r="BI275" i="24050"/>
  <c r="CO281" i="23917"/>
  <c r="BK276" i="24050"/>
  <c r="CQ282" i="23917"/>
  <c r="BM277" i="24050"/>
  <c r="CS283" i="23917"/>
  <c r="BQ275" i="24050"/>
  <c r="CW281" i="23917"/>
  <c r="BS276" i="24050"/>
  <c r="CY282" i="23917"/>
  <c r="BU277" i="24050"/>
  <c r="DA283" i="23917"/>
  <c r="BY275" i="24050"/>
  <c r="DE281" i="23917"/>
  <c r="CA276" i="24050"/>
  <c r="DG282" i="23917"/>
  <c r="CC277" i="24050"/>
  <c r="DI283" i="23917"/>
  <c r="CG275" i="24050"/>
  <c r="DM281" i="23917"/>
  <c r="CI276" i="24050"/>
  <c r="DO282" i="23917"/>
  <c r="CK277" i="24050"/>
  <c r="DQ283" i="23917"/>
  <c r="DC277" i="24050"/>
  <c r="EI283" i="23917"/>
  <c r="DM277" i="24050"/>
  <c r="ES283" i="23917"/>
  <c r="DS277" i="24050"/>
  <c r="EY283" i="23917"/>
  <c r="EC277" i="24050"/>
  <c r="FI283" i="23917"/>
  <c r="F304" i="23917"/>
  <c r="F284" i="23917"/>
  <c r="P293" i="23917"/>
  <c r="P284" i="23917"/>
  <c r="V293" i="23917"/>
  <c r="V284" i="23917"/>
  <c r="AG284" i="23917"/>
  <c r="AF284" i="23917"/>
  <c r="F278" i="24050"/>
  <c r="AL284" i="23917"/>
  <c r="K278" i="24050"/>
  <c r="AQ284" i="23917"/>
  <c r="P278" i="24050"/>
  <c r="AV284" i="23917"/>
  <c r="V278" i="24050"/>
  <c r="BB284" i="23917"/>
  <c r="AA278" i="24050"/>
  <c r="BG284" i="23917"/>
  <c r="AF278" i="24050"/>
  <c r="BL284" i="23917"/>
  <c r="AL278" i="24050"/>
  <c r="BR284" i="23917"/>
  <c r="AQ278" i="24050"/>
  <c r="BW284" i="23917"/>
  <c r="AV278" i="24050"/>
  <c r="CB284" i="23917"/>
  <c r="BB278" i="24050"/>
  <c r="CH284" i="23917"/>
  <c r="BG278" i="24050"/>
  <c r="CM284" i="23917"/>
  <c r="BL278" i="24050"/>
  <c r="CR284" i="23917"/>
  <c r="BR278" i="24050"/>
  <c r="CX284" i="23917"/>
  <c r="BW278" i="24050"/>
  <c r="DC284" i="23917"/>
  <c r="CB278" i="24050"/>
  <c r="DH284" i="23917"/>
  <c r="CH278" i="24050"/>
  <c r="DN284" i="23917"/>
  <c r="CM278" i="24050"/>
  <c r="DS284" i="23917"/>
  <c r="EE277" i="24050"/>
  <c r="FK283" i="23917"/>
  <c r="CP283" i="24050"/>
  <c r="DV289" i="23917"/>
  <c r="DF281" i="24050"/>
  <c r="EL287" i="23917"/>
  <c r="DK281" i="24050"/>
  <c r="EQ287" i="23917"/>
  <c r="DQ281" i="24050"/>
  <c r="EW287" i="23917"/>
  <c r="EA281" i="24050"/>
  <c r="FG287" i="23917"/>
  <c r="EG281" i="24050"/>
  <c r="FM287" i="23917"/>
  <c r="DI282" i="24050"/>
  <c r="EO288" i="23917"/>
  <c r="DO282" i="24050"/>
  <c r="EU288" i="23917"/>
  <c r="DY282" i="24050"/>
  <c r="FE288" i="23917"/>
  <c r="EE282" i="24050"/>
  <c r="FK288" i="23917"/>
  <c r="DG283" i="24050"/>
  <c r="EM289" i="23917"/>
  <c r="DO283" i="24050"/>
  <c r="EU289" i="23917"/>
  <c r="EE283" i="24050"/>
  <c r="FK289" i="23917"/>
  <c r="DI284" i="24050"/>
  <c r="EO290" i="23917"/>
  <c r="DO284" i="24050"/>
  <c r="EU290" i="23917"/>
  <c r="DY284" i="24050"/>
  <c r="FE290" i="23917"/>
  <c r="EE284" i="24050"/>
  <c r="FK290" i="23917"/>
  <c r="C282" i="24050"/>
  <c r="AI288" i="23917"/>
  <c r="DC282" i="24050"/>
  <c r="EI288" i="23917"/>
  <c r="AA291" i="23917"/>
  <c r="Z291" i="23917"/>
  <c r="E283" i="24050"/>
  <c r="AK289" i="23917"/>
  <c r="L285" i="24050"/>
  <c r="AR291" i="23917"/>
  <c r="T285" i="24050"/>
  <c r="AZ291" i="23917"/>
  <c r="AB285" i="24050"/>
  <c r="BH291" i="23917"/>
  <c r="AJ285" i="24050"/>
  <c r="BP291" i="23917"/>
  <c r="AR285" i="24050"/>
  <c r="BX291" i="23917"/>
  <c r="AZ285" i="24050"/>
  <c r="CF291" i="23917"/>
  <c r="BH285" i="24050"/>
  <c r="CN291" i="23917"/>
  <c r="BP285" i="24050"/>
  <c r="CV291" i="23917"/>
  <c r="BX285" i="24050"/>
  <c r="DD291" i="23917"/>
  <c r="CF285" i="24050"/>
  <c r="DL291" i="23917"/>
  <c r="CN285" i="24050"/>
  <c r="DT291" i="23917"/>
  <c r="G282" i="24050"/>
  <c r="AM288" i="23917"/>
  <c r="K281" i="24050"/>
  <c r="AQ287" i="23917"/>
  <c r="M282" i="24050"/>
  <c r="AS288" i="23917"/>
  <c r="Q281" i="24050"/>
  <c r="AW287" i="23917"/>
  <c r="S282" i="24050"/>
  <c r="AY288" i="23917"/>
  <c r="U283" i="24050"/>
  <c r="BA289" i="23917"/>
  <c r="W284" i="24050"/>
  <c r="BC290" i="23917"/>
  <c r="AA281" i="24050"/>
  <c r="BG287" i="23917"/>
  <c r="AC282" i="24050"/>
  <c r="BI288" i="23917"/>
  <c r="AE282" i="24050"/>
  <c r="BK288" i="23917"/>
  <c r="AG284" i="24050"/>
  <c r="BM290" i="23917"/>
  <c r="AK281" i="24050"/>
  <c r="BQ287" i="23917"/>
  <c r="AM281" i="24050"/>
  <c r="BS287" i="23917"/>
  <c r="AO282" i="24050"/>
  <c r="BU288" i="23917"/>
  <c r="AQ284" i="24050"/>
  <c r="BW290" i="23917"/>
  <c r="AS284" i="24050"/>
  <c r="BY290" i="23917"/>
  <c r="AW281" i="24050"/>
  <c r="CC287" i="23917"/>
  <c r="AY282" i="24050"/>
  <c r="CE288" i="23917"/>
  <c r="BA283" i="24050"/>
  <c r="CG289" i="23917"/>
  <c r="BC284" i="24050"/>
  <c r="CI290" i="23917"/>
  <c r="BG281" i="24050"/>
  <c r="CM287" i="23917"/>
  <c r="BI282" i="24050"/>
  <c r="CO288" i="23917"/>
  <c r="BK282" i="24050"/>
  <c r="CQ288" i="23917"/>
  <c r="BM284" i="24050"/>
  <c r="CS290" i="23917"/>
  <c r="BQ281" i="24050"/>
  <c r="CW287" i="23917"/>
  <c r="BS281" i="24050"/>
  <c r="CY287" i="23917"/>
  <c r="BU282" i="24050"/>
  <c r="DA288" i="23917"/>
  <c r="BW284" i="24050"/>
  <c r="DC290" i="23917"/>
  <c r="BY284" i="24050"/>
  <c r="DE290" i="23917"/>
  <c r="CC281" i="24050"/>
  <c r="DI287" i="23917"/>
  <c r="CE282" i="24050"/>
  <c r="DK288" i="23917"/>
  <c r="CG284" i="24050"/>
  <c r="DM290" i="23917"/>
  <c r="CK281" i="24050"/>
  <c r="DQ287" i="23917"/>
  <c r="CM282" i="24050"/>
  <c r="DS288" i="23917"/>
  <c r="I291" i="23917"/>
  <c r="H291" i="23917"/>
  <c r="Q302" i="23917"/>
  <c r="P302" i="23917"/>
  <c r="AG302" i="23917"/>
  <c r="AF302" i="23917"/>
  <c r="F296" i="24050"/>
  <c r="AL302" i="23917"/>
  <c r="K296" i="24050"/>
  <c r="AQ302" i="23917"/>
  <c r="P296" i="24050"/>
  <c r="AV302" i="23917"/>
  <c r="V296" i="24050"/>
  <c r="BB302" i="23917"/>
  <c r="AA296" i="24050"/>
  <c r="BG302" i="23917"/>
  <c r="AF296" i="24050"/>
  <c r="BL302" i="23917"/>
  <c r="AL296" i="24050"/>
  <c r="BR302" i="23917"/>
  <c r="AQ296" i="24050"/>
  <c r="BW302" i="23917"/>
  <c r="AV296" i="24050"/>
  <c r="CB302" i="23917"/>
  <c r="BB296" i="24050"/>
  <c r="CH302" i="23917"/>
  <c r="BG296" i="24050"/>
  <c r="CM302" i="23917"/>
  <c r="BL296" i="24050"/>
  <c r="CR302" i="23917"/>
  <c r="BR296" i="24050"/>
  <c r="CX302" i="23917"/>
  <c r="BW296" i="24050"/>
  <c r="DC302" i="23917"/>
  <c r="CB296" i="24050"/>
  <c r="DH302" i="23917"/>
  <c r="CH296" i="24050"/>
  <c r="DN302" i="23917"/>
  <c r="CM296" i="24050"/>
  <c r="DS302" i="23917"/>
  <c r="CV296" i="24050"/>
  <c r="EB302" i="23917"/>
  <c r="O303" i="23917"/>
  <c r="N303" i="23917"/>
  <c r="AE303" i="23917"/>
  <c r="AD303" i="23917"/>
  <c r="D297" i="24050"/>
  <c r="AJ303" i="23917"/>
  <c r="I297" i="24050"/>
  <c r="AO303" i="23917"/>
  <c r="N297" i="24050"/>
  <c r="AT303" i="23917"/>
  <c r="T297" i="24050"/>
  <c r="AZ303" i="23917"/>
  <c r="Y297" i="24050"/>
  <c r="BE303" i="23917"/>
  <c r="AD297" i="24050"/>
  <c r="BJ303" i="23917"/>
  <c r="AJ297" i="24050"/>
  <c r="BP303" i="23917"/>
  <c r="AO297" i="24050"/>
  <c r="BU303" i="23917"/>
  <c r="AT297" i="24050"/>
  <c r="BZ303" i="23917"/>
  <c r="AZ297" i="24050"/>
  <c r="CF303" i="23917"/>
  <c r="BE297" i="24050"/>
  <c r="CK303" i="23917"/>
  <c r="BJ297" i="24050"/>
  <c r="CP303" i="23917"/>
  <c r="BP297" i="24050"/>
  <c r="CV303" i="23917"/>
  <c r="BU297" i="24050"/>
  <c r="DA303" i="23917"/>
  <c r="BZ297" i="24050"/>
  <c r="DF303" i="23917"/>
  <c r="CF297" i="24050"/>
  <c r="DL303" i="23917"/>
  <c r="CK297" i="24050"/>
  <c r="DQ303" i="23917"/>
  <c r="G301" i="24050"/>
  <c r="AM307" i="23917"/>
  <c r="O301" i="24050"/>
  <c r="AU307" i="23917"/>
  <c r="DC301" i="24050"/>
  <c r="EI307" i="23917"/>
  <c r="R27" i="24068"/>
  <c r="R28" i="24068" s="1"/>
  <c r="O310" i="24050"/>
  <c r="AU316" i="23917"/>
  <c r="AH333" i="24050"/>
  <c r="BN339" i="23917"/>
  <c r="DK310" i="24050"/>
  <c r="EQ316" i="23917"/>
  <c r="DG311" i="24050"/>
  <c r="EM317" i="23917"/>
  <c r="DO311" i="24050"/>
  <c r="EU317" i="23917"/>
  <c r="DK312" i="24050"/>
  <c r="EQ318" i="23917"/>
  <c r="Q32" i="24068"/>
  <c r="EA310" i="24050"/>
  <c r="FG316" i="23917"/>
  <c r="EE311" i="24050"/>
  <c r="FK317" i="23917"/>
  <c r="EE312" i="24050"/>
  <c r="FK318" i="23917"/>
  <c r="Q311" i="24050"/>
  <c r="AW317" i="23917"/>
  <c r="AE311" i="24050"/>
  <c r="BK317" i="23917"/>
  <c r="C310" i="24050"/>
  <c r="AI316" i="23917"/>
  <c r="E311" i="24050"/>
  <c r="AK317" i="23917"/>
  <c r="I310" i="24050"/>
  <c r="AO316" i="23917"/>
  <c r="K311" i="24050"/>
  <c r="AQ317" i="23917"/>
  <c r="M312" i="24050"/>
  <c r="AS318" i="23917"/>
  <c r="S312" i="24050"/>
  <c r="AY318" i="23917"/>
  <c r="AC310" i="24050"/>
  <c r="BI316" i="23917"/>
  <c r="AE312" i="24050"/>
  <c r="BK318" i="23917"/>
  <c r="AI310" i="24050"/>
  <c r="BO316" i="23917"/>
  <c r="AK311" i="24050"/>
  <c r="BQ317" i="23917"/>
  <c r="AM312" i="24050"/>
  <c r="BS318" i="23917"/>
  <c r="AQ310" i="24050"/>
  <c r="BW316" i="23917"/>
  <c r="AS311" i="24050"/>
  <c r="BY317" i="23917"/>
  <c r="AU312" i="24050"/>
  <c r="CA318" i="23917"/>
  <c r="AY310" i="24050"/>
  <c r="CE316" i="23917"/>
  <c r="BA311" i="24050"/>
  <c r="CG317" i="23917"/>
  <c r="BC312" i="24050"/>
  <c r="CI318" i="23917"/>
  <c r="BG310" i="24050"/>
  <c r="CM316" i="23917"/>
  <c r="BI311" i="24050"/>
  <c r="CO317" i="23917"/>
  <c r="BK312" i="24050"/>
  <c r="CQ318" i="23917"/>
  <c r="BO310" i="24050"/>
  <c r="CU316" i="23917"/>
  <c r="BQ311" i="24050"/>
  <c r="CW317" i="23917"/>
  <c r="BS312" i="24050"/>
  <c r="CY318" i="23917"/>
  <c r="BW310" i="24050"/>
  <c r="DC316" i="23917"/>
  <c r="BY311" i="24050"/>
  <c r="DE317" i="23917"/>
  <c r="CA312" i="24050"/>
  <c r="DG318" i="23917"/>
  <c r="CE310" i="24050"/>
  <c r="DK316" i="23917"/>
  <c r="CG311" i="24050"/>
  <c r="DM317" i="23917"/>
  <c r="CI312" i="24050"/>
  <c r="DO318" i="23917"/>
  <c r="CM310" i="24050"/>
  <c r="DS316" i="23917"/>
  <c r="CO311" i="24050"/>
  <c r="DU317" i="23917"/>
  <c r="DT310" i="24050"/>
  <c r="EZ316" i="23917"/>
  <c r="DX311" i="24050"/>
  <c r="FD317" i="23917"/>
  <c r="CP312" i="24050"/>
  <c r="DV318" i="23917"/>
  <c r="DQ310" i="24050"/>
  <c r="EW316" i="23917"/>
  <c r="DU311" i="24050"/>
  <c r="FA317" i="23917"/>
  <c r="DW311" i="24050"/>
  <c r="FC317" i="23917"/>
  <c r="B329" i="23917"/>
  <c r="B319" i="23917"/>
  <c r="J329" i="23917"/>
  <c r="J319" i="23917"/>
  <c r="R329" i="23917"/>
  <c r="R319" i="23917"/>
  <c r="Z329" i="23917"/>
  <c r="Z319" i="23917"/>
  <c r="D313" i="24050"/>
  <c r="AJ319" i="23917"/>
  <c r="L313" i="24050"/>
  <c r="AR319" i="23917"/>
  <c r="Z313" i="24050"/>
  <c r="BF319" i="23917"/>
  <c r="AH313" i="24050"/>
  <c r="BN319" i="23917"/>
  <c r="AP313" i="24050"/>
  <c r="BV319" i="23917"/>
  <c r="AX313" i="24050"/>
  <c r="CD319" i="23917"/>
  <c r="BF313" i="24050"/>
  <c r="CL319" i="23917"/>
  <c r="BN313" i="24050"/>
  <c r="CT319" i="23917"/>
  <c r="BV313" i="24050"/>
  <c r="DB319" i="23917"/>
  <c r="CD313" i="24050"/>
  <c r="DJ319" i="23917"/>
  <c r="CN313" i="24050"/>
  <c r="DT319" i="23917"/>
  <c r="B321" i="24050"/>
  <c r="AH327" i="23917"/>
  <c r="DF316" i="24050"/>
  <c r="EL322" i="23917"/>
  <c r="DJ316" i="24050"/>
  <c r="EP322" i="23917"/>
  <c r="DG317" i="24050"/>
  <c r="EM323" i="23917"/>
  <c r="DK317" i="24050"/>
  <c r="EQ323" i="23917"/>
  <c r="DO317" i="24050"/>
  <c r="EU323" i="23917"/>
  <c r="DU316" i="24050"/>
  <c r="FA322" i="23917"/>
  <c r="EC316" i="24050"/>
  <c r="FI322" i="23917"/>
  <c r="DU317" i="24050"/>
  <c r="FA323" i="23917"/>
  <c r="EC317" i="24050"/>
  <c r="FI323" i="23917"/>
  <c r="ET319" i="24050"/>
  <c r="FZ325" i="23917"/>
  <c r="DI318" i="24050"/>
  <c r="EO324" i="23917"/>
  <c r="DQ318" i="24050"/>
  <c r="EW324" i="23917"/>
  <c r="EC318" i="24050"/>
  <c r="FI324" i="23917"/>
  <c r="EK318" i="24050"/>
  <c r="FQ324" i="23917"/>
  <c r="O319" i="24050"/>
  <c r="AU325" i="23917"/>
  <c r="Q319" i="24050"/>
  <c r="AW325" i="23917"/>
  <c r="S319" i="24050"/>
  <c r="AY325" i="23917"/>
  <c r="W316" i="24050"/>
  <c r="BC322" i="23917"/>
  <c r="Y316" i="24050"/>
  <c r="BE322" i="23917"/>
  <c r="AA316" i="24050"/>
  <c r="BG322" i="23917"/>
  <c r="AC316" i="24050"/>
  <c r="BI322" i="23917"/>
  <c r="AE316" i="24050"/>
  <c r="BK322" i="23917"/>
  <c r="AG316" i="24050"/>
  <c r="BM322" i="23917"/>
  <c r="AI316" i="24050"/>
  <c r="BO322" i="23917"/>
  <c r="AK316" i="24050"/>
  <c r="BQ322" i="23917"/>
  <c r="AM317" i="24050"/>
  <c r="BS323" i="23917"/>
  <c r="AO317" i="24050"/>
  <c r="BU323" i="23917"/>
  <c r="AQ318" i="24050"/>
  <c r="BW324" i="23917"/>
  <c r="AS319" i="24050"/>
  <c r="BY325" i="23917"/>
  <c r="AU319" i="24050"/>
  <c r="CA325" i="23917"/>
  <c r="AY316" i="24050"/>
  <c r="CE322" i="23917"/>
  <c r="BA316" i="24050"/>
  <c r="CG322" i="23917"/>
  <c r="BC317" i="24050"/>
  <c r="CI323" i="23917"/>
  <c r="BE317" i="24050"/>
  <c r="CK323" i="23917"/>
  <c r="BG318" i="24050"/>
  <c r="CM324" i="23917"/>
  <c r="BI318" i="24050"/>
  <c r="CO324" i="23917"/>
  <c r="BK318" i="24050"/>
  <c r="CQ324" i="23917"/>
  <c r="BM318" i="24050"/>
  <c r="CS324" i="23917"/>
  <c r="BO318" i="24050"/>
  <c r="CU324" i="23917"/>
  <c r="BQ318" i="24050"/>
  <c r="CW324" i="23917"/>
  <c r="BS318" i="24050"/>
  <c r="CY324" i="23917"/>
  <c r="BU318" i="24050"/>
  <c r="DA324" i="23917"/>
  <c r="BW318" i="24050"/>
  <c r="DC324" i="23917"/>
  <c r="BY318" i="24050"/>
  <c r="DE324" i="23917"/>
  <c r="CA318" i="24050"/>
  <c r="DG324" i="23917"/>
  <c r="CC318" i="24050"/>
  <c r="DI324" i="23917"/>
  <c r="CE318" i="24050"/>
  <c r="DK324" i="23917"/>
  <c r="CG318" i="24050"/>
  <c r="DM324" i="23917"/>
  <c r="CI318" i="24050"/>
  <c r="DO324" i="23917"/>
  <c r="CK318" i="24050"/>
  <c r="DQ324" i="23917"/>
  <c r="CM318" i="24050"/>
  <c r="DS324" i="23917"/>
  <c r="CO318" i="24050"/>
  <c r="DU324" i="23917"/>
  <c r="CS318" i="24050"/>
  <c r="DY324" i="23917"/>
  <c r="CW318" i="24050"/>
  <c r="EC324" i="23917"/>
  <c r="DA318" i="24050"/>
  <c r="EG324" i="23917"/>
  <c r="DI319" i="24050"/>
  <c r="EO325" i="23917"/>
  <c r="DQ319" i="24050"/>
  <c r="EW325" i="23917"/>
  <c r="DY319" i="24050"/>
  <c r="FE325" i="23917"/>
  <c r="EG319" i="24050"/>
  <c r="FM325" i="23917"/>
  <c r="EP318" i="24050"/>
  <c r="FV324" i="23917"/>
  <c r="C317" i="24050"/>
  <c r="AI323" i="23917"/>
  <c r="E316" i="24050"/>
  <c r="AK322" i="23917"/>
  <c r="E320" i="24050"/>
  <c r="AK326" i="23917"/>
  <c r="I316" i="24050"/>
  <c r="AO322" i="23917"/>
  <c r="I320" i="24050"/>
  <c r="AO326" i="23917"/>
  <c r="K320" i="24050"/>
  <c r="AQ326" i="23917"/>
  <c r="M320" i="24050"/>
  <c r="AS326" i="23917"/>
  <c r="DM320" i="24050"/>
  <c r="ES326" i="23917"/>
  <c r="EC320" i="24050"/>
  <c r="FI326" i="23917"/>
  <c r="I327" i="23917"/>
  <c r="H327" i="23917"/>
  <c r="Q327" i="23917"/>
  <c r="P327" i="23917"/>
  <c r="Y327" i="23917"/>
  <c r="X327" i="23917"/>
  <c r="D321" i="24050"/>
  <c r="AJ327" i="23917"/>
  <c r="N321" i="24050"/>
  <c r="AT327" i="23917"/>
  <c r="AB321" i="24050"/>
  <c r="BH327" i="23917"/>
  <c r="AZ321" i="24050"/>
  <c r="CF327" i="23917"/>
  <c r="BP321" i="24050"/>
  <c r="CV327" i="23917"/>
  <c r="CF321" i="24050"/>
  <c r="DL327" i="23917"/>
  <c r="I338" i="23917"/>
  <c r="H338" i="23917"/>
  <c r="Q338" i="23917"/>
  <c r="P338" i="23917"/>
  <c r="Y338" i="23917"/>
  <c r="X338" i="23917"/>
  <c r="AG338" i="23917"/>
  <c r="AF338" i="23917"/>
  <c r="J332" i="24050"/>
  <c r="AP338" i="23917"/>
  <c r="T332" i="24050"/>
  <c r="AZ338" i="23917"/>
  <c r="AB332" i="24050"/>
  <c r="BH338" i="23917"/>
  <c r="AJ332" i="24050"/>
  <c r="BP338" i="23917"/>
  <c r="AR332" i="24050"/>
  <c r="BX338" i="23917"/>
  <c r="AZ332" i="24050"/>
  <c r="CF338" i="23917"/>
  <c r="BH332" i="24050"/>
  <c r="CN338" i="23917"/>
  <c r="BP332" i="24050"/>
  <c r="CV338" i="23917"/>
  <c r="BX332" i="24050"/>
  <c r="DD338" i="23917"/>
  <c r="CF332" i="24050"/>
  <c r="DL338" i="23917"/>
  <c r="CW332" i="24050"/>
  <c r="CN332" i="24050"/>
  <c r="DT338" i="23917"/>
  <c r="B333" i="24050"/>
  <c r="AH339" i="23917"/>
  <c r="F333" i="24050"/>
  <c r="AL339" i="23917"/>
  <c r="J333" i="24050"/>
  <c r="AP339" i="23917"/>
  <c r="N333" i="24050"/>
  <c r="AT339" i="23917"/>
  <c r="R333" i="24050"/>
  <c r="AX339" i="23917"/>
  <c r="V333" i="24050"/>
  <c r="BB339" i="23917"/>
  <c r="Z333" i="24050"/>
  <c r="BF339" i="23917"/>
  <c r="AD333" i="24050"/>
  <c r="BJ339" i="23917"/>
  <c r="AJ333" i="24050"/>
  <c r="BP339" i="23917"/>
  <c r="AN333" i="24050"/>
  <c r="BT339" i="23917"/>
  <c r="BA333" i="24050"/>
  <c r="CG339" i="23917"/>
  <c r="BE333" i="24050"/>
  <c r="CK339" i="23917"/>
  <c r="BI333" i="24050"/>
  <c r="CO339" i="23917"/>
  <c r="BM333" i="24050"/>
  <c r="CS339" i="23917"/>
  <c r="BQ333" i="24050"/>
  <c r="CW339" i="23917"/>
  <c r="BU333" i="24050"/>
  <c r="DA339" i="23917"/>
  <c r="BY333" i="24050"/>
  <c r="DE339" i="23917"/>
  <c r="CC333" i="24050"/>
  <c r="DI339" i="23917"/>
  <c r="CG333" i="24050"/>
  <c r="DM339" i="23917"/>
  <c r="CK333" i="24050"/>
  <c r="DQ339" i="23917"/>
  <c r="CO333" i="24050"/>
  <c r="DU339" i="23917"/>
  <c r="D390" i="23917"/>
  <c r="D386" i="23917"/>
  <c r="L390" i="23917"/>
  <c r="L386" i="23917"/>
  <c r="T390" i="23917"/>
  <c r="T386" i="23917"/>
  <c r="AB390" i="23917"/>
  <c r="AB386" i="23917"/>
  <c r="AR390" i="23917"/>
  <c r="L384" i="24050" s="1"/>
  <c r="AR386" i="23917"/>
  <c r="L380" i="24050" s="1"/>
  <c r="DP390" i="23917"/>
  <c r="DP386" i="23917"/>
  <c r="EL387" i="23917"/>
  <c r="EK387" i="23917"/>
  <c r="FA390" i="23917"/>
  <c r="FA386" i="23917"/>
  <c r="FE390" i="23917"/>
  <c r="FE386" i="23917"/>
  <c r="FI390" i="23917"/>
  <c r="FI386" i="23917"/>
  <c r="DZ381" i="24050"/>
  <c r="CL381" i="24050"/>
  <c r="ED381" i="24050"/>
  <c r="CP381" i="24050"/>
  <c r="EH381" i="24050"/>
  <c r="CT381" i="24050"/>
  <c r="DX381" i="24050"/>
  <c r="CJ381" i="24050"/>
  <c r="AS388" i="23917"/>
  <c r="M382" i="24050" s="1"/>
  <c r="AP388" i="23917"/>
  <c r="J382" i="24050" s="1"/>
  <c r="EX388" i="23917"/>
  <c r="EW388" i="23917"/>
  <c r="FF388" i="23917"/>
  <c r="FE388" i="23917"/>
  <c r="FN388" i="23917"/>
  <c r="FM388" i="23917"/>
  <c r="FH389" i="23917"/>
  <c r="FG389" i="23917"/>
  <c r="AH389" i="23917"/>
  <c r="B383" i="24050" s="1"/>
  <c r="EU389" i="23917"/>
  <c r="AP389" i="23917"/>
  <c r="J383" i="24050" s="1"/>
  <c r="EW389" i="23917"/>
  <c r="AX389" i="23917"/>
  <c r="R383" i="24050" s="1"/>
  <c r="BE389" i="23917"/>
  <c r="Y383" i="24050" s="1"/>
  <c r="BH390" i="23917"/>
  <c r="AB384" i="24050" s="1"/>
  <c r="BL390" i="23917"/>
  <c r="AF384" i="24050" s="1"/>
  <c r="BP390" i="23917"/>
  <c r="AJ384" i="24050" s="1"/>
  <c r="BT390" i="23917"/>
  <c r="AN384" i="24050" s="1"/>
  <c r="BX390" i="23917"/>
  <c r="AR384" i="24050" s="1"/>
  <c r="CB390" i="23917"/>
  <c r="AV384" i="24050" s="1"/>
  <c r="CF390" i="23917"/>
  <c r="AZ384" i="24050" s="1"/>
  <c r="CJ390" i="23917"/>
  <c r="BD384" i="24050" s="1"/>
  <c r="CN390" i="23917"/>
  <c r="BH384" i="24050" s="1"/>
  <c r="CR390" i="23917"/>
  <c r="BL384" i="24050" s="1"/>
  <c r="CV390" i="23917"/>
  <c r="CZ390" i="23917"/>
  <c r="DD390" i="23917"/>
  <c r="DH390" i="23917"/>
  <c r="DL390" i="23917"/>
  <c r="DR390" i="23917"/>
  <c r="D403" i="23917"/>
  <c r="D393" i="23917"/>
  <c r="L403" i="23917"/>
  <c r="L393" i="23917"/>
  <c r="T403" i="23917"/>
  <c r="T393" i="23917"/>
  <c r="AB403" i="23917"/>
  <c r="AB393" i="23917"/>
  <c r="AJ403" i="23917"/>
  <c r="D397" i="24050" s="1"/>
  <c r="AJ393" i="23917"/>
  <c r="D387" i="24050" s="1"/>
  <c r="AR403" i="23917"/>
  <c r="L397" i="24050" s="1"/>
  <c r="AR393" i="23917"/>
  <c r="L387" i="24050" s="1"/>
  <c r="AZ403" i="23917"/>
  <c r="T397" i="24050" s="1"/>
  <c r="AZ393" i="23917"/>
  <c r="T387" i="24050" s="1"/>
  <c r="G394" i="23917"/>
  <c r="F394" i="23917"/>
  <c r="O394" i="23917"/>
  <c r="N394" i="23917"/>
  <c r="W394" i="23917"/>
  <c r="V394" i="23917"/>
  <c r="AE394" i="23917"/>
  <c r="AD394" i="23917"/>
  <c r="AM394" i="23917"/>
  <c r="G388" i="24050" s="1"/>
  <c r="AL394" i="23917"/>
  <c r="F388" i="24050" s="1"/>
  <c r="AU394" i="23917"/>
  <c r="O388" i="24050" s="1"/>
  <c r="AT394" i="23917"/>
  <c r="N388" i="24050" s="1"/>
  <c r="BE394" i="23917"/>
  <c r="Y388" i="24050" s="1"/>
  <c r="BB394" i="23917"/>
  <c r="V388" i="24050" s="1"/>
  <c r="DV396" i="23917"/>
  <c r="ED396" i="23917"/>
  <c r="C396" i="23917"/>
  <c r="B396" i="23917"/>
  <c r="K396" i="23917"/>
  <c r="J396" i="23917"/>
  <c r="R396" i="23917"/>
  <c r="Z396" i="23917"/>
  <c r="AH396" i="23917"/>
  <c r="B390" i="24050" s="1"/>
  <c r="AP396" i="23917"/>
  <c r="J390" i="24050" s="1"/>
  <c r="AX396" i="23917"/>
  <c r="R390" i="24050" s="1"/>
  <c r="DS389" i="24050"/>
  <c r="CE389" i="24050"/>
  <c r="BH396" i="23917"/>
  <c r="AB390" i="24050" s="1"/>
  <c r="BL396" i="23917"/>
  <c r="AF390" i="24050" s="1"/>
  <c r="BP396" i="23917"/>
  <c r="AJ390" i="24050" s="1"/>
  <c r="BT396" i="23917"/>
  <c r="AN390" i="24050" s="1"/>
  <c r="BX396" i="23917"/>
  <c r="AR390" i="24050" s="1"/>
  <c r="CB396" i="23917"/>
  <c r="AV390" i="24050" s="1"/>
  <c r="CF396" i="23917"/>
  <c r="AZ390" i="24050" s="1"/>
  <c r="DS394" i="23917"/>
  <c r="DP394" i="23917"/>
  <c r="EM400" i="23917"/>
  <c r="EO401" i="23917"/>
  <c r="EQ402" i="23917"/>
  <c r="FD397" i="23917"/>
  <c r="FA397" i="23917"/>
  <c r="FH393" i="23917"/>
  <c r="FE393" i="23917"/>
  <c r="EA387" i="24050"/>
  <c r="CM387" i="24050"/>
  <c r="FL393" i="23917"/>
  <c r="FI393" i="23917"/>
  <c r="FL397" i="23917"/>
  <c r="FI397" i="23917"/>
  <c r="FL396" i="23917"/>
  <c r="FK396" i="23917"/>
  <c r="DV388" i="24050"/>
  <c r="CH388" i="24050"/>
  <c r="CH395" i="24050"/>
  <c r="DV395" i="24050"/>
  <c r="DX395" i="24050"/>
  <c r="CJ395" i="24050"/>
  <c r="DZ395" i="24050"/>
  <c r="CL395" i="24050"/>
  <c r="EB395" i="24050"/>
  <c r="CN395" i="24050"/>
  <c r="CP395" i="24050"/>
  <c r="ED395" i="24050"/>
  <c r="EF395" i="24050"/>
  <c r="CR395" i="24050"/>
  <c r="CT395" i="24050"/>
  <c r="EH395" i="24050"/>
  <c r="EJ395" i="24050"/>
  <c r="CV395" i="24050"/>
  <c r="CX395" i="24050"/>
  <c r="EL395" i="24050"/>
  <c r="FD402" i="23917"/>
  <c r="FC402" i="23917"/>
  <c r="DX402" i="23917"/>
  <c r="DV402" i="23917"/>
  <c r="FH402" i="23917"/>
  <c r="FG402" i="23917"/>
  <c r="CU403" i="23917"/>
  <c r="DF346" i="24050"/>
  <c r="EL352" i="23917"/>
  <c r="DJ346" i="24050"/>
  <c r="EP352" i="23917"/>
  <c r="DN346" i="24050"/>
  <c r="ET352" i="23917"/>
  <c r="DR346" i="24050"/>
  <c r="EX352" i="23917"/>
  <c r="DF347" i="24050"/>
  <c r="EL353" i="23917"/>
  <c r="DJ347" i="24050"/>
  <c r="EP353" i="23917"/>
  <c r="DN347" i="24050"/>
  <c r="ET353" i="23917"/>
  <c r="DR347" i="24050"/>
  <c r="EX353" i="23917"/>
  <c r="DF348" i="24050"/>
  <c r="EL354" i="23917"/>
  <c r="DJ348" i="24050"/>
  <c r="EP354" i="23917"/>
  <c r="DN348" i="24050"/>
  <c r="ET354" i="23917"/>
  <c r="DR348" i="24050"/>
  <c r="EX354" i="23917"/>
  <c r="C346" i="24050"/>
  <c r="AI352" i="23917"/>
  <c r="E347" i="24050"/>
  <c r="AK353" i="23917"/>
  <c r="G348" i="24050"/>
  <c r="AM354" i="23917"/>
  <c r="K346" i="24050"/>
  <c r="AQ352" i="23917"/>
  <c r="M347" i="24050"/>
  <c r="AS353" i="23917"/>
  <c r="O348" i="24050"/>
  <c r="AU354" i="23917"/>
  <c r="S346" i="24050"/>
  <c r="AY352" i="23917"/>
  <c r="U347" i="24050"/>
  <c r="BA353" i="23917"/>
  <c r="F364" i="23917"/>
  <c r="F355" i="23917"/>
  <c r="N364" i="23917"/>
  <c r="N355" i="23917"/>
  <c r="V364" i="23917"/>
  <c r="V355" i="23917"/>
  <c r="AD364" i="23917"/>
  <c r="AD355" i="23917"/>
  <c r="F349" i="24050"/>
  <c r="AL355" i="23917"/>
  <c r="N349" i="24050"/>
  <c r="AT355" i="23917"/>
  <c r="V349" i="24050"/>
  <c r="BB355" i="23917"/>
  <c r="DK352" i="24050"/>
  <c r="EQ358" i="23917"/>
  <c r="DF353" i="24050"/>
  <c r="EL359" i="23917"/>
  <c r="DJ353" i="24050"/>
  <c r="EP359" i="23917"/>
  <c r="DN353" i="24050"/>
  <c r="ET359" i="23917"/>
  <c r="DR353" i="24050"/>
  <c r="EX359" i="23917"/>
  <c r="DK354" i="24050"/>
  <c r="EQ360" i="23917"/>
  <c r="DC352" i="24050"/>
  <c r="EI358" i="23917"/>
  <c r="U362" i="23917"/>
  <c r="T362" i="23917"/>
  <c r="DD354" i="24050"/>
  <c r="EJ360" i="23917"/>
  <c r="C353" i="24050"/>
  <c r="AI359" i="23917"/>
  <c r="E353" i="24050"/>
  <c r="AK359" i="23917"/>
  <c r="G353" i="24050"/>
  <c r="AM359" i="23917"/>
  <c r="I353" i="24050"/>
  <c r="AO359" i="23917"/>
  <c r="K353" i="24050"/>
  <c r="AQ359" i="23917"/>
  <c r="M353" i="24050"/>
  <c r="AS359" i="23917"/>
  <c r="O353" i="24050"/>
  <c r="AU359" i="23917"/>
  <c r="Q353" i="24050"/>
  <c r="AW359" i="23917"/>
  <c r="S353" i="24050"/>
  <c r="AY359" i="23917"/>
  <c r="U353" i="24050"/>
  <c r="BA359" i="23917"/>
  <c r="E362" i="23917"/>
  <c r="D362" i="23917"/>
  <c r="M362" i="23917"/>
  <c r="L362" i="23917"/>
  <c r="W362" i="23917"/>
  <c r="V362" i="23917"/>
  <c r="AG362" i="23917"/>
  <c r="AF362" i="23917"/>
  <c r="H356" i="24050"/>
  <c r="AN362" i="23917"/>
  <c r="P356" i="24050"/>
  <c r="AV362" i="23917"/>
  <c r="DC355" i="24050"/>
  <c r="EI361" i="23917"/>
  <c r="DG355" i="24050"/>
  <c r="EM361" i="23917"/>
  <c r="DK355" i="24050"/>
  <c r="EQ361" i="23917"/>
  <c r="DO355" i="24050"/>
  <c r="EU361" i="23917"/>
  <c r="C366" i="24050"/>
  <c r="AI372" i="23917"/>
  <c r="G366" i="24050"/>
  <c r="AM372" i="23917"/>
  <c r="K366" i="24050"/>
  <c r="AQ372" i="23917"/>
  <c r="O366" i="24050"/>
  <c r="AU372" i="23917"/>
  <c r="S366" i="24050"/>
  <c r="AY372" i="23917"/>
  <c r="C373" i="23917"/>
  <c r="B373" i="23917"/>
  <c r="K373" i="23917"/>
  <c r="J373" i="23917"/>
  <c r="S373" i="23917"/>
  <c r="R373" i="23917"/>
  <c r="AA373" i="23917"/>
  <c r="Z373" i="23917"/>
  <c r="B367" i="24050"/>
  <c r="AH373" i="23917"/>
  <c r="J367" i="24050"/>
  <c r="AP373" i="23917"/>
  <c r="AX373" i="23917"/>
  <c r="C368" i="24050"/>
  <c r="AI374" i="23917"/>
  <c r="G368" i="24050"/>
  <c r="AM374" i="23917"/>
  <c r="K368" i="24050"/>
  <c r="AQ374" i="23917"/>
  <c r="O368" i="24050"/>
  <c r="AU374" i="23917"/>
  <c r="S368" i="24050"/>
  <c r="AY374" i="23917"/>
  <c r="G11" i="23917"/>
  <c r="C19" i="23917"/>
  <c r="DO19" i="24050"/>
  <c r="EA30" i="24050"/>
  <c r="EG31" i="24050"/>
  <c r="J30" i="24050"/>
  <c r="N30" i="24050"/>
  <c r="CV30" i="24050"/>
  <c r="O48" i="24068"/>
  <c r="DS58" i="24050"/>
  <c r="EA58" i="24050"/>
  <c r="DJ59" i="24050"/>
  <c r="DJ24" i="24050"/>
  <c r="DQ59" i="24050"/>
  <c r="DQ24" i="24050"/>
  <c r="DY59" i="24050"/>
  <c r="DY24" i="24050"/>
  <c r="EG59" i="24050"/>
  <c r="EG24" i="24050"/>
  <c r="C59" i="24050"/>
  <c r="C24" i="24050"/>
  <c r="K24" i="24050"/>
  <c r="K59" i="24050"/>
  <c r="S59" i="24050"/>
  <c r="S24" i="24050"/>
  <c r="AA24" i="24050"/>
  <c r="AA59" i="24050"/>
  <c r="AI59" i="24050"/>
  <c r="AI24" i="24050"/>
  <c r="AQ24" i="24050"/>
  <c r="AQ59" i="24050"/>
  <c r="AY59" i="24050"/>
  <c r="AY24" i="24050"/>
  <c r="BG24" i="24050"/>
  <c r="BG59" i="24050"/>
  <c r="BO59" i="24050"/>
  <c r="BO24" i="24050"/>
  <c r="BW24" i="24050"/>
  <c r="BW59" i="24050"/>
  <c r="CE59" i="24050"/>
  <c r="CE24" i="24050"/>
  <c r="CM59" i="24050"/>
  <c r="CM24" i="24050"/>
  <c r="DE59" i="24050"/>
  <c r="DE24" i="24050"/>
  <c r="DI87" i="24050"/>
  <c r="EO93" i="23917"/>
  <c r="DQ87" i="24050"/>
  <c r="EW93" i="23917"/>
  <c r="DY87" i="24050"/>
  <c r="FE93" i="23917"/>
  <c r="EG87" i="24050"/>
  <c r="FM93" i="23917"/>
  <c r="B93" i="24050"/>
  <c r="AH99" i="23917"/>
  <c r="L93" i="24050"/>
  <c r="AR99" i="23917"/>
  <c r="R93" i="24050"/>
  <c r="AX99" i="23917"/>
  <c r="AB93" i="24050"/>
  <c r="BH99" i="23917"/>
  <c r="AH93" i="24050"/>
  <c r="BN99" i="23917"/>
  <c r="AX93" i="24050"/>
  <c r="CD99" i="23917"/>
  <c r="BH93" i="24050"/>
  <c r="CN99" i="23917"/>
  <c r="BN93" i="24050"/>
  <c r="CT99" i="23917"/>
  <c r="BX93" i="24050"/>
  <c r="DD99" i="23917"/>
  <c r="CD93" i="24050"/>
  <c r="DJ99" i="23917"/>
  <c r="CN93" i="24050"/>
  <c r="DT99" i="23917"/>
  <c r="CP88" i="24050"/>
  <c r="CP76" i="24050"/>
  <c r="U76" i="24050"/>
  <c r="U88" i="24050"/>
  <c r="AK76" i="24050"/>
  <c r="AK88" i="24050"/>
  <c r="BA76" i="24050"/>
  <c r="BA88" i="24050"/>
  <c r="BQ76" i="24050"/>
  <c r="BQ88" i="24050"/>
  <c r="CG76" i="24050"/>
  <c r="CG88" i="24050"/>
  <c r="DC76" i="24050"/>
  <c r="DC88" i="24050"/>
  <c r="EI94" i="23917"/>
  <c r="DI88" i="24050"/>
  <c r="DI76" i="24050"/>
  <c r="EO94" i="23917"/>
  <c r="CO89" i="24050"/>
  <c r="DU95" i="23917"/>
  <c r="DE89" i="24050"/>
  <c r="EK95" i="23917"/>
  <c r="DJ89" i="24050"/>
  <c r="EP95" i="23917"/>
  <c r="DO89" i="24050"/>
  <c r="EU95" i="23917"/>
  <c r="DU89" i="24050"/>
  <c r="FA95" i="23917"/>
  <c r="DZ89" i="24050"/>
  <c r="FF95" i="23917"/>
  <c r="EE89" i="24050"/>
  <c r="FK95" i="23917"/>
  <c r="X77" i="24050"/>
  <c r="F90" i="24050"/>
  <c r="AL96" i="23917"/>
  <c r="F94" i="24050"/>
  <c r="AL100" i="23917"/>
  <c r="J94" i="24050"/>
  <c r="AP100" i="23917"/>
  <c r="N94" i="24050"/>
  <c r="AT100" i="23917"/>
  <c r="R94" i="24050"/>
  <c r="AX100" i="23917"/>
  <c r="V94" i="24050"/>
  <c r="BB100" i="23917"/>
  <c r="Z94" i="24050"/>
  <c r="BF100" i="23917"/>
  <c r="AD94" i="24050"/>
  <c r="BJ100" i="23917"/>
  <c r="AH94" i="24050"/>
  <c r="BN100" i="23917"/>
  <c r="AL94" i="24050"/>
  <c r="BR100" i="23917"/>
  <c r="AP94" i="24050"/>
  <c r="BV100" i="23917"/>
  <c r="AV94" i="24050"/>
  <c r="CB100" i="23917"/>
  <c r="BD94" i="24050"/>
  <c r="CJ100" i="23917"/>
  <c r="BL94" i="24050"/>
  <c r="CR100" i="23917"/>
  <c r="BT94" i="24050"/>
  <c r="CZ100" i="23917"/>
  <c r="CB94" i="24050"/>
  <c r="DH100" i="23917"/>
  <c r="CH94" i="24050"/>
  <c r="DN100" i="23917"/>
  <c r="AV96" i="24050"/>
  <c r="CB102" i="23917"/>
  <c r="BD96" i="24050"/>
  <c r="CJ102" i="23917"/>
  <c r="BK96" i="24050"/>
  <c r="CQ102" i="23917"/>
  <c r="BT96" i="24050"/>
  <c r="CZ102" i="23917"/>
  <c r="CB96" i="24050"/>
  <c r="DH102" i="23917"/>
  <c r="CI96" i="24050"/>
  <c r="DO102" i="23917"/>
  <c r="I97" i="23917"/>
  <c r="H97" i="23917"/>
  <c r="AG97" i="23917"/>
  <c r="X97" i="23917"/>
  <c r="D91" i="24050"/>
  <c r="AJ97" i="23917"/>
  <c r="G97" i="23917"/>
  <c r="U97" i="23917"/>
  <c r="G96" i="24050"/>
  <c r="AM102" i="23917"/>
  <c r="L96" i="24050"/>
  <c r="AR102" i="23917"/>
  <c r="Q96" i="24050"/>
  <c r="AW102" i="23917"/>
  <c r="V96" i="24050"/>
  <c r="BB102" i="23917"/>
  <c r="AB96" i="24050"/>
  <c r="BH102" i="23917"/>
  <c r="AG96" i="24050"/>
  <c r="BM102" i="23917"/>
  <c r="AL96" i="24050"/>
  <c r="BR102" i="23917"/>
  <c r="D8" i="23917"/>
  <c r="H8" i="23917"/>
  <c r="B10" i="23917"/>
  <c r="F10" i="23917"/>
  <c r="D12" i="23917"/>
  <c r="H12" i="23917"/>
  <c r="EI9" i="23917"/>
  <c r="EI14" i="23917"/>
  <c r="B19" i="23917"/>
  <c r="EI19" i="23917"/>
  <c r="AI22" i="23917"/>
  <c r="AQ22" i="23917"/>
  <c r="AU22" i="23917"/>
  <c r="AY22" i="23917"/>
  <c r="BC22" i="23917"/>
  <c r="BG22" i="23917"/>
  <c r="BK22" i="23917"/>
  <c r="BO22" i="23917"/>
  <c r="BS22" i="23917"/>
  <c r="CC22" i="23917"/>
  <c r="CK22" i="23917"/>
  <c r="CS22" i="23917"/>
  <c r="DA22" i="23917"/>
  <c r="DI22" i="23917"/>
  <c r="DQ22" i="23917"/>
  <c r="FA22" i="23917"/>
  <c r="FE41" i="23917"/>
  <c r="FI22" i="23917"/>
  <c r="AO27" i="23917"/>
  <c r="AW27" i="23917"/>
  <c r="BE27" i="23917"/>
  <c r="BM27" i="23917"/>
  <c r="BU27" i="23917"/>
  <c r="CC27" i="23917"/>
  <c r="EP27" i="23917"/>
  <c r="FI27" i="23917"/>
  <c r="FM27" i="23917"/>
  <c r="DA38" i="23917"/>
  <c r="DI38" i="23917"/>
  <c r="BV38" i="23917"/>
  <c r="DX38" i="23917"/>
  <c r="EB38" i="23917"/>
  <c r="EF38" i="23917"/>
  <c r="DX52" i="23917"/>
  <c r="AI66" i="23917"/>
  <c r="AM66" i="23917"/>
  <c r="AQ66" i="23917"/>
  <c r="AU66" i="23917"/>
  <c r="AY66" i="23917"/>
  <c r="BC66" i="23917"/>
  <c r="BG66" i="23917"/>
  <c r="BK66" i="23917"/>
  <c r="BO66" i="23917"/>
  <c r="BS66" i="23917"/>
  <c r="BW66" i="23917"/>
  <c r="CA66" i="23917"/>
  <c r="CE66" i="23917"/>
  <c r="CI66" i="23917"/>
  <c r="CM66" i="23917"/>
  <c r="CQ66" i="23917"/>
  <c r="CU66" i="23917"/>
  <c r="CY66" i="23917"/>
  <c r="DC66" i="23917"/>
  <c r="DG66" i="23917"/>
  <c r="DK66" i="23917"/>
  <c r="DO66" i="23917"/>
  <c r="DS66" i="23917"/>
  <c r="EI66" i="23917"/>
  <c r="EU66" i="23917"/>
  <c r="FC66" i="23917"/>
  <c r="FK66" i="23917"/>
  <c r="H72" i="23917"/>
  <c r="DV82" i="23917"/>
  <c r="DV93" i="23917"/>
  <c r="AK94" i="23917"/>
  <c r="BA94" i="23917"/>
  <c r="BQ94" i="23917"/>
  <c r="CG94" i="23917"/>
  <c r="CW94" i="23917"/>
  <c r="DM94" i="23917"/>
  <c r="AK95" i="23917"/>
  <c r="AO95" i="23917"/>
  <c r="AS95" i="23917"/>
  <c r="AW95" i="23917"/>
  <c r="BA95" i="23917"/>
  <c r="BE95" i="23917"/>
  <c r="BI95" i="23917"/>
  <c r="BM95" i="23917"/>
  <c r="BQ95" i="23917"/>
  <c r="BU95" i="23917"/>
  <c r="CC95" i="23917"/>
  <c r="CK95" i="23917"/>
  <c r="CO95" i="23917"/>
  <c r="CS95" i="23917"/>
  <c r="CW95" i="23917"/>
  <c r="DA95" i="23917"/>
  <c r="DE95" i="23917"/>
  <c r="DI95" i="23917"/>
  <c r="DM95" i="23917"/>
  <c r="AL97" i="23917"/>
  <c r="S240" i="23917"/>
  <c r="J240" i="23917"/>
  <c r="K242" i="23917"/>
  <c r="S241" i="23917"/>
  <c r="R241" i="23917"/>
  <c r="AG240" i="23917"/>
  <c r="X240" i="23917"/>
  <c r="Z242" i="23917"/>
  <c r="DK234" i="24050"/>
  <c r="EQ240" i="23917"/>
  <c r="DS234" i="24050"/>
  <c r="EY240" i="23917"/>
  <c r="Q16" i="24068"/>
  <c r="EA234" i="24050"/>
  <c r="FG240" i="23917"/>
  <c r="DJ235" i="24050"/>
  <c r="EP241" i="23917"/>
  <c r="DU235" i="24050"/>
  <c r="FA241" i="23917"/>
  <c r="EC235" i="24050"/>
  <c r="FI241" i="23917"/>
  <c r="DU236" i="24050"/>
  <c r="FA242" i="23917"/>
  <c r="EC236" i="24050"/>
  <c r="FI242" i="23917"/>
  <c r="EK236" i="24050"/>
  <c r="FQ242" i="23917"/>
  <c r="Q235" i="24050"/>
  <c r="AW241" i="23917"/>
  <c r="E236" i="24050"/>
  <c r="AK242" i="23917"/>
  <c r="I234" i="24050"/>
  <c r="AO240" i="23917"/>
  <c r="K236" i="24050"/>
  <c r="AQ242" i="23917"/>
  <c r="O234" i="24050"/>
  <c r="AU240" i="23917"/>
  <c r="S236" i="24050"/>
  <c r="AY242" i="23917"/>
  <c r="Y234" i="24050"/>
  <c r="BE240" i="23917"/>
  <c r="AC234" i="24050"/>
  <c r="BI240" i="23917"/>
  <c r="AG234" i="24050"/>
  <c r="BM240" i="23917"/>
  <c r="AI235" i="24050"/>
  <c r="BO241" i="23917"/>
  <c r="AK236" i="24050"/>
  <c r="BQ242" i="23917"/>
  <c r="AO234" i="24050"/>
  <c r="BU240" i="23917"/>
  <c r="AQ235" i="24050"/>
  <c r="BW241" i="23917"/>
  <c r="AS236" i="24050"/>
  <c r="BY242" i="23917"/>
  <c r="AW234" i="24050"/>
  <c r="CC240" i="23917"/>
  <c r="AY235" i="24050"/>
  <c r="CE241" i="23917"/>
  <c r="BA236" i="24050"/>
  <c r="CG242" i="23917"/>
  <c r="BE234" i="24050"/>
  <c r="CK240" i="23917"/>
  <c r="BG235" i="24050"/>
  <c r="CM241" i="23917"/>
  <c r="BI236" i="24050"/>
  <c r="CO242" i="23917"/>
  <c r="BM234" i="24050"/>
  <c r="CS240" i="23917"/>
  <c r="BO235" i="24050"/>
  <c r="CU241" i="23917"/>
  <c r="BQ236" i="24050"/>
  <c r="CW242" i="23917"/>
  <c r="BU234" i="24050"/>
  <c r="DA240" i="23917"/>
  <c r="BW235" i="24050"/>
  <c r="DC241" i="23917"/>
  <c r="BY236" i="24050"/>
  <c r="DE242" i="23917"/>
  <c r="CC234" i="24050"/>
  <c r="DI240" i="23917"/>
  <c r="CE235" i="24050"/>
  <c r="DK241" i="23917"/>
  <c r="CG236" i="24050"/>
  <c r="DM242" i="23917"/>
  <c r="CK234" i="24050"/>
  <c r="DQ240" i="23917"/>
  <c r="CM235" i="24050"/>
  <c r="DS241" i="23917"/>
  <c r="CO236" i="24050"/>
  <c r="DU242" i="23917"/>
  <c r="CW236" i="24050"/>
  <c r="EC242" i="23917"/>
  <c r="DF235" i="24050"/>
  <c r="EL241" i="23917"/>
  <c r="DH236" i="24050"/>
  <c r="EN242" i="23917"/>
  <c r="Q243" i="23917"/>
  <c r="P243" i="23917"/>
  <c r="AC243" i="23917"/>
  <c r="AB243" i="23917"/>
  <c r="F237" i="24050"/>
  <c r="AL243" i="23917"/>
  <c r="AB237" i="24050"/>
  <c r="BH243" i="23917"/>
  <c r="AN237" i="24050"/>
  <c r="BT243" i="23917"/>
  <c r="AT237" i="24050"/>
  <c r="BZ243" i="23917"/>
  <c r="BD237" i="24050"/>
  <c r="CJ243" i="23917"/>
  <c r="BJ237" i="24050"/>
  <c r="CP243" i="23917"/>
  <c r="BR237" i="24050"/>
  <c r="CX243" i="23917"/>
  <c r="BX237" i="24050"/>
  <c r="DD243" i="23917"/>
  <c r="CD237" i="24050"/>
  <c r="DJ243" i="23917"/>
  <c r="CN237" i="24050"/>
  <c r="DT243" i="23917"/>
  <c r="DI237" i="24050"/>
  <c r="EO243" i="23917"/>
  <c r="CO240" i="24050"/>
  <c r="DU246" i="23917"/>
  <c r="DJ240" i="24050"/>
  <c r="EP246" i="23917"/>
  <c r="DS240" i="24050"/>
  <c r="EY246" i="23917"/>
  <c r="EA240" i="24050"/>
  <c r="FG246" i="23917"/>
  <c r="DJ241" i="24050"/>
  <c r="EP247" i="23917"/>
  <c r="DS241" i="24050"/>
  <c r="EY247" i="23917"/>
  <c r="EA241" i="24050"/>
  <c r="FG247" i="23917"/>
  <c r="E241" i="24050"/>
  <c r="AK247" i="23917"/>
  <c r="DH241" i="24050"/>
  <c r="EN247" i="23917"/>
  <c r="W250" i="23917"/>
  <c r="V250" i="23917"/>
  <c r="B244" i="24050"/>
  <c r="AH250" i="23917"/>
  <c r="I242" i="24050"/>
  <c r="AO248" i="23917"/>
  <c r="Q242" i="24050"/>
  <c r="AW248" i="23917"/>
  <c r="Y242" i="24050"/>
  <c r="BE248" i="23917"/>
  <c r="AG242" i="24050"/>
  <c r="BM248" i="23917"/>
  <c r="AO242" i="24050"/>
  <c r="BU248" i="23917"/>
  <c r="AW242" i="24050"/>
  <c r="CC248" i="23917"/>
  <c r="BE242" i="24050"/>
  <c r="CK248" i="23917"/>
  <c r="BM242" i="24050"/>
  <c r="CS248" i="23917"/>
  <c r="BU242" i="24050"/>
  <c r="DA248" i="23917"/>
  <c r="CC242" i="24050"/>
  <c r="DI248" i="23917"/>
  <c r="CK242" i="24050"/>
  <c r="DQ248" i="23917"/>
  <c r="DF242" i="24050"/>
  <c r="EL248" i="23917"/>
  <c r="DS243" i="24050"/>
  <c r="EY249" i="23917"/>
  <c r="EA243" i="24050"/>
  <c r="FG249" i="23917"/>
  <c r="AA249" i="23917"/>
  <c r="Z249" i="23917"/>
  <c r="AF263" i="23917"/>
  <c r="G240" i="24050"/>
  <c r="AM246" i="23917"/>
  <c r="I243" i="24050"/>
  <c r="AO249" i="23917"/>
  <c r="M241" i="24050"/>
  <c r="AS247" i="23917"/>
  <c r="O243" i="24050"/>
  <c r="AU249" i="23917"/>
  <c r="S240" i="24050"/>
  <c r="AY246" i="23917"/>
  <c r="U241" i="24050"/>
  <c r="BA247" i="23917"/>
  <c r="W243" i="24050"/>
  <c r="BC249" i="23917"/>
  <c r="AA240" i="24050"/>
  <c r="BG246" i="23917"/>
  <c r="AC241" i="24050"/>
  <c r="BI247" i="23917"/>
  <c r="AE243" i="24050"/>
  <c r="BK249" i="23917"/>
  <c r="AI240" i="24050"/>
  <c r="BO246" i="23917"/>
  <c r="AK241" i="24050"/>
  <c r="BQ247" i="23917"/>
  <c r="AM243" i="24050"/>
  <c r="BS249" i="23917"/>
  <c r="AQ240" i="24050"/>
  <c r="BW246" i="23917"/>
  <c r="AS241" i="24050"/>
  <c r="BY247" i="23917"/>
  <c r="AU243" i="24050"/>
  <c r="CA249" i="23917"/>
  <c r="AY240" i="24050"/>
  <c r="CE246" i="23917"/>
  <c r="BA241" i="24050"/>
  <c r="CG247" i="23917"/>
  <c r="BC243" i="24050"/>
  <c r="CI249" i="23917"/>
  <c r="BG240" i="24050"/>
  <c r="CM246" i="23917"/>
  <c r="BI241" i="24050"/>
  <c r="CO247" i="23917"/>
  <c r="BK243" i="24050"/>
  <c r="CQ249" i="23917"/>
  <c r="BO240" i="24050"/>
  <c r="CU246" i="23917"/>
  <c r="BQ241" i="24050"/>
  <c r="CW247" i="23917"/>
  <c r="BS243" i="24050"/>
  <c r="CY249" i="23917"/>
  <c r="BW240" i="24050"/>
  <c r="DC246" i="23917"/>
  <c r="BY241" i="24050"/>
  <c r="DE247" i="23917"/>
  <c r="CA243" i="24050"/>
  <c r="DG249" i="23917"/>
  <c r="CE240" i="24050"/>
  <c r="DK246" i="23917"/>
  <c r="CG241" i="24050"/>
  <c r="DM247" i="23917"/>
  <c r="CI243" i="24050"/>
  <c r="DO249" i="23917"/>
  <c r="CM240" i="24050"/>
  <c r="DS246" i="23917"/>
  <c r="W261" i="23917"/>
  <c r="V261" i="23917"/>
  <c r="F255" i="24050"/>
  <c r="AL261" i="23917"/>
  <c r="L255" i="24050"/>
  <c r="AR261" i="23917"/>
  <c r="V255" i="24050"/>
  <c r="BB261" i="23917"/>
  <c r="AB255" i="24050"/>
  <c r="BH261" i="23917"/>
  <c r="AL255" i="24050"/>
  <c r="BR261" i="23917"/>
  <c r="AR255" i="24050"/>
  <c r="BX261" i="23917"/>
  <c r="BB255" i="24050"/>
  <c r="CH261" i="23917"/>
  <c r="BH255" i="24050"/>
  <c r="CN261" i="23917"/>
  <c r="BR255" i="24050"/>
  <c r="CX261" i="23917"/>
  <c r="BX255" i="24050"/>
  <c r="DD261" i="23917"/>
  <c r="CH255" i="24050"/>
  <c r="DN261" i="23917"/>
  <c r="CN255" i="24050"/>
  <c r="DT261" i="23917"/>
  <c r="DE255" i="24050"/>
  <c r="EK261" i="23917"/>
  <c r="U262" i="23917"/>
  <c r="T262" i="23917"/>
  <c r="D256" i="24050"/>
  <c r="AJ262" i="23917"/>
  <c r="J256" i="24050"/>
  <c r="AP262" i="23917"/>
  <c r="T256" i="24050"/>
  <c r="AZ262" i="23917"/>
  <c r="Z256" i="24050"/>
  <c r="BF262" i="23917"/>
  <c r="AJ256" i="24050"/>
  <c r="BP262" i="23917"/>
  <c r="AP256" i="24050"/>
  <c r="BV262" i="23917"/>
  <c r="AZ256" i="24050"/>
  <c r="CF262" i="23917"/>
  <c r="BF256" i="24050"/>
  <c r="CL262" i="23917"/>
  <c r="BP256" i="24050"/>
  <c r="CV262" i="23917"/>
  <c r="BV256" i="24050"/>
  <c r="DB262" i="23917"/>
  <c r="CF256" i="24050"/>
  <c r="DL262" i="23917"/>
  <c r="CL256" i="24050"/>
  <c r="DR262" i="23917"/>
  <c r="DI256" i="24050"/>
  <c r="EO262" i="23917"/>
  <c r="X267" i="23917"/>
  <c r="R267" i="23917"/>
  <c r="AA267" i="23917"/>
  <c r="Z267" i="23917"/>
  <c r="AA268" i="23917"/>
  <c r="Z268" i="23917"/>
  <c r="DU260" i="24050"/>
  <c r="FA266" i="23917"/>
  <c r="EC260" i="24050"/>
  <c r="FI266" i="23917"/>
  <c r="DS261" i="24050"/>
  <c r="EY267" i="23917"/>
  <c r="EC261" i="24050"/>
  <c r="FI267" i="23917"/>
  <c r="DQ262" i="24050"/>
  <c r="EW268" i="23917"/>
  <c r="DW262" i="24050"/>
  <c r="FC268" i="23917"/>
  <c r="EE262" i="24050"/>
  <c r="FK268" i="23917"/>
  <c r="E260" i="24050"/>
  <c r="AK266" i="23917"/>
  <c r="G261" i="24050"/>
  <c r="AM267" i="23917"/>
  <c r="I262" i="24050"/>
  <c r="AO268" i="23917"/>
  <c r="M260" i="24050"/>
  <c r="AS266" i="23917"/>
  <c r="O261" i="24050"/>
  <c r="AU267" i="23917"/>
  <c r="Q262" i="24050"/>
  <c r="AW268" i="23917"/>
  <c r="U260" i="24050"/>
  <c r="BA266" i="23917"/>
  <c r="AO261" i="24050"/>
  <c r="BU267" i="23917"/>
  <c r="AQ262" i="24050"/>
  <c r="BW268" i="23917"/>
  <c r="AU260" i="24050"/>
  <c r="CA266" i="23917"/>
  <c r="AW261" i="24050"/>
  <c r="CC267" i="23917"/>
  <c r="AY262" i="24050"/>
  <c r="CE268" i="23917"/>
  <c r="BC260" i="24050"/>
  <c r="CI266" i="23917"/>
  <c r="BE261" i="24050"/>
  <c r="CK267" i="23917"/>
  <c r="BG262" i="24050"/>
  <c r="CM268" i="23917"/>
  <c r="BK260" i="24050"/>
  <c r="CQ266" i="23917"/>
  <c r="BM261" i="24050"/>
  <c r="CS267" i="23917"/>
  <c r="BO262" i="24050"/>
  <c r="CU268" i="23917"/>
  <c r="BS260" i="24050"/>
  <c r="CY266" i="23917"/>
  <c r="BU261" i="24050"/>
  <c r="DA267" i="23917"/>
  <c r="BW262" i="24050"/>
  <c r="DC268" i="23917"/>
  <c r="CA260" i="24050"/>
  <c r="DG266" i="23917"/>
  <c r="CC261" i="24050"/>
  <c r="DI267" i="23917"/>
  <c r="CE262" i="24050"/>
  <c r="DK268" i="23917"/>
  <c r="DF260" i="24050"/>
  <c r="EL266" i="23917"/>
  <c r="DH261" i="24050"/>
  <c r="EN267" i="23917"/>
  <c r="DJ262" i="24050"/>
  <c r="EP268" i="23917"/>
  <c r="AC269" i="23917"/>
  <c r="AB269" i="23917"/>
  <c r="B263" i="24050"/>
  <c r="AH269" i="23917"/>
  <c r="H263" i="24050"/>
  <c r="AN269" i="23917"/>
  <c r="N263" i="24050"/>
  <c r="AT269" i="23917"/>
  <c r="Z263" i="24050"/>
  <c r="BF269" i="23917"/>
  <c r="AH263" i="24050"/>
  <c r="BN269" i="23917"/>
  <c r="AP263" i="24050"/>
  <c r="BV269" i="23917"/>
  <c r="B18" i="24068"/>
  <c r="AX263" i="24050"/>
  <c r="CD269" i="23917"/>
  <c r="G18" i="24068"/>
  <c r="BH263" i="24050"/>
  <c r="CN269" i="23917"/>
  <c r="J18" i="24068"/>
  <c r="BN263" i="24050"/>
  <c r="CT269" i="23917"/>
  <c r="BX263" i="24050"/>
  <c r="DD269" i="23917"/>
  <c r="CD263" i="24050"/>
  <c r="DJ269" i="23917"/>
  <c r="CJ263" i="24050"/>
  <c r="DP269" i="23917"/>
  <c r="DL261" i="24050"/>
  <c r="ER267" i="23917"/>
  <c r="DN261" i="24050"/>
  <c r="ET267" i="23917"/>
  <c r="EJ260" i="24050"/>
  <c r="FP266" i="23917"/>
  <c r="EL260" i="24050"/>
  <c r="FR266" i="23917"/>
  <c r="EN260" i="24050"/>
  <c r="FT266" i="23917"/>
  <c r="EP260" i="24050"/>
  <c r="FV266" i="23917"/>
  <c r="ER260" i="24050"/>
  <c r="FX266" i="23917"/>
  <c r="ET260" i="24050"/>
  <c r="FZ266" i="23917"/>
  <c r="CI260" i="24050"/>
  <c r="DO266" i="23917"/>
  <c r="CK260" i="24050"/>
  <c r="DQ266" i="23917"/>
  <c r="CM260" i="24050"/>
  <c r="DS266" i="23917"/>
  <c r="CO260" i="24050"/>
  <c r="DU266" i="23917"/>
  <c r="CQ260" i="24050"/>
  <c r="DW266" i="23917"/>
  <c r="CS260" i="24050"/>
  <c r="DY266" i="23917"/>
  <c r="CY263" i="24050"/>
  <c r="EE269" i="23917"/>
  <c r="DA262" i="24050"/>
  <c r="EG268" i="23917"/>
  <c r="CP275" i="24050"/>
  <c r="DV281" i="23917"/>
  <c r="CP276" i="24050"/>
  <c r="DV282" i="23917"/>
  <c r="DC275" i="24050"/>
  <c r="EI281" i="23917"/>
  <c r="DI275" i="24050"/>
  <c r="EO281" i="23917"/>
  <c r="DS275" i="24050"/>
  <c r="EY281" i="23917"/>
  <c r="P25" i="24068"/>
  <c r="DY275" i="24050"/>
  <c r="FE281" i="23917"/>
  <c r="EC276" i="24050"/>
  <c r="FI282" i="23917"/>
  <c r="DC276" i="24050"/>
  <c r="EI282" i="23917"/>
  <c r="DI276" i="24050"/>
  <c r="EO282" i="23917"/>
  <c r="DQ276" i="24050"/>
  <c r="EW282" i="23917"/>
  <c r="C275" i="24050"/>
  <c r="AI281" i="23917"/>
  <c r="E276" i="24050"/>
  <c r="AK282" i="23917"/>
  <c r="G277" i="24050"/>
  <c r="AM283" i="23917"/>
  <c r="K275" i="24050"/>
  <c r="AQ281" i="23917"/>
  <c r="M276" i="24050"/>
  <c r="AS282" i="23917"/>
  <c r="O277" i="24050"/>
  <c r="AU283" i="23917"/>
  <c r="S275" i="24050"/>
  <c r="AY281" i="23917"/>
  <c r="U276" i="24050"/>
  <c r="BA282" i="23917"/>
  <c r="W277" i="24050"/>
  <c r="BC283" i="23917"/>
  <c r="AA275" i="24050"/>
  <c r="BG281" i="23917"/>
  <c r="AC276" i="24050"/>
  <c r="BI282" i="23917"/>
  <c r="AE277" i="24050"/>
  <c r="BK283" i="23917"/>
  <c r="AI275" i="24050"/>
  <c r="BO281" i="23917"/>
  <c r="AK276" i="24050"/>
  <c r="BQ282" i="23917"/>
  <c r="AM277" i="24050"/>
  <c r="BS283" i="23917"/>
  <c r="AQ275" i="24050"/>
  <c r="BW281" i="23917"/>
  <c r="AS276" i="24050"/>
  <c r="BY282" i="23917"/>
  <c r="AU277" i="24050"/>
  <c r="CA283" i="23917"/>
  <c r="AY275" i="24050"/>
  <c r="CE281" i="23917"/>
  <c r="BA276" i="24050"/>
  <c r="CG282" i="23917"/>
  <c r="BC277" i="24050"/>
  <c r="CI283" i="23917"/>
  <c r="BG275" i="24050"/>
  <c r="CM281" i="23917"/>
  <c r="BI276" i="24050"/>
  <c r="CO282" i="23917"/>
  <c r="BK277" i="24050"/>
  <c r="CQ283" i="23917"/>
  <c r="BO275" i="24050"/>
  <c r="CU281" i="23917"/>
  <c r="BQ276" i="24050"/>
  <c r="CW282" i="23917"/>
  <c r="BS277" i="24050"/>
  <c r="CY283" i="23917"/>
  <c r="BW275" i="24050"/>
  <c r="DC281" i="23917"/>
  <c r="BY276" i="24050"/>
  <c r="DE282" i="23917"/>
  <c r="CA277" i="24050"/>
  <c r="DG283" i="23917"/>
  <c r="CE275" i="24050"/>
  <c r="DK281" i="23917"/>
  <c r="CG276" i="24050"/>
  <c r="DM282" i="23917"/>
  <c r="CI277" i="24050"/>
  <c r="DO283" i="23917"/>
  <c r="CM275" i="24050"/>
  <c r="DS281" i="23917"/>
  <c r="DI277" i="24050"/>
  <c r="EO283" i="23917"/>
  <c r="DO277" i="24050"/>
  <c r="EU283" i="23917"/>
  <c r="DY277" i="24050"/>
  <c r="FE283" i="23917"/>
  <c r="B304" i="23917"/>
  <c r="B284" i="23917"/>
  <c r="G284" i="23917"/>
  <c r="L293" i="23917"/>
  <c r="L284" i="23917"/>
  <c r="R304" i="23917"/>
  <c r="R284" i="23917"/>
  <c r="W284" i="23917"/>
  <c r="B278" i="24050"/>
  <c r="AH284" i="23917"/>
  <c r="L278" i="24050"/>
  <c r="AR284" i="23917"/>
  <c r="R278" i="24050"/>
  <c r="AX284" i="23917"/>
  <c r="AB278" i="24050"/>
  <c r="BH284" i="23917"/>
  <c r="AH278" i="24050"/>
  <c r="BN284" i="23917"/>
  <c r="AR278" i="24050"/>
  <c r="BX284" i="23917"/>
  <c r="AX278" i="24050"/>
  <c r="CD284" i="23917"/>
  <c r="BH278" i="24050"/>
  <c r="CN284" i="23917"/>
  <c r="BN278" i="24050"/>
  <c r="CT284" i="23917"/>
  <c r="BX278" i="24050"/>
  <c r="DD284" i="23917"/>
  <c r="CD278" i="24050"/>
  <c r="DJ284" i="23917"/>
  <c r="CN278" i="24050"/>
  <c r="DT284" i="23917"/>
  <c r="CO281" i="24050"/>
  <c r="DU287" i="23917"/>
  <c r="DG281" i="24050"/>
  <c r="EM287" i="23917"/>
  <c r="DM281" i="24050"/>
  <c r="ES287" i="23917"/>
  <c r="DW281" i="24050"/>
  <c r="FC287" i="23917"/>
  <c r="EC281" i="24050"/>
  <c r="FI287" i="23917"/>
  <c r="DK282" i="24050"/>
  <c r="EQ288" i="23917"/>
  <c r="DU282" i="24050"/>
  <c r="FA288" i="23917"/>
  <c r="EA282" i="24050"/>
  <c r="FG288" i="23917"/>
  <c r="DI283" i="24050"/>
  <c r="EO289" i="23917"/>
  <c r="DF284" i="24050"/>
  <c r="EL290" i="23917"/>
  <c r="DK284" i="24050"/>
  <c r="EQ290" i="23917"/>
  <c r="DU284" i="24050"/>
  <c r="FA290" i="23917"/>
  <c r="EA284" i="24050"/>
  <c r="FG290" i="23917"/>
  <c r="E281" i="24050"/>
  <c r="AK287" i="23917"/>
  <c r="DE281" i="24050"/>
  <c r="EK287" i="23917"/>
  <c r="W291" i="23917"/>
  <c r="V291" i="23917"/>
  <c r="F285" i="24050"/>
  <c r="AL291" i="23917"/>
  <c r="N285" i="24050"/>
  <c r="AT291" i="23917"/>
  <c r="V285" i="24050"/>
  <c r="BB291" i="23917"/>
  <c r="AD285" i="24050"/>
  <c r="BJ291" i="23917"/>
  <c r="AL285" i="24050"/>
  <c r="BR291" i="23917"/>
  <c r="AT285" i="24050"/>
  <c r="BZ291" i="23917"/>
  <c r="BB285" i="24050"/>
  <c r="CH291" i="23917"/>
  <c r="BJ285" i="24050"/>
  <c r="CP291" i="23917"/>
  <c r="BR285" i="24050"/>
  <c r="CX291" i="23917"/>
  <c r="BZ285" i="24050"/>
  <c r="DF291" i="23917"/>
  <c r="CH285" i="24050"/>
  <c r="DN291" i="23917"/>
  <c r="AD304" i="23917"/>
  <c r="C284" i="24050"/>
  <c r="AI290" i="23917"/>
  <c r="G284" i="24050"/>
  <c r="AM290" i="23917"/>
  <c r="K282" i="24050"/>
  <c r="AQ288" i="23917"/>
  <c r="O281" i="24050"/>
  <c r="AU287" i="23917"/>
  <c r="Q282" i="24050"/>
  <c r="AW288" i="23917"/>
  <c r="S284" i="24050"/>
  <c r="AY290" i="23917"/>
  <c r="U284" i="24050"/>
  <c r="BA290" i="23917"/>
  <c r="Y281" i="24050"/>
  <c r="BE287" i="23917"/>
  <c r="AA282" i="24050"/>
  <c r="BG288" i="23917"/>
  <c r="AC283" i="24050"/>
  <c r="BI289" i="23917"/>
  <c r="AE284" i="24050"/>
  <c r="BK290" i="23917"/>
  <c r="AI281" i="24050"/>
  <c r="BO287" i="23917"/>
  <c r="AK282" i="24050"/>
  <c r="BQ288" i="23917"/>
  <c r="AM282" i="24050"/>
  <c r="BS288" i="23917"/>
  <c r="AO284" i="24050"/>
  <c r="BU290" i="23917"/>
  <c r="AS281" i="24050"/>
  <c r="BY287" i="23917"/>
  <c r="AU281" i="24050"/>
  <c r="CA287" i="23917"/>
  <c r="AW282" i="24050"/>
  <c r="CC288" i="23917"/>
  <c r="AY284" i="24050"/>
  <c r="CE290" i="23917"/>
  <c r="BA284" i="24050"/>
  <c r="CG290" i="23917"/>
  <c r="BE281" i="24050"/>
  <c r="CK287" i="23917"/>
  <c r="BG282" i="24050"/>
  <c r="CM288" i="23917"/>
  <c r="BI283" i="24050"/>
  <c r="CO289" i="23917"/>
  <c r="BK284" i="24050"/>
  <c r="CQ290" i="23917"/>
  <c r="BO281" i="24050"/>
  <c r="CU287" i="23917"/>
  <c r="BQ282" i="24050"/>
  <c r="CW288" i="23917"/>
  <c r="BS282" i="24050"/>
  <c r="CY288" i="23917"/>
  <c r="BU284" i="24050"/>
  <c r="DA290" i="23917"/>
  <c r="BY281" i="24050"/>
  <c r="DE287" i="23917"/>
  <c r="CA281" i="24050"/>
  <c r="DG287" i="23917"/>
  <c r="CC282" i="24050"/>
  <c r="DI288" i="23917"/>
  <c r="CE284" i="24050"/>
  <c r="DK290" i="23917"/>
  <c r="CI281" i="24050"/>
  <c r="DO287" i="23917"/>
  <c r="CK282" i="24050"/>
  <c r="DQ288" i="23917"/>
  <c r="CM284" i="24050"/>
  <c r="DS290" i="23917"/>
  <c r="C291" i="23917"/>
  <c r="O291" i="23917"/>
  <c r="G302" i="23917"/>
  <c r="M302" i="23917"/>
  <c r="L302" i="23917"/>
  <c r="W302" i="23917"/>
  <c r="AC302" i="23917"/>
  <c r="AB302" i="23917"/>
  <c r="B296" i="24050"/>
  <c r="AH302" i="23917"/>
  <c r="L296" i="24050"/>
  <c r="AR302" i="23917"/>
  <c r="R296" i="24050"/>
  <c r="AX302" i="23917"/>
  <c r="AB296" i="24050"/>
  <c r="BH302" i="23917"/>
  <c r="AH296" i="24050"/>
  <c r="BN302" i="23917"/>
  <c r="AR296" i="24050"/>
  <c r="BX302" i="23917"/>
  <c r="AX296" i="24050"/>
  <c r="CD302" i="23917"/>
  <c r="BH296" i="24050"/>
  <c r="CN302" i="23917"/>
  <c r="BN296" i="24050"/>
  <c r="CT302" i="23917"/>
  <c r="BX296" i="24050"/>
  <c r="DD302" i="23917"/>
  <c r="CD296" i="24050"/>
  <c r="DJ302" i="23917"/>
  <c r="CN296" i="24050"/>
  <c r="DT302" i="23917"/>
  <c r="E303" i="23917"/>
  <c r="K303" i="23917"/>
  <c r="J303" i="23917"/>
  <c r="U303" i="23917"/>
  <c r="AA303" i="23917"/>
  <c r="Z303" i="23917"/>
  <c r="J297" i="24050"/>
  <c r="AP303" i="23917"/>
  <c r="P297" i="24050"/>
  <c r="AV303" i="23917"/>
  <c r="Z297" i="24050"/>
  <c r="BF303" i="23917"/>
  <c r="AF297" i="24050"/>
  <c r="BL303" i="23917"/>
  <c r="AP297" i="24050"/>
  <c r="BV303" i="23917"/>
  <c r="AV297" i="24050"/>
  <c r="CB303" i="23917"/>
  <c r="BF297" i="24050"/>
  <c r="CL303" i="23917"/>
  <c r="BL297" i="24050"/>
  <c r="CR303" i="23917"/>
  <c r="BV297" i="24050"/>
  <c r="DB303" i="23917"/>
  <c r="CB297" i="24050"/>
  <c r="DH303" i="23917"/>
  <c r="CL297" i="24050"/>
  <c r="DR303" i="23917"/>
  <c r="CR298" i="24050"/>
  <c r="DX304" i="23917"/>
  <c r="I301" i="24050"/>
  <c r="AO307" i="23917"/>
  <c r="DE301" i="24050"/>
  <c r="EK307" i="23917"/>
  <c r="Q310" i="24050"/>
  <c r="AW316" i="23917"/>
  <c r="DE310" i="24050"/>
  <c r="EK316" i="23917"/>
  <c r="DM310" i="24050"/>
  <c r="ES316" i="23917"/>
  <c r="DI311" i="24050"/>
  <c r="EO317" i="23917"/>
  <c r="DE312" i="24050"/>
  <c r="EK318" i="23917"/>
  <c r="DM312" i="24050"/>
  <c r="ES318" i="23917"/>
  <c r="R32" i="24068"/>
  <c r="R33" i="24068" s="1"/>
  <c r="EC310" i="24050"/>
  <c r="FI316" i="23917"/>
  <c r="EG311" i="24050"/>
  <c r="FM317" i="23917"/>
  <c r="EG312" i="24050"/>
  <c r="FM318" i="23917"/>
  <c r="DQ311" i="24050"/>
  <c r="EW317" i="23917"/>
  <c r="W311" i="24050"/>
  <c r="BC317" i="23917"/>
  <c r="C311" i="24050"/>
  <c r="AI317" i="23917"/>
  <c r="E312" i="24050"/>
  <c r="AK318" i="23917"/>
  <c r="I311" i="24050"/>
  <c r="AO317" i="23917"/>
  <c r="K312" i="24050"/>
  <c r="AQ318" i="23917"/>
  <c r="O312" i="24050"/>
  <c r="AU318" i="23917"/>
  <c r="Y310" i="24050"/>
  <c r="BE316" i="23917"/>
  <c r="AC311" i="24050"/>
  <c r="BI317" i="23917"/>
  <c r="AG310" i="24050"/>
  <c r="BM316" i="23917"/>
  <c r="AI311" i="24050"/>
  <c r="BO317" i="23917"/>
  <c r="AK312" i="24050"/>
  <c r="BQ318" i="23917"/>
  <c r="AO310" i="24050"/>
  <c r="BU316" i="23917"/>
  <c r="AQ311" i="24050"/>
  <c r="BW317" i="23917"/>
  <c r="AS312" i="24050"/>
  <c r="BY318" i="23917"/>
  <c r="AW310" i="24050"/>
  <c r="CC316" i="23917"/>
  <c r="AY311" i="24050"/>
  <c r="CE317" i="23917"/>
  <c r="BA312" i="24050"/>
  <c r="CG318" i="23917"/>
  <c r="BE310" i="24050"/>
  <c r="CK316" i="23917"/>
  <c r="BG311" i="24050"/>
  <c r="CM317" i="23917"/>
  <c r="BI312" i="24050"/>
  <c r="CO318" i="23917"/>
  <c r="BM310" i="24050"/>
  <c r="CS316" i="23917"/>
  <c r="BO311" i="24050"/>
  <c r="CU317" i="23917"/>
  <c r="BQ312" i="24050"/>
  <c r="CW318" i="23917"/>
  <c r="BU310" i="24050"/>
  <c r="DA316" i="23917"/>
  <c r="BW311" i="24050"/>
  <c r="DC317" i="23917"/>
  <c r="BY312" i="24050"/>
  <c r="DE318" i="23917"/>
  <c r="CC310" i="24050"/>
  <c r="DI316" i="23917"/>
  <c r="CE311" i="24050"/>
  <c r="DK317" i="23917"/>
  <c r="CG312" i="24050"/>
  <c r="DM318" i="23917"/>
  <c r="CK310" i="24050"/>
  <c r="DQ316" i="23917"/>
  <c r="CM311" i="24050"/>
  <c r="DS317" i="23917"/>
  <c r="CO312" i="24050"/>
  <c r="DU318" i="23917"/>
  <c r="DV310" i="24050"/>
  <c r="FB316" i="23917"/>
  <c r="DU312" i="24050"/>
  <c r="FA318" i="23917"/>
  <c r="DW312" i="24050"/>
  <c r="FC318" i="23917"/>
  <c r="F313" i="24050"/>
  <c r="AL319" i="23917"/>
  <c r="N313" i="24050"/>
  <c r="AT319" i="23917"/>
  <c r="AB313" i="24050"/>
  <c r="BH319" i="23917"/>
  <c r="AJ313" i="24050"/>
  <c r="BP319" i="23917"/>
  <c r="AR313" i="24050"/>
  <c r="BX319" i="23917"/>
  <c r="AZ313" i="24050"/>
  <c r="CF319" i="23917"/>
  <c r="BH313" i="24050"/>
  <c r="CN319" i="23917"/>
  <c r="BP313" i="24050"/>
  <c r="CV319" i="23917"/>
  <c r="BX313" i="24050"/>
  <c r="DD319" i="23917"/>
  <c r="CF313" i="24050"/>
  <c r="DL319" i="23917"/>
  <c r="G316" i="24050"/>
  <c r="AM322" i="23917"/>
  <c r="DG316" i="24050"/>
  <c r="EM322" i="23917"/>
  <c r="DQ316" i="24050"/>
  <c r="EW322" i="23917"/>
  <c r="DW316" i="24050"/>
  <c r="FC322" i="23917"/>
  <c r="EE316" i="24050"/>
  <c r="FK322" i="23917"/>
  <c r="DW317" i="24050"/>
  <c r="FC323" i="23917"/>
  <c r="EE317" i="24050"/>
  <c r="FK323" i="23917"/>
  <c r="EU319" i="24050"/>
  <c r="GA325" i="23917"/>
  <c r="AO318" i="24050"/>
  <c r="BU324" i="23917"/>
  <c r="BE318" i="24050"/>
  <c r="CK324" i="23917"/>
  <c r="DK318" i="24050"/>
  <c r="EQ324" i="23917"/>
  <c r="EE318" i="24050"/>
  <c r="FK324" i="23917"/>
  <c r="O316" i="24050"/>
  <c r="AU322" i="23917"/>
  <c r="Q316" i="24050"/>
  <c r="AW322" i="23917"/>
  <c r="S316" i="24050"/>
  <c r="AY322" i="23917"/>
  <c r="U317" i="24050"/>
  <c r="BA323" i="23917"/>
  <c r="W317" i="24050"/>
  <c r="BC323" i="23917"/>
  <c r="Y317" i="24050"/>
  <c r="BE323" i="23917"/>
  <c r="AA317" i="24050"/>
  <c r="BG323" i="23917"/>
  <c r="AC317" i="24050"/>
  <c r="BI323" i="23917"/>
  <c r="AE317" i="24050"/>
  <c r="BK323" i="23917"/>
  <c r="AG317" i="24050"/>
  <c r="BM323" i="23917"/>
  <c r="AI317" i="24050"/>
  <c r="BO323" i="23917"/>
  <c r="AK317" i="24050"/>
  <c r="BQ323" i="23917"/>
  <c r="AM318" i="24050"/>
  <c r="BS324" i="23917"/>
  <c r="AO319" i="24050"/>
  <c r="BU325" i="23917"/>
  <c r="AQ319" i="24050"/>
  <c r="BW325" i="23917"/>
  <c r="AU316" i="24050"/>
  <c r="CA322" i="23917"/>
  <c r="AW316" i="24050"/>
  <c r="CC322" i="23917"/>
  <c r="AY317" i="24050"/>
  <c r="CE323" i="23917"/>
  <c r="BA317" i="24050"/>
  <c r="CG323" i="23917"/>
  <c r="BC318" i="24050"/>
  <c r="CI324" i="23917"/>
  <c r="BE319" i="24050"/>
  <c r="CK325" i="23917"/>
  <c r="BG319" i="24050"/>
  <c r="CM325" i="23917"/>
  <c r="BI319" i="24050"/>
  <c r="CO325" i="23917"/>
  <c r="BK319" i="24050"/>
  <c r="CQ325" i="23917"/>
  <c r="BM319" i="24050"/>
  <c r="CS325" i="23917"/>
  <c r="BO319" i="24050"/>
  <c r="CU325" i="23917"/>
  <c r="BQ319" i="24050"/>
  <c r="CW325" i="23917"/>
  <c r="BS319" i="24050"/>
  <c r="CY325" i="23917"/>
  <c r="BU319" i="24050"/>
  <c r="DA325" i="23917"/>
  <c r="BW319" i="24050"/>
  <c r="DC325" i="23917"/>
  <c r="BY319" i="24050"/>
  <c r="DE325" i="23917"/>
  <c r="CA319" i="24050"/>
  <c r="DG325" i="23917"/>
  <c r="CC319" i="24050"/>
  <c r="DI325" i="23917"/>
  <c r="CE319" i="24050"/>
  <c r="DK325" i="23917"/>
  <c r="CG319" i="24050"/>
  <c r="DM325" i="23917"/>
  <c r="CI319" i="24050"/>
  <c r="DO325" i="23917"/>
  <c r="CK319" i="24050"/>
  <c r="DQ325" i="23917"/>
  <c r="CM319" i="24050"/>
  <c r="DS325" i="23917"/>
  <c r="CO319" i="24050"/>
  <c r="DU325" i="23917"/>
  <c r="CS319" i="24050"/>
  <c r="DY325" i="23917"/>
  <c r="CW319" i="24050"/>
  <c r="EC325" i="23917"/>
  <c r="DA319" i="24050"/>
  <c r="EG325" i="23917"/>
  <c r="DK319" i="24050"/>
  <c r="EQ325" i="23917"/>
  <c r="DS319" i="24050"/>
  <c r="EY325" i="23917"/>
  <c r="EA319" i="24050"/>
  <c r="FG325" i="23917"/>
  <c r="EI319" i="24050"/>
  <c r="FO325" i="23917"/>
  <c r="EP319" i="24050"/>
  <c r="FV325" i="23917"/>
  <c r="C318" i="24050"/>
  <c r="AI324" i="23917"/>
  <c r="E317" i="24050"/>
  <c r="AK323" i="23917"/>
  <c r="G317" i="24050"/>
  <c r="AM323" i="23917"/>
  <c r="I317" i="24050"/>
  <c r="AO323" i="23917"/>
  <c r="K317" i="24050"/>
  <c r="AQ323" i="23917"/>
  <c r="M317" i="24050"/>
  <c r="AS323" i="23917"/>
  <c r="O320" i="24050"/>
  <c r="AU326" i="23917"/>
  <c r="DE320" i="24050"/>
  <c r="EK326" i="23917"/>
  <c r="DQ320" i="24050"/>
  <c r="EW326" i="23917"/>
  <c r="C327" i="23917"/>
  <c r="B327" i="23917"/>
  <c r="K327" i="23917"/>
  <c r="J327" i="23917"/>
  <c r="S327" i="23917"/>
  <c r="R327" i="23917"/>
  <c r="AA327" i="23917"/>
  <c r="Z327" i="23917"/>
  <c r="F321" i="24050"/>
  <c r="AL327" i="23917"/>
  <c r="P321" i="24050"/>
  <c r="AV327" i="23917"/>
  <c r="AF321" i="24050"/>
  <c r="BL327" i="23917"/>
  <c r="BD321" i="24050"/>
  <c r="CJ327" i="23917"/>
  <c r="BT321" i="24050"/>
  <c r="CZ327" i="23917"/>
  <c r="CJ321" i="24050"/>
  <c r="DP327" i="23917"/>
  <c r="C338" i="23917"/>
  <c r="B338" i="23917"/>
  <c r="K338" i="23917"/>
  <c r="J338" i="23917"/>
  <c r="S338" i="23917"/>
  <c r="R338" i="23917"/>
  <c r="AA338" i="23917"/>
  <c r="Z338" i="23917"/>
  <c r="D332" i="24050"/>
  <c r="AJ338" i="23917"/>
  <c r="N332" i="24050"/>
  <c r="AT338" i="23917"/>
  <c r="V332" i="24050"/>
  <c r="BB338" i="23917"/>
  <c r="AD332" i="24050"/>
  <c r="BJ338" i="23917"/>
  <c r="AL332" i="24050"/>
  <c r="BR338" i="23917"/>
  <c r="AT332" i="24050"/>
  <c r="BZ338" i="23917"/>
  <c r="BB332" i="24050"/>
  <c r="CH338" i="23917"/>
  <c r="BJ332" i="24050"/>
  <c r="CP338" i="23917"/>
  <c r="BR332" i="24050"/>
  <c r="CX338" i="23917"/>
  <c r="BZ332" i="24050"/>
  <c r="DF338" i="23917"/>
  <c r="CH332" i="24050"/>
  <c r="DN338" i="23917"/>
  <c r="C339" i="23917"/>
  <c r="G339" i="23917"/>
  <c r="K339" i="23917"/>
  <c r="O339" i="23917"/>
  <c r="S339" i="23917"/>
  <c r="W339" i="23917"/>
  <c r="AA339" i="23917"/>
  <c r="AE339" i="23917"/>
  <c r="AT333" i="24050"/>
  <c r="BZ339" i="23917"/>
  <c r="AX333" i="24050"/>
  <c r="CD339" i="23917"/>
  <c r="BB333" i="24050"/>
  <c r="CH339" i="23917"/>
  <c r="BF333" i="24050"/>
  <c r="CL339" i="23917"/>
  <c r="BJ333" i="24050"/>
  <c r="CP339" i="23917"/>
  <c r="BN333" i="24050"/>
  <c r="CT339" i="23917"/>
  <c r="BR333" i="24050"/>
  <c r="CX339" i="23917"/>
  <c r="BV333" i="24050"/>
  <c r="DB339" i="23917"/>
  <c r="BZ333" i="24050"/>
  <c r="DF339" i="23917"/>
  <c r="CD333" i="24050"/>
  <c r="DJ339" i="23917"/>
  <c r="CH333" i="24050"/>
  <c r="DN339" i="23917"/>
  <c r="CL333" i="24050"/>
  <c r="DR339" i="23917"/>
  <c r="DS333" i="24050"/>
  <c r="EY339" i="23917"/>
  <c r="G386" i="23917"/>
  <c r="F386" i="23917"/>
  <c r="O386" i="23917"/>
  <c r="N386" i="23917"/>
  <c r="W386" i="23917"/>
  <c r="V386" i="23917"/>
  <c r="AE386" i="23917"/>
  <c r="AD386" i="23917"/>
  <c r="AM386" i="23917"/>
  <c r="G380" i="24050" s="1"/>
  <c r="AL386" i="23917"/>
  <c r="F380" i="24050" s="1"/>
  <c r="DV390" i="23917"/>
  <c r="DV386" i="23917"/>
  <c r="EC386" i="23917"/>
  <c r="FB386" i="23917"/>
  <c r="FF386" i="23917"/>
  <c r="FJ386" i="23917"/>
  <c r="EA381" i="24050"/>
  <c r="CM381" i="24050"/>
  <c r="EE381" i="24050"/>
  <c r="CQ381" i="24050"/>
  <c r="AU386" i="23917"/>
  <c r="O380" i="24050" s="1"/>
  <c r="AT386" i="23917"/>
  <c r="N380" i="24050" s="1"/>
  <c r="EW386" i="23917"/>
  <c r="AX386" i="23917"/>
  <c r="R380" i="24050" s="1"/>
  <c r="BC386" i="23917"/>
  <c r="W380" i="24050" s="1"/>
  <c r="BB386" i="23917"/>
  <c r="V380" i="24050" s="1"/>
  <c r="DU381" i="24050"/>
  <c r="CG381" i="24050"/>
  <c r="G388" i="23917"/>
  <c r="K388" i="23917"/>
  <c r="O388" i="23917"/>
  <c r="S388" i="23917"/>
  <c r="W388" i="23917"/>
  <c r="AA388" i="23917"/>
  <c r="AE388" i="23917"/>
  <c r="AI388" i="23917"/>
  <c r="C382" i="24050" s="1"/>
  <c r="AQ388" i="23917"/>
  <c r="K382" i="24050" s="1"/>
  <c r="DX388" i="23917"/>
  <c r="DP388" i="23917"/>
  <c r="EY390" i="23917"/>
  <c r="EY388" i="23917"/>
  <c r="FH388" i="23917"/>
  <c r="FG388" i="23917"/>
  <c r="FB389" i="23917"/>
  <c r="FA389" i="23917"/>
  <c r="FJ389" i="23917"/>
  <c r="FI389" i="23917"/>
  <c r="C389" i="23917"/>
  <c r="G389" i="23917"/>
  <c r="K389" i="23917"/>
  <c r="O389" i="23917"/>
  <c r="S389" i="23917"/>
  <c r="W389" i="23917"/>
  <c r="AA389" i="23917"/>
  <c r="AE389" i="23917"/>
  <c r="AI389" i="23917"/>
  <c r="C383" i="24050" s="1"/>
  <c r="AM389" i="23917"/>
  <c r="G383" i="24050" s="1"/>
  <c r="AQ389" i="23917"/>
  <c r="K383" i="24050" s="1"/>
  <c r="AU389" i="23917"/>
  <c r="O383" i="24050" s="1"/>
  <c r="AY389" i="23917"/>
  <c r="S383" i="24050" s="1"/>
  <c r="BC389" i="23917"/>
  <c r="W383" i="24050" s="1"/>
  <c r="BD390" i="23917"/>
  <c r="X384" i="24050" s="1"/>
  <c r="BI390" i="23917"/>
  <c r="AC384" i="24050" s="1"/>
  <c r="BM390" i="23917"/>
  <c r="AG384" i="24050" s="1"/>
  <c r="BQ390" i="23917"/>
  <c r="AK384" i="24050" s="1"/>
  <c r="BU390" i="23917"/>
  <c r="AO384" i="24050" s="1"/>
  <c r="BY390" i="23917"/>
  <c r="AS384" i="24050" s="1"/>
  <c r="CC390" i="23917"/>
  <c r="AW384" i="24050" s="1"/>
  <c r="CG390" i="23917"/>
  <c r="BA384" i="24050" s="1"/>
  <c r="CK390" i="23917"/>
  <c r="BE384" i="24050" s="1"/>
  <c r="CO390" i="23917"/>
  <c r="BI384" i="24050" s="1"/>
  <c r="CS390" i="23917"/>
  <c r="BM384" i="24050" s="1"/>
  <c r="CW390" i="23917"/>
  <c r="DA390" i="23917"/>
  <c r="DE390" i="23917"/>
  <c r="DI390" i="23917"/>
  <c r="DM390" i="23917"/>
  <c r="DT390" i="23917"/>
  <c r="F393" i="23917"/>
  <c r="N393" i="23917"/>
  <c r="V393" i="23917"/>
  <c r="AD393" i="23917"/>
  <c r="AL393" i="23917"/>
  <c r="F387" i="24050" s="1"/>
  <c r="AT393" i="23917"/>
  <c r="N387" i="24050" s="1"/>
  <c r="BE393" i="23917"/>
  <c r="Y387" i="24050" s="1"/>
  <c r="BB393" i="23917"/>
  <c r="V387" i="24050" s="1"/>
  <c r="H394" i="23917"/>
  <c r="EM394" i="23917"/>
  <c r="P394" i="23917"/>
  <c r="EO394" i="23917"/>
  <c r="X394" i="23917"/>
  <c r="EQ394" i="23917"/>
  <c r="AF394" i="23917"/>
  <c r="AO394" i="23917"/>
  <c r="I388" i="24050" s="1"/>
  <c r="AN394" i="23917"/>
  <c r="H388" i="24050" s="1"/>
  <c r="AW394" i="23917"/>
  <c r="Q388" i="24050" s="1"/>
  <c r="AV394" i="23917"/>
  <c r="P388" i="24050" s="1"/>
  <c r="DX394" i="23917"/>
  <c r="DV394" i="23917"/>
  <c r="DX396" i="23917"/>
  <c r="EF396" i="23917"/>
  <c r="ES395" i="23917"/>
  <c r="AH395" i="23917"/>
  <c r="B389" i="24050" s="1"/>
  <c r="EU395" i="23917"/>
  <c r="AP395" i="23917"/>
  <c r="J389" i="24050" s="1"/>
  <c r="EW395" i="23917"/>
  <c r="AX395" i="23917"/>
  <c r="R389" i="24050" s="1"/>
  <c r="E396" i="23917"/>
  <c r="D396" i="23917"/>
  <c r="M396" i="23917"/>
  <c r="L396" i="23917"/>
  <c r="T396" i="23917"/>
  <c r="AB396" i="23917"/>
  <c r="AJ396" i="23917"/>
  <c r="D390" i="24050" s="1"/>
  <c r="AR396" i="23917"/>
  <c r="L390" i="24050" s="1"/>
  <c r="AZ396" i="23917"/>
  <c r="T390" i="24050" s="1"/>
  <c r="BF403" i="23917"/>
  <c r="Z397" i="24050" s="1"/>
  <c r="BF395" i="23917"/>
  <c r="Z389" i="24050" s="1"/>
  <c r="BJ403" i="23917"/>
  <c r="AD397" i="24050" s="1"/>
  <c r="BJ395" i="23917"/>
  <c r="AD389" i="24050" s="1"/>
  <c r="BN395" i="23917"/>
  <c r="AH389" i="24050" s="1"/>
  <c r="BS395" i="23917"/>
  <c r="AM389" i="24050" s="1"/>
  <c r="BR395" i="23917"/>
  <c r="AL389" i="24050" s="1"/>
  <c r="BV403" i="23917"/>
  <c r="AP397" i="24050" s="1"/>
  <c r="BV395" i="23917"/>
  <c r="AP389" i="24050" s="1"/>
  <c r="CA395" i="23917"/>
  <c r="AU389" i="24050" s="1"/>
  <c r="BZ395" i="23917"/>
  <c r="AT389" i="24050" s="1"/>
  <c r="CD403" i="23917"/>
  <c r="AX397" i="24050" s="1"/>
  <c r="CD395" i="23917"/>
  <c r="AX389" i="24050" s="1"/>
  <c r="CI395" i="23917"/>
  <c r="BC389" i="24050" s="1"/>
  <c r="CH395" i="23917"/>
  <c r="BB389" i="24050" s="1"/>
  <c r="DS395" i="23917"/>
  <c r="DP395" i="23917"/>
  <c r="P397" i="23917"/>
  <c r="AF397" i="23917"/>
  <c r="EV398" i="23917"/>
  <c r="AH398" i="23917"/>
  <c r="B392" i="24050" s="1"/>
  <c r="EW398" i="23917"/>
  <c r="AX398" i="23917"/>
  <c r="R392" i="24050" s="1"/>
  <c r="P399" i="23917"/>
  <c r="AF399" i="23917"/>
  <c r="AH400" i="23917"/>
  <c r="B394" i="24050" s="1"/>
  <c r="EW400" i="23917"/>
  <c r="AX400" i="23917"/>
  <c r="R394" i="24050" s="1"/>
  <c r="P401" i="23917"/>
  <c r="AF401" i="23917"/>
  <c r="AH402" i="23917"/>
  <c r="B396" i="24050" s="1"/>
  <c r="EW402" i="23917"/>
  <c r="AX402" i="23917"/>
  <c r="R396" i="24050" s="1"/>
  <c r="BG395" i="23917"/>
  <c r="AA389" i="24050" s="1"/>
  <c r="CE395" i="23917"/>
  <c r="AY389" i="24050" s="1"/>
  <c r="EM398" i="23917"/>
  <c r="EO399" i="23917"/>
  <c r="EQ400" i="23917"/>
  <c r="ES401" i="23917"/>
  <c r="EU402" i="23917"/>
  <c r="DW387" i="24050"/>
  <c r="CI387" i="24050"/>
  <c r="DY388" i="24050"/>
  <c r="CK388" i="24050"/>
  <c r="FJ394" i="23917"/>
  <c r="FG394" i="23917"/>
  <c r="CO388" i="24050"/>
  <c r="EC388" i="24050"/>
  <c r="FK403" i="23917"/>
  <c r="FK393" i="23917"/>
  <c r="CQ391" i="24050"/>
  <c r="EE391" i="24050"/>
  <c r="CH392" i="24050"/>
  <c r="DV392" i="24050"/>
  <c r="DX392" i="24050"/>
  <c r="CJ392" i="24050"/>
  <c r="DZ392" i="24050"/>
  <c r="CL392" i="24050"/>
  <c r="EB392" i="24050"/>
  <c r="CN392" i="24050"/>
  <c r="ED392" i="24050"/>
  <c r="CP392" i="24050"/>
  <c r="EF392" i="24050"/>
  <c r="CR392" i="24050"/>
  <c r="EH392" i="24050"/>
  <c r="CT392" i="24050"/>
  <c r="EJ392" i="24050"/>
  <c r="CV392" i="24050"/>
  <c r="EL392" i="24050"/>
  <c r="CX392" i="24050"/>
  <c r="BE402" i="23917"/>
  <c r="Y396" i="24050" s="1"/>
  <c r="DS402" i="23917"/>
  <c r="DP402" i="23917"/>
  <c r="DW402" i="23917"/>
  <c r="FJ402" i="23917"/>
  <c r="FI402" i="23917"/>
  <c r="CO403" i="23917"/>
  <c r="BI397" i="24050" s="1"/>
  <c r="DC346" i="24050"/>
  <c r="EI352" i="23917"/>
  <c r="DG346" i="24050"/>
  <c r="EM352" i="23917"/>
  <c r="DK346" i="24050"/>
  <c r="EQ352" i="23917"/>
  <c r="DO346" i="24050"/>
  <c r="EU352" i="23917"/>
  <c r="DC347" i="24050"/>
  <c r="EI353" i="23917"/>
  <c r="DG347" i="24050"/>
  <c r="EM353" i="23917"/>
  <c r="DK347" i="24050"/>
  <c r="EQ353" i="23917"/>
  <c r="DO347" i="24050"/>
  <c r="EU353" i="23917"/>
  <c r="DC348" i="24050"/>
  <c r="EI354" i="23917"/>
  <c r="DG348" i="24050"/>
  <c r="EM354" i="23917"/>
  <c r="DK348" i="24050"/>
  <c r="EQ354" i="23917"/>
  <c r="DO348" i="24050"/>
  <c r="EU354" i="23917"/>
  <c r="C347" i="24050"/>
  <c r="AI353" i="23917"/>
  <c r="E348" i="24050"/>
  <c r="AK354" i="23917"/>
  <c r="I346" i="24050"/>
  <c r="AO352" i="23917"/>
  <c r="K347" i="24050"/>
  <c r="AQ353" i="23917"/>
  <c r="M348" i="24050"/>
  <c r="AS354" i="23917"/>
  <c r="Q346" i="24050"/>
  <c r="AW352" i="23917"/>
  <c r="S347" i="24050"/>
  <c r="AY353" i="23917"/>
  <c r="U348" i="24050"/>
  <c r="BA354" i="23917"/>
  <c r="H364" i="23917"/>
  <c r="H355" i="23917"/>
  <c r="P364" i="23917"/>
  <c r="P355" i="23917"/>
  <c r="X364" i="23917"/>
  <c r="X355" i="23917"/>
  <c r="AF364" i="23917"/>
  <c r="AF355" i="23917"/>
  <c r="H349" i="24050"/>
  <c r="AN355" i="23917"/>
  <c r="P349" i="24050"/>
  <c r="AV355" i="23917"/>
  <c r="DM352" i="24050"/>
  <c r="ES358" i="23917"/>
  <c r="DG353" i="24050"/>
  <c r="EM359" i="23917"/>
  <c r="DK353" i="24050"/>
  <c r="EQ359" i="23917"/>
  <c r="DO353" i="24050"/>
  <c r="EU359" i="23917"/>
  <c r="DF354" i="24050"/>
  <c r="EL360" i="23917"/>
  <c r="DM354" i="24050"/>
  <c r="ES360" i="23917"/>
  <c r="DC353" i="24050"/>
  <c r="EI359" i="23917"/>
  <c r="C354" i="24050"/>
  <c r="AI360" i="23917"/>
  <c r="E354" i="24050"/>
  <c r="AK360" i="23917"/>
  <c r="G354" i="24050"/>
  <c r="AM360" i="23917"/>
  <c r="I354" i="24050"/>
  <c r="AO360" i="23917"/>
  <c r="K354" i="24050"/>
  <c r="AQ360" i="23917"/>
  <c r="M354" i="24050"/>
  <c r="AS360" i="23917"/>
  <c r="O354" i="24050"/>
  <c r="AU360" i="23917"/>
  <c r="Q354" i="24050"/>
  <c r="AW360" i="23917"/>
  <c r="S354" i="24050"/>
  <c r="AY360" i="23917"/>
  <c r="U354" i="24050"/>
  <c r="BA360" i="23917"/>
  <c r="G362" i="23917"/>
  <c r="F362" i="23917"/>
  <c r="O362" i="23917"/>
  <c r="N362" i="23917"/>
  <c r="Y362" i="23917"/>
  <c r="X362" i="23917"/>
  <c r="B356" i="24050"/>
  <c r="AH362" i="23917"/>
  <c r="J356" i="24050"/>
  <c r="AP362" i="23917"/>
  <c r="R356" i="24050"/>
  <c r="AX362" i="23917"/>
  <c r="D366" i="24050"/>
  <c r="AJ372" i="23917"/>
  <c r="H366" i="24050"/>
  <c r="AN372" i="23917"/>
  <c r="L366" i="24050"/>
  <c r="AR372" i="23917"/>
  <c r="P366" i="24050"/>
  <c r="AV372" i="23917"/>
  <c r="E373" i="23917"/>
  <c r="D373" i="23917"/>
  <c r="M373" i="23917"/>
  <c r="L373" i="23917"/>
  <c r="U373" i="23917"/>
  <c r="T373" i="23917"/>
  <c r="AC373" i="23917"/>
  <c r="AB373" i="23917"/>
  <c r="D367" i="24050"/>
  <c r="AJ373" i="23917"/>
  <c r="L367" i="24050"/>
  <c r="AR373" i="23917"/>
  <c r="AZ373" i="23917"/>
  <c r="D368" i="24050"/>
  <c r="AJ374" i="23917"/>
  <c r="H368" i="24050"/>
  <c r="AN374" i="23917"/>
  <c r="L368" i="24050"/>
  <c r="AR374" i="23917"/>
  <c r="P368" i="24050"/>
  <c r="AV374" i="23917"/>
  <c r="C69" i="23917"/>
  <c r="C73" i="23917"/>
  <c r="E72" i="23917"/>
  <c r="G71" i="23917"/>
  <c r="I23" i="23917"/>
  <c r="E38" i="23917"/>
  <c r="M38" i="23917"/>
  <c r="AH30" i="24050"/>
  <c r="I38" i="23917"/>
  <c r="T30" i="24050"/>
  <c r="X30" i="24050"/>
  <c r="AB30" i="24050"/>
  <c r="AF30" i="24050"/>
  <c r="AX30" i="24050"/>
  <c r="U48" i="24068"/>
  <c r="DC58" i="24050"/>
  <c r="DM58" i="24050"/>
  <c r="DK59" i="24050"/>
  <c r="DK24" i="24050"/>
  <c r="DS59" i="24050"/>
  <c r="DS24" i="24050"/>
  <c r="EA59" i="24050"/>
  <c r="EA24" i="24050"/>
  <c r="E59" i="24050"/>
  <c r="E24" i="24050"/>
  <c r="M59" i="24050"/>
  <c r="M24" i="24050"/>
  <c r="U59" i="24050"/>
  <c r="U24" i="24050"/>
  <c r="AC59" i="24050"/>
  <c r="AC24" i="24050"/>
  <c r="AK59" i="24050"/>
  <c r="AK24" i="24050"/>
  <c r="AS59" i="24050"/>
  <c r="AS24" i="24050"/>
  <c r="BA59" i="24050"/>
  <c r="BA24" i="24050"/>
  <c r="BI59" i="24050"/>
  <c r="BI24" i="24050"/>
  <c r="BQ59" i="24050"/>
  <c r="BQ24" i="24050"/>
  <c r="BY59" i="24050"/>
  <c r="BY24" i="24050"/>
  <c r="CG59" i="24050"/>
  <c r="CG24" i="24050"/>
  <c r="CO59" i="24050"/>
  <c r="CO24" i="24050"/>
  <c r="DC87" i="24050"/>
  <c r="EI93" i="23917"/>
  <c r="DK87" i="24050"/>
  <c r="EQ93" i="23917"/>
  <c r="DS87" i="24050"/>
  <c r="EY93" i="23917"/>
  <c r="EA87" i="24050"/>
  <c r="FG93" i="23917"/>
  <c r="I99" i="23917"/>
  <c r="H99" i="23917"/>
  <c r="H93" i="24050"/>
  <c r="AN99" i="23917"/>
  <c r="N93" i="24050"/>
  <c r="AT99" i="23917"/>
  <c r="X93" i="24050"/>
  <c r="BD99" i="23917"/>
  <c r="AD93" i="24050"/>
  <c r="BJ99" i="23917"/>
  <c r="AN93" i="24050"/>
  <c r="BT99" i="23917"/>
  <c r="AT93" i="24050"/>
  <c r="BZ99" i="23917"/>
  <c r="BD93" i="24050"/>
  <c r="CJ99" i="23917"/>
  <c r="BJ93" i="24050"/>
  <c r="CP99" i="23917"/>
  <c r="BT93" i="24050"/>
  <c r="CZ99" i="23917"/>
  <c r="BZ93" i="24050"/>
  <c r="DF99" i="23917"/>
  <c r="CJ93" i="24050"/>
  <c r="DP99" i="23917"/>
  <c r="J92" i="24050"/>
  <c r="AP98" i="23917"/>
  <c r="Q76" i="24050"/>
  <c r="Q88" i="24050"/>
  <c r="AG76" i="24050"/>
  <c r="AG88" i="24050"/>
  <c r="AW76" i="24050"/>
  <c r="AW88" i="24050"/>
  <c r="BM76" i="24050"/>
  <c r="BM88" i="24050"/>
  <c r="CC76" i="24050"/>
  <c r="CC88" i="24050"/>
  <c r="DE88" i="24050"/>
  <c r="DE76" i="24050"/>
  <c r="EK94" i="23917"/>
  <c r="DK89" i="24050"/>
  <c r="EQ95" i="23917"/>
  <c r="DQ89" i="24050"/>
  <c r="EW95" i="23917"/>
  <c r="EA89" i="24050"/>
  <c r="FG95" i="23917"/>
  <c r="EG89" i="24050"/>
  <c r="FM95" i="23917"/>
  <c r="CK89" i="24050"/>
  <c r="DQ95" i="23917"/>
  <c r="AN77" i="24050"/>
  <c r="AX94" i="24050"/>
  <c r="CD100" i="23917"/>
  <c r="BF94" i="24050"/>
  <c r="CL100" i="23917"/>
  <c r="BN94" i="24050"/>
  <c r="CT100" i="23917"/>
  <c r="BV94" i="24050"/>
  <c r="DB100" i="23917"/>
  <c r="CD94" i="24050"/>
  <c r="DJ100" i="23917"/>
  <c r="CJ94" i="24050"/>
  <c r="DP100" i="23917"/>
  <c r="AX96" i="24050"/>
  <c r="CD102" i="23917"/>
  <c r="BF96" i="24050"/>
  <c r="CL102" i="23917"/>
  <c r="BL96" i="24050"/>
  <c r="CR102" i="23917"/>
  <c r="BV96" i="24050"/>
  <c r="DB102" i="23917"/>
  <c r="CD96" i="24050"/>
  <c r="DJ102" i="23917"/>
  <c r="CJ96" i="24050"/>
  <c r="DP102" i="23917"/>
  <c r="C100" i="23917"/>
  <c r="B100" i="23917"/>
  <c r="E100" i="23917"/>
  <c r="D100" i="23917"/>
  <c r="I100" i="23917"/>
  <c r="H100" i="23917"/>
  <c r="K100" i="23917"/>
  <c r="J100" i="23917"/>
  <c r="M100" i="23917"/>
  <c r="L100" i="23917"/>
  <c r="O100" i="23917"/>
  <c r="N100" i="23917"/>
  <c r="Q100" i="23917"/>
  <c r="P100" i="23917"/>
  <c r="S100" i="23917"/>
  <c r="R100" i="23917"/>
  <c r="U100" i="23917"/>
  <c r="T100" i="23917"/>
  <c r="Y100" i="23917"/>
  <c r="X100" i="23917"/>
  <c r="AA100" i="23917"/>
  <c r="Z100" i="23917"/>
  <c r="AC100" i="23917"/>
  <c r="AB100" i="23917"/>
  <c r="AE100" i="23917"/>
  <c r="AD100" i="23917"/>
  <c r="AG100" i="23917"/>
  <c r="AF100" i="23917"/>
  <c r="B94" i="24050"/>
  <c r="AH100" i="23917"/>
  <c r="D94" i="24050"/>
  <c r="AJ100" i="23917"/>
  <c r="M97" i="23917"/>
  <c r="AA97" i="23917"/>
  <c r="C96" i="24050"/>
  <c r="AI102" i="23917"/>
  <c r="H96" i="24050"/>
  <c r="AN102" i="23917"/>
  <c r="R96" i="24050"/>
  <c r="AX102" i="23917"/>
  <c r="X96" i="24050"/>
  <c r="BD102" i="23917"/>
  <c r="AH96" i="24050"/>
  <c r="BN102" i="23917"/>
  <c r="AN96" i="24050"/>
  <c r="BT102" i="23917"/>
  <c r="D9" i="23917"/>
  <c r="H9" i="23917"/>
  <c r="B11" i="23917"/>
  <c r="F11" i="23917"/>
  <c r="EQ22" i="23917"/>
  <c r="EU22" i="23917"/>
  <c r="CA22" i="23917"/>
  <c r="CI22" i="23917"/>
  <c r="CQ22" i="23917"/>
  <c r="CY22" i="23917"/>
  <c r="DG22" i="23917"/>
  <c r="DO22" i="23917"/>
  <c r="FN22" i="23917"/>
  <c r="EB23" i="23917"/>
  <c r="FG22" i="23917"/>
  <c r="EI27" i="23917"/>
  <c r="EQ27" i="23917"/>
  <c r="EU27" i="23917"/>
  <c r="EY27" i="23917"/>
  <c r="CG27" i="23917"/>
  <c r="CK27" i="23917"/>
  <c r="CO27" i="23917"/>
  <c r="CS27" i="23917"/>
  <c r="CW27" i="23917"/>
  <c r="DA27" i="23917"/>
  <c r="DE27" i="23917"/>
  <c r="DI27" i="23917"/>
  <c r="DM27" i="23917"/>
  <c r="DQ27" i="23917"/>
  <c r="DU27" i="23917"/>
  <c r="FC27" i="23917"/>
  <c r="FG27" i="23917"/>
  <c r="D38" i="23917"/>
  <c r="H38" i="23917"/>
  <c r="L38" i="23917"/>
  <c r="P38" i="23917"/>
  <c r="X38" i="23917"/>
  <c r="AB38" i="23917"/>
  <c r="AF38" i="23917"/>
  <c r="AJ38" i="23917"/>
  <c r="AN38" i="23917"/>
  <c r="AR38" i="23917"/>
  <c r="AZ38" i="23917"/>
  <c r="BD38" i="23917"/>
  <c r="BH38" i="23917"/>
  <c r="BL38" i="23917"/>
  <c r="BT38" i="23917"/>
  <c r="EQ38" i="23917"/>
  <c r="EK39" i="23917"/>
  <c r="CC39" i="23917"/>
  <c r="DG38" i="23917"/>
  <c r="DO38" i="23917"/>
  <c r="FJ38" i="23917"/>
  <c r="CB38" i="23917"/>
  <c r="CJ38" i="23917"/>
  <c r="DP38" i="23917"/>
  <c r="EB39" i="23917"/>
  <c r="FK38" i="23917"/>
  <c r="FM39" i="23917"/>
  <c r="AK52" i="23917"/>
  <c r="AO52" i="23917"/>
  <c r="AS52" i="23917"/>
  <c r="AW52" i="23917"/>
  <c r="BA52" i="23917"/>
  <c r="BE52" i="23917"/>
  <c r="BI52" i="23917"/>
  <c r="BM52" i="23917"/>
  <c r="BQ52" i="23917"/>
  <c r="BU52" i="23917"/>
  <c r="BY52" i="23917"/>
  <c r="CC52" i="23917"/>
  <c r="CG52" i="23917"/>
  <c r="CK52" i="23917"/>
  <c r="CO52" i="23917"/>
  <c r="CS52" i="23917"/>
  <c r="CW52" i="23917"/>
  <c r="DA52" i="23917"/>
  <c r="DE52" i="23917"/>
  <c r="DI52" i="23917"/>
  <c r="DM52" i="23917"/>
  <c r="DQ52" i="23917"/>
  <c r="DU52" i="23917"/>
  <c r="EK52" i="23917"/>
  <c r="EO52" i="23917"/>
  <c r="ES52" i="23917"/>
  <c r="EW52" i="23917"/>
  <c r="FA52" i="23917"/>
  <c r="FE52" i="23917"/>
  <c r="FI52" i="23917"/>
  <c r="FM52" i="23917"/>
  <c r="AK65" i="23917"/>
  <c r="AO65" i="23917"/>
  <c r="AS65" i="23917"/>
  <c r="AW65" i="23917"/>
  <c r="BA65" i="23917"/>
  <c r="BE65" i="23917"/>
  <c r="BI65" i="23917"/>
  <c r="BM65" i="23917"/>
  <c r="BQ65" i="23917"/>
  <c r="BU65" i="23917"/>
  <c r="BY65" i="23917"/>
  <c r="CC65" i="23917"/>
  <c r="CG65" i="23917"/>
  <c r="CK65" i="23917"/>
  <c r="CO65" i="23917"/>
  <c r="CS65" i="23917"/>
  <c r="CW65" i="23917"/>
  <c r="DA65" i="23917"/>
  <c r="DE65" i="23917"/>
  <c r="DI65" i="23917"/>
  <c r="DM65" i="23917"/>
  <c r="DQ65" i="23917"/>
  <c r="DU65" i="23917"/>
  <c r="EO65" i="23917"/>
  <c r="ES65" i="23917"/>
  <c r="EW65" i="23917"/>
  <c r="FA65" i="23917"/>
  <c r="FE65" i="23917"/>
  <c r="FI65" i="23917"/>
  <c r="FM65" i="23917"/>
  <c r="D69" i="23917"/>
  <c r="B71" i="23917"/>
  <c r="F71" i="23917"/>
  <c r="D73" i="23917"/>
  <c r="EI82" i="23917"/>
  <c r="EM82" i="23917"/>
  <c r="EQ82" i="23917"/>
  <c r="DT81" i="23917"/>
  <c r="C82" i="23917"/>
  <c r="G82" i="23917"/>
  <c r="K82" i="23917"/>
  <c r="O82" i="23917"/>
  <c r="S82" i="23917"/>
  <c r="W82" i="23917"/>
  <c r="AA82" i="23917"/>
  <c r="AE82" i="23917"/>
  <c r="AI82" i="23917"/>
  <c r="AM82" i="23917"/>
  <c r="B83" i="23917"/>
  <c r="J83" i="23917"/>
  <c r="AH83" i="23917"/>
  <c r="AL83" i="23917"/>
  <c r="AP83" i="23917"/>
  <c r="AT83" i="23917"/>
  <c r="AX83" i="23917"/>
  <c r="BB83" i="23917"/>
  <c r="BF83" i="23917"/>
  <c r="BJ83" i="23917"/>
  <c r="BN83" i="23917"/>
  <c r="BR83" i="23917"/>
  <c r="BV83" i="23917"/>
  <c r="BZ83" i="23917"/>
  <c r="CD83" i="23917"/>
  <c r="CH83" i="23917"/>
  <c r="CL83" i="23917"/>
  <c r="CP83" i="23917"/>
  <c r="CT83" i="23917"/>
  <c r="DB83" i="23917"/>
  <c r="DF83" i="23917"/>
  <c r="DJ83" i="23917"/>
  <c r="DN83" i="23917"/>
  <c r="AI93" i="23917"/>
  <c r="AM93" i="23917"/>
  <c r="AQ93" i="23917"/>
  <c r="AU93" i="23917"/>
  <c r="AY93" i="23917"/>
  <c r="BC93" i="23917"/>
  <c r="BG93" i="23917"/>
  <c r="BK93" i="23917"/>
  <c r="BO93" i="23917"/>
  <c r="BS93" i="23917"/>
  <c r="BW93" i="23917"/>
  <c r="CA93" i="23917"/>
  <c r="CE93" i="23917"/>
  <c r="CI93" i="23917"/>
  <c r="CM93" i="23917"/>
  <c r="CQ93" i="23917"/>
  <c r="CU93" i="23917"/>
  <c r="CY93" i="23917"/>
  <c r="DC93" i="23917"/>
  <c r="DG93" i="23917"/>
  <c r="DK93" i="23917"/>
  <c r="DO93" i="23917"/>
  <c r="DS93" i="23917"/>
  <c r="DW93" i="23917"/>
  <c r="AW94" i="23917"/>
  <c r="BM94" i="23917"/>
  <c r="CC94" i="23917"/>
  <c r="CS94" i="23917"/>
  <c r="DI94" i="23917"/>
  <c r="N96" i="23917"/>
  <c r="BX128" i="23917"/>
  <c r="DS381" i="24050"/>
  <c r="CE381" i="24050"/>
  <c r="DS387" i="24050"/>
  <c r="CE387" i="24050"/>
  <c r="DS391" i="24050"/>
  <c r="CE391" i="24050"/>
  <c r="DU393" i="24050"/>
  <c r="CG393" i="24050"/>
  <c r="DY393" i="24050"/>
  <c r="CK393" i="24050"/>
  <c r="EC393" i="24050"/>
  <c r="CO393" i="24050"/>
  <c r="CS393" i="24050"/>
  <c r="EG393" i="24050"/>
  <c r="EK393" i="24050"/>
  <c r="CW393" i="24050"/>
  <c r="DS395" i="24050"/>
  <c r="CE395" i="24050"/>
  <c r="CI395" i="24050"/>
  <c r="DW395" i="24050"/>
  <c r="EA395" i="24050"/>
  <c r="CM395" i="24050"/>
  <c r="EE395" i="24050"/>
  <c r="CQ395" i="24050"/>
  <c r="EI395" i="24050"/>
  <c r="CU395" i="24050"/>
  <c r="CE380" i="24050"/>
  <c r="DS380" i="24050"/>
  <c r="DU392" i="24050"/>
  <c r="CG392" i="24050"/>
  <c r="CK392" i="24050"/>
  <c r="DY392" i="24050"/>
  <c r="CO392" i="24050"/>
  <c r="EC392" i="24050"/>
  <c r="CS392" i="24050"/>
  <c r="EG392" i="24050"/>
  <c r="EK392" i="24050"/>
  <c r="CW392" i="24050"/>
  <c r="CE394" i="24050"/>
  <c r="DS394" i="24050"/>
  <c r="CI394" i="24050"/>
  <c r="DW394" i="24050"/>
  <c r="CM394" i="24050"/>
  <c r="EA394" i="24050"/>
  <c r="EE394" i="24050"/>
  <c r="CQ394" i="24050"/>
  <c r="CU394" i="24050"/>
  <c r="EI394" i="24050"/>
  <c r="DY381" i="24050"/>
  <c r="CK381" i="24050"/>
  <c r="DS383" i="24050"/>
  <c r="CE383" i="24050"/>
  <c r="CE393" i="24050"/>
  <c r="DS393" i="24050"/>
  <c r="DW393" i="24050"/>
  <c r="CI393" i="24050"/>
  <c r="EA393" i="24050"/>
  <c r="CM393" i="24050"/>
  <c r="EE393" i="24050"/>
  <c r="CQ393" i="24050"/>
  <c r="EI393" i="24050"/>
  <c r="CU393" i="24050"/>
  <c r="DU395" i="24050"/>
  <c r="CG395" i="24050"/>
  <c r="DY395" i="24050"/>
  <c r="CK395" i="24050"/>
  <c r="EC395" i="24050"/>
  <c r="CO395" i="24050"/>
  <c r="EG395" i="24050"/>
  <c r="CS395" i="24050"/>
  <c r="EK395" i="24050"/>
  <c r="CW395" i="24050"/>
  <c r="DS388" i="24050"/>
  <c r="CE388" i="24050"/>
  <c r="DS392" i="24050"/>
  <c r="CE392" i="24050"/>
  <c r="DW392" i="24050"/>
  <c r="CI392" i="24050"/>
  <c r="EA392" i="24050"/>
  <c r="CM392" i="24050"/>
  <c r="EE392" i="24050"/>
  <c r="CQ392" i="24050"/>
  <c r="EI392" i="24050"/>
  <c r="CU392" i="24050"/>
  <c r="DU394" i="24050"/>
  <c r="CG394" i="24050"/>
  <c r="DY394" i="24050"/>
  <c r="CK394" i="24050"/>
  <c r="EC394" i="24050"/>
  <c r="CO394" i="24050"/>
  <c r="EG394" i="24050"/>
  <c r="CS394" i="24050"/>
  <c r="EK394" i="24050"/>
  <c r="CW394" i="24050"/>
  <c r="DS396" i="24050"/>
  <c r="CE396" i="24050"/>
  <c r="K17" i="24068"/>
  <c r="J26" i="24068"/>
  <c r="J28" i="24068"/>
  <c r="L26" i="24068"/>
  <c r="M17" i="24068"/>
  <c r="F17" i="24068"/>
  <c r="J17" i="24068"/>
  <c r="I26" i="24068"/>
  <c r="M26" i="24068"/>
  <c r="M28" i="24068"/>
  <c r="T28" i="24068"/>
  <c r="H17" i="24068"/>
  <c r="L17" i="24068"/>
  <c r="K26" i="24068"/>
  <c r="G28" i="24068"/>
  <c r="K28" i="24068"/>
  <c r="EA261" i="23917"/>
  <c r="EB261" i="23917"/>
  <c r="CV255" i="24050"/>
  <c r="CP235" i="24050"/>
  <c r="DV241" i="23917"/>
  <c r="EC338" i="23917"/>
  <c r="F8" i="24068"/>
  <c r="BN400" i="24050"/>
  <c r="EO400" i="24050"/>
  <c r="DY33" i="24050"/>
  <c r="BP400" i="24050"/>
  <c r="EM400" i="24050"/>
  <c r="EQ400" i="24050"/>
  <c r="J8" i="24068"/>
  <c r="C375" i="24050"/>
  <c r="C341" i="24050"/>
  <c r="C270" i="24050"/>
  <c r="C305" i="24050"/>
  <c r="C229" i="24050"/>
  <c r="C187" i="24050"/>
  <c r="C147" i="24050"/>
  <c r="C104" i="24050"/>
  <c r="C53" i="24050"/>
  <c r="G375" i="24050"/>
  <c r="G341" i="24050"/>
  <c r="G305" i="24050"/>
  <c r="G270" i="24050"/>
  <c r="G229" i="24050"/>
  <c r="G187" i="24050"/>
  <c r="G147" i="24050"/>
  <c r="G104" i="24050"/>
  <c r="G53" i="24050"/>
  <c r="K375" i="24050"/>
  <c r="K341" i="24050"/>
  <c r="K270" i="24050"/>
  <c r="K305" i="24050"/>
  <c r="K229" i="24050"/>
  <c r="K187" i="24050"/>
  <c r="K147" i="24050"/>
  <c r="K104" i="24050"/>
  <c r="K53" i="24050"/>
  <c r="O375" i="24050"/>
  <c r="O341" i="24050"/>
  <c r="O270" i="24050"/>
  <c r="O305" i="24050"/>
  <c r="O229" i="24050"/>
  <c r="O187" i="24050"/>
  <c r="O147" i="24050"/>
  <c r="O104" i="24050"/>
  <c r="O53" i="24050"/>
  <c r="S375" i="24050"/>
  <c r="S341" i="24050"/>
  <c r="S270" i="24050"/>
  <c r="S305" i="24050"/>
  <c r="S229" i="24050"/>
  <c r="S187" i="24050"/>
  <c r="S147" i="24050"/>
  <c r="S104" i="24050"/>
  <c r="S53" i="24050"/>
  <c r="W375" i="24050"/>
  <c r="W341" i="24050"/>
  <c r="W305" i="24050"/>
  <c r="W270" i="24050"/>
  <c r="W229" i="24050"/>
  <c r="W187" i="24050"/>
  <c r="W147" i="24050"/>
  <c r="W104" i="24050"/>
  <c r="W53" i="24050"/>
  <c r="AA375" i="24050"/>
  <c r="AA341" i="24050"/>
  <c r="AA270" i="24050"/>
  <c r="AA305" i="24050"/>
  <c r="AA229" i="24050"/>
  <c r="AA187" i="24050"/>
  <c r="AA147" i="24050"/>
  <c r="AA104" i="24050"/>
  <c r="AA53" i="24050"/>
  <c r="AE375" i="24050"/>
  <c r="AE341" i="24050"/>
  <c r="AE270" i="24050"/>
  <c r="AE305" i="24050"/>
  <c r="AE229" i="24050"/>
  <c r="AE187" i="24050"/>
  <c r="AE147" i="24050"/>
  <c r="AE104" i="24050"/>
  <c r="AE53" i="24050"/>
  <c r="AI375" i="24050"/>
  <c r="AI341" i="24050"/>
  <c r="AI270" i="24050"/>
  <c r="AI305" i="24050"/>
  <c r="AI229" i="24050"/>
  <c r="AI187" i="24050"/>
  <c r="AI147" i="24050"/>
  <c r="AI104" i="24050"/>
  <c r="AI53" i="24050"/>
  <c r="AM375" i="24050"/>
  <c r="AM341" i="24050"/>
  <c r="AM305" i="24050"/>
  <c r="AM270" i="24050"/>
  <c r="AM229" i="24050"/>
  <c r="AM187" i="24050"/>
  <c r="AM147" i="24050"/>
  <c r="AM104" i="24050"/>
  <c r="AM53" i="24050"/>
  <c r="AQ375" i="24050"/>
  <c r="AQ341" i="24050"/>
  <c r="AQ270" i="24050"/>
  <c r="AQ305" i="24050"/>
  <c r="AQ229" i="24050"/>
  <c r="AQ187" i="24050"/>
  <c r="AQ147" i="24050"/>
  <c r="AQ104" i="24050"/>
  <c r="AQ53" i="24050"/>
  <c r="AU375" i="24050"/>
  <c r="AU341" i="24050"/>
  <c r="AU270" i="24050"/>
  <c r="AU305" i="24050"/>
  <c r="AU229" i="24050"/>
  <c r="AU187" i="24050"/>
  <c r="AU147" i="24050"/>
  <c r="AU104" i="24050"/>
  <c r="AU53" i="24050"/>
  <c r="AY375" i="24050"/>
  <c r="AY341" i="24050"/>
  <c r="AY270" i="24050"/>
  <c r="AY305" i="24050"/>
  <c r="AY229" i="24050"/>
  <c r="AY187" i="24050"/>
  <c r="AY147" i="24050"/>
  <c r="AY104" i="24050"/>
  <c r="AY53" i="24050"/>
  <c r="BC375" i="24050"/>
  <c r="BC341" i="24050"/>
  <c r="BC305" i="24050"/>
  <c r="BC270" i="24050"/>
  <c r="BC229" i="24050"/>
  <c r="BC187" i="24050"/>
  <c r="BC147" i="24050"/>
  <c r="BC104" i="24050"/>
  <c r="BC53" i="24050"/>
  <c r="BG375" i="24050"/>
  <c r="BG341" i="24050"/>
  <c r="BG270" i="24050"/>
  <c r="BG305" i="24050"/>
  <c r="BG229" i="24050"/>
  <c r="BG187" i="24050"/>
  <c r="BG147" i="24050"/>
  <c r="BG104" i="24050"/>
  <c r="BG53" i="24050"/>
  <c r="BK375" i="24050"/>
  <c r="BK341" i="24050"/>
  <c r="BK270" i="24050"/>
  <c r="BK305" i="24050"/>
  <c r="BK229" i="24050"/>
  <c r="BK187" i="24050"/>
  <c r="BK147" i="24050"/>
  <c r="BK104" i="24050"/>
  <c r="BK53" i="24050"/>
  <c r="BO375" i="24050"/>
  <c r="BO341" i="24050"/>
  <c r="BO270" i="24050"/>
  <c r="BO305" i="24050"/>
  <c r="BO229" i="24050"/>
  <c r="BO187" i="24050"/>
  <c r="BO147" i="24050"/>
  <c r="BO104" i="24050"/>
  <c r="BO53" i="24050"/>
  <c r="BS375" i="24050"/>
  <c r="BS341" i="24050"/>
  <c r="BS305" i="24050"/>
  <c r="BS270" i="24050"/>
  <c r="BS229" i="24050"/>
  <c r="BS187" i="24050"/>
  <c r="BS147" i="24050"/>
  <c r="BS104" i="24050"/>
  <c r="BS53" i="24050"/>
  <c r="BW375" i="24050"/>
  <c r="BW341" i="24050"/>
  <c r="BW270" i="24050"/>
  <c r="BW305" i="24050"/>
  <c r="BW229" i="24050"/>
  <c r="BW187" i="24050"/>
  <c r="BW147" i="24050"/>
  <c r="BW104" i="24050"/>
  <c r="BW53" i="24050"/>
  <c r="CA375" i="24050"/>
  <c r="CA341" i="24050"/>
  <c r="CA270" i="24050"/>
  <c r="CA305" i="24050"/>
  <c r="CA229" i="24050"/>
  <c r="CA187" i="24050"/>
  <c r="CA147" i="24050"/>
  <c r="CA104" i="24050"/>
  <c r="CA53" i="24050"/>
  <c r="CE375" i="24050"/>
  <c r="CE341" i="24050"/>
  <c r="CE270" i="24050"/>
  <c r="CE305" i="24050"/>
  <c r="CE229" i="24050"/>
  <c r="CE187" i="24050"/>
  <c r="CE147" i="24050"/>
  <c r="CE104" i="24050"/>
  <c r="CE53" i="24050"/>
  <c r="CI375" i="24050"/>
  <c r="CI341" i="24050"/>
  <c r="CI305" i="24050"/>
  <c r="CI270" i="24050"/>
  <c r="CI229" i="24050"/>
  <c r="CI187" i="24050"/>
  <c r="CI147" i="24050"/>
  <c r="CI104" i="24050"/>
  <c r="CI53" i="24050"/>
  <c r="CM375" i="24050"/>
  <c r="CM341" i="24050"/>
  <c r="CM270" i="24050"/>
  <c r="CM305" i="24050"/>
  <c r="CM229" i="24050"/>
  <c r="CM187" i="24050"/>
  <c r="CM147" i="24050"/>
  <c r="CM104" i="24050"/>
  <c r="CM53" i="24050"/>
  <c r="CQ375" i="24050"/>
  <c r="CQ341" i="24050"/>
  <c r="CQ270" i="24050"/>
  <c r="CQ305" i="24050"/>
  <c r="CQ229" i="24050"/>
  <c r="CQ187" i="24050"/>
  <c r="CQ147" i="24050"/>
  <c r="CQ104" i="24050"/>
  <c r="CQ53" i="24050"/>
  <c r="CU375" i="24050"/>
  <c r="CU341" i="24050"/>
  <c r="CU270" i="24050"/>
  <c r="CU305" i="24050"/>
  <c r="CU229" i="24050"/>
  <c r="CU187" i="24050"/>
  <c r="CU147" i="24050"/>
  <c r="CU104" i="24050"/>
  <c r="CU53" i="24050"/>
  <c r="CY375" i="24050"/>
  <c r="CY341" i="24050"/>
  <c r="CY305" i="24050"/>
  <c r="CY270" i="24050"/>
  <c r="CY229" i="24050"/>
  <c r="CY187" i="24050"/>
  <c r="CY147" i="24050"/>
  <c r="CY104" i="24050"/>
  <c r="CY53" i="24050"/>
  <c r="DD375" i="24050"/>
  <c r="DD341" i="24050"/>
  <c r="DD270" i="24050"/>
  <c r="DD305" i="24050"/>
  <c r="DD229" i="24050"/>
  <c r="DD187" i="24050"/>
  <c r="DD147" i="24050"/>
  <c r="DD104" i="24050"/>
  <c r="DD53" i="24050"/>
  <c r="DH375" i="24050"/>
  <c r="DH341" i="24050"/>
  <c r="DH270" i="24050"/>
  <c r="DH305" i="24050"/>
  <c r="DH229" i="24050"/>
  <c r="DH187" i="24050"/>
  <c r="DH147" i="24050"/>
  <c r="DH104" i="24050"/>
  <c r="DH53" i="24050"/>
  <c r="DX341" i="24050"/>
  <c r="DX270" i="24050"/>
  <c r="DX305" i="24050"/>
  <c r="DX187" i="24050"/>
  <c r="DX147" i="24050"/>
  <c r="DX104" i="24050"/>
  <c r="EB270" i="24050"/>
  <c r="EB305" i="24050"/>
  <c r="EB147" i="24050"/>
  <c r="EB104" i="24050"/>
  <c r="EF375" i="24050"/>
  <c r="EF341" i="24050"/>
  <c r="EF305" i="24050"/>
  <c r="EF229" i="24050"/>
  <c r="EF187" i="24050"/>
  <c r="EF147" i="24050"/>
  <c r="EF53" i="24050"/>
  <c r="EJ375" i="24050"/>
  <c r="EJ341" i="24050"/>
  <c r="EJ229" i="24050"/>
  <c r="EJ187" i="24050"/>
  <c r="EJ53" i="24050"/>
  <c r="EN375" i="24050"/>
  <c r="EN270" i="24050"/>
  <c r="EN305" i="24050"/>
  <c r="EN229" i="24050"/>
  <c r="EN147" i="24050"/>
  <c r="EN104" i="24050"/>
  <c r="EN53" i="24050"/>
  <c r="ER305" i="24050"/>
  <c r="ER270" i="24050"/>
  <c r="ER187" i="24050"/>
  <c r="ER104" i="24050"/>
  <c r="D377" i="24050"/>
  <c r="D343" i="24050"/>
  <c r="D307" i="24050"/>
  <c r="D272" i="24050"/>
  <c r="D231" i="24050"/>
  <c r="D189" i="24050"/>
  <c r="D149" i="24050"/>
  <c r="D106" i="24050"/>
  <c r="D55" i="24050"/>
  <c r="H377" i="24050"/>
  <c r="H343" i="24050"/>
  <c r="H272" i="24050"/>
  <c r="H307" i="24050"/>
  <c r="H231" i="24050"/>
  <c r="H189" i="24050"/>
  <c r="H149" i="24050"/>
  <c r="H106" i="24050"/>
  <c r="H55" i="24050"/>
  <c r="L377" i="24050"/>
  <c r="L343" i="24050"/>
  <c r="L272" i="24050"/>
  <c r="L307" i="24050"/>
  <c r="L231" i="24050"/>
  <c r="L189" i="24050"/>
  <c r="L149" i="24050"/>
  <c r="L106" i="24050"/>
  <c r="L55" i="24050"/>
  <c r="P377" i="24050"/>
  <c r="P343" i="24050"/>
  <c r="P272" i="24050"/>
  <c r="P307" i="24050"/>
  <c r="P231" i="24050"/>
  <c r="P149" i="24050"/>
  <c r="P106" i="24050"/>
  <c r="P189" i="24050"/>
  <c r="P55" i="24050"/>
  <c r="T377" i="24050"/>
  <c r="T343" i="24050"/>
  <c r="T307" i="24050"/>
  <c r="T272" i="24050"/>
  <c r="T231" i="24050"/>
  <c r="T189" i="24050"/>
  <c r="T149" i="24050"/>
  <c r="T106" i="24050"/>
  <c r="T55" i="24050"/>
  <c r="X377" i="24050"/>
  <c r="X343" i="24050"/>
  <c r="X272" i="24050"/>
  <c r="X307" i="24050"/>
  <c r="X231" i="24050"/>
  <c r="X189" i="24050"/>
  <c r="X149" i="24050"/>
  <c r="X106" i="24050"/>
  <c r="X55" i="24050"/>
  <c r="AB377" i="24050"/>
  <c r="AB343" i="24050"/>
  <c r="AB272" i="24050"/>
  <c r="AB307" i="24050"/>
  <c r="AB231" i="24050"/>
  <c r="AB189" i="24050"/>
  <c r="AB149" i="24050"/>
  <c r="AB106" i="24050"/>
  <c r="AB55" i="24050"/>
  <c r="AF377" i="24050"/>
  <c r="AF343" i="24050"/>
  <c r="AF272" i="24050"/>
  <c r="AF307" i="24050"/>
  <c r="AF231" i="24050"/>
  <c r="AF149" i="24050"/>
  <c r="AF106" i="24050"/>
  <c r="AF189" i="24050"/>
  <c r="AF55" i="24050"/>
  <c r="AJ377" i="24050"/>
  <c r="AJ343" i="24050"/>
  <c r="AJ307" i="24050"/>
  <c r="AJ272" i="24050"/>
  <c r="AJ231" i="24050"/>
  <c r="AJ189" i="24050"/>
  <c r="AJ149" i="24050"/>
  <c r="AJ106" i="24050"/>
  <c r="AJ55" i="24050"/>
  <c r="AN377" i="24050"/>
  <c r="AN343" i="24050"/>
  <c r="AN272" i="24050"/>
  <c r="AN307" i="24050"/>
  <c r="AN231" i="24050"/>
  <c r="AN189" i="24050"/>
  <c r="AN149" i="24050"/>
  <c r="AN106" i="24050"/>
  <c r="AN55" i="24050"/>
  <c r="AR377" i="24050"/>
  <c r="AR343" i="24050"/>
  <c r="AR272" i="24050"/>
  <c r="AR307" i="24050"/>
  <c r="AR231" i="24050"/>
  <c r="AR189" i="24050"/>
  <c r="AR149" i="24050"/>
  <c r="AR106" i="24050"/>
  <c r="AR55" i="24050"/>
  <c r="AV377" i="24050"/>
  <c r="AV343" i="24050"/>
  <c r="AV272" i="24050"/>
  <c r="AV307" i="24050"/>
  <c r="AV231" i="24050"/>
  <c r="AV149" i="24050"/>
  <c r="AV189" i="24050"/>
  <c r="AV106" i="24050"/>
  <c r="AV55" i="24050"/>
  <c r="AZ377" i="24050"/>
  <c r="AZ343" i="24050"/>
  <c r="AZ307" i="24050"/>
  <c r="AZ272" i="24050"/>
  <c r="AZ231" i="24050"/>
  <c r="AZ189" i="24050"/>
  <c r="AZ149" i="24050"/>
  <c r="AZ106" i="24050"/>
  <c r="AZ55" i="24050"/>
  <c r="BD377" i="24050"/>
  <c r="BD343" i="24050"/>
  <c r="BD272" i="24050"/>
  <c r="BD307" i="24050"/>
  <c r="BD231" i="24050"/>
  <c r="BD189" i="24050"/>
  <c r="BD149" i="24050"/>
  <c r="BD106" i="24050"/>
  <c r="BD55" i="24050"/>
  <c r="BH377" i="24050"/>
  <c r="BH343" i="24050"/>
  <c r="BH272" i="24050"/>
  <c r="BH307" i="24050"/>
  <c r="BH231" i="24050"/>
  <c r="BH189" i="24050"/>
  <c r="BH149" i="24050"/>
  <c r="BH106" i="24050"/>
  <c r="BH55" i="24050"/>
  <c r="BL377" i="24050"/>
  <c r="BL343" i="24050"/>
  <c r="BL272" i="24050"/>
  <c r="BL307" i="24050"/>
  <c r="BL231" i="24050"/>
  <c r="BL149" i="24050"/>
  <c r="BL189" i="24050"/>
  <c r="BL106" i="24050"/>
  <c r="BL55" i="24050"/>
  <c r="BP377" i="24050"/>
  <c r="BP343" i="24050"/>
  <c r="BP307" i="24050"/>
  <c r="BP272" i="24050"/>
  <c r="BP231" i="24050"/>
  <c r="BP189" i="24050"/>
  <c r="BP149" i="24050"/>
  <c r="BP106" i="24050"/>
  <c r="BP55" i="24050"/>
  <c r="BT377" i="24050"/>
  <c r="BT343" i="24050"/>
  <c r="BT272" i="24050"/>
  <c r="BT307" i="24050"/>
  <c r="BT231" i="24050"/>
  <c r="BT189" i="24050"/>
  <c r="BT149" i="24050"/>
  <c r="BT106" i="24050"/>
  <c r="BT55" i="24050"/>
  <c r="BX377" i="24050"/>
  <c r="BX343" i="24050"/>
  <c r="BX272" i="24050"/>
  <c r="BX307" i="24050"/>
  <c r="BX231" i="24050"/>
  <c r="BX189" i="24050"/>
  <c r="BX149" i="24050"/>
  <c r="BX106" i="24050"/>
  <c r="BX55" i="24050"/>
  <c r="CB377" i="24050"/>
  <c r="CB343" i="24050"/>
  <c r="CB272" i="24050"/>
  <c r="CB307" i="24050"/>
  <c r="CB231" i="24050"/>
  <c r="CB149" i="24050"/>
  <c r="CB106" i="24050"/>
  <c r="CB189" i="24050"/>
  <c r="CB55" i="24050"/>
  <c r="CF377" i="24050"/>
  <c r="CF343" i="24050"/>
  <c r="CF307" i="24050"/>
  <c r="CF272" i="24050"/>
  <c r="CF231" i="24050"/>
  <c r="CF189" i="24050"/>
  <c r="CF149" i="24050"/>
  <c r="CF106" i="24050"/>
  <c r="CF55" i="24050"/>
  <c r="CJ377" i="24050"/>
  <c r="CJ343" i="24050"/>
  <c r="CJ272" i="24050"/>
  <c r="CJ307" i="24050"/>
  <c r="CJ231" i="24050"/>
  <c r="CJ189" i="24050"/>
  <c r="CJ149" i="24050"/>
  <c r="CJ106" i="24050"/>
  <c r="CJ55" i="24050"/>
  <c r="CN377" i="24050"/>
  <c r="CN343" i="24050"/>
  <c r="CN272" i="24050"/>
  <c r="CN307" i="24050"/>
  <c r="CN231" i="24050"/>
  <c r="CN189" i="24050"/>
  <c r="CN149" i="24050"/>
  <c r="CN106" i="24050"/>
  <c r="CN55" i="24050"/>
  <c r="CR377" i="24050"/>
  <c r="CR343" i="24050"/>
  <c r="CR272" i="24050"/>
  <c r="CR307" i="24050"/>
  <c r="CR231" i="24050"/>
  <c r="CR149" i="24050"/>
  <c r="CR106" i="24050"/>
  <c r="CR189" i="24050"/>
  <c r="CR55" i="24050"/>
  <c r="CV377" i="24050"/>
  <c r="CV343" i="24050"/>
  <c r="CV307" i="24050"/>
  <c r="CV272" i="24050"/>
  <c r="CV231" i="24050"/>
  <c r="CV189" i="24050"/>
  <c r="CV149" i="24050"/>
  <c r="CV106" i="24050"/>
  <c r="CV55" i="24050"/>
  <c r="CZ377" i="24050"/>
  <c r="CZ343" i="24050"/>
  <c r="CZ272" i="24050"/>
  <c r="CZ307" i="24050"/>
  <c r="CZ231" i="24050"/>
  <c r="CZ189" i="24050"/>
  <c r="CZ149" i="24050"/>
  <c r="CZ106" i="24050"/>
  <c r="CZ55" i="24050"/>
  <c r="DE377" i="24050"/>
  <c r="DE343" i="24050"/>
  <c r="DE272" i="24050"/>
  <c r="DE307" i="24050"/>
  <c r="DE231" i="24050"/>
  <c r="DE189" i="24050"/>
  <c r="DE149" i="24050"/>
  <c r="DE106" i="24050"/>
  <c r="DE55" i="24050"/>
  <c r="DI377" i="24050"/>
  <c r="DI343" i="24050"/>
  <c r="DI307" i="24050"/>
  <c r="DI272" i="24050"/>
  <c r="DI231" i="24050"/>
  <c r="DI149" i="24050"/>
  <c r="DI189" i="24050"/>
  <c r="DI106" i="24050"/>
  <c r="DI55" i="24050"/>
  <c r="DM377" i="24050"/>
  <c r="DM343" i="24050"/>
  <c r="DM307" i="24050"/>
  <c r="DM272" i="24050"/>
  <c r="DM231" i="24050"/>
  <c r="DM189" i="24050"/>
  <c r="DM149" i="24050"/>
  <c r="DM106" i="24050"/>
  <c r="DM55" i="24050"/>
  <c r="DQ377" i="24050"/>
  <c r="DQ343" i="24050"/>
  <c r="DQ307" i="24050"/>
  <c r="DQ272" i="24050"/>
  <c r="DQ231" i="24050"/>
  <c r="DQ189" i="24050"/>
  <c r="DQ149" i="24050"/>
  <c r="DQ106" i="24050"/>
  <c r="DQ55" i="24050"/>
  <c r="DU377" i="24050"/>
  <c r="DU343" i="24050"/>
  <c r="DU307" i="24050"/>
  <c r="DU272" i="24050"/>
  <c r="DU231" i="24050"/>
  <c r="DU189" i="24050"/>
  <c r="DU149" i="24050"/>
  <c r="DU106" i="24050"/>
  <c r="DU55" i="24050"/>
  <c r="DY377" i="24050"/>
  <c r="DY343" i="24050"/>
  <c r="DY307" i="24050"/>
  <c r="DY272" i="24050"/>
  <c r="DY231" i="24050"/>
  <c r="DY149" i="24050"/>
  <c r="DY189" i="24050"/>
  <c r="DY106" i="24050"/>
  <c r="DY55" i="24050"/>
  <c r="EC377" i="24050"/>
  <c r="EC343" i="24050"/>
  <c r="EC307" i="24050"/>
  <c r="EC272" i="24050"/>
  <c r="EC231" i="24050"/>
  <c r="EC189" i="24050"/>
  <c r="EC149" i="24050"/>
  <c r="EC106" i="24050"/>
  <c r="EC55" i="24050"/>
  <c r="EG377" i="24050"/>
  <c r="EG343" i="24050"/>
  <c r="EG307" i="24050"/>
  <c r="EG272" i="24050"/>
  <c r="EG231" i="24050"/>
  <c r="EG189" i="24050"/>
  <c r="EG149" i="24050"/>
  <c r="EG106" i="24050"/>
  <c r="EG55" i="24050"/>
  <c r="EK377" i="24050"/>
  <c r="EK343" i="24050"/>
  <c r="EK307" i="24050"/>
  <c r="EK272" i="24050"/>
  <c r="EK231" i="24050"/>
  <c r="EK189" i="24050"/>
  <c r="EK149" i="24050"/>
  <c r="EK106" i="24050"/>
  <c r="EK55" i="24050"/>
  <c r="EO377" i="24050"/>
  <c r="EO343" i="24050"/>
  <c r="EO307" i="24050"/>
  <c r="EO272" i="24050"/>
  <c r="EO231" i="24050"/>
  <c r="EO149" i="24050"/>
  <c r="EO106" i="24050"/>
  <c r="EO189" i="24050"/>
  <c r="EO55" i="24050"/>
  <c r="C342" i="24050"/>
  <c r="C306" i="24050"/>
  <c r="C188" i="24050"/>
  <c r="C105" i="24050"/>
  <c r="G342" i="24050"/>
  <c r="G306" i="24050"/>
  <c r="G271" i="24050"/>
  <c r="G188" i="24050"/>
  <c r="G105" i="24050"/>
  <c r="G148" i="24050"/>
  <c r="K376" i="24050"/>
  <c r="K271" i="24050"/>
  <c r="K230" i="24050"/>
  <c r="K148" i="24050"/>
  <c r="K54" i="24050"/>
  <c r="O376" i="24050"/>
  <c r="O342" i="24050"/>
  <c r="O271" i="24050"/>
  <c r="O230" i="24050"/>
  <c r="O188" i="24050"/>
  <c r="O148" i="24050"/>
  <c r="O54" i="24050"/>
  <c r="S342" i="24050"/>
  <c r="S306" i="24050"/>
  <c r="S188" i="24050"/>
  <c r="S148" i="24050"/>
  <c r="W376" i="24050"/>
  <c r="W306" i="24050"/>
  <c r="W271" i="24050"/>
  <c r="W230" i="24050"/>
  <c r="W148" i="24050"/>
  <c r="W105" i="24050"/>
  <c r="W54" i="24050"/>
  <c r="AA376" i="24050"/>
  <c r="AA271" i="24050"/>
  <c r="AA230" i="24050"/>
  <c r="AA105" i="24050"/>
  <c r="AA54" i="24050"/>
  <c r="AE376" i="24050"/>
  <c r="AE342" i="24050"/>
  <c r="AE306" i="24050"/>
  <c r="AE230" i="24050"/>
  <c r="AE188" i="24050"/>
  <c r="AE148" i="24050"/>
  <c r="AE54" i="24050"/>
  <c r="AI342" i="24050"/>
  <c r="AI306" i="24050"/>
  <c r="AI188" i="24050"/>
  <c r="AI148" i="24050"/>
  <c r="AM376" i="24050"/>
  <c r="AM342" i="24050"/>
  <c r="AM271" i="24050"/>
  <c r="AM230" i="24050"/>
  <c r="AM188" i="24050"/>
  <c r="AM105" i="24050"/>
  <c r="AM54" i="24050"/>
  <c r="AQ376" i="24050"/>
  <c r="AQ342" i="24050"/>
  <c r="AQ306" i="24050"/>
  <c r="AQ271" i="24050"/>
  <c r="AQ230" i="24050"/>
  <c r="AQ188" i="24050"/>
  <c r="AQ148" i="24050"/>
  <c r="AQ105" i="24050"/>
  <c r="AQ54" i="24050"/>
  <c r="AU376" i="24050"/>
  <c r="AU342" i="24050"/>
  <c r="AU306" i="24050"/>
  <c r="AU271" i="24050"/>
  <c r="AU230" i="24050"/>
  <c r="AU188" i="24050"/>
  <c r="AU148" i="24050"/>
  <c r="AU105" i="24050"/>
  <c r="AU54" i="24050"/>
  <c r="AY376" i="24050"/>
  <c r="AY342" i="24050"/>
  <c r="AY306" i="24050"/>
  <c r="AY271" i="24050"/>
  <c r="AY230" i="24050"/>
  <c r="AY188" i="24050"/>
  <c r="AY148" i="24050"/>
  <c r="AY105" i="24050"/>
  <c r="AY54" i="24050"/>
  <c r="BC376" i="24050"/>
  <c r="BC342" i="24050"/>
  <c r="BC306" i="24050"/>
  <c r="BC271" i="24050"/>
  <c r="BC230" i="24050"/>
  <c r="BC188" i="24050"/>
  <c r="BC148" i="24050"/>
  <c r="BC105" i="24050"/>
  <c r="BC54" i="24050"/>
  <c r="BG376" i="24050"/>
  <c r="BG342" i="24050"/>
  <c r="BG306" i="24050"/>
  <c r="BG271" i="24050"/>
  <c r="BG230" i="24050"/>
  <c r="BG188" i="24050"/>
  <c r="BG148" i="24050"/>
  <c r="BG105" i="24050"/>
  <c r="BG54" i="24050"/>
  <c r="BK376" i="24050"/>
  <c r="BK342" i="24050"/>
  <c r="BK306" i="24050"/>
  <c r="BK271" i="24050"/>
  <c r="BK230" i="24050"/>
  <c r="BK188" i="24050"/>
  <c r="BK148" i="24050"/>
  <c r="BK105" i="24050"/>
  <c r="BK54" i="24050"/>
  <c r="BO376" i="24050"/>
  <c r="BO342" i="24050"/>
  <c r="BO306" i="24050"/>
  <c r="BO271" i="24050"/>
  <c r="BO230" i="24050"/>
  <c r="BO188" i="24050"/>
  <c r="BO148" i="24050"/>
  <c r="BO105" i="24050"/>
  <c r="BO54" i="24050"/>
  <c r="BS376" i="24050"/>
  <c r="BS342" i="24050"/>
  <c r="BS306" i="24050"/>
  <c r="BS271" i="24050"/>
  <c r="BS230" i="24050"/>
  <c r="BS188" i="24050"/>
  <c r="BS148" i="24050"/>
  <c r="BS105" i="24050"/>
  <c r="BS54" i="24050"/>
  <c r="BW376" i="24050"/>
  <c r="BW342" i="24050"/>
  <c r="BW306" i="24050"/>
  <c r="BW271" i="24050"/>
  <c r="BW230" i="24050"/>
  <c r="BW188" i="24050"/>
  <c r="BW148" i="24050"/>
  <c r="BW105" i="24050"/>
  <c r="BW54" i="24050"/>
  <c r="CA376" i="24050"/>
  <c r="CA342" i="24050"/>
  <c r="CA306" i="24050"/>
  <c r="CA271" i="24050"/>
  <c r="CA230" i="24050"/>
  <c r="CA188" i="24050"/>
  <c r="CA148" i="24050"/>
  <c r="CA105" i="24050"/>
  <c r="CA54" i="24050"/>
  <c r="CE376" i="24050"/>
  <c r="CE342" i="24050"/>
  <c r="CE306" i="24050"/>
  <c r="CE271" i="24050"/>
  <c r="CE230" i="24050"/>
  <c r="CE188" i="24050"/>
  <c r="CE148" i="24050"/>
  <c r="CE105" i="24050"/>
  <c r="CE54" i="24050"/>
  <c r="CI376" i="24050"/>
  <c r="CI342" i="24050"/>
  <c r="CI306" i="24050"/>
  <c r="CI271" i="24050"/>
  <c r="CI230" i="24050"/>
  <c r="CI188" i="24050"/>
  <c r="CI148" i="24050"/>
  <c r="CI105" i="24050"/>
  <c r="CI54" i="24050"/>
  <c r="CM376" i="24050"/>
  <c r="CM342" i="24050"/>
  <c r="CM306" i="24050"/>
  <c r="CM271" i="24050"/>
  <c r="CM230" i="24050"/>
  <c r="CM188" i="24050"/>
  <c r="CM148" i="24050"/>
  <c r="CM105" i="24050"/>
  <c r="CM54" i="24050"/>
  <c r="CQ376" i="24050"/>
  <c r="CQ342" i="24050"/>
  <c r="CQ306" i="24050"/>
  <c r="CQ271" i="24050"/>
  <c r="CQ230" i="24050"/>
  <c r="CQ188" i="24050"/>
  <c r="CQ148" i="24050"/>
  <c r="CQ105" i="24050"/>
  <c r="CQ54" i="24050"/>
  <c r="CU376" i="24050"/>
  <c r="CU342" i="24050"/>
  <c r="CU306" i="24050"/>
  <c r="CU271" i="24050"/>
  <c r="CU230" i="24050"/>
  <c r="CU188" i="24050"/>
  <c r="CU148" i="24050"/>
  <c r="CU105" i="24050"/>
  <c r="CU54" i="24050"/>
  <c r="CY376" i="24050"/>
  <c r="CY342" i="24050"/>
  <c r="CY306" i="24050"/>
  <c r="CY271" i="24050"/>
  <c r="CY230" i="24050"/>
  <c r="CY188" i="24050"/>
  <c r="CY148" i="24050"/>
  <c r="CY105" i="24050"/>
  <c r="CY54" i="24050"/>
  <c r="DD376" i="24050"/>
  <c r="DD342" i="24050"/>
  <c r="DD306" i="24050"/>
  <c r="DD271" i="24050"/>
  <c r="DD230" i="24050"/>
  <c r="DD188" i="24050"/>
  <c r="DD148" i="24050"/>
  <c r="DD105" i="24050"/>
  <c r="DD54" i="24050"/>
  <c r="DH376" i="24050"/>
  <c r="DH342" i="24050"/>
  <c r="DH306" i="24050"/>
  <c r="DH271" i="24050"/>
  <c r="DH230" i="24050"/>
  <c r="DH188" i="24050"/>
  <c r="DH148" i="24050"/>
  <c r="DH105" i="24050"/>
  <c r="DH54" i="24050"/>
  <c r="DL376" i="24050"/>
  <c r="DL342" i="24050"/>
  <c r="DL306" i="24050"/>
  <c r="DL271" i="24050"/>
  <c r="DL230" i="24050"/>
  <c r="DL188" i="24050"/>
  <c r="DL148" i="24050"/>
  <c r="DL105" i="24050"/>
  <c r="DL54" i="24050"/>
  <c r="DP376" i="24050"/>
  <c r="DP342" i="24050"/>
  <c r="DP230" i="24050"/>
  <c r="DP188" i="24050"/>
  <c r="DP54" i="24050"/>
  <c r="DT376" i="24050"/>
  <c r="DT342" i="24050"/>
  <c r="DT306" i="24050"/>
  <c r="DT271" i="24050"/>
  <c r="DT230" i="24050"/>
  <c r="DT188" i="24050"/>
  <c r="DT148" i="24050"/>
  <c r="DT105" i="24050"/>
  <c r="DT54" i="24050"/>
  <c r="DX376" i="24050"/>
  <c r="DX342" i="24050"/>
  <c r="DX306" i="24050"/>
  <c r="DX271" i="24050"/>
  <c r="DX230" i="24050"/>
  <c r="DX188" i="24050"/>
  <c r="DX148" i="24050"/>
  <c r="DX105" i="24050"/>
  <c r="DX54" i="24050"/>
  <c r="EB376" i="24050"/>
  <c r="EB342" i="24050"/>
  <c r="EB306" i="24050"/>
  <c r="EB271" i="24050"/>
  <c r="EB230" i="24050"/>
  <c r="EB188" i="24050"/>
  <c r="EB148" i="24050"/>
  <c r="EB105" i="24050"/>
  <c r="EB54" i="24050"/>
  <c r="EF376" i="24050"/>
  <c r="EF342" i="24050"/>
  <c r="EF306" i="24050"/>
  <c r="EF271" i="24050"/>
  <c r="EF230" i="24050"/>
  <c r="EF188" i="24050"/>
  <c r="EF148" i="24050"/>
  <c r="EF105" i="24050"/>
  <c r="EF54" i="24050"/>
  <c r="EJ376" i="24050"/>
  <c r="EJ342" i="24050"/>
  <c r="EJ306" i="24050"/>
  <c r="EJ271" i="24050"/>
  <c r="EJ230" i="24050"/>
  <c r="EJ188" i="24050"/>
  <c r="EJ148" i="24050"/>
  <c r="EJ105" i="24050"/>
  <c r="EJ54" i="24050"/>
  <c r="EN376" i="24050"/>
  <c r="EN342" i="24050"/>
  <c r="EN306" i="24050"/>
  <c r="EN271" i="24050"/>
  <c r="EN230" i="24050"/>
  <c r="EN188" i="24050"/>
  <c r="EN148" i="24050"/>
  <c r="EN105" i="24050"/>
  <c r="EN54" i="24050"/>
  <c r="ER376" i="24050"/>
  <c r="ER342" i="24050"/>
  <c r="ER271" i="24050"/>
  <c r="ER306" i="24050"/>
  <c r="ER230" i="24050"/>
  <c r="ER148" i="24050"/>
  <c r="ER105" i="24050"/>
  <c r="ER188" i="24050"/>
  <c r="ER54" i="24050"/>
  <c r="E377" i="24050"/>
  <c r="E343" i="24050"/>
  <c r="E307" i="24050"/>
  <c r="E272" i="24050"/>
  <c r="E231" i="24050"/>
  <c r="E149" i="24050"/>
  <c r="E189" i="24050"/>
  <c r="E106" i="24050"/>
  <c r="E55" i="24050"/>
  <c r="I377" i="24050"/>
  <c r="I343" i="24050"/>
  <c r="I307" i="24050"/>
  <c r="I272" i="24050"/>
  <c r="I231" i="24050"/>
  <c r="I189" i="24050"/>
  <c r="I149" i="24050"/>
  <c r="I106" i="24050"/>
  <c r="I55" i="24050"/>
  <c r="M377" i="24050"/>
  <c r="M343" i="24050"/>
  <c r="M307" i="24050"/>
  <c r="M272" i="24050"/>
  <c r="M231" i="24050"/>
  <c r="M189" i="24050"/>
  <c r="M149" i="24050"/>
  <c r="M106" i="24050"/>
  <c r="M55" i="24050"/>
  <c r="Q377" i="24050"/>
  <c r="Q343" i="24050"/>
  <c r="Q307" i="24050"/>
  <c r="Q272" i="24050"/>
  <c r="Q231" i="24050"/>
  <c r="Q149" i="24050"/>
  <c r="Q189" i="24050"/>
  <c r="Q106" i="24050"/>
  <c r="Q55" i="24050"/>
  <c r="U377" i="24050"/>
  <c r="U343" i="24050"/>
  <c r="U307" i="24050"/>
  <c r="U272" i="24050"/>
  <c r="U231" i="24050"/>
  <c r="U149" i="24050"/>
  <c r="U106" i="24050"/>
  <c r="U189" i="24050"/>
  <c r="U55" i="24050"/>
  <c r="Y377" i="24050"/>
  <c r="Y343" i="24050"/>
  <c r="Y307" i="24050"/>
  <c r="Y272" i="24050"/>
  <c r="Y231" i="24050"/>
  <c r="Y189" i="24050"/>
  <c r="Y149" i="24050"/>
  <c r="Y106" i="24050"/>
  <c r="Y55" i="24050"/>
  <c r="AC377" i="24050"/>
  <c r="AC343" i="24050"/>
  <c r="AC307" i="24050"/>
  <c r="AC272" i="24050"/>
  <c r="AC231" i="24050"/>
  <c r="AC189" i="24050"/>
  <c r="AC149" i="24050"/>
  <c r="AC106" i="24050"/>
  <c r="AC55" i="24050"/>
  <c r="AG377" i="24050"/>
  <c r="AG343" i="24050"/>
  <c r="AG307" i="24050"/>
  <c r="AG272" i="24050"/>
  <c r="AG231" i="24050"/>
  <c r="AG149" i="24050"/>
  <c r="AG189" i="24050"/>
  <c r="AG106" i="24050"/>
  <c r="AG55" i="24050"/>
  <c r="AK377" i="24050"/>
  <c r="AK343" i="24050"/>
  <c r="AK307" i="24050"/>
  <c r="AK272" i="24050"/>
  <c r="AK231" i="24050"/>
  <c r="AK149" i="24050"/>
  <c r="AK106" i="24050"/>
  <c r="AK189" i="24050"/>
  <c r="AK55" i="24050"/>
  <c r="AO377" i="24050"/>
  <c r="AO343" i="24050"/>
  <c r="AO307" i="24050"/>
  <c r="AO272" i="24050"/>
  <c r="AO231" i="24050"/>
  <c r="AO189" i="24050"/>
  <c r="AO149" i="24050"/>
  <c r="AO106" i="24050"/>
  <c r="AO55" i="24050"/>
  <c r="AS377" i="24050"/>
  <c r="AS343" i="24050"/>
  <c r="AS307" i="24050"/>
  <c r="AS272" i="24050"/>
  <c r="AS231" i="24050"/>
  <c r="AS189" i="24050"/>
  <c r="AS149" i="24050"/>
  <c r="AS106" i="24050"/>
  <c r="AS55" i="24050"/>
  <c r="AW377" i="24050"/>
  <c r="AW343" i="24050"/>
  <c r="AW307" i="24050"/>
  <c r="AW272" i="24050"/>
  <c r="AW231" i="24050"/>
  <c r="AW149" i="24050"/>
  <c r="AW189" i="24050"/>
  <c r="AW106" i="24050"/>
  <c r="AW55" i="24050"/>
  <c r="BA377" i="24050"/>
  <c r="BA343" i="24050"/>
  <c r="BA307" i="24050"/>
  <c r="BA272" i="24050"/>
  <c r="BA231" i="24050"/>
  <c r="BA149" i="24050"/>
  <c r="BA106" i="24050"/>
  <c r="BA189" i="24050"/>
  <c r="BA55" i="24050"/>
  <c r="BE377" i="24050"/>
  <c r="BE343" i="24050"/>
  <c r="BE307" i="24050"/>
  <c r="BE272" i="24050"/>
  <c r="BE231" i="24050"/>
  <c r="BE189" i="24050"/>
  <c r="BE149" i="24050"/>
  <c r="BE106" i="24050"/>
  <c r="BE55" i="24050"/>
  <c r="BI377" i="24050"/>
  <c r="BI343" i="24050"/>
  <c r="BI307" i="24050"/>
  <c r="BI272" i="24050"/>
  <c r="BI231" i="24050"/>
  <c r="BI189" i="24050"/>
  <c r="BI149" i="24050"/>
  <c r="BI106" i="24050"/>
  <c r="BI55" i="24050"/>
  <c r="BM377" i="24050"/>
  <c r="BM343" i="24050"/>
  <c r="BM307" i="24050"/>
  <c r="BM272" i="24050"/>
  <c r="BM231" i="24050"/>
  <c r="BM149" i="24050"/>
  <c r="BM189" i="24050"/>
  <c r="BM106" i="24050"/>
  <c r="BM55" i="24050"/>
  <c r="BQ377" i="24050"/>
  <c r="BQ343" i="24050"/>
  <c r="BQ307" i="24050"/>
  <c r="BQ272" i="24050"/>
  <c r="BQ231" i="24050"/>
  <c r="BQ149" i="24050"/>
  <c r="BQ189" i="24050"/>
  <c r="BQ106" i="24050"/>
  <c r="BQ55" i="24050"/>
  <c r="BU377" i="24050"/>
  <c r="BU343" i="24050"/>
  <c r="BU307" i="24050"/>
  <c r="BU272" i="24050"/>
  <c r="BU231" i="24050"/>
  <c r="BU189" i="24050"/>
  <c r="BU149" i="24050"/>
  <c r="BU106" i="24050"/>
  <c r="BU55" i="24050"/>
  <c r="BY377" i="24050"/>
  <c r="BY343" i="24050"/>
  <c r="BY307" i="24050"/>
  <c r="BY272" i="24050"/>
  <c r="BY231" i="24050"/>
  <c r="BY189" i="24050"/>
  <c r="BY149" i="24050"/>
  <c r="BY106" i="24050"/>
  <c r="BY55" i="24050"/>
  <c r="CC377" i="24050"/>
  <c r="CC343" i="24050"/>
  <c r="CC307" i="24050"/>
  <c r="CC272" i="24050"/>
  <c r="CC231" i="24050"/>
  <c r="CC149" i="24050"/>
  <c r="CC189" i="24050"/>
  <c r="CC106" i="24050"/>
  <c r="CC55" i="24050"/>
  <c r="CG377" i="24050"/>
  <c r="CG343" i="24050"/>
  <c r="CG307" i="24050"/>
  <c r="CG272" i="24050"/>
  <c r="CG231" i="24050"/>
  <c r="CG149" i="24050"/>
  <c r="CG106" i="24050"/>
  <c r="CG189" i="24050"/>
  <c r="CG55" i="24050"/>
  <c r="CK377" i="24050"/>
  <c r="CK343" i="24050"/>
  <c r="CK307" i="24050"/>
  <c r="CK272" i="24050"/>
  <c r="CK231" i="24050"/>
  <c r="CK189" i="24050"/>
  <c r="CK149" i="24050"/>
  <c r="CK106" i="24050"/>
  <c r="CK55" i="24050"/>
  <c r="CO377" i="24050"/>
  <c r="CO343" i="24050"/>
  <c r="CO307" i="24050"/>
  <c r="CO272" i="24050"/>
  <c r="CO231" i="24050"/>
  <c r="CO189" i="24050"/>
  <c r="CO149" i="24050"/>
  <c r="CO106" i="24050"/>
  <c r="CO55" i="24050"/>
  <c r="CS377" i="24050"/>
  <c r="CS343" i="24050"/>
  <c r="CS307" i="24050"/>
  <c r="CS272" i="24050"/>
  <c r="CS231" i="24050"/>
  <c r="CS149" i="24050"/>
  <c r="CS189" i="24050"/>
  <c r="CS106" i="24050"/>
  <c r="CS55" i="24050"/>
  <c r="CW377" i="24050"/>
  <c r="CW343" i="24050"/>
  <c r="CW307" i="24050"/>
  <c r="CW272" i="24050"/>
  <c r="CW231" i="24050"/>
  <c r="CW149" i="24050"/>
  <c r="CW106" i="24050"/>
  <c r="CW189" i="24050"/>
  <c r="CW55" i="24050"/>
  <c r="DA377" i="24050"/>
  <c r="DA343" i="24050"/>
  <c r="DA307" i="24050"/>
  <c r="DA272" i="24050"/>
  <c r="DA231" i="24050"/>
  <c r="DA189" i="24050"/>
  <c r="DA149" i="24050"/>
  <c r="DA106" i="24050"/>
  <c r="DA55" i="24050"/>
  <c r="DF377" i="24050"/>
  <c r="DF343" i="24050"/>
  <c r="DF307" i="24050"/>
  <c r="DF272" i="24050"/>
  <c r="DF231" i="24050"/>
  <c r="DF189" i="24050"/>
  <c r="DF149" i="24050"/>
  <c r="DF106" i="24050"/>
  <c r="DF55" i="24050"/>
  <c r="DJ377" i="24050"/>
  <c r="DJ343" i="24050"/>
  <c r="DJ307" i="24050"/>
  <c r="DJ272" i="24050"/>
  <c r="DJ231" i="24050"/>
  <c r="DJ149" i="24050"/>
  <c r="DJ189" i="24050"/>
  <c r="DJ106" i="24050"/>
  <c r="DJ55" i="24050"/>
  <c r="DN377" i="24050"/>
  <c r="DN343" i="24050"/>
  <c r="DN307" i="24050"/>
  <c r="DN272" i="24050"/>
  <c r="DN231" i="24050"/>
  <c r="DN149" i="24050"/>
  <c r="DN106" i="24050"/>
  <c r="DN189" i="24050"/>
  <c r="DN55" i="24050"/>
  <c r="DR377" i="24050"/>
  <c r="DR343" i="24050"/>
  <c r="DR307" i="24050"/>
  <c r="DR272" i="24050"/>
  <c r="DR231" i="24050"/>
  <c r="DR189" i="24050"/>
  <c r="DR149" i="24050"/>
  <c r="DR106" i="24050"/>
  <c r="DR55" i="24050"/>
  <c r="DV377" i="24050"/>
  <c r="DV343" i="24050"/>
  <c r="DV307" i="24050"/>
  <c r="DV272" i="24050"/>
  <c r="DV231" i="24050"/>
  <c r="DV189" i="24050"/>
  <c r="DV149" i="24050"/>
  <c r="DV106" i="24050"/>
  <c r="DV55" i="24050"/>
  <c r="DZ377" i="24050"/>
  <c r="DZ343" i="24050"/>
  <c r="DZ307" i="24050"/>
  <c r="DZ272" i="24050"/>
  <c r="DZ231" i="24050"/>
  <c r="DZ149" i="24050"/>
  <c r="DZ189" i="24050"/>
  <c r="DZ106" i="24050"/>
  <c r="DZ55" i="24050"/>
  <c r="ED377" i="24050"/>
  <c r="ED343" i="24050"/>
  <c r="ED307" i="24050"/>
  <c r="ED272" i="24050"/>
  <c r="ED231" i="24050"/>
  <c r="ED149" i="24050"/>
  <c r="ED189" i="24050"/>
  <c r="ED106" i="24050"/>
  <c r="ED55" i="24050"/>
  <c r="EH377" i="24050"/>
  <c r="EH343" i="24050"/>
  <c r="EH307" i="24050"/>
  <c r="EH272" i="24050"/>
  <c r="EH231" i="24050"/>
  <c r="EH189" i="24050"/>
  <c r="EH149" i="24050"/>
  <c r="EH106" i="24050"/>
  <c r="EH55" i="24050"/>
  <c r="EL377" i="24050"/>
  <c r="EL343" i="24050"/>
  <c r="EL307" i="24050"/>
  <c r="EL272" i="24050"/>
  <c r="EL231" i="24050"/>
  <c r="EL189" i="24050"/>
  <c r="EL149" i="24050"/>
  <c r="EL106" i="24050"/>
  <c r="EL55" i="24050"/>
  <c r="EP377" i="24050"/>
  <c r="EP343" i="24050"/>
  <c r="EP307" i="24050"/>
  <c r="EP272" i="24050"/>
  <c r="EP231" i="24050"/>
  <c r="EP149" i="24050"/>
  <c r="EP189" i="24050"/>
  <c r="EP106" i="24050"/>
  <c r="EP55" i="24050"/>
  <c r="E375" i="24050"/>
  <c r="E341" i="24050"/>
  <c r="E305" i="24050"/>
  <c r="E229" i="24050"/>
  <c r="E270" i="24050"/>
  <c r="E187" i="24050"/>
  <c r="E147" i="24050"/>
  <c r="E104" i="24050"/>
  <c r="I375" i="24050"/>
  <c r="I341" i="24050"/>
  <c r="I305" i="24050"/>
  <c r="I229" i="24050"/>
  <c r="I270" i="24050"/>
  <c r="I187" i="24050"/>
  <c r="I147" i="24050"/>
  <c r="I104" i="24050"/>
  <c r="M375" i="24050"/>
  <c r="M341" i="24050"/>
  <c r="M305" i="24050"/>
  <c r="M229" i="24050"/>
  <c r="M270" i="24050"/>
  <c r="M187" i="24050"/>
  <c r="M147" i="24050"/>
  <c r="M104" i="24050"/>
  <c r="Q375" i="24050"/>
  <c r="Q341" i="24050"/>
  <c r="Q305" i="24050"/>
  <c r="Q229" i="24050"/>
  <c r="Q270" i="24050"/>
  <c r="Q187" i="24050"/>
  <c r="Q147" i="24050"/>
  <c r="Q104" i="24050"/>
  <c r="U375" i="24050"/>
  <c r="U341" i="24050"/>
  <c r="U305" i="24050"/>
  <c r="U229" i="24050"/>
  <c r="U270" i="24050"/>
  <c r="U187" i="24050"/>
  <c r="U147" i="24050"/>
  <c r="U104" i="24050"/>
  <c r="Y375" i="24050"/>
  <c r="Y341" i="24050"/>
  <c r="Y305" i="24050"/>
  <c r="Y229" i="24050"/>
  <c r="Y270" i="24050"/>
  <c r="Y187" i="24050"/>
  <c r="Y147" i="24050"/>
  <c r="Y104" i="24050"/>
  <c r="AC375" i="24050"/>
  <c r="AC341" i="24050"/>
  <c r="AC305" i="24050"/>
  <c r="AC229" i="24050"/>
  <c r="AC270" i="24050"/>
  <c r="AC187" i="24050"/>
  <c r="AC147" i="24050"/>
  <c r="AC104" i="24050"/>
  <c r="AG375" i="24050"/>
  <c r="AG341" i="24050"/>
  <c r="AG305" i="24050"/>
  <c r="AG229" i="24050"/>
  <c r="AG270" i="24050"/>
  <c r="AG187" i="24050"/>
  <c r="AG147" i="24050"/>
  <c r="AG104" i="24050"/>
  <c r="AK375" i="24050"/>
  <c r="AK341" i="24050"/>
  <c r="AK305" i="24050"/>
  <c r="AK229" i="24050"/>
  <c r="AK270" i="24050"/>
  <c r="AK187" i="24050"/>
  <c r="AK147" i="24050"/>
  <c r="AK104" i="24050"/>
  <c r="AO375" i="24050"/>
  <c r="AO341" i="24050"/>
  <c r="AO305" i="24050"/>
  <c r="AO229" i="24050"/>
  <c r="AO270" i="24050"/>
  <c r="AO187" i="24050"/>
  <c r="AO147" i="24050"/>
  <c r="AO104" i="24050"/>
  <c r="AS375" i="24050"/>
  <c r="AS341" i="24050"/>
  <c r="AS305" i="24050"/>
  <c r="AS229" i="24050"/>
  <c r="AS270" i="24050"/>
  <c r="AS187" i="24050"/>
  <c r="AS147" i="24050"/>
  <c r="AS104" i="24050"/>
  <c r="AW375" i="24050"/>
  <c r="AW341" i="24050"/>
  <c r="AW229" i="24050"/>
  <c r="AW270" i="24050"/>
  <c r="AW187" i="24050"/>
  <c r="AW104" i="24050"/>
  <c r="BA375" i="24050"/>
  <c r="BA341" i="24050"/>
  <c r="BA305" i="24050"/>
  <c r="BA229" i="24050"/>
  <c r="BA270" i="24050"/>
  <c r="BA187" i="24050"/>
  <c r="BA147" i="24050"/>
  <c r="BA104" i="24050"/>
  <c r="BE375" i="24050"/>
  <c r="BE341" i="24050"/>
  <c r="BE229" i="24050"/>
  <c r="BE270" i="24050"/>
  <c r="BE187" i="24050"/>
  <c r="BE104" i="24050"/>
  <c r="BI375" i="24050"/>
  <c r="BI341" i="24050"/>
  <c r="BI305" i="24050"/>
  <c r="BI229" i="24050"/>
  <c r="BI270" i="24050"/>
  <c r="BI187" i="24050"/>
  <c r="BI147" i="24050"/>
  <c r="BI104" i="24050"/>
  <c r="BM375" i="24050"/>
  <c r="BM341" i="24050"/>
  <c r="BM229" i="24050"/>
  <c r="BM270" i="24050"/>
  <c r="BM187" i="24050"/>
  <c r="BM104" i="24050"/>
  <c r="BQ375" i="24050"/>
  <c r="BQ341" i="24050"/>
  <c r="BQ305" i="24050"/>
  <c r="BQ229" i="24050"/>
  <c r="BQ270" i="24050"/>
  <c r="BQ187" i="24050"/>
  <c r="BQ147" i="24050"/>
  <c r="BQ104" i="24050"/>
  <c r="BU375" i="24050"/>
  <c r="BU341" i="24050"/>
  <c r="BU229" i="24050"/>
  <c r="BU270" i="24050"/>
  <c r="BU187" i="24050"/>
  <c r="BU104" i="24050"/>
  <c r="BY375" i="24050"/>
  <c r="BY341" i="24050"/>
  <c r="BY305" i="24050"/>
  <c r="BY229" i="24050"/>
  <c r="BY270" i="24050"/>
  <c r="BY187" i="24050"/>
  <c r="BY147" i="24050"/>
  <c r="BY104" i="24050"/>
  <c r="CC375" i="24050"/>
  <c r="CC341" i="24050"/>
  <c r="CC229" i="24050"/>
  <c r="CC270" i="24050"/>
  <c r="CC187" i="24050"/>
  <c r="CC104" i="24050"/>
  <c r="CG375" i="24050"/>
  <c r="CG341" i="24050"/>
  <c r="CG305" i="24050"/>
  <c r="CG229" i="24050"/>
  <c r="CG270" i="24050"/>
  <c r="CG187" i="24050"/>
  <c r="CG147" i="24050"/>
  <c r="CG104" i="24050"/>
  <c r="CK375" i="24050"/>
  <c r="CK341" i="24050"/>
  <c r="CK229" i="24050"/>
  <c r="CK270" i="24050"/>
  <c r="CK187" i="24050"/>
  <c r="CK104" i="24050"/>
  <c r="CO375" i="24050"/>
  <c r="CO341" i="24050"/>
  <c r="CO305" i="24050"/>
  <c r="CO229" i="24050"/>
  <c r="CO270" i="24050"/>
  <c r="CO187" i="24050"/>
  <c r="CO147" i="24050"/>
  <c r="CO104" i="24050"/>
  <c r="CS341" i="24050"/>
  <c r="CS375" i="24050"/>
  <c r="CS229" i="24050"/>
  <c r="CS270" i="24050"/>
  <c r="CS187" i="24050"/>
  <c r="CS104" i="24050"/>
  <c r="CW341" i="24050"/>
  <c r="CW375" i="24050"/>
  <c r="CW305" i="24050"/>
  <c r="CW229" i="24050"/>
  <c r="CW270" i="24050"/>
  <c r="CW187" i="24050"/>
  <c r="CW147" i="24050"/>
  <c r="CW104" i="24050"/>
  <c r="DA341" i="24050"/>
  <c r="DA375" i="24050"/>
  <c r="DA229" i="24050"/>
  <c r="DA270" i="24050"/>
  <c r="DA187" i="24050"/>
  <c r="DA104" i="24050"/>
  <c r="DF375" i="24050"/>
  <c r="DF341" i="24050"/>
  <c r="DF305" i="24050"/>
  <c r="DF229" i="24050"/>
  <c r="DF270" i="24050"/>
  <c r="DF187" i="24050"/>
  <c r="DF147" i="24050"/>
  <c r="DF104" i="24050"/>
  <c r="DJ341" i="24050"/>
  <c r="DJ375" i="24050"/>
  <c r="DJ229" i="24050"/>
  <c r="DJ270" i="24050"/>
  <c r="DJ187" i="24050"/>
  <c r="DJ104" i="24050"/>
  <c r="DZ341" i="24050"/>
  <c r="DZ375" i="24050"/>
  <c r="DZ305" i="24050"/>
  <c r="DZ229" i="24050"/>
  <c r="DZ270" i="24050"/>
  <c r="DZ187" i="24050"/>
  <c r="DZ147" i="24050"/>
  <c r="DZ104" i="24050"/>
  <c r="ED341" i="24050"/>
  <c r="ED375" i="24050"/>
  <c r="ED305" i="24050"/>
  <c r="ED229" i="24050"/>
  <c r="ED270" i="24050"/>
  <c r="ED187" i="24050"/>
  <c r="ED147" i="24050"/>
  <c r="ED104" i="24050"/>
  <c r="ED53" i="24050"/>
  <c r="EH341" i="24050"/>
  <c r="EH375" i="24050"/>
  <c r="EH305" i="24050"/>
  <c r="EH229" i="24050"/>
  <c r="EH270" i="24050"/>
  <c r="EH187" i="24050"/>
  <c r="EH147" i="24050"/>
  <c r="EH104" i="24050"/>
  <c r="EH53" i="24050"/>
  <c r="EL375" i="24050"/>
  <c r="EL341" i="24050"/>
  <c r="EL305" i="24050"/>
  <c r="EL229" i="24050"/>
  <c r="EL270" i="24050"/>
  <c r="EL187" i="24050"/>
  <c r="EL147" i="24050"/>
  <c r="EL104" i="24050"/>
  <c r="EL53" i="24050"/>
  <c r="EP341" i="24050"/>
  <c r="EP375" i="24050"/>
  <c r="EP305" i="24050"/>
  <c r="EP229" i="24050"/>
  <c r="EP270" i="24050"/>
  <c r="EP187" i="24050"/>
  <c r="EP147" i="24050"/>
  <c r="EP104" i="24050"/>
  <c r="EP53" i="24050"/>
  <c r="B343" i="24050"/>
  <c r="B377" i="24050"/>
  <c r="B307" i="24050"/>
  <c r="B272" i="24050"/>
  <c r="B231" i="24050"/>
  <c r="B149" i="24050"/>
  <c r="B189" i="24050"/>
  <c r="B106" i="24050"/>
  <c r="B55" i="24050"/>
  <c r="F343" i="24050"/>
  <c r="F377" i="24050"/>
  <c r="F307" i="24050"/>
  <c r="F231" i="24050"/>
  <c r="F272" i="24050"/>
  <c r="F149" i="24050"/>
  <c r="F189" i="24050"/>
  <c r="F106" i="24050"/>
  <c r="F55" i="24050"/>
  <c r="J377" i="24050"/>
  <c r="J343" i="24050"/>
  <c r="J307" i="24050"/>
  <c r="J272" i="24050"/>
  <c r="J231" i="24050"/>
  <c r="J149" i="24050"/>
  <c r="J189" i="24050"/>
  <c r="J106" i="24050"/>
  <c r="J55" i="24050"/>
  <c r="N343" i="24050"/>
  <c r="N377" i="24050"/>
  <c r="N307" i="24050"/>
  <c r="N231" i="24050"/>
  <c r="N272" i="24050"/>
  <c r="N189" i="24050"/>
  <c r="N149" i="24050"/>
  <c r="N106" i="24050"/>
  <c r="N55" i="24050"/>
  <c r="R343" i="24050"/>
  <c r="R377" i="24050"/>
  <c r="R307" i="24050"/>
  <c r="R272" i="24050"/>
  <c r="R231" i="24050"/>
  <c r="R149" i="24050"/>
  <c r="R189" i="24050"/>
  <c r="R106" i="24050"/>
  <c r="R55" i="24050"/>
  <c r="V343" i="24050"/>
  <c r="V377" i="24050"/>
  <c r="V307" i="24050"/>
  <c r="V231" i="24050"/>
  <c r="V272" i="24050"/>
  <c r="V149" i="24050"/>
  <c r="V189" i="24050"/>
  <c r="V106" i="24050"/>
  <c r="V55" i="24050"/>
  <c r="Z377" i="24050"/>
  <c r="Z343" i="24050"/>
  <c r="Z307" i="24050"/>
  <c r="Z272" i="24050"/>
  <c r="Z231" i="24050"/>
  <c r="Z149" i="24050"/>
  <c r="Z189" i="24050"/>
  <c r="Z106" i="24050"/>
  <c r="Z55" i="24050"/>
  <c r="AD343" i="24050"/>
  <c r="AD377" i="24050"/>
  <c r="AD307" i="24050"/>
  <c r="AD231" i="24050"/>
  <c r="AD272" i="24050"/>
  <c r="AD189" i="24050"/>
  <c r="AD149" i="24050"/>
  <c r="AD106" i="24050"/>
  <c r="AD55" i="24050"/>
  <c r="AH343" i="24050"/>
  <c r="AH377" i="24050"/>
  <c r="AH307" i="24050"/>
  <c r="AH272" i="24050"/>
  <c r="AH231" i="24050"/>
  <c r="AH149" i="24050"/>
  <c r="AH189" i="24050"/>
  <c r="AH106" i="24050"/>
  <c r="AH55" i="24050"/>
  <c r="AL343" i="24050"/>
  <c r="AL377" i="24050"/>
  <c r="AL307" i="24050"/>
  <c r="AL231" i="24050"/>
  <c r="AL272" i="24050"/>
  <c r="AL149" i="24050"/>
  <c r="AL189" i="24050"/>
  <c r="AL106" i="24050"/>
  <c r="AL55" i="24050"/>
  <c r="AP377" i="24050"/>
  <c r="AP343" i="24050"/>
  <c r="AP307" i="24050"/>
  <c r="AP272" i="24050"/>
  <c r="AP231" i="24050"/>
  <c r="AP149" i="24050"/>
  <c r="AP189" i="24050"/>
  <c r="AP106" i="24050"/>
  <c r="AP55" i="24050"/>
  <c r="AT343" i="24050"/>
  <c r="AT377" i="24050"/>
  <c r="AT307" i="24050"/>
  <c r="AT231" i="24050"/>
  <c r="AT272" i="24050"/>
  <c r="AT189" i="24050"/>
  <c r="AT149" i="24050"/>
  <c r="AT106" i="24050"/>
  <c r="AT55" i="24050"/>
  <c r="AX343" i="24050"/>
  <c r="AX377" i="24050"/>
  <c r="AX307" i="24050"/>
  <c r="AX272" i="24050"/>
  <c r="AX231" i="24050"/>
  <c r="AX149" i="24050"/>
  <c r="AX189" i="24050"/>
  <c r="AX106" i="24050"/>
  <c r="AX55" i="24050"/>
  <c r="BB343" i="24050"/>
  <c r="BB377" i="24050"/>
  <c r="BB307" i="24050"/>
  <c r="BB231" i="24050"/>
  <c r="BB272" i="24050"/>
  <c r="BB149" i="24050"/>
  <c r="BB189" i="24050"/>
  <c r="BB106" i="24050"/>
  <c r="BB55" i="24050"/>
  <c r="BF377" i="24050"/>
  <c r="BF343" i="24050"/>
  <c r="BF307" i="24050"/>
  <c r="BF231" i="24050"/>
  <c r="BF272" i="24050"/>
  <c r="BF149" i="24050"/>
  <c r="BF189" i="24050"/>
  <c r="BF106" i="24050"/>
  <c r="BF55" i="24050"/>
  <c r="BJ343" i="24050"/>
  <c r="BJ377" i="24050"/>
  <c r="BJ307" i="24050"/>
  <c r="BJ231" i="24050"/>
  <c r="BJ272" i="24050"/>
  <c r="BJ189" i="24050"/>
  <c r="BJ149" i="24050"/>
  <c r="BJ106" i="24050"/>
  <c r="BJ55" i="24050"/>
  <c r="BN343" i="24050"/>
  <c r="BN377" i="24050"/>
  <c r="BN307" i="24050"/>
  <c r="BN272" i="24050"/>
  <c r="BN231" i="24050"/>
  <c r="BN149" i="24050"/>
  <c r="BN189" i="24050"/>
  <c r="BN106" i="24050"/>
  <c r="BN55" i="24050"/>
  <c r="BR343" i="24050"/>
  <c r="BR377" i="24050"/>
  <c r="BR307" i="24050"/>
  <c r="BR231" i="24050"/>
  <c r="BR272" i="24050"/>
  <c r="BR149" i="24050"/>
  <c r="BR189" i="24050"/>
  <c r="BR106" i="24050"/>
  <c r="BR55" i="24050"/>
  <c r="BV377" i="24050"/>
  <c r="BV343" i="24050"/>
  <c r="BV307" i="24050"/>
  <c r="BV231" i="24050"/>
  <c r="BV272" i="24050"/>
  <c r="BV149" i="24050"/>
  <c r="BV189" i="24050"/>
  <c r="BV106" i="24050"/>
  <c r="BV55" i="24050"/>
  <c r="BZ343" i="24050"/>
  <c r="BZ377" i="24050"/>
  <c r="BZ307" i="24050"/>
  <c r="BZ231" i="24050"/>
  <c r="BZ272" i="24050"/>
  <c r="BZ189" i="24050"/>
  <c r="BZ149" i="24050"/>
  <c r="BZ106" i="24050"/>
  <c r="BZ55" i="24050"/>
  <c r="CD343" i="24050"/>
  <c r="CD377" i="24050"/>
  <c r="CD307" i="24050"/>
  <c r="CD272" i="24050"/>
  <c r="CD231" i="24050"/>
  <c r="CD149" i="24050"/>
  <c r="CD189" i="24050"/>
  <c r="CD106" i="24050"/>
  <c r="CD55" i="24050"/>
  <c r="CH343" i="24050"/>
  <c r="CH377" i="24050"/>
  <c r="CH307" i="24050"/>
  <c r="CH231" i="24050"/>
  <c r="CH272" i="24050"/>
  <c r="CH149" i="24050"/>
  <c r="CH189" i="24050"/>
  <c r="CH106" i="24050"/>
  <c r="CH55" i="24050"/>
  <c r="CL377" i="24050"/>
  <c r="CL343" i="24050"/>
  <c r="CL307" i="24050"/>
  <c r="CL231" i="24050"/>
  <c r="CL272" i="24050"/>
  <c r="CL149" i="24050"/>
  <c r="CL189" i="24050"/>
  <c r="CL106" i="24050"/>
  <c r="CL55" i="24050"/>
  <c r="CP343" i="24050"/>
  <c r="CP377" i="24050"/>
  <c r="CP307" i="24050"/>
  <c r="CP231" i="24050"/>
  <c r="CP272" i="24050"/>
  <c r="CP189" i="24050"/>
  <c r="CP149" i="24050"/>
  <c r="CP106" i="24050"/>
  <c r="CP55" i="24050"/>
  <c r="CT343" i="24050"/>
  <c r="CT377" i="24050"/>
  <c r="CT307" i="24050"/>
  <c r="CT272" i="24050"/>
  <c r="CT231" i="24050"/>
  <c r="CT149" i="24050"/>
  <c r="CT189" i="24050"/>
  <c r="CT106" i="24050"/>
  <c r="CT55" i="24050"/>
  <c r="CX343" i="24050"/>
  <c r="CX377" i="24050"/>
  <c r="CX307" i="24050"/>
  <c r="CX231" i="24050"/>
  <c r="CX272" i="24050"/>
  <c r="CX149" i="24050"/>
  <c r="CX189" i="24050"/>
  <c r="CX106" i="24050"/>
  <c r="CX55" i="24050"/>
  <c r="DC377" i="24050"/>
  <c r="DC343" i="24050"/>
  <c r="DC307" i="24050"/>
  <c r="DC231" i="24050"/>
  <c r="DC272" i="24050"/>
  <c r="DC149" i="24050"/>
  <c r="DC189" i="24050"/>
  <c r="DC106" i="24050"/>
  <c r="DC55" i="24050"/>
  <c r="DG343" i="24050"/>
  <c r="DG377" i="24050"/>
  <c r="DG307" i="24050"/>
  <c r="DG231" i="24050"/>
  <c r="DG272" i="24050"/>
  <c r="DG189" i="24050"/>
  <c r="DG149" i="24050"/>
  <c r="DG106" i="24050"/>
  <c r="DG55" i="24050"/>
  <c r="DK343" i="24050"/>
  <c r="DK377" i="24050"/>
  <c r="DK307" i="24050"/>
  <c r="DK272" i="24050"/>
  <c r="DK231" i="24050"/>
  <c r="DK149" i="24050"/>
  <c r="DK189" i="24050"/>
  <c r="DK106" i="24050"/>
  <c r="DK55" i="24050"/>
  <c r="DO343" i="24050"/>
  <c r="DO377" i="24050"/>
  <c r="DO307" i="24050"/>
  <c r="DO231" i="24050"/>
  <c r="DO272" i="24050"/>
  <c r="DO149" i="24050"/>
  <c r="DO189" i="24050"/>
  <c r="DO106" i="24050"/>
  <c r="DO55" i="24050"/>
  <c r="DS377" i="24050"/>
  <c r="DS343" i="24050"/>
  <c r="DS307" i="24050"/>
  <c r="DS231" i="24050"/>
  <c r="DS272" i="24050"/>
  <c r="DS149" i="24050"/>
  <c r="DS189" i="24050"/>
  <c r="DS106" i="24050"/>
  <c r="DS55" i="24050"/>
  <c r="DW343" i="24050"/>
  <c r="DW377" i="24050"/>
  <c r="DW307" i="24050"/>
  <c r="DW231" i="24050"/>
  <c r="DW272" i="24050"/>
  <c r="DW189" i="24050"/>
  <c r="DW149" i="24050"/>
  <c r="DW106" i="24050"/>
  <c r="DW55" i="24050"/>
  <c r="EA343" i="24050"/>
  <c r="EA377" i="24050"/>
  <c r="EA307" i="24050"/>
  <c r="EA272" i="24050"/>
  <c r="EA231" i="24050"/>
  <c r="EA149" i="24050"/>
  <c r="EA189" i="24050"/>
  <c r="EA106" i="24050"/>
  <c r="EA55" i="24050"/>
  <c r="EE343" i="24050"/>
  <c r="EE377" i="24050"/>
  <c r="EE307" i="24050"/>
  <c r="EE231" i="24050"/>
  <c r="EE272" i="24050"/>
  <c r="EE149" i="24050"/>
  <c r="EE189" i="24050"/>
  <c r="EE106" i="24050"/>
  <c r="EE55" i="24050"/>
  <c r="EI377" i="24050"/>
  <c r="EI343" i="24050"/>
  <c r="EI307" i="24050"/>
  <c r="EI231" i="24050"/>
  <c r="EI272" i="24050"/>
  <c r="EI149" i="24050"/>
  <c r="EI189" i="24050"/>
  <c r="EI106" i="24050"/>
  <c r="EI55" i="24050"/>
  <c r="EM343" i="24050"/>
  <c r="EM377" i="24050"/>
  <c r="EM307" i="24050"/>
  <c r="EM231" i="24050"/>
  <c r="EM272" i="24050"/>
  <c r="EM189" i="24050"/>
  <c r="EM149" i="24050"/>
  <c r="EM106" i="24050"/>
  <c r="EM55" i="24050"/>
  <c r="EQ343" i="24050"/>
  <c r="EQ377" i="24050"/>
  <c r="EQ307" i="24050"/>
  <c r="EQ272" i="24050"/>
  <c r="EQ231" i="24050"/>
  <c r="EQ149" i="24050"/>
  <c r="EQ189" i="24050"/>
  <c r="EQ106" i="24050"/>
  <c r="EQ55" i="24050"/>
  <c r="Q53" i="24050"/>
  <c r="AG53" i="24050"/>
  <c r="AW53" i="24050"/>
  <c r="BM53" i="24050"/>
  <c r="CC53" i="24050"/>
  <c r="DJ53" i="24050"/>
  <c r="DZ53" i="24050"/>
  <c r="E376" i="24050"/>
  <c r="E342" i="24050"/>
  <c r="E306" i="24050"/>
  <c r="E271" i="24050"/>
  <c r="E230" i="24050"/>
  <c r="E188" i="24050"/>
  <c r="E148" i="24050"/>
  <c r="E105" i="24050"/>
  <c r="E54" i="24050"/>
  <c r="I376" i="24050"/>
  <c r="I342" i="24050"/>
  <c r="I306" i="24050"/>
  <c r="I271" i="24050"/>
  <c r="I230" i="24050"/>
  <c r="I188" i="24050"/>
  <c r="I148" i="24050"/>
  <c r="I105" i="24050"/>
  <c r="I54" i="24050"/>
  <c r="M376" i="24050"/>
  <c r="M342" i="24050"/>
  <c r="M306" i="24050"/>
  <c r="M271" i="24050"/>
  <c r="M230" i="24050"/>
  <c r="M148" i="24050"/>
  <c r="M105" i="24050"/>
  <c r="M188" i="24050"/>
  <c r="M54" i="24050"/>
  <c r="Q376" i="24050"/>
  <c r="Q342" i="24050"/>
  <c r="Q306" i="24050"/>
  <c r="Q271" i="24050"/>
  <c r="Q230" i="24050"/>
  <c r="Q148" i="24050"/>
  <c r="Q188" i="24050"/>
  <c r="Q105" i="24050"/>
  <c r="Q54" i="24050"/>
  <c r="U376" i="24050"/>
  <c r="U342" i="24050"/>
  <c r="U306" i="24050"/>
  <c r="U271" i="24050"/>
  <c r="U230" i="24050"/>
  <c r="U188" i="24050"/>
  <c r="U105" i="24050"/>
  <c r="U148" i="24050"/>
  <c r="U54" i="24050"/>
  <c r="Y376" i="24050"/>
  <c r="Y342" i="24050"/>
  <c r="Y306" i="24050"/>
  <c r="Y271" i="24050"/>
  <c r="Y230" i="24050"/>
  <c r="Y188" i="24050"/>
  <c r="Y148" i="24050"/>
  <c r="Y105" i="24050"/>
  <c r="Y54" i="24050"/>
  <c r="AC376" i="24050"/>
  <c r="AC342" i="24050"/>
  <c r="AC306" i="24050"/>
  <c r="AC271" i="24050"/>
  <c r="AC230" i="24050"/>
  <c r="AC148" i="24050"/>
  <c r="AC105" i="24050"/>
  <c r="AC188" i="24050"/>
  <c r="AC54" i="24050"/>
  <c r="AG376" i="24050"/>
  <c r="AG342" i="24050"/>
  <c r="AG306" i="24050"/>
  <c r="AG271" i="24050"/>
  <c r="AG230" i="24050"/>
  <c r="AG148" i="24050"/>
  <c r="AG188" i="24050"/>
  <c r="AG105" i="24050"/>
  <c r="AG54" i="24050"/>
  <c r="AK376" i="24050"/>
  <c r="AK342" i="24050"/>
  <c r="AK306" i="24050"/>
  <c r="AK271" i="24050"/>
  <c r="AK230" i="24050"/>
  <c r="AK188" i="24050"/>
  <c r="AK105" i="24050"/>
  <c r="AK148" i="24050"/>
  <c r="AK54" i="24050"/>
  <c r="AO376" i="24050"/>
  <c r="AO342" i="24050"/>
  <c r="AO306" i="24050"/>
  <c r="AO271" i="24050"/>
  <c r="AO230" i="24050"/>
  <c r="AO188" i="24050"/>
  <c r="AO148" i="24050"/>
  <c r="AO105" i="24050"/>
  <c r="AO54" i="24050"/>
  <c r="AS376" i="24050"/>
  <c r="AS342" i="24050"/>
  <c r="AS306" i="24050"/>
  <c r="AS271" i="24050"/>
  <c r="AS230" i="24050"/>
  <c r="AS148" i="24050"/>
  <c r="AS105" i="24050"/>
  <c r="AS188" i="24050"/>
  <c r="AS54" i="24050"/>
  <c r="AW376" i="24050"/>
  <c r="AW342" i="24050"/>
  <c r="AW306" i="24050"/>
  <c r="AW271" i="24050"/>
  <c r="AW230" i="24050"/>
  <c r="AW148" i="24050"/>
  <c r="AW188" i="24050"/>
  <c r="AW105" i="24050"/>
  <c r="AW54" i="24050"/>
  <c r="BA376" i="24050"/>
  <c r="BA342" i="24050"/>
  <c r="BA306" i="24050"/>
  <c r="BA271" i="24050"/>
  <c r="BA230" i="24050"/>
  <c r="BA188" i="24050"/>
  <c r="BA105" i="24050"/>
  <c r="BA148" i="24050"/>
  <c r="BA54" i="24050"/>
  <c r="BE376" i="24050"/>
  <c r="BE342" i="24050"/>
  <c r="BE306" i="24050"/>
  <c r="BE271" i="24050"/>
  <c r="BE230" i="24050"/>
  <c r="BE188" i="24050"/>
  <c r="BE148" i="24050"/>
  <c r="BE105" i="24050"/>
  <c r="BE54" i="24050"/>
  <c r="BI376" i="24050"/>
  <c r="BI342" i="24050"/>
  <c r="BI306" i="24050"/>
  <c r="BI271" i="24050"/>
  <c r="BI230" i="24050"/>
  <c r="BI148" i="24050"/>
  <c r="BI105" i="24050"/>
  <c r="BI188" i="24050"/>
  <c r="BI54" i="24050"/>
  <c r="BM376" i="24050"/>
  <c r="BM342" i="24050"/>
  <c r="BM306" i="24050"/>
  <c r="BM271" i="24050"/>
  <c r="BM230" i="24050"/>
  <c r="BM148" i="24050"/>
  <c r="BM188" i="24050"/>
  <c r="BM105" i="24050"/>
  <c r="BM54" i="24050"/>
  <c r="BQ376" i="24050"/>
  <c r="BQ342" i="24050"/>
  <c r="BQ306" i="24050"/>
  <c r="BQ271" i="24050"/>
  <c r="BQ230" i="24050"/>
  <c r="BQ188" i="24050"/>
  <c r="BQ105" i="24050"/>
  <c r="BQ148" i="24050"/>
  <c r="BQ54" i="24050"/>
  <c r="BU376" i="24050"/>
  <c r="BU342" i="24050"/>
  <c r="BU306" i="24050"/>
  <c r="BU271" i="24050"/>
  <c r="BU230" i="24050"/>
  <c r="BU188" i="24050"/>
  <c r="BU148" i="24050"/>
  <c r="BU105" i="24050"/>
  <c r="BU54" i="24050"/>
  <c r="BY376" i="24050"/>
  <c r="BY342" i="24050"/>
  <c r="BY306" i="24050"/>
  <c r="BY271" i="24050"/>
  <c r="BY230" i="24050"/>
  <c r="BY148" i="24050"/>
  <c r="BY105" i="24050"/>
  <c r="BY188" i="24050"/>
  <c r="BY54" i="24050"/>
  <c r="CC376" i="24050"/>
  <c r="CC342" i="24050"/>
  <c r="CC306" i="24050"/>
  <c r="CC271" i="24050"/>
  <c r="CC230" i="24050"/>
  <c r="CC148" i="24050"/>
  <c r="CC188" i="24050"/>
  <c r="CC105" i="24050"/>
  <c r="CC54" i="24050"/>
  <c r="CG376" i="24050"/>
  <c r="CG342" i="24050"/>
  <c r="CG306" i="24050"/>
  <c r="CG271" i="24050"/>
  <c r="CG230" i="24050"/>
  <c r="CG188" i="24050"/>
  <c r="CG105" i="24050"/>
  <c r="CG148" i="24050"/>
  <c r="CG54" i="24050"/>
  <c r="CK376" i="24050"/>
  <c r="CK342" i="24050"/>
  <c r="CK306" i="24050"/>
  <c r="CK271" i="24050"/>
  <c r="CK230" i="24050"/>
  <c r="CK188" i="24050"/>
  <c r="CK148" i="24050"/>
  <c r="CK105" i="24050"/>
  <c r="CK54" i="24050"/>
  <c r="CO376" i="24050"/>
  <c r="CO306" i="24050"/>
  <c r="CO342" i="24050"/>
  <c r="CO271" i="24050"/>
  <c r="CO230" i="24050"/>
  <c r="CO148" i="24050"/>
  <c r="CO105" i="24050"/>
  <c r="CO188" i="24050"/>
  <c r="CO54" i="24050"/>
  <c r="CS376" i="24050"/>
  <c r="CS306" i="24050"/>
  <c r="CS342" i="24050"/>
  <c r="CS271" i="24050"/>
  <c r="CS230" i="24050"/>
  <c r="CS148" i="24050"/>
  <c r="CS188" i="24050"/>
  <c r="CS105" i="24050"/>
  <c r="CS54" i="24050"/>
  <c r="CW376" i="24050"/>
  <c r="CW306" i="24050"/>
  <c r="CW342" i="24050"/>
  <c r="CW271" i="24050"/>
  <c r="CW230" i="24050"/>
  <c r="CW188" i="24050"/>
  <c r="CW105" i="24050"/>
  <c r="CW148" i="24050"/>
  <c r="CW54" i="24050"/>
  <c r="DA376" i="24050"/>
  <c r="DA342" i="24050"/>
  <c r="DA306" i="24050"/>
  <c r="DA271" i="24050"/>
  <c r="DA230" i="24050"/>
  <c r="DA188" i="24050"/>
  <c r="DA148" i="24050"/>
  <c r="DA105" i="24050"/>
  <c r="DA54" i="24050"/>
  <c r="DF376" i="24050"/>
  <c r="DF306" i="24050"/>
  <c r="DF342" i="24050"/>
  <c r="DF271" i="24050"/>
  <c r="DF230" i="24050"/>
  <c r="DF148" i="24050"/>
  <c r="DF105" i="24050"/>
  <c r="DF188" i="24050"/>
  <c r="DF54" i="24050"/>
  <c r="DJ376" i="24050"/>
  <c r="DJ306" i="24050"/>
  <c r="DJ342" i="24050"/>
  <c r="DJ271" i="24050"/>
  <c r="DJ230" i="24050"/>
  <c r="DJ148" i="24050"/>
  <c r="DJ188" i="24050"/>
  <c r="DJ105" i="24050"/>
  <c r="DJ54" i="24050"/>
  <c r="DN376" i="24050"/>
  <c r="DN306" i="24050"/>
  <c r="DN342" i="24050"/>
  <c r="DN271" i="24050"/>
  <c r="DN230" i="24050"/>
  <c r="DN188" i="24050"/>
  <c r="DN105" i="24050"/>
  <c r="DN148" i="24050"/>
  <c r="DN54" i="24050"/>
  <c r="DR376" i="24050"/>
  <c r="DR342" i="24050"/>
  <c r="DR306" i="24050"/>
  <c r="DR271" i="24050"/>
  <c r="DR230" i="24050"/>
  <c r="DR188" i="24050"/>
  <c r="DR148" i="24050"/>
  <c r="DR105" i="24050"/>
  <c r="DR54" i="24050"/>
  <c r="DV376" i="24050"/>
  <c r="DV306" i="24050"/>
  <c r="DV342" i="24050"/>
  <c r="DV271" i="24050"/>
  <c r="DV230" i="24050"/>
  <c r="DV148" i="24050"/>
  <c r="DV105" i="24050"/>
  <c r="DV188" i="24050"/>
  <c r="DV54" i="24050"/>
  <c r="DZ376" i="24050"/>
  <c r="DZ306" i="24050"/>
  <c r="DZ342" i="24050"/>
  <c r="DZ271" i="24050"/>
  <c r="DZ230" i="24050"/>
  <c r="DZ148" i="24050"/>
  <c r="DZ188" i="24050"/>
  <c r="DZ105" i="24050"/>
  <c r="DZ54" i="24050"/>
  <c r="ED376" i="24050"/>
  <c r="ED306" i="24050"/>
  <c r="ED342" i="24050"/>
  <c r="ED271" i="24050"/>
  <c r="ED230" i="24050"/>
  <c r="ED188" i="24050"/>
  <c r="ED105" i="24050"/>
  <c r="ED148" i="24050"/>
  <c r="ED54" i="24050"/>
  <c r="EH376" i="24050"/>
  <c r="EH342" i="24050"/>
  <c r="EH306" i="24050"/>
  <c r="EH271" i="24050"/>
  <c r="EH230" i="24050"/>
  <c r="EH188" i="24050"/>
  <c r="EH148" i="24050"/>
  <c r="EH105" i="24050"/>
  <c r="EH54" i="24050"/>
  <c r="EL376" i="24050"/>
  <c r="EL306" i="24050"/>
  <c r="EL342" i="24050"/>
  <c r="EL271" i="24050"/>
  <c r="EL230" i="24050"/>
  <c r="EL148" i="24050"/>
  <c r="EL105" i="24050"/>
  <c r="EL188" i="24050"/>
  <c r="EL54" i="24050"/>
  <c r="EP376" i="24050"/>
  <c r="EP306" i="24050"/>
  <c r="EP342" i="24050"/>
  <c r="EP188" i="24050"/>
  <c r="EP271" i="24050"/>
  <c r="EP230" i="24050"/>
  <c r="EP148" i="24050"/>
  <c r="EP105" i="24050"/>
  <c r="EP54" i="24050"/>
  <c r="C377" i="24050"/>
  <c r="C307" i="24050"/>
  <c r="C343" i="24050"/>
  <c r="C189" i="24050"/>
  <c r="C272" i="24050"/>
  <c r="C231" i="24050"/>
  <c r="C149" i="24050"/>
  <c r="C106" i="24050"/>
  <c r="C55" i="24050"/>
  <c r="G377" i="24050"/>
  <c r="G343" i="24050"/>
  <c r="G307" i="24050"/>
  <c r="G189" i="24050"/>
  <c r="G272" i="24050"/>
  <c r="G231" i="24050"/>
  <c r="G149" i="24050"/>
  <c r="G106" i="24050"/>
  <c r="G55" i="24050"/>
  <c r="K377" i="24050"/>
  <c r="K307" i="24050"/>
  <c r="K343" i="24050"/>
  <c r="K189" i="24050"/>
  <c r="K272" i="24050"/>
  <c r="K231" i="24050"/>
  <c r="K149" i="24050"/>
  <c r="K106" i="24050"/>
  <c r="K55" i="24050"/>
  <c r="O377" i="24050"/>
  <c r="O307" i="24050"/>
  <c r="O343" i="24050"/>
  <c r="O189" i="24050"/>
  <c r="O272" i="24050"/>
  <c r="O231" i="24050"/>
  <c r="O106" i="24050"/>
  <c r="O149" i="24050"/>
  <c r="O55" i="24050"/>
  <c r="S377" i="24050"/>
  <c r="S307" i="24050"/>
  <c r="S343" i="24050"/>
  <c r="S189" i="24050"/>
  <c r="S272" i="24050"/>
  <c r="S231" i="24050"/>
  <c r="S149" i="24050"/>
  <c r="S106" i="24050"/>
  <c r="S55" i="24050"/>
  <c r="W377" i="24050"/>
  <c r="W343" i="24050"/>
  <c r="W307" i="24050"/>
  <c r="W189" i="24050"/>
  <c r="W272" i="24050"/>
  <c r="W231" i="24050"/>
  <c r="W149" i="24050"/>
  <c r="W106" i="24050"/>
  <c r="W55" i="24050"/>
  <c r="AA377" i="24050"/>
  <c r="AA307" i="24050"/>
  <c r="AA343" i="24050"/>
  <c r="AA189" i="24050"/>
  <c r="AA272" i="24050"/>
  <c r="AA231" i="24050"/>
  <c r="AA149" i="24050"/>
  <c r="AA106" i="24050"/>
  <c r="AA55" i="24050"/>
  <c r="AE377" i="24050"/>
  <c r="AE307" i="24050"/>
  <c r="AE343" i="24050"/>
  <c r="AE189" i="24050"/>
  <c r="AE272" i="24050"/>
  <c r="AE231" i="24050"/>
  <c r="AE106" i="24050"/>
  <c r="AE149" i="24050"/>
  <c r="AE55" i="24050"/>
  <c r="AI377" i="24050"/>
  <c r="AI307" i="24050"/>
  <c r="AI343" i="24050"/>
  <c r="AI189" i="24050"/>
  <c r="AI272" i="24050"/>
  <c r="AI231" i="24050"/>
  <c r="AI149" i="24050"/>
  <c r="AI106" i="24050"/>
  <c r="AI55" i="24050"/>
  <c r="AM377" i="24050"/>
  <c r="AM343" i="24050"/>
  <c r="AM307" i="24050"/>
  <c r="AM189" i="24050"/>
  <c r="AM272" i="24050"/>
  <c r="AM231" i="24050"/>
  <c r="AM149" i="24050"/>
  <c r="AM106" i="24050"/>
  <c r="AM55" i="24050"/>
  <c r="AQ377" i="24050"/>
  <c r="AQ307" i="24050"/>
  <c r="AQ343" i="24050"/>
  <c r="AQ189" i="24050"/>
  <c r="AQ272" i="24050"/>
  <c r="AQ231" i="24050"/>
  <c r="AQ149" i="24050"/>
  <c r="AQ106" i="24050"/>
  <c r="AQ55" i="24050"/>
  <c r="AU377" i="24050"/>
  <c r="AU343" i="24050"/>
  <c r="AU307" i="24050"/>
  <c r="AU189" i="24050"/>
  <c r="AU272" i="24050"/>
  <c r="AU231" i="24050"/>
  <c r="AU106" i="24050"/>
  <c r="AU149" i="24050"/>
  <c r="AU55" i="24050"/>
  <c r="AY377" i="24050"/>
  <c r="AY307" i="24050"/>
  <c r="AY343" i="24050"/>
  <c r="AY272" i="24050"/>
  <c r="AY189" i="24050"/>
  <c r="AY231" i="24050"/>
  <c r="AY149" i="24050"/>
  <c r="AY106" i="24050"/>
  <c r="AY55" i="24050"/>
  <c r="BC377" i="24050"/>
  <c r="BC343" i="24050"/>
  <c r="BC307" i="24050"/>
  <c r="BC272" i="24050"/>
  <c r="BC189" i="24050"/>
  <c r="BC231" i="24050"/>
  <c r="BC149" i="24050"/>
  <c r="BC106" i="24050"/>
  <c r="BC55" i="24050"/>
  <c r="BG377" i="24050"/>
  <c r="BG307" i="24050"/>
  <c r="BG343" i="24050"/>
  <c r="BG272" i="24050"/>
  <c r="BG189" i="24050"/>
  <c r="BG231" i="24050"/>
  <c r="BG149" i="24050"/>
  <c r="BG106" i="24050"/>
  <c r="BG55" i="24050"/>
  <c r="BK377" i="24050"/>
  <c r="BK343" i="24050"/>
  <c r="BK307" i="24050"/>
  <c r="BK272" i="24050"/>
  <c r="BK189" i="24050"/>
  <c r="BK231" i="24050"/>
  <c r="BK106" i="24050"/>
  <c r="BK149" i="24050"/>
  <c r="BK55" i="24050"/>
  <c r="BO377" i="24050"/>
  <c r="BO307" i="24050"/>
  <c r="BO343" i="24050"/>
  <c r="BO272" i="24050"/>
  <c r="BO189" i="24050"/>
  <c r="BO231" i="24050"/>
  <c r="BO149" i="24050"/>
  <c r="BO106" i="24050"/>
  <c r="BO55" i="24050"/>
  <c r="BS377" i="24050"/>
  <c r="BS343" i="24050"/>
  <c r="BS307" i="24050"/>
  <c r="BS272" i="24050"/>
  <c r="BS189" i="24050"/>
  <c r="BS231" i="24050"/>
  <c r="BS149" i="24050"/>
  <c r="BS106" i="24050"/>
  <c r="BS55" i="24050"/>
  <c r="BW377" i="24050"/>
  <c r="BW307" i="24050"/>
  <c r="BW343" i="24050"/>
  <c r="BW272" i="24050"/>
  <c r="BW189" i="24050"/>
  <c r="BW231" i="24050"/>
  <c r="BW149" i="24050"/>
  <c r="BW106" i="24050"/>
  <c r="BW55" i="24050"/>
  <c r="CA377" i="24050"/>
  <c r="CA343" i="24050"/>
  <c r="CA307" i="24050"/>
  <c r="CA272" i="24050"/>
  <c r="CA189" i="24050"/>
  <c r="CA231" i="24050"/>
  <c r="CA106" i="24050"/>
  <c r="CA149" i="24050"/>
  <c r="CA55" i="24050"/>
  <c r="CE377" i="24050"/>
  <c r="CE307" i="24050"/>
  <c r="CE343" i="24050"/>
  <c r="CE272" i="24050"/>
  <c r="CE189" i="24050"/>
  <c r="CE231" i="24050"/>
  <c r="CE149" i="24050"/>
  <c r="CE106" i="24050"/>
  <c r="CE55" i="24050"/>
  <c r="CI377" i="24050"/>
  <c r="CI343" i="24050"/>
  <c r="CI307" i="24050"/>
  <c r="CI272" i="24050"/>
  <c r="CI189" i="24050"/>
  <c r="CI231" i="24050"/>
  <c r="CI149" i="24050"/>
  <c r="CI106" i="24050"/>
  <c r="CI55" i="24050"/>
  <c r="CM377" i="24050"/>
  <c r="CM307" i="24050"/>
  <c r="CM343" i="24050"/>
  <c r="CM272" i="24050"/>
  <c r="CM189" i="24050"/>
  <c r="CM231" i="24050"/>
  <c r="CM149" i="24050"/>
  <c r="CM106" i="24050"/>
  <c r="CM55" i="24050"/>
  <c r="CQ377" i="24050"/>
  <c r="CQ343" i="24050"/>
  <c r="CQ307" i="24050"/>
  <c r="CQ272" i="24050"/>
  <c r="CQ189" i="24050"/>
  <c r="CQ231" i="24050"/>
  <c r="CQ106" i="24050"/>
  <c r="CQ149" i="24050"/>
  <c r="CQ55" i="24050"/>
  <c r="CU377" i="24050"/>
  <c r="CU307" i="24050"/>
  <c r="CU343" i="24050"/>
  <c r="CU272" i="24050"/>
  <c r="CU189" i="24050"/>
  <c r="CU231" i="24050"/>
  <c r="CU149" i="24050"/>
  <c r="CU106" i="24050"/>
  <c r="CU55" i="24050"/>
  <c r="CY377" i="24050"/>
  <c r="CY343" i="24050"/>
  <c r="CY307" i="24050"/>
  <c r="CY272" i="24050"/>
  <c r="CY189" i="24050"/>
  <c r="CY231" i="24050"/>
  <c r="CY149" i="24050"/>
  <c r="CY106" i="24050"/>
  <c r="CY55" i="24050"/>
  <c r="DD377" i="24050"/>
  <c r="DD307" i="24050"/>
  <c r="DD343" i="24050"/>
  <c r="DD272" i="24050"/>
  <c r="DD189" i="24050"/>
  <c r="DD231" i="24050"/>
  <c r="DD149" i="24050"/>
  <c r="DD106" i="24050"/>
  <c r="DD55" i="24050"/>
  <c r="DH377" i="24050"/>
  <c r="DH343" i="24050"/>
  <c r="DH307" i="24050"/>
  <c r="DH272" i="24050"/>
  <c r="DH189" i="24050"/>
  <c r="DH231" i="24050"/>
  <c r="DH106" i="24050"/>
  <c r="DH149" i="24050"/>
  <c r="DH55" i="24050"/>
  <c r="DL377" i="24050"/>
  <c r="DL307" i="24050"/>
  <c r="DL343" i="24050"/>
  <c r="DL272" i="24050"/>
  <c r="DL189" i="24050"/>
  <c r="DL231" i="24050"/>
  <c r="DL149" i="24050"/>
  <c r="DL106" i="24050"/>
  <c r="DL55" i="24050"/>
  <c r="DP377" i="24050"/>
  <c r="DP343" i="24050"/>
  <c r="DP307" i="24050"/>
  <c r="DP272" i="24050"/>
  <c r="DP189" i="24050"/>
  <c r="DP231" i="24050"/>
  <c r="DP149" i="24050"/>
  <c r="DP106" i="24050"/>
  <c r="DP55" i="24050"/>
  <c r="DT377" i="24050"/>
  <c r="DT307" i="24050"/>
  <c r="DT343" i="24050"/>
  <c r="DT272" i="24050"/>
  <c r="DT189" i="24050"/>
  <c r="DT231" i="24050"/>
  <c r="DT149" i="24050"/>
  <c r="DT106" i="24050"/>
  <c r="DT55" i="24050"/>
  <c r="DX377" i="24050"/>
  <c r="DX343" i="24050"/>
  <c r="DX307" i="24050"/>
  <c r="DX272" i="24050"/>
  <c r="DX189" i="24050"/>
  <c r="DX231" i="24050"/>
  <c r="DX106" i="24050"/>
  <c r="DX149" i="24050"/>
  <c r="DX55" i="24050"/>
  <c r="EB377" i="24050"/>
  <c r="EB307" i="24050"/>
  <c r="EB343" i="24050"/>
  <c r="EB272" i="24050"/>
  <c r="EB189" i="24050"/>
  <c r="EB231" i="24050"/>
  <c r="EB149" i="24050"/>
  <c r="EB106" i="24050"/>
  <c r="EB55" i="24050"/>
  <c r="EF377" i="24050"/>
  <c r="EF343" i="24050"/>
  <c r="EF307" i="24050"/>
  <c r="EF272" i="24050"/>
  <c r="EF189" i="24050"/>
  <c r="EF231" i="24050"/>
  <c r="EF149" i="24050"/>
  <c r="EF106" i="24050"/>
  <c r="EF55" i="24050"/>
  <c r="EJ377" i="24050"/>
  <c r="EJ307" i="24050"/>
  <c r="EJ343" i="24050"/>
  <c r="EJ272" i="24050"/>
  <c r="EJ189" i="24050"/>
  <c r="EJ231" i="24050"/>
  <c r="EJ149" i="24050"/>
  <c r="EJ106" i="24050"/>
  <c r="EJ55" i="24050"/>
  <c r="EN377" i="24050"/>
  <c r="EN343" i="24050"/>
  <c r="EN307" i="24050"/>
  <c r="EN272" i="24050"/>
  <c r="EN189" i="24050"/>
  <c r="EN231" i="24050"/>
  <c r="EN106" i="24050"/>
  <c r="EN149" i="24050"/>
  <c r="EN55" i="24050"/>
  <c r="ER377" i="24050"/>
  <c r="ER307" i="24050"/>
  <c r="ER343" i="24050"/>
  <c r="ER272" i="24050"/>
  <c r="ER189" i="24050"/>
  <c r="ER231" i="24050"/>
  <c r="ER149" i="24050"/>
  <c r="ER106" i="24050"/>
  <c r="ER55" i="24050"/>
  <c r="E53" i="24050"/>
  <c r="U53" i="24050"/>
  <c r="AK53" i="24050"/>
  <c r="BA53" i="24050"/>
  <c r="BQ53" i="24050"/>
  <c r="CG53" i="24050"/>
  <c r="CW53" i="24050"/>
  <c r="W382" i="23917"/>
  <c r="W348" i="23917"/>
  <c r="W312" i="23917"/>
  <c r="W236" i="23917"/>
  <c r="W277" i="23917"/>
  <c r="W194" i="23917"/>
  <c r="W154" i="23917"/>
  <c r="W111" i="23917"/>
  <c r="AM382" i="23917"/>
  <c r="AM348" i="23917"/>
  <c r="AM312" i="23917"/>
  <c r="AM236" i="23917"/>
  <c r="AM277" i="23917"/>
  <c r="AM194" i="23917"/>
  <c r="AM154" i="23917"/>
  <c r="AM111" i="23917"/>
  <c r="BC382" i="23917"/>
  <c r="BC348" i="23917"/>
  <c r="BC312" i="23917"/>
  <c r="BC236" i="23917"/>
  <c r="BC277" i="23917"/>
  <c r="BC194" i="23917"/>
  <c r="BC154" i="23917"/>
  <c r="BC111" i="23917"/>
  <c r="BS382" i="23917"/>
  <c r="BS348" i="23917"/>
  <c r="BS312" i="23917"/>
  <c r="BS236" i="23917"/>
  <c r="BS277" i="23917"/>
  <c r="BS194" i="23917"/>
  <c r="BS154" i="23917"/>
  <c r="BS111" i="23917"/>
  <c r="CM382" i="23917"/>
  <c r="CM348" i="23917"/>
  <c r="CM312" i="23917"/>
  <c r="CM236" i="23917"/>
  <c r="CM277" i="23917"/>
  <c r="CM194" i="23917"/>
  <c r="CM154" i="23917"/>
  <c r="CM111" i="23917"/>
  <c r="DC382" i="23917"/>
  <c r="DC348" i="23917"/>
  <c r="DC312" i="23917"/>
  <c r="DC236" i="23917"/>
  <c r="DC277" i="23917"/>
  <c r="DC194" i="23917"/>
  <c r="DC154" i="23917"/>
  <c r="DC111" i="23917"/>
  <c r="DO382" i="23917"/>
  <c r="DO348" i="23917"/>
  <c r="DO312" i="23917"/>
  <c r="DO236" i="23917"/>
  <c r="DO277" i="23917"/>
  <c r="DO194" i="23917"/>
  <c r="DO154" i="23917"/>
  <c r="DO111" i="23917"/>
  <c r="EE382" i="23917"/>
  <c r="EE348" i="23917"/>
  <c r="EE312" i="23917"/>
  <c r="EE236" i="23917"/>
  <c r="EE277" i="23917"/>
  <c r="EE194" i="23917"/>
  <c r="EE154" i="23917"/>
  <c r="EE111" i="23917"/>
  <c r="FH382" i="23917"/>
  <c r="FH348" i="23917"/>
  <c r="FH312" i="23917"/>
  <c r="FH236" i="23917"/>
  <c r="FH277" i="23917"/>
  <c r="FH194" i="23917"/>
  <c r="FH154" i="23917"/>
  <c r="FH111" i="23917"/>
  <c r="FT382" i="23917"/>
  <c r="FT348" i="23917"/>
  <c r="FT312" i="23917"/>
  <c r="FT236" i="23917"/>
  <c r="FT277" i="23917"/>
  <c r="FT194" i="23917"/>
  <c r="FT154" i="23917"/>
  <c r="FT111" i="23917"/>
  <c r="AA383" i="23917"/>
  <c r="AA349" i="23917"/>
  <c r="AA313" i="23917"/>
  <c r="AA278" i="23917"/>
  <c r="AA195" i="23917"/>
  <c r="AA237" i="23917"/>
  <c r="AA155" i="23917"/>
  <c r="AA112" i="23917"/>
  <c r="AU383" i="23917"/>
  <c r="AU349" i="23917"/>
  <c r="AU313" i="23917"/>
  <c r="AU278" i="23917"/>
  <c r="AU237" i="23917"/>
  <c r="AU195" i="23917"/>
  <c r="AU155" i="23917"/>
  <c r="AU112" i="23917"/>
  <c r="BG383" i="23917"/>
  <c r="BG349" i="23917"/>
  <c r="BG313" i="23917"/>
  <c r="BG278" i="23917"/>
  <c r="BG195" i="23917"/>
  <c r="BG237" i="23917"/>
  <c r="BG155" i="23917"/>
  <c r="BG112" i="23917"/>
  <c r="BW383" i="23917"/>
  <c r="BW349" i="23917"/>
  <c r="BW313" i="23917"/>
  <c r="BW278" i="23917"/>
  <c r="BW195" i="23917"/>
  <c r="BW237" i="23917"/>
  <c r="BW155" i="23917"/>
  <c r="BW112" i="23917"/>
  <c r="CM383" i="23917"/>
  <c r="CM349" i="23917"/>
  <c r="CM313" i="23917"/>
  <c r="CM278" i="23917"/>
  <c r="CM195" i="23917"/>
  <c r="CM237" i="23917"/>
  <c r="CM155" i="23917"/>
  <c r="CM112" i="23917"/>
  <c r="DG383" i="23917"/>
  <c r="DG349" i="23917"/>
  <c r="DG313" i="23917"/>
  <c r="DG278" i="23917"/>
  <c r="DG237" i="23917"/>
  <c r="DG195" i="23917"/>
  <c r="DG155" i="23917"/>
  <c r="DG112" i="23917"/>
  <c r="DS383" i="23917"/>
  <c r="DS349" i="23917"/>
  <c r="DS313" i="23917"/>
  <c r="DS278" i="23917"/>
  <c r="DS195" i="23917"/>
  <c r="DS237" i="23917"/>
  <c r="DS155" i="23917"/>
  <c r="DS112" i="23917"/>
  <c r="EJ349" i="23917"/>
  <c r="EJ313" i="23917"/>
  <c r="EJ278" i="23917"/>
  <c r="EJ195" i="23917"/>
  <c r="EJ237" i="23917"/>
  <c r="EJ155" i="23917"/>
  <c r="EJ112" i="23917"/>
  <c r="FH383" i="23917"/>
  <c r="FH349" i="23917"/>
  <c r="FH313" i="23917"/>
  <c r="FH278" i="23917"/>
  <c r="FH195" i="23917"/>
  <c r="FH237" i="23917"/>
  <c r="FH155" i="23917"/>
  <c r="FH112" i="23917"/>
  <c r="FX383" i="23917"/>
  <c r="FX349" i="23917"/>
  <c r="FX313" i="23917"/>
  <c r="FX278" i="23917"/>
  <c r="FX195" i="23917"/>
  <c r="FX237" i="23917"/>
  <c r="FX155" i="23917"/>
  <c r="FX112" i="23917"/>
  <c r="G382" i="23917"/>
  <c r="G348" i="23917"/>
  <c r="G312" i="23917"/>
  <c r="G236" i="23917"/>
  <c r="G277" i="23917"/>
  <c r="G194" i="23917"/>
  <c r="G154" i="23917"/>
  <c r="G111" i="23917"/>
  <c r="O382" i="23917"/>
  <c r="O348" i="23917"/>
  <c r="O312" i="23917"/>
  <c r="O236" i="23917"/>
  <c r="O277" i="23917"/>
  <c r="O194" i="23917"/>
  <c r="O154" i="23917"/>
  <c r="O111" i="23917"/>
  <c r="AE382" i="23917"/>
  <c r="AE348" i="23917"/>
  <c r="AE312" i="23917"/>
  <c r="AE236" i="23917"/>
  <c r="AE277" i="23917"/>
  <c r="AE194" i="23917"/>
  <c r="AE154" i="23917"/>
  <c r="AE111" i="23917"/>
  <c r="AY382" i="23917"/>
  <c r="AY348" i="23917"/>
  <c r="AY312" i="23917"/>
  <c r="AY236" i="23917"/>
  <c r="AY277" i="23917"/>
  <c r="AY194" i="23917"/>
  <c r="AY154" i="23917"/>
  <c r="AY111" i="23917"/>
  <c r="BK382" i="23917"/>
  <c r="BK348" i="23917"/>
  <c r="BK312" i="23917"/>
  <c r="BK236" i="23917"/>
  <c r="BK277" i="23917"/>
  <c r="BK194" i="23917"/>
  <c r="BK154" i="23917"/>
  <c r="BK111" i="23917"/>
  <c r="CA382" i="23917"/>
  <c r="CA348" i="23917"/>
  <c r="CA312" i="23917"/>
  <c r="CA236" i="23917"/>
  <c r="CA277" i="23917"/>
  <c r="CA194" i="23917"/>
  <c r="CA154" i="23917"/>
  <c r="CA111" i="23917"/>
  <c r="CU382" i="23917"/>
  <c r="CU348" i="23917"/>
  <c r="CU312" i="23917"/>
  <c r="CU236" i="23917"/>
  <c r="CU277" i="23917"/>
  <c r="CU194" i="23917"/>
  <c r="CU154" i="23917"/>
  <c r="CU111" i="23917"/>
  <c r="DK382" i="23917"/>
  <c r="DK348" i="23917"/>
  <c r="DK312" i="23917"/>
  <c r="DK236" i="23917"/>
  <c r="DK277" i="23917"/>
  <c r="DK194" i="23917"/>
  <c r="DK154" i="23917"/>
  <c r="DK111" i="23917"/>
  <c r="EA382" i="23917"/>
  <c r="EA348" i="23917"/>
  <c r="EA312" i="23917"/>
  <c r="EA236" i="23917"/>
  <c r="EA277" i="23917"/>
  <c r="EA194" i="23917"/>
  <c r="EA154" i="23917"/>
  <c r="EA111" i="23917"/>
  <c r="ER382" i="23917"/>
  <c r="ER348" i="23917"/>
  <c r="ER312" i="23917"/>
  <c r="ER236" i="23917"/>
  <c r="ER277" i="23917"/>
  <c r="ER194" i="23917"/>
  <c r="ER154" i="23917"/>
  <c r="ER111" i="23917"/>
  <c r="EV382" i="23917"/>
  <c r="EV348" i="23917"/>
  <c r="EV312" i="23917"/>
  <c r="EV236" i="23917"/>
  <c r="EV277" i="23917"/>
  <c r="EV194" i="23917"/>
  <c r="EV154" i="23917"/>
  <c r="EV111" i="23917"/>
  <c r="EZ382" i="23917"/>
  <c r="EZ348" i="23917"/>
  <c r="EZ312" i="23917"/>
  <c r="EZ277" i="23917"/>
  <c r="EZ236" i="23917"/>
  <c r="EZ194" i="23917"/>
  <c r="EZ154" i="23917"/>
  <c r="EZ111" i="23917"/>
  <c r="FP382" i="23917"/>
  <c r="FP348" i="23917"/>
  <c r="FP312" i="23917"/>
  <c r="FP277" i="23917"/>
  <c r="FP236" i="23917"/>
  <c r="FP194" i="23917"/>
  <c r="FP154" i="23917"/>
  <c r="FP111" i="23917"/>
  <c r="G383" i="23917"/>
  <c r="G349" i="23917"/>
  <c r="G313" i="23917"/>
  <c r="G278" i="23917"/>
  <c r="G237" i="23917"/>
  <c r="G195" i="23917"/>
  <c r="G155" i="23917"/>
  <c r="G112" i="23917"/>
  <c r="S383" i="23917"/>
  <c r="S349" i="23917"/>
  <c r="S313" i="23917"/>
  <c r="S278" i="23917"/>
  <c r="S195" i="23917"/>
  <c r="S237" i="23917"/>
  <c r="S155" i="23917"/>
  <c r="S112" i="23917"/>
  <c r="AI383" i="23917"/>
  <c r="AI349" i="23917"/>
  <c r="AI313" i="23917"/>
  <c r="AI278" i="23917"/>
  <c r="AI195" i="23917"/>
  <c r="AI237" i="23917"/>
  <c r="AI155" i="23917"/>
  <c r="AI112" i="23917"/>
  <c r="AY383" i="23917"/>
  <c r="AY349" i="23917"/>
  <c r="AY313" i="23917"/>
  <c r="AY278" i="23917"/>
  <c r="AY195" i="23917"/>
  <c r="AY237" i="23917"/>
  <c r="AY155" i="23917"/>
  <c r="AY112" i="23917"/>
  <c r="BO383" i="23917"/>
  <c r="BO349" i="23917"/>
  <c r="BO313" i="23917"/>
  <c r="BO278" i="23917"/>
  <c r="BO195" i="23917"/>
  <c r="BO237" i="23917"/>
  <c r="BO155" i="23917"/>
  <c r="BO112" i="23917"/>
  <c r="CA383" i="23917"/>
  <c r="CA349" i="23917"/>
  <c r="CA313" i="23917"/>
  <c r="CA278" i="23917"/>
  <c r="CA237" i="23917"/>
  <c r="CA195" i="23917"/>
  <c r="CA155" i="23917"/>
  <c r="CA112" i="23917"/>
  <c r="CQ383" i="23917"/>
  <c r="CQ349" i="23917"/>
  <c r="CQ313" i="23917"/>
  <c r="CQ278" i="23917"/>
  <c r="CQ237" i="23917"/>
  <c r="CQ195" i="23917"/>
  <c r="CQ155" i="23917"/>
  <c r="CQ112" i="23917"/>
  <c r="DC383" i="23917"/>
  <c r="DC349" i="23917"/>
  <c r="DC313" i="23917"/>
  <c r="DC278" i="23917"/>
  <c r="DC195" i="23917"/>
  <c r="DC237" i="23917"/>
  <c r="DC155" i="23917"/>
  <c r="DC112" i="23917"/>
  <c r="DW383" i="23917"/>
  <c r="DW349" i="23917"/>
  <c r="DW313" i="23917"/>
  <c r="DW278" i="23917"/>
  <c r="DW237" i="23917"/>
  <c r="DW195" i="23917"/>
  <c r="DW155" i="23917"/>
  <c r="DW112" i="23917"/>
  <c r="EN383" i="23917"/>
  <c r="EN349" i="23917"/>
  <c r="EN313" i="23917"/>
  <c r="EN278" i="23917"/>
  <c r="EN237" i="23917"/>
  <c r="EN195" i="23917"/>
  <c r="EN155" i="23917"/>
  <c r="EN112" i="23917"/>
  <c r="EZ383" i="23917"/>
  <c r="EZ349" i="23917"/>
  <c r="EZ313" i="23917"/>
  <c r="EZ278" i="23917"/>
  <c r="EZ195" i="23917"/>
  <c r="EZ237" i="23917"/>
  <c r="EZ155" i="23917"/>
  <c r="EZ112" i="23917"/>
  <c r="FL383" i="23917"/>
  <c r="FL349" i="23917"/>
  <c r="FL313" i="23917"/>
  <c r="FL278" i="23917"/>
  <c r="FL237" i="23917"/>
  <c r="FL195" i="23917"/>
  <c r="FL155" i="23917"/>
  <c r="FL112" i="23917"/>
  <c r="E381" i="23917"/>
  <c r="E347" i="23917"/>
  <c r="E311" i="23917"/>
  <c r="E276" i="23917"/>
  <c r="E235" i="23917"/>
  <c r="E193" i="23917"/>
  <c r="E153" i="23917"/>
  <c r="I381" i="23917"/>
  <c r="I347" i="23917"/>
  <c r="I311" i="23917"/>
  <c r="I276" i="23917"/>
  <c r="I235" i="23917"/>
  <c r="I193" i="23917"/>
  <c r="I153" i="23917"/>
  <c r="M381" i="23917"/>
  <c r="M347" i="23917"/>
  <c r="M311" i="23917"/>
  <c r="M276" i="23917"/>
  <c r="M193" i="23917"/>
  <c r="M235" i="23917"/>
  <c r="M153" i="23917"/>
  <c r="Q381" i="23917"/>
  <c r="Q347" i="23917"/>
  <c r="Q311" i="23917"/>
  <c r="Q276" i="23917"/>
  <c r="Q193" i="23917"/>
  <c r="Q235" i="23917"/>
  <c r="Q153" i="23917"/>
  <c r="U381" i="23917"/>
  <c r="U347" i="23917"/>
  <c r="U311" i="23917"/>
  <c r="U276" i="23917"/>
  <c r="U235" i="23917"/>
  <c r="U193" i="23917"/>
  <c r="U153" i="23917"/>
  <c r="Y381" i="23917"/>
  <c r="Y347" i="23917"/>
  <c r="Y311" i="23917"/>
  <c r="Y276" i="23917"/>
  <c r="Y235" i="23917"/>
  <c r="Y193" i="23917"/>
  <c r="Y153" i="23917"/>
  <c r="AC381" i="23917"/>
  <c r="AC347" i="23917"/>
  <c r="AC311" i="23917"/>
  <c r="AC276" i="23917"/>
  <c r="AC193" i="23917"/>
  <c r="AC235" i="23917"/>
  <c r="AC153" i="23917"/>
  <c r="AG381" i="23917"/>
  <c r="AG347" i="23917"/>
  <c r="AG311" i="23917"/>
  <c r="AG276" i="23917"/>
  <c r="AG193" i="23917"/>
  <c r="AG235" i="23917"/>
  <c r="AG153" i="23917"/>
  <c r="AK381" i="23917"/>
  <c r="AK347" i="23917"/>
  <c r="AK311" i="23917"/>
  <c r="AK276" i="23917"/>
  <c r="AK235" i="23917"/>
  <c r="AK193" i="23917"/>
  <c r="AK153" i="23917"/>
  <c r="AO381" i="23917"/>
  <c r="AO347" i="23917"/>
  <c r="AO311" i="23917"/>
  <c r="AO276" i="23917"/>
  <c r="AO235" i="23917"/>
  <c r="AO193" i="23917"/>
  <c r="AO153" i="23917"/>
  <c r="AS381" i="23917"/>
  <c r="AS347" i="23917"/>
  <c r="AS311" i="23917"/>
  <c r="AS276" i="23917"/>
  <c r="AS193" i="23917"/>
  <c r="AS235" i="23917"/>
  <c r="AS153" i="23917"/>
  <c r="AW381" i="23917"/>
  <c r="AW347" i="23917"/>
  <c r="AW311" i="23917"/>
  <c r="AW276" i="23917"/>
  <c r="AW193" i="23917"/>
  <c r="AW235" i="23917"/>
  <c r="AW153" i="23917"/>
  <c r="BA381" i="23917"/>
  <c r="BA347" i="23917"/>
  <c r="BA311" i="23917"/>
  <c r="BA276" i="23917"/>
  <c r="BA235" i="23917"/>
  <c r="BA193" i="23917"/>
  <c r="BA153" i="23917"/>
  <c r="BE381" i="23917"/>
  <c r="BE347" i="23917"/>
  <c r="BE311" i="23917"/>
  <c r="BE276" i="23917"/>
  <c r="BE235" i="23917"/>
  <c r="BE193" i="23917"/>
  <c r="BE153" i="23917"/>
  <c r="BI381" i="23917"/>
  <c r="BI347" i="23917"/>
  <c r="BI311" i="23917"/>
  <c r="BI276" i="23917"/>
  <c r="BI235" i="23917"/>
  <c r="BI193" i="23917"/>
  <c r="BI153" i="23917"/>
  <c r="BM381" i="23917"/>
  <c r="BM347" i="23917"/>
  <c r="BM311" i="23917"/>
  <c r="BM276" i="23917"/>
  <c r="BM235" i="23917"/>
  <c r="BM193" i="23917"/>
  <c r="BM153" i="23917"/>
  <c r="BQ381" i="23917"/>
  <c r="BQ347" i="23917"/>
  <c r="BQ311" i="23917"/>
  <c r="BQ276" i="23917"/>
  <c r="BQ235" i="23917"/>
  <c r="BQ193" i="23917"/>
  <c r="BQ153" i="23917"/>
  <c r="BU381" i="23917"/>
  <c r="BU347" i="23917"/>
  <c r="BU311" i="23917"/>
  <c r="BU276" i="23917"/>
  <c r="BU235" i="23917"/>
  <c r="BU193" i="23917"/>
  <c r="BU153" i="23917"/>
  <c r="BY381" i="23917"/>
  <c r="BY347" i="23917"/>
  <c r="BY311" i="23917"/>
  <c r="BY276" i="23917"/>
  <c r="BY235" i="23917"/>
  <c r="BY193" i="23917"/>
  <c r="BY153" i="23917"/>
  <c r="CC381" i="23917"/>
  <c r="CC347" i="23917"/>
  <c r="CC311" i="23917"/>
  <c r="CC276" i="23917"/>
  <c r="CC235" i="23917"/>
  <c r="CC193" i="23917"/>
  <c r="CC153" i="23917"/>
  <c r="CG381" i="23917"/>
  <c r="CG347" i="23917"/>
  <c r="CG311" i="23917"/>
  <c r="CG276" i="23917"/>
  <c r="CG235" i="23917"/>
  <c r="CG193" i="23917"/>
  <c r="CG153" i="23917"/>
  <c r="CK381" i="23917"/>
  <c r="CK347" i="23917"/>
  <c r="CK311" i="23917"/>
  <c r="CK276" i="23917"/>
  <c r="CK235" i="23917"/>
  <c r="CK193" i="23917"/>
  <c r="CK153" i="23917"/>
  <c r="CO381" i="23917"/>
  <c r="CO347" i="23917"/>
  <c r="CO311" i="23917"/>
  <c r="CO276" i="23917"/>
  <c r="CO235" i="23917"/>
  <c r="CO193" i="23917"/>
  <c r="CO153" i="23917"/>
  <c r="CS381" i="23917"/>
  <c r="CS347" i="23917"/>
  <c r="CS311" i="23917"/>
  <c r="CS276" i="23917"/>
  <c r="CS235" i="23917"/>
  <c r="CS193" i="23917"/>
  <c r="CS153" i="23917"/>
  <c r="CW381" i="23917"/>
  <c r="CW347" i="23917"/>
  <c r="CW311" i="23917"/>
  <c r="CW276" i="23917"/>
  <c r="CW235" i="23917"/>
  <c r="CW193" i="23917"/>
  <c r="CW153" i="23917"/>
  <c r="DA381" i="23917"/>
  <c r="DA347" i="23917"/>
  <c r="DA311" i="23917"/>
  <c r="DA276" i="23917"/>
  <c r="DA235" i="23917"/>
  <c r="DA193" i="23917"/>
  <c r="DA153" i="23917"/>
  <c r="DE381" i="23917"/>
  <c r="DE347" i="23917"/>
  <c r="DE311" i="23917"/>
  <c r="DE276" i="23917"/>
  <c r="DE235" i="23917"/>
  <c r="DE193" i="23917"/>
  <c r="DE153" i="23917"/>
  <c r="DI381" i="23917"/>
  <c r="DI347" i="23917"/>
  <c r="DI311" i="23917"/>
  <c r="DI276" i="23917"/>
  <c r="DI235" i="23917"/>
  <c r="DI193" i="23917"/>
  <c r="DI153" i="23917"/>
  <c r="DM381" i="23917"/>
  <c r="DM347" i="23917"/>
  <c r="DM311" i="23917"/>
  <c r="DM276" i="23917"/>
  <c r="DM235" i="23917"/>
  <c r="DM193" i="23917"/>
  <c r="DM153" i="23917"/>
  <c r="DQ381" i="23917"/>
  <c r="DQ347" i="23917"/>
  <c r="DQ311" i="23917"/>
  <c r="DQ276" i="23917"/>
  <c r="DQ235" i="23917"/>
  <c r="DQ193" i="23917"/>
  <c r="DQ153" i="23917"/>
  <c r="DU381" i="23917"/>
  <c r="DU347" i="23917"/>
  <c r="DU311" i="23917"/>
  <c r="DU276" i="23917"/>
  <c r="DU235" i="23917"/>
  <c r="DU193" i="23917"/>
  <c r="DU153" i="23917"/>
  <c r="DY381" i="23917"/>
  <c r="DY347" i="23917"/>
  <c r="DY311" i="23917"/>
  <c r="DY276" i="23917"/>
  <c r="DY235" i="23917"/>
  <c r="DY193" i="23917"/>
  <c r="DY153" i="23917"/>
  <c r="EC381" i="23917"/>
  <c r="EC347" i="23917"/>
  <c r="EC311" i="23917"/>
  <c r="EC276" i="23917"/>
  <c r="EC235" i="23917"/>
  <c r="EC193" i="23917"/>
  <c r="EC153" i="23917"/>
  <c r="EG381" i="23917"/>
  <c r="EG347" i="23917"/>
  <c r="EG311" i="23917"/>
  <c r="EG276" i="23917"/>
  <c r="EG235" i="23917"/>
  <c r="EG193" i="23917"/>
  <c r="EG153" i="23917"/>
  <c r="EL381" i="23917"/>
  <c r="EL347" i="23917"/>
  <c r="EL311" i="23917"/>
  <c r="EL276" i="23917"/>
  <c r="EL235" i="23917"/>
  <c r="EL193" i="23917"/>
  <c r="EL153" i="23917"/>
  <c r="EP381" i="23917"/>
  <c r="EP347" i="23917"/>
  <c r="EP311" i="23917"/>
  <c r="EP276" i="23917"/>
  <c r="EP235" i="23917"/>
  <c r="EP193" i="23917"/>
  <c r="EP110" i="23917"/>
  <c r="EP153" i="23917"/>
  <c r="FF381" i="23917"/>
  <c r="FF347" i="23917"/>
  <c r="FF311" i="23917"/>
  <c r="FF276" i="23917"/>
  <c r="FF235" i="23917"/>
  <c r="FF193" i="23917"/>
  <c r="FF110" i="23917"/>
  <c r="FF153" i="23917"/>
  <c r="FJ381" i="23917"/>
  <c r="FJ347" i="23917"/>
  <c r="FJ311" i="23917"/>
  <c r="FJ276" i="23917"/>
  <c r="FJ235" i="23917"/>
  <c r="FJ193" i="23917"/>
  <c r="FJ110" i="23917"/>
  <c r="FJ153" i="23917"/>
  <c r="FN381" i="23917"/>
  <c r="FN347" i="23917"/>
  <c r="FN311" i="23917"/>
  <c r="FN276" i="23917"/>
  <c r="FN235" i="23917"/>
  <c r="FN193" i="23917"/>
  <c r="FN110" i="23917"/>
  <c r="FN153" i="23917"/>
  <c r="FR381" i="23917"/>
  <c r="FR347" i="23917"/>
  <c r="FR311" i="23917"/>
  <c r="FR276" i="23917"/>
  <c r="FR235" i="23917"/>
  <c r="FR193" i="23917"/>
  <c r="FR110" i="23917"/>
  <c r="FR153" i="23917"/>
  <c r="FV381" i="23917"/>
  <c r="FV347" i="23917"/>
  <c r="FV311" i="23917"/>
  <c r="FV276" i="23917"/>
  <c r="FV235" i="23917"/>
  <c r="FV193" i="23917"/>
  <c r="FV110" i="23917"/>
  <c r="FV153" i="23917"/>
  <c r="FZ381" i="23917"/>
  <c r="FZ347" i="23917"/>
  <c r="FZ311" i="23917"/>
  <c r="FZ276" i="23917"/>
  <c r="FZ193" i="23917"/>
  <c r="FZ235" i="23917"/>
  <c r="FZ110" i="23917"/>
  <c r="FZ153" i="23917"/>
  <c r="D383" i="23917"/>
  <c r="D349" i="23917"/>
  <c r="D313" i="23917"/>
  <c r="D237" i="23917"/>
  <c r="D278" i="23917"/>
  <c r="D195" i="23917"/>
  <c r="D112" i="23917"/>
  <c r="D155" i="23917"/>
  <c r="H383" i="23917"/>
  <c r="H349" i="23917"/>
  <c r="H313" i="23917"/>
  <c r="H237" i="23917"/>
  <c r="H278" i="23917"/>
  <c r="H195" i="23917"/>
  <c r="H112" i="23917"/>
  <c r="H155" i="23917"/>
  <c r="L383" i="23917"/>
  <c r="L349" i="23917"/>
  <c r="L313" i="23917"/>
  <c r="L278" i="23917"/>
  <c r="L237" i="23917"/>
  <c r="L195" i="23917"/>
  <c r="L112" i="23917"/>
  <c r="L155" i="23917"/>
  <c r="P383" i="23917"/>
  <c r="P349" i="23917"/>
  <c r="P313" i="23917"/>
  <c r="P237" i="23917"/>
  <c r="P278" i="23917"/>
  <c r="P195" i="23917"/>
  <c r="P112" i="23917"/>
  <c r="P155" i="23917"/>
  <c r="T383" i="23917"/>
  <c r="T349" i="23917"/>
  <c r="T313" i="23917"/>
  <c r="T237" i="23917"/>
  <c r="T278" i="23917"/>
  <c r="T195" i="23917"/>
  <c r="T112" i="23917"/>
  <c r="T155" i="23917"/>
  <c r="X383" i="23917"/>
  <c r="X349" i="23917"/>
  <c r="X313" i="23917"/>
  <c r="X237" i="23917"/>
  <c r="X278" i="23917"/>
  <c r="X195" i="23917"/>
  <c r="X112" i="23917"/>
  <c r="X155" i="23917"/>
  <c r="AB383" i="23917"/>
  <c r="AB349" i="23917"/>
  <c r="AB313" i="23917"/>
  <c r="AB278" i="23917"/>
  <c r="AB237" i="23917"/>
  <c r="AB195" i="23917"/>
  <c r="AB112" i="23917"/>
  <c r="AB155" i="23917"/>
  <c r="AF383" i="23917"/>
  <c r="AF349" i="23917"/>
  <c r="AF313" i="23917"/>
  <c r="AF237" i="23917"/>
  <c r="AF278" i="23917"/>
  <c r="AF195" i="23917"/>
  <c r="AF112" i="23917"/>
  <c r="AF155" i="23917"/>
  <c r="AJ383" i="23917"/>
  <c r="AJ349" i="23917"/>
  <c r="AJ313" i="23917"/>
  <c r="AJ237" i="23917"/>
  <c r="AJ278" i="23917"/>
  <c r="AJ195" i="23917"/>
  <c r="AJ112" i="23917"/>
  <c r="AJ155" i="23917"/>
  <c r="AN383" i="23917"/>
  <c r="AN349" i="23917"/>
  <c r="AN313" i="23917"/>
  <c r="AN237" i="23917"/>
  <c r="AN278" i="23917"/>
  <c r="AN195" i="23917"/>
  <c r="AN112" i="23917"/>
  <c r="AN155" i="23917"/>
  <c r="AR383" i="23917"/>
  <c r="AR349" i="23917"/>
  <c r="AR313" i="23917"/>
  <c r="AR278" i="23917"/>
  <c r="AR237" i="23917"/>
  <c r="AR195" i="23917"/>
  <c r="AR112" i="23917"/>
  <c r="AR155" i="23917"/>
  <c r="AV383" i="23917"/>
  <c r="AV349" i="23917"/>
  <c r="AV313" i="23917"/>
  <c r="AV237" i="23917"/>
  <c r="AV278" i="23917"/>
  <c r="AV195" i="23917"/>
  <c r="AV112" i="23917"/>
  <c r="AV155" i="23917"/>
  <c r="AZ383" i="23917"/>
  <c r="AZ349" i="23917"/>
  <c r="AZ313" i="23917"/>
  <c r="AZ237" i="23917"/>
  <c r="AZ278" i="23917"/>
  <c r="AZ195" i="23917"/>
  <c r="AZ112" i="23917"/>
  <c r="AZ155" i="23917"/>
  <c r="BD383" i="23917"/>
  <c r="BD349" i="23917"/>
  <c r="BD313" i="23917"/>
  <c r="BD237" i="23917"/>
  <c r="BD278" i="23917"/>
  <c r="BD195" i="23917"/>
  <c r="BD112" i="23917"/>
  <c r="BD155" i="23917"/>
  <c r="BH383" i="23917"/>
  <c r="BH349" i="23917"/>
  <c r="BH313" i="23917"/>
  <c r="BH278" i="23917"/>
  <c r="BH237" i="23917"/>
  <c r="BH195" i="23917"/>
  <c r="BH112" i="23917"/>
  <c r="BH155" i="23917"/>
  <c r="BL383" i="23917"/>
  <c r="BL349" i="23917"/>
  <c r="BL313" i="23917"/>
  <c r="BL237" i="23917"/>
  <c r="BL278" i="23917"/>
  <c r="BL195" i="23917"/>
  <c r="BL112" i="23917"/>
  <c r="BL155" i="23917"/>
  <c r="BP383" i="23917"/>
  <c r="BP349" i="23917"/>
  <c r="BP313" i="23917"/>
  <c r="BP237" i="23917"/>
  <c r="BP278" i="23917"/>
  <c r="BP195" i="23917"/>
  <c r="BP112" i="23917"/>
  <c r="BP155" i="23917"/>
  <c r="BT383" i="23917"/>
  <c r="BT349" i="23917"/>
  <c r="BT313" i="23917"/>
  <c r="BT237" i="23917"/>
  <c r="BT278" i="23917"/>
  <c r="BT195" i="23917"/>
  <c r="BT112" i="23917"/>
  <c r="BT155" i="23917"/>
  <c r="BX383" i="23917"/>
  <c r="BX349" i="23917"/>
  <c r="BX313" i="23917"/>
  <c r="BX278" i="23917"/>
  <c r="BX237" i="23917"/>
  <c r="BX195" i="23917"/>
  <c r="BX112" i="23917"/>
  <c r="BX155" i="23917"/>
  <c r="CB383" i="23917"/>
  <c r="CB349" i="23917"/>
  <c r="CB313" i="23917"/>
  <c r="CB237" i="23917"/>
  <c r="CB278" i="23917"/>
  <c r="CB195" i="23917"/>
  <c r="CB112" i="23917"/>
  <c r="CB155" i="23917"/>
  <c r="CF383" i="23917"/>
  <c r="CF349" i="23917"/>
  <c r="CF313" i="23917"/>
  <c r="CF237" i="23917"/>
  <c r="CF278" i="23917"/>
  <c r="CF195" i="23917"/>
  <c r="CF112" i="23917"/>
  <c r="CF155" i="23917"/>
  <c r="CJ383" i="23917"/>
  <c r="CJ349" i="23917"/>
  <c r="CJ313" i="23917"/>
  <c r="CJ237" i="23917"/>
  <c r="CJ278" i="23917"/>
  <c r="CJ195" i="23917"/>
  <c r="CJ112" i="23917"/>
  <c r="CJ155" i="23917"/>
  <c r="CN383" i="23917"/>
  <c r="CN349" i="23917"/>
  <c r="CN313" i="23917"/>
  <c r="CN278" i="23917"/>
  <c r="CN237" i="23917"/>
  <c r="CN195" i="23917"/>
  <c r="CN112" i="23917"/>
  <c r="CN155" i="23917"/>
  <c r="CR383" i="23917"/>
  <c r="CR349" i="23917"/>
  <c r="CR313" i="23917"/>
  <c r="CR237" i="23917"/>
  <c r="CR278" i="23917"/>
  <c r="CR195" i="23917"/>
  <c r="CR112" i="23917"/>
  <c r="CR155" i="23917"/>
  <c r="CV383" i="23917"/>
  <c r="CV349" i="23917"/>
  <c r="CV313" i="23917"/>
  <c r="CV237" i="23917"/>
  <c r="CV278" i="23917"/>
  <c r="CV195" i="23917"/>
  <c r="CV112" i="23917"/>
  <c r="CV155" i="23917"/>
  <c r="CZ383" i="23917"/>
  <c r="CZ349" i="23917"/>
  <c r="CZ313" i="23917"/>
  <c r="CZ237" i="23917"/>
  <c r="CZ278" i="23917"/>
  <c r="CZ195" i="23917"/>
  <c r="CZ112" i="23917"/>
  <c r="CZ155" i="23917"/>
  <c r="DD383" i="23917"/>
  <c r="DD349" i="23917"/>
  <c r="DD313" i="23917"/>
  <c r="DD278" i="23917"/>
  <c r="DD237" i="23917"/>
  <c r="DD195" i="23917"/>
  <c r="DD112" i="23917"/>
  <c r="DD155" i="23917"/>
  <c r="DH383" i="23917"/>
  <c r="DH349" i="23917"/>
  <c r="DH313" i="23917"/>
  <c r="DH237" i="23917"/>
  <c r="DH278" i="23917"/>
  <c r="DH195" i="23917"/>
  <c r="DH112" i="23917"/>
  <c r="DH155" i="23917"/>
  <c r="DL383" i="23917"/>
  <c r="DL349" i="23917"/>
  <c r="DL313" i="23917"/>
  <c r="DL237" i="23917"/>
  <c r="DL278" i="23917"/>
  <c r="DL195" i="23917"/>
  <c r="DL112" i="23917"/>
  <c r="DL155" i="23917"/>
  <c r="DP383" i="23917"/>
  <c r="DP349" i="23917"/>
  <c r="DP313" i="23917"/>
  <c r="DP237" i="23917"/>
  <c r="DP278" i="23917"/>
  <c r="DP195" i="23917"/>
  <c r="DP112" i="23917"/>
  <c r="DP155" i="23917"/>
  <c r="DT383" i="23917"/>
  <c r="DT349" i="23917"/>
  <c r="DT313" i="23917"/>
  <c r="DT278" i="23917"/>
  <c r="DT237" i="23917"/>
  <c r="DT195" i="23917"/>
  <c r="DT112" i="23917"/>
  <c r="DT155" i="23917"/>
  <c r="DX383" i="23917"/>
  <c r="DX349" i="23917"/>
  <c r="DX313" i="23917"/>
  <c r="DX237" i="23917"/>
  <c r="DX278" i="23917"/>
  <c r="DX195" i="23917"/>
  <c r="DX112" i="23917"/>
  <c r="DX155" i="23917"/>
  <c r="EB383" i="23917"/>
  <c r="EB349" i="23917"/>
  <c r="EB313" i="23917"/>
  <c r="EB237" i="23917"/>
  <c r="EB278" i="23917"/>
  <c r="EB195" i="23917"/>
  <c r="EB112" i="23917"/>
  <c r="EB155" i="23917"/>
  <c r="EF383" i="23917"/>
  <c r="EF349" i="23917"/>
  <c r="EF313" i="23917"/>
  <c r="EF237" i="23917"/>
  <c r="EF278" i="23917"/>
  <c r="EF195" i="23917"/>
  <c r="EF112" i="23917"/>
  <c r="EF155" i="23917"/>
  <c r="EK383" i="23917"/>
  <c r="EK349" i="23917"/>
  <c r="EK313" i="23917"/>
  <c r="EK278" i="23917"/>
  <c r="EK237" i="23917"/>
  <c r="EK195" i="23917"/>
  <c r="EK112" i="23917"/>
  <c r="EK155" i="23917"/>
  <c r="EO383" i="23917"/>
  <c r="EO349" i="23917"/>
  <c r="EO313" i="23917"/>
  <c r="EO237" i="23917"/>
  <c r="EO278" i="23917"/>
  <c r="EO195" i="23917"/>
  <c r="EO112" i="23917"/>
  <c r="EO155" i="23917"/>
  <c r="ES383" i="23917"/>
  <c r="ES349" i="23917"/>
  <c r="ES313" i="23917"/>
  <c r="ES237" i="23917"/>
  <c r="ES278" i="23917"/>
  <c r="ES195" i="23917"/>
  <c r="ES112" i="23917"/>
  <c r="ES155" i="23917"/>
  <c r="EW383" i="23917"/>
  <c r="EW349" i="23917"/>
  <c r="EW313" i="23917"/>
  <c r="EW237" i="23917"/>
  <c r="EW278" i="23917"/>
  <c r="EW195" i="23917"/>
  <c r="EW112" i="23917"/>
  <c r="EW155" i="23917"/>
  <c r="FA383" i="23917"/>
  <c r="FA349" i="23917"/>
  <c r="FA313" i="23917"/>
  <c r="FA278" i="23917"/>
  <c r="FA237" i="23917"/>
  <c r="FA195" i="23917"/>
  <c r="FA112" i="23917"/>
  <c r="FA155" i="23917"/>
  <c r="FE383" i="23917"/>
  <c r="FE349" i="23917"/>
  <c r="FE313" i="23917"/>
  <c r="FE237" i="23917"/>
  <c r="FE278" i="23917"/>
  <c r="FE195" i="23917"/>
  <c r="FE112" i="23917"/>
  <c r="FE155" i="23917"/>
  <c r="FI383" i="23917"/>
  <c r="FI349" i="23917"/>
  <c r="FI313" i="23917"/>
  <c r="FI237" i="23917"/>
  <c r="FI278" i="23917"/>
  <c r="FI195" i="23917"/>
  <c r="FI112" i="23917"/>
  <c r="FI155" i="23917"/>
  <c r="FM383" i="23917"/>
  <c r="FM349" i="23917"/>
  <c r="FM313" i="23917"/>
  <c r="FM237" i="23917"/>
  <c r="FM278" i="23917"/>
  <c r="FM195" i="23917"/>
  <c r="FM112" i="23917"/>
  <c r="FM155" i="23917"/>
  <c r="FQ383" i="23917"/>
  <c r="FQ349" i="23917"/>
  <c r="FQ313" i="23917"/>
  <c r="FQ278" i="23917"/>
  <c r="FQ237" i="23917"/>
  <c r="FQ195" i="23917"/>
  <c r="FQ112" i="23917"/>
  <c r="FQ155" i="23917"/>
  <c r="FU383" i="23917"/>
  <c r="FU349" i="23917"/>
  <c r="FU313" i="23917"/>
  <c r="FU237" i="23917"/>
  <c r="FU278" i="23917"/>
  <c r="FU195" i="23917"/>
  <c r="FU112" i="23917"/>
  <c r="FU155" i="23917"/>
  <c r="FY383" i="23917"/>
  <c r="FY349" i="23917"/>
  <c r="FY313" i="23917"/>
  <c r="FY237" i="23917"/>
  <c r="FY278" i="23917"/>
  <c r="FY195" i="23917"/>
  <c r="FY112" i="23917"/>
  <c r="FY155" i="23917"/>
  <c r="E110" i="23917"/>
  <c r="U110" i="23917"/>
  <c r="AK110" i="23917"/>
  <c r="BA110" i="23917"/>
  <c r="BQ110" i="23917"/>
  <c r="CG110" i="23917"/>
  <c r="CW110" i="23917"/>
  <c r="DM110" i="23917"/>
  <c r="EC110" i="23917"/>
  <c r="C382" i="23917"/>
  <c r="C348" i="23917"/>
  <c r="C312" i="23917"/>
  <c r="C236" i="23917"/>
  <c r="C277" i="23917"/>
  <c r="C194" i="23917"/>
  <c r="C154" i="23917"/>
  <c r="C111" i="23917"/>
  <c r="S382" i="23917"/>
  <c r="S348" i="23917"/>
  <c r="S312" i="23917"/>
  <c r="S236" i="23917"/>
  <c r="S277" i="23917"/>
  <c r="S194" i="23917"/>
  <c r="S154" i="23917"/>
  <c r="S111" i="23917"/>
  <c r="AI382" i="23917"/>
  <c r="AI348" i="23917"/>
  <c r="AI312" i="23917"/>
  <c r="AI236" i="23917"/>
  <c r="AI277" i="23917"/>
  <c r="AI194" i="23917"/>
  <c r="AI154" i="23917"/>
  <c r="AI111" i="23917"/>
  <c r="AU382" i="23917"/>
  <c r="AU348" i="23917"/>
  <c r="AU312" i="23917"/>
  <c r="AU236" i="23917"/>
  <c r="AU277" i="23917"/>
  <c r="AU194" i="23917"/>
  <c r="AU154" i="23917"/>
  <c r="AU111" i="23917"/>
  <c r="BO382" i="23917"/>
  <c r="BO348" i="23917"/>
  <c r="BO312" i="23917"/>
  <c r="BO236" i="23917"/>
  <c r="BO277" i="23917"/>
  <c r="BO194" i="23917"/>
  <c r="BO154" i="23917"/>
  <c r="BO111" i="23917"/>
  <c r="CE382" i="23917"/>
  <c r="CE348" i="23917"/>
  <c r="CE312" i="23917"/>
  <c r="CE236" i="23917"/>
  <c r="CE277" i="23917"/>
  <c r="CE194" i="23917"/>
  <c r="CE154" i="23917"/>
  <c r="CE111" i="23917"/>
  <c r="CQ382" i="23917"/>
  <c r="CQ348" i="23917"/>
  <c r="CQ312" i="23917"/>
  <c r="CQ236" i="23917"/>
  <c r="CQ277" i="23917"/>
  <c r="CQ194" i="23917"/>
  <c r="CQ154" i="23917"/>
  <c r="CQ111" i="23917"/>
  <c r="DG382" i="23917"/>
  <c r="DG348" i="23917"/>
  <c r="DG312" i="23917"/>
  <c r="DG236" i="23917"/>
  <c r="DG277" i="23917"/>
  <c r="DG194" i="23917"/>
  <c r="DG154" i="23917"/>
  <c r="DG111" i="23917"/>
  <c r="DW382" i="23917"/>
  <c r="DW348" i="23917"/>
  <c r="DW312" i="23917"/>
  <c r="DW236" i="23917"/>
  <c r="DW277" i="23917"/>
  <c r="DW194" i="23917"/>
  <c r="DW154" i="23917"/>
  <c r="DW111" i="23917"/>
  <c r="EN382" i="23917"/>
  <c r="EN348" i="23917"/>
  <c r="EN312" i="23917"/>
  <c r="EN236" i="23917"/>
  <c r="EN277" i="23917"/>
  <c r="EN194" i="23917"/>
  <c r="EN154" i="23917"/>
  <c r="EN111" i="23917"/>
  <c r="FL382" i="23917"/>
  <c r="FL348" i="23917"/>
  <c r="FL312" i="23917"/>
  <c r="FL236" i="23917"/>
  <c r="FL277" i="23917"/>
  <c r="FL194" i="23917"/>
  <c r="FL154" i="23917"/>
  <c r="FL111" i="23917"/>
  <c r="C383" i="23917"/>
  <c r="C349" i="23917"/>
  <c r="C313" i="23917"/>
  <c r="C278" i="23917"/>
  <c r="C195" i="23917"/>
  <c r="C237" i="23917"/>
  <c r="C155" i="23917"/>
  <c r="C112" i="23917"/>
  <c r="O383" i="23917"/>
  <c r="O349" i="23917"/>
  <c r="O313" i="23917"/>
  <c r="O278" i="23917"/>
  <c r="O237" i="23917"/>
  <c r="O195" i="23917"/>
  <c r="O155" i="23917"/>
  <c r="O112" i="23917"/>
  <c r="AE383" i="23917"/>
  <c r="AE349" i="23917"/>
  <c r="AE313" i="23917"/>
  <c r="AE278" i="23917"/>
  <c r="AE237" i="23917"/>
  <c r="AE195" i="23917"/>
  <c r="AE155" i="23917"/>
  <c r="AE112" i="23917"/>
  <c r="AQ383" i="23917"/>
  <c r="AQ349" i="23917"/>
  <c r="AQ313" i="23917"/>
  <c r="AQ278" i="23917"/>
  <c r="AQ195" i="23917"/>
  <c r="AQ237" i="23917"/>
  <c r="AQ155" i="23917"/>
  <c r="AQ112" i="23917"/>
  <c r="BC383" i="23917"/>
  <c r="BC349" i="23917"/>
  <c r="BC313" i="23917"/>
  <c r="BC278" i="23917"/>
  <c r="BC237" i="23917"/>
  <c r="BC195" i="23917"/>
  <c r="BC155" i="23917"/>
  <c r="BC112" i="23917"/>
  <c r="BS383" i="23917"/>
  <c r="BS349" i="23917"/>
  <c r="BS313" i="23917"/>
  <c r="BS278" i="23917"/>
  <c r="BS237" i="23917"/>
  <c r="BS195" i="23917"/>
  <c r="BS155" i="23917"/>
  <c r="BS112" i="23917"/>
  <c r="CI383" i="23917"/>
  <c r="CI349" i="23917"/>
  <c r="CI313" i="23917"/>
  <c r="CI278" i="23917"/>
  <c r="CI237" i="23917"/>
  <c r="CI195" i="23917"/>
  <c r="CI155" i="23917"/>
  <c r="CI112" i="23917"/>
  <c r="CY383" i="23917"/>
  <c r="CY349" i="23917"/>
  <c r="CY313" i="23917"/>
  <c r="CY278" i="23917"/>
  <c r="CY237" i="23917"/>
  <c r="CY195" i="23917"/>
  <c r="CY155" i="23917"/>
  <c r="CY112" i="23917"/>
  <c r="DO383" i="23917"/>
  <c r="DO349" i="23917"/>
  <c r="DO313" i="23917"/>
  <c r="DO278" i="23917"/>
  <c r="DO237" i="23917"/>
  <c r="DO195" i="23917"/>
  <c r="DO155" i="23917"/>
  <c r="DO112" i="23917"/>
  <c r="EE383" i="23917"/>
  <c r="EE349" i="23917"/>
  <c r="EE313" i="23917"/>
  <c r="EE278" i="23917"/>
  <c r="EE237" i="23917"/>
  <c r="EE195" i="23917"/>
  <c r="EE155" i="23917"/>
  <c r="EE112" i="23917"/>
  <c r="EV383" i="23917"/>
  <c r="EV349" i="23917"/>
  <c r="EV313" i="23917"/>
  <c r="EV278" i="23917"/>
  <c r="EV237" i="23917"/>
  <c r="EV195" i="23917"/>
  <c r="EV155" i="23917"/>
  <c r="EV112" i="23917"/>
  <c r="FT383" i="23917"/>
  <c r="FT349" i="23917"/>
  <c r="FT313" i="23917"/>
  <c r="FT278" i="23917"/>
  <c r="FT237" i="23917"/>
  <c r="FT195" i="23917"/>
  <c r="FT155" i="23917"/>
  <c r="FT112" i="23917"/>
  <c r="E382" i="23917"/>
  <c r="E348" i="23917"/>
  <c r="E312" i="23917"/>
  <c r="E277" i="23917"/>
  <c r="E194" i="23917"/>
  <c r="E236" i="23917"/>
  <c r="E111" i="23917"/>
  <c r="E154" i="23917"/>
  <c r="I382" i="23917"/>
  <c r="I348" i="23917"/>
  <c r="I312" i="23917"/>
  <c r="I277" i="23917"/>
  <c r="I236" i="23917"/>
  <c r="I194" i="23917"/>
  <c r="I111" i="23917"/>
  <c r="I154" i="23917"/>
  <c r="M382" i="23917"/>
  <c r="M348" i="23917"/>
  <c r="M312" i="23917"/>
  <c r="M277" i="23917"/>
  <c r="M194" i="23917"/>
  <c r="M236" i="23917"/>
  <c r="M111" i="23917"/>
  <c r="M154" i="23917"/>
  <c r="Q382" i="23917"/>
  <c r="Q348" i="23917"/>
  <c r="Q312" i="23917"/>
  <c r="Q277" i="23917"/>
  <c r="Q194" i="23917"/>
  <c r="Q236" i="23917"/>
  <c r="Q111" i="23917"/>
  <c r="Q154" i="23917"/>
  <c r="U382" i="23917"/>
  <c r="U348" i="23917"/>
  <c r="U312" i="23917"/>
  <c r="U277" i="23917"/>
  <c r="U194" i="23917"/>
  <c r="U236" i="23917"/>
  <c r="U111" i="23917"/>
  <c r="U154" i="23917"/>
  <c r="Y382" i="23917"/>
  <c r="Y348" i="23917"/>
  <c r="Y312" i="23917"/>
  <c r="Y277" i="23917"/>
  <c r="Y236" i="23917"/>
  <c r="Y194" i="23917"/>
  <c r="Y111" i="23917"/>
  <c r="Y154" i="23917"/>
  <c r="AC382" i="23917"/>
  <c r="AC348" i="23917"/>
  <c r="AC312" i="23917"/>
  <c r="AC277" i="23917"/>
  <c r="AC194" i="23917"/>
  <c r="AC236" i="23917"/>
  <c r="AC111" i="23917"/>
  <c r="AC154" i="23917"/>
  <c r="AG382" i="23917"/>
  <c r="AG348" i="23917"/>
  <c r="AG312" i="23917"/>
  <c r="AG277" i="23917"/>
  <c r="AG194" i="23917"/>
  <c r="AG236" i="23917"/>
  <c r="AG111" i="23917"/>
  <c r="AG154" i="23917"/>
  <c r="AK382" i="23917"/>
  <c r="AK348" i="23917"/>
  <c r="AK312" i="23917"/>
  <c r="AK277" i="23917"/>
  <c r="AK194" i="23917"/>
  <c r="AK236" i="23917"/>
  <c r="AK111" i="23917"/>
  <c r="AK154" i="23917"/>
  <c r="AO382" i="23917"/>
  <c r="AO348" i="23917"/>
  <c r="AO312" i="23917"/>
  <c r="AO277" i="23917"/>
  <c r="AO236" i="23917"/>
  <c r="AO194" i="23917"/>
  <c r="AO111" i="23917"/>
  <c r="AO154" i="23917"/>
  <c r="AS382" i="23917"/>
  <c r="AS348" i="23917"/>
  <c r="AS312" i="23917"/>
  <c r="AS277" i="23917"/>
  <c r="AS194" i="23917"/>
  <c r="AS236" i="23917"/>
  <c r="AS111" i="23917"/>
  <c r="AS154" i="23917"/>
  <c r="AW382" i="23917"/>
  <c r="AW348" i="23917"/>
  <c r="AW312" i="23917"/>
  <c r="AW277" i="23917"/>
  <c r="AW194" i="23917"/>
  <c r="AW236" i="23917"/>
  <c r="AW111" i="23917"/>
  <c r="AW154" i="23917"/>
  <c r="BA382" i="23917"/>
  <c r="BA348" i="23917"/>
  <c r="BA312" i="23917"/>
  <c r="BA277" i="23917"/>
  <c r="BA236" i="23917"/>
  <c r="BA194" i="23917"/>
  <c r="BA111" i="23917"/>
  <c r="BA154" i="23917"/>
  <c r="BE382" i="23917"/>
  <c r="BE348" i="23917"/>
  <c r="BE312" i="23917"/>
  <c r="BE277" i="23917"/>
  <c r="BE194" i="23917"/>
  <c r="BE236" i="23917"/>
  <c r="BE111" i="23917"/>
  <c r="BE154" i="23917"/>
  <c r="BI382" i="23917"/>
  <c r="BI348" i="23917"/>
  <c r="BI312" i="23917"/>
  <c r="BI277" i="23917"/>
  <c r="BI236" i="23917"/>
  <c r="BI194" i="23917"/>
  <c r="BI111" i="23917"/>
  <c r="BI154" i="23917"/>
  <c r="BM382" i="23917"/>
  <c r="BM348" i="23917"/>
  <c r="BM312" i="23917"/>
  <c r="BM277" i="23917"/>
  <c r="BM194" i="23917"/>
  <c r="BM236" i="23917"/>
  <c r="BM111" i="23917"/>
  <c r="BM154" i="23917"/>
  <c r="BQ382" i="23917"/>
  <c r="BQ348" i="23917"/>
  <c r="BQ312" i="23917"/>
  <c r="BQ277" i="23917"/>
  <c r="BQ236" i="23917"/>
  <c r="BQ194" i="23917"/>
  <c r="BQ111" i="23917"/>
  <c r="BQ154" i="23917"/>
  <c r="BU382" i="23917"/>
  <c r="BU348" i="23917"/>
  <c r="BU312" i="23917"/>
  <c r="BU277" i="23917"/>
  <c r="BU194" i="23917"/>
  <c r="BU236" i="23917"/>
  <c r="BU111" i="23917"/>
  <c r="BU154" i="23917"/>
  <c r="BY382" i="23917"/>
  <c r="BY348" i="23917"/>
  <c r="BY312" i="23917"/>
  <c r="BY277" i="23917"/>
  <c r="BY236" i="23917"/>
  <c r="BY194" i="23917"/>
  <c r="BY111" i="23917"/>
  <c r="BY154" i="23917"/>
  <c r="CC382" i="23917"/>
  <c r="CC348" i="23917"/>
  <c r="CC312" i="23917"/>
  <c r="CC277" i="23917"/>
  <c r="CC194" i="23917"/>
  <c r="CC236" i="23917"/>
  <c r="CC111" i="23917"/>
  <c r="CC154" i="23917"/>
  <c r="CG382" i="23917"/>
  <c r="CG348" i="23917"/>
  <c r="CG312" i="23917"/>
  <c r="CG277" i="23917"/>
  <c r="CG236" i="23917"/>
  <c r="CG194" i="23917"/>
  <c r="CG111" i="23917"/>
  <c r="CG154" i="23917"/>
  <c r="CK382" i="23917"/>
  <c r="CK348" i="23917"/>
  <c r="CK312" i="23917"/>
  <c r="CK277" i="23917"/>
  <c r="CK194" i="23917"/>
  <c r="CK236" i="23917"/>
  <c r="CK111" i="23917"/>
  <c r="CK154" i="23917"/>
  <c r="CO382" i="23917"/>
  <c r="CO348" i="23917"/>
  <c r="CO312" i="23917"/>
  <c r="CO277" i="23917"/>
  <c r="CO236" i="23917"/>
  <c r="CO194" i="23917"/>
  <c r="CO111" i="23917"/>
  <c r="CO154" i="23917"/>
  <c r="CS382" i="23917"/>
  <c r="CS348" i="23917"/>
  <c r="CS312" i="23917"/>
  <c r="CS277" i="23917"/>
  <c r="CS194" i="23917"/>
  <c r="CS236" i="23917"/>
  <c r="CS111" i="23917"/>
  <c r="CS154" i="23917"/>
  <c r="CW382" i="23917"/>
  <c r="CW348" i="23917"/>
  <c r="CW312" i="23917"/>
  <c r="CW277" i="23917"/>
  <c r="CW236" i="23917"/>
  <c r="CW194" i="23917"/>
  <c r="CW111" i="23917"/>
  <c r="CW154" i="23917"/>
  <c r="DA382" i="23917"/>
  <c r="DA348" i="23917"/>
  <c r="DA312" i="23917"/>
  <c r="DA277" i="23917"/>
  <c r="DA194" i="23917"/>
  <c r="DA236" i="23917"/>
  <c r="DA111" i="23917"/>
  <c r="DA154" i="23917"/>
  <c r="DE382" i="23917"/>
  <c r="DE348" i="23917"/>
  <c r="DE312" i="23917"/>
  <c r="DE277" i="23917"/>
  <c r="DE236" i="23917"/>
  <c r="DE194" i="23917"/>
  <c r="DE111" i="23917"/>
  <c r="DE154" i="23917"/>
  <c r="DI382" i="23917"/>
  <c r="DI348" i="23917"/>
  <c r="DI312" i="23917"/>
  <c r="DI277" i="23917"/>
  <c r="DI194" i="23917"/>
  <c r="DI236" i="23917"/>
  <c r="DI111" i="23917"/>
  <c r="DI154" i="23917"/>
  <c r="DM382" i="23917"/>
  <c r="DM348" i="23917"/>
  <c r="DM312" i="23917"/>
  <c r="DM277" i="23917"/>
  <c r="DM236" i="23917"/>
  <c r="DM194" i="23917"/>
  <c r="DM111" i="23917"/>
  <c r="DM154" i="23917"/>
  <c r="DQ382" i="23917"/>
  <c r="DQ348" i="23917"/>
  <c r="DQ312" i="23917"/>
  <c r="DQ277" i="23917"/>
  <c r="DQ194" i="23917"/>
  <c r="DQ236" i="23917"/>
  <c r="DQ111" i="23917"/>
  <c r="DQ154" i="23917"/>
  <c r="DU382" i="23917"/>
  <c r="DU348" i="23917"/>
  <c r="DU312" i="23917"/>
  <c r="DU277" i="23917"/>
  <c r="DU236" i="23917"/>
  <c r="DU194" i="23917"/>
  <c r="DU111" i="23917"/>
  <c r="DU154" i="23917"/>
  <c r="DY382" i="23917"/>
  <c r="DY348" i="23917"/>
  <c r="DY312" i="23917"/>
  <c r="DY277" i="23917"/>
  <c r="DY194" i="23917"/>
  <c r="DY236" i="23917"/>
  <c r="DY111" i="23917"/>
  <c r="DY154" i="23917"/>
  <c r="EC382" i="23917"/>
  <c r="EC348" i="23917"/>
  <c r="EC312" i="23917"/>
  <c r="EC277" i="23917"/>
  <c r="EC236" i="23917"/>
  <c r="EC194" i="23917"/>
  <c r="EC111" i="23917"/>
  <c r="EC154" i="23917"/>
  <c r="EG382" i="23917"/>
  <c r="EG348" i="23917"/>
  <c r="EG312" i="23917"/>
  <c r="EG277" i="23917"/>
  <c r="EG194" i="23917"/>
  <c r="EG236" i="23917"/>
  <c r="EG111" i="23917"/>
  <c r="EG154" i="23917"/>
  <c r="EL382" i="23917"/>
  <c r="EL348" i="23917"/>
  <c r="EL312" i="23917"/>
  <c r="EL277" i="23917"/>
  <c r="EL236" i="23917"/>
  <c r="EL194" i="23917"/>
  <c r="EL111" i="23917"/>
  <c r="EL154" i="23917"/>
  <c r="EP382" i="23917"/>
  <c r="EP348" i="23917"/>
  <c r="EP312" i="23917"/>
  <c r="EP277" i="23917"/>
  <c r="EP194" i="23917"/>
  <c r="EP236" i="23917"/>
  <c r="EP111" i="23917"/>
  <c r="EP154" i="23917"/>
  <c r="ET382" i="23917"/>
  <c r="ET348" i="23917"/>
  <c r="ET312" i="23917"/>
  <c r="ET277" i="23917"/>
  <c r="ET236" i="23917"/>
  <c r="ET194" i="23917"/>
  <c r="ET111" i="23917"/>
  <c r="ET154" i="23917"/>
  <c r="EX382" i="23917"/>
  <c r="EX348" i="23917"/>
  <c r="EX312" i="23917"/>
  <c r="EX277" i="23917"/>
  <c r="EX194" i="23917"/>
  <c r="EX236" i="23917"/>
  <c r="EX111" i="23917"/>
  <c r="EX154" i="23917"/>
  <c r="FB382" i="23917"/>
  <c r="FB348" i="23917"/>
  <c r="FB312" i="23917"/>
  <c r="FB277" i="23917"/>
  <c r="FB236" i="23917"/>
  <c r="FB194" i="23917"/>
  <c r="FB111" i="23917"/>
  <c r="FB154" i="23917"/>
  <c r="FF382" i="23917"/>
  <c r="FF348" i="23917"/>
  <c r="FF312" i="23917"/>
  <c r="FF277" i="23917"/>
  <c r="FF194" i="23917"/>
  <c r="FF236" i="23917"/>
  <c r="FF111" i="23917"/>
  <c r="FF154" i="23917"/>
  <c r="FJ382" i="23917"/>
  <c r="FJ348" i="23917"/>
  <c r="FJ312" i="23917"/>
  <c r="FJ277" i="23917"/>
  <c r="FJ236" i="23917"/>
  <c r="FJ194" i="23917"/>
  <c r="FJ111" i="23917"/>
  <c r="FJ154" i="23917"/>
  <c r="FN382" i="23917"/>
  <c r="FN348" i="23917"/>
  <c r="FN312" i="23917"/>
  <c r="FN277" i="23917"/>
  <c r="FN194" i="23917"/>
  <c r="FN236" i="23917"/>
  <c r="FN111" i="23917"/>
  <c r="FN154" i="23917"/>
  <c r="FR382" i="23917"/>
  <c r="FR236" i="23917"/>
  <c r="FV382" i="23917"/>
  <c r="FV348" i="23917"/>
  <c r="FV312" i="23917"/>
  <c r="FV277" i="23917"/>
  <c r="FV194" i="23917"/>
  <c r="FV236" i="23917"/>
  <c r="FV111" i="23917"/>
  <c r="FV154" i="23917"/>
  <c r="FZ382" i="23917"/>
  <c r="FZ348" i="23917"/>
  <c r="FZ312" i="23917"/>
  <c r="FZ277" i="23917"/>
  <c r="FZ236" i="23917"/>
  <c r="FZ194" i="23917"/>
  <c r="FZ111" i="23917"/>
  <c r="FZ154" i="23917"/>
  <c r="E383" i="23917"/>
  <c r="E349" i="23917"/>
  <c r="E313" i="23917"/>
  <c r="E278" i="23917"/>
  <c r="E237" i="23917"/>
  <c r="E195" i="23917"/>
  <c r="E112" i="23917"/>
  <c r="E155" i="23917"/>
  <c r="I383" i="23917"/>
  <c r="I349" i="23917"/>
  <c r="I313" i="23917"/>
  <c r="I278" i="23917"/>
  <c r="I237" i="23917"/>
  <c r="I195" i="23917"/>
  <c r="I112" i="23917"/>
  <c r="I155" i="23917"/>
  <c r="M383" i="23917"/>
  <c r="M349" i="23917"/>
  <c r="M313" i="23917"/>
  <c r="M278" i="23917"/>
  <c r="M237" i="23917"/>
  <c r="M195" i="23917"/>
  <c r="M112" i="23917"/>
  <c r="M155" i="23917"/>
  <c r="Q383" i="23917"/>
  <c r="Q349" i="23917"/>
  <c r="Q313" i="23917"/>
  <c r="Q278" i="23917"/>
  <c r="Q237" i="23917"/>
  <c r="Q195" i="23917"/>
  <c r="Q112" i="23917"/>
  <c r="Q155" i="23917"/>
  <c r="U383" i="23917"/>
  <c r="U349" i="23917"/>
  <c r="U313" i="23917"/>
  <c r="U278" i="23917"/>
  <c r="U237" i="23917"/>
  <c r="U195" i="23917"/>
  <c r="U112" i="23917"/>
  <c r="U155" i="23917"/>
  <c r="Y383" i="23917"/>
  <c r="Y349" i="23917"/>
  <c r="Y313" i="23917"/>
  <c r="Y278" i="23917"/>
  <c r="Y237" i="23917"/>
  <c r="Y195" i="23917"/>
  <c r="Y112" i="23917"/>
  <c r="Y155" i="23917"/>
  <c r="AC383" i="23917"/>
  <c r="AC349" i="23917"/>
  <c r="AC313" i="23917"/>
  <c r="AC278" i="23917"/>
  <c r="AC237" i="23917"/>
  <c r="AC195" i="23917"/>
  <c r="AC112" i="23917"/>
  <c r="AC155" i="23917"/>
  <c r="AG383" i="23917"/>
  <c r="AG349" i="23917"/>
  <c r="AG313" i="23917"/>
  <c r="AG278" i="23917"/>
  <c r="AG237" i="23917"/>
  <c r="AG195" i="23917"/>
  <c r="AG112" i="23917"/>
  <c r="AG155" i="23917"/>
  <c r="AK383" i="23917"/>
  <c r="AK349" i="23917"/>
  <c r="AK313" i="23917"/>
  <c r="AK278" i="23917"/>
  <c r="AK237" i="23917"/>
  <c r="AK195" i="23917"/>
  <c r="AK112" i="23917"/>
  <c r="AK155" i="23917"/>
  <c r="AO383" i="23917"/>
  <c r="AO349" i="23917"/>
  <c r="AO313" i="23917"/>
  <c r="AO278" i="23917"/>
  <c r="AO237" i="23917"/>
  <c r="AO195" i="23917"/>
  <c r="AO112" i="23917"/>
  <c r="AO155" i="23917"/>
  <c r="AS383" i="23917"/>
  <c r="AS349" i="23917"/>
  <c r="AS313" i="23917"/>
  <c r="AS278" i="23917"/>
  <c r="AS237" i="23917"/>
  <c r="AS195" i="23917"/>
  <c r="AS112" i="23917"/>
  <c r="AS155" i="23917"/>
  <c r="AW383" i="23917"/>
  <c r="AW349" i="23917"/>
  <c r="AW313" i="23917"/>
  <c r="AW278" i="23917"/>
  <c r="AW237" i="23917"/>
  <c r="AW195" i="23917"/>
  <c r="AW112" i="23917"/>
  <c r="AW155" i="23917"/>
  <c r="BA383" i="23917"/>
  <c r="BA349" i="23917"/>
  <c r="BA313" i="23917"/>
  <c r="BA278" i="23917"/>
  <c r="BA237" i="23917"/>
  <c r="BA195" i="23917"/>
  <c r="BA112" i="23917"/>
  <c r="BA155" i="23917"/>
  <c r="BE383" i="23917"/>
  <c r="BE349" i="23917"/>
  <c r="BE313" i="23917"/>
  <c r="BE278" i="23917"/>
  <c r="BE237" i="23917"/>
  <c r="BE195" i="23917"/>
  <c r="BE112" i="23917"/>
  <c r="BE155" i="23917"/>
  <c r="BI383" i="23917"/>
  <c r="BI349" i="23917"/>
  <c r="BI313" i="23917"/>
  <c r="BI278" i="23917"/>
  <c r="BI237" i="23917"/>
  <c r="BI195" i="23917"/>
  <c r="BI112" i="23917"/>
  <c r="BI155" i="23917"/>
  <c r="BM383" i="23917"/>
  <c r="BM349" i="23917"/>
  <c r="BM313" i="23917"/>
  <c r="BM278" i="23917"/>
  <c r="BM237" i="23917"/>
  <c r="BM195" i="23917"/>
  <c r="BM112" i="23917"/>
  <c r="BM155" i="23917"/>
  <c r="BQ383" i="23917"/>
  <c r="BQ349" i="23917"/>
  <c r="BQ313" i="23917"/>
  <c r="BQ278" i="23917"/>
  <c r="BQ237" i="23917"/>
  <c r="BQ195" i="23917"/>
  <c r="BQ112" i="23917"/>
  <c r="BQ155" i="23917"/>
  <c r="BU383" i="23917"/>
  <c r="BU349" i="23917"/>
  <c r="BU313" i="23917"/>
  <c r="BU278" i="23917"/>
  <c r="BU237" i="23917"/>
  <c r="BU195" i="23917"/>
  <c r="BU112" i="23917"/>
  <c r="BU155" i="23917"/>
  <c r="BY383" i="23917"/>
  <c r="BY349" i="23917"/>
  <c r="BY313" i="23917"/>
  <c r="BY278" i="23917"/>
  <c r="BY237" i="23917"/>
  <c r="BY195" i="23917"/>
  <c r="BY112" i="23917"/>
  <c r="BY155" i="23917"/>
  <c r="CC383" i="23917"/>
  <c r="CC349" i="23917"/>
  <c r="CC313" i="23917"/>
  <c r="CC278" i="23917"/>
  <c r="CC237" i="23917"/>
  <c r="CC195" i="23917"/>
  <c r="CC112" i="23917"/>
  <c r="CC155" i="23917"/>
  <c r="CG383" i="23917"/>
  <c r="CG349" i="23917"/>
  <c r="CG313" i="23917"/>
  <c r="CG278" i="23917"/>
  <c r="CG237" i="23917"/>
  <c r="CG195" i="23917"/>
  <c r="CG112" i="23917"/>
  <c r="CG155" i="23917"/>
  <c r="CK383" i="23917"/>
  <c r="CK349" i="23917"/>
  <c r="CK313" i="23917"/>
  <c r="CK278" i="23917"/>
  <c r="CK237" i="23917"/>
  <c r="CK195" i="23917"/>
  <c r="CK112" i="23917"/>
  <c r="CK155" i="23917"/>
  <c r="CO383" i="23917"/>
  <c r="CO349" i="23917"/>
  <c r="CO313" i="23917"/>
  <c r="CO278" i="23917"/>
  <c r="CO237" i="23917"/>
  <c r="CO195" i="23917"/>
  <c r="CO112" i="23917"/>
  <c r="CO155" i="23917"/>
  <c r="CS383" i="23917"/>
  <c r="CS349" i="23917"/>
  <c r="CS313" i="23917"/>
  <c r="CS278" i="23917"/>
  <c r="CS237" i="23917"/>
  <c r="CS195" i="23917"/>
  <c r="CS112" i="23917"/>
  <c r="CS155" i="23917"/>
  <c r="CW383" i="23917"/>
  <c r="CW349" i="23917"/>
  <c r="CW313" i="23917"/>
  <c r="CW278" i="23917"/>
  <c r="CW237" i="23917"/>
  <c r="CW195" i="23917"/>
  <c r="CW112" i="23917"/>
  <c r="CW155" i="23917"/>
  <c r="DA383" i="23917"/>
  <c r="DA349" i="23917"/>
  <c r="DA313" i="23917"/>
  <c r="DA278" i="23917"/>
  <c r="DA237" i="23917"/>
  <c r="DA195" i="23917"/>
  <c r="DA112" i="23917"/>
  <c r="DA155" i="23917"/>
  <c r="DE383" i="23917"/>
  <c r="DE349" i="23917"/>
  <c r="DE313" i="23917"/>
  <c r="DE278" i="23917"/>
  <c r="DE237" i="23917"/>
  <c r="DE195" i="23917"/>
  <c r="DE112" i="23917"/>
  <c r="DE155" i="23917"/>
  <c r="DI383" i="23917"/>
  <c r="DI349" i="23917"/>
  <c r="DI313" i="23917"/>
  <c r="DI278" i="23917"/>
  <c r="DI237" i="23917"/>
  <c r="DI195" i="23917"/>
  <c r="DI112" i="23917"/>
  <c r="DI155" i="23917"/>
  <c r="DM383" i="23917"/>
  <c r="DM349" i="23917"/>
  <c r="DM313" i="23917"/>
  <c r="DM278" i="23917"/>
  <c r="DM237" i="23917"/>
  <c r="DM195" i="23917"/>
  <c r="DM112" i="23917"/>
  <c r="DM155" i="23917"/>
  <c r="DQ383" i="23917"/>
  <c r="DQ349" i="23917"/>
  <c r="DQ313" i="23917"/>
  <c r="DQ278" i="23917"/>
  <c r="DQ237" i="23917"/>
  <c r="DQ195" i="23917"/>
  <c r="DQ112" i="23917"/>
  <c r="DQ155" i="23917"/>
  <c r="DU383" i="23917"/>
  <c r="DU349" i="23917"/>
  <c r="DU313" i="23917"/>
  <c r="DU278" i="23917"/>
  <c r="DU237" i="23917"/>
  <c r="DU195" i="23917"/>
  <c r="DU112" i="23917"/>
  <c r="DU155" i="23917"/>
  <c r="DY383" i="23917"/>
  <c r="DY349" i="23917"/>
  <c r="DY313" i="23917"/>
  <c r="DY278" i="23917"/>
  <c r="DY237" i="23917"/>
  <c r="DY195" i="23917"/>
  <c r="DY112" i="23917"/>
  <c r="DY155" i="23917"/>
  <c r="EC383" i="23917"/>
  <c r="EC349" i="23917"/>
  <c r="EC313" i="23917"/>
  <c r="EC278" i="23917"/>
  <c r="EC237" i="23917"/>
  <c r="EC195" i="23917"/>
  <c r="EC112" i="23917"/>
  <c r="EC155" i="23917"/>
  <c r="EG383" i="23917"/>
  <c r="EG349" i="23917"/>
  <c r="EG313" i="23917"/>
  <c r="EG278" i="23917"/>
  <c r="EG237" i="23917"/>
  <c r="EG195" i="23917"/>
  <c r="EG112" i="23917"/>
  <c r="EG155" i="23917"/>
  <c r="EL383" i="23917"/>
  <c r="EL349" i="23917"/>
  <c r="EL313" i="23917"/>
  <c r="EL278" i="23917"/>
  <c r="EL237" i="23917"/>
  <c r="EL195" i="23917"/>
  <c r="EL112" i="23917"/>
  <c r="EL155" i="23917"/>
  <c r="EP383" i="23917"/>
  <c r="EP349" i="23917"/>
  <c r="EP313" i="23917"/>
  <c r="EP278" i="23917"/>
  <c r="EP237" i="23917"/>
  <c r="EP195" i="23917"/>
  <c r="EP112" i="23917"/>
  <c r="EP155" i="23917"/>
  <c r="ET383" i="23917"/>
  <c r="ET349" i="23917"/>
  <c r="ET313" i="23917"/>
  <c r="ET278" i="23917"/>
  <c r="ET237" i="23917"/>
  <c r="ET195" i="23917"/>
  <c r="ET112" i="23917"/>
  <c r="ET155" i="23917"/>
  <c r="EX383" i="23917"/>
  <c r="EX349" i="23917"/>
  <c r="EX313" i="23917"/>
  <c r="EX278" i="23917"/>
  <c r="EX237" i="23917"/>
  <c r="EX195" i="23917"/>
  <c r="EX112" i="23917"/>
  <c r="EX155" i="23917"/>
  <c r="FB383" i="23917"/>
  <c r="FB349" i="23917"/>
  <c r="FB313" i="23917"/>
  <c r="FB278" i="23917"/>
  <c r="FB237" i="23917"/>
  <c r="FB195" i="23917"/>
  <c r="FB112" i="23917"/>
  <c r="FB155" i="23917"/>
  <c r="FF383" i="23917"/>
  <c r="FF349" i="23917"/>
  <c r="FF313" i="23917"/>
  <c r="FF278" i="23917"/>
  <c r="FF237" i="23917"/>
  <c r="FF195" i="23917"/>
  <c r="FF112" i="23917"/>
  <c r="FF155" i="23917"/>
  <c r="FJ383" i="23917"/>
  <c r="FJ349" i="23917"/>
  <c r="FJ313" i="23917"/>
  <c r="FJ278" i="23917"/>
  <c r="FJ237" i="23917"/>
  <c r="FJ195" i="23917"/>
  <c r="FJ112" i="23917"/>
  <c r="FJ155" i="23917"/>
  <c r="FN383" i="23917"/>
  <c r="FN349" i="23917"/>
  <c r="FN313" i="23917"/>
  <c r="FN278" i="23917"/>
  <c r="FN237" i="23917"/>
  <c r="FN195" i="23917"/>
  <c r="FN112" i="23917"/>
  <c r="FN155" i="23917"/>
  <c r="FR383" i="23917"/>
  <c r="FR349" i="23917"/>
  <c r="FR313" i="23917"/>
  <c r="FR278" i="23917"/>
  <c r="FR237" i="23917"/>
  <c r="FR195" i="23917"/>
  <c r="FR112" i="23917"/>
  <c r="FR155" i="23917"/>
  <c r="FV383" i="23917"/>
  <c r="FV349" i="23917"/>
  <c r="FV313" i="23917"/>
  <c r="FV278" i="23917"/>
  <c r="FV237" i="23917"/>
  <c r="FV195" i="23917"/>
  <c r="FV112" i="23917"/>
  <c r="FV155" i="23917"/>
  <c r="FZ383" i="23917"/>
  <c r="FZ349" i="23917"/>
  <c r="FZ313" i="23917"/>
  <c r="FZ278" i="23917"/>
  <c r="FZ237" i="23917"/>
  <c r="FZ195" i="23917"/>
  <c r="FZ112" i="23917"/>
  <c r="FZ155" i="23917"/>
  <c r="C61" i="23917"/>
  <c r="G61" i="23917"/>
  <c r="O61" i="23917"/>
  <c r="S61" i="23917"/>
  <c r="W61" i="23917"/>
  <c r="AE61" i="23917"/>
  <c r="AI61" i="23917"/>
  <c r="AM61" i="23917"/>
  <c r="AU61" i="23917"/>
  <c r="AY61" i="23917"/>
  <c r="BC61" i="23917"/>
  <c r="BK61" i="23917"/>
  <c r="BO61" i="23917"/>
  <c r="BS61" i="23917"/>
  <c r="CA61" i="23917"/>
  <c r="CE61" i="23917"/>
  <c r="CM61" i="23917"/>
  <c r="CQ61" i="23917"/>
  <c r="CU61" i="23917"/>
  <c r="DC61" i="23917"/>
  <c r="DG61" i="23917"/>
  <c r="DK61" i="23917"/>
  <c r="DO61" i="23917"/>
  <c r="DW61" i="23917"/>
  <c r="EA61" i="23917"/>
  <c r="EE61" i="23917"/>
  <c r="EN61" i="23917"/>
  <c r="ER61" i="23917"/>
  <c r="EV61" i="23917"/>
  <c r="EZ61" i="23917"/>
  <c r="FH61" i="23917"/>
  <c r="FL61" i="23917"/>
  <c r="FP61" i="23917"/>
  <c r="FT61" i="23917"/>
  <c r="C62" i="23917"/>
  <c r="G62" i="23917"/>
  <c r="O62" i="23917"/>
  <c r="S62" i="23917"/>
  <c r="AA62" i="23917"/>
  <c r="AE62" i="23917"/>
  <c r="AI62" i="23917"/>
  <c r="AQ62" i="23917"/>
  <c r="AU62" i="23917"/>
  <c r="AY62" i="23917"/>
  <c r="BC62" i="23917"/>
  <c r="BG62" i="23917"/>
  <c r="BO62" i="23917"/>
  <c r="BS62" i="23917"/>
  <c r="BW62" i="23917"/>
  <c r="CA62" i="23917"/>
  <c r="CI62" i="23917"/>
  <c r="CM62" i="23917"/>
  <c r="CQ62" i="23917"/>
  <c r="CY62" i="23917"/>
  <c r="DC62" i="23917"/>
  <c r="DG62" i="23917"/>
  <c r="DO62" i="23917"/>
  <c r="DS62" i="23917"/>
  <c r="DW62" i="23917"/>
  <c r="EE62" i="23917"/>
  <c r="EJ62" i="23917"/>
  <c r="EN62" i="23917"/>
  <c r="EV62" i="23917"/>
  <c r="EZ62" i="23917"/>
  <c r="FH62" i="23917"/>
  <c r="FL62" i="23917"/>
  <c r="FT62" i="23917"/>
  <c r="FX62" i="23917"/>
  <c r="I110" i="23917"/>
  <c r="Y110" i="23917"/>
  <c r="AO110" i="23917"/>
  <c r="BE110" i="23917"/>
  <c r="BU110" i="23917"/>
  <c r="CK110" i="23917"/>
  <c r="DA110" i="23917"/>
  <c r="DQ110" i="23917"/>
  <c r="EG110" i="23917"/>
  <c r="K382" i="23917"/>
  <c r="K348" i="23917"/>
  <c r="K312" i="23917"/>
  <c r="K236" i="23917"/>
  <c r="K277" i="23917"/>
  <c r="K194" i="23917"/>
  <c r="K154" i="23917"/>
  <c r="K111" i="23917"/>
  <c r="AA382" i="23917"/>
  <c r="AA348" i="23917"/>
  <c r="AA312" i="23917"/>
  <c r="AA236" i="23917"/>
  <c r="AA277" i="23917"/>
  <c r="AA194" i="23917"/>
  <c r="AA154" i="23917"/>
  <c r="AA111" i="23917"/>
  <c r="AQ382" i="23917"/>
  <c r="AQ348" i="23917"/>
  <c r="AQ312" i="23917"/>
  <c r="AQ236" i="23917"/>
  <c r="AQ277" i="23917"/>
  <c r="AQ194" i="23917"/>
  <c r="AQ154" i="23917"/>
  <c r="AQ111" i="23917"/>
  <c r="BG382" i="23917"/>
  <c r="BG348" i="23917"/>
  <c r="BG312" i="23917"/>
  <c r="BG236" i="23917"/>
  <c r="BG277" i="23917"/>
  <c r="BG194" i="23917"/>
  <c r="BG154" i="23917"/>
  <c r="BG111" i="23917"/>
  <c r="BW382" i="23917"/>
  <c r="BW348" i="23917"/>
  <c r="BW312" i="23917"/>
  <c r="BW236" i="23917"/>
  <c r="BW277" i="23917"/>
  <c r="BW194" i="23917"/>
  <c r="BW154" i="23917"/>
  <c r="BW111" i="23917"/>
  <c r="CI382" i="23917"/>
  <c r="CI348" i="23917"/>
  <c r="CI312" i="23917"/>
  <c r="CI236" i="23917"/>
  <c r="CI277" i="23917"/>
  <c r="CI194" i="23917"/>
  <c r="CI154" i="23917"/>
  <c r="CI111" i="23917"/>
  <c r="CY382" i="23917"/>
  <c r="CY348" i="23917"/>
  <c r="CY312" i="23917"/>
  <c r="CY236" i="23917"/>
  <c r="CY277" i="23917"/>
  <c r="CY194" i="23917"/>
  <c r="CY154" i="23917"/>
  <c r="CY111" i="23917"/>
  <c r="DS382" i="23917"/>
  <c r="DS348" i="23917"/>
  <c r="DS312" i="23917"/>
  <c r="DS236" i="23917"/>
  <c r="DS277" i="23917"/>
  <c r="DS194" i="23917"/>
  <c r="DS154" i="23917"/>
  <c r="DS111" i="23917"/>
  <c r="EJ348" i="23917"/>
  <c r="EJ312" i="23917"/>
  <c r="EJ277" i="23917"/>
  <c r="EJ236" i="23917"/>
  <c r="EJ194" i="23917"/>
  <c r="EJ154" i="23917"/>
  <c r="EJ111" i="23917"/>
  <c r="FD382" i="23917"/>
  <c r="FD348" i="23917"/>
  <c r="FD312" i="23917"/>
  <c r="FD236" i="23917"/>
  <c r="FD277" i="23917"/>
  <c r="FD194" i="23917"/>
  <c r="FD154" i="23917"/>
  <c r="FD111" i="23917"/>
  <c r="FX382" i="23917"/>
  <c r="FX348" i="23917"/>
  <c r="FX312" i="23917"/>
  <c r="FX236" i="23917"/>
  <c r="FX277" i="23917"/>
  <c r="FX194" i="23917"/>
  <c r="FX154" i="23917"/>
  <c r="FX111" i="23917"/>
  <c r="K383" i="23917"/>
  <c r="K349" i="23917"/>
  <c r="K313" i="23917"/>
  <c r="K278" i="23917"/>
  <c r="K195" i="23917"/>
  <c r="K237" i="23917"/>
  <c r="K155" i="23917"/>
  <c r="K112" i="23917"/>
  <c r="W383" i="23917"/>
  <c r="W349" i="23917"/>
  <c r="W313" i="23917"/>
  <c r="W278" i="23917"/>
  <c r="W237" i="23917"/>
  <c r="W195" i="23917"/>
  <c r="W155" i="23917"/>
  <c r="W112" i="23917"/>
  <c r="AM383" i="23917"/>
  <c r="AM349" i="23917"/>
  <c r="AM313" i="23917"/>
  <c r="AM278" i="23917"/>
  <c r="AM237" i="23917"/>
  <c r="AM195" i="23917"/>
  <c r="AM155" i="23917"/>
  <c r="AM112" i="23917"/>
  <c r="BK383" i="23917"/>
  <c r="BK349" i="23917"/>
  <c r="BK313" i="23917"/>
  <c r="BK278" i="23917"/>
  <c r="BK237" i="23917"/>
  <c r="BK195" i="23917"/>
  <c r="BK155" i="23917"/>
  <c r="BK112" i="23917"/>
  <c r="CE383" i="23917"/>
  <c r="CE349" i="23917"/>
  <c r="CE313" i="23917"/>
  <c r="CE278" i="23917"/>
  <c r="CE195" i="23917"/>
  <c r="CE237" i="23917"/>
  <c r="CE155" i="23917"/>
  <c r="CE112" i="23917"/>
  <c r="CU383" i="23917"/>
  <c r="CU349" i="23917"/>
  <c r="CU313" i="23917"/>
  <c r="CU278" i="23917"/>
  <c r="CU195" i="23917"/>
  <c r="CU237" i="23917"/>
  <c r="CU155" i="23917"/>
  <c r="CU112" i="23917"/>
  <c r="DK383" i="23917"/>
  <c r="DK349" i="23917"/>
  <c r="DK313" i="23917"/>
  <c r="DK278" i="23917"/>
  <c r="DK195" i="23917"/>
  <c r="DK237" i="23917"/>
  <c r="DK155" i="23917"/>
  <c r="DK112" i="23917"/>
  <c r="EA383" i="23917"/>
  <c r="EA349" i="23917"/>
  <c r="EA313" i="23917"/>
  <c r="EA278" i="23917"/>
  <c r="EA195" i="23917"/>
  <c r="EA237" i="23917"/>
  <c r="EA155" i="23917"/>
  <c r="EA112" i="23917"/>
  <c r="ER383" i="23917"/>
  <c r="ER349" i="23917"/>
  <c r="ER313" i="23917"/>
  <c r="ER278" i="23917"/>
  <c r="ER195" i="23917"/>
  <c r="ER237" i="23917"/>
  <c r="ER155" i="23917"/>
  <c r="ER112" i="23917"/>
  <c r="FD383" i="23917"/>
  <c r="FD349" i="23917"/>
  <c r="FD313" i="23917"/>
  <c r="FD278" i="23917"/>
  <c r="FD237" i="23917"/>
  <c r="FD195" i="23917"/>
  <c r="FD155" i="23917"/>
  <c r="FD112" i="23917"/>
  <c r="FP383" i="23917"/>
  <c r="FP349" i="23917"/>
  <c r="FP313" i="23917"/>
  <c r="FP278" i="23917"/>
  <c r="FP195" i="23917"/>
  <c r="FP237" i="23917"/>
  <c r="FP155" i="23917"/>
  <c r="FP112" i="23917"/>
  <c r="C381" i="23917"/>
  <c r="C347" i="23917"/>
  <c r="C311" i="23917"/>
  <c r="C276" i="23917"/>
  <c r="C235" i="23917"/>
  <c r="C193" i="23917"/>
  <c r="C110" i="23917"/>
  <c r="C153" i="23917"/>
  <c r="G381" i="23917"/>
  <c r="G347" i="23917"/>
  <c r="G311" i="23917"/>
  <c r="G276" i="23917"/>
  <c r="G235" i="23917"/>
  <c r="G193" i="23917"/>
  <c r="G110" i="23917"/>
  <c r="G153" i="23917"/>
  <c r="K381" i="23917"/>
  <c r="K347" i="23917"/>
  <c r="K311" i="23917"/>
  <c r="K276" i="23917"/>
  <c r="K235" i="23917"/>
  <c r="K193" i="23917"/>
  <c r="K110" i="23917"/>
  <c r="K153" i="23917"/>
  <c r="O381" i="23917"/>
  <c r="O347" i="23917"/>
  <c r="O311" i="23917"/>
  <c r="O276" i="23917"/>
  <c r="O235" i="23917"/>
  <c r="O193" i="23917"/>
  <c r="O110" i="23917"/>
  <c r="O153" i="23917"/>
  <c r="S381" i="23917"/>
  <c r="S347" i="23917"/>
  <c r="S311" i="23917"/>
  <c r="S276" i="23917"/>
  <c r="S235" i="23917"/>
  <c r="S193" i="23917"/>
  <c r="S110" i="23917"/>
  <c r="S153" i="23917"/>
  <c r="W381" i="23917"/>
  <c r="W347" i="23917"/>
  <c r="W311" i="23917"/>
  <c r="W276" i="23917"/>
  <c r="W235" i="23917"/>
  <c r="W193" i="23917"/>
  <c r="W110" i="23917"/>
  <c r="W153" i="23917"/>
  <c r="AA381" i="23917"/>
  <c r="AA347" i="23917"/>
  <c r="AA311" i="23917"/>
  <c r="AA276" i="23917"/>
  <c r="AA235" i="23917"/>
  <c r="AA193" i="23917"/>
  <c r="AA110" i="23917"/>
  <c r="AA153" i="23917"/>
  <c r="AE381" i="23917"/>
  <c r="AE347" i="23917"/>
  <c r="AE311" i="23917"/>
  <c r="AE276" i="23917"/>
  <c r="AE235" i="23917"/>
  <c r="AE193" i="23917"/>
  <c r="AE110" i="23917"/>
  <c r="AE153" i="23917"/>
  <c r="AI381" i="23917"/>
  <c r="AI347" i="23917"/>
  <c r="AI311" i="23917"/>
  <c r="AI276" i="23917"/>
  <c r="AI235" i="23917"/>
  <c r="AI193" i="23917"/>
  <c r="AI110" i="23917"/>
  <c r="AI153" i="23917"/>
  <c r="AM381" i="23917"/>
  <c r="AM347" i="23917"/>
  <c r="AM311" i="23917"/>
  <c r="AM276" i="23917"/>
  <c r="AM235" i="23917"/>
  <c r="AM193" i="23917"/>
  <c r="AM110" i="23917"/>
  <c r="AM153" i="23917"/>
  <c r="AQ381" i="23917"/>
  <c r="AQ347" i="23917"/>
  <c r="AQ311" i="23917"/>
  <c r="AQ276" i="23917"/>
  <c r="AQ235" i="23917"/>
  <c r="AQ193" i="23917"/>
  <c r="AQ110" i="23917"/>
  <c r="AQ153" i="23917"/>
  <c r="AU381" i="23917"/>
  <c r="AU347" i="23917"/>
  <c r="AU311" i="23917"/>
  <c r="AU276" i="23917"/>
  <c r="AU235" i="23917"/>
  <c r="AU193" i="23917"/>
  <c r="AU110" i="23917"/>
  <c r="AU153" i="23917"/>
  <c r="AY381" i="23917"/>
  <c r="AY347" i="23917"/>
  <c r="AY311" i="23917"/>
  <c r="AY276" i="23917"/>
  <c r="AY235" i="23917"/>
  <c r="AY193" i="23917"/>
  <c r="AY110" i="23917"/>
  <c r="AY153" i="23917"/>
  <c r="BC381" i="23917"/>
  <c r="BC347" i="23917"/>
  <c r="BC311" i="23917"/>
  <c r="BC276" i="23917"/>
  <c r="BC235" i="23917"/>
  <c r="BC193" i="23917"/>
  <c r="BC110" i="23917"/>
  <c r="BC153" i="23917"/>
  <c r="BG381" i="23917"/>
  <c r="BG347" i="23917"/>
  <c r="BG311" i="23917"/>
  <c r="BG276" i="23917"/>
  <c r="BG235" i="23917"/>
  <c r="BG193" i="23917"/>
  <c r="BG110" i="23917"/>
  <c r="BG153" i="23917"/>
  <c r="BK381" i="23917"/>
  <c r="BK347" i="23917"/>
  <c r="BK311" i="23917"/>
  <c r="BK276" i="23917"/>
  <c r="BK235" i="23917"/>
  <c r="BK193" i="23917"/>
  <c r="BK110" i="23917"/>
  <c r="BK153" i="23917"/>
  <c r="BO381" i="23917"/>
  <c r="BO347" i="23917"/>
  <c r="BO311" i="23917"/>
  <c r="BO276" i="23917"/>
  <c r="BO235" i="23917"/>
  <c r="BO193" i="23917"/>
  <c r="BO110" i="23917"/>
  <c r="BO153" i="23917"/>
  <c r="BS381" i="23917"/>
  <c r="BS347" i="23917"/>
  <c r="BS311" i="23917"/>
  <c r="BS276" i="23917"/>
  <c r="BS235" i="23917"/>
  <c r="BS193" i="23917"/>
  <c r="BS110" i="23917"/>
  <c r="BS153" i="23917"/>
  <c r="BW381" i="23917"/>
  <c r="BW347" i="23917"/>
  <c r="BW311" i="23917"/>
  <c r="BW276" i="23917"/>
  <c r="BW235" i="23917"/>
  <c r="BW193" i="23917"/>
  <c r="BW110" i="23917"/>
  <c r="BW153" i="23917"/>
  <c r="CA381" i="23917"/>
  <c r="CA347" i="23917"/>
  <c r="CA311" i="23917"/>
  <c r="CA276" i="23917"/>
  <c r="CA235" i="23917"/>
  <c r="CA193" i="23917"/>
  <c r="CA110" i="23917"/>
  <c r="CA153" i="23917"/>
  <c r="CE381" i="23917"/>
  <c r="CE347" i="23917"/>
  <c r="CE311" i="23917"/>
  <c r="CE276" i="23917"/>
  <c r="CE235" i="23917"/>
  <c r="CE193" i="23917"/>
  <c r="CE110" i="23917"/>
  <c r="CE153" i="23917"/>
  <c r="CI381" i="23917"/>
  <c r="CI347" i="23917"/>
  <c r="CI311" i="23917"/>
  <c r="CI276" i="23917"/>
  <c r="CI235" i="23917"/>
  <c r="CI193" i="23917"/>
  <c r="CI110" i="23917"/>
  <c r="CI153" i="23917"/>
  <c r="CM381" i="23917"/>
  <c r="CM347" i="23917"/>
  <c r="CM311" i="23917"/>
  <c r="CM276" i="23917"/>
  <c r="CM235" i="23917"/>
  <c r="CM193" i="23917"/>
  <c r="CM110" i="23917"/>
  <c r="CM153" i="23917"/>
  <c r="CQ381" i="23917"/>
  <c r="CQ347" i="23917"/>
  <c r="CQ311" i="23917"/>
  <c r="CQ276" i="23917"/>
  <c r="CQ235" i="23917"/>
  <c r="CQ193" i="23917"/>
  <c r="CQ110" i="23917"/>
  <c r="CQ153" i="23917"/>
  <c r="CU381" i="23917"/>
  <c r="CU347" i="23917"/>
  <c r="CU311" i="23917"/>
  <c r="CU276" i="23917"/>
  <c r="CU235" i="23917"/>
  <c r="CU193" i="23917"/>
  <c r="CU110" i="23917"/>
  <c r="CU153" i="23917"/>
  <c r="CY381" i="23917"/>
  <c r="CY347" i="23917"/>
  <c r="CY311" i="23917"/>
  <c r="CY276" i="23917"/>
  <c r="CY235" i="23917"/>
  <c r="CY193" i="23917"/>
  <c r="CY110" i="23917"/>
  <c r="CY153" i="23917"/>
  <c r="DC381" i="23917"/>
  <c r="DC347" i="23917"/>
  <c r="DC311" i="23917"/>
  <c r="DC276" i="23917"/>
  <c r="DC235" i="23917"/>
  <c r="DC193" i="23917"/>
  <c r="DC110" i="23917"/>
  <c r="DC153" i="23917"/>
  <c r="DG381" i="23917"/>
  <c r="DG347" i="23917"/>
  <c r="DG311" i="23917"/>
  <c r="DG276" i="23917"/>
  <c r="DG235" i="23917"/>
  <c r="DG193" i="23917"/>
  <c r="DG110" i="23917"/>
  <c r="DG153" i="23917"/>
  <c r="DK381" i="23917"/>
  <c r="DK347" i="23917"/>
  <c r="DK311" i="23917"/>
  <c r="DK276" i="23917"/>
  <c r="DK235" i="23917"/>
  <c r="DK193" i="23917"/>
  <c r="DK110" i="23917"/>
  <c r="DK153" i="23917"/>
  <c r="DO381" i="23917"/>
  <c r="DO347" i="23917"/>
  <c r="DO311" i="23917"/>
  <c r="DO276" i="23917"/>
  <c r="DO235" i="23917"/>
  <c r="DO193" i="23917"/>
  <c r="DO110" i="23917"/>
  <c r="DO153" i="23917"/>
  <c r="DS381" i="23917"/>
  <c r="DS347" i="23917"/>
  <c r="DS311" i="23917"/>
  <c r="DS276" i="23917"/>
  <c r="DS235" i="23917"/>
  <c r="DS193" i="23917"/>
  <c r="DS110" i="23917"/>
  <c r="DS153" i="23917"/>
  <c r="DW381" i="23917"/>
  <c r="DW347" i="23917"/>
  <c r="DW311" i="23917"/>
  <c r="DW276" i="23917"/>
  <c r="DW235" i="23917"/>
  <c r="DW193" i="23917"/>
  <c r="DW110" i="23917"/>
  <c r="DW153" i="23917"/>
  <c r="EA381" i="23917"/>
  <c r="EA347" i="23917"/>
  <c r="EA311" i="23917"/>
  <c r="EA276" i="23917"/>
  <c r="EA235" i="23917"/>
  <c r="EA193" i="23917"/>
  <c r="EA110" i="23917"/>
  <c r="EA153" i="23917"/>
  <c r="EE381" i="23917"/>
  <c r="EE347" i="23917"/>
  <c r="EE276" i="23917"/>
  <c r="EE311" i="23917"/>
  <c r="EE235" i="23917"/>
  <c r="EE193" i="23917"/>
  <c r="EE110" i="23917"/>
  <c r="EE153" i="23917"/>
  <c r="EJ347" i="23917"/>
  <c r="EJ276" i="23917"/>
  <c r="EJ311" i="23917"/>
  <c r="EJ235" i="23917"/>
  <c r="EJ193" i="23917"/>
  <c r="EJ110" i="23917"/>
  <c r="EJ153" i="23917"/>
  <c r="EN381" i="23917"/>
  <c r="EN347" i="23917"/>
  <c r="EN276" i="23917"/>
  <c r="EN311" i="23917"/>
  <c r="EN235" i="23917"/>
  <c r="EN193" i="23917"/>
  <c r="EN110" i="23917"/>
  <c r="EN153" i="23917"/>
  <c r="FD381" i="23917"/>
  <c r="FD347" i="23917"/>
  <c r="FD276" i="23917"/>
  <c r="FD311" i="23917"/>
  <c r="FD235" i="23917"/>
  <c r="FD193" i="23917"/>
  <c r="FD110" i="23917"/>
  <c r="FD153" i="23917"/>
  <c r="FH381" i="23917"/>
  <c r="FH347" i="23917"/>
  <c r="FH276" i="23917"/>
  <c r="FH311" i="23917"/>
  <c r="FH235" i="23917"/>
  <c r="FH193" i="23917"/>
  <c r="FH110" i="23917"/>
  <c r="FH153" i="23917"/>
  <c r="FL381" i="23917"/>
  <c r="FL347" i="23917"/>
  <c r="FL276" i="23917"/>
  <c r="FL311" i="23917"/>
  <c r="FL235" i="23917"/>
  <c r="FL193" i="23917"/>
  <c r="FL110" i="23917"/>
  <c r="FL153" i="23917"/>
  <c r="FP381" i="23917"/>
  <c r="FP347" i="23917"/>
  <c r="FP276" i="23917"/>
  <c r="FP311" i="23917"/>
  <c r="FP235" i="23917"/>
  <c r="FP193" i="23917"/>
  <c r="FP110" i="23917"/>
  <c r="FP153" i="23917"/>
  <c r="FT381" i="23917"/>
  <c r="FT347" i="23917"/>
  <c r="FT276" i="23917"/>
  <c r="FT311" i="23917"/>
  <c r="FT235" i="23917"/>
  <c r="FT193" i="23917"/>
  <c r="FT110" i="23917"/>
  <c r="FT153" i="23917"/>
  <c r="FX381" i="23917"/>
  <c r="FX347" i="23917"/>
  <c r="FX276" i="23917"/>
  <c r="FX311" i="23917"/>
  <c r="FX235" i="23917"/>
  <c r="FX193" i="23917"/>
  <c r="FX110" i="23917"/>
  <c r="FX153" i="23917"/>
  <c r="B383" i="23917"/>
  <c r="B349" i="23917"/>
  <c r="B278" i="23917"/>
  <c r="B313" i="23917"/>
  <c r="B237" i="23917"/>
  <c r="B195" i="23917"/>
  <c r="B112" i="23917"/>
  <c r="B155" i="23917"/>
  <c r="F383" i="23917"/>
  <c r="F349" i="23917"/>
  <c r="F278" i="23917"/>
  <c r="F313" i="23917"/>
  <c r="F237" i="23917"/>
  <c r="F195" i="23917"/>
  <c r="F112" i="23917"/>
  <c r="F155" i="23917"/>
  <c r="J383" i="23917"/>
  <c r="J349" i="23917"/>
  <c r="J278" i="23917"/>
  <c r="J313" i="23917"/>
  <c r="J237" i="23917"/>
  <c r="J195" i="23917"/>
  <c r="J112" i="23917"/>
  <c r="J155" i="23917"/>
  <c r="N383" i="23917"/>
  <c r="N349" i="23917"/>
  <c r="N278" i="23917"/>
  <c r="N313" i="23917"/>
  <c r="N237" i="23917"/>
  <c r="N195" i="23917"/>
  <c r="N112" i="23917"/>
  <c r="N155" i="23917"/>
  <c r="R383" i="23917"/>
  <c r="R349" i="23917"/>
  <c r="R278" i="23917"/>
  <c r="R313" i="23917"/>
  <c r="R237" i="23917"/>
  <c r="R195" i="23917"/>
  <c r="R112" i="23917"/>
  <c r="R155" i="23917"/>
  <c r="V383" i="23917"/>
  <c r="V349" i="23917"/>
  <c r="V278" i="23917"/>
  <c r="V313" i="23917"/>
  <c r="V237" i="23917"/>
  <c r="V195" i="23917"/>
  <c r="V112" i="23917"/>
  <c r="V155" i="23917"/>
  <c r="Z383" i="23917"/>
  <c r="Z349" i="23917"/>
  <c r="Z278" i="23917"/>
  <c r="Z313" i="23917"/>
  <c r="Z237" i="23917"/>
  <c r="Z195" i="23917"/>
  <c r="Z112" i="23917"/>
  <c r="Z155" i="23917"/>
  <c r="AD383" i="23917"/>
  <c r="AD349" i="23917"/>
  <c r="AD278" i="23917"/>
  <c r="AD313" i="23917"/>
  <c r="AD237" i="23917"/>
  <c r="AD195" i="23917"/>
  <c r="AD112" i="23917"/>
  <c r="AD155" i="23917"/>
  <c r="AH383" i="23917"/>
  <c r="AH349" i="23917"/>
  <c r="AH278" i="23917"/>
  <c r="AH313" i="23917"/>
  <c r="AH237" i="23917"/>
  <c r="AH195" i="23917"/>
  <c r="AH112" i="23917"/>
  <c r="AH155" i="23917"/>
  <c r="AL383" i="23917"/>
  <c r="AL349" i="23917"/>
  <c r="AL278" i="23917"/>
  <c r="AL313" i="23917"/>
  <c r="AL237" i="23917"/>
  <c r="AL195" i="23917"/>
  <c r="AL112" i="23917"/>
  <c r="AL155" i="23917"/>
  <c r="AP383" i="23917"/>
  <c r="AP349" i="23917"/>
  <c r="AP278" i="23917"/>
  <c r="AP313" i="23917"/>
  <c r="AP237" i="23917"/>
  <c r="AP195" i="23917"/>
  <c r="AP112" i="23917"/>
  <c r="AP155" i="23917"/>
  <c r="AT383" i="23917"/>
  <c r="AT349" i="23917"/>
  <c r="AT278" i="23917"/>
  <c r="AT313" i="23917"/>
  <c r="AT237" i="23917"/>
  <c r="AT195" i="23917"/>
  <c r="AT112" i="23917"/>
  <c r="AT155" i="23917"/>
  <c r="AX383" i="23917"/>
  <c r="AX349" i="23917"/>
  <c r="AX278" i="23917"/>
  <c r="AX313" i="23917"/>
  <c r="AX237" i="23917"/>
  <c r="AX195" i="23917"/>
  <c r="AX112" i="23917"/>
  <c r="AX155" i="23917"/>
  <c r="BB383" i="23917"/>
  <c r="BB349" i="23917"/>
  <c r="BB278" i="23917"/>
  <c r="BB313" i="23917"/>
  <c r="BB237" i="23917"/>
  <c r="BB195" i="23917"/>
  <c r="BB112" i="23917"/>
  <c r="BB155" i="23917"/>
  <c r="BF383" i="23917"/>
  <c r="BF349" i="23917"/>
  <c r="BF278" i="23917"/>
  <c r="BF313" i="23917"/>
  <c r="BF237" i="23917"/>
  <c r="BF195" i="23917"/>
  <c r="BF112" i="23917"/>
  <c r="BF155" i="23917"/>
  <c r="BJ383" i="23917"/>
  <c r="BJ349" i="23917"/>
  <c r="BJ278" i="23917"/>
  <c r="BJ313" i="23917"/>
  <c r="BJ237" i="23917"/>
  <c r="BJ195" i="23917"/>
  <c r="BJ112" i="23917"/>
  <c r="BJ155" i="23917"/>
  <c r="BN383" i="23917"/>
  <c r="BN349" i="23917"/>
  <c r="BN278" i="23917"/>
  <c r="BN313" i="23917"/>
  <c r="BN237" i="23917"/>
  <c r="BN195" i="23917"/>
  <c r="BN112" i="23917"/>
  <c r="BN155" i="23917"/>
  <c r="BR383" i="23917"/>
  <c r="BR349" i="23917"/>
  <c r="BR278" i="23917"/>
  <c r="BR313" i="23917"/>
  <c r="BR237" i="23917"/>
  <c r="BR195" i="23917"/>
  <c r="BR112" i="23917"/>
  <c r="BR155" i="23917"/>
  <c r="BV383" i="23917"/>
  <c r="BV349" i="23917"/>
  <c r="BV278" i="23917"/>
  <c r="BV313" i="23917"/>
  <c r="BV237" i="23917"/>
  <c r="BV195" i="23917"/>
  <c r="BV112" i="23917"/>
  <c r="BV155" i="23917"/>
  <c r="BZ383" i="23917"/>
  <c r="BZ349" i="23917"/>
  <c r="BZ278" i="23917"/>
  <c r="BZ313" i="23917"/>
  <c r="BZ237" i="23917"/>
  <c r="BZ195" i="23917"/>
  <c r="BZ112" i="23917"/>
  <c r="BZ155" i="23917"/>
  <c r="CD383" i="23917"/>
  <c r="CD349" i="23917"/>
  <c r="CD278" i="23917"/>
  <c r="CD313" i="23917"/>
  <c r="CD237" i="23917"/>
  <c r="CD195" i="23917"/>
  <c r="CD112" i="23917"/>
  <c r="CD155" i="23917"/>
  <c r="CH383" i="23917"/>
  <c r="CH349" i="23917"/>
  <c r="CH278" i="23917"/>
  <c r="CH313" i="23917"/>
  <c r="CH237" i="23917"/>
  <c r="CH195" i="23917"/>
  <c r="CH112" i="23917"/>
  <c r="CH155" i="23917"/>
  <c r="CL383" i="23917"/>
  <c r="CL349" i="23917"/>
  <c r="CL278" i="23917"/>
  <c r="CL313" i="23917"/>
  <c r="CL237" i="23917"/>
  <c r="CL195" i="23917"/>
  <c r="CL112" i="23917"/>
  <c r="CL155" i="23917"/>
  <c r="CP383" i="23917"/>
  <c r="CP349" i="23917"/>
  <c r="CP278" i="23917"/>
  <c r="CP313" i="23917"/>
  <c r="CP237" i="23917"/>
  <c r="CP195" i="23917"/>
  <c r="CP112" i="23917"/>
  <c r="CP155" i="23917"/>
  <c r="CT383" i="23917"/>
  <c r="CT349" i="23917"/>
  <c r="CT278" i="23917"/>
  <c r="CT313" i="23917"/>
  <c r="CT237" i="23917"/>
  <c r="CT195" i="23917"/>
  <c r="CT112" i="23917"/>
  <c r="CT155" i="23917"/>
  <c r="CX383" i="23917"/>
  <c r="CX349" i="23917"/>
  <c r="CX278" i="23917"/>
  <c r="CX313" i="23917"/>
  <c r="CX237" i="23917"/>
  <c r="CX195" i="23917"/>
  <c r="CX112" i="23917"/>
  <c r="CX155" i="23917"/>
  <c r="DB383" i="23917"/>
  <c r="DB349" i="23917"/>
  <c r="DB278" i="23917"/>
  <c r="DB313" i="23917"/>
  <c r="DB237" i="23917"/>
  <c r="DB195" i="23917"/>
  <c r="DB112" i="23917"/>
  <c r="DB155" i="23917"/>
  <c r="DF383" i="23917"/>
  <c r="DF349" i="23917"/>
  <c r="DF278" i="23917"/>
  <c r="DF313" i="23917"/>
  <c r="DF237" i="23917"/>
  <c r="DF195" i="23917"/>
  <c r="DF112" i="23917"/>
  <c r="DF155" i="23917"/>
  <c r="DJ383" i="23917"/>
  <c r="DJ349" i="23917"/>
  <c r="DJ278" i="23917"/>
  <c r="DJ313" i="23917"/>
  <c r="DJ237" i="23917"/>
  <c r="DJ195" i="23917"/>
  <c r="DJ112" i="23917"/>
  <c r="DJ155" i="23917"/>
  <c r="DN383" i="23917"/>
  <c r="DN349" i="23917"/>
  <c r="DN278" i="23917"/>
  <c r="DN313" i="23917"/>
  <c r="DN237" i="23917"/>
  <c r="DN195" i="23917"/>
  <c r="DN112" i="23917"/>
  <c r="DN155" i="23917"/>
  <c r="DR383" i="23917"/>
  <c r="DR349" i="23917"/>
  <c r="DR278" i="23917"/>
  <c r="DR313" i="23917"/>
  <c r="DR237" i="23917"/>
  <c r="DR195" i="23917"/>
  <c r="DR112" i="23917"/>
  <c r="DR155" i="23917"/>
  <c r="DV383" i="23917"/>
  <c r="DV349" i="23917"/>
  <c r="DV278" i="23917"/>
  <c r="DV313" i="23917"/>
  <c r="DV237" i="23917"/>
  <c r="DV195" i="23917"/>
  <c r="DV112" i="23917"/>
  <c r="DV155" i="23917"/>
  <c r="DZ383" i="23917"/>
  <c r="DZ349" i="23917"/>
  <c r="DZ278" i="23917"/>
  <c r="DZ313" i="23917"/>
  <c r="DZ237" i="23917"/>
  <c r="DZ195" i="23917"/>
  <c r="DZ112" i="23917"/>
  <c r="DZ155" i="23917"/>
  <c r="ED383" i="23917"/>
  <c r="ED349" i="23917"/>
  <c r="ED278" i="23917"/>
  <c r="ED313" i="23917"/>
  <c r="ED237" i="23917"/>
  <c r="ED195" i="23917"/>
  <c r="ED112" i="23917"/>
  <c r="ED155" i="23917"/>
  <c r="EI349" i="23917"/>
  <c r="EI278" i="23917"/>
  <c r="EI313" i="23917"/>
  <c r="EI237" i="23917"/>
  <c r="EI195" i="23917"/>
  <c r="EI112" i="23917"/>
  <c r="EI155" i="23917"/>
  <c r="EM383" i="23917"/>
  <c r="EM349" i="23917"/>
  <c r="EM278" i="23917"/>
  <c r="EM313" i="23917"/>
  <c r="EM237" i="23917"/>
  <c r="EM195" i="23917"/>
  <c r="EM112" i="23917"/>
  <c r="EM155" i="23917"/>
  <c r="EQ383" i="23917"/>
  <c r="EQ349" i="23917"/>
  <c r="EQ278" i="23917"/>
  <c r="EQ313" i="23917"/>
  <c r="EQ237" i="23917"/>
  <c r="EQ195" i="23917"/>
  <c r="EQ112" i="23917"/>
  <c r="EQ155" i="23917"/>
  <c r="EU349" i="23917"/>
  <c r="EU383" i="23917"/>
  <c r="EU278" i="23917"/>
  <c r="EU313" i="23917"/>
  <c r="EU237" i="23917"/>
  <c r="EU195" i="23917"/>
  <c r="EU112" i="23917"/>
  <c r="EU155" i="23917"/>
  <c r="EY383" i="23917"/>
  <c r="EY349" i="23917"/>
  <c r="EY278" i="23917"/>
  <c r="EY313" i="23917"/>
  <c r="EY237" i="23917"/>
  <c r="EY195" i="23917"/>
  <c r="EY112" i="23917"/>
  <c r="EY155" i="23917"/>
  <c r="FC383" i="23917"/>
  <c r="FC349" i="23917"/>
  <c r="FC278" i="23917"/>
  <c r="FC313" i="23917"/>
  <c r="FC237" i="23917"/>
  <c r="FC195" i="23917"/>
  <c r="FC112" i="23917"/>
  <c r="FC155" i="23917"/>
  <c r="FG383" i="23917"/>
  <c r="FG349" i="23917"/>
  <c r="FG278" i="23917"/>
  <c r="FG313" i="23917"/>
  <c r="FG237" i="23917"/>
  <c r="FG195" i="23917"/>
  <c r="FG112" i="23917"/>
  <c r="FG155" i="23917"/>
  <c r="FK349" i="23917"/>
  <c r="FK383" i="23917"/>
  <c r="FK278" i="23917"/>
  <c r="FK313" i="23917"/>
  <c r="FK237" i="23917"/>
  <c r="FK195" i="23917"/>
  <c r="FK112" i="23917"/>
  <c r="FK155" i="23917"/>
  <c r="FO383" i="23917"/>
  <c r="FO349" i="23917"/>
  <c r="FO278" i="23917"/>
  <c r="FO313" i="23917"/>
  <c r="FO237" i="23917"/>
  <c r="FO195" i="23917"/>
  <c r="FO112" i="23917"/>
  <c r="FO155" i="23917"/>
  <c r="FS383" i="23917"/>
  <c r="FS349" i="23917"/>
  <c r="FS278" i="23917"/>
  <c r="FS313" i="23917"/>
  <c r="FS237" i="23917"/>
  <c r="FS195" i="23917"/>
  <c r="FS112" i="23917"/>
  <c r="FS155" i="23917"/>
  <c r="FW349" i="23917"/>
  <c r="FW383" i="23917"/>
  <c r="FW278" i="23917"/>
  <c r="FW313" i="23917"/>
  <c r="FW237" i="23917"/>
  <c r="FW195" i="23917"/>
  <c r="FW112" i="23917"/>
  <c r="FW155" i="23917"/>
  <c r="E60" i="23917"/>
  <c r="I60" i="23917"/>
  <c r="M60" i="23917"/>
  <c r="Q60" i="23917"/>
  <c r="U60" i="23917"/>
  <c r="Y60" i="23917"/>
  <c r="AC60" i="23917"/>
  <c r="AG60" i="23917"/>
  <c r="AK60" i="23917"/>
  <c r="AO60" i="23917"/>
  <c r="AS60" i="23917"/>
  <c r="AW60" i="23917"/>
  <c r="BA60" i="23917"/>
  <c r="BE60" i="23917"/>
  <c r="BI60" i="23917"/>
  <c r="BM60" i="23917"/>
  <c r="BQ60" i="23917"/>
  <c r="BU60" i="23917"/>
  <c r="BY60" i="23917"/>
  <c r="CC60" i="23917"/>
  <c r="CG60" i="23917"/>
  <c r="CK60" i="23917"/>
  <c r="CO60" i="23917"/>
  <c r="CS60" i="23917"/>
  <c r="CW60" i="23917"/>
  <c r="DA60" i="23917"/>
  <c r="DE60" i="23917"/>
  <c r="DI60" i="23917"/>
  <c r="DM60" i="23917"/>
  <c r="DQ60" i="23917"/>
  <c r="DU60" i="23917"/>
  <c r="DY60" i="23917"/>
  <c r="EC60" i="23917"/>
  <c r="EG60" i="23917"/>
  <c r="EL60" i="23917"/>
  <c r="EP60" i="23917"/>
  <c r="FF60" i="23917"/>
  <c r="FJ60" i="23917"/>
  <c r="FN60" i="23917"/>
  <c r="FR60" i="23917"/>
  <c r="FV60" i="23917"/>
  <c r="FZ60" i="23917"/>
  <c r="D62" i="23917"/>
  <c r="H62" i="23917"/>
  <c r="L62" i="23917"/>
  <c r="P62" i="23917"/>
  <c r="T62" i="23917"/>
  <c r="X62" i="23917"/>
  <c r="AB62" i="23917"/>
  <c r="AF62" i="23917"/>
  <c r="AJ62" i="23917"/>
  <c r="AN62" i="23917"/>
  <c r="AR62" i="23917"/>
  <c r="AV62" i="23917"/>
  <c r="AZ62" i="23917"/>
  <c r="BD62" i="23917"/>
  <c r="BH62" i="23917"/>
  <c r="BL62" i="23917"/>
  <c r="BP62" i="23917"/>
  <c r="BT62" i="23917"/>
  <c r="BX62" i="23917"/>
  <c r="CB62" i="23917"/>
  <c r="CF62" i="23917"/>
  <c r="CJ62" i="23917"/>
  <c r="CN62" i="23917"/>
  <c r="CR62" i="23917"/>
  <c r="CV62" i="23917"/>
  <c r="CZ62" i="23917"/>
  <c r="DD62" i="23917"/>
  <c r="DH62" i="23917"/>
  <c r="DL62" i="23917"/>
  <c r="DP62" i="23917"/>
  <c r="DT62" i="23917"/>
  <c r="DX62" i="23917"/>
  <c r="EB62" i="23917"/>
  <c r="EF62" i="23917"/>
  <c r="EK62" i="23917"/>
  <c r="EO62" i="23917"/>
  <c r="ES62" i="23917"/>
  <c r="EW62" i="23917"/>
  <c r="FA62" i="23917"/>
  <c r="FE62" i="23917"/>
  <c r="FI62" i="23917"/>
  <c r="FM62" i="23917"/>
  <c r="FQ62" i="23917"/>
  <c r="FU62" i="23917"/>
  <c r="FY62" i="23917"/>
  <c r="M110" i="23917"/>
  <c r="AC110" i="23917"/>
  <c r="AS110" i="23917"/>
  <c r="BI110" i="23917"/>
  <c r="BY110" i="23917"/>
  <c r="CO110" i="23917"/>
  <c r="DE110" i="23917"/>
  <c r="DU110" i="23917"/>
  <c r="EL110" i="23917"/>
  <c r="AA116" i="23917"/>
  <c r="AE117" i="23917"/>
  <c r="AC118" i="23917"/>
  <c r="AA122" i="23917"/>
  <c r="Y122" i="23917"/>
  <c r="AF125" i="23917"/>
  <c r="AF136" i="23917"/>
  <c r="EO19" i="23917"/>
  <c r="FE19" i="23917"/>
  <c r="R142" i="23917"/>
  <c r="S140" i="23917"/>
  <c r="X140" i="23917"/>
  <c r="AC142" i="23917"/>
  <c r="Y143" i="23917"/>
  <c r="X159" i="23917"/>
  <c r="S159" i="23917"/>
  <c r="AA159" i="23917"/>
  <c r="R161" i="23917"/>
  <c r="AD181" i="23917"/>
  <c r="AD170" i="23917"/>
  <c r="AE161" i="23917"/>
  <c r="AF168" i="23917"/>
  <c r="AD201" i="23917"/>
  <c r="AE200" i="23917"/>
  <c r="U123" i="23917"/>
  <c r="F9" i="24068"/>
  <c r="AG167" i="23917"/>
  <c r="Z168" i="23917"/>
  <c r="Z201" i="23917"/>
  <c r="Z221" i="23917"/>
  <c r="AA198" i="23917"/>
  <c r="Z219" i="23917"/>
  <c r="O7" i="24068"/>
  <c r="Z125" i="23917"/>
  <c r="Z136" i="23917"/>
  <c r="AA121" i="23917"/>
  <c r="AB133" i="23917"/>
  <c r="R118" i="23917"/>
  <c r="AA115" i="23917"/>
  <c r="X115" i="23917"/>
  <c r="X116" i="23917"/>
  <c r="S116" i="23917"/>
  <c r="AD125" i="23917"/>
  <c r="AD136" i="23917"/>
  <c r="X123" i="23917"/>
  <c r="W123" i="23917"/>
  <c r="AC123" i="23917"/>
  <c r="AA124" i="23917"/>
  <c r="T125" i="23917"/>
  <c r="AV19" i="23917"/>
  <c r="EW19" i="23917"/>
  <c r="FM19" i="23917"/>
  <c r="Z142" i="23917"/>
  <c r="AG143" i="23917"/>
  <c r="X145" i="23917"/>
  <c r="AG158" i="23917"/>
  <c r="Y158" i="23917"/>
  <c r="AA165" i="23917"/>
  <c r="AC168" i="23917"/>
  <c r="U166" i="23917"/>
  <c r="Y167" i="23917"/>
  <c r="AG164" i="23917"/>
  <c r="Q7" i="24068"/>
  <c r="AD118" i="23917"/>
  <c r="AG122" i="23917"/>
  <c r="AE123" i="23917"/>
  <c r="U142" i="23917"/>
  <c r="T146" i="23917"/>
  <c r="AB146" i="23917"/>
  <c r="V170" i="23917"/>
  <c r="W161" i="23917"/>
  <c r="AA164" i="23917"/>
  <c r="W166" i="23917"/>
  <c r="AE166" i="23917"/>
  <c r="AA167" i="23917"/>
  <c r="S167" i="23917"/>
  <c r="Z170" i="23917"/>
  <c r="AA199" i="23917"/>
  <c r="Y207" i="23917"/>
  <c r="AF221" i="23917"/>
  <c r="V210" i="23917"/>
  <c r="T19" i="23917"/>
  <c r="AJ19" i="23917"/>
  <c r="AZ19" i="23917"/>
  <c r="BP19" i="23917"/>
  <c r="CF19" i="23917"/>
  <c r="CV19" i="23917"/>
  <c r="DM19" i="23917"/>
  <c r="FY19" i="23917"/>
  <c r="I9" i="24068"/>
  <c r="X124" i="23917"/>
  <c r="R136" i="23917"/>
  <c r="FA19" i="23917"/>
  <c r="FI19" i="23917"/>
  <c r="FQ19" i="23917"/>
  <c r="X165" i="23917"/>
  <c r="AC166" i="23917"/>
  <c r="AA184" i="23917"/>
  <c r="AA185" i="23917"/>
  <c r="AE186" i="23917"/>
  <c r="R201" i="23917"/>
  <c r="AC201" i="23917"/>
  <c r="AA206" i="23917"/>
  <c r="AF208" i="23917"/>
  <c r="X206" i="23917"/>
  <c r="AA207" i="23917"/>
  <c r="AG207" i="23917"/>
  <c r="AE220" i="23917"/>
  <c r="U228" i="23917"/>
  <c r="V146" i="23917"/>
  <c r="AD146" i="23917"/>
  <c r="T170" i="23917"/>
  <c r="AB170" i="23917"/>
  <c r="AF170" i="23917"/>
  <c r="Z179" i="23917"/>
  <c r="S204" i="23917"/>
  <c r="AA205" i="23917"/>
  <c r="X19" i="23917"/>
  <c r="AN19" i="23917"/>
  <c r="BL19" i="23917"/>
  <c r="CB19" i="23917"/>
  <c r="CR19" i="23917"/>
  <c r="AC181" i="23917"/>
  <c r="AG185" i="23917"/>
  <c r="X199" i="23917"/>
  <c r="S199" i="23917"/>
  <c r="X220" i="23917"/>
  <c r="AG205" i="23917"/>
  <c r="U210" i="23917"/>
  <c r="AC210" i="23917"/>
  <c r="AA224" i="23917"/>
  <c r="Z228" i="23917"/>
  <c r="X227" i="23917"/>
  <c r="EB19" i="23917"/>
  <c r="EF19" i="23917"/>
  <c r="K9" i="24068"/>
  <c r="AA262" i="23917"/>
  <c r="AA269" i="23917"/>
  <c r="H299" i="23917"/>
  <c r="I293" i="23917"/>
  <c r="O304" i="23917"/>
  <c r="AD293" i="23917"/>
  <c r="AG249" i="23917"/>
  <c r="Y249" i="23917"/>
  <c r="D299" i="23917"/>
  <c r="Z293" i="23917"/>
  <c r="AG198" i="23917"/>
  <c r="G9" i="24068"/>
  <c r="AG246" i="23917"/>
  <c r="X261" i="23917"/>
  <c r="Y246" i="23917"/>
  <c r="AC263" i="23917"/>
  <c r="Q293" i="23917"/>
  <c r="V299" i="23917"/>
  <c r="S184" i="23917"/>
  <c r="X184" i="23917"/>
  <c r="AA200" i="23917"/>
  <c r="AE204" i="23917"/>
  <c r="U207" i="23917"/>
  <c r="T221" i="23917"/>
  <c r="X224" i="23917"/>
  <c r="S224" i="23917"/>
  <c r="AA227" i="23917"/>
  <c r="S19" i="23917"/>
  <c r="W19" i="23917"/>
  <c r="AE19" i="23917"/>
  <c r="AM19" i="23917"/>
  <c r="AQ19" i="23917"/>
  <c r="AU19" i="23917"/>
  <c r="AY19" i="23917"/>
  <c r="BC19" i="23917"/>
  <c r="BG19" i="23917"/>
  <c r="BK19" i="23917"/>
  <c r="BO19" i="23917"/>
  <c r="BS19" i="23917"/>
  <c r="BW19" i="23917"/>
  <c r="CA19" i="23917"/>
  <c r="CE19" i="23917"/>
  <c r="CI19" i="23917"/>
  <c r="CM19" i="23917"/>
  <c r="CQ19" i="23917"/>
  <c r="CU19" i="23917"/>
  <c r="CY19" i="23917"/>
  <c r="Y242" i="23917"/>
  <c r="X243" i="23917"/>
  <c r="AG242" i="23917"/>
  <c r="AD252" i="23917"/>
  <c r="AE243" i="23917"/>
  <c r="O252" i="23917"/>
  <c r="V258" i="23917"/>
  <c r="W252" i="23917"/>
  <c r="AG267" i="23917"/>
  <c r="Y267" i="23917"/>
  <c r="M293" i="23917"/>
  <c r="S304" i="23917"/>
  <c r="R243" i="23917"/>
  <c r="Z243" i="23917"/>
  <c r="X247" i="23917"/>
  <c r="T252" i="23917"/>
  <c r="AB250" i="23917"/>
  <c r="AF250" i="23917"/>
  <c r="Z263" i="23917"/>
  <c r="AD263" i="23917"/>
  <c r="G304" i="23917"/>
  <c r="H329" i="23917"/>
  <c r="I319" i="23917"/>
  <c r="P329" i="23917"/>
  <c r="P340" i="23917"/>
  <c r="Q319" i="23917"/>
  <c r="X329" i="23917"/>
  <c r="X340" i="23917"/>
  <c r="Y319" i="23917"/>
  <c r="AE326" i="23917"/>
  <c r="M327" i="23917"/>
  <c r="EK390" i="23917"/>
  <c r="EL386" i="23917"/>
  <c r="P408" i="23917"/>
  <c r="EO390" i="23917"/>
  <c r="FD390" i="23917"/>
  <c r="FH390" i="23917"/>
  <c r="FL390" i="23917"/>
  <c r="EN389" i="23917"/>
  <c r="EP389" i="23917"/>
  <c r="ER389" i="23917"/>
  <c r="I403" i="23917"/>
  <c r="Q403" i="23917"/>
  <c r="Y403" i="23917"/>
  <c r="AG403" i="23917"/>
  <c r="AW403" i="23917"/>
  <c r="Q397" i="24050" s="1"/>
  <c r="ET394" i="23917"/>
  <c r="EZ394" i="23917"/>
  <c r="DY393" i="23917"/>
  <c r="DX403" i="23917"/>
  <c r="DZ393" i="23917"/>
  <c r="ER398" i="23917"/>
  <c r="EV400" i="23917"/>
  <c r="C364" i="23917"/>
  <c r="J369" i="23917"/>
  <c r="K364" i="23917"/>
  <c r="R369" i="23917"/>
  <c r="S364" i="23917"/>
  <c r="AA364" i="23917"/>
  <c r="AA242" i="23917"/>
  <c r="L252" i="23917"/>
  <c r="P252" i="23917"/>
  <c r="AB252" i="23917"/>
  <c r="AF252" i="23917"/>
  <c r="H304" i="23917"/>
  <c r="L304" i="23917"/>
  <c r="P304" i="23917"/>
  <c r="AB304" i="23917"/>
  <c r="AF304" i="23917"/>
  <c r="B293" i="23917"/>
  <c r="F293" i="23917"/>
  <c r="J293" i="23917"/>
  <c r="N293" i="23917"/>
  <c r="R293" i="23917"/>
  <c r="AD319" i="23917"/>
  <c r="AE318" i="23917"/>
  <c r="C329" i="23917"/>
  <c r="K329" i="23917"/>
  <c r="J335" i="23917"/>
  <c r="S329" i="23917"/>
  <c r="R335" i="23917"/>
  <c r="AA329" i="23917"/>
  <c r="EE388" i="23917"/>
  <c r="FR395" i="23917"/>
  <c r="FS395" i="23917"/>
  <c r="CY389" i="24050" s="1"/>
  <c r="DY397" i="23917"/>
  <c r="DZ397" i="23917"/>
  <c r="EN395" i="23917"/>
  <c r="EP395" i="23917"/>
  <c r="ER395" i="23917"/>
  <c r="FN393" i="23917"/>
  <c r="EX399" i="23917"/>
  <c r="EN402" i="23917"/>
  <c r="E364" i="23917"/>
  <c r="L369" i="23917"/>
  <c r="M364" i="23917"/>
  <c r="U364" i="23917"/>
  <c r="AB369" i="23917"/>
  <c r="AC364" i="23917"/>
  <c r="AF387" i="23917"/>
  <c r="FT19" i="23917"/>
  <c r="FX19" i="23917"/>
  <c r="DS19" i="23917"/>
  <c r="H9" i="24068"/>
  <c r="S242" i="23917"/>
  <c r="Y241" i="23917"/>
  <c r="AA246" i="23917"/>
  <c r="S249" i="23917"/>
  <c r="R250" i="23917"/>
  <c r="S267" i="23917"/>
  <c r="U290" i="23917"/>
  <c r="Y290" i="23917"/>
  <c r="AC290" i="23917"/>
  <c r="AG290" i="23917"/>
  <c r="AF293" i="23917"/>
  <c r="D329" i="23917"/>
  <c r="E319" i="23917"/>
  <c r="L329" i="23917"/>
  <c r="L340" i="23917"/>
  <c r="M319" i="23917"/>
  <c r="T329" i="23917"/>
  <c r="U319" i="23917"/>
  <c r="AB329" i="23917"/>
  <c r="AB340" i="23917"/>
  <c r="AC319" i="23917"/>
  <c r="D408" i="23917"/>
  <c r="L408" i="23917"/>
  <c r="T408" i="23917"/>
  <c r="DQ390" i="23917"/>
  <c r="DS390" i="23917"/>
  <c r="FF390" i="23917"/>
  <c r="FJ390" i="23917"/>
  <c r="EV389" i="23917"/>
  <c r="EX389" i="23917"/>
  <c r="EZ389" i="23917"/>
  <c r="M403" i="23917"/>
  <c r="U403" i="23917"/>
  <c r="AC403" i="23917"/>
  <c r="EN400" i="23917"/>
  <c r="EP401" i="23917"/>
  <c r="ER402" i="23917"/>
  <c r="DY402" i="23917"/>
  <c r="DZ402" i="23917"/>
  <c r="F369" i="23917"/>
  <c r="G364" i="23917"/>
  <c r="N369" i="23917"/>
  <c r="O364" i="23917"/>
  <c r="V369" i="23917"/>
  <c r="W364" i="23917"/>
  <c r="AE364" i="23917"/>
  <c r="EE19" i="23917"/>
  <c r="DI19" i="23917"/>
  <c r="DQ19" i="23917"/>
  <c r="S246" i="23917"/>
  <c r="AA247" i="23917"/>
  <c r="E284" i="23917"/>
  <c r="I284" i="23917"/>
  <c r="M284" i="23917"/>
  <c r="Q284" i="23917"/>
  <c r="U284" i="23917"/>
  <c r="Y284" i="23917"/>
  <c r="AC284" i="23917"/>
  <c r="G329" i="23917"/>
  <c r="O329" i="23917"/>
  <c r="W329" i="23917"/>
  <c r="V335" i="23917"/>
  <c r="AF329" i="23917"/>
  <c r="AG319" i="23917"/>
  <c r="DW390" i="23917"/>
  <c r="DY388" i="23917"/>
  <c r="EA388" i="23917"/>
  <c r="EN394" i="23917"/>
  <c r="EP394" i="23917"/>
  <c r="DZ394" i="23917"/>
  <c r="DY394" i="23917"/>
  <c r="ET395" i="23917"/>
  <c r="EX395" i="23917"/>
  <c r="BG403" i="23917"/>
  <c r="AA397" i="24050" s="1"/>
  <c r="BK403" i="23917"/>
  <c r="AE397" i="24050" s="1"/>
  <c r="BW403" i="23917"/>
  <c r="AQ397" i="24050" s="1"/>
  <c r="CE403" i="23917"/>
  <c r="AY397" i="24050" s="1"/>
  <c r="EZ398" i="23917"/>
  <c r="EX398" i="23917"/>
  <c r="EZ400" i="23917"/>
  <c r="EX400" i="23917"/>
  <c r="EZ402" i="23917"/>
  <c r="EX402" i="23917"/>
  <c r="EP399" i="23917"/>
  <c r="ER400" i="23917"/>
  <c r="ET401" i="23917"/>
  <c r="I364" i="23917"/>
  <c r="P369" i="23917"/>
  <c r="Q364" i="23917"/>
  <c r="X369" i="23917"/>
  <c r="Y364" i="23917"/>
  <c r="AF369" i="23917"/>
  <c r="C319" i="23917"/>
  <c r="G319" i="23917"/>
  <c r="K319" i="23917"/>
  <c r="O319" i="23917"/>
  <c r="S319" i="23917"/>
  <c r="W319" i="23917"/>
  <c r="AA319" i="23917"/>
  <c r="J340" i="23917"/>
  <c r="N340" i="23917"/>
  <c r="Z340" i="23917"/>
  <c r="E386" i="23917"/>
  <c r="I386" i="23917"/>
  <c r="M386" i="23917"/>
  <c r="Q386" i="23917"/>
  <c r="U386" i="23917"/>
  <c r="Y386" i="23917"/>
  <c r="AC386" i="23917"/>
  <c r="AG386" i="23917"/>
  <c r="AK386" i="23917"/>
  <c r="E380" i="24050" s="1"/>
  <c r="AO386" i="23917"/>
  <c r="I380" i="24050" s="1"/>
  <c r="ED386" i="23917"/>
  <c r="FM386" i="23917"/>
  <c r="AS386" i="23917"/>
  <c r="M380" i="24050" s="1"/>
  <c r="BA386" i="23917"/>
  <c r="U380" i="24050" s="1"/>
  <c r="EZ388" i="23917"/>
  <c r="DQ388" i="23917"/>
  <c r="DS388" i="23917"/>
  <c r="B390" i="23917"/>
  <c r="F390" i="23917"/>
  <c r="N390" i="23917"/>
  <c r="R390" i="23917"/>
  <c r="V390" i="23917"/>
  <c r="AD390" i="23917"/>
  <c r="AT390" i="23917"/>
  <c r="N384" i="24050" s="1"/>
  <c r="AX390" i="23917"/>
  <c r="R384" i="24050" s="1"/>
  <c r="BB390" i="23917"/>
  <c r="V384" i="24050" s="1"/>
  <c r="C393" i="23917"/>
  <c r="G393" i="23917"/>
  <c r="K393" i="23917"/>
  <c r="O393" i="23917"/>
  <c r="S393" i="23917"/>
  <c r="W393" i="23917"/>
  <c r="AA393" i="23917"/>
  <c r="AE393" i="23917"/>
  <c r="AI393" i="23917"/>
  <c r="C387" i="24050" s="1"/>
  <c r="AM393" i="23917"/>
  <c r="G387" i="24050" s="1"/>
  <c r="AQ393" i="23917"/>
  <c r="K387" i="24050" s="1"/>
  <c r="AU393" i="23917"/>
  <c r="O387" i="24050" s="1"/>
  <c r="AY393" i="23917"/>
  <c r="S387" i="24050" s="1"/>
  <c r="BC393" i="23917"/>
  <c r="W387" i="24050" s="1"/>
  <c r="I394" i="23917"/>
  <c r="Q394" i="23917"/>
  <c r="Y394" i="23917"/>
  <c r="AG394" i="23917"/>
  <c r="DW396" i="23917"/>
  <c r="EA396" i="23917"/>
  <c r="EE396" i="23917"/>
  <c r="EK393" i="23917"/>
  <c r="EO393" i="23917"/>
  <c r="EW393" i="23917"/>
  <c r="S396" i="23917"/>
  <c r="W396" i="23917"/>
  <c r="AA396" i="23917"/>
  <c r="AE396" i="23917"/>
  <c r="AI396" i="23917"/>
  <c r="C390" i="24050" s="1"/>
  <c r="AM396" i="23917"/>
  <c r="G390" i="24050" s="1"/>
  <c r="AQ396" i="23917"/>
  <c r="K390" i="24050" s="1"/>
  <c r="AU396" i="23917"/>
  <c r="O390" i="24050" s="1"/>
  <c r="AY396" i="23917"/>
  <c r="S390" i="24050" s="1"/>
  <c r="BC396" i="23917"/>
  <c r="W390" i="24050" s="1"/>
  <c r="BE395" i="23917"/>
  <c r="Y389" i="24050" s="1"/>
  <c r="BK396" i="23917"/>
  <c r="AE390" i="24050" s="1"/>
  <c r="BM395" i="23917"/>
  <c r="AG389" i="24050" s="1"/>
  <c r="BS396" i="23917"/>
  <c r="AM390" i="24050" s="1"/>
  <c r="BU395" i="23917"/>
  <c r="AO389" i="24050" s="1"/>
  <c r="CA396" i="23917"/>
  <c r="AU390" i="24050" s="1"/>
  <c r="CC395" i="23917"/>
  <c r="AW389" i="24050" s="1"/>
  <c r="CI396" i="23917"/>
  <c r="BC390" i="24050" s="1"/>
  <c r="CK395" i="23917"/>
  <c r="BE389" i="24050" s="1"/>
  <c r="DQ394" i="23917"/>
  <c r="DS393" i="23917"/>
  <c r="FA396" i="23917"/>
  <c r="FO393" i="23917"/>
  <c r="FQ396" i="23917"/>
  <c r="FB393" i="23917"/>
  <c r="FB397" i="23917"/>
  <c r="FF395" i="23917"/>
  <c r="FH394" i="23917"/>
  <c r="FJ393" i="23917"/>
  <c r="CH403" i="23917"/>
  <c r="BB397" i="24050" s="1"/>
  <c r="CP403" i="23917"/>
  <c r="BJ397" i="24050" s="1"/>
  <c r="FI403" i="23917"/>
  <c r="E355" i="23917"/>
  <c r="I355" i="23917"/>
  <c r="M355" i="23917"/>
  <c r="Q355" i="23917"/>
  <c r="U355" i="23917"/>
  <c r="Y355" i="23917"/>
  <c r="AC355" i="23917"/>
  <c r="AG355" i="23917"/>
  <c r="EQ386" i="23917"/>
  <c r="EZ387" i="23917"/>
  <c r="AY386" i="23917"/>
  <c r="S380" i="24050" s="1"/>
  <c r="EW396" i="23917"/>
  <c r="BE396" i="23917"/>
  <c r="Y390" i="24050" s="1"/>
  <c r="BM396" i="23917"/>
  <c r="AG390" i="24050" s="1"/>
  <c r="BU396" i="23917"/>
  <c r="AO390" i="24050" s="1"/>
  <c r="CC396" i="23917"/>
  <c r="AW390" i="24050" s="1"/>
  <c r="CK396" i="23917"/>
  <c r="BE390" i="24050" s="1"/>
  <c r="EZ395" i="23917"/>
  <c r="EZ399" i="23917"/>
  <c r="U360" i="23917"/>
  <c r="AC360" i="23917"/>
  <c r="AI386" i="23917"/>
  <c r="C380" i="24050" s="1"/>
  <c r="DX386" i="23917"/>
  <c r="DY387" i="23917"/>
  <c r="AW386" i="23917"/>
  <c r="Q380" i="24050" s="1"/>
  <c r="DW389" i="23917"/>
  <c r="BE386" i="23917"/>
  <c r="Y380" i="24050" s="1"/>
  <c r="DQ386" i="23917"/>
  <c r="DS386" i="23917"/>
  <c r="H390" i="23917"/>
  <c r="X390" i="23917"/>
  <c r="E393" i="23917"/>
  <c r="I393" i="23917"/>
  <c r="M393" i="23917"/>
  <c r="Q393" i="23917"/>
  <c r="U393" i="23917"/>
  <c r="Y393" i="23917"/>
  <c r="AC393" i="23917"/>
  <c r="AG393" i="23917"/>
  <c r="AK393" i="23917"/>
  <c r="E387" i="24050" s="1"/>
  <c r="AO393" i="23917"/>
  <c r="I387" i="24050" s="1"/>
  <c r="AS393" i="23917"/>
  <c r="M387" i="24050" s="1"/>
  <c r="AW393" i="23917"/>
  <c r="Q387" i="24050" s="1"/>
  <c r="BA393" i="23917"/>
  <c r="U387" i="24050" s="1"/>
  <c r="AI394" i="23917"/>
  <c r="C388" i="24050" s="1"/>
  <c r="AY394" i="23917"/>
  <c r="S388" i="24050" s="1"/>
  <c r="BC394" i="23917"/>
  <c r="W388" i="24050" s="1"/>
  <c r="DW394" i="23917"/>
  <c r="DY396" i="23917"/>
  <c r="EC396" i="23917"/>
  <c r="EG396" i="23917"/>
  <c r="EM393" i="23917"/>
  <c r="EQ393" i="23917"/>
  <c r="Q396" i="23917"/>
  <c r="U396" i="23917"/>
  <c r="Y396" i="23917"/>
  <c r="AC396" i="23917"/>
  <c r="AG396" i="23917"/>
  <c r="AK396" i="23917"/>
  <c r="E390" i="24050" s="1"/>
  <c r="AO396" i="23917"/>
  <c r="I390" i="24050" s="1"/>
  <c r="AS396" i="23917"/>
  <c r="M390" i="24050" s="1"/>
  <c r="AW396" i="23917"/>
  <c r="Q390" i="24050" s="1"/>
  <c r="BA396" i="23917"/>
  <c r="U390" i="24050" s="1"/>
  <c r="BG396" i="23917"/>
  <c r="AA390" i="24050" s="1"/>
  <c r="BI395" i="23917"/>
  <c r="AC389" i="24050" s="1"/>
  <c r="BO396" i="23917"/>
  <c r="AI390" i="24050" s="1"/>
  <c r="BQ395" i="23917"/>
  <c r="AK389" i="24050" s="1"/>
  <c r="BW396" i="23917"/>
  <c r="AQ390" i="24050" s="1"/>
  <c r="BY395" i="23917"/>
  <c r="AS389" i="24050" s="1"/>
  <c r="CE396" i="23917"/>
  <c r="AY390" i="24050" s="1"/>
  <c r="CG395" i="23917"/>
  <c r="BA389" i="24050" s="1"/>
  <c r="CQ397" i="23917"/>
  <c r="BK391" i="24050" s="1"/>
  <c r="DQ396" i="23917"/>
  <c r="EX401" i="23917"/>
  <c r="FE403" i="23917"/>
  <c r="FD394" i="23917"/>
  <c r="FF393" i="23917"/>
  <c r="FH396" i="23917"/>
  <c r="FJ395" i="23917"/>
  <c r="CA402" i="23917"/>
  <c r="AU396" i="24050" s="1"/>
  <c r="C355" i="23917"/>
  <c r="G355" i="23917"/>
  <c r="K355" i="23917"/>
  <c r="O355" i="23917"/>
  <c r="S355" i="23917"/>
  <c r="W355" i="23917"/>
  <c r="AA355" i="23917"/>
  <c r="AE355" i="23917"/>
  <c r="F47" i="23917"/>
  <c r="F33" i="23917"/>
  <c r="F40" i="23917"/>
  <c r="G24" i="23917"/>
  <c r="DX389" i="23917"/>
  <c r="EQ396" i="23917"/>
  <c r="BI396" i="23917"/>
  <c r="AC390" i="24050" s="1"/>
  <c r="BQ396" i="23917"/>
  <c r="AK390" i="24050" s="1"/>
  <c r="BY396" i="23917"/>
  <c r="AS390" i="24050" s="1"/>
  <c r="CG396" i="23917"/>
  <c r="BA390" i="24050" s="1"/>
  <c r="DQ393" i="23917"/>
  <c r="DS396" i="23917"/>
  <c r="B101" i="23917"/>
  <c r="B33" i="23917"/>
  <c r="C24" i="23917"/>
  <c r="I11" i="23917"/>
  <c r="I70" i="23917"/>
  <c r="I24" i="23917"/>
  <c r="G70" i="23917"/>
  <c r="D101" i="23917"/>
  <c r="D47" i="23917"/>
  <c r="D33" i="23917"/>
  <c r="H101" i="23917"/>
  <c r="H33" i="23917"/>
  <c r="E11" i="23917"/>
  <c r="EJ10" i="23917"/>
  <c r="E70" i="23917"/>
  <c r="E24" i="23917"/>
  <c r="C38" i="23917"/>
  <c r="K38" i="23917"/>
  <c r="U38" i="23917"/>
  <c r="Q9" i="23917"/>
  <c r="O10" i="23917"/>
  <c r="I69" i="23917"/>
  <c r="I73" i="23917"/>
  <c r="G22" i="23917"/>
  <c r="O22" i="23917"/>
  <c r="Y39" i="23917"/>
  <c r="AC39" i="23917"/>
  <c r="H40" i="23917"/>
  <c r="C70" i="23917"/>
  <c r="G38" i="23917"/>
  <c r="O38" i="23917"/>
  <c r="Y38" i="23917"/>
  <c r="AC38" i="23917"/>
  <c r="AG38" i="23917"/>
  <c r="D40" i="23917"/>
  <c r="S38" i="23917"/>
  <c r="W38" i="23917"/>
  <c r="AA38" i="23917"/>
  <c r="AE38" i="23917"/>
  <c r="S39" i="23917"/>
  <c r="W39" i="23917"/>
  <c r="AA39" i="23917"/>
  <c r="AE39" i="23917"/>
  <c r="E81" i="23917"/>
  <c r="J98" i="23917"/>
  <c r="J86" i="23917"/>
  <c r="Z98" i="23917"/>
  <c r="R86" i="23917"/>
  <c r="B98" i="23917"/>
  <c r="B86" i="23917"/>
  <c r="B81" i="23917"/>
  <c r="F88" i="23917"/>
  <c r="J81" i="23917"/>
  <c r="N81" i="23917"/>
  <c r="R81" i="23917"/>
  <c r="V81" i="23917"/>
  <c r="Z81" i="23917"/>
  <c r="AD81" i="23917"/>
  <c r="C99" i="23917"/>
  <c r="G99" i="23917"/>
  <c r="K99" i="23917"/>
  <c r="O99" i="23917"/>
  <c r="S99" i="23917"/>
  <c r="W99" i="23917"/>
  <c r="AA99" i="23917"/>
  <c r="AE99" i="23917"/>
  <c r="L98" i="23917"/>
  <c r="T98" i="23917"/>
  <c r="T86" i="23917"/>
  <c r="AB86" i="23917"/>
  <c r="Z90" i="23917"/>
  <c r="Z88" i="23917"/>
  <c r="Z84" i="23917"/>
  <c r="Z85" i="23917"/>
  <c r="AA83" i="23917"/>
  <c r="T87" i="23917"/>
  <c r="M99" i="23917"/>
  <c r="Q99" i="23917"/>
  <c r="U99" i="23917"/>
  <c r="Y99" i="23917"/>
  <c r="AC99" i="23917"/>
  <c r="AG99" i="23917"/>
  <c r="P98" i="23917"/>
  <c r="X98" i="23917"/>
  <c r="X86" i="23917"/>
  <c r="AF86" i="23917"/>
  <c r="P88" i="23917"/>
  <c r="P85" i="23917"/>
  <c r="Q83" i="23917"/>
  <c r="J85" i="23917"/>
  <c r="J88" i="23917"/>
  <c r="K83" i="23917"/>
  <c r="Y84" i="23917"/>
  <c r="AF88" i="23917"/>
  <c r="AG83" i="23917"/>
  <c r="D85" i="23917"/>
  <c r="D88" i="23917"/>
  <c r="D87" i="23917"/>
  <c r="D84" i="23917"/>
  <c r="N88" i="23917"/>
  <c r="N84" i="23917"/>
  <c r="O83" i="23917"/>
  <c r="T88" i="23917"/>
  <c r="T85" i="23917"/>
  <c r="Y83" i="23917"/>
  <c r="AD90" i="23917"/>
  <c r="AD88" i="23917"/>
  <c r="AD84" i="23917"/>
  <c r="AE83" i="23917"/>
  <c r="F85" i="23917"/>
  <c r="F84" i="23917"/>
  <c r="G83" i="23917"/>
  <c r="L84" i="23917"/>
  <c r="V85" i="23917"/>
  <c r="W83" i="23917"/>
  <c r="B85" i="23917"/>
  <c r="C83" i="23917"/>
  <c r="H85" i="23917"/>
  <c r="M83" i="23917"/>
  <c r="S83" i="23917"/>
  <c r="X87" i="23917"/>
  <c r="AC83" i="23917"/>
  <c r="C84" i="23917"/>
  <c r="I84" i="23917"/>
  <c r="Q97" i="23917"/>
  <c r="G100" i="23917"/>
  <c r="W96" i="23917"/>
  <c r="Y97" i="23917"/>
  <c r="G96" i="23917"/>
  <c r="W100" i="23917"/>
  <c r="GK495" i="23916" l="1"/>
  <c r="GJ19" i="23916"/>
  <c r="GK19" i="23916" s="1"/>
  <c r="GM29" i="23916"/>
  <c r="GN25" i="23916"/>
  <c r="GL30" i="23916"/>
  <c r="GR33" i="23916"/>
  <c r="GQ33" i="23916"/>
  <c r="GQ32" i="23916"/>
  <c r="GK533" i="23916"/>
  <c r="GJ589" i="23916"/>
  <c r="GJ537" i="23916"/>
  <c r="GJ536" i="23916"/>
  <c r="GK536" i="23916" s="1"/>
  <c r="GP566" i="23916"/>
  <c r="GR415" i="23916"/>
  <c r="GQ415" i="23916"/>
  <c r="GR32" i="23916"/>
  <c r="GR35" i="23916"/>
  <c r="GT34" i="23916"/>
  <c r="GS34" i="23916"/>
  <c r="FR194" i="23917"/>
  <c r="FR348" i="23917"/>
  <c r="FR154" i="23917"/>
  <c r="FR277" i="23917"/>
  <c r="FR111" i="23917"/>
  <c r="FR312" i="23917"/>
  <c r="R8" i="24068"/>
  <c r="T59" i="24068"/>
  <c r="P26" i="24068"/>
  <c r="S17" i="24068"/>
  <c r="G19" i="24068"/>
  <c r="J19" i="24068"/>
  <c r="Q26" i="24068"/>
  <c r="I8" i="24068"/>
  <c r="BH121" i="24050"/>
  <c r="BH122" i="24050" s="1"/>
  <c r="BH8" i="24050"/>
  <c r="CN127" i="23917"/>
  <c r="CN128" i="23917" s="1"/>
  <c r="CE119" i="24050"/>
  <c r="DK125" i="23917"/>
  <c r="B88" i="23917"/>
  <c r="AC125" i="23917"/>
  <c r="DJ220" i="24050"/>
  <c r="AL397" i="23917"/>
  <c r="F391" i="24050" s="1"/>
  <c r="AM397" i="23917"/>
  <c r="G391" i="24050" s="1"/>
  <c r="AN399" i="23917"/>
  <c r="H393" i="24050" s="1"/>
  <c r="AO399" i="23917"/>
  <c r="I393" i="24050" s="1"/>
  <c r="AY400" i="23917"/>
  <c r="S394" i="24050" s="1"/>
  <c r="AP402" i="23917"/>
  <c r="J396" i="24050" s="1"/>
  <c r="AQ402" i="23917"/>
  <c r="K396" i="24050" s="1"/>
  <c r="AS402" i="23917"/>
  <c r="M396" i="24050" s="1"/>
  <c r="AJ397" i="23917"/>
  <c r="D391" i="24050" s="1"/>
  <c r="BB398" i="23917"/>
  <c r="V392" i="24050" s="1"/>
  <c r="BC398" i="23917"/>
  <c r="W392" i="24050" s="1"/>
  <c r="AZ397" i="23917"/>
  <c r="T391" i="24050" s="1"/>
  <c r="BA397" i="23917"/>
  <c r="U391" i="24050" s="1"/>
  <c r="AB397" i="23917"/>
  <c r="AC397" i="23917"/>
  <c r="AE397" i="23917"/>
  <c r="T17" i="24068"/>
  <c r="P17" i="24068"/>
  <c r="V397" i="23917"/>
  <c r="W397" i="23917"/>
  <c r="AI399" i="23917"/>
  <c r="C393" i="24050" s="1"/>
  <c r="S397" i="23917"/>
  <c r="AD395" i="23917"/>
  <c r="AE395" i="23917"/>
  <c r="AQ399" i="23917"/>
  <c r="K393" i="24050" s="1"/>
  <c r="AR397" i="23917"/>
  <c r="L391" i="24050" s="1"/>
  <c r="AS397" i="23917"/>
  <c r="M391" i="24050" s="1"/>
  <c r="F397" i="23917"/>
  <c r="G397" i="23917"/>
  <c r="AL400" i="23917"/>
  <c r="F394" i="24050" s="1"/>
  <c r="AM400" i="23917"/>
  <c r="G394" i="24050" s="1"/>
  <c r="D397" i="23917"/>
  <c r="E397" i="23917"/>
  <c r="AI398" i="23917"/>
  <c r="C392" i="24050" s="1"/>
  <c r="AV397" i="23917"/>
  <c r="P391" i="24050" s="1"/>
  <c r="AW397" i="23917"/>
  <c r="Q391" i="24050" s="1"/>
  <c r="L397" i="23917"/>
  <c r="M397" i="23917"/>
  <c r="O397" i="23917"/>
  <c r="V80" i="24050"/>
  <c r="J9" i="24068"/>
  <c r="AB87" i="23917"/>
  <c r="AG364" i="23917"/>
  <c r="EV402" i="23917"/>
  <c r="EN398" i="23917"/>
  <c r="EV395" i="23917"/>
  <c r="ER394" i="23917"/>
  <c r="DL388" i="24050" s="1"/>
  <c r="EZ386" i="23917"/>
  <c r="AE369" i="23917"/>
  <c r="FB390" i="23917"/>
  <c r="AB408" i="23917"/>
  <c r="C304" i="23917"/>
  <c r="CS53" i="24050"/>
  <c r="DJ147" i="24050"/>
  <c r="DA147" i="24050"/>
  <c r="DA305" i="24050"/>
  <c r="CS147" i="24050"/>
  <c r="CK147" i="24050"/>
  <c r="CK305" i="24050"/>
  <c r="CC147" i="24050"/>
  <c r="BU147" i="24050"/>
  <c r="BU305" i="24050"/>
  <c r="BM147" i="24050"/>
  <c r="BE147" i="24050"/>
  <c r="BE305" i="24050"/>
  <c r="AW147" i="24050"/>
  <c r="AM148" i="24050"/>
  <c r="AE105" i="24050"/>
  <c r="W188" i="24050"/>
  <c r="O105" i="24050"/>
  <c r="G54" i="24050"/>
  <c r="G230" i="24050"/>
  <c r="EN187" i="24050"/>
  <c r="EF104" i="24050"/>
  <c r="DX53" i="24050"/>
  <c r="DX229" i="24050"/>
  <c r="S28" i="24068"/>
  <c r="AR399" i="23917"/>
  <c r="L393" i="24050" s="1"/>
  <c r="AS399" i="23917"/>
  <c r="M393" i="24050" s="1"/>
  <c r="AU399" i="23917"/>
  <c r="O393" i="24050" s="1"/>
  <c r="AO400" i="23917"/>
  <c r="I394" i="24050" s="1"/>
  <c r="AT397" i="23917"/>
  <c r="N391" i="24050" s="1"/>
  <c r="AU397" i="23917"/>
  <c r="O391" i="24050" s="1"/>
  <c r="T397" i="23917"/>
  <c r="U397" i="23917"/>
  <c r="ER397" i="23917"/>
  <c r="M8" i="24068"/>
  <c r="EA387" i="23917"/>
  <c r="EB387" i="23917"/>
  <c r="G8" i="24068"/>
  <c r="K8" i="24068"/>
  <c r="L8" i="24068"/>
  <c r="J10" i="24068"/>
  <c r="K10" i="24068"/>
  <c r="O202" i="24050"/>
  <c r="AU208" i="23917"/>
  <c r="BY121" i="24050"/>
  <c r="BY8" i="24050"/>
  <c r="DE127" i="23917"/>
  <c r="CJ81" i="24050"/>
  <c r="DP87" i="23917"/>
  <c r="BT81" i="24050"/>
  <c r="CZ87" i="23917"/>
  <c r="BD81" i="24050"/>
  <c r="CJ87" i="23917"/>
  <c r="X81" i="24050"/>
  <c r="BD87" i="23917"/>
  <c r="H81" i="24050"/>
  <c r="AN87" i="23917"/>
  <c r="EH31" i="24050"/>
  <c r="FN39" i="23917"/>
  <c r="DX222" i="24050"/>
  <c r="FD228" i="23917"/>
  <c r="DR110" i="24050"/>
  <c r="EX116" i="23917"/>
  <c r="V82" i="24050"/>
  <c r="BB88" i="23917"/>
  <c r="DG92" i="24050"/>
  <c r="EM98" i="23917"/>
  <c r="CV158" i="24050"/>
  <c r="EB164" i="23917"/>
  <c r="DM19" i="24050"/>
  <c r="ES22" i="23917"/>
  <c r="DM356" i="24050"/>
  <c r="ES362" i="23917"/>
  <c r="DN352" i="24050"/>
  <c r="ET358" i="23917"/>
  <c r="O349" i="24050"/>
  <c r="AU355" i="23917"/>
  <c r="DP403" i="23917"/>
  <c r="DZ387" i="24050"/>
  <c r="CL387" i="24050"/>
  <c r="CD395" i="24050"/>
  <c r="DR395" i="24050"/>
  <c r="DK321" i="24050"/>
  <c r="EQ327" i="23917"/>
  <c r="FP394" i="23917"/>
  <c r="FO394" i="23917"/>
  <c r="ET396" i="23917"/>
  <c r="ES396" i="23917"/>
  <c r="EP386" i="23917"/>
  <c r="EM386" i="23917"/>
  <c r="B332" i="24050"/>
  <c r="AH338" i="23917"/>
  <c r="DO356" i="24050"/>
  <c r="EU362" i="23917"/>
  <c r="DD352" i="24050"/>
  <c r="EJ358" i="23917"/>
  <c r="DH352" i="24050"/>
  <c r="EN358" i="23917"/>
  <c r="M349" i="24050"/>
  <c r="AS355" i="23917"/>
  <c r="EC397" i="24050"/>
  <c r="CO397" i="24050"/>
  <c r="BO403" i="23917"/>
  <c r="AI397" i="24050" s="1"/>
  <c r="BN403" i="23917"/>
  <c r="AH397" i="24050" s="1"/>
  <c r="EB388" i="24050"/>
  <c r="CN388" i="24050"/>
  <c r="EK390" i="24050"/>
  <c r="CW390" i="24050"/>
  <c r="FH397" i="23917"/>
  <c r="FG397" i="23917"/>
  <c r="EV394" i="23917"/>
  <c r="EU394" i="23917"/>
  <c r="BQ387" i="24050"/>
  <c r="DE387" i="24050"/>
  <c r="J334" i="24050"/>
  <c r="AP340" i="23917"/>
  <c r="W340" i="23917"/>
  <c r="V340" i="23917"/>
  <c r="G340" i="23917"/>
  <c r="F340" i="23917"/>
  <c r="EC321" i="24050"/>
  <c r="FI327" i="23917"/>
  <c r="DI321" i="24050"/>
  <c r="EO327" i="23917"/>
  <c r="CC320" i="24050"/>
  <c r="DI326" i="23917"/>
  <c r="BM320" i="24050"/>
  <c r="CS326" i="23917"/>
  <c r="AW320" i="24050"/>
  <c r="CC326" i="23917"/>
  <c r="AG320" i="24050"/>
  <c r="BM326" i="23917"/>
  <c r="Q320" i="24050"/>
  <c r="AW326" i="23917"/>
  <c r="EF319" i="24050"/>
  <c r="FL325" i="23917"/>
  <c r="DP319" i="24050"/>
  <c r="EV325" i="23917"/>
  <c r="ED317" i="24050"/>
  <c r="FJ323" i="23917"/>
  <c r="ED316" i="24050"/>
  <c r="FJ322" i="23917"/>
  <c r="CI313" i="24050"/>
  <c r="DO319" i="23917"/>
  <c r="BS313" i="24050"/>
  <c r="CY319" i="23917"/>
  <c r="BC313" i="24050"/>
  <c r="CI319" i="23917"/>
  <c r="AM313" i="24050"/>
  <c r="BS319" i="23917"/>
  <c r="O313" i="24050"/>
  <c r="AU319" i="23917"/>
  <c r="DP367" i="24050"/>
  <c r="EV373" i="23917"/>
  <c r="P363" i="24050"/>
  <c r="AV369" i="23917"/>
  <c r="DL349" i="24050"/>
  <c r="ER355" i="23917"/>
  <c r="BZ395" i="24050"/>
  <c r="DN395" i="24050"/>
  <c r="DR396" i="24050"/>
  <c r="CD396" i="24050"/>
  <c r="DR392" i="24050"/>
  <c r="CD392" i="24050"/>
  <c r="DN389" i="24050"/>
  <c r="BZ389" i="24050"/>
  <c r="DJ388" i="24050"/>
  <c r="BV388" i="24050"/>
  <c r="DF320" i="24050"/>
  <c r="EL326" i="23917"/>
  <c r="BX334" i="24050"/>
  <c r="DD340" i="23917"/>
  <c r="AR334" i="24050"/>
  <c r="BX340" i="23917"/>
  <c r="M316" i="24050"/>
  <c r="AS322" i="23917"/>
  <c r="EG332" i="24050"/>
  <c r="FM338" i="23917"/>
  <c r="DM333" i="24050"/>
  <c r="ES339" i="23917"/>
  <c r="DG313" i="24050"/>
  <c r="EM319" i="23917"/>
  <c r="CF323" i="24050"/>
  <c r="CF324" i="24050" s="1"/>
  <c r="CF14" i="24050"/>
  <c r="DL329" i="23917"/>
  <c r="DL330" i="23917" s="1"/>
  <c r="BP323" i="24050"/>
  <c r="BP324" i="24050" s="1"/>
  <c r="BP14" i="24050"/>
  <c r="CV329" i="23917"/>
  <c r="CV330" i="23917" s="1"/>
  <c r="AZ323" i="24050"/>
  <c r="AZ324" i="24050" s="1"/>
  <c r="AZ14" i="24050"/>
  <c r="CF329" i="23917"/>
  <c r="CF330" i="23917" s="1"/>
  <c r="AJ323" i="24050"/>
  <c r="AJ14" i="24050"/>
  <c r="BP329" i="23917"/>
  <c r="I313" i="24050"/>
  <c r="AO319" i="23917"/>
  <c r="AG340" i="23917"/>
  <c r="AF340" i="23917"/>
  <c r="G335" i="23917"/>
  <c r="F335" i="23917"/>
  <c r="CP313" i="24050"/>
  <c r="DV319" i="23917"/>
  <c r="EF312" i="24050"/>
  <c r="FL318" i="23917"/>
  <c r="DN312" i="24050"/>
  <c r="ET318" i="23917"/>
  <c r="DE332" i="24050"/>
  <c r="EK338" i="23917"/>
  <c r="AX298" i="24050"/>
  <c r="CD304" i="23917"/>
  <c r="AA304" i="23917"/>
  <c r="Z304" i="23917"/>
  <c r="CW296" i="24050"/>
  <c r="EC302" i="23917"/>
  <c r="DD281" i="24050"/>
  <c r="EJ287" i="23917"/>
  <c r="EH282" i="24050"/>
  <c r="FN288" i="23917"/>
  <c r="DR282" i="24050"/>
  <c r="EX288" i="23917"/>
  <c r="EF281" i="24050"/>
  <c r="FL287" i="23917"/>
  <c r="DP281" i="24050"/>
  <c r="EV287" i="23917"/>
  <c r="BY278" i="24050"/>
  <c r="DE284" i="23917"/>
  <c r="M278" i="24050"/>
  <c r="AS284" i="23917"/>
  <c r="DD275" i="24050"/>
  <c r="EJ281" i="23917"/>
  <c r="CM255" i="24050"/>
  <c r="DS261" i="23917"/>
  <c r="DQ236" i="24050"/>
  <c r="EW242" i="23917"/>
  <c r="O358" i="24050"/>
  <c r="AU364" i="23917"/>
  <c r="F363" i="24050"/>
  <c r="AL369" i="23917"/>
  <c r="DJ395" i="24050"/>
  <c r="BV395" i="24050"/>
  <c r="BI15" i="24050"/>
  <c r="CO408" i="23917"/>
  <c r="BI399" i="24050" s="1"/>
  <c r="BI408" i="23917"/>
  <c r="AC399" i="24050" s="1"/>
  <c r="AC15" i="24050"/>
  <c r="CB383" i="24050"/>
  <c r="DP383" i="24050"/>
  <c r="BA321" i="24050"/>
  <c r="CG327" i="23917"/>
  <c r="CM320" i="24050"/>
  <c r="DS326" i="23917"/>
  <c r="BW320" i="24050"/>
  <c r="DC326" i="23917"/>
  <c r="BN334" i="24050"/>
  <c r="CT340" i="23917"/>
  <c r="BF334" i="24050"/>
  <c r="CL340" i="23917"/>
  <c r="AX321" i="24050"/>
  <c r="CD327" i="23917"/>
  <c r="AP321" i="24050"/>
  <c r="BV327" i="23917"/>
  <c r="AI320" i="24050"/>
  <c r="BO326" i="23917"/>
  <c r="Z321" i="24050"/>
  <c r="BF327" i="23917"/>
  <c r="S320" i="24050"/>
  <c r="AY326" i="23917"/>
  <c r="DR319" i="24050"/>
  <c r="EX325" i="23917"/>
  <c r="EU318" i="24050"/>
  <c r="GA324" i="23917"/>
  <c r="EA333" i="24050"/>
  <c r="FG339" i="23917"/>
  <c r="DW332" i="24050"/>
  <c r="FC338" i="23917"/>
  <c r="CL323" i="24050"/>
  <c r="CL324" i="24050" s="1"/>
  <c r="CL14" i="24050"/>
  <c r="DR329" i="23917"/>
  <c r="DR330" i="23917" s="1"/>
  <c r="N329" i="24050"/>
  <c r="AT335" i="23917"/>
  <c r="AA311" i="24050"/>
  <c r="BG317" i="23917"/>
  <c r="DH311" i="24050"/>
  <c r="EN317" i="23917"/>
  <c r="CB287" i="24050"/>
  <c r="CB288" i="24050" s="1"/>
  <c r="CB13" i="24050"/>
  <c r="DH293" i="23917"/>
  <c r="DH294" i="23917" s="1"/>
  <c r="AV287" i="24050"/>
  <c r="AV288" i="24050" s="1"/>
  <c r="AV13" i="24050"/>
  <c r="CB293" i="23917"/>
  <c r="CB294" i="23917" s="1"/>
  <c r="P287" i="24050"/>
  <c r="P13" i="24050"/>
  <c r="AV293" i="23917"/>
  <c r="EE296" i="24050"/>
  <c r="FK302" i="23917"/>
  <c r="DO296" i="24050"/>
  <c r="EU302" i="23917"/>
  <c r="M284" i="24050"/>
  <c r="AS290" i="23917"/>
  <c r="DY278" i="24050"/>
  <c r="FE284" i="23917"/>
  <c r="DI278" i="24050"/>
  <c r="EO284" i="23917"/>
  <c r="ED276" i="24050"/>
  <c r="FJ282" i="23917"/>
  <c r="CX277" i="24050"/>
  <c r="ED283" i="23917"/>
  <c r="C262" i="24050"/>
  <c r="AI268" i="23917"/>
  <c r="EB262" i="24050"/>
  <c r="FH268" i="23917"/>
  <c r="BD257" i="24050"/>
  <c r="CJ263" i="23917"/>
  <c r="AN257" i="24050"/>
  <c r="BT263" i="23917"/>
  <c r="X257" i="24050"/>
  <c r="BD263" i="23917"/>
  <c r="CH244" i="24050"/>
  <c r="DN250" i="23917"/>
  <c r="BR244" i="24050"/>
  <c r="CX250" i="23917"/>
  <c r="BB244" i="24050"/>
  <c r="CH250" i="23917"/>
  <c r="AL244" i="24050"/>
  <c r="BR250" i="23917"/>
  <c r="V244" i="24050"/>
  <c r="BB250" i="23917"/>
  <c r="F244" i="24050"/>
  <c r="AL250" i="23917"/>
  <c r="DU244" i="24050"/>
  <c r="FA250" i="23917"/>
  <c r="EB243" i="24050"/>
  <c r="FH249" i="23917"/>
  <c r="DL243" i="24050"/>
  <c r="ER249" i="23917"/>
  <c r="DW242" i="24050"/>
  <c r="FC248" i="23917"/>
  <c r="EH241" i="24050"/>
  <c r="FN247" i="23917"/>
  <c r="DR241" i="24050"/>
  <c r="EX247" i="23917"/>
  <c r="DP240" i="24050"/>
  <c r="EV246" i="23917"/>
  <c r="CG237" i="24050"/>
  <c r="DM243" i="23917"/>
  <c r="BQ237" i="24050"/>
  <c r="CW243" i="23917"/>
  <c r="E358" i="24050"/>
  <c r="AK364" i="23917"/>
  <c r="DH396" i="24050"/>
  <c r="BT396" i="24050"/>
  <c r="EH387" i="24050"/>
  <c r="CT387" i="24050"/>
  <c r="K321" i="24050"/>
  <c r="AQ327" i="23917"/>
  <c r="BL334" i="24050"/>
  <c r="CR340" i="23917"/>
  <c r="AF334" i="24050"/>
  <c r="BL340" i="23917"/>
  <c r="DZ318" i="24050"/>
  <c r="FF324" i="23917"/>
  <c r="AJ321" i="24050"/>
  <c r="BP327" i="23917"/>
  <c r="DY333" i="24050"/>
  <c r="FE339" i="23917"/>
  <c r="DG333" i="24050"/>
  <c r="EM339" i="23917"/>
  <c r="EE313" i="24050"/>
  <c r="FK319" i="23917"/>
  <c r="CB323" i="24050"/>
  <c r="CB324" i="24050" s="1"/>
  <c r="CB14" i="24050"/>
  <c r="DH329" i="23917"/>
  <c r="DH330" i="23917" s="1"/>
  <c r="BL323" i="24050"/>
  <c r="BL324" i="24050" s="1"/>
  <c r="BL14" i="24050"/>
  <c r="CR329" i="23917"/>
  <c r="CR330" i="23917" s="1"/>
  <c r="AV323" i="24050"/>
  <c r="AV324" i="24050" s="1"/>
  <c r="AV14" i="24050"/>
  <c r="CB329" i="23917"/>
  <c r="CB330" i="23917" s="1"/>
  <c r="AF323" i="24050"/>
  <c r="AF14" i="24050"/>
  <c r="BL329" i="23917"/>
  <c r="L323" i="24050"/>
  <c r="L14" i="24050"/>
  <c r="AR329" i="23917"/>
  <c r="AA335" i="23917"/>
  <c r="Z335" i="23917"/>
  <c r="DZ310" i="24050"/>
  <c r="FF316" i="23917"/>
  <c r="DI313" i="24050"/>
  <c r="EO319" i="23917"/>
  <c r="K23" i="24068"/>
  <c r="BP287" i="24050"/>
  <c r="BP288" i="24050" s="1"/>
  <c r="BP13" i="24050"/>
  <c r="CV293" i="23917"/>
  <c r="CV294" i="23917" s="1"/>
  <c r="AJ287" i="24050"/>
  <c r="AJ13" i="24050"/>
  <c r="BP293" i="23917"/>
  <c r="D287" i="24050"/>
  <c r="D13" i="24050"/>
  <c r="AJ293" i="23917"/>
  <c r="CF298" i="24050"/>
  <c r="DL304" i="23917"/>
  <c r="BP298" i="24050"/>
  <c r="CV304" i="23917"/>
  <c r="AZ298" i="24050"/>
  <c r="CF304" i="23917"/>
  <c r="AJ298" i="24050"/>
  <c r="BP304" i="23917"/>
  <c r="T298" i="24050"/>
  <c r="AZ304" i="23917"/>
  <c r="D298" i="24050"/>
  <c r="AJ304" i="23917"/>
  <c r="U304" i="23917"/>
  <c r="T304" i="23917"/>
  <c r="E304" i="23917"/>
  <c r="D304" i="23917"/>
  <c r="AC291" i="23917"/>
  <c r="AB291" i="23917"/>
  <c r="CK283" i="24050"/>
  <c r="DQ289" i="23917"/>
  <c r="CC283" i="24050"/>
  <c r="DI289" i="23917"/>
  <c r="BS283" i="24050"/>
  <c r="CY289" i="23917"/>
  <c r="BG283" i="24050"/>
  <c r="CM289" i="23917"/>
  <c r="AW283" i="24050"/>
  <c r="CC289" i="23917"/>
  <c r="AM283" i="24050"/>
  <c r="BS289" i="23917"/>
  <c r="AA283" i="24050"/>
  <c r="BG289" i="23917"/>
  <c r="Q283" i="24050"/>
  <c r="AW289" i="23917"/>
  <c r="I283" i="24050"/>
  <c r="AO289" i="23917"/>
  <c r="CK263" i="24050"/>
  <c r="DQ269" i="23917"/>
  <c r="CJ246" i="24050"/>
  <c r="CJ247" i="24050" s="1"/>
  <c r="CJ12" i="24050"/>
  <c r="DP252" i="23917"/>
  <c r="DP253" i="23917" s="1"/>
  <c r="M14" i="24068"/>
  <c r="BT246" i="24050"/>
  <c r="BT247" i="24050" s="1"/>
  <c r="BT12" i="24050"/>
  <c r="CZ252" i="23917"/>
  <c r="CZ253" i="23917" s="1"/>
  <c r="E14" i="24068"/>
  <c r="BD246" i="24050"/>
  <c r="BD247" i="24050" s="1"/>
  <c r="BD12" i="24050"/>
  <c r="CJ252" i="23917"/>
  <c r="CJ253" i="23917" s="1"/>
  <c r="AN246" i="24050"/>
  <c r="AN12" i="24050"/>
  <c r="BT252" i="23917"/>
  <c r="X246" i="24050"/>
  <c r="X12" i="24050"/>
  <c r="BD252" i="23917"/>
  <c r="DI257" i="24050"/>
  <c r="EO263" i="23917"/>
  <c r="DS237" i="24050"/>
  <c r="EY243" i="23917"/>
  <c r="DF366" i="24050"/>
  <c r="EL372" i="23917"/>
  <c r="C358" i="24050"/>
  <c r="AI364" i="23917"/>
  <c r="AA369" i="23917"/>
  <c r="Z369" i="23917"/>
  <c r="DT388" i="24050"/>
  <c r="CF388" i="24050"/>
  <c r="AD15" i="24050"/>
  <c r="BJ408" i="23917"/>
  <c r="AD399" i="24050" s="1"/>
  <c r="BT383" i="24050"/>
  <c r="DH383" i="24050"/>
  <c r="DX384" i="24050"/>
  <c r="CJ384" i="24050"/>
  <c r="BQ384" i="24050"/>
  <c r="DE384" i="24050"/>
  <c r="CH334" i="24050"/>
  <c r="DN340" i="23917"/>
  <c r="BZ334" i="24050"/>
  <c r="DF340" i="23917"/>
  <c r="BR334" i="24050"/>
  <c r="CX340" i="23917"/>
  <c r="BJ334" i="24050"/>
  <c r="CP340" i="23917"/>
  <c r="BB334" i="24050"/>
  <c r="CH340" i="23917"/>
  <c r="AT334" i="24050"/>
  <c r="BZ340" i="23917"/>
  <c r="AL334" i="24050"/>
  <c r="BR340" i="23917"/>
  <c r="AD334" i="24050"/>
  <c r="BJ340" i="23917"/>
  <c r="V334" i="24050"/>
  <c r="BB340" i="23917"/>
  <c r="AE327" i="23917"/>
  <c r="AD327" i="23917"/>
  <c r="DX317" i="24050"/>
  <c r="FD323" i="23917"/>
  <c r="DG321" i="24050"/>
  <c r="EM327" i="23917"/>
  <c r="T323" i="24050"/>
  <c r="T14" i="24050"/>
  <c r="AZ329" i="23917"/>
  <c r="DU313" i="24050"/>
  <c r="FA319" i="23917"/>
  <c r="DQ312" i="24050"/>
  <c r="EW318" i="23917"/>
  <c r="EF310" i="24050"/>
  <c r="FL316" i="23917"/>
  <c r="DP310" i="24050"/>
  <c r="EV316" i="23917"/>
  <c r="M23" i="24068"/>
  <c r="BT287" i="24050"/>
  <c r="BT288" i="24050" s="1"/>
  <c r="BT13" i="24050"/>
  <c r="CZ293" i="23917"/>
  <c r="CZ294" i="23917" s="1"/>
  <c r="AN287" i="24050"/>
  <c r="AN13" i="24050"/>
  <c r="BT293" i="23917"/>
  <c r="H287" i="24050"/>
  <c r="H13" i="24050"/>
  <c r="AN293" i="23917"/>
  <c r="CR297" i="24050"/>
  <c r="DX303" i="23917"/>
  <c r="DY296" i="24050"/>
  <c r="FE302" i="23917"/>
  <c r="DI296" i="24050"/>
  <c r="EO302" i="23917"/>
  <c r="EC283" i="24050"/>
  <c r="FI289" i="23917"/>
  <c r="DM283" i="24050"/>
  <c r="ES289" i="23917"/>
  <c r="DC278" i="24050"/>
  <c r="EI284" i="23917"/>
  <c r="DL276" i="24050"/>
  <c r="ER282" i="23917"/>
  <c r="CI263" i="24050"/>
  <c r="DO269" i="23917"/>
  <c r="P18" i="24068"/>
  <c r="DY263" i="24050"/>
  <c r="FE269" i="23917"/>
  <c r="DV262" i="24050"/>
  <c r="FB268" i="23917"/>
  <c r="DT260" i="24050"/>
  <c r="EZ266" i="23917"/>
  <c r="CD257" i="24050"/>
  <c r="DJ263" i="23917"/>
  <c r="BJ257" i="24050"/>
  <c r="CP263" i="23917"/>
  <c r="AT257" i="24050"/>
  <c r="BZ263" i="23917"/>
  <c r="AD257" i="24050"/>
  <c r="BJ263" i="23917"/>
  <c r="EE255" i="24050"/>
  <c r="FK261" i="23917"/>
  <c r="BX244" i="24050"/>
  <c r="DD250" i="23917"/>
  <c r="BH244" i="24050"/>
  <c r="CN250" i="23917"/>
  <c r="AR244" i="24050"/>
  <c r="BX250" i="23917"/>
  <c r="AB244" i="24050"/>
  <c r="BH250" i="23917"/>
  <c r="L244" i="24050"/>
  <c r="AR250" i="23917"/>
  <c r="DS244" i="24050"/>
  <c r="EY250" i="23917"/>
  <c r="DZ243" i="24050"/>
  <c r="FF249" i="23917"/>
  <c r="EG242" i="24050"/>
  <c r="FM248" i="23917"/>
  <c r="DQ242" i="24050"/>
  <c r="EW248" i="23917"/>
  <c r="EB241" i="24050"/>
  <c r="FH247" i="23917"/>
  <c r="EH240" i="24050"/>
  <c r="FN246" i="23917"/>
  <c r="DR240" i="24050"/>
  <c r="EX246" i="23917"/>
  <c r="BO237" i="24050"/>
  <c r="CU243" i="23917"/>
  <c r="DZ236" i="24050"/>
  <c r="FF242" i="23917"/>
  <c r="EB235" i="24050"/>
  <c r="FH241" i="23917"/>
  <c r="ED234" i="24050"/>
  <c r="FJ240" i="23917"/>
  <c r="DN234" i="24050"/>
  <c r="ET240" i="23917"/>
  <c r="CA285" i="24050"/>
  <c r="DG291" i="23917"/>
  <c r="AU285" i="24050"/>
  <c r="CA291" i="23917"/>
  <c r="O285" i="24050"/>
  <c r="AU291" i="23917"/>
  <c r="DL297" i="24050"/>
  <c r="ER303" i="23917"/>
  <c r="BX287" i="24050"/>
  <c r="BX288" i="24050" s="1"/>
  <c r="BX13" i="24050"/>
  <c r="DD293" i="23917"/>
  <c r="DD294" i="23917" s="1"/>
  <c r="AX293" i="24050"/>
  <c r="CD299" i="23917"/>
  <c r="L287" i="24050"/>
  <c r="L13" i="24050"/>
  <c r="AR293" i="23917"/>
  <c r="CT276" i="24050"/>
  <c r="DZ282" i="23917"/>
  <c r="E257" i="24050"/>
  <c r="AK263" i="23917"/>
  <c r="DX255" i="24050"/>
  <c r="FD261" i="23917"/>
  <c r="EG257" i="24050"/>
  <c r="FM263" i="23917"/>
  <c r="M9" i="24068"/>
  <c r="M10" i="24068" s="1"/>
  <c r="DU19" i="23917"/>
  <c r="DT19" i="23917"/>
  <c r="DC19" i="23917"/>
  <c r="DB19" i="23917"/>
  <c r="AA19" i="23917"/>
  <c r="Z19" i="23917"/>
  <c r="DT221" i="24050"/>
  <c r="EZ227" i="23917"/>
  <c r="DH220" i="24050"/>
  <c r="EN226" i="23917"/>
  <c r="DX220" i="24050"/>
  <c r="FD226" i="23917"/>
  <c r="DV218" i="24050"/>
  <c r="FB224" i="23917"/>
  <c r="BK213" i="24050"/>
  <c r="CQ219" i="23917"/>
  <c r="DW202" i="24050"/>
  <c r="FC208" i="23917"/>
  <c r="DK200" i="24050"/>
  <c r="EQ206" i="23917"/>
  <c r="DX199" i="24050"/>
  <c r="FD205" i="23917"/>
  <c r="DP198" i="24050"/>
  <c r="EV204" i="23917"/>
  <c r="ED178" i="24050"/>
  <c r="FJ184" i="23917"/>
  <c r="CG285" i="24050"/>
  <c r="DM291" i="23917"/>
  <c r="BA285" i="24050"/>
  <c r="CG291" i="23917"/>
  <c r="U285" i="24050"/>
  <c r="BA291" i="23917"/>
  <c r="CQ298" i="24050"/>
  <c r="DW304" i="23917"/>
  <c r="Q299" i="23917"/>
  <c r="P299" i="23917"/>
  <c r="DS287" i="24050"/>
  <c r="DS13" i="24050"/>
  <c r="EY293" i="23917"/>
  <c r="C255" i="24050"/>
  <c r="AI261" i="23917"/>
  <c r="K201" i="24050"/>
  <c r="AQ207" i="23917"/>
  <c r="DT192" i="24050"/>
  <c r="EZ198" i="23917"/>
  <c r="CM285" i="24050"/>
  <c r="DS291" i="23917"/>
  <c r="BG285" i="24050"/>
  <c r="CM291" i="23917"/>
  <c r="AA285" i="24050"/>
  <c r="BG291" i="23917"/>
  <c r="EH278" i="24050"/>
  <c r="FN284" i="23917"/>
  <c r="CW257" i="24050"/>
  <c r="EC263" i="23917"/>
  <c r="CK285" i="24050"/>
  <c r="DQ291" i="23917"/>
  <c r="BE285" i="24050"/>
  <c r="CK291" i="23917"/>
  <c r="Y285" i="24050"/>
  <c r="BE291" i="23917"/>
  <c r="DG298" i="24050"/>
  <c r="EM304" i="23917"/>
  <c r="DJ285" i="24050"/>
  <c r="EP291" i="23917"/>
  <c r="AE298" i="24050"/>
  <c r="BK304" i="23917"/>
  <c r="DK287" i="24050"/>
  <c r="DK13" i="24050"/>
  <c r="EQ293" i="23917"/>
  <c r="C263" i="24050"/>
  <c r="AI269" i="23917"/>
  <c r="DZ255" i="24050"/>
  <c r="FF261" i="23917"/>
  <c r="CC257" i="24050"/>
  <c r="DI263" i="23917"/>
  <c r="DO19" i="23917"/>
  <c r="DN19" i="23917"/>
  <c r="BY204" i="24050"/>
  <c r="BY10" i="24050"/>
  <c r="DE210" i="23917"/>
  <c r="AS204" i="24050"/>
  <c r="AS10" i="24050"/>
  <c r="BY210" i="23917"/>
  <c r="O215" i="24050"/>
  <c r="AU221" i="23917"/>
  <c r="DO215" i="24050"/>
  <c r="EU221" i="23917"/>
  <c r="DO213" i="24050"/>
  <c r="EU219" i="23917"/>
  <c r="BM195" i="24050"/>
  <c r="CS201" i="23917"/>
  <c r="DN192" i="24050"/>
  <c r="ET198" i="23917"/>
  <c r="CG175" i="24050"/>
  <c r="DM181" i="23917"/>
  <c r="BA175" i="24050"/>
  <c r="CG181" i="23917"/>
  <c r="U175" i="24050"/>
  <c r="BA181" i="23917"/>
  <c r="ED174" i="24050"/>
  <c r="FJ180" i="23917"/>
  <c r="AQ222" i="24050"/>
  <c r="BW228" i="23917"/>
  <c r="BO215" i="24050"/>
  <c r="CU221" i="23917"/>
  <c r="C215" i="24050"/>
  <c r="AI221" i="23917"/>
  <c r="BG214" i="24050"/>
  <c r="CM220" i="23917"/>
  <c r="AA220" i="23917"/>
  <c r="Z220" i="23917"/>
  <c r="DE202" i="24050"/>
  <c r="EK208" i="23917"/>
  <c r="AP202" i="24050"/>
  <c r="BV208" i="23917"/>
  <c r="S208" i="23917"/>
  <c r="R208" i="23917"/>
  <c r="DM201" i="24050"/>
  <c r="ES207" i="23917"/>
  <c r="DU200" i="24050"/>
  <c r="FA206" i="23917"/>
  <c r="CZ200" i="24050"/>
  <c r="EF206" i="23917"/>
  <c r="C198" i="24050"/>
  <c r="AI204" i="23917"/>
  <c r="CG195" i="24050"/>
  <c r="DM201" i="23917"/>
  <c r="BA195" i="24050"/>
  <c r="CG201" i="23917"/>
  <c r="AA195" i="24050"/>
  <c r="BG201" i="23917"/>
  <c r="S193" i="24050"/>
  <c r="AY199" i="23917"/>
  <c r="K193" i="24050"/>
  <c r="AQ199" i="23917"/>
  <c r="DR192" i="24050"/>
  <c r="EX198" i="23917"/>
  <c r="CP199" i="24050"/>
  <c r="DV205" i="23917"/>
  <c r="DX179" i="24050"/>
  <c r="FD185" i="23917"/>
  <c r="AC173" i="24050"/>
  <c r="BI179" i="23917"/>
  <c r="BO161" i="24050"/>
  <c r="CU167" i="23917"/>
  <c r="EE173" i="24050"/>
  <c r="FK179" i="23917"/>
  <c r="DO173" i="24050"/>
  <c r="EU179" i="23917"/>
  <c r="DG164" i="24050"/>
  <c r="DG9" i="24050"/>
  <c r="EM170" i="23917"/>
  <c r="CB164" i="24050"/>
  <c r="CB165" i="24050" s="1"/>
  <c r="CB9" i="24050"/>
  <c r="DH170" i="23917"/>
  <c r="DH171" i="23917" s="1"/>
  <c r="BL164" i="24050"/>
  <c r="BL165" i="24050" s="1"/>
  <c r="BL9" i="24050"/>
  <c r="CR170" i="23917"/>
  <c r="CR171" i="23917" s="1"/>
  <c r="AV164" i="24050"/>
  <c r="AV165" i="24050" s="1"/>
  <c r="AV9" i="24050"/>
  <c r="CB170" i="23917"/>
  <c r="CB171" i="23917" s="1"/>
  <c r="AF164" i="24050"/>
  <c r="AF9" i="24050"/>
  <c r="BL170" i="23917"/>
  <c r="P164" i="24050"/>
  <c r="P9" i="24050"/>
  <c r="AV170" i="23917"/>
  <c r="V140" i="24050"/>
  <c r="BB146" i="23917"/>
  <c r="F140" i="24050"/>
  <c r="AL146" i="23917"/>
  <c r="DL139" i="24050"/>
  <c r="ER145" i="23917"/>
  <c r="DL136" i="24050"/>
  <c r="ER142" i="23917"/>
  <c r="DU112" i="24050"/>
  <c r="FA118" i="23917"/>
  <c r="DU257" i="24050"/>
  <c r="FA263" i="23917"/>
  <c r="AU222" i="24050"/>
  <c r="CA228" i="23917"/>
  <c r="CI221" i="24050"/>
  <c r="DO227" i="23917"/>
  <c r="EB218" i="24050"/>
  <c r="FH224" i="23917"/>
  <c r="Q204" i="24050"/>
  <c r="Q10" i="24050"/>
  <c r="AW210" i="23917"/>
  <c r="BC215" i="24050"/>
  <c r="CI221" i="23917"/>
  <c r="S221" i="23917"/>
  <c r="R221" i="23917"/>
  <c r="AE214" i="24050"/>
  <c r="BK220" i="23917"/>
  <c r="K213" i="24050"/>
  <c r="AQ219" i="23917"/>
  <c r="DJ200" i="24050"/>
  <c r="EP206" i="23917"/>
  <c r="EF201" i="24050"/>
  <c r="FL207" i="23917"/>
  <c r="DV198" i="24050"/>
  <c r="FB204" i="23917"/>
  <c r="DW195" i="24050"/>
  <c r="FC201" i="23917"/>
  <c r="BE195" i="24050"/>
  <c r="CK201" i="23917"/>
  <c r="Q195" i="24050"/>
  <c r="AW201" i="23917"/>
  <c r="DZ194" i="24050"/>
  <c r="FF200" i="23917"/>
  <c r="CX173" i="24050"/>
  <c r="ED179" i="23917"/>
  <c r="AW173" i="24050"/>
  <c r="CC179" i="23917"/>
  <c r="BM160" i="24050"/>
  <c r="CS166" i="23917"/>
  <c r="S180" i="23917"/>
  <c r="R180" i="23917"/>
  <c r="DS139" i="24050"/>
  <c r="EY145" i="23917"/>
  <c r="DS136" i="24050"/>
  <c r="EY142" i="23917"/>
  <c r="CH131" i="24050"/>
  <c r="DN137" i="23917"/>
  <c r="BR131" i="24050"/>
  <c r="CX137" i="23917"/>
  <c r="AD131" i="24050"/>
  <c r="BJ137" i="23917"/>
  <c r="J131" i="24050"/>
  <c r="AP137" i="23917"/>
  <c r="CQ221" i="24050"/>
  <c r="DW227" i="23917"/>
  <c r="CH204" i="24050"/>
  <c r="CH205" i="24050" s="1"/>
  <c r="CH10" i="24050"/>
  <c r="DN210" i="23917"/>
  <c r="DN211" i="23917" s="1"/>
  <c r="BB204" i="24050"/>
  <c r="BB205" i="24050" s="1"/>
  <c r="BB10" i="24050"/>
  <c r="CH210" i="23917"/>
  <c r="CH211" i="23917" s="1"/>
  <c r="CO213" i="24050"/>
  <c r="DU219" i="23917"/>
  <c r="DQ213" i="24050"/>
  <c r="EW219" i="23917"/>
  <c r="CA202" i="24050"/>
  <c r="DG208" i="23917"/>
  <c r="AU202" i="24050"/>
  <c r="CA208" i="23917"/>
  <c r="BG200" i="24050"/>
  <c r="CM206" i="23917"/>
  <c r="AA200" i="24050"/>
  <c r="BG206" i="23917"/>
  <c r="I201" i="24050"/>
  <c r="AO207" i="23917"/>
  <c r="CQ200" i="24050"/>
  <c r="DW206" i="23917"/>
  <c r="DV213" i="24050"/>
  <c r="FB219" i="23917"/>
  <c r="M195" i="24050"/>
  <c r="AS201" i="23917"/>
  <c r="DO195" i="24050"/>
  <c r="EU201" i="23917"/>
  <c r="C193" i="24050"/>
  <c r="AI199" i="23917"/>
  <c r="BW162" i="24050"/>
  <c r="DC168" i="23917"/>
  <c r="BY162" i="24050"/>
  <c r="DE168" i="23917"/>
  <c r="BB162" i="24050"/>
  <c r="CH168" i="23917"/>
  <c r="AM160" i="24050"/>
  <c r="BS166" i="23917"/>
  <c r="V162" i="24050"/>
  <c r="BB168" i="23917"/>
  <c r="F162" i="24050"/>
  <c r="AL168" i="23917"/>
  <c r="ED161" i="24050"/>
  <c r="FJ167" i="23917"/>
  <c r="DU160" i="24050"/>
  <c r="FA166" i="23917"/>
  <c r="DP159" i="24050"/>
  <c r="EV165" i="23917"/>
  <c r="DU173" i="24050"/>
  <c r="FA179" i="23917"/>
  <c r="DV155" i="24050"/>
  <c r="FB161" i="23917"/>
  <c r="CD175" i="24050"/>
  <c r="DJ181" i="23917"/>
  <c r="BE175" i="24050"/>
  <c r="CK181" i="23917"/>
  <c r="AI155" i="24050"/>
  <c r="BO161" i="23917"/>
  <c r="R368" i="24050"/>
  <c r="R175" i="24050"/>
  <c r="AX181" i="23917"/>
  <c r="DS155" i="24050"/>
  <c r="EY161" i="23917"/>
  <c r="CR155" i="24050"/>
  <c r="DX161" i="23917"/>
  <c r="AY139" i="24050"/>
  <c r="CE145" i="23917"/>
  <c r="AH140" i="24050"/>
  <c r="BN146" i="23917"/>
  <c r="DT138" i="24050"/>
  <c r="EZ144" i="23917"/>
  <c r="BO136" i="24050"/>
  <c r="CU142" i="23917"/>
  <c r="AI136" i="24050"/>
  <c r="BO142" i="23917"/>
  <c r="AW121" i="24050"/>
  <c r="AW8" i="24050"/>
  <c r="CC127" i="23917"/>
  <c r="P121" i="24050"/>
  <c r="P8" i="24050"/>
  <c r="AV127" i="23917"/>
  <c r="DH117" i="24050"/>
  <c r="EN123" i="23917"/>
  <c r="AU118" i="24050"/>
  <c r="CA124" i="23917"/>
  <c r="DS118" i="24050"/>
  <c r="EY124" i="23917"/>
  <c r="DO118" i="24050"/>
  <c r="EU124" i="23917"/>
  <c r="BB119" i="24050"/>
  <c r="CH125" i="23917"/>
  <c r="EA112" i="24050"/>
  <c r="FG118" i="23917"/>
  <c r="AX121" i="24050"/>
  <c r="AX122" i="24050" s="1"/>
  <c r="AX8" i="24050"/>
  <c r="CD127" i="23917"/>
  <c r="CD128" i="23917" s="1"/>
  <c r="W110" i="24050"/>
  <c r="BC116" i="23917"/>
  <c r="CS110" i="24050"/>
  <c r="DY116" i="23917"/>
  <c r="BT119" i="24050"/>
  <c r="CZ125" i="23917"/>
  <c r="CR111" i="24050"/>
  <c r="DX117" i="23917"/>
  <c r="AK174" i="24050"/>
  <c r="BQ180" i="23917"/>
  <c r="AY162" i="24050"/>
  <c r="CE168" i="23917"/>
  <c r="EE160" i="24050"/>
  <c r="FK166" i="23917"/>
  <c r="AC162" i="24050"/>
  <c r="BI168" i="23917"/>
  <c r="DW175" i="24050"/>
  <c r="FC181" i="23917"/>
  <c r="DZ174" i="24050"/>
  <c r="FF180" i="23917"/>
  <c r="DY173" i="24050"/>
  <c r="FE179" i="23917"/>
  <c r="BS155" i="24050"/>
  <c r="CY161" i="23917"/>
  <c r="BB175" i="24050"/>
  <c r="CH181" i="23917"/>
  <c r="V368" i="24050"/>
  <c r="V175" i="24050"/>
  <c r="BB181" i="23917"/>
  <c r="DL153" i="24050"/>
  <c r="ER159" i="23917"/>
  <c r="DW155" i="24050"/>
  <c r="FC161" i="23917"/>
  <c r="CP158" i="24050"/>
  <c r="DV164" i="23917"/>
  <c r="DH139" i="24050"/>
  <c r="EN145" i="23917"/>
  <c r="CI139" i="24050"/>
  <c r="DO145" i="23917"/>
  <c r="BS139" i="24050"/>
  <c r="CY145" i="23917"/>
  <c r="BB140" i="24050"/>
  <c r="CH146" i="23917"/>
  <c r="DZ137" i="24050"/>
  <c r="FF143" i="23917"/>
  <c r="CU136" i="24050"/>
  <c r="EA142" i="23917"/>
  <c r="BC136" i="24050"/>
  <c r="CI142" i="23917"/>
  <c r="U136" i="24050"/>
  <c r="BA142" i="23917"/>
  <c r="DZ135" i="24050"/>
  <c r="FF141" i="23917"/>
  <c r="DV134" i="24050"/>
  <c r="FB140" i="23917"/>
  <c r="BP131" i="24050"/>
  <c r="CV137" i="23917"/>
  <c r="D131" i="24050"/>
  <c r="AJ137" i="23917"/>
  <c r="DJ130" i="24050"/>
  <c r="EP136" i="23917"/>
  <c r="CB119" i="24050"/>
  <c r="DH125" i="23917"/>
  <c r="AJ119" i="24050"/>
  <c r="BP125" i="23917"/>
  <c r="D119" i="24050"/>
  <c r="AJ125" i="23917"/>
  <c r="AQ117" i="24050"/>
  <c r="BW123" i="23917"/>
  <c r="Z119" i="24050"/>
  <c r="BF125" i="23917"/>
  <c r="EH118" i="24050"/>
  <c r="FN124" i="23917"/>
  <c r="EA117" i="24050"/>
  <c r="FG123" i="23917"/>
  <c r="DT116" i="24050"/>
  <c r="EZ122" i="23917"/>
  <c r="DZ115" i="24050"/>
  <c r="FF121" i="23917"/>
  <c r="U115" i="24050"/>
  <c r="BA121" i="23917"/>
  <c r="CC112" i="24050"/>
  <c r="DI118" i="23917"/>
  <c r="AG112" i="24050"/>
  <c r="BM118" i="23917"/>
  <c r="DT111" i="24050"/>
  <c r="EZ117" i="23917"/>
  <c r="K110" i="24050"/>
  <c r="AQ116" i="23917"/>
  <c r="EF109" i="24050"/>
  <c r="FL115" i="23917"/>
  <c r="CT159" i="24050"/>
  <c r="DZ165" i="23917"/>
  <c r="CM155" i="24050"/>
  <c r="DS161" i="23917"/>
  <c r="AA155" i="24050"/>
  <c r="BG161" i="23917"/>
  <c r="EA155" i="24050"/>
  <c r="FG161" i="23917"/>
  <c r="CL140" i="24050"/>
  <c r="DR146" i="23917"/>
  <c r="BG136" i="24050"/>
  <c r="CM142" i="23917"/>
  <c r="AZ121" i="24050"/>
  <c r="AZ122" i="24050" s="1"/>
  <c r="AZ8" i="24050"/>
  <c r="CF127" i="23917"/>
  <c r="CF128" i="23917" s="1"/>
  <c r="AD119" i="24050"/>
  <c r="BJ125" i="23917"/>
  <c r="DX116" i="24050"/>
  <c r="FD122" i="23917"/>
  <c r="AX204" i="24050"/>
  <c r="AX205" i="24050" s="1"/>
  <c r="AX10" i="24050"/>
  <c r="CD210" i="23917"/>
  <c r="CD211" i="23917" s="1"/>
  <c r="AA202" i="24050"/>
  <c r="BG208" i="23917"/>
  <c r="J164" i="24050"/>
  <c r="J9" i="24050"/>
  <c r="AP170" i="23917"/>
  <c r="AC174" i="24050"/>
  <c r="BI180" i="23917"/>
  <c r="C160" i="24050"/>
  <c r="AI166" i="23917"/>
  <c r="ED158" i="24050"/>
  <c r="FJ164" i="23917"/>
  <c r="DM173" i="24050"/>
  <c r="ES179" i="23917"/>
  <c r="DQ164" i="24050"/>
  <c r="DQ9" i="24050"/>
  <c r="EW170" i="23917"/>
  <c r="J175" i="24050"/>
  <c r="AP181" i="23917"/>
  <c r="EA139" i="24050"/>
  <c r="FG145" i="23917"/>
  <c r="AQ139" i="24050"/>
  <c r="BW145" i="23917"/>
  <c r="CQ116" i="24050"/>
  <c r="DW122" i="23917"/>
  <c r="DX111" i="24050"/>
  <c r="FD117" i="23917"/>
  <c r="EH201" i="24050"/>
  <c r="FN207" i="23917"/>
  <c r="O195" i="24050"/>
  <c r="AU201" i="23917"/>
  <c r="BG180" i="24050"/>
  <c r="CM186" i="23917"/>
  <c r="BQ174" i="24050"/>
  <c r="CW180" i="23917"/>
  <c r="CK162" i="24050"/>
  <c r="DQ168" i="23917"/>
  <c r="BY160" i="24050"/>
  <c r="DE166" i="23917"/>
  <c r="AO160" i="24050"/>
  <c r="BU166" i="23917"/>
  <c r="Q160" i="24050"/>
  <c r="AW166" i="23917"/>
  <c r="DK160" i="24050"/>
  <c r="EQ166" i="23917"/>
  <c r="EB159" i="24050"/>
  <c r="FH165" i="23917"/>
  <c r="EG173" i="24050"/>
  <c r="FM179" i="23917"/>
  <c r="S168" i="23917"/>
  <c r="R168" i="23917"/>
  <c r="BZ164" i="24050"/>
  <c r="BZ165" i="24050" s="1"/>
  <c r="BZ9" i="24050"/>
  <c r="DF170" i="23917"/>
  <c r="DF171" i="23917" s="1"/>
  <c r="BJ175" i="24050"/>
  <c r="CP181" i="23917"/>
  <c r="AD164" i="24050"/>
  <c r="AD9" i="24050"/>
  <c r="BJ170" i="23917"/>
  <c r="N175" i="24050"/>
  <c r="AT181" i="23917"/>
  <c r="DO155" i="24050"/>
  <c r="EU161" i="23917"/>
  <c r="AU139" i="24050"/>
  <c r="CA145" i="23917"/>
  <c r="DV138" i="24050"/>
  <c r="FB144" i="23917"/>
  <c r="CA136" i="24050"/>
  <c r="DG142" i="23917"/>
  <c r="AU136" i="24050"/>
  <c r="CA142" i="23917"/>
  <c r="CZ131" i="24050"/>
  <c r="EF137" i="23917"/>
  <c r="AN131" i="24050"/>
  <c r="BT137" i="23917"/>
  <c r="H131" i="24050"/>
  <c r="AN137" i="23917"/>
  <c r="BL119" i="24050"/>
  <c r="CR125" i="23917"/>
  <c r="AF119" i="24050"/>
  <c r="BL125" i="23917"/>
  <c r="BF131" i="24050"/>
  <c r="CL137" i="23917"/>
  <c r="AP131" i="24050"/>
  <c r="BV137" i="23917"/>
  <c r="AC118" i="24050"/>
  <c r="BI124" i="23917"/>
  <c r="M118" i="24050"/>
  <c r="AS124" i="23917"/>
  <c r="AY117" i="24050"/>
  <c r="CE123" i="23917"/>
  <c r="AI117" i="24050"/>
  <c r="BO123" i="23917"/>
  <c r="R119" i="24050"/>
  <c r="AX125" i="23917"/>
  <c r="DQ118" i="24050"/>
  <c r="EW124" i="23917"/>
  <c r="EB116" i="24050"/>
  <c r="FH122" i="23917"/>
  <c r="DO130" i="24050"/>
  <c r="EU136" i="23917"/>
  <c r="DG131" i="24050"/>
  <c r="EM137" i="23917"/>
  <c r="Q112" i="24050"/>
  <c r="AW118" i="23917"/>
  <c r="S110" i="24050"/>
  <c r="AY116" i="23917"/>
  <c r="C111" i="24050"/>
  <c r="AI117" i="23917"/>
  <c r="DL193" i="24050"/>
  <c r="ER199" i="23917"/>
  <c r="AX170" i="24050"/>
  <c r="CD176" i="23917"/>
  <c r="DL117" i="24050"/>
  <c r="ER123" i="23917"/>
  <c r="AI96" i="24050"/>
  <c r="BO102" i="23917"/>
  <c r="E94" i="24050"/>
  <c r="AK100" i="23917"/>
  <c r="CE96" i="24050"/>
  <c r="DK102" i="23917"/>
  <c r="AY96" i="24050"/>
  <c r="CE102" i="23917"/>
  <c r="BG94" i="24050"/>
  <c r="CM100" i="23917"/>
  <c r="AQ94" i="24050"/>
  <c r="BW100" i="23917"/>
  <c r="AA94" i="24050"/>
  <c r="BG100" i="23917"/>
  <c r="K94" i="24050"/>
  <c r="AQ100" i="23917"/>
  <c r="DJ88" i="24050"/>
  <c r="DJ76" i="24050"/>
  <c r="EP94" i="23917"/>
  <c r="EP82" i="23917"/>
  <c r="DE58" i="24050"/>
  <c r="EK65" i="23917"/>
  <c r="E367" i="24050"/>
  <c r="AK373" i="23917"/>
  <c r="DH355" i="24050"/>
  <c r="EN361" i="23917"/>
  <c r="S356" i="24050"/>
  <c r="AY362" i="23917"/>
  <c r="DM366" i="24050"/>
  <c r="ES372" i="23917"/>
  <c r="P358" i="24050"/>
  <c r="AV364" i="23917"/>
  <c r="DG368" i="24050"/>
  <c r="EM374" i="23917"/>
  <c r="EE387" i="24050"/>
  <c r="CQ387" i="24050"/>
  <c r="EA388" i="24050"/>
  <c r="CM388" i="24050"/>
  <c r="BW394" i="24050"/>
  <c r="DK394" i="24050"/>
  <c r="CH383" i="24050"/>
  <c r="DV383" i="24050"/>
  <c r="CE384" i="24050"/>
  <c r="DS384" i="24050"/>
  <c r="EN387" i="23917"/>
  <c r="EM387" i="23917"/>
  <c r="AO333" i="24050"/>
  <c r="BU339" i="23917"/>
  <c r="W333" i="24050"/>
  <c r="BC339" i="23917"/>
  <c r="G333" i="24050"/>
  <c r="AM339" i="23917"/>
  <c r="CA332" i="24050"/>
  <c r="DG338" i="23917"/>
  <c r="AU332" i="24050"/>
  <c r="CA338" i="23917"/>
  <c r="O332" i="24050"/>
  <c r="AU338" i="23917"/>
  <c r="BE321" i="24050"/>
  <c r="CK327" i="23917"/>
  <c r="EF318" i="24050"/>
  <c r="FL324" i="23917"/>
  <c r="DH317" i="24050"/>
  <c r="EN323" i="23917"/>
  <c r="DZ311" i="24050"/>
  <c r="FF317" i="23917"/>
  <c r="DF312" i="24050"/>
  <c r="EL318" i="23917"/>
  <c r="DF301" i="24050"/>
  <c r="EL307" i="23917"/>
  <c r="CG297" i="24050"/>
  <c r="DM303" i="23917"/>
  <c r="BA297" i="24050"/>
  <c r="CG303" i="23917"/>
  <c r="U297" i="24050"/>
  <c r="BA303" i="23917"/>
  <c r="BI296" i="24050"/>
  <c r="CO302" i="23917"/>
  <c r="AC296" i="24050"/>
  <c r="BI302" i="23917"/>
  <c r="DV284" i="24050"/>
  <c r="FB290" i="23917"/>
  <c r="DK298" i="24050"/>
  <c r="EQ304" i="23917"/>
  <c r="EA297" i="24050"/>
  <c r="FG303" i="23917"/>
  <c r="DP282" i="24050"/>
  <c r="EV288" i="23917"/>
  <c r="EH281" i="24050"/>
  <c r="FN287" i="23917"/>
  <c r="CQ283" i="24050"/>
  <c r="DW289" i="23917"/>
  <c r="CD287" i="24050"/>
  <c r="CD288" i="24050" s="1"/>
  <c r="CD13" i="24050"/>
  <c r="DJ293" i="23917"/>
  <c r="DJ294" i="23917" s="1"/>
  <c r="B23" i="24068"/>
  <c r="AX287" i="24050"/>
  <c r="AX288" i="24050" s="1"/>
  <c r="AX13" i="24050"/>
  <c r="CD293" i="23917"/>
  <c r="CD294" i="23917" s="1"/>
  <c r="R287" i="24050"/>
  <c r="R13" i="24050"/>
  <c r="AX293" i="23917"/>
  <c r="DJ276" i="24050"/>
  <c r="EP282" i="23917"/>
  <c r="EH276" i="24050"/>
  <c r="FN282" i="23917"/>
  <c r="ED275" i="24050"/>
  <c r="FJ281" i="23917"/>
  <c r="CR276" i="24050"/>
  <c r="DX282" i="23917"/>
  <c r="DF263" i="24050"/>
  <c r="EL269" i="23917"/>
  <c r="BS263" i="24050"/>
  <c r="CY269" i="23917"/>
  <c r="BC263" i="24050"/>
  <c r="CI269" i="23917"/>
  <c r="AQ263" i="24050"/>
  <c r="BW269" i="23917"/>
  <c r="I263" i="24050"/>
  <c r="AO269" i="23917"/>
  <c r="DX262" i="24050"/>
  <c r="FD268" i="23917"/>
  <c r="CA256" i="24050"/>
  <c r="DG262" i="23917"/>
  <c r="AU256" i="24050"/>
  <c r="CA262" i="23917"/>
  <c r="O256" i="24050"/>
  <c r="AU262" i="23917"/>
  <c r="DJ255" i="24050"/>
  <c r="EP261" i="23917"/>
  <c r="CI255" i="24050"/>
  <c r="DO261" i="23917"/>
  <c r="BC255" i="24050"/>
  <c r="CI261" i="23917"/>
  <c r="W255" i="24050"/>
  <c r="BC261" i="23917"/>
  <c r="DI246" i="24050"/>
  <c r="DI12" i="24050"/>
  <c r="EO252" i="23917"/>
  <c r="CI237" i="24050"/>
  <c r="DO243" i="23917"/>
  <c r="BE237" i="24050"/>
  <c r="CK243" i="23917"/>
  <c r="C234" i="24050"/>
  <c r="AI240" i="23917"/>
  <c r="AG241" i="23917"/>
  <c r="X241" i="23917"/>
  <c r="W96" i="24050"/>
  <c r="BC102" i="23917"/>
  <c r="CC96" i="24050"/>
  <c r="DI102" i="23917"/>
  <c r="CI94" i="24050"/>
  <c r="DO100" i="23917"/>
  <c r="BM94" i="24050"/>
  <c r="CS100" i="23917"/>
  <c r="CB75" i="24050"/>
  <c r="DH81" i="23917"/>
  <c r="P75" i="24050"/>
  <c r="AV81" i="23917"/>
  <c r="EB30" i="24050"/>
  <c r="FH38" i="23917"/>
  <c r="DR19" i="24050"/>
  <c r="EX22" i="23917"/>
  <c r="DC366" i="24050"/>
  <c r="EI372" i="23917"/>
  <c r="N358" i="24050"/>
  <c r="AT364" i="23917"/>
  <c r="EB396" i="24050"/>
  <c r="CN396" i="24050"/>
  <c r="DX396" i="24050"/>
  <c r="CJ396" i="24050"/>
  <c r="EF391" i="24050"/>
  <c r="CR391" i="24050"/>
  <c r="DX391" i="24050"/>
  <c r="CJ391" i="24050"/>
  <c r="EL399" i="23917"/>
  <c r="EK399" i="23917"/>
  <c r="DQ383" i="24050"/>
  <c r="CC383" i="24050"/>
  <c r="ET389" i="23917"/>
  <c r="ES389" i="23917"/>
  <c r="EH382" i="24050"/>
  <c r="CT382" i="24050"/>
  <c r="DR382" i="24050"/>
  <c r="CD382" i="24050"/>
  <c r="EC380" i="24050"/>
  <c r="CO380" i="24050"/>
  <c r="DU380" i="24050"/>
  <c r="CG380" i="24050"/>
  <c r="BY332" i="24050"/>
  <c r="DE338" i="23917"/>
  <c r="AS332" i="24050"/>
  <c r="BY338" i="23917"/>
  <c r="BQ321" i="24050"/>
  <c r="CW327" i="23917"/>
  <c r="O321" i="24050"/>
  <c r="AU327" i="23917"/>
  <c r="DU333" i="24050"/>
  <c r="FA339" i="23917"/>
  <c r="DK313" i="24050"/>
  <c r="EQ319" i="23917"/>
  <c r="CA297" i="24050"/>
  <c r="DG303" i="23917"/>
  <c r="O297" i="24050"/>
  <c r="AU303" i="23917"/>
  <c r="AW296" i="24050"/>
  <c r="CC302" i="23917"/>
  <c r="DZ284" i="24050"/>
  <c r="FF290" i="23917"/>
  <c r="EE297" i="24050"/>
  <c r="FK303" i="23917"/>
  <c r="EI283" i="24050"/>
  <c r="FO289" i="23917"/>
  <c r="CH298" i="24050"/>
  <c r="DN304" i="23917"/>
  <c r="BR298" i="24050"/>
  <c r="CX304" i="23917"/>
  <c r="BB298" i="24050"/>
  <c r="CH304" i="23917"/>
  <c r="AL298" i="24050"/>
  <c r="BR304" i="23917"/>
  <c r="V298" i="24050"/>
  <c r="BB304" i="23917"/>
  <c r="F298" i="24050"/>
  <c r="AL304" i="23917"/>
  <c r="DQ263" i="24050"/>
  <c r="EW269" i="23917"/>
  <c r="DR261" i="24050"/>
  <c r="EX267" i="23917"/>
  <c r="AO256" i="24050"/>
  <c r="BU262" i="23917"/>
  <c r="AQ255" i="24050"/>
  <c r="BW261" i="23917"/>
  <c r="DF244" i="24050"/>
  <c r="EL250" i="23917"/>
  <c r="DY256" i="24050"/>
  <c r="FE262" i="23917"/>
  <c r="DY255" i="24050"/>
  <c r="FE261" i="23917"/>
  <c r="AS237" i="24050"/>
  <c r="BY243" i="23917"/>
  <c r="U96" i="24050"/>
  <c r="BA102" i="23917"/>
  <c r="E90" i="24050"/>
  <c r="AK96" i="23917"/>
  <c r="BC96" i="24050"/>
  <c r="CI102" i="23917"/>
  <c r="G91" i="24050"/>
  <c r="AM97" i="23917"/>
  <c r="CO75" i="24050"/>
  <c r="DU81" i="23917"/>
  <c r="DO75" i="24050"/>
  <c r="EU81" i="23917"/>
  <c r="DJ58" i="24050"/>
  <c r="EP65" i="23917"/>
  <c r="DA30" i="24050"/>
  <c r="EG38" i="23917"/>
  <c r="DL19" i="24050"/>
  <c r="ER22" i="23917"/>
  <c r="DJ355" i="24050"/>
  <c r="EP361" i="23917"/>
  <c r="DJ354" i="24050"/>
  <c r="EP360" i="23917"/>
  <c r="DQ366" i="24050"/>
  <c r="EW372" i="23917"/>
  <c r="D358" i="24050"/>
  <c r="AJ364" i="23917"/>
  <c r="DI349" i="24050"/>
  <c r="EO355" i="23917"/>
  <c r="DE349" i="24050"/>
  <c r="EK355" i="23917"/>
  <c r="DY396" i="24050"/>
  <c r="CK396" i="24050"/>
  <c r="EG391" i="24050"/>
  <c r="CS391" i="24050"/>
  <c r="CK391" i="24050"/>
  <c r="DY391" i="24050"/>
  <c r="DQ393" i="24050"/>
  <c r="CC393" i="24050"/>
  <c r="EP402" i="23917"/>
  <c r="EO402" i="23917"/>
  <c r="EV401" i="23917"/>
  <c r="EU401" i="23917"/>
  <c r="EL400" i="23917"/>
  <c r="EK400" i="23917"/>
  <c r="EP398" i="23917"/>
  <c r="EO398" i="23917"/>
  <c r="EG387" i="24050"/>
  <c r="CS387" i="24050"/>
  <c r="BM403" i="23917"/>
  <c r="AG397" i="24050" s="1"/>
  <c r="BL403" i="23917"/>
  <c r="AF397" i="24050" s="1"/>
  <c r="DK389" i="24050"/>
  <c r="BW389" i="24050"/>
  <c r="DG389" i="24050"/>
  <c r="BS389" i="24050"/>
  <c r="EK389" i="24050"/>
  <c r="CW389" i="24050"/>
  <c r="DY383" i="24050"/>
  <c r="CK383" i="24050"/>
  <c r="CI382" i="24050"/>
  <c r="DW382" i="24050"/>
  <c r="EB380" i="24050"/>
  <c r="CN380" i="24050"/>
  <c r="DM380" i="24050"/>
  <c r="BY380" i="24050"/>
  <c r="CE332" i="24050"/>
  <c r="DK338" i="23917"/>
  <c r="AY332" i="24050"/>
  <c r="CE338" i="23917"/>
  <c r="S332" i="24050"/>
  <c r="AY338" i="23917"/>
  <c r="AW321" i="24050"/>
  <c r="CC327" i="23917"/>
  <c r="DH318" i="24050"/>
  <c r="EN324" i="23917"/>
  <c r="DL316" i="24050"/>
  <c r="ER322" i="23917"/>
  <c r="CR311" i="24050"/>
  <c r="DX317" i="23917"/>
  <c r="AY297" i="24050"/>
  <c r="CE303" i="23917"/>
  <c r="BA296" i="24050"/>
  <c r="CG302" i="23917"/>
  <c r="DL283" i="24050"/>
  <c r="ER289" i="23917"/>
  <c r="DS297" i="24050"/>
  <c r="EY303" i="23917"/>
  <c r="CL298" i="24050"/>
  <c r="DR304" i="23917"/>
  <c r="BF298" i="24050"/>
  <c r="CL304" i="23917"/>
  <c r="Z298" i="24050"/>
  <c r="BF304" i="23917"/>
  <c r="DR277" i="24050"/>
  <c r="EX283" i="23917"/>
  <c r="DF276" i="24050"/>
  <c r="EL282" i="23917"/>
  <c r="BQ263" i="24050"/>
  <c r="CW269" i="23917"/>
  <c r="AU263" i="24050"/>
  <c r="CA269" i="23917"/>
  <c r="Q18" i="24068"/>
  <c r="EA263" i="24050"/>
  <c r="FG269" i="23917"/>
  <c r="DV261" i="24050"/>
  <c r="FB267" i="23917"/>
  <c r="DR260" i="24050"/>
  <c r="EX266" i="23917"/>
  <c r="BI256" i="24050"/>
  <c r="CO262" i="23917"/>
  <c r="BK255" i="24050"/>
  <c r="CQ261" i="23917"/>
  <c r="DW256" i="24050"/>
  <c r="FC262" i="23917"/>
  <c r="DO255" i="24050"/>
  <c r="EU261" i="23917"/>
  <c r="S262" i="23917"/>
  <c r="R262" i="23917"/>
  <c r="AG237" i="24050"/>
  <c r="BM243" i="23917"/>
  <c r="EG237" i="24050"/>
  <c r="FM243" i="23917"/>
  <c r="DZ235" i="24050"/>
  <c r="FF241" i="23917"/>
  <c r="O96" i="24050"/>
  <c r="AU102" i="23917"/>
  <c r="BO96" i="24050"/>
  <c r="CU102" i="23917"/>
  <c r="BY94" i="24050"/>
  <c r="DE100" i="23917"/>
  <c r="DF88" i="24050"/>
  <c r="DF76" i="24050"/>
  <c r="EL94" i="23917"/>
  <c r="EL82" i="23917"/>
  <c r="CJ75" i="24050"/>
  <c r="DP81" i="23917"/>
  <c r="X75" i="24050"/>
  <c r="BD81" i="23917"/>
  <c r="CQ30" i="24050"/>
  <c r="DW38" i="23917"/>
  <c r="DE368" i="24050"/>
  <c r="EK374" i="23917"/>
  <c r="DE366" i="24050"/>
  <c r="EK372" i="23917"/>
  <c r="J358" i="24050"/>
  <c r="AP364" i="23917"/>
  <c r="CR396" i="24050"/>
  <c r="EF396" i="24050"/>
  <c r="EF388" i="24050"/>
  <c r="CR388" i="24050"/>
  <c r="DZ388" i="24050"/>
  <c r="CL388" i="24050"/>
  <c r="DT395" i="24050"/>
  <c r="CF395" i="24050"/>
  <c r="DQ388" i="24050"/>
  <c r="CC388" i="24050"/>
  <c r="DM388" i="24050"/>
  <c r="BY388" i="24050"/>
  <c r="CD15" i="24050"/>
  <c r="DJ408" i="23917"/>
  <c r="DJ409" i="23917" s="1"/>
  <c r="BV15" i="24050"/>
  <c r="DB408" i="23917"/>
  <c r="DB409" i="23917" s="1"/>
  <c r="BN15" i="24050"/>
  <c r="CT408" i="23917"/>
  <c r="CT409" i="23917" s="1"/>
  <c r="EE383" i="24050"/>
  <c r="CQ383" i="24050"/>
  <c r="CO382" i="24050"/>
  <c r="EC382" i="24050"/>
  <c r="ET388" i="23917"/>
  <c r="ES388" i="23917"/>
  <c r="CQ384" i="24050"/>
  <c r="EE384" i="24050"/>
  <c r="CI384" i="24050"/>
  <c r="DW384" i="24050"/>
  <c r="BU380" i="24050"/>
  <c r="DI380" i="24050"/>
  <c r="DE380" i="24050"/>
  <c r="BQ380" i="24050"/>
  <c r="BA75" i="24050"/>
  <c r="CG81" i="23917"/>
  <c r="U333" i="24050"/>
  <c r="BA339" i="23917"/>
  <c r="CR310" i="24050"/>
  <c r="DX316" i="23917"/>
  <c r="AO296" i="24050"/>
  <c r="BU302" i="23917"/>
  <c r="DS285" i="24050"/>
  <c r="EY291" i="23917"/>
  <c r="AS263" i="24050"/>
  <c r="BY269" i="23917"/>
  <c r="BC256" i="24050"/>
  <c r="CI262" i="23917"/>
  <c r="AQ237" i="24050"/>
  <c r="BW243" i="23917"/>
  <c r="CW222" i="24050"/>
  <c r="EC228" i="23917"/>
  <c r="Q222" i="24050"/>
  <c r="AW228" i="23917"/>
  <c r="M222" i="24050"/>
  <c r="AS228" i="23917"/>
  <c r="EB219" i="24050"/>
  <c r="FH225" i="23917"/>
  <c r="DR218" i="24050"/>
  <c r="EX224" i="23917"/>
  <c r="CA215" i="24050"/>
  <c r="DG221" i="23917"/>
  <c r="AU215" i="24050"/>
  <c r="CA221" i="23917"/>
  <c r="CI214" i="24050"/>
  <c r="DO220" i="23917"/>
  <c r="BC214" i="24050"/>
  <c r="CI220" i="23917"/>
  <c r="W214" i="24050"/>
  <c r="BC220" i="23917"/>
  <c r="CM213" i="24050"/>
  <c r="DS219" i="23917"/>
  <c r="AY213" i="24050"/>
  <c r="CE219" i="23917"/>
  <c r="U213" i="24050"/>
  <c r="BA219" i="23917"/>
  <c r="BA202" i="24050"/>
  <c r="CG208" i="23917"/>
  <c r="M202" i="24050"/>
  <c r="AS208" i="23917"/>
  <c r="DT201" i="24050"/>
  <c r="EZ207" i="23917"/>
  <c r="ED198" i="24050"/>
  <c r="FJ204" i="23917"/>
  <c r="CW200" i="24050"/>
  <c r="EC206" i="23917"/>
  <c r="DG204" i="24050"/>
  <c r="DG10" i="24050"/>
  <c r="EM210" i="23917"/>
  <c r="BP204" i="24050"/>
  <c r="BP205" i="24050" s="1"/>
  <c r="BP10" i="24050"/>
  <c r="CV210" i="23917"/>
  <c r="CV211" i="23917" s="1"/>
  <c r="BC195" i="24050"/>
  <c r="CI201" i="23917"/>
  <c r="EH194" i="24050"/>
  <c r="FN200" i="23917"/>
  <c r="EH193" i="24050"/>
  <c r="FN199" i="23917"/>
  <c r="CQ194" i="24050"/>
  <c r="DW200" i="23917"/>
  <c r="AG200" i="23917"/>
  <c r="X200" i="23917"/>
  <c r="Y200" i="23917"/>
  <c r="M180" i="24050"/>
  <c r="AS186" i="23917"/>
  <c r="D175" i="24050"/>
  <c r="AJ181" i="23917"/>
  <c r="BG174" i="24050"/>
  <c r="CM180" i="23917"/>
  <c r="I174" i="24050"/>
  <c r="AO180" i="23917"/>
  <c r="CG173" i="24050"/>
  <c r="DM179" i="23917"/>
  <c r="BA173" i="24050"/>
  <c r="CG179" i="23917"/>
  <c r="BA162" i="24050"/>
  <c r="CG168" i="23917"/>
  <c r="CG162" i="24050"/>
  <c r="DM168" i="23917"/>
  <c r="EG162" i="24050"/>
  <c r="FM168" i="23917"/>
  <c r="DQ174" i="24050"/>
  <c r="EW180" i="23917"/>
  <c r="BI155" i="24050"/>
  <c r="CO161" i="23917"/>
  <c r="R164" i="24050"/>
  <c r="R9" i="24050"/>
  <c r="AX170" i="23917"/>
  <c r="H175" i="24050"/>
  <c r="AN181" i="23917"/>
  <c r="DX153" i="24050"/>
  <c r="FD159" i="23917"/>
  <c r="DP152" i="24050"/>
  <c r="EV158" i="23917"/>
  <c r="BT140" i="24050"/>
  <c r="CZ146" i="23917"/>
  <c r="AJ140" i="24050"/>
  <c r="BP146" i="23917"/>
  <c r="DJ139" i="24050"/>
  <c r="EP145" i="23917"/>
  <c r="BY139" i="24050"/>
  <c r="DE145" i="23917"/>
  <c r="AA139" i="24050"/>
  <c r="BG145" i="23917"/>
  <c r="I139" i="24050"/>
  <c r="AO145" i="23917"/>
  <c r="DR138" i="24050"/>
  <c r="EX144" i="23917"/>
  <c r="DJ136" i="24050"/>
  <c r="EP142" i="23917"/>
  <c r="BY136" i="24050"/>
  <c r="DE142" i="23917"/>
  <c r="AS136" i="24050"/>
  <c r="BY142" i="23917"/>
  <c r="K136" i="24050"/>
  <c r="AQ142" i="23917"/>
  <c r="DQ136" i="24050"/>
  <c r="EW142" i="23917"/>
  <c r="AV121" i="24050"/>
  <c r="AV122" i="24050" s="1"/>
  <c r="AV8" i="24050"/>
  <c r="CB127" i="23917"/>
  <c r="CB128" i="23917" s="1"/>
  <c r="DQ130" i="24050"/>
  <c r="EW136" i="23917"/>
  <c r="S130" i="24050"/>
  <c r="AY136" i="23917"/>
  <c r="E130" i="24050"/>
  <c r="AK136" i="23917"/>
  <c r="DR116" i="24050"/>
  <c r="EX122" i="23917"/>
  <c r="CM112" i="24050"/>
  <c r="DS118" i="23917"/>
  <c r="EH111" i="24050"/>
  <c r="FN117" i="23917"/>
  <c r="CG139" i="24050"/>
  <c r="DM145" i="23917"/>
  <c r="BX121" i="24050"/>
  <c r="BX122" i="24050" s="1"/>
  <c r="BX8" i="24050"/>
  <c r="DD127" i="23917"/>
  <c r="DD128" i="23917" s="1"/>
  <c r="EC130" i="24050"/>
  <c r="FI136" i="23917"/>
  <c r="EH116" i="24050"/>
  <c r="FN122" i="23917"/>
  <c r="BO112" i="24050"/>
  <c r="CU118" i="23917"/>
  <c r="CE174" i="24050"/>
  <c r="DK180" i="23917"/>
  <c r="DR153" i="24050"/>
  <c r="EX159" i="23917"/>
  <c r="CD121" i="24050"/>
  <c r="CD122" i="24050" s="1"/>
  <c r="CD8" i="24050"/>
  <c r="DJ127" i="23917"/>
  <c r="DJ128" i="23917" s="1"/>
  <c r="AR131" i="24050"/>
  <c r="BX137" i="23917"/>
  <c r="AS75" i="24050"/>
  <c r="BY81" i="23917"/>
  <c r="EH318" i="24050"/>
  <c r="FN324" i="23917"/>
  <c r="BS297" i="24050"/>
  <c r="CY303" i="23917"/>
  <c r="G297" i="24050"/>
  <c r="AM303" i="23917"/>
  <c r="EH284" i="24050"/>
  <c r="FN290" i="23917"/>
  <c r="BE278" i="24050"/>
  <c r="CK284" i="23917"/>
  <c r="AD298" i="24050"/>
  <c r="BJ304" i="23917"/>
  <c r="DF275" i="24050"/>
  <c r="EL281" i="23917"/>
  <c r="BK263" i="24050"/>
  <c r="CQ269" i="23917"/>
  <c r="CE255" i="24050"/>
  <c r="DK261" i="23917"/>
  <c r="S255" i="24050"/>
  <c r="AY261" i="23917"/>
  <c r="CJ257" i="24050"/>
  <c r="DP263" i="23917"/>
  <c r="DM237" i="24050"/>
  <c r="ES243" i="23917"/>
  <c r="CU222" i="24050"/>
  <c r="EA228" i="23917"/>
  <c r="AA222" i="24050"/>
  <c r="BG228" i="23917"/>
  <c r="CK213" i="24050"/>
  <c r="DQ219" i="23917"/>
  <c r="AI213" i="24050"/>
  <c r="BO219" i="23917"/>
  <c r="E213" i="24050"/>
  <c r="AK219" i="23917"/>
  <c r="CK202" i="24050"/>
  <c r="DQ208" i="23917"/>
  <c r="BE202" i="24050"/>
  <c r="CK208" i="23917"/>
  <c r="Y202" i="24050"/>
  <c r="BE208" i="23917"/>
  <c r="EH200" i="24050"/>
  <c r="FN206" i="23917"/>
  <c r="DM213" i="24050"/>
  <c r="ES219" i="23917"/>
  <c r="AZ204" i="24050"/>
  <c r="AZ205" i="24050" s="1"/>
  <c r="AZ10" i="24050"/>
  <c r="CF210" i="23917"/>
  <c r="CF211" i="23917" s="1"/>
  <c r="DW180" i="24050"/>
  <c r="FC186" i="23917"/>
  <c r="CN175" i="24050"/>
  <c r="DT181" i="23917"/>
  <c r="DU174" i="24050"/>
  <c r="FA180" i="23917"/>
  <c r="BE174" i="24050"/>
  <c r="CK180" i="23917"/>
  <c r="Q174" i="24050"/>
  <c r="AW180" i="23917"/>
  <c r="CE173" i="24050"/>
  <c r="DK179" i="23917"/>
  <c r="AY173" i="24050"/>
  <c r="CE179" i="23917"/>
  <c r="S173" i="24050"/>
  <c r="AY179" i="23917"/>
  <c r="CA162" i="24050"/>
  <c r="DG168" i="23917"/>
  <c r="EH159" i="24050"/>
  <c r="FN165" i="23917"/>
  <c r="AG155" i="24050"/>
  <c r="BM161" i="23917"/>
  <c r="CZ154" i="24050"/>
  <c r="EF160" i="23917"/>
  <c r="CR153" i="24050"/>
  <c r="DX159" i="23917"/>
  <c r="DF140" i="24050"/>
  <c r="EL146" i="23917"/>
  <c r="CC139" i="24050"/>
  <c r="DI145" i="23917"/>
  <c r="DR137" i="24050"/>
  <c r="EX143" i="23917"/>
  <c r="CE130" i="24050"/>
  <c r="DK136" i="23917"/>
  <c r="AU130" i="24050"/>
  <c r="CA136" i="23917"/>
  <c r="EB115" i="24050"/>
  <c r="FH121" i="23917"/>
  <c r="C115" i="24050"/>
  <c r="AI121" i="23917"/>
  <c r="BV121" i="24050"/>
  <c r="BV122" i="24050" s="1"/>
  <c r="BV8" i="24050"/>
  <c r="DB127" i="23917"/>
  <c r="DB128" i="23917" s="1"/>
  <c r="BK112" i="24050"/>
  <c r="CQ118" i="23917"/>
  <c r="DW112" i="24050"/>
  <c r="FC118" i="23917"/>
  <c r="ET230" i="24050"/>
  <c r="ET54" i="24050"/>
  <c r="ET188" i="24050"/>
  <c r="ET342" i="24050"/>
  <c r="ET148" i="24050"/>
  <c r="ET306" i="24050"/>
  <c r="ET105" i="24050"/>
  <c r="ET271" i="24050"/>
  <c r="ET376" i="24050"/>
  <c r="EB138" i="24050"/>
  <c r="FH144" i="23917"/>
  <c r="BA136" i="24050"/>
  <c r="CG142" i="23917"/>
  <c r="ET53" i="24050"/>
  <c r="ET187" i="24050"/>
  <c r="ET341" i="24050"/>
  <c r="ET104" i="24050"/>
  <c r="ET375" i="24050"/>
  <c r="ET147" i="24050"/>
  <c r="ET305" i="24050"/>
  <c r="ET270" i="24050"/>
  <c r="ET229" i="24050"/>
  <c r="BD204" i="24050"/>
  <c r="BD205" i="24050" s="1"/>
  <c r="BD10" i="24050"/>
  <c r="CJ210" i="23917"/>
  <c r="CJ211" i="23917" s="1"/>
  <c r="BC174" i="24050"/>
  <c r="CI180" i="23917"/>
  <c r="DI121" i="24050"/>
  <c r="DI8" i="24050"/>
  <c r="EO127" i="23917"/>
  <c r="ED111" i="24050"/>
  <c r="FJ117" i="23917"/>
  <c r="Q333" i="24050"/>
  <c r="AW339" i="23917"/>
  <c r="CK332" i="24050"/>
  <c r="DQ338" i="23917"/>
  <c r="BE332" i="24050"/>
  <c r="CK338" i="23917"/>
  <c r="Y332" i="24050"/>
  <c r="BE338" i="23917"/>
  <c r="BY321" i="24050"/>
  <c r="DE327" i="23917"/>
  <c r="BE296" i="24050"/>
  <c r="CK302" i="23917"/>
  <c r="DR284" i="24050"/>
  <c r="EX290" i="23917"/>
  <c r="DW297" i="24050"/>
  <c r="FC303" i="23917"/>
  <c r="DL277" i="24050"/>
  <c r="ER283" i="23917"/>
  <c r="EH275" i="24050"/>
  <c r="FN281" i="23917"/>
  <c r="K263" i="24050"/>
  <c r="AQ269" i="23917"/>
  <c r="BM256" i="24050"/>
  <c r="CS262" i="23917"/>
  <c r="EC256" i="24050"/>
  <c r="FI262" i="23917"/>
  <c r="DU255" i="24050"/>
  <c r="FA261" i="23917"/>
  <c r="AM237" i="24050"/>
  <c r="BS243" i="23917"/>
  <c r="C235" i="24050"/>
  <c r="AI241" i="23917"/>
  <c r="AY222" i="24050"/>
  <c r="CE228" i="23917"/>
  <c r="AM222" i="24050"/>
  <c r="BS228" i="23917"/>
  <c r="G222" i="24050"/>
  <c r="AM228" i="23917"/>
  <c r="CC215" i="24050"/>
  <c r="DI221" i="23917"/>
  <c r="Q215" i="24050"/>
  <c r="AW221" i="23917"/>
  <c r="BU214" i="24050"/>
  <c r="DA220" i="23917"/>
  <c r="I214" i="24050"/>
  <c r="AO220" i="23917"/>
  <c r="S213" i="24050"/>
  <c r="AY219" i="23917"/>
  <c r="C199" i="24050"/>
  <c r="AI205" i="23917"/>
  <c r="BT204" i="24050"/>
  <c r="BT205" i="24050" s="1"/>
  <c r="BT10" i="24050"/>
  <c r="CZ210" i="23917"/>
  <c r="CZ211" i="23917" s="1"/>
  <c r="AY195" i="24050"/>
  <c r="CE201" i="23917"/>
  <c r="H204" i="24050"/>
  <c r="H10" i="24050"/>
  <c r="AN210" i="23917"/>
  <c r="DX193" i="24050"/>
  <c r="FD199" i="23917"/>
  <c r="AO180" i="24050"/>
  <c r="BU186" i="23917"/>
  <c r="CF175" i="24050"/>
  <c r="DL181" i="23917"/>
  <c r="BS174" i="24050"/>
  <c r="CY180" i="23917"/>
  <c r="AI174" i="24050"/>
  <c r="BO180" i="23917"/>
  <c r="AA162" i="24050"/>
  <c r="BG168" i="23917"/>
  <c r="CC162" i="24050"/>
  <c r="DI168" i="23917"/>
  <c r="EG174" i="24050"/>
  <c r="FM180" i="23917"/>
  <c r="CG155" i="24050"/>
  <c r="DM161" i="23917"/>
  <c r="BL175" i="24050"/>
  <c r="CR181" i="23917"/>
  <c r="BA155" i="24050"/>
  <c r="CG161" i="23917"/>
  <c r="P175" i="24050"/>
  <c r="AV181" i="23917"/>
  <c r="DZ154" i="24050"/>
  <c r="FF160" i="23917"/>
  <c r="DN154" i="24050"/>
  <c r="ET160" i="23917"/>
  <c r="BP140" i="24050"/>
  <c r="CV146" i="23917"/>
  <c r="DR317" i="24050"/>
  <c r="EX323" i="23917"/>
  <c r="DQ333" i="24050"/>
  <c r="EW339" i="23917"/>
  <c r="EB312" i="24050"/>
  <c r="FH318" i="23917"/>
  <c r="CO297" i="24050"/>
  <c r="DU303" i="23917"/>
  <c r="BC297" i="24050"/>
  <c r="CI303" i="23917"/>
  <c r="BZ298" i="24050"/>
  <c r="DF304" i="23917"/>
  <c r="AU278" i="24050"/>
  <c r="CA284" i="23917"/>
  <c r="DP275" i="24050"/>
  <c r="EV281" i="23917"/>
  <c r="M19" i="24068"/>
  <c r="AI255" i="24050"/>
  <c r="BO261" i="23917"/>
  <c r="CS222" i="24050"/>
  <c r="DY228" i="23917"/>
  <c r="ED219" i="24050"/>
  <c r="FJ225" i="23917"/>
  <c r="AQ215" i="24050"/>
  <c r="BW221" i="23917"/>
  <c r="AK213" i="24050"/>
  <c r="BQ219" i="23917"/>
  <c r="DT198" i="24050"/>
  <c r="EZ204" i="23917"/>
  <c r="DX194" i="24050"/>
  <c r="FD200" i="23917"/>
  <c r="BW174" i="24050"/>
  <c r="DC180" i="23917"/>
  <c r="ED154" i="24050"/>
  <c r="FJ160" i="23917"/>
  <c r="CG140" i="24050"/>
  <c r="DM146" i="23917"/>
  <c r="DR3" i="24050"/>
  <c r="EX3" i="23917"/>
  <c r="BE96" i="24050"/>
  <c r="CK102" i="23917"/>
  <c r="BN84" i="24050"/>
  <c r="CT90" i="23917"/>
  <c r="X84" i="24050"/>
  <c r="BD90" i="23917"/>
  <c r="H84" i="24050"/>
  <c r="AN90" i="23917"/>
  <c r="I88" i="23917"/>
  <c r="H88" i="23917"/>
  <c r="AS89" i="24050"/>
  <c r="BY95" i="23917"/>
  <c r="W77" i="24050"/>
  <c r="BC83" i="23917"/>
  <c r="F84" i="24050"/>
  <c r="AL90" i="23917"/>
  <c r="AR94" i="24050"/>
  <c r="BX100" i="23917"/>
  <c r="DW77" i="24050"/>
  <c r="FC83" i="23917"/>
  <c r="DS94" i="24050"/>
  <c r="EY100" i="23917"/>
  <c r="O85" i="23917"/>
  <c r="N85" i="23917"/>
  <c r="EC93" i="24050"/>
  <c r="FI99" i="23917"/>
  <c r="BF84" i="24050"/>
  <c r="CL90" i="23917"/>
  <c r="AG87" i="23917"/>
  <c r="AF87" i="23917"/>
  <c r="DH88" i="24050"/>
  <c r="DH76" i="24050"/>
  <c r="EN94" i="23917"/>
  <c r="EN82" i="23917"/>
  <c r="DE75" i="24050"/>
  <c r="EK81" i="23917"/>
  <c r="CB82" i="24050"/>
  <c r="DH88" i="23917"/>
  <c r="BU77" i="24050"/>
  <c r="DA83" i="23917"/>
  <c r="DK91" i="24050"/>
  <c r="EQ97" i="23917"/>
  <c r="DC92" i="24050"/>
  <c r="EI98" i="23917"/>
  <c r="CF90" i="24050"/>
  <c r="DL96" i="23917"/>
  <c r="AV91" i="24050"/>
  <c r="CB97" i="23917"/>
  <c r="AF78" i="24050"/>
  <c r="BL84" i="23917"/>
  <c r="X90" i="24050"/>
  <c r="BD96" i="23917"/>
  <c r="L90" i="24050"/>
  <c r="AR96" i="23917"/>
  <c r="I98" i="23917"/>
  <c r="H98" i="23917"/>
  <c r="BM93" i="24050"/>
  <c r="CS99" i="23917"/>
  <c r="I93" i="24050"/>
  <c r="AO99" i="23917"/>
  <c r="P82" i="24050"/>
  <c r="AV88" i="23917"/>
  <c r="BU76" i="24050"/>
  <c r="BU88" i="24050"/>
  <c r="DA94" i="23917"/>
  <c r="DA82" i="23917"/>
  <c r="AI88" i="24050"/>
  <c r="AI76" i="24050"/>
  <c r="BO94" i="23917"/>
  <c r="BO82" i="23917"/>
  <c r="CD92" i="24050"/>
  <c r="DJ98" i="23917"/>
  <c r="BV78" i="24050"/>
  <c r="DB84" i="23917"/>
  <c r="BR90" i="24050"/>
  <c r="CX96" i="23917"/>
  <c r="AT79" i="24050"/>
  <c r="BZ85" i="23917"/>
  <c r="AP90" i="24050"/>
  <c r="BV96" i="23917"/>
  <c r="AH90" i="24050"/>
  <c r="BN96" i="23917"/>
  <c r="D92" i="24050"/>
  <c r="AJ98" i="23917"/>
  <c r="E98" i="23917"/>
  <c r="D98" i="23917"/>
  <c r="BG93" i="24050"/>
  <c r="CM99" i="23917"/>
  <c r="CH75" i="24050"/>
  <c r="DN81" i="23917"/>
  <c r="BB75" i="24050"/>
  <c r="CH81" i="23917"/>
  <c r="F75" i="24050"/>
  <c r="AL81" i="23917"/>
  <c r="DV87" i="24050"/>
  <c r="FB93" i="23917"/>
  <c r="BR93" i="24050"/>
  <c r="CX99" i="23917"/>
  <c r="EC91" i="24050"/>
  <c r="FI97" i="23917"/>
  <c r="DU90" i="24050"/>
  <c r="FA96" i="23917"/>
  <c r="DM90" i="24050"/>
  <c r="ES96" i="23917"/>
  <c r="G31" i="24050"/>
  <c r="AM39" i="23917"/>
  <c r="AZ30" i="24050"/>
  <c r="CF38" i="23917"/>
  <c r="DT44" i="24050"/>
  <c r="EZ52" i="23917"/>
  <c r="W30" i="24050"/>
  <c r="BC38" i="23917"/>
  <c r="M30" i="24050"/>
  <c r="AS38" i="23917"/>
  <c r="AW30" i="24050"/>
  <c r="CC38" i="23917"/>
  <c r="AO31" i="24050"/>
  <c r="BU39" i="23917"/>
  <c r="DL3" i="24050"/>
  <c r="ER3" i="23917"/>
  <c r="BY96" i="24050"/>
  <c r="DE102" i="23917"/>
  <c r="BA96" i="24050"/>
  <c r="CG102" i="23917"/>
  <c r="BO77" i="24050"/>
  <c r="CU83" i="23917"/>
  <c r="AC77" i="24050"/>
  <c r="BI83" i="23917"/>
  <c r="S90" i="23917"/>
  <c r="R90" i="23917"/>
  <c r="AE85" i="23917"/>
  <c r="AD85" i="23917"/>
  <c r="AC84" i="23917"/>
  <c r="AB84" i="23917"/>
  <c r="DW94" i="24050"/>
  <c r="FC100" i="23917"/>
  <c r="BZ84" i="24050"/>
  <c r="DF90" i="23917"/>
  <c r="AD82" i="24050"/>
  <c r="BJ88" i="23917"/>
  <c r="N84" i="24050"/>
  <c r="AT90" i="23917"/>
  <c r="EG93" i="24050"/>
  <c r="FM99" i="23917"/>
  <c r="DI94" i="24050"/>
  <c r="EO100" i="23917"/>
  <c r="BG77" i="24050"/>
  <c r="CM83" i="23917"/>
  <c r="DD88" i="24050"/>
  <c r="DD76" i="24050"/>
  <c r="EJ94" i="23917"/>
  <c r="EJ82" i="23917"/>
  <c r="DQ75" i="24050"/>
  <c r="EW81" i="23917"/>
  <c r="CN84" i="24050"/>
  <c r="DT90" i="23917"/>
  <c r="Q84" i="23917"/>
  <c r="P84" i="23917"/>
  <c r="BT84" i="24050"/>
  <c r="CZ90" i="23917"/>
  <c r="AN81" i="24050"/>
  <c r="BT87" i="23917"/>
  <c r="DW76" i="24050"/>
  <c r="DW88" i="24050"/>
  <c r="FC94" i="23917"/>
  <c r="FC82" i="23917"/>
  <c r="DG91" i="24050"/>
  <c r="EM97" i="23917"/>
  <c r="BT79" i="24050"/>
  <c r="CZ85" i="23917"/>
  <c r="AV90" i="24050"/>
  <c r="CB96" i="23917"/>
  <c r="AB90" i="24050"/>
  <c r="BH96" i="23917"/>
  <c r="L78" i="24050"/>
  <c r="AR84" i="23917"/>
  <c r="BY93" i="24050"/>
  <c r="DE99" i="23917"/>
  <c r="BS88" i="24050"/>
  <c r="BS76" i="24050"/>
  <c r="CY94" i="23917"/>
  <c r="CY82" i="23917"/>
  <c r="AE88" i="24050"/>
  <c r="AE76" i="24050"/>
  <c r="BK94" i="23917"/>
  <c r="BK82" i="23917"/>
  <c r="CH80" i="24050"/>
  <c r="DN86" i="23917"/>
  <c r="CD91" i="24050"/>
  <c r="DJ97" i="23917"/>
  <c r="BV80" i="24050"/>
  <c r="DB86" i="23917"/>
  <c r="BR91" i="24050"/>
  <c r="CX97" i="23917"/>
  <c r="BN91" i="24050"/>
  <c r="CT97" i="23917"/>
  <c r="BJ92" i="24050"/>
  <c r="CP98" i="23917"/>
  <c r="BB79" i="24050"/>
  <c r="CH85" i="23917"/>
  <c r="AX91" i="24050"/>
  <c r="CD97" i="23917"/>
  <c r="AP80" i="24050"/>
  <c r="BV86" i="23917"/>
  <c r="AL92" i="24050"/>
  <c r="BR98" i="23917"/>
  <c r="AD79" i="24050"/>
  <c r="BJ85" i="23917"/>
  <c r="V78" i="24050"/>
  <c r="BB84" i="23917"/>
  <c r="R91" i="24050"/>
  <c r="AX97" i="23917"/>
  <c r="J78" i="24050"/>
  <c r="AP84" i="23917"/>
  <c r="BC93" i="24050"/>
  <c r="CI99" i="23917"/>
  <c r="BN75" i="24050"/>
  <c r="CT81" i="23917"/>
  <c r="B75" i="24050"/>
  <c r="AH81" i="23917"/>
  <c r="DR87" i="24050"/>
  <c r="EX93" i="23917"/>
  <c r="BS89" i="24050"/>
  <c r="CY95" i="23917"/>
  <c r="AA86" i="23917"/>
  <c r="Z86" i="23917"/>
  <c r="CR88" i="24050"/>
  <c r="CR76" i="24050"/>
  <c r="DX94" i="23917"/>
  <c r="DX82" i="23917"/>
  <c r="AF82" i="24050"/>
  <c r="BL88" i="23917"/>
  <c r="DY91" i="24050"/>
  <c r="FE97" i="23917"/>
  <c r="BL82" i="24050"/>
  <c r="CR88" i="23917"/>
  <c r="EH59" i="24050"/>
  <c r="EH24" i="24050"/>
  <c r="FN66" i="23917"/>
  <c r="FN27" i="23917"/>
  <c r="DL44" i="24050"/>
  <c r="ER52" i="23917"/>
  <c r="DX59" i="24050"/>
  <c r="DX24" i="24050"/>
  <c r="FD66" i="23917"/>
  <c r="FD27" i="23917"/>
  <c r="BC31" i="24050"/>
  <c r="CI39" i="23917"/>
  <c r="S31" i="24050"/>
  <c r="AY39" i="23917"/>
  <c r="CG31" i="24050"/>
  <c r="DM39" i="23917"/>
  <c r="AI30" i="24050"/>
  <c r="BO38" i="23917"/>
  <c r="CI31" i="24050"/>
  <c r="DO39" i="23917"/>
  <c r="AG30" i="24050"/>
  <c r="BM38" i="23917"/>
  <c r="CK30" i="24050"/>
  <c r="DQ38" i="23917"/>
  <c r="DQ31" i="24050"/>
  <c r="EW39" i="23917"/>
  <c r="BE31" i="24050"/>
  <c r="CK39" i="23917"/>
  <c r="F30" i="24050"/>
  <c r="AL38" i="23917"/>
  <c r="AW318" i="24050"/>
  <c r="CC324" i="23917"/>
  <c r="DI356" i="24050"/>
  <c r="EO362" i="23917"/>
  <c r="CP316" i="24050"/>
  <c r="DV322" i="23917"/>
  <c r="EP396" i="23917"/>
  <c r="EO396" i="23917"/>
  <c r="DK356" i="24050"/>
  <c r="EQ362" i="23917"/>
  <c r="DR354" i="24050"/>
  <c r="EX360" i="23917"/>
  <c r="I349" i="24050"/>
  <c r="AO355" i="23917"/>
  <c r="DZ389" i="24050"/>
  <c r="CL389" i="24050"/>
  <c r="FD395" i="23917"/>
  <c r="FC395" i="23917"/>
  <c r="S340" i="23917"/>
  <c r="R340" i="23917"/>
  <c r="BY320" i="24050"/>
  <c r="DE326" i="23917"/>
  <c r="AC320" i="24050"/>
  <c r="BI326" i="23917"/>
  <c r="EB319" i="24050"/>
  <c r="FH325" i="23917"/>
  <c r="DZ317" i="24050"/>
  <c r="FF323" i="23917"/>
  <c r="AY313" i="24050"/>
  <c r="CE319" i="23917"/>
  <c r="DT392" i="24050"/>
  <c r="CF392" i="24050"/>
  <c r="FP388" i="23917"/>
  <c r="FO388" i="23917"/>
  <c r="BP334" i="24050"/>
  <c r="CV340" i="23917"/>
  <c r="DY332" i="24050"/>
  <c r="FE338" i="23917"/>
  <c r="DI333" i="24050"/>
  <c r="EO339" i="23917"/>
  <c r="AS313" i="24050"/>
  <c r="BY319" i="23917"/>
  <c r="H334" i="24050"/>
  <c r="AN340" i="23917"/>
  <c r="O335" i="23917"/>
  <c r="N335" i="23917"/>
  <c r="ED311" i="24050"/>
  <c r="FJ317" i="23917"/>
  <c r="CO296" i="24050"/>
  <c r="DU302" i="23917"/>
  <c r="DN282" i="24050"/>
  <c r="ET288" i="23917"/>
  <c r="BI278" i="24050"/>
  <c r="CO284" i="23917"/>
  <c r="CO263" i="24050"/>
  <c r="DU269" i="23917"/>
  <c r="DK241" i="24050"/>
  <c r="EQ247" i="23917"/>
  <c r="BQ15" i="24050"/>
  <c r="CW408" i="23917"/>
  <c r="CL321" i="24050"/>
  <c r="DR327" i="23917"/>
  <c r="BG320" i="24050"/>
  <c r="CM326" i="23917"/>
  <c r="DJ319" i="24050"/>
  <c r="EP325" i="23917"/>
  <c r="DK332" i="24050"/>
  <c r="EQ338" i="23917"/>
  <c r="BN323" i="24050"/>
  <c r="BN324" i="24050" s="1"/>
  <c r="BN14" i="24050"/>
  <c r="CT329" i="23917"/>
  <c r="CT330" i="23917" s="1"/>
  <c r="U340" i="23917"/>
  <c r="T340" i="23917"/>
  <c r="S311" i="24050"/>
  <c r="AY317" i="23917"/>
  <c r="DL310" i="24050"/>
  <c r="ER316" i="23917"/>
  <c r="AL287" i="24050"/>
  <c r="AL13" i="24050"/>
  <c r="BR293" i="23917"/>
  <c r="EA296" i="24050"/>
  <c r="FG302" i="23917"/>
  <c r="DK296" i="24050"/>
  <c r="EQ302" i="23917"/>
  <c r="EI277" i="24050"/>
  <c r="FO283" i="23917"/>
  <c r="H257" i="24050"/>
  <c r="AN263" i="23917"/>
  <c r="AX244" i="24050"/>
  <c r="CD250" i="23917"/>
  <c r="AA250" i="23917"/>
  <c r="Z250" i="23917"/>
  <c r="DX243" i="24050"/>
  <c r="FD249" i="23917"/>
  <c r="ED241" i="24050"/>
  <c r="FJ247" i="23917"/>
  <c r="CC237" i="24050"/>
  <c r="DI243" i="23917"/>
  <c r="DR367" i="24050"/>
  <c r="EX373" i="23917"/>
  <c r="M358" i="24050"/>
  <c r="AS364" i="23917"/>
  <c r="D363" i="24050"/>
  <c r="AJ369" i="23917"/>
  <c r="E369" i="23917"/>
  <c r="D369" i="23917"/>
  <c r="DR349" i="24050"/>
  <c r="EX355" i="23917"/>
  <c r="DR393" i="24050"/>
  <c r="CD393" i="24050"/>
  <c r="DL389" i="24050"/>
  <c r="BX389" i="24050"/>
  <c r="AZ408" i="23917"/>
  <c r="T399" i="24050" s="1"/>
  <c r="T15" i="24050"/>
  <c r="CQ333" i="24050"/>
  <c r="DW339" i="23917"/>
  <c r="DV320" i="24050"/>
  <c r="FB326" i="23917"/>
  <c r="CJ334" i="24050"/>
  <c r="DP340" i="23917"/>
  <c r="BD334" i="24050"/>
  <c r="CJ340" i="23917"/>
  <c r="X334" i="24050"/>
  <c r="BD340" i="23917"/>
  <c r="AR321" i="24050"/>
  <c r="BX327" i="23917"/>
  <c r="DU318" i="24050"/>
  <c r="FA324" i="23917"/>
  <c r="EC332" i="24050"/>
  <c r="FI338" i="23917"/>
  <c r="DO316" i="24050"/>
  <c r="EU322" i="23917"/>
  <c r="DO313" i="24050"/>
  <c r="EU319" i="23917"/>
  <c r="BU313" i="24050"/>
  <c r="DA319" i="23917"/>
  <c r="BE313" i="24050"/>
  <c r="CK319" i="23917"/>
  <c r="AO313" i="24050"/>
  <c r="BU319" i="23917"/>
  <c r="X323" i="24050"/>
  <c r="X14" i="24050"/>
  <c r="BD329" i="23917"/>
  <c r="E313" i="24050"/>
  <c r="AK319" i="23917"/>
  <c r="C335" i="23917"/>
  <c r="B335" i="23917"/>
  <c r="G312" i="24050"/>
  <c r="AM318" i="23917"/>
  <c r="DY313" i="24050"/>
  <c r="FE319" i="23917"/>
  <c r="CL287" i="24050"/>
  <c r="CL288" i="24050" s="1"/>
  <c r="CL13" i="24050"/>
  <c r="DR293" i="23917"/>
  <c r="DR294" i="23917" s="1"/>
  <c r="F23" i="24068"/>
  <c r="BF287" i="24050"/>
  <c r="BF288" i="24050" s="1"/>
  <c r="BF13" i="24050"/>
  <c r="CL293" i="23917"/>
  <c r="CL294" i="23917" s="1"/>
  <c r="Z287" i="24050"/>
  <c r="Z13" i="24050"/>
  <c r="BF293" i="23917"/>
  <c r="CB298" i="24050"/>
  <c r="DH304" i="23917"/>
  <c r="BL298" i="24050"/>
  <c r="CR304" i="23917"/>
  <c r="AV298" i="24050"/>
  <c r="CB304" i="23917"/>
  <c r="AF298" i="24050"/>
  <c r="BL304" i="23917"/>
  <c r="P298" i="24050"/>
  <c r="AV304" i="23917"/>
  <c r="DC297" i="24050"/>
  <c r="EI303" i="23917"/>
  <c r="Y291" i="23917"/>
  <c r="X291" i="23917"/>
  <c r="CI283" i="24050"/>
  <c r="DO289" i="23917"/>
  <c r="CA283" i="24050"/>
  <c r="DG289" i="23917"/>
  <c r="BO283" i="24050"/>
  <c r="CU289" i="23917"/>
  <c r="BE283" i="24050"/>
  <c r="CK289" i="23917"/>
  <c r="AU283" i="24050"/>
  <c r="CA289" i="23917"/>
  <c r="AI283" i="24050"/>
  <c r="BO289" i="23917"/>
  <c r="Y283" i="24050"/>
  <c r="BE289" i="23917"/>
  <c r="O283" i="24050"/>
  <c r="AU289" i="23917"/>
  <c r="G283" i="24050"/>
  <c r="AM289" i="23917"/>
  <c r="CF246" i="24050"/>
  <c r="CF247" i="24050" s="1"/>
  <c r="CF12" i="24050"/>
  <c r="DL252" i="23917"/>
  <c r="DL253" i="23917" s="1"/>
  <c r="K14" i="24068"/>
  <c r="BP246" i="24050"/>
  <c r="BP247" i="24050" s="1"/>
  <c r="BP12" i="24050"/>
  <c r="CV252" i="23917"/>
  <c r="CV253" i="23917" s="1"/>
  <c r="AJ246" i="24050"/>
  <c r="AJ12" i="24050"/>
  <c r="BP252" i="23917"/>
  <c r="H246" i="24050"/>
  <c r="H12" i="24050"/>
  <c r="AN252" i="23917"/>
  <c r="DE257" i="24050"/>
  <c r="EK263" i="23917"/>
  <c r="EE237" i="24050"/>
  <c r="FK243" i="23917"/>
  <c r="DO237" i="24050"/>
  <c r="EU243" i="23917"/>
  <c r="DN368" i="24050"/>
  <c r="ET374" i="23917"/>
  <c r="DP366" i="24050"/>
  <c r="EV372" i="23917"/>
  <c r="K358" i="24050"/>
  <c r="AQ364" i="23917"/>
  <c r="B363" i="24050"/>
  <c r="AH369" i="23917"/>
  <c r="C369" i="23917"/>
  <c r="B369" i="23917"/>
  <c r="DP394" i="24050"/>
  <c r="CB394" i="24050"/>
  <c r="DN388" i="24050"/>
  <c r="BZ388" i="24050"/>
  <c r="DO408" i="23917"/>
  <c r="CI15" i="24050"/>
  <c r="DG408" i="23917"/>
  <c r="CA15" i="24050"/>
  <c r="CY408" i="23917"/>
  <c r="BS15" i="24050"/>
  <c r="BG15" i="24050"/>
  <c r="CM408" i="23917"/>
  <c r="BG399" i="24050" s="1"/>
  <c r="Z15" i="24050"/>
  <c r="BF408" i="23917"/>
  <c r="Z399" i="24050" s="1"/>
  <c r="EF384" i="24050"/>
  <c r="CR384" i="24050"/>
  <c r="BU384" i="24050"/>
  <c r="DI384" i="24050"/>
  <c r="CI320" i="24050"/>
  <c r="DO326" i="23917"/>
  <c r="BS320" i="24050"/>
  <c r="CY326" i="23917"/>
  <c r="BC320" i="24050"/>
  <c r="CI326" i="23917"/>
  <c r="AM320" i="24050"/>
  <c r="BS326" i="23917"/>
  <c r="W320" i="24050"/>
  <c r="BC326" i="23917"/>
  <c r="EL319" i="24050"/>
  <c r="FR325" i="23917"/>
  <c r="DV319" i="24050"/>
  <c r="FB325" i="23917"/>
  <c r="DN318" i="24050"/>
  <c r="ET324" i="23917"/>
  <c r="DW333" i="24050"/>
  <c r="FC339" i="23917"/>
  <c r="CH323" i="24050"/>
  <c r="CH324" i="24050" s="1"/>
  <c r="CH14" i="24050"/>
  <c r="DN329" i="23917"/>
  <c r="DN330" i="23917" s="1"/>
  <c r="J329" i="24050"/>
  <c r="AP335" i="23917"/>
  <c r="CS312" i="24050"/>
  <c r="DY318" i="23917"/>
  <c r="V313" i="24050"/>
  <c r="BB319" i="23917"/>
  <c r="DP312" i="24050"/>
  <c r="EV318" i="23917"/>
  <c r="DH310" i="24050"/>
  <c r="EN316" i="23917"/>
  <c r="H23" i="24068"/>
  <c r="BJ287" i="24050"/>
  <c r="BJ288" i="24050" s="1"/>
  <c r="BJ13" i="24050"/>
  <c r="CP293" i="23917"/>
  <c r="CP294" i="23917" s="1"/>
  <c r="AD287" i="24050"/>
  <c r="AD13" i="24050"/>
  <c r="BJ293" i="23917"/>
  <c r="CZ296" i="24050"/>
  <c r="EF302" i="23917"/>
  <c r="DU296" i="24050"/>
  <c r="FA302" i="23917"/>
  <c r="DE296" i="24050"/>
  <c r="EK302" i="23917"/>
  <c r="DY283" i="24050"/>
  <c r="FE289" i="23917"/>
  <c r="CT283" i="24050"/>
  <c r="DZ289" i="23917"/>
  <c r="DX276" i="24050"/>
  <c r="FD282" i="23917"/>
  <c r="DH276" i="24050"/>
  <c r="EN282" i="23917"/>
  <c r="DJ263" i="24050"/>
  <c r="EP269" i="23917"/>
  <c r="DU263" i="24050"/>
  <c r="FA269" i="23917"/>
  <c r="EF260" i="24050"/>
  <c r="FL266" i="23917"/>
  <c r="BZ257" i="24050"/>
  <c r="DF263" i="23917"/>
  <c r="BF257" i="24050"/>
  <c r="CL263" i="23917"/>
  <c r="AP257" i="24050"/>
  <c r="BV263" i="23917"/>
  <c r="Z257" i="24050"/>
  <c r="BF263" i="23917"/>
  <c r="CJ244" i="24050"/>
  <c r="DP250" i="23917"/>
  <c r="BT244" i="24050"/>
  <c r="CZ250" i="23917"/>
  <c r="BD244" i="24050"/>
  <c r="CJ250" i="23917"/>
  <c r="AN244" i="24050"/>
  <c r="BT250" i="23917"/>
  <c r="X244" i="24050"/>
  <c r="BD250" i="23917"/>
  <c r="H244" i="24050"/>
  <c r="AN250" i="23917"/>
  <c r="U250" i="23917"/>
  <c r="T250" i="23917"/>
  <c r="DG244" i="24050"/>
  <c r="EM250" i="23917"/>
  <c r="DV243" i="24050"/>
  <c r="FB249" i="23917"/>
  <c r="EC242" i="24050"/>
  <c r="FI248" i="23917"/>
  <c r="DM242" i="24050"/>
  <c r="ES248" i="23917"/>
  <c r="DX241" i="24050"/>
  <c r="FD247" i="23917"/>
  <c r="ED240" i="24050"/>
  <c r="FJ246" i="23917"/>
  <c r="V237" i="24050"/>
  <c r="BB243" i="23917"/>
  <c r="EL236" i="24050"/>
  <c r="FR242" i="23917"/>
  <c r="DV236" i="24050"/>
  <c r="FB242" i="23917"/>
  <c r="DX235" i="24050"/>
  <c r="FD241" i="23917"/>
  <c r="DZ234" i="24050"/>
  <c r="FF240" i="23917"/>
  <c r="DT311" i="24050"/>
  <c r="EZ317" i="23917"/>
  <c r="BS285" i="24050"/>
  <c r="CY291" i="23917"/>
  <c r="AM285" i="24050"/>
  <c r="BS291" i="23917"/>
  <c r="G285" i="24050"/>
  <c r="AM291" i="23917"/>
  <c r="CN287" i="24050"/>
  <c r="CN288" i="24050" s="1"/>
  <c r="CN13" i="24050"/>
  <c r="DT293" i="23917"/>
  <c r="DT294" i="23917" s="1"/>
  <c r="BN293" i="24050"/>
  <c r="CT299" i="23917"/>
  <c r="AB287" i="24050"/>
  <c r="AB13" i="24050"/>
  <c r="BH293" i="23917"/>
  <c r="C287" i="24050"/>
  <c r="C13" i="24050"/>
  <c r="AI293" i="23917"/>
  <c r="CQ282" i="24050"/>
  <c r="DW288" i="23917"/>
  <c r="EF256" i="24050"/>
  <c r="FL262" i="23917"/>
  <c r="DP255" i="24050"/>
  <c r="EV261" i="23917"/>
  <c r="O258" i="23917"/>
  <c r="N258" i="23917"/>
  <c r="DY257" i="24050"/>
  <c r="FE263" i="23917"/>
  <c r="CO222" i="24050"/>
  <c r="DU228" i="23917"/>
  <c r="C221" i="24050"/>
  <c r="AI227" i="23917"/>
  <c r="DJ219" i="24050"/>
  <c r="EP225" i="23917"/>
  <c r="DT220" i="24050"/>
  <c r="EZ226" i="23917"/>
  <c r="CI213" i="24050"/>
  <c r="DO219" i="23917"/>
  <c r="BC213" i="24050"/>
  <c r="CI219" i="23917"/>
  <c r="DO202" i="24050"/>
  <c r="EU208" i="23917"/>
  <c r="EF198" i="24050"/>
  <c r="FL204" i="23917"/>
  <c r="Q193" i="24050"/>
  <c r="AW199" i="23917"/>
  <c r="BY285" i="24050"/>
  <c r="DE291" i="23917"/>
  <c r="AS285" i="24050"/>
  <c r="BY291" i="23917"/>
  <c r="EE298" i="24050"/>
  <c r="FK304" i="23917"/>
  <c r="DN243" i="24050"/>
  <c r="ET249" i="23917"/>
  <c r="DE252" i="24050"/>
  <c r="EK258" i="23917"/>
  <c r="EE215" i="24050"/>
  <c r="FK221" i="23917"/>
  <c r="DQ195" i="24050"/>
  <c r="EW201" i="23917"/>
  <c r="CT311" i="24050"/>
  <c r="DZ317" i="23917"/>
  <c r="CE285" i="24050"/>
  <c r="DK291" i="23917"/>
  <c r="AY285" i="24050"/>
  <c r="CE291" i="23917"/>
  <c r="S285" i="24050"/>
  <c r="AY291" i="23917"/>
  <c r="O23" i="24068"/>
  <c r="DW287" i="24050"/>
  <c r="DW288" i="24050" s="1"/>
  <c r="DW13" i="24050"/>
  <c r="FC293" i="23917"/>
  <c r="FC294" i="23917" s="1"/>
  <c r="CS257" i="24050"/>
  <c r="DY263" i="23917"/>
  <c r="CO257" i="24050"/>
  <c r="DU263" i="23917"/>
  <c r="CC285" i="24050"/>
  <c r="DI291" i="23917"/>
  <c r="AW285" i="24050"/>
  <c r="CC291" i="23917"/>
  <c r="Q285" i="24050"/>
  <c r="AW291" i="23917"/>
  <c r="EH297" i="24050"/>
  <c r="FN303" i="23917"/>
  <c r="CA298" i="24050"/>
  <c r="DG304" i="23917"/>
  <c r="O298" i="24050"/>
  <c r="AU304" i="23917"/>
  <c r="DE298" i="24050"/>
  <c r="EK304" i="23917"/>
  <c r="EH256" i="24050"/>
  <c r="FN262" i="23917"/>
  <c r="DR255" i="24050"/>
  <c r="EX261" i="23917"/>
  <c r="N257" i="24050"/>
  <c r="AT263" i="23917"/>
  <c r="DU222" i="24050"/>
  <c r="FA228" i="23917"/>
  <c r="DV219" i="24050"/>
  <c r="FB225" i="23917"/>
  <c r="C218" i="24050"/>
  <c r="AI224" i="23917"/>
  <c r="BQ204" i="24050"/>
  <c r="BQ10" i="24050"/>
  <c r="CW210" i="23917"/>
  <c r="AK204" i="24050"/>
  <c r="AK10" i="24050"/>
  <c r="BQ210" i="23917"/>
  <c r="DM214" i="24050"/>
  <c r="ES220" i="23917"/>
  <c r="ED213" i="24050"/>
  <c r="FJ219" i="23917"/>
  <c r="DM200" i="24050"/>
  <c r="ES206" i="23917"/>
  <c r="AW195" i="24050"/>
  <c r="CC201" i="23917"/>
  <c r="CS194" i="24050"/>
  <c r="DY200" i="23917"/>
  <c r="BY175" i="24050"/>
  <c r="DE181" i="23917"/>
  <c r="AS175" i="24050"/>
  <c r="BY181" i="23917"/>
  <c r="M175" i="24050"/>
  <c r="AS181" i="23917"/>
  <c r="DV174" i="24050"/>
  <c r="FB180" i="23917"/>
  <c r="CS173" i="24050"/>
  <c r="DY179" i="23917"/>
  <c r="DY222" i="24050"/>
  <c r="FE228" i="23917"/>
  <c r="DT219" i="24050"/>
  <c r="EZ225" i="23917"/>
  <c r="CL204" i="24050"/>
  <c r="CL205" i="24050" s="1"/>
  <c r="CL10" i="24050"/>
  <c r="DR210" i="23917"/>
  <c r="DR211" i="23917" s="1"/>
  <c r="AY215" i="24050"/>
  <c r="CE221" i="23917"/>
  <c r="CM214" i="24050"/>
  <c r="DS220" i="23917"/>
  <c r="AQ214" i="24050"/>
  <c r="BW220" i="23917"/>
  <c r="CG213" i="24050"/>
  <c r="DM219" i="23917"/>
  <c r="CD202" i="24050"/>
  <c r="DJ208" i="23917"/>
  <c r="J202" i="24050"/>
  <c r="AP208" i="23917"/>
  <c r="DH201" i="24050"/>
  <c r="EN207" i="23917"/>
  <c r="G200" i="24050"/>
  <c r="AM206" i="23917"/>
  <c r="EA214" i="24050"/>
  <c r="FG220" i="23917"/>
  <c r="CB204" i="24050"/>
  <c r="CB205" i="24050" s="1"/>
  <c r="CB10" i="24050"/>
  <c r="DH210" i="23917"/>
  <c r="DH211" i="23917" s="1"/>
  <c r="AV204" i="24050"/>
  <c r="AV205" i="24050" s="1"/>
  <c r="AV10" i="24050"/>
  <c r="CB210" i="23917"/>
  <c r="CB211" i="23917" s="1"/>
  <c r="E195" i="24050"/>
  <c r="AK201" i="23917"/>
  <c r="AA193" i="24050"/>
  <c r="BG199" i="23917"/>
  <c r="J195" i="24050"/>
  <c r="AP201" i="23917"/>
  <c r="CQ192" i="24050"/>
  <c r="DW198" i="23917"/>
  <c r="CP201" i="24050"/>
  <c r="DV207" i="23917"/>
  <c r="CU174" i="24050"/>
  <c r="EA180" i="23917"/>
  <c r="BY173" i="24050"/>
  <c r="DE179" i="23917"/>
  <c r="M173" i="24050"/>
  <c r="AS179" i="23917"/>
  <c r="BF175" i="24050"/>
  <c r="CL181" i="23917"/>
  <c r="EA173" i="24050"/>
  <c r="FG179" i="23917"/>
  <c r="DK158" i="24050"/>
  <c r="EQ164" i="23917"/>
  <c r="CN164" i="24050"/>
  <c r="CN165" i="24050" s="1"/>
  <c r="CN9" i="24050"/>
  <c r="DT170" i="23917"/>
  <c r="DT171" i="23917" s="1"/>
  <c r="BX164" i="24050"/>
  <c r="BX165" i="24050" s="1"/>
  <c r="BX9" i="24050"/>
  <c r="DD170" i="23917"/>
  <c r="DD171" i="23917" s="1"/>
  <c r="BH164" i="24050"/>
  <c r="BH165" i="24050" s="1"/>
  <c r="BH9" i="24050"/>
  <c r="CN170" i="23917"/>
  <c r="CN171" i="23917" s="1"/>
  <c r="AR164" i="24050"/>
  <c r="AR165" i="24050" s="1"/>
  <c r="AR9" i="24050"/>
  <c r="BX170" i="23917"/>
  <c r="BX171" i="23917" s="1"/>
  <c r="AB164" i="24050"/>
  <c r="AB9" i="24050"/>
  <c r="BH170" i="23917"/>
  <c r="L164" i="24050"/>
  <c r="L9" i="24050"/>
  <c r="AR170" i="23917"/>
  <c r="R140" i="24050"/>
  <c r="AX146" i="23917"/>
  <c r="B140" i="24050"/>
  <c r="AH146" i="23917"/>
  <c r="DQ112" i="24050"/>
  <c r="EW118" i="23917"/>
  <c r="DT215" i="24050"/>
  <c r="EZ221" i="23917"/>
  <c r="AM215" i="24050"/>
  <c r="BS221" i="23917"/>
  <c r="CA214" i="24050"/>
  <c r="DG220" i="23917"/>
  <c r="O214" i="24050"/>
  <c r="AU220" i="23917"/>
  <c r="DK201" i="24050"/>
  <c r="EQ207" i="23917"/>
  <c r="EE214" i="24050"/>
  <c r="FK220" i="23917"/>
  <c r="DO214" i="24050"/>
  <c r="EU220" i="23917"/>
  <c r="DH195" i="24050"/>
  <c r="EN201" i="23917"/>
  <c r="AO195" i="24050"/>
  <c r="BU201" i="23917"/>
  <c r="I195" i="24050"/>
  <c r="AO201" i="23917"/>
  <c r="EH192" i="24050"/>
  <c r="FN198" i="23917"/>
  <c r="DJ180" i="24050"/>
  <c r="EP186" i="23917"/>
  <c r="S186" i="23917"/>
  <c r="R186" i="23917"/>
  <c r="AG173" i="24050"/>
  <c r="BM179" i="23917"/>
  <c r="AS160" i="24050"/>
  <c r="BY166" i="23917"/>
  <c r="Z181" i="23917"/>
  <c r="CS139" i="24050"/>
  <c r="DY145" i="23917"/>
  <c r="CD131" i="24050"/>
  <c r="DJ137" i="23917"/>
  <c r="BN131" i="24050"/>
  <c r="CT137" i="23917"/>
  <c r="Z131" i="24050"/>
  <c r="BF137" i="23917"/>
  <c r="F131" i="24050"/>
  <c r="AL137" i="23917"/>
  <c r="BM118" i="24050"/>
  <c r="CS124" i="23917"/>
  <c r="DK116" i="24050"/>
  <c r="EQ122" i="23917"/>
  <c r="DK110" i="24050"/>
  <c r="EQ116" i="23917"/>
  <c r="BO222" i="24050"/>
  <c r="CU228" i="23917"/>
  <c r="BZ204" i="24050"/>
  <c r="BZ205" i="24050" s="1"/>
  <c r="BZ10" i="24050"/>
  <c r="DF210" i="23917"/>
  <c r="DF211" i="23917" s="1"/>
  <c r="AT204" i="24050"/>
  <c r="AT205" i="24050" s="1"/>
  <c r="AT10" i="24050"/>
  <c r="BZ210" i="23917"/>
  <c r="BZ211" i="23917" s="1"/>
  <c r="DY215" i="24050"/>
  <c r="FE221" i="23917"/>
  <c r="CW213" i="24050"/>
  <c r="EC219" i="23917"/>
  <c r="EG202" i="24050"/>
  <c r="FM208" i="23917"/>
  <c r="BS202" i="24050"/>
  <c r="CY208" i="23917"/>
  <c r="AM202" i="24050"/>
  <c r="BS208" i="23917"/>
  <c r="F202" i="24050"/>
  <c r="AL208" i="23917"/>
  <c r="CE200" i="24050"/>
  <c r="DK206" i="23917"/>
  <c r="AY200" i="24050"/>
  <c r="CE206" i="23917"/>
  <c r="S200" i="24050"/>
  <c r="AY206" i="23917"/>
  <c r="CR200" i="24050"/>
  <c r="DX206" i="23917"/>
  <c r="AC195" i="24050"/>
  <c r="BI201" i="23917"/>
  <c r="L204" i="24050"/>
  <c r="L10" i="24050"/>
  <c r="AR210" i="23917"/>
  <c r="CL164" i="24050"/>
  <c r="CL165" i="24050" s="1"/>
  <c r="CL9" i="24050"/>
  <c r="DR170" i="23917"/>
  <c r="DR171" i="23917" s="1"/>
  <c r="DU175" i="24050"/>
  <c r="FA181" i="23917"/>
  <c r="AT162" i="24050"/>
  <c r="BZ168" i="23917"/>
  <c r="BI160" i="24050"/>
  <c r="CO166" i="23917"/>
  <c r="BC160" i="24050"/>
  <c r="CI166" i="23917"/>
  <c r="AL162" i="24050"/>
  <c r="BR168" i="23917"/>
  <c r="O160" i="24050"/>
  <c r="AU166" i="23917"/>
  <c r="DY175" i="24050"/>
  <c r="FE181" i="23917"/>
  <c r="EF159" i="24050"/>
  <c r="FL165" i="23917"/>
  <c r="DO174" i="24050"/>
  <c r="EU180" i="23917"/>
  <c r="DP158" i="24050"/>
  <c r="EV164" i="23917"/>
  <c r="DN155" i="24050"/>
  <c r="ET161" i="23917"/>
  <c r="BU175" i="24050"/>
  <c r="DA181" i="23917"/>
  <c r="AY155" i="24050"/>
  <c r="CE161" i="23917"/>
  <c r="AH175" i="24050"/>
  <c r="BN181" i="23917"/>
  <c r="I175" i="24050"/>
  <c r="AO181" i="23917"/>
  <c r="EK154" i="24050"/>
  <c r="FQ160" i="23917"/>
  <c r="U140" i="24050"/>
  <c r="BA146" i="23917"/>
  <c r="BO139" i="24050"/>
  <c r="CU145" i="23917"/>
  <c r="AX140" i="24050"/>
  <c r="CD146" i="23917"/>
  <c r="DV137" i="24050"/>
  <c r="FB143" i="23917"/>
  <c r="EF135" i="24050"/>
  <c r="FL141" i="23917"/>
  <c r="AV127" i="24050"/>
  <c r="CB133" i="23917"/>
  <c r="H121" i="24050"/>
  <c r="H8" i="24050"/>
  <c r="AN127" i="23917"/>
  <c r="CK117" i="24050"/>
  <c r="DQ123" i="23917"/>
  <c r="AT131" i="24050"/>
  <c r="BZ137" i="23917"/>
  <c r="EG117" i="24050"/>
  <c r="FM123" i="23917"/>
  <c r="W117" i="24050"/>
  <c r="BC123" i="23917"/>
  <c r="G117" i="24050"/>
  <c r="AM123" i="23917"/>
  <c r="DP116" i="24050"/>
  <c r="EV122" i="23917"/>
  <c r="I115" i="24050"/>
  <c r="AO121" i="23917"/>
  <c r="CO112" i="24050"/>
  <c r="DU118" i="23917"/>
  <c r="AS112" i="24050"/>
  <c r="BY118" i="23917"/>
  <c r="DK111" i="24050"/>
  <c r="EQ117" i="23917"/>
  <c r="CT110" i="24050"/>
  <c r="DZ116" i="23917"/>
  <c r="BM117" i="24050"/>
  <c r="CS123" i="23917"/>
  <c r="EA130" i="24050"/>
  <c r="FG136" i="23917"/>
  <c r="EI111" i="24050"/>
  <c r="FO117" i="23917"/>
  <c r="DT214" i="24050"/>
  <c r="EZ220" i="23917"/>
  <c r="AS174" i="24050"/>
  <c r="BY180" i="23917"/>
  <c r="X162" i="24050"/>
  <c r="BD168" i="23917"/>
  <c r="BO160" i="24050"/>
  <c r="CU166" i="23917"/>
  <c r="DR161" i="24050"/>
  <c r="EX167" i="23917"/>
  <c r="DT159" i="24050"/>
  <c r="EZ165" i="23917"/>
  <c r="DT158" i="24050"/>
  <c r="EZ164" i="23917"/>
  <c r="CI155" i="24050"/>
  <c r="DO161" i="23917"/>
  <c r="BR164" i="24050"/>
  <c r="BR165" i="24050" s="1"/>
  <c r="BR9" i="24050"/>
  <c r="CX170" i="23917"/>
  <c r="CX171" i="23917" s="1"/>
  <c r="AM155" i="24050"/>
  <c r="BS161" i="23917"/>
  <c r="G155" i="24050"/>
  <c r="AM161" i="23917"/>
  <c r="ED153" i="24050"/>
  <c r="FJ159" i="23917"/>
  <c r="DL152" i="24050"/>
  <c r="ER158" i="23917"/>
  <c r="DG140" i="24050"/>
  <c r="EM146" i="23917"/>
  <c r="CH140" i="24050"/>
  <c r="DN146" i="23917"/>
  <c r="BR140" i="24050"/>
  <c r="CX146" i="23917"/>
  <c r="DU139" i="24050"/>
  <c r="FA145" i="23917"/>
  <c r="CI136" i="24050"/>
  <c r="DO142" i="23917"/>
  <c r="BS136" i="24050"/>
  <c r="CY142" i="23917"/>
  <c r="AZ131" i="24050"/>
  <c r="CF137" i="23917"/>
  <c r="AC137" i="23917"/>
  <c r="AB137" i="23917"/>
  <c r="CP130" i="24050"/>
  <c r="DV136" i="23917"/>
  <c r="BI119" i="24050"/>
  <c r="CO125" i="23917"/>
  <c r="AB119" i="24050"/>
  <c r="BH125" i="23917"/>
  <c r="AY118" i="24050"/>
  <c r="CE124" i="23917"/>
  <c r="BG117" i="24050"/>
  <c r="CM123" i="23917"/>
  <c r="AP119" i="24050"/>
  <c r="BV125" i="23917"/>
  <c r="E117" i="24050"/>
  <c r="AK123" i="23917"/>
  <c r="EF118" i="24050"/>
  <c r="FL124" i="23917"/>
  <c r="DQ119" i="24050"/>
  <c r="EW125" i="23917"/>
  <c r="DJ112" i="24050"/>
  <c r="EP118" i="23917"/>
  <c r="BR121" i="24050"/>
  <c r="BR122" i="24050" s="1"/>
  <c r="BR8" i="24050"/>
  <c r="CX127" i="23917"/>
  <c r="CX128" i="23917" s="1"/>
  <c r="L112" i="24050"/>
  <c r="AR118" i="23917"/>
  <c r="AE110" i="24050"/>
  <c r="BK116" i="23917"/>
  <c r="DO110" i="24050"/>
  <c r="EU116" i="23917"/>
  <c r="EH110" i="24050"/>
  <c r="FN116" i="23917"/>
  <c r="DT109" i="24050"/>
  <c r="EZ115" i="23917"/>
  <c r="EG175" i="24050"/>
  <c r="FM181" i="23917"/>
  <c r="DJ155" i="24050"/>
  <c r="EP161" i="23917"/>
  <c r="CL175" i="24050"/>
  <c r="DR181" i="23917"/>
  <c r="Z175" i="24050"/>
  <c r="BF181" i="23917"/>
  <c r="DN152" i="24050"/>
  <c r="ET158" i="23917"/>
  <c r="ED137" i="24050"/>
  <c r="FJ143" i="23917"/>
  <c r="CN127" i="24050"/>
  <c r="DT133" i="23917"/>
  <c r="CO121" i="24050"/>
  <c r="CO8" i="24050"/>
  <c r="DU127" i="23917"/>
  <c r="BC118" i="24050"/>
  <c r="CI124" i="23917"/>
  <c r="C118" i="24050"/>
  <c r="AI124" i="23917"/>
  <c r="AH204" i="24050"/>
  <c r="AH10" i="24050"/>
  <c r="BN210" i="23917"/>
  <c r="EF193" i="24050"/>
  <c r="FL199" i="23917"/>
  <c r="DK192" i="24050"/>
  <c r="EQ198" i="23917"/>
  <c r="AA180" i="24050"/>
  <c r="BG186" i="23917"/>
  <c r="CG174" i="24050"/>
  <c r="DM180" i="23917"/>
  <c r="Y179" i="23917"/>
  <c r="X179" i="23917"/>
  <c r="C159" i="24050"/>
  <c r="AI165" i="23917"/>
  <c r="EB161" i="24050"/>
  <c r="FH167" i="23917"/>
  <c r="EC162" i="24050"/>
  <c r="FI168" i="23917"/>
  <c r="EH155" i="24050"/>
  <c r="FN161" i="23917"/>
  <c r="BW155" i="24050"/>
  <c r="DC161" i="23917"/>
  <c r="CU152" i="24050"/>
  <c r="EA158" i="23917"/>
  <c r="BG139" i="24050"/>
  <c r="CM145" i="23917"/>
  <c r="AP140" i="24050"/>
  <c r="BV146" i="23917"/>
  <c r="BW136" i="24050"/>
  <c r="DC142" i="23917"/>
  <c r="I136" i="24050"/>
  <c r="AO142" i="23917"/>
  <c r="DJ117" i="24050"/>
  <c r="EP123" i="23917"/>
  <c r="DM117" i="24050"/>
  <c r="ES123" i="23917"/>
  <c r="R123" i="23917"/>
  <c r="EI116" i="24050"/>
  <c r="FO122" i="23917"/>
  <c r="O110" i="24050"/>
  <c r="AU116" i="23917"/>
  <c r="V204" i="24050"/>
  <c r="V10" i="24050"/>
  <c r="BB210" i="23917"/>
  <c r="ED192" i="24050"/>
  <c r="FJ198" i="23917"/>
  <c r="BO180" i="24050"/>
  <c r="CU186" i="23917"/>
  <c r="DX180" i="24050"/>
  <c r="FD186" i="23917"/>
  <c r="BY174" i="24050"/>
  <c r="DE180" i="23917"/>
  <c r="BD162" i="24050"/>
  <c r="CJ168" i="23917"/>
  <c r="BE160" i="24050"/>
  <c r="CK166" i="23917"/>
  <c r="AG160" i="24050"/>
  <c r="BM166" i="23917"/>
  <c r="P162" i="24050"/>
  <c r="AV168" i="23917"/>
  <c r="EF161" i="24050"/>
  <c r="FL167" i="23917"/>
  <c r="EA174" i="24050"/>
  <c r="FG180" i="23917"/>
  <c r="DR158" i="24050"/>
  <c r="EX164" i="23917"/>
  <c r="S179" i="23917"/>
  <c r="R179" i="23917"/>
  <c r="BZ175" i="24050"/>
  <c r="DF181" i="23917"/>
  <c r="AU155" i="24050"/>
  <c r="CA161" i="23917"/>
  <c r="AD175" i="24050"/>
  <c r="BJ181" i="23917"/>
  <c r="EH152" i="24050"/>
  <c r="FN158" i="23917"/>
  <c r="CY152" i="24050"/>
  <c r="EE158" i="23917"/>
  <c r="BK139" i="24050"/>
  <c r="CQ145" i="23917"/>
  <c r="AT140" i="24050"/>
  <c r="BZ146" i="23917"/>
  <c r="M136" i="24050"/>
  <c r="AS142" i="23917"/>
  <c r="ED134" i="24050"/>
  <c r="FJ140" i="23917"/>
  <c r="CM121" i="24050"/>
  <c r="CM8" i="24050"/>
  <c r="DS127" i="23917"/>
  <c r="CJ131" i="24050"/>
  <c r="DP137" i="23917"/>
  <c r="AF131" i="24050"/>
  <c r="BL137" i="23917"/>
  <c r="M130" i="24050"/>
  <c r="AS136" i="23917"/>
  <c r="BE119" i="24050"/>
  <c r="CK125" i="23917"/>
  <c r="X119" i="24050"/>
  <c r="BD125" i="23917"/>
  <c r="EA118" i="24050"/>
  <c r="FG124" i="23917"/>
  <c r="Y118" i="24050"/>
  <c r="BE124" i="23917"/>
  <c r="DE119" i="24050"/>
  <c r="EK125" i="23917"/>
  <c r="BZ119" i="24050"/>
  <c r="DF125" i="23917"/>
  <c r="BJ119" i="24050"/>
  <c r="CP125" i="23917"/>
  <c r="AX119" i="24050"/>
  <c r="CD125" i="23917"/>
  <c r="EE117" i="24050"/>
  <c r="FK123" i="23917"/>
  <c r="EE130" i="24050"/>
  <c r="FK136" i="23917"/>
  <c r="DR115" i="24050"/>
  <c r="EX121" i="23917"/>
  <c r="AA110" i="24050"/>
  <c r="BG116" i="23917"/>
  <c r="R112" i="24050"/>
  <c r="AX118" i="23917"/>
  <c r="AP170" i="24050"/>
  <c r="BV176" i="23917"/>
  <c r="CW131" i="24050"/>
  <c r="EC137" i="23917"/>
  <c r="AY164" i="24050"/>
  <c r="AY9" i="24050"/>
  <c r="CE170" i="23917"/>
  <c r="R170" i="24050"/>
  <c r="AX176" i="23917"/>
  <c r="EF139" i="24050"/>
  <c r="FL145" i="23917"/>
  <c r="AC96" i="24050"/>
  <c r="BI102" i="23917"/>
  <c r="BG96" i="24050"/>
  <c r="CM102" i="23917"/>
  <c r="AM94" i="24050"/>
  <c r="BS100" i="23917"/>
  <c r="W94" i="24050"/>
  <c r="BC100" i="23917"/>
  <c r="G94" i="24050"/>
  <c r="AM100" i="23917"/>
  <c r="E77" i="24050"/>
  <c r="AK83" i="23917"/>
  <c r="DF89" i="24050"/>
  <c r="EL95" i="23917"/>
  <c r="M367" i="24050"/>
  <c r="AS373" i="23917"/>
  <c r="DD355" i="24050"/>
  <c r="EJ361" i="23917"/>
  <c r="DG367" i="24050"/>
  <c r="EM373" i="23917"/>
  <c r="DG349" i="24050"/>
  <c r="EM355" i="23917"/>
  <c r="DK368" i="24050"/>
  <c r="EQ374" i="23917"/>
  <c r="EE397" i="24050"/>
  <c r="CQ397" i="24050"/>
  <c r="ED388" i="24050"/>
  <c r="CP388" i="24050"/>
  <c r="DI393" i="24050"/>
  <c r="BU393" i="24050"/>
  <c r="ET402" i="23917"/>
  <c r="ES402" i="23917"/>
  <c r="EN401" i="23917"/>
  <c r="EM401" i="23917"/>
  <c r="ET400" i="23917"/>
  <c r="ES400" i="23917"/>
  <c r="EN399" i="23917"/>
  <c r="EM399" i="23917"/>
  <c r="ET398" i="23917"/>
  <c r="ES398" i="23917"/>
  <c r="EN397" i="23917"/>
  <c r="EM397" i="23917"/>
  <c r="DO389" i="24050"/>
  <c r="CA389" i="24050"/>
  <c r="BU388" i="24050"/>
  <c r="DI388" i="24050"/>
  <c r="EL394" i="23917"/>
  <c r="EK394" i="23917"/>
  <c r="AU403" i="23917"/>
  <c r="O397" i="24050" s="1"/>
  <c r="AT403" i="23917"/>
  <c r="N397" i="24050" s="1"/>
  <c r="AE403" i="23917"/>
  <c r="AD403" i="23917"/>
  <c r="O403" i="23917"/>
  <c r="N403" i="23917"/>
  <c r="DT408" i="23917"/>
  <c r="DT409" i="23917" s="1"/>
  <c r="CN15" i="24050"/>
  <c r="EC383" i="24050"/>
  <c r="CO383" i="24050"/>
  <c r="CM382" i="24050"/>
  <c r="EA382" i="24050"/>
  <c r="ER388" i="23917"/>
  <c r="EQ388" i="23917"/>
  <c r="ED380" i="24050"/>
  <c r="CP380" i="24050"/>
  <c r="AK333" i="24050"/>
  <c r="BQ339" i="23917"/>
  <c r="S333" i="24050"/>
  <c r="AY339" i="23917"/>
  <c r="C333" i="24050"/>
  <c r="AI339" i="23917"/>
  <c r="CI332" i="24050"/>
  <c r="DO338" i="23917"/>
  <c r="BC332" i="24050"/>
  <c r="CI338" i="23917"/>
  <c r="W332" i="24050"/>
  <c r="BC338" i="23917"/>
  <c r="BU321" i="24050"/>
  <c r="DA327" i="23917"/>
  <c r="F323" i="24050"/>
  <c r="F14" i="24050"/>
  <c r="AL329" i="23917"/>
  <c r="BW297" i="24050"/>
  <c r="DC303" i="23917"/>
  <c r="AQ297" i="24050"/>
  <c r="BW303" i="23917"/>
  <c r="K297" i="24050"/>
  <c r="AQ303" i="23917"/>
  <c r="CI296" i="24050"/>
  <c r="DO302" i="23917"/>
  <c r="BC296" i="24050"/>
  <c r="CI302" i="23917"/>
  <c r="W296" i="24050"/>
  <c r="BC302" i="23917"/>
  <c r="EA298" i="24050"/>
  <c r="FG304" i="23917"/>
  <c r="DP284" i="24050"/>
  <c r="EV290" i="23917"/>
  <c r="EF282" i="24050"/>
  <c r="FL288" i="23917"/>
  <c r="DW285" i="24050"/>
  <c r="FC291" i="23917"/>
  <c r="CI278" i="24050"/>
  <c r="DO284" i="23917"/>
  <c r="BC278" i="24050"/>
  <c r="CI284" i="23917"/>
  <c r="W278" i="24050"/>
  <c r="BC284" i="23917"/>
  <c r="DJ277" i="24050"/>
  <c r="EP283" i="23917"/>
  <c r="DR276" i="24050"/>
  <c r="EX282" i="23917"/>
  <c r="CS277" i="24050"/>
  <c r="DY283" i="23917"/>
  <c r="EH262" i="24050"/>
  <c r="FN268" i="23917"/>
  <c r="ED261" i="24050"/>
  <c r="FJ267" i="23917"/>
  <c r="DJ256" i="24050"/>
  <c r="EP262" i="23917"/>
  <c r="BQ256" i="24050"/>
  <c r="CW262" i="23917"/>
  <c r="AK256" i="24050"/>
  <c r="BQ262" i="23917"/>
  <c r="E256" i="24050"/>
  <c r="AK262" i="23917"/>
  <c r="CC255" i="24050"/>
  <c r="DI261" i="23917"/>
  <c r="AW255" i="24050"/>
  <c r="CC261" i="23917"/>
  <c r="Q255" i="24050"/>
  <c r="AW261" i="23917"/>
  <c r="DS256" i="24050"/>
  <c r="EY262" i="23917"/>
  <c r="DS255" i="24050"/>
  <c r="EY261" i="23917"/>
  <c r="BX257" i="24050"/>
  <c r="DD263" i="23917"/>
  <c r="AY237" i="24050"/>
  <c r="CE243" i="23917"/>
  <c r="DV235" i="24050"/>
  <c r="FB241" i="23917"/>
  <c r="DL234" i="24050"/>
  <c r="ER240" i="23917"/>
  <c r="AM96" i="24050"/>
  <c r="BS102" i="23917"/>
  <c r="AW96" i="24050"/>
  <c r="CC102" i="23917"/>
  <c r="BL75" i="24050"/>
  <c r="CR81" i="23917"/>
  <c r="AG81" i="23917"/>
  <c r="AF81" i="23917"/>
  <c r="DC30" i="24050"/>
  <c r="EI38" i="23917"/>
  <c r="DH31" i="24050"/>
  <c r="EN39" i="23917"/>
  <c r="C367" i="24050"/>
  <c r="AI373" i="23917"/>
  <c r="I356" i="24050"/>
  <c r="AO362" i="23917"/>
  <c r="V358" i="24050"/>
  <c r="BB364" i="23917"/>
  <c r="CQ390" i="24050"/>
  <c r="EE390" i="24050"/>
  <c r="EC387" i="24050"/>
  <c r="CO387" i="24050"/>
  <c r="DY387" i="24050"/>
  <c r="CK387" i="24050"/>
  <c r="DK396" i="24050"/>
  <c r="BW396" i="24050"/>
  <c r="DL408" i="23917"/>
  <c r="DL409" i="23917" s="1"/>
  <c r="CF15" i="24050"/>
  <c r="DD408" i="23917"/>
  <c r="DD409" i="23917" s="1"/>
  <c r="BX15" i="24050"/>
  <c r="CV408" i="23917"/>
  <c r="CV409" i="23917" s="1"/>
  <c r="BP15" i="24050"/>
  <c r="CN408" i="23917"/>
  <c r="BH15" i="24050"/>
  <c r="CF408" i="23917"/>
  <c r="AZ399" i="24050" s="1"/>
  <c r="AZ400" i="24050" s="1"/>
  <c r="AZ15" i="24050"/>
  <c r="BX408" i="23917"/>
  <c r="AR15" i="24050"/>
  <c r="BP408" i="23917"/>
  <c r="AJ399" i="24050" s="1"/>
  <c r="AJ15" i="24050"/>
  <c r="BH408" i="23917"/>
  <c r="AB399" i="24050" s="1"/>
  <c r="AB15" i="24050"/>
  <c r="EA383" i="24050"/>
  <c r="CM383" i="24050"/>
  <c r="CK382" i="24050"/>
  <c r="DY382" i="24050"/>
  <c r="EP388" i="23917"/>
  <c r="EO388" i="23917"/>
  <c r="CO384" i="24050"/>
  <c r="EC384" i="24050"/>
  <c r="CG384" i="24050"/>
  <c r="DU384" i="24050"/>
  <c r="CG332" i="24050"/>
  <c r="DM338" i="23917"/>
  <c r="BA332" i="24050"/>
  <c r="CG338" i="23917"/>
  <c r="CG321" i="24050"/>
  <c r="DM327" i="23917"/>
  <c r="AC321" i="24050"/>
  <c r="BI327" i="23917"/>
  <c r="ED318" i="24050"/>
  <c r="FJ324" i="23917"/>
  <c r="DU332" i="24050"/>
  <c r="FA338" i="23917"/>
  <c r="CR312" i="24050"/>
  <c r="DX318" i="23917"/>
  <c r="DD301" i="24050"/>
  <c r="EJ307" i="23917"/>
  <c r="AE297" i="24050"/>
  <c r="BK303" i="23917"/>
  <c r="BM296" i="24050"/>
  <c r="CS302" i="23917"/>
  <c r="DH283" i="24050"/>
  <c r="EN289" i="23917"/>
  <c r="DI297" i="24050"/>
  <c r="EO303" i="23917"/>
  <c r="DN277" i="24050"/>
  <c r="ET283" i="23917"/>
  <c r="R26" i="24068"/>
  <c r="DS263" i="24050"/>
  <c r="EY269" i="23917"/>
  <c r="M263" i="24050"/>
  <c r="AS269" i="23917"/>
  <c r="BE256" i="24050"/>
  <c r="CK262" i="23917"/>
  <c r="BG255" i="24050"/>
  <c r="CM261" i="23917"/>
  <c r="EG256" i="24050"/>
  <c r="FM262" i="23917"/>
  <c r="CB257" i="24050"/>
  <c r="DH263" i="23917"/>
  <c r="BI237" i="24050"/>
  <c r="CO243" i="23917"/>
  <c r="EB236" i="24050"/>
  <c r="FH242" i="23917"/>
  <c r="EG255" i="24050"/>
  <c r="FM261" i="23917"/>
  <c r="AQ96" i="24050"/>
  <c r="BW102" i="23917"/>
  <c r="K96" i="24050"/>
  <c r="AQ102" i="23917"/>
  <c r="AN78" i="24050"/>
  <c r="BT84" i="23917"/>
  <c r="DD59" i="24050"/>
  <c r="DD24" i="24050"/>
  <c r="EJ66" i="23917"/>
  <c r="EJ27" i="23917"/>
  <c r="EF30" i="24050"/>
  <c r="FL38" i="23917"/>
  <c r="EF19" i="24050"/>
  <c r="FL22" i="23917"/>
  <c r="I367" i="24050"/>
  <c r="AO373" i="23917"/>
  <c r="DF355" i="24050"/>
  <c r="EL361" i="23917"/>
  <c r="G356" i="24050"/>
  <c r="AM362" i="23917"/>
  <c r="DI367" i="24050"/>
  <c r="EO373" i="23917"/>
  <c r="L358" i="24050"/>
  <c r="AR364" i="23917"/>
  <c r="DM349" i="24050"/>
  <c r="ES355" i="23917"/>
  <c r="DZ396" i="24050"/>
  <c r="CL396" i="24050"/>
  <c r="CT391" i="24050"/>
  <c r="EH391" i="24050"/>
  <c r="CL391" i="24050"/>
  <c r="DZ391" i="24050"/>
  <c r="DO392" i="24050"/>
  <c r="CA392" i="24050"/>
  <c r="DO387" i="24050"/>
  <c r="CA387" i="24050"/>
  <c r="AA403" i="23917"/>
  <c r="Z403" i="23917"/>
  <c r="K403" i="23917"/>
  <c r="J403" i="23917"/>
  <c r="CL383" i="24050"/>
  <c r="DZ383" i="24050"/>
  <c r="DX382" i="24050"/>
  <c r="CJ382" i="24050"/>
  <c r="DX380" i="24050"/>
  <c r="CJ380" i="24050"/>
  <c r="CM332" i="24050"/>
  <c r="DS338" i="23917"/>
  <c r="BG332" i="24050"/>
  <c r="CM338" i="23917"/>
  <c r="AA332" i="24050"/>
  <c r="BG338" i="23917"/>
  <c r="BM321" i="24050"/>
  <c r="CS327" i="23917"/>
  <c r="DP318" i="24050"/>
  <c r="EV324" i="23917"/>
  <c r="DE321" i="24050"/>
  <c r="EK327" i="23917"/>
  <c r="J323" i="24050"/>
  <c r="J14" i="24050"/>
  <c r="AP329" i="23917"/>
  <c r="DF311" i="24050"/>
  <c r="EL317" i="23917"/>
  <c r="AI297" i="24050"/>
  <c r="BO303" i="23917"/>
  <c r="AK296" i="24050"/>
  <c r="BQ302" i="23917"/>
  <c r="EC297" i="24050"/>
  <c r="FI303" i="23917"/>
  <c r="BQ278" i="24050"/>
  <c r="CW284" i="23917"/>
  <c r="AK278" i="24050"/>
  <c r="BQ284" i="23917"/>
  <c r="E278" i="24050"/>
  <c r="AK284" i="23917"/>
  <c r="DW278" i="24050"/>
  <c r="FC284" i="23917"/>
  <c r="DN276" i="24050"/>
  <c r="ET282" i="23917"/>
  <c r="EB275" i="24050"/>
  <c r="FH281" i="23917"/>
  <c r="DZ260" i="24050"/>
  <c r="FF266" i="23917"/>
  <c r="AS256" i="24050"/>
  <c r="BY262" i="23917"/>
  <c r="DH255" i="24050"/>
  <c r="EN261" i="23917"/>
  <c r="AU255" i="24050"/>
  <c r="CA261" i="23917"/>
  <c r="EE256" i="24050"/>
  <c r="FK262" i="23917"/>
  <c r="DW255" i="24050"/>
  <c r="FC261" i="23917"/>
  <c r="CF257" i="24050"/>
  <c r="DL263" i="23917"/>
  <c r="B246" i="24050"/>
  <c r="B12" i="24050"/>
  <c r="AH252" i="23917"/>
  <c r="EH235" i="24050"/>
  <c r="FN241" i="23917"/>
  <c r="DP234" i="24050"/>
  <c r="EV240" i="23917"/>
  <c r="BI94" i="24050"/>
  <c r="CO100" i="23917"/>
  <c r="BT75" i="24050"/>
  <c r="CZ81" i="23917"/>
  <c r="H75" i="24050"/>
  <c r="AN81" i="23917"/>
  <c r="DI368" i="24050"/>
  <c r="EO374" i="23917"/>
  <c r="E356" i="24050"/>
  <c r="AK362" i="23917"/>
  <c r="R358" i="24050"/>
  <c r="AX364" i="23917"/>
  <c r="CG396" i="24050"/>
  <c r="DU396" i="24050"/>
  <c r="EG389" i="24050"/>
  <c r="CS389" i="24050"/>
  <c r="EC389" i="24050"/>
  <c r="CO389" i="24050"/>
  <c r="DY389" i="24050"/>
  <c r="CK389" i="24050"/>
  <c r="DU387" i="24050"/>
  <c r="CG387" i="24050"/>
  <c r="DK383" i="24050"/>
  <c r="BW383" i="24050"/>
  <c r="DG383" i="24050"/>
  <c r="BS383" i="24050"/>
  <c r="CR383" i="24050"/>
  <c r="EF383" i="24050"/>
  <c r="ED382" i="24050"/>
  <c r="CP382" i="24050"/>
  <c r="EL388" i="23917"/>
  <c r="EK388" i="23917"/>
  <c r="CM380" i="24050"/>
  <c r="EA380" i="24050"/>
  <c r="DI381" i="24050"/>
  <c r="BU381" i="24050"/>
  <c r="CG75" i="24050"/>
  <c r="DM81" i="23917"/>
  <c r="AL388" i="23917"/>
  <c r="F382" i="24050" s="1"/>
  <c r="AM388" i="23917"/>
  <c r="G382" i="24050" s="1"/>
  <c r="AC333" i="24050"/>
  <c r="BI339" i="23917"/>
  <c r="CA296" i="24050"/>
  <c r="DG302" i="23917"/>
  <c r="O296" i="24050"/>
  <c r="AU302" i="23917"/>
  <c r="DH284" i="24050"/>
  <c r="EN290" i="23917"/>
  <c r="DV281" i="24050"/>
  <c r="FB287" i="23917"/>
  <c r="CU263" i="24050"/>
  <c r="EA269" i="23917"/>
  <c r="G263" i="24050"/>
  <c r="AM269" i="23917"/>
  <c r="AW256" i="24050"/>
  <c r="CC262" i="23917"/>
  <c r="CG222" i="24050"/>
  <c r="DM228" i="23917"/>
  <c r="I222" i="24050"/>
  <c r="AO228" i="23917"/>
  <c r="DW222" i="24050"/>
  <c r="FC228" i="23917"/>
  <c r="DV221" i="24050"/>
  <c r="FB227" i="23917"/>
  <c r="BU215" i="24050"/>
  <c r="DA221" i="23917"/>
  <c r="AO215" i="24050"/>
  <c r="BU221" i="23917"/>
  <c r="CC214" i="24050"/>
  <c r="DI220" i="23917"/>
  <c r="AW214" i="24050"/>
  <c r="CC220" i="23917"/>
  <c r="Q214" i="24050"/>
  <c r="AW220" i="23917"/>
  <c r="CX213" i="24050"/>
  <c r="ED219" i="23917"/>
  <c r="AW213" i="24050"/>
  <c r="CC219" i="23917"/>
  <c r="AC213" i="24050"/>
  <c r="BI219" i="23917"/>
  <c r="DJ202" i="24050"/>
  <c r="EP208" i="23917"/>
  <c r="AK202" i="24050"/>
  <c r="BQ208" i="23917"/>
  <c r="Y205" i="23917"/>
  <c r="X205" i="23917"/>
  <c r="BX204" i="24050"/>
  <c r="BX205" i="24050" s="1"/>
  <c r="BX10" i="24050"/>
  <c r="DD210" i="23917"/>
  <c r="DD211" i="23917" s="1"/>
  <c r="BI195" i="24050"/>
  <c r="CO201" i="23917"/>
  <c r="DP193" i="24050"/>
  <c r="EV199" i="23917"/>
  <c r="CS193" i="24050"/>
  <c r="DY199" i="23917"/>
  <c r="DU180" i="24050"/>
  <c r="FA186" i="23917"/>
  <c r="C180" i="24050"/>
  <c r="AI186" i="23917"/>
  <c r="EC174" i="24050"/>
  <c r="FI180" i="23917"/>
  <c r="BO174" i="24050"/>
  <c r="CU180" i="23917"/>
  <c r="AG174" i="24050"/>
  <c r="BM180" i="23917"/>
  <c r="CA173" i="24050"/>
  <c r="DG179" i="23917"/>
  <c r="AU173" i="24050"/>
  <c r="CA179" i="23917"/>
  <c r="U173" i="24050"/>
  <c r="BA179" i="23917"/>
  <c r="DV159" i="24050"/>
  <c r="FB165" i="23917"/>
  <c r="DU155" i="24050"/>
  <c r="FA161" i="23917"/>
  <c r="CD164" i="24050"/>
  <c r="CD165" i="24050" s="1"/>
  <c r="CD9" i="24050"/>
  <c r="DJ170" i="23917"/>
  <c r="DJ171" i="23917" s="1"/>
  <c r="BT175" i="24050"/>
  <c r="CZ181" i="23917"/>
  <c r="AH164" i="24050"/>
  <c r="AH9" i="24050"/>
  <c r="BN170" i="23917"/>
  <c r="X175" i="24050"/>
  <c r="BD181" i="23917"/>
  <c r="M155" i="24050"/>
  <c r="AS161" i="23917"/>
  <c r="BL140" i="24050"/>
  <c r="CR146" i="23917"/>
  <c r="T140" i="24050"/>
  <c r="AZ146" i="23917"/>
  <c r="DY139" i="24050"/>
  <c r="FE145" i="23917"/>
  <c r="U139" i="24050"/>
  <c r="BA145" i="23917"/>
  <c r="E139" i="24050"/>
  <c r="AK145" i="23917"/>
  <c r="BW112" i="24050"/>
  <c r="DC118" i="23917"/>
  <c r="X117" i="23917"/>
  <c r="AG117" i="23917"/>
  <c r="Y117" i="23917"/>
  <c r="EF137" i="24050"/>
  <c r="FL143" i="23917"/>
  <c r="X140" i="24050"/>
  <c r="BD146" i="23917"/>
  <c r="DR135" i="24050"/>
  <c r="EX141" i="23917"/>
  <c r="CY131" i="24050"/>
  <c r="EE137" i="23917"/>
  <c r="CK112" i="24050"/>
  <c r="DQ118" i="23917"/>
  <c r="AC112" i="24050"/>
  <c r="BI118" i="23917"/>
  <c r="ED109" i="24050"/>
  <c r="FJ115" i="23917"/>
  <c r="EI194" i="24050"/>
  <c r="FO200" i="23917"/>
  <c r="DH180" i="24050"/>
  <c r="EN186" i="23917"/>
  <c r="DF175" i="24050"/>
  <c r="EL181" i="23917"/>
  <c r="AU174" i="24050"/>
  <c r="CA180" i="23917"/>
  <c r="I112" i="24050"/>
  <c r="AO118" i="23917"/>
  <c r="BY75" i="24050"/>
  <c r="DE81" i="23917"/>
  <c r="S33" i="24068"/>
  <c r="AS297" i="24050"/>
  <c r="BY303" i="23917"/>
  <c r="CK278" i="24050"/>
  <c r="DQ284" i="23917"/>
  <c r="BJ298" i="24050"/>
  <c r="CP304" i="23917"/>
  <c r="AE278" i="24050"/>
  <c r="BK284" i="23917"/>
  <c r="EA278" i="24050"/>
  <c r="FG284" i="23917"/>
  <c r="DF277" i="24050"/>
  <c r="EL283" i="23917"/>
  <c r="BE255" i="24050"/>
  <c r="CK261" i="23917"/>
  <c r="DE246" i="24050"/>
  <c r="DE12" i="24050"/>
  <c r="EK252" i="23917"/>
  <c r="DX236" i="24050"/>
  <c r="FD242" i="23917"/>
  <c r="DH222" i="24050"/>
  <c r="EN228" i="23917"/>
  <c r="O222" i="24050"/>
  <c r="AU228" i="23917"/>
  <c r="DF214" i="24050"/>
  <c r="EL220" i="23917"/>
  <c r="CC213" i="24050"/>
  <c r="DI219" i="23917"/>
  <c r="EC213" i="24050"/>
  <c r="FI219" i="23917"/>
  <c r="BO213" i="24050"/>
  <c r="CU219" i="23917"/>
  <c r="AG213" i="24050"/>
  <c r="BM219" i="23917"/>
  <c r="M213" i="24050"/>
  <c r="AS219" i="23917"/>
  <c r="CO202" i="24050"/>
  <c r="DU208" i="23917"/>
  <c r="BM202" i="24050"/>
  <c r="CS208" i="23917"/>
  <c r="AG202" i="24050"/>
  <c r="BM208" i="23917"/>
  <c r="DX201" i="24050"/>
  <c r="FD207" i="23917"/>
  <c r="DY214" i="24050"/>
  <c r="FE220" i="23917"/>
  <c r="BH204" i="24050"/>
  <c r="BH205" i="24050" s="1"/>
  <c r="BH10" i="24050"/>
  <c r="CN210" i="23917"/>
  <c r="CN211" i="23917" s="1"/>
  <c r="AM195" i="24050"/>
  <c r="BS201" i="23917"/>
  <c r="EB194" i="24050"/>
  <c r="FH200" i="23917"/>
  <c r="DY180" i="24050"/>
  <c r="FE186" i="23917"/>
  <c r="BH175" i="24050"/>
  <c r="CN181" i="23917"/>
  <c r="CC174" i="24050"/>
  <c r="DI180" i="23917"/>
  <c r="O174" i="24050"/>
  <c r="AU180" i="23917"/>
  <c r="BU173" i="24050"/>
  <c r="DA179" i="23917"/>
  <c r="AO173" i="24050"/>
  <c r="BU179" i="23917"/>
  <c r="I173" i="24050"/>
  <c r="AO179" i="23917"/>
  <c r="CE162" i="24050"/>
  <c r="DK168" i="23917"/>
  <c r="DZ161" i="24050"/>
  <c r="FF167" i="23917"/>
  <c r="CC155" i="24050"/>
  <c r="DI161" i="23917"/>
  <c r="Q155" i="24050"/>
  <c r="AW161" i="23917"/>
  <c r="DK153" i="24050"/>
  <c r="EQ159" i="23917"/>
  <c r="DT152" i="24050"/>
  <c r="EZ158" i="23917"/>
  <c r="CX152" i="24050"/>
  <c r="ED158" i="23917"/>
  <c r="CO140" i="24050"/>
  <c r="DU146" i="23917"/>
  <c r="AF140" i="24050"/>
  <c r="BL146" i="23917"/>
  <c r="EF138" i="24050"/>
  <c r="FL144" i="23917"/>
  <c r="CC136" i="24050"/>
  <c r="DI142" i="23917"/>
  <c r="O136" i="24050"/>
  <c r="AU142" i="23917"/>
  <c r="BW130" i="24050"/>
  <c r="DC136" i="23917"/>
  <c r="AM130" i="24050"/>
  <c r="BS136" i="23917"/>
  <c r="CG112" i="24050"/>
  <c r="DM118" i="23917"/>
  <c r="BA112" i="24050"/>
  <c r="CG118" i="23917"/>
  <c r="DK109" i="24050"/>
  <c r="EQ115" i="23917"/>
  <c r="O139" i="24050"/>
  <c r="AU145" i="23917"/>
  <c r="CG136" i="24050"/>
  <c r="DM142" i="23917"/>
  <c r="BQ136" i="24050"/>
  <c r="CW142" i="23917"/>
  <c r="ED135" i="24050"/>
  <c r="FJ141" i="23917"/>
  <c r="Q130" i="24050"/>
  <c r="AW136" i="23917"/>
  <c r="BQ119" i="24050"/>
  <c r="CW125" i="23917"/>
  <c r="BS195" i="24050"/>
  <c r="CY201" i="23917"/>
  <c r="K174" i="24050"/>
  <c r="AQ180" i="23917"/>
  <c r="BN121" i="24050"/>
  <c r="BN122" i="24050" s="1"/>
  <c r="BN8" i="24050"/>
  <c r="CT127" i="23917"/>
  <c r="CT128" i="23917" s="1"/>
  <c r="E75" i="24050"/>
  <c r="AK81" i="23917"/>
  <c r="Y333" i="24050"/>
  <c r="BE339" i="23917"/>
  <c r="BM332" i="24050"/>
  <c r="CS338" i="23917"/>
  <c r="AG332" i="24050"/>
  <c r="BM338" i="23917"/>
  <c r="CO321" i="24050"/>
  <c r="DU327" i="23917"/>
  <c r="AE296" i="24050"/>
  <c r="BK302" i="23917"/>
  <c r="DT284" i="24050"/>
  <c r="EZ290" i="23917"/>
  <c r="DX282" i="24050"/>
  <c r="FD288" i="23917"/>
  <c r="CS283" i="24050"/>
  <c r="DY289" i="23917"/>
  <c r="AM256" i="24050"/>
  <c r="BS262" i="23917"/>
  <c r="EC255" i="24050"/>
  <c r="FI261" i="23917"/>
  <c r="I237" i="24050"/>
  <c r="AO243" i="23917"/>
  <c r="DF222" i="24050"/>
  <c r="EL228" i="23917"/>
  <c r="CE222" i="24050"/>
  <c r="DK228" i="23917"/>
  <c r="AS222" i="24050"/>
  <c r="BY228" i="23917"/>
  <c r="DR219" i="24050"/>
  <c r="EX225" i="23917"/>
  <c r="DT218" i="24050"/>
  <c r="EZ224" i="23917"/>
  <c r="DJ214" i="24050"/>
  <c r="EP220" i="23917"/>
  <c r="CS214" i="24050"/>
  <c r="DY220" i="23917"/>
  <c r="BM215" i="24050"/>
  <c r="CS221" i="23917"/>
  <c r="BE214" i="24050"/>
  <c r="CK220" i="23917"/>
  <c r="BI213" i="24050"/>
  <c r="CO219" i="23917"/>
  <c r="DF213" i="24050"/>
  <c r="EL219" i="23917"/>
  <c r="Q213" i="24050"/>
  <c r="AW219" i="23917"/>
  <c r="EG213" i="24050"/>
  <c r="FM219" i="23917"/>
  <c r="CA195" i="24050"/>
  <c r="DG201" i="23917"/>
  <c r="BG195" i="24050"/>
  <c r="CM201" i="23917"/>
  <c r="AB204" i="24050"/>
  <c r="AB10" i="24050"/>
  <c r="BH210" i="23917"/>
  <c r="EF194" i="24050"/>
  <c r="FL200" i="23917"/>
  <c r="EG195" i="24050"/>
  <c r="FM201" i="23917"/>
  <c r="DU195" i="24050"/>
  <c r="FA201" i="23917"/>
  <c r="C194" i="24050"/>
  <c r="AI200" i="23917"/>
  <c r="CM174" i="24050"/>
  <c r="DS180" i="23917"/>
  <c r="AO174" i="24050"/>
  <c r="BU180" i="23917"/>
  <c r="BC173" i="24050"/>
  <c r="CI179" i="23917"/>
  <c r="AQ162" i="24050"/>
  <c r="BW168" i="23917"/>
  <c r="DH162" i="24050"/>
  <c r="EN168" i="23917"/>
  <c r="DS162" i="24050"/>
  <c r="EY168" i="23917"/>
  <c r="EG155" i="24050"/>
  <c r="FM161" i="23917"/>
  <c r="DF155" i="24050"/>
  <c r="EL161" i="23917"/>
  <c r="U155" i="24050"/>
  <c r="BA161" i="23917"/>
  <c r="EB154" i="24050"/>
  <c r="FH160" i="23917"/>
  <c r="DP154" i="24050"/>
  <c r="EV160" i="23917"/>
  <c r="EF153" i="24050"/>
  <c r="FL159" i="23917"/>
  <c r="CW140" i="24050"/>
  <c r="EC146" i="23917"/>
  <c r="DT317" i="24050"/>
  <c r="EZ323" i="23917"/>
  <c r="DJ317" i="24050"/>
  <c r="EP323" i="23917"/>
  <c r="CP297" i="24050"/>
  <c r="DV303" i="23917"/>
  <c r="AC297" i="24050"/>
  <c r="BI303" i="23917"/>
  <c r="CA278" i="24050"/>
  <c r="DG284" i="23917"/>
  <c r="I278" i="24050"/>
  <c r="AO284" i="23917"/>
  <c r="DR275" i="24050"/>
  <c r="EX281" i="23917"/>
  <c r="BU263" i="24050"/>
  <c r="DA269" i="23917"/>
  <c r="BU255" i="24050"/>
  <c r="DA261" i="23917"/>
  <c r="I255" i="24050"/>
  <c r="AO261" i="23917"/>
  <c r="CA237" i="24050"/>
  <c r="DG243" i="23917"/>
  <c r="EF221" i="24050"/>
  <c r="FL227" i="23917"/>
  <c r="DQ215" i="24050"/>
  <c r="EW221" i="23917"/>
  <c r="CX214" i="24050"/>
  <c r="ED220" i="23917"/>
  <c r="BG215" i="24050"/>
  <c r="CM221" i="23917"/>
  <c r="AY214" i="24050"/>
  <c r="CE220" i="23917"/>
  <c r="S220" i="23917"/>
  <c r="R220" i="23917"/>
  <c r="AS213" i="24050"/>
  <c r="BY219" i="23917"/>
  <c r="DQ214" i="24050"/>
  <c r="EW220" i="23917"/>
  <c r="AB210" i="23917"/>
  <c r="DY195" i="24050"/>
  <c r="FE201" i="23917"/>
  <c r="AW174" i="24050"/>
  <c r="CC180" i="23917"/>
  <c r="S174" i="24050"/>
  <c r="AY180" i="23917"/>
  <c r="BS162" i="24050"/>
  <c r="CY168" i="23917"/>
  <c r="C134" i="24050"/>
  <c r="AI140" i="23917"/>
  <c r="CQ111" i="24050"/>
  <c r="DW117" i="23917"/>
  <c r="EJ154" i="24050"/>
  <c r="FP160" i="23917"/>
  <c r="BO94" i="24050"/>
  <c r="CU100" i="23917"/>
  <c r="CD84" i="24050"/>
  <c r="DJ90" i="23917"/>
  <c r="AX84" i="24050"/>
  <c r="CD90" i="23917"/>
  <c r="R84" i="24050"/>
  <c r="AX90" i="23917"/>
  <c r="DD89" i="24050"/>
  <c r="EJ95" i="23917"/>
  <c r="BB84" i="24050"/>
  <c r="CH90" i="23917"/>
  <c r="W88" i="23917"/>
  <c r="V88" i="23917"/>
  <c r="EE96" i="24050"/>
  <c r="FK102" i="23917"/>
  <c r="DO96" i="24050"/>
  <c r="EU102" i="23917"/>
  <c r="BJ82" i="24050"/>
  <c r="CP88" i="23917"/>
  <c r="T82" i="24050"/>
  <c r="AZ88" i="23917"/>
  <c r="N82" i="24050"/>
  <c r="AT88" i="23917"/>
  <c r="U84" i="23917"/>
  <c r="T84" i="23917"/>
  <c r="DM77" i="24050"/>
  <c r="ES83" i="23917"/>
  <c r="DQ96" i="24050"/>
  <c r="EW102" i="23917"/>
  <c r="DM93" i="24050"/>
  <c r="ES99" i="23917"/>
  <c r="DU75" i="24050"/>
  <c r="FA81" i="23917"/>
  <c r="CN82" i="24050"/>
  <c r="DT88" i="23917"/>
  <c r="CK77" i="24050"/>
  <c r="DQ83" i="23917"/>
  <c r="AO77" i="24050"/>
  <c r="BU83" i="23917"/>
  <c r="EA76" i="24050"/>
  <c r="EA88" i="24050"/>
  <c r="FG94" i="23917"/>
  <c r="FG82" i="23917"/>
  <c r="DC78" i="24050"/>
  <c r="EI84" i="23917"/>
  <c r="CN91" i="24050"/>
  <c r="DT97" i="23917"/>
  <c r="CB79" i="24050"/>
  <c r="DH85" i="23917"/>
  <c r="BX91" i="24050"/>
  <c r="DD97" i="23917"/>
  <c r="BL78" i="24050"/>
  <c r="CR84" i="23917"/>
  <c r="BD90" i="24050"/>
  <c r="CJ96" i="23917"/>
  <c r="AR90" i="24050"/>
  <c r="BX96" i="23917"/>
  <c r="AJ91" i="24050"/>
  <c r="BP97" i="23917"/>
  <c r="AB79" i="24050"/>
  <c r="BH85" i="23917"/>
  <c r="T91" i="24050"/>
  <c r="AZ97" i="23917"/>
  <c r="P90" i="24050"/>
  <c r="AV96" i="23917"/>
  <c r="H90" i="24050"/>
  <c r="AN96" i="23917"/>
  <c r="Q86" i="23917"/>
  <c r="P86" i="23917"/>
  <c r="Y93" i="24050"/>
  <c r="BE99" i="23917"/>
  <c r="CI88" i="24050"/>
  <c r="CI76" i="24050"/>
  <c r="DO94" i="23917"/>
  <c r="DO82" i="23917"/>
  <c r="AU88" i="24050"/>
  <c r="AU76" i="24050"/>
  <c r="CA94" i="23917"/>
  <c r="CA82" i="23917"/>
  <c r="I76" i="24050"/>
  <c r="I88" i="24050"/>
  <c r="AO94" i="23917"/>
  <c r="AO82" i="23917"/>
  <c r="BZ91" i="24050"/>
  <c r="DF97" i="23917"/>
  <c r="BV92" i="24050"/>
  <c r="DB98" i="23917"/>
  <c r="BR79" i="24050"/>
  <c r="BJ78" i="24050"/>
  <c r="CP84" i="23917"/>
  <c r="BF78" i="24050"/>
  <c r="CL84" i="23917"/>
  <c r="AT90" i="24050"/>
  <c r="BZ96" i="23917"/>
  <c r="AL79" i="24050"/>
  <c r="BR85" i="23917"/>
  <c r="AD90" i="24050"/>
  <c r="BJ96" i="23917"/>
  <c r="Z92" i="24050"/>
  <c r="BF98" i="23917"/>
  <c r="V92" i="24050"/>
  <c r="BB98" i="23917"/>
  <c r="M86" i="23917"/>
  <c r="L86" i="23917"/>
  <c r="AA93" i="24050"/>
  <c r="BG99" i="23917"/>
  <c r="AL75" i="24050"/>
  <c r="BR81" i="23917"/>
  <c r="DF87" i="24050"/>
  <c r="EL93" i="23917"/>
  <c r="DT87" i="24050"/>
  <c r="EZ93" i="23917"/>
  <c r="AQ77" i="24050"/>
  <c r="BW83" i="23917"/>
  <c r="DV59" i="24050"/>
  <c r="DV24" i="24050"/>
  <c r="FB27" i="23917"/>
  <c r="FB66" i="23917"/>
  <c r="DP59" i="24050"/>
  <c r="DP24" i="24050"/>
  <c r="EV66" i="23917"/>
  <c r="EV27" i="23917"/>
  <c r="AM31" i="24050"/>
  <c r="BS39" i="23917"/>
  <c r="W31" i="24050"/>
  <c r="BC39" i="23917"/>
  <c r="CK31" i="24050"/>
  <c r="DQ39" i="23917"/>
  <c r="EF44" i="24050"/>
  <c r="FL52" i="23917"/>
  <c r="CM31" i="24050"/>
  <c r="DS39" i="23917"/>
  <c r="DM30" i="24050"/>
  <c r="ES38" i="23917"/>
  <c r="CS30" i="24050"/>
  <c r="DY38" i="23917"/>
  <c r="AL30" i="24050"/>
  <c r="BR38" i="23917"/>
  <c r="C23" i="23917"/>
  <c r="B23" i="23917"/>
  <c r="Y19" i="24050"/>
  <c r="BE22" i="23917"/>
  <c r="DT59" i="24050"/>
  <c r="DT24" i="24050"/>
  <c r="EZ66" i="23917"/>
  <c r="EZ27" i="23917"/>
  <c r="AT30" i="24050"/>
  <c r="BZ38" i="23917"/>
  <c r="DK390" i="24050"/>
  <c r="BW390" i="24050"/>
  <c r="DT3" i="24050"/>
  <c r="EZ3" i="23917"/>
  <c r="S84" i="23917"/>
  <c r="R84" i="23917"/>
  <c r="AY77" i="24050"/>
  <c r="CE83" i="23917"/>
  <c r="S77" i="24050"/>
  <c r="AY83" i="23917"/>
  <c r="C77" i="24050"/>
  <c r="AI83" i="23917"/>
  <c r="S85" i="23917"/>
  <c r="R85" i="23917"/>
  <c r="EF89" i="24050"/>
  <c r="FL95" i="23917"/>
  <c r="AR96" i="24050"/>
  <c r="BX102" i="23917"/>
  <c r="DS77" i="24050"/>
  <c r="EY83" i="23917"/>
  <c r="EA93" i="24050"/>
  <c r="FG99" i="23917"/>
  <c r="DK93" i="24050"/>
  <c r="EQ99" i="23917"/>
  <c r="DC96" i="24050"/>
  <c r="EI102" i="23917"/>
  <c r="CF77" i="24050"/>
  <c r="DL83" i="23917"/>
  <c r="AT82" i="24050"/>
  <c r="BZ88" i="23917"/>
  <c r="D81" i="24050"/>
  <c r="AJ87" i="23917"/>
  <c r="DI77" i="24050"/>
  <c r="EO83" i="23917"/>
  <c r="DY94" i="24050"/>
  <c r="FE100" i="23917"/>
  <c r="DE96" i="24050"/>
  <c r="EK102" i="23917"/>
  <c r="CD78" i="24050"/>
  <c r="DJ84" i="23917"/>
  <c r="EG75" i="24050"/>
  <c r="FM81" i="23917"/>
  <c r="CB84" i="24050"/>
  <c r="DH90" i="23917"/>
  <c r="CJ84" i="24050"/>
  <c r="DP90" i="23917"/>
  <c r="BD84" i="24050"/>
  <c r="CJ90" i="23917"/>
  <c r="CN90" i="24050"/>
  <c r="DT96" i="23917"/>
  <c r="BX90" i="24050"/>
  <c r="DD96" i="23917"/>
  <c r="BL79" i="24050"/>
  <c r="CR85" i="23917"/>
  <c r="AB78" i="24050"/>
  <c r="BH84" i="23917"/>
  <c r="X91" i="24050"/>
  <c r="BD97" i="23917"/>
  <c r="CO93" i="24050"/>
  <c r="DU99" i="23917"/>
  <c r="AK93" i="24050"/>
  <c r="BQ99" i="23917"/>
  <c r="E93" i="24050"/>
  <c r="AK99" i="23917"/>
  <c r="BV84" i="24050"/>
  <c r="DB90" i="23917"/>
  <c r="P84" i="24050"/>
  <c r="AV90" i="23917"/>
  <c r="DI91" i="24050"/>
  <c r="EO97" i="23917"/>
  <c r="BE76" i="24050"/>
  <c r="BE88" i="24050"/>
  <c r="CK94" i="23917"/>
  <c r="CK82" i="23917"/>
  <c r="S88" i="24050"/>
  <c r="S76" i="24050"/>
  <c r="AY94" i="23917"/>
  <c r="AY82" i="23917"/>
  <c r="CH90" i="24050"/>
  <c r="DN96" i="23917"/>
  <c r="BZ80" i="24050"/>
  <c r="DF86" i="23917"/>
  <c r="BR80" i="24050"/>
  <c r="CX86" i="23917"/>
  <c r="BB91" i="24050"/>
  <c r="CH97" i="23917"/>
  <c r="AT80" i="24050"/>
  <c r="BZ86" i="23917"/>
  <c r="AP92" i="24050"/>
  <c r="BV98" i="23917"/>
  <c r="AH80" i="24050"/>
  <c r="BN86" i="23917"/>
  <c r="AD92" i="24050"/>
  <c r="BJ98" i="23917"/>
  <c r="R79" i="24050"/>
  <c r="AX85" i="23917"/>
  <c r="N90" i="24050"/>
  <c r="AT96" i="23917"/>
  <c r="W93" i="24050"/>
  <c r="BC99" i="23917"/>
  <c r="AX75" i="24050"/>
  <c r="CD81" i="23917"/>
  <c r="R75" i="24050"/>
  <c r="AX81" i="23917"/>
  <c r="DX87" i="24050"/>
  <c r="FD93" i="23917"/>
  <c r="EG90" i="24050"/>
  <c r="FM96" i="23917"/>
  <c r="DQ90" i="24050"/>
  <c r="EW96" i="23917"/>
  <c r="DH58" i="24050"/>
  <c r="EN65" i="23917"/>
  <c r="DV58" i="24050"/>
  <c r="FB65" i="23917"/>
  <c r="AI31" i="24050"/>
  <c r="BO39" i="23917"/>
  <c r="EB44" i="24050"/>
  <c r="FH52" i="23917"/>
  <c r="S30" i="24050"/>
  <c r="AY38" i="23917"/>
  <c r="ED44" i="24050"/>
  <c r="FJ52" i="23917"/>
  <c r="EI44" i="24050"/>
  <c r="FO52" i="23917"/>
  <c r="DR58" i="24050"/>
  <c r="EX65" i="23917"/>
  <c r="EC31" i="24050"/>
  <c r="FI39" i="23917"/>
  <c r="DL30" i="24050"/>
  <c r="ER38" i="23917"/>
  <c r="DF30" i="24050"/>
  <c r="EL38" i="23917"/>
  <c r="G101" i="23917"/>
  <c r="F101" i="23917"/>
  <c r="DJ352" i="24050"/>
  <c r="EP358" i="23917"/>
  <c r="F334" i="24050"/>
  <c r="AL340" i="23917"/>
  <c r="CO320" i="24050"/>
  <c r="DU326" i="23917"/>
  <c r="AS320" i="24050"/>
  <c r="BY326" i="23917"/>
  <c r="DL319" i="24050"/>
  <c r="ER325" i="23917"/>
  <c r="CE313" i="24050"/>
  <c r="DK319" i="23917"/>
  <c r="BO313" i="24050"/>
  <c r="CU319" i="23917"/>
  <c r="K313" i="24050"/>
  <c r="AQ319" i="23917"/>
  <c r="DL367" i="24050"/>
  <c r="ER373" i="23917"/>
  <c r="DL394" i="24050"/>
  <c r="BX394" i="24050"/>
  <c r="DT396" i="24050"/>
  <c r="CF396" i="24050"/>
  <c r="DT318" i="24050"/>
  <c r="EZ324" i="23917"/>
  <c r="BY313" i="24050"/>
  <c r="DE319" i="23917"/>
  <c r="AC313" i="24050"/>
  <c r="BI319" i="23917"/>
  <c r="DJ311" i="24050"/>
  <c r="EP317" i="23917"/>
  <c r="AH298" i="24050"/>
  <c r="BN304" i="23917"/>
  <c r="W304" i="23917"/>
  <c r="V304" i="23917"/>
  <c r="ED282" i="24050"/>
  <c r="FJ288" i="23917"/>
  <c r="DL281" i="24050"/>
  <c r="ER287" i="23917"/>
  <c r="N363" i="24050"/>
  <c r="AT369" i="23917"/>
  <c r="CG15" i="24050"/>
  <c r="DM408" i="23917"/>
  <c r="DY320" i="24050"/>
  <c r="FE326" i="23917"/>
  <c r="AX334" i="24050"/>
  <c r="CD340" i="23917"/>
  <c r="AP334" i="24050"/>
  <c r="BV340" i="23917"/>
  <c r="AH321" i="24050"/>
  <c r="BN327" i="23917"/>
  <c r="EF316" i="24050"/>
  <c r="FL322" i="23917"/>
  <c r="DX312" i="24050"/>
  <c r="FD318" i="23917"/>
  <c r="F287" i="24050"/>
  <c r="F13" i="24050"/>
  <c r="AL293" i="23917"/>
  <c r="I284" i="24050"/>
  <c r="AO290" i="23917"/>
  <c r="DU278" i="24050"/>
  <c r="FA284" i="23917"/>
  <c r="CQ276" i="24050"/>
  <c r="DW282" i="23917"/>
  <c r="BN244" i="24050"/>
  <c r="CT250" i="23917"/>
  <c r="R244" i="24050"/>
  <c r="AX250" i="23917"/>
  <c r="DH243" i="24050"/>
  <c r="EN249" i="23917"/>
  <c r="EB240" i="24050"/>
  <c r="FH246" i="23917"/>
  <c r="C261" i="24050"/>
  <c r="AI267" i="23917"/>
  <c r="DV3" i="24050"/>
  <c r="FB3" i="23917"/>
  <c r="BI96" i="24050"/>
  <c r="CO102" i="23917"/>
  <c r="CK96" i="24050"/>
  <c r="DQ102" i="23917"/>
  <c r="BK94" i="24050"/>
  <c r="CQ100" i="23917"/>
  <c r="BU94" i="24050"/>
  <c r="DA100" i="23917"/>
  <c r="B79" i="24050"/>
  <c r="AH85" i="23917"/>
  <c r="B84" i="24050"/>
  <c r="AH90" i="23917"/>
  <c r="Y88" i="23917"/>
  <c r="X88" i="23917"/>
  <c r="H87" i="23917"/>
  <c r="EB89" i="24050"/>
  <c r="FH95" i="23917"/>
  <c r="DL89" i="24050"/>
  <c r="ER95" i="23917"/>
  <c r="CH84" i="24050"/>
  <c r="DN90" i="23917"/>
  <c r="AM77" i="24050"/>
  <c r="BS83" i="23917"/>
  <c r="AB82" i="24050"/>
  <c r="BH88" i="23917"/>
  <c r="G77" i="24050"/>
  <c r="AM83" i="23917"/>
  <c r="F79" i="24050"/>
  <c r="AL85" i="23917"/>
  <c r="AC85" i="23917"/>
  <c r="AB85" i="23917"/>
  <c r="EE77" i="24050"/>
  <c r="FK83" i="23917"/>
  <c r="DO77" i="24050"/>
  <c r="EU83" i="23917"/>
  <c r="EA94" i="24050"/>
  <c r="FG100" i="23917"/>
  <c r="DW96" i="24050"/>
  <c r="FC102" i="23917"/>
  <c r="DK94" i="24050"/>
  <c r="EQ100" i="23917"/>
  <c r="DG96" i="24050"/>
  <c r="EM102" i="23917"/>
  <c r="CA77" i="24050"/>
  <c r="DG83" i="23917"/>
  <c r="BP77" i="24050"/>
  <c r="CV83" i="23917"/>
  <c r="AZ77" i="24050"/>
  <c r="CF83" i="23917"/>
  <c r="AJ77" i="24050"/>
  <c r="BP83" i="23917"/>
  <c r="AD84" i="24050"/>
  <c r="BJ90" i="23917"/>
  <c r="O77" i="24050"/>
  <c r="AU83" i="23917"/>
  <c r="D82" i="24050"/>
  <c r="AJ88" i="23917"/>
  <c r="DU77" i="24050"/>
  <c r="FA83" i="23917"/>
  <c r="DE77" i="24050"/>
  <c r="EK83" i="23917"/>
  <c r="EC94" i="24050"/>
  <c r="FI100" i="23917"/>
  <c r="DY96" i="24050"/>
  <c r="FE102" i="23917"/>
  <c r="DU93" i="24050"/>
  <c r="FA99" i="23917"/>
  <c r="DM94" i="24050"/>
  <c r="ES100" i="23917"/>
  <c r="DI96" i="24050"/>
  <c r="EO102" i="23917"/>
  <c r="DE93" i="24050"/>
  <c r="EK99" i="23917"/>
  <c r="AG85" i="23917"/>
  <c r="AF85" i="23917"/>
  <c r="K84" i="23917"/>
  <c r="J84" i="23917"/>
  <c r="EC75" i="24050"/>
  <c r="FI81" i="23917"/>
  <c r="DM75" i="24050"/>
  <c r="ES81" i="23917"/>
  <c r="N79" i="24050"/>
  <c r="AT85" i="23917"/>
  <c r="CC77" i="24050"/>
  <c r="DI83" i="23917"/>
  <c r="AA77" i="24050"/>
  <c r="BG83" i="23917"/>
  <c r="AN82" i="24050"/>
  <c r="BT88" i="23917"/>
  <c r="DS76" i="24050"/>
  <c r="DS88" i="24050"/>
  <c r="EY94" i="23917"/>
  <c r="EY82" i="23917"/>
  <c r="DK90" i="24050"/>
  <c r="EQ96" i="23917"/>
  <c r="DG90" i="24050"/>
  <c r="EM96" i="23917"/>
  <c r="DC91" i="24050"/>
  <c r="EI97" i="23917"/>
  <c r="CJ91" i="24050"/>
  <c r="DP97" i="23917"/>
  <c r="CF91" i="24050"/>
  <c r="DL97" i="23917"/>
  <c r="CB90" i="24050"/>
  <c r="DH96" i="23917"/>
  <c r="BT91" i="24050"/>
  <c r="CZ97" i="23917"/>
  <c r="BL91" i="24050"/>
  <c r="CR97" i="23917"/>
  <c r="BH90" i="24050"/>
  <c r="CN96" i="23917"/>
  <c r="BD79" i="24050"/>
  <c r="CJ85" i="23917"/>
  <c r="AV78" i="24050"/>
  <c r="CB84" i="23917"/>
  <c r="AN90" i="24050"/>
  <c r="BT96" i="23917"/>
  <c r="AJ90" i="24050"/>
  <c r="BP96" i="23917"/>
  <c r="AF91" i="24050"/>
  <c r="BL97" i="23917"/>
  <c r="AB91" i="24050"/>
  <c r="BH97" i="23917"/>
  <c r="X79" i="24050"/>
  <c r="BD85" i="23917"/>
  <c r="T78" i="24050"/>
  <c r="AZ84" i="23917"/>
  <c r="T90" i="24050"/>
  <c r="AZ96" i="23917"/>
  <c r="P91" i="24050"/>
  <c r="AV97" i="23917"/>
  <c r="L79" i="24050"/>
  <c r="AR85" i="23917"/>
  <c r="L91" i="24050"/>
  <c r="AR97" i="23917"/>
  <c r="H91" i="24050"/>
  <c r="AN97" i="23917"/>
  <c r="CK93" i="24050"/>
  <c r="DQ99" i="23917"/>
  <c r="BU93" i="24050"/>
  <c r="DA99" i="23917"/>
  <c r="BE93" i="24050"/>
  <c r="CK99" i="23917"/>
  <c r="AG93" i="24050"/>
  <c r="BM99" i="23917"/>
  <c r="Q93" i="24050"/>
  <c r="AW99" i="23917"/>
  <c r="R78" i="24050"/>
  <c r="AX84" i="23917"/>
  <c r="BW77" i="24050"/>
  <c r="DC83" i="23917"/>
  <c r="Q77" i="24050"/>
  <c r="AW83" i="23917"/>
  <c r="I77" i="24050"/>
  <c r="AO83" i="23917"/>
  <c r="DE90" i="24050"/>
  <c r="EK96" i="23917"/>
  <c r="CM88" i="24050"/>
  <c r="CM76" i="24050"/>
  <c r="DS94" i="23917"/>
  <c r="DS82" i="23917"/>
  <c r="CA88" i="24050"/>
  <c r="CA76" i="24050"/>
  <c r="DG94" i="23917"/>
  <c r="DG82" i="23917"/>
  <c r="BO88" i="24050"/>
  <c r="BO76" i="24050"/>
  <c r="CU94" i="23917"/>
  <c r="CU82" i="23917"/>
  <c r="BC88" i="24050"/>
  <c r="BC76" i="24050"/>
  <c r="CI94" i="23917"/>
  <c r="CI82" i="23917"/>
  <c r="AO76" i="24050"/>
  <c r="AO88" i="24050"/>
  <c r="BU94" i="23917"/>
  <c r="BU82" i="23917"/>
  <c r="AA88" i="24050"/>
  <c r="AA76" i="24050"/>
  <c r="BG94" i="23917"/>
  <c r="BG82" i="23917"/>
  <c r="O88" i="24050"/>
  <c r="O76" i="24050"/>
  <c r="AU94" i="23917"/>
  <c r="AU82" i="23917"/>
  <c r="CH92" i="24050"/>
  <c r="DN98" i="23917"/>
  <c r="CH91" i="24050"/>
  <c r="DN97" i="23917"/>
  <c r="BZ79" i="24050"/>
  <c r="DF85" i="23917"/>
  <c r="BR78" i="24050"/>
  <c r="CX84" i="23917"/>
  <c r="BN78" i="24050"/>
  <c r="CT84" i="23917"/>
  <c r="BJ79" i="24050"/>
  <c r="CP85" i="23917"/>
  <c r="BF80" i="24050"/>
  <c r="CL86" i="23917"/>
  <c r="BB78" i="24050"/>
  <c r="CH84" i="23917"/>
  <c r="BB92" i="24050"/>
  <c r="CH98" i="23917"/>
  <c r="AX78" i="24050"/>
  <c r="CD84" i="23917"/>
  <c r="AT91" i="24050"/>
  <c r="BZ97" i="23917"/>
  <c r="AP91" i="24050"/>
  <c r="BV97" i="23917"/>
  <c r="AL78" i="24050"/>
  <c r="BR84" i="23917"/>
  <c r="AH78" i="24050"/>
  <c r="BN84" i="23917"/>
  <c r="AD80" i="24050"/>
  <c r="BJ86" i="23917"/>
  <c r="Z79" i="24050"/>
  <c r="BF85" i="23917"/>
  <c r="V91" i="24050"/>
  <c r="BB97" i="23917"/>
  <c r="R90" i="24050"/>
  <c r="AX96" i="23917"/>
  <c r="N80" i="24050"/>
  <c r="AT86" i="23917"/>
  <c r="N92" i="24050"/>
  <c r="AT98" i="23917"/>
  <c r="J80" i="24050"/>
  <c r="AP86" i="23917"/>
  <c r="CI93" i="24050"/>
  <c r="DO99" i="23917"/>
  <c r="BO93" i="24050"/>
  <c r="CU99" i="23917"/>
  <c r="AY93" i="24050"/>
  <c r="CE99" i="23917"/>
  <c r="AI93" i="24050"/>
  <c r="BO99" i="23917"/>
  <c r="S93" i="24050"/>
  <c r="AY99" i="23917"/>
  <c r="C93" i="24050"/>
  <c r="AI99" i="23917"/>
  <c r="BZ75" i="24050"/>
  <c r="DF81" i="23917"/>
  <c r="BJ75" i="24050"/>
  <c r="CP81" i="23917"/>
  <c r="AT75" i="24050"/>
  <c r="BZ81" i="23917"/>
  <c r="AD75" i="24050"/>
  <c r="BJ81" i="23917"/>
  <c r="N75" i="24050"/>
  <c r="AT81" i="23917"/>
  <c r="EH87" i="24050"/>
  <c r="FN93" i="23917"/>
  <c r="DN87" i="24050"/>
  <c r="ET93" i="23917"/>
  <c r="CA89" i="24050"/>
  <c r="DG95" i="23917"/>
  <c r="BR94" i="24050"/>
  <c r="CX100" i="23917"/>
  <c r="DG75" i="24050"/>
  <c r="EM81" i="23917"/>
  <c r="DH87" i="24050"/>
  <c r="EN93" i="23917"/>
  <c r="AF84" i="24050"/>
  <c r="BL90" i="23917"/>
  <c r="J84" i="24050"/>
  <c r="AP90" i="23917"/>
  <c r="B92" i="24050"/>
  <c r="AH98" i="23917"/>
  <c r="EC90" i="24050"/>
  <c r="FI96" i="23917"/>
  <c r="DU91" i="24050"/>
  <c r="FA97" i="23917"/>
  <c r="DM91" i="24050"/>
  <c r="ES97" i="23917"/>
  <c r="DK75" i="24050"/>
  <c r="EQ81" i="23917"/>
  <c r="DD87" i="24050"/>
  <c r="EJ93" i="23917"/>
  <c r="BL84" i="24050"/>
  <c r="CR90" i="23917"/>
  <c r="AP84" i="24050"/>
  <c r="BV90" i="23917"/>
  <c r="ED59" i="24050"/>
  <c r="ED24" i="24050"/>
  <c r="FJ66" i="23917"/>
  <c r="FJ27" i="23917"/>
  <c r="EB58" i="24050"/>
  <c r="FH65" i="23917"/>
  <c r="DH44" i="24050"/>
  <c r="EN52" i="23917"/>
  <c r="EF59" i="24050"/>
  <c r="EF24" i="24050"/>
  <c r="FL66" i="23917"/>
  <c r="FL27" i="23917"/>
  <c r="AE31" i="24050"/>
  <c r="BK39" i="23917"/>
  <c r="O31" i="24050"/>
  <c r="AU39" i="23917"/>
  <c r="C31" i="24050"/>
  <c r="AI39" i="23917"/>
  <c r="AR30" i="24050"/>
  <c r="BX38" i="23917"/>
  <c r="DV31" i="24050"/>
  <c r="FB39" i="23917"/>
  <c r="DZ44" i="24050"/>
  <c r="FF52" i="23917"/>
  <c r="CW31" i="24050"/>
  <c r="EC39" i="23917"/>
  <c r="BW31" i="24050"/>
  <c r="DC39" i="23917"/>
  <c r="AE30" i="24050"/>
  <c r="BK38" i="23917"/>
  <c r="CX31" i="24050"/>
  <c r="ED39" i="23917"/>
  <c r="DR59" i="24050"/>
  <c r="DR24" i="24050"/>
  <c r="EX27" i="23917"/>
  <c r="EX66" i="23917"/>
  <c r="DP44" i="24050"/>
  <c r="EV52" i="23917"/>
  <c r="CE31" i="24050"/>
  <c r="DK39" i="23917"/>
  <c r="AC30" i="24050"/>
  <c r="BI38" i="23917"/>
  <c r="U31" i="24050"/>
  <c r="BA39" i="23917"/>
  <c r="AK31" i="24050"/>
  <c r="BQ39" i="23917"/>
  <c r="M31" i="24050"/>
  <c r="AS39" i="23917"/>
  <c r="G23" i="23917"/>
  <c r="F23" i="23917"/>
  <c r="DY35" i="24050"/>
  <c r="DY36" i="24050" s="1"/>
  <c r="FE43" i="23917"/>
  <c r="FE44" i="23917" s="1"/>
  <c r="EG30" i="24050"/>
  <c r="FM38" i="23917"/>
  <c r="CC31" i="24050"/>
  <c r="DI39" i="23917"/>
  <c r="BU31" i="24050"/>
  <c r="DA39" i="23917"/>
  <c r="I47" i="23917"/>
  <c r="H47" i="23917"/>
  <c r="Y31" i="24050"/>
  <c r="BE39" i="23917"/>
  <c r="DO31" i="24050"/>
  <c r="EU39" i="23917"/>
  <c r="I30" i="24050"/>
  <c r="AO38" i="23917"/>
  <c r="C47" i="23917"/>
  <c r="B47" i="23917"/>
  <c r="FO396" i="23917"/>
  <c r="EZ396" i="23917"/>
  <c r="EY396" i="23917"/>
  <c r="CR332" i="24050"/>
  <c r="DX338" i="23917"/>
  <c r="DE356" i="24050"/>
  <c r="EK362" i="23917"/>
  <c r="DF352" i="24050"/>
  <c r="EL358" i="23917"/>
  <c r="G349" i="24050"/>
  <c r="AM355" i="23917"/>
  <c r="ED389" i="24050"/>
  <c r="CP389" i="24050"/>
  <c r="FN396" i="23917"/>
  <c r="FM396" i="23917"/>
  <c r="DK387" i="24050"/>
  <c r="BW387" i="24050"/>
  <c r="DM316" i="24050"/>
  <c r="ES322" i="23917"/>
  <c r="DT393" i="24050"/>
  <c r="CF393" i="24050"/>
  <c r="EL396" i="23917"/>
  <c r="EK396" i="23917"/>
  <c r="EX386" i="23917"/>
  <c r="EU386" i="23917"/>
  <c r="DG356" i="24050"/>
  <c r="EM362" i="23917"/>
  <c r="DP352" i="24050"/>
  <c r="EV358" i="23917"/>
  <c r="U349" i="24050"/>
  <c r="BA355" i="23917"/>
  <c r="E349" i="24050"/>
  <c r="AK355" i="23917"/>
  <c r="FA403" i="23917"/>
  <c r="CA403" i="23917"/>
  <c r="AU397" i="24050" s="1"/>
  <c r="BZ403" i="23917"/>
  <c r="AT397" i="24050" s="1"/>
  <c r="AP403" i="23917"/>
  <c r="J397" i="24050" s="1"/>
  <c r="DV391" i="24050"/>
  <c r="CH391" i="24050"/>
  <c r="EI387" i="24050"/>
  <c r="CU387" i="24050"/>
  <c r="DU390" i="24050"/>
  <c r="CG390" i="24050"/>
  <c r="EV393" i="23917"/>
  <c r="ES393" i="23917"/>
  <c r="AC390" i="23917"/>
  <c r="Z390" i="23917"/>
  <c r="M390" i="23917"/>
  <c r="J390" i="23917"/>
  <c r="FP387" i="23917"/>
  <c r="FO387" i="23917"/>
  <c r="B334" i="24050"/>
  <c r="AH340" i="23917"/>
  <c r="CO332" i="24050"/>
  <c r="DU338" i="23917"/>
  <c r="CK320" i="24050"/>
  <c r="DQ326" i="23917"/>
  <c r="BU320" i="24050"/>
  <c r="DA326" i="23917"/>
  <c r="BE320" i="24050"/>
  <c r="CK326" i="23917"/>
  <c r="AO320" i="24050"/>
  <c r="BU326" i="23917"/>
  <c r="Y320" i="24050"/>
  <c r="BE326" i="23917"/>
  <c r="C316" i="24050"/>
  <c r="AI322" i="23917"/>
  <c r="DX319" i="24050"/>
  <c r="FD325" i="23917"/>
  <c r="DH319" i="24050"/>
  <c r="EN325" i="23917"/>
  <c r="DV317" i="24050"/>
  <c r="FB323" i="23917"/>
  <c r="DV316" i="24050"/>
  <c r="FB322" i="23917"/>
  <c r="CA313" i="24050"/>
  <c r="DG319" i="23917"/>
  <c r="BK313" i="24050"/>
  <c r="CQ319" i="23917"/>
  <c r="AU313" i="24050"/>
  <c r="CA319" i="23917"/>
  <c r="G313" i="24050"/>
  <c r="AM319" i="23917"/>
  <c r="I358" i="24050"/>
  <c r="AO364" i="23917"/>
  <c r="DP349" i="24050"/>
  <c r="EV355" i="23917"/>
  <c r="DJ393" i="24050"/>
  <c r="BV393" i="24050"/>
  <c r="DR394" i="24050"/>
  <c r="CD394" i="24050"/>
  <c r="DR389" i="24050"/>
  <c r="CD389" i="24050"/>
  <c r="CO15" i="24050"/>
  <c r="DU408" i="23917"/>
  <c r="EC334" i="24050"/>
  <c r="FI340" i="23917"/>
  <c r="CN334" i="24050"/>
  <c r="DT340" i="23917"/>
  <c r="BH334" i="24050"/>
  <c r="CN340" i="23917"/>
  <c r="AB334" i="24050"/>
  <c r="BH340" i="23917"/>
  <c r="DS321" i="24050"/>
  <c r="EY327" i="23917"/>
  <c r="DR333" i="24050"/>
  <c r="EX339" i="23917"/>
  <c r="DE333" i="24050"/>
  <c r="EK339" i="23917"/>
  <c r="CN323" i="24050"/>
  <c r="CN324" i="24050" s="1"/>
  <c r="CN14" i="24050"/>
  <c r="DT329" i="23917"/>
  <c r="DT330" i="23917" s="1"/>
  <c r="BX323" i="24050"/>
  <c r="BX324" i="24050" s="1"/>
  <c r="BX14" i="24050"/>
  <c r="DD329" i="23917"/>
  <c r="DD330" i="23917" s="1"/>
  <c r="BH323" i="24050"/>
  <c r="BH324" i="24050" s="1"/>
  <c r="BH14" i="24050"/>
  <c r="CN329" i="23917"/>
  <c r="CN330" i="23917" s="1"/>
  <c r="AB323" i="24050"/>
  <c r="AB14" i="24050"/>
  <c r="BH329" i="23917"/>
  <c r="H323" i="24050"/>
  <c r="H14" i="24050"/>
  <c r="AN329" i="23917"/>
  <c r="Q312" i="24050"/>
  <c r="AW318" i="23917"/>
  <c r="ED310" i="24050"/>
  <c r="FJ316" i="23917"/>
  <c r="DN310" i="24050"/>
  <c r="ET316" i="23917"/>
  <c r="DE313" i="24050"/>
  <c r="EK319" i="23917"/>
  <c r="CD298" i="24050"/>
  <c r="DJ304" i="23917"/>
  <c r="R298" i="24050"/>
  <c r="AX304" i="23917"/>
  <c r="CK296" i="24050"/>
  <c r="DQ302" i="23917"/>
  <c r="DZ282" i="24050"/>
  <c r="FF288" i="23917"/>
  <c r="DJ282" i="24050"/>
  <c r="EP288" i="23917"/>
  <c r="DX281" i="24050"/>
  <c r="FD287" i="23917"/>
  <c r="DH281" i="24050"/>
  <c r="EN287" i="23917"/>
  <c r="AS278" i="24050"/>
  <c r="BY284" i="23917"/>
  <c r="U236" i="24050"/>
  <c r="BA242" i="23917"/>
  <c r="V363" i="24050"/>
  <c r="BB369" i="23917"/>
  <c r="FP402" i="23917"/>
  <c r="FO402" i="23917"/>
  <c r="AS15" i="24050"/>
  <c r="BY408" i="23917"/>
  <c r="AS399" i="24050" s="1"/>
  <c r="CF383" i="24050"/>
  <c r="DT383" i="24050"/>
  <c r="DZ384" i="24050"/>
  <c r="CL384" i="24050"/>
  <c r="AR408" i="23917"/>
  <c r="L399" i="24050" s="1"/>
  <c r="L15" i="24050"/>
  <c r="DN320" i="24050"/>
  <c r="ET326" i="23917"/>
  <c r="CD321" i="24050"/>
  <c r="DJ327" i="23917"/>
  <c r="BV321" i="24050"/>
  <c r="DB327" i="23917"/>
  <c r="BO320" i="24050"/>
  <c r="CU326" i="23917"/>
  <c r="EA320" i="24050"/>
  <c r="FG326" i="23917"/>
  <c r="AQ320" i="24050"/>
  <c r="BW326" i="23917"/>
  <c r="AH334" i="24050"/>
  <c r="BN340" i="23917"/>
  <c r="Z334" i="24050"/>
  <c r="BF340" i="23917"/>
  <c r="R334" i="24050"/>
  <c r="AX340" i="23917"/>
  <c r="EH319" i="24050"/>
  <c r="FN325" i="23917"/>
  <c r="DJ318" i="24050"/>
  <c r="EP324" i="23917"/>
  <c r="EE332" i="24050"/>
  <c r="FK338" i="23917"/>
  <c r="CS310" i="24050"/>
  <c r="DY316" i="23917"/>
  <c r="R313" i="24050"/>
  <c r="AX319" i="23917"/>
  <c r="DL312" i="24050"/>
  <c r="ER318" i="23917"/>
  <c r="AI333" i="24050"/>
  <c r="BO339" i="23917"/>
  <c r="DH301" i="24050"/>
  <c r="EN307" i="23917"/>
  <c r="I23" i="24068"/>
  <c r="BL287" i="24050"/>
  <c r="BL288" i="24050" s="1"/>
  <c r="BL13" i="24050"/>
  <c r="CR293" i="23917"/>
  <c r="CR294" i="23917" s="1"/>
  <c r="AF287" i="24050"/>
  <c r="AF13" i="24050"/>
  <c r="BL293" i="23917"/>
  <c r="DW296" i="24050"/>
  <c r="FC302" i="23917"/>
  <c r="DG296" i="24050"/>
  <c r="EM302" i="23917"/>
  <c r="E284" i="24050"/>
  <c r="AK290" i="23917"/>
  <c r="DQ278" i="24050"/>
  <c r="EW284" i="23917"/>
  <c r="EI276" i="24050"/>
  <c r="FO282" i="23917"/>
  <c r="CM263" i="24050"/>
  <c r="DS269" i="23917"/>
  <c r="O18" i="24068"/>
  <c r="DW263" i="24050"/>
  <c r="FC269" i="23917"/>
  <c r="BL257" i="24050"/>
  <c r="CR263" i="23917"/>
  <c r="AV257" i="24050"/>
  <c r="CB263" i="23917"/>
  <c r="AF257" i="24050"/>
  <c r="BL263" i="23917"/>
  <c r="CO256" i="24050"/>
  <c r="DU262" i="23917"/>
  <c r="S261" i="23917"/>
  <c r="R261" i="23917"/>
  <c r="BZ244" i="24050"/>
  <c r="DF250" i="23917"/>
  <c r="BJ244" i="24050"/>
  <c r="CP250" i="23917"/>
  <c r="AT244" i="24050"/>
  <c r="BZ250" i="23917"/>
  <c r="AD244" i="24050"/>
  <c r="BJ250" i="23917"/>
  <c r="N244" i="24050"/>
  <c r="AT250" i="23917"/>
  <c r="DT243" i="24050"/>
  <c r="EZ249" i="23917"/>
  <c r="EE242" i="24050"/>
  <c r="FK248" i="23917"/>
  <c r="DK242" i="24050"/>
  <c r="EQ248" i="23917"/>
  <c r="DZ241" i="24050"/>
  <c r="FF247" i="23917"/>
  <c r="DX240" i="24050"/>
  <c r="FD246" i="23917"/>
  <c r="CO237" i="24050"/>
  <c r="DU243" i="23917"/>
  <c r="BY237" i="24050"/>
  <c r="DE243" i="23917"/>
  <c r="P237" i="24050"/>
  <c r="AV243" i="23917"/>
  <c r="L9" i="24068"/>
  <c r="L10" i="24068" s="1"/>
  <c r="U358" i="24050"/>
  <c r="BA364" i="23917"/>
  <c r="L363" i="24050"/>
  <c r="AR369" i="23917"/>
  <c r="DN349" i="24050"/>
  <c r="ET355" i="23917"/>
  <c r="DP392" i="24050"/>
  <c r="CB392" i="24050"/>
  <c r="DJ389" i="24050"/>
  <c r="BV389" i="24050"/>
  <c r="AV408" i="23917"/>
  <c r="P399" i="24050" s="1"/>
  <c r="P15" i="24050"/>
  <c r="CR333" i="24050"/>
  <c r="DX339" i="23917"/>
  <c r="CB334" i="24050"/>
  <c r="DH340" i="23917"/>
  <c r="AV334" i="24050"/>
  <c r="CB340" i="23917"/>
  <c r="AS318" i="24050"/>
  <c r="BY324" i="23917"/>
  <c r="AK318" i="24050"/>
  <c r="BQ324" i="23917"/>
  <c r="DO333" i="24050"/>
  <c r="EU339" i="23917"/>
  <c r="L321" i="24050"/>
  <c r="AR327" i="23917"/>
  <c r="CJ313" i="24050"/>
  <c r="DP319" i="23917"/>
  <c r="BT323" i="24050"/>
  <c r="BT324" i="24050" s="1"/>
  <c r="BT14" i="24050"/>
  <c r="CZ329" i="23917"/>
  <c r="CZ330" i="23917" s="1"/>
  <c r="BD323" i="24050"/>
  <c r="BD324" i="24050" s="1"/>
  <c r="BD14" i="24050"/>
  <c r="CJ329" i="23917"/>
  <c r="CJ330" i="23917" s="1"/>
  <c r="AN323" i="24050"/>
  <c r="AN14" i="24050"/>
  <c r="BT329" i="23917"/>
  <c r="M313" i="24050"/>
  <c r="AS319" i="23917"/>
  <c r="D334" i="24050"/>
  <c r="AJ340" i="23917"/>
  <c r="DI332" i="24050"/>
  <c r="EO338" i="23917"/>
  <c r="CF287" i="24050"/>
  <c r="CF288" i="24050" s="1"/>
  <c r="CF13" i="24050"/>
  <c r="DL293" i="23917"/>
  <c r="DL294" i="23917" s="1"/>
  <c r="C23" i="24068"/>
  <c r="AZ287" i="24050"/>
  <c r="AZ288" i="24050" s="1"/>
  <c r="AZ13" i="24050"/>
  <c r="CF293" i="23917"/>
  <c r="CF294" i="23917" s="1"/>
  <c r="T287" i="24050"/>
  <c r="T13" i="24050"/>
  <c r="AZ293" i="23917"/>
  <c r="CN298" i="24050"/>
  <c r="DT304" i="23917"/>
  <c r="BX298" i="24050"/>
  <c r="DD304" i="23917"/>
  <c r="BH298" i="24050"/>
  <c r="CN304" i="23917"/>
  <c r="AR298" i="24050"/>
  <c r="BX304" i="23917"/>
  <c r="AB298" i="24050"/>
  <c r="BH304" i="23917"/>
  <c r="L298" i="24050"/>
  <c r="AR304" i="23917"/>
  <c r="D285" i="24050"/>
  <c r="AJ291" i="23917"/>
  <c r="U291" i="23917"/>
  <c r="T291" i="23917"/>
  <c r="CG283" i="24050"/>
  <c r="DM289" i="23917"/>
  <c r="BW283" i="24050"/>
  <c r="DC289" i="23917"/>
  <c r="BM283" i="24050"/>
  <c r="CS289" i="23917"/>
  <c r="BC283" i="24050"/>
  <c r="CI289" i="23917"/>
  <c r="AQ283" i="24050"/>
  <c r="BW289" i="23917"/>
  <c r="AG283" i="24050"/>
  <c r="BM289" i="23917"/>
  <c r="W283" i="24050"/>
  <c r="BC289" i="23917"/>
  <c r="M283" i="24050"/>
  <c r="AS289" i="23917"/>
  <c r="CB246" i="24050"/>
  <c r="CB247" i="24050" s="1"/>
  <c r="CB12" i="24050"/>
  <c r="DH252" i="23917"/>
  <c r="DH253" i="23917" s="1"/>
  <c r="I14" i="24068"/>
  <c r="I15" i="24068" s="1"/>
  <c r="BL246" i="24050"/>
  <c r="BL247" i="24050" s="1"/>
  <c r="BL12" i="24050"/>
  <c r="CR252" i="23917"/>
  <c r="CR253" i="23917" s="1"/>
  <c r="AV246" i="24050"/>
  <c r="AV247" i="24050" s="1"/>
  <c r="AV12" i="24050"/>
  <c r="CB252" i="23917"/>
  <c r="CB253" i="23917" s="1"/>
  <c r="AF246" i="24050"/>
  <c r="AF12" i="24050"/>
  <c r="BL252" i="23917"/>
  <c r="D246" i="24050"/>
  <c r="D12" i="24050"/>
  <c r="AJ252" i="23917"/>
  <c r="EA237" i="24050"/>
  <c r="FG243" i="23917"/>
  <c r="DK237" i="24050"/>
  <c r="EQ243" i="23917"/>
  <c r="DJ368" i="24050"/>
  <c r="EP374" i="23917"/>
  <c r="S358" i="24050"/>
  <c r="AY364" i="23917"/>
  <c r="J363" i="24050"/>
  <c r="AP369" i="23917"/>
  <c r="AX15" i="24050"/>
  <c r="CD408" i="23917"/>
  <c r="BX383" i="24050"/>
  <c r="DL383" i="24050"/>
  <c r="FK408" i="23917"/>
  <c r="EE15" i="24050"/>
  <c r="DT320" i="24050"/>
  <c r="EZ326" i="23917"/>
  <c r="CA320" i="24050"/>
  <c r="DG326" i="23917"/>
  <c r="BK320" i="24050"/>
  <c r="CQ326" i="23917"/>
  <c r="AU320" i="24050"/>
  <c r="CA326" i="23917"/>
  <c r="AE320" i="24050"/>
  <c r="BK326" i="23917"/>
  <c r="G320" i="24050"/>
  <c r="AM326" i="23917"/>
  <c r="EN319" i="24050"/>
  <c r="FT325" i="23917"/>
  <c r="DN319" i="24050"/>
  <c r="ET325" i="23917"/>
  <c r="EF317" i="24050"/>
  <c r="FL323" i="23917"/>
  <c r="EB316" i="24050"/>
  <c r="FH322" i="23917"/>
  <c r="BB323" i="24050"/>
  <c r="BB324" i="24050" s="1"/>
  <c r="BB14" i="24050"/>
  <c r="CH329" i="23917"/>
  <c r="CH330" i="23917" s="1"/>
  <c r="DZ312" i="24050"/>
  <c r="FF318" i="23917"/>
  <c r="CT312" i="24050"/>
  <c r="DZ318" i="23917"/>
  <c r="EH312" i="24050"/>
  <c r="FN318" i="23917"/>
  <c r="DH312" i="24050"/>
  <c r="EN318" i="23917"/>
  <c r="DG332" i="24050"/>
  <c r="EM338" i="23917"/>
  <c r="CJ287" i="24050"/>
  <c r="CJ288" i="24050" s="1"/>
  <c r="CJ13" i="24050"/>
  <c r="DP293" i="23917"/>
  <c r="DP294" i="23917" s="1"/>
  <c r="E23" i="24068"/>
  <c r="BD287" i="24050"/>
  <c r="BD288" i="24050" s="1"/>
  <c r="BD13" i="24050"/>
  <c r="CJ293" i="23917"/>
  <c r="CJ294" i="23917" s="1"/>
  <c r="X287" i="24050"/>
  <c r="X13" i="24050"/>
  <c r="BD293" i="23917"/>
  <c r="EG296" i="24050"/>
  <c r="FM302" i="23917"/>
  <c r="DQ296" i="24050"/>
  <c r="EW302" i="23917"/>
  <c r="DD282" i="24050"/>
  <c r="EJ288" i="23917"/>
  <c r="DU283" i="24050"/>
  <c r="FA289" i="23917"/>
  <c r="DT276" i="24050"/>
  <c r="EZ282" i="23917"/>
  <c r="CZ277" i="24050"/>
  <c r="EF283" i="23917"/>
  <c r="C260" i="24050"/>
  <c r="AI266" i="23917"/>
  <c r="ED262" i="24050"/>
  <c r="FJ268" i="23917"/>
  <c r="EB260" i="24050"/>
  <c r="FH266" i="23917"/>
  <c r="CL257" i="24050"/>
  <c r="DR263" i="23917"/>
  <c r="BV257" i="24050"/>
  <c r="DB263" i="23917"/>
  <c r="BB257" i="24050"/>
  <c r="CH263" i="23917"/>
  <c r="AL257" i="24050"/>
  <c r="BR263" i="23917"/>
  <c r="F257" i="24050"/>
  <c r="AL263" i="23917"/>
  <c r="W263" i="23917"/>
  <c r="V263" i="23917"/>
  <c r="CF244" i="24050"/>
  <c r="DL250" i="23917"/>
  <c r="BP244" i="24050"/>
  <c r="CV250" i="23917"/>
  <c r="AZ244" i="24050"/>
  <c r="CF250" i="23917"/>
  <c r="AJ244" i="24050"/>
  <c r="BP250" i="23917"/>
  <c r="T244" i="24050"/>
  <c r="AZ250" i="23917"/>
  <c r="D244" i="24050"/>
  <c r="AJ250" i="23917"/>
  <c r="K243" i="24050"/>
  <c r="AQ249" i="23917"/>
  <c r="EH243" i="24050"/>
  <c r="FN249" i="23917"/>
  <c r="DR243" i="24050"/>
  <c r="EX249" i="23917"/>
  <c r="DY242" i="24050"/>
  <c r="FE248" i="23917"/>
  <c r="C240" i="24050"/>
  <c r="AI246" i="23917"/>
  <c r="DT241" i="24050"/>
  <c r="EZ247" i="23917"/>
  <c r="DZ240" i="24050"/>
  <c r="FF246" i="23917"/>
  <c r="DJ237" i="24050"/>
  <c r="EP243" i="23917"/>
  <c r="R237" i="24050"/>
  <c r="AX243" i="23917"/>
  <c r="Y235" i="24050"/>
  <c r="BE241" i="23917"/>
  <c r="EH236" i="24050"/>
  <c r="FN242" i="23917"/>
  <c r="DN236" i="24050"/>
  <c r="ET242" i="23917"/>
  <c r="DT235" i="24050"/>
  <c r="EZ241" i="23917"/>
  <c r="DV234" i="24050"/>
  <c r="FB240" i="23917"/>
  <c r="DR311" i="24050"/>
  <c r="EX317" i="23917"/>
  <c r="BK285" i="24050"/>
  <c r="CQ291" i="23917"/>
  <c r="AE285" i="24050"/>
  <c r="BK291" i="23917"/>
  <c r="EB297" i="24050"/>
  <c r="FH303" i="23917"/>
  <c r="CD293" i="24050"/>
  <c r="DJ299" i="23917"/>
  <c r="AR287" i="24050"/>
  <c r="AR288" i="24050" s="1"/>
  <c r="AR13" i="24050"/>
  <c r="BX293" i="23917"/>
  <c r="BX294" i="23917" s="1"/>
  <c r="R293" i="24050"/>
  <c r="AX299" i="23917"/>
  <c r="B293" i="24050"/>
  <c r="AH299" i="23917"/>
  <c r="M299" i="23917"/>
  <c r="L299" i="23917"/>
  <c r="DO287" i="24050"/>
  <c r="DO13" i="24050"/>
  <c r="EU293" i="23917"/>
  <c r="DX256" i="24050"/>
  <c r="FD262" i="23917"/>
  <c r="L257" i="24050"/>
  <c r="AR263" i="23917"/>
  <c r="DR235" i="24050"/>
  <c r="EX241" i="23917"/>
  <c r="E9" i="24068"/>
  <c r="I10" i="24068" s="1"/>
  <c r="EB221" i="24050"/>
  <c r="FH227" i="23917"/>
  <c r="DF219" i="24050"/>
  <c r="EL225" i="23917"/>
  <c r="ED218" i="24050"/>
  <c r="FJ224" i="23917"/>
  <c r="CA213" i="24050"/>
  <c r="DG219" i="23917"/>
  <c r="EE202" i="24050"/>
  <c r="FK208" i="23917"/>
  <c r="C201" i="24050"/>
  <c r="AI207" i="23917"/>
  <c r="EF199" i="24050"/>
  <c r="FL205" i="23917"/>
  <c r="EB198" i="24050"/>
  <c r="FH204" i="23917"/>
  <c r="CQ193" i="24050"/>
  <c r="DW199" i="23917"/>
  <c r="EB178" i="24050"/>
  <c r="FH184" i="23917"/>
  <c r="BQ285" i="24050"/>
  <c r="CW291" i="23917"/>
  <c r="AK285" i="24050"/>
  <c r="BQ291" i="23917"/>
  <c r="S23" i="24068"/>
  <c r="EE287" i="24050"/>
  <c r="EE288" i="24050" s="1"/>
  <c r="EE13" i="24050"/>
  <c r="FK293" i="23917"/>
  <c r="FK294" i="23917" s="1"/>
  <c r="DM257" i="24050"/>
  <c r="ES263" i="23917"/>
  <c r="DN235" i="24050"/>
  <c r="ET241" i="23917"/>
  <c r="EA215" i="24050"/>
  <c r="FG221" i="23917"/>
  <c r="DM195" i="24050"/>
  <c r="ES201" i="23917"/>
  <c r="EI311" i="24050"/>
  <c r="FO317" i="23917"/>
  <c r="BW285" i="24050"/>
  <c r="DC291" i="23917"/>
  <c r="AQ285" i="24050"/>
  <c r="BW291" i="23917"/>
  <c r="DS298" i="24050"/>
  <c r="EY304" i="23917"/>
  <c r="DH278" i="24050"/>
  <c r="EN284" i="23917"/>
  <c r="CQ256" i="24050"/>
  <c r="DW262" i="23917"/>
  <c r="CR313" i="24050"/>
  <c r="DX319" i="23917"/>
  <c r="BU285" i="24050"/>
  <c r="DA291" i="23917"/>
  <c r="AO285" i="24050"/>
  <c r="BU291" i="23917"/>
  <c r="C285" i="24050"/>
  <c r="AI291" i="23917"/>
  <c r="DX297" i="24050"/>
  <c r="FD303" i="23917"/>
  <c r="BK298" i="24050"/>
  <c r="CQ304" i="23917"/>
  <c r="DE287" i="24050"/>
  <c r="DE13" i="24050"/>
  <c r="EK293" i="23917"/>
  <c r="DZ256" i="24050"/>
  <c r="FF262" i="23917"/>
  <c r="O237" i="24050"/>
  <c r="AU243" i="23917"/>
  <c r="DG19" i="23917"/>
  <c r="DF19" i="23917"/>
  <c r="CO204" i="24050"/>
  <c r="CO10" i="24050"/>
  <c r="DU210" i="23917"/>
  <c r="BI204" i="24050"/>
  <c r="BI10" i="24050"/>
  <c r="CO210" i="23917"/>
  <c r="AC204" i="24050"/>
  <c r="AC10" i="24050"/>
  <c r="BI210" i="23917"/>
  <c r="CM215" i="24050"/>
  <c r="DS221" i="23917"/>
  <c r="CY213" i="24050"/>
  <c r="EE219" i="23917"/>
  <c r="E202" i="24050"/>
  <c r="AK208" i="23917"/>
  <c r="DR199" i="24050"/>
  <c r="EX205" i="23917"/>
  <c r="AG195" i="24050"/>
  <c r="BM201" i="23917"/>
  <c r="CT194" i="24050"/>
  <c r="DZ200" i="23917"/>
  <c r="DT179" i="24050"/>
  <c r="EZ185" i="23917"/>
  <c r="CO175" i="24050"/>
  <c r="DU181" i="23917"/>
  <c r="BQ175" i="24050"/>
  <c r="CW181" i="23917"/>
  <c r="AK175" i="24050"/>
  <c r="BQ181" i="23917"/>
  <c r="E175" i="24050"/>
  <c r="AK181" i="23917"/>
  <c r="C174" i="24050"/>
  <c r="AI180" i="23917"/>
  <c r="CK173" i="24050"/>
  <c r="DQ179" i="23917"/>
  <c r="DA19" i="23917"/>
  <c r="CZ19" i="23917"/>
  <c r="CK19" i="23917"/>
  <c r="CJ19" i="23917"/>
  <c r="BU19" i="23917"/>
  <c r="BT19" i="23917"/>
  <c r="BE19" i="23917"/>
  <c r="BD19" i="23917"/>
  <c r="AG19" i="23917"/>
  <c r="AF19" i="23917"/>
  <c r="Q19" i="23917"/>
  <c r="P19" i="23917"/>
  <c r="BW222" i="24050"/>
  <c r="DC228" i="23917"/>
  <c r="CQ214" i="24050"/>
  <c r="DW220" i="23917"/>
  <c r="AI215" i="24050"/>
  <c r="BO221" i="23917"/>
  <c r="CU214" i="24050"/>
  <c r="EA220" i="23917"/>
  <c r="AA214" i="24050"/>
  <c r="BG220" i="23917"/>
  <c r="BQ213" i="24050"/>
  <c r="CW219" i="23917"/>
  <c r="BV202" i="24050"/>
  <c r="DB208" i="23917"/>
  <c r="B202" i="24050"/>
  <c r="AH208" i="23917"/>
  <c r="DG215" i="24050"/>
  <c r="EM221" i="23917"/>
  <c r="EB201" i="24050"/>
  <c r="FH207" i="23917"/>
  <c r="DP199" i="24050"/>
  <c r="EV205" i="23917"/>
  <c r="DK199" i="24050"/>
  <c r="EQ205" i="23917"/>
  <c r="X204" i="23917"/>
  <c r="BQ195" i="24050"/>
  <c r="CW201" i="23917"/>
  <c r="AK195" i="24050"/>
  <c r="BQ201" i="23917"/>
  <c r="AF210" i="23917"/>
  <c r="R195" i="24050"/>
  <c r="AX201" i="23917"/>
  <c r="EI192" i="24050"/>
  <c r="FO198" i="23917"/>
  <c r="CP195" i="24050"/>
  <c r="DV201" i="23917"/>
  <c r="K180" i="24050"/>
  <c r="AQ186" i="23917"/>
  <c r="DW178" i="24050"/>
  <c r="FC184" i="23917"/>
  <c r="CV174" i="24050"/>
  <c r="EB180" i="23917"/>
  <c r="BI173" i="24050"/>
  <c r="CO179" i="23917"/>
  <c r="DW162" i="24050"/>
  <c r="FC168" i="23917"/>
  <c r="BA160" i="24050"/>
  <c r="CG166" i="23917"/>
  <c r="DW173" i="24050"/>
  <c r="FC179" i="23917"/>
  <c r="CJ164" i="24050"/>
  <c r="CJ165" i="24050" s="1"/>
  <c r="CJ9" i="24050"/>
  <c r="DP170" i="23917"/>
  <c r="DP171" i="23917" s="1"/>
  <c r="BT164" i="24050"/>
  <c r="BT165" i="24050" s="1"/>
  <c r="BT9" i="24050"/>
  <c r="CZ170" i="23917"/>
  <c r="CZ171" i="23917" s="1"/>
  <c r="AN164" i="24050"/>
  <c r="AN9" i="24050"/>
  <c r="BT170" i="23917"/>
  <c r="H164" i="24050"/>
  <c r="H9" i="24050"/>
  <c r="AN170" i="23917"/>
  <c r="N140" i="24050"/>
  <c r="AT146" i="23917"/>
  <c r="F119" i="24050"/>
  <c r="AL125" i="23917"/>
  <c r="EG112" i="24050"/>
  <c r="FM118" i="23917"/>
  <c r="DM112" i="24050"/>
  <c r="ES118" i="23917"/>
  <c r="U110" i="24050"/>
  <c r="BA116" i="23917"/>
  <c r="CA222" i="24050"/>
  <c r="DG228" i="23917"/>
  <c r="EA222" i="24050"/>
  <c r="FG228" i="23917"/>
  <c r="DL220" i="24050"/>
  <c r="ER226" i="23917"/>
  <c r="CI215" i="24050"/>
  <c r="DO221" i="23917"/>
  <c r="W215" i="24050"/>
  <c r="BC221" i="23917"/>
  <c r="BK214" i="24050"/>
  <c r="CQ220" i="23917"/>
  <c r="AQ213" i="24050"/>
  <c r="BW219" i="23917"/>
  <c r="M200" i="24050"/>
  <c r="AS206" i="23917"/>
  <c r="DZ199" i="24050"/>
  <c r="FF205" i="23917"/>
  <c r="DR198" i="24050"/>
  <c r="EX204" i="23917"/>
  <c r="CK195" i="24050"/>
  <c r="DQ201" i="23917"/>
  <c r="AE195" i="24050"/>
  <c r="BK201" i="23917"/>
  <c r="D204" i="24050"/>
  <c r="D10" i="24050"/>
  <c r="AJ210" i="23917"/>
  <c r="EC195" i="24050"/>
  <c r="FI201" i="23917"/>
  <c r="DS180" i="24050"/>
  <c r="EY186" i="23917"/>
  <c r="EB179" i="24050"/>
  <c r="FH185" i="23917"/>
  <c r="CC173" i="24050"/>
  <c r="DI179" i="23917"/>
  <c r="Q173" i="24050"/>
  <c r="AW179" i="23917"/>
  <c r="AC160" i="24050"/>
  <c r="BI166" i="23917"/>
  <c r="CR159" i="24050"/>
  <c r="DX165" i="23917"/>
  <c r="CS136" i="24050"/>
  <c r="DY142" i="23917"/>
  <c r="EE131" i="24050"/>
  <c r="FK137" i="23917"/>
  <c r="BZ131" i="24050"/>
  <c r="DF137" i="23917"/>
  <c r="BJ131" i="24050"/>
  <c r="CP137" i="23917"/>
  <c r="B131" i="24050"/>
  <c r="AH137" i="23917"/>
  <c r="F130" i="24050"/>
  <c r="AL136" i="23917"/>
  <c r="BI118" i="24050"/>
  <c r="CO124" i="23917"/>
  <c r="DO111" i="24050"/>
  <c r="EU117" i="23917"/>
  <c r="DE19" i="23917"/>
  <c r="DD19" i="23917"/>
  <c r="CO19" i="23917"/>
  <c r="CN19" i="23917"/>
  <c r="BY19" i="23917"/>
  <c r="BX19" i="23917"/>
  <c r="BI19" i="23917"/>
  <c r="BH19" i="23917"/>
  <c r="AS19" i="23917"/>
  <c r="AR19" i="23917"/>
  <c r="AC19" i="23917"/>
  <c r="AB19" i="23917"/>
  <c r="M19" i="23917"/>
  <c r="L19" i="23917"/>
  <c r="EC222" i="24050"/>
  <c r="FI228" i="23917"/>
  <c r="EF220" i="24050"/>
  <c r="FL226" i="23917"/>
  <c r="BR204" i="24050"/>
  <c r="BR205" i="24050" s="1"/>
  <c r="BR10" i="24050"/>
  <c r="CX210" i="23917"/>
  <c r="CX211" i="23917" s="1"/>
  <c r="AL204" i="24050"/>
  <c r="AL10" i="24050"/>
  <c r="BR210" i="23917"/>
  <c r="CY215" i="24050"/>
  <c r="EE221" i="23917"/>
  <c r="CP213" i="24050"/>
  <c r="DV219" i="23917"/>
  <c r="DY202" i="24050"/>
  <c r="FE208" i="23917"/>
  <c r="BK202" i="24050"/>
  <c r="CQ208" i="23917"/>
  <c r="AE202" i="24050"/>
  <c r="BK208" i="23917"/>
  <c r="AE208" i="23917"/>
  <c r="AD208" i="23917"/>
  <c r="BW200" i="24050"/>
  <c r="DC206" i="23917"/>
  <c r="AQ200" i="24050"/>
  <c r="BW206" i="23917"/>
  <c r="G201" i="24050"/>
  <c r="AM207" i="23917"/>
  <c r="EB200" i="24050"/>
  <c r="FH206" i="23917"/>
  <c r="Y221" i="23917"/>
  <c r="X221" i="23917"/>
  <c r="U195" i="24050"/>
  <c r="BA201" i="23917"/>
  <c r="BF164" i="24050"/>
  <c r="BF165" i="24050" s="1"/>
  <c r="BF9" i="24050"/>
  <c r="CL170" i="23917"/>
  <c r="CL171" i="23917" s="1"/>
  <c r="BA174" i="24050"/>
  <c r="CG180" i="23917"/>
  <c r="AI162" i="24050"/>
  <c r="BO168" i="23917"/>
  <c r="AA181" i="23917"/>
  <c r="EA160" i="24050"/>
  <c r="FG166" i="23917"/>
  <c r="AU160" i="24050"/>
  <c r="CA166" i="23917"/>
  <c r="AE160" i="24050"/>
  <c r="BK166" i="23917"/>
  <c r="DO160" i="24050"/>
  <c r="EU166" i="23917"/>
  <c r="DT161" i="24050"/>
  <c r="EZ167" i="23917"/>
  <c r="EE174" i="24050"/>
  <c r="FK180" i="23917"/>
  <c r="EF158" i="24050"/>
  <c r="FL164" i="23917"/>
  <c r="CK175" i="24050"/>
  <c r="DQ181" i="23917"/>
  <c r="BO155" i="24050"/>
  <c r="CU161" i="23917"/>
  <c r="AX175" i="24050"/>
  <c r="CD181" i="23917"/>
  <c r="Y175" i="24050"/>
  <c r="BE181" i="23917"/>
  <c r="C155" i="24050"/>
  <c r="AI161" i="23917"/>
  <c r="W181" i="23917"/>
  <c r="V181" i="23917"/>
  <c r="L140" i="24050"/>
  <c r="AR146" i="23917"/>
  <c r="CE139" i="24050"/>
  <c r="DK145" i="23917"/>
  <c r="BN140" i="24050"/>
  <c r="CT146" i="23917"/>
  <c r="DZ138" i="24050"/>
  <c r="FF144" i="23917"/>
  <c r="CE136" i="24050"/>
  <c r="DK142" i="23917"/>
  <c r="AY136" i="24050"/>
  <c r="CE142" i="23917"/>
  <c r="Q136" i="24050"/>
  <c r="AW142" i="23917"/>
  <c r="AN121" i="24050"/>
  <c r="AN8" i="24050"/>
  <c r="BT127" i="23917"/>
  <c r="U130" i="24050"/>
  <c r="BA136" i="23917"/>
  <c r="CC117" i="24050"/>
  <c r="DI123" i="23917"/>
  <c r="S137" i="23917"/>
  <c r="R137" i="23917"/>
  <c r="EC117" i="24050"/>
  <c r="FI123" i="23917"/>
  <c r="AM117" i="24050"/>
  <c r="BS123" i="23917"/>
  <c r="V119" i="24050"/>
  <c r="BB125" i="23917"/>
  <c r="EF116" i="24050"/>
  <c r="FL122" i="23917"/>
  <c r="DS130" i="24050"/>
  <c r="EY136" i="23917"/>
  <c r="BY112" i="24050"/>
  <c r="DE118" i="23917"/>
  <c r="B121" i="24050"/>
  <c r="B8" i="24050"/>
  <c r="AH127" i="23917"/>
  <c r="AU117" i="24050"/>
  <c r="CA123" i="23917"/>
  <c r="ED115" i="24050"/>
  <c r="FJ121" i="23917"/>
  <c r="EF180" i="24050"/>
  <c r="FL186" i="23917"/>
  <c r="DY162" i="24050"/>
  <c r="FE168" i="23917"/>
  <c r="E162" i="24050"/>
  <c r="AK168" i="23917"/>
  <c r="DJ160" i="24050"/>
  <c r="EP166" i="23917"/>
  <c r="BN162" i="24050"/>
  <c r="CT168" i="23917"/>
  <c r="EH161" i="24050"/>
  <c r="FN167" i="23917"/>
  <c r="DT160" i="24050"/>
  <c r="EZ166" i="23917"/>
  <c r="DS174" i="24050"/>
  <c r="EY180" i="23917"/>
  <c r="CP160" i="24050"/>
  <c r="DV166" i="23917"/>
  <c r="CH164" i="24050"/>
  <c r="CH165" i="24050" s="1"/>
  <c r="CH9" i="24050"/>
  <c r="DN170" i="23917"/>
  <c r="DN171" i="23917" s="1"/>
  <c r="BR175" i="24050"/>
  <c r="CX181" i="23917"/>
  <c r="AL175" i="24050"/>
  <c r="BR181" i="23917"/>
  <c r="F175" i="24050"/>
  <c r="AL181" i="23917"/>
  <c r="EB152" i="24050"/>
  <c r="FH158" i="23917"/>
  <c r="CS153" i="24050"/>
  <c r="DY159" i="23917"/>
  <c r="CQ139" i="24050"/>
  <c r="DW145" i="23917"/>
  <c r="AM139" i="24050"/>
  <c r="BS145" i="23917"/>
  <c r="DX138" i="24050"/>
  <c r="FD144" i="23917"/>
  <c r="DH136" i="24050"/>
  <c r="EN142" i="23917"/>
  <c r="CQ136" i="24050"/>
  <c r="DW142" i="23917"/>
  <c r="AM136" i="24050"/>
  <c r="BS142" i="23917"/>
  <c r="E136" i="24050"/>
  <c r="AK142" i="23917"/>
  <c r="DT135" i="24050"/>
  <c r="EZ141" i="23917"/>
  <c r="AJ131" i="24050"/>
  <c r="BP137" i="23917"/>
  <c r="U137" i="23917"/>
  <c r="T137" i="23917"/>
  <c r="DG119" i="24050"/>
  <c r="EM125" i="23917"/>
  <c r="BA119" i="24050"/>
  <c r="CG125" i="23917"/>
  <c r="T119" i="24050"/>
  <c r="AZ125" i="23917"/>
  <c r="AX131" i="24050"/>
  <c r="CD137" i="23917"/>
  <c r="BF119" i="24050"/>
  <c r="CL125" i="23917"/>
  <c r="K117" i="24050"/>
  <c r="AQ123" i="23917"/>
  <c r="W125" i="23917"/>
  <c r="V125" i="23917"/>
  <c r="DK115" i="24050"/>
  <c r="EQ121" i="23917"/>
  <c r="BM112" i="24050"/>
  <c r="CS118" i="23917"/>
  <c r="Y111" i="24050"/>
  <c r="BE117" i="23917"/>
  <c r="V112" i="24050"/>
  <c r="BB118" i="23917"/>
  <c r="J112" i="24050"/>
  <c r="AP118" i="23917"/>
  <c r="DX159" i="24050"/>
  <c r="FD165" i="23917"/>
  <c r="DI175" i="24050"/>
  <c r="EO181" i="23917"/>
  <c r="AQ155" i="24050"/>
  <c r="BW161" i="23917"/>
  <c r="AA161" i="23917"/>
  <c r="DK155" i="24050"/>
  <c r="EQ161" i="23917"/>
  <c r="BW139" i="24050"/>
  <c r="DC145" i="23917"/>
  <c r="Y136" i="24050"/>
  <c r="BE142" i="23917"/>
  <c r="BH127" i="24050"/>
  <c r="CN133" i="23917"/>
  <c r="BK118" i="24050"/>
  <c r="CQ124" i="23917"/>
  <c r="DT110" i="24050"/>
  <c r="EZ116" i="23917"/>
  <c r="DX109" i="24050"/>
  <c r="FD115" i="23917"/>
  <c r="AI202" i="24050"/>
  <c r="BO208" i="23917"/>
  <c r="ED193" i="24050"/>
  <c r="FJ199" i="23917"/>
  <c r="S180" i="24050"/>
  <c r="AY186" i="23917"/>
  <c r="CO174" i="24050"/>
  <c r="DU180" i="23917"/>
  <c r="DJ162" i="24050"/>
  <c r="EP168" i="23917"/>
  <c r="DQ175" i="24050"/>
  <c r="EW181" i="23917"/>
  <c r="EC173" i="24050"/>
  <c r="FI179" i="23917"/>
  <c r="EG164" i="24050"/>
  <c r="EG9" i="24050"/>
  <c r="FM170" i="23917"/>
  <c r="FM171" i="23917" s="1"/>
  <c r="BV175" i="24050"/>
  <c r="DB181" i="23917"/>
  <c r="CT158" i="24050"/>
  <c r="DZ164" i="23917"/>
  <c r="BF140" i="24050"/>
  <c r="CL146" i="23917"/>
  <c r="C117" i="24050"/>
  <c r="AI123" i="23917"/>
  <c r="CR116" i="24050"/>
  <c r="DX122" i="23917"/>
  <c r="N112" i="24050"/>
  <c r="AT118" i="23917"/>
  <c r="G194" i="24050"/>
  <c r="AM200" i="23917"/>
  <c r="W195" i="24050"/>
  <c r="BC201" i="23917"/>
  <c r="EA195" i="24050"/>
  <c r="FG201" i="23917"/>
  <c r="EA180" i="24050"/>
  <c r="FG186" i="23917"/>
  <c r="E174" i="24050"/>
  <c r="AK180" i="23917"/>
  <c r="S162" i="24050"/>
  <c r="AY168" i="23917"/>
  <c r="AW160" i="24050"/>
  <c r="CC166" i="23917"/>
  <c r="AF162" i="24050"/>
  <c r="BL168" i="23917"/>
  <c r="I160" i="24050"/>
  <c r="AO166" i="23917"/>
  <c r="EE175" i="24050"/>
  <c r="FK181" i="23917"/>
  <c r="DK159" i="24050"/>
  <c r="EQ165" i="23917"/>
  <c r="DQ162" i="24050"/>
  <c r="EW168" i="23917"/>
  <c r="CQ155" i="24050"/>
  <c r="DW161" i="23917"/>
  <c r="BK155" i="24050"/>
  <c r="CQ161" i="23917"/>
  <c r="AT175" i="24050"/>
  <c r="BZ181" i="23917"/>
  <c r="O155" i="24050"/>
  <c r="AU161" i="23917"/>
  <c r="EE155" i="24050"/>
  <c r="FK161" i="23917"/>
  <c r="CA139" i="24050"/>
  <c r="DG145" i="23917"/>
  <c r="BJ140" i="24050"/>
  <c r="CP146" i="23917"/>
  <c r="BK136" i="24050"/>
  <c r="CQ142" i="23917"/>
  <c r="AC136" i="24050"/>
  <c r="BI142" i="23917"/>
  <c r="CE121" i="24050"/>
  <c r="CE8" i="24050"/>
  <c r="DK127" i="23917"/>
  <c r="BT131" i="24050"/>
  <c r="CZ137" i="23917"/>
  <c r="X131" i="24050"/>
  <c r="BD137" i="23917"/>
  <c r="AW119" i="24050"/>
  <c r="CC125" i="23917"/>
  <c r="P119" i="24050"/>
  <c r="AV125" i="23917"/>
  <c r="BG118" i="24050"/>
  <c r="CM124" i="23917"/>
  <c r="DW118" i="24050"/>
  <c r="FC124" i="23917"/>
  <c r="AK118" i="24050"/>
  <c r="BQ124" i="23917"/>
  <c r="U118" i="24050"/>
  <c r="BA124" i="23917"/>
  <c r="DQ117" i="24050"/>
  <c r="EW123" i="23917"/>
  <c r="DO117" i="24050"/>
  <c r="EU123" i="23917"/>
  <c r="EH115" i="24050"/>
  <c r="FN121" i="23917"/>
  <c r="U111" i="24050"/>
  <c r="BA117" i="23917"/>
  <c r="DX110" i="24050"/>
  <c r="FD116" i="23917"/>
  <c r="CF121" i="24050"/>
  <c r="CF122" i="24050" s="1"/>
  <c r="CF8" i="24050"/>
  <c r="DL127" i="23917"/>
  <c r="DL128" i="23917" s="1"/>
  <c r="O117" i="24050"/>
  <c r="AU123" i="23917"/>
  <c r="AQ164" i="24050"/>
  <c r="AQ9" i="24050"/>
  <c r="BW170" i="23917"/>
  <c r="CD170" i="24050"/>
  <c r="DJ176" i="23917"/>
  <c r="DY140" i="24050"/>
  <c r="FE146" i="23917"/>
  <c r="CF409" i="23917"/>
  <c r="DP105" i="24050"/>
  <c r="DP271" i="24050"/>
  <c r="AI54" i="24050"/>
  <c r="AI230" i="24050"/>
  <c r="AI376" i="24050"/>
  <c r="AA148" i="24050"/>
  <c r="AA306" i="24050"/>
  <c r="S54" i="24050"/>
  <c r="S230" i="24050"/>
  <c r="S376" i="24050"/>
  <c r="K105" i="24050"/>
  <c r="K306" i="24050"/>
  <c r="C54" i="24050"/>
  <c r="C230" i="24050"/>
  <c r="C376" i="24050"/>
  <c r="ER147" i="24050"/>
  <c r="ER341" i="24050"/>
  <c r="EJ104" i="24050"/>
  <c r="EJ305" i="24050"/>
  <c r="EB187" i="24050"/>
  <c r="EB341" i="24050"/>
  <c r="S96" i="24050"/>
  <c r="AY102" i="23917"/>
  <c r="BM96" i="24050"/>
  <c r="CS102" i="23917"/>
  <c r="AI94" i="24050"/>
  <c r="BO100" i="23917"/>
  <c r="S94" i="24050"/>
  <c r="AY100" i="23917"/>
  <c r="G90" i="24050"/>
  <c r="AM96" i="23917"/>
  <c r="DF59" i="24050"/>
  <c r="DF24" i="24050"/>
  <c r="EL27" i="23917"/>
  <c r="EL66" i="23917"/>
  <c r="DN58" i="24050"/>
  <c r="ET65" i="23917"/>
  <c r="U367" i="24050"/>
  <c r="BA373" i="23917"/>
  <c r="DP355" i="24050"/>
  <c r="EV361" i="23917"/>
  <c r="C356" i="24050"/>
  <c r="AI362" i="23917"/>
  <c r="DN354" i="24050"/>
  <c r="ET360" i="23917"/>
  <c r="DK367" i="24050"/>
  <c r="EQ373" i="23917"/>
  <c r="DK349" i="24050"/>
  <c r="EQ355" i="23917"/>
  <c r="DO368" i="24050"/>
  <c r="EU374" i="23917"/>
  <c r="CO396" i="24050"/>
  <c r="EC396" i="24050"/>
  <c r="DO396" i="24050"/>
  <c r="CA396" i="24050"/>
  <c r="DG392" i="24050"/>
  <c r="BS392" i="24050"/>
  <c r="BD408" i="23917"/>
  <c r="X399" i="24050" s="1"/>
  <c r="X15" i="24050"/>
  <c r="CP383" i="24050"/>
  <c r="ED383" i="24050"/>
  <c r="EB382" i="24050"/>
  <c r="CN382" i="24050"/>
  <c r="CC380" i="24050"/>
  <c r="DQ380" i="24050"/>
  <c r="DZ380" i="24050"/>
  <c r="CL380" i="24050"/>
  <c r="AE333" i="24050"/>
  <c r="BK339" i="23917"/>
  <c r="O333" i="24050"/>
  <c r="AU339" i="23917"/>
  <c r="CP332" i="24050"/>
  <c r="DV338" i="23917"/>
  <c r="BK332" i="24050"/>
  <c r="CQ338" i="23917"/>
  <c r="AE332" i="24050"/>
  <c r="BK338" i="23917"/>
  <c r="CK321" i="24050"/>
  <c r="DQ327" i="23917"/>
  <c r="Q321" i="24050"/>
  <c r="AW327" i="23917"/>
  <c r="DP317" i="24050"/>
  <c r="EV323" i="23917"/>
  <c r="N323" i="24050"/>
  <c r="N14" i="24050"/>
  <c r="AT329" i="23917"/>
  <c r="BQ297" i="24050"/>
  <c r="CW303" i="23917"/>
  <c r="AK297" i="24050"/>
  <c r="BQ303" i="23917"/>
  <c r="E297" i="24050"/>
  <c r="AK303" i="23917"/>
  <c r="BY296" i="24050"/>
  <c r="DE302" i="23917"/>
  <c r="AS296" i="24050"/>
  <c r="BY302" i="23917"/>
  <c r="M296" i="24050"/>
  <c r="AS302" i="23917"/>
  <c r="EF284" i="24050"/>
  <c r="FL290" i="23917"/>
  <c r="DR281" i="24050"/>
  <c r="EX287" i="23917"/>
  <c r="J23" i="24068"/>
  <c r="J24" i="24068" s="1"/>
  <c r="BN287" i="24050"/>
  <c r="BN288" i="24050" s="1"/>
  <c r="BN13" i="24050"/>
  <c r="CT293" i="23917"/>
  <c r="CT294" i="23917" s="1"/>
  <c r="AH287" i="24050"/>
  <c r="AH13" i="24050"/>
  <c r="BN293" i="23917"/>
  <c r="B287" i="24050"/>
  <c r="B13" i="24050"/>
  <c r="AH293" i="23917"/>
  <c r="DZ277" i="24050"/>
  <c r="FF283" i="23917"/>
  <c r="DO278" i="24050"/>
  <c r="EU284" i="23917"/>
  <c r="DD277" i="24050"/>
  <c r="EJ283" i="23917"/>
  <c r="DT275" i="24050"/>
  <c r="EZ281" i="23917"/>
  <c r="DX261" i="24050"/>
  <c r="FD267" i="23917"/>
  <c r="DV260" i="24050"/>
  <c r="FB266" i="23917"/>
  <c r="CX257" i="24050"/>
  <c r="ED263" i="23917"/>
  <c r="BK256" i="24050"/>
  <c r="CQ262" i="23917"/>
  <c r="AE256" i="24050"/>
  <c r="BK262" i="23917"/>
  <c r="BS255" i="24050"/>
  <c r="CY261" i="23917"/>
  <c r="AM255" i="24050"/>
  <c r="BS261" i="23917"/>
  <c r="G255" i="24050"/>
  <c r="AM261" i="23917"/>
  <c r="EA256" i="24050"/>
  <c r="FG262" i="23917"/>
  <c r="EA255" i="24050"/>
  <c r="FG261" i="23917"/>
  <c r="AO237" i="24050"/>
  <c r="BU243" i="23917"/>
  <c r="DU237" i="24050"/>
  <c r="FA243" i="23917"/>
  <c r="ED235" i="24050"/>
  <c r="FJ241" i="23917"/>
  <c r="Q17" i="24068"/>
  <c r="DT234" i="24050"/>
  <c r="EZ240" i="23917"/>
  <c r="AW94" i="24050"/>
  <c r="CC100" i="23917"/>
  <c r="Y77" i="24050"/>
  <c r="BE83" i="23917"/>
  <c r="AV75" i="24050"/>
  <c r="CB81" i="23917"/>
  <c r="Q81" i="23917"/>
  <c r="P81" i="23917"/>
  <c r="CO30" i="24050"/>
  <c r="DU38" i="23917"/>
  <c r="K367" i="24050"/>
  <c r="AQ373" i="23917"/>
  <c r="Q356" i="24050"/>
  <c r="AW362" i="23917"/>
  <c r="DK366" i="24050"/>
  <c r="EQ372" i="23917"/>
  <c r="EF390" i="24050"/>
  <c r="CR390" i="24050"/>
  <c r="CR387" i="24050"/>
  <c r="EF387" i="24050"/>
  <c r="EB387" i="24050"/>
  <c r="CN387" i="24050"/>
  <c r="DI395" i="24050"/>
  <c r="BU395" i="24050"/>
  <c r="DO383" i="24050"/>
  <c r="CA383" i="24050"/>
  <c r="CN383" i="24050"/>
  <c r="EB383" i="24050"/>
  <c r="DZ382" i="24050"/>
  <c r="CL382" i="24050"/>
  <c r="CK380" i="24050"/>
  <c r="DY380" i="24050"/>
  <c r="DE381" i="24050"/>
  <c r="BQ381" i="24050"/>
  <c r="AW333" i="24050"/>
  <c r="CC339" i="23917"/>
  <c r="BI332" i="24050"/>
  <c r="CO338" i="23917"/>
  <c r="AC332" i="24050"/>
  <c r="BI338" i="23917"/>
  <c r="EL318" i="24050"/>
  <c r="FR324" i="23917"/>
  <c r="C321" i="24050"/>
  <c r="AI327" i="23917"/>
  <c r="Q33" i="24068"/>
  <c r="AU297" i="24050"/>
  <c r="CA303" i="23917"/>
  <c r="CC296" i="24050"/>
  <c r="DI302" i="23917"/>
  <c r="Q296" i="24050"/>
  <c r="AW302" i="23917"/>
  <c r="DJ284" i="24050"/>
  <c r="EP290" i="23917"/>
  <c r="DO297" i="24050"/>
  <c r="EU303" i="23917"/>
  <c r="EA285" i="24050"/>
  <c r="FG291" i="23917"/>
  <c r="DS278" i="24050"/>
  <c r="EY284" i="23917"/>
  <c r="EF275" i="24050"/>
  <c r="FL281" i="23917"/>
  <c r="DX275" i="24050"/>
  <c r="FD281" i="23917"/>
  <c r="CC263" i="24050"/>
  <c r="DI269" i="23917"/>
  <c r="AO263" i="24050"/>
  <c r="BU269" i="23917"/>
  <c r="BU256" i="24050"/>
  <c r="DA262" i="23917"/>
  <c r="I256" i="24050"/>
  <c r="AO262" i="23917"/>
  <c r="BW255" i="24050"/>
  <c r="DC261" i="23917"/>
  <c r="K255" i="24050"/>
  <c r="AQ261" i="23917"/>
  <c r="DH237" i="24050"/>
  <c r="EN243" i="23917"/>
  <c r="BP257" i="24050"/>
  <c r="CV263" i="23917"/>
  <c r="EJ236" i="24050"/>
  <c r="FP242" i="23917"/>
  <c r="K243" i="23917"/>
  <c r="J243" i="23917"/>
  <c r="AK96" i="24050"/>
  <c r="BQ102" i="23917"/>
  <c r="B78" i="24050"/>
  <c r="AH84" i="23917"/>
  <c r="DN88" i="24050"/>
  <c r="DN76" i="24050"/>
  <c r="ET94" i="23917"/>
  <c r="ET82" i="23917"/>
  <c r="Q367" i="24050"/>
  <c r="AW373" i="23917"/>
  <c r="DR355" i="24050"/>
  <c r="EX361" i="23917"/>
  <c r="O356" i="24050"/>
  <c r="AU362" i="23917"/>
  <c r="DE367" i="24050"/>
  <c r="EK373" i="23917"/>
  <c r="DM367" i="24050"/>
  <c r="ES373" i="23917"/>
  <c r="T358" i="24050"/>
  <c r="AZ364" i="23917"/>
  <c r="DQ349" i="24050"/>
  <c r="EW355" i="23917"/>
  <c r="CS396" i="24050"/>
  <c r="EG396" i="24050"/>
  <c r="EA390" i="24050"/>
  <c r="CM390" i="24050"/>
  <c r="DG396" i="24050"/>
  <c r="BS396" i="24050"/>
  <c r="EL402" i="23917"/>
  <c r="EK402" i="23917"/>
  <c r="EP400" i="23917"/>
  <c r="EO400" i="23917"/>
  <c r="EV399" i="23917"/>
  <c r="EU399" i="23917"/>
  <c r="EL398" i="23917"/>
  <c r="EK398" i="23917"/>
  <c r="EU397" i="23917"/>
  <c r="CG403" i="23917"/>
  <c r="BA397" i="24050" s="1"/>
  <c r="CF403" i="23917"/>
  <c r="AZ397" i="24050" s="1"/>
  <c r="BY403" i="23917"/>
  <c r="AS397" i="24050" s="1"/>
  <c r="BX403" i="23917"/>
  <c r="AR397" i="24050" s="1"/>
  <c r="BI403" i="23917"/>
  <c r="AC397" i="24050" s="1"/>
  <c r="BH403" i="23917"/>
  <c r="AB397" i="24050" s="1"/>
  <c r="BS390" i="24050"/>
  <c r="DG390" i="24050"/>
  <c r="DI389" i="24050"/>
  <c r="BU389" i="24050"/>
  <c r="EL395" i="23917"/>
  <c r="EK395" i="23917"/>
  <c r="FP395" i="23917"/>
  <c r="FO395" i="23917"/>
  <c r="EG383" i="24050"/>
  <c r="CS383" i="24050"/>
  <c r="CQ382" i="24050"/>
  <c r="EE382" i="24050"/>
  <c r="EN388" i="23917"/>
  <c r="EM388" i="23917"/>
  <c r="DQ381" i="24050"/>
  <c r="CC381" i="24050"/>
  <c r="DT332" i="24050"/>
  <c r="EZ338" i="23917"/>
  <c r="BO332" i="24050"/>
  <c r="CU338" i="23917"/>
  <c r="AI332" i="24050"/>
  <c r="BO338" i="23917"/>
  <c r="CC321" i="24050"/>
  <c r="DI327" i="23917"/>
  <c r="EB318" i="24050"/>
  <c r="FH324" i="23917"/>
  <c r="DN311" i="24050"/>
  <c r="ET317" i="23917"/>
  <c r="CE297" i="24050"/>
  <c r="DK303" i="23917"/>
  <c r="S297" i="24050"/>
  <c r="AY303" i="23917"/>
  <c r="CG296" i="24050"/>
  <c r="DM302" i="23917"/>
  <c r="U296" i="24050"/>
  <c r="BA302" i="23917"/>
  <c r="K285" i="24050"/>
  <c r="AQ291" i="23917"/>
  <c r="ED284" i="24050"/>
  <c r="FJ290" i="23917"/>
  <c r="EE285" i="24050"/>
  <c r="FK291" i="23917"/>
  <c r="BV298" i="24050"/>
  <c r="DB304" i="23917"/>
  <c r="AP298" i="24050"/>
  <c r="BV304" i="23917"/>
  <c r="J298" i="24050"/>
  <c r="AP304" i="23917"/>
  <c r="DV276" i="24050"/>
  <c r="FB282" i="23917"/>
  <c r="DL275" i="24050"/>
  <c r="ER281" i="23917"/>
  <c r="DL263" i="24050"/>
  <c r="ER269" i="23917"/>
  <c r="CG263" i="24050"/>
  <c r="DM269" i="23917"/>
  <c r="S269" i="23917"/>
  <c r="R269" i="23917"/>
  <c r="CP256" i="24050"/>
  <c r="DV262" i="23917"/>
  <c r="AC256" i="24050"/>
  <c r="BI262" i="23917"/>
  <c r="AE255" i="24050"/>
  <c r="BK261" i="23917"/>
  <c r="D257" i="24050"/>
  <c r="AJ263" i="23917"/>
  <c r="EF240" i="24050"/>
  <c r="FL246" i="23917"/>
  <c r="BM237" i="24050"/>
  <c r="CS243" i="23917"/>
  <c r="DP236" i="24050"/>
  <c r="EV242" i="23917"/>
  <c r="EF234" i="24050"/>
  <c r="FL240" i="23917"/>
  <c r="DX234" i="24050"/>
  <c r="FD240" i="23917"/>
  <c r="U77" i="24050"/>
  <c r="BA83" i="23917"/>
  <c r="BD75" i="24050"/>
  <c r="CJ81" i="23917"/>
  <c r="Y81" i="23917"/>
  <c r="X81" i="23917"/>
  <c r="G367" i="24050"/>
  <c r="AM373" i="23917"/>
  <c r="DM368" i="24050"/>
  <c r="ES374" i="23917"/>
  <c r="M356" i="24050"/>
  <c r="AS362" i="23917"/>
  <c r="DH354" i="24050"/>
  <c r="EN360" i="23917"/>
  <c r="DG366" i="24050"/>
  <c r="EM372" i="23917"/>
  <c r="DV396" i="24050"/>
  <c r="CH396" i="24050"/>
  <c r="EH389" i="24050"/>
  <c r="CT389" i="24050"/>
  <c r="EF389" i="24050"/>
  <c r="CR389" i="24050"/>
  <c r="EB389" i="24050"/>
  <c r="CN389" i="24050"/>
  <c r="DX387" i="24050"/>
  <c r="CJ387" i="24050"/>
  <c r="CH15" i="24050"/>
  <c r="DN408" i="23917"/>
  <c r="DN409" i="23917" s="1"/>
  <c r="BZ15" i="24050"/>
  <c r="DF408" i="23917"/>
  <c r="DF409" i="23917" s="1"/>
  <c r="BR15" i="24050"/>
  <c r="CX408" i="23917"/>
  <c r="CX409" i="23917" s="1"/>
  <c r="BF15" i="24050"/>
  <c r="CL408" i="23917"/>
  <c r="DW383" i="24050"/>
  <c r="CI383" i="24050"/>
  <c r="CG382" i="24050"/>
  <c r="DU382" i="24050"/>
  <c r="CM384" i="24050"/>
  <c r="EA384" i="24050"/>
  <c r="EP387" i="23917"/>
  <c r="DO382" i="24050"/>
  <c r="CA382" i="24050"/>
  <c r="AM333" i="24050"/>
  <c r="BS339" i="23917"/>
  <c r="E333" i="24050"/>
  <c r="AK339" i="23917"/>
  <c r="BU296" i="24050"/>
  <c r="DA302" i="23917"/>
  <c r="I296" i="24050"/>
  <c r="AO302" i="23917"/>
  <c r="EG297" i="24050"/>
  <c r="FM303" i="23917"/>
  <c r="DV277" i="24050"/>
  <c r="FB283" i="23917"/>
  <c r="CS275" i="24050"/>
  <c r="DY281" i="23917"/>
  <c r="CI256" i="24050"/>
  <c r="DO262" i="23917"/>
  <c r="W256" i="24050"/>
  <c r="BC262" i="23917"/>
  <c r="BQ222" i="24050"/>
  <c r="CW228" i="23917"/>
  <c r="EF218" i="24050"/>
  <c r="FL224" i="23917"/>
  <c r="BK215" i="24050"/>
  <c r="CQ221" i="23917"/>
  <c r="AE215" i="24050"/>
  <c r="BK221" i="23917"/>
  <c r="BS214" i="24050"/>
  <c r="CY220" i="23917"/>
  <c r="AM214" i="24050"/>
  <c r="BS220" i="23917"/>
  <c r="G214" i="24050"/>
  <c r="AM220" i="23917"/>
  <c r="BM213" i="24050"/>
  <c r="CS219" i="23917"/>
  <c r="BA213" i="24050"/>
  <c r="CG219" i="23917"/>
  <c r="CG202" i="24050"/>
  <c r="DM208" i="23917"/>
  <c r="U202" i="24050"/>
  <c r="BA208" i="23917"/>
  <c r="CE195" i="24050"/>
  <c r="DK201" i="23917"/>
  <c r="AN204" i="24050"/>
  <c r="AN10" i="24050"/>
  <c r="BT210" i="23917"/>
  <c r="DT194" i="24050"/>
  <c r="EZ200" i="23917"/>
  <c r="DF180" i="24050"/>
  <c r="EL186" i="23917"/>
  <c r="C179" i="24050"/>
  <c r="AI185" i="23917"/>
  <c r="DV179" i="24050"/>
  <c r="FB185" i="23917"/>
  <c r="BP175" i="24050"/>
  <c r="CV181" i="23917"/>
  <c r="DH174" i="24050"/>
  <c r="EN180" i="23917"/>
  <c r="BU174" i="24050"/>
  <c r="DA180" i="23917"/>
  <c r="AE174" i="24050"/>
  <c r="BK180" i="23917"/>
  <c r="DF173" i="24050"/>
  <c r="EL179" i="23917"/>
  <c r="BQ173" i="24050"/>
  <c r="CW179" i="23917"/>
  <c r="AK173" i="24050"/>
  <c r="BQ179" i="23917"/>
  <c r="O173" i="24050"/>
  <c r="AU179" i="23917"/>
  <c r="DH155" i="24050"/>
  <c r="EN161" i="23917"/>
  <c r="CJ175" i="24050"/>
  <c r="DP181" i="23917"/>
  <c r="BY155" i="24050"/>
  <c r="DE161" i="23917"/>
  <c r="AX164" i="24050"/>
  <c r="AX165" i="24050" s="1"/>
  <c r="AX9" i="24050"/>
  <c r="CD170" i="23917"/>
  <c r="CD171" i="23917" s="1"/>
  <c r="AN175" i="24050"/>
  <c r="BT181" i="23917"/>
  <c r="AC155" i="24050"/>
  <c r="BI161" i="23917"/>
  <c r="EH154" i="24050"/>
  <c r="FN160" i="23917"/>
  <c r="C152" i="24050"/>
  <c r="AI158" i="23917"/>
  <c r="CJ140" i="24050"/>
  <c r="DP146" i="23917"/>
  <c r="BD140" i="24050"/>
  <c r="CJ146" i="23917"/>
  <c r="CO139" i="24050"/>
  <c r="DU145" i="23917"/>
  <c r="EC139" i="24050"/>
  <c r="FI145" i="23917"/>
  <c r="AS139" i="24050"/>
  <c r="BY145" i="23917"/>
  <c r="Q139" i="24050"/>
  <c r="AW145" i="23917"/>
  <c r="DT137" i="24050"/>
  <c r="EZ143" i="23917"/>
  <c r="CO136" i="24050"/>
  <c r="DU142" i="23917"/>
  <c r="BI136" i="24050"/>
  <c r="CO142" i="23917"/>
  <c r="AA136" i="24050"/>
  <c r="BG142" i="23917"/>
  <c r="DR134" i="24050"/>
  <c r="EX140" i="23917"/>
  <c r="CG119" i="24050"/>
  <c r="DM125" i="23917"/>
  <c r="BG112" i="24050"/>
  <c r="CM118" i="23917"/>
  <c r="BA139" i="24050"/>
  <c r="CG145" i="23917"/>
  <c r="AK139" i="24050"/>
  <c r="BQ145" i="23917"/>
  <c r="K139" i="24050"/>
  <c r="AQ145" i="23917"/>
  <c r="AK136" i="24050"/>
  <c r="BQ142" i="23917"/>
  <c r="DT134" i="24050"/>
  <c r="EZ140" i="23917"/>
  <c r="DT115" i="24050"/>
  <c r="EZ121" i="23917"/>
  <c r="AO112" i="24050"/>
  <c r="BU118" i="23917"/>
  <c r="DV109" i="24050"/>
  <c r="FB115" i="23917"/>
  <c r="S214" i="24050"/>
  <c r="AY220" i="23917"/>
  <c r="EF192" i="24050"/>
  <c r="FL198" i="23917"/>
  <c r="CQ173" i="24050"/>
  <c r="DW179" i="23917"/>
  <c r="AG160" i="23917"/>
  <c r="X160" i="23917"/>
  <c r="Y160" i="23917"/>
  <c r="DI131" i="24050"/>
  <c r="EO137" i="23917"/>
  <c r="DF317" i="24050"/>
  <c r="EL323" i="23917"/>
  <c r="CV298" i="24050"/>
  <c r="EB304" i="23917"/>
  <c r="AM297" i="24050"/>
  <c r="BS303" i="23917"/>
  <c r="DQ297" i="24050"/>
  <c r="EW303" i="23917"/>
  <c r="S26" i="24068"/>
  <c r="BK278" i="24050"/>
  <c r="CQ284" i="23917"/>
  <c r="EB277" i="24050"/>
  <c r="FH283" i="23917"/>
  <c r="DH277" i="24050"/>
  <c r="EN283" i="23917"/>
  <c r="CU277" i="24050"/>
  <c r="EA283" i="23917"/>
  <c r="E263" i="24050"/>
  <c r="AK269" i="23917"/>
  <c r="DZ261" i="24050"/>
  <c r="FF267" i="23917"/>
  <c r="CK255" i="24050"/>
  <c r="DQ261" i="23917"/>
  <c r="AY255" i="24050"/>
  <c r="CE261" i="23917"/>
  <c r="E255" i="24050"/>
  <c r="AK261" i="23917"/>
  <c r="DF237" i="24050"/>
  <c r="EL243" i="23917"/>
  <c r="EF236" i="24050"/>
  <c r="FL242" i="23917"/>
  <c r="DZ221" i="24050"/>
  <c r="FF227" i="23917"/>
  <c r="DH219" i="24050"/>
  <c r="EN225" i="23917"/>
  <c r="DV220" i="24050"/>
  <c r="FB226" i="23917"/>
  <c r="E215" i="24050"/>
  <c r="AK221" i="23917"/>
  <c r="AO213" i="24050"/>
  <c r="BU219" i="23917"/>
  <c r="G213" i="24050"/>
  <c r="AM219" i="23917"/>
  <c r="BU202" i="24050"/>
  <c r="DA208" i="23917"/>
  <c r="AO202" i="24050"/>
  <c r="BU208" i="23917"/>
  <c r="ED201" i="24050"/>
  <c r="FJ207" i="23917"/>
  <c r="EH198" i="24050"/>
  <c r="FN204" i="23917"/>
  <c r="CJ204" i="24050"/>
  <c r="CJ205" i="24050" s="1"/>
  <c r="CJ10" i="24050"/>
  <c r="DP210" i="23917"/>
  <c r="DP211" i="23917" s="1"/>
  <c r="BO195" i="24050"/>
  <c r="CU201" i="23917"/>
  <c r="P204" i="24050"/>
  <c r="P10" i="24050"/>
  <c r="AV210" i="23917"/>
  <c r="DP194" i="24050"/>
  <c r="EV200" i="23917"/>
  <c r="Y198" i="23917"/>
  <c r="X198" i="23917"/>
  <c r="G180" i="24050"/>
  <c r="AM186" i="23917"/>
  <c r="AB175" i="24050"/>
  <c r="BH181" i="23917"/>
  <c r="CA174" i="24050"/>
  <c r="DG180" i="23917"/>
  <c r="AQ174" i="24050"/>
  <c r="BW180" i="23917"/>
  <c r="W174" i="24050"/>
  <c r="BC180" i="23917"/>
  <c r="BO173" i="24050"/>
  <c r="CU179" i="23917"/>
  <c r="AI173" i="24050"/>
  <c r="BO179" i="23917"/>
  <c r="M162" i="24050"/>
  <c r="AS168" i="23917"/>
  <c r="DQ155" i="24050"/>
  <c r="EW161" i="23917"/>
  <c r="BM155" i="24050"/>
  <c r="CS161" i="23917"/>
  <c r="DL154" i="24050"/>
  <c r="ER160" i="23917"/>
  <c r="EF152" i="24050"/>
  <c r="FL158" i="23917"/>
  <c r="CS152" i="24050"/>
  <c r="DY158" i="23917"/>
  <c r="BY140" i="24050"/>
  <c r="DE146" i="23917"/>
  <c r="P140" i="24050"/>
  <c r="AV146" i="23917"/>
  <c r="ED138" i="24050"/>
  <c r="FJ144" i="23917"/>
  <c r="EB134" i="24050"/>
  <c r="FH140" i="23917"/>
  <c r="CN121" i="24050"/>
  <c r="CN122" i="24050" s="1"/>
  <c r="CN8" i="24050"/>
  <c r="DT127" i="23917"/>
  <c r="DT128" i="23917" s="1"/>
  <c r="EG130" i="24050"/>
  <c r="FM136" i="23917"/>
  <c r="BO130" i="24050"/>
  <c r="CU136" i="23917"/>
  <c r="AI130" i="24050"/>
  <c r="BO136" i="23917"/>
  <c r="EE112" i="24050"/>
  <c r="FK118" i="23917"/>
  <c r="CL121" i="24050"/>
  <c r="CL122" i="24050" s="1"/>
  <c r="CL8" i="24050"/>
  <c r="DR127" i="23917"/>
  <c r="DR128" i="23917" s="1"/>
  <c r="AU112" i="24050"/>
  <c r="CA118" i="23917"/>
  <c r="E112" i="24050"/>
  <c r="AK118" i="23917"/>
  <c r="DY136" i="24050"/>
  <c r="FE142" i="23917"/>
  <c r="DX135" i="24050"/>
  <c r="FD141" i="23917"/>
  <c r="CQ110" i="24050"/>
  <c r="DW116" i="23917"/>
  <c r="CN204" i="24050"/>
  <c r="CN205" i="24050" s="1"/>
  <c r="CN10" i="24050"/>
  <c r="DT210" i="23917"/>
  <c r="DT211" i="23917" s="1"/>
  <c r="U162" i="24050"/>
  <c r="BA168" i="23917"/>
  <c r="AK75" i="24050"/>
  <c r="BQ81" i="23917"/>
  <c r="AG333" i="24050"/>
  <c r="BM339" i="23917"/>
  <c r="BU332" i="24050"/>
  <c r="DA338" i="23917"/>
  <c r="AO332" i="24050"/>
  <c r="BU338" i="23917"/>
  <c r="G332" i="24050"/>
  <c r="AM338" i="23917"/>
  <c r="AO321" i="24050"/>
  <c r="BU327" i="23917"/>
  <c r="Y296" i="24050"/>
  <c r="BE302" i="23917"/>
  <c r="DI285" i="24050"/>
  <c r="EO291" i="23917"/>
  <c r="EH261" i="24050"/>
  <c r="FN267" i="23917"/>
  <c r="DF256" i="24050"/>
  <c r="EL262" i="23917"/>
  <c r="AG256" i="24050"/>
  <c r="BM262" i="23917"/>
  <c r="DM256" i="24050"/>
  <c r="ES262" i="23917"/>
  <c r="BG237" i="24050"/>
  <c r="CM243" i="23917"/>
  <c r="CK222" i="24050"/>
  <c r="DQ228" i="23917"/>
  <c r="BY222" i="24050"/>
  <c r="DE228" i="23917"/>
  <c r="CW214" i="24050"/>
  <c r="EC220" i="23917"/>
  <c r="AW215" i="24050"/>
  <c r="CC221" i="23917"/>
  <c r="AO214" i="24050"/>
  <c r="BU220" i="23917"/>
  <c r="CE213" i="24050"/>
  <c r="DK219" i="23917"/>
  <c r="Y213" i="24050"/>
  <c r="BE219" i="23917"/>
  <c r="DZ200" i="24050"/>
  <c r="FF206" i="23917"/>
  <c r="DW214" i="24050"/>
  <c r="FC220" i="23917"/>
  <c r="DU213" i="24050"/>
  <c r="FA219" i="23917"/>
  <c r="CI195" i="24050"/>
  <c r="DO201" i="23917"/>
  <c r="AJ204" i="24050"/>
  <c r="AJ10" i="24050"/>
  <c r="BP210" i="23917"/>
  <c r="T210" i="23917"/>
  <c r="DZ192" i="24050"/>
  <c r="FF198" i="23917"/>
  <c r="DF174" i="24050"/>
  <c r="EL180" i="23917"/>
  <c r="BM174" i="24050"/>
  <c r="CS180" i="23917"/>
  <c r="DF162" i="24050"/>
  <c r="EL168" i="23917"/>
  <c r="C161" i="24050"/>
  <c r="AI167" i="23917"/>
  <c r="DM155" i="24050"/>
  <c r="ES161" i="23917"/>
  <c r="AP164" i="24050"/>
  <c r="AP165" i="24050" s="1"/>
  <c r="AP9" i="24050"/>
  <c r="BV170" i="23917"/>
  <c r="BV171" i="23917" s="1"/>
  <c r="AF175" i="24050"/>
  <c r="BL181" i="23917"/>
  <c r="CW154" i="24050"/>
  <c r="EC160" i="23917"/>
  <c r="AC75" i="24050"/>
  <c r="BI81" i="23917"/>
  <c r="CI297" i="24050"/>
  <c r="DO303" i="23917"/>
  <c r="W297" i="24050"/>
  <c r="BC303" i="23917"/>
  <c r="DX284" i="24050"/>
  <c r="FD290" i="23917"/>
  <c r="DG297" i="24050"/>
  <c r="EM303" i="23917"/>
  <c r="AO278" i="24050"/>
  <c r="BU284" i="23917"/>
  <c r="N298" i="24050"/>
  <c r="AT304" i="23917"/>
  <c r="BO255" i="24050"/>
  <c r="CU261" i="23917"/>
  <c r="BT257" i="24050"/>
  <c r="CZ263" i="23917"/>
  <c r="DK235" i="24050"/>
  <c r="EQ241" i="23917"/>
  <c r="BC222" i="24050"/>
  <c r="CI228" i="23917"/>
  <c r="K222" i="24050"/>
  <c r="AQ228" i="23917"/>
  <c r="DS222" i="24050"/>
  <c r="EY228" i="23917"/>
  <c r="EC214" i="24050"/>
  <c r="FI220" i="23917"/>
  <c r="BW215" i="24050"/>
  <c r="DC221" i="23917"/>
  <c r="K215" i="24050"/>
  <c r="AQ221" i="23917"/>
  <c r="BO214" i="24050"/>
  <c r="CU220" i="23917"/>
  <c r="AI214" i="24050"/>
  <c r="BO220" i="23917"/>
  <c r="BY213" i="24050"/>
  <c r="DE219" i="23917"/>
  <c r="BG213" i="24050"/>
  <c r="CM219" i="23917"/>
  <c r="I213" i="24050"/>
  <c r="AO219" i="23917"/>
  <c r="EE213" i="24050"/>
  <c r="FK219" i="23917"/>
  <c r="BK195" i="24050"/>
  <c r="CQ201" i="23917"/>
  <c r="C158" i="24050"/>
  <c r="AI164" i="23917"/>
  <c r="BX131" i="24050"/>
  <c r="DD137" i="23917"/>
  <c r="EJ152" i="24050"/>
  <c r="FP158" i="23917"/>
  <c r="CO96" i="24050"/>
  <c r="DU102" i="23917"/>
  <c r="CK94" i="24050"/>
  <c r="DQ100" i="23917"/>
  <c r="AH84" i="24050"/>
  <c r="BN90" i="23917"/>
  <c r="S88" i="23917"/>
  <c r="R88" i="23917"/>
  <c r="DT89" i="24050"/>
  <c r="EZ95" i="23917"/>
  <c r="BH77" i="24050"/>
  <c r="CN83" i="23917"/>
  <c r="AL84" i="24050"/>
  <c r="BR90" i="23917"/>
  <c r="L82" i="24050"/>
  <c r="AR88" i="23917"/>
  <c r="AC88" i="23917"/>
  <c r="AB88" i="23917"/>
  <c r="M87" i="23917"/>
  <c r="L87" i="23917"/>
  <c r="DG77" i="24050"/>
  <c r="EM83" i="23917"/>
  <c r="DW93" i="24050"/>
  <c r="FC99" i="23917"/>
  <c r="DG93" i="24050"/>
  <c r="EM99" i="23917"/>
  <c r="DC94" i="24050"/>
  <c r="EI100" i="23917"/>
  <c r="BZ82" i="24050"/>
  <c r="DF88" i="23917"/>
  <c r="D79" i="24050"/>
  <c r="AJ85" i="23917"/>
  <c r="U90" i="23917"/>
  <c r="T90" i="23917"/>
  <c r="EC77" i="24050"/>
  <c r="FI83" i="23917"/>
  <c r="EG96" i="24050"/>
  <c r="FM102" i="23917"/>
  <c r="DU94" i="24050"/>
  <c r="FA100" i="23917"/>
  <c r="DE94" i="24050"/>
  <c r="EK100" i="23917"/>
  <c r="AV84" i="24050"/>
  <c r="CB90" i="23917"/>
  <c r="AG90" i="23917"/>
  <c r="AF90" i="23917"/>
  <c r="Z82" i="24050"/>
  <c r="BF88" i="23917"/>
  <c r="BE77" i="24050"/>
  <c r="CK83" i="23917"/>
  <c r="BD78" i="24050"/>
  <c r="CJ84" i="23917"/>
  <c r="AZ90" i="24050"/>
  <c r="CF96" i="23917"/>
  <c r="AN91" i="24050"/>
  <c r="BT97" i="23917"/>
  <c r="AF90" i="24050"/>
  <c r="BL96" i="23917"/>
  <c r="P78" i="24050"/>
  <c r="AV84" i="23917"/>
  <c r="H78" i="24050"/>
  <c r="AN84" i="23917"/>
  <c r="CC93" i="24050"/>
  <c r="DI99" i="23917"/>
  <c r="AO93" i="24050"/>
  <c r="BU99" i="23917"/>
  <c r="DE91" i="24050"/>
  <c r="EK97" i="23917"/>
  <c r="BG88" i="24050"/>
  <c r="BG76" i="24050"/>
  <c r="CM94" i="23917"/>
  <c r="CM82" i="23917"/>
  <c r="W88" i="24050"/>
  <c r="W76" i="24050"/>
  <c r="BC94" i="23917"/>
  <c r="BC82" i="23917"/>
  <c r="BZ78" i="24050"/>
  <c r="DF84" i="23917"/>
  <c r="BN92" i="24050"/>
  <c r="CT98" i="23917"/>
  <c r="BJ91" i="24050"/>
  <c r="CP97" i="23917"/>
  <c r="BF92" i="24050"/>
  <c r="CL98" i="23917"/>
  <c r="BB90" i="24050"/>
  <c r="CH96" i="23917"/>
  <c r="AX92" i="24050"/>
  <c r="CD98" i="23917"/>
  <c r="AP78" i="24050"/>
  <c r="BV84" i="23917"/>
  <c r="AL90" i="24050"/>
  <c r="BR96" i="23917"/>
  <c r="AD78" i="24050"/>
  <c r="BJ84" i="23917"/>
  <c r="Z80" i="24050"/>
  <c r="BF86" i="23917"/>
  <c r="J79" i="24050"/>
  <c r="AP85" i="23917"/>
  <c r="CA93" i="24050"/>
  <c r="DG99" i="23917"/>
  <c r="AQ93" i="24050"/>
  <c r="BW99" i="23917"/>
  <c r="K93" i="24050"/>
  <c r="AQ99" i="23917"/>
  <c r="BR75" i="24050"/>
  <c r="CX81" i="23917"/>
  <c r="V75" i="24050"/>
  <c r="BB81" i="23917"/>
  <c r="F81" i="23917"/>
  <c r="S98" i="23917"/>
  <c r="R98" i="23917"/>
  <c r="K77" i="24050"/>
  <c r="AQ83" i="23917"/>
  <c r="EB87" i="24050"/>
  <c r="FH93" i="23917"/>
  <c r="DL87" i="24050"/>
  <c r="ER93" i="23917"/>
  <c r="DT58" i="24050"/>
  <c r="EZ65" i="23917"/>
  <c r="AJ30" i="24050"/>
  <c r="BP38" i="23917"/>
  <c r="DN59" i="24050"/>
  <c r="DN24" i="24050"/>
  <c r="ET27" i="23917"/>
  <c r="ET66" i="23917"/>
  <c r="AQ30" i="24050"/>
  <c r="BW38" i="23917"/>
  <c r="C30" i="24050"/>
  <c r="AI38" i="23917"/>
  <c r="DV44" i="24050"/>
  <c r="FB52" i="23917"/>
  <c r="CT44" i="24050"/>
  <c r="DZ52" i="23917"/>
  <c r="BE30" i="24050"/>
  <c r="CK38" i="23917"/>
  <c r="CY30" i="24050"/>
  <c r="EE38" i="23917"/>
  <c r="DP19" i="24050"/>
  <c r="EV22" i="23917"/>
  <c r="DG19" i="24050"/>
  <c r="EM22" i="23917"/>
  <c r="Q31" i="24050"/>
  <c r="AW39" i="23917"/>
  <c r="CX20" i="24050"/>
  <c r="ED23" i="23917"/>
  <c r="DD30" i="24050"/>
  <c r="EJ38" i="23917"/>
  <c r="EE31" i="24050"/>
  <c r="FK39" i="23917"/>
  <c r="EA31" i="24050"/>
  <c r="FG39" i="23917"/>
  <c r="AQ31" i="24050"/>
  <c r="BW39" i="23917"/>
  <c r="CA94" i="24050"/>
  <c r="DG100" i="23917"/>
  <c r="CE77" i="24050"/>
  <c r="DK83" i="23917"/>
  <c r="AI77" i="24050"/>
  <c r="BO83" i="23917"/>
  <c r="M77" i="24050"/>
  <c r="AS83" i="23917"/>
  <c r="B82" i="24050"/>
  <c r="AH88" i="23917"/>
  <c r="DP89" i="24050"/>
  <c r="EV95" i="23917"/>
  <c r="BC77" i="24050"/>
  <c r="CI83" i="23917"/>
  <c r="AR77" i="24050"/>
  <c r="BX83" i="23917"/>
  <c r="L84" i="24050"/>
  <c r="AR90" i="23917"/>
  <c r="AC90" i="23917"/>
  <c r="AB90" i="23917"/>
  <c r="M85" i="23917"/>
  <c r="L85" i="23917"/>
  <c r="DC77" i="24050"/>
  <c r="EI83" i="23917"/>
  <c r="DS96" i="24050"/>
  <c r="EY102" i="23917"/>
  <c r="DG94" i="24050"/>
  <c r="EM100" i="23917"/>
  <c r="BJ84" i="24050"/>
  <c r="CP90" i="23917"/>
  <c r="T84" i="24050"/>
  <c r="AZ90" i="23917"/>
  <c r="DY77" i="24050"/>
  <c r="FE83" i="23917"/>
  <c r="DU96" i="24050"/>
  <c r="FA102" i="23917"/>
  <c r="AW77" i="24050"/>
  <c r="CC83" i="23917"/>
  <c r="AG84" i="23917"/>
  <c r="AF84" i="23917"/>
  <c r="DY95" i="24050"/>
  <c r="FE101" i="23917"/>
  <c r="Z84" i="24050"/>
  <c r="BF90" i="23917"/>
  <c r="CN78" i="24050"/>
  <c r="DT84" i="23917"/>
  <c r="CJ79" i="24050"/>
  <c r="DP85" i="23917"/>
  <c r="CB91" i="24050"/>
  <c r="DH97" i="23917"/>
  <c r="BP90" i="24050"/>
  <c r="CV96" i="23917"/>
  <c r="BH91" i="24050"/>
  <c r="CN97" i="23917"/>
  <c r="AR91" i="24050"/>
  <c r="BX97" i="23917"/>
  <c r="AF79" i="24050"/>
  <c r="BL85" i="23917"/>
  <c r="P79" i="24050"/>
  <c r="AV85" i="23917"/>
  <c r="BI93" i="24050"/>
  <c r="CO99" i="23917"/>
  <c r="U93" i="24050"/>
  <c r="BA99" i="23917"/>
  <c r="CE88" i="24050"/>
  <c r="CE76" i="24050"/>
  <c r="DK94" i="23917"/>
  <c r="DK82" i="23917"/>
  <c r="AQ88" i="24050"/>
  <c r="AQ76" i="24050"/>
  <c r="BW94" i="23917"/>
  <c r="BW82" i="23917"/>
  <c r="CD80" i="24050"/>
  <c r="DJ86" i="23917"/>
  <c r="BZ92" i="24050"/>
  <c r="DF98" i="23917"/>
  <c r="BV91" i="24050"/>
  <c r="DB97" i="23917"/>
  <c r="BN80" i="24050"/>
  <c r="CT86" i="23917"/>
  <c r="BJ80" i="24050"/>
  <c r="CP86" i="23917"/>
  <c r="BF91" i="24050"/>
  <c r="CL97" i="23917"/>
  <c r="AX80" i="24050"/>
  <c r="CD86" i="23917"/>
  <c r="AT92" i="24050"/>
  <c r="BZ98" i="23917"/>
  <c r="AL80" i="24050"/>
  <c r="BR86" i="23917"/>
  <c r="AH92" i="24050"/>
  <c r="BN98" i="23917"/>
  <c r="Z91" i="24050"/>
  <c r="BF97" i="23917"/>
  <c r="N78" i="24050"/>
  <c r="AT84" i="23917"/>
  <c r="J90" i="24050"/>
  <c r="AP96" i="23917"/>
  <c r="BW93" i="24050"/>
  <c r="DC99" i="23917"/>
  <c r="AM93" i="24050"/>
  <c r="BS99" i="23917"/>
  <c r="G93" i="24050"/>
  <c r="AM99" i="23917"/>
  <c r="CD75" i="24050"/>
  <c r="DJ81" i="23917"/>
  <c r="AH75" i="24050"/>
  <c r="BN81" i="23917"/>
  <c r="B80" i="24050"/>
  <c r="AH86" i="23917"/>
  <c r="CR87" i="24050"/>
  <c r="DX93" i="23917"/>
  <c r="EF58" i="24050"/>
  <c r="FL65" i="23917"/>
  <c r="DL58" i="24050"/>
  <c r="ER65" i="23917"/>
  <c r="DR44" i="24050"/>
  <c r="EX52" i="23917"/>
  <c r="DF44" i="24050"/>
  <c r="EL52" i="23917"/>
  <c r="AY31" i="24050"/>
  <c r="CE39" i="23917"/>
  <c r="DI31" i="24050"/>
  <c r="EO39" i="23917"/>
  <c r="G19" i="24050"/>
  <c r="AM22" i="23917"/>
  <c r="DC19" i="24050"/>
  <c r="EI22" i="23917"/>
  <c r="Q19" i="24050"/>
  <c r="AW22" i="23917"/>
  <c r="EB59" i="24050"/>
  <c r="EB24" i="24050"/>
  <c r="FH66" i="23917"/>
  <c r="FH27" i="23917"/>
  <c r="EH58" i="24050"/>
  <c r="FN65" i="23917"/>
  <c r="EI30" i="24050"/>
  <c r="FO38" i="23917"/>
  <c r="DW30" i="24050"/>
  <c r="FC38" i="23917"/>
  <c r="K349" i="24050"/>
  <c r="AQ355" i="23917"/>
  <c r="CJ388" i="24050"/>
  <c r="DX388" i="24050"/>
  <c r="FD396" i="23917"/>
  <c r="FC396" i="23917"/>
  <c r="CF381" i="24050"/>
  <c r="DT381" i="24050"/>
  <c r="DY397" i="24050"/>
  <c r="CK397" i="24050"/>
  <c r="FP397" i="23917"/>
  <c r="FO397" i="23917"/>
  <c r="CC387" i="24050"/>
  <c r="DQ387" i="24050"/>
  <c r="C340" i="23917"/>
  <c r="B340" i="23917"/>
  <c r="DY321" i="24050"/>
  <c r="FE327" i="23917"/>
  <c r="BI320" i="24050"/>
  <c r="CO326" i="23917"/>
  <c r="K316" i="24050"/>
  <c r="AQ322" i="23917"/>
  <c r="DZ316" i="24050"/>
  <c r="FF322" i="23917"/>
  <c r="AI313" i="24050"/>
  <c r="BO319" i="23917"/>
  <c r="DH349" i="24050"/>
  <c r="EN355" i="23917"/>
  <c r="DH388" i="24050"/>
  <c r="BT388" i="24050"/>
  <c r="G321" i="24050"/>
  <c r="AM327" i="23917"/>
  <c r="AJ334" i="24050"/>
  <c r="BP340" i="23917"/>
  <c r="CO313" i="24050"/>
  <c r="DU319" i="23917"/>
  <c r="BI313" i="24050"/>
  <c r="CO319" i="23917"/>
  <c r="Y311" i="24050"/>
  <c r="BE317" i="23917"/>
  <c r="DF310" i="24050"/>
  <c r="EL316" i="23917"/>
  <c r="EB281" i="24050"/>
  <c r="FH287" i="23917"/>
  <c r="DL366" i="24050"/>
  <c r="ER372" i="23917"/>
  <c r="DH394" i="24050"/>
  <c r="BT394" i="24050"/>
  <c r="BY15" i="24050"/>
  <c r="DE408" i="23917"/>
  <c r="ED384" i="24050"/>
  <c r="CP384" i="24050"/>
  <c r="CE320" i="24050"/>
  <c r="DK326" i="23917"/>
  <c r="EE320" i="24050"/>
  <c r="FK326" i="23917"/>
  <c r="R321" i="24050"/>
  <c r="AX327" i="23917"/>
  <c r="DR318" i="24050"/>
  <c r="EX324" i="23917"/>
  <c r="O323" i="24050"/>
  <c r="O14" i="24050"/>
  <c r="AU329" i="23917"/>
  <c r="EB310" i="24050"/>
  <c r="FH316" i="23917"/>
  <c r="L23" i="24068"/>
  <c r="L24" i="24068" s="1"/>
  <c r="BR287" i="24050"/>
  <c r="BR288" i="24050" s="1"/>
  <c r="BR13" i="24050"/>
  <c r="CX293" i="23917"/>
  <c r="CX294" i="23917" s="1"/>
  <c r="S18" i="24068"/>
  <c r="EE263" i="24050"/>
  <c r="FK269" i="23917"/>
  <c r="AZ257" i="24050"/>
  <c r="CF263" i="23917"/>
  <c r="AJ257" i="24050"/>
  <c r="BP263" i="23917"/>
  <c r="CD244" i="24050"/>
  <c r="DJ250" i="23917"/>
  <c r="AH244" i="24050"/>
  <c r="BN250" i="23917"/>
  <c r="EG244" i="24050"/>
  <c r="FM250" i="23917"/>
  <c r="DQ244" i="24050"/>
  <c r="EW250" i="23917"/>
  <c r="DO242" i="24050"/>
  <c r="EU248" i="23917"/>
  <c r="T237" i="24050"/>
  <c r="AZ243" i="23917"/>
  <c r="C14" i="24068"/>
  <c r="AZ246" i="24050"/>
  <c r="AZ247" i="24050" s="1"/>
  <c r="AZ12" i="24050"/>
  <c r="CF252" i="23917"/>
  <c r="CF253" i="23917" s="1"/>
  <c r="DN3" i="24050"/>
  <c r="ET3" i="23917"/>
  <c r="DP3" i="24050"/>
  <c r="EV3" i="23917"/>
  <c r="CE94" i="24050"/>
  <c r="DK100" i="23917"/>
  <c r="BU96" i="24050"/>
  <c r="DA102" i="23917"/>
  <c r="AU94" i="24050"/>
  <c r="CA100" i="23917"/>
  <c r="X82" i="24050"/>
  <c r="BD88" i="23917"/>
  <c r="H82" i="24050"/>
  <c r="AN88" i="23917"/>
  <c r="Y90" i="23917"/>
  <c r="X90" i="23917"/>
  <c r="BA89" i="24050"/>
  <c r="CG95" i="23917"/>
  <c r="DX89" i="24050"/>
  <c r="FD95" i="23917"/>
  <c r="DH89" i="24050"/>
  <c r="EN95" i="23917"/>
  <c r="CI77" i="24050"/>
  <c r="DO83" i="23917"/>
  <c r="BX77" i="24050"/>
  <c r="DD83" i="23917"/>
  <c r="AB84" i="24050"/>
  <c r="BH90" i="23917"/>
  <c r="V84" i="24050"/>
  <c r="BB90" i="23917"/>
  <c r="F78" i="24050"/>
  <c r="AL84" i="23917"/>
  <c r="W84" i="23917"/>
  <c r="V84" i="23917"/>
  <c r="W90" i="23917"/>
  <c r="V90" i="23917"/>
  <c r="M88" i="23917"/>
  <c r="L88" i="23917"/>
  <c r="AR93" i="24050"/>
  <c r="BX99" i="23917"/>
  <c r="EA77" i="24050"/>
  <c r="FG83" i="23917"/>
  <c r="DK77" i="24050"/>
  <c r="EQ83" i="23917"/>
  <c r="EE94" i="24050"/>
  <c r="FK100" i="23917"/>
  <c r="EA96" i="24050"/>
  <c r="FG102" i="23917"/>
  <c r="DS93" i="24050"/>
  <c r="EY99" i="23917"/>
  <c r="DO94" i="24050"/>
  <c r="EU100" i="23917"/>
  <c r="DK96" i="24050"/>
  <c r="EQ102" i="23917"/>
  <c r="BK77" i="24050"/>
  <c r="CQ83" i="23917"/>
  <c r="AU77" i="24050"/>
  <c r="CA83" i="23917"/>
  <c r="AE77" i="24050"/>
  <c r="BK83" i="23917"/>
  <c r="T81" i="24050"/>
  <c r="AZ87" i="23917"/>
  <c r="D78" i="24050"/>
  <c r="AJ84" i="23917"/>
  <c r="D84" i="24050"/>
  <c r="AJ90" i="23917"/>
  <c r="EG77" i="24050"/>
  <c r="FM83" i="23917"/>
  <c r="DQ77" i="24050"/>
  <c r="EW83" i="23917"/>
  <c r="EG94" i="24050"/>
  <c r="FM100" i="23917"/>
  <c r="EC96" i="24050"/>
  <c r="FI102" i="23917"/>
  <c r="DY93" i="24050"/>
  <c r="FE99" i="23917"/>
  <c r="DQ94" i="24050"/>
  <c r="EW100" i="23917"/>
  <c r="DM96" i="24050"/>
  <c r="ES102" i="23917"/>
  <c r="DI93" i="24050"/>
  <c r="EO99" i="23917"/>
  <c r="BF82" i="24050"/>
  <c r="CL88" i="23917"/>
  <c r="AV82" i="24050"/>
  <c r="CB88" i="23917"/>
  <c r="DL88" i="24050"/>
  <c r="DL76" i="24050"/>
  <c r="ER94" i="23917"/>
  <c r="ER82" i="23917"/>
  <c r="DY75" i="24050"/>
  <c r="FE81" i="23917"/>
  <c r="DI75" i="24050"/>
  <c r="EO81" i="23917"/>
  <c r="CJ82" i="24050"/>
  <c r="DP88" i="23917"/>
  <c r="BT82" i="24050"/>
  <c r="CZ88" i="23917"/>
  <c r="BD82" i="24050"/>
  <c r="CJ88" i="23917"/>
  <c r="AN84" i="24050"/>
  <c r="BT90" i="23917"/>
  <c r="EE76" i="24050"/>
  <c r="EE88" i="24050"/>
  <c r="FK94" i="23917"/>
  <c r="FK82" i="23917"/>
  <c r="DO76" i="24050"/>
  <c r="DO88" i="24050"/>
  <c r="EU94" i="23917"/>
  <c r="EU82" i="23917"/>
  <c r="DK92" i="24050"/>
  <c r="EQ98" i="23917"/>
  <c r="DC90" i="24050"/>
  <c r="EI96" i="23917"/>
  <c r="CN79" i="24050"/>
  <c r="DT85" i="23917"/>
  <c r="CJ78" i="24050"/>
  <c r="DP84" i="23917"/>
  <c r="CJ90" i="24050"/>
  <c r="DP96" i="23917"/>
  <c r="CB78" i="24050"/>
  <c r="DH84" i="23917"/>
  <c r="BT78" i="24050"/>
  <c r="CZ84" i="23917"/>
  <c r="BT90" i="24050"/>
  <c r="CZ96" i="23917"/>
  <c r="BL90" i="24050"/>
  <c r="CR96" i="23917"/>
  <c r="BD91" i="24050"/>
  <c r="CJ97" i="23917"/>
  <c r="AZ91" i="24050"/>
  <c r="CF97" i="23917"/>
  <c r="AV79" i="24050"/>
  <c r="CB85" i="23917"/>
  <c r="AN79" i="24050"/>
  <c r="BT85" i="23917"/>
  <c r="X78" i="24050"/>
  <c r="BD84" i="23917"/>
  <c r="T79" i="24050"/>
  <c r="AZ85" i="23917"/>
  <c r="H79" i="24050"/>
  <c r="AN85" i="23917"/>
  <c r="AG98" i="23917"/>
  <c r="AF98" i="23917"/>
  <c r="I86" i="23917"/>
  <c r="H86" i="23917"/>
  <c r="CG93" i="24050"/>
  <c r="DM99" i="23917"/>
  <c r="BQ93" i="24050"/>
  <c r="CW99" i="23917"/>
  <c r="AW93" i="24050"/>
  <c r="CC99" i="23917"/>
  <c r="AC93" i="24050"/>
  <c r="BI99" i="23917"/>
  <c r="M93" i="24050"/>
  <c r="AS99" i="23917"/>
  <c r="BV82" i="24050"/>
  <c r="DB88" i="23917"/>
  <c r="DI90" i="24050"/>
  <c r="EO96" i="23917"/>
  <c r="CK76" i="24050"/>
  <c r="CK88" i="24050"/>
  <c r="DQ94" i="23917"/>
  <c r="DQ82" i="23917"/>
  <c r="BW88" i="24050"/>
  <c r="BW76" i="24050"/>
  <c r="DC94" i="23917"/>
  <c r="DC82" i="23917"/>
  <c r="BK88" i="24050"/>
  <c r="BK76" i="24050"/>
  <c r="CQ94" i="23917"/>
  <c r="CQ82" i="23917"/>
  <c r="AY88" i="24050"/>
  <c r="AY76" i="24050"/>
  <c r="CE94" i="23917"/>
  <c r="CE82" i="23917"/>
  <c r="AM88" i="24050"/>
  <c r="AM76" i="24050"/>
  <c r="BS94" i="23917"/>
  <c r="BS82" i="23917"/>
  <c r="Y76" i="24050"/>
  <c r="Y88" i="24050"/>
  <c r="BE94" i="23917"/>
  <c r="BE82" i="23917"/>
  <c r="K88" i="24050"/>
  <c r="K76" i="24050"/>
  <c r="AQ94" i="23917"/>
  <c r="AQ82" i="23917"/>
  <c r="CH78" i="24050"/>
  <c r="DN84" i="23917"/>
  <c r="CH79" i="24050"/>
  <c r="DN85" i="23917"/>
  <c r="CD79" i="24050"/>
  <c r="DJ85" i="23917"/>
  <c r="CD90" i="24050"/>
  <c r="DJ96" i="23917"/>
  <c r="BZ90" i="24050"/>
  <c r="DF96" i="23917"/>
  <c r="BV79" i="24050"/>
  <c r="DB85" i="23917"/>
  <c r="BV90" i="24050"/>
  <c r="DB96" i="23917"/>
  <c r="BN79" i="24050"/>
  <c r="CT85" i="23917"/>
  <c r="BN90" i="24050"/>
  <c r="CT96" i="23917"/>
  <c r="BJ90" i="24050"/>
  <c r="CP96" i="23917"/>
  <c r="BF79" i="24050"/>
  <c r="CL85" i="23917"/>
  <c r="BF90" i="24050"/>
  <c r="CL96" i="23917"/>
  <c r="BB80" i="24050"/>
  <c r="CH86" i="23917"/>
  <c r="AX79" i="24050"/>
  <c r="CD85" i="23917"/>
  <c r="AX90" i="24050"/>
  <c r="CD96" i="23917"/>
  <c r="AT78" i="24050"/>
  <c r="BZ84" i="23917"/>
  <c r="AP79" i="24050"/>
  <c r="BV85" i="23917"/>
  <c r="AL91" i="24050"/>
  <c r="BR97" i="23917"/>
  <c r="AH79" i="24050"/>
  <c r="BN85" i="23917"/>
  <c r="AH91" i="24050"/>
  <c r="BN97" i="23917"/>
  <c r="AD91" i="24050"/>
  <c r="BJ97" i="23917"/>
  <c r="Z78" i="24050"/>
  <c r="BF84" i="23917"/>
  <c r="Z90" i="24050"/>
  <c r="BF96" i="23917"/>
  <c r="V79" i="24050"/>
  <c r="BB85" i="23917"/>
  <c r="V90" i="24050"/>
  <c r="BB96" i="23917"/>
  <c r="R80" i="24050"/>
  <c r="AX86" i="23917"/>
  <c r="R92" i="24050"/>
  <c r="AX98" i="23917"/>
  <c r="N91" i="24050"/>
  <c r="AT97" i="23917"/>
  <c r="J91" i="24050"/>
  <c r="AP97" i="23917"/>
  <c r="D80" i="24050"/>
  <c r="AJ86" i="23917"/>
  <c r="AC98" i="23917"/>
  <c r="AB98" i="23917"/>
  <c r="E86" i="23917"/>
  <c r="D86" i="23917"/>
  <c r="CE93" i="24050"/>
  <c r="DK99" i="23917"/>
  <c r="BK93" i="24050"/>
  <c r="CQ99" i="23917"/>
  <c r="AU93" i="24050"/>
  <c r="CA99" i="23917"/>
  <c r="AE93" i="24050"/>
  <c r="BK99" i="23917"/>
  <c r="O93" i="24050"/>
  <c r="AU99" i="23917"/>
  <c r="CL75" i="24050"/>
  <c r="DR81" i="23917"/>
  <c r="BV75" i="24050"/>
  <c r="DB81" i="23917"/>
  <c r="BF75" i="24050"/>
  <c r="CL81" i="23917"/>
  <c r="AP75" i="24050"/>
  <c r="BV81" i="23917"/>
  <c r="Z75" i="24050"/>
  <c r="BF81" i="23917"/>
  <c r="J75" i="24050"/>
  <c r="AP81" i="23917"/>
  <c r="ED87" i="24050"/>
  <c r="FJ93" i="23917"/>
  <c r="DJ87" i="24050"/>
  <c r="EP93" i="23917"/>
  <c r="DZ87" i="24050"/>
  <c r="FF93" i="23917"/>
  <c r="BR77" i="24050"/>
  <c r="CX83" i="23917"/>
  <c r="BR96" i="24050"/>
  <c r="CX102" i="23917"/>
  <c r="CQ88" i="24050"/>
  <c r="CQ76" i="24050"/>
  <c r="DW94" i="23917"/>
  <c r="DW82" i="23917"/>
  <c r="EF87" i="24050"/>
  <c r="FL93" i="23917"/>
  <c r="DP87" i="24050"/>
  <c r="EV93" i="23917"/>
  <c r="AG77" i="24050"/>
  <c r="BM83" i="23917"/>
  <c r="EG91" i="24050"/>
  <c r="FM97" i="23917"/>
  <c r="DY90" i="24050"/>
  <c r="FE96" i="23917"/>
  <c r="DQ91" i="24050"/>
  <c r="EW97" i="23917"/>
  <c r="CP75" i="24050"/>
  <c r="DV81" i="23917"/>
  <c r="DC75" i="24050"/>
  <c r="EI81" i="23917"/>
  <c r="DY25" i="24050"/>
  <c r="DY26" i="24050" s="1"/>
  <c r="FE33" i="23917"/>
  <c r="BM77" i="24050"/>
  <c r="CS83" i="23917"/>
  <c r="DD58" i="24050"/>
  <c r="EJ65" i="23917"/>
  <c r="DZ59" i="24050"/>
  <c r="DZ24" i="24050"/>
  <c r="FF66" i="23917"/>
  <c r="FF27" i="23917"/>
  <c r="DX58" i="24050"/>
  <c r="FD65" i="23917"/>
  <c r="DD44" i="24050"/>
  <c r="EJ52" i="23917"/>
  <c r="ED58" i="24050"/>
  <c r="FJ65" i="23917"/>
  <c r="AU31" i="24050"/>
  <c r="CA39" i="23917"/>
  <c r="AA31" i="24050"/>
  <c r="BG39" i="23917"/>
  <c r="K31" i="24050"/>
  <c r="AQ39" i="23917"/>
  <c r="DF31" i="24050"/>
  <c r="EL39" i="23917"/>
  <c r="EH44" i="24050"/>
  <c r="FN52" i="23917"/>
  <c r="DJ44" i="24050"/>
  <c r="EP52" i="23917"/>
  <c r="CO31" i="24050"/>
  <c r="DU39" i="23917"/>
  <c r="AY30" i="24050"/>
  <c r="CE38" i="23917"/>
  <c r="AA30" i="24050"/>
  <c r="BG38" i="23917"/>
  <c r="K30" i="24050"/>
  <c r="AQ38" i="23917"/>
  <c r="DP58" i="24050"/>
  <c r="EV65" i="23917"/>
  <c r="DX44" i="24050"/>
  <c r="FD52" i="23917"/>
  <c r="DN44" i="24050"/>
  <c r="ET52" i="23917"/>
  <c r="CS44" i="24050"/>
  <c r="DY52" i="23917"/>
  <c r="CA31" i="24050"/>
  <c r="DG39" i="23917"/>
  <c r="U30" i="24050"/>
  <c r="BA38" i="23917"/>
  <c r="EK30" i="24050"/>
  <c r="FQ38" i="23917"/>
  <c r="DK31" i="24050"/>
  <c r="EQ39" i="23917"/>
  <c r="AG31" i="24050"/>
  <c r="BM39" i="23917"/>
  <c r="DM31" i="24050"/>
  <c r="ES39" i="23917"/>
  <c r="DG30" i="24050"/>
  <c r="EM38" i="23917"/>
  <c r="E30" i="24050"/>
  <c r="AK38" i="23917"/>
  <c r="DL59" i="24050"/>
  <c r="DL24" i="24050"/>
  <c r="ER66" i="23917"/>
  <c r="ER27" i="23917"/>
  <c r="DZ58" i="24050"/>
  <c r="FF65" i="23917"/>
  <c r="DY41" i="24050"/>
  <c r="FE49" i="23917"/>
  <c r="DW31" i="24050"/>
  <c r="FC39" i="23917"/>
  <c r="AO30" i="24050"/>
  <c r="BU38" i="23917"/>
  <c r="P30" i="24050"/>
  <c r="AV38" i="23917"/>
  <c r="EU396" i="23917"/>
  <c r="DO320" i="24050"/>
  <c r="EU326" i="23917"/>
  <c r="DQ356" i="24050"/>
  <c r="EW362" i="23917"/>
  <c r="DR352" i="24050"/>
  <c r="EX358" i="23917"/>
  <c r="S349" i="24050"/>
  <c r="AY355" i="23917"/>
  <c r="C349" i="24050"/>
  <c r="AI355" i="23917"/>
  <c r="EB390" i="24050"/>
  <c r="CN390" i="24050"/>
  <c r="FF396" i="23917"/>
  <c r="FE396" i="23917"/>
  <c r="DG387" i="24050"/>
  <c r="BS387" i="24050"/>
  <c r="CQ332" i="24050"/>
  <c r="DW338" i="23917"/>
  <c r="DT389" i="24050"/>
  <c r="CF389" i="24050"/>
  <c r="DQ390" i="24050"/>
  <c r="CC390" i="24050"/>
  <c r="BW380" i="24050"/>
  <c r="DK380" i="24050"/>
  <c r="DC356" i="24050"/>
  <c r="EI362" i="23917"/>
  <c r="DL352" i="24050"/>
  <c r="ER358" i="23917"/>
  <c r="Q349" i="24050"/>
  <c r="AW355" i="23917"/>
  <c r="DC349" i="24050"/>
  <c r="EI355" i="23917"/>
  <c r="DW403" i="23917"/>
  <c r="DV403" i="23917"/>
  <c r="BS403" i="23917"/>
  <c r="AM397" i="24050" s="1"/>
  <c r="BR403" i="23917"/>
  <c r="AL397" i="24050" s="1"/>
  <c r="ED387" i="24050"/>
  <c r="CP387" i="24050"/>
  <c r="DV387" i="24050"/>
  <c r="CH387" i="24050"/>
  <c r="FN394" i="23917"/>
  <c r="FM394" i="23917"/>
  <c r="DI387" i="24050"/>
  <c r="BU387" i="24050"/>
  <c r="DT382" i="24050"/>
  <c r="CF382" i="24050"/>
  <c r="CS380" i="24050"/>
  <c r="EG380" i="24050"/>
  <c r="N334" i="24050"/>
  <c r="AT340" i="23917"/>
  <c r="EG321" i="24050"/>
  <c r="FM327" i="23917"/>
  <c r="DQ321" i="24050"/>
  <c r="EW327" i="23917"/>
  <c r="CG320" i="24050"/>
  <c r="DM326" i="23917"/>
  <c r="BQ320" i="24050"/>
  <c r="CW326" i="23917"/>
  <c r="BA320" i="24050"/>
  <c r="CG326" i="23917"/>
  <c r="AK320" i="24050"/>
  <c r="BQ326" i="23917"/>
  <c r="U320" i="24050"/>
  <c r="BA326" i="23917"/>
  <c r="EJ319" i="24050"/>
  <c r="FP325" i="23917"/>
  <c r="DT319" i="24050"/>
  <c r="EZ325" i="23917"/>
  <c r="EH317" i="24050"/>
  <c r="FN323" i="23917"/>
  <c r="EH316" i="24050"/>
  <c r="FN322" i="23917"/>
  <c r="CM313" i="24050"/>
  <c r="DS319" i="23917"/>
  <c r="BW313" i="24050"/>
  <c r="DC319" i="23917"/>
  <c r="BG313" i="24050"/>
  <c r="CM319" i="23917"/>
  <c r="AQ313" i="24050"/>
  <c r="BW319" i="23917"/>
  <c r="AA313" i="24050"/>
  <c r="BG319" i="23917"/>
  <c r="C313" i="24050"/>
  <c r="AI319" i="23917"/>
  <c r="Q358" i="24050"/>
  <c r="AW364" i="23917"/>
  <c r="H363" i="24050"/>
  <c r="AN369" i="23917"/>
  <c r="I369" i="23917"/>
  <c r="H369" i="23917"/>
  <c r="DP396" i="24050"/>
  <c r="CB396" i="24050"/>
  <c r="DH392" i="24050"/>
  <c r="BT392" i="24050"/>
  <c r="DT394" i="24050"/>
  <c r="CF394" i="24050"/>
  <c r="DP389" i="24050"/>
  <c r="CB389" i="24050"/>
  <c r="BX388" i="24050"/>
  <c r="EG388" i="23917"/>
  <c r="EF388" i="23917"/>
  <c r="DT380" i="24050"/>
  <c r="CF380" i="24050"/>
  <c r="CF334" i="24050"/>
  <c r="DL340" i="23917"/>
  <c r="AZ334" i="24050"/>
  <c r="CF340" i="23917"/>
  <c r="T334" i="24050"/>
  <c r="AZ340" i="23917"/>
  <c r="EC333" i="24050"/>
  <c r="FI339" i="23917"/>
  <c r="DT333" i="24050"/>
  <c r="EZ339" i="23917"/>
  <c r="CG313" i="24050"/>
  <c r="DM319" i="23917"/>
  <c r="BQ313" i="24050"/>
  <c r="CW319" i="23917"/>
  <c r="BA313" i="24050"/>
  <c r="CG319" i="23917"/>
  <c r="AK313" i="24050"/>
  <c r="BQ319" i="23917"/>
  <c r="P313" i="24050"/>
  <c r="AV319" i="23917"/>
  <c r="CQ311" i="24050"/>
  <c r="DW317" i="23917"/>
  <c r="Y312" i="24050"/>
  <c r="BE318" i="23917"/>
  <c r="EC313" i="24050"/>
  <c r="FI319" i="23917"/>
  <c r="DM313" i="24050"/>
  <c r="ES319" i="23917"/>
  <c r="BN298" i="24050"/>
  <c r="CT304" i="23917"/>
  <c r="B298" i="24050"/>
  <c r="AH304" i="23917"/>
  <c r="CP296" i="24050"/>
  <c r="DV302" i="23917"/>
  <c r="DC285" i="24050"/>
  <c r="EI291" i="23917"/>
  <c r="DV282" i="24050"/>
  <c r="FB288" i="23917"/>
  <c r="DF282" i="24050"/>
  <c r="EL288" i="23917"/>
  <c r="DT281" i="24050"/>
  <c r="EZ287" i="23917"/>
  <c r="CO278" i="24050"/>
  <c r="DU284" i="23917"/>
  <c r="AC278" i="24050"/>
  <c r="BI284" i="23917"/>
  <c r="S235" i="24050"/>
  <c r="AY241" i="23917"/>
  <c r="DW19" i="23917"/>
  <c r="G358" i="24050"/>
  <c r="AM364" i="23917"/>
  <c r="DL396" i="24050"/>
  <c r="BX396" i="24050"/>
  <c r="DI408" i="23917"/>
  <c r="CC15" i="24050"/>
  <c r="DA408" i="23917"/>
  <c r="BU15" i="24050"/>
  <c r="BA15" i="24050"/>
  <c r="CG408" i="23917"/>
  <c r="BA399" i="24050" s="1"/>
  <c r="CD383" i="24050"/>
  <c r="DR383" i="24050"/>
  <c r="DV384" i="24050"/>
  <c r="CH384" i="24050"/>
  <c r="U332" i="24050"/>
  <c r="BA338" i="23917"/>
  <c r="CL334" i="24050"/>
  <c r="DR340" i="23917"/>
  <c r="CD334" i="24050"/>
  <c r="DJ340" i="23917"/>
  <c r="BV334" i="24050"/>
  <c r="DB340" i="23917"/>
  <c r="BN321" i="24050"/>
  <c r="CT327" i="23917"/>
  <c r="BF321" i="24050"/>
  <c r="CL327" i="23917"/>
  <c r="AY320" i="24050"/>
  <c r="CE326" i="23917"/>
  <c r="DW320" i="24050"/>
  <c r="FC326" i="23917"/>
  <c r="AA320" i="24050"/>
  <c r="BG326" i="23917"/>
  <c r="DZ319" i="24050"/>
  <c r="FF325" i="23917"/>
  <c r="EJ318" i="24050"/>
  <c r="FP324" i="23917"/>
  <c r="EB317" i="24050"/>
  <c r="FH323" i="23917"/>
  <c r="DX316" i="24050"/>
  <c r="FD322" i="23917"/>
  <c r="DS334" i="24050"/>
  <c r="EY340" i="23917"/>
  <c r="F329" i="24050"/>
  <c r="AL335" i="23917"/>
  <c r="E340" i="23917"/>
  <c r="D340" i="23917"/>
  <c r="CT310" i="24050"/>
  <c r="DZ316" i="23917"/>
  <c r="ED312" i="24050"/>
  <c r="FJ318" i="23917"/>
  <c r="DP311" i="24050"/>
  <c r="EV317" i="23917"/>
  <c r="AQ333" i="24050"/>
  <c r="BW339" i="23917"/>
  <c r="CH287" i="24050"/>
  <c r="CH288" i="24050" s="1"/>
  <c r="CH13" i="24050"/>
  <c r="DN293" i="23917"/>
  <c r="DN294" i="23917" s="1"/>
  <c r="D23" i="24068"/>
  <c r="BB287" i="24050"/>
  <c r="BB288" i="24050" s="1"/>
  <c r="BB13" i="24050"/>
  <c r="CH293" i="23917"/>
  <c r="CH294" i="23917" s="1"/>
  <c r="V287" i="24050"/>
  <c r="V13" i="24050"/>
  <c r="BB293" i="23917"/>
  <c r="DS296" i="24050"/>
  <c r="EY302" i="23917"/>
  <c r="DC296" i="24050"/>
  <c r="EI302" i="23917"/>
  <c r="EC278" i="24050"/>
  <c r="FI284" i="23917"/>
  <c r="DM278" i="24050"/>
  <c r="ES284" i="23917"/>
  <c r="U25" i="24068"/>
  <c r="EI275" i="24050"/>
  <c r="FO281" i="23917"/>
  <c r="Y269" i="23917"/>
  <c r="X269" i="23917"/>
  <c r="EF262" i="24050"/>
  <c r="FL268" i="23917"/>
  <c r="BH257" i="24050"/>
  <c r="CN263" i="23917"/>
  <c r="AR257" i="24050"/>
  <c r="BX263" i="23917"/>
  <c r="AB257" i="24050"/>
  <c r="BH263" i="23917"/>
  <c r="CL244" i="24050"/>
  <c r="DR250" i="23917"/>
  <c r="BV244" i="24050"/>
  <c r="DB250" i="23917"/>
  <c r="BF244" i="24050"/>
  <c r="CL250" i="23917"/>
  <c r="AP244" i="24050"/>
  <c r="BV250" i="23917"/>
  <c r="Z244" i="24050"/>
  <c r="BF250" i="23917"/>
  <c r="J244" i="24050"/>
  <c r="AP250" i="23917"/>
  <c r="C243" i="24050"/>
  <c r="AI249" i="23917"/>
  <c r="DY244" i="24050"/>
  <c r="FE250" i="23917"/>
  <c r="EF243" i="24050"/>
  <c r="FL249" i="23917"/>
  <c r="DP243" i="24050"/>
  <c r="EV249" i="23917"/>
  <c r="EA242" i="24050"/>
  <c r="FG248" i="23917"/>
  <c r="Y248" i="23917"/>
  <c r="X248" i="23917"/>
  <c r="DV241" i="24050"/>
  <c r="FB247" i="23917"/>
  <c r="DT240" i="24050"/>
  <c r="EZ246" i="23917"/>
  <c r="CK237" i="24050"/>
  <c r="DQ243" i="23917"/>
  <c r="BU237" i="24050"/>
  <c r="DA243" i="23917"/>
  <c r="K235" i="24050"/>
  <c r="AQ241" i="23917"/>
  <c r="B9" i="24068"/>
  <c r="F10" i="24068" s="1"/>
  <c r="DK19" i="23917"/>
  <c r="AN390" i="23917"/>
  <c r="H384" i="24050" s="1"/>
  <c r="AN387" i="23917"/>
  <c r="H381" i="24050" s="1"/>
  <c r="DR366" i="24050"/>
  <c r="EX372" i="23917"/>
  <c r="T363" i="24050"/>
  <c r="AZ369" i="23917"/>
  <c r="U369" i="23917"/>
  <c r="T369" i="23917"/>
  <c r="DJ349" i="24050"/>
  <c r="EP355" i="23917"/>
  <c r="DH389" i="24050"/>
  <c r="BT389" i="24050"/>
  <c r="EL389" i="24050"/>
  <c r="CX389" i="24050"/>
  <c r="CP317" i="24050"/>
  <c r="DV323" i="23917"/>
  <c r="DJ320" i="24050"/>
  <c r="EP326" i="23917"/>
  <c r="BT334" i="24050"/>
  <c r="CZ340" i="23917"/>
  <c r="AN334" i="24050"/>
  <c r="BT340" i="23917"/>
  <c r="BA318" i="24050"/>
  <c r="CG324" i="23917"/>
  <c r="EG333" i="24050"/>
  <c r="FM339" i="23917"/>
  <c r="DK333" i="24050"/>
  <c r="EQ339" i="23917"/>
  <c r="L332" i="24050"/>
  <c r="AR338" i="23917"/>
  <c r="CC313" i="24050"/>
  <c r="DI319" i="23917"/>
  <c r="BM313" i="24050"/>
  <c r="CS319" i="23917"/>
  <c r="AW313" i="24050"/>
  <c r="CC319" i="23917"/>
  <c r="AG313" i="24050"/>
  <c r="BM319" i="23917"/>
  <c r="L334" i="24050"/>
  <c r="AR340" i="23917"/>
  <c r="D323" i="24050"/>
  <c r="D14" i="24050"/>
  <c r="AJ329" i="23917"/>
  <c r="DR310" i="24050"/>
  <c r="EX316" i="23917"/>
  <c r="EH310" i="24050"/>
  <c r="FN316" i="23917"/>
  <c r="DJ310" i="24050"/>
  <c r="EP316" i="23917"/>
  <c r="BV287" i="24050"/>
  <c r="BV288" i="24050" s="1"/>
  <c r="BV13" i="24050"/>
  <c r="DB293" i="23917"/>
  <c r="DB294" i="23917" s="1"/>
  <c r="AP287" i="24050"/>
  <c r="AP288" i="24050" s="1"/>
  <c r="AP13" i="24050"/>
  <c r="BV293" i="23917"/>
  <c r="BV294" i="23917" s="1"/>
  <c r="J287" i="24050"/>
  <c r="J13" i="24050"/>
  <c r="AP293" i="23917"/>
  <c r="CJ298" i="24050"/>
  <c r="DP304" i="23917"/>
  <c r="BT298" i="24050"/>
  <c r="CZ304" i="23917"/>
  <c r="BD298" i="24050"/>
  <c r="CJ304" i="23917"/>
  <c r="AN298" i="24050"/>
  <c r="BT304" i="23917"/>
  <c r="X298" i="24050"/>
  <c r="BD304" i="23917"/>
  <c r="H298" i="24050"/>
  <c r="AN304" i="23917"/>
  <c r="Y304" i="23917"/>
  <c r="X304" i="23917"/>
  <c r="AG291" i="23917"/>
  <c r="AF291" i="23917"/>
  <c r="CM283" i="24050"/>
  <c r="DS289" i="23917"/>
  <c r="CE283" i="24050"/>
  <c r="DK289" i="23917"/>
  <c r="BU283" i="24050"/>
  <c r="DA289" i="23917"/>
  <c r="BK283" i="24050"/>
  <c r="CQ289" i="23917"/>
  <c r="AY283" i="24050"/>
  <c r="CE289" i="23917"/>
  <c r="AO283" i="24050"/>
  <c r="BU289" i="23917"/>
  <c r="AE283" i="24050"/>
  <c r="BK289" i="23917"/>
  <c r="S283" i="24050"/>
  <c r="AY289" i="23917"/>
  <c r="K283" i="24050"/>
  <c r="AQ289" i="23917"/>
  <c r="CN246" i="24050"/>
  <c r="CN247" i="24050" s="1"/>
  <c r="CN12" i="24050"/>
  <c r="DT252" i="23917"/>
  <c r="DT253" i="23917" s="1"/>
  <c r="DK240" i="24050"/>
  <c r="EQ246" i="23917"/>
  <c r="DW237" i="24050"/>
  <c r="FC243" i="23917"/>
  <c r="W235" i="24050"/>
  <c r="BC241" i="23917"/>
  <c r="DR368" i="24050"/>
  <c r="EX374" i="23917"/>
  <c r="DF368" i="24050"/>
  <c r="EL374" i="23917"/>
  <c r="R363" i="24050"/>
  <c r="AX369" i="23917"/>
  <c r="DL392" i="24050"/>
  <c r="BX392" i="24050"/>
  <c r="CE15" i="24050"/>
  <c r="DK408" i="23917"/>
  <c r="BW15" i="24050"/>
  <c r="DC408" i="23917"/>
  <c r="BO15" i="24050"/>
  <c r="CU408" i="23917"/>
  <c r="AP15" i="24050"/>
  <c r="BV408" i="23917"/>
  <c r="BV383" i="24050"/>
  <c r="DJ383" i="24050"/>
  <c r="EB384" i="24050"/>
  <c r="CN384" i="24050"/>
  <c r="DF380" i="24050"/>
  <c r="BR380" i="24050"/>
  <c r="DH320" i="24050"/>
  <c r="EN326" i="23917"/>
  <c r="CH321" i="24050"/>
  <c r="DN327" i="23917"/>
  <c r="BZ321" i="24050"/>
  <c r="DF327" i="23917"/>
  <c r="BR321" i="24050"/>
  <c r="CX327" i="23917"/>
  <c r="BJ321" i="24050"/>
  <c r="CP327" i="23917"/>
  <c r="BB321" i="24050"/>
  <c r="CH327" i="23917"/>
  <c r="AT321" i="24050"/>
  <c r="BZ327" i="23917"/>
  <c r="AL321" i="24050"/>
  <c r="BR327" i="23917"/>
  <c r="AD321" i="24050"/>
  <c r="BJ327" i="23917"/>
  <c r="V321" i="24050"/>
  <c r="BB327" i="23917"/>
  <c r="DK320" i="24050"/>
  <c r="EQ326" i="23917"/>
  <c r="ED319" i="24050"/>
  <c r="FJ325" i="23917"/>
  <c r="DF319" i="24050"/>
  <c r="EL325" i="23917"/>
  <c r="EE333" i="24050"/>
  <c r="FK339" i="23917"/>
  <c r="EA332" i="24050"/>
  <c r="FG338" i="23917"/>
  <c r="U313" i="24050"/>
  <c r="BA319" i="23917"/>
  <c r="B323" i="24050"/>
  <c r="B14" i="24050"/>
  <c r="AH329" i="23917"/>
  <c r="I340" i="23917"/>
  <c r="H340" i="23917"/>
  <c r="DX310" i="24050"/>
  <c r="FD316" i="23917"/>
  <c r="W312" i="24050"/>
  <c r="BC318" i="23917"/>
  <c r="EF311" i="24050"/>
  <c r="FL317" i="23917"/>
  <c r="DL311" i="24050"/>
  <c r="ER317" i="23917"/>
  <c r="BZ287" i="24050"/>
  <c r="BZ288" i="24050" s="1"/>
  <c r="BZ13" i="24050"/>
  <c r="DF293" i="23917"/>
  <c r="DF294" i="23917" s="1"/>
  <c r="AT287" i="24050"/>
  <c r="AT288" i="24050" s="1"/>
  <c r="AT13" i="24050"/>
  <c r="BZ293" i="23917"/>
  <c r="BZ294" i="23917" s="1"/>
  <c r="N287" i="24050"/>
  <c r="N13" i="24050"/>
  <c r="AT293" i="23917"/>
  <c r="EG298" i="24050"/>
  <c r="FM304" i="23917"/>
  <c r="EC296" i="24050"/>
  <c r="FI302" i="23917"/>
  <c r="DM296" i="24050"/>
  <c r="ES302" i="23917"/>
  <c r="EG283" i="24050"/>
  <c r="FM289" i="23917"/>
  <c r="DQ283" i="24050"/>
  <c r="EW289" i="23917"/>
  <c r="CP278" i="24050"/>
  <c r="DV284" i="23917"/>
  <c r="DP276" i="24050"/>
  <c r="EV282" i="23917"/>
  <c r="CT275" i="24050"/>
  <c r="DZ281" i="23917"/>
  <c r="R18" i="24068"/>
  <c r="R19" i="24068" s="1"/>
  <c r="EC263" i="24050"/>
  <c r="FI269" i="23917"/>
  <c r="DZ262" i="24050"/>
  <c r="FF268" i="23917"/>
  <c r="DX260" i="24050"/>
  <c r="FD266" i="23917"/>
  <c r="CH257" i="24050"/>
  <c r="DN263" i="23917"/>
  <c r="BR257" i="24050"/>
  <c r="CX263" i="23917"/>
  <c r="AX257" i="24050"/>
  <c r="CD263" i="23917"/>
  <c r="AH257" i="24050"/>
  <c r="BN263" i="23917"/>
  <c r="B257" i="24050"/>
  <c r="AH263" i="23917"/>
  <c r="CZ257" i="24050"/>
  <c r="EF263" i="23917"/>
  <c r="CB244" i="24050"/>
  <c r="DH250" i="23917"/>
  <c r="BL244" i="24050"/>
  <c r="CR250" i="23917"/>
  <c r="AV244" i="24050"/>
  <c r="CB250" i="23917"/>
  <c r="AF244" i="24050"/>
  <c r="BL250" i="23917"/>
  <c r="P244" i="24050"/>
  <c r="AV250" i="23917"/>
  <c r="G243" i="24050"/>
  <c r="AM249" i="23917"/>
  <c r="ED243" i="24050"/>
  <c r="FJ249" i="23917"/>
  <c r="DJ243" i="24050"/>
  <c r="EP249" i="23917"/>
  <c r="DU242" i="24050"/>
  <c r="FA248" i="23917"/>
  <c r="EF241" i="24050"/>
  <c r="FL247" i="23917"/>
  <c r="DP241" i="24050"/>
  <c r="EV247" i="23917"/>
  <c r="DV240" i="24050"/>
  <c r="FB246" i="23917"/>
  <c r="BS237" i="24050"/>
  <c r="CY243" i="23917"/>
  <c r="J237" i="24050"/>
  <c r="AP243" i="23917"/>
  <c r="O235" i="24050"/>
  <c r="AU241" i="23917"/>
  <c r="ED236" i="24050"/>
  <c r="FJ242" i="23917"/>
  <c r="EF235" i="24050"/>
  <c r="FL241" i="23917"/>
  <c r="EH234" i="24050"/>
  <c r="FN240" i="23917"/>
  <c r="DR234" i="24050"/>
  <c r="EX240" i="23917"/>
  <c r="CI285" i="24050"/>
  <c r="DO291" i="23917"/>
  <c r="BC285" i="24050"/>
  <c r="CI291" i="23917"/>
  <c r="W285" i="24050"/>
  <c r="BC291" i="23917"/>
  <c r="DV297" i="24050"/>
  <c r="FB303" i="23917"/>
  <c r="G23" i="24068"/>
  <c r="G24" i="24068" s="1"/>
  <c r="BH287" i="24050"/>
  <c r="BH288" i="24050" s="1"/>
  <c r="BH13" i="24050"/>
  <c r="CN293" i="23917"/>
  <c r="CN294" i="23917" s="1"/>
  <c r="AH293" i="24050"/>
  <c r="BN299" i="23917"/>
  <c r="CS276" i="24050"/>
  <c r="DY282" i="23917"/>
  <c r="DP256" i="24050"/>
  <c r="EV262" i="23917"/>
  <c r="B252" i="24050"/>
  <c r="AH258" i="23917"/>
  <c r="G237" i="24050"/>
  <c r="AM243" i="23917"/>
  <c r="M237" i="24050"/>
  <c r="AS243" i="23917"/>
  <c r="DX221" i="24050"/>
  <c r="FD227" i="23917"/>
  <c r="EB220" i="24050"/>
  <c r="FH226" i="23917"/>
  <c r="DZ218" i="24050"/>
  <c r="FF224" i="23917"/>
  <c r="BS213" i="24050"/>
  <c r="CY219" i="23917"/>
  <c r="EA202" i="24050"/>
  <c r="FG208" i="23917"/>
  <c r="EB199" i="24050"/>
  <c r="FH205" i="23917"/>
  <c r="DX198" i="24050"/>
  <c r="FD204" i="23917"/>
  <c r="DT178" i="24050"/>
  <c r="EZ184" i="23917"/>
  <c r="CO285" i="24050"/>
  <c r="DU291" i="23917"/>
  <c r="BI285" i="24050"/>
  <c r="CO291" i="23917"/>
  <c r="AC285" i="24050"/>
  <c r="BI291" i="23917"/>
  <c r="CI298" i="24050"/>
  <c r="DO304" i="23917"/>
  <c r="DT263" i="24050"/>
  <c r="EZ269" i="23917"/>
  <c r="DF246" i="24050"/>
  <c r="DF12" i="24050"/>
  <c r="EL252" i="23917"/>
  <c r="DY19" i="23917"/>
  <c r="DX19" i="23917"/>
  <c r="S228" i="23917"/>
  <c r="R228" i="23917"/>
  <c r="DL219" i="24050"/>
  <c r="ER225" i="23917"/>
  <c r="DW215" i="24050"/>
  <c r="FC221" i="23917"/>
  <c r="CQ174" i="24050"/>
  <c r="DW180" i="23917"/>
  <c r="CS311" i="24050"/>
  <c r="DY317" i="23917"/>
  <c r="BO285" i="24050"/>
  <c r="CU291" i="23917"/>
  <c r="AI285" i="24050"/>
  <c r="BO291" i="23917"/>
  <c r="CU298" i="24050"/>
  <c r="EA304" i="23917"/>
  <c r="DG287" i="24050"/>
  <c r="DG13" i="24050"/>
  <c r="EM293" i="23917"/>
  <c r="CR256" i="24050"/>
  <c r="DX262" i="23917"/>
  <c r="DI252" i="24050"/>
  <c r="EO258" i="23917"/>
  <c r="CX298" i="24050"/>
  <c r="ED304" i="23917"/>
  <c r="BM285" i="24050"/>
  <c r="CS291" i="23917"/>
  <c r="AG285" i="24050"/>
  <c r="BM291" i="23917"/>
  <c r="DW298" i="24050"/>
  <c r="FC304" i="23917"/>
  <c r="DR297" i="24050"/>
  <c r="EX303" i="23917"/>
  <c r="AU298" i="24050"/>
  <c r="CA304" i="23917"/>
  <c r="Q23" i="24068"/>
  <c r="EA287" i="24050"/>
  <c r="EA13" i="24050"/>
  <c r="FG293" i="23917"/>
  <c r="FG294" i="23917" s="1"/>
  <c r="DR256" i="24050"/>
  <c r="EX262" i="23917"/>
  <c r="C256" i="24050"/>
  <c r="AI262" i="23917"/>
  <c r="C9" i="24068"/>
  <c r="G10" i="24068" s="1"/>
  <c r="CH222" i="24050"/>
  <c r="DN228" i="23917"/>
  <c r="CG204" i="24050"/>
  <c r="CG10" i="24050"/>
  <c r="DM210" i="23917"/>
  <c r="BA204" i="24050"/>
  <c r="BA10" i="24050"/>
  <c r="CG210" i="23917"/>
  <c r="CU215" i="24050"/>
  <c r="EA221" i="23917"/>
  <c r="CZ213" i="24050"/>
  <c r="EF219" i="23917"/>
  <c r="CJ215" i="24050"/>
  <c r="DP221" i="23917"/>
  <c r="DT199" i="24050"/>
  <c r="EZ205" i="23917"/>
  <c r="CC195" i="24050"/>
  <c r="DI201" i="23917"/>
  <c r="CP175" i="24050"/>
  <c r="DV181" i="23917"/>
  <c r="BI175" i="24050"/>
  <c r="CO181" i="23917"/>
  <c r="AC175" i="24050"/>
  <c r="BI181" i="23917"/>
  <c r="CR158" i="24050"/>
  <c r="DX164" i="23917"/>
  <c r="BG222" i="24050"/>
  <c r="CM228" i="23917"/>
  <c r="DZ219" i="24050"/>
  <c r="FF225" i="23917"/>
  <c r="CE215" i="24050"/>
  <c r="DK221" i="23917"/>
  <c r="S215" i="24050"/>
  <c r="AY221" i="23917"/>
  <c r="BW214" i="24050"/>
  <c r="DC220" i="23917"/>
  <c r="K214" i="24050"/>
  <c r="AQ220" i="23917"/>
  <c r="BF202" i="24050"/>
  <c r="CL208" i="23917"/>
  <c r="AA208" i="23917"/>
  <c r="Z208" i="23917"/>
  <c r="K200" i="24050"/>
  <c r="AQ206" i="23917"/>
  <c r="EC200" i="24050"/>
  <c r="FI206" i="23917"/>
  <c r="CY200" i="24050"/>
  <c r="EE206" i="23917"/>
  <c r="DK198" i="24050"/>
  <c r="EQ204" i="23917"/>
  <c r="DJ195" i="24050"/>
  <c r="EP201" i="23917"/>
  <c r="BL204" i="24050"/>
  <c r="BL205" i="24050" s="1"/>
  <c r="BL10" i="24050"/>
  <c r="CR210" i="23917"/>
  <c r="CR211" i="23917" s="1"/>
  <c r="AF204" i="24050"/>
  <c r="AF10" i="24050"/>
  <c r="BL210" i="23917"/>
  <c r="U193" i="24050"/>
  <c r="BA199" i="23917"/>
  <c r="DQ193" i="24050"/>
  <c r="EW199" i="23917"/>
  <c r="CR192" i="24050"/>
  <c r="DX198" i="23917"/>
  <c r="AA186" i="23917"/>
  <c r="CO173" i="24050"/>
  <c r="DU179" i="23917"/>
  <c r="AS173" i="24050"/>
  <c r="BY179" i="23917"/>
  <c r="BG161" i="24050"/>
  <c r="CM167" i="23917"/>
  <c r="DS173" i="24050"/>
  <c r="EY179" i="23917"/>
  <c r="DG175" i="24050"/>
  <c r="EM181" i="23917"/>
  <c r="CF164" i="24050"/>
  <c r="CF165" i="24050" s="1"/>
  <c r="CF9" i="24050"/>
  <c r="DL170" i="23917"/>
  <c r="DL171" i="23917" s="1"/>
  <c r="BP164" i="24050"/>
  <c r="BP165" i="24050" s="1"/>
  <c r="BP9" i="24050"/>
  <c r="CV170" i="23917"/>
  <c r="CV171" i="23917" s="1"/>
  <c r="AZ164" i="24050"/>
  <c r="AZ165" i="24050" s="1"/>
  <c r="AZ9" i="24050"/>
  <c r="CF170" i="23917"/>
  <c r="CF171" i="23917" s="1"/>
  <c r="AJ164" i="24050"/>
  <c r="AJ9" i="24050"/>
  <c r="BP170" i="23917"/>
  <c r="T164" i="24050"/>
  <c r="T9" i="24050"/>
  <c r="AZ170" i="23917"/>
  <c r="D164" i="24050"/>
  <c r="D9" i="24050"/>
  <c r="AJ170" i="23917"/>
  <c r="CZ152" i="24050"/>
  <c r="EF158" i="23917"/>
  <c r="J140" i="24050"/>
  <c r="AP146" i="23917"/>
  <c r="AG123" i="23917"/>
  <c r="EC112" i="24050"/>
  <c r="FI118" i="23917"/>
  <c r="Z118" i="23917"/>
  <c r="EI110" i="24050"/>
  <c r="FO116" i="23917"/>
  <c r="EC257" i="24050"/>
  <c r="FI263" i="23917"/>
  <c r="BK222" i="24050"/>
  <c r="CQ228" i="23917"/>
  <c r="DR221" i="24050"/>
  <c r="EX227" i="23917"/>
  <c r="Y204" i="24050"/>
  <c r="Y10" i="24050"/>
  <c r="BE210" i="23917"/>
  <c r="BS215" i="24050"/>
  <c r="CY221" i="23917"/>
  <c r="F215" i="24050"/>
  <c r="AL221" i="23917"/>
  <c r="AU214" i="24050"/>
  <c r="CA220" i="23917"/>
  <c r="AA213" i="24050"/>
  <c r="BG219" i="23917"/>
  <c r="DQ200" i="24050"/>
  <c r="EW206" i="23917"/>
  <c r="EA213" i="24050"/>
  <c r="FG219" i="23917"/>
  <c r="EE195" i="24050"/>
  <c r="FK201" i="23917"/>
  <c r="BU195" i="24050"/>
  <c r="DA201" i="23917"/>
  <c r="Y195" i="24050"/>
  <c r="BE201" i="23917"/>
  <c r="EI193" i="24050"/>
  <c r="FO199" i="23917"/>
  <c r="O180" i="24050"/>
  <c r="AU186" i="23917"/>
  <c r="C178" i="24050"/>
  <c r="AI184" i="23917"/>
  <c r="CW173" i="24050"/>
  <c r="EC179" i="23917"/>
  <c r="BM173" i="24050"/>
  <c r="CS179" i="23917"/>
  <c r="AG179" i="23917"/>
  <c r="M160" i="24050"/>
  <c r="AS166" i="23917"/>
  <c r="DW139" i="24050"/>
  <c r="FC145" i="23917"/>
  <c r="DW136" i="24050"/>
  <c r="FC142" i="23917"/>
  <c r="CL131" i="24050"/>
  <c r="DR137" i="23917"/>
  <c r="BV131" i="24050"/>
  <c r="DB137" i="23917"/>
  <c r="AH131" i="24050"/>
  <c r="BN137" i="23917"/>
  <c r="N131" i="24050"/>
  <c r="AT137" i="23917"/>
  <c r="W137" i="23917"/>
  <c r="V137" i="23917"/>
  <c r="B130" i="24050"/>
  <c r="AH136" i="23917"/>
  <c r="C116" i="24050"/>
  <c r="AI122" i="23917"/>
  <c r="DK118" i="24050"/>
  <c r="EQ124" i="23917"/>
  <c r="DM115" i="24050"/>
  <c r="ES121" i="23917"/>
  <c r="DI204" i="24050"/>
  <c r="DI10" i="24050"/>
  <c r="EO210" i="23917"/>
  <c r="BJ204" i="24050"/>
  <c r="BJ205" i="24050" s="1"/>
  <c r="BJ10" i="24050"/>
  <c r="CP210" i="23917"/>
  <c r="CP211" i="23917" s="1"/>
  <c r="AD204" i="24050"/>
  <c r="AD10" i="24050"/>
  <c r="BJ210" i="23917"/>
  <c r="CZ215" i="24050"/>
  <c r="EF221" i="23917"/>
  <c r="CI202" i="24050"/>
  <c r="DO208" i="23917"/>
  <c r="BC202" i="24050"/>
  <c r="CI208" i="23917"/>
  <c r="W202" i="24050"/>
  <c r="BC208" i="23917"/>
  <c r="BO200" i="24050"/>
  <c r="CU206" i="23917"/>
  <c r="AI200" i="24050"/>
  <c r="BO206" i="23917"/>
  <c r="O201" i="24050"/>
  <c r="AU207" i="23917"/>
  <c r="DX213" i="24050"/>
  <c r="FD219" i="23917"/>
  <c r="T204" i="24050"/>
  <c r="T10" i="24050"/>
  <c r="AZ210" i="23917"/>
  <c r="DP192" i="24050"/>
  <c r="EV198" i="23917"/>
  <c r="Z164" i="24050"/>
  <c r="Z9" i="24050"/>
  <c r="BF170" i="23917"/>
  <c r="BI174" i="24050"/>
  <c r="CO180" i="23917"/>
  <c r="H162" i="24050"/>
  <c r="AN168" i="23917"/>
  <c r="CO162" i="24050"/>
  <c r="DU168" i="23917"/>
  <c r="BH162" i="24050"/>
  <c r="CN168" i="23917"/>
  <c r="DW160" i="24050"/>
  <c r="FC166" i="23917"/>
  <c r="W160" i="24050"/>
  <c r="BC166" i="23917"/>
  <c r="G160" i="24050"/>
  <c r="AM166" i="23917"/>
  <c r="W168" i="23917"/>
  <c r="V168" i="23917"/>
  <c r="DN161" i="24050"/>
  <c r="ET167" i="23917"/>
  <c r="DZ159" i="24050"/>
  <c r="FF165" i="23917"/>
  <c r="DV158" i="24050"/>
  <c r="FB164" i="23917"/>
  <c r="EC155" i="24050"/>
  <c r="FI161" i="23917"/>
  <c r="CE155" i="24050"/>
  <c r="DK161" i="23917"/>
  <c r="BN175" i="24050"/>
  <c r="CT181" i="23917"/>
  <c r="AO175" i="24050"/>
  <c r="BU181" i="23917"/>
  <c r="S155" i="24050"/>
  <c r="AY161" i="23917"/>
  <c r="B175" i="24050"/>
  <c r="AH181" i="23917"/>
  <c r="DV152" i="24050"/>
  <c r="FB158" i="23917"/>
  <c r="EI153" i="24050"/>
  <c r="FO159" i="23917"/>
  <c r="CD140" i="24050"/>
  <c r="DJ146" i="23917"/>
  <c r="AI139" i="24050"/>
  <c r="BO145" i="23917"/>
  <c r="DV135" i="24050"/>
  <c r="FB141" i="23917"/>
  <c r="BD121" i="24050"/>
  <c r="BD122" i="24050" s="1"/>
  <c r="BD8" i="24050"/>
  <c r="CJ127" i="23917"/>
  <c r="CJ128" i="23917" s="1"/>
  <c r="CJ119" i="24050"/>
  <c r="DP125" i="23917"/>
  <c r="BU117" i="24050"/>
  <c r="DA123" i="23917"/>
  <c r="AO118" i="24050"/>
  <c r="BU124" i="23917"/>
  <c r="CQ117" i="24050"/>
  <c r="DW123" i="23917"/>
  <c r="BC117" i="24050"/>
  <c r="CI123" i="23917"/>
  <c r="AL119" i="24050"/>
  <c r="BR125" i="23917"/>
  <c r="AH119" i="24050"/>
  <c r="BN125" i="23917"/>
  <c r="DV115" i="24050"/>
  <c r="FB121" i="23917"/>
  <c r="BI112" i="24050"/>
  <c r="CO118" i="23917"/>
  <c r="EF111" i="24050"/>
  <c r="FL117" i="23917"/>
  <c r="ED110" i="24050"/>
  <c r="FJ116" i="23917"/>
  <c r="DP109" i="24050"/>
  <c r="EV115" i="23917"/>
  <c r="AT119" i="24050"/>
  <c r="BZ125" i="23917"/>
  <c r="ED180" i="24050"/>
  <c r="FJ186" i="23917"/>
  <c r="BU162" i="24050"/>
  <c r="DA168" i="23917"/>
  <c r="Y166" i="23917"/>
  <c r="X166" i="23917"/>
  <c r="AS162" i="24050"/>
  <c r="BY168" i="23917"/>
  <c r="DX161" i="24050"/>
  <c r="FD167" i="23917"/>
  <c r="ED159" i="24050"/>
  <c r="FJ165" i="23917"/>
  <c r="DZ158" i="24050"/>
  <c r="FF164" i="23917"/>
  <c r="CH175" i="24050"/>
  <c r="DN181" i="23917"/>
  <c r="BC155" i="24050"/>
  <c r="CI161" i="23917"/>
  <c r="W155" i="24050"/>
  <c r="BC161" i="23917"/>
  <c r="DT154" i="24050"/>
  <c r="EZ160" i="23917"/>
  <c r="DZ152" i="24050"/>
  <c r="FF158" i="23917"/>
  <c r="CQ152" i="24050"/>
  <c r="DW158" i="23917"/>
  <c r="X170" i="23917"/>
  <c r="CU139" i="24050"/>
  <c r="EA145" i="23917"/>
  <c r="BC139" i="24050"/>
  <c r="CI145" i="23917"/>
  <c r="AL140" i="24050"/>
  <c r="BR146" i="23917"/>
  <c r="EB137" i="24050"/>
  <c r="FH143" i="23917"/>
  <c r="DX134" i="24050"/>
  <c r="FD140" i="23917"/>
  <c r="CF131" i="24050"/>
  <c r="DL137" i="23917"/>
  <c r="T131" i="24050"/>
  <c r="AZ137" i="23917"/>
  <c r="CO119" i="24050"/>
  <c r="DU125" i="23917"/>
  <c r="L119" i="24050"/>
  <c r="AR125" i="23917"/>
  <c r="BK117" i="24050"/>
  <c r="CQ123" i="23917"/>
  <c r="AS118" i="24050"/>
  <c r="BY124" i="23917"/>
  <c r="AA117" i="24050"/>
  <c r="BG123" i="23917"/>
  <c r="J119" i="24050"/>
  <c r="AP125" i="23917"/>
  <c r="DU118" i="24050"/>
  <c r="FA124" i="23917"/>
  <c r="DV116" i="24050"/>
  <c r="FB122" i="23917"/>
  <c r="DW130" i="24050"/>
  <c r="FC136" i="23917"/>
  <c r="M115" i="24050"/>
  <c r="AS121" i="23917"/>
  <c r="CH121" i="24050"/>
  <c r="CH122" i="24050" s="1"/>
  <c r="CH8" i="24050"/>
  <c r="DN127" i="23917"/>
  <c r="DN128" i="23917" s="1"/>
  <c r="AW112" i="24050"/>
  <c r="CC118" i="23917"/>
  <c r="DV111" i="24050"/>
  <c r="FB117" i="23917"/>
  <c r="S7" i="24068"/>
  <c r="DN109" i="24050"/>
  <c r="ET115" i="23917"/>
  <c r="DW174" i="24050"/>
  <c r="FC180" i="23917"/>
  <c r="DI164" i="24050"/>
  <c r="DI9" i="24050"/>
  <c r="EO170" i="23917"/>
  <c r="AP175" i="24050"/>
  <c r="BV181" i="23917"/>
  <c r="ED152" i="24050"/>
  <c r="FJ158" i="23917"/>
  <c r="CM139" i="24050"/>
  <c r="DS145" i="23917"/>
  <c r="BV140" i="24050"/>
  <c r="DB146" i="23917"/>
  <c r="EA136" i="24050"/>
  <c r="FG142" i="23917"/>
  <c r="AR127" i="24050"/>
  <c r="BX133" i="23917"/>
  <c r="BP121" i="24050"/>
  <c r="BP122" i="24050" s="1"/>
  <c r="BP8" i="24050"/>
  <c r="CV127" i="23917"/>
  <c r="CV128" i="23917" s="1"/>
  <c r="BB131" i="24050"/>
  <c r="CH137" i="23917"/>
  <c r="AE117" i="24050"/>
  <c r="BK123" i="23917"/>
  <c r="BN204" i="24050"/>
  <c r="BN205" i="24050" s="1"/>
  <c r="BN10" i="24050"/>
  <c r="CT210" i="23917"/>
  <c r="CT211" i="23917" s="1"/>
  <c r="Z204" i="24050"/>
  <c r="Z10" i="24050"/>
  <c r="BF210" i="23917"/>
  <c r="C192" i="24050"/>
  <c r="AI198" i="23917"/>
  <c r="BV164" i="24050"/>
  <c r="BV165" i="24050" s="1"/>
  <c r="BV9" i="24050"/>
  <c r="DB170" i="23917"/>
  <c r="DB171" i="23917" s="1"/>
  <c r="U174" i="24050"/>
  <c r="BA180" i="23917"/>
  <c r="AO162" i="24050"/>
  <c r="BU168" i="23917"/>
  <c r="DL161" i="24050"/>
  <c r="ER167" i="23917"/>
  <c r="DM162" i="24050"/>
  <c r="ES168" i="23917"/>
  <c r="K155" i="24050"/>
  <c r="AQ161" i="23917"/>
  <c r="H140" i="24050"/>
  <c r="AN146" i="23917"/>
  <c r="CM136" i="24050"/>
  <c r="DS142" i="23917"/>
  <c r="AQ136" i="24050"/>
  <c r="BW142" i="23917"/>
  <c r="DZ134" i="24050"/>
  <c r="FF140" i="23917"/>
  <c r="B119" i="24050"/>
  <c r="AH125" i="23917"/>
  <c r="EG215" i="24050"/>
  <c r="FM221" i="23917"/>
  <c r="DK194" i="24050"/>
  <c r="EQ200" i="23917"/>
  <c r="N204" i="24050"/>
  <c r="N10" i="24050"/>
  <c r="AT210" i="23917"/>
  <c r="EB192" i="24050"/>
  <c r="FH198" i="23917"/>
  <c r="DZ180" i="24050"/>
  <c r="FF186" i="23917"/>
  <c r="DE164" i="24050"/>
  <c r="DE9" i="24050"/>
  <c r="EK170" i="23917"/>
  <c r="M174" i="24050"/>
  <c r="AS180" i="23917"/>
  <c r="CG160" i="24050"/>
  <c r="DM166" i="23917"/>
  <c r="AV162" i="24050"/>
  <c r="CB168" i="23917"/>
  <c r="Y160" i="24050"/>
  <c r="BE166" i="23917"/>
  <c r="DP161" i="24050"/>
  <c r="EV167" i="23917"/>
  <c r="EH158" i="24050"/>
  <c r="FN164" i="23917"/>
  <c r="DQ173" i="24050"/>
  <c r="EW179" i="23917"/>
  <c r="CA155" i="24050"/>
  <c r="DG161" i="23917"/>
  <c r="BJ164" i="24050"/>
  <c r="BJ165" i="24050" s="1"/>
  <c r="BJ9" i="24050"/>
  <c r="CP170" i="23917"/>
  <c r="CP171" i="23917" s="1"/>
  <c r="AE155" i="24050"/>
  <c r="BK161" i="23917"/>
  <c r="N164" i="24050"/>
  <c r="N9" i="24050"/>
  <c r="AT170" i="23917"/>
  <c r="DR152" i="24050"/>
  <c r="EX158" i="23917"/>
  <c r="C153" i="24050"/>
  <c r="AI159" i="23917"/>
  <c r="BZ140" i="24050"/>
  <c r="DF146" i="23917"/>
  <c r="DQ139" i="24050"/>
  <c r="EW145" i="23917"/>
  <c r="EF136" i="24050"/>
  <c r="FL142" i="23917"/>
  <c r="AB140" i="24050"/>
  <c r="BH146" i="23917"/>
  <c r="BW121" i="24050"/>
  <c r="BW8" i="24050"/>
  <c r="DC127" i="23917"/>
  <c r="BD131" i="24050"/>
  <c r="CJ137" i="23917"/>
  <c r="P131" i="24050"/>
  <c r="AV137" i="23917"/>
  <c r="BY119" i="24050"/>
  <c r="DE125" i="23917"/>
  <c r="BO118" i="24050"/>
  <c r="CU124" i="23917"/>
  <c r="AQ118" i="24050"/>
  <c r="BW124" i="23917"/>
  <c r="AG118" i="24050"/>
  <c r="BM124" i="23917"/>
  <c r="Q118" i="24050"/>
  <c r="AW124" i="23917"/>
  <c r="CH119" i="24050"/>
  <c r="DN125" i="23917"/>
  <c r="BR119" i="24050"/>
  <c r="CX125" i="23917"/>
  <c r="DY117" i="24050"/>
  <c r="FE123" i="23917"/>
  <c r="DU117" i="24050"/>
  <c r="FA123" i="23917"/>
  <c r="S117" i="24050"/>
  <c r="AY123" i="23917"/>
  <c r="AI116" i="24050"/>
  <c r="BO122" i="23917"/>
  <c r="CR117" i="24050"/>
  <c r="DX123" i="23917"/>
  <c r="DH112" i="24050"/>
  <c r="EN118" i="23917"/>
  <c r="Y112" i="24050"/>
  <c r="BE118" i="23917"/>
  <c r="EB111" i="24050"/>
  <c r="FH117" i="23917"/>
  <c r="M111" i="24050"/>
  <c r="AS117" i="23917"/>
  <c r="DL109" i="24050"/>
  <c r="ER115" i="23917"/>
  <c r="N119" i="24050"/>
  <c r="AT125" i="23917"/>
  <c r="DN193" i="24050"/>
  <c r="ET199" i="23917"/>
  <c r="AH170" i="24050"/>
  <c r="BN176" i="23917"/>
  <c r="B170" i="24050"/>
  <c r="AH176" i="23917"/>
  <c r="DP148" i="24050"/>
  <c r="AI105" i="24050"/>
  <c r="AA188" i="24050"/>
  <c r="S105" i="24050"/>
  <c r="K188" i="24050"/>
  <c r="C148" i="24050"/>
  <c r="ER53" i="24050"/>
  <c r="ER229" i="24050"/>
  <c r="EJ147" i="24050"/>
  <c r="EB53" i="24050"/>
  <c r="EB229" i="24050"/>
  <c r="EC261" i="23917"/>
  <c r="M96" i="24050"/>
  <c r="AS102" i="23917"/>
  <c r="C94" i="24050"/>
  <c r="AI100" i="23917"/>
  <c r="BW96" i="24050"/>
  <c r="DC102" i="23917"/>
  <c r="BW94" i="24050"/>
  <c r="DC100" i="23917"/>
  <c r="AY94" i="24050"/>
  <c r="CE100" i="23917"/>
  <c r="AE94" i="24050"/>
  <c r="BK100" i="23917"/>
  <c r="O94" i="24050"/>
  <c r="AU100" i="23917"/>
  <c r="DV89" i="24050"/>
  <c r="FB95" i="23917"/>
  <c r="DD31" i="24050"/>
  <c r="EJ39" i="23917"/>
  <c r="DL355" i="24050"/>
  <c r="ER361" i="23917"/>
  <c r="K356" i="24050"/>
  <c r="AQ362" i="23917"/>
  <c r="DC367" i="24050"/>
  <c r="EI373" i="23917"/>
  <c r="DO367" i="24050"/>
  <c r="EU373" i="23917"/>
  <c r="H358" i="24050"/>
  <c r="AN364" i="23917"/>
  <c r="DO349" i="24050"/>
  <c r="EU355" i="23917"/>
  <c r="DC368" i="24050"/>
  <c r="EI374" i="23917"/>
  <c r="ED396" i="24050"/>
  <c r="CP396" i="24050"/>
  <c r="DM395" i="24050"/>
  <c r="BY395" i="24050"/>
  <c r="EL397" i="23917"/>
  <c r="EK397" i="23917"/>
  <c r="CC396" i="24050"/>
  <c r="DQ396" i="24050"/>
  <c r="ER401" i="23917"/>
  <c r="EQ401" i="23917"/>
  <c r="DQ394" i="24050"/>
  <c r="CC394" i="24050"/>
  <c r="ER399" i="23917"/>
  <c r="EQ399" i="23917"/>
  <c r="CC392" i="24050"/>
  <c r="DQ392" i="24050"/>
  <c r="EQ397" i="23917"/>
  <c r="FB395" i="23917"/>
  <c r="FA395" i="23917"/>
  <c r="DQ389" i="24050"/>
  <c r="CC389" i="24050"/>
  <c r="DM389" i="24050"/>
  <c r="BY389" i="24050"/>
  <c r="DK388" i="24050"/>
  <c r="BW388" i="24050"/>
  <c r="DG388" i="24050"/>
  <c r="BS388" i="24050"/>
  <c r="AM403" i="23917"/>
  <c r="G397" i="24050" s="1"/>
  <c r="AL403" i="23917"/>
  <c r="F397" i="24050" s="1"/>
  <c r="W403" i="23917"/>
  <c r="V403" i="23917"/>
  <c r="G403" i="23917"/>
  <c r="F403" i="23917"/>
  <c r="DU383" i="24050"/>
  <c r="CG383" i="24050"/>
  <c r="CE382" i="24050"/>
  <c r="DS382" i="24050"/>
  <c r="DV380" i="24050"/>
  <c r="CH380" i="24050"/>
  <c r="AA333" i="24050"/>
  <c r="BG339" i="23917"/>
  <c r="K333" i="24050"/>
  <c r="AQ339" i="23917"/>
  <c r="BS332" i="24050"/>
  <c r="CY338" i="23917"/>
  <c r="AM332" i="24050"/>
  <c r="BS338" i="23917"/>
  <c r="E332" i="24050"/>
  <c r="AK338" i="23917"/>
  <c r="AG321" i="24050"/>
  <c r="BM327" i="23917"/>
  <c r="DL318" i="24050"/>
  <c r="ER324" i="23917"/>
  <c r="DL317" i="24050"/>
  <c r="ER323" i="23917"/>
  <c r="DT316" i="24050"/>
  <c r="EZ322" i="23917"/>
  <c r="EH311" i="24050"/>
  <c r="FN317" i="23917"/>
  <c r="CM297" i="24050"/>
  <c r="DS303" i="23917"/>
  <c r="BG297" i="24050"/>
  <c r="CM303" i="23917"/>
  <c r="AA297" i="24050"/>
  <c r="BG303" i="23917"/>
  <c r="BS296" i="24050"/>
  <c r="CY302" i="23917"/>
  <c r="AM296" i="24050"/>
  <c r="BS302" i="23917"/>
  <c r="G296" i="24050"/>
  <c r="AM302" i="23917"/>
  <c r="DE285" i="24050"/>
  <c r="EK291" i="23917"/>
  <c r="DU297" i="24050"/>
  <c r="FA303" i="23917"/>
  <c r="DK297" i="24050"/>
  <c r="EQ303" i="23917"/>
  <c r="DG285" i="24050"/>
  <c r="EM291" i="23917"/>
  <c r="BS278" i="24050"/>
  <c r="CY284" i="23917"/>
  <c r="AM278" i="24050"/>
  <c r="BS284" i="23917"/>
  <c r="G278" i="24050"/>
  <c r="AM284" i="23917"/>
  <c r="DT277" i="24050"/>
  <c r="EZ283" i="23917"/>
  <c r="EF276" i="24050"/>
  <c r="FL282" i="23917"/>
  <c r="DN275" i="24050"/>
  <c r="ET281" i="23917"/>
  <c r="CP282" i="24050"/>
  <c r="DV288" i="23917"/>
  <c r="BY263" i="24050"/>
  <c r="DE269" i="23917"/>
  <c r="BI263" i="24050"/>
  <c r="CO269" i="23917"/>
  <c r="S263" i="24050"/>
  <c r="AY269" i="23917"/>
  <c r="ED260" i="24050"/>
  <c r="FJ266" i="23917"/>
  <c r="Y266" i="23917"/>
  <c r="X266" i="23917"/>
  <c r="AG266" i="23917"/>
  <c r="CG256" i="24050"/>
  <c r="DM262" i="23917"/>
  <c r="BA256" i="24050"/>
  <c r="CG262" i="23917"/>
  <c r="U256" i="24050"/>
  <c r="BA262" i="23917"/>
  <c r="BM255" i="24050"/>
  <c r="CS261" i="23917"/>
  <c r="AG255" i="24050"/>
  <c r="BM261" i="23917"/>
  <c r="CN257" i="24050"/>
  <c r="DT263" i="23917"/>
  <c r="AI237" i="24050"/>
  <c r="BO243" i="23917"/>
  <c r="EC237" i="24050"/>
  <c r="FI243" i="23917"/>
  <c r="DK236" i="24050"/>
  <c r="EQ242" i="23917"/>
  <c r="EB234" i="24050"/>
  <c r="FH240" i="23917"/>
  <c r="C236" i="24050"/>
  <c r="AI242" i="23917"/>
  <c r="C91" i="24050"/>
  <c r="AI97" i="23917"/>
  <c r="CC94" i="24050"/>
  <c r="DI100" i="23917"/>
  <c r="BE94" i="24050"/>
  <c r="CK100" i="23917"/>
  <c r="AF75" i="24050"/>
  <c r="BL81" i="23917"/>
  <c r="DH59" i="24050"/>
  <c r="DH24" i="24050"/>
  <c r="EN66" i="23917"/>
  <c r="EN27" i="23917"/>
  <c r="S367" i="24050"/>
  <c r="AY373" i="23917"/>
  <c r="DL354" i="24050"/>
  <c r="ER360" i="23917"/>
  <c r="F358" i="24050"/>
  <c r="AL364" i="23917"/>
  <c r="EA396" i="24050"/>
  <c r="CM396" i="24050"/>
  <c r="DW396" i="24050"/>
  <c r="CI396" i="24050"/>
  <c r="EC391" i="24050"/>
  <c r="CO391" i="24050"/>
  <c r="DU391" i="24050"/>
  <c r="CG391" i="24050"/>
  <c r="BS394" i="24050"/>
  <c r="DG394" i="24050"/>
  <c r="CL15" i="24050"/>
  <c r="DR408" i="23917"/>
  <c r="DR409" i="23917" s="1"/>
  <c r="CB15" i="24050"/>
  <c r="DH408" i="23917"/>
  <c r="DH409" i="23917" s="1"/>
  <c r="BT15" i="24050"/>
  <c r="CZ408" i="23917"/>
  <c r="CZ409" i="23917" s="1"/>
  <c r="BL15" i="24050"/>
  <c r="CR408" i="23917"/>
  <c r="BD15" i="24050"/>
  <c r="CJ408" i="23917"/>
  <c r="CS382" i="24050"/>
  <c r="EG382" i="24050"/>
  <c r="DQ382" i="24050"/>
  <c r="CC382" i="24050"/>
  <c r="CK384" i="24050"/>
  <c r="DY384" i="24050"/>
  <c r="DF381" i="24050"/>
  <c r="BR381" i="24050"/>
  <c r="AS333" i="24050"/>
  <c r="BY339" i="23917"/>
  <c r="BQ332" i="24050"/>
  <c r="CW338" i="23917"/>
  <c r="AK332" i="24050"/>
  <c r="BQ338" i="23917"/>
  <c r="E321" i="24050"/>
  <c r="AK327" i="23917"/>
  <c r="EA313" i="24050"/>
  <c r="FG319" i="23917"/>
  <c r="BK297" i="24050"/>
  <c r="CQ303" i="23917"/>
  <c r="AG296" i="24050"/>
  <c r="BM302" i="23917"/>
  <c r="DY297" i="24050"/>
  <c r="FE303" i="23917"/>
  <c r="DK285" i="24050"/>
  <c r="EQ291" i="23917"/>
  <c r="EE278" i="24050"/>
  <c r="FK284" i="23917"/>
  <c r="CC278" i="24050"/>
  <c r="DI284" i="23917"/>
  <c r="BM278" i="24050"/>
  <c r="CS284" i="23917"/>
  <c r="AW278" i="24050"/>
  <c r="CC284" i="23917"/>
  <c r="AG278" i="24050"/>
  <c r="BM284" i="23917"/>
  <c r="Q278" i="24050"/>
  <c r="AW284" i="23917"/>
  <c r="ED277" i="24050"/>
  <c r="FJ283" i="23917"/>
  <c r="DH275" i="24050"/>
  <c r="EN281" i="23917"/>
  <c r="CQ263" i="24050"/>
  <c r="DW269" i="23917"/>
  <c r="BM263" i="24050"/>
  <c r="CS269" i="23917"/>
  <c r="AW263" i="24050"/>
  <c r="CC269" i="23917"/>
  <c r="CK256" i="24050"/>
  <c r="DQ262" i="23917"/>
  <c r="Y256" i="24050"/>
  <c r="BE262" i="23917"/>
  <c r="AA255" i="24050"/>
  <c r="BG261" i="23917"/>
  <c r="DG257" i="24050"/>
  <c r="EM263" i="23917"/>
  <c r="DQ256" i="24050"/>
  <c r="EW262" i="23917"/>
  <c r="DQ255" i="24050"/>
  <c r="EW261" i="23917"/>
  <c r="E237" i="24050"/>
  <c r="AK243" i="23917"/>
  <c r="AA96" i="24050"/>
  <c r="BG102" i="23917"/>
  <c r="C90" i="24050"/>
  <c r="AI96" i="23917"/>
  <c r="BQ96" i="24050"/>
  <c r="CW102" i="23917"/>
  <c r="BC94" i="24050"/>
  <c r="CI100" i="23917"/>
  <c r="CU30" i="24050"/>
  <c r="EA38" i="23917"/>
  <c r="DN355" i="24050"/>
  <c r="ET361" i="23917"/>
  <c r="DQ367" i="24050"/>
  <c r="EW373" i="23917"/>
  <c r="DI366" i="24050"/>
  <c r="EO372" i="23917"/>
  <c r="EH396" i="24050"/>
  <c r="CT396" i="24050"/>
  <c r="ED390" i="24050"/>
  <c r="CP390" i="24050"/>
  <c r="EL401" i="23917"/>
  <c r="EK401" i="23917"/>
  <c r="S403" i="23917"/>
  <c r="R403" i="23917"/>
  <c r="C403" i="23917"/>
  <c r="B403" i="23917"/>
  <c r="CT383" i="24050"/>
  <c r="EH383" i="24050"/>
  <c r="EF382" i="24050"/>
  <c r="CR382" i="24050"/>
  <c r="EF380" i="24050"/>
  <c r="CR380" i="24050"/>
  <c r="CP333" i="24050"/>
  <c r="DV339" i="23917"/>
  <c r="BW332" i="24050"/>
  <c r="DC338" i="23917"/>
  <c r="AQ332" i="24050"/>
  <c r="BW338" i="23917"/>
  <c r="I332" i="24050"/>
  <c r="AO338" i="23917"/>
  <c r="Y321" i="24050"/>
  <c r="BE327" i="23917"/>
  <c r="DJ312" i="24050"/>
  <c r="EP318" i="23917"/>
  <c r="BO297" i="24050"/>
  <c r="CU303" i="23917"/>
  <c r="C297" i="24050"/>
  <c r="AI303" i="23917"/>
  <c r="BQ296" i="24050"/>
  <c r="CW302" i="23917"/>
  <c r="E296" i="24050"/>
  <c r="AK302" i="23917"/>
  <c r="DN284" i="24050"/>
  <c r="ET290" i="23917"/>
  <c r="DM297" i="24050"/>
  <c r="ES303" i="23917"/>
  <c r="DO285" i="24050"/>
  <c r="EU291" i="23917"/>
  <c r="CG278" i="24050"/>
  <c r="DM284" i="23917"/>
  <c r="BA278" i="24050"/>
  <c r="CG284" i="23917"/>
  <c r="U278" i="24050"/>
  <c r="BA284" i="23917"/>
  <c r="K304" i="23917"/>
  <c r="J304" i="23917"/>
  <c r="DG278" i="24050"/>
  <c r="EM284" i="23917"/>
  <c r="EG278" i="24050"/>
  <c r="FM284" i="23917"/>
  <c r="EA288" i="24050"/>
  <c r="CQ277" i="24050"/>
  <c r="DW283" i="23917"/>
  <c r="CW263" i="24050"/>
  <c r="EC269" i="23917"/>
  <c r="K19" i="24068"/>
  <c r="F19" i="24068"/>
  <c r="BA263" i="24050"/>
  <c r="CG269" i="23917"/>
  <c r="Q263" i="24050"/>
  <c r="AW269" i="23917"/>
  <c r="DT262" i="24050"/>
  <c r="EZ268" i="23917"/>
  <c r="BY256" i="24050"/>
  <c r="DE262" i="23917"/>
  <c r="M256" i="24050"/>
  <c r="AS262" i="23917"/>
  <c r="CA255" i="24050"/>
  <c r="DG261" i="23917"/>
  <c r="O255" i="24050"/>
  <c r="AU261" i="23917"/>
  <c r="DO256" i="24050"/>
  <c r="EU262" i="23917"/>
  <c r="AW237" i="24050"/>
  <c r="CC243" i="23917"/>
  <c r="DY237" i="24050"/>
  <c r="FE243" i="23917"/>
  <c r="AE96" i="24050"/>
  <c r="BK102" i="23917"/>
  <c r="CG96" i="24050"/>
  <c r="DM102" i="23917"/>
  <c r="CO94" i="24050"/>
  <c r="DU100" i="23917"/>
  <c r="AN75" i="24050"/>
  <c r="BT81" i="23917"/>
  <c r="I81" i="23917"/>
  <c r="H81" i="23917"/>
  <c r="O367" i="24050"/>
  <c r="AU373" i="23917"/>
  <c r="DQ368" i="24050"/>
  <c r="EW374" i="23917"/>
  <c r="U356" i="24050"/>
  <c r="BA362" i="23917"/>
  <c r="DP354" i="24050"/>
  <c r="EV360" i="23917"/>
  <c r="DO366" i="24050"/>
  <c r="EU372" i="23917"/>
  <c r="B358" i="24050"/>
  <c r="AH364" i="23917"/>
  <c r="EE396" i="24050"/>
  <c r="CQ396" i="24050"/>
  <c r="EE388" i="24050"/>
  <c r="CQ388" i="24050"/>
  <c r="DW388" i="24050"/>
  <c r="CI388" i="24050"/>
  <c r="DQ395" i="24050"/>
  <c r="CC395" i="24050"/>
  <c r="DI383" i="24050"/>
  <c r="BU383" i="24050"/>
  <c r="EL389" i="23917"/>
  <c r="EK389" i="23917"/>
  <c r="CJ383" i="24050"/>
  <c r="DX383" i="24050"/>
  <c r="DV382" i="24050"/>
  <c r="CH382" i="24050"/>
  <c r="FK409" i="23917"/>
  <c r="EE380" i="24050"/>
  <c r="CQ380" i="24050"/>
  <c r="DW380" i="24050"/>
  <c r="CI380" i="24050"/>
  <c r="U75" i="24050"/>
  <c r="BA81" i="23917"/>
  <c r="EV388" i="23917"/>
  <c r="M333" i="24050"/>
  <c r="AS339" i="23917"/>
  <c r="AU296" i="24050"/>
  <c r="CA302" i="23917"/>
  <c r="DX277" i="24050"/>
  <c r="FD283" i="23917"/>
  <c r="DV275" i="24050"/>
  <c r="FB281" i="23917"/>
  <c r="U263" i="24050"/>
  <c r="BA269" i="23917"/>
  <c r="EH260" i="24050"/>
  <c r="FN266" i="23917"/>
  <c r="CC256" i="24050"/>
  <c r="DI262" i="23917"/>
  <c r="Q256" i="24050"/>
  <c r="AW262" i="23917"/>
  <c r="R17" i="24068"/>
  <c r="BA222" i="24050"/>
  <c r="CG228" i="23917"/>
  <c r="EF219" i="24050"/>
  <c r="FL225" i="23917"/>
  <c r="ED220" i="24050"/>
  <c r="FJ226" i="23917"/>
  <c r="DR220" i="24050"/>
  <c r="EX226" i="23917"/>
  <c r="DX219" i="24050"/>
  <c r="FD225" i="23917"/>
  <c r="DU214" i="24050"/>
  <c r="FA220" i="23917"/>
  <c r="BE215" i="24050"/>
  <c r="CK221" i="23917"/>
  <c r="Y215" i="24050"/>
  <c r="BE221" i="23917"/>
  <c r="BM214" i="24050"/>
  <c r="CS220" i="23917"/>
  <c r="AG214" i="24050"/>
  <c r="BM220" i="23917"/>
  <c r="DH213" i="24050"/>
  <c r="EN219" i="23917"/>
  <c r="W213" i="24050"/>
  <c r="BC219" i="23917"/>
  <c r="BQ202" i="24050"/>
  <c r="CW208" i="23917"/>
  <c r="DZ201" i="24050"/>
  <c r="FF207" i="23917"/>
  <c r="EG214" i="24050"/>
  <c r="FM220" i="23917"/>
  <c r="DY213" i="24050"/>
  <c r="FE219" i="23917"/>
  <c r="CM195" i="24050"/>
  <c r="DS201" i="23917"/>
  <c r="AU195" i="24050"/>
  <c r="CA201" i="23917"/>
  <c r="X204" i="24050"/>
  <c r="X10" i="24050"/>
  <c r="BD210" i="23917"/>
  <c r="DV194" i="24050"/>
  <c r="FB200" i="23917"/>
  <c r="DX192" i="24050"/>
  <c r="FD198" i="23917"/>
  <c r="BI180" i="24050"/>
  <c r="CO186" i="23917"/>
  <c r="DZ179" i="24050"/>
  <c r="FF185" i="23917"/>
  <c r="DV178" i="24050"/>
  <c r="FB184" i="23917"/>
  <c r="AJ175" i="24050"/>
  <c r="BP181" i="23917"/>
  <c r="CS174" i="24050"/>
  <c r="DY180" i="23917"/>
  <c r="AM174" i="24050"/>
  <c r="BS180" i="23917"/>
  <c r="BK173" i="24050"/>
  <c r="CQ179" i="23917"/>
  <c r="AE173" i="24050"/>
  <c r="BK179" i="23917"/>
  <c r="E173" i="24050"/>
  <c r="AK179" i="23917"/>
  <c r="AK162" i="24050"/>
  <c r="BQ168" i="23917"/>
  <c r="DV161" i="24050"/>
  <c r="FB167" i="23917"/>
  <c r="Y164" i="23917"/>
  <c r="X164" i="23917"/>
  <c r="CO155" i="24050"/>
  <c r="DU161" i="23917"/>
  <c r="BD175" i="24050"/>
  <c r="CJ181" i="23917"/>
  <c r="AS155" i="24050"/>
  <c r="BY161" i="23917"/>
  <c r="B164" i="24050"/>
  <c r="B9" i="24050"/>
  <c r="AH170" i="23917"/>
  <c r="DV154" i="24050"/>
  <c r="FB160" i="23917"/>
  <c r="DV153" i="24050"/>
  <c r="FB159" i="23917"/>
  <c r="EG165" i="24050"/>
  <c r="DI140" i="24050"/>
  <c r="EO146" i="23917"/>
  <c r="CB140" i="24050"/>
  <c r="DH146" i="23917"/>
  <c r="AV140" i="24050"/>
  <c r="CB146" i="23917"/>
  <c r="BI139" i="24050"/>
  <c r="CO145" i="23917"/>
  <c r="M139" i="24050"/>
  <c r="AS145" i="23917"/>
  <c r="AV131" i="24050"/>
  <c r="CB137" i="23917"/>
  <c r="DH130" i="24050"/>
  <c r="EN136" i="23917"/>
  <c r="BW119" i="24050"/>
  <c r="DC125" i="23917"/>
  <c r="AQ112" i="24050"/>
  <c r="BW118" i="23917"/>
  <c r="C139" i="24050"/>
  <c r="AI145" i="23917"/>
  <c r="AB131" i="24050"/>
  <c r="BH137" i="23917"/>
  <c r="EF115" i="24050"/>
  <c r="FL121" i="23917"/>
  <c r="BE112" i="24050"/>
  <c r="CK118" i="23917"/>
  <c r="C110" i="24050"/>
  <c r="AI116" i="23917"/>
  <c r="CI162" i="24050"/>
  <c r="DO168" i="23917"/>
  <c r="CP155" i="24050"/>
  <c r="DV161" i="23917"/>
  <c r="CX154" i="24050"/>
  <c r="ED160" i="23917"/>
  <c r="BH131" i="24050"/>
  <c r="CN137" i="23917"/>
  <c r="M75" i="24050"/>
  <c r="AS81" i="23917"/>
  <c r="DN317" i="24050"/>
  <c r="ET323" i="23917"/>
  <c r="BY297" i="24050"/>
  <c r="DE303" i="23917"/>
  <c r="M297" i="24050"/>
  <c r="AS303" i="23917"/>
  <c r="DE297" i="24050"/>
  <c r="EK303" i="23917"/>
  <c r="DT282" i="24050"/>
  <c r="EZ288" i="23917"/>
  <c r="DZ281" i="24050"/>
  <c r="FF287" i="23917"/>
  <c r="Y278" i="24050"/>
  <c r="BE284" i="23917"/>
  <c r="DE278" i="24050"/>
  <c r="EK284" i="23917"/>
  <c r="DH263" i="24050"/>
  <c r="EN269" i="23917"/>
  <c r="H19" i="24068"/>
  <c r="BE263" i="24050"/>
  <c r="CK269" i="23917"/>
  <c r="EB261" i="24050"/>
  <c r="FH267" i="23917"/>
  <c r="Y255" i="24050"/>
  <c r="BE261" i="23917"/>
  <c r="DP235" i="24050"/>
  <c r="EV241" i="23917"/>
  <c r="AI222" i="24050"/>
  <c r="BO228" i="23917"/>
  <c r="E214" i="24050"/>
  <c r="AK220" i="23917"/>
  <c r="CC202" i="24050"/>
  <c r="DI208" i="23917"/>
  <c r="AW202" i="24050"/>
  <c r="CC208" i="23917"/>
  <c r="Q202" i="24050"/>
  <c r="AW208" i="23917"/>
  <c r="DW213" i="24050"/>
  <c r="FC219" i="23917"/>
  <c r="DF195" i="24050"/>
  <c r="EL201" i="23917"/>
  <c r="BW195" i="24050"/>
  <c r="DC201" i="23917"/>
  <c r="CT193" i="24050"/>
  <c r="DZ199" i="23917"/>
  <c r="AK180" i="24050"/>
  <c r="BQ186" i="23917"/>
  <c r="CI174" i="24050"/>
  <c r="DO180" i="23917"/>
  <c r="AY174" i="24050"/>
  <c r="CE180" i="23917"/>
  <c r="DJ173" i="24050"/>
  <c r="EP179" i="23917"/>
  <c r="BE173" i="24050"/>
  <c r="CK179" i="23917"/>
  <c r="Y173" i="24050"/>
  <c r="BE179" i="23917"/>
  <c r="CP159" i="24050"/>
  <c r="DV165" i="23917"/>
  <c r="AW155" i="24050"/>
  <c r="CC161" i="23917"/>
  <c r="DX154" i="24050"/>
  <c r="FD160" i="23917"/>
  <c r="CS154" i="24050"/>
  <c r="DY160" i="23917"/>
  <c r="BI140" i="24050"/>
  <c r="CO146" i="23917"/>
  <c r="CM130" i="24050"/>
  <c r="DS136" i="23917"/>
  <c r="BG130" i="24050"/>
  <c r="CM136" i="23917"/>
  <c r="AA130" i="24050"/>
  <c r="BG136" i="23917"/>
  <c r="DK117" i="24050"/>
  <c r="EQ123" i="23917"/>
  <c r="ED116" i="24050"/>
  <c r="FJ122" i="23917"/>
  <c r="DF112" i="24050"/>
  <c r="EL118" i="23917"/>
  <c r="BQ112" i="24050"/>
  <c r="CW118" i="23917"/>
  <c r="AK112" i="24050"/>
  <c r="BQ118" i="23917"/>
  <c r="BU112" i="24050"/>
  <c r="DA118" i="23917"/>
  <c r="DU215" i="24050"/>
  <c r="FA221" i="23917"/>
  <c r="AI195" i="24050"/>
  <c r="BO201" i="23917"/>
  <c r="DJ174" i="24050"/>
  <c r="EP180" i="23917"/>
  <c r="CM162" i="24050"/>
  <c r="DS168" i="23917"/>
  <c r="BQ75" i="24050"/>
  <c r="CW81" i="23917"/>
  <c r="I333" i="24050"/>
  <c r="AO339" i="23917"/>
  <c r="CC332" i="24050"/>
  <c r="DI338" i="23917"/>
  <c r="AW332" i="24050"/>
  <c r="CC338" i="23917"/>
  <c r="Q332" i="24050"/>
  <c r="AW338" i="23917"/>
  <c r="BI321" i="24050"/>
  <c r="CO327" i="23917"/>
  <c r="I321" i="24050"/>
  <c r="AO327" i="23917"/>
  <c r="BK296" i="24050"/>
  <c r="CQ302" i="23917"/>
  <c r="DJ281" i="24050"/>
  <c r="EP287" i="23917"/>
  <c r="DK278" i="24050"/>
  <c r="EQ284" i="23917"/>
  <c r="T26" i="24068"/>
  <c r="EF261" i="24050"/>
  <c r="FL267" i="23917"/>
  <c r="DH256" i="24050"/>
  <c r="EN262" i="23917"/>
  <c r="BS256" i="24050"/>
  <c r="CY262" i="23917"/>
  <c r="G256" i="24050"/>
  <c r="AM262" i="23917"/>
  <c r="DU256" i="24050"/>
  <c r="FA262" i="23917"/>
  <c r="DM255" i="24050"/>
  <c r="ES261" i="23917"/>
  <c r="BA237" i="24050"/>
  <c r="CG243" i="23917"/>
  <c r="BI222" i="24050"/>
  <c r="CO228" i="23917"/>
  <c r="AO222" i="24050"/>
  <c r="BU228" i="23917"/>
  <c r="ED221" i="24050"/>
  <c r="FJ227" i="23917"/>
  <c r="DF220" i="24050"/>
  <c r="EL226" i="23917"/>
  <c r="DZ220" i="24050"/>
  <c r="FF226" i="23917"/>
  <c r="AG215" i="24050"/>
  <c r="BM221" i="23917"/>
  <c r="CK214" i="24050"/>
  <c r="DQ220" i="23917"/>
  <c r="Y214" i="24050"/>
  <c r="BE220" i="23917"/>
  <c r="AE213" i="24050"/>
  <c r="BK219" i="23917"/>
  <c r="AS202" i="24050"/>
  <c r="BY208" i="23917"/>
  <c r="DR201" i="24050"/>
  <c r="EX207" i="23917"/>
  <c r="EC215" i="24050"/>
  <c r="FI221" i="23917"/>
  <c r="ED199" i="24050"/>
  <c r="FJ205" i="23917"/>
  <c r="DS204" i="24050"/>
  <c r="DS10" i="24050"/>
  <c r="EY210" i="23917"/>
  <c r="AR204" i="24050"/>
  <c r="AR205" i="24050" s="1"/>
  <c r="AR10" i="24050"/>
  <c r="BX210" i="23917"/>
  <c r="BX211" i="23917" s="1"/>
  <c r="DK193" i="24050"/>
  <c r="EQ199" i="23917"/>
  <c r="DL180" i="24050"/>
  <c r="ER186" i="23917"/>
  <c r="U180" i="24050"/>
  <c r="BA186" i="23917"/>
  <c r="DM174" i="24050"/>
  <c r="ES180" i="23917"/>
  <c r="BK174" i="24050"/>
  <c r="CQ180" i="23917"/>
  <c r="AA174" i="24050"/>
  <c r="BG180" i="23917"/>
  <c r="G174" i="24050"/>
  <c r="AM180" i="23917"/>
  <c r="K162" i="24050"/>
  <c r="AQ168" i="23917"/>
  <c r="DY174" i="24050"/>
  <c r="FE180" i="23917"/>
  <c r="CB175" i="24050"/>
  <c r="DH181" i="23917"/>
  <c r="BG155" i="24050"/>
  <c r="CM161" i="23917"/>
  <c r="AV175" i="24050"/>
  <c r="CB181" i="23917"/>
  <c r="AK155" i="24050"/>
  <c r="BQ161" i="23917"/>
  <c r="CQ154" i="24050"/>
  <c r="DW160" i="23917"/>
  <c r="BI75" i="24050"/>
  <c r="CO81" i="23917"/>
  <c r="EB311" i="24050"/>
  <c r="FH317" i="23917"/>
  <c r="BI297" i="24050"/>
  <c r="CO303" i="23917"/>
  <c r="DH282" i="24050"/>
  <c r="EN288" i="23917"/>
  <c r="BU278" i="24050"/>
  <c r="DA284" i="23917"/>
  <c r="AT298" i="24050"/>
  <c r="BZ304" i="23917"/>
  <c r="O278" i="24050"/>
  <c r="AU284" i="23917"/>
  <c r="CA263" i="24050"/>
  <c r="DG269" i="23917"/>
  <c r="AG268" i="23917"/>
  <c r="X268" i="23917"/>
  <c r="Y268" i="23917"/>
  <c r="AO255" i="24050"/>
  <c r="BU261" i="23917"/>
  <c r="AK237" i="24050"/>
  <c r="BQ243" i="23917"/>
  <c r="BS222" i="24050"/>
  <c r="CY228" i="23917"/>
  <c r="S222" i="24050"/>
  <c r="AY228" i="23917"/>
  <c r="DQ222" i="24050"/>
  <c r="EW228" i="23917"/>
  <c r="AA215" i="24050"/>
  <c r="BG221" i="23917"/>
  <c r="CE214" i="24050"/>
  <c r="DK220" i="23917"/>
  <c r="DJ213" i="24050"/>
  <c r="EP219" i="23917"/>
  <c r="AM213" i="24050"/>
  <c r="BS219" i="23917"/>
  <c r="R219" i="23917"/>
  <c r="S219" i="23917"/>
  <c r="CF204" i="24050"/>
  <c r="CF205" i="24050" s="1"/>
  <c r="CF10" i="24050"/>
  <c r="DL210" i="23917"/>
  <c r="DL211" i="23917" s="1"/>
  <c r="AQ195" i="24050"/>
  <c r="BW201" i="23917"/>
  <c r="BG162" i="24050"/>
  <c r="CM168" i="23917"/>
  <c r="DR154" i="24050"/>
  <c r="EX160" i="23917"/>
  <c r="AC130" i="24050"/>
  <c r="BI136" i="23917"/>
  <c r="CN131" i="24050"/>
  <c r="DT137" i="23917"/>
  <c r="BA140" i="24050"/>
  <c r="CG146" i="23917"/>
  <c r="DF131" i="24050"/>
  <c r="EL137" i="23917"/>
  <c r="CX255" i="24050"/>
  <c r="ED261" i="23917"/>
  <c r="CZ255" i="24050"/>
  <c r="EF261" i="23917"/>
  <c r="CS255" i="24050"/>
  <c r="DY261" i="23917"/>
  <c r="CQ255" i="24050"/>
  <c r="DW261" i="23917"/>
  <c r="CY255" i="24050"/>
  <c r="EE261" i="23917"/>
  <c r="CT242" i="24050"/>
  <c r="DZ248" i="23917"/>
  <c r="CR235" i="24050"/>
  <c r="DX241" i="23917"/>
  <c r="CP242" i="24050"/>
  <c r="DV248" i="23917"/>
  <c r="CQ235" i="24050"/>
  <c r="DW241" i="23917"/>
  <c r="CP234" i="24050"/>
  <c r="DV240" i="23917"/>
  <c r="CR242" i="24050"/>
  <c r="DX248" i="23917"/>
  <c r="CR234" i="24050"/>
  <c r="DX240" i="23917"/>
  <c r="CT234" i="24050"/>
  <c r="DZ240" i="23917"/>
  <c r="CU332" i="24050"/>
  <c r="EA338" i="23917"/>
  <c r="FJ19" i="23917"/>
  <c r="F11" i="24050"/>
  <c r="C85" i="23917"/>
  <c r="G84" i="23917"/>
  <c r="G88" i="23917"/>
  <c r="AE88" i="23917"/>
  <c r="U88" i="23917"/>
  <c r="O84" i="23917"/>
  <c r="E85" i="23917"/>
  <c r="AG88" i="23917"/>
  <c r="K85" i="23917"/>
  <c r="Q85" i="23917"/>
  <c r="AA84" i="23917"/>
  <c r="AA81" i="23917"/>
  <c r="K81" i="23917"/>
  <c r="V98" i="23917"/>
  <c r="V86" i="23917"/>
  <c r="I101" i="23917"/>
  <c r="E101" i="23917"/>
  <c r="B53" i="23917"/>
  <c r="C33" i="23917"/>
  <c r="ER396" i="23917"/>
  <c r="F49" i="23917"/>
  <c r="F48" i="23917"/>
  <c r="F43" i="23917"/>
  <c r="G40" i="23917"/>
  <c r="H408" i="23917"/>
  <c r="I390" i="23917"/>
  <c r="EX396" i="23917"/>
  <c r="ER386" i="23917"/>
  <c r="AL387" i="23917"/>
  <c r="F381" i="24050" s="1"/>
  <c r="CS403" i="23917"/>
  <c r="BM397" i="24050" s="1"/>
  <c r="CQ403" i="23917"/>
  <c r="BK397" i="24050" s="1"/>
  <c r="EP393" i="23917"/>
  <c r="EO403" i="23917"/>
  <c r="AY390" i="23917"/>
  <c r="S384" i="24050" s="1"/>
  <c r="R408" i="23917"/>
  <c r="S390" i="23917"/>
  <c r="B408" i="23917"/>
  <c r="C390" i="23917"/>
  <c r="FN386" i="23917"/>
  <c r="FM390" i="23917"/>
  <c r="AA340" i="23917"/>
  <c r="K340" i="23917"/>
  <c r="AG369" i="23917"/>
  <c r="DT15" i="23917"/>
  <c r="K35" i="24068"/>
  <c r="V14" i="23917"/>
  <c r="W369" i="23917"/>
  <c r="DL15" i="23917"/>
  <c r="DD15" i="23917"/>
  <c r="CV15" i="23917"/>
  <c r="CN15" i="23917"/>
  <c r="CF15" i="23917"/>
  <c r="BX15" i="23917"/>
  <c r="BP15" i="23917"/>
  <c r="BH15" i="23917"/>
  <c r="U408" i="23917"/>
  <c r="E408" i="23917"/>
  <c r="AL14" i="23917"/>
  <c r="M340" i="23917"/>
  <c r="E329" i="23917"/>
  <c r="M369" i="23917"/>
  <c r="EN396" i="23917"/>
  <c r="FQ388" i="23917"/>
  <c r="I35" i="24068"/>
  <c r="S335" i="23917"/>
  <c r="B14" i="23917"/>
  <c r="N299" i="23917"/>
  <c r="O293" i="23917"/>
  <c r="AC304" i="23917"/>
  <c r="M304" i="23917"/>
  <c r="AC252" i="23917"/>
  <c r="AB258" i="23917"/>
  <c r="S369" i="23917"/>
  <c r="DJ15" i="23917"/>
  <c r="DB15" i="23917"/>
  <c r="CT15" i="23917"/>
  <c r="Y340" i="23917"/>
  <c r="Q329" i="23917"/>
  <c r="P335" i="23917"/>
  <c r="AE263" i="23917"/>
  <c r="AC250" i="23917"/>
  <c r="Z252" i="23917"/>
  <c r="AA243" i="23917"/>
  <c r="AE304" i="23917"/>
  <c r="CB11" i="24050"/>
  <c r="AV11" i="24050"/>
  <c r="AF11" i="24050"/>
  <c r="P11" i="24050"/>
  <c r="AG269" i="23917"/>
  <c r="AA261" i="23917"/>
  <c r="CH11" i="24050"/>
  <c r="AL11" i="24050"/>
  <c r="E299" i="23917"/>
  <c r="AE293" i="23917"/>
  <c r="H13" i="23917"/>
  <c r="AG248" i="23917"/>
  <c r="CJ10" i="23917"/>
  <c r="AN10" i="23917"/>
  <c r="CD11" i="24050"/>
  <c r="R11" i="24050"/>
  <c r="W146" i="23917"/>
  <c r="DD10" i="23917"/>
  <c r="BX10" i="23917"/>
  <c r="T10" i="23917"/>
  <c r="CW19" i="23917"/>
  <c r="CG19" i="23917"/>
  <c r="BQ19" i="23917"/>
  <c r="BA19" i="23917"/>
  <c r="AK19" i="23917"/>
  <c r="U19" i="23917"/>
  <c r="CL11" i="24050"/>
  <c r="Z11" i="24050"/>
  <c r="Z176" i="23917"/>
  <c r="CT8" i="23917"/>
  <c r="AD11" i="24050"/>
  <c r="AG145" i="23917"/>
  <c r="Y145" i="23917"/>
  <c r="Z146" i="23917"/>
  <c r="AA142" i="23917"/>
  <c r="U125" i="23917"/>
  <c r="T127" i="23917"/>
  <c r="AE125" i="23917"/>
  <c r="AA180" i="23917"/>
  <c r="AA201" i="23917"/>
  <c r="Z210" i="23917"/>
  <c r="EO8" i="23917"/>
  <c r="BX8" i="23917"/>
  <c r="V127" i="23917"/>
  <c r="AH9" i="23917"/>
  <c r="E84" i="23917"/>
  <c r="Q88" i="23917"/>
  <c r="AA88" i="23917"/>
  <c r="W81" i="23917"/>
  <c r="G81" i="23917"/>
  <c r="C86" i="23917"/>
  <c r="D49" i="23917"/>
  <c r="D48" i="23917"/>
  <c r="D43" i="23917"/>
  <c r="E40" i="23917"/>
  <c r="I33" i="23917"/>
  <c r="H53" i="23917"/>
  <c r="E33" i="23917"/>
  <c r="DZ389" i="23917"/>
  <c r="DY389" i="23917"/>
  <c r="AJ387" i="23917"/>
  <c r="D381" i="24050" s="1"/>
  <c r="ER393" i="23917"/>
  <c r="EM390" i="23917"/>
  <c r="EN386" i="23917"/>
  <c r="AH387" i="23917"/>
  <c r="B381" i="24050" s="1"/>
  <c r="CK403" i="23917"/>
  <c r="BE397" i="24050" s="1"/>
  <c r="CI403" i="23917"/>
  <c r="BC397" i="24050" s="1"/>
  <c r="FR396" i="23917"/>
  <c r="FS396" i="23917"/>
  <c r="CY390" i="24050" s="1"/>
  <c r="EL393" i="23917"/>
  <c r="AU390" i="23917"/>
  <c r="O384" i="24050" s="1"/>
  <c r="AD408" i="23917"/>
  <c r="AE390" i="23917"/>
  <c r="N408" i="23917"/>
  <c r="O390" i="23917"/>
  <c r="EE386" i="23917"/>
  <c r="AG329" i="23917"/>
  <c r="AF335" i="23917"/>
  <c r="FG403" i="23917"/>
  <c r="EY403" i="23917"/>
  <c r="DR15" i="23917"/>
  <c r="AT14" i="23917"/>
  <c r="M329" i="23917"/>
  <c r="CC403" i="23917"/>
  <c r="AW397" i="24050" s="1"/>
  <c r="EB397" i="23917"/>
  <c r="EA397" i="23917"/>
  <c r="EU403" i="23917"/>
  <c r="BA390" i="23917"/>
  <c r="U384" i="24050" s="1"/>
  <c r="J14" i="23917"/>
  <c r="J299" i="23917"/>
  <c r="K293" i="23917"/>
  <c r="I304" i="23917"/>
  <c r="U252" i="23917"/>
  <c r="T258" i="23917"/>
  <c r="EP390" i="23917"/>
  <c r="EL390" i="23917"/>
  <c r="D35" i="24068"/>
  <c r="AP14" i="23917"/>
  <c r="Y329" i="23917"/>
  <c r="AG247" i="23917"/>
  <c r="X262" i="23917"/>
  <c r="Y247" i="23917"/>
  <c r="R252" i="23917"/>
  <c r="S243" i="23917"/>
  <c r="DJ13" i="23917"/>
  <c r="CT13" i="23917"/>
  <c r="CD13" i="23917"/>
  <c r="BN13" i="23917"/>
  <c r="AX13" i="23917"/>
  <c r="AH13" i="23917"/>
  <c r="N12" i="23917"/>
  <c r="AE252" i="23917"/>
  <c r="Y243" i="23917"/>
  <c r="CN11" i="24050"/>
  <c r="BX11" i="24050"/>
  <c r="AR11" i="24050"/>
  <c r="AB11" i="24050"/>
  <c r="AC221" i="23917"/>
  <c r="U221" i="23917"/>
  <c r="AG243" i="23917"/>
  <c r="Z299" i="23917"/>
  <c r="AA293" i="23917"/>
  <c r="D13" i="23917"/>
  <c r="X293" i="23917"/>
  <c r="I299" i="23917"/>
  <c r="EC19" i="23917"/>
  <c r="DE11" i="24050"/>
  <c r="AG227" i="23917"/>
  <c r="Y227" i="23917"/>
  <c r="AA228" i="23917"/>
  <c r="EY10" i="23917"/>
  <c r="BT10" i="23917"/>
  <c r="AG199" i="23917"/>
  <c r="Y199" i="23917"/>
  <c r="X201" i="23917"/>
  <c r="B11" i="24050"/>
  <c r="AF176" i="23917"/>
  <c r="DG11" i="24050"/>
  <c r="EM10" i="23917"/>
  <c r="CV10" i="23917"/>
  <c r="BP10" i="23917"/>
  <c r="AG206" i="23917"/>
  <c r="Y206" i="23917"/>
  <c r="S201" i="23917"/>
  <c r="R210" i="23917"/>
  <c r="Y165" i="23917"/>
  <c r="AG165" i="23917"/>
  <c r="X180" i="23917"/>
  <c r="S9" i="24068"/>
  <c r="BV11" i="24050"/>
  <c r="J11" i="24050"/>
  <c r="DR8" i="23917"/>
  <c r="AW19" i="23917"/>
  <c r="AG116" i="23917"/>
  <c r="Y116" i="23917"/>
  <c r="R127" i="23917"/>
  <c r="S118" i="23917"/>
  <c r="AA136" i="23917"/>
  <c r="AE170" i="23917"/>
  <c r="AD176" i="23917"/>
  <c r="Y159" i="23917"/>
  <c r="AG159" i="23917"/>
  <c r="AG140" i="23917"/>
  <c r="Y140" i="23917"/>
  <c r="X142" i="23917"/>
  <c r="P39" i="24068"/>
  <c r="AA123" i="23917"/>
  <c r="CN8" i="23917"/>
  <c r="AX9" i="23917"/>
  <c r="I85" i="23917"/>
  <c r="W85" i="23917"/>
  <c r="M84" i="23917"/>
  <c r="AE84" i="23917"/>
  <c r="AE90" i="23917"/>
  <c r="U85" i="23917"/>
  <c r="E87" i="23917"/>
  <c r="K88" i="23917"/>
  <c r="Y86" i="23917"/>
  <c r="Q98" i="23917"/>
  <c r="AA85" i="23917"/>
  <c r="U86" i="23917"/>
  <c r="M98" i="23917"/>
  <c r="S81" i="23917"/>
  <c r="C81" i="23917"/>
  <c r="C98" i="23917"/>
  <c r="K86" i="23917"/>
  <c r="I40" i="23917"/>
  <c r="E47" i="23917"/>
  <c r="B40" i="23917"/>
  <c r="FP396" i="23917"/>
  <c r="G33" i="23917"/>
  <c r="EN393" i="23917"/>
  <c r="FB403" i="23917"/>
  <c r="EZ393" i="23917"/>
  <c r="EX393" i="23917"/>
  <c r="Z408" i="23917"/>
  <c r="AA390" i="23917"/>
  <c r="J408" i="23917"/>
  <c r="K390" i="23917"/>
  <c r="Q369" i="23917"/>
  <c r="FL403" i="23917"/>
  <c r="BD15" i="23917"/>
  <c r="G35" i="24068"/>
  <c r="W335" i="23917"/>
  <c r="F14" i="23917"/>
  <c r="G369" i="23917"/>
  <c r="EB402" i="23917"/>
  <c r="EA402" i="23917"/>
  <c r="DH15" i="23917"/>
  <c r="CZ15" i="23917"/>
  <c r="CR15" i="23917"/>
  <c r="CJ15" i="23917"/>
  <c r="AC408" i="23917"/>
  <c r="AC340" i="23917"/>
  <c r="U329" i="23917"/>
  <c r="AG293" i="23917"/>
  <c r="AF299" i="23917"/>
  <c r="R9" i="24068"/>
  <c r="AG387" i="23917"/>
  <c r="AC369" i="23917"/>
  <c r="BU403" i="23917"/>
  <c r="AO397" i="24050" s="1"/>
  <c r="ET386" i="23917"/>
  <c r="E35" i="24068"/>
  <c r="R14" i="23917"/>
  <c r="G293" i="23917"/>
  <c r="J252" i="23917"/>
  <c r="Q252" i="23917"/>
  <c r="EB393" i="23917"/>
  <c r="EA393" i="23917"/>
  <c r="EX394" i="23917"/>
  <c r="DN15" i="23917"/>
  <c r="DF15" i="23917"/>
  <c r="CX15" i="23917"/>
  <c r="Q390" i="23917"/>
  <c r="AB293" i="23917"/>
  <c r="L13" i="23917"/>
  <c r="V12" i="23917"/>
  <c r="AI19" i="23917"/>
  <c r="CJ11" i="24050"/>
  <c r="AN11" i="24050"/>
  <c r="X11" i="24050"/>
  <c r="H11" i="24050"/>
  <c r="X186" i="23917"/>
  <c r="Y184" i="23917"/>
  <c r="AG184" i="23917"/>
  <c r="V13" i="23917"/>
  <c r="P13" i="23917"/>
  <c r="EK12" i="23917"/>
  <c r="T293" i="23917"/>
  <c r="X263" i="23917"/>
  <c r="EO12" i="23917"/>
  <c r="EG19" i="23917"/>
  <c r="DP10" i="23917"/>
  <c r="BD10" i="23917"/>
  <c r="AG220" i="23917"/>
  <c r="Y220" i="23917"/>
  <c r="AB176" i="23917"/>
  <c r="AC170" i="23917"/>
  <c r="DT10" i="23917"/>
  <c r="CN10" i="23917"/>
  <c r="BH10" i="23917"/>
  <c r="FB19" i="23917"/>
  <c r="W170" i="23917"/>
  <c r="AC146" i="23917"/>
  <c r="DJ8" i="23917"/>
  <c r="BZ11" i="24050"/>
  <c r="AT11" i="24050"/>
  <c r="N11" i="24050"/>
  <c r="AG115" i="23917"/>
  <c r="Y115" i="23917"/>
  <c r="X118" i="23917"/>
  <c r="AA125" i="23917"/>
  <c r="AA221" i="23917"/>
  <c r="AA168" i="23917"/>
  <c r="DD8" i="23917"/>
  <c r="S123" i="23917"/>
  <c r="AE201" i="23917"/>
  <c r="AD210" i="23917"/>
  <c r="AG166" i="23917"/>
  <c r="AE181" i="23917"/>
  <c r="AF127" i="23917"/>
  <c r="AE168" i="23917"/>
  <c r="BN9" i="23917"/>
  <c r="I87" i="23917"/>
  <c r="C88" i="23917"/>
  <c r="G85" i="23917"/>
  <c r="U87" i="23917"/>
  <c r="O88" i="23917"/>
  <c r="E88" i="23917"/>
  <c r="AG86" i="23917"/>
  <c r="Y98" i="23917"/>
  <c r="AA90" i="23917"/>
  <c r="AC86" i="23917"/>
  <c r="U98" i="23917"/>
  <c r="AE81" i="23917"/>
  <c r="O81" i="23917"/>
  <c r="Y85" i="23917"/>
  <c r="S86" i="23917"/>
  <c r="AA98" i="23917"/>
  <c r="K98" i="23917"/>
  <c r="C101" i="23917"/>
  <c r="EV396" i="23917"/>
  <c r="G47" i="23917"/>
  <c r="DQ403" i="23917"/>
  <c r="DS403" i="23917"/>
  <c r="X408" i="23917"/>
  <c r="Y390" i="23917"/>
  <c r="DY386" i="23917"/>
  <c r="DX390" i="23917"/>
  <c r="FO386" i="23917"/>
  <c r="EF386" i="23917"/>
  <c r="EA386" i="23917"/>
  <c r="EV386" i="23917"/>
  <c r="FJ397" i="23917"/>
  <c r="FP393" i="23917"/>
  <c r="FO403" i="23917"/>
  <c r="FB396" i="23917"/>
  <c r="ET393" i="23917"/>
  <c r="BE390" i="23917"/>
  <c r="Y384" i="24050" s="1"/>
  <c r="BC390" i="23917"/>
  <c r="W384" i="24050" s="1"/>
  <c r="V408" i="23917"/>
  <c r="W390" i="23917"/>
  <c r="F408" i="23917"/>
  <c r="G390" i="23917"/>
  <c r="FQ386" i="23917"/>
  <c r="O340" i="23917"/>
  <c r="Y369" i="23917"/>
  <c r="FC403" i="23917"/>
  <c r="EB394" i="23917"/>
  <c r="EA394" i="23917"/>
  <c r="N14" i="23917"/>
  <c r="O369" i="23917"/>
  <c r="AS403" i="23917"/>
  <c r="M397" i="24050" s="1"/>
  <c r="U390" i="23917"/>
  <c r="E390" i="23917"/>
  <c r="AC329" i="23917"/>
  <c r="S250" i="23917"/>
  <c r="AO387" i="23917"/>
  <c r="I381" i="24050" s="1"/>
  <c r="BQ403" i="23917"/>
  <c r="AK397" i="24050" s="1"/>
  <c r="FT395" i="23917"/>
  <c r="CZ389" i="24050" s="1"/>
  <c r="FU395" i="23917"/>
  <c r="DA389" i="24050" s="1"/>
  <c r="AW390" i="23917"/>
  <c r="Q384" i="24050" s="1"/>
  <c r="ED387" i="23917"/>
  <c r="EC387" i="23917"/>
  <c r="Z14" i="23917"/>
  <c r="K335" i="23917"/>
  <c r="AD329" i="23917"/>
  <c r="AE319" i="23917"/>
  <c r="S293" i="23917"/>
  <c r="C293" i="23917"/>
  <c r="AG304" i="23917"/>
  <c r="Q304" i="23917"/>
  <c r="AF258" i="23917"/>
  <c r="M252" i="23917"/>
  <c r="K369" i="23917"/>
  <c r="DY403" i="23917"/>
  <c r="CL15" i="23917"/>
  <c r="AF390" i="23917"/>
  <c r="Q408" i="23917"/>
  <c r="Q340" i="23917"/>
  <c r="I329" i="23917"/>
  <c r="AG250" i="23917"/>
  <c r="AH12" i="23917"/>
  <c r="W258" i="23917"/>
  <c r="CF11" i="24050"/>
  <c r="AJ11" i="24050"/>
  <c r="T11" i="24050"/>
  <c r="D11" i="24050"/>
  <c r="X228" i="23917"/>
  <c r="AG224" i="23917"/>
  <c r="Y224" i="23917"/>
  <c r="W293" i="23917"/>
  <c r="AG261" i="23917"/>
  <c r="Y261" i="23917"/>
  <c r="E293" i="23917"/>
  <c r="CZ10" i="23917"/>
  <c r="AV10" i="23917"/>
  <c r="CS19" i="23917"/>
  <c r="CC19" i="23917"/>
  <c r="BM19" i="23917"/>
  <c r="AO19" i="23917"/>
  <c r="Y19" i="23917"/>
  <c r="AH11" i="24050"/>
  <c r="P9" i="24068"/>
  <c r="Y204" i="23917"/>
  <c r="X219" i="23917"/>
  <c r="AG204" i="23917"/>
  <c r="AF216" i="23917"/>
  <c r="AA179" i="23917"/>
  <c r="U170" i="23917"/>
  <c r="AE146" i="23917"/>
  <c r="AA118" i="23917"/>
  <c r="L11" i="23917"/>
  <c r="DI11" i="24050"/>
  <c r="DL10" i="23917"/>
  <c r="CF10" i="23917"/>
  <c r="AB10" i="23917"/>
  <c r="S136" i="23917"/>
  <c r="Y124" i="23917"/>
  <c r="AG124" i="23917"/>
  <c r="FZ19" i="23917"/>
  <c r="GA19" i="23917"/>
  <c r="AP11" i="24050"/>
  <c r="P11" i="23917"/>
  <c r="W210" i="23917"/>
  <c r="AG221" i="23917"/>
  <c r="U146" i="23917"/>
  <c r="DB8" i="23917"/>
  <c r="CB8" i="23917"/>
  <c r="AD127" i="23917"/>
  <c r="AE118" i="23917"/>
  <c r="Y161" i="23917"/>
  <c r="Y123" i="23917"/>
  <c r="AE136" i="23917"/>
  <c r="DT8" i="23917"/>
  <c r="AA219" i="23917"/>
  <c r="AG168" i="23917"/>
  <c r="S161" i="23917"/>
  <c r="R170" i="23917"/>
  <c r="R146" i="23917"/>
  <c r="S142" i="23917"/>
  <c r="AB8" i="23917"/>
  <c r="BV9" i="23917"/>
  <c r="DJ9" i="23917"/>
  <c r="CD9" i="23917"/>
  <c r="GN28" i="23916" l="1"/>
  <c r="GO28" i="23916" s="1"/>
  <c r="GN29" i="23916"/>
  <c r="GO25" i="23916"/>
  <c r="GN27" i="23916"/>
  <c r="GO27" i="23916" s="1"/>
  <c r="GR566" i="23916"/>
  <c r="GT415" i="23916"/>
  <c r="GS415" i="23916"/>
  <c r="GT35" i="23916"/>
  <c r="GS35" i="23916"/>
  <c r="GT33" i="23916"/>
  <c r="GS33" i="23916"/>
  <c r="GT32" i="23916"/>
  <c r="GS32" i="23916"/>
  <c r="GN30" i="23916"/>
  <c r="GL39" i="23916"/>
  <c r="GM30" i="23916"/>
  <c r="U26" i="24068"/>
  <c r="V26" i="24068"/>
  <c r="F24" i="24068"/>
  <c r="Q19" i="24068"/>
  <c r="I24" i="24068"/>
  <c r="CT130" i="24050"/>
  <c r="DZ136" i="23917"/>
  <c r="CX85" i="23917"/>
  <c r="AC87" i="23917"/>
  <c r="AN397" i="23917"/>
  <c r="H391" i="24050" s="1"/>
  <c r="AO397" i="23917"/>
  <c r="I391" i="24050" s="1"/>
  <c r="AQ397" i="23917"/>
  <c r="K391" i="24050" s="1"/>
  <c r="AH397" i="23917"/>
  <c r="B391" i="24050" s="1"/>
  <c r="AI397" i="23917"/>
  <c r="C391" i="24050" s="1"/>
  <c r="ES399" i="23917"/>
  <c r="ET399" i="23917"/>
  <c r="AX397" i="23917"/>
  <c r="R391" i="24050" s="1"/>
  <c r="AY397" i="23917"/>
  <c r="S391" i="24050" s="1"/>
  <c r="EO397" i="23917"/>
  <c r="EP397" i="23917"/>
  <c r="EW390" i="23917"/>
  <c r="EZ390" i="23917"/>
  <c r="BI208" i="23917"/>
  <c r="AC202" i="24050"/>
  <c r="AG161" i="23917"/>
  <c r="BK86" i="23917"/>
  <c r="W299" i="23917"/>
  <c r="AD369" i="23917"/>
  <c r="BB86" i="23917"/>
  <c r="BI202" i="24050"/>
  <c r="CO208" i="23917"/>
  <c r="AK397" i="23917"/>
  <c r="E391" i="24050" s="1"/>
  <c r="X137" i="23917"/>
  <c r="DE208" i="23917"/>
  <c r="BY202" i="24050"/>
  <c r="BC397" i="23917"/>
  <c r="W391" i="24050" s="1"/>
  <c r="BE397" i="23917"/>
  <c r="Y391" i="24050" s="1"/>
  <c r="BB397" i="23917"/>
  <c r="V391" i="24050" s="1"/>
  <c r="DR90" i="24050"/>
  <c r="EX96" i="23917"/>
  <c r="DM121" i="24050"/>
  <c r="DM8" i="24050"/>
  <c r="ES127" i="23917"/>
  <c r="DP202" i="24050"/>
  <c r="EV208" i="23917"/>
  <c r="DX202" i="24050"/>
  <c r="FD208" i="23917"/>
  <c r="DY81" i="24050"/>
  <c r="FE87" i="23917"/>
  <c r="DE15" i="24050"/>
  <c r="EK408" i="23917"/>
  <c r="CU159" i="24050"/>
  <c r="EA165" i="23917"/>
  <c r="DE127" i="24050"/>
  <c r="EK133" i="23917"/>
  <c r="DL115" i="24050"/>
  <c r="ER121" i="23917"/>
  <c r="AB121" i="24050"/>
  <c r="AB8" i="24050"/>
  <c r="BH127" i="23917"/>
  <c r="CQ130" i="24050"/>
  <c r="DW136" i="23917"/>
  <c r="BR170" i="24050"/>
  <c r="CX176" i="23917"/>
  <c r="AJ127" i="24050"/>
  <c r="BP133" i="23917"/>
  <c r="B127" i="24050"/>
  <c r="AH133" i="23917"/>
  <c r="AY140" i="24050"/>
  <c r="CE146" i="23917"/>
  <c r="EL154" i="24050"/>
  <c r="FR160" i="23917"/>
  <c r="AA164" i="24050"/>
  <c r="AA9" i="24050"/>
  <c r="BG170" i="23917"/>
  <c r="DY204" i="24050"/>
  <c r="DY205" i="24050" s="1"/>
  <c r="DY10" i="24050"/>
  <c r="FE210" i="23917"/>
  <c r="FE211" i="23917" s="1"/>
  <c r="CP198" i="24050"/>
  <c r="DV204" i="23917"/>
  <c r="CH210" i="24050"/>
  <c r="DN216" i="23917"/>
  <c r="K131" i="24050"/>
  <c r="AQ137" i="23917"/>
  <c r="CI131" i="24050"/>
  <c r="DO137" i="23917"/>
  <c r="EC204" i="24050"/>
  <c r="EC10" i="24050"/>
  <c r="FI210" i="23917"/>
  <c r="FI211" i="23917" s="1"/>
  <c r="DR200" i="24050"/>
  <c r="EX206" i="23917"/>
  <c r="C112" i="24050"/>
  <c r="AI118" i="23917"/>
  <c r="EC121" i="24050"/>
  <c r="EC8" i="24050"/>
  <c r="FI127" i="23917"/>
  <c r="FI128" i="23917" s="1"/>
  <c r="Y164" i="24050"/>
  <c r="Y9" i="24050"/>
  <c r="BE170" i="23917"/>
  <c r="AN170" i="24050"/>
  <c r="BT176" i="23917"/>
  <c r="CK164" i="24050"/>
  <c r="CK9" i="24050"/>
  <c r="DQ170" i="23917"/>
  <c r="CX174" i="24050"/>
  <c r="ED180" i="23917"/>
  <c r="R204" i="24050"/>
  <c r="R10" i="24050"/>
  <c r="AX210" i="23917"/>
  <c r="DL199" i="24050"/>
  <c r="ER205" i="23917"/>
  <c r="BG202" i="24050"/>
  <c r="CM208" i="23917"/>
  <c r="CM204" i="24050"/>
  <c r="CM10" i="24050"/>
  <c r="DS210" i="23917"/>
  <c r="CU194" i="24050"/>
  <c r="EA200" i="23917"/>
  <c r="B14" i="24068"/>
  <c r="AX246" i="24050"/>
  <c r="AX247" i="24050" s="1"/>
  <c r="AX12" i="24050"/>
  <c r="CD252" i="23917"/>
  <c r="CD253" i="23917" s="1"/>
  <c r="CZ298" i="24050"/>
  <c r="EF304" i="23917"/>
  <c r="DT242" i="24050"/>
  <c r="EZ248" i="23917"/>
  <c r="DH287" i="24050"/>
  <c r="DH13" i="24050"/>
  <c r="EN293" i="23917"/>
  <c r="DX318" i="24050"/>
  <c r="FD324" i="23917"/>
  <c r="AP246" i="24050"/>
  <c r="AP247" i="24050" s="1"/>
  <c r="AP12" i="24050"/>
  <c r="BV252" i="23917"/>
  <c r="BV253" i="23917" s="1"/>
  <c r="EJ283" i="24050"/>
  <c r="FP289" i="23917"/>
  <c r="D14" i="24068"/>
  <c r="BB246" i="24050"/>
  <c r="BB247" i="24050" s="1"/>
  <c r="BB12" i="24050"/>
  <c r="CH252" i="23917"/>
  <c r="CH253" i="23917" s="1"/>
  <c r="DP278" i="24050"/>
  <c r="EV284" i="23917"/>
  <c r="BO287" i="24050"/>
  <c r="BO13" i="24050"/>
  <c r="CU293" i="23917"/>
  <c r="DQ313" i="24050"/>
  <c r="EW319" i="23917"/>
  <c r="K237" i="24050"/>
  <c r="AQ243" i="23917"/>
  <c r="Q244" i="24050"/>
  <c r="AW250" i="23917"/>
  <c r="CC244" i="24050"/>
  <c r="DI250" i="23917"/>
  <c r="AY257" i="24050"/>
  <c r="CE263" i="23917"/>
  <c r="CV275" i="24050"/>
  <c r="EB281" i="23917"/>
  <c r="DC298" i="24050"/>
  <c r="EI304" i="23917"/>
  <c r="CY296" i="24050"/>
  <c r="EE302" i="23917"/>
  <c r="EC298" i="24050"/>
  <c r="FI304" i="23917"/>
  <c r="DT312" i="24050"/>
  <c r="EZ318" i="23917"/>
  <c r="I335" i="23917"/>
  <c r="H335" i="23917"/>
  <c r="AL323" i="24050"/>
  <c r="AL14" i="24050"/>
  <c r="BR329" i="23917"/>
  <c r="BK408" i="23917"/>
  <c r="AE399" i="24050" s="1"/>
  <c r="AE15" i="24050"/>
  <c r="Q14" i="24068"/>
  <c r="EA246" i="24050"/>
  <c r="EA12" i="24050"/>
  <c r="FG252" i="23917"/>
  <c r="DL240" i="24050"/>
  <c r="ER246" i="23917"/>
  <c r="AC246" i="24050"/>
  <c r="AC12" i="24050"/>
  <c r="BI252" i="23917"/>
  <c r="AS246" i="24050"/>
  <c r="AS12" i="24050"/>
  <c r="BY252" i="23917"/>
  <c r="BI246" i="24050"/>
  <c r="BI12" i="24050"/>
  <c r="CO252" i="23917"/>
  <c r="BY246" i="24050"/>
  <c r="BY12" i="24050"/>
  <c r="DE252" i="23917"/>
  <c r="CO246" i="24050"/>
  <c r="CO12" i="24050"/>
  <c r="DU252" i="23917"/>
  <c r="Q298" i="24050"/>
  <c r="AW304" i="23917"/>
  <c r="CC298" i="24050"/>
  <c r="DI304" i="23917"/>
  <c r="S299" i="23917"/>
  <c r="R299" i="23917"/>
  <c r="P334" i="24050"/>
  <c r="AV340" i="23917"/>
  <c r="BK244" i="24050"/>
  <c r="CQ250" i="23917"/>
  <c r="BM257" i="24050"/>
  <c r="CS263" i="23917"/>
  <c r="V293" i="24050"/>
  <c r="BB299" i="23917"/>
  <c r="BB293" i="24050"/>
  <c r="CH299" i="23917"/>
  <c r="CH293" i="24050"/>
  <c r="DN299" i="23917"/>
  <c r="CV310" i="24050"/>
  <c r="EB316" i="23917"/>
  <c r="AC335" i="23917"/>
  <c r="AB335" i="23917"/>
  <c r="CD323" i="24050"/>
  <c r="CD324" i="24050" s="1"/>
  <c r="CD14" i="24050"/>
  <c r="DJ329" i="23917"/>
  <c r="DJ330" i="23917" s="1"/>
  <c r="DM334" i="24050"/>
  <c r="ES340" i="23917"/>
  <c r="EC323" i="24050"/>
  <c r="EC324" i="24050" s="1"/>
  <c r="EC14" i="24050"/>
  <c r="FI329" i="23917"/>
  <c r="FI330" i="23917" s="1"/>
  <c r="P323" i="24050"/>
  <c r="P14" i="24050"/>
  <c r="AV329" i="23917"/>
  <c r="DR320" i="24050"/>
  <c r="EX326" i="23917"/>
  <c r="DW397" i="24050"/>
  <c r="CI397" i="24050"/>
  <c r="EI397" i="24050"/>
  <c r="CU397" i="24050"/>
  <c r="DC358" i="24050"/>
  <c r="EI364" i="23917"/>
  <c r="DP380" i="24050"/>
  <c r="CB380" i="24050"/>
  <c r="AU30" i="24050"/>
  <c r="CA38" i="23917"/>
  <c r="DZ31" i="24050"/>
  <c r="FF39" i="23917"/>
  <c r="CZ20" i="24050"/>
  <c r="EF23" i="23917"/>
  <c r="DH19" i="24050"/>
  <c r="EN22" i="23917"/>
  <c r="DR31" i="24050"/>
  <c r="EX39" i="23917"/>
  <c r="CV44" i="24050"/>
  <c r="EB52" i="23917"/>
  <c r="CZ31" i="24050"/>
  <c r="EF39" i="23917"/>
  <c r="AS30" i="24050"/>
  <c r="BY38" i="23917"/>
  <c r="BM84" i="24050"/>
  <c r="CS90" i="23917"/>
  <c r="DY79" i="24050"/>
  <c r="FE85" i="23917"/>
  <c r="C92" i="24050"/>
  <c r="AI98" i="23917"/>
  <c r="O80" i="24050"/>
  <c r="AU86" i="23917"/>
  <c r="AA79" i="24050"/>
  <c r="BG85" i="23917"/>
  <c r="AY78" i="24050"/>
  <c r="CE84" i="23917"/>
  <c r="BK79" i="24050"/>
  <c r="CQ85" i="23917"/>
  <c r="BS78" i="24050"/>
  <c r="CY84" i="23917"/>
  <c r="CI92" i="24050"/>
  <c r="DO98" i="23917"/>
  <c r="I78" i="24050"/>
  <c r="AO84" i="23917"/>
  <c r="DC80" i="24050"/>
  <c r="EI86" i="23917"/>
  <c r="DS90" i="24050"/>
  <c r="EY96" i="23917"/>
  <c r="M81" i="24050"/>
  <c r="AS87" i="23917"/>
  <c r="DR93" i="24050"/>
  <c r="EX99" i="23917"/>
  <c r="DJ77" i="24050"/>
  <c r="EP83" i="23917"/>
  <c r="DZ77" i="24050"/>
  <c r="FF83" i="23917"/>
  <c r="DY84" i="24050"/>
  <c r="FE90" i="23917"/>
  <c r="O82" i="24050"/>
  <c r="AU88" i="23917"/>
  <c r="CF81" i="24050"/>
  <c r="DL87" i="23917"/>
  <c r="DC82" i="24050"/>
  <c r="EI88" i="23917"/>
  <c r="BX84" i="24050"/>
  <c r="DD90" i="23917"/>
  <c r="DK81" i="24050"/>
  <c r="EQ87" i="23917"/>
  <c r="EB77" i="24050"/>
  <c r="FH83" i="23917"/>
  <c r="CE164" i="24050"/>
  <c r="CE9" i="24050"/>
  <c r="DK170" i="23917"/>
  <c r="DQ131" i="24050"/>
  <c r="EW137" i="23917"/>
  <c r="AF121" i="24050"/>
  <c r="AF8" i="24050"/>
  <c r="BL127" i="23917"/>
  <c r="DV130" i="24050"/>
  <c r="FB136" i="23917"/>
  <c r="DZ136" i="24050"/>
  <c r="FF142" i="23917"/>
  <c r="BK140" i="24050"/>
  <c r="CQ146" i="23917"/>
  <c r="BK175" i="24050"/>
  <c r="CQ181" i="23917"/>
  <c r="DR162" i="24050"/>
  <c r="EX168" i="23917"/>
  <c r="EH174" i="24050"/>
  <c r="FN180" i="23917"/>
  <c r="BF121" i="24050"/>
  <c r="BF122" i="24050" s="1"/>
  <c r="BF8" i="24050"/>
  <c r="CL127" i="23917"/>
  <c r="CL128" i="23917" s="1"/>
  <c r="EB139" i="24050"/>
  <c r="FH145" i="23917"/>
  <c r="DM164" i="24050"/>
  <c r="DM9" i="24050"/>
  <c r="ES170" i="23917"/>
  <c r="EB155" i="24050"/>
  <c r="FH161" i="23917"/>
  <c r="DR119" i="24050"/>
  <c r="EX125" i="23917"/>
  <c r="DZ173" i="24050"/>
  <c r="FF179" i="23917"/>
  <c r="AH121" i="24050"/>
  <c r="AH8" i="24050"/>
  <c r="BN127" i="23917"/>
  <c r="DT118" i="24050"/>
  <c r="EZ124" i="23917"/>
  <c r="AW127" i="24050"/>
  <c r="CC133" i="23917"/>
  <c r="DS164" i="24050"/>
  <c r="DS9" i="24050"/>
  <c r="EY170" i="23917"/>
  <c r="EA162" i="24050"/>
  <c r="FG168" i="23917"/>
  <c r="U204" i="24050"/>
  <c r="U10" i="24050"/>
  <c r="BA210" i="23917"/>
  <c r="DX200" i="24050"/>
  <c r="FD206" i="23917"/>
  <c r="DI210" i="24050"/>
  <c r="EO216" i="23917"/>
  <c r="F5" i="24068"/>
  <c r="BF11" i="24050"/>
  <c r="DN115" i="24050"/>
  <c r="ET121" i="23917"/>
  <c r="DL118" i="24050"/>
  <c r="ER124" i="23917"/>
  <c r="C130" i="24050"/>
  <c r="AI136" i="23917"/>
  <c r="CM131" i="24050"/>
  <c r="DS137" i="23917"/>
  <c r="DT139" i="24050"/>
  <c r="EZ145" i="23917"/>
  <c r="E204" i="24050"/>
  <c r="E10" i="24050"/>
  <c r="AK210" i="23917"/>
  <c r="C140" i="24050"/>
  <c r="AI146" i="23917"/>
  <c r="L170" i="24050"/>
  <c r="AR176" i="23917"/>
  <c r="AS164" i="24050"/>
  <c r="AS9" i="24050"/>
  <c r="BY170" i="23917"/>
  <c r="BX170" i="24050"/>
  <c r="DD176" i="23917"/>
  <c r="DL158" i="24050"/>
  <c r="ER164" i="23917"/>
  <c r="EI201" i="24050"/>
  <c r="FO207" i="23917"/>
  <c r="CB210" i="24050"/>
  <c r="DH216" i="23917"/>
  <c r="C202" i="24050"/>
  <c r="AI208" i="23917"/>
  <c r="DU204" i="24050"/>
  <c r="DU10" i="24050"/>
  <c r="FA210" i="23917"/>
  <c r="FA211" i="23917" s="1"/>
  <c r="BQ257" i="24050"/>
  <c r="CW263" i="23917"/>
  <c r="AC237" i="24050"/>
  <c r="BI243" i="23917"/>
  <c r="CT256" i="24050"/>
  <c r="DZ262" i="23917"/>
  <c r="F14" i="24068"/>
  <c r="BF246" i="24050"/>
  <c r="BF247" i="24050" s="1"/>
  <c r="BF12" i="24050"/>
  <c r="CL252" i="23917"/>
  <c r="CL253" i="23917" s="1"/>
  <c r="Y250" i="23917"/>
  <c r="X250" i="23917"/>
  <c r="EF278" i="24050"/>
  <c r="FL284" i="23917"/>
  <c r="M287" i="24050"/>
  <c r="M13" i="24050"/>
  <c r="AS293" i="23917"/>
  <c r="R257" i="24050"/>
  <c r="AX263" i="23917"/>
  <c r="DZ242" i="24050"/>
  <c r="FF248" i="23917"/>
  <c r="DA277" i="24050"/>
  <c r="EG283" i="23917"/>
  <c r="DV296" i="24050"/>
  <c r="FB302" i="23917"/>
  <c r="C323" i="24050"/>
  <c r="C14" i="24050"/>
  <c r="AI329" i="23917"/>
  <c r="U323" i="24050"/>
  <c r="U14" i="24050"/>
  <c r="BA329" i="23917"/>
  <c r="EF333" i="24050"/>
  <c r="FL339" i="23917"/>
  <c r="S14" i="24068"/>
  <c r="EE246" i="24050"/>
  <c r="EE247" i="24050" s="1"/>
  <c r="EE12" i="24050"/>
  <c r="FK252" i="23917"/>
  <c r="AF252" i="24050"/>
  <c r="BL258" i="23917"/>
  <c r="AV252" i="24050"/>
  <c r="CB258" i="23917"/>
  <c r="BL252" i="24050"/>
  <c r="CR258" i="23917"/>
  <c r="CB252" i="24050"/>
  <c r="DH258" i="23917"/>
  <c r="DH246" i="24050"/>
  <c r="DH12" i="24050"/>
  <c r="EN252" i="23917"/>
  <c r="AJ293" i="24050"/>
  <c r="BP299" i="23917"/>
  <c r="BP293" i="24050"/>
  <c r="CV299" i="23917"/>
  <c r="DI323" i="24050"/>
  <c r="DI14" i="24050"/>
  <c r="EO329" i="23917"/>
  <c r="X329" i="24050"/>
  <c r="BD335" i="23917"/>
  <c r="CK313" i="24050"/>
  <c r="DQ319" i="23917"/>
  <c r="CQ317" i="24050"/>
  <c r="DW323" i="23917"/>
  <c r="ER387" i="23917"/>
  <c r="EQ387" i="23917"/>
  <c r="DR244" i="24050"/>
  <c r="EX250" i="23917"/>
  <c r="EH263" i="24050"/>
  <c r="FN269" i="23917"/>
  <c r="DU287" i="24050"/>
  <c r="DU13" i="24050"/>
  <c r="FA293" i="23917"/>
  <c r="S313" i="24050"/>
  <c r="AY319" i="23917"/>
  <c r="DX320" i="24050"/>
  <c r="FD326" i="23917"/>
  <c r="G363" i="24050"/>
  <c r="AM369" i="23917"/>
  <c r="DE323" i="24050"/>
  <c r="DE14" i="24050"/>
  <c r="EK329" i="23917"/>
  <c r="AB329" i="24050"/>
  <c r="BH335" i="23917"/>
  <c r="AR329" i="24050"/>
  <c r="BX335" i="23917"/>
  <c r="BH329" i="24050"/>
  <c r="CN335" i="23917"/>
  <c r="BX329" i="24050"/>
  <c r="DD335" i="23917"/>
  <c r="CN329" i="24050"/>
  <c r="DT335" i="23917"/>
  <c r="Q363" i="24050"/>
  <c r="AW369" i="23917"/>
  <c r="DV397" i="24050"/>
  <c r="CH397" i="24050"/>
  <c r="DH387" i="24050"/>
  <c r="BT387" i="24050"/>
  <c r="DN19" i="24050"/>
  <c r="ET22" i="23917"/>
  <c r="I48" i="23917"/>
  <c r="H48" i="23917"/>
  <c r="O98" i="23917"/>
  <c r="N98" i="23917"/>
  <c r="AE98" i="23917"/>
  <c r="AD98" i="23917"/>
  <c r="BM82" i="24050"/>
  <c r="CS88" i="23917"/>
  <c r="DR91" i="24050"/>
  <c r="EX97" i="23917"/>
  <c r="EG78" i="24050"/>
  <c r="FM84" i="23917"/>
  <c r="J82" i="24050"/>
  <c r="AP88" i="23917"/>
  <c r="CS76" i="24050"/>
  <c r="CS88" i="24050"/>
  <c r="DY94" i="23917"/>
  <c r="DY82" i="23917"/>
  <c r="S79" i="24050"/>
  <c r="AY85" i="23917"/>
  <c r="BC79" i="24050"/>
  <c r="CI85" i="23917"/>
  <c r="AB81" i="24050"/>
  <c r="BH87" i="23917"/>
  <c r="Q91" i="24050"/>
  <c r="AW97" i="23917"/>
  <c r="BM90" i="24050"/>
  <c r="CS96" i="23917"/>
  <c r="DX88" i="24050"/>
  <c r="DX76" i="24050"/>
  <c r="FD94" i="23917"/>
  <c r="FD82" i="23917"/>
  <c r="DW79" i="24050"/>
  <c r="FC85" i="23917"/>
  <c r="DW92" i="24050"/>
  <c r="FC98" i="23917"/>
  <c r="DN75" i="24050"/>
  <c r="ET81" i="23917"/>
  <c r="DF94" i="24050"/>
  <c r="EL100" i="23917"/>
  <c r="ED93" i="24050"/>
  <c r="FJ99" i="23917"/>
  <c r="DM82" i="24050"/>
  <c r="ES88" i="23917"/>
  <c r="EC82" i="24050"/>
  <c r="FI88" i="23917"/>
  <c r="DG84" i="24050"/>
  <c r="EM90" i="23917"/>
  <c r="AS77" i="24050"/>
  <c r="BY83" i="23917"/>
  <c r="DN160" i="24050"/>
  <c r="ET166" i="23917"/>
  <c r="BZ127" i="24050"/>
  <c r="DF133" i="23917"/>
  <c r="DR117" i="24050"/>
  <c r="EX123" i="23917"/>
  <c r="CK131" i="24050"/>
  <c r="DQ137" i="23917"/>
  <c r="AU140" i="24050"/>
  <c r="CA146" i="23917"/>
  <c r="EE164" i="24050"/>
  <c r="EE165" i="24050" s="1"/>
  <c r="EE9" i="24050"/>
  <c r="FK170" i="23917"/>
  <c r="FK171" i="23917" s="1"/>
  <c r="AU175" i="24050"/>
  <c r="CA181" i="23917"/>
  <c r="DR160" i="24050"/>
  <c r="EX166" i="23917"/>
  <c r="DF164" i="24050"/>
  <c r="DF9" i="24050"/>
  <c r="EL170" i="23917"/>
  <c r="DN194" i="24050"/>
  <c r="ET200" i="23917"/>
  <c r="DP200" i="24050"/>
  <c r="EV206" i="23917"/>
  <c r="AE119" i="24050"/>
  <c r="BK125" i="23917"/>
  <c r="BA121" i="24050"/>
  <c r="BA8" i="24050"/>
  <c r="CG127" i="23917"/>
  <c r="J121" i="24050"/>
  <c r="J8" i="24050"/>
  <c r="AP127" i="23917"/>
  <c r="DV118" i="24050"/>
  <c r="FB124" i="23917"/>
  <c r="CQ140" i="24050"/>
  <c r="DW146" i="23917"/>
  <c r="AL164" i="24050"/>
  <c r="AL9" i="24050"/>
  <c r="BR170" i="23917"/>
  <c r="BD127" i="24050"/>
  <c r="CJ133" i="23917"/>
  <c r="DV175" i="24050"/>
  <c r="FB181" i="23917"/>
  <c r="EG210" i="24050"/>
  <c r="FM216" i="23917"/>
  <c r="ED214" i="24050"/>
  <c r="FJ220" i="23917"/>
  <c r="BR210" i="24050"/>
  <c r="CX216" i="23917"/>
  <c r="DP111" i="24050"/>
  <c r="EV117" i="23917"/>
  <c r="C131" i="24050"/>
  <c r="AI137" i="23917"/>
  <c r="DW140" i="24050"/>
  <c r="FC146" i="23917"/>
  <c r="DU246" i="24050"/>
  <c r="DU247" i="24050" s="1"/>
  <c r="DU12" i="24050"/>
  <c r="FA252" i="23917"/>
  <c r="FA253" i="23917" s="1"/>
  <c r="AG164" i="24050"/>
  <c r="AG9" i="24050"/>
  <c r="BM170" i="23917"/>
  <c r="AV170" i="24050"/>
  <c r="CB176" i="23917"/>
  <c r="CD204" i="24050"/>
  <c r="CD205" i="24050" s="1"/>
  <c r="CD10" i="24050"/>
  <c r="DJ210" i="23917"/>
  <c r="DJ211" i="23917" s="1"/>
  <c r="DL287" i="24050"/>
  <c r="DL13" i="24050"/>
  <c r="ER293" i="23917"/>
  <c r="DK257" i="24050"/>
  <c r="EQ263" i="23917"/>
  <c r="G5" i="24068"/>
  <c r="BH11" i="24050"/>
  <c r="CU276" i="24050"/>
  <c r="EA282" i="23917"/>
  <c r="V246" i="24050"/>
  <c r="V12" i="24050"/>
  <c r="BB252" i="23917"/>
  <c r="DN242" i="24050"/>
  <c r="ET248" i="23917"/>
  <c r="EA244" i="24050"/>
  <c r="FG250" i="23917"/>
  <c r="CU278" i="24050"/>
  <c r="EA284" i="23917"/>
  <c r="CS297" i="24050"/>
  <c r="DY303" i="23917"/>
  <c r="Y287" i="24050"/>
  <c r="Y13" i="24050"/>
  <c r="BE293" i="23917"/>
  <c r="BE287" i="24050"/>
  <c r="BE13" i="24050"/>
  <c r="CK293" i="23917"/>
  <c r="CK287" i="24050"/>
  <c r="CK13" i="24050"/>
  <c r="DQ293" i="23917"/>
  <c r="CH329" i="24050"/>
  <c r="DN335" i="23917"/>
  <c r="EF15" i="24050"/>
  <c r="FL408" i="23917"/>
  <c r="I246" i="24050"/>
  <c r="I12" i="24050"/>
  <c r="AO252" i="23917"/>
  <c r="DP313" i="24050"/>
  <c r="EV319" i="23917"/>
  <c r="DO332" i="24050"/>
  <c r="EU338" i="23917"/>
  <c r="CT333" i="24050"/>
  <c r="DZ339" i="23917"/>
  <c r="Q237" i="24050"/>
  <c r="AW243" i="23917"/>
  <c r="DJ278" i="24050"/>
  <c r="EP284" i="23917"/>
  <c r="AM287" i="24050"/>
  <c r="AM13" i="24050"/>
  <c r="BS293" i="23917"/>
  <c r="BS287" i="24050"/>
  <c r="BS13" i="24050"/>
  <c r="CY293" i="23917"/>
  <c r="DS323" i="24050"/>
  <c r="DS14" i="24050"/>
  <c r="EY329" i="23917"/>
  <c r="DZ320" i="24050"/>
  <c r="FF326" i="23917"/>
  <c r="EC15" i="24050"/>
  <c r="FI408" i="23917"/>
  <c r="CM397" i="24050"/>
  <c r="EA397" i="24050"/>
  <c r="DK256" i="24050"/>
  <c r="EQ262" i="23917"/>
  <c r="CP334" i="24050"/>
  <c r="DV340" i="23917"/>
  <c r="N15" i="24050"/>
  <c r="AT408" i="23917"/>
  <c r="N399" i="24050" s="1"/>
  <c r="EL390" i="24050"/>
  <c r="CX390" i="24050"/>
  <c r="BS384" i="24050"/>
  <c r="DG384" i="24050"/>
  <c r="DN316" i="24050"/>
  <c r="ET322" i="23917"/>
  <c r="DX30" i="24050"/>
  <c r="FD38" i="23917"/>
  <c r="E53" i="23917"/>
  <c r="D53" i="23917"/>
  <c r="DO30" i="24050"/>
  <c r="EU38" i="23917"/>
  <c r="BA30" i="24050"/>
  <c r="CG38" i="23917"/>
  <c r="AG82" i="24050"/>
  <c r="BM88" i="23917"/>
  <c r="G75" i="24050"/>
  <c r="AM81" i="23917"/>
  <c r="AM75" i="24050"/>
  <c r="BS81" i="23917"/>
  <c r="BS75" i="24050"/>
  <c r="CY81" i="23917"/>
  <c r="K79" i="24050"/>
  <c r="AQ85" i="23917"/>
  <c r="CG79" i="24050"/>
  <c r="DM85" i="23917"/>
  <c r="ED88" i="24050"/>
  <c r="ED76" i="24050"/>
  <c r="FJ94" i="23917"/>
  <c r="FJ82" i="23917"/>
  <c r="EA79" i="24050"/>
  <c r="FG85" i="23917"/>
  <c r="DR94" i="24050"/>
  <c r="EX100" i="23917"/>
  <c r="BN164" i="24050"/>
  <c r="BN165" i="24050" s="1"/>
  <c r="BN9" i="24050"/>
  <c r="CT170" i="23917"/>
  <c r="CT171" i="23917" s="1"/>
  <c r="Z121" i="24050"/>
  <c r="Z8" i="24050"/>
  <c r="BF127" i="23917"/>
  <c r="DH131" i="24050"/>
  <c r="EN137" i="23917"/>
  <c r="DO119" i="24050"/>
  <c r="EU125" i="23917"/>
  <c r="CA119" i="24050"/>
  <c r="DG125" i="23917"/>
  <c r="I130" i="24050"/>
  <c r="AO136" i="23917"/>
  <c r="AE175" i="24050"/>
  <c r="BK181" i="23917"/>
  <c r="EB180" i="24050"/>
  <c r="FH186" i="23917"/>
  <c r="EC202" i="24050"/>
  <c r="FI208" i="23917"/>
  <c r="DK175" i="24050"/>
  <c r="EQ181" i="23917"/>
  <c r="AI204" i="24050"/>
  <c r="AI10" i="24050"/>
  <c r="BO210" i="23917"/>
  <c r="CM140" i="24050"/>
  <c r="DS146" i="23917"/>
  <c r="EH160" i="24050"/>
  <c r="FN166" i="23917"/>
  <c r="DP110" i="24050"/>
  <c r="EV116" i="23917"/>
  <c r="BB121" i="24050"/>
  <c r="BB122" i="24050" s="1"/>
  <c r="BB8" i="24050"/>
  <c r="CH127" i="23917"/>
  <c r="CH128" i="23917" s="1"/>
  <c r="BO119" i="24050"/>
  <c r="CU125" i="23917"/>
  <c r="T121" i="24050"/>
  <c r="T8" i="24050"/>
  <c r="AZ127" i="23917"/>
  <c r="DH119" i="24050"/>
  <c r="EN125" i="23917"/>
  <c r="CQ158" i="24050"/>
  <c r="DW164" i="23917"/>
  <c r="CI164" i="24050"/>
  <c r="CI9" i="24050"/>
  <c r="DO170" i="23917"/>
  <c r="CS111" i="24050"/>
  <c r="DY117" i="23917"/>
  <c r="EC140" i="24050"/>
  <c r="FI146" i="23917"/>
  <c r="M140" i="24050"/>
  <c r="AS146" i="23917"/>
  <c r="C175" i="24050"/>
  <c r="AI181" i="23917"/>
  <c r="ED155" i="24050"/>
  <c r="FJ161" i="23917"/>
  <c r="AU204" i="24050"/>
  <c r="AU10" i="24050"/>
  <c r="CA210" i="23917"/>
  <c r="DW204" i="24050"/>
  <c r="DW205" i="24050" s="1"/>
  <c r="DW10" i="24050"/>
  <c r="FC210" i="23917"/>
  <c r="FC211" i="23917" s="1"/>
  <c r="DV112" i="24050"/>
  <c r="FB118" i="23917"/>
  <c r="K140" i="24050"/>
  <c r="AQ146" i="23917"/>
  <c r="T170" i="24050"/>
  <c r="AZ176" i="23917"/>
  <c r="BA164" i="24050"/>
  <c r="BA9" i="24050"/>
  <c r="CG170" i="23917"/>
  <c r="CF170" i="24050"/>
  <c r="DL176" i="23917"/>
  <c r="CS192" i="24050"/>
  <c r="DY198" i="23917"/>
  <c r="AG204" i="24050"/>
  <c r="AG10" i="24050"/>
  <c r="BM210" i="23917"/>
  <c r="DK202" i="24050"/>
  <c r="EQ208" i="23917"/>
  <c r="AP204" i="24050"/>
  <c r="AP205" i="24050" s="1"/>
  <c r="AP10" i="24050"/>
  <c r="BV210" i="23917"/>
  <c r="BV211" i="23917" s="1"/>
  <c r="DP215" i="24050"/>
  <c r="EV221" i="23917"/>
  <c r="DY285" i="24050"/>
  <c r="FE291" i="23917"/>
  <c r="CV311" i="24050"/>
  <c r="EB317" i="23917"/>
  <c r="DQ204" i="24050"/>
  <c r="DQ10" i="24050"/>
  <c r="EW210" i="23917"/>
  <c r="ER19" i="23917"/>
  <c r="EQ19" i="23917"/>
  <c r="EH242" i="24050"/>
  <c r="FN248" i="23917"/>
  <c r="M244" i="24050"/>
  <c r="AS250" i="23917"/>
  <c r="BY244" i="24050"/>
  <c r="DE250" i="23917"/>
  <c r="CE257" i="24050"/>
  <c r="DK263" i="23917"/>
  <c r="DI298" i="24050"/>
  <c r="EO304" i="23917"/>
  <c r="AD323" i="24050"/>
  <c r="AD14" i="24050"/>
  <c r="BJ329" i="23917"/>
  <c r="BG408" i="23917"/>
  <c r="AA399" i="24050" s="1"/>
  <c r="AA15" i="24050"/>
  <c r="DX237" i="24050"/>
  <c r="FD243" i="23917"/>
  <c r="AO246" i="24050"/>
  <c r="AO12" i="24050"/>
  <c r="BU252" i="23917"/>
  <c r="BE246" i="24050"/>
  <c r="BE12" i="24050"/>
  <c r="CK252" i="23917"/>
  <c r="BU246" i="24050"/>
  <c r="BU12" i="24050"/>
  <c r="DA252" i="23917"/>
  <c r="CK246" i="24050"/>
  <c r="CK12" i="24050"/>
  <c r="DQ252" i="23917"/>
  <c r="AS298" i="24050"/>
  <c r="BY304" i="23917"/>
  <c r="M334" i="24050"/>
  <c r="AS340" i="23917"/>
  <c r="EF313" i="24050"/>
  <c r="FL319" i="23917"/>
  <c r="BU334" i="24050"/>
  <c r="DA340" i="23917"/>
  <c r="DI358" i="24050"/>
  <c r="EO364" i="23917"/>
  <c r="U237" i="24050"/>
  <c r="BA243" i="23917"/>
  <c r="BW244" i="24050"/>
  <c r="DC250" i="23917"/>
  <c r="ED278" i="24050"/>
  <c r="FJ284" i="23917"/>
  <c r="AQ334" i="24050"/>
  <c r="BW340" i="23917"/>
  <c r="DR236" i="24050"/>
  <c r="EX242" i="23917"/>
  <c r="DG334" i="24050"/>
  <c r="EM340" i="23917"/>
  <c r="BQ334" i="24050"/>
  <c r="CW340" i="23917"/>
  <c r="EH380" i="24050"/>
  <c r="CT380" i="24050"/>
  <c r="DJ387" i="24050"/>
  <c r="BV387" i="24050"/>
  <c r="DR390" i="24050"/>
  <c r="CD390" i="24050"/>
  <c r="DL390" i="24050"/>
  <c r="BX390" i="24050"/>
  <c r="EB31" i="24050"/>
  <c r="FH39" i="23917"/>
  <c r="DU30" i="24050"/>
  <c r="FA38" i="23917"/>
  <c r="EJ44" i="24050"/>
  <c r="FP52" i="23917"/>
  <c r="K84" i="24050"/>
  <c r="AQ90" i="23917"/>
  <c r="DH75" i="24050"/>
  <c r="EN81" i="23917"/>
  <c r="DZ88" i="24050"/>
  <c r="DZ76" i="24050"/>
  <c r="FF94" i="23917"/>
  <c r="FF82" i="23917"/>
  <c r="K75" i="24050"/>
  <c r="AQ81" i="23917"/>
  <c r="AQ75" i="24050"/>
  <c r="BW81" i="23917"/>
  <c r="BW75" i="24050"/>
  <c r="DC81" i="23917"/>
  <c r="W79" i="24050"/>
  <c r="BC85" i="23917"/>
  <c r="AY90" i="24050"/>
  <c r="CE96" i="23917"/>
  <c r="CA90" i="24050"/>
  <c r="DG96" i="23917"/>
  <c r="Q82" i="24050"/>
  <c r="AW88" i="23917"/>
  <c r="Y91" i="24050"/>
  <c r="BE97" i="23917"/>
  <c r="AZ79" i="24050"/>
  <c r="CF85" i="23917"/>
  <c r="CO79" i="24050"/>
  <c r="DU85" i="23917"/>
  <c r="DP88" i="24050"/>
  <c r="DP76" i="24050"/>
  <c r="EV94" i="23917"/>
  <c r="EV82" i="23917"/>
  <c r="DO91" i="24050"/>
  <c r="EU97" i="23917"/>
  <c r="EE78" i="24050"/>
  <c r="FK84" i="23917"/>
  <c r="BE84" i="24050"/>
  <c r="CK90" i="23917"/>
  <c r="CC82" i="24050"/>
  <c r="DI88" i="23917"/>
  <c r="BG84" i="24050"/>
  <c r="CM90" i="23917"/>
  <c r="DV93" i="24050"/>
  <c r="FB99" i="23917"/>
  <c r="BK82" i="24050"/>
  <c r="CQ88" i="23917"/>
  <c r="DO82" i="24050"/>
  <c r="EU88" i="23917"/>
  <c r="EE81" i="24050"/>
  <c r="FK87" i="23917"/>
  <c r="BH82" i="24050"/>
  <c r="CN88" i="23917"/>
  <c r="BP81" i="24050"/>
  <c r="CV87" i="23917"/>
  <c r="N252" i="24050"/>
  <c r="AT258" i="23917"/>
  <c r="BJ252" i="24050"/>
  <c r="CP258" i="23917"/>
  <c r="EJ117" i="24050"/>
  <c r="FP123" i="23917"/>
  <c r="DR202" i="24050"/>
  <c r="EX208" i="23917"/>
  <c r="DZ298" i="24050"/>
  <c r="FF304" i="23917"/>
  <c r="DM363" i="24050"/>
  <c r="ES369" i="23917"/>
  <c r="DQ363" i="24050"/>
  <c r="EW369" i="23917"/>
  <c r="CF210" i="24050"/>
  <c r="DL216" i="23917"/>
  <c r="CC175" i="24050"/>
  <c r="DI181" i="23917"/>
  <c r="AR210" i="24050"/>
  <c r="BX216" i="23917"/>
  <c r="DS210" i="24050"/>
  <c r="EY216" i="23917"/>
  <c r="DV215" i="24050"/>
  <c r="FB221" i="23917"/>
  <c r="CU193" i="24050"/>
  <c r="EA199" i="23917"/>
  <c r="DE383" i="24050"/>
  <c r="BQ383" i="24050"/>
  <c r="AO75" i="24050"/>
  <c r="BU81" i="23917"/>
  <c r="BL399" i="24050"/>
  <c r="BL400" i="24050" s="1"/>
  <c r="CR409" i="23917"/>
  <c r="DV389" i="24050"/>
  <c r="CH389" i="24050"/>
  <c r="CI119" i="24050"/>
  <c r="DO125" i="23917"/>
  <c r="K119" i="24050"/>
  <c r="AQ125" i="23917"/>
  <c r="CG131" i="24050"/>
  <c r="DM137" i="23917"/>
  <c r="X161" i="23917"/>
  <c r="AI119" i="24050"/>
  <c r="BO125" i="23917"/>
  <c r="BI162" i="24050"/>
  <c r="CO168" i="23917"/>
  <c r="EI200" i="24050"/>
  <c r="FO206" i="23917"/>
  <c r="AI131" i="24050"/>
  <c r="BO137" i="23917"/>
  <c r="EJ193" i="24050"/>
  <c r="FP199" i="23917"/>
  <c r="G215" i="24050"/>
  <c r="AM221" i="23917"/>
  <c r="EF112" i="24050"/>
  <c r="FL118" i="23917"/>
  <c r="DT173" i="24050"/>
  <c r="EZ179" i="23917"/>
  <c r="CK215" i="24050"/>
  <c r="DQ221" i="23917"/>
  <c r="EB202" i="24050"/>
  <c r="FH208" i="23917"/>
  <c r="DV242" i="24050"/>
  <c r="FB248" i="23917"/>
  <c r="EH298" i="24050"/>
  <c r="FN304" i="23917"/>
  <c r="AM321" i="24050"/>
  <c r="BS327" i="23917"/>
  <c r="BS321" i="24050"/>
  <c r="CY327" i="23917"/>
  <c r="BX246" i="24050"/>
  <c r="BX247" i="24050" s="1"/>
  <c r="BX12" i="24050"/>
  <c r="DD252" i="23917"/>
  <c r="DD253" i="23917" s="1"/>
  <c r="CR282" i="24050"/>
  <c r="DX288" i="23917"/>
  <c r="Y298" i="24050"/>
  <c r="BE304" i="23917"/>
  <c r="EA247" i="24050"/>
  <c r="K244" i="24050"/>
  <c r="AQ250" i="23917"/>
  <c r="EJ275" i="24050"/>
  <c r="FP281" i="23917"/>
  <c r="CE334" i="24050"/>
  <c r="DK340" i="23917"/>
  <c r="Y313" i="24050"/>
  <c r="BE319" i="23917"/>
  <c r="BA334" i="24050"/>
  <c r="CG340" i="23917"/>
  <c r="DD356" i="24050"/>
  <c r="EJ362" i="23917"/>
  <c r="DY390" i="24050"/>
  <c r="CK390" i="24050"/>
  <c r="DQ358" i="24050"/>
  <c r="EW364" i="23917"/>
  <c r="DY45" i="24050"/>
  <c r="FE53" i="23917"/>
  <c r="K91" i="24050"/>
  <c r="AQ97" i="23917"/>
  <c r="AA90" i="24050"/>
  <c r="BG96" i="23917"/>
  <c r="AQ79" i="24050"/>
  <c r="BW85" i="23917"/>
  <c r="AY79" i="24050"/>
  <c r="CE85" i="23917"/>
  <c r="BG79" i="24050"/>
  <c r="CM85" i="23917"/>
  <c r="BO79" i="24050"/>
  <c r="CU85" i="23917"/>
  <c r="AJ79" i="24050"/>
  <c r="BP85" i="23917"/>
  <c r="BU78" i="24050"/>
  <c r="DA84" i="23917"/>
  <c r="CF79" i="24050"/>
  <c r="DL85" i="23917"/>
  <c r="AO84" i="24050"/>
  <c r="BU90" i="23917"/>
  <c r="CK82" i="24050"/>
  <c r="DQ88" i="23917"/>
  <c r="DJ93" i="24050"/>
  <c r="EP99" i="23917"/>
  <c r="DC93" i="24050"/>
  <c r="EI99" i="23917"/>
  <c r="EB96" i="24050"/>
  <c r="FH102" i="23917"/>
  <c r="W84" i="24050"/>
  <c r="BC90" i="23917"/>
  <c r="R82" i="24050"/>
  <c r="AX88" i="23917"/>
  <c r="AH82" i="24050"/>
  <c r="BN88" i="23917"/>
  <c r="ET276" i="23917"/>
  <c r="ET153" i="23917"/>
  <c r="ET60" i="23917"/>
  <c r="ET381" i="23917"/>
  <c r="ET235" i="23917"/>
  <c r="ET347" i="23917"/>
  <c r="ET193" i="23917"/>
  <c r="ET311" i="23917"/>
  <c r="ET110" i="23917"/>
  <c r="CE244" i="24050"/>
  <c r="DK250" i="23917"/>
  <c r="EI391" i="24050"/>
  <c r="CU391" i="24050"/>
  <c r="CI390" i="24050"/>
  <c r="DW390" i="24050"/>
  <c r="W80" i="24050"/>
  <c r="BC86" i="23917"/>
  <c r="AM80" i="24050"/>
  <c r="BS86" i="23917"/>
  <c r="BK80" i="24050"/>
  <c r="CQ86" i="23917"/>
  <c r="CE80" i="24050"/>
  <c r="DK86" i="23917"/>
  <c r="AS91" i="24050"/>
  <c r="BY97" i="23917"/>
  <c r="CC91" i="24050"/>
  <c r="DI97" i="23917"/>
  <c r="M84" i="24050"/>
  <c r="AS90" i="23917"/>
  <c r="AE78" i="24050"/>
  <c r="BK84" i="23917"/>
  <c r="BC90" i="24050"/>
  <c r="CI96" i="23917"/>
  <c r="CA78" i="24050"/>
  <c r="DG84" i="23917"/>
  <c r="Q78" i="24050"/>
  <c r="AW84" i="23917"/>
  <c r="BE78" i="24050"/>
  <c r="CK84" i="23917"/>
  <c r="DG79" i="24050"/>
  <c r="EM85" i="23917"/>
  <c r="DH297" i="24050"/>
  <c r="EN303" i="23917"/>
  <c r="DM175" i="24050"/>
  <c r="ES181" i="23917"/>
  <c r="U216" i="23917"/>
  <c r="T216" i="23917"/>
  <c r="AJ210" i="24050"/>
  <c r="BP216" i="23917"/>
  <c r="CL127" i="24050"/>
  <c r="DR133" i="23917"/>
  <c r="DH366" i="24050"/>
  <c r="EN372" i="23917"/>
  <c r="DG382" i="24050"/>
  <c r="BS382" i="24050"/>
  <c r="DE389" i="24050"/>
  <c r="BQ389" i="24050"/>
  <c r="CA391" i="24050"/>
  <c r="DO391" i="24050"/>
  <c r="DO393" i="24050"/>
  <c r="CA393" i="24050"/>
  <c r="BQ396" i="24050"/>
  <c r="DE396" i="24050"/>
  <c r="DN367" i="24050"/>
  <c r="ET373" i="23917"/>
  <c r="DP297" i="24050"/>
  <c r="EV303" i="23917"/>
  <c r="Q119" i="24050"/>
  <c r="AW125" i="23917"/>
  <c r="AM175" i="24050"/>
  <c r="BS181" i="23917"/>
  <c r="AY175" i="24050"/>
  <c r="CE181" i="23917"/>
  <c r="BK131" i="24050"/>
  <c r="CQ137" i="23917"/>
  <c r="EJ311" i="24050"/>
  <c r="FP317" i="23917"/>
  <c r="M257" i="24050"/>
  <c r="AS263" i="23917"/>
  <c r="BA244" i="24050"/>
  <c r="CG250" i="23917"/>
  <c r="BW257" i="24050"/>
  <c r="DC263" i="23917"/>
  <c r="DV283" i="24050"/>
  <c r="FB289" i="23917"/>
  <c r="DJ332" i="24050"/>
  <c r="EP338" i="23917"/>
  <c r="AW334" i="24050"/>
  <c r="CC340" i="23917"/>
  <c r="DU334" i="24050"/>
  <c r="FA340" i="23917"/>
  <c r="DM244" i="24050"/>
  <c r="ES250" i="23917"/>
  <c r="N246" i="24050"/>
  <c r="N12" i="24050"/>
  <c r="AT252" i="23917"/>
  <c r="BZ246" i="24050"/>
  <c r="BZ247" i="24050" s="1"/>
  <c r="BZ12" i="24050"/>
  <c r="DF252" i="23917"/>
  <c r="DF253" i="23917" s="1"/>
  <c r="EJ276" i="24050"/>
  <c r="FP282" i="23917"/>
  <c r="DH296" i="24050"/>
  <c r="EN302" i="23917"/>
  <c r="EF332" i="24050"/>
  <c r="FL338" i="23917"/>
  <c r="AI334" i="24050"/>
  <c r="BO340" i="23917"/>
  <c r="AR323" i="24050"/>
  <c r="AR324" i="24050" s="1"/>
  <c r="AR14" i="24050"/>
  <c r="BX329" i="23917"/>
  <c r="BX330" i="23917" s="1"/>
  <c r="DF333" i="24050"/>
  <c r="EL339" i="23917"/>
  <c r="AC334" i="24050"/>
  <c r="BI340" i="23917"/>
  <c r="DU321" i="24050"/>
  <c r="FA327" i="23917"/>
  <c r="BY387" i="24050"/>
  <c r="DM387" i="24050"/>
  <c r="DU397" i="24050"/>
  <c r="CG397" i="24050"/>
  <c r="DE390" i="24050"/>
  <c r="BQ390" i="24050"/>
  <c r="EG390" i="24050"/>
  <c r="CS390" i="24050"/>
  <c r="DT390" i="24050"/>
  <c r="CF390" i="24050"/>
  <c r="W91" i="24050"/>
  <c r="BC97" i="23917"/>
  <c r="AQ91" i="24050"/>
  <c r="BW97" i="23917"/>
  <c r="S78" i="24050"/>
  <c r="AY84" i="23917"/>
  <c r="M91" i="24050"/>
  <c r="AS97" i="23917"/>
  <c r="AG91" i="24050"/>
  <c r="BM97" i="23917"/>
  <c r="BM91" i="24050"/>
  <c r="CS97" i="23917"/>
  <c r="BU91" i="24050"/>
  <c r="DA97" i="23917"/>
  <c r="CK91" i="24050"/>
  <c r="DQ97" i="23917"/>
  <c r="DD91" i="24050"/>
  <c r="EJ97" i="23917"/>
  <c r="CO77" i="24050"/>
  <c r="DU83" i="23917"/>
  <c r="EF75" i="24050"/>
  <c r="FL81" i="23917"/>
  <c r="AC82" i="24050"/>
  <c r="BI88" i="23917"/>
  <c r="C84" i="24050"/>
  <c r="AI90" i="23917"/>
  <c r="DV53" i="24050"/>
  <c r="DV305" i="24050"/>
  <c r="DV147" i="24050"/>
  <c r="DV229" i="24050"/>
  <c r="DV104" i="24050"/>
  <c r="DV375" i="24050"/>
  <c r="DV270" i="24050"/>
  <c r="DV341" i="24050"/>
  <c r="DV187" i="24050"/>
  <c r="AI298" i="24050"/>
  <c r="BO304" i="23917"/>
  <c r="BC91" i="24050"/>
  <c r="CI97" i="23917"/>
  <c r="DJ91" i="24050"/>
  <c r="EP97" i="23917"/>
  <c r="BY90" i="24050"/>
  <c r="DE96" i="23917"/>
  <c r="CO90" i="24050"/>
  <c r="DU96" i="23917"/>
  <c r="CE78" i="24050"/>
  <c r="DK84" i="23917"/>
  <c r="DI79" i="24050"/>
  <c r="EO85" i="23917"/>
  <c r="AS96" i="24050"/>
  <c r="BY102" i="23917"/>
  <c r="DT270" i="24050"/>
  <c r="DT147" i="24050"/>
  <c r="DT305" i="24050"/>
  <c r="DT104" i="24050"/>
  <c r="DT375" i="24050"/>
  <c r="DT229" i="24050"/>
  <c r="DT53" i="24050"/>
  <c r="DT341" i="24050"/>
  <c r="DT187" i="24050"/>
  <c r="AM79" i="24050"/>
  <c r="BS85" i="23917"/>
  <c r="BS79" i="24050"/>
  <c r="CY85" i="23917"/>
  <c r="Q90" i="24050"/>
  <c r="AW96" i="23917"/>
  <c r="AK91" i="24050"/>
  <c r="BQ97" i="23917"/>
  <c r="BY91" i="24050"/>
  <c r="DE97" i="23917"/>
  <c r="DM78" i="24050"/>
  <c r="ES84" i="23917"/>
  <c r="CE84" i="24050"/>
  <c r="DK90" i="23917"/>
  <c r="CZ214" i="24050"/>
  <c r="EF220" i="23917"/>
  <c r="DZ214" i="24050"/>
  <c r="FF220" i="23917"/>
  <c r="U32" i="24068"/>
  <c r="EI310" i="24050"/>
  <c r="FO316" i="23917"/>
  <c r="BQ382" i="24050"/>
  <c r="DE382" i="24050"/>
  <c r="I75" i="24050"/>
  <c r="AO81" i="23917"/>
  <c r="CG257" i="24050"/>
  <c r="DM263" i="23917"/>
  <c r="DF321" i="24050"/>
  <c r="EL327" i="23917"/>
  <c r="DJ297" i="24050"/>
  <c r="EP303" i="23917"/>
  <c r="BM75" i="24050"/>
  <c r="CS81" i="23917"/>
  <c r="DT256" i="24050"/>
  <c r="EZ262" i="23917"/>
  <c r="DL382" i="24050"/>
  <c r="BX382" i="24050"/>
  <c r="BS391" i="24050"/>
  <c r="DG391" i="24050"/>
  <c r="DG393" i="24050"/>
  <c r="BS393" i="24050"/>
  <c r="DG395" i="24050"/>
  <c r="BS395" i="24050"/>
  <c r="DL368" i="24050"/>
  <c r="ER374" i="23917"/>
  <c r="Y119" i="24050"/>
  <c r="BE125" i="23917"/>
  <c r="S125" i="23917"/>
  <c r="R125" i="23917"/>
  <c r="DN158" i="24050"/>
  <c r="ET164" i="23917"/>
  <c r="EB214" i="24050"/>
  <c r="FH220" i="23917"/>
  <c r="EF215" i="24050"/>
  <c r="FL221" i="23917"/>
  <c r="DF252" i="24050"/>
  <c r="EL258" i="23917"/>
  <c r="BE244" i="24050"/>
  <c r="CK250" i="23917"/>
  <c r="CA257" i="24050"/>
  <c r="DG263" i="23917"/>
  <c r="DZ283" i="24050"/>
  <c r="FF289" i="23917"/>
  <c r="DO257" i="24050"/>
  <c r="EU263" i="23917"/>
  <c r="AY244" i="24050"/>
  <c r="CE250" i="23917"/>
  <c r="DL296" i="24050"/>
  <c r="ER302" i="23917"/>
  <c r="DJ333" i="24050"/>
  <c r="EP339" i="23917"/>
  <c r="DW389" i="24050"/>
  <c r="CI389" i="24050"/>
  <c r="DI390" i="24050"/>
  <c r="BU390" i="24050"/>
  <c r="W78" i="24050"/>
  <c r="BC84" i="23917"/>
  <c r="AY91" i="24050"/>
  <c r="CE97" i="23917"/>
  <c r="BO91" i="24050"/>
  <c r="CU97" i="23917"/>
  <c r="CE91" i="24050"/>
  <c r="DK97" i="23917"/>
  <c r="BU79" i="24050"/>
  <c r="DA85" i="23917"/>
  <c r="BU84" i="24050"/>
  <c r="DA90" i="23917"/>
  <c r="AI90" i="24050"/>
  <c r="BO96" i="23917"/>
  <c r="BW78" i="24050"/>
  <c r="DC84" i="23917"/>
  <c r="AO78" i="24050"/>
  <c r="BU84" i="23917"/>
  <c r="BO84" i="24050"/>
  <c r="CU90" i="23917"/>
  <c r="DR53" i="24050"/>
  <c r="DR305" i="24050"/>
  <c r="DR147" i="24050"/>
  <c r="DR229" i="24050"/>
  <c r="DR104" i="24050"/>
  <c r="DR341" i="24050"/>
  <c r="DR270" i="24050"/>
  <c r="DR375" i="24050"/>
  <c r="DR187" i="24050"/>
  <c r="Q175" i="24050"/>
  <c r="AW181" i="23917"/>
  <c r="DI127" i="24050"/>
  <c r="EO133" i="23917"/>
  <c r="BV127" i="24050"/>
  <c r="DB133" i="23917"/>
  <c r="BU140" i="24050"/>
  <c r="DA146" i="23917"/>
  <c r="BY382" i="24050"/>
  <c r="DM382" i="24050"/>
  <c r="CK75" i="24050"/>
  <c r="DQ81" i="23917"/>
  <c r="DT297" i="24050"/>
  <c r="EZ303" i="23917"/>
  <c r="DF394" i="24050"/>
  <c r="BR394" i="24050"/>
  <c r="DJ396" i="24050"/>
  <c r="BV396" i="24050"/>
  <c r="BC298" i="24050"/>
  <c r="CI304" i="23917"/>
  <c r="DM383" i="24050"/>
  <c r="BY383" i="24050"/>
  <c r="DE393" i="24050"/>
  <c r="BQ393" i="24050"/>
  <c r="DH368" i="24050"/>
  <c r="EN374" i="23917"/>
  <c r="DF58" i="24050"/>
  <c r="EL65" i="23917"/>
  <c r="I131" i="24050"/>
  <c r="AO137" i="23917"/>
  <c r="EA175" i="24050"/>
  <c r="FG181" i="23917"/>
  <c r="BQ131" i="24050"/>
  <c r="CW137" i="23917"/>
  <c r="BU119" i="24050"/>
  <c r="DA125" i="23917"/>
  <c r="BC119" i="24050"/>
  <c r="CI125" i="23917"/>
  <c r="CE175" i="24050"/>
  <c r="DK181" i="23917"/>
  <c r="W162" i="24050"/>
  <c r="BC168" i="23917"/>
  <c r="DP213" i="24050"/>
  <c r="EV219" i="23917"/>
  <c r="DN283" i="24050"/>
  <c r="ET289" i="23917"/>
  <c r="AU334" i="24050"/>
  <c r="CA340" i="23917"/>
  <c r="CA334" i="24050"/>
  <c r="DG340" i="23917"/>
  <c r="M15" i="24068"/>
  <c r="E298" i="24050"/>
  <c r="AK304" i="23917"/>
  <c r="BQ298" i="24050"/>
  <c r="CW304" i="23917"/>
  <c r="DI334" i="24050"/>
  <c r="EO340" i="23917"/>
  <c r="DX242" i="24050"/>
  <c r="FD248" i="23917"/>
  <c r="AM244" i="24050"/>
  <c r="BS250" i="23917"/>
  <c r="DL278" i="24050"/>
  <c r="ER284" i="23917"/>
  <c r="DP296" i="24050"/>
  <c r="EV302" i="23917"/>
  <c r="DX332" i="24050"/>
  <c r="FD338" i="23917"/>
  <c r="AA321" i="24050"/>
  <c r="BG327" i="23917"/>
  <c r="AY321" i="24050"/>
  <c r="CE327" i="23917"/>
  <c r="DN333" i="24050"/>
  <c r="ET339" i="23917"/>
  <c r="K334" i="24050"/>
  <c r="AQ340" i="23917"/>
  <c r="DP388" i="24050"/>
  <c r="CB388" i="24050"/>
  <c r="DM390" i="24050"/>
  <c r="BY390" i="24050"/>
  <c r="CJ15" i="24050"/>
  <c r="DP408" i="23917"/>
  <c r="DP409" i="23917" s="1"/>
  <c r="I81" i="24050"/>
  <c r="AO87" i="23917"/>
  <c r="DZ140" i="24050"/>
  <c r="FF146" i="23917"/>
  <c r="DY119" i="24050"/>
  <c r="FE125" i="23917"/>
  <c r="EB118" i="24050"/>
  <c r="FH124" i="23917"/>
  <c r="DQ170" i="24050"/>
  <c r="EW176" i="23917"/>
  <c r="DK119" i="24050"/>
  <c r="EQ125" i="23917"/>
  <c r="AM140" i="24050"/>
  <c r="BS146" i="23917"/>
  <c r="F164" i="24050"/>
  <c r="F9" i="24050"/>
  <c r="AL170" i="23917"/>
  <c r="EH117" i="24050"/>
  <c r="FN123" i="23917"/>
  <c r="EM154" i="24050"/>
  <c r="FS160" i="23917"/>
  <c r="O162" i="24050"/>
  <c r="AU168" i="23917"/>
  <c r="C164" i="24050"/>
  <c r="C9" i="24050"/>
  <c r="AI170" i="23917"/>
  <c r="Y125" i="23917"/>
  <c r="X125" i="23917"/>
  <c r="EF117" i="24050"/>
  <c r="FL123" i="23917"/>
  <c r="AE137" i="23917"/>
  <c r="AD137" i="23917"/>
  <c r="DP155" i="24050"/>
  <c r="EV161" i="23917"/>
  <c r="CA175" i="24050"/>
  <c r="DG181" i="23917"/>
  <c r="V210" i="24050"/>
  <c r="BB216" i="23917"/>
  <c r="DR164" i="24050"/>
  <c r="DR9" i="24050"/>
  <c r="EX170" i="23917"/>
  <c r="S170" i="24050"/>
  <c r="AY176" i="23917"/>
  <c r="DT162" i="24050"/>
  <c r="EZ168" i="23917"/>
  <c r="BM131" i="24050"/>
  <c r="CS137" i="23917"/>
  <c r="AD170" i="24050"/>
  <c r="BJ176" i="23917"/>
  <c r="DR173" i="24050"/>
  <c r="EX179" i="23917"/>
  <c r="BW140" i="24050"/>
  <c r="DC146" i="23917"/>
  <c r="DK130" i="24050"/>
  <c r="EQ136" i="23917"/>
  <c r="EB117" i="24050"/>
  <c r="FH123" i="23917"/>
  <c r="AC119" i="24050"/>
  <c r="BI125" i="23917"/>
  <c r="EN19" i="23917"/>
  <c r="EM19" i="23917"/>
  <c r="DX155" i="24050"/>
  <c r="FD161" i="23917"/>
  <c r="CJ121" i="24050"/>
  <c r="CJ122" i="24050" s="1"/>
  <c r="CJ8" i="24050"/>
  <c r="DP127" i="23917"/>
  <c r="DP128" i="23917" s="1"/>
  <c r="DZ202" i="24050"/>
  <c r="FF208" i="23917"/>
  <c r="BB210" i="24050"/>
  <c r="CH216" i="23917"/>
  <c r="AE131" i="24050"/>
  <c r="BK137" i="23917"/>
  <c r="ED195" i="24050"/>
  <c r="FJ201" i="23917"/>
  <c r="I164" i="24050"/>
  <c r="I9" i="24050"/>
  <c r="AO170" i="23917"/>
  <c r="X170" i="24050"/>
  <c r="BD176" i="23917"/>
  <c r="CJ170" i="24050"/>
  <c r="DP176" i="23917"/>
  <c r="CQ195" i="24050"/>
  <c r="DW201" i="23917"/>
  <c r="DE204" i="24050"/>
  <c r="DE10" i="24050"/>
  <c r="EK210" i="23917"/>
  <c r="CV194" i="24050"/>
  <c r="EB200" i="23917"/>
  <c r="DH257" i="24050"/>
  <c r="EN263" i="23917"/>
  <c r="DH298" i="24050"/>
  <c r="EN304" i="23917"/>
  <c r="F246" i="24050"/>
  <c r="F12" i="24050"/>
  <c r="AL252" i="23917"/>
  <c r="DS257" i="24050"/>
  <c r="EY263" i="23917"/>
  <c r="DP283" i="24050"/>
  <c r="EV289" i="23917"/>
  <c r="K5" i="24068"/>
  <c r="BP11" i="24050"/>
  <c r="CO244" i="24050"/>
  <c r="DU250" i="23917"/>
  <c r="S287" i="24050"/>
  <c r="S13" i="24050"/>
  <c r="AY293" i="23917"/>
  <c r="CE287" i="24050"/>
  <c r="CE13" i="24050"/>
  <c r="DK293" i="23917"/>
  <c r="J246" i="24050"/>
  <c r="J12" i="24050"/>
  <c r="AP252" i="23917"/>
  <c r="AG244" i="24050"/>
  <c r="BM250" i="23917"/>
  <c r="DA257" i="24050"/>
  <c r="EG263" i="23917"/>
  <c r="CQ257" i="24050"/>
  <c r="DW263" i="23917"/>
  <c r="CT281" i="24050"/>
  <c r="DZ287" i="23917"/>
  <c r="DC287" i="24050"/>
  <c r="DC13" i="24050"/>
  <c r="EI293" i="23917"/>
  <c r="DR296" i="24050"/>
  <c r="EX302" i="23917"/>
  <c r="AN293" i="24050"/>
  <c r="BT299" i="23917"/>
  <c r="BT293" i="24050"/>
  <c r="CZ299" i="23917"/>
  <c r="DV313" i="24050"/>
  <c r="FB319" i="23917"/>
  <c r="BR323" i="24050"/>
  <c r="BR324" i="24050" s="1"/>
  <c r="BR14" i="24050"/>
  <c r="CX329" i="23917"/>
  <c r="CX330" i="23917" s="1"/>
  <c r="AE340" i="23917"/>
  <c r="AD340" i="23917"/>
  <c r="AT15" i="24050"/>
  <c r="BZ408" i="23917"/>
  <c r="K363" i="24050"/>
  <c r="AQ369" i="23917"/>
  <c r="EB237" i="24050"/>
  <c r="FH243" i="23917"/>
  <c r="DK255" i="24050"/>
  <c r="EQ261" i="23917"/>
  <c r="AG298" i="24050"/>
  <c r="BM304" i="23917"/>
  <c r="C299" i="23917"/>
  <c r="B299" i="23917"/>
  <c r="Z293" i="24050"/>
  <c r="BF299" i="23917"/>
  <c r="BF293" i="24050"/>
  <c r="CL299" i="23917"/>
  <c r="CL293" i="24050"/>
  <c r="DR299" i="23917"/>
  <c r="E363" i="24050"/>
  <c r="AK369" i="23917"/>
  <c r="DN241" i="24050"/>
  <c r="ET247" i="23917"/>
  <c r="O244" i="24050"/>
  <c r="AU250" i="23917"/>
  <c r="CA244" i="24050"/>
  <c r="DG250" i="23917"/>
  <c r="DW321" i="24050"/>
  <c r="FC327" i="23917"/>
  <c r="K332" i="24050"/>
  <c r="AQ338" i="23917"/>
  <c r="DY15" i="24050"/>
  <c r="FE408" i="23917"/>
  <c r="FE409" i="23917" s="1"/>
  <c r="CQ296" i="24050"/>
  <c r="DW302" i="23917"/>
  <c r="DN313" i="24050"/>
  <c r="ET319" i="23917"/>
  <c r="EH332" i="24050"/>
  <c r="FN338" i="23917"/>
  <c r="DK358" i="24050"/>
  <c r="EQ364" i="23917"/>
  <c r="EK380" i="24050"/>
  <c r="CW380" i="24050"/>
  <c r="EJ387" i="24050"/>
  <c r="CV387" i="24050"/>
  <c r="AP387" i="23917"/>
  <c r="J381" i="24050" s="1"/>
  <c r="DN356" i="24050"/>
  <c r="ET362" i="23917"/>
  <c r="DP390" i="24050"/>
  <c r="CB390" i="24050"/>
  <c r="CP31" i="24050"/>
  <c r="DV39" i="23917"/>
  <c r="E89" i="23917"/>
  <c r="D89" i="23917"/>
  <c r="DJ30" i="24050"/>
  <c r="EP38" i="23917"/>
  <c r="Y30" i="24050"/>
  <c r="BE38" i="23917"/>
  <c r="CU44" i="24050"/>
  <c r="EA52" i="23917"/>
  <c r="EK31" i="24050"/>
  <c r="FQ39" i="23917"/>
  <c r="BL81" i="24050"/>
  <c r="CR87" i="23917"/>
  <c r="DV90" i="24050"/>
  <c r="FB96" i="23917"/>
  <c r="CA96" i="24050"/>
  <c r="DG102" i="23917"/>
  <c r="BR82" i="24050"/>
  <c r="CX88" i="23917"/>
  <c r="AE75" i="24050"/>
  <c r="BK81" i="23917"/>
  <c r="BK75" i="24050"/>
  <c r="CQ81" i="23917"/>
  <c r="S90" i="24050"/>
  <c r="AY96" i="23917"/>
  <c r="AE80" i="24050"/>
  <c r="BC92" i="24050"/>
  <c r="CI98" i="23917"/>
  <c r="DJ90" i="24050"/>
  <c r="EP96" i="23917"/>
  <c r="C78" i="24050"/>
  <c r="AI84" i="23917"/>
  <c r="M79" i="24050"/>
  <c r="AS85" i="23917"/>
  <c r="AG78" i="24050"/>
  <c r="BM84" i="23917"/>
  <c r="AR78" i="24050"/>
  <c r="BX84" i="23917"/>
  <c r="CC90" i="24050"/>
  <c r="DI96" i="23917"/>
  <c r="DS79" i="24050"/>
  <c r="EY85" i="23917"/>
  <c r="DJ75" i="24050"/>
  <c r="EP81" i="23917"/>
  <c r="AW82" i="24050"/>
  <c r="CC88" i="23917"/>
  <c r="DV96" i="24050"/>
  <c r="FB102" i="23917"/>
  <c r="U82" i="24050"/>
  <c r="BA88" i="23917"/>
  <c r="AZ81" i="24050"/>
  <c r="CF87" i="23917"/>
  <c r="CG77" i="24050"/>
  <c r="DM83" i="23917"/>
  <c r="CF82" i="24050"/>
  <c r="DL88" i="23917"/>
  <c r="DD77" i="24050"/>
  <c r="EJ83" i="23917"/>
  <c r="DS84" i="24050"/>
  <c r="EY90" i="23917"/>
  <c r="BY77" i="24050"/>
  <c r="DE83" i="23917"/>
  <c r="DK82" i="24050"/>
  <c r="EQ88" i="23917"/>
  <c r="DZ118" i="24050"/>
  <c r="FF124" i="23917"/>
  <c r="ED139" i="24050"/>
  <c r="FJ145" i="23917"/>
  <c r="BY131" i="24050"/>
  <c r="DE137" i="23917"/>
  <c r="S112" i="24050"/>
  <c r="AY118" i="23917"/>
  <c r="BK121" i="24050"/>
  <c r="BK8" i="24050"/>
  <c r="CQ127" i="23917"/>
  <c r="DR118" i="24050"/>
  <c r="EX124" i="23917"/>
  <c r="DV117" i="24050"/>
  <c r="FB123" i="23917"/>
  <c r="AQ131" i="24050"/>
  <c r="BW137" i="23917"/>
  <c r="AG119" i="24050"/>
  <c r="BM125" i="23917"/>
  <c r="BU131" i="24050"/>
  <c r="DA137" i="23917"/>
  <c r="BZ170" i="24050"/>
  <c r="DF176" i="23917"/>
  <c r="DN159" i="24050"/>
  <c r="ET165" i="23917"/>
  <c r="EF175" i="24050"/>
  <c r="FL181" i="23917"/>
  <c r="EJ116" i="24050"/>
  <c r="FP122" i="23917"/>
  <c r="DN117" i="24050"/>
  <c r="ET123" i="23917"/>
  <c r="EA140" i="24050"/>
  <c r="FG146" i="23917"/>
  <c r="DN162" i="24050"/>
  <c r="ET168" i="23917"/>
  <c r="AX210" i="24050"/>
  <c r="CD216" i="23917"/>
  <c r="EA164" i="24050"/>
  <c r="EA165" i="24050" s="1"/>
  <c r="EA9" i="24050"/>
  <c r="FG170" i="23917"/>
  <c r="FG171" i="23917" s="1"/>
  <c r="BS121" i="24050"/>
  <c r="BS8" i="24050"/>
  <c r="CY127" i="23917"/>
  <c r="FD19" i="23917"/>
  <c r="FC19" i="23917"/>
  <c r="DX175" i="24050"/>
  <c r="FD181" i="23917"/>
  <c r="DN111" i="24050"/>
  <c r="ET117" i="23917"/>
  <c r="DS119" i="24050"/>
  <c r="EY125" i="23917"/>
  <c r="P127" i="24050"/>
  <c r="AV133" i="23917"/>
  <c r="W176" i="23917"/>
  <c r="V176" i="23917"/>
  <c r="ED160" i="24050"/>
  <c r="FJ166" i="23917"/>
  <c r="T210" i="24050"/>
  <c r="AZ216" i="23917"/>
  <c r="EH202" i="24050"/>
  <c r="FN208" i="23917"/>
  <c r="BJ210" i="24050"/>
  <c r="CP216" i="23917"/>
  <c r="DJ204" i="24050"/>
  <c r="DJ10" i="24050"/>
  <c r="EP210" i="23917"/>
  <c r="DM119" i="24050"/>
  <c r="ES125" i="23917"/>
  <c r="K130" i="24050"/>
  <c r="AQ136" i="23917"/>
  <c r="DS140" i="24050"/>
  <c r="EY146" i="23917"/>
  <c r="D210" i="24050"/>
  <c r="AJ216" i="23917"/>
  <c r="EH112" i="24050"/>
  <c r="FN118" i="23917"/>
  <c r="AC164" i="24050"/>
  <c r="AC9" i="24050"/>
  <c r="BI170" i="23917"/>
  <c r="BH170" i="24050"/>
  <c r="CN176" i="23917"/>
  <c r="CO164" i="24050"/>
  <c r="CO9" i="24050"/>
  <c r="DU170" i="23917"/>
  <c r="DK162" i="24050"/>
  <c r="EQ168" i="23917"/>
  <c r="J204" i="24050"/>
  <c r="J10" i="24050"/>
  <c r="AP210" i="23917"/>
  <c r="AV210" i="24050"/>
  <c r="CB216" i="23917"/>
  <c r="DJ215" i="24050"/>
  <c r="EP221" i="23917"/>
  <c r="BV204" i="24050"/>
  <c r="BV205" i="24050" s="1"/>
  <c r="BV10" i="24050"/>
  <c r="DB210" i="23917"/>
  <c r="DB211" i="23917" s="1"/>
  <c r="EB278" i="24050"/>
  <c r="FH284" i="23917"/>
  <c r="CD246" i="24050"/>
  <c r="CD247" i="24050" s="1"/>
  <c r="CD12" i="24050"/>
  <c r="DJ252" i="23917"/>
  <c r="DJ253" i="23917" s="1"/>
  <c r="AQ298" i="24050"/>
  <c r="BW304" i="23917"/>
  <c r="DQ285" i="24050"/>
  <c r="EW291" i="23917"/>
  <c r="E5" i="24068"/>
  <c r="BD11" i="24050"/>
  <c r="P14" i="24068"/>
  <c r="DY246" i="24050"/>
  <c r="DY12" i="24050"/>
  <c r="FE252" i="23917"/>
  <c r="FE253" i="23917" s="1"/>
  <c r="BV246" i="24050"/>
  <c r="BV247" i="24050" s="1"/>
  <c r="BV12" i="24050"/>
  <c r="DB252" i="23917"/>
  <c r="DB253" i="23917" s="1"/>
  <c r="AB293" i="24050"/>
  <c r="BH299" i="23917"/>
  <c r="AR293" i="24050"/>
  <c r="BX299" i="23917"/>
  <c r="BH293" i="24050"/>
  <c r="CN299" i="23917"/>
  <c r="BX293" i="24050"/>
  <c r="DD299" i="23917"/>
  <c r="CN293" i="24050"/>
  <c r="DT299" i="23917"/>
  <c r="S237" i="24050"/>
  <c r="AY243" i="23917"/>
  <c r="DW244" i="24050"/>
  <c r="FC250" i="23917"/>
  <c r="CQ278" i="24050"/>
  <c r="DW284" i="23917"/>
  <c r="O287" i="24050"/>
  <c r="O13" i="24050"/>
  <c r="AU293" i="23917"/>
  <c r="AU287" i="24050"/>
  <c r="AU13" i="24050"/>
  <c r="CA293" i="23917"/>
  <c r="CA287" i="24050"/>
  <c r="CA13" i="24050"/>
  <c r="DG293" i="23917"/>
  <c r="AT323" i="24050"/>
  <c r="AT324" i="24050" s="1"/>
  <c r="AT14" i="24050"/>
  <c r="BZ329" i="23917"/>
  <c r="BZ330" i="23917" s="1"/>
  <c r="AY15" i="24050"/>
  <c r="CE408" i="23917"/>
  <c r="AY399" i="24050" s="1"/>
  <c r="DR388" i="24050"/>
  <c r="CD388" i="24050"/>
  <c r="EF237" i="24050"/>
  <c r="FL243" i="23917"/>
  <c r="D252" i="24050"/>
  <c r="AJ258" i="23917"/>
  <c r="AG246" i="24050"/>
  <c r="AG12" i="24050"/>
  <c r="BM252" i="23917"/>
  <c r="AW246" i="24050"/>
  <c r="AW12" i="24050"/>
  <c r="CC252" i="23917"/>
  <c r="BM246" i="24050"/>
  <c r="BM12" i="24050"/>
  <c r="CS252" i="23917"/>
  <c r="CC246" i="24050"/>
  <c r="CC12" i="24050"/>
  <c r="DI252" i="23917"/>
  <c r="M35" i="24068"/>
  <c r="M36" i="24068" s="1"/>
  <c r="CJ323" i="24050"/>
  <c r="CJ324" i="24050" s="1"/>
  <c r="CJ14" i="24050"/>
  <c r="DP329" i="23917"/>
  <c r="DP330" i="23917" s="1"/>
  <c r="DN380" i="24050"/>
  <c r="BZ380" i="24050"/>
  <c r="DE358" i="24050"/>
  <c r="EK364" i="23917"/>
  <c r="EH244" i="24050"/>
  <c r="FN250" i="23917"/>
  <c r="EF263" i="24050"/>
  <c r="FL269" i="23917"/>
  <c r="DV278" i="24050"/>
  <c r="FB284" i="23917"/>
  <c r="AF293" i="24050"/>
  <c r="BL299" i="23917"/>
  <c r="BL293" i="24050"/>
  <c r="CR299" i="23917"/>
  <c r="R323" i="24050"/>
  <c r="R14" i="24050"/>
  <c r="AX329" i="23917"/>
  <c r="BF323" i="24050"/>
  <c r="BF324" i="24050" s="1"/>
  <c r="BF14" i="24050"/>
  <c r="CL329" i="23917"/>
  <c r="CL330" i="23917" s="1"/>
  <c r="DW334" i="24050"/>
  <c r="FC340" i="23917"/>
  <c r="H329" i="24050"/>
  <c r="AN335" i="23917"/>
  <c r="AC323" i="24050"/>
  <c r="AC14" i="24050"/>
  <c r="BI329" i="23917"/>
  <c r="AS323" i="24050"/>
  <c r="AS14" i="24050"/>
  <c r="BY329" i="23917"/>
  <c r="BI323" i="24050"/>
  <c r="BI14" i="24050"/>
  <c r="CO329" i="23917"/>
  <c r="BY323" i="24050"/>
  <c r="BY14" i="24050"/>
  <c r="DE329" i="23917"/>
  <c r="CO323" i="24050"/>
  <c r="CO14" i="24050"/>
  <c r="DU329" i="23917"/>
  <c r="CR397" i="24050"/>
  <c r="EF397" i="24050"/>
  <c r="DH356" i="24050"/>
  <c r="EN362" i="23917"/>
  <c r="EJ390" i="24050"/>
  <c r="CV390" i="24050"/>
  <c r="DH30" i="24050"/>
  <c r="EN38" i="23917"/>
  <c r="DQ79" i="24050"/>
  <c r="EW85" i="23917"/>
  <c r="DR88" i="24050"/>
  <c r="DR76" i="24050"/>
  <c r="EX94" i="23917"/>
  <c r="EX82" i="23917"/>
  <c r="AG84" i="24050"/>
  <c r="BM90" i="23917"/>
  <c r="EI76" i="24050"/>
  <c r="EI88" i="24050"/>
  <c r="FO94" i="23917"/>
  <c r="FO82" i="23917"/>
  <c r="C75" i="24050"/>
  <c r="AI81" i="23917"/>
  <c r="AI75" i="24050"/>
  <c r="BO81" i="23917"/>
  <c r="BO75" i="24050"/>
  <c r="CU81" i="23917"/>
  <c r="AE92" i="24050"/>
  <c r="BK98" i="23917"/>
  <c r="BS91" i="24050"/>
  <c r="CY97" i="23917"/>
  <c r="AC79" i="24050"/>
  <c r="BI85" i="23917"/>
  <c r="BQ90" i="24050"/>
  <c r="CW96" i="23917"/>
  <c r="DW78" i="24050"/>
  <c r="FC84" i="23917"/>
  <c r="DW80" i="24050"/>
  <c r="FC86" i="23917"/>
  <c r="BE82" i="24050"/>
  <c r="CK88" i="23917"/>
  <c r="DN93" i="24050"/>
  <c r="ET99" i="23917"/>
  <c r="EH96" i="24050"/>
  <c r="FN102" i="23917"/>
  <c r="DM84" i="24050"/>
  <c r="ES90" i="23917"/>
  <c r="EC84" i="24050"/>
  <c r="FI90" i="23917"/>
  <c r="DP96" i="24050"/>
  <c r="EV102" i="23917"/>
  <c r="DH77" i="24050"/>
  <c r="EN83" i="23917"/>
  <c r="DW84" i="24050"/>
  <c r="FC90" i="23917"/>
  <c r="AR82" i="24050"/>
  <c r="BX88" i="23917"/>
  <c r="O119" i="24050"/>
  <c r="AU125" i="23917"/>
  <c r="BJ170" i="24050"/>
  <c r="CP176" i="23917"/>
  <c r="AG162" i="24050"/>
  <c r="BM168" i="23917"/>
  <c r="DL194" i="24050"/>
  <c r="ER200" i="23917"/>
  <c r="I140" i="24050"/>
  <c r="AO146" i="23917"/>
  <c r="DZ160" i="24050"/>
  <c r="FF166" i="23917"/>
  <c r="DV180" i="24050"/>
  <c r="FB186" i="23917"/>
  <c r="AQ175" i="24050"/>
  <c r="BW181" i="23917"/>
  <c r="AE112" i="24050"/>
  <c r="BK118" i="23917"/>
  <c r="L121" i="24050"/>
  <c r="L8" i="24050"/>
  <c r="AR127" i="23917"/>
  <c r="CI140" i="24050"/>
  <c r="DO146" i="23917"/>
  <c r="DR214" i="24050"/>
  <c r="EX220" i="23917"/>
  <c r="CU110" i="24050"/>
  <c r="EA116" i="23917"/>
  <c r="ED119" i="24050"/>
  <c r="FJ125" i="23917"/>
  <c r="X127" i="24050"/>
  <c r="BD133" i="23917"/>
  <c r="BE121" i="24050"/>
  <c r="BE8" i="24050"/>
  <c r="CK127" i="23917"/>
  <c r="CE140" i="24050"/>
  <c r="DK146" i="23917"/>
  <c r="CL170" i="24050"/>
  <c r="DR176" i="23917"/>
  <c r="AL210" i="24050"/>
  <c r="BR216" i="23917"/>
  <c r="BS204" i="24050"/>
  <c r="BS10" i="24050"/>
  <c r="CY210" i="23917"/>
  <c r="G130" i="24050"/>
  <c r="AM136" i="23917"/>
  <c r="DX136" i="24050"/>
  <c r="FD142" i="23917"/>
  <c r="CZ173" i="24050"/>
  <c r="EF179" i="23917"/>
  <c r="DL201" i="24050"/>
  <c r="ER207" i="23917"/>
  <c r="ED257" i="24050"/>
  <c r="FJ263" i="23917"/>
  <c r="Q164" i="24050"/>
  <c r="Q9" i="24050"/>
  <c r="AW170" i="23917"/>
  <c r="AF170" i="24050"/>
  <c r="BL176" i="23917"/>
  <c r="CC164" i="24050"/>
  <c r="CC9" i="24050"/>
  <c r="DI170" i="23917"/>
  <c r="DG170" i="24050"/>
  <c r="EM176" i="23917"/>
  <c r="CE202" i="24050"/>
  <c r="DK208" i="23917"/>
  <c r="CQ175" i="24050"/>
  <c r="DW181" i="23917"/>
  <c r="CQ222" i="24050"/>
  <c r="DW228" i="23917"/>
  <c r="DK293" i="24050"/>
  <c r="EQ299" i="23917"/>
  <c r="DF297" i="24050"/>
  <c r="EL303" i="23917"/>
  <c r="DW293" i="24050"/>
  <c r="FC299" i="23917"/>
  <c r="AE258" i="23917"/>
  <c r="AD258" i="23917"/>
  <c r="CV276" i="24050"/>
  <c r="EB282" i="23917"/>
  <c r="DM285" i="24050"/>
  <c r="ES291" i="23917"/>
  <c r="V257" i="24050"/>
  <c r="BB263" i="23917"/>
  <c r="ED242" i="24050"/>
  <c r="FJ248" i="23917"/>
  <c r="BG257" i="24050"/>
  <c r="CM263" i="23917"/>
  <c r="CT284" i="24050"/>
  <c r="DZ290" i="23917"/>
  <c r="CT297" i="24050"/>
  <c r="DZ303" i="23917"/>
  <c r="DH332" i="24050"/>
  <c r="EN338" i="23917"/>
  <c r="Y335" i="23917"/>
  <c r="X335" i="23917"/>
  <c r="BB329" i="24050"/>
  <c r="CH335" i="23917"/>
  <c r="DJ384" i="24050"/>
  <c r="BV384" i="24050"/>
  <c r="J293" i="24050"/>
  <c r="AP299" i="23917"/>
  <c r="AP293" i="24050"/>
  <c r="BV299" i="23917"/>
  <c r="BV293" i="24050"/>
  <c r="DB299" i="23917"/>
  <c r="DP316" i="24050"/>
  <c r="EV322" i="23917"/>
  <c r="CS333" i="24050"/>
  <c r="DY339" i="23917"/>
  <c r="Y257" i="24050"/>
  <c r="BE263" i="23917"/>
  <c r="P23" i="24068"/>
  <c r="P24" i="24068" s="1"/>
  <c r="DY287" i="24050"/>
  <c r="DY288" i="24050" s="1"/>
  <c r="DY13" i="24050"/>
  <c r="FE293" i="23917"/>
  <c r="FE294" i="23917" s="1"/>
  <c r="G287" i="24050"/>
  <c r="G13" i="24050"/>
  <c r="AM293" i="23917"/>
  <c r="S334" i="24050"/>
  <c r="AY340" i="23917"/>
  <c r="DY334" i="24050"/>
  <c r="FE340" i="23917"/>
  <c r="CO334" i="24050"/>
  <c r="DU340" i="23917"/>
  <c r="DO363" i="24050"/>
  <c r="EU369" i="23917"/>
  <c r="EL403" i="23917"/>
  <c r="EK403" i="23917"/>
  <c r="ER403" i="23917"/>
  <c r="EQ403" i="23917"/>
  <c r="AM30" i="24050"/>
  <c r="BS38" i="23917"/>
  <c r="EL30" i="24050"/>
  <c r="FR38" i="23917"/>
  <c r="Q84" i="24050"/>
  <c r="AW90" i="23917"/>
  <c r="EB88" i="24050"/>
  <c r="EB76" i="24050"/>
  <c r="FH94" i="23917"/>
  <c r="FH82" i="23917"/>
  <c r="EA91" i="24050"/>
  <c r="FG97" i="23917"/>
  <c r="EH75" i="24050"/>
  <c r="FN81" i="23917"/>
  <c r="ED96" i="24050"/>
  <c r="FJ102" i="23917"/>
  <c r="DQ82" i="24050"/>
  <c r="EW88" i="23917"/>
  <c r="EG81" i="24050"/>
  <c r="FM87" i="23917"/>
  <c r="AE84" i="24050"/>
  <c r="BK90" i="23917"/>
  <c r="AE162" i="24050"/>
  <c r="BK168" i="23917"/>
  <c r="BI131" i="24050"/>
  <c r="CO137" i="23917"/>
  <c r="EF130" i="24050"/>
  <c r="FL136" i="23917"/>
  <c r="DW131" i="24050"/>
  <c r="FC137" i="23917"/>
  <c r="AK140" i="24050"/>
  <c r="BQ146" i="23917"/>
  <c r="AT164" i="24050"/>
  <c r="AT165" i="24050" s="1"/>
  <c r="AT9" i="24050"/>
  <c r="BZ170" i="23917"/>
  <c r="BZ171" i="23917" s="1"/>
  <c r="BQ162" i="24050"/>
  <c r="CW168" i="23917"/>
  <c r="DL155" i="24050"/>
  <c r="ER161" i="23917"/>
  <c r="DX130" i="24050"/>
  <c r="FD136" i="23917"/>
  <c r="BG119" i="24050"/>
  <c r="CM125" i="23917"/>
  <c r="U119" i="24050"/>
  <c r="BA125" i="23917"/>
  <c r="C136" i="24050"/>
  <c r="AI142" i="23917"/>
  <c r="EI158" i="24050"/>
  <c r="FO164" i="23917"/>
  <c r="H5" i="24068"/>
  <c r="BJ11" i="24050"/>
  <c r="DT130" i="24050"/>
  <c r="EZ136" i="23917"/>
  <c r="ED117" i="24050"/>
  <c r="FJ123" i="23917"/>
  <c r="AN127" i="24050"/>
  <c r="BT133" i="23917"/>
  <c r="BO175" i="24050"/>
  <c r="CU181" i="23917"/>
  <c r="DV173" i="24050"/>
  <c r="FB179" i="23917"/>
  <c r="M204" i="24050"/>
  <c r="M10" i="24050"/>
  <c r="AS210" i="23917"/>
  <c r="C214" i="24050"/>
  <c r="AI220" i="23917"/>
  <c r="ED222" i="24050"/>
  <c r="FJ228" i="23917"/>
  <c r="DL116" i="24050"/>
  <c r="ER122" i="23917"/>
  <c r="EL19" i="23917"/>
  <c r="EK19" i="23917"/>
  <c r="CS215" i="24050"/>
  <c r="DY221" i="23917"/>
  <c r="D170" i="24050"/>
  <c r="AJ176" i="23917"/>
  <c r="AK164" i="24050"/>
  <c r="AK9" i="24050"/>
  <c r="BQ170" i="23917"/>
  <c r="BP170" i="24050"/>
  <c r="CV176" i="23917"/>
  <c r="CT192" i="24050"/>
  <c r="DZ198" i="23917"/>
  <c r="CR201" i="24050"/>
  <c r="DX207" i="23917"/>
  <c r="BL210" i="24050"/>
  <c r="CR216" i="23917"/>
  <c r="DK213" i="24050"/>
  <c r="EQ219" i="23917"/>
  <c r="AQ202" i="24050"/>
  <c r="BW208" i="23917"/>
  <c r="DX283" i="24050"/>
  <c r="FD289" i="23917"/>
  <c r="K298" i="24050"/>
  <c r="AQ304" i="23917"/>
  <c r="CU311" i="24050"/>
  <c r="EA317" i="23917"/>
  <c r="DR195" i="24050"/>
  <c r="EX201" i="23917"/>
  <c r="L5" i="24068"/>
  <c r="BR11" i="24050"/>
  <c r="DZ237" i="24050"/>
  <c r="FF243" i="23917"/>
  <c r="C237" i="24050"/>
  <c r="AI243" i="23917"/>
  <c r="DO244" i="24050"/>
  <c r="EU250" i="23917"/>
  <c r="AC244" i="24050"/>
  <c r="BI250" i="23917"/>
  <c r="DZ263" i="24050"/>
  <c r="FF269" i="23917"/>
  <c r="BJ323" i="24050"/>
  <c r="BJ324" i="24050" s="1"/>
  <c r="BJ14" i="24050"/>
  <c r="CP329" i="23917"/>
  <c r="CP330" i="23917" s="1"/>
  <c r="X252" i="24050"/>
  <c r="BD258" i="23917"/>
  <c r="BI298" i="24050"/>
  <c r="CO304" i="23917"/>
  <c r="U287" i="24050"/>
  <c r="U13" i="24050"/>
  <c r="BA293" i="23917"/>
  <c r="BA287" i="24050"/>
  <c r="BA13" i="24050"/>
  <c r="CG293" i="23917"/>
  <c r="CG287" i="24050"/>
  <c r="CG13" i="24050"/>
  <c r="DM293" i="23917"/>
  <c r="I36" i="24068"/>
  <c r="EE323" i="24050"/>
  <c r="EE324" i="24050" s="1"/>
  <c r="EE14" i="24050"/>
  <c r="FK329" i="23917"/>
  <c r="FK330" i="23917" s="1"/>
  <c r="AA244" i="24050"/>
  <c r="BG250" i="23917"/>
  <c r="CM244" i="24050"/>
  <c r="DS250" i="23917"/>
  <c r="AS257" i="24050"/>
  <c r="BY263" i="23917"/>
  <c r="P293" i="24050"/>
  <c r="AV299" i="23917"/>
  <c r="AV293" i="24050"/>
  <c r="CB299" i="23917"/>
  <c r="CB293" i="24050"/>
  <c r="DH299" i="23917"/>
  <c r="E335" i="23917"/>
  <c r="D335" i="23917"/>
  <c r="AP323" i="24050"/>
  <c r="AP324" i="24050" s="1"/>
  <c r="AP14" i="24050"/>
  <c r="BV329" i="23917"/>
  <c r="BV330" i="23917" s="1"/>
  <c r="CM321" i="24050"/>
  <c r="DS327" i="23917"/>
  <c r="DQ237" i="24050"/>
  <c r="EW243" i="23917"/>
  <c r="C35" i="24068"/>
  <c r="K36" i="24068"/>
  <c r="DH313" i="24050"/>
  <c r="EN319" i="23917"/>
  <c r="DJ356" i="24050"/>
  <c r="EP362" i="23917"/>
  <c r="EF31" i="24050"/>
  <c r="FL39" i="23917"/>
  <c r="DJ31" i="24050"/>
  <c r="EP39" i="23917"/>
  <c r="G86" i="23917"/>
  <c r="F86" i="23917"/>
  <c r="F80" i="24050"/>
  <c r="AL86" i="23917"/>
  <c r="CT87" i="24050"/>
  <c r="DZ93" i="23917"/>
  <c r="DU78" i="24050"/>
  <c r="FA84" i="23917"/>
  <c r="AF81" i="24050"/>
  <c r="BL87" i="23917"/>
  <c r="AA78" i="24050"/>
  <c r="BG84" i="23917"/>
  <c r="BC80" i="24050"/>
  <c r="CI86" i="23917"/>
  <c r="CI78" i="24050"/>
  <c r="DO84" i="23917"/>
  <c r="DI78" i="24050"/>
  <c r="EO84" i="23917"/>
  <c r="BW84" i="24050"/>
  <c r="DC90" i="23917"/>
  <c r="BA93" i="24050"/>
  <c r="CG99" i="23917"/>
  <c r="AC91" i="24050"/>
  <c r="BI97" i="23917"/>
  <c r="BP79" i="24050"/>
  <c r="CV85" i="23917"/>
  <c r="DC79" i="24050"/>
  <c r="EI85" i="23917"/>
  <c r="DO78" i="24050"/>
  <c r="EU84" i="23917"/>
  <c r="EE90" i="24050"/>
  <c r="FK96" i="23917"/>
  <c r="CK84" i="24050"/>
  <c r="DQ90" i="23917"/>
  <c r="DE81" i="24050"/>
  <c r="EK87" i="23917"/>
  <c r="DF93" i="24050"/>
  <c r="EL99" i="23917"/>
  <c r="DZ96" i="24050"/>
  <c r="FF102" i="23917"/>
  <c r="DE82" i="24050"/>
  <c r="EK88" i="23917"/>
  <c r="DU82" i="24050"/>
  <c r="FA88" i="23917"/>
  <c r="E79" i="24050"/>
  <c r="AK85" i="23917"/>
  <c r="AJ81" i="24050"/>
  <c r="BP87" i="23917"/>
  <c r="DO84" i="24050"/>
  <c r="EU90" i="23917"/>
  <c r="EE82" i="24050"/>
  <c r="FK88" i="23917"/>
  <c r="BH84" i="24050"/>
  <c r="CN90" i="23917"/>
  <c r="BP82" i="24050"/>
  <c r="CV88" i="23917"/>
  <c r="AU84" i="24050"/>
  <c r="CA90" i="23917"/>
  <c r="AT252" i="24050"/>
  <c r="BZ258" i="23917"/>
  <c r="DQ408" i="23917"/>
  <c r="CK15" i="24050"/>
  <c r="DY170" i="24050"/>
  <c r="FE176" i="23917"/>
  <c r="DR358" i="24050"/>
  <c r="EX364" i="23917"/>
  <c r="DJ79" i="24050"/>
  <c r="EP85" i="23917"/>
  <c r="DR222" i="24050"/>
  <c r="EX228" i="23917"/>
  <c r="DV256" i="24050"/>
  <c r="FB262" i="23917"/>
  <c r="CV193" i="24050"/>
  <c r="EB199" i="23917"/>
  <c r="AW140" i="24050"/>
  <c r="CC146" i="23917"/>
  <c r="CC140" i="24050"/>
  <c r="DI146" i="23917"/>
  <c r="BR383" i="24050"/>
  <c r="DF383" i="24050"/>
  <c r="DZ297" i="24050"/>
  <c r="FF303" i="23917"/>
  <c r="BL408" i="23917"/>
  <c r="AF399" i="24050" s="1"/>
  <c r="AF15" i="24050"/>
  <c r="BD399" i="24050"/>
  <c r="BD400" i="24050" s="1"/>
  <c r="CJ409" i="23917"/>
  <c r="AG75" i="24050"/>
  <c r="BM81" i="23917"/>
  <c r="DK391" i="24050"/>
  <c r="BW391" i="24050"/>
  <c r="BW393" i="24050"/>
  <c r="DK393" i="24050"/>
  <c r="DK395" i="24050"/>
  <c r="BW395" i="24050"/>
  <c r="DE391" i="24050"/>
  <c r="BQ391" i="24050"/>
  <c r="DD368" i="24050"/>
  <c r="EJ374" i="23917"/>
  <c r="BS119" i="24050"/>
  <c r="CY125" i="23917"/>
  <c r="I119" i="24050"/>
  <c r="AO125" i="23917"/>
  <c r="AW162" i="24050"/>
  <c r="CC168" i="23917"/>
  <c r="DR155" i="24050"/>
  <c r="EX161" i="23917"/>
  <c r="ED136" i="24050"/>
  <c r="FJ142" i="23917"/>
  <c r="S8" i="24068"/>
  <c r="T8" i="24068"/>
  <c r="M119" i="24050"/>
  <c r="AS125" i="23917"/>
  <c r="DR130" i="24050"/>
  <c r="EX136" i="23917"/>
  <c r="CI175" i="24050"/>
  <c r="DO181" i="23917"/>
  <c r="EC119" i="24050"/>
  <c r="FI125" i="23917"/>
  <c r="EJ153" i="24050"/>
  <c r="FP159" i="23917"/>
  <c r="I162" i="24050"/>
  <c r="AO168" i="23917"/>
  <c r="O131" i="24050"/>
  <c r="AU137" i="23917"/>
  <c r="DQ202" i="24050"/>
  <c r="EW208" i="23917"/>
  <c r="AA137" i="23917"/>
  <c r="Z137" i="23917"/>
  <c r="DH175" i="24050"/>
  <c r="EN181" i="23917"/>
  <c r="EE162" i="24050"/>
  <c r="FK168" i="23917"/>
  <c r="EC205" i="24050"/>
  <c r="BO202" i="24050"/>
  <c r="CU208" i="23917"/>
  <c r="G195" i="24050"/>
  <c r="AM201" i="23917"/>
  <c r="DP201" i="24050"/>
  <c r="EV207" i="23917"/>
  <c r="ED263" i="24050"/>
  <c r="FJ269" i="23917"/>
  <c r="EH283" i="24050"/>
  <c r="FN289" i="23917"/>
  <c r="AE321" i="24050"/>
  <c r="BK327" i="23917"/>
  <c r="BK321" i="24050"/>
  <c r="CQ327" i="23917"/>
  <c r="AB246" i="24050"/>
  <c r="AB12" i="24050"/>
  <c r="BH252" i="23917"/>
  <c r="I298" i="24050"/>
  <c r="AO304" i="23917"/>
  <c r="BU298" i="24050"/>
  <c r="DA304" i="23917"/>
  <c r="EB242" i="24050"/>
  <c r="FH248" i="23917"/>
  <c r="Z323" i="24050"/>
  <c r="Z14" i="24050"/>
  <c r="BF329" i="23917"/>
  <c r="BO321" i="24050"/>
  <c r="CU327" i="23917"/>
  <c r="BW334" i="24050"/>
  <c r="DC340" i="23917"/>
  <c r="DD285" i="24050"/>
  <c r="EJ291" i="23917"/>
  <c r="BO298" i="24050"/>
  <c r="CU304" i="23917"/>
  <c r="DX313" i="24050"/>
  <c r="FD319" i="23917"/>
  <c r="U334" i="24050"/>
  <c r="BA340" i="23917"/>
  <c r="EG388" i="24050"/>
  <c r="CS388" i="24050"/>
  <c r="DF349" i="24050"/>
  <c r="EL355" i="23917"/>
  <c r="CL390" i="24050"/>
  <c r="DZ390" i="24050"/>
  <c r="E80" i="24050"/>
  <c r="AK86" i="23917"/>
  <c r="S80" i="24050"/>
  <c r="AY86" i="23917"/>
  <c r="AE91" i="24050"/>
  <c r="BK97" i="23917"/>
  <c r="AM91" i="24050"/>
  <c r="BS97" i="23917"/>
  <c r="BG90" i="24050"/>
  <c r="CM96" i="23917"/>
  <c r="BO90" i="24050"/>
  <c r="CU96" i="23917"/>
  <c r="CI79" i="24050"/>
  <c r="DO85" i="23917"/>
  <c r="Y78" i="24050"/>
  <c r="BE84" i="23917"/>
  <c r="BU90" i="24050"/>
  <c r="DA96" i="23917"/>
  <c r="BU82" i="24050"/>
  <c r="DA88" i="23917"/>
  <c r="CN81" i="24050"/>
  <c r="DT87" i="23917"/>
  <c r="DT93" i="24050"/>
  <c r="EZ99" i="23917"/>
  <c r="G78" i="24050"/>
  <c r="AM84" i="23917"/>
  <c r="BB82" i="24050"/>
  <c r="CH88" i="23917"/>
  <c r="AX82" i="24050"/>
  <c r="CD88" i="23917"/>
  <c r="DN305" i="24050"/>
  <c r="DN147" i="24050"/>
  <c r="DN53" i="24050"/>
  <c r="DN229" i="24050"/>
  <c r="DN104" i="24050"/>
  <c r="DN341" i="24050"/>
  <c r="DN270" i="24050"/>
  <c r="DN375" i="24050"/>
  <c r="DN187" i="24050"/>
  <c r="AI244" i="24050"/>
  <c r="BO250" i="23917"/>
  <c r="S19" i="24068"/>
  <c r="T19" i="24068"/>
  <c r="EJ391" i="24050"/>
  <c r="CV391" i="24050"/>
  <c r="DX390" i="24050"/>
  <c r="CJ390" i="24050"/>
  <c r="BG91" i="24050"/>
  <c r="CM97" i="23917"/>
  <c r="CA92" i="24050"/>
  <c r="DG98" i="23917"/>
  <c r="AG79" i="24050"/>
  <c r="BM85" i="23917"/>
  <c r="AL82" i="24050"/>
  <c r="BR88" i="23917"/>
  <c r="AA80" i="24050"/>
  <c r="BG86" i="23917"/>
  <c r="AY92" i="24050"/>
  <c r="CE98" i="23917"/>
  <c r="BO92" i="24050"/>
  <c r="CU98" i="23917"/>
  <c r="BA90" i="24050"/>
  <c r="CG96" i="23917"/>
  <c r="AW84" i="24050"/>
  <c r="CC90" i="23917"/>
  <c r="DX93" i="24050"/>
  <c r="FD99" i="23917"/>
  <c r="DT222" i="24050"/>
  <c r="EZ228" i="23917"/>
  <c r="DL235" i="24050"/>
  <c r="ER241" i="23917"/>
  <c r="P210" i="24050"/>
  <c r="AV216" i="23917"/>
  <c r="BE140" i="24050"/>
  <c r="CK146" i="23917"/>
  <c r="CK140" i="24050"/>
  <c r="DQ146" i="23917"/>
  <c r="CS140" i="24050"/>
  <c r="DY146" i="23917"/>
  <c r="AN210" i="24050"/>
  <c r="BT216" i="23917"/>
  <c r="BE75" i="24050"/>
  <c r="CK81" i="23917"/>
  <c r="DH382" i="24050"/>
  <c r="BT382" i="24050"/>
  <c r="DF389" i="24050"/>
  <c r="BR389" i="24050"/>
  <c r="CB393" i="24050"/>
  <c r="DP393" i="24050"/>
  <c r="DF396" i="24050"/>
  <c r="BR396" i="24050"/>
  <c r="Y131" i="24050"/>
  <c r="BE137" i="23917"/>
  <c r="EH130" i="24050"/>
  <c r="FN136" i="23917"/>
  <c r="G175" i="24050"/>
  <c r="AM181" i="23917"/>
  <c r="DY164" i="24050"/>
  <c r="DY165" i="24050" s="1"/>
  <c r="DY9" i="24050"/>
  <c r="FE170" i="23917"/>
  <c r="FE171" i="23917" s="1"/>
  <c r="BT121" i="24050"/>
  <c r="BT122" i="24050" s="1"/>
  <c r="BT8" i="24050"/>
  <c r="CZ127" i="23917"/>
  <c r="CZ128" i="23917" s="1"/>
  <c r="EF174" i="24050"/>
  <c r="FL180" i="23917"/>
  <c r="EB160" i="24050"/>
  <c r="FH166" i="23917"/>
  <c r="R131" i="24050"/>
  <c r="AX137" i="23917"/>
  <c r="DM131" i="24050"/>
  <c r="ES137" i="23917"/>
  <c r="X164" i="24050"/>
  <c r="X9" i="24050"/>
  <c r="BD170" i="23917"/>
  <c r="BD164" i="24050"/>
  <c r="BD165" i="24050" s="1"/>
  <c r="BD9" i="24050"/>
  <c r="CJ170" i="23917"/>
  <c r="CJ171" i="23917" s="1"/>
  <c r="EB215" i="24050"/>
  <c r="FH221" i="23917"/>
  <c r="AK244" i="24050"/>
  <c r="BQ250" i="23917"/>
  <c r="BC257" i="24050"/>
  <c r="CI263" i="23917"/>
  <c r="CT278" i="24050"/>
  <c r="DZ284" i="23917"/>
  <c r="EF242" i="24050"/>
  <c r="FL248" i="23917"/>
  <c r="EC244" i="24050"/>
  <c r="FI250" i="23917"/>
  <c r="H14" i="24068"/>
  <c r="BJ246" i="24050"/>
  <c r="BJ247" i="24050" s="1"/>
  <c r="BJ12" i="24050"/>
  <c r="CP252" i="23917"/>
  <c r="CP253" i="23917" s="1"/>
  <c r="AH323" i="24050"/>
  <c r="AH14" i="24050"/>
  <c r="BN329" i="23917"/>
  <c r="AA334" i="24050"/>
  <c r="BG340" i="23917"/>
  <c r="ED320" i="24050"/>
  <c r="FJ326" i="23917"/>
  <c r="CE321" i="24050"/>
  <c r="DK327" i="23917"/>
  <c r="EI396" i="24050"/>
  <c r="CU396" i="24050"/>
  <c r="CE298" i="24050"/>
  <c r="DK304" i="23917"/>
  <c r="DT321" i="24050"/>
  <c r="EZ327" i="23917"/>
  <c r="AE313" i="24050"/>
  <c r="BK319" i="23917"/>
  <c r="C334" i="24050"/>
  <c r="AI340" i="23917"/>
  <c r="DP387" i="24050"/>
  <c r="CB387" i="24050"/>
  <c r="DU15" i="24050"/>
  <c r="FA408" i="23917"/>
  <c r="DF390" i="24050"/>
  <c r="BR390" i="24050"/>
  <c r="CT390" i="24050"/>
  <c r="EH390" i="24050"/>
  <c r="CU390" i="24050"/>
  <c r="EI390" i="24050"/>
  <c r="BR92" i="24050"/>
  <c r="CX98" i="23917"/>
  <c r="I91" i="24050"/>
  <c r="AO97" i="23917"/>
  <c r="BI90" i="24050"/>
  <c r="CO96" i="23917"/>
  <c r="DP75" i="24050"/>
  <c r="EV81" i="23917"/>
  <c r="EB94" i="24050"/>
  <c r="FH100" i="23917"/>
  <c r="CI84" i="24050"/>
  <c r="DO90" i="23917"/>
  <c r="DU298" i="24050"/>
  <c r="FA304" i="23917"/>
  <c r="AY334" i="24050"/>
  <c r="CE340" i="23917"/>
  <c r="O90" i="24050"/>
  <c r="AU96" i="23917"/>
  <c r="AU80" i="24050"/>
  <c r="CA86" i="23917"/>
  <c r="CI90" i="24050"/>
  <c r="DO96" i="23917"/>
  <c r="AE90" i="24050"/>
  <c r="BK96" i="23917"/>
  <c r="BK78" i="24050"/>
  <c r="CQ84" i="23917"/>
  <c r="I90" i="24050"/>
  <c r="AO96" i="23917"/>
  <c r="BM78" i="24050"/>
  <c r="CS84" i="23917"/>
  <c r="DD78" i="24050"/>
  <c r="EJ84" i="23917"/>
  <c r="BC84" i="24050"/>
  <c r="CI90" i="23917"/>
  <c r="AY84" i="24050"/>
  <c r="CE90" i="23917"/>
  <c r="AC216" i="23917"/>
  <c r="AB216" i="23917"/>
  <c r="EH213" i="24050"/>
  <c r="FN219" i="23917"/>
  <c r="BH210" i="24050"/>
  <c r="CN216" i="23917"/>
  <c r="BX210" i="24050"/>
  <c r="DD216" i="23917"/>
  <c r="DF382" i="24050"/>
  <c r="BR382" i="24050"/>
  <c r="DJ367" i="24050"/>
  <c r="EP373" i="23917"/>
  <c r="EI312" i="24050"/>
  <c r="FO318" i="23917"/>
  <c r="DI382" i="24050"/>
  <c r="BU382" i="24050"/>
  <c r="AR399" i="24050"/>
  <c r="AR400" i="24050" s="1"/>
  <c r="BX409" i="23917"/>
  <c r="DT255" i="24050"/>
  <c r="EZ261" i="23917"/>
  <c r="DH391" i="24050"/>
  <c r="BT391" i="24050"/>
  <c r="BT393" i="24050"/>
  <c r="DH393" i="24050"/>
  <c r="DH395" i="24050"/>
  <c r="BT395" i="24050"/>
  <c r="DH367" i="24050"/>
  <c r="EN373" i="23917"/>
  <c r="AQ170" i="24050"/>
  <c r="BW176" i="23917"/>
  <c r="DF119" i="24050"/>
  <c r="EL125" i="23917"/>
  <c r="EB174" i="24050"/>
  <c r="FH180" i="23917"/>
  <c r="DP174" i="24050"/>
  <c r="EV180" i="23917"/>
  <c r="EF214" i="24050"/>
  <c r="FL220" i="23917"/>
  <c r="CK204" i="24050"/>
  <c r="CK10" i="24050"/>
  <c r="DQ210" i="23917"/>
  <c r="L246" i="24050"/>
  <c r="L12" i="24050"/>
  <c r="AR252" i="23917"/>
  <c r="AO244" i="24050"/>
  <c r="BU250" i="23917"/>
  <c r="DV263" i="24050"/>
  <c r="FB269" i="23917"/>
  <c r="H24" i="24068"/>
  <c r="DX333" i="24050"/>
  <c r="FD339" i="23917"/>
  <c r="EB313" i="24050"/>
  <c r="FH319" i="23917"/>
  <c r="AS321" i="24050"/>
  <c r="BY327" i="23917"/>
  <c r="CK334" i="24050"/>
  <c r="DQ340" i="23917"/>
  <c r="DX389" i="24050"/>
  <c r="CJ389" i="24050"/>
  <c r="DJ390" i="24050"/>
  <c r="BV390" i="24050"/>
  <c r="S91" i="24050"/>
  <c r="AY97" i="23917"/>
  <c r="AQ80" i="24050"/>
  <c r="BW86" i="23917"/>
  <c r="BK92" i="24050"/>
  <c r="CQ98" i="23917"/>
  <c r="BW80" i="24050"/>
  <c r="DC86" i="23917"/>
  <c r="AW90" i="24050"/>
  <c r="CC96" i="23917"/>
  <c r="ER60" i="23917"/>
  <c r="ER347" i="23917"/>
  <c r="ER193" i="23917"/>
  <c r="ER276" i="23917"/>
  <c r="ER110" i="23917"/>
  <c r="ER311" i="23917"/>
  <c r="ER153" i="23917"/>
  <c r="ER381" i="23917"/>
  <c r="ER235" i="23917"/>
  <c r="E92" i="24050"/>
  <c r="AK98" i="23917"/>
  <c r="BS90" i="24050"/>
  <c r="CY96" i="23917"/>
  <c r="Y90" i="24050"/>
  <c r="BE96" i="23917"/>
  <c r="Y84" i="24050"/>
  <c r="BE90" i="23917"/>
  <c r="BM175" i="24050"/>
  <c r="CS181" i="23917"/>
  <c r="BT210" i="24050"/>
  <c r="CZ216" i="23917"/>
  <c r="ED256" i="24050"/>
  <c r="FJ262" i="23917"/>
  <c r="AS140" i="24050"/>
  <c r="BY146" i="23917"/>
  <c r="DA154" i="24050"/>
  <c r="EG160" i="23917"/>
  <c r="AZ210" i="24050"/>
  <c r="CF216" i="23917"/>
  <c r="BX127" i="24050"/>
  <c r="DD133" i="23917"/>
  <c r="BP210" i="24050"/>
  <c r="CV216" i="23917"/>
  <c r="DG210" i="24050"/>
  <c r="EM216" i="23917"/>
  <c r="DN382" i="24050"/>
  <c r="BZ382" i="24050"/>
  <c r="Y75" i="24050"/>
  <c r="BE81" i="23917"/>
  <c r="BU392" i="24050"/>
  <c r="DI392" i="24050"/>
  <c r="DO395" i="24050"/>
  <c r="CA395" i="24050"/>
  <c r="AM298" i="24050"/>
  <c r="BS304" i="23917"/>
  <c r="BZ383" i="24050"/>
  <c r="DN383" i="24050"/>
  <c r="DF393" i="24050"/>
  <c r="BR393" i="24050"/>
  <c r="DN366" i="24050"/>
  <c r="ET372" i="23917"/>
  <c r="AD121" i="24050"/>
  <c r="AD8" i="24050"/>
  <c r="BJ127" i="23917"/>
  <c r="BI121" i="24050"/>
  <c r="BI8" i="24050"/>
  <c r="CO127" i="23917"/>
  <c r="EA119" i="24050"/>
  <c r="FG125" i="23917"/>
  <c r="E131" i="24050"/>
  <c r="AK137" i="23917"/>
  <c r="DZ155" i="24050"/>
  <c r="FF161" i="23917"/>
  <c r="DS175" i="24050"/>
  <c r="EY181" i="23917"/>
  <c r="S175" i="24050"/>
  <c r="AY181" i="23917"/>
  <c r="G162" i="24050"/>
  <c r="AM168" i="23917"/>
  <c r="EF173" i="24050"/>
  <c r="FL179" i="23917"/>
  <c r="DU205" i="24050"/>
  <c r="DL200" i="24050"/>
  <c r="ER206" i="23917"/>
  <c r="DF278" i="24050"/>
  <c r="EL284" i="23917"/>
  <c r="DH321" i="24050"/>
  <c r="EN327" i="23917"/>
  <c r="AM334" i="24050"/>
  <c r="BS340" i="23917"/>
  <c r="BS334" i="24050"/>
  <c r="CY340" i="23917"/>
  <c r="BA298" i="24050"/>
  <c r="CG304" i="23917"/>
  <c r="K24" i="24068"/>
  <c r="AK321" i="24050"/>
  <c r="BQ327" i="23917"/>
  <c r="BM334" i="24050"/>
  <c r="CS340" i="23917"/>
  <c r="W244" i="24050"/>
  <c r="BC250" i="23917"/>
  <c r="CI244" i="24050"/>
  <c r="DO250" i="23917"/>
  <c r="BE257" i="24050"/>
  <c r="CK263" i="23917"/>
  <c r="AQ321" i="24050"/>
  <c r="BW327" i="23917"/>
  <c r="EA391" i="24050"/>
  <c r="CM391" i="24050"/>
  <c r="C332" i="24050"/>
  <c r="AI338" i="23917"/>
  <c r="DN390" i="24050"/>
  <c r="BZ390" i="24050"/>
  <c r="CW158" i="24050"/>
  <c r="EC164" i="23917"/>
  <c r="DQ140" i="24050"/>
  <c r="EW146" i="23917"/>
  <c r="BE162" i="24050"/>
  <c r="CK168" i="23917"/>
  <c r="AU119" i="24050"/>
  <c r="CA125" i="23917"/>
  <c r="Z170" i="24050"/>
  <c r="BF176" i="23917"/>
  <c r="G202" i="24050"/>
  <c r="AM208" i="23917"/>
  <c r="CF127" i="24050"/>
  <c r="DL133" i="23917"/>
  <c r="AT121" i="24050"/>
  <c r="AT122" i="24050" s="1"/>
  <c r="AT8" i="24050"/>
  <c r="BZ127" i="23917"/>
  <c r="BZ128" i="23917" s="1"/>
  <c r="DR139" i="24050"/>
  <c r="EX145" i="23917"/>
  <c r="O175" i="24050"/>
  <c r="AU181" i="23917"/>
  <c r="AQ140" i="24050"/>
  <c r="BW146" i="23917"/>
  <c r="DX117" i="24050"/>
  <c r="FD123" i="23917"/>
  <c r="CG121" i="24050"/>
  <c r="CG8" i="24050"/>
  <c r="DM127" i="23917"/>
  <c r="DP130" i="24050"/>
  <c r="EV136" i="23917"/>
  <c r="EE119" i="24050"/>
  <c r="FK125" i="23917"/>
  <c r="ED118" i="24050"/>
  <c r="FJ124" i="23917"/>
  <c r="DO164" i="24050"/>
  <c r="DO9" i="24050"/>
  <c r="EU170" i="23917"/>
  <c r="W204" i="24050"/>
  <c r="W10" i="24050"/>
  <c r="BC210" i="23917"/>
  <c r="CS116" i="24050"/>
  <c r="DY122" i="23917"/>
  <c r="CU158" i="24050"/>
  <c r="EA164" i="23917"/>
  <c r="C213" i="24050"/>
  <c r="AI219" i="23917"/>
  <c r="BI127" i="24050"/>
  <c r="CO133" i="23917"/>
  <c r="BS164" i="24050"/>
  <c r="BS9" i="24050"/>
  <c r="CY170" i="23917"/>
  <c r="G112" i="24050"/>
  <c r="AM118" i="23917"/>
  <c r="EA121" i="24050"/>
  <c r="EA122" i="24050" s="1"/>
  <c r="EA8" i="24050"/>
  <c r="FG127" i="23917"/>
  <c r="FG128" i="23917" s="1"/>
  <c r="DU162" i="24050"/>
  <c r="FA168" i="23917"/>
  <c r="I215" i="24050"/>
  <c r="AO221" i="23917"/>
  <c r="CI204" i="24050"/>
  <c r="CI10" i="24050"/>
  <c r="DO210" i="23917"/>
  <c r="DT200" i="24050"/>
  <c r="EZ206" i="23917"/>
  <c r="BU164" i="24050"/>
  <c r="BU9" i="24050"/>
  <c r="DA170" i="23917"/>
  <c r="CW174" i="24050"/>
  <c r="EC180" i="23917"/>
  <c r="S195" i="24050"/>
  <c r="AY201" i="23917"/>
  <c r="DK214" i="24050"/>
  <c r="EQ220" i="23917"/>
  <c r="DS293" i="24050"/>
  <c r="EY299" i="23917"/>
  <c r="EH162" i="24050"/>
  <c r="FN168" i="23917"/>
  <c r="AC131" i="24050"/>
  <c r="BI137" i="23917"/>
  <c r="EA131" i="24050"/>
  <c r="FG137" i="23917"/>
  <c r="BE131" i="24050"/>
  <c r="CK137" i="23917"/>
  <c r="FL19" i="23917"/>
  <c r="FK19" i="23917"/>
  <c r="AE164" i="24050"/>
  <c r="AE9" i="24050"/>
  <c r="BK170" i="23917"/>
  <c r="CT116" i="24050"/>
  <c r="DZ122" i="23917"/>
  <c r="AS121" i="24050"/>
  <c r="AS8" i="24050"/>
  <c r="BY127" i="23917"/>
  <c r="K175" i="24050"/>
  <c r="AQ181" i="23917"/>
  <c r="DN173" i="24050"/>
  <c r="ET179" i="23917"/>
  <c r="AY202" i="24050"/>
  <c r="CE208" i="23917"/>
  <c r="AM131" i="24050"/>
  <c r="BS137" i="23917"/>
  <c r="EB136" i="24050"/>
  <c r="FH142" i="23917"/>
  <c r="AA175" i="24050"/>
  <c r="BG181" i="23917"/>
  <c r="DF121" i="24050"/>
  <c r="DF8" i="24050"/>
  <c r="EL127" i="23917"/>
  <c r="CR130" i="24050"/>
  <c r="DX136" i="23917"/>
  <c r="DW164" i="24050"/>
  <c r="DW165" i="24050" s="1"/>
  <c r="DW9" i="24050"/>
  <c r="FC170" i="23917"/>
  <c r="FC171" i="23917" s="1"/>
  <c r="DV160" i="24050"/>
  <c r="FB166" i="23917"/>
  <c r="ED215" i="24050"/>
  <c r="FJ221" i="23917"/>
  <c r="F204" i="24050"/>
  <c r="F10" i="24050"/>
  <c r="AL210" i="23917"/>
  <c r="CR213" i="24050"/>
  <c r="DX219" i="23917"/>
  <c r="W216" i="23917"/>
  <c r="V216" i="23917"/>
  <c r="BC204" i="24050"/>
  <c r="BC10" i="24050"/>
  <c r="CI210" i="23917"/>
  <c r="BS131" i="24050"/>
  <c r="CY137" i="23917"/>
  <c r="ET19" i="23917"/>
  <c r="ES19" i="23917"/>
  <c r="EF195" i="24050"/>
  <c r="FL201" i="23917"/>
  <c r="AO204" i="24050"/>
  <c r="AO10" i="24050"/>
  <c r="BU210" i="23917"/>
  <c r="EJ110" i="24050"/>
  <c r="FP116" i="23917"/>
  <c r="Z127" i="23917"/>
  <c r="H170" i="24050"/>
  <c r="AN176" i="23917"/>
  <c r="BE164" i="24050"/>
  <c r="BE9" i="24050"/>
  <c r="CK170" i="23917"/>
  <c r="BT170" i="24050"/>
  <c r="CZ176" i="23917"/>
  <c r="C173" i="24050"/>
  <c r="AI179" i="23917"/>
  <c r="DZ178" i="24050"/>
  <c r="FF184" i="23917"/>
  <c r="EI195" i="24050"/>
  <c r="FO201" i="23917"/>
  <c r="EK200" i="24050"/>
  <c r="FQ206" i="23917"/>
  <c r="DF202" i="24050"/>
  <c r="EL208" i="23917"/>
  <c r="EB287" i="24050"/>
  <c r="EB13" i="24050"/>
  <c r="FH293" i="23917"/>
  <c r="I285" i="24050"/>
  <c r="AO291" i="23917"/>
  <c r="L14" i="24068"/>
  <c r="L15" i="24068" s="1"/>
  <c r="BR246" i="24050"/>
  <c r="BR247" i="24050" s="1"/>
  <c r="BR12" i="24050"/>
  <c r="CX252" i="23917"/>
  <c r="CX253" i="23917" s="1"/>
  <c r="EB263" i="24050"/>
  <c r="FH269" i="23917"/>
  <c r="M285" i="24050"/>
  <c r="AS291" i="23917"/>
  <c r="EE257" i="24050"/>
  <c r="FK263" i="23917"/>
  <c r="AI287" i="24050"/>
  <c r="AI13" i="24050"/>
  <c r="BO293" i="23917"/>
  <c r="EC285" i="24050"/>
  <c r="FI291" i="23917"/>
  <c r="DT244" i="24050"/>
  <c r="EZ250" i="23917"/>
  <c r="AW244" i="24050"/>
  <c r="CC250" i="23917"/>
  <c r="C257" i="24050"/>
  <c r="AI263" i="23917"/>
  <c r="CI257" i="24050"/>
  <c r="DO263" i="23917"/>
  <c r="CT282" i="24050"/>
  <c r="DZ288" i="23917"/>
  <c r="CU283" i="24050"/>
  <c r="EA289" i="23917"/>
  <c r="EH296" i="24050"/>
  <c r="FN302" i="23917"/>
  <c r="H293" i="24050"/>
  <c r="AN299" i="23917"/>
  <c r="AO287" i="24050"/>
  <c r="AO13" i="24050"/>
  <c r="BU293" i="23917"/>
  <c r="BU287" i="24050"/>
  <c r="BU13" i="24050"/>
  <c r="DA293" i="23917"/>
  <c r="DU323" i="24050"/>
  <c r="DU324" i="24050" s="1"/>
  <c r="DU14" i="24050"/>
  <c r="FA329" i="23917"/>
  <c r="FA330" i="23917" s="1"/>
  <c r="EB332" i="24050"/>
  <c r="FH338" i="23917"/>
  <c r="DL320" i="24050"/>
  <c r="ER326" i="23917"/>
  <c r="W334" i="24050"/>
  <c r="BC340" i="23917"/>
  <c r="DN240" i="24050"/>
  <c r="ET246" i="23917"/>
  <c r="M258" i="23917"/>
  <c r="L258" i="23917"/>
  <c r="AW298" i="24050"/>
  <c r="CC304" i="23917"/>
  <c r="DZ313" i="24050"/>
  <c r="FF319" i="23917"/>
  <c r="E334" i="24050"/>
  <c r="AK340" i="23917"/>
  <c r="AE244" i="24050"/>
  <c r="BK250" i="23917"/>
  <c r="AG257" i="24050"/>
  <c r="BM263" i="23917"/>
  <c r="W287" i="24050"/>
  <c r="W13" i="24050"/>
  <c r="BC293" i="23917"/>
  <c r="BC287" i="24050"/>
  <c r="BC13" i="24050"/>
  <c r="CI293" i="23917"/>
  <c r="CI287" i="24050"/>
  <c r="CI13" i="24050"/>
  <c r="DO293" i="23917"/>
  <c r="CT313" i="24050"/>
  <c r="DZ319" i="23917"/>
  <c r="O329" i="24050"/>
  <c r="AU335" i="23917"/>
  <c r="CP281" i="24050"/>
  <c r="DV287" i="23917"/>
  <c r="DM323" i="24050"/>
  <c r="DM14" i="24050"/>
  <c r="ES329" i="23917"/>
  <c r="DN387" i="24050"/>
  <c r="BZ387" i="24050"/>
  <c r="CP391" i="24050"/>
  <c r="ED391" i="24050"/>
  <c r="CU380" i="24050"/>
  <c r="EI380" i="24050"/>
  <c r="I89" i="23917"/>
  <c r="H89" i="23917"/>
  <c r="DX31" i="24050"/>
  <c r="FD39" i="23917"/>
  <c r="DT31" i="24050"/>
  <c r="EZ39" i="23917"/>
  <c r="EG79" i="24050"/>
  <c r="FM85" i="23917"/>
  <c r="BQ91" i="24050"/>
  <c r="CW97" i="23917"/>
  <c r="BS96" i="24050"/>
  <c r="CY102" i="23917"/>
  <c r="BR81" i="24050"/>
  <c r="CX87" i="23917"/>
  <c r="AM78" i="24050"/>
  <c r="BS84" i="23917"/>
  <c r="BG80" i="24050"/>
  <c r="CM86" i="23917"/>
  <c r="BO78" i="24050"/>
  <c r="CU84" i="23917"/>
  <c r="CA79" i="24050"/>
  <c r="DG85" i="23917"/>
  <c r="P81" i="24050"/>
  <c r="AV87" i="23917"/>
  <c r="U78" i="24050"/>
  <c r="BA84" i="23917"/>
  <c r="BA91" i="24050"/>
  <c r="CG97" i="23917"/>
  <c r="CC78" i="24050"/>
  <c r="DI84" i="23917"/>
  <c r="DT88" i="24050"/>
  <c r="DT76" i="24050"/>
  <c r="EZ94" i="23917"/>
  <c r="EZ82" i="23917"/>
  <c r="CB81" i="24050"/>
  <c r="DH87" i="23917"/>
  <c r="DF96" i="24050"/>
  <c r="EL102" i="23917"/>
  <c r="DZ94" i="24050"/>
  <c r="FF100" i="23917"/>
  <c r="DI82" i="24050"/>
  <c r="EO88" i="23917"/>
  <c r="E84" i="24050"/>
  <c r="AK90" i="23917"/>
  <c r="AE82" i="24050"/>
  <c r="BK88" i="23917"/>
  <c r="AZ82" i="24050"/>
  <c r="CF88" i="23917"/>
  <c r="DL93" i="24050"/>
  <c r="ER99" i="23917"/>
  <c r="DC84" i="24050"/>
  <c r="EI90" i="23917"/>
  <c r="DT77" i="24050"/>
  <c r="EZ83" i="23917"/>
  <c r="BX81" i="24050"/>
  <c r="DD87" i="23917"/>
  <c r="DK84" i="24050"/>
  <c r="EQ90" i="23917"/>
  <c r="EA84" i="24050"/>
  <c r="FG90" i="23917"/>
  <c r="C170" i="24050"/>
  <c r="AI176" i="23917"/>
  <c r="DN116" i="24050"/>
  <c r="ET122" i="23917"/>
  <c r="AA112" i="24050"/>
  <c r="BG118" i="23917"/>
  <c r="BJ127" i="24050"/>
  <c r="CP133" i="23917"/>
  <c r="CS117" i="24050"/>
  <c r="DY123" i="23917"/>
  <c r="BG131" i="24050"/>
  <c r="CM137" i="23917"/>
  <c r="BL121" i="24050"/>
  <c r="BL122" i="24050" s="1"/>
  <c r="BL8" i="24050"/>
  <c r="CR127" i="23917"/>
  <c r="CR128" i="23917" s="1"/>
  <c r="CC131" i="24050"/>
  <c r="DI137" i="23917"/>
  <c r="N170" i="24050"/>
  <c r="AT176" i="23917"/>
  <c r="CA164" i="24050"/>
  <c r="CA9" i="24050"/>
  <c r="DG170" i="23917"/>
  <c r="DL159" i="24050"/>
  <c r="ER165" i="23917"/>
  <c r="O112" i="24050"/>
  <c r="AU118" i="23917"/>
  <c r="DR175" i="24050"/>
  <c r="EX181" i="23917"/>
  <c r="EH214" i="24050"/>
  <c r="FN220" i="23917"/>
  <c r="AY204" i="24050"/>
  <c r="AY10" i="24050"/>
  <c r="CE210" i="23917"/>
  <c r="DU119" i="24050"/>
  <c r="FA125" i="23917"/>
  <c r="AG136" i="23917"/>
  <c r="X136" i="23917"/>
  <c r="F121" i="24050"/>
  <c r="F8" i="24050"/>
  <c r="AL127" i="23917"/>
  <c r="BR127" i="24050"/>
  <c r="CX133" i="23917"/>
  <c r="CB121" i="24050"/>
  <c r="CB122" i="24050" s="1"/>
  <c r="CB8" i="24050"/>
  <c r="DH127" i="23917"/>
  <c r="DH128" i="23917" s="1"/>
  <c r="DU140" i="24050"/>
  <c r="FA146" i="23917"/>
  <c r="BB164" i="24050"/>
  <c r="BB165" i="24050" s="1"/>
  <c r="BB9" i="24050"/>
  <c r="CH170" i="23917"/>
  <c r="CH171" i="23917" s="1"/>
  <c r="DL111" i="24050"/>
  <c r="ER117" i="23917"/>
  <c r="DO131" i="24050"/>
  <c r="EU137" i="23917"/>
  <c r="Q121" i="24050"/>
  <c r="Q8" i="24050"/>
  <c r="AW127" i="23917"/>
  <c r="FP19" i="23917"/>
  <c r="FO19" i="23917"/>
  <c r="CS155" i="24050"/>
  <c r="DY161" i="23917"/>
  <c r="BF170" i="24050"/>
  <c r="CL176" i="23917"/>
  <c r="AD210" i="24050"/>
  <c r="BJ216" i="23917"/>
  <c r="BK204" i="24050"/>
  <c r="BK10" i="24050"/>
  <c r="CQ210" i="23917"/>
  <c r="DP115" i="24050"/>
  <c r="EV121" i="23917"/>
  <c r="DN118" i="24050"/>
  <c r="ET124" i="23917"/>
  <c r="DT136" i="24050"/>
  <c r="EZ142" i="23917"/>
  <c r="BE204" i="24050"/>
  <c r="BE10" i="24050"/>
  <c r="CK210" i="23917"/>
  <c r="EG121" i="24050"/>
  <c r="EG122" i="24050" s="1"/>
  <c r="EG8" i="24050"/>
  <c r="FM127" i="23917"/>
  <c r="FM128" i="23917" s="1"/>
  <c r="S140" i="24050"/>
  <c r="AY146" i="23917"/>
  <c r="M164" i="24050"/>
  <c r="M9" i="24050"/>
  <c r="AS170" i="23917"/>
  <c r="AR170" i="24050"/>
  <c r="BX176" i="23917"/>
  <c r="BY164" i="24050"/>
  <c r="BY9" i="24050"/>
  <c r="DE170" i="23917"/>
  <c r="DK173" i="24050"/>
  <c r="EQ179" i="23917"/>
  <c r="K195" i="24050"/>
  <c r="AQ201" i="23917"/>
  <c r="CC204" i="24050"/>
  <c r="CC10" i="24050"/>
  <c r="DI210" i="23917"/>
  <c r="DH215" i="24050"/>
  <c r="EN221" i="23917"/>
  <c r="BW202" i="24050"/>
  <c r="DC208" i="23917"/>
  <c r="B5" i="24068"/>
  <c r="AX11" i="24050"/>
  <c r="EH255" i="24050"/>
  <c r="FN261" i="23917"/>
  <c r="DX298" i="24050"/>
  <c r="FD304" i="23917"/>
  <c r="CM298" i="24050"/>
  <c r="DS304" i="23917"/>
  <c r="EF283" i="24050"/>
  <c r="FL289" i="23917"/>
  <c r="L252" i="24050"/>
  <c r="AR258" i="23917"/>
  <c r="DJ244" i="24050"/>
  <c r="EP250" i="23917"/>
  <c r="L293" i="24050"/>
  <c r="AR299" i="23917"/>
  <c r="AA237" i="24050"/>
  <c r="BG243" i="23917"/>
  <c r="CM257" i="24050"/>
  <c r="DS263" i="23917"/>
  <c r="CP284" i="24050"/>
  <c r="DV290" i="23917"/>
  <c r="N293" i="24050"/>
  <c r="AT299" i="23917"/>
  <c r="AT293" i="24050"/>
  <c r="BZ299" i="23917"/>
  <c r="BZ293" i="24050"/>
  <c r="DF299" i="23917"/>
  <c r="BZ323" i="24050"/>
  <c r="BZ324" i="24050" s="1"/>
  <c r="BZ14" i="24050"/>
  <c r="DF329" i="23917"/>
  <c r="DF330" i="23917" s="1"/>
  <c r="AH15" i="24050"/>
  <c r="BN408" i="23917"/>
  <c r="AH399" i="24050" s="1"/>
  <c r="BJ15" i="24050"/>
  <c r="CP408" i="23917"/>
  <c r="EA403" i="23917"/>
  <c r="DZ403" i="23917"/>
  <c r="DO246" i="24050"/>
  <c r="DO12" i="24050"/>
  <c r="EU252" i="23917"/>
  <c r="Q258" i="23917"/>
  <c r="P258" i="23917"/>
  <c r="E246" i="24050"/>
  <c r="E12" i="24050"/>
  <c r="AK252" i="23917"/>
  <c r="D293" i="24050"/>
  <c r="AJ299" i="23917"/>
  <c r="AK287" i="24050"/>
  <c r="AK13" i="24050"/>
  <c r="BQ293" i="23917"/>
  <c r="BQ287" i="24050"/>
  <c r="BQ13" i="24050"/>
  <c r="CW293" i="23917"/>
  <c r="AN329" i="24050"/>
  <c r="BT335" i="23917"/>
  <c r="BD329" i="24050"/>
  <c r="CJ335" i="23917"/>
  <c r="BT329" i="24050"/>
  <c r="CZ335" i="23917"/>
  <c r="DP333" i="24050"/>
  <c r="EV339" i="23917"/>
  <c r="BO244" i="24050"/>
  <c r="CU250" i="23917"/>
  <c r="EI278" i="24050"/>
  <c r="FO284" i="23917"/>
  <c r="Z329" i="24050"/>
  <c r="BF335" i="23917"/>
  <c r="I323" i="24050"/>
  <c r="I14" i="24050"/>
  <c r="AO329" i="23917"/>
  <c r="DR387" i="24050"/>
  <c r="CD387" i="24050"/>
  <c r="DF19" i="24050"/>
  <c r="EL22" i="23917"/>
  <c r="DR356" i="24050"/>
  <c r="EX362" i="23917"/>
  <c r="CR316" i="24050"/>
  <c r="DX322" i="23917"/>
  <c r="C89" i="23917"/>
  <c r="B89" i="23917"/>
  <c r="EH30" i="24050"/>
  <c r="FN38" i="23917"/>
  <c r="DL31" i="24050"/>
  <c r="ER39" i="23917"/>
  <c r="I43" i="23917"/>
  <c r="H43" i="23917"/>
  <c r="DD75" i="24050"/>
  <c r="EJ81" i="23917"/>
  <c r="DN91" i="24050"/>
  <c r="ET97" i="23917"/>
  <c r="DY78" i="24050"/>
  <c r="FE84" i="23917"/>
  <c r="C80" i="24050"/>
  <c r="AI86" i="23917"/>
  <c r="AI92" i="24050"/>
  <c r="BO98" i="23917"/>
  <c r="I79" i="24050"/>
  <c r="AO85" i="23917"/>
  <c r="BP78" i="24050"/>
  <c r="CV84" i="23917"/>
  <c r="DH91" i="24050"/>
  <c r="EN97" i="23917"/>
  <c r="DW91" i="24050"/>
  <c r="FC97" i="23917"/>
  <c r="Q87" i="23917"/>
  <c r="P87" i="23917"/>
  <c r="O79" i="24050"/>
  <c r="AU85" i="23917"/>
  <c r="BG82" i="24050"/>
  <c r="CM88" i="23917"/>
  <c r="DR96" i="24050"/>
  <c r="EX102" i="23917"/>
  <c r="DN77" i="24050"/>
  <c r="ET83" i="23917"/>
  <c r="ED77" i="24050"/>
  <c r="FJ83" i="23917"/>
  <c r="E82" i="24050"/>
  <c r="AK88" i="23917"/>
  <c r="AU82" i="24050"/>
  <c r="CA88" i="23917"/>
  <c r="DT94" i="24050"/>
  <c r="EZ100" i="23917"/>
  <c r="DG81" i="24050"/>
  <c r="EM87" i="23917"/>
  <c r="BA94" i="24050"/>
  <c r="CG100" i="23917"/>
  <c r="AR84" i="24050"/>
  <c r="BX90" i="23917"/>
  <c r="AY170" i="24050"/>
  <c r="CE176" i="23917"/>
  <c r="ED130" i="24050"/>
  <c r="FJ136" i="23917"/>
  <c r="Y168" i="23917"/>
  <c r="X168" i="23917"/>
  <c r="N210" i="24050"/>
  <c r="AT216" i="23917"/>
  <c r="EH215" i="24050"/>
  <c r="FN221" i="23917"/>
  <c r="D121" i="24050"/>
  <c r="D8" i="24050"/>
  <c r="AJ127" i="23917"/>
  <c r="BW175" i="24050"/>
  <c r="DC181" i="23917"/>
  <c r="J170" i="24050"/>
  <c r="AP176" i="23917"/>
  <c r="DL192" i="24050"/>
  <c r="ER198" i="23917"/>
  <c r="BC131" i="24050"/>
  <c r="CI137" i="23917"/>
  <c r="DI170" i="24050"/>
  <c r="EO176" i="23917"/>
  <c r="W112" i="24050"/>
  <c r="BC118" i="23917"/>
  <c r="M112" i="24050"/>
  <c r="AS118" i="23917"/>
  <c r="BS140" i="24050"/>
  <c r="CY146" i="23917"/>
  <c r="DJ140" i="24050"/>
  <c r="EP146" i="23917"/>
  <c r="EJ111" i="24050"/>
  <c r="FP117" i="23917"/>
  <c r="CV110" i="24050"/>
  <c r="EB116" i="23917"/>
  <c r="Y121" i="24050"/>
  <c r="Y8" i="24050"/>
  <c r="BE127" i="23917"/>
  <c r="BK162" i="24050"/>
  <c r="CQ168" i="23917"/>
  <c r="CM164" i="24050"/>
  <c r="CM9" i="24050"/>
  <c r="DS170" i="23917"/>
  <c r="DT213" i="24050"/>
  <c r="EZ219" i="23917"/>
  <c r="AM204" i="24050"/>
  <c r="AM10" i="24050"/>
  <c r="BS210" i="23917"/>
  <c r="S10" i="24068"/>
  <c r="T10" i="24068"/>
  <c r="O130" i="24050"/>
  <c r="AU136" i="23917"/>
  <c r="CY173" i="24050"/>
  <c r="EE179" i="23917"/>
  <c r="DP214" i="24050"/>
  <c r="EV220" i="23917"/>
  <c r="DK215" i="24050"/>
  <c r="EQ221" i="23917"/>
  <c r="DR112" i="24050"/>
  <c r="EX118" i="23917"/>
  <c r="P170" i="24050"/>
  <c r="AV176" i="23917"/>
  <c r="BM164" i="24050"/>
  <c r="BM9" i="24050"/>
  <c r="CS170" i="23917"/>
  <c r="CB170" i="24050"/>
  <c r="DH176" i="23917"/>
  <c r="CQ199" i="24050"/>
  <c r="DW205" i="23917"/>
  <c r="C222" i="24050"/>
  <c r="AI228" i="23917"/>
  <c r="J5" i="24068"/>
  <c r="BN11" i="24050"/>
  <c r="CP161" i="24050"/>
  <c r="DV167" i="23917"/>
  <c r="CI222" i="24050"/>
  <c r="DO228" i="23917"/>
  <c r="DT236" i="24050"/>
  <c r="EZ242" i="23917"/>
  <c r="CS313" i="24050"/>
  <c r="DY319" i="23917"/>
  <c r="BG298" i="24050"/>
  <c r="CM304" i="23917"/>
  <c r="DZ257" i="24050"/>
  <c r="FF263" i="23917"/>
  <c r="Y237" i="24050"/>
  <c r="BE243" i="23917"/>
  <c r="W237" i="24050"/>
  <c r="BC243" i="23917"/>
  <c r="DH244" i="24050"/>
  <c r="EN250" i="23917"/>
  <c r="BO257" i="24050"/>
  <c r="CU263" i="23917"/>
  <c r="DJ296" i="24050"/>
  <c r="EP302" i="23917"/>
  <c r="CU312" i="24050"/>
  <c r="EA318" i="23917"/>
  <c r="DI15" i="24050"/>
  <c r="EO408" i="23917"/>
  <c r="AL15" i="24050"/>
  <c r="BR408" i="23917"/>
  <c r="AL399" i="24050" s="1"/>
  <c r="DS246" i="24050"/>
  <c r="DS12" i="24050"/>
  <c r="EY252" i="23917"/>
  <c r="AJ252" i="24050"/>
  <c r="BP258" i="23917"/>
  <c r="AZ252" i="24050"/>
  <c r="CF258" i="23917"/>
  <c r="BP252" i="24050"/>
  <c r="CV258" i="23917"/>
  <c r="CF252" i="24050"/>
  <c r="DL258" i="23917"/>
  <c r="CS298" i="24050"/>
  <c r="DY304" i="23917"/>
  <c r="EG313" i="24050"/>
  <c r="FM319" i="23917"/>
  <c r="L329" i="24050"/>
  <c r="AR335" i="23917"/>
  <c r="DO321" i="24050"/>
  <c r="EU327" i="23917"/>
  <c r="P246" i="24050"/>
  <c r="P12" i="24050"/>
  <c r="AV252" i="23917"/>
  <c r="CY277" i="24050"/>
  <c r="EE283" i="23917"/>
  <c r="DZ278" i="24050"/>
  <c r="FF284" i="23917"/>
  <c r="AL293" i="24050"/>
  <c r="BR299" i="23917"/>
  <c r="BR293" i="24050"/>
  <c r="CX299" i="23917"/>
  <c r="M335" i="23917"/>
  <c r="L335" i="23917"/>
  <c r="AH329" i="24050"/>
  <c r="BN335" i="23917"/>
  <c r="BN329" i="24050"/>
  <c r="CT335" i="23917"/>
  <c r="EB320" i="24050"/>
  <c r="FH326" i="23917"/>
  <c r="FP389" i="23917"/>
  <c r="FO389" i="23917"/>
  <c r="DP358" i="24050"/>
  <c r="EV364" i="23917"/>
  <c r="DF387" i="24050"/>
  <c r="BR387" i="24050"/>
  <c r="DM321" i="24050"/>
  <c r="ES327" i="23917"/>
  <c r="DL387" i="24050"/>
  <c r="BX387" i="24050"/>
  <c r="Q30" i="24050"/>
  <c r="AW38" i="23917"/>
  <c r="ED31" i="24050"/>
  <c r="FJ39" i="23917"/>
  <c r="EM30" i="24050"/>
  <c r="FS38" i="23917"/>
  <c r="AK30" i="24050"/>
  <c r="BQ38" i="23917"/>
  <c r="DL75" i="24050"/>
  <c r="ER81" i="23917"/>
  <c r="CQ75" i="24050"/>
  <c r="DW81" i="23917"/>
  <c r="DQ78" i="24050"/>
  <c r="EW84" i="23917"/>
  <c r="W75" i="24050"/>
  <c r="BC81" i="23917"/>
  <c r="BC75" i="24050"/>
  <c r="CI81" i="23917"/>
  <c r="CI75" i="24050"/>
  <c r="DO81" i="23917"/>
  <c r="BW82" i="24050"/>
  <c r="DC88" i="23917"/>
  <c r="DG78" i="24050"/>
  <c r="EM84" i="23917"/>
  <c r="EA78" i="24050"/>
  <c r="FG84" i="23917"/>
  <c r="EH94" i="24050"/>
  <c r="FN100" i="23917"/>
  <c r="DQ84" i="24050"/>
  <c r="EW90" i="23917"/>
  <c r="EG82" i="24050"/>
  <c r="FM88" i="23917"/>
  <c r="EI159" i="24050"/>
  <c r="FO165" i="23917"/>
  <c r="CO131" i="24050"/>
  <c r="DU137" i="23917"/>
  <c r="AY119" i="24050"/>
  <c r="CE125" i="23917"/>
  <c r="AO131" i="24050"/>
  <c r="BU137" i="23917"/>
  <c r="EH173" i="24050"/>
  <c r="FN179" i="23917"/>
  <c r="EB195" i="24050"/>
  <c r="FH201" i="23917"/>
  <c r="BG140" i="24050"/>
  <c r="CM146" i="23917"/>
  <c r="BV170" i="24050"/>
  <c r="DB176" i="23917"/>
  <c r="S202" i="24050"/>
  <c r="AY208" i="23917"/>
  <c r="BN210" i="24050"/>
  <c r="CT216" i="23917"/>
  <c r="BP127" i="24050"/>
  <c r="CV133" i="23917"/>
  <c r="CU140" i="24050"/>
  <c r="EA146" i="23917"/>
  <c r="DJ175" i="24050"/>
  <c r="EP181" i="23917"/>
  <c r="CI121" i="24050"/>
  <c r="CI8" i="24050"/>
  <c r="DO127" i="23917"/>
  <c r="DG121" i="24050"/>
  <c r="DG8" i="24050"/>
  <c r="EM127" i="23917"/>
  <c r="V164" i="24050"/>
  <c r="V9" i="24050"/>
  <c r="BB170" i="23917"/>
  <c r="CQ160" i="24050"/>
  <c r="DW166" i="23917"/>
  <c r="CT111" i="24050"/>
  <c r="DZ117" i="23917"/>
  <c r="EZ19" i="23917"/>
  <c r="EY19" i="23917"/>
  <c r="BO140" i="24050"/>
  <c r="CU146" i="23917"/>
  <c r="EC175" i="24050"/>
  <c r="FI181" i="23917"/>
  <c r="DX160" i="24050"/>
  <c r="FD166" i="23917"/>
  <c r="DP195" i="24050"/>
  <c r="EV201" i="23917"/>
  <c r="L210" i="24050"/>
  <c r="AR216" i="23917"/>
  <c r="DZ215" i="24050"/>
  <c r="FF221" i="23917"/>
  <c r="BZ210" i="24050"/>
  <c r="DF216" i="23917"/>
  <c r="EF222" i="24050"/>
  <c r="FL228" i="23917"/>
  <c r="DK112" i="24050"/>
  <c r="EQ118" i="23917"/>
  <c r="AA131" i="24050"/>
  <c r="BG137" i="23917"/>
  <c r="DA152" i="24050"/>
  <c r="EG158" i="23917"/>
  <c r="U164" i="24050"/>
  <c r="U9" i="24050"/>
  <c r="BA170" i="23917"/>
  <c r="AZ170" i="24050"/>
  <c r="CF176" i="23917"/>
  <c r="CG164" i="24050"/>
  <c r="CG9" i="24050"/>
  <c r="DM170" i="23917"/>
  <c r="CR195" i="24050"/>
  <c r="DX201" i="23917"/>
  <c r="DR193" i="24050"/>
  <c r="EX199" i="23917"/>
  <c r="AF210" i="24050"/>
  <c r="BL216" i="23917"/>
  <c r="DN198" i="24050"/>
  <c r="ET204" i="23917"/>
  <c r="DM215" i="24050"/>
  <c r="ES221" i="23917"/>
  <c r="AH246" i="24050"/>
  <c r="AH12" i="24050"/>
  <c r="BN252" i="23917"/>
  <c r="C244" i="24050"/>
  <c r="AI250" i="23917"/>
  <c r="BW298" i="24050"/>
  <c r="DC304" i="23917"/>
  <c r="EH320" i="24050"/>
  <c r="FN326" i="23917"/>
  <c r="EG285" i="24050"/>
  <c r="FM291" i="23917"/>
  <c r="AL246" i="24050"/>
  <c r="AL12" i="24050"/>
  <c r="BR252" i="23917"/>
  <c r="EE244" i="24050"/>
  <c r="FK250" i="23917"/>
  <c r="AS244" i="24050"/>
  <c r="BY250" i="23917"/>
  <c r="AU257" i="24050"/>
  <c r="CA263" i="23917"/>
  <c r="DN296" i="24050"/>
  <c r="ET302" i="23917"/>
  <c r="AE287" i="24050"/>
  <c r="AE13" i="24050"/>
  <c r="BK293" i="23917"/>
  <c r="BK287" i="24050"/>
  <c r="BK13" i="24050"/>
  <c r="CQ293" i="23917"/>
  <c r="W313" i="24050"/>
  <c r="BC319" i="23917"/>
  <c r="S363" i="24050"/>
  <c r="AY369" i="23917"/>
  <c r="M298" i="24050"/>
  <c r="AS304" i="23917"/>
  <c r="BY298" i="24050"/>
  <c r="DE304" i="23917"/>
  <c r="D329" i="24050"/>
  <c r="AJ335" i="23917"/>
  <c r="AF329" i="24050"/>
  <c r="BL335" i="23917"/>
  <c r="AV329" i="24050"/>
  <c r="CB335" i="23917"/>
  <c r="BL329" i="24050"/>
  <c r="CR335" i="23917"/>
  <c r="CB329" i="24050"/>
  <c r="DH335" i="23917"/>
  <c r="DH333" i="24050"/>
  <c r="EN339" i="23917"/>
  <c r="CW382" i="24050"/>
  <c r="EK382" i="24050"/>
  <c r="T246" i="24050"/>
  <c r="T12" i="24050"/>
  <c r="AZ252" i="23917"/>
  <c r="AQ244" i="24050"/>
  <c r="BW250" i="23917"/>
  <c r="BI257" i="24050"/>
  <c r="CO263" i="23917"/>
  <c r="BV323" i="24050"/>
  <c r="BV324" i="24050" s="1"/>
  <c r="BV14" i="24050"/>
  <c r="DB329" i="23917"/>
  <c r="DB330" i="23917" s="1"/>
  <c r="AI321" i="24050"/>
  <c r="BO327" i="23917"/>
  <c r="EF320" i="24050"/>
  <c r="FL326" i="23917"/>
  <c r="CQ313" i="24050"/>
  <c r="DW319" i="23917"/>
  <c r="AJ329" i="24050"/>
  <c r="BP335" i="23917"/>
  <c r="AZ329" i="24050"/>
  <c r="CF335" i="23917"/>
  <c r="BP329" i="24050"/>
  <c r="CV335" i="23917"/>
  <c r="CF329" i="24050"/>
  <c r="DL335" i="23917"/>
  <c r="DG323" i="24050"/>
  <c r="DG14" i="24050"/>
  <c r="EM329" i="23917"/>
  <c r="O334" i="24050"/>
  <c r="AU340" i="23917"/>
  <c r="CQ316" i="24050"/>
  <c r="DW322" i="23917"/>
  <c r="DP320" i="24050"/>
  <c r="EV326" i="23917"/>
  <c r="G98" i="23917"/>
  <c r="F98" i="23917"/>
  <c r="F92" i="24050"/>
  <c r="AL98" i="23917"/>
  <c r="CS87" i="24050"/>
  <c r="DY93" i="23917"/>
  <c r="DN90" i="24050"/>
  <c r="ET96" i="23917"/>
  <c r="EC78" i="24050"/>
  <c r="FI84" i="23917"/>
  <c r="AA75" i="24050"/>
  <c r="BG81" i="23917"/>
  <c r="BG75" i="24050"/>
  <c r="CM81" i="23917"/>
  <c r="CM75" i="24050"/>
  <c r="DS81" i="23917"/>
  <c r="BK90" i="24050"/>
  <c r="CQ96" i="23917"/>
  <c r="Q79" i="24050"/>
  <c r="AW85" i="23917"/>
  <c r="AR79" i="24050"/>
  <c r="BX85" i="23917"/>
  <c r="BH78" i="24050"/>
  <c r="CN84" i="23917"/>
  <c r="BX79" i="24050"/>
  <c r="DD85" i="23917"/>
  <c r="DG80" i="24050"/>
  <c r="EM86" i="23917"/>
  <c r="DO90" i="24050"/>
  <c r="EU96" i="23917"/>
  <c r="EE79" i="24050"/>
  <c r="FK85" i="23917"/>
  <c r="DF75" i="24050"/>
  <c r="EL81" i="23917"/>
  <c r="DJ96" i="24050"/>
  <c r="EP102" i="23917"/>
  <c r="ED94" i="24050"/>
  <c r="FJ100" i="23917"/>
  <c r="DE84" i="24050"/>
  <c r="EK90" i="23917"/>
  <c r="DU84" i="24050"/>
  <c r="FA90" i="23917"/>
  <c r="U84" i="24050"/>
  <c r="BA90" i="23917"/>
  <c r="AJ82" i="24050"/>
  <c r="BP88" i="23917"/>
  <c r="DP77" i="24050"/>
  <c r="EV83" i="23917"/>
  <c r="EE84" i="24050"/>
  <c r="FK90" i="23917"/>
  <c r="BI77" i="24050"/>
  <c r="CO83" i="23917"/>
  <c r="BQ77" i="24050"/>
  <c r="CW83" i="23917"/>
  <c r="BP84" i="24050"/>
  <c r="CV90" i="23917"/>
  <c r="AM84" i="24050"/>
  <c r="BS90" i="23917"/>
  <c r="AD252" i="24050"/>
  <c r="BJ258" i="23917"/>
  <c r="AD127" i="24050"/>
  <c r="BJ133" i="23917"/>
  <c r="DK329" i="24050"/>
  <c r="EQ335" i="23917"/>
  <c r="CQ159" i="24050"/>
  <c r="DW165" i="23917"/>
  <c r="DZ213" i="24050"/>
  <c r="FF219" i="23917"/>
  <c r="DE395" i="24050"/>
  <c r="BQ395" i="24050"/>
  <c r="DJ366" i="24050"/>
  <c r="EP372" i="23917"/>
  <c r="DL285" i="24050"/>
  <c r="ER291" i="23917"/>
  <c r="DO298" i="24050"/>
  <c r="EU304" i="23917"/>
  <c r="BT408" i="23917"/>
  <c r="AN399" i="24050" s="1"/>
  <c r="AN15" i="24050"/>
  <c r="BT15" i="23917"/>
  <c r="DL236" i="24050"/>
  <c r="ER242" i="23917"/>
  <c r="DH285" i="24050"/>
  <c r="EN291" i="23917"/>
  <c r="DL391" i="24050"/>
  <c r="BX391" i="24050"/>
  <c r="BX393" i="24050"/>
  <c r="DL393" i="24050"/>
  <c r="DL395" i="24050"/>
  <c r="BX395" i="24050"/>
  <c r="DF391" i="24050"/>
  <c r="BR391" i="24050"/>
  <c r="DD367" i="24050"/>
  <c r="EJ373" i="23917"/>
  <c r="EI117" i="24050"/>
  <c r="FO123" i="23917"/>
  <c r="AO119" i="24050"/>
  <c r="BU125" i="23917"/>
  <c r="Q140" i="24050"/>
  <c r="AW146" i="23917"/>
  <c r="BM162" i="24050"/>
  <c r="CS168" i="23917"/>
  <c r="AS119" i="24050"/>
  <c r="BY125" i="23917"/>
  <c r="AJ121" i="24050"/>
  <c r="AJ8" i="24050"/>
  <c r="BP127" i="23917"/>
  <c r="CK119" i="24050"/>
  <c r="DQ125" i="23917"/>
  <c r="E140" i="24050"/>
  <c r="AK146" i="23917"/>
  <c r="DZ139" i="24050"/>
  <c r="FF145" i="23917"/>
  <c r="EB213" i="24050"/>
  <c r="FH219" i="23917"/>
  <c r="ED200" i="24050"/>
  <c r="FJ206" i="23917"/>
  <c r="DU202" i="24050"/>
  <c r="FA208" i="23917"/>
  <c r="DR283" i="24050"/>
  <c r="EX289" i="23917"/>
  <c r="W321" i="24050"/>
  <c r="BC327" i="23917"/>
  <c r="BC321" i="24050"/>
  <c r="CI327" i="23917"/>
  <c r="CI321" i="24050"/>
  <c r="DO327" i="23917"/>
  <c r="AR246" i="24050"/>
  <c r="AR247" i="24050" s="1"/>
  <c r="AR12" i="24050"/>
  <c r="BX252" i="23917"/>
  <c r="BX253" i="23917" s="1"/>
  <c r="BE298" i="24050"/>
  <c r="CK304" i="23917"/>
  <c r="M332" i="24050"/>
  <c r="AS338" i="23917"/>
  <c r="U363" i="24050"/>
  <c r="BA369" i="23917"/>
  <c r="DT296" i="24050"/>
  <c r="EZ302" i="23917"/>
  <c r="BG321" i="24050"/>
  <c r="CM327" i="23917"/>
  <c r="C298" i="24050"/>
  <c r="AI304" i="23917"/>
  <c r="ED333" i="24050"/>
  <c r="FJ339" i="23917"/>
  <c r="DO358" i="24050"/>
  <c r="EU364" i="23917"/>
  <c r="EH388" i="24050"/>
  <c r="CT388" i="24050"/>
  <c r="FE34" i="23917"/>
  <c r="S92" i="24050"/>
  <c r="AY98" i="23917"/>
  <c r="AI79" i="24050"/>
  <c r="BO85" i="23917"/>
  <c r="BW79" i="24050"/>
  <c r="DC85" i="23917"/>
  <c r="CE79" i="24050"/>
  <c r="DK85" i="23917"/>
  <c r="U79" i="24050"/>
  <c r="BA85" i="23917"/>
  <c r="CK78" i="24050"/>
  <c r="DQ84" i="23917"/>
  <c r="DP94" i="24050"/>
  <c r="EV100" i="23917"/>
  <c r="DK78" i="24050"/>
  <c r="EQ84" i="23917"/>
  <c r="F82" i="24050"/>
  <c r="AL88" i="23917"/>
  <c r="BN82" i="24050"/>
  <c r="CT88" i="23917"/>
  <c r="EV60" i="23917"/>
  <c r="EV347" i="23917"/>
  <c r="EV193" i="23917"/>
  <c r="EV276" i="23917"/>
  <c r="EV110" i="23917"/>
  <c r="EV311" i="23917"/>
  <c r="EV153" i="23917"/>
  <c r="EV381" i="23917"/>
  <c r="EV235" i="23917"/>
  <c r="DP242" i="24050"/>
  <c r="EV248" i="23917"/>
  <c r="BA257" i="24050"/>
  <c r="CG263" i="23917"/>
  <c r="AY80" i="24050"/>
  <c r="CE86" i="23917"/>
  <c r="BW91" i="24050"/>
  <c r="DC97" i="23917"/>
  <c r="DT96" i="24050"/>
  <c r="EZ102" i="23917"/>
  <c r="DJ19" i="24050"/>
  <c r="EP22" i="23917"/>
  <c r="G89" i="23917"/>
  <c r="F89" i="23917"/>
  <c r="AQ78" i="24050"/>
  <c r="BW84" i="23917"/>
  <c r="BK91" i="24050"/>
  <c r="CQ97" i="23917"/>
  <c r="AO91" i="24050"/>
  <c r="BU97" i="23917"/>
  <c r="EC79" i="24050"/>
  <c r="FI85" i="23917"/>
  <c r="DH93" i="24050"/>
  <c r="EN99" i="23917"/>
  <c r="EF213" i="24050"/>
  <c r="FL219" i="23917"/>
  <c r="AG175" i="24050"/>
  <c r="BM181" i="23917"/>
  <c r="DJ381" i="24050"/>
  <c r="BV381" i="24050"/>
  <c r="BF399" i="24050"/>
  <c r="BF400" i="24050" s="1"/>
  <c r="CL409" i="23917"/>
  <c r="EI389" i="24050"/>
  <c r="CU389" i="24050"/>
  <c r="DE392" i="24050"/>
  <c r="BQ392" i="24050"/>
  <c r="DI394" i="24050"/>
  <c r="BU394" i="24050"/>
  <c r="AW75" i="24050"/>
  <c r="CC81" i="23917"/>
  <c r="EB256" i="24050"/>
  <c r="FH262" i="23917"/>
  <c r="V131" i="24050"/>
  <c r="BB137" i="23917"/>
  <c r="AY131" i="24050"/>
  <c r="CE137" i="23917"/>
  <c r="AK131" i="24050"/>
  <c r="BQ137" i="23917"/>
  <c r="BO162" i="24050"/>
  <c r="CU168" i="23917"/>
  <c r="DP160" i="24050"/>
  <c r="EV166" i="23917"/>
  <c r="S181" i="23917"/>
  <c r="R181" i="23917"/>
  <c r="EG204" i="24050"/>
  <c r="EG205" i="24050" s="1"/>
  <c r="EG10" i="24050"/>
  <c r="FM210" i="23917"/>
  <c r="FM211" i="23917" s="1"/>
  <c r="DT180" i="24050"/>
  <c r="EZ186" i="23917"/>
  <c r="DX173" i="24050"/>
  <c r="FD179" i="23917"/>
  <c r="I204" i="24050"/>
  <c r="I10" i="24050"/>
  <c r="AO210" i="23917"/>
  <c r="DY247" i="24050"/>
  <c r="U244" i="24050"/>
  <c r="BA250" i="23917"/>
  <c r="CG244" i="24050"/>
  <c r="DM250" i="23917"/>
  <c r="AM257" i="24050"/>
  <c r="BS263" i="23917"/>
  <c r="FA294" i="23917"/>
  <c r="AX399" i="24050"/>
  <c r="AX400" i="24050" s="1"/>
  <c r="CD409" i="23917"/>
  <c r="EA257" i="24050"/>
  <c r="FG263" i="23917"/>
  <c r="M321" i="24050"/>
  <c r="AS327" i="23917"/>
  <c r="DL242" i="24050"/>
  <c r="ER248" i="23917"/>
  <c r="AT246" i="24050"/>
  <c r="AT247" i="24050" s="1"/>
  <c r="AT12" i="24050"/>
  <c r="BZ252" i="23917"/>
  <c r="BZ253" i="23917" s="1"/>
  <c r="BW321" i="24050"/>
  <c r="DC327" i="23917"/>
  <c r="EJ396" i="24050"/>
  <c r="CV396" i="24050"/>
  <c r="S298" i="24050"/>
  <c r="AY304" i="23917"/>
  <c r="DG358" i="24050"/>
  <c r="EM364" i="23917"/>
  <c r="EI381" i="24050"/>
  <c r="CU381" i="24050"/>
  <c r="DO380" i="24050"/>
  <c r="CA380" i="24050"/>
  <c r="DF356" i="24050"/>
  <c r="EL362" i="23917"/>
  <c r="BC78" i="24050"/>
  <c r="CI84" i="23917"/>
  <c r="AO90" i="24050"/>
  <c r="BU96" i="23917"/>
  <c r="AW78" i="24050"/>
  <c r="CC84" i="23917"/>
  <c r="BE79" i="24050"/>
  <c r="CK85" i="23917"/>
  <c r="DL90" i="24050"/>
  <c r="ER96" i="23917"/>
  <c r="AO82" i="24050"/>
  <c r="BU88" i="23917"/>
  <c r="DL94" i="24050"/>
  <c r="ER100" i="23917"/>
  <c r="DX96" i="24050"/>
  <c r="FD102" i="23917"/>
  <c r="EE93" i="24050"/>
  <c r="FK99" i="23917"/>
  <c r="S244" i="24050"/>
  <c r="AY250" i="23917"/>
  <c r="AQ92" i="24050"/>
  <c r="BW98" i="23917"/>
  <c r="CA80" i="24050"/>
  <c r="DG86" i="23917"/>
  <c r="CH82" i="24050"/>
  <c r="DN88" i="23917"/>
  <c r="AA92" i="24050"/>
  <c r="BG98" i="23917"/>
  <c r="BG78" i="24050"/>
  <c r="CM84" i="23917"/>
  <c r="CA91" i="24050"/>
  <c r="DG97" i="23917"/>
  <c r="BE90" i="24050"/>
  <c r="CK96" i="23917"/>
  <c r="CO91" i="24050"/>
  <c r="DU97" i="23917"/>
  <c r="S84" i="24050"/>
  <c r="AY90" i="23917"/>
  <c r="CQ297" i="24050"/>
  <c r="DW303" i="23917"/>
  <c r="DV195" i="24050"/>
  <c r="FB201" i="23917"/>
  <c r="AB210" i="24050"/>
  <c r="BH216" i="23917"/>
  <c r="ED255" i="24050"/>
  <c r="FJ261" i="23917"/>
  <c r="AO140" i="24050"/>
  <c r="BU146" i="23917"/>
  <c r="EJ194" i="24050"/>
  <c r="FP200" i="23917"/>
  <c r="BM140" i="24050"/>
  <c r="CS146" i="23917"/>
  <c r="DV332" i="24050"/>
  <c r="FB338" i="23917"/>
  <c r="DJ382" i="24050"/>
  <c r="BV382" i="24050"/>
  <c r="BY257" i="24050"/>
  <c r="DE263" i="23917"/>
  <c r="DE388" i="24050"/>
  <c r="BQ388" i="24050"/>
  <c r="BY392" i="24050"/>
  <c r="DM392" i="24050"/>
  <c r="DM394" i="24050"/>
  <c r="BY394" i="24050"/>
  <c r="BY396" i="24050"/>
  <c r="DM396" i="24050"/>
  <c r="BZ121" i="24050"/>
  <c r="BZ122" i="24050" s="1"/>
  <c r="BZ8" i="24050"/>
  <c r="DF127" i="23917"/>
  <c r="DF128" i="23917" s="1"/>
  <c r="L131" i="24050"/>
  <c r="AR137" i="23917"/>
  <c r="BA131" i="24050"/>
  <c r="CG137" i="23917"/>
  <c r="Y162" i="24050"/>
  <c r="BE168" i="23917"/>
  <c r="AU131" i="24050"/>
  <c r="CA137" i="23917"/>
  <c r="AI175" i="24050"/>
  <c r="BO181" i="23917"/>
  <c r="DZ175" i="24050"/>
  <c r="FF181" i="23917"/>
  <c r="AU162" i="24050"/>
  <c r="CA168" i="23917"/>
  <c r="BO131" i="24050"/>
  <c r="CU137" i="23917"/>
  <c r="DT112" i="24050"/>
  <c r="EZ118" i="23917"/>
  <c r="BG175" i="24050"/>
  <c r="CM181" i="23917"/>
  <c r="CM202" i="24050"/>
  <c r="DS208" i="23917"/>
  <c r="DZ222" i="24050"/>
  <c r="FF228" i="23917"/>
  <c r="Y244" i="24050"/>
  <c r="BE250" i="23917"/>
  <c r="CK244" i="24050"/>
  <c r="DQ250" i="23917"/>
  <c r="DF257" i="24050"/>
  <c r="EL263" i="23917"/>
  <c r="DD297" i="24050"/>
  <c r="EJ303" i="23917"/>
  <c r="DV318" i="24050"/>
  <c r="FB324" i="23917"/>
  <c r="BE334" i="24050"/>
  <c r="CK340" i="23917"/>
  <c r="DL332" i="24050"/>
  <c r="ER338" i="23917"/>
  <c r="CU382" i="24050"/>
  <c r="EI382" i="24050"/>
  <c r="DL356" i="24050"/>
  <c r="ER362" i="23917"/>
  <c r="K78" i="24050"/>
  <c r="AQ84" i="23917"/>
  <c r="AM92" i="24050"/>
  <c r="BS98" i="23917"/>
  <c r="AC90" i="24050"/>
  <c r="BI96" i="23917"/>
  <c r="DX94" i="24050"/>
  <c r="FD100" i="23917"/>
  <c r="DL375" i="24050"/>
  <c r="DL229" i="24050"/>
  <c r="DL53" i="24050"/>
  <c r="DL341" i="24050"/>
  <c r="DL187" i="24050"/>
  <c r="DL270" i="24050"/>
  <c r="DL147" i="24050"/>
  <c r="DL305" i="24050"/>
  <c r="DL104" i="24050"/>
  <c r="BS93" i="24050"/>
  <c r="CY99" i="23917"/>
  <c r="AU79" i="24050"/>
  <c r="CA85" i="23917"/>
  <c r="M90" i="24050"/>
  <c r="AS96" i="23917"/>
  <c r="DL91" i="24050"/>
  <c r="ER97" i="23917"/>
  <c r="G84" i="24050"/>
  <c r="AM90" i="23917"/>
  <c r="BQ140" i="24050"/>
  <c r="CW146" i="23917"/>
  <c r="DV255" i="24050"/>
  <c r="FB261" i="23917"/>
  <c r="BD210" i="24050"/>
  <c r="CJ216" i="23917"/>
  <c r="CT153" i="24050"/>
  <c r="DZ159" i="23917"/>
  <c r="CK257" i="24050"/>
  <c r="DQ263" i="23917"/>
  <c r="DR136" i="24050"/>
  <c r="EX142" i="23917"/>
  <c r="DJ392" i="24050"/>
  <c r="BV392" i="24050"/>
  <c r="DP395" i="24050"/>
  <c r="CB395" i="24050"/>
  <c r="DR263" i="24050"/>
  <c r="EX269" i="23917"/>
  <c r="W298" i="24050"/>
  <c r="BC304" i="23917"/>
  <c r="EF297" i="24050"/>
  <c r="FL303" i="23917"/>
  <c r="DD366" i="24050"/>
  <c r="EJ372" i="23917"/>
  <c r="CC75" i="24050"/>
  <c r="DI81" i="23917"/>
  <c r="DG381" i="24050"/>
  <c r="BS381" i="24050"/>
  <c r="DL160" i="24050"/>
  <c r="ER166" i="23917"/>
  <c r="AA119" i="24050"/>
  <c r="BG125" i="23917"/>
  <c r="AK119" i="24050"/>
  <c r="BQ125" i="23917"/>
  <c r="BC175" i="24050"/>
  <c r="CI181" i="23917"/>
  <c r="DP173" i="24050"/>
  <c r="EV179" i="23917"/>
  <c r="DV200" i="24050"/>
  <c r="FB206" i="23917"/>
  <c r="P19" i="24068"/>
  <c r="AE334" i="24050"/>
  <c r="BK340" i="23917"/>
  <c r="BK334" i="24050"/>
  <c r="CQ340" i="23917"/>
  <c r="DJ257" i="24050"/>
  <c r="EP263" i="23917"/>
  <c r="AK298" i="24050"/>
  <c r="BQ304" i="23917"/>
  <c r="DZ333" i="24050"/>
  <c r="FF339" i="23917"/>
  <c r="AG334" i="24050"/>
  <c r="BM340" i="23917"/>
  <c r="G244" i="24050"/>
  <c r="AM250" i="23917"/>
  <c r="BS244" i="24050"/>
  <c r="CY250" i="23917"/>
  <c r="AO257" i="24050"/>
  <c r="BU263" i="23917"/>
  <c r="BO334" i="24050"/>
  <c r="CU340" i="23917"/>
  <c r="DF332" i="24050"/>
  <c r="EL338" i="23917"/>
  <c r="BY334" i="24050"/>
  <c r="DE340" i="23917"/>
  <c r="EB391" i="24050"/>
  <c r="CN391" i="24050"/>
  <c r="DG380" i="24050"/>
  <c r="BS380" i="24050"/>
  <c r="EI388" i="24050"/>
  <c r="CU388" i="24050"/>
  <c r="DK323" i="24050"/>
  <c r="DK14" i="24050"/>
  <c r="EQ329" i="23917"/>
  <c r="W82" i="24050"/>
  <c r="BC88" i="23917"/>
  <c r="AP121" i="24050"/>
  <c r="AP122" i="24050" s="1"/>
  <c r="AP8" i="24050"/>
  <c r="BV127" i="23917"/>
  <c r="BV128" i="23917" s="1"/>
  <c r="S119" i="24050"/>
  <c r="AY125" i="23917"/>
  <c r="DA131" i="24050"/>
  <c r="EG137" i="23917"/>
  <c r="CA140" i="24050"/>
  <c r="DG146" i="23917"/>
  <c r="I202" i="24050"/>
  <c r="AO208" i="23917"/>
  <c r="ED162" i="24050"/>
  <c r="FJ168" i="23917"/>
  <c r="CM175" i="24050"/>
  <c r="DS181" i="23917"/>
  <c r="AQ119" i="24050"/>
  <c r="BW125" i="23917"/>
  <c r="EC131" i="24050"/>
  <c r="FI137" i="23917"/>
  <c r="DZ162" i="24050"/>
  <c r="FF168" i="23917"/>
  <c r="H127" i="24050"/>
  <c r="AN133" i="23917"/>
  <c r="DN199" i="24050"/>
  <c r="ET205" i="23917"/>
  <c r="CQ213" i="24050"/>
  <c r="DW219" i="23917"/>
  <c r="CQ131" i="24050"/>
  <c r="DW137" i="23917"/>
  <c r="CV159" i="24050"/>
  <c r="EB165" i="23917"/>
  <c r="EE204" i="24050"/>
  <c r="EE205" i="24050" s="1"/>
  <c r="EE10" i="24050"/>
  <c r="FK210" i="23917"/>
  <c r="FK211" i="23917" s="1"/>
  <c r="DV237" i="24050"/>
  <c r="FB243" i="23917"/>
  <c r="ED112" i="24050"/>
  <c r="FJ118" i="23917"/>
  <c r="O140" i="24050"/>
  <c r="AU146" i="23917"/>
  <c r="U176" i="23917"/>
  <c r="T176" i="23917"/>
  <c r="AO164" i="24050"/>
  <c r="AO9" i="24050"/>
  <c r="BU170" i="23917"/>
  <c r="BD170" i="24050"/>
  <c r="CJ176" i="23917"/>
  <c r="DX178" i="24050"/>
  <c r="FD184" i="23917"/>
  <c r="EJ192" i="24050"/>
  <c r="FP198" i="23917"/>
  <c r="Y208" i="23917"/>
  <c r="X208" i="23917"/>
  <c r="BF204" i="24050"/>
  <c r="BF205" i="24050" s="1"/>
  <c r="BF10" i="24050"/>
  <c r="CL210" i="23917"/>
  <c r="CL211" i="23917" s="1"/>
  <c r="CL210" i="24050"/>
  <c r="DR216" i="23917"/>
  <c r="DE293" i="24050"/>
  <c r="EK299" i="23917"/>
  <c r="EA293" i="24050"/>
  <c r="FG299" i="23917"/>
  <c r="CY298" i="24050"/>
  <c r="EE304" i="23917"/>
  <c r="DJ252" i="24050"/>
  <c r="EP258" i="23917"/>
  <c r="DG293" i="24050"/>
  <c r="EM299" i="23917"/>
  <c r="AA298" i="24050"/>
  <c r="BG304" i="23917"/>
  <c r="DM246" i="24050"/>
  <c r="DM12" i="24050"/>
  <c r="ES252" i="23917"/>
  <c r="DN257" i="24050"/>
  <c r="ET263" i="23917"/>
  <c r="DL313" i="24050"/>
  <c r="ER319" i="23917"/>
  <c r="C5" i="24068"/>
  <c r="AZ11" i="24050"/>
  <c r="T14" i="24068"/>
  <c r="T15" i="24068" s="1"/>
  <c r="EG246" i="24050"/>
  <c r="EG247" i="24050" s="1"/>
  <c r="EG12" i="24050"/>
  <c r="FM252" i="23917"/>
  <c r="FM253" i="23917" s="1"/>
  <c r="EI282" i="24050"/>
  <c r="FO288" i="23917"/>
  <c r="AY287" i="24050"/>
  <c r="AY13" i="24050"/>
  <c r="CE293" i="23917"/>
  <c r="DT283" i="24050"/>
  <c r="EZ289" i="23917"/>
  <c r="J257" i="24050"/>
  <c r="AP263" i="23917"/>
  <c r="BM244" i="24050"/>
  <c r="CS250" i="23917"/>
  <c r="AI257" i="24050"/>
  <c r="BO263" i="23917"/>
  <c r="CU275" i="24050"/>
  <c r="EA281" i="23917"/>
  <c r="DD278" i="24050"/>
  <c r="EJ284" i="23917"/>
  <c r="CV283" i="24050"/>
  <c r="EB289" i="23917"/>
  <c r="DM298" i="24050"/>
  <c r="ES304" i="23917"/>
  <c r="I287" i="24050"/>
  <c r="I13" i="24050"/>
  <c r="AO293" i="23917"/>
  <c r="DR312" i="24050"/>
  <c r="EX318" i="23917"/>
  <c r="K329" i="24050"/>
  <c r="AQ335" i="23917"/>
  <c r="DK334" i="24050"/>
  <c r="EQ340" i="23917"/>
  <c r="U321" i="24050"/>
  <c r="BA327" i="23917"/>
  <c r="DL237" i="24050"/>
  <c r="ER243" i="23917"/>
  <c r="DK244" i="24050"/>
  <c r="EQ250" i="23917"/>
  <c r="AB252" i="24050"/>
  <c r="BH258" i="23917"/>
  <c r="AR252" i="24050"/>
  <c r="BX258" i="23917"/>
  <c r="BH252" i="24050"/>
  <c r="CN258" i="23917"/>
  <c r="BX252" i="24050"/>
  <c r="DD258" i="23917"/>
  <c r="CN252" i="24050"/>
  <c r="DT258" i="23917"/>
  <c r="BM298" i="24050"/>
  <c r="CS304" i="23917"/>
  <c r="AA287" i="24050"/>
  <c r="AA13" i="24050"/>
  <c r="BG293" i="23917"/>
  <c r="BG287" i="24050"/>
  <c r="BG13" i="24050"/>
  <c r="CM293" i="23917"/>
  <c r="CM287" i="24050"/>
  <c r="CM13" i="24050"/>
  <c r="DS293" i="23917"/>
  <c r="DY323" i="24050"/>
  <c r="DY324" i="24050" s="1"/>
  <c r="DY14" i="24050"/>
  <c r="FE329" i="23917"/>
  <c r="FE330" i="23917" s="1"/>
  <c r="DL333" i="24050"/>
  <c r="ER339" i="23917"/>
  <c r="FN403" i="23917"/>
  <c r="FM403" i="23917"/>
  <c r="ED244" i="24050"/>
  <c r="FJ250" i="23917"/>
  <c r="AU244" i="24050"/>
  <c r="CA250" i="23917"/>
  <c r="AW257" i="24050"/>
  <c r="CC263" i="23917"/>
  <c r="DR278" i="24050"/>
  <c r="EX284" i="23917"/>
  <c r="CU310" i="24050"/>
  <c r="EA316" i="23917"/>
  <c r="AX323" i="24050"/>
  <c r="AX324" i="24050" s="1"/>
  <c r="AX14" i="24050"/>
  <c r="CD329" i="23917"/>
  <c r="CD330" i="23917" s="1"/>
  <c r="O363" i="24050"/>
  <c r="AU369" i="23917"/>
  <c r="CR296" i="24050"/>
  <c r="DX302" i="23917"/>
  <c r="ED313" i="24050"/>
  <c r="FJ319" i="23917"/>
  <c r="Q313" i="24050"/>
  <c r="AW319" i="23917"/>
  <c r="DE334" i="24050"/>
  <c r="EK340" i="23917"/>
  <c r="DV321" i="24050"/>
  <c r="FB327" i="23917"/>
  <c r="DV390" i="24050"/>
  <c r="CH390" i="24050"/>
  <c r="DD349" i="24050"/>
  <c r="EJ355" i="23917"/>
  <c r="DL321" i="24050"/>
  <c r="ER327" i="23917"/>
  <c r="G30" i="24050"/>
  <c r="AM38" i="23917"/>
  <c r="CP58" i="24050"/>
  <c r="DV65" i="23917"/>
  <c r="AP82" i="24050"/>
  <c r="BV88" i="23917"/>
  <c r="ED90" i="24050"/>
  <c r="FJ96" i="23917"/>
  <c r="BS77" i="24050"/>
  <c r="CY83" i="23917"/>
  <c r="BR84" i="24050"/>
  <c r="CX90" i="23917"/>
  <c r="O75" i="24050"/>
  <c r="AU81" i="23917"/>
  <c r="AU75" i="24050"/>
  <c r="CA81" i="23917"/>
  <c r="CA75" i="24050"/>
  <c r="DG81" i="23917"/>
  <c r="O92" i="24050"/>
  <c r="AU98" i="23917"/>
  <c r="BS92" i="24050"/>
  <c r="CY98" i="23917"/>
  <c r="CI91" i="24050"/>
  <c r="DO97" i="23917"/>
  <c r="DF90" i="24050"/>
  <c r="EL96" i="23917"/>
  <c r="AJ78" i="24050"/>
  <c r="BP84" i="23917"/>
  <c r="BH79" i="24050"/>
  <c r="CN85" i="23917"/>
  <c r="CG90" i="24050"/>
  <c r="DM96" i="23917"/>
  <c r="DS78" i="24050"/>
  <c r="EY84" i="23917"/>
  <c r="DS91" i="24050"/>
  <c r="EY97" i="23917"/>
  <c r="CO82" i="24050"/>
  <c r="DU88" i="23917"/>
  <c r="DJ94" i="24050"/>
  <c r="EP100" i="23917"/>
  <c r="EH93" i="24050"/>
  <c r="FN99" i="23917"/>
  <c r="DI84" i="24050"/>
  <c r="EO90" i="23917"/>
  <c r="DY82" i="24050"/>
  <c r="FE88" i="23917"/>
  <c r="E78" i="24050"/>
  <c r="AK84" i="23917"/>
  <c r="BA77" i="24050"/>
  <c r="CG83" i="23917"/>
  <c r="AZ84" i="24050"/>
  <c r="CF90" i="23917"/>
  <c r="CF84" i="24050"/>
  <c r="DL90" i="23917"/>
  <c r="EB93" i="24050"/>
  <c r="FH99" i="23917"/>
  <c r="DC81" i="24050"/>
  <c r="EI87" i="23917"/>
  <c r="BX82" i="24050"/>
  <c r="DD88" i="23917"/>
  <c r="I84" i="24050"/>
  <c r="AO90" i="23917"/>
  <c r="DL77" i="24050"/>
  <c r="ER83" i="23917"/>
  <c r="R121" i="24050"/>
  <c r="R8" i="24050"/>
  <c r="AX127" i="23917"/>
  <c r="CT117" i="24050"/>
  <c r="DZ123" i="23917"/>
  <c r="DZ117" i="24050"/>
  <c r="FF123" i="23917"/>
  <c r="BM119" i="24050"/>
  <c r="CS125" i="23917"/>
  <c r="EG131" i="24050"/>
  <c r="FM137" i="23917"/>
  <c r="DK174" i="24050"/>
  <c r="EQ180" i="23917"/>
  <c r="N121" i="24050"/>
  <c r="N8" i="24050"/>
  <c r="AT127" i="23917"/>
  <c r="EK152" i="24050"/>
  <c r="FQ158" i="23917"/>
  <c r="C162" i="24050"/>
  <c r="AI168" i="23917"/>
  <c r="Z210" i="24050"/>
  <c r="BF216" i="23917"/>
  <c r="AL121" i="24050"/>
  <c r="AL8" i="24050"/>
  <c r="BR127" i="23917"/>
  <c r="CC119" i="24050"/>
  <c r="DI125" i="23917"/>
  <c r="DV139" i="24050"/>
  <c r="FB145" i="23917"/>
  <c r="DP118" i="24050"/>
  <c r="EV124" i="23917"/>
  <c r="DS131" i="24050"/>
  <c r="EY137" i="23917"/>
  <c r="AI140" i="24050"/>
  <c r="BO146" i="23917"/>
  <c r="DT155" i="24050"/>
  <c r="EZ161" i="23917"/>
  <c r="BG164" i="24050"/>
  <c r="BG9" i="24050"/>
  <c r="CM170" i="23917"/>
  <c r="AE204" i="24050"/>
  <c r="AE10" i="24050"/>
  <c r="BK210" i="23917"/>
  <c r="DM130" i="24050"/>
  <c r="ES136" i="23917"/>
  <c r="DK131" i="24050"/>
  <c r="EQ137" i="23917"/>
  <c r="CU131" i="24050"/>
  <c r="EA137" i="23917"/>
  <c r="EB222" i="24050"/>
  <c r="FH228" i="23917"/>
  <c r="DN112" i="24050"/>
  <c r="ET118" i="23917"/>
  <c r="AB170" i="24050"/>
  <c r="BH176" i="23917"/>
  <c r="BI164" i="24050"/>
  <c r="BI9" i="24050"/>
  <c r="CO170" i="23917"/>
  <c r="CN170" i="24050"/>
  <c r="DT176" i="23917"/>
  <c r="CQ201" i="24050"/>
  <c r="DW207" i="23917"/>
  <c r="AW204" i="24050"/>
  <c r="AW10" i="24050"/>
  <c r="CC210" i="23917"/>
  <c r="B204" i="24050"/>
  <c r="B10" i="24050"/>
  <c r="AH210" i="23917"/>
  <c r="DM202" i="24050"/>
  <c r="ES208" i="23917"/>
  <c r="CS158" i="24050"/>
  <c r="DY164" i="23917"/>
  <c r="O257" i="24050"/>
  <c r="AU263" i="23917"/>
  <c r="CW298" i="24050"/>
  <c r="EC304" i="23917"/>
  <c r="CS256" i="24050"/>
  <c r="DY262" i="23917"/>
  <c r="EB283" i="24050"/>
  <c r="FH289" i="23917"/>
  <c r="M5" i="24068"/>
  <c r="BT11" i="24050"/>
  <c r="M246" i="24050"/>
  <c r="M12" i="24050"/>
  <c r="AS252" i="23917"/>
  <c r="DO293" i="24050"/>
  <c r="EU299" i="23917"/>
  <c r="AC287" i="24050"/>
  <c r="AC13" i="24050"/>
  <c r="BI293" i="23917"/>
  <c r="AS287" i="24050"/>
  <c r="AS13" i="24050"/>
  <c r="BY293" i="23917"/>
  <c r="BI287" i="24050"/>
  <c r="BI13" i="24050"/>
  <c r="CO293" i="23917"/>
  <c r="BY287" i="24050"/>
  <c r="BY13" i="24050"/>
  <c r="DE293" i="23917"/>
  <c r="CO287" i="24050"/>
  <c r="CO13" i="24050"/>
  <c r="DU293" i="23917"/>
  <c r="R246" i="24050"/>
  <c r="R12" i="24050"/>
  <c r="AX252" i="23917"/>
  <c r="CU257" i="24050"/>
  <c r="EA263" i="23917"/>
  <c r="DF296" i="24050"/>
  <c r="EL302" i="23917"/>
  <c r="DQ298" i="24050"/>
  <c r="EW304" i="23917"/>
  <c r="B329" i="24050"/>
  <c r="AH335" i="23917"/>
  <c r="T329" i="24050"/>
  <c r="AZ335" i="23917"/>
  <c r="EA321" i="24050"/>
  <c r="FG327" i="23917"/>
  <c r="C363" i="24050"/>
  <c r="AI369" i="23917"/>
  <c r="DP237" i="24050"/>
  <c r="EV243" i="23917"/>
  <c r="DG252" i="24050"/>
  <c r="EM258" i="23917"/>
  <c r="G299" i="23917"/>
  <c r="F299" i="23917"/>
  <c r="DJ313" i="24050"/>
  <c r="EP319" i="23917"/>
  <c r="AO323" i="24050"/>
  <c r="AO14" i="24050"/>
  <c r="BU329" i="23917"/>
  <c r="BE323" i="24050"/>
  <c r="BE14" i="24050"/>
  <c r="CK329" i="23917"/>
  <c r="BU323" i="24050"/>
  <c r="BU14" i="24050"/>
  <c r="DA329" i="23917"/>
  <c r="EI317" i="24050"/>
  <c r="FO323" i="23917"/>
  <c r="J14" i="24068"/>
  <c r="BN246" i="24050"/>
  <c r="BN247" i="24050" s="1"/>
  <c r="BN12" i="24050"/>
  <c r="CT252" i="23917"/>
  <c r="CT253" i="23917" s="1"/>
  <c r="EJ277" i="24050"/>
  <c r="FP283" i="23917"/>
  <c r="AG287" i="24050"/>
  <c r="AG13" i="24050"/>
  <c r="BM293" i="23917"/>
  <c r="BM287" i="24050"/>
  <c r="BM13" i="24050"/>
  <c r="CS293" i="23917"/>
  <c r="U335" i="23917"/>
  <c r="T335" i="23917"/>
  <c r="CL329" i="24050"/>
  <c r="DR335" i="23917"/>
  <c r="M408" i="23917"/>
  <c r="DF313" i="24050"/>
  <c r="EL319" i="23917"/>
  <c r="G36" i="24068"/>
  <c r="CP15" i="24050"/>
  <c r="DV408" i="23917"/>
  <c r="DV409" i="23917" s="1"/>
  <c r="DT387" i="24050"/>
  <c r="CF387" i="24050"/>
  <c r="EN403" i="23917"/>
  <c r="EM403" i="23917"/>
  <c r="G53" i="23917"/>
  <c r="F53" i="23917"/>
  <c r="CS332" i="24050"/>
  <c r="DY338" i="23917"/>
  <c r="I49" i="23917"/>
  <c r="H49" i="23917"/>
  <c r="O86" i="23917"/>
  <c r="N86" i="23917"/>
  <c r="AE86" i="23917"/>
  <c r="AD86" i="23917"/>
  <c r="DM79" i="24050"/>
  <c r="ES85" i="23917"/>
  <c r="EH90" i="24050"/>
  <c r="FN96" i="23917"/>
  <c r="CT88" i="24050"/>
  <c r="CT76" i="24050"/>
  <c r="DZ82" i="23917"/>
  <c r="DZ94" i="23917"/>
  <c r="S75" i="24050"/>
  <c r="AY81" i="23917"/>
  <c r="AY75" i="24050"/>
  <c r="CE81" i="23917"/>
  <c r="CE75" i="24050"/>
  <c r="DK81" i="23917"/>
  <c r="O78" i="24050"/>
  <c r="AU84" i="23917"/>
  <c r="AI80" i="24050"/>
  <c r="BO86" i="23917"/>
  <c r="M78" i="24050"/>
  <c r="AS84" i="23917"/>
  <c r="AW79" i="24050"/>
  <c r="CC85" i="23917"/>
  <c r="CF78" i="24050"/>
  <c r="DL84" i="23917"/>
  <c r="DW90" i="24050"/>
  <c r="FC96" i="23917"/>
  <c r="AA84" i="24050"/>
  <c r="BG90" i="23917"/>
  <c r="DV94" i="24050"/>
  <c r="FB100" i="23917"/>
  <c r="BK84" i="24050"/>
  <c r="CQ90" i="23917"/>
  <c r="EF96" i="24050"/>
  <c r="FL102" i="23917"/>
  <c r="DG82" i="24050"/>
  <c r="EM88" i="23917"/>
  <c r="DX77" i="24050"/>
  <c r="FD83" i="23917"/>
  <c r="AS94" i="24050"/>
  <c r="BY100" i="23917"/>
  <c r="AR81" i="24050"/>
  <c r="BX87" i="23917"/>
  <c r="DX112" i="24050"/>
  <c r="FD118" i="23917"/>
  <c r="CE170" i="24050"/>
  <c r="DK176" i="23917"/>
  <c r="AS131" i="24050"/>
  <c r="BY137" i="23917"/>
  <c r="CA121" i="24050"/>
  <c r="CA8" i="24050"/>
  <c r="DG127" i="23917"/>
  <c r="DT117" i="24050"/>
  <c r="EZ123" i="23917"/>
  <c r="CS131" i="24050"/>
  <c r="DY137" i="23917"/>
  <c r="EF155" i="24050"/>
  <c r="FL161" i="23917"/>
  <c r="DR174" i="24050"/>
  <c r="EX180" i="23917"/>
  <c r="DE170" i="24050"/>
  <c r="EK176" i="23917"/>
  <c r="EG170" i="24050"/>
  <c r="FM176" i="23917"/>
  <c r="K164" i="24050"/>
  <c r="K9" i="24050"/>
  <c r="AQ170" i="23917"/>
  <c r="DK195" i="24050"/>
  <c r="EQ201" i="23917"/>
  <c r="AZ127" i="24050"/>
  <c r="CF133" i="23917"/>
  <c r="DJ164" i="24050"/>
  <c r="DJ9" i="24050"/>
  <c r="EP170" i="23917"/>
  <c r="K112" i="24050"/>
  <c r="AQ118" i="23917"/>
  <c r="V121" i="24050"/>
  <c r="V8" i="24050"/>
  <c r="BB127" i="23917"/>
  <c r="DU131" i="24050"/>
  <c r="FA137" i="23917"/>
  <c r="U131" i="24050"/>
  <c r="BA137" i="23917"/>
  <c r="DH140" i="24050"/>
  <c r="EN146" i="23917"/>
  <c r="BC162" i="24050"/>
  <c r="CI168" i="23917"/>
  <c r="DR213" i="24050"/>
  <c r="EX219" i="23917"/>
  <c r="DR111" i="24050"/>
  <c r="EX117" i="23917"/>
  <c r="DX139" i="24050"/>
  <c r="FD145" i="23917"/>
  <c r="CX158" i="24050"/>
  <c r="ED164" i="23917"/>
  <c r="BU204" i="24050"/>
  <c r="BU10" i="24050"/>
  <c r="DA210" i="23917"/>
  <c r="DQ121" i="24050"/>
  <c r="DQ8" i="24050"/>
  <c r="EW127" i="23917"/>
  <c r="G140" i="24050"/>
  <c r="AM146" i="23917"/>
  <c r="AW164" i="24050"/>
  <c r="AW9" i="24050"/>
  <c r="CC170" i="23917"/>
  <c r="BL170" i="24050"/>
  <c r="CR176" i="23917"/>
  <c r="DH164" i="24050"/>
  <c r="DH9" i="24050"/>
  <c r="EN170" i="23917"/>
  <c r="EI199" i="24050"/>
  <c r="FO205" i="23917"/>
  <c r="CR175" i="24050"/>
  <c r="DX181" i="23917"/>
  <c r="DN200" i="24050"/>
  <c r="ET206" i="23917"/>
  <c r="Z246" i="24050"/>
  <c r="Z12" i="24050"/>
  <c r="BF252" i="23917"/>
  <c r="S263" i="23917"/>
  <c r="R263" i="23917"/>
  <c r="EE293" i="24050"/>
  <c r="FK299" i="23917"/>
  <c r="CL246" i="24050"/>
  <c r="CL247" i="24050" s="1"/>
  <c r="CL12" i="24050"/>
  <c r="DR252" i="23917"/>
  <c r="DR253" i="23917" s="1"/>
  <c r="AE237" i="24050"/>
  <c r="BK243" i="23917"/>
  <c r="K250" i="23917"/>
  <c r="J250" i="23917"/>
  <c r="EK277" i="24050"/>
  <c r="FQ283" i="23917"/>
  <c r="DZ296" i="24050"/>
  <c r="FF302" i="23917"/>
  <c r="X293" i="24050"/>
  <c r="BD299" i="23917"/>
  <c r="BD293" i="24050"/>
  <c r="CJ299" i="23917"/>
  <c r="CJ293" i="24050"/>
  <c r="DP299" i="23917"/>
  <c r="CV312" i="24050"/>
  <c r="EB318" i="23917"/>
  <c r="DF384" i="24050"/>
  <c r="BR384" i="24050"/>
  <c r="BB15" i="24050"/>
  <c r="CH408" i="23917"/>
  <c r="DT237" i="24050"/>
  <c r="EZ243" i="23917"/>
  <c r="H252" i="24050"/>
  <c r="AN258" i="23917"/>
  <c r="AK246" i="24050"/>
  <c r="AK12" i="24050"/>
  <c r="BQ252" i="23917"/>
  <c r="BA246" i="24050"/>
  <c r="BA12" i="24050"/>
  <c r="CG252" i="23917"/>
  <c r="BQ246" i="24050"/>
  <c r="BQ12" i="24050"/>
  <c r="CW252" i="23917"/>
  <c r="CG246" i="24050"/>
  <c r="CG12" i="24050"/>
  <c r="DM252" i="23917"/>
  <c r="CK298" i="24050"/>
  <c r="DQ304" i="23917"/>
  <c r="K287" i="24050"/>
  <c r="K13" i="24050"/>
  <c r="AQ293" i="23917"/>
  <c r="AQ287" i="24050"/>
  <c r="AQ13" i="24050"/>
  <c r="BW293" i="23917"/>
  <c r="BW287" i="24050"/>
  <c r="BW13" i="24050"/>
  <c r="DC293" i="23917"/>
  <c r="M323" i="24050"/>
  <c r="M14" i="24050"/>
  <c r="AS329" i="23917"/>
  <c r="DR316" i="24050"/>
  <c r="EX322" i="23917"/>
  <c r="CR317" i="24050"/>
  <c r="DX323" i="23917"/>
  <c r="CA397" i="24050"/>
  <c r="DO397" i="24050"/>
  <c r="P257" i="24050"/>
  <c r="AV263" i="23917"/>
  <c r="DI287" i="24050"/>
  <c r="DI13" i="24050"/>
  <c r="EO293" i="23917"/>
  <c r="F293" i="24050"/>
  <c r="AL299" i="23917"/>
  <c r="AI323" i="24050"/>
  <c r="AI14" i="24050"/>
  <c r="BO329" i="23917"/>
  <c r="J35" i="24068"/>
  <c r="EA334" i="24050"/>
  <c r="FG340" i="23917"/>
  <c r="DS397" i="24050"/>
  <c r="CE397" i="24050"/>
  <c r="DL241" i="24050"/>
  <c r="ER247" i="23917"/>
  <c r="DG363" i="24050"/>
  <c r="EM369" i="23917"/>
  <c r="DH380" i="24050"/>
  <c r="BT380" i="24050"/>
  <c r="DM332" i="24050"/>
  <c r="ES338" i="23917"/>
  <c r="DZ30" i="24050"/>
  <c r="FF38" i="23917"/>
  <c r="DP31" i="24050"/>
  <c r="EV39" i="23917"/>
  <c r="DN31" i="24050"/>
  <c r="ET39" i="23917"/>
  <c r="AQ84" i="24050"/>
  <c r="BW90" i="23917"/>
  <c r="DU79" i="24050"/>
  <c r="FA85" i="23917"/>
  <c r="EH88" i="24050"/>
  <c r="EH76" i="24050"/>
  <c r="FN94" i="23917"/>
  <c r="FN82" i="23917"/>
  <c r="DE79" i="24050"/>
  <c r="EK85" i="23917"/>
  <c r="BX78" i="24050"/>
  <c r="DD84" i="23917"/>
  <c r="DK80" i="24050"/>
  <c r="EQ86" i="23917"/>
  <c r="EA90" i="24050"/>
  <c r="FG96" i="23917"/>
  <c r="BE81" i="24050"/>
  <c r="CK87" i="23917"/>
  <c r="DR75" i="24050"/>
  <c r="EX81" i="23917"/>
  <c r="DN96" i="24050"/>
  <c r="ET102" i="23917"/>
  <c r="DR77" i="24050"/>
  <c r="EX83" i="23917"/>
  <c r="EH77" i="24050"/>
  <c r="FN83" i="23917"/>
  <c r="EG84" i="24050"/>
  <c r="FM90" i="23917"/>
  <c r="DW119" i="24050"/>
  <c r="FC125" i="23917"/>
  <c r="DN110" i="24050"/>
  <c r="ET116" i="23917"/>
  <c r="DJ131" i="24050"/>
  <c r="EP137" i="23917"/>
  <c r="DP117" i="24050"/>
  <c r="EV123" i="23917"/>
  <c r="BK119" i="24050"/>
  <c r="CQ125" i="23917"/>
  <c r="DX118" i="24050"/>
  <c r="FD124" i="23917"/>
  <c r="AW131" i="24050"/>
  <c r="CC137" i="23917"/>
  <c r="Q162" i="24050"/>
  <c r="AW168" i="23917"/>
  <c r="EA204" i="24050"/>
  <c r="EA205" i="24050" s="1"/>
  <c r="EA10" i="24050"/>
  <c r="FG210" i="23917"/>
  <c r="FG211" i="23917" s="1"/>
  <c r="C119" i="24050"/>
  <c r="AI125" i="23917"/>
  <c r="ED173" i="24050"/>
  <c r="FJ179" i="23917"/>
  <c r="AH210" i="24050"/>
  <c r="BN216" i="23917"/>
  <c r="BQ121" i="24050"/>
  <c r="BQ8" i="24050"/>
  <c r="CW127" i="23917"/>
  <c r="DO112" i="24050"/>
  <c r="EU118" i="23917"/>
  <c r="U112" i="24050"/>
  <c r="BA118" i="23917"/>
  <c r="CH127" i="24050"/>
  <c r="DN133" i="23917"/>
  <c r="DJ119" i="24050"/>
  <c r="EP125" i="23917"/>
  <c r="BC140" i="24050"/>
  <c r="CI146" i="23917"/>
  <c r="CH170" i="24050"/>
  <c r="DN176" i="23917"/>
  <c r="CR160" i="24050"/>
  <c r="DX166" i="23917"/>
  <c r="AX127" i="24050"/>
  <c r="CD133" i="23917"/>
  <c r="BT127" i="24050"/>
  <c r="CZ133" i="23917"/>
  <c r="EI155" i="24050"/>
  <c r="FO161" i="23917"/>
  <c r="EC164" i="24050"/>
  <c r="EC165" i="24050" s="1"/>
  <c r="EC9" i="24050"/>
  <c r="FI170" i="23917"/>
  <c r="FI171" i="23917" s="1"/>
  <c r="DO162" i="24050"/>
  <c r="EU168" i="23917"/>
  <c r="DO204" i="24050"/>
  <c r="DO10" i="24050"/>
  <c r="EU210" i="23917"/>
  <c r="EF200" i="24050"/>
  <c r="FL206" i="23917"/>
  <c r="AT210" i="24050"/>
  <c r="BZ216" i="23917"/>
  <c r="CA204" i="24050"/>
  <c r="CA10" i="24050"/>
  <c r="DG210" i="23917"/>
  <c r="DL110" i="24050"/>
  <c r="ER116" i="23917"/>
  <c r="CE131" i="24050"/>
  <c r="DK137" i="23917"/>
  <c r="DX195" i="24050"/>
  <c r="FD201" i="23917"/>
  <c r="ED237" i="24050"/>
  <c r="FJ243" i="23917"/>
  <c r="E164" i="24050"/>
  <c r="E9" i="24050"/>
  <c r="AK170" i="23917"/>
  <c r="AJ170" i="24050"/>
  <c r="BP176" i="23917"/>
  <c r="BQ164" i="24050"/>
  <c r="BQ9" i="24050"/>
  <c r="CW170" i="23917"/>
  <c r="CR199" i="24050"/>
  <c r="DX205" i="23917"/>
  <c r="DT193" i="24050"/>
  <c r="EZ199" i="23917"/>
  <c r="BM204" i="24050"/>
  <c r="BM10" i="24050"/>
  <c r="CS210" i="23917"/>
  <c r="DL198" i="24050"/>
  <c r="ER204" i="23917"/>
  <c r="DN201" i="24050"/>
  <c r="ET207" i="23917"/>
  <c r="DR215" i="24050"/>
  <c r="EX221" i="23917"/>
  <c r="CH246" i="24050"/>
  <c r="CH247" i="24050" s="1"/>
  <c r="CH12" i="24050"/>
  <c r="DN252" i="23917"/>
  <c r="DN253" i="23917" s="1"/>
  <c r="AE299" i="23917"/>
  <c r="AD299" i="23917"/>
  <c r="DX278" i="24050"/>
  <c r="FD284" i="23917"/>
  <c r="DU285" i="24050"/>
  <c r="FA291" i="23917"/>
  <c r="DT195" i="24050"/>
  <c r="EZ201" i="23917"/>
  <c r="D5" i="24068"/>
  <c r="BB11" i="24050"/>
  <c r="I5" i="24068"/>
  <c r="I6" i="24068" s="1"/>
  <c r="BL11" i="24050"/>
  <c r="DW257" i="24050"/>
  <c r="FC263" i="23917"/>
  <c r="DF285" i="24050"/>
  <c r="EL291" i="23917"/>
  <c r="DR242" i="24050"/>
  <c r="EX248" i="23917"/>
  <c r="BI244" i="24050"/>
  <c r="CO250" i="23917"/>
  <c r="BK257" i="24050"/>
  <c r="CQ263" i="23917"/>
  <c r="ED296" i="24050"/>
  <c r="FJ302" i="23917"/>
  <c r="AD293" i="24050"/>
  <c r="BJ299" i="23917"/>
  <c r="BJ293" i="24050"/>
  <c r="CP299" i="23917"/>
  <c r="V323" i="24050"/>
  <c r="V14" i="24050"/>
  <c r="BB329" i="23917"/>
  <c r="AQ15" i="24050"/>
  <c r="BW408" i="23917"/>
  <c r="AQ399" i="24050" s="1"/>
  <c r="AN252" i="24050"/>
  <c r="BT258" i="23917"/>
  <c r="BD252" i="24050"/>
  <c r="CJ258" i="23917"/>
  <c r="BT252" i="24050"/>
  <c r="CZ258" i="23917"/>
  <c r="CJ252" i="24050"/>
  <c r="DP258" i="23917"/>
  <c r="E285" i="24050"/>
  <c r="AK291" i="23917"/>
  <c r="AC298" i="24050"/>
  <c r="BI304" i="23917"/>
  <c r="CO298" i="24050"/>
  <c r="DU304" i="23917"/>
  <c r="T293" i="24050"/>
  <c r="AZ299" i="23917"/>
  <c r="AZ293" i="24050"/>
  <c r="CF299" i="23917"/>
  <c r="CF293" i="24050"/>
  <c r="DL299" i="23917"/>
  <c r="E323" i="24050"/>
  <c r="E14" i="24050"/>
  <c r="AK329" i="23917"/>
  <c r="AG323" i="24050"/>
  <c r="AG14" i="24050"/>
  <c r="BM329" i="23917"/>
  <c r="AW323" i="24050"/>
  <c r="AW14" i="24050"/>
  <c r="CC329" i="23917"/>
  <c r="BM323" i="24050"/>
  <c r="BM14" i="24050"/>
  <c r="CS329" i="23917"/>
  <c r="CC323" i="24050"/>
  <c r="CC14" i="24050"/>
  <c r="DI329" i="23917"/>
  <c r="AO334" i="24050"/>
  <c r="BU340" i="23917"/>
  <c r="DH390" i="24050"/>
  <c r="BT390" i="24050"/>
  <c r="M363" i="24050"/>
  <c r="AS369" i="23917"/>
  <c r="T257" i="24050"/>
  <c r="AZ263" i="23917"/>
  <c r="BG244" i="24050"/>
  <c r="CM250" i="23917"/>
  <c r="DN278" i="24050"/>
  <c r="ET284" i="23917"/>
  <c r="Q287" i="24050"/>
  <c r="Q13" i="24050"/>
  <c r="AW293" i="23917"/>
  <c r="AW287" i="24050"/>
  <c r="AW13" i="24050"/>
  <c r="CC293" i="23917"/>
  <c r="CC287" i="24050"/>
  <c r="CC13" i="24050"/>
  <c r="DI293" i="23917"/>
  <c r="EE321" i="24050"/>
  <c r="FK327" i="23917"/>
  <c r="EE334" i="24050"/>
  <c r="FK340" i="23917"/>
  <c r="AK323" i="24050"/>
  <c r="AK14" i="24050"/>
  <c r="BQ329" i="23917"/>
  <c r="BA323" i="24050"/>
  <c r="BA14" i="24050"/>
  <c r="CG329" i="23917"/>
  <c r="BQ323" i="24050"/>
  <c r="BQ14" i="24050"/>
  <c r="CW329" i="23917"/>
  <c r="CG323" i="24050"/>
  <c r="CG14" i="24050"/>
  <c r="DM329" i="23917"/>
  <c r="AK334" i="24050"/>
  <c r="BQ340" i="23917"/>
  <c r="CS384" i="24050"/>
  <c r="EG384" i="24050"/>
  <c r="DI397" i="24050"/>
  <c r="BU397" i="24050"/>
  <c r="DP356" i="24050"/>
  <c r="EV362" i="23917"/>
  <c r="DL380" i="24050"/>
  <c r="BX380" i="24050"/>
  <c r="DO334" i="24050"/>
  <c r="EU340" i="23917"/>
  <c r="EJ30" i="24050"/>
  <c r="FP38" i="23917"/>
  <c r="DD19" i="24050"/>
  <c r="EJ22" i="23917"/>
  <c r="DN30" i="24050"/>
  <c r="ET38" i="23917"/>
  <c r="EI87" i="24050"/>
  <c r="FO93" i="23917"/>
  <c r="CR75" i="24050"/>
  <c r="DX81" i="23917"/>
  <c r="EH91" i="24050"/>
  <c r="FN97" i="23917"/>
  <c r="W90" i="24050"/>
  <c r="BC96" i="23917"/>
  <c r="AI91" i="24050"/>
  <c r="BO97" i="23917"/>
  <c r="DE78" i="24050"/>
  <c r="EK84" i="23917"/>
  <c r="U90" i="24050"/>
  <c r="BA96" i="23917"/>
  <c r="AW91" i="24050"/>
  <c r="CC97" i="23917"/>
  <c r="BM79" i="24050"/>
  <c r="CS85" i="23917"/>
  <c r="CG91" i="24050"/>
  <c r="DM97" i="23917"/>
  <c r="DK79" i="24050"/>
  <c r="EQ85" i="23917"/>
  <c r="DO79" i="24050"/>
  <c r="EU85" i="23917"/>
  <c r="EF88" i="24050"/>
  <c r="EF76" i="24050"/>
  <c r="FL94" i="23917"/>
  <c r="FL82" i="23917"/>
  <c r="EE91" i="24050"/>
  <c r="FK97" i="23917"/>
  <c r="AA82" i="24050"/>
  <c r="BG88" i="23917"/>
  <c r="DU81" i="24050"/>
  <c r="FA87" i="23917"/>
  <c r="AV81" i="24050"/>
  <c r="CB87" i="23917"/>
  <c r="DN94" i="24050"/>
  <c r="ET100" i="23917"/>
  <c r="DF77" i="24050"/>
  <c r="EL83" i="23917"/>
  <c r="DV77" i="24050"/>
  <c r="FB83" i="23917"/>
  <c r="AK77" i="24050"/>
  <c r="BQ83" i="23917"/>
  <c r="AJ84" i="24050"/>
  <c r="BP90" i="23917"/>
  <c r="DO81" i="24050"/>
  <c r="EU87" i="23917"/>
  <c r="EF77" i="24050"/>
  <c r="FL83" i="23917"/>
  <c r="BH81" i="24050"/>
  <c r="CN87" i="23917"/>
  <c r="BZ252" i="24050"/>
  <c r="DF258" i="23917"/>
  <c r="DT202" i="24050"/>
  <c r="EZ208" i="23917"/>
  <c r="EB298" i="24050"/>
  <c r="FH304" i="23917"/>
  <c r="CM15" i="24050"/>
  <c r="DS408" i="23917"/>
  <c r="FH19" i="23917"/>
  <c r="FG19" i="23917"/>
  <c r="AW175" i="24050"/>
  <c r="CC181" i="23917"/>
  <c r="CY154" i="24050"/>
  <c r="EE160" i="23917"/>
  <c r="DL140" i="24050"/>
  <c r="ER146" i="23917"/>
  <c r="X210" i="24050"/>
  <c r="BD216" i="23917"/>
  <c r="DV214" i="24050"/>
  <c r="FB220" i="23917"/>
  <c r="DP382" i="24050"/>
  <c r="CB382" i="24050"/>
  <c r="DN297" i="24050"/>
  <c r="ET303" i="23917"/>
  <c r="BR395" i="24050"/>
  <c r="DF395" i="24050"/>
  <c r="AV15" i="24050"/>
  <c r="CB408" i="23917"/>
  <c r="DU389" i="24050"/>
  <c r="CG389" i="24050"/>
  <c r="FA409" i="23917"/>
  <c r="Q131" i="24050"/>
  <c r="AW137" i="23917"/>
  <c r="DX174" i="24050"/>
  <c r="FD180" i="23917"/>
  <c r="AM119" i="24050"/>
  <c r="BS125" i="23917"/>
  <c r="X121" i="24050"/>
  <c r="X8" i="24050"/>
  <c r="BD127" i="23917"/>
  <c r="AI164" i="24050"/>
  <c r="AI9" i="24050"/>
  <c r="BO170" i="23917"/>
  <c r="C195" i="24050"/>
  <c r="AI201" i="23917"/>
  <c r="DA215" i="24050"/>
  <c r="EG221" i="23917"/>
  <c r="BW131" i="24050"/>
  <c r="DC137" i="23917"/>
  <c r="EH195" i="24050"/>
  <c r="FN201" i="23917"/>
  <c r="DZ195" i="24050"/>
  <c r="FF201" i="23917"/>
  <c r="Q24" i="24068"/>
  <c r="DX215" i="24050"/>
  <c r="FD221" i="23917"/>
  <c r="BS257" i="24050"/>
  <c r="CY263" i="23917"/>
  <c r="K323" i="24050"/>
  <c r="K14" i="24050"/>
  <c r="AQ329" i="23917"/>
  <c r="AU321" i="24050"/>
  <c r="CA327" i="23917"/>
  <c r="CA321" i="24050"/>
  <c r="DG327" i="23917"/>
  <c r="AP399" i="24050"/>
  <c r="AP400" i="24050" s="1"/>
  <c r="BV409" i="23917"/>
  <c r="G14" i="24068"/>
  <c r="G15" i="24068" s="1"/>
  <c r="BH246" i="24050"/>
  <c r="BH247" i="24050" s="1"/>
  <c r="BH12" i="24050"/>
  <c r="CN252" i="23917"/>
  <c r="CN253" i="23917" s="1"/>
  <c r="AO298" i="24050"/>
  <c r="BU304" i="23917"/>
  <c r="EH333" i="24050"/>
  <c r="FN339" i="23917"/>
  <c r="FG253" i="23917"/>
  <c r="DD296" i="24050"/>
  <c r="EJ302" i="23917"/>
  <c r="CM334" i="24050"/>
  <c r="DS340" i="23917"/>
  <c r="CG334" i="24050"/>
  <c r="DM340" i="23917"/>
  <c r="I363" i="24050"/>
  <c r="AO369" i="23917"/>
  <c r="CA390" i="24050"/>
  <c r="DO390" i="24050"/>
  <c r="BC30" i="24050"/>
  <c r="CI38" i="23917"/>
  <c r="O91" i="24050"/>
  <c r="AU97" i="23917"/>
  <c r="AU78" i="24050"/>
  <c r="CA84" i="23917"/>
  <c r="BW90" i="24050"/>
  <c r="DC96" i="23917"/>
  <c r="CE90" i="24050"/>
  <c r="DK96" i="23917"/>
  <c r="AO79" i="24050"/>
  <c r="BU85" i="23917"/>
  <c r="BE91" i="24050"/>
  <c r="CK97" i="23917"/>
  <c r="CK90" i="24050"/>
  <c r="DQ96" i="23917"/>
  <c r="DD90" i="24050"/>
  <c r="EJ96" i="23917"/>
  <c r="DZ93" i="24050"/>
  <c r="FF99" i="23917"/>
  <c r="U81" i="24050"/>
  <c r="BA87" i="23917"/>
  <c r="DL96" i="24050"/>
  <c r="ER102" i="23917"/>
  <c r="EF94" i="24050"/>
  <c r="FL100" i="23917"/>
  <c r="AS93" i="24050"/>
  <c r="BY99" i="23917"/>
  <c r="AC84" i="24050"/>
  <c r="BI90" i="23917"/>
  <c r="I82" i="24050"/>
  <c r="AO88" i="23917"/>
  <c r="Y82" i="24050"/>
  <c r="BE88" i="23917"/>
  <c r="CD82" i="24050"/>
  <c r="DJ88" i="23917"/>
  <c r="DP270" i="24050"/>
  <c r="DP104" i="24050"/>
  <c r="DP375" i="24050"/>
  <c r="DP229" i="24050"/>
  <c r="DP53" i="24050"/>
  <c r="DP341" i="24050"/>
  <c r="DP187" i="24050"/>
  <c r="DP305" i="24050"/>
  <c r="DP147" i="24050"/>
  <c r="AK257" i="24050"/>
  <c r="BQ263" i="23917"/>
  <c r="S321" i="24050"/>
  <c r="AY327" i="23917"/>
  <c r="K90" i="24050"/>
  <c r="AQ96" i="23917"/>
  <c r="AA91" i="24050"/>
  <c r="BG97" i="23917"/>
  <c r="AU92" i="24050"/>
  <c r="CA98" i="23917"/>
  <c r="BO80" i="24050"/>
  <c r="CU86" i="23917"/>
  <c r="BI91" i="24050"/>
  <c r="CO97" i="23917"/>
  <c r="CK79" i="24050"/>
  <c r="DQ85" i="23917"/>
  <c r="DY40" i="24050"/>
  <c r="FE48" i="23917"/>
  <c r="DH94" i="24050"/>
  <c r="EN100" i="23917"/>
  <c r="C82" i="24050"/>
  <c r="AI88" i="23917"/>
  <c r="AM90" i="24050"/>
  <c r="BS96" i="23917"/>
  <c r="BG92" i="24050"/>
  <c r="CM98" i="23917"/>
  <c r="DF91" i="24050"/>
  <c r="EL97" i="23917"/>
  <c r="AG90" i="24050"/>
  <c r="BM96" i="23917"/>
  <c r="DD94" i="24050"/>
  <c r="EJ100" i="23917"/>
  <c r="M82" i="24050"/>
  <c r="AS88" i="23917"/>
  <c r="AI84" i="24050"/>
  <c r="BO90" i="23917"/>
  <c r="DX214" i="24050"/>
  <c r="FD220" i="23917"/>
  <c r="CN210" i="24050"/>
  <c r="DT216" i="23917"/>
  <c r="CJ210" i="24050"/>
  <c r="DP216" i="23917"/>
  <c r="EJ389" i="24050"/>
  <c r="CV389" i="24050"/>
  <c r="BR392" i="24050"/>
  <c r="DF392" i="24050"/>
  <c r="DJ394" i="24050"/>
  <c r="BV394" i="24050"/>
  <c r="DF367" i="24050"/>
  <c r="EL373" i="23917"/>
  <c r="EB255" i="24050"/>
  <c r="FH261" i="23917"/>
  <c r="CY257" i="24050"/>
  <c r="EE263" i="23917"/>
  <c r="CY332" i="24050"/>
  <c r="EE338" i="23917"/>
  <c r="DP368" i="24050"/>
  <c r="EV374" i="23917"/>
  <c r="BJ121" i="24050"/>
  <c r="BJ122" i="24050" s="1"/>
  <c r="BJ8" i="24050"/>
  <c r="CP127" i="23917"/>
  <c r="CP128" i="23917" s="1"/>
  <c r="DE121" i="24050"/>
  <c r="DE8" i="24050"/>
  <c r="EK127" i="23917"/>
  <c r="BS175" i="24050"/>
  <c r="CY181" i="23917"/>
  <c r="DT174" i="24050"/>
  <c r="EZ180" i="23917"/>
  <c r="W119" i="24050"/>
  <c r="BC125" i="23917"/>
  <c r="EC122" i="24050"/>
  <c r="CA131" i="24050"/>
  <c r="DG137" i="23917"/>
  <c r="CS159" i="24050"/>
  <c r="DY165" i="23917"/>
  <c r="G119" i="24050"/>
  <c r="AM125" i="23917"/>
  <c r="E244" i="24050"/>
  <c r="AK250" i="23917"/>
  <c r="BQ244" i="24050"/>
  <c r="CW250" i="23917"/>
  <c r="G257" i="24050"/>
  <c r="AM263" i="23917"/>
  <c r="DU288" i="24050"/>
  <c r="CQ399" i="24050"/>
  <c r="EE399" i="24050"/>
  <c r="EE400" i="24050" s="1"/>
  <c r="DN237" i="24050"/>
  <c r="ET243" i="23917"/>
  <c r="DG246" i="24050"/>
  <c r="DG12" i="24050"/>
  <c r="EM252" i="23917"/>
  <c r="CC334" i="24050"/>
  <c r="DI340" i="23917"/>
  <c r="D9" i="24068"/>
  <c r="H10" i="24068" s="1"/>
  <c r="FK253" i="23917"/>
  <c r="AD246" i="24050"/>
  <c r="AD12" i="24050"/>
  <c r="BJ252" i="23917"/>
  <c r="BU257" i="24050"/>
  <c r="DA263" i="23917"/>
  <c r="DX263" i="24050"/>
  <c r="FD269" i="23917"/>
  <c r="DT278" i="24050"/>
  <c r="EZ284" i="23917"/>
  <c r="DX296" i="24050"/>
  <c r="FD302" i="23917"/>
  <c r="BI334" i="24050"/>
  <c r="CO340" i="23917"/>
  <c r="CV381" i="24050"/>
  <c r="EJ381" i="24050"/>
  <c r="DR380" i="24050"/>
  <c r="CD380" i="24050"/>
  <c r="CE390" i="24050"/>
  <c r="DS390" i="24050"/>
  <c r="O30" i="24050"/>
  <c r="AU38" i="23917"/>
  <c r="K92" i="24050"/>
  <c r="AQ98" i="23917"/>
  <c r="BS94" i="24050"/>
  <c r="CY100" i="23917"/>
  <c r="K80" i="24050"/>
  <c r="AQ86" i="23917"/>
  <c r="AI78" i="24050"/>
  <c r="BO84" i="23917"/>
  <c r="AU91" i="24050"/>
  <c r="CA97" i="23917"/>
  <c r="Y79" i="24050"/>
  <c r="BE85" i="23917"/>
  <c r="AK90" i="24050"/>
  <c r="BQ96" i="23917"/>
  <c r="AZ78" i="24050"/>
  <c r="CF84" i="23917"/>
  <c r="DH90" i="24050"/>
  <c r="EN96" i="23917"/>
  <c r="DV88" i="24050"/>
  <c r="DV76" i="24050"/>
  <c r="FB94" i="23917"/>
  <c r="FB82" i="23917"/>
  <c r="L81" i="24050"/>
  <c r="AR87" i="23917"/>
  <c r="DH96" i="24050"/>
  <c r="EN102" i="23917"/>
  <c r="DO93" i="24050"/>
  <c r="EU99" i="23917"/>
  <c r="G79" i="24050"/>
  <c r="AM85" i="23917"/>
  <c r="C79" i="24050"/>
  <c r="AI85" i="23917"/>
  <c r="FB276" i="23917"/>
  <c r="FB153" i="23917"/>
  <c r="FB381" i="23917"/>
  <c r="FB235" i="23917"/>
  <c r="FB347" i="23917"/>
  <c r="FB193" i="23917"/>
  <c r="FB60" i="23917"/>
  <c r="FB311" i="23917"/>
  <c r="FB110" i="23917"/>
  <c r="BS80" i="24050"/>
  <c r="CY86" i="23917"/>
  <c r="AC78" i="24050"/>
  <c r="BI84" i="23917"/>
  <c r="CC84" i="24050"/>
  <c r="DI90" i="23917"/>
  <c r="DQ93" i="24050"/>
  <c r="EW99" i="23917"/>
  <c r="E81" i="24050"/>
  <c r="AK87" i="23917"/>
  <c r="DD96" i="24050"/>
  <c r="EJ102" i="23917"/>
  <c r="EZ60" i="23917"/>
  <c r="EZ347" i="23917"/>
  <c r="EZ193" i="23917"/>
  <c r="EZ276" i="23917"/>
  <c r="EZ110" i="23917"/>
  <c r="EZ311" i="23917"/>
  <c r="EZ153" i="23917"/>
  <c r="EZ381" i="23917"/>
  <c r="EZ235" i="23917"/>
  <c r="W92" i="24050"/>
  <c r="BC98" i="23917"/>
  <c r="AU90" i="24050"/>
  <c r="CA96" i="23917"/>
  <c r="BW92" i="24050"/>
  <c r="DC98" i="23917"/>
  <c r="U91" i="24050"/>
  <c r="BA97" i="23917"/>
  <c r="AS90" i="24050"/>
  <c r="BY96" i="23917"/>
  <c r="CC79" i="24050"/>
  <c r="DI85" i="23917"/>
  <c r="CY214" i="24050"/>
  <c r="EE220" i="23917"/>
  <c r="BN127" i="24050"/>
  <c r="CT133" i="23917"/>
  <c r="DN153" i="24050"/>
  <c r="ET159" i="23917"/>
  <c r="BU75" i="24050"/>
  <c r="DA81" i="23917"/>
  <c r="ED297" i="24050"/>
  <c r="FJ303" i="23917"/>
  <c r="BH399" i="24050"/>
  <c r="BH400" i="24050" s="1"/>
  <c r="CN409" i="23917"/>
  <c r="BW382" i="24050"/>
  <c r="DK382" i="24050"/>
  <c r="DF388" i="24050"/>
  <c r="BR388" i="24050"/>
  <c r="DN392" i="24050"/>
  <c r="BZ392" i="24050"/>
  <c r="BZ394" i="24050"/>
  <c r="DN394" i="24050"/>
  <c r="DN396" i="24050"/>
  <c r="BZ396" i="24050"/>
  <c r="AG131" i="24050"/>
  <c r="BM137" i="23917"/>
  <c r="EH175" i="24050"/>
  <c r="FN181" i="23917"/>
  <c r="EG119" i="24050"/>
  <c r="FM125" i="23917"/>
  <c r="AM162" i="24050"/>
  <c r="BS168" i="23917"/>
  <c r="CS200" i="24050"/>
  <c r="DY206" i="23917"/>
  <c r="AA140" i="24050"/>
  <c r="BG146" i="23917"/>
  <c r="EB173" i="24050"/>
  <c r="FH179" i="23917"/>
  <c r="K202" i="24050"/>
  <c r="AQ208" i="23917"/>
  <c r="DV222" i="24050"/>
  <c r="FB228" i="23917"/>
  <c r="I244" i="24050"/>
  <c r="AO250" i="23917"/>
  <c r="BU244" i="24050"/>
  <c r="DA250" i="23917"/>
  <c r="AQ257" i="24050"/>
  <c r="BW263" i="23917"/>
  <c r="EH237" i="24050"/>
  <c r="FN243" i="23917"/>
  <c r="ED332" i="24050"/>
  <c r="FJ338" i="23917"/>
  <c r="I257" i="24050"/>
  <c r="AO263" i="23917"/>
  <c r="EB296" i="24050"/>
  <c r="FH302" i="23917"/>
  <c r="I334" i="24050"/>
  <c r="AO340" i="23917"/>
  <c r="DZ332" i="24050"/>
  <c r="FF338" i="23917"/>
  <c r="EJ382" i="24050"/>
  <c r="CV382" i="24050"/>
  <c r="AE79" i="24050"/>
  <c r="BK85" i="23917"/>
  <c r="CI80" i="24050"/>
  <c r="DO86" i="23917"/>
  <c r="O84" i="24050"/>
  <c r="AU90" i="23917"/>
  <c r="AQ90" i="24050"/>
  <c r="BW96" i="23917"/>
  <c r="CE92" i="24050"/>
  <c r="DK98" i="23917"/>
  <c r="DD92" i="24050"/>
  <c r="EJ98" i="23917"/>
  <c r="EX276" i="23917"/>
  <c r="EX153" i="23917"/>
  <c r="EX381" i="23917"/>
  <c r="EX235" i="23917"/>
  <c r="EX60" i="23917"/>
  <c r="EX347" i="23917"/>
  <c r="EX193" i="23917"/>
  <c r="EX311" i="23917"/>
  <c r="EX110" i="23917"/>
  <c r="H210" i="24050"/>
  <c r="AN216" i="23917"/>
  <c r="CD127" i="24050"/>
  <c r="DJ133" i="23917"/>
  <c r="DE394" i="24050"/>
  <c r="BQ394" i="24050"/>
  <c r="DI396" i="24050"/>
  <c r="BU396" i="24050"/>
  <c r="CR278" i="24050"/>
  <c r="DX284" i="23917"/>
  <c r="G298" i="24050"/>
  <c r="AM304" i="23917"/>
  <c r="BS298" i="24050"/>
  <c r="CY304" i="23917"/>
  <c r="DV333" i="24050"/>
  <c r="FB339" i="23917"/>
  <c r="Q75" i="24050"/>
  <c r="AW81" i="23917"/>
  <c r="DH381" i="24050"/>
  <c r="BT381" i="24050"/>
  <c r="DO175" i="24050"/>
  <c r="EU181" i="23917"/>
  <c r="S164" i="24050"/>
  <c r="S9" i="24050"/>
  <c r="AY170" i="23917"/>
  <c r="E119" i="24050"/>
  <c r="AK125" i="23917"/>
  <c r="W175" i="24050"/>
  <c r="BC181" i="23917"/>
  <c r="EF160" i="24050"/>
  <c r="FL166" i="23917"/>
  <c r="DV136" i="24050"/>
  <c r="FB142" i="23917"/>
  <c r="DA200" i="24050"/>
  <c r="EG206" i="23917"/>
  <c r="DH202" i="24050"/>
  <c r="EN208" i="23917"/>
  <c r="EF255" i="24050"/>
  <c r="FL261" i="23917"/>
  <c r="ED283" i="24050"/>
  <c r="FJ289" i="23917"/>
  <c r="M24" i="24068"/>
  <c r="BC334" i="24050"/>
  <c r="CI340" i="23917"/>
  <c r="CI334" i="24050"/>
  <c r="DO340" i="23917"/>
  <c r="U298" i="24050"/>
  <c r="BA304" i="23917"/>
  <c r="CG298" i="24050"/>
  <c r="DM304" i="23917"/>
  <c r="DV244" i="24050"/>
  <c r="FB250" i="23917"/>
  <c r="BC244" i="24050"/>
  <c r="CI250" i="23917"/>
  <c r="DY298" i="24050"/>
  <c r="FE304" i="23917"/>
  <c r="EF296" i="24050"/>
  <c r="FL302" i="23917"/>
  <c r="EB333" i="24050"/>
  <c r="FH339" i="23917"/>
  <c r="BG334" i="24050"/>
  <c r="CM340" i="23917"/>
  <c r="AY298" i="24050"/>
  <c r="CE304" i="23917"/>
  <c r="AS334" i="24050"/>
  <c r="BY340" i="23917"/>
  <c r="DJ321" i="24050"/>
  <c r="EP327" i="23917"/>
  <c r="DO388" i="24050"/>
  <c r="CA388" i="24050"/>
  <c r="DJ380" i="24050"/>
  <c r="BV380" i="24050"/>
  <c r="CV388" i="24050"/>
  <c r="EJ388" i="24050"/>
  <c r="DM358" i="24050"/>
  <c r="ES364" i="23917"/>
  <c r="DA255" i="24050"/>
  <c r="EG261" i="23917"/>
  <c r="CS235" i="24050"/>
  <c r="DY241" i="23917"/>
  <c r="CQ234" i="24050"/>
  <c r="DW240" i="23917"/>
  <c r="CP241" i="24050"/>
  <c r="DV247" i="23917"/>
  <c r="CX242" i="24050"/>
  <c r="ED248" i="23917"/>
  <c r="CV234" i="24050"/>
  <c r="EB240" i="23917"/>
  <c r="EI235" i="24050"/>
  <c r="FO241" i="23917"/>
  <c r="CT240" i="24050"/>
  <c r="DZ246" i="23917"/>
  <c r="CR237" i="24050"/>
  <c r="DX243" i="23917"/>
  <c r="U16" i="24068"/>
  <c r="EI234" i="24050"/>
  <c r="FO240" i="23917"/>
  <c r="CV242" i="24050"/>
  <c r="EB248" i="23917"/>
  <c r="CR241" i="24050"/>
  <c r="DX247" i="23917"/>
  <c r="CS242" i="24050"/>
  <c r="DY248" i="23917"/>
  <c r="CQ237" i="24050"/>
  <c r="DW243" i="23917"/>
  <c r="CU234" i="24050"/>
  <c r="EA240" i="23917"/>
  <c r="CT235" i="24050"/>
  <c r="DZ241" i="23917"/>
  <c r="CP240" i="24050"/>
  <c r="DV246" i="23917"/>
  <c r="EI242" i="24050"/>
  <c r="FO248" i="23917"/>
  <c r="CU242" i="24050"/>
  <c r="EA248" i="23917"/>
  <c r="CS234" i="24050"/>
  <c r="DY240" i="23917"/>
  <c r="CP243" i="24050"/>
  <c r="DV249" i="23917"/>
  <c r="CT241" i="24050"/>
  <c r="DZ247" i="23917"/>
  <c r="CX234" i="24050"/>
  <c r="ED240" i="23917"/>
  <c r="CQ242" i="24050"/>
  <c r="DW248" i="23917"/>
  <c r="CR240" i="24050"/>
  <c r="DX246" i="23917"/>
  <c r="CP237" i="24050"/>
  <c r="DV243" i="23917"/>
  <c r="EG338" i="23917"/>
  <c r="DA332" i="24050"/>
  <c r="CT316" i="24050"/>
  <c r="DZ322" i="23917"/>
  <c r="BB10" i="23917"/>
  <c r="DC8" i="23917"/>
  <c r="AQ11" i="24050"/>
  <c r="CG11" i="24050"/>
  <c r="BJ9" i="23917"/>
  <c r="EW9" i="23917"/>
  <c r="EK8" i="23917"/>
  <c r="CH10" i="23917"/>
  <c r="Y137" i="23917"/>
  <c r="AG137" i="23917"/>
  <c r="DM10" i="23917"/>
  <c r="EO11" i="23917"/>
  <c r="DJ11" i="24050"/>
  <c r="T9" i="23917"/>
  <c r="BT9" i="23917"/>
  <c r="AW10" i="23917"/>
  <c r="EK13" i="23917"/>
  <c r="FG13" i="23917"/>
  <c r="Y228" i="23917"/>
  <c r="AG228" i="23917"/>
  <c r="BT13" i="23917"/>
  <c r="CZ13" i="23917"/>
  <c r="BH12" i="23917"/>
  <c r="BX12" i="23917"/>
  <c r="CN12" i="23917"/>
  <c r="DD12" i="23917"/>
  <c r="DT12" i="23917"/>
  <c r="AE329" i="23917"/>
  <c r="AD335" i="23917"/>
  <c r="AA14" i="23917"/>
  <c r="O14" i="23917"/>
  <c r="FD403" i="23917"/>
  <c r="G408" i="23917"/>
  <c r="FP386" i="23917"/>
  <c r="FO390" i="23917"/>
  <c r="Y408" i="23917"/>
  <c r="CD10" i="23917"/>
  <c r="Y118" i="23917"/>
  <c r="AG118" i="23917"/>
  <c r="O11" i="24050"/>
  <c r="CL9" i="23917"/>
  <c r="BJ10" i="23917"/>
  <c r="BG11" i="24050"/>
  <c r="FR19" i="23917"/>
  <c r="AC176" i="23917"/>
  <c r="BX9" i="23917"/>
  <c r="AG186" i="23917"/>
  <c r="Y186" i="23917"/>
  <c r="EU13" i="23917"/>
  <c r="AH14" i="23917"/>
  <c r="K252" i="23917"/>
  <c r="BL13" i="23917"/>
  <c r="CR13" i="23917"/>
  <c r="T14" i="23917"/>
  <c r="F35" i="24068"/>
  <c r="DR14" i="23917"/>
  <c r="DA15" i="23917"/>
  <c r="AN14" i="23917"/>
  <c r="K408" i="23917"/>
  <c r="EP19" i="23917"/>
  <c r="Y142" i="23917"/>
  <c r="AG142" i="23917"/>
  <c r="EK9" i="23917"/>
  <c r="CF8" i="23917"/>
  <c r="EO9" i="23917"/>
  <c r="S127" i="23917"/>
  <c r="BD8" i="23917"/>
  <c r="DR9" i="23917"/>
  <c r="CX10" i="23917"/>
  <c r="K11" i="24050"/>
  <c r="AG180" i="23917"/>
  <c r="Y180" i="23917"/>
  <c r="AV9" i="23917"/>
  <c r="DH9" i="23917"/>
  <c r="EM9" i="23917"/>
  <c r="AA299" i="23917"/>
  <c r="Y262" i="23917"/>
  <c r="AG262" i="23917"/>
  <c r="T12" i="23917"/>
  <c r="J13" i="23917"/>
  <c r="AR14" i="23917"/>
  <c r="AG335" i="23917"/>
  <c r="EM15" i="23917"/>
  <c r="EN390" i="23917"/>
  <c r="EB389" i="23917"/>
  <c r="EA389" i="23917"/>
  <c r="DZ390" i="23917"/>
  <c r="I53" i="23917"/>
  <c r="E48" i="23917"/>
  <c r="DB9" i="23917"/>
  <c r="DN8" i="23917"/>
  <c r="AA146" i="23917"/>
  <c r="X146" i="23917"/>
  <c r="DN9" i="23917"/>
  <c r="BK11" i="24050"/>
  <c r="CD8" i="23917"/>
  <c r="CZ8" i="23917"/>
  <c r="Z9" i="23917"/>
  <c r="DF10" i="23917"/>
  <c r="AA11" i="24050"/>
  <c r="U10" i="23917"/>
  <c r="AZ9" i="23917"/>
  <c r="DL9" i="23917"/>
  <c r="CE11" i="24050"/>
  <c r="AD13" i="23917"/>
  <c r="BV15" i="23917"/>
  <c r="N13" i="23917"/>
  <c r="AZ13" i="23917"/>
  <c r="CF13" i="23917"/>
  <c r="DL13" i="23917"/>
  <c r="AV13" i="23917"/>
  <c r="CB13" i="23917"/>
  <c r="DH13" i="23917"/>
  <c r="T15" i="23917"/>
  <c r="BY15" i="23917"/>
  <c r="DE15" i="23917"/>
  <c r="W14" i="23917"/>
  <c r="S408" i="23917"/>
  <c r="G43" i="23917"/>
  <c r="W98" i="23917"/>
  <c r="DP15" i="23917"/>
  <c r="FE9" i="23917"/>
  <c r="S170" i="23917"/>
  <c r="BA11" i="24050"/>
  <c r="CE9" i="23917"/>
  <c r="EU19" i="23917"/>
  <c r="S146" i="23917"/>
  <c r="CX9" i="23917"/>
  <c r="AH8" i="23917"/>
  <c r="AN8" i="23917"/>
  <c r="V10" i="23917"/>
  <c r="CG10" i="23917"/>
  <c r="M11" i="23917"/>
  <c r="BD9" i="23917"/>
  <c r="DP9" i="23917"/>
  <c r="AI11" i="24050"/>
  <c r="E11" i="24050"/>
  <c r="AK11" i="24050"/>
  <c r="BQ11" i="24050"/>
  <c r="AN13" i="23917"/>
  <c r="L35" i="24068"/>
  <c r="P15" i="23917"/>
  <c r="AF12" i="23917"/>
  <c r="R13" i="23917"/>
  <c r="FQ387" i="23917"/>
  <c r="EE387" i="23917"/>
  <c r="AR15" i="23917"/>
  <c r="FP403" i="23917"/>
  <c r="DY390" i="23917"/>
  <c r="AD87" i="23917"/>
  <c r="CP8" i="23917"/>
  <c r="AF133" i="23917"/>
  <c r="BF10" i="23917"/>
  <c r="CX8" i="23917"/>
  <c r="DO11" i="24050"/>
  <c r="AG208" i="23917"/>
  <c r="BH9" i="23917"/>
  <c r="DT9" i="23917"/>
  <c r="BE10" i="23917"/>
  <c r="Y263" i="23917"/>
  <c r="AG263" i="23917"/>
  <c r="AO11" i="24050"/>
  <c r="BU11" i="24050"/>
  <c r="AC293" i="23917"/>
  <c r="AB299" i="23917"/>
  <c r="AZ14" i="23917"/>
  <c r="DO15" i="23917"/>
  <c r="BL12" i="23917"/>
  <c r="CB12" i="23917"/>
  <c r="CR12" i="23917"/>
  <c r="DH12" i="23917"/>
  <c r="EM12" i="23917"/>
  <c r="BP13" i="23917"/>
  <c r="CV13" i="23917"/>
  <c r="AZ15" i="23917"/>
  <c r="AF13" i="23917"/>
  <c r="L15" i="23917"/>
  <c r="CS15" i="23917"/>
  <c r="C40" i="23917"/>
  <c r="R87" i="23917"/>
  <c r="AD9" i="23917"/>
  <c r="CP9" i="23917"/>
  <c r="DS11" i="24050"/>
  <c r="DS8" i="23917"/>
  <c r="BR10" i="23917"/>
  <c r="AF9" i="23917"/>
  <c r="CR9" i="23917"/>
  <c r="X210" i="23917"/>
  <c r="AG201" i="23917"/>
  <c r="Y201" i="23917"/>
  <c r="Y293" i="23917"/>
  <c r="FC13" i="23917"/>
  <c r="L11" i="24050"/>
  <c r="AS11" i="24050"/>
  <c r="BY11" i="24050"/>
  <c r="X252" i="23917"/>
  <c r="AD12" i="23917"/>
  <c r="O12" i="23917"/>
  <c r="K299" i="23917"/>
  <c r="BR13" i="23917"/>
  <c r="CX13" i="23917"/>
  <c r="FH403" i="23917"/>
  <c r="AE408" i="23917"/>
  <c r="E49" i="23917"/>
  <c r="W127" i="23917"/>
  <c r="AA210" i="23917"/>
  <c r="Z216" i="23917"/>
  <c r="CT10" i="23917"/>
  <c r="BZ10" i="23917"/>
  <c r="AJ9" i="23917"/>
  <c r="CV9" i="23917"/>
  <c r="AM11" i="24050"/>
  <c r="BS11" i="24050"/>
  <c r="Q11" i="24050"/>
  <c r="AW11" i="24050"/>
  <c r="CC11" i="24050"/>
  <c r="BF15" i="23917"/>
  <c r="DK15" i="23917"/>
  <c r="AC258" i="23917"/>
  <c r="BT12" i="23917"/>
  <c r="CJ12" i="23917"/>
  <c r="CZ12" i="23917"/>
  <c r="DP12" i="23917"/>
  <c r="AJ14" i="23917"/>
  <c r="BL14" i="23917"/>
  <c r="CB14" i="23917"/>
  <c r="CR14" i="23917"/>
  <c r="DH14" i="23917"/>
  <c r="S35" i="24068"/>
  <c r="BQ15" i="23917"/>
  <c r="CW15" i="23917"/>
  <c r="BP14" i="23917"/>
  <c r="CF14" i="23917"/>
  <c r="CV14" i="23917"/>
  <c r="DL14" i="23917"/>
  <c r="AM387" i="23917"/>
  <c r="G381" i="24050" s="1"/>
  <c r="AL390" i="23917"/>
  <c r="F384" i="24050" s="1"/>
  <c r="EQ390" i="23917"/>
  <c r="I408" i="23917"/>
  <c r="G48" i="23917"/>
  <c r="J87" i="23917"/>
  <c r="Y87" i="23917"/>
  <c r="BJ12" i="23917"/>
  <c r="BZ12" i="23917"/>
  <c r="CP12" i="23917"/>
  <c r="DF12" i="23917"/>
  <c r="BJ8" i="23917"/>
  <c r="DK9" i="23917"/>
  <c r="BW9" i="23917"/>
  <c r="FN19" i="23917"/>
  <c r="AE127" i="23917"/>
  <c r="DN10" i="23917"/>
  <c r="AA127" i="23917"/>
  <c r="CJ9" i="23917"/>
  <c r="AF10" i="23917"/>
  <c r="EY13" i="23917"/>
  <c r="Y170" i="23917"/>
  <c r="BP8" i="23917"/>
  <c r="BF9" i="23917"/>
  <c r="Q11" i="23917"/>
  <c r="AC10" i="23917"/>
  <c r="AN9" i="23917"/>
  <c r="CZ9" i="23917"/>
  <c r="Y219" i="23917"/>
  <c r="AG219" i="23917"/>
  <c r="DR10" i="23917"/>
  <c r="EM13" i="23917"/>
  <c r="AF408" i="23917"/>
  <c r="AG390" i="23917"/>
  <c r="B13" i="23917"/>
  <c r="P35" i="24068"/>
  <c r="AB14" i="23917"/>
  <c r="B35" i="24068"/>
  <c r="R35" i="24068"/>
  <c r="FS386" i="23917"/>
  <c r="FR386" i="23917"/>
  <c r="W408" i="23917"/>
  <c r="EU387" i="23917"/>
  <c r="AS387" i="23917"/>
  <c r="M381" i="24050" s="1"/>
  <c r="AQ387" i="23917"/>
  <c r="K381" i="24050" s="1"/>
  <c r="AP390" i="23917"/>
  <c r="J384" i="24050" s="1"/>
  <c r="AG125" i="23917"/>
  <c r="Y136" i="23917"/>
  <c r="V11" i="24050"/>
  <c r="AU11" i="24050"/>
  <c r="AV8" i="23917"/>
  <c r="EO10" i="23917"/>
  <c r="AJ10" i="23917"/>
  <c r="DU10" i="23917"/>
  <c r="AR9" i="23917"/>
  <c r="DD9" i="23917"/>
  <c r="DH10" i="23917"/>
  <c r="AY11" i="24050"/>
  <c r="EL12" i="23917"/>
  <c r="Q13" i="23917"/>
  <c r="W13" i="23917"/>
  <c r="W12" i="23917"/>
  <c r="BH13" i="23917"/>
  <c r="BX13" i="23917"/>
  <c r="CN13" i="23917"/>
  <c r="DD13" i="23917"/>
  <c r="DT13" i="23917"/>
  <c r="DG15" i="23917"/>
  <c r="AJ12" i="23917"/>
  <c r="AJ13" i="23917"/>
  <c r="S14" i="23917"/>
  <c r="BT14" i="23917"/>
  <c r="CJ14" i="23917"/>
  <c r="CZ14" i="23917"/>
  <c r="G14" i="23917"/>
  <c r="AA408" i="23917"/>
  <c r="DF8" i="23917"/>
  <c r="FF19" i="23917"/>
  <c r="BW11" i="24050"/>
  <c r="S210" i="23917"/>
  <c r="CW10" i="23917"/>
  <c r="EM11" i="23917"/>
  <c r="DH11" i="24050"/>
  <c r="AG170" i="23917"/>
  <c r="EK11" i="23917"/>
  <c r="DF11" i="24050"/>
  <c r="S252" i="23917"/>
  <c r="X14" i="23917"/>
  <c r="AQ14" i="23917"/>
  <c r="CH14" i="23917"/>
  <c r="DN14" i="23917"/>
  <c r="FK15" i="23917"/>
  <c r="U258" i="23917"/>
  <c r="BP12" i="23917"/>
  <c r="CF12" i="23917"/>
  <c r="CV12" i="23917"/>
  <c r="DL12" i="23917"/>
  <c r="EC397" i="23917"/>
  <c r="ED397" i="23917"/>
  <c r="AL13" i="23917"/>
  <c r="BN14" i="23917"/>
  <c r="CT14" i="23917"/>
  <c r="DS15" i="23917"/>
  <c r="FU396" i="23917"/>
  <c r="DA390" i="24050" s="1"/>
  <c r="FT396" i="23917"/>
  <c r="CZ390" i="24050" s="1"/>
  <c r="FF403" i="23917"/>
  <c r="AK387" i="23917"/>
  <c r="E381" i="24050" s="1"/>
  <c r="AJ390" i="23917"/>
  <c r="D384" i="24050" s="1"/>
  <c r="BN10" i="23917"/>
  <c r="U127" i="23917"/>
  <c r="T133" i="23917"/>
  <c r="AC127" i="23917"/>
  <c r="AA176" i="23917"/>
  <c r="CM11" i="24050"/>
  <c r="DE10" i="23917"/>
  <c r="CF9" i="23917"/>
  <c r="S11" i="24050"/>
  <c r="I13" i="23917"/>
  <c r="P14" i="23917"/>
  <c r="DC15" i="23917"/>
  <c r="BD12" i="23917"/>
  <c r="O299" i="23917"/>
  <c r="AV15" i="23917"/>
  <c r="D15" i="23917"/>
  <c r="BI15" i="23917"/>
  <c r="CO15" i="23917"/>
  <c r="C408" i="23917"/>
  <c r="G49" i="23917"/>
  <c r="C53" i="23917"/>
  <c r="AT12" i="23917"/>
  <c r="EQ14" i="23917"/>
  <c r="H14" i="23917"/>
  <c r="BJ15" i="23917"/>
  <c r="BF13" i="23917"/>
  <c r="CL13" i="23917"/>
  <c r="DR13" i="23917"/>
  <c r="FW395" i="23917"/>
  <c r="FV395" i="23917"/>
  <c r="BB13" i="23917"/>
  <c r="CH13" i="23917"/>
  <c r="DN13" i="23917"/>
  <c r="ED394" i="23917"/>
  <c r="EC394" i="23917"/>
  <c r="EG386" i="23917"/>
  <c r="AT9" i="23917"/>
  <c r="DF9" i="23917"/>
  <c r="AE210" i="23917"/>
  <c r="CA11" i="24050"/>
  <c r="DK8" i="23917"/>
  <c r="V9" i="23917"/>
  <c r="CP10" i="23917"/>
  <c r="CO10" i="23917"/>
  <c r="AB9" i="23917"/>
  <c r="CB10" i="23917"/>
  <c r="N11" i="23917"/>
  <c r="U293" i="23917"/>
  <c r="Y11" i="24050"/>
  <c r="BE11" i="24050"/>
  <c r="CK11" i="24050"/>
  <c r="AR12" i="23917"/>
  <c r="M13" i="23917"/>
  <c r="AR13" i="23917"/>
  <c r="AT13" i="23917"/>
  <c r="BZ13" i="23917"/>
  <c r="DF13" i="23917"/>
  <c r="CD15" i="23917"/>
  <c r="EC393" i="23917"/>
  <c r="ED393" i="23917"/>
  <c r="P12" i="23917"/>
  <c r="F13" i="23917"/>
  <c r="BD14" i="23917"/>
  <c r="BF14" i="23917"/>
  <c r="AB15" i="23917"/>
  <c r="DI15" i="23917"/>
  <c r="EC402" i="23917"/>
  <c r="ED402" i="23917"/>
  <c r="BH14" i="23917"/>
  <c r="BX14" i="23917"/>
  <c r="CN14" i="23917"/>
  <c r="DD14" i="23917"/>
  <c r="DT14" i="23917"/>
  <c r="AE176" i="23917"/>
  <c r="AT10" i="23917"/>
  <c r="FM9" i="23917"/>
  <c r="CJ8" i="23917"/>
  <c r="FM10" i="23917"/>
  <c r="BQ10" i="23917"/>
  <c r="AG176" i="23917"/>
  <c r="BL9" i="23917"/>
  <c r="BO11" i="24050"/>
  <c r="EQ13" i="23917"/>
  <c r="Z13" i="23917"/>
  <c r="FK13" i="23917"/>
  <c r="AC11" i="24050"/>
  <c r="BI11" i="24050"/>
  <c r="CO11" i="24050"/>
  <c r="AA263" i="23917"/>
  <c r="BD13" i="23917"/>
  <c r="CJ13" i="23917"/>
  <c r="DP13" i="23917"/>
  <c r="AN12" i="23917"/>
  <c r="AP13" i="23917"/>
  <c r="K14" i="23917"/>
  <c r="L14" i="23917"/>
  <c r="AU14" i="23917"/>
  <c r="AF14" i="23917"/>
  <c r="O408" i="23917"/>
  <c r="ES387" i="23917"/>
  <c r="AI387" i="23917"/>
  <c r="C381" i="24050" s="1"/>
  <c r="AH390" i="23917"/>
  <c r="B384" i="24050" s="1"/>
  <c r="E43" i="23917"/>
  <c r="AI9" i="23917"/>
  <c r="CV8" i="23917"/>
  <c r="AE11" i="24050"/>
  <c r="AA170" i="23917"/>
  <c r="AR10" i="23917"/>
  <c r="BY10" i="23917"/>
  <c r="BP9" i="23917"/>
  <c r="BL10" i="23917"/>
  <c r="BC11" i="24050"/>
  <c r="CI11" i="24050"/>
  <c r="AG11" i="24050"/>
  <c r="BM11" i="24050"/>
  <c r="Z258" i="23917"/>
  <c r="AA252" i="23917"/>
  <c r="BJ13" i="23917"/>
  <c r="CP13" i="23917"/>
  <c r="Q335" i="23917"/>
  <c r="H35" i="24068"/>
  <c r="H36" i="24068" s="1"/>
  <c r="CU15" i="23917"/>
  <c r="AB12" i="23917"/>
  <c r="C14" i="23917"/>
  <c r="FS388" i="23917"/>
  <c r="CY382" i="24050" s="1"/>
  <c r="FR388" i="23917"/>
  <c r="CG15" i="23917"/>
  <c r="DM15" i="23917"/>
  <c r="DU15" i="23917"/>
  <c r="FN390" i="23917"/>
  <c r="EP403" i="23917"/>
  <c r="FJ403" i="23917"/>
  <c r="W86" i="23917"/>
  <c r="G11" i="24050"/>
  <c r="FA15" i="23917"/>
  <c r="H15" i="24068" l="1"/>
  <c r="GL45" i="23916"/>
  <c r="GM39" i="23916"/>
  <c r="GL142" i="23916"/>
  <c r="GL42" i="23916"/>
  <c r="GN39" i="23916"/>
  <c r="GO30" i="23916"/>
  <c r="GP25" i="23916"/>
  <c r="GO29" i="23916"/>
  <c r="K6" i="24068"/>
  <c r="U33" i="24068"/>
  <c r="V33" i="24068"/>
  <c r="U17" i="24068"/>
  <c r="V17" i="24068"/>
  <c r="Q15" i="24068"/>
  <c r="BC403" i="23917"/>
  <c r="W397" i="24050" s="1"/>
  <c r="BB403" i="23917"/>
  <c r="V397" i="24050" s="1"/>
  <c r="BE403" i="23917"/>
  <c r="Y397" i="24050" s="1"/>
  <c r="EX397" i="23917"/>
  <c r="EZ397" i="23917"/>
  <c r="EW397" i="23917"/>
  <c r="DM393" i="24050"/>
  <c r="BY393" i="24050"/>
  <c r="CU130" i="24050"/>
  <c r="EA136" i="23917"/>
  <c r="H6" i="24068"/>
  <c r="EA75" i="24050"/>
  <c r="FG81" i="23917"/>
  <c r="DT384" i="24050"/>
  <c r="CF384" i="24050"/>
  <c r="DI391" i="24050"/>
  <c r="BU391" i="24050"/>
  <c r="AK403" i="23917"/>
  <c r="E397" i="24050" s="1"/>
  <c r="AI403" i="23917"/>
  <c r="C397" i="24050" s="1"/>
  <c r="AH403" i="23917"/>
  <c r="B397" i="24050" s="1"/>
  <c r="AO133" i="23917"/>
  <c r="CO8" i="23917"/>
  <c r="DQ10" i="23917"/>
  <c r="DW75" i="24050"/>
  <c r="FC81" i="23917"/>
  <c r="DQ384" i="24050"/>
  <c r="CC384" i="24050"/>
  <c r="BA403" i="23917"/>
  <c r="U397" i="24050" s="1"/>
  <c r="AY403" i="23917"/>
  <c r="S397" i="24050" s="1"/>
  <c r="AX403" i="23917"/>
  <c r="R397" i="24050" s="1"/>
  <c r="U11" i="24050"/>
  <c r="M6" i="24068"/>
  <c r="F15" i="24068"/>
  <c r="F6" i="24068"/>
  <c r="DS75" i="24050"/>
  <c r="EY81" i="23917"/>
  <c r="BV391" i="24050"/>
  <c r="DJ391" i="24050"/>
  <c r="BZ393" i="24050"/>
  <c r="DN393" i="24050"/>
  <c r="ES397" i="23917"/>
  <c r="ET397" i="23917"/>
  <c r="EV397" i="23917"/>
  <c r="AN403" i="23917"/>
  <c r="H397" i="24050" s="1"/>
  <c r="AO403" i="23917"/>
  <c r="I397" i="24050" s="1"/>
  <c r="AQ403" i="23917"/>
  <c r="K397" i="24050" s="1"/>
  <c r="CV130" i="24050"/>
  <c r="EB136" i="23917"/>
  <c r="EK381" i="24050"/>
  <c r="CW381" i="24050"/>
  <c r="CA252" i="24050"/>
  <c r="DG258" i="23917"/>
  <c r="DT257" i="24050"/>
  <c r="EZ263" i="23917"/>
  <c r="EI161" i="24050"/>
  <c r="FO167" i="23917"/>
  <c r="DR170" i="24050"/>
  <c r="EX176" i="23917"/>
  <c r="O210" i="24050"/>
  <c r="AU216" i="23917"/>
  <c r="DQ293" i="24050"/>
  <c r="EW299" i="23917"/>
  <c r="AO127" i="24050"/>
  <c r="BU133" i="23917"/>
  <c r="DR121" i="24050"/>
  <c r="DR8" i="24050"/>
  <c r="EX127" i="23917"/>
  <c r="DN363" i="24050"/>
  <c r="ET369" i="23917"/>
  <c r="DH80" i="24050"/>
  <c r="EN86" i="23917"/>
  <c r="BK323" i="24050"/>
  <c r="BK14" i="24050"/>
  <c r="CQ329" i="23917"/>
  <c r="CO78" i="24050"/>
  <c r="DU84" i="23917"/>
  <c r="DM381" i="24050"/>
  <c r="BY381" i="24050"/>
  <c r="DY293" i="24050"/>
  <c r="FE299" i="23917"/>
  <c r="CX276" i="24050"/>
  <c r="ED282" i="23917"/>
  <c r="L127" i="24050"/>
  <c r="AR133" i="23917"/>
  <c r="DM81" i="24050"/>
  <c r="ES87" i="23917"/>
  <c r="CM323" i="24050"/>
  <c r="CM14" i="24050"/>
  <c r="DS329" i="23917"/>
  <c r="DE363" i="24050"/>
  <c r="EK369" i="23917"/>
  <c r="DA296" i="24050"/>
  <c r="EG302" i="23917"/>
  <c r="BK127" i="24050"/>
  <c r="CQ133" i="23917"/>
  <c r="DA31" i="24050"/>
  <c r="EG39" i="23917"/>
  <c r="EI31" i="24050"/>
  <c r="FO39" i="23917"/>
  <c r="CW310" i="24050"/>
  <c r="EC316" i="23917"/>
  <c r="CX275" i="24050"/>
  <c r="ED281" i="23917"/>
  <c r="DP334" i="24050"/>
  <c r="EV340" i="23917"/>
  <c r="CH252" i="24050"/>
  <c r="DN258" i="23917"/>
  <c r="CT201" i="24050"/>
  <c r="DZ207" i="23917"/>
  <c r="DV257" i="24050"/>
  <c r="FB263" i="23917"/>
  <c r="CK81" i="24050"/>
  <c r="DQ87" i="23917"/>
  <c r="EN30" i="24050"/>
  <c r="FT38" i="23917"/>
  <c r="DL256" i="24050"/>
  <c r="ER262" i="23917"/>
  <c r="EF293" i="24050"/>
  <c r="FL299" i="23917"/>
  <c r="Q170" i="24050"/>
  <c r="AW176" i="23917"/>
  <c r="EH164" i="24050"/>
  <c r="EH9" i="24050"/>
  <c r="FN170" i="23917"/>
  <c r="DU293" i="24050"/>
  <c r="FA299" i="23917"/>
  <c r="O164" i="24050"/>
  <c r="O9" i="24050"/>
  <c r="AU170" i="23917"/>
  <c r="CJ92" i="24050"/>
  <c r="DP98" i="23917"/>
  <c r="P329" i="24050"/>
  <c r="AV335" i="23917"/>
  <c r="AX329" i="24050"/>
  <c r="CD335" i="23917"/>
  <c r="DU329" i="24050"/>
  <c r="FA335" i="23917"/>
  <c r="G246" i="24050"/>
  <c r="G12" i="24050"/>
  <c r="AM252" i="23917"/>
  <c r="DX162" i="24050"/>
  <c r="FD168" i="23917"/>
  <c r="ED204" i="24050"/>
  <c r="ED10" i="24050"/>
  <c r="FJ210" i="23917"/>
  <c r="F170" i="24050"/>
  <c r="AL176" i="23917"/>
  <c r="BV329" i="24050"/>
  <c r="DB335" i="23917"/>
  <c r="EE329" i="24050"/>
  <c r="FK335" i="23917"/>
  <c r="DW210" i="24050"/>
  <c r="FC216" i="23917"/>
  <c r="DP30" i="24050"/>
  <c r="EV38" i="23917"/>
  <c r="EH313" i="24050"/>
  <c r="FN319" i="23917"/>
  <c r="Y299" i="23917"/>
  <c r="X299" i="23917"/>
  <c r="CS408" i="23917"/>
  <c r="BM399" i="24050" s="1"/>
  <c r="BM15" i="24050"/>
  <c r="CU313" i="24050"/>
  <c r="EA319" i="23917"/>
  <c r="CA408" i="23917"/>
  <c r="AU399" i="24050" s="1"/>
  <c r="AU15" i="24050"/>
  <c r="DA298" i="24050"/>
  <c r="EG304" i="23917"/>
  <c r="CQ198" i="24050"/>
  <c r="DW204" i="23917"/>
  <c r="AZ80" i="24050"/>
  <c r="CF86" i="23917"/>
  <c r="T252" i="24050"/>
  <c r="AZ258" i="23917"/>
  <c r="EM408" i="23917"/>
  <c r="DG15" i="24050"/>
  <c r="BA252" i="24050"/>
  <c r="CG258" i="23917"/>
  <c r="D296" i="23917"/>
  <c r="D74" i="23917"/>
  <c r="CQ284" i="24050"/>
  <c r="DW290" i="23917"/>
  <c r="K204" i="24050"/>
  <c r="K10" i="24050"/>
  <c r="AQ210" i="23917"/>
  <c r="DS170" i="24050"/>
  <c r="EY176" i="23917"/>
  <c r="DM170" i="24050"/>
  <c r="ES176" i="23917"/>
  <c r="DL81" i="24050"/>
  <c r="ER87" i="23917"/>
  <c r="DN334" i="24050"/>
  <c r="ET340" i="23917"/>
  <c r="DN246" i="24050"/>
  <c r="DN12" i="24050"/>
  <c r="ET252" i="23917"/>
  <c r="DP287" i="24050"/>
  <c r="DP13" i="24050"/>
  <c r="EV293" i="23917"/>
  <c r="DJ246" i="24050"/>
  <c r="DJ12" i="24050"/>
  <c r="EP252" i="23917"/>
  <c r="DF78" i="24050"/>
  <c r="EL84" i="23917"/>
  <c r="ED91" i="24050"/>
  <c r="FJ97" i="23917"/>
  <c r="G293" i="24050"/>
  <c r="AM299" i="23917"/>
  <c r="BB399" i="24050"/>
  <c r="BB400" i="24050" s="1"/>
  <c r="CH409" i="23917"/>
  <c r="DN202" i="24050"/>
  <c r="ET208" i="23917"/>
  <c r="BI252" i="24050"/>
  <c r="CO258" i="23917"/>
  <c r="DL334" i="24050"/>
  <c r="ER340" i="23917"/>
  <c r="CV153" i="24050"/>
  <c r="EB159" i="23917"/>
  <c r="CI82" i="24050"/>
  <c r="DO88" i="23917"/>
  <c r="BY79" i="24050"/>
  <c r="DE85" i="23917"/>
  <c r="EH79" i="24050"/>
  <c r="FN85" i="23917"/>
  <c r="I293" i="24050"/>
  <c r="AO299" i="23917"/>
  <c r="Q210" i="24050"/>
  <c r="AW216" i="23917"/>
  <c r="BM408" i="23917"/>
  <c r="AG399" i="24050" s="1"/>
  <c r="AG15" i="24050"/>
  <c r="DF81" i="24050"/>
  <c r="EL87" i="23917"/>
  <c r="DP244" i="24050"/>
  <c r="EV250" i="23917"/>
  <c r="DP363" i="24050"/>
  <c r="EV369" i="23917"/>
  <c r="DL162" i="24050"/>
  <c r="ER168" i="23917"/>
  <c r="K15" i="24068"/>
  <c r="EJ310" i="24050"/>
  <c r="FP316" i="23917"/>
  <c r="EJ200" i="24050"/>
  <c r="FP206" i="23917"/>
  <c r="BQ81" i="24050"/>
  <c r="CW87" i="23917"/>
  <c r="AE246" i="24050"/>
  <c r="AE12" i="24050"/>
  <c r="BK252" i="23917"/>
  <c r="DZ84" i="24050"/>
  <c r="FF90" i="23917"/>
  <c r="DZ164" i="24050"/>
  <c r="DZ9" i="24050"/>
  <c r="FF170" i="23917"/>
  <c r="BF81" i="24050"/>
  <c r="CL87" i="23917"/>
  <c r="AA87" i="23917"/>
  <c r="Z87" i="23917"/>
  <c r="CU87" i="24050"/>
  <c r="EA93" i="23917"/>
  <c r="CV87" i="24050"/>
  <c r="EB93" i="23917"/>
  <c r="ED397" i="24050"/>
  <c r="CP397" i="24050"/>
  <c r="EH321" i="24050"/>
  <c r="FN327" i="23917"/>
  <c r="DZ244" i="24050"/>
  <c r="FF250" i="23917"/>
  <c r="BA293" i="24050"/>
  <c r="CG299" i="23917"/>
  <c r="BE252" i="24050"/>
  <c r="CK258" i="23917"/>
  <c r="BJ329" i="24050"/>
  <c r="CP335" i="23917"/>
  <c r="CX311" i="24050"/>
  <c r="ED317" i="23917"/>
  <c r="BM210" i="24050"/>
  <c r="CS216" i="23917"/>
  <c r="CS195" i="24050"/>
  <c r="DY201" i="23917"/>
  <c r="AU210" i="24050"/>
  <c r="CA216" i="23917"/>
  <c r="CP162" i="24050"/>
  <c r="DV168" i="23917"/>
  <c r="BB127" i="24050"/>
  <c r="CH133" i="23917"/>
  <c r="BW164" i="24050"/>
  <c r="BW9" i="24050"/>
  <c r="DC170" i="23917"/>
  <c r="EA210" i="24050"/>
  <c r="FG216" i="23917"/>
  <c r="CB80" i="24050"/>
  <c r="DH86" i="23917"/>
  <c r="AV80" i="24050"/>
  <c r="CB86" i="23917"/>
  <c r="P80" i="24050"/>
  <c r="AV86" i="23917"/>
  <c r="DZ287" i="24050"/>
  <c r="DZ13" i="24050"/>
  <c r="FF293" i="23917"/>
  <c r="Q246" i="24050"/>
  <c r="Q12" i="24050"/>
  <c r="AW252" i="23917"/>
  <c r="BU408" i="23917"/>
  <c r="AO399" i="24050" s="1"/>
  <c r="AO15" i="24050"/>
  <c r="EL277" i="24050"/>
  <c r="FR283" i="23917"/>
  <c r="CW276" i="24050"/>
  <c r="EC282" i="23917"/>
  <c r="EJ199" i="24050"/>
  <c r="FP205" i="23917"/>
  <c r="O9" i="24068"/>
  <c r="P10" i="24068" s="1"/>
  <c r="DI92" i="24050"/>
  <c r="EO98" i="23917"/>
  <c r="DX80" i="24050"/>
  <c r="FD86" i="23917"/>
  <c r="BN81" i="24050"/>
  <c r="CT87" i="23917"/>
  <c r="B81" i="24050"/>
  <c r="AH87" i="23917"/>
  <c r="R329" i="24050"/>
  <c r="AX335" i="23917"/>
  <c r="EF246" i="24050"/>
  <c r="EF12" i="24050"/>
  <c r="FL252" i="23917"/>
  <c r="R252" i="24050"/>
  <c r="AX258" i="23917"/>
  <c r="BF252" i="24050"/>
  <c r="CL258" i="23917"/>
  <c r="CU256" i="24050"/>
  <c r="EA262" i="23917"/>
  <c r="DV204" i="24050"/>
  <c r="DV10" i="24050"/>
  <c r="FB210" i="23917"/>
  <c r="EJ201" i="24050"/>
  <c r="FP207" i="23917"/>
  <c r="BC164" i="24050"/>
  <c r="BC9" i="24050"/>
  <c r="CI170" i="23917"/>
  <c r="F127" i="24050"/>
  <c r="AL133" i="23917"/>
  <c r="EB164" i="24050"/>
  <c r="EB9" i="24050"/>
  <c r="FH170" i="23917"/>
  <c r="EL152" i="24050"/>
  <c r="FR158" i="23917"/>
  <c r="AE216" i="23917"/>
  <c r="AD216" i="23917"/>
  <c r="DL174" i="24050"/>
  <c r="ER180" i="23917"/>
  <c r="AY82" i="24050"/>
  <c r="CE88" i="23917"/>
  <c r="AT81" i="24050"/>
  <c r="BZ87" i="23917"/>
  <c r="O87" i="23917"/>
  <c r="N87" i="23917"/>
  <c r="CE323" i="24050"/>
  <c r="CE14" i="24050"/>
  <c r="DK329" i="23917"/>
  <c r="DL255" i="24050"/>
  <c r="ER261" i="23917"/>
  <c r="CW283" i="24050"/>
  <c r="EC289" i="23917"/>
  <c r="CW275" i="24050"/>
  <c r="EC281" i="23917"/>
  <c r="EH246" i="24050"/>
  <c r="EH12" i="24050"/>
  <c r="FN252" i="23917"/>
  <c r="DZ170" i="24050"/>
  <c r="FF176" i="23917"/>
  <c r="EH119" i="24050"/>
  <c r="FN125" i="23917"/>
  <c r="DV84" i="24050"/>
  <c r="FB90" i="23917"/>
  <c r="EG92" i="24050"/>
  <c r="FM98" i="23917"/>
  <c r="DZ91" i="24050"/>
  <c r="FF97" i="23917"/>
  <c r="CG329" i="24050"/>
  <c r="DM335" i="23917"/>
  <c r="AG329" i="24050"/>
  <c r="BM335" i="23917"/>
  <c r="AD329" i="24050"/>
  <c r="BJ335" i="23917"/>
  <c r="S293" i="24050"/>
  <c r="AY299" i="23917"/>
  <c r="CT198" i="24050"/>
  <c r="DZ204" i="23917"/>
  <c r="CT199" i="24050"/>
  <c r="DZ205" i="23917"/>
  <c r="G131" i="24050"/>
  <c r="AM137" i="23917"/>
  <c r="DO210" i="24050"/>
  <c r="EU216" i="23917"/>
  <c r="BU127" i="24050"/>
  <c r="DA133" i="23917"/>
  <c r="CS160" i="24050"/>
  <c r="DY166" i="23917"/>
  <c r="DH121" i="24050"/>
  <c r="DH8" i="24050"/>
  <c r="EN127" i="23917"/>
  <c r="DK164" i="24050"/>
  <c r="DK9" i="24050"/>
  <c r="EQ170" i="23917"/>
  <c r="BW170" i="24050"/>
  <c r="DC176" i="23917"/>
  <c r="AA121" i="24050"/>
  <c r="AA8" i="24050"/>
  <c r="BG127" i="23917"/>
  <c r="EI174" i="24050"/>
  <c r="FO180" i="23917"/>
  <c r="EC92" i="24050"/>
  <c r="FI98" i="23917"/>
  <c r="DN256" i="24050"/>
  <c r="ET262" i="23917"/>
  <c r="EB334" i="24050"/>
  <c r="FH340" i="23917"/>
  <c r="W246" i="24050"/>
  <c r="W12" i="24050"/>
  <c r="BC252" i="23917"/>
  <c r="AI13" i="23917"/>
  <c r="CB9" i="23917"/>
  <c r="Y127" i="24050"/>
  <c r="BE133" i="23917"/>
  <c r="J127" i="24050"/>
  <c r="AP133" i="23917"/>
  <c r="DK204" i="24050"/>
  <c r="DK10" i="24050"/>
  <c r="EQ210" i="23917"/>
  <c r="EE170" i="24050"/>
  <c r="FK176" i="23917"/>
  <c r="ED84" i="24050"/>
  <c r="FJ90" i="23917"/>
  <c r="DV287" i="24050"/>
  <c r="DV13" i="24050"/>
  <c r="FB293" i="23917"/>
  <c r="C204" i="24050"/>
  <c r="C10" i="24050"/>
  <c r="AI210" i="23917"/>
  <c r="DM127" i="24050"/>
  <c r="ES133" i="23917"/>
  <c r="AE210" i="24050"/>
  <c r="BK216" i="23917"/>
  <c r="AI121" i="24050"/>
  <c r="AI8" i="24050"/>
  <c r="BO127" i="23917"/>
  <c r="CX44" i="24050"/>
  <c r="ED52" i="23917"/>
  <c r="DY329" i="24050"/>
  <c r="FE335" i="23917"/>
  <c r="J252" i="24050"/>
  <c r="AP258" i="23917"/>
  <c r="DF204" i="24050"/>
  <c r="DF10" i="24050"/>
  <c r="EL210" i="23917"/>
  <c r="EJ195" i="24050"/>
  <c r="FP201" i="23917"/>
  <c r="EC210" i="24050"/>
  <c r="FI216" i="23917"/>
  <c r="DP164" i="24050"/>
  <c r="DP9" i="24050"/>
  <c r="EV170" i="23917"/>
  <c r="DU8" i="23917"/>
  <c r="DL8" i="23917"/>
  <c r="AP127" i="24050"/>
  <c r="BV133" i="23917"/>
  <c r="AA133" i="23917"/>
  <c r="Z133" i="23917"/>
  <c r="CS130" i="24050"/>
  <c r="DY136" i="23917"/>
  <c r="EF81" i="24050"/>
  <c r="FL87" i="23917"/>
  <c r="BQ79" i="24050"/>
  <c r="CW85" i="23917"/>
  <c r="DV78" i="24050"/>
  <c r="FB84" i="23917"/>
  <c r="EI316" i="24050"/>
  <c r="FO322" i="23917"/>
  <c r="DJ358" i="24050"/>
  <c r="EP364" i="23917"/>
  <c r="S36" i="24068"/>
  <c r="W323" i="24050"/>
  <c r="W14" i="24050"/>
  <c r="BC329" i="23917"/>
  <c r="BO293" i="24050"/>
  <c r="CU299" i="23917"/>
  <c r="U170" i="24050"/>
  <c r="BA176" i="23917"/>
  <c r="DX204" i="24050"/>
  <c r="DX10" i="24050"/>
  <c r="FD210" i="23917"/>
  <c r="M210" i="24050"/>
  <c r="AS216" i="23917"/>
  <c r="EJ155" i="24050"/>
  <c r="FP161" i="23917"/>
  <c r="BQ127" i="24050"/>
  <c r="CW133" i="23917"/>
  <c r="W133" i="23917"/>
  <c r="V133" i="23917"/>
  <c r="BA78" i="24050"/>
  <c r="CG84" i="23917"/>
  <c r="DV91" i="24050"/>
  <c r="FB97" i="23917"/>
  <c r="DR30" i="24050"/>
  <c r="EX38" i="23917"/>
  <c r="FG408" i="23917"/>
  <c r="EA15" i="24050"/>
  <c r="EG334" i="24050"/>
  <c r="FM340" i="23917"/>
  <c r="I252" i="24050"/>
  <c r="AO258" i="23917"/>
  <c r="CW312" i="24050"/>
  <c r="EC318" i="23917"/>
  <c r="DH170" i="24050"/>
  <c r="EN176" i="23917"/>
  <c r="CX110" i="24050"/>
  <c r="ED116" i="23917"/>
  <c r="V127" i="24050"/>
  <c r="BB133" i="23917"/>
  <c r="P42" i="24068"/>
  <c r="P43" i="24068" s="1"/>
  <c r="FE28" i="23917"/>
  <c r="FE31" i="23917" s="1"/>
  <c r="DZ321" i="24050"/>
  <c r="FF327" i="23917"/>
  <c r="BO246" i="24050"/>
  <c r="BO12" i="24050"/>
  <c r="CU252" i="23917"/>
  <c r="CQ408" i="23917"/>
  <c r="BK399" i="24050" s="1"/>
  <c r="BK15" i="24050"/>
  <c r="BL127" i="24050"/>
  <c r="CR133" i="23917"/>
  <c r="BJ81" i="24050"/>
  <c r="CP87" i="23917"/>
  <c r="DD358" i="24050"/>
  <c r="EJ364" i="23917"/>
  <c r="DL358" i="24050"/>
  <c r="ER364" i="23917"/>
  <c r="DX321" i="24050"/>
  <c r="FD327" i="23917"/>
  <c r="BR329" i="24050"/>
  <c r="CX335" i="23917"/>
  <c r="DT313" i="24050"/>
  <c r="EZ319" i="23917"/>
  <c r="BC246" i="24050"/>
  <c r="BC12" i="24050"/>
  <c r="CI252" i="23917"/>
  <c r="AP252" i="24050"/>
  <c r="BV258" i="23917"/>
  <c r="CP202" i="24050"/>
  <c r="DV208" i="23917"/>
  <c r="DZ204" i="24050"/>
  <c r="DZ10" i="24050"/>
  <c r="FF210" i="23917"/>
  <c r="EF119" i="24050"/>
  <c r="FL125" i="23917"/>
  <c r="CZ174" i="24050"/>
  <c r="EF180" i="23917"/>
  <c r="S176" i="23917"/>
  <c r="R176" i="23917"/>
  <c r="DL323" i="24050"/>
  <c r="DL14" i="24050"/>
  <c r="ER329" i="23917"/>
  <c r="CF92" i="24050"/>
  <c r="DL98" i="23917"/>
  <c r="AZ92" i="24050"/>
  <c r="CF98" i="23917"/>
  <c r="T80" i="24050"/>
  <c r="AZ86" i="23917"/>
  <c r="AO81" i="24050"/>
  <c r="BU87" i="23917"/>
  <c r="EF78" i="24050"/>
  <c r="FL84" i="23917"/>
  <c r="DR237" i="24050"/>
  <c r="EX243" i="23917"/>
  <c r="AP329" i="24050"/>
  <c r="BV335" i="23917"/>
  <c r="AC257" i="24050"/>
  <c r="BI263" i="23917"/>
  <c r="AY293" i="24050"/>
  <c r="CE299" i="23917"/>
  <c r="AG210" i="24050"/>
  <c r="BM216" i="23917"/>
  <c r="EJ158" i="24050"/>
  <c r="FP164" i="23917"/>
  <c r="AS127" i="24050"/>
  <c r="BY133" i="23917"/>
  <c r="AI170" i="24050"/>
  <c r="BO176" i="23917"/>
  <c r="DM80" i="24050"/>
  <c r="ES86" i="23917"/>
  <c r="BY78" i="24050"/>
  <c r="DE84" i="23917"/>
  <c r="DH384" i="24050"/>
  <c r="BT384" i="24050"/>
  <c r="AI329" i="24050"/>
  <c r="BO335" i="23917"/>
  <c r="CV333" i="24050"/>
  <c r="EB339" i="23917"/>
  <c r="DO323" i="24050"/>
  <c r="DO14" i="24050"/>
  <c r="EU329" i="23917"/>
  <c r="BQ252" i="24050"/>
  <c r="CW258" i="23917"/>
  <c r="CI408" i="23917"/>
  <c r="BC399" i="24050" s="1"/>
  <c r="BC15" i="24050"/>
  <c r="CL252" i="24050"/>
  <c r="DR258" i="23917"/>
  <c r="Z252" i="24050"/>
  <c r="BF258" i="23917"/>
  <c r="CD210" i="24050"/>
  <c r="DJ216" i="23917"/>
  <c r="EC81" i="24050"/>
  <c r="FI87" i="23917"/>
  <c r="AC329" i="24050"/>
  <c r="BI335" i="23917"/>
  <c r="BF329" i="24050"/>
  <c r="CL335" i="23917"/>
  <c r="EJ278" i="24050"/>
  <c r="FP284" i="23917"/>
  <c r="Y334" i="24050"/>
  <c r="BE340" i="23917"/>
  <c r="BQ293" i="24050"/>
  <c r="CW299" i="23917"/>
  <c r="K258" i="23917"/>
  <c r="J258" i="23917"/>
  <c r="AU323" i="24050"/>
  <c r="AU14" i="24050"/>
  <c r="CA329" i="23917"/>
  <c r="EI284" i="24050"/>
  <c r="FO290" i="23917"/>
  <c r="BV252" i="24050"/>
  <c r="DB258" i="23917"/>
  <c r="DT285" i="24050"/>
  <c r="EZ291" i="23917"/>
  <c r="BW204" i="24050"/>
  <c r="BW10" i="24050"/>
  <c r="DC210" i="23917"/>
  <c r="J210" i="24050"/>
  <c r="AP216" i="23917"/>
  <c r="DT164" i="24050"/>
  <c r="DT9" i="24050"/>
  <c r="EZ170" i="23917"/>
  <c r="DT119" i="24050"/>
  <c r="EZ125" i="23917"/>
  <c r="AL127" i="24050"/>
  <c r="BR133" i="23917"/>
  <c r="AG127" i="23917"/>
  <c r="X127" i="23917"/>
  <c r="AA204" i="24050"/>
  <c r="AA10" i="24050"/>
  <c r="BG210" i="23917"/>
  <c r="BF127" i="24050"/>
  <c r="CL133" i="23917"/>
  <c r="S121" i="24050"/>
  <c r="S8" i="24050"/>
  <c r="AY127" i="23917"/>
  <c r="DU92" i="24050"/>
  <c r="FA98" i="23917"/>
  <c r="EJ380" i="24050"/>
  <c r="CV380" i="24050"/>
  <c r="FC408" i="23917"/>
  <c r="DW15" i="24050"/>
  <c r="DN323" i="24050"/>
  <c r="DN14" i="24050"/>
  <c r="ET329" i="23917"/>
  <c r="CP285" i="24050"/>
  <c r="DV291" i="23917"/>
  <c r="AM323" i="24050"/>
  <c r="AM14" i="24050"/>
  <c r="BS329" i="23917"/>
  <c r="DD287" i="24050"/>
  <c r="DD13" i="24050"/>
  <c r="EJ293" i="23917"/>
  <c r="EJ282" i="24050"/>
  <c r="FP288" i="23917"/>
  <c r="DI222" i="24050"/>
  <c r="EO228" i="23917"/>
  <c r="DH293" i="24050"/>
  <c r="EN299" i="23917"/>
  <c r="ED131" i="24050"/>
  <c r="FJ137" i="23917"/>
  <c r="AU121" i="24050"/>
  <c r="AU8" i="24050"/>
  <c r="CA127" i="23917"/>
  <c r="CV116" i="24050"/>
  <c r="EB122" i="23917"/>
  <c r="EC293" i="24050"/>
  <c r="FI299" i="23917"/>
  <c r="CR284" i="24050"/>
  <c r="DX290" i="23917"/>
  <c r="CE127" i="24050"/>
  <c r="DK133" i="23917"/>
  <c r="CO210" i="24050"/>
  <c r="DU216" i="23917"/>
  <c r="CE82" i="24050"/>
  <c r="DK88" i="23917"/>
  <c r="Y210" i="24050"/>
  <c r="BE216" i="23917"/>
  <c r="EF334" i="24050"/>
  <c r="FL340" i="23917"/>
  <c r="EH84" i="24050"/>
  <c r="FN90" i="23917"/>
  <c r="DF79" i="24050"/>
  <c r="EL85" i="23917"/>
  <c r="CS317" i="24050"/>
  <c r="DY323" i="23917"/>
  <c r="BE293" i="24050"/>
  <c r="CK299" i="23917"/>
  <c r="DX90" i="24050"/>
  <c r="FD96" i="23917"/>
  <c r="AA323" i="24050"/>
  <c r="AA14" i="24050"/>
  <c r="BG329" i="23917"/>
  <c r="DH252" i="24050"/>
  <c r="EN258" i="23917"/>
  <c r="C329" i="24050"/>
  <c r="AI335" i="23917"/>
  <c r="DR298" i="24050"/>
  <c r="EX304" i="23917"/>
  <c r="CO170" i="24050"/>
  <c r="DU176" i="23917"/>
  <c r="EH131" i="24050"/>
  <c r="FN137" i="23917"/>
  <c r="BY82" i="24050"/>
  <c r="DE88" i="23917"/>
  <c r="DJ84" i="24050"/>
  <c r="EP90" i="23917"/>
  <c r="AQ82" i="24050"/>
  <c r="BW88" i="23917"/>
  <c r="EH397" i="24050"/>
  <c r="CT397" i="24050"/>
  <c r="AS252" i="24050"/>
  <c r="BY258" i="23917"/>
  <c r="CT155" i="24050"/>
  <c r="DZ161" i="23917"/>
  <c r="CU153" i="24050"/>
  <c r="EA159" i="23917"/>
  <c r="BO82" i="24050"/>
  <c r="CU88" i="23917"/>
  <c r="DP90" i="24050"/>
  <c r="EV96" i="23917"/>
  <c r="BI78" i="24050"/>
  <c r="CO84" i="23917"/>
  <c r="EH82" i="24050"/>
  <c r="FN88" i="23917"/>
  <c r="CV383" i="24050"/>
  <c r="EJ383" i="24050"/>
  <c r="M329" i="24050"/>
  <c r="AS335" i="23917"/>
  <c r="DL215" i="24050"/>
  <c r="ER221" i="23917"/>
  <c r="DZ78" i="24050"/>
  <c r="FF84" i="23917"/>
  <c r="BE329" i="24050"/>
  <c r="CK335" i="23917"/>
  <c r="AS170" i="24050"/>
  <c r="BY176" i="23917"/>
  <c r="DP131" i="24050"/>
  <c r="EV137" i="23917"/>
  <c r="BA82" i="24050"/>
  <c r="CG88" i="23917"/>
  <c r="EF257" i="24050"/>
  <c r="FL263" i="23917"/>
  <c r="I170" i="24050"/>
  <c r="AO176" i="23917"/>
  <c r="DA213" i="24050"/>
  <c r="EG219" i="23917"/>
  <c r="EJ312" i="24050"/>
  <c r="FP318" i="23917"/>
  <c r="BY210" i="24050"/>
  <c r="DE216" i="23917"/>
  <c r="BI210" i="24050"/>
  <c r="CO216" i="23917"/>
  <c r="DV298" i="24050"/>
  <c r="FB304" i="23917"/>
  <c r="DD79" i="24050"/>
  <c r="EJ85" i="23917"/>
  <c r="AG81" i="24050"/>
  <c r="BM87" i="23917"/>
  <c r="EB91" i="24050"/>
  <c r="FH97" i="23917"/>
  <c r="BX397" i="24050"/>
  <c r="DL397" i="24050"/>
  <c r="W257" i="24050"/>
  <c r="BC263" i="23917"/>
  <c r="DX84" i="24050"/>
  <c r="FD90" i="23917"/>
  <c r="E252" i="24050"/>
  <c r="AK258" i="23917"/>
  <c r="CO293" i="24050"/>
  <c r="DU299" i="23917"/>
  <c r="AC293" i="24050"/>
  <c r="BI299" i="23917"/>
  <c r="DY399" i="24050"/>
  <c r="DY400" i="24050" s="1"/>
  <c r="CK399" i="24050"/>
  <c r="CM293" i="24050"/>
  <c r="DS299" i="23917"/>
  <c r="BU293" i="24050"/>
  <c r="DA299" i="23917"/>
  <c r="Y170" i="24050"/>
  <c r="BE176" i="23917"/>
  <c r="W210" i="24050"/>
  <c r="BC216" i="23917"/>
  <c r="DL119" i="24050"/>
  <c r="ER125" i="23917"/>
  <c r="DZ119" i="24050"/>
  <c r="FF125" i="23917"/>
  <c r="BW127" i="24050"/>
  <c r="DC133" i="23917"/>
  <c r="DV334" i="24050"/>
  <c r="FB340" i="23917"/>
  <c r="CM127" i="24050"/>
  <c r="DS133" i="23917"/>
  <c r="AK79" i="24050"/>
  <c r="BQ85" i="23917"/>
  <c r="DP91" i="24050"/>
  <c r="EV97" i="23917"/>
  <c r="DL202" i="24050"/>
  <c r="ER208" i="23917"/>
  <c r="CR399" i="24050"/>
  <c r="CR400" i="24050" s="1"/>
  <c r="EF399" i="24050"/>
  <c r="DX79" i="24050"/>
  <c r="FD85" i="23917"/>
  <c r="BI329" i="24050"/>
  <c r="CO335" i="23917"/>
  <c r="DK381" i="24050"/>
  <c r="BW381" i="24050"/>
  <c r="CC252" i="24050"/>
  <c r="DI258" i="23917"/>
  <c r="DJ210" i="24050"/>
  <c r="EP216" i="23917"/>
  <c r="EB162" i="24050"/>
  <c r="FH168" i="23917"/>
  <c r="BY84" i="24050"/>
  <c r="DE90" i="23917"/>
  <c r="DZ79" i="24050"/>
  <c r="FF85" i="23917"/>
  <c r="BC293" i="24050"/>
  <c r="CI299" i="23917"/>
  <c r="BK246" i="24050"/>
  <c r="BK12" i="24050"/>
  <c r="CQ252" i="23917"/>
  <c r="I121" i="24050"/>
  <c r="I8" i="24050"/>
  <c r="AO127" i="23917"/>
  <c r="BS170" i="24050"/>
  <c r="CY176" i="23917"/>
  <c r="DF15" i="24050"/>
  <c r="EL408" i="23917"/>
  <c r="DJ397" i="24050"/>
  <c r="BV397" i="24050"/>
  <c r="AO252" i="24050"/>
  <c r="BU258" i="23917"/>
  <c r="BU121" i="24050"/>
  <c r="BU8" i="24050"/>
  <c r="DA127" i="23917"/>
  <c r="DP119" i="24050"/>
  <c r="EV125" i="23917"/>
  <c r="AV92" i="24050"/>
  <c r="CB98" i="23917"/>
  <c r="W87" i="23917"/>
  <c r="V87" i="23917"/>
  <c r="DS329" i="24050"/>
  <c r="EY335" i="23917"/>
  <c r="EM277" i="24050"/>
  <c r="FS283" i="23917"/>
  <c r="CQ161" i="24050"/>
  <c r="DW167" i="23917"/>
  <c r="EI214" i="24050"/>
  <c r="FO220" i="23917"/>
  <c r="S323" i="24050"/>
  <c r="S14" i="24050"/>
  <c r="AY329" i="23917"/>
  <c r="DP293" i="24050"/>
  <c r="EV299" i="23917"/>
  <c r="DY252" i="24050"/>
  <c r="FE258" i="23917"/>
  <c r="CV256" i="24050"/>
  <c r="EB262" i="23917"/>
  <c r="BI10" i="23917"/>
  <c r="AZ10" i="23917"/>
  <c r="EA170" i="24050"/>
  <c r="FG176" i="23917"/>
  <c r="DP298" i="24050"/>
  <c r="EV304" i="23917"/>
  <c r="EF82" i="24050"/>
  <c r="FL88" i="23917"/>
  <c r="BQ329" i="24050"/>
  <c r="CW335" i="23917"/>
  <c r="CC329" i="24050"/>
  <c r="DI335" i="23917"/>
  <c r="DL298" i="24050"/>
  <c r="ER304" i="23917"/>
  <c r="H296" i="23917"/>
  <c r="H74" i="23917"/>
  <c r="CU192" i="24050"/>
  <c r="EA198" i="23917"/>
  <c r="EB79" i="24050"/>
  <c r="FH85" i="23917"/>
  <c r="DX140" i="24050"/>
  <c r="FD146" i="23917"/>
  <c r="DV131" i="24050"/>
  <c r="FB137" i="23917"/>
  <c r="F332" i="23917"/>
  <c r="F75" i="23917"/>
  <c r="X80" i="24050"/>
  <c r="BD86" i="23917"/>
  <c r="CR58" i="24050"/>
  <c r="DX65" i="23917"/>
  <c r="AE133" i="23917"/>
  <c r="AD133" i="23917"/>
  <c r="DP82" i="24050"/>
  <c r="EV88" i="23917"/>
  <c r="AI246" i="24050"/>
  <c r="AI12" i="24050"/>
  <c r="BO252" i="23917"/>
  <c r="EC170" i="24050"/>
  <c r="FI176" i="23917"/>
  <c r="CC8" i="23917"/>
  <c r="BT8" i="23917"/>
  <c r="V170" i="24050"/>
  <c r="BB176" i="23917"/>
  <c r="AT170" i="24050"/>
  <c r="BZ176" i="23917"/>
  <c r="CI323" i="24050"/>
  <c r="CI14" i="24050"/>
  <c r="DO329" i="23917"/>
  <c r="EJ317" i="24050"/>
  <c r="FP323" i="23917"/>
  <c r="DO252" i="24050"/>
  <c r="EU258" i="23917"/>
  <c r="BZ329" i="24050"/>
  <c r="DF335" i="23917"/>
  <c r="BK210" i="24050"/>
  <c r="CQ216" i="23917"/>
  <c r="CO127" i="24050"/>
  <c r="DU133" i="23917"/>
  <c r="BS323" i="24050"/>
  <c r="BS14" i="24050"/>
  <c r="CY329" i="23917"/>
  <c r="DR313" i="24050"/>
  <c r="EX319" i="23917"/>
  <c r="EF204" i="24050"/>
  <c r="EF10" i="24050"/>
  <c r="FL210" i="23917"/>
  <c r="BR252" i="24050"/>
  <c r="CX258" i="23917"/>
  <c r="BQ82" i="24050"/>
  <c r="CW88" i="23917"/>
  <c r="T92" i="24050"/>
  <c r="AZ98" i="23917"/>
  <c r="ED78" i="24050"/>
  <c r="FJ84" i="23917"/>
  <c r="AQ323" i="24050"/>
  <c r="AQ14" i="24050"/>
  <c r="BW329" i="23917"/>
  <c r="DT204" i="24050"/>
  <c r="DT10" i="24050"/>
  <c r="EZ210" i="23917"/>
  <c r="EI173" i="24050"/>
  <c r="FO179" i="23917"/>
  <c r="DX131" i="24050"/>
  <c r="FD137" i="23917"/>
  <c r="DM92" i="24050"/>
  <c r="ES98" i="23917"/>
  <c r="CT317" i="24050"/>
  <c r="DZ323" i="23917"/>
  <c r="CK408" i="23917"/>
  <c r="BE399" i="24050" s="1"/>
  <c r="BE15" i="24050"/>
  <c r="CR161" i="24050"/>
  <c r="DX167" i="23917"/>
  <c r="Q5" i="24068"/>
  <c r="EA11" i="24050"/>
  <c r="DE329" i="24050"/>
  <c r="EK335" i="23917"/>
  <c r="DJ323" i="24050"/>
  <c r="DJ14" i="24050"/>
  <c r="EP329" i="23917"/>
  <c r="EH257" i="24050"/>
  <c r="FN263" i="23917"/>
  <c r="CD252" i="24050"/>
  <c r="DJ258" i="23917"/>
  <c r="BT80" i="24050"/>
  <c r="CZ86" i="23917"/>
  <c r="H92" i="24050"/>
  <c r="AN98" i="23917"/>
  <c r="DC293" i="24050"/>
  <c r="EI299" i="23917"/>
  <c r="EF287" i="24050"/>
  <c r="EF13" i="24050"/>
  <c r="FL293" i="23917"/>
  <c r="EF91" i="24050"/>
  <c r="FL97" i="23917"/>
  <c r="ED334" i="24050"/>
  <c r="FJ340" i="23917"/>
  <c r="DH82" i="24050"/>
  <c r="EN88" i="23917"/>
  <c r="DG397" i="24050"/>
  <c r="BS397" i="24050"/>
  <c r="U329" i="24050"/>
  <c r="BA335" i="23917"/>
  <c r="DD81" i="24050"/>
  <c r="EJ87" i="23917"/>
  <c r="DF334" i="24050"/>
  <c r="EL340" i="23917"/>
  <c r="DL244" i="24050"/>
  <c r="ER250" i="23917"/>
  <c r="M131" i="24050"/>
  <c r="AS137" i="23917"/>
  <c r="DV202" i="24050"/>
  <c r="FB208" i="23917"/>
  <c r="EF244" i="24050"/>
  <c r="FL250" i="23917"/>
  <c r="K170" i="24050"/>
  <c r="AQ176" i="23917"/>
  <c r="CA246" i="24050"/>
  <c r="CA12" i="24050"/>
  <c r="DG252" i="23917"/>
  <c r="DT175" i="24050"/>
  <c r="EZ181" i="23917"/>
  <c r="DP78" i="24050"/>
  <c r="EV84" i="23917"/>
  <c r="AS82" i="24050"/>
  <c r="BY88" i="23917"/>
  <c r="DX334" i="24050"/>
  <c r="FD340" i="23917"/>
  <c r="AS293" i="24050"/>
  <c r="BY299" i="23917"/>
  <c r="CK170" i="24050"/>
  <c r="DQ176" i="23917"/>
  <c r="EB175" i="24050"/>
  <c r="FH181" i="23917"/>
  <c r="BY329" i="24050"/>
  <c r="DE335" i="23917"/>
  <c r="AG252" i="24050"/>
  <c r="BM258" i="23917"/>
  <c r="DD80" i="24050"/>
  <c r="EJ86" i="23917"/>
  <c r="ED298" i="24050"/>
  <c r="FJ304" i="23917"/>
  <c r="Z81" i="24050"/>
  <c r="BF87" i="23917"/>
  <c r="CT75" i="24050"/>
  <c r="DZ81" i="23917"/>
  <c r="G80" i="24050"/>
  <c r="AM86" i="23917"/>
  <c r="EH384" i="24050"/>
  <c r="CT384" i="24050"/>
  <c r="AW293" i="24050"/>
  <c r="CC299" i="23917"/>
  <c r="B332" i="23917"/>
  <c r="B75" i="23917"/>
  <c r="CK252" i="24050"/>
  <c r="DQ258" i="23917"/>
  <c r="AE257" i="24050"/>
  <c r="BK263" i="23917"/>
  <c r="T23" i="24068"/>
  <c r="T24" i="24068" s="1"/>
  <c r="EG287" i="24050"/>
  <c r="EG288" i="24050" s="1"/>
  <c r="EG13" i="24050"/>
  <c r="FM293" i="23917"/>
  <c r="FM294" i="23917" s="1"/>
  <c r="EB285" i="24050"/>
  <c r="FH291" i="23917"/>
  <c r="DL213" i="24050"/>
  <c r="ER219" i="23917"/>
  <c r="DK121" i="24050"/>
  <c r="DK8" i="24050"/>
  <c r="EQ127" i="23917"/>
  <c r="EB204" i="24050"/>
  <c r="EB10" i="24050"/>
  <c r="FH210" i="23917"/>
  <c r="ED321" i="24050"/>
  <c r="FJ327" i="23917"/>
  <c r="DT323" i="24050"/>
  <c r="DT14" i="24050"/>
  <c r="EZ329" i="23917"/>
  <c r="DK13" i="23917"/>
  <c r="DB13" i="23917"/>
  <c r="BS408" i="23917"/>
  <c r="AM399" i="24050" s="1"/>
  <c r="AM15" i="24050"/>
  <c r="DM204" i="24050"/>
  <c r="DM10" i="24050"/>
  <c r="ES210" i="23917"/>
  <c r="BM170" i="24050"/>
  <c r="CS176" i="23917"/>
  <c r="DA173" i="24050"/>
  <c r="EG179" i="23917"/>
  <c r="AL170" i="24050"/>
  <c r="BR176" i="23917"/>
  <c r="M121" i="24050"/>
  <c r="M8" i="24050"/>
  <c r="AS127" i="23917"/>
  <c r="BX80" i="24050"/>
  <c r="DD86" i="23917"/>
  <c r="AR80" i="24050"/>
  <c r="BX86" i="23917"/>
  <c r="L92" i="24050"/>
  <c r="AR98" i="23917"/>
  <c r="CO81" i="24050"/>
  <c r="DU87" i="23917"/>
  <c r="AH81" i="24050"/>
  <c r="BN87" i="23917"/>
  <c r="C87" i="23917"/>
  <c r="B87" i="23917"/>
  <c r="S246" i="24050"/>
  <c r="S12" i="24050"/>
  <c r="AY252" i="23917"/>
  <c r="BG246" i="24050"/>
  <c r="BG12" i="24050"/>
  <c r="CM252" i="23917"/>
  <c r="U299" i="23917"/>
  <c r="T299" i="23917"/>
  <c r="DF298" i="24050"/>
  <c r="EL304" i="23917"/>
  <c r="CK210" i="24050"/>
  <c r="DQ216" i="23917"/>
  <c r="CN17" i="23917"/>
  <c r="CN9" i="23917"/>
  <c r="CB127" i="24050"/>
  <c r="DH133" i="23917"/>
  <c r="AA210" i="24050"/>
  <c r="BG216" i="23917"/>
  <c r="O121" i="24050"/>
  <c r="O8" i="24050"/>
  <c r="AU127" i="23917"/>
  <c r="AG121" i="24050"/>
  <c r="AG8" i="24050"/>
  <c r="BM127" i="23917"/>
  <c r="EB84" i="24050"/>
  <c r="FH90" i="23917"/>
  <c r="BZ81" i="24050"/>
  <c r="DF87" i="23917"/>
  <c r="N81" i="24050"/>
  <c r="AT87" i="23917"/>
  <c r="CQ31" i="24050"/>
  <c r="DW39" i="23917"/>
  <c r="CV313" i="24050"/>
  <c r="EB319" i="23917"/>
  <c r="DN298" i="24050"/>
  <c r="ET304" i="23917"/>
  <c r="CV281" i="24050"/>
  <c r="EB287" i="23917"/>
  <c r="ED285" i="24050"/>
  <c r="FJ291" i="23917"/>
  <c r="EG252" i="24050"/>
  <c r="FM258" i="23917"/>
  <c r="AU252" i="24050"/>
  <c r="CA258" i="23917"/>
  <c r="Y81" i="24050"/>
  <c r="BE87" i="23917"/>
  <c r="DP84" i="24050"/>
  <c r="EV90" i="23917"/>
  <c r="BP92" i="24050"/>
  <c r="CV98" i="23917"/>
  <c r="AJ80" i="24050"/>
  <c r="BP86" i="23917"/>
  <c r="CO84" i="24050"/>
  <c r="DU90" i="23917"/>
  <c r="DG329" i="24050"/>
  <c r="EM335" i="23917"/>
  <c r="BA329" i="24050"/>
  <c r="CG335" i="23917"/>
  <c r="D14" i="23917"/>
  <c r="BM329" i="24050"/>
  <c r="CS335" i="23917"/>
  <c r="DJ298" i="24050"/>
  <c r="EP304" i="23917"/>
  <c r="DX285" i="24050"/>
  <c r="FD291" i="23917"/>
  <c r="AP210" i="24050"/>
  <c r="BV216" i="23917"/>
  <c r="DA10" i="23917"/>
  <c r="CR10" i="23917"/>
  <c r="CT195" i="24050"/>
  <c r="DZ201" i="23917"/>
  <c r="BQ170" i="24050"/>
  <c r="CW176" i="23917"/>
  <c r="CA210" i="24050"/>
  <c r="DG216" i="23917"/>
  <c r="ED140" i="24050"/>
  <c r="FJ146" i="23917"/>
  <c r="EI160" i="24050"/>
  <c r="FO166" i="23917"/>
  <c r="DJ121" i="24050"/>
  <c r="DJ8" i="24050"/>
  <c r="EP127" i="23917"/>
  <c r="BY8" i="23917"/>
  <c r="Z127" i="24050"/>
  <c r="BF133" i="23917"/>
  <c r="EO30" i="24050"/>
  <c r="FU38" i="23917"/>
  <c r="DZ397" i="24050"/>
  <c r="CL397" i="24050"/>
  <c r="CQ334" i="24050"/>
  <c r="DW340" i="23917"/>
  <c r="CV297" i="24050"/>
  <c r="EB303" i="23917"/>
  <c r="V252" i="24050"/>
  <c r="BB258" i="23917"/>
  <c r="DP285" i="24050"/>
  <c r="EV291" i="23917"/>
  <c r="DT298" i="24050"/>
  <c r="EZ304" i="23917"/>
  <c r="CC170" i="24050"/>
  <c r="DI176" i="23917"/>
  <c r="R5" i="24068"/>
  <c r="EC11" i="24050"/>
  <c r="S216" i="23917"/>
  <c r="R216" i="23917"/>
  <c r="EF131" i="24050"/>
  <c r="FL137" i="23917"/>
  <c r="BS210" i="24050"/>
  <c r="CY216" i="23917"/>
  <c r="K121" i="24050"/>
  <c r="K8" i="24050"/>
  <c r="AQ127" i="23917"/>
  <c r="EF164" i="24050"/>
  <c r="EF9" i="24050"/>
  <c r="FL170" i="23917"/>
  <c r="S82" i="24050"/>
  <c r="AY88" i="23917"/>
  <c r="DX92" i="24050"/>
  <c r="FD98" i="23917"/>
  <c r="EJ88" i="24050"/>
  <c r="EJ76" i="24050"/>
  <c r="FP94" i="23917"/>
  <c r="FP82" i="23917"/>
  <c r="CJ329" i="24050"/>
  <c r="DP335" i="23917"/>
  <c r="EB321" i="24050"/>
  <c r="FH327" i="23917"/>
  <c r="AH127" i="24050"/>
  <c r="BN133" i="23917"/>
  <c r="CJ80" i="24050"/>
  <c r="DP86" i="23917"/>
  <c r="BD92" i="24050"/>
  <c r="CJ98" i="23917"/>
  <c r="X92" i="24050"/>
  <c r="BD98" i="23917"/>
  <c r="DE92" i="24050"/>
  <c r="EK98" i="23917"/>
  <c r="EL380" i="24050"/>
  <c r="CX380" i="24050"/>
  <c r="Q323" i="24050"/>
  <c r="Q14" i="24050"/>
  <c r="AW329" i="23917"/>
  <c r="AY323" i="24050"/>
  <c r="AY14" i="24050"/>
  <c r="CE329" i="23917"/>
  <c r="DZ323" i="24050"/>
  <c r="DZ14" i="24050"/>
  <c r="FF329" i="23917"/>
  <c r="EA252" i="24050"/>
  <c r="FG258" i="23917"/>
  <c r="K246" i="24050"/>
  <c r="K12" i="24050"/>
  <c r="AQ252" i="23917"/>
  <c r="CX194" i="24050"/>
  <c r="ED200" i="23917"/>
  <c r="DH204" i="24050"/>
  <c r="DH10" i="24050"/>
  <c r="EN210" i="23917"/>
  <c r="DU164" i="24050"/>
  <c r="DU165" i="24050" s="1"/>
  <c r="DU9" i="24050"/>
  <c r="FA170" i="23917"/>
  <c r="FA171" i="23917" s="1"/>
  <c r="G164" i="24050"/>
  <c r="G9" i="24050"/>
  <c r="AM170" i="23917"/>
  <c r="Y176" i="23917"/>
  <c r="X176" i="23917"/>
  <c r="DO170" i="24050"/>
  <c r="EU176" i="23917"/>
  <c r="AQ121" i="24050"/>
  <c r="AQ8" i="24050"/>
  <c r="BW127" i="23917"/>
  <c r="DH79" i="24050"/>
  <c r="EN85" i="23917"/>
  <c r="CA84" i="24050"/>
  <c r="DG90" i="23917"/>
  <c r="CS75" i="24050"/>
  <c r="DY81" i="23917"/>
  <c r="BW323" i="24050"/>
  <c r="BW14" i="24050"/>
  <c r="DC329" i="23917"/>
  <c r="DI363" i="24050"/>
  <c r="EO369" i="23917"/>
  <c r="EF323" i="24050"/>
  <c r="EF14" i="24050"/>
  <c r="FL329" i="23917"/>
  <c r="O14" i="24068"/>
  <c r="DW246" i="24050"/>
  <c r="DW247" i="24050" s="1"/>
  <c r="DW12" i="24050"/>
  <c r="FC252" i="23917"/>
  <c r="FC253" i="23917" s="1"/>
  <c r="BK293" i="24050"/>
  <c r="CQ299" i="23917"/>
  <c r="ED164" i="24050"/>
  <c r="ED9" i="24050"/>
  <c r="FJ170" i="23917"/>
  <c r="CU111" i="24050"/>
  <c r="EA117" i="23917"/>
  <c r="W164" i="24050"/>
  <c r="W9" i="24050"/>
  <c r="BC170" i="23917"/>
  <c r="DP112" i="24050"/>
  <c r="EV118" i="23917"/>
  <c r="Q9" i="24068"/>
  <c r="AU164" i="24050"/>
  <c r="AU9" i="24050"/>
  <c r="CA170" i="23917"/>
  <c r="BN170" i="24050"/>
  <c r="CT176" i="23917"/>
  <c r="BL80" i="24050"/>
  <c r="CR86" i="23917"/>
  <c r="AF80" i="24050"/>
  <c r="BL86" i="23917"/>
  <c r="BU81" i="24050"/>
  <c r="DA87" i="23917"/>
  <c r="DZ334" i="24050"/>
  <c r="FF340" i="23917"/>
  <c r="DJ287" i="24050"/>
  <c r="DJ13" i="24050"/>
  <c r="EP293" i="23917"/>
  <c r="EG323" i="24050"/>
  <c r="EG324" i="24050" s="1"/>
  <c r="EG14" i="24050"/>
  <c r="FM329" i="23917"/>
  <c r="FM330" i="23917" s="1"/>
  <c r="BC323" i="24050"/>
  <c r="BC14" i="24050"/>
  <c r="CI329" i="23917"/>
  <c r="CU284" i="24050"/>
  <c r="EA290" i="23917"/>
  <c r="DN214" i="24050"/>
  <c r="ET220" i="23917"/>
  <c r="CN80" i="24050"/>
  <c r="DT86" i="23917"/>
  <c r="BH80" i="24050"/>
  <c r="CN86" i="23917"/>
  <c r="AB80" i="24050"/>
  <c r="BH86" i="23917"/>
  <c r="DY80" i="24050"/>
  <c r="FE86" i="23917"/>
  <c r="C49" i="23917"/>
  <c r="B49" i="23917"/>
  <c r="BN252" i="24050"/>
  <c r="CT258" i="23917"/>
  <c r="EI333" i="24050"/>
  <c r="FO339" i="23917"/>
  <c r="DP246" i="24050"/>
  <c r="DP12" i="24050"/>
  <c r="EV252" i="23917"/>
  <c r="CA323" i="24050"/>
  <c r="CA14" i="24050"/>
  <c r="DG329" i="23917"/>
  <c r="AC210" i="24050"/>
  <c r="BI216" i="23917"/>
  <c r="AD81" i="24050"/>
  <c r="BJ87" i="23917"/>
  <c r="CV397" i="24050"/>
  <c r="EJ397" i="24050"/>
  <c r="CS296" i="24050"/>
  <c r="DY302" i="23917"/>
  <c r="CC408" i="23917"/>
  <c r="AW399" i="24050" s="1"/>
  <c r="AW15" i="24050"/>
  <c r="L36" i="24068"/>
  <c r="CU282" i="24050"/>
  <c r="EA288" i="23917"/>
  <c r="DQ323" i="24050"/>
  <c r="DQ14" i="24050"/>
  <c r="EW329" i="23917"/>
  <c r="BB252" i="24050"/>
  <c r="CH258" i="23917"/>
  <c r="AQ246" i="24050"/>
  <c r="AQ12" i="24050"/>
  <c r="BW252" i="23917"/>
  <c r="EE210" i="24050"/>
  <c r="FK216" i="23917"/>
  <c r="EI198" i="24050"/>
  <c r="FO204" i="23917"/>
  <c r="CJ127" i="24050"/>
  <c r="DP133" i="23917"/>
  <c r="AB127" i="24050"/>
  <c r="BH133" i="23917"/>
  <c r="CX159" i="24050"/>
  <c r="ED165" i="23917"/>
  <c r="CS213" i="24050"/>
  <c r="DY219" i="23917"/>
  <c r="AU246" i="24050"/>
  <c r="AU12" i="24050"/>
  <c r="CA252" i="23917"/>
  <c r="BI81" i="24050"/>
  <c r="CO87" i="23917"/>
  <c r="DQ80" i="24050"/>
  <c r="EW86" i="23917"/>
  <c r="BA79" i="24050"/>
  <c r="CG85" i="23917"/>
  <c r="DS30" i="24050"/>
  <c r="EY38" i="23917"/>
  <c r="DQ246" i="24050"/>
  <c r="DQ12" i="24050"/>
  <c r="EW252" i="23917"/>
  <c r="U246" i="24050"/>
  <c r="U12" i="24050"/>
  <c r="BA252" i="23917"/>
  <c r="EF298" i="24050"/>
  <c r="FL304" i="23917"/>
  <c r="DQ210" i="24050"/>
  <c r="EW216" i="23917"/>
  <c r="DN215" i="24050"/>
  <c r="ET221" i="23917"/>
  <c r="U121" i="24050"/>
  <c r="U8" i="24050"/>
  <c r="BA127" i="23917"/>
  <c r="BO204" i="24050"/>
  <c r="BO10" i="24050"/>
  <c r="CU210" i="23917"/>
  <c r="DL175" i="24050"/>
  <c r="ER181" i="23917"/>
  <c r="DX119" i="24050"/>
  <c r="FD125" i="23917"/>
  <c r="EY408" i="23917"/>
  <c r="DS15" i="24050"/>
  <c r="DR332" i="24050"/>
  <c r="EX338" i="23917"/>
  <c r="AK252" i="24050"/>
  <c r="BQ258" i="23917"/>
  <c r="AA257" i="24050"/>
  <c r="BG263" i="23917"/>
  <c r="CM246" i="24050"/>
  <c r="CM12" i="24050"/>
  <c r="DS252" i="23917"/>
  <c r="AA246" i="24050"/>
  <c r="AA12" i="24050"/>
  <c r="BG252" i="23917"/>
  <c r="CS175" i="24050"/>
  <c r="DY181" i="23917"/>
  <c r="D127" i="24050"/>
  <c r="AJ133" i="23917"/>
  <c r="CA127" i="24050"/>
  <c r="DG133" i="23917"/>
  <c r="CU88" i="24050"/>
  <c r="CU76" i="24050"/>
  <c r="EA94" i="23917"/>
  <c r="EA82" i="23917"/>
  <c r="CS316" i="24050"/>
  <c r="DY322" i="23917"/>
  <c r="F36" i="24068"/>
  <c r="S257" i="24050"/>
  <c r="AY263" i="23917"/>
  <c r="BW246" i="24050"/>
  <c r="BW12" i="24050"/>
  <c r="DC252" i="23917"/>
  <c r="BE210" i="24050"/>
  <c r="CK216" i="23917"/>
  <c r="DT140" i="24050"/>
  <c r="EZ146" i="23917"/>
  <c r="Q127" i="24050"/>
  <c r="AW133" i="23917"/>
  <c r="BG121" i="24050"/>
  <c r="BG8" i="24050"/>
  <c r="CM127" i="23917"/>
  <c r="CV117" i="24050"/>
  <c r="EB123" i="23917"/>
  <c r="R127" i="24050"/>
  <c r="AX133" i="23917"/>
  <c r="CG82" i="24050"/>
  <c r="DM88" i="23917"/>
  <c r="BT92" i="24050"/>
  <c r="CZ98" i="23917"/>
  <c r="AN92" i="24050"/>
  <c r="BT98" i="23917"/>
  <c r="H80" i="24050"/>
  <c r="AN86" i="23917"/>
  <c r="AS78" i="24050"/>
  <c r="BY84" i="23917"/>
  <c r="CP59" i="24050"/>
  <c r="CP24" i="24050"/>
  <c r="DV66" i="23917"/>
  <c r="DV27" i="23917"/>
  <c r="DM329" i="24050"/>
  <c r="ES335" i="23917"/>
  <c r="DK246" i="24050"/>
  <c r="DK12" i="24050"/>
  <c r="EQ252" i="23917"/>
  <c r="CU281" i="24050"/>
  <c r="EA287" i="23917"/>
  <c r="BF210" i="24050"/>
  <c r="CL216" i="23917"/>
  <c r="R210" i="24050"/>
  <c r="AX216" i="23917"/>
  <c r="EN154" i="24050"/>
  <c r="FT160" i="23917"/>
  <c r="G204" i="24050"/>
  <c r="G10" i="24050"/>
  <c r="AM210" i="23917"/>
  <c r="O5" i="24068"/>
  <c r="DW11" i="24050"/>
  <c r="DN287" i="24050"/>
  <c r="DN13" i="24050"/>
  <c r="ET293" i="23917"/>
  <c r="DP93" i="24050"/>
  <c r="EV99" i="23917"/>
  <c r="AK84" i="24050"/>
  <c r="BQ90" i="23917"/>
  <c r="DL79" i="24050"/>
  <c r="ER85" i="23917"/>
  <c r="DX257" i="24050"/>
  <c r="FD263" i="23917"/>
  <c r="DN332" i="24050"/>
  <c r="ET338" i="23917"/>
  <c r="J36" i="24068"/>
  <c r="DN195" i="24050"/>
  <c r="ET201" i="23917"/>
  <c r="DF170" i="24050"/>
  <c r="EL176" i="23917"/>
  <c r="AS81" i="24050"/>
  <c r="BY87" i="23917"/>
  <c r="DN79" i="24050"/>
  <c r="ET85" i="23917"/>
  <c r="DH397" i="24050"/>
  <c r="BT397" i="24050"/>
  <c r="J15" i="24068"/>
  <c r="AC170" i="24050"/>
  <c r="BI176" i="23917"/>
  <c r="BA84" i="24050"/>
  <c r="CG90" i="23917"/>
  <c r="DT78" i="24050"/>
  <c r="EZ84" i="23917"/>
  <c r="AK78" i="24050"/>
  <c r="BQ84" i="23917"/>
  <c r="BY252" i="24050"/>
  <c r="DE258" i="23917"/>
  <c r="AK210" i="24050"/>
  <c r="BQ216" i="23917"/>
  <c r="EF93" i="24050"/>
  <c r="FL99" i="23917"/>
  <c r="EB257" i="24050"/>
  <c r="FH263" i="23917"/>
  <c r="AK82" i="24050"/>
  <c r="BQ88" i="23917"/>
  <c r="ED175" i="24050"/>
  <c r="FJ181" i="23917"/>
  <c r="DH78" i="24050"/>
  <c r="EN84" i="23917"/>
  <c r="DN321" i="24050"/>
  <c r="ET327" i="23917"/>
  <c r="AM293" i="24050"/>
  <c r="BS299" i="23917"/>
  <c r="Y246" i="24050"/>
  <c r="Y12" i="24050"/>
  <c r="BE252" i="23917"/>
  <c r="BU399" i="24050"/>
  <c r="DI399" i="24050"/>
  <c r="DJ170" i="24050"/>
  <c r="EP176" i="23917"/>
  <c r="DX91" i="24050"/>
  <c r="FD97" i="23917"/>
  <c r="BJ399" i="24050"/>
  <c r="BJ400" i="24050" s="1"/>
  <c r="CP409" i="23917"/>
  <c r="AU293" i="24050"/>
  <c r="CA299" i="23917"/>
  <c r="M293" i="24050"/>
  <c r="AS299" i="23917"/>
  <c r="DL173" i="24050"/>
  <c r="ER179" i="23917"/>
  <c r="BG170" i="24050"/>
  <c r="CM176" i="23917"/>
  <c r="DV140" i="24050"/>
  <c r="FB146" i="23917"/>
  <c r="DD84" i="24050"/>
  <c r="EJ90" i="23917"/>
  <c r="CC81" i="24050"/>
  <c r="DI87" i="23917"/>
  <c r="R23" i="24068"/>
  <c r="EC287" i="24050"/>
  <c r="EC288" i="24050" s="1"/>
  <c r="EC13" i="24050"/>
  <c r="FI293" i="23917"/>
  <c r="FI294" i="23917" s="1"/>
  <c r="BU170" i="24050"/>
  <c r="DA176" i="23917"/>
  <c r="C121" i="24050"/>
  <c r="C8" i="24050"/>
  <c r="AI127" i="23917"/>
  <c r="AA170" i="24050"/>
  <c r="BG176" i="23917"/>
  <c r="DR140" i="24050"/>
  <c r="EX146" i="23917"/>
  <c r="S131" i="24050"/>
  <c r="AY137" i="23917"/>
  <c r="CW193" i="24050"/>
  <c r="EC199" i="23917"/>
  <c r="EF90" i="24050"/>
  <c r="FL96" i="23917"/>
  <c r="CS201" i="24050"/>
  <c r="DY207" i="23917"/>
  <c r="EH81" i="24050"/>
  <c r="FN87" i="23917"/>
  <c r="DF397" i="24050"/>
  <c r="BR397" i="24050"/>
  <c r="AQ293" i="24050"/>
  <c r="BW299" i="23917"/>
  <c r="DR79" i="24050"/>
  <c r="EX85" i="23917"/>
  <c r="I329" i="24050"/>
  <c r="AO335" i="23917"/>
  <c r="BM293" i="24050"/>
  <c r="CS299" i="23917"/>
  <c r="BI293" i="24050"/>
  <c r="CO299" i="23917"/>
  <c r="EB140" i="24050"/>
  <c r="FH146" i="23917"/>
  <c r="DT84" i="24050"/>
  <c r="EZ90" i="23917"/>
  <c r="DT79" i="24050"/>
  <c r="EZ85" i="23917"/>
  <c r="BM81" i="24050"/>
  <c r="CS87" i="23917"/>
  <c r="AA293" i="24050"/>
  <c r="BG299" i="23917"/>
  <c r="EI313" i="24050"/>
  <c r="FO319" i="23917"/>
  <c r="DN78" i="24050"/>
  <c r="ET84" i="23917"/>
  <c r="AI82" i="24050"/>
  <c r="BO88" i="23917"/>
  <c r="CS282" i="24050"/>
  <c r="DY288" i="23917"/>
  <c r="BA210" i="24050"/>
  <c r="CG216" i="23917"/>
  <c r="ED202" i="24050"/>
  <c r="FJ208" i="23917"/>
  <c r="EC399" i="24050"/>
  <c r="EC400" i="24050" s="1"/>
  <c r="CO399" i="24050"/>
  <c r="FI409" i="23917"/>
  <c r="G6" i="24068"/>
  <c r="DL257" i="24050"/>
  <c r="ER263" i="23917"/>
  <c r="BE127" i="24050"/>
  <c r="CK133" i="23917"/>
  <c r="K82" i="24050"/>
  <c r="AQ88" i="23917"/>
  <c r="CO329" i="24050"/>
  <c r="DU335" i="23917"/>
  <c r="AW252" i="24050"/>
  <c r="CC258" i="23917"/>
  <c r="DR131" i="24050"/>
  <c r="EX137" i="23917"/>
  <c r="DD82" i="24050"/>
  <c r="EJ88" i="23917"/>
  <c r="DT90" i="24050"/>
  <c r="EZ96" i="23917"/>
  <c r="Y323" i="24050"/>
  <c r="Y14" i="24050"/>
  <c r="BE329" i="23917"/>
  <c r="Q334" i="24050"/>
  <c r="AW340" i="23917"/>
  <c r="DD298" i="24050"/>
  <c r="EJ304" i="23917"/>
  <c r="DE399" i="24050"/>
  <c r="BQ399" i="24050"/>
  <c r="CC293" i="24050"/>
  <c r="DI299" i="23917"/>
  <c r="U293" i="24050"/>
  <c r="BA299" i="23917"/>
  <c r="CW311" i="24050"/>
  <c r="EC317" i="23917"/>
  <c r="DN213" i="24050"/>
  <c r="ET219" i="23917"/>
  <c r="BA170" i="24050"/>
  <c r="CG176" i="23917"/>
  <c r="CB92" i="24050"/>
  <c r="DH98" i="23917"/>
  <c r="P92" i="24050"/>
  <c r="AV98" i="23917"/>
  <c r="BB81" i="24050"/>
  <c r="CH87" i="23917"/>
  <c r="CE13" i="23917"/>
  <c r="BV13" i="23917"/>
  <c r="CZ158" i="24050"/>
  <c r="EF164" i="23917"/>
  <c r="AY9" i="23917"/>
  <c r="AP9" i="23917"/>
  <c r="E287" i="24050"/>
  <c r="E13" i="24050"/>
  <c r="AK293" i="23917"/>
  <c r="DN119" i="24050"/>
  <c r="ET125" i="23917"/>
  <c r="BS127" i="24050"/>
  <c r="CY133" i="23917"/>
  <c r="AF127" i="24050"/>
  <c r="BL133" i="23917"/>
  <c r="CG81" i="24050"/>
  <c r="DM87" i="23917"/>
  <c r="EF285" i="24050"/>
  <c r="FL291" i="23917"/>
  <c r="BK252" i="24050"/>
  <c r="CQ258" i="23917"/>
  <c r="E329" i="24050"/>
  <c r="AK335" i="23917"/>
  <c r="AE323" i="24050"/>
  <c r="AE14" i="24050"/>
  <c r="BK329" i="23917"/>
  <c r="E170" i="24050"/>
  <c r="AK176" i="23917"/>
  <c r="CI170" i="24050"/>
  <c r="DO176" i="23917"/>
  <c r="CP320" i="24050"/>
  <c r="DV326" i="23917"/>
  <c r="S258" i="23917"/>
  <c r="R258" i="23917"/>
  <c r="O204" i="24050"/>
  <c r="O10" i="24050"/>
  <c r="AU210" i="23917"/>
  <c r="EA323" i="24050"/>
  <c r="EA324" i="24050" s="1"/>
  <c r="EA14" i="24050"/>
  <c r="FG329" i="23917"/>
  <c r="FG330" i="23917" s="1"/>
  <c r="BD80" i="24050"/>
  <c r="CJ86" i="23917"/>
  <c r="DE80" i="24050"/>
  <c r="EK86" i="23917"/>
  <c r="CR31" i="24050"/>
  <c r="DX39" i="23917"/>
  <c r="EC329" i="24050"/>
  <c r="FI335" i="23917"/>
  <c r="CW194" i="24050"/>
  <c r="EC200" i="23917"/>
  <c r="DN131" i="24050"/>
  <c r="ET137" i="23917"/>
  <c r="BQ84" i="24050"/>
  <c r="CW90" i="23917"/>
  <c r="DJ78" i="24050"/>
  <c r="EP84" i="23917"/>
  <c r="AP81" i="24050"/>
  <c r="BV87" i="23917"/>
  <c r="EJ87" i="24050"/>
  <c r="FP93" i="23917"/>
  <c r="BW384" i="24050"/>
  <c r="DK384" i="24050"/>
  <c r="C293" i="24050"/>
  <c r="AI299" i="23917"/>
  <c r="EF202" i="24050"/>
  <c r="FL208" i="23917"/>
  <c r="CG170" i="24050"/>
  <c r="DM176" i="23917"/>
  <c r="DO121" i="24050"/>
  <c r="DO8" i="24050"/>
  <c r="EU127" i="23917"/>
  <c r="DQ81" i="24050"/>
  <c r="EW87" i="23917"/>
  <c r="F81" i="24050"/>
  <c r="AL87" i="23917"/>
  <c r="CN397" i="24050"/>
  <c r="EB397" i="24050"/>
  <c r="CX312" i="24050"/>
  <c r="ED318" i="23917"/>
  <c r="DN84" i="24050"/>
  <c r="ET90" i="23917"/>
  <c r="AX81" i="24050"/>
  <c r="CD87" i="23917"/>
  <c r="C43" i="23917"/>
  <c r="B43" i="23917"/>
  <c r="E293" i="24050"/>
  <c r="AK299" i="23917"/>
  <c r="BQ408" i="23917"/>
  <c r="AK399" i="24050" s="1"/>
  <c r="AK15" i="24050"/>
  <c r="BM121" i="24050"/>
  <c r="BM8" i="24050"/>
  <c r="CS127" i="23917"/>
  <c r="DL82" i="24050"/>
  <c r="ER88" i="23917"/>
  <c r="EG387" i="23917"/>
  <c r="EF387" i="23917"/>
  <c r="ED121" i="24050"/>
  <c r="ED8" i="24050"/>
  <c r="FJ127" i="23917"/>
  <c r="EB119" i="24050"/>
  <c r="FH125" i="23917"/>
  <c r="CF80" i="24050"/>
  <c r="DL86" i="23917"/>
  <c r="DQ257" i="24050"/>
  <c r="EW263" i="23917"/>
  <c r="AM246" i="24050"/>
  <c r="AM12" i="24050"/>
  <c r="BS252" i="23917"/>
  <c r="T127" i="24050"/>
  <c r="AZ133" i="23917"/>
  <c r="DN175" i="24050"/>
  <c r="ET181" i="23917"/>
  <c r="DW121" i="24050"/>
  <c r="DW122" i="24050" s="1"/>
  <c r="DW8" i="24050"/>
  <c r="FC127" i="23917"/>
  <c r="FC128" i="23917" s="1"/>
  <c r="CE204" i="24050"/>
  <c r="CE10" i="24050"/>
  <c r="DK210" i="23917"/>
  <c r="DV246" i="24050"/>
  <c r="DV12" i="24050"/>
  <c r="FB252" i="23917"/>
  <c r="DN82" i="24050"/>
  <c r="ET88" i="23917"/>
  <c r="BG323" i="24050"/>
  <c r="BG14" i="24050"/>
  <c r="CM329" i="23917"/>
  <c r="AK293" i="24050"/>
  <c r="BQ299" i="23917"/>
  <c r="DR285" i="24050"/>
  <c r="EX291" i="23917"/>
  <c r="BO121" i="24050"/>
  <c r="BO8" i="24050"/>
  <c r="CU127" i="23917"/>
  <c r="DI81" i="24050"/>
  <c r="EO87" i="23917"/>
  <c r="AN80" i="24050"/>
  <c r="BT86" i="23917"/>
  <c r="DX397" i="24050"/>
  <c r="CJ397" i="24050"/>
  <c r="EI297" i="24050"/>
  <c r="FO303" i="23917"/>
  <c r="AY246" i="24050"/>
  <c r="AY12" i="24050"/>
  <c r="CE252" i="23917"/>
  <c r="I210" i="24050"/>
  <c r="AO216" i="23917"/>
  <c r="AK127" i="24050"/>
  <c r="BQ133" i="23917"/>
  <c r="AT127" i="24050"/>
  <c r="BZ133" i="23917"/>
  <c r="F210" i="24050"/>
  <c r="AL216" i="23917"/>
  <c r="AW81" i="24050"/>
  <c r="CC87" i="23917"/>
  <c r="DP162" i="24050"/>
  <c r="EV168" i="23917"/>
  <c r="EB90" i="24050"/>
  <c r="FH96" i="23917"/>
  <c r="CK293" i="24050"/>
  <c r="DQ299" i="23917"/>
  <c r="W131" i="24050"/>
  <c r="BC137" i="23917"/>
  <c r="EF79" i="24050"/>
  <c r="FL85" i="23917"/>
  <c r="DR78" i="24050"/>
  <c r="EX84" i="23917"/>
  <c r="DP321" i="24050"/>
  <c r="EV327" i="23917"/>
  <c r="BU329" i="24050"/>
  <c r="DA335" i="23917"/>
  <c r="O293" i="24050"/>
  <c r="AU299" i="23917"/>
  <c r="BY81" i="24050"/>
  <c r="DE87" i="23917"/>
  <c r="DQ287" i="24050"/>
  <c r="DQ13" i="24050"/>
  <c r="EW293" i="23917"/>
  <c r="EL200" i="24050"/>
  <c r="FR206" i="23917"/>
  <c r="CG127" i="24050"/>
  <c r="DM133" i="23917"/>
  <c r="DR82" i="24050"/>
  <c r="EX88" i="23917"/>
  <c r="BQ397" i="24050"/>
  <c r="DE397" i="24050"/>
  <c r="K293" i="24050"/>
  <c r="AQ299" i="23917"/>
  <c r="CM170" i="24050"/>
  <c r="DS176" i="23917"/>
  <c r="AG293" i="24050"/>
  <c r="BM299" i="23917"/>
  <c r="AT399" i="24050"/>
  <c r="AT400" i="24050" s="1"/>
  <c r="BZ409" i="23917"/>
  <c r="DP257" i="24050"/>
  <c r="EV263" i="23917"/>
  <c r="DA214" i="24050"/>
  <c r="EG220" i="23917"/>
  <c r="X181" i="23917"/>
  <c r="Y181" i="23917"/>
  <c r="AG181" i="23917"/>
  <c r="ED79" i="24050"/>
  <c r="FJ85" i="23917"/>
  <c r="DH84" i="24050"/>
  <c r="EN90" i="23917"/>
  <c r="EH78" i="24050"/>
  <c r="FN84" i="23917"/>
  <c r="BX381" i="24050"/>
  <c r="DL381" i="24050"/>
  <c r="BY170" i="24050"/>
  <c r="DE176" i="23917"/>
  <c r="CI293" i="24050"/>
  <c r="DO299" i="23917"/>
  <c r="DL329" i="24050"/>
  <c r="ER335" i="23917"/>
  <c r="DF82" i="24050"/>
  <c r="EL88" i="23917"/>
  <c r="DJ334" i="24050"/>
  <c r="EP340" i="23917"/>
  <c r="O252" i="24050"/>
  <c r="AU258" i="23917"/>
  <c r="EF84" i="24050"/>
  <c r="FL90" i="23917"/>
  <c r="EG15" i="24050"/>
  <c r="FM408" i="23917"/>
  <c r="Q293" i="24050"/>
  <c r="AW299" i="23917"/>
  <c r="EL382" i="24050"/>
  <c r="CX382" i="24050"/>
  <c r="CG293" i="24050"/>
  <c r="DM299" i="23917"/>
  <c r="BU252" i="24050"/>
  <c r="DA258" i="23917"/>
  <c r="C246" i="24050"/>
  <c r="C12" i="24050"/>
  <c r="AI252" i="23917"/>
  <c r="AI293" i="24050"/>
  <c r="BO299" i="23917"/>
  <c r="EH285" i="24050"/>
  <c r="FN291" i="23917"/>
  <c r="DZ285" i="24050"/>
  <c r="FF291" i="23917"/>
  <c r="BU210" i="24050"/>
  <c r="DA216" i="23917"/>
  <c r="DL112" i="24050"/>
  <c r="ER118" i="23917"/>
  <c r="AY121" i="24050"/>
  <c r="AY8" i="24050"/>
  <c r="CE127" i="23917"/>
  <c r="BC121" i="24050"/>
  <c r="BC8" i="24050"/>
  <c r="CI127" i="23917"/>
  <c r="BO210" i="24050"/>
  <c r="CU216" i="23917"/>
  <c r="CH81" i="24050"/>
  <c r="DN87" i="23917"/>
  <c r="V81" i="24050"/>
  <c r="BB87" i="23917"/>
  <c r="AU408" i="23917"/>
  <c r="O399" i="24050" s="1"/>
  <c r="O15" i="24050"/>
  <c r="DH358" i="24050"/>
  <c r="EN364" i="23917"/>
  <c r="P252" i="24050"/>
  <c r="AV258" i="23917"/>
  <c r="CV278" i="24050"/>
  <c r="EB284" i="23917"/>
  <c r="BU10" i="23917"/>
  <c r="AM210" i="24050"/>
  <c r="BS216" i="23917"/>
  <c r="AM164" i="24050"/>
  <c r="AM9" i="24050"/>
  <c r="BS170" i="23917"/>
  <c r="BX92" i="24050"/>
  <c r="DD98" i="23917"/>
  <c r="AR92" i="24050"/>
  <c r="BX98" i="23917"/>
  <c r="L80" i="24050"/>
  <c r="AR86" i="23917"/>
  <c r="DI80" i="24050"/>
  <c r="EO86" i="23917"/>
  <c r="DF358" i="24050"/>
  <c r="EL364" i="23917"/>
  <c r="EE252" i="24050"/>
  <c r="FK258" i="23917"/>
  <c r="EC403" i="23917"/>
  <c r="EB403" i="23917"/>
  <c r="DZ246" i="24050"/>
  <c r="DZ12" i="24050"/>
  <c r="FF252" i="23917"/>
  <c r="DU210" i="24050"/>
  <c r="FA216" i="23917"/>
  <c r="CC210" i="24050"/>
  <c r="DI216" i="23917"/>
  <c r="EI215" i="24050"/>
  <c r="FO221" i="23917"/>
  <c r="BB170" i="24050"/>
  <c r="CH176" i="23917"/>
  <c r="CC121" i="24050"/>
  <c r="CC8" i="24050"/>
  <c r="DI127" i="23917"/>
  <c r="G121" i="24050"/>
  <c r="G8" i="24050"/>
  <c r="AM127" i="23917"/>
  <c r="EM152" i="24050"/>
  <c r="FS158" i="23917"/>
  <c r="N127" i="24050"/>
  <c r="AT133" i="23917"/>
  <c r="DN174" i="24050"/>
  <c r="ET180" i="23917"/>
  <c r="DY109" i="24050"/>
  <c r="FE115" i="23917"/>
  <c r="CD329" i="24050"/>
  <c r="DJ335" i="23917"/>
  <c r="CX310" i="24050"/>
  <c r="ED316" i="23917"/>
  <c r="DN244" i="24050"/>
  <c r="ET250" i="23917"/>
  <c r="DN255" i="24050"/>
  <c r="ET261" i="23917"/>
  <c r="CM15" i="23917"/>
  <c r="CX283" i="24050"/>
  <c r="ED289" i="23917"/>
  <c r="CV282" i="24050"/>
  <c r="EB288" i="23917"/>
  <c r="AE121" i="24050"/>
  <c r="AE8" i="24050"/>
  <c r="BK127" i="23917"/>
  <c r="ED246" i="24050"/>
  <c r="ED12" i="24050"/>
  <c r="FJ252" i="23917"/>
  <c r="BI84" i="24050"/>
  <c r="CO90" i="23917"/>
  <c r="BP80" i="24050"/>
  <c r="CV86" i="23917"/>
  <c r="AJ92" i="24050"/>
  <c r="BP98" i="23917"/>
  <c r="EG80" i="24050"/>
  <c r="FM86" i="23917"/>
  <c r="DV30" i="24050"/>
  <c r="FB38" i="23917"/>
  <c r="DR321" i="24050"/>
  <c r="EX327" i="23917"/>
  <c r="DH323" i="24050"/>
  <c r="DH14" i="24050"/>
  <c r="EN329" i="23917"/>
  <c r="AK329" i="24050"/>
  <c r="BQ335" i="23917"/>
  <c r="AW329" i="24050"/>
  <c r="CC335" i="23917"/>
  <c r="CE293" i="24050"/>
  <c r="DK299" i="23917"/>
  <c r="DV285" i="24050"/>
  <c r="FB291" i="23917"/>
  <c r="CI246" i="24050"/>
  <c r="CI12" i="24050"/>
  <c r="DO252" i="23917"/>
  <c r="AQ204" i="24050"/>
  <c r="AQ10" i="24050"/>
  <c r="BW210" i="23917"/>
  <c r="CV192" i="24050"/>
  <c r="EB198" i="23917"/>
  <c r="DU121" i="24050"/>
  <c r="DU122" i="24050" s="1"/>
  <c r="DU8" i="24050"/>
  <c r="FA127" i="23917"/>
  <c r="FA128" i="23917" s="1"/>
  <c r="EF140" i="24050"/>
  <c r="FL146" i="23917"/>
  <c r="CT160" i="24050"/>
  <c r="DZ166" i="23917"/>
  <c r="DG127" i="24050"/>
  <c r="EM133" i="23917"/>
  <c r="CI127" i="24050"/>
  <c r="DO133" i="23917"/>
  <c r="EJ159" i="24050"/>
  <c r="FP165" i="23917"/>
  <c r="EC80" i="24050"/>
  <c r="FI86" i="23917"/>
  <c r="DV79" i="24050"/>
  <c r="FB85" i="23917"/>
  <c r="CR334" i="24050"/>
  <c r="DX340" i="23917"/>
  <c r="CU297" i="24050"/>
  <c r="EA303" i="23917"/>
  <c r="DN285" i="24050"/>
  <c r="ET291" i="23917"/>
  <c r="DL293" i="24050"/>
  <c r="ER299" i="23917"/>
  <c r="EH204" i="24050"/>
  <c r="EH10" i="24050"/>
  <c r="FN210" i="23917"/>
  <c r="DL195" i="24050"/>
  <c r="ER201" i="23917"/>
  <c r="G334" i="24050"/>
  <c r="AM340" i="23917"/>
  <c r="CK323" i="24050"/>
  <c r="CK14" i="24050"/>
  <c r="DQ329" i="23917"/>
  <c r="B210" i="24050"/>
  <c r="AH216" i="23917"/>
  <c r="DT131" i="24050"/>
  <c r="EZ137" i="23917"/>
  <c r="DL84" i="24050"/>
  <c r="ER90" i="23917"/>
  <c r="CW44" i="24050"/>
  <c r="EC52" i="23917"/>
  <c r="CQ58" i="24050"/>
  <c r="DW65" i="23917"/>
  <c r="DO381" i="24050"/>
  <c r="CA381" i="24050"/>
  <c r="CY380" i="24050"/>
  <c r="L17" i="23917"/>
  <c r="L12" i="23917"/>
  <c r="EB246" i="24050"/>
  <c r="EB12" i="24050"/>
  <c r="FH252" i="23917"/>
  <c r="DV323" i="24050"/>
  <c r="DV14" i="24050"/>
  <c r="FB329" i="23917"/>
  <c r="F252" i="24050"/>
  <c r="AL258" i="23917"/>
  <c r="DE210" i="24050"/>
  <c r="EK216" i="23917"/>
  <c r="DV162" i="24050"/>
  <c r="FB168" i="23917"/>
  <c r="DL130" i="24050"/>
  <c r="ER136" i="23917"/>
  <c r="DN358" i="24050"/>
  <c r="ET364" i="23917"/>
  <c r="BI82" i="24050"/>
  <c r="CO88" i="23917"/>
  <c r="AK81" i="24050"/>
  <c r="BQ87" i="23917"/>
  <c r="DP79" i="24050"/>
  <c r="EV85" i="23917"/>
  <c r="BV81" i="24050"/>
  <c r="DB87" i="23917"/>
  <c r="J81" i="24050"/>
  <c r="AP87" i="23917"/>
  <c r="EI75" i="24050"/>
  <c r="FO81" i="23917"/>
  <c r="V329" i="24050"/>
  <c r="BB335" i="23917"/>
  <c r="AE293" i="24050"/>
  <c r="BK299" i="23917"/>
  <c r="AH252" i="24050"/>
  <c r="BN258" i="23917"/>
  <c r="CV111" i="24050"/>
  <c r="EB117" i="23917"/>
  <c r="BY127" i="24050"/>
  <c r="DE133" i="23917"/>
  <c r="BO164" i="24050"/>
  <c r="BO9" i="24050"/>
  <c r="CU170" i="23917"/>
  <c r="BL92" i="24050"/>
  <c r="CR98" i="23917"/>
  <c r="AF92" i="24050"/>
  <c r="BL98" i="23917"/>
  <c r="AL81" i="24050"/>
  <c r="BR87" i="23917"/>
  <c r="G87" i="23917"/>
  <c r="F87" i="23917"/>
  <c r="DZ90" i="24050"/>
  <c r="FF96" i="23917"/>
  <c r="BO323" i="24050"/>
  <c r="BO14" i="24050"/>
  <c r="CU329" i="23917"/>
  <c r="DI293" i="24050"/>
  <c r="EO299" i="23917"/>
  <c r="AG170" i="24050"/>
  <c r="BM176" i="23917"/>
  <c r="CY158" i="24050"/>
  <c r="EE164" i="23917"/>
  <c r="CW110" i="24050"/>
  <c r="EC116" i="23917"/>
  <c r="W121" i="24050"/>
  <c r="W8" i="24050"/>
  <c r="BC127" i="23917"/>
  <c r="CA82" i="24050"/>
  <c r="DG88" i="23917"/>
  <c r="CN92" i="24050"/>
  <c r="DT98" i="23917"/>
  <c r="BH92" i="24050"/>
  <c r="CN98" i="23917"/>
  <c r="AB92" i="24050"/>
  <c r="BH98" i="23917"/>
  <c r="DY92" i="24050"/>
  <c r="FE98" i="23917"/>
  <c r="CD81" i="24050"/>
  <c r="DJ87" i="23917"/>
  <c r="R81" i="24050"/>
  <c r="AX87" i="23917"/>
  <c r="C48" i="23917"/>
  <c r="B48" i="23917"/>
  <c r="BO408" i="23917"/>
  <c r="AI399" i="24050" s="1"/>
  <c r="AI15" i="24050"/>
  <c r="DN130" i="24050"/>
  <c r="ET136" i="23917"/>
  <c r="U210" i="24050"/>
  <c r="BA216" i="23917"/>
  <c r="CA170" i="24050"/>
  <c r="DG176" i="23917"/>
  <c r="CR15" i="24050"/>
  <c r="DX408" i="23917"/>
  <c r="DX409" i="23917" s="1"/>
  <c r="DC363" i="24050"/>
  <c r="EI369" i="23917"/>
  <c r="DK363" i="24050"/>
  <c r="EQ369" i="23917"/>
  <c r="CR281" i="24050"/>
  <c r="DX287" i="23917"/>
  <c r="DW323" i="24050"/>
  <c r="DW324" i="24050" s="1"/>
  <c r="DW14" i="24050"/>
  <c r="FC329" i="23917"/>
  <c r="FC330" i="23917" s="1"/>
  <c r="DQ334" i="24050"/>
  <c r="EW340" i="23917"/>
  <c r="EC127" i="24050"/>
  <c r="FI133" i="23917"/>
  <c r="CW159" i="24050"/>
  <c r="EC165" i="23917"/>
  <c r="DY210" i="24050"/>
  <c r="FE216" i="23917"/>
  <c r="CK121" i="24050"/>
  <c r="CK8" i="24050"/>
  <c r="DQ127" i="23917"/>
  <c r="AK121" i="24050"/>
  <c r="AK8" i="24050"/>
  <c r="BQ127" i="23917"/>
  <c r="AC121" i="24050"/>
  <c r="AC8" i="24050"/>
  <c r="BI127" i="23917"/>
  <c r="EE121" i="24050"/>
  <c r="EE122" i="24050" s="1"/>
  <c r="EE8" i="24050"/>
  <c r="FK127" i="23917"/>
  <c r="FK128" i="23917" s="1"/>
  <c r="BS246" i="24050"/>
  <c r="BS12" i="24050"/>
  <c r="CY252" i="23917"/>
  <c r="CY174" i="24050"/>
  <c r="EE180" i="23917"/>
  <c r="CR198" i="24050"/>
  <c r="DX204" i="23917"/>
  <c r="DR363" i="24050"/>
  <c r="EX369" i="23917"/>
  <c r="DF84" i="24050"/>
  <c r="EL90" i="23917"/>
  <c r="DQ92" i="24050"/>
  <c r="EW98" i="23917"/>
  <c r="G92" i="24050"/>
  <c r="AM98" i="23917"/>
  <c r="DS19" i="24050"/>
  <c r="EY22" i="23917"/>
  <c r="DH334" i="24050"/>
  <c r="EN340" i="23917"/>
  <c r="AL252" i="24050"/>
  <c r="BR258" i="23917"/>
  <c r="DR204" i="24050"/>
  <c r="DR10" i="24050"/>
  <c r="EX210" i="23917"/>
  <c r="AO210" i="24050"/>
  <c r="BU216" i="23917"/>
  <c r="AK170" i="24050"/>
  <c r="BQ176" i="23917"/>
  <c r="AI210" i="24050"/>
  <c r="BO216" i="23917"/>
  <c r="EB78" i="24050"/>
  <c r="FH84" i="23917"/>
  <c r="BO329" i="24050"/>
  <c r="CU335" i="23917"/>
  <c r="CU333" i="24050"/>
  <c r="EA339" i="23917"/>
  <c r="DP332" i="24050"/>
  <c r="EV338" i="23917"/>
  <c r="CG252" i="24050"/>
  <c r="DM258" i="23917"/>
  <c r="DS252" i="24050"/>
  <c r="EY258" i="23917"/>
  <c r="CT175" i="24050"/>
  <c r="DZ181" i="23917"/>
  <c r="AW170" i="24050"/>
  <c r="CC176" i="23917"/>
  <c r="DQ127" i="24050"/>
  <c r="EW133" i="23917"/>
  <c r="DU252" i="24050"/>
  <c r="FA258" i="23917"/>
  <c r="S133" i="23917"/>
  <c r="R133" i="23917"/>
  <c r="E121" i="24050"/>
  <c r="E8" i="24050"/>
  <c r="AK127" i="23917"/>
  <c r="DH81" i="24050"/>
  <c r="EN87" i="23917"/>
  <c r="CV88" i="24050"/>
  <c r="CV76" i="24050"/>
  <c r="EB94" i="23917"/>
  <c r="EB82" i="23917"/>
  <c r="DW408" i="23917"/>
  <c r="CQ15" i="24050"/>
  <c r="DF323" i="24050"/>
  <c r="DF14" i="24050"/>
  <c r="EL329" i="23917"/>
  <c r="AG299" i="23917"/>
  <c r="DI329" i="24050"/>
  <c r="EO335" i="23917"/>
  <c r="AT329" i="24050"/>
  <c r="BZ335" i="23917"/>
  <c r="CE246" i="24050"/>
  <c r="CE12" i="24050"/>
  <c r="DK252" i="23917"/>
  <c r="BV210" i="24050"/>
  <c r="DB216" i="23917"/>
  <c r="AW210" i="24050"/>
  <c r="CC216" i="23917"/>
  <c r="EG127" i="24050"/>
  <c r="FM133" i="23917"/>
  <c r="DS121" i="24050"/>
  <c r="DS8" i="24050"/>
  <c r="EY127" i="23917"/>
  <c r="AM121" i="24050"/>
  <c r="AM8" i="24050"/>
  <c r="BS127" i="23917"/>
  <c r="CU117" i="24050"/>
  <c r="EA123" i="23917"/>
  <c r="P44" i="24068"/>
  <c r="DY39" i="24050"/>
  <c r="FE47" i="23917"/>
  <c r="DU80" i="24050"/>
  <c r="FA86" i="23917"/>
  <c r="CU384" i="24050"/>
  <c r="EI384" i="24050"/>
  <c r="CQ281" i="24050"/>
  <c r="DW287" i="23917"/>
  <c r="G323" i="24050"/>
  <c r="G14" i="24050"/>
  <c r="AM329" i="23917"/>
  <c r="AL329" i="24050"/>
  <c r="BR335" i="23917"/>
  <c r="CT285" i="24050"/>
  <c r="DZ291" i="23917"/>
  <c r="DM252" i="24050"/>
  <c r="ES258" i="23917"/>
  <c r="AX252" i="24050"/>
  <c r="CD258" i="23917"/>
  <c r="BG204" i="24050"/>
  <c r="BG10" i="24050"/>
  <c r="CM210" i="23917"/>
  <c r="S204" i="24050"/>
  <c r="S10" i="24050"/>
  <c r="AY210" i="23917"/>
  <c r="EO154" i="24050"/>
  <c r="FU160" i="23917"/>
  <c r="DW170" i="24050"/>
  <c r="FC176" i="23917"/>
  <c r="EA127" i="24050"/>
  <c r="FG133" i="23917"/>
  <c r="CU116" i="24050"/>
  <c r="EA122" i="23917"/>
  <c r="DM293" i="24050"/>
  <c r="ES299" i="23917"/>
  <c r="ED287" i="24050"/>
  <c r="ED13" i="24050"/>
  <c r="FJ293" i="23917"/>
  <c r="DP175" i="24050"/>
  <c r="EV181" i="23917"/>
  <c r="CS278" i="24050"/>
  <c r="DY284" i="23917"/>
  <c r="AV399" i="24050"/>
  <c r="AV400" i="24050" s="1"/>
  <c r="CB409" i="23917"/>
  <c r="EF321" i="24050"/>
  <c r="FL327" i="23917"/>
  <c r="U257" i="24050"/>
  <c r="BA263" i="23917"/>
  <c r="CS199" i="24050"/>
  <c r="DY205" i="23917"/>
  <c r="Q257" i="24050"/>
  <c r="AW263" i="23917"/>
  <c r="Y293" i="24050"/>
  <c r="BE299" i="23917"/>
  <c r="BA127" i="24050"/>
  <c r="CG133" i="23917"/>
  <c r="CG78" i="24050"/>
  <c r="DM84" i="23917"/>
  <c r="DL131" i="24050"/>
  <c r="ER137" i="23917"/>
  <c r="CG84" i="24050"/>
  <c r="DM90" i="23917"/>
  <c r="DT91" i="24050"/>
  <c r="EZ97" i="23917"/>
  <c r="BI79" i="24050"/>
  <c r="CO85" i="23917"/>
  <c r="BS84" i="24050"/>
  <c r="CY90" i="23917"/>
  <c r="CS397" i="24050"/>
  <c r="EG397" i="24050"/>
  <c r="CO252" i="24050"/>
  <c r="DU258" i="23917"/>
  <c r="K257" i="24050"/>
  <c r="AQ263" i="23917"/>
  <c r="BE170" i="24050"/>
  <c r="CK176" i="23917"/>
  <c r="G82" i="24050"/>
  <c r="AM88" i="23917"/>
  <c r="AS79" i="24050"/>
  <c r="BY85" i="23917"/>
  <c r="DR84" i="24050"/>
  <c r="EX90" i="23917"/>
  <c r="EI383" i="24050"/>
  <c r="CU383" i="24050"/>
  <c r="BS293" i="24050"/>
  <c r="CY299" i="23917"/>
  <c r="J6" i="24068"/>
  <c r="AS84" i="24050"/>
  <c r="BY90" i="23917"/>
  <c r="BQ78" i="24050"/>
  <c r="CW84" i="23917"/>
  <c r="AO329" i="24050"/>
  <c r="BU335" i="23917"/>
  <c r="CA293" i="24050"/>
  <c r="DG299" i="23917"/>
  <c r="M252" i="24050"/>
  <c r="AS258" i="23917"/>
  <c r="BK164" i="24050"/>
  <c r="BK9" i="24050"/>
  <c r="CQ170" i="23917"/>
  <c r="DV119" i="24050"/>
  <c r="FB125" i="23917"/>
  <c r="DJ82" i="24050"/>
  <c r="EP88" i="23917"/>
  <c r="Q81" i="24050"/>
  <c r="AW87" i="23917"/>
  <c r="DF287" i="24050"/>
  <c r="DF13" i="24050"/>
  <c r="EL293" i="23917"/>
  <c r="DL214" i="24050"/>
  <c r="ER220" i="23917"/>
  <c r="CG210" i="24050"/>
  <c r="DM216" i="23917"/>
  <c r="BQ210" i="24050"/>
  <c r="CW216" i="23917"/>
  <c r="DU399" i="24050"/>
  <c r="DU400" i="24050" s="1"/>
  <c r="CG399" i="24050"/>
  <c r="R14" i="24068"/>
  <c r="R15" i="24068" s="1"/>
  <c r="EC246" i="24050"/>
  <c r="EC247" i="24050" s="1"/>
  <c r="EC12" i="24050"/>
  <c r="FI252" i="23917"/>
  <c r="FI253" i="23917" s="1"/>
  <c r="AM82" i="24050"/>
  <c r="BS88" i="23917"/>
  <c r="BC82" i="24050"/>
  <c r="CI88" i="23917"/>
  <c r="EF162" i="24050"/>
  <c r="FL168" i="23917"/>
  <c r="CX193" i="24050"/>
  <c r="ED199" i="23917"/>
  <c r="DL78" i="24050"/>
  <c r="ER84" i="23917"/>
  <c r="L6" i="24068"/>
  <c r="DK397" i="24050"/>
  <c r="BW397" i="24050"/>
  <c r="BW293" i="24050"/>
  <c r="DC299" i="23917"/>
  <c r="DM287" i="24050"/>
  <c r="DM13" i="24050"/>
  <c r="ES293" i="23917"/>
  <c r="DX78" i="24050"/>
  <c r="FD84" i="23917"/>
  <c r="DX244" i="24050"/>
  <c r="FD250" i="23917"/>
  <c r="BY293" i="24050"/>
  <c r="DE299" i="23917"/>
  <c r="P15" i="24068"/>
  <c r="BI170" i="24050"/>
  <c r="CO176" i="23917"/>
  <c r="E210" i="24050"/>
  <c r="AK216" i="23917"/>
  <c r="BA81" i="24050"/>
  <c r="CG87" i="23917"/>
  <c r="BS82" i="24050"/>
  <c r="CY88" i="23917"/>
  <c r="CY31" i="24050"/>
  <c r="EE39" i="23917"/>
  <c r="BG293" i="24050"/>
  <c r="CM299" i="23917"/>
  <c r="AO293" i="24050"/>
  <c r="BU299" i="23917"/>
  <c r="O246" i="24050"/>
  <c r="O12" i="24050"/>
  <c r="AU252" i="23917"/>
  <c r="BC210" i="24050"/>
  <c r="CI216" i="23917"/>
  <c r="DD93" i="24050"/>
  <c r="EJ99" i="23917"/>
  <c r="AS210" i="24050"/>
  <c r="BY216" i="23917"/>
  <c r="AW408" i="23917"/>
  <c r="Q399" i="24050" s="1"/>
  <c r="Q15" i="24050"/>
  <c r="EB244" i="24050"/>
  <c r="FH250" i="23917"/>
  <c r="AC81" i="24050"/>
  <c r="BI87" i="23917"/>
  <c r="AS329" i="24050"/>
  <c r="BY335" i="23917"/>
  <c r="DX287" i="24050"/>
  <c r="DX13" i="24050"/>
  <c r="FD293" i="23917"/>
  <c r="BM252" i="24050"/>
  <c r="CS258" i="23917"/>
  <c r="M170" i="24050"/>
  <c r="AS176" i="23917"/>
  <c r="AO121" i="24050"/>
  <c r="AO8" i="24050"/>
  <c r="BU127" i="23917"/>
  <c r="W293" i="24050"/>
  <c r="BC299" i="23917"/>
  <c r="AO170" i="24050"/>
  <c r="BU176" i="23917"/>
  <c r="CI210" i="24050"/>
  <c r="DO216" i="23917"/>
  <c r="DF127" i="24050"/>
  <c r="EL133" i="23917"/>
  <c r="CV241" i="24050"/>
  <c r="EB247" i="23917"/>
  <c r="CY234" i="24050"/>
  <c r="EE240" i="23917"/>
  <c r="CQ243" i="24050"/>
  <c r="DW249" i="23917"/>
  <c r="CP244" i="24050"/>
  <c r="DV250" i="23917"/>
  <c r="CU241" i="24050"/>
  <c r="EA247" i="23917"/>
  <c r="CR243" i="24050"/>
  <c r="DX249" i="23917"/>
  <c r="CU240" i="24050"/>
  <c r="EA246" i="23917"/>
  <c r="EJ242" i="24050"/>
  <c r="FP248" i="23917"/>
  <c r="EJ235" i="24050"/>
  <c r="FP241" i="23917"/>
  <c r="CW234" i="24050"/>
  <c r="EC240" i="23917"/>
  <c r="CX240" i="24050"/>
  <c r="ED246" i="23917"/>
  <c r="EI243" i="24050"/>
  <c r="FO249" i="23917"/>
  <c r="CV235" i="24050"/>
  <c r="EB241" i="23917"/>
  <c r="CY242" i="24050"/>
  <c r="EE248" i="23917"/>
  <c r="CV240" i="24050"/>
  <c r="EB246" i="23917"/>
  <c r="EI240" i="24050"/>
  <c r="FO246" i="23917"/>
  <c r="CU235" i="24050"/>
  <c r="EA241" i="23917"/>
  <c r="EI237" i="24050"/>
  <c r="FO243" i="23917"/>
  <c r="CQ241" i="24050"/>
  <c r="DW247" i="23917"/>
  <c r="CW242" i="24050"/>
  <c r="EC248" i="23917"/>
  <c r="CQ240" i="24050"/>
  <c r="DW246" i="23917"/>
  <c r="CT237" i="24050"/>
  <c r="DZ243" i="23917"/>
  <c r="EJ234" i="24050"/>
  <c r="FP240" i="23917"/>
  <c r="CS237" i="24050"/>
  <c r="DY243" i="23917"/>
  <c r="CS240" i="24050"/>
  <c r="DY246" i="23917"/>
  <c r="EI241" i="24050"/>
  <c r="FO247" i="23917"/>
  <c r="CS241" i="24050"/>
  <c r="DY247" i="23917"/>
  <c r="CV316" i="24050"/>
  <c r="EB322" i="23917"/>
  <c r="CU316" i="24050"/>
  <c r="EA322" i="23917"/>
  <c r="DU13" i="23917"/>
  <c r="BI13" i="23917"/>
  <c r="DI10" i="23917"/>
  <c r="AW8" i="23917"/>
  <c r="BN8" i="23917"/>
  <c r="BZ11" i="23917"/>
  <c r="EV387" i="23917"/>
  <c r="EX387" i="23917"/>
  <c r="EU390" i="23917"/>
  <c r="CD14" i="23917"/>
  <c r="FE14" i="23917"/>
  <c r="C13" i="23917"/>
  <c r="AG408" i="23917"/>
  <c r="DA9" i="23917"/>
  <c r="FI10" i="23917"/>
  <c r="AL9" i="23917"/>
  <c r="BV8" i="23917"/>
  <c r="CK9" i="23917"/>
  <c r="DO10" i="23917"/>
  <c r="K87" i="23917"/>
  <c r="H15" i="23917"/>
  <c r="AM390" i="23917"/>
  <c r="G384" i="24050" s="1"/>
  <c r="AO390" i="23917"/>
  <c r="I384" i="24050" s="1"/>
  <c r="EO15" i="23917"/>
  <c r="CB11" i="23917"/>
  <c r="BR11" i="23917"/>
  <c r="V8" i="23917"/>
  <c r="EO13" i="23917"/>
  <c r="AE12" i="23917"/>
  <c r="X216" i="23917"/>
  <c r="Y210" i="23917"/>
  <c r="AG210" i="23917"/>
  <c r="BS10" i="23917"/>
  <c r="S87" i="23917"/>
  <c r="BA15" i="23917"/>
  <c r="DI12" i="23917"/>
  <c r="CS12" i="23917"/>
  <c r="CC12" i="23917"/>
  <c r="BM12" i="23917"/>
  <c r="EU12" i="23917"/>
  <c r="BN15" i="23917"/>
  <c r="AC299" i="23917"/>
  <c r="BT11" i="23917"/>
  <c r="DU9" i="23917"/>
  <c r="EI15" i="23917"/>
  <c r="AO13" i="23917"/>
  <c r="BP11" i="23917"/>
  <c r="BN11" i="23917"/>
  <c r="BE9" i="23917"/>
  <c r="BH8" i="23917"/>
  <c r="EV19" i="23917"/>
  <c r="EX19" i="23917"/>
  <c r="DQ15" i="23917"/>
  <c r="CC13" i="23917"/>
  <c r="DM13" i="23917"/>
  <c r="DG10" i="23917"/>
  <c r="CZ17" i="23917"/>
  <c r="DO8" i="23917"/>
  <c r="FI15" i="23917"/>
  <c r="K13" i="23917"/>
  <c r="U12" i="23917"/>
  <c r="EY12" i="23917"/>
  <c r="DJ10" i="23917"/>
  <c r="DI9" i="23917"/>
  <c r="EW8" i="23917"/>
  <c r="DS9" i="23917"/>
  <c r="CF17" i="23917"/>
  <c r="CG8" i="23917"/>
  <c r="AJ8" i="23917"/>
  <c r="BM13" i="23917"/>
  <c r="DM11" i="24050"/>
  <c r="CM9" i="23917"/>
  <c r="FP390" i="23917"/>
  <c r="ES14" i="23917"/>
  <c r="DU12" i="23917"/>
  <c r="DE12" i="23917"/>
  <c r="CO12" i="23917"/>
  <c r="BY12" i="23917"/>
  <c r="DA13" i="23917"/>
  <c r="ES12" i="23917"/>
  <c r="AX10" i="23917"/>
  <c r="U9" i="23917"/>
  <c r="EL8" i="23917"/>
  <c r="BZ8" i="23917"/>
  <c r="DL11" i="23917"/>
  <c r="AL10" i="23917"/>
  <c r="BQ9" i="23917"/>
  <c r="N15" i="23917"/>
  <c r="BH11" i="23917"/>
  <c r="AQ9" i="23917"/>
  <c r="AU10" i="23917"/>
  <c r="DU14" i="23917"/>
  <c r="BI14" i="23917"/>
  <c r="AU13" i="23917"/>
  <c r="BD11" i="23917"/>
  <c r="CC10" i="23917"/>
  <c r="W9" i="23917"/>
  <c r="AL8" i="23917"/>
  <c r="Q14" i="23917"/>
  <c r="EM8" i="23917"/>
  <c r="BB12" i="23917"/>
  <c r="CK14" i="23917"/>
  <c r="CV17" i="23917"/>
  <c r="CW8" i="23917"/>
  <c r="BE13" i="23917"/>
  <c r="FQ402" i="23917"/>
  <c r="EE402" i="23917"/>
  <c r="AC15" i="23917"/>
  <c r="CA13" i="23917"/>
  <c r="FE12" i="23917"/>
  <c r="CJ11" i="23917"/>
  <c r="R10" i="23917"/>
  <c r="BY13" i="23917"/>
  <c r="CD11" i="23917"/>
  <c r="AS9" i="23917"/>
  <c r="ES8" i="23917"/>
  <c r="EP10" i="23917"/>
  <c r="AQ390" i="23917"/>
  <c r="K384" i="24050" s="1"/>
  <c r="AS390" i="23917"/>
  <c r="M384" i="24050" s="1"/>
  <c r="V15" i="23917"/>
  <c r="FT386" i="23917"/>
  <c r="CZ380" i="24050" s="1"/>
  <c r="FU386" i="23917"/>
  <c r="M12" i="23917"/>
  <c r="AP12" i="23917"/>
  <c r="AL12" i="23917"/>
  <c r="EK10" i="23917"/>
  <c r="BG9" i="23917"/>
  <c r="X9" i="23917"/>
  <c r="T11" i="23917"/>
  <c r="DT17" i="23917"/>
  <c r="CW14" i="23917"/>
  <c r="BQ14" i="23917"/>
  <c r="CS14" i="23917"/>
  <c r="BM14" i="23917"/>
  <c r="BB14" i="23917"/>
  <c r="DH11" i="23917"/>
  <c r="CX11" i="23917"/>
  <c r="Z10" i="23917"/>
  <c r="BZ9" i="23917"/>
  <c r="BS13" i="23917"/>
  <c r="DD11" i="23917"/>
  <c r="BX11" i="23917"/>
  <c r="AG9" i="23917"/>
  <c r="M15" i="23917"/>
  <c r="CT12" i="23917"/>
  <c r="BQ13" i="23917"/>
  <c r="EN12" i="23917"/>
  <c r="CP15" i="23917"/>
  <c r="DF14" i="23917"/>
  <c r="AB13" i="23917"/>
  <c r="CZ11" i="23917"/>
  <c r="AF8" i="23917"/>
  <c r="Q15" i="23917"/>
  <c r="CX14" i="23917"/>
  <c r="CH12" i="23917"/>
  <c r="CV11" i="23917"/>
  <c r="BV12" i="23917"/>
  <c r="DP8" i="23917"/>
  <c r="CY9" i="23917"/>
  <c r="CF11" i="23917"/>
  <c r="DI13" i="23917"/>
  <c r="O13" i="23917"/>
  <c r="CK10" i="23917"/>
  <c r="DO9" i="23917"/>
  <c r="Y146" i="23917"/>
  <c r="AG146" i="23917"/>
  <c r="ED389" i="23917"/>
  <c r="EC389" i="23917"/>
  <c r="EB390" i="23917"/>
  <c r="AS14" i="23917"/>
  <c r="BF12" i="23917"/>
  <c r="FA12" i="23917"/>
  <c r="AP11" i="23917"/>
  <c r="CY10" i="23917"/>
  <c r="DV15" i="23917"/>
  <c r="AO14" i="23917"/>
  <c r="CS13" i="23917"/>
  <c r="J12" i="23917"/>
  <c r="AI14" i="23917"/>
  <c r="DB12" i="23917"/>
  <c r="BY9" i="23917"/>
  <c r="BK10" i="23917"/>
  <c r="EY9" i="23917"/>
  <c r="Y127" i="23917"/>
  <c r="ES9" i="23917"/>
  <c r="CL8" i="23917"/>
  <c r="AX8" i="23917"/>
  <c r="AD14" i="23917"/>
  <c r="BR14" i="23917"/>
  <c r="CD12" i="23917"/>
  <c r="FR387" i="23917"/>
  <c r="FS387" i="23917"/>
  <c r="CY381" i="24050" s="1"/>
  <c r="DC13" i="23917"/>
  <c r="CO14" i="23917"/>
  <c r="CL12" i="23917"/>
  <c r="FA10" i="23917"/>
  <c r="EE394" i="23917"/>
  <c r="DS13" i="23917"/>
  <c r="Q35" i="24068"/>
  <c r="Q36" i="24068" s="1"/>
  <c r="BK13" i="23917"/>
  <c r="Z12" i="23917"/>
  <c r="CH8" i="23917"/>
  <c r="ET387" i="23917"/>
  <c r="ES390" i="23917"/>
  <c r="AG14" i="23917"/>
  <c r="CO9" i="23917"/>
  <c r="BA10" i="23917"/>
  <c r="AT8" i="23917"/>
  <c r="P7" i="24068"/>
  <c r="FM12" i="23917"/>
  <c r="AX11" i="23917"/>
  <c r="EU10" i="23917"/>
  <c r="BE15" i="23917"/>
  <c r="CP14" i="23917"/>
  <c r="CQ13" i="23917"/>
  <c r="AA258" i="23917"/>
  <c r="DN11" i="23917"/>
  <c r="BM10" i="23917"/>
  <c r="AS10" i="23917"/>
  <c r="BJ11" i="23917"/>
  <c r="AI390" i="23917"/>
  <c r="C384" i="24050" s="1"/>
  <c r="AT15" i="23917"/>
  <c r="AV12" i="23917"/>
  <c r="AQ13" i="23917"/>
  <c r="CK13" i="23917"/>
  <c r="DT11" i="23917"/>
  <c r="AA13" i="23917"/>
  <c r="BM9" i="23917"/>
  <c r="AR8" i="23917"/>
  <c r="DK11" i="24050"/>
  <c r="DE14" i="23917"/>
  <c r="BY14" i="23917"/>
  <c r="EK15" i="23917"/>
  <c r="G13" i="23917"/>
  <c r="Q12" i="23917"/>
  <c r="CE15" i="23917"/>
  <c r="DG13" i="23917"/>
  <c r="DP11" i="23917"/>
  <c r="CQ10" i="23917"/>
  <c r="DH8" i="23917"/>
  <c r="FG9" i="23917"/>
  <c r="AD10" i="23917"/>
  <c r="DG9" i="23917"/>
  <c r="CI13" i="23917"/>
  <c r="BG13" i="23917"/>
  <c r="I14" i="23917"/>
  <c r="AU12" i="23917"/>
  <c r="E15" i="23917"/>
  <c r="V11" i="23917"/>
  <c r="DN12" i="23917"/>
  <c r="BV10" i="23917"/>
  <c r="U133" i="23917"/>
  <c r="AC133" i="23917"/>
  <c r="BX17" i="23917"/>
  <c r="AK390" i="23917"/>
  <c r="E384" i="24050" s="1"/>
  <c r="FW396" i="23917"/>
  <c r="FV396" i="23917"/>
  <c r="BO14" i="23917"/>
  <c r="DO14" i="23917"/>
  <c r="EL11" i="23917"/>
  <c r="ED11" i="24050"/>
  <c r="AP8" i="23917"/>
  <c r="DG8" i="23917"/>
  <c r="DF17" i="23917"/>
  <c r="Z15" i="23917"/>
  <c r="DP14" i="23917"/>
  <c r="DA14" i="23917"/>
  <c r="BU14" i="23917"/>
  <c r="AK12" i="23917"/>
  <c r="CO13" i="23917"/>
  <c r="AH10" i="23917"/>
  <c r="AK10" i="23917"/>
  <c r="AD11" i="23917"/>
  <c r="W11" i="24050"/>
  <c r="AV14" i="23917"/>
  <c r="AC14" i="23917"/>
  <c r="FG12" i="23917"/>
  <c r="FA14" i="23917"/>
  <c r="EN13" i="23917"/>
  <c r="AO9" i="23917"/>
  <c r="BP17" i="23917"/>
  <c r="BQ8" i="23917"/>
  <c r="DL17" i="23917"/>
  <c r="DM8" i="23917"/>
  <c r="AD8" i="23917"/>
  <c r="ER390" i="23917"/>
  <c r="DB14" i="23917"/>
  <c r="DQ12" i="23917"/>
  <c r="DA12" i="23917"/>
  <c r="CK12" i="23917"/>
  <c r="BU12" i="23917"/>
  <c r="BN12" i="23917"/>
  <c r="AK9" i="23917"/>
  <c r="CA10" i="23917"/>
  <c r="BT17" i="23917"/>
  <c r="BB9" i="23917"/>
  <c r="AD15" i="23917"/>
  <c r="CY13" i="23917"/>
  <c r="T35" i="24068"/>
  <c r="T36" i="24068" s="1"/>
  <c r="AY13" i="23917"/>
  <c r="Y252" i="23917"/>
  <c r="X258" i="23917"/>
  <c r="AG252" i="23917"/>
  <c r="C11" i="24050"/>
  <c r="CS9" i="23917"/>
  <c r="CW13" i="23917"/>
  <c r="I11" i="24050"/>
  <c r="BI9" i="23917"/>
  <c r="CY8" i="23917"/>
  <c r="CX17" i="23917"/>
  <c r="CR8" i="23917"/>
  <c r="AE87" i="23917"/>
  <c r="BZ15" i="23917"/>
  <c r="DQ9" i="23917"/>
  <c r="FI8" i="23917"/>
  <c r="FE10" i="23917"/>
  <c r="R15" i="23917"/>
  <c r="U15" i="23917"/>
  <c r="BV14" i="23917"/>
  <c r="BA13" i="23917"/>
  <c r="AE13" i="23917"/>
  <c r="DJ11" i="23917"/>
  <c r="BA9" i="23917"/>
  <c r="CE8" i="23917"/>
  <c r="AZ8" i="23917"/>
  <c r="EA390" i="23917"/>
  <c r="E13" i="23917"/>
  <c r="EN9" i="23917"/>
  <c r="R8" i="23917"/>
  <c r="EP9" i="23917"/>
  <c r="EL9" i="23917"/>
  <c r="J15" i="23917"/>
  <c r="U14" i="23917"/>
  <c r="DB10" i="23917"/>
  <c r="DE8" i="23917"/>
  <c r="EL13" i="23917"/>
  <c r="BU9" i="23917"/>
  <c r="EP11" i="23917"/>
  <c r="CI10" i="23917"/>
  <c r="FI13" i="23917"/>
  <c r="CR11" i="23917"/>
  <c r="EY14" i="23917"/>
  <c r="AO12" i="23917"/>
  <c r="AX14" i="23917"/>
  <c r="EF393" i="23917"/>
  <c r="EE393" i="23917"/>
  <c r="T13" i="23917"/>
  <c r="DJ14" i="23917"/>
  <c r="B15" i="23917"/>
  <c r="EM14" i="23917"/>
  <c r="E14" i="23917"/>
  <c r="CS10" i="23917"/>
  <c r="T8" i="23917"/>
  <c r="Y14" i="23917"/>
  <c r="CC9" i="23917"/>
  <c r="CN11" i="23917"/>
  <c r="AS12" i="23917"/>
  <c r="BC13" i="23917"/>
  <c r="FY395" i="23917"/>
  <c r="FX395" i="23917"/>
  <c r="BO10" i="23917"/>
  <c r="AM13" i="23917"/>
  <c r="AL11" i="23917"/>
  <c r="FU388" i="23917"/>
  <c r="DA382" i="24050" s="1"/>
  <c r="FT388" i="23917"/>
  <c r="CZ382" i="24050" s="1"/>
  <c r="AC12" i="23917"/>
  <c r="BL11" i="23917"/>
  <c r="CH11" i="23917"/>
  <c r="FG10" i="23917"/>
  <c r="M14" i="23917"/>
  <c r="FE13" i="23917"/>
  <c r="BW13" i="23917"/>
  <c r="BR15" i="23917"/>
  <c r="DQ13" i="23917"/>
  <c r="AB11" i="23917"/>
  <c r="CT11" i="23917"/>
  <c r="CJ17" i="23917"/>
  <c r="CK8" i="23917"/>
  <c r="BR9" i="23917"/>
  <c r="FK12" i="23917"/>
  <c r="AX12" i="23917"/>
  <c r="AS13" i="23917"/>
  <c r="EP12" i="23917"/>
  <c r="N17" i="23917"/>
  <c r="O11" i="23917"/>
  <c r="AC9" i="23917"/>
  <c r="DF11" i="23917"/>
  <c r="CH9" i="23917"/>
  <c r="BL8" i="23917"/>
  <c r="DO13" i="23917"/>
  <c r="CM13" i="23917"/>
  <c r="CG9" i="23917"/>
  <c r="DR11" i="23917"/>
  <c r="BF8" i="23917"/>
  <c r="EE397" i="23917"/>
  <c r="DM12" i="23917"/>
  <c r="CW12" i="23917"/>
  <c r="CG12" i="23917"/>
  <c r="BQ12" i="23917"/>
  <c r="R12" i="23917"/>
  <c r="CU13" i="23917"/>
  <c r="EN11" i="23917"/>
  <c r="DB11" i="23917"/>
  <c r="FA13" i="23917"/>
  <c r="DE13" i="23917"/>
  <c r="DE9" i="23917"/>
  <c r="FI14" i="23917"/>
  <c r="FE15" i="23917"/>
  <c r="P17" i="23917"/>
  <c r="AZ11" i="23917"/>
  <c r="DM14" i="23917"/>
  <c r="CG14" i="23917"/>
  <c r="FK14" i="23917"/>
  <c r="DI14" i="23917"/>
  <c r="CC14" i="23917"/>
  <c r="AK14" i="23917"/>
  <c r="AV11" i="23917"/>
  <c r="AO10" i="23917"/>
  <c r="CW9" i="23917"/>
  <c r="FC10" i="23917"/>
  <c r="FI9" i="23917"/>
  <c r="AA216" i="23917"/>
  <c r="M11" i="24050"/>
  <c r="X13" i="23917"/>
  <c r="AH11" i="23917"/>
  <c r="BB8" i="23917"/>
  <c r="AE9" i="23917"/>
  <c r="BA14" i="23917"/>
  <c r="AN11" i="23917"/>
  <c r="BG10" i="23917"/>
  <c r="AG133" i="23917"/>
  <c r="CQ8" i="23917"/>
  <c r="BO9" i="23917"/>
  <c r="O35" i="24068"/>
  <c r="P36" i="24068" s="1"/>
  <c r="S13" i="23917"/>
  <c r="AJ11" i="23917"/>
  <c r="FK10" i="23917"/>
  <c r="W10" i="23917"/>
  <c r="R9" i="23917"/>
  <c r="AW13" i="23917"/>
  <c r="CG13" i="23917"/>
  <c r="EW10" i="23917"/>
  <c r="DM9" i="23917"/>
  <c r="BF11" i="23917"/>
  <c r="CP11" i="23917"/>
  <c r="EN15" i="23917"/>
  <c r="CH15" i="23917"/>
  <c r="BO13" i="23917"/>
  <c r="DR12" i="23917"/>
  <c r="AW9" i="23917"/>
  <c r="BD17" i="23917"/>
  <c r="BE8" i="23917"/>
  <c r="EK14" i="23917"/>
  <c r="BZ14" i="23917"/>
  <c r="DJ12" i="23917"/>
  <c r="AP10" i="23917"/>
  <c r="FM8" i="23917"/>
  <c r="CL11" i="23917"/>
  <c r="AT11" i="23917"/>
  <c r="BR8" i="23917"/>
  <c r="DD17" i="23917"/>
  <c r="X15" i="23917"/>
  <c r="EW13" i="23917"/>
  <c r="AE335" i="23917"/>
  <c r="BU13" i="23917"/>
  <c r="CL10" i="23917"/>
  <c r="FC9" i="23917"/>
  <c r="BV11" i="23917"/>
  <c r="FG8" i="23917"/>
  <c r="BC10" i="23917"/>
  <c r="GL384" i="23916" l="1"/>
  <c r="GL145" i="23916"/>
  <c r="GM142" i="23916"/>
  <c r="GL155" i="23916"/>
  <c r="GM155" i="23916" s="1"/>
  <c r="GN142" i="23916"/>
  <c r="GN42" i="23916"/>
  <c r="GN45" i="23916"/>
  <c r="GO39" i="23916"/>
  <c r="GL148" i="23916"/>
  <c r="GM45" i="23916"/>
  <c r="GP28" i="23916"/>
  <c r="GQ28" i="23916" s="1"/>
  <c r="GQ25" i="23916"/>
  <c r="GP27" i="23916"/>
  <c r="GQ27" i="23916" s="1"/>
  <c r="GM42" i="23916"/>
  <c r="GL48" i="23916"/>
  <c r="FQ397" i="23917"/>
  <c r="EK391" i="24050" s="1"/>
  <c r="BK12" i="23917"/>
  <c r="I127" i="24050"/>
  <c r="EV403" i="23917"/>
  <c r="ET403" i="23917"/>
  <c r="ES403" i="23917"/>
  <c r="DS82" i="24050"/>
  <c r="EY88" i="23917"/>
  <c r="DX75" i="24050"/>
  <c r="FD81" i="23917"/>
  <c r="DQ391" i="24050"/>
  <c r="CC391" i="24050"/>
  <c r="ED136" i="23917"/>
  <c r="CX130" i="24050"/>
  <c r="AN408" i="23917"/>
  <c r="H399" i="24050" s="1"/>
  <c r="H15" i="24050"/>
  <c r="CB391" i="24050"/>
  <c r="DP391" i="24050"/>
  <c r="DV75" i="24050"/>
  <c r="FB81" i="23917"/>
  <c r="FE89" i="23917"/>
  <c r="DY83" i="24050"/>
  <c r="EB75" i="24050"/>
  <c r="FH81" i="23917"/>
  <c r="CF391" i="24050"/>
  <c r="DT391" i="24050"/>
  <c r="CQ9" i="23917"/>
  <c r="CP17" i="23917"/>
  <c r="DP11" i="24050"/>
  <c r="FL15" i="23917"/>
  <c r="AU9" i="23917"/>
  <c r="BZ391" i="24050"/>
  <c r="DN391" i="24050"/>
  <c r="DT75" i="24050"/>
  <c r="EZ81" i="23917"/>
  <c r="R15" i="24050"/>
  <c r="AX408" i="23917"/>
  <c r="R399" i="24050" s="1"/>
  <c r="DZ75" i="24050"/>
  <c r="FF81" i="23917"/>
  <c r="FG88" i="23917"/>
  <c r="EA82" i="24050"/>
  <c r="DR391" i="24050"/>
  <c r="CD391" i="24050"/>
  <c r="R6" i="24068"/>
  <c r="R36" i="24068"/>
  <c r="EC136" i="23917"/>
  <c r="CW130" i="24050"/>
  <c r="DM391" i="24050"/>
  <c r="BY391" i="24050"/>
  <c r="DW82" i="24050"/>
  <c r="FC88" i="23917"/>
  <c r="FJ81" i="23917"/>
  <c r="ED75" i="24050"/>
  <c r="EZ403" i="23917"/>
  <c r="EX403" i="23917"/>
  <c r="EW403" i="23917"/>
  <c r="BB408" i="23917"/>
  <c r="V399" i="24050" s="1"/>
  <c r="V15" i="24050"/>
  <c r="CW396" i="24050"/>
  <c r="EK396" i="24050"/>
  <c r="ED92" i="24050"/>
  <c r="FJ98" i="23917"/>
  <c r="DT329" i="24050"/>
  <c r="EZ335" i="23917"/>
  <c r="CB17" i="23917"/>
  <c r="DN170" i="24050"/>
  <c r="ET176" i="23917"/>
  <c r="CV317" i="24050"/>
  <c r="EB323" i="23917"/>
  <c r="EL31" i="24050"/>
  <c r="FR39" i="23917"/>
  <c r="CY275" i="24050"/>
  <c r="EE281" i="23917"/>
  <c r="DM210" i="24050"/>
  <c r="ES216" i="23917"/>
  <c r="CZ311" i="24050"/>
  <c r="EF317" i="23917"/>
  <c r="EI281" i="24050"/>
  <c r="FO287" i="23917"/>
  <c r="DT121" i="24050"/>
  <c r="DT8" i="24050"/>
  <c r="EZ127" i="23917"/>
  <c r="Y329" i="24050"/>
  <c r="BE335" i="23917"/>
  <c r="DR127" i="24050"/>
  <c r="EX133" i="23917"/>
  <c r="S81" i="24050"/>
  <c r="AY87" i="23917"/>
  <c r="EG329" i="24050"/>
  <c r="FM335" i="23917"/>
  <c r="EQ408" i="23917"/>
  <c r="DK15" i="24050"/>
  <c r="DU170" i="24050"/>
  <c r="FA176" i="23917"/>
  <c r="CS31" i="24050"/>
  <c r="DY39" i="23917"/>
  <c r="DH127" i="24050"/>
  <c r="EN133" i="23917"/>
  <c r="CV198" i="24050"/>
  <c r="EB204" i="23917"/>
  <c r="DZ109" i="24050"/>
  <c r="FF115" i="23917"/>
  <c r="BY384" i="24050"/>
  <c r="DM384" i="24050"/>
  <c r="CW116" i="24050"/>
  <c r="EC122" i="23917"/>
  <c r="ER14" i="23917"/>
  <c r="EO14" i="23917"/>
  <c r="DN17" i="23917"/>
  <c r="DT19" i="24050"/>
  <c r="EZ22" i="23917"/>
  <c r="DZ210" i="24050"/>
  <c r="FF216" i="23917"/>
  <c r="AY210" i="24050"/>
  <c r="CE216" i="23917"/>
  <c r="DN293" i="24050"/>
  <c r="ET299" i="23917"/>
  <c r="DJ293" i="24050"/>
  <c r="EP299" i="23917"/>
  <c r="G252" i="24050"/>
  <c r="AM258" i="23917"/>
  <c r="G329" i="24050"/>
  <c r="AM335" i="23917"/>
  <c r="F17" i="23917"/>
  <c r="F15" i="23917"/>
  <c r="CQ59" i="24050"/>
  <c r="CQ24" i="24050"/>
  <c r="DW66" i="23917"/>
  <c r="DW27" i="23917"/>
  <c r="BU80" i="24050"/>
  <c r="DA86" i="23917"/>
  <c r="T5" i="24068"/>
  <c r="EG11" i="24050"/>
  <c r="CS161" i="24050"/>
  <c r="DY167" i="23917"/>
  <c r="DT246" i="24050"/>
  <c r="DT12" i="24050"/>
  <c r="EZ252" i="23917"/>
  <c r="DP323" i="24050"/>
  <c r="DP14" i="24050"/>
  <c r="EV329" i="23917"/>
  <c r="CG92" i="24050"/>
  <c r="DM98" i="23917"/>
  <c r="EB293" i="24050"/>
  <c r="FH299" i="23917"/>
  <c r="EF121" i="24050"/>
  <c r="EF8" i="24050"/>
  <c r="FL127" i="23917"/>
  <c r="CK127" i="24050"/>
  <c r="DQ133" i="23917"/>
  <c r="DT334" i="24050"/>
  <c r="EZ340" i="23917"/>
  <c r="DX323" i="24050"/>
  <c r="DX14" i="24050"/>
  <c r="FD329" i="23917"/>
  <c r="O170" i="24050"/>
  <c r="AU176" i="23917"/>
  <c r="AA329" i="24050"/>
  <c r="BG335" i="23917"/>
  <c r="AU170" i="24050"/>
  <c r="CA176" i="23917"/>
  <c r="EJ75" i="24050"/>
  <c r="FP81" i="23917"/>
  <c r="DF293" i="24050"/>
  <c r="EL299" i="23917"/>
  <c r="DV329" i="24050"/>
  <c r="FB335" i="23917"/>
  <c r="CK92" i="24050"/>
  <c r="DQ98" i="23917"/>
  <c r="EF170" i="24050"/>
  <c r="FL176" i="23917"/>
  <c r="CW391" i="24050"/>
  <c r="DK170" i="24050"/>
  <c r="EQ176" i="23917"/>
  <c r="AE252" i="24050"/>
  <c r="BK258" i="23917"/>
  <c r="EK275" i="24050"/>
  <c r="FQ281" i="23917"/>
  <c r="CX282" i="24050"/>
  <c r="ED288" i="23917"/>
  <c r="CU75" i="24050"/>
  <c r="EA81" i="23917"/>
  <c r="D332" i="23917"/>
  <c r="D75" i="23917"/>
  <c r="G210" i="24050"/>
  <c r="AM216" i="23917"/>
  <c r="DJ222" i="24050"/>
  <c r="EP228" i="23917"/>
  <c r="BO127" i="24050"/>
  <c r="CU133" i="23917"/>
  <c r="DS127" i="24050"/>
  <c r="EY133" i="23917"/>
  <c r="EI298" i="24050"/>
  <c r="FO304" i="23917"/>
  <c r="BG329" i="24050"/>
  <c r="CM335" i="23917"/>
  <c r="DV252" i="24050"/>
  <c r="FB258" i="23917"/>
  <c r="CR285" i="24050"/>
  <c r="DX291" i="23917"/>
  <c r="DP252" i="24050"/>
  <c r="EV258" i="23917"/>
  <c r="EH210" i="24050"/>
  <c r="FN216" i="23917"/>
  <c r="DL384" i="24050"/>
  <c r="BX384" i="24050"/>
  <c r="BW81" i="24050"/>
  <c r="DC87" i="23917"/>
  <c r="EX9" i="23917"/>
  <c r="EU9" i="23917"/>
  <c r="ED210" i="24050"/>
  <c r="FJ216" i="23917"/>
  <c r="CZ194" i="24050"/>
  <c r="EF200" i="23917"/>
  <c r="CS58" i="24050"/>
  <c r="DY65" i="23917"/>
  <c r="FN9" i="23917"/>
  <c r="FK9" i="23917"/>
  <c r="CP321" i="24050"/>
  <c r="DV327" i="23917"/>
  <c r="DJ127" i="24050"/>
  <c r="EP133" i="23917"/>
  <c r="CV160" i="24050"/>
  <c r="EB166" i="23917"/>
  <c r="BJ17" i="23917"/>
  <c r="BJ14" i="23917"/>
  <c r="EK310" i="24050"/>
  <c r="FQ316" i="23917"/>
  <c r="CX313" i="24050"/>
  <c r="ED319" i="23917"/>
  <c r="EK44" i="24050"/>
  <c r="FQ52" i="23917"/>
  <c r="EO152" i="24050"/>
  <c r="FU158" i="23917"/>
  <c r="CW256" i="24050"/>
  <c r="EC262" i="23917"/>
  <c r="AI81" i="24050"/>
  <c r="BO87" i="23917"/>
  <c r="EI175" i="24050"/>
  <c r="FO181" i="23917"/>
  <c r="CZ276" i="24050"/>
  <c r="EF282" i="23917"/>
  <c r="EG293" i="24050"/>
  <c r="FM299" i="23917"/>
  <c r="C252" i="24050"/>
  <c r="AI258" i="23917"/>
  <c r="CV75" i="24050"/>
  <c r="EB81" i="23917"/>
  <c r="DF92" i="24050"/>
  <c r="EL98" i="23917"/>
  <c r="CX192" i="24050"/>
  <c r="ED198" i="23917"/>
  <c r="DY130" i="24050"/>
  <c r="FE136" i="23917"/>
  <c r="EB323" i="24050"/>
  <c r="EB14" i="24050"/>
  <c r="FH329" i="23917"/>
  <c r="BH326" i="24050"/>
  <c r="CN332" i="23917"/>
  <c r="CN75" i="23917"/>
  <c r="CT161" i="24050"/>
  <c r="DZ167" i="23917"/>
  <c r="DX121" i="24050"/>
  <c r="DX8" i="24050"/>
  <c r="FD127" i="23917"/>
  <c r="DR210" i="24050"/>
  <c r="EX216" i="23917"/>
  <c r="DG12" i="23917"/>
  <c r="CX12" i="23917"/>
  <c r="CP204" i="24050"/>
  <c r="CP205" i="24050" s="1"/>
  <c r="CP10" i="24050"/>
  <c r="DV210" i="23917"/>
  <c r="DV211" i="23917" s="1"/>
  <c r="EJ316" i="24050"/>
  <c r="FP322" i="23917"/>
  <c r="AQ127" i="24050"/>
  <c r="BW133" i="23917"/>
  <c r="J15" i="24050"/>
  <c r="AP408" i="23917"/>
  <c r="J399" i="24050" s="1"/>
  <c r="ER13" i="23917"/>
  <c r="EE92" i="24050"/>
  <c r="FK98" i="23917"/>
  <c r="CT334" i="24050"/>
  <c r="DZ340" i="23917"/>
  <c r="DL92" i="24050"/>
  <c r="ER98" i="23917"/>
  <c r="EO277" i="24050"/>
  <c r="FU283" i="23917"/>
  <c r="CX116" i="24050"/>
  <c r="ED122" i="23917"/>
  <c r="CU285" i="24050"/>
  <c r="EA291" i="23917"/>
  <c r="BH249" i="24050"/>
  <c r="CN255" i="23917"/>
  <c r="CN73" i="23917"/>
  <c r="CQ285" i="24050"/>
  <c r="DW291" i="23917"/>
  <c r="FO408" i="23917"/>
  <c r="EI15" i="24050"/>
  <c r="CX88" i="24050"/>
  <c r="CX76" i="24050"/>
  <c r="ED94" i="23917"/>
  <c r="ED82" i="23917"/>
  <c r="CU317" i="24050"/>
  <c r="EA323" i="23917"/>
  <c r="DR246" i="24050"/>
  <c r="DR12" i="24050"/>
  <c r="EX252" i="23917"/>
  <c r="CG80" i="24050"/>
  <c r="DM86" i="23917"/>
  <c r="CY159" i="24050"/>
  <c r="EE165" i="23917"/>
  <c r="AE81" i="24050"/>
  <c r="BK87" i="23917"/>
  <c r="AG80" i="24050"/>
  <c r="BM86" i="23917"/>
  <c r="DP121" i="24050"/>
  <c r="DP8" i="24050"/>
  <c r="EV127" i="23917"/>
  <c r="EF329" i="24050"/>
  <c r="FL335" i="23917"/>
  <c r="DR381" i="24050"/>
  <c r="CD381" i="24050"/>
  <c r="Y92" i="24050"/>
  <c r="BE98" i="23917"/>
  <c r="CY193" i="24050"/>
  <c r="EE199" i="23917"/>
  <c r="EC252" i="24050"/>
  <c r="FI258" i="23917"/>
  <c r="AU329" i="24050"/>
  <c r="CA335" i="23917"/>
  <c r="DZ92" i="24050"/>
  <c r="FF98" i="23917"/>
  <c r="W329" i="24050"/>
  <c r="BC335" i="23917"/>
  <c r="O127" i="24050"/>
  <c r="AU133" i="23917"/>
  <c r="DJ80" i="24050"/>
  <c r="EP86" i="23917"/>
  <c r="BY92" i="24050"/>
  <c r="DE98" i="23917"/>
  <c r="Q252" i="24050"/>
  <c r="AW258" i="23917"/>
  <c r="DT287" i="24050"/>
  <c r="DT13" i="24050"/>
  <c r="EZ293" i="23917"/>
  <c r="Q92" i="24050"/>
  <c r="AW98" i="23917"/>
  <c r="BL15" i="23917"/>
  <c r="BM15" i="23917"/>
  <c r="BU15" i="23917"/>
  <c r="DN329" i="24050"/>
  <c r="ET335" i="23917"/>
  <c r="EF210" i="24050"/>
  <c r="FL216" i="23917"/>
  <c r="BI80" i="24050"/>
  <c r="CO86" i="23917"/>
  <c r="DJ363" i="24050"/>
  <c r="EP369" i="23917"/>
  <c r="AQ210" i="24050"/>
  <c r="BW216" i="23917"/>
  <c r="D17" i="23917"/>
  <c r="BQ92" i="24050"/>
  <c r="CW98" i="23917"/>
  <c r="CA81" i="24050"/>
  <c r="DG87" i="23917"/>
  <c r="DN121" i="24050"/>
  <c r="DN8" i="24050"/>
  <c r="ET127" i="23917"/>
  <c r="C332" i="23917"/>
  <c r="C75" i="23917"/>
  <c r="I92" i="24050"/>
  <c r="AO98" i="23917"/>
  <c r="DF329" i="24050"/>
  <c r="EL335" i="23917"/>
  <c r="EJ173" i="24050"/>
  <c r="FP179" i="23917"/>
  <c r="G332" i="23917"/>
  <c r="G75" i="23917"/>
  <c r="AW92" i="24050"/>
  <c r="CC98" i="23917"/>
  <c r="AM127" i="24050"/>
  <c r="BS133" i="23917"/>
  <c r="K210" i="24050"/>
  <c r="AQ216" i="23917"/>
  <c r="EJ174" i="24050"/>
  <c r="FP180" i="23917"/>
  <c r="BG252" i="24050"/>
  <c r="CM258" i="23917"/>
  <c r="C81" i="24050"/>
  <c r="AI87" i="23917"/>
  <c r="Q80" i="24050"/>
  <c r="AW86" i="23917"/>
  <c r="BK329" i="24050"/>
  <c r="CQ335" i="23917"/>
  <c r="M127" i="24050"/>
  <c r="AS133" i="23917"/>
  <c r="EJ198" i="24050"/>
  <c r="FP204" i="23917"/>
  <c r="DR334" i="24050"/>
  <c r="EX340" i="23917"/>
  <c r="DL204" i="24050"/>
  <c r="DL10" i="24050"/>
  <c r="ER210" i="23917"/>
  <c r="CP164" i="24050"/>
  <c r="CP165" i="24050" s="1"/>
  <c r="CP9" i="24050"/>
  <c r="DV170" i="23917"/>
  <c r="DV171" i="23917" s="1"/>
  <c r="DO80" i="24050"/>
  <c r="EU86" i="23917"/>
  <c r="CY283" i="24050"/>
  <c r="EE289" i="23917"/>
  <c r="S210" i="24050"/>
  <c r="AY216" i="23917"/>
  <c r="CI329" i="24050"/>
  <c r="DO335" i="23917"/>
  <c r="DL363" i="24050"/>
  <c r="ER369" i="23917"/>
  <c r="DN127" i="24050"/>
  <c r="ET133" i="23917"/>
  <c r="EI320" i="24050"/>
  <c r="FO326" i="23917"/>
  <c r="H332" i="23917"/>
  <c r="H75" i="23917"/>
  <c r="EK276" i="24050"/>
  <c r="FQ282" i="23917"/>
  <c r="CV195" i="24050"/>
  <c r="EB201" i="23917"/>
  <c r="CW313" i="24050"/>
  <c r="EC319" i="23917"/>
  <c r="CV284" i="24050"/>
  <c r="EB290" i="23917"/>
  <c r="CU175" i="24050"/>
  <c r="EA181" i="23917"/>
  <c r="CQ202" i="24050"/>
  <c r="DW208" i="23917"/>
  <c r="EA92" i="24050"/>
  <c r="FG98" i="23917"/>
  <c r="DW252" i="24050"/>
  <c r="FC258" i="23917"/>
  <c r="AI127" i="24050"/>
  <c r="BO133" i="23917"/>
  <c r="EH15" i="24050"/>
  <c r="FN408" i="23917"/>
  <c r="EN277" i="24050"/>
  <c r="FT283" i="23917"/>
  <c r="CW76" i="24050"/>
  <c r="CW88" i="24050"/>
  <c r="EC94" i="23917"/>
  <c r="EC82" i="23917"/>
  <c r="AY81" i="24050"/>
  <c r="CE87" i="23917"/>
  <c r="AQ81" i="24050"/>
  <c r="BW87" i="23917"/>
  <c r="DP381" i="24050"/>
  <c r="CB381" i="24050"/>
  <c r="BM92" i="24050"/>
  <c r="CS98" i="23917"/>
  <c r="DJ15" i="24050"/>
  <c r="EP408" i="23917"/>
  <c r="DR257" i="24050"/>
  <c r="EX263" i="23917"/>
  <c r="BC81" i="24050"/>
  <c r="CI87" i="23917"/>
  <c r="ED15" i="24050"/>
  <c r="FJ408" i="23917"/>
  <c r="AC127" i="24050"/>
  <c r="BI133" i="23917"/>
  <c r="AC80" i="24050"/>
  <c r="BI86" i="23917"/>
  <c r="R10" i="24068"/>
  <c r="Q10" i="24068"/>
  <c r="AA127" i="24050"/>
  <c r="BG133" i="23917"/>
  <c r="CC127" i="24050"/>
  <c r="DI133" i="23917"/>
  <c r="AM170" i="24050"/>
  <c r="BS176" i="23917"/>
  <c r="DD293" i="24050"/>
  <c r="EJ299" i="23917"/>
  <c r="EJ214" i="24050"/>
  <c r="FP220" i="23917"/>
  <c r="S329" i="24050"/>
  <c r="AY335" i="23917"/>
  <c r="EB210" i="24050"/>
  <c r="FH216" i="23917"/>
  <c r="G170" i="24050"/>
  <c r="AM176" i="23917"/>
  <c r="CX333" i="24050"/>
  <c r="ED339" i="23917"/>
  <c r="EI162" i="24050"/>
  <c r="FO168" i="23917"/>
  <c r="BW15" i="23917"/>
  <c r="DT30" i="24050"/>
  <c r="EZ38" i="23917"/>
  <c r="U80" i="24050"/>
  <c r="BA86" i="23917"/>
  <c r="CS198" i="24050"/>
  <c r="DY204" i="23917"/>
  <c r="EI202" i="24050"/>
  <c r="FO208" i="23917"/>
  <c r="BS329" i="24050"/>
  <c r="CY335" i="23917"/>
  <c r="DT11" i="24050"/>
  <c r="DQ11" i="24050"/>
  <c r="DH210" i="24050"/>
  <c r="EN216" i="23917"/>
  <c r="DS80" i="24050"/>
  <c r="EY86" i="23917"/>
  <c r="Y80" i="24050"/>
  <c r="BE86" i="23917"/>
  <c r="EG397" i="23917"/>
  <c r="EF397" i="23917"/>
  <c r="I296" i="23917"/>
  <c r="I74" i="23917"/>
  <c r="CZ275" i="24050"/>
  <c r="EF281" i="23917"/>
  <c r="AS92" i="24050"/>
  <c r="BY98" i="23917"/>
  <c r="DN204" i="24050"/>
  <c r="DN10" i="24050"/>
  <c r="ET210" i="23917"/>
  <c r="CQ162" i="24050"/>
  <c r="DW168" i="23917"/>
  <c r="DO92" i="24050"/>
  <c r="EU98" i="23917"/>
  <c r="CW297" i="24050"/>
  <c r="EC303" i="23917"/>
  <c r="CZ283" i="24050"/>
  <c r="EF289" i="23917"/>
  <c r="EE403" i="23917"/>
  <c r="ED403" i="23917"/>
  <c r="CY311" i="24050"/>
  <c r="EE317" i="23917"/>
  <c r="EV13" i="23917"/>
  <c r="ES13" i="23917"/>
  <c r="AU127" i="24050"/>
  <c r="CA133" i="23917"/>
  <c r="AY252" i="24050"/>
  <c r="CE258" i="23917"/>
  <c r="DK252" i="24050"/>
  <c r="EQ258" i="23917"/>
  <c r="BW252" i="24050"/>
  <c r="DC258" i="23917"/>
  <c r="CT15" i="24050"/>
  <c r="DZ408" i="23917"/>
  <c r="DZ409" i="23917" s="1"/>
  <c r="DA174" i="24050"/>
  <c r="EG180" i="23917"/>
  <c r="BK81" i="24050"/>
  <c r="CQ87" i="23917"/>
  <c r="BO252" i="24050"/>
  <c r="CU258" i="23917"/>
  <c r="CE81" i="24050"/>
  <c r="DK87" i="23917"/>
  <c r="DC9" i="23917"/>
  <c r="CT9" i="23917"/>
  <c r="DV164" i="24050"/>
  <c r="DV9" i="24050"/>
  <c r="FB170" i="23917"/>
  <c r="AC252" i="24050"/>
  <c r="BI258" i="23917"/>
  <c r="EI58" i="24050"/>
  <c r="FO65" i="23917"/>
  <c r="CQ320" i="24050"/>
  <c r="DW326" i="23917"/>
  <c r="EQ30" i="24050"/>
  <c r="FW38" i="23917"/>
  <c r="CT202" i="24050"/>
  <c r="DZ208" i="23917"/>
  <c r="CZ310" i="24050"/>
  <c r="EF316" i="23917"/>
  <c r="EJ31" i="24050"/>
  <c r="FP39" i="23917"/>
  <c r="BY80" i="24050"/>
  <c r="DE86" i="23917"/>
  <c r="BK170" i="24050"/>
  <c r="CQ176" i="23917"/>
  <c r="CX278" i="24050"/>
  <c r="ED284" i="23917"/>
  <c r="CX87" i="24050"/>
  <c r="ED93" i="23917"/>
  <c r="AE127" i="24050"/>
  <c r="BK133" i="23917"/>
  <c r="CW192" i="24050"/>
  <c r="EC198" i="23917"/>
  <c r="CV199" i="24050"/>
  <c r="EB205" i="23917"/>
  <c r="DY112" i="24050"/>
  <c r="FE118" i="23917"/>
  <c r="BG14" i="23917"/>
  <c r="DN381" i="24050"/>
  <c r="BZ381" i="24050"/>
  <c r="DL121" i="24050"/>
  <c r="DL8" i="24050"/>
  <c r="ER127" i="23917"/>
  <c r="CW281" i="24050"/>
  <c r="EC287" i="23917"/>
  <c r="EG394" i="23917"/>
  <c r="EF394" i="23917"/>
  <c r="CW278" i="24050"/>
  <c r="EC284" i="23917"/>
  <c r="EL381" i="24050"/>
  <c r="CX381" i="24050"/>
  <c r="EQ154" i="24050"/>
  <c r="FW160" i="23917"/>
  <c r="Y133" i="23917"/>
  <c r="X133" i="23917"/>
  <c r="CV175" i="24050"/>
  <c r="EB181" i="23917"/>
  <c r="DV15" i="24050"/>
  <c r="FB408" i="23917"/>
  <c r="CY110" i="24050"/>
  <c r="EE116" i="23917"/>
  <c r="CY312" i="24050"/>
  <c r="EE318" i="23917"/>
  <c r="EA80" i="24050"/>
  <c r="FG86" i="23917"/>
  <c r="AY127" i="24050"/>
  <c r="CE133" i="23917"/>
  <c r="DX246" i="24050"/>
  <c r="DX12" i="24050"/>
  <c r="FD252" i="23917"/>
  <c r="DA380" i="24050"/>
  <c r="CZ44" i="24050"/>
  <c r="EF52" i="23917"/>
  <c r="S5" i="24068"/>
  <c r="S6" i="24068" s="1"/>
  <c r="EE11" i="24050"/>
  <c r="BE14" i="23917"/>
  <c r="EG402" i="23917"/>
  <c r="EF402" i="23917"/>
  <c r="W81" i="24050"/>
  <c r="BC87" i="23917"/>
  <c r="CS334" i="24050"/>
  <c r="DY340" i="23917"/>
  <c r="CU201" i="24050"/>
  <c r="EA207" i="23917"/>
  <c r="EK158" i="24050"/>
  <c r="FQ164" i="23917"/>
  <c r="CM210" i="24050"/>
  <c r="DS216" i="23917"/>
  <c r="AO92" i="24050"/>
  <c r="BU98" i="23917"/>
  <c r="CW117" i="24050"/>
  <c r="EC123" i="23917"/>
  <c r="CE252" i="24050"/>
  <c r="DK258" i="23917"/>
  <c r="DQ252" i="24050"/>
  <c r="EW258" i="23917"/>
  <c r="DV19" i="24050"/>
  <c r="FB22" i="23917"/>
  <c r="U92" i="24050"/>
  <c r="BA98" i="23917"/>
  <c r="CK80" i="24050"/>
  <c r="DQ86" i="23917"/>
  <c r="BH17" i="24050"/>
  <c r="CN20" i="23917"/>
  <c r="BW210" i="24050"/>
  <c r="DC216" i="23917"/>
  <c r="EH121" i="24050"/>
  <c r="EH8" i="24050"/>
  <c r="FN127" i="23917"/>
  <c r="BI92" i="24050"/>
  <c r="CO98" i="23917"/>
  <c r="AG92" i="24050"/>
  <c r="BM98" i="23917"/>
  <c r="C127" i="24050"/>
  <c r="AI133" i="23917"/>
  <c r="C210" i="24050"/>
  <c r="AI216" i="23917"/>
  <c r="BQ80" i="24050"/>
  <c r="CW86" i="23917"/>
  <c r="EJ215" i="24050"/>
  <c r="FP221" i="23917"/>
  <c r="EG399" i="24050"/>
  <c r="EG400" i="24050" s="1"/>
  <c r="CS399" i="24050"/>
  <c r="FM409" i="23917"/>
  <c r="DJ81" i="24050"/>
  <c r="EP87" i="23917"/>
  <c r="G81" i="24050"/>
  <c r="AM87" i="23917"/>
  <c r="R24" i="24068"/>
  <c r="S24" i="24068"/>
  <c r="E127" i="24050"/>
  <c r="AK133" i="23917"/>
  <c r="BC252" i="24050"/>
  <c r="CI258" i="23917"/>
  <c r="DZ80" i="24050"/>
  <c r="FF86" i="23917"/>
  <c r="CK329" i="24050"/>
  <c r="DQ335" i="23917"/>
  <c r="W252" i="24050"/>
  <c r="BC258" i="23917"/>
  <c r="M92" i="24050"/>
  <c r="AS98" i="23917"/>
  <c r="DX293" i="24050"/>
  <c r="FD299" i="23917"/>
  <c r="DP204" i="24050"/>
  <c r="DP10" i="24050"/>
  <c r="EV210" i="23917"/>
  <c r="CA329" i="24050"/>
  <c r="DG335" i="23917"/>
  <c r="W170" i="24050"/>
  <c r="BC176" i="23917"/>
  <c r="ED293" i="24050"/>
  <c r="FJ299" i="23917"/>
  <c r="DW399" i="24050"/>
  <c r="DW400" i="24050" s="1"/>
  <c r="CI399" i="24050"/>
  <c r="FC409" i="23917"/>
  <c r="CE210" i="24050"/>
  <c r="DK216" i="23917"/>
  <c r="DN80" i="24050"/>
  <c r="ET86" i="23917"/>
  <c r="BM127" i="24050"/>
  <c r="CS133" i="23917"/>
  <c r="W127" i="24050"/>
  <c r="BC133" i="23917"/>
  <c r="K252" i="24050"/>
  <c r="AQ258" i="23917"/>
  <c r="CC80" i="24050"/>
  <c r="DI86" i="23917"/>
  <c r="CW153" i="24050"/>
  <c r="EC159" i="23917"/>
  <c r="DT170" i="24050"/>
  <c r="EZ176" i="23917"/>
  <c r="EN408" i="23917"/>
  <c r="DH15" i="24050"/>
  <c r="U252" i="24050"/>
  <c r="BA258" i="23917"/>
  <c r="BW329" i="24050"/>
  <c r="DC335" i="23917"/>
  <c r="AY329" i="24050"/>
  <c r="CE335" i="23917"/>
  <c r="CI252" i="24050"/>
  <c r="DO258" i="23917"/>
  <c r="DR293" i="24050"/>
  <c r="EX299" i="23917"/>
  <c r="E296" i="23917"/>
  <c r="E74" i="23917"/>
  <c r="DL222" i="24050"/>
  <c r="ER228" i="23917"/>
  <c r="BG127" i="24050"/>
  <c r="CM133" i="23917"/>
  <c r="CZ159" i="24050"/>
  <c r="EF165" i="23917"/>
  <c r="AQ252" i="24050"/>
  <c r="BW258" i="23917"/>
  <c r="DQ329" i="24050"/>
  <c r="EW335" i="23917"/>
  <c r="CW111" i="24050"/>
  <c r="EC117" i="23917"/>
  <c r="ED323" i="24050"/>
  <c r="ED14" i="24050"/>
  <c r="FJ329" i="23917"/>
  <c r="BH290" i="24050"/>
  <c r="CN296" i="23917"/>
  <c r="CN74" i="23917"/>
  <c r="AJ408" i="23917"/>
  <c r="D399" i="24050" s="1"/>
  <c r="D15" i="24050"/>
  <c r="DU127" i="24050"/>
  <c r="FA133" i="23917"/>
  <c r="CY310" i="24050"/>
  <c r="EE316" i="23917"/>
  <c r="CX256" i="24050"/>
  <c r="ED262" i="23917"/>
  <c r="BH167" i="24050"/>
  <c r="CN173" i="23917"/>
  <c r="CN71" i="23917"/>
  <c r="DK127" i="24050"/>
  <c r="EQ133" i="23917"/>
  <c r="EI332" i="24050"/>
  <c r="FO338" i="23917"/>
  <c r="CR59" i="24050"/>
  <c r="CR24" i="24050"/>
  <c r="DX66" i="23917"/>
  <c r="DX27" i="23917"/>
  <c r="CR320" i="24050"/>
  <c r="DX326" i="23917"/>
  <c r="DJ92" i="24050"/>
  <c r="EP98" i="23917"/>
  <c r="BM80" i="24050"/>
  <c r="CS86" i="23917"/>
  <c r="F15" i="24050"/>
  <c r="AL408" i="23917"/>
  <c r="F399" i="24050" s="1"/>
  <c r="EB252" i="24050"/>
  <c r="FH258" i="23917"/>
  <c r="BE92" i="24050"/>
  <c r="CK98" i="23917"/>
  <c r="CO92" i="24050"/>
  <c r="DU98" i="23917"/>
  <c r="CW282" i="24050"/>
  <c r="EC288" i="23917"/>
  <c r="CE329" i="24050"/>
  <c r="DK335" i="23917"/>
  <c r="DR81" i="24050"/>
  <c r="EX87" i="23917"/>
  <c r="AG127" i="24050"/>
  <c r="BM133" i="23917"/>
  <c r="I80" i="24050"/>
  <c r="AO86" i="23917"/>
  <c r="BO170" i="24050"/>
  <c r="CU176" i="23917"/>
  <c r="DH329" i="24050"/>
  <c r="EN335" i="23917"/>
  <c r="O81" i="24050"/>
  <c r="AU87" i="23917"/>
  <c r="AS80" i="24050"/>
  <c r="BY86" i="23917"/>
  <c r="CB15" i="23917"/>
  <c r="CC15" i="23917"/>
  <c r="CK15" i="23917"/>
  <c r="CU155" i="24050"/>
  <c r="EA161" i="23917"/>
  <c r="EH334" i="24050"/>
  <c r="FN340" i="23917"/>
  <c r="K127" i="24050"/>
  <c r="AQ133" i="23917"/>
  <c r="DN164" i="24050"/>
  <c r="DN9" i="24050"/>
  <c r="ET170" i="23917"/>
  <c r="AU81" i="24050"/>
  <c r="CA87" i="23917"/>
  <c r="CV155" i="24050"/>
  <c r="EB161" i="23917"/>
  <c r="BS399" i="24050"/>
  <c r="DG399" i="24050"/>
  <c r="DX210" i="24050"/>
  <c r="FD216" i="23917"/>
  <c r="Q329" i="24050"/>
  <c r="AW335" i="23917"/>
  <c r="DV293" i="24050"/>
  <c r="FB299" i="23917"/>
  <c r="DN81" i="24050"/>
  <c r="ET87" i="23917"/>
  <c r="DZ293" i="24050"/>
  <c r="FF299" i="23917"/>
  <c r="EK110" i="24050"/>
  <c r="FQ116" i="23917"/>
  <c r="AM329" i="24050"/>
  <c r="BS335" i="23917"/>
  <c r="AO80" i="24050"/>
  <c r="BU86" i="23917"/>
  <c r="CR162" i="24050"/>
  <c r="DX168" i="23917"/>
  <c r="BC329" i="24050"/>
  <c r="CI335" i="23917"/>
  <c r="DO329" i="24050"/>
  <c r="EU335" i="23917"/>
  <c r="CW333" i="24050"/>
  <c r="EC339" i="23917"/>
  <c r="Y252" i="24050"/>
  <c r="BE258" i="23917"/>
  <c r="BI12" i="23917"/>
  <c r="AZ12" i="23917"/>
  <c r="BA92" i="24050"/>
  <c r="CG98" i="23917"/>
  <c r="CR202" i="24050"/>
  <c r="DX208" i="23917"/>
  <c r="EE127" i="24050"/>
  <c r="FK133" i="23917"/>
  <c r="EI213" i="24050"/>
  <c r="FO219" i="23917"/>
  <c r="ED127" i="24050"/>
  <c r="FJ133" i="23917"/>
  <c r="DW329" i="24050"/>
  <c r="FC335" i="23917"/>
  <c r="DF210" i="24050"/>
  <c r="EL216" i="23917"/>
  <c r="DS92" i="24050"/>
  <c r="EY98" i="23917"/>
  <c r="BE80" i="24050"/>
  <c r="CK86" i="23917"/>
  <c r="DK210" i="24050"/>
  <c r="EQ216" i="23917"/>
  <c r="DL164" i="24050"/>
  <c r="DL9" i="24050"/>
  <c r="ER170" i="23917"/>
  <c r="CU199" i="24050"/>
  <c r="EA205" i="23917"/>
  <c r="AK80" i="24050"/>
  <c r="BQ86" i="23917"/>
  <c r="CX281" i="24050"/>
  <c r="ED287" i="23917"/>
  <c r="CX297" i="24050"/>
  <c r="ED303" i="23917"/>
  <c r="EJ160" i="24050"/>
  <c r="FP166" i="23917"/>
  <c r="EK312" i="24050"/>
  <c r="FQ318" i="23917"/>
  <c r="DX164" i="24050"/>
  <c r="DX9" i="24050"/>
  <c r="FD170" i="23917"/>
  <c r="DL246" i="24050"/>
  <c r="DL12" i="24050"/>
  <c r="ER252" i="23917"/>
  <c r="S127" i="24050"/>
  <c r="AY133" i="23917"/>
  <c r="EJ284" i="24050"/>
  <c r="FP290" i="23917"/>
  <c r="AA252" i="24050"/>
  <c r="BG258" i="23917"/>
  <c r="DT252" i="24050"/>
  <c r="EZ258" i="23917"/>
  <c r="DR323" i="24050"/>
  <c r="DR14" i="24050"/>
  <c r="EX329" i="23917"/>
  <c r="CS281" i="24050"/>
  <c r="DY287" i="23917"/>
  <c r="DY408" i="23917"/>
  <c r="CS15" i="24050"/>
  <c r="EH323" i="24050"/>
  <c r="EH14" i="24050"/>
  <c r="FN329" i="23917"/>
  <c r="DL80" i="24050"/>
  <c r="ER86" i="23917"/>
  <c r="CX111" i="24050"/>
  <c r="ED117" i="23917"/>
  <c r="K81" i="24050"/>
  <c r="AQ87" i="23917"/>
  <c r="AI8" i="23917"/>
  <c r="Z8" i="23917"/>
  <c r="CY194" i="24050"/>
  <c r="EE200" i="23917"/>
  <c r="CT58" i="24050"/>
  <c r="DZ65" i="23917"/>
  <c r="EP30" i="24050"/>
  <c r="FV38" i="23917"/>
  <c r="CU160" i="24050"/>
  <c r="EA166" i="23917"/>
  <c r="DV121" i="24050"/>
  <c r="DV8" i="24050"/>
  <c r="FB127" i="23917"/>
  <c r="CU198" i="24050"/>
  <c r="EA204" i="23917"/>
  <c r="D366" i="23917"/>
  <c r="D76" i="23917"/>
  <c r="EH252" i="24050"/>
  <c r="FN258" i="23917"/>
  <c r="CX316" i="24050"/>
  <c r="ED322" i="23917"/>
  <c r="EN152" i="24050"/>
  <c r="FT158" i="23917"/>
  <c r="F296" i="23917"/>
  <c r="F74" i="23917"/>
  <c r="EJ161" i="24050"/>
  <c r="FP167" i="23917"/>
  <c r="CY276" i="24050"/>
  <c r="EE282" i="23917"/>
  <c r="B15" i="24050"/>
  <c r="AH408" i="23917"/>
  <c r="B399" i="24050" s="1"/>
  <c r="EH287" i="24050"/>
  <c r="EH13" i="24050"/>
  <c r="FN293" i="23917"/>
  <c r="CW87" i="24050"/>
  <c r="EC93" i="23917"/>
  <c r="DH92" i="24050"/>
  <c r="EN98" i="23917"/>
  <c r="DX11" i="24050"/>
  <c r="DU11" i="24050"/>
  <c r="CV201" i="24050"/>
  <c r="EB207" i="23917"/>
  <c r="EB109" i="24050"/>
  <c r="FH115" i="23917"/>
  <c r="P8" i="24068"/>
  <c r="Q8" i="24068"/>
  <c r="CI81" i="24050"/>
  <c r="DO87" i="23917"/>
  <c r="EA329" i="24050"/>
  <c r="FG335" i="23917"/>
  <c r="CU195" i="24050"/>
  <c r="EA201" i="23917"/>
  <c r="EP154" i="24050"/>
  <c r="FV160" i="23917"/>
  <c r="DX15" i="24050"/>
  <c r="FD408" i="23917"/>
  <c r="DJ329" i="24050"/>
  <c r="EP335" i="23917"/>
  <c r="DW127" i="24050"/>
  <c r="FC133" i="23917"/>
  <c r="DT210" i="24050"/>
  <c r="EZ216" i="23917"/>
  <c r="CA12" i="23917"/>
  <c r="BR12" i="23917"/>
  <c r="DP81" i="24050"/>
  <c r="EV87" i="23917"/>
  <c r="CZ110" i="24050"/>
  <c r="EF116" i="23917"/>
  <c r="CZ312" i="24050"/>
  <c r="EF318" i="23917"/>
  <c r="ED170" i="24050"/>
  <c r="FJ176" i="23917"/>
  <c r="CY44" i="24050"/>
  <c r="EE52" i="23917"/>
  <c r="EE80" i="24050"/>
  <c r="FK86" i="23917"/>
  <c r="DA158" i="24050"/>
  <c r="EG164" i="23917"/>
  <c r="CT287" i="24050"/>
  <c r="CT288" i="24050" s="1"/>
  <c r="CT13" i="24050"/>
  <c r="DZ293" i="23917"/>
  <c r="DZ294" i="23917" s="1"/>
  <c r="CP287" i="24050"/>
  <c r="CP288" i="24050" s="1"/>
  <c r="CP13" i="24050"/>
  <c r="DV293" i="23917"/>
  <c r="DV294" i="23917" s="1"/>
  <c r="EJ384" i="24050"/>
  <c r="CV384" i="24050"/>
  <c r="BU92" i="24050"/>
  <c r="DA98" i="23917"/>
  <c r="CX117" i="24050"/>
  <c r="ED123" i="23917"/>
  <c r="CU14" i="23917"/>
  <c r="CL14" i="23917"/>
  <c r="U127" i="24050"/>
  <c r="BA133" i="23917"/>
  <c r="BA80" i="24050"/>
  <c r="CG86" i="23917"/>
  <c r="FH408" i="23917"/>
  <c r="EB15" i="24050"/>
  <c r="DO127" i="24050"/>
  <c r="EU133" i="23917"/>
  <c r="B296" i="23917"/>
  <c r="B74" i="23917"/>
  <c r="CA384" i="24050"/>
  <c r="DO384" i="24050"/>
  <c r="M17" i="23917"/>
  <c r="CZ193" i="24050"/>
  <c r="EF199" i="23917"/>
  <c r="DR287" i="24050"/>
  <c r="DR13" i="24050"/>
  <c r="EX293" i="23917"/>
  <c r="AM252" i="24050"/>
  <c r="BS258" i="23917"/>
  <c r="DD363" i="24050"/>
  <c r="EJ369" i="23917"/>
  <c r="AC92" i="24050"/>
  <c r="BI98" i="23917"/>
  <c r="AM81" i="24050"/>
  <c r="BS87" i="23917"/>
  <c r="AI252" i="24050"/>
  <c r="BO258" i="23917"/>
  <c r="AE170" i="24050"/>
  <c r="BK176" i="23917"/>
  <c r="CM329" i="24050"/>
  <c r="DS335" i="23917"/>
  <c r="AK92" i="24050"/>
  <c r="BQ98" i="23917"/>
  <c r="BC170" i="24050"/>
  <c r="CI176" i="23917"/>
  <c r="DV210" i="24050"/>
  <c r="FB216" i="23917"/>
  <c r="M80" i="24050"/>
  <c r="AS86" i="23917"/>
  <c r="EJ297" i="24050"/>
  <c r="FP303" i="23917"/>
  <c r="DF80" i="24050"/>
  <c r="EL86" i="23917"/>
  <c r="CC92" i="24050"/>
  <c r="DI98" i="23917"/>
  <c r="S15" i="24068"/>
  <c r="EJ313" i="24050"/>
  <c r="FP319" i="23917"/>
  <c r="BG210" i="24050"/>
  <c r="CM216" i="23917"/>
  <c r="DS399" i="24050"/>
  <c r="CE399" i="24050"/>
  <c r="EJ333" i="24050"/>
  <c r="FP339" i="23917"/>
  <c r="CO80" i="24050"/>
  <c r="DU86" i="23917"/>
  <c r="DP170" i="24050"/>
  <c r="EV176" i="23917"/>
  <c r="AA81" i="24050"/>
  <c r="BG87" i="23917"/>
  <c r="DN92" i="24050"/>
  <c r="ET98" i="23917"/>
  <c r="BS252" i="24050"/>
  <c r="CY258" i="23917"/>
  <c r="EB170" i="24050"/>
  <c r="FH176" i="23917"/>
  <c r="BR399" i="24050"/>
  <c r="BR400" i="24050" s="1"/>
  <c r="DF399" i="24050"/>
  <c r="CS284" i="24050"/>
  <c r="DY290" i="23917"/>
  <c r="DZ15" i="24050"/>
  <c r="FF408" i="23917"/>
  <c r="CM252" i="24050"/>
  <c r="DS258" i="23917"/>
  <c r="AQ329" i="24050"/>
  <c r="BW335" i="23917"/>
  <c r="BS81" i="24050"/>
  <c r="CY87" i="23917"/>
  <c r="EA399" i="24050"/>
  <c r="EA400" i="24050" s="1"/>
  <c r="CM399" i="24050"/>
  <c r="FG409" i="23917"/>
  <c r="EH170" i="24050"/>
  <c r="FN176" i="23917"/>
  <c r="DH363" i="24050"/>
  <c r="EN369" i="23917"/>
  <c r="AE329" i="24050"/>
  <c r="BK335" i="23917"/>
  <c r="G127" i="24050"/>
  <c r="AM133" i="23917"/>
  <c r="S252" i="24050"/>
  <c r="AY258" i="23917"/>
  <c r="BO81" i="24050"/>
  <c r="CU87" i="23917"/>
  <c r="AW80" i="24050"/>
  <c r="CC86" i="23917"/>
  <c r="BC127" i="24050"/>
  <c r="CI133" i="23917"/>
  <c r="BG81" i="24050"/>
  <c r="CM87" i="23917"/>
  <c r="CX153" i="24050"/>
  <c r="ED159" i="23917"/>
  <c r="DF363" i="24050"/>
  <c r="EL369" i="23917"/>
  <c r="DT293" i="24050"/>
  <c r="EZ299" i="23917"/>
  <c r="CW235" i="24050"/>
  <c r="EC241" i="23917"/>
  <c r="EJ240" i="24050"/>
  <c r="FP246" i="23917"/>
  <c r="CU237" i="24050"/>
  <c r="EA243" i="23917"/>
  <c r="CZ242" i="24050"/>
  <c r="EF248" i="23917"/>
  <c r="CX235" i="24050"/>
  <c r="ED241" i="23917"/>
  <c r="EJ237" i="24050"/>
  <c r="FP243" i="23917"/>
  <c r="EI255" i="24050"/>
  <c r="FO261" i="23917"/>
  <c r="CT243" i="24050"/>
  <c r="DZ249" i="23917"/>
  <c r="EJ243" i="24050"/>
  <c r="FP249" i="23917"/>
  <c r="CP246" i="24050"/>
  <c r="CP247" i="24050" s="1"/>
  <c r="CP12" i="24050"/>
  <c r="DV252" i="23917"/>
  <c r="DV253" i="23917" s="1"/>
  <c r="EI244" i="24050"/>
  <c r="FO250" i="23917"/>
  <c r="CZ234" i="24050"/>
  <c r="EF240" i="23917"/>
  <c r="EI256" i="24050"/>
  <c r="FO262" i="23917"/>
  <c r="CY240" i="24050"/>
  <c r="EE246" i="23917"/>
  <c r="CW240" i="24050"/>
  <c r="EC246" i="23917"/>
  <c r="CR244" i="24050"/>
  <c r="DX250" i="23917"/>
  <c r="EI257" i="24050"/>
  <c r="FO263" i="23917"/>
  <c r="EJ241" i="24050"/>
  <c r="FP247" i="23917"/>
  <c r="CQ244" i="24050"/>
  <c r="DW250" i="23917"/>
  <c r="CV237" i="24050"/>
  <c r="EB243" i="23917"/>
  <c r="CW241" i="24050"/>
  <c r="EC247" i="23917"/>
  <c r="CS243" i="24050"/>
  <c r="DY249" i="23917"/>
  <c r="CW316" i="24050"/>
  <c r="EC322" i="23917"/>
  <c r="Y15" i="23917"/>
  <c r="S9" i="23917"/>
  <c r="FD10" i="23917"/>
  <c r="FB13" i="23917"/>
  <c r="BL17" i="23917"/>
  <c r="BM8" i="23917"/>
  <c r="N20" i="23917"/>
  <c r="T17" i="23917"/>
  <c r="U8" i="23917"/>
  <c r="AC8" i="23917"/>
  <c r="FJ13" i="23917"/>
  <c r="CR17" i="23917"/>
  <c r="CS8" i="23917"/>
  <c r="CY17" i="23917"/>
  <c r="CX69" i="23917"/>
  <c r="BC9" i="23917"/>
  <c r="FX396" i="23917"/>
  <c r="FY396" i="23917"/>
  <c r="FG14" i="23917"/>
  <c r="FG11" i="23917"/>
  <c r="DP17" i="23917"/>
  <c r="DQ8" i="23917"/>
  <c r="BW12" i="23917"/>
  <c r="CW11" i="23917"/>
  <c r="EF11" i="24050"/>
  <c r="CE11" i="23917"/>
  <c r="FS402" i="23917"/>
  <c r="CY396" i="24050" s="1"/>
  <c r="FR402" i="23917"/>
  <c r="CW17" i="23917"/>
  <c r="O15" i="23917"/>
  <c r="DM11" i="23917"/>
  <c r="CG17" i="23917"/>
  <c r="BO11" i="23917"/>
  <c r="Y216" i="23917"/>
  <c r="AG216" i="23917"/>
  <c r="EP13" i="23917"/>
  <c r="CE14" i="23917"/>
  <c r="BO8" i="23917"/>
  <c r="BN17" i="23917"/>
  <c r="DD69" i="23917"/>
  <c r="DE17" i="23917"/>
  <c r="FJ9" i="23917"/>
  <c r="FJ14" i="23917"/>
  <c r="CI9" i="23917"/>
  <c r="CK17" i="23917"/>
  <c r="AC11" i="23917"/>
  <c r="CN69" i="23917"/>
  <c r="CO11" i="23917"/>
  <c r="C15" i="23917"/>
  <c r="AY14" i="23917"/>
  <c r="EQ12" i="23917"/>
  <c r="S8" i="23917"/>
  <c r="R17" i="23917"/>
  <c r="BW14" i="23917"/>
  <c r="S15" i="23917"/>
  <c r="FF9" i="23917"/>
  <c r="CA15" i="23917"/>
  <c r="AE15" i="23917"/>
  <c r="BT69" i="23917"/>
  <c r="AE8" i="23917"/>
  <c r="AD17" i="23917"/>
  <c r="DM17" i="23917"/>
  <c r="FB14" i="23917"/>
  <c r="AW14" i="23917"/>
  <c r="AI10" i="23917"/>
  <c r="FI11" i="23917"/>
  <c r="BY17" i="23917"/>
  <c r="FA8" i="23917"/>
  <c r="AE10" i="23917"/>
  <c r="FH9" i="23917"/>
  <c r="DQ11" i="23917"/>
  <c r="EL15" i="23917"/>
  <c r="BJ69" i="23917"/>
  <c r="AU8" i="23917"/>
  <c r="AT17" i="23917"/>
  <c r="AA12" i="23917"/>
  <c r="AI12" i="23917"/>
  <c r="CE12" i="23917"/>
  <c r="BS14" i="23917"/>
  <c r="FC15" i="23917"/>
  <c r="AY8" i="23917"/>
  <c r="K12" i="23917"/>
  <c r="EF389" i="23917"/>
  <c r="EE389" i="23917"/>
  <c r="ED390" i="23917"/>
  <c r="CQ15" i="23917"/>
  <c r="CY15" i="23917"/>
  <c r="CU12" i="23917"/>
  <c r="CY11" i="23917"/>
  <c r="Y9" i="23917"/>
  <c r="EL10" i="23917"/>
  <c r="EN10" i="23917"/>
  <c r="EM17" i="23917"/>
  <c r="EN8" i="23917"/>
  <c r="EP8" i="23917"/>
  <c r="BE11" i="23917"/>
  <c r="AM10" i="23917"/>
  <c r="CA8" i="23917"/>
  <c r="BZ17" i="23917"/>
  <c r="AY10" i="23917"/>
  <c r="DK10" i="23917"/>
  <c r="DJ17" i="23917"/>
  <c r="AA9" i="23917"/>
  <c r="EP15" i="23917"/>
  <c r="BW8" i="23917"/>
  <c r="BV17" i="23917"/>
  <c r="DS10" i="23917"/>
  <c r="B17" i="23917"/>
  <c r="EV390" i="23917"/>
  <c r="EX390" i="23917"/>
  <c r="CA11" i="23917"/>
  <c r="CN76" i="23917"/>
  <c r="EX10" i="23917"/>
  <c r="EZ10" i="23917"/>
  <c r="DC11" i="23917"/>
  <c r="DS11" i="23917"/>
  <c r="AY12" i="23917"/>
  <c r="BS9" i="23917"/>
  <c r="ES10" i="23917"/>
  <c r="U13" i="23917"/>
  <c r="K15" i="23917"/>
  <c r="AZ17" i="23917"/>
  <c r="BA8" i="23917"/>
  <c r="AE11" i="23917"/>
  <c r="W11" i="23917"/>
  <c r="DH17" i="23917"/>
  <c r="DI8" i="23917"/>
  <c r="AW12" i="23917"/>
  <c r="EZ9" i="23917"/>
  <c r="DW15" i="23917"/>
  <c r="FB12" i="23917"/>
  <c r="EC390" i="23917"/>
  <c r="CG11" i="23917"/>
  <c r="AC13" i="23917"/>
  <c r="AB17" i="23917"/>
  <c r="CA9" i="23917"/>
  <c r="FM15" i="23917"/>
  <c r="DN11" i="24050"/>
  <c r="CZ69" i="23917"/>
  <c r="DA17" i="23917"/>
  <c r="EW12" i="23917"/>
  <c r="CB76" i="23917"/>
  <c r="BW11" i="23917"/>
  <c r="EX13" i="23917"/>
  <c r="CM11" i="23917"/>
  <c r="AQ10" i="23917"/>
  <c r="DK12" i="23917"/>
  <c r="CA14" i="23917"/>
  <c r="EL14" i="23917"/>
  <c r="EH11" i="24050"/>
  <c r="CI15" i="23917"/>
  <c r="EU14" i="23917"/>
  <c r="CQ11" i="23917"/>
  <c r="AO8" i="23917"/>
  <c r="FC14" i="23917"/>
  <c r="BC8" i="23917"/>
  <c r="Y13" i="23917"/>
  <c r="AW11" i="23917"/>
  <c r="FL14" i="23917"/>
  <c r="FF15" i="23917"/>
  <c r="EQ10" i="23917"/>
  <c r="S12" i="23917"/>
  <c r="FS397" i="23917"/>
  <c r="CY391" i="24050" s="1"/>
  <c r="FR397" i="23917"/>
  <c r="BG8" i="23917"/>
  <c r="BF17" i="23917"/>
  <c r="BS15" i="23917"/>
  <c r="FH10" i="23917"/>
  <c r="CI11" i="23917"/>
  <c r="FZ395" i="23917"/>
  <c r="GA395" i="23917"/>
  <c r="EU389" i="24050" s="1"/>
  <c r="EN14" i="23917"/>
  <c r="DC10" i="23917"/>
  <c r="DB17" i="23917"/>
  <c r="CD17" i="23917"/>
  <c r="DK11" i="23917"/>
  <c r="DX15" i="23917"/>
  <c r="X12" i="23917"/>
  <c r="FM14" i="23917"/>
  <c r="EZ13" i="23917"/>
  <c r="DQ14" i="23917"/>
  <c r="DG17" i="23917"/>
  <c r="FL9" i="23917"/>
  <c r="AQ8" i="23917"/>
  <c r="DV11" i="24050"/>
  <c r="FN12" i="23917"/>
  <c r="CI8" i="23917"/>
  <c r="CH17" i="23917"/>
  <c r="EQ8" i="23917"/>
  <c r="BE12" i="23917"/>
  <c r="FQ394" i="23917"/>
  <c r="FU387" i="23917"/>
  <c r="DA381" i="24050" s="1"/>
  <c r="FT387" i="23917"/>
  <c r="CZ381" i="24050" s="1"/>
  <c r="FC11" i="23917"/>
  <c r="R11" i="23917"/>
  <c r="CM8" i="23917"/>
  <c r="CL17" i="23917"/>
  <c r="CU8" i="23917"/>
  <c r="BG12" i="23917"/>
  <c r="EY15" i="23917"/>
  <c r="CI12" i="23917"/>
  <c r="CY14" i="23917"/>
  <c r="DG14" i="23917"/>
  <c r="BX69" i="23917"/>
  <c r="BY11" i="23917"/>
  <c r="AA10" i="23917"/>
  <c r="BC14" i="23917"/>
  <c r="DU17" i="23917"/>
  <c r="ET8" i="23917"/>
  <c r="BC12" i="23917"/>
  <c r="AM8" i="23917"/>
  <c r="BI11" i="23917"/>
  <c r="EK17" i="23917"/>
  <c r="DA8" i="23917"/>
  <c r="BH17" i="23917"/>
  <c r="BI8" i="23917"/>
  <c r="BQ11" i="23917"/>
  <c r="EV12" i="23917"/>
  <c r="X10" i="23917"/>
  <c r="FG15" i="23917"/>
  <c r="W8" i="23917"/>
  <c r="V17" i="23917"/>
  <c r="CB69" i="23917"/>
  <c r="CC11" i="23917"/>
  <c r="I15" i="23917"/>
  <c r="H17" i="23917"/>
  <c r="BK8" i="23917"/>
  <c r="FJ10" i="23917"/>
  <c r="CC17" i="23917"/>
  <c r="M20" i="23917"/>
  <c r="L24" i="23917"/>
  <c r="L23" i="23917"/>
  <c r="L70" i="23917"/>
  <c r="AK11" i="23917"/>
  <c r="P20" i="23917"/>
  <c r="FL12" i="23917"/>
  <c r="DK14" i="23917"/>
  <c r="EG393" i="23917"/>
  <c r="CS11" i="23917"/>
  <c r="ET13" i="23917"/>
  <c r="FJ8" i="23917"/>
  <c r="FI17" i="23917"/>
  <c r="CU9" i="23917"/>
  <c r="CT17" i="23917"/>
  <c r="BB11" i="23917"/>
  <c r="DL11" i="24050"/>
  <c r="AY11" i="23917"/>
  <c r="DC12" i="23917"/>
  <c r="DA11" i="23917"/>
  <c r="FD13" i="23917"/>
  <c r="EP14" i="23917"/>
  <c r="CM14" i="23917"/>
  <c r="DO17" i="23917"/>
  <c r="EJ15" i="23917"/>
  <c r="EI17" i="23917"/>
  <c r="CM10" i="23917"/>
  <c r="G15" i="23917"/>
  <c r="BS8" i="23917"/>
  <c r="BR17" i="23917"/>
  <c r="AU11" i="23917"/>
  <c r="DS12" i="23917"/>
  <c r="BG11" i="23917"/>
  <c r="BA12" i="23917"/>
  <c r="FL10" i="23917"/>
  <c r="J11" i="23917"/>
  <c r="DR11" i="24050"/>
  <c r="EU11" i="23917"/>
  <c r="EY11" i="23917"/>
  <c r="AR11" i="23917"/>
  <c r="AK13" i="23917"/>
  <c r="EQ9" i="23917"/>
  <c r="DG11" i="23917"/>
  <c r="CU11" i="23917"/>
  <c r="FF13" i="23917"/>
  <c r="BM11" i="23917"/>
  <c r="FW388" i="23917"/>
  <c r="FV388" i="23917"/>
  <c r="AM11" i="23917"/>
  <c r="FQ393" i="23917"/>
  <c r="EY8" i="23917"/>
  <c r="FF10" i="23917"/>
  <c r="AG13" i="23917"/>
  <c r="DR17" i="23917"/>
  <c r="Y258" i="23917"/>
  <c r="AG258" i="23917"/>
  <c r="BU8" i="23917"/>
  <c r="BO12" i="23917"/>
  <c r="DC14" i="23917"/>
  <c r="AA8" i="23917"/>
  <c r="Z17" i="23917"/>
  <c r="EV9" i="23917"/>
  <c r="FA9" i="23917"/>
  <c r="FH12" i="23917"/>
  <c r="AA15" i="23917"/>
  <c r="BW10" i="23917"/>
  <c r="DO12" i="23917"/>
  <c r="BK14" i="23917"/>
  <c r="AR17" i="23917"/>
  <c r="AS8" i="23917"/>
  <c r="FL13" i="23917"/>
  <c r="DT69" i="23917"/>
  <c r="DU11" i="23917"/>
  <c r="DO11" i="23917"/>
  <c r="FM13" i="23917"/>
  <c r="CQ14" i="23917"/>
  <c r="EV10" i="23917"/>
  <c r="ET390" i="23917"/>
  <c r="AF11" i="23917"/>
  <c r="FB10" i="23917"/>
  <c r="CM12" i="23917"/>
  <c r="FN10" i="23917"/>
  <c r="BK9" i="23917"/>
  <c r="AE14" i="23917"/>
  <c r="AM14" i="23917"/>
  <c r="X8" i="23917"/>
  <c r="AQ11" i="23917"/>
  <c r="FC8" i="23917"/>
  <c r="BS12" i="23917"/>
  <c r="CY12" i="23917"/>
  <c r="DE11" i="23917"/>
  <c r="EO17" i="23917"/>
  <c r="CU10" i="23917"/>
  <c r="DI11" i="23917"/>
  <c r="FC12" i="23917"/>
  <c r="CQ12" i="23917"/>
  <c r="U11" i="23917"/>
  <c r="AM12" i="23917"/>
  <c r="AQ12" i="23917"/>
  <c r="FW386" i="23917"/>
  <c r="FV386" i="23917"/>
  <c r="W15" i="23917"/>
  <c r="S10" i="23917"/>
  <c r="CK11" i="23917"/>
  <c r="CI14" i="23917"/>
  <c r="FH13" i="23917"/>
  <c r="ET12" i="23917"/>
  <c r="ET14" i="23917"/>
  <c r="CE10" i="23917"/>
  <c r="DS14" i="23917"/>
  <c r="AK8" i="23917"/>
  <c r="BU11" i="23917"/>
  <c r="BO15" i="23917"/>
  <c r="EU8" i="23917"/>
  <c r="BS11" i="23917"/>
  <c r="AM9" i="23917"/>
  <c r="CO17" i="23917"/>
  <c r="GM48" i="23916" l="1"/>
  <c r="GL151" i="23916"/>
  <c r="GL49" i="23916"/>
  <c r="GO42" i="23916"/>
  <c r="GN48" i="23916"/>
  <c r="GM145" i="23916"/>
  <c r="GN148" i="23916"/>
  <c r="GO45" i="23916"/>
  <c r="GN49" i="23916"/>
  <c r="GO49" i="23916" s="1"/>
  <c r="GP29" i="23916"/>
  <c r="GL390" i="23916"/>
  <c r="GL152" i="23916"/>
  <c r="GM152" i="23916" s="1"/>
  <c r="GL154" i="23916"/>
  <c r="GM154" i="23916" s="1"/>
  <c r="GM148" i="23916"/>
  <c r="GN384" i="23916"/>
  <c r="GN145" i="23916"/>
  <c r="GO142" i="23916"/>
  <c r="GN155" i="23916"/>
  <c r="GO155" i="23916" s="1"/>
  <c r="GL587" i="23916"/>
  <c r="GL387" i="23916"/>
  <c r="GM384" i="23916"/>
  <c r="DN255" i="23917"/>
  <c r="CF69" i="23917"/>
  <c r="BE408" i="23917"/>
  <c r="Y399" i="24050" s="1"/>
  <c r="Y15" i="24050"/>
  <c r="CF397" i="24050"/>
  <c r="DT397" i="24050"/>
  <c r="DX82" i="24050"/>
  <c r="FD88" i="23917"/>
  <c r="EF136" i="23917"/>
  <c r="CZ130" i="24050"/>
  <c r="DM397" i="24050"/>
  <c r="BY397" i="24050"/>
  <c r="CQ17" i="23917"/>
  <c r="BU17" i="23917"/>
  <c r="EW408" i="23917"/>
  <c r="DQ15" i="24050"/>
  <c r="DZ82" i="24050"/>
  <c r="FF88" i="23917"/>
  <c r="FH88" i="23917"/>
  <c r="EB82" i="24050"/>
  <c r="DS81" i="24050"/>
  <c r="EY87" i="23917"/>
  <c r="DV82" i="24050"/>
  <c r="FB88" i="23917"/>
  <c r="DN397" i="24050"/>
  <c r="BZ397" i="24050"/>
  <c r="DQ397" i="24050"/>
  <c r="CC397" i="24050"/>
  <c r="ED82" i="24050"/>
  <c r="FJ88" i="23917"/>
  <c r="AY408" i="23917"/>
  <c r="S399" i="24050" s="1"/>
  <c r="S15" i="24050"/>
  <c r="BA408" i="23917"/>
  <c r="U399" i="24050" s="1"/>
  <c r="U15" i="24050"/>
  <c r="EE136" i="23917"/>
  <c r="CY130" i="24050"/>
  <c r="CB397" i="24050"/>
  <c r="DP397" i="24050"/>
  <c r="FG17" i="23917"/>
  <c r="BC408" i="23917"/>
  <c r="W399" i="24050" s="1"/>
  <c r="W15" i="24050"/>
  <c r="DR397" i="24050"/>
  <c r="CD397" i="24050"/>
  <c r="EA81" i="24050"/>
  <c r="FG87" i="23917"/>
  <c r="FC87" i="23917"/>
  <c r="DW81" i="24050"/>
  <c r="EZ88" i="23917"/>
  <c r="DT82" i="24050"/>
  <c r="CU162" i="24050"/>
  <c r="EK313" i="24050"/>
  <c r="FQ319" i="23917"/>
  <c r="DX170" i="24050"/>
  <c r="FD176" i="23917"/>
  <c r="CR321" i="24050"/>
  <c r="DX327" i="23917"/>
  <c r="EM276" i="24050"/>
  <c r="FS282" i="23917"/>
  <c r="CY256" i="24050"/>
  <c r="EE262" i="23917"/>
  <c r="EP152" i="24050"/>
  <c r="FV158" i="23917"/>
  <c r="DA310" i="24050"/>
  <c r="EG316" i="23917"/>
  <c r="AR17" i="24050"/>
  <c r="BX20" i="23917"/>
  <c r="AZ17" i="24050"/>
  <c r="CF20" i="23917"/>
  <c r="CX396" i="24050"/>
  <c r="EL396" i="24050"/>
  <c r="O17" i="23917"/>
  <c r="EL275" i="24050"/>
  <c r="FR281" i="23917"/>
  <c r="CY153" i="24050"/>
  <c r="EE159" i="23917"/>
  <c r="DZ399" i="24050"/>
  <c r="CL399" i="24050"/>
  <c r="CL400" i="24050" s="1"/>
  <c r="EF252" i="24050"/>
  <c r="FL258" i="23917"/>
  <c r="FI12" i="23917"/>
  <c r="FJ12" i="23917"/>
  <c r="EB399" i="24050"/>
  <c r="CN399" i="24050"/>
  <c r="CN400" i="24050" s="1"/>
  <c r="EF80" i="24050"/>
  <c r="FL86" i="23917"/>
  <c r="EB329" i="24050"/>
  <c r="FH335" i="23917"/>
  <c r="E366" i="23917"/>
  <c r="E76" i="23917"/>
  <c r="DT92" i="24050"/>
  <c r="EZ98" i="23917"/>
  <c r="EJ332" i="24050"/>
  <c r="FP338" i="23917"/>
  <c r="BH71" i="24050"/>
  <c r="BH63" i="24050"/>
  <c r="BH69" i="24050"/>
  <c r="BH68" i="24050"/>
  <c r="BH70" i="24050"/>
  <c r="BH64" i="24050"/>
  <c r="BH65" i="24050"/>
  <c r="BH66" i="24050"/>
  <c r="BH67" i="24050"/>
  <c r="EK194" i="24050"/>
  <c r="FQ200" i="23917"/>
  <c r="DP92" i="24050"/>
  <c r="EV98" i="23917"/>
  <c r="DT80" i="24050"/>
  <c r="EZ86" i="23917"/>
  <c r="CT399" i="24050"/>
  <c r="CT400" i="24050" s="1"/>
  <c r="EH399" i="24050"/>
  <c r="EI321" i="24050"/>
  <c r="FO327" i="23917"/>
  <c r="DP80" i="24050"/>
  <c r="EV86" i="23917"/>
  <c r="ED252" i="24050"/>
  <c r="FJ258" i="23917"/>
  <c r="EH293" i="24050"/>
  <c r="FN299" i="23917"/>
  <c r="CY282" i="24050"/>
  <c r="EE288" i="23917"/>
  <c r="BW399" i="24050"/>
  <c r="DK399" i="24050"/>
  <c r="CK69" i="23917"/>
  <c r="CJ69" i="23917"/>
  <c r="DM15" i="24050"/>
  <c r="ES408" i="23917"/>
  <c r="AK408" i="23917"/>
  <c r="E399" i="24050" s="1"/>
  <c r="E15" i="24050"/>
  <c r="CT59" i="24050"/>
  <c r="CT24" i="24050"/>
  <c r="DZ27" i="23917"/>
  <c r="DZ66" i="23917"/>
  <c r="BJ17" i="24050"/>
  <c r="CP20" i="23917"/>
  <c r="L296" i="23917"/>
  <c r="L74" i="23917"/>
  <c r="CU287" i="24050"/>
  <c r="CU13" i="24050"/>
  <c r="EA293" i="23917"/>
  <c r="BR326" i="24050"/>
  <c r="CX332" i="23917"/>
  <c r="CX75" i="23917"/>
  <c r="EH127" i="24050"/>
  <c r="FN133" i="23917"/>
  <c r="CW284" i="24050"/>
  <c r="EC290" i="23917"/>
  <c r="CX284" i="24050"/>
  <c r="ED290" i="23917"/>
  <c r="CV58" i="24050"/>
  <c r="EB65" i="23917"/>
  <c r="EJ281" i="24050"/>
  <c r="FP287" i="23917"/>
  <c r="AV21" i="24050"/>
  <c r="CB24" i="23917"/>
  <c r="CB25" i="23917" s="1"/>
  <c r="ED329" i="24050"/>
  <c r="FJ335" i="23917"/>
  <c r="CU334" i="24050"/>
  <c r="EA340" i="23917"/>
  <c r="EI59" i="24050"/>
  <c r="EI24" i="24050"/>
  <c r="FO66" i="23917"/>
  <c r="FO27" i="23917"/>
  <c r="CW75" i="24050"/>
  <c r="EC81" i="23917"/>
  <c r="DG69" i="23917"/>
  <c r="DF69" i="23917"/>
  <c r="C77" i="23917"/>
  <c r="B77" i="23917"/>
  <c r="M69" i="23917"/>
  <c r="L69" i="23917"/>
  <c r="CY88" i="24050"/>
  <c r="CY76" i="24050"/>
  <c r="EE94" i="23917"/>
  <c r="EE82" i="23917"/>
  <c r="CT293" i="24050"/>
  <c r="DZ299" i="23917"/>
  <c r="ED80" i="24050"/>
  <c r="FJ86" i="23917"/>
  <c r="CZ87" i="24050"/>
  <c r="EF93" i="23917"/>
  <c r="CT164" i="24050"/>
  <c r="CT165" i="24050" s="1"/>
  <c r="CT9" i="24050"/>
  <c r="DZ170" i="23917"/>
  <c r="DZ171" i="23917" s="1"/>
  <c r="CY281" i="24050"/>
  <c r="EE287" i="23917"/>
  <c r="CX317" i="24050"/>
  <c r="ED323" i="23917"/>
  <c r="AW17" i="24050"/>
  <c r="CC20" i="23917"/>
  <c r="AQ408" i="23917"/>
  <c r="K399" i="24050" s="1"/>
  <c r="K15" i="24050"/>
  <c r="CU15" i="24050"/>
  <c r="EA408" i="23917"/>
  <c r="BH207" i="24050"/>
  <c r="CN213" i="23917"/>
  <c r="CN72" i="23917"/>
  <c r="CQ287" i="24050"/>
  <c r="CQ13" i="24050"/>
  <c r="DW293" i="23917"/>
  <c r="CS320" i="24050"/>
  <c r="DY326" i="23917"/>
  <c r="DA44" i="24050"/>
  <c r="EG52" i="23917"/>
  <c r="CP210" i="24050"/>
  <c r="DV216" i="23917"/>
  <c r="ER154" i="24050"/>
  <c r="FX160" i="23917"/>
  <c r="CZ256" i="24050"/>
  <c r="EF262" i="23917"/>
  <c r="EL44" i="24050"/>
  <c r="FR52" i="23917"/>
  <c r="CW160" i="24050"/>
  <c r="EC166" i="23917"/>
  <c r="ES30" i="24050"/>
  <c r="FY38" i="23917"/>
  <c r="EJ58" i="24050"/>
  <c r="FP65" i="23917"/>
  <c r="AN17" i="24050"/>
  <c r="BT20" i="23917"/>
  <c r="B366" i="23917"/>
  <c r="B76" i="23917"/>
  <c r="CZ297" i="24050"/>
  <c r="EF303" i="23917"/>
  <c r="CP170" i="24050"/>
  <c r="DV176" i="23917"/>
  <c r="BD17" i="24050"/>
  <c r="CJ20" i="23917"/>
  <c r="CZ281" i="24050"/>
  <c r="EF287" i="23917"/>
  <c r="EL311" i="24050"/>
  <c r="FR317" i="23917"/>
  <c r="BP17" i="24050"/>
  <c r="CV20" i="23917"/>
  <c r="BR17" i="24050"/>
  <c r="CX20" i="23917"/>
  <c r="EM275" i="24050"/>
  <c r="FS281" i="23917"/>
  <c r="EI323" i="24050"/>
  <c r="EI324" i="24050" s="1"/>
  <c r="EI14" i="24050"/>
  <c r="FO329" i="23917"/>
  <c r="FO330" i="23917" s="1"/>
  <c r="CZ153" i="24050"/>
  <c r="EF159" i="23917"/>
  <c r="DA312" i="24050"/>
  <c r="EG318" i="23917"/>
  <c r="DX329" i="24050"/>
  <c r="FD335" i="23917"/>
  <c r="CW155" i="24050"/>
  <c r="EC161" i="23917"/>
  <c r="BT399" i="24050"/>
  <c r="BT400" i="24050" s="1"/>
  <c r="DH399" i="24050"/>
  <c r="DR252" i="24050"/>
  <c r="EX258" i="23917"/>
  <c r="CW199" i="24050"/>
  <c r="EC205" i="23917"/>
  <c r="CU202" i="24050"/>
  <c r="EA208" i="23917"/>
  <c r="DP210" i="24050"/>
  <c r="EV216" i="23917"/>
  <c r="CP399" i="24050"/>
  <c r="CP400" i="24050" s="1"/>
  <c r="ED399" i="24050"/>
  <c r="DJ399" i="24050"/>
  <c r="BV399" i="24050"/>
  <c r="BV400" i="24050" s="1"/>
  <c r="EB92" i="24050"/>
  <c r="FH98" i="23917"/>
  <c r="I332" i="23917"/>
  <c r="I75" i="23917"/>
  <c r="EF92" i="24050"/>
  <c r="FL98" i="23917"/>
  <c r="EJ175" i="24050"/>
  <c r="FP181" i="23917"/>
  <c r="DA194" i="24050"/>
  <c r="EG200" i="23917"/>
  <c r="EK311" i="24050"/>
  <c r="FQ317" i="23917"/>
  <c r="AM408" i="23917"/>
  <c r="G399" i="24050" s="1"/>
  <c r="G15" i="24050"/>
  <c r="BR249" i="24050"/>
  <c r="CX255" i="23917"/>
  <c r="CX73" i="23917"/>
  <c r="CW195" i="24050"/>
  <c r="EC201" i="23917"/>
  <c r="EJ162" i="24050"/>
  <c r="FP168" i="23917"/>
  <c r="F366" i="23917"/>
  <c r="F76" i="23917"/>
  <c r="CW175" i="24050"/>
  <c r="EC181" i="23917"/>
  <c r="EJ320" i="24050"/>
  <c r="FP326" i="23917"/>
  <c r="M72" i="23917"/>
  <c r="L72" i="23917"/>
  <c r="EH92" i="24050"/>
  <c r="FN98" i="23917"/>
  <c r="DV80" i="24050"/>
  <c r="FB86" i="23917"/>
  <c r="DV127" i="24050"/>
  <c r="FB133" i="23917"/>
  <c r="DR92" i="24050"/>
  <c r="EX98" i="23917"/>
  <c r="EK283" i="24050"/>
  <c r="FQ289" i="23917"/>
  <c r="CZ333" i="24050"/>
  <c r="EF339" i="23917"/>
  <c r="X17" i="24050"/>
  <c r="BD20" i="23917"/>
  <c r="CX199" i="24050"/>
  <c r="ED205" i="23917"/>
  <c r="EZ14" i="23917"/>
  <c r="EW14" i="23917"/>
  <c r="BH124" i="24050"/>
  <c r="CN130" i="23917"/>
  <c r="CN70" i="23917"/>
  <c r="EL158" i="24050"/>
  <c r="FR164" i="23917"/>
  <c r="CW198" i="24050"/>
  <c r="EC204" i="23917"/>
  <c r="DR329" i="24050"/>
  <c r="EX335" i="23917"/>
  <c r="EP277" i="24050"/>
  <c r="FV283" i="23917"/>
  <c r="CX175" i="24050"/>
  <c r="ED181" i="23917"/>
  <c r="EI334" i="24050"/>
  <c r="FO340" i="23917"/>
  <c r="DV92" i="24050"/>
  <c r="FB98" i="23917"/>
  <c r="FP408" i="23917"/>
  <c r="EJ15" i="24050"/>
  <c r="EB112" i="24050"/>
  <c r="FH118" i="23917"/>
  <c r="CY87" i="24050"/>
  <c r="EE93" i="23917"/>
  <c r="CY278" i="24050"/>
  <c r="EE284" i="23917"/>
  <c r="CR204" i="24050"/>
  <c r="CR205" i="24050" s="1"/>
  <c r="CR10" i="24050"/>
  <c r="DX210" i="23917"/>
  <c r="DX211" i="23917" s="1"/>
  <c r="AV124" i="24050"/>
  <c r="CB130" i="23917"/>
  <c r="CB70" i="23917"/>
  <c r="CZ192" i="24050"/>
  <c r="EF198" i="23917"/>
  <c r="BH21" i="24050"/>
  <c r="CN24" i="23917"/>
  <c r="AI408" i="23917"/>
  <c r="C399" i="24050" s="1"/>
  <c r="C15" i="24050"/>
  <c r="EK173" i="24050"/>
  <c r="FQ179" i="23917"/>
  <c r="CS59" i="24050"/>
  <c r="CS24" i="24050"/>
  <c r="DY27" i="23917"/>
  <c r="DY66" i="23917"/>
  <c r="DZ130" i="24050"/>
  <c r="FF136" i="23917"/>
  <c r="CV202" i="24050"/>
  <c r="EB208" i="23917"/>
  <c r="CZ278" i="24050"/>
  <c r="EF284" i="23917"/>
  <c r="DN73" i="23917"/>
  <c r="EL194" i="24050"/>
  <c r="FR200" i="23917"/>
  <c r="BQ17" i="23917"/>
  <c r="CY111" i="24050"/>
  <c r="EE117" i="23917"/>
  <c r="EM312" i="24050"/>
  <c r="FS318" i="23917"/>
  <c r="FN8" i="23917"/>
  <c r="FK8" i="23917"/>
  <c r="EL110" i="24050"/>
  <c r="FR116" i="23917"/>
  <c r="C296" i="23917"/>
  <c r="C74" i="23917"/>
  <c r="EQ277" i="24050"/>
  <c r="FW283" i="23917"/>
  <c r="EG403" i="23917"/>
  <c r="EF403" i="23917"/>
  <c r="Q17" i="23917"/>
  <c r="M71" i="23917"/>
  <c r="L71" i="23917"/>
  <c r="H366" i="23917"/>
  <c r="H76" i="23917"/>
  <c r="CZ88" i="24050"/>
  <c r="CZ76" i="24050"/>
  <c r="EF94" i="23917"/>
  <c r="EF82" i="23917"/>
  <c r="CY117" i="24050"/>
  <c r="EE123" i="23917"/>
  <c r="CN17" i="24050"/>
  <c r="DT20" i="23917"/>
  <c r="DA110" i="24050"/>
  <c r="EG116" i="23917"/>
  <c r="DR80" i="24050"/>
  <c r="EX86" i="23917"/>
  <c r="EK388" i="24050"/>
  <c r="CW388" i="24050"/>
  <c r="DY131" i="24050"/>
  <c r="FE137" i="23917"/>
  <c r="CR287" i="24050"/>
  <c r="CR288" i="24050" s="1"/>
  <c r="CR13" i="24050"/>
  <c r="DX293" i="23917"/>
  <c r="DX294" i="23917" s="1"/>
  <c r="EL391" i="24050"/>
  <c r="CX391" i="24050"/>
  <c r="AV326" i="24050"/>
  <c r="CB332" i="23917"/>
  <c r="CB75" i="23917"/>
  <c r="CS202" i="24050"/>
  <c r="DY208" i="23917"/>
  <c r="CR164" i="24050"/>
  <c r="CR165" i="24050" s="1"/>
  <c r="CR9" i="24050"/>
  <c r="DX170" i="23917"/>
  <c r="DX171" i="23917" s="1"/>
  <c r="BT17" i="24050"/>
  <c r="CZ20" i="23917"/>
  <c r="EB408" i="23917"/>
  <c r="EB409" i="23917" s="1"/>
  <c r="CV15" i="24050"/>
  <c r="CV287" i="24050"/>
  <c r="CV288" i="24050" s="1"/>
  <c r="CV13" i="24050"/>
  <c r="EB293" i="23917"/>
  <c r="EB294" i="23917" s="1"/>
  <c r="CY192" i="24050"/>
  <c r="EE198" i="23917"/>
  <c r="CX198" i="24050"/>
  <c r="ED204" i="23917"/>
  <c r="G296" i="23917"/>
  <c r="G74" i="23917"/>
  <c r="EJ202" i="24050"/>
  <c r="FP208" i="23917"/>
  <c r="DP384" i="24050"/>
  <c r="CB384" i="24050"/>
  <c r="CP293" i="24050"/>
  <c r="DV299" i="23917"/>
  <c r="CQ204" i="24050"/>
  <c r="CQ10" i="24050"/>
  <c r="DW210" i="23917"/>
  <c r="ES154" i="24050"/>
  <c r="FY160" i="23917"/>
  <c r="EK278" i="24050"/>
  <c r="FQ284" i="23917"/>
  <c r="EM44" i="24050"/>
  <c r="FS52" i="23917"/>
  <c r="CX160" i="24050"/>
  <c r="ED166" i="23917"/>
  <c r="ER30" i="24050"/>
  <c r="FX38" i="23917"/>
  <c r="CF17" i="24050"/>
  <c r="DL20" i="23917"/>
  <c r="CY297" i="24050"/>
  <c r="EE303" i="23917"/>
  <c r="CQ164" i="24050"/>
  <c r="CQ9" i="24050"/>
  <c r="DW170" i="23917"/>
  <c r="DA275" i="24050"/>
  <c r="EG281" i="23917"/>
  <c r="AF17" i="23917"/>
  <c r="AF15" i="23917"/>
  <c r="EM310" i="24050"/>
  <c r="FS316" i="23917"/>
  <c r="AD17" i="24050"/>
  <c r="BJ20" i="23917"/>
  <c r="EJ321" i="24050"/>
  <c r="FP327" i="23917"/>
  <c r="DA193" i="24050"/>
  <c r="EG199" i="23917"/>
  <c r="DP127" i="24050"/>
  <c r="EV133" i="23917"/>
  <c r="CJ399" i="24050"/>
  <c r="CJ400" i="24050" s="1"/>
  <c r="DX399" i="24050"/>
  <c r="CW201" i="24050"/>
  <c r="EC207" i="23917"/>
  <c r="DL210" i="24050"/>
  <c r="ER216" i="23917"/>
  <c r="EJ213" i="24050"/>
  <c r="FP219" i="23917"/>
  <c r="EF127" i="24050"/>
  <c r="FL133" i="23917"/>
  <c r="DA159" i="24050"/>
  <c r="EG165" i="23917"/>
  <c r="CH399" i="24050"/>
  <c r="CH400" i="24050" s="1"/>
  <c r="DV399" i="24050"/>
  <c r="DZ252" i="24050"/>
  <c r="FF258" i="23917"/>
  <c r="DL252" i="24050"/>
  <c r="ER258" i="23917"/>
  <c r="DX252" i="24050"/>
  <c r="FD258" i="23917"/>
  <c r="L20" i="23917"/>
  <c r="EI399" i="24050"/>
  <c r="EI400" i="24050" s="1"/>
  <c r="CU399" i="24050"/>
  <c r="FO409" i="23917"/>
  <c r="DT127" i="24050"/>
  <c r="EZ133" i="23917"/>
  <c r="DV170" i="24050"/>
  <c r="FB176" i="23917"/>
  <c r="DA311" i="24050"/>
  <c r="EG317" i="23917"/>
  <c r="AV17" i="24050"/>
  <c r="CB20" i="23917"/>
  <c r="CB77" i="23917"/>
  <c r="CZ116" i="24050"/>
  <c r="EF122" i="23917"/>
  <c r="CT320" i="24050"/>
  <c r="DZ326" i="23917"/>
  <c r="BZ326" i="24050"/>
  <c r="DF332" i="23917"/>
  <c r="DF75" i="23917"/>
  <c r="DY121" i="24050"/>
  <c r="DY122" i="24050" s="1"/>
  <c r="DY8" i="24050"/>
  <c r="FE127" i="23917"/>
  <c r="FE128" i="23917" s="1"/>
  <c r="CQ321" i="24050"/>
  <c r="DW327" i="23917"/>
  <c r="BH20" i="24050"/>
  <c r="CN23" i="23917"/>
  <c r="L366" i="23917"/>
  <c r="L76" i="23917"/>
  <c r="EB130" i="24050"/>
  <c r="FH136" i="23917"/>
  <c r="DN252" i="24050"/>
  <c r="ET258" i="23917"/>
  <c r="CZ117" i="24050"/>
  <c r="EF123" i="23917"/>
  <c r="EI285" i="24050"/>
  <c r="FO291" i="23917"/>
  <c r="EI204" i="24050"/>
  <c r="EI205" i="24050" s="1"/>
  <c r="EI10" i="24050"/>
  <c r="FO210" i="23917"/>
  <c r="FO211" i="23917" s="1"/>
  <c r="DR384" i="24050"/>
  <c r="CD384" i="24050"/>
  <c r="AO408" i="23917"/>
  <c r="I399" i="24050" s="1"/>
  <c r="I15" i="24050"/>
  <c r="CV334" i="24050"/>
  <c r="EB340" i="23917"/>
  <c r="CY116" i="24050"/>
  <c r="EE122" i="23917"/>
  <c r="DZ329" i="24050"/>
  <c r="FF335" i="23917"/>
  <c r="CT204" i="24050"/>
  <c r="CT205" i="24050" s="1"/>
  <c r="CT10" i="24050"/>
  <c r="DZ210" i="23917"/>
  <c r="DZ211" i="23917" s="1"/>
  <c r="DN384" i="24050"/>
  <c r="BZ384" i="24050"/>
  <c r="DO69" i="23917"/>
  <c r="DN69" i="23917"/>
  <c r="DA276" i="24050"/>
  <c r="EG282" i="23917"/>
  <c r="AD326" i="24050"/>
  <c r="BJ332" i="23917"/>
  <c r="BJ75" i="23917"/>
  <c r="EM194" i="24050"/>
  <c r="FS200" i="23917"/>
  <c r="AJ17" i="24050"/>
  <c r="BP20" i="23917"/>
  <c r="CZ111" i="24050"/>
  <c r="EF117" i="23917"/>
  <c r="EL312" i="24050"/>
  <c r="FR318" i="23917"/>
  <c r="CW387" i="24050"/>
  <c r="EK387" i="24050"/>
  <c r="EI164" i="24050"/>
  <c r="EI165" i="24050" s="1"/>
  <c r="EI9" i="24050"/>
  <c r="FO170" i="23917"/>
  <c r="FO171" i="23917" s="1"/>
  <c r="E77" i="23917"/>
  <c r="D77" i="23917"/>
  <c r="EM110" i="24050"/>
  <c r="FS116" i="23917"/>
  <c r="CH17" i="24050"/>
  <c r="DN20" i="23917"/>
  <c r="L255" i="23917"/>
  <c r="L73" i="23917"/>
  <c r="CV161" i="24050"/>
  <c r="EB167" i="23917"/>
  <c r="AI11" i="23917"/>
  <c r="Z11" i="23917"/>
  <c r="CY313" i="24050"/>
  <c r="EE319" i="23917"/>
  <c r="BE17" i="23917"/>
  <c r="AV17" i="23917"/>
  <c r="EK159" i="24050"/>
  <c r="FQ165" i="23917"/>
  <c r="DX127" i="24050"/>
  <c r="FD133" i="23917"/>
  <c r="DZ112" i="24050"/>
  <c r="FF118" i="23917"/>
  <c r="CX75" i="24050"/>
  <c r="ED81" i="23917"/>
  <c r="CY316" i="24050"/>
  <c r="EE322" i="23917"/>
  <c r="CP323" i="24050"/>
  <c r="CP324" i="24050" s="1"/>
  <c r="CP14" i="24050"/>
  <c r="DV329" i="23917"/>
  <c r="DV330" i="23917" s="1"/>
  <c r="BZ17" i="24050"/>
  <c r="DF20" i="23917"/>
  <c r="CU58" i="24050"/>
  <c r="EA65" i="23917"/>
  <c r="ER408" i="23917"/>
  <c r="DL15" i="24050"/>
  <c r="CS285" i="24050"/>
  <c r="DY291" i="23917"/>
  <c r="EI296" i="24050"/>
  <c r="FO302" i="23917"/>
  <c r="EH80" i="24050"/>
  <c r="FN86" i="23917"/>
  <c r="AV167" i="24050"/>
  <c r="CB173" i="23917"/>
  <c r="CB71" i="23917"/>
  <c r="CY333" i="24050"/>
  <c r="EE339" i="23917"/>
  <c r="CS162" i="24050"/>
  <c r="DY168" i="23917"/>
  <c r="AV20" i="24050"/>
  <c r="CB23" i="23917"/>
  <c r="AS408" i="23917"/>
  <c r="M399" i="24050" s="1"/>
  <c r="M15" i="24050"/>
  <c r="CX195" i="24050"/>
  <c r="ED201" i="23917"/>
  <c r="CX201" i="24050"/>
  <c r="ED207" i="23917"/>
  <c r="BI17" i="24050"/>
  <c r="CO20" i="23917"/>
  <c r="EU408" i="23917"/>
  <c r="DO15" i="24050"/>
  <c r="CU161" i="24050"/>
  <c r="EA167" i="23917"/>
  <c r="EL276" i="24050"/>
  <c r="FR282" i="23917"/>
  <c r="EQ152" i="24050"/>
  <c r="FW158" i="23917"/>
  <c r="CZ313" i="24050"/>
  <c r="EF319" i="23917"/>
  <c r="DN210" i="24050"/>
  <c r="ET216" i="23917"/>
  <c r="BX17" i="24050"/>
  <c r="DD20" i="23917"/>
  <c r="EL310" i="24050"/>
  <c r="FR316" i="23917"/>
  <c r="G17" i="23917"/>
  <c r="CX155" i="24050"/>
  <c r="ED161" i="23917"/>
  <c r="EK193" i="24050"/>
  <c r="FQ199" i="23917"/>
  <c r="CV285" i="24050"/>
  <c r="EB291" i="23917"/>
  <c r="DP329" i="24050"/>
  <c r="EV335" i="23917"/>
  <c r="DL127" i="24050"/>
  <c r="ER133" i="23917"/>
  <c r="EB80" i="24050"/>
  <c r="FH86" i="23917"/>
  <c r="CT162" i="24050"/>
  <c r="DZ168" i="23917"/>
  <c r="DA283" i="24050"/>
  <c r="EG289" i="23917"/>
  <c r="EJ298" i="24050"/>
  <c r="FP304" i="23917"/>
  <c r="E332" i="23917"/>
  <c r="E75" i="23917"/>
  <c r="DL170" i="24050"/>
  <c r="ER176" i="23917"/>
  <c r="T6" i="24068"/>
  <c r="EH329" i="24050"/>
  <c r="FN335" i="23917"/>
  <c r="CW317" i="24050"/>
  <c r="EC323" i="23917"/>
  <c r="CZ240" i="24050"/>
  <c r="EF246" i="23917"/>
  <c r="CT244" i="24050"/>
  <c r="DZ250" i="23917"/>
  <c r="CV243" i="24050"/>
  <c r="EB249" i="23917"/>
  <c r="CX237" i="24050"/>
  <c r="ED243" i="23917"/>
  <c r="CQ246" i="24050"/>
  <c r="CQ12" i="24050"/>
  <c r="DW252" i="23917"/>
  <c r="CX241" i="24050"/>
  <c r="ED247" i="23917"/>
  <c r="EI246" i="24050"/>
  <c r="EI247" i="24050" s="1"/>
  <c r="U14" i="24068"/>
  <c r="EI12" i="24050"/>
  <c r="FO252" i="23917"/>
  <c r="FO253" i="23917" s="1"/>
  <c r="EJ244" i="24050"/>
  <c r="FP250" i="23917"/>
  <c r="EK234" i="24050"/>
  <c r="FQ240" i="23917"/>
  <c r="CU243" i="24050"/>
  <c r="EA249" i="23917"/>
  <c r="EK242" i="24050"/>
  <c r="FQ248" i="23917"/>
  <c r="EJ257" i="24050"/>
  <c r="FP263" i="23917"/>
  <c r="CZ241" i="24050"/>
  <c r="EF247" i="23917"/>
  <c r="EI252" i="24050"/>
  <c r="FO258" i="23917"/>
  <c r="EN236" i="24050"/>
  <c r="FT242" i="23917"/>
  <c r="CZ235" i="24050"/>
  <c r="EF241" i="23917"/>
  <c r="CP252" i="24050"/>
  <c r="DV258" i="23917"/>
  <c r="DA242" i="24050"/>
  <c r="EG248" i="23917"/>
  <c r="CR246" i="24050"/>
  <c r="CR247" i="24050" s="1"/>
  <c r="CR12" i="24050"/>
  <c r="DX252" i="23917"/>
  <c r="DX253" i="23917" s="1"/>
  <c r="EJ255" i="24050"/>
  <c r="FP261" i="23917"/>
  <c r="DA234" i="24050"/>
  <c r="EG240" i="23917"/>
  <c r="EJ246" i="24050"/>
  <c r="FP252" i="23917"/>
  <c r="EJ12" i="24050"/>
  <c r="EO236" i="24050"/>
  <c r="FU242" i="23917"/>
  <c r="CW237" i="24050"/>
  <c r="EC243" i="23917"/>
  <c r="CY235" i="24050"/>
  <c r="EE241" i="23917"/>
  <c r="CS244" i="24050"/>
  <c r="DY250" i="23917"/>
  <c r="EJ256" i="24050"/>
  <c r="FP262" i="23917"/>
  <c r="EM236" i="24050"/>
  <c r="FS242" i="23917"/>
  <c r="CZ316" i="24050"/>
  <c r="EF322" i="23917"/>
  <c r="FB9" i="23917"/>
  <c r="AA17" i="23917"/>
  <c r="Z20" i="23917"/>
  <c r="FR393" i="23917"/>
  <c r="AS11" i="23917"/>
  <c r="FJ17" i="23917"/>
  <c r="V20" i="23917"/>
  <c r="W17" i="23917"/>
  <c r="FH15" i="23917"/>
  <c r="Y10" i="23917"/>
  <c r="AG10" i="23917"/>
  <c r="BI17" i="23917"/>
  <c r="FJ15" i="23917"/>
  <c r="CM17" i="23917"/>
  <c r="FN14" i="23917"/>
  <c r="Y12" i="23917"/>
  <c r="AG12" i="23917"/>
  <c r="CE17" i="23917"/>
  <c r="BD76" i="23917"/>
  <c r="EX12" i="23917"/>
  <c r="AB20" i="23917"/>
  <c r="AC17" i="23917"/>
  <c r="BA17" i="23917"/>
  <c r="ET10" i="23917"/>
  <c r="BW17" i="23917"/>
  <c r="DK17" i="23917"/>
  <c r="BD69" i="23917"/>
  <c r="EE390" i="23917"/>
  <c r="AH15" i="23917"/>
  <c r="AD20" i="23917"/>
  <c r="AE17" i="23917"/>
  <c r="ER12" i="23917"/>
  <c r="FZ396" i="23917"/>
  <c r="GA396" i="23917"/>
  <c r="EU390" i="24050" s="1"/>
  <c r="T20" i="23917"/>
  <c r="U17" i="23917"/>
  <c r="BJ76" i="23917"/>
  <c r="AJ15" i="23917"/>
  <c r="FY388" i="23917"/>
  <c r="FX388" i="23917"/>
  <c r="ER9" i="23917"/>
  <c r="AO11" i="23917"/>
  <c r="BC11" i="23917"/>
  <c r="CU17" i="23917"/>
  <c r="P24" i="23917"/>
  <c r="Q20" i="23917"/>
  <c r="P70" i="23917"/>
  <c r="P23" i="23917"/>
  <c r="FO12" i="23917"/>
  <c r="M23" i="23917"/>
  <c r="I17" i="23917"/>
  <c r="CC69" i="23917"/>
  <c r="S11" i="23917"/>
  <c r="FV387" i="23917"/>
  <c r="FW387" i="23917"/>
  <c r="ER8" i="23917"/>
  <c r="DC17" i="23917"/>
  <c r="ER10" i="23917"/>
  <c r="FD14" i="23917"/>
  <c r="FN15" i="23917"/>
  <c r="CN77" i="23917"/>
  <c r="C17" i="23917"/>
  <c r="BZ28" i="23917"/>
  <c r="CA17" i="23917"/>
  <c r="FD15" i="23917"/>
  <c r="FI69" i="23917"/>
  <c r="FJ11" i="23917"/>
  <c r="DV9" i="23917"/>
  <c r="AG15" i="23917"/>
  <c r="CF76" i="23917"/>
  <c r="FU402" i="23917"/>
  <c r="DA396" i="24050" s="1"/>
  <c r="FT402" i="23917"/>
  <c r="CZ396" i="24050" s="1"/>
  <c r="FK11" i="23917"/>
  <c r="AL15" i="23917"/>
  <c r="FD12" i="23917"/>
  <c r="FC17" i="23917"/>
  <c r="FD8" i="23917"/>
  <c r="X17" i="23917"/>
  <c r="Y8" i="23917"/>
  <c r="FN13" i="23917"/>
  <c r="BP76" i="23917"/>
  <c r="DS17" i="23917"/>
  <c r="EY17" i="23917"/>
  <c r="EZ8" i="23917"/>
  <c r="BS17" i="23917"/>
  <c r="DN76" i="23917"/>
  <c r="EQ11" i="23917"/>
  <c r="L33" i="23917"/>
  <c r="M24" i="23917"/>
  <c r="L40" i="23917"/>
  <c r="BP69" i="23917"/>
  <c r="FO15" i="23917"/>
  <c r="DZ13" i="23917"/>
  <c r="DT76" i="23917"/>
  <c r="FB15" i="23917"/>
  <c r="FS394" i="23917"/>
  <c r="CY388" i="24050" s="1"/>
  <c r="FR394" i="23917"/>
  <c r="EV14" i="23917"/>
  <c r="AP15" i="23917"/>
  <c r="DI17" i="23917"/>
  <c r="EX14" i="23917"/>
  <c r="BA11" i="23917"/>
  <c r="G39" i="24068"/>
  <c r="FF14" i="23917"/>
  <c r="EZ12" i="23917"/>
  <c r="DV10" i="23917"/>
  <c r="EG389" i="23917"/>
  <c r="EF390" i="23917"/>
  <c r="FQ389" i="23917"/>
  <c r="BK11" i="23917"/>
  <c r="DL76" i="23917"/>
  <c r="FF12" i="23917"/>
  <c r="CX76" i="23917"/>
  <c r="CS17" i="23917"/>
  <c r="BM17" i="23917"/>
  <c r="U35" i="24068"/>
  <c r="EV8" i="23917"/>
  <c r="FX386" i="23917"/>
  <c r="FY386" i="23917"/>
  <c r="EP17" i="23917"/>
  <c r="J17" i="23917"/>
  <c r="K11" i="23917"/>
  <c r="FK17" i="23917"/>
  <c r="FL8" i="23917"/>
  <c r="EJ17" i="23917"/>
  <c r="Z69" i="23917"/>
  <c r="AA11" i="23917"/>
  <c r="M70" i="23917"/>
  <c r="EX8" i="23917"/>
  <c r="EL17" i="23917"/>
  <c r="CI17" i="23917"/>
  <c r="FA11" i="23917"/>
  <c r="DY15" i="23917"/>
  <c r="FU397" i="23917"/>
  <c r="DA391" i="24050" s="1"/>
  <c r="FT397" i="23917"/>
  <c r="CZ391" i="24050" s="1"/>
  <c r="FM11" i="23917"/>
  <c r="CZ76" i="23917"/>
  <c r="ES11" i="23917"/>
  <c r="DZ15" i="23917"/>
  <c r="CO76" i="23917"/>
  <c r="DV13" i="23917"/>
  <c r="EN17" i="23917"/>
  <c r="DV12" i="23917"/>
  <c r="CP76" i="23917"/>
  <c r="ET9" i="23917"/>
  <c r="FB8" i="23917"/>
  <c r="R20" i="23917"/>
  <c r="FD9" i="23917"/>
  <c r="BO17" i="23917"/>
  <c r="AG8" i="23917"/>
  <c r="DQ17" i="23917"/>
  <c r="FH14" i="23917"/>
  <c r="N24" i="23917"/>
  <c r="O20" i="23917"/>
  <c r="N70" i="23917"/>
  <c r="N23" i="23917"/>
  <c r="GL159" i="23916" l="1"/>
  <c r="GL163" i="23916" s="1"/>
  <c r="GQ29" i="23916"/>
  <c r="GR25" i="23916"/>
  <c r="GP30" i="23916"/>
  <c r="GM159" i="23916"/>
  <c r="GM49" i="23916"/>
  <c r="GL55" i="23916"/>
  <c r="GM387" i="23916"/>
  <c r="GO145" i="23916"/>
  <c r="GN151" i="23916"/>
  <c r="GO48" i="23916"/>
  <c r="GL156" i="23916"/>
  <c r="GM156" i="23916" s="1"/>
  <c r="GM151" i="23916"/>
  <c r="GL394" i="23916"/>
  <c r="GM394" i="23916" s="1"/>
  <c r="GN587" i="23916"/>
  <c r="GO384" i="23916"/>
  <c r="GN387" i="23916"/>
  <c r="GL395" i="23916"/>
  <c r="GM395" i="23916" s="1"/>
  <c r="GM390" i="23916"/>
  <c r="GN390" i="23916"/>
  <c r="GN154" i="23916"/>
  <c r="GO154" i="23916" s="1"/>
  <c r="GN152" i="23916"/>
  <c r="GO152" i="23916" s="1"/>
  <c r="GO148" i="23916"/>
  <c r="GN55" i="23916"/>
  <c r="U36" i="24068"/>
  <c r="V36" i="24068"/>
  <c r="U15" i="24068"/>
  <c r="V15" i="24068"/>
  <c r="EA168" i="23917"/>
  <c r="CH249" i="24050"/>
  <c r="CC399" i="24050"/>
  <c r="DQ399" i="24050"/>
  <c r="BY69" i="23917"/>
  <c r="CG69" i="23917"/>
  <c r="FD87" i="23917"/>
  <c r="DX81" i="24050"/>
  <c r="FH87" i="23917"/>
  <c r="EB81" i="24050"/>
  <c r="EZ87" i="23917"/>
  <c r="DT81" i="24050"/>
  <c r="EZ408" i="23917"/>
  <c r="DT15" i="24050"/>
  <c r="BB15" i="23917"/>
  <c r="BK15" i="23917"/>
  <c r="BC15" i="23917"/>
  <c r="DA130" i="24050"/>
  <c r="EG136" i="23917"/>
  <c r="AN15" i="23917"/>
  <c r="AO15" i="23917"/>
  <c r="AW15" i="23917"/>
  <c r="FJ87" i="23917"/>
  <c r="ED81" i="24050"/>
  <c r="DV81" i="24050"/>
  <c r="FB87" i="23917"/>
  <c r="AX15" i="23917"/>
  <c r="BG15" i="23917"/>
  <c r="CO69" i="23917"/>
  <c r="BH72" i="24050"/>
  <c r="DZ81" i="24050"/>
  <c r="FF87" i="23917"/>
  <c r="BS326" i="24050"/>
  <c r="CY332" i="23917"/>
  <c r="CY75" i="23917"/>
  <c r="EL313" i="24050"/>
  <c r="FR319" i="23917"/>
  <c r="AH17" i="24050"/>
  <c r="BN20" i="23917"/>
  <c r="DE76" i="23917"/>
  <c r="DD76" i="23917"/>
  <c r="AN124" i="24050"/>
  <c r="BT130" i="23917"/>
  <c r="BT70" i="23917"/>
  <c r="CY195" i="24050"/>
  <c r="EE201" i="23917"/>
  <c r="BT290" i="24050"/>
  <c r="CZ296" i="23917"/>
  <c r="CZ74" i="23917"/>
  <c r="BT21" i="24050"/>
  <c r="CZ24" i="23917"/>
  <c r="AV25" i="24050"/>
  <c r="CB33" i="23917"/>
  <c r="CR210" i="24050"/>
  <c r="DX216" i="23917"/>
  <c r="CX58" i="24050"/>
  <c r="ED65" i="23917"/>
  <c r="BZ21" i="24050"/>
  <c r="DF24" i="23917"/>
  <c r="M77" i="23917"/>
  <c r="L77" i="23917"/>
  <c r="CF207" i="24050"/>
  <c r="DL213" i="23917"/>
  <c r="DL72" i="23917"/>
  <c r="DZ121" i="24050"/>
  <c r="DZ8" i="24050"/>
  <c r="FF127" i="23917"/>
  <c r="CN207" i="24050"/>
  <c r="DT213" i="23917"/>
  <c r="DT72" i="23917"/>
  <c r="CN20" i="24050"/>
  <c r="DT23" i="23917"/>
  <c r="BJ249" i="24050"/>
  <c r="CP255" i="23917"/>
  <c r="CP73" i="23917"/>
  <c r="BJ167" i="24050"/>
  <c r="CP173" i="23917"/>
  <c r="CP71" i="23917"/>
  <c r="DA111" i="24050"/>
  <c r="EG117" i="23917"/>
  <c r="AJ290" i="24050"/>
  <c r="BP296" i="23917"/>
  <c r="BP74" i="23917"/>
  <c r="AJ207" i="24050"/>
  <c r="BP213" i="23917"/>
  <c r="BP72" i="23917"/>
  <c r="EO275" i="24050"/>
  <c r="FU281" i="23917"/>
  <c r="AZ290" i="24050"/>
  <c r="CF296" i="23917"/>
  <c r="CF74" i="23917"/>
  <c r="AZ20" i="24050"/>
  <c r="CF23" i="23917"/>
  <c r="DR15" i="24050"/>
  <c r="EX408" i="23917"/>
  <c r="CZ195" i="24050"/>
  <c r="EF201" i="23917"/>
  <c r="Q69" i="23917"/>
  <c r="P69" i="23917"/>
  <c r="AD124" i="24050"/>
  <c r="BJ130" i="23917"/>
  <c r="BJ70" i="23917"/>
  <c r="EO276" i="24050"/>
  <c r="FU282" i="23917"/>
  <c r="EK296" i="24050"/>
  <c r="FQ302" i="23917"/>
  <c r="EM117" i="24050"/>
  <c r="FS123" i="23917"/>
  <c r="CY155" i="24050"/>
  <c r="EE161" i="23917"/>
  <c r="DL399" i="24050"/>
  <c r="BX399" i="24050"/>
  <c r="BX400" i="24050" s="1"/>
  <c r="EL283" i="24050"/>
  <c r="FR289" i="23917"/>
  <c r="AR71" i="24050"/>
  <c r="AR63" i="24050"/>
  <c r="AR66" i="24050"/>
  <c r="AR65" i="24050"/>
  <c r="AR70" i="24050"/>
  <c r="AR68" i="24050"/>
  <c r="AR64" i="24050"/>
  <c r="AR67" i="24050"/>
  <c r="AR69" i="24050"/>
  <c r="N255" i="23917"/>
  <c r="N73" i="23917"/>
  <c r="BX326" i="24050"/>
  <c r="DD332" i="23917"/>
  <c r="DD75" i="23917"/>
  <c r="BX207" i="24050"/>
  <c r="DD213" i="23917"/>
  <c r="DD72" i="23917"/>
  <c r="BX21" i="24050"/>
  <c r="DD24" i="23917"/>
  <c r="AN290" i="24050"/>
  <c r="BT296" i="23917"/>
  <c r="BT74" i="23917"/>
  <c r="AN167" i="24050"/>
  <c r="BT173" i="23917"/>
  <c r="BT71" i="23917"/>
  <c r="AN21" i="24050"/>
  <c r="BT24" i="23917"/>
  <c r="CY160" i="24050"/>
  <c r="EE166" i="23917"/>
  <c r="CX204" i="24050"/>
  <c r="CX205" i="24050" s="1"/>
  <c r="CX10" i="24050"/>
  <c r="ED210" i="23917"/>
  <c r="ED211" i="23917" s="1"/>
  <c r="BT124" i="24050"/>
  <c r="CZ130" i="23917"/>
  <c r="CZ70" i="23917"/>
  <c r="BT20" i="24050"/>
  <c r="CZ23" i="23917"/>
  <c r="AV83" i="24050"/>
  <c r="CB89" i="23917"/>
  <c r="CW58" i="24050"/>
  <c r="EC65" i="23917"/>
  <c r="BZ167" i="24050"/>
  <c r="DF173" i="23917"/>
  <c r="DF71" i="23917"/>
  <c r="DG76" i="23917"/>
  <c r="DF76" i="23917"/>
  <c r="I77" i="23917"/>
  <c r="H77" i="23917"/>
  <c r="EL173" i="24050"/>
  <c r="FR179" i="23917"/>
  <c r="DA116" i="24050"/>
  <c r="EG122" i="23917"/>
  <c r="AF17" i="24050"/>
  <c r="BL20" i="23917"/>
  <c r="BR124" i="24050"/>
  <c r="CX130" i="23917"/>
  <c r="CX70" i="23917"/>
  <c r="BR21" i="24050"/>
  <c r="CX24" i="23917"/>
  <c r="BP167" i="24050"/>
  <c r="CV173" i="23917"/>
  <c r="CV71" i="23917"/>
  <c r="BP207" i="24050"/>
  <c r="CV213" i="23917"/>
  <c r="CV72" i="23917"/>
  <c r="BP21" i="24050"/>
  <c r="CV24" i="23917"/>
  <c r="CF249" i="24050"/>
  <c r="DL255" i="23917"/>
  <c r="DL73" i="23917"/>
  <c r="CF290" i="24050"/>
  <c r="DL296" i="23917"/>
  <c r="DL74" i="23917"/>
  <c r="CF20" i="24050"/>
  <c r="DL23" i="23917"/>
  <c r="EK383" i="24050"/>
  <c r="CW383" i="24050"/>
  <c r="BI21" i="24050"/>
  <c r="CO24" i="23917"/>
  <c r="BI207" i="24050"/>
  <c r="CO213" i="23917"/>
  <c r="CO72" i="23917"/>
  <c r="CY198" i="24050"/>
  <c r="EE204" i="23917"/>
  <c r="CW287" i="24050"/>
  <c r="CW13" i="24050"/>
  <c r="EC293" i="23917"/>
  <c r="CN249" i="24050"/>
  <c r="DT255" i="23917"/>
  <c r="DT73" i="23917"/>
  <c r="CO17" i="24050"/>
  <c r="DU20" i="23917"/>
  <c r="M89" i="23917"/>
  <c r="L89" i="23917"/>
  <c r="CH124" i="24050"/>
  <c r="DN130" i="23917"/>
  <c r="DN70" i="23917"/>
  <c r="CH207" i="24050"/>
  <c r="DN213" i="23917"/>
  <c r="DN72" i="23917"/>
  <c r="CH20" i="24050"/>
  <c r="DN23" i="23917"/>
  <c r="AL17" i="24050"/>
  <c r="BR20" i="23917"/>
  <c r="EI170" i="24050"/>
  <c r="FO176" i="23917"/>
  <c r="BJ290" i="24050"/>
  <c r="CP296" i="23917"/>
  <c r="CP74" i="23917"/>
  <c r="EN312" i="24050"/>
  <c r="FT318" i="23917"/>
  <c r="CL17" i="24050"/>
  <c r="DR20" i="23917"/>
  <c r="AJ124" i="24050"/>
  <c r="BP130" i="23917"/>
  <c r="BP70" i="23917"/>
  <c r="AJ21" i="24050"/>
  <c r="BP24" i="23917"/>
  <c r="EO310" i="24050"/>
  <c r="FU316" i="23917"/>
  <c r="AZ326" i="24050"/>
  <c r="CF332" i="23917"/>
  <c r="CF75" i="23917"/>
  <c r="BA17" i="24050"/>
  <c r="CG20" i="23917"/>
  <c r="ET30" i="24050"/>
  <c r="FZ38" i="23917"/>
  <c r="AR326" i="24050"/>
  <c r="BX332" i="23917"/>
  <c r="BX75" i="23917"/>
  <c r="AR124" i="24050"/>
  <c r="BX130" i="23917"/>
  <c r="BX70" i="23917"/>
  <c r="CV162" i="24050"/>
  <c r="EB168" i="23917"/>
  <c r="AT17" i="24050"/>
  <c r="BZ20" i="23917"/>
  <c r="EK192" i="24050"/>
  <c r="FQ198" i="23917"/>
  <c r="DA192" i="24050"/>
  <c r="EG198" i="23917"/>
  <c r="CR293" i="24050"/>
  <c r="DX299" i="23917"/>
  <c r="EK87" i="24050"/>
  <c r="FQ93" i="23917"/>
  <c r="EA17" i="24050"/>
  <c r="FG20" i="23917"/>
  <c r="P296" i="23917"/>
  <c r="P74" i="23917"/>
  <c r="CX161" i="24050"/>
  <c r="ED167" i="23917"/>
  <c r="AD249" i="24050"/>
  <c r="BJ255" i="23917"/>
  <c r="BJ73" i="23917"/>
  <c r="AD20" i="24050"/>
  <c r="BJ23" i="23917"/>
  <c r="DA281" i="24050"/>
  <c r="EG287" i="23917"/>
  <c r="BD326" i="24050"/>
  <c r="CJ332" i="23917"/>
  <c r="CJ75" i="23917"/>
  <c r="CK76" i="23917"/>
  <c r="CJ76" i="23917"/>
  <c r="EM278" i="24050"/>
  <c r="FS284" i="23917"/>
  <c r="CD17" i="24050"/>
  <c r="DJ20" i="23917"/>
  <c r="CY199" i="24050"/>
  <c r="EE205" i="23917"/>
  <c r="X249" i="24050"/>
  <c r="BD255" i="23917"/>
  <c r="BD73" i="23917"/>
  <c r="X207" i="24050"/>
  <c r="BD213" i="23917"/>
  <c r="BD72" i="23917"/>
  <c r="AX17" i="24050"/>
  <c r="CD20" i="23917"/>
  <c r="CV59" i="24050"/>
  <c r="CV24" i="24050"/>
  <c r="EB66" i="23917"/>
  <c r="EB27" i="23917"/>
  <c r="CQ323" i="24050"/>
  <c r="CQ14" i="24050"/>
  <c r="DW329" i="23917"/>
  <c r="EB131" i="24050"/>
  <c r="FH137" i="23917"/>
  <c r="EK88" i="24050"/>
  <c r="EK76" i="24050"/>
  <c r="FQ94" i="23917"/>
  <c r="FQ82" i="23917"/>
  <c r="EK174" i="24050"/>
  <c r="FQ180" i="23917"/>
  <c r="FR403" i="23917"/>
  <c r="FQ403" i="23917"/>
  <c r="CV204" i="24050"/>
  <c r="CV205" i="24050" s="1"/>
  <c r="CV10" i="24050"/>
  <c r="EB210" i="23917"/>
  <c r="EB211" i="23917" s="1"/>
  <c r="EM193" i="24050"/>
  <c r="FS199" i="23917"/>
  <c r="CA399" i="24050"/>
  <c r="DO399" i="24050"/>
  <c r="EJ296" i="24050"/>
  <c r="FP302" i="23917"/>
  <c r="CW161" i="24050"/>
  <c r="EC167" i="23917"/>
  <c r="M366" i="23917"/>
  <c r="M76" i="23917"/>
  <c r="CF71" i="24050"/>
  <c r="CF69" i="24050"/>
  <c r="CF66" i="24050"/>
  <c r="CF67" i="24050"/>
  <c r="CF68" i="24050"/>
  <c r="CF65" i="24050"/>
  <c r="CF64" i="24050"/>
  <c r="CF70" i="24050"/>
  <c r="CF63" i="24050"/>
  <c r="CQ293" i="24050"/>
  <c r="DW299" i="23917"/>
  <c r="CW202" i="24050"/>
  <c r="EC208" i="23917"/>
  <c r="BH22" i="24050"/>
  <c r="EJ399" i="24050"/>
  <c r="CV399" i="24050"/>
  <c r="CV400" i="24050" s="1"/>
  <c r="CN78" i="23917"/>
  <c r="X71" i="24050"/>
  <c r="X66" i="24050"/>
  <c r="X69" i="24050"/>
  <c r="X67" i="24050"/>
  <c r="X68" i="24050"/>
  <c r="X65" i="24050"/>
  <c r="X70" i="24050"/>
  <c r="X64" i="24050"/>
  <c r="X63" i="24050"/>
  <c r="BR71" i="24050"/>
  <c r="BR63" i="24050"/>
  <c r="BR65" i="24050"/>
  <c r="BR70" i="24050"/>
  <c r="BR64" i="24050"/>
  <c r="BR68" i="24050"/>
  <c r="BR67" i="24050"/>
  <c r="BR69" i="24050"/>
  <c r="BR66" i="24050"/>
  <c r="BD71" i="24050"/>
  <c r="BD68" i="24050"/>
  <c r="BD63" i="24050"/>
  <c r="BD69" i="24050"/>
  <c r="BD70" i="24050"/>
  <c r="BD67" i="24050"/>
  <c r="BD65" i="24050"/>
  <c r="BD64" i="24050"/>
  <c r="BD66" i="24050"/>
  <c r="DM399" i="24050"/>
  <c r="BY399" i="24050"/>
  <c r="N332" i="23917"/>
  <c r="N75" i="23917"/>
  <c r="O72" i="23917"/>
  <c r="N72" i="23917"/>
  <c r="CJ17" i="24050"/>
  <c r="DP20" i="23917"/>
  <c r="BX249" i="24050"/>
  <c r="DD255" i="23917"/>
  <c r="DD73" i="23917"/>
  <c r="AN207" i="24050"/>
  <c r="BT213" i="23917"/>
  <c r="BT72" i="23917"/>
  <c r="CZ160" i="24050"/>
  <c r="EF166" i="23917"/>
  <c r="CW15" i="24050"/>
  <c r="EC408" i="23917"/>
  <c r="BT167" i="24050"/>
  <c r="CZ173" i="23917"/>
  <c r="CZ71" i="23917"/>
  <c r="CZ317" i="24050"/>
  <c r="EF323" i="23917"/>
  <c r="U23" i="24068"/>
  <c r="EI287" i="24050"/>
  <c r="EI288" i="24050" s="1"/>
  <c r="EI13" i="24050"/>
  <c r="FO293" i="23917"/>
  <c r="FO294" i="23917" s="1"/>
  <c r="BZ124" i="24050"/>
  <c r="DF130" i="23917"/>
  <c r="DF70" i="23917"/>
  <c r="I366" i="23917"/>
  <c r="I76" i="23917"/>
  <c r="EM173" i="24050"/>
  <c r="FS179" i="23917"/>
  <c r="BS17" i="24050"/>
  <c r="CY20" i="23917"/>
  <c r="EU154" i="24050"/>
  <c r="GA160" i="23917"/>
  <c r="BH83" i="24050"/>
  <c r="CN89" i="23917"/>
  <c r="CY69" i="23917"/>
  <c r="CP69" i="23917"/>
  <c r="CT170" i="24050"/>
  <c r="DZ176" i="23917"/>
  <c r="EN194" i="24050"/>
  <c r="FT200" i="23917"/>
  <c r="EM313" i="24050"/>
  <c r="FS319" i="23917"/>
  <c r="EU30" i="24050"/>
  <c r="GA38" i="23917"/>
  <c r="AR167" i="24050"/>
  <c r="BX173" i="23917"/>
  <c r="BX71" i="23917"/>
  <c r="G42" i="24068"/>
  <c r="CN28" i="23917"/>
  <c r="CN29" i="23917" s="1"/>
  <c r="DA87" i="24050"/>
  <c r="EG93" i="23917"/>
  <c r="Q72" i="23917"/>
  <c r="P72" i="23917"/>
  <c r="BN17" i="24050"/>
  <c r="CT20" i="23917"/>
  <c r="CZ175" i="24050"/>
  <c r="EF181" i="23917"/>
  <c r="AD21" i="24050"/>
  <c r="BJ24" i="23917"/>
  <c r="BD20" i="24050"/>
  <c r="CJ23" i="23917"/>
  <c r="EJ204" i="24050"/>
  <c r="EJ10" i="24050"/>
  <c r="FP210" i="23917"/>
  <c r="X167" i="24050"/>
  <c r="BD173" i="23917"/>
  <c r="BD71" i="23917"/>
  <c r="DZ131" i="24050"/>
  <c r="FF137" i="23917"/>
  <c r="EM111" i="24050"/>
  <c r="FS117" i="23917"/>
  <c r="BX71" i="24050"/>
  <c r="BX64" i="24050"/>
  <c r="BX65" i="24050"/>
  <c r="BX69" i="24050"/>
  <c r="BX68" i="24050"/>
  <c r="BX70" i="24050"/>
  <c r="BX66" i="24050"/>
  <c r="BX63" i="24050"/>
  <c r="BX67" i="24050"/>
  <c r="CY201" i="24050"/>
  <c r="EE207" i="23917"/>
  <c r="EK111" i="24050"/>
  <c r="FQ117" i="23917"/>
  <c r="AV71" i="24050"/>
  <c r="AV68" i="24050"/>
  <c r="AV66" i="24050"/>
  <c r="AV67" i="24050"/>
  <c r="AV63" i="24050"/>
  <c r="AV65" i="24050"/>
  <c r="AV69" i="24050"/>
  <c r="AV64" i="24050"/>
  <c r="AV70" i="24050"/>
  <c r="N366" i="23917"/>
  <c r="N76" i="23917"/>
  <c r="EK281" i="24050"/>
  <c r="FQ287" i="23917"/>
  <c r="CN71" i="24050"/>
  <c r="CN64" i="24050"/>
  <c r="CN63" i="24050"/>
  <c r="CN68" i="24050"/>
  <c r="CN66" i="24050"/>
  <c r="CN65" i="24050"/>
  <c r="CN69" i="24050"/>
  <c r="CN67" i="24050"/>
  <c r="CN70" i="24050"/>
  <c r="EJ334" i="24050"/>
  <c r="FP340" i="23917"/>
  <c r="N296" i="23917"/>
  <c r="N74" i="23917"/>
  <c r="O71" i="23917"/>
  <c r="N71" i="23917"/>
  <c r="CW69" i="23917"/>
  <c r="CV69" i="23917"/>
  <c r="BX167" i="24050"/>
  <c r="DD173" i="23917"/>
  <c r="DD71" i="23917"/>
  <c r="BY17" i="24050"/>
  <c r="DE20" i="23917"/>
  <c r="AN249" i="24050"/>
  <c r="BT255" i="23917"/>
  <c r="BT73" i="23917"/>
  <c r="CC76" i="23917"/>
  <c r="BT76" i="23917"/>
  <c r="FA17" i="23917"/>
  <c r="DG17" i="24050"/>
  <c r="EM20" i="23917"/>
  <c r="BT249" i="24050"/>
  <c r="CZ255" i="23917"/>
  <c r="CZ73" i="23917"/>
  <c r="BU17" i="24050"/>
  <c r="DA20" i="23917"/>
  <c r="AV32" i="24050"/>
  <c r="CB40" i="23917"/>
  <c r="AV39" i="24050"/>
  <c r="CB47" i="23917"/>
  <c r="DA333" i="24050"/>
  <c r="EG339" i="23917"/>
  <c r="EJ285" i="24050"/>
  <c r="FP291" i="23917"/>
  <c r="BZ290" i="24050"/>
  <c r="DF296" i="23917"/>
  <c r="DF74" i="23917"/>
  <c r="CA17" i="24050"/>
  <c r="DG20" i="23917"/>
  <c r="BB17" i="24050"/>
  <c r="CH20" i="23917"/>
  <c r="DE17" i="24050"/>
  <c r="EK20" i="23917"/>
  <c r="P17" i="24050"/>
  <c r="AV20" i="23917"/>
  <c r="CZ284" i="24050"/>
  <c r="EF290" i="23917"/>
  <c r="EJ59" i="24050"/>
  <c r="EJ24" i="24050"/>
  <c r="FP66" i="23917"/>
  <c r="FP27" i="23917"/>
  <c r="CV320" i="24050"/>
  <c r="EB326" i="23917"/>
  <c r="EJ323" i="24050"/>
  <c r="EJ14" i="24050"/>
  <c r="FP329" i="23917"/>
  <c r="BL17" i="24050"/>
  <c r="CR20" i="23917"/>
  <c r="BR207" i="24050"/>
  <c r="CX213" i="23917"/>
  <c r="CX72" i="23917"/>
  <c r="BR20" i="24050"/>
  <c r="CX23" i="23917"/>
  <c r="BP326" i="24050"/>
  <c r="CV332" i="23917"/>
  <c r="CV75" i="23917"/>
  <c r="BQ17" i="24050"/>
  <c r="CW20" i="23917"/>
  <c r="CF326" i="24050"/>
  <c r="DL332" i="23917"/>
  <c r="DL75" i="23917"/>
  <c r="EN44" i="24050"/>
  <c r="FT52" i="23917"/>
  <c r="ET154" i="24050"/>
  <c r="FZ160" i="23917"/>
  <c r="BH25" i="24050"/>
  <c r="BH26" i="24050" s="1"/>
  <c r="CN33" i="23917"/>
  <c r="BH95" i="24050"/>
  <c r="CN101" i="23917"/>
  <c r="EK198" i="24050"/>
  <c r="FQ204" i="23917"/>
  <c r="CV293" i="24050"/>
  <c r="EB299" i="23917"/>
  <c r="CS164" i="24050"/>
  <c r="CS9" i="24050"/>
  <c r="DY170" i="23917"/>
  <c r="CU164" i="24050"/>
  <c r="CU9" i="24050"/>
  <c r="EA170" i="23917"/>
  <c r="DY127" i="24050"/>
  <c r="FE133" i="23917"/>
  <c r="CN167" i="24050"/>
  <c r="DT173" i="23917"/>
  <c r="DT71" i="23917"/>
  <c r="CN21" i="24050"/>
  <c r="DT24" i="23917"/>
  <c r="CH326" i="24050"/>
  <c r="DN332" i="23917"/>
  <c r="DN75" i="23917"/>
  <c r="CH21" i="24050"/>
  <c r="DN24" i="23917"/>
  <c r="EN110" i="24050"/>
  <c r="FT116" i="23917"/>
  <c r="BJ124" i="24050"/>
  <c r="CP130" i="23917"/>
  <c r="CP70" i="23917"/>
  <c r="BJ21" i="24050"/>
  <c r="CP24" i="23917"/>
  <c r="AJ326" i="24050"/>
  <c r="BP332" i="23917"/>
  <c r="BP75" i="23917"/>
  <c r="AK17" i="24050"/>
  <c r="BQ20" i="23917"/>
  <c r="EO194" i="24050"/>
  <c r="FU200" i="23917"/>
  <c r="CT210" i="24050"/>
  <c r="DZ216" i="23917"/>
  <c r="EN275" i="24050"/>
  <c r="FT281" i="23917"/>
  <c r="EN310" i="24050"/>
  <c r="FT316" i="23917"/>
  <c r="AZ249" i="24050"/>
  <c r="CF255" i="23917"/>
  <c r="CF73" i="23917"/>
  <c r="AZ21" i="24050"/>
  <c r="CF24" i="23917"/>
  <c r="EN311" i="24050"/>
  <c r="FT317" i="23917"/>
  <c r="CZ282" i="24050"/>
  <c r="EF288" i="23917"/>
  <c r="AR290" i="24050"/>
  <c r="BX296" i="23917"/>
  <c r="BX74" i="23917"/>
  <c r="BY76" i="23917"/>
  <c r="BX76" i="23917"/>
  <c r="AR20" i="24050"/>
  <c r="BX23" i="23917"/>
  <c r="CR323" i="24050"/>
  <c r="CR324" i="24050" s="1"/>
  <c r="CR14" i="24050"/>
  <c r="DX329" i="23917"/>
  <c r="DX330" i="23917" s="1"/>
  <c r="EV408" i="23917"/>
  <c r="DP15" i="24050"/>
  <c r="CZ199" i="24050"/>
  <c r="EF205" i="23917"/>
  <c r="Z17" i="24050"/>
  <c r="BF20" i="23917"/>
  <c r="BV17" i="24050"/>
  <c r="DB20" i="23917"/>
  <c r="CS287" i="24050"/>
  <c r="CS13" i="24050"/>
  <c r="DY293" i="23917"/>
  <c r="CZ75" i="24050"/>
  <c r="EF81" i="23917"/>
  <c r="DA117" i="24050"/>
  <c r="EG123" i="23917"/>
  <c r="P255" i="23917"/>
  <c r="P73" i="23917"/>
  <c r="Q71" i="23917"/>
  <c r="P71" i="23917"/>
  <c r="ES277" i="24050"/>
  <c r="FY283" i="23917"/>
  <c r="EZ11" i="23917"/>
  <c r="EW11" i="23917"/>
  <c r="AR69" i="23917"/>
  <c r="L17" i="24050"/>
  <c r="AR20" i="23917"/>
  <c r="AD167" i="24050"/>
  <c r="BJ173" i="23917"/>
  <c r="BJ71" i="23917"/>
  <c r="BD124" i="24050"/>
  <c r="CJ130" i="23917"/>
  <c r="CJ70" i="23917"/>
  <c r="BD249" i="24050"/>
  <c r="CJ255" i="23917"/>
  <c r="CJ73" i="23917"/>
  <c r="BD21" i="24050"/>
  <c r="CJ24" i="23917"/>
  <c r="ER152" i="24050"/>
  <c r="FX158" i="23917"/>
  <c r="EN276" i="24050"/>
  <c r="FT282" i="23917"/>
  <c r="N17" i="24050"/>
  <c r="AT20" i="23917"/>
  <c r="CX15" i="24050"/>
  <c r="ED408" i="23917"/>
  <c r="ED409" i="23917" s="1"/>
  <c r="AP17" i="24050"/>
  <c r="BV20" i="23917"/>
  <c r="X290" i="24050"/>
  <c r="BD296" i="23917"/>
  <c r="BD74" i="23917"/>
  <c r="X20" i="24050"/>
  <c r="BD23" i="23917"/>
  <c r="AB17" i="24050"/>
  <c r="BH20" i="23917"/>
  <c r="EL117" i="24050"/>
  <c r="FR123" i="23917"/>
  <c r="EK117" i="24050"/>
  <c r="FQ123" i="23917"/>
  <c r="AV207" i="24050"/>
  <c r="CB213" i="23917"/>
  <c r="CB72" i="23917"/>
  <c r="AV290" i="24050"/>
  <c r="CB296" i="23917"/>
  <c r="CB74" i="23917"/>
  <c r="AD71" i="24050"/>
  <c r="AD66" i="24050"/>
  <c r="AD70" i="24050"/>
  <c r="AD68" i="24050"/>
  <c r="AD65" i="24050"/>
  <c r="AD64" i="24050"/>
  <c r="AD69" i="24050"/>
  <c r="AD67" i="24050"/>
  <c r="AD63" i="24050"/>
  <c r="BT71" i="24050"/>
  <c r="BT69" i="24050"/>
  <c r="BT67" i="24050"/>
  <c r="BT68" i="24050"/>
  <c r="BT64" i="24050"/>
  <c r="BT70" i="24050"/>
  <c r="BT65" i="24050"/>
  <c r="BT66" i="24050"/>
  <c r="BT63" i="24050"/>
  <c r="G366" i="23917"/>
  <c r="G76" i="23917"/>
  <c r="EK153" i="24050"/>
  <c r="FQ159" i="23917"/>
  <c r="BP71" i="24050"/>
  <c r="BP68" i="24050"/>
  <c r="BP64" i="24050"/>
  <c r="BP67" i="24050"/>
  <c r="BP69" i="24050"/>
  <c r="BP63" i="24050"/>
  <c r="BP65" i="24050"/>
  <c r="BP70" i="24050"/>
  <c r="BP66" i="24050"/>
  <c r="DA297" i="24050"/>
  <c r="EG303" i="23917"/>
  <c r="DA256" i="24050"/>
  <c r="EG262" i="23917"/>
  <c r="CY317" i="24050"/>
  <c r="EE323" i="23917"/>
  <c r="CU293" i="24050"/>
  <c r="EA299" i="23917"/>
  <c r="CB41" i="23917"/>
  <c r="CY284" i="24050"/>
  <c r="EE290" i="23917"/>
  <c r="AZ71" i="24050"/>
  <c r="AZ68" i="24050"/>
  <c r="AZ63" i="24050"/>
  <c r="AZ69" i="24050"/>
  <c r="AZ67" i="24050"/>
  <c r="AZ70" i="24050"/>
  <c r="AZ64" i="24050"/>
  <c r="AZ65" i="24050"/>
  <c r="AZ66" i="24050"/>
  <c r="FM17" i="23917"/>
  <c r="AO17" i="24050"/>
  <c r="BU20" i="23917"/>
  <c r="AV95" i="24050"/>
  <c r="CB101" i="23917"/>
  <c r="DI17" i="24050"/>
  <c r="EO20" i="23917"/>
  <c r="CX334" i="24050"/>
  <c r="ED340" i="23917"/>
  <c r="EI329" i="24050"/>
  <c r="FO335" i="23917"/>
  <c r="BR167" i="24050"/>
  <c r="CX173" i="23917"/>
  <c r="CX71" i="23917"/>
  <c r="BP290" i="24050"/>
  <c r="CV296" i="23917"/>
  <c r="CV74" i="23917"/>
  <c r="CW76" i="23917"/>
  <c r="CV76" i="23917"/>
  <c r="DM69" i="23917"/>
  <c r="DL69" i="23917"/>
  <c r="CF167" i="24050"/>
  <c r="DL173" i="23917"/>
  <c r="DL71" i="23917"/>
  <c r="CF21" i="24050"/>
  <c r="DL24" i="23917"/>
  <c r="EO44" i="24050"/>
  <c r="FU52" i="23917"/>
  <c r="CB17" i="24050"/>
  <c r="DH20" i="23917"/>
  <c r="CY75" i="24050"/>
  <c r="EE81" i="23917"/>
  <c r="CN326" i="24050"/>
  <c r="DT332" i="23917"/>
  <c r="DT75" i="23917"/>
  <c r="M101" i="23917"/>
  <c r="L101" i="23917"/>
  <c r="CH167" i="24050"/>
  <c r="DN173" i="23917"/>
  <c r="DN71" i="23917"/>
  <c r="EO110" i="24050"/>
  <c r="FU116" i="23917"/>
  <c r="CU59" i="24050"/>
  <c r="CU24" i="24050"/>
  <c r="EA27" i="23917"/>
  <c r="EA66" i="23917"/>
  <c r="AZ124" i="24050"/>
  <c r="CF130" i="23917"/>
  <c r="CF70" i="23917"/>
  <c r="EO311" i="24050"/>
  <c r="FU317" i="23917"/>
  <c r="AS17" i="24050"/>
  <c r="BY20" i="23917"/>
  <c r="CZ201" i="24050"/>
  <c r="EF207" i="23917"/>
  <c r="P332" i="23917"/>
  <c r="P75" i="23917"/>
  <c r="BD167" i="24050"/>
  <c r="CJ173" i="23917"/>
  <c r="CJ71" i="23917"/>
  <c r="DA313" i="24050"/>
  <c r="EG319" i="23917"/>
  <c r="AG11" i="23917"/>
  <c r="X11" i="23917"/>
  <c r="EL193" i="24050"/>
  <c r="FR199" i="23917"/>
  <c r="BZ71" i="24050"/>
  <c r="BZ68" i="24050"/>
  <c r="BZ65" i="24050"/>
  <c r="BZ64" i="24050"/>
  <c r="BZ66" i="24050"/>
  <c r="BZ70" i="24050"/>
  <c r="BZ69" i="24050"/>
  <c r="BZ63" i="24050"/>
  <c r="BZ67" i="24050"/>
  <c r="CH71" i="24050"/>
  <c r="CH63" i="24050"/>
  <c r="CH64" i="24050"/>
  <c r="CH69" i="24050"/>
  <c r="CH65" i="24050"/>
  <c r="CH66" i="24050"/>
  <c r="CH70" i="24050"/>
  <c r="CH68" i="24050"/>
  <c r="CH67" i="24050"/>
  <c r="BJ326" i="24050"/>
  <c r="CP332" i="23917"/>
  <c r="CP75" i="23917"/>
  <c r="CA326" i="24050"/>
  <c r="DG332" i="23917"/>
  <c r="DG75" i="23917"/>
  <c r="L332" i="23917"/>
  <c r="L75" i="23917"/>
  <c r="DA153" i="24050"/>
  <c r="EG159" i="23917"/>
  <c r="C366" i="23917"/>
  <c r="C76" i="23917"/>
  <c r="BJ71" i="24050"/>
  <c r="BJ68" i="24050"/>
  <c r="BJ65" i="24050"/>
  <c r="BJ64" i="24050"/>
  <c r="BJ66" i="24050"/>
  <c r="BJ70" i="24050"/>
  <c r="BJ63" i="24050"/>
  <c r="BJ67" i="24050"/>
  <c r="BJ69" i="24050"/>
  <c r="O69" i="23917"/>
  <c r="N69" i="23917"/>
  <c r="EA326" i="24050"/>
  <c r="FG332" i="23917"/>
  <c r="FG75" i="23917"/>
  <c r="BX290" i="24050"/>
  <c r="DD296" i="23917"/>
  <c r="DD74" i="23917"/>
  <c r="BX124" i="24050"/>
  <c r="DD130" i="23917"/>
  <c r="DD70" i="23917"/>
  <c r="BX20" i="24050"/>
  <c r="DD23" i="23917"/>
  <c r="S17" i="23917"/>
  <c r="AN326" i="24050"/>
  <c r="BT332" i="23917"/>
  <c r="BT75" i="23917"/>
  <c r="AN20" i="24050"/>
  <c r="BT23" i="23917"/>
  <c r="CX162" i="24050"/>
  <c r="ED168" i="23917"/>
  <c r="G77" i="23917"/>
  <c r="F77" i="23917"/>
  <c r="BT326" i="24050"/>
  <c r="CZ332" i="23917"/>
  <c r="CZ75" i="23917"/>
  <c r="BT207" i="24050"/>
  <c r="CZ213" i="23917"/>
  <c r="CZ72" i="23917"/>
  <c r="CS204" i="24050"/>
  <c r="CS10" i="24050"/>
  <c r="DY210" i="23917"/>
  <c r="BZ249" i="24050"/>
  <c r="DF255" i="23917"/>
  <c r="DF73" i="23917"/>
  <c r="BZ207" i="24050"/>
  <c r="DF213" i="23917"/>
  <c r="DF72" i="23917"/>
  <c r="BZ20" i="24050"/>
  <c r="DF23" i="23917"/>
  <c r="DC17" i="24050"/>
  <c r="EI20" i="23917"/>
  <c r="DA278" i="24050"/>
  <c r="EG284" i="23917"/>
  <c r="DN15" i="24050"/>
  <c r="ET408" i="23917"/>
  <c r="CW334" i="24050"/>
  <c r="EC340" i="23917"/>
  <c r="EK116" i="24050"/>
  <c r="FQ122" i="23917"/>
  <c r="BR290" i="24050"/>
  <c r="CX296" i="23917"/>
  <c r="CX74" i="23917"/>
  <c r="BP249" i="24050"/>
  <c r="CV255" i="23917"/>
  <c r="CV73" i="23917"/>
  <c r="BP124" i="24050"/>
  <c r="CV130" i="23917"/>
  <c r="CV70" i="23917"/>
  <c r="BP20" i="24050"/>
  <c r="CV23" i="23917"/>
  <c r="CF124" i="24050"/>
  <c r="DL130" i="23917"/>
  <c r="DL70" i="23917"/>
  <c r="CG17" i="24050"/>
  <c r="DM20" i="23917"/>
  <c r="EL278" i="24050"/>
  <c r="FR284" i="23917"/>
  <c r="BH32" i="24050"/>
  <c r="CN40" i="23917"/>
  <c r="G44" i="24068"/>
  <c r="BH39" i="24050"/>
  <c r="CN47" i="23917"/>
  <c r="CX202" i="24050"/>
  <c r="ED208" i="23917"/>
  <c r="CR170" i="24050"/>
  <c r="DX176" i="23917"/>
  <c r="EQ17" i="23917"/>
  <c r="EQ15" i="23917"/>
  <c r="EB121" i="24050"/>
  <c r="EB8" i="24050"/>
  <c r="FH127" i="23917"/>
  <c r="EL388" i="24050"/>
  <c r="CX388" i="24050"/>
  <c r="CN290" i="24050"/>
  <c r="DT296" i="23917"/>
  <c r="DT74" i="23917"/>
  <c r="CN124" i="24050"/>
  <c r="DT130" i="23917"/>
  <c r="DT70" i="23917"/>
  <c r="M47" i="23917"/>
  <c r="L47" i="23917"/>
  <c r="CH290" i="24050"/>
  <c r="DN296" i="23917"/>
  <c r="DN74" i="23917"/>
  <c r="CI17" i="24050"/>
  <c r="DO20" i="23917"/>
  <c r="EJ164" i="24050"/>
  <c r="EJ9" i="24050"/>
  <c r="FP170" i="23917"/>
  <c r="BJ207" i="24050"/>
  <c r="CP213" i="23917"/>
  <c r="CP72" i="23917"/>
  <c r="BJ20" i="24050"/>
  <c r="CP23" i="23917"/>
  <c r="EO312" i="24050"/>
  <c r="FU318" i="23917"/>
  <c r="AJ167" i="24050"/>
  <c r="BP173" i="23917"/>
  <c r="BP71" i="23917"/>
  <c r="AJ249" i="24050"/>
  <c r="BP255" i="23917"/>
  <c r="BP73" i="23917"/>
  <c r="AJ20" i="24050"/>
  <c r="BP23" i="23917"/>
  <c r="CU204" i="24050"/>
  <c r="CU10" i="24050"/>
  <c r="EA210" i="23917"/>
  <c r="AZ167" i="24050"/>
  <c r="CF173" i="23917"/>
  <c r="CF71" i="23917"/>
  <c r="AZ207" i="24050"/>
  <c r="CF213" i="23917"/>
  <c r="CF72" i="23917"/>
  <c r="AR249" i="24050"/>
  <c r="BX255" i="23917"/>
  <c r="BX73" i="23917"/>
  <c r="AR207" i="24050"/>
  <c r="BX213" i="23917"/>
  <c r="BX72" i="23917"/>
  <c r="AR21" i="24050"/>
  <c r="BX24" i="23917"/>
  <c r="CS321" i="24050"/>
  <c r="DY327" i="23917"/>
  <c r="CZ198" i="24050"/>
  <c r="EF204" i="23917"/>
  <c r="P366" i="23917"/>
  <c r="P76" i="23917"/>
  <c r="CY175" i="24050"/>
  <c r="EE181" i="23917"/>
  <c r="ER277" i="24050"/>
  <c r="FX283" i="23917"/>
  <c r="CU320" i="24050"/>
  <c r="EA326" i="23917"/>
  <c r="AD207" i="24050"/>
  <c r="BJ213" i="23917"/>
  <c r="BJ72" i="23917"/>
  <c r="AD290" i="24050"/>
  <c r="BJ296" i="23917"/>
  <c r="BJ74" i="23917"/>
  <c r="BD290" i="24050"/>
  <c r="CJ296" i="23917"/>
  <c r="CJ74" i="23917"/>
  <c r="BD207" i="24050"/>
  <c r="CJ213" i="23917"/>
  <c r="CJ72" i="23917"/>
  <c r="BE17" i="24050"/>
  <c r="CK20" i="23917"/>
  <c r="ES152" i="24050"/>
  <c r="FY158" i="23917"/>
  <c r="EI210" i="24050"/>
  <c r="FO216" i="23917"/>
  <c r="T17" i="24050"/>
  <c r="AZ20" i="23917"/>
  <c r="P5" i="24068"/>
  <c r="DY11" i="24050"/>
  <c r="X124" i="24050"/>
  <c r="BD130" i="23917"/>
  <c r="BD70" i="23917"/>
  <c r="X326" i="24050"/>
  <c r="BD332" i="23917"/>
  <c r="BD75" i="23917"/>
  <c r="X21" i="24050"/>
  <c r="BD24" i="23917"/>
  <c r="CX285" i="24050"/>
  <c r="ED291" i="23917"/>
  <c r="CP329" i="24050"/>
  <c r="DV335" i="23917"/>
  <c r="BF17" i="24050"/>
  <c r="CL20" i="23917"/>
  <c r="DA76" i="24050"/>
  <c r="DA88" i="24050"/>
  <c r="EG94" i="23917"/>
  <c r="EG82" i="23917"/>
  <c r="EL159" i="24050"/>
  <c r="FR165" i="23917"/>
  <c r="EC17" i="24050"/>
  <c r="FI20" i="23917"/>
  <c r="EL387" i="24050"/>
  <c r="CX387" i="24050"/>
  <c r="CW285" i="24050"/>
  <c r="EC291" i="23917"/>
  <c r="M255" i="23917"/>
  <c r="M73" i="23917"/>
  <c r="AJ71" i="24050"/>
  <c r="AJ68" i="24050"/>
  <c r="AJ69" i="24050"/>
  <c r="AJ70" i="24050"/>
  <c r="AJ67" i="24050"/>
  <c r="AJ66" i="24050"/>
  <c r="AJ64" i="24050"/>
  <c r="AJ65" i="24050"/>
  <c r="AJ63" i="24050"/>
  <c r="AV249" i="24050"/>
  <c r="CB255" i="23917"/>
  <c r="CB73" i="23917"/>
  <c r="CN41" i="23917"/>
  <c r="CN34" i="23917"/>
  <c r="CN25" i="23917"/>
  <c r="CZ155" i="24050"/>
  <c r="EF161" i="23917"/>
  <c r="CQ170" i="24050"/>
  <c r="DW176" i="23917"/>
  <c r="AN71" i="24050"/>
  <c r="AN68" i="24050"/>
  <c r="AN69" i="24050"/>
  <c r="AN66" i="24050"/>
  <c r="AN65" i="24050"/>
  <c r="AN64" i="24050"/>
  <c r="AN63" i="24050"/>
  <c r="AN67" i="24050"/>
  <c r="AN70" i="24050"/>
  <c r="CQ210" i="24050"/>
  <c r="DW216" i="23917"/>
  <c r="AV33" i="24050"/>
  <c r="AV22" i="24050"/>
  <c r="M296" i="23917"/>
  <c r="M74" i="23917"/>
  <c r="EM311" i="24050"/>
  <c r="FS317" i="23917"/>
  <c r="EM242" i="24050"/>
  <c r="FS248" i="23917"/>
  <c r="DA235" i="24050"/>
  <c r="EG241" i="23917"/>
  <c r="CW243" i="24050"/>
  <c r="EC249" i="23917"/>
  <c r="EL234" i="24050"/>
  <c r="FR240" i="23917"/>
  <c r="EK240" i="24050"/>
  <c r="FQ246" i="23917"/>
  <c r="CS246" i="24050"/>
  <c r="CS12" i="24050"/>
  <c r="DY252" i="23917"/>
  <c r="CX243" i="24050"/>
  <c r="ED249" i="23917"/>
  <c r="EQ236" i="24050"/>
  <c r="FW242" i="23917"/>
  <c r="CX244" i="24050"/>
  <c r="ED250" i="23917"/>
  <c r="EL242" i="24050"/>
  <c r="FR248" i="23917"/>
  <c r="EM234" i="24050"/>
  <c r="FS240" i="23917"/>
  <c r="EK235" i="24050"/>
  <c r="FQ241" i="23917"/>
  <c r="EP236" i="24050"/>
  <c r="FV242" i="23917"/>
  <c r="DA240" i="24050"/>
  <c r="EG246" i="23917"/>
  <c r="EK241" i="24050"/>
  <c r="FQ247" i="23917"/>
  <c r="DA241" i="24050"/>
  <c r="EG247" i="23917"/>
  <c r="EJ252" i="24050"/>
  <c r="FP258" i="23917"/>
  <c r="CT246" i="24050"/>
  <c r="CT247" i="24050" s="1"/>
  <c r="CT12" i="24050"/>
  <c r="DZ252" i="23917"/>
  <c r="DZ253" i="23917" s="1"/>
  <c r="CV244" i="24050"/>
  <c r="EB250" i="23917"/>
  <c r="CZ237" i="24050"/>
  <c r="EF243" i="23917"/>
  <c r="CY241" i="24050"/>
  <c r="EE247" i="23917"/>
  <c r="CR252" i="24050"/>
  <c r="DX258" i="23917"/>
  <c r="CY237" i="24050"/>
  <c r="EE243" i="23917"/>
  <c r="CU244" i="24050"/>
  <c r="EA250" i="23917"/>
  <c r="CQ252" i="24050"/>
  <c r="DW258" i="23917"/>
  <c r="EG322" i="23917"/>
  <c r="DA316" i="24050"/>
  <c r="CT321" i="24050"/>
  <c r="DZ327" i="23917"/>
  <c r="EK316" i="24050"/>
  <c r="FQ322" i="23917"/>
  <c r="ER17" i="23917"/>
  <c r="O23" i="23917"/>
  <c r="N33" i="23917"/>
  <c r="N40" i="23917"/>
  <c r="O24" i="23917"/>
  <c r="BN69" i="23917"/>
  <c r="BN76" i="23917"/>
  <c r="DD77" i="23917"/>
  <c r="R24" i="23917"/>
  <c r="R23" i="23917"/>
  <c r="BT77" i="23917"/>
  <c r="ET11" i="23917"/>
  <c r="CZ77" i="23917"/>
  <c r="FL17" i="23917"/>
  <c r="EO69" i="23917"/>
  <c r="GA386" i="23917"/>
  <c r="EU380" i="24050" s="1"/>
  <c r="FZ386" i="23917"/>
  <c r="CY76" i="23917"/>
  <c r="DM76" i="23917"/>
  <c r="FS389" i="23917"/>
  <c r="FR389" i="23917"/>
  <c r="FQ390" i="23917"/>
  <c r="DW10" i="23917"/>
  <c r="DN28" i="23917"/>
  <c r="BP77" i="23917"/>
  <c r="Y17" i="23917"/>
  <c r="X20" i="23917"/>
  <c r="BZ69" i="23917"/>
  <c r="BZ76" i="23917"/>
  <c r="CT76" i="23917"/>
  <c r="CT69" i="23917"/>
  <c r="DE69" i="23917"/>
  <c r="AI15" i="23917"/>
  <c r="AH17" i="23917"/>
  <c r="V23" i="23917"/>
  <c r="W20" i="23917"/>
  <c r="V24" i="23917"/>
  <c r="FA69" i="23917"/>
  <c r="FB17" i="23917"/>
  <c r="DW12" i="23917"/>
  <c r="EM69" i="23917"/>
  <c r="DF77" i="23917"/>
  <c r="DF28" i="23917"/>
  <c r="FO14" i="23917"/>
  <c r="BL69" i="23917"/>
  <c r="CR69" i="23917"/>
  <c r="CX77" i="23917"/>
  <c r="K39" i="24068"/>
  <c r="K40" i="24068" s="1"/>
  <c r="EG390" i="23917"/>
  <c r="EA13" i="23917"/>
  <c r="DU69" i="23917"/>
  <c r="DZ10" i="23917"/>
  <c r="CF77" i="23917"/>
  <c r="BX28" i="23917"/>
  <c r="EU15" i="23917"/>
  <c r="DX13" i="23917"/>
  <c r="GA388" i="23917"/>
  <c r="EU382" i="24050" s="1"/>
  <c r="FZ388" i="23917"/>
  <c r="DX12" i="23917"/>
  <c r="AD23" i="23917"/>
  <c r="AE20" i="23917"/>
  <c r="AD24" i="23917"/>
  <c r="FO10" i="23917"/>
  <c r="CC77" i="23917"/>
  <c r="CL76" i="23917"/>
  <c r="CL69" i="23917"/>
  <c r="FI76" i="23917"/>
  <c r="AF24" i="23917"/>
  <c r="AG20" i="23917"/>
  <c r="AF23" i="23917"/>
  <c r="DD28" i="23917"/>
  <c r="FM69" i="23917"/>
  <c r="FN17" i="23917"/>
  <c r="BT28" i="23917"/>
  <c r="DW13" i="23917"/>
  <c r="EB15" i="23917"/>
  <c r="DA76" i="23917"/>
  <c r="FN11" i="23917"/>
  <c r="DX10" i="23917"/>
  <c r="FV397" i="23917"/>
  <c r="FW397" i="23917"/>
  <c r="FB11" i="23917"/>
  <c r="DX9" i="23917"/>
  <c r="ER15" i="23917"/>
  <c r="DZ9" i="23917"/>
  <c r="DU76" i="23917"/>
  <c r="DT28" i="23917"/>
  <c r="M40" i="23917"/>
  <c r="ER11" i="23917"/>
  <c r="EV11" i="23917"/>
  <c r="CG76" i="23917"/>
  <c r="CO28" i="23917"/>
  <c r="C39" i="24068"/>
  <c r="G40" i="24068" s="1"/>
  <c r="DW9" i="23917"/>
  <c r="FP12" i="23917"/>
  <c r="Q23" i="23917"/>
  <c r="P33" i="23917"/>
  <c r="P40" i="23917"/>
  <c r="Q24" i="23917"/>
  <c r="T24" i="23917"/>
  <c r="U20" i="23917"/>
  <c r="T23" i="23917"/>
  <c r="FG69" i="23917"/>
  <c r="BD77" i="23917"/>
  <c r="FG76" i="23917"/>
  <c r="Z24" i="23917"/>
  <c r="Z23" i="23917"/>
  <c r="AA20" i="23917"/>
  <c r="AG17" i="23917"/>
  <c r="O70" i="23917"/>
  <c r="EA15" i="23917"/>
  <c r="CB28" i="23917"/>
  <c r="FD11" i="23917"/>
  <c r="K17" i="23917"/>
  <c r="J20" i="23917"/>
  <c r="ES15" i="23917"/>
  <c r="DL28" i="23917"/>
  <c r="EB13" i="23917"/>
  <c r="AQ15" i="23917"/>
  <c r="AP17" i="23917"/>
  <c r="AY15" i="23917"/>
  <c r="CQ69" i="23917"/>
  <c r="FE8" i="23917"/>
  <c r="FT394" i="23917"/>
  <c r="CZ388" i="24050" s="1"/>
  <c r="FU394" i="23917"/>
  <c r="DA388" i="24050" s="1"/>
  <c r="FP15" i="23917"/>
  <c r="M33" i="23917"/>
  <c r="DO76" i="23917"/>
  <c r="FO9" i="23917"/>
  <c r="CP77" i="23917"/>
  <c r="H39" i="24068"/>
  <c r="BP28" i="23917"/>
  <c r="FD17" i="23917"/>
  <c r="AM15" i="23917"/>
  <c r="AU15" i="23917"/>
  <c r="AL17" i="23917"/>
  <c r="FL11" i="23917"/>
  <c r="FW402" i="23917"/>
  <c r="FV402" i="23917"/>
  <c r="CO77" i="23917"/>
  <c r="FY387" i="23917"/>
  <c r="FX387" i="23917"/>
  <c r="Q70" i="23917"/>
  <c r="EX11" i="23917"/>
  <c r="AK15" i="23917"/>
  <c r="AS15" i="23917"/>
  <c r="AJ17" i="23917"/>
  <c r="BJ77" i="23917"/>
  <c r="E39" i="24068"/>
  <c r="AT69" i="23917"/>
  <c r="BE69" i="23917"/>
  <c r="DZ11" i="24050"/>
  <c r="EB11" i="24050"/>
  <c r="AB24" i="23917"/>
  <c r="AC20" i="23917"/>
  <c r="AB23" i="23917"/>
  <c r="DV14" i="23917"/>
  <c r="Y11" i="23917"/>
  <c r="AF69" i="23917"/>
  <c r="GN159" i="23916" l="1"/>
  <c r="GL7" i="23916"/>
  <c r="GL12" i="23916" s="1"/>
  <c r="GL160" i="23916"/>
  <c r="GM160" i="23916" s="1"/>
  <c r="GN59" i="23916"/>
  <c r="GO55" i="23916"/>
  <c r="GN56" i="23916"/>
  <c r="GO56" i="23916" s="1"/>
  <c r="GO390" i="23916"/>
  <c r="GP39" i="23916"/>
  <c r="GQ30" i="23916"/>
  <c r="GO151" i="23916"/>
  <c r="GN156" i="23916"/>
  <c r="GO156" i="23916" s="1"/>
  <c r="GN394" i="23916"/>
  <c r="GO394" i="23916" s="1"/>
  <c r="GL398" i="23916"/>
  <c r="GM398" i="23916" s="1"/>
  <c r="GR28" i="23916"/>
  <c r="GT25" i="23916"/>
  <c r="GS25" i="23916"/>
  <c r="GR27" i="23916"/>
  <c r="GO387" i="23916"/>
  <c r="GN163" i="23916"/>
  <c r="GN160" i="23916"/>
  <c r="GO159" i="23916"/>
  <c r="GN7" i="23916"/>
  <c r="GL56" i="23916"/>
  <c r="GM56" i="23916" s="1"/>
  <c r="GL59" i="23916"/>
  <c r="GM55" i="23916"/>
  <c r="GL403" i="23916"/>
  <c r="GM163" i="23916"/>
  <c r="BX72" i="24050"/>
  <c r="U24" i="24068"/>
  <c r="V24" i="24068"/>
  <c r="AX17" i="23917"/>
  <c r="BG17" i="23917"/>
  <c r="CN72" i="24050"/>
  <c r="EW15" i="23917"/>
  <c r="EZ15" i="23917"/>
  <c r="AN17" i="23917"/>
  <c r="AO17" i="23917"/>
  <c r="AW17" i="23917"/>
  <c r="AF20" i="23917"/>
  <c r="AR72" i="24050"/>
  <c r="BB17" i="23917"/>
  <c r="BC17" i="23917"/>
  <c r="BK17" i="23917"/>
  <c r="AV26" i="24050"/>
  <c r="DT399" i="24050"/>
  <c r="CF399" i="24050"/>
  <c r="CF400" i="24050" s="1"/>
  <c r="EO111" i="24050"/>
  <c r="FU117" i="23917"/>
  <c r="AB167" i="24050"/>
  <c r="BH173" i="23917"/>
  <c r="BH71" i="23917"/>
  <c r="BI76" i="23917"/>
  <c r="BH76" i="23917"/>
  <c r="Y21" i="24050"/>
  <c r="BE24" i="23917"/>
  <c r="X25" i="24050"/>
  <c r="BD33" i="23917"/>
  <c r="Y207" i="24050"/>
  <c r="BE213" i="23917"/>
  <c r="BE72" i="23917"/>
  <c r="AC69" i="23917"/>
  <c r="AB69" i="23917"/>
  <c r="AB255" i="23917"/>
  <c r="AB73" i="23917"/>
  <c r="EK199" i="24050"/>
  <c r="FQ205" i="23917"/>
  <c r="N167" i="24050"/>
  <c r="AT173" i="23917"/>
  <c r="AT71" i="23917"/>
  <c r="N326" i="24050"/>
  <c r="AT332" i="23917"/>
  <c r="AT75" i="23917"/>
  <c r="BD32" i="24050"/>
  <c r="CJ40" i="23917"/>
  <c r="CJ41" i="23917" s="1"/>
  <c r="BD83" i="24050"/>
  <c r="CJ89" i="23917"/>
  <c r="CK77" i="23917"/>
  <c r="CJ77" i="23917"/>
  <c r="BS249" i="24050"/>
  <c r="CY255" i="23917"/>
  <c r="CY73" i="23917"/>
  <c r="L207" i="24050"/>
  <c r="AR213" i="23917"/>
  <c r="AR72" i="23917"/>
  <c r="L20" i="24050"/>
  <c r="AR23" i="23917"/>
  <c r="CZ161" i="24050"/>
  <c r="EF167" i="23917"/>
  <c r="Z124" i="24050"/>
  <c r="BF130" i="23917"/>
  <c r="BF70" i="23917"/>
  <c r="BF76" i="23917"/>
  <c r="Z20" i="24050"/>
  <c r="BF23" i="23917"/>
  <c r="DA198" i="24050"/>
  <c r="EG204" i="23917"/>
  <c r="BY77" i="23917"/>
  <c r="BX77" i="23917"/>
  <c r="BI167" i="24050"/>
  <c r="CO173" i="23917"/>
  <c r="CO71" i="23917"/>
  <c r="FL69" i="23917"/>
  <c r="FK69" i="23917"/>
  <c r="CL249" i="24050"/>
  <c r="DR255" i="23917"/>
  <c r="DR73" i="23917"/>
  <c r="CL326" i="24050"/>
  <c r="DR332" i="23917"/>
  <c r="DR75" i="23917"/>
  <c r="DS76" i="23917"/>
  <c r="DR76" i="23917"/>
  <c r="BJ32" i="24050"/>
  <c r="CP40" i="23917"/>
  <c r="CP41" i="23917" s="1"/>
  <c r="BJ83" i="24050"/>
  <c r="CP89" i="23917"/>
  <c r="EQ110" i="24050"/>
  <c r="FW116" i="23917"/>
  <c r="M53" i="23917"/>
  <c r="L53" i="23917"/>
  <c r="CO124" i="24050"/>
  <c r="DU130" i="23917"/>
  <c r="DU70" i="23917"/>
  <c r="CG21" i="24050"/>
  <c r="DM24" i="23917"/>
  <c r="CG207" i="24050"/>
  <c r="DM213" i="23917"/>
  <c r="DM72" i="23917"/>
  <c r="P167" i="24050"/>
  <c r="AV173" i="23917"/>
  <c r="AV71" i="23917"/>
  <c r="P207" i="24050"/>
  <c r="AV213" i="23917"/>
  <c r="AV72" i="23917"/>
  <c r="DE326" i="24050"/>
  <c r="EK332" i="23917"/>
  <c r="EK75" i="23917"/>
  <c r="DE290" i="24050"/>
  <c r="EK74" i="23917"/>
  <c r="DE20" i="24050"/>
  <c r="EK23" i="23917"/>
  <c r="BB124" i="24050"/>
  <c r="CH130" i="23917"/>
  <c r="CH70" i="23917"/>
  <c r="BB207" i="24050"/>
  <c r="CH213" i="23917"/>
  <c r="CH72" i="23917"/>
  <c r="CX59" i="24050"/>
  <c r="CX24" i="24050"/>
  <c r="ED66" i="23917"/>
  <c r="ED27" i="23917"/>
  <c r="AN39" i="24050"/>
  <c r="BT47" i="23917"/>
  <c r="AO167" i="24050"/>
  <c r="BU173" i="23917"/>
  <c r="BU71" i="23917"/>
  <c r="DQ76" i="23917"/>
  <c r="DP76" i="23917"/>
  <c r="CJ21" i="24050"/>
  <c r="DP24" i="23917"/>
  <c r="Z213" i="23917"/>
  <c r="Z72" i="23917"/>
  <c r="EM76" i="24050"/>
  <c r="EM88" i="24050"/>
  <c r="FS94" i="23917"/>
  <c r="FS82" i="23917"/>
  <c r="AX326" i="24050"/>
  <c r="CD332" i="23917"/>
  <c r="CD75" i="23917"/>
  <c r="AX167" i="24050"/>
  <c r="CD173" i="23917"/>
  <c r="CD71" i="23917"/>
  <c r="AX21" i="24050"/>
  <c r="CD24" i="23917"/>
  <c r="E42" i="24068"/>
  <c r="CJ28" i="23917"/>
  <c r="CJ29" i="23917" s="1"/>
  <c r="T366" i="23917"/>
  <c r="T76" i="23917"/>
  <c r="T213" i="23917"/>
  <c r="T72" i="23917"/>
  <c r="Q89" i="23917"/>
  <c r="P89" i="23917"/>
  <c r="EA207" i="24050"/>
  <c r="FG213" i="23917"/>
  <c r="FG72" i="23917"/>
  <c r="EL87" i="24050"/>
  <c r="FR93" i="23917"/>
  <c r="CR329" i="24050"/>
  <c r="DX335" i="23917"/>
  <c r="AR83" i="24050"/>
  <c r="BX89" i="23917"/>
  <c r="C42" i="24068"/>
  <c r="G43" i="24068" s="1"/>
  <c r="CF28" i="23917"/>
  <c r="CF29" i="23917" s="1"/>
  <c r="AZ95" i="24050"/>
  <c r="CF101" i="23917"/>
  <c r="BA249" i="24050"/>
  <c r="CG255" i="23917"/>
  <c r="CG73" i="23917"/>
  <c r="BS69" i="23917"/>
  <c r="BR69" i="23917"/>
  <c r="AL207" i="24050"/>
  <c r="BR213" i="23917"/>
  <c r="BR72" i="23917"/>
  <c r="AL20" i="24050"/>
  <c r="BR23" i="23917"/>
  <c r="CI207" i="24050"/>
  <c r="DO213" i="23917"/>
  <c r="DO72" i="23917"/>
  <c r="ER69" i="23917"/>
  <c r="EQ69" i="23917"/>
  <c r="M49" i="23917"/>
  <c r="L49" i="23917"/>
  <c r="CN32" i="24050"/>
  <c r="CN33" i="24050" s="1"/>
  <c r="DT40" i="23917"/>
  <c r="CN83" i="24050"/>
  <c r="DT89" i="23917"/>
  <c r="CO167" i="24050"/>
  <c r="DU173" i="23917"/>
  <c r="DU71" i="23917"/>
  <c r="DK360" i="24050"/>
  <c r="EQ366" i="23917"/>
  <c r="EQ76" i="23917"/>
  <c r="EL198" i="24050"/>
  <c r="FR204" i="23917"/>
  <c r="EP44" i="24050"/>
  <c r="FV52" i="23917"/>
  <c r="DC20" i="24050"/>
  <c r="EI23" i="23917"/>
  <c r="DC290" i="24050"/>
  <c r="EI296" i="23917"/>
  <c r="EI74" i="23917"/>
  <c r="DD17" i="24050"/>
  <c r="EJ20" i="23917"/>
  <c r="AO326" i="24050"/>
  <c r="BU332" i="23917"/>
  <c r="BU75" i="23917"/>
  <c r="BX25" i="24050"/>
  <c r="BX26" i="24050" s="1"/>
  <c r="DD33" i="23917"/>
  <c r="DD31" i="23917" s="1"/>
  <c r="BX95" i="24050"/>
  <c r="DD101" i="23917"/>
  <c r="AF130" i="23917"/>
  <c r="AF70" i="23917"/>
  <c r="AF213" i="23917"/>
  <c r="AF72" i="23917"/>
  <c r="EC290" i="24050"/>
  <c r="FI296" i="23917"/>
  <c r="FI74" i="23917"/>
  <c r="ED17" i="24050"/>
  <c r="FJ20" i="23917"/>
  <c r="EL174" i="24050"/>
  <c r="FR180" i="23917"/>
  <c r="BF124" i="24050"/>
  <c r="CL130" i="23917"/>
  <c r="CL70" i="23917"/>
  <c r="BF290" i="24050"/>
  <c r="CL296" i="23917"/>
  <c r="CL74" i="23917"/>
  <c r="BG17" i="24050"/>
  <c r="CM20" i="23917"/>
  <c r="CD290" i="24050"/>
  <c r="DJ296" i="23917"/>
  <c r="DJ74" i="23917"/>
  <c r="CE17" i="24050"/>
  <c r="DK20" i="23917"/>
  <c r="EQ276" i="24050"/>
  <c r="FW282" i="23917"/>
  <c r="AD366" i="23917"/>
  <c r="AD76" i="23917"/>
  <c r="AD173" i="23917"/>
  <c r="AD71" i="23917"/>
  <c r="BV326" i="24050"/>
  <c r="DB332" i="23917"/>
  <c r="DB75" i="23917"/>
  <c r="BV124" i="24050"/>
  <c r="DB130" i="23917"/>
  <c r="DB70" i="23917"/>
  <c r="EK201" i="24050"/>
  <c r="FQ207" i="23917"/>
  <c r="AS290" i="24050"/>
  <c r="BY296" i="23917"/>
  <c r="BY74" i="23917"/>
  <c r="BA20" i="24050"/>
  <c r="CG23" i="23917"/>
  <c r="BI290" i="24050"/>
  <c r="CO296" i="23917"/>
  <c r="CO74" i="23917"/>
  <c r="EN313" i="24050"/>
  <c r="FT319" i="23917"/>
  <c r="EP312" i="24050"/>
  <c r="FV318" i="23917"/>
  <c r="CO20" i="24050"/>
  <c r="DU23" i="23917"/>
  <c r="CO207" i="24050"/>
  <c r="DU213" i="23917"/>
  <c r="DU72" i="23917"/>
  <c r="CG124" i="24050"/>
  <c r="DM130" i="23917"/>
  <c r="DM70" i="23917"/>
  <c r="K44" i="24068"/>
  <c r="BP39" i="24050"/>
  <c r="CV47" i="23917"/>
  <c r="BR25" i="24050"/>
  <c r="BR26" i="24050" s="1"/>
  <c r="CX33" i="23917"/>
  <c r="CX34" i="23917" s="1"/>
  <c r="BR95" i="24050"/>
  <c r="CX101" i="23917"/>
  <c r="BL249" i="24050"/>
  <c r="CR255" i="23917"/>
  <c r="CR73" i="23917"/>
  <c r="CS76" i="23917"/>
  <c r="CR76" i="23917"/>
  <c r="AF167" i="24050"/>
  <c r="BL173" i="23917"/>
  <c r="BL71" i="23917"/>
  <c r="AG17" i="24050"/>
  <c r="BM20" i="23917"/>
  <c r="BZ25" i="24050"/>
  <c r="BZ26" i="24050" s="1"/>
  <c r="DF33" i="23917"/>
  <c r="DF31" i="23917" s="1"/>
  <c r="BZ95" i="24050"/>
  <c r="DF101" i="23917"/>
  <c r="BT32" i="24050"/>
  <c r="CZ40" i="23917"/>
  <c r="BT83" i="24050"/>
  <c r="CZ89" i="23917"/>
  <c r="DG124" i="24050"/>
  <c r="EM130" i="23917"/>
  <c r="EM70" i="23917"/>
  <c r="DG167" i="24050"/>
  <c r="EM173" i="23917"/>
  <c r="EM71" i="23917"/>
  <c r="DG20" i="24050"/>
  <c r="EM23" i="23917"/>
  <c r="EL160" i="24050"/>
  <c r="FR166" i="23917"/>
  <c r="V130" i="23917"/>
  <c r="V70" i="23917"/>
  <c r="V255" i="23917"/>
  <c r="V73" i="23917"/>
  <c r="CX287" i="24050"/>
  <c r="CX288" i="24050" s="1"/>
  <c r="CX13" i="24050"/>
  <c r="ED293" i="23917"/>
  <c r="ED294" i="23917" s="1"/>
  <c r="AW124" i="24050"/>
  <c r="CC130" i="23917"/>
  <c r="CC70" i="23917"/>
  <c r="T167" i="24050"/>
  <c r="AZ173" i="23917"/>
  <c r="AZ71" i="23917"/>
  <c r="T207" i="24050"/>
  <c r="AZ213" i="23917"/>
  <c r="AZ72" i="23917"/>
  <c r="BW69" i="23917"/>
  <c r="BV69" i="23917"/>
  <c r="AP167" i="24050"/>
  <c r="BV173" i="23917"/>
  <c r="BV71" i="23917"/>
  <c r="AD32" i="24050"/>
  <c r="BJ40" i="23917"/>
  <c r="AD95" i="24050"/>
  <c r="BJ101" i="23917"/>
  <c r="BN249" i="24050"/>
  <c r="CT255" i="23917"/>
  <c r="CT73" i="23917"/>
  <c r="BN207" i="24050"/>
  <c r="CT213" i="23917"/>
  <c r="CT72" i="23917"/>
  <c r="BN290" i="24050"/>
  <c r="CT296" i="23917"/>
  <c r="CT74" i="23917"/>
  <c r="EM192" i="24050"/>
  <c r="FS198" i="23917"/>
  <c r="AT167" i="24050"/>
  <c r="BZ173" i="23917"/>
  <c r="BZ71" i="23917"/>
  <c r="AT124" i="24050"/>
  <c r="BZ130" i="23917"/>
  <c r="BZ70" i="23917"/>
  <c r="AT21" i="24050"/>
  <c r="BZ24" i="23917"/>
  <c r="BI326" i="24050"/>
  <c r="CO332" i="23917"/>
  <c r="CO75" i="23917"/>
  <c r="EQ310" i="24050"/>
  <c r="FW316" i="23917"/>
  <c r="AJ39" i="24050"/>
  <c r="BP47" i="23917"/>
  <c r="CH32" i="24050"/>
  <c r="DN40" i="23917"/>
  <c r="CH83" i="24050"/>
  <c r="DN89" i="23917"/>
  <c r="CB124" i="24050"/>
  <c r="DH130" i="23917"/>
  <c r="DH70" i="23917"/>
  <c r="CB326" i="24050"/>
  <c r="DH332" i="23917"/>
  <c r="DH75" i="23917"/>
  <c r="CB21" i="24050"/>
  <c r="DH24" i="23917"/>
  <c r="CY383" i="24050"/>
  <c r="K42" i="24068"/>
  <c r="K43" i="24068" s="1"/>
  <c r="CV28" i="23917"/>
  <c r="CV29" i="23917" s="1"/>
  <c r="CW77" i="23917"/>
  <c r="CV77" i="23917"/>
  <c r="CV78" i="23917" s="1"/>
  <c r="DI326" i="24050"/>
  <c r="EO332" i="23917"/>
  <c r="EO75" i="23917"/>
  <c r="DI20" i="24050"/>
  <c r="EO23" i="23917"/>
  <c r="EI293" i="24050"/>
  <c r="FO299" i="23917"/>
  <c r="AV41" i="24050"/>
  <c r="CB49" i="23917"/>
  <c r="R213" i="23917"/>
  <c r="R72" i="23917"/>
  <c r="R173" i="23917"/>
  <c r="R71" i="23917"/>
  <c r="BY124" i="24050"/>
  <c r="DE130" i="23917"/>
  <c r="DE70" i="23917"/>
  <c r="AH249" i="24050"/>
  <c r="BN255" i="23917"/>
  <c r="BN73" i="23917"/>
  <c r="AH167" i="24050"/>
  <c r="BN173" i="23917"/>
  <c r="BN71" i="23917"/>
  <c r="AH21" i="24050"/>
  <c r="BN24" i="23917"/>
  <c r="DK17" i="24050"/>
  <c r="EQ20" i="23917"/>
  <c r="DA155" i="24050"/>
  <c r="EG161" i="23917"/>
  <c r="EL111" i="24050"/>
  <c r="FR117" i="23917"/>
  <c r="EC71" i="24050"/>
  <c r="EC65" i="24050"/>
  <c r="EC69" i="24050"/>
  <c r="EC70" i="24050"/>
  <c r="EC63" i="24050"/>
  <c r="EC64" i="24050"/>
  <c r="EC66" i="24050"/>
  <c r="EC67" i="24050"/>
  <c r="EC68" i="24050"/>
  <c r="CQ329" i="24050"/>
  <c r="DW335" i="23917"/>
  <c r="P6" i="24068"/>
  <c r="Q6" i="24068"/>
  <c r="Q366" i="23917"/>
  <c r="Q76" i="23917"/>
  <c r="DF29" i="23917"/>
  <c r="BJ72" i="24050"/>
  <c r="CH72" i="24050"/>
  <c r="Q332" i="23917"/>
  <c r="Q75" i="23917"/>
  <c r="EM153" i="24050"/>
  <c r="FS159" i="23917"/>
  <c r="EL281" i="24050"/>
  <c r="FR287" i="23917"/>
  <c r="CJ25" i="23917"/>
  <c r="BV71" i="24050"/>
  <c r="BV68" i="24050"/>
  <c r="BV70" i="24050"/>
  <c r="BV63" i="24050"/>
  <c r="BV64" i="24050"/>
  <c r="BV66" i="24050"/>
  <c r="BV69" i="24050"/>
  <c r="BV67" i="24050"/>
  <c r="BV65" i="24050"/>
  <c r="CF25" i="23917"/>
  <c r="CU210" i="24050"/>
  <c r="EA216" i="23917"/>
  <c r="CP25" i="23917"/>
  <c r="CN22" i="24050"/>
  <c r="CN31" i="23917"/>
  <c r="P71" i="24050"/>
  <c r="P70" i="24050"/>
  <c r="P65" i="24050"/>
  <c r="P68" i="24050"/>
  <c r="P66" i="24050"/>
  <c r="P63" i="24050"/>
  <c r="P64" i="24050"/>
  <c r="P69" i="24050"/>
  <c r="P67" i="24050"/>
  <c r="CA290" i="24050"/>
  <c r="DG296" i="23917"/>
  <c r="DG74" i="23917"/>
  <c r="CU170" i="24050"/>
  <c r="EA176" i="23917"/>
  <c r="BD72" i="24050"/>
  <c r="CF72" i="24050"/>
  <c r="EL397" i="24050"/>
  <c r="CX397" i="24050"/>
  <c r="AX71" i="24050"/>
  <c r="AX64" i="24050"/>
  <c r="AX63" i="24050"/>
  <c r="AX70" i="24050"/>
  <c r="AX68" i="24050"/>
  <c r="AX65" i="24050"/>
  <c r="AX66" i="24050"/>
  <c r="AX67" i="24050"/>
  <c r="AX69" i="24050"/>
  <c r="Q296" i="23917"/>
  <c r="Q74" i="23917"/>
  <c r="CS293" i="24050"/>
  <c r="DY299" i="23917"/>
  <c r="CL71" i="24050"/>
  <c r="CL63" i="24050"/>
  <c r="CL69" i="24050"/>
  <c r="CL66" i="24050"/>
  <c r="CL68" i="24050"/>
  <c r="CL70" i="24050"/>
  <c r="CL64" i="24050"/>
  <c r="CL65" i="24050"/>
  <c r="CL67" i="24050"/>
  <c r="EJ170" i="24050"/>
  <c r="FP176" i="23917"/>
  <c r="CX25" i="23917"/>
  <c r="CA167" i="24050"/>
  <c r="DG173" i="23917"/>
  <c r="DG71" i="23917"/>
  <c r="BX22" i="24050"/>
  <c r="O255" i="23917"/>
  <c r="O73" i="23917"/>
  <c r="CD399" i="24050"/>
  <c r="CD400" i="24050" s="1"/>
  <c r="DR399" i="24050"/>
  <c r="BI20" i="24050"/>
  <c r="CO23" i="23917"/>
  <c r="DT29" i="23917"/>
  <c r="AB207" i="24050"/>
  <c r="BH213" i="23917"/>
  <c r="BH72" i="23917"/>
  <c r="AC17" i="24050"/>
  <c r="BI20" i="23917"/>
  <c r="EN111" i="24050"/>
  <c r="FT117" i="23917"/>
  <c r="AB124" i="24050"/>
  <c r="BH130" i="23917"/>
  <c r="BH70" i="23917"/>
  <c r="AB249" i="24050"/>
  <c r="BH255" i="23917"/>
  <c r="BH73" i="23917"/>
  <c r="AB20" i="24050"/>
  <c r="BH23" i="23917"/>
  <c r="X39" i="24050"/>
  <c r="BD47" i="23917"/>
  <c r="Y249" i="24050"/>
  <c r="BE255" i="23917"/>
  <c r="BE73" i="23917"/>
  <c r="AB296" i="23917"/>
  <c r="AB74" i="23917"/>
  <c r="AB366" i="23917"/>
  <c r="AB76" i="23917"/>
  <c r="N249" i="24050"/>
  <c r="AT255" i="23917"/>
  <c r="AT73" i="23917"/>
  <c r="N20" i="24050"/>
  <c r="AT23" i="23917"/>
  <c r="BD25" i="24050"/>
  <c r="BD26" i="24050" s="1"/>
  <c r="CJ33" i="23917"/>
  <c r="CJ34" i="23917" s="1"/>
  <c r="BD95" i="24050"/>
  <c r="CJ101" i="23917"/>
  <c r="L124" i="24050"/>
  <c r="AR130" i="23917"/>
  <c r="AR70" i="23917"/>
  <c r="L326" i="24050"/>
  <c r="AR332" i="23917"/>
  <c r="AR75" i="23917"/>
  <c r="L21" i="24050"/>
  <c r="AR24" i="23917"/>
  <c r="DA175" i="24050"/>
  <c r="EG181" i="23917"/>
  <c r="Z290" i="24050"/>
  <c r="BF296" i="23917"/>
  <c r="BF74" i="23917"/>
  <c r="Z167" i="24050"/>
  <c r="BF173" i="23917"/>
  <c r="BF71" i="23917"/>
  <c r="CZ202" i="24050"/>
  <c r="EF208" i="23917"/>
  <c r="CV164" i="24050"/>
  <c r="CV165" i="24050" s="1"/>
  <c r="CV9" i="24050"/>
  <c r="EB170" i="23917"/>
  <c r="EB171" i="23917" s="1"/>
  <c r="AS326" i="24050"/>
  <c r="BY332" i="23917"/>
  <c r="BY75" i="23917"/>
  <c r="BA167" i="24050"/>
  <c r="CG173" i="23917"/>
  <c r="CG71" i="23917"/>
  <c r="DS69" i="23917"/>
  <c r="DR69" i="23917"/>
  <c r="CL207" i="24050"/>
  <c r="DR213" i="23917"/>
  <c r="DR72" i="23917"/>
  <c r="CL20" i="24050"/>
  <c r="DR23" i="23917"/>
  <c r="BJ25" i="24050"/>
  <c r="CP33" i="23917"/>
  <c r="CP34" i="23917" s="1"/>
  <c r="BJ95" i="24050"/>
  <c r="CP101" i="23917"/>
  <c r="DU77" i="23917"/>
  <c r="DT77" i="23917"/>
  <c r="DT78" i="23917" s="1"/>
  <c r="CF32" i="24050"/>
  <c r="DL40" i="23917"/>
  <c r="CF83" i="24050"/>
  <c r="DL89" i="23917"/>
  <c r="CG167" i="24050"/>
  <c r="DM173" i="23917"/>
  <c r="DM71" i="23917"/>
  <c r="EO173" i="24050"/>
  <c r="FU179" i="23917"/>
  <c r="CX320" i="24050"/>
  <c r="ED326" i="23917"/>
  <c r="P249" i="24050"/>
  <c r="AV255" i="23917"/>
  <c r="AV73" i="23917"/>
  <c r="P360" i="24050"/>
  <c r="AV366" i="23917"/>
  <c r="AV76" i="23917"/>
  <c r="P20" i="24050"/>
  <c r="AV23" i="23917"/>
  <c r="DE360" i="24050"/>
  <c r="EK366" i="23917"/>
  <c r="EK76" i="23917"/>
  <c r="DE167" i="24050"/>
  <c r="EK173" i="23917"/>
  <c r="EK71" i="23917"/>
  <c r="DE21" i="24050"/>
  <c r="EK24" i="23917"/>
  <c r="CI69" i="23917"/>
  <c r="CH69" i="23917"/>
  <c r="BB167" i="24050"/>
  <c r="CH173" i="23917"/>
  <c r="CH71" i="23917"/>
  <c r="BB21" i="24050"/>
  <c r="CH24" i="23917"/>
  <c r="CA20" i="24050"/>
  <c r="DG23" i="23917"/>
  <c r="AW167" i="24050"/>
  <c r="CC173" i="23917"/>
  <c r="CC71" i="23917"/>
  <c r="AV45" i="24050"/>
  <c r="CB53" i="23917"/>
  <c r="BU207" i="24050"/>
  <c r="DA213" i="23917"/>
  <c r="DA72" i="23917"/>
  <c r="AW290" i="24050"/>
  <c r="CC296" i="23917"/>
  <c r="CC74" i="23917"/>
  <c r="CJ326" i="24050"/>
  <c r="DP332" i="23917"/>
  <c r="DP75" i="23917"/>
  <c r="CJ249" i="24050"/>
  <c r="DP255" i="23917"/>
  <c r="DP73" i="23917"/>
  <c r="CK17" i="24050"/>
  <c r="DQ20" i="23917"/>
  <c r="O77" i="23917"/>
  <c r="N77" i="23917"/>
  <c r="Z255" i="23917"/>
  <c r="Z73" i="23917"/>
  <c r="Z296" i="23917"/>
  <c r="Z74" i="23917"/>
  <c r="AX207" i="24050"/>
  <c r="CD213" i="23917"/>
  <c r="CD72" i="23917"/>
  <c r="AX290" i="24050"/>
  <c r="CD296" i="23917"/>
  <c r="CD74" i="23917"/>
  <c r="EL296" i="24050"/>
  <c r="FR302" i="23917"/>
  <c r="T296" i="23917"/>
  <c r="T74" i="23917"/>
  <c r="T173" i="23917"/>
  <c r="T71" i="23917"/>
  <c r="Q101" i="23917"/>
  <c r="P101" i="23917"/>
  <c r="EA249" i="24050"/>
  <c r="FG255" i="23917"/>
  <c r="FG73" i="23917"/>
  <c r="EA290" i="24050"/>
  <c r="FG296" i="23917"/>
  <c r="FG74" i="23917"/>
  <c r="AA69" i="23917"/>
  <c r="R69" i="23917"/>
  <c r="EK75" i="24050"/>
  <c r="FQ81" i="23917"/>
  <c r="CS323" i="24050"/>
  <c r="CS14" i="24050"/>
  <c r="DY329" i="23917"/>
  <c r="AR25" i="24050"/>
  <c r="BX33" i="23917"/>
  <c r="AR95" i="24050"/>
  <c r="BX101" i="23917"/>
  <c r="BA21" i="24050"/>
  <c r="CG24" i="23917"/>
  <c r="C44" i="24068"/>
  <c r="AZ39" i="24050"/>
  <c r="CF47" i="23917"/>
  <c r="EQ194" i="24050"/>
  <c r="FW200" i="23917"/>
  <c r="AL249" i="24050"/>
  <c r="BR255" i="23917"/>
  <c r="BR73" i="23917"/>
  <c r="AL290" i="24050"/>
  <c r="BR296" i="23917"/>
  <c r="BR74" i="23917"/>
  <c r="CI124" i="24050"/>
  <c r="DO130" i="23917"/>
  <c r="DO70" i="23917"/>
  <c r="M48" i="23917"/>
  <c r="L48" i="23917"/>
  <c r="CO21" i="24050"/>
  <c r="DU24" i="23917"/>
  <c r="CN95" i="24050"/>
  <c r="DT101" i="23917"/>
  <c r="EK213" i="24050"/>
  <c r="FQ219" i="23917"/>
  <c r="EQ44" i="24050"/>
  <c r="FW52" i="23917"/>
  <c r="CG290" i="24050"/>
  <c r="DM296" i="23917"/>
  <c r="DM74" i="23917"/>
  <c r="EL116" i="24050"/>
  <c r="FR122" i="23917"/>
  <c r="EK284" i="24050"/>
  <c r="FQ290" i="23917"/>
  <c r="DC249" i="24050"/>
  <c r="EI255" i="23917"/>
  <c r="EI73" i="23917"/>
  <c r="EJ69" i="23917"/>
  <c r="EI69" i="23917"/>
  <c r="DC21" i="24050"/>
  <c r="EI24" i="23917"/>
  <c r="BU249" i="24050"/>
  <c r="DA255" i="23917"/>
  <c r="DA73" i="23917"/>
  <c r="CX164" i="24050"/>
  <c r="CX165" i="24050" s="1"/>
  <c r="CX9" i="24050"/>
  <c r="ED170" i="23917"/>
  <c r="ED171" i="23917" s="1"/>
  <c r="BX32" i="24050"/>
  <c r="DD40" i="23917"/>
  <c r="DD41" i="23917" s="1"/>
  <c r="BX39" i="24050"/>
  <c r="DD47" i="23917"/>
  <c r="AF296" i="23917"/>
  <c r="AF74" i="23917"/>
  <c r="AF255" i="23917"/>
  <c r="AF73" i="23917"/>
  <c r="EC207" i="24050"/>
  <c r="FI213" i="23917"/>
  <c r="FI72" i="23917"/>
  <c r="EC124" i="24050"/>
  <c r="FI130" i="23917"/>
  <c r="FI70" i="23917"/>
  <c r="EC20" i="24050"/>
  <c r="FI23" i="23917"/>
  <c r="EM174" i="24050"/>
  <c r="FS180" i="23917"/>
  <c r="BF167" i="24050"/>
  <c r="CL173" i="23917"/>
  <c r="CL71" i="23917"/>
  <c r="BF21" i="24050"/>
  <c r="CL24" i="23917"/>
  <c r="CD207" i="24050"/>
  <c r="DJ213" i="23917"/>
  <c r="DJ72" i="23917"/>
  <c r="CD124" i="24050"/>
  <c r="DJ130" i="23917"/>
  <c r="DJ70" i="23917"/>
  <c r="CD21" i="24050"/>
  <c r="DJ24" i="23917"/>
  <c r="EU152" i="24050"/>
  <c r="GA158" i="23917"/>
  <c r="AD332" i="23917"/>
  <c r="AD75" i="23917"/>
  <c r="AD255" i="23917"/>
  <c r="AD73" i="23917"/>
  <c r="CI249" i="24050"/>
  <c r="DO255" i="23917"/>
  <c r="DO73" i="23917"/>
  <c r="BV249" i="24050"/>
  <c r="DB255" i="23917"/>
  <c r="DB73" i="23917"/>
  <c r="BV290" i="24050"/>
  <c r="DB296" i="23917"/>
  <c r="DB74" i="23917"/>
  <c r="BV20" i="24050"/>
  <c r="DB23" i="23917"/>
  <c r="DA201" i="24050"/>
  <c r="EG207" i="23917"/>
  <c r="EQ311" i="24050"/>
  <c r="FW317" i="23917"/>
  <c r="BA290" i="24050"/>
  <c r="CG296" i="23917"/>
  <c r="CG74" i="23917"/>
  <c r="H42" i="24068"/>
  <c r="CP28" i="23917"/>
  <c r="CP29" i="23917" s="1"/>
  <c r="CI290" i="24050"/>
  <c r="DO296" i="23917"/>
  <c r="DO74" i="23917"/>
  <c r="CW20" i="24050"/>
  <c r="EC23" i="23917"/>
  <c r="CO326" i="24050"/>
  <c r="DU332" i="23917"/>
  <c r="DU75" i="23917"/>
  <c r="BH45" i="24050"/>
  <c r="CN53" i="23917"/>
  <c r="BH35" i="24050"/>
  <c r="CN43" i="23917"/>
  <c r="DM77" i="23917"/>
  <c r="DL77" i="23917"/>
  <c r="DL78" i="23917" s="1"/>
  <c r="BQ21" i="24050"/>
  <c r="CW24" i="23917"/>
  <c r="BS21" i="24050"/>
  <c r="CY24" i="23917"/>
  <c r="L44" i="24068"/>
  <c r="BR39" i="24050"/>
  <c r="CX47" i="23917"/>
  <c r="BL207" i="24050"/>
  <c r="CR213" i="23917"/>
  <c r="CR72" i="23917"/>
  <c r="BL20" i="24050"/>
  <c r="CR23" i="23917"/>
  <c r="AF124" i="24050"/>
  <c r="BL130" i="23917"/>
  <c r="BL70" i="23917"/>
  <c r="AF207" i="24050"/>
  <c r="BL213" i="23917"/>
  <c r="BL72" i="23917"/>
  <c r="AF20" i="24050"/>
  <c r="BL23" i="23917"/>
  <c r="CA21" i="24050"/>
  <c r="DG24" i="23917"/>
  <c r="BZ39" i="24050"/>
  <c r="DF47" i="23917"/>
  <c r="CY58" i="24050"/>
  <c r="EE65" i="23917"/>
  <c r="BT25" i="24050"/>
  <c r="BT26" i="24050" s="1"/>
  <c r="CZ33" i="23917"/>
  <c r="CZ34" i="23917" s="1"/>
  <c r="BT95" i="24050"/>
  <c r="CZ101" i="23917"/>
  <c r="DG326" i="24050"/>
  <c r="EM332" i="23917"/>
  <c r="EM75" i="23917"/>
  <c r="DG290" i="24050"/>
  <c r="EM296" i="23917"/>
  <c r="EM74" i="23917"/>
  <c r="DH17" i="24050"/>
  <c r="EN20" i="23917"/>
  <c r="V173" i="23917"/>
  <c r="V71" i="23917"/>
  <c r="V296" i="23917"/>
  <c r="V74" i="23917"/>
  <c r="CY285" i="24050"/>
  <c r="EE291" i="23917"/>
  <c r="T124" i="24050"/>
  <c r="AZ130" i="23917"/>
  <c r="AZ70" i="23917"/>
  <c r="T360" i="24050"/>
  <c r="AZ366" i="23917"/>
  <c r="AZ76" i="23917"/>
  <c r="T20" i="24050"/>
  <c r="AZ23" i="23917"/>
  <c r="AP249" i="24050"/>
  <c r="BV255" i="23917"/>
  <c r="BV73" i="23917"/>
  <c r="AP326" i="24050"/>
  <c r="BV332" i="23917"/>
  <c r="BV75" i="23917"/>
  <c r="AP20" i="24050"/>
  <c r="BV23" i="23917"/>
  <c r="AD25" i="24050"/>
  <c r="BJ33" i="23917"/>
  <c r="BN326" i="24050"/>
  <c r="CT332" i="23917"/>
  <c r="CT75" i="23917"/>
  <c r="BN20" i="24050"/>
  <c r="CT23" i="23917"/>
  <c r="EL192" i="24050"/>
  <c r="FR198" i="23917"/>
  <c r="AT249" i="24050"/>
  <c r="BZ255" i="23917"/>
  <c r="BZ73" i="23917"/>
  <c r="AU17" i="24050"/>
  <c r="CA20" i="23917"/>
  <c r="AS167" i="24050"/>
  <c r="BY173" i="23917"/>
  <c r="BY71" i="23917"/>
  <c r="BA326" i="24050"/>
  <c r="CG332" i="23917"/>
  <c r="CG75" i="23917"/>
  <c r="EP310" i="24050"/>
  <c r="FV316" i="23917"/>
  <c r="CH25" i="24050"/>
  <c r="CH26" i="24050" s="1"/>
  <c r="DN33" i="23917"/>
  <c r="DN31" i="23917" s="1"/>
  <c r="CH95" i="24050"/>
  <c r="DN101" i="23917"/>
  <c r="CB290" i="24050"/>
  <c r="DH296" i="23917"/>
  <c r="DH74" i="23917"/>
  <c r="CB207" i="24050"/>
  <c r="DH213" i="23917"/>
  <c r="DH72" i="23917"/>
  <c r="CC17" i="24050"/>
  <c r="DI20" i="23917"/>
  <c r="BQ20" i="24050"/>
  <c r="CW23" i="23917"/>
  <c r="CW320" i="24050"/>
  <c r="EC326" i="23917"/>
  <c r="DI360" i="24050"/>
  <c r="EO366" i="23917"/>
  <c r="EO76" i="23917"/>
  <c r="DI207" i="24050"/>
  <c r="EO213" i="23917"/>
  <c r="EO72" i="23917"/>
  <c r="DI21" i="24050"/>
  <c r="EO24" i="23917"/>
  <c r="AV40" i="24050"/>
  <c r="CB48" i="23917"/>
  <c r="DA160" i="24050"/>
  <c r="EG166" i="23917"/>
  <c r="R255" i="23917"/>
  <c r="R73" i="23917"/>
  <c r="R296" i="23917"/>
  <c r="R74" i="23917"/>
  <c r="AH290" i="24050"/>
  <c r="BN296" i="23917"/>
  <c r="BN74" i="23917"/>
  <c r="O47" i="23917"/>
  <c r="N47" i="23917"/>
  <c r="BF71" i="24050"/>
  <c r="BF68" i="24050"/>
  <c r="BF64" i="24050"/>
  <c r="BF70" i="24050"/>
  <c r="BF67" i="24050"/>
  <c r="BF66" i="24050"/>
  <c r="BF65" i="24050"/>
  <c r="BF63" i="24050"/>
  <c r="BF69" i="24050"/>
  <c r="EJ210" i="24050"/>
  <c r="FP216" i="23917"/>
  <c r="BE207" i="24050"/>
  <c r="CK213" i="23917"/>
  <c r="CK72" i="23917"/>
  <c r="BE290" i="24050"/>
  <c r="CK296" i="23917"/>
  <c r="CK74" i="23917"/>
  <c r="BX25" i="23917"/>
  <c r="CY202" i="24050"/>
  <c r="EE208" i="23917"/>
  <c r="CN44" i="23917"/>
  <c r="BZ399" i="24050"/>
  <c r="BZ400" i="24050" s="1"/>
  <c r="DN399" i="24050"/>
  <c r="CA207" i="24050"/>
  <c r="DG213" i="23917"/>
  <c r="DG72" i="23917"/>
  <c r="CA249" i="24050"/>
  <c r="DG255" i="23917"/>
  <c r="DG73" i="23917"/>
  <c r="AW20" i="24050"/>
  <c r="CC23" i="23917"/>
  <c r="AW326" i="24050"/>
  <c r="CC332" i="23917"/>
  <c r="CC75" i="23917"/>
  <c r="DD78" i="23917"/>
  <c r="BE167" i="24050"/>
  <c r="CK173" i="23917"/>
  <c r="CK71" i="23917"/>
  <c r="EJ329" i="24050"/>
  <c r="FP335" i="23917"/>
  <c r="DI71" i="24050"/>
  <c r="DI65" i="24050"/>
  <c r="DI66" i="24050"/>
  <c r="DI64" i="24050"/>
  <c r="DI67" i="24050"/>
  <c r="DI63" i="24050"/>
  <c r="DI69" i="24050"/>
  <c r="DI68" i="24050"/>
  <c r="DI70" i="24050"/>
  <c r="AZ72" i="24050"/>
  <c r="BD22" i="24050"/>
  <c r="BE249" i="24050"/>
  <c r="CK255" i="23917"/>
  <c r="CK73" i="23917"/>
  <c r="L71" i="24050"/>
  <c r="L65" i="24050"/>
  <c r="L69" i="24050"/>
  <c r="L70" i="24050"/>
  <c r="L68" i="24050"/>
  <c r="L64" i="24050"/>
  <c r="L63" i="24050"/>
  <c r="L66" i="24050"/>
  <c r="L67" i="24050"/>
  <c r="DA199" i="24050"/>
  <c r="EG205" i="23917"/>
  <c r="AZ22" i="24050"/>
  <c r="BJ26" i="24050"/>
  <c r="BJ22" i="24050"/>
  <c r="DN41" i="23917"/>
  <c r="DN25" i="23917"/>
  <c r="BS207" i="24050"/>
  <c r="CY213" i="23917"/>
  <c r="CY72" i="23917"/>
  <c r="Y17" i="24050"/>
  <c r="BE20" i="23917"/>
  <c r="BB71" i="24050"/>
  <c r="BB69" i="24050"/>
  <c r="BB68" i="24050"/>
  <c r="BB65" i="24050"/>
  <c r="BB70" i="24050"/>
  <c r="BB63" i="24050"/>
  <c r="BB64" i="24050"/>
  <c r="BB67" i="24050"/>
  <c r="BB66" i="24050"/>
  <c r="BY167" i="24050"/>
  <c r="DE173" i="23917"/>
  <c r="DE71" i="23917"/>
  <c r="O296" i="23917"/>
  <c r="O74" i="23917"/>
  <c r="AV72" i="24050"/>
  <c r="BN71" i="24050"/>
  <c r="BN68" i="24050"/>
  <c r="BN63" i="24050"/>
  <c r="BN65" i="24050"/>
  <c r="BN69" i="24050"/>
  <c r="BN70" i="24050"/>
  <c r="BN67" i="24050"/>
  <c r="BN66" i="24050"/>
  <c r="BN64" i="24050"/>
  <c r="DF78" i="23917"/>
  <c r="CJ71" i="24050"/>
  <c r="CJ65" i="24050"/>
  <c r="CJ64" i="24050"/>
  <c r="CJ67" i="24050"/>
  <c r="CJ66" i="24050"/>
  <c r="CJ68" i="24050"/>
  <c r="CJ70" i="24050"/>
  <c r="CJ63" i="24050"/>
  <c r="CJ69" i="24050"/>
  <c r="EO193" i="24050"/>
  <c r="FU199" i="23917"/>
  <c r="CY161" i="24050"/>
  <c r="EE167" i="23917"/>
  <c r="BR22" i="24050"/>
  <c r="BY207" i="24050"/>
  <c r="DE213" i="23917"/>
  <c r="DE72" i="23917"/>
  <c r="BY326" i="24050"/>
  <c r="DE332" i="23917"/>
  <c r="DE75" i="23917"/>
  <c r="DF34" i="23917"/>
  <c r="DF25" i="23917"/>
  <c r="Y69" i="23917"/>
  <c r="X69" i="23917"/>
  <c r="BI69" i="23917"/>
  <c r="BH69" i="23917"/>
  <c r="AB290" i="24050"/>
  <c r="BH296" i="23917"/>
  <c r="BH74" i="23917"/>
  <c r="AB21" i="24050"/>
  <c r="BH24" i="23917"/>
  <c r="X83" i="24050"/>
  <c r="BD89" i="23917"/>
  <c r="AB173" i="23917"/>
  <c r="AB71" i="23917"/>
  <c r="AB213" i="23917"/>
  <c r="AB72" i="23917"/>
  <c r="N360" i="24050"/>
  <c r="AT366" i="23917"/>
  <c r="AT76" i="23917"/>
  <c r="N290" i="24050"/>
  <c r="AT296" i="23917"/>
  <c r="AT74" i="23917"/>
  <c r="N21" i="24050"/>
  <c r="AT24" i="23917"/>
  <c r="BE21" i="24050"/>
  <c r="CK24" i="23917"/>
  <c r="E44" i="24068"/>
  <c r="BD39" i="24050"/>
  <c r="CJ47" i="23917"/>
  <c r="L360" i="24050"/>
  <c r="AR366" i="23917"/>
  <c r="AR76" i="23917"/>
  <c r="L167" i="24050"/>
  <c r="AR173" i="23917"/>
  <c r="AR71" i="23917"/>
  <c r="BF69" i="23917"/>
  <c r="Z207" i="24050"/>
  <c r="BF213" i="23917"/>
  <c r="BF72" i="23917"/>
  <c r="CW162" i="24050"/>
  <c r="EC168" i="23917"/>
  <c r="EP275" i="24050"/>
  <c r="FV281" i="23917"/>
  <c r="CL167" i="24050"/>
  <c r="DR173" i="23917"/>
  <c r="DR71" i="23917"/>
  <c r="CM17" i="24050"/>
  <c r="DS20" i="23917"/>
  <c r="BK21" i="24050"/>
  <c r="CQ24" i="23917"/>
  <c r="H44" i="24068"/>
  <c r="BJ39" i="24050"/>
  <c r="CP47" i="23917"/>
  <c r="CO290" i="24050"/>
  <c r="DU296" i="23917"/>
  <c r="DU74" i="23917"/>
  <c r="CF25" i="24050"/>
  <c r="DL33" i="23917"/>
  <c r="DL31" i="23917" s="1"/>
  <c r="CF95" i="24050"/>
  <c r="DL101" i="23917"/>
  <c r="EN173" i="24050"/>
  <c r="FT179" i="23917"/>
  <c r="CY334" i="24050"/>
  <c r="EE340" i="23917"/>
  <c r="P326" i="24050"/>
  <c r="AV332" i="23917"/>
  <c r="AV75" i="23917"/>
  <c r="P290" i="24050"/>
  <c r="AV296" i="23917"/>
  <c r="AV74" i="23917"/>
  <c r="DE207" i="24050"/>
  <c r="EK213" i="23917"/>
  <c r="EK72" i="23917"/>
  <c r="DE124" i="24050"/>
  <c r="EK130" i="23917"/>
  <c r="EK70" i="23917"/>
  <c r="DF17" i="24050"/>
  <c r="EL20" i="23917"/>
  <c r="CI76" i="23917"/>
  <c r="CH76" i="23917"/>
  <c r="BB326" i="24050"/>
  <c r="CH332" i="23917"/>
  <c r="CH75" i="23917"/>
  <c r="BC17" i="24050"/>
  <c r="CI20" i="23917"/>
  <c r="EK317" i="24050"/>
  <c r="FQ323" i="23917"/>
  <c r="AW25" i="24050"/>
  <c r="CC33" i="23917"/>
  <c r="AW21" i="24050"/>
  <c r="CC24" i="23917"/>
  <c r="BU326" i="24050"/>
  <c r="DA332" i="23917"/>
  <c r="DA75" i="23917"/>
  <c r="AN32" i="24050"/>
  <c r="BT40" i="23917"/>
  <c r="AN83" i="24050"/>
  <c r="BT89" i="23917"/>
  <c r="AO290" i="24050"/>
  <c r="BU296" i="23917"/>
  <c r="BU74" i="23917"/>
  <c r="DQ69" i="23917"/>
  <c r="DP69" i="23917"/>
  <c r="CJ167" i="24050"/>
  <c r="DP173" i="23917"/>
  <c r="DP71" i="23917"/>
  <c r="CJ207" i="24050"/>
  <c r="DP213" i="23917"/>
  <c r="DP72" i="23917"/>
  <c r="AW249" i="24050"/>
  <c r="CC255" i="23917"/>
  <c r="CC73" i="23917"/>
  <c r="Z130" i="23917"/>
  <c r="Z70" i="23917"/>
  <c r="Z173" i="23917"/>
  <c r="Z71" i="23917"/>
  <c r="AX249" i="24050"/>
  <c r="CD255" i="23917"/>
  <c r="CD73" i="23917"/>
  <c r="CE76" i="23917"/>
  <c r="CD76" i="23917"/>
  <c r="AX20" i="24050"/>
  <c r="CD23" i="23917"/>
  <c r="EM296" i="24050"/>
  <c r="FS302" i="23917"/>
  <c r="EE408" i="23917"/>
  <c r="CY15" i="24050"/>
  <c r="BE20" i="24050"/>
  <c r="CK23" i="23917"/>
  <c r="T130" i="23917"/>
  <c r="T70" i="23917"/>
  <c r="T332" i="23917"/>
  <c r="T75" i="23917"/>
  <c r="EA167" i="24050"/>
  <c r="FG173" i="23917"/>
  <c r="FG71" i="23917"/>
  <c r="EA20" i="24050"/>
  <c r="FG23" i="23917"/>
  <c r="AR32" i="24050"/>
  <c r="AR33" i="24050" s="1"/>
  <c r="BX40" i="23917"/>
  <c r="BX41" i="23917" s="1"/>
  <c r="AR39" i="24050"/>
  <c r="BX47" i="23917"/>
  <c r="AS207" i="24050"/>
  <c r="BY213" i="23917"/>
  <c r="BY72" i="23917"/>
  <c r="AZ32" i="24050"/>
  <c r="AZ33" i="24050" s="1"/>
  <c r="CF40" i="23917"/>
  <c r="EP194" i="24050"/>
  <c r="FV200" i="23917"/>
  <c r="AL124" i="24050"/>
  <c r="BR130" i="23917"/>
  <c r="BR70" i="23917"/>
  <c r="AL167" i="24050"/>
  <c r="BR173" i="23917"/>
  <c r="BR71" i="23917"/>
  <c r="AL21" i="24050"/>
  <c r="BR24" i="23917"/>
  <c r="CI20" i="24050"/>
  <c r="DO23" i="23917"/>
  <c r="DO77" i="23917"/>
  <c r="DN77" i="23917"/>
  <c r="DN78" i="23917" s="1"/>
  <c r="CG249" i="24050"/>
  <c r="DM255" i="23917"/>
  <c r="DM73" i="23917"/>
  <c r="EM116" i="24050"/>
  <c r="FS122" i="23917"/>
  <c r="DA284" i="24050"/>
  <c r="EG290" i="23917"/>
  <c r="EI71" i="23917"/>
  <c r="DC207" i="24050"/>
  <c r="EI213" i="23917"/>
  <c r="EI72" i="23917"/>
  <c r="CY162" i="24050"/>
  <c r="EE168" i="23917"/>
  <c r="AO20" i="24050"/>
  <c r="BU23" i="23917"/>
  <c r="EG17" i="24050"/>
  <c r="FM20" i="23917"/>
  <c r="BY21" i="24050"/>
  <c r="DE24" i="23917"/>
  <c r="EN117" i="24050"/>
  <c r="FT123" i="23917"/>
  <c r="AF173" i="23917"/>
  <c r="AF71" i="23917"/>
  <c r="CW204" i="24050"/>
  <c r="CW10" i="24050"/>
  <c r="EC210" i="23917"/>
  <c r="EC326" i="24050"/>
  <c r="FI332" i="23917"/>
  <c r="FI75" i="23917"/>
  <c r="EC21" i="24050"/>
  <c r="FI24" i="23917"/>
  <c r="BF207" i="24050"/>
  <c r="CL213" i="23917"/>
  <c r="CL72" i="23917"/>
  <c r="BF249" i="24050"/>
  <c r="CL255" i="23917"/>
  <c r="CL73" i="23917"/>
  <c r="DK69" i="23917"/>
  <c r="DJ69" i="23917"/>
  <c r="CD326" i="24050"/>
  <c r="DJ332" i="23917"/>
  <c r="DJ75" i="23917"/>
  <c r="DK76" i="23917"/>
  <c r="DJ76" i="23917"/>
  <c r="EO278" i="24050"/>
  <c r="FU284" i="23917"/>
  <c r="ET152" i="24050"/>
  <c r="FZ158" i="23917"/>
  <c r="AE69" i="23917"/>
  <c r="AD69" i="23917"/>
  <c r="AD296" i="23917"/>
  <c r="AD74" i="23917"/>
  <c r="DC69" i="23917"/>
  <c r="DB69" i="23917"/>
  <c r="BV167" i="24050"/>
  <c r="DB173" i="23917"/>
  <c r="DB71" i="23917"/>
  <c r="BW17" i="24050"/>
  <c r="DC20" i="23917"/>
  <c r="DA195" i="24050"/>
  <c r="EG201" i="23917"/>
  <c r="AS20" i="24050"/>
  <c r="BY23" i="23917"/>
  <c r="EP311" i="24050"/>
  <c r="FV317" i="23917"/>
  <c r="BA124" i="24050"/>
  <c r="CG130" i="23917"/>
  <c r="CG70" i="23917"/>
  <c r="CP20" i="24050"/>
  <c r="DV23" i="23917"/>
  <c r="EB127" i="24050"/>
  <c r="FH133" i="23917"/>
  <c r="BH28" i="24050"/>
  <c r="CN36" i="23917"/>
  <c r="BH41" i="24050"/>
  <c r="CN49" i="23917"/>
  <c r="BP32" i="24050"/>
  <c r="BP33" i="24050" s="1"/>
  <c r="CV40" i="23917"/>
  <c r="CV41" i="23917" s="1"/>
  <c r="BP83" i="24050"/>
  <c r="CV89" i="23917"/>
  <c r="L39" i="24068"/>
  <c r="L40" i="24068" s="1"/>
  <c r="BS124" i="24050"/>
  <c r="CY130" i="23917"/>
  <c r="CY70" i="23917"/>
  <c r="BL124" i="24050"/>
  <c r="CR130" i="23917"/>
  <c r="CR70" i="23917"/>
  <c r="BL167" i="24050"/>
  <c r="CR173" i="23917"/>
  <c r="CR71" i="23917"/>
  <c r="BL21" i="24050"/>
  <c r="CR24" i="23917"/>
  <c r="AF249" i="24050"/>
  <c r="BL255" i="23917"/>
  <c r="BL73" i="23917"/>
  <c r="AF290" i="24050"/>
  <c r="BL296" i="23917"/>
  <c r="BL74" i="23917"/>
  <c r="AF21" i="24050"/>
  <c r="BL24" i="23917"/>
  <c r="CA124" i="24050"/>
  <c r="DG130" i="23917"/>
  <c r="DG70" i="23917"/>
  <c r="CZ58" i="24050"/>
  <c r="EF65" i="23917"/>
  <c r="M44" i="24068"/>
  <c r="BT39" i="24050"/>
  <c r="CZ47" i="23917"/>
  <c r="DG360" i="24050"/>
  <c r="EM366" i="23917"/>
  <c r="EM76" i="23917"/>
  <c r="DG249" i="24050"/>
  <c r="EM255" i="23917"/>
  <c r="EM73" i="23917"/>
  <c r="DG21" i="24050"/>
  <c r="EM24" i="23917"/>
  <c r="V366" i="23917"/>
  <c r="V76" i="23917"/>
  <c r="V213" i="23917"/>
  <c r="V72" i="23917"/>
  <c r="T249" i="24050"/>
  <c r="AZ255" i="23917"/>
  <c r="AZ73" i="23917"/>
  <c r="T290" i="24050"/>
  <c r="AZ296" i="23917"/>
  <c r="AZ74" i="23917"/>
  <c r="T21" i="24050"/>
  <c r="AZ24" i="23917"/>
  <c r="AP124" i="24050"/>
  <c r="BV130" i="23917"/>
  <c r="BV70" i="23917"/>
  <c r="BW76" i="23917"/>
  <c r="BV76" i="23917"/>
  <c r="AQ17" i="24050"/>
  <c r="BW20" i="23917"/>
  <c r="EN278" i="24050"/>
  <c r="FT284" i="23917"/>
  <c r="CZ285" i="24050"/>
  <c r="EF291" i="23917"/>
  <c r="AD83" i="24050"/>
  <c r="BJ89" i="23917"/>
  <c r="ET277" i="24050"/>
  <c r="FZ283" i="23917"/>
  <c r="BO17" i="24050"/>
  <c r="CU20" i="23917"/>
  <c r="EK195" i="24050"/>
  <c r="FQ201" i="23917"/>
  <c r="AT290" i="24050"/>
  <c r="BZ296" i="23917"/>
  <c r="BZ74" i="23917"/>
  <c r="AT20" i="24050"/>
  <c r="BZ23" i="23917"/>
  <c r="EK282" i="24050"/>
  <c r="FQ288" i="23917"/>
  <c r="EO313" i="24050"/>
  <c r="FU319" i="23917"/>
  <c r="AJ32" i="24050"/>
  <c r="BP40" i="23917"/>
  <c r="AJ83" i="24050"/>
  <c r="BP89" i="23917"/>
  <c r="DS17" i="24050"/>
  <c r="EY20" i="23917"/>
  <c r="CI21" i="24050"/>
  <c r="DO24" i="23917"/>
  <c r="CH39" i="24050"/>
  <c r="DN47" i="23917"/>
  <c r="DI69" i="23917"/>
  <c r="DH69" i="23917"/>
  <c r="CB167" i="24050"/>
  <c r="DH173" i="23917"/>
  <c r="DH71" i="23917"/>
  <c r="DI76" i="23917"/>
  <c r="DH76" i="23917"/>
  <c r="CW384" i="24050"/>
  <c r="EK384" i="24050"/>
  <c r="CG326" i="24050"/>
  <c r="DM332" i="23917"/>
  <c r="DM75" i="23917"/>
  <c r="DI290" i="24050"/>
  <c r="EO296" i="23917"/>
  <c r="EO74" i="23917"/>
  <c r="DI249" i="24050"/>
  <c r="EO255" i="23917"/>
  <c r="EO73" i="23917"/>
  <c r="DJ17" i="24050"/>
  <c r="EP20" i="23917"/>
  <c r="CX210" i="24050"/>
  <c r="ED216" i="23917"/>
  <c r="AW207" i="24050"/>
  <c r="CC213" i="23917"/>
  <c r="CC72" i="23917"/>
  <c r="R366" i="23917"/>
  <c r="R76" i="23917"/>
  <c r="R332" i="23917"/>
  <c r="R75" i="23917"/>
  <c r="BY20" i="24050"/>
  <c r="DE23" i="23917"/>
  <c r="AH207" i="24050"/>
  <c r="BN213" i="23917"/>
  <c r="BN72" i="23917"/>
  <c r="AH20" i="24050"/>
  <c r="BN23" i="23917"/>
  <c r="O89" i="23917"/>
  <c r="N89" i="23917"/>
  <c r="T71" i="24050"/>
  <c r="T64" i="24050"/>
  <c r="T68" i="24050"/>
  <c r="T66" i="24050"/>
  <c r="T70" i="24050"/>
  <c r="T69" i="24050"/>
  <c r="T65" i="24050"/>
  <c r="T67" i="24050"/>
  <c r="T63" i="24050"/>
  <c r="AR22" i="24050"/>
  <c r="AR26" i="24050" s="1"/>
  <c r="CS170" i="24050"/>
  <c r="DY176" i="23917"/>
  <c r="BH36" i="24050"/>
  <c r="M332" i="23917"/>
  <c r="M75" i="23917"/>
  <c r="DL41" i="23917"/>
  <c r="DL34" i="23917"/>
  <c r="DL25" i="23917"/>
  <c r="BQ290" i="24050"/>
  <c r="CW296" i="23917"/>
  <c r="CW74" i="23917"/>
  <c r="BS167" i="24050"/>
  <c r="CY173" i="23917"/>
  <c r="CY71" i="23917"/>
  <c r="EK155" i="24050"/>
  <c r="FQ161" i="23917"/>
  <c r="CJ78" i="23917"/>
  <c r="Z71" i="24050"/>
  <c r="Z65" i="24050"/>
  <c r="Z64" i="24050"/>
  <c r="Z68" i="24050"/>
  <c r="Z70" i="24050"/>
  <c r="Z66" i="24050"/>
  <c r="Z69" i="24050"/>
  <c r="Z67" i="24050"/>
  <c r="Z63" i="24050"/>
  <c r="CH33" i="24050"/>
  <c r="CH22" i="24050"/>
  <c r="CI326" i="24050"/>
  <c r="DO332" i="23917"/>
  <c r="DO75" i="23917"/>
  <c r="CW293" i="24050"/>
  <c r="EC299" i="23917"/>
  <c r="BK17" i="24050"/>
  <c r="CQ20" i="23917"/>
  <c r="EK160" i="24050"/>
  <c r="FQ166" i="23917"/>
  <c r="O366" i="23917"/>
  <c r="O76" i="23917"/>
  <c r="O332" i="23917"/>
  <c r="O75" i="23917"/>
  <c r="BR72" i="24050"/>
  <c r="BH33" i="24050"/>
  <c r="EN193" i="24050"/>
  <c r="FT199" i="23917"/>
  <c r="EA71" i="24050"/>
  <c r="EA68" i="24050"/>
  <c r="EA65" i="24050"/>
  <c r="EA63" i="24050"/>
  <c r="EA64" i="24050"/>
  <c r="EA67" i="24050"/>
  <c r="EA69" i="24050"/>
  <c r="EA66" i="24050"/>
  <c r="EA70" i="24050"/>
  <c r="AT71" i="24050"/>
  <c r="AT65" i="24050"/>
  <c r="AT68" i="24050"/>
  <c r="AT66" i="24050"/>
  <c r="AT69" i="24050"/>
  <c r="AT70" i="24050"/>
  <c r="AT67" i="24050"/>
  <c r="AT64" i="24050"/>
  <c r="AT63" i="24050"/>
  <c r="AL71" i="24050"/>
  <c r="AL68" i="24050"/>
  <c r="AL65" i="24050"/>
  <c r="AL66" i="24050"/>
  <c r="AL63" i="24050"/>
  <c r="AL70" i="24050"/>
  <c r="AL64" i="24050"/>
  <c r="AL67" i="24050"/>
  <c r="AL69" i="24050"/>
  <c r="DL29" i="23917"/>
  <c r="CV25" i="23917"/>
  <c r="BZ22" i="24050"/>
  <c r="CZ41" i="23917"/>
  <c r="CZ25" i="23917"/>
  <c r="AB326" i="24050"/>
  <c r="BH332" i="23917"/>
  <c r="BH75" i="23917"/>
  <c r="X32" i="24050"/>
  <c r="BD40" i="23917"/>
  <c r="X95" i="24050"/>
  <c r="BD101" i="23917"/>
  <c r="AB332" i="23917"/>
  <c r="AB75" i="23917"/>
  <c r="AB130" i="23917"/>
  <c r="AB70" i="23917"/>
  <c r="N124" i="24050"/>
  <c r="AT130" i="23917"/>
  <c r="AT70" i="23917"/>
  <c r="N207" i="24050"/>
  <c r="AT213" i="23917"/>
  <c r="AT72" i="23917"/>
  <c r="BE124" i="24050"/>
  <c r="CK130" i="23917"/>
  <c r="CK70" i="23917"/>
  <c r="L249" i="24050"/>
  <c r="AR255" i="23917"/>
  <c r="AR73" i="23917"/>
  <c r="L290" i="24050"/>
  <c r="AR296" i="23917"/>
  <c r="AR74" i="23917"/>
  <c r="Q77" i="23917"/>
  <c r="P77" i="23917"/>
  <c r="Z249" i="24050"/>
  <c r="BF255" i="23917"/>
  <c r="BF73" i="23917"/>
  <c r="Z326" i="24050"/>
  <c r="BF332" i="23917"/>
  <c r="BF75" i="23917"/>
  <c r="Z21" i="24050"/>
  <c r="BF24" i="23917"/>
  <c r="AS124" i="24050"/>
  <c r="BY130" i="23917"/>
  <c r="BY70" i="23917"/>
  <c r="BA207" i="24050"/>
  <c r="CG213" i="23917"/>
  <c r="CG72" i="23917"/>
  <c r="EQ275" i="24050"/>
  <c r="FW281" i="23917"/>
  <c r="EM31" i="24050"/>
  <c r="FS39" i="23917"/>
  <c r="DW17" i="24050"/>
  <c r="FC20" i="23917"/>
  <c r="CL290" i="24050"/>
  <c r="DR296" i="23917"/>
  <c r="DR74" i="23917"/>
  <c r="CL124" i="24050"/>
  <c r="DR130" i="23917"/>
  <c r="DR70" i="23917"/>
  <c r="CL21" i="24050"/>
  <c r="DR24" i="23917"/>
  <c r="BK124" i="24050"/>
  <c r="CQ130" i="23917"/>
  <c r="CQ70" i="23917"/>
  <c r="EP110" i="24050"/>
  <c r="FV116" i="23917"/>
  <c r="CI167" i="24050"/>
  <c r="DO173" i="23917"/>
  <c r="DO71" i="23917"/>
  <c r="CF39" i="24050"/>
  <c r="DL47" i="23917"/>
  <c r="BS20" i="24050"/>
  <c r="CY23" i="23917"/>
  <c r="EM158" i="24050"/>
  <c r="FS164" i="23917"/>
  <c r="CZ334" i="24050"/>
  <c r="EF340" i="23917"/>
  <c r="AV69" i="23917"/>
  <c r="P124" i="24050"/>
  <c r="AV130" i="23917"/>
  <c r="AV70" i="23917"/>
  <c r="P21" i="24050"/>
  <c r="AV24" i="23917"/>
  <c r="EL69" i="23917"/>
  <c r="EK69" i="23917"/>
  <c r="DE249" i="24050"/>
  <c r="EK255" i="23917"/>
  <c r="EK73" i="23917"/>
  <c r="BB249" i="24050"/>
  <c r="CH255" i="23917"/>
  <c r="CH73" i="23917"/>
  <c r="BB290" i="24050"/>
  <c r="CH296" i="23917"/>
  <c r="CH74" i="23917"/>
  <c r="BB20" i="24050"/>
  <c r="CH23" i="23917"/>
  <c r="DA317" i="24050"/>
  <c r="EG323" i="23917"/>
  <c r="AV28" i="24050"/>
  <c r="CB36" i="23917"/>
  <c r="AO21" i="24050"/>
  <c r="BU24" i="23917"/>
  <c r="AN25" i="24050"/>
  <c r="BT33" i="23917"/>
  <c r="AN95" i="24050"/>
  <c r="BT101" i="23917"/>
  <c r="CJ124" i="24050"/>
  <c r="DP130" i="23917"/>
  <c r="DP70" i="23917"/>
  <c r="CJ290" i="24050"/>
  <c r="DP296" i="23917"/>
  <c r="DP74" i="23917"/>
  <c r="CJ20" i="24050"/>
  <c r="DP23" i="23917"/>
  <c r="AO249" i="24050"/>
  <c r="BU255" i="23917"/>
  <c r="BU73" i="23917"/>
  <c r="Z366" i="23917"/>
  <c r="Z76" i="23917"/>
  <c r="Z332" i="23917"/>
  <c r="Z75" i="23917"/>
  <c r="EL88" i="24050"/>
  <c r="EL76" i="24050"/>
  <c r="FR94" i="23917"/>
  <c r="FR82" i="23917"/>
  <c r="CW59" i="24050"/>
  <c r="CW24" i="24050"/>
  <c r="EC66" i="23917"/>
  <c r="EC27" i="23917"/>
  <c r="CE69" i="23917"/>
  <c r="CD69" i="23917"/>
  <c r="AX124" i="24050"/>
  <c r="CD130" i="23917"/>
  <c r="CD70" i="23917"/>
  <c r="AY17" i="24050"/>
  <c r="CE20" i="23917"/>
  <c r="U69" i="23917"/>
  <c r="T69" i="23917"/>
  <c r="T255" i="23917"/>
  <c r="T73" i="23917"/>
  <c r="Q47" i="23917"/>
  <c r="P47" i="23917"/>
  <c r="EA124" i="24050"/>
  <c r="FG130" i="23917"/>
  <c r="FG70" i="23917"/>
  <c r="EA21" i="24050"/>
  <c r="FG24" i="23917"/>
  <c r="EM87" i="24050"/>
  <c r="FS93" i="23917"/>
  <c r="BI124" i="24050"/>
  <c r="CO130" i="23917"/>
  <c r="CO70" i="23917"/>
  <c r="AS21" i="24050"/>
  <c r="BY24" i="23917"/>
  <c r="AS249" i="24050"/>
  <c r="BY255" i="23917"/>
  <c r="BY73" i="23917"/>
  <c r="AZ25" i="24050"/>
  <c r="AZ26" i="24050" s="1"/>
  <c r="CF33" i="23917"/>
  <c r="CF34" i="23917" s="1"/>
  <c r="AZ83" i="24050"/>
  <c r="CF89" i="23917"/>
  <c r="BI249" i="24050"/>
  <c r="CO255" i="23917"/>
  <c r="CO73" i="23917"/>
  <c r="BS76" i="23917"/>
  <c r="BR76" i="23917"/>
  <c r="AL326" i="24050"/>
  <c r="BR332" i="23917"/>
  <c r="BR75" i="23917"/>
  <c r="AM17" i="24050"/>
  <c r="BS20" i="23917"/>
  <c r="M43" i="23917"/>
  <c r="L43" i="23917"/>
  <c r="CN25" i="24050"/>
  <c r="CN26" i="24050" s="1"/>
  <c r="DT33" i="23917"/>
  <c r="DT31" i="23917" s="1"/>
  <c r="CG20" i="24050"/>
  <c r="DM23" i="23917"/>
  <c r="DC360" i="24050"/>
  <c r="EI366" i="23917"/>
  <c r="EI76" i="23917"/>
  <c r="DC326" i="24050"/>
  <c r="EI332" i="23917"/>
  <c r="EI75" i="23917"/>
  <c r="DC124" i="24050"/>
  <c r="EI130" i="23917"/>
  <c r="EI70" i="23917"/>
  <c r="BX83" i="24050"/>
  <c r="DD89" i="23917"/>
  <c r="EO117" i="24050"/>
  <c r="FU123" i="23917"/>
  <c r="AF332" i="23917"/>
  <c r="AF75" i="23917"/>
  <c r="CV210" i="24050"/>
  <c r="EB216" i="23917"/>
  <c r="EC167" i="24050"/>
  <c r="FI173" i="23917"/>
  <c r="FI71" i="23917"/>
  <c r="EC249" i="24050"/>
  <c r="FI255" i="23917"/>
  <c r="FI73" i="23917"/>
  <c r="BF326" i="24050"/>
  <c r="CL332" i="23917"/>
  <c r="CL75" i="23917"/>
  <c r="BF20" i="24050"/>
  <c r="CL23" i="23917"/>
  <c r="CD249" i="24050"/>
  <c r="DJ255" i="23917"/>
  <c r="DJ73" i="23917"/>
  <c r="CD167" i="24050"/>
  <c r="DJ173" i="23917"/>
  <c r="DJ71" i="23917"/>
  <c r="CD20" i="24050"/>
  <c r="DJ23" i="23917"/>
  <c r="EP276" i="24050"/>
  <c r="FV282" i="23917"/>
  <c r="AD213" i="23917"/>
  <c r="AD72" i="23917"/>
  <c r="AD130" i="23917"/>
  <c r="AD70" i="23917"/>
  <c r="BV207" i="24050"/>
  <c r="DB213" i="23917"/>
  <c r="DB72" i="23917"/>
  <c r="DC76" i="23917"/>
  <c r="DB76" i="23917"/>
  <c r="BV21" i="24050"/>
  <c r="DB24" i="23917"/>
  <c r="EQ312" i="24050"/>
  <c r="FW318" i="23917"/>
  <c r="DZ127" i="24050"/>
  <c r="FF133" i="23917"/>
  <c r="BH40" i="24050"/>
  <c r="CN48" i="23917"/>
  <c r="CZ15" i="24050"/>
  <c r="EF408" i="23917"/>
  <c r="EF409" i="23917" s="1"/>
  <c r="BP25" i="24050"/>
  <c r="BP26" i="24050" s="1"/>
  <c r="CV33" i="23917"/>
  <c r="BP95" i="24050"/>
  <c r="CV101" i="23917"/>
  <c r="BR32" i="24050"/>
  <c r="CX40" i="23917"/>
  <c r="CX41" i="23917" s="1"/>
  <c r="BR83" i="24050"/>
  <c r="CX89" i="23917"/>
  <c r="BL290" i="24050"/>
  <c r="CR296" i="23917"/>
  <c r="CR74" i="23917"/>
  <c r="BL326" i="24050"/>
  <c r="CR332" i="23917"/>
  <c r="CR75" i="23917"/>
  <c r="BM17" i="24050"/>
  <c r="CS20" i="23917"/>
  <c r="AF326" i="24050"/>
  <c r="BL332" i="23917"/>
  <c r="BL75" i="23917"/>
  <c r="BM76" i="23917"/>
  <c r="BL76" i="23917"/>
  <c r="BZ32" i="24050"/>
  <c r="DF40" i="23917"/>
  <c r="DF41" i="23917" s="1"/>
  <c r="BZ83" i="24050"/>
  <c r="DF89" i="23917"/>
  <c r="M39" i="24068"/>
  <c r="DG207" i="24050"/>
  <c r="EM213" i="23917"/>
  <c r="EM72" i="23917"/>
  <c r="DU17" i="24050"/>
  <c r="FA20" i="23917"/>
  <c r="W69" i="23917"/>
  <c r="V69" i="23917"/>
  <c r="V332" i="23917"/>
  <c r="V75" i="23917"/>
  <c r="BA69" i="23917"/>
  <c r="AZ69" i="23917"/>
  <c r="T326" i="24050"/>
  <c r="AZ332" i="23917"/>
  <c r="AZ75" i="23917"/>
  <c r="U17" i="24050"/>
  <c r="BA20" i="23917"/>
  <c r="AP207" i="24050"/>
  <c r="BV213" i="23917"/>
  <c r="BV72" i="23917"/>
  <c r="AP290" i="24050"/>
  <c r="BV296" i="23917"/>
  <c r="BV74" i="23917"/>
  <c r="AP21" i="24050"/>
  <c r="BV24" i="23917"/>
  <c r="AD39" i="24050"/>
  <c r="BJ47" i="23917"/>
  <c r="EU277" i="24050"/>
  <c r="GA283" i="23917"/>
  <c r="BN167" i="24050"/>
  <c r="CT173" i="23917"/>
  <c r="CT71" i="23917"/>
  <c r="BN124" i="24050"/>
  <c r="CT130" i="23917"/>
  <c r="CT70" i="23917"/>
  <c r="BN21" i="24050"/>
  <c r="CT24" i="23917"/>
  <c r="DA75" i="24050"/>
  <c r="EG81" i="23917"/>
  <c r="AT326" i="24050"/>
  <c r="BZ332" i="23917"/>
  <c r="BZ75" i="23917"/>
  <c r="AT207" i="24050"/>
  <c r="BZ213" i="23917"/>
  <c r="BZ72" i="23917"/>
  <c r="DA282" i="24050"/>
  <c r="EG288" i="23917"/>
  <c r="AJ25" i="24050"/>
  <c r="BP33" i="23917"/>
  <c r="AJ95" i="24050"/>
  <c r="BP101" i="23917"/>
  <c r="CO249" i="24050"/>
  <c r="DU255" i="23917"/>
  <c r="DU73" i="23917"/>
  <c r="CB249" i="24050"/>
  <c r="DH255" i="23917"/>
  <c r="DH73" i="23917"/>
  <c r="CB20" i="24050"/>
  <c r="DH23" i="23917"/>
  <c r="CX383" i="24050"/>
  <c r="EL383" i="24050"/>
  <c r="BQ124" i="24050"/>
  <c r="CW130" i="23917"/>
  <c r="CW70" i="23917"/>
  <c r="DI167" i="24050"/>
  <c r="EO173" i="23917"/>
  <c r="EO71" i="23917"/>
  <c r="DI124" i="24050"/>
  <c r="EO130" i="23917"/>
  <c r="EO70" i="23917"/>
  <c r="EE17" i="24050"/>
  <c r="FK20" i="23917"/>
  <c r="EJ287" i="24050"/>
  <c r="EJ13" i="24050"/>
  <c r="FP293" i="23917"/>
  <c r="AV35" i="24050"/>
  <c r="AV36" i="24050" s="1"/>
  <c r="CB43" i="23917"/>
  <c r="CY204" i="24050"/>
  <c r="CY10" i="24050"/>
  <c r="EE210" i="23917"/>
  <c r="R130" i="23917"/>
  <c r="R70" i="23917"/>
  <c r="AH124" i="24050"/>
  <c r="BN130" i="23917"/>
  <c r="BN70" i="23917"/>
  <c r="AH326" i="24050"/>
  <c r="BN332" i="23917"/>
  <c r="BN75" i="23917"/>
  <c r="AI17" i="24050"/>
  <c r="BO20" i="23917"/>
  <c r="O101" i="23917"/>
  <c r="N101" i="23917"/>
  <c r="BQ249" i="24050"/>
  <c r="CW255" i="23917"/>
  <c r="CW73" i="23917"/>
  <c r="BS290" i="24050"/>
  <c r="CY296" i="23917"/>
  <c r="CY74" i="23917"/>
  <c r="DC71" i="24050"/>
  <c r="DC69" i="24050"/>
  <c r="DC63" i="24050"/>
  <c r="DC66" i="24050"/>
  <c r="DC65" i="24050"/>
  <c r="DC67" i="24050"/>
  <c r="DC70" i="24050"/>
  <c r="DC64" i="24050"/>
  <c r="DC68" i="24050"/>
  <c r="DD29" i="23917"/>
  <c r="BY290" i="24050"/>
  <c r="DE296" i="23917"/>
  <c r="DE74" i="23917"/>
  <c r="BZ72" i="24050"/>
  <c r="CF78" i="23917"/>
  <c r="CB71" i="24050"/>
  <c r="CB66" i="24050"/>
  <c r="CB69" i="24050"/>
  <c r="CB67" i="24050"/>
  <c r="CB70" i="24050"/>
  <c r="CB65" i="24050"/>
  <c r="CB64" i="24050"/>
  <c r="CB68" i="24050"/>
  <c r="CB63" i="24050"/>
  <c r="CF26" i="24050"/>
  <c r="CF22" i="24050"/>
  <c r="BP72" i="24050"/>
  <c r="EL153" i="24050"/>
  <c r="FR159" i="23917"/>
  <c r="BT72" i="24050"/>
  <c r="AB71" i="24050"/>
  <c r="AB66" i="24050"/>
  <c r="AB65" i="24050"/>
  <c r="AB68" i="24050"/>
  <c r="AB64" i="24050"/>
  <c r="AB69" i="24050"/>
  <c r="AB70" i="24050"/>
  <c r="AB63" i="24050"/>
  <c r="AB67" i="24050"/>
  <c r="AP71" i="24050"/>
  <c r="AP64" i="24050"/>
  <c r="AP70" i="24050"/>
  <c r="AP66" i="24050"/>
  <c r="AP68" i="24050"/>
  <c r="AP67" i="24050"/>
  <c r="AP63" i="24050"/>
  <c r="AP69" i="24050"/>
  <c r="AP65" i="24050"/>
  <c r="N71" i="24050"/>
  <c r="N66" i="24050"/>
  <c r="N68" i="24050"/>
  <c r="N69" i="24050"/>
  <c r="N64" i="24050"/>
  <c r="N65" i="24050"/>
  <c r="N63" i="24050"/>
  <c r="N70" i="24050"/>
  <c r="N67" i="24050"/>
  <c r="Q255" i="23917"/>
  <c r="Q73" i="23917"/>
  <c r="DP399" i="24050"/>
  <c r="CB399" i="24050"/>
  <c r="CB400" i="24050" s="1"/>
  <c r="CP78" i="23917"/>
  <c r="DT41" i="23917"/>
  <c r="DT25" i="23917"/>
  <c r="BQ326" i="24050"/>
  <c r="CW332" i="23917"/>
  <c r="CW75" i="23917"/>
  <c r="BL71" i="24050"/>
  <c r="BL64" i="24050"/>
  <c r="BL65" i="24050"/>
  <c r="BL67" i="24050"/>
  <c r="BL70" i="24050"/>
  <c r="BL69" i="24050"/>
  <c r="BL68" i="24050"/>
  <c r="BL63" i="24050"/>
  <c r="BL66" i="24050"/>
  <c r="DE71" i="24050"/>
  <c r="DE67" i="24050"/>
  <c r="DE68" i="24050"/>
  <c r="DE64" i="24050"/>
  <c r="DE66" i="24050"/>
  <c r="DE63" i="24050"/>
  <c r="DE70" i="24050"/>
  <c r="DE69" i="24050"/>
  <c r="DE65" i="24050"/>
  <c r="DG71" i="24050"/>
  <c r="DG68" i="24050"/>
  <c r="DG64" i="24050"/>
  <c r="DG66" i="24050"/>
  <c r="DG65" i="24050"/>
  <c r="DG67" i="24050"/>
  <c r="DG63" i="24050"/>
  <c r="DG69" i="24050"/>
  <c r="DG70" i="24050"/>
  <c r="BY249" i="24050"/>
  <c r="DE255" i="23917"/>
  <c r="DE73" i="23917"/>
  <c r="CW397" i="24050"/>
  <c r="EK397" i="24050"/>
  <c r="CD71" i="24050"/>
  <c r="CD70" i="24050"/>
  <c r="CD66" i="24050"/>
  <c r="CD63" i="24050"/>
  <c r="CD64" i="24050"/>
  <c r="CD68" i="24050"/>
  <c r="CD65" i="24050"/>
  <c r="CD69" i="24050"/>
  <c r="CD67" i="24050"/>
  <c r="BE326" i="24050"/>
  <c r="CK332" i="23917"/>
  <c r="CK75" i="23917"/>
  <c r="DN29" i="23917"/>
  <c r="BP22" i="24050"/>
  <c r="BQ207" i="24050"/>
  <c r="CW213" i="23917"/>
  <c r="CW72" i="23917"/>
  <c r="BQ167" i="24050"/>
  <c r="CW173" i="23917"/>
  <c r="CW71" i="23917"/>
  <c r="CX78" i="23917"/>
  <c r="AF71" i="24050"/>
  <c r="AF65" i="24050"/>
  <c r="AF64" i="24050"/>
  <c r="AF69" i="24050"/>
  <c r="AF67" i="24050"/>
  <c r="AF68" i="24050"/>
  <c r="AF66" i="24050"/>
  <c r="AF63" i="24050"/>
  <c r="AF70" i="24050"/>
  <c r="CZ78" i="23917"/>
  <c r="DD25" i="23917"/>
  <c r="CS210" i="24050"/>
  <c r="DY216" i="23917"/>
  <c r="BT22" i="24050"/>
  <c r="AH71" i="24050"/>
  <c r="AH64" i="24050"/>
  <c r="AH66" i="24050"/>
  <c r="AH68" i="24050"/>
  <c r="AH65" i="24050"/>
  <c r="AH70" i="24050"/>
  <c r="AH69" i="24050"/>
  <c r="AH63" i="24050"/>
  <c r="AH67" i="24050"/>
  <c r="EK237" i="24050"/>
  <c r="FQ243" i="23917"/>
  <c r="CW244" i="24050"/>
  <c r="EC250" i="23917"/>
  <c r="EO242" i="24050"/>
  <c r="FU248" i="23917"/>
  <c r="EO234" i="24050"/>
  <c r="FU240" i="23917"/>
  <c r="EK243" i="24050"/>
  <c r="FQ249" i="23917"/>
  <c r="CZ243" i="24050"/>
  <c r="EF249" i="23917"/>
  <c r="EK256" i="24050"/>
  <c r="FQ262" i="23917"/>
  <c r="ER236" i="24050"/>
  <c r="FX242" i="23917"/>
  <c r="EL235" i="24050"/>
  <c r="FR241" i="23917"/>
  <c r="EN242" i="24050"/>
  <c r="FT248" i="23917"/>
  <c r="CY243" i="24050"/>
  <c r="EE249" i="23917"/>
  <c r="DA237" i="24050"/>
  <c r="EG243" i="23917"/>
  <c r="CU246" i="24050"/>
  <c r="EA252" i="23917"/>
  <c r="CU12" i="24050"/>
  <c r="EL240" i="24050"/>
  <c r="FR246" i="23917"/>
  <c r="ES236" i="24050"/>
  <c r="FY242" i="23917"/>
  <c r="CS252" i="24050"/>
  <c r="DY258" i="23917"/>
  <c r="EM235" i="24050"/>
  <c r="FS241" i="23917"/>
  <c r="EK255" i="24050"/>
  <c r="FQ261" i="23917"/>
  <c r="CY244" i="24050"/>
  <c r="EE250" i="23917"/>
  <c r="CV246" i="24050"/>
  <c r="CV247" i="24050" s="1"/>
  <c r="EB252" i="23917"/>
  <c r="EB253" i="23917" s="1"/>
  <c r="CV12" i="24050"/>
  <c r="CX246" i="24050"/>
  <c r="CX247" i="24050" s="1"/>
  <c r="CX12" i="24050"/>
  <c r="ED252" i="23917"/>
  <c r="ED253" i="23917" s="1"/>
  <c r="EN234" i="24050"/>
  <c r="FT240" i="23917"/>
  <c r="CT252" i="24050"/>
  <c r="DZ258" i="23917"/>
  <c r="EL241" i="24050"/>
  <c r="FR247" i="23917"/>
  <c r="CV321" i="24050"/>
  <c r="EB327" i="23917"/>
  <c r="CT323" i="24050"/>
  <c r="CT324" i="24050" s="1"/>
  <c r="CT14" i="24050"/>
  <c r="DZ329" i="23917"/>
  <c r="DZ330" i="23917" s="1"/>
  <c r="EL316" i="24050"/>
  <c r="FR322" i="23917"/>
  <c r="CU321" i="24050"/>
  <c r="EA327" i="23917"/>
  <c r="EK332" i="24050"/>
  <c r="FQ338" i="23917"/>
  <c r="DW14" i="23917"/>
  <c r="BF77" i="23917"/>
  <c r="EC13" i="23917"/>
  <c r="J24" i="23917"/>
  <c r="K20" i="23917"/>
  <c r="J71" i="23917"/>
  <c r="J23" i="23917"/>
  <c r="J70" i="23917"/>
  <c r="J72" i="23917"/>
  <c r="J69" i="23917"/>
  <c r="EK77" i="23917"/>
  <c r="AA23" i="23917"/>
  <c r="CD77" i="23917"/>
  <c r="T101" i="23917"/>
  <c r="T89" i="23917"/>
  <c r="T47" i="23917"/>
  <c r="T33" i="23917"/>
  <c r="T40" i="23917"/>
  <c r="U24" i="23917"/>
  <c r="FG77" i="23917"/>
  <c r="Q39" i="24068"/>
  <c r="Q40" i="24068" s="1"/>
  <c r="CG28" i="23917"/>
  <c r="EA9" i="23917"/>
  <c r="DY9" i="23917"/>
  <c r="EI77" i="23917"/>
  <c r="FX397" i="23917"/>
  <c r="FY397" i="23917"/>
  <c r="EC15" i="23917"/>
  <c r="CQ76" i="23917"/>
  <c r="CM76" i="23917"/>
  <c r="DJ77" i="23917"/>
  <c r="DJ28" i="23917"/>
  <c r="DY13" i="23917"/>
  <c r="DB28" i="23917"/>
  <c r="EA10" i="23917"/>
  <c r="CY28" i="23917"/>
  <c r="CS69" i="23917"/>
  <c r="DA69" i="23917"/>
  <c r="BL77" i="23917"/>
  <c r="DZ12" i="23917"/>
  <c r="CT77" i="23917"/>
  <c r="J39" i="24068"/>
  <c r="CA76" i="23917"/>
  <c r="EP69" i="23917"/>
  <c r="FO13" i="23917"/>
  <c r="BN77" i="23917"/>
  <c r="AB101" i="23917"/>
  <c r="AB89" i="23917"/>
  <c r="AB47" i="23917"/>
  <c r="AB33" i="23917"/>
  <c r="AC24" i="23917"/>
  <c r="AB40" i="23917"/>
  <c r="AK17" i="23917"/>
  <c r="AS17" i="23917"/>
  <c r="FZ387" i="23917"/>
  <c r="GA387" i="23917"/>
  <c r="EU381" i="24050" s="1"/>
  <c r="FV394" i="23917"/>
  <c r="FW394" i="23917"/>
  <c r="FF8" i="23917"/>
  <c r="FE17" i="23917"/>
  <c r="FH8" i="23917"/>
  <c r="AV77" i="23917"/>
  <c r="DP77" i="23917"/>
  <c r="Z77" i="23917"/>
  <c r="Z101" i="23917"/>
  <c r="Z47" i="23917"/>
  <c r="Z89" i="23917"/>
  <c r="Z33" i="23917"/>
  <c r="Z40" i="23917"/>
  <c r="AA24" i="23917"/>
  <c r="B39" i="24068"/>
  <c r="CK28" i="23917"/>
  <c r="BR77" i="23917"/>
  <c r="DE28" i="23917"/>
  <c r="FP10" i="23917"/>
  <c r="AD77" i="23917"/>
  <c r="AD101" i="23917"/>
  <c r="AD47" i="23917"/>
  <c r="AD89" i="23917"/>
  <c r="AD33" i="23917"/>
  <c r="AD40" i="23917"/>
  <c r="AE24" i="23917"/>
  <c r="DB77" i="23917"/>
  <c r="CR77" i="23917"/>
  <c r="I39" i="24068"/>
  <c r="I40" i="24068" s="1"/>
  <c r="DG28" i="23917"/>
  <c r="V77" i="23917"/>
  <c r="W23" i="23917"/>
  <c r="BZ77" i="23917"/>
  <c r="X24" i="23917"/>
  <c r="Y20" i="23917"/>
  <c r="X23" i="23917"/>
  <c r="FU389" i="23917"/>
  <c r="FT389" i="23917"/>
  <c r="CZ383" i="24050" s="1"/>
  <c r="FS390" i="23917"/>
  <c r="CY384" i="24050" s="1"/>
  <c r="CW28" i="23917"/>
  <c r="ED10" i="23917"/>
  <c r="R101" i="23917"/>
  <c r="R89" i="23917"/>
  <c r="R47" i="23917"/>
  <c r="R33" i="23917"/>
  <c r="R40" i="23917"/>
  <c r="BN28" i="23917"/>
  <c r="O33" i="23917"/>
  <c r="N53" i="23917"/>
  <c r="AG69" i="23917"/>
  <c r="AB77" i="23917"/>
  <c r="FE11" i="23917"/>
  <c r="AT77" i="23917"/>
  <c r="AM17" i="23917"/>
  <c r="AU17" i="23917"/>
  <c r="FC76" i="23917"/>
  <c r="FC69" i="23917"/>
  <c r="DR77" i="23917"/>
  <c r="DR28" i="23917"/>
  <c r="FP9" i="23917"/>
  <c r="DM28" i="23917"/>
  <c r="ET15" i="23917"/>
  <c r="ES17" i="23917"/>
  <c r="CH77" i="23917"/>
  <c r="DP28" i="23917"/>
  <c r="ED15" i="23917"/>
  <c r="U23" i="23917"/>
  <c r="P48" i="23917"/>
  <c r="P49" i="23917"/>
  <c r="P43" i="23917"/>
  <c r="Q40" i="23917"/>
  <c r="Q33" i="23917"/>
  <c r="P53" i="23917"/>
  <c r="DU28" i="23917"/>
  <c r="FN69" i="23917"/>
  <c r="FM76" i="23917"/>
  <c r="EB10" i="23917"/>
  <c r="FI77" i="23917"/>
  <c r="CL77" i="23917"/>
  <c r="DY12" i="23917"/>
  <c r="CG77" i="23917"/>
  <c r="CY77" i="23917"/>
  <c r="EN69" i="23917"/>
  <c r="BU76" i="23917"/>
  <c r="AZ77" i="23917"/>
  <c r="BV28" i="23917"/>
  <c r="AI17" i="23917"/>
  <c r="BQ76" i="23917"/>
  <c r="EY69" i="23917"/>
  <c r="EY76" i="23917"/>
  <c r="DH77" i="23917"/>
  <c r="DH28" i="23917"/>
  <c r="DE77" i="23917"/>
  <c r="BO69" i="23917"/>
  <c r="BH77" i="23917"/>
  <c r="AC23" i="23917"/>
  <c r="AR77" i="23917"/>
  <c r="FY402" i="23917"/>
  <c r="FX402" i="23917"/>
  <c r="BQ69" i="23917"/>
  <c r="AQ17" i="23917"/>
  <c r="AY17" i="23917"/>
  <c r="D39" i="24068"/>
  <c r="H40" i="24068" s="1"/>
  <c r="CC28" i="23917"/>
  <c r="T77" i="23917"/>
  <c r="S69" i="23917"/>
  <c r="DX14" i="23917"/>
  <c r="BR28" i="23917"/>
  <c r="DY10" i="23917"/>
  <c r="AF77" i="23917"/>
  <c r="AF89" i="23917"/>
  <c r="AF47" i="23917"/>
  <c r="AF33" i="23917"/>
  <c r="AG24" i="23917"/>
  <c r="FJ76" i="23917"/>
  <c r="R39" i="24068"/>
  <c r="CM69" i="23917"/>
  <c r="F39" i="24068"/>
  <c r="AE23" i="23917"/>
  <c r="EV15" i="23917"/>
  <c r="EX15" i="23917"/>
  <c r="EU17" i="23917"/>
  <c r="FJ69" i="23917"/>
  <c r="CQ28" i="23917"/>
  <c r="BM69" i="23917"/>
  <c r="BU69" i="23917"/>
  <c r="FP14" i="23917"/>
  <c r="DG77" i="23917"/>
  <c r="DA28" i="23917"/>
  <c r="EM77" i="23917"/>
  <c r="FA76" i="23917"/>
  <c r="V101" i="23917"/>
  <c r="V89" i="23917"/>
  <c r="V47" i="23917"/>
  <c r="V33" i="23917"/>
  <c r="V40" i="23917"/>
  <c r="W24" i="23917"/>
  <c r="BE76" i="23917"/>
  <c r="BV77" i="23917"/>
  <c r="BJ28" i="23917"/>
  <c r="CU69" i="23917"/>
  <c r="CU76" i="23917"/>
  <c r="CA69" i="23917"/>
  <c r="DO28" i="23917"/>
  <c r="FR390" i="23917"/>
  <c r="EO77" i="23917"/>
  <c r="FK76" i="23917"/>
  <c r="R77" i="23917"/>
  <c r="S20" i="23917"/>
  <c r="BO76" i="23917"/>
  <c r="N49" i="23917"/>
  <c r="N48" i="23917"/>
  <c r="N43" i="23917"/>
  <c r="O40" i="23917"/>
  <c r="GM7" i="23916" l="1"/>
  <c r="GO160" i="23916"/>
  <c r="GN395" i="23916"/>
  <c r="GL571" i="23916"/>
  <c r="GL575" i="23916" s="1"/>
  <c r="GL404" i="23916"/>
  <c r="GM59" i="23916"/>
  <c r="GT27" i="23916"/>
  <c r="GS27" i="23916"/>
  <c r="GT28" i="23916"/>
  <c r="GS28" i="23916"/>
  <c r="GM12" i="23916"/>
  <c r="GN403" i="23916"/>
  <c r="GO163" i="23916"/>
  <c r="GR29" i="23916"/>
  <c r="GM403" i="23916"/>
  <c r="GO7" i="23916"/>
  <c r="GN12" i="23916"/>
  <c r="GP45" i="23916"/>
  <c r="GQ39" i="23916"/>
  <c r="GP142" i="23916"/>
  <c r="GP42" i="23916"/>
  <c r="GN571" i="23916"/>
  <c r="GN575" i="23916" s="1"/>
  <c r="GN404" i="23916"/>
  <c r="GO59" i="23916"/>
  <c r="DT34" i="23917"/>
  <c r="DN34" i="23917"/>
  <c r="R17" i="24050"/>
  <c r="AX20" i="23917"/>
  <c r="BU77" i="23917"/>
  <c r="V17" i="24050"/>
  <c r="BB20" i="23917"/>
  <c r="AF76" i="23917"/>
  <c r="AF366" i="23917"/>
  <c r="H17" i="24050"/>
  <c r="AN20" i="23917"/>
  <c r="AX72" i="24050"/>
  <c r="S23" i="23917"/>
  <c r="DD34" i="23917"/>
  <c r="CV31" i="23917"/>
  <c r="EW17" i="23917"/>
  <c r="EZ17" i="23917"/>
  <c r="FS393" i="23917"/>
  <c r="CY387" i="24050" s="1"/>
  <c r="R40" i="24068"/>
  <c r="F40" i="24068"/>
  <c r="Y39" i="24050"/>
  <c r="BE47" i="23917"/>
  <c r="AW35" i="24050"/>
  <c r="CC43" i="23917"/>
  <c r="BK95" i="24050"/>
  <c r="CQ101" i="23917"/>
  <c r="AW45" i="24050"/>
  <c r="CC53" i="23917"/>
  <c r="EE20" i="24050"/>
  <c r="FK23" i="23917"/>
  <c r="EK15" i="24050"/>
  <c r="FQ408" i="23917"/>
  <c r="EK297" i="24050"/>
  <c r="FQ303" i="23917"/>
  <c r="DU290" i="24050"/>
  <c r="FA296" i="23917"/>
  <c r="FA74" i="23917"/>
  <c r="BZ35" i="24050"/>
  <c r="DF43" i="23917"/>
  <c r="BI32" i="24050"/>
  <c r="CO40" i="23917"/>
  <c r="BG21" i="24050"/>
  <c r="CM24" i="23917"/>
  <c r="F44" i="24068"/>
  <c r="BF39" i="24050"/>
  <c r="CL47" i="23917"/>
  <c r="AW83" i="24050"/>
  <c r="CC89" i="23917"/>
  <c r="CO25" i="24050"/>
  <c r="DU33" i="23917"/>
  <c r="AM20" i="24050"/>
  <c r="BS23" i="23917"/>
  <c r="AZ28" i="24050"/>
  <c r="CF36" i="23917"/>
  <c r="AY20" i="24050"/>
  <c r="CE23" i="23917"/>
  <c r="DF21" i="24050"/>
  <c r="EL24" i="23917"/>
  <c r="AK20" i="24050"/>
  <c r="BQ23" i="23917"/>
  <c r="L32" i="24050"/>
  <c r="AR40" i="23917"/>
  <c r="EK214" i="24050"/>
  <c r="FQ220" i="23917"/>
  <c r="AC124" i="24050"/>
  <c r="BI130" i="23917"/>
  <c r="BI70" i="23917"/>
  <c r="DJ290" i="24050"/>
  <c r="EP296" i="23917"/>
  <c r="EP74" i="23917"/>
  <c r="CI25" i="24050"/>
  <c r="DO33" i="23917"/>
  <c r="DS21" i="24050"/>
  <c r="EY24" i="23917"/>
  <c r="BO326" i="24050"/>
  <c r="CU332" i="23917"/>
  <c r="CU75" i="23917"/>
  <c r="BU21" i="24050"/>
  <c r="DA24" i="23917"/>
  <c r="ED124" i="24050"/>
  <c r="FJ130" i="23917"/>
  <c r="FJ70" i="23917"/>
  <c r="BY32" i="24050"/>
  <c r="DE40" i="23917"/>
  <c r="EG124" i="24050"/>
  <c r="FM130" i="23917"/>
  <c r="FM70" i="23917"/>
  <c r="DC39" i="24050"/>
  <c r="EI47" i="23917"/>
  <c r="BC124" i="24050"/>
  <c r="CI130" i="23917"/>
  <c r="CI70" i="23917"/>
  <c r="CF40" i="24050"/>
  <c r="DL48" i="23917"/>
  <c r="CL32" i="24050"/>
  <c r="DR40" i="23917"/>
  <c r="DW167" i="24050"/>
  <c r="FC173" i="23917"/>
  <c r="FC71" i="23917"/>
  <c r="X40" i="24050"/>
  <c r="BD48" i="23917"/>
  <c r="AI167" i="24050"/>
  <c r="BO173" i="23917"/>
  <c r="BO71" i="23917"/>
  <c r="DI25" i="24050"/>
  <c r="EO33" i="23917"/>
  <c r="CH40" i="24050"/>
  <c r="DN48" i="23917"/>
  <c r="AT95" i="24050"/>
  <c r="BZ101" i="23917"/>
  <c r="U207" i="24050"/>
  <c r="BA213" i="23917"/>
  <c r="BA72" i="23917"/>
  <c r="DG83" i="24050"/>
  <c r="EM89" i="23917"/>
  <c r="AF95" i="24050"/>
  <c r="BL101" i="23917"/>
  <c r="I44" i="24068"/>
  <c r="BL39" i="24050"/>
  <c r="CR47" i="23917"/>
  <c r="EP278" i="24050"/>
  <c r="FV284" i="23917"/>
  <c r="EM75" i="24050"/>
  <c r="FS81" i="23917"/>
  <c r="EO87" i="24050"/>
  <c r="FU93" i="23917"/>
  <c r="B44" i="24068"/>
  <c r="AX39" i="24050"/>
  <c r="CD47" i="23917"/>
  <c r="EF17" i="24050"/>
  <c r="FL20" i="23917"/>
  <c r="AD28" i="24050"/>
  <c r="BJ36" i="23917"/>
  <c r="AQ124" i="24050"/>
  <c r="BW130" i="23917"/>
  <c r="BW70" i="23917"/>
  <c r="T39" i="24050"/>
  <c r="AZ47" i="23917"/>
  <c r="DU326" i="24050"/>
  <c r="FA332" i="23917"/>
  <c r="FA75" i="23917"/>
  <c r="ES276" i="24050"/>
  <c r="FY282" i="23917"/>
  <c r="BG167" i="24050"/>
  <c r="CM173" i="23917"/>
  <c r="CM71" i="23917"/>
  <c r="AR28" i="24050"/>
  <c r="BX36" i="23917"/>
  <c r="BC21" i="24050"/>
  <c r="CI24" i="23917"/>
  <c r="DE95" i="24050"/>
  <c r="EK101" i="23917"/>
  <c r="EO31" i="24050"/>
  <c r="FU39" i="23917"/>
  <c r="Z32" i="24050"/>
  <c r="BF40" i="23917"/>
  <c r="L95" i="24050"/>
  <c r="AR101" i="23917"/>
  <c r="Y25" i="24050"/>
  <c r="BE33" i="23917"/>
  <c r="DA285" i="24050"/>
  <c r="EG291" i="23917"/>
  <c r="BI40" i="24050"/>
  <c r="CO48" i="23917"/>
  <c r="Y290" i="24050"/>
  <c r="BE296" i="23917"/>
  <c r="BE74" i="23917"/>
  <c r="BX28" i="24050"/>
  <c r="DD36" i="23917"/>
  <c r="EG21" i="24050"/>
  <c r="FM24" i="23917"/>
  <c r="DC83" i="24050"/>
  <c r="EI89" i="23917"/>
  <c r="CF41" i="24050"/>
  <c r="DL49" i="23917"/>
  <c r="DW207" i="24050"/>
  <c r="FC213" i="23917"/>
  <c r="FC72" i="23917"/>
  <c r="BD40" i="24050"/>
  <c r="CJ48" i="23917"/>
  <c r="Y32" i="24050"/>
  <c r="BE40" i="23917"/>
  <c r="AI249" i="24050"/>
  <c r="BO255" i="23917"/>
  <c r="BO73" i="23917"/>
  <c r="S296" i="23917"/>
  <c r="S74" i="23917"/>
  <c r="DI39" i="24050"/>
  <c r="EO47" i="23917"/>
  <c r="AK25" i="24050"/>
  <c r="BQ33" i="23917"/>
  <c r="X213" i="23917"/>
  <c r="X72" i="23917"/>
  <c r="X173" i="23917"/>
  <c r="X71" i="23917"/>
  <c r="AT83" i="24050"/>
  <c r="BZ89" i="23917"/>
  <c r="EN192" i="24050"/>
  <c r="FT198" i="23917"/>
  <c r="DG95" i="24050"/>
  <c r="EM101" i="23917"/>
  <c r="AF25" i="24050"/>
  <c r="BL33" i="23917"/>
  <c r="BL32" i="24050"/>
  <c r="BL33" i="24050" s="1"/>
  <c r="CR40" i="23917"/>
  <c r="CR41" i="23917" s="1"/>
  <c r="BI45" i="24050"/>
  <c r="CO53" i="23917"/>
  <c r="EP117" i="24050"/>
  <c r="FV123" i="23917"/>
  <c r="CX170" i="24050"/>
  <c r="ED176" i="23917"/>
  <c r="AL83" i="24050"/>
  <c r="BR89" i="23917"/>
  <c r="AU326" i="24050"/>
  <c r="CA332" i="23917"/>
  <c r="CA75" i="23917"/>
  <c r="BO167" i="24050"/>
  <c r="CU173" i="23917"/>
  <c r="CU71" i="23917"/>
  <c r="AP95" i="24050"/>
  <c r="BV101" i="23917"/>
  <c r="AI207" i="24050"/>
  <c r="BO213" i="23917"/>
  <c r="BO72" i="23917"/>
  <c r="EE207" i="24050"/>
  <c r="FK213" i="23917"/>
  <c r="FK72" i="23917"/>
  <c r="EE290" i="24050"/>
  <c r="FK296" i="23917"/>
  <c r="FK74" i="23917"/>
  <c r="DJ124" i="24050"/>
  <c r="EP130" i="23917"/>
  <c r="EP70" i="23917"/>
  <c r="EL384" i="24050"/>
  <c r="CX384" i="24050"/>
  <c r="CI39" i="24050"/>
  <c r="DO47" i="23917"/>
  <c r="BK207" i="24050"/>
  <c r="CQ213" i="23917"/>
  <c r="CQ72" i="23917"/>
  <c r="EL282" i="24050"/>
  <c r="FR288" i="23917"/>
  <c r="AU20" i="24050"/>
  <c r="CA23" i="23917"/>
  <c r="EL195" i="24050"/>
  <c r="FR201" i="23917"/>
  <c r="AD45" i="24050"/>
  <c r="BJ53" i="23917"/>
  <c r="T32" i="24050"/>
  <c r="AZ40" i="23917"/>
  <c r="T95" i="24050"/>
  <c r="AZ101" i="23917"/>
  <c r="DU167" i="24050"/>
  <c r="FA173" i="23917"/>
  <c r="FA71" i="23917"/>
  <c r="DU249" i="24050"/>
  <c r="FA255" i="23917"/>
  <c r="FA73" i="23917"/>
  <c r="DU21" i="24050"/>
  <c r="FA24" i="23917"/>
  <c r="DH20" i="24050"/>
  <c r="EN23" i="23917"/>
  <c r="BU167" i="24050"/>
  <c r="DA173" i="23917"/>
  <c r="DA71" i="23917"/>
  <c r="CA32" i="24050"/>
  <c r="DG40" i="23917"/>
  <c r="BS95" i="24050"/>
  <c r="CY101" i="23917"/>
  <c r="BR28" i="24050"/>
  <c r="CX36" i="23917"/>
  <c r="BQ32" i="24050"/>
  <c r="CW40" i="23917"/>
  <c r="BI95" i="24050"/>
  <c r="CO101" i="23917"/>
  <c r="BF25" i="24050"/>
  <c r="CL33" i="23917"/>
  <c r="CL34" i="23917" s="1"/>
  <c r="BF95" i="24050"/>
  <c r="CL101" i="23917"/>
  <c r="EM159" i="24050"/>
  <c r="FS165" i="23917"/>
  <c r="EC25" i="24050"/>
  <c r="FI33" i="23917"/>
  <c r="EC95" i="24050"/>
  <c r="FI101" i="23917"/>
  <c r="AF101" i="23917"/>
  <c r="EK202" i="24050"/>
  <c r="FQ208" i="23917"/>
  <c r="CN45" i="24050"/>
  <c r="DT53" i="23917"/>
  <c r="CO32" i="24050"/>
  <c r="DU40" i="23917"/>
  <c r="AK326" i="24050"/>
  <c r="BQ332" i="23917"/>
  <c r="BQ75" i="23917"/>
  <c r="BA25" i="24050"/>
  <c r="CG33" i="23917"/>
  <c r="AR41" i="24050"/>
  <c r="BX49" i="23917"/>
  <c r="EN296" i="24050"/>
  <c r="FT302" i="23917"/>
  <c r="B42" i="24068"/>
  <c r="CD28" i="23917"/>
  <c r="CD29" i="23917" s="1"/>
  <c r="BB32" i="24050"/>
  <c r="CH40" i="23917"/>
  <c r="CH41" i="23917" s="1"/>
  <c r="BB83" i="24050"/>
  <c r="CH89" i="23917"/>
  <c r="DE32" i="24050"/>
  <c r="EK40" i="23917"/>
  <c r="DE39" i="24050"/>
  <c r="EK47" i="23917"/>
  <c r="CF45" i="24050"/>
  <c r="DL53" i="23917"/>
  <c r="Z83" i="24050"/>
  <c r="BF89" i="23917"/>
  <c r="L39" i="24050"/>
  <c r="AR47" i="23917"/>
  <c r="DK207" i="24050"/>
  <c r="EQ213" i="23917"/>
  <c r="EQ72" i="23917"/>
  <c r="DK290" i="24050"/>
  <c r="EQ296" i="23917"/>
  <c r="EQ74" i="23917"/>
  <c r="AI290" i="24050"/>
  <c r="BO296" i="23917"/>
  <c r="BO74" i="23917"/>
  <c r="AO124" i="24050"/>
  <c r="BU130" i="23917"/>
  <c r="BU70" i="23917"/>
  <c r="DJ249" i="24050"/>
  <c r="EP255" i="23917"/>
  <c r="EP73" i="23917"/>
  <c r="CB25" i="24050"/>
  <c r="CB26" i="24050" s="1"/>
  <c r="DH33" i="23917"/>
  <c r="DH31" i="23917" s="1"/>
  <c r="CB95" i="24050"/>
  <c r="DH101" i="23917"/>
  <c r="CH45" i="24050"/>
  <c r="DN53" i="23917"/>
  <c r="DS124" i="24050"/>
  <c r="EY130" i="23917"/>
  <c r="EY70" i="23917"/>
  <c r="DS326" i="24050"/>
  <c r="EY332" i="23917"/>
  <c r="EY75" i="23917"/>
  <c r="DS207" i="24050"/>
  <c r="EY213" i="23917"/>
  <c r="EY72" i="23917"/>
  <c r="AK21" i="24050"/>
  <c r="BQ24" i="23917"/>
  <c r="ES310" i="24050"/>
  <c r="FY316" i="23917"/>
  <c r="AQ20" i="24050"/>
  <c r="BW23" i="23917"/>
  <c r="U20" i="24050"/>
  <c r="BA23" i="23917"/>
  <c r="CY287" i="24050"/>
  <c r="CY13" i="24050"/>
  <c r="EE293" i="23917"/>
  <c r="DA58" i="24050"/>
  <c r="EG65" i="23917"/>
  <c r="BR41" i="24050"/>
  <c r="CX49" i="23917"/>
  <c r="BW20" i="24050"/>
  <c r="DC23" i="23917"/>
  <c r="CE20" i="24050"/>
  <c r="DK23" i="23917"/>
  <c r="BG124" i="24050"/>
  <c r="CM130" i="23917"/>
  <c r="CM70" i="23917"/>
  <c r="BX45" i="24050"/>
  <c r="DD53" i="23917"/>
  <c r="BX40" i="24050"/>
  <c r="DD48" i="23917"/>
  <c r="EG249" i="24050"/>
  <c r="FM255" i="23917"/>
  <c r="FM73" i="23917"/>
  <c r="EG20" i="24050"/>
  <c r="FM23" i="23917"/>
  <c r="DC25" i="24050"/>
  <c r="EI33" i="23917"/>
  <c r="ER44" i="24050"/>
  <c r="FX52" i="23917"/>
  <c r="BA32" i="24050"/>
  <c r="CG40" i="23917"/>
  <c r="BE77" i="23917"/>
  <c r="CK21" i="24050"/>
  <c r="DQ24" i="23917"/>
  <c r="CJ25" i="24050"/>
  <c r="DP33" i="23917"/>
  <c r="DP31" i="23917" s="1"/>
  <c r="CJ95" i="24050"/>
  <c r="DP101" i="23917"/>
  <c r="AO39" i="24050"/>
  <c r="BU47" i="23917"/>
  <c r="AW95" i="24050"/>
  <c r="CC101" i="23917"/>
  <c r="CX321" i="24050"/>
  <c r="ED327" i="23917"/>
  <c r="EQ173" i="24050"/>
  <c r="FW179" i="23917"/>
  <c r="CF35" i="24050"/>
  <c r="CF36" i="24050" s="1"/>
  <c r="DL43" i="23917"/>
  <c r="DL44" i="23917" s="1"/>
  <c r="CL83" i="24050"/>
  <c r="DR89" i="23917"/>
  <c r="DW124" i="24050"/>
  <c r="FC130" i="23917"/>
  <c r="FC70" i="23917"/>
  <c r="DW326" i="24050"/>
  <c r="FC332" i="23917"/>
  <c r="FC75" i="23917"/>
  <c r="DW21" i="24050"/>
  <c r="FC24" i="23917"/>
  <c r="EN31" i="24050"/>
  <c r="FT39" i="23917"/>
  <c r="BD35" i="24050"/>
  <c r="BD36" i="24050" s="1"/>
  <c r="CJ43" i="23917"/>
  <c r="CJ44" i="23917" s="1"/>
  <c r="X41" i="24050"/>
  <c r="BD49" i="23917"/>
  <c r="EP111" i="24050"/>
  <c r="FV117" i="23917"/>
  <c r="AH25" i="24050"/>
  <c r="BN33" i="23917"/>
  <c r="AH95" i="24050"/>
  <c r="BN101" i="23917"/>
  <c r="AO207" i="24050"/>
  <c r="BU213" i="23917"/>
  <c r="BU72" i="23917"/>
  <c r="BU20" i="24050"/>
  <c r="DA23" i="23917"/>
  <c r="DJ21" i="24050"/>
  <c r="EP24" i="23917"/>
  <c r="DI95" i="24050"/>
  <c r="EO101" i="23917"/>
  <c r="CH35" i="24050"/>
  <c r="CH36" i="24050" s="1"/>
  <c r="DN43" i="23917"/>
  <c r="AK95" i="24050"/>
  <c r="BQ101" i="23917"/>
  <c r="X255" i="23917"/>
  <c r="X73" i="23917"/>
  <c r="X332" i="23917"/>
  <c r="X75" i="23917"/>
  <c r="AT32" i="24050"/>
  <c r="AT33" i="24050" s="1"/>
  <c r="BZ40" i="23917"/>
  <c r="AU167" i="24050"/>
  <c r="CA173" i="23917"/>
  <c r="CA71" i="23917"/>
  <c r="BO290" i="24050"/>
  <c r="CU296" i="23917"/>
  <c r="CU74" i="23917"/>
  <c r="EK161" i="24050"/>
  <c r="FQ167" i="23917"/>
  <c r="W130" i="23917"/>
  <c r="W70" i="23917"/>
  <c r="DG39" i="24050"/>
  <c r="EM47" i="23917"/>
  <c r="DH249" i="24050"/>
  <c r="EN255" i="23917"/>
  <c r="EN73" i="23917"/>
  <c r="BT45" i="24050"/>
  <c r="CZ53" i="23917"/>
  <c r="AG21" i="24050"/>
  <c r="BM24" i="23917"/>
  <c r="AF83" i="24050"/>
  <c r="BL89" i="23917"/>
  <c r="BL25" i="24050"/>
  <c r="BL26" i="24050" s="1"/>
  <c r="CR33" i="23917"/>
  <c r="BL95" i="24050"/>
  <c r="CR101" i="23917"/>
  <c r="BK20" i="24050"/>
  <c r="CQ23" i="23917"/>
  <c r="EK215" i="24050"/>
  <c r="FQ221" i="23917"/>
  <c r="BI39" i="24050"/>
  <c r="CO47" i="23917"/>
  <c r="AM21" i="24050"/>
  <c r="BS24" i="23917"/>
  <c r="AL39" i="24050"/>
  <c r="BR47" i="23917"/>
  <c r="AM124" i="24050"/>
  <c r="BS130" i="23917"/>
  <c r="BS70" i="23917"/>
  <c r="AX25" i="24050"/>
  <c r="AX26" i="24050" s="1"/>
  <c r="CD33" i="23917"/>
  <c r="AX95" i="24050"/>
  <c r="CD101" i="23917"/>
  <c r="AA130" i="23917"/>
  <c r="AA70" i="23917"/>
  <c r="AN28" i="24050"/>
  <c r="BT36" i="23917"/>
  <c r="D42" i="24068"/>
  <c r="CH28" i="23917"/>
  <c r="P32" i="24050"/>
  <c r="AV40" i="23917"/>
  <c r="P95" i="24050"/>
  <c r="AV101" i="23917"/>
  <c r="BJ45" i="24050"/>
  <c r="CP53" i="23917"/>
  <c r="CW164" i="24050"/>
  <c r="CW9" i="24050"/>
  <c r="EC170" i="23917"/>
  <c r="N32" i="24050"/>
  <c r="AT40" i="23917"/>
  <c r="N95" i="24050"/>
  <c r="AT101" i="23917"/>
  <c r="AI124" i="24050"/>
  <c r="BO130" i="23917"/>
  <c r="BO70" i="23917"/>
  <c r="S173" i="23917"/>
  <c r="S71" i="23917"/>
  <c r="DJ326" i="24050"/>
  <c r="EP332" i="23917"/>
  <c r="EP75" i="23917"/>
  <c r="EP313" i="24050"/>
  <c r="FV319" i="23917"/>
  <c r="J40" i="24068"/>
  <c r="BO124" i="24050"/>
  <c r="CU130" i="23917"/>
  <c r="CU70" i="23917"/>
  <c r="AP39" i="24050"/>
  <c r="BV47" i="23917"/>
  <c r="Y167" i="24050"/>
  <c r="BE173" i="23917"/>
  <c r="BE71" i="23917"/>
  <c r="DH290" i="24050"/>
  <c r="EN296" i="23917"/>
  <c r="EN74" i="23917"/>
  <c r="CA25" i="24050"/>
  <c r="DG33" i="23917"/>
  <c r="BP45" i="24050"/>
  <c r="CV53" i="23917"/>
  <c r="CY20" i="24050"/>
  <c r="EE23" i="23917"/>
  <c r="AK290" i="24050"/>
  <c r="BQ296" i="23917"/>
  <c r="BQ74" i="23917"/>
  <c r="BV39" i="24050"/>
  <c r="DB47" i="23917"/>
  <c r="CE21" i="24050"/>
  <c r="DK24" i="23917"/>
  <c r="CD39" i="24050"/>
  <c r="DJ47" i="23917"/>
  <c r="ED249" i="24050"/>
  <c r="FJ255" i="23917"/>
  <c r="FJ73" i="23917"/>
  <c r="DD124" i="24050"/>
  <c r="EJ130" i="23917"/>
  <c r="EJ70" i="23917"/>
  <c r="EN116" i="24050"/>
  <c r="FT122" i="23917"/>
  <c r="EA25" i="24050"/>
  <c r="FG33" i="23917"/>
  <c r="EA95" i="24050"/>
  <c r="FG101" i="23917"/>
  <c r="EO88" i="24050"/>
  <c r="EO76" i="24050"/>
  <c r="FU94" i="23917"/>
  <c r="FU82" i="23917"/>
  <c r="BC326" i="24050"/>
  <c r="CI332" i="23917"/>
  <c r="CI75" i="23917"/>
  <c r="J366" i="23917"/>
  <c r="J76" i="23917"/>
  <c r="EN158" i="24050"/>
  <c r="FT164" i="23917"/>
  <c r="ES110" i="24050"/>
  <c r="FY116" i="23917"/>
  <c r="BJ35" i="24050"/>
  <c r="CP43" i="23917"/>
  <c r="CP44" i="23917" s="1"/>
  <c r="CM20" i="24050"/>
  <c r="DS23" i="23917"/>
  <c r="ER275" i="24050"/>
  <c r="FX281" i="23917"/>
  <c r="AB25" i="24050"/>
  <c r="BH33" i="23917"/>
  <c r="CD72" i="24050"/>
  <c r="CB72" i="24050"/>
  <c r="EE71" i="24050"/>
  <c r="EE70" i="24050"/>
  <c r="EE68" i="24050"/>
  <c r="EE65" i="24050"/>
  <c r="EE64" i="24050"/>
  <c r="EE69" i="24050"/>
  <c r="EE67" i="24050"/>
  <c r="EE63" i="24050"/>
  <c r="EE66" i="24050"/>
  <c r="DH29" i="23917"/>
  <c r="BN22" i="24050"/>
  <c r="AP22" i="24050"/>
  <c r="AQ290" i="24050"/>
  <c r="BW296" i="23917"/>
  <c r="BW74" i="23917"/>
  <c r="AQ207" i="24050"/>
  <c r="BW213" i="23917"/>
  <c r="BW72" i="23917"/>
  <c r="M42" i="24068"/>
  <c r="CZ28" i="23917"/>
  <c r="CZ29" i="23917" s="1"/>
  <c r="BZ36" i="24050"/>
  <c r="BM326" i="24050"/>
  <c r="CS332" i="23917"/>
  <c r="CS75" i="23917"/>
  <c r="BM290" i="24050"/>
  <c r="CS296" i="23917"/>
  <c r="CS74" i="23917"/>
  <c r="DD326" i="24050"/>
  <c r="EJ332" i="23917"/>
  <c r="EJ75" i="23917"/>
  <c r="DD360" i="24050"/>
  <c r="EJ366" i="23917"/>
  <c r="EJ76" i="23917"/>
  <c r="AM326" i="24050"/>
  <c r="BS332" i="23917"/>
  <c r="BS75" i="23917"/>
  <c r="BI83" i="24050"/>
  <c r="CO89" i="23917"/>
  <c r="FG78" i="23917"/>
  <c r="CD78" i="23917"/>
  <c r="DP78" i="23917"/>
  <c r="CG39" i="24050"/>
  <c r="DM47" i="23917"/>
  <c r="DR78" i="23917"/>
  <c r="DW71" i="24050"/>
  <c r="DW68" i="24050"/>
  <c r="DW65" i="24050"/>
  <c r="DW64" i="24050"/>
  <c r="DW66" i="24050"/>
  <c r="DW67" i="24050"/>
  <c r="DW70" i="24050"/>
  <c r="DW63" i="24050"/>
  <c r="DW69" i="24050"/>
  <c r="EL155" i="24050"/>
  <c r="FR161" i="23917"/>
  <c r="CY210" i="24050"/>
  <c r="EE216" i="23917"/>
  <c r="AG290" i="24050"/>
  <c r="BM296" i="23917"/>
  <c r="BM74" i="23917"/>
  <c r="AG249" i="24050"/>
  <c r="BM255" i="23917"/>
  <c r="BM73" i="23917"/>
  <c r="FI34" i="23917"/>
  <c r="FI25" i="23917"/>
  <c r="EG71" i="24050"/>
  <c r="EG64" i="24050"/>
  <c r="EG67" i="24050"/>
  <c r="EG63" i="24050"/>
  <c r="EG65" i="24050"/>
  <c r="EG68" i="24050"/>
  <c r="EG69" i="24050"/>
  <c r="EG70" i="24050"/>
  <c r="EG66" i="24050"/>
  <c r="AM167" i="24050"/>
  <c r="BS173" i="23917"/>
  <c r="BS71" i="23917"/>
  <c r="U332" i="23917"/>
  <c r="U75" i="23917"/>
  <c r="AY249" i="24050"/>
  <c r="CE255" i="23917"/>
  <c r="CE73" i="23917"/>
  <c r="DF207" i="24050"/>
  <c r="EL213" i="23917"/>
  <c r="EL72" i="23917"/>
  <c r="BR33" i="24050"/>
  <c r="CC207" i="24050"/>
  <c r="DI213" i="23917"/>
  <c r="DI72" i="23917"/>
  <c r="CC290" i="24050"/>
  <c r="DI296" i="23917"/>
  <c r="DI74" i="23917"/>
  <c r="W296" i="23917"/>
  <c r="W74" i="23917"/>
  <c r="CA39" i="24050"/>
  <c r="DG47" i="23917"/>
  <c r="AG207" i="24050"/>
  <c r="BM213" i="23917"/>
  <c r="BM72" i="23917"/>
  <c r="H43" i="24068"/>
  <c r="DB29" i="23917"/>
  <c r="U173" i="23917"/>
  <c r="U71" i="23917"/>
  <c r="AA296" i="23917"/>
  <c r="AA74" i="23917"/>
  <c r="DA202" i="24050"/>
  <c r="EG208" i="23917"/>
  <c r="AC296" i="23917"/>
  <c r="AC74" i="23917"/>
  <c r="EO153" i="24050"/>
  <c r="FU159" i="23917"/>
  <c r="CB22" i="24050"/>
  <c r="CC326" i="24050"/>
  <c r="DI332" i="23917"/>
  <c r="DI75" i="23917"/>
  <c r="AT22" i="24050"/>
  <c r="DB78" i="23917"/>
  <c r="AE366" i="23917"/>
  <c r="AE76" i="23917"/>
  <c r="CE290" i="24050"/>
  <c r="DK296" i="23917"/>
  <c r="DK74" i="23917"/>
  <c r="DL360" i="24050"/>
  <c r="ER366" i="23917"/>
  <c r="ER76" i="23917"/>
  <c r="AM207" i="24050"/>
  <c r="BS213" i="23917"/>
  <c r="BS72" i="23917"/>
  <c r="AS83" i="24050"/>
  <c r="BY89" i="23917"/>
  <c r="AA213" i="23917"/>
  <c r="AA72" i="23917"/>
  <c r="CH78" i="23917"/>
  <c r="AC167" i="24050"/>
  <c r="BI173" i="23917"/>
  <c r="BI71" i="23917"/>
  <c r="CK124" i="24050"/>
  <c r="DQ130" i="23917"/>
  <c r="DQ70" i="23917"/>
  <c r="P25" i="24050"/>
  <c r="AV33" i="23917"/>
  <c r="BJ28" i="24050"/>
  <c r="CP36" i="23917"/>
  <c r="N25" i="24050"/>
  <c r="AT33" i="23917"/>
  <c r="AW32" i="24050"/>
  <c r="CC40" i="23917"/>
  <c r="AJ35" i="24050"/>
  <c r="BP43" i="23917"/>
  <c r="AU207" i="24050"/>
  <c r="CA213" i="23917"/>
  <c r="CA72" i="23917"/>
  <c r="BN32" i="24050"/>
  <c r="BN33" i="24050" s="1"/>
  <c r="CT40" i="23917"/>
  <c r="BN83" i="24050"/>
  <c r="CT89" i="23917"/>
  <c r="AP32" i="24050"/>
  <c r="AP33" i="24050" s="1"/>
  <c r="BV40" i="23917"/>
  <c r="DH326" i="24050"/>
  <c r="EN332" i="23917"/>
  <c r="EN75" i="23917"/>
  <c r="BT35" i="24050"/>
  <c r="CZ43" i="23917"/>
  <c r="CZ44" i="23917" s="1"/>
  <c r="CA95" i="24050"/>
  <c r="DG101" i="23917"/>
  <c r="BZ28" i="24050"/>
  <c r="DF36" i="23917"/>
  <c r="AG124" i="24050"/>
  <c r="BM130" i="23917"/>
  <c r="BM70" i="23917"/>
  <c r="BM20" i="24050"/>
  <c r="CS23" i="23917"/>
  <c r="BS39" i="24050"/>
  <c r="CY47" i="23917"/>
  <c r="BQ25" i="24050"/>
  <c r="CW33" i="23917"/>
  <c r="CQ20" i="24050"/>
  <c r="DW23" i="23917"/>
  <c r="CZ204" i="24050"/>
  <c r="CZ205" i="24050" s="1"/>
  <c r="CZ10" i="24050"/>
  <c r="EF210" i="23917"/>
  <c r="EF211" i="23917" s="1"/>
  <c r="BV32" i="24050"/>
  <c r="DB40" i="23917"/>
  <c r="CE124" i="24050"/>
  <c r="DK130" i="23917"/>
  <c r="DK70" i="23917"/>
  <c r="ED167" i="24050"/>
  <c r="FJ173" i="23917"/>
  <c r="FJ71" i="23917"/>
  <c r="EM213" i="24050"/>
  <c r="FS219" i="23917"/>
  <c r="BK249" i="24050"/>
  <c r="CQ255" i="23917"/>
  <c r="CQ73" i="23917"/>
  <c r="EB21" i="24050"/>
  <c r="FH24" i="23917"/>
  <c r="Y326" i="24050"/>
  <c r="BE332" i="23917"/>
  <c r="BE75" i="23917"/>
  <c r="EN88" i="24050"/>
  <c r="EN76" i="24050"/>
  <c r="FT94" i="23917"/>
  <c r="FT82" i="23917"/>
  <c r="AN35" i="24050"/>
  <c r="BT43" i="23917"/>
  <c r="EL317" i="24050"/>
  <c r="FR323" i="23917"/>
  <c r="DF124" i="24050"/>
  <c r="EL130" i="23917"/>
  <c r="EL70" i="23917"/>
  <c r="J255" i="23917"/>
  <c r="J73" i="23917"/>
  <c r="ER110" i="24050"/>
  <c r="FX116" i="23917"/>
  <c r="BJ40" i="24050"/>
  <c r="CP48" i="23917"/>
  <c r="CU20" i="24050"/>
  <c r="EA23" i="23917"/>
  <c r="AB32" i="24050"/>
  <c r="BH40" i="23917"/>
  <c r="AB39" i="24050"/>
  <c r="BH47" i="23917"/>
  <c r="CC249" i="24050"/>
  <c r="DI255" i="23917"/>
  <c r="DI73" i="23917"/>
  <c r="CT78" i="23917"/>
  <c r="BW207" i="24050"/>
  <c r="DC213" i="23917"/>
  <c r="DC72" i="23917"/>
  <c r="DJ29" i="23917"/>
  <c r="BY83" i="24050"/>
  <c r="DE89" i="23917"/>
  <c r="CH29" i="23917"/>
  <c r="AC332" i="23917"/>
  <c r="AC75" i="23917"/>
  <c r="AC326" i="24050"/>
  <c r="BI332" i="23917"/>
  <c r="BI75" i="23917"/>
  <c r="CR34" i="23917"/>
  <c r="CR25" i="23917"/>
  <c r="BQ83" i="24050"/>
  <c r="CW89" i="23917"/>
  <c r="EC26" i="24050"/>
  <c r="EC22" i="24050"/>
  <c r="ED326" i="24050"/>
  <c r="FJ332" i="23917"/>
  <c r="FJ75" i="23917"/>
  <c r="DD207" i="24050"/>
  <c r="EJ213" i="23917"/>
  <c r="EJ72" i="23917"/>
  <c r="AS39" i="24050"/>
  <c r="BY47" i="23917"/>
  <c r="AA173" i="23917"/>
  <c r="AA71" i="23917"/>
  <c r="CG95" i="24050"/>
  <c r="DM101" i="23917"/>
  <c r="CM167" i="24050"/>
  <c r="DS173" i="23917"/>
  <c r="DS71" i="23917"/>
  <c r="AQ326" i="24050"/>
  <c r="BW332" i="23917"/>
  <c r="BW75" i="23917"/>
  <c r="AQ249" i="24050"/>
  <c r="BW255" i="23917"/>
  <c r="BW73" i="23917"/>
  <c r="BM207" i="24050"/>
  <c r="CS213" i="23917"/>
  <c r="CS72" i="23917"/>
  <c r="BW290" i="24050"/>
  <c r="DC296" i="23917"/>
  <c r="DC74" i="23917"/>
  <c r="BW249" i="24050"/>
  <c r="DC255" i="23917"/>
  <c r="DC73" i="23917"/>
  <c r="DJ25" i="23917"/>
  <c r="CE207" i="24050"/>
  <c r="DK213" i="23917"/>
  <c r="DK72" i="23917"/>
  <c r="BA39" i="24050"/>
  <c r="CG47" i="23917"/>
  <c r="AY290" i="24050"/>
  <c r="CE296" i="23917"/>
  <c r="CE74" i="23917"/>
  <c r="AY207" i="24050"/>
  <c r="CE213" i="23917"/>
  <c r="CE72" i="23917"/>
  <c r="CH25" i="23917"/>
  <c r="Y20" i="24050"/>
  <c r="BE23" i="23917"/>
  <c r="DR29" i="23917"/>
  <c r="AC366" i="23917"/>
  <c r="AC76" i="23917"/>
  <c r="BX33" i="24050"/>
  <c r="BV72" i="24050"/>
  <c r="EC72" i="24050"/>
  <c r="DH78" i="23917"/>
  <c r="AQ167" i="24050"/>
  <c r="BW173" i="23917"/>
  <c r="BW71" i="23917"/>
  <c r="W255" i="23917"/>
  <c r="W73" i="23917"/>
  <c r="BT36" i="24050"/>
  <c r="BM249" i="24050"/>
  <c r="CS255" i="23917"/>
  <c r="CS73" i="23917"/>
  <c r="BQ39" i="24050"/>
  <c r="CW47" i="23917"/>
  <c r="AE173" i="23917"/>
  <c r="AE71" i="23917"/>
  <c r="CS329" i="24050"/>
  <c r="DY335" i="23917"/>
  <c r="CD34" i="23917"/>
  <c r="CD25" i="23917"/>
  <c r="BJ36" i="24050"/>
  <c r="AC255" i="23917"/>
  <c r="AC73" i="23917"/>
  <c r="EE249" i="24050"/>
  <c r="FK255" i="23917"/>
  <c r="FK73" i="23917"/>
  <c r="T25" i="24050"/>
  <c r="AZ33" i="23917"/>
  <c r="DV17" i="24050"/>
  <c r="FB20" i="23917"/>
  <c r="BP35" i="24050"/>
  <c r="CV43" i="23917"/>
  <c r="AK207" i="24050"/>
  <c r="BQ213" i="23917"/>
  <c r="BQ72" i="23917"/>
  <c r="EQ278" i="24050"/>
  <c r="FW284" i="23917"/>
  <c r="EN174" i="24050"/>
  <c r="FT180" i="23917"/>
  <c r="AG213" i="23917"/>
  <c r="AG72" i="23917"/>
  <c r="CO95" i="24050"/>
  <c r="DU101" i="23917"/>
  <c r="BA83" i="24050"/>
  <c r="CG89" i="23917"/>
  <c r="AR45" i="24050"/>
  <c r="BX53" i="23917"/>
  <c r="AR40" i="24050"/>
  <c r="BX48" i="23917"/>
  <c r="EM281" i="24050"/>
  <c r="FS287" i="23917"/>
  <c r="BB25" i="24050"/>
  <c r="CH33" i="23917"/>
  <c r="CH34" i="23917" s="1"/>
  <c r="DE83" i="24050"/>
  <c r="EK89" i="23917"/>
  <c r="L83" i="24050"/>
  <c r="AR89" i="23917"/>
  <c r="DK124" i="24050"/>
  <c r="EQ130" i="23917"/>
  <c r="EQ70" i="23917"/>
  <c r="CZ162" i="24050"/>
  <c r="EF168" i="23917"/>
  <c r="CC21" i="24050"/>
  <c r="DI24" i="23917"/>
  <c r="J42" i="24068"/>
  <c r="CT28" i="23917"/>
  <c r="CT29" i="23917" s="1"/>
  <c r="CZ287" i="24050"/>
  <c r="CZ288" i="24050" s="1"/>
  <c r="CZ13" i="24050"/>
  <c r="EF293" i="23917"/>
  <c r="EF294" i="23917" s="1"/>
  <c r="BY25" i="24050"/>
  <c r="DE33" i="23917"/>
  <c r="EG326" i="24050"/>
  <c r="FM332" i="23917"/>
  <c r="FM75" i="23917"/>
  <c r="EH17" i="24050"/>
  <c r="FN20" i="23917"/>
  <c r="EK298" i="24050"/>
  <c r="FQ304" i="23917"/>
  <c r="CY320" i="24050"/>
  <c r="EE326" i="23917"/>
  <c r="AK167" i="24050"/>
  <c r="BQ173" i="23917"/>
  <c r="BQ71" i="23917"/>
  <c r="AH32" i="24050"/>
  <c r="BN40" i="23917"/>
  <c r="X296" i="23917"/>
  <c r="X74" i="23917"/>
  <c r="AT25" i="24050"/>
  <c r="BZ33" i="23917"/>
  <c r="EM195" i="24050"/>
  <c r="FS201" i="23917"/>
  <c r="DH360" i="24050"/>
  <c r="EN366" i="23917"/>
  <c r="EN76" i="23917"/>
  <c r="BT28" i="24050"/>
  <c r="CZ36" i="23917"/>
  <c r="AF32" i="24050"/>
  <c r="BL40" i="23917"/>
  <c r="ES312" i="24050"/>
  <c r="FY318" i="23917"/>
  <c r="BG20" i="24050"/>
  <c r="CM23" i="23917"/>
  <c r="Y124" i="24050"/>
  <c r="BE130" i="23917"/>
  <c r="BE70" i="23917"/>
  <c r="AI20" i="24050"/>
  <c r="BO23" i="23917"/>
  <c r="EE124" i="24050"/>
  <c r="FK130" i="23917"/>
  <c r="FK70" i="23917"/>
  <c r="EO174" i="24050"/>
  <c r="FU180" i="23917"/>
  <c r="D44" i="24068"/>
  <c r="BB39" i="24050"/>
  <c r="CH47" i="23917"/>
  <c r="DS290" i="24050"/>
  <c r="EY296" i="23917"/>
  <c r="EY74" i="23917"/>
  <c r="BU290" i="24050"/>
  <c r="DA296" i="23917"/>
  <c r="DA74" i="23917"/>
  <c r="BT41" i="24050"/>
  <c r="CZ49" i="23917"/>
  <c r="BP28" i="24050"/>
  <c r="CV36" i="23917"/>
  <c r="CR20" i="24050"/>
  <c r="DX23" i="23917"/>
  <c r="ES311" i="24050"/>
  <c r="FY317" i="23917"/>
  <c r="BV25" i="24050"/>
  <c r="BV26" i="24050" s="1"/>
  <c r="DB33" i="23917"/>
  <c r="DB31" i="23917" s="1"/>
  <c r="BV95" i="24050"/>
  <c r="DB101" i="23917"/>
  <c r="CD32" i="24050"/>
  <c r="DJ40" i="23917"/>
  <c r="DJ41" i="23917" s="1"/>
  <c r="CD83" i="24050"/>
  <c r="DJ89" i="23917"/>
  <c r="BG249" i="24050"/>
  <c r="CM255" i="23917"/>
  <c r="CM73" i="23917"/>
  <c r="FB69" i="23917"/>
  <c r="EL213" i="24050"/>
  <c r="FR219" i="23917"/>
  <c r="BA95" i="24050"/>
  <c r="CG101" i="23917"/>
  <c r="EL75" i="24050"/>
  <c r="FR81" i="23917"/>
  <c r="Q44" i="24068"/>
  <c r="EA39" i="24050"/>
  <c r="FG47" i="23917"/>
  <c r="AY124" i="24050"/>
  <c r="CE130" i="23917"/>
  <c r="CE70" i="23917"/>
  <c r="AN41" i="24050"/>
  <c r="BT49" i="23917"/>
  <c r="EK333" i="24050"/>
  <c r="FQ339" i="23917"/>
  <c r="J296" i="23917"/>
  <c r="J74" i="23917"/>
  <c r="CZ320" i="24050"/>
  <c r="EF326" i="23917"/>
  <c r="BJ41" i="24050"/>
  <c r="CP49" i="23917"/>
  <c r="AC21" i="24050"/>
  <c r="BI24" i="23917"/>
  <c r="AB83" i="24050"/>
  <c r="BH89" i="23917"/>
  <c r="BT33" i="24050"/>
  <c r="BL72" i="24050"/>
  <c r="CF33" i="24050"/>
  <c r="AG326" i="24050"/>
  <c r="BM332" i="23917"/>
  <c r="BM75" i="23917"/>
  <c r="DB25" i="23917"/>
  <c r="AE213" i="23917"/>
  <c r="AE72" i="23917"/>
  <c r="CE167" i="24050"/>
  <c r="DK173" i="23917"/>
  <c r="DK71" i="23917"/>
  <c r="CE249" i="24050"/>
  <c r="DK255" i="23917"/>
  <c r="DK73" i="23917"/>
  <c r="CW210" i="24050"/>
  <c r="EC216" i="23917"/>
  <c r="FG34" i="23917"/>
  <c r="FG25" i="23917"/>
  <c r="AA366" i="23917"/>
  <c r="AA76" i="23917"/>
  <c r="DP29" i="23917"/>
  <c r="BC290" i="24050"/>
  <c r="CI296" i="23917"/>
  <c r="CI74" i="23917"/>
  <c r="BC249" i="24050"/>
  <c r="CI255" i="23917"/>
  <c r="CI73" i="23917"/>
  <c r="DF249" i="24050"/>
  <c r="EL255" i="23917"/>
  <c r="EL73" i="23917"/>
  <c r="DR41" i="23917"/>
  <c r="DR25" i="23917"/>
  <c r="CM290" i="24050"/>
  <c r="DS296" i="23917"/>
  <c r="DS74" i="23917"/>
  <c r="CV34" i="23917"/>
  <c r="AT72" i="24050"/>
  <c r="EA72" i="24050"/>
  <c r="W366" i="23917"/>
  <c r="W76" i="23917"/>
  <c r="BL22" i="24050"/>
  <c r="BM167" i="24050"/>
  <c r="CS173" i="23917"/>
  <c r="CS71" i="23917"/>
  <c r="L42" i="24068"/>
  <c r="L43" i="24068" s="1"/>
  <c r="CX28" i="23917"/>
  <c r="CX29" i="23917" s="1"/>
  <c r="CV44" i="23917"/>
  <c r="BW167" i="24050"/>
  <c r="DC173" i="23917"/>
  <c r="DC71" i="23917"/>
  <c r="CK207" i="24050"/>
  <c r="DQ213" i="23917"/>
  <c r="DQ72" i="23917"/>
  <c r="CK167" i="24050"/>
  <c r="DQ173" i="23917"/>
  <c r="DQ71" i="23917"/>
  <c r="BE39" i="24050"/>
  <c r="CK47" i="23917"/>
  <c r="AC173" i="23917"/>
  <c r="AC71" i="23917"/>
  <c r="AC290" i="24050"/>
  <c r="BI296" i="23917"/>
  <c r="BI74" i="23917"/>
  <c r="EP193" i="24050"/>
  <c r="FV199" i="23917"/>
  <c r="BN72" i="24050"/>
  <c r="BJ33" i="24050"/>
  <c r="BF72" i="24050"/>
  <c r="CZ31" i="23917"/>
  <c r="AE332" i="23917"/>
  <c r="AE75" i="23917"/>
  <c r="CD33" i="24050"/>
  <c r="CD22" i="24050"/>
  <c r="CL25" i="23917"/>
  <c r="AS95" i="24050"/>
  <c r="BY101" i="23917"/>
  <c r="BB33" i="24050"/>
  <c r="BB26" i="24050"/>
  <c r="BB22" i="24050"/>
  <c r="BC167" i="24050"/>
  <c r="CI173" i="23917"/>
  <c r="CI71" i="23917"/>
  <c r="DF167" i="24050"/>
  <c r="EL173" i="23917"/>
  <c r="EL71" i="23917"/>
  <c r="DF360" i="24050"/>
  <c r="EL366" i="23917"/>
  <c r="EL76" i="23917"/>
  <c r="CM207" i="24050"/>
  <c r="DS213" i="23917"/>
  <c r="DS72" i="23917"/>
  <c r="AC207" i="24050"/>
  <c r="BI213" i="23917"/>
  <c r="BI72" i="23917"/>
  <c r="CF41" i="23917"/>
  <c r="EM155" i="24050"/>
  <c r="FS161" i="23917"/>
  <c r="DN44" i="23917"/>
  <c r="BW326" i="24050"/>
  <c r="DC332" i="23917"/>
  <c r="DC75" i="23917"/>
  <c r="CL78" i="23917"/>
  <c r="DD290" i="24050"/>
  <c r="EJ296" i="23917"/>
  <c r="EJ74" i="23917"/>
  <c r="U366" i="23917"/>
  <c r="U76" i="23917"/>
  <c r="AX22" i="24050"/>
  <c r="AY167" i="24050"/>
  <c r="CE173" i="23917"/>
  <c r="CE71" i="23917"/>
  <c r="AY326" i="24050"/>
  <c r="CE332" i="23917"/>
  <c r="CE75" i="23917"/>
  <c r="DP25" i="23917"/>
  <c r="DA161" i="24050"/>
  <c r="EG167" i="23917"/>
  <c r="AK124" i="24050"/>
  <c r="BQ130" i="23917"/>
  <c r="BQ70" i="23917"/>
  <c r="U290" i="24050"/>
  <c r="BA296" i="23917"/>
  <c r="BA74" i="23917"/>
  <c r="DU124" i="24050"/>
  <c r="FA130" i="23917"/>
  <c r="FA70" i="23917"/>
  <c r="DH167" i="24050"/>
  <c r="EN173" i="23917"/>
  <c r="EN71" i="23917"/>
  <c r="EG408" i="23917"/>
  <c r="DA15" i="24050"/>
  <c r="BK290" i="24050"/>
  <c r="CQ296" i="23917"/>
  <c r="CQ74" i="23917"/>
  <c r="R44" i="24068"/>
  <c r="EC39" i="24050"/>
  <c r="FI47" i="23917"/>
  <c r="CN35" i="24050"/>
  <c r="DT43" i="23917"/>
  <c r="DT44" i="23917" s="1"/>
  <c r="U130" i="23917"/>
  <c r="U70" i="23917"/>
  <c r="BB95" i="24050"/>
  <c r="CH101" i="23917"/>
  <c r="CG25" i="24050"/>
  <c r="DM33" i="23917"/>
  <c r="Z39" i="24050"/>
  <c r="BF47" i="23917"/>
  <c r="BD45" i="24050"/>
  <c r="CJ53" i="23917"/>
  <c r="X45" i="24050"/>
  <c r="BD53" i="23917"/>
  <c r="DK20" i="24050"/>
  <c r="EQ23" i="23917"/>
  <c r="CB39" i="24050"/>
  <c r="DH47" i="23917"/>
  <c r="DS249" i="24050"/>
  <c r="EY255" i="23917"/>
  <c r="EY73" i="23917"/>
  <c r="ER310" i="24050"/>
  <c r="FX316" i="23917"/>
  <c r="AD35" i="24050"/>
  <c r="BJ43" i="23917"/>
  <c r="BS32" i="24050"/>
  <c r="CY40" i="23917"/>
  <c r="CO83" i="24050"/>
  <c r="DU89" i="23917"/>
  <c r="AZ35" i="24050"/>
  <c r="AZ36" i="24050" s="1"/>
  <c r="CF43" i="23917"/>
  <c r="CF44" i="23917" s="1"/>
  <c r="CJ39" i="24050"/>
  <c r="DP47" i="23917"/>
  <c r="DF20" i="24050"/>
  <c r="EL23" i="23917"/>
  <c r="CL95" i="24050"/>
  <c r="DR101" i="23917"/>
  <c r="DX17" i="24050"/>
  <c r="FD20" i="23917"/>
  <c r="BD41" i="24050"/>
  <c r="CJ49" i="23917"/>
  <c r="EQ111" i="24050"/>
  <c r="FW117" i="23917"/>
  <c r="AH39" i="24050"/>
  <c r="BN47" i="23917"/>
  <c r="DA383" i="24050"/>
  <c r="CI83" i="24050"/>
  <c r="DO89" i="23917"/>
  <c r="AJ45" i="24050"/>
  <c r="BP53" i="23917"/>
  <c r="BO207" i="24050"/>
  <c r="CU213" i="23917"/>
  <c r="CU72" i="23917"/>
  <c r="DH21" i="24050"/>
  <c r="EN24" i="23917"/>
  <c r="BM21" i="24050"/>
  <c r="CS24" i="23917"/>
  <c r="BW124" i="24050"/>
  <c r="DC130" i="23917"/>
  <c r="DC70" i="23917"/>
  <c r="ED290" i="24050"/>
  <c r="FJ296" i="23917"/>
  <c r="FJ74" i="23917"/>
  <c r="EQ117" i="24050"/>
  <c r="FW123" i="23917"/>
  <c r="AY21" i="24050"/>
  <c r="CE24" i="23917"/>
  <c r="BU124" i="24050"/>
  <c r="DA130" i="23917"/>
  <c r="DA70" i="23917"/>
  <c r="EE167" i="24050"/>
  <c r="FK173" i="23917"/>
  <c r="FK71" i="23917"/>
  <c r="DJ167" i="24050"/>
  <c r="EP173" i="23917"/>
  <c r="EP71" i="23917"/>
  <c r="AU290" i="24050"/>
  <c r="CA296" i="23917"/>
  <c r="CA74" i="23917"/>
  <c r="U21" i="24050"/>
  <c r="BA24" i="23917"/>
  <c r="U249" i="24050"/>
  <c r="BA255" i="23917"/>
  <c r="BA73" i="23917"/>
  <c r="CA83" i="24050"/>
  <c r="DG89" i="23917"/>
  <c r="BZ40" i="24050"/>
  <c r="DF48" i="23917"/>
  <c r="BR45" i="24050"/>
  <c r="CX53" i="23917"/>
  <c r="BP40" i="24050"/>
  <c r="CV48" i="23917"/>
  <c r="EC32" i="24050"/>
  <c r="FI40" i="23917"/>
  <c r="AF40" i="23917"/>
  <c r="AG130" i="23917"/>
  <c r="AG70" i="23917"/>
  <c r="AS32" i="24050"/>
  <c r="BY40" i="23917"/>
  <c r="CF28" i="24050"/>
  <c r="DL36" i="23917"/>
  <c r="Z95" i="24050"/>
  <c r="BF101" i="23917"/>
  <c r="BE25" i="24050"/>
  <c r="CK33" i="23917"/>
  <c r="EL199" i="24050"/>
  <c r="FR205" i="23917"/>
  <c r="DK167" i="24050"/>
  <c r="EQ173" i="23917"/>
  <c r="EQ71" i="23917"/>
  <c r="DK21" i="24050"/>
  <c r="EQ24" i="23917"/>
  <c r="AW41" i="24050"/>
  <c r="CC49" i="23917"/>
  <c r="CB32" i="24050"/>
  <c r="CB33" i="24050" s="1"/>
  <c r="DH40" i="23917"/>
  <c r="CC124" i="24050"/>
  <c r="DI130" i="23917"/>
  <c r="DI70" i="23917"/>
  <c r="CI95" i="24050"/>
  <c r="DO101" i="23917"/>
  <c r="CH28" i="24050"/>
  <c r="DN36" i="23917"/>
  <c r="AU249" i="24050"/>
  <c r="CA255" i="23917"/>
  <c r="CA73" i="23917"/>
  <c r="AD40" i="24050"/>
  <c r="BJ48" i="23917"/>
  <c r="U360" i="24050"/>
  <c r="BA366" i="23917"/>
  <c r="BA76" i="23917"/>
  <c r="CX293" i="24050"/>
  <c r="ED299" i="23917"/>
  <c r="DH207" i="24050"/>
  <c r="EN213" i="23917"/>
  <c r="EN72" i="23917"/>
  <c r="BR35" i="24050"/>
  <c r="BR36" i="24050" s="1"/>
  <c r="CX43" i="23917"/>
  <c r="CX44" i="23917" s="1"/>
  <c r="BX35" i="24050"/>
  <c r="BX36" i="24050" s="1"/>
  <c r="DD43" i="23917"/>
  <c r="DD44" i="23917" s="1"/>
  <c r="EG207" i="24050"/>
  <c r="FM213" i="23917"/>
  <c r="FM72" i="23917"/>
  <c r="DD21" i="24050"/>
  <c r="EJ24" i="23917"/>
  <c r="EL284" i="24050"/>
  <c r="FR290" i="23917"/>
  <c r="AZ40" i="24050"/>
  <c r="CF48" i="23917"/>
  <c r="EP173" i="24050"/>
  <c r="FV179" i="23917"/>
  <c r="DW20" i="24050"/>
  <c r="FC23" i="23917"/>
  <c r="DJ207" i="24050"/>
  <c r="EP213" i="23917"/>
  <c r="EP72" i="23917"/>
  <c r="CH41" i="24050"/>
  <c r="DN49" i="23917"/>
  <c r="AU21" i="24050"/>
  <c r="CA24" i="23917"/>
  <c r="AU124" i="24050"/>
  <c r="CA130" i="23917"/>
  <c r="CA70" i="23917"/>
  <c r="BO249" i="24050"/>
  <c r="CU255" i="23917"/>
  <c r="CU73" i="23917"/>
  <c r="U167" i="24050"/>
  <c r="BA173" i="23917"/>
  <c r="BA71" i="23917"/>
  <c r="DG32" i="24050"/>
  <c r="EM40" i="23917"/>
  <c r="BM124" i="24050"/>
  <c r="CS130" i="23917"/>
  <c r="CS70" i="23917"/>
  <c r="ER312" i="24050"/>
  <c r="FX318" i="23917"/>
  <c r="AL32" i="24050"/>
  <c r="BR40" i="23917"/>
  <c r="ER194" i="24050"/>
  <c r="FX200" i="23917"/>
  <c r="BC20" i="24050"/>
  <c r="CI23" i="23917"/>
  <c r="P39" i="24050"/>
  <c r="AV47" i="23917"/>
  <c r="CV170" i="24050"/>
  <c r="EB176" i="23917"/>
  <c r="N83" i="24050"/>
  <c r="AT89" i="23917"/>
  <c r="DJ20" i="24050"/>
  <c r="EP23" i="23917"/>
  <c r="AJ40" i="24050"/>
  <c r="BP48" i="23917"/>
  <c r="BN25" i="24050"/>
  <c r="BN26" i="24050" s="1"/>
  <c r="CT33" i="23917"/>
  <c r="CT34" i="23917" s="1"/>
  <c r="BN95" i="24050"/>
  <c r="CT101" i="23917"/>
  <c r="AP25" i="24050"/>
  <c r="BV33" i="23917"/>
  <c r="AW40" i="24050"/>
  <c r="CC48" i="23917"/>
  <c r="EE326" i="24050"/>
  <c r="FK332" i="23917"/>
  <c r="FK75" i="23917"/>
  <c r="EE21" i="24050"/>
  <c r="FK24" i="23917"/>
  <c r="EK285" i="24050"/>
  <c r="FQ291" i="23917"/>
  <c r="T83" i="24050"/>
  <c r="AZ89" i="23917"/>
  <c r="DU207" i="24050"/>
  <c r="FA213" i="23917"/>
  <c r="FA72" i="23917"/>
  <c r="DU20" i="24050"/>
  <c r="FA23" i="23917"/>
  <c r="DH124" i="24050"/>
  <c r="EN130" i="23917"/>
  <c r="EN70" i="23917"/>
  <c r="CZ59" i="24050"/>
  <c r="CZ24" i="24050"/>
  <c r="EF66" i="23917"/>
  <c r="EF27" i="23917"/>
  <c r="BZ41" i="24050"/>
  <c r="DF49" i="23917"/>
  <c r="BS25" i="24050"/>
  <c r="CY33" i="23917"/>
  <c r="BP41" i="24050"/>
  <c r="CV49" i="23917"/>
  <c r="ER276" i="24050"/>
  <c r="FX282" i="23917"/>
  <c r="BF32" i="24050"/>
  <c r="BF33" i="24050" s="1"/>
  <c r="CL40" i="23917"/>
  <c r="CL41" i="23917" s="1"/>
  <c r="BF83" i="24050"/>
  <c r="CL89" i="23917"/>
  <c r="ED21" i="24050"/>
  <c r="FJ24" i="23917"/>
  <c r="EC83" i="24050"/>
  <c r="FI89" i="23917"/>
  <c r="CN28" i="24050"/>
  <c r="DT36" i="23917"/>
  <c r="BK167" i="24050"/>
  <c r="CQ173" i="23917"/>
  <c r="CQ71" i="23917"/>
  <c r="AZ45" i="24050"/>
  <c r="CF53" i="23917"/>
  <c r="AS25" i="24050"/>
  <c r="BY33" i="23917"/>
  <c r="AR35" i="24050"/>
  <c r="AR36" i="24050" s="1"/>
  <c r="BX43" i="23917"/>
  <c r="EO296" i="24050"/>
  <c r="FU302" i="23917"/>
  <c r="DE25" i="24050"/>
  <c r="EK33" i="23917"/>
  <c r="J17" i="24050"/>
  <c r="AP20" i="23917"/>
  <c r="Z25" i="24050"/>
  <c r="BF33" i="23917"/>
  <c r="L25" i="24050"/>
  <c r="AR33" i="23917"/>
  <c r="BD28" i="24050"/>
  <c r="CJ36" i="23917"/>
  <c r="X28" i="24050"/>
  <c r="BD36" i="23917"/>
  <c r="AC20" i="24050"/>
  <c r="BI23" i="23917"/>
  <c r="DK249" i="24050"/>
  <c r="EQ255" i="23917"/>
  <c r="EQ73" i="23917"/>
  <c r="DK326" i="24050"/>
  <c r="EQ332" i="23917"/>
  <c r="EQ75" i="23917"/>
  <c r="DL17" i="24050"/>
  <c r="ER20" i="23917"/>
  <c r="S332" i="23917"/>
  <c r="S75" i="23917"/>
  <c r="CB83" i="24050"/>
  <c r="DH89" i="23917"/>
  <c r="DS167" i="24050"/>
  <c r="EY173" i="23917"/>
  <c r="EY71" i="23917"/>
  <c r="DS20" i="24050"/>
  <c r="EY23" i="23917"/>
  <c r="EQ313" i="24050"/>
  <c r="FW319" i="23917"/>
  <c r="BO20" i="24050"/>
  <c r="CU23" i="23917"/>
  <c r="AD41" i="24050"/>
  <c r="BJ49" i="23917"/>
  <c r="B17" i="24050"/>
  <c r="AH20" i="23917"/>
  <c r="U124" i="24050"/>
  <c r="BA130" i="23917"/>
  <c r="BA70" i="23917"/>
  <c r="EK58" i="24050"/>
  <c r="FQ65" i="23917"/>
  <c r="BS83" i="24050"/>
  <c r="CY89" i="23917"/>
  <c r="BR40" i="24050"/>
  <c r="CX48" i="23917"/>
  <c r="BG290" i="24050"/>
  <c r="CM296" i="23917"/>
  <c r="CM74" i="23917"/>
  <c r="ED20" i="24050"/>
  <c r="FJ23" i="23917"/>
  <c r="ED207" i="24050"/>
  <c r="FJ213" i="23917"/>
  <c r="FJ72" i="23917"/>
  <c r="BX41" i="24050"/>
  <c r="DD49" i="23917"/>
  <c r="EG290" i="24050"/>
  <c r="FM296" i="23917"/>
  <c r="FM74" i="23917"/>
  <c r="EG167" i="24050"/>
  <c r="FM173" i="23917"/>
  <c r="FM71" i="23917"/>
  <c r="DC32" i="24050"/>
  <c r="EI40" i="23917"/>
  <c r="DC95" i="24050"/>
  <c r="EI101" i="23917"/>
  <c r="ES44" i="24050"/>
  <c r="FY52" i="23917"/>
  <c r="AZ41" i="24050"/>
  <c r="CF49" i="23917"/>
  <c r="EK320" i="24050"/>
  <c r="FQ326" i="23917"/>
  <c r="CJ32" i="24050"/>
  <c r="DP40" i="23917"/>
  <c r="DP41" i="23917" s="1"/>
  <c r="CJ83" i="24050"/>
  <c r="DP89" i="23917"/>
  <c r="AW28" i="24050"/>
  <c r="CC36" i="23917"/>
  <c r="CY59" i="24050"/>
  <c r="CY24" i="24050"/>
  <c r="EE66" i="23917"/>
  <c r="EE27" i="23917"/>
  <c r="EO158" i="24050"/>
  <c r="FU164" i="23917"/>
  <c r="CG32" i="24050"/>
  <c r="DM40" i="23917"/>
  <c r="CM21" i="24050"/>
  <c r="DS24" i="23917"/>
  <c r="CL25" i="24050"/>
  <c r="CL26" i="24050" s="1"/>
  <c r="DR33" i="23917"/>
  <c r="DR31" i="23917" s="1"/>
  <c r="CM124" i="24050"/>
  <c r="DS130" i="23917"/>
  <c r="DS70" i="23917"/>
  <c r="DW249" i="24050"/>
  <c r="FC255" i="23917"/>
  <c r="FC73" i="23917"/>
  <c r="DW290" i="24050"/>
  <c r="FC296" i="23917"/>
  <c r="FC74" i="23917"/>
  <c r="F17" i="24050"/>
  <c r="AL20" i="23917"/>
  <c r="BE32" i="24050"/>
  <c r="CK40" i="23917"/>
  <c r="AC130" i="23917"/>
  <c r="AC70" i="23917"/>
  <c r="X35" i="24050"/>
  <c r="BD43" i="23917"/>
  <c r="AI21" i="24050"/>
  <c r="BO24" i="23917"/>
  <c r="AH83" i="24050"/>
  <c r="BN89" i="23917"/>
  <c r="S24" i="23917"/>
  <c r="DI32" i="24050"/>
  <c r="EO40" i="23917"/>
  <c r="DI83" i="24050"/>
  <c r="EO89" i="23917"/>
  <c r="DJ360" i="24050"/>
  <c r="EP366" i="23917"/>
  <c r="EP76" i="23917"/>
  <c r="CC20" i="24050"/>
  <c r="DI23" i="23917"/>
  <c r="CI32" i="24050"/>
  <c r="DO40" i="23917"/>
  <c r="AJ28" i="24050"/>
  <c r="BP36" i="23917"/>
  <c r="X130" i="23917"/>
  <c r="X70" i="23917"/>
  <c r="X366" i="23917"/>
  <c r="X76" i="23917"/>
  <c r="AT39" i="24050"/>
  <c r="BZ47" i="23917"/>
  <c r="EO192" i="24050"/>
  <c r="FU198" i="23917"/>
  <c r="DG25" i="24050"/>
  <c r="EM33" i="23917"/>
  <c r="AF39" i="24050"/>
  <c r="BL47" i="23917"/>
  <c r="BL83" i="24050"/>
  <c r="CR89" i="23917"/>
  <c r="EL201" i="24050"/>
  <c r="FR207" i="23917"/>
  <c r="AE130" i="23917"/>
  <c r="AE70" i="23917"/>
  <c r="F42" i="24068"/>
  <c r="CL28" i="23917"/>
  <c r="CL29" i="23917" s="1"/>
  <c r="BG326" i="24050"/>
  <c r="CM332" i="23917"/>
  <c r="CM75" i="23917"/>
  <c r="CY164" i="24050"/>
  <c r="CY9" i="24050"/>
  <c r="EE170" i="23917"/>
  <c r="DD20" i="24050"/>
  <c r="EJ23" i="23917"/>
  <c r="AL25" i="24050"/>
  <c r="BR33" i="23917"/>
  <c r="AL95" i="24050"/>
  <c r="BR101" i="23917"/>
  <c r="ES194" i="24050"/>
  <c r="FY200" i="23917"/>
  <c r="EN87" i="24050"/>
  <c r="FT93" i="23917"/>
  <c r="AX32" i="24050"/>
  <c r="CD40" i="23917"/>
  <c r="AX83" i="24050"/>
  <c r="CD89" i="23917"/>
  <c r="CK20" i="24050"/>
  <c r="DQ23" i="23917"/>
  <c r="AN45" i="24050"/>
  <c r="BT53" i="23917"/>
  <c r="P83" i="24050"/>
  <c r="AV89" i="23917"/>
  <c r="AK249" i="24050"/>
  <c r="BQ255" i="23917"/>
  <c r="BQ73" i="23917"/>
  <c r="D17" i="24050"/>
  <c r="AJ20" i="23917"/>
  <c r="N39" i="24050"/>
  <c r="AT47" i="23917"/>
  <c r="AI326" i="24050"/>
  <c r="BO332" i="23917"/>
  <c r="BO75" i="23917"/>
  <c r="AK83" i="24050"/>
  <c r="BQ89" i="23917"/>
  <c r="AJ41" i="24050"/>
  <c r="BP49" i="23917"/>
  <c r="BO21" i="24050"/>
  <c r="CU24" i="23917"/>
  <c r="J44" i="24068"/>
  <c r="BN39" i="24050"/>
  <c r="CT47" i="23917"/>
  <c r="AQ21" i="24050"/>
  <c r="BW24" i="23917"/>
  <c r="AP83" i="24050"/>
  <c r="BV89" i="23917"/>
  <c r="U326" i="24050"/>
  <c r="BA332" i="23917"/>
  <c r="BA75" i="23917"/>
  <c r="BT40" i="24050"/>
  <c r="CZ48" i="23917"/>
  <c r="BZ45" i="24050"/>
  <c r="DF53" i="23917"/>
  <c r="AG20" i="24050"/>
  <c r="BM23" i="23917"/>
  <c r="I42" i="24068"/>
  <c r="I43" i="24068" s="1"/>
  <c r="CR28" i="23917"/>
  <c r="CR29" i="23917" s="1"/>
  <c r="ER311" i="24050"/>
  <c r="FX317" i="23917"/>
  <c r="BW21" i="24050"/>
  <c r="DC24" i="23917"/>
  <c r="BV83" i="24050"/>
  <c r="DB89" i="23917"/>
  <c r="CD25" i="24050"/>
  <c r="CD26" i="24050" s="1"/>
  <c r="DJ33" i="23917"/>
  <c r="DJ31" i="23917" s="1"/>
  <c r="CD95" i="24050"/>
  <c r="DJ101" i="23917"/>
  <c r="BG207" i="24050"/>
  <c r="CM213" i="23917"/>
  <c r="CM72" i="23917"/>
  <c r="EO116" i="24050"/>
  <c r="FU122" i="23917"/>
  <c r="EA32" i="24050"/>
  <c r="FG40" i="23917"/>
  <c r="FG41" i="23917" s="1"/>
  <c r="EA83" i="24050"/>
  <c r="FG89" i="23917"/>
  <c r="AN40" i="24050"/>
  <c r="BT48" i="23917"/>
  <c r="BK326" i="24050"/>
  <c r="CQ332" i="23917"/>
  <c r="CQ75" i="23917"/>
  <c r="J332" i="23917"/>
  <c r="J75" i="23917"/>
  <c r="DA334" i="24050"/>
  <c r="EG340" i="23917"/>
  <c r="ES275" i="24050"/>
  <c r="FY281" i="23917"/>
  <c r="AB95" i="24050"/>
  <c r="BH101" i="23917"/>
  <c r="AP72" i="24050"/>
  <c r="CT41" i="23917"/>
  <c r="CT25" i="23917"/>
  <c r="BV41" i="23917"/>
  <c r="BV25" i="23917"/>
  <c r="W332" i="23917"/>
  <c r="W75" i="23917"/>
  <c r="DU71" i="24050"/>
  <c r="DU70" i="24050"/>
  <c r="DU68" i="24050"/>
  <c r="DU65" i="24050"/>
  <c r="DU69" i="24050"/>
  <c r="DU67" i="24050"/>
  <c r="DU63" i="24050"/>
  <c r="DU64" i="24050"/>
  <c r="DU66" i="24050"/>
  <c r="M40" i="24068"/>
  <c r="DF44" i="23917"/>
  <c r="BQ95" i="24050"/>
  <c r="CW101" i="23917"/>
  <c r="BV33" i="24050"/>
  <c r="BV22" i="24050"/>
  <c r="BI25" i="24050"/>
  <c r="CO33" i="23917"/>
  <c r="EA26" i="24050"/>
  <c r="EA22" i="24050"/>
  <c r="U255" i="23917"/>
  <c r="U73" i="23917"/>
  <c r="AA332" i="23917"/>
  <c r="AA75" i="23917"/>
  <c r="CK290" i="24050"/>
  <c r="DQ296" i="23917"/>
  <c r="DQ74" i="23917"/>
  <c r="CL33" i="24050"/>
  <c r="CL22" i="24050"/>
  <c r="BZ33" i="24050"/>
  <c r="CC167" i="24050"/>
  <c r="DI173" i="23917"/>
  <c r="DI71" i="23917"/>
  <c r="DS71" i="24050"/>
  <c r="DS65" i="24050"/>
  <c r="DS68" i="24050"/>
  <c r="DS64" i="24050"/>
  <c r="DS69" i="24050"/>
  <c r="DS66" i="24050"/>
  <c r="DS67" i="24050"/>
  <c r="DS70" i="24050"/>
  <c r="DS63" i="24050"/>
  <c r="W213" i="23917"/>
  <c r="W72" i="23917"/>
  <c r="CR78" i="23917"/>
  <c r="BP36" i="24050"/>
  <c r="AE296" i="23917"/>
  <c r="AE74" i="23917"/>
  <c r="CE326" i="24050"/>
  <c r="DK332" i="23917"/>
  <c r="DK75" i="23917"/>
  <c r="DD167" i="24050"/>
  <c r="EJ173" i="23917"/>
  <c r="EJ71" i="23917"/>
  <c r="AC213" i="23917"/>
  <c r="AC72" i="23917"/>
  <c r="EQ193" i="24050"/>
  <c r="FW199" i="23917"/>
  <c r="CJ72" i="24050"/>
  <c r="BB72" i="24050"/>
  <c r="BD33" i="24050"/>
  <c r="W173" i="23917"/>
  <c r="W71" i="23917"/>
  <c r="AE255" i="23917"/>
  <c r="AE73" i="23917"/>
  <c r="DJ78" i="23917"/>
  <c r="BF26" i="24050"/>
  <c r="BF22" i="24050"/>
  <c r="FI78" i="23917"/>
  <c r="BY39" i="24050"/>
  <c r="DE47" i="23917"/>
  <c r="DD249" i="24050"/>
  <c r="EJ255" i="23917"/>
  <c r="EJ73" i="23917"/>
  <c r="AM290" i="24050"/>
  <c r="BS296" i="23917"/>
  <c r="BS74" i="23917"/>
  <c r="AM249" i="24050"/>
  <c r="BS255" i="23917"/>
  <c r="BS73" i="23917"/>
  <c r="U296" i="23917"/>
  <c r="U74" i="23917"/>
  <c r="AA255" i="23917"/>
  <c r="AA73" i="23917"/>
  <c r="CK249" i="24050"/>
  <c r="DQ255" i="23917"/>
  <c r="DQ73" i="23917"/>
  <c r="CK326" i="24050"/>
  <c r="DQ332" i="23917"/>
  <c r="DQ75" i="23917"/>
  <c r="CG83" i="24050"/>
  <c r="DM89" i="23917"/>
  <c r="CP31" i="23917"/>
  <c r="BE95" i="24050"/>
  <c r="CK101" i="23917"/>
  <c r="AC249" i="24050"/>
  <c r="BI255" i="23917"/>
  <c r="BI73" i="23917"/>
  <c r="CL72" i="24050"/>
  <c r="EN153" i="24050"/>
  <c r="FT159" i="23917"/>
  <c r="DK71" i="24050"/>
  <c r="DK68" i="24050"/>
  <c r="DK69" i="24050"/>
  <c r="DK65" i="24050"/>
  <c r="DK66" i="24050"/>
  <c r="DK63" i="24050"/>
  <c r="DK67" i="24050"/>
  <c r="DK64" i="24050"/>
  <c r="DK70" i="24050"/>
  <c r="EJ293" i="24050"/>
  <c r="FP299" i="23917"/>
  <c r="DH41" i="23917"/>
  <c r="DH25" i="23917"/>
  <c r="BZ41" i="23917"/>
  <c r="BZ25" i="23917"/>
  <c r="AG167" i="24050"/>
  <c r="BM173" i="23917"/>
  <c r="BM71" i="23917"/>
  <c r="BY95" i="24050"/>
  <c r="DE101" i="23917"/>
  <c r="CN36" i="24050"/>
  <c r="U213" i="23917"/>
  <c r="U72" i="23917"/>
  <c r="CJ33" i="24050"/>
  <c r="CJ26" i="24050"/>
  <c r="CJ22" i="24050"/>
  <c r="AW39" i="24050"/>
  <c r="CC47" i="23917"/>
  <c r="BC207" i="24050"/>
  <c r="CI213" i="23917"/>
  <c r="CI72" i="23917"/>
  <c r="DF290" i="24050"/>
  <c r="EL296" i="23917"/>
  <c r="EL74" i="23917"/>
  <c r="DF326" i="24050"/>
  <c r="EL332" i="23917"/>
  <c r="EL75" i="23917"/>
  <c r="CM326" i="24050"/>
  <c r="DS332" i="23917"/>
  <c r="DS75" i="23917"/>
  <c r="CM249" i="24050"/>
  <c r="DS255" i="23917"/>
  <c r="DS73" i="23917"/>
  <c r="BE83" i="24050"/>
  <c r="CK89" i="23917"/>
  <c r="EK257" i="24050"/>
  <c r="FQ263" i="23917"/>
  <c r="EK246" i="24050"/>
  <c r="EK247" i="24050" s="1"/>
  <c r="EK12" i="24050"/>
  <c r="FQ252" i="23917"/>
  <c r="FQ253" i="23917" s="1"/>
  <c r="EL255" i="24050"/>
  <c r="FR261" i="23917"/>
  <c r="EM256" i="24050"/>
  <c r="FS262" i="23917"/>
  <c r="EO235" i="24050"/>
  <c r="FU241" i="23917"/>
  <c r="EP234" i="24050"/>
  <c r="FV240" i="23917"/>
  <c r="ET236" i="24050"/>
  <c r="FZ242" i="23917"/>
  <c r="EM255" i="24050"/>
  <c r="FS261" i="23917"/>
  <c r="CV252" i="24050"/>
  <c r="EB258" i="23917"/>
  <c r="EL256" i="24050"/>
  <c r="FR262" i="23917"/>
  <c r="EP242" i="24050"/>
  <c r="FV248" i="23917"/>
  <c r="EQ234" i="24050"/>
  <c r="FW240" i="23917"/>
  <c r="CY246" i="24050"/>
  <c r="CY12" i="24050"/>
  <c r="EE252" i="23917"/>
  <c r="CU252" i="24050"/>
  <c r="EA258" i="23917"/>
  <c r="EU236" i="24050"/>
  <c r="GA242" i="23917"/>
  <c r="CZ244" i="24050"/>
  <c r="EF250" i="23917"/>
  <c r="CW246" i="24050"/>
  <c r="EC252" i="23917"/>
  <c r="CW12" i="24050"/>
  <c r="EQ242" i="24050"/>
  <c r="FW248" i="23917"/>
  <c r="EM237" i="24050"/>
  <c r="FS243" i="23917"/>
  <c r="EK244" i="24050"/>
  <c r="FQ250" i="23917"/>
  <c r="DA243" i="24050"/>
  <c r="EG249" i="23917"/>
  <c r="EL243" i="24050"/>
  <c r="FR249" i="23917"/>
  <c r="EL237" i="24050"/>
  <c r="FR243" i="23917"/>
  <c r="EN235" i="24050"/>
  <c r="FT241" i="23917"/>
  <c r="CX252" i="24050"/>
  <c r="ED258" i="23917"/>
  <c r="CV14" i="24050"/>
  <c r="CV323" i="24050"/>
  <c r="CV324" i="24050" s="1"/>
  <c r="EB329" i="23917"/>
  <c r="EB330" i="23917" s="1"/>
  <c r="CW321" i="24050"/>
  <c r="EC327" i="23917"/>
  <c r="EM332" i="24050"/>
  <c r="FS338" i="23917"/>
  <c r="CT329" i="24050"/>
  <c r="DZ335" i="23917"/>
  <c r="CU323" i="24050"/>
  <c r="CU14" i="24050"/>
  <c r="EA329" i="23917"/>
  <c r="EL332" i="24050"/>
  <c r="FR338" i="23917"/>
  <c r="O43" i="23917"/>
  <c r="EP77" i="23917"/>
  <c r="W33" i="23917"/>
  <c r="V53" i="23917"/>
  <c r="AF28" i="23917"/>
  <c r="AF53" i="23917"/>
  <c r="BI77" i="23917"/>
  <c r="EY77" i="23917"/>
  <c r="BA77" i="23917"/>
  <c r="FM77" i="23917"/>
  <c r="Q48" i="23917"/>
  <c r="DQ28" i="23917"/>
  <c r="DS77" i="23917"/>
  <c r="FD69" i="23917"/>
  <c r="R49" i="23917"/>
  <c r="R48" i="23917"/>
  <c r="R43" i="23917"/>
  <c r="X77" i="23917"/>
  <c r="X101" i="23917"/>
  <c r="X89" i="23917"/>
  <c r="X47" i="23917"/>
  <c r="X40" i="23917"/>
  <c r="Y24" i="23917"/>
  <c r="CS77" i="23917"/>
  <c r="AE47" i="23917"/>
  <c r="CM28" i="23917"/>
  <c r="ED9" i="23917"/>
  <c r="AA47" i="23917"/>
  <c r="DQ77" i="23917"/>
  <c r="AB48" i="23917"/>
  <c r="AB49" i="23917"/>
  <c r="AB43" i="23917"/>
  <c r="AC40" i="23917"/>
  <c r="AB28" i="23917"/>
  <c r="AC33" i="23917"/>
  <c r="AB53" i="23917"/>
  <c r="DA77" i="23917"/>
  <c r="CS28" i="23917"/>
  <c r="U89" i="23917"/>
  <c r="ED12" i="23917"/>
  <c r="CE77" i="23917"/>
  <c r="K69" i="23917"/>
  <c r="K71" i="23917"/>
  <c r="BH28" i="23917"/>
  <c r="O48" i="23917"/>
  <c r="FK77" i="23917"/>
  <c r="W47" i="23917"/>
  <c r="FA77" i="23917"/>
  <c r="EF15" i="23917"/>
  <c r="AF49" i="23917"/>
  <c r="AF43" i="23917"/>
  <c r="DY14" i="23917"/>
  <c r="U77" i="23917"/>
  <c r="GA402" i="23917"/>
  <c r="EU396" i="24050" s="1"/>
  <c r="FZ402" i="23917"/>
  <c r="AH69" i="23917"/>
  <c r="DZ14" i="23917"/>
  <c r="FN76" i="23917"/>
  <c r="T39" i="24068"/>
  <c r="Q53" i="23917"/>
  <c r="EE15" i="23917"/>
  <c r="FC77" i="23917"/>
  <c r="FF11" i="23917"/>
  <c r="FH11" i="23917"/>
  <c r="O53" i="23917"/>
  <c r="R53" i="23917"/>
  <c r="EE10" i="23917"/>
  <c r="FW389" i="23917"/>
  <c r="FV389" i="23917"/>
  <c r="FU390" i="23917"/>
  <c r="DA384" i="24050" s="1"/>
  <c r="DC77" i="23917"/>
  <c r="AD49" i="23917"/>
  <c r="AD48" i="23917"/>
  <c r="AD43" i="23917"/>
  <c r="AE40" i="23917"/>
  <c r="AE101" i="23917"/>
  <c r="Z49" i="23917"/>
  <c r="Z48" i="23917"/>
  <c r="Z43" i="23917"/>
  <c r="AA40" i="23917"/>
  <c r="AA101" i="23917"/>
  <c r="FY394" i="23917"/>
  <c r="FX394" i="23917"/>
  <c r="EB9" i="23917"/>
  <c r="AC47" i="23917"/>
  <c r="DK28" i="23917"/>
  <c r="T49" i="23917"/>
  <c r="T48" i="23917"/>
  <c r="T43" i="23917"/>
  <c r="U40" i="23917"/>
  <c r="U101" i="23917"/>
  <c r="K72" i="23917"/>
  <c r="O49" i="23917"/>
  <c r="FL76" i="23917"/>
  <c r="S39" i="24068"/>
  <c r="S40" i="24068" s="1"/>
  <c r="FT393" i="23917"/>
  <c r="CZ387" i="24050" s="1"/>
  <c r="BW77" i="23917"/>
  <c r="W89" i="23917"/>
  <c r="FB76" i="23917"/>
  <c r="EN77" i="23917"/>
  <c r="AG89" i="23917"/>
  <c r="CA28" i="23917"/>
  <c r="AP69" i="23917"/>
  <c r="CU28" i="23917"/>
  <c r="CM77" i="23917"/>
  <c r="EC10" i="23917"/>
  <c r="Q43" i="23917"/>
  <c r="CI77" i="23917"/>
  <c r="ET17" i="23917"/>
  <c r="DS28" i="23917"/>
  <c r="AL69" i="23917"/>
  <c r="Y23" i="23917"/>
  <c r="W77" i="23917"/>
  <c r="BL28" i="23917"/>
  <c r="AD28" i="23917"/>
  <c r="AE33" i="23917"/>
  <c r="AD53" i="23917"/>
  <c r="AG23" i="23917"/>
  <c r="BS77" i="23917"/>
  <c r="Z28" i="23917"/>
  <c r="Z53" i="23917"/>
  <c r="AA33" i="23917"/>
  <c r="FF17" i="23917"/>
  <c r="FH17" i="23917"/>
  <c r="AC89" i="23917"/>
  <c r="CU77" i="23917"/>
  <c r="DC28" i="23917"/>
  <c r="DK77" i="23917"/>
  <c r="EJ77" i="23917"/>
  <c r="U33" i="23917"/>
  <c r="T53" i="23917"/>
  <c r="J77" i="23917"/>
  <c r="K70" i="23917"/>
  <c r="J101" i="23917"/>
  <c r="J89" i="23917"/>
  <c r="J47" i="23917"/>
  <c r="K24" i="23917"/>
  <c r="S77" i="23917"/>
  <c r="V49" i="23917"/>
  <c r="V48" i="23917"/>
  <c r="V43" i="23917"/>
  <c r="W40" i="23917"/>
  <c r="W101" i="23917"/>
  <c r="FA28" i="23917"/>
  <c r="EV17" i="23917"/>
  <c r="EX17" i="23917"/>
  <c r="CE28" i="23917"/>
  <c r="EQ77" i="23917"/>
  <c r="DI28" i="23917"/>
  <c r="DI77" i="23917"/>
  <c r="EY28" i="23917"/>
  <c r="ED13" i="23917"/>
  <c r="FJ77" i="23917"/>
  <c r="Q49" i="23917"/>
  <c r="EB12" i="23917"/>
  <c r="FD76" i="23917"/>
  <c r="AC77" i="23917"/>
  <c r="S89" i="23917"/>
  <c r="FT390" i="23917"/>
  <c r="CZ384" i="24050" s="1"/>
  <c r="CA77" i="23917"/>
  <c r="AE89" i="23917"/>
  <c r="AE77" i="23917"/>
  <c r="AA89" i="23917"/>
  <c r="AA77" i="23917"/>
  <c r="AJ69" i="23917"/>
  <c r="AC101" i="23917"/>
  <c r="BO77" i="23917"/>
  <c r="FP13" i="23917"/>
  <c r="BQ77" i="23917"/>
  <c r="EA12" i="23917"/>
  <c r="BM77" i="23917"/>
  <c r="GA397" i="23917"/>
  <c r="EU391" i="24050" s="1"/>
  <c r="FZ397" i="23917"/>
  <c r="U47" i="23917"/>
  <c r="EL77" i="23917"/>
  <c r="K23" i="23917"/>
  <c r="CQ77" i="23917"/>
  <c r="GO404" i="23916" l="1"/>
  <c r="GN411" i="23916"/>
  <c r="GO403" i="23916"/>
  <c r="GP148" i="23916"/>
  <c r="GQ45" i="23916"/>
  <c r="GM404" i="23916"/>
  <c r="GL411" i="23916"/>
  <c r="GL576" i="23916" s="1"/>
  <c r="GQ42" i="23916"/>
  <c r="GP48" i="23916"/>
  <c r="GP49" i="23916" s="1"/>
  <c r="GO12" i="23916"/>
  <c r="GS29" i="23916"/>
  <c r="GT29" i="23916"/>
  <c r="GR30" i="23916"/>
  <c r="GP384" i="23916"/>
  <c r="GP145" i="23916"/>
  <c r="GQ142" i="23916"/>
  <c r="GP155" i="23916"/>
  <c r="GQ155" i="23916" s="1"/>
  <c r="GO395" i="23916"/>
  <c r="GN398" i="23916"/>
  <c r="GO398" i="23916" s="1"/>
  <c r="DB34" i="23917"/>
  <c r="CT31" i="23917"/>
  <c r="CX31" i="23917"/>
  <c r="EG72" i="24050"/>
  <c r="AW20" i="23917"/>
  <c r="Q17" i="24050"/>
  <c r="H290" i="24050"/>
  <c r="AN296" i="23917"/>
  <c r="AN74" i="23917"/>
  <c r="AN332" i="23917"/>
  <c r="AN75" i="23917"/>
  <c r="H63" i="24050"/>
  <c r="H68" i="24050"/>
  <c r="H66" i="24050"/>
  <c r="H67" i="24050"/>
  <c r="H64" i="24050"/>
  <c r="H65" i="24050"/>
  <c r="H71" i="24050"/>
  <c r="H69" i="24050"/>
  <c r="H70" i="24050"/>
  <c r="AE17" i="24050"/>
  <c r="BK20" i="23917"/>
  <c r="V249" i="24050"/>
  <c r="BB73" i="23917"/>
  <c r="BB255" i="23917"/>
  <c r="W17" i="24050"/>
  <c r="BC20" i="23917"/>
  <c r="V360" i="24050"/>
  <c r="BB366" i="23917"/>
  <c r="BB76" i="23917"/>
  <c r="BK76" i="23917"/>
  <c r="AX173" i="23917"/>
  <c r="AX71" i="23917"/>
  <c r="R167" i="24050"/>
  <c r="R124" i="24050"/>
  <c r="AX70" i="23917"/>
  <c r="AX130" i="23917"/>
  <c r="R66" i="24050"/>
  <c r="R63" i="24050"/>
  <c r="R70" i="24050"/>
  <c r="R64" i="24050"/>
  <c r="R67" i="24050"/>
  <c r="R71" i="24050"/>
  <c r="R65" i="24050"/>
  <c r="R69" i="24050"/>
  <c r="R68" i="24050"/>
  <c r="DR34" i="23917"/>
  <c r="AN76" i="23917"/>
  <c r="H360" i="24050"/>
  <c r="AN366" i="23917"/>
  <c r="AN24" i="23917"/>
  <c r="H21" i="24050"/>
  <c r="AN69" i="23917"/>
  <c r="AW69" i="23917"/>
  <c r="AO69" i="23917"/>
  <c r="BB70" i="23917"/>
  <c r="V124" i="24050"/>
  <c r="BB130" i="23917"/>
  <c r="V20" i="24050"/>
  <c r="BB23" i="23917"/>
  <c r="V68" i="24050"/>
  <c r="V67" i="24050"/>
  <c r="V70" i="24050"/>
  <c r="V65" i="24050"/>
  <c r="V64" i="24050"/>
  <c r="V71" i="24050"/>
  <c r="V63" i="24050"/>
  <c r="V69" i="24050"/>
  <c r="V66" i="24050"/>
  <c r="BB296" i="23917"/>
  <c r="V290" i="24050"/>
  <c r="BB74" i="23917"/>
  <c r="AX69" i="23917"/>
  <c r="BG69" i="23917"/>
  <c r="R249" i="24050"/>
  <c r="AX73" i="23917"/>
  <c r="AX255" i="23917"/>
  <c r="AA17" i="24050"/>
  <c r="BG20" i="23917"/>
  <c r="AG47" i="23917"/>
  <c r="H167" i="24050"/>
  <c r="AN173" i="23917"/>
  <c r="AN71" i="23917"/>
  <c r="AN70" i="23917"/>
  <c r="H124" i="24050"/>
  <c r="AN130" i="23917"/>
  <c r="AN73" i="23917"/>
  <c r="H249" i="24050"/>
  <c r="AN255" i="23917"/>
  <c r="BB75" i="23917"/>
  <c r="V326" i="24050"/>
  <c r="BB332" i="23917"/>
  <c r="BB69" i="23917"/>
  <c r="BK69" i="23917"/>
  <c r="BC69" i="23917"/>
  <c r="R21" i="24050"/>
  <c r="AX24" i="23917"/>
  <c r="AX332" i="23917"/>
  <c r="AX75" i="23917"/>
  <c r="R326" i="24050"/>
  <c r="AX72" i="23917"/>
  <c r="R207" i="24050"/>
  <c r="AX213" i="23917"/>
  <c r="DH34" i="23917"/>
  <c r="DU72" i="24050"/>
  <c r="DQ17" i="24050"/>
  <c r="EW20" i="23917"/>
  <c r="H20" i="24050"/>
  <c r="AN23" i="23917"/>
  <c r="I17" i="24050"/>
  <c r="AO20" i="23917"/>
  <c r="H207" i="24050"/>
  <c r="AN213" i="23917"/>
  <c r="AN72" i="23917"/>
  <c r="V207" i="24050"/>
  <c r="BB72" i="23917"/>
  <c r="BB213" i="23917"/>
  <c r="BB71" i="23917"/>
  <c r="V167" i="24050"/>
  <c r="BB173" i="23917"/>
  <c r="V21" i="24050"/>
  <c r="BB24" i="23917"/>
  <c r="R360" i="24050"/>
  <c r="AX366" i="23917"/>
  <c r="BG76" i="23917"/>
  <c r="AX76" i="23917"/>
  <c r="R20" i="24050"/>
  <c r="AX23" i="23917"/>
  <c r="AX296" i="23917"/>
  <c r="R290" i="24050"/>
  <c r="AX74" i="23917"/>
  <c r="T40" i="24068"/>
  <c r="BU35" i="24050"/>
  <c r="DA43" i="23917"/>
  <c r="AK41" i="24050"/>
  <c r="BQ49" i="23917"/>
  <c r="EU311" i="24050"/>
  <c r="GA317" i="23917"/>
  <c r="S213" i="23917"/>
  <c r="S72" i="23917"/>
  <c r="AJ332" i="23917"/>
  <c r="AJ75" i="23917"/>
  <c r="EL215" i="24050"/>
  <c r="FR221" i="23917"/>
  <c r="AG39" i="24050"/>
  <c r="BM47" i="23917"/>
  <c r="AU39" i="24050"/>
  <c r="CA47" i="23917"/>
  <c r="CL35" i="24050"/>
  <c r="CL36" i="24050" s="1"/>
  <c r="DR43" i="23917"/>
  <c r="DF39" i="24050"/>
  <c r="EL47" i="23917"/>
  <c r="EL285" i="24050"/>
  <c r="FR291" i="23917"/>
  <c r="CD40" i="24050"/>
  <c r="DJ48" i="23917"/>
  <c r="AX41" i="24050"/>
  <c r="CD49" i="23917"/>
  <c r="AF45" i="24050"/>
  <c r="BL53" i="23917"/>
  <c r="DI41" i="24050"/>
  <c r="EO49" i="23917"/>
  <c r="F167" i="24050"/>
  <c r="AL173" i="23917"/>
  <c r="AL71" i="23917"/>
  <c r="G17" i="24050"/>
  <c r="AM20" i="23917"/>
  <c r="DF25" i="24050"/>
  <c r="EL33" i="23917"/>
  <c r="BG95" i="24050"/>
  <c r="CM101" i="23917"/>
  <c r="EF21" i="24050"/>
  <c r="FL24" i="23917"/>
  <c r="AB35" i="24050"/>
  <c r="BH43" i="23917"/>
  <c r="BW83" i="24050"/>
  <c r="DC89" i="23917"/>
  <c r="AG95" i="24050"/>
  <c r="BM101" i="23917"/>
  <c r="CM25" i="24050"/>
  <c r="DS33" i="23917"/>
  <c r="CY321" i="24050"/>
  <c r="EE327" i="23917"/>
  <c r="CJ40" i="24050"/>
  <c r="DP48" i="23917"/>
  <c r="EK334" i="24050"/>
  <c r="FQ340" i="23917"/>
  <c r="EG83" i="24050"/>
  <c r="FM89" i="23917"/>
  <c r="C17" i="24050"/>
  <c r="AI20" i="23917"/>
  <c r="DL326" i="24050"/>
  <c r="ER332" i="23917"/>
  <c r="ER75" i="23917"/>
  <c r="BG83" i="24050"/>
  <c r="CM89" i="23917"/>
  <c r="BQ40" i="24050"/>
  <c r="CW48" i="23917"/>
  <c r="EL297" i="24050"/>
  <c r="FR303" i="23917"/>
  <c r="AC25" i="24050"/>
  <c r="BI33" i="23917"/>
  <c r="AP28" i="24050"/>
  <c r="BV36" i="23917"/>
  <c r="EL298" i="24050"/>
  <c r="FR304" i="23917"/>
  <c r="DL21" i="24050"/>
  <c r="ER24" i="23917"/>
  <c r="DK83" i="24050"/>
  <c r="EQ89" i="23917"/>
  <c r="EC40" i="24050"/>
  <c r="FI48" i="23917"/>
  <c r="BS45" i="24050"/>
  <c r="CY53" i="23917"/>
  <c r="T40" i="24050"/>
  <c r="AZ48" i="23917"/>
  <c r="D71" i="24050"/>
  <c r="D66" i="24050"/>
  <c r="D68" i="24050"/>
  <c r="D65" i="24050"/>
  <c r="D64" i="24050"/>
  <c r="D69" i="24050"/>
  <c r="D67" i="24050"/>
  <c r="D63" i="24050"/>
  <c r="D70" i="24050"/>
  <c r="CW170" i="24050"/>
  <c r="EC176" i="23917"/>
  <c r="EN155" i="24050"/>
  <c r="FT161" i="23917"/>
  <c r="BU95" i="24050"/>
  <c r="DA101" i="23917"/>
  <c r="FA25" i="23917"/>
  <c r="EM333" i="24050"/>
  <c r="FS339" i="23917"/>
  <c r="EB25" i="24050"/>
  <c r="FH33" i="23917"/>
  <c r="CE25" i="24050"/>
  <c r="DK33" i="23917"/>
  <c r="AP41" i="24050"/>
  <c r="BV49" i="23917"/>
  <c r="AK32" i="24050"/>
  <c r="BQ40" i="23917"/>
  <c r="E17" i="24050"/>
  <c r="AK20" i="23917"/>
  <c r="AY25" i="24050"/>
  <c r="CE33" i="23917"/>
  <c r="AL40" i="24050"/>
  <c r="BR48" i="23917"/>
  <c r="BU25" i="24050"/>
  <c r="DA33" i="23917"/>
  <c r="Y173" i="23917"/>
  <c r="Y71" i="23917"/>
  <c r="BE40" i="24050"/>
  <c r="CK48" i="23917"/>
  <c r="BA35" i="24050"/>
  <c r="CG43" i="23917"/>
  <c r="BS40" i="24050"/>
  <c r="CY48" i="23917"/>
  <c r="CC83" i="24050"/>
  <c r="DI89" i="23917"/>
  <c r="DE40" i="24050"/>
  <c r="EK48" i="23917"/>
  <c r="BA45" i="24050"/>
  <c r="CG53" i="23917"/>
  <c r="S33" i="23917"/>
  <c r="J33" i="23917"/>
  <c r="EA35" i="24050"/>
  <c r="FG43" i="23917"/>
  <c r="FG44" i="23917" s="1"/>
  <c r="AG255" i="23917"/>
  <c r="AG73" i="23917"/>
  <c r="BQ45" i="24050"/>
  <c r="CW53" i="23917"/>
  <c r="N41" i="24050"/>
  <c r="AT49" i="23917"/>
  <c r="DI40" i="24050"/>
  <c r="EO48" i="23917"/>
  <c r="ES111" i="24050"/>
  <c r="FY117" i="23917"/>
  <c r="F249" i="24050"/>
  <c r="AL255" i="23917"/>
  <c r="AL73" i="23917"/>
  <c r="EQ158" i="24050"/>
  <c r="FW164" i="23917"/>
  <c r="BS35" i="24050"/>
  <c r="CY43" i="23917"/>
  <c r="DL207" i="24050"/>
  <c r="ER213" i="23917"/>
  <c r="ER72" i="23917"/>
  <c r="DA320" i="24050"/>
  <c r="EG326" i="23917"/>
  <c r="EA45" i="24050"/>
  <c r="FG53" i="23917"/>
  <c r="CE95" i="24050"/>
  <c r="DK101" i="23917"/>
  <c r="CD28" i="24050"/>
  <c r="DJ36" i="23917"/>
  <c r="BW32" i="24050"/>
  <c r="DC40" i="23917"/>
  <c r="AP35" i="24050"/>
  <c r="BV43" i="23917"/>
  <c r="BO95" i="24050"/>
  <c r="CU101" i="23917"/>
  <c r="BN28" i="24050"/>
  <c r="CT36" i="23917"/>
  <c r="N45" i="24050"/>
  <c r="AT53" i="23917"/>
  <c r="D360" i="24050"/>
  <c r="AJ366" i="23917"/>
  <c r="AJ76" i="23917"/>
  <c r="D207" i="24050"/>
  <c r="AJ213" i="23917"/>
  <c r="AJ72" i="23917"/>
  <c r="D20" i="24050"/>
  <c r="AJ23" i="23917"/>
  <c r="AO25" i="24050"/>
  <c r="BU33" i="23917"/>
  <c r="AY95" i="24050"/>
  <c r="CE101" i="23917"/>
  <c r="AX28" i="24050"/>
  <c r="CD36" i="23917"/>
  <c r="AM32" i="24050"/>
  <c r="BS40" i="23917"/>
  <c r="BL40" i="24050"/>
  <c r="CR48" i="23917"/>
  <c r="DG41" i="24050"/>
  <c r="EM49" i="23917"/>
  <c r="CI41" i="24050"/>
  <c r="DO49" i="23917"/>
  <c r="AH45" i="24050"/>
  <c r="BN53" i="23917"/>
  <c r="DX20" i="24050"/>
  <c r="FD23" i="23917"/>
  <c r="DD25" i="24050"/>
  <c r="EJ33" i="23917"/>
  <c r="CZ293" i="24050"/>
  <c r="EF299" i="23917"/>
  <c r="DL20" i="24050"/>
  <c r="ER23" i="23917"/>
  <c r="EM214" i="24050"/>
  <c r="FS220" i="23917"/>
  <c r="EQ31" i="24050"/>
  <c r="FW39" i="23917"/>
  <c r="CG45" i="24050"/>
  <c r="DM53" i="23917"/>
  <c r="DE35" i="24050"/>
  <c r="EK43" i="23917"/>
  <c r="BB41" i="24050"/>
  <c r="CH49" i="23917"/>
  <c r="AG101" i="23917"/>
  <c r="EU276" i="24050"/>
  <c r="GA282" i="23917"/>
  <c r="BI28" i="24050"/>
  <c r="CO36" i="23917"/>
  <c r="DV20" i="24050"/>
  <c r="FB23" i="23917"/>
  <c r="EK287" i="24050"/>
  <c r="EK288" i="24050" s="1"/>
  <c r="EK13" i="24050"/>
  <c r="FQ293" i="23917"/>
  <c r="FQ294" i="23917" s="1"/>
  <c r="S40" i="23917"/>
  <c r="J40" i="23917"/>
  <c r="K255" i="23917"/>
  <c r="K73" i="23917"/>
  <c r="EA41" i="24050"/>
  <c r="FG49" i="23917"/>
  <c r="CE83" i="24050"/>
  <c r="DK89" i="23917"/>
  <c r="CD41" i="24050"/>
  <c r="DJ49" i="23917"/>
  <c r="DA204" i="24050"/>
  <c r="DA10" i="24050"/>
  <c r="EG210" i="23917"/>
  <c r="CS20" i="24050"/>
  <c r="DY23" i="23917"/>
  <c r="CA28" i="24050"/>
  <c r="DG36" i="23917"/>
  <c r="BN35" i="24050"/>
  <c r="BN36" i="24050" s="1"/>
  <c r="CT43" i="23917"/>
  <c r="CT44" i="23917" s="1"/>
  <c r="N35" i="24050"/>
  <c r="AT43" i="23917"/>
  <c r="P28" i="24050"/>
  <c r="AV36" i="23917"/>
  <c r="AY83" i="24050"/>
  <c r="CE89" i="23917"/>
  <c r="AX40" i="24050"/>
  <c r="CD48" i="23917"/>
  <c r="BM39" i="24050"/>
  <c r="CS47" i="23917"/>
  <c r="AU83" i="24050"/>
  <c r="CA89" i="23917"/>
  <c r="AK45" i="24050"/>
  <c r="BQ53" i="23917"/>
  <c r="DI35" i="24050"/>
  <c r="EO43" i="23917"/>
  <c r="O17" i="24050"/>
  <c r="AU20" i="23917"/>
  <c r="F20" i="24050"/>
  <c r="AL23" i="23917"/>
  <c r="CM83" i="24050"/>
  <c r="DS89" i="23917"/>
  <c r="ER173" i="24050"/>
  <c r="FX179" i="23917"/>
  <c r="EU44" i="24050"/>
  <c r="GA52" i="23917"/>
  <c r="DC35" i="24050"/>
  <c r="EI43" i="23917"/>
  <c r="EH290" i="24050"/>
  <c r="FN296" i="23917"/>
  <c r="FN74" i="23917"/>
  <c r="CB35" i="24050"/>
  <c r="CB36" i="24050" s="1"/>
  <c r="DH43" i="23917"/>
  <c r="S366" i="23917"/>
  <c r="S76" i="23917"/>
  <c r="Z41" i="24050"/>
  <c r="BF49" i="23917"/>
  <c r="S17" i="24050"/>
  <c r="AY20" i="23917"/>
  <c r="J207" i="24050"/>
  <c r="AP213" i="23917"/>
  <c r="AP72" i="23917"/>
  <c r="K17" i="24050"/>
  <c r="AQ20" i="23917"/>
  <c r="DE45" i="24050"/>
  <c r="EK53" i="23917"/>
  <c r="EO281" i="24050"/>
  <c r="FU287" i="23917"/>
  <c r="AS40" i="24050"/>
  <c r="BY48" i="23917"/>
  <c r="EN159" i="24050"/>
  <c r="FT165" i="23917"/>
  <c r="BF45" i="24050"/>
  <c r="CL53" i="23917"/>
  <c r="EE25" i="24050"/>
  <c r="EE26" i="24050" s="1"/>
  <c r="FK33" i="23917"/>
  <c r="FK34" i="23917" s="1"/>
  <c r="EE95" i="24050"/>
  <c r="FK101" i="23917"/>
  <c r="AC32" i="24050"/>
  <c r="BI40" i="23917"/>
  <c r="EP88" i="24050"/>
  <c r="EP76" i="24050"/>
  <c r="FV94" i="23917"/>
  <c r="FV82" i="23917"/>
  <c r="EB39" i="24050"/>
  <c r="FH47" i="23917"/>
  <c r="AQ83" i="24050"/>
  <c r="BW89" i="23917"/>
  <c r="EP87" i="24050"/>
  <c r="FV93" i="23917"/>
  <c r="AU95" i="24050"/>
  <c r="CA101" i="23917"/>
  <c r="AT28" i="24050"/>
  <c r="BZ36" i="23917"/>
  <c r="CI35" i="24050"/>
  <c r="DO43" i="23917"/>
  <c r="DJ39" i="24050"/>
  <c r="EP47" i="23917"/>
  <c r="O44" i="24068"/>
  <c r="DW39" i="24050"/>
  <c r="FC47" i="23917"/>
  <c r="DX326" i="24050"/>
  <c r="FD332" i="23917"/>
  <c r="FD75" i="23917"/>
  <c r="CX323" i="24050"/>
  <c r="CX324" i="24050" s="1"/>
  <c r="CX14" i="24050"/>
  <c r="ED329" i="23917"/>
  <c r="ED330" i="23917" s="1"/>
  <c r="CK83" i="24050"/>
  <c r="DQ89" i="23917"/>
  <c r="CJ41" i="24050"/>
  <c r="DP49" i="23917"/>
  <c r="EL320" i="24050"/>
  <c r="FR326" i="23917"/>
  <c r="DD83" i="24050"/>
  <c r="EJ89" i="23917"/>
  <c r="EG32" i="24050"/>
  <c r="EG33" i="24050" s="1"/>
  <c r="FM40" i="23917"/>
  <c r="EH207" i="24050"/>
  <c r="FN213" i="23917"/>
  <c r="FN72" i="23917"/>
  <c r="EM58" i="24050"/>
  <c r="FS65" i="23917"/>
  <c r="B360" i="24050"/>
  <c r="AH366" i="23917"/>
  <c r="AH76" i="23917"/>
  <c r="B124" i="24050"/>
  <c r="AH130" i="23917"/>
  <c r="AH70" i="23917"/>
  <c r="B20" i="24050"/>
  <c r="AH23" i="23917"/>
  <c r="EU310" i="24050"/>
  <c r="GA316" i="23917"/>
  <c r="DS32" i="24050"/>
  <c r="EY40" i="23917"/>
  <c r="DS95" i="24050"/>
  <c r="EY101" i="23917"/>
  <c r="CC39" i="24050"/>
  <c r="DI47" i="23917"/>
  <c r="BE45" i="24050"/>
  <c r="CK53" i="23917"/>
  <c r="EP31" i="24050"/>
  <c r="FV39" i="23917"/>
  <c r="DF95" i="24050"/>
  <c r="EL101" i="23917"/>
  <c r="AS45" i="24050"/>
  <c r="BY53" i="23917"/>
  <c r="CO45" i="24050"/>
  <c r="DU53" i="23917"/>
  <c r="ED83" i="24050"/>
  <c r="FJ89" i="23917"/>
  <c r="BF35" i="24050"/>
  <c r="CL43" i="23917"/>
  <c r="CL44" i="23917" s="1"/>
  <c r="AB45" i="24050"/>
  <c r="BH53" i="23917"/>
  <c r="ET275" i="24050"/>
  <c r="FZ281" i="23917"/>
  <c r="K332" i="23917"/>
  <c r="K75" i="23917"/>
  <c r="EQ116" i="24050"/>
  <c r="FW122" i="23917"/>
  <c r="BW95" i="24050"/>
  <c r="DC101" i="23917"/>
  <c r="BV28" i="24050"/>
  <c r="DB36" i="23917"/>
  <c r="BQ28" i="24050"/>
  <c r="CW36" i="23917"/>
  <c r="CA45" i="24050"/>
  <c r="DG53" i="23917"/>
  <c r="AP45" i="24050"/>
  <c r="BV53" i="23917"/>
  <c r="P35" i="24050"/>
  <c r="AV43" i="23917"/>
  <c r="EN75" i="24050"/>
  <c r="FT81" i="23917"/>
  <c r="AM95" i="24050"/>
  <c r="BS101" i="23917"/>
  <c r="ES117" i="24050"/>
  <c r="FY123" i="23917"/>
  <c r="AF40" i="24050"/>
  <c r="BL48" i="23917"/>
  <c r="DH25" i="24050"/>
  <c r="EN33" i="23917"/>
  <c r="AT41" i="24050"/>
  <c r="BZ49" i="23917"/>
  <c r="Y130" i="23917"/>
  <c r="Y70" i="23917"/>
  <c r="DJ25" i="24050"/>
  <c r="EP33" i="23917"/>
  <c r="AH40" i="24050"/>
  <c r="BN48" i="23917"/>
  <c r="DX249" i="24050"/>
  <c r="FD255" i="23917"/>
  <c r="FD73" i="23917"/>
  <c r="EH124" i="24050"/>
  <c r="FN130" i="23917"/>
  <c r="FN70" i="23917"/>
  <c r="DK39" i="24050"/>
  <c r="EQ47" i="23917"/>
  <c r="DL167" i="24050"/>
  <c r="ER173" i="23917"/>
  <c r="ER71" i="23917"/>
  <c r="BC95" i="24050"/>
  <c r="CI101" i="23917"/>
  <c r="BB28" i="24050"/>
  <c r="CH36" i="23917"/>
  <c r="EC41" i="24050"/>
  <c r="FI49" i="23917"/>
  <c r="EQ174" i="24050"/>
  <c r="FW180" i="23917"/>
  <c r="DV21" i="24050"/>
  <c r="FB24" i="23917"/>
  <c r="DU39" i="24050"/>
  <c r="FA47" i="23917"/>
  <c r="T35" i="24050"/>
  <c r="AZ43" i="23917"/>
  <c r="EK204" i="24050"/>
  <c r="EK205" i="24050" s="1"/>
  <c r="EK10" i="24050"/>
  <c r="FQ210" i="23917"/>
  <c r="FQ211" i="23917" s="1"/>
  <c r="EF249" i="24050"/>
  <c r="FL255" i="23917"/>
  <c r="FL73" i="23917"/>
  <c r="ES193" i="24050"/>
  <c r="FY199" i="23917"/>
  <c r="EA36" i="24050"/>
  <c r="F43" i="24068"/>
  <c r="B71" i="24050"/>
  <c r="B68" i="24050"/>
  <c r="B66" i="24050"/>
  <c r="B63" i="24050"/>
  <c r="B67" i="24050"/>
  <c r="B69" i="24050"/>
  <c r="B64" i="24050"/>
  <c r="B65" i="24050"/>
  <c r="B70" i="24050"/>
  <c r="EE22" i="24050"/>
  <c r="AP36" i="24050"/>
  <c r="DJ34" i="23917"/>
  <c r="AT26" i="24050"/>
  <c r="EO155" i="24050"/>
  <c r="FU161" i="23917"/>
  <c r="DW72" i="24050"/>
  <c r="BU32" i="24050"/>
  <c r="DA40" i="23917"/>
  <c r="FC25" i="23917"/>
  <c r="BU39" i="24050"/>
  <c r="DA47" i="23917"/>
  <c r="BK32" i="24050"/>
  <c r="CQ40" i="23917"/>
  <c r="CL31" i="23917"/>
  <c r="FM25" i="23917"/>
  <c r="D124" i="24050"/>
  <c r="AJ130" i="23917"/>
  <c r="AJ70" i="23917"/>
  <c r="AG173" i="23917"/>
  <c r="AG71" i="23917"/>
  <c r="EK162" i="24050"/>
  <c r="FQ168" i="23917"/>
  <c r="AH28" i="24050"/>
  <c r="BN36" i="23917"/>
  <c r="CG35" i="24050"/>
  <c r="DM43" i="23917"/>
  <c r="EH249" i="24050"/>
  <c r="FN255" i="23917"/>
  <c r="FN73" i="23917"/>
  <c r="BC32" i="24050"/>
  <c r="CI40" i="23917"/>
  <c r="BG39" i="24050"/>
  <c r="CM47" i="23917"/>
  <c r="AC83" i="24050"/>
  <c r="BI89" i="23917"/>
  <c r="AO35" i="24050"/>
  <c r="BU43" i="23917"/>
  <c r="BO83" i="24050"/>
  <c r="CU89" i="23917"/>
  <c r="EP192" i="24050"/>
  <c r="FV198" i="23917"/>
  <c r="DJ83" i="24050"/>
  <c r="EP89" i="23917"/>
  <c r="DM17" i="24050"/>
  <c r="ES20" i="23917"/>
  <c r="CJ45" i="24050"/>
  <c r="DP53" i="23917"/>
  <c r="DC40" i="24050"/>
  <c r="EI48" i="23917"/>
  <c r="DL290" i="24050"/>
  <c r="ER296" i="23917"/>
  <c r="ER74" i="23917"/>
  <c r="J124" i="24050"/>
  <c r="AP130" i="23917"/>
  <c r="AP70" i="23917"/>
  <c r="ED25" i="24050"/>
  <c r="FJ33" i="23917"/>
  <c r="BF28" i="24050"/>
  <c r="CL36" i="23917"/>
  <c r="U39" i="24050"/>
  <c r="BA47" i="23917"/>
  <c r="EO75" i="24050"/>
  <c r="FU81" i="23917"/>
  <c r="BL45" i="24050"/>
  <c r="CR53" i="23917"/>
  <c r="DW83" i="24050"/>
  <c r="FC89" i="23917"/>
  <c r="ET310" i="24050"/>
  <c r="FZ316" i="23917"/>
  <c r="L45" i="24050"/>
  <c r="AR53" i="23917"/>
  <c r="L35" i="24050"/>
  <c r="AR43" i="23917"/>
  <c r="BC39" i="24050"/>
  <c r="CI47" i="23917"/>
  <c r="BF40" i="24050"/>
  <c r="CL48" i="23917"/>
  <c r="EU275" i="24050"/>
  <c r="GA281" i="23917"/>
  <c r="Y83" i="24050"/>
  <c r="BE89" i="23917"/>
  <c r="P41" i="24050"/>
  <c r="AV49" i="23917"/>
  <c r="AL45" i="24050"/>
  <c r="BR53" i="23917"/>
  <c r="AG32" i="24050"/>
  <c r="BM40" i="23917"/>
  <c r="AI32" i="24050"/>
  <c r="BO40" i="23917"/>
  <c r="ER313" i="24050"/>
  <c r="FX319" i="23917"/>
  <c r="CZ164" i="24050"/>
  <c r="CZ165" i="24050" s="1"/>
  <c r="CZ9" i="24050"/>
  <c r="EF170" i="23917"/>
  <c r="EF171" i="23917" s="1"/>
  <c r="AX33" i="24050"/>
  <c r="EP153" i="24050"/>
  <c r="FV159" i="23917"/>
  <c r="FC78" i="23917"/>
  <c r="BK83" i="24050"/>
  <c r="CQ89" i="23917"/>
  <c r="EL202" i="24050"/>
  <c r="FR208" i="23917"/>
  <c r="EN213" i="24050"/>
  <c r="FT219" i="23917"/>
  <c r="ET311" i="24050"/>
  <c r="FZ317" i="23917"/>
  <c r="BO25" i="24050"/>
  <c r="CU33" i="23917"/>
  <c r="D167" i="24050"/>
  <c r="AJ173" i="23917"/>
  <c r="AJ71" i="23917"/>
  <c r="AM83" i="24050"/>
  <c r="BS89" i="23917"/>
  <c r="DG35" i="24050"/>
  <c r="EM43" i="23917"/>
  <c r="AI95" i="24050"/>
  <c r="BO101" i="23917"/>
  <c r="DX207" i="24050"/>
  <c r="FD213" i="23917"/>
  <c r="FD72" i="23917"/>
  <c r="BY40" i="24050"/>
  <c r="DE48" i="23917"/>
  <c r="Z28" i="24050"/>
  <c r="BF36" i="23917"/>
  <c r="DA59" i="24050"/>
  <c r="DA24" i="24050"/>
  <c r="EG27" i="23917"/>
  <c r="EG66" i="23917"/>
  <c r="CE32" i="24050"/>
  <c r="DK40" i="23917"/>
  <c r="CZ210" i="24050"/>
  <c r="EF216" i="23917"/>
  <c r="AQ39" i="24050"/>
  <c r="BW47" i="23917"/>
  <c r="BN40" i="24050"/>
  <c r="CT48" i="23917"/>
  <c r="P45" i="24050"/>
  <c r="AV53" i="23917"/>
  <c r="AG25" i="24050"/>
  <c r="BM33" i="23917"/>
  <c r="EQ192" i="24050"/>
  <c r="FW198" i="23917"/>
  <c r="CB41" i="24050"/>
  <c r="DH49" i="23917"/>
  <c r="Z35" i="24050"/>
  <c r="BF43" i="23917"/>
  <c r="J290" i="24050"/>
  <c r="AP296" i="23917"/>
  <c r="AP74" i="23917"/>
  <c r="ED95" i="24050"/>
  <c r="FJ101" i="23917"/>
  <c r="BS28" i="24050"/>
  <c r="CY36" i="23917"/>
  <c r="FU393" i="23917"/>
  <c r="S44" i="24068"/>
  <c r="EE39" i="24050"/>
  <c r="FK47" i="23917"/>
  <c r="AC39" i="24050"/>
  <c r="BI47" i="23917"/>
  <c r="Q42" i="24068"/>
  <c r="Q43" i="24068" s="1"/>
  <c r="FG28" i="23917"/>
  <c r="FG29" i="23917" s="1"/>
  <c r="BK28" i="24050"/>
  <c r="CQ36" i="23917"/>
  <c r="AO95" i="24050"/>
  <c r="BU101" i="23917"/>
  <c r="DH39" i="24050"/>
  <c r="EN47" i="23917"/>
  <c r="AT45" i="24050"/>
  <c r="BZ53" i="23917"/>
  <c r="Y332" i="23917"/>
  <c r="Y75" i="23917"/>
  <c r="BE35" i="24050"/>
  <c r="CK43" i="23917"/>
  <c r="DX21" i="24050"/>
  <c r="FD24" i="23917"/>
  <c r="DW25" i="24050"/>
  <c r="DW26" i="24050" s="1"/>
  <c r="FC33" i="23917"/>
  <c r="DW95" i="24050"/>
  <c r="FC101" i="23917"/>
  <c r="DX124" i="24050"/>
  <c r="FD130" i="23917"/>
  <c r="FD70" i="23917"/>
  <c r="CL45" i="24050"/>
  <c r="DR53" i="23917"/>
  <c r="CG41" i="24050"/>
  <c r="DM49" i="23917"/>
  <c r="CK32" i="24050"/>
  <c r="DQ40" i="23917"/>
  <c r="EH21" i="24050"/>
  <c r="FN24" i="23917"/>
  <c r="EG25" i="24050"/>
  <c r="EG26" i="24050" s="1"/>
  <c r="FM33" i="23917"/>
  <c r="EG95" i="24050"/>
  <c r="FM101" i="23917"/>
  <c r="BY35" i="24050"/>
  <c r="DE43" i="23917"/>
  <c r="B207" i="24050"/>
  <c r="AH213" i="23917"/>
  <c r="AH72" i="23917"/>
  <c r="B249" i="24050"/>
  <c r="AH255" i="23917"/>
  <c r="AH73" i="23917"/>
  <c r="B21" i="24050"/>
  <c r="AH24" i="23917"/>
  <c r="ES313" i="24050"/>
  <c r="FY319" i="23917"/>
  <c r="DS39" i="24050"/>
  <c r="EY47" i="23917"/>
  <c r="DL249" i="24050"/>
  <c r="ER255" i="23917"/>
  <c r="ER73" i="23917"/>
  <c r="L28" i="24050"/>
  <c r="AR36" i="23917"/>
  <c r="L41" i="24050"/>
  <c r="AR49" i="23917"/>
  <c r="AF48" i="23917"/>
  <c r="BF41" i="24050"/>
  <c r="CL49" i="23917"/>
  <c r="DV290" i="24050"/>
  <c r="FB296" i="23917"/>
  <c r="FB74" i="23917"/>
  <c r="U25" i="24050"/>
  <c r="BA33" i="23917"/>
  <c r="EM297" i="24050"/>
  <c r="FS303" i="23917"/>
  <c r="ET110" i="24050"/>
  <c r="FZ116" i="23917"/>
  <c r="AO40" i="24050"/>
  <c r="BU48" i="23917"/>
  <c r="BW25" i="24050"/>
  <c r="DC33" i="23917"/>
  <c r="P40" i="24050"/>
  <c r="AV48" i="23917"/>
  <c r="AY39" i="24050"/>
  <c r="CE47" i="23917"/>
  <c r="ET194" i="24050"/>
  <c r="FZ200" i="23917"/>
  <c r="AM25" i="24050"/>
  <c r="BS33" i="23917"/>
  <c r="EU312" i="24050"/>
  <c r="GA318" i="23917"/>
  <c r="BM83" i="24050"/>
  <c r="CS89" i="23917"/>
  <c r="AF35" i="24050"/>
  <c r="BL43" i="23917"/>
  <c r="AT35" i="24050"/>
  <c r="AT36" i="24050" s="1"/>
  <c r="BZ43" i="23917"/>
  <c r="AG33" i="23917"/>
  <c r="X33" i="23917"/>
  <c r="AG366" i="23917"/>
  <c r="AG76" i="23917"/>
  <c r="AH35" i="24050"/>
  <c r="BN43" i="23917"/>
  <c r="EM298" i="24050"/>
  <c r="FS304" i="23917"/>
  <c r="EH326" i="24050"/>
  <c r="FN332" i="23917"/>
  <c r="FN75" i="23917"/>
  <c r="BS41" i="24050"/>
  <c r="CY49" i="23917"/>
  <c r="CI45" i="24050"/>
  <c r="DO53" i="23917"/>
  <c r="CC25" i="24050"/>
  <c r="DI33" i="23917"/>
  <c r="DA162" i="24050"/>
  <c r="EG168" i="23917"/>
  <c r="DK95" i="24050"/>
  <c r="EQ101" i="23917"/>
  <c r="BB45" i="24050"/>
  <c r="CH53" i="23917"/>
  <c r="EN281" i="24050"/>
  <c r="FT287" i="23917"/>
  <c r="CO28" i="24050"/>
  <c r="DU36" i="23917"/>
  <c r="DK25" i="24050"/>
  <c r="EQ33" i="23917"/>
  <c r="ED32" i="24050"/>
  <c r="FJ40" i="23917"/>
  <c r="EO159" i="24050"/>
  <c r="FU165" i="23917"/>
  <c r="BQ35" i="24050"/>
  <c r="CW43" i="23917"/>
  <c r="DU83" i="24050"/>
  <c r="FA89" i="23917"/>
  <c r="DV167" i="24050"/>
  <c r="FB173" i="23917"/>
  <c r="FB71" i="23917"/>
  <c r="T41" i="24050"/>
  <c r="AZ49" i="23917"/>
  <c r="EF20" i="24050"/>
  <c r="FL23" i="23917"/>
  <c r="F71" i="24050"/>
  <c r="F69" i="24050"/>
  <c r="F68" i="24050"/>
  <c r="F66" i="24050"/>
  <c r="F63" i="24050"/>
  <c r="F67" i="24050"/>
  <c r="F65" i="24050"/>
  <c r="F64" i="24050"/>
  <c r="F70" i="24050"/>
  <c r="J71" i="24050"/>
  <c r="J68" i="24050"/>
  <c r="J64" i="24050"/>
  <c r="J69" i="24050"/>
  <c r="J66" i="24050"/>
  <c r="J65" i="24050"/>
  <c r="J63" i="24050"/>
  <c r="J67" i="24050"/>
  <c r="J70" i="24050"/>
  <c r="BF36" i="24050"/>
  <c r="S130" i="23917"/>
  <c r="S70" i="23917"/>
  <c r="CY293" i="24050"/>
  <c r="EE299" i="23917"/>
  <c r="DH44" i="23917"/>
  <c r="DB41" i="23917"/>
  <c r="CD41" i="23917"/>
  <c r="EC33" i="24050"/>
  <c r="AP26" i="24050"/>
  <c r="EE72" i="24050"/>
  <c r="CR31" i="23917"/>
  <c r="DU22" i="24050"/>
  <c r="DR44" i="23917"/>
  <c r="EK399" i="24050"/>
  <c r="EK400" i="24050" s="1"/>
  <c r="CW399" i="24050"/>
  <c r="FQ409" i="23917"/>
  <c r="EL333" i="24050"/>
  <c r="FR339" i="23917"/>
  <c r="EM198" i="24050"/>
  <c r="FS204" i="23917"/>
  <c r="BV35" i="24050"/>
  <c r="BV36" i="24050" s="1"/>
  <c r="DB43" i="23917"/>
  <c r="DB44" i="23917" s="1"/>
  <c r="BU83" i="24050"/>
  <c r="DA89" i="23917"/>
  <c r="AP40" i="24050"/>
  <c r="BV48" i="23917"/>
  <c r="N28" i="24050"/>
  <c r="AT36" i="23917"/>
  <c r="D21" i="24050"/>
  <c r="AJ24" i="23917"/>
  <c r="AL35" i="24050"/>
  <c r="BR43" i="23917"/>
  <c r="BM32" i="24050"/>
  <c r="CS40" i="23917"/>
  <c r="DH32" i="24050"/>
  <c r="EN40" i="23917"/>
  <c r="DA287" i="24050"/>
  <c r="DA13" i="24050"/>
  <c r="EG293" i="23917"/>
  <c r="Z45" i="24050"/>
  <c r="BF53" i="23917"/>
  <c r="DE41" i="24050"/>
  <c r="EK49" i="23917"/>
  <c r="ED39" i="24050"/>
  <c r="FJ47" i="23917"/>
  <c r="U83" i="24050"/>
  <c r="BA89" i="23917"/>
  <c r="EB32" i="24050"/>
  <c r="FH40" i="23917"/>
  <c r="BN41" i="24050"/>
  <c r="CT49" i="23917"/>
  <c r="N40" i="24050"/>
  <c r="AT48" i="23917"/>
  <c r="CI40" i="24050"/>
  <c r="DO48" i="23917"/>
  <c r="Y40" i="24050"/>
  <c r="BE48" i="23917"/>
  <c r="F124" i="24050"/>
  <c r="AL130" i="23917"/>
  <c r="AL70" i="23917"/>
  <c r="ES173" i="24050"/>
  <c r="FY179" i="23917"/>
  <c r="DD95" i="24050"/>
  <c r="EJ101" i="23917"/>
  <c r="BY41" i="24050"/>
  <c r="DE49" i="23917"/>
  <c r="CC32" i="24050"/>
  <c r="DI40" i="23917"/>
  <c r="J167" i="24050"/>
  <c r="AP173" i="23917"/>
  <c r="AP71" i="23917"/>
  <c r="J20" i="24050"/>
  <c r="AP23" i="23917"/>
  <c r="EQ296" i="24050"/>
  <c r="FW302" i="23917"/>
  <c r="ER278" i="24050"/>
  <c r="FX284" i="23917"/>
  <c r="FT403" i="23917"/>
  <c r="CZ397" i="24050" s="1"/>
  <c r="FS403" i="23917"/>
  <c r="CY397" i="24050" s="1"/>
  <c r="K366" i="23917"/>
  <c r="K76" i="23917"/>
  <c r="EQ76" i="24050"/>
  <c r="EQ88" i="24050"/>
  <c r="FW94" i="23917"/>
  <c r="FW82" i="23917"/>
  <c r="DW32" i="24050"/>
  <c r="FC40" i="23917"/>
  <c r="BK39" i="24050"/>
  <c r="CQ47" i="23917"/>
  <c r="B167" i="24050"/>
  <c r="AH173" i="23917"/>
  <c r="AH71" i="23917"/>
  <c r="T45" i="24050"/>
  <c r="AZ53" i="23917"/>
  <c r="EF124" i="24050"/>
  <c r="FL130" i="23917"/>
  <c r="FL70" i="23917"/>
  <c r="AQ95" i="24050"/>
  <c r="BW101" i="23917"/>
  <c r="AU32" i="24050"/>
  <c r="CA40" i="23917"/>
  <c r="BY28" i="24050"/>
  <c r="DE36" i="23917"/>
  <c r="CB45" i="24050"/>
  <c r="DH53" i="23917"/>
  <c r="CA41" i="24050"/>
  <c r="DG49" i="23917"/>
  <c r="DV249" i="24050"/>
  <c r="FB255" i="23917"/>
  <c r="FB73" i="23917"/>
  <c r="U95" i="24050"/>
  <c r="BA101" i="23917"/>
  <c r="S255" i="23917"/>
  <c r="S73" i="23917"/>
  <c r="DW22" i="24050"/>
  <c r="EG22" i="24050"/>
  <c r="AC95" i="24050"/>
  <c r="BI101" i="23917"/>
  <c r="BV40" i="24050"/>
  <c r="DB48" i="23917"/>
  <c r="EM215" i="24050"/>
  <c r="FS221" i="23917"/>
  <c r="BL35" i="24050"/>
  <c r="BL36" i="24050" s="1"/>
  <c r="CR43" i="23917"/>
  <c r="CR44" i="23917" s="1"/>
  <c r="EL161" i="24050"/>
  <c r="FR167" i="23917"/>
  <c r="CM32" i="24050"/>
  <c r="DS40" i="23917"/>
  <c r="DL124" i="24050"/>
  <c r="ER130" i="23917"/>
  <c r="ER70" i="23917"/>
  <c r="BB35" i="24050"/>
  <c r="CH43" i="23917"/>
  <c r="CH44" i="23917" s="1"/>
  <c r="ES278" i="24050"/>
  <c r="FY284" i="23917"/>
  <c r="DV207" i="24050"/>
  <c r="FB213" i="23917"/>
  <c r="FB72" i="23917"/>
  <c r="EF290" i="24050"/>
  <c r="FL296" i="23917"/>
  <c r="FL74" i="23917"/>
  <c r="AO83" i="24050"/>
  <c r="BU89" i="23917"/>
  <c r="FE69" i="23917"/>
  <c r="DY17" i="24050"/>
  <c r="FE20" i="23917"/>
  <c r="AY32" i="24050"/>
  <c r="CE40" i="23917"/>
  <c r="BE41" i="24050"/>
  <c r="CK49" i="23917"/>
  <c r="F290" i="24050"/>
  <c r="AL296" i="23917"/>
  <c r="AL74" i="23917"/>
  <c r="F21" i="24050"/>
  <c r="AL24" i="23917"/>
  <c r="CK25" i="24050"/>
  <c r="DQ33" i="23917"/>
  <c r="DC41" i="24050"/>
  <c r="EI49" i="23917"/>
  <c r="CI28" i="24050"/>
  <c r="DO36" i="23917"/>
  <c r="J249" i="24050"/>
  <c r="AP255" i="23917"/>
  <c r="AP73" i="23917"/>
  <c r="J21" i="24050"/>
  <c r="AP24" i="23917"/>
  <c r="EP296" i="24050"/>
  <c r="FV302" i="23917"/>
  <c r="AB41" i="24050"/>
  <c r="BH49" i="23917"/>
  <c r="BM25" i="24050"/>
  <c r="CS33" i="23917"/>
  <c r="K296" i="23917"/>
  <c r="K74" i="23917"/>
  <c r="AO41" i="24050"/>
  <c r="BU49" i="23917"/>
  <c r="EB95" i="24050"/>
  <c r="FH101" i="23917"/>
  <c r="EO213" i="24050"/>
  <c r="FU219" i="23917"/>
  <c r="AG296" i="23917"/>
  <c r="AG74" i="23917"/>
  <c r="CD45" i="24050"/>
  <c r="DJ53" i="23917"/>
  <c r="BV41" i="24050"/>
  <c r="DB49" i="23917"/>
  <c r="AQ32" i="24050"/>
  <c r="BW40" i="23917"/>
  <c r="BN45" i="24050"/>
  <c r="CT53" i="23917"/>
  <c r="M17" i="24050"/>
  <c r="AS20" i="23917"/>
  <c r="D290" i="24050"/>
  <c r="AJ296" i="23917"/>
  <c r="AJ74" i="23917"/>
  <c r="D249" i="24050"/>
  <c r="AJ255" i="23917"/>
  <c r="AJ73" i="23917"/>
  <c r="BK45" i="24050"/>
  <c r="CQ53" i="23917"/>
  <c r="AX45" i="24050"/>
  <c r="CD53" i="23917"/>
  <c r="AL41" i="24050"/>
  <c r="BR49" i="23917"/>
  <c r="BI41" i="24050"/>
  <c r="CO49" i="23917"/>
  <c r="BL41" i="24050"/>
  <c r="CR49" i="23917"/>
  <c r="DH95" i="24050"/>
  <c r="EN101" i="23917"/>
  <c r="DG40" i="24050"/>
  <c r="EM48" i="23917"/>
  <c r="EK175" i="24050"/>
  <c r="FQ181" i="23917"/>
  <c r="Y213" i="23917"/>
  <c r="Y72" i="23917"/>
  <c r="DJ95" i="24050"/>
  <c r="EP101" i="23917"/>
  <c r="AI25" i="24050"/>
  <c r="BO33" i="23917"/>
  <c r="CL89" i="24050"/>
  <c r="DR95" i="23917"/>
  <c r="CK39" i="24050"/>
  <c r="DQ47" i="23917"/>
  <c r="DC45" i="24050"/>
  <c r="EI53" i="23917"/>
  <c r="EH20" i="24050"/>
  <c r="FN23" i="23917"/>
  <c r="EL214" i="24050"/>
  <c r="FR220" i="23917"/>
  <c r="BE28" i="24050"/>
  <c r="CK36" i="23917"/>
  <c r="DF32" i="24050"/>
  <c r="EL40" i="23917"/>
  <c r="BC83" i="24050"/>
  <c r="CI89" i="23917"/>
  <c r="BB40" i="24050"/>
  <c r="CH48" i="23917"/>
  <c r="CO35" i="24050"/>
  <c r="DU43" i="23917"/>
  <c r="R42" i="24068"/>
  <c r="FI28" i="23917"/>
  <c r="FI29" i="23917" s="1"/>
  <c r="ET276" i="24050"/>
  <c r="FZ282" i="23917"/>
  <c r="DO17" i="24050"/>
  <c r="EU20" i="23917"/>
  <c r="CA40" i="24050"/>
  <c r="DG48" i="23917"/>
  <c r="EK59" i="24050"/>
  <c r="EK24" i="24050"/>
  <c r="FQ27" i="23917"/>
  <c r="FQ66" i="23917"/>
  <c r="EF207" i="24050"/>
  <c r="FL213" i="23917"/>
  <c r="FL72" i="23917"/>
  <c r="EB83" i="24050"/>
  <c r="FH89" i="23917"/>
  <c r="EA40" i="24050"/>
  <c r="FG48" i="23917"/>
  <c r="CD35" i="24050"/>
  <c r="CD36" i="24050" s="1"/>
  <c r="DJ43" i="23917"/>
  <c r="DJ44" i="23917" s="1"/>
  <c r="BW39" i="24050"/>
  <c r="DC47" i="23917"/>
  <c r="DA20" i="24050"/>
  <c r="EG23" i="23917"/>
  <c r="BO32" i="24050"/>
  <c r="CU40" i="23917"/>
  <c r="AX35" i="24050"/>
  <c r="AX36" i="24050" s="1"/>
  <c r="CD43" i="23917"/>
  <c r="CD44" i="23917" s="1"/>
  <c r="AF28" i="24050"/>
  <c r="BL36" i="23917"/>
  <c r="DH83" i="24050"/>
  <c r="EN89" i="23917"/>
  <c r="EO195" i="24050"/>
  <c r="FU201" i="23917"/>
  <c r="Y296" i="23917"/>
  <c r="Y74" i="23917"/>
  <c r="DJ32" i="24050"/>
  <c r="EP40" i="23917"/>
  <c r="AI83" i="24050"/>
  <c r="BO89" i="23917"/>
  <c r="ER111" i="24050"/>
  <c r="FX117" i="23917"/>
  <c r="F360" i="24050"/>
  <c r="AL366" i="23917"/>
  <c r="AL76" i="23917"/>
  <c r="F207" i="24050"/>
  <c r="AL213" i="23917"/>
  <c r="AL72" i="23917"/>
  <c r="AL332" i="23917"/>
  <c r="AL75" i="23917"/>
  <c r="DX167" i="24050"/>
  <c r="FD173" i="23917"/>
  <c r="FD71" i="23917"/>
  <c r="CK95" i="24050"/>
  <c r="DQ101" i="23917"/>
  <c r="CJ28" i="24050"/>
  <c r="DP36" i="23917"/>
  <c r="ET44" i="24050"/>
  <c r="FZ52" i="23917"/>
  <c r="DD32" i="24050"/>
  <c r="EJ40" i="23917"/>
  <c r="EH167" i="24050"/>
  <c r="FN173" i="23917"/>
  <c r="FN71" i="23917"/>
  <c r="BY45" i="24050"/>
  <c r="DE53" i="23917"/>
  <c r="CB40" i="24050"/>
  <c r="DH48" i="23917"/>
  <c r="Z40" i="24050"/>
  <c r="BF48" i="23917"/>
  <c r="J360" i="24050"/>
  <c r="AP366" i="23917"/>
  <c r="AP76" i="23917"/>
  <c r="J326" i="24050"/>
  <c r="AP332" i="23917"/>
  <c r="AP75" i="23917"/>
  <c r="AS28" i="24050"/>
  <c r="BY36" i="23917"/>
  <c r="AG77" i="23917"/>
  <c r="EC45" i="24050"/>
  <c r="FI53" i="23917"/>
  <c r="EM160" i="24050"/>
  <c r="FS166" i="23917"/>
  <c r="BG25" i="24050"/>
  <c r="CM33" i="23917"/>
  <c r="BQ41" i="24050"/>
  <c r="CW49" i="23917"/>
  <c r="CA35" i="24050"/>
  <c r="DG43" i="23917"/>
  <c r="DV326" i="24050"/>
  <c r="FB332" i="23917"/>
  <c r="FB75" i="23917"/>
  <c r="EE32" i="24050"/>
  <c r="FK40" i="23917"/>
  <c r="FK41" i="23917" s="1"/>
  <c r="EE83" i="24050"/>
  <c r="FK89" i="23917"/>
  <c r="EF326" i="24050"/>
  <c r="FL332" i="23917"/>
  <c r="FL75" i="23917"/>
  <c r="AB40" i="24050"/>
  <c r="BH48" i="23917"/>
  <c r="EQ87" i="24050"/>
  <c r="FW93" i="23917"/>
  <c r="AM39" i="24050"/>
  <c r="BS47" i="23917"/>
  <c r="BM95" i="24050"/>
  <c r="CS101" i="23917"/>
  <c r="BL28" i="24050"/>
  <c r="CR36" i="23917"/>
  <c r="EN195" i="24050"/>
  <c r="FT201" i="23917"/>
  <c r="AU25" i="24050"/>
  <c r="CA33" i="23917"/>
  <c r="Y255" i="23917"/>
  <c r="Y73" i="23917"/>
  <c r="DZ21" i="24050"/>
  <c r="FF24" i="23917"/>
  <c r="CM95" i="24050"/>
  <c r="DS101" i="23917"/>
  <c r="CL28" i="24050"/>
  <c r="DR36" i="23917"/>
  <c r="EP158" i="24050"/>
  <c r="FV164" i="23917"/>
  <c r="CJ35" i="24050"/>
  <c r="CJ36" i="24050" s="1"/>
  <c r="DP43" i="23917"/>
  <c r="DP44" i="23917" s="1"/>
  <c r="BA41" i="24050"/>
  <c r="CG49" i="23917"/>
  <c r="T44" i="24068"/>
  <c r="EG39" i="24050"/>
  <c r="FM47" i="23917"/>
  <c r="EL58" i="24050"/>
  <c r="FR65" i="23917"/>
  <c r="AH332" i="23917"/>
  <c r="AH75" i="23917"/>
  <c r="B290" i="24050"/>
  <c r="AH296" i="23917"/>
  <c r="AH74" i="23917"/>
  <c r="DS25" i="24050"/>
  <c r="EY33" i="23917"/>
  <c r="DS83" i="24050"/>
  <c r="EY89" i="23917"/>
  <c r="L40" i="24050"/>
  <c r="AR48" i="23917"/>
  <c r="CG28" i="24050"/>
  <c r="DM36" i="23917"/>
  <c r="AS41" i="24050"/>
  <c r="BY49" i="23917"/>
  <c r="BA28" i="24050"/>
  <c r="CG36" i="23917"/>
  <c r="AG40" i="23917"/>
  <c r="BG32" i="24050"/>
  <c r="CM40" i="23917"/>
  <c r="DV124" i="24050"/>
  <c r="FB130" i="23917"/>
  <c r="FB70" i="23917"/>
  <c r="T28" i="24050"/>
  <c r="AZ36" i="23917"/>
  <c r="EF167" i="24050"/>
  <c r="FL173" i="23917"/>
  <c r="FL71" i="23917"/>
  <c r="AB28" i="24050"/>
  <c r="BH36" i="23917"/>
  <c r="EU110" i="24050"/>
  <c r="GA116" i="23917"/>
  <c r="AO32" i="24050"/>
  <c r="BU40" i="23917"/>
  <c r="EP116" i="24050"/>
  <c r="FV122" i="23917"/>
  <c r="CE39" i="24050"/>
  <c r="DK47" i="23917"/>
  <c r="BV45" i="24050"/>
  <c r="DB53" i="23917"/>
  <c r="AQ25" i="24050"/>
  <c r="BW33" i="23917"/>
  <c r="BO39" i="24050"/>
  <c r="CU47" i="23917"/>
  <c r="BK25" i="24050"/>
  <c r="CQ33" i="23917"/>
  <c r="EU194" i="24050"/>
  <c r="GA200" i="23917"/>
  <c r="AL28" i="24050"/>
  <c r="BR36" i="23917"/>
  <c r="ER117" i="24050"/>
  <c r="FX123" i="23917"/>
  <c r="ET312" i="24050"/>
  <c r="FZ318" i="23917"/>
  <c r="AG83" i="24050"/>
  <c r="BM89" i="23917"/>
  <c r="AF41" i="24050"/>
  <c r="BL49" i="23917"/>
  <c r="DG45" i="24050"/>
  <c r="EM53" i="23917"/>
  <c r="AT40" i="24050"/>
  <c r="BZ48" i="23917"/>
  <c r="Y366" i="23917"/>
  <c r="Y76" i="23917"/>
  <c r="DI45" i="24050"/>
  <c r="EO53" i="23917"/>
  <c r="AI39" i="24050"/>
  <c r="BO47" i="23917"/>
  <c r="AH41" i="24050"/>
  <c r="BN49" i="23917"/>
  <c r="DX290" i="24050"/>
  <c r="FD296" i="23917"/>
  <c r="FD74" i="23917"/>
  <c r="CG40" i="24050"/>
  <c r="DM48" i="23917"/>
  <c r="BA40" i="24050"/>
  <c r="CG48" i="23917"/>
  <c r="DD39" i="24050"/>
  <c r="EJ47" i="23917"/>
  <c r="CC95" i="24050"/>
  <c r="DI101" i="23917"/>
  <c r="CB28" i="24050"/>
  <c r="DH36" i="23917"/>
  <c r="DK32" i="24050"/>
  <c r="EQ40" i="23917"/>
  <c r="DF83" i="24050"/>
  <c r="EL89" i="23917"/>
  <c r="BC25" i="24050"/>
  <c r="CI33" i="23917"/>
  <c r="AS35" i="24050"/>
  <c r="BY43" i="23917"/>
  <c r="EC35" i="24050"/>
  <c r="EC36" i="24050" s="1"/>
  <c r="FI43" i="23917"/>
  <c r="FI44" i="23917" s="1"/>
  <c r="EP174" i="24050"/>
  <c r="FV180" i="23917"/>
  <c r="DU32" i="24050"/>
  <c r="DU33" i="24050" s="1"/>
  <c r="FA40" i="23917"/>
  <c r="FA41" i="23917" s="1"/>
  <c r="DU25" i="24050"/>
  <c r="FA33" i="23917"/>
  <c r="DU95" i="24050"/>
  <c r="FA101" i="23917"/>
  <c r="U32" i="24050"/>
  <c r="BA40" i="23917"/>
  <c r="EL15" i="24050"/>
  <c r="FR408" i="23917"/>
  <c r="ER193" i="24050"/>
  <c r="FX199" i="23917"/>
  <c r="EA33" i="24050"/>
  <c r="FK25" i="23917"/>
  <c r="BI35" i="24050"/>
  <c r="CO43" i="23917"/>
  <c r="DP34" i="23917"/>
  <c r="FK78" i="23917"/>
  <c r="J43" i="24068"/>
  <c r="AK39" i="24050"/>
  <c r="BQ47" i="23917"/>
  <c r="EQ153" i="24050"/>
  <c r="FW159" i="23917"/>
  <c r="FI41" i="23917"/>
  <c r="M43" i="24068"/>
  <c r="Y95" i="24050"/>
  <c r="BE101" i="23917"/>
  <c r="AG332" i="23917"/>
  <c r="AG75" i="23917"/>
  <c r="BB36" i="24050"/>
  <c r="CY170" i="24050"/>
  <c r="EE176" i="23917"/>
  <c r="FM78" i="23917"/>
  <c r="ER242" i="24050"/>
  <c r="FX248" i="23917"/>
  <c r="EN255" i="24050"/>
  <c r="FT261" i="23917"/>
  <c r="EQ235" i="24050"/>
  <c r="FW241" i="23917"/>
  <c r="CZ246" i="24050"/>
  <c r="CZ247" i="24050" s="1"/>
  <c r="CZ12" i="24050"/>
  <c r="EF252" i="23917"/>
  <c r="EF253" i="23917" s="1"/>
  <c r="ES234" i="24050"/>
  <c r="FY240" i="23917"/>
  <c r="EM241" i="24050"/>
  <c r="FS247" i="23917"/>
  <c r="EL244" i="24050"/>
  <c r="FR250" i="23917"/>
  <c r="EL257" i="24050"/>
  <c r="FR263" i="23917"/>
  <c r="ES242" i="24050"/>
  <c r="FY248" i="23917"/>
  <c r="DA244" i="24050"/>
  <c r="EG250" i="23917"/>
  <c r="EN256" i="24050"/>
  <c r="FT262" i="23917"/>
  <c r="EK252" i="24050"/>
  <c r="FQ258" i="23917"/>
  <c r="CY252" i="24050"/>
  <c r="EE258" i="23917"/>
  <c r="EO256" i="24050"/>
  <c r="FU262" i="23917"/>
  <c r="CW252" i="24050"/>
  <c r="EC258" i="23917"/>
  <c r="EO237" i="24050"/>
  <c r="FU243" i="23917"/>
  <c r="EO255" i="24050"/>
  <c r="FU261" i="23917"/>
  <c r="EP235" i="24050"/>
  <c r="FV241" i="23917"/>
  <c r="EM257" i="24050"/>
  <c r="FS263" i="23917"/>
  <c r="ER234" i="24050"/>
  <c r="FX240" i="23917"/>
  <c r="EN237" i="24050"/>
  <c r="FT243" i="23917"/>
  <c r="EL246" i="24050"/>
  <c r="EL12" i="24050"/>
  <c r="FR252" i="23917"/>
  <c r="EF327" i="23917"/>
  <c r="CZ321" i="24050"/>
  <c r="CV329" i="24050"/>
  <c r="EB335" i="23917"/>
  <c r="CW323" i="24050"/>
  <c r="CW14" i="24050"/>
  <c r="EC329" i="23917"/>
  <c r="EM316" i="24050"/>
  <c r="FS322" i="23917"/>
  <c r="EN332" i="24050"/>
  <c r="FT338" i="23917"/>
  <c r="CU329" i="24050"/>
  <c r="EA335" i="23917"/>
  <c r="EO332" i="24050"/>
  <c r="FU338" i="23917"/>
  <c r="EK321" i="24050"/>
  <c r="FQ327" i="23917"/>
  <c r="FF69" i="23917"/>
  <c r="W48" i="23917"/>
  <c r="K101" i="23917"/>
  <c r="AE53" i="23917"/>
  <c r="AQ69" i="23917"/>
  <c r="AY69" i="23917"/>
  <c r="U43" i="23917"/>
  <c r="AE49" i="23917"/>
  <c r="FY389" i="23917"/>
  <c r="FX389" i="23917"/>
  <c r="FW390" i="23917"/>
  <c r="AI69" i="23917"/>
  <c r="FL77" i="23917"/>
  <c r="AC53" i="23917"/>
  <c r="AC49" i="23917"/>
  <c r="Y47" i="23917"/>
  <c r="FQ15" i="23917"/>
  <c r="AK69" i="23917"/>
  <c r="AS69" i="23917"/>
  <c r="EE13" i="23917"/>
  <c r="W49" i="23917"/>
  <c r="K33" i="23917"/>
  <c r="EF10" i="23917"/>
  <c r="U48" i="23917"/>
  <c r="GA394" i="23917"/>
  <c r="EU388" i="24050" s="1"/>
  <c r="FZ394" i="23917"/>
  <c r="AA43" i="23917"/>
  <c r="FC28" i="23917"/>
  <c r="FC29" i="23917" s="1"/>
  <c r="FB77" i="23917"/>
  <c r="AC48" i="23917"/>
  <c r="Y89" i="23917"/>
  <c r="FQ12" i="23917"/>
  <c r="EF13" i="23917"/>
  <c r="FJ28" i="23917"/>
  <c r="K47" i="23917"/>
  <c r="U53" i="23917"/>
  <c r="AA53" i="23917"/>
  <c r="AE28" i="23917"/>
  <c r="S47" i="23917"/>
  <c r="AM69" i="23917"/>
  <c r="AU69" i="23917"/>
  <c r="ES69" i="23917"/>
  <c r="AP77" i="23917"/>
  <c r="U49" i="23917"/>
  <c r="AA48" i="23917"/>
  <c r="AE43" i="23917"/>
  <c r="FV390" i="23917"/>
  <c r="FD77" i="23917"/>
  <c r="AC28" i="23917"/>
  <c r="EE9" i="23917"/>
  <c r="X48" i="23917"/>
  <c r="X49" i="23917"/>
  <c r="Y40" i="23917"/>
  <c r="Y101" i="23917"/>
  <c r="Y77" i="23917"/>
  <c r="S101" i="23917"/>
  <c r="W53" i="23917"/>
  <c r="EC12" i="23917"/>
  <c r="ER77" i="23917"/>
  <c r="EU69" i="23917"/>
  <c r="FB28" i="23917"/>
  <c r="W43" i="23917"/>
  <c r="J49" i="23917"/>
  <c r="J48" i="23917"/>
  <c r="K40" i="23917"/>
  <c r="K89" i="23917"/>
  <c r="K77" i="23917"/>
  <c r="FE76" i="23917"/>
  <c r="AA28" i="23917"/>
  <c r="EQ28" i="23917"/>
  <c r="FV393" i="23917"/>
  <c r="FH28" i="23917"/>
  <c r="EC9" i="23917"/>
  <c r="AA49" i="23917"/>
  <c r="AE48" i="23917"/>
  <c r="EA14" i="23917"/>
  <c r="EB14" i="23917"/>
  <c r="EG15" i="23917"/>
  <c r="EE12" i="23917"/>
  <c r="AC43" i="23917"/>
  <c r="Y33" i="23917"/>
  <c r="X53" i="23917"/>
  <c r="FN77" i="23917"/>
  <c r="GQ49" i="23916" l="1"/>
  <c r="GP55" i="23916"/>
  <c r="GQ145" i="23916"/>
  <c r="GL413" i="23916"/>
  <c r="GM411" i="23916"/>
  <c r="GP587" i="23916"/>
  <c r="GP387" i="23916"/>
  <c r="GQ384" i="23916"/>
  <c r="GP151" i="23916"/>
  <c r="GQ48" i="23916"/>
  <c r="GP390" i="23916"/>
  <c r="GP154" i="23916"/>
  <c r="GQ154" i="23916" s="1"/>
  <c r="GQ148" i="23916"/>
  <c r="GN413" i="23916"/>
  <c r="GO411" i="23916"/>
  <c r="GN576" i="23916"/>
  <c r="GT30" i="23916"/>
  <c r="GR39" i="23916"/>
  <c r="GS30" i="23916"/>
  <c r="V7" i="24068"/>
  <c r="V59" i="24068" s="1"/>
  <c r="FG31" i="23917"/>
  <c r="R43" i="24068"/>
  <c r="V39" i="24050"/>
  <c r="BB47" i="23917"/>
  <c r="EW213" i="23917"/>
  <c r="EW72" i="23917"/>
  <c r="DQ207" i="24050"/>
  <c r="EW73" i="23917"/>
  <c r="DQ249" i="24050"/>
  <c r="EW255" i="23917"/>
  <c r="EW23" i="23917"/>
  <c r="DQ20" i="24050"/>
  <c r="BG75" i="23917"/>
  <c r="AA326" i="24050"/>
  <c r="BG332" i="23917"/>
  <c r="AX89" i="23917"/>
  <c r="R83" i="24050"/>
  <c r="R25" i="24050"/>
  <c r="AX33" i="23917"/>
  <c r="BG24" i="23917"/>
  <c r="AA21" i="24050"/>
  <c r="AO255" i="23917"/>
  <c r="AO73" i="23917"/>
  <c r="I249" i="24050"/>
  <c r="AO70" i="23917"/>
  <c r="I124" i="24050"/>
  <c r="AO130" i="23917"/>
  <c r="BC130" i="23917"/>
  <c r="BC70" i="23917"/>
  <c r="W124" i="24050"/>
  <c r="AN47" i="23917"/>
  <c r="H39" i="24050"/>
  <c r="AA124" i="24050"/>
  <c r="BG130" i="23917"/>
  <c r="BG70" i="23917"/>
  <c r="BC366" i="23917"/>
  <c r="BC76" i="23917"/>
  <c r="W360" i="24050"/>
  <c r="BK73" i="23917"/>
  <c r="AE249" i="24050"/>
  <c r="BK255" i="23917"/>
  <c r="Q326" i="24050"/>
  <c r="AW332" i="23917"/>
  <c r="AW75" i="23917"/>
  <c r="Q290" i="24050"/>
  <c r="AW296" i="23917"/>
  <c r="AW74" i="23917"/>
  <c r="BG74" i="23917"/>
  <c r="AA290" i="24050"/>
  <c r="BG296" i="23917"/>
  <c r="V25" i="24050"/>
  <c r="BB33" i="23917"/>
  <c r="V32" i="24050"/>
  <c r="BB40" i="23917"/>
  <c r="AE167" i="24050"/>
  <c r="BK173" i="23917"/>
  <c r="BK71" i="23917"/>
  <c r="AE207" i="24050"/>
  <c r="BK213" i="23917"/>
  <c r="BK72" i="23917"/>
  <c r="AO23" i="23917"/>
  <c r="I20" i="24050"/>
  <c r="EW71" i="23917"/>
  <c r="DQ167" i="24050"/>
  <c r="EW173" i="23917"/>
  <c r="DQ326" i="24050"/>
  <c r="EW332" i="23917"/>
  <c r="EW75" i="23917"/>
  <c r="EW69" i="23917"/>
  <c r="EZ69" i="23917"/>
  <c r="R32" i="24050"/>
  <c r="AX40" i="23917"/>
  <c r="BK332" i="23917"/>
  <c r="BK75" i="23917"/>
  <c r="AE326" i="24050"/>
  <c r="AO71" i="23917"/>
  <c r="I167" i="24050"/>
  <c r="AO173" i="23917"/>
  <c r="AA249" i="24050"/>
  <c r="BG255" i="23917"/>
  <c r="BG73" i="23917"/>
  <c r="BK130" i="23917"/>
  <c r="BK70" i="23917"/>
  <c r="AE124" i="24050"/>
  <c r="Q21" i="24050"/>
  <c r="AW24" i="23917"/>
  <c r="AN89" i="23917"/>
  <c r="H83" i="24050"/>
  <c r="Q360" i="24050"/>
  <c r="AW366" i="23917"/>
  <c r="AW76" i="23917"/>
  <c r="I290" i="24050"/>
  <c r="AO296" i="23917"/>
  <c r="AO74" i="23917"/>
  <c r="AE21" i="24050"/>
  <c r="BK24" i="23917"/>
  <c r="V83" i="24050"/>
  <c r="BB89" i="23917"/>
  <c r="BB101" i="23917"/>
  <c r="V95" i="24050"/>
  <c r="BC72" i="23917"/>
  <c r="W207" i="24050"/>
  <c r="BC213" i="23917"/>
  <c r="AW72" i="23917"/>
  <c r="Q207" i="24050"/>
  <c r="AW213" i="23917"/>
  <c r="Q20" i="24050"/>
  <c r="AW23" i="23917"/>
  <c r="DQ124" i="24050"/>
  <c r="EW130" i="23917"/>
  <c r="EW70" i="23917"/>
  <c r="DQ290" i="24050"/>
  <c r="EW296" i="23917"/>
  <c r="EW74" i="23917"/>
  <c r="AX101" i="23917"/>
  <c r="R95" i="24050"/>
  <c r="AW255" i="23917"/>
  <c r="AW73" i="23917"/>
  <c r="Q249" i="24050"/>
  <c r="AN77" i="23917"/>
  <c r="H326" i="24050"/>
  <c r="AW77" i="23917"/>
  <c r="Q167" i="24050"/>
  <c r="AW173" i="23917"/>
  <c r="AW71" i="23917"/>
  <c r="AE20" i="24050"/>
  <c r="BK23" i="23917"/>
  <c r="BB77" i="23917"/>
  <c r="BK77" i="23917"/>
  <c r="BC77" i="23917"/>
  <c r="AN33" i="23917"/>
  <c r="H25" i="24050"/>
  <c r="H32" i="24050"/>
  <c r="AN40" i="23917"/>
  <c r="I360" i="24050"/>
  <c r="AO366" i="23917"/>
  <c r="AO76" i="23917"/>
  <c r="AX77" i="23917"/>
  <c r="BG77" i="23917"/>
  <c r="W249" i="24050"/>
  <c r="BC255" i="23917"/>
  <c r="BC73" i="23917"/>
  <c r="AO332" i="23917"/>
  <c r="AO75" i="23917"/>
  <c r="BG23" i="23917"/>
  <c r="AA20" i="24050"/>
  <c r="BC24" i="23917"/>
  <c r="W21" i="24050"/>
  <c r="W167" i="24050"/>
  <c r="BC173" i="23917"/>
  <c r="BC71" i="23917"/>
  <c r="I207" i="24050"/>
  <c r="AO213" i="23917"/>
  <c r="AO72" i="23917"/>
  <c r="EZ20" i="23917"/>
  <c r="DT17" i="24050"/>
  <c r="DQ21" i="24050"/>
  <c r="EW24" i="23917"/>
  <c r="DQ360" i="24050"/>
  <c r="EW366" i="23917"/>
  <c r="EW76" i="23917"/>
  <c r="EZ76" i="23917"/>
  <c r="DQ71" i="24050"/>
  <c r="DQ65" i="24050"/>
  <c r="DQ66" i="24050"/>
  <c r="DQ64" i="24050"/>
  <c r="DQ68" i="24050"/>
  <c r="DQ70" i="24050"/>
  <c r="DQ63" i="24050"/>
  <c r="DQ69" i="24050"/>
  <c r="DQ67" i="24050"/>
  <c r="AA207" i="24050"/>
  <c r="BG213" i="23917"/>
  <c r="BG72" i="23917"/>
  <c r="R39" i="24050"/>
  <c r="AX47" i="23917"/>
  <c r="BC75" i="23917"/>
  <c r="W326" i="24050"/>
  <c r="BC332" i="23917"/>
  <c r="Q124" i="24050"/>
  <c r="AW130" i="23917"/>
  <c r="AW70" i="23917"/>
  <c r="BC296" i="23917"/>
  <c r="BC74" i="23917"/>
  <c r="W290" i="24050"/>
  <c r="AE290" i="24050"/>
  <c r="BK296" i="23917"/>
  <c r="BK74" i="23917"/>
  <c r="BC23" i="23917"/>
  <c r="W20" i="24050"/>
  <c r="AO24" i="23917"/>
  <c r="I21" i="24050"/>
  <c r="AN101" i="23917"/>
  <c r="H95" i="24050"/>
  <c r="BG173" i="23917"/>
  <c r="BG71" i="23917"/>
  <c r="AA167" i="24050"/>
  <c r="FW393" i="23917"/>
  <c r="S48" i="23917"/>
  <c r="FT408" i="23917"/>
  <c r="CZ399" i="24050" s="1"/>
  <c r="CZ400" i="24050" s="1"/>
  <c r="DV95" i="24050"/>
  <c r="FB101" i="23917"/>
  <c r="DL25" i="24050"/>
  <c r="ER33" i="23917"/>
  <c r="BG41" i="24050"/>
  <c r="CM49" i="23917"/>
  <c r="EE45" i="24050"/>
  <c r="FK53" i="23917"/>
  <c r="S360" i="24050"/>
  <c r="AY366" i="23917"/>
  <c r="AY76" i="23917"/>
  <c r="DO290" i="24050"/>
  <c r="EU296" i="23917"/>
  <c r="EU74" i="23917"/>
  <c r="CN41" i="24050"/>
  <c r="DT49" i="23917"/>
  <c r="CL94" i="24050"/>
  <c r="DR100" i="23917"/>
  <c r="BM41" i="24050"/>
  <c r="CS49" i="23917"/>
  <c r="U35" i="24050"/>
  <c r="BA43" i="23917"/>
  <c r="EH39" i="24050"/>
  <c r="FN47" i="23917"/>
  <c r="CM45" i="24050"/>
  <c r="DS53" i="23917"/>
  <c r="EE40" i="24050"/>
  <c r="FK48" i="23917"/>
  <c r="K167" i="24050"/>
  <c r="AQ173" i="23917"/>
  <c r="AQ71" i="23917"/>
  <c r="O20" i="24050"/>
  <c r="AU23" i="23917"/>
  <c r="M249" i="24050"/>
  <c r="AS255" i="23917"/>
  <c r="AS73" i="23917"/>
  <c r="EK210" i="24050"/>
  <c r="FQ216" i="23917"/>
  <c r="ET313" i="24050"/>
  <c r="FZ319" i="23917"/>
  <c r="BM45" i="24050"/>
  <c r="CS53" i="23917"/>
  <c r="BG45" i="24050"/>
  <c r="CM53" i="23917"/>
  <c r="AM332" i="23917"/>
  <c r="AM75" i="23917"/>
  <c r="S53" i="23917"/>
  <c r="J53" i="23917"/>
  <c r="EN214" i="24050"/>
  <c r="FT220" i="23917"/>
  <c r="E360" i="24050"/>
  <c r="AK366" i="23917"/>
  <c r="AK76" i="23917"/>
  <c r="EN58" i="24050"/>
  <c r="FT65" i="23917"/>
  <c r="O249" i="24050"/>
  <c r="AU255" i="23917"/>
  <c r="AU73" i="23917"/>
  <c r="EB41" i="24050"/>
  <c r="FH49" i="23917"/>
  <c r="BM40" i="24050"/>
  <c r="CS48" i="23917"/>
  <c r="D39" i="24050"/>
  <c r="AJ47" i="23917"/>
  <c r="CE45" i="24050"/>
  <c r="DK53" i="23917"/>
  <c r="CX399" i="24050"/>
  <c r="CX400" i="24050" s="1"/>
  <c r="EL399" i="24050"/>
  <c r="Y45" i="24050"/>
  <c r="BE53" i="23917"/>
  <c r="EP155" i="24050"/>
  <c r="FV161" i="23917"/>
  <c r="Y28" i="24050"/>
  <c r="BE36" i="23917"/>
  <c r="DU40" i="24050"/>
  <c r="FA48" i="23917"/>
  <c r="DA164" i="24050"/>
  <c r="DA9" i="24050"/>
  <c r="EG170" i="23917"/>
  <c r="K360" i="24050"/>
  <c r="AQ366" i="23917"/>
  <c r="AQ76" i="23917"/>
  <c r="DY124" i="24050"/>
  <c r="FE130" i="23917"/>
  <c r="FE70" i="23917"/>
  <c r="DY207" i="24050"/>
  <c r="FE213" i="23917"/>
  <c r="FE72" i="23917"/>
  <c r="DR17" i="24050"/>
  <c r="EX20" i="23917"/>
  <c r="DO207" i="24050"/>
  <c r="EU213" i="23917"/>
  <c r="EU72" i="23917"/>
  <c r="DO20" i="24050"/>
  <c r="EU23" i="23917"/>
  <c r="CL77" i="24050"/>
  <c r="DR83" i="23917"/>
  <c r="CL93" i="24050"/>
  <c r="DR99" i="23917"/>
  <c r="EK164" i="24050"/>
  <c r="EK165" i="24050" s="1"/>
  <c r="EK9" i="24050"/>
  <c r="FQ170" i="23917"/>
  <c r="FQ171" i="23917" s="1"/>
  <c r="AM41" i="24050"/>
  <c r="BS49" i="23917"/>
  <c r="E207" i="24050"/>
  <c r="AK213" i="23917"/>
  <c r="AK72" i="23917"/>
  <c r="AU40" i="24050"/>
  <c r="CA48" i="23917"/>
  <c r="DS45" i="24050"/>
  <c r="EY53" i="23917"/>
  <c r="AI332" i="23917"/>
  <c r="AI75" i="23917"/>
  <c r="CX329" i="24050"/>
  <c r="ED335" i="23917"/>
  <c r="EE41" i="24050"/>
  <c r="FK49" i="23917"/>
  <c r="EQ281" i="24050"/>
  <c r="FW287" i="23917"/>
  <c r="S124" i="24050"/>
  <c r="AY130" i="23917"/>
  <c r="AY70" i="23917"/>
  <c r="CC40" i="24050"/>
  <c r="DI48" i="23917"/>
  <c r="DM207" i="24050"/>
  <c r="ES213" i="23917"/>
  <c r="ES72" i="23917"/>
  <c r="DM249" i="24050"/>
  <c r="ES255" i="23917"/>
  <c r="ES73" i="23917"/>
  <c r="DM21" i="24050"/>
  <c r="ES24" i="23917"/>
  <c r="BO41" i="24050"/>
  <c r="CU49" i="23917"/>
  <c r="EL59" i="24050"/>
  <c r="EL24" i="24050"/>
  <c r="FR66" i="23917"/>
  <c r="FR27" i="23917"/>
  <c r="DF40" i="24050"/>
  <c r="EL48" i="23917"/>
  <c r="EM201" i="24050"/>
  <c r="FS207" i="23917"/>
  <c r="E249" i="24050"/>
  <c r="AK255" i="23917"/>
  <c r="AK73" i="23917"/>
  <c r="EO198" i="24050"/>
  <c r="FU204" i="23917"/>
  <c r="EL204" i="24050"/>
  <c r="EL10" i="24050"/>
  <c r="FR210" i="23917"/>
  <c r="ED40" i="24050"/>
  <c r="FJ48" i="23917"/>
  <c r="EO298" i="24050"/>
  <c r="FU304" i="23917"/>
  <c r="DJ45" i="24050"/>
  <c r="EP53" i="23917"/>
  <c r="AU35" i="24050"/>
  <c r="CA43" i="23917"/>
  <c r="AG40" i="24050"/>
  <c r="BM48" i="23917"/>
  <c r="B32" i="24050"/>
  <c r="AH40" i="23917"/>
  <c r="B95" i="24050"/>
  <c r="AH101" i="23917"/>
  <c r="EH95" i="24050"/>
  <c r="FN101" i="23917"/>
  <c r="DZ25" i="24050"/>
  <c r="FF33" i="23917"/>
  <c r="DX25" i="24050"/>
  <c r="FD33" i="23917"/>
  <c r="AU28" i="24050"/>
  <c r="CA36" i="23917"/>
  <c r="EQ75" i="24050"/>
  <c r="FW81" i="23917"/>
  <c r="ES87" i="24050"/>
  <c r="FY93" i="23917"/>
  <c r="CC41" i="24050"/>
  <c r="DI49" i="23917"/>
  <c r="EU173" i="24050"/>
  <c r="GA179" i="23917"/>
  <c r="O207" i="24050"/>
  <c r="AU213" i="23917"/>
  <c r="AU72" i="23917"/>
  <c r="ER192" i="24050"/>
  <c r="FX198" i="23917"/>
  <c r="CE41" i="24050"/>
  <c r="DK49" i="23917"/>
  <c r="BC41" i="24050"/>
  <c r="CI49" i="23917"/>
  <c r="EO214" i="24050"/>
  <c r="FU220" i="23917"/>
  <c r="AM35" i="24050"/>
  <c r="BS43" i="23917"/>
  <c r="BO45" i="24050"/>
  <c r="CU53" i="23917"/>
  <c r="BW41" i="24050"/>
  <c r="DC49" i="23917"/>
  <c r="EM317" i="24050"/>
  <c r="FS323" i="23917"/>
  <c r="DV39" i="24050"/>
  <c r="FB47" i="23917"/>
  <c r="ED41" i="24050"/>
  <c r="FJ49" i="23917"/>
  <c r="BC45" i="24050"/>
  <c r="CI53" i="23917"/>
  <c r="EM282" i="24050"/>
  <c r="FS288" i="23917"/>
  <c r="C167" i="24050"/>
  <c r="AI173" i="23917"/>
  <c r="AI71" i="23917"/>
  <c r="T42" i="24068"/>
  <c r="FM28" i="23917"/>
  <c r="FM29" i="23917" s="1"/>
  <c r="EM334" i="24050"/>
  <c r="FS340" i="23917"/>
  <c r="DZ83" i="24050"/>
  <c r="FF89" i="23917"/>
  <c r="DW35" i="24050"/>
  <c r="DW36" i="24050" s="1"/>
  <c r="FC43" i="23917"/>
  <c r="BK40" i="24050"/>
  <c r="CQ48" i="23917"/>
  <c r="ED45" i="24050"/>
  <c r="FJ53" i="23917"/>
  <c r="F32" i="24050"/>
  <c r="AL40" i="23917"/>
  <c r="F95" i="24050"/>
  <c r="AL101" i="23917"/>
  <c r="G249" i="24050"/>
  <c r="AM255" i="23917"/>
  <c r="AM73" i="23917"/>
  <c r="EU111" i="24050"/>
  <c r="GA117" i="23917"/>
  <c r="ES31" i="24050"/>
  <c r="FY39" i="23917"/>
  <c r="M21" i="24050"/>
  <c r="AS24" i="23917"/>
  <c r="D83" i="24050"/>
  <c r="AJ89" i="23917"/>
  <c r="M124" i="24050"/>
  <c r="AS130" i="23917"/>
  <c r="AS70" i="23917"/>
  <c r="EN198" i="24050"/>
  <c r="FT204" i="23917"/>
  <c r="CM41" i="24050"/>
  <c r="DS49" i="23917"/>
  <c r="BU28" i="24050"/>
  <c r="DA36" i="23917"/>
  <c r="CL41" i="24050"/>
  <c r="DR49" i="23917"/>
  <c r="DU26" i="24050"/>
  <c r="Y41" i="24050"/>
  <c r="BE49" i="23917"/>
  <c r="AO45" i="24050"/>
  <c r="BU53" i="23917"/>
  <c r="FM34" i="23917"/>
  <c r="EU193" i="24050"/>
  <c r="GA199" i="23917"/>
  <c r="Y35" i="24050"/>
  <c r="BE43" i="23917"/>
  <c r="DS35" i="24050"/>
  <c r="EY43" i="23917"/>
  <c r="EG41" i="24050"/>
  <c r="FM49" i="23917"/>
  <c r="J25" i="24050"/>
  <c r="AP33" i="23917"/>
  <c r="S290" i="24050"/>
  <c r="AY296" i="23917"/>
  <c r="AY74" i="23917"/>
  <c r="O124" i="24050"/>
  <c r="AU130" i="23917"/>
  <c r="AU70" i="23917"/>
  <c r="DY167" i="24050"/>
  <c r="FE173" i="23917"/>
  <c r="FE71" i="23917"/>
  <c r="BK41" i="24050"/>
  <c r="CQ49" i="23917"/>
  <c r="BC35" i="24050"/>
  <c r="CI43" i="23917"/>
  <c r="CL91" i="24050"/>
  <c r="DR97" i="23917"/>
  <c r="AI28" i="24050"/>
  <c r="BO36" i="23917"/>
  <c r="M207" i="24050"/>
  <c r="AS213" i="23917"/>
  <c r="AS72" i="23917"/>
  <c r="ET117" i="24050"/>
  <c r="FZ123" i="23917"/>
  <c r="C290" i="24050"/>
  <c r="AI296" i="23917"/>
  <c r="AI74" i="23917"/>
  <c r="BG28" i="24050"/>
  <c r="CM36" i="23917"/>
  <c r="ES296" i="24050"/>
  <c r="FY302" i="23917"/>
  <c r="DN17" i="24050"/>
  <c r="ET20" i="23917"/>
  <c r="DJ40" i="24050"/>
  <c r="EP48" i="23917"/>
  <c r="AM40" i="24050"/>
  <c r="BS48" i="23917"/>
  <c r="EP213" i="24050"/>
  <c r="FV219" i="23917"/>
  <c r="U28" i="24050"/>
  <c r="BA36" i="23917"/>
  <c r="C21" i="24050"/>
  <c r="AI24" i="23917"/>
  <c r="EH25" i="24050"/>
  <c r="FN33" i="23917"/>
  <c r="EF39" i="24050"/>
  <c r="FL47" i="23917"/>
  <c r="ET173" i="24050"/>
  <c r="FZ179" i="23917"/>
  <c r="EQ195" i="24050"/>
  <c r="FW201" i="23917"/>
  <c r="AG28" i="24050"/>
  <c r="BM36" i="23917"/>
  <c r="E167" i="24050"/>
  <c r="AK173" i="23917"/>
  <c r="AK71" i="23917"/>
  <c r="U41" i="24050"/>
  <c r="BA49" i="23917"/>
  <c r="ES174" i="24050"/>
  <c r="FY180" i="23917"/>
  <c r="AG41" i="24050"/>
  <c r="BM49" i="23917"/>
  <c r="DZ32" i="24050"/>
  <c r="FF40" i="23917"/>
  <c r="O21" i="24050"/>
  <c r="AU24" i="23917"/>
  <c r="F83" i="24050"/>
  <c r="AL89" i="23917"/>
  <c r="EP195" i="24050"/>
  <c r="FV201" i="23917"/>
  <c r="AK332" i="23917"/>
  <c r="AK75" i="23917"/>
  <c r="AQ40" i="24050"/>
  <c r="BW48" i="23917"/>
  <c r="EQ155" i="24050"/>
  <c r="FW161" i="23917"/>
  <c r="BU41" i="24050"/>
  <c r="DA49" i="23917"/>
  <c r="BU45" i="24050"/>
  <c r="DA53" i="23917"/>
  <c r="DU45" i="24050"/>
  <c r="FA53" i="23917"/>
  <c r="DS40" i="24050"/>
  <c r="EY48" i="23917"/>
  <c r="EG40" i="24050"/>
  <c r="FM48" i="23917"/>
  <c r="AK40" i="24050"/>
  <c r="BQ48" i="23917"/>
  <c r="K21" i="24050"/>
  <c r="AQ24" i="23917"/>
  <c r="K290" i="24050"/>
  <c r="AQ296" i="23917"/>
  <c r="AQ74" i="23917"/>
  <c r="U40" i="24050"/>
  <c r="BA48" i="23917"/>
  <c r="DV32" i="24050"/>
  <c r="FB40" i="23917"/>
  <c r="CZ170" i="24050"/>
  <c r="EF176" i="23917"/>
  <c r="AU41" i="24050"/>
  <c r="CA49" i="23917"/>
  <c r="ES116" i="24050"/>
  <c r="FY122" i="23917"/>
  <c r="U45" i="24050"/>
  <c r="BA53" i="23917"/>
  <c r="DS41" i="24050"/>
  <c r="EY49" i="23917"/>
  <c r="CK35" i="24050"/>
  <c r="DQ43" i="23917"/>
  <c r="BU40" i="24050"/>
  <c r="DA48" i="23917"/>
  <c r="AC35" i="24050"/>
  <c r="BI43" i="23917"/>
  <c r="S21" i="24050"/>
  <c r="AY24" i="23917"/>
  <c r="J39" i="24050"/>
  <c r="AP47" i="23917"/>
  <c r="S249" i="24050"/>
  <c r="AY255" i="23917"/>
  <c r="AY73" i="23917"/>
  <c r="F326" i="24050"/>
  <c r="AL77" i="23917"/>
  <c r="AG45" i="24050"/>
  <c r="BM53" i="23917"/>
  <c r="EB17" i="24050"/>
  <c r="FH20" i="23917"/>
  <c r="DY326" i="24050"/>
  <c r="FE332" i="23917"/>
  <c r="FE75" i="23917"/>
  <c r="DY19" i="24050"/>
  <c r="DY22" i="24050" s="1"/>
  <c r="FE22" i="23917"/>
  <c r="FE25" i="23917" s="1"/>
  <c r="EL287" i="24050"/>
  <c r="EL13" i="24050"/>
  <c r="FR293" i="23917"/>
  <c r="DO326" i="24050"/>
  <c r="EU332" i="23917"/>
  <c r="EU75" i="23917"/>
  <c r="DO249" i="24050"/>
  <c r="EU255" i="23917"/>
  <c r="EU73" i="23917"/>
  <c r="DP17" i="24050"/>
  <c r="EV20" i="23917"/>
  <c r="ER31" i="24050"/>
  <c r="FX39" i="23917"/>
  <c r="DD45" i="24050"/>
  <c r="EJ53" i="23917"/>
  <c r="CL90" i="24050"/>
  <c r="DR96" i="23917"/>
  <c r="CM35" i="24050"/>
  <c r="DS43" i="23917"/>
  <c r="EL162" i="24050"/>
  <c r="FR168" i="23917"/>
  <c r="AQ35" i="24050"/>
  <c r="BW43" i="23917"/>
  <c r="DV83" i="24050"/>
  <c r="FB89" i="23917"/>
  <c r="BC28" i="24050"/>
  <c r="CI36" i="23917"/>
  <c r="CC28" i="24050"/>
  <c r="DI36" i="23917"/>
  <c r="AK28" i="24050"/>
  <c r="BQ36" i="23917"/>
  <c r="AO28" i="24050"/>
  <c r="BU36" i="23917"/>
  <c r="C360" i="24050"/>
  <c r="AI366" i="23917"/>
  <c r="AI76" i="23917"/>
  <c r="CY323" i="24050"/>
  <c r="CY14" i="24050"/>
  <c r="EE329" i="23917"/>
  <c r="ES88" i="24050"/>
  <c r="ES76" i="24050"/>
  <c r="FY94" i="23917"/>
  <c r="FY82" i="23917"/>
  <c r="EF32" i="24050"/>
  <c r="FL40" i="23917"/>
  <c r="K20" i="24050"/>
  <c r="AQ23" i="23917"/>
  <c r="K124" i="24050"/>
  <c r="AQ130" i="23917"/>
  <c r="AQ70" i="23917"/>
  <c r="CC35" i="24050"/>
  <c r="DI43" i="23917"/>
  <c r="DD35" i="24050"/>
  <c r="EJ43" i="23917"/>
  <c r="DM167" i="24050"/>
  <c r="ES173" i="23917"/>
  <c r="ES71" i="23917"/>
  <c r="DM124" i="24050"/>
  <c r="ES130" i="23917"/>
  <c r="ES70" i="23917"/>
  <c r="ER158" i="24050"/>
  <c r="FX164" i="23917"/>
  <c r="G20" i="24050"/>
  <c r="AM23" i="23917"/>
  <c r="CE40" i="24050"/>
  <c r="DK48" i="23917"/>
  <c r="EO215" i="24050"/>
  <c r="FU221" i="23917"/>
  <c r="M290" i="24050"/>
  <c r="AS296" i="23917"/>
  <c r="AS74" i="23917"/>
  <c r="EQ213" i="24050"/>
  <c r="FW219" i="23917"/>
  <c r="EN298" i="24050"/>
  <c r="FT304" i="23917"/>
  <c r="DH45" i="24050"/>
  <c r="EN53" i="23917"/>
  <c r="AC45" i="24050"/>
  <c r="BI53" i="23917"/>
  <c r="BG35" i="24050"/>
  <c r="CM43" i="23917"/>
  <c r="B25" i="24050"/>
  <c r="AH33" i="23917"/>
  <c r="C249" i="24050"/>
  <c r="AI255" i="23917"/>
  <c r="AI73" i="23917"/>
  <c r="EG45" i="24050"/>
  <c r="FM53" i="23917"/>
  <c r="CK40" i="24050"/>
  <c r="DQ48" i="23917"/>
  <c r="DW45" i="24050"/>
  <c r="FC53" i="23917"/>
  <c r="S42" i="24068"/>
  <c r="S43" i="24068" s="1"/>
  <c r="FK28" i="23917"/>
  <c r="FK29" i="23917" s="1"/>
  <c r="EP281" i="24050"/>
  <c r="FV287" i="23917"/>
  <c r="CK45" i="24050"/>
  <c r="DQ53" i="23917"/>
  <c r="G207" i="24050"/>
  <c r="AM213" i="23917"/>
  <c r="AM72" i="23917"/>
  <c r="ES192" i="24050"/>
  <c r="FY198" i="23917"/>
  <c r="DF41" i="24050"/>
  <c r="EL49" i="23917"/>
  <c r="AY45" i="24050"/>
  <c r="CE53" i="23917"/>
  <c r="AQ41" i="24050"/>
  <c r="BW49" i="23917"/>
  <c r="EO333" i="24050"/>
  <c r="FU339" i="23917"/>
  <c r="EQ159" i="24050"/>
  <c r="FW165" i="23917"/>
  <c r="DL39" i="24050"/>
  <c r="ER47" i="23917"/>
  <c r="AI35" i="24050"/>
  <c r="BO43" i="23917"/>
  <c r="EN297" i="24050"/>
  <c r="FT303" i="23917"/>
  <c r="CK41" i="24050"/>
  <c r="DQ49" i="23917"/>
  <c r="DX83" i="24050"/>
  <c r="FD89" i="23917"/>
  <c r="DX32" i="24050"/>
  <c r="FD40" i="23917"/>
  <c r="AC41" i="24050"/>
  <c r="BI49" i="23917"/>
  <c r="S326" i="24050"/>
  <c r="AY332" i="23917"/>
  <c r="AY75" i="23917"/>
  <c r="CP109" i="24050"/>
  <c r="DV115" i="23917"/>
  <c r="F25" i="24050"/>
  <c r="AL33" i="23917"/>
  <c r="O290" i="24050"/>
  <c r="AU296" i="23917"/>
  <c r="AU74" i="23917"/>
  <c r="O360" i="24050"/>
  <c r="AU366" i="23917"/>
  <c r="AU76" i="23917"/>
  <c r="AY41" i="24050"/>
  <c r="CE49" i="23917"/>
  <c r="D32" i="24050"/>
  <c r="AJ40" i="23917"/>
  <c r="D95" i="24050"/>
  <c r="AJ101" i="23917"/>
  <c r="E124" i="24050"/>
  <c r="AK130" i="23917"/>
  <c r="AK70" i="23917"/>
  <c r="EB45" i="24050"/>
  <c r="FH53" i="23917"/>
  <c r="ER153" i="24050"/>
  <c r="FX159" i="23917"/>
  <c r="DO71" i="24050"/>
  <c r="DO68" i="24050"/>
  <c r="DO64" i="24050"/>
  <c r="DO65" i="24050"/>
  <c r="DO67" i="24050"/>
  <c r="DO66" i="24050"/>
  <c r="DO63" i="24050"/>
  <c r="DO69" i="24050"/>
  <c r="DO70" i="24050"/>
  <c r="BK35" i="24050"/>
  <c r="CQ43" i="23917"/>
  <c r="FS408" i="23917"/>
  <c r="EM15" i="24050"/>
  <c r="DW33" i="24050"/>
  <c r="EP159" i="24050"/>
  <c r="FV165" i="23917"/>
  <c r="DA387" i="24050"/>
  <c r="DA210" i="24050"/>
  <c r="EG216" i="23917"/>
  <c r="DM71" i="24050"/>
  <c r="DM67" i="24050"/>
  <c r="DM69" i="24050"/>
  <c r="DM63" i="24050"/>
  <c r="DM64" i="24050"/>
  <c r="DM65" i="24050"/>
  <c r="DM68" i="24050"/>
  <c r="DM66" i="24050"/>
  <c r="DM70" i="24050"/>
  <c r="FM41" i="23917"/>
  <c r="EE33" i="24050"/>
  <c r="ET193" i="24050"/>
  <c r="FZ199" i="23917"/>
  <c r="AK35" i="24050"/>
  <c r="BQ43" i="23917"/>
  <c r="DU41" i="24050"/>
  <c r="FA49" i="23917"/>
  <c r="DL32" i="24050"/>
  <c r="ER40" i="23917"/>
  <c r="EP75" i="24050"/>
  <c r="FV81" i="23917"/>
  <c r="DD40" i="24050"/>
  <c r="EJ48" i="23917"/>
  <c r="G167" i="24050"/>
  <c r="AM173" i="23917"/>
  <c r="AM71" i="23917"/>
  <c r="EB40" i="24050"/>
  <c r="FH48" i="23917"/>
  <c r="DO360" i="24050"/>
  <c r="EU366" i="23917"/>
  <c r="EU76" i="23917"/>
  <c r="M20" i="24050"/>
  <c r="AS23" i="23917"/>
  <c r="AI40" i="24050"/>
  <c r="BO48" i="23917"/>
  <c r="EF83" i="24050"/>
  <c r="FL89" i="23917"/>
  <c r="S20" i="24050"/>
  <c r="AY23" i="23917"/>
  <c r="DM290" i="24050"/>
  <c r="ES296" i="23917"/>
  <c r="ES74" i="23917"/>
  <c r="BM35" i="24050"/>
  <c r="CS43" i="23917"/>
  <c r="EM284" i="24050"/>
  <c r="FS290" i="23917"/>
  <c r="B83" i="24050"/>
  <c r="AH89" i="23917"/>
  <c r="DX95" i="24050"/>
  <c r="FD101" i="23917"/>
  <c r="K207" i="24050"/>
  <c r="AQ213" i="23917"/>
  <c r="AQ72" i="23917"/>
  <c r="EU278" i="24050"/>
  <c r="GA284" i="23917"/>
  <c r="EM175" i="24050"/>
  <c r="FS181" i="23917"/>
  <c r="CE28" i="24050"/>
  <c r="DK36" i="23917"/>
  <c r="AQ45" i="24050"/>
  <c r="BW53" i="23917"/>
  <c r="EL334" i="24050"/>
  <c r="FR340" i="23917"/>
  <c r="DW41" i="24050"/>
  <c r="FC49" i="23917"/>
  <c r="EO160" i="24050"/>
  <c r="FU166" i="23917"/>
  <c r="G21" i="24050"/>
  <c r="AM24" i="23917"/>
  <c r="ET111" i="24050"/>
  <c r="FZ117" i="23917"/>
  <c r="DF35" i="24050"/>
  <c r="EL43" i="23917"/>
  <c r="E21" i="24050"/>
  <c r="AK24" i="23917"/>
  <c r="DY71" i="24050"/>
  <c r="DY64" i="24050"/>
  <c r="DY68" i="24050"/>
  <c r="DY65" i="24050"/>
  <c r="DY67" i="24050"/>
  <c r="DY69" i="24050"/>
  <c r="DY70" i="24050"/>
  <c r="DY63" i="24050"/>
  <c r="DY66" i="24050"/>
  <c r="FC44" i="23917"/>
  <c r="FC41" i="23917"/>
  <c r="DK35" i="24050"/>
  <c r="EQ43" i="23917"/>
  <c r="AM28" i="24050"/>
  <c r="BS36" i="23917"/>
  <c r="C20" i="24050"/>
  <c r="AI23" i="23917"/>
  <c r="CM28" i="24050"/>
  <c r="DS36" i="23917"/>
  <c r="BM28" i="24050"/>
  <c r="CS36" i="23917"/>
  <c r="FV403" i="23917"/>
  <c r="FU403" i="23917"/>
  <c r="DA397" i="24050" s="1"/>
  <c r="DF45" i="24050"/>
  <c r="EL53" i="23917"/>
  <c r="J83" i="24050"/>
  <c r="AP89" i="23917"/>
  <c r="G124" i="24050"/>
  <c r="AM130" i="23917"/>
  <c r="AM70" i="23917"/>
  <c r="DZ17" i="24050"/>
  <c r="FF20" i="23917"/>
  <c r="S43" i="23917"/>
  <c r="J43" i="23917"/>
  <c r="DV25" i="24050"/>
  <c r="FB33" i="23917"/>
  <c r="ED35" i="24050"/>
  <c r="FJ43" i="23917"/>
  <c r="DK40" i="24050"/>
  <c r="EQ48" i="23917"/>
  <c r="C124" i="24050"/>
  <c r="AI130" i="23917"/>
  <c r="AI70" i="23917"/>
  <c r="EH32" i="24050"/>
  <c r="FN40" i="23917"/>
  <c r="DZ39" i="24050"/>
  <c r="FF47" i="23917"/>
  <c r="AU45" i="24050"/>
  <c r="CA53" i="23917"/>
  <c r="EF25" i="24050"/>
  <c r="FL33" i="23917"/>
  <c r="DU35" i="24050"/>
  <c r="DU36" i="24050" s="1"/>
  <c r="FA43" i="23917"/>
  <c r="DK45" i="24050"/>
  <c r="EQ53" i="23917"/>
  <c r="DK41" i="24050"/>
  <c r="EQ49" i="23917"/>
  <c r="AG35" i="24050"/>
  <c r="BM43" i="23917"/>
  <c r="BW45" i="24050"/>
  <c r="DC53" i="23917"/>
  <c r="ER116" i="24050"/>
  <c r="FX122" i="23917"/>
  <c r="B326" i="24050"/>
  <c r="AH77" i="23917"/>
  <c r="EG35" i="24050"/>
  <c r="EG36" i="24050" s="1"/>
  <c r="FM43" i="23917"/>
  <c r="FM44" i="23917" s="1"/>
  <c r="DX39" i="24050"/>
  <c r="FD47" i="23917"/>
  <c r="EF95" i="24050"/>
  <c r="FL101" i="23917"/>
  <c r="J32" i="24050"/>
  <c r="AP40" i="23917"/>
  <c r="J95" i="24050"/>
  <c r="AP101" i="23917"/>
  <c r="K249" i="24050"/>
  <c r="AQ255" i="23917"/>
  <c r="AQ73" i="23917"/>
  <c r="CK28" i="24050"/>
  <c r="DQ36" i="23917"/>
  <c r="O167" i="24050"/>
  <c r="AU173" i="23917"/>
  <c r="AU71" i="23917"/>
  <c r="AY40" i="24050"/>
  <c r="CE48" i="23917"/>
  <c r="DY290" i="24050"/>
  <c r="FE296" i="23917"/>
  <c r="FE74" i="23917"/>
  <c r="DY249" i="24050"/>
  <c r="FE255" i="23917"/>
  <c r="FE73" i="23917"/>
  <c r="BO40" i="24050"/>
  <c r="CU48" i="23917"/>
  <c r="EK293" i="24050"/>
  <c r="FQ299" i="23917"/>
  <c r="DO124" i="24050"/>
  <c r="EU130" i="23917"/>
  <c r="EU70" i="23917"/>
  <c r="DO167" i="24050"/>
  <c r="EU173" i="23917"/>
  <c r="EU71" i="23917"/>
  <c r="DO21" i="24050"/>
  <c r="EU24" i="23917"/>
  <c r="CL92" i="24050"/>
  <c r="DR98" i="23917"/>
  <c r="CM89" i="24050"/>
  <c r="DS95" i="23917"/>
  <c r="CL96" i="24050"/>
  <c r="DR102" i="23917"/>
  <c r="DH40" i="24050"/>
  <c r="EN48" i="23917"/>
  <c r="E20" i="24050"/>
  <c r="AK23" i="23917"/>
  <c r="BW35" i="24050"/>
  <c r="DC43" i="23917"/>
  <c r="DL95" i="24050"/>
  <c r="ER101" i="23917"/>
  <c r="AG43" i="23917"/>
  <c r="X43" i="23917"/>
  <c r="EU117" i="24050"/>
  <c r="GA123" i="23917"/>
  <c r="BG40" i="24050"/>
  <c r="CM48" i="23917"/>
  <c r="ER88" i="24050"/>
  <c r="ER76" i="24050"/>
  <c r="FX94" i="23917"/>
  <c r="FX82" i="23917"/>
  <c r="EE35" i="24050"/>
  <c r="EE36" i="24050" s="1"/>
  <c r="FK43" i="23917"/>
  <c r="FK44" i="23917" s="1"/>
  <c r="ER296" i="24050"/>
  <c r="FX302" i="23917"/>
  <c r="S167" i="24050"/>
  <c r="AY173" i="23917"/>
  <c r="AY71" i="23917"/>
  <c r="DM360" i="24050"/>
  <c r="ES366" i="23917"/>
  <c r="ES76" i="23917"/>
  <c r="DM326" i="24050"/>
  <c r="ES332" i="23917"/>
  <c r="ES75" i="23917"/>
  <c r="DM20" i="24050"/>
  <c r="ES23" i="23917"/>
  <c r="AY35" i="24050"/>
  <c r="CE43" i="23917"/>
  <c r="EB35" i="24050"/>
  <c r="FH43" i="23917"/>
  <c r="AI45" i="24050"/>
  <c r="BO53" i="23917"/>
  <c r="DH35" i="24050"/>
  <c r="EN43" i="23917"/>
  <c r="EN215" i="24050"/>
  <c r="FT221" i="23917"/>
  <c r="AY28" i="24050"/>
  <c r="CE36" i="23917"/>
  <c r="E290" i="24050"/>
  <c r="AK296" i="23917"/>
  <c r="AK74" i="23917"/>
  <c r="BO28" i="24050"/>
  <c r="CU36" i="23917"/>
  <c r="DL83" i="24050"/>
  <c r="ER89" i="23917"/>
  <c r="AI41" i="24050"/>
  <c r="BO49" i="23917"/>
  <c r="AM45" i="24050"/>
  <c r="BS53" i="23917"/>
  <c r="AQ28" i="24050"/>
  <c r="BW36" i="23917"/>
  <c r="EU313" i="24050"/>
  <c r="GA319" i="23917"/>
  <c r="B39" i="24050"/>
  <c r="AH47" i="23917"/>
  <c r="C207" i="24050"/>
  <c r="AI213" i="23917"/>
  <c r="AI72" i="23917"/>
  <c r="DZ95" i="24050"/>
  <c r="FF101" i="23917"/>
  <c r="ER87" i="24050"/>
  <c r="FX93" i="23917"/>
  <c r="AC40" i="24050"/>
  <c r="BI48" i="23917"/>
  <c r="S207" i="24050"/>
  <c r="AY213" i="23917"/>
  <c r="AY72" i="23917"/>
  <c r="ES158" i="24050"/>
  <c r="FY164" i="23917"/>
  <c r="O326" i="24050"/>
  <c r="AU332" i="23917"/>
  <c r="AU75" i="23917"/>
  <c r="DJ41" i="24050"/>
  <c r="EP49" i="23917"/>
  <c r="BO35" i="24050"/>
  <c r="CU43" i="23917"/>
  <c r="ET278" i="24050"/>
  <c r="FZ284" i="23917"/>
  <c r="EM199" i="24050"/>
  <c r="FS205" i="23917"/>
  <c r="EL175" i="24050"/>
  <c r="FR181" i="23917"/>
  <c r="M167" i="24050"/>
  <c r="AS173" i="23917"/>
  <c r="AS71" i="23917"/>
  <c r="M360" i="24050"/>
  <c r="AS366" i="23917"/>
  <c r="AS76" i="23917"/>
  <c r="EN333" i="24050"/>
  <c r="FT339" i="23917"/>
  <c r="ER174" i="24050"/>
  <c r="FX180" i="23917"/>
  <c r="CC45" i="24050"/>
  <c r="DI53" i="23917"/>
  <c r="BW28" i="24050"/>
  <c r="DC36" i="23917"/>
  <c r="AC28" i="24050"/>
  <c r="BI36" i="23917"/>
  <c r="EO297" i="24050"/>
  <c r="FU303" i="23917"/>
  <c r="EO58" i="24050"/>
  <c r="FU65" i="23917"/>
  <c r="EH83" i="24050"/>
  <c r="FN89" i="23917"/>
  <c r="DW40" i="24050"/>
  <c r="FC48" i="23917"/>
  <c r="EN160" i="24050"/>
  <c r="FT166" i="23917"/>
  <c r="K326" i="24050"/>
  <c r="AQ332" i="23917"/>
  <c r="AQ75" i="23917"/>
  <c r="DD41" i="24050"/>
  <c r="EJ49" i="23917"/>
  <c r="F39" i="24050"/>
  <c r="AL47" i="23917"/>
  <c r="G290" i="24050"/>
  <c r="AM296" i="23917"/>
  <c r="AM74" i="23917"/>
  <c r="G360" i="24050"/>
  <c r="AM366" i="23917"/>
  <c r="AM76" i="23917"/>
  <c r="DJ35" i="24050"/>
  <c r="EP43" i="23917"/>
  <c r="CE35" i="24050"/>
  <c r="DK43" i="23917"/>
  <c r="BC40" i="24050"/>
  <c r="CI48" i="23917"/>
  <c r="DH41" i="24050"/>
  <c r="EN49" i="23917"/>
  <c r="D25" i="24050"/>
  <c r="AJ33" i="23917"/>
  <c r="M326" i="24050"/>
  <c r="AS332" i="23917"/>
  <c r="AS75" i="23917"/>
  <c r="D326" i="24050"/>
  <c r="AJ77" i="23917"/>
  <c r="BW40" i="24050"/>
  <c r="DC48" i="23917"/>
  <c r="FH69" i="23917"/>
  <c r="ES153" i="24050"/>
  <c r="FY159" i="23917"/>
  <c r="FI31" i="23917"/>
  <c r="FC31" i="23917"/>
  <c r="FC34" i="23917"/>
  <c r="DA293" i="24050"/>
  <c r="EG299" i="23917"/>
  <c r="EN257" i="24050"/>
  <c r="FT263" i="23917"/>
  <c r="CZ252" i="24050"/>
  <c r="EF258" i="23917"/>
  <c r="EM243" i="24050"/>
  <c r="FS249" i="23917"/>
  <c r="EQ237" i="24050"/>
  <c r="FW243" i="23917"/>
  <c r="ET242" i="24050"/>
  <c r="FZ248" i="23917"/>
  <c r="EO241" i="24050"/>
  <c r="FU247" i="23917"/>
  <c r="EP255" i="24050"/>
  <c r="FV261" i="23917"/>
  <c r="EP237" i="24050"/>
  <c r="FV243" i="23917"/>
  <c r="ET234" i="24050"/>
  <c r="FZ240" i="23917"/>
  <c r="DA246" i="24050"/>
  <c r="DA12" i="24050"/>
  <c r="EG252" i="23917"/>
  <c r="EO257" i="24050"/>
  <c r="FU263" i="23917"/>
  <c r="ER235" i="24050"/>
  <c r="FX241" i="23917"/>
  <c r="EU242" i="24050"/>
  <c r="GA248" i="23917"/>
  <c r="EQ256" i="24050"/>
  <c r="FW262" i="23917"/>
  <c r="EQ255" i="24050"/>
  <c r="FW261" i="23917"/>
  <c r="EU234" i="24050"/>
  <c r="GA240" i="23917"/>
  <c r="EN241" i="24050"/>
  <c r="FT247" i="23917"/>
  <c r="ES235" i="24050"/>
  <c r="FY241" i="23917"/>
  <c r="EM240" i="24050"/>
  <c r="FS246" i="23917"/>
  <c r="EP256" i="24050"/>
  <c r="FV262" i="23917"/>
  <c r="EL252" i="24050"/>
  <c r="FR258" i="23917"/>
  <c r="EF329" i="23917"/>
  <c r="EF330" i="23917" s="1"/>
  <c r="CZ323" i="24050"/>
  <c r="CZ324" i="24050" s="1"/>
  <c r="CZ14" i="24050"/>
  <c r="DA321" i="24050"/>
  <c r="EG327" i="23917"/>
  <c r="CW329" i="24050"/>
  <c r="EC335" i="23917"/>
  <c r="EK323" i="24050"/>
  <c r="EK324" i="24050" s="1"/>
  <c r="EK14" i="24050"/>
  <c r="FQ329" i="23917"/>
  <c r="FQ330" i="23917" s="1"/>
  <c r="EL321" i="24050"/>
  <c r="FR327" i="23917"/>
  <c r="EP332" i="24050"/>
  <c r="FV338" i="23917"/>
  <c r="EQ332" i="24050"/>
  <c r="FW338" i="23917"/>
  <c r="EN316" i="24050"/>
  <c r="FT322" i="23917"/>
  <c r="EO316" i="24050"/>
  <c r="FU322" i="23917"/>
  <c r="Y53" i="23917"/>
  <c r="FX393" i="23917"/>
  <c r="EF12" i="23917"/>
  <c r="FF76" i="23917"/>
  <c r="FH76" i="23917"/>
  <c r="K48" i="23917"/>
  <c r="EV69" i="23917"/>
  <c r="EX69" i="23917"/>
  <c r="Y49" i="23917"/>
  <c r="AG53" i="23917"/>
  <c r="AG49" i="23917"/>
  <c r="EG10" i="23917"/>
  <c r="FR15" i="23917"/>
  <c r="FN28" i="23917"/>
  <c r="FX390" i="23917"/>
  <c r="AL28" i="23917"/>
  <c r="AS77" i="23917"/>
  <c r="AP28" i="23917"/>
  <c r="ER28" i="23917"/>
  <c r="K49" i="23917"/>
  <c r="Y48" i="23917"/>
  <c r="ED14" i="23917"/>
  <c r="ET69" i="23917"/>
  <c r="FQ10" i="23917"/>
  <c r="AH28" i="23917"/>
  <c r="FL28" i="23917"/>
  <c r="EC14" i="23917"/>
  <c r="FQ13" i="23917"/>
  <c r="FS15" i="23917"/>
  <c r="FD28" i="23917"/>
  <c r="FF28" i="23917"/>
  <c r="K53" i="23917"/>
  <c r="AG28" i="23917"/>
  <c r="GA389" i="23917"/>
  <c r="EU383" i="24050" s="1"/>
  <c r="FZ389" i="23917"/>
  <c r="FY390" i="23917"/>
  <c r="EF9" i="23917"/>
  <c r="AU77" i="23917"/>
  <c r="FE77" i="23917"/>
  <c r="K43" i="23917"/>
  <c r="EU77" i="23917"/>
  <c r="Y43" i="23917"/>
  <c r="AG48" i="23917"/>
  <c r="AQ77" i="23917"/>
  <c r="AY77" i="23917"/>
  <c r="ES77" i="23917"/>
  <c r="EG13" i="23917"/>
  <c r="FR12" i="23917"/>
  <c r="S49" i="23917"/>
  <c r="AJ28" i="23917"/>
  <c r="GP156" i="23916" l="1"/>
  <c r="GQ156" i="23916" s="1"/>
  <c r="GQ151" i="23916"/>
  <c r="GP394" i="23916"/>
  <c r="GQ394" i="23916" s="1"/>
  <c r="GR142" i="23916"/>
  <c r="GR42" i="23916"/>
  <c r="GT39" i="23916"/>
  <c r="GR45" i="23916"/>
  <c r="GS39" i="23916"/>
  <c r="GN414" i="23916"/>
  <c r="GN416" i="23916" s="1"/>
  <c r="GO413" i="23916"/>
  <c r="GN453" i="23916"/>
  <c r="GN449" i="23916"/>
  <c r="GN452" i="23916"/>
  <c r="GN450" i="23916"/>
  <c r="GN451" i="23916"/>
  <c r="GN448" i="23916"/>
  <c r="GN447" i="23916"/>
  <c r="GN13" i="23916"/>
  <c r="GN446" i="23916"/>
  <c r="GP152" i="23916"/>
  <c r="GL414" i="23916"/>
  <c r="GM413" i="23916"/>
  <c r="GL453" i="23916"/>
  <c r="GM453" i="23916" s="1"/>
  <c r="GL449" i="23916"/>
  <c r="GM449" i="23916" s="1"/>
  <c r="GL451" i="23916"/>
  <c r="GM451" i="23916" s="1"/>
  <c r="GL452" i="23916"/>
  <c r="GM452" i="23916" s="1"/>
  <c r="GL450" i="23916"/>
  <c r="GM450" i="23916" s="1"/>
  <c r="GL448" i="23916"/>
  <c r="GM448" i="23916" s="1"/>
  <c r="GL13" i="23916"/>
  <c r="GL446" i="23916"/>
  <c r="GM446" i="23916" s="1"/>
  <c r="GL447" i="23916"/>
  <c r="GP56" i="23916"/>
  <c r="GQ56" i="23916" s="1"/>
  <c r="GP59" i="23916"/>
  <c r="GQ55" i="23916"/>
  <c r="GP395" i="23916"/>
  <c r="GQ395" i="23916" s="1"/>
  <c r="GQ390" i="23916"/>
  <c r="GQ387" i="23916"/>
  <c r="EW47" i="23917"/>
  <c r="DQ39" i="24050"/>
  <c r="EZ24" i="23917"/>
  <c r="DT21" i="24050"/>
  <c r="AN43" i="23917"/>
  <c r="H35" i="24050"/>
  <c r="AA95" i="24050"/>
  <c r="BG101" i="23917"/>
  <c r="W95" i="24050"/>
  <c r="BC101" i="23917"/>
  <c r="R35" i="24050"/>
  <c r="AX43" i="23917"/>
  <c r="V40" i="24050"/>
  <c r="BB48" i="23917"/>
  <c r="BB43" i="23917"/>
  <c r="V35" i="24050"/>
  <c r="AE25" i="24050"/>
  <c r="BK33" i="23917"/>
  <c r="I39" i="24050"/>
  <c r="AO47" i="23917"/>
  <c r="R45" i="24050"/>
  <c r="AX53" i="23917"/>
  <c r="AA83" i="24050"/>
  <c r="BG89" i="23917"/>
  <c r="EZ73" i="23917"/>
  <c r="DT249" i="24050"/>
  <c r="EZ255" i="23917"/>
  <c r="EZ72" i="23917"/>
  <c r="DT207" i="24050"/>
  <c r="EZ213" i="23917"/>
  <c r="I95" i="24050"/>
  <c r="AO101" i="23917"/>
  <c r="BG47" i="23917"/>
  <c r="AA39" i="24050"/>
  <c r="DQ32" i="24050"/>
  <c r="EW40" i="23917"/>
  <c r="H40" i="24050"/>
  <c r="AN48" i="23917"/>
  <c r="I326" i="24050"/>
  <c r="AO77" i="23917"/>
  <c r="AO89" i="23917"/>
  <c r="I83" i="24050"/>
  <c r="AX48" i="23917"/>
  <c r="R40" i="24050"/>
  <c r="AE32" i="24050"/>
  <c r="BK40" i="23917"/>
  <c r="V45" i="24050"/>
  <c r="BB53" i="23917"/>
  <c r="BG33" i="23917"/>
  <c r="AA25" i="24050"/>
  <c r="BK47" i="23917"/>
  <c r="AE39" i="24050"/>
  <c r="Q95" i="24050"/>
  <c r="AW101" i="23917"/>
  <c r="DQ25" i="24050"/>
  <c r="EW33" i="23917"/>
  <c r="DQ83" i="24050"/>
  <c r="EW89" i="23917"/>
  <c r="DQ95" i="24050"/>
  <c r="EW101" i="23917"/>
  <c r="I32" i="24050"/>
  <c r="AO40" i="23917"/>
  <c r="Q25" i="24050"/>
  <c r="AW33" i="23917"/>
  <c r="H45" i="24050"/>
  <c r="AN53" i="23917"/>
  <c r="W83" i="24050"/>
  <c r="BC89" i="23917"/>
  <c r="EZ332" i="23917"/>
  <c r="EZ75" i="23917"/>
  <c r="DT326" i="24050"/>
  <c r="DT167" i="24050"/>
  <c r="EZ173" i="23917"/>
  <c r="EZ71" i="23917"/>
  <c r="W32" i="24050"/>
  <c r="BC40" i="23917"/>
  <c r="V28" i="24050"/>
  <c r="BB36" i="23917"/>
  <c r="R28" i="24050"/>
  <c r="AX36" i="23917"/>
  <c r="EZ23" i="23917"/>
  <c r="DT20" i="24050"/>
  <c r="EN15" i="24050"/>
  <c r="Q32" i="24050"/>
  <c r="AW40" i="23917"/>
  <c r="H41" i="24050"/>
  <c r="AN49" i="23917"/>
  <c r="AO33" i="23917"/>
  <c r="I25" i="24050"/>
  <c r="H28" i="24050"/>
  <c r="AN36" i="23917"/>
  <c r="DT290" i="24050"/>
  <c r="EZ296" i="23917"/>
  <c r="EZ74" i="23917"/>
  <c r="DT124" i="24050"/>
  <c r="EZ130" i="23917"/>
  <c r="EZ70" i="23917"/>
  <c r="EW77" i="23917"/>
  <c r="EZ77" i="23917"/>
  <c r="AE95" i="24050"/>
  <c r="BK101" i="23917"/>
  <c r="AE83" i="24050"/>
  <c r="BK89" i="23917"/>
  <c r="Q83" i="24050"/>
  <c r="AW89" i="23917"/>
  <c r="AA32" i="24050"/>
  <c r="BG40" i="23917"/>
  <c r="R41" i="24050"/>
  <c r="AX49" i="23917"/>
  <c r="BB49" i="23917"/>
  <c r="V41" i="24050"/>
  <c r="W25" i="24050"/>
  <c r="BC33" i="23917"/>
  <c r="AW47" i="23917"/>
  <c r="Q39" i="24050"/>
  <c r="BC47" i="23917"/>
  <c r="W39" i="24050"/>
  <c r="G32" i="24050"/>
  <c r="AM40" i="23917"/>
  <c r="CN40" i="24050"/>
  <c r="DT48" i="23917"/>
  <c r="CO41" i="24050"/>
  <c r="DU49" i="23917"/>
  <c r="DZ124" i="24050"/>
  <c r="FF130" i="23917"/>
  <c r="FF70" i="23917"/>
  <c r="M95" i="24050"/>
  <c r="AS101" i="23917"/>
  <c r="EQ215" i="24050"/>
  <c r="FW221" i="23917"/>
  <c r="DM95" i="24050"/>
  <c r="ES101" i="23917"/>
  <c r="DP249" i="24050"/>
  <c r="EV255" i="23917"/>
  <c r="EV73" i="23917"/>
  <c r="DV35" i="24050"/>
  <c r="FB43" i="23917"/>
  <c r="CP112" i="24050"/>
  <c r="DV118" i="23917"/>
  <c r="B45" i="24050"/>
  <c r="AH53" i="23917"/>
  <c r="ES213" i="24050"/>
  <c r="FY219" i="23917"/>
  <c r="DR20" i="24050"/>
  <c r="EX23" i="23917"/>
  <c r="EM320" i="24050"/>
  <c r="FS326" i="23917"/>
  <c r="ER75" i="24050"/>
  <c r="FX81" i="23917"/>
  <c r="DZ167" i="24050"/>
  <c r="FF173" i="23917"/>
  <c r="FF71" i="23917"/>
  <c r="EU153" i="24050"/>
  <c r="GA159" i="23917"/>
  <c r="D45" i="24050"/>
  <c r="AJ53" i="23917"/>
  <c r="F41" i="24050"/>
  <c r="AL49" i="23917"/>
  <c r="EQ160" i="24050"/>
  <c r="FW166" i="23917"/>
  <c r="EQ58" i="24050"/>
  <c r="FW65" i="23917"/>
  <c r="ES159" i="24050"/>
  <c r="FY165" i="23917"/>
  <c r="C83" i="24050"/>
  <c r="AI89" i="23917"/>
  <c r="EO284" i="24050"/>
  <c r="FU290" i="23917"/>
  <c r="DN167" i="24050"/>
  <c r="ET173" i="23917"/>
  <c r="ET71" i="23917"/>
  <c r="CL80" i="24050"/>
  <c r="DR86" i="23917"/>
  <c r="CM77" i="24050"/>
  <c r="DS83" i="23917"/>
  <c r="CM90" i="24050"/>
  <c r="DS96" i="23917"/>
  <c r="DO32" i="24050"/>
  <c r="EU40" i="23917"/>
  <c r="DO95" i="24050"/>
  <c r="EU101" i="23917"/>
  <c r="DR124" i="24050"/>
  <c r="EX130" i="23917"/>
  <c r="EX70" i="23917"/>
  <c r="EB249" i="24050"/>
  <c r="FH255" i="23917"/>
  <c r="FH73" i="23917"/>
  <c r="EB124" i="24050"/>
  <c r="FH130" i="23917"/>
  <c r="FH70" i="23917"/>
  <c r="G326" i="24050"/>
  <c r="AM77" i="23917"/>
  <c r="EH41" i="24050"/>
  <c r="FN49" i="23917"/>
  <c r="ET116" i="24050"/>
  <c r="FZ122" i="23917"/>
  <c r="DV41" i="24050"/>
  <c r="FB49" i="23917"/>
  <c r="D41" i="24050"/>
  <c r="AJ49" i="23917"/>
  <c r="DX35" i="24050"/>
  <c r="FD43" i="23917"/>
  <c r="EM283" i="24050"/>
  <c r="FS289" i="23917"/>
  <c r="EP333" i="24050"/>
  <c r="FV339" i="23917"/>
  <c r="ET192" i="24050"/>
  <c r="FZ198" i="23917"/>
  <c r="EP215" i="24050"/>
  <c r="FV221" i="23917"/>
  <c r="DM83" i="24050"/>
  <c r="ES89" i="23917"/>
  <c r="DN207" i="24050"/>
  <c r="ET213" i="23917"/>
  <c r="ET72" i="23917"/>
  <c r="EO15" i="24050"/>
  <c r="FU408" i="23917"/>
  <c r="DR249" i="24050"/>
  <c r="EX255" i="23917"/>
  <c r="EX73" i="23917"/>
  <c r="DR360" i="24050"/>
  <c r="EX366" i="23917"/>
  <c r="EX76" i="23917"/>
  <c r="DZ19" i="24050"/>
  <c r="FF22" i="23917"/>
  <c r="DL41" i="24050"/>
  <c r="ER49" i="23917"/>
  <c r="ET31" i="24050"/>
  <c r="FZ39" i="23917"/>
  <c r="CQ109" i="24050"/>
  <c r="DW115" i="23917"/>
  <c r="DX40" i="24050"/>
  <c r="FD48" i="23917"/>
  <c r="EN175" i="24050"/>
  <c r="FT181" i="23917"/>
  <c r="ET158" i="24050"/>
  <c r="FZ164" i="23917"/>
  <c r="EQ198" i="24050"/>
  <c r="FW204" i="23917"/>
  <c r="DN290" i="24050"/>
  <c r="ET296" i="23917"/>
  <c r="ET74" i="23917"/>
  <c r="ER281" i="24050"/>
  <c r="FX287" i="23917"/>
  <c r="DP207" i="24050"/>
  <c r="EV213" i="23917"/>
  <c r="EV72" i="23917"/>
  <c r="J45" i="24050"/>
  <c r="AP53" i="23917"/>
  <c r="DV45" i="24050"/>
  <c r="FB53" i="23917"/>
  <c r="M39" i="24050"/>
  <c r="AS47" i="23917"/>
  <c r="G25" i="24050"/>
  <c r="AM33" i="23917"/>
  <c r="EN334" i="24050"/>
  <c r="FT340" i="23917"/>
  <c r="EQ297" i="24050"/>
  <c r="FW303" i="23917"/>
  <c r="EO199" i="24050"/>
  <c r="FU205" i="23917"/>
  <c r="B40" i="24050"/>
  <c r="AH48" i="23917"/>
  <c r="ES281" i="24050"/>
  <c r="FY287" i="23917"/>
  <c r="EK170" i="24050"/>
  <c r="FQ176" i="23917"/>
  <c r="DP290" i="24050"/>
  <c r="EV296" i="23917"/>
  <c r="EV74" i="23917"/>
  <c r="EB167" i="24050"/>
  <c r="FH173" i="23917"/>
  <c r="FH71" i="23917"/>
  <c r="J41" i="24050"/>
  <c r="AP49" i="23917"/>
  <c r="EH40" i="24050"/>
  <c r="FN48" i="23917"/>
  <c r="DL35" i="24050"/>
  <c r="ER43" i="23917"/>
  <c r="ET153" i="24050"/>
  <c r="FZ159" i="23917"/>
  <c r="DY72" i="24050"/>
  <c r="CY399" i="24050"/>
  <c r="FS409" i="23917"/>
  <c r="FK31" i="23917"/>
  <c r="FM31" i="23917"/>
  <c r="E25" i="24050"/>
  <c r="AK33" i="23917"/>
  <c r="ET174" i="24050"/>
  <c r="FZ180" i="23917"/>
  <c r="EF35" i="24050"/>
  <c r="FL43" i="23917"/>
  <c r="DO25" i="24050"/>
  <c r="EU33" i="23917"/>
  <c r="DO39" i="24050"/>
  <c r="EU47" i="23917"/>
  <c r="E32" i="24050"/>
  <c r="AK40" i="23917"/>
  <c r="EQ333" i="24050"/>
  <c r="FW339" i="23917"/>
  <c r="ES195" i="24050"/>
  <c r="FY201" i="23917"/>
  <c r="CM94" i="24050"/>
  <c r="DS100" i="23917"/>
  <c r="O39" i="24050"/>
  <c r="AU47" i="23917"/>
  <c r="EU158" i="24050"/>
  <c r="GA164" i="23917"/>
  <c r="CM96" i="24050"/>
  <c r="DS102" i="23917"/>
  <c r="E39" i="24050"/>
  <c r="AK47" i="23917"/>
  <c r="EP214" i="24050"/>
  <c r="FV220" i="23917"/>
  <c r="DZ45" i="24050"/>
  <c r="FF53" i="23917"/>
  <c r="DN20" i="24050"/>
  <c r="ET23" i="23917"/>
  <c r="S95" i="24050"/>
  <c r="AY101" i="23917"/>
  <c r="DL45" i="24050"/>
  <c r="ER53" i="23917"/>
  <c r="ER155" i="24050"/>
  <c r="FX161" i="23917"/>
  <c r="CY329" i="24050"/>
  <c r="EE335" i="23917"/>
  <c r="EL210" i="24050"/>
  <c r="FR216" i="23917"/>
  <c r="CM93" i="24050"/>
  <c r="DS99" i="23917"/>
  <c r="CL78" i="24050"/>
  <c r="DR84" i="23917"/>
  <c r="DR167" i="24050"/>
  <c r="EX173" i="23917"/>
  <c r="EX71" i="23917"/>
  <c r="EB290" i="24050"/>
  <c r="FH296" i="23917"/>
  <c r="FH74" i="23917"/>
  <c r="S39" i="24050"/>
  <c r="AY47" i="23917"/>
  <c r="E95" i="24050"/>
  <c r="AK101" i="23917"/>
  <c r="D35" i="24050"/>
  <c r="AJ43" i="23917"/>
  <c r="O83" i="24050"/>
  <c r="AU89" i="23917"/>
  <c r="DX41" i="24050"/>
  <c r="FD49" i="23917"/>
  <c r="EM285" i="24050"/>
  <c r="FS291" i="23917"/>
  <c r="EO317" i="24050"/>
  <c r="FU323" i="23917"/>
  <c r="EM200" i="24050"/>
  <c r="FS206" i="23917"/>
  <c r="EH45" i="24050"/>
  <c r="FN53" i="23917"/>
  <c r="DN21" i="24050"/>
  <c r="ET24" i="23917"/>
  <c r="DM39" i="24050"/>
  <c r="ES47" i="23917"/>
  <c r="ET88" i="24050"/>
  <c r="ET76" i="24050"/>
  <c r="FZ94" i="23917"/>
  <c r="FZ82" i="23917"/>
  <c r="DR326" i="24050"/>
  <c r="EX332" i="23917"/>
  <c r="EX75" i="23917"/>
  <c r="DY20" i="24050"/>
  <c r="FE23" i="23917"/>
  <c r="FE29" i="23917" s="1"/>
  <c r="DZ326" i="24050"/>
  <c r="FF332" i="23917"/>
  <c r="FF75" i="23917"/>
  <c r="S83" i="24050"/>
  <c r="AY89" i="23917"/>
  <c r="EH35" i="24050"/>
  <c r="FN43" i="23917"/>
  <c r="M83" i="24050"/>
  <c r="AS89" i="23917"/>
  <c r="G39" i="24050"/>
  <c r="AM47" i="23917"/>
  <c r="EM161" i="24050"/>
  <c r="FS167" i="23917"/>
  <c r="B28" i="24050"/>
  <c r="AH36" i="23917"/>
  <c r="CM91" i="24050"/>
  <c r="DS97" i="23917"/>
  <c r="DP20" i="24050"/>
  <c r="EV23" i="23917"/>
  <c r="EB207" i="24050"/>
  <c r="FH213" i="23917"/>
  <c r="FH72" i="23917"/>
  <c r="S25" i="24050"/>
  <c r="AY33" i="23917"/>
  <c r="J28" i="24050"/>
  <c r="AP36" i="23917"/>
  <c r="O25" i="24050"/>
  <c r="AU33" i="23917"/>
  <c r="F28" i="24050"/>
  <c r="AL36" i="23917"/>
  <c r="EO334" i="24050"/>
  <c r="FU340" i="23917"/>
  <c r="EO282" i="24050"/>
  <c r="FU288" i="23917"/>
  <c r="EQ214" i="24050"/>
  <c r="FW220" i="23917"/>
  <c r="ET87" i="24050"/>
  <c r="FZ93" i="23917"/>
  <c r="DX45" i="24050"/>
  <c r="FD53" i="23917"/>
  <c r="B35" i="24050"/>
  <c r="AH43" i="23917"/>
  <c r="EP198" i="24050"/>
  <c r="FV204" i="23917"/>
  <c r="DN326" i="24050"/>
  <c r="ET332" i="23917"/>
  <c r="ET75" i="23917"/>
  <c r="CM92" i="24050"/>
  <c r="DS98" i="23917"/>
  <c r="K95" i="24050"/>
  <c r="AQ101" i="23917"/>
  <c r="J35" i="24050"/>
  <c r="AP43" i="23917"/>
  <c r="DV40" i="24050"/>
  <c r="FB48" i="23917"/>
  <c r="ES155" i="24050"/>
  <c r="FY161" i="23917"/>
  <c r="EL293" i="24050"/>
  <c r="FR299" i="23917"/>
  <c r="ER159" i="24050"/>
  <c r="FX165" i="23917"/>
  <c r="FE78" i="23917"/>
  <c r="O95" i="24050"/>
  <c r="AU101" i="23917"/>
  <c r="EQ298" i="24050"/>
  <c r="FW304" i="23917"/>
  <c r="DZ249" i="24050"/>
  <c r="FF255" i="23917"/>
  <c r="FF73" i="23917"/>
  <c r="EU116" i="24050"/>
  <c r="GA122" i="23917"/>
  <c r="DZ41" i="24050"/>
  <c r="FF49" i="23917"/>
  <c r="DM25" i="24050"/>
  <c r="ES33" i="23917"/>
  <c r="DN360" i="24050"/>
  <c r="ET366" i="23917"/>
  <c r="ET76" i="23917"/>
  <c r="DP360" i="24050"/>
  <c r="EV366" i="23917"/>
  <c r="EV76" i="23917"/>
  <c r="EB326" i="24050"/>
  <c r="FH332" i="23917"/>
  <c r="FH75" i="23917"/>
  <c r="FW408" i="23917"/>
  <c r="FW409" i="23917" s="1"/>
  <c r="EQ15" i="24050"/>
  <c r="EU87" i="24050"/>
  <c r="GA93" i="23917"/>
  <c r="C32" i="24050"/>
  <c r="AI40" i="23917"/>
  <c r="EU296" i="24050"/>
  <c r="GA302" i="23917"/>
  <c r="EL164" i="24050"/>
  <c r="EL9" i="24050"/>
  <c r="FR170" i="23917"/>
  <c r="K32" i="24050"/>
  <c r="AQ40" i="23917"/>
  <c r="EF45" i="24050"/>
  <c r="FL53" i="23917"/>
  <c r="G95" i="24050"/>
  <c r="AM101" i="23917"/>
  <c r="F35" i="24050"/>
  <c r="AL43" i="23917"/>
  <c r="EU174" i="24050"/>
  <c r="GA180" i="23917"/>
  <c r="DN124" i="24050"/>
  <c r="ET130" i="23917"/>
  <c r="ET70" i="23917"/>
  <c r="CL39" i="24050"/>
  <c r="DR47" i="23917"/>
  <c r="CL81" i="24050"/>
  <c r="DR87" i="23917"/>
  <c r="DP124" i="24050"/>
  <c r="EV130" i="23917"/>
  <c r="EV70" i="23917"/>
  <c r="M25" i="24050"/>
  <c r="AS33" i="23917"/>
  <c r="D28" i="24050"/>
  <c r="AJ36" i="23917"/>
  <c r="O32" i="24050"/>
  <c r="AU40" i="23917"/>
  <c r="F40" i="24050"/>
  <c r="AL48" i="23917"/>
  <c r="EP160" i="24050"/>
  <c r="FV166" i="23917"/>
  <c r="EP58" i="24050"/>
  <c r="FV65" i="23917"/>
  <c r="EP298" i="24050"/>
  <c r="FV304" i="23917"/>
  <c r="CL40" i="24050"/>
  <c r="DR48" i="23917"/>
  <c r="CN39" i="24050"/>
  <c r="DT47" i="23917"/>
  <c r="CL79" i="24050"/>
  <c r="DR85" i="23917"/>
  <c r="CL82" i="24050"/>
  <c r="DR88" i="23917"/>
  <c r="CL84" i="24050"/>
  <c r="DR90" i="23917"/>
  <c r="DR21" i="24050"/>
  <c r="EX24" i="23917"/>
  <c r="DP21" i="24050"/>
  <c r="EV24" i="23917"/>
  <c r="DO83" i="24050"/>
  <c r="EU89" i="23917"/>
  <c r="DP167" i="24050"/>
  <c r="EV173" i="23917"/>
  <c r="EV71" i="23917"/>
  <c r="DZ290" i="24050"/>
  <c r="FF296" i="23917"/>
  <c r="FF74" i="23917"/>
  <c r="K39" i="24050"/>
  <c r="AQ47" i="23917"/>
  <c r="M32" i="24050"/>
  <c r="AS40" i="23917"/>
  <c r="D40" i="24050"/>
  <c r="AJ48" i="23917"/>
  <c r="G83" i="24050"/>
  <c r="AM89" i="23917"/>
  <c r="DZ35" i="24050"/>
  <c r="FF43" i="23917"/>
  <c r="EN282" i="24050"/>
  <c r="FT288" i="23917"/>
  <c r="EN199" i="24050"/>
  <c r="FT205" i="23917"/>
  <c r="EU192" i="24050"/>
  <c r="GA198" i="23917"/>
  <c r="C39" i="24050"/>
  <c r="AI47" i="23917"/>
  <c r="EN284" i="24050"/>
  <c r="FT290" i="23917"/>
  <c r="EO201" i="24050"/>
  <c r="FU207" i="23917"/>
  <c r="DM32" i="24050"/>
  <c r="ES40" i="23917"/>
  <c r="DN249" i="24050"/>
  <c r="ET255" i="23917"/>
  <c r="ET73" i="23917"/>
  <c r="EU88" i="24050"/>
  <c r="EU76" i="24050"/>
  <c r="GA94" i="23917"/>
  <c r="GA82" i="23917"/>
  <c r="DP326" i="24050"/>
  <c r="EV332" i="23917"/>
  <c r="EV75" i="23917"/>
  <c r="EB19" i="24050"/>
  <c r="FH22" i="23917"/>
  <c r="K83" i="24050"/>
  <c r="AQ89" i="23917"/>
  <c r="C326" i="24050"/>
  <c r="AI77" i="23917"/>
  <c r="E83" i="24050"/>
  <c r="AK89" i="23917"/>
  <c r="EU31" i="24050"/>
  <c r="GA39" i="23917"/>
  <c r="CP115" i="24050"/>
  <c r="DV121" i="23917"/>
  <c r="DZ40" i="24050"/>
  <c r="FF48" i="23917"/>
  <c r="EO175" i="24050"/>
  <c r="FU181" i="23917"/>
  <c r="ER195" i="24050"/>
  <c r="FX201" i="23917"/>
  <c r="C25" i="24050"/>
  <c r="AI33" i="23917"/>
  <c r="ER213" i="24050"/>
  <c r="FX219" i="23917"/>
  <c r="EF41" i="24050"/>
  <c r="FL49" i="23917"/>
  <c r="DR207" i="24050"/>
  <c r="EX213" i="23917"/>
  <c r="EX72" i="23917"/>
  <c r="DZ207" i="24050"/>
  <c r="FF213" i="23917"/>
  <c r="FF72" i="23917"/>
  <c r="K25" i="24050"/>
  <c r="AQ33" i="23917"/>
  <c r="DL40" i="24050"/>
  <c r="ER48" i="23917"/>
  <c r="E326" i="24050"/>
  <c r="AK77" i="23917"/>
  <c r="F45" i="24050"/>
  <c r="AL53" i="23917"/>
  <c r="EP297" i="24050"/>
  <c r="FV303" i="23917"/>
  <c r="ES75" i="24050"/>
  <c r="FY81" i="23917"/>
  <c r="C95" i="24050"/>
  <c r="AI101" i="23917"/>
  <c r="B41" i="24050"/>
  <c r="AH49" i="23917"/>
  <c r="ET296" i="24050"/>
  <c r="FZ302" i="23917"/>
  <c r="EF40" i="24050"/>
  <c r="FL48" i="23917"/>
  <c r="DR290" i="24050"/>
  <c r="EX296" i="23917"/>
  <c r="EX74" i="23917"/>
  <c r="S32" i="24050"/>
  <c r="AY40" i="23917"/>
  <c r="J40" i="24050"/>
  <c r="AP48" i="23917"/>
  <c r="FX403" i="23917"/>
  <c r="FW403" i="23917"/>
  <c r="DA170" i="24050"/>
  <c r="EG176" i="23917"/>
  <c r="T43" i="24068"/>
  <c r="EN317" i="24050"/>
  <c r="FT323" i="23917"/>
  <c r="EN201" i="24050"/>
  <c r="FT207" i="23917"/>
  <c r="ES237" i="24050"/>
  <c r="FY243" i="23917"/>
  <c r="EQ241" i="24050"/>
  <c r="FW247" i="23917"/>
  <c r="ER255" i="24050"/>
  <c r="FX261" i="23917"/>
  <c r="ET235" i="24050"/>
  <c r="FZ241" i="23917"/>
  <c r="EP257" i="24050"/>
  <c r="FV263" i="23917"/>
  <c r="ER237" i="24050"/>
  <c r="FX243" i="23917"/>
  <c r="DA252" i="24050"/>
  <c r="EG258" i="23917"/>
  <c r="ER256" i="24050"/>
  <c r="FX262" i="23917"/>
  <c r="ES255" i="24050"/>
  <c r="FY261" i="23917"/>
  <c r="EU235" i="24050"/>
  <c r="GA241" i="23917"/>
  <c r="EO243" i="24050"/>
  <c r="FU249" i="23917"/>
  <c r="EN243" i="24050"/>
  <c r="FT249" i="23917"/>
  <c r="EN240" i="24050"/>
  <c r="FT246" i="23917"/>
  <c r="EO240" i="24050"/>
  <c r="FU246" i="23917"/>
  <c r="ES256" i="24050"/>
  <c r="FY262" i="23917"/>
  <c r="EM244" i="24050"/>
  <c r="FS250" i="23917"/>
  <c r="EQ257" i="24050"/>
  <c r="FW263" i="23917"/>
  <c r="EP241" i="24050"/>
  <c r="FV247" i="23917"/>
  <c r="CZ329" i="24050"/>
  <c r="EF335" i="23917"/>
  <c r="EG329" i="23917"/>
  <c r="DA14" i="24050"/>
  <c r="DA323" i="24050"/>
  <c r="EL323" i="24050"/>
  <c r="FR329" i="23917"/>
  <c r="EL14" i="24050"/>
  <c r="EQ316" i="24050"/>
  <c r="FW322" i="23917"/>
  <c r="ER332" i="24050"/>
  <c r="FX338" i="23917"/>
  <c r="EP316" i="24050"/>
  <c r="FV322" i="23917"/>
  <c r="EK329" i="24050"/>
  <c r="FQ335" i="23917"/>
  <c r="ES332" i="24050"/>
  <c r="FY338" i="23917"/>
  <c r="ET77" i="23917"/>
  <c r="EV77" i="23917"/>
  <c r="EX77" i="23917"/>
  <c r="FT15" i="23917"/>
  <c r="FR13" i="23917"/>
  <c r="FR10" i="23917"/>
  <c r="EE14" i="23917"/>
  <c r="AQ28" i="23917"/>
  <c r="EU28" i="23917"/>
  <c r="AM28" i="23917"/>
  <c r="AU28" i="23917"/>
  <c r="AS28" i="23917"/>
  <c r="AK28" i="23917"/>
  <c r="GA390" i="23917"/>
  <c r="EU384" i="24050" s="1"/>
  <c r="FZ390" i="23917"/>
  <c r="FQ14" i="23917"/>
  <c r="AI28" i="23917"/>
  <c r="ES28" i="23917"/>
  <c r="FQ9" i="23917"/>
  <c r="EG12" i="23917"/>
  <c r="FF77" i="23917"/>
  <c r="FH77" i="23917"/>
  <c r="EF14" i="23917"/>
  <c r="EG9" i="23917"/>
  <c r="FY393" i="23917"/>
  <c r="GP398" i="23916" l="1"/>
  <c r="GQ398" i="23916" s="1"/>
  <c r="GO448" i="23916"/>
  <c r="GO449" i="23916"/>
  <c r="GO446" i="23916"/>
  <c r="GO451" i="23916"/>
  <c r="GO453" i="23916"/>
  <c r="GR384" i="23916"/>
  <c r="GT142" i="23916"/>
  <c r="GR145" i="23916"/>
  <c r="GS142" i="23916"/>
  <c r="GR155" i="23916"/>
  <c r="GP571" i="23916"/>
  <c r="GP575" i="23916" s="1"/>
  <c r="GP404" i="23916"/>
  <c r="GQ59" i="23916"/>
  <c r="GM414" i="23916"/>
  <c r="GL14" i="23916"/>
  <c r="GL584" i="23916"/>
  <c r="GL585" i="23916" s="1"/>
  <c r="GO450" i="23916"/>
  <c r="GN559" i="23916"/>
  <c r="GN548" i="23916"/>
  <c r="GN488" i="23916"/>
  <c r="GN417" i="23916"/>
  <c r="GN438" i="23916"/>
  <c r="GN443" i="23916"/>
  <c r="GN479" i="23916"/>
  <c r="GR148" i="23916"/>
  <c r="GT45" i="23916"/>
  <c r="GS45" i="23916"/>
  <c r="GR49" i="23916"/>
  <c r="GR55" i="23916" s="1"/>
  <c r="GL416" i="23916"/>
  <c r="GO416" i="23916" s="1"/>
  <c r="GO447" i="23916"/>
  <c r="GN454" i="23916"/>
  <c r="GO452" i="23916"/>
  <c r="GL454" i="23916"/>
  <c r="GM454" i="23916" s="1"/>
  <c r="GM447" i="23916"/>
  <c r="GQ152" i="23916"/>
  <c r="GP159" i="23916"/>
  <c r="GO414" i="23916"/>
  <c r="GN14" i="23916"/>
  <c r="GN584" i="23916"/>
  <c r="GN585" i="23916" s="1"/>
  <c r="GS42" i="23916"/>
  <c r="GT42" i="23916"/>
  <c r="GR48" i="23916"/>
  <c r="AA40" i="24050"/>
  <c r="BG48" i="23917"/>
  <c r="DQ41" i="24050"/>
  <c r="EW49" i="23917"/>
  <c r="AA45" i="24050"/>
  <c r="BG53" i="23917"/>
  <c r="BK48" i="23917"/>
  <c r="AE40" i="24050"/>
  <c r="AE41" i="24050"/>
  <c r="BK49" i="23917"/>
  <c r="I28" i="24050"/>
  <c r="AO36" i="23917"/>
  <c r="Q41" i="24050"/>
  <c r="AW49" i="23917"/>
  <c r="BG36" i="23917"/>
  <c r="AA28" i="24050"/>
  <c r="AE28" i="24050"/>
  <c r="BK36" i="23917"/>
  <c r="DT25" i="24050"/>
  <c r="EZ33" i="23917"/>
  <c r="EW28" i="23917"/>
  <c r="EZ28" i="23917"/>
  <c r="W45" i="24050"/>
  <c r="BC53" i="23917"/>
  <c r="BK43" i="23917"/>
  <c r="AE35" i="24050"/>
  <c r="W40" i="24050"/>
  <c r="BC48" i="23917"/>
  <c r="Q28" i="24050"/>
  <c r="AW36" i="23917"/>
  <c r="AO49" i="23917"/>
  <c r="I41" i="24050"/>
  <c r="W28" i="24050"/>
  <c r="BC36" i="23917"/>
  <c r="I45" i="24050"/>
  <c r="AO53" i="23917"/>
  <c r="DT83" i="24050"/>
  <c r="EZ89" i="23917"/>
  <c r="Q40" i="24050"/>
  <c r="AW48" i="23917"/>
  <c r="DT32" i="24050"/>
  <c r="EZ40" i="23917"/>
  <c r="DQ40" i="24050"/>
  <c r="EW48" i="23917"/>
  <c r="W35" i="24050"/>
  <c r="BC43" i="23917"/>
  <c r="DT39" i="24050"/>
  <c r="EZ47" i="23917"/>
  <c r="W41" i="24050"/>
  <c r="BC49" i="23917"/>
  <c r="AE45" i="24050"/>
  <c r="BK53" i="23917"/>
  <c r="I35" i="24050"/>
  <c r="AO43" i="23917"/>
  <c r="BG49" i="23917"/>
  <c r="AA41" i="24050"/>
  <c r="AW53" i="23917"/>
  <c r="Q45" i="24050"/>
  <c r="DT95" i="24050"/>
  <c r="EZ101" i="23917"/>
  <c r="EW53" i="23917"/>
  <c r="DQ45" i="24050"/>
  <c r="I40" i="24050"/>
  <c r="AO48" i="23917"/>
  <c r="DQ35" i="24050"/>
  <c r="EW43" i="23917"/>
  <c r="BG43" i="23917"/>
  <c r="AA35" i="24050"/>
  <c r="Q35" i="24050"/>
  <c r="AW43" i="23917"/>
  <c r="EO285" i="24050"/>
  <c r="FU291" i="23917"/>
  <c r="ES214" i="24050"/>
  <c r="FY220" i="23917"/>
  <c r="DP39" i="24050"/>
  <c r="EV47" i="23917"/>
  <c r="ET159" i="24050"/>
  <c r="FZ165" i="23917"/>
  <c r="O45" i="24050"/>
  <c r="AU53" i="23917"/>
  <c r="DR25" i="24050"/>
  <c r="EX33" i="23917"/>
  <c r="C41" i="24050"/>
  <c r="AI49" i="23917"/>
  <c r="O28" i="24050"/>
  <c r="AU36" i="23917"/>
  <c r="EB20" i="24050"/>
  <c r="FH23" i="23917"/>
  <c r="DN32" i="24050"/>
  <c r="ET40" i="23917"/>
  <c r="EN283" i="24050"/>
  <c r="FT289" i="23917"/>
  <c r="DP95" i="24050"/>
  <c r="EV101" i="23917"/>
  <c r="ER298" i="24050"/>
  <c r="FX304" i="23917"/>
  <c r="CQ112" i="24050"/>
  <c r="DW118" i="23917"/>
  <c r="G41" i="24050"/>
  <c r="AM49" i="23917"/>
  <c r="ET155" i="24050"/>
  <c r="FZ161" i="23917"/>
  <c r="ER214" i="24050"/>
  <c r="FX220" i="23917"/>
  <c r="ER198" i="24050"/>
  <c r="FX204" i="23917"/>
  <c r="DM45" i="24050"/>
  <c r="ES53" i="23917"/>
  <c r="DY28" i="24050"/>
  <c r="FE36" i="23917"/>
  <c r="E35" i="24050"/>
  <c r="AK43" i="23917"/>
  <c r="CO39" i="24050"/>
  <c r="DU47" i="23917"/>
  <c r="E45" i="24050"/>
  <c r="AK53" i="23917"/>
  <c r="ET281" i="24050"/>
  <c r="FZ287" i="23917"/>
  <c r="ES297" i="24050"/>
  <c r="FY303" i="23917"/>
  <c r="G45" i="24050"/>
  <c r="AM53" i="23917"/>
  <c r="EP175" i="24050"/>
  <c r="FV181" i="23917"/>
  <c r="EQ317" i="24050"/>
  <c r="FW323" i="23917"/>
  <c r="DO45" i="24050"/>
  <c r="EU53" i="23917"/>
  <c r="O35" i="24050"/>
  <c r="AU43" i="23917"/>
  <c r="E28" i="24050"/>
  <c r="AK36" i="23917"/>
  <c r="EU75" i="24050"/>
  <c r="GA81" i="23917"/>
  <c r="EO320" i="24050"/>
  <c r="FU326" i="23917"/>
  <c r="EN161" i="24050"/>
  <c r="FT167" i="23917"/>
  <c r="DM35" i="24050"/>
  <c r="ES43" i="23917"/>
  <c r="DW28" i="24050"/>
  <c r="FC36" i="23917"/>
  <c r="EM287" i="24050"/>
  <c r="EM288" i="24050" s="1"/>
  <c r="EM13" i="24050"/>
  <c r="FS293" i="23917"/>
  <c r="FS294" i="23917" s="1"/>
  <c r="M41" i="24050"/>
  <c r="AS49" i="23917"/>
  <c r="DR32" i="24050"/>
  <c r="EX40" i="23917"/>
  <c r="DO40" i="24050"/>
  <c r="EU48" i="23917"/>
  <c r="CM84" i="24050"/>
  <c r="DS90" i="23917"/>
  <c r="ER58" i="24050"/>
  <c r="FX65" i="23917"/>
  <c r="EU213" i="24050"/>
  <c r="GA219" i="23917"/>
  <c r="CP118" i="24050"/>
  <c r="DV124" i="23917"/>
  <c r="EU195" i="24050"/>
  <c r="GA201" i="23917"/>
  <c r="DR83" i="24050"/>
  <c r="EX89" i="23917"/>
  <c r="ER160" i="24050"/>
  <c r="FX166" i="23917"/>
  <c r="O40" i="24050"/>
  <c r="AU48" i="23917"/>
  <c r="EU155" i="24050"/>
  <c r="GA161" i="23917"/>
  <c r="DA399" i="24050"/>
  <c r="FU409" i="23917"/>
  <c r="DN95" i="24050"/>
  <c r="ET101" i="23917"/>
  <c r="M45" i="24050"/>
  <c r="AS53" i="23917"/>
  <c r="C40" i="24050"/>
  <c r="AI48" i="23917"/>
  <c r="EP282" i="24050"/>
  <c r="FV288" i="23917"/>
  <c r="EO161" i="24050"/>
  <c r="FU167" i="23917"/>
  <c r="ER215" i="24050"/>
  <c r="FX221" i="23917"/>
  <c r="E40" i="24050"/>
  <c r="AK48" i="23917"/>
  <c r="EP284" i="24050"/>
  <c r="FV290" i="23917"/>
  <c r="S45" i="24050"/>
  <c r="AY53" i="23917"/>
  <c r="DN25" i="24050"/>
  <c r="ET33" i="23917"/>
  <c r="CM40" i="24050"/>
  <c r="DS48" i="23917"/>
  <c r="EM59" i="24050"/>
  <c r="EM24" i="24050"/>
  <c r="FS66" i="23917"/>
  <c r="FS27" i="23917"/>
  <c r="EC28" i="24050"/>
  <c r="FI36" i="23917"/>
  <c r="EM202" i="24050"/>
  <c r="FS208" i="23917"/>
  <c r="DU28" i="24050"/>
  <c r="FA36" i="23917"/>
  <c r="EU281" i="24050"/>
  <c r="GA287" i="23917"/>
  <c r="FX408" i="23917"/>
  <c r="ER15" i="24050"/>
  <c r="EQ175" i="24050"/>
  <c r="FW181" i="23917"/>
  <c r="EP15" i="24050"/>
  <c r="FV408" i="23917"/>
  <c r="ES333" i="24050"/>
  <c r="FY339" i="23917"/>
  <c r="DP25" i="24050"/>
  <c r="EV33" i="23917"/>
  <c r="CM80" i="24050"/>
  <c r="DS86" i="23917"/>
  <c r="G35" i="24050"/>
  <c r="AM43" i="23917"/>
  <c r="CR109" i="24050"/>
  <c r="DX115" i="23917"/>
  <c r="S40" i="24050"/>
  <c r="AY48" i="23917"/>
  <c r="EP334" i="24050"/>
  <c r="FV340" i="23917"/>
  <c r="G28" i="24050"/>
  <c r="AM36" i="23917"/>
  <c r="S28" i="24050"/>
  <c r="AY36" i="23917"/>
  <c r="DZ20" i="24050"/>
  <c r="FF23" i="23917"/>
  <c r="DM41" i="24050"/>
  <c r="ES49" i="23917"/>
  <c r="EN285" i="24050"/>
  <c r="FT291" i="23917"/>
  <c r="E41" i="24050"/>
  <c r="AK49" i="23917"/>
  <c r="DO41" i="24050"/>
  <c r="EU49" i="23917"/>
  <c r="CM82" i="24050"/>
  <c r="DS88" i="23917"/>
  <c r="EQ284" i="24050"/>
  <c r="FW290" i="23917"/>
  <c r="EG28" i="24050"/>
  <c r="FM36" i="23917"/>
  <c r="S35" i="24050"/>
  <c r="AY43" i="23917"/>
  <c r="EN320" i="24050"/>
  <c r="FT326" i="23917"/>
  <c r="DN39" i="24050"/>
  <c r="ET47" i="23917"/>
  <c r="EQ201" i="24050"/>
  <c r="FW207" i="23917"/>
  <c r="ET195" i="24050"/>
  <c r="FZ201" i="23917"/>
  <c r="DP83" i="24050"/>
  <c r="EV89" i="23917"/>
  <c r="ES160" i="24050"/>
  <c r="FY166" i="23917"/>
  <c r="G40" i="24050"/>
  <c r="AM48" i="23917"/>
  <c r="EP317" i="24050"/>
  <c r="FV323" i="23917"/>
  <c r="EL170" i="24050"/>
  <c r="FR176" i="23917"/>
  <c r="M35" i="24050"/>
  <c r="AS43" i="23917"/>
  <c r="K41" i="24050"/>
  <c r="AQ49" i="23917"/>
  <c r="ER297" i="24050"/>
  <c r="FX303" i="23917"/>
  <c r="CP119" i="24050"/>
  <c r="DV125" i="23917"/>
  <c r="EP199" i="24050"/>
  <c r="FV205" i="23917"/>
  <c r="K28" i="24050"/>
  <c r="AQ36" i="23917"/>
  <c r="EM162" i="24050"/>
  <c r="FS168" i="23917"/>
  <c r="DO35" i="24050"/>
  <c r="EU43" i="23917"/>
  <c r="CO40" i="24050"/>
  <c r="DU48" i="23917"/>
  <c r="ES58" i="24050"/>
  <c r="FY65" i="23917"/>
  <c r="ET213" i="24050"/>
  <c r="FZ219" i="23917"/>
  <c r="CM78" i="24050"/>
  <c r="DS84" i="23917"/>
  <c r="EQ199" i="24050"/>
  <c r="FW205" i="23917"/>
  <c r="K45" i="24050"/>
  <c r="AQ53" i="23917"/>
  <c r="C28" i="24050"/>
  <c r="AI36" i="23917"/>
  <c r="DR39" i="24050"/>
  <c r="EX47" i="23917"/>
  <c r="EU159" i="24050"/>
  <c r="GA165" i="23917"/>
  <c r="S41" i="24050"/>
  <c r="AY49" i="23917"/>
  <c r="EQ282" i="24050"/>
  <c r="FW288" i="23917"/>
  <c r="EO283" i="24050"/>
  <c r="FU289" i="23917"/>
  <c r="C45" i="24050"/>
  <c r="AI53" i="23917"/>
  <c r="CQ115" i="24050"/>
  <c r="DW121" i="23917"/>
  <c r="DN83" i="24050"/>
  <c r="ET89" i="23917"/>
  <c r="ER333" i="24050"/>
  <c r="FX339" i="23917"/>
  <c r="CM39" i="24050"/>
  <c r="DS47" i="23917"/>
  <c r="M28" i="24050"/>
  <c r="AS36" i="23917"/>
  <c r="K40" i="24050"/>
  <c r="AQ48" i="23917"/>
  <c r="ET75" i="24050"/>
  <c r="FZ81" i="23917"/>
  <c r="EO200" i="24050"/>
  <c r="FU206" i="23917"/>
  <c r="EQ334" i="24050"/>
  <c r="FW340" i="23917"/>
  <c r="EE28" i="24050"/>
  <c r="FK36" i="23917"/>
  <c r="DM40" i="24050"/>
  <c r="ES48" i="23917"/>
  <c r="EN200" i="24050"/>
  <c r="FT206" i="23917"/>
  <c r="DR95" i="24050"/>
  <c r="EX101" i="23917"/>
  <c r="DP32" i="24050"/>
  <c r="EV40" i="23917"/>
  <c r="CM79" i="24050"/>
  <c r="DS85" i="23917"/>
  <c r="ES298" i="24050"/>
  <c r="FY304" i="23917"/>
  <c r="K35" i="24050"/>
  <c r="AQ43" i="23917"/>
  <c r="C35" i="24050"/>
  <c r="AI43" i="23917"/>
  <c r="ES198" i="24050"/>
  <c r="FY204" i="23917"/>
  <c r="ES215" i="24050"/>
  <c r="FY221" i="23917"/>
  <c r="M40" i="24050"/>
  <c r="AS48" i="23917"/>
  <c r="CM81" i="24050"/>
  <c r="DS87" i="23917"/>
  <c r="O41" i="24050"/>
  <c r="AU49" i="23917"/>
  <c r="EP201" i="24050"/>
  <c r="FV207" i="23917"/>
  <c r="EU256" i="24050"/>
  <c r="GA262" i="23917"/>
  <c r="ET237" i="24050"/>
  <c r="FZ243" i="23917"/>
  <c r="EU255" i="24050"/>
  <c r="GA261" i="23917"/>
  <c r="ES241" i="24050"/>
  <c r="FY247" i="23917"/>
  <c r="EN244" i="24050"/>
  <c r="FT250" i="23917"/>
  <c r="ER257" i="24050"/>
  <c r="FX263" i="23917"/>
  <c r="EQ240" i="24050"/>
  <c r="FW246" i="23917"/>
  <c r="EO244" i="24050"/>
  <c r="FU250" i="23917"/>
  <c r="ET255" i="24050"/>
  <c r="FZ261" i="23917"/>
  <c r="EQ243" i="24050"/>
  <c r="FW249" i="23917"/>
  <c r="ET256" i="24050"/>
  <c r="FZ262" i="23917"/>
  <c r="EU237" i="24050"/>
  <c r="GA243" i="23917"/>
  <c r="ES257" i="24050"/>
  <c r="FY263" i="23917"/>
  <c r="EM246" i="24050"/>
  <c r="EM247" i="24050" s="1"/>
  <c r="FS252" i="23917"/>
  <c r="FS253" i="23917" s="1"/>
  <c r="EM12" i="24050"/>
  <c r="EP240" i="24050"/>
  <c r="FV246" i="23917"/>
  <c r="EP243" i="24050"/>
  <c r="FV249" i="23917"/>
  <c r="ER241" i="24050"/>
  <c r="FX247" i="23917"/>
  <c r="DA329" i="24050"/>
  <c r="EG335" i="23917"/>
  <c r="EO321" i="24050"/>
  <c r="FU327" i="23917"/>
  <c r="ET332" i="24050"/>
  <c r="FZ338" i="23917"/>
  <c r="ER316" i="24050"/>
  <c r="FX322" i="23917"/>
  <c r="EM321" i="24050"/>
  <c r="FS327" i="23917"/>
  <c r="ES316" i="24050"/>
  <c r="FY322" i="23917"/>
  <c r="EU332" i="24050"/>
  <c r="GA338" i="23917"/>
  <c r="EL329" i="24050"/>
  <c r="FR335" i="23917"/>
  <c r="FU15" i="23917"/>
  <c r="FR14" i="23917"/>
  <c r="EV28" i="23917"/>
  <c r="EX28" i="23917"/>
  <c r="EG14" i="23917"/>
  <c r="GA393" i="23917"/>
  <c r="EU387" i="24050" s="1"/>
  <c r="FY403" i="23917"/>
  <c r="FZ393" i="23917"/>
  <c r="FW15" i="23917"/>
  <c r="FR9" i="23917"/>
  <c r="ET28" i="23917"/>
  <c r="CP11" i="24050"/>
  <c r="GO454" i="23916" l="1"/>
  <c r="GR59" i="23916"/>
  <c r="GT55" i="23916"/>
  <c r="GS55" i="23916"/>
  <c r="GR56" i="23916"/>
  <c r="GL559" i="23916"/>
  <c r="GM559" i="23916" s="1"/>
  <c r="GL548" i="23916"/>
  <c r="GM548" i="23916" s="1"/>
  <c r="GL488" i="23916"/>
  <c r="GL438" i="23916"/>
  <c r="GL417" i="23916"/>
  <c r="GM416" i="23916"/>
  <c r="GL443" i="23916"/>
  <c r="GM443" i="23916" s="1"/>
  <c r="GL479" i="23916"/>
  <c r="GM479" i="23916" s="1"/>
  <c r="GR390" i="23916"/>
  <c r="GR154" i="23916"/>
  <c r="GT148" i="23916"/>
  <c r="GS148" i="23916"/>
  <c r="GS155" i="23916"/>
  <c r="GT155" i="23916"/>
  <c r="GR587" i="23916"/>
  <c r="GS384" i="23916"/>
  <c r="GR387" i="23916"/>
  <c r="GT384" i="23916"/>
  <c r="GQ159" i="23916"/>
  <c r="GP163" i="23916"/>
  <c r="GP160" i="23916"/>
  <c r="GQ160" i="23916" s="1"/>
  <c r="GP7" i="23916"/>
  <c r="GT49" i="23916"/>
  <c r="GS49" i="23916"/>
  <c r="GN491" i="23916"/>
  <c r="GN480" i="23916"/>
  <c r="GT48" i="23916"/>
  <c r="GR151" i="23916"/>
  <c r="GR152" i="23916" s="1"/>
  <c r="GS48" i="23916"/>
  <c r="GN580" i="23916"/>
  <c r="GN493" i="23916"/>
  <c r="GO417" i="23916"/>
  <c r="GO580" i="23916" s="1"/>
  <c r="GP411" i="23916"/>
  <c r="GP576" i="23916" s="1"/>
  <c r="GQ404" i="23916"/>
  <c r="GT145" i="23916"/>
  <c r="GS145" i="23916"/>
  <c r="GO14" i="23916"/>
  <c r="GN15" i="23916"/>
  <c r="GN637" i="23916"/>
  <c r="GO488" i="23916"/>
  <c r="GN17" i="23916"/>
  <c r="GN460" i="23916"/>
  <c r="GM14" i="23916"/>
  <c r="GL15" i="23916"/>
  <c r="EZ43" i="23917"/>
  <c r="DT35" i="24050"/>
  <c r="EZ48" i="23917"/>
  <c r="DT40" i="24050"/>
  <c r="DT45" i="24050"/>
  <c r="EZ53" i="23917"/>
  <c r="DT41" i="24050"/>
  <c r="EZ49" i="23917"/>
  <c r="ER175" i="24050"/>
  <c r="FX181" i="23917"/>
  <c r="EU214" i="24050"/>
  <c r="GA220" i="23917"/>
  <c r="ET298" i="24050"/>
  <c r="FZ304" i="23917"/>
  <c r="EF28" i="24050"/>
  <c r="FL36" i="23917"/>
  <c r="CP121" i="24050"/>
  <c r="CP122" i="24050" s="1"/>
  <c r="CP8" i="24050"/>
  <c r="DV127" i="23917"/>
  <c r="DV128" i="23917" s="1"/>
  <c r="DR41" i="24050"/>
  <c r="EX49" i="23917"/>
  <c r="DN40" i="24050"/>
  <c r="ET48" i="23917"/>
  <c r="EQ320" i="24050"/>
  <c r="FW326" i="23917"/>
  <c r="EO202" i="24050"/>
  <c r="FU208" i="23917"/>
  <c r="EI109" i="24050"/>
  <c r="FO115" i="23917"/>
  <c r="ET297" i="24050"/>
  <c r="FZ303" i="23917"/>
  <c r="EQ283" i="24050"/>
  <c r="FW289" i="23917"/>
  <c r="DN45" i="24050"/>
  <c r="ET53" i="23917"/>
  <c r="EU160" i="24050"/>
  <c r="GA166" i="23917"/>
  <c r="DR35" i="24050"/>
  <c r="EX43" i="23917"/>
  <c r="DN35" i="24050"/>
  <c r="ET43" i="23917"/>
  <c r="EP320" i="24050"/>
  <c r="FV326" i="23917"/>
  <c r="ET333" i="24050"/>
  <c r="FZ339" i="23917"/>
  <c r="EQ200" i="24050"/>
  <c r="FW206" i="23917"/>
  <c r="ES284" i="24050"/>
  <c r="FY290" i="23917"/>
  <c r="EO162" i="24050"/>
  <c r="FU168" i="23917"/>
  <c r="ER317" i="24050"/>
  <c r="FX323" i="23917"/>
  <c r="CQ118" i="24050"/>
  <c r="DW124" i="23917"/>
  <c r="EP285" i="24050"/>
  <c r="FV291" i="23917"/>
  <c r="DP40" i="24050"/>
  <c r="EV48" i="23917"/>
  <c r="ER282" i="24050"/>
  <c r="FX288" i="23917"/>
  <c r="DZ28" i="24050"/>
  <c r="FF36" i="23917"/>
  <c r="ET160" i="24050"/>
  <c r="FZ166" i="23917"/>
  <c r="DP41" i="24050"/>
  <c r="EV49" i="23917"/>
  <c r="EA28" i="24050"/>
  <c r="FG36" i="23917"/>
  <c r="ES175" i="24050"/>
  <c r="FY181" i="23917"/>
  <c r="EU297" i="24050"/>
  <c r="GA303" i="23917"/>
  <c r="EM204" i="24050"/>
  <c r="EM205" i="24050" s="1"/>
  <c r="EM10" i="24050"/>
  <c r="FS210" i="23917"/>
  <c r="FS211" i="23917" s="1"/>
  <c r="ES199" i="24050"/>
  <c r="FY205" i="23917"/>
  <c r="ES201" i="24050"/>
  <c r="FY207" i="23917"/>
  <c r="ET58" i="24050"/>
  <c r="FZ65" i="23917"/>
  <c r="DP35" i="24050"/>
  <c r="EV43" i="23917"/>
  <c r="EM164" i="24050"/>
  <c r="EM165" i="24050" s="1"/>
  <c r="EM9" i="24050"/>
  <c r="FS170" i="23917"/>
  <c r="FS171" i="23917" s="1"/>
  <c r="DR45" i="24050"/>
  <c r="EX53" i="23917"/>
  <c r="EU333" i="24050"/>
  <c r="GA339" i="23917"/>
  <c r="CQ119" i="24050"/>
  <c r="DW125" i="23917"/>
  <c r="EN59" i="24050"/>
  <c r="EN24" i="24050"/>
  <c r="FT66" i="23917"/>
  <c r="FT27" i="23917"/>
  <c r="ER199" i="24050"/>
  <c r="FX205" i="23917"/>
  <c r="EU298" i="24050"/>
  <c r="GA304" i="23917"/>
  <c r="EP161" i="24050"/>
  <c r="FV167" i="23917"/>
  <c r="ER201" i="24050"/>
  <c r="FX207" i="23917"/>
  <c r="ER284" i="24050"/>
  <c r="FX290" i="23917"/>
  <c r="ER334" i="24050"/>
  <c r="FX340" i="23917"/>
  <c r="CR115" i="24050"/>
  <c r="DX121" i="23917"/>
  <c r="ES282" i="24050"/>
  <c r="FY288" i="23917"/>
  <c r="EO59" i="24050"/>
  <c r="EO24" i="24050"/>
  <c r="FU27" i="23917"/>
  <c r="FU66" i="23917"/>
  <c r="EU215" i="24050"/>
  <c r="GA221" i="23917"/>
  <c r="DX28" i="24050"/>
  <c r="FD36" i="23917"/>
  <c r="EU198" i="24050"/>
  <c r="GA204" i="23917"/>
  <c r="CQ121" i="24050"/>
  <c r="CQ8" i="24050"/>
  <c r="DW127" i="23917"/>
  <c r="EM293" i="24050"/>
  <c r="FS299" i="23917"/>
  <c r="ES334" i="24050"/>
  <c r="FY340" i="23917"/>
  <c r="DV28" i="24050"/>
  <c r="FB36" i="23917"/>
  <c r="CR112" i="24050"/>
  <c r="DX118" i="23917"/>
  <c r="EH28" i="24050"/>
  <c r="FN36" i="23917"/>
  <c r="EN287" i="24050"/>
  <c r="EN13" i="24050"/>
  <c r="FT293" i="23917"/>
  <c r="EO287" i="24050"/>
  <c r="EO288" i="24050" s="1"/>
  <c r="EO13" i="24050"/>
  <c r="FU293" i="23917"/>
  <c r="FU294" i="23917" s="1"/>
  <c r="DR40" i="24050"/>
  <c r="EX48" i="23917"/>
  <c r="DN41" i="24050"/>
  <c r="ET49" i="23917"/>
  <c r="CS109" i="24050"/>
  <c r="DY115" i="23917"/>
  <c r="EQ161" i="24050"/>
  <c r="FW167" i="23917"/>
  <c r="EP283" i="24050"/>
  <c r="FV289" i="23917"/>
  <c r="EQ285" i="24050"/>
  <c r="FW291" i="23917"/>
  <c r="EN202" i="24050"/>
  <c r="FT208" i="23917"/>
  <c r="ET214" i="24050"/>
  <c r="FZ220" i="23917"/>
  <c r="ET215" i="24050"/>
  <c r="FZ221" i="23917"/>
  <c r="EU58" i="24050"/>
  <c r="GA65" i="23917"/>
  <c r="EN162" i="24050"/>
  <c r="FT168" i="23917"/>
  <c r="EP200" i="24050"/>
  <c r="FV206" i="23917"/>
  <c r="DP45" i="24050"/>
  <c r="EV53" i="23917"/>
  <c r="ES317" i="24050"/>
  <c r="FY323" i="23917"/>
  <c r="ET198" i="24050"/>
  <c r="FZ204" i="23917"/>
  <c r="ET241" i="24050"/>
  <c r="FZ247" i="23917"/>
  <c r="ES243" i="24050"/>
  <c r="FY249" i="23917"/>
  <c r="EM252" i="24050"/>
  <c r="FS258" i="23917"/>
  <c r="EU241" i="24050"/>
  <c r="GA247" i="23917"/>
  <c r="EU257" i="24050"/>
  <c r="GA263" i="23917"/>
  <c r="EN246" i="24050"/>
  <c r="EN12" i="24050"/>
  <c r="FT252" i="23917"/>
  <c r="EP244" i="24050"/>
  <c r="FV250" i="23917"/>
  <c r="ES240" i="24050"/>
  <c r="FY246" i="23917"/>
  <c r="EQ244" i="24050"/>
  <c r="FW250" i="23917"/>
  <c r="ET257" i="24050"/>
  <c r="FZ263" i="23917"/>
  <c r="ER240" i="24050"/>
  <c r="FX246" i="23917"/>
  <c r="ER243" i="24050"/>
  <c r="FX249" i="23917"/>
  <c r="EO246" i="24050"/>
  <c r="EO247" i="24050" s="1"/>
  <c r="EO12" i="24050"/>
  <c r="FU252" i="23917"/>
  <c r="FU253" i="23917" s="1"/>
  <c r="EU316" i="24050"/>
  <c r="GA322" i="23917"/>
  <c r="EO323" i="24050"/>
  <c r="EO324" i="24050" s="1"/>
  <c r="EO14" i="24050"/>
  <c r="FU329" i="23917"/>
  <c r="FU330" i="23917" s="1"/>
  <c r="EM323" i="24050"/>
  <c r="EM324" i="24050" s="1"/>
  <c r="EM14" i="24050"/>
  <c r="FS329" i="23917"/>
  <c r="FS330" i="23917" s="1"/>
  <c r="EP321" i="24050"/>
  <c r="FV327" i="23917"/>
  <c r="EN321" i="24050"/>
  <c r="FT327" i="23917"/>
  <c r="ET316" i="24050"/>
  <c r="FZ322" i="23917"/>
  <c r="CQ11" i="24050"/>
  <c r="U7" i="24068"/>
  <c r="U59" i="24068" s="1"/>
  <c r="FV15" i="23917"/>
  <c r="DV8" i="23917"/>
  <c r="FS13" i="23917"/>
  <c r="FX15" i="23917"/>
  <c r="GA403" i="23917"/>
  <c r="EU397" i="24050" s="1"/>
  <c r="FZ403" i="23917"/>
  <c r="FS12" i="23917"/>
  <c r="GO479" i="23916" l="1"/>
  <c r="GO559" i="23916"/>
  <c r="GT152" i="23916"/>
  <c r="GS152" i="23916"/>
  <c r="GR159" i="23916"/>
  <c r="GN16" i="23916"/>
  <c r="GO15" i="23916"/>
  <c r="GO548" i="23916"/>
  <c r="GO443" i="23916"/>
  <c r="GL580" i="23916"/>
  <c r="GL493" i="23916"/>
  <c r="GM417" i="23916"/>
  <c r="GM580" i="23916" s="1"/>
  <c r="GT56" i="23916"/>
  <c r="GS56" i="23916"/>
  <c r="GL16" i="23916"/>
  <c r="GM15" i="23916"/>
  <c r="GQ7" i="23916"/>
  <c r="GP12" i="23916"/>
  <c r="GL491" i="23916"/>
  <c r="GM491" i="23916" s="1"/>
  <c r="GM438" i="23916"/>
  <c r="GL480" i="23916"/>
  <c r="GM480" i="23916" s="1"/>
  <c r="GL529" i="23916"/>
  <c r="GL539" i="23916" s="1"/>
  <c r="GM539" i="23916" s="1"/>
  <c r="GL527" i="23916"/>
  <c r="GP413" i="23916"/>
  <c r="GQ411" i="23916"/>
  <c r="GN581" i="23916"/>
  <c r="GN495" i="23916"/>
  <c r="GN18" i="23916"/>
  <c r="GS151" i="23916"/>
  <c r="GR156" i="23916"/>
  <c r="GT151" i="23916"/>
  <c r="GR394" i="23916"/>
  <c r="GO438" i="23916"/>
  <c r="GT387" i="23916"/>
  <c r="GS387" i="23916"/>
  <c r="GT154" i="23916"/>
  <c r="GS154" i="23916"/>
  <c r="GL637" i="23916"/>
  <c r="GM488" i="23916"/>
  <c r="GL17" i="23916"/>
  <c r="GM17" i="23916" s="1"/>
  <c r="GL460" i="23916"/>
  <c r="GM460" i="23916" s="1"/>
  <c r="GP403" i="23916"/>
  <c r="GQ163" i="23916"/>
  <c r="GT390" i="23916"/>
  <c r="GR395" i="23916"/>
  <c r="GR398" i="23916" s="1"/>
  <c r="GS390" i="23916"/>
  <c r="GR571" i="23916"/>
  <c r="GR575" i="23916" s="1"/>
  <c r="GR404" i="23916"/>
  <c r="GT59" i="23916"/>
  <c r="GS59" i="23916"/>
  <c r="V5" i="24068"/>
  <c r="V60" i="24068"/>
  <c r="U60" i="24068"/>
  <c r="U8" i="24068"/>
  <c r="V8" i="24068"/>
  <c r="CQ127" i="24050"/>
  <c r="DW133" i="23917"/>
  <c r="ET199" i="24050"/>
  <c r="FZ205" i="23917"/>
  <c r="ET175" i="24050"/>
  <c r="FZ181" i="23917"/>
  <c r="EN293" i="24050"/>
  <c r="FT299" i="23917"/>
  <c r="ET201" i="24050"/>
  <c r="FZ207" i="23917"/>
  <c r="ET284" i="24050"/>
  <c r="FZ290" i="23917"/>
  <c r="CS115" i="24050"/>
  <c r="DY121" i="23917"/>
  <c r="ER283" i="24050"/>
  <c r="FX289" i="23917"/>
  <c r="ES283" i="24050"/>
  <c r="FY289" i="23917"/>
  <c r="EP202" i="24050"/>
  <c r="FV208" i="23917"/>
  <c r="EQ59" i="24050"/>
  <c r="EQ24" i="24050"/>
  <c r="FW66" i="23917"/>
  <c r="FW27" i="23917"/>
  <c r="EI115" i="24050"/>
  <c r="FO121" i="23917"/>
  <c r="EU334" i="24050"/>
  <c r="GA340" i="23917"/>
  <c r="EI112" i="24050"/>
  <c r="FO118" i="23917"/>
  <c r="EO293" i="24050"/>
  <c r="FU299" i="23917"/>
  <c r="EP59" i="24050"/>
  <c r="EP24" i="24050"/>
  <c r="FV27" i="23917"/>
  <c r="FV66" i="23917"/>
  <c r="EM210" i="24050"/>
  <c r="FS216" i="23917"/>
  <c r="CR118" i="24050"/>
  <c r="DX124" i="23917"/>
  <c r="CP127" i="24050"/>
  <c r="DV133" i="23917"/>
  <c r="ED28" i="24050"/>
  <c r="FJ36" i="23917"/>
  <c r="ET282" i="24050"/>
  <c r="FZ288" i="23917"/>
  <c r="EM170" i="24050"/>
  <c r="FS176" i="23917"/>
  <c r="CS112" i="24050"/>
  <c r="DY118" i="23917"/>
  <c r="EU317" i="24050"/>
  <c r="GA323" i="23917"/>
  <c r="EQ162" i="24050"/>
  <c r="FW168" i="23917"/>
  <c r="ER320" i="24050"/>
  <c r="FX326" i="23917"/>
  <c r="ES161" i="24050"/>
  <c r="FY167" i="23917"/>
  <c r="EQ287" i="24050"/>
  <c r="EQ288" i="24050" s="1"/>
  <c r="EQ13" i="24050"/>
  <c r="FW293" i="23917"/>
  <c r="FW294" i="23917" s="1"/>
  <c r="EU284" i="24050"/>
  <c r="GA290" i="23917"/>
  <c r="EQ202" i="24050"/>
  <c r="FW208" i="23917"/>
  <c r="ES15" i="24050"/>
  <c r="FY408" i="23917"/>
  <c r="FY409" i="23917" s="1"/>
  <c r="CR119" i="24050"/>
  <c r="DX125" i="23917"/>
  <c r="EJ109" i="24050"/>
  <c r="FP115" i="23917"/>
  <c r="EO164" i="24050"/>
  <c r="EO165" i="24050" s="1"/>
  <c r="EO9" i="24050"/>
  <c r="FU170" i="23917"/>
  <c r="FU171" i="23917" s="1"/>
  <c r="ER285" i="24050"/>
  <c r="FX291" i="23917"/>
  <c r="ES200" i="24050"/>
  <c r="FY206" i="23917"/>
  <c r="ES320" i="24050"/>
  <c r="FY326" i="23917"/>
  <c r="EP162" i="24050"/>
  <c r="FV168" i="23917"/>
  <c r="EU201" i="24050"/>
  <c r="GA207" i="23917"/>
  <c r="EU282" i="24050"/>
  <c r="GA288" i="23917"/>
  <c r="EO204" i="24050"/>
  <c r="EO205" i="24050" s="1"/>
  <c r="EO10" i="24050"/>
  <c r="FU210" i="23917"/>
  <c r="FU211" i="23917" s="1"/>
  <c r="ER200" i="24050"/>
  <c r="FX206" i="23917"/>
  <c r="EU199" i="24050"/>
  <c r="GA205" i="23917"/>
  <c r="ET334" i="24050"/>
  <c r="FZ340" i="23917"/>
  <c r="ET317" i="24050"/>
  <c r="FZ323" i="23917"/>
  <c r="ER161" i="24050"/>
  <c r="FX167" i="23917"/>
  <c r="EP287" i="24050"/>
  <c r="EP13" i="24050"/>
  <c r="FV293" i="23917"/>
  <c r="EN164" i="24050"/>
  <c r="EN9" i="24050"/>
  <c r="FT170" i="23917"/>
  <c r="EN204" i="24050"/>
  <c r="EN10" i="24050"/>
  <c r="FT210" i="23917"/>
  <c r="EU175" i="24050"/>
  <c r="GA181" i="23917"/>
  <c r="EB28" i="24050"/>
  <c r="FH36" i="23917"/>
  <c r="ER244" i="24050"/>
  <c r="FX250" i="23917"/>
  <c r="EO252" i="24050"/>
  <c r="FU258" i="23917"/>
  <c r="EP246" i="24050"/>
  <c r="FV252" i="23917"/>
  <c r="EP12" i="24050"/>
  <c r="EQ246" i="24050"/>
  <c r="EQ247" i="24050" s="1"/>
  <c r="EQ12" i="24050"/>
  <c r="FW252" i="23917"/>
  <c r="FW253" i="23917" s="1"/>
  <c r="EU243" i="24050"/>
  <c r="GA249" i="23917"/>
  <c r="ET240" i="24050"/>
  <c r="FZ246" i="23917"/>
  <c r="ES244" i="24050"/>
  <c r="FY250" i="23917"/>
  <c r="EU240" i="24050"/>
  <c r="GA246" i="23917"/>
  <c r="ET243" i="24050"/>
  <c r="FZ249" i="23917"/>
  <c r="EN252" i="24050"/>
  <c r="FT258" i="23917"/>
  <c r="EN323" i="24050"/>
  <c r="EN14" i="24050"/>
  <c r="FT329" i="23917"/>
  <c r="EP323" i="24050"/>
  <c r="EP14" i="24050"/>
  <c r="FV329" i="23917"/>
  <c r="EM329" i="24050"/>
  <c r="FS335" i="23917"/>
  <c r="EO329" i="24050"/>
  <c r="FU335" i="23917"/>
  <c r="EQ321" i="24050"/>
  <c r="FW327" i="23917"/>
  <c r="DW8" i="23917"/>
  <c r="DV17" i="23917"/>
  <c r="FS14" i="23917"/>
  <c r="FU12" i="23917"/>
  <c r="FU13" i="23917"/>
  <c r="FT13" i="23917"/>
  <c r="DV11" i="23917"/>
  <c r="FT12" i="23917"/>
  <c r="FU14" i="23917"/>
  <c r="FS9" i="23917"/>
  <c r="FS10" i="23917"/>
  <c r="GO491" i="23916" l="1"/>
  <c r="GT398" i="23916"/>
  <c r="GS398" i="23916"/>
  <c r="GR411" i="23916"/>
  <c r="GR576" i="23916" s="1"/>
  <c r="GS404" i="23916"/>
  <c r="GT404" i="23916"/>
  <c r="GT156" i="23916"/>
  <c r="GS156" i="23916"/>
  <c r="GN19" i="23916"/>
  <c r="GN418" i="23916"/>
  <c r="GO460" i="23916"/>
  <c r="GN527" i="23916"/>
  <c r="GM527" i="23916"/>
  <c r="GP13" i="23916"/>
  <c r="GQ12" i="23916"/>
  <c r="GL581" i="23916"/>
  <c r="GM493" i="23916"/>
  <c r="GL495" i="23916"/>
  <c r="GO495" i="23916" s="1"/>
  <c r="GL18" i="23916"/>
  <c r="GM18" i="23916" s="1"/>
  <c r="GR163" i="23916"/>
  <c r="GR160" i="23916"/>
  <c r="GS159" i="23916"/>
  <c r="GT159" i="23916"/>
  <c r="GR7" i="23916"/>
  <c r="GP446" i="23916"/>
  <c r="GQ446" i="23916" s="1"/>
  <c r="GQ403" i="23916"/>
  <c r="GT394" i="23916"/>
  <c r="GS394" i="23916"/>
  <c r="GL557" i="23916"/>
  <c r="GM557" i="23916" s="1"/>
  <c r="GL560" i="23916"/>
  <c r="GM560" i="23916" s="1"/>
  <c r="GL558" i="23916"/>
  <c r="GM558" i="23916" s="1"/>
  <c r="GL532" i="23916"/>
  <c r="GM532" i="23916" s="1"/>
  <c r="GN529" i="23916"/>
  <c r="GL526" i="23916"/>
  <c r="GM526" i="23916" s="1"/>
  <c r="GL531" i="23916"/>
  <c r="GM529" i="23916"/>
  <c r="GL522" i="23916"/>
  <c r="GL553" i="23916"/>
  <c r="GM553" i="23916" s="1"/>
  <c r="GL555" i="23916"/>
  <c r="GM555" i="23916" s="1"/>
  <c r="GL554" i="23916"/>
  <c r="GM554" i="23916" s="1"/>
  <c r="GL556" i="23916"/>
  <c r="GM556" i="23916" s="1"/>
  <c r="GS395" i="23916"/>
  <c r="GT395" i="23916"/>
  <c r="GO493" i="23916"/>
  <c r="GP414" i="23916"/>
  <c r="GP416" i="23916" s="1"/>
  <c r="GQ413" i="23916"/>
  <c r="GP453" i="23916"/>
  <c r="GQ453" i="23916" s="1"/>
  <c r="GP452" i="23916"/>
  <c r="GQ452" i="23916" s="1"/>
  <c r="GP449" i="23916"/>
  <c r="GQ449" i="23916" s="1"/>
  <c r="GP450" i="23916"/>
  <c r="GQ450" i="23916" s="1"/>
  <c r="GP448" i="23916"/>
  <c r="GQ448" i="23916" s="1"/>
  <c r="GP451" i="23916"/>
  <c r="GQ451" i="23916" s="1"/>
  <c r="GP447" i="23916"/>
  <c r="GO17" i="23916"/>
  <c r="GO480" i="23916"/>
  <c r="CS8" i="24050"/>
  <c r="CR127" i="24050"/>
  <c r="DX133" i="23917"/>
  <c r="ER59" i="24050"/>
  <c r="ER24" i="24050"/>
  <c r="FX66" i="23917"/>
  <c r="FX27" i="23917"/>
  <c r="EJ115" i="24050"/>
  <c r="FP121" i="23917"/>
  <c r="EP164" i="24050"/>
  <c r="EP9" i="24050"/>
  <c r="FV170" i="23917"/>
  <c r="ES202" i="24050"/>
  <c r="FY208" i="23917"/>
  <c r="CS118" i="24050"/>
  <c r="DY124" i="23917"/>
  <c r="EU161" i="24050"/>
  <c r="GA167" i="23917"/>
  <c r="EP204" i="24050"/>
  <c r="EP10" i="24050"/>
  <c r="FV210" i="23917"/>
  <c r="ER287" i="24050"/>
  <c r="ER13" i="24050"/>
  <c r="FX293" i="23917"/>
  <c r="CT109" i="24050"/>
  <c r="DZ115" i="23917"/>
  <c r="ER202" i="24050"/>
  <c r="FX208" i="23917"/>
  <c r="EO170" i="24050"/>
  <c r="FU176" i="23917"/>
  <c r="EU200" i="24050"/>
  <c r="GA206" i="23917"/>
  <c r="ET15" i="24050"/>
  <c r="FZ408" i="23917"/>
  <c r="EU320" i="24050"/>
  <c r="GA326" i="23917"/>
  <c r="EN170" i="24050"/>
  <c r="FT176" i="23917"/>
  <c r="EP293" i="24050"/>
  <c r="FV299" i="23917"/>
  <c r="ES285" i="24050"/>
  <c r="FY291" i="23917"/>
  <c r="EQ293" i="24050"/>
  <c r="FW299" i="23917"/>
  <c r="ET283" i="24050"/>
  <c r="FZ289" i="23917"/>
  <c r="CS121" i="24050"/>
  <c r="CR121" i="24050"/>
  <c r="CR8" i="24050"/>
  <c r="DX127" i="23917"/>
  <c r="DX128" i="23917" s="1"/>
  <c r="EN210" i="24050"/>
  <c r="FT216" i="23917"/>
  <c r="ES162" i="24050"/>
  <c r="FY168" i="23917"/>
  <c r="CS119" i="24050"/>
  <c r="DY125" i="23917"/>
  <c r="EI130" i="24050"/>
  <c r="FO136" i="23917"/>
  <c r="DX8" i="23917"/>
  <c r="CR122" i="24050"/>
  <c r="EU15" i="24050"/>
  <c r="GA408" i="23917"/>
  <c r="EU399" i="24050" s="1"/>
  <c r="EQ164" i="24050"/>
  <c r="EQ165" i="24050" s="1"/>
  <c r="EQ9" i="24050"/>
  <c r="FW170" i="23917"/>
  <c r="FW171" i="23917" s="1"/>
  <c r="EU283" i="24050"/>
  <c r="GA289" i="23917"/>
  <c r="EI118" i="24050"/>
  <c r="FO124" i="23917"/>
  <c r="ET161" i="24050"/>
  <c r="FZ167" i="23917"/>
  <c r="ER162" i="24050"/>
  <c r="FX168" i="23917"/>
  <c r="EO210" i="24050"/>
  <c r="FU216" i="23917"/>
  <c r="EQ204" i="24050"/>
  <c r="EQ205" i="24050" s="1"/>
  <c r="EQ10" i="24050"/>
  <c r="FW210" i="23917"/>
  <c r="FW211" i="23917" s="1"/>
  <c r="ET200" i="24050"/>
  <c r="FZ206" i="23917"/>
  <c r="ES24" i="24050"/>
  <c r="ES59" i="24050"/>
  <c r="EJ112" i="24050"/>
  <c r="FP118" i="23917"/>
  <c r="ET320" i="24050"/>
  <c r="FZ326" i="23917"/>
  <c r="ER246" i="24050"/>
  <c r="FX252" i="23917"/>
  <c r="ER12" i="24050"/>
  <c r="EU244" i="24050"/>
  <c r="GA250" i="23917"/>
  <c r="ET244" i="24050"/>
  <c r="FZ250" i="23917"/>
  <c r="EQ252" i="24050"/>
  <c r="FW258" i="23917"/>
  <c r="EP252" i="24050"/>
  <c r="FV258" i="23917"/>
  <c r="ES246" i="24050"/>
  <c r="ES247" i="24050" s="1"/>
  <c r="ES12" i="24050"/>
  <c r="FY252" i="23917"/>
  <c r="FY253" i="23917" s="1"/>
  <c r="EQ323" i="24050"/>
  <c r="EQ324" i="24050" s="1"/>
  <c r="FW329" i="23917"/>
  <c r="FW330" i="23917" s="1"/>
  <c r="EQ14" i="24050"/>
  <c r="ER321" i="24050"/>
  <c r="FX327" i="23917"/>
  <c r="ES321" i="24050"/>
  <c r="FY327" i="23917"/>
  <c r="EP329" i="24050"/>
  <c r="FV335" i="23917"/>
  <c r="EN329" i="24050"/>
  <c r="FT335" i="23917"/>
  <c r="FY66" i="23917"/>
  <c r="FY27" i="23917"/>
  <c r="FV12" i="23917"/>
  <c r="FT14" i="23917"/>
  <c r="DW11" i="23917"/>
  <c r="FW12" i="23917"/>
  <c r="FT10" i="23917"/>
  <c r="FU10" i="23917"/>
  <c r="FT9" i="23917"/>
  <c r="FY15" i="23917"/>
  <c r="DW17" i="23917"/>
  <c r="FW13" i="23917"/>
  <c r="FV14" i="23917"/>
  <c r="FU9" i="23917"/>
  <c r="FV13" i="23917"/>
  <c r="GP559" i="23916" l="1"/>
  <c r="GQ559" i="23916" s="1"/>
  <c r="GP548" i="23916"/>
  <c r="GQ548" i="23916" s="1"/>
  <c r="GP488" i="23916"/>
  <c r="GP438" i="23916"/>
  <c r="GP529" i="23916" s="1"/>
  <c r="GP417" i="23916"/>
  <c r="GQ416" i="23916"/>
  <c r="GP443" i="23916"/>
  <c r="GQ443" i="23916" s="1"/>
  <c r="GP479" i="23916"/>
  <c r="GQ479" i="23916" s="1"/>
  <c r="GO18" i="23916"/>
  <c r="GM495" i="23916"/>
  <c r="GL19" i="23916"/>
  <c r="GM19" i="23916" s="1"/>
  <c r="GL418" i="23916"/>
  <c r="GT411" i="23916"/>
  <c r="GR413" i="23916"/>
  <c r="GS411" i="23916"/>
  <c r="GP454" i="23916"/>
  <c r="GQ454" i="23916" s="1"/>
  <c r="GQ447" i="23916"/>
  <c r="GL549" i="23916"/>
  <c r="GM549" i="23916" s="1"/>
  <c r="GL547" i="23916"/>
  <c r="GM547" i="23916" s="1"/>
  <c r="GL546" i="23916"/>
  <c r="GM546" i="23916" s="1"/>
  <c r="GL533" i="23916"/>
  <c r="GM531" i="23916"/>
  <c r="GL542" i="23916"/>
  <c r="GM542" i="23916" s="1"/>
  <c r="GL544" i="23916"/>
  <c r="GM544" i="23916" s="1"/>
  <c r="GL543" i="23916"/>
  <c r="GM543" i="23916" s="1"/>
  <c r="GL545" i="23916"/>
  <c r="GM545" i="23916" s="1"/>
  <c r="GL538" i="23916"/>
  <c r="GM538" i="23916" s="1"/>
  <c r="GT160" i="23916"/>
  <c r="GS160" i="23916"/>
  <c r="GN419" i="23916"/>
  <c r="GN440" i="23916"/>
  <c r="GN475" i="23916" s="1"/>
  <c r="GQ414" i="23916"/>
  <c r="GP14" i="23916"/>
  <c r="GP584" i="23916"/>
  <c r="GP585" i="23916" s="1"/>
  <c r="GM522" i="23916"/>
  <c r="GL523" i="23916"/>
  <c r="GM523" i="23916" s="1"/>
  <c r="GR12" i="23916"/>
  <c r="GT7" i="23916"/>
  <c r="GS7" i="23916"/>
  <c r="GR403" i="23916"/>
  <c r="GT163" i="23916"/>
  <c r="GS163" i="23916"/>
  <c r="GN560" i="23916"/>
  <c r="GO560" i="23916" s="1"/>
  <c r="GN558" i="23916"/>
  <c r="GO558" i="23916" s="1"/>
  <c r="GN557" i="23916"/>
  <c r="GO557" i="23916" s="1"/>
  <c r="GO529" i="23916"/>
  <c r="GN531" i="23916"/>
  <c r="GN532" i="23916"/>
  <c r="GO532" i="23916" s="1"/>
  <c r="GN526" i="23916"/>
  <c r="GO526" i="23916" s="1"/>
  <c r="GN522" i="23916"/>
  <c r="GN553" i="23916"/>
  <c r="GO553" i="23916" s="1"/>
  <c r="GN554" i="23916"/>
  <c r="GO554" i="23916" s="1"/>
  <c r="GN555" i="23916"/>
  <c r="GO555" i="23916" s="1"/>
  <c r="GN556" i="23916"/>
  <c r="GO556" i="23916" s="1"/>
  <c r="GN539" i="23916"/>
  <c r="GO539" i="23916" s="1"/>
  <c r="GO527" i="23916"/>
  <c r="DY127" i="23917"/>
  <c r="ET24" i="24050"/>
  <c r="ET59" i="24050"/>
  <c r="EI119" i="24050"/>
  <c r="FO125" i="23917"/>
  <c r="EI131" i="24050"/>
  <c r="FO137" i="23917"/>
  <c r="CT112" i="24050"/>
  <c r="DZ118" i="23917"/>
  <c r="ET285" i="24050"/>
  <c r="FZ291" i="23917"/>
  <c r="ES164" i="24050"/>
  <c r="ES165" i="24050" s="1"/>
  <c r="ES9" i="24050"/>
  <c r="FY170" i="23917"/>
  <c r="FY171" i="23917" s="1"/>
  <c r="ET202" i="24050"/>
  <c r="FZ208" i="23917"/>
  <c r="CU109" i="24050"/>
  <c r="EA115" i="23917"/>
  <c r="ER293" i="24050"/>
  <c r="FX299" i="23917"/>
  <c r="EP170" i="24050"/>
  <c r="FV176" i="23917"/>
  <c r="EJ130" i="24050"/>
  <c r="FP136" i="23917"/>
  <c r="EU285" i="24050"/>
  <c r="GA291" i="23917"/>
  <c r="ET162" i="24050"/>
  <c r="FZ168" i="23917"/>
  <c r="EJ118" i="24050"/>
  <c r="FP124" i="23917"/>
  <c r="CT115" i="24050"/>
  <c r="DZ121" i="23917"/>
  <c r="ER164" i="24050"/>
  <c r="ER9" i="24050"/>
  <c r="FX170" i="23917"/>
  <c r="EU202" i="24050"/>
  <c r="GA208" i="23917"/>
  <c r="EQ210" i="24050"/>
  <c r="FW216" i="23917"/>
  <c r="EU162" i="24050"/>
  <c r="GA168" i="23917"/>
  <c r="ES13" i="24050"/>
  <c r="ES287" i="24050"/>
  <c r="ES288" i="24050" s="1"/>
  <c r="FY293" i="23917"/>
  <c r="FY294" i="23917" s="1"/>
  <c r="ES204" i="24050"/>
  <c r="ES205" i="24050" s="1"/>
  <c r="ES10" i="24050"/>
  <c r="FY210" i="23917"/>
  <c r="FY211" i="23917" s="1"/>
  <c r="CS127" i="24050"/>
  <c r="DY133" i="23917"/>
  <c r="ER204" i="24050"/>
  <c r="ER10" i="24050"/>
  <c r="FX210" i="23917"/>
  <c r="EQ170" i="24050"/>
  <c r="FW176" i="23917"/>
  <c r="EP210" i="24050"/>
  <c r="FV216" i="23917"/>
  <c r="CP17" i="24050"/>
  <c r="DV20" i="23917"/>
  <c r="DV69" i="23917"/>
  <c r="ET246" i="24050"/>
  <c r="ET12" i="24050"/>
  <c r="FZ252" i="23917"/>
  <c r="ER252" i="24050"/>
  <c r="FX258" i="23917"/>
  <c r="EU246" i="24050"/>
  <c r="EU12" i="24050"/>
  <c r="GA252" i="23917"/>
  <c r="ES252" i="24050"/>
  <c r="FY258" i="23917"/>
  <c r="EU321" i="24050"/>
  <c r="GA327" i="23917"/>
  <c r="EQ329" i="24050"/>
  <c r="FW335" i="23917"/>
  <c r="ER323" i="24050"/>
  <c r="ER14" i="24050"/>
  <c r="FX329" i="23917"/>
  <c r="ES14" i="24050"/>
  <c r="ES323" i="24050"/>
  <c r="ES324" i="24050" s="1"/>
  <c r="FY329" i="23917"/>
  <c r="FY330" i="23917" s="1"/>
  <c r="ET321" i="24050"/>
  <c r="FZ327" i="23917"/>
  <c r="EU24" i="24050"/>
  <c r="EU59" i="24050"/>
  <c r="GA66" i="23917"/>
  <c r="GA27" i="23917"/>
  <c r="FZ66" i="23917"/>
  <c r="FZ27" i="23917"/>
  <c r="FX13" i="23917"/>
  <c r="DX17" i="23917"/>
  <c r="DY8" i="23917"/>
  <c r="FV9" i="23917"/>
  <c r="FW14" i="23917"/>
  <c r="CR11" i="24050"/>
  <c r="DV76" i="23917"/>
  <c r="FV10" i="23917"/>
  <c r="FW9" i="23917"/>
  <c r="GA15" i="23917"/>
  <c r="FZ15" i="23917"/>
  <c r="FX12" i="23917"/>
  <c r="FY12" i="23917"/>
  <c r="FW10" i="23917"/>
  <c r="GP527" i="23916" l="1"/>
  <c r="GQ527" i="23916" s="1"/>
  <c r="GO19" i="23916"/>
  <c r="GL419" i="23916"/>
  <c r="GL440" i="23916"/>
  <c r="GL475" i="23916" s="1"/>
  <c r="GP557" i="23916"/>
  <c r="GQ557" i="23916" s="1"/>
  <c r="GP560" i="23916"/>
  <c r="GQ560" i="23916" s="1"/>
  <c r="GP558" i="23916"/>
  <c r="GQ558" i="23916" s="1"/>
  <c r="GP532" i="23916"/>
  <c r="GQ532" i="23916" s="1"/>
  <c r="GP526" i="23916"/>
  <c r="GQ526" i="23916" s="1"/>
  <c r="GP531" i="23916"/>
  <c r="GP538" i="23916" s="1"/>
  <c r="GQ529" i="23916"/>
  <c r="GP522" i="23916"/>
  <c r="GP556" i="23916"/>
  <c r="GQ556" i="23916" s="1"/>
  <c r="GP555" i="23916"/>
  <c r="GQ555" i="23916" s="1"/>
  <c r="GP554" i="23916"/>
  <c r="GQ554" i="23916" s="1"/>
  <c r="GP553" i="23916"/>
  <c r="GQ553" i="23916" s="1"/>
  <c r="GS413" i="23916"/>
  <c r="GR414" i="23916"/>
  <c r="GR416" i="23916" s="1"/>
  <c r="GT413" i="23916"/>
  <c r="GR453" i="23916"/>
  <c r="GR449" i="23916"/>
  <c r="GR452" i="23916"/>
  <c r="GR451" i="23916"/>
  <c r="GR450" i="23916"/>
  <c r="GR448" i="23916"/>
  <c r="GR447" i="23916"/>
  <c r="GP539" i="23916"/>
  <c r="GQ539" i="23916" s="1"/>
  <c r="GP491" i="23916"/>
  <c r="GQ491" i="23916" s="1"/>
  <c r="GQ438" i="23916"/>
  <c r="GP480" i="23916"/>
  <c r="GQ480" i="23916" s="1"/>
  <c r="GO522" i="23916"/>
  <c r="GN523" i="23916"/>
  <c r="GO523" i="23916" s="1"/>
  <c r="GR13" i="23916"/>
  <c r="GT12" i="23916"/>
  <c r="GS12" i="23916"/>
  <c r="GQ14" i="23916"/>
  <c r="GP15" i="23916"/>
  <c r="GM533" i="23916"/>
  <c r="GL589" i="23916"/>
  <c r="GL536" i="23916"/>
  <c r="GM536" i="23916" s="1"/>
  <c r="GL537" i="23916"/>
  <c r="GP637" i="23916"/>
  <c r="GQ488" i="23916"/>
  <c r="GP17" i="23916"/>
  <c r="GQ17" i="23916" s="1"/>
  <c r="GP460" i="23916"/>
  <c r="GQ460" i="23916" s="1"/>
  <c r="GN546" i="23916"/>
  <c r="GO546" i="23916" s="1"/>
  <c r="GN549" i="23916"/>
  <c r="GO549" i="23916" s="1"/>
  <c r="GN547" i="23916"/>
  <c r="GO547" i="23916" s="1"/>
  <c r="GO531" i="23916"/>
  <c r="GN533" i="23916"/>
  <c r="GN543" i="23916"/>
  <c r="GO543" i="23916" s="1"/>
  <c r="GN544" i="23916"/>
  <c r="GO544" i="23916" s="1"/>
  <c r="GN542" i="23916"/>
  <c r="GO542" i="23916" s="1"/>
  <c r="GN545" i="23916"/>
  <c r="GO545" i="23916" s="1"/>
  <c r="GN538" i="23916"/>
  <c r="GO538" i="23916" s="1"/>
  <c r="GR446" i="23916"/>
  <c r="GT403" i="23916"/>
  <c r="GS403" i="23916"/>
  <c r="GP580" i="23916"/>
  <c r="GP493" i="23916"/>
  <c r="GQ417" i="23916"/>
  <c r="GQ580" i="23916" s="1"/>
  <c r="EJ11" i="24050"/>
  <c r="CT118" i="24050"/>
  <c r="DZ124" i="23917"/>
  <c r="EU204" i="24050"/>
  <c r="EU10" i="24050"/>
  <c r="GA210" i="23917"/>
  <c r="EU287" i="24050"/>
  <c r="EU13" i="24050"/>
  <c r="GA293" i="23917"/>
  <c r="CU112" i="24050"/>
  <c r="EA118" i="23917"/>
  <c r="CV109" i="24050"/>
  <c r="EB115" i="23917"/>
  <c r="EJ119" i="24050"/>
  <c r="FP125" i="23917"/>
  <c r="ES210" i="24050"/>
  <c r="FY216" i="23917"/>
  <c r="ES293" i="24050"/>
  <c r="FY299" i="23917"/>
  <c r="EJ131" i="24050"/>
  <c r="FP137" i="23917"/>
  <c r="CU115" i="24050"/>
  <c r="EA121" i="23917"/>
  <c r="ER170" i="24050"/>
  <c r="FX176" i="23917"/>
  <c r="ER210" i="24050"/>
  <c r="FX216" i="23917"/>
  <c r="U5" i="24068"/>
  <c r="EI11" i="24050"/>
  <c r="ES170" i="24050"/>
  <c r="FY176" i="23917"/>
  <c r="ET204" i="24050"/>
  <c r="ET10" i="24050"/>
  <c r="FZ210" i="23917"/>
  <c r="ET164" i="24050"/>
  <c r="ET9" i="24050"/>
  <c r="FZ170" i="23917"/>
  <c r="EI121" i="24050"/>
  <c r="EI122" i="24050" s="1"/>
  <c r="EI8" i="24050"/>
  <c r="FO127" i="23917"/>
  <c r="FO128" i="23917" s="1"/>
  <c r="EU164" i="24050"/>
  <c r="EU9" i="24050"/>
  <c r="GA170" i="23917"/>
  <c r="ET13" i="24050"/>
  <c r="ET287" i="24050"/>
  <c r="FZ293" i="23917"/>
  <c r="CP21" i="24050"/>
  <c r="DV24" i="23917"/>
  <c r="CP124" i="24050"/>
  <c r="DV70" i="23917"/>
  <c r="DV130" i="23917"/>
  <c r="CP249" i="24050"/>
  <c r="DV255" i="23917"/>
  <c r="DV73" i="23917"/>
  <c r="CQ17" i="24050"/>
  <c r="DW20" i="23917"/>
  <c r="CP71" i="24050"/>
  <c r="CP64" i="24050"/>
  <c r="CP66" i="24050"/>
  <c r="CP69" i="24050"/>
  <c r="CP70" i="24050"/>
  <c r="CP63" i="24050"/>
  <c r="CP65" i="24050"/>
  <c r="CP68" i="24050"/>
  <c r="CP67" i="24050"/>
  <c r="CP326" i="24050"/>
  <c r="DV332" i="23917"/>
  <c r="DV75" i="23917"/>
  <c r="CP207" i="24050"/>
  <c r="DV213" i="23917"/>
  <c r="DV72" i="23917"/>
  <c r="EU252" i="24050"/>
  <c r="GA258" i="23917"/>
  <c r="CP290" i="24050"/>
  <c r="DV296" i="23917"/>
  <c r="DV74" i="23917"/>
  <c r="ET252" i="24050"/>
  <c r="FZ258" i="23917"/>
  <c r="CP167" i="24050"/>
  <c r="DV71" i="23917"/>
  <c r="DV173" i="23917"/>
  <c r="CP19" i="24050"/>
  <c r="DV22" i="23917"/>
  <c r="DW69" i="23917"/>
  <c r="ET323" i="24050"/>
  <c r="ET14" i="24050"/>
  <c r="FZ329" i="23917"/>
  <c r="ES329" i="24050"/>
  <c r="FY335" i="23917"/>
  <c r="EU323" i="24050"/>
  <c r="EU14" i="24050"/>
  <c r="GA329" i="23917"/>
  <c r="ER329" i="24050"/>
  <c r="FX335" i="23917"/>
  <c r="GA12" i="23917"/>
  <c r="FZ12" i="23917"/>
  <c r="FY9" i="23917"/>
  <c r="FY13" i="23917"/>
  <c r="DY17" i="23917"/>
  <c r="FY14" i="23917"/>
  <c r="FX9" i="23917"/>
  <c r="FX14" i="23917"/>
  <c r="FY10" i="23917"/>
  <c r="DV28" i="23917"/>
  <c r="DV29" i="23917" s="1"/>
  <c r="FX10" i="23917"/>
  <c r="DV77" i="23917"/>
  <c r="DW76" i="23917"/>
  <c r="CS11" i="24050"/>
  <c r="GT449" i="23916" l="1"/>
  <c r="GS449" i="23916"/>
  <c r="GQ15" i="23916"/>
  <c r="GP16" i="23916"/>
  <c r="GQ538" i="23916"/>
  <c r="GS450" i="23916"/>
  <c r="GT450" i="23916"/>
  <c r="GT453" i="23916"/>
  <c r="GS453" i="23916"/>
  <c r="GR559" i="23916"/>
  <c r="GR548" i="23916"/>
  <c r="GR488" i="23916"/>
  <c r="GR438" i="23916"/>
  <c r="GR417" i="23916"/>
  <c r="GS416" i="23916"/>
  <c r="GT416" i="23916"/>
  <c r="GR443" i="23916"/>
  <c r="GR479" i="23916"/>
  <c r="GP549" i="23916"/>
  <c r="GQ549" i="23916" s="1"/>
  <c r="GP547" i="23916"/>
  <c r="GQ547" i="23916" s="1"/>
  <c r="GP546" i="23916"/>
  <c r="GQ546" i="23916" s="1"/>
  <c r="GP533" i="23916"/>
  <c r="GQ531" i="23916"/>
  <c r="GP543" i="23916"/>
  <c r="GQ543" i="23916" s="1"/>
  <c r="GP545" i="23916"/>
  <c r="GQ545" i="23916" s="1"/>
  <c r="GP544" i="23916"/>
  <c r="GQ544" i="23916" s="1"/>
  <c r="GP542" i="23916"/>
  <c r="GQ542" i="23916" s="1"/>
  <c r="GP581" i="23916"/>
  <c r="GQ493" i="23916"/>
  <c r="GP495" i="23916"/>
  <c r="GP18" i="23916"/>
  <c r="GQ18" i="23916" s="1"/>
  <c r="GS446" i="23916"/>
  <c r="GT446" i="23916"/>
  <c r="GS451" i="23916"/>
  <c r="GT451" i="23916"/>
  <c r="GQ522" i="23916"/>
  <c r="GP523" i="23916"/>
  <c r="GQ523" i="23916" s="1"/>
  <c r="GS447" i="23916"/>
  <c r="GR454" i="23916"/>
  <c r="GT447" i="23916"/>
  <c r="GT452" i="23916"/>
  <c r="GS452" i="23916"/>
  <c r="GT414" i="23916"/>
  <c r="GS414" i="23916"/>
  <c r="GR14" i="23916"/>
  <c r="GR584" i="23916"/>
  <c r="GR585" i="23916" s="1"/>
  <c r="GO533" i="23916"/>
  <c r="GN536" i="23916"/>
  <c r="GO536" i="23916" s="1"/>
  <c r="GN589" i="23916"/>
  <c r="GN537" i="23916"/>
  <c r="GS448" i="23916"/>
  <c r="GT448" i="23916"/>
  <c r="U6" i="24068"/>
  <c r="V6" i="24068"/>
  <c r="FO11" i="23917"/>
  <c r="ET210" i="24050"/>
  <c r="FZ216" i="23917"/>
  <c r="EI127" i="24050"/>
  <c r="FO133" i="23917"/>
  <c r="ET293" i="24050"/>
  <c r="FZ299" i="23917"/>
  <c r="EU210" i="24050"/>
  <c r="GA216" i="23917"/>
  <c r="EJ121" i="24050"/>
  <c r="EJ8" i="24050"/>
  <c r="FP127" i="23917"/>
  <c r="CU118" i="24050"/>
  <c r="EA124" i="23917"/>
  <c r="CV115" i="24050"/>
  <c r="EB121" i="23917"/>
  <c r="EU293" i="24050"/>
  <c r="GA299" i="23917"/>
  <c r="ET170" i="24050"/>
  <c r="FZ176" i="23917"/>
  <c r="CW109" i="24050"/>
  <c r="EC115" i="23917"/>
  <c r="CT119" i="24050"/>
  <c r="DZ125" i="23917"/>
  <c r="EU170" i="24050"/>
  <c r="GA176" i="23917"/>
  <c r="CV112" i="24050"/>
  <c r="EB118" i="23917"/>
  <c r="CP22" i="24050"/>
  <c r="CP83" i="24050"/>
  <c r="DV89" i="23917"/>
  <c r="CQ167" i="24050"/>
  <c r="DW173" i="23917"/>
  <c r="DW71" i="23917"/>
  <c r="CQ124" i="24050"/>
  <c r="DW130" i="23917"/>
  <c r="DW70" i="23917"/>
  <c r="CP32" i="24050"/>
  <c r="CP33" i="24050" s="1"/>
  <c r="DV40" i="23917"/>
  <c r="DV41" i="23917" s="1"/>
  <c r="CQ207" i="24050"/>
  <c r="DW213" i="23917"/>
  <c r="DW72" i="23917"/>
  <c r="CP72" i="24050"/>
  <c r="DV78" i="23917"/>
  <c r="CP25" i="24050"/>
  <c r="CP26" i="24050" s="1"/>
  <c r="DV33" i="23917"/>
  <c r="DV31" i="23917" s="1"/>
  <c r="CQ290" i="24050"/>
  <c r="DW296" i="23917"/>
  <c r="DW74" i="23917"/>
  <c r="CR17" i="24050"/>
  <c r="DX20" i="23917"/>
  <c r="CQ19" i="24050"/>
  <c r="DW22" i="23917"/>
  <c r="CQ21" i="24050"/>
  <c r="DW24" i="23917"/>
  <c r="CP95" i="24050"/>
  <c r="DV101" i="23917"/>
  <c r="CQ249" i="24050"/>
  <c r="DW255" i="23917"/>
  <c r="DW73" i="23917"/>
  <c r="CQ326" i="24050"/>
  <c r="DW332" i="23917"/>
  <c r="DW75" i="23917"/>
  <c r="DV25" i="23917"/>
  <c r="ET329" i="24050"/>
  <c r="FZ335" i="23917"/>
  <c r="EU329" i="24050"/>
  <c r="GA335" i="23917"/>
  <c r="GA10" i="23917"/>
  <c r="FZ10" i="23917"/>
  <c r="DW77" i="23917"/>
  <c r="GA14" i="23917"/>
  <c r="FZ14" i="23917"/>
  <c r="FZ9" i="23917"/>
  <c r="GA9" i="23917"/>
  <c r="FP11" i="23917"/>
  <c r="DX11" i="23917"/>
  <c r="FO8" i="23917"/>
  <c r="DX76" i="23917"/>
  <c r="DW28" i="23917"/>
  <c r="GA13" i="23917"/>
  <c r="FZ13" i="23917"/>
  <c r="GT548" i="23916" l="1"/>
  <c r="GS548" i="23916"/>
  <c r="GS454" i="23916"/>
  <c r="GT454" i="23916"/>
  <c r="GR637" i="23916"/>
  <c r="GS488" i="23916"/>
  <c r="GT488" i="23916"/>
  <c r="GR17" i="23916"/>
  <c r="GR460" i="23916"/>
  <c r="GT559" i="23916"/>
  <c r="GS559" i="23916"/>
  <c r="GQ495" i="23916"/>
  <c r="GP19" i="23916"/>
  <c r="GQ19" i="23916" s="1"/>
  <c r="GP418" i="23916"/>
  <c r="GQ533" i="23916"/>
  <c r="GP589" i="23916"/>
  <c r="GP536" i="23916"/>
  <c r="GQ536" i="23916" s="1"/>
  <c r="GP537" i="23916"/>
  <c r="GT479" i="23916"/>
  <c r="GS479" i="23916"/>
  <c r="GR580" i="23916"/>
  <c r="GR493" i="23916"/>
  <c r="GS417" i="23916"/>
  <c r="GS580" i="23916" s="1"/>
  <c r="GS14" i="23916"/>
  <c r="GT14" i="23916"/>
  <c r="GR15" i="23916"/>
  <c r="GS443" i="23916"/>
  <c r="GT443" i="23916"/>
  <c r="GR491" i="23916"/>
  <c r="GS438" i="23916"/>
  <c r="GT438" i="23916"/>
  <c r="GR480" i="23916"/>
  <c r="GR527" i="23916"/>
  <c r="GR529" i="23916"/>
  <c r="V39" i="24068"/>
  <c r="CX109" i="24050"/>
  <c r="ED115" i="23917"/>
  <c r="CU119" i="24050"/>
  <c r="EA125" i="23917"/>
  <c r="CW115" i="24050"/>
  <c r="EC121" i="23917"/>
  <c r="CV118" i="24050"/>
  <c r="EB124" i="23917"/>
  <c r="CT121" i="24050"/>
  <c r="CT122" i="24050" s="1"/>
  <c r="CT8" i="24050"/>
  <c r="DZ127" i="23917"/>
  <c r="DZ128" i="23917" s="1"/>
  <c r="CW112" i="24050"/>
  <c r="EC118" i="23917"/>
  <c r="EJ127" i="24050"/>
  <c r="FP133" i="23917"/>
  <c r="CR124" i="24050"/>
  <c r="DX130" i="23917"/>
  <c r="DX70" i="23917"/>
  <c r="CR249" i="24050"/>
  <c r="DX255" i="23917"/>
  <c r="DX73" i="23917"/>
  <c r="CR19" i="24050"/>
  <c r="DX22" i="23917"/>
  <c r="CP35" i="24050"/>
  <c r="CP36" i="24050" s="1"/>
  <c r="DV43" i="23917"/>
  <c r="DV44" i="23917" s="1"/>
  <c r="CQ95" i="24050"/>
  <c r="DW101" i="23917"/>
  <c r="CR326" i="24050"/>
  <c r="DX332" i="23917"/>
  <c r="DX75" i="23917"/>
  <c r="CR290" i="24050"/>
  <c r="DX296" i="23917"/>
  <c r="DX74" i="23917"/>
  <c r="CP45" i="24050"/>
  <c r="DV53" i="23917"/>
  <c r="CQ83" i="24050"/>
  <c r="DW89" i="23917"/>
  <c r="CR71" i="24050"/>
  <c r="CR64" i="24050"/>
  <c r="CR65" i="24050"/>
  <c r="CR63" i="24050"/>
  <c r="CR66" i="24050"/>
  <c r="CR68" i="24050"/>
  <c r="CR69" i="24050"/>
  <c r="CR70" i="24050"/>
  <c r="CR67" i="24050"/>
  <c r="DV34" i="23917"/>
  <c r="CR207" i="24050"/>
  <c r="DX213" i="23917"/>
  <c r="DX72" i="23917"/>
  <c r="CP28" i="24050"/>
  <c r="DV36" i="23917"/>
  <c r="CR167" i="24050"/>
  <c r="DX173" i="23917"/>
  <c r="DX71" i="23917"/>
  <c r="CQ25" i="24050"/>
  <c r="DW33" i="23917"/>
  <c r="CP89" i="24050"/>
  <c r="DV95" i="23917"/>
  <c r="CS17" i="24050"/>
  <c r="DY20" i="23917"/>
  <c r="CQ32" i="24050"/>
  <c r="DW40" i="23917"/>
  <c r="CT11" i="24050"/>
  <c r="DX77" i="23917"/>
  <c r="DY76" i="23917"/>
  <c r="DX69" i="23917"/>
  <c r="DY11" i="23917"/>
  <c r="FO17" i="23917"/>
  <c r="FP8" i="23917"/>
  <c r="GS527" i="23916" l="1"/>
  <c r="GT527" i="23916"/>
  <c r="GT17" i="23916"/>
  <c r="GS17" i="23916"/>
  <c r="GT460" i="23916"/>
  <c r="GS460" i="23916"/>
  <c r="GT491" i="23916"/>
  <c r="GS491" i="23916"/>
  <c r="GR560" i="23916"/>
  <c r="GR558" i="23916"/>
  <c r="GR557" i="23916"/>
  <c r="GS529" i="23916"/>
  <c r="GR531" i="23916"/>
  <c r="GR532" i="23916"/>
  <c r="GT529" i="23916"/>
  <c r="GR526" i="23916"/>
  <c r="GR522" i="23916"/>
  <c r="GR553" i="23916"/>
  <c r="GR556" i="23916"/>
  <c r="GR554" i="23916"/>
  <c r="GR555" i="23916"/>
  <c r="GT480" i="23916"/>
  <c r="GS480" i="23916"/>
  <c r="GR539" i="23916"/>
  <c r="GS15" i="23916"/>
  <c r="GT15" i="23916"/>
  <c r="GR16" i="23916"/>
  <c r="GR581" i="23916"/>
  <c r="GR495" i="23916"/>
  <c r="GT493" i="23916"/>
  <c r="GS493" i="23916"/>
  <c r="GR18" i="23916"/>
  <c r="GP419" i="23916"/>
  <c r="GP440" i="23916"/>
  <c r="GP475" i="23916" s="1"/>
  <c r="V42" i="24068"/>
  <c r="CT127" i="24050"/>
  <c r="DZ133" i="23917"/>
  <c r="CY109" i="24050"/>
  <c r="EE115" i="23917"/>
  <c r="CW118" i="24050"/>
  <c r="EC124" i="23917"/>
  <c r="CX112" i="24050"/>
  <c r="ED118" i="23917"/>
  <c r="CU121" i="24050"/>
  <c r="CU8" i="24050"/>
  <c r="EA127" i="23917"/>
  <c r="CV119" i="24050"/>
  <c r="EB125" i="23917"/>
  <c r="CX115" i="24050"/>
  <c r="ED121" i="23917"/>
  <c r="CP91" i="24050"/>
  <c r="DV97" i="23917"/>
  <c r="CQ45" i="24050"/>
  <c r="DW53" i="23917"/>
  <c r="CS249" i="24050"/>
  <c r="DY255" i="23917"/>
  <c r="DY73" i="23917"/>
  <c r="CS19" i="24050"/>
  <c r="DY22" i="23917"/>
  <c r="CQ35" i="24050"/>
  <c r="DW43" i="23917"/>
  <c r="CR21" i="24050"/>
  <c r="CR22" i="24050" s="1"/>
  <c r="DX24" i="23917"/>
  <c r="DX25" i="23917" s="1"/>
  <c r="CP90" i="24050"/>
  <c r="DV96" i="23917"/>
  <c r="CP77" i="24050"/>
  <c r="DV83" i="23917"/>
  <c r="CP94" i="24050"/>
  <c r="DV100" i="23917"/>
  <c r="CS124" i="24050"/>
  <c r="DY70" i="23917"/>
  <c r="DY130" i="23917"/>
  <c r="CS207" i="24050"/>
  <c r="DY213" i="23917"/>
  <c r="DY72" i="23917"/>
  <c r="CR72" i="24050"/>
  <c r="CP96" i="24050"/>
  <c r="DV102" i="23917"/>
  <c r="EI19" i="24050"/>
  <c r="FO22" i="23917"/>
  <c r="CQ28" i="24050"/>
  <c r="DW36" i="23917"/>
  <c r="CQ41" i="24050"/>
  <c r="DW49" i="23917"/>
  <c r="DX78" i="23917"/>
  <c r="CS167" i="24050"/>
  <c r="DY173" i="23917"/>
  <c r="DY71" i="23917"/>
  <c r="CS290" i="24050"/>
  <c r="DY296" i="23917"/>
  <c r="DY74" i="23917"/>
  <c r="CS326" i="24050"/>
  <c r="DY332" i="23917"/>
  <c r="DY75" i="23917"/>
  <c r="CP93" i="24050"/>
  <c r="DV99" i="23917"/>
  <c r="CP92" i="24050"/>
  <c r="DV98" i="23917"/>
  <c r="CQ89" i="24050"/>
  <c r="DW95" i="23917"/>
  <c r="CP41" i="24050"/>
  <c r="DV49" i="23917"/>
  <c r="DX28" i="23917"/>
  <c r="DX29" i="23917" s="1"/>
  <c r="DZ8" i="23917"/>
  <c r="FP17" i="23917"/>
  <c r="DY77" i="23917"/>
  <c r="DY69" i="23917"/>
  <c r="CU11" i="24050"/>
  <c r="GS18" i="23916" l="1"/>
  <c r="GT18" i="23916"/>
  <c r="GT539" i="23916"/>
  <c r="GS539" i="23916"/>
  <c r="GS560" i="23916"/>
  <c r="GT560" i="23916"/>
  <c r="GT556" i="23916"/>
  <c r="GS556" i="23916"/>
  <c r="GT526" i="23916"/>
  <c r="GS526" i="23916"/>
  <c r="GT553" i="23916"/>
  <c r="GS553" i="23916"/>
  <c r="GT557" i="23916"/>
  <c r="GS557" i="23916"/>
  <c r="GT495" i="23916"/>
  <c r="GS495" i="23916"/>
  <c r="GR19" i="23916"/>
  <c r="GR418" i="23916"/>
  <c r="GT555" i="23916"/>
  <c r="GS555" i="23916"/>
  <c r="GS522" i="23916"/>
  <c r="GR523" i="23916"/>
  <c r="GT522" i="23916"/>
  <c r="GT532" i="23916"/>
  <c r="GS532" i="23916"/>
  <c r="GT558" i="23916"/>
  <c r="GS558" i="23916"/>
  <c r="GS554" i="23916"/>
  <c r="GT554" i="23916"/>
  <c r="GR546" i="23916"/>
  <c r="GR549" i="23916"/>
  <c r="GR547" i="23916"/>
  <c r="GS531" i="23916"/>
  <c r="GR533" i="23916"/>
  <c r="GT531" i="23916"/>
  <c r="GR542" i="23916"/>
  <c r="GR544" i="23916"/>
  <c r="GR545" i="23916"/>
  <c r="GR543" i="23916"/>
  <c r="GR538" i="23916"/>
  <c r="CY115" i="24050"/>
  <c r="EE121" i="23917"/>
  <c r="CY112" i="24050"/>
  <c r="EE118" i="23917"/>
  <c r="CZ109" i="24050"/>
  <c r="EF115" i="23917"/>
  <c r="CX119" i="24050"/>
  <c r="ED125" i="23917"/>
  <c r="CV121" i="24050"/>
  <c r="CV122" i="24050" s="1"/>
  <c r="CV8" i="24050"/>
  <c r="EB127" i="23917"/>
  <c r="EB128" i="23917" s="1"/>
  <c r="CW119" i="24050"/>
  <c r="EC125" i="23917"/>
  <c r="CX118" i="24050"/>
  <c r="ED124" i="23917"/>
  <c r="CU127" i="24050"/>
  <c r="EA133" i="23917"/>
  <c r="CP79" i="24050"/>
  <c r="DV85" i="23917"/>
  <c r="CQ94" i="24050"/>
  <c r="DW100" i="23917"/>
  <c r="CP80" i="24050"/>
  <c r="DV86" i="23917"/>
  <c r="CP84" i="24050"/>
  <c r="DV90" i="23917"/>
  <c r="EI17" i="24050"/>
  <c r="FO20" i="23917"/>
  <c r="EJ19" i="24050"/>
  <c r="FP22" i="23917"/>
  <c r="CP40" i="24050"/>
  <c r="DV48" i="23917"/>
  <c r="CP78" i="24050"/>
  <c r="DV84" i="23917"/>
  <c r="CQ93" i="24050"/>
  <c r="DW99" i="23917"/>
  <c r="CQ92" i="24050"/>
  <c r="DW98" i="23917"/>
  <c r="CR25" i="24050"/>
  <c r="CR26" i="24050" s="1"/>
  <c r="DX33" i="23917"/>
  <c r="DX31" i="23917" s="1"/>
  <c r="CP39" i="24050"/>
  <c r="DV47" i="23917"/>
  <c r="CQ91" i="24050"/>
  <c r="DW97" i="23917"/>
  <c r="CQ90" i="24050"/>
  <c r="DW96" i="23917"/>
  <c r="CQ96" i="24050"/>
  <c r="DW102" i="23917"/>
  <c r="CS21" i="24050"/>
  <c r="DY24" i="23917"/>
  <c r="CR83" i="24050"/>
  <c r="DX89" i="23917"/>
  <c r="EI20" i="24050"/>
  <c r="FO23" i="23917"/>
  <c r="CP82" i="24050"/>
  <c r="DV88" i="23917"/>
  <c r="CR32" i="24050"/>
  <c r="CR33" i="24050" s="1"/>
  <c r="DX40" i="23917"/>
  <c r="CR95" i="24050"/>
  <c r="DX101" i="23917"/>
  <c r="CP81" i="24050"/>
  <c r="DV87" i="23917"/>
  <c r="CQ77" i="24050"/>
  <c r="DW83" i="23917"/>
  <c r="CV11" i="24050"/>
  <c r="EA8" i="23917"/>
  <c r="DZ17" i="23917"/>
  <c r="FO76" i="23917"/>
  <c r="FO69" i="23917"/>
  <c r="DY28" i="23917"/>
  <c r="DZ11" i="23917"/>
  <c r="GT544" i="23916" l="1"/>
  <c r="GS544" i="23916"/>
  <c r="GT19" i="23916"/>
  <c r="GS19" i="23916"/>
  <c r="GS538" i="23916"/>
  <c r="GT538" i="23916"/>
  <c r="GT542" i="23916"/>
  <c r="GS542" i="23916"/>
  <c r="GT547" i="23916"/>
  <c r="GS547" i="23916"/>
  <c r="GS543" i="23916"/>
  <c r="GT543" i="23916"/>
  <c r="GT549" i="23916"/>
  <c r="GS549" i="23916"/>
  <c r="GT545" i="23916"/>
  <c r="GS545" i="23916"/>
  <c r="GS533" i="23916"/>
  <c r="GT533" i="23916"/>
  <c r="GR536" i="23916"/>
  <c r="GR589" i="23916"/>
  <c r="GR537" i="23916"/>
  <c r="GT537" i="23916" s="1"/>
  <c r="GT546" i="23916"/>
  <c r="GS546" i="23916"/>
  <c r="GS523" i="23916"/>
  <c r="GT523" i="23916"/>
  <c r="GR419" i="23916"/>
  <c r="GR440" i="23916"/>
  <c r="GR475" i="23916" s="1"/>
  <c r="V44" i="24068"/>
  <c r="CZ115" i="24050"/>
  <c r="EF121" i="23917"/>
  <c r="EK109" i="24050"/>
  <c r="FQ115" i="23917"/>
  <c r="DA109" i="24050"/>
  <c r="EG115" i="23917"/>
  <c r="CV127" i="24050"/>
  <c r="EB133" i="23917"/>
  <c r="CX121" i="24050"/>
  <c r="CX122" i="24050" s="1"/>
  <c r="CX8" i="24050"/>
  <c r="ED127" i="23917"/>
  <c r="ED128" i="23917" s="1"/>
  <c r="CW121" i="24050"/>
  <c r="CW8" i="24050"/>
  <c r="EC127" i="23917"/>
  <c r="CY119" i="24050"/>
  <c r="EE125" i="23917"/>
  <c r="CY118" i="24050"/>
  <c r="EE124" i="23917"/>
  <c r="CZ112" i="24050"/>
  <c r="EF118" i="23917"/>
  <c r="DX34" i="23917"/>
  <c r="CQ82" i="24050"/>
  <c r="DW88" i="23917"/>
  <c r="EI167" i="24050"/>
  <c r="FO173" i="23917"/>
  <c r="FO71" i="23917"/>
  <c r="CS83" i="24050"/>
  <c r="DY89" i="23917"/>
  <c r="EJ17" i="24050"/>
  <c r="FP20" i="23917"/>
  <c r="CS32" i="24050"/>
  <c r="DY40" i="23917"/>
  <c r="CQ84" i="24050"/>
  <c r="DW90" i="23917"/>
  <c r="EI207" i="24050"/>
  <c r="FO213" i="23917"/>
  <c r="FO72" i="23917"/>
  <c r="CQ80" i="24050"/>
  <c r="DW86" i="23917"/>
  <c r="EI290" i="24050"/>
  <c r="FO296" i="23917"/>
  <c r="FO74" i="23917"/>
  <c r="CQ78" i="24050"/>
  <c r="DW84" i="23917"/>
  <c r="CR89" i="24050"/>
  <c r="DX95" i="23917"/>
  <c r="CQ39" i="24050"/>
  <c r="DW47" i="23917"/>
  <c r="CR28" i="24050"/>
  <c r="DX36" i="23917"/>
  <c r="EI249" i="24050"/>
  <c r="FO255" i="23917"/>
  <c r="FO73" i="23917"/>
  <c r="EJ20" i="24050"/>
  <c r="FP23" i="23917"/>
  <c r="CQ81" i="24050"/>
  <c r="DW87" i="23917"/>
  <c r="CS25" i="24050"/>
  <c r="DY33" i="23917"/>
  <c r="EI124" i="24050"/>
  <c r="FO130" i="23917"/>
  <c r="FO70" i="23917"/>
  <c r="CQ40" i="24050"/>
  <c r="DW48" i="23917"/>
  <c r="CS95" i="24050"/>
  <c r="DY101" i="23917"/>
  <c r="EI326" i="24050"/>
  <c r="FO332" i="23917"/>
  <c r="FO75" i="23917"/>
  <c r="CR45" i="24050"/>
  <c r="DX53" i="23917"/>
  <c r="EI21" i="24050"/>
  <c r="FO24" i="23917"/>
  <c r="CR35" i="24050"/>
  <c r="CR36" i="24050" s="1"/>
  <c r="DX43" i="23917"/>
  <c r="DX44" i="23917" s="1"/>
  <c r="CQ79" i="24050"/>
  <c r="DW85" i="23917"/>
  <c r="DX41" i="23917"/>
  <c r="EI71" i="24050"/>
  <c r="EI63" i="24050"/>
  <c r="EI69" i="24050"/>
  <c r="EI68" i="24050"/>
  <c r="EI70" i="24050"/>
  <c r="EI64" i="24050"/>
  <c r="EI66" i="24050"/>
  <c r="EI65" i="24050"/>
  <c r="EI67" i="24050"/>
  <c r="EA11" i="23917"/>
  <c r="FO77" i="23917"/>
  <c r="FP76" i="23917"/>
  <c r="U39" i="24068"/>
  <c r="CW11" i="24050"/>
  <c r="EB8" i="23917"/>
  <c r="FP69" i="23917"/>
  <c r="EA17" i="23917"/>
  <c r="GS536" i="23916" l="1"/>
  <c r="GT536" i="23916"/>
  <c r="U40" i="24068"/>
  <c r="V40" i="24068"/>
  <c r="DA112" i="24050"/>
  <c r="EG118" i="23917"/>
  <c r="CY121" i="24050"/>
  <c r="CY8" i="24050"/>
  <c r="EE127" i="23917"/>
  <c r="CZ118" i="24050"/>
  <c r="EF124" i="23917"/>
  <c r="CW127" i="24050"/>
  <c r="EC133" i="23917"/>
  <c r="CX127" i="24050"/>
  <c r="ED133" i="23917"/>
  <c r="EL109" i="24050"/>
  <c r="FR115" i="23917"/>
  <c r="DA115" i="24050"/>
  <c r="EG121" i="23917"/>
  <c r="EK112" i="24050"/>
  <c r="FQ118" i="23917"/>
  <c r="EK115" i="24050"/>
  <c r="FQ121" i="23917"/>
  <c r="EJ167" i="24050"/>
  <c r="FP173" i="23917"/>
  <c r="FP71" i="23917"/>
  <c r="CR91" i="24050"/>
  <c r="DX97" i="23917"/>
  <c r="EJ326" i="24050"/>
  <c r="FP332" i="23917"/>
  <c r="FP75" i="23917"/>
  <c r="EJ21" i="24050"/>
  <c r="FP24" i="23917"/>
  <c r="EI83" i="24050"/>
  <c r="FO89" i="23917"/>
  <c r="CR92" i="24050"/>
  <c r="DX98" i="23917"/>
  <c r="EI89" i="24050"/>
  <c r="FO95" i="23917"/>
  <c r="CR93" i="24050"/>
  <c r="DX99" i="23917"/>
  <c r="CS28" i="24050"/>
  <c r="DY36" i="23917"/>
  <c r="EI95" i="24050"/>
  <c r="FO101" i="23917"/>
  <c r="EJ124" i="24050"/>
  <c r="FP70" i="23917"/>
  <c r="FP130" i="23917"/>
  <c r="CR90" i="24050"/>
  <c r="DX96" i="23917"/>
  <c r="CR77" i="24050"/>
  <c r="DX83" i="23917"/>
  <c r="CR96" i="24050"/>
  <c r="DX102" i="23917"/>
  <c r="EI72" i="24050"/>
  <c r="EJ290" i="24050"/>
  <c r="FP296" i="23917"/>
  <c r="FP74" i="23917"/>
  <c r="FO25" i="23917"/>
  <c r="EJ207" i="24050"/>
  <c r="FP213" i="23917"/>
  <c r="FP72" i="23917"/>
  <c r="CR41" i="24050"/>
  <c r="DX49" i="23917"/>
  <c r="CS45" i="24050"/>
  <c r="DY53" i="23917"/>
  <c r="EI32" i="24050"/>
  <c r="EI33" i="24050" s="1"/>
  <c r="FO40" i="23917"/>
  <c r="FO41" i="23917" s="1"/>
  <c r="CS35" i="24050"/>
  <c r="DY43" i="23917"/>
  <c r="EJ249" i="24050"/>
  <c r="FP255" i="23917"/>
  <c r="FP73" i="23917"/>
  <c r="EI25" i="24050"/>
  <c r="EI26" i="24050" s="1"/>
  <c r="FO33" i="23917"/>
  <c r="CS89" i="24050"/>
  <c r="DY95" i="23917"/>
  <c r="CR94" i="24050"/>
  <c r="DX100" i="23917"/>
  <c r="EI22" i="24050"/>
  <c r="FO78" i="23917"/>
  <c r="CT17" i="24050"/>
  <c r="DZ20" i="23917"/>
  <c r="CX11" i="24050"/>
  <c r="EB11" i="23917"/>
  <c r="FP77" i="23917"/>
  <c r="ED8" i="23917"/>
  <c r="EB17" i="23917"/>
  <c r="EC8" i="23917"/>
  <c r="CY127" i="24050" l="1"/>
  <c r="EE133" i="23917"/>
  <c r="CZ119" i="24050"/>
  <c r="EF125" i="23917"/>
  <c r="EL115" i="24050"/>
  <c r="FR121" i="23917"/>
  <c r="EL112" i="24050"/>
  <c r="FR118" i="23917"/>
  <c r="EK118" i="24050"/>
  <c r="FQ124" i="23917"/>
  <c r="EK130" i="24050"/>
  <c r="FQ136" i="23917"/>
  <c r="DA118" i="24050"/>
  <c r="EG124" i="23917"/>
  <c r="CS96" i="24050"/>
  <c r="DY102" i="23917"/>
  <c r="EJ95" i="24050"/>
  <c r="FP101" i="23917"/>
  <c r="EI92" i="24050"/>
  <c r="FO98" i="23917"/>
  <c r="EI93" i="24050"/>
  <c r="FO99" i="23917"/>
  <c r="CR78" i="24050"/>
  <c r="DX84" i="23917"/>
  <c r="EI90" i="24050"/>
  <c r="FO96" i="23917"/>
  <c r="CR39" i="24050"/>
  <c r="DX47" i="23917"/>
  <c r="CR79" i="24050"/>
  <c r="DX85" i="23917"/>
  <c r="CR82" i="24050"/>
  <c r="DX88" i="23917"/>
  <c r="EI77" i="24050"/>
  <c r="FO83" i="23917"/>
  <c r="EI96" i="24050"/>
  <c r="FO102" i="23917"/>
  <c r="EJ32" i="24050"/>
  <c r="FP40" i="23917"/>
  <c r="U42" i="24068"/>
  <c r="FO28" i="23917"/>
  <c r="FO29" i="23917" s="1"/>
  <c r="CS91" i="24050"/>
  <c r="DY97" i="23917"/>
  <c r="CS93" i="24050"/>
  <c r="DY99" i="23917"/>
  <c r="EI91" i="24050"/>
  <c r="FO97" i="23917"/>
  <c r="EJ89" i="24050"/>
  <c r="FP95" i="23917"/>
  <c r="EI35" i="24050"/>
  <c r="EI36" i="24050" s="1"/>
  <c r="FO43" i="23917"/>
  <c r="FO44" i="23917" s="1"/>
  <c r="CR81" i="24050"/>
  <c r="DX87" i="23917"/>
  <c r="EJ83" i="24050"/>
  <c r="FP89" i="23917"/>
  <c r="EI40" i="24050"/>
  <c r="FO48" i="23917"/>
  <c r="CS90" i="24050"/>
  <c r="DY96" i="23917"/>
  <c r="CS92" i="24050"/>
  <c r="DY98" i="23917"/>
  <c r="CS41" i="24050"/>
  <c r="DY49" i="23917"/>
  <c r="EJ25" i="24050"/>
  <c r="FP33" i="23917"/>
  <c r="CR80" i="24050"/>
  <c r="DX86" i="23917"/>
  <c r="CR84" i="24050"/>
  <c r="DX90" i="23917"/>
  <c r="CR40" i="24050"/>
  <c r="DX48" i="23917"/>
  <c r="CS77" i="24050"/>
  <c r="DY83" i="23917"/>
  <c r="EI45" i="24050"/>
  <c r="FO53" i="23917"/>
  <c r="EI94" i="24050"/>
  <c r="FO100" i="23917"/>
  <c r="EI41" i="24050"/>
  <c r="FO49" i="23917"/>
  <c r="CS94" i="24050"/>
  <c r="DY100" i="23917"/>
  <c r="FO34" i="23917"/>
  <c r="EA69" i="23917"/>
  <c r="DZ69" i="23917"/>
  <c r="CT249" i="24050"/>
  <c r="DZ255" i="23917"/>
  <c r="DZ73" i="23917"/>
  <c r="EA76" i="23917"/>
  <c r="DZ76" i="23917"/>
  <c r="CT71" i="24050"/>
  <c r="CT63" i="24050"/>
  <c r="CT67" i="24050"/>
  <c r="CT64" i="24050"/>
  <c r="CT68" i="24050"/>
  <c r="CT65" i="24050"/>
  <c r="CT70" i="24050"/>
  <c r="CT66" i="24050"/>
  <c r="CT69" i="24050"/>
  <c r="CT167" i="24050"/>
  <c r="DZ173" i="23917"/>
  <c r="DZ71" i="23917"/>
  <c r="CT19" i="24050"/>
  <c r="DZ22" i="23917"/>
  <c r="CT290" i="24050"/>
  <c r="DZ296" i="23917"/>
  <c r="DZ74" i="23917"/>
  <c r="CT124" i="24050"/>
  <c r="DZ130" i="23917"/>
  <c r="DZ70" i="23917"/>
  <c r="CT207" i="24050"/>
  <c r="DZ213" i="23917"/>
  <c r="DZ72" i="23917"/>
  <c r="CU17" i="24050"/>
  <c r="EA20" i="23917"/>
  <c r="CT326" i="24050"/>
  <c r="DZ332" i="23917"/>
  <c r="DZ75" i="23917"/>
  <c r="EE8" i="23917"/>
  <c r="ED17" i="23917"/>
  <c r="FP28" i="23917"/>
  <c r="CZ11" i="24050"/>
  <c r="CY11" i="24050"/>
  <c r="EC17" i="23917"/>
  <c r="EC11" i="23917"/>
  <c r="U43" i="24068" l="1"/>
  <c r="V43" i="24068"/>
  <c r="FO31" i="23917"/>
  <c r="EL130" i="24050"/>
  <c r="FR136" i="23917"/>
  <c r="EK11" i="24050"/>
  <c r="EL118" i="24050"/>
  <c r="FR124" i="23917"/>
  <c r="DA119" i="24050"/>
  <c r="EG125" i="23917"/>
  <c r="EM130" i="24050"/>
  <c r="FS136" i="23917"/>
  <c r="EK119" i="24050"/>
  <c r="FQ125" i="23917"/>
  <c r="EK131" i="24050"/>
  <c r="FQ137" i="23917"/>
  <c r="CZ121" i="24050"/>
  <c r="CZ122" i="24050" s="1"/>
  <c r="CZ8" i="24050"/>
  <c r="EF127" i="23917"/>
  <c r="EF128" i="23917" s="1"/>
  <c r="EJ35" i="24050"/>
  <c r="FP43" i="23917"/>
  <c r="CS39" i="24050"/>
  <c r="DY47" i="23917"/>
  <c r="EJ96" i="24050"/>
  <c r="FP102" i="23917"/>
  <c r="EI82" i="24050"/>
  <c r="FO88" i="23917"/>
  <c r="EJ93" i="24050"/>
  <c r="FP99" i="23917"/>
  <c r="CS78" i="24050"/>
  <c r="DY84" i="23917"/>
  <c r="EI80" i="24050"/>
  <c r="FO86" i="23917"/>
  <c r="EI84" i="24050"/>
  <c r="FO90" i="23917"/>
  <c r="CS40" i="24050"/>
  <c r="DY48" i="23917"/>
  <c r="EJ77" i="24050"/>
  <c r="FP83" i="23917"/>
  <c r="EJ91" i="24050"/>
  <c r="FP97" i="23917"/>
  <c r="EJ40" i="24050"/>
  <c r="FP48" i="23917"/>
  <c r="EJ90" i="24050"/>
  <c r="FP96" i="23917"/>
  <c r="CS80" i="24050"/>
  <c r="DY86" i="23917"/>
  <c r="EI79" i="24050"/>
  <c r="FO85" i="23917"/>
  <c r="EI81" i="24050"/>
  <c r="FO87" i="23917"/>
  <c r="EJ45" i="24050"/>
  <c r="FP53" i="23917"/>
  <c r="EJ94" i="24050"/>
  <c r="FP100" i="23917"/>
  <c r="CS82" i="24050"/>
  <c r="DY88" i="23917"/>
  <c r="CS84" i="24050"/>
  <c r="DY90" i="23917"/>
  <c r="EJ92" i="24050"/>
  <c r="FP98" i="23917"/>
  <c r="EJ41" i="24050"/>
  <c r="FP49" i="23917"/>
  <c r="EI28" i="24050"/>
  <c r="FO36" i="23917"/>
  <c r="EI78" i="24050"/>
  <c r="FO84" i="23917"/>
  <c r="CS81" i="24050"/>
  <c r="DY87" i="23917"/>
  <c r="CS79" i="24050"/>
  <c r="DY85" i="23917"/>
  <c r="CV17" i="24050"/>
  <c r="EB20" i="23917"/>
  <c r="EC69" i="23917"/>
  <c r="EB69" i="23917"/>
  <c r="CU124" i="24050"/>
  <c r="EA130" i="23917"/>
  <c r="EA70" i="23917"/>
  <c r="CU290" i="24050"/>
  <c r="EA296" i="23917"/>
  <c r="EA74" i="23917"/>
  <c r="CT21" i="24050"/>
  <c r="DZ24" i="23917"/>
  <c r="EA77" i="23917"/>
  <c r="DZ77" i="23917"/>
  <c r="DZ78" i="23917" s="1"/>
  <c r="CU19" i="24050"/>
  <c r="EA22" i="23917"/>
  <c r="CU207" i="24050"/>
  <c r="EA213" i="23917"/>
  <c r="EA72" i="23917"/>
  <c r="DZ25" i="23917"/>
  <c r="CU249" i="24050"/>
  <c r="EA255" i="23917"/>
  <c r="EA73" i="23917"/>
  <c r="CU167" i="24050"/>
  <c r="EA173" i="23917"/>
  <c r="EA71" i="23917"/>
  <c r="CT72" i="24050"/>
  <c r="CU326" i="24050"/>
  <c r="EA332" i="23917"/>
  <c r="EA75" i="23917"/>
  <c r="EE17" i="23917"/>
  <c r="DA11" i="24050"/>
  <c r="DZ28" i="23917"/>
  <c r="DZ29" i="23917" s="1"/>
  <c r="ED11" i="23917"/>
  <c r="EL11" i="24050" l="1"/>
  <c r="EL131" i="24050"/>
  <c r="FR137" i="23917"/>
  <c r="EN130" i="24050"/>
  <c r="FT136" i="23917"/>
  <c r="DA121" i="24050"/>
  <c r="DA8" i="24050"/>
  <c r="EG127" i="23917"/>
  <c r="EL119" i="24050"/>
  <c r="FR125" i="23917"/>
  <c r="CZ127" i="24050"/>
  <c r="EF133" i="23917"/>
  <c r="EK121" i="24050"/>
  <c r="EK122" i="24050" s="1"/>
  <c r="EK8" i="24050"/>
  <c r="FQ127" i="23917"/>
  <c r="FQ128" i="23917" s="1"/>
  <c r="EM131" i="24050"/>
  <c r="FS137" i="23917"/>
  <c r="EO130" i="24050"/>
  <c r="FU136" i="23917"/>
  <c r="EJ28" i="24050"/>
  <c r="FP36" i="23917"/>
  <c r="EJ82" i="24050"/>
  <c r="FP88" i="23917"/>
  <c r="EJ81" i="24050"/>
  <c r="FP87" i="23917"/>
  <c r="U44" i="24068"/>
  <c r="EI39" i="24050"/>
  <c r="FO47" i="23917"/>
  <c r="EJ78" i="24050"/>
  <c r="FP84" i="23917"/>
  <c r="EJ79" i="24050"/>
  <c r="FP85" i="23917"/>
  <c r="EJ84" i="24050"/>
  <c r="FP90" i="23917"/>
  <c r="CX17" i="24050"/>
  <c r="ED20" i="23917"/>
  <c r="EJ80" i="24050"/>
  <c r="FP86" i="23917"/>
  <c r="EB22" i="23917"/>
  <c r="CV19" i="24050"/>
  <c r="CV167" i="24050"/>
  <c r="EB71" i="23917"/>
  <c r="EB173" i="23917"/>
  <c r="CV124" i="24050"/>
  <c r="EB130" i="23917"/>
  <c r="EB70" i="23917"/>
  <c r="CV207" i="24050"/>
  <c r="EB213" i="23917"/>
  <c r="EB72" i="23917"/>
  <c r="CW17" i="24050"/>
  <c r="EC20" i="23917"/>
  <c r="EC76" i="23917"/>
  <c r="EB76" i="23917"/>
  <c r="EB75" i="23917"/>
  <c r="CV326" i="24050"/>
  <c r="EB332" i="23917"/>
  <c r="CV290" i="24050"/>
  <c r="EB296" i="23917"/>
  <c r="EB74" i="23917"/>
  <c r="EB73" i="23917"/>
  <c r="EB255" i="23917"/>
  <c r="CV249" i="24050"/>
  <c r="CV71" i="24050"/>
  <c r="CV65" i="24050"/>
  <c r="CV67" i="24050"/>
  <c r="CV63" i="24050"/>
  <c r="CV64" i="24050"/>
  <c r="CV66" i="24050"/>
  <c r="CV68" i="24050"/>
  <c r="CV70" i="24050"/>
  <c r="CV69" i="24050"/>
  <c r="CU21" i="24050"/>
  <c r="EA24" i="23917"/>
  <c r="CT25" i="24050"/>
  <c r="CT26" i="24050" s="1"/>
  <c r="DZ33" i="23917"/>
  <c r="DZ31" i="23917" s="1"/>
  <c r="CT83" i="24050"/>
  <c r="DZ89" i="23917"/>
  <c r="CT22" i="24050"/>
  <c r="CT32" i="24050"/>
  <c r="DZ40" i="23917"/>
  <c r="DZ41" i="23917" s="1"/>
  <c r="CT95" i="24050"/>
  <c r="DZ101" i="23917"/>
  <c r="EF11" i="23917"/>
  <c r="EE11" i="23917"/>
  <c r="EA28" i="23917"/>
  <c r="FQ11" i="23917"/>
  <c r="EQ130" i="24050" l="1"/>
  <c r="FW136" i="23917"/>
  <c r="EK127" i="24050"/>
  <c r="FQ133" i="23917"/>
  <c r="EN131" i="24050"/>
  <c r="FT137" i="23917"/>
  <c r="DA127" i="24050"/>
  <c r="EG133" i="23917"/>
  <c r="EP130" i="24050"/>
  <c r="FV136" i="23917"/>
  <c r="EO131" i="24050"/>
  <c r="FU137" i="23917"/>
  <c r="EL121" i="24050"/>
  <c r="EL8" i="24050"/>
  <c r="FR127" i="23917"/>
  <c r="EF8" i="23917"/>
  <c r="EG8" i="23917"/>
  <c r="CX124" i="24050"/>
  <c r="ED130" i="23917"/>
  <c r="ED70" i="23917"/>
  <c r="CX326" i="24050"/>
  <c r="ED332" i="23917"/>
  <c r="ED75" i="23917"/>
  <c r="CX207" i="24050"/>
  <c r="ED72" i="23917"/>
  <c r="ED213" i="23917"/>
  <c r="EJ39" i="24050"/>
  <c r="FP47" i="23917"/>
  <c r="CX290" i="24050"/>
  <c r="ED296" i="23917"/>
  <c r="ED74" i="23917"/>
  <c r="EE76" i="23917"/>
  <c r="ED76" i="23917"/>
  <c r="CV25" i="24050"/>
  <c r="CX167" i="24050"/>
  <c r="ED173" i="23917"/>
  <c r="ED71" i="23917"/>
  <c r="CX19" i="24050"/>
  <c r="ED22" i="23917"/>
  <c r="CX249" i="24050"/>
  <c r="ED255" i="23917"/>
  <c r="ED73" i="23917"/>
  <c r="CV72" i="24050"/>
  <c r="CY17" i="24050"/>
  <c r="EE20" i="23917"/>
  <c r="EE69" i="23917"/>
  <c r="ED69" i="23917"/>
  <c r="CX71" i="24050"/>
  <c r="CX63" i="24050"/>
  <c r="CX65" i="24050"/>
  <c r="CX68" i="24050"/>
  <c r="CX64" i="24050"/>
  <c r="CX66" i="24050"/>
  <c r="CX69" i="24050"/>
  <c r="CX70" i="24050"/>
  <c r="CX67" i="24050"/>
  <c r="EB101" i="23917"/>
  <c r="CV95" i="24050"/>
  <c r="CW19" i="24050"/>
  <c r="EC22" i="23917"/>
  <c r="EB28" i="23917"/>
  <c r="EB29" i="23917" s="1"/>
  <c r="EC71" i="23917"/>
  <c r="CW167" i="24050"/>
  <c r="EC173" i="23917"/>
  <c r="CV32" i="24050"/>
  <c r="CV21" i="24050"/>
  <c r="CV22" i="24050" s="1"/>
  <c r="EB24" i="23917"/>
  <c r="EB25" i="23917" s="1"/>
  <c r="CW290" i="24050"/>
  <c r="EC296" i="23917"/>
  <c r="EC74" i="23917"/>
  <c r="EC75" i="23917"/>
  <c r="CW326" i="24050"/>
  <c r="EC332" i="23917"/>
  <c r="CW207" i="24050"/>
  <c r="EC213" i="23917"/>
  <c r="EC72" i="23917"/>
  <c r="EC70" i="23917"/>
  <c r="CW124" i="24050"/>
  <c r="EC130" i="23917"/>
  <c r="EC255" i="23917"/>
  <c r="CW249" i="24050"/>
  <c r="EC73" i="23917"/>
  <c r="EC77" i="23917"/>
  <c r="EB77" i="23917"/>
  <c r="EB78" i="23917" s="1"/>
  <c r="CU32" i="24050"/>
  <c r="EA40" i="23917"/>
  <c r="CU25" i="24050"/>
  <c r="EA33" i="23917"/>
  <c r="CU83" i="24050"/>
  <c r="EA89" i="23917"/>
  <c r="CT89" i="24050"/>
  <c r="DZ95" i="23917"/>
  <c r="DZ34" i="23917"/>
  <c r="CT35" i="24050"/>
  <c r="CT36" i="24050" s="1"/>
  <c r="DZ43" i="23917"/>
  <c r="DZ44" i="23917" s="1"/>
  <c r="CT28" i="24050"/>
  <c r="DZ36" i="23917"/>
  <c r="CT45" i="24050"/>
  <c r="DZ53" i="23917"/>
  <c r="CU95" i="24050"/>
  <c r="EA101" i="23917"/>
  <c r="CT33" i="24050"/>
  <c r="FQ8" i="23917"/>
  <c r="FR11" i="23917"/>
  <c r="EG11" i="23917"/>
  <c r="EB95" i="23917" l="1"/>
  <c r="EB53" i="23917"/>
  <c r="EB33" i="23917"/>
  <c r="EB34" i="23917" s="1"/>
  <c r="CW25" i="24050"/>
  <c r="EC40" i="23917"/>
  <c r="EB40" i="23917"/>
  <c r="EB41" i="23917" s="1"/>
  <c r="EB36" i="23917"/>
  <c r="EL127" i="24050"/>
  <c r="FR133" i="23917"/>
  <c r="EP131" i="24050"/>
  <c r="FV137" i="23917"/>
  <c r="ES130" i="24050"/>
  <c r="FY136" i="23917"/>
  <c r="EC28" i="23917"/>
  <c r="EF17" i="23917"/>
  <c r="EG17" i="23917"/>
  <c r="EQ131" i="24050"/>
  <c r="FW137" i="23917"/>
  <c r="ER130" i="24050"/>
  <c r="FX136" i="23917"/>
  <c r="CY19" i="24050"/>
  <c r="EE22" i="23917"/>
  <c r="CX21" i="24050"/>
  <c r="CX22" i="24050" s="1"/>
  <c r="ED24" i="23917"/>
  <c r="ED25" i="23917" s="1"/>
  <c r="CY207" i="24050"/>
  <c r="EE72" i="23917"/>
  <c r="EE213" i="23917"/>
  <c r="CY326" i="24050"/>
  <c r="EE332" i="23917"/>
  <c r="EE75" i="23917"/>
  <c r="EE77" i="23917"/>
  <c r="ED77" i="23917"/>
  <c r="ED78" i="23917" s="1"/>
  <c r="CY124" i="24050"/>
  <c r="EE130" i="23917"/>
  <c r="EE70" i="23917"/>
  <c r="CY249" i="24050"/>
  <c r="EE255" i="23917"/>
  <c r="EE73" i="23917"/>
  <c r="CY290" i="24050"/>
  <c r="EE296" i="23917"/>
  <c r="EE74" i="23917"/>
  <c r="CX72" i="24050"/>
  <c r="CY167" i="24050"/>
  <c r="EE173" i="23917"/>
  <c r="EE71" i="23917"/>
  <c r="EC24" i="23917"/>
  <c r="CW21" i="24050"/>
  <c r="CV33" i="24050"/>
  <c r="CV26" i="24050"/>
  <c r="CV83" i="24050"/>
  <c r="EB89" i="23917"/>
  <c r="EC101" i="23917"/>
  <c r="CW95" i="24050"/>
  <c r="CU28" i="24050"/>
  <c r="EA36" i="23917"/>
  <c r="CU89" i="24050"/>
  <c r="EA95" i="23917"/>
  <c r="CU35" i="24050"/>
  <c r="EA43" i="23917"/>
  <c r="CT41" i="24050"/>
  <c r="DZ49" i="23917"/>
  <c r="CT77" i="24050"/>
  <c r="DZ83" i="23917"/>
  <c r="CT94" i="24050"/>
  <c r="DZ100" i="23917"/>
  <c r="CT90" i="24050"/>
  <c r="DZ96" i="23917"/>
  <c r="CT96" i="24050"/>
  <c r="DZ102" i="23917"/>
  <c r="CT92" i="24050"/>
  <c r="DZ98" i="23917"/>
  <c r="CT91" i="24050"/>
  <c r="DZ97" i="23917"/>
  <c r="CT93" i="24050"/>
  <c r="DZ99" i="23917"/>
  <c r="CU45" i="24050"/>
  <c r="EA53" i="23917"/>
  <c r="ED28" i="23917"/>
  <c r="ED29" i="23917" s="1"/>
  <c r="FQ17" i="23917"/>
  <c r="FR8" i="23917"/>
  <c r="CV89" i="24050" l="1"/>
  <c r="EB31" i="23917"/>
  <c r="CV45" i="24050"/>
  <c r="EC53" i="23917"/>
  <c r="EC33" i="23917"/>
  <c r="CW32" i="24050"/>
  <c r="EB43" i="23917"/>
  <c r="EB44" i="23917" s="1"/>
  <c r="EC36" i="23917"/>
  <c r="CV35" i="24050"/>
  <c r="CV36" i="24050" s="1"/>
  <c r="CV28" i="24050"/>
  <c r="EU130" i="24050"/>
  <c r="GA136" i="23917"/>
  <c r="ET130" i="24050"/>
  <c r="FZ136" i="23917"/>
  <c r="ER131" i="24050"/>
  <c r="FX137" i="23917"/>
  <c r="EM109" i="24050"/>
  <c r="FS115" i="23917"/>
  <c r="ES131" i="24050"/>
  <c r="FY137" i="23917"/>
  <c r="EF20" i="23917"/>
  <c r="CZ17" i="24050"/>
  <c r="CX89" i="24050"/>
  <c r="CX83" i="24050"/>
  <c r="ED89" i="23917"/>
  <c r="CX32" i="24050"/>
  <c r="CX33" i="24050" s="1"/>
  <c r="ED40" i="23917"/>
  <c r="CY21" i="24050"/>
  <c r="EE24" i="23917"/>
  <c r="CX95" i="24050"/>
  <c r="ED101" i="23917"/>
  <c r="CX25" i="24050"/>
  <c r="CX26" i="24050" s="1"/>
  <c r="ED33" i="23917"/>
  <c r="ED31" i="23917" s="1"/>
  <c r="CW83" i="24050"/>
  <c r="EC89" i="23917"/>
  <c r="CW35" i="24050"/>
  <c r="EC43" i="23917"/>
  <c r="CV93" i="24050"/>
  <c r="EB99" i="23917"/>
  <c r="CV91" i="24050"/>
  <c r="EB97" i="23917"/>
  <c r="CV77" i="24050"/>
  <c r="EB83" i="23917"/>
  <c r="CT79" i="24050"/>
  <c r="DZ85" i="23917"/>
  <c r="EB102" i="23917"/>
  <c r="CT80" i="24050"/>
  <c r="DZ86" i="23917"/>
  <c r="CU77" i="24050"/>
  <c r="EA83" i="23917"/>
  <c r="CT84" i="24050"/>
  <c r="DZ90" i="23917"/>
  <c r="CU92" i="24050"/>
  <c r="EA98" i="23917"/>
  <c r="CT40" i="24050"/>
  <c r="DZ48" i="23917"/>
  <c r="CT78" i="24050"/>
  <c r="DZ84" i="23917"/>
  <c r="CU91" i="24050"/>
  <c r="EA97" i="23917"/>
  <c r="CU94" i="24050"/>
  <c r="EA100" i="23917"/>
  <c r="CV41" i="24050"/>
  <c r="EB49" i="23917"/>
  <c r="CT82" i="24050"/>
  <c r="DZ88" i="23917"/>
  <c r="CU93" i="24050"/>
  <c r="EA99" i="23917"/>
  <c r="CU90" i="24050"/>
  <c r="EA96" i="23917"/>
  <c r="CU41" i="24050"/>
  <c r="EA49" i="23917"/>
  <c r="CW89" i="24050"/>
  <c r="EC95" i="23917"/>
  <c r="CV92" i="24050"/>
  <c r="EB98" i="23917"/>
  <c r="CV94" i="24050"/>
  <c r="EB100" i="23917"/>
  <c r="CT39" i="24050"/>
  <c r="DZ47" i="23917"/>
  <c r="CV90" i="24050"/>
  <c r="EB96" i="23917"/>
  <c r="CT81" i="24050"/>
  <c r="DZ87" i="23917"/>
  <c r="CU96" i="24050"/>
  <c r="EA102" i="23917"/>
  <c r="FR17" i="23917"/>
  <c r="EE28" i="23917"/>
  <c r="CV96" i="24050" l="1"/>
  <c r="CW45" i="24050"/>
  <c r="CW28" i="24050"/>
  <c r="CY89" i="24050"/>
  <c r="CX40" i="24050"/>
  <c r="CX96" i="24050"/>
  <c r="ED95" i="23917"/>
  <c r="CZ249" i="24050"/>
  <c r="EF73" i="23917"/>
  <c r="EF255" i="23917"/>
  <c r="EU131" i="24050"/>
  <c r="GA137" i="23917"/>
  <c r="EG76" i="23917"/>
  <c r="EF76" i="23917"/>
  <c r="CZ71" i="24050"/>
  <c r="CZ65" i="24050"/>
  <c r="CZ69" i="24050"/>
  <c r="CZ63" i="24050"/>
  <c r="CZ66" i="24050"/>
  <c r="CZ70" i="24050"/>
  <c r="CZ64" i="24050"/>
  <c r="CZ67" i="24050"/>
  <c r="CZ68" i="24050"/>
  <c r="EG20" i="23917"/>
  <c r="DA17" i="24050"/>
  <c r="EG69" i="23917"/>
  <c r="EF69" i="23917"/>
  <c r="EF71" i="23917"/>
  <c r="CZ167" i="24050"/>
  <c r="EF173" i="23917"/>
  <c r="EF75" i="23917"/>
  <c r="EF332" i="23917"/>
  <c r="CZ326" i="24050"/>
  <c r="EF70" i="23917"/>
  <c r="EF130" i="23917"/>
  <c r="CZ124" i="24050"/>
  <c r="EM112" i="24050"/>
  <c r="FS118" i="23917"/>
  <c r="EM115" i="24050"/>
  <c r="FS121" i="23917"/>
  <c r="ET131" i="24050"/>
  <c r="FZ137" i="23917"/>
  <c r="EN109" i="24050"/>
  <c r="FT115" i="23917"/>
  <c r="CZ290" i="24050"/>
  <c r="EF296" i="23917"/>
  <c r="EF74" i="23917"/>
  <c r="EF22" i="23917"/>
  <c r="CZ19" i="24050"/>
  <c r="EF213" i="23917"/>
  <c r="EF72" i="23917"/>
  <c r="CZ207" i="24050"/>
  <c r="CX45" i="24050"/>
  <c r="ED53" i="23917"/>
  <c r="CY95" i="24050"/>
  <c r="EE101" i="23917"/>
  <c r="CX35" i="24050"/>
  <c r="CX36" i="24050" s="1"/>
  <c r="ED43" i="23917"/>
  <c r="ED44" i="23917" s="1"/>
  <c r="ED34" i="23917"/>
  <c r="CY83" i="24050"/>
  <c r="EE89" i="23917"/>
  <c r="CY32" i="24050"/>
  <c r="EE40" i="23917"/>
  <c r="CY25" i="24050"/>
  <c r="EE33" i="23917"/>
  <c r="CX28" i="24050"/>
  <c r="ED36" i="23917"/>
  <c r="ED41" i="23917"/>
  <c r="CV80" i="24050"/>
  <c r="EB86" i="23917"/>
  <c r="CV39" i="24050"/>
  <c r="EB47" i="23917"/>
  <c r="CW77" i="24050"/>
  <c r="EC83" i="23917"/>
  <c r="CV81" i="24050"/>
  <c r="EB87" i="23917"/>
  <c r="EK17" i="24050"/>
  <c r="FQ20" i="23917"/>
  <c r="CW90" i="24050"/>
  <c r="EC96" i="23917"/>
  <c r="CW41" i="24050"/>
  <c r="EC49" i="23917"/>
  <c r="CU80" i="24050"/>
  <c r="EA86" i="23917"/>
  <c r="CW96" i="24050"/>
  <c r="EC102" i="23917"/>
  <c r="CW91" i="24050"/>
  <c r="EC97" i="23917"/>
  <c r="CU81" i="24050"/>
  <c r="EA87" i="23917"/>
  <c r="CW92" i="24050"/>
  <c r="EC98" i="23917"/>
  <c r="CU82" i="24050"/>
  <c r="EA88" i="23917"/>
  <c r="CU79" i="24050"/>
  <c r="EA85" i="23917"/>
  <c r="CV82" i="24050"/>
  <c r="EB88" i="23917"/>
  <c r="CV40" i="24050"/>
  <c r="EB48" i="23917"/>
  <c r="CV79" i="24050"/>
  <c r="EB85" i="23917"/>
  <c r="CV84" i="24050"/>
  <c r="EB90" i="23917"/>
  <c r="CW94" i="24050"/>
  <c r="EC100" i="23917"/>
  <c r="CU40" i="24050"/>
  <c r="EA48" i="23917"/>
  <c r="CV78" i="24050"/>
  <c r="EB84" i="23917"/>
  <c r="CU39" i="24050"/>
  <c r="EA47" i="23917"/>
  <c r="CU78" i="24050"/>
  <c r="EA84" i="23917"/>
  <c r="CU84" i="24050"/>
  <c r="EA90" i="23917"/>
  <c r="CW93" i="24050"/>
  <c r="EC99" i="23917"/>
  <c r="EE95" i="23917" l="1"/>
  <c r="CY96" i="24050"/>
  <c r="CX92" i="24050"/>
  <c r="CX90" i="24050"/>
  <c r="ED96" i="23917"/>
  <c r="ED102" i="23917"/>
  <c r="CX94" i="24050"/>
  <c r="ED87" i="23917"/>
  <c r="ED100" i="23917"/>
  <c r="CX80" i="24050"/>
  <c r="CX91" i="24050"/>
  <c r="EE83" i="23917"/>
  <c r="ED85" i="23917"/>
  <c r="CX77" i="24050"/>
  <c r="ED83" i="23917"/>
  <c r="ED97" i="23917"/>
  <c r="ED98" i="23917"/>
  <c r="ED99" i="23917"/>
  <c r="CX93" i="24050"/>
  <c r="ED49" i="23917"/>
  <c r="CX41" i="24050"/>
  <c r="CY40" i="24050"/>
  <c r="ED48" i="23917"/>
  <c r="EM121" i="24050"/>
  <c r="EM8" i="24050"/>
  <c r="FS127" i="23917"/>
  <c r="EG173" i="23917"/>
  <c r="EG71" i="23917"/>
  <c r="DA167" i="24050"/>
  <c r="EN115" i="24050"/>
  <c r="FT121" i="23917"/>
  <c r="FQ22" i="23917"/>
  <c r="EK19" i="24050"/>
  <c r="DA124" i="24050"/>
  <c r="EG130" i="23917"/>
  <c r="EG70" i="23917"/>
  <c r="EM119" i="24050"/>
  <c r="FS125" i="23917"/>
  <c r="EO109" i="24050"/>
  <c r="FU115" i="23917"/>
  <c r="DA207" i="24050"/>
  <c r="EG213" i="23917"/>
  <c r="EG72" i="23917"/>
  <c r="EG332" i="23917"/>
  <c r="EG75" i="23917"/>
  <c r="DA326" i="24050"/>
  <c r="CZ72" i="24050"/>
  <c r="EN112" i="24050"/>
  <c r="FT118" i="23917"/>
  <c r="EM118" i="24050"/>
  <c r="FS124" i="23917"/>
  <c r="DA19" i="24050"/>
  <c r="EG22" i="23917"/>
  <c r="CZ21" i="24050"/>
  <c r="EF24" i="23917"/>
  <c r="DA290" i="24050"/>
  <c r="EG74" i="23917"/>
  <c r="EG296" i="23917"/>
  <c r="EG77" i="23917"/>
  <c r="EF77" i="23917"/>
  <c r="EF78" i="23917" s="1"/>
  <c r="DA249" i="24050"/>
  <c r="EG73" i="23917"/>
  <c r="EG255" i="23917"/>
  <c r="CY28" i="24050"/>
  <c r="EE36" i="23917"/>
  <c r="CY35" i="24050"/>
  <c r="EE43" i="23917"/>
  <c r="CY45" i="24050"/>
  <c r="EE53" i="23917"/>
  <c r="EK290" i="24050"/>
  <c r="FQ296" i="23917"/>
  <c r="FQ74" i="23917"/>
  <c r="EK20" i="24050"/>
  <c r="FQ23" i="23917"/>
  <c r="EK326" i="24050"/>
  <c r="FQ332" i="23917"/>
  <c r="FQ75" i="23917"/>
  <c r="FR76" i="23917"/>
  <c r="FQ76" i="23917"/>
  <c r="CW78" i="24050"/>
  <c r="EC84" i="23917"/>
  <c r="CW40" i="24050"/>
  <c r="EC48" i="23917"/>
  <c r="CW80" i="24050"/>
  <c r="EC86" i="23917"/>
  <c r="EK167" i="24050"/>
  <c r="FQ173" i="23917"/>
  <c r="FQ71" i="23917"/>
  <c r="EK249" i="24050"/>
  <c r="FQ255" i="23917"/>
  <c r="FQ73" i="23917"/>
  <c r="CW79" i="24050"/>
  <c r="EC85" i="23917"/>
  <c r="CW82" i="24050"/>
  <c r="EC88" i="23917"/>
  <c r="CY91" i="24050"/>
  <c r="EE97" i="23917"/>
  <c r="CY41" i="24050"/>
  <c r="EE49" i="23917"/>
  <c r="EK124" i="24050"/>
  <c r="FQ130" i="23917"/>
  <c r="FQ70" i="23917"/>
  <c r="FR69" i="23917"/>
  <c r="FQ69" i="23917"/>
  <c r="EK207" i="24050"/>
  <c r="FQ213" i="23917"/>
  <c r="FQ72" i="23917"/>
  <c r="EL17" i="24050"/>
  <c r="FR20" i="23917"/>
  <c r="CW84" i="24050"/>
  <c r="EC90" i="23917"/>
  <c r="CY93" i="24050"/>
  <c r="EE99" i="23917"/>
  <c r="CW81" i="24050"/>
  <c r="EC87" i="23917"/>
  <c r="CY92" i="24050"/>
  <c r="EE98" i="23917"/>
  <c r="CY94" i="24050"/>
  <c r="EE100" i="23917"/>
  <c r="CY90" i="24050"/>
  <c r="EE96" i="23917"/>
  <c r="EK71" i="24050"/>
  <c r="EK66" i="24050"/>
  <c r="EK63" i="24050"/>
  <c r="EK68" i="24050"/>
  <c r="EK65" i="24050"/>
  <c r="EK64" i="24050"/>
  <c r="EK67" i="24050"/>
  <c r="EK70" i="24050"/>
  <c r="EK69" i="24050"/>
  <c r="CW39" i="24050"/>
  <c r="EC47" i="23917"/>
  <c r="FQ89" i="23917" l="1"/>
  <c r="EK32" i="24050"/>
  <c r="EE102" i="23917"/>
  <c r="FQ28" i="23917"/>
  <c r="FQ29" i="23917" s="1"/>
  <c r="ED88" i="23917"/>
  <c r="CX39" i="24050"/>
  <c r="CX78" i="24050"/>
  <c r="ED47" i="23917"/>
  <c r="ED84" i="23917"/>
  <c r="ED86" i="23917"/>
  <c r="CX79" i="24050"/>
  <c r="EE86" i="23917"/>
  <c r="EE85" i="23917"/>
  <c r="ED90" i="23917"/>
  <c r="CX84" i="24050"/>
  <c r="FQ24" i="23917"/>
  <c r="FQ25" i="23917" s="1"/>
  <c r="EE48" i="23917"/>
  <c r="CY77" i="24050"/>
  <c r="CX81" i="24050"/>
  <c r="CY81" i="24050"/>
  <c r="CX82" i="24050"/>
  <c r="FQ33" i="23917"/>
  <c r="EK21" i="24050"/>
  <c r="EK22" i="24050" s="1"/>
  <c r="FR24" i="23917"/>
  <c r="FS128" i="23917"/>
  <c r="EM122" i="24050"/>
  <c r="EF89" i="23917"/>
  <c r="CZ83" i="24050"/>
  <c r="EN119" i="24050"/>
  <c r="FT125" i="23917"/>
  <c r="EN121" i="24050"/>
  <c r="EN8" i="24050"/>
  <c r="FT127" i="23917"/>
  <c r="EO115" i="24050"/>
  <c r="FU121" i="23917"/>
  <c r="EF40" i="23917"/>
  <c r="EF41" i="23917" s="1"/>
  <c r="CZ32" i="24050"/>
  <c r="CZ33" i="24050" s="1"/>
  <c r="EG24" i="23917"/>
  <c r="DA21" i="24050"/>
  <c r="EM127" i="24050"/>
  <c r="FS133" i="23917"/>
  <c r="CZ22" i="24050"/>
  <c r="EF101" i="23917"/>
  <c r="CZ95" i="24050"/>
  <c r="EO112" i="24050"/>
  <c r="FU118" i="23917"/>
  <c r="EF28" i="23917"/>
  <c r="EF29" i="23917" s="1"/>
  <c r="EG28" i="23917"/>
  <c r="EN118" i="24050"/>
  <c r="FT124" i="23917"/>
  <c r="EP109" i="24050"/>
  <c r="FV115" i="23917"/>
  <c r="EF33" i="23917"/>
  <c r="CZ25" i="24050"/>
  <c r="CZ26" i="24050" s="1"/>
  <c r="EF25" i="23917"/>
  <c r="FR22" i="23917"/>
  <c r="EL19" i="24050"/>
  <c r="FR77" i="23917"/>
  <c r="FQ77" i="23917"/>
  <c r="FQ78" i="23917" s="1"/>
  <c r="EM20" i="24050"/>
  <c r="FS23" i="23917"/>
  <c r="CY78" i="24050"/>
  <c r="EE84" i="23917"/>
  <c r="EL249" i="24050"/>
  <c r="FR255" i="23917"/>
  <c r="FR73" i="23917"/>
  <c r="EL167" i="24050"/>
  <c r="FR173" i="23917"/>
  <c r="FR71" i="23917"/>
  <c r="EL207" i="24050"/>
  <c r="FR213" i="23917"/>
  <c r="FR72" i="23917"/>
  <c r="EK95" i="24050"/>
  <c r="FQ101" i="23917"/>
  <c r="EL124" i="24050"/>
  <c r="FR130" i="23917"/>
  <c r="FR70" i="23917"/>
  <c r="EL20" i="24050"/>
  <c r="FR23" i="23917"/>
  <c r="CY82" i="24050"/>
  <c r="EE88" i="23917"/>
  <c r="EL326" i="24050"/>
  <c r="FR332" i="23917"/>
  <c r="FR75" i="23917"/>
  <c r="CY84" i="24050"/>
  <c r="EE90" i="23917"/>
  <c r="EK72" i="24050"/>
  <c r="CY39" i="24050"/>
  <c r="EE47" i="23917"/>
  <c r="EL290" i="24050"/>
  <c r="FR296" i="23917"/>
  <c r="FR74" i="23917"/>
  <c r="EM11" i="24050"/>
  <c r="FS8" i="23917"/>
  <c r="EK83" i="24050" l="1"/>
  <c r="FR40" i="23917"/>
  <c r="CY79" i="24050"/>
  <c r="FQ40" i="23917"/>
  <c r="FQ41" i="23917" s="1"/>
  <c r="EK35" i="24050"/>
  <c r="EK36" i="24050" s="1"/>
  <c r="FQ34" i="23917"/>
  <c r="FQ53" i="23917"/>
  <c r="CY80" i="24050"/>
  <c r="EL21" i="24050"/>
  <c r="EK25" i="24050"/>
  <c r="EK26" i="24050" s="1"/>
  <c r="EL25" i="24050"/>
  <c r="EE87" i="23917"/>
  <c r="EK33" i="24050"/>
  <c r="EP115" i="24050"/>
  <c r="FV121" i="23917"/>
  <c r="EP112" i="24050"/>
  <c r="FV118" i="23917"/>
  <c r="EF31" i="23917"/>
  <c r="CZ28" i="24050"/>
  <c r="EF36" i="23917"/>
  <c r="EG101" i="23917"/>
  <c r="DA95" i="24050"/>
  <c r="EF34" i="23917"/>
  <c r="EN127" i="24050"/>
  <c r="FT133" i="23917"/>
  <c r="CZ89" i="24050"/>
  <c r="EF95" i="23917"/>
  <c r="EF43" i="23917"/>
  <c r="EF44" i="23917" s="1"/>
  <c r="CZ35" i="24050"/>
  <c r="CZ36" i="24050" s="1"/>
  <c r="EG33" i="23917"/>
  <c r="DA25" i="24050"/>
  <c r="EO118" i="24050"/>
  <c r="FU124" i="23917"/>
  <c r="CZ45" i="24050"/>
  <c r="EF53" i="23917"/>
  <c r="EG40" i="23917"/>
  <c r="DA32" i="24050"/>
  <c r="EG89" i="23917"/>
  <c r="DA83" i="24050"/>
  <c r="EL95" i="24050"/>
  <c r="FR101" i="23917"/>
  <c r="EN20" i="24050"/>
  <c r="FT23" i="23917"/>
  <c r="EO20" i="24050"/>
  <c r="FU23" i="23917"/>
  <c r="EL83" i="24050"/>
  <c r="FR89" i="23917"/>
  <c r="FQ31" i="23917"/>
  <c r="FS17" i="23917"/>
  <c r="FT8" i="23917"/>
  <c r="FR28" i="23917"/>
  <c r="EN11" i="24050"/>
  <c r="FQ43" i="23917" l="1"/>
  <c r="FQ44" i="23917" s="1"/>
  <c r="EL32" i="24050"/>
  <c r="EK45" i="24050"/>
  <c r="FR33" i="23917"/>
  <c r="EO121" i="24050"/>
  <c r="EO122" i="24050" s="1"/>
  <c r="EO11" i="24050"/>
  <c r="CZ92" i="24050"/>
  <c r="EF98" i="23917"/>
  <c r="EG36" i="23917"/>
  <c r="DA28" i="24050"/>
  <c r="EO119" i="24050"/>
  <c r="FU125" i="23917"/>
  <c r="DA89" i="24050"/>
  <c r="EG95" i="23917"/>
  <c r="EP118" i="24050"/>
  <c r="FV124" i="23917"/>
  <c r="DA45" i="24050"/>
  <c r="EG53" i="23917"/>
  <c r="EP119" i="24050"/>
  <c r="FV125" i="23917"/>
  <c r="CZ41" i="24050"/>
  <c r="EF49" i="23917"/>
  <c r="DA35" i="24050"/>
  <c r="EG43" i="23917"/>
  <c r="EF102" i="23917"/>
  <c r="CZ96" i="24050"/>
  <c r="EK89" i="24050"/>
  <c r="FQ95" i="23917"/>
  <c r="EF83" i="23917"/>
  <c r="CZ77" i="24050"/>
  <c r="EQ109" i="24050"/>
  <c r="FW115" i="23917"/>
  <c r="CZ94" i="24050"/>
  <c r="EF100" i="23917"/>
  <c r="CZ93" i="24050"/>
  <c r="EF99" i="23917"/>
  <c r="CZ90" i="24050"/>
  <c r="EF96" i="23917"/>
  <c r="CZ91" i="24050"/>
  <c r="EF97" i="23917"/>
  <c r="EP20" i="24050"/>
  <c r="FV23" i="23917"/>
  <c r="EQ20" i="24050"/>
  <c r="FW23" i="23917"/>
  <c r="EL45" i="24050"/>
  <c r="FR53" i="23917"/>
  <c r="EL35" i="24050"/>
  <c r="FR43" i="23917"/>
  <c r="FT17" i="23917"/>
  <c r="FS11" i="23917"/>
  <c r="EP11" i="24050" l="1"/>
  <c r="FU133" i="23917"/>
  <c r="EP121" i="24050"/>
  <c r="FU11" i="23917"/>
  <c r="FU127" i="23917"/>
  <c r="FU128" i="23917" s="1"/>
  <c r="EO8" i="24050"/>
  <c r="EF88" i="23917"/>
  <c r="CZ82" i="24050"/>
  <c r="EG49" i="23917"/>
  <c r="DA41" i="24050"/>
  <c r="ER109" i="24050"/>
  <c r="FX115" i="23917"/>
  <c r="DA91" i="24050"/>
  <c r="EG97" i="23917"/>
  <c r="DA93" i="24050"/>
  <c r="EG99" i="23917"/>
  <c r="DA94" i="24050"/>
  <c r="EG100" i="23917"/>
  <c r="CZ84" i="24050"/>
  <c r="EF90" i="23917"/>
  <c r="EF84" i="23917"/>
  <c r="CZ78" i="24050"/>
  <c r="EL89" i="24050"/>
  <c r="FR95" i="23917"/>
  <c r="EF48" i="23917"/>
  <c r="CZ40" i="24050"/>
  <c r="CZ81" i="24050"/>
  <c r="EF87" i="23917"/>
  <c r="FQ100" i="23917"/>
  <c r="EK94" i="24050"/>
  <c r="EK93" i="24050"/>
  <c r="FQ99" i="23917"/>
  <c r="DA96" i="24050"/>
  <c r="EG102" i="23917"/>
  <c r="FQ83" i="23917"/>
  <c r="EK77" i="24050"/>
  <c r="EK96" i="24050"/>
  <c r="FQ102" i="23917"/>
  <c r="EG98" i="23917"/>
  <c r="DA92" i="24050"/>
  <c r="EQ112" i="24050"/>
  <c r="FW118" i="23917"/>
  <c r="DA77" i="24050"/>
  <c r="EG83" i="23917"/>
  <c r="CZ79" i="24050"/>
  <c r="EF85" i="23917"/>
  <c r="EQ115" i="24050"/>
  <c r="FW121" i="23917"/>
  <c r="DA90" i="24050"/>
  <c r="EG96" i="23917"/>
  <c r="CZ80" i="24050"/>
  <c r="EF86" i="23917"/>
  <c r="CZ39" i="24050"/>
  <c r="EF47" i="23917"/>
  <c r="EK41" i="24050"/>
  <c r="FQ49" i="23917"/>
  <c r="EK92" i="24050"/>
  <c r="FQ98" i="23917"/>
  <c r="EK90" i="24050"/>
  <c r="FQ96" i="23917"/>
  <c r="EK91" i="24050"/>
  <c r="FQ97" i="23917"/>
  <c r="EM17" i="24050"/>
  <c r="FS20" i="23917"/>
  <c r="ER20" i="24050"/>
  <c r="FX23" i="23917"/>
  <c r="ES20" i="24050"/>
  <c r="FY23" i="23917"/>
  <c r="FT11" i="23917"/>
  <c r="FU8" i="23917" l="1"/>
  <c r="EP8" i="24050"/>
  <c r="EP127" i="24050"/>
  <c r="EO127" i="24050"/>
  <c r="FV127" i="23917"/>
  <c r="FQ88" i="23917"/>
  <c r="EK82" i="24050"/>
  <c r="EL92" i="24050"/>
  <c r="FR98" i="23917"/>
  <c r="EL41" i="24050"/>
  <c r="FR49" i="23917"/>
  <c r="DA39" i="24050"/>
  <c r="EG47" i="23917"/>
  <c r="EL77" i="24050"/>
  <c r="FR83" i="23917"/>
  <c r="EK79" i="24050"/>
  <c r="FQ85" i="23917"/>
  <c r="FQ90" i="23917"/>
  <c r="EK84" i="24050"/>
  <c r="EK40" i="24050"/>
  <c r="FQ48" i="23917"/>
  <c r="FQ84" i="23917"/>
  <c r="EK78" i="24050"/>
  <c r="EL93" i="24050"/>
  <c r="FR99" i="23917"/>
  <c r="DA81" i="24050"/>
  <c r="EG87" i="23917"/>
  <c r="FQ36" i="23917"/>
  <c r="EK28" i="24050"/>
  <c r="DA78" i="24050"/>
  <c r="EG84" i="23917"/>
  <c r="ES109" i="24050"/>
  <c r="FY115" i="23917"/>
  <c r="FR96" i="23917"/>
  <c r="EL90" i="24050"/>
  <c r="DA79" i="24050"/>
  <c r="EG85" i="23917"/>
  <c r="DA82" i="24050"/>
  <c r="EG88" i="23917"/>
  <c r="ER115" i="24050"/>
  <c r="FX121" i="23917"/>
  <c r="EQ118" i="24050"/>
  <c r="FW124" i="23917"/>
  <c r="EL91" i="24050"/>
  <c r="FR97" i="23917"/>
  <c r="ER112" i="24050"/>
  <c r="FX118" i="23917"/>
  <c r="DA80" i="24050"/>
  <c r="EG86" i="23917"/>
  <c r="FR102" i="23917"/>
  <c r="EL96" i="24050"/>
  <c r="EK80" i="24050"/>
  <c r="FQ86" i="23917"/>
  <c r="EK81" i="24050"/>
  <c r="FQ87" i="23917"/>
  <c r="EL94" i="24050"/>
  <c r="FR100" i="23917"/>
  <c r="DA40" i="24050"/>
  <c r="EG48" i="23917"/>
  <c r="DA84" i="24050"/>
  <c r="EG90" i="23917"/>
  <c r="EM207" i="24050"/>
  <c r="FS213" i="23917"/>
  <c r="FS72" i="23917"/>
  <c r="EM19" i="24050"/>
  <c r="FS22" i="23917"/>
  <c r="EM326" i="24050"/>
  <c r="FS332" i="23917"/>
  <c r="FS75" i="23917"/>
  <c r="FT76" i="23917"/>
  <c r="FS76" i="23917"/>
  <c r="FT69" i="23917"/>
  <c r="FS69" i="23917"/>
  <c r="EN17" i="24050"/>
  <c r="FT20" i="23917"/>
  <c r="EU20" i="24050"/>
  <c r="GA23" i="23917"/>
  <c r="EM290" i="24050"/>
  <c r="FS296" i="23917"/>
  <c r="FS74" i="23917"/>
  <c r="ET20" i="24050"/>
  <c r="FZ23" i="23917"/>
  <c r="EM167" i="24050"/>
  <c r="FS173" i="23917"/>
  <c r="FS71" i="23917"/>
  <c r="EM124" i="24050"/>
  <c r="FS130" i="23917"/>
  <c r="FS70" i="23917"/>
  <c r="EM249" i="24050"/>
  <c r="FS255" i="23917"/>
  <c r="FS73" i="23917"/>
  <c r="EM71" i="24050"/>
  <c r="EU71" i="24050" s="1"/>
  <c r="EM66" i="24050"/>
  <c r="EU66" i="24050" s="1"/>
  <c r="EM70" i="24050"/>
  <c r="EU70" i="24050" s="1"/>
  <c r="EM67" i="24050"/>
  <c r="EU67" i="24050" s="1"/>
  <c r="EM64" i="24050"/>
  <c r="EU64" i="24050" s="1"/>
  <c r="EM68" i="24050"/>
  <c r="EU68" i="24050" s="1"/>
  <c r="EM65" i="24050"/>
  <c r="EU65" i="24050" s="1"/>
  <c r="EM63" i="24050"/>
  <c r="EM69" i="24050"/>
  <c r="EU69" i="24050" s="1"/>
  <c r="FU17" i="23917"/>
  <c r="FV8" i="23917"/>
  <c r="FV11" i="23917"/>
  <c r="FV133" i="23917" l="1"/>
  <c r="EM95" i="24050"/>
  <c r="EN21" i="24050"/>
  <c r="FS28" i="23917"/>
  <c r="FS29" i="23917" s="1"/>
  <c r="FS40" i="23917"/>
  <c r="EQ121" i="24050"/>
  <c r="EQ122" i="24050" s="1"/>
  <c r="EQ8" i="24050"/>
  <c r="FW127" i="23917"/>
  <c r="FW128" i="23917" s="1"/>
  <c r="ES112" i="24050"/>
  <c r="FY118" i="23917"/>
  <c r="EL28" i="24050"/>
  <c r="FR36" i="23917"/>
  <c r="FR90" i="23917"/>
  <c r="EL84" i="24050"/>
  <c r="EQ119" i="24050"/>
  <c r="FW125" i="23917"/>
  <c r="EU109" i="24050"/>
  <c r="GA115" i="23917"/>
  <c r="FR86" i="23917"/>
  <c r="EL80" i="24050"/>
  <c r="FR84" i="23917"/>
  <c r="EL78" i="24050"/>
  <c r="ET109" i="24050"/>
  <c r="FZ115" i="23917"/>
  <c r="FQ47" i="23917"/>
  <c r="EK39" i="24050"/>
  <c r="FR88" i="23917"/>
  <c r="EL82" i="24050"/>
  <c r="ER118" i="24050"/>
  <c r="FX124" i="23917"/>
  <c r="ES115" i="24050"/>
  <c r="FY121" i="23917"/>
  <c r="EL81" i="24050"/>
  <c r="FR87" i="23917"/>
  <c r="EL40" i="24050"/>
  <c r="FR48" i="23917"/>
  <c r="FR85" i="23917"/>
  <c r="EL79" i="24050"/>
  <c r="FT77" i="23917"/>
  <c r="FS77" i="23917"/>
  <c r="FS78" i="23917" s="1"/>
  <c r="EM25" i="24050"/>
  <c r="FS33" i="23917"/>
  <c r="EN124" i="24050"/>
  <c r="FT130" i="23917"/>
  <c r="FT70" i="23917"/>
  <c r="EM72" i="24050"/>
  <c r="EU63" i="24050"/>
  <c r="EM21" i="24050"/>
  <c r="EM22" i="24050" s="1"/>
  <c r="FS24" i="23917"/>
  <c r="FS25" i="23917" s="1"/>
  <c r="EN249" i="24050"/>
  <c r="FT255" i="23917"/>
  <c r="FT73" i="23917"/>
  <c r="EN19" i="24050"/>
  <c r="FT22" i="23917"/>
  <c r="EN290" i="24050"/>
  <c r="FT296" i="23917"/>
  <c r="FT74" i="23917"/>
  <c r="EN326" i="24050"/>
  <c r="FT332" i="23917"/>
  <c r="FT75" i="23917"/>
  <c r="EN167" i="24050"/>
  <c r="FT173" i="23917"/>
  <c r="FT71" i="23917"/>
  <c r="EN207" i="24050"/>
  <c r="FT213" i="23917"/>
  <c r="FT72" i="23917"/>
  <c r="EQ11" i="24050"/>
  <c r="FV17" i="23917"/>
  <c r="FS89" i="23917" l="1"/>
  <c r="EM83" i="24050"/>
  <c r="FS101" i="23917"/>
  <c r="FT40" i="23917"/>
  <c r="EM35" i="24050"/>
  <c r="FT101" i="23917"/>
  <c r="EM32" i="24050"/>
  <c r="EM33" i="24050" s="1"/>
  <c r="FT24" i="23917"/>
  <c r="ET115" i="24050"/>
  <c r="FZ121" i="23917"/>
  <c r="EL39" i="24050"/>
  <c r="FR47" i="23917"/>
  <c r="EQ127" i="24050"/>
  <c r="FW133" i="23917"/>
  <c r="EU112" i="24050"/>
  <c r="GA118" i="23917"/>
  <c r="EU115" i="24050"/>
  <c r="GA121" i="23917"/>
  <c r="ER119" i="24050"/>
  <c r="FX125" i="23917"/>
  <c r="ES118" i="24050"/>
  <c r="FY124" i="23917"/>
  <c r="ET112" i="24050"/>
  <c r="FZ118" i="23917"/>
  <c r="ER121" i="24050"/>
  <c r="ER8" i="24050"/>
  <c r="FX127" i="23917"/>
  <c r="EN25" i="24050"/>
  <c r="FT33" i="23917"/>
  <c r="EM26" i="24050"/>
  <c r="EO17" i="24050"/>
  <c r="FU20" i="23917"/>
  <c r="FS31" i="23917"/>
  <c r="EN83" i="24050"/>
  <c r="FT89" i="23917"/>
  <c r="EM45" i="24050"/>
  <c r="FS53" i="23917"/>
  <c r="FS41" i="23917"/>
  <c r="FS34" i="23917"/>
  <c r="ES11" i="24050"/>
  <c r="FT28" i="23917"/>
  <c r="ER11" i="24050"/>
  <c r="FW8" i="23917"/>
  <c r="EM91" i="24050" l="1"/>
  <c r="FS96" i="23917"/>
  <c r="FS95" i="23917"/>
  <c r="EM89" i="24050"/>
  <c r="FS83" i="23917"/>
  <c r="EN89" i="24050"/>
  <c r="FS98" i="23917"/>
  <c r="FS99" i="23917"/>
  <c r="FS43" i="23917"/>
  <c r="FS44" i="23917" s="1"/>
  <c r="EN95" i="24050"/>
  <c r="EN32" i="24050"/>
  <c r="EN35" i="24050"/>
  <c r="EM36" i="24050"/>
  <c r="ES119" i="24050"/>
  <c r="FY125" i="23917"/>
  <c r="ET118" i="24050"/>
  <c r="FZ124" i="23917"/>
  <c r="EU118" i="24050"/>
  <c r="GA124" i="23917"/>
  <c r="ER127" i="24050"/>
  <c r="FX133" i="23917"/>
  <c r="EO207" i="24050"/>
  <c r="FU213" i="23917"/>
  <c r="FU72" i="23917"/>
  <c r="EO124" i="24050"/>
  <c r="FU130" i="23917"/>
  <c r="FU70" i="23917"/>
  <c r="EO326" i="24050"/>
  <c r="FU332" i="23917"/>
  <c r="FU75" i="23917"/>
  <c r="EO19" i="24050"/>
  <c r="FU22" i="23917"/>
  <c r="FV69" i="23917"/>
  <c r="FU69" i="23917"/>
  <c r="EO167" i="24050"/>
  <c r="FU173" i="23917"/>
  <c r="FU71" i="23917"/>
  <c r="FV76" i="23917"/>
  <c r="FU76" i="23917"/>
  <c r="EM28" i="24050"/>
  <c r="FS36" i="23917"/>
  <c r="EM94" i="24050"/>
  <c r="FS100" i="23917"/>
  <c r="EO249" i="24050"/>
  <c r="FU255" i="23917"/>
  <c r="FU73" i="23917"/>
  <c r="EO290" i="24050"/>
  <c r="FU296" i="23917"/>
  <c r="FU74" i="23917"/>
  <c r="EP17" i="24050"/>
  <c r="FV20" i="23917"/>
  <c r="EN45" i="24050"/>
  <c r="FT53" i="23917"/>
  <c r="EO71" i="24050"/>
  <c r="EO70" i="24050"/>
  <c r="EO66" i="24050"/>
  <c r="EO63" i="24050"/>
  <c r="EO68" i="24050"/>
  <c r="EO65" i="24050"/>
  <c r="EO64" i="24050"/>
  <c r="EO67" i="24050"/>
  <c r="EO69" i="24050"/>
  <c r="EU11" i="24050"/>
  <c r="ET11" i="24050"/>
  <c r="FX8" i="23917"/>
  <c r="FW11" i="23917"/>
  <c r="EM90" i="24050" l="1"/>
  <c r="EM40" i="24050"/>
  <c r="EN77" i="24050"/>
  <c r="FS90" i="23917"/>
  <c r="EM77" i="24050"/>
  <c r="EM96" i="24050"/>
  <c r="FT95" i="23917"/>
  <c r="EM92" i="24050"/>
  <c r="FS102" i="23917"/>
  <c r="FS97" i="23917"/>
  <c r="EM78" i="24050"/>
  <c r="EN90" i="24050"/>
  <c r="FS49" i="23917"/>
  <c r="EM41" i="24050"/>
  <c r="EM93" i="24050"/>
  <c r="FT98" i="23917"/>
  <c r="FT43" i="23917"/>
  <c r="EU119" i="24050"/>
  <c r="GA125" i="23917"/>
  <c r="ES8" i="24050"/>
  <c r="ES121" i="24050"/>
  <c r="ES122" i="24050" s="1"/>
  <c r="FY127" i="23917"/>
  <c r="FY128" i="23917" s="1"/>
  <c r="ET119" i="24050"/>
  <c r="FZ125" i="23917"/>
  <c r="EM84" i="24050"/>
  <c r="EN94" i="24050"/>
  <c r="FT100" i="23917"/>
  <c r="EP167" i="24050"/>
  <c r="FV173" i="23917"/>
  <c r="FV71" i="23917"/>
  <c r="EN93" i="24050"/>
  <c r="FT99" i="23917"/>
  <c r="EP326" i="24050"/>
  <c r="FV332" i="23917"/>
  <c r="FV75" i="23917"/>
  <c r="EO21" i="24050"/>
  <c r="FU24" i="23917"/>
  <c r="FU25" i="23917" s="1"/>
  <c r="EP19" i="24050"/>
  <c r="FV22" i="23917"/>
  <c r="EP290" i="24050"/>
  <c r="FV296" i="23917"/>
  <c r="FV74" i="23917"/>
  <c r="EP249" i="24050"/>
  <c r="FV255" i="23917"/>
  <c r="FV73" i="23917"/>
  <c r="EN41" i="24050"/>
  <c r="FT49" i="23917"/>
  <c r="EN28" i="24050"/>
  <c r="FT36" i="23917"/>
  <c r="EP124" i="24050"/>
  <c r="FV130" i="23917"/>
  <c r="FV70" i="23917"/>
  <c r="EO72" i="24050"/>
  <c r="EN96" i="24050"/>
  <c r="FT102" i="23917"/>
  <c r="FW17" i="23917"/>
  <c r="FV77" i="23917"/>
  <c r="FU77" i="23917"/>
  <c r="FU78" i="23917" s="1"/>
  <c r="EN91" i="24050"/>
  <c r="FT97" i="23917"/>
  <c r="EP207" i="24050"/>
  <c r="FV213" i="23917"/>
  <c r="FV72" i="23917"/>
  <c r="FX11" i="23917"/>
  <c r="FX17" i="23917"/>
  <c r="FY11" i="23917"/>
  <c r="EN40" i="24050" l="1"/>
  <c r="FS48" i="23917"/>
  <c r="EM79" i="24050"/>
  <c r="FS84" i="23917"/>
  <c r="FS87" i="23917"/>
  <c r="FT84" i="23917"/>
  <c r="FT83" i="23917"/>
  <c r="FS86" i="23917"/>
  <c r="FS85" i="23917"/>
  <c r="EM80" i="24050"/>
  <c r="EM81" i="24050"/>
  <c r="FS88" i="23917"/>
  <c r="EM82" i="24050"/>
  <c r="FT96" i="23917"/>
  <c r="EN92" i="24050"/>
  <c r="EU121" i="24050"/>
  <c r="EU8" i="24050"/>
  <c r="GA127" i="23917"/>
  <c r="ES127" i="24050"/>
  <c r="FY133" i="23917"/>
  <c r="ET8" i="24050"/>
  <c r="ET121" i="24050"/>
  <c r="FZ127" i="23917"/>
  <c r="EO25" i="24050"/>
  <c r="EO26" i="24050" s="1"/>
  <c r="FU33" i="23917"/>
  <c r="FU34" i="23917" s="1"/>
  <c r="EN84" i="24050"/>
  <c r="FT90" i="23917"/>
  <c r="EQ17" i="24050"/>
  <c r="FW20" i="23917"/>
  <c r="EP21" i="24050"/>
  <c r="FV24" i="23917"/>
  <c r="EO83" i="24050"/>
  <c r="FU89" i="23917"/>
  <c r="EN82" i="24050"/>
  <c r="FT88" i="23917"/>
  <c r="EN79" i="24050"/>
  <c r="FT85" i="23917"/>
  <c r="EO32" i="24050"/>
  <c r="EO33" i="24050" s="1"/>
  <c r="FU40" i="23917"/>
  <c r="FU41" i="23917" s="1"/>
  <c r="EO95" i="24050"/>
  <c r="FU101" i="23917"/>
  <c r="EN81" i="24050"/>
  <c r="FT87" i="23917"/>
  <c r="EO22" i="24050"/>
  <c r="EM39" i="24050"/>
  <c r="FS47" i="23917"/>
  <c r="EN80" i="24050"/>
  <c r="FT86" i="23917"/>
  <c r="FY8" i="23917"/>
  <c r="GA11" i="23917"/>
  <c r="FZ11" i="23917"/>
  <c r="FU28" i="23917"/>
  <c r="FU29" i="23917" s="1"/>
  <c r="FT48" i="23917" l="1"/>
  <c r="EN78" i="24050"/>
  <c r="ET127" i="24050"/>
  <c r="FZ133" i="23917"/>
  <c r="EU127" i="24050"/>
  <c r="EU134" i="24050"/>
  <c r="GA140" i="23917"/>
  <c r="GA133" i="23917"/>
  <c r="FX69" i="23917"/>
  <c r="FW69" i="23917"/>
  <c r="EP32" i="24050"/>
  <c r="FV40" i="23917"/>
  <c r="EQ326" i="24050"/>
  <c r="FW332" i="23917"/>
  <c r="FW75" i="23917"/>
  <c r="ER17" i="24050"/>
  <c r="FX20" i="23917"/>
  <c r="FX76" i="23917"/>
  <c r="FW76" i="23917"/>
  <c r="EO89" i="24050"/>
  <c r="FU95" i="23917"/>
  <c r="EO35" i="24050"/>
  <c r="EO36" i="24050" s="1"/>
  <c r="FU43" i="23917"/>
  <c r="FU44" i="23917" s="1"/>
  <c r="EO45" i="24050"/>
  <c r="FU53" i="23917"/>
  <c r="EQ124" i="24050"/>
  <c r="FW130" i="23917"/>
  <c r="FW70" i="23917"/>
  <c r="EQ249" i="24050"/>
  <c r="FW255" i="23917"/>
  <c r="FW73" i="23917"/>
  <c r="EQ19" i="24050"/>
  <c r="FW22" i="23917"/>
  <c r="EN39" i="24050"/>
  <c r="FT47" i="23917"/>
  <c r="EP95" i="24050"/>
  <c r="FV101" i="23917"/>
  <c r="EP83" i="24050"/>
  <c r="FV89" i="23917"/>
  <c r="EQ71" i="24050"/>
  <c r="EQ65" i="24050"/>
  <c r="EQ63" i="24050"/>
  <c r="EQ66" i="24050"/>
  <c r="EQ70" i="24050"/>
  <c r="EQ67" i="24050"/>
  <c r="EQ64" i="24050"/>
  <c r="EQ68" i="24050"/>
  <c r="EQ69" i="24050"/>
  <c r="EP25" i="24050"/>
  <c r="FV33" i="23917"/>
  <c r="EQ167" i="24050"/>
  <c r="FW173" i="23917"/>
  <c r="FW71" i="23917"/>
  <c r="EQ290" i="24050"/>
  <c r="FW296" i="23917"/>
  <c r="FW74" i="23917"/>
  <c r="FU31" i="23917"/>
  <c r="EQ207" i="24050"/>
  <c r="FW213" i="23917"/>
  <c r="FW72" i="23917"/>
  <c r="FY17" i="23917"/>
  <c r="GA8" i="23917"/>
  <c r="FZ8" i="23917"/>
  <c r="FV28" i="23917"/>
  <c r="FW40" i="23917" l="1"/>
  <c r="EQ83" i="24050"/>
  <c r="EQ95" i="24050"/>
  <c r="FX24" i="23917"/>
  <c r="ER124" i="24050"/>
  <c r="FX130" i="23917"/>
  <c r="FX70" i="23917"/>
  <c r="EO93" i="24050"/>
  <c r="FU99" i="23917"/>
  <c r="FX77" i="23917"/>
  <c r="FW77" i="23917"/>
  <c r="FW78" i="23917" s="1"/>
  <c r="EO77" i="24050"/>
  <c r="FU83" i="23917"/>
  <c r="EO96" i="24050"/>
  <c r="FU102" i="23917"/>
  <c r="EQ21" i="24050"/>
  <c r="EQ22" i="24050" s="1"/>
  <c r="FW24" i="23917"/>
  <c r="FW25" i="23917" s="1"/>
  <c r="ER290" i="24050"/>
  <c r="FX296" i="23917"/>
  <c r="FX74" i="23917"/>
  <c r="ER167" i="24050"/>
  <c r="FX173" i="23917"/>
  <c r="FX71" i="23917"/>
  <c r="EP35" i="24050"/>
  <c r="FV43" i="23917"/>
  <c r="EO28" i="24050"/>
  <c r="FU36" i="23917"/>
  <c r="ER207" i="24050"/>
  <c r="FX213" i="23917"/>
  <c r="FX72" i="23917"/>
  <c r="EQ72" i="24050"/>
  <c r="EP45" i="24050"/>
  <c r="FV53" i="23917"/>
  <c r="EO92" i="24050"/>
  <c r="FU98" i="23917"/>
  <c r="EO90" i="24050"/>
  <c r="FU96" i="23917"/>
  <c r="EO91" i="24050"/>
  <c r="FU97" i="23917"/>
  <c r="ER19" i="24050"/>
  <c r="FX22" i="23917"/>
  <c r="EP89" i="24050"/>
  <c r="FV95" i="23917"/>
  <c r="EO94" i="24050"/>
  <c r="FU100" i="23917"/>
  <c r="ER249" i="24050"/>
  <c r="FX255" i="23917"/>
  <c r="FX73" i="23917"/>
  <c r="EO41" i="24050"/>
  <c r="FU49" i="23917"/>
  <c r="ER326" i="24050"/>
  <c r="FX332" i="23917"/>
  <c r="FX75" i="23917"/>
  <c r="FZ17" i="23917"/>
  <c r="GA17" i="23917"/>
  <c r="FW28" i="23917"/>
  <c r="FW29" i="23917" s="1"/>
  <c r="ER32" i="24050" l="1"/>
  <c r="FX89" i="23917"/>
  <c r="EQ32" i="24050"/>
  <c r="EQ33" i="24050" s="1"/>
  <c r="FX95" i="23917"/>
  <c r="FW89" i="23917"/>
  <c r="FX101" i="23917"/>
  <c r="ER21" i="24050"/>
  <c r="FW101" i="23917"/>
  <c r="FX33" i="23917"/>
  <c r="EO79" i="24050"/>
  <c r="FU85" i="23917"/>
  <c r="EO40" i="24050"/>
  <c r="FU48" i="23917"/>
  <c r="EO80" i="24050"/>
  <c r="FU86" i="23917"/>
  <c r="EP77" i="24050"/>
  <c r="FV83" i="23917"/>
  <c r="EO82" i="24050"/>
  <c r="FU88" i="23917"/>
  <c r="ES17" i="24050"/>
  <c r="FY20" i="23917"/>
  <c r="EP41" i="24050"/>
  <c r="FV49" i="23917"/>
  <c r="EP90" i="24050"/>
  <c r="FV96" i="23917"/>
  <c r="EQ25" i="24050"/>
  <c r="EQ26" i="24050" s="1"/>
  <c r="FW33" i="23917"/>
  <c r="FW31" i="23917" s="1"/>
  <c r="EO78" i="24050"/>
  <c r="FU84" i="23917"/>
  <c r="EP93" i="24050"/>
  <c r="FV99" i="23917"/>
  <c r="EO84" i="24050"/>
  <c r="FU90" i="23917"/>
  <c r="EO81" i="24050"/>
  <c r="FU87" i="23917"/>
  <c r="EP28" i="24050"/>
  <c r="FV36" i="23917"/>
  <c r="EP94" i="24050"/>
  <c r="FV100" i="23917"/>
  <c r="EP91" i="24050"/>
  <c r="FV97" i="23917"/>
  <c r="EP92" i="24050"/>
  <c r="FV98" i="23917"/>
  <c r="FW41" i="23917"/>
  <c r="EP96" i="24050"/>
  <c r="FV102" i="23917"/>
  <c r="FX28" i="23917"/>
  <c r="FY76" i="23917"/>
  <c r="FY69" i="23917"/>
  <c r="FW43" i="23917" l="1"/>
  <c r="FW44" i="23917" s="1"/>
  <c r="EQ35" i="24050"/>
  <c r="EQ36" i="24050" s="1"/>
  <c r="FX40" i="23917"/>
  <c r="ER83" i="24050"/>
  <c r="ER95" i="24050"/>
  <c r="FW95" i="23917"/>
  <c r="ER89" i="24050"/>
  <c r="ER91" i="24050"/>
  <c r="EQ89" i="24050"/>
  <c r="EQ92" i="24050"/>
  <c r="FX100" i="23917"/>
  <c r="ER90" i="24050"/>
  <c r="EQ93" i="24050"/>
  <c r="FX49" i="23917"/>
  <c r="EQ96" i="24050"/>
  <c r="FX48" i="23917"/>
  <c r="ER25" i="24050"/>
  <c r="FW53" i="23917"/>
  <c r="EQ45" i="24050"/>
  <c r="FW34" i="23917"/>
  <c r="ES207" i="24050"/>
  <c r="FY213" i="23917"/>
  <c r="FY72" i="23917"/>
  <c r="ES21" i="24050"/>
  <c r="FY24" i="23917"/>
  <c r="EO39" i="24050"/>
  <c r="FU47" i="23917"/>
  <c r="ES124" i="24050"/>
  <c r="FY130" i="23917"/>
  <c r="FY70" i="23917"/>
  <c r="ES290" i="24050"/>
  <c r="FY296" i="23917"/>
  <c r="FY74" i="23917"/>
  <c r="ES19" i="24050"/>
  <c r="FY22" i="23917"/>
  <c r="ER35" i="24050"/>
  <c r="FX43" i="23917"/>
  <c r="ES167" i="24050"/>
  <c r="FY173" i="23917"/>
  <c r="FY71" i="23917"/>
  <c r="ET17" i="24050"/>
  <c r="FZ20" i="23917"/>
  <c r="EP84" i="24050"/>
  <c r="FV90" i="23917"/>
  <c r="EP78" i="24050"/>
  <c r="FV84" i="23917"/>
  <c r="ES71" i="24050"/>
  <c r="ES65" i="24050"/>
  <c r="ES70" i="24050"/>
  <c r="ES67" i="24050"/>
  <c r="ES66" i="24050"/>
  <c r="ES63" i="24050"/>
  <c r="ES68" i="24050"/>
  <c r="ES64" i="24050"/>
  <c r="ES69" i="24050"/>
  <c r="EP80" i="24050"/>
  <c r="FV86" i="23917"/>
  <c r="ER45" i="24050"/>
  <c r="FX53" i="23917"/>
  <c r="EP79" i="24050"/>
  <c r="FV85" i="23917"/>
  <c r="ES326" i="24050"/>
  <c r="FY332" i="23917"/>
  <c r="FY75" i="23917"/>
  <c r="ES249" i="24050"/>
  <c r="FY255" i="23917"/>
  <c r="FY73" i="23917"/>
  <c r="EU17" i="24050"/>
  <c r="GA20" i="23917"/>
  <c r="EQ28" i="24050"/>
  <c r="FW36" i="23917"/>
  <c r="EP81" i="24050"/>
  <c r="FV87" i="23917"/>
  <c r="EP40" i="24050"/>
  <c r="FV48" i="23917"/>
  <c r="EP82" i="24050"/>
  <c r="FV88" i="23917"/>
  <c r="FY77" i="23917"/>
  <c r="FZ76" i="23917"/>
  <c r="GA76" i="23917"/>
  <c r="FZ69" i="23917"/>
  <c r="GA69" i="23917"/>
  <c r="FX90" i="23917" l="1"/>
  <c r="FW84" i="23917"/>
  <c r="FW99" i="23917"/>
  <c r="FW96" i="23917"/>
  <c r="ER41" i="24050"/>
  <c r="FX97" i="23917"/>
  <c r="EQ91" i="24050"/>
  <c r="ER94" i="24050"/>
  <c r="FW100" i="23917"/>
  <c r="ER40" i="24050"/>
  <c r="EQ40" i="24050"/>
  <c r="EQ77" i="24050"/>
  <c r="FX99" i="23917"/>
  <c r="FW83" i="23917"/>
  <c r="FX87" i="23917"/>
  <c r="ER96" i="24050"/>
  <c r="FW97" i="23917"/>
  <c r="FX96" i="23917"/>
  <c r="ER77" i="24050"/>
  <c r="FW98" i="23917"/>
  <c r="FW48" i="23917"/>
  <c r="FX86" i="23917"/>
  <c r="FX98" i="23917"/>
  <c r="EQ82" i="24050"/>
  <c r="EQ41" i="24050"/>
  <c r="EQ94" i="24050"/>
  <c r="FW102" i="23917"/>
  <c r="FW47" i="23917"/>
  <c r="EQ79" i="24050"/>
  <c r="EQ90" i="24050"/>
  <c r="FW49" i="23917"/>
  <c r="ES22" i="24050"/>
  <c r="FY25" i="23917"/>
  <c r="ER28" i="24050"/>
  <c r="FX36" i="23917"/>
  <c r="EU19" i="24050"/>
  <c r="GA22" i="23917"/>
  <c r="EU290" i="24050"/>
  <c r="GA296" i="23917"/>
  <c r="GA74" i="23917"/>
  <c r="EU249" i="24050"/>
  <c r="GA255" i="23917"/>
  <c r="GA73" i="23917"/>
  <c r="FY78" i="23917"/>
  <c r="EU207" i="24050"/>
  <c r="GA213" i="23917"/>
  <c r="GA72" i="23917"/>
  <c r="EU21" i="24050"/>
  <c r="GA24" i="23917"/>
  <c r="FY33" i="23917"/>
  <c r="FY34" i="23917" s="1"/>
  <c r="ES25" i="24050"/>
  <c r="ES26" i="24050" s="1"/>
  <c r="ET207" i="24050"/>
  <c r="FZ213" i="23917"/>
  <c r="FZ72" i="23917"/>
  <c r="ET124" i="24050"/>
  <c r="FZ130" i="23917"/>
  <c r="FZ70" i="23917"/>
  <c r="ET249" i="24050"/>
  <c r="FZ255" i="23917"/>
  <c r="FZ73" i="23917"/>
  <c r="ER84" i="24050"/>
  <c r="ES32" i="24050"/>
  <c r="ES33" i="24050" s="1"/>
  <c r="FY40" i="23917"/>
  <c r="FY41" i="23917" s="1"/>
  <c r="ES83" i="24050"/>
  <c r="FY89" i="23917"/>
  <c r="ET167" i="24050"/>
  <c r="FZ173" i="23917"/>
  <c r="FZ71" i="23917"/>
  <c r="EU124" i="24050"/>
  <c r="GA130" i="23917"/>
  <c r="GA70" i="23917"/>
  <c r="ET326" i="24050"/>
  <c r="FZ332" i="23917"/>
  <c r="FZ75" i="23917"/>
  <c r="ES72" i="24050"/>
  <c r="EP39" i="24050"/>
  <c r="FV47" i="23917"/>
  <c r="ET21" i="24050"/>
  <c r="FZ24" i="23917"/>
  <c r="ES95" i="24050"/>
  <c r="FY101" i="23917"/>
  <c r="EU167" i="24050"/>
  <c r="GA173" i="23917"/>
  <c r="GA71" i="23917"/>
  <c r="ET19" i="24050"/>
  <c r="FZ22" i="23917"/>
  <c r="ET290" i="24050"/>
  <c r="FZ296" i="23917"/>
  <c r="FZ74" i="23917"/>
  <c r="GA332" i="23917"/>
  <c r="GA75" i="23917"/>
  <c r="FY28" i="23917"/>
  <c r="FY29" i="23917" s="1"/>
  <c r="FZ77" i="23917"/>
  <c r="ER80" i="24050" l="1"/>
  <c r="FW90" i="23917"/>
  <c r="ER93" i="24050"/>
  <c r="EQ84" i="24050"/>
  <c r="EQ78" i="24050"/>
  <c r="FX84" i="23917"/>
  <c r="ER39" i="24050"/>
  <c r="EQ39" i="24050"/>
  <c r="ER79" i="24050"/>
  <c r="ER81" i="24050"/>
  <c r="FW86" i="23917"/>
  <c r="FX102" i="23917"/>
  <c r="FW85" i="23917"/>
  <c r="EQ80" i="24050"/>
  <c r="EQ81" i="24050"/>
  <c r="FW87" i="23917"/>
  <c r="ER92" i="24050"/>
  <c r="FX83" i="23917"/>
  <c r="FW88" i="23917"/>
  <c r="EU32" i="24050"/>
  <c r="GA40" i="23917"/>
  <c r="EU95" i="24050"/>
  <c r="GA101" i="23917"/>
  <c r="FZ33" i="23917"/>
  <c r="ET25" i="24050"/>
  <c r="ES89" i="24050"/>
  <c r="FY95" i="23917"/>
  <c r="FY43" i="23917"/>
  <c r="FY44" i="23917" s="1"/>
  <c r="ES35" i="24050"/>
  <c r="ES36" i="24050" s="1"/>
  <c r="FY31" i="23917"/>
  <c r="ET95" i="24050"/>
  <c r="FZ101" i="23917"/>
  <c r="EU326" i="24050"/>
  <c r="GA77" i="23917"/>
  <c r="FY53" i="23917"/>
  <c r="ES45" i="24050"/>
  <c r="ET32" i="24050"/>
  <c r="FZ40" i="23917"/>
  <c r="ET83" i="24050"/>
  <c r="FZ89" i="23917"/>
  <c r="EU83" i="24050"/>
  <c r="GA89" i="23917"/>
  <c r="EU25" i="24050"/>
  <c r="GA33" i="23917"/>
  <c r="FZ28" i="23917"/>
  <c r="GA28" i="23917"/>
  <c r="ER78" i="24050" l="1"/>
  <c r="FX47" i="23917"/>
  <c r="FX85" i="23917"/>
  <c r="FX88" i="23917"/>
  <c r="ER82" i="24050"/>
  <c r="ET41" i="24050"/>
  <c r="FZ43" i="23917"/>
  <c r="ET35" i="24050"/>
  <c r="ES91" i="24050"/>
  <c r="FY97" i="23917"/>
  <c r="EU89" i="24050"/>
  <c r="GA95" i="23917"/>
  <c r="ES93" i="24050"/>
  <c r="FY99" i="23917"/>
  <c r="FY36" i="23917"/>
  <c r="ES28" i="24050"/>
  <c r="FZ53" i="23917"/>
  <c r="ET45" i="24050"/>
  <c r="ES90" i="24050"/>
  <c r="FY96" i="23917"/>
  <c r="ET89" i="24050"/>
  <c r="FZ95" i="23917"/>
  <c r="ES94" i="24050"/>
  <c r="FY100" i="23917"/>
  <c r="ES92" i="24050"/>
  <c r="FY98" i="23917"/>
  <c r="ES77" i="24050"/>
  <c r="FY83" i="23917"/>
  <c r="ES96" i="24050"/>
  <c r="FY102" i="23917"/>
  <c r="EU41" i="24050"/>
  <c r="GA49" i="23917"/>
  <c r="ES41" i="24050"/>
  <c r="FY49" i="23917"/>
  <c r="EU35" i="24050"/>
  <c r="GA43" i="23917"/>
  <c r="EU45" i="24050"/>
  <c r="GA53" i="23917"/>
  <c r="FZ49" i="23917" l="1"/>
  <c r="EU94" i="24050"/>
  <c r="GA100" i="23917"/>
  <c r="EU96" i="24050"/>
  <c r="GA102" i="23917"/>
  <c r="EU77" i="24050"/>
  <c r="GA83" i="23917"/>
  <c r="ET92" i="24050"/>
  <c r="FZ98" i="23917"/>
  <c r="ET91" i="24050"/>
  <c r="FZ97" i="23917"/>
  <c r="ES40" i="24050"/>
  <c r="FY48" i="23917"/>
  <c r="ES78" i="24050"/>
  <c r="FY84" i="23917"/>
  <c r="ES81" i="24050"/>
  <c r="FY87" i="23917"/>
  <c r="EU92" i="24050"/>
  <c r="GA98" i="23917"/>
  <c r="EU93" i="24050"/>
  <c r="GA99" i="23917"/>
  <c r="EU91" i="24050"/>
  <c r="GA97" i="23917"/>
  <c r="ES79" i="24050"/>
  <c r="FY85" i="23917"/>
  <c r="ET77" i="24050"/>
  <c r="FZ83" i="23917"/>
  <c r="ES82" i="24050"/>
  <c r="FY88" i="23917"/>
  <c r="ET90" i="24050"/>
  <c r="FZ96" i="23917"/>
  <c r="FZ36" i="23917"/>
  <c r="ET28" i="24050"/>
  <c r="ET93" i="24050"/>
  <c r="FZ99" i="23917"/>
  <c r="ET94" i="24050"/>
  <c r="FZ100" i="23917"/>
  <c r="ET96" i="24050"/>
  <c r="FZ102" i="23917"/>
  <c r="ES80" i="24050"/>
  <c r="FY86" i="23917"/>
  <c r="ES84" i="24050"/>
  <c r="FY90" i="23917"/>
  <c r="EU90" i="24050"/>
  <c r="GA96" i="23917"/>
  <c r="EU28" i="24050"/>
  <c r="GA36" i="23917"/>
  <c r="ES39" i="24050" l="1"/>
  <c r="FY47" i="23917"/>
  <c r="ET80" i="24050"/>
  <c r="FZ86" i="23917"/>
  <c r="ET81" i="24050"/>
  <c r="FZ87" i="23917"/>
  <c r="ET82" i="24050"/>
  <c r="FZ88" i="23917"/>
  <c r="ET78" i="24050"/>
  <c r="FZ84" i="23917"/>
  <c r="EU81" i="24050"/>
  <c r="GA87" i="23917"/>
  <c r="EU82" i="24050"/>
  <c r="GA88" i="23917"/>
  <c r="EU78" i="24050"/>
  <c r="GA84" i="23917"/>
  <c r="ET84" i="24050"/>
  <c r="FZ90" i="23917"/>
  <c r="EU84" i="24050"/>
  <c r="GA90" i="23917"/>
  <c r="EU40" i="24050"/>
  <c r="GA48" i="23917"/>
  <c r="ET79" i="24050"/>
  <c r="FZ85" i="23917"/>
  <c r="EU80" i="24050"/>
  <c r="GA86" i="23917"/>
  <c r="ET40" i="24050"/>
  <c r="FZ48" i="23917"/>
  <c r="EU79" i="24050"/>
  <c r="GA85" i="23917"/>
  <c r="ET39" i="24050" l="1"/>
  <c r="FZ47" i="23917"/>
  <c r="EU39" i="24050"/>
  <c r="GA47" i="23917"/>
</calcChain>
</file>

<file path=xl/comments1.xml><?xml version="1.0" encoding="utf-8"?>
<comments xmlns="http://schemas.openxmlformats.org/spreadsheetml/2006/main">
  <authors>
    <author>sanclaur</author>
    <author>Sanchez Bolanos, Laura (Research)</author>
    <author>Zheng, Chaodan (Research)</author>
    <author>Gupta, Tanmay (Research)</author>
    <author>Aerin Lim</author>
    <author>Zamora, Diana (Research)</author>
    <author>Alan Wong</author>
    <author>mshows</author>
    <author>Ken Zerbe</author>
    <author>wongalan</author>
    <author>dallyn</author>
    <author>Laura Sanchez</author>
    <author>haybuse</author>
    <author>dianaz</author>
    <author>Huang, Bob (Research)</author>
    <author>Details</author>
    <author>bhoanir</author>
    <author>Rojas, Isabel (Research)</author>
    <author>gohilcha</author>
    <author>zerbeken</author>
    <author>mawjik</author>
    <author>Michelle D. Kushnir</author>
    <author>Locker, Hayley (Research)</author>
    <author>Test</author>
    <author>bajpais</author>
  </authors>
  <commentList>
    <comment ref="FR6" authorId="0">
      <text>
        <r>
          <rPr>
            <b/>
            <sz val="9"/>
            <color indexed="81"/>
            <rFont val="Calibri"/>
            <family val="2"/>
          </rPr>
          <t>sanclaur:</t>
        </r>
        <r>
          <rPr>
            <sz val="9"/>
            <color indexed="81"/>
            <rFont val="Calibri"/>
            <family val="2"/>
          </rPr>
          <t xml:space="preserve">
restated w/ 1Q12 supplement</t>
        </r>
      </text>
    </comment>
    <comment ref="FT6" authorId="0">
      <text>
        <r>
          <rPr>
            <b/>
            <sz val="9"/>
            <color indexed="81"/>
            <rFont val="Calibri"/>
            <family val="2"/>
          </rPr>
          <t>sanclaur:</t>
        </r>
        <r>
          <rPr>
            <sz val="9"/>
            <color indexed="81"/>
            <rFont val="Calibri"/>
            <family val="2"/>
          </rPr>
          <t xml:space="preserve">
restated w/ 1Q12 supplement</t>
        </r>
      </text>
    </comment>
    <comment ref="FV6" authorId="0">
      <text>
        <r>
          <rPr>
            <b/>
            <sz val="9"/>
            <color indexed="81"/>
            <rFont val="Calibri"/>
            <family val="2"/>
          </rPr>
          <t>sanclaur:</t>
        </r>
        <r>
          <rPr>
            <sz val="9"/>
            <color indexed="81"/>
            <rFont val="Calibri"/>
            <family val="2"/>
          </rPr>
          <t xml:space="preserve">
restated w/ 1Q12 supplement</t>
        </r>
      </text>
    </comment>
    <comment ref="GB18" authorId="1">
      <text>
        <r>
          <rPr>
            <b/>
            <sz val="9"/>
            <color indexed="81"/>
            <rFont val="Calibri"/>
            <family val="2"/>
          </rPr>
          <t>Sanchez Bolanos, Laura (Research):</t>
        </r>
        <r>
          <rPr>
            <sz val="9"/>
            <color indexed="81"/>
            <rFont val="Calibri"/>
            <family val="2"/>
          </rPr>
          <t xml:space="preserve">
2015 Inv. Day: unchanged
2014 Inv. Day: +5-10% ex-LTC charge</t>
        </r>
      </text>
    </comment>
    <comment ref="GD18" authorId="1">
      <text>
        <r>
          <rPr>
            <b/>
            <sz val="9"/>
            <color indexed="81"/>
            <rFont val="Calibri"/>
            <family val="2"/>
          </rPr>
          <t>Gupta, Tanmay (Research):</t>
        </r>
        <r>
          <rPr>
            <sz val="9"/>
            <color indexed="81"/>
            <rFont val="Calibri"/>
            <family val="2"/>
          </rPr>
          <t xml:space="preserve">
3Q15 call: lower end of 2-5% vs $3.51 at 2014
1Q15 call: 2-5%
4Q14 call: low end of 2-5% with a base of $3.51 for 2014
2015 Inv. Day: Op. EPS growth unchanged
&gt;Premium growth 4-6% (core ops) and 2-4% (including closed block) 
&gt;Capital Mgmt 2-3%
2014 Inv. Day: Op. EPS growth of 2-5%:
&gt;Premium growth of 4-5%
&gt;Yield and Discount Rate Pressure of (3-4)%
&gt;Closed Block and other 0-(1)%
&gt;Capital Management of 2-3%
</t>
        </r>
      </text>
    </comment>
    <comment ref="GF18" authorId="2">
      <text>
        <r>
          <rPr>
            <b/>
            <sz val="9"/>
            <color indexed="81"/>
            <rFont val="Calibri"/>
            <family val="2"/>
          </rPr>
          <t>Gupta, Tanmay (Research):</t>
        </r>
        <r>
          <rPr>
            <sz val="9"/>
            <color indexed="81"/>
            <rFont val="Calibri"/>
            <family val="2"/>
          </rPr>
          <t xml:space="preserve">
2Q16 guid: higher end of 3-6%
1Q16 guid: unchanged
4Q15 guid ~ 3-6%
2016 outlook: 3-7%</t>
        </r>
      </text>
    </comment>
    <comment ref="GH18" authorId="3">
      <text>
        <r>
          <rPr>
            <b/>
            <sz val="9"/>
            <color indexed="81"/>
            <rFont val="Calibri"/>
            <family val="2"/>
          </rPr>
          <t>Gupta, Tanmay (Research):</t>
        </r>
        <r>
          <rPr>
            <sz val="9"/>
            <color indexed="81"/>
            <rFont val="Calibri"/>
            <family val="2"/>
          </rPr>
          <t xml:space="preserve">
2Q17: 5-8%
1Q17: unchanged
4Q16: 3-6%</t>
        </r>
      </text>
    </comment>
    <comment ref="GJ18" authorId="3">
      <text>
        <r>
          <rPr>
            <b/>
            <sz val="9"/>
            <color indexed="81"/>
            <rFont val="Tahoma"/>
            <family val="2"/>
          </rPr>
          <t>Gupta, Tanmay (Research):</t>
        </r>
        <r>
          <rPr>
            <sz val="9"/>
            <color indexed="81"/>
            <rFont val="Tahoma"/>
            <family val="2"/>
          </rPr>
          <t xml:space="preserve">
2018 Outlook: 17-23%
$4.96-5.22</t>
        </r>
      </text>
    </comment>
    <comment ref="B34" authorId="4">
      <text>
        <r>
          <rPr>
            <b/>
            <sz val="9"/>
            <color indexed="81"/>
            <rFont val="Calibri"/>
            <family val="2"/>
          </rPr>
          <t>Aerin Lim:</t>
        </r>
        <r>
          <rPr>
            <sz val="9"/>
            <color indexed="81"/>
            <rFont val="Calibri"/>
            <family val="2"/>
          </rPr>
          <t xml:space="preserve">
7.1  "case persistency: grp LT dis"</t>
        </r>
      </text>
    </comment>
    <comment ref="B39" authorId="4">
      <text>
        <r>
          <rPr>
            <b/>
            <sz val="9"/>
            <color indexed="81"/>
            <rFont val="Calibri"/>
            <family val="2"/>
          </rPr>
          <t>Aerin Lim:</t>
        </r>
        <r>
          <rPr>
            <sz val="9"/>
            <color indexed="81"/>
            <rFont val="Calibri"/>
            <family val="2"/>
          </rPr>
          <t xml:space="preserve">
7.1</t>
        </r>
      </text>
    </comment>
    <comment ref="DU39" authorId="2">
      <text>
        <r>
          <rPr>
            <b/>
            <sz val="9"/>
            <color indexed="81"/>
            <rFont val="Calibri"/>
            <family val="2"/>
          </rPr>
          <t>Zheng, Chaodan (Research):</t>
        </r>
        <r>
          <rPr>
            <sz val="9"/>
            <color indexed="81"/>
            <rFont val="Calibri"/>
            <family val="2"/>
          </rPr>
          <t xml:space="preserve">
call with mgmt:
- premium growth was 6.3%, but a little headwind on investment inocme due to lower misc investment income</t>
        </r>
      </text>
    </comment>
    <comment ref="DW39" authorId="2">
      <text>
        <r>
          <rPr>
            <b/>
            <sz val="9"/>
            <color indexed="81"/>
            <rFont val="Calibri"/>
            <family val="2"/>
          </rPr>
          <t>Zheng, Chaodan (Research):</t>
        </r>
        <r>
          <rPr>
            <sz val="9"/>
            <color indexed="81"/>
            <rFont val="Calibri"/>
            <family val="2"/>
          </rPr>
          <t xml:space="preserve">
call with mgmt:
- premium growth was 6.3%, but a little headwind on investment inocme due to lower misc investment income</t>
        </r>
      </text>
    </comment>
    <comment ref="CW40" authorId="5">
      <text>
        <r>
          <rPr>
            <b/>
            <sz val="9"/>
            <color indexed="81"/>
            <rFont val="Calibri"/>
            <family val="2"/>
          </rPr>
          <t>Zamora, Diana (Research):</t>
        </r>
        <r>
          <rPr>
            <sz val="9"/>
            <color indexed="81"/>
            <rFont val="Calibri"/>
            <family val="2"/>
          </rPr>
          <t xml:space="preserve">
Restated with 8-k of 2/12/2015
</t>
        </r>
      </text>
    </comment>
    <comment ref="CY40" authorId="5">
      <text>
        <r>
          <rPr>
            <b/>
            <sz val="9"/>
            <color indexed="81"/>
            <rFont val="Calibri"/>
            <family val="2"/>
          </rPr>
          <t>Zamora, Diana (Research):</t>
        </r>
        <r>
          <rPr>
            <sz val="9"/>
            <color indexed="81"/>
            <rFont val="Calibri"/>
            <family val="2"/>
          </rPr>
          <t xml:space="preserve">
Restated with 8-k of 2/12/2015
</t>
        </r>
      </text>
    </comment>
    <comment ref="DA40" authorId="5">
      <text>
        <r>
          <rPr>
            <b/>
            <sz val="9"/>
            <color indexed="81"/>
            <rFont val="Calibri"/>
            <family val="2"/>
          </rPr>
          <t>Zamora, Diana (Research):</t>
        </r>
        <r>
          <rPr>
            <sz val="9"/>
            <color indexed="81"/>
            <rFont val="Calibri"/>
            <family val="2"/>
          </rPr>
          <t xml:space="preserve">
Restated with 8-k of 2/12/2015
</t>
        </r>
      </text>
    </comment>
    <comment ref="DC40" authorId="5">
      <text>
        <r>
          <rPr>
            <b/>
            <sz val="9"/>
            <color indexed="81"/>
            <rFont val="Calibri"/>
            <family val="2"/>
          </rPr>
          <t>Zamora, Diana (Research):</t>
        </r>
        <r>
          <rPr>
            <sz val="9"/>
            <color indexed="81"/>
            <rFont val="Calibri"/>
            <family val="2"/>
          </rPr>
          <t xml:space="preserve">
Restated with 8-k of 2/12/2015
</t>
        </r>
      </text>
    </comment>
    <comment ref="DE40" authorId="5">
      <text>
        <r>
          <rPr>
            <b/>
            <sz val="9"/>
            <color indexed="81"/>
            <rFont val="Calibri"/>
            <family val="2"/>
          </rPr>
          <t>Zamora, Diana (Research):</t>
        </r>
        <r>
          <rPr>
            <sz val="9"/>
            <color indexed="81"/>
            <rFont val="Calibri"/>
            <family val="2"/>
          </rPr>
          <t xml:space="preserve">
Restated with 8-k of 2/12/2015
</t>
        </r>
      </text>
    </comment>
    <comment ref="DG40" authorId="5">
      <text>
        <r>
          <rPr>
            <b/>
            <sz val="9"/>
            <color indexed="81"/>
            <rFont val="Calibri"/>
            <family val="2"/>
          </rPr>
          <t>Zamora, Diana (Research):</t>
        </r>
        <r>
          <rPr>
            <sz val="9"/>
            <color indexed="81"/>
            <rFont val="Calibri"/>
            <family val="2"/>
          </rPr>
          <t xml:space="preserve">
Restated with 8-k of 2/12/2015
</t>
        </r>
      </text>
    </comment>
    <comment ref="DI40" authorId="5">
      <text>
        <r>
          <rPr>
            <b/>
            <sz val="9"/>
            <color indexed="81"/>
            <rFont val="Calibri"/>
            <family val="2"/>
          </rPr>
          <t>Zamora, Diana (Research):</t>
        </r>
        <r>
          <rPr>
            <sz val="9"/>
            <color indexed="81"/>
            <rFont val="Calibri"/>
            <family val="2"/>
          </rPr>
          <t xml:space="preserve">
Restated with 8-k of 2/12/2015
</t>
        </r>
      </text>
    </comment>
    <comment ref="DK40" authorId="5">
      <text>
        <r>
          <rPr>
            <b/>
            <sz val="9"/>
            <color indexed="81"/>
            <rFont val="Calibri"/>
            <family val="2"/>
          </rPr>
          <t>Zamora, Diana (Research):</t>
        </r>
        <r>
          <rPr>
            <sz val="9"/>
            <color indexed="81"/>
            <rFont val="Calibri"/>
            <family val="2"/>
          </rPr>
          <t xml:space="preserve">
Restated with 8-k of 2/12/2015
</t>
        </r>
      </text>
    </comment>
    <comment ref="AO45" authorId="6">
      <text>
        <r>
          <rPr>
            <sz val="9"/>
            <color indexed="81"/>
            <rFont val="Calibri"/>
            <family val="2"/>
          </rPr>
          <t>Excludes $27.3 million in expenses related to California settlement charge</t>
        </r>
      </text>
    </comment>
    <comment ref="AS45" authorId="6">
      <text>
        <r>
          <rPr>
            <sz val="9"/>
            <color indexed="81"/>
            <rFont val="Calibri"/>
            <family val="2"/>
          </rPr>
          <t>Excludes $72.8 million charge for higher expected claim costs related to settlements</t>
        </r>
      </text>
    </comment>
    <comment ref="AW45" authorId="6">
      <text>
        <r>
          <rPr>
            <sz val="9"/>
            <color indexed="81"/>
            <rFont val="Calibri"/>
            <family val="2"/>
          </rPr>
          <t>Excludes $291.4M of reassessment charges</t>
        </r>
      </text>
    </comment>
    <comment ref="AO48" authorId="7">
      <text>
        <r>
          <rPr>
            <sz val="9"/>
            <color indexed="81"/>
            <rFont val="Calibri"/>
            <family val="2"/>
          </rPr>
          <t>Excludes $10.1 million Calif settlement oper expense charge</t>
        </r>
      </text>
    </comment>
    <comment ref="AG51" authorId="8">
      <text>
        <r>
          <rPr>
            <sz val="9"/>
            <color indexed="81"/>
            <rFont val="Calibri"/>
            <family val="2"/>
          </rPr>
          <t>Includes 0.7 from a 25 bps lowering of its discount rate in 3Q03.</t>
        </r>
      </text>
    </comment>
    <comment ref="AI51" authorId="9">
      <text>
        <r>
          <rPr>
            <sz val="9"/>
            <color indexed="81"/>
            <rFont val="Calibri"/>
            <family val="2"/>
          </rPr>
          <t>Includes pre tax loss of $116.7 million from settlement of multistate examination.  Benefit ratio 88 excluding charges.</t>
        </r>
      </text>
    </comment>
    <comment ref="AK51" authorId="9">
      <text>
        <r>
          <rPr>
            <sz val="9"/>
            <color indexed="81"/>
            <rFont val="Calibri"/>
            <family val="2"/>
          </rPr>
          <t>Higher benefit ratio due to implementation of multi state settlement. Mgmt says it's short term</t>
        </r>
      </text>
    </comment>
    <comment ref="AM51" authorId="9">
      <text>
        <r>
          <rPr>
            <sz val="9"/>
            <color indexed="81"/>
            <rFont val="Calibri"/>
            <family val="2"/>
          </rPr>
          <t>Higher benefit ratio due to implementation of multi state settlement. Mgmt says it's short term</t>
        </r>
      </text>
    </comment>
    <comment ref="AO51" authorId="9">
      <text>
        <r>
          <rPr>
            <sz val="9"/>
            <color indexed="81"/>
            <rFont val="Calibri"/>
            <family val="2"/>
          </rPr>
          <t>Higher benefit ratio due to implementation of multi state settlement. Mgmt says it's short term</t>
        </r>
      </text>
    </comment>
    <comment ref="AS51" authorId="10">
      <text>
        <r>
          <rPr>
            <b/>
            <sz val="9"/>
            <color indexed="81"/>
            <rFont val="Calibri"/>
            <family val="2"/>
          </rPr>
          <t>dallyn:</t>
        </r>
        <r>
          <rPr>
            <sz val="9"/>
            <color indexed="81"/>
            <rFont val="Calibri"/>
            <family val="2"/>
          </rPr>
          <t xml:space="preserve">
95.5 ex settlement cost
</t>
        </r>
      </text>
    </comment>
    <comment ref="DM51" authorId="1">
      <text>
        <r>
          <rPr>
            <b/>
            <sz val="9"/>
            <color indexed="81"/>
            <rFont val="Calibri"/>
            <family val="2"/>
          </rPr>
          <t>Sanchez Bolanos, Laura (Research):</t>
        </r>
        <r>
          <rPr>
            <sz val="9"/>
            <color indexed="81"/>
            <rFont val="Calibri"/>
            <family val="2"/>
          </rPr>
          <t xml:space="preserve">
not sustainable, run-rate more in-line w/ 10yrs range of 81-83%</t>
        </r>
      </text>
    </comment>
    <comment ref="FZ51" authorId="11">
      <text>
        <r>
          <rPr>
            <b/>
            <sz val="9"/>
            <color indexed="81"/>
            <rFont val="Calibri"/>
            <family val="2"/>
          </rPr>
          <t>Laura Sanchez:</t>
        </r>
        <r>
          <rPr>
            <sz val="9"/>
            <color indexed="81"/>
            <rFont val="Calibri"/>
            <family val="2"/>
          </rPr>
          <t xml:space="preserve">
1Q13 call: 84-85%</t>
        </r>
      </text>
    </comment>
    <comment ref="GD51" authorId="1">
      <text>
        <r>
          <rPr>
            <b/>
            <sz val="9"/>
            <color indexed="81"/>
            <rFont val="Calibri"/>
            <family val="2"/>
          </rPr>
          <t>Sanchez Bolanos, Laura (Research):</t>
        </r>
        <r>
          <rPr>
            <sz val="9"/>
            <color indexed="81"/>
            <rFont val="Calibri"/>
            <family val="2"/>
          </rPr>
          <t xml:space="preserve">
2014 Inv. Day: Impact from a 50bps lower discount rate will be offset by re-pricing (renewals)</t>
        </r>
      </text>
    </comment>
    <comment ref="GH51" authorId="3">
      <text>
        <r>
          <rPr>
            <b/>
            <sz val="9"/>
            <color indexed="81"/>
            <rFont val="Calibri"/>
            <family val="2"/>
          </rPr>
          <t>Gupta, Tanmay (Research):</t>
        </r>
        <r>
          <rPr>
            <sz val="9"/>
            <color indexed="81"/>
            <rFont val="Calibri"/>
            <family val="2"/>
          </rPr>
          <t xml:space="preserve">
2Q17 guid: unchanged
1Q17 guidance: 76-79%</t>
        </r>
      </text>
    </comment>
    <comment ref="GJ51" authorId="3">
      <text>
        <r>
          <rPr>
            <b/>
            <sz val="9"/>
            <color indexed="81"/>
            <rFont val="Tahoma"/>
            <family val="2"/>
          </rPr>
          <t>Gupta, Tanmay (Research):</t>
        </r>
        <r>
          <rPr>
            <sz val="9"/>
            <color indexed="81"/>
            <rFont val="Tahoma"/>
            <family val="2"/>
          </rPr>
          <t xml:space="preserve">
2018 outlook: expect benefit ratio to remain at the lower end of 76-79% range</t>
        </r>
      </text>
    </comment>
    <comment ref="AO53" authorId="7">
      <text>
        <r>
          <rPr>
            <sz val="9"/>
            <color indexed="81"/>
            <rFont val="Calibri"/>
            <family val="2"/>
          </rPr>
          <t>Excludes $10.1 million Calif settlement oper expense charge</t>
        </r>
      </text>
    </comment>
    <comment ref="AI55" authorId="9">
      <text>
        <r>
          <rPr>
            <sz val="9"/>
            <color indexed="81"/>
            <rFont val="Calibri"/>
            <family val="2"/>
          </rPr>
          <t>Includes pre tax loss of $116.7 million from settlement of multistate examination and $9.9 million in gains from valuation adjustment of MBS holdings</t>
        </r>
      </text>
    </comment>
    <comment ref="AK55" authorId="9">
      <text>
        <r>
          <rPr>
            <sz val="9"/>
            <color indexed="81"/>
            <rFont val="Calibri"/>
            <family val="2"/>
          </rPr>
          <t>Higher benefit ratio due to multi state settlement, a short term blip says mgmt</t>
        </r>
      </text>
    </comment>
    <comment ref="AM55" authorId="9">
      <text>
        <r>
          <rPr>
            <sz val="9"/>
            <color indexed="81"/>
            <rFont val="Calibri"/>
            <family val="2"/>
          </rPr>
          <t>Higher benefit ratio due to multi state settlement, should dissipate in coming quarters</t>
        </r>
      </text>
    </comment>
    <comment ref="AO55" authorId="9">
      <text>
        <r>
          <rPr>
            <sz val="9"/>
            <color indexed="81"/>
            <rFont val="Calibri"/>
            <family val="2"/>
          </rPr>
          <t>Excludes $37.4 million in one time charges related to California settlement.</t>
        </r>
      </text>
    </comment>
    <comment ref="AY58" authorId="6">
      <text>
        <r>
          <rPr>
            <sz val="9"/>
            <color indexed="81"/>
            <rFont val="Calibri"/>
            <family val="2"/>
          </rPr>
          <t>$12M bond prepays and calls</t>
        </r>
      </text>
    </comment>
    <comment ref="BG58" authorId="12">
      <text>
        <r>
          <rPr>
            <sz val="9"/>
            <color indexed="81"/>
            <rFont val="Calibri"/>
            <family val="2"/>
          </rPr>
          <t>NII down $4-5m  and expenses up $4-5m</t>
        </r>
      </text>
    </comment>
    <comment ref="CW58" authorId="11">
      <text>
        <r>
          <rPr>
            <b/>
            <sz val="9"/>
            <color indexed="81"/>
            <rFont val="Calibri"/>
            <family val="2"/>
          </rPr>
          <t>Laura Sanchez:</t>
        </r>
        <r>
          <rPr>
            <sz val="9"/>
            <color indexed="81"/>
            <rFont val="Calibri"/>
            <family val="2"/>
          </rPr>
          <t xml:space="preserve">
Retired debt at a discount</t>
        </r>
      </text>
    </comment>
    <comment ref="DU59" authorId="2">
      <text>
        <r>
          <rPr>
            <b/>
            <sz val="9"/>
            <color indexed="81"/>
            <rFont val="Calibri"/>
            <family val="2"/>
          </rPr>
          <t>Zheng, Chaodan (Research):</t>
        </r>
        <r>
          <rPr>
            <sz val="9"/>
            <color indexed="81"/>
            <rFont val="Calibri"/>
            <family val="2"/>
          </rPr>
          <t xml:space="preserve">
call with mgmt:
- very good risk experience (tough comparable to prior year): both incidence and recoveries were both favorable
- favorable incidence, perhaps not sustainable
- premium growth was 6.3%, but a little headwind on investment income due to lower misc investment income
- mostly just steady erosion in portfolio yields</t>
        </r>
      </text>
    </comment>
    <comment ref="DW59" authorId="2">
      <text>
        <r>
          <rPr>
            <b/>
            <sz val="9"/>
            <color indexed="81"/>
            <rFont val="Calibri"/>
            <family val="2"/>
          </rPr>
          <t>Zheng, Chaodan (Research):</t>
        </r>
        <r>
          <rPr>
            <sz val="9"/>
            <color indexed="81"/>
            <rFont val="Calibri"/>
            <family val="2"/>
          </rPr>
          <t xml:space="preserve">
call with mgmt:
- very good risk experience (tough comparable to prior year): both incidence and recoveries were both favorable
- favorable incidence, perhaps not sustainable
- premium growth was 6.3%, but a little headwind on investment income due to lower misc investment income
- mostly just steady erosion in portfolio yields</t>
        </r>
      </text>
    </comment>
    <comment ref="B61" authorId="4">
      <text>
        <r>
          <rPr>
            <b/>
            <sz val="9"/>
            <color indexed="81"/>
            <rFont val="Calibri"/>
            <family val="2"/>
          </rPr>
          <t>Aerin Lim:</t>
        </r>
        <r>
          <rPr>
            <sz val="9"/>
            <color indexed="81"/>
            <rFont val="Calibri"/>
            <family val="2"/>
          </rPr>
          <t xml:space="preserve">
3.1</t>
        </r>
      </text>
    </comment>
    <comment ref="CW76" authorId="5">
      <text>
        <r>
          <rPr>
            <b/>
            <sz val="9"/>
            <color indexed="81"/>
            <rFont val="Calibri"/>
            <family val="2"/>
          </rPr>
          <t>Zamora, Diana (Research):</t>
        </r>
        <r>
          <rPr>
            <sz val="9"/>
            <color indexed="81"/>
            <rFont val="Calibri"/>
            <family val="2"/>
          </rPr>
          <t xml:space="preserve">
Restated with 8-k of 2/12/2015
</t>
        </r>
      </text>
    </comment>
    <comment ref="CY76" authorId="5">
      <text>
        <r>
          <rPr>
            <b/>
            <sz val="9"/>
            <color indexed="81"/>
            <rFont val="Calibri"/>
            <family val="2"/>
          </rPr>
          <t>Zamora, Diana (Research):</t>
        </r>
        <r>
          <rPr>
            <sz val="9"/>
            <color indexed="81"/>
            <rFont val="Calibri"/>
            <family val="2"/>
          </rPr>
          <t xml:space="preserve">
Restated with 8-k of 2/12/2015
</t>
        </r>
      </text>
    </comment>
    <comment ref="DA76" authorId="5">
      <text>
        <r>
          <rPr>
            <b/>
            <sz val="9"/>
            <color indexed="81"/>
            <rFont val="Calibri"/>
            <family val="2"/>
          </rPr>
          <t>Zamora, Diana (Research):</t>
        </r>
        <r>
          <rPr>
            <sz val="9"/>
            <color indexed="81"/>
            <rFont val="Calibri"/>
            <family val="2"/>
          </rPr>
          <t xml:space="preserve">
Restated with 8-k of 2/12/2015
</t>
        </r>
      </text>
    </comment>
    <comment ref="DC76" authorId="5">
      <text>
        <r>
          <rPr>
            <b/>
            <sz val="9"/>
            <color indexed="81"/>
            <rFont val="Calibri"/>
            <family val="2"/>
          </rPr>
          <t>Zamora, Diana (Research):</t>
        </r>
        <r>
          <rPr>
            <sz val="9"/>
            <color indexed="81"/>
            <rFont val="Calibri"/>
            <family val="2"/>
          </rPr>
          <t xml:space="preserve">
Restated with 8-k of 2/12/2015
</t>
        </r>
      </text>
    </comment>
    <comment ref="DE76" authorId="5">
      <text>
        <r>
          <rPr>
            <b/>
            <sz val="9"/>
            <color indexed="81"/>
            <rFont val="Calibri"/>
            <family val="2"/>
          </rPr>
          <t>Zamora, Diana (Research):</t>
        </r>
        <r>
          <rPr>
            <sz val="9"/>
            <color indexed="81"/>
            <rFont val="Calibri"/>
            <family val="2"/>
          </rPr>
          <t xml:space="preserve">
Restated with 8-k of 2/12/2015
</t>
        </r>
      </text>
    </comment>
    <comment ref="DG76" authorId="5">
      <text>
        <r>
          <rPr>
            <b/>
            <sz val="9"/>
            <color indexed="81"/>
            <rFont val="Calibri"/>
            <family val="2"/>
          </rPr>
          <t>Zamora, Diana (Research):</t>
        </r>
        <r>
          <rPr>
            <sz val="9"/>
            <color indexed="81"/>
            <rFont val="Calibri"/>
            <family val="2"/>
          </rPr>
          <t xml:space="preserve">
Restated with 8-k of 2/12/2015
</t>
        </r>
      </text>
    </comment>
    <comment ref="DI76" authorId="5">
      <text>
        <r>
          <rPr>
            <b/>
            <sz val="9"/>
            <color indexed="81"/>
            <rFont val="Calibri"/>
            <family val="2"/>
          </rPr>
          <t>Zamora, Diana (Research):</t>
        </r>
        <r>
          <rPr>
            <sz val="9"/>
            <color indexed="81"/>
            <rFont val="Calibri"/>
            <family val="2"/>
          </rPr>
          <t xml:space="preserve">
Restated with 8-k of 2/12/2015
</t>
        </r>
      </text>
    </comment>
    <comment ref="DK76" authorId="5">
      <text>
        <r>
          <rPr>
            <b/>
            <sz val="9"/>
            <color indexed="81"/>
            <rFont val="Calibri"/>
            <family val="2"/>
          </rPr>
          <t>Zamora, Diana (Research):</t>
        </r>
        <r>
          <rPr>
            <sz val="9"/>
            <color indexed="81"/>
            <rFont val="Calibri"/>
            <family val="2"/>
          </rPr>
          <t xml:space="preserve">
Restated with 8-k of 2/12/2015
</t>
        </r>
      </text>
    </comment>
    <comment ref="DU76" authorId="2">
      <text>
        <r>
          <rPr>
            <b/>
            <sz val="9"/>
            <color indexed="81"/>
            <rFont val="Calibri"/>
            <family val="2"/>
          </rPr>
          <t>Zheng, Chaodan (Research):</t>
        </r>
        <r>
          <rPr>
            <sz val="9"/>
            <color indexed="81"/>
            <rFont val="Calibri"/>
            <family val="2"/>
          </rPr>
          <t xml:space="preserve">
call with mgmt:
- net investment income was down a fair amount - reflects changes in capital allocation</t>
        </r>
      </text>
    </comment>
    <comment ref="DW76" authorId="2">
      <text>
        <r>
          <rPr>
            <b/>
            <sz val="9"/>
            <color indexed="81"/>
            <rFont val="Calibri"/>
            <family val="2"/>
          </rPr>
          <t>Zheng, Chaodan (Research):</t>
        </r>
        <r>
          <rPr>
            <sz val="9"/>
            <color indexed="81"/>
            <rFont val="Calibri"/>
            <family val="2"/>
          </rPr>
          <t xml:space="preserve">
call with mgmt:
- net investment income was down a fair amount - reflects changes in capital allocation</t>
        </r>
      </text>
    </comment>
    <comment ref="DU87" authorId="2">
      <text>
        <r>
          <rPr>
            <b/>
            <sz val="9"/>
            <color indexed="81"/>
            <rFont val="Calibri"/>
            <family val="2"/>
          </rPr>
          <t>Zheng, Chaodan (Research):</t>
        </r>
        <r>
          <rPr>
            <sz val="9"/>
            <color indexed="81"/>
            <rFont val="Calibri"/>
            <family val="2"/>
          </rPr>
          <t xml:space="preserve">
call with mgmt:
- benefit ratio was a little escalated reflecting higher life claims, both incidence and size of claims
- net investment income was down a fair amount, reflects changes in capital allocation
- offset is in closed block</t>
        </r>
      </text>
    </comment>
    <comment ref="DW87" authorId="2">
      <text>
        <r>
          <rPr>
            <b/>
            <sz val="9"/>
            <color indexed="81"/>
            <rFont val="Calibri"/>
            <family val="2"/>
          </rPr>
          <t>Zheng, Chaodan (Research):</t>
        </r>
        <r>
          <rPr>
            <sz val="9"/>
            <color indexed="81"/>
            <rFont val="Calibri"/>
            <family val="2"/>
          </rPr>
          <t xml:space="preserve">
call with mgmt:
- benefit ratio was a little escalated reflecting higher life claims, both incidence and size of claims
- net investment income was down a fair amount, reflects changes in capital allocation
- offset is in closed block</t>
        </r>
      </text>
    </comment>
    <comment ref="FZ87" authorId="11">
      <text>
        <r>
          <rPr>
            <b/>
            <sz val="9"/>
            <color indexed="81"/>
            <rFont val="Calibri"/>
            <family val="2"/>
          </rPr>
          <t>Laura Sanchez:</t>
        </r>
        <r>
          <rPr>
            <sz val="9"/>
            <color indexed="81"/>
            <rFont val="Calibri"/>
            <family val="2"/>
          </rPr>
          <t xml:space="preserve">
1Q13 call: 70-72%</t>
        </r>
      </text>
    </comment>
    <comment ref="EI92" authorId="3">
      <text>
        <r>
          <rPr>
            <b/>
            <sz val="9"/>
            <color indexed="81"/>
            <rFont val="Tahoma"/>
            <family val="2"/>
          </rPr>
          <t>Gupta, Tanmay (Research):</t>
        </r>
        <r>
          <rPr>
            <sz val="9"/>
            <color indexed="81"/>
            <rFont val="Tahoma"/>
            <family val="2"/>
          </rPr>
          <t xml:space="preserve">
4Q17: UDB Reserve Increase</t>
        </r>
      </text>
    </comment>
    <comment ref="BG96" authorId="12">
      <text>
        <r>
          <rPr>
            <sz val="9"/>
            <color indexed="81"/>
            <rFont val="Calibri"/>
            <family val="2"/>
          </rPr>
          <t>Expenses up $4m</t>
        </r>
      </text>
    </comment>
    <comment ref="DC96" authorId="13">
      <text>
        <r>
          <rPr>
            <b/>
            <sz val="9"/>
            <color indexed="81"/>
            <rFont val="Calibri"/>
            <family val="2"/>
          </rPr>
          <t>dianaz:</t>
        </r>
        <r>
          <rPr>
            <sz val="9"/>
            <color indexed="81"/>
            <rFont val="Calibri"/>
            <family val="2"/>
          </rPr>
          <t xml:space="preserve">
UDB reserve increase
Waiver reserve reduction</t>
        </r>
      </text>
    </comment>
    <comment ref="B100" authorId="4">
      <text>
        <r>
          <rPr>
            <b/>
            <sz val="9"/>
            <color indexed="81"/>
            <rFont val="Calibri"/>
            <family val="2"/>
          </rPr>
          <t>Aerin Lim:</t>
        </r>
        <r>
          <rPr>
            <sz val="9"/>
            <color indexed="81"/>
            <rFont val="Calibri"/>
            <family val="2"/>
          </rPr>
          <t xml:space="preserve">
3.1  "group life"</t>
        </r>
      </text>
    </comment>
    <comment ref="B101" authorId="4">
      <text>
        <r>
          <rPr>
            <b/>
            <sz val="9"/>
            <color indexed="81"/>
            <rFont val="Calibri"/>
            <family val="2"/>
          </rPr>
          <t>Aerin Lim:</t>
        </r>
        <r>
          <rPr>
            <sz val="9"/>
            <color indexed="81"/>
            <rFont val="Calibri"/>
            <family val="2"/>
          </rPr>
          <t xml:space="preserve">
3.1  "AD&amp;D"</t>
        </r>
      </text>
    </comment>
    <comment ref="CW108" authorId="5">
      <text>
        <r>
          <rPr>
            <b/>
            <sz val="9"/>
            <color indexed="81"/>
            <rFont val="Calibri"/>
            <family val="2"/>
          </rPr>
          <t>Zamora, Diana (Research):</t>
        </r>
        <r>
          <rPr>
            <sz val="9"/>
            <color indexed="81"/>
            <rFont val="Calibri"/>
            <family val="2"/>
          </rPr>
          <t xml:space="preserve">
Restated with 8-k of 2/12/2015
</t>
        </r>
      </text>
    </comment>
    <comment ref="CY108" authorId="5">
      <text>
        <r>
          <rPr>
            <b/>
            <sz val="9"/>
            <color indexed="81"/>
            <rFont val="Calibri"/>
            <family val="2"/>
          </rPr>
          <t>Zamora, Diana (Research):</t>
        </r>
        <r>
          <rPr>
            <sz val="9"/>
            <color indexed="81"/>
            <rFont val="Calibri"/>
            <family val="2"/>
          </rPr>
          <t xml:space="preserve">
Restated with 8-k of 2/12/2015
</t>
        </r>
      </text>
    </comment>
    <comment ref="DA108" authorId="5">
      <text>
        <r>
          <rPr>
            <b/>
            <sz val="9"/>
            <color indexed="81"/>
            <rFont val="Calibri"/>
            <family val="2"/>
          </rPr>
          <t>Zamora, Diana (Research):</t>
        </r>
        <r>
          <rPr>
            <sz val="9"/>
            <color indexed="81"/>
            <rFont val="Calibri"/>
            <family val="2"/>
          </rPr>
          <t xml:space="preserve">
Restated with 8-k of 2/12/2015
</t>
        </r>
      </text>
    </comment>
    <comment ref="DC108" authorId="5">
      <text>
        <r>
          <rPr>
            <b/>
            <sz val="9"/>
            <color indexed="81"/>
            <rFont val="Calibri"/>
            <family val="2"/>
          </rPr>
          <t>Zamora, Diana (Research):</t>
        </r>
        <r>
          <rPr>
            <sz val="9"/>
            <color indexed="81"/>
            <rFont val="Calibri"/>
            <family val="2"/>
          </rPr>
          <t xml:space="preserve">
Restated with 8-k of 2/12/2015
</t>
        </r>
      </text>
    </comment>
    <comment ref="DE108" authorId="5">
      <text>
        <r>
          <rPr>
            <b/>
            <sz val="9"/>
            <color indexed="81"/>
            <rFont val="Calibri"/>
            <family val="2"/>
          </rPr>
          <t>Zamora, Diana (Research):</t>
        </r>
        <r>
          <rPr>
            <sz val="9"/>
            <color indexed="81"/>
            <rFont val="Calibri"/>
            <family val="2"/>
          </rPr>
          <t xml:space="preserve">
Restated with 8-k of 2/12/2015
</t>
        </r>
      </text>
    </comment>
    <comment ref="DG108" authorId="5">
      <text>
        <r>
          <rPr>
            <b/>
            <sz val="9"/>
            <color indexed="81"/>
            <rFont val="Calibri"/>
            <family val="2"/>
          </rPr>
          <t>Zamora, Diana (Research):</t>
        </r>
        <r>
          <rPr>
            <sz val="9"/>
            <color indexed="81"/>
            <rFont val="Calibri"/>
            <family val="2"/>
          </rPr>
          <t xml:space="preserve">
Restated with 8-k of 2/12/2015
</t>
        </r>
      </text>
    </comment>
    <comment ref="DI108" authorId="5">
      <text>
        <r>
          <rPr>
            <b/>
            <sz val="9"/>
            <color indexed="81"/>
            <rFont val="Calibri"/>
            <family val="2"/>
          </rPr>
          <t>Zamora, Diana (Research):</t>
        </r>
        <r>
          <rPr>
            <sz val="9"/>
            <color indexed="81"/>
            <rFont val="Calibri"/>
            <family val="2"/>
          </rPr>
          <t xml:space="preserve">
Restated with 8-k of 2/12/2015
</t>
        </r>
      </text>
    </comment>
    <comment ref="DK108" authorId="5">
      <text>
        <r>
          <rPr>
            <b/>
            <sz val="9"/>
            <color indexed="81"/>
            <rFont val="Calibri"/>
            <family val="2"/>
          </rPr>
          <t>Zamora, Diana (Research):</t>
        </r>
        <r>
          <rPr>
            <sz val="9"/>
            <color indexed="81"/>
            <rFont val="Calibri"/>
            <family val="2"/>
          </rPr>
          <t xml:space="preserve">
Restated with 8-k of 2/12/2015
</t>
        </r>
      </text>
    </comment>
    <comment ref="AO109" authorId="7">
      <text>
        <r>
          <rPr>
            <sz val="9"/>
            <color indexed="81"/>
            <rFont val="Calibri"/>
            <family val="2"/>
          </rPr>
          <t xml:space="preserve">Excludes $2.3 million Calif reserve charge.
</t>
        </r>
      </text>
    </comment>
    <comment ref="DU110" authorId="2">
      <text>
        <r>
          <rPr>
            <b/>
            <sz val="9"/>
            <color indexed="81"/>
            <rFont val="Calibri"/>
            <family val="2"/>
          </rPr>
          <t>Zheng, Chaodan (Research):</t>
        </r>
        <r>
          <rPr>
            <sz val="9"/>
            <color indexed="81"/>
            <rFont val="Calibri"/>
            <family val="2"/>
          </rPr>
          <t xml:space="preserve">
call with mgmt:
- strong growth in the topline: 5.7% reflects a good result
- individual disability sales were very solid, but voluntary had a $25 million case last year
- risk experience was solid - last year was impacted by  higher lapses</t>
        </r>
      </text>
    </comment>
    <comment ref="DW110" authorId="2">
      <text>
        <r>
          <rPr>
            <b/>
            <sz val="9"/>
            <color indexed="81"/>
            <rFont val="Calibri"/>
            <family val="2"/>
          </rPr>
          <t>Zheng, Chaodan (Research):</t>
        </r>
        <r>
          <rPr>
            <sz val="9"/>
            <color indexed="81"/>
            <rFont val="Calibri"/>
            <family val="2"/>
          </rPr>
          <t xml:space="preserve">
call with mgmt:
- strong growth in the topline: 5.7% reflects a good result
- individual disability sales were very solid, but voluntary had a $25 million case last year
- risk experience was solid - last year was impacted by  higher lapses</t>
        </r>
      </text>
    </comment>
    <comment ref="AO113" authorId="6">
      <text>
        <r>
          <rPr>
            <sz val="9"/>
            <color indexed="81"/>
            <rFont val="Calibri"/>
            <family val="2"/>
          </rPr>
          <t>Excludes $2.3 million in benefits related to California settlement</t>
        </r>
      </text>
    </comment>
    <comment ref="AO116" authorId="7">
      <text>
        <r>
          <rPr>
            <sz val="9"/>
            <color indexed="81"/>
            <rFont val="Calibri"/>
            <family val="2"/>
          </rPr>
          <t>Excludes $1.0 million Calif settlement oper expense charge</t>
        </r>
      </text>
    </comment>
    <comment ref="FZ119" authorId="11">
      <text>
        <r>
          <rPr>
            <b/>
            <sz val="9"/>
            <color indexed="81"/>
            <rFont val="Calibri"/>
            <family val="2"/>
          </rPr>
          <t>Laura Sanchez:</t>
        </r>
        <r>
          <rPr>
            <sz val="9"/>
            <color indexed="81"/>
            <rFont val="Calibri"/>
            <family val="2"/>
          </rPr>
          <t xml:space="preserve">
1Q13 call: 50-52%</t>
        </r>
      </text>
    </comment>
    <comment ref="GD122" authorId="1">
      <text>
        <r>
          <rPr>
            <b/>
            <sz val="9"/>
            <color indexed="81"/>
            <rFont val="Calibri"/>
            <family val="2"/>
          </rPr>
          <t>Sanchez Bolanos, Laura (Research):</t>
        </r>
        <r>
          <rPr>
            <sz val="9"/>
            <color indexed="81"/>
            <rFont val="Calibri"/>
            <family val="2"/>
          </rPr>
          <t xml:space="preserve">
2014 Inv. Day commentary: expect north of $100mn higher expenses over time given investments in technology to compete in private exchanges</t>
        </r>
      </text>
    </comment>
    <comment ref="EI124" authorId="3">
      <text>
        <r>
          <rPr>
            <b/>
            <sz val="9"/>
            <color indexed="81"/>
            <rFont val="Tahoma"/>
            <family val="2"/>
          </rPr>
          <t>Gupta, Tanmay (Research):</t>
        </r>
        <r>
          <rPr>
            <sz val="9"/>
            <color indexed="81"/>
            <rFont val="Tahoma"/>
            <family val="2"/>
          </rPr>
          <t xml:space="preserve">
4Q17: UDB Reserve Increase</t>
        </r>
      </text>
    </comment>
    <comment ref="AO125" authorId="6">
      <text>
        <r>
          <rPr>
            <sz val="9"/>
            <color indexed="81"/>
            <rFont val="Calibri"/>
            <family val="2"/>
          </rPr>
          <t>Excludes $3.3 million in charges related to California settlement</t>
        </r>
      </text>
    </comment>
    <comment ref="BG128" authorId="12">
      <text>
        <r>
          <rPr>
            <sz val="9"/>
            <color indexed="81"/>
            <rFont val="Calibri"/>
            <family val="2"/>
          </rPr>
          <t xml:space="preserve">
Net investment income up $5m from prepayments and expenses up $4-5m</t>
        </r>
      </text>
    </comment>
    <comment ref="CK128" authorId="12">
      <text>
        <r>
          <rPr>
            <b/>
            <sz val="9"/>
            <color indexed="81"/>
            <rFont val="Calibri"/>
            <family val="2"/>
          </rPr>
          <t>haybuse:</t>
        </r>
        <r>
          <rPr>
            <sz val="9"/>
            <color indexed="81"/>
            <rFont val="Calibri"/>
            <family val="2"/>
          </rPr>
          <t xml:space="preserve">
favorable DAC</t>
        </r>
      </text>
    </comment>
    <comment ref="CW128" authorId="11">
      <text>
        <r>
          <rPr>
            <b/>
            <sz val="9"/>
            <color indexed="81"/>
            <rFont val="Calibri"/>
            <family val="2"/>
          </rPr>
          <t xml:space="preserve">Laura Sanchez:
</t>
        </r>
        <r>
          <rPr>
            <sz val="9"/>
            <color indexed="81"/>
            <rFont val="Calibri"/>
            <family val="2"/>
          </rPr>
          <t>DAC amortization higher than usual given lower persistency</t>
        </r>
      </text>
    </comment>
    <comment ref="DC128" authorId="5">
      <text>
        <r>
          <rPr>
            <b/>
            <sz val="9"/>
            <color indexed="81"/>
            <rFont val="Calibri"/>
            <family val="2"/>
          </rPr>
          <t>Zamora, Diana (Research):</t>
        </r>
        <r>
          <rPr>
            <sz val="9"/>
            <color indexed="81"/>
            <rFont val="Calibri"/>
            <family val="2"/>
          </rPr>
          <t xml:space="preserve">
UDB reserve increase</t>
        </r>
      </text>
    </comment>
    <comment ref="EI128" authorId="3">
      <text>
        <r>
          <rPr>
            <b/>
            <sz val="9"/>
            <color indexed="81"/>
            <rFont val="Tahoma"/>
            <family val="2"/>
          </rPr>
          <t>Gupta, Tanmay (Research):</t>
        </r>
        <r>
          <rPr>
            <sz val="9"/>
            <color indexed="81"/>
            <rFont val="Tahoma"/>
            <family val="2"/>
          </rPr>
          <t xml:space="preserve">
4Q17: reserve release of 19.5mn; updated morbidity assumptions in disabled life reserves</t>
        </r>
      </text>
    </comment>
    <comment ref="DY136" authorId="3">
      <text>
        <r>
          <rPr>
            <b/>
            <sz val="9"/>
            <color indexed="81"/>
            <rFont val="Calibri"/>
            <family val="2"/>
          </rPr>
          <t>Gupta, Tanmay (Research):</t>
        </r>
        <r>
          <rPr>
            <sz val="9"/>
            <color indexed="81"/>
            <rFont val="Calibri"/>
            <family val="2"/>
          </rPr>
          <t xml:space="preserve">
dental and vision</t>
        </r>
      </text>
    </comment>
    <comment ref="EA137" authorId="14">
      <text>
        <r>
          <rPr>
            <b/>
            <sz val="9"/>
            <color indexed="81"/>
            <rFont val="Calibri"/>
            <family val="2"/>
          </rPr>
          <t>Huang, Bob (Research):</t>
        </r>
        <r>
          <rPr>
            <sz val="9"/>
            <color indexed="81"/>
            <rFont val="Calibri"/>
            <family val="2"/>
          </rPr>
          <t xml:space="preserve">
dental and vision is 10</t>
        </r>
      </text>
    </comment>
    <comment ref="FZ142" authorId="13">
      <text>
        <r>
          <rPr>
            <b/>
            <sz val="9"/>
            <color indexed="81"/>
            <rFont val="Calibri"/>
            <family val="2"/>
          </rPr>
          <t>dianaz:</t>
        </r>
        <r>
          <rPr>
            <sz val="9"/>
            <color indexed="81"/>
            <rFont val="Calibri"/>
            <family val="2"/>
          </rPr>
          <t xml:space="preserve">
JPMorgan Conference 3/21/2013: "Premium growth expected to be lower due to employment growth and persistency effect from price increases"
Citi Conf 3/6/2013 guid: unchanged
2013 Outlook (12/7/12) guid: +1-3%</t>
        </r>
      </text>
    </comment>
    <comment ref="GB142" authorId="5">
      <text>
        <r>
          <rPr>
            <b/>
            <sz val="9"/>
            <color indexed="81"/>
            <rFont val="Calibri"/>
            <family val="2"/>
          </rPr>
          <t>Zamora, Diana (Research):</t>
        </r>
        <r>
          <rPr>
            <sz val="9"/>
            <color indexed="81"/>
            <rFont val="Calibri"/>
            <family val="2"/>
          </rPr>
          <t xml:space="preserve">
0-2% growth
1Q14 call</t>
        </r>
      </text>
    </comment>
    <comment ref="GD142" authorId="1">
      <text>
        <r>
          <rPr>
            <b/>
            <sz val="9"/>
            <color indexed="81"/>
            <rFont val="Calibri"/>
            <family val="2"/>
          </rPr>
          <t>Sanchez Bolanos, Laura (Research):</t>
        </r>
        <r>
          <rPr>
            <sz val="9"/>
            <color indexed="81"/>
            <rFont val="Calibri"/>
            <family val="2"/>
          </rPr>
          <t xml:space="preserve">
4Q14 call: unchanged 
2015 Inv. Day: unchanged
2014 Inv. Day: +4-6% driven by strong sales growth across all businesses</t>
        </r>
      </text>
    </comment>
    <comment ref="GF142" authorId="1">
      <text>
        <r>
          <rPr>
            <b/>
            <sz val="9"/>
            <color indexed="81"/>
            <rFont val="Calibri"/>
            <family val="2"/>
          </rPr>
          <t>Sanchez Bolanos, Laura (Research):</t>
        </r>
        <r>
          <rPr>
            <sz val="9"/>
            <color indexed="81"/>
            <rFont val="Calibri"/>
            <family val="2"/>
          </rPr>
          <t xml:space="preserve">
2016 Outlook: 4-6%
2014 Inv. Day: 4-7% in a stable economic environment ("normalized")</t>
        </r>
      </text>
    </comment>
    <comment ref="GH142" authorId="14">
      <text>
        <r>
          <rPr>
            <b/>
            <sz val="9"/>
            <color indexed="81"/>
            <rFont val="Calibri"/>
            <family val="2"/>
          </rPr>
          <t>Huang, Bob (Research):</t>
        </r>
        <r>
          <rPr>
            <sz val="9"/>
            <color indexed="81"/>
            <rFont val="Calibri"/>
            <family val="2"/>
          </rPr>
          <t xml:space="preserve">
2017 outlook: 3-5%
</t>
        </r>
      </text>
    </comment>
    <comment ref="GJ142" authorId="3">
      <text>
        <r>
          <rPr>
            <b/>
            <sz val="9"/>
            <color indexed="81"/>
            <rFont val="Tahoma"/>
            <family val="2"/>
          </rPr>
          <t>Gupta, Tanmay (Research):</t>
        </r>
        <r>
          <rPr>
            <sz val="9"/>
            <color indexed="81"/>
            <rFont val="Tahoma"/>
            <family val="2"/>
          </rPr>
          <t xml:space="preserve">
2018 outlook: 4-6%</t>
        </r>
      </text>
    </comment>
    <comment ref="GB154" authorId="1">
      <text>
        <r>
          <rPr>
            <b/>
            <sz val="9"/>
            <color indexed="81"/>
            <rFont val="Calibri"/>
            <family val="2"/>
          </rPr>
          <t>Sanchez Bolanos, Laura (Research):</t>
        </r>
        <r>
          <rPr>
            <sz val="9"/>
            <color indexed="81"/>
            <rFont val="Calibri"/>
            <family val="2"/>
          </rPr>
          <t xml:space="preserve">
2014 Inv. Day: benefit ratios have benefited from a business mix shift</t>
        </r>
      </text>
    </comment>
    <comment ref="GD154" authorId="1">
      <text>
        <r>
          <rPr>
            <b/>
            <sz val="9"/>
            <color indexed="81"/>
            <rFont val="Calibri"/>
            <family val="2"/>
          </rPr>
          <t>Sanchez Bolanos, Laura (Research):</t>
        </r>
        <r>
          <rPr>
            <sz val="9"/>
            <color indexed="81"/>
            <rFont val="Calibri"/>
            <family val="2"/>
          </rPr>
          <t xml:space="preserve">
2014 Inv. Day: Re-pricing to continue in the low mid-single digits; loss ratios will see some presure from the 50bps lower discount rate but renewals should ultimately offset this impact</t>
        </r>
      </text>
    </comment>
    <comment ref="GD156" authorId="1">
      <text>
        <r>
          <rPr>
            <b/>
            <sz val="9"/>
            <color indexed="81"/>
            <rFont val="Calibri"/>
            <family val="2"/>
          </rPr>
          <t>Sanchez Bolanos, Laura (Research):</t>
        </r>
        <r>
          <rPr>
            <sz val="9"/>
            <color indexed="81"/>
            <rFont val="Calibri"/>
            <family val="2"/>
          </rPr>
          <t xml:space="preserve">
2014 Inv. Day: Expect invetsments in employee markets and technology</t>
        </r>
      </text>
    </comment>
    <comment ref="FZ159" authorId="13">
      <text>
        <r>
          <rPr>
            <b/>
            <sz val="9"/>
            <color indexed="81"/>
            <rFont val="Calibri"/>
            <family val="2"/>
          </rPr>
          <t>dianaz:</t>
        </r>
        <r>
          <rPr>
            <sz val="9"/>
            <color indexed="81"/>
            <rFont val="Calibri"/>
            <family val="2"/>
          </rPr>
          <t xml:space="preserve">
JPMorgan Conference 3/21/2013: unchanged
Citi Conf 3/6/2013 guid: unchanged
2013 Outlook (12/7/12) guid: +0-2%</t>
        </r>
      </text>
    </comment>
    <comment ref="GH159" authorId="14">
      <text>
        <r>
          <rPr>
            <b/>
            <sz val="9"/>
            <color indexed="81"/>
            <rFont val="Calibri"/>
            <family val="2"/>
          </rPr>
          <t>Huang, Bob (Research):</t>
        </r>
        <r>
          <rPr>
            <sz val="9"/>
            <color indexed="81"/>
            <rFont val="Calibri"/>
            <family val="2"/>
          </rPr>
          <t xml:space="preserve">
2017 outlook: guided up 2-4%.
</t>
        </r>
      </text>
    </comment>
    <comment ref="GJ159" authorId="3">
      <text>
        <r>
          <rPr>
            <b/>
            <sz val="9"/>
            <color indexed="81"/>
            <rFont val="Tahoma"/>
            <family val="2"/>
          </rPr>
          <t>Gupta, Tanmay (Research):</t>
        </r>
        <r>
          <rPr>
            <sz val="9"/>
            <color indexed="81"/>
            <rFont val="Tahoma"/>
            <family val="2"/>
          </rPr>
          <t xml:space="preserve">
2018 outlook: 1-3%</t>
        </r>
      </text>
    </comment>
    <comment ref="GD163" authorId="1">
      <text>
        <r>
          <rPr>
            <b/>
            <sz val="9"/>
            <color indexed="81"/>
            <rFont val="Calibri"/>
            <family val="2"/>
          </rPr>
          <t>Sanchez Bolanos, Laura (Research):</t>
        </r>
        <r>
          <rPr>
            <sz val="9"/>
            <color indexed="81"/>
            <rFont val="Calibri"/>
            <family val="2"/>
          </rPr>
          <t xml:space="preserve">
2015 Inv. Day: unchanged
2014 Inv. Day: 1-3%</t>
        </r>
      </text>
    </comment>
    <comment ref="GF163" authorId="1">
      <text>
        <r>
          <rPr>
            <b/>
            <sz val="9"/>
            <color indexed="81"/>
            <rFont val="Calibri"/>
            <family val="2"/>
          </rPr>
          <t>Gupta, Tanmay (Research):</t>
        </r>
        <r>
          <rPr>
            <sz val="9"/>
            <color indexed="81"/>
            <rFont val="Calibri"/>
            <family val="2"/>
          </rPr>
          <t xml:space="preserve">
2016 Inv. Day: 4-7% in a stable environment ("normalized")</t>
        </r>
      </text>
    </comment>
    <comment ref="GJ163" authorId="1">
      <text>
        <r>
          <rPr>
            <b/>
            <sz val="9"/>
            <color indexed="81"/>
            <rFont val="Calibri"/>
            <family val="2"/>
          </rPr>
          <t>Sanchez Bolanos, Laura (Research):</t>
        </r>
        <r>
          <rPr>
            <sz val="9"/>
            <color indexed="81"/>
            <rFont val="Calibri"/>
            <family val="2"/>
          </rPr>
          <t xml:space="preserve">
2014 Inv. Day: 4-7% in a stable environment ("normalized")</t>
        </r>
      </text>
    </comment>
    <comment ref="GL163" authorId="1">
      <text>
        <r>
          <rPr>
            <b/>
            <sz val="9"/>
            <color indexed="81"/>
            <rFont val="Calibri"/>
            <family val="2"/>
          </rPr>
          <t>Sanchez Bolanos, Laura (Research):</t>
        </r>
        <r>
          <rPr>
            <sz val="9"/>
            <color indexed="81"/>
            <rFont val="Calibri"/>
            <family val="2"/>
          </rPr>
          <t xml:space="preserve">
2014 Inv. Day: 4-7% in a stable environment ("normalized")</t>
        </r>
      </text>
    </comment>
    <comment ref="GN163" authorId="1">
      <text>
        <r>
          <rPr>
            <b/>
            <sz val="9"/>
            <color indexed="81"/>
            <rFont val="Calibri"/>
            <family val="2"/>
          </rPr>
          <t>Sanchez Bolanos, Laura (Research):</t>
        </r>
        <r>
          <rPr>
            <sz val="9"/>
            <color indexed="81"/>
            <rFont val="Calibri"/>
            <family val="2"/>
          </rPr>
          <t xml:space="preserve">
2014 Inv. Day: 4-7% in a stable environment ("normalized")</t>
        </r>
      </text>
    </comment>
    <comment ref="GH185" authorId="14">
      <text>
        <r>
          <rPr>
            <b/>
            <sz val="9"/>
            <color indexed="81"/>
            <rFont val="Calibri"/>
            <family val="2"/>
          </rPr>
          <t>Huang, Bob (Research):</t>
        </r>
        <r>
          <rPr>
            <sz val="9"/>
            <color indexed="81"/>
            <rFont val="Calibri"/>
            <family val="2"/>
          </rPr>
          <t xml:space="preserve">
outlook 2017
</t>
        </r>
      </text>
    </comment>
    <comment ref="B187" authorId="4">
      <text>
        <r>
          <rPr>
            <b/>
            <sz val="9"/>
            <color indexed="81"/>
            <rFont val="Calibri"/>
            <family val="2"/>
          </rPr>
          <t>Aerin Lim:</t>
        </r>
        <r>
          <rPr>
            <sz val="9"/>
            <color indexed="81"/>
            <rFont val="Calibri"/>
            <family val="2"/>
          </rPr>
          <t xml:space="preserve">
Unum UK - p5</t>
        </r>
      </text>
    </comment>
    <comment ref="FZ188" authorId="13">
      <text>
        <r>
          <rPr>
            <b/>
            <sz val="9"/>
            <color indexed="81"/>
            <rFont val="Calibri"/>
            <family val="2"/>
          </rPr>
          <t>dianaz:</t>
        </r>
        <r>
          <rPr>
            <sz val="9"/>
            <color indexed="81"/>
            <rFont val="Calibri"/>
            <family val="2"/>
          </rPr>
          <t xml:space="preserve">
Citi Conf 3/6/2013 guid: unchanged
2013 Outlook (12/7/12) guid: (17-20%)</t>
        </r>
      </text>
    </comment>
    <comment ref="GB188" authorId="1">
      <text>
        <r>
          <rPr>
            <b/>
            <sz val="9"/>
            <color indexed="81"/>
            <rFont val="Calibri"/>
            <family val="2"/>
          </rPr>
          <t>Sanchez Bolanos, Laura (Research):</t>
        </r>
        <r>
          <rPr>
            <sz val="9"/>
            <color indexed="81"/>
            <rFont val="Calibri"/>
            <family val="2"/>
          </rPr>
          <t xml:space="preserve">
2014 Inv. Day: 0-2% growth c.c.</t>
        </r>
      </text>
    </comment>
    <comment ref="GD188" authorId="1">
      <text>
        <r>
          <rPr>
            <b/>
            <sz val="9"/>
            <color indexed="81"/>
            <rFont val="Calibri"/>
            <family val="2"/>
          </rPr>
          <t>Sanchez Bolanos, Laura (Research):</t>
        </r>
        <r>
          <rPr>
            <sz val="9"/>
            <color indexed="81"/>
            <rFont val="Calibri"/>
            <family val="2"/>
          </rPr>
          <t xml:space="preserve">
2015 Inv. Day: unchanged
2014 Inv. Day: 0-2%</t>
        </r>
      </text>
    </comment>
    <comment ref="GF188" authorId="1">
      <text>
        <r>
          <rPr>
            <b/>
            <sz val="9"/>
            <color indexed="81"/>
            <rFont val="Calibri"/>
            <family val="2"/>
          </rPr>
          <t>Sanchez Bolanos, Laura (Research):</t>
        </r>
        <r>
          <rPr>
            <sz val="9"/>
            <color indexed="81"/>
            <rFont val="Calibri"/>
            <family val="2"/>
          </rPr>
          <t xml:space="preserve">
2016 outlook: 7-9%
2014 Inv. Day: +4-7% in a stable environament ("normalized")</t>
        </r>
      </text>
    </comment>
    <comment ref="GH188" authorId="14">
      <text>
        <r>
          <rPr>
            <b/>
            <sz val="9"/>
            <color indexed="81"/>
            <rFont val="Calibri"/>
            <family val="2"/>
          </rPr>
          <t>Huang, Bob (Research):</t>
        </r>
        <r>
          <rPr>
            <sz val="9"/>
            <color indexed="81"/>
            <rFont val="Calibri"/>
            <family val="2"/>
          </rPr>
          <t xml:space="preserve">
2017 outlook: guided up 1-3%</t>
        </r>
      </text>
    </comment>
    <comment ref="GJ188" authorId="14">
      <text>
        <r>
          <rPr>
            <b/>
            <sz val="9"/>
            <color indexed="81"/>
            <rFont val="Calibri"/>
            <family val="2"/>
          </rPr>
          <t>Huang, Bob (Research):</t>
        </r>
        <r>
          <rPr>
            <sz val="9"/>
            <color indexed="81"/>
            <rFont val="Calibri"/>
            <family val="2"/>
          </rPr>
          <t xml:space="preserve">
2018 outlook: up 1-3%</t>
        </r>
      </text>
    </comment>
    <comment ref="AO190" authorId="7">
      <text>
        <r>
          <rPr>
            <sz val="9"/>
            <color indexed="81"/>
            <rFont val="Calibri"/>
            <family val="2"/>
          </rPr>
          <t>Excludes gain of $5.7 million from sale of Netherlands Branch.</t>
        </r>
      </text>
    </comment>
    <comment ref="DU191" authorId="2">
      <text>
        <r>
          <rPr>
            <b/>
            <sz val="9"/>
            <color indexed="81"/>
            <rFont val="Calibri"/>
            <family val="2"/>
          </rPr>
          <t>Zheng, Chaodan (Research):</t>
        </r>
        <r>
          <rPr>
            <sz val="9"/>
            <color indexed="81"/>
            <rFont val="Calibri"/>
            <family val="2"/>
          </rPr>
          <t xml:space="preserve">
call with mgmt:
- sales were pretty good - core market in particular was strong
- also had a large critical illness sale
- small amount of Dental
- tougher in large case, tends to be more competitive</t>
        </r>
      </text>
    </comment>
    <comment ref="DW191" authorId="2">
      <text>
        <r>
          <rPr>
            <b/>
            <sz val="9"/>
            <color indexed="81"/>
            <rFont val="Calibri"/>
            <family val="2"/>
          </rPr>
          <t>Zheng, Chaodan (Research):</t>
        </r>
        <r>
          <rPr>
            <sz val="9"/>
            <color indexed="81"/>
            <rFont val="Calibri"/>
            <family val="2"/>
          </rPr>
          <t xml:space="preserve">
call with mgmt:
- sales were pretty good - core market in particular was strong
- also had a large critical illness sale
- small amount of Dental
- tougher in large case, tends to be more competitive</t>
        </r>
      </text>
    </comment>
    <comment ref="DU200" authorId="2">
      <text>
        <r>
          <rPr>
            <b/>
            <sz val="9"/>
            <color indexed="81"/>
            <rFont val="Calibri"/>
            <family val="2"/>
          </rPr>
          <t>Zheng, Chaodan (Research):</t>
        </r>
        <r>
          <rPr>
            <sz val="9"/>
            <color indexed="81"/>
            <rFont val="Calibri"/>
            <family val="2"/>
          </rPr>
          <t xml:space="preserve">
call with mgmt:
- high-60 to low-70 is expectation
- risk experience was a little softer: good disability offset by life</t>
        </r>
      </text>
    </comment>
    <comment ref="DW200" authorId="2">
      <text>
        <r>
          <rPr>
            <b/>
            <sz val="9"/>
            <color indexed="81"/>
            <rFont val="Calibri"/>
            <family val="2"/>
          </rPr>
          <t>Zheng, Chaodan (Research):</t>
        </r>
        <r>
          <rPr>
            <sz val="9"/>
            <color indexed="81"/>
            <rFont val="Calibri"/>
            <family val="2"/>
          </rPr>
          <t xml:space="preserve">
call with mgmt:
- high-60 to low-70 is expectation
- risk experience was a little softer: good disability offset by life</t>
        </r>
      </text>
    </comment>
    <comment ref="FX200" authorId="1">
      <text>
        <r>
          <rPr>
            <b/>
            <sz val="9"/>
            <color indexed="81"/>
            <rFont val="Calibri"/>
            <family val="2"/>
          </rPr>
          <t>Sanchez Bolanos, Laura (Research):</t>
        </r>
        <r>
          <rPr>
            <sz val="9"/>
            <color indexed="81"/>
            <rFont val="Calibri"/>
            <family val="2"/>
          </rPr>
          <t xml:space="preserve">
higher benefit ratios driven by re-pricing of the life block</t>
        </r>
      </text>
    </comment>
    <comment ref="GD203" authorId="1">
      <text>
        <r>
          <rPr>
            <b/>
            <sz val="9"/>
            <color indexed="81"/>
            <rFont val="Calibri"/>
            <family val="2"/>
          </rPr>
          <t>Sanchez Bolanos, Laura (Research):</t>
        </r>
        <r>
          <rPr>
            <sz val="9"/>
            <color indexed="81"/>
            <rFont val="Calibri"/>
            <family val="2"/>
          </rPr>
          <t xml:space="preserve">
2014 Inv. Day: Looking to invest in technology to increase operational efficiencies</t>
        </r>
      </text>
    </comment>
    <comment ref="AO205" authorId="7">
      <text>
        <r>
          <rPr>
            <sz val="9"/>
            <color indexed="81"/>
            <rFont val="Calibri"/>
            <family val="2"/>
          </rPr>
          <t>Excludes gain of $5.7 million from sale of Netherlands Branch.</t>
        </r>
      </text>
    </comment>
    <comment ref="FZ205" authorId="13">
      <text>
        <r>
          <rPr>
            <b/>
            <sz val="9"/>
            <color indexed="81"/>
            <rFont val="Calibri"/>
            <family val="2"/>
          </rPr>
          <t>dianaz:</t>
        </r>
        <r>
          <rPr>
            <sz val="9"/>
            <color indexed="81"/>
            <rFont val="Calibri"/>
            <family val="2"/>
          </rPr>
          <t xml:space="preserve">
1Q13 call: Flat
Citi Conf 3/6/2013 guid: unchanged
2013 Outlook (12/7/12) guid: (1)-1%</t>
        </r>
      </text>
    </comment>
    <comment ref="GH205" authorId="14">
      <text>
        <r>
          <rPr>
            <b/>
            <sz val="9"/>
            <color indexed="81"/>
            <rFont val="Calibri"/>
            <family val="2"/>
          </rPr>
          <t>Huang, Bob (Research):</t>
        </r>
        <r>
          <rPr>
            <sz val="9"/>
            <color indexed="81"/>
            <rFont val="Calibri"/>
            <family val="2"/>
          </rPr>
          <t xml:space="preserve">
2017 outlook: guided up 0-2% </t>
        </r>
      </text>
    </comment>
    <comment ref="GJ205" authorId="14">
      <text>
        <r>
          <rPr>
            <b/>
            <sz val="9"/>
            <color indexed="81"/>
            <rFont val="Calibri"/>
            <family val="2"/>
          </rPr>
          <t>Huang, Bob (Research):</t>
        </r>
        <r>
          <rPr>
            <sz val="9"/>
            <color indexed="81"/>
            <rFont val="Calibri"/>
            <family val="2"/>
          </rPr>
          <t xml:space="preserve">
2018 outlook: 0-2% </t>
        </r>
      </text>
    </comment>
    <comment ref="AY208" authorId="6">
      <text>
        <r>
          <rPr>
            <b/>
            <sz val="9"/>
            <color indexed="81"/>
            <rFont val="Calibri"/>
            <family val="2"/>
          </rPr>
          <t>Abnormal FX rate and benefit ratio</t>
        </r>
      </text>
    </comment>
    <comment ref="BG208" authorId="12">
      <text>
        <r>
          <rPr>
            <sz val="9"/>
            <color indexed="81"/>
            <rFont val="Calibri"/>
            <family val="2"/>
          </rPr>
          <t xml:space="preserve">
Net investment income up $5m from bond calls and net lease charge of $4m</t>
        </r>
      </text>
    </comment>
    <comment ref="BM208" authorId="15">
      <text>
        <r>
          <rPr>
            <b/>
            <sz val="9"/>
            <color indexed="81"/>
            <rFont val="Calibri"/>
            <family val="2"/>
          </rPr>
          <t>Details:</t>
        </r>
        <r>
          <rPr>
            <sz val="9"/>
            <color indexed="81"/>
            <rFont val="Calibri"/>
            <family val="2"/>
          </rPr>
          <t xml:space="preserve">
Reserve release of $10.4 million</t>
        </r>
      </text>
    </comment>
    <comment ref="GD209" authorId="1">
      <text>
        <r>
          <rPr>
            <b/>
            <sz val="9"/>
            <color indexed="81"/>
            <rFont val="Calibri"/>
            <family val="2"/>
          </rPr>
          <t>Sanchez Bolanos, Laura (Research):</t>
        </r>
        <r>
          <rPr>
            <sz val="9"/>
            <color indexed="81"/>
            <rFont val="Calibri"/>
            <family val="2"/>
          </rPr>
          <t xml:space="preserve">
2015 Inv. Day: unchanged
2014 Inv. Day: +1-3%</t>
        </r>
      </text>
    </comment>
    <comment ref="GF209" authorId="1">
      <text>
        <r>
          <rPr>
            <b/>
            <sz val="9"/>
            <color indexed="81"/>
            <rFont val="Calibri"/>
            <family val="2"/>
          </rPr>
          <t>Tanmay Gupta (Research):</t>
        </r>
        <r>
          <rPr>
            <sz val="9"/>
            <color indexed="81"/>
            <rFont val="Calibri"/>
            <family val="2"/>
          </rPr>
          <t xml:space="preserve">
2016 Inv. Day: +4-7% in a stable environament ("normalized")</t>
        </r>
      </text>
    </comment>
    <comment ref="B213" authorId="4">
      <text>
        <r>
          <rPr>
            <b/>
            <sz val="9"/>
            <color indexed="81"/>
            <rFont val="Calibri"/>
            <family val="2"/>
          </rPr>
          <t>Aerin Lim:</t>
        </r>
        <r>
          <rPr>
            <sz val="9"/>
            <color indexed="81"/>
            <rFont val="Calibri"/>
            <family val="2"/>
          </rPr>
          <t xml:space="preserve">
p 3.2</t>
        </r>
      </text>
    </comment>
    <comment ref="GB221" authorId="1">
      <text>
        <r>
          <rPr>
            <b/>
            <sz val="9"/>
            <color indexed="81"/>
            <rFont val="Calibri"/>
            <family val="2"/>
          </rPr>
          <t>Sanchez Bolanos, Laura (Research):</t>
        </r>
        <r>
          <rPr>
            <sz val="9"/>
            <color indexed="81"/>
            <rFont val="Calibri"/>
            <family val="2"/>
          </rPr>
          <t xml:space="preserve">
2014 Inv. Day: +2-4%</t>
        </r>
      </text>
    </comment>
    <comment ref="GD221" authorId="1">
      <text>
        <r>
          <rPr>
            <b/>
            <sz val="9"/>
            <color indexed="81"/>
            <rFont val="Calibri"/>
            <family val="2"/>
          </rPr>
          <t>Sanchez Bolanos, Laura (Research):</t>
        </r>
        <r>
          <rPr>
            <sz val="9"/>
            <color indexed="81"/>
            <rFont val="Calibri"/>
            <family val="2"/>
          </rPr>
          <t xml:space="preserve">
2015 Inv. Day: unchanged
2014 Inv. Day: +2-4%</t>
        </r>
      </text>
    </comment>
    <comment ref="GF221" authorId="1">
      <text>
        <r>
          <rPr>
            <b/>
            <sz val="9"/>
            <color indexed="81"/>
            <rFont val="Calibri"/>
            <family val="2"/>
          </rPr>
          <t>Sanchez Bolanos, Laura (Research):</t>
        </r>
        <r>
          <rPr>
            <sz val="9"/>
            <color indexed="81"/>
            <rFont val="Calibri"/>
            <family val="2"/>
          </rPr>
          <t xml:space="preserve">
2016 outlook: 3-5%
2014 Inv. Day: +5-7% in a stable environment ("normalized")</t>
        </r>
      </text>
    </comment>
    <comment ref="GH221" authorId="14">
      <text>
        <r>
          <rPr>
            <b/>
            <sz val="9"/>
            <color indexed="81"/>
            <rFont val="Calibri"/>
            <family val="2"/>
          </rPr>
          <t>Huang, Bob (Research):</t>
        </r>
        <r>
          <rPr>
            <sz val="9"/>
            <color indexed="81"/>
            <rFont val="Calibri"/>
            <family val="2"/>
          </rPr>
          <t xml:space="preserve">
2017 outlook: 5-7%
</t>
        </r>
      </text>
    </comment>
    <comment ref="GJ221" authorId="3">
      <text>
        <r>
          <rPr>
            <b/>
            <sz val="9"/>
            <color indexed="81"/>
            <rFont val="Tahoma"/>
            <family val="2"/>
          </rPr>
          <t>Gupta, Tanmay (Research):</t>
        </r>
        <r>
          <rPr>
            <sz val="9"/>
            <color indexed="81"/>
            <rFont val="Tahoma"/>
            <family val="2"/>
          </rPr>
          <t xml:space="preserve">
2018 outlook: 6-8%</t>
        </r>
      </text>
    </comment>
    <comment ref="GL221" authorId="1">
      <text>
        <r>
          <rPr>
            <b/>
            <sz val="9"/>
            <color indexed="81"/>
            <rFont val="Calibri"/>
            <family val="2"/>
          </rPr>
          <t>Sanchez Bolanos, Laura (Research):</t>
        </r>
        <r>
          <rPr>
            <sz val="9"/>
            <color indexed="81"/>
            <rFont val="Calibri"/>
            <family val="2"/>
          </rPr>
          <t xml:space="preserve">
2014 Inv. Day: +5-7% in a stable environment ("normalized")</t>
        </r>
      </text>
    </comment>
    <comment ref="GN221" authorId="1">
      <text>
        <r>
          <rPr>
            <b/>
            <sz val="9"/>
            <color indexed="81"/>
            <rFont val="Calibri"/>
            <family val="2"/>
          </rPr>
          <t>Sanchez Bolanos, Laura (Research):</t>
        </r>
        <r>
          <rPr>
            <sz val="9"/>
            <color indexed="81"/>
            <rFont val="Calibri"/>
            <family val="2"/>
          </rPr>
          <t xml:space="preserve">
2014 Inv. Day: +5-7% in a stable environment ("normalized")</t>
        </r>
      </text>
    </comment>
    <comment ref="AI222" authorId="9">
      <text>
        <r>
          <rPr>
            <sz val="9"/>
            <color indexed="81"/>
            <rFont val="Calibri"/>
            <family val="2"/>
          </rPr>
          <t>Includes $1.7 million in gains from valuation adjustment of MBS holdings</t>
        </r>
      </text>
    </comment>
    <comment ref="CW222" authorId="5">
      <text>
        <r>
          <rPr>
            <b/>
            <sz val="9"/>
            <color indexed="81"/>
            <rFont val="Calibri"/>
            <family val="2"/>
          </rPr>
          <t>Zamora, Diana (Research):</t>
        </r>
        <r>
          <rPr>
            <sz val="9"/>
            <color indexed="81"/>
            <rFont val="Calibri"/>
            <family val="2"/>
          </rPr>
          <t xml:space="preserve">
Restated with 8-k of 2/12/2015
</t>
        </r>
      </text>
    </comment>
    <comment ref="CY222" authorId="5">
      <text>
        <r>
          <rPr>
            <b/>
            <sz val="9"/>
            <color indexed="81"/>
            <rFont val="Calibri"/>
            <family val="2"/>
          </rPr>
          <t>Zamora, Diana (Research):</t>
        </r>
        <r>
          <rPr>
            <sz val="9"/>
            <color indexed="81"/>
            <rFont val="Calibri"/>
            <family val="2"/>
          </rPr>
          <t xml:space="preserve">
Restated with 8-k of 2/12/2015
</t>
        </r>
      </text>
    </comment>
    <comment ref="DA222" authorId="5">
      <text>
        <r>
          <rPr>
            <b/>
            <sz val="9"/>
            <color indexed="81"/>
            <rFont val="Calibri"/>
            <family val="2"/>
          </rPr>
          <t>Zamora, Diana (Research):</t>
        </r>
        <r>
          <rPr>
            <sz val="9"/>
            <color indexed="81"/>
            <rFont val="Calibri"/>
            <family val="2"/>
          </rPr>
          <t xml:space="preserve">
Restated with 8-k of 2/12/2015
</t>
        </r>
      </text>
    </comment>
    <comment ref="DC222" authorId="5">
      <text>
        <r>
          <rPr>
            <b/>
            <sz val="9"/>
            <color indexed="81"/>
            <rFont val="Calibri"/>
            <family val="2"/>
          </rPr>
          <t>Zamora, Diana (Research):</t>
        </r>
        <r>
          <rPr>
            <sz val="9"/>
            <color indexed="81"/>
            <rFont val="Calibri"/>
            <family val="2"/>
          </rPr>
          <t xml:space="preserve">
Restated with 8-k of 2/12/2015
</t>
        </r>
      </text>
    </comment>
    <comment ref="DE222" authorId="5">
      <text>
        <r>
          <rPr>
            <b/>
            <sz val="9"/>
            <color indexed="81"/>
            <rFont val="Calibri"/>
            <family val="2"/>
          </rPr>
          <t>Zamora, Diana (Research):</t>
        </r>
        <r>
          <rPr>
            <sz val="9"/>
            <color indexed="81"/>
            <rFont val="Calibri"/>
            <family val="2"/>
          </rPr>
          <t xml:space="preserve">
Restated with 8-k of 2/12/2015
</t>
        </r>
      </text>
    </comment>
    <comment ref="DG222" authorId="5">
      <text>
        <r>
          <rPr>
            <b/>
            <sz val="9"/>
            <color indexed="81"/>
            <rFont val="Calibri"/>
            <family val="2"/>
          </rPr>
          <t>Zamora, Diana (Research):</t>
        </r>
        <r>
          <rPr>
            <sz val="9"/>
            <color indexed="81"/>
            <rFont val="Calibri"/>
            <family val="2"/>
          </rPr>
          <t xml:space="preserve">
Restated with 8-k of 2/12/2015
</t>
        </r>
      </text>
    </comment>
    <comment ref="DI222" authorId="5">
      <text>
        <r>
          <rPr>
            <b/>
            <sz val="9"/>
            <color indexed="81"/>
            <rFont val="Calibri"/>
            <family val="2"/>
          </rPr>
          <t>Zamora, Diana (Research):</t>
        </r>
        <r>
          <rPr>
            <sz val="9"/>
            <color indexed="81"/>
            <rFont val="Calibri"/>
            <family val="2"/>
          </rPr>
          <t xml:space="preserve">
Restated with 8-k of 2/12/2015
</t>
        </r>
      </text>
    </comment>
    <comment ref="DK222" authorId="5">
      <text>
        <r>
          <rPr>
            <b/>
            <sz val="9"/>
            <color indexed="81"/>
            <rFont val="Calibri"/>
            <family val="2"/>
          </rPr>
          <t>Zamora, Diana (Research):</t>
        </r>
        <r>
          <rPr>
            <sz val="9"/>
            <color indexed="81"/>
            <rFont val="Calibri"/>
            <family val="2"/>
          </rPr>
          <t xml:space="preserve">
Restated with 8-k of 2/12/2015
</t>
        </r>
      </text>
    </comment>
    <comment ref="DU222" authorId="2">
      <text>
        <r>
          <rPr>
            <b/>
            <sz val="9"/>
            <color indexed="81"/>
            <rFont val="Calibri"/>
            <family val="2"/>
          </rPr>
          <t>Zheng, Chaodan (Research):</t>
        </r>
        <r>
          <rPr>
            <sz val="9"/>
            <color indexed="81"/>
            <rFont val="Calibri"/>
            <family val="2"/>
          </rPr>
          <t xml:space="preserve">
call with mgmt:
- misc investment income was down ($2) million</t>
        </r>
      </text>
    </comment>
    <comment ref="DW222" authorId="2">
      <text>
        <r>
          <rPr>
            <b/>
            <sz val="9"/>
            <color indexed="81"/>
            <rFont val="Calibri"/>
            <family val="2"/>
          </rPr>
          <t>Zheng, Chaodan (Research):</t>
        </r>
        <r>
          <rPr>
            <sz val="9"/>
            <color indexed="81"/>
            <rFont val="Calibri"/>
            <family val="2"/>
          </rPr>
          <t xml:space="preserve">
call with mgmt:
- misc investment income was down ($2) million</t>
        </r>
      </text>
    </comment>
    <comment ref="DU224" authorId="2">
      <text>
        <r>
          <rPr>
            <b/>
            <sz val="9"/>
            <color indexed="81"/>
            <rFont val="Calibri"/>
            <family val="2"/>
          </rPr>
          <t>Zheng, Chaodan (Research):</t>
        </r>
        <r>
          <rPr>
            <sz val="9"/>
            <color indexed="81"/>
            <rFont val="Calibri"/>
            <family val="2"/>
          </rPr>
          <t xml:space="preserve">
call with mgmt:
- best sales quarter since 1998
- good risk result overall
- tend to see volatility in large case and public - both ran well ahead
- also seeing impact from leadership and other field force changes </t>
        </r>
      </text>
    </comment>
    <comment ref="DW224" authorId="2">
      <text>
        <r>
          <rPr>
            <b/>
            <sz val="9"/>
            <color indexed="81"/>
            <rFont val="Calibri"/>
            <family val="2"/>
          </rPr>
          <t>Zheng, Chaodan (Research):</t>
        </r>
        <r>
          <rPr>
            <sz val="9"/>
            <color indexed="81"/>
            <rFont val="Calibri"/>
            <family val="2"/>
          </rPr>
          <t xml:space="preserve">
call with mgmt:
- best sales quarter since 1998
- good risk result overall
- tend to see volatility in large case and public - both ran well ahead
- also seeing impact from leadership and other field force changes </t>
        </r>
      </text>
    </comment>
    <comment ref="GB233" authorId="1">
      <text>
        <r>
          <rPr>
            <b/>
            <sz val="9"/>
            <color indexed="81"/>
            <rFont val="Calibri"/>
            <family val="2"/>
          </rPr>
          <t>Sanchez Bolanos, Laura (Research):</t>
        </r>
        <r>
          <rPr>
            <sz val="9"/>
            <color indexed="81"/>
            <rFont val="Calibri"/>
            <family val="2"/>
          </rPr>
          <t xml:space="preserve">
2014 Inv. Day: 52-53% range</t>
        </r>
      </text>
    </comment>
    <comment ref="GD233" authorId="1">
      <text>
        <r>
          <rPr>
            <b/>
            <sz val="9"/>
            <color indexed="81"/>
            <rFont val="Calibri"/>
            <family val="2"/>
          </rPr>
          <t>Sanchez Bolanos, Laura (Research):</t>
        </r>
        <r>
          <rPr>
            <sz val="9"/>
            <color indexed="81"/>
            <rFont val="Calibri"/>
            <family val="2"/>
          </rPr>
          <t xml:space="preserve">
2014 Inv. Day: 52-53% range</t>
        </r>
      </text>
    </comment>
    <comment ref="EK236" authorId="3">
      <text>
        <r>
          <rPr>
            <b/>
            <sz val="9"/>
            <color indexed="81"/>
            <rFont val="Tahoma"/>
            <family val="2"/>
          </rPr>
          <t>Gupta, Tanmay (Research):</t>
        </r>
        <r>
          <rPr>
            <sz val="9"/>
            <color indexed="81"/>
            <rFont val="Tahoma"/>
            <family val="2"/>
          </rPr>
          <t xml:space="preserve">
2018 outlook: accelerated spend on initiatives</t>
        </r>
      </text>
    </comment>
    <comment ref="GJ236" authorId="3">
      <text>
        <r>
          <rPr>
            <b/>
            <sz val="9"/>
            <color indexed="81"/>
            <rFont val="Tahoma"/>
            <family val="2"/>
          </rPr>
          <t>Gupta, Tanmay (Research):</t>
        </r>
        <r>
          <rPr>
            <sz val="9"/>
            <color indexed="81"/>
            <rFont val="Tahoma"/>
            <family val="2"/>
          </rPr>
          <t xml:space="preserve">
2018 outlook: accelerated spend on initiatives</t>
        </r>
      </text>
    </comment>
    <comment ref="AI239" authorId="9">
      <text>
        <r>
          <rPr>
            <sz val="9"/>
            <color indexed="81"/>
            <rFont val="Calibri"/>
            <family val="2"/>
          </rPr>
          <t>Includes $1.7 million in gains from valuation adjustment of MBS holdings</t>
        </r>
      </text>
    </comment>
    <comment ref="AQ239" authorId="6">
      <text>
        <r>
          <rPr>
            <sz val="9"/>
            <color indexed="81"/>
            <rFont val="Calibri"/>
            <family val="2"/>
          </rPr>
          <t>Unusually high litigation costs of $6.8 million</t>
        </r>
      </text>
    </comment>
    <comment ref="GH239" authorId="14">
      <text>
        <r>
          <rPr>
            <b/>
            <sz val="9"/>
            <color indexed="81"/>
            <rFont val="Calibri"/>
            <family val="2"/>
          </rPr>
          <t>Huang, Bob (Research):</t>
        </r>
        <r>
          <rPr>
            <sz val="9"/>
            <color indexed="81"/>
            <rFont val="Calibri"/>
            <family val="2"/>
          </rPr>
          <t xml:space="preserve">
2017 outlook: 3-5%
</t>
        </r>
      </text>
    </comment>
    <comment ref="GJ239" authorId="3">
      <text>
        <r>
          <rPr>
            <b/>
            <sz val="9"/>
            <color indexed="81"/>
            <rFont val="Tahoma"/>
            <family val="2"/>
          </rPr>
          <t>Gupta, Tanmay (Research):</t>
        </r>
        <r>
          <rPr>
            <sz val="9"/>
            <color indexed="81"/>
            <rFont val="Tahoma"/>
            <family val="2"/>
          </rPr>
          <t xml:space="preserve">
2018 outlook: 2-4%</t>
        </r>
      </text>
    </comment>
    <comment ref="AQ242" authorId="16">
      <text>
        <r>
          <rPr>
            <sz val="9"/>
            <color indexed="81"/>
            <rFont val="Calibri"/>
            <family val="2"/>
          </rPr>
          <t>-$6.8 mn litigation costs (after tax)</t>
        </r>
      </text>
    </comment>
    <comment ref="CI242" authorId="4">
      <text>
        <r>
          <rPr>
            <b/>
            <sz val="9"/>
            <color indexed="81"/>
            <rFont val="Calibri"/>
            <family val="2"/>
          </rPr>
          <t>Aerin Lim:</t>
        </r>
        <r>
          <rPr>
            <sz val="9"/>
            <color indexed="81"/>
            <rFont val="Calibri"/>
            <family val="2"/>
          </rPr>
          <t xml:space="preserve">
bond call premium</t>
        </r>
      </text>
    </comment>
    <comment ref="CW242" authorId="11">
      <text>
        <r>
          <rPr>
            <b/>
            <sz val="9"/>
            <color indexed="81"/>
            <rFont val="Calibri"/>
            <family val="2"/>
          </rPr>
          <t>Laura Sanchez:</t>
        </r>
        <r>
          <rPr>
            <sz val="9"/>
            <color indexed="81"/>
            <rFont val="Calibri"/>
            <family val="2"/>
          </rPr>
          <t xml:space="preserve">
prepayment income</t>
        </r>
      </text>
    </comment>
    <comment ref="DC242" authorId="13">
      <text>
        <r>
          <rPr>
            <b/>
            <sz val="9"/>
            <color indexed="81"/>
            <rFont val="Calibri"/>
            <family val="2"/>
          </rPr>
          <t>dianaz:</t>
        </r>
        <r>
          <rPr>
            <sz val="9"/>
            <color indexed="81"/>
            <rFont val="Calibri"/>
            <family val="2"/>
          </rPr>
          <t xml:space="preserve">
UDB reserve increase</t>
        </r>
      </text>
    </comment>
    <comment ref="GD243" authorId="1">
      <text>
        <r>
          <rPr>
            <b/>
            <sz val="9"/>
            <color indexed="81"/>
            <rFont val="Calibri"/>
            <family val="2"/>
          </rPr>
          <t>Sanchez Bolanos, Laura (Research):</t>
        </r>
        <r>
          <rPr>
            <sz val="9"/>
            <color indexed="81"/>
            <rFont val="Calibri"/>
            <family val="2"/>
          </rPr>
          <t xml:space="preserve">
2015 Inv. Day: unchanged
2014 Inv. Day: +2-4%</t>
        </r>
      </text>
    </comment>
    <comment ref="GF243" authorId="1">
      <text>
        <r>
          <rPr>
            <b/>
            <sz val="9"/>
            <color indexed="81"/>
            <rFont val="Calibri"/>
            <family val="2"/>
          </rPr>
          <t>Tanmay Gupta (Research):</t>
        </r>
        <r>
          <rPr>
            <sz val="9"/>
            <color indexed="81"/>
            <rFont val="Calibri"/>
            <family val="2"/>
          </rPr>
          <t xml:space="preserve">
2016 Inv. Day: +4-6% in a stable environment ("normalized")</t>
        </r>
      </text>
    </comment>
    <comment ref="GF246" authorId="2">
      <text>
        <r>
          <rPr>
            <b/>
            <sz val="9"/>
            <color indexed="81"/>
            <rFont val="Calibri"/>
            <family val="2"/>
          </rPr>
          <t>Zheng, Chaodan (Research):</t>
        </r>
        <r>
          <rPr>
            <sz val="9"/>
            <color indexed="81"/>
            <rFont val="Calibri"/>
            <family val="2"/>
          </rPr>
          <t xml:space="preserve">
2016 outlook: 6-8%</t>
        </r>
      </text>
    </comment>
    <comment ref="B247" authorId="4">
      <text>
        <r>
          <rPr>
            <b/>
            <sz val="9"/>
            <color indexed="81"/>
            <rFont val="Calibri"/>
            <family val="2"/>
          </rPr>
          <t>Aerin Lim:</t>
        </r>
        <r>
          <rPr>
            <sz val="9"/>
            <color indexed="81"/>
            <rFont val="Calibri"/>
            <family val="2"/>
          </rPr>
          <t xml:space="preserve">
p3</t>
        </r>
      </text>
    </comment>
    <comment ref="GD252" authorId="1">
      <text>
        <r>
          <rPr>
            <b/>
            <sz val="9"/>
            <color indexed="81"/>
            <rFont val="Calibri"/>
            <family val="2"/>
          </rPr>
          <t>Sanchez Bolanos, Laura (Research):</t>
        </r>
        <r>
          <rPr>
            <sz val="9"/>
            <color indexed="81"/>
            <rFont val="Calibri"/>
            <family val="2"/>
          </rPr>
          <t xml:space="preserve">
2015 Inv. Day: unchanged
2014 Inv. Day: (4-6)%</t>
        </r>
      </text>
    </comment>
    <comment ref="GF252" authorId="2">
      <text>
        <r>
          <rPr>
            <b/>
            <sz val="9"/>
            <color indexed="81"/>
            <rFont val="Calibri"/>
            <family val="2"/>
          </rPr>
          <t>Zheng, Chaodan (Research):</t>
        </r>
        <r>
          <rPr>
            <sz val="9"/>
            <color indexed="81"/>
            <rFont val="Calibri"/>
            <family val="2"/>
          </rPr>
          <t xml:space="preserve">
2016 outlook: (3)-(5)%</t>
        </r>
      </text>
    </comment>
    <comment ref="GH252" authorId="14">
      <text>
        <r>
          <rPr>
            <b/>
            <sz val="9"/>
            <color indexed="81"/>
            <rFont val="Calibri"/>
            <family val="2"/>
          </rPr>
          <t>Huang, Bob (Research):</t>
        </r>
        <r>
          <rPr>
            <sz val="9"/>
            <color indexed="81"/>
            <rFont val="Calibri"/>
            <family val="2"/>
          </rPr>
          <t xml:space="preserve">
2017 outlook: -2 to -4%
</t>
        </r>
      </text>
    </comment>
    <comment ref="GJ252" authorId="14">
      <text>
        <r>
          <rPr>
            <b/>
            <sz val="9"/>
            <color indexed="81"/>
            <rFont val="Calibri"/>
            <family val="2"/>
          </rPr>
          <t>Huang, Bob (Research):</t>
        </r>
        <r>
          <rPr>
            <sz val="9"/>
            <color indexed="81"/>
            <rFont val="Calibri"/>
            <family val="2"/>
          </rPr>
          <t xml:space="preserve">
2018 outlook: -2 to -4%
</t>
        </r>
      </text>
    </comment>
    <comment ref="AI253" authorId="9">
      <text>
        <r>
          <rPr>
            <sz val="9"/>
            <color indexed="81"/>
            <rFont val="Calibri"/>
            <family val="2"/>
          </rPr>
          <t>Includes $13.3 million in gains from valuation adjustment of MBS holdings</t>
        </r>
      </text>
    </comment>
    <comment ref="CW253" authorId="5">
      <text>
        <r>
          <rPr>
            <b/>
            <sz val="9"/>
            <color indexed="81"/>
            <rFont val="Calibri"/>
            <family val="2"/>
          </rPr>
          <t>Zamora, Diana (Research):</t>
        </r>
        <r>
          <rPr>
            <sz val="9"/>
            <color indexed="81"/>
            <rFont val="Calibri"/>
            <family val="2"/>
          </rPr>
          <t xml:space="preserve">
Restated with 8-k of 2/12/2015
</t>
        </r>
      </text>
    </comment>
    <comment ref="CY253" authorId="5">
      <text>
        <r>
          <rPr>
            <b/>
            <sz val="9"/>
            <color indexed="81"/>
            <rFont val="Calibri"/>
            <family val="2"/>
          </rPr>
          <t>Zamora, Diana (Research):</t>
        </r>
        <r>
          <rPr>
            <sz val="9"/>
            <color indexed="81"/>
            <rFont val="Calibri"/>
            <family val="2"/>
          </rPr>
          <t xml:space="preserve">
Restated with 8-k of 2/12/2015
</t>
        </r>
      </text>
    </comment>
    <comment ref="DA253" authorId="5">
      <text>
        <r>
          <rPr>
            <b/>
            <sz val="9"/>
            <color indexed="81"/>
            <rFont val="Calibri"/>
            <family val="2"/>
          </rPr>
          <t>Zamora, Diana (Research):</t>
        </r>
        <r>
          <rPr>
            <sz val="9"/>
            <color indexed="81"/>
            <rFont val="Calibri"/>
            <family val="2"/>
          </rPr>
          <t xml:space="preserve">
Restated with 8-k of 2/12/2015
</t>
        </r>
      </text>
    </comment>
    <comment ref="DC253" authorId="5">
      <text>
        <r>
          <rPr>
            <b/>
            <sz val="9"/>
            <color indexed="81"/>
            <rFont val="Calibri"/>
            <family val="2"/>
          </rPr>
          <t>Zamora, Diana (Research):</t>
        </r>
        <r>
          <rPr>
            <sz val="9"/>
            <color indexed="81"/>
            <rFont val="Calibri"/>
            <family val="2"/>
          </rPr>
          <t xml:space="preserve">
Restated with 8-k of 2/12/2015
</t>
        </r>
      </text>
    </comment>
    <comment ref="DE253" authorId="5">
      <text>
        <r>
          <rPr>
            <b/>
            <sz val="9"/>
            <color indexed="81"/>
            <rFont val="Calibri"/>
            <family val="2"/>
          </rPr>
          <t>Zamora, Diana (Research):</t>
        </r>
        <r>
          <rPr>
            <sz val="9"/>
            <color indexed="81"/>
            <rFont val="Calibri"/>
            <family val="2"/>
          </rPr>
          <t xml:space="preserve">
Restated with 8-k of 2/12/2015
</t>
        </r>
      </text>
    </comment>
    <comment ref="DG253" authorId="5">
      <text>
        <r>
          <rPr>
            <b/>
            <sz val="9"/>
            <color indexed="81"/>
            <rFont val="Calibri"/>
            <family val="2"/>
          </rPr>
          <t>Zamora, Diana (Research):</t>
        </r>
        <r>
          <rPr>
            <sz val="9"/>
            <color indexed="81"/>
            <rFont val="Calibri"/>
            <family val="2"/>
          </rPr>
          <t xml:space="preserve">
Restated with 8-k of 2/12/2015
</t>
        </r>
      </text>
    </comment>
    <comment ref="DI253" authorId="5">
      <text>
        <r>
          <rPr>
            <b/>
            <sz val="9"/>
            <color indexed="81"/>
            <rFont val="Calibri"/>
            <family val="2"/>
          </rPr>
          <t>Zamora, Diana (Research):</t>
        </r>
        <r>
          <rPr>
            <sz val="9"/>
            <color indexed="81"/>
            <rFont val="Calibri"/>
            <family val="2"/>
          </rPr>
          <t xml:space="preserve">
Restated with 8-k of 2/12/2015
</t>
        </r>
      </text>
    </comment>
    <comment ref="DK253" authorId="5">
      <text>
        <r>
          <rPr>
            <b/>
            <sz val="9"/>
            <color indexed="81"/>
            <rFont val="Calibri"/>
            <family val="2"/>
          </rPr>
          <t>Zamora, Diana (Research):</t>
        </r>
        <r>
          <rPr>
            <sz val="9"/>
            <color indexed="81"/>
            <rFont val="Calibri"/>
            <family val="2"/>
          </rPr>
          <t xml:space="preserve">
Restated with 8-k of 2/12/2015
</t>
        </r>
      </text>
    </comment>
    <comment ref="AO254" authorId="7">
      <text>
        <r>
          <rPr>
            <sz val="9"/>
            <color indexed="81"/>
            <rFont val="Calibri"/>
            <family val="2"/>
          </rPr>
          <t>Excludes $23.1 million Calif settlement reserve charge</t>
        </r>
      </text>
    </comment>
    <comment ref="AC259" authorId="8">
      <text>
        <r>
          <rPr>
            <sz val="9"/>
            <color indexed="81"/>
            <rFont val="Calibri"/>
            <family val="2"/>
          </rPr>
          <t>Includes $110.6M PT, or $71.9M AT, of reserve strengthening for lowering its discount rate.</t>
        </r>
      </text>
    </comment>
    <comment ref="AI259" authorId="9">
      <text>
        <r>
          <rPr>
            <sz val="9"/>
            <color indexed="81"/>
            <rFont val="Calibri"/>
            <family val="2"/>
          </rPr>
          <t>Includes pre tax loss of $8.6 million from settlement of multistate examination</t>
        </r>
      </text>
    </comment>
    <comment ref="AO259" authorId="6">
      <text>
        <r>
          <rPr>
            <sz val="9"/>
            <color indexed="81"/>
            <rFont val="Calibri"/>
            <family val="2"/>
          </rPr>
          <t>Excludes 23.1 million in expenses related to the California settlement</t>
        </r>
      </text>
    </comment>
    <comment ref="AS259" authorId="6">
      <text>
        <r>
          <rPr>
            <sz val="9"/>
            <color indexed="81"/>
            <rFont val="Calibri"/>
            <family val="2"/>
          </rPr>
          <t>Excludes $13.2 million charge for higher than expected claim costs related to settlements</t>
        </r>
      </text>
    </comment>
    <comment ref="AW259" authorId="6">
      <text>
        <r>
          <rPr>
            <sz val="9"/>
            <color indexed="81"/>
            <rFont val="Calibri"/>
            <family val="2"/>
          </rPr>
          <t>Excludes $34M of reassessment charges</t>
        </r>
      </text>
    </comment>
    <comment ref="CM261" authorId="12">
      <text>
        <r>
          <rPr>
            <b/>
            <sz val="9"/>
            <color indexed="81"/>
            <rFont val="Calibri"/>
            <family val="2"/>
          </rPr>
          <t>haybuse:</t>
        </r>
        <r>
          <rPr>
            <sz val="9"/>
            <color indexed="81"/>
            <rFont val="Calibri"/>
            <family val="2"/>
          </rPr>
          <t xml:space="preserve">
includes $196 of write-down of LTC</t>
        </r>
      </text>
    </comment>
    <comment ref="AC262" authorId="8">
      <text>
        <r>
          <rPr>
            <sz val="9"/>
            <color indexed="81"/>
            <rFont val="Calibri"/>
            <family val="2"/>
          </rPr>
          <t>$856.4M PT, or $629.1M AT, represents the write-down of all DPAC, VOBA, and Goodwill related to the closed block.</t>
        </r>
      </text>
    </comment>
    <comment ref="AO263" authorId="7">
      <text>
        <r>
          <rPr>
            <sz val="9"/>
            <color indexed="81"/>
            <rFont val="Calibri"/>
            <family val="2"/>
          </rPr>
          <t>Excludes $11.2 million Calif settlement oper expense charge.</t>
        </r>
      </text>
    </comment>
    <comment ref="DO268" authorId="3">
      <text>
        <r>
          <rPr>
            <b/>
            <sz val="9"/>
            <color indexed="81"/>
            <rFont val="Calibri"/>
            <family val="2"/>
          </rPr>
          <t>Gupta, Tanmay (Research):</t>
        </r>
        <r>
          <rPr>
            <sz val="9"/>
            <color indexed="81"/>
            <rFont val="Calibri"/>
            <family val="2"/>
          </rPr>
          <t xml:space="preserve">
2Q15: 85-90% range</t>
        </r>
      </text>
    </comment>
    <comment ref="DW268" authorId="3">
      <text>
        <r>
          <rPr>
            <b/>
            <sz val="9"/>
            <color indexed="81"/>
            <rFont val="Calibri"/>
            <family val="2"/>
          </rPr>
          <t>Gupta, Tanmay (Research):</t>
        </r>
        <r>
          <rPr>
            <sz val="9"/>
            <color indexed="81"/>
            <rFont val="Calibri"/>
            <family val="2"/>
          </rPr>
          <t xml:space="preserve">
2Q16: Notifications of rate increases on older LTC policies, leading to higher claim activity and higher benefit ratio. Expected to remain elevated.</t>
        </r>
      </text>
    </comment>
    <comment ref="DY268" authorId="3">
      <text>
        <r>
          <rPr>
            <b/>
            <sz val="9"/>
            <color indexed="81"/>
            <rFont val="Calibri"/>
            <family val="2"/>
          </rPr>
          <t>Gupta, Tanmay (Research):</t>
        </r>
        <r>
          <rPr>
            <sz val="9"/>
            <color indexed="81"/>
            <rFont val="Calibri"/>
            <family val="2"/>
          </rPr>
          <t xml:space="preserve">
- 5 points were attributable to a large group policy which terminated and converted into individual policies. </t>
        </r>
      </text>
    </comment>
    <comment ref="EG268" authorId="3">
      <text>
        <r>
          <rPr>
            <b/>
            <sz val="9"/>
            <color indexed="81"/>
            <rFont val="Tahoma"/>
            <family val="2"/>
          </rPr>
          <t>Gupta, Tanmay (Research):</t>
        </r>
        <r>
          <rPr>
            <sz val="9"/>
            <color indexed="81"/>
            <rFont val="Tahoma"/>
            <family val="2"/>
          </rPr>
          <t xml:space="preserve">
2018 outlook: Int-adj loss ratio 2018 outlook ~ &gt; 90% in the near-term. Low 90s</t>
        </r>
      </text>
    </comment>
    <comment ref="EI268" authorId="3">
      <text>
        <r>
          <rPr>
            <b/>
            <sz val="9"/>
            <color indexed="81"/>
            <rFont val="Tahoma"/>
            <family val="2"/>
          </rPr>
          <t>Gupta, Tanmay (Research):</t>
        </r>
        <r>
          <rPr>
            <sz val="9"/>
            <color indexed="81"/>
            <rFont val="Tahoma"/>
            <family val="2"/>
          </rPr>
          <t xml:space="preserve">
2018 outlook: Int-adj loss ratio 2018 outlook ~ &gt; 90% in the near-term. Low 90s</t>
        </r>
      </text>
    </comment>
    <comment ref="FZ268" authorId="11">
      <text>
        <r>
          <rPr>
            <b/>
            <sz val="9"/>
            <color indexed="81"/>
            <rFont val="Calibri"/>
            <family val="2"/>
          </rPr>
          <t>Laura Sanchez:</t>
        </r>
        <r>
          <rPr>
            <sz val="9"/>
            <color indexed="81"/>
            <rFont val="Calibri"/>
            <family val="2"/>
          </rPr>
          <t xml:space="preserve">
85-90%</t>
        </r>
      </text>
    </comment>
    <comment ref="GB268" authorId="5">
      <text>
        <r>
          <rPr>
            <b/>
            <sz val="9"/>
            <color indexed="81"/>
            <rFont val="Calibri"/>
            <family val="2"/>
          </rPr>
          <t>Zamora, Diana (Research):</t>
        </r>
        <r>
          <rPr>
            <sz val="9"/>
            <color indexed="81"/>
            <rFont val="Calibri"/>
            <family val="2"/>
          </rPr>
          <t xml:space="preserve">
Expect LTC benefit ratio to be in the range of 85-95% for 2014
1Q14 call</t>
        </r>
      </text>
    </comment>
    <comment ref="GD268" authorId="3">
      <text>
        <r>
          <rPr>
            <b/>
            <sz val="9"/>
            <color indexed="81"/>
            <rFont val="Calibri"/>
            <family val="2"/>
          </rPr>
          <t>Gupta, Tanmay (Research):</t>
        </r>
        <r>
          <rPr>
            <sz val="9"/>
            <color indexed="81"/>
            <rFont val="Calibri"/>
            <family val="2"/>
          </rPr>
          <t xml:space="preserve">
2Q15: Expect LTC benefit ratio in the range of 85-90%</t>
        </r>
      </text>
    </comment>
    <comment ref="GJ268" authorId="3">
      <text>
        <r>
          <rPr>
            <b/>
            <sz val="9"/>
            <color indexed="81"/>
            <rFont val="Tahoma"/>
            <family val="2"/>
          </rPr>
          <t>Gupta, Tanmay (Research):</t>
        </r>
        <r>
          <rPr>
            <sz val="9"/>
            <color indexed="81"/>
            <rFont val="Tahoma"/>
            <family val="2"/>
          </rPr>
          <t xml:space="preserve">
4Q17: &gt;90%
2018 outlook: Int-adj loss ratio 2018 outlook ~ &gt; 90% in the near-term. Low 90s</t>
        </r>
      </text>
    </comment>
    <comment ref="DK269" authorId="1">
      <text>
        <r>
          <rPr>
            <b/>
            <sz val="9"/>
            <color indexed="81"/>
            <rFont val="Calibri"/>
            <family val="2"/>
          </rPr>
          <t>Sanchez Bolanos, Laura (Research):</t>
        </r>
        <r>
          <rPr>
            <sz val="9"/>
            <color indexed="81"/>
            <rFont val="Calibri"/>
            <family val="2"/>
          </rPr>
          <t xml:space="preserve">
reflect LTC charge</t>
        </r>
      </text>
    </comment>
    <comment ref="GD270" authorId="1">
      <text>
        <r>
          <rPr>
            <b/>
            <sz val="9"/>
            <color indexed="81"/>
            <rFont val="Calibri"/>
            <family val="2"/>
          </rPr>
          <t>Sanchez Bolanos, Laura (Research):</t>
        </r>
        <r>
          <rPr>
            <sz val="9"/>
            <color indexed="81"/>
            <rFont val="Calibri"/>
            <family val="2"/>
          </rPr>
          <t xml:space="preserve">
2014 Inv. Day: 2014 saw a favorable loss ratio ex-LTC charge - not sustainable; if LTC ratios remain above 85-90%, additional charges are likely</t>
        </r>
      </text>
    </comment>
    <comment ref="AC276" authorId="8">
      <text>
        <r>
          <rPr>
            <sz val="9"/>
            <color indexed="81"/>
            <rFont val="Calibri"/>
            <family val="2"/>
          </rPr>
          <t>Total charges in 1Q04 are $967.0M PT or $701M AT in the closed IDI block.</t>
        </r>
      </text>
    </comment>
    <comment ref="AI276" authorId="9">
      <text>
        <r>
          <rPr>
            <sz val="9"/>
            <color indexed="81"/>
            <rFont val="Calibri"/>
            <family val="2"/>
          </rPr>
          <t>Includes $13.3 million in gains from valuation adjustment of MBS holdings and $8.6 million loss from multistate settlement</t>
        </r>
      </text>
    </comment>
    <comment ref="AK276" authorId="9">
      <text>
        <r>
          <rPr>
            <sz val="9"/>
            <color indexed="81"/>
            <rFont val="Calibri"/>
            <family val="2"/>
          </rPr>
          <t>$20 million less bond call and prepays than in the past</t>
        </r>
      </text>
    </comment>
    <comment ref="AO276" authorId="6">
      <text>
        <r>
          <rPr>
            <sz val="9"/>
            <color indexed="81"/>
            <rFont val="Calibri"/>
            <family val="2"/>
          </rPr>
          <t>Excludes $34.3 million in charges related to California settlement</t>
        </r>
      </text>
    </comment>
    <comment ref="BM279" authorId="15">
      <text>
        <r>
          <rPr>
            <b/>
            <sz val="9"/>
            <color indexed="81"/>
            <rFont val="Calibri"/>
            <family val="2"/>
          </rPr>
          <t>Details:</t>
        </r>
        <r>
          <rPr>
            <sz val="9"/>
            <color indexed="81"/>
            <rFont val="Calibri"/>
            <family val="2"/>
          </rPr>
          <t xml:space="preserve">
Litigation Expense</t>
        </r>
      </text>
    </comment>
    <comment ref="CM279" authorId="5">
      <text>
        <r>
          <rPr>
            <b/>
            <sz val="9"/>
            <color indexed="81"/>
            <rFont val="Calibri"/>
            <family val="2"/>
          </rPr>
          <t>Zamora, Diana (Research):</t>
        </r>
        <r>
          <rPr>
            <sz val="9"/>
            <color indexed="81"/>
            <rFont val="Calibri"/>
            <family val="2"/>
          </rPr>
          <t xml:space="preserve">
$573.6mn reserve increase in LTC </t>
        </r>
      </text>
    </comment>
    <comment ref="DK279" authorId="5">
      <text>
        <r>
          <rPr>
            <b/>
            <sz val="9"/>
            <color indexed="81"/>
            <rFont val="Calibri"/>
            <family val="2"/>
          </rPr>
          <t>Zamora, Diana (Research):</t>
        </r>
        <r>
          <rPr>
            <sz val="9"/>
            <color indexed="81"/>
            <rFont val="Calibri"/>
            <family val="2"/>
          </rPr>
          <t xml:space="preserve">
LTC reserve charge of $698.2mn </t>
        </r>
      </text>
    </comment>
    <comment ref="DU280" authorId="2">
      <text>
        <r>
          <rPr>
            <b/>
            <sz val="9"/>
            <color indexed="81"/>
            <rFont val="Calibri"/>
            <family val="2"/>
          </rPr>
          <t>Zheng, Chaodan (Research):</t>
        </r>
        <r>
          <rPr>
            <sz val="9"/>
            <color indexed="81"/>
            <rFont val="Calibri"/>
            <family val="2"/>
          </rPr>
          <t xml:space="preserve">
call with mgmt:
- did better than expected
- some driven by misc investment income
- LTC: risk results came in toward the upper-end of the range
- claim incidence a touch higher
- some bond prepay income
- disability: risk experience was very good, but benefit ratio reflects allocation of bonds calls into the benefit ratio
- think about the high 20s as a more sustainable run-rate</t>
        </r>
      </text>
    </comment>
    <comment ref="DW280" authorId="2">
      <text>
        <r>
          <rPr>
            <b/>
            <sz val="9"/>
            <color indexed="81"/>
            <rFont val="Calibri"/>
            <family val="2"/>
          </rPr>
          <t>Zheng, Chaodan (Research):</t>
        </r>
        <r>
          <rPr>
            <sz val="9"/>
            <color indexed="81"/>
            <rFont val="Calibri"/>
            <family val="2"/>
          </rPr>
          <t xml:space="preserve">
call with mgmt:
- did better than expected
- some driven by misc investment income
- LTC: risk results came in toward the upper-end of the range
- claim incidence a touch higher
- some bond prepay income
- disability: risk experience was very good, but benefit ratio reflects allocation of bonds calls into the benefit ratio
- think about the high 20s as a more sustainable run-rate</t>
        </r>
      </text>
    </comment>
    <comment ref="GD280" authorId="1">
      <text>
        <r>
          <rPr>
            <b/>
            <sz val="9"/>
            <color indexed="81"/>
            <rFont val="Calibri"/>
            <family val="2"/>
          </rPr>
          <t>Sanchez Bolanos, Laura (Research):</t>
        </r>
        <r>
          <rPr>
            <sz val="9"/>
            <color indexed="81"/>
            <rFont val="Calibri"/>
            <family val="2"/>
          </rPr>
          <t xml:space="preserve">
2015 Inv. Day: unchanged
2014 Inv. Day: (10-12)% in 2015, (4-6)% in a more normal environment</t>
        </r>
      </text>
    </comment>
    <comment ref="GF280" authorId="1">
      <text>
        <r>
          <rPr>
            <b/>
            <sz val="9"/>
            <color indexed="81"/>
            <rFont val="Calibri"/>
            <family val="2"/>
          </rPr>
          <t>Gupta, Tanmay (Research):</t>
        </r>
        <r>
          <rPr>
            <sz val="9"/>
            <color indexed="81"/>
            <rFont val="Calibri"/>
            <family val="2"/>
          </rPr>
          <t xml:space="preserve">
2016 Inv. Day: 1-3% run-rate</t>
        </r>
      </text>
    </comment>
    <comment ref="GH280" authorId="14">
      <text>
        <r>
          <rPr>
            <b/>
            <sz val="9"/>
            <color indexed="81"/>
            <rFont val="Calibri"/>
            <family val="2"/>
          </rPr>
          <t>Huang, Bob (Research):</t>
        </r>
        <r>
          <rPr>
            <sz val="9"/>
            <color indexed="81"/>
            <rFont val="Calibri"/>
            <family val="2"/>
          </rPr>
          <t xml:space="preserve">
2017 outlook: -7 to -9%
</t>
        </r>
      </text>
    </comment>
    <comment ref="GJ280" authorId="3">
      <text>
        <r>
          <rPr>
            <b/>
            <sz val="9"/>
            <color indexed="81"/>
            <rFont val="Tahoma"/>
            <family val="2"/>
          </rPr>
          <t>Gupta, Tanmay (Research):</t>
        </r>
        <r>
          <rPr>
            <sz val="9"/>
            <color indexed="81"/>
            <rFont val="Tahoma"/>
            <family val="2"/>
          </rPr>
          <t xml:space="preserve">
2018 outlook: 1-3%</t>
        </r>
      </text>
    </comment>
    <comment ref="CW286" authorId="5">
      <text>
        <r>
          <rPr>
            <b/>
            <sz val="9"/>
            <color indexed="81"/>
            <rFont val="Calibri"/>
            <family val="2"/>
          </rPr>
          <t>Zamora, Diana (Research):</t>
        </r>
        <r>
          <rPr>
            <sz val="9"/>
            <color indexed="81"/>
            <rFont val="Calibri"/>
            <family val="2"/>
          </rPr>
          <t xml:space="preserve">
Restated with 8-k of 2/12/2015
</t>
        </r>
      </text>
    </comment>
    <comment ref="CY286" authorId="5">
      <text>
        <r>
          <rPr>
            <b/>
            <sz val="9"/>
            <color indexed="81"/>
            <rFont val="Calibri"/>
            <family val="2"/>
          </rPr>
          <t>Zamora, Diana (Research):</t>
        </r>
        <r>
          <rPr>
            <sz val="9"/>
            <color indexed="81"/>
            <rFont val="Calibri"/>
            <family val="2"/>
          </rPr>
          <t xml:space="preserve">
Restated with 8-k of 2/12/2015
</t>
        </r>
      </text>
    </comment>
    <comment ref="DA286" authorId="5">
      <text>
        <r>
          <rPr>
            <b/>
            <sz val="9"/>
            <color indexed="81"/>
            <rFont val="Calibri"/>
            <family val="2"/>
          </rPr>
          <t>Zamora, Diana (Research):</t>
        </r>
        <r>
          <rPr>
            <sz val="9"/>
            <color indexed="81"/>
            <rFont val="Calibri"/>
            <family val="2"/>
          </rPr>
          <t xml:space="preserve">
Restated with 8-k of 2/12/2015
</t>
        </r>
      </text>
    </comment>
    <comment ref="DC286" authorId="5">
      <text>
        <r>
          <rPr>
            <b/>
            <sz val="9"/>
            <color indexed="81"/>
            <rFont val="Calibri"/>
            <family val="2"/>
          </rPr>
          <t>Zamora, Diana (Research):</t>
        </r>
        <r>
          <rPr>
            <sz val="9"/>
            <color indexed="81"/>
            <rFont val="Calibri"/>
            <family val="2"/>
          </rPr>
          <t xml:space="preserve">
Restated with 8-k of 2/12/2015
</t>
        </r>
      </text>
    </comment>
    <comment ref="DE286" authorId="5">
      <text>
        <r>
          <rPr>
            <b/>
            <sz val="9"/>
            <color indexed="81"/>
            <rFont val="Calibri"/>
            <family val="2"/>
          </rPr>
          <t>Zamora, Diana (Research):</t>
        </r>
        <r>
          <rPr>
            <sz val="9"/>
            <color indexed="81"/>
            <rFont val="Calibri"/>
            <family val="2"/>
          </rPr>
          <t xml:space="preserve">
Restated with 8-k of 2/12/2015
</t>
        </r>
      </text>
    </comment>
    <comment ref="DG286" authorId="5">
      <text>
        <r>
          <rPr>
            <b/>
            <sz val="9"/>
            <color indexed="81"/>
            <rFont val="Calibri"/>
            <family val="2"/>
          </rPr>
          <t>Zamora, Diana (Research):</t>
        </r>
        <r>
          <rPr>
            <sz val="9"/>
            <color indexed="81"/>
            <rFont val="Calibri"/>
            <family val="2"/>
          </rPr>
          <t xml:space="preserve">
Restated with 8-k of 2/12/2015
</t>
        </r>
      </text>
    </comment>
    <comment ref="DI286" authorId="5">
      <text>
        <r>
          <rPr>
            <b/>
            <sz val="9"/>
            <color indexed="81"/>
            <rFont val="Calibri"/>
            <family val="2"/>
          </rPr>
          <t>Zamora, Diana (Research):</t>
        </r>
        <r>
          <rPr>
            <sz val="9"/>
            <color indexed="81"/>
            <rFont val="Calibri"/>
            <family val="2"/>
          </rPr>
          <t xml:space="preserve">
Restated with 8-k of 2/12/2015
</t>
        </r>
      </text>
    </comment>
    <comment ref="DK286" authorId="5">
      <text>
        <r>
          <rPr>
            <b/>
            <sz val="9"/>
            <color indexed="81"/>
            <rFont val="Calibri"/>
            <family val="2"/>
          </rPr>
          <t>Zamora, Diana (Research):</t>
        </r>
        <r>
          <rPr>
            <sz val="9"/>
            <color indexed="81"/>
            <rFont val="Calibri"/>
            <family val="2"/>
          </rPr>
          <t xml:space="preserve">
Restated with 8-k of 2/12/2015
</t>
        </r>
      </text>
    </comment>
    <comment ref="DG296" authorId="17">
      <text>
        <r>
          <rPr>
            <b/>
            <sz val="9"/>
            <color indexed="81"/>
            <rFont val="Calibri"/>
            <family val="2"/>
          </rPr>
          <t>Rojas, Isabel (Research):</t>
        </r>
        <r>
          <rPr>
            <sz val="9"/>
            <color indexed="81"/>
            <rFont val="Calibri"/>
            <family val="2"/>
          </rPr>
          <t xml:space="preserve">
Interest and other expenses</t>
        </r>
      </text>
    </comment>
    <comment ref="DI296" authorId="17">
      <text>
        <r>
          <rPr>
            <b/>
            <sz val="9"/>
            <color indexed="81"/>
            <rFont val="Calibri"/>
            <family val="2"/>
          </rPr>
          <t>Rojas, Isabel (Research):</t>
        </r>
        <r>
          <rPr>
            <sz val="9"/>
            <color indexed="81"/>
            <rFont val="Calibri"/>
            <family val="2"/>
          </rPr>
          <t xml:space="preserve">
Interest and other expenses</t>
        </r>
      </text>
    </comment>
    <comment ref="DW296" authorId="3">
      <text>
        <r>
          <rPr>
            <b/>
            <sz val="9"/>
            <color indexed="81"/>
            <rFont val="Calibri"/>
            <family val="2"/>
          </rPr>
          <t>Gupta, Tanmay (Research):</t>
        </r>
        <r>
          <rPr>
            <sz val="9"/>
            <color indexed="81"/>
            <rFont val="Calibri"/>
            <family val="2"/>
          </rPr>
          <t xml:space="preserve">
2Q16: Issued $600mn debt in May. A little higher interest expense in 3Q, same as 2Q. Will go down in 4Q as they pay down the $350mn debt in Sept.</t>
        </r>
      </text>
    </comment>
    <comment ref="DY296" authorId="3">
      <text>
        <r>
          <rPr>
            <b/>
            <sz val="9"/>
            <color indexed="81"/>
            <rFont val="Calibri"/>
            <family val="2"/>
          </rPr>
          <t>Gupta, Tanmay (Research):</t>
        </r>
        <r>
          <rPr>
            <sz val="9"/>
            <color indexed="81"/>
            <rFont val="Calibri"/>
            <family val="2"/>
          </rPr>
          <t xml:space="preserve">
2Q16: Issued $600mn debt in May. A little higher interest expense in 3Q, same as 2Q. Will go down in 4Q as they pay down the $350mn debt in Sept.</t>
        </r>
      </text>
    </comment>
    <comment ref="EA296" authorId="3">
      <text>
        <r>
          <rPr>
            <b/>
            <sz val="9"/>
            <color indexed="81"/>
            <rFont val="Calibri"/>
            <family val="2"/>
          </rPr>
          <t>Gupta, Tanmay (Research):</t>
        </r>
        <r>
          <rPr>
            <sz val="9"/>
            <color indexed="81"/>
            <rFont val="Calibri"/>
            <family val="2"/>
          </rPr>
          <t xml:space="preserve">
4Q16: Restated on April 13, 2017 to include amortization of prior period actuarial gains or losses</t>
        </r>
      </text>
    </comment>
    <comment ref="EE296" authorId="3">
      <text>
        <r>
          <rPr>
            <b/>
            <sz val="9"/>
            <color indexed="81"/>
            <rFont val="Tahoma"/>
            <family val="2"/>
          </rPr>
          <t>Gupta, Tanmay (Research):</t>
        </r>
        <r>
          <rPr>
            <sz val="9"/>
            <color indexed="81"/>
            <rFont val="Tahoma"/>
            <family val="2"/>
          </rPr>
          <t xml:space="preserve">
1Q17: Amortization of actuarial pension loss. Will run $1mn/Q higher vs prior year</t>
        </r>
      </text>
    </comment>
    <comment ref="EG296" authorId="3">
      <text>
        <r>
          <rPr>
            <b/>
            <sz val="9"/>
            <color indexed="81"/>
            <rFont val="Tahoma"/>
            <family val="2"/>
          </rPr>
          <t>Gupta, Tanmay (Research):</t>
        </r>
        <r>
          <rPr>
            <sz val="9"/>
            <color indexed="81"/>
            <rFont val="Tahoma"/>
            <family val="2"/>
          </rPr>
          <t xml:space="preserve">
1Q17: Amortization of actuarial pension loss. Will run $1mn/Q higher vs prior year</t>
        </r>
      </text>
    </comment>
    <comment ref="DA301" authorId="18">
      <text>
        <r>
          <rPr>
            <b/>
            <sz val="9"/>
            <color indexed="81"/>
            <rFont val="Calibri"/>
            <family val="2"/>
          </rPr>
          <t>gohilcha:</t>
        </r>
        <r>
          <rPr>
            <sz val="9"/>
            <color indexed="81"/>
            <rFont val="Calibri"/>
            <family val="2"/>
          </rPr>
          <t xml:space="preserve">
Not in suppl. Assumed in line with 3Q12. Suppl combined Interest and other expenses as one line item.</t>
        </r>
      </text>
    </comment>
    <comment ref="EC304" authorId="3">
      <text>
        <r>
          <rPr>
            <b/>
            <sz val="9"/>
            <color indexed="81"/>
            <rFont val="Tahoma"/>
            <family val="2"/>
          </rPr>
          <t>Gupta, Tanmay (Research):</t>
        </r>
        <r>
          <rPr>
            <sz val="9"/>
            <color indexed="81"/>
            <rFont val="Tahoma"/>
            <family val="2"/>
          </rPr>
          <t xml:space="preserve">
1Q17: Penn treaty loss of $20.6mn PT</t>
        </r>
      </text>
    </comment>
    <comment ref="AI314" authorId="9">
      <text>
        <r>
          <rPr>
            <sz val="9"/>
            <color indexed="81"/>
            <rFont val="Calibri"/>
            <family val="2"/>
          </rPr>
          <t>Includes $1.0 million in gains from valuation adjustment of MBS holdings</t>
        </r>
      </text>
    </comment>
    <comment ref="AI329" authorId="9">
      <text>
        <r>
          <rPr>
            <sz val="9"/>
            <color indexed="81"/>
            <rFont val="Calibri"/>
            <family val="2"/>
          </rPr>
          <t>Includes $1.0 million in gains from valuation adjustment of MBS holdings and $4.7 million pretax loss from Argentina restructuring</t>
        </r>
      </text>
    </comment>
    <comment ref="AQ332" authorId="16">
      <text>
        <r>
          <rPr>
            <sz val="9"/>
            <color indexed="81"/>
            <rFont val="Calibri"/>
            <family val="2"/>
          </rPr>
          <t>+$3 mn aftertax income from prepayment of bonds</t>
        </r>
      </text>
    </comment>
    <comment ref="AI338" authorId="9">
      <text>
        <r>
          <rPr>
            <sz val="9"/>
            <color indexed="81"/>
            <rFont val="Calibri"/>
            <family val="2"/>
          </rPr>
          <t>Includes $0.1 million in gains from valuation adjustment of MBS holdings</t>
        </r>
      </text>
    </comment>
    <comment ref="AI340" authorId="9">
      <text>
        <r>
          <rPr>
            <sz val="9"/>
            <color indexed="81"/>
            <rFont val="Calibri"/>
            <family val="2"/>
          </rPr>
          <t>Includes $14 million in interest income from settlement of tax issues with the IRS</t>
        </r>
      </text>
    </comment>
    <comment ref="AS344" authorId="6">
      <text>
        <r>
          <rPr>
            <sz val="9"/>
            <color indexed="81"/>
            <rFont val="Calibri"/>
            <family val="2"/>
          </rPr>
          <t>Excludes $5.3 million charge related to extinguishment of debt</t>
        </r>
      </text>
    </comment>
    <comment ref="AU344" authorId="6">
      <text>
        <r>
          <rPr>
            <sz val="9"/>
            <color indexed="81"/>
            <rFont val="Calibri"/>
            <family val="2"/>
          </rPr>
          <t>Excludes $17.8 million charge related to extinguishment of debt</t>
        </r>
      </text>
    </comment>
    <comment ref="FL344" authorId="19">
      <text>
        <r>
          <rPr>
            <sz val="9"/>
            <color indexed="81"/>
            <rFont val="Calibri"/>
            <family val="2"/>
          </rPr>
          <t>Assumes they use the cash proceeds from the coversion of the 2003 warrents to pay down the full $575M of 8.25% debt on May 15, 2006.  So they only get 230 days of benefit in the year.</t>
        </r>
      </text>
    </comment>
    <comment ref="K348" authorId="20">
      <text>
        <r>
          <rPr>
            <sz val="9"/>
            <color indexed="81"/>
            <rFont val="Calibri"/>
            <family val="2"/>
          </rPr>
          <t>Adds back $5.4m w/o of Argentine goodwill</t>
        </r>
      </text>
    </comment>
    <comment ref="I349" authorId="10">
      <text>
        <r>
          <rPr>
            <sz val="9"/>
            <color indexed="81"/>
            <rFont val="Calibri"/>
            <family val="2"/>
          </rPr>
          <t xml:space="preserve">Includes $24 million WTC-claims.
</t>
        </r>
      </text>
    </comment>
    <comment ref="AW349" authorId="6">
      <text>
        <r>
          <rPr>
            <sz val="9"/>
            <color indexed="81"/>
            <rFont val="Calibri"/>
            <family val="2"/>
          </rPr>
          <t>Excludes $18.5M related to broker compensation settlement</t>
        </r>
      </text>
    </comment>
    <comment ref="AI352" authorId="9">
      <text>
        <r>
          <rPr>
            <sz val="9"/>
            <color indexed="81"/>
            <rFont val="Calibri"/>
            <family val="2"/>
          </rPr>
          <t>Includes $0.1 million in gains from valuation adjustment of MBS holdings and $14 million in interest income from settlement of tax issues with the IRS</t>
        </r>
      </text>
    </comment>
    <comment ref="AQ352" authorId="6">
      <text>
        <r>
          <rPr>
            <sz val="9"/>
            <color indexed="81"/>
            <rFont val="Calibri"/>
            <family val="2"/>
          </rPr>
          <t>$9.1 million of technology costs</t>
        </r>
      </text>
    </comment>
    <comment ref="FJ352" authorId="19">
      <text>
        <r>
          <rPr>
            <sz val="9"/>
            <color indexed="81"/>
            <rFont val="Calibri"/>
            <family val="2"/>
          </rPr>
          <t>Corporate earnings included a high amount of interest income from the proceeds of its Candaian operations in 2004.  In 2005, earnings will be lower because that income will have been redistributed to the individual segments.</t>
        </r>
      </text>
    </comment>
    <comment ref="AK354" authorId="16">
      <text>
        <r>
          <rPr>
            <sz val="9"/>
            <color indexed="81"/>
            <rFont val="Calibri"/>
            <family val="2"/>
          </rPr>
          <t xml:space="preserve">+$32 mn tax benefit
               </t>
        </r>
      </text>
    </comment>
    <comment ref="AQ354" authorId="16">
      <text>
        <r>
          <rPr>
            <sz val="9"/>
            <color indexed="81"/>
            <rFont val="Calibri"/>
            <family val="2"/>
          </rPr>
          <t>-$9.1 mn termination fee for termination of IT contract</t>
        </r>
      </text>
    </comment>
    <comment ref="AY354" authorId="6">
      <text>
        <r>
          <rPr>
            <b/>
            <sz val="9"/>
            <color indexed="81"/>
            <rFont val="Calibri"/>
            <family val="2"/>
          </rPr>
          <t>$6M abnormal expenses</t>
        </r>
      </text>
    </comment>
    <comment ref="GB384" authorId="1">
      <text>
        <r>
          <rPr>
            <b/>
            <sz val="9"/>
            <color indexed="81"/>
            <rFont val="Calibri"/>
            <family val="2"/>
          </rPr>
          <t>Sanchez Bolanos, Laura (Research):</t>
        </r>
        <r>
          <rPr>
            <sz val="9"/>
            <color indexed="81"/>
            <rFont val="Calibri"/>
            <family val="2"/>
          </rPr>
          <t xml:space="preserve">
2014 Inv. Day: +1-3%
Premium growth remains solid</t>
        </r>
      </text>
    </comment>
    <comment ref="GD384" authorId="1">
      <text>
        <r>
          <rPr>
            <b/>
            <sz val="9"/>
            <color indexed="81"/>
            <rFont val="Calibri"/>
            <family val="2"/>
          </rPr>
          <t>Sanchez Bolanos, Laura (Research):</t>
        </r>
        <r>
          <rPr>
            <sz val="9"/>
            <color indexed="81"/>
            <rFont val="Calibri"/>
            <family val="2"/>
          </rPr>
          <t xml:space="preserve">
2015 Inv. Day: +4-6% (core ops) and +2-4% (incl Closed Block) 
2014 Inv. Day: +4-5%</t>
        </r>
      </text>
    </comment>
    <comment ref="GJ384" authorId="3">
      <text>
        <r>
          <rPr>
            <b/>
            <sz val="9"/>
            <color indexed="81"/>
            <rFont val="Tahoma"/>
            <family val="2"/>
          </rPr>
          <t>Gupta, Tanmay (Research):</t>
        </r>
        <r>
          <rPr>
            <sz val="9"/>
            <color indexed="81"/>
            <rFont val="Tahoma"/>
            <family val="2"/>
          </rPr>
          <t xml:space="preserve">
2018 outlook: 3-5%</t>
        </r>
      </text>
    </comment>
    <comment ref="GB385" authorId="1">
      <text>
        <r>
          <rPr>
            <b/>
            <sz val="9"/>
            <color indexed="81"/>
            <rFont val="Calibri"/>
            <family val="2"/>
          </rPr>
          <t>Sanchez Bolanos, Laura (Research):</t>
        </r>
        <r>
          <rPr>
            <sz val="9"/>
            <color indexed="81"/>
            <rFont val="Calibri"/>
            <family val="2"/>
          </rPr>
          <t xml:space="preserve">
2014 Inv. Day: Pressure on inv. Income continues</t>
        </r>
      </text>
    </comment>
    <comment ref="DU387" authorId="2">
      <text>
        <r>
          <rPr>
            <b/>
            <sz val="9"/>
            <color indexed="81"/>
            <rFont val="Calibri"/>
            <family val="2"/>
          </rPr>
          <t>Zheng, Chaodan (Research):</t>
        </r>
        <r>
          <rPr>
            <sz val="9"/>
            <color indexed="81"/>
            <rFont val="Calibri"/>
            <family val="2"/>
          </rPr>
          <t xml:space="preserve">
call with mgmt:
- more pricing competition creeping into mid-market - usual suspects, nothing new
- negatively impacted core market sales
- large case actually went well - which reflects sales to existing customers (stronger risk)</t>
        </r>
      </text>
    </comment>
    <comment ref="DW387" authorId="2">
      <text>
        <r>
          <rPr>
            <b/>
            <sz val="9"/>
            <color indexed="81"/>
            <rFont val="Calibri"/>
            <family val="2"/>
          </rPr>
          <t>Zheng, Chaodan (Research):</t>
        </r>
        <r>
          <rPr>
            <sz val="9"/>
            <color indexed="81"/>
            <rFont val="Calibri"/>
            <family val="2"/>
          </rPr>
          <t xml:space="preserve">
call with mgmt:
- more pricing competition creeping into mid-market - usual suspects, nothing new
- negatively impacted core market sales
- large case actually went well - which reflects sales to existing customers (stronger risk)</t>
        </r>
      </text>
    </comment>
    <comment ref="DU413" authorId="2">
      <text>
        <r>
          <rPr>
            <b/>
            <sz val="9"/>
            <color indexed="81"/>
            <rFont val="Calibri"/>
            <family val="2"/>
          </rPr>
          <t>Zheng, Chaodan (Research):</t>
        </r>
        <r>
          <rPr>
            <sz val="9"/>
            <color indexed="81"/>
            <rFont val="Calibri"/>
            <family val="2"/>
          </rPr>
          <t xml:space="preserve">
call with mgmt:
- no one-time items
- tax was at favorable end of the range, but not abnormal</t>
        </r>
      </text>
    </comment>
    <comment ref="DW413" authorId="2">
      <text>
        <r>
          <rPr>
            <b/>
            <sz val="9"/>
            <color indexed="81"/>
            <rFont val="Calibri"/>
            <family val="2"/>
          </rPr>
          <t>Zheng, Chaodan (Research):</t>
        </r>
        <r>
          <rPr>
            <sz val="9"/>
            <color indexed="81"/>
            <rFont val="Calibri"/>
            <family val="2"/>
          </rPr>
          <t xml:space="preserve">
call with mgmt:
- no one-time items
- tax was at favorable end of the range, but not abnormal</t>
        </r>
      </text>
    </comment>
    <comment ref="DY413" authorId="2">
      <text>
        <r>
          <rPr>
            <b/>
            <sz val="9"/>
            <color indexed="81"/>
            <rFont val="Calibri"/>
            <family val="2"/>
          </rPr>
          <t>Zheng, Chaodan (Research):</t>
        </r>
        <r>
          <rPr>
            <sz val="9"/>
            <color indexed="81"/>
            <rFont val="Calibri"/>
            <family val="2"/>
          </rPr>
          <t xml:space="preserve">
call with mgmt:
- no one-time items
- tax was at favorable end of the range, but not abnormal</t>
        </r>
      </text>
    </comment>
    <comment ref="EA413" authorId="2">
      <text>
        <r>
          <rPr>
            <b/>
            <sz val="9"/>
            <color indexed="81"/>
            <rFont val="Calibri"/>
            <family val="2"/>
          </rPr>
          <t>Zheng, Chaodan (Research):</t>
        </r>
        <r>
          <rPr>
            <sz val="9"/>
            <color indexed="81"/>
            <rFont val="Calibri"/>
            <family val="2"/>
          </rPr>
          <t xml:space="preserve">
call with mgmt:
- no one-time items
- tax was at favorable end of the range, but not abnormal</t>
        </r>
      </text>
    </comment>
    <comment ref="EC413" authorId="2">
      <text>
        <r>
          <rPr>
            <b/>
            <sz val="9"/>
            <color indexed="81"/>
            <rFont val="Calibri"/>
            <family val="2"/>
          </rPr>
          <t>Zheng, Chaodan (Research):</t>
        </r>
        <r>
          <rPr>
            <sz val="9"/>
            <color indexed="81"/>
            <rFont val="Calibri"/>
            <family val="2"/>
          </rPr>
          <t xml:space="preserve">
call with mgmt:
- no one-time items
- tax was at favorable end of the range, but not abnormal</t>
        </r>
      </text>
    </comment>
    <comment ref="EE413" authorId="2">
      <text>
        <r>
          <rPr>
            <b/>
            <sz val="9"/>
            <color indexed="81"/>
            <rFont val="Calibri"/>
            <family val="2"/>
          </rPr>
          <t>Zheng, Chaodan (Research):</t>
        </r>
        <r>
          <rPr>
            <sz val="9"/>
            <color indexed="81"/>
            <rFont val="Calibri"/>
            <family val="2"/>
          </rPr>
          <t xml:space="preserve">
call with mgmt:
- no one-time items
- tax was at favorable end of the range, but not abnormal</t>
        </r>
      </text>
    </comment>
    <comment ref="EG413" authorId="2">
      <text>
        <r>
          <rPr>
            <b/>
            <sz val="9"/>
            <color indexed="81"/>
            <rFont val="Calibri"/>
            <family val="2"/>
          </rPr>
          <t>Zheng, Chaodan (Research):</t>
        </r>
        <r>
          <rPr>
            <sz val="9"/>
            <color indexed="81"/>
            <rFont val="Calibri"/>
            <family val="2"/>
          </rPr>
          <t xml:space="preserve">
call with mgmt:
- no one-time items
- tax was at favorable end of the range, but not abnormal</t>
        </r>
      </text>
    </comment>
    <comment ref="EI413" authorId="2">
      <text>
        <r>
          <rPr>
            <b/>
            <sz val="9"/>
            <color indexed="81"/>
            <rFont val="Calibri"/>
            <family val="2"/>
          </rPr>
          <t>Zheng, Chaodan (Research):</t>
        </r>
        <r>
          <rPr>
            <sz val="9"/>
            <color indexed="81"/>
            <rFont val="Calibri"/>
            <family val="2"/>
          </rPr>
          <t xml:space="preserve">
call with mgmt:
- no one-time items
- tax was at favorable end of the range, but not abnormal</t>
        </r>
      </text>
    </comment>
    <comment ref="B414" authorId="0">
      <text>
        <r>
          <rPr>
            <b/>
            <sz val="9"/>
            <color indexed="81"/>
            <rFont val="Calibri"/>
            <family val="2"/>
          </rPr>
          <t>sanclaur:</t>
        </r>
        <r>
          <rPr>
            <sz val="9"/>
            <color indexed="81"/>
            <rFont val="Calibri"/>
            <family val="2"/>
          </rPr>
          <t xml:space="preserve">
5.1</t>
        </r>
      </text>
    </comment>
    <comment ref="AI414" authorId="9">
      <text>
        <r>
          <rPr>
            <sz val="9"/>
            <color indexed="81"/>
            <rFont val="Calibri"/>
            <family val="2"/>
          </rPr>
          <t>Total gain of $44.5 million includes gain of $42 million from settlement of tax issues with IRS, loss of $4.9 million from taxes paid on interest income from IRS settlement and gain of $7.4 million from Argentina asset restructuring.</t>
        </r>
      </text>
    </comment>
    <comment ref="AK414" authorId="9">
      <text>
        <r>
          <rPr>
            <sz val="9"/>
            <color indexed="81"/>
            <rFont val="Calibri"/>
            <family val="2"/>
          </rPr>
          <t>Includes $32 million benefit related to interest on the timing of expense deductions</t>
        </r>
      </text>
    </comment>
    <comment ref="AM414" authorId="9">
      <text>
        <r>
          <rPr>
            <sz val="9"/>
            <color indexed="81"/>
            <rFont val="Calibri"/>
            <family val="2"/>
          </rPr>
          <t>Includes $32 million benefit related to interest on the timing of expense deductions</t>
        </r>
      </text>
    </comment>
    <comment ref="AS414" authorId="6">
      <text>
        <r>
          <rPr>
            <sz val="9"/>
            <color indexed="81"/>
            <rFont val="Calibri"/>
            <family val="2"/>
          </rPr>
          <t>Includes taxes related to regulatory charge and debt writeoff</t>
        </r>
      </text>
    </comment>
    <comment ref="AU414" authorId="6">
      <text>
        <r>
          <rPr>
            <sz val="9"/>
            <color indexed="81"/>
            <rFont val="Calibri"/>
            <family val="2"/>
          </rPr>
          <t>Adjusts for extinguishment of debt</t>
        </r>
      </text>
    </comment>
    <comment ref="AW414" authorId="6">
      <text>
        <r>
          <rPr>
            <sz val="9"/>
            <color indexed="81"/>
            <rFont val="Calibri"/>
            <family val="2"/>
          </rPr>
          <t>Adjusts for reassessment charge and broker compensation</t>
        </r>
      </text>
    </comment>
    <comment ref="AY414" authorId="6">
      <text>
        <r>
          <rPr>
            <sz val="9"/>
            <color indexed="81"/>
            <rFont val="Calibri"/>
            <family val="2"/>
          </rPr>
          <t>Adjusts for $91.9M tax benefit</t>
        </r>
      </text>
    </comment>
    <comment ref="DU414" authorId="2">
      <text>
        <r>
          <rPr>
            <b/>
            <sz val="9"/>
            <color indexed="81"/>
            <rFont val="Calibri"/>
            <family val="2"/>
          </rPr>
          <t>Zheng, Chaodan (Research):</t>
        </r>
        <r>
          <rPr>
            <sz val="9"/>
            <color indexed="81"/>
            <rFont val="Calibri"/>
            <family val="2"/>
          </rPr>
          <t xml:space="preserve">
call with mgmt:
tax was at favorable end of the range, but not abnormal</t>
        </r>
      </text>
    </comment>
    <comment ref="DW414" authorId="3">
      <text>
        <r>
          <rPr>
            <b/>
            <sz val="9"/>
            <color indexed="81"/>
            <rFont val="Calibri"/>
            <family val="2"/>
          </rPr>
          <t>Gupta, Tanmay (Research):</t>
        </r>
        <r>
          <rPr>
            <sz val="9"/>
            <color indexed="81"/>
            <rFont val="Calibri"/>
            <family val="2"/>
          </rPr>
          <t xml:space="preserve">
2Q16: tax rate little on the fav side due to UK.</t>
        </r>
      </text>
    </comment>
    <comment ref="DY414" authorId="3">
      <text>
        <r>
          <rPr>
            <b/>
            <sz val="9"/>
            <color indexed="81"/>
            <rFont val="Calibri"/>
            <family val="2"/>
          </rPr>
          <t>Gupta, Tanmay (Research):</t>
        </r>
        <r>
          <rPr>
            <sz val="9"/>
            <color indexed="81"/>
            <rFont val="Calibri"/>
            <family val="2"/>
          </rPr>
          <t xml:space="preserve">
3Q16: tax rate on the fav side due to UK corp rate reduced from 18% to 17%.</t>
        </r>
      </text>
    </comment>
    <comment ref="AY415" authorId="6">
      <text>
        <r>
          <rPr>
            <sz val="9"/>
            <color indexed="81"/>
            <rFont val="Calibri"/>
            <family val="2"/>
          </rPr>
          <t>Taxes abnormally low, should be 35%</t>
        </r>
      </text>
    </comment>
    <comment ref="GD415" authorId="1">
      <text>
        <r>
          <rPr>
            <b/>
            <sz val="9"/>
            <color indexed="81"/>
            <rFont val="Calibri"/>
            <family val="2"/>
          </rPr>
          <t>Sanchez Bolanos, Laura (Research):</t>
        </r>
        <r>
          <rPr>
            <sz val="9"/>
            <color indexed="81"/>
            <rFont val="Calibri"/>
            <family val="2"/>
          </rPr>
          <t xml:space="preserve">
2014 Inv. Day: 31-32%</t>
        </r>
      </text>
    </comment>
    <comment ref="GF415" authorId="2">
      <text>
        <r>
          <rPr>
            <b/>
            <sz val="9"/>
            <color indexed="81"/>
            <rFont val="Calibri"/>
            <family val="2"/>
          </rPr>
          <t>Zheng, Chaodan (Research):</t>
        </r>
        <r>
          <rPr>
            <sz val="9"/>
            <color indexed="81"/>
            <rFont val="Calibri"/>
            <family val="2"/>
          </rPr>
          <t xml:space="preserve">
2016 outlook: 31-32%</t>
        </r>
      </text>
    </comment>
    <comment ref="GH415" authorId="3">
      <text>
        <r>
          <rPr>
            <b/>
            <sz val="9"/>
            <color indexed="81"/>
            <rFont val="Calibri"/>
            <family val="2"/>
          </rPr>
          <t>Gupta, Tanmay (Research):</t>
        </r>
        <r>
          <rPr>
            <sz val="9"/>
            <color indexed="81"/>
            <rFont val="Calibri"/>
            <family val="2"/>
          </rPr>
          <t xml:space="preserve">
2017 Outlook: Expect tax rate to be 31.5-32% in 2017.</t>
        </r>
      </text>
    </comment>
    <comment ref="GJ415" authorId="3">
      <text>
        <r>
          <rPr>
            <b/>
            <sz val="9"/>
            <color indexed="81"/>
            <rFont val="Tahoma"/>
            <family val="2"/>
          </rPr>
          <t>Gupta, Tanmay (Research):</t>
        </r>
        <r>
          <rPr>
            <sz val="9"/>
            <color indexed="81"/>
            <rFont val="Tahoma"/>
            <family val="2"/>
          </rPr>
          <t xml:space="preserve">
4Q17 call: 19-20%
2018 outlook: 19-20%
</t>
        </r>
      </text>
    </comment>
    <comment ref="GL415" authorId="14">
      <text>
        <r>
          <rPr>
            <b/>
            <sz val="9"/>
            <color indexed="81"/>
            <rFont val="Tahoma"/>
            <family val="2"/>
          </rPr>
          <t>Huang, Bob (Research):</t>
        </r>
        <r>
          <rPr>
            <sz val="9"/>
            <color indexed="81"/>
            <rFont val="Tahoma"/>
            <family val="2"/>
          </rPr>
          <t xml:space="preserve">
4Q17 call: 19 -21% longer term
'18 will be 19% to 20%. As some things happen, it's going to float up slightly over time. So the 19% to 21% is more of a longer-term outlook.</t>
        </r>
      </text>
    </comment>
    <comment ref="CM418" authorId="1">
      <text>
        <r>
          <rPr>
            <b/>
            <sz val="9"/>
            <color indexed="81"/>
            <rFont val="Calibri"/>
            <family val="2"/>
          </rPr>
          <t>Sanchez Bolanos, Laura (Research):</t>
        </r>
        <r>
          <rPr>
            <sz val="9"/>
            <color indexed="81"/>
            <rFont val="Calibri"/>
            <family val="2"/>
          </rPr>
          <t xml:space="preserve">
using basic shares given loss</t>
        </r>
      </text>
    </comment>
    <comment ref="AS428" authorId="6">
      <text>
        <r>
          <rPr>
            <b/>
            <sz val="9"/>
            <color indexed="81"/>
            <rFont val="Calibri"/>
            <family val="2"/>
          </rPr>
          <t>After tax charge for claim reassessments</t>
        </r>
      </text>
    </comment>
    <comment ref="AS430" authorId="6">
      <text>
        <r>
          <rPr>
            <b/>
            <sz val="9"/>
            <color indexed="81"/>
            <rFont val="Calibri"/>
            <family val="2"/>
          </rPr>
          <t>After tax charge for debt writeoff</t>
        </r>
      </text>
    </comment>
    <comment ref="AU430" authorId="6">
      <text>
        <r>
          <rPr>
            <b/>
            <sz val="9"/>
            <color indexed="81"/>
            <rFont val="Calibri"/>
            <family val="2"/>
          </rPr>
          <t>After tax charge for debt extinguishment</t>
        </r>
      </text>
    </comment>
    <comment ref="AY430" authorId="6">
      <text>
        <r>
          <rPr>
            <sz val="9"/>
            <color indexed="81"/>
            <rFont val="Calibri"/>
            <family val="2"/>
          </rPr>
          <t>-$1.9M debt extinguishment costs
+$3.9M prior year interest on tax refund
+91.9M tax benefit</t>
        </r>
      </text>
    </comment>
    <comment ref="BG430" authorId="12">
      <text>
        <r>
          <rPr>
            <sz val="9"/>
            <color indexed="81"/>
            <rFont val="Calibri"/>
            <family val="2"/>
          </rPr>
          <t xml:space="preserve">
debt extinguishment costs $50.1
</t>
        </r>
      </text>
    </comment>
    <comment ref="EC433" authorId="3">
      <text>
        <r>
          <rPr>
            <b/>
            <sz val="9"/>
            <color indexed="81"/>
            <rFont val="Tahoma"/>
            <family val="2"/>
          </rPr>
          <t>Gupta, Tanmay (Research):</t>
        </r>
        <r>
          <rPr>
            <sz val="9"/>
            <color indexed="81"/>
            <rFont val="Tahoma"/>
            <family val="2"/>
          </rPr>
          <t xml:space="preserve">
1Q17: Loss from Penn treaty adjustment</t>
        </r>
      </text>
    </comment>
    <comment ref="EI433" authorId="3">
      <text>
        <r>
          <rPr>
            <b/>
            <sz val="9"/>
            <color indexed="81"/>
            <rFont val="Tahoma"/>
            <family val="2"/>
          </rPr>
          <t>Gupta, Tanmay (Research):</t>
        </r>
        <r>
          <rPr>
            <sz val="9"/>
            <color indexed="81"/>
            <rFont val="Tahoma"/>
            <family val="2"/>
          </rPr>
          <t xml:space="preserve">
4Q17: UDB +Net Tax benefit</t>
        </r>
      </text>
    </comment>
    <comment ref="B434" authorId="4">
      <text>
        <r>
          <rPr>
            <b/>
            <sz val="9"/>
            <color indexed="81"/>
            <rFont val="Calibri"/>
            <family val="2"/>
          </rPr>
          <t>Aerin Lim:</t>
        </r>
        <r>
          <rPr>
            <sz val="9"/>
            <color indexed="81"/>
            <rFont val="Calibri"/>
            <family val="2"/>
          </rPr>
          <t xml:space="preserve">
6.1. "net realized investment g/l" &amp; "tax expense (benefit) on net realized investment g/l"</t>
        </r>
      </text>
    </comment>
    <comment ref="CU434" authorId="13">
      <text>
        <r>
          <rPr>
            <b/>
            <sz val="9"/>
            <color indexed="81"/>
            <rFont val="Calibri"/>
            <family val="2"/>
          </rPr>
          <t>dianaz:</t>
        </r>
        <r>
          <rPr>
            <sz val="9"/>
            <color indexed="81"/>
            <rFont val="Calibri"/>
            <family val="2"/>
          </rPr>
          <t xml:space="preserve">
16.4= Net Realized Investment Gain (Loss), Net of Tax
-7.5= Non-operating Retirement-related Loss, Net of tax
</t>
        </r>
      </text>
    </comment>
    <comment ref="AA435" authorId="21">
      <text>
        <r>
          <rPr>
            <sz val="9"/>
            <color indexed="81"/>
            <rFont val="Calibri"/>
            <family val="2"/>
          </rPr>
          <t>Includes the earnings from the Canadian operations offset by the $196.9M goodwill write-off.</t>
        </r>
      </text>
    </comment>
    <comment ref="EG459" authorId="3">
      <text>
        <r>
          <rPr>
            <b/>
            <sz val="9"/>
            <color indexed="81"/>
            <rFont val="Tahoma"/>
            <family val="2"/>
          </rPr>
          <t>Gupta, Tanmay (Research):</t>
        </r>
        <r>
          <rPr>
            <sz val="9"/>
            <color indexed="81"/>
            <rFont val="Tahoma"/>
            <family val="2"/>
          </rPr>
          <t xml:space="preserve">
May 25: Raised dividend to $0.23</t>
        </r>
      </text>
    </comment>
    <comment ref="FL467" authorId="19">
      <text>
        <r>
          <rPr>
            <sz val="9"/>
            <color indexed="81"/>
            <rFont val="Calibri"/>
            <family val="2"/>
          </rPr>
          <t>The warrents (issued in 2003) convert on May 15, 2006.</t>
        </r>
      </text>
    </comment>
    <comment ref="DK471" authorId="5">
      <text>
        <r>
          <rPr>
            <b/>
            <sz val="9"/>
            <color indexed="81"/>
            <rFont val="Calibri"/>
            <family val="2"/>
          </rPr>
          <t>Zamora, Diana (Research):</t>
        </r>
        <r>
          <rPr>
            <sz val="9"/>
            <color indexed="81"/>
            <rFont val="Calibri"/>
            <family val="2"/>
          </rPr>
          <t xml:space="preserve">
Avg Price for the Q </t>
        </r>
      </text>
    </comment>
    <comment ref="FL473" authorId="19">
      <text>
        <r>
          <rPr>
            <sz val="9"/>
            <color indexed="81"/>
            <rFont val="Calibri"/>
            <family val="2"/>
          </rPr>
          <t>We assume the company uses the cash proceeds from the conversion of the warrents to pay down debt, not stock buybacks, according to the restrictions put on them by A.M. Best.</t>
        </r>
      </text>
    </comment>
    <comment ref="GD473" authorId="22">
      <text>
        <r>
          <rPr>
            <b/>
            <sz val="9"/>
            <color indexed="81"/>
            <rFont val="Calibri"/>
            <family val="2"/>
          </rPr>
          <t>Gupta, Tanmay (Research):</t>
        </r>
        <r>
          <rPr>
            <sz val="9"/>
            <color indexed="81"/>
            <rFont val="Calibri"/>
            <family val="2"/>
          </rPr>
          <t xml:space="preserve">
2Q15 call: unchanged
1Q15 call: unchanged
2015 Inv. Day: unchanged 
guidance $400-600M</t>
        </r>
      </text>
    </comment>
    <comment ref="GF473" authorId="2">
      <text>
        <r>
          <rPr>
            <b/>
            <sz val="9"/>
            <color indexed="81"/>
            <rFont val="Calibri"/>
            <family val="2"/>
          </rPr>
          <t>Zheng, Chaodan (Research):</t>
        </r>
        <r>
          <rPr>
            <sz val="9"/>
            <color indexed="81"/>
            <rFont val="Calibri"/>
            <family val="2"/>
          </rPr>
          <t xml:space="preserve">
2016 outlook: in line with 2015 activity</t>
        </r>
      </text>
    </comment>
    <comment ref="GJ473" authorId="3">
      <text>
        <r>
          <rPr>
            <b/>
            <sz val="9"/>
            <color indexed="81"/>
            <rFont val="Tahoma"/>
            <family val="2"/>
          </rPr>
          <t>Gupta, Tanmay (Research):</t>
        </r>
        <r>
          <rPr>
            <sz val="9"/>
            <color indexed="81"/>
            <rFont val="Tahoma"/>
            <family val="2"/>
          </rPr>
          <t xml:space="preserve">
4Q17: $400mn
2018 outlook: ~$400mn</t>
        </r>
      </text>
    </comment>
    <comment ref="B482" authorId="14">
      <text>
        <r>
          <rPr>
            <b/>
            <sz val="9"/>
            <color indexed="81"/>
            <rFont val="Tahoma"/>
            <family val="2"/>
          </rPr>
          <t>Huang, Bob (Research):</t>
        </r>
        <r>
          <rPr>
            <sz val="9"/>
            <color indexed="81"/>
            <rFont val="Tahoma"/>
            <family val="2"/>
          </rPr>
          <t xml:space="preserve">
Supp: Actual number of shares outstanding</t>
        </r>
      </text>
    </comment>
    <comment ref="FF483" authorId="23">
      <text>
        <r>
          <rPr>
            <sz val="9"/>
            <color indexed="81"/>
            <rFont val="Calibri"/>
            <family val="2"/>
          </rPr>
          <t xml:space="preserve">2004 Fourth Quarter Stat Supp - Page 2
</t>
        </r>
      </text>
    </comment>
    <comment ref="FH483" authorId="23">
      <text>
        <r>
          <rPr>
            <sz val="9"/>
            <color indexed="81"/>
            <rFont val="Calibri"/>
            <family val="2"/>
          </rPr>
          <t xml:space="preserve">2004 Fourth Quarter Stat Supp - Page 2
</t>
        </r>
      </text>
    </comment>
    <comment ref="FF485" authorId="23">
      <text>
        <r>
          <rPr>
            <sz val="9"/>
            <color indexed="81"/>
            <rFont val="Calibri"/>
            <family val="2"/>
          </rPr>
          <t xml:space="preserve">2004 Fourth Quarter Stat Supp - Page 2.  Total Diluted Shares for the year is equal to the Basic Number of shares as UNM incurred a loss in 2003.
</t>
        </r>
      </text>
    </comment>
    <comment ref="FH485" authorId="23">
      <text>
        <r>
          <rPr>
            <sz val="9"/>
            <color indexed="81"/>
            <rFont val="Calibri"/>
            <family val="2"/>
          </rPr>
          <t xml:space="preserve">2004 Fourth Quarter Stat Supp - Page 2.  Total Diluted Shares for the year is equal to the Basic Number of shares as UNM incurred a loss in 2004.
</t>
        </r>
      </text>
    </comment>
    <comment ref="CM488" authorId="0">
      <text>
        <r>
          <rPr>
            <b/>
            <sz val="9"/>
            <color indexed="81"/>
            <rFont val="Calibri"/>
            <family val="2"/>
          </rPr>
          <t>sanclaur:</t>
        </r>
        <r>
          <rPr>
            <sz val="9"/>
            <color indexed="81"/>
            <rFont val="Calibri"/>
            <family val="2"/>
          </rPr>
          <t xml:space="preserve">
Not matching 8K</t>
        </r>
      </text>
    </comment>
    <comment ref="FF488" authorId="23">
      <text>
        <r>
          <rPr>
            <sz val="9"/>
            <color indexed="81"/>
            <rFont val="Calibri"/>
            <family val="2"/>
          </rPr>
          <t xml:space="preserve">Due to the fact that UNM incurred a loss, the average basic shares must be used. NOT the average diluted shares.
</t>
        </r>
      </text>
    </comment>
    <comment ref="FH488" authorId="23">
      <text>
        <r>
          <rPr>
            <sz val="9"/>
            <color indexed="81"/>
            <rFont val="Calibri"/>
            <family val="2"/>
          </rPr>
          <t xml:space="preserve">Due to the fact that UNM incurred a loss, the average basic shares must be used. NOT the average diluted shares.
</t>
        </r>
      </text>
    </comment>
    <comment ref="GF488" authorId="2">
      <text>
        <r>
          <rPr>
            <b/>
            <sz val="9"/>
            <color indexed="81"/>
            <rFont val="Calibri"/>
            <family val="2"/>
          </rPr>
          <t>Zheng, Chaodan (Research):</t>
        </r>
        <r>
          <rPr>
            <sz val="9"/>
            <color indexed="81"/>
            <rFont val="Calibri"/>
            <family val="2"/>
          </rPr>
          <t xml:space="preserve">
2016 outlook: 4-7%</t>
        </r>
      </text>
    </comment>
    <comment ref="BE493" authorId="24">
      <text>
        <r>
          <rPr>
            <b/>
            <sz val="9"/>
            <color indexed="81"/>
            <rFont val="Calibri"/>
            <family val="2"/>
          </rPr>
          <t>$ 0.04 benefit from claim reserve refinement in UNUM UK.</t>
        </r>
      </text>
    </comment>
    <comment ref="BY493" authorId="12">
      <text>
        <r>
          <rPr>
            <b/>
            <sz val="9"/>
            <color indexed="81"/>
            <rFont val="Calibri"/>
            <family val="2"/>
          </rPr>
          <t>haybuse:</t>
        </r>
        <r>
          <rPr>
            <sz val="9"/>
            <color indexed="81"/>
            <rFont val="Calibri"/>
            <family val="2"/>
          </rPr>
          <t xml:space="preserve">
reflects 10.2M tax charge</t>
        </r>
      </text>
    </comment>
    <comment ref="CM493" authorId="0">
      <text>
        <r>
          <rPr>
            <b/>
            <sz val="9"/>
            <color indexed="81"/>
            <rFont val="Calibri"/>
            <family val="2"/>
          </rPr>
          <t>sanclaur:</t>
        </r>
        <r>
          <rPr>
            <sz val="9"/>
            <color indexed="81"/>
            <rFont val="Calibri"/>
            <family val="2"/>
          </rPr>
          <t xml:space="preserve">
8K pg 9:
598 = (-2.12 + 0.08) * 293 #diluted shares</t>
        </r>
      </text>
    </comment>
    <comment ref="CQ493" authorId="12">
      <text>
        <r>
          <rPr>
            <b/>
            <sz val="9"/>
            <color indexed="81"/>
            <rFont val="Calibri"/>
            <family val="2"/>
          </rPr>
          <t>haybuse:</t>
        </r>
        <r>
          <rPr>
            <sz val="9"/>
            <color indexed="81"/>
            <rFont val="Calibri"/>
            <family val="2"/>
          </rPr>
          <t xml:space="preserve">
adj for tax item</t>
        </r>
      </text>
    </comment>
    <comment ref="CS493" authorId="12">
      <text>
        <r>
          <rPr>
            <b/>
            <sz val="9"/>
            <color indexed="81"/>
            <rFont val="Calibri"/>
            <family val="2"/>
          </rPr>
          <t>haybuse:</t>
        </r>
        <r>
          <rPr>
            <sz val="9"/>
            <color indexed="81"/>
            <rFont val="Calibri"/>
            <family val="2"/>
          </rPr>
          <t xml:space="preserve">
adj for favorable tax item</t>
        </r>
      </text>
    </comment>
    <comment ref="GH493" authorId="14">
      <text>
        <r>
          <rPr>
            <b/>
            <sz val="9"/>
            <color indexed="81"/>
            <rFont val="Calibri"/>
            <family val="2"/>
          </rPr>
          <t>Huang, Bob (Research):</t>
        </r>
        <r>
          <rPr>
            <sz val="9"/>
            <color indexed="81"/>
            <rFont val="Calibri"/>
            <family val="2"/>
          </rPr>
          <t xml:space="preserve">
2017 outlook: 3-6% growth
</t>
        </r>
      </text>
    </comment>
    <comment ref="GJ493" authorId="3">
      <text>
        <r>
          <rPr>
            <b/>
            <sz val="9"/>
            <color indexed="81"/>
            <rFont val="Tahoma"/>
            <family val="2"/>
          </rPr>
          <t>Gupta, Tanmay (Research):</t>
        </r>
        <r>
          <rPr>
            <sz val="9"/>
            <color indexed="81"/>
            <rFont val="Tahoma"/>
            <family val="2"/>
          </rPr>
          <t xml:space="preserve">
4Q17 call: 17 to 23% due to tax reform
2018 outlook: 4-7%</t>
        </r>
      </text>
    </comment>
    <comment ref="GF495" authorId="1">
      <text>
        <r>
          <rPr>
            <b/>
            <sz val="9"/>
            <color indexed="81"/>
            <rFont val="Calibri"/>
            <family val="2"/>
          </rPr>
          <t>Sanchez Bolanos, Laura (Research):</t>
        </r>
        <r>
          <rPr>
            <sz val="9"/>
            <color indexed="81"/>
            <rFont val="Calibri"/>
            <family val="2"/>
          </rPr>
          <t xml:space="preserve">
linked to core for estimated periods</t>
        </r>
      </text>
    </comment>
    <comment ref="GH495" authorId="1">
      <text>
        <r>
          <rPr>
            <b/>
            <sz val="9"/>
            <color indexed="81"/>
            <rFont val="Calibri"/>
            <family val="2"/>
          </rPr>
          <t>Sanchez Bolanos, Laura (Research):</t>
        </r>
        <r>
          <rPr>
            <sz val="9"/>
            <color indexed="81"/>
            <rFont val="Calibri"/>
            <family val="2"/>
          </rPr>
          <t xml:space="preserve">
linked to core for estimated periods</t>
        </r>
      </text>
    </comment>
    <comment ref="GJ495" authorId="1">
      <text>
        <r>
          <rPr>
            <b/>
            <sz val="9"/>
            <color indexed="81"/>
            <rFont val="Calibri"/>
            <family val="2"/>
          </rPr>
          <t>Sanchez Bolanos, Laura (Research):</t>
        </r>
        <r>
          <rPr>
            <sz val="9"/>
            <color indexed="81"/>
            <rFont val="Calibri"/>
            <family val="2"/>
          </rPr>
          <t xml:space="preserve">
linked to core for estimated periods</t>
        </r>
      </text>
    </comment>
    <comment ref="GL495" authorId="1">
      <text>
        <r>
          <rPr>
            <b/>
            <sz val="9"/>
            <color indexed="81"/>
            <rFont val="Calibri"/>
            <family val="2"/>
          </rPr>
          <t>Sanchez Bolanos, Laura (Research):</t>
        </r>
        <r>
          <rPr>
            <sz val="9"/>
            <color indexed="81"/>
            <rFont val="Calibri"/>
            <family val="2"/>
          </rPr>
          <t xml:space="preserve">
linked to core for estimated periods</t>
        </r>
      </text>
    </comment>
    <comment ref="GN495" authorId="1">
      <text>
        <r>
          <rPr>
            <b/>
            <sz val="9"/>
            <color indexed="81"/>
            <rFont val="Calibri"/>
            <family val="2"/>
          </rPr>
          <t>Sanchez Bolanos, Laura (Research):</t>
        </r>
        <r>
          <rPr>
            <sz val="9"/>
            <color indexed="81"/>
            <rFont val="Calibri"/>
            <family val="2"/>
          </rPr>
          <t xml:space="preserve">
linked to core for estimated periods</t>
        </r>
      </text>
    </comment>
    <comment ref="B501" authorId="4">
      <text>
        <r>
          <rPr>
            <b/>
            <sz val="9"/>
            <color indexed="81"/>
            <rFont val="Calibri"/>
            <family val="2"/>
          </rPr>
          <t>Aerin Lim:</t>
        </r>
        <r>
          <rPr>
            <sz val="9"/>
            <color indexed="81"/>
            <rFont val="Calibri"/>
            <family val="2"/>
          </rPr>
          <t xml:space="preserve">
p4
look for year end #s</t>
        </r>
      </text>
    </comment>
    <comment ref="B512" authorId="14">
      <text>
        <r>
          <rPr>
            <b/>
            <sz val="9"/>
            <color indexed="81"/>
            <rFont val="Tahoma"/>
            <family val="2"/>
          </rPr>
          <t>Huang, Bob (Research):</t>
        </r>
        <r>
          <rPr>
            <sz val="9"/>
            <color indexed="81"/>
            <rFont val="Tahoma"/>
            <family val="2"/>
          </rPr>
          <t xml:space="preserve">
fair value</t>
        </r>
      </text>
    </comment>
    <comment ref="EA512" authorId="14">
      <text>
        <r>
          <rPr>
            <b/>
            <sz val="9"/>
            <color indexed="81"/>
            <rFont val="Calibri"/>
            <family val="2"/>
          </rPr>
          <t>Huang, Bob (Research):</t>
        </r>
        <r>
          <rPr>
            <sz val="9"/>
            <color indexed="81"/>
            <rFont val="Calibri"/>
            <family val="2"/>
          </rPr>
          <t xml:space="preserve">
supp pg 29, look for </t>
        </r>
        <r>
          <rPr>
            <b/>
            <sz val="9"/>
            <color indexed="81"/>
            <rFont val="Calibri"/>
            <family val="2"/>
          </rPr>
          <t xml:space="preserve">"below baa". </t>
        </r>
      </text>
    </comment>
    <comment ref="EC512" authorId="14">
      <text>
        <r>
          <rPr>
            <b/>
            <sz val="9"/>
            <color indexed="81"/>
            <rFont val="Calibri"/>
            <family val="2"/>
          </rPr>
          <t>Huang, Bob (Research):</t>
        </r>
        <r>
          <rPr>
            <sz val="9"/>
            <color indexed="81"/>
            <rFont val="Calibri"/>
            <family val="2"/>
          </rPr>
          <t xml:space="preserve">
supp pg 29, look for fair value </t>
        </r>
        <r>
          <rPr>
            <b/>
            <sz val="9"/>
            <color indexed="81"/>
            <rFont val="Calibri"/>
            <family val="2"/>
          </rPr>
          <t xml:space="preserve">"below baa". </t>
        </r>
      </text>
    </comment>
    <comment ref="B513" authorId="14">
      <text>
        <r>
          <rPr>
            <b/>
            <sz val="9"/>
            <color indexed="81"/>
            <rFont val="Tahoma"/>
            <family val="2"/>
          </rPr>
          <t>Huang, Bob (Research):</t>
        </r>
        <r>
          <rPr>
            <sz val="9"/>
            <color indexed="81"/>
            <rFont val="Tahoma"/>
            <family val="2"/>
          </rPr>
          <t xml:space="preserve">
look up "fixed maturity securities (fair value)"</t>
        </r>
      </text>
    </comment>
    <comment ref="W518" authorId="23">
      <text>
        <r>
          <rPr>
            <b/>
            <sz val="9"/>
            <color indexed="81"/>
            <rFont val="Calibri"/>
            <family val="2"/>
          </rPr>
          <t>Includes $875M of adjustable conversion rate equity security units</t>
        </r>
      </text>
    </comment>
    <comment ref="Y518" authorId="23">
      <text>
        <r>
          <rPr>
            <b/>
            <sz val="9"/>
            <color indexed="81"/>
            <rFont val="Calibri"/>
            <family val="2"/>
          </rPr>
          <t>Includes $875M of adjustable conversion rate equity security units</t>
        </r>
      </text>
    </comment>
    <comment ref="Z518" authorId="23">
      <text>
        <r>
          <rPr>
            <b/>
            <sz val="9"/>
            <color indexed="81"/>
            <rFont val="Calibri"/>
            <family val="2"/>
          </rPr>
          <t>Includes $875M of adjustable conversion rate equity security units</t>
        </r>
      </text>
    </comment>
    <comment ref="AA518" authorId="23">
      <text>
        <r>
          <rPr>
            <b/>
            <sz val="9"/>
            <color indexed="81"/>
            <rFont val="Calibri"/>
            <family val="2"/>
          </rPr>
          <t>Includes $875M of adjustable conversion rate equity security units</t>
        </r>
      </text>
    </comment>
    <comment ref="AB518" authorId="23">
      <text>
        <r>
          <rPr>
            <b/>
            <sz val="9"/>
            <color indexed="81"/>
            <rFont val="Calibri"/>
            <family val="2"/>
          </rPr>
          <t>Includes $875M of adjustable conversion rate equity security units</t>
        </r>
      </text>
    </comment>
    <comment ref="AC518" authorId="23">
      <text>
        <r>
          <rPr>
            <b/>
            <sz val="9"/>
            <color indexed="81"/>
            <rFont val="Calibri"/>
            <family val="2"/>
          </rPr>
          <t>Includes $875M of adjustable conversion rate equity security units</t>
        </r>
      </text>
    </comment>
    <comment ref="AE518" authorId="23">
      <text>
        <r>
          <rPr>
            <b/>
            <sz val="9"/>
            <color indexed="81"/>
            <rFont val="Calibri"/>
            <family val="2"/>
          </rPr>
          <t>Includes $1175M of adjustable conversion rate equity security units</t>
        </r>
      </text>
    </comment>
    <comment ref="CI529" authorId="0">
      <text>
        <r>
          <rPr>
            <b/>
            <sz val="9"/>
            <color indexed="81"/>
            <rFont val="Calibri"/>
            <family val="2"/>
          </rPr>
          <t>sanclaur:</t>
        </r>
        <r>
          <rPr>
            <sz val="9"/>
            <color indexed="81"/>
            <rFont val="Calibri"/>
            <family val="2"/>
          </rPr>
          <t xml:space="preserve">
adjusted to match BVPS showed in 2Q12 supplement</t>
        </r>
      </text>
    </comment>
    <comment ref="DE529" authorId="5">
      <text>
        <r>
          <rPr>
            <b/>
            <sz val="9"/>
            <color indexed="81"/>
            <rFont val="Calibri"/>
            <family val="2"/>
          </rPr>
          <t>Zamora, Diana (Research):</t>
        </r>
        <r>
          <rPr>
            <sz val="9"/>
            <color indexed="81"/>
            <rFont val="Calibri"/>
            <family val="2"/>
          </rPr>
          <t xml:space="preserve">
restated with 1Q15 earnings </t>
        </r>
      </text>
    </comment>
    <comment ref="DI529" authorId="17">
      <text>
        <r>
          <rPr>
            <b/>
            <sz val="9"/>
            <color indexed="81"/>
            <rFont val="Calibri"/>
            <family val="2"/>
          </rPr>
          <t>Rojas, Isabel (Research):</t>
        </r>
        <r>
          <rPr>
            <sz val="9"/>
            <color indexed="81"/>
            <rFont val="Calibri"/>
            <family val="2"/>
          </rPr>
          <t xml:space="preserve">
Adjusting $1mn to match BVPS with the release due to rounding issues</t>
        </r>
      </text>
    </comment>
    <comment ref="CI530" authorId="0">
      <text>
        <r>
          <rPr>
            <b/>
            <sz val="9"/>
            <color indexed="81"/>
            <rFont val="Calibri"/>
            <family val="2"/>
          </rPr>
          <t>sanclaur:</t>
        </r>
        <r>
          <rPr>
            <sz val="9"/>
            <color indexed="81"/>
            <rFont val="Calibri"/>
            <family val="2"/>
          </rPr>
          <t xml:space="preserve">
adjusted to match BVPS showed in 2Q12 supplement</t>
        </r>
      </text>
    </comment>
    <comment ref="DE530" authorId="13">
      <text>
        <r>
          <rPr>
            <b/>
            <sz val="9"/>
            <color indexed="81"/>
            <rFont val="Calibri"/>
            <family val="2"/>
          </rPr>
          <t>dianaz:</t>
        </r>
        <r>
          <rPr>
            <sz val="9"/>
            <color indexed="81"/>
            <rFont val="Calibri"/>
            <family val="2"/>
          </rPr>
          <t xml:space="preserve">
Adjusting $1mn to match BVPS with the release due to rounding issues</t>
        </r>
      </text>
    </comment>
    <comment ref="GJ536" authorId="3">
      <text>
        <r>
          <rPr>
            <b/>
            <sz val="9"/>
            <color indexed="81"/>
            <rFont val="Tahoma"/>
            <family val="2"/>
          </rPr>
          <t>Gupta, Tanmay (Research):</t>
        </r>
        <r>
          <rPr>
            <sz val="9"/>
            <color indexed="81"/>
            <rFont val="Tahoma"/>
            <family val="2"/>
          </rPr>
          <t xml:space="preserve">
2018 outlook: 10-12%</t>
        </r>
      </text>
    </comment>
    <comment ref="CK549" authorId="11">
      <text>
        <r>
          <rPr>
            <b/>
            <sz val="9"/>
            <color indexed="81"/>
            <rFont val="Calibri"/>
            <family val="2"/>
          </rPr>
          <t>Laura Sanchez:</t>
        </r>
        <r>
          <rPr>
            <sz val="9"/>
            <color indexed="81"/>
            <rFont val="Calibri"/>
            <family val="2"/>
          </rPr>
          <t xml:space="preserve">
restated w 3Q12 suppl</t>
        </r>
      </text>
    </comment>
    <comment ref="CK560" authorId="11">
      <text>
        <r>
          <rPr>
            <b/>
            <sz val="9"/>
            <color indexed="81"/>
            <rFont val="Calibri"/>
            <family val="2"/>
          </rPr>
          <t>Laura Sanchez:</t>
        </r>
        <r>
          <rPr>
            <sz val="9"/>
            <color indexed="81"/>
            <rFont val="Calibri"/>
            <family val="2"/>
          </rPr>
          <t xml:space="preserve">
restated w 3Q12 suppl</t>
        </r>
      </text>
    </comment>
  </commentList>
</comments>
</file>

<file path=xl/comments2.xml><?xml version="1.0" encoding="utf-8"?>
<comments xmlns="http://schemas.openxmlformats.org/spreadsheetml/2006/main">
  <authors>
    <author>sanclaur</author>
  </authors>
  <commentList>
    <comment ref="FC29" authorId="0">
      <text>
        <r>
          <rPr>
            <b/>
            <sz val="8"/>
            <color indexed="81"/>
            <rFont val="Tahoma"/>
            <family val="2"/>
          </rPr>
          <t>sanclaur:</t>
        </r>
        <r>
          <rPr>
            <sz val="8"/>
            <color indexed="81"/>
            <rFont val="Tahoma"/>
            <family val="2"/>
          </rPr>
          <t xml:space="preserve">
Hardcoded in the INPUT tab</t>
        </r>
      </text>
    </comment>
  </commentList>
</comments>
</file>

<file path=xl/comments3.xml><?xml version="1.0" encoding="utf-8"?>
<comments xmlns="http://schemas.openxmlformats.org/spreadsheetml/2006/main">
  <authors>
    <author>o</author>
  </authors>
  <commentList>
    <comment ref="A1" authorId="0">
      <text>
        <r>
          <rPr>
            <b/>
            <sz val="8"/>
            <color indexed="81"/>
            <rFont val="Tahoma"/>
            <family val="2"/>
          </rPr>
          <t>卟䙄_x0001_＀＀䀇_x000B_乕幍彐牐捩챥_x0018_＀＀_x0018_＀＀_x0008_＀＀_x0001_＀＀_x0001_＀＀ꏗ㵰圊䀮萳㫱_x0019_乕幍䍆䵟䅅彎兆⠱低ⱗⰬ㔴착_x0018_＀＀_x0018_＀＀_x0008_＀＀_x0001_＀＀_x0001_＀＀汮巑ꁭ㿣</t>
        </r>
      </text>
    </comment>
    <comment ref="B1" authorId="0">
      <text>
        <r>
          <rPr>
            <b/>
            <sz val="8"/>
            <color indexed="81"/>
            <rFont val="Tahoma"/>
            <family val="2"/>
          </rPr>
          <t>68</t>
        </r>
      </text>
    </comment>
  </commentList>
</comments>
</file>

<file path=xl/comments4.xml><?xml version="1.0" encoding="utf-8"?>
<comments xmlns="http://schemas.openxmlformats.org/spreadsheetml/2006/main">
  <authors>
    <author>Gupta, Tanmay (Research)</author>
    <author>dianaz</author>
    <author>Rojas, Isabel (Research)</author>
    <author>Zheng, Chaodan (Research)</author>
    <author>Zamora, Diana (Research)</author>
    <author>Sanchez Bolanos, Laura (Research)</author>
    <author>Laura Sanchez</author>
    <author>Huang, Bob (Research)</author>
    <author>hayleyl</author>
    <author>Barberena, Narla (Research)</author>
  </authors>
  <commentList>
    <comment ref="AE2" authorId="0">
      <text>
        <r>
          <rPr>
            <b/>
            <sz val="9"/>
            <color indexed="81"/>
            <rFont val="Tahoma"/>
            <family val="2"/>
          </rPr>
          <t>Gupta, Tanmay (Research):</t>
        </r>
        <r>
          <rPr>
            <sz val="9"/>
            <color indexed="81"/>
            <rFont val="Tahoma"/>
            <family val="2"/>
          </rPr>
          <t xml:space="preserve">
2017: Stopped providing normalized numbers. </t>
        </r>
      </text>
    </comment>
    <comment ref="Y6" authorId="1">
      <text>
        <r>
          <rPr>
            <b/>
            <sz val="8"/>
            <color indexed="81"/>
            <rFont val="Tahoma"/>
            <family val="2"/>
          </rPr>
          <t>dianaz:</t>
        </r>
        <r>
          <rPr>
            <sz val="8"/>
            <color indexed="81"/>
            <rFont val="Tahoma"/>
            <family val="2"/>
          </rPr>
          <t xml:space="preserve">
JPMorgan Conference 3/21/2013: unchanged
Citi Conf 3/6/2013 guid: unchanged
2013 Outlook (12/7/12) guid: +0-2%</t>
        </r>
      </text>
    </comment>
    <comment ref="AA6" authorId="2">
      <text>
        <r>
          <rPr>
            <b/>
            <sz val="9"/>
            <color indexed="81"/>
            <rFont val="Tahoma"/>
            <family val="2"/>
          </rPr>
          <t>Rojas, Isabel (Research):</t>
        </r>
        <r>
          <rPr>
            <sz val="9"/>
            <color indexed="81"/>
            <rFont val="Tahoma"/>
            <family val="2"/>
          </rPr>
          <t xml:space="preserve">
2015 outlook: 1-3%</t>
        </r>
      </text>
    </comment>
    <comment ref="AB6" authorId="3">
      <text>
        <r>
          <rPr>
            <b/>
            <sz val="8"/>
            <color indexed="81"/>
            <rFont val="Tahoma"/>
            <family val="2"/>
          </rPr>
          <t>Zheng, Chaodan (Research):</t>
        </r>
        <r>
          <rPr>
            <sz val="8"/>
            <color indexed="81"/>
            <rFont val="Tahoma"/>
            <family val="2"/>
          </rPr>
          <t xml:space="preserve">
12/17/15 outlook</t>
        </r>
      </text>
    </comment>
    <comment ref="Y8" authorId="1">
      <text>
        <r>
          <rPr>
            <b/>
            <sz val="8"/>
            <color indexed="81"/>
            <rFont val="Tahoma"/>
            <family val="2"/>
          </rPr>
          <t>dianaz:</t>
        </r>
        <r>
          <rPr>
            <sz val="8"/>
            <color indexed="81"/>
            <rFont val="Tahoma"/>
            <family val="2"/>
          </rPr>
          <t xml:space="preserve">
</t>
        </r>
        <r>
          <rPr>
            <sz val="8"/>
            <color indexed="81"/>
            <rFont val="Tahoma"/>
            <family val="2"/>
          </rPr>
          <t>JPMorgan Conference 3/21/2013: "Premium growth expected to be lower due to employment growth and persistency effect from price increases"</t>
        </r>
        <r>
          <rPr>
            <sz val="8"/>
            <color indexed="81"/>
            <rFont val="Tahoma"/>
            <family val="2"/>
          </rPr>
          <t xml:space="preserve">
Citi Conf 3/6/2013 guid: unchanged
2013 Outlook (12/7/12) guid: +1-3%</t>
        </r>
      </text>
    </comment>
    <comment ref="Z8" authorId="4">
      <text>
        <r>
          <rPr>
            <b/>
            <sz val="9"/>
            <color indexed="81"/>
            <rFont val="Tahoma"/>
            <family val="2"/>
          </rPr>
          <t>Zamora, Diana (Research):</t>
        </r>
        <r>
          <rPr>
            <sz val="9"/>
            <color indexed="81"/>
            <rFont val="Tahoma"/>
            <family val="2"/>
          </rPr>
          <t xml:space="preserve">
1Q14 call 0-2% </t>
        </r>
      </text>
    </comment>
    <comment ref="AA8" authorId="2">
      <text>
        <r>
          <rPr>
            <b/>
            <sz val="9"/>
            <color indexed="81"/>
            <rFont val="Tahoma"/>
            <family val="2"/>
          </rPr>
          <t>Rojas, Isabel (Research):</t>
        </r>
        <r>
          <rPr>
            <sz val="9"/>
            <color indexed="81"/>
            <rFont val="Tahoma"/>
            <family val="2"/>
          </rPr>
          <t xml:space="preserve">
2015 outlook: 4-6%</t>
        </r>
      </text>
    </comment>
    <comment ref="AB8" authorId="3">
      <text>
        <r>
          <rPr>
            <b/>
            <sz val="8"/>
            <color indexed="81"/>
            <rFont val="Tahoma"/>
            <family val="2"/>
          </rPr>
          <t>Zheng, Chaodan (Research):</t>
        </r>
        <r>
          <rPr>
            <sz val="8"/>
            <color indexed="81"/>
            <rFont val="Tahoma"/>
            <family val="2"/>
          </rPr>
          <t xml:space="preserve">
12/17/15 outlook</t>
        </r>
      </text>
    </comment>
    <comment ref="Y10" authorId="1">
      <text>
        <r>
          <rPr>
            <b/>
            <sz val="8"/>
            <color indexed="81"/>
            <rFont val="Tahoma"/>
            <family val="2"/>
          </rPr>
          <t>dianaz:</t>
        </r>
        <r>
          <rPr>
            <sz val="8"/>
            <color indexed="81"/>
            <rFont val="Tahoma"/>
            <family val="2"/>
          </rPr>
          <t xml:space="preserve">
2Q13 guid: environment expected to gradually improve
JPMorgan Conference 3/21/2013: unchanged
Citi Conf 3/6/2013 guid: unchanged
2013 Outlook (12/7/12) guid: +3-6%</t>
        </r>
      </text>
    </comment>
    <comment ref="AA10" authorId="2">
      <text>
        <r>
          <rPr>
            <b/>
            <sz val="9"/>
            <color indexed="81"/>
            <rFont val="Tahoma"/>
            <family val="2"/>
          </rPr>
          <t>Rojas, Isabel (Research):</t>
        </r>
        <r>
          <rPr>
            <sz val="9"/>
            <color indexed="81"/>
            <rFont val="Tahoma"/>
            <family val="2"/>
          </rPr>
          <t xml:space="preserve">
4Q14 call: 4Q14 call: "we do anticipate good solid 6% to 8% sales growth across most of our segments, in particular the core market Group insurance segment and our voluntary benefits segment" "We're anticipating a bit of a decline to the tune of about 10%, and the net is that sales guidance around 2% to 4%, which I still think holds true"
2015 outlook: 2-4%</t>
        </r>
      </text>
    </comment>
    <comment ref="AB10" authorId="3">
      <text>
        <r>
          <rPr>
            <b/>
            <sz val="8"/>
            <color indexed="81"/>
            <rFont val="Tahoma"/>
            <family val="2"/>
          </rPr>
          <t>Zheng, Chaodan (Research):</t>
        </r>
        <r>
          <rPr>
            <sz val="8"/>
            <color indexed="81"/>
            <rFont val="Tahoma"/>
            <family val="2"/>
          </rPr>
          <t xml:space="preserve">
12/17/15 outlook</t>
        </r>
      </text>
    </comment>
    <comment ref="Y11" authorId="1">
      <text>
        <r>
          <rPr>
            <b/>
            <sz val="8"/>
            <color indexed="81"/>
            <rFont val="Tahoma"/>
            <family val="2"/>
          </rPr>
          <t>dianaz:</t>
        </r>
        <r>
          <rPr>
            <sz val="8"/>
            <color indexed="81"/>
            <rFont val="Tahoma"/>
            <family val="2"/>
          </rPr>
          <t xml:space="preserve">
JPMorgan Conference 3/21/2013: unchanged
Citi Conf 3/6/2013 guid: unchanged
2013 Outlook (12/7/12) guid: 12-14%</t>
        </r>
      </text>
    </comment>
    <comment ref="AA11" authorId="2">
      <text>
        <r>
          <rPr>
            <b/>
            <sz val="9"/>
            <color indexed="81"/>
            <rFont val="Tahoma"/>
            <family val="2"/>
          </rPr>
          <t>Rojas, Isabel (Research):</t>
        </r>
        <r>
          <rPr>
            <sz val="9"/>
            <color indexed="81"/>
            <rFont val="Tahoma"/>
            <family val="2"/>
          </rPr>
          <t xml:space="preserve">
4Q14 call: unchanged 
2015 outlook: 12-14%</t>
        </r>
      </text>
    </comment>
    <comment ref="AB11" authorId="3">
      <text>
        <r>
          <rPr>
            <b/>
            <sz val="8"/>
            <color indexed="81"/>
            <rFont val="Tahoma"/>
            <family val="2"/>
          </rPr>
          <t>Zheng, Chaodan (Research):</t>
        </r>
        <r>
          <rPr>
            <sz val="8"/>
            <color indexed="81"/>
            <rFont val="Tahoma"/>
            <family val="2"/>
          </rPr>
          <t xml:space="preserve">
12/17/15 outlook</t>
        </r>
      </text>
    </comment>
    <comment ref="S15" authorId="5">
      <text>
        <r>
          <rPr>
            <b/>
            <sz val="9"/>
            <color indexed="81"/>
            <rFont val="Tahoma"/>
            <family val="2"/>
          </rPr>
          <t>Sanchez Bolanos, Laura (Research):</t>
        </r>
        <r>
          <rPr>
            <sz val="9"/>
            <color indexed="81"/>
            <rFont val="Tahoma"/>
            <family val="2"/>
          </rPr>
          <t xml:space="preserve">
impacted by FX</t>
        </r>
      </text>
    </comment>
    <comment ref="Y15" authorId="1">
      <text>
        <r>
          <rPr>
            <b/>
            <sz val="8"/>
            <color indexed="81"/>
            <rFont val="Tahoma"/>
            <family val="2"/>
          </rPr>
          <t>dianaz:</t>
        </r>
        <r>
          <rPr>
            <sz val="8"/>
            <color indexed="81"/>
            <rFont val="Tahoma"/>
            <family val="2"/>
          </rPr>
          <t xml:space="preserve">
1Q13 call: Flat
Citi Conf 3/6/2013 guid: unchanged
2013 Outlook (12/7/12) guid: (1)-1%</t>
        </r>
      </text>
    </comment>
    <comment ref="AA15" authorId="2">
      <text>
        <r>
          <rPr>
            <b/>
            <sz val="9"/>
            <color indexed="81"/>
            <rFont val="Tahoma"/>
            <family val="2"/>
          </rPr>
          <t>Rojas, Isabel (Research):</t>
        </r>
        <r>
          <rPr>
            <sz val="9"/>
            <color indexed="81"/>
            <rFont val="Tahoma"/>
            <family val="2"/>
          </rPr>
          <t xml:space="preserve">
2015 outlook: 1-3%</t>
        </r>
      </text>
    </comment>
    <comment ref="AB15" authorId="3">
      <text>
        <r>
          <rPr>
            <b/>
            <sz val="8"/>
            <color indexed="81"/>
            <rFont val="Tahoma"/>
            <family val="2"/>
          </rPr>
          <t>Zheng, Chaodan (Research):</t>
        </r>
        <r>
          <rPr>
            <sz val="8"/>
            <color indexed="81"/>
            <rFont val="Tahoma"/>
            <family val="2"/>
          </rPr>
          <t xml:space="preserve">
12/17/15 outlook</t>
        </r>
      </text>
    </comment>
    <comment ref="S17" authorId="5">
      <text>
        <r>
          <rPr>
            <b/>
            <sz val="9"/>
            <color indexed="81"/>
            <rFont val="Tahoma"/>
            <family val="2"/>
          </rPr>
          <t>Sanchez Bolanos, Laura (Research):</t>
        </r>
        <r>
          <rPr>
            <sz val="9"/>
            <color indexed="81"/>
            <rFont val="Tahoma"/>
            <family val="2"/>
          </rPr>
          <t xml:space="preserve">
impacted by FX</t>
        </r>
      </text>
    </comment>
    <comment ref="Y17" authorId="1">
      <text>
        <r>
          <rPr>
            <b/>
            <sz val="8"/>
            <color indexed="81"/>
            <rFont val="Tahoma"/>
            <family val="2"/>
          </rPr>
          <t>dianaz:</t>
        </r>
        <r>
          <rPr>
            <sz val="8"/>
            <color indexed="81"/>
            <rFont val="Tahoma"/>
            <family val="2"/>
          </rPr>
          <t xml:space="preserve">
Citi Conf 3/6/2013 guid: unchanged
2013 Outlook (12/7/12) guid: (17-20%)</t>
        </r>
      </text>
    </comment>
    <comment ref="AA17" authorId="2">
      <text>
        <r>
          <rPr>
            <b/>
            <sz val="9"/>
            <color indexed="81"/>
            <rFont val="Tahoma"/>
            <family val="2"/>
          </rPr>
          <t>Rojas, Isabel (Research):</t>
        </r>
        <r>
          <rPr>
            <sz val="9"/>
            <color indexed="81"/>
            <rFont val="Tahoma"/>
            <family val="2"/>
          </rPr>
          <t xml:space="preserve">
2015 outlook: 0-2%</t>
        </r>
      </text>
    </comment>
    <comment ref="AB17" authorId="3">
      <text>
        <r>
          <rPr>
            <b/>
            <sz val="8"/>
            <color indexed="81"/>
            <rFont val="Tahoma"/>
            <family val="2"/>
          </rPr>
          <t>Zheng, Chaodan (Research):</t>
        </r>
        <r>
          <rPr>
            <sz val="8"/>
            <color indexed="81"/>
            <rFont val="Tahoma"/>
            <family val="2"/>
          </rPr>
          <t xml:space="preserve">
12/17/15 outlook</t>
        </r>
      </text>
    </comment>
    <comment ref="Y19" authorId="1">
      <text>
        <r>
          <rPr>
            <b/>
            <sz val="8"/>
            <color indexed="81"/>
            <rFont val="Tahoma"/>
            <family val="2"/>
          </rPr>
          <t>dianaz:</t>
        </r>
        <r>
          <rPr>
            <sz val="8"/>
            <color indexed="81"/>
            <rFont val="Tahoma"/>
            <family val="2"/>
          </rPr>
          <t xml:space="preserve">
Citi Conf 3/6/2013 guid: unchanged
2013 Outlook (12/7/12) guid: (15-20%)</t>
        </r>
      </text>
    </comment>
    <comment ref="AA19" authorId="2">
      <text>
        <r>
          <rPr>
            <b/>
            <sz val="9"/>
            <color indexed="81"/>
            <rFont val="Tahoma"/>
            <family val="2"/>
          </rPr>
          <t>Rojas, Isabel (Research):</t>
        </r>
        <r>
          <rPr>
            <sz val="9"/>
            <color indexed="81"/>
            <rFont val="Tahoma"/>
            <family val="2"/>
          </rPr>
          <t xml:space="preserve">
4Q14 call: unchanged 
2015 outlook: 7-9%</t>
        </r>
      </text>
    </comment>
    <comment ref="AB19" authorId="3">
      <text>
        <r>
          <rPr>
            <b/>
            <sz val="8"/>
            <color indexed="81"/>
            <rFont val="Tahoma"/>
            <family val="2"/>
          </rPr>
          <t>Zheng, Chaodan (Research):</t>
        </r>
        <r>
          <rPr>
            <sz val="8"/>
            <color indexed="81"/>
            <rFont val="Tahoma"/>
            <family val="2"/>
          </rPr>
          <t xml:space="preserve">
12/17/15 outlook</t>
        </r>
        <r>
          <rPr>
            <sz val="9"/>
            <color indexed="81"/>
            <rFont val="Tahoma"/>
            <family val="2"/>
          </rPr>
          <t xml:space="preserve"> </t>
        </r>
      </text>
    </comment>
    <comment ref="Y20" authorId="1">
      <text>
        <r>
          <rPr>
            <b/>
            <sz val="8"/>
            <color indexed="81"/>
            <rFont val="Tahoma"/>
            <family val="2"/>
          </rPr>
          <t>dianaz:</t>
        </r>
        <r>
          <rPr>
            <sz val="8"/>
            <color indexed="81"/>
            <rFont val="Tahoma"/>
            <family val="2"/>
          </rPr>
          <t xml:space="preserve">
JPMorgan Conference 3/21/2013: unchanged
Citi Conf 3/6/2013 guid: unchanged
2013 Outlook (12/7/12) guid: 15-17%</t>
        </r>
      </text>
    </comment>
    <comment ref="AA20" authorId="2">
      <text>
        <r>
          <rPr>
            <b/>
            <sz val="9"/>
            <color indexed="81"/>
            <rFont val="Tahoma"/>
            <family val="2"/>
          </rPr>
          <t>Rojas, Isabel (Research):</t>
        </r>
        <r>
          <rPr>
            <sz val="9"/>
            <color indexed="81"/>
            <rFont val="Tahoma"/>
            <family val="2"/>
          </rPr>
          <t xml:space="preserve">
2015 outlook: 16-18%</t>
        </r>
      </text>
    </comment>
    <comment ref="AB20" authorId="3">
      <text>
        <r>
          <rPr>
            <b/>
            <sz val="8"/>
            <color indexed="81"/>
            <rFont val="Tahoma"/>
            <family val="2"/>
          </rPr>
          <t>Zheng, Chaodan (Research):</t>
        </r>
        <r>
          <rPr>
            <sz val="8"/>
            <color indexed="81"/>
            <rFont val="Tahoma"/>
            <family val="2"/>
          </rPr>
          <t xml:space="preserve">
12/17/15 outlook</t>
        </r>
      </text>
    </comment>
    <comment ref="Y24" authorId="1">
      <text>
        <r>
          <rPr>
            <b/>
            <sz val="8"/>
            <color indexed="81"/>
            <rFont val="Tahoma"/>
            <family val="2"/>
          </rPr>
          <t>dianaz:</t>
        </r>
        <r>
          <rPr>
            <sz val="8"/>
            <color indexed="81"/>
            <rFont val="Tahoma"/>
            <family val="2"/>
          </rPr>
          <t xml:space="preserve">
Citi Conf 3/6/2013 guid: unchanged
2013 Outlook (12/7/12) guid: 1-3%</t>
        </r>
      </text>
    </comment>
    <comment ref="AA24" authorId="2">
      <text>
        <r>
          <rPr>
            <b/>
            <sz val="9"/>
            <color indexed="81"/>
            <rFont val="Tahoma"/>
            <family val="2"/>
          </rPr>
          <t>Rojas, Isabel (Research):</t>
        </r>
        <r>
          <rPr>
            <sz val="9"/>
            <color indexed="81"/>
            <rFont val="Tahoma"/>
            <family val="2"/>
          </rPr>
          <t xml:space="preserve">
2015 outlook: 2-4%</t>
        </r>
      </text>
    </comment>
    <comment ref="AB24" authorId="3">
      <text>
        <r>
          <rPr>
            <b/>
            <sz val="8"/>
            <color indexed="81"/>
            <rFont val="Tahoma"/>
            <family val="2"/>
          </rPr>
          <t>Zheng, Chaodan (Research):</t>
        </r>
        <r>
          <rPr>
            <sz val="8"/>
            <color indexed="81"/>
            <rFont val="Tahoma"/>
            <family val="2"/>
          </rPr>
          <t xml:space="preserve">
12/17/15 outlook</t>
        </r>
      </text>
    </comment>
    <comment ref="Y26" authorId="1">
      <text>
        <r>
          <rPr>
            <b/>
            <sz val="8"/>
            <color indexed="81"/>
            <rFont val="Tahoma"/>
            <family val="2"/>
          </rPr>
          <t>dianaz:</t>
        </r>
        <r>
          <rPr>
            <sz val="8"/>
            <color indexed="81"/>
            <rFont val="Tahoma"/>
            <family val="2"/>
          </rPr>
          <t xml:space="preserve">
Citi Conf 3/6/2013 guid: unchanged
2013 Outlook (12/7/12) guid: 3-5%</t>
        </r>
      </text>
    </comment>
    <comment ref="Z26" authorId="4">
      <text>
        <r>
          <rPr>
            <b/>
            <sz val="9"/>
            <color indexed="81"/>
            <rFont val="Tahoma"/>
            <family val="2"/>
          </rPr>
          <t>Zamora, Diana (Research):</t>
        </r>
        <r>
          <rPr>
            <sz val="9"/>
            <color indexed="81"/>
            <rFont val="Tahoma"/>
            <family val="2"/>
          </rPr>
          <t xml:space="preserve">
1Q14 call: 2-4% 
</t>
        </r>
      </text>
    </comment>
    <comment ref="AA26" authorId="2">
      <text>
        <r>
          <rPr>
            <b/>
            <sz val="9"/>
            <color indexed="81"/>
            <rFont val="Tahoma"/>
            <family val="2"/>
          </rPr>
          <t>Rojas, Isabel (Research):</t>
        </r>
        <r>
          <rPr>
            <sz val="9"/>
            <color indexed="81"/>
            <rFont val="Tahoma"/>
            <family val="2"/>
          </rPr>
          <t xml:space="preserve">
4Q14 call: unchanged 
2015 outlook: 2-4%</t>
        </r>
      </text>
    </comment>
    <comment ref="AB26" authorId="3">
      <text>
        <r>
          <rPr>
            <b/>
            <sz val="8"/>
            <color indexed="81"/>
            <rFont val="Tahoma"/>
            <family val="2"/>
          </rPr>
          <t>Zheng, Chaodan (Research):</t>
        </r>
        <r>
          <rPr>
            <sz val="8"/>
            <color indexed="81"/>
            <rFont val="Tahoma"/>
            <family val="2"/>
          </rPr>
          <t xml:space="preserve">
12/17/15 outlook</t>
        </r>
      </text>
    </comment>
    <comment ref="Y28" authorId="1">
      <text>
        <r>
          <rPr>
            <b/>
            <sz val="8"/>
            <color indexed="81"/>
            <rFont val="Tahoma"/>
            <family val="2"/>
          </rPr>
          <t>dianaz:</t>
        </r>
        <r>
          <rPr>
            <sz val="8"/>
            <color indexed="81"/>
            <rFont val="Tahoma"/>
            <family val="2"/>
          </rPr>
          <t xml:space="preserve">
JP morgan conference 3/21/2013: to be consistent with US and building sales momentum in 2nd half of 2013
Citi Conf 3/6/2013 guid: unchanged
2013 Outlook (12/7/12) guid: 3-6%</t>
        </r>
      </text>
    </comment>
    <comment ref="AA28" authorId="2">
      <text>
        <r>
          <rPr>
            <b/>
            <sz val="9"/>
            <color indexed="81"/>
            <rFont val="Tahoma"/>
            <family val="2"/>
          </rPr>
          <t>Rojas, Isabel (Research):</t>
        </r>
        <r>
          <rPr>
            <sz val="9"/>
            <color indexed="81"/>
            <rFont val="Tahoma"/>
            <family val="2"/>
          </rPr>
          <t xml:space="preserve">
2015 outlook: 5-8%</t>
        </r>
      </text>
    </comment>
    <comment ref="AB28" authorId="3">
      <text>
        <r>
          <rPr>
            <b/>
            <sz val="8"/>
            <color indexed="81"/>
            <rFont val="Tahoma"/>
            <family val="2"/>
          </rPr>
          <t>Zheng, Chaodan (Research):</t>
        </r>
        <r>
          <rPr>
            <sz val="8"/>
            <color indexed="81"/>
            <rFont val="Tahoma"/>
            <family val="2"/>
          </rPr>
          <t xml:space="preserve">
12/17/15 outlook</t>
        </r>
      </text>
    </comment>
    <comment ref="Y29" authorId="1">
      <text>
        <r>
          <rPr>
            <b/>
            <sz val="8"/>
            <color indexed="81"/>
            <rFont val="Tahoma"/>
            <family val="2"/>
          </rPr>
          <t>dianaz:</t>
        </r>
        <r>
          <rPr>
            <sz val="8"/>
            <color indexed="81"/>
            <rFont val="Tahoma"/>
            <family val="2"/>
          </rPr>
          <t xml:space="preserve">
Citi Conf 3/6/2013 guid: unchanged
2013 Outlook (12/7/12) guid: 15-17%</t>
        </r>
      </text>
    </comment>
    <comment ref="AA29" authorId="2">
      <text>
        <r>
          <rPr>
            <b/>
            <sz val="9"/>
            <color indexed="81"/>
            <rFont val="Tahoma"/>
            <family val="2"/>
          </rPr>
          <t>Rojas, Isabel (Research):</t>
        </r>
        <r>
          <rPr>
            <sz val="9"/>
            <color indexed="81"/>
            <rFont val="Tahoma"/>
            <family val="2"/>
          </rPr>
          <t xml:space="preserve">
2015 outlook: 15-17%</t>
        </r>
      </text>
    </comment>
    <comment ref="AB29" authorId="3">
      <text>
        <r>
          <rPr>
            <b/>
            <sz val="8"/>
            <color indexed="81"/>
            <rFont val="Tahoma"/>
            <family val="2"/>
          </rPr>
          <t>Zheng, Chaodan (Research):</t>
        </r>
        <r>
          <rPr>
            <sz val="8"/>
            <color indexed="81"/>
            <rFont val="Tahoma"/>
            <family val="2"/>
          </rPr>
          <t xml:space="preserve">
12/17/15 outlook</t>
        </r>
      </text>
    </comment>
    <comment ref="AA33" authorId="2">
      <text>
        <r>
          <rPr>
            <b/>
            <sz val="9"/>
            <color indexed="81"/>
            <rFont val="Tahoma"/>
            <family val="2"/>
          </rPr>
          <t>Rojas, Isabel (Research):</t>
        </r>
        <r>
          <rPr>
            <sz val="9"/>
            <color indexed="81"/>
            <rFont val="Tahoma"/>
            <family val="2"/>
          </rPr>
          <t xml:space="preserve">
2015 outlook: (4)-(6)%</t>
        </r>
      </text>
    </comment>
    <comment ref="AB33" authorId="3">
      <text>
        <r>
          <rPr>
            <b/>
            <sz val="8"/>
            <color indexed="81"/>
            <rFont val="Tahoma"/>
            <family val="2"/>
          </rPr>
          <t>Zheng, Chaodan (Research):</t>
        </r>
        <r>
          <rPr>
            <sz val="8"/>
            <color indexed="81"/>
            <rFont val="Tahoma"/>
            <family val="2"/>
          </rPr>
          <t xml:space="preserve">
12/17/15 outlook</t>
        </r>
      </text>
    </comment>
    <comment ref="Y34" authorId="6">
      <text>
        <r>
          <rPr>
            <b/>
            <sz val="8"/>
            <color indexed="81"/>
            <rFont val="Tahoma"/>
            <family val="2"/>
          </rPr>
          <t>Laura Sanchez:</t>
        </r>
        <r>
          <rPr>
            <sz val="8"/>
            <color indexed="81"/>
            <rFont val="Tahoma"/>
            <family val="2"/>
          </rPr>
          <t xml:space="preserve">
1Q13 transcript: 85-90%</t>
        </r>
      </text>
    </comment>
    <comment ref="Z34" authorId="4">
      <text>
        <r>
          <rPr>
            <b/>
            <sz val="9"/>
            <color indexed="81"/>
            <rFont val="Tahoma"/>
            <family val="2"/>
          </rPr>
          <t>Zamora, Diana (Research):</t>
        </r>
        <r>
          <rPr>
            <sz val="9"/>
            <color indexed="81"/>
            <rFont val="Tahoma"/>
            <family val="2"/>
          </rPr>
          <t xml:space="preserve">
Expect LTC benefit ratio to be in the range of 85-95% for 2014</t>
        </r>
      </text>
    </comment>
    <comment ref="AD34" authorId="7">
      <text>
        <r>
          <rPr>
            <b/>
            <sz val="9"/>
            <color indexed="81"/>
            <rFont val="Tahoma"/>
            <family val="2"/>
          </rPr>
          <t>Huang, Bob (Research):</t>
        </r>
        <r>
          <rPr>
            <sz val="9"/>
            <color indexed="81"/>
            <rFont val="Tahoma"/>
            <family val="2"/>
          </rPr>
          <t xml:space="preserve">
4Q17 call: exceed the 85-90% range
I remind you that at our December outlook meeting, we indicated that the long-term care ratio will
likely exceed our prior expectation of a range of 85% to 90% over the near term. This quarter's results are in line with our revised expectations.</t>
        </r>
      </text>
    </comment>
    <comment ref="Y36" authorId="1">
      <text>
        <r>
          <rPr>
            <b/>
            <sz val="8"/>
            <color indexed="81"/>
            <rFont val="Tahoma"/>
            <family val="2"/>
          </rPr>
          <t>dianaz:</t>
        </r>
        <r>
          <rPr>
            <sz val="8"/>
            <color indexed="81"/>
            <rFont val="Tahoma"/>
            <family val="2"/>
          </rPr>
          <t xml:space="preserve">
JPMorgan Conference 3/21/2013: unchanged
Citi Conf 3/6/2013 guid: unchanged
2013 Outlook (12/7/12) guid: 15-20%</t>
        </r>
      </text>
    </comment>
    <comment ref="Z36" authorId="8">
      <text>
        <r>
          <rPr>
            <b/>
            <sz val="8"/>
            <color indexed="81"/>
            <rFont val="Tahoma"/>
            <family val="2"/>
          </rPr>
          <t>hayleyl:</t>
        </r>
        <r>
          <rPr>
            <sz val="8"/>
            <color indexed="81"/>
            <rFont val="Tahoma"/>
            <family val="2"/>
          </rPr>
          <t xml:space="preserve">
slight improvement in loss ratios</t>
        </r>
      </text>
    </comment>
    <comment ref="AA36" authorId="2">
      <text>
        <r>
          <rPr>
            <b/>
            <sz val="9"/>
            <color indexed="81"/>
            <rFont val="Tahoma"/>
            <family val="2"/>
          </rPr>
          <t>Rojas, Isabel (Research):</t>
        </r>
        <r>
          <rPr>
            <sz val="9"/>
            <color indexed="81"/>
            <rFont val="Tahoma"/>
            <family val="2"/>
          </rPr>
          <t xml:space="preserve">
2015 outlook: (10-12)%</t>
        </r>
      </text>
    </comment>
    <comment ref="AB36" authorId="3">
      <text>
        <r>
          <rPr>
            <b/>
            <sz val="8"/>
            <color indexed="81"/>
            <rFont val="Tahoma"/>
            <family val="2"/>
          </rPr>
          <t>Zheng, Chaodan (Research):</t>
        </r>
        <r>
          <rPr>
            <sz val="8"/>
            <color indexed="81"/>
            <rFont val="Tahoma"/>
            <family val="2"/>
          </rPr>
          <t xml:space="preserve">
12/17/15 outlook</t>
        </r>
      </text>
    </comment>
    <comment ref="AC36" authorId="0">
      <text>
        <r>
          <rPr>
            <b/>
            <sz val="9"/>
            <color indexed="81"/>
            <rFont val="Tahoma"/>
            <family val="2"/>
          </rPr>
          <t>Gupta, Tanmay (Research):</t>
        </r>
        <r>
          <rPr>
            <sz val="9"/>
            <color indexed="81"/>
            <rFont val="Tahoma"/>
            <family val="2"/>
          </rPr>
          <t xml:space="preserve">
2017 Outlook: Op earnings down Y/Y as misc NII boosted earnings in 2016. Don’t expect that to recur in 2017.</t>
        </r>
      </text>
    </comment>
    <comment ref="AD36" authorId="0">
      <text>
        <r>
          <rPr>
            <b/>
            <sz val="9"/>
            <color indexed="81"/>
            <rFont val="Tahoma"/>
            <family val="2"/>
          </rPr>
          <t>Gupta, Tanmay (Research):</t>
        </r>
        <r>
          <rPr>
            <sz val="9"/>
            <color indexed="81"/>
            <rFont val="Tahoma"/>
            <family val="2"/>
          </rPr>
          <t xml:space="preserve">
2017 Outlook: Op earnings down Y/Y as misc NII boosted earnings in 2016. Don’t expect that to recur in 2017.</t>
        </r>
      </text>
    </comment>
    <comment ref="Y37" authorId="1">
      <text>
        <r>
          <rPr>
            <b/>
            <sz val="8"/>
            <color indexed="81"/>
            <rFont val="Tahoma"/>
            <family val="2"/>
          </rPr>
          <t>dianaz:</t>
        </r>
        <r>
          <rPr>
            <sz val="8"/>
            <color indexed="81"/>
            <rFont val="Tahoma"/>
            <family val="2"/>
          </rPr>
          <t xml:space="preserve">
</t>
        </r>
        <r>
          <rPr>
            <sz val="8"/>
            <color indexed="81"/>
            <rFont val="Tahoma"/>
            <family val="2"/>
          </rPr>
          <t>JPMorgan Conference 3/21/2013: unchanged</t>
        </r>
        <r>
          <rPr>
            <sz val="8"/>
            <color indexed="81"/>
            <rFont val="Tahoma"/>
            <family val="2"/>
          </rPr>
          <t xml:space="preserve">
Citi Conf 3/6/2013 guid: unchanged
2013 Outlook (12/7/12) guid: 2-4%</t>
        </r>
      </text>
    </comment>
    <comment ref="AA37" authorId="2">
      <text>
        <r>
          <rPr>
            <b/>
            <sz val="9"/>
            <color indexed="81"/>
            <rFont val="Tahoma"/>
            <family val="2"/>
          </rPr>
          <t xml:space="preserve">Rojas, Isabel (Research): </t>
        </r>
        <r>
          <rPr>
            <sz val="9"/>
            <color indexed="81"/>
            <rFont val="Tahoma"/>
            <family val="2"/>
          </rPr>
          <t>2-3%</t>
        </r>
      </text>
    </comment>
    <comment ref="AB37" authorId="3">
      <text>
        <r>
          <rPr>
            <b/>
            <sz val="8"/>
            <color indexed="81"/>
            <rFont val="Tahoma"/>
            <family val="2"/>
          </rPr>
          <t>Zheng, Chaodan (Research):</t>
        </r>
        <r>
          <rPr>
            <sz val="8"/>
            <color indexed="81"/>
            <rFont val="Tahoma"/>
            <family val="2"/>
          </rPr>
          <t xml:space="preserve">
12/17/15 outlook</t>
        </r>
      </text>
    </comment>
    <comment ref="Y40" authorId="6">
      <text>
        <r>
          <rPr>
            <b/>
            <sz val="8"/>
            <color indexed="81"/>
            <rFont val="Tahoma"/>
            <family val="2"/>
          </rPr>
          <t>Laura Sanchez:</t>
        </r>
        <r>
          <rPr>
            <sz val="8"/>
            <color indexed="81"/>
            <rFont val="Tahoma"/>
            <family val="2"/>
          </rPr>
          <t xml:space="preserve">
DB conference: flat Y/Y
1Q13 call: unchanged
Citi Conf. 3/6/2013: down 2-5%; buybacks to drive 0-6% EPS growth</t>
        </r>
      </text>
    </comment>
    <comment ref="AA40" authorId="2">
      <text>
        <r>
          <rPr>
            <b/>
            <sz val="9"/>
            <color indexed="81"/>
            <rFont val="Tahoma"/>
            <family val="2"/>
          </rPr>
          <t>Rojas, Isabel (Research):</t>
        </r>
        <r>
          <rPr>
            <sz val="9"/>
            <color indexed="81"/>
            <rFont val="Tahoma"/>
            <family val="2"/>
          </rPr>
          <t xml:space="preserve">
2015 outlook: 0-2% total operations </t>
        </r>
      </text>
    </comment>
    <comment ref="AB40" authorId="3">
      <text>
        <r>
          <rPr>
            <b/>
            <sz val="8"/>
            <color indexed="81"/>
            <rFont val="Tahoma"/>
            <family val="2"/>
          </rPr>
          <t>Zheng, Chaodan (Research):</t>
        </r>
        <r>
          <rPr>
            <sz val="8"/>
            <color indexed="81"/>
            <rFont val="Tahoma"/>
            <family val="2"/>
          </rPr>
          <t xml:space="preserve">
12/17/15 outlook</t>
        </r>
      </text>
    </comment>
    <comment ref="O42" authorId="6">
      <text>
        <r>
          <rPr>
            <b/>
            <sz val="8"/>
            <color indexed="81"/>
            <rFont val="Tahoma"/>
            <family val="2"/>
          </rPr>
          <t>Laura Sanchez:</t>
        </r>
        <r>
          <rPr>
            <sz val="8"/>
            <color indexed="81"/>
            <rFont val="Tahoma"/>
            <family val="2"/>
          </rPr>
          <t xml:space="preserve">
2012 Y/Y guid assumes a $2.98 in 2011</t>
        </r>
      </text>
    </comment>
    <comment ref="Y42" authorId="1">
      <text>
        <r>
          <rPr>
            <b/>
            <sz val="8"/>
            <color indexed="81"/>
            <rFont val="Tahoma"/>
            <family val="2"/>
          </rPr>
          <t>dianaz:</t>
        </r>
        <r>
          <rPr>
            <sz val="8"/>
            <color indexed="81"/>
            <rFont val="Tahoma"/>
            <family val="2"/>
          </rPr>
          <t xml:space="preserve">
JPMorgan Conference 3/21/2013: "EPS growth to be positive as a result of a combination of operating performance and capital management"
Buybacks to drive 0-6% EPS growth
Guidance of 4Q12 call
See 4Q12 earnings note</t>
        </r>
      </text>
    </comment>
    <comment ref="X43" authorId="1">
      <text>
        <r>
          <rPr>
            <b/>
            <sz val="8"/>
            <color indexed="81"/>
            <rFont val="Tahoma"/>
            <family val="2"/>
          </rPr>
          <t>dianaz:</t>
        </r>
        <r>
          <rPr>
            <sz val="8"/>
            <color indexed="81"/>
            <rFont val="Tahoma"/>
            <family val="2"/>
          </rPr>
          <t xml:space="preserve">
Investor Conf.ppt (12/7/2012) guidance: unchanged
3Q12 guidance: 3-6% based on full-year 2011 operating EPS of $2.98
Original outlook of 6-12% (Nov 16,2011)
</t>
        </r>
      </text>
    </comment>
    <comment ref="Y43" authorId="1">
      <text>
        <r>
          <rPr>
            <b/>
            <sz val="8"/>
            <color indexed="81"/>
            <rFont val="Tahoma"/>
            <family val="2"/>
          </rPr>
          <t>dianaz:</t>
        </r>
        <r>
          <rPr>
            <sz val="8"/>
            <color indexed="81"/>
            <rFont val="Tahoma"/>
            <family val="2"/>
          </rPr>
          <t xml:space="preserve">
&gt; 2Q13 call: unchanged
&gt; DB conference: to show growth despite flat earnings given repurchases
&gt; 1Q13 call: unchanged
&gt; Citi Conf 3/6/2013 guid: unchanged
&gt; 4Q12 guid: 0-6%
&gt; Investor ppt (12/7/2012 ) guid: Outlook based on:
 +3-5% favorable growth &amp; risk trends
(6-8%) interest rate
+3% interest rate offsets
(1%) incremental interest expense 
(3-4%) tax rate
+6-8% Capital management
</t>
        </r>
      </text>
    </comment>
    <comment ref="Z43" authorId="4">
      <text>
        <r>
          <rPr>
            <b/>
            <sz val="9"/>
            <color indexed="81"/>
            <rFont val="Tahoma"/>
            <family val="2"/>
          </rPr>
          <t>Zamora, Diana (Research):</t>
        </r>
        <r>
          <rPr>
            <sz val="9"/>
            <color indexed="81"/>
            <rFont val="Tahoma"/>
            <family val="2"/>
          </rPr>
          <t xml:space="preserve">
2015 Outlook: unchanged
2Q14 guidance unchanged</t>
        </r>
      </text>
    </comment>
    <comment ref="AA43" authorId="9">
      <text>
        <r>
          <rPr>
            <b/>
            <sz val="8"/>
            <color indexed="81"/>
            <rFont val="Tahoma"/>
            <family val="2"/>
          </rPr>
          <t>Barberena, Narla (Research):</t>
        </r>
        <r>
          <rPr>
            <sz val="8"/>
            <color indexed="81"/>
            <rFont val="Tahoma"/>
            <family val="2"/>
          </rPr>
          <t xml:space="preserve">
12/17/15 outlook: expect 2015 full year operating EPS growth towards the lower end of 2-5%
2Q15 call: unchanged
4Q14 call: unchanged
2015 outlook: 2-5%</t>
        </r>
      </text>
    </comment>
    <comment ref="AB43" authorId="3">
      <text>
        <r>
          <rPr>
            <b/>
            <sz val="8"/>
            <color indexed="81"/>
            <rFont val="Tahoma"/>
            <family val="2"/>
          </rPr>
          <t>Zheng, Chaodan (Research):</t>
        </r>
        <r>
          <rPr>
            <sz val="8"/>
            <color indexed="81"/>
            <rFont val="Tahoma"/>
            <family val="2"/>
          </rPr>
          <t xml:space="preserve">
12/17/15 outlook</t>
        </r>
      </text>
    </comment>
    <comment ref="AC43" authorId="0">
      <text>
        <r>
          <rPr>
            <b/>
            <sz val="9"/>
            <color indexed="81"/>
            <rFont val="Tahoma"/>
            <family val="2"/>
          </rPr>
          <t>Gupta, Tanmay (Research):</t>
        </r>
        <r>
          <rPr>
            <sz val="9"/>
            <color indexed="81"/>
            <rFont val="Tahoma"/>
            <family val="2"/>
          </rPr>
          <t xml:space="preserve">
2Q17 guid: raised to 5-8% from 3-6%</t>
        </r>
      </text>
    </comment>
    <comment ref="AD43" authorId="0">
      <text>
        <r>
          <rPr>
            <b/>
            <sz val="9"/>
            <color indexed="81"/>
            <rFont val="Tahoma"/>
            <family val="2"/>
          </rPr>
          <t>Gupta, Tanmay (Research):</t>
        </r>
        <r>
          <rPr>
            <sz val="9"/>
            <color indexed="81"/>
            <rFont val="Tahoma"/>
            <family val="2"/>
          </rPr>
          <t xml:space="preserve">
4Q17 call: 17-23% due to tax reform.
2Q17 guid: raised to 5-8% from 3-6%</t>
        </r>
      </text>
    </comment>
    <comment ref="Y44" authorId="1">
      <text>
        <r>
          <rPr>
            <b/>
            <sz val="8"/>
            <color indexed="81"/>
            <rFont val="Tahoma"/>
            <family val="2"/>
          </rPr>
          <t>dianaz:</t>
        </r>
        <r>
          <rPr>
            <sz val="8"/>
            <color indexed="81"/>
            <rFont val="Tahoma"/>
            <family val="2"/>
          </rPr>
          <t xml:space="preserve">
JPMorgan Conference 3/21/2013: unchanged
Citi Conf 3/6/2013 guid: unchanged
2013 Outlook (12/7/12) guid: 11-12%</t>
        </r>
      </text>
    </comment>
    <comment ref="AA44" authorId="2">
      <text>
        <r>
          <rPr>
            <b/>
            <sz val="9"/>
            <color indexed="81"/>
            <rFont val="Tahoma"/>
            <family val="2"/>
          </rPr>
          <t>Rojas, Isabel (Research):</t>
        </r>
        <r>
          <rPr>
            <sz val="9"/>
            <color indexed="81"/>
            <rFont val="Tahoma"/>
            <family val="2"/>
          </rPr>
          <t xml:space="preserve">
2015 outlook: 11-12%</t>
        </r>
      </text>
    </comment>
    <comment ref="AB44" authorId="3">
      <text>
        <r>
          <rPr>
            <b/>
            <sz val="8"/>
            <color indexed="81"/>
            <rFont val="Tahoma"/>
            <family val="2"/>
          </rPr>
          <t>Zheng, Chaodan (Research):</t>
        </r>
        <r>
          <rPr>
            <sz val="8"/>
            <color indexed="81"/>
            <rFont val="Tahoma"/>
            <family val="2"/>
          </rPr>
          <t xml:space="preserve">
12/17/15 outlook</t>
        </r>
      </text>
    </comment>
    <comment ref="Z45" authorId="2">
      <text>
        <r>
          <rPr>
            <b/>
            <sz val="9"/>
            <color indexed="81"/>
            <rFont val="Tahoma"/>
            <family val="2"/>
          </rPr>
          <t>Rojas, Isabel (Research):</t>
        </r>
        <r>
          <rPr>
            <sz val="9"/>
            <color indexed="81"/>
            <rFont val="Tahoma"/>
            <family val="2"/>
          </rPr>
          <t xml:space="preserve">
2015 outlook: 5-9%</t>
        </r>
      </text>
    </comment>
    <comment ref="AA45" authorId="4">
      <text>
        <r>
          <rPr>
            <b/>
            <sz val="8"/>
            <color indexed="81"/>
            <rFont val="Tahoma"/>
            <family val="2"/>
          </rPr>
          <t>Zamora, Diana (Research):</t>
        </r>
        <r>
          <rPr>
            <sz val="8"/>
            <color indexed="81"/>
            <rFont val="Tahoma"/>
            <family val="2"/>
          </rPr>
          <t xml:space="preserve">
2015 Outlook: 4-6% core operations</t>
        </r>
      </text>
    </comment>
    <comment ref="AB45" authorId="3">
      <text>
        <r>
          <rPr>
            <b/>
            <sz val="8"/>
            <color indexed="81"/>
            <rFont val="Tahoma"/>
            <family val="2"/>
          </rPr>
          <t>Zheng, Chaodan (Research):</t>
        </r>
        <r>
          <rPr>
            <sz val="8"/>
            <color indexed="81"/>
            <rFont val="Tahoma"/>
            <family val="2"/>
          </rPr>
          <t xml:space="preserve">
12/17/15 outlook: core operations sales</t>
        </r>
      </text>
    </comment>
    <comment ref="AE45" authorId="3">
      <text>
        <r>
          <rPr>
            <b/>
            <sz val="8"/>
            <color indexed="81"/>
            <rFont val="Tahoma"/>
            <family val="2"/>
          </rPr>
          <t>Zheng, Chaodan (Research):</t>
        </r>
        <r>
          <rPr>
            <sz val="8"/>
            <color indexed="81"/>
            <rFont val="Tahoma"/>
            <family val="2"/>
          </rPr>
          <t xml:space="preserve">
12/17/15 outlook: core operations sales</t>
        </r>
      </text>
    </comment>
    <comment ref="Z46" authorId="2">
      <text>
        <r>
          <rPr>
            <b/>
            <sz val="9"/>
            <color indexed="81"/>
            <rFont val="Tahoma"/>
            <family val="2"/>
          </rPr>
          <t>Rojas, Isabel (Research):</t>
        </r>
        <r>
          <rPr>
            <sz val="9"/>
            <color indexed="81"/>
            <rFont val="Tahoma"/>
            <family val="2"/>
          </rPr>
          <t xml:space="preserve">
2015 outlook: unchanged</t>
        </r>
      </text>
    </comment>
    <comment ref="AA46" authorId="2">
      <text>
        <r>
          <rPr>
            <b/>
            <sz val="9"/>
            <color indexed="81"/>
            <rFont val="Tahoma"/>
            <family val="2"/>
          </rPr>
          <t>Rojas, Isabel (Research):</t>
        </r>
        <r>
          <rPr>
            <sz val="9"/>
            <color indexed="81"/>
            <rFont val="Tahoma"/>
            <family val="2"/>
          </rPr>
          <t xml:space="preserve">
2015 outlook: 2-4%</t>
        </r>
      </text>
    </comment>
    <comment ref="AB46" authorId="3">
      <text>
        <r>
          <rPr>
            <b/>
            <sz val="8"/>
            <color indexed="81"/>
            <rFont val="Tahoma"/>
            <family val="2"/>
          </rPr>
          <t>Zheng, Chaodan (Research):</t>
        </r>
        <r>
          <rPr>
            <sz val="8"/>
            <color indexed="81"/>
            <rFont val="Tahoma"/>
            <family val="2"/>
          </rPr>
          <t xml:space="preserve">
12/17/15 outlook</t>
        </r>
      </text>
    </comment>
    <comment ref="AE46" authorId="2">
      <text>
        <r>
          <rPr>
            <b/>
            <sz val="8"/>
            <color indexed="81"/>
            <rFont val="Tahoma"/>
            <family val="2"/>
          </rPr>
          <t>Rojas, Isabel (Research):</t>
        </r>
        <r>
          <rPr>
            <sz val="8"/>
            <color indexed="81"/>
            <rFont val="Tahoma"/>
            <family val="2"/>
          </rPr>
          <t xml:space="preserve">
2015 outlook: 3-5%</t>
        </r>
      </text>
    </comment>
    <comment ref="M48" authorId="2">
      <text>
        <r>
          <rPr>
            <b/>
            <sz val="9"/>
            <color indexed="81"/>
            <rFont val="Tahoma"/>
            <family val="2"/>
          </rPr>
          <t>Rojas, Isabel (Research):</t>
        </r>
        <r>
          <rPr>
            <sz val="9"/>
            <color indexed="81"/>
            <rFont val="Tahoma"/>
            <family val="2"/>
          </rPr>
          <t xml:space="preserve">
2015 outlook: no repurchases in 4Q14</t>
        </r>
      </text>
    </comment>
    <comment ref="Y48" authorId="6">
      <text>
        <r>
          <rPr>
            <b/>
            <sz val="8"/>
            <color indexed="81"/>
            <rFont val="Tahoma"/>
            <family val="2"/>
          </rPr>
          <t>Laura Sanchez:</t>
        </r>
        <r>
          <rPr>
            <sz val="8"/>
            <color indexed="81"/>
            <rFont val="Tahoma"/>
            <family val="2"/>
          </rPr>
          <t xml:space="preserve">
1Q13 call: unchanged
JPMorgan Conference 3/21/2013: unchanged
Citi Conf. 3/6/2013 guid: $500mn</t>
        </r>
      </text>
    </comment>
    <comment ref="AA48" authorId="2">
      <text>
        <r>
          <rPr>
            <b/>
            <sz val="9"/>
            <color indexed="81"/>
            <rFont val="Tahoma"/>
            <family val="2"/>
          </rPr>
          <t>Gupta, Tanmay (Research):</t>
        </r>
        <r>
          <rPr>
            <sz val="9"/>
            <color indexed="81"/>
            <rFont val="Tahoma"/>
            <family val="2"/>
          </rPr>
          <t xml:space="preserve">
2Q15: pace towards lower end of range ($400-$600mn)
2015 outlook: $400-600mn</t>
        </r>
      </text>
    </comment>
    <comment ref="AB48" authorId="3">
      <text>
        <r>
          <rPr>
            <b/>
            <sz val="8"/>
            <color indexed="81"/>
            <rFont val="Tahoma"/>
            <family val="2"/>
          </rPr>
          <t>Zheng, Chaodan (Research):</t>
        </r>
        <r>
          <rPr>
            <sz val="8"/>
            <color indexed="81"/>
            <rFont val="Tahoma"/>
            <family val="2"/>
          </rPr>
          <t xml:space="preserve">
12/17/15 outlook: expects this to be 4-5% of operating earnings</t>
        </r>
      </text>
    </comment>
    <comment ref="AE48" authorId="3">
      <text>
        <r>
          <rPr>
            <b/>
            <sz val="8"/>
            <color indexed="81"/>
            <rFont val="Tahoma"/>
            <family val="2"/>
          </rPr>
          <t>Zheng, Chaodan (Research):</t>
        </r>
        <r>
          <rPr>
            <sz val="8"/>
            <color indexed="81"/>
            <rFont val="Tahoma"/>
            <family val="2"/>
          </rPr>
          <t xml:space="preserve">
12/17/15 outlook: expects this to be 4-5% of operating earnings</t>
        </r>
      </text>
    </comment>
    <comment ref="X51" authorId="1">
      <text>
        <r>
          <rPr>
            <b/>
            <sz val="8"/>
            <color indexed="81"/>
            <rFont val="Tahoma"/>
            <family val="2"/>
          </rPr>
          <t>dianaz:</t>
        </r>
        <r>
          <rPr>
            <sz val="8"/>
            <color indexed="81"/>
            <rFont val="Tahoma"/>
            <family val="2"/>
          </rPr>
          <t xml:space="preserve">
Guidance as of 12/7/2012 - Investor day presentation</t>
        </r>
      </text>
    </comment>
    <comment ref="Y51" authorId="1">
      <text>
        <r>
          <rPr>
            <b/>
            <sz val="8"/>
            <color indexed="81"/>
            <rFont val="Tahoma"/>
            <family val="2"/>
          </rPr>
          <t>dianaz:</t>
        </r>
        <r>
          <rPr>
            <sz val="8"/>
            <color indexed="81"/>
            <rFont val="Tahoma"/>
            <family val="2"/>
          </rPr>
          <t xml:space="preserve">
JPMorgan Conference 3/21/2013: unchanged
Citi Conf 3/6/2013 guid: unchanged
Investor ppt 12/7/2012 guid: 24-25%</t>
        </r>
      </text>
    </comment>
    <comment ref="X52" authorId="1">
      <text>
        <r>
          <rPr>
            <b/>
            <sz val="8"/>
            <color indexed="81"/>
            <rFont val="Tahoma"/>
            <family val="2"/>
          </rPr>
          <t>dianaz:</t>
        </r>
        <r>
          <rPr>
            <sz val="8"/>
            <color indexed="81"/>
            <rFont val="Tahoma"/>
            <family val="2"/>
          </rPr>
          <t xml:space="preserve">
Guidance as of 12/7/2012 - Investor day presentation</t>
        </r>
      </text>
    </comment>
    <comment ref="Y52" authorId="1">
      <text>
        <r>
          <rPr>
            <b/>
            <sz val="8"/>
            <color indexed="81"/>
            <rFont val="Tahoma"/>
            <family val="2"/>
          </rPr>
          <t>dianaz:</t>
        </r>
        <r>
          <rPr>
            <sz val="8"/>
            <color indexed="81"/>
            <rFont val="Tahoma"/>
            <family val="2"/>
          </rPr>
          <t xml:space="preserve">
1Q13 call unchanged
JPMorgan Conference 3/21/2013: unchanged
Citi Conf 3/6/2013 guid: unchanged
Investor ppt on 12/7/2012 guid: 375-400%</t>
        </r>
      </text>
    </comment>
    <comment ref="Z52" authorId="2">
      <text>
        <r>
          <rPr>
            <b/>
            <sz val="9"/>
            <color indexed="81"/>
            <rFont val="Tahoma"/>
            <family val="2"/>
          </rPr>
          <t>Rojas, Isabel (Research):</t>
        </r>
        <r>
          <rPr>
            <sz val="9"/>
            <color indexed="81"/>
            <rFont val="Tahoma"/>
            <family val="2"/>
          </rPr>
          <t xml:space="preserve">
2015 outlook: unchanged</t>
        </r>
      </text>
    </comment>
    <comment ref="AA52" authorId="2">
      <text>
        <r>
          <rPr>
            <b/>
            <sz val="8"/>
            <color indexed="81"/>
            <rFont val="Tahoma"/>
            <family val="2"/>
          </rPr>
          <t>Gupta, Tanmay (Research):</t>
        </r>
        <r>
          <rPr>
            <sz val="8"/>
            <color indexed="81"/>
            <rFont val="Tahoma"/>
            <family val="2"/>
          </rPr>
          <t xml:space="preserve">
12/17/15 outlook: within or above the original outlook
2Q15 = 400%, outlook 375-400%
2015 outlook: 375-400%</t>
        </r>
      </text>
    </comment>
    <comment ref="AB52" authorId="3">
      <text>
        <r>
          <rPr>
            <b/>
            <sz val="8"/>
            <color indexed="81"/>
            <rFont val="Tahoma"/>
            <family val="2"/>
          </rPr>
          <t>Zheng, Chaodan (Research):</t>
        </r>
        <r>
          <rPr>
            <sz val="8"/>
            <color indexed="81"/>
            <rFont val="Tahoma"/>
            <family val="2"/>
          </rPr>
          <t xml:space="preserve">
12/17/15 outlook</t>
        </r>
      </text>
    </comment>
    <comment ref="AD52" authorId="7">
      <text>
        <r>
          <rPr>
            <b/>
            <sz val="9"/>
            <color indexed="81"/>
            <rFont val="Tahoma"/>
            <family val="2"/>
          </rPr>
          <t>Huang, Bob (Research):</t>
        </r>
        <r>
          <rPr>
            <sz val="9"/>
            <color indexed="81"/>
            <rFont val="Tahoma"/>
            <family val="2"/>
          </rPr>
          <t xml:space="preserve">
4Q17 call
375-400%</t>
        </r>
      </text>
    </comment>
    <comment ref="X53" authorId="1">
      <text>
        <r>
          <rPr>
            <b/>
            <sz val="8"/>
            <color indexed="81"/>
            <rFont val="Tahoma"/>
            <family val="2"/>
          </rPr>
          <t>dianaz:</t>
        </r>
        <r>
          <rPr>
            <sz val="8"/>
            <color indexed="81"/>
            <rFont val="Tahoma"/>
            <family val="2"/>
          </rPr>
          <t xml:space="preserve">
Guidance as of 12/7/2012 - Investor day presentation</t>
        </r>
      </text>
    </comment>
    <comment ref="Y53" authorId="1">
      <text>
        <r>
          <rPr>
            <b/>
            <sz val="8"/>
            <color indexed="81"/>
            <rFont val="Tahoma"/>
            <family val="2"/>
          </rPr>
          <t>dianaz:</t>
        </r>
        <r>
          <rPr>
            <sz val="8"/>
            <color indexed="81"/>
            <rFont val="Tahoma"/>
            <family val="2"/>
          </rPr>
          <t xml:space="preserve">
JPMorgan Conference 3/21/2013: unchanged
Citi Conf 3/6/2013 guid: unchanged
Investor ppt on 12/7/2012 guid: $500-800mn</t>
        </r>
      </text>
    </comment>
    <comment ref="Z53" authorId="2">
      <text>
        <r>
          <rPr>
            <b/>
            <sz val="9"/>
            <color indexed="81"/>
            <rFont val="Tahoma"/>
            <family val="2"/>
          </rPr>
          <t>Rojas, Isabel (Research):</t>
        </r>
        <r>
          <rPr>
            <sz val="9"/>
            <color indexed="81"/>
            <rFont val="Tahoma"/>
            <family val="2"/>
          </rPr>
          <t xml:space="preserve">
2015 outlook: unchanged</t>
        </r>
      </text>
    </comment>
    <comment ref="AA53" authorId="4">
      <text>
        <r>
          <rPr>
            <b/>
            <sz val="8"/>
            <color indexed="81"/>
            <rFont val="Tahoma"/>
            <family val="2"/>
          </rPr>
          <t>Gupta, Tanmay (Research):</t>
        </r>
        <r>
          <rPr>
            <sz val="8"/>
            <color indexed="81"/>
            <rFont val="Tahoma"/>
            <family val="2"/>
          </rPr>
          <t xml:space="preserve">
12/17/15 outlook: &gt;1x fixed charges
2Q15 = $481mn, 2015 outlook &gt; $500mn
2015 outlook: "&gt;$500mn"</t>
        </r>
      </text>
    </comment>
    <comment ref="AB53" authorId="3">
      <text>
        <r>
          <rPr>
            <b/>
            <sz val="8"/>
            <color indexed="81"/>
            <rFont val="Tahoma"/>
            <family val="2"/>
          </rPr>
          <t>Zheng, Chaodan (Research):</t>
        </r>
        <r>
          <rPr>
            <sz val="8"/>
            <color indexed="81"/>
            <rFont val="Tahoma"/>
            <family val="2"/>
          </rPr>
          <t xml:space="preserve">
12/17/15 outlook: &gt;1x fixed charges</t>
        </r>
      </text>
    </comment>
    <comment ref="Z56" authorId="2">
      <text>
        <r>
          <rPr>
            <b/>
            <sz val="9"/>
            <color indexed="81"/>
            <rFont val="Tahoma"/>
            <family val="2"/>
          </rPr>
          <t>Rojas, Isabel (Research):</t>
        </r>
        <r>
          <rPr>
            <sz val="9"/>
            <color indexed="81"/>
            <rFont val="Tahoma"/>
            <family val="2"/>
          </rPr>
          <t xml:space="preserve">
2015 outlook: ~$650</t>
        </r>
      </text>
    </comment>
    <comment ref="Z57" authorId="2">
      <text>
        <r>
          <rPr>
            <b/>
            <sz val="9"/>
            <color indexed="81"/>
            <rFont val="Tahoma"/>
            <family val="2"/>
          </rPr>
          <t>Rojas, Isabel (Research):</t>
        </r>
        <r>
          <rPr>
            <sz val="9"/>
            <color indexed="81"/>
            <rFont val="Tahoma"/>
            <family val="2"/>
          </rPr>
          <t xml:space="preserve">
2015 outlook: $0.6mn</t>
        </r>
      </text>
    </comment>
  </commentList>
</comments>
</file>

<file path=xl/sharedStrings.xml><?xml version="1.0" encoding="utf-8"?>
<sst xmlns="http://schemas.openxmlformats.org/spreadsheetml/2006/main" count="1764" uniqueCount="1007">
  <si>
    <t>2015e</t>
  </si>
  <si>
    <t>2016e</t>
  </si>
  <si>
    <t>Unum US</t>
  </si>
  <si>
    <t>Colonial Life</t>
  </si>
  <si>
    <t>Operating earnings</t>
  </si>
  <si>
    <t>Op EPS</t>
  </si>
  <si>
    <t>Premiums</t>
  </si>
  <si>
    <t>ROE</t>
  </si>
  <si>
    <t>1-3%</t>
  </si>
  <si>
    <t>3-5%</t>
  </si>
  <si>
    <t>0-2%</t>
  </si>
  <si>
    <t>(1)-1%</t>
  </si>
  <si>
    <t>15-20%</t>
  </si>
  <si>
    <t>12-14%</t>
  </si>
  <si>
    <t>15-17%</t>
  </si>
  <si>
    <t>2-4%</t>
  </si>
  <si>
    <t>0-6%</t>
  </si>
  <si>
    <t>11-12%</t>
  </si>
  <si>
    <t>Premium</t>
  </si>
  <si>
    <t>5-8%</t>
  </si>
  <si>
    <t>Leverage</t>
  </si>
  <si>
    <t>22-23%</t>
  </si>
  <si>
    <t>Risk-based Capital Ratio</t>
  </si>
  <si>
    <t>375-400%</t>
  </si>
  <si>
    <t>$500-800mn</t>
  </si>
  <si>
    <t>Capital Outlook</t>
  </si>
  <si>
    <t>$3.15-3.34</t>
  </si>
  <si>
    <t>Op. Earnings</t>
  </si>
  <si>
    <t>$500mn</t>
  </si>
  <si>
    <t>24-25%</t>
  </si>
  <si>
    <t>2012</t>
  </si>
  <si>
    <t>2014e</t>
  </si>
  <si>
    <t>4Q07</t>
  </si>
  <si>
    <t>Group Life and Accidental Death &amp; Dismemberment Segment Operating Earnings Forecast (1/1)</t>
  </si>
  <si>
    <t>Unum Limited Segment Operating Earnings Forecast (Page 1/1)</t>
  </si>
  <si>
    <t>BVPS_incl115</t>
  </si>
  <si>
    <t>LTD_to_LTCap_ex115</t>
  </si>
  <si>
    <t>BVPS_ex115</t>
  </si>
  <si>
    <t>Op_ROE</t>
  </si>
  <si>
    <t>Rep_ROE_ex115</t>
  </si>
  <si>
    <t>Rep_ROE_incl115</t>
  </si>
  <si>
    <t>EOP_Eq_incl115</t>
  </si>
  <si>
    <t>Def Policy Acquisition Costs</t>
  </si>
  <si>
    <t>LTD + Pref Eq to Common Eq (%)</t>
  </si>
  <si>
    <t>Other Expenses/Premiums (%)</t>
  </si>
  <si>
    <t>Commissions/Premiums (%)</t>
  </si>
  <si>
    <t>5-Yr</t>
  </si>
  <si>
    <t>Individual Disability</t>
  </si>
  <si>
    <t>Taxes</t>
  </si>
  <si>
    <t>Non-Operating Items, Net</t>
  </si>
  <si>
    <t>Portfolio Discount Rate Charge</t>
  </si>
  <si>
    <t>Restructuring (D&amp;H and Other)</t>
  </si>
  <si>
    <t>Claims Processing Charge</t>
  </si>
  <si>
    <t>Amount Repurchased</t>
  </si>
  <si>
    <t>Outstanding Shares (EOP)</t>
  </si>
  <si>
    <t>Pretax Earnings/Revenues (%)</t>
  </si>
  <si>
    <t xml:space="preserve"> Total Revenues</t>
  </si>
  <si>
    <t xml:space="preserve"> Total Benefits and Expenses</t>
  </si>
  <si>
    <t xml:space="preserve"> Total Expenses</t>
  </si>
  <si>
    <t>Discontinued Operations</t>
  </si>
  <si>
    <t>This sheet contains Factset binary data for use with this workbook's =FDS codes.  Modifying the worksheet's contents may damage the workbook's =FDS functionality.</t>
  </si>
  <si>
    <t>PctContrib_Colonial</t>
  </si>
  <si>
    <t>NetEarns</t>
  </si>
  <si>
    <t>TotalNonOpItems</t>
  </si>
  <si>
    <t>RealGainLoss</t>
  </si>
  <si>
    <t>Profitability</t>
  </si>
  <si>
    <t>Total_Cap_ex115</t>
  </si>
  <si>
    <t>Total Capital</t>
  </si>
  <si>
    <t>Total_Cap_incl115</t>
  </si>
  <si>
    <t>PTEarns_Colonial_InvInc</t>
  </si>
  <si>
    <t>Average Diluted Shares Outstanding</t>
  </si>
  <si>
    <t>mstag:unrealizedGainsLossesOnAvailableForSaleSecuritiesGrossOfTaxForFinancialServices</t>
  </si>
  <si>
    <t>Unrecorded goodwill from pooling</t>
  </si>
  <si>
    <t>ND</t>
  </si>
  <si>
    <t>Core Pretax Other Earnings</t>
  </si>
  <si>
    <t>Core Pretax Non Med Earnings</t>
  </si>
  <si>
    <t>Group Benefits Ratio</t>
  </si>
  <si>
    <t>Core Pretax International Earnings</t>
  </si>
  <si>
    <t>Core After Tax Earnings</t>
  </si>
  <si>
    <t>PTEarns_GroupInc_InvInc</t>
  </si>
  <si>
    <t>PTEarns_Indiv_InvInc</t>
  </si>
  <si>
    <t>Group Life and AD&amp;D</t>
  </si>
  <si>
    <t>1Q11</t>
  </si>
  <si>
    <t>2Q11</t>
  </si>
  <si>
    <t>3Q11</t>
  </si>
  <si>
    <t>4Q11</t>
  </si>
  <si>
    <t>F2015</t>
  </si>
  <si>
    <t>F2008</t>
  </si>
  <si>
    <t>4Q04</t>
  </si>
  <si>
    <t>DPAC = Deferred Policy Acquisition Costs           Comm = Commissions        Exp = Expenses</t>
  </si>
  <si>
    <t>Equity to Assets (Excl SAA)(%)</t>
  </si>
  <si>
    <t>DPAC = Deferred Policy Acquisition Costs</t>
  </si>
  <si>
    <t>Benefits/Premiums (%)</t>
  </si>
  <si>
    <t>Total Premiums</t>
  </si>
  <si>
    <t>1998</t>
  </si>
  <si>
    <t>1999</t>
  </si>
  <si>
    <t>2000</t>
  </si>
  <si>
    <t xml:space="preserve">  Individual Income Protection - Recently Issued</t>
  </si>
  <si>
    <t>Total</t>
  </si>
  <si>
    <t>1. US Brokerage Segment</t>
  </si>
  <si>
    <t xml:space="preserve">  Group Life</t>
  </si>
  <si>
    <t xml:space="preserve">  Accidental Death &amp; Dismemberment</t>
  </si>
  <si>
    <t>US Brokerage Total</t>
  </si>
  <si>
    <t>2. Unum Limited</t>
  </si>
  <si>
    <t>US Brokerage</t>
  </si>
  <si>
    <t xml:space="preserve">  Group Income Protection</t>
  </si>
  <si>
    <t xml:space="preserve">  Group Life and AD&amp;D</t>
  </si>
  <si>
    <t xml:space="preserve">  Supplemental and Voluntary</t>
  </si>
  <si>
    <t>Unum Limited</t>
  </si>
  <si>
    <t>US Brokerage (%)</t>
  </si>
  <si>
    <t xml:space="preserve">  Group Income Protection (%)</t>
  </si>
  <si>
    <t>Realized Gains % Invested Assets</t>
  </si>
  <si>
    <t>Closed Block (%)</t>
  </si>
  <si>
    <t>CAGR</t>
  </si>
  <si>
    <t xml:space="preserve">Commissions </t>
  </si>
  <si>
    <t>Other Expenses</t>
  </si>
  <si>
    <t>3Q02</t>
  </si>
  <si>
    <t>4Q02</t>
  </si>
  <si>
    <t>2002</t>
  </si>
  <si>
    <t>Rev</t>
  </si>
  <si>
    <t xml:space="preserve">  Dilutive Impact of Equity Units and Options</t>
  </si>
  <si>
    <t>Investments (Total of segments)</t>
  </si>
  <si>
    <t>Separate Account</t>
  </si>
  <si>
    <t xml:space="preserve">Total Assets </t>
  </si>
  <si>
    <t>FAS 115</t>
  </si>
  <si>
    <t>Assets (Excl FAS 115)</t>
  </si>
  <si>
    <t>Assets (Ex-FAS115, Ex-SAA)</t>
  </si>
  <si>
    <t>Assets (Incl-FAS115, Ex-SAA)</t>
  </si>
  <si>
    <t>Tax Gain</t>
  </si>
  <si>
    <t>Quarterly income statement ratios are annualized where appropriate     E = Morgan Stanley Research Estimates      NM = Not Meaningful       NA = Not Applicable              CAGR = Cumulative Average Growth Rate</t>
  </si>
  <si>
    <t>1Q03</t>
  </si>
  <si>
    <t>Benefits &amp; Change in Reserves for Future Benefits</t>
  </si>
  <si>
    <t>Operating Expenses</t>
  </si>
  <si>
    <t>3. Colonial</t>
  </si>
  <si>
    <t>Colonial</t>
  </si>
  <si>
    <t>Description</t>
  </si>
  <si>
    <t>Equity EOP Excluding FAS 115</t>
  </si>
  <si>
    <t>Op. Pre-tax Income</t>
  </si>
  <si>
    <t>Op. After-tax Income</t>
  </si>
  <si>
    <t>Op. EPS</t>
  </si>
  <si>
    <t>Core EPS</t>
  </si>
  <si>
    <t xml:space="preserve">Dividend &amp; Stock Repurchases </t>
  </si>
  <si>
    <t>Payout Ratios</t>
  </si>
  <si>
    <t xml:space="preserve">  % of Operating Earnings</t>
  </si>
  <si>
    <t xml:space="preserve">  % of Net Income</t>
  </si>
  <si>
    <t>2009</t>
  </si>
  <si>
    <t>UNM.N,mscalc:sedolCodeCalc</t>
  </si>
  <si>
    <t>2433842</t>
  </si>
  <si>
    <t>UNM.N,mscalc:closePriceCurrencyCalc</t>
  </si>
  <si>
    <t>UNM.N,mscalc:targetPrice,,,,USD</t>
  </si>
  <si>
    <t>Dividend Payout Ratio (%)</t>
  </si>
  <si>
    <t>Dividend Amount</t>
  </si>
  <si>
    <t>Buybacks/Issuance</t>
  </si>
  <si>
    <t>Shares Issued</t>
  </si>
  <si>
    <t>Average Price</t>
  </si>
  <si>
    <t>Amount Raised</t>
  </si>
  <si>
    <t>Shares Repurchased</t>
  </si>
  <si>
    <t>Core Pretax Group Earnings</t>
  </si>
  <si>
    <t>Unum UK</t>
  </si>
  <si>
    <t>PTEarns_Indiv_Closed</t>
  </si>
  <si>
    <t>Oper Return on Avg Assets (%)</t>
  </si>
  <si>
    <t>Book Value per Share</t>
  </si>
  <si>
    <t>Capital Structure Incl FAS 115</t>
  </si>
  <si>
    <t>PctContrib_Intl</t>
  </si>
  <si>
    <t>2003</t>
  </si>
  <si>
    <t>Reported ROE (Incl FAS 115)(%)</t>
  </si>
  <si>
    <t>Capital Structure Excl FAS 115</t>
  </si>
  <si>
    <t>LT Debt to LT Capital (%)</t>
  </si>
  <si>
    <t>LTD + Pref Equity to LT Capital (%)</t>
  </si>
  <si>
    <t>4Q00</t>
  </si>
  <si>
    <t>2Q03</t>
  </si>
  <si>
    <t>3Q03</t>
  </si>
  <si>
    <t>4Q03</t>
  </si>
  <si>
    <t>F1998</t>
  </si>
  <si>
    <t>F1999</t>
  </si>
  <si>
    <t>F2000</t>
  </si>
  <si>
    <t>F2001</t>
  </si>
  <si>
    <t>F2002</t>
  </si>
  <si>
    <t>F2003</t>
  </si>
  <si>
    <t>F2004</t>
  </si>
  <si>
    <t>F2005</t>
  </si>
  <si>
    <t>F2006</t>
  </si>
  <si>
    <t>Interest Expense on ACES, Series 2006</t>
  </si>
  <si>
    <t>UK Debt Outstanding</t>
  </si>
  <si>
    <t>Cost of Debt</t>
  </si>
  <si>
    <t>Interest Expense on ACES, Series 2007</t>
  </si>
  <si>
    <t>ACES 2006 Series</t>
  </si>
  <si>
    <t>Coupon</t>
  </si>
  <si>
    <t>ACES 2007 Series</t>
  </si>
  <si>
    <t>Investment Income</t>
  </si>
  <si>
    <t>Cash from UK Issue</t>
  </si>
  <si>
    <t>Cash from ACES 2006 Conversion</t>
  </si>
  <si>
    <t>mstag:periodEndDilutedSharesOutstanding</t>
  </si>
  <si>
    <t>Interest Expense</t>
  </si>
  <si>
    <t>Corporate &amp; Other</t>
  </si>
  <si>
    <t>Corporate &amp; Other (%)</t>
  </si>
  <si>
    <t>Total Benefits Expense</t>
  </si>
  <si>
    <t>Dividends</t>
  </si>
  <si>
    <t>Dividends Per Share</t>
  </si>
  <si>
    <t>NA</t>
  </si>
  <si>
    <t>Early Retire &amp; Sev Chgs/Costs</t>
  </si>
  <si>
    <t>1Q08</t>
  </si>
  <si>
    <t>TaxRate</t>
  </si>
  <si>
    <t>OpEarns_AT</t>
  </si>
  <si>
    <t>PTEarns_GroupInc</t>
  </si>
  <si>
    <t>Gains (Losses)/Share</t>
  </si>
  <si>
    <t xml:space="preserve">Reported EPS </t>
  </si>
  <si>
    <t>Closed Block</t>
  </si>
  <si>
    <t>Core Operating EPS</t>
  </si>
  <si>
    <t>Core_Group_PTEarns</t>
  </si>
  <si>
    <t>Core_NonMed_PTEarns</t>
  </si>
  <si>
    <t>Total Group Inc Protection Sales</t>
  </si>
  <si>
    <t xml:space="preserve"> </t>
  </si>
  <si>
    <t>Individual Income Protection - Closed Block (%)</t>
  </si>
  <si>
    <t>Individual Income -- Closed Block Segment Operating Earnings Forecast (Page 1/1)</t>
  </si>
  <si>
    <t>LTDebt</t>
  </si>
  <si>
    <t>PfdStk</t>
  </si>
  <si>
    <t>Investments</t>
  </si>
  <si>
    <t>SeptAcct</t>
  </si>
  <si>
    <t>7-10%</t>
  </si>
  <si>
    <t>4-7%</t>
  </si>
  <si>
    <t>16-18%</t>
  </si>
  <si>
    <t>6-9%</t>
  </si>
  <si>
    <t>300-600</t>
  </si>
  <si>
    <t>5-10%</t>
  </si>
  <si>
    <t>500+</t>
  </si>
  <si>
    <t>DAC</t>
  </si>
  <si>
    <t>FAS115_Adjmt</t>
  </si>
  <si>
    <t>Op_EPS</t>
  </si>
  <si>
    <t>Net_EPS</t>
  </si>
  <si>
    <t>ShrsRepurch</t>
  </si>
  <si>
    <t>AmtRepurch</t>
  </si>
  <si>
    <t xml:space="preserve"> 1Q08</t>
  </si>
  <si>
    <t>2Q08</t>
  </si>
  <si>
    <t>3Q08</t>
  </si>
  <si>
    <t>4Q08</t>
  </si>
  <si>
    <t>Core Pretax Earnings/Revenues (%)</t>
  </si>
  <si>
    <t>Group Short Term Income Protection</t>
  </si>
  <si>
    <t>6. Corporate</t>
  </si>
  <si>
    <t>Core_Other_PTEarns</t>
  </si>
  <si>
    <t>Core_ATEarns</t>
  </si>
  <si>
    <t>Core_OpEPS</t>
  </si>
  <si>
    <t>Group_BenefitRatio</t>
  </si>
  <si>
    <t>Tangible Book Value per Share</t>
  </si>
  <si>
    <t>Benefits/Premiums</t>
  </si>
  <si>
    <t>UNUM LIMITED</t>
  </si>
  <si>
    <t>Share Repurchases</t>
  </si>
  <si>
    <t>Bull Variance ($M)</t>
  </si>
  <si>
    <t>Bear Variance ($M)</t>
  </si>
  <si>
    <t>Debt, Preferred Equity, and Liabilities</t>
  </si>
  <si>
    <t>Short-Term Debt</t>
  </si>
  <si>
    <t>Debt</t>
  </si>
  <si>
    <t>Preferred Equity</t>
  </si>
  <si>
    <t>4Q01</t>
  </si>
  <si>
    <t>2001</t>
  </si>
  <si>
    <t>1Q02</t>
  </si>
  <si>
    <t>Abnormal Items</t>
  </si>
  <si>
    <t>Equity to Total Assets (%)</t>
  </si>
  <si>
    <t>Below Investment Grade / Fixed Income (%)</t>
  </si>
  <si>
    <t>Below Investment Grade ($)</t>
  </si>
  <si>
    <t>Earnings Contribution to Firm (%)</t>
  </si>
  <si>
    <t>Colonial Sales</t>
  </si>
  <si>
    <t>Sales_GroupDis</t>
  </si>
  <si>
    <t>AmtIssued</t>
  </si>
  <si>
    <t>DivPS</t>
  </si>
  <si>
    <t>DivPayout</t>
  </si>
  <si>
    <t>Total (%)</t>
  </si>
  <si>
    <t>Total Revenues</t>
  </si>
  <si>
    <t>2004</t>
  </si>
  <si>
    <t>Premium Income</t>
  </si>
  <si>
    <t>BIG_ShrEqPct</t>
  </si>
  <si>
    <t>Below Investment Grade / Shareholders' Equity (%)</t>
  </si>
  <si>
    <t>F2007</t>
  </si>
  <si>
    <t>Bull Variance (%)</t>
  </si>
  <si>
    <t>Bear Variance (%)</t>
  </si>
  <si>
    <t>Current Period Premium</t>
  </si>
  <si>
    <t>Reserve Charge</t>
  </si>
  <si>
    <t>Refi Investment Income</t>
  </si>
  <si>
    <t>F2010</t>
  </si>
  <si>
    <t>Core operating EPS</t>
  </si>
  <si>
    <t>Dismem = Dismemberment          DPAC = Deferred Policy Acquisition Costs         Comm = Commission         Exp = Expenses       LT = Long Term</t>
  </si>
  <si>
    <t>Amortization of Value of Business Acquired (VOBA)</t>
  </si>
  <si>
    <t>NM</t>
  </si>
  <si>
    <t>REVENUES</t>
  </si>
  <si>
    <t>Tax Rate (%)</t>
  </si>
  <si>
    <t>Revenues</t>
  </si>
  <si>
    <t>Pretax Earnings Contribution (%)</t>
  </si>
  <si>
    <t>Consolidated Operating Earnings Forecast (Page 1/2)</t>
  </si>
  <si>
    <t>Special Items</t>
  </si>
  <si>
    <t>Reported Net Income</t>
  </si>
  <si>
    <t>Special Items per Share</t>
  </si>
  <si>
    <t>Consolidated Operating Earnings Forecast (Page 2/2)</t>
  </si>
  <si>
    <t>Shares Outstanding</t>
  </si>
  <si>
    <t xml:space="preserve">   Interest expense &amp; Other Expenses </t>
  </si>
  <si>
    <t>Total Expenses</t>
  </si>
  <si>
    <t>PTEarns_GroupLife</t>
  </si>
  <si>
    <t>PTEarns_Indiv</t>
  </si>
  <si>
    <t>Corporate Segment Operating Earnings Forecast (Page 1/1)</t>
  </si>
  <si>
    <t>Goodwill</t>
  </si>
  <si>
    <t>Cash from ACES 2007 Conversion</t>
  </si>
  <si>
    <t xml:space="preserve">Total Cash </t>
  </si>
  <si>
    <t>Yield</t>
  </si>
  <si>
    <t>2011 Debt</t>
  </si>
  <si>
    <t>Interest Expense on 2011 Debt</t>
  </si>
  <si>
    <t>Refi Net Investment Income</t>
  </si>
  <si>
    <t>Sales_GroupLife</t>
  </si>
  <si>
    <t xml:space="preserve">Operating Earnings Before Taxes </t>
  </si>
  <si>
    <t>COLONIAL</t>
  </si>
  <si>
    <t>Assets By Type</t>
  </si>
  <si>
    <t>Unum Limited (%)</t>
  </si>
  <si>
    <t>Benefit Expenses</t>
  </si>
  <si>
    <t>Net Change in DPAC</t>
  </si>
  <si>
    <t>Benefit Expense</t>
  </si>
  <si>
    <t>Supplemental and Voluntary Segment Operating Earnings Forecast (Page 1/1)</t>
  </si>
  <si>
    <t>(4)-(6)%</t>
  </si>
  <si>
    <t>Average Shares (Basic)</t>
  </si>
  <si>
    <t>Average Shares  (Diluted)</t>
  </si>
  <si>
    <t>Retained earnings</t>
  </si>
  <si>
    <t>Total share capital</t>
  </si>
  <si>
    <t>Treasury stock</t>
  </si>
  <si>
    <t>2Q02</t>
  </si>
  <si>
    <t>When in Qtr (0%-beg; 100%-end)</t>
  </si>
  <si>
    <t>ROE (%)</t>
  </si>
  <si>
    <t>CoreOpEarns_PT</t>
  </si>
  <si>
    <t>BIG_FixPct</t>
  </si>
  <si>
    <t>Implied Annualized Lapse Rate (%)</t>
  </si>
  <si>
    <t>Avg Persistency Over 4 Qtrs (Implied)</t>
  </si>
  <si>
    <t>2Q01</t>
  </si>
  <si>
    <t>Total Group Inc Protection Sales - Scenario Analysis</t>
  </si>
  <si>
    <t>Amount Repurchased - Scenario Analysis</t>
  </si>
  <si>
    <t>SUPPLEMENTAL AND VOLUNTARY</t>
  </si>
  <si>
    <t>GROUP LIFE AND ACCIDENT</t>
  </si>
  <si>
    <t>Benefit Ratio</t>
  </si>
  <si>
    <t>F2011</t>
  </si>
  <si>
    <t xml:space="preserve">  Group Life and AD&amp;D (%)</t>
  </si>
  <si>
    <t>Core Operating Earnings After Tax</t>
  </si>
  <si>
    <t>UNM.N</t>
  </si>
  <si>
    <t>EOP_Eq_ex115</t>
  </si>
  <si>
    <t>Avg_Eq_incl115</t>
  </si>
  <si>
    <t>Avg_Eq_ex115</t>
  </si>
  <si>
    <t>STDebt</t>
  </si>
  <si>
    <t>Bull</t>
  </si>
  <si>
    <t>Bear</t>
  </si>
  <si>
    <t>Base</t>
  </si>
  <si>
    <t>Core Pretax Earnings by Segment</t>
  </si>
  <si>
    <t>Abnormal Earnings</t>
  </si>
  <si>
    <t>Reported Pretax Earnings</t>
  </si>
  <si>
    <t>Operating Earnings After-Tax</t>
  </si>
  <si>
    <t xml:space="preserve">  Supplemental and Voluntary (%)</t>
  </si>
  <si>
    <t>Cumulative Effect of Chg in Acctg</t>
  </si>
  <si>
    <t>PctContrib_Indiv_Closed</t>
  </si>
  <si>
    <t>(%)</t>
  </si>
  <si>
    <t>Current Stock Price</t>
  </si>
  <si>
    <t>ROE = Return on Equity      Excl = Excluding      Incl = Including      LT = Long Term     LTD = Long Term Debt      Pref Equity = Preferred Equity      Avg = Average</t>
  </si>
  <si>
    <t>ShrsIssued</t>
  </si>
  <si>
    <t>CAGR (%)</t>
  </si>
  <si>
    <t>Policyholder Liabilities &amp; Other</t>
  </si>
  <si>
    <t>Non-SAC Policy Liab &amp; Other</t>
  </si>
  <si>
    <t>Equity</t>
  </si>
  <si>
    <t xml:space="preserve">  LTD Fully Insured</t>
  </si>
  <si>
    <t xml:space="preserve">  LTD ASO Premium Equivalent</t>
  </si>
  <si>
    <t xml:space="preserve">  STD ASO Premium Equivalent</t>
  </si>
  <si>
    <t xml:space="preserve">  Group Long Term Care</t>
  </si>
  <si>
    <t xml:space="preserve">  Individual Long Term Care</t>
  </si>
  <si>
    <t xml:space="preserve">  STD Fully Insured</t>
  </si>
  <si>
    <t>Colonial (%)</t>
  </si>
  <si>
    <t>1.1 Group Income Protection</t>
  </si>
  <si>
    <t>New Sales</t>
  </si>
  <si>
    <t>For SOI</t>
  </si>
  <si>
    <t>,mscalc:sedolCodeCalc</t>
  </si>
  <si>
    <t>,mscalc:closePriceCurrencyCalc</t>
  </si>
  <si>
    <t>,mscalc:targetPrice,,,,USD</t>
  </si>
  <si>
    <t>UNM.N,mscalc:targetPrice</t>
  </si>
  <si>
    <t>PTEarns_Colonial</t>
  </si>
  <si>
    <t>PTEarns_Intl</t>
  </si>
  <si>
    <t>PTEarns_CO</t>
  </si>
  <si>
    <t>PTEarns_Other</t>
  </si>
  <si>
    <t>PctContrib_Supp</t>
  </si>
  <si>
    <t>PctContrib_Other</t>
  </si>
  <si>
    <t>1Q05</t>
  </si>
  <si>
    <t>2Q05</t>
  </si>
  <si>
    <t>3Q05</t>
  </si>
  <si>
    <t>4Q05</t>
  </si>
  <si>
    <t>F2009</t>
  </si>
  <si>
    <t>Count</t>
  </si>
  <si>
    <t>5. Other</t>
  </si>
  <si>
    <t>Total Sales</t>
  </si>
  <si>
    <t>Group Income Protection Segment Operating Earnings Forecast (Page 1/1)</t>
  </si>
  <si>
    <t>Merger-Related Charge</t>
  </si>
  <si>
    <t>Sales Data</t>
  </si>
  <si>
    <t>Group Long Term Income Protection</t>
  </si>
  <si>
    <t>Buybacks ($mn)</t>
  </si>
  <si>
    <t>Cash and Marketable Securities ($mn)</t>
  </si>
  <si>
    <t>11-12</t>
  </si>
  <si>
    <t>500-800</t>
  </si>
  <si>
    <t>(17)-(20)%</t>
  </si>
  <si>
    <t>(15)-(20)%</t>
  </si>
  <si>
    <t>(2)-(5)%</t>
  </si>
  <si>
    <t>DPAC = Deferred Policy Acquisition Costs                Exp = Expenses          Cap = Capitalized       Comm = Commission</t>
  </si>
  <si>
    <t>1Q12</t>
  </si>
  <si>
    <t>2Q12</t>
  </si>
  <si>
    <t>3Q12</t>
  </si>
  <si>
    <t>4Q12</t>
  </si>
  <si>
    <t>F2016</t>
  </si>
  <si>
    <t>Amortization of Goodwill</t>
  </si>
  <si>
    <t>Other</t>
  </si>
  <si>
    <t>Net Investment Income</t>
  </si>
  <si>
    <t>Other Income</t>
  </si>
  <si>
    <t>2013</t>
  </si>
  <si>
    <t>Interest Expense on Debt, Excluding ACES</t>
  </si>
  <si>
    <t>Unum Group</t>
  </si>
  <si>
    <t>EPS</t>
  </si>
  <si>
    <t>EARNINGS PER SHARE</t>
  </si>
  <si>
    <t>Operating EPS</t>
  </si>
  <si>
    <t>invinc</t>
  </si>
  <si>
    <t>USD</t>
  </si>
  <si>
    <t>Interest Income Impact from Securitization</t>
  </si>
  <si>
    <t>1Q10</t>
  </si>
  <si>
    <t>2Q10</t>
  </si>
  <si>
    <t>3Q10</t>
  </si>
  <si>
    <t>4Q10</t>
  </si>
  <si>
    <t>1Q04</t>
  </si>
  <si>
    <t>2Q04</t>
  </si>
  <si>
    <t>3Q04</t>
  </si>
  <si>
    <t>DivAmt</t>
  </si>
  <si>
    <t>PctContrib_GroupLife</t>
  </si>
  <si>
    <t>PctContrib_GroupInc</t>
  </si>
  <si>
    <t>Corporate &amp; Other Segment Operating Earnings Forecast (Page 1/1)</t>
  </si>
  <si>
    <t>LTC (Adjusted)</t>
  </si>
  <si>
    <t>Reserve Charges</t>
  </si>
  <si>
    <t>2011</t>
  </si>
  <si>
    <t>Group Life</t>
  </si>
  <si>
    <t>Average Equity Excl FAS 115</t>
  </si>
  <si>
    <t>Core_Intl_PTEarns</t>
  </si>
  <si>
    <t>Equity EOP Including FAS 115</t>
  </si>
  <si>
    <t>FAS 115 Adjustment</t>
  </si>
  <si>
    <t>3Q09</t>
  </si>
  <si>
    <t>4Q09</t>
  </si>
  <si>
    <t>Expense Analysis</t>
  </si>
  <si>
    <t>1Q07</t>
  </si>
  <si>
    <t>2Q07</t>
  </si>
  <si>
    <t>3Q07</t>
  </si>
  <si>
    <t>Operating ROE (Excl FAS 115)(%)</t>
  </si>
  <si>
    <t>Reported ROE (Excl FAS 115)(%)</t>
  </si>
  <si>
    <t>TSA Gain &amp; Other Special Chgs</t>
  </si>
  <si>
    <t>Pretax Earnings by Segment</t>
  </si>
  <si>
    <t>Realized Gains % Operating Income</t>
  </si>
  <si>
    <t>BIG</t>
  </si>
  <si>
    <t>Scenario Analysis Assumptions - Variation from Base Case</t>
  </si>
  <si>
    <t>Benefits/Premiums (%)- Scenario Analysis</t>
  </si>
  <si>
    <t>Profitability Analysis</t>
  </si>
  <si>
    <t>EXPENSES</t>
  </si>
  <si>
    <t>Benefits</t>
  </si>
  <si>
    <t>Pretax Earnings</t>
  </si>
  <si>
    <t>Expenses</t>
  </si>
  <si>
    <t>1.2 Group Life and Accidental Death &amp; Dismemberment</t>
  </si>
  <si>
    <t>1.3 Supplemental and Voluntary</t>
  </si>
  <si>
    <t xml:space="preserve">  Voluntary Workspace Benefits</t>
  </si>
  <si>
    <t xml:space="preserve">Total </t>
  </si>
  <si>
    <t>Total Debt and Preferred Equity</t>
  </si>
  <si>
    <t>1Q06</t>
  </si>
  <si>
    <t>2Q06</t>
  </si>
  <si>
    <t>3Q06</t>
  </si>
  <si>
    <t>4Q06</t>
  </si>
  <si>
    <t>% Chg</t>
  </si>
  <si>
    <t>($Millions Except Per Share Data)</t>
  </si>
  <si>
    <t>Group Disability Res Charge</t>
  </si>
  <si>
    <t>Annualized Premium, BOP</t>
  </si>
  <si>
    <t>Annualized Premium, EOP</t>
  </si>
  <si>
    <t>GROUP INCOME PROTECTION</t>
  </si>
  <si>
    <t>Base Case</t>
  </si>
  <si>
    <t>Core After-Tax Intl</t>
  </si>
  <si>
    <t>Oper = Operating        SAA = Separate Account Assets        EOP = End of Period</t>
  </si>
  <si>
    <t>DPAC = Deferred Policy Acquisition Costs        Comm = Commissions        Exp = Expenses</t>
  </si>
  <si>
    <t>Core Pretax Earnings</t>
  </si>
  <si>
    <t>2010</t>
  </si>
  <si>
    <t>Quarter Persistency, Implied (%)</t>
  </si>
  <si>
    <t>YTD Persistency, Given (%)</t>
  </si>
  <si>
    <t>Other/Premiums (%)</t>
  </si>
  <si>
    <t>New Sales (on a quarterly basis)</t>
  </si>
  <si>
    <t>Implied Lapses</t>
  </si>
  <si>
    <t>Other Segment Operating Earnings Forecast (Page 1/1)</t>
  </si>
  <si>
    <t>1Q01</t>
  </si>
  <si>
    <t>Abnormals per share</t>
  </si>
  <si>
    <t>3Q01</t>
  </si>
  <si>
    <t>Sales</t>
  </si>
  <si>
    <t>2005</t>
  </si>
  <si>
    <t>F2012</t>
  </si>
  <si>
    <t>F2013</t>
  </si>
  <si>
    <t>Change in Premium Received</t>
  </si>
  <si>
    <t>LTD = Long Term Debt      STD = Short Term Debt      Annu = Annuities    Grp Pen = Group Pension     Rein = Reinsurance        COLI = Corporate Owned Life Insurance</t>
  </si>
  <si>
    <t>Mgd = Managed</t>
  </si>
  <si>
    <t xml:space="preserve">  Group Life AD&amp;D</t>
  </si>
  <si>
    <t>EOPShrsOut</t>
  </si>
  <si>
    <t>AvgShrsOut</t>
  </si>
  <si>
    <t>5_Yr</t>
  </si>
  <si>
    <t>Period</t>
  </si>
  <si>
    <t>LTD_to_LTCap_incl115</t>
  </si>
  <si>
    <t>Benefits, claims, and settlement expenses</t>
  </si>
  <si>
    <t>Commissions</t>
  </si>
  <si>
    <t>Depreciation and Amortization</t>
  </si>
  <si>
    <t>Operating Expenses &amp; VOBA</t>
  </si>
  <si>
    <t>Other Expenses/Revenues (%)</t>
  </si>
  <si>
    <t>Realized Gains and Other</t>
  </si>
  <si>
    <t>Long-Term Debt</t>
  </si>
  <si>
    <t>Statutory Tax Rate</t>
  </si>
  <si>
    <t>Average Equity Incl FAS 115</t>
  </si>
  <si>
    <t>Currency</t>
  </si>
  <si>
    <t>1Q09</t>
  </si>
  <si>
    <t>2Q09</t>
  </si>
  <si>
    <t>Net issuances - FOR MODELWARE PURPOSES</t>
  </si>
  <si>
    <t>FOR MODELWARE PURPOSES &amp; OTHERS</t>
  </si>
  <si>
    <t>5. Corporate and Other</t>
  </si>
  <si>
    <t>6. Consolidated</t>
  </si>
  <si>
    <t>7. Pretax Earnings by Segment</t>
  </si>
  <si>
    <t>8. EPS/DPS CALCULATION</t>
  </si>
  <si>
    <t>9. CAPITAL &amp; OTHER</t>
  </si>
  <si>
    <t>CHECK</t>
  </si>
  <si>
    <t>Colonial Earnings Segment Operating Earnings Forecast (Page 1/1)</t>
  </si>
  <si>
    <t>LTC Benefit Ratio</t>
  </si>
  <si>
    <t>85-90%</t>
  </si>
  <si>
    <t>1Q14</t>
  </si>
  <si>
    <t>2Q14</t>
  </si>
  <si>
    <t>3Q14</t>
  </si>
  <si>
    <t>4Q14</t>
  </si>
  <si>
    <t>F2018</t>
  </si>
  <si>
    <t>2018E</t>
  </si>
  <si>
    <t>Operating ROE (excl-Closed Block)</t>
  </si>
  <si>
    <t>EPS - For Consensus</t>
  </si>
  <si>
    <t>Net Income - For Modelware</t>
  </si>
  <si>
    <t>Modelware Adjustment</t>
  </si>
  <si>
    <t>Mgmt targets</t>
  </si>
  <si>
    <t>4. Closed Block (Individual Disability and LTC)</t>
  </si>
  <si>
    <t>Colonial Segment Operating Earnings Forecast (Page 1/1)</t>
  </si>
  <si>
    <t>1Q13</t>
  </si>
  <si>
    <t>2Q13</t>
  </si>
  <si>
    <t>3Q13</t>
  </si>
  <si>
    <t>4Q13</t>
  </si>
  <si>
    <t>F2017</t>
  </si>
  <si>
    <t>Pretax Core Contribution by Segment (%)</t>
  </si>
  <si>
    <t>Core Pre-tax Earnings</t>
  </si>
  <si>
    <t>Links to this same tab</t>
  </si>
  <si>
    <t>Y/Y growth</t>
  </si>
  <si>
    <t>3-6%</t>
  </si>
  <si>
    <t>Core Operating ROE (Excl 115) (%)</t>
  </si>
  <si>
    <t>MSe</t>
  </si>
  <si>
    <t>2013e</t>
  </si>
  <si>
    <t>85-95</t>
  </si>
  <si>
    <t>1Q15</t>
  </si>
  <si>
    <t>2Q15</t>
  </si>
  <si>
    <t>3Q15</t>
  </si>
  <si>
    <t>4Q15</t>
  </si>
  <si>
    <t>F2019</t>
  </si>
  <si>
    <t>2019E</t>
  </si>
  <si>
    <t>4-6%</t>
  </si>
  <si>
    <t>7-9%</t>
  </si>
  <si>
    <t>10-12%</t>
  </si>
  <si>
    <t>5-7%</t>
  </si>
  <si>
    <t>6-8%</t>
  </si>
  <si>
    <t>(10)-(12)%</t>
  </si>
  <si>
    <t>2-3%</t>
  </si>
  <si>
    <t>2-5%</t>
  </si>
  <si>
    <t>8-11%</t>
  </si>
  <si>
    <t>11-13%</t>
  </si>
  <si>
    <t>400-600</t>
  </si>
  <si>
    <t>Core Earnings After-tax</t>
  </si>
  <si>
    <t>Normalized</t>
  </si>
  <si>
    <t>5-9%</t>
  </si>
  <si>
    <t>Statutory Net Income</t>
  </si>
  <si>
    <t>AT Op Income</t>
  </si>
  <si>
    <t>Net Realized Investment Gains (Losses)</t>
  </si>
  <si>
    <t>~$650mn</t>
  </si>
  <si>
    <t>$0.6mn</t>
  </si>
  <si>
    <t>2014</t>
  </si>
  <si>
    <t>F2014</t>
  </si>
  <si>
    <t>Other Operating Adjustments</t>
  </si>
  <si>
    <t>&gt;&gt; restated with revised 4Q14 supplement</t>
  </si>
  <si>
    <t>Avg GBP/USD</t>
  </si>
  <si>
    <t>*11% decline in 1Q, FX impacting Y/Y comparison</t>
  </si>
  <si>
    <t>*8% decline in 1Q, FX driven</t>
  </si>
  <si>
    <t>Core earnings</t>
  </si>
  <si>
    <t>1Q16</t>
  </si>
  <si>
    <t>2Q16</t>
  </si>
  <si>
    <t>3Q16</t>
  </si>
  <si>
    <t>4Q16</t>
  </si>
  <si>
    <t>F2020</t>
  </si>
  <si>
    <t>2020E</t>
  </si>
  <si>
    <t>UNM.N,mscalc:dilutedEarningsPerShare,2015Q2,,FYR</t>
  </si>
  <si>
    <t>0.898865483270921</t>
  </si>
  <si>
    <t>UNM.N,mscalc:dilutedEarningsPerShare,2015FY,,FYR</t>
  </si>
  <si>
    <t>3.65134992686382</t>
  </si>
  <si>
    <t>UNM.N,mscalc:dilutedEarningsPerShare,2015Q4,,FYR</t>
  </si>
  <si>
    <t>UNM.N,mscalc:dilutedEarningsPerShare,2017FY,,FYR</t>
  </si>
  <si>
    <t>UNM.N,mscalc:dilutedEarningsPerShare,2018FY,,FYR</t>
  </si>
  <si>
    <t>UNM.N,mscalc:dilutedEarningsPerShare,2015Q3,,FYR</t>
  </si>
  <si>
    <t>UNM.N,mscalc:dilutedEarningsPerShare,2016FY,,FYR</t>
  </si>
  <si>
    <t>UNM.N,mscalc:dilutedEarningsPerShare,2019FY,,FYR</t>
  </si>
  <si>
    <t>0.94195724649679</t>
  </si>
  <si>
    <t>4.25291202322321</t>
  </si>
  <si>
    <t>4.65048041440653</t>
  </si>
  <si>
    <t>0.920173547727629</t>
  </si>
  <si>
    <t>3.90337430778931</t>
  </si>
  <si>
    <t>5.05142619207501</t>
  </si>
  <si>
    <t>$AD$2</t>
  </si>
  <si>
    <t>Op. Earnings - Used for consensus</t>
  </si>
  <si>
    <t>(3)-(5)%</t>
  </si>
  <si>
    <t>4-5%</t>
  </si>
  <si>
    <t>~400%</t>
  </si>
  <si>
    <t>&gt;1x fixed charges</t>
  </si>
  <si>
    <t>2015</t>
  </si>
  <si>
    <t>F2021</t>
  </si>
  <si>
    <t>2021E</t>
  </si>
  <si>
    <t>1Q17</t>
  </si>
  <si>
    <t>2Q17</t>
  </si>
  <si>
    <t>3Q17</t>
  </si>
  <si>
    <t>4Q17</t>
  </si>
  <si>
    <t>2017e</t>
  </si>
  <si>
    <t>8-10%</t>
  </si>
  <si>
    <t>(2)-(4)%</t>
  </si>
  <si>
    <t>(7)-(9)%</t>
  </si>
  <si>
    <t xml:space="preserve">  Dental and Vision</t>
  </si>
  <si>
    <t>2016</t>
  </si>
  <si>
    <t>4Q18</t>
  </si>
  <si>
    <t>4Q18E</t>
  </si>
  <si>
    <t>1Q18</t>
  </si>
  <si>
    <t>1Q18E</t>
  </si>
  <si>
    <t>2Q18</t>
  </si>
  <si>
    <t>2Q18E</t>
  </si>
  <si>
    <t>3Q18</t>
  </si>
  <si>
    <t>3Q18E</t>
  </si>
  <si>
    <t>F2022</t>
  </si>
  <si>
    <t>2022E</t>
  </si>
  <si>
    <t>2018e</t>
  </si>
  <si>
    <t>Premiums Ongoing Op</t>
  </si>
  <si>
    <t>14-16%</t>
  </si>
  <si>
    <t>8-12%</t>
  </si>
  <si>
    <t>3-4%</t>
  </si>
  <si>
    <t>&gt;375%</t>
  </si>
  <si>
    <t>2017</t>
  </si>
  <si>
    <t>61</t>
  </si>
  <si>
    <t>&gt;90%</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</si>
  <si>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</si>
  <si>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</si>
  <si>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</si>
  <si>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</si>
  <si>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</si>
  <si>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</si>
  <si>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</si>
  <si>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</si>
  <si>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Nigel Dally, Tanmay Gupta, Bob Huang</t>
  </si>
  <si>
    <t>Date: 05 Apr 2018</t>
  </si>
  <si>
    <t>Ticker: UNM.N</t>
  </si>
  <si>
    <t>Stock Rating: Equal-Weight</t>
  </si>
  <si>
    <t>Industry: Insurance - Life/Annuity</t>
  </si>
  <si>
    <t>Industry View: In-Line</t>
  </si>
  <si>
    <t>Price as of 05 Apr 2018: 47.68</t>
  </si>
  <si>
    <t>Target Price: 60</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</si>
  <si>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</si>
  <si>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</si>
  <si>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</si>
  <si>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</si>
  <si>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Unum Group.</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</si>
  <si>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</si>
  <si>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</si>
  <si>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</si>
  <si>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</si>
  <si>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</si>
  <si>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</si>
  <si>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</si>
  <si>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</si>
  <si>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</si>
  <si>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</si>
  <si>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</si>
  <si>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</si>
  <si>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</si>
  <si>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</si>
  <si>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</si>
  <si>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</si>
  <si>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</si>
  <si>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</si>
  <si>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</si>
  <si>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</si>
  <si>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</si>
  <si>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</si>
  <si>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</si>
  <si>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</si>
  <si>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</si>
  <si>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</si>
  <si>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</si>
  <si>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</si>
  <si>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</si>
  <si>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</si>
  <si>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</si>
  <si>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</si>
  <si>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</si>
  <si>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</si>
  <si>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</si>
  <si>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</si>
  <si>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</si>
  <si>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</si>
  <si>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</si>
  <si>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</si>
  <si>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</si>
  <si>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</si>
  <si>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</si>
  <si>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</si>
  <si>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</si>
  <si>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</si>
  <si>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</si>
  <si>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</si>
  <si>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</si>
  <si>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</si>
  <si>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</si>
  <si>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</si>
  <si>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</si>
  <si>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</si>
  <si>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</si>
  <si>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</si>
  <si>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</si>
  <si>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</si>
  <si>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</si>
  <si>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</si>
  <si>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</si>
  <si>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</si>
  <si>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</si>
  <si>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</si>
  <si>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</si>
  <si>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</si>
  <si>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</si>
  <si>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</si>
  <si>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</si>
  <si>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</si>
  <si>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</si>
  <si>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</si>
  <si>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</si>
  <si>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</si>
  <si>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</si>
  <si>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</si>
  <si>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</si>
  <si>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</si>
  <si>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</si>
  <si>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</si>
  <si>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</si>
  <si>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</si>
  <si>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</si>
  <si>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</si>
  <si>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</si>
  <si>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</si>
  <si>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</si>
  <si>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</si>
  <si>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</si>
  <si>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</si>
  <si>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</si>
  <si>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</si>
  <si>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</si>
  <si>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</si>
  <si>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</si>
  <si>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</si>
  <si>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</si>
  <si>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</si>
  <si>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</si>
  <si>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</si>
  <si>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</si>
  <si>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</si>
  <si>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</si>
  <si>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</si>
  <si>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</si>
  <si>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</si>
  <si>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</si>
  <si>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</si>
  <si>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</si>
  <si>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</si>
  <si>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</si>
  <si>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</si>
  <si>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</si>
  <si>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</si>
  <si>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</si>
  <si>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</si>
  <si>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</si>
  <si>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</si>
  <si>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</si>
  <si>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</si>
  <si>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</si>
  <si>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</si>
  <si>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</si>
  <si>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</si>
  <si>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</si>
  <si>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</si>
  <si>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</si>
  <si>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</si>
  <si>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</si>
  <si>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</si>
  <si>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</si>
  <si>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</si>
  <si>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</si>
  <si>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</si>
  <si>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</si>
  <si>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</si>
  <si>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</si>
  <si>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</si>
  <si>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</si>
  <si>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</si>
  <si>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</si>
  <si>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</si>
  <si>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</si>
  <si>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</si>
  <si>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</si>
  <si>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</si>
  <si>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</si>
  <si>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</si>
  <si>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</si>
  <si>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</si>
  <si>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</si>
  <si>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</si>
  <si>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</si>
  <si>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</si>
  <si>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</si>
  <si>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</si>
  <si>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</si>
  <si>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</si>
  <si>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</si>
  <si>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</si>
  <si>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</si>
  <si>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</si>
  <si>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</si>
  <si>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</si>
  <si>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</si>
  <si>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</si>
  <si>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</si>
  <si>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</si>
  <si>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</si>
  <si>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</si>
  <si>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</si>
  <si>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</si>
  <si>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</si>
  <si>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</si>
  <si>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</si>
  <si>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</si>
  <si>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Unum Group.</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</si>
  <si>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</si>
  <si>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</si>
  <si>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</si>
  <si>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</si>
  <si>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</si>
  <si>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</si>
  <si>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</si>
  <si>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</si>
  <si>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</si>
  <si>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</si>
  <si>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</si>
  <si>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</si>
  <si>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</si>
  <si>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</si>
  <si>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</si>
  <si>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</si>
  <si>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</si>
  <si>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</si>
  <si>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</si>
  <si>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</si>
  <si>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</si>
  <si>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</si>
  <si>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</si>
  <si>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</si>
  <si>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</si>
  <si>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</si>
  <si>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</si>
  <si>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</si>
  <si>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</si>
  <si>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</si>
  <si>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</si>
  <si>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</si>
  <si>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</si>
  <si>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</si>
  <si>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</si>
  <si>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</si>
  <si>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</si>
  <si>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</si>
  <si>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</si>
  <si>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</si>
  <si>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</si>
  <si>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</si>
  <si>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</si>
  <si>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</si>
  <si>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</si>
  <si>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</si>
  <si>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</si>
  <si>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</si>
  <si>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</si>
  <si>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</si>
  <si>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</si>
  <si>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</si>
  <si>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</si>
  <si>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</si>
  <si>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</si>
  <si>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</si>
  <si>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</si>
  <si>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</si>
  <si>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</si>
  <si>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</si>
  <si>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</si>
  <si>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</si>
  <si>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</si>
  <si>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</si>
  <si>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</si>
  <si>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</si>
  <si>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</si>
  <si>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</si>
  <si>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Unum Group.</t>
  </si>
  <si>
    <t>Within the last 12 months, Morgan Stanley has provided or is providing investment banking services to,</t>
  </si>
  <si>
    <t>or has an investment banking client relationship with, the following company: Unum Group.</t>
  </si>
  <si>
    <t>Within the last 12 months, Morgan Stanley has received compensation for products and services other than</t>
  </si>
  <si>
    <t>investment banking services from Unum Group.</t>
  </si>
  <si>
    <t>In the next 3 months, Morgan Stanley expects to receive or intends to seek compensation for investment</t>
  </si>
  <si>
    <t>banking services from Unum Group.</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</si>
  <si>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</si>
  <si>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</si>
  <si>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</si>
  <si>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</si>
  <si>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</si>
  <si>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Nigel Dally.</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</si>
  <si>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</si>
  <si>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</si>
  <si>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</si>
  <si>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</si>
  <si>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</si>
  <si>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</si>
  <si>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</si>
  <si>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</si>
  <si>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</si>
  <si>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</si>
  <si>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</si>
  <si>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</si>
  <si>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</si>
  <si>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</si>
  <si>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</si>
  <si>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</si>
  <si>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</si>
  <si>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</si>
  <si>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</si>
  <si>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</si>
  <si>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</si>
  <si>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</si>
  <si>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</si>
  <si>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</si>
  <si>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</si>
  <si>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</si>
  <si>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</si>
  <si>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</si>
  <si>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</si>
  <si>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</si>
  <si>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</si>
  <si>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</si>
  <si>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</si>
  <si>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</si>
  <si>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</si>
  <si>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</si>
  <si>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</si>
  <si>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</si>
  <si>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</si>
  <si>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</si>
  <si>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</si>
  <si>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</si>
  <si>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</si>
  <si>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</si>
  <si>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</si>
  <si>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</si>
  <si>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</si>
  <si>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</si>
  <si>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</si>
  <si>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</si>
  <si>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</si>
  <si>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</si>
  <si>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</si>
  <si>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</si>
  <si>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</si>
  <si>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</si>
  <si>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</si>
  <si>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</si>
  <si>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</si>
  <si>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</si>
  <si>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</si>
  <si>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</si>
  <si>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</si>
  <si>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</si>
  <si>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</si>
  <si>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</si>
  <si>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</si>
  <si>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</si>
  <si>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Quarterly Update</t>
  </si>
  <si>
    <t>NorthAmerica</t>
  </si>
  <si>
    <t>huangb</t>
  </si>
  <si>
    <t>MSA10131, MSA86LPP, MSA35NYJ</t>
  </si>
  <si>
    <t>91529Y106</t>
  </si>
  <si>
    <t>L:\INSURANC\life&amp;annuities\models\Models to Submit\pre1Q18\CopyOf-UNM.xlsm</t>
  </si>
  <si>
    <t>[BRO MSA]</t>
  </si>
  <si>
    <t>[PRODUCT MODEL]</t>
  </si>
  <si>
    <t>[EMAIL_ALERT YES]</t>
  </si>
  <si>
    <t>[DISCIPLINE Company]</t>
  </si>
  <si>
    <t>[SUPPRESSED NO]</t>
  </si>
  <si>
    <t>[DOCDAT 2018-04-05]</t>
  </si>
  <si>
    <t>[DOCTIME 09:37]</t>
  </si>
  <si>
    <t>[PSYM UNM.N(S&amp;P) (None)]</t>
  </si>
  <si>
    <t>[COU 1]</t>
  </si>
  <si>
    <t>[ANA MSA86LPP MSA35NYJ]</t>
  </si>
  <si>
    <t>[HL UNM.N Model]</t>
  </si>
  <si>
    <t>[IND INSURN]</t>
  </si>
  <si>
    <t>[PANA MSA10131]</t>
  </si>
</sst>
</file>

<file path=xl/styles.xml><?xml version="1.0" encoding="utf-8"?>
<styleSheet xmlns="http://schemas.openxmlformats.org/spreadsheetml/2006/main" xmlns:mc="http://schemas.openxmlformats.org/markup-compatibility/2006" xmlns:x14ac="http://schemas.microsoft.com/office/spreadsheetml/2009/9/ac" mc:Ignorable="x14ac">
  <numFmts count="34">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_);\(#,##0.0\)"/>
    <numFmt numFmtId="165" formatCode="#,##0.00_)"/>
    <numFmt numFmtId="166" formatCode="#,##0_)"/>
    <numFmt numFmtId="167" formatCode="#,##0.0"/>
    <numFmt numFmtId="168" formatCode="_(* #,##0.0_);_(* \(#,##0.0\);_(* &quot;-&quot;_);_(@_)"/>
    <numFmt numFmtId="169" formatCode="_(* #,##0.00_);_(* \(#,##0.00\);_(* &quot;-&quot;_);_(@_)"/>
    <numFmt numFmtId="170" formatCode="_(* #,##0.0_);_(* \(#,##0.0\);_(* &quot;-&quot;?_);_(@_)"/>
    <numFmt numFmtId="171" formatCode="_(* #,##0.0_);_(* \(#,##0.0\);_(* &quot;-&quot;??_);_(@_)"/>
    <numFmt numFmtId="172" formatCode="#,##0;\-#,##0"/>
    <numFmt numFmtId="173" formatCode="#,##0_);\(#,##0\);0_);@_)"/>
    <numFmt numFmtId="175" formatCode="#,##0.00_);\(#,##0.00\);0.00_);@_)"/>
    <numFmt numFmtId="176" formatCode="#,##0.0_)"/>
    <numFmt numFmtId="177" formatCode="0.0"/>
    <numFmt numFmtId="178" formatCode="0.000"/>
    <numFmt numFmtId="179" formatCode="_(* #,##0_);_(* \(#,##0\);_(* &quot;-&quot;??_);_(@_)"/>
    <numFmt numFmtId="180" formatCode="0.0_);\(0.0\)"/>
    <numFmt numFmtId="182" formatCode="0.00_);\(0.00\)"/>
    <numFmt numFmtId="183" formatCode="0_);\(0\)"/>
    <numFmt numFmtId="186" formatCode="_(* #,##0.000_);_(* \(#,##0.000\);_(* &quot;-&quot;_);_(@_)"/>
    <numFmt numFmtId="187" formatCode="_(* #,##0_);_(* \(#,##0\);_(* &quot;-&quot;?_);_(@_)"/>
    <numFmt numFmtId="188" formatCode="_(* #,##0.0000_);_(* \(#,##0.0000\);_(* &quot;-&quot;??_);_(@_)"/>
    <numFmt numFmtId="189" formatCode="#,##0_);\(#,##0\);\-_);@_)"/>
    <numFmt numFmtId="190" formatCode="_(* #,##0.00_);_(* \(#,##0.00\);_(* &quot;-&quot;?_);_(@_)"/>
    <numFmt numFmtId="197" formatCode="0.0%"/>
    <numFmt numFmtId="198" formatCode="&quot;$&quot;#,##0.0;\(&quot;$&quot;#,##0.0\)"/>
    <numFmt numFmtId="199" formatCode="_(* #,##0.00000_);_(* \(#,##0.00000\);_(* &quot;-&quot;??_);_(@_)"/>
    <numFmt numFmtId="200" formatCode="#,##0.00;\-#,##0.00"/>
    <numFmt numFmtId="201" formatCode="&quot;$&quot;#,##0.0_);[Red]\(&quot;$&quot;#,##0.0\)"/>
    <numFmt numFmtId="202" formatCode="#,##0.00&quot; &quot;;\(#,##0.00\)&quot; &quot;"/>
    <numFmt numFmtId="208" formatCode="mm/dd/yy\ hh:mm"/>
  </numFmts>
  <fonts count="117" x14ac:knownFonts="1">
    <font>
      <sz val="10"/>
      <name val="Arial"/>
    </font>
    <font>
      <sz val="10"/>
      <name val="Arial"/>
      <family val="2"/>
    </font>
    <font>
      <sz val="10"/>
      <name val="Arial"/>
      <family val="2"/>
    </font>
    <font>
      <sz val="8"/>
      <name val="Arial"/>
      <family val="2"/>
    </font>
    <font>
      <sz val="8"/>
      <color indexed="81"/>
      <name val="Tahoma"/>
      <family val="2"/>
    </font>
    <font>
      <u/>
      <sz val="10"/>
      <color indexed="12"/>
      <name val="Arial"/>
      <family val="2"/>
    </font>
    <font>
      <b/>
      <sz val="8"/>
      <color indexed="81"/>
      <name val="Tahoma"/>
      <family val="2"/>
    </font>
    <font>
      <sz val="11"/>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name val="Tahoma"/>
      <family val="2"/>
    </font>
    <font>
      <sz val="10"/>
      <color indexed="2"/>
      <name val="Tahoma"/>
      <family val="2"/>
    </font>
    <font>
      <b/>
      <sz val="10"/>
      <color indexed="0"/>
      <name val="Tahoma"/>
      <family val="2"/>
    </font>
    <font>
      <b/>
      <i/>
      <sz val="10"/>
      <color indexed="4"/>
      <name val="Tahoma"/>
      <family val="2"/>
    </font>
    <font>
      <sz val="10"/>
      <color indexed="4"/>
      <name val="Tahoma"/>
      <family val="2"/>
    </font>
    <font>
      <sz val="10"/>
      <name val="Calibri"/>
      <family val="2"/>
    </font>
    <font>
      <i/>
      <sz val="10"/>
      <name val="Calibri"/>
      <family val="2"/>
    </font>
    <font>
      <b/>
      <sz val="10"/>
      <color indexed="10"/>
      <name val="Calibri"/>
      <family val="2"/>
    </font>
    <font>
      <sz val="10"/>
      <color indexed="8"/>
      <name val="Calibri"/>
      <family val="2"/>
    </font>
    <font>
      <i/>
      <sz val="10"/>
      <color indexed="8"/>
      <name val="Calibri"/>
      <family val="2"/>
    </font>
    <font>
      <sz val="10"/>
      <color indexed="12"/>
      <name val="Calibri"/>
      <family val="2"/>
    </font>
    <font>
      <b/>
      <sz val="10"/>
      <color indexed="9"/>
      <name val="Calibri"/>
      <family val="2"/>
    </font>
    <font>
      <b/>
      <sz val="10"/>
      <color indexed="12"/>
      <name val="Calibri"/>
      <family val="2"/>
    </font>
    <font>
      <i/>
      <sz val="10"/>
      <color indexed="12"/>
      <name val="Calibri"/>
      <family val="2"/>
    </font>
    <font>
      <sz val="10"/>
      <color indexed="9"/>
      <name val="Calibri"/>
      <family val="2"/>
    </font>
    <font>
      <i/>
      <sz val="10"/>
      <color indexed="9"/>
      <name val="Calibri"/>
      <family val="2"/>
    </font>
    <font>
      <b/>
      <sz val="10"/>
      <name val="Calibri"/>
      <family val="2"/>
    </font>
    <font>
      <b/>
      <sz val="10"/>
      <color indexed="16"/>
      <name val="Calibri"/>
      <family val="2"/>
    </font>
    <font>
      <sz val="10"/>
      <color indexed="16"/>
      <name val="Calibri"/>
      <family val="2"/>
    </font>
    <font>
      <i/>
      <sz val="10"/>
      <color indexed="16"/>
      <name val="Calibri"/>
      <family val="2"/>
    </font>
    <font>
      <i/>
      <sz val="10"/>
      <color indexed="10"/>
      <name val="Calibri"/>
      <family val="2"/>
    </font>
    <font>
      <sz val="10"/>
      <color indexed="10"/>
      <name val="Calibri"/>
      <family val="2"/>
    </font>
    <font>
      <sz val="10"/>
      <color indexed="48"/>
      <name val="Calibri"/>
      <family val="2"/>
    </font>
    <font>
      <b/>
      <sz val="10"/>
      <color indexed="48"/>
      <name val="Calibri"/>
      <family val="2"/>
    </font>
    <font>
      <b/>
      <i/>
      <sz val="10"/>
      <color indexed="8"/>
      <name val="Calibri"/>
      <family val="2"/>
    </font>
    <font>
      <b/>
      <sz val="10"/>
      <color indexed="8"/>
      <name val="Calibri"/>
      <family val="2"/>
    </font>
    <font>
      <sz val="8"/>
      <name val="Calibri"/>
      <family val="2"/>
    </font>
    <font>
      <i/>
      <sz val="8"/>
      <name val="Calibri"/>
      <family val="2"/>
    </font>
    <font>
      <b/>
      <sz val="8"/>
      <color indexed="12"/>
      <name val="Calibri"/>
      <family val="2"/>
    </font>
    <font>
      <b/>
      <sz val="8"/>
      <name val="Calibri"/>
      <family val="2"/>
    </font>
    <font>
      <i/>
      <sz val="8"/>
      <color indexed="10"/>
      <name val="Calibri"/>
      <family val="2"/>
    </font>
    <font>
      <b/>
      <sz val="8"/>
      <color indexed="9"/>
      <name val="Calibri"/>
      <family val="2"/>
    </font>
    <font>
      <i/>
      <sz val="8"/>
      <color indexed="9"/>
      <name val="Calibri"/>
      <family val="2"/>
    </font>
    <font>
      <b/>
      <i/>
      <sz val="8"/>
      <color indexed="9"/>
      <name val="Calibri"/>
      <family val="2"/>
    </font>
    <font>
      <b/>
      <sz val="12"/>
      <color indexed="12"/>
      <name val="Calibri"/>
      <family val="2"/>
    </font>
    <font>
      <sz val="8"/>
      <name val="Tms Rmn"/>
    </font>
    <font>
      <sz val="8"/>
      <name val="Times New Roman"/>
      <family val="1"/>
    </font>
    <font>
      <sz val="10"/>
      <name val="Times New Roman"/>
      <family val="1"/>
    </font>
    <font>
      <sz val="8"/>
      <color indexed="12"/>
      <name val="Tms Rmn"/>
      <family val="1"/>
    </font>
    <font>
      <sz val="10"/>
      <color indexed="18"/>
      <name val="Times New Roman"/>
      <family val="1"/>
    </font>
    <font>
      <u/>
      <sz val="8"/>
      <name val="Tms Rmn"/>
    </font>
    <font>
      <u/>
      <sz val="8"/>
      <name val="Times New Roman"/>
      <family val="1"/>
    </font>
    <font>
      <sz val="10"/>
      <name val="Arial"/>
      <family val="2"/>
    </font>
    <font>
      <b/>
      <i/>
      <sz val="10"/>
      <name val="Calibri"/>
      <family val="2"/>
    </font>
    <font>
      <b/>
      <sz val="10"/>
      <name val="Arial"/>
      <family val="2"/>
    </font>
    <font>
      <sz val="9"/>
      <color indexed="81"/>
      <name val="Tahoma"/>
      <family val="2"/>
    </font>
    <font>
      <b/>
      <sz val="9"/>
      <color indexed="81"/>
      <name val="Tahoma"/>
      <family val="2"/>
    </font>
    <font>
      <b/>
      <i/>
      <sz val="10"/>
      <color indexed="9"/>
      <name val="Calibri"/>
      <family val="2"/>
    </font>
    <font>
      <b/>
      <sz val="12"/>
      <color indexed="12"/>
      <name val="Calibri"/>
      <family val="2"/>
      <scheme val="minor"/>
    </font>
    <font>
      <sz val="10"/>
      <name val="Calibri"/>
      <family val="2"/>
      <scheme val="minor"/>
    </font>
    <font>
      <i/>
      <sz val="8"/>
      <name val="Calibri"/>
      <family val="2"/>
      <scheme val="minor"/>
    </font>
    <font>
      <b/>
      <sz val="10"/>
      <name val="Calibri"/>
      <family val="2"/>
      <scheme val="minor"/>
    </font>
    <font>
      <sz val="10"/>
      <color indexed="9"/>
      <name val="Calibri"/>
      <family val="2"/>
      <scheme val="minor"/>
    </font>
    <font>
      <i/>
      <sz val="10"/>
      <color indexed="8"/>
      <name val="Calibri"/>
      <family val="2"/>
      <scheme val="minor"/>
    </font>
    <font>
      <i/>
      <sz val="10"/>
      <name val="Calibri"/>
      <family val="2"/>
      <scheme val="minor"/>
    </font>
    <font>
      <b/>
      <sz val="10"/>
      <color indexed="12"/>
      <name val="Calibri"/>
      <family val="2"/>
      <scheme val="minor"/>
    </font>
    <font>
      <i/>
      <sz val="10"/>
      <color indexed="10"/>
      <name val="Calibri"/>
      <family val="2"/>
      <scheme val="minor"/>
    </font>
    <font>
      <sz val="10"/>
      <color indexed="10"/>
      <name val="Calibri"/>
      <family val="2"/>
      <scheme val="minor"/>
    </font>
    <font>
      <b/>
      <sz val="10"/>
      <color indexed="9"/>
      <name val="Calibri"/>
      <family val="2"/>
      <scheme val="minor"/>
    </font>
    <font>
      <i/>
      <sz val="10"/>
      <color indexed="9"/>
      <name val="Calibri"/>
      <family val="2"/>
      <scheme val="minor"/>
    </font>
    <font>
      <sz val="10"/>
      <color indexed="12"/>
      <name val="Calibri"/>
      <family val="2"/>
      <scheme val="minor"/>
    </font>
    <font>
      <i/>
      <sz val="10"/>
      <color indexed="12"/>
      <name val="Calibri"/>
      <family val="2"/>
      <scheme val="minor"/>
    </font>
    <font>
      <b/>
      <i/>
      <sz val="10"/>
      <color indexed="9"/>
      <name val="Calibri"/>
      <family val="2"/>
      <scheme val="minor"/>
    </font>
    <font>
      <sz val="10"/>
      <color rgb="FF0070C0"/>
      <name val="Calibri"/>
      <family val="2"/>
    </font>
    <font>
      <sz val="10"/>
      <color rgb="FFFF0000"/>
      <name val="Calibri"/>
      <family val="2"/>
    </font>
    <font>
      <i/>
      <sz val="10"/>
      <color rgb="FFFF0000"/>
      <name val="Calibri"/>
      <family val="2"/>
    </font>
    <font>
      <b/>
      <sz val="10"/>
      <color rgb="FF0070C0"/>
      <name val="Calibri"/>
      <family val="2"/>
    </font>
    <font>
      <sz val="10"/>
      <name val="Arial"/>
      <family val="2"/>
    </font>
    <font>
      <sz val="10"/>
      <color theme="0"/>
      <name val="Calibri"/>
      <family val="2"/>
    </font>
    <font>
      <b/>
      <sz val="10"/>
      <color theme="0"/>
      <name val="Calibri"/>
      <family val="2"/>
    </font>
    <font>
      <i/>
      <sz val="10"/>
      <color theme="0"/>
      <name val="Calibri"/>
      <family val="2"/>
    </font>
    <font>
      <sz val="10"/>
      <color theme="0"/>
      <name val="Arial"/>
      <family val="2"/>
    </font>
    <font>
      <b/>
      <sz val="10"/>
      <color rgb="FFC00000"/>
      <name val="Calibri"/>
      <family val="2"/>
    </font>
    <font>
      <i/>
      <sz val="10"/>
      <color rgb="FFC00000"/>
      <name val="Calibri"/>
      <family val="2"/>
    </font>
    <font>
      <sz val="10"/>
      <color rgb="FFC00000"/>
      <name val="Calibri"/>
      <family val="2"/>
    </font>
    <font>
      <b/>
      <i/>
      <sz val="10"/>
      <color rgb="FF7F7F7F"/>
      <name val="Calibri"/>
      <family val="2"/>
    </font>
    <font>
      <i/>
      <sz val="10"/>
      <color rgb="FF7F7F7F"/>
      <name val="Calibri"/>
      <family val="2"/>
    </font>
    <font>
      <sz val="10"/>
      <color rgb="FF7F7F7F"/>
      <name val="Calibri"/>
      <family val="2"/>
    </font>
    <font>
      <b/>
      <sz val="10"/>
      <color rgb="FF7F7F7F"/>
      <name val="Calibri"/>
      <family val="2"/>
    </font>
    <font>
      <b/>
      <sz val="9"/>
      <color indexed="81"/>
      <name val="Calibri"/>
      <family val="2"/>
    </font>
    <font>
      <sz val="9"/>
      <color indexed="81"/>
      <name val="Calibri"/>
      <family val="2"/>
    </font>
    <font>
      <b/>
      <sz val="18"/>
      <color rgb="FF2270AB"/>
      <name val="Calibri"/>
      <family val="2"/>
    </font>
    <font>
      <b/>
      <sz val="10"/>
      <color rgb="FFFF0000"/>
      <name val="Calibri"/>
      <family val="2"/>
    </font>
    <font>
      <sz val="10"/>
      <name val="Courier"/>
      <family val="3"/>
    </font>
    <font>
      <i/>
      <sz val="10"/>
      <name val="Arial"/>
      <family val="2"/>
    </font>
    <font>
      <sz val="10"/>
      <color rgb="FF000000"/>
      <name val="Arial"/>
      <family val="2"/>
    </font>
    <font>
      <b/>
      <sz val="12"/>
      <color rgb="FF000080"/>
      <name val="Arial"/>
      <family val="2"/>
    </font>
  </fonts>
  <fills count="31">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8"/>
      </patternFill>
    </fill>
    <fill>
      <patternFill patternType="solid">
        <fgColor indexed="42"/>
      </patternFill>
    </fill>
    <fill>
      <patternFill patternType="solid">
        <fgColor indexed="43"/>
        <bgColor indexed="64"/>
      </patternFill>
    </fill>
    <fill>
      <patternFill patternType="solid">
        <fgColor indexed="22"/>
        <bgColor indexed="64"/>
      </patternFill>
    </fill>
    <fill>
      <patternFill patternType="solid">
        <fgColor indexed="13"/>
        <bgColor indexed="64"/>
      </patternFill>
    </fill>
    <fill>
      <patternFill patternType="solid">
        <fgColor indexed="9"/>
        <bgColor indexed="64"/>
      </patternFill>
    </fill>
    <fill>
      <patternFill patternType="solid">
        <fgColor indexed="8"/>
        <bgColor indexed="64"/>
      </patternFill>
    </fill>
    <fill>
      <patternFill patternType="solid">
        <fgColor indexed="47"/>
        <bgColor indexed="64"/>
      </patternFill>
    </fill>
    <fill>
      <patternFill patternType="solid">
        <fgColor indexed="41"/>
        <bgColor indexed="64"/>
      </patternFill>
    </fill>
    <fill>
      <patternFill patternType="solid">
        <fgColor indexed="56"/>
        <bgColor indexed="64"/>
      </patternFill>
    </fill>
    <fill>
      <patternFill patternType="solid">
        <fgColor indexed="60"/>
        <bgColor indexed="64"/>
      </patternFill>
    </fill>
    <fill>
      <patternFill patternType="solid">
        <fgColor indexed="42"/>
        <bgColor indexed="64"/>
      </patternFill>
    </fill>
    <fill>
      <patternFill patternType="solid">
        <fgColor theme="0"/>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indexed="65"/>
        <bgColor indexed="64"/>
      </patternFill>
    </fill>
  </fills>
  <borders count="3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04">
    <xf numFmtId="0" fontId="0" fillId="0" borderId="0"/>
    <xf numFmtId="0" fontId="65" fillId="0" borderId="0">
      <alignment horizontal="right"/>
    </xf>
    <xf numFmtId="198" fontId="66" fillId="0" borderId="0">
      <alignment horizontal="right"/>
    </xf>
    <xf numFmtId="0" fontId="65" fillId="0" borderId="0">
      <alignment horizontal="right"/>
    </xf>
    <xf numFmtId="0" fontId="1" fillId="0" borderId="0"/>
    <xf numFmtId="0" fontId="1" fillId="0" borderId="0" applyFont="0" applyFill="0" applyBorder="0" applyAlignment="0" applyProtection="0"/>
    <xf numFmtId="0" fontId="1" fillId="0" borderId="0"/>
    <xf numFmtId="0" fontId="1" fillId="0" borderId="0"/>
    <xf numFmtId="0" fontId="1" fillId="0" borderId="0"/>
    <xf numFmtId="0" fontId="1" fillId="0" borderId="0"/>
    <xf numFmtId="44" fontId="67" fillId="0" borderId="0" applyFont="0" applyFill="0" applyBorder="0" applyAlignment="0" applyProtection="0"/>
    <xf numFmtId="42" fontId="67" fillId="0" borderId="0" applyFont="0" applyFill="0" applyBorder="0" applyAlignment="0" applyProtection="0"/>
    <xf numFmtId="0" fontId="66" fillId="0" borderId="0">
      <alignment horizontal="right"/>
    </xf>
    <xf numFmtId="0" fontId="1" fillId="0" borderId="0"/>
    <xf numFmtId="0" fontId="67" fillId="0" borderId="0"/>
    <xf numFmtId="0" fontId="67" fillId="0" borderId="0"/>
    <xf numFmtId="0" fontId="8" fillId="0" borderId="0"/>
    <xf numFmtId="0" fontId="8"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2" borderId="0" applyNumberFormat="0" applyBorder="0" applyAlignment="0" applyProtection="0"/>
    <xf numFmtId="0" fontId="13" fillId="5" borderId="0" applyNumberFormat="0" applyBorder="0" applyAlignment="0" applyProtection="0"/>
    <xf numFmtId="0" fontId="13" fillId="4" borderId="0" applyNumberFormat="0" applyBorder="0" applyAlignment="0" applyProtection="0"/>
    <xf numFmtId="0" fontId="13" fillId="6"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4" borderId="0" applyNumberFormat="0" applyBorder="0" applyAlignment="0" applyProtection="0"/>
    <xf numFmtId="0" fontId="14" fillId="8" borderId="0" applyNumberFormat="0" applyBorder="0" applyAlignment="0" applyProtection="0"/>
    <xf numFmtId="0" fontId="14" fillId="3" borderId="0" applyNumberFormat="0" applyBorder="0" applyAlignment="0" applyProtection="0"/>
    <xf numFmtId="0" fontId="14" fillId="9" borderId="0" applyNumberFormat="0" applyBorder="0" applyAlignment="0" applyProtection="0"/>
    <xf numFmtId="0" fontId="14" fillId="6" borderId="0" applyNumberFormat="0" applyBorder="0" applyAlignment="0" applyProtection="0"/>
    <xf numFmtId="0" fontId="14" fillId="8"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3"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8" borderId="0" applyNumberFormat="0" applyBorder="0" applyAlignment="0" applyProtection="0"/>
    <xf numFmtId="0" fontId="14" fillId="3" borderId="0" applyNumberFormat="0" applyBorder="0" applyAlignment="0" applyProtection="0"/>
    <xf numFmtId="0" fontId="15" fillId="11" borderId="0" applyNumberFormat="0" applyBorder="0" applyAlignment="0" applyProtection="0"/>
    <xf numFmtId="0" fontId="68" fillId="0" borderId="0" applyNumberFormat="0" applyFill="0" applyBorder="0" applyAlignment="0" applyProtection="0"/>
    <xf numFmtId="0" fontId="9" fillId="0" borderId="0"/>
    <xf numFmtId="0" fontId="16" fillId="12" borderId="1" applyNumberFormat="0" applyAlignment="0" applyProtection="0"/>
    <xf numFmtId="1" fontId="69" fillId="0" borderId="0"/>
    <xf numFmtId="0" fontId="17" fillId="13" borderId="2" applyNumberFormat="0" applyAlignment="0" applyProtection="0"/>
    <xf numFmtId="43" fontId="1" fillId="0" borderId="0" applyFont="0" applyFill="0" applyBorder="0" applyAlignment="0" applyProtection="0"/>
    <xf numFmtId="44" fontId="2" fillId="0" borderId="0" applyFont="0" applyFill="0" applyBorder="0" applyAlignment="0" applyProtection="0"/>
    <xf numFmtId="14" fontId="66" fillId="0" borderId="0">
      <alignment horizontal="right"/>
    </xf>
    <xf numFmtId="0" fontId="66" fillId="0" borderId="0">
      <alignment horizontal="right"/>
    </xf>
    <xf numFmtId="0" fontId="66" fillId="0" borderId="0">
      <alignment horizontal="right"/>
    </xf>
    <xf numFmtId="0" fontId="66" fillId="0" borderId="0">
      <alignment horizontal="right"/>
    </xf>
    <xf numFmtId="0" fontId="18" fillId="0" borderId="0" applyNumberFormat="0" applyFill="0" applyBorder="0" applyAlignment="0" applyProtection="0"/>
    <xf numFmtId="0" fontId="31" fillId="0" borderId="0"/>
    <xf numFmtId="0" fontId="32" fillId="14" borderId="0"/>
    <xf numFmtId="0" fontId="19" fillId="15" borderId="0" applyNumberFormat="0" applyBorder="0" applyAlignment="0" applyProtection="0"/>
    <xf numFmtId="0" fontId="20" fillId="0" borderId="3" applyNumberFormat="0" applyFill="0" applyAlignment="0" applyProtection="0"/>
    <xf numFmtId="0" fontId="21" fillId="0" borderId="4" applyNumberFormat="0" applyFill="0" applyAlignment="0" applyProtection="0"/>
    <xf numFmtId="0" fontId="22" fillId="0" borderId="5" applyNumberFormat="0" applyFill="0" applyAlignment="0" applyProtection="0"/>
    <xf numFmtId="0" fontId="22" fillId="0" borderId="0" applyNumberFormat="0" applyFill="0" applyBorder="0" applyAlignment="0" applyProtection="0"/>
    <xf numFmtId="0" fontId="30" fillId="0" borderId="0">
      <alignment wrapText="1"/>
    </xf>
    <xf numFmtId="0" fontId="5" fillId="0" borderId="0" applyNumberFormat="0" applyFill="0" applyBorder="0" applyAlignment="0" applyProtection="0">
      <alignment vertical="top"/>
      <protection locked="0"/>
    </xf>
    <xf numFmtId="0" fontId="23" fillId="4" borderId="1" applyNumberFormat="0" applyAlignment="0" applyProtection="0"/>
    <xf numFmtId="0" fontId="24" fillId="0" borderId="6" applyNumberFormat="0" applyFill="0" applyAlignment="0" applyProtection="0"/>
    <xf numFmtId="0" fontId="32" fillId="0" borderId="0"/>
    <xf numFmtId="0" fontId="33" fillId="0" borderId="0"/>
    <xf numFmtId="0" fontId="34" fillId="0" borderId="0"/>
    <xf numFmtId="0" fontId="25" fillId="4" borderId="0" applyNumberFormat="0" applyBorder="0" applyAlignment="0" applyProtection="0"/>
    <xf numFmtId="0" fontId="2" fillId="0" borderId="0"/>
    <xf numFmtId="0" fontId="35" fillId="0" borderId="0"/>
    <xf numFmtId="0" fontId="1" fillId="0" borderId="0"/>
    <xf numFmtId="0" fontId="1" fillId="0" borderId="0"/>
    <xf numFmtId="0" fontId="1" fillId="4" borderId="7" applyNumberFormat="0" applyFont="0" applyAlignment="0" applyProtection="0"/>
    <xf numFmtId="43" fontId="67" fillId="0" borderId="0" applyFont="0" applyFill="0" applyBorder="0" applyAlignment="0" applyProtection="0"/>
    <xf numFmtId="41" fontId="67" fillId="0" borderId="0" applyFont="0" applyFill="0" applyBorder="0" applyAlignment="0" applyProtection="0"/>
    <xf numFmtId="0" fontId="65" fillId="0" borderId="0"/>
    <xf numFmtId="0" fontId="26" fillId="12" borderId="8" applyNumberFormat="0" applyAlignment="0" applyProtection="0"/>
    <xf numFmtId="0" fontId="10" fillId="0" borderId="0">
      <alignment vertical="center"/>
    </xf>
    <xf numFmtId="0" fontId="34" fillId="0" borderId="0"/>
    <xf numFmtId="9" fontId="1" fillId="0" borderId="0" applyFont="0" applyFill="0" applyBorder="0" applyAlignment="0" applyProtection="0"/>
    <xf numFmtId="0" fontId="66" fillId="0" borderId="0">
      <alignment horizontal="right"/>
    </xf>
    <xf numFmtId="10" fontId="66" fillId="0" borderId="0">
      <alignment horizontal="right"/>
    </xf>
    <xf numFmtId="9" fontId="65" fillId="0" borderId="0">
      <alignment horizontal="right"/>
    </xf>
    <xf numFmtId="0" fontId="2" fillId="16" borderId="0" applyNumberFormat="0" applyFont="0" applyBorder="0" applyAlignment="0" applyProtection="0"/>
    <xf numFmtId="0" fontId="1" fillId="16" borderId="0" applyNumberFormat="0" applyFont="0" applyBorder="0" applyAlignment="0" applyProtection="0"/>
    <xf numFmtId="0" fontId="11" fillId="0" borderId="0"/>
    <xf numFmtId="0" fontId="11" fillId="0" borderId="9">
      <alignment horizontal="centerContinuous"/>
    </xf>
    <xf numFmtId="0" fontId="12" fillId="0" borderId="9"/>
    <xf numFmtId="0" fontId="1" fillId="0" borderId="0">
      <alignment vertical="top"/>
    </xf>
    <xf numFmtId="0" fontId="1" fillId="0" borderId="0">
      <alignment vertical="top"/>
    </xf>
    <xf numFmtId="0" fontId="27" fillId="0" borderId="0" applyNumberFormat="0" applyFill="0" applyBorder="0" applyAlignment="0" applyProtection="0"/>
    <xf numFmtId="0" fontId="28" fillId="0" borderId="10" applyNumberFormat="0" applyFill="0" applyAlignment="0" applyProtection="0"/>
    <xf numFmtId="0" fontId="70" fillId="0" borderId="0">
      <alignment horizontal="left"/>
    </xf>
    <xf numFmtId="0" fontId="70" fillId="0" borderId="0">
      <alignment horizontal="right"/>
    </xf>
    <xf numFmtId="0" fontId="71" fillId="0" borderId="0">
      <alignment horizontal="right"/>
    </xf>
    <xf numFmtId="1" fontId="70" fillId="0" borderId="0">
      <alignment horizontal="left"/>
    </xf>
    <xf numFmtId="0" fontId="70" fillId="0" borderId="0">
      <alignment horizontal="right"/>
    </xf>
    <xf numFmtId="164" fontId="70" fillId="0" borderId="0">
      <alignment horizontal="left"/>
    </xf>
    <xf numFmtId="0" fontId="29" fillId="0" borderId="0" applyNumberFormat="0" applyFill="0" applyBorder="0" applyAlignment="0" applyProtection="0"/>
    <xf numFmtId="43" fontId="97" fillId="0" borderId="0" applyFont="0" applyFill="0" applyBorder="0" applyAlignment="0" applyProtection="0"/>
    <xf numFmtId="9" fontId="97" fillId="0" borderId="0" applyFont="0" applyFill="0" applyBorder="0" applyAlignment="0" applyProtection="0"/>
    <xf numFmtId="0" fontId="113" fillId="0" borderId="0"/>
  </cellStyleXfs>
  <cellXfs count="1058">
    <xf numFmtId="0" fontId="0" fillId="0" borderId="0" xfId="0"/>
    <xf numFmtId="0" fontId="35" fillId="0" borderId="0" xfId="0" applyFont="1" applyFill="1" applyBorder="1" applyAlignment="1">
      <alignment horizontal="left"/>
    </xf>
    <xf numFmtId="0" fontId="35" fillId="0" borderId="0" xfId="0" applyFont="1" applyFill="1"/>
    <xf numFmtId="172" fontId="36" fillId="0" borderId="0" xfId="0" applyNumberFormat="1" applyFont="1" applyFill="1" applyAlignment="1">
      <alignment horizontal="right"/>
    </xf>
    <xf numFmtId="0" fontId="35" fillId="0" borderId="0" xfId="0" applyFont="1" applyFill="1" applyAlignment="1">
      <alignment horizontal="right"/>
    </xf>
    <xf numFmtId="172" fontId="36" fillId="0" borderId="0" xfId="0" applyNumberFormat="1" applyFont="1" applyFill="1" applyBorder="1" applyAlignment="1">
      <alignment horizontal="right"/>
    </xf>
    <xf numFmtId="43" fontId="35" fillId="0" borderId="0" xfId="0" applyNumberFormat="1" applyFont="1" applyFill="1" applyAlignment="1">
      <alignment horizontal="right"/>
    </xf>
    <xf numFmtId="1" fontId="36" fillId="0" borderId="0" xfId="0" applyNumberFormat="1" applyFont="1" applyFill="1" applyAlignment="1">
      <alignment horizontal="right"/>
    </xf>
    <xf numFmtId="0" fontId="38" fillId="0" borderId="0" xfId="0" applyFont="1" applyFill="1" applyAlignment="1">
      <alignment horizontal="right"/>
    </xf>
    <xf numFmtId="0" fontId="35" fillId="0" borderId="0" xfId="0" applyFont="1"/>
    <xf numFmtId="0" fontId="35" fillId="0" borderId="0" xfId="0" applyFont="1" applyFill="1" applyBorder="1"/>
    <xf numFmtId="0" fontId="35" fillId="17" borderId="0" xfId="0" applyFont="1" applyFill="1" applyBorder="1" applyAlignment="1">
      <alignment horizontal="left"/>
    </xf>
    <xf numFmtId="172" fontId="39" fillId="17" borderId="0" xfId="0" applyNumberFormat="1" applyFont="1" applyFill="1" applyBorder="1" applyAlignment="1">
      <alignment horizontal="right"/>
    </xf>
    <xf numFmtId="0" fontId="35" fillId="17" borderId="0" xfId="0" applyFont="1" applyFill="1" applyBorder="1" applyAlignment="1">
      <alignment horizontal="right"/>
    </xf>
    <xf numFmtId="0" fontId="35" fillId="18" borderId="0" xfId="0" applyFont="1" applyFill="1" applyBorder="1" applyAlignment="1">
      <alignment horizontal="right"/>
    </xf>
    <xf numFmtId="0" fontId="35" fillId="0" borderId="0" xfId="0" applyFont="1" applyFill="1" applyBorder="1" applyAlignment="1">
      <alignment horizontal="right"/>
    </xf>
    <xf numFmtId="43" fontId="40" fillId="0" borderId="0" xfId="0" applyNumberFormat="1" applyFont="1" applyFill="1" applyBorder="1" applyAlignment="1">
      <alignment horizontal="right"/>
    </xf>
    <xf numFmtId="43" fontId="40" fillId="18" borderId="0" xfId="0" applyNumberFormat="1" applyFont="1" applyFill="1" applyBorder="1" applyAlignment="1">
      <alignment horizontal="right"/>
    </xf>
    <xf numFmtId="1" fontId="36" fillId="0" borderId="0" xfId="0" applyNumberFormat="1" applyFont="1" applyFill="1" applyBorder="1" applyAlignment="1">
      <alignment horizontal="right"/>
    </xf>
    <xf numFmtId="43" fontId="35" fillId="0" borderId="0" xfId="0" applyNumberFormat="1" applyFont="1" applyFill="1" applyBorder="1"/>
    <xf numFmtId="172" fontId="43" fillId="0" borderId="0" xfId="0" applyNumberFormat="1" applyFont="1" applyFill="1" applyBorder="1" applyAlignment="1">
      <alignment horizontal="right"/>
    </xf>
    <xf numFmtId="186" fontId="35" fillId="0" borderId="0" xfId="0" applyNumberFormat="1" applyFont="1" applyFill="1" applyBorder="1" applyAlignment="1">
      <alignment horizontal="right"/>
    </xf>
    <xf numFmtId="43" fontId="35" fillId="18" borderId="0" xfId="0" applyNumberFormat="1" applyFont="1" applyFill="1" applyBorder="1" applyAlignment="1">
      <alignment horizontal="right"/>
    </xf>
    <xf numFmtId="43" fontId="35" fillId="0" borderId="0" xfId="0" applyNumberFormat="1" applyFont="1" applyFill="1" applyBorder="1" applyAlignment="1">
      <alignment horizontal="right"/>
    </xf>
    <xf numFmtId="0" fontId="35" fillId="0" borderId="11" xfId="0" applyFont="1" applyFill="1" applyBorder="1" applyAlignment="1">
      <alignment horizontal="right"/>
    </xf>
    <xf numFmtId="172" fontId="36" fillId="0" borderId="11" xfId="0" applyNumberFormat="1" applyFont="1" applyBorder="1" applyAlignment="1">
      <alignment horizontal="right"/>
    </xf>
    <xf numFmtId="166" fontId="35" fillId="0" borderId="11" xfId="0" quotePrefix="1" applyNumberFormat="1" applyFont="1" applyBorder="1" applyAlignment="1">
      <alignment horizontal="right"/>
    </xf>
    <xf numFmtId="166" fontId="35" fillId="0" borderId="11" xfId="0" quotePrefix="1" applyNumberFormat="1" applyFont="1" applyFill="1" applyBorder="1" applyAlignment="1">
      <alignment horizontal="right"/>
    </xf>
    <xf numFmtId="166" fontId="35" fillId="18" borderId="11" xfId="0" applyNumberFormat="1" applyFont="1" applyFill="1" applyBorder="1" applyAlignment="1">
      <alignment horizontal="right"/>
    </xf>
    <xf numFmtId="166" fontId="35" fillId="0" borderId="11" xfId="0" applyNumberFormat="1" applyFont="1" applyBorder="1" applyAlignment="1">
      <alignment horizontal="right"/>
    </xf>
    <xf numFmtId="1" fontId="36" fillId="0" borderId="11" xfId="0" applyNumberFormat="1" applyFont="1" applyBorder="1" applyAlignment="1">
      <alignment horizontal="right"/>
    </xf>
    <xf numFmtId="166" fontId="35" fillId="0" borderId="11" xfId="0" applyNumberFormat="1" applyFont="1" applyFill="1" applyBorder="1" applyAlignment="1">
      <alignment horizontal="right"/>
    </xf>
    <xf numFmtId="1" fontId="36" fillId="0" borderId="11" xfId="0" applyNumberFormat="1" applyFont="1" applyFill="1" applyBorder="1" applyAlignment="1">
      <alignment horizontal="right"/>
    </xf>
    <xf numFmtId="1" fontId="35" fillId="0" borderId="11" xfId="0" quotePrefix="1" applyNumberFormat="1" applyFont="1" applyBorder="1" applyAlignment="1">
      <alignment horizontal="right"/>
    </xf>
    <xf numFmtId="166" fontId="35" fillId="18" borderId="0" xfId="0" applyNumberFormat="1" applyFont="1" applyFill="1" applyBorder="1" applyAlignment="1">
      <alignment horizontal="right"/>
    </xf>
    <xf numFmtId="166" fontId="35" fillId="0" borderId="0" xfId="0" applyNumberFormat="1" applyFont="1" applyFill="1" applyBorder="1" applyAlignment="1">
      <alignment horizontal="right"/>
    </xf>
    <xf numFmtId="172" fontId="36" fillId="17" borderId="0" xfId="0" applyNumberFormat="1" applyFont="1" applyFill="1" applyBorder="1" applyAlignment="1">
      <alignment horizontal="right"/>
    </xf>
    <xf numFmtId="166" fontId="35" fillId="17" borderId="0" xfId="0" quotePrefix="1" applyNumberFormat="1" applyFont="1" applyFill="1" applyBorder="1" applyAlignment="1">
      <alignment horizontal="right"/>
    </xf>
    <xf numFmtId="166" fontId="35" fillId="17" borderId="0" xfId="0" applyNumberFormat="1" applyFont="1" applyFill="1" applyBorder="1" applyAlignment="1">
      <alignment horizontal="right"/>
    </xf>
    <xf numFmtId="1" fontId="36" fillId="17" borderId="0" xfId="0" applyNumberFormat="1" applyFont="1" applyFill="1" applyBorder="1" applyAlignment="1">
      <alignment horizontal="right"/>
    </xf>
    <xf numFmtId="0" fontId="46" fillId="17" borderId="0" xfId="0" applyFont="1" applyFill="1" applyBorder="1" applyAlignment="1">
      <alignment horizontal="left"/>
    </xf>
    <xf numFmtId="166" fontId="35" fillId="19" borderId="12" xfId="0" applyNumberFormat="1" applyFont="1" applyFill="1" applyBorder="1" applyAlignment="1">
      <alignment horizontal="right"/>
    </xf>
    <xf numFmtId="166" fontId="36" fillId="17" borderId="0" xfId="0" applyNumberFormat="1" applyFont="1" applyFill="1" applyBorder="1" applyAlignment="1">
      <alignment horizontal="right"/>
    </xf>
    <xf numFmtId="164" fontId="40" fillId="19" borderId="0" xfId="0" applyNumberFormat="1" applyFont="1" applyFill="1" applyBorder="1" applyAlignment="1">
      <alignment horizontal="right"/>
    </xf>
    <xf numFmtId="164" fontId="40" fillId="17" borderId="0" xfId="0" applyNumberFormat="1" applyFont="1" applyFill="1" applyBorder="1" applyAlignment="1">
      <alignment horizontal="right"/>
    </xf>
    <xf numFmtId="164" fontId="40" fillId="19" borderId="11" xfId="0" applyNumberFormat="1" applyFont="1" applyFill="1" applyBorder="1" applyAlignment="1">
      <alignment horizontal="right"/>
    </xf>
    <xf numFmtId="176" fontId="35" fillId="19" borderId="12" xfId="0" applyNumberFormat="1" applyFont="1" applyFill="1" applyBorder="1" applyAlignment="1">
      <alignment horizontal="right"/>
    </xf>
    <xf numFmtId="176" fontId="35" fillId="17" borderId="0" xfId="0" applyNumberFormat="1" applyFont="1" applyFill="1" applyBorder="1" applyAlignment="1">
      <alignment horizontal="right"/>
    </xf>
    <xf numFmtId="164" fontId="35" fillId="17" borderId="0" xfId="0" applyNumberFormat="1" applyFont="1" applyFill="1" applyBorder="1" applyAlignment="1">
      <alignment horizontal="right"/>
    </xf>
    <xf numFmtId="164" fontId="35" fillId="17" borderId="0" xfId="0" quotePrefix="1" applyNumberFormat="1" applyFont="1" applyFill="1" applyBorder="1" applyAlignment="1">
      <alignment horizontal="right"/>
    </xf>
    <xf numFmtId="164" fontId="36" fillId="17" borderId="0" xfId="0" applyNumberFormat="1" applyFont="1" applyFill="1" applyBorder="1" applyAlignment="1">
      <alignment horizontal="right"/>
    </xf>
    <xf numFmtId="37" fontId="40" fillId="19" borderId="0" xfId="0" applyNumberFormat="1" applyFont="1" applyFill="1" applyBorder="1" applyAlignment="1">
      <alignment horizontal="right"/>
    </xf>
    <xf numFmtId="37" fontId="40" fillId="17" borderId="0" xfId="0" applyNumberFormat="1" applyFont="1" applyFill="1" applyBorder="1" applyAlignment="1">
      <alignment horizontal="right"/>
    </xf>
    <xf numFmtId="37" fontId="40" fillId="19" borderId="11" xfId="0" applyNumberFormat="1" applyFont="1" applyFill="1" applyBorder="1" applyAlignment="1">
      <alignment horizontal="right"/>
    </xf>
    <xf numFmtId="1" fontId="39" fillId="17" borderId="0" xfId="0" applyNumberFormat="1" applyFont="1" applyFill="1" applyBorder="1" applyAlignment="1">
      <alignment horizontal="right"/>
    </xf>
    <xf numFmtId="1" fontId="43" fillId="17" borderId="0" xfId="0" applyNumberFormat="1" applyFont="1" applyFill="1" applyBorder="1" applyAlignment="1">
      <alignment horizontal="right"/>
    </xf>
    <xf numFmtId="39" fontId="40" fillId="19" borderId="12" xfId="0" applyNumberFormat="1" applyFont="1" applyFill="1" applyBorder="1" applyAlignment="1">
      <alignment horizontal="right"/>
    </xf>
    <xf numFmtId="166" fontId="38" fillId="17" borderId="0" xfId="0" applyNumberFormat="1" applyFont="1" applyFill="1" applyBorder="1" applyAlignment="1">
      <alignment horizontal="right"/>
    </xf>
    <xf numFmtId="166" fontId="38" fillId="17" borderId="0" xfId="0" quotePrefix="1" applyNumberFormat="1" applyFont="1" applyFill="1" applyBorder="1" applyAlignment="1">
      <alignment horizontal="right"/>
    </xf>
    <xf numFmtId="165" fontId="38" fillId="17" borderId="0" xfId="0" applyNumberFormat="1" applyFont="1" applyFill="1" applyBorder="1" applyAlignment="1">
      <alignment horizontal="right"/>
    </xf>
    <xf numFmtId="165" fontId="40" fillId="19" borderId="12" xfId="0" applyNumberFormat="1" applyFont="1" applyFill="1" applyBorder="1" applyAlignment="1">
      <alignment horizontal="right"/>
    </xf>
    <xf numFmtId="39" fontId="40" fillId="19" borderId="0" xfId="0" applyNumberFormat="1" applyFont="1" applyFill="1" applyBorder="1" applyAlignment="1">
      <alignment horizontal="right"/>
    </xf>
    <xf numFmtId="165" fontId="40" fillId="19" borderId="0" xfId="0" applyNumberFormat="1" applyFont="1" applyFill="1" applyBorder="1" applyAlignment="1">
      <alignment horizontal="right"/>
    </xf>
    <xf numFmtId="165" fontId="35" fillId="17" borderId="0" xfId="0" quotePrefix="1" applyNumberFormat="1" applyFont="1" applyFill="1" applyBorder="1" applyAlignment="1">
      <alignment horizontal="right"/>
    </xf>
    <xf numFmtId="165" fontId="35" fillId="18" borderId="0" xfId="0" quotePrefix="1" applyNumberFormat="1" applyFont="1" applyFill="1" applyBorder="1" applyAlignment="1">
      <alignment horizontal="right"/>
    </xf>
    <xf numFmtId="165" fontId="35" fillId="19" borderId="11" xfId="0" quotePrefix="1" applyNumberFormat="1" applyFont="1" applyFill="1" applyBorder="1" applyAlignment="1">
      <alignment horizontal="right"/>
    </xf>
    <xf numFmtId="166" fontId="40" fillId="18" borderId="0" xfId="0" applyNumberFormat="1" applyFont="1" applyFill="1" applyBorder="1"/>
    <xf numFmtId="0" fontId="41" fillId="0" borderId="0" xfId="0" applyFont="1" applyFill="1" applyBorder="1" applyAlignment="1">
      <alignment horizontal="left"/>
    </xf>
    <xf numFmtId="0" fontId="46" fillId="0" borderId="0" xfId="0" applyFont="1" applyFill="1"/>
    <xf numFmtId="172" fontId="45" fillId="0" borderId="0" xfId="0" applyNumberFormat="1" applyFont="1" applyFill="1" applyAlignment="1">
      <alignment horizontal="right"/>
    </xf>
    <xf numFmtId="172" fontId="45" fillId="18" borderId="0" xfId="0" applyNumberFormat="1" applyFont="1" applyFill="1" applyAlignment="1">
      <alignment horizontal="right"/>
    </xf>
    <xf numFmtId="1" fontId="45" fillId="0" borderId="0" xfId="0" applyNumberFormat="1" applyFont="1" applyFill="1" applyAlignment="1">
      <alignment horizontal="right"/>
    </xf>
    <xf numFmtId="166" fontId="44" fillId="0" borderId="0" xfId="0" applyNumberFormat="1" applyFont="1" applyFill="1"/>
    <xf numFmtId="166" fontId="44" fillId="0" borderId="0" xfId="0" applyNumberFormat="1" applyFont="1" applyFill="1" applyAlignment="1">
      <alignment horizontal="right"/>
    </xf>
    <xf numFmtId="166" fontId="38" fillId="0" borderId="0" xfId="0" applyNumberFormat="1" applyFont="1" applyFill="1" applyAlignment="1">
      <alignment horizontal="right"/>
    </xf>
    <xf numFmtId="41" fontId="38" fillId="0" borderId="0" xfId="0" applyNumberFormat="1" applyFont="1" applyFill="1" applyBorder="1" applyAlignment="1">
      <alignment horizontal="right"/>
    </xf>
    <xf numFmtId="0" fontId="41" fillId="0" borderId="0" xfId="0" applyFont="1" applyFill="1" applyBorder="1"/>
    <xf numFmtId="0" fontId="46" fillId="0" borderId="0" xfId="0" applyFont="1" applyFill="1" applyBorder="1" applyAlignment="1">
      <alignment horizontal="left"/>
    </xf>
    <xf numFmtId="166" fontId="35" fillId="0" borderId="0" xfId="0" applyNumberFormat="1" applyFont="1" applyFill="1" applyAlignment="1">
      <alignment horizontal="right"/>
    </xf>
    <xf numFmtId="172" fontId="39" fillId="0" borderId="0" xfId="0" applyNumberFormat="1" applyFont="1" applyFill="1" applyAlignment="1">
      <alignment horizontal="right"/>
    </xf>
    <xf numFmtId="166" fontId="35" fillId="18" borderId="0" xfId="0" applyNumberFormat="1" applyFont="1" applyFill="1" applyAlignment="1">
      <alignment horizontal="right"/>
    </xf>
    <xf numFmtId="1" fontId="39" fillId="0" borderId="0" xfId="0" applyNumberFormat="1" applyFont="1" applyFill="1" applyAlignment="1">
      <alignment horizontal="right"/>
    </xf>
    <xf numFmtId="166" fontId="40" fillId="0" borderId="0" xfId="0" applyNumberFormat="1" applyFont="1" applyFill="1" applyAlignment="1">
      <alignment horizontal="right"/>
    </xf>
    <xf numFmtId="0" fontId="46" fillId="0" borderId="0" xfId="0" applyFont="1" applyFill="1" applyBorder="1"/>
    <xf numFmtId="0" fontId="47" fillId="0" borderId="0" xfId="0" applyFont="1" applyFill="1" applyBorder="1" applyAlignment="1">
      <alignment horizontal="left"/>
    </xf>
    <xf numFmtId="0" fontId="48" fillId="0" borderId="0" xfId="0" applyFont="1" applyFill="1"/>
    <xf numFmtId="166" fontId="48" fillId="0" borderId="0" xfId="0" applyNumberFormat="1" applyFont="1" applyFill="1" applyAlignment="1">
      <alignment horizontal="right"/>
    </xf>
    <xf numFmtId="172" fontId="49" fillId="0" borderId="0" xfId="0" applyNumberFormat="1" applyFont="1" applyFill="1" applyAlignment="1">
      <alignment horizontal="right"/>
    </xf>
    <xf numFmtId="166" fontId="48" fillId="18" borderId="0" xfId="0" applyNumberFormat="1" applyFont="1" applyFill="1" applyAlignment="1">
      <alignment horizontal="right"/>
    </xf>
    <xf numFmtId="1" fontId="49" fillId="0" borderId="0" xfId="0" applyNumberFormat="1" applyFont="1" applyFill="1" applyAlignment="1">
      <alignment horizontal="right"/>
    </xf>
    <xf numFmtId="41" fontId="48" fillId="0" borderId="0" xfId="0" applyNumberFormat="1" applyFont="1" applyFill="1" applyBorder="1" applyAlignment="1">
      <alignment horizontal="right"/>
    </xf>
    <xf numFmtId="0" fontId="47" fillId="0" borderId="0" xfId="0" applyFont="1" applyFill="1" applyBorder="1"/>
    <xf numFmtId="0" fontId="35" fillId="0" borderId="0" xfId="48" applyNumberFormat="1" applyFont="1" applyFill="1"/>
    <xf numFmtId="41" fontId="35" fillId="0" borderId="0" xfId="0" applyNumberFormat="1" applyFont="1" applyFill="1" applyBorder="1" applyAlignment="1">
      <alignment horizontal="right"/>
    </xf>
    <xf numFmtId="41" fontId="35" fillId="18" borderId="0" xfId="0" applyNumberFormat="1" applyFont="1" applyFill="1" applyBorder="1" applyAlignment="1">
      <alignment horizontal="right"/>
    </xf>
    <xf numFmtId="41" fontId="40" fillId="0" borderId="0" xfId="0" applyNumberFormat="1" applyFont="1" applyFill="1" applyBorder="1" applyAlignment="1">
      <alignment horizontal="right"/>
    </xf>
    <xf numFmtId="37" fontId="35" fillId="0" borderId="0" xfId="0" applyNumberFormat="1" applyFont="1" applyFill="1" applyBorder="1" applyAlignment="1">
      <alignment horizontal="right"/>
    </xf>
    <xf numFmtId="172" fontId="50" fillId="0" borderId="0" xfId="0" applyNumberFormat="1" applyFont="1" applyFill="1" applyAlignment="1">
      <alignment horizontal="right"/>
    </xf>
    <xf numFmtId="1" fontId="50" fillId="0" borderId="0" xfId="0" applyNumberFormat="1" applyFont="1" applyFill="1" applyAlignment="1">
      <alignment horizontal="right"/>
    </xf>
    <xf numFmtId="166" fontId="51" fillId="0" borderId="0" xfId="0" applyNumberFormat="1" applyFont="1" applyFill="1" applyAlignment="1">
      <alignment horizontal="right"/>
    </xf>
    <xf numFmtId="41" fontId="51" fillId="0" borderId="0" xfId="0" applyNumberFormat="1" applyFont="1" applyFill="1" applyBorder="1" applyAlignment="1">
      <alignment horizontal="right"/>
    </xf>
    <xf numFmtId="176" fontId="35" fillId="0" borderId="0" xfId="0" applyNumberFormat="1" applyFont="1" applyFill="1" applyAlignment="1">
      <alignment horizontal="right"/>
    </xf>
    <xf numFmtId="176" fontId="35" fillId="18" borderId="0" xfId="0" applyNumberFormat="1" applyFont="1" applyFill="1" applyAlignment="1">
      <alignment horizontal="right"/>
    </xf>
    <xf numFmtId="168" fontId="35" fillId="0" borderId="0" xfId="0" applyNumberFormat="1" applyFont="1" applyFill="1" applyBorder="1" applyAlignment="1">
      <alignment horizontal="right"/>
    </xf>
    <xf numFmtId="168" fontId="38" fillId="0" borderId="0" xfId="0" applyNumberFormat="1" applyFont="1" applyFill="1" applyBorder="1" applyAlignment="1">
      <alignment horizontal="right"/>
    </xf>
    <xf numFmtId="168" fontId="40" fillId="0" borderId="0" xfId="0" applyNumberFormat="1" applyFont="1" applyFill="1" applyBorder="1" applyAlignment="1">
      <alignment horizontal="right"/>
    </xf>
    <xf numFmtId="0" fontId="51" fillId="0" borderId="0" xfId="0" applyFont="1" applyFill="1" applyBorder="1" applyAlignment="1">
      <alignment horizontal="left"/>
    </xf>
    <xf numFmtId="176" fontId="40" fillId="0" borderId="0" xfId="0" applyNumberFormat="1" applyFont="1" applyFill="1" applyAlignment="1">
      <alignment horizontal="right"/>
    </xf>
    <xf numFmtId="176" fontId="51" fillId="0" borderId="0" xfId="0" applyNumberFormat="1" applyFont="1" applyFill="1" applyAlignment="1">
      <alignment horizontal="right"/>
    </xf>
    <xf numFmtId="176" fontId="35" fillId="0" borderId="0" xfId="0" applyNumberFormat="1" applyFont="1" applyFill="1"/>
    <xf numFmtId="0" fontId="51" fillId="0" borderId="0" xfId="0" applyFont="1" applyFill="1" applyBorder="1"/>
    <xf numFmtId="176" fontId="40" fillId="18" borderId="0" xfId="0" applyNumberFormat="1" applyFont="1" applyFill="1" applyBorder="1"/>
    <xf numFmtId="176" fontId="40" fillId="0" borderId="0" xfId="0" applyNumberFormat="1" applyFont="1" applyFill="1"/>
    <xf numFmtId="168" fontId="38" fillId="18" borderId="0" xfId="0" applyNumberFormat="1" applyFont="1" applyFill="1" applyBorder="1" applyAlignment="1">
      <alignment horizontal="right"/>
    </xf>
    <xf numFmtId="167" fontId="51" fillId="0" borderId="0" xfId="0" applyNumberFormat="1" applyFont="1" applyFill="1" applyAlignment="1">
      <alignment horizontal="right"/>
    </xf>
    <xf numFmtId="167" fontId="50" fillId="0" borderId="0" xfId="0" applyNumberFormat="1" applyFont="1" applyFill="1" applyAlignment="1">
      <alignment horizontal="right"/>
    </xf>
    <xf numFmtId="167" fontId="38" fillId="0" borderId="0" xfId="0" applyNumberFormat="1" applyFont="1" applyFill="1" applyBorder="1" applyAlignment="1">
      <alignment horizontal="right"/>
    </xf>
    <xf numFmtId="167" fontId="39" fillId="0" borderId="0" xfId="0" applyNumberFormat="1" applyFont="1" applyFill="1" applyAlignment="1">
      <alignment horizontal="right"/>
    </xf>
    <xf numFmtId="167" fontId="40" fillId="0" borderId="0" xfId="0" applyNumberFormat="1" applyFont="1" applyFill="1" applyBorder="1" applyAlignment="1">
      <alignment horizontal="right"/>
    </xf>
    <xf numFmtId="164" fontId="35" fillId="0" borderId="0" xfId="0" applyNumberFormat="1" applyFont="1" applyFill="1" applyBorder="1" applyAlignment="1">
      <alignment horizontal="right"/>
    </xf>
    <xf numFmtId="164" fontId="40" fillId="0" borderId="0" xfId="0" applyNumberFormat="1" applyFont="1" applyFill="1" applyBorder="1" applyAlignment="1">
      <alignment horizontal="right"/>
    </xf>
    <xf numFmtId="0" fontId="51" fillId="0" borderId="0" xfId="0" applyFont="1" applyFill="1"/>
    <xf numFmtId="176" fontId="50" fillId="0" borderId="0" xfId="0" applyNumberFormat="1" applyFont="1" applyFill="1" applyBorder="1" applyAlignment="1">
      <alignment horizontal="right"/>
    </xf>
    <xf numFmtId="176" fontId="51" fillId="18" borderId="0" xfId="0" applyNumberFormat="1" applyFont="1" applyFill="1" applyBorder="1"/>
    <xf numFmtId="176" fontId="50" fillId="0" borderId="0" xfId="0" applyNumberFormat="1" applyFont="1" applyFill="1" applyAlignment="1">
      <alignment horizontal="right"/>
    </xf>
    <xf numFmtId="172" fontId="39" fillId="0" borderId="0" xfId="0" applyNumberFormat="1" applyFont="1" applyFill="1" applyBorder="1" applyAlignment="1">
      <alignment horizontal="right"/>
    </xf>
    <xf numFmtId="41" fontId="40" fillId="18" borderId="0" xfId="0" applyNumberFormat="1" applyFont="1" applyFill="1" applyBorder="1" applyAlignment="1">
      <alignment horizontal="right"/>
    </xf>
    <xf numFmtId="179" fontId="38" fillId="0" borderId="0" xfId="0" applyNumberFormat="1" applyFont="1" applyFill="1" applyBorder="1" applyAlignment="1">
      <alignment horizontal="right"/>
    </xf>
    <xf numFmtId="177" fontId="39" fillId="0" borderId="0" xfId="0" applyNumberFormat="1" applyFont="1" applyFill="1" applyAlignment="1">
      <alignment horizontal="right"/>
    </xf>
    <xf numFmtId="166" fontId="40" fillId="0" borderId="0" xfId="0" applyNumberFormat="1" applyFont="1" applyFill="1" applyBorder="1" applyAlignment="1">
      <alignment horizontal="right"/>
    </xf>
    <xf numFmtId="166" fontId="40" fillId="18" borderId="0" xfId="0" applyNumberFormat="1" applyFont="1" applyFill="1" applyBorder="1" applyAlignment="1">
      <alignment horizontal="right"/>
    </xf>
    <xf numFmtId="41" fontId="40" fillId="0" borderId="0" xfId="0" applyNumberFormat="1" applyFont="1" applyFill="1" applyAlignment="1">
      <alignment horizontal="right"/>
    </xf>
    <xf numFmtId="0" fontId="52" fillId="0" borderId="0" xfId="0" applyFont="1" applyFill="1" applyBorder="1"/>
    <xf numFmtId="0" fontId="52" fillId="0" borderId="0" xfId="0" applyFont="1" applyFill="1" applyBorder="1" applyAlignment="1">
      <alignment horizontal="left"/>
    </xf>
    <xf numFmtId="0" fontId="53" fillId="0" borderId="0" xfId="0" applyFont="1" applyFill="1" applyBorder="1" applyAlignment="1">
      <alignment horizontal="left"/>
    </xf>
    <xf numFmtId="41" fontId="53" fillId="0" borderId="0" xfId="0" applyNumberFormat="1" applyFont="1" applyFill="1" applyBorder="1"/>
    <xf numFmtId="41" fontId="46" fillId="0" borderId="0" xfId="0" applyNumberFormat="1" applyFont="1" applyFill="1" applyBorder="1"/>
    <xf numFmtId="41" fontId="46" fillId="18" borderId="0" xfId="0" applyNumberFormat="1" applyFont="1" applyFill="1" applyBorder="1"/>
    <xf numFmtId="166" fontId="42" fillId="0" borderId="0" xfId="0" applyNumberFormat="1" applyFont="1" applyFill="1" applyBorder="1" applyAlignment="1">
      <alignment horizontal="right"/>
    </xf>
    <xf numFmtId="41" fontId="42" fillId="0" borderId="0" xfId="0" applyNumberFormat="1" applyFont="1" applyFill="1" applyBorder="1" applyAlignment="1">
      <alignment horizontal="right"/>
    </xf>
    <xf numFmtId="172" fontId="54" fillId="0" borderId="0" xfId="0" applyNumberFormat="1" applyFont="1" applyFill="1" applyAlignment="1">
      <alignment horizontal="right"/>
    </xf>
    <xf numFmtId="41" fontId="42" fillId="0" borderId="0" xfId="0" applyNumberFormat="1" applyFont="1" applyFill="1" applyAlignment="1">
      <alignment horizontal="right"/>
    </xf>
    <xf numFmtId="41" fontId="55" fillId="0" borderId="0" xfId="0" applyNumberFormat="1" applyFont="1" applyFill="1" applyAlignment="1">
      <alignment horizontal="right"/>
    </xf>
    <xf numFmtId="0" fontId="53" fillId="0" borderId="0" xfId="0" applyFont="1" applyFill="1" applyBorder="1"/>
    <xf numFmtId="41" fontId="37" fillId="0" borderId="0" xfId="0" applyNumberFormat="1" applyFont="1" applyFill="1" applyBorder="1" applyAlignment="1">
      <alignment horizontal="right"/>
    </xf>
    <xf numFmtId="41" fontId="38" fillId="0" borderId="0" xfId="0" applyNumberFormat="1" applyFont="1" applyFill="1" applyAlignment="1">
      <alignment horizontal="right"/>
    </xf>
    <xf numFmtId="41" fontId="39" fillId="0" borderId="0" xfId="0" applyNumberFormat="1" applyFont="1" applyFill="1" applyAlignment="1">
      <alignment horizontal="right"/>
    </xf>
    <xf numFmtId="179" fontId="46" fillId="0" borderId="0" xfId="0" applyNumberFormat="1" applyFont="1" applyFill="1" applyBorder="1" applyAlignment="1">
      <alignment horizontal="right"/>
    </xf>
    <xf numFmtId="179" fontId="42" fillId="0" borderId="0" xfId="0" applyNumberFormat="1" applyFont="1" applyFill="1" applyBorder="1" applyAlignment="1">
      <alignment horizontal="right"/>
    </xf>
    <xf numFmtId="179" fontId="46" fillId="18" borderId="0" xfId="0" applyNumberFormat="1" applyFont="1" applyFill="1" applyBorder="1" applyAlignment="1">
      <alignment horizontal="right"/>
    </xf>
    <xf numFmtId="179" fontId="37" fillId="0" borderId="0" xfId="0" applyNumberFormat="1" applyFont="1" applyFill="1" applyBorder="1" applyAlignment="1">
      <alignment horizontal="right"/>
    </xf>
    <xf numFmtId="168" fontId="35" fillId="0" borderId="0" xfId="0" applyNumberFormat="1" applyFont="1" applyFill="1" applyBorder="1"/>
    <xf numFmtId="179" fontId="35" fillId="0" borderId="0" xfId="0" applyNumberFormat="1" applyFont="1" applyFill="1" applyBorder="1"/>
    <xf numFmtId="168" fontId="40" fillId="0" borderId="0" xfId="0" applyNumberFormat="1" applyFont="1" applyFill="1" applyBorder="1"/>
    <xf numFmtId="168" fontId="40" fillId="18" borderId="0" xfId="0" applyNumberFormat="1" applyFont="1" applyFill="1" applyBorder="1" applyAlignment="1">
      <alignment horizontal="right"/>
    </xf>
    <xf numFmtId="1" fontId="39" fillId="19" borderId="0" xfId="0" applyNumberFormat="1" applyFont="1" applyFill="1" applyAlignment="1">
      <alignment horizontal="right"/>
    </xf>
    <xf numFmtId="171" fontId="35" fillId="0" borderId="0" xfId="0" applyNumberFormat="1" applyFont="1" applyFill="1" applyBorder="1"/>
    <xf numFmtId="0" fontId="48" fillId="0" borderId="0" xfId="0" applyFont="1" applyFill="1" applyBorder="1" applyAlignment="1">
      <alignment horizontal="left"/>
    </xf>
    <xf numFmtId="168" fontId="48" fillId="0" borderId="0" xfId="0" applyNumberFormat="1" applyFont="1" applyFill="1" applyBorder="1"/>
    <xf numFmtId="179" fontId="48" fillId="0" borderId="0" xfId="0" applyNumberFormat="1" applyFont="1" applyFill="1" applyBorder="1"/>
    <xf numFmtId="168" fontId="48" fillId="18" borderId="0" xfId="0" applyNumberFormat="1" applyFont="1" applyFill="1" applyBorder="1" applyAlignment="1">
      <alignment horizontal="right"/>
    </xf>
    <xf numFmtId="1" fontId="49" fillId="19" borderId="0" xfId="0" applyNumberFormat="1" applyFont="1" applyFill="1" applyAlignment="1">
      <alignment horizontal="right"/>
    </xf>
    <xf numFmtId="166" fontId="48" fillId="0" borderId="0" xfId="0" applyNumberFormat="1" applyFont="1" applyFill="1" applyBorder="1" applyAlignment="1">
      <alignment horizontal="right"/>
    </xf>
    <xf numFmtId="41" fontId="48" fillId="0" borderId="0" xfId="0" applyNumberFormat="1" applyFont="1" applyFill="1" applyAlignment="1">
      <alignment horizontal="right"/>
    </xf>
    <xf numFmtId="171" fontId="48" fillId="0" borderId="0" xfId="0" applyNumberFormat="1" applyFont="1" applyFill="1" applyBorder="1"/>
    <xf numFmtId="0" fontId="48" fillId="0" borderId="0" xfId="0" applyFont="1" applyFill="1" applyBorder="1"/>
    <xf numFmtId="168" fontId="35" fillId="18" borderId="0" xfId="0" applyNumberFormat="1" applyFont="1" applyFill="1" applyBorder="1" applyAlignment="1">
      <alignment horizontal="right"/>
    </xf>
    <xf numFmtId="168" fontId="40" fillId="19" borderId="0" xfId="0" applyNumberFormat="1" applyFont="1" applyFill="1" applyBorder="1" applyAlignment="1">
      <alignment horizontal="right"/>
    </xf>
    <xf numFmtId="169" fontId="37" fillId="0" borderId="0" xfId="0" applyNumberFormat="1" applyFont="1" applyFill="1" applyBorder="1" applyAlignment="1">
      <alignment horizontal="right"/>
    </xf>
    <xf numFmtId="37" fontId="55" fillId="0" borderId="0" xfId="0" applyNumberFormat="1" applyFont="1" applyFill="1" applyAlignment="1">
      <alignment horizontal="right"/>
    </xf>
    <xf numFmtId="37" fontId="55" fillId="18" borderId="0" xfId="0" applyNumberFormat="1" applyFont="1" applyFill="1" applyBorder="1" applyAlignment="1">
      <alignment horizontal="right"/>
    </xf>
    <xf numFmtId="176" fontId="38" fillId="0" borderId="0" xfId="0" applyNumberFormat="1" applyFont="1" applyFill="1" applyAlignment="1">
      <alignment horizontal="right"/>
    </xf>
    <xf numFmtId="176" fontId="38" fillId="18" borderId="0" xfId="0" applyNumberFormat="1" applyFont="1" applyFill="1" applyBorder="1" applyAlignment="1">
      <alignment horizontal="right"/>
    </xf>
    <xf numFmtId="183" fontId="38" fillId="18" borderId="0" xfId="0" applyNumberFormat="1" applyFont="1" applyFill="1" applyBorder="1" applyAlignment="1">
      <alignment horizontal="right"/>
    </xf>
    <xf numFmtId="183" fontId="40" fillId="0" borderId="0" xfId="0" applyNumberFormat="1" applyFont="1" applyFill="1" applyAlignment="1">
      <alignment horizontal="right"/>
    </xf>
    <xf numFmtId="183" fontId="38" fillId="0" borderId="0" xfId="0" applyNumberFormat="1" applyFont="1" applyFill="1" applyAlignment="1">
      <alignment horizontal="right"/>
    </xf>
    <xf numFmtId="183" fontId="39" fillId="0" borderId="0" xfId="0" applyNumberFormat="1" applyFont="1" applyFill="1" applyAlignment="1">
      <alignment horizontal="right"/>
    </xf>
    <xf numFmtId="183" fontId="35" fillId="0" borderId="0" xfId="0" applyNumberFormat="1" applyFont="1" applyFill="1" applyAlignment="1">
      <alignment horizontal="right"/>
    </xf>
    <xf numFmtId="179" fontId="55" fillId="0" borderId="0" xfId="0" applyNumberFormat="1" applyFont="1" applyFill="1" applyAlignment="1">
      <alignment horizontal="right"/>
    </xf>
    <xf numFmtId="179" fontId="40" fillId="0" borderId="0" xfId="0" applyNumberFormat="1" applyFont="1" applyFill="1" applyBorder="1" applyAlignment="1">
      <alignment horizontal="right"/>
    </xf>
    <xf numFmtId="179" fontId="40" fillId="18" borderId="0" xfId="0" applyNumberFormat="1" applyFont="1" applyFill="1" applyBorder="1" applyAlignment="1">
      <alignment horizontal="right"/>
    </xf>
    <xf numFmtId="179" fontId="38" fillId="0" borderId="0" xfId="48" applyNumberFormat="1" applyFont="1" applyFill="1" applyAlignment="1">
      <alignment horizontal="right"/>
    </xf>
    <xf numFmtId="171" fontId="40" fillId="0" borderId="0" xfId="0" applyNumberFormat="1" applyFont="1" applyFill="1" applyBorder="1" applyAlignment="1">
      <alignment horizontal="right"/>
    </xf>
    <xf numFmtId="171" fontId="40" fillId="18" borderId="0" xfId="0" applyNumberFormat="1" applyFont="1" applyFill="1" applyBorder="1" applyAlignment="1">
      <alignment horizontal="right"/>
    </xf>
    <xf numFmtId="171" fontId="38" fillId="0" borderId="0" xfId="0" applyNumberFormat="1" applyFont="1" applyFill="1" applyBorder="1" applyAlignment="1">
      <alignment horizontal="right"/>
    </xf>
    <xf numFmtId="170" fontId="38" fillId="0" borderId="0" xfId="0" applyNumberFormat="1" applyFont="1" applyFill="1" applyBorder="1" applyAlignment="1">
      <alignment horizontal="right"/>
    </xf>
    <xf numFmtId="170" fontId="40" fillId="0" borderId="0" xfId="0" applyNumberFormat="1" applyFont="1" applyFill="1" applyBorder="1" applyAlignment="1">
      <alignment horizontal="right"/>
    </xf>
    <xf numFmtId="176" fontId="40" fillId="0" borderId="0" xfId="0" applyNumberFormat="1" applyFont="1" applyFill="1" applyBorder="1" applyAlignment="1">
      <alignment horizontal="right"/>
    </xf>
    <xf numFmtId="37" fontId="40" fillId="0" borderId="0" xfId="0" applyNumberFormat="1" applyFont="1" applyFill="1" applyBorder="1" applyAlignment="1">
      <alignment horizontal="right"/>
    </xf>
    <xf numFmtId="171" fontId="35" fillId="0" borderId="0" xfId="0" applyNumberFormat="1" applyFont="1" applyFill="1" applyBorder="1" applyAlignment="1">
      <alignment horizontal="right"/>
    </xf>
    <xf numFmtId="171" fontId="35" fillId="18" borderId="0" xfId="0" applyNumberFormat="1" applyFont="1" applyFill="1" applyBorder="1" applyAlignment="1">
      <alignment horizontal="right"/>
    </xf>
    <xf numFmtId="176" fontId="35" fillId="0" borderId="0" xfId="0" applyNumberFormat="1" applyFont="1" applyFill="1" applyBorder="1" applyAlignment="1">
      <alignment horizontal="right"/>
    </xf>
    <xf numFmtId="41" fontId="35" fillId="0" borderId="0" xfId="0" applyNumberFormat="1" applyFont="1" applyFill="1" applyAlignment="1">
      <alignment horizontal="right"/>
    </xf>
    <xf numFmtId="171" fontId="46" fillId="0" borderId="0" xfId="0" applyNumberFormat="1" applyFont="1" applyFill="1" applyBorder="1" applyAlignment="1">
      <alignment horizontal="right"/>
    </xf>
    <xf numFmtId="171" fontId="46" fillId="18" borderId="0" xfId="0" applyNumberFormat="1" applyFont="1" applyFill="1" applyBorder="1" applyAlignment="1">
      <alignment horizontal="right"/>
    </xf>
    <xf numFmtId="179" fontId="39" fillId="0" borderId="0" xfId="0" applyNumberFormat="1" applyFont="1" applyFill="1" applyAlignment="1">
      <alignment horizontal="right"/>
    </xf>
    <xf numFmtId="179" fontId="40" fillId="0" borderId="0" xfId="0" applyNumberFormat="1" applyFont="1" applyFill="1" applyAlignment="1">
      <alignment horizontal="right"/>
    </xf>
    <xf numFmtId="179" fontId="55" fillId="0" borderId="0" xfId="0" applyNumberFormat="1" applyFont="1" applyFill="1" applyBorder="1" applyAlignment="1">
      <alignment horizontal="right"/>
    </xf>
    <xf numFmtId="179" fontId="38" fillId="0" borderId="0" xfId="0" applyNumberFormat="1" applyFont="1" applyFill="1" applyAlignment="1">
      <alignment horizontal="right"/>
    </xf>
    <xf numFmtId="41" fontId="46" fillId="0" borderId="0" xfId="0" applyNumberFormat="1" applyFont="1" applyFill="1" applyBorder="1" applyAlignment="1">
      <alignment horizontal="right"/>
    </xf>
    <xf numFmtId="166" fontId="44" fillId="18" borderId="0" xfId="0" applyNumberFormat="1" applyFont="1" applyFill="1" applyBorder="1" applyAlignment="1">
      <alignment horizontal="right"/>
    </xf>
    <xf numFmtId="168" fontId="39" fillId="0" borderId="0" xfId="0" applyNumberFormat="1" applyFont="1" applyFill="1" applyAlignment="1">
      <alignment horizontal="right"/>
    </xf>
    <xf numFmtId="168" fontId="40" fillId="0" borderId="0" xfId="0" applyNumberFormat="1" applyFont="1" applyFill="1" applyAlignment="1">
      <alignment horizontal="right"/>
    </xf>
    <xf numFmtId="41" fontId="46" fillId="18" borderId="0" xfId="0" applyNumberFormat="1" applyFont="1" applyFill="1" applyBorder="1" applyAlignment="1">
      <alignment horizontal="right"/>
    </xf>
    <xf numFmtId="171" fontId="35" fillId="18" borderId="0" xfId="0" applyNumberFormat="1" applyFont="1" applyFill="1" applyBorder="1"/>
    <xf numFmtId="171" fontId="40" fillId="0" borderId="0" xfId="0" applyNumberFormat="1" applyFont="1" applyFill="1" applyBorder="1"/>
    <xf numFmtId="171" fontId="48" fillId="18" borderId="0" xfId="0" applyNumberFormat="1" applyFont="1" applyFill="1" applyBorder="1"/>
    <xf numFmtId="166" fontId="35" fillId="19" borderId="0" xfId="0" applyNumberFormat="1" applyFont="1" applyFill="1" applyBorder="1" applyAlignment="1">
      <alignment horizontal="right"/>
    </xf>
    <xf numFmtId="37" fontId="39" fillId="0" borderId="0" xfId="0" applyNumberFormat="1" applyFont="1" applyFill="1" applyAlignment="1">
      <alignment horizontal="right"/>
    </xf>
    <xf numFmtId="176" fontId="40" fillId="18" borderId="0" xfId="0" applyNumberFormat="1" applyFont="1" applyFill="1" applyBorder="1" applyAlignment="1">
      <alignment horizontal="right"/>
    </xf>
    <xf numFmtId="0" fontId="39" fillId="0" borderId="0" xfId="0" applyNumberFormat="1" applyFont="1" applyFill="1" applyAlignment="1">
      <alignment horizontal="right"/>
    </xf>
    <xf numFmtId="172" fontId="43" fillId="0" borderId="0" xfId="0" applyNumberFormat="1" applyFont="1" applyFill="1" applyAlignment="1">
      <alignment horizontal="right"/>
    </xf>
    <xf numFmtId="1" fontId="43" fillId="0" borderId="0" xfId="0" applyNumberFormat="1" applyFont="1" applyFill="1" applyAlignment="1">
      <alignment horizontal="right"/>
    </xf>
    <xf numFmtId="179" fontId="40" fillId="0" borderId="0" xfId="48" applyNumberFormat="1" applyFont="1" applyFill="1" applyBorder="1" applyAlignment="1">
      <alignment horizontal="right"/>
    </xf>
    <xf numFmtId="166" fontId="38" fillId="0" borderId="0" xfId="0" applyNumberFormat="1" applyFont="1" applyFill="1" applyBorder="1" applyAlignment="1">
      <alignment horizontal="right"/>
    </xf>
    <xf numFmtId="165" fontId="40" fillId="0" borderId="0" xfId="0" applyNumberFormat="1" applyFont="1" applyFill="1" applyBorder="1" applyAlignment="1">
      <alignment horizontal="right"/>
    </xf>
    <xf numFmtId="41" fontId="35" fillId="0" borderId="0" xfId="0" applyNumberFormat="1" applyFont="1" applyFill="1" applyBorder="1"/>
    <xf numFmtId="170" fontId="55" fillId="0" borderId="0" xfId="0" applyNumberFormat="1" applyFont="1" applyFill="1" applyBorder="1" applyAlignment="1">
      <alignment horizontal="right"/>
    </xf>
    <xf numFmtId="176" fontId="46" fillId="0" borderId="0" xfId="0" applyNumberFormat="1" applyFont="1" applyFill="1" applyBorder="1" applyAlignment="1">
      <alignment horizontal="right"/>
    </xf>
    <xf numFmtId="176" fontId="55" fillId="0" borderId="0" xfId="0" applyNumberFormat="1" applyFont="1" applyFill="1" applyAlignment="1">
      <alignment horizontal="right"/>
    </xf>
    <xf numFmtId="166" fontId="55" fillId="0" borderId="0" xfId="0" applyNumberFormat="1" applyFont="1" applyFill="1" applyAlignment="1">
      <alignment horizontal="right"/>
    </xf>
    <xf numFmtId="37" fontId="38" fillId="0" borderId="0" xfId="0" applyNumberFormat="1" applyFont="1" applyFill="1" applyAlignment="1">
      <alignment horizontal="right"/>
    </xf>
    <xf numFmtId="37" fontId="40" fillId="0" borderId="0" xfId="0" applyNumberFormat="1" applyFont="1" applyFill="1" applyAlignment="1">
      <alignment horizontal="right"/>
    </xf>
    <xf numFmtId="37" fontId="55" fillId="0" borderId="0" xfId="0" applyNumberFormat="1" applyFont="1" applyFill="1" applyBorder="1" applyAlignment="1">
      <alignment horizontal="right"/>
    </xf>
    <xf numFmtId="37" fontId="38" fillId="0" borderId="0" xfId="0" applyNumberFormat="1" applyFont="1" applyFill="1" applyBorder="1" applyAlignment="1">
      <alignment horizontal="right"/>
    </xf>
    <xf numFmtId="176" fontId="38" fillId="18" borderId="0" xfId="0" applyNumberFormat="1" applyFont="1" applyFill="1" applyAlignment="1">
      <alignment horizontal="right"/>
    </xf>
    <xf numFmtId="183" fontId="35" fillId="18" borderId="0" xfId="0" applyNumberFormat="1" applyFont="1" applyFill="1" applyAlignment="1">
      <alignment horizontal="right"/>
    </xf>
    <xf numFmtId="179" fontId="55" fillId="18" borderId="0" xfId="0" applyNumberFormat="1" applyFont="1" applyFill="1" applyAlignment="1">
      <alignment horizontal="right"/>
    </xf>
    <xf numFmtId="177" fontId="35" fillId="0" borderId="0" xfId="0" applyNumberFormat="1" applyFont="1" applyFill="1"/>
    <xf numFmtId="1" fontId="35" fillId="0" borderId="0" xfId="0" applyNumberFormat="1" applyFont="1" applyFill="1"/>
    <xf numFmtId="177" fontId="40" fillId="0" borderId="0" xfId="0" applyNumberFormat="1" applyFont="1" applyFill="1" applyAlignment="1">
      <alignment horizontal="right"/>
    </xf>
    <xf numFmtId="177" fontId="38" fillId="0" borderId="0" xfId="0" applyNumberFormat="1" applyFont="1" applyFill="1" applyAlignment="1">
      <alignment horizontal="right"/>
    </xf>
    <xf numFmtId="177" fontId="38" fillId="0" borderId="0" xfId="0" applyNumberFormat="1" applyFont="1" applyFill="1" applyBorder="1" applyAlignment="1">
      <alignment horizontal="right"/>
    </xf>
    <xf numFmtId="176" fontId="55" fillId="18" borderId="0" xfId="0" applyNumberFormat="1" applyFont="1" applyFill="1" applyBorder="1" applyAlignment="1">
      <alignment horizontal="right"/>
    </xf>
    <xf numFmtId="177" fontId="46" fillId="0" borderId="0" xfId="0" applyNumberFormat="1" applyFont="1" applyFill="1"/>
    <xf numFmtId="1" fontId="46" fillId="0" borderId="0" xfId="0" applyNumberFormat="1" applyFont="1" applyFill="1"/>
    <xf numFmtId="166" fontId="42" fillId="0" borderId="0" xfId="0" applyNumberFormat="1" applyFont="1" applyFill="1" applyAlignment="1">
      <alignment horizontal="right"/>
    </xf>
    <xf numFmtId="0" fontId="46" fillId="0" borderId="0" xfId="0" applyFont="1"/>
    <xf numFmtId="1" fontId="43" fillId="0" borderId="0" xfId="0" applyNumberFormat="1" applyFont="1" applyFill="1" applyBorder="1" applyAlignment="1">
      <alignment horizontal="right"/>
    </xf>
    <xf numFmtId="0" fontId="42" fillId="0" borderId="0" xfId="0" applyFont="1" applyFill="1" applyBorder="1"/>
    <xf numFmtId="0" fontId="42" fillId="0" borderId="0" xfId="0" applyFont="1" applyFill="1" applyBorder="1" applyAlignment="1">
      <alignment horizontal="left"/>
    </xf>
    <xf numFmtId="168" fontId="38" fillId="0" borderId="0" xfId="0" applyNumberFormat="1" applyFont="1" applyFill="1" applyAlignment="1">
      <alignment horizontal="right"/>
    </xf>
    <xf numFmtId="41" fontId="55" fillId="0" borderId="0" xfId="0" applyNumberFormat="1" applyFont="1" applyFill="1" applyBorder="1" applyAlignment="1">
      <alignment horizontal="right"/>
    </xf>
    <xf numFmtId="168" fontId="55" fillId="0" borderId="0" xfId="0" applyNumberFormat="1" applyFont="1" applyFill="1" applyBorder="1" applyAlignment="1">
      <alignment horizontal="right"/>
    </xf>
    <xf numFmtId="41" fontId="55" fillId="18" borderId="0" xfId="0" applyNumberFormat="1" applyFont="1" applyFill="1" applyBorder="1" applyAlignment="1">
      <alignment horizontal="right"/>
    </xf>
    <xf numFmtId="0" fontId="38" fillId="0" borderId="0" xfId="0" applyFont="1" applyFill="1" applyBorder="1" applyAlignment="1">
      <alignment horizontal="left"/>
    </xf>
    <xf numFmtId="166" fontId="40" fillId="0" borderId="0" xfId="0" applyNumberFormat="1" applyFont="1" applyFill="1" applyBorder="1"/>
    <xf numFmtId="0" fontId="38" fillId="0" borderId="0" xfId="0" applyFont="1" applyFill="1" applyBorder="1"/>
    <xf numFmtId="0" fontId="40" fillId="0" borderId="0" xfId="0" applyFont="1" applyFill="1" applyBorder="1" applyAlignment="1">
      <alignment horizontal="left"/>
    </xf>
    <xf numFmtId="0" fontId="40" fillId="0" borderId="0" xfId="0" applyFont="1" applyFill="1" applyBorder="1"/>
    <xf numFmtId="41" fontId="42" fillId="18" borderId="0" xfId="0" applyNumberFormat="1" applyFont="1" applyFill="1" applyBorder="1" applyAlignment="1">
      <alignment horizontal="right"/>
    </xf>
    <xf numFmtId="37" fontId="35" fillId="0" borderId="0" xfId="0" applyNumberFormat="1" applyFont="1" applyFill="1" applyAlignment="1">
      <alignment horizontal="right"/>
    </xf>
    <xf numFmtId="170" fontId="38" fillId="18" borderId="0" xfId="0" applyNumberFormat="1" applyFont="1" applyFill="1" applyBorder="1" applyAlignment="1">
      <alignment horizontal="right"/>
    </xf>
    <xf numFmtId="170" fontId="35" fillId="0" borderId="0" xfId="0" applyNumberFormat="1" applyFont="1" applyFill="1" applyBorder="1" applyAlignment="1">
      <alignment horizontal="right"/>
    </xf>
    <xf numFmtId="170" fontId="48" fillId="0" borderId="0" xfId="0" applyNumberFormat="1" applyFont="1" applyFill="1" applyBorder="1" applyAlignment="1">
      <alignment horizontal="right"/>
    </xf>
    <xf numFmtId="170" fontId="48" fillId="18" borderId="0" xfId="0" applyNumberFormat="1" applyFont="1" applyFill="1" applyBorder="1" applyAlignment="1">
      <alignment horizontal="right"/>
    </xf>
    <xf numFmtId="171" fontId="48" fillId="0" borderId="0" xfId="0" applyNumberFormat="1" applyFont="1" applyFill="1" applyBorder="1" applyAlignment="1">
      <alignment horizontal="right"/>
    </xf>
    <xf numFmtId="170" fontId="35" fillId="18" borderId="0" xfId="0" applyNumberFormat="1" applyFont="1" applyFill="1" applyBorder="1" applyAlignment="1">
      <alignment horizontal="right"/>
    </xf>
    <xf numFmtId="170" fontId="39" fillId="0" borderId="0" xfId="0" applyNumberFormat="1" applyFont="1" applyFill="1" applyAlignment="1">
      <alignment horizontal="right"/>
    </xf>
    <xf numFmtId="183" fontId="40" fillId="18" borderId="0" xfId="0" applyNumberFormat="1" applyFont="1" applyFill="1" applyAlignment="1">
      <alignment horizontal="right"/>
    </xf>
    <xf numFmtId="180" fontId="40" fillId="0" borderId="0" xfId="0" applyNumberFormat="1" applyFont="1" applyFill="1" applyAlignment="1">
      <alignment horizontal="right"/>
    </xf>
    <xf numFmtId="180" fontId="38" fillId="0" borderId="0" xfId="0" applyNumberFormat="1" applyFont="1" applyFill="1" applyAlignment="1">
      <alignment horizontal="right"/>
    </xf>
    <xf numFmtId="180" fontId="39" fillId="0" borderId="0" xfId="0" applyNumberFormat="1" applyFont="1" applyFill="1" applyAlignment="1">
      <alignment horizontal="right"/>
    </xf>
    <xf numFmtId="170" fontId="40" fillId="18" borderId="0" xfId="0" applyNumberFormat="1" applyFont="1" applyFill="1" applyBorder="1" applyAlignment="1">
      <alignment horizontal="right"/>
    </xf>
    <xf numFmtId="164" fontId="35" fillId="0" borderId="0" xfId="0" applyNumberFormat="1" applyFont="1" applyFill="1" applyAlignment="1">
      <alignment horizontal="right"/>
    </xf>
    <xf numFmtId="166" fontId="39" fillId="0" borderId="0" xfId="0" applyNumberFormat="1" applyFont="1" applyFill="1" applyAlignment="1">
      <alignment horizontal="right"/>
    </xf>
    <xf numFmtId="166" fontId="46" fillId="0" borderId="0" xfId="0" applyNumberFormat="1" applyFont="1" applyFill="1" applyBorder="1" applyAlignment="1">
      <alignment horizontal="right"/>
    </xf>
    <xf numFmtId="41" fontId="38" fillId="18" borderId="0" xfId="0" applyNumberFormat="1" applyFont="1" applyFill="1" applyBorder="1" applyAlignment="1">
      <alignment horizontal="right"/>
    </xf>
    <xf numFmtId="187" fontId="38" fillId="0" borderId="0" xfId="0" applyNumberFormat="1" applyFont="1" applyFill="1" applyBorder="1" applyAlignment="1">
      <alignment horizontal="right"/>
    </xf>
    <xf numFmtId="187" fontId="38" fillId="18" borderId="0" xfId="0" applyNumberFormat="1" applyFont="1" applyFill="1" applyBorder="1" applyAlignment="1">
      <alignment horizontal="right"/>
    </xf>
    <xf numFmtId="187" fontId="40" fillId="0" borderId="0" xfId="0" applyNumberFormat="1" applyFont="1" applyFill="1" applyBorder="1" applyAlignment="1">
      <alignment horizontal="right"/>
    </xf>
    <xf numFmtId="187" fontId="35" fillId="0" borderId="0" xfId="0" applyNumberFormat="1" applyFont="1" applyFill="1" applyBorder="1" applyAlignment="1">
      <alignment horizontal="right"/>
    </xf>
    <xf numFmtId="190" fontId="40" fillId="0" borderId="0" xfId="0" applyNumberFormat="1" applyFont="1" applyFill="1" applyBorder="1" applyAlignment="1">
      <alignment horizontal="right"/>
    </xf>
    <xf numFmtId="190" fontId="38" fillId="0" borderId="0" xfId="0" applyNumberFormat="1" applyFont="1" applyFill="1" applyBorder="1" applyAlignment="1">
      <alignment horizontal="right"/>
    </xf>
    <xf numFmtId="190" fontId="39" fillId="0" borderId="0" xfId="0" applyNumberFormat="1" applyFont="1" applyFill="1" applyAlignment="1">
      <alignment horizontal="right"/>
    </xf>
    <xf numFmtId="190" fontId="35" fillId="0" borderId="0" xfId="0" applyNumberFormat="1" applyFont="1" applyFill="1" applyBorder="1" applyAlignment="1">
      <alignment horizontal="right"/>
    </xf>
    <xf numFmtId="37" fontId="55" fillId="18" borderId="0" xfId="0" applyNumberFormat="1" applyFont="1" applyFill="1" applyAlignment="1">
      <alignment horizontal="right"/>
    </xf>
    <xf numFmtId="165" fontId="38" fillId="0" borderId="0" xfId="0" applyNumberFormat="1" applyFont="1" applyFill="1" applyAlignment="1">
      <alignment horizontal="right"/>
    </xf>
    <xf numFmtId="165" fontId="40" fillId="0" borderId="0" xfId="0" applyNumberFormat="1" applyFont="1" applyFill="1" applyAlignment="1">
      <alignment horizontal="right"/>
    </xf>
    <xf numFmtId="165" fontId="39" fillId="0" borderId="0" xfId="0" applyNumberFormat="1" applyFont="1" applyFill="1" applyAlignment="1">
      <alignment horizontal="right"/>
    </xf>
    <xf numFmtId="168" fontId="55" fillId="18" borderId="0" xfId="0" applyNumberFormat="1" applyFont="1" applyFill="1" applyBorder="1" applyAlignment="1">
      <alignment horizontal="right"/>
    </xf>
    <xf numFmtId="41" fontId="54" fillId="0" borderId="0" xfId="0" applyNumberFormat="1" applyFont="1" applyFill="1" applyAlignment="1">
      <alignment horizontal="right"/>
    </xf>
    <xf numFmtId="179" fontId="35" fillId="0" borderId="0" xfId="0" applyNumberFormat="1" applyFont="1" applyFill="1" applyBorder="1" applyAlignment="1">
      <alignment horizontal="right"/>
    </xf>
    <xf numFmtId="43" fontId="38" fillId="0" borderId="0" xfId="0" applyNumberFormat="1" applyFont="1" applyFill="1" applyBorder="1" applyAlignment="1">
      <alignment horizontal="right"/>
    </xf>
    <xf numFmtId="43" fontId="38" fillId="18" borderId="0" xfId="0" applyNumberFormat="1" applyFont="1" applyFill="1" applyBorder="1" applyAlignment="1">
      <alignment horizontal="right"/>
    </xf>
    <xf numFmtId="183" fontId="55" fillId="0" borderId="0" xfId="0" applyNumberFormat="1" applyFont="1" applyFill="1" applyAlignment="1">
      <alignment horizontal="right"/>
    </xf>
    <xf numFmtId="171" fontId="39" fillId="0" borderId="0" xfId="0" applyNumberFormat="1" applyFont="1" applyFill="1" applyAlignment="1">
      <alignment horizontal="right"/>
    </xf>
    <xf numFmtId="171" fontId="38" fillId="0" borderId="0" xfId="0" applyNumberFormat="1" applyFont="1" applyFill="1" applyAlignment="1">
      <alignment horizontal="right"/>
    </xf>
    <xf numFmtId="0" fontId="55" fillId="0" borderId="0" xfId="0" applyFont="1" applyFill="1" applyBorder="1" applyAlignment="1">
      <alignment horizontal="left"/>
    </xf>
    <xf numFmtId="183" fontId="38" fillId="0" borderId="0" xfId="0" applyNumberFormat="1" applyFont="1" applyFill="1" applyBorder="1" applyAlignment="1">
      <alignment horizontal="right"/>
    </xf>
    <xf numFmtId="183" fontId="35" fillId="0" borderId="0" xfId="0" applyNumberFormat="1" applyFont="1" applyFill="1" applyBorder="1" applyAlignment="1">
      <alignment horizontal="right"/>
    </xf>
    <xf numFmtId="0" fontId="55" fillId="0" borderId="0" xfId="0" applyFont="1" applyFill="1" applyBorder="1"/>
    <xf numFmtId="180" fontId="35" fillId="0" borderId="0" xfId="0" applyNumberFormat="1" applyFont="1" applyFill="1" applyAlignment="1">
      <alignment horizontal="right"/>
    </xf>
    <xf numFmtId="180" fontId="55" fillId="0" borderId="0" xfId="0" applyNumberFormat="1" applyFont="1" applyFill="1" applyAlignment="1">
      <alignment horizontal="right"/>
    </xf>
    <xf numFmtId="186" fontId="40" fillId="0" borderId="0" xfId="0" applyNumberFormat="1" applyFont="1" applyFill="1" applyBorder="1" applyAlignment="1">
      <alignment horizontal="right"/>
    </xf>
    <xf numFmtId="169" fontId="35" fillId="0" borderId="0" xfId="0" applyNumberFormat="1" applyFont="1" applyFill="1" applyBorder="1" applyAlignment="1">
      <alignment horizontal="right"/>
    </xf>
    <xf numFmtId="169" fontId="39" fillId="0" borderId="0" xfId="0" applyNumberFormat="1" applyFont="1" applyFill="1" applyAlignment="1">
      <alignment horizontal="right"/>
    </xf>
    <xf numFmtId="169" fontId="40" fillId="0" borderId="0" xfId="0" applyNumberFormat="1" applyFont="1" applyFill="1" applyBorder="1" applyAlignment="1">
      <alignment horizontal="right"/>
    </xf>
    <xf numFmtId="43" fontId="35" fillId="0" borderId="0" xfId="48" applyFont="1" applyFill="1" applyBorder="1" applyAlignment="1">
      <alignment horizontal="left"/>
    </xf>
    <xf numFmtId="43" fontId="35" fillId="0" borderId="0" xfId="48" applyFont="1" applyFill="1" applyBorder="1"/>
    <xf numFmtId="43" fontId="39" fillId="0" borderId="0" xfId="48" applyFont="1" applyFill="1" applyAlignment="1">
      <alignment horizontal="right"/>
    </xf>
    <xf numFmtId="43" fontId="38" fillId="0" borderId="0" xfId="48" applyFont="1" applyFill="1" applyBorder="1" applyAlignment="1">
      <alignment horizontal="right"/>
    </xf>
    <xf numFmtId="43" fontId="38" fillId="18" borderId="0" xfId="48" applyFont="1" applyFill="1" applyBorder="1" applyAlignment="1">
      <alignment horizontal="right"/>
    </xf>
    <xf numFmtId="43" fontId="43" fillId="0" borderId="0" xfId="48" applyFont="1" applyFill="1" applyAlignment="1">
      <alignment horizontal="right"/>
    </xf>
    <xf numFmtId="43" fontId="40" fillId="0" borderId="0" xfId="48" applyFont="1" applyFill="1" applyBorder="1" applyAlignment="1">
      <alignment horizontal="right"/>
    </xf>
    <xf numFmtId="1" fontId="43" fillId="0" borderId="0" xfId="48" applyNumberFormat="1" applyFont="1" applyFill="1" applyAlignment="1">
      <alignment horizontal="right"/>
    </xf>
    <xf numFmtId="171" fontId="40" fillId="0" borderId="0" xfId="48" applyNumberFormat="1" applyFont="1" applyFill="1" applyBorder="1" applyAlignment="1">
      <alignment horizontal="right"/>
    </xf>
    <xf numFmtId="171" fontId="43" fillId="0" borderId="0" xfId="48" applyNumberFormat="1" applyFont="1" applyFill="1" applyAlignment="1">
      <alignment horizontal="right"/>
    </xf>
    <xf numFmtId="179" fontId="35" fillId="0" borderId="0" xfId="48" applyNumberFormat="1" applyFont="1" applyFill="1" applyBorder="1" applyAlignment="1">
      <alignment horizontal="right"/>
    </xf>
    <xf numFmtId="0" fontId="46" fillId="0" borderId="0" xfId="0" applyFont="1" applyFill="1" applyAlignment="1">
      <alignment horizontal="left"/>
    </xf>
    <xf numFmtId="10" fontId="46" fillId="0" borderId="0" xfId="0" applyNumberFormat="1" applyFont="1" applyFill="1" applyAlignment="1"/>
    <xf numFmtId="0" fontId="46" fillId="0" borderId="0" xfId="0" applyNumberFormat="1" applyFont="1" applyFill="1"/>
    <xf numFmtId="0" fontId="35" fillId="0" borderId="0" xfId="0" applyNumberFormat="1" applyFont="1" applyFill="1" applyAlignment="1">
      <alignment horizontal="left" indent="1"/>
    </xf>
    <xf numFmtId="0" fontId="35" fillId="0" borderId="0" xfId="0" applyNumberFormat="1" applyFont="1" applyFill="1"/>
    <xf numFmtId="165" fontId="40" fillId="18" borderId="0" xfId="0" applyNumberFormat="1" applyFont="1" applyFill="1" applyBorder="1" applyAlignment="1">
      <alignment horizontal="right"/>
    </xf>
    <xf numFmtId="183" fontId="35" fillId="18" borderId="0" xfId="0" applyNumberFormat="1" applyFont="1" applyFill="1" applyBorder="1" applyAlignment="1">
      <alignment horizontal="right"/>
    </xf>
    <xf numFmtId="183" fontId="40" fillId="0" borderId="0" xfId="0" applyNumberFormat="1" applyFont="1" applyFill="1" applyBorder="1" applyAlignment="1">
      <alignment horizontal="right"/>
    </xf>
    <xf numFmtId="41" fontId="40" fillId="18" borderId="0" xfId="0" applyNumberFormat="1" applyFont="1" applyFill="1" applyAlignment="1">
      <alignment horizontal="right"/>
    </xf>
    <xf numFmtId="170" fontId="38" fillId="0" borderId="0" xfId="0" applyNumberFormat="1" applyFont="1" applyFill="1" applyAlignment="1">
      <alignment horizontal="right"/>
    </xf>
    <xf numFmtId="41" fontId="55" fillId="18" borderId="0" xfId="0" applyNumberFormat="1" applyFont="1" applyFill="1" applyAlignment="1">
      <alignment horizontal="right"/>
    </xf>
    <xf numFmtId="176" fontId="42" fillId="0" borderId="0" xfId="0" applyNumberFormat="1" applyFont="1" applyFill="1" applyAlignment="1">
      <alignment horizontal="right"/>
    </xf>
    <xf numFmtId="169" fontId="55" fillId="0" borderId="0" xfId="0" applyNumberFormat="1" applyFont="1" applyFill="1" applyAlignment="1">
      <alignment horizontal="right"/>
    </xf>
    <xf numFmtId="170" fontId="38" fillId="18" borderId="0" xfId="0" applyNumberFormat="1" applyFont="1" applyFill="1" applyAlignment="1">
      <alignment horizontal="right"/>
    </xf>
    <xf numFmtId="170" fontId="40" fillId="0" borderId="0" xfId="0" applyNumberFormat="1" applyFont="1" applyFill="1" applyAlignment="1">
      <alignment horizontal="right"/>
    </xf>
    <xf numFmtId="190" fontId="40" fillId="0" borderId="0" xfId="0" applyNumberFormat="1" applyFont="1" applyFill="1" applyAlignment="1">
      <alignment horizontal="right"/>
    </xf>
    <xf numFmtId="190" fontId="38" fillId="0" borderId="0" xfId="0" applyNumberFormat="1" applyFont="1" applyFill="1" applyAlignment="1">
      <alignment horizontal="right"/>
    </xf>
    <xf numFmtId="0" fontId="41" fillId="0" borderId="0" xfId="0" applyFont="1" applyFill="1"/>
    <xf numFmtId="166" fontId="40" fillId="0" borderId="0" xfId="0" applyNumberFormat="1" applyFont="1" applyFill="1"/>
    <xf numFmtId="166" fontId="40" fillId="0" borderId="0" xfId="0" applyNumberFormat="1" applyFont="1" applyAlignment="1">
      <alignment horizontal="right"/>
    </xf>
    <xf numFmtId="43" fontId="40" fillId="0" borderId="0" xfId="0" applyNumberFormat="1" applyFont="1" applyFill="1" applyAlignment="1">
      <alignment horizontal="right"/>
    </xf>
    <xf numFmtId="43" fontId="38" fillId="0" borderId="0" xfId="0" applyNumberFormat="1" applyFont="1" applyFill="1" applyAlignment="1">
      <alignment horizontal="right"/>
    </xf>
    <xf numFmtId="165" fontId="35" fillId="0" borderId="0" xfId="0" applyNumberFormat="1" applyFont="1" applyFill="1" applyBorder="1" applyAlignment="1">
      <alignment horizontal="right"/>
    </xf>
    <xf numFmtId="41" fontId="40" fillId="0" borderId="0" xfId="0" applyNumberFormat="1" applyFont="1" applyFill="1"/>
    <xf numFmtId="41" fontId="40" fillId="18" borderId="0" xfId="0" applyNumberFormat="1" applyFont="1" applyFill="1" applyBorder="1"/>
    <xf numFmtId="37" fontId="40" fillId="0" borderId="0" xfId="0" applyNumberFormat="1" applyFont="1" applyFill="1"/>
    <xf numFmtId="169" fontId="40" fillId="0" borderId="0" xfId="0" applyNumberFormat="1" applyFont="1" applyAlignment="1">
      <alignment horizontal="right"/>
    </xf>
    <xf numFmtId="169" fontId="40" fillId="0" borderId="0" xfId="0" applyNumberFormat="1" applyFont="1" applyFill="1"/>
    <xf numFmtId="169" fontId="38" fillId="0" borderId="0" xfId="0" applyNumberFormat="1" applyFont="1" applyFill="1"/>
    <xf numFmtId="37" fontId="35" fillId="0" borderId="0" xfId="0" applyNumberFormat="1" applyFont="1" applyFill="1"/>
    <xf numFmtId="169" fontId="40" fillId="0" borderId="0" xfId="0" applyNumberFormat="1" applyFont="1" applyFill="1" applyAlignment="1">
      <alignment horizontal="right"/>
    </xf>
    <xf numFmtId="41" fontId="38" fillId="0" borderId="0" xfId="0" applyNumberFormat="1" applyFont="1" applyFill="1"/>
    <xf numFmtId="169" fontId="35" fillId="0" borderId="0" xfId="0" applyNumberFormat="1" applyFont="1" applyFill="1"/>
    <xf numFmtId="169" fontId="35" fillId="0" borderId="0" xfId="0" applyNumberFormat="1" applyFont="1" applyFill="1" applyAlignment="1">
      <alignment horizontal="right"/>
    </xf>
    <xf numFmtId="41" fontId="40" fillId="18" borderId="0" xfId="0" applyNumberFormat="1" applyFont="1" applyFill="1"/>
    <xf numFmtId="41" fontId="35" fillId="0" borderId="0" xfId="0" applyNumberFormat="1" applyFont="1" applyFill="1"/>
    <xf numFmtId="41" fontId="38" fillId="18" borderId="0" xfId="0" applyNumberFormat="1" applyFont="1" applyFill="1" applyBorder="1"/>
    <xf numFmtId="37" fontId="38" fillId="0" borderId="0" xfId="0" applyNumberFormat="1" applyFont="1" applyFill="1"/>
    <xf numFmtId="168" fontId="40" fillId="0" borderId="0" xfId="0" applyNumberFormat="1" applyFont="1" applyFill="1"/>
    <xf numFmtId="168" fontId="38" fillId="0" borderId="0" xfId="0" applyNumberFormat="1" applyFont="1" applyFill="1"/>
    <xf numFmtId="41" fontId="40" fillId="0" borderId="0" xfId="0" applyNumberFormat="1" applyFont="1" applyFill="1" applyBorder="1"/>
    <xf numFmtId="37" fontId="40" fillId="0" borderId="0" xfId="0" applyNumberFormat="1" applyFont="1" applyFill="1" applyBorder="1"/>
    <xf numFmtId="41" fontId="35" fillId="18" borderId="0" xfId="0" applyNumberFormat="1" applyFont="1" applyFill="1" applyBorder="1"/>
    <xf numFmtId="171" fontId="35" fillId="0" borderId="0" xfId="48" applyNumberFormat="1" applyFont="1" applyFill="1" applyBorder="1" applyAlignment="1">
      <alignment horizontal="right"/>
    </xf>
    <xf numFmtId="179" fontId="40" fillId="0" borderId="0" xfId="0" applyNumberFormat="1" applyFont="1" applyFill="1"/>
    <xf numFmtId="41" fontId="51" fillId="0" borderId="0" xfId="0" applyNumberFormat="1" applyFont="1" applyFill="1" applyAlignment="1">
      <alignment horizontal="right"/>
    </xf>
    <xf numFmtId="41" fontId="35" fillId="18" borderId="0" xfId="0" applyNumberFormat="1" applyFont="1" applyFill="1" applyAlignment="1">
      <alignment horizontal="right"/>
    </xf>
    <xf numFmtId="37" fontId="35" fillId="0" borderId="0" xfId="0" applyNumberFormat="1" applyFont="1" applyFill="1" applyBorder="1"/>
    <xf numFmtId="176" fontId="39" fillId="0" borderId="0" xfId="0" applyNumberFormat="1" applyFont="1" applyFill="1" applyAlignment="1">
      <alignment horizontal="right"/>
    </xf>
    <xf numFmtId="176" fontId="38" fillId="0" borderId="0" xfId="0" applyNumberFormat="1" applyFont="1" applyFill="1" applyBorder="1" applyAlignment="1">
      <alignment horizontal="right"/>
    </xf>
    <xf numFmtId="176" fontId="35" fillId="0" borderId="0" xfId="0" applyNumberFormat="1" applyFont="1" applyFill="1" applyBorder="1"/>
    <xf numFmtId="41" fontId="55" fillId="0" borderId="0" xfId="0" applyNumberFormat="1" applyFont="1" applyFill="1"/>
    <xf numFmtId="41" fontId="42" fillId="0" borderId="0" xfId="0" applyNumberFormat="1" applyFont="1" applyFill="1"/>
    <xf numFmtId="41" fontId="46" fillId="0" borderId="0" xfId="0" applyNumberFormat="1" applyFont="1" applyFill="1" applyAlignment="1">
      <alignment horizontal="right"/>
    </xf>
    <xf numFmtId="43" fontId="55" fillId="0" borderId="0" xfId="0" applyNumberFormat="1" applyFont="1" applyFill="1" applyAlignment="1">
      <alignment horizontal="right"/>
    </xf>
    <xf numFmtId="43" fontId="55" fillId="18" borderId="0" xfId="0" applyNumberFormat="1" applyFont="1" applyFill="1" applyBorder="1" applyAlignment="1">
      <alignment horizontal="right"/>
    </xf>
    <xf numFmtId="2" fontId="39" fillId="0" borderId="0" xfId="0" applyNumberFormat="1" applyFont="1" applyFill="1" applyAlignment="1">
      <alignment horizontal="right"/>
    </xf>
    <xf numFmtId="166" fontId="40" fillId="0" borderId="0" xfId="0" quotePrefix="1" applyNumberFormat="1" applyFont="1" applyFill="1" applyBorder="1" applyAlignment="1">
      <alignment horizontal="left"/>
    </xf>
    <xf numFmtId="165" fontId="40" fillId="0" borderId="0" xfId="0" applyNumberFormat="1" applyFont="1" applyFill="1"/>
    <xf numFmtId="43" fontId="55" fillId="18" borderId="0" xfId="0" applyNumberFormat="1" applyFont="1" applyFill="1" applyAlignment="1">
      <alignment horizontal="right"/>
    </xf>
    <xf numFmtId="43" fontId="46" fillId="0" borderId="0" xfId="0" applyNumberFormat="1" applyFont="1" applyFill="1" applyAlignment="1">
      <alignment horizontal="right"/>
    </xf>
    <xf numFmtId="165" fontId="46" fillId="0" borderId="0" xfId="0" applyNumberFormat="1" applyFont="1" applyFill="1" applyBorder="1" applyAlignment="1">
      <alignment horizontal="right"/>
    </xf>
    <xf numFmtId="43" fontId="35" fillId="0" borderId="0" xfId="0" applyNumberFormat="1" applyFont="1" applyFill="1" applyBorder="1" applyAlignment="1">
      <alignment horizontal="left"/>
    </xf>
    <xf numFmtId="175" fontId="38" fillId="0" borderId="0" xfId="0" applyNumberFormat="1" applyFont="1" applyFill="1" applyAlignment="1">
      <alignment horizontal="right"/>
    </xf>
    <xf numFmtId="175" fontId="38" fillId="18" borderId="0" xfId="0" applyNumberFormat="1" applyFont="1" applyFill="1" applyAlignment="1">
      <alignment horizontal="right"/>
    </xf>
    <xf numFmtId="43" fontId="42" fillId="0" borderId="0" xfId="0" applyNumberFormat="1" applyFont="1" applyFill="1" applyAlignment="1">
      <alignment horizontal="right"/>
    </xf>
    <xf numFmtId="165" fontId="40" fillId="18" borderId="0" xfId="0" applyNumberFormat="1" applyFont="1" applyFill="1"/>
    <xf numFmtId="165" fontId="40" fillId="0" borderId="0" xfId="0" applyNumberFormat="1" applyFont="1" applyFill="1" applyBorder="1"/>
    <xf numFmtId="10" fontId="35" fillId="0" borderId="0" xfId="0" applyNumberFormat="1" applyFont="1" applyAlignment="1"/>
    <xf numFmtId="9" fontId="40" fillId="18" borderId="0" xfId="81" applyFont="1" applyFill="1" applyBorder="1"/>
    <xf numFmtId="41" fontId="38" fillId="0" borderId="0" xfId="0" applyNumberFormat="1" applyFont="1" applyFill="1" applyBorder="1"/>
    <xf numFmtId="166" fontId="40" fillId="0" borderId="0" xfId="0" applyNumberFormat="1" applyFont="1"/>
    <xf numFmtId="166" fontId="35" fillId="0" borderId="0" xfId="0" applyNumberFormat="1" applyFont="1" applyFill="1"/>
    <xf numFmtId="166" fontId="35" fillId="18" borderId="0" xfId="0" applyNumberFormat="1" applyFont="1" applyFill="1"/>
    <xf numFmtId="0" fontId="35" fillId="0" borderId="0" xfId="0" applyFont="1" applyAlignment="1">
      <alignment horizontal="left"/>
    </xf>
    <xf numFmtId="170" fontId="38" fillId="0" borderId="0" xfId="0" quotePrefix="1" applyNumberFormat="1" applyFont="1" applyFill="1" applyAlignment="1">
      <alignment horizontal="right"/>
    </xf>
    <xf numFmtId="170" fontId="38" fillId="18" borderId="0" xfId="0" quotePrefix="1" applyNumberFormat="1" applyFont="1" applyFill="1" applyAlignment="1">
      <alignment horizontal="right"/>
    </xf>
    <xf numFmtId="166" fontId="40" fillId="0" borderId="0" xfId="0" applyNumberFormat="1" applyFont="1" applyBorder="1" applyAlignment="1">
      <alignment horizontal="right"/>
    </xf>
    <xf numFmtId="171" fontId="40" fillId="0" borderId="0" xfId="0" applyNumberFormat="1" applyFont="1" applyFill="1" applyAlignment="1">
      <alignment horizontal="right"/>
    </xf>
    <xf numFmtId="0" fontId="38" fillId="0" borderId="0" xfId="0" applyFont="1" applyFill="1"/>
    <xf numFmtId="166" fontId="38" fillId="18" borderId="0" xfId="0" applyNumberFormat="1" applyFont="1" applyFill="1" applyBorder="1" applyAlignment="1">
      <alignment horizontal="right"/>
    </xf>
    <xf numFmtId="165" fontId="35" fillId="0" borderId="0" xfId="0" applyNumberFormat="1" applyFont="1" applyFill="1" applyAlignment="1">
      <alignment horizontal="right"/>
    </xf>
    <xf numFmtId="1" fontId="35" fillId="0" borderId="0" xfId="0" applyNumberFormat="1" applyFont="1" applyFill="1" applyAlignment="1">
      <alignment horizontal="right"/>
    </xf>
    <xf numFmtId="9" fontId="35" fillId="0" borderId="0" xfId="81" applyFont="1" applyFill="1" applyAlignment="1">
      <alignment horizontal="right"/>
    </xf>
    <xf numFmtId="9" fontId="35" fillId="18" borderId="0" xfId="81" applyFont="1" applyFill="1" applyAlignment="1">
      <alignment horizontal="right"/>
    </xf>
    <xf numFmtId="41" fontId="35" fillId="0" borderId="0" xfId="81" applyNumberFormat="1" applyFont="1" applyFill="1" applyAlignment="1">
      <alignment horizontal="right"/>
    </xf>
    <xf numFmtId="41" fontId="35" fillId="18" borderId="0" xfId="81" applyNumberFormat="1" applyFont="1" applyFill="1" applyAlignment="1">
      <alignment horizontal="right"/>
    </xf>
    <xf numFmtId="186" fontId="35" fillId="0" borderId="0" xfId="81" applyNumberFormat="1" applyFont="1" applyFill="1" applyAlignment="1">
      <alignment horizontal="right"/>
    </xf>
    <xf numFmtId="0" fontId="35" fillId="18" borderId="0" xfId="0" applyFont="1" applyFill="1" applyAlignment="1">
      <alignment horizontal="right"/>
    </xf>
    <xf numFmtId="178" fontId="35" fillId="0" borderId="0" xfId="0" applyNumberFormat="1" applyFont="1" applyFill="1" applyAlignment="1">
      <alignment horizontal="right"/>
    </xf>
    <xf numFmtId="3" fontId="36" fillId="0" borderId="0" xfId="0" applyNumberFormat="1" applyFont="1" applyFill="1" applyBorder="1" applyAlignment="1">
      <alignment horizontal="right"/>
    </xf>
    <xf numFmtId="179" fontId="35" fillId="0" borderId="0" xfId="0" applyNumberFormat="1" applyFont="1" applyFill="1" applyAlignment="1">
      <alignment horizontal="right"/>
    </xf>
    <xf numFmtId="179" fontId="35" fillId="18" borderId="0" xfId="0" applyNumberFormat="1" applyFont="1" applyFill="1" applyAlignment="1">
      <alignment horizontal="right"/>
    </xf>
    <xf numFmtId="168" fontId="35" fillId="0" borderId="0" xfId="0" applyNumberFormat="1" applyFont="1" applyFill="1" applyAlignment="1">
      <alignment horizontal="right"/>
    </xf>
    <xf numFmtId="168" fontId="35" fillId="18" borderId="0" xfId="0" applyNumberFormat="1" applyFont="1" applyFill="1" applyAlignment="1">
      <alignment horizontal="right"/>
    </xf>
    <xf numFmtId="43" fontId="35" fillId="18" borderId="0" xfId="0" applyNumberFormat="1" applyFont="1" applyFill="1" applyAlignment="1">
      <alignment horizontal="right"/>
    </xf>
    <xf numFmtId="0" fontId="35" fillId="20" borderId="13" xfId="0" applyFont="1" applyFill="1" applyBorder="1"/>
    <xf numFmtId="0" fontId="35" fillId="20" borderId="13" xfId="0" applyFont="1" applyFill="1" applyBorder="1" applyAlignment="1">
      <alignment horizontal="left"/>
    </xf>
    <xf numFmtId="0" fontId="41" fillId="20" borderId="13" xfId="0" applyFont="1" applyFill="1" applyBorder="1"/>
    <xf numFmtId="172" fontId="39" fillId="20" borderId="13" xfId="0" applyNumberFormat="1" applyFont="1" applyFill="1" applyBorder="1" applyAlignment="1">
      <alignment horizontal="right"/>
    </xf>
    <xf numFmtId="166" fontId="40" fillId="20" borderId="13" xfId="0" applyNumberFormat="1" applyFont="1" applyFill="1" applyBorder="1" applyAlignment="1">
      <alignment horizontal="right"/>
    </xf>
    <xf numFmtId="1" fontId="39" fillId="20" borderId="13" xfId="0" applyNumberFormat="1" applyFont="1" applyFill="1" applyBorder="1" applyAlignment="1">
      <alignment horizontal="right"/>
    </xf>
    <xf numFmtId="0" fontId="41" fillId="20" borderId="13" xfId="0" applyFont="1" applyFill="1" applyBorder="1" applyAlignment="1">
      <alignment horizontal="left"/>
    </xf>
    <xf numFmtId="41" fontId="48" fillId="0" borderId="0" xfId="0" applyNumberFormat="1" applyFont="1" applyFill="1" applyBorder="1"/>
    <xf numFmtId="41" fontId="48" fillId="18" borderId="0" xfId="0" applyNumberFormat="1" applyFont="1" applyFill="1" applyBorder="1"/>
    <xf numFmtId="189" fontId="49" fillId="0" borderId="0" xfId="0" applyNumberFormat="1" applyFont="1" applyFill="1" applyAlignment="1">
      <alignment horizontal="right"/>
    </xf>
    <xf numFmtId="189" fontId="48" fillId="0" borderId="0" xfId="0" applyNumberFormat="1" applyFont="1" applyFill="1" applyAlignment="1">
      <alignment horizontal="right"/>
    </xf>
    <xf numFmtId="189" fontId="48" fillId="0" borderId="0" xfId="0" applyNumberFormat="1" applyFont="1" applyFill="1"/>
    <xf numFmtId="189" fontId="48" fillId="0" borderId="0" xfId="0" applyNumberFormat="1" applyFont="1" applyFill="1" applyBorder="1" applyAlignment="1">
      <alignment horizontal="right"/>
    </xf>
    <xf numFmtId="3" fontId="36" fillId="0" borderId="0" xfId="0" applyNumberFormat="1" applyFont="1" applyBorder="1" applyAlignment="1">
      <alignment horizontal="right"/>
    </xf>
    <xf numFmtId="0" fontId="36" fillId="0" borderId="0" xfId="0" applyFont="1" applyFill="1" applyBorder="1"/>
    <xf numFmtId="179" fontId="43" fillId="0" borderId="0" xfId="0" applyNumberFormat="1" applyFont="1" applyFill="1" applyBorder="1" applyAlignment="1">
      <alignment horizontal="right"/>
    </xf>
    <xf numFmtId="166" fontId="36" fillId="0" borderId="0" xfId="0" applyNumberFormat="1" applyFont="1" applyFill="1" applyAlignment="1">
      <alignment horizontal="right"/>
    </xf>
    <xf numFmtId="179" fontId="36" fillId="0" borderId="0" xfId="0" applyNumberFormat="1" applyFont="1" applyFill="1" applyAlignment="1">
      <alignment horizontal="right"/>
    </xf>
    <xf numFmtId="0" fontId="36" fillId="0" borderId="0" xfId="0" applyFont="1" applyFill="1" applyAlignment="1">
      <alignment horizontal="right"/>
    </xf>
    <xf numFmtId="168" fontId="36" fillId="0" borderId="0" xfId="0" applyNumberFormat="1" applyFont="1" applyFill="1" applyAlignment="1">
      <alignment horizontal="right"/>
    </xf>
    <xf numFmtId="43" fontId="36" fillId="0" borderId="0" xfId="0" applyNumberFormat="1" applyFont="1" applyFill="1" applyAlignment="1">
      <alignment horizontal="right"/>
    </xf>
    <xf numFmtId="165" fontId="43" fillId="0" borderId="0" xfId="0" applyNumberFormat="1" applyFont="1" applyFill="1"/>
    <xf numFmtId="0" fontId="36" fillId="0" borderId="0" xfId="0" applyFont="1" applyFill="1"/>
    <xf numFmtId="41" fontId="36" fillId="0" borderId="0" xfId="0" applyNumberFormat="1" applyFont="1" applyFill="1" applyAlignment="1">
      <alignment horizontal="right"/>
    </xf>
    <xf numFmtId="41" fontId="39" fillId="0" borderId="0" xfId="0" applyNumberFormat="1" applyFont="1" applyFill="1" applyBorder="1" applyAlignment="1">
      <alignment horizontal="right"/>
    </xf>
    <xf numFmtId="165" fontId="36" fillId="0" borderId="0" xfId="0" applyNumberFormat="1" applyFont="1" applyFill="1" applyAlignment="1">
      <alignment horizontal="right"/>
    </xf>
    <xf numFmtId="0" fontId="36" fillId="0" borderId="0" xfId="0" applyFont="1"/>
    <xf numFmtId="180" fontId="40" fillId="18" borderId="0" xfId="0" applyNumberFormat="1" applyFont="1" applyFill="1" applyAlignment="1">
      <alignment horizontal="right"/>
    </xf>
    <xf numFmtId="183" fontId="38" fillId="18" borderId="0" xfId="0" applyNumberFormat="1" applyFont="1" applyFill="1" applyAlignment="1">
      <alignment horizontal="right"/>
    </xf>
    <xf numFmtId="0" fontId="35" fillId="0" borderId="0" xfId="0" applyFont="1" applyAlignment="1"/>
    <xf numFmtId="0" fontId="46" fillId="0" borderId="0" xfId="0" applyFont="1" applyAlignment="1"/>
    <xf numFmtId="179" fontId="40" fillId="0" borderId="0" xfId="48" applyNumberFormat="1" applyFont="1"/>
    <xf numFmtId="0" fontId="40" fillId="0" borderId="0" xfId="0" applyFont="1" applyAlignment="1">
      <alignment horizontal="right"/>
    </xf>
    <xf numFmtId="0" fontId="36" fillId="0" borderId="0" xfId="0" applyFont="1" applyFill="1" applyBorder="1" applyAlignment="1">
      <alignment horizontal="left"/>
    </xf>
    <xf numFmtId="0" fontId="36" fillId="18" borderId="0" xfId="0" applyFont="1" applyFill="1" applyAlignment="1">
      <alignment horizontal="right"/>
    </xf>
    <xf numFmtId="1" fontId="46" fillId="0" borderId="0" xfId="0" applyNumberFormat="1" applyFont="1" applyAlignment="1">
      <alignment horizontal="right"/>
    </xf>
    <xf numFmtId="0" fontId="46" fillId="0" borderId="0" xfId="0" applyFont="1" applyAlignment="1">
      <alignment horizontal="right"/>
    </xf>
    <xf numFmtId="2" fontId="35" fillId="0" borderId="0" xfId="0" applyNumberFormat="1" applyFont="1"/>
    <xf numFmtId="0" fontId="40" fillId="0" borderId="0" xfId="0" applyFont="1"/>
    <xf numFmtId="3" fontId="35" fillId="0" borderId="0" xfId="0" applyNumberFormat="1" applyFont="1"/>
    <xf numFmtId="3" fontId="36" fillId="0" borderId="0" xfId="0" applyNumberFormat="1" applyFont="1"/>
    <xf numFmtId="3" fontId="36" fillId="0" borderId="0" xfId="0" applyNumberFormat="1" applyFont="1" applyFill="1"/>
    <xf numFmtId="197" fontId="36" fillId="0" borderId="0" xfId="81" applyNumberFormat="1" applyFont="1" applyFill="1"/>
    <xf numFmtId="0" fontId="43" fillId="0" borderId="0" xfId="0" applyFont="1" applyAlignment="1">
      <alignment horizontal="right"/>
    </xf>
    <xf numFmtId="2" fontId="40" fillId="0" borderId="0" xfId="0" applyNumberFormat="1" applyFont="1"/>
    <xf numFmtId="3" fontId="35" fillId="0" borderId="0" xfId="0" applyNumberFormat="1" applyFont="1" applyFill="1"/>
    <xf numFmtId="0" fontId="40" fillId="0" borderId="0" xfId="0" applyFont="1" applyFill="1" applyAlignment="1">
      <alignment horizontal="right"/>
    </xf>
    <xf numFmtId="169" fontId="38" fillId="0" borderId="0" xfId="0" applyNumberFormat="1" applyFont="1" applyFill="1" applyBorder="1" applyAlignment="1">
      <alignment horizontal="right"/>
    </xf>
    <xf numFmtId="169" fontId="46" fillId="0" borderId="0" xfId="0" applyNumberFormat="1" applyFont="1" applyFill="1" applyBorder="1" applyAlignment="1">
      <alignment horizontal="right"/>
    </xf>
    <xf numFmtId="197" fontId="40" fillId="0" borderId="0" xfId="81" applyNumberFormat="1" applyFont="1" applyFill="1" applyBorder="1" applyAlignment="1">
      <alignment horizontal="right"/>
    </xf>
    <xf numFmtId="0" fontId="35" fillId="0" borderId="0" xfId="0" applyFont="1" applyAlignment="1">
      <alignment horizontal="right"/>
    </xf>
    <xf numFmtId="0" fontId="40" fillId="0" borderId="0" xfId="0" applyFont="1" applyFill="1"/>
    <xf numFmtId="0" fontId="35" fillId="21" borderId="0" xfId="0" applyFont="1" applyFill="1" applyBorder="1"/>
    <xf numFmtId="0" fontId="35" fillId="22" borderId="0" xfId="0" applyFont="1" applyFill="1" applyBorder="1" applyAlignment="1">
      <alignment horizontal="right"/>
    </xf>
    <xf numFmtId="0" fontId="35" fillId="22" borderId="0" xfId="0" applyFont="1" applyFill="1" applyBorder="1"/>
    <xf numFmtId="0" fontId="35" fillId="22" borderId="0" xfId="0" applyFont="1" applyFill="1" applyAlignment="1">
      <alignment horizontal="right"/>
    </xf>
    <xf numFmtId="166" fontId="35" fillId="22" borderId="11" xfId="0" applyNumberFormat="1" applyFont="1" applyFill="1" applyBorder="1" applyAlignment="1">
      <alignment horizontal="right"/>
    </xf>
    <xf numFmtId="166" fontId="35" fillId="22" borderId="0" xfId="0" applyNumberFormat="1" applyFont="1" applyFill="1" applyAlignment="1">
      <alignment horizontal="right"/>
    </xf>
    <xf numFmtId="164" fontId="35" fillId="22" borderId="0" xfId="0" applyNumberFormat="1" applyFont="1" applyFill="1" applyAlignment="1">
      <alignment horizontal="right"/>
    </xf>
    <xf numFmtId="166" fontId="44" fillId="22" borderId="0" xfId="0" applyNumberFormat="1" applyFont="1" applyFill="1" applyBorder="1" applyAlignment="1">
      <alignment horizontal="right"/>
    </xf>
    <xf numFmtId="166" fontId="35" fillId="22" borderId="0" xfId="0" applyNumberFormat="1" applyFont="1" applyFill="1" applyBorder="1" applyAlignment="1">
      <alignment horizontal="right"/>
    </xf>
    <xf numFmtId="166" fontId="48" fillId="22" borderId="0" xfId="0" applyNumberFormat="1" applyFont="1" applyFill="1" applyBorder="1" applyAlignment="1">
      <alignment horizontal="right"/>
    </xf>
    <xf numFmtId="166" fontId="51" fillId="22" borderId="0" xfId="0" applyNumberFormat="1" applyFont="1" applyFill="1" applyBorder="1" applyAlignment="1">
      <alignment horizontal="right"/>
    </xf>
    <xf numFmtId="167" fontId="51" fillId="22" borderId="0" xfId="0" applyNumberFormat="1" applyFont="1" applyFill="1" applyBorder="1" applyAlignment="1">
      <alignment horizontal="right"/>
    </xf>
    <xf numFmtId="166" fontId="40" fillId="22" borderId="0" xfId="0" applyNumberFormat="1" applyFont="1" applyFill="1" applyBorder="1" applyAlignment="1">
      <alignment horizontal="right"/>
    </xf>
    <xf numFmtId="166" fontId="42" fillId="22" borderId="0" xfId="0" applyNumberFormat="1" applyFont="1" applyFill="1" applyBorder="1" applyAlignment="1">
      <alignment horizontal="right"/>
    </xf>
    <xf numFmtId="41" fontId="40" fillId="22" borderId="0" xfId="0" applyNumberFormat="1" applyFont="1" applyFill="1" applyBorder="1" applyAlignment="1">
      <alignment horizontal="right"/>
    </xf>
    <xf numFmtId="166" fontId="47" fillId="22" borderId="0" xfId="0" applyNumberFormat="1" applyFont="1" applyFill="1" applyBorder="1" applyAlignment="1">
      <alignment horizontal="right"/>
    </xf>
    <xf numFmtId="183" fontId="35" fillId="22" borderId="0" xfId="0" applyNumberFormat="1" applyFont="1" applyFill="1" applyBorder="1" applyAlignment="1">
      <alignment horizontal="right"/>
    </xf>
    <xf numFmtId="179" fontId="40" fillId="22" borderId="0" xfId="0" applyNumberFormat="1" applyFont="1" applyFill="1" applyBorder="1" applyAlignment="1">
      <alignment horizontal="right"/>
    </xf>
    <xf numFmtId="168" fontId="40" fillId="22" borderId="0" xfId="0" applyNumberFormat="1" applyFont="1" applyFill="1" applyBorder="1" applyAlignment="1">
      <alignment horizontal="right"/>
    </xf>
    <xf numFmtId="37" fontId="40" fillId="22" borderId="0" xfId="0" applyNumberFormat="1" applyFont="1" applyFill="1" applyBorder="1" applyAlignment="1">
      <alignment horizontal="right"/>
    </xf>
    <xf numFmtId="177" fontId="40" fillId="22" borderId="0" xfId="0" applyNumberFormat="1" applyFont="1" applyFill="1" applyBorder="1" applyAlignment="1">
      <alignment horizontal="right"/>
    </xf>
    <xf numFmtId="170" fontId="40" fillId="22" borderId="0" xfId="0" applyNumberFormat="1" applyFont="1" applyFill="1" applyBorder="1" applyAlignment="1">
      <alignment horizontal="right"/>
    </xf>
    <xf numFmtId="180" fontId="35" fillId="22" borderId="0" xfId="0" applyNumberFormat="1" applyFont="1" applyFill="1" applyBorder="1" applyAlignment="1">
      <alignment horizontal="right"/>
    </xf>
    <xf numFmtId="190" fontId="40" fillId="22" borderId="0" xfId="0" applyNumberFormat="1" applyFont="1" applyFill="1" applyBorder="1" applyAlignment="1">
      <alignment horizontal="right"/>
    </xf>
    <xf numFmtId="165" fontId="40" fillId="22" borderId="0" xfId="0" applyNumberFormat="1" applyFont="1" applyFill="1" applyBorder="1" applyAlignment="1">
      <alignment horizontal="right"/>
    </xf>
    <xf numFmtId="41" fontId="42" fillId="22" borderId="0" xfId="0" applyNumberFormat="1" applyFont="1" applyFill="1" applyBorder="1" applyAlignment="1">
      <alignment horizontal="right"/>
    </xf>
    <xf numFmtId="166" fontId="40" fillId="22" borderId="13" xfId="0" applyNumberFormat="1" applyFont="1" applyFill="1" applyBorder="1" applyAlignment="1">
      <alignment horizontal="right"/>
    </xf>
    <xf numFmtId="171" fontId="40" fillId="22" borderId="0" xfId="0" applyNumberFormat="1" applyFont="1" applyFill="1" applyBorder="1" applyAlignment="1">
      <alignment horizontal="right"/>
    </xf>
    <xf numFmtId="171" fontId="38" fillId="22" borderId="0" xfId="0" applyNumberFormat="1" applyFont="1" applyFill="1" applyBorder="1" applyAlignment="1">
      <alignment horizontal="right"/>
    </xf>
    <xf numFmtId="171" fontId="40" fillId="22" borderId="0" xfId="48" applyNumberFormat="1" applyFont="1" applyFill="1" applyBorder="1" applyAlignment="1">
      <alignment horizontal="right"/>
    </xf>
    <xf numFmtId="37" fontId="42" fillId="22" borderId="0" xfId="0" applyNumberFormat="1" applyFont="1" applyFill="1" applyBorder="1" applyAlignment="1">
      <alignment horizontal="right"/>
    </xf>
    <xf numFmtId="41" fontId="35" fillId="22" borderId="0" xfId="0" applyNumberFormat="1" applyFont="1" applyFill="1" applyBorder="1" applyAlignment="1">
      <alignment horizontal="right"/>
    </xf>
    <xf numFmtId="168" fontId="35" fillId="22" borderId="0" xfId="0" applyNumberFormat="1" applyFont="1" applyFill="1" applyBorder="1" applyAlignment="1">
      <alignment horizontal="right"/>
    </xf>
    <xf numFmtId="166" fontId="40" fillId="22" borderId="0" xfId="0" applyNumberFormat="1" applyFont="1" applyFill="1"/>
    <xf numFmtId="169" fontId="40" fillId="22" borderId="0" xfId="0" applyNumberFormat="1" applyFont="1" applyFill="1"/>
    <xf numFmtId="168" fontId="40" fillId="22" borderId="0" xfId="0" applyNumberFormat="1" applyFont="1" applyFill="1"/>
    <xf numFmtId="189" fontId="48" fillId="22" borderId="0" xfId="0" applyNumberFormat="1" applyFont="1" applyFill="1"/>
    <xf numFmtId="166" fontId="35" fillId="22" borderId="0" xfId="0" applyNumberFormat="1" applyFont="1" applyFill="1"/>
    <xf numFmtId="176" fontId="40" fillId="22" borderId="0" xfId="0" applyNumberFormat="1" applyFont="1" applyFill="1" applyBorder="1" applyAlignment="1">
      <alignment horizontal="right"/>
    </xf>
    <xf numFmtId="165" fontId="40" fillId="22" borderId="0" xfId="0" applyNumberFormat="1" applyFont="1" applyFill="1"/>
    <xf numFmtId="166" fontId="40" fillId="22" borderId="0" xfId="0" applyNumberFormat="1" applyFont="1" applyFill="1" applyAlignment="1">
      <alignment horizontal="left"/>
    </xf>
    <xf numFmtId="166" fontId="40" fillId="22" borderId="0" xfId="0" applyNumberFormat="1" applyFont="1" applyFill="1" applyBorder="1" applyAlignment="1">
      <alignment horizontal="left"/>
    </xf>
    <xf numFmtId="166" fontId="36" fillId="22" borderId="0" xfId="0" applyNumberFormat="1" applyFont="1" applyFill="1"/>
    <xf numFmtId="168" fontId="46" fillId="0" borderId="0" xfId="0" applyNumberFormat="1" applyFont="1" applyFill="1" applyBorder="1" applyAlignment="1">
      <alignment horizontal="right"/>
    </xf>
    <xf numFmtId="179" fontId="55" fillId="0" borderId="0" xfId="48" applyNumberFormat="1" applyFont="1" applyFill="1" applyAlignment="1">
      <alignment horizontal="right"/>
    </xf>
    <xf numFmtId="0" fontId="35" fillId="0" borderId="0" xfId="0" applyFont="1" applyBorder="1"/>
    <xf numFmtId="0" fontId="58" fillId="0" borderId="0" xfId="0" applyNumberFormat="1" applyFont="1" applyBorder="1" applyAlignment="1">
      <alignment horizontal="left"/>
    </xf>
    <xf numFmtId="37" fontId="56" fillId="0" borderId="0" xfId="0" applyNumberFormat="1" applyFont="1" applyBorder="1" applyAlignment="1">
      <alignment horizontal="right"/>
    </xf>
    <xf numFmtId="37" fontId="57" fillId="0" borderId="0" xfId="0" applyNumberFormat="1" applyFont="1" applyBorder="1" applyAlignment="1">
      <alignment horizontal="right"/>
    </xf>
    <xf numFmtId="1" fontId="57" fillId="0" borderId="0" xfId="0" applyNumberFormat="1" applyFont="1" applyBorder="1" applyAlignment="1">
      <alignment horizontal="right"/>
    </xf>
    <xf numFmtId="0" fontId="57" fillId="0" borderId="12" xfId="0" applyNumberFormat="1" applyFont="1" applyBorder="1" applyAlignment="1">
      <alignment horizontal="left"/>
    </xf>
    <xf numFmtId="37" fontId="56" fillId="0" borderId="12" xfId="0" applyNumberFormat="1" applyFont="1" applyBorder="1" applyAlignment="1">
      <alignment horizontal="right"/>
    </xf>
    <xf numFmtId="3" fontId="57" fillId="0" borderId="12" xfId="0" applyNumberFormat="1" applyFont="1" applyBorder="1" applyAlignment="1">
      <alignment horizontal="right"/>
    </xf>
    <xf numFmtId="1" fontId="57" fillId="0" borderId="12" xfId="0" applyNumberFormat="1" applyFont="1" applyBorder="1" applyAlignment="1">
      <alignment horizontal="right"/>
    </xf>
    <xf numFmtId="0" fontId="56" fillId="0" borderId="0" xfId="0" applyNumberFormat="1" applyFont="1" applyBorder="1" applyAlignment="1">
      <alignment horizontal="left"/>
    </xf>
    <xf numFmtId="3" fontId="57" fillId="0" borderId="0" xfId="0" applyNumberFormat="1" applyFont="1" applyBorder="1" applyAlignment="1">
      <alignment horizontal="right"/>
    </xf>
    <xf numFmtId="0" fontId="56" fillId="0" borderId="11" xfId="0" applyNumberFormat="1" applyFont="1" applyBorder="1" applyAlignment="1">
      <alignment horizontal="left"/>
    </xf>
    <xf numFmtId="37" fontId="56" fillId="0" borderId="11" xfId="0" applyNumberFormat="1" applyFont="1" applyBorder="1" applyAlignment="1">
      <alignment horizontal="right"/>
    </xf>
    <xf numFmtId="3" fontId="57" fillId="0" borderId="11" xfId="0" applyNumberFormat="1" applyFont="1" applyBorder="1" applyAlignment="1">
      <alignment horizontal="right"/>
    </xf>
    <xf numFmtId="1" fontId="57" fillId="0" borderId="11" xfId="0" applyNumberFormat="1" applyFont="1" applyBorder="1" applyAlignment="1">
      <alignment horizontal="right"/>
    </xf>
    <xf numFmtId="0" fontId="59" fillId="0" borderId="0" xfId="0" applyNumberFormat="1" applyFont="1" applyFill="1" applyBorder="1" applyAlignment="1">
      <alignment horizontal="left"/>
    </xf>
    <xf numFmtId="37" fontId="56" fillId="0" borderId="0" xfId="0" applyNumberFormat="1" applyFont="1" applyFill="1" applyBorder="1" applyAlignment="1">
      <alignment horizontal="right"/>
    </xf>
    <xf numFmtId="37" fontId="57" fillId="0" borderId="0" xfId="0" applyNumberFormat="1" applyFont="1" applyFill="1" applyBorder="1" applyAlignment="1">
      <alignment horizontal="right"/>
    </xf>
    <xf numFmtId="1" fontId="57" fillId="0" borderId="0" xfId="0" applyNumberFormat="1" applyFont="1" applyFill="1" applyBorder="1" applyAlignment="1">
      <alignment horizontal="right"/>
    </xf>
    <xf numFmtId="0" fontId="56" fillId="0" borderId="0" xfId="0" applyNumberFormat="1" applyFont="1" applyFill="1" applyBorder="1" applyAlignment="1">
      <alignment horizontal="left"/>
    </xf>
    <xf numFmtId="41" fontId="56" fillId="0" borderId="0" xfId="0" applyNumberFormat="1" applyFont="1" applyFill="1" applyBorder="1" applyAlignment="1">
      <alignment horizontal="left"/>
    </xf>
    <xf numFmtId="172" fontId="57" fillId="0" borderId="0" xfId="0" applyNumberFormat="1" applyFont="1" applyFill="1" applyBorder="1" applyAlignment="1">
      <alignment horizontal="right"/>
    </xf>
    <xf numFmtId="3" fontId="57" fillId="0" borderId="0" xfId="0" applyNumberFormat="1" applyFont="1" applyFill="1" applyBorder="1" applyAlignment="1">
      <alignment horizontal="right"/>
    </xf>
    <xf numFmtId="39" fontId="56" fillId="0" borderId="0" xfId="0" applyNumberFormat="1" applyFont="1" applyFill="1" applyBorder="1" applyAlignment="1">
      <alignment horizontal="right"/>
    </xf>
    <xf numFmtId="0" fontId="44" fillId="23" borderId="0" xfId="0" applyFont="1" applyFill="1"/>
    <xf numFmtId="0" fontId="35" fillId="22" borderId="0" xfId="0" applyFont="1" applyFill="1"/>
    <xf numFmtId="164" fontId="56" fillId="0" borderId="0" xfId="0" applyNumberFormat="1" applyFont="1" applyFill="1" applyBorder="1" applyAlignment="1">
      <alignment horizontal="right"/>
    </xf>
    <xf numFmtId="0" fontId="57" fillId="0" borderId="0" xfId="0" quotePrefix="1" applyNumberFormat="1" applyFont="1" applyFill="1" applyBorder="1" applyAlignment="1">
      <alignment horizontal="left"/>
    </xf>
    <xf numFmtId="37" fontId="56" fillId="0" borderId="0" xfId="0" applyNumberFormat="1" applyFont="1" applyFill="1" applyBorder="1" applyAlignment="1"/>
    <xf numFmtId="1" fontId="56" fillId="0" borderId="0" xfId="0" applyNumberFormat="1" applyFont="1" applyFill="1" applyBorder="1" applyAlignment="1"/>
    <xf numFmtId="0" fontId="57" fillId="0" borderId="0" xfId="0" applyNumberFormat="1" applyFont="1" applyFill="1" applyBorder="1" applyAlignment="1">
      <alignment horizontal="left"/>
    </xf>
    <xf numFmtId="0" fontId="56" fillId="0" borderId="0" xfId="0" quotePrefix="1" applyNumberFormat="1" applyFont="1" applyFill="1" applyBorder="1" applyAlignment="1"/>
    <xf numFmtId="0" fontId="61" fillId="20" borderId="0" xfId="0" applyNumberFormat="1" applyFont="1" applyFill="1" applyBorder="1" applyAlignment="1">
      <alignment horizontal="left"/>
    </xf>
    <xf numFmtId="172" fontId="62" fillId="20" borderId="0" xfId="0" applyNumberFormat="1" applyFont="1" applyFill="1" applyBorder="1" applyAlignment="1">
      <alignment horizontal="right"/>
    </xf>
    <xf numFmtId="1" fontId="62" fillId="20" borderId="0" xfId="0" applyNumberFormat="1" applyFont="1" applyFill="1" applyBorder="1" applyAlignment="1">
      <alignment horizontal="right"/>
    </xf>
    <xf numFmtId="0" fontId="56" fillId="0" borderId="0" xfId="0" applyNumberFormat="1" applyFont="1" applyFill="1" applyBorder="1" applyAlignment="1"/>
    <xf numFmtId="164" fontId="57" fillId="0" borderId="0" xfId="0" applyNumberFormat="1" applyFont="1" applyFill="1" applyBorder="1" applyAlignment="1">
      <alignment horizontal="right"/>
    </xf>
    <xf numFmtId="41" fontId="61" fillId="20" borderId="0" xfId="0" applyNumberFormat="1" applyFont="1" applyFill="1" applyBorder="1" applyAlignment="1">
      <alignment horizontal="left"/>
    </xf>
    <xf numFmtId="43" fontId="56" fillId="0" borderId="0" xfId="0" applyNumberFormat="1" applyFont="1" applyFill="1" applyBorder="1" applyAlignment="1">
      <alignment horizontal="left"/>
    </xf>
    <xf numFmtId="171" fontId="56" fillId="0" borderId="0" xfId="0" applyNumberFormat="1" applyFont="1" applyFill="1" applyBorder="1" applyAlignment="1">
      <alignment horizontal="left"/>
    </xf>
    <xf numFmtId="1" fontId="56" fillId="0" borderId="0" xfId="0" applyNumberFormat="1" applyFont="1" applyFill="1" applyBorder="1" applyAlignment="1">
      <alignment horizontal="right"/>
    </xf>
    <xf numFmtId="1" fontId="56" fillId="0" borderId="11" xfId="0" applyNumberFormat="1" applyFont="1" applyBorder="1" applyAlignment="1">
      <alignment horizontal="right"/>
    </xf>
    <xf numFmtId="0" fontId="50" fillId="0" borderId="0" xfId="0" applyFont="1" applyAlignment="1"/>
    <xf numFmtId="3" fontId="57" fillId="0" borderId="0" xfId="0" applyNumberFormat="1" applyFont="1" applyFill="1" applyBorder="1" applyAlignment="1"/>
    <xf numFmtId="1" fontId="57" fillId="0" borderId="0" xfId="0" applyNumberFormat="1" applyFont="1" applyFill="1" applyBorder="1" applyAlignment="1"/>
    <xf numFmtId="1" fontId="63" fillId="20" borderId="0" xfId="0" applyNumberFormat="1" applyFont="1" applyFill="1" applyBorder="1" applyAlignment="1">
      <alignment horizontal="right"/>
    </xf>
    <xf numFmtId="41" fontId="62" fillId="20" borderId="0" xfId="0" applyNumberFormat="1" applyFont="1" applyFill="1" applyBorder="1" applyAlignment="1">
      <alignment horizontal="left"/>
    </xf>
    <xf numFmtId="41" fontId="57" fillId="0" borderId="0" xfId="0" applyNumberFormat="1" applyFont="1" applyFill="1" applyBorder="1" applyAlignment="1">
      <alignment horizontal="left"/>
    </xf>
    <xf numFmtId="43" fontId="57" fillId="0" borderId="0" xfId="0" applyNumberFormat="1" applyFont="1" applyFill="1" applyBorder="1" applyAlignment="1">
      <alignment horizontal="left"/>
    </xf>
    <xf numFmtId="0" fontId="64" fillId="0" borderId="0" xfId="0" applyNumberFormat="1" applyFont="1" applyBorder="1" applyAlignment="1">
      <alignment horizontal="left"/>
    </xf>
    <xf numFmtId="0" fontId="38" fillId="22" borderId="0" xfId="0" applyFont="1" applyFill="1"/>
    <xf numFmtId="41" fontId="52" fillId="0" borderId="0" xfId="0" applyNumberFormat="1" applyFont="1" applyFill="1" applyBorder="1" applyAlignment="1">
      <alignment horizontal="right"/>
    </xf>
    <xf numFmtId="43" fontId="55" fillId="19" borderId="0" xfId="0" applyNumberFormat="1" applyFont="1" applyFill="1" applyAlignment="1">
      <alignment horizontal="right"/>
    </xf>
    <xf numFmtId="0" fontId="46" fillId="0" borderId="0" xfId="0" applyFont="1" applyAlignment="1">
      <alignment horizontal="center"/>
    </xf>
    <xf numFmtId="1" fontId="36" fillId="24" borderId="0" xfId="0" applyNumberFormat="1" applyFont="1" applyFill="1" applyAlignment="1">
      <alignment horizontal="right"/>
    </xf>
    <xf numFmtId="41" fontId="35" fillId="19" borderId="0" xfId="0" applyNumberFormat="1" applyFont="1" applyFill="1" applyBorder="1"/>
    <xf numFmtId="1" fontId="36" fillId="19" borderId="0" xfId="0" applyNumberFormat="1" applyFont="1" applyFill="1" applyAlignment="1">
      <alignment horizontal="right"/>
    </xf>
    <xf numFmtId="197" fontId="36" fillId="0" borderId="0" xfId="81" applyNumberFormat="1" applyFont="1" applyFill="1" applyAlignment="1">
      <alignment horizontal="right"/>
    </xf>
    <xf numFmtId="0" fontId="46" fillId="21" borderId="0" xfId="0" applyFont="1" applyFill="1" applyBorder="1"/>
    <xf numFmtId="41" fontId="38" fillId="18" borderId="0" xfId="0" applyNumberFormat="1" applyFont="1" applyFill="1" applyAlignment="1">
      <alignment horizontal="right"/>
    </xf>
    <xf numFmtId="0" fontId="72" fillId="0" borderId="0" xfId="0" applyFont="1"/>
    <xf numFmtId="49" fontId="40" fillId="0" borderId="0" xfId="0" applyNumberFormat="1" applyFont="1" applyAlignment="1">
      <alignment horizontal="right"/>
    </xf>
    <xf numFmtId="179" fontId="40" fillId="0" borderId="0" xfId="48" applyNumberFormat="1" applyFont="1" applyAlignment="1">
      <alignment horizontal="right"/>
    </xf>
    <xf numFmtId="0" fontId="40" fillId="25" borderId="0" xfId="0" applyFont="1" applyFill="1" applyAlignment="1">
      <alignment horizontal="right"/>
    </xf>
    <xf numFmtId="0" fontId="36" fillId="21" borderId="0" xfId="0" applyFont="1" applyFill="1" applyBorder="1"/>
    <xf numFmtId="41" fontId="38" fillId="21" borderId="0" xfId="0" applyNumberFormat="1" applyFont="1" applyFill="1" applyBorder="1"/>
    <xf numFmtId="41" fontId="55" fillId="21" borderId="0" xfId="0" applyNumberFormat="1" applyFont="1" applyFill="1" applyBorder="1"/>
    <xf numFmtId="0" fontId="73" fillId="21" borderId="0" xfId="0" applyFont="1" applyFill="1" applyBorder="1"/>
    <xf numFmtId="0" fontId="74" fillId="21" borderId="0" xfId="0" applyFont="1" applyFill="1"/>
    <xf numFmtId="169" fontId="46" fillId="21" borderId="0" xfId="0" applyNumberFormat="1" applyFont="1" applyFill="1" applyBorder="1"/>
    <xf numFmtId="3" fontId="36" fillId="21" borderId="0" xfId="0" applyNumberFormat="1" applyFont="1" applyFill="1" applyBorder="1" applyAlignment="1">
      <alignment horizontal="right"/>
    </xf>
    <xf numFmtId="37" fontId="35" fillId="21" borderId="0" xfId="0" applyNumberFormat="1" applyFont="1" applyFill="1" applyBorder="1"/>
    <xf numFmtId="37" fontId="46" fillId="21" borderId="0" xfId="0" applyNumberFormat="1" applyFont="1" applyFill="1" applyBorder="1"/>
    <xf numFmtId="0" fontId="46" fillId="22" borderId="0" xfId="0" applyFont="1" applyFill="1" applyBorder="1"/>
    <xf numFmtId="166" fontId="46" fillId="0" borderId="11" xfId="0" applyNumberFormat="1" applyFont="1" applyFill="1" applyBorder="1" applyAlignment="1">
      <alignment horizontal="right"/>
    </xf>
    <xf numFmtId="166" fontId="46" fillId="0" borderId="11" xfId="0" quotePrefix="1" applyNumberFormat="1" applyFont="1" applyBorder="1" applyAlignment="1">
      <alignment horizontal="right"/>
    </xf>
    <xf numFmtId="1" fontId="46" fillId="0" borderId="11" xfId="0" quotePrefix="1" applyNumberFormat="1" applyFont="1" applyBorder="1" applyAlignment="1">
      <alignment horizontal="right"/>
    </xf>
    <xf numFmtId="166" fontId="46" fillId="0" borderId="11" xfId="0" applyNumberFormat="1" applyFont="1" applyBorder="1" applyAlignment="1">
      <alignment horizontal="right"/>
    </xf>
    <xf numFmtId="0" fontId="72" fillId="21" borderId="0" xfId="0" applyFont="1" applyFill="1"/>
    <xf numFmtId="0" fontId="35" fillId="23" borderId="0" xfId="0" applyFont="1" applyFill="1" applyBorder="1" applyAlignment="1">
      <alignment horizontal="left" vertical="center"/>
    </xf>
    <xf numFmtId="0" fontId="41" fillId="23" borderId="0" xfId="0" applyFont="1" applyFill="1" applyBorder="1" applyAlignment="1">
      <alignment vertical="center"/>
    </xf>
    <xf numFmtId="172" fontId="39" fillId="23" borderId="0" xfId="0" applyNumberFormat="1" applyFont="1" applyFill="1" applyBorder="1" applyAlignment="1">
      <alignment horizontal="right" vertical="center"/>
    </xf>
    <xf numFmtId="166" fontId="40" fillId="23" borderId="0" xfId="0" applyNumberFormat="1" applyFont="1" applyFill="1" applyBorder="1" applyAlignment="1">
      <alignment horizontal="right" vertical="center"/>
    </xf>
    <xf numFmtId="172" fontId="36" fillId="23" borderId="0" xfId="0" applyNumberFormat="1" applyFont="1" applyFill="1" applyBorder="1" applyAlignment="1">
      <alignment horizontal="right" vertical="center"/>
    </xf>
    <xf numFmtId="166" fontId="40" fillId="23" borderId="0" xfId="0" applyNumberFormat="1" applyFont="1" applyFill="1" applyBorder="1" applyAlignment="1">
      <alignment vertical="center"/>
    </xf>
    <xf numFmtId="1" fontId="39" fillId="23" borderId="0" xfId="0" applyNumberFormat="1" applyFont="1" applyFill="1" applyBorder="1" applyAlignment="1">
      <alignment horizontal="right" vertical="center"/>
    </xf>
    <xf numFmtId="0" fontId="35" fillId="22" borderId="0" xfId="0" applyFont="1" applyFill="1" applyBorder="1" applyAlignment="1">
      <alignment horizontal="right" vertical="center"/>
    </xf>
    <xf numFmtId="0" fontId="35" fillId="23" borderId="0" xfId="0" applyFont="1" applyFill="1" applyBorder="1" applyAlignment="1">
      <alignment vertical="center"/>
    </xf>
    <xf numFmtId="0" fontId="35" fillId="0" borderId="11" xfId="0" applyFont="1" applyFill="1" applyBorder="1" applyAlignment="1">
      <alignment horizontal="left"/>
    </xf>
    <xf numFmtId="166" fontId="36" fillId="0" borderId="11" xfId="0" applyNumberFormat="1" applyFont="1" applyFill="1" applyBorder="1" applyAlignment="1">
      <alignment horizontal="right"/>
    </xf>
    <xf numFmtId="0" fontId="72" fillId="0" borderId="11" xfId="0" applyFont="1" applyBorder="1"/>
    <xf numFmtId="41" fontId="51" fillId="21" borderId="0" xfId="0" applyNumberFormat="1" applyFont="1" applyFill="1" applyBorder="1"/>
    <xf numFmtId="0" fontId="51" fillId="21" borderId="0" xfId="0" applyFont="1" applyFill="1"/>
    <xf numFmtId="49" fontId="51" fillId="21" borderId="0" xfId="48" quotePrefix="1" applyNumberFormat="1" applyFont="1" applyFill="1" applyBorder="1" applyAlignment="1">
      <alignment horizontal="right"/>
    </xf>
    <xf numFmtId="1" fontId="50" fillId="21" borderId="0" xfId="48" applyNumberFormat="1" applyFont="1" applyFill="1" applyBorder="1" applyAlignment="1">
      <alignment horizontal="right"/>
    </xf>
    <xf numFmtId="49" fontId="51" fillId="21" borderId="0" xfId="48" applyNumberFormat="1" applyFont="1" applyFill="1" applyBorder="1" applyAlignment="1">
      <alignment horizontal="right"/>
    </xf>
    <xf numFmtId="164" fontId="51" fillId="21" borderId="0" xfId="48" applyNumberFormat="1" applyFont="1" applyFill="1" applyBorder="1" applyAlignment="1">
      <alignment horizontal="right"/>
    </xf>
    <xf numFmtId="1" fontId="51" fillId="21" borderId="0" xfId="48" applyNumberFormat="1" applyFont="1" applyFill="1" applyBorder="1" applyAlignment="1"/>
    <xf numFmtId="183" fontId="51" fillId="22" borderId="0" xfId="48" applyNumberFormat="1" applyFont="1" applyFill="1" applyBorder="1" applyAlignment="1">
      <alignment horizontal="right"/>
    </xf>
    <xf numFmtId="0" fontId="40" fillId="0" borderId="11" xfId="63" applyFont="1" applyFill="1" applyBorder="1" applyAlignment="1" applyProtection="1"/>
    <xf numFmtId="0" fontId="35" fillId="23" borderId="0" xfId="0" applyFont="1" applyFill="1" applyBorder="1" applyAlignment="1">
      <alignment horizontal="right" vertical="center"/>
    </xf>
    <xf numFmtId="0" fontId="72" fillId="23" borderId="0" xfId="0" applyFont="1" applyFill="1"/>
    <xf numFmtId="0" fontId="42" fillId="0" borderId="0" xfId="0" applyNumberFormat="1" applyFont="1" applyBorder="1" applyAlignment="1">
      <alignment horizontal="left"/>
    </xf>
    <xf numFmtId="0" fontId="36" fillId="0" borderId="0" xfId="0" quotePrefix="1" applyNumberFormat="1" applyFont="1" applyFill="1" applyBorder="1" applyAlignment="1">
      <alignment horizontal="left"/>
    </xf>
    <xf numFmtId="0" fontId="35" fillId="0" borderId="11" xfId="0" applyNumberFormat="1" applyFont="1" applyBorder="1" applyAlignment="1">
      <alignment horizontal="left"/>
    </xf>
    <xf numFmtId="37" fontId="35" fillId="0" borderId="11" xfId="0" applyNumberFormat="1" applyFont="1" applyBorder="1" applyAlignment="1">
      <alignment horizontal="right"/>
    </xf>
    <xf numFmtId="3" fontId="36" fillId="0" borderId="11" xfId="0" applyNumberFormat="1" applyFont="1" applyBorder="1" applyAlignment="1">
      <alignment horizontal="right"/>
    </xf>
    <xf numFmtId="1" fontId="35" fillId="0" borderId="11" xfId="0" applyNumberFormat="1" applyFont="1" applyBorder="1" applyAlignment="1">
      <alignment horizontal="right"/>
    </xf>
    <xf numFmtId="0" fontId="46" fillId="0" borderId="0" xfId="0" applyNumberFormat="1" applyFont="1" applyFill="1" applyBorder="1" applyAlignment="1">
      <alignment horizontal="left"/>
    </xf>
    <xf numFmtId="37" fontId="36" fillId="0" borderId="0" xfId="0" applyNumberFormat="1" applyFont="1" applyFill="1" applyBorder="1" applyAlignment="1">
      <alignment horizontal="right"/>
    </xf>
    <xf numFmtId="0" fontId="35" fillId="0" borderId="0" xfId="0" applyNumberFormat="1" applyFont="1" applyFill="1" applyBorder="1" applyAlignment="1">
      <alignment horizontal="left"/>
    </xf>
    <xf numFmtId="164" fontId="36" fillId="0" borderId="0" xfId="0" applyNumberFormat="1" applyFont="1" applyFill="1" applyBorder="1" applyAlignment="1">
      <alignment horizontal="right"/>
    </xf>
    <xf numFmtId="0" fontId="50" fillId="0" borderId="0" xfId="0" applyNumberFormat="1" applyFont="1" applyFill="1" applyBorder="1" applyAlignment="1">
      <alignment horizontal="left"/>
    </xf>
    <xf numFmtId="37" fontId="50" fillId="0" borderId="0" xfId="0" applyNumberFormat="1" applyFont="1" applyFill="1" applyBorder="1" applyAlignment="1">
      <alignment horizontal="right"/>
    </xf>
    <xf numFmtId="3" fontId="50" fillId="0" borderId="0" xfId="0" applyNumberFormat="1" applyFont="1" applyFill="1" applyBorder="1" applyAlignment="1">
      <alignment horizontal="right"/>
    </xf>
    <xf numFmtId="1" fontId="50" fillId="0" borderId="0" xfId="0" applyNumberFormat="1" applyFont="1" applyFill="1" applyBorder="1" applyAlignment="1">
      <alignment horizontal="right"/>
    </xf>
    <xf numFmtId="164" fontId="50" fillId="0" borderId="0" xfId="0" applyNumberFormat="1" applyFont="1" applyFill="1" applyBorder="1" applyAlignment="1">
      <alignment horizontal="right"/>
    </xf>
    <xf numFmtId="39" fontId="55" fillId="22" borderId="0" xfId="0" applyNumberFormat="1" applyFont="1" applyFill="1" applyBorder="1" applyAlignment="1">
      <alignment horizontal="right"/>
    </xf>
    <xf numFmtId="172" fontId="39" fillId="22" borderId="0" xfId="0" applyNumberFormat="1" applyFont="1" applyFill="1" applyBorder="1" applyAlignment="1">
      <alignment horizontal="right"/>
    </xf>
    <xf numFmtId="0" fontId="39" fillId="22" borderId="0" xfId="0" applyNumberFormat="1" applyFont="1" applyFill="1" applyBorder="1" applyAlignment="1">
      <alignment horizontal="right"/>
    </xf>
    <xf numFmtId="1" fontId="39" fillId="22" borderId="0" xfId="0" applyNumberFormat="1" applyFont="1" applyFill="1" applyBorder="1" applyAlignment="1">
      <alignment horizontal="right"/>
    </xf>
    <xf numFmtId="182" fontId="55" fillId="22" borderId="0" xfId="0" applyNumberFormat="1" applyFont="1" applyFill="1" applyBorder="1" applyAlignment="1">
      <alignment horizontal="right"/>
    </xf>
    <xf numFmtId="1" fontId="54" fillId="22" borderId="0" xfId="0" applyNumberFormat="1" applyFont="1" applyFill="1" applyBorder="1" applyAlignment="1">
      <alignment horizontal="right"/>
    </xf>
    <xf numFmtId="39" fontId="50" fillId="0" borderId="0" xfId="0" applyNumberFormat="1" applyFont="1" applyFill="1" applyBorder="1" applyAlignment="1"/>
    <xf numFmtId="3" fontId="50" fillId="0" borderId="0" xfId="0" applyNumberFormat="1" applyFont="1" applyFill="1" applyBorder="1" applyAlignment="1"/>
    <xf numFmtId="166" fontId="50" fillId="0" borderId="0" xfId="0" applyNumberFormat="1" applyFont="1" applyFill="1" applyBorder="1" applyAlignment="1"/>
    <xf numFmtId="1" fontId="50" fillId="0" borderId="0" xfId="0" applyNumberFormat="1" applyFont="1" applyFill="1" applyBorder="1" applyAlignment="1"/>
    <xf numFmtId="164" fontId="50" fillId="0" borderId="0" xfId="0" applyNumberFormat="1" applyFont="1" applyFill="1" applyBorder="1" applyAlignment="1"/>
    <xf numFmtId="39" fontId="41" fillId="23" borderId="0" xfId="0" applyNumberFormat="1" applyFont="1" applyFill="1" applyBorder="1" applyAlignment="1">
      <alignment horizontal="right"/>
    </xf>
    <xf numFmtId="172" fontId="45" fillId="23" borderId="0" xfId="0" applyNumberFormat="1" applyFont="1" applyFill="1" applyBorder="1" applyAlignment="1">
      <alignment horizontal="right"/>
    </xf>
    <xf numFmtId="1" fontId="45" fillId="23" borderId="0" xfId="0" applyNumberFormat="1" applyFont="1" applyFill="1" applyBorder="1" applyAlignment="1">
      <alignment horizontal="right"/>
    </xf>
    <xf numFmtId="1" fontId="77" fillId="23" borderId="0" xfId="0" applyNumberFormat="1" applyFont="1" applyFill="1" applyBorder="1" applyAlignment="1">
      <alignment horizontal="right"/>
    </xf>
    <xf numFmtId="39" fontId="46" fillId="22" borderId="0" xfId="0" applyNumberFormat="1" applyFont="1" applyFill="1" applyBorder="1" applyAlignment="1">
      <alignment horizontal="right"/>
    </xf>
    <xf numFmtId="172" fontId="36" fillId="22" borderId="0" xfId="0" applyNumberFormat="1" applyFont="1" applyFill="1" applyBorder="1" applyAlignment="1">
      <alignment horizontal="right"/>
    </xf>
    <xf numFmtId="1" fontId="36" fillId="22" borderId="0" xfId="0" applyNumberFormat="1" applyFont="1" applyFill="1" applyBorder="1" applyAlignment="1">
      <alignment horizontal="right"/>
    </xf>
    <xf numFmtId="1" fontId="73" fillId="22" borderId="0" xfId="0" applyNumberFormat="1" applyFont="1" applyFill="1" applyBorder="1" applyAlignment="1">
      <alignment horizontal="right"/>
    </xf>
    <xf numFmtId="37" fontId="35" fillId="0" borderId="0" xfId="0" applyNumberFormat="1" applyFont="1" applyBorder="1" applyAlignment="1">
      <alignment horizontal="right"/>
    </xf>
    <xf numFmtId="1" fontId="36" fillId="0" borderId="0" xfId="0" applyNumberFormat="1" applyFont="1" applyBorder="1" applyAlignment="1">
      <alignment horizontal="right"/>
    </xf>
    <xf numFmtId="0" fontId="36" fillId="0" borderId="0" xfId="0" applyNumberFormat="1" applyFont="1" applyFill="1" applyBorder="1" applyAlignment="1">
      <alignment horizontal="left"/>
    </xf>
    <xf numFmtId="37" fontId="35" fillId="0" borderId="12" xfId="0" applyNumberFormat="1" applyFont="1" applyBorder="1" applyAlignment="1">
      <alignment horizontal="right"/>
    </xf>
    <xf numFmtId="1" fontId="36" fillId="0" borderId="12" xfId="0" applyNumberFormat="1" applyFont="1" applyBorder="1" applyAlignment="1">
      <alignment horizontal="right"/>
    </xf>
    <xf numFmtId="3" fontId="36" fillId="0" borderId="12" xfId="0" applyNumberFormat="1" applyFont="1" applyBorder="1" applyAlignment="1">
      <alignment horizontal="right"/>
    </xf>
    <xf numFmtId="0" fontId="41" fillId="20" borderId="0" xfId="0" applyNumberFormat="1" applyFont="1" applyFill="1" applyBorder="1" applyAlignment="1">
      <alignment horizontal="left"/>
    </xf>
    <xf numFmtId="37" fontId="41" fillId="20" borderId="0" xfId="0" applyNumberFormat="1" applyFont="1" applyFill="1" applyBorder="1" applyAlignment="1">
      <alignment horizontal="right"/>
    </xf>
    <xf numFmtId="172" fontId="45" fillId="20" borderId="0" xfId="0" applyNumberFormat="1" applyFont="1" applyFill="1" applyBorder="1" applyAlignment="1">
      <alignment horizontal="right"/>
    </xf>
    <xf numFmtId="1" fontId="45" fillId="20" borderId="0" xfId="0" applyNumberFormat="1" applyFont="1" applyFill="1" applyBorder="1" applyAlignment="1">
      <alignment horizontal="right"/>
    </xf>
    <xf numFmtId="1" fontId="77" fillId="20" borderId="0" xfId="0" applyNumberFormat="1" applyFont="1" applyFill="1" applyBorder="1" applyAlignment="1">
      <alignment horizontal="right"/>
    </xf>
    <xf numFmtId="1" fontId="35" fillId="0" borderId="0" xfId="0" applyNumberFormat="1" applyFont="1" applyFill="1" applyBorder="1" applyAlignment="1">
      <alignment horizontal="right"/>
    </xf>
    <xf numFmtId="0" fontId="35" fillId="0" borderId="0" xfId="0" applyNumberFormat="1" applyFont="1" applyFill="1" applyBorder="1" applyAlignment="1"/>
    <xf numFmtId="41" fontId="35" fillId="0" borderId="0" xfId="0" applyNumberFormat="1" applyFont="1" applyFill="1" applyBorder="1" applyAlignment="1"/>
    <xf numFmtId="41" fontId="36" fillId="0" borderId="0" xfId="0" applyNumberFormat="1" applyFont="1" applyFill="1" applyBorder="1" applyAlignment="1"/>
    <xf numFmtId="41" fontId="41" fillId="20" borderId="0" xfId="0" applyNumberFormat="1" applyFont="1" applyFill="1" applyBorder="1" applyAlignment="1">
      <alignment horizontal="left"/>
    </xf>
    <xf numFmtId="41" fontId="45" fillId="20" borderId="0" xfId="0" applyNumberFormat="1" applyFont="1" applyFill="1" applyBorder="1" applyAlignment="1">
      <alignment horizontal="left"/>
    </xf>
    <xf numFmtId="0" fontId="36" fillId="0" borderId="12" xfId="0" applyNumberFormat="1" applyFont="1" applyBorder="1" applyAlignment="1">
      <alignment horizontal="left"/>
    </xf>
    <xf numFmtId="0" fontId="35" fillId="0" borderId="0" xfId="0" applyNumberFormat="1" applyFont="1" applyBorder="1" applyAlignment="1">
      <alignment horizontal="left"/>
    </xf>
    <xf numFmtId="172" fontId="45" fillId="0" borderId="0" xfId="0" applyNumberFormat="1" applyFont="1" applyFill="1" applyBorder="1" applyAlignment="1">
      <alignment horizontal="right"/>
    </xf>
    <xf numFmtId="37" fontId="36" fillId="0" borderId="0" xfId="0" applyNumberFormat="1" applyFont="1" applyAlignment="1">
      <alignment horizontal="right"/>
    </xf>
    <xf numFmtId="164" fontId="41" fillId="20" borderId="0" xfId="0" applyNumberFormat="1" applyFont="1" applyFill="1" applyBorder="1" applyAlignment="1">
      <alignment horizontal="right"/>
    </xf>
    <xf numFmtId="37" fontId="45" fillId="20" borderId="0" xfId="0" applyNumberFormat="1" applyFont="1" applyFill="1" applyBorder="1" applyAlignment="1">
      <alignment horizontal="right"/>
    </xf>
    <xf numFmtId="37" fontId="77" fillId="20" borderId="0" xfId="0" applyNumberFormat="1" applyFont="1" applyFill="1" applyBorder="1" applyAlignment="1">
      <alignment horizontal="right"/>
    </xf>
    <xf numFmtId="37" fontId="45" fillId="20" borderId="0" xfId="0" applyNumberFormat="1" applyFont="1" applyFill="1" applyAlignment="1">
      <alignment horizontal="right"/>
    </xf>
    <xf numFmtId="0" fontId="64" fillId="26" borderId="0" xfId="0" applyNumberFormat="1" applyFont="1" applyFill="1" applyBorder="1" applyAlignment="1">
      <alignment horizontal="left"/>
    </xf>
    <xf numFmtId="37" fontId="56" fillId="26" borderId="0" xfId="0" applyNumberFormat="1" applyFont="1" applyFill="1" applyBorder="1" applyAlignment="1">
      <alignment horizontal="right"/>
    </xf>
    <xf numFmtId="3" fontId="57" fillId="26" borderId="0" xfId="0" applyNumberFormat="1" applyFont="1" applyFill="1" applyBorder="1" applyAlignment="1">
      <alignment horizontal="right"/>
    </xf>
    <xf numFmtId="37" fontId="57" fillId="26" borderId="0" xfId="0" applyNumberFormat="1" applyFont="1" applyFill="1" applyBorder="1" applyAlignment="1">
      <alignment horizontal="right"/>
    </xf>
    <xf numFmtId="1" fontId="57" fillId="26" borderId="0" xfId="0" applyNumberFormat="1" applyFont="1" applyFill="1" applyBorder="1" applyAlignment="1">
      <alignment horizontal="right"/>
    </xf>
    <xf numFmtId="0" fontId="42" fillId="26" borderId="0" xfId="0" applyNumberFormat="1" applyFont="1" applyFill="1" applyBorder="1" applyAlignment="1">
      <alignment horizontal="left"/>
    </xf>
    <xf numFmtId="37" fontId="35" fillId="26" borderId="0" xfId="0" applyNumberFormat="1" applyFont="1" applyFill="1" applyBorder="1" applyAlignment="1">
      <alignment horizontal="right"/>
    </xf>
    <xf numFmtId="1" fontId="36" fillId="26" borderId="0" xfId="0" applyNumberFormat="1" applyFont="1" applyFill="1" applyBorder="1" applyAlignment="1">
      <alignment horizontal="right"/>
    </xf>
    <xf numFmtId="3" fontId="36" fillId="26" borderId="0" xfId="0" applyNumberFormat="1" applyFont="1" applyFill="1" applyBorder="1" applyAlignment="1">
      <alignment horizontal="right"/>
    </xf>
    <xf numFmtId="0" fontId="56" fillId="26" borderId="0" xfId="0" applyNumberFormat="1" applyFont="1" applyFill="1" applyBorder="1" applyAlignment="1">
      <alignment horizontal="left"/>
    </xf>
    <xf numFmtId="37" fontId="35" fillId="26" borderId="11" xfId="0" applyNumberFormat="1" applyFont="1" applyFill="1" applyBorder="1" applyAlignment="1">
      <alignment horizontal="right"/>
    </xf>
    <xf numFmtId="3" fontId="36" fillId="26" borderId="11" xfId="0" applyNumberFormat="1" applyFont="1" applyFill="1" applyBorder="1" applyAlignment="1">
      <alignment horizontal="right"/>
    </xf>
    <xf numFmtId="1" fontId="36" fillId="26" borderId="11" xfId="0" applyNumberFormat="1" applyFont="1" applyFill="1" applyBorder="1" applyAlignment="1">
      <alignment horizontal="right"/>
    </xf>
    <xf numFmtId="1" fontId="35" fillId="26" borderId="11" xfId="0" applyNumberFormat="1" applyFont="1" applyFill="1" applyBorder="1" applyAlignment="1">
      <alignment horizontal="right"/>
    </xf>
    <xf numFmtId="0" fontId="46" fillId="26" borderId="0" xfId="0" applyNumberFormat="1" applyFont="1" applyFill="1" applyBorder="1" applyAlignment="1">
      <alignment horizontal="left"/>
    </xf>
    <xf numFmtId="37" fontId="36" fillId="26" borderId="0" xfId="0" applyNumberFormat="1" applyFont="1" applyFill="1" applyBorder="1" applyAlignment="1">
      <alignment horizontal="right"/>
    </xf>
    <xf numFmtId="0" fontId="35" fillId="26" borderId="0" xfId="0" applyNumberFormat="1" applyFont="1" applyFill="1" applyBorder="1" applyAlignment="1">
      <alignment horizontal="left"/>
    </xf>
    <xf numFmtId="41" fontId="35" fillId="26" borderId="0" xfId="0" applyNumberFormat="1" applyFont="1" applyFill="1" applyBorder="1" applyAlignment="1">
      <alignment horizontal="left"/>
    </xf>
    <xf numFmtId="172" fontId="36" fillId="26" borderId="0" xfId="0" applyNumberFormat="1" applyFont="1" applyFill="1" applyBorder="1" applyAlignment="1">
      <alignment horizontal="right"/>
    </xf>
    <xf numFmtId="168" fontId="35" fillId="26" borderId="0" xfId="0" applyNumberFormat="1" applyFont="1" applyFill="1" applyBorder="1" applyAlignment="1">
      <alignment horizontal="left"/>
    </xf>
    <xf numFmtId="168" fontId="36" fillId="26" borderId="0" xfId="0" applyNumberFormat="1" applyFont="1" applyFill="1" applyBorder="1" applyAlignment="1">
      <alignment horizontal="right"/>
    </xf>
    <xf numFmtId="41" fontId="46" fillId="26" borderId="0" xfId="0" applyNumberFormat="1" applyFont="1" applyFill="1" applyBorder="1" applyAlignment="1">
      <alignment horizontal="left"/>
    </xf>
    <xf numFmtId="0" fontId="36" fillId="26" borderId="0" xfId="0" applyNumberFormat="1" applyFont="1" applyFill="1" applyBorder="1" applyAlignment="1">
      <alignment horizontal="right"/>
    </xf>
    <xf numFmtId="1" fontId="73" fillId="26" borderId="0" xfId="0" applyNumberFormat="1" applyFont="1" applyFill="1" applyBorder="1" applyAlignment="1">
      <alignment horizontal="right"/>
    </xf>
    <xf numFmtId="183" fontId="35" fillId="26" borderId="0" xfId="0" applyNumberFormat="1" applyFont="1" applyFill="1" applyBorder="1" applyAlignment="1">
      <alignment horizontal="right"/>
    </xf>
    <xf numFmtId="164" fontId="35" fillId="26" borderId="0" xfId="0" applyNumberFormat="1" applyFont="1" applyFill="1" applyBorder="1" applyAlignment="1">
      <alignment horizontal="right"/>
    </xf>
    <xf numFmtId="164" fontId="36" fillId="26" borderId="0" xfId="0" applyNumberFormat="1" applyFont="1" applyFill="1" applyBorder="1" applyAlignment="1">
      <alignment horizontal="right"/>
    </xf>
    <xf numFmtId="164" fontId="35" fillId="26" borderId="0" xfId="0" applyNumberFormat="1" applyFont="1" applyFill="1" applyBorder="1" applyAlignment="1">
      <alignment horizontal="left"/>
    </xf>
    <xf numFmtId="37" fontId="50" fillId="26" borderId="0" xfId="0" applyNumberFormat="1" applyFont="1" applyFill="1" applyBorder="1" applyAlignment="1">
      <alignment horizontal="right"/>
    </xf>
    <xf numFmtId="3" fontId="50" fillId="26" borderId="0" xfId="0" applyNumberFormat="1" applyFont="1" applyFill="1" applyBorder="1" applyAlignment="1">
      <alignment horizontal="right"/>
    </xf>
    <xf numFmtId="1" fontId="50" fillId="26" borderId="0" xfId="0" applyNumberFormat="1" applyFont="1" applyFill="1" applyBorder="1" applyAlignment="1">
      <alignment horizontal="right"/>
    </xf>
    <xf numFmtId="164" fontId="50" fillId="26" borderId="0" xfId="0" applyNumberFormat="1" applyFont="1" applyFill="1" applyBorder="1" applyAlignment="1">
      <alignment horizontal="right"/>
    </xf>
    <xf numFmtId="39" fontId="40" fillId="26" borderId="0" xfId="0" applyNumberFormat="1" applyFont="1" applyFill="1" applyBorder="1" applyAlignment="1">
      <alignment horizontal="right"/>
    </xf>
    <xf numFmtId="166" fontId="43" fillId="26" borderId="0" xfId="0" applyNumberFormat="1" applyFont="1" applyFill="1" applyBorder="1" applyAlignment="1">
      <alignment horizontal="right"/>
    </xf>
    <xf numFmtId="1" fontId="43" fillId="26" borderId="0" xfId="0" applyNumberFormat="1" applyFont="1" applyFill="1" applyBorder="1" applyAlignment="1">
      <alignment horizontal="right"/>
    </xf>
    <xf numFmtId="39" fontId="35" fillId="26" borderId="0" xfId="0" applyNumberFormat="1" applyFont="1" applyFill="1" applyBorder="1" applyAlignment="1">
      <alignment horizontal="right"/>
    </xf>
    <xf numFmtId="166" fontId="36" fillId="26" borderId="0" xfId="0" applyNumberFormat="1" applyFont="1" applyFill="1" applyBorder="1" applyAlignment="1">
      <alignment horizontal="right"/>
    </xf>
    <xf numFmtId="39" fontId="46" fillId="26" borderId="0" xfId="0" applyNumberFormat="1" applyFont="1" applyFill="1" applyBorder="1" applyAlignment="1">
      <alignment horizontal="right"/>
    </xf>
    <xf numFmtId="0" fontId="36" fillId="26" borderId="0" xfId="0" quotePrefix="1" applyNumberFormat="1" applyFont="1" applyFill="1" applyBorder="1" applyAlignment="1">
      <alignment horizontal="left"/>
    </xf>
    <xf numFmtId="0" fontId="35" fillId="26" borderId="0" xfId="0" applyFont="1" applyFill="1" applyBorder="1"/>
    <xf numFmtId="0" fontId="56" fillId="26" borderId="11" xfId="0" applyNumberFormat="1" applyFont="1" applyFill="1" applyBorder="1" applyAlignment="1">
      <alignment horizontal="left"/>
    </xf>
    <xf numFmtId="37" fontId="56" fillId="26" borderId="11" xfId="0" applyNumberFormat="1" applyFont="1" applyFill="1" applyBorder="1" applyAlignment="1">
      <alignment horizontal="right"/>
    </xf>
    <xf numFmtId="3" fontId="57" fillId="26" borderId="11" xfId="0" applyNumberFormat="1" applyFont="1" applyFill="1" applyBorder="1" applyAlignment="1">
      <alignment horizontal="right"/>
    </xf>
    <xf numFmtId="1" fontId="57" fillId="26" borderId="11" xfId="0" applyNumberFormat="1" applyFont="1" applyFill="1" applyBorder="1" applyAlignment="1">
      <alignment horizontal="right"/>
    </xf>
    <xf numFmtId="0" fontId="35" fillId="26" borderId="0" xfId="0" applyFont="1" applyFill="1"/>
    <xf numFmtId="0" fontId="46" fillId="26" borderId="0" xfId="0" applyFont="1" applyFill="1"/>
    <xf numFmtId="0" fontId="78" fillId="0" borderId="0" xfId="0" applyNumberFormat="1" applyFont="1" applyAlignment="1">
      <alignment horizontal="left"/>
    </xf>
    <xf numFmtId="0" fontId="79" fillId="0" borderId="0" xfId="0" applyFont="1" applyBorder="1"/>
    <xf numFmtId="0" fontId="79" fillId="0" borderId="0" xfId="0" applyFont="1"/>
    <xf numFmtId="0" fontId="80" fillId="0" borderId="12" xfId="0" applyNumberFormat="1" applyFont="1" applyBorder="1" applyAlignment="1">
      <alignment horizontal="left"/>
    </xf>
    <xf numFmtId="0" fontId="81" fillId="0" borderId="0" xfId="0" applyFont="1" applyFill="1" applyBorder="1"/>
    <xf numFmtId="0" fontId="81" fillId="0" borderId="0" xfId="0" applyFont="1"/>
    <xf numFmtId="0" fontId="82" fillId="23" borderId="0" xfId="0" applyFont="1" applyFill="1" applyBorder="1"/>
    <xf numFmtId="0" fontId="82" fillId="23" borderId="0" xfId="0" applyFont="1" applyFill="1"/>
    <xf numFmtId="0" fontId="79" fillId="21" borderId="0" xfId="0" applyFont="1" applyFill="1" applyBorder="1"/>
    <xf numFmtId="0" fontId="79" fillId="21" borderId="0" xfId="0" applyFont="1" applyFill="1"/>
    <xf numFmtId="0" fontId="79" fillId="22" borderId="0" xfId="0" applyFont="1" applyFill="1" applyBorder="1"/>
    <xf numFmtId="0" fontId="79" fillId="22" borderId="0" xfId="0" applyFont="1" applyFill="1"/>
    <xf numFmtId="0" fontId="79" fillId="0" borderId="0" xfId="0" applyFont="1" applyBorder="1" applyAlignment="1"/>
    <xf numFmtId="0" fontId="79" fillId="0" borderId="0" xfId="0" applyFont="1" applyAlignment="1"/>
    <xf numFmtId="172" fontId="83" fillId="0" borderId="0" xfId="0" applyNumberFormat="1" applyFont="1" applyFill="1" applyAlignment="1">
      <alignment horizontal="right"/>
    </xf>
    <xf numFmtId="0" fontId="81" fillId="0" borderId="0" xfId="0" applyFont="1" applyBorder="1"/>
    <xf numFmtId="0" fontId="79" fillId="0" borderId="0" xfId="0" applyFont="1" applyFill="1" applyBorder="1"/>
    <xf numFmtId="0" fontId="84" fillId="0" borderId="0" xfId="0" applyFont="1"/>
    <xf numFmtId="0" fontId="85" fillId="0" borderId="0" xfId="0" applyNumberFormat="1" applyFont="1" applyAlignment="1">
      <alignment horizontal="left"/>
    </xf>
    <xf numFmtId="37" fontId="79" fillId="0" borderId="0" xfId="0" applyNumberFormat="1" applyFont="1" applyAlignment="1">
      <alignment horizontal="right"/>
    </xf>
    <xf numFmtId="37" fontId="84" fillId="0" borderId="0" xfId="0" applyNumberFormat="1" applyFont="1" applyAlignment="1">
      <alignment horizontal="right"/>
    </xf>
    <xf numFmtId="1" fontId="84" fillId="0" borderId="0" xfId="0" applyNumberFormat="1" applyFont="1" applyAlignment="1">
      <alignment horizontal="right"/>
    </xf>
    <xf numFmtId="0" fontId="85" fillId="0" borderId="0" xfId="0" applyNumberFormat="1" applyFont="1" applyBorder="1" applyAlignment="1">
      <alignment horizontal="left"/>
    </xf>
    <xf numFmtId="37" fontId="79" fillId="0" borderId="0" xfId="0" applyNumberFormat="1" applyFont="1" applyBorder="1" applyAlignment="1">
      <alignment horizontal="right"/>
    </xf>
    <xf numFmtId="37" fontId="84" fillId="0" borderId="0" xfId="0" applyNumberFormat="1" applyFont="1" applyBorder="1" applyAlignment="1">
      <alignment horizontal="right"/>
    </xf>
    <xf numFmtId="1" fontId="84" fillId="0" borderId="0" xfId="0" applyNumberFormat="1" applyFont="1" applyBorder="1" applyAlignment="1">
      <alignment horizontal="right"/>
    </xf>
    <xf numFmtId="0" fontId="84" fillId="0" borderId="12" xfId="0" applyNumberFormat="1" applyFont="1" applyBorder="1" applyAlignment="1">
      <alignment horizontal="left"/>
    </xf>
    <xf numFmtId="37" fontId="79" fillId="0" borderId="12" xfId="0" applyNumberFormat="1" applyFont="1" applyBorder="1" applyAlignment="1">
      <alignment horizontal="right"/>
    </xf>
    <xf numFmtId="3" fontId="84" fillId="0" borderId="12" xfId="0" applyNumberFormat="1" applyFont="1" applyBorder="1" applyAlignment="1">
      <alignment horizontal="right"/>
    </xf>
    <xf numFmtId="1" fontId="84" fillId="0" borderId="12" xfId="0" applyNumberFormat="1" applyFont="1" applyBorder="1" applyAlignment="1">
      <alignment horizontal="right"/>
    </xf>
    <xf numFmtId="166" fontId="79" fillId="0" borderId="12" xfId="0" applyNumberFormat="1" applyFont="1" applyBorder="1" applyAlignment="1">
      <alignment horizontal="right"/>
    </xf>
    <xf numFmtId="0" fontId="79" fillId="0" borderId="0" xfId="0" applyNumberFormat="1" applyFont="1" applyBorder="1" applyAlignment="1">
      <alignment horizontal="left"/>
    </xf>
    <xf numFmtId="3" fontId="84" fillId="0" borderId="0" xfId="0" applyNumberFormat="1" applyFont="1" applyBorder="1" applyAlignment="1">
      <alignment horizontal="right"/>
    </xf>
    <xf numFmtId="166" fontId="79" fillId="0" borderId="0" xfId="0" applyNumberFormat="1" applyFont="1" applyBorder="1" applyAlignment="1">
      <alignment horizontal="right"/>
    </xf>
    <xf numFmtId="0" fontId="79" fillId="0" borderId="11" xfId="0" applyNumberFormat="1" applyFont="1" applyBorder="1" applyAlignment="1">
      <alignment horizontal="left"/>
    </xf>
    <xf numFmtId="37" fontId="79" fillId="0" borderId="11" xfId="0" applyNumberFormat="1" applyFont="1" applyBorder="1" applyAlignment="1">
      <alignment horizontal="right"/>
    </xf>
    <xf numFmtId="3" fontId="84" fillId="0" borderId="11" xfId="0" applyNumberFormat="1" applyFont="1" applyBorder="1" applyAlignment="1">
      <alignment horizontal="right"/>
    </xf>
    <xf numFmtId="1" fontId="84" fillId="0" borderId="11" xfId="0" applyNumberFormat="1" applyFont="1" applyBorder="1" applyAlignment="1">
      <alignment horizontal="right"/>
    </xf>
    <xf numFmtId="166" fontId="79" fillId="0" borderId="11" xfId="0" applyNumberFormat="1" applyFont="1" applyBorder="1" applyAlignment="1">
      <alignment horizontal="right"/>
    </xf>
    <xf numFmtId="183" fontId="79" fillId="0" borderId="11" xfId="0" applyNumberFormat="1" applyFont="1" applyBorder="1" applyAlignment="1">
      <alignment horizontal="right"/>
    </xf>
    <xf numFmtId="0" fontId="81" fillId="0" borderId="0" xfId="0" applyNumberFormat="1" applyFont="1" applyFill="1" applyBorder="1" applyAlignment="1">
      <alignment horizontal="left"/>
    </xf>
    <xf numFmtId="37" fontId="79" fillId="0" borderId="0" xfId="0" applyNumberFormat="1" applyFont="1" applyFill="1" applyBorder="1" applyAlignment="1">
      <alignment horizontal="right"/>
    </xf>
    <xf numFmtId="37" fontId="84" fillId="0" borderId="0" xfId="0" applyNumberFormat="1" applyFont="1" applyFill="1" applyBorder="1" applyAlignment="1">
      <alignment horizontal="right"/>
    </xf>
    <xf numFmtId="1" fontId="84" fillId="0" borderId="0" xfId="0" applyNumberFormat="1" applyFont="1" applyFill="1" applyBorder="1" applyAlignment="1">
      <alignment horizontal="right"/>
    </xf>
    <xf numFmtId="166" fontId="79" fillId="0" borderId="0" xfId="0" applyNumberFormat="1" applyFont="1" applyFill="1" applyBorder="1" applyAlignment="1">
      <alignment horizontal="right"/>
    </xf>
    <xf numFmtId="0" fontId="79" fillId="0" borderId="0" xfId="0" applyNumberFormat="1" applyFont="1" applyFill="1" applyBorder="1" applyAlignment="1">
      <alignment horizontal="left"/>
    </xf>
    <xf numFmtId="41" fontId="79" fillId="0" borderId="0" xfId="0" applyNumberFormat="1" applyFont="1" applyFill="1" applyBorder="1" applyAlignment="1">
      <alignment horizontal="left"/>
    </xf>
    <xf numFmtId="172" fontId="84" fillId="0" borderId="0" xfId="0" applyNumberFormat="1" applyFont="1" applyFill="1" applyBorder="1" applyAlignment="1">
      <alignment horizontal="right"/>
    </xf>
    <xf numFmtId="41" fontId="81" fillId="0" borderId="0" xfId="0" applyNumberFormat="1" applyFont="1" applyFill="1" applyBorder="1" applyAlignment="1">
      <alignment horizontal="left"/>
    </xf>
    <xf numFmtId="37" fontId="81" fillId="0" borderId="0" xfId="0" applyNumberFormat="1" applyFont="1" applyFill="1" applyBorder="1" applyAlignment="1">
      <alignment horizontal="right"/>
    </xf>
    <xf numFmtId="0" fontId="86" fillId="0" borderId="0" xfId="0" applyNumberFormat="1" applyFont="1" applyFill="1" applyBorder="1" applyAlignment="1">
      <alignment horizontal="left"/>
    </xf>
    <xf numFmtId="37" fontId="86" fillId="0" borderId="0" xfId="0" applyNumberFormat="1" applyFont="1" applyFill="1" applyBorder="1" applyAlignment="1">
      <alignment horizontal="right"/>
    </xf>
    <xf numFmtId="3" fontId="86" fillId="0" borderId="0" xfId="0" applyNumberFormat="1" applyFont="1" applyFill="1" applyBorder="1" applyAlignment="1">
      <alignment horizontal="right"/>
    </xf>
    <xf numFmtId="39" fontId="86" fillId="0" borderId="0" xfId="0" applyNumberFormat="1" applyFont="1" applyFill="1" applyBorder="1" applyAlignment="1">
      <alignment horizontal="right"/>
    </xf>
    <xf numFmtId="1" fontId="86" fillId="0" borderId="0" xfId="0" applyNumberFormat="1" applyFont="1" applyFill="1" applyBorder="1" applyAlignment="1">
      <alignment horizontal="right"/>
    </xf>
    <xf numFmtId="164" fontId="86" fillId="0" borderId="0" xfId="0" applyNumberFormat="1" applyFont="1" applyFill="1" applyBorder="1" applyAlignment="1">
      <alignment horizontal="right"/>
    </xf>
    <xf numFmtId="166" fontId="86" fillId="0" borderId="0" xfId="0" applyNumberFormat="1" applyFont="1" applyFill="1" applyBorder="1" applyAlignment="1">
      <alignment horizontal="right"/>
    </xf>
    <xf numFmtId="37" fontId="87" fillId="0" borderId="0" xfId="0" applyNumberFormat="1" applyFont="1" applyFill="1" applyBorder="1" applyAlignment="1">
      <alignment horizontal="right"/>
    </xf>
    <xf numFmtId="3" fontId="84" fillId="0" borderId="0" xfId="0" applyNumberFormat="1" applyFont="1" applyFill="1" applyBorder="1" applyAlignment="1">
      <alignment horizontal="right"/>
    </xf>
    <xf numFmtId="39" fontId="79" fillId="0" borderId="0" xfId="0" applyNumberFormat="1" applyFont="1" applyFill="1" applyBorder="1" applyAlignment="1">
      <alignment horizontal="right"/>
    </xf>
    <xf numFmtId="0" fontId="88" fillId="23" borderId="0" xfId="0" applyNumberFormat="1" applyFont="1" applyFill="1" applyBorder="1" applyAlignment="1">
      <alignment horizontal="left"/>
    </xf>
    <xf numFmtId="39" fontId="88" fillId="23" borderId="0" xfId="0" applyNumberFormat="1" applyFont="1" applyFill="1" applyBorder="1" applyAlignment="1">
      <alignment horizontal="right"/>
    </xf>
    <xf numFmtId="172" fontId="89" fillId="23" borderId="0" xfId="0" applyNumberFormat="1" applyFont="1" applyFill="1" applyBorder="1" applyAlignment="1">
      <alignment horizontal="right"/>
    </xf>
    <xf numFmtId="1" fontId="89" fillId="23" borderId="0" xfId="0" applyNumberFormat="1" applyFont="1" applyFill="1" applyBorder="1" applyAlignment="1">
      <alignment horizontal="right"/>
    </xf>
    <xf numFmtId="166" fontId="88" fillId="23" borderId="0" xfId="0" applyNumberFormat="1" applyFont="1" applyFill="1" applyBorder="1" applyAlignment="1">
      <alignment horizontal="right"/>
    </xf>
    <xf numFmtId="39" fontId="82" fillId="23" borderId="0" xfId="0" applyNumberFormat="1" applyFont="1" applyFill="1" applyBorder="1" applyAlignment="1">
      <alignment horizontal="right"/>
    </xf>
    <xf numFmtId="0" fontId="85" fillId="0" borderId="0" xfId="0" applyNumberFormat="1" applyFont="1" applyFill="1" applyBorder="1" applyAlignment="1">
      <alignment horizontal="left"/>
    </xf>
    <xf numFmtId="39" fontId="90" fillId="0" borderId="0" xfId="0" applyNumberFormat="1" applyFont="1" applyFill="1" applyBorder="1" applyAlignment="1">
      <alignment horizontal="right"/>
    </xf>
    <xf numFmtId="166" fontId="91" fillId="0" borderId="0" xfId="0" applyNumberFormat="1" applyFont="1" applyFill="1" applyBorder="1" applyAlignment="1">
      <alignment horizontal="right"/>
    </xf>
    <xf numFmtId="1" fontId="91" fillId="0" borderId="0" xfId="0" applyNumberFormat="1" applyFont="1" applyFill="1" applyBorder="1" applyAlignment="1">
      <alignment horizontal="right"/>
    </xf>
    <xf numFmtId="166" fontId="90" fillId="0" borderId="0" xfId="0" applyNumberFormat="1" applyFont="1" applyFill="1" applyBorder="1" applyAlignment="1">
      <alignment horizontal="right"/>
    </xf>
    <xf numFmtId="0" fontId="81" fillId="21" borderId="0" xfId="0" applyNumberFormat="1" applyFont="1" applyFill="1" applyBorder="1" applyAlignment="1">
      <alignment horizontal="left"/>
    </xf>
    <xf numFmtId="39" fontId="81" fillId="21" borderId="0" xfId="0" applyNumberFormat="1" applyFont="1" applyFill="1" applyBorder="1" applyAlignment="1">
      <alignment horizontal="right"/>
    </xf>
    <xf numFmtId="172" fontId="84" fillId="21" borderId="0" xfId="0" applyNumberFormat="1" applyFont="1" applyFill="1" applyBorder="1" applyAlignment="1">
      <alignment horizontal="right"/>
    </xf>
    <xf numFmtId="1" fontId="84" fillId="21" borderId="0" xfId="0" applyNumberFormat="1" applyFont="1" applyFill="1" applyBorder="1" applyAlignment="1">
      <alignment horizontal="right"/>
    </xf>
    <xf numFmtId="166" fontId="81" fillId="21" borderId="0" xfId="0" applyNumberFormat="1" applyFont="1" applyFill="1" applyBorder="1" applyAlignment="1">
      <alignment horizontal="right"/>
    </xf>
    <xf numFmtId="39" fontId="79" fillId="21" borderId="0" xfId="0" applyNumberFormat="1" applyFont="1" applyFill="1" applyBorder="1" applyAlignment="1">
      <alignment horizontal="right"/>
    </xf>
    <xf numFmtId="0" fontId="81" fillId="22" borderId="0" xfId="0" applyNumberFormat="1" applyFont="1" applyFill="1" applyBorder="1" applyAlignment="1">
      <alignment horizontal="left"/>
    </xf>
    <xf numFmtId="39" fontId="81" fillId="22" borderId="0" xfId="0" applyNumberFormat="1" applyFont="1" applyFill="1" applyBorder="1" applyAlignment="1">
      <alignment horizontal="right"/>
    </xf>
    <xf numFmtId="172" fontId="84" fillId="22" borderId="0" xfId="0" applyNumberFormat="1" applyFont="1" applyFill="1" applyBorder="1" applyAlignment="1">
      <alignment horizontal="right"/>
    </xf>
    <xf numFmtId="1" fontId="84" fillId="22" borderId="0" xfId="0" applyNumberFormat="1" applyFont="1" applyFill="1" applyBorder="1" applyAlignment="1">
      <alignment horizontal="right"/>
    </xf>
    <xf numFmtId="166" fontId="81" fillId="22" borderId="0" xfId="0" applyNumberFormat="1" applyFont="1" applyFill="1" applyBorder="1" applyAlignment="1">
      <alignment horizontal="right"/>
    </xf>
    <xf numFmtId="39" fontId="79" fillId="22" borderId="0" xfId="0" applyNumberFormat="1" applyFont="1" applyFill="1" applyBorder="1" applyAlignment="1">
      <alignment horizontal="right"/>
    </xf>
    <xf numFmtId="166" fontId="81" fillId="0" borderId="0" xfId="0" applyNumberFormat="1" applyFont="1" applyFill="1" applyBorder="1" applyAlignment="1">
      <alignment horizontal="left"/>
    </xf>
    <xf numFmtId="164" fontId="79" fillId="0" borderId="0" xfId="0" applyNumberFormat="1" applyFont="1" applyFill="1" applyBorder="1" applyAlignment="1">
      <alignment horizontal="right"/>
    </xf>
    <xf numFmtId="0" fontId="84" fillId="0" borderId="0" xfId="0" quotePrefix="1" applyNumberFormat="1" applyFont="1" applyAlignment="1">
      <alignment horizontal="left"/>
    </xf>
    <xf numFmtId="0" fontId="84" fillId="0" borderId="0" xfId="0" quotePrefix="1" applyNumberFormat="1" applyFont="1" applyFill="1" applyBorder="1" applyAlignment="1">
      <alignment horizontal="left"/>
    </xf>
    <xf numFmtId="0" fontId="84" fillId="0" borderId="0" xfId="0" quotePrefix="1" applyFont="1" applyFill="1" applyBorder="1" applyAlignment="1">
      <alignment horizontal="left"/>
    </xf>
    <xf numFmtId="0" fontId="79" fillId="0" borderId="0" xfId="0" quotePrefix="1" applyFont="1" applyFill="1" applyBorder="1" applyAlignment="1"/>
    <xf numFmtId="37" fontId="79" fillId="0" borderId="0" xfId="0" applyNumberFormat="1" applyFont="1" applyFill="1" applyBorder="1" applyAlignment="1"/>
    <xf numFmtId="3" fontId="79" fillId="0" borderId="0" xfId="0" applyNumberFormat="1" applyFont="1" applyFill="1" applyBorder="1" applyAlignment="1"/>
    <xf numFmtId="1" fontId="79" fillId="0" borderId="0" xfId="0" applyNumberFormat="1" applyFont="1" applyFill="1" applyBorder="1" applyAlignment="1"/>
    <xf numFmtId="166" fontId="79" fillId="0" borderId="0" xfId="0" applyNumberFormat="1" applyFont="1" applyFill="1" applyBorder="1" applyAlignment="1"/>
    <xf numFmtId="4" fontId="84" fillId="0" borderId="0" xfId="0" applyNumberFormat="1" applyFont="1" applyFill="1" applyBorder="1" applyAlignment="1">
      <alignment horizontal="right"/>
    </xf>
    <xf numFmtId="0" fontId="84" fillId="0" borderId="0" xfId="0" applyNumberFormat="1" applyFont="1" applyFill="1" applyBorder="1" applyAlignment="1">
      <alignment horizontal="left"/>
    </xf>
    <xf numFmtId="0" fontId="79" fillId="0" borderId="0" xfId="0" quotePrefix="1" applyNumberFormat="1" applyFont="1" applyFill="1" applyBorder="1" applyAlignment="1"/>
    <xf numFmtId="0" fontId="88" fillId="20" borderId="0" xfId="0" applyNumberFormat="1" applyFont="1" applyFill="1" applyBorder="1" applyAlignment="1">
      <alignment horizontal="left"/>
    </xf>
    <xf numFmtId="37" fontId="88" fillId="20" borderId="0" xfId="0" applyNumberFormat="1" applyFont="1" applyFill="1" applyBorder="1" applyAlignment="1">
      <alignment horizontal="right"/>
    </xf>
    <xf numFmtId="172" fontId="89" fillId="20" borderId="0" xfId="0" applyNumberFormat="1" applyFont="1" applyFill="1" applyBorder="1" applyAlignment="1">
      <alignment horizontal="right"/>
    </xf>
    <xf numFmtId="1" fontId="89" fillId="20" borderId="0" xfId="0" applyNumberFormat="1" applyFont="1" applyFill="1" applyBorder="1" applyAlignment="1">
      <alignment horizontal="right"/>
    </xf>
    <xf numFmtId="173" fontId="88" fillId="20" borderId="0" xfId="0" applyNumberFormat="1" applyFont="1" applyFill="1" applyBorder="1" applyAlignment="1">
      <alignment horizontal="right"/>
    </xf>
    <xf numFmtId="37" fontId="82" fillId="20" borderId="0" xfId="0" applyNumberFormat="1" applyFont="1" applyFill="1" applyBorder="1" applyAlignment="1">
      <alignment horizontal="right"/>
    </xf>
    <xf numFmtId="166" fontId="88" fillId="20" borderId="0" xfId="0" applyNumberFormat="1" applyFont="1" applyFill="1" applyBorder="1" applyAlignment="1">
      <alignment horizontal="right"/>
    </xf>
    <xf numFmtId="172" fontId="79" fillId="0" borderId="0" xfId="0" applyNumberFormat="1" applyFont="1" applyFill="1" applyBorder="1" applyAlignment="1">
      <alignment horizontal="right"/>
    </xf>
    <xf numFmtId="0" fontId="79" fillId="0" borderId="0" xfId="0" applyNumberFormat="1" applyFont="1" applyFill="1" applyBorder="1" applyAlignment="1"/>
    <xf numFmtId="41" fontId="79" fillId="0" borderId="0" xfId="0" applyNumberFormat="1" applyFont="1" applyFill="1" applyBorder="1" applyAlignment="1"/>
    <xf numFmtId="173" fontId="88" fillId="0" borderId="0" xfId="0" applyNumberFormat="1" applyFont="1" applyFill="1" applyBorder="1" applyAlignment="1">
      <alignment horizontal="right"/>
    </xf>
    <xf numFmtId="164" fontId="84" fillId="0" borderId="0" xfId="0" applyNumberFormat="1" applyFont="1" applyFill="1" applyBorder="1" applyAlignment="1">
      <alignment horizontal="right"/>
    </xf>
    <xf numFmtId="41" fontId="88" fillId="20" borderId="0" xfId="0" applyNumberFormat="1" applyFont="1" applyFill="1" applyBorder="1" applyAlignment="1">
      <alignment horizontal="left"/>
    </xf>
    <xf numFmtId="41" fontId="82" fillId="20" borderId="0" xfId="0" applyNumberFormat="1" applyFont="1" applyFill="1" applyBorder="1" applyAlignment="1">
      <alignment horizontal="left"/>
    </xf>
    <xf numFmtId="43" fontId="79" fillId="0" borderId="0" xfId="0" applyNumberFormat="1" applyFont="1" applyFill="1" applyBorder="1" applyAlignment="1">
      <alignment horizontal="left"/>
    </xf>
    <xf numFmtId="171" fontId="79" fillId="0" borderId="0" xfId="0" applyNumberFormat="1" applyFont="1" applyFill="1" applyBorder="1" applyAlignment="1">
      <alignment horizontal="left"/>
    </xf>
    <xf numFmtId="1" fontId="79" fillId="0" borderId="0" xfId="0" applyNumberFormat="1" applyFont="1" applyFill="1" applyBorder="1" applyAlignment="1">
      <alignment horizontal="right"/>
    </xf>
    <xf numFmtId="37" fontId="89" fillId="20" borderId="0" xfId="0" applyNumberFormat="1" applyFont="1" applyFill="1" applyBorder="1" applyAlignment="1">
      <alignment horizontal="right"/>
    </xf>
    <xf numFmtId="37" fontId="92" fillId="20" borderId="0" xfId="0" applyNumberFormat="1" applyFont="1" applyFill="1" applyBorder="1" applyAlignment="1">
      <alignment horizontal="right"/>
    </xf>
    <xf numFmtId="172" fontId="57" fillId="26" borderId="0" xfId="0" applyNumberFormat="1" applyFont="1" applyFill="1" applyBorder="1" applyAlignment="1">
      <alignment horizontal="right"/>
    </xf>
    <xf numFmtId="39" fontId="56" fillId="26" borderId="0" xfId="0" applyNumberFormat="1" applyFont="1" applyFill="1" applyBorder="1" applyAlignment="1">
      <alignment horizontal="right"/>
    </xf>
    <xf numFmtId="164" fontId="56" fillId="26" borderId="0" xfId="0" applyNumberFormat="1" applyFont="1" applyFill="1" applyBorder="1" applyAlignment="1">
      <alignment horizontal="right"/>
    </xf>
    <xf numFmtId="39" fontId="60" fillId="26" borderId="0" xfId="0" applyNumberFormat="1" applyFont="1" applyFill="1" applyBorder="1" applyAlignment="1"/>
    <xf numFmtId="3" fontId="60" fillId="26" borderId="0" xfId="0" applyNumberFormat="1" applyFont="1" applyFill="1" applyBorder="1" applyAlignment="1"/>
    <xf numFmtId="166" fontId="60" fillId="26" borderId="0" xfId="0" applyNumberFormat="1" applyFont="1" applyFill="1" applyBorder="1" applyAlignment="1"/>
    <xf numFmtId="1" fontId="60" fillId="26" borderId="0" xfId="0" applyNumberFormat="1" applyFont="1" applyFill="1" applyBorder="1" applyAlignment="1"/>
    <xf numFmtId="164" fontId="60" fillId="26" borderId="0" xfId="0" applyNumberFormat="1" applyFont="1" applyFill="1" applyBorder="1" applyAlignment="1"/>
    <xf numFmtId="164" fontId="50" fillId="26" borderId="0" xfId="0" applyNumberFormat="1" applyFont="1" applyFill="1" applyBorder="1" applyAlignment="1"/>
    <xf numFmtId="1" fontId="50" fillId="26" borderId="0" xfId="0" applyNumberFormat="1" applyFont="1" applyFill="1" applyBorder="1" applyAlignment="1"/>
    <xf numFmtId="39" fontId="50" fillId="26" borderId="0" xfId="0" applyNumberFormat="1" applyFont="1" applyFill="1" applyBorder="1" applyAlignment="1"/>
    <xf numFmtId="166" fontId="50" fillId="26" borderId="0" xfId="0" applyNumberFormat="1" applyFont="1" applyFill="1" applyBorder="1" applyAlignment="1"/>
    <xf numFmtId="0" fontId="50" fillId="26" borderId="0" xfId="0" applyFont="1" applyFill="1" applyAlignment="1"/>
    <xf numFmtId="0" fontId="36" fillId="26" borderId="0" xfId="0" applyNumberFormat="1" applyFont="1" applyFill="1" applyBorder="1" applyAlignment="1">
      <alignment horizontal="left"/>
    </xf>
    <xf numFmtId="0" fontId="56" fillId="26" borderId="0" xfId="0" quotePrefix="1" applyNumberFormat="1" applyFont="1" applyFill="1" applyBorder="1" applyAlignment="1"/>
    <xf numFmtId="37" fontId="56" fillId="26" borderId="0" xfId="0" applyNumberFormat="1" applyFont="1" applyFill="1" applyBorder="1" applyAlignment="1"/>
    <xf numFmtId="3" fontId="57" fillId="26" borderId="0" xfId="0" applyNumberFormat="1" applyFont="1" applyFill="1" applyBorder="1" applyAlignment="1"/>
    <xf numFmtId="1" fontId="57" fillId="26" borderId="0" xfId="0" applyNumberFormat="1" applyFont="1" applyFill="1" applyBorder="1" applyAlignment="1"/>
    <xf numFmtId="37" fontId="35" fillId="26" borderId="0" xfId="0" applyNumberFormat="1" applyFont="1" applyFill="1" applyBorder="1" applyAlignment="1"/>
    <xf numFmtId="1" fontId="36" fillId="26" borderId="0" xfId="0" applyNumberFormat="1" applyFont="1" applyFill="1" applyBorder="1" applyAlignment="1"/>
    <xf numFmtId="1" fontId="35" fillId="26" borderId="0" xfId="0" applyNumberFormat="1" applyFont="1" applyFill="1" applyBorder="1" applyAlignment="1"/>
    <xf numFmtId="3" fontId="36" fillId="26" borderId="0" xfId="0" applyNumberFormat="1" applyFont="1" applyFill="1" applyBorder="1" applyAlignment="1"/>
    <xf numFmtId="0" fontId="35" fillId="26" borderId="0" xfId="0" applyFont="1" applyFill="1" applyAlignment="1"/>
    <xf numFmtId="0" fontId="57" fillId="26" borderId="12" xfId="0" applyNumberFormat="1" applyFont="1" applyFill="1" applyBorder="1" applyAlignment="1">
      <alignment horizontal="left"/>
    </xf>
    <xf numFmtId="37" fontId="56" fillId="26" borderId="12" xfId="0" applyNumberFormat="1" applyFont="1" applyFill="1" applyBorder="1" applyAlignment="1">
      <alignment horizontal="right"/>
    </xf>
    <xf numFmtId="3" fontId="57" fillId="26" borderId="12" xfId="0" applyNumberFormat="1" applyFont="1" applyFill="1" applyBorder="1" applyAlignment="1">
      <alignment horizontal="right"/>
    </xf>
    <xf numFmtId="1" fontId="57" fillId="26" borderId="12" xfId="0" applyNumberFormat="1" applyFont="1" applyFill="1" applyBorder="1" applyAlignment="1">
      <alignment horizontal="right"/>
    </xf>
    <xf numFmtId="37" fontId="35" fillId="26" borderId="12" xfId="0" applyNumberFormat="1" applyFont="1" applyFill="1" applyBorder="1" applyAlignment="1">
      <alignment horizontal="right"/>
    </xf>
    <xf numFmtId="1" fontId="36" fillId="26" borderId="12" xfId="0" applyNumberFormat="1" applyFont="1" applyFill="1" applyBorder="1" applyAlignment="1">
      <alignment horizontal="right"/>
    </xf>
    <xf numFmtId="3" fontId="36" fillId="26" borderId="12" xfId="0" applyNumberFormat="1" applyFont="1" applyFill="1" applyBorder="1" applyAlignment="1">
      <alignment horizontal="right"/>
    </xf>
    <xf numFmtId="1" fontId="56" fillId="26" borderId="0" xfId="0" applyNumberFormat="1" applyFont="1" applyFill="1" applyBorder="1" applyAlignment="1"/>
    <xf numFmtId="1" fontId="39" fillId="26" borderId="0" xfId="0" applyNumberFormat="1" applyFont="1" applyFill="1" applyAlignment="1">
      <alignment horizontal="right"/>
    </xf>
    <xf numFmtId="175" fontId="55" fillId="27" borderId="0" xfId="0" applyNumberFormat="1" applyFont="1" applyFill="1" applyAlignment="1">
      <alignment horizontal="right"/>
    </xf>
    <xf numFmtId="41" fontId="72" fillId="0" borderId="0" xfId="0" applyNumberFormat="1" applyFont="1"/>
    <xf numFmtId="199" fontId="72" fillId="0" borderId="0" xfId="48" applyNumberFormat="1" applyFont="1"/>
    <xf numFmtId="0" fontId="38" fillId="27" borderId="0" xfId="0" applyFont="1" applyFill="1" applyBorder="1" applyAlignment="1">
      <alignment horizontal="left"/>
    </xf>
    <xf numFmtId="0" fontId="46" fillId="27" borderId="0" xfId="0" applyFont="1" applyFill="1"/>
    <xf numFmtId="172" fontId="39" fillId="27" borderId="0" xfId="0" applyNumberFormat="1" applyFont="1" applyFill="1" applyAlignment="1">
      <alignment horizontal="right"/>
    </xf>
    <xf numFmtId="43" fontId="55" fillId="27" borderId="0" xfId="0" applyNumberFormat="1" applyFont="1" applyFill="1" applyAlignment="1">
      <alignment horizontal="right"/>
    </xf>
    <xf numFmtId="43" fontId="42" fillId="27" borderId="0" xfId="0" applyNumberFormat="1" applyFont="1" applyFill="1" applyAlignment="1">
      <alignment horizontal="right"/>
    </xf>
    <xf numFmtId="43" fontId="46" fillId="27" borderId="0" xfId="0" applyNumberFormat="1" applyFont="1" applyFill="1" applyAlignment="1">
      <alignment horizontal="right"/>
    </xf>
    <xf numFmtId="1" fontId="39" fillId="27" borderId="0" xfId="0" applyNumberFormat="1" applyFont="1" applyFill="1" applyAlignment="1">
      <alignment horizontal="right"/>
    </xf>
    <xf numFmtId="1" fontId="36" fillId="27" borderId="0" xfId="0" applyNumberFormat="1" applyFont="1" applyFill="1" applyAlignment="1">
      <alignment horizontal="right"/>
    </xf>
    <xf numFmtId="166" fontId="40" fillId="27" borderId="0" xfId="0" applyNumberFormat="1" applyFont="1" applyFill="1" applyAlignment="1">
      <alignment horizontal="right"/>
    </xf>
    <xf numFmtId="166" fontId="35" fillId="27" borderId="0" xfId="0" applyNumberFormat="1" applyFont="1" applyFill="1" applyBorder="1" applyAlignment="1">
      <alignment horizontal="right"/>
    </xf>
    <xf numFmtId="0" fontId="72" fillId="27" borderId="0" xfId="0" applyFont="1" applyFill="1"/>
    <xf numFmtId="0" fontId="35" fillId="27" borderId="0" xfId="0" applyFont="1" applyFill="1"/>
    <xf numFmtId="0" fontId="46" fillId="27" borderId="0" xfId="0" applyFont="1" applyFill="1" applyBorder="1"/>
    <xf numFmtId="179" fontId="35" fillId="0" borderId="0" xfId="48" applyNumberFormat="1" applyFont="1" applyFill="1" applyAlignment="1">
      <alignment horizontal="right"/>
    </xf>
    <xf numFmtId="0" fontId="1" fillId="0" borderId="0" xfId="72"/>
    <xf numFmtId="179" fontId="37" fillId="26" borderId="0" xfId="0" applyNumberFormat="1" applyFont="1" applyFill="1" applyBorder="1" applyAlignment="1">
      <alignment horizontal="right"/>
    </xf>
    <xf numFmtId="168" fontId="48" fillId="26" borderId="0" xfId="0" applyNumberFormat="1" applyFont="1" applyFill="1" applyBorder="1"/>
    <xf numFmtId="1" fontId="49" fillId="26" borderId="0" xfId="0" applyNumberFormat="1" applyFont="1" applyFill="1" applyAlignment="1">
      <alignment horizontal="right"/>
    </xf>
    <xf numFmtId="168" fontId="40" fillId="26" borderId="0" xfId="0" applyNumberFormat="1" applyFont="1" applyFill="1" applyBorder="1" applyAlignment="1">
      <alignment horizontal="right"/>
    </xf>
    <xf numFmtId="41" fontId="37" fillId="26" borderId="0" xfId="0" applyNumberFormat="1" applyFont="1" applyFill="1" applyBorder="1" applyAlignment="1">
      <alignment horizontal="right"/>
    </xf>
    <xf numFmtId="1" fontId="36" fillId="26" borderId="0" xfId="0" applyNumberFormat="1" applyFont="1" applyFill="1" applyAlignment="1">
      <alignment horizontal="right"/>
    </xf>
    <xf numFmtId="0" fontId="40" fillId="0" borderId="0" xfId="0" quotePrefix="1" applyFont="1" applyFill="1" applyAlignment="1">
      <alignment horizontal="right"/>
    </xf>
    <xf numFmtId="200" fontId="39" fillId="0" borderId="0" xfId="0" applyNumberFormat="1" applyFont="1" applyFill="1" applyAlignment="1">
      <alignment horizontal="right"/>
    </xf>
    <xf numFmtId="201" fontId="40" fillId="0" borderId="0" xfId="0" applyNumberFormat="1" applyFont="1" applyFill="1" applyAlignment="1">
      <alignment horizontal="right"/>
    </xf>
    <xf numFmtId="166" fontId="46" fillId="0" borderId="11" xfId="0" quotePrefix="1" applyNumberFormat="1" applyFont="1" applyFill="1" applyBorder="1" applyAlignment="1">
      <alignment horizontal="right"/>
    </xf>
    <xf numFmtId="165" fontId="94" fillId="0" borderId="0" xfId="0" applyNumberFormat="1" applyFont="1" applyFill="1" applyAlignment="1">
      <alignment horizontal="right"/>
    </xf>
    <xf numFmtId="1" fontId="95" fillId="0" borderId="0" xfId="0" applyNumberFormat="1" applyFont="1" applyFill="1" applyAlignment="1">
      <alignment horizontal="right"/>
    </xf>
    <xf numFmtId="41" fontId="93" fillId="0" borderId="0" xfId="0" applyNumberFormat="1" applyFont="1" applyFill="1" applyBorder="1" applyAlignment="1">
      <alignment horizontal="right"/>
    </xf>
    <xf numFmtId="37" fontId="93" fillId="0" borderId="0" xfId="0" applyNumberFormat="1" applyFont="1" applyFill="1" applyBorder="1" applyAlignment="1">
      <alignment horizontal="right"/>
    </xf>
    <xf numFmtId="41" fontId="55" fillId="28" borderId="0" xfId="0" applyNumberFormat="1" applyFont="1" applyFill="1" applyAlignment="1">
      <alignment horizontal="right"/>
    </xf>
    <xf numFmtId="166" fontId="40" fillId="28" borderId="0" xfId="0" applyNumberFormat="1" applyFont="1" applyFill="1" applyBorder="1" applyAlignment="1">
      <alignment horizontal="right"/>
    </xf>
    <xf numFmtId="0" fontId="72" fillId="0" borderId="0" xfId="0" applyFont="1" applyFill="1"/>
    <xf numFmtId="41" fontId="93" fillId="0" borderId="0" xfId="0" applyNumberFormat="1" applyFont="1" applyFill="1" applyAlignment="1">
      <alignment horizontal="right"/>
    </xf>
    <xf numFmtId="43" fontId="36" fillId="0" borderId="0" xfId="0" applyNumberFormat="1" applyFont="1" applyFill="1" applyBorder="1" applyAlignment="1">
      <alignment horizontal="left"/>
    </xf>
    <xf numFmtId="43" fontId="93" fillId="0" borderId="0" xfId="48" applyFont="1" applyFill="1" applyBorder="1"/>
    <xf numFmtId="3" fontId="39" fillId="0" borderId="0" xfId="0" applyNumberFormat="1" applyFont="1" applyFill="1" applyAlignment="1">
      <alignment horizontal="right"/>
    </xf>
    <xf numFmtId="43" fontId="35" fillId="0" borderId="0" xfId="48" applyFont="1" applyFill="1" applyBorder="1" applyAlignment="1">
      <alignment horizontal="right"/>
    </xf>
    <xf numFmtId="9" fontId="40" fillId="0" borderId="0" xfId="0" applyNumberFormat="1" applyFont="1" applyFill="1" applyAlignment="1">
      <alignment horizontal="right"/>
    </xf>
    <xf numFmtId="183" fontId="46" fillId="0" borderId="0" xfId="0" applyNumberFormat="1" applyFont="1" applyFill="1" applyAlignment="1">
      <alignment horizontal="right"/>
    </xf>
    <xf numFmtId="168" fontId="40" fillId="26" borderId="0" xfId="0" applyNumberFormat="1" applyFont="1" applyFill="1" applyBorder="1"/>
    <xf numFmtId="165" fontId="40" fillId="26" borderId="0" xfId="0" applyNumberFormat="1" applyFont="1" applyFill="1" applyBorder="1" applyAlignment="1">
      <alignment horizontal="right"/>
    </xf>
    <xf numFmtId="171" fontId="35" fillId="26" borderId="0" xfId="0" applyNumberFormat="1" applyFont="1" applyFill="1" applyBorder="1"/>
    <xf numFmtId="171" fontId="48" fillId="26" borderId="0" xfId="0" applyNumberFormat="1" applyFont="1" applyFill="1" applyBorder="1"/>
    <xf numFmtId="168" fontId="35" fillId="26" borderId="0" xfId="0" applyNumberFormat="1" applyFont="1" applyFill="1" applyBorder="1" applyAlignment="1">
      <alignment horizontal="right"/>
    </xf>
    <xf numFmtId="171" fontId="35" fillId="26" borderId="0" xfId="0" applyNumberFormat="1" applyFont="1" applyFill="1" applyBorder="1" applyAlignment="1">
      <alignment horizontal="right"/>
    </xf>
    <xf numFmtId="166" fontId="40" fillId="26" borderId="0" xfId="0" applyNumberFormat="1" applyFont="1" applyFill="1" applyBorder="1" applyAlignment="1">
      <alignment horizontal="right"/>
    </xf>
    <xf numFmtId="41" fontId="96" fillId="0" borderId="0" xfId="0" applyNumberFormat="1" applyFont="1" applyFill="1" applyAlignment="1">
      <alignment horizontal="right"/>
    </xf>
    <xf numFmtId="49" fontId="0" fillId="0" borderId="0" xfId="0" applyNumberFormat="1"/>
    <xf numFmtId="169" fontId="93" fillId="0" borderId="0" xfId="0" applyNumberFormat="1" applyFont="1" applyFill="1" applyAlignment="1">
      <alignment horizontal="right"/>
    </xf>
    <xf numFmtId="197" fontId="38" fillId="0" borderId="0" xfId="81" applyNumberFormat="1" applyFont="1" applyFill="1" applyBorder="1" applyAlignment="1">
      <alignment horizontal="right"/>
    </xf>
    <xf numFmtId="166" fontId="46" fillId="0" borderId="0" xfId="0" applyNumberFormat="1" applyFont="1" applyFill="1" applyAlignment="1">
      <alignment horizontal="right"/>
    </xf>
    <xf numFmtId="9" fontId="38" fillId="0" borderId="0" xfId="81" applyNumberFormat="1" applyFont="1" applyFill="1" applyBorder="1" applyAlignment="1">
      <alignment horizontal="right"/>
    </xf>
    <xf numFmtId="9" fontId="40" fillId="0" borderId="0" xfId="81" applyFont="1" applyFill="1" applyBorder="1" applyAlignment="1">
      <alignment horizontal="right"/>
    </xf>
    <xf numFmtId="197" fontId="38" fillId="0" borderId="0" xfId="81" applyNumberFormat="1" applyFont="1" applyFill="1" applyAlignment="1">
      <alignment horizontal="right"/>
    </xf>
    <xf numFmtId="197" fontId="42" fillId="0" borderId="0" xfId="81" applyNumberFormat="1" applyFont="1" applyFill="1" applyAlignment="1">
      <alignment horizontal="right"/>
    </xf>
    <xf numFmtId="197" fontId="40" fillId="0" borderId="0" xfId="81" applyNumberFormat="1" applyFont="1" applyFill="1" applyBorder="1"/>
    <xf numFmtId="197" fontId="46" fillId="0" borderId="0" xfId="81" applyNumberFormat="1" applyFont="1" applyFill="1" applyAlignment="1">
      <alignment horizontal="right"/>
    </xf>
    <xf numFmtId="0" fontId="46" fillId="0" borderId="0" xfId="0" applyFont="1" applyAlignment="1">
      <alignment horizontal="center"/>
    </xf>
    <xf numFmtId="0" fontId="35" fillId="0" borderId="0" xfId="0" applyFont="1" applyAlignment="1">
      <alignment horizontal="center"/>
    </xf>
    <xf numFmtId="0" fontId="36" fillId="0" borderId="0" xfId="0" applyFont="1" applyAlignment="1">
      <alignment horizontal="center"/>
    </xf>
    <xf numFmtId="167" fontId="35" fillId="0" borderId="0" xfId="0" applyNumberFormat="1" applyFont="1" applyFill="1" applyAlignment="1">
      <alignment horizontal="right"/>
    </xf>
    <xf numFmtId="0" fontId="98" fillId="26" borderId="0" xfId="0" applyFont="1" applyFill="1" applyBorder="1" applyAlignment="1">
      <alignment horizontal="left"/>
    </xf>
    <xf numFmtId="172" fontId="100" fillId="26" borderId="0" xfId="0" applyNumberFormat="1" applyFont="1" applyFill="1" applyAlignment="1">
      <alignment horizontal="right"/>
    </xf>
    <xf numFmtId="0" fontId="98" fillId="26" borderId="0" xfId="0" applyFont="1" applyFill="1" applyAlignment="1">
      <alignment horizontal="right"/>
    </xf>
    <xf numFmtId="1" fontId="100" fillId="26" borderId="0" xfId="0" applyNumberFormat="1" applyFont="1" applyFill="1" applyAlignment="1">
      <alignment horizontal="right"/>
    </xf>
    <xf numFmtId="0" fontId="98" fillId="26" borderId="0" xfId="0" applyFont="1" applyFill="1" applyBorder="1" applyAlignment="1">
      <alignment horizontal="right"/>
    </xf>
    <xf numFmtId="0" fontId="101" fillId="26" borderId="0" xfId="0" applyFont="1" applyFill="1"/>
    <xf numFmtId="0" fontId="98" fillId="26" borderId="0" xfId="0" applyFont="1" applyFill="1"/>
    <xf numFmtId="0" fontId="98" fillId="26" borderId="0" xfId="0" quotePrefix="1" applyFont="1" applyFill="1" applyBorder="1" applyAlignment="1">
      <alignment horizontal="right"/>
    </xf>
    <xf numFmtId="3" fontId="98" fillId="26" borderId="0" xfId="0" applyNumberFormat="1" applyFont="1" applyFill="1" applyBorder="1" applyAlignment="1">
      <alignment horizontal="right"/>
    </xf>
    <xf numFmtId="3" fontId="100" fillId="26" borderId="0" xfId="0" applyNumberFormat="1" applyFont="1" applyFill="1" applyBorder="1" applyAlignment="1">
      <alignment horizontal="right"/>
    </xf>
    <xf numFmtId="0" fontId="100" fillId="26" borderId="0" xfId="0" applyFont="1" applyFill="1"/>
    <xf numFmtId="0" fontId="100" fillId="26" borderId="0" xfId="0" applyFont="1" applyFill="1" applyBorder="1" applyAlignment="1">
      <alignment horizontal="right"/>
    </xf>
    <xf numFmtId="0" fontId="98" fillId="26" borderId="0" xfId="0" applyFont="1" applyFill="1" applyBorder="1" applyAlignment="1"/>
    <xf numFmtId="172" fontId="100" fillId="26" borderId="0" xfId="0" applyNumberFormat="1" applyFont="1" applyFill="1" applyBorder="1" applyAlignment="1"/>
    <xf numFmtId="43" fontId="98" fillId="26" borderId="0" xfId="0" applyNumberFormat="1" applyFont="1" applyFill="1" applyBorder="1" applyAlignment="1"/>
    <xf numFmtId="1" fontId="100" fillId="26" borderId="0" xfId="0" applyNumberFormat="1" applyFont="1" applyFill="1" applyBorder="1" applyAlignment="1"/>
    <xf numFmtId="188" fontId="98" fillId="26" borderId="0" xfId="0" applyNumberFormat="1" applyFont="1" applyFill="1" applyBorder="1" applyAlignment="1"/>
    <xf numFmtId="39" fontId="98" fillId="26" borderId="0" xfId="0" applyNumberFormat="1" applyFont="1" applyFill="1" applyBorder="1" applyAlignment="1"/>
    <xf numFmtId="10" fontId="100" fillId="26" borderId="0" xfId="0" applyNumberFormat="1" applyFont="1" applyFill="1" applyBorder="1" applyAlignment="1"/>
    <xf numFmtId="10" fontId="100" fillId="26" borderId="0" xfId="0" applyNumberFormat="1" applyFont="1" applyFill="1" applyBorder="1" applyAlignment="1">
      <alignment horizontal="right"/>
    </xf>
    <xf numFmtId="166" fontId="100" fillId="26" borderId="0" xfId="0" applyNumberFormat="1" applyFont="1" applyFill="1" applyBorder="1" applyAlignment="1">
      <alignment horizontal="right"/>
    </xf>
    <xf numFmtId="43" fontId="99" fillId="26" borderId="0" xfId="0" applyNumberFormat="1" applyFont="1" applyFill="1" applyBorder="1" applyAlignment="1"/>
    <xf numFmtId="4" fontId="38" fillId="0" borderId="0" xfId="0" applyNumberFormat="1" applyFont="1" applyFill="1" applyAlignment="1">
      <alignment horizontal="right"/>
    </xf>
    <xf numFmtId="0" fontId="102" fillId="26" borderId="0" xfId="0" applyFont="1" applyFill="1"/>
    <xf numFmtId="172" fontId="103" fillId="26" borderId="0" xfId="0" applyNumberFormat="1" applyFont="1" applyFill="1" applyAlignment="1">
      <alignment horizontal="right"/>
    </xf>
    <xf numFmtId="0" fontId="104" fillId="26" borderId="0" xfId="0" applyFont="1" applyFill="1" applyAlignment="1">
      <alignment horizontal="right"/>
    </xf>
    <xf numFmtId="172" fontId="103" fillId="26" borderId="0" xfId="0" applyNumberFormat="1" applyFont="1" applyFill="1" applyBorder="1" applyAlignment="1">
      <alignment horizontal="right"/>
    </xf>
    <xf numFmtId="43" fontId="102" fillId="26" borderId="0" xfId="0" applyNumberFormat="1" applyFont="1" applyFill="1" applyAlignment="1">
      <alignment horizontal="right"/>
    </xf>
    <xf numFmtId="43" fontId="104" fillId="26" borderId="0" xfId="0" applyNumberFormat="1" applyFont="1" applyFill="1" applyAlignment="1">
      <alignment horizontal="right"/>
    </xf>
    <xf numFmtId="1" fontId="103" fillId="26" borderId="0" xfId="0" applyNumberFormat="1" applyFont="1" applyFill="1" applyAlignment="1">
      <alignment horizontal="right"/>
    </xf>
    <xf numFmtId="43" fontId="102" fillId="26" borderId="0" xfId="48" applyFont="1" applyFill="1" applyAlignment="1">
      <alignment horizontal="right"/>
    </xf>
    <xf numFmtId="202" fontId="102" fillId="26" borderId="0" xfId="48" applyNumberFormat="1" applyFont="1" applyFill="1" applyAlignment="1">
      <alignment horizontal="right"/>
    </xf>
    <xf numFmtId="0" fontId="104" fillId="22" borderId="0" xfId="0" applyFont="1" applyFill="1" applyAlignment="1">
      <alignment horizontal="right"/>
    </xf>
    <xf numFmtId="2" fontId="105" fillId="26" borderId="0" xfId="0" applyNumberFormat="1" applyFont="1" applyFill="1" applyBorder="1" applyAlignment="1">
      <alignment horizontal="right"/>
    </xf>
    <xf numFmtId="166" fontId="106" fillId="26" borderId="0" xfId="0" applyNumberFormat="1" applyFont="1" applyFill="1" applyBorder="1" applyAlignment="1">
      <alignment horizontal="right"/>
    </xf>
    <xf numFmtId="10" fontId="106" fillId="26" borderId="0" xfId="0" applyNumberFormat="1" applyFont="1" applyFill="1" applyBorder="1" applyAlignment="1">
      <alignment horizontal="right"/>
    </xf>
    <xf numFmtId="0" fontId="107" fillId="26" borderId="0" xfId="0" applyFont="1" applyFill="1" applyAlignment="1"/>
    <xf numFmtId="0" fontId="107" fillId="22" borderId="0" xfId="0" applyFont="1" applyFill="1" applyAlignment="1">
      <alignment horizontal="right"/>
    </xf>
    <xf numFmtId="172" fontId="106" fillId="26" borderId="0" xfId="0" applyNumberFormat="1" applyFont="1" applyFill="1" applyBorder="1" applyAlignment="1"/>
    <xf numFmtId="43" fontId="107" fillId="26" borderId="0" xfId="0" applyNumberFormat="1" applyFont="1" applyFill="1" applyBorder="1" applyAlignment="1"/>
    <xf numFmtId="188" fontId="107" fillId="26" borderId="0" xfId="0" applyNumberFormat="1" applyFont="1" applyFill="1" applyBorder="1" applyAlignment="1"/>
    <xf numFmtId="43" fontId="108" fillId="26" borderId="0" xfId="0" applyNumberFormat="1" applyFont="1" applyFill="1" applyBorder="1" applyAlignment="1"/>
    <xf numFmtId="172" fontId="106" fillId="26" borderId="0" xfId="0" applyNumberFormat="1" applyFont="1" applyFill="1" applyBorder="1" applyAlignment="1">
      <alignment horizontal="right"/>
    </xf>
    <xf numFmtId="0" fontId="46" fillId="0" borderId="0" xfId="0" applyFont="1" applyAlignment="1">
      <alignment horizontal="center"/>
    </xf>
    <xf numFmtId="0" fontId="46" fillId="0" borderId="0" xfId="0" applyFont="1" applyAlignment="1">
      <alignment horizontal="center"/>
    </xf>
    <xf numFmtId="0" fontId="46" fillId="27" borderId="0" xfId="0" applyFont="1" applyFill="1" applyAlignment="1">
      <alignment horizontal="right"/>
    </xf>
    <xf numFmtId="0" fontId="40" fillId="27" borderId="0" xfId="0" quotePrefix="1" applyFont="1" applyFill="1" applyAlignment="1">
      <alignment horizontal="right"/>
    </xf>
    <xf numFmtId="0" fontId="40" fillId="27" borderId="0" xfId="0" applyFont="1" applyFill="1" applyAlignment="1">
      <alignment horizontal="right"/>
    </xf>
    <xf numFmtId="9" fontId="40" fillId="27" borderId="0" xfId="0" applyNumberFormat="1" applyFont="1" applyFill="1" applyAlignment="1">
      <alignment horizontal="right"/>
    </xf>
    <xf numFmtId="0" fontId="35" fillId="0" borderId="0" xfId="0" applyFont="1" applyFill="1" applyAlignment="1">
      <alignment horizontal="left"/>
    </xf>
    <xf numFmtId="43" fontId="72" fillId="21" borderId="0" xfId="0" applyNumberFormat="1" applyFont="1" applyFill="1"/>
    <xf numFmtId="2" fontId="105" fillId="0" borderId="0" xfId="0" applyNumberFormat="1" applyFont="1" applyFill="1" applyBorder="1" applyAlignment="1">
      <alignment horizontal="right"/>
    </xf>
    <xf numFmtId="10" fontId="106" fillId="0" borderId="0" xfId="0" applyNumberFormat="1" applyFont="1" applyFill="1" applyBorder="1" applyAlignment="1">
      <alignment horizontal="right"/>
    </xf>
    <xf numFmtId="37" fontId="36" fillId="21" borderId="0" xfId="0" applyNumberFormat="1" applyFont="1" applyFill="1" applyBorder="1" applyAlignment="1">
      <alignment horizontal="right"/>
    </xf>
    <xf numFmtId="37" fontId="51" fillId="21" borderId="0" xfId="48" applyNumberFormat="1" applyFont="1" applyFill="1" applyBorder="1" applyAlignment="1">
      <alignment horizontal="right"/>
    </xf>
    <xf numFmtId="2" fontId="40" fillId="0" borderId="0" xfId="81" applyNumberFormat="1" applyFont="1" applyFill="1" applyBorder="1" applyAlignment="1">
      <alignment horizontal="right"/>
    </xf>
    <xf numFmtId="172" fontId="103" fillId="29" borderId="0" xfId="0" applyNumberFormat="1" applyFont="1" applyFill="1" applyAlignment="1">
      <alignment horizontal="right"/>
    </xf>
    <xf numFmtId="43" fontId="112" fillId="26" borderId="0" xfId="0" applyNumberFormat="1" applyFont="1" applyFill="1" applyBorder="1" applyAlignment="1"/>
    <xf numFmtId="39" fontId="35" fillId="26" borderId="0" xfId="0" applyNumberFormat="1" applyFont="1" applyFill="1" applyBorder="1" applyAlignment="1"/>
    <xf numFmtId="0" fontId="57" fillId="26" borderId="14" xfId="0" applyNumberFormat="1" applyFont="1" applyFill="1" applyBorder="1" applyAlignment="1">
      <alignment horizontal="left"/>
    </xf>
    <xf numFmtId="37" fontId="56" fillId="26" borderId="15" xfId="0" applyNumberFormat="1" applyFont="1" applyFill="1" applyBorder="1" applyAlignment="1">
      <alignment horizontal="right"/>
    </xf>
    <xf numFmtId="3" fontId="57" fillId="26" borderId="15" xfId="0" applyNumberFormat="1" applyFont="1" applyFill="1" applyBorder="1" applyAlignment="1">
      <alignment horizontal="right"/>
    </xf>
    <xf numFmtId="1" fontId="57" fillId="26" borderId="15" xfId="0" applyNumberFormat="1" applyFont="1" applyFill="1" applyBorder="1" applyAlignment="1">
      <alignment horizontal="right"/>
    </xf>
    <xf numFmtId="37" fontId="35" fillId="26" borderId="15" xfId="0" applyNumberFormat="1" applyFont="1" applyFill="1" applyBorder="1" applyAlignment="1">
      <alignment horizontal="right"/>
    </xf>
    <xf numFmtId="1" fontId="36" fillId="26" borderId="15" xfId="0" applyNumberFormat="1" applyFont="1" applyFill="1" applyBorder="1" applyAlignment="1">
      <alignment horizontal="right"/>
    </xf>
    <xf numFmtId="3" fontId="36" fillId="26" borderId="15" xfId="0" applyNumberFormat="1" applyFont="1" applyFill="1" applyBorder="1" applyAlignment="1">
      <alignment horizontal="right"/>
    </xf>
    <xf numFmtId="3" fontId="36" fillId="26" borderId="16" xfId="0" applyNumberFormat="1" applyFont="1" applyFill="1" applyBorder="1" applyAlignment="1">
      <alignment horizontal="right"/>
    </xf>
    <xf numFmtId="0" fontId="56" fillId="26" borderId="17" xfId="0" applyNumberFormat="1" applyFont="1" applyFill="1" applyBorder="1" applyAlignment="1">
      <alignment horizontal="left"/>
    </xf>
    <xf numFmtId="3" fontId="36" fillId="26" borderId="18" xfId="0" applyNumberFormat="1" applyFont="1" applyFill="1" applyBorder="1" applyAlignment="1">
      <alignment horizontal="right"/>
    </xf>
    <xf numFmtId="0" fontId="35" fillId="26" borderId="19" xfId="0" applyNumberFormat="1" applyFont="1" applyFill="1" applyBorder="1" applyAlignment="1">
      <alignment horizontal="left"/>
    </xf>
    <xf numFmtId="3" fontId="36" fillId="26" borderId="20" xfId="0" applyNumberFormat="1" applyFont="1" applyFill="1" applyBorder="1" applyAlignment="1">
      <alignment horizontal="right"/>
    </xf>
    <xf numFmtId="0" fontId="46" fillId="26" borderId="17" xfId="0" applyNumberFormat="1" applyFont="1" applyFill="1" applyBorder="1" applyAlignment="1">
      <alignment horizontal="left"/>
    </xf>
    <xf numFmtId="37" fontId="36" fillId="26" borderId="18" xfId="0" applyNumberFormat="1" applyFont="1" applyFill="1" applyBorder="1" applyAlignment="1">
      <alignment horizontal="right"/>
    </xf>
    <xf numFmtId="0" fontId="35" fillId="26" borderId="17" xfId="0" applyNumberFormat="1" applyFont="1" applyFill="1" applyBorder="1" applyAlignment="1">
      <alignment horizontal="left"/>
    </xf>
    <xf numFmtId="172" fontId="36" fillId="26" borderId="18" xfId="0" applyNumberFormat="1" applyFont="1" applyFill="1" applyBorder="1" applyAlignment="1">
      <alignment horizontal="right"/>
    </xf>
    <xf numFmtId="1" fontId="36" fillId="26" borderId="18" xfId="0" applyNumberFormat="1" applyFont="1" applyFill="1" applyBorder="1" applyAlignment="1">
      <alignment horizontal="right"/>
    </xf>
    <xf numFmtId="0" fontId="36" fillId="26" borderId="18" xfId="0" applyNumberFormat="1" applyFont="1" applyFill="1" applyBorder="1" applyAlignment="1">
      <alignment horizontal="right"/>
    </xf>
    <xf numFmtId="0" fontId="50" fillId="26" borderId="17" xfId="0" applyNumberFormat="1" applyFont="1" applyFill="1" applyBorder="1" applyAlignment="1">
      <alignment horizontal="left"/>
    </xf>
    <xf numFmtId="3" fontId="50" fillId="26" borderId="18" xfId="0" applyNumberFormat="1" applyFont="1" applyFill="1" applyBorder="1" applyAlignment="1">
      <alignment horizontal="right"/>
    </xf>
    <xf numFmtId="0" fontId="55" fillId="22" borderId="17" xfId="0" applyNumberFormat="1" applyFont="1" applyFill="1" applyBorder="1" applyAlignment="1">
      <alignment horizontal="left"/>
    </xf>
    <xf numFmtId="1" fontId="39" fillId="22" borderId="18" xfId="0" applyNumberFormat="1" applyFont="1" applyFill="1" applyBorder="1" applyAlignment="1">
      <alignment horizontal="right"/>
    </xf>
    <xf numFmtId="0" fontId="50" fillId="0" borderId="17" xfId="0" applyNumberFormat="1" applyFont="1" applyFill="1" applyBorder="1" applyAlignment="1"/>
    <xf numFmtId="166" fontId="50" fillId="0" borderId="18" xfId="0" applyNumberFormat="1" applyFont="1" applyFill="1" applyBorder="1" applyAlignment="1"/>
    <xf numFmtId="0" fontId="42" fillId="26" borderId="17" xfId="0" applyNumberFormat="1" applyFont="1" applyFill="1" applyBorder="1" applyAlignment="1">
      <alignment horizontal="left"/>
    </xf>
    <xf numFmtId="166" fontId="43" fillId="26" borderId="18" xfId="0" applyNumberFormat="1" applyFont="1" applyFill="1" applyBorder="1" applyAlignment="1">
      <alignment horizontal="right"/>
    </xf>
    <xf numFmtId="166" fontId="36" fillId="26" borderId="18" xfId="0" applyNumberFormat="1" applyFont="1" applyFill="1" applyBorder="1" applyAlignment="1">
      <alignment horizontal="right"/>
    </xf>
    <xf numFmtId="0" fontId="41" fillId="23" borderId="17" xfId="0" applyNumberFormat="1" applyFont="1" applyFill="1" applyBorder="1" applyAlignment="1">
      <alignment horizontal="left"/>
    </xf>
    <xf numFmtId="172" fontId="45" fillId="23" borderId="18" xfId="0" applyNumberFormat="1" applyFont="1" applyFill="1" applyBorder="1" applyAlignment="1">
      <alignment horizontal="right"/>
    </xf>
    <xf numFmtId="0" fontId="46" fillId="22" borderId="17" xfId="0" applyNumberFormat="1" applyFont="1" applyFill="1" applyBorder="1" applyAlignment="1">
      <alignment horizontal="left"/>
    </xf>
    <xf numFmtId="172" fontId="36" fillId="22" borderId="18" xfId="0" applyNumberFormat="1" applyFont="1" applyFill="1" applyBorder="1" applyAlignment="1">
      <alignment horizontal="right"/>
    </xf>
    <xf numFmtId="166" fontId="46" fillId="26" borderId="17" xfId="0" applyNumberFormat="1" applyFont="1" applyFill="1" applyBorder="1" applyAlignment="1">
      <alignment horizontal="left"/>
    </xf>
    <xf numFmtId="0" fontId="35" fillId="26" borderId="21" xfId="0" applyNumberFormat="1" applyFont="1" applyFill="1" applyBorder="1" applyAlignment="1">
      <alignment horizontal="left"/>
    </xf>
    <xf numFmtId="164" fontId="35" fillId="26" borderId="22" xfId="0" applyNumberFormat="1" applyFont="1" applyFill="1" applyBorder="1" applyAlignment="1">
      <alignment horizontal="right"/>
    </xf>
    <xf numFmtId="172" fontId="36" fillId="26" borderId="22" xfId="0" applyNumberFormat="1" applyFont="1" applyFill="1" applyBorder="1" applyAlignment="1">
      <alignment horizontal="right"/>
    </xf>
    <xf numFmtId="3" fontId="36" fillId="26" borderId="22" xfId="0" applyNumberFormat="1" applyFont="1" applyFill="1" applyBorder="1" applyAlignment="1">
      <alignment horizontal="right"/>
    </xf>
    <xf numFmtId="1" fontId="36" fillId="26" borderId="22" xfId="0" applyNumberFormat="1" applyFont="1" applyFill="1" applyBorder="1" applyAlignment="1">
      <alignment horizontal="right"/>
    </xf>
    <xf numFmtId="3" fontId="36" fillId="26" borderId="23" xfId="0" applyNumberFormat="1" applyFont="1" applyFill="1" applyBorder="1" applyAlignment="1">
      <alignment horizontal="right"/>
    </xf>
    <xf numFmtId="0" fontId="56" fillId="26" borderId="19" xfId="0" applyNumberFormat="1" applyFont="1" applyFill="1" applyBorder="1" applyAlignment="1">
      <alignment horizontal="left"/>
    </xf>
    <xf numFmtId="0" fontId="59" fillId="26" borderId="17" xfId="0" applyNumberFormat="1" applyFont="1" applyFill="1" applyBorder="1" applyAlignment="1">
      <alignment horizontal="left"/>
    </xf>
    <xf numFmtId="0" fontId="50" fillId="26" borderId="17" xfId="0" applyNumberFormat="1" applyFont="1" applyFill="1" applyBorder="1" applyAlignment="1"/>
    <xf numFmtId="166" fontId="50" fillId="26" borderId="18" xfId="0" applyNumberFormat="1" applyFont="1" applyFill="1" applyBorder="1" applyAlignment="1"/>
    <xf numFmtId="39" fontId="56" fillId="26" borderId="22" xfId="0" applyNumberFormat="1" applyFont="1" applyFill="1" applyBorder="1" applyAlignment="1">
      <alignment horizontal="right"/>
    </xf>
    <xf numFmtId="3" fontId="57" fillId="26" borderId="22" xfId="0" applyNumberFormat="1" applyFont="1" applyFill="1" applyBorder="1" applyAlignment="1">
      <alignment horizontal="right"/>
    </xf>
    <xf numFmtId="1" fontId="57" fillId="26" borderId="22" xfId="0" applyNumberFormat="1" applyFont="1" applyFill="1" applyBorder="1" applyAlignment="1">
      <alignment horizontal="right"/>
    </xf>
    <xf numFmtId="39" fontId="35" fillId="26" borderId="22" xfId="0" applyNumberFormat="1" applyFont="1" applyFill="1" applyBorder="1" applyAlignment="1">
      <alignment horizontal="right"/>
    </xf>
    <xf numFmtId="164" fontId="36" fillId="26" borderId="22" xfId="0" applyNumberFormat="1" applyFont="1" applyFill="1" applyBorder="1" applyAlignment="1">
      <alignment horizontal="right"/>
    </xf>
    <xf numFmtId="0" fontId="46" fillId="0" borderId="0" xfId="0" applyFont="1" applyAlignment="1">
      <alignment horizontal="center"/>
    </xf>
    <xf numFmtId="0" fontId="46" fillId="0" borderId="0" xfId="0" applyFont="1" applyAlignment="1">
      <alignment horizontal="center"/>
    </xf>
    <xf numFmtId="9" fontId="40" fillId="0" borderId="0" xfId="81" applyFont="1" applyFill="1" applyBorder="1"/>
    <xf numFmtId="49" fontId="111" fillId="0" borderId="0" xfId="48" applyNumberFormat="1" applyFont="1" applyFill="1" applyBorder="1" applyAlignment="1">
      <alignment horizontal="left"/>
    </xf>
    <xf numFmtId="0" fontId="35" fillId="0" borderId="0" xfId="0" applyFont="1" applyAlignment="1">
      <alignment horizontal="center"/>
    </xf>
    <xf numFmtId="0" fontId="46" fillId="0" borderId="0" xfId="0" applyFont="1" applyAlignment="1">
      <alignment horizontal="center"/>
    </xf>
    <xf numFmtId="0" fontId="1" fillId="30" borderId="0" xfId="103" applyFont="1" applyFill="1" applyAlignment="1">
      <alignment vertical="top"/>
    </xf>
    <xf numFmtId="0" fontId="1" fillId="30" borderId="0" xfId="72" applyFill="1" applyAlignment="1">
      <alignment vertical="top"/>
    </xf>
    <xf numFmtId="0" fontId="1" fillId="30" borderId="0" xfId="72" applyFill="1"/>
    <xf numFmtId="0" fontId="7" fillId="30" borderId="0" xfId="103" applyFont="1" applyFill="1" applyAlignment="1">
      <alignment horizontal="left" vertical="top"/>
    </xf>
    <xf numFmtId="0" fontId="1" fillId="30" borderId="0" xfId="72" applyFont="1" applyFill="1" applyAlignment="1">
      <alignment vertical="top"/>
    </xf>
    <xf numFmtId="0" fontId="114" fillId="30" borderId="0" xfId="103" applyFont="1" applyFill="1" applyAlignment="1">
      <alignment vertical="top"/>
    </xf>
    <xf numFmtId="0" fontId="0" fillId="30" borderId="0" xfId="0" applyFill="1" applyAlignment="1">
      <alignment vertical="top"/>
    </xf>
    <xf numFmtId="0" fontId="115" fillId="30" borderId="0" xfId="0" applyFont="1" applyFill="1" applyAlignment="1">
      <alignment vertical="top"/>
    </xf>
    <xf numFmtId="0" fontId="116" fillId="30" borderId="0" xfId="0" applyFont="1" applyFill="1" applyAlignment="1">
      <alignment vertical="top"/>
    </xf>
    <xf numFmtId="0" fontId="116" fillId="30" borderId="0" xfId="0" applyFont="1" applyFill="1" applyAlignment="1">
      <alignment vertical="top"/>
    </xf>
    <xf numFmtId="0" fontId="115" fillId="30" borderId="0" xfId="0" applyFont="1" applyFill="1" applyAlignment="1">
      <alignment vertical="top"/>
    </xf>
    <xf numFmtId="0" fontId="0" fillId="30" borderId="0" xfId="0" applyFill="1" applyAlignment="1">
      <alignment vertical="top"/>
    </xf>
    <xf numFmtId="0" fontId="0" fillId="30" borderId="28" xfId="0" applyFill="1" applyBorder="1" applyAlignment="1">
      <alignment vertical="top"/>
    </xf>
    <xf numFmtId="0" fontId="115" fillId="30" borderId="24" xfId="0" applyFont="1" applyFill="1" applyBorder="1" applyAlignment="1">
      <alignment vertical="top"/>
    </xf>
    <xf numFmtId="0" fontId="115" fillId="30" borderId="25" xfId="0" applyFont="1" applyFill="1" applyBorder="1" applyAlignment="1">
      <alignment vertical="top"/>
    </xf>
    <xf numFmtId="0" fontId="115" fillId="30" borderId="26" xfId="0" applyFont="1" applyFill="1" applyBorder="1" applyAlignment="1">
      <alignment vertical="top"/>
    </xf>
    <xf numFmtId="0" fontId="115" fillId="30" borderId="27" xfId="0" applyFont="1" applyFill="1" applyBorder="1" applyAlignment="1">
      <alignment vertical="top"/>
    </xf>
    <xf numFmtId="9" fontId="115" fillId="30" borderId="24" xfId="0" applyNumberFormat="1" applyFont="1" applyFill="1" applyBorder="1" applyAlignment="1">
      <alignment vertical="top"/>
    </xf>
    <xf numFmtId="3" fontId="115" fillId="30" borderId="24" xfId="0" applyNumberFormat="1" applyFont="1" applyFill="1" applyBorder="1" applyAlignment="1">
      <alignment vertical="top"/>
    </xf>
    <xf numFmtId="0" fontId="0" fillId="30" borderId="29" xfId="0" applyFill="1" applyBorder="1" applyAlignment="1">
      <alignment vertical="top"/>
    </xf>
    <xf numFmtId="2" fontId="1" fillId="0" borderId="0" xfId="72" applyNumberFormat="1" applyAlignment="1">
      <alignment horizontal="left"/>
    </xf>
    <xf numFmtId="0" fontId="1" fillId="0" borderId="0" xfId="72" applyNumberFormat="1" applyAlignment="1">
      <alignment horizontal="left"/>
    </xf>
    <xf numFmtId="1" fontId="1" fillId="0" borderId="0" xfId="72" applyNumberFormat="1" applyAlignment="1">
      <alignment horizontal="left"/>
    </xf>
    <xf numFmtId="0" fontId="1" fillId="0" borderId="0" xfId="72" applyFont="1"/>
    <xf numFmtId="208" fontId="1" fillId="0" borderId="0" xfId="72" applyNumberFormat="1" applyAlignment="1">
      <alignment horizontal="left"/>
    </xf>
    <xf numFmtId="49" fontId="1" fillId="0" borderId="0" xfId="72" applyNumberFormat="1"/>
  </cellXfs>
  <cellStyles count="104">
    <cellStyle name="$ 0 decimal" xfId="1"/>
    <cellStyle name="$ 1 decimal" xfId="2"/>
    <cellStyle name="$ 2 decimals" xfId="3"/>
    <cellStyle name="%" xfId="4"/>
    <cellStyle name="?? [0.00]_HELPDESK_jp1.xls Chart 1" xfId="5"/>
    <cellStyle name="_RRS1" xfId="6"/>
    <cellStyle name="_RRS35" xfId="7"/>
    <cellStyle name="_RRS73" xfId="8"/>
    <cellStyle name="_SUMMARY " xfId="9"/>
    <cellStyle name="’Ê‰Ý [0.00]_GE 3 MINIMUM" xfId="10"/>
    <cellStyle name="’Ê‰Ý_GE 3 MINIMUM" xfId="11"/>
    <cellStyle name="¥ 0 decimal" xfId="12"/>
    <cellStyle name="=C:\WINNT35\SYSTEM32\COMMAND.COM" xfId="13"/>
    <cellStyle name="•W€_GE 3 MINIMUM" xfId="14"/>
    <cellStyle name="•W_GE 3 MINIMUM" xfId="15"/>
    <cellStyle name="0_Capex &amp; Depreciation " xfId="16"/>
    <cellStyle name="0_Valuing BP " xfId="17"/>
    <cellStyle name="20% - Accent1" xfId="18" builtinId="30" customBuiltin="1"/>
    <cellStyle name="20% - Accent2" xfId="19" builtinId="34" customBuiltin="1"/>
    <cellStyle name="20% - Accent3" xfId="20" builtinId="38" customBuiltin="1"/>
    <cellStyle name="20% - Accent4" xfId="21" builtinId="42" customBuiltin="1"/>
    <cellStyle name="20% - Accent5" xfId="22" builtinId="46" customBuiltin="1"/>
    <cellStyle name="20% - Accent6" xfId="23" builtinId="50" customBuiltin="1"/>
    <cellStyle name="40% - Accent1" xfId="24" builtinId="31" customBuiltin="1"/>
    <cellStyle name="40% - Accent2" xfId="25" builtinId="35" customBuiltin="1"/>
    <cellStyle name="40% - Accent3" xfId="26" builtinId="39" customBuiltin="1"/>
    <cellStyle name="40% - Accent4" xfId="27" builtinId="43" customBuiltin="1"/>
    <cellStyle name="40% - Accent5" xfId="28" builtinId="47" customBuiltin="1"/>
    <cellStyle name="40% - Accent6" xfId="29" builtinId="51" customBuiltin="1"/>
    <cellStyle name="60% - Accent1" xfId="30" builtinId="32" customBuiltin="1"/>
    <cellStyle name="60% - Accent2" xfId="31" builtinId="36" customBuiltin="1"/>
    <cellStyle name="60% - Accent3" xfId="32" builtinId="40" customBuiltin="1"/>
    <cellStyle name="60% - Accent4" xfId="33" builtinId="44" customBuiltin="1"/>
    <cellStyle name="60% - Accent5" xfId="34" builtinId="48" customBuiltin="1"/>
    <cellStyle name="60% - Accent6" xfId="35" builtinId="52" customBuiltin="1"/>
    <cellStyle name="Accent1" xfId="36" builtinId="29" customBuiltin="1"/>
    <cellStyle name="Accent2" xfId="37" builtinId="33" customBuiltin="1"/>
    <cellStyle name="Accent3" xfId="38" builtinId="37" customBuiltin="1"/>
    <cellStyle name="Accent4" xfId="39" builtinId="41" customBuiltin="1"/>
    <cellStyle name="Accent5" xfId="40" builtinId="45" customBuiltin="1"/>
    <cellStyle name="Accent6" xfId="41" builtinId="49" customBuiltin="1"/>
    <cellStyle name="Bad" xfId="42" builtinId="27" customBuiltin="1"/>
    <cellStyle name="Blue" xfId="43"/>
    <cellStyle name="c_HardInc " xfId="44"/>
    <cellStyle name="Calculation" xfId="45" builtinId="22" customBuiltin="1"/>
    <cellStyle name="Changeable" xfId="46"/>
    <cellStyle name="Check Cell" xfId="47" builtinId="23" customBuiltin="1"/>
    <cellStyle name="Comma" xfId="48" builtinId="3"/>
    <cellStyle name="Comma 2" xfId="101"/>
    <cellStyle name="Currency 2" xfId="49"/>
    <cellStyle name="date" xfId="50"/>
    <cellStyle name="decimal 0" xfId="51"/>
    <cellStyle name="decimal 1" xfId="52"/>
    <cellStyle name="decimal 2" xfId="53"/>
    <cellStyle name="Explanatory Text" xfId="54" builtinId="53" customBuiltin="1"/>
    <cellStyle name="Fail" xfId="55"/>
    <cellStyle name="FiscalPeriod" xfId="56"/>
    <cellStyle name="Good" xfId="57" builtinId="26" customBuiltin="1"/>
    <cellStyle name="Heading 1" xfId="58" builtinId="16" customBuiltin="1"/>
    <cellStyle name="Heading 2" xfId="59" builtinId="17" customBuiltin="1"/>
    <cellStyle name="Heading 3" xfId="60" builtinId="18" customBuiltin="1"/>
    <cellStyle name="Heading 4" xfId="61" builtinId="19" customBuiltin="1"/>
    <cellStyle name="Hidden" xfId="62"/>
    <cellStyle name="Hyperlink" xfId="63" builtinId="8"/>
    <cellStyle name="Input" xfId="64" builtinId="20" customBuiltin="1"/>
    <cellStyle name="Linked Cell" xfId="65" builtinId="24" customBuiltin="1"/>
    <cellStyle name="MetricLabel" xfId="66"/>
    <cellStyle name="MetricLabelBlue" xfId="67"/>
    <cellStyle name="MetricValue" xfId="68"/>
    <cellStyle name="Neutral" xfId="69" builtinId="28" customBuiltin="1"/>
    <cellStyle name="Normal" xfId="0" builtinId="0"/>
    <cellStyle name="Normal 2" xfId="70"/>
    <cellStyle name="Normal 3" xfId="71"/>
    <cellStyle name="Normal 4" xfId="72"/>
    <cellStyle name="Normal_DisclaimerSheet Samples" xfId="103"/>
    <cellStyle name="Normalny_Ferrum . Valuation . CA IB . 8" xfId="73"/>
    <cellStyle name="Note" xfId="74" builtinId="10" customBuiltin="1"/>
    <cellStyle name="Œ…‹æØ‚è [0.00]_GE 3 MINIMUM" xfId="75"/>
    <cellStyle name="Œ…‹æØ‚è_GE 3 MINIMUM" xfId="76"/>
    <cellStyle name="onedecimal" xfId="77"/>
    <cellStyle name="Output" xfId="78" builtinId="21" customBuiltin="1"/>
    <cellStyle name="p " xfId="79"/>
    <cellStyle name="Pass" xfId="80"/>
    <cellStyle name="Percent" xfId="81" builtinId="5"/>
    <cellStyle name="percent 1 decimal" xfId="82"/>
    <cellStyle name="Percent 2" xfId="102"/>
    <cellStyle name="percent 2 decimal" xfId="83"/>
    <cellStyle name="percent no decimal" xfId="84"/>
    <cellStyle name="RRSInstruction" xfId="85"/>
    <cellStyle name="RRSInstruction 2" xfId="86"/>
    <cellStyle name="s_HardInc " xfId="87"/>
    <cellStyle name="s_Valuation " xfId="88"/>
    <cellStyle name="ssp " xfId="89"/>
    <cellStyle name="Style 1" xfId="90"/>
    <cellStyle name="Style 2" xfId="91"/>
    <cellStyle name="Title" xfId="92" builtinId="15" customBuiltin="1"/>
    <cellStyle name="Total" xfId="93" builtinId="25" customBuiltin="1"/>
    <cellStyle name="underline" xfId="94"/>
    <cellStyle name="underline 1 decimal" xfId="95"/>
    <cellStyle name="underline 2 decimals" xfId="96"/>
    <cellStyle name="underline flush left" xfId="97"/>
    <cellStyle name="underline no decimals" xfId="98"/>
    <cellStyle name="underline_UNM new charts" xfId="99"/>
    <cellStyle name="Warning Text" xfId="100"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CC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12607F"/>
      <rgbColor rgb="009DC9DC"/>
      <rgbColor rgb="00DDDDDD"/>
      <rgbColor rgb="004091BF"/>
      <rgbColor rgb="0097D0DD"/>
      <rgbColor rgb="00A5D981"/>
      <rgbColor rgb="00F8CD14"/>
      <rgbColor rgb="00EACC80"/>
      <rgbColor rgb="00FC7114"/>
      <rgbColor rgb="004091BF"/>
      <rgbColor rgb="00969696"/>
      <rgbColor rgb="00003366"/>
      <rgbColor rgb="0041A95C"/>
      <rgbColor rgb="00125A31"/>
      <rgbColor rgb="00125A31"/>
      <rgbColor rgb="00FFFF00"/>
      <rgbColor rgb="008E466A"/>
      <rgbColor rgb="001B4694"/>
      <rgbColor rgb="00333333"/>
    </indexedColors>
    <mruColors>
      <color rgb="FFCCFFCC"/>
      <color rgb="FF2270AB"/>
      <color rgb="FF7F7F7F"/>
      <color rgb="FFBFBFBF"/>
      <color rgb="FFA6A6A6"/>
      <color rgb="FFC0C0C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customXml/item1.xml" Type="http://schemas.openxmlformats.org/officeDocument/2006/relationships/customXml"/>
<Relationship Id="rId15" Target="../customXml/item2.xml" Type="http://schemas.openxmlformats.org/officeDocument/2006/relationships/customXml"/>
<Relationship Id="rId16"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174</xdr:row>
      <xdr:rowOff>0</xdr:rowOff>
    </xdr:from>
    <xdr:to>
      <xdr:col>7</xdr:col>
      <xdr:colOff>390525</xdr:colOff>
      <xdr:row>197</xdr:row>
      <xdr:rowOff>104775</xdr:rowOff>
    </xdr:to>
    <xdr:pic>
      <xdr:nvPicPr>
        <xdr:cNvPr id="650241" name="Picture 1" descr="C:\Users\huangb\AppData\Local\Temp\MercuryPriceRatingHistoryChart\UNM.N_2018_04_05_00_10_56.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8033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91"/>
  <sheetViews>
    <sheetView showGridLines="0" tabSelected="1" workbookViewId="0">
      <selection activeCell="Z1" sqref="Z1"/>
    </sheetView>
  </sheetViews>
  <sheetFormatPr defaultRowHeight="12.75" x14ac:dyDescent="0.2"/>
  <cols>
    <col min="1" max="1" width="25.7109375" style="1034" customWidth="1"/>
    <col min="2" max="5" width="9.140625" style="1034"/>
    <col min="6" max="6" width="18.7109375" style="1034" customWidth="1"/>
    <col min="7" max="256" width="9.140625" style="1034"/>
    <col min="257" max="257" width="100.7109375" style="1034" customWidth="1"/>
    <col min="258" max="512" width="9.140625" style="1034"/>
    <col min="513" max="513" width="100.7109375" style="1034" customWidth="1"/>
    <col min="514" max="768" width="9.140625" style="1034"/>
    <col min="769" max="769" width="100.7109375" style="1034" customWidth="1"/>
    <col min="770" max="1024" width="9.140625" style="1034"/>
    <col min="1025" max="1025" width="100.7109375" style="1034" customWidth="1"/>
    <col min="1026" max="1280" width="9.140625" style="1034"/>
    <col min="1281" max="1281" width="100.7109375" style="1034" customWidth="1"/>
    <col min="1282" max="1536" width="9.140625" style="1034"/>
    <col min="1537" max="1537" width="100.7109375" style="1034" customWidth="1"/>
    <col min="1538" max="1792" width="9.140625" style="1034"/>
    <col min="1793" max="1793" width="100.7109375" style="1034" customWidth="1"/>
    <col min="1794" max="2048" width="9.140625" style="1034"/>
    <col min="2049" max="2049" width="100.7109375" style="1034" customWidth="1"/>
    <col min="2050" max="2304" width="9.140625" style="1034"/>
    <col min="2305" max="2305" width="100.7109375" style="1034" customWidth="1"/>
    <col min="2306" max="2560" width="9.140625" style="1034"/>
    <col min="2561" max="2561" width="100.7109375" style="1034" customWidth="1"/>
    <col min="2562" max="2816" width="9.140625" style="1034"/>
    <col min="2817" max="2817" width="100.7109375" style="1034" customWidth="1"/>
    <col min="2818" max="3072" width="9.140625" style="1034"/>
    <col min="3073" max="3073" width="100.7109375" style="1034" customWidth="1"/>
    <col min="3074" max="3328" width="9.140625" style="1034"/>
    <col min="3329" max="3329" width="100.7109375" style="1034" customWidth="1"/>
    <col min="3330" max="3584" width="9.140625" style="1034"/>
    <col min="3585" max="3585" width="100.7109375" style="1034" customWidth="1"/>
    <col min="3586" max="3840" width="9.140625" style="1034"/>
    <col min="3841" max="3841" width="100.7109375" style="1034" customWidth="1"/>
    <col min="3842" max="4096" width="9.140625" style="1034"/>
    <col min="4097" max="4097" width="100.7109375" style="1034" customWidth="1"/>
    <col min="4098" max="4352" width="9.140625" style="1034"/>
    <col min="4353" max="4353" width="100.7109375" style="1034" customWidth="1"/>
    <col min="4354" max="4608" width="9.140625" style="1034"/>
    <col min="4609" max="4609" width="100.7109375" style="1034" customWidth="1"/>
    <col min="4610" max="4864" width="9.140625" style="1034"/>
    <col min="4865" max="4865" width="100.7109375" style="1034" customWidth="1"/>
    <col min="4866" max="5120" width="9.140625" style="1034"/>
    <col min="5121" max="5121" width="100.7109375" style="1034" customWidth="1"/>
    <col min="5122" max="5376" width="9.140625" style="1034"/>
    <col min="5377" max="5377" width="100.7109375" style="1034" customWidth="1"/>
    <col min="5378" max="5632" width="9.140625" style="1034"/>
    <col min="5633" max="5633" width="100.7109375" style="1034" customWidth="1"/>
    <col min="5634" max="5888" width="9.140625" style="1034"/>
    <col min="5889" max="5889" width="100.7109375" style="1034" customWidth="1"/>
    <col min="5890" max="6144" width="9.140625" style="1034"/>
    <col min="6145" max="6145" width="100.7109375" style="1034" customWidth="1"/>
    <col min="6146" max="6400" width="9.140625" style="1034"/>
    <col min="6401" max="6401" width="100.7109375" style="1034" customWidth="1"/>
    <col min="6402" max="6656" width="9.140625" style="1034"/>
    <col min="6657" max="6657" width="100.7109375" style="1034" customWidth="1"/>
    <col min="6658" max="6912" width="9.140625" style="1034"/>
    <col min="6913" max="6913" width="100.7109375" style="1034" customWidth="1"/>
    <col min="6914" max="7168" width="9.140625" style="1034"/>
    <col min="7169" max="7169" width="100.7109375" style="1034" customWidth="1"/>
    <col min="7170" max="7424" width="9.140625" style="1034"/>
    <col min="7425" max="7425" width="100.7109375" style="1034" customWidth="1"/>
    <col min="7426" max="7680" width="9.140625" style="1034"/>
    <col min="7681" max="7681" width="100.7109375" style="1034" customWidth="1"/>
    <col min="7682" max="7936" width="9.140625" style="1034"/>
    <col min="7937" max="7937" width="100.7109375" style="1034" customWidth="1"/>
    <col min="7938" max="8192" width="9.140625" style="1034"/>
    <col min="8193" max="8193" width="100.7109375" style="1034" customWidth="1"/>
    <col min="8194" max="8448" width="9.140625" style="1034"/>
    <col min="8449" max="8449" width="100.7109375" style="1034" customWidth="1"/>
    <col min="8450" max="8704" width="9.140625" style="1034"/>
    <col min="8705" max="8705" width="100.7109375" style="1034" customWidth="1"/>
    <col min="8706" max="8960" width="9.140625" style="1034"/>
    <col min="8961" max="8961" width="100.7109375" style="1034" customWidth="1"/>
    <col min="8962" max="9216" width="9.140625" style="1034"/>
    <col min="9217" max="9217" width="100.7109375" style="1034" customWidth="1"/>
    <col min="9218" max="9472" width="9.140625" style="1034"/>
    <col min="9473" max="9473" width="100.7109375" style="1034" customWidth="1"/>
    <col min="9474" max="9728" width="9.140625" style="1034"/>
    <col min="9729" max="9729" width="100.7109375" style="1034" customWidth="1"/>
    <col min="9730" max="9984" width="9.140625" style="1034"/>
    <col min="9985" max="9985" width="100.7109375" style="1034" customWidth="1"/>
    <col min="9986" max="10240" width="9.140625" style="1034"/>
    <col min="10241" max="10241" width="100.7109375" style="1034" customWidth="1"/>
    <col min="10242" max="10496" width="9.140625" style="1034"/>
    <col min="10497" max="10497" width="100.7109375" style="1034" customWidth="1"/>
    <col min="10498" max="10752" width="9.140625" style="1034"/>
    <col min="10753" max="10753" width="100.7109375" style="1034" customWidth="1"/>
    <col min="10754" max="11008" width="9.140625" style="1034"/>
    <col min="11009" max="11009" width="100.7109375" style="1034" customWidth="1"/>
    <col min="11010" max="11264" width="9.140625" style="1034"/>
    <col min="11265" max="11265" width="100.7109375" style="1034" customWidth="1"/>
    <col min="11266" max="11520" width="9.140625" style="1034"/>
    <col min="11521" max="11521" width="100.7109375" style="1034" customWidth="1"/>
    <col min="11522" max="11776" width="9.140625" style="1034"/>
    <col min="11777" max="11777" width="100.7109375" style="1034" customWidth="1"/>
    <col min="11778" max="12032" width="9.140625" style="1034"/>
    <col min="12033" max="12033" width="100.7109375" style="1034" customWidth="1"/>
    <col min="12034" max="12288" width="9.140625" style="1034"/>
    <col min="12289" max="12289" width="100.7109375" style="1034" customWidth="1"/>
    <col min="12290" max="12544" width="9.140625" style="1034"/>
    <col min="12545" max="12545" width="100.7109375" style="1034" customWidth="1"/>
    <col min="12546" max="12800" width="9.140625" style="1034"/>
    <col min="12801" max="12801" width="100.7109375" style="1034" customWidth="1"/>
    <col min="12802" max="13056" width="9.140625" style="1034"/>
    <col min="13057" max="13057" width="100.7109375" style="1034" customWidth="1"/>
    <col min="13058" max="13312" width="9.140625" style="1034"/>
    <col min="13313" max="13313" width="100.7109375" style="1034" customWidth="1"/>
    <col min="13314" max="13568" width="9.140625" style="1034"/>
    <col min="13569" max="13569" width="100.7109375" style="1034" customWidth="1"/>
    <col min="13570" max="13824" width="9.140625" style="1034"/>
    <col min="13825" max="13825" width="100.7109375" style="1034" customWidth="1"/>
    <col min="13826" max="14080" width="9.140625" style="1034"/>
    <col min="14081" max="14081" width="100.7109375" style="1034" customWidth="1"/>
    <col min="14082" max="14336" width="9.140625" style="1034"/>
    <col min="14337" max="14337" width="100.7109375" style="1034" customWidth="1"/>
    <col min="14338" max="14592" width="9.140625" style="1034"/>
    <col min="14593" max="14593" width="100.7109375" style="1034" customWidth="1"/>
    <col min="14594" max="14848" width="9.140625" style="1034"/>
    <col min="14849" max="14849" width="100.7109375" style="1034" customWidth="1"/>
    <col min="14850" max="15104" width="9.140625" style="1034"/>
    <col min="15105" max="15105" width="100.7109375" style="1034" customWidth="1"/>
    <col min="15106" max="15360" width="9.140625" style="1034"/>
    <col min="15361" max="15361" width="100.7109375" style="1034" customWidth="1"/>
    <col min="15362" max="15616" width="9.140625" style="1034"/>
    <col min="15617" max="15617" width="100.7109375" style="1034" customWidth="1"/>
    <col min="15618" max="15872" width="9.140625" style="1034"/>
    <col min="15873" max="15873" width="100.7109375" style="1034" customWidth="1"/>
    <col min="15874" max="16128" width="9.140625" style="1034"/>
    <col min="16129" max="16129" width="100.7109375" style="1034" customWidth="1"/>
    <col min="16130" max="16384" width="9.140625" style="1034"/>
  </cols>
  <sheetData>
    <row r="1" spans="1:8" ht="30" customHeight="1" x14ac:dyDescent="0.2">
      <c r="A1" s="1032"/>
      <c r="B1" s="1033"/>
      <c r="C1" s="1033"/>
      <c r="D1" s="1033"/>
      <c r="E1" s="1033"/>
      <c r="F1" s="1033"/>
      <c r="G1" s="1033"/>
      <c r="H1" s="1033"/>
    </row>
    <row r="2" spans="1:8" ht="14.25" x14ac:dyDescent="0.2">
      <c r="A2" s="1035" t="s">
        <v>645</v>
      </c>
      <c r="B2" s="1033"/>
      <c r="C2" s="1033"/>
      <c r="D2" s="1033"/>
      <c r="E2" s="1033"/>
      <c r="F2" s="1033"/>
      <c r="G2" s="1033"/>
      <c r="H2" s="1033"/>
    </row>
    <row r="3" spans="1:8" ht="14.25" x14ac:dyDescent="0.2">
      <c r="A3" s="1035" t="s">
        <v>646</v>
      </c>
      <c r="B3" s="1033"/>
      <c r="C3" s="1033"/>
      <c r="D3" s="1033"/>
      <c r="E3" s="1033"/>
      <c r="F3" s="1033"/>
      <c r="G3" s="1033"/>
      <c r="H3" s="1033"/>
    </row>
    <row r="4" spans="1:8" ht="14.25" x14ac:dyDescent="0.2">
      <c r="A4" s="1035" t="s">
        <v>647</v>
      </c>
      <c r="B4" s="1033"/>
      <c r="C4" s="1033"/>
      <c r="D4" s="1033"/>
      <c r="E4" s="1033"/>
      <c r="F4" s="1033"/>
      <c r="G4" s="1033"/>
      <c r="H4" s="1033"/>
    </row>
    <row r="5" spans="1:8" ht="14.25" x14ac:dyDescent="0.2">
      <c r="A5" s="1035" t="s">
        <v>648</v>
      </c>
      <c r="B5" s="1033"/>
      <c r="C5" s="1033"/>
      <c r="D5" s="1033"/>
      <c r="E5" s="1033"/>
      <c r="F5" s="1033"/>
      <c r="G5" s="1033"/>
      <c r="H5" s="1033"/>
    </row>
    <row r="6" spans="1:8" ht="14.25" x14ac:dyDescent="0.2">
      <c r="A6" s="1035"/>
      <c r="B6" s="1033"/>
      <c r="C6" s="1033"/>
      <c r="D6" s="1033"/>
      <c r="E6" s="1033"/>
      <c r="F6" s="1033"/>
      <c r="G6" s="1033"/>
      <c r="H6" s="1033"/>
    </row>
    <row r="7" spans="1:8" x14ac:dyDescent="0.2">
      <c r="A7" s="1032" t="s">
        <v>649</v>
      </c>
      <c r="B7" s="1033"/>
      <c r="C7" s="1033"/>
      <c r="D7" s="1033"/>
      <c r="E7" s="1033"/>
      <c r="F7" s="1033"/>
      <c r="G7" s="1033"/>
      <c r="H7" s="1033"/>
    </row>
    <row r="8" spans="1:8" x14ac:dyDescent="0.2">
      <c r="A8" s="1032" t="s">
        <v>650</v>
      </c>
      <c r="B8" s="1033"/>
      <c r="C8" s="1033"/>
      <c r="D8" s="1033"/>
      <c r="E8" s="1033"/>
      <c r="F8" s="1033"/>
      <c r="G8" s="1033"/>
      <c r="H8" s="1033"/>
    </row>
    <row r="9" spans="1:8" x14ac:dyDescent="0.2">
      <c r="A9" s="1032"/>
      <c r="B9" s="1033"/>
      <c r="C9" s="1033"/>
      <c r="D9" s="1033"/>
      <c r="E9" s="1033"/>
      <c r="F9" s="1033"/>
      <c r="G9" s="1033"/>
      <c r="H9" s="1033"/>
    </row>
    <row r="10" spans="1:8" x14ac:dyDescent="0.2">
      <c r="A10" s="1036" t="s">
        <v>651</v>
      </c>
      <c r="B10" s="1033"/>
      <c r="C10" s="1033"/>
      <c r="D10" s="1033"/>
      <c r="E10" s="1033"/>
      <c r="F10" s="1033"/>
      <c r="G10" s="1033"/>
      <c r="H10" s="1033"/>
    </row>
    <row r="11" spans="1:8" x14ac:dyDescent="0.2">
      <c r="A11" s="1036" t="s">
        <v>652</v>
      </c>
      <c r="B11" s="1033"/>
      <c r="C11" s="1033"/>
      <c r="D11" s="1033"/>
      <c r="E11" s="1033"/>
      <c r="F11" s="1033"/>
      <c r="G11" s="1033"/>
      <c r="H11" s="1033"/>
    </row>
    <row r="12" spans="1:8" x14ac:dyDescent="0.2">
      <c r="A12" s="1036" t="s">
        <v>653</v>
      </c>
      <c r="B12" s="1033"/>
      <c r="C12" s="1033"/>
      <c r="D12" s="1033"/>
      <c r="E12" s="1033"/>
      <c r="F12" s="1033"/>
      <c r="G12" s="1033"/>
      <c r="H12" s="1033"/>
    </row>
    <row r="13" spans="1:8" x14ac:dyDescent="0.2">
      <c r="A13" s="1036" t="s">
        <v>654</v>
      </c>
      <c r="B13" s="1033"/>
      <c r="C13" s="1033"/>
      <c r="D13" s="1033"/>
      <c r="E13" s="1033"/>
      <c r="F13" s="1033"/>
      <c r="G13" s="1033"/>
      <c r="H13" s="1033"/>
    </row>
    <row r="14" spans="1:8" x14ac:dyDescent="0.2">
      <c r="A14" s="1036" t="s">
        <v>655</v>
      </c>
      <c r="B14" s="1033"/>
      <c r="C14" s="1033"/>
      <c r="D14" s="1033"/>
      <c r="E14" s="1033"/>
      <c r="F14" s="1033"/>
      <c r="G14" s="1033"/>
      <c r="H14" s="1033"/>
    </row>
    <row r="15" spans="1:8" x14ac:dyDescent="0.2">
      <c r="A15" s="1036" t="s">
        <v>656</v>
      </c>
      <c r="B15" s="1033"/>
      <c r="C15" s="1033"/>
      <c r="D15" s="1033"/>
      <c r="E15" s="1033"/>
      <c r="F15" s="1033"/>
      <c r="G15" s="1033"/>
      <c r="H15" s="1033"/>
    </row>
    <row r="16" spans="1:8" x14ac:dyDescent="0.2">
      <c r="A16" s="1036"/>
      <c r="B16" s="1033"/>
      <c r="C16" s="1033"/>
      <c r="D16" s="1033"/>
      <c r="E16" s="1033"/>
      <c r="F16" s="1033"/>
      <c r="G16" s="1033"/>
      <c r="H16" s="1033"/>
    </row>
    <row r="17" spans="1:8" x14ac:dyDescent="0.2">
      <c r="A17" s="1036" t="s">
        <v>642</v>
      </c>
      <c r="B17" s="1033"/>
      <c r="C17" s="1033"/>
      <c r="D17" s="1033"/>
      <c r="E17" s="1033"/>
      <c r="F17" s="1033"/>
      <c r="G17" s="1033"/>
      <c r="H17" s="1033"/>
    </row>
    <row r="18" spans="1:8" x14ac:dyDescent="0.2">
      <c r="A18" s="1036"/>
      <c r="B18" s="1033"/>
      <c r="C18" s="1033"/>
      <c r="D18" s="1033"/>
      <c r="E18" s="1033"/>
      <c r="F18" s="1033"/>
      <c r="G18" s="1033"/>
      <c r="H18" s="1033"/>
    </row>
    <row r="19" spans="1:8" x14ac:dyDescent="0.2">
      <c r="A19" s="1036" t="s">
        <v>643</v>
      </c>
      <c r="B19" s="1033"/>
      <c r="C19" s="1033"/>
      <c r="D19" s="1033"/>
      <c r="E19" s="1033"/>
      <c r="F19" s="1033"/>
      <c r="G19" s="1033"/>
      <c r="H19" s="1033"/>
    </row>
    <row r="20" spans="1:8" x14ac:dyDescent="0.2">
      <c r="A20" s="1032"/>
      <c r="B20" s="1033"/>
      <c r="C20" s="1033"/>
      <c r="D20" s="1033"/>
      <c r="E20" s="1033"/>
      <c r="F20" s="1033"/>
      <c r="G20" s="1033"/>
      <c r="H20" s="1033"/>
    </row>
    <row r="21" spans="1:8" x14ac:dyDescent="0.2">
      <c r="A21" s="1037" t="s">
        <v>644</v>
      </c>
      <c r="B21" s="1033"/>
      <c r="C21" s="1033"/>
      <c r="D21" s="1033"/>
      <c r="E21" s="1033"/>
      <c r="F21" s="1033"/>
      <c r="G21" s="1033"/>
      <c r="H21" s="1033"/>
    </row>
    <row r="22" spans="1:8" x14ac:dyDescent="0.2">
      <c r="A22" s="1038"/>
      <c r="B22" s="1038"/>
      <c r="C22" s="1038"/>
      <c r="D22" s="1038"/>
      <c r="E22" s="1038"/>
      <c r="F22" s="1038"/>
      <c r="G22" s="1038"/>
      <c r="H22" s="1038"/>
    </row>
    <row r="23" spans="1:8" x14ac:dyDescent="0.2">
      <c r="A23" s="1039" t="s">
        <v>935</v>
      </c>
      <c r="B23" s="1038"/>
      <c r="C23" s="1038"/>
      <c r="D23" s="1038"/>
      <c r="E23" s="1038"/>
      <c r="F23" s="1038"/>
      <c r="G23" s="1038"/>
      <c r="H23" s="1038"/>
    </row>
    <row r="24" spans="1:8" x14ac:dyDescent="0.2">
      <c r="A24" s="1039" t="s">
        <v>936</v>
      </c>
      <c r="B24" s="1038"/>
      <c r="C24" s="1038"/>
      <c r="D24" s="1038"/>
      <c r="E24" s="1038"/>
      <c r="F24" s="1038"/>
      <c r="G24" s="1038"/>
      <c r="H24" s="1038"/>
    </row>
    <row r="25" spans="1:8" x14ac:dyDescent="0.2">
      <c r="A25" s="1039" t="s">
        <v>937</v>
      </c>
      <c r="B25" s="1038"/>
      <c r="C25" s="1038"/>
      <c r="D25" s="1038"/>
      <c r="E25" s="1038"/>
      <c r="F25" s="1038"/>
      <c r="G25" s="1038"/>
      <c r="H25" s="1038"/>
    </row>
    <row r="26" spans="1:8" x14ac:dyDescent="0.2">
      <c r="A26" s="1039" t="s">
        <v>938</v>
      </c>
      <c r="B26" s="1038"/>
      <c r="C26" s="1038"/>
      <c r="D26" s="1038"/>
      <c r="E26" s="1038"/>
      <c r="F26" s="1038"/>
      <c r="G26" s="1038"/>
      <c r="H26" s="1038"/>
    </row>
    <row r="27" spans="1:8" x14ac:dyDescent="0.2">
      <c r="A27" s="1038"/>
      <c r="B27" s="1038"/>
      <c r="C27" s="1038"/>
      <c r="D27" s="1038"/>
      <c r="E27" s="1038"/>
      <c r="F27" s="1038"/>
      <c r="G27" s="1038"/>
      <c r="H27" s="1038"/>
    </row>
    <row r="28" spans="1:8" x14ac:dyDescent="0.2">
      <c r="A28" s="1038"/>
      <c r="B28" s="1038"/>
      <c r="C28" s="1038"/>
      <c r="D28" s="1038"/>
      <c r="E28" s="1038"/>
      <c r="F28" s="1038"/>
      <c r="G28" s="1038"/>
      <c r="H28" s="1038"/>
    </row>
    <row r="29" spans="1:8" x14ac:dyDescent="0.2">
      <c r="A29" s="1039" t="s">
        <v>930</v>
      </c>
      <c r="B29" s="1038"/>
      <c r="C29" s="1038"/>
      <c r="D29" s="1038"/>
      <c r="E29" s="1038"/>
      <c r="F29" s="1038"/>
      <c r="G29" s="1038"/>
      <c r="H29" s="1038"/>
    </row>
    <row r="30" spans="1:8" x14ac:dyDescent="0.2">
      <c r="A30" s="1039" t="s">
        <v>931</v>
      </c>
      <c r="B30" s="1038"/>
      <c r="C30" s="1038"/>
      <c r="D30" s="1038"/>
      <c r="E30" s="1038"/>
      <c r="F30" s="1038"/>
      <c r="G30" s="1038"/>
      <c r="H30" s="1038"/>
    </row>
    <row r="31" spans="1:8" x14ac:dyDescent="0.2">
      <c r="A31" s="1039" t="s">
        <v>932</v>
      </c>
      <c r="B31" s="1038"/>
      <c r="C31" s="1038"/>
      <c r="D31" s="1038"/>
      <c r="E31" s="1038"/>
      <c r="F31" s="1038"/>
      <c r="G31" s="1038"/>
      <c r="H31" s="1038"/>
    </row>
    <row r="32" spans="1:8" x14ac:dyDescent="0.2">
      <c r="A32" s="1039" t="s">
        <v>933</v>
      </c>
      <c r="B32" s="1038"/>
      <c r="C32" s="1038"/>
      <c r="D32" s="1038"/>
      <c r="E32" s="1038"/>
      <c r="F32" s="1038"/>
      <c r="G32" s="1038"/>
      <c r="H32" s="1038"/>
    </row>
    <row r="33" spans="1:8" x14ac:dyDescent="0.2">
      <c r="A33" s="1039" t="s">
        <v>934</v>
      </c>
      <c r="B33" s="1038"/>
      <c r="C33" s="1038"/>
      <c r="D33" s="1038"/>
      <c r="E33" s="1038"/>
      <c r="F33" s="1038"/>
      <c r="G33" s="1038"/>
      <c r="H33" s="1038"/>
    </row>
    <row r="34" spans="1:8" x14ac:dyDescent="0.2">
      <c r="A34" s="1038"/>
      <c r="B34" s="1038"/>
      <c r="C34" s="1038"/>
      <c r="D34" s="1038"/>
      <c r="E34" s="1038"/>
      <c r="F34" s="1038"/>
      <c r="G34" s="1038"/>
      <c r="H34" s="1038"/>
    </row>
    <row r="35" spans="1:8" x14ac:dyDescent="0.2">
      <c r="A35" s="1039" t="s">
        <v>926</v>
      </c>
      <c r="B35" s="1038"/>
      <c r="C35" s="1038"/>
      <c r="D35" s="1038"/>
      <c r="E35" s="1038"/>
      <c r="F35" s="1038"/>
      <c r="G35" s="1038"/>
      <c r="H35" s="1038"/>
    </row>
    <row r="36" spans="1:8" x14ac:dyDescent="0.2">
      <c r="A36" s="1039" t="s">
        <v>927</v>
      </c>
      <c r="B36" s="1038"/>
      <c r="C36" s="1038"/>
      <c r="D36" s="1038"/>
      <c r="E36" s="1038"/>
      <c r="F36" s="1038"/>
      <c r="G36" s="1038"/>
      <c r="H36" s="1038"/>
    </row>
    <row r="37" spans="1:8" x14ac:dyDescent="0.2">
      <c r="A37" s="1039" t="s">
        <v>928</v>
      </c>
      <c r="B37" s="1038"/>
      <c r="C37" s="1038"/>
      <c r="D37" s="1038"/>
      <c r="E37" s="1038"/>
      <c r="F37" s="1038"/>
      <c r="G37" s="1038"/>
      <c r="H37" s="1038"/>
    </row>
    <row r="38" spans="1:8" x14ac:dyDescent="0.2">
      <c r="A38" s="1039" t="s">
        <v>929</v>
      </c>
      <c r="B38" s="1038"/>
      <c r="C38" s="1038"/>
      <c r="D38" s="1038"/>
      <c r="E38" s="1038"/>
      <c r="F38" s="1038"/>
      <c r="G38" s="1038"/>
      <c r="H38" s="1038"/>
    </row>
    <row r="39" spans="1:8" x14ac:dyDescent="0.2">
      <c r="A39" s="1038"/>
      <c r="B39" s="1038"/>
      <c r="C39" s="1038"/>
      <c r="D39" s="1038"/>
      <c r="E39" s="1038"/>
      <c r="F39" s="1038"/>
      <c r="G39" s="1038"/>
      <c r="H39" s="1038"/>
    </row>
    <row r="40" spans="1:8" x14ac:dyDescent="0.2">
      <c r="A40" s="1039" t="s">
        <v>920</v>
      </c>
      <c r="B40" s="1038"/>
      <c r="C40" s="1038"/>
      <c r="D40" s="1038"/>
      <c r="E40" s="1038"/>
      <c r="F40" s="1038"/>
      <c r="G40" s="1038"/>
      <c r="H40" s="1038"/>
    </row>
    <row r="41" spans="1:8" x14ac:dyDescent="0.2">
      <c r="A41" s="1039" t="s">
        <v>921</v>
      </c>
      <c r="B41" s="1038"/>
      <c r="C41" s="1038"/>
      <c r="D41" s="1038"/>
      <c r="E41" s="1038"/>
      <c r="F41" s="1038"/>
      <c r="G41" s="1038"/>
      <c r="H41" s="1038"/>
    </row>
    <row r="42" spans="1:8" x14ac:dyDescent="0.2">
      <c r="A42" s="1039" t="s">
        <v>922</v>
      </c>
      <c r="B42" s="1038"/>
      <c r="C42" s="1038"/>
      <c r="D42" s="1038"/>
      <c r="E42" s="1038"/>
      <c r="F42" s="1038"/>
      <c r="G42" s="1038"/>
      <c r="H42" s="1038"/>
    </row>
    <row r="43" spans="1:8" x14ac:dyDescent="0.2">
      <c r="A43" s="1039" t="s">
        <v>923</v>
      </c>
      <c r="B43" s="1038"/>
      <c r="C43" s="1038"/>
      <c r="D43" s="1038"/>
      <c r="E43" s="1038"/>
      <c r="F43" s="1038"/>
      <c r="G43" s="1038"/>
      <c r="H43" s="1038"/>
    </row>
    <row r="44" spans="1:8" x14ac:dyDescent="0.2">
      <c r="A44" s="1039" t="s">
        <v>924</v>
      </c>
      <c r="B44" s="1038"/>
      <c r="C44" s="1038"/>
      <c r="D44" s="1038"/>
      <c r="E44" s="1038"/>
      <c r="F44" s="1038"/>
      <c r="G44" s="1038"/>
      <c r="H44" s="1038"/>
    </row>
    <row r="45" spans="1:8" x14ac:dyDescent="0.2">
      <c r="A45" s="1039" t="s">
        <v>925</v>
      </c>
      <c r="B45" s="1038"/>
      <c r="C45" s="1038"/>
      <c r="D45" s="1038"/>
      <c r="E45" s="1038"/>
      <c r="F45" s="1038"/>
      <c r="G45" s="1038"/>
      <c r="H45" s="1038"/>
    </row>
    <row r="46" spans="1:8" x14ac:dyDescent="0.2">
      <c r="A46" s="1038"/>
      <c r="B46" s="1038"/>
      <c r="C46" s="1038"/>
      <c r="D46" s="1038"/>
      <c r="E46" s="1038"/>
      <c r="F46" s="1038"/>
      <c r="G46" s="1038"/>
      <c r="H46" s="1038"/>
    </row>
    <row r="47" spans="1:8" ht="15.75" x14ac:dyDescent="0.2">
      <c r="A47" s="1040" t="s">
        <v>657</v>
      </c>
      <c r="B47" s="1038"/>
      <c r="C47" s="1038"/>
      <c r="D47" s="1038"/>
      <c r="E47" s="1038"/>
      <c r="F47" s="1038"/>
      <c r="G47" s="1038"/>
      <c r="H47" s="1038"/>
    </row>
    <row r="48" spans="1:8" x14ac:dyDescent="0.2">
      <c r="A48" s="1038"/>
      <c r="B48" s="1038"/>
      <c r="C48" s="1038"/>
      <c r="D48" s="1038"/>
      <c r="E48" s="1038"/>
      <c r="F48" s="1038"/>
      <c r="G48" s="1038"/>
      <c r="H48" s="1038"/>
    </row>
    <row r="49" spans="1:8" x14ac:dyDescent="0.2">
      <c r="A49" s="1039" t="s">
        <v>916</v>
      </c>
      <c r="B49" s="1038"/>
      <c r="C49" s="1038"/>
      <c r="D49" s="1038"/>
      <c r="E49" s="1038"/>
      <c r="F49" s="1038"/>
      <c r="G49" s="1038"/>
      <c r="H49" s="1038"/>
    </row>
    <row r="50" spans="1:8" x14ac:dyDescent="0.2">
      <c r="A50" s="1039" t="s">
        <v>917</v>
      </c>
      <c r="B50" s="1038"/>
      <c r="C50" s="1038"/>
      <c r="D50" s="1038"/>
      <c r="E50" s="1038"/>
      <c r="F50" s="1038"/>
      <c r="G50" s="1038"/>
      <c r="H50" s="1038"/>
    </row>
    <row r="51" spans="1:8" x14ac:dyDescent="0.2">
      <c r="A51" s="1039" t="s">
        <v>918</v>
      </c>
      <c r="B51" s="1038"/>
      <c r="C51" s="1038"/>
      <c r="D51" s="1038"/>
      <c r="E51" s="1038"/>
      <c r="F51" s="1038"/>
      <c r="G51" s="1038"/>
      <c r="H51" s="1038"/>
    </row>
    <row r="52" spans="1:8" x14ac:dyDescent="0.2">
      <c r="A52" s="1039" t="s">
        <v>919</v>
      </c>
      <c r="B52" s="1038"/>
      <c r="C52" s="1038"/>
      <c r="D52" s="1038"/>
      <c r="E52" s="1038"/>
      <c r="F52" s="1038"/>
      <c r="G52" s="1038"/>
      <c r="H52" s="1038"/>
    </row>
    <row r="53" spans="1:8" x14ac:dyDescent="0.2">
      <c r="A53" s="1038"/>
      <c r="B53" s="1038"/>
      <c r="C53" s="1038"/>
      <c r="D53" s="1038"/>
      <c r="E53" s="1038"/>
      <c r="F53" s="1038"/>
      <c r="G53" s="1038"/>
      <c r="H53" s="1038"/>
    </row>
    <row r="54" spans="1:8" x14ac:dyDescent="0.2">
      <c r="A54" s="1039" t="s">
        <v>658</v>
      </c>
      <c r="B54" s="1038"/>
      <c r="C54" s="1038"/>
      <c r="D54" s="1038"/>
      <c r="E54" s="1038"/>
      <c r="F54" s="1038"/>
      <c r="G54" s="1038"/>
      <c r="H54" s="1038"/>
    </row>
    <row r="55" spans="1:8" x14ac:dyDescent="0.2">
      <c r="A55" s="1038"/>
      <c r="B55" s="1038"/>
      <c r="C55" s="1038"/>
      <c r="D55" s="1038"/>
      <c r="E55" s="1038"/>
      <c r="F55" s="1038"/>
      <c r="G55" s="1038"/>
      <c r="H55" s="1038"/>
    </row>
    <row r="56" spans="1:8" ht="15.75" x14ac:dyDescent="0.2">
      <c r="A56" s="1040" t="s">
        <v>659</v>
      </c>
      <c r="B56" s="1038"/>
      <c r="C56" s="1038"/>
      <c r="D56" s="1038"/>
      <c r="E56" s="1038"/>
      <c r="F56" s="1038"/>
      <c r="G56" s="1038"/>
      <c r="H56" s="1038"/>
    </row>
    <row r="57" spans="1:8" x14ac:dyDescent="0.2">
      <c r="A57" s="1038"/>
      <c r="B57" s="1038"/>
      <c r="C57" s="1038"/>
      <c r="D57" s="1038"/>
      <c r="E57" s="1038"/>
      <c r="F57" s="1038"/>
      <c r="G57" s="1038"/>
      <c r="H57" s="1038"/>
    </row>
    <row r="58" spans="1:8" x14ac:dyDescent="0.2">
      <c r="A58" s="1039" t="s">
        <v>914</v>
      </c>
      <c r="B58" s="1038"/>
      <c r="C58" s="1038"/>
      <c r="D58" s="1038"/>
      <c r="E58" s="1038"/>
      <c r="F58" s="1038"/>
      <c r="G58" s="1038"/>
      <c r="H58" s="1038"/>
    </row>
    <row r="59" spans="1:8" x14ac:dyDescent="0.2">
      <c r="A59" s="1039" t="s">
        <v>915</v>
      </c>
      <c r="B59" s="1038"/>
      <c r="C59" s="1038"/>
      <c r="D59" s="1038"/>
      <c r="E59" s="1038"/>
      <c r="F59" s="1038"/>
      <c r="G59" s="1038"/>
      <c r="H59" s="1038"/>
    </row>
    <row r="60" spans="1:8" x14ac:dyDescent="0.2">
      <c r="A60" s="1038"/>
      <c r="B60" s="1038"/>
      <c r="C60" s="1038"/>
      <c r="D60" s="1038"/>
      <c r="E60" s="1038"/>
      <c r="F60" s="1038"/>
      <c r="G60" s="1038"/>
      <c r="H60" s="1038"/>
    </row>
    <row r="61" spans="1:8" ht="15.75" x14ac:dyDescent="0.2">
      <c r="A61" s="1040" t="s">
        <v>660</v>
      </c>
      <c r="B61" s="1038"/>
      <c r="C61" s="1038"/>
      <c r="D61" s="1038"/>
      <c r="E61" s="1038"/>
      <c r="F61" s="1038"/>
      <c r="G61" s="1038"/>
      <c r="H61" s="1038"/>
    </row>
    <row r="62" spans="1:8" x14ac:dyDescent="0.2">
      <c r="A62" s="1038"/>
      <c r="B62" s="1038"/>
      <c r="C62" s="1038"/>
      <c r="D62" s="1038"/>
      <c r="E62" s="1038"/>
      <c r="F62" s="1038"/>
      <c r="G62" s="1038"/>
      <c r="H62" s="1038"/>
    </row>
    <row r="63" spans="1:8" x14ac:dyDescent="0.2">
      <c r="A63" s="1039" t="s">
        <v>912</v>
      </c>
      <c r="B63" s="1038"/>
      <c r="C63" s="1038"/>
      <c r="D63" s="1038"/>
      <c r="E63" s="1038"/>
      <c r="F63" s="1038"/>
      <c r="G63" s="1038"/>
      <c r="H63" s="1038"/>
    </row>
    <row r="64" spans="1:8" x14ac:dyDescent="0.2">
      <c r="A64" s="1039" t="s">
        <v>913</v>
      </c>
      <c r="B64" s="1038"/>
      <c r="C64" s="1038"/>
      <c r="D64" s="1038"/>
      <c r="E64" s="1038"/>
      <c r="F64" s="1038"/>
      <c r="G64" s="1038"/>
      <c r="H64" s="1038"/>
    </row>
    <row r="65" spans="1:8" x14ac:dyDescent="0.2">
      <c r="A65" s="1038"/>
      <c r="B65" s="1038"/>
      <c r="C65" s="1038"/>
      <c r="D65" s="1038"/>
      <c r="E65" s="1038"/>
      <c r="F65" s="1038"/>
      <c r="G65" s="1038"/>
      <c r="H65" s="1038"/>
    </row>
    <row r="66" spans="1:8" x14ac:dyDescent="0.2">
      <c r="A66" s="1039" t="s">
        <v>910</v>
      </c>
      <c r="B66" s="1038"/>
      <c r="C66" s="1038"/>
      <c r="D66" s="1038"/>
      <c r="E66" s="1038"/>
      <c r="F66" s="1038"/>
      <c r="G66" s="1038"/>
      <c r="H66" s="1038"/>
    </row>
    <row r="67" spans="1:8" x14ac:dyDescent="0.2">
      <c r="A67" s="1039" t="s">
        <v>911</v>
      </c>
      <c r="B67" s="1038"/>
      <c r="C67" s="1038"/>
      <c r="D67" s="1038"/>
      <c r="E67" s="1038"/>
      <c r="F67" s="1038"/>
      <c r="G67" s="1038"/>
      <c r="H67" s="1038"/>
    </row>
    <row r="68" spans="1:8" x14ac:dyDescent="0.2">
      <c r="A68" s="1038"/>
      <c r="B68" s="1038"/>
      <c r="C68" s="1038"/>
      <c r="D68" s="1038"/>
      <c r="E68" s="1038"/>
      <c r="F68" s="1038"/>
      <c r="G68" s="1038"/>
      <c r="H68" s="1038"/>
    </row>
    <row r="69" spans="1:8" x14ac:dyDescent="0.2">
      <c r="A69" s="1039" t="s">
        <v>908</v>
      </c>
      <c r="B69" s="1038"/>
      <c r="C69" s="1038"/>
      <c r="D69" s="1038"/>
      <c r="E69" s="1038"/>
      <c r="F69" s="1038"/>
      <c r="G69" s="1038"/>
      <c r="H69" s="1038"/>
    </row>
    <row r="70" spans="1:8" x14ac:dyDescent="0.2">
      <c r="A70" s="1039" t="s">
        <v>909</v>
      </c>
      <c r="B70" s="1038"/>
      <c r="C70" s="1038"/>
      <c r="D70" s="1038"/>
      <c r="E70" s="1038"/>
      <c r="F70" s="1038"/>
      <c r="G70" s="1038"/>
      <c r="H70" s="1038"/>
    </row>
    <row r="71" spans="1:8" x14ac:dyDescent="0.2">
      <c r="A71" s="1038"/>
      <c r="B71" s="1038"/>
      <c r="C71" s="1038"/>
      <c r="D71" s="1038"/>
      <c r="E71" s="1038"/>
      <c r="F71" s="1038"/>
      <c r="G71" s="1038"/>
      <c r="H71" s="1038"/>
    </row>
    <row r="72" spans="1:8" x14ac:dyDescent="0.2">
      <c r="A72" s="1039" t="s">
        <v>905</v>
      </c>
      <c r="B72" s="1038"/>
      <c r="C72" s="1038"/>
      <c r="D72" s="1038"/>
      <c r="E72" s="1038"/>
      <c r="F72" s="1038"/>
      <c r="G72" s="1038"/>
      <c r="H72" s="1038"/>
    </row>
    <row r="73" spans="1:8" x14ac:dyDescent="0.2">
      <c r="A73" s="1039" t="s">
        <v>906</v>
      </c>
      <c r="B73" s="1038"/>
      <c r="C73" s="1038"/>
      <c r="D73" s="1038"/>
      <c r="E73" s="1038"/>
      <c r="F73" s="1038"/>
      <c r="G73" s="1038"/>
      <c r="H73" s="1038"/>
    </row>
    <row r="74" spans="1:8" x14ac:dyDescent="0.2">
      <c r="A74" s="1039" t="s">
        <v>907</v>
      </c>
      <c r="B74" s="1038"/>
      <c r="C74" s="1038"/>
      <c r="D74" s="1038"/>
      <c r="E74" s="1038"/>
      <c r="F74" s="1038"/>
      <c r="G74" s="1038"/>
      <c r="H74" s="1038"/>
    </row>
    <row r="75" spans="1:8" x14ac:dyDescent="0.2">
      <c r="A75" s="1038"/>
      <c r="B75" s="1038"/>
      <c r="C75" s="1038"/>
      <c r="D75" s="1038"/>
      <c r="E75" s="1038"/>
      <c r="F75" s="1038"/>
      <c r="G75" s="1038"/>
      <c r="H75" s="1038"/>
    </row>
    <row r="76" spans="1:8" x14ac:dyDescent="0.2">
      <c r="A76" s="1039" t="s">
        <v>661</v>
      </c>
      <c r="B76" s="1038"/>
      <c r="C76" s="1038"/>
      <c r="D76" s="1038"/>
      <c r="E76" s="1038"/>
      <c r="F76" s="1038"/>
      <c r="G76" s="1038"/>
      <c r="H76" s="1038"/>
    </row>
    <row r="77" spans="1:8" x14ac:dyDescent="0.2">
      <c r="A77" s="1038"/>
      <c r="B77" s="1038"/>
      <c r="C77" s="1038"/>
      <c r="D77" s="1038"/>
      <c r="E77" s="1038"/>
      <c r="F77" s="1038"/>
      <c r="G77" s="1038"/>
      <c r="H77" s="1038"/>
    </row>
    <row r="78" spans="1:8" x14ac:dyDescent="0.2">
      <c r="A78" s="1039" t="s">
        <v>900</v>
      </c>
      <c r="B78" s="1038"/>
      <c r="C78" s="1038"/>
      <c r="D78" s="1038"/>
      <c r="E78" s="1038"/>
      <c r="F78" s="1038"/>
      <c r="G78" s="1038"/>
      <c r="H78" s="1038"/>
    </row>
    <row r="79" spans="1:8" x14ac:dyDescent="0.2">
      <c r="A79" s="1039" t="s">
        <v>901</v>
      </c>
      <c r="B79" s="1038"/>
      <c r="C79" s="1038"/>
      <c r="D79" s="1038"/>
      <c r="E79" s="1038"/>
      <c r="F79" s="1038"/>
      <c r="G79" s="1038"/>
      <c r="H79" s="1038"/>
    </row>
    <row r="80" spans="1:8" x14ac:dyDescent="0.2">
      <c r="A80" s="1039" t="s">
        <v>902</v>
      </c>
      <c r="B80" s="1038"/>
      <c r="C80" s="1038"/>
      <c r="D80" s="1038"/>
      <c r="E80" s="1038"/>
      <c r="F80" s="1038"/>
      <c r="G80" s="1038"/>
      <c r="H80" s="1038"/>
    </row>
    <row r="81" spans="1:8" x14ac:dyDescent="0.2">
      <c r="A81" s="1039" t="s">
        <v>903</v>
      </c>
      <c r="B81" s="1038"/>
      <c r="C81" s="1038"/>
      <c r="D81" s="1038"/>
      <c r="E81" s="1038"/>
      <c r="F81" s="1038"/>
      <c r="G81" s="1038"/>
      <c r="H81" s="1038"/>
    </row>
    <row r="82" spans="1:8" x14ac:dyDescent="0.2">
      <c r="A82" s="1039" t="s">
        <v>904</v>
      </c>
      <c r="B82" s="1038"/>
      <c r="C82" s="1038"/>
      <c r="D82" s="1038"/>
      <c r="E82" s="1038"/>
      <c r="F82" s="1038"/>
      <c r="G82" s="1038"/>
      <c r="H82" s="1038"/>
    </row>
    <row r="83" spans="1:8" x14ac:dyDescent="0.2">
      <c r="A83" s="1039" t="s">
        <v>787</v>
      </c>
      <c r="B83" s="1038"/>
      <c r="C83" s="1038"/>
      <c r="D83" s="1038"/>
      <c r="E83" s="1038"/>
      <c r="F83" s="1038"/>
      <c r="G83" s="1038"/>
      <c r="H83" s="1038"/>
    </row>
    <row r="84" spans="1:8" x14ac:dyDescent="0.2">
      <c r="A84" s="1038"/>
      <c r="B84" s="1038"/>
      <c r="C84" s="1038"/>
      <c r="D84" s="1038"/>
      <c r="E84" s="1038"/>
      <c r="F84" s="1038"/>
      <c r="G84" s="1038"/>
      <c r="H84" s="1038"/>
    </row>
    <row r="85" spans="1:8" x14ac:dyDescent="0.2">
      <c r="A85" s="1039" t="s">
        <v>893</v>
      </c>
      <c r="B85" s="1038"/>
      <c r="C85" s="1038"/>
      <c r="D85" s="1038"/>
      <c r="E85" s="1038"/>
      <c r="F85" s="1038"/>
      <c r="G85" s="1038"/>
      <c r="H85" s="1038"/>
    </row>
    <row r="86" spans="1:8" x14ac:dyDescent="0.2">
      <c r="A86" s="1039" t="s">
        <v>894</v>
      </c>
      <c r="B86" s="1038"/>
      <c r="C86" s="1038"/>
      <c r="D86" s="1038"/>
      <c r="E86" s="1038"/>
      <c r="F86" s="1038"/>
      <c r="G86" s="1038"/>
      <c r="H86" s="1038"/>
    </row>
    <row r="87" spans="1:8" x14ac:dyDescent="0.2">
      <c r="A87" s="1039" t="s">
        <v>895</v>
      </c>
      <c r="B87" s="1038"/>
      <c r="C87" s="1038"/>
      <c r="D87" s="1038"/>
      <c r="E87" s="1038"/>
      <c r="F87" s="1038"/>
      <c r="G87" s="1038"/>
      <c r="H87" s="1038"/>
    </row>
    <row r="88" spans="1:8" x14ac:dyDescent="0.2">
      <c r="A88" s="1039" t="s">
        <v>896</v>
      </c>
      <c r="B88" s="1038"/>
      <c r="C88" s="1038"/>
      <c r="D88" s="1038"/>
      <c r="E88" s="1038"/>
      <c r="F88" s="1038"/>
      <c r="G88" s="1038"/>
      <c r="H88" s="1038"/>
    </row>
    <row r="89" spans="1:8" x14ac:dyDescent="0.2">
      <c r="A89" s="1039" t="s">
        <v>897</v>
      </c>
      <c r="B89" s="1038"/>
      <c r="C89" s="1038"/>
      <c r="D89" s="1038"/>
      <c r="E89" s="1038"/>
      <c r="F89" s="1038"/>
      <c r="G89" s="1038"/>
      <c r="H89" s="1038"/>
    </row>
    <row r="90" spans="1:8" x14ac:dyDescent="0.2">
      <c r="A90" s="1039" t="s">
        <v>898</v>
      </c>
      <c r="B90" s="1038"/>
      <c r="C90" s="1038"/>
      <c r="D90" s="1038"/>
      <c r="E90" s="1038"/>
      <c r="F90" s="1038"/>
      <c r="G90" s="1038"/>
      <c r="H90" s="1038"/>
    </row>
    <row r="91" spans="1:8" x14ac:dyDescent="0.2">
      <c r="A91" s="1039" t="s">
        <v>899</v>
      </c>
      <c r="B91" s="1038"/>
      <c r="C91" s="1038"/>
      <c r="D91" s="1038"/>
      <c r="E91" s="1038"/>
      <c r="F91" s="1038"/>
      <c r="G91" s="1038"/>
      <c r="H91" s="1038"/>
    </row>
    <row r="92" spans="1:8" x14ac:dyDescent="0.2">
      <c r="A92" s="1038"/>
      <c r="B92" s="1038"/>
      <c r="C92" s="1038"/>
      <c r="D92" s="1038"/>
      <c r="E92" s="1038"/>
      <c r="F92" s="1038"/>
      <c r="G92" s="1038"/>
      <c r="H92" s="1038"/>
    </row>
    <row r="93" spans="1:8" x14ac:dyDescent="0.2">
      <c r="A93" s="1039" t="s">
        <v>891</v>
      </c>
      <c r="B93" s="1038"/>
      <c r="C93" s="1038"/>
      <c r="D93" s="1038"/>
      <c r="E93" s="1038"/>
      <c r="F93" s="1038"/>
      <c r="G93" s="1038"/>
      <c r="H93" s="1038"/>
    </row>
    <row r="94" spans="1:8" x14ac:dyDescent="0.2">
      <c r="A94" s="1039" t="s">
        <v>892</v>
      </c>
      <c r="B94" s="1038"/>
      <c r="C94" s="1038"/>
      <c r="D94" s="1038"/>
      <c r="E94" s="1038"/>
      <c r="F94" s="1038"/>
      <c r="G94" s="1038"/>
      <c r="H94" s="1038"/>
    </row>
    <row r="95" spans="1:8" x14ac:dyDescent="0.2">
      <c r="A95" s="1038"/>
      <c r="B95" s="1038"/>
      <c r="C95" s="1038"/>
      <c r="D95" s="1038"/>
      <c r="E95" s="1038"/>
      <c r="F95" s="1038"/>
      <c r="G95" s="1038"/>
      <c r="H95" s="1038"/>
    </row>
    <row r="96" spans="1:8" ht="15.75" x14ac:dyDescent="0.2">
      <c r="A96" s="1040" t="s">
        <v>662</v>
      </c>
      <c r="B96" s="1038"/>
      <c r="C96" s="1038"/>
      <c r="D96" s="1038"/>
      <c r="E96" s="1038"/>
      <c r="F96" s="1038"/>
      <c r="G96" s="1038"/>
      <c r="H96" s="1038"/>
    </row>
    <row r="97" spans="1:8" x14ac:dyDescent="0.2">
      <c r="A97" s="1038"/>
      <c r="B97" s="1038"/>
      <c r="C97" s="1038"/>
      <c r="D97" s="1038"/>
      <c r="E97" s="1038"/>
      <c r="F97" s="1038"/>
      <c r="G97" s="1038"/>
      <c r="H97" s="1038"/>
    </row>
    <row r="98" spans="1:8" x14ac:dyDescent="0.2">
      <c r="A98" s="1039" t="s">
        <v>882</v>
      </c>
      <c r="B98" s="1038"/>
      <c r="C98" s="1038"/>
      <c r="D98" s="1038"/>
      <c r="E98" s="1038"/>
      <c r="F98" s="1038"/>
      <c r="G98" s="1038"/>
      <c r="H98" s="1038"/>
    </row>
    <row r="99" spans="1:8" x14ac:dyDescent="0.2">
      <c r="A99" s="1039" t="s">
        <v>883</v>
      </c>
      <c r="B99" s="1038"/>
      <c r="C99" s="1038"/>
      <c r="D99" s="1038"/>
      <c r="E99" s="1038"/>
      <c r="F99" s="1038"/>
      <c r="G99" s="1038"/>
      <c r="H99" s="1038"/>
    </row>
    <row r="100" spans="1:8" x14ac:dyDescent="0.2">
      <c r="A100" s="1039" t="s">
        <v>884</v>
      </c>
      <c r="B100" s="1038"/>
      <c r="C100" s="1038"/>
      <c r="D100" s="1038"/>
      <c r="E100" s="1038"/>
      <c r="F100" s="1038"/>
      <c r="G100" s="1038"/>
      <c r="H100" s="1038"/>
    </row>
    <row r="101" spans="1:8" x14ac:dyDescent="0.2">
      <c r="A101" s="1039" t="s">
        <v>885</v>
      </c>
      <c r="B101" s="1038"/>
      <c r="C101" s="1038"/>
      <c r="D101" s="1038"/>
      <c r="E101" s="1038"/>
      <c r="F101" s="1038"/>
      <c r="G101" s="1038"/>
      <c r="H101" s="1038"/>
    </row>
    <row r="102" spans="1:8" x14ac:dyDescent="0.2">
      <c r="A102" s="1039" t="s">
        <v>886</v>
      </c>
      <c r="B102" s="1038"/>
      <c r="C102" s="1038"/>
      <c r="D102" s="1038"/>
      <c r="E102" s="1038"/>
      <c r="F102" s="1038"/>
      <c r="G102" s="1038"/>
      <c r="H102" s="1038"/>
    </row>
    <row r="103" spans="1:8" x14ac:dyDescent="0.2">
      <c r="A103" s="1039" t="s">
        <v>887</v>
      </c>
      <c r="B103" s="1038"/>
      <c r="C103" s="1038"/>
      <c r="D103" s="1038"/>
      <c r="E103" s="1038"/>
      <c r="F103" s="1038"/>
      <c r="G103" s="1038"/>
      <c r="H103" s="1038"/>
    </row>
    <row r="104" spans="1:8" x14ac:dyDescent="0.2">
      <c r="A104" s="1039" t="s">
        <v>888</v>
      </c>
      <c r="B104" s="1038"/>
      <c r="C104" s="1038"/>
      <c r="D104" s="1038"/>
      <c r="E104" s="1038"/>
      <c r="F104" s="1038"/>
      <c r="G104" s="1038"/>
      <c r="H104" s="1038"/>
    </row>
    <row r="105" spans="1:8" x14ac:dyDescent="0.2">
      <c r="A105" s="1039" t="s">
        <v>889</v>
      </c>
      <c r="B105" s="1038"/>
      <c r="C105" s="1038"/>
      <c r="D105" s="1038"/>
      <c r="E105" s="1038"/>
      <c r="F105" s="1038"/>
      <c r="G105" s="1038"/>
      <c r="H105" s="1038"/>
    </row>
    <row r="106" spans="1:8" x14ac:dyDescent="0.2">
      <c r="A106" s="1039" t="s">
        <v>890</v>
      </c>
      <c r="B106" s="1038"/>
      <c r="C106" s="1038"/>
      <c r="D106" s="1038"/>
      <c r="E106" s="1038"/>
      <c r="F106" s="1038"/>
      <c r="G106" s="1038"/>
      <c r="H106" s="1038"/>
    </row>
    <row r="107" spans="1:8" x14ac:dyDescent="0.2">
      <c r="A107" s="1038"/>
      <c r="B107" s="1038"/>
      <c r="C107" s="1038"/>
      <c r="D107" s="1038"/>
      <c r="E107" s="1038"/>
      <c r="F107" s="1038"/>
      <c r="G107" s="1038"/>
      <c r="H107" s="1038"/>
    </row>
    <row r="108" spans="1:8" ht="15.75" x14ac:dyDescent="0.2">
      <c r="A108" s="1041" t="s">
        <v>663</v>
      </c>
      <c r="B108" s="1041"/>
      <c r="C108" s="1041"/>
      <c r="D108" s="1041"/>
      <c r="E108" s="1041"/>
      <c r="F108" s="1041"/>
      <c r="G108" s="1041"/>
      <c r="H108" s="1041"/>
    </row>
    <row r="109" spans="1:8" x14ac:dyDescent="0.2">
      <c r="A109" s="1042" t="s">
        <v>664</v>
      </c>
      <c r="B109" s="1042"/>
      <c r="C109" s="1042"/>
      <c r="D109" s="1042"/>
      <c r="E109" s="1042"/>
      <c r="F109" s="1042"/>
      <c r="G109" s="1042"/>
      <c r="H109" s="1042"/>
    </row>
    <row r="110" spans="1:8" x14ac:dyDescent="0.2">
      <c r="A110" s="1043"/>
      <c r="B110" s="1043"/>
      <c r="C110" s="1043"/>
      <c r="D110" s="1043"/>
      <c r="E110" s="1043"/>
      <c r="F110" s="1043"/>
      <c r="G110" s="1043"/>
      <c r="H110" s="1043"/>
    </row>
    <row r="111" spans="1:8" x14ac:dyDescent="0.2">
      <c r="A111" s="1042" t="s">
        <v>880</v>
      </c>
      <c r="B111" s="1042"/>
      <c r="C111" s="1042"/>
      <c r="D111" s="1042"/>
      <c r="E111" s="1042"/>
      <c r="F111" s="1042"/>
      <c r="G111" s="1042"/>
      <c r="H111" s="1042"/>
    </row>
    <row r="112" spans="1:8" x14ac:dyDescent="0.2">
      <c r="A112" s="1039" t="s">
        <v>881</v>
      </c>
      <c r="B112" s="1039"/>
      <c r="C112" s="1039"/>
      <c r="D112" s="1039"/>
      <c r="E112" s="1039"/>
      <c r="F112" s="1039"/>
      <c r="G112" s="1039"/>
      <c r="H112" s="1039"/>
    </row>
    <row r="113" spans="1:8" x14ac:dyDescent="0.2">
      <c r="A113" s="1043"/>
      <c r="B113" s="1043"/>
      <c r="C113" s="1043"/>
      <c r="D113" s="1043"/>
      <c r="E113" s="1043"/>
      <c r="F113" s="1043"/>
      <c r="G113" s="1043"/>
      <c r="H113" s="1043"/>
    </row>
    <row r="114" spans="1:8" x14ac:dyDescent="0.2">
      <c r="A114" s="1042" t="s">
        <v>873</v>
      </c>
      <c r="B114" s="1042"/>
      <c r="C114" s="1042"/>
      <c r="D114" s="1042"/>
      <c r="E114" s="1042"/>
      <c r="F114" s="1042"/>
      <c r="G114" s="1042"/>
      <c r="H114" s="1042"/>
    </row>
    <row r="115" spans="1:8" x14ac:dyDescent="0.2">
      <c r="A115" s="1039" t="s">
        <v>874</v>
      </c>
      <c r="B115" s="1039"/>
      <c r="C115" s="1039"/>
      <c r="D115" s="1039"/>
      <c r="E115" s="1039"/>
      <c r="F115" s="1039"/>
      <c r="G115" s="1039"/>
      <c r="H115" s="1039"/>
    </row>
    <row r="116" spans="1:8" x14ac:dyDescent="0.2">
      <c r="A116" s="1039" t="s">
        <v>875</v>
      </c>
      <c r="B116" s="1039"/>
      <c r="C116" s="1039"/>
      <c r="D116" s="1039"/>
      <c r="E116" s="1039"/>
      <c r="F116" s="1039"/>
      <c r="G116" s="1039"/>
      <c r="H116" s="1039"/>
    </row>
    <row r="117" spans="1:8" x14ac:dyDescent="0.2">
      <c r="A117" s="1039" t="s">
        <v>876</v>
      </c>
      <c r="B117" s="1039"/>
      <c r="C117" s="1039"/>
      <c r="D117" s="1039"/>
      <c r="E117" s="1039"/>
      <c r="F117" s="1039"/>
      <c r="G117" s="1039"/>
      <c r="H117" s="1039"/>
    </row>
    <row r="118" spans="1:8" x14ac:dyDescent="0.2">
      <c r="A118" s="1039" t="s">
        <v>877</v>
      </c>
      <c r="B118" s="1039"/>
      <c r="C118" s="1039"/>
      <c r="D118" s="1039"/>
      <c r="E118" s="1039"/>
      <c r="F118" s="1039"/>
      <c r="G118" s="1039"/>
      <c r="H118" s="1039"/>
    </row>
    <row r="119" spans="1:8" x14ac:dyDescent="0.2">
      <c r="A119" s="1039" t="s">
        <v>878</v>
      </c>
      <c r="B119" s="1039"/>
      <c r="C119" s="1039"/>
      <c r="D119" s="1039"/>
      <c r="E119" s="1039"/>
      <c r="F119" s="1039"/>
      <c r="G119" s="1039"/>
      <c r="H119" s="1039"/>
    </row>
    <row r="120" spans="1:8" x14ac:dyDescent="0.2">
      <c r="A120" s="1039" t="s">
        <v>879</v>
      </c>
      <c r="B120" s="1039"/>
      <c r="C120" s="1039"/>
      <c r="D120" s="1039"/>
      <c r="E120" s="1039"/>
      <c r="F120" s="1039"/>
      <c r="G120" s="1039"/>
      <c r="H120" s="1039"/>
    </row>
    <row r="121" spans="1:8" x14ac:dyDescent="0.2">
      <c r="A121" s="1044"/>
      <c r="B121" s="1044"/>
      <c r="C121" s="1044"/>
      <c r="D121" s="1044"/>
      <c r="E121" s="1044"/>
      <c r="F121" s="1044"/>
      <c r="G121" s="1044"/>
      <c r="H121" s="1044"/>
    </row>
    <row r="122" spans="1:8" x14ac:dyDescent="0.2">
      <c r="A122" s="1045"/>
      <c r="B122" s="1046" t="s">
        <v>665</v>
      </c>
      <c r="C122" s="1047"/>
      <c r="D122" s="1046" t="s">
        <v>666</v>
      </c>
      <c r="E122" s="1048"/>
      <c r="F122" s="1047"/>
      <c r="G122" s="1046" t="s">
        <v>667</v>
      </c>
      <c r="H122" s="1047"/>
    </row>
    <row r="123" spans="1:8" x14ac:dyDescent="0.2">
      <c r="A123" s="1045" t="s">
        <v>668</v>
      </c>
      <c r="B123" s="1045" t="s">
        <v>384</v>
      </c>
      <c r="C123" s="1045" t="s">
        <v>669</v>
      </c>
      <c r="D123" s="1045" t="s">
        <v>384</v>
      </c>
      <c r="E123" s="1045" t="s">
        <v>670</v>
      </c>
      <c r="F123" s="1045" t="s">
        <v>671</v>
      </c>
      <c r="G123" s="1045" t="s">
        <v>384</v>
      </c>
      <c r="H123" s="1045" t="s">
        <v>672</v>
      </c>
    </row>
    <row r="124" spans="1:8" x14ac:dyDescent="0.2">
      <c r="A124" s="1045" t="s">
        <v>673</v>
      </c>
      <c r="B124" s="1045">
        <v>1189</v>
      </c>
      <c r="C124" s="1049">
        <v>0.38</v>
      </c>
      <c r="D124" s="1045">
        <v>315</v>
      </c>
      <c r="E124" s="1049">
        <v>0.41</v>
      </c>
      <c r="F124" s="1049">
        <v>0.26</v>
      </c>
      <c r="G124" s="1045">
        <v>555</v>
      </c>
      <c r="H124" s="1049">
        <v>0.39</v>
      </c>
    </row>
    <row r="125" spans="1:8" x14ac:dyDescent="0.2">
      <c r="A125" s="1045" t="s">
        <v>674</v>
      </c>
      <c r="B125" s="1045">
        <v>1355</v>
      </c>
      <c r="C125" s="1049">
        <v>0.43</v>
      </c>
      <c r="D125" s="1045">
        <v>364</v>
      </c>
      <c r="E125" s="1049">
        <v>0.47</v>
      </c>
      <c r="F125" s="1049">
        <v>0.27</v>
      </c>
      <c r="G125" s="1045">
        <v>644</v>
      </c>
      <c r="H125" s="1049">
        <v>0.45</v>
      </c>
    </row>
    <row r="126" spans="1:8" x14ac:dyDescent="0.2">
      <c r="A126" s="1045" t="s">
        <v>675</v>
      </c>
      <c r="B126" s="1045">
        <v>53</v>
      </c>
      <c r="C126" s="1049">
        <v>0.02</v>
      </c>
      <c r="D126" s="1045">
        <v>4</v>
      </c>
      <c r="E126" s="1049">
        <v>0.01</v>
      </c>
      <c r="F126" s="1049">
        <v>0.08</v>
      </c>
      <c r="G126" s="1045">
        <v>7</v>
      </c>
      <c r="H126" s="1049">
        <v>0</v>
      </c>
    </row>
    <row r="127" spans="1:8" x14ac:dyDescent="0.2">
      <c r="A127" s="1045" t="s">
        <v>676</v>
      </c>
      <c r="B127" s="1045">
        <v>545</v>
      </c>
      <c r="C127" s="1049">
        <v>0.17</v>
      </c>
      <c r="D127" s="1045">
        <v>84</v>
      </c>
      <c r="E127" s="1049">
        <v>0.11</v>
      </c>
      <c r="F127" s="1049">
        <v>0.15</v>
      </c>
      <c r="G127" s="1045">
        <v>214</v>
      </c>
      <c r="H127" s="1049">
        <v>0.15</v>
      </c>
    </row>
    <row r="128" spans="1:8" x14ac:dyDescent="0.2">
      <c r="A128" s="1045" t="s">
        <v>98</v>
      </c>
      <c r="B128" s="1050">
        <v>3142</v>
      </c>
      <c r="C128" s="1045"/>
      <c r="D128" s="1045">
        <v>767</v>
      </c>
      <c r="E128" s="1045"/>
      <c r="F128" s="1045"/>
      <c r="G128" s="1045">
        <v>1420</v>
      </c>
      <c r="H128" s="1045"/>
    </row>
    <row r="129" spans="1:8" x14ac:dyDescent="0.2">
      <c r="A129" s="1051"/>
      <c r="B129" s="1051"/>
      <c r="C129" s="1051"/>
      <c r="D129" s="1051"/>
      <c r="E129" s="1051"/>
      <c r="F129" s="1051"/>
      <c r="G129" s="1051"/>
      <c r="H129" s="1051"/>
    </row>
    <row r="130" spans="1:8" x14ac:dyDescent="0.2">
      <c r="A130" s="1042" t="s">
        <v>869</v>
      </c>
      <c r="B130" s="1042"/>
      <c r="C130" s="1042"/>
      <c r="D130" s="1042"/>
      <c r="E130" s="1042"/>
      <c r="F130" s="1042"/>
      <c r="G130" s="1042"/>
      <c r="H130" s="1042"/>
    </row>
    <row r="131" spans="1:8" x14ac:dyDescent="0.2">
      <c r="A131" s="1039" t="s">
        <v>870</v>
      </c>
      <c r="B131" s="1039"/>
      <c r="C131" s="1039"/>
      <c r="D131" s="1039"/>
      <c r="E131" s="1039"/>
      <c r="F131" s="1039"/>
      <c r="G131" s="1039"/>
      <c r="H131" s="1039"/>
    </row>
    <row r="132" spans="1:8" x14ac:dyDescent="0.2">
      <c r="A132" s="1039" t="s">
        <v>871</v>
      </c>
      <c r="B132" s="1039"/>
      <c r="C132" s="1039"/>
      <c r="D132" s="1039"/>
      <c r="E132" s="1039"/>
      <c r="F132" s="1039"/>
      <c r="G132" s="1039"/>
      <c r="H132" s="1039"/>
    </row>
    <row r="133" spans="1:8" x14ac:dyDescent="0.2">
      <c r="A133" s="1039" t="s">
        <v>872</v>
      </c>
      <c r="B133" s="1039"/>
      <c r="C133" s="1039"/>
      <c r="D133" s="1039"/>
      <c r="E133" s="1039"/>
      <c r="F133" s="1039"/>
      <c r="G133" s="1039"/>
      <c r="H133" s="1039"/>
    </row>
    <row r="134" spans="1:8" x14ac:dyDescent="0.2">
      <c r="A134" s="1038"/>
      <c r="B134" s="1038"/>
      <c r="C134" s="1038"/>
      <c r="D134" s="1038"/>
      <c r="E134" s="1038"/>
      <c r="F134" s="1038"/>
      <c r="G134" s="1038"/>
      <c r="H134" s="1038"/>
    </row>
    <row r="135" spans="1:8" ht="15.75" x14ac:dyDescent="0.2">
      <c r="A135" s="1040" t="s">
        <v>677</v>
      </c>
      <c r="B135" s="1038"/>
      <c r="C135" s="1038"/>
      <c r="D135" s="1038"/>
      <c r="E135" s="1038"/>
      <c r="F135" s="1038"/>
      <c r="G135" s="1038"/>
      <c r="H135" s="1038"/>
    </row>
    <row r="136" spans="1:8" x14ac:dyDescent="0.2">
      <c r="A136" s="1038"/>
      <c r="B136" s="1038"/>
      <c r="C136" s="1038"/>
      <c r="D136" s="1038"/>
      <c r="E136" s="1038"/>
      <c r="F136" s="1038"/>
      <c r="G136" s="1038"/>
      <c r="H136" s="1038"/>
    </row>
    <row r="137" spans="1:8" x14ac:dyDescent="0.2">
      <c r="A137" s="1039" t="s">
        <v>867</v>
      </c>
      <c r="B137" s="1038"/>
      <c r="C137" s="1038"/>
      <c r="D137" s="1038"/>
      <c r="E137" s="1038"/>
      <c r="F137" s="1038"/>
      <c r="G137" s="1038"/>
      <c r="H137" s="1038"/>
    </row>
    <row r="138" spans="1:8" x14ac:dyDescent="0.2">
      <c r="A138" s="1039" t="s">
        <v>868</v>
      </c>
      <c r="B138" s="1038"/>
      <c r="C138" s="1038"/>
      <c r="D138" s="1038"/>
      <c r="E138" s="1038"/>
      <c r="F138" s="1038"/>
      <c r="G138" s="1038"/>
      <c r="H138" s="1038"/>
    </row>
    <row r="139" spans="1:8" x14ac:dyDescent="0.2">
      <c r="A139" s="1038"/>
      <c r="B139" s="1038"/>
      <c r="C139" s="1038"/>
      <c r="D139" s="1038"/>
      <c r="E139" s="1038"/>
      <c r="F139" s="1038"/>
      <c r="G139" s="1038"/>
      <c r="H139" s="1038"/>
    </row>
    <row r="140" spans="1:8" x14ac:dyDescent="0.2">
      <c r="A140" s="1039" t="s">
        <v>864</v>
      </c>
      <c r="B140" s="1038"/>
      <c r="C140" s="1038"/>
      <c r="D140" s="1038"/>
      <c r="E140" s="1038"/>
      <c r="F140" s="1038"/>
      <c r="G140" s="1038"/>
      <c r="H140" s="1038"/>
    </row>
    <row r="141" spans="1:8" x14ac:dyDescent="0.2">
      <c r="A141" s="1039" t="s">
        <v>865</v>
      </c>
      <c r="B141" s="1038"/>
      <c r="C141" s="1038"/>
      <c r="D141" s="1038"/>
      <c r="E141" s="1038"/>
      <c r="F141" s="1038"/>
      <c r="G141" s="1038"/>
      <c r="H141" s="1038"/>
    </row>
    <row r="142" spans="1:8" x14ac:dyDescent="0.2">
      <c r="A142" s="1039" t="s">
        <v>866</v>
      </c>
      <c r="B142" s="1038"/>
      <c r="C142" s="1038"/>
      <c r="D142" s="1038"/>
      <c r="E142" s="1038"/>
      <c r="F142" s="1038"/>
      <c r="G142" s="1038"/>
      <c r="H142" s="1038"/>
    </row>
    <row r="143" spans="1:8" x14ac:dyDescent="0.2">
      <c r="A143" s="1038"/>
      <c r="B143" s="1038"/>
      <c r="C143" s="1038"/>
      <c r="D143" s="1038"/>
      <c r="E143" s="1038"/>
      <c r="F143" s="1038"/>
      <c r="G143" s="1038"/>
      <c r="H143" s="1038"/>
    </row>
    <row r="144" spans="1:8" x14ac:dyDescent="0.2">
      <c r="A144" s="1039" t="s">
        <v>861</v>
      </c>
      <c r="B144" s="1038"/>
      <c r="C144" s="1038"/>
      <c r="D144" s="1038"/>
      <c r="E144" s="1038"/>
      <c r="F144" s="1038"/>
      <c r="G144" s="1038"/>
      <c r="H144" s="1038"/>
    </row>
    <row r="145" spans="1:8" x14ac:dyDescent="0.2">
      <c r="A145" s="1039" t="s">
        <v>862</v>
      </c>
      <c r="B145" s="1038"/>
      <c r="C145" s="1038"/>
      <c r="D145" s="1038"/>
      <c r="E145" s="1038"/>
      <c r="F145" s="1038"/>
      <c r="G145" s="1038"/>
      <c r="H145" s="1038"/>
    </row>
    <row r="146" spans="1:8" x14ac:dyDescent="0.2">
      <c r="A146" s="1039" t="s">
        <v>863</v>
      </c>
      <c r="B146" s="1038"/>
      <c r="C146" s="1038"/>
      <c r="D146" s="1038"/>
      <c r="E146" s="1038"/>
      <c r="F146" s="1038"/>
      <c r="G146" s="1038"/>
      <c r="H146" s="1038"/>
    </row>
    <row r="147" spans="1:8" x14ac:dyDescent="0.2">
      <c r="A147" s="1038"/>
      <c r="B147" s="1038"/>
      <c r="C147" s="1038"/>
      <c r="D147" s="1038"/>
      <c r="E147" s="1038"/>
      <c r="F147" s="1038"/>
      <c r="G147" s="1038"/>
      <c r="H147" s="1038"/>
    </row>
    <row r="148" spans="1:8" x14ac:dyDescent="0.2">
      <c r="A148" s="1039" t="s">
        <v>858</v>
      </c>
      <c r="B148" s="1038"/>
      <c r="C148" s="1038"/>
      <c r="D148" s="1038"/>
      <c r="E148" s="1038"/>
      <c r="F148" s="1038"/>
      <c r="G148" s="1038"/>
      <c r="H148" s="1038"/>
    </row>
    <row r="149" spans="1:8" x14ac:dyDescent="0.2">
      <c r="A149" s="1039" t="s">
        <v>859</v>
      </c>
      <c r="B149" s="1038"/>
      <c r="C149" s="1038"/>
      <c r="D149" s="1038"/>
      <c r="E149" s="1038"/>
      <c r="F149" s="1038"/>
      <c r="G149" s="1038"/>
      <c r="H149" s="1038"/>
    </row>
    <row r="150" spans="1:8" x14ac:dyDescent="0.2">
      <c r="A150" s="1039" t="s">
        <v>860</v>
      </c>
      <c r="B150" s="1038"/>
      <c r="C150" s="1038"/>
      <c r="D150" s="1038"/>
      <c r="E150" s="1038"/>
      <c r="F150" s="1038"/>
      <c r="G150" s="1038"/>
      <c r="H150" s="1038"/>
    </row>
    <row r="151" spans="1:8" x14ac:dyDescent="0.2">
      <c r="A151" s="1038"/>
      <c r="B151" s="1038"/>
      <c r="C151" s="1038"/>
      <c r="D151" s="1038"/>
      <c r="E151" s="1038"/>
      <c r="F151" s="1038"/>
      <c r="G151" s="1038"/>
      <c r="H151" s="1038"/>
    </row>
    <row r="152" spans="1:8" x14ac:dyDescent="0.2">
      <c r="A152" s="1039" t="s">
        <v>856</v>
      </c>
      <c r="B152" s="1038"/>
      <c r="C152" s="1038"/>
      <c r="D152" s="1038"/>
      <c r="E152" s="1038"/>
      <c r="F152" s="1038"/>
      <c r="G152" s="1038"/>
      <c r="H152" s="1038"/>
    </row>
    <row r="153" spans="1:8" x14ac:dyDescent="0.2">
      <c r="A153" s="1039" t="s">
        <v>857</v>
      </c>
      <c r="B153" s="1038"/>
      <c r="C153" s="1038"/>
      <c r="D153" s="1038"/>
      <c r="E153" s="1038"/>
      <c r="F153" s="1038"/>
      <c r="G153" s="1038"/>
      <c r="H153" s="1038"/>
    </row>
    <row r="154" spans="1:8" x14ac:dyDescent="0.2">
      <c r="A154" s="1038"/>
      <c r="B154" s="1038"/>
      <c r="C154" s="1038"/>
      <c r="D154" s="1038"/>
      <c r="E154" s="1038"/>
      <c r="F154" s="1038"/>
      <c r="G154" s="1038"/>
      <c r="H154" s="1038"/>
    </row>
    <row r="155" spans="1:8" ht="15.75" x14ac:dyDescent="0.2">
      <c r="A155" s="1040" t="s">
        <v>678</v>
      </c>
      <c r="B155" s="1038"/>
      <c r="C155" s="1038"/>
      <c r="D155" s="1038"/>
      <c r="E155" s="1038"/>
      <c r="F155" s="1038"/>
      <c r="G155" s="1038"/>
      <c r="H155" s="1038"/>
    </row>
    <row r="156" spans="1:8" x14ac:dyDescent="0.2">
      <c r="A156" s="1038"/>
      <c r="B156" s="1038"/>
      <c r="C156" s="1038"/>
      <c r="D156" s="1038"/>
      <c r="E156" s="1038"/>
      <c r="F156" s="1038"/>
      <c r="G156" s="1038"/>
      <c r="H156" s="1038"/>
    </row>
    <row r="157" spans="1:8" x14ac:dyDescent="0.2">
      <c r="A157" s="1039" t="s">
        <v>854</v>
      </c>
      <c r="B157" s="1038"/>
      <c r="C157" s="1038"/>
      <c r="D157" s="1038"/>
      <c r="E157" s="1038"/>
      <c r="F157" s="1038"/>
      <c r="G157" s="1038"/>
      <c r="H157" s="1038"/>
    </row>
    <row r="158" spans="1:8" x14ac:dyDescent="0.2">
      <c r="A158" s="1039" t="s">
        <v>855</v>
      </c>
      <c r="B158" s="1038"/>
      <c r="C158" s="1038"/>
      <c r="D158" s="1038"/>
      <c r="E158" s="1038"/>
      <c r="F158" s="1038"/>
      <c r="G158" s="1038"/>
      <c r="H158" s="1038"/>
    </row>
    <row r="159" spans="1:8" x14ac:dyDescent="0.2">
      <c r="A159" s="1038"/>
      <c r="B159" s="1038"/>
      <c r="C159" s="1038"/>
      <c r="D159" s="1038"/>
      <c r="E159" s="1038"/>
      <c r="F159" s="1038"/>
      <c r="G159" s="1038"/>
      <c r="H159" s="1038"/>
    </row>
    <row r="160" spans="1:8" x14ac:dyDescent="0.2">
      <c r="A160" s="1039" t="s">
        <v>852</v>
      </c>
      <c r="B160" s="1038"/>
      <c r="C160" s="1038"/>
      <c r="D160" s="1038"/>
      <c r="E160" s="1038"/>
      <c r="F160" s="1038"/>
      <c r="G160" s="1038"/>
      <c r="H160" s="1038"/>
    </row>
    <row r="161" spans="1:8" x14ac:dyDescent="0.2">
      <c r="A161" s="1039" t="s">
        <v>853</v>
      </c>
      <c r="B161" s="1038"/>
      <c r="C161" s="1038"/>
      <c r="D161" s="1038"/>
      <c r="E161" s="1038"/>
      <c r="F161" s="1038"/>
      <c r="G161" s="1038"/>
      <c r="H161" s="1038"/>
    </row>
    <row r="162" spans="1:8" x14ac:dyDescent="0.2">
      <c r="A162" s="1038"/>
      <c r="B162" s="1038"/>
      <c r="C162" s="1038"/>
      <c r="D162" s="1038"/>
      <c r="E162" s="1038"/>
      <c r="F162" s="1038"/>
      <c r="G162" s="1038"/>
      <c r="H162" s="1038"/>
    </row>
    <row r="163" spans="1:8" x14ac:dyDescent="0.2">
      <c r="A163" s="1039" t="s">
        <v>850</v>
      </c>
      <c r="B163" s="1038"/>
      <c r="C163" s="1038"/>
      <c r="D163" s="1038"/>
      <c r="E163" s="1038"/>
      <c r="F163" s="1038"/>
      <c r="G163" s="1038"/>
      <c r="H163" s="1038"/>
    </row>
    <row r="164" spans="1:8" x14ac:dyDescent="0.2">
      <c r="A164" s="1039" t="s">
        <v>851</v>
      </c>
      <c r="B164" s="1038"/>
      <c r="C164" s="1038"/>
      <c r="D164" s="1038"/>
      <c r="E164" s="1038"/>
      <c r="F164" s="1038"/>
      <c r="G164" s="1038"/>
      <c r="H164" s="1038"/>
    </row>
    <row r="165" spans="1:8" x14ac:dyDescent="0.2">
      <c r="A165" s="1038"/>
      <c r="B165" s="1038"/>
      <c r="C165" s="1038"/>
      <c r="D165" s="1038"/>
      <c r="E165" s="1038"/>
      <c r="F165" s="1038"/>
      <c r="G165" s="1038"/>
      <c r="H165" s="1038"/>
    </row>
    <row r="166" spans="1:8" x14ac:dyDescent="0.2">
      <c r="A166" s="1039" t="s">
        <v>847</v>
      </c>
      <c r="B166" s="1038"/>
      <c r="C166" s="1038"/>
      <c r="D166" s="1038"/>
      <c r="E166" s="1038"/>
      <c r="F166" s="1038"/>
      <c r="G166" s="1038"/>
      <c r="H166" s="1038"/>
    </row>
    <row r="167" spans="1:8" x14ac:dyDescent="0.2">
      <c r="A167" s="1039" t="s">
        <v>848</v>
      </c>
      <c r="B167" s="1038"/>
      <c r="C167" s="1038"/>
      <c r="D167" s="1038"/>
      <c r="E167" s="1038"/>
      <c r="F167" s="1038"/>
      <c r="G167" s="1038"/>
      <c r="H167" s="1038"/>
    </row>
    <row r="168" spans="1:8" x14ac:dyDescent="0.2">
      <c r="A168" s="1039" t="s">
        <v>849</v>
      </c>
      <c r="B168" s="1038"/>
      <c r="C168" s="1038"/>
      <c r="D168" s="1038"/>
      <c r="E168" s="1038"/>
      <c r="F168" s="1038"/>
      <c r="G168" s="1038"/>
      <c r="H168" s="1038"/>
    </row>
    <row r="169" spans="1:8" x14ac:dyDescent="0.2">
      <c r="A169" s="1038"/>
      <c r="B169" s="1038"/>
      <c r="C169" s="1038"/>
      <c r="D169" s="1038"/>
      <c r="E169" s="1038"/>
      <c r="F169" s="1038"/>
      <c r="G169" s="1038"/>
      <c r="H169" s="1038"/>
    </row>
    <row r="170" spans="1:8" x14ac:dyDescent="0.2">
      <c r="A170" s="1038"/>
      <c r="B170" s="1038"/>
      <c r="C170" s="1038"/>
      <c r="D170" s="1038"/>
      <c r="E170" s="1038"/>
      <c r="F170" s="1038"/>
      <c r="G170" s="1038"/>
      <c r="H170" s="1038"/>
    </row>
    <row r="171" spans="1:8" x14ac:dyDescent="0.2">
      <c r="A171" s="1039" t="s">
        <v>679</v>
      </c>
      <c r="B171" s="1038"/>
      <c r="C171" s="1038"/>
      <c r="D171" s="1038"/>
      <c r="E171" s="1038"/>
      <c r="F171" s="1038"/>
      <c r="G171" s="1038"/>
      <c r="H171" s="1038"/>
    </row>
    <row r="172" spans="1:8" x14ac:dyDescent="0.2">
      <c r="A172" s="1038"/>
      <c r="B172" s="1038"/>
      <c r="C172" s="1038"/>
      <c r="D172" s="1038"/>
      <c r="E172" s="1038"/>
      <c r="F172" s="1038"/>
      <c r="G172" s="1038"/>
      <c r="H172" s="1038"/>
    </row>
    <row r="173" spans="1:8" ht="15.75" x14ac:dyDescent="0.2">
      <c r="A173" s="1040" t="s">
        <v>680</v>
      </c>
      <c r="B173" s="1038"/>
      <c r="C173" s="1038"/>
      <c r="D173" s="1038"/>
      <c r="E173" s="1038"/>
      <c r="F173" s="1038"/>
      <c r="G173" s="1038"/>
      <c r="H173" s="1038"/>
    </row>
    <row r="174" spans="1:8" x14ac:dyDescent="0.2">
      <c r="A174" s="1038"/>
      <c r="B174" s="1038"/>
      <c r="C174" s="1038"/>
      <c r="D174" s="1038"/>
      <c r="E174" s="1038"/>
      <c r="F174" s="1038"/>
      <c r="G174" s="1038"/>
      <c r="H174" s="1038"/>
    </row>
    <row r="175" spans="1:8" x14ac:dyDescent="0.2">
      <c r="A175" s="1038"/>
      <c r="B175" s="1038"/>
      <c r="C175" s="1038"/>
      <c r="D175" s="1038"/>
      <c r="E175" s="1038"/>
      <c r="F175" s="1038"/>
      <c r="G175" s="1038"/>
      <c r="H175" s="1038"/>
    </row>
    <row r="176" spans="1:8" x14ac:dyDescent="0.2">
      <c r="A176" s="1038"/>
      <c r="B176" s="1038"/>
      <c r="C176" s="1038"/>
      <c r="D176" s="1038"/>
      <c r="E176" s="1038"/>
      <c r="F176" s="1038"/>
      <c r="G176" s="1038"/>
      <c r="H176" s="1038"/>
    </row>
    <row r="177" spans="1:8" x14ac:dyDescent="0.2">
      <c r="A177" s="1038"/>
      <c r="B177" s="1038"/>
      <c r="C177" s="1038"/>
      <c r="D177" s="1038"/>
      <c r="E177" s="1038"/>
      <c r="F177" s="1038"/>
      <c r="G177" s="1038"/>
      <c r="H177" s="1038"/>
    </row>
    <row r="178" spans="1:8" x14ac:dyDescent="0.2">
      <c r="A178" s="1038"/>
      <c r="B178" s="1038"/>
      <c r="C178" s="1038"/>
      <c r="D178" s="1038"/>
      <c r="E178" s="1038"/>
      <c r="F178" s="1038"/>
      <c r="G178" s="1038"/>
      <c r="H178" s="1038"/>
    </row>
    <row r="179" spans="1:8" x14ac:dyDescent="0.2">
      <c r="A179" s="1038"/>
      <c r="B179" s="1038"/>
      <c r="C179" s="1038"/>
      <c r="D179" s="1038"/>
      <c r="E179" s="1038"/>
      <c r="F179" s="1038"/>
      <c r="G179" s="1038"/>
      <c r="H179" s="1038"/>
    </row>
    <row r="180" spans="1:8" x14ac:dyDescent="0.2">
      <c r="A180" s="1038"/>
      <c r="B180" s="1038"/>
      <c r="C180" s="1038"/>
      <c r="D180" s="1038"/>
      <c r="E180" s="1038"/>
      <c r="F180" s="1038"/>
      <c r="G180" s="1038"/>
      <c r="H180" s="1038"/>
    </row>
    <row r="181" spans="1:8" x14ac:dyDescent="0.2">
      <c r="A181" s="1038"/>
      <c r="B181" s="1038"/>
      <c r="C181" s="1038"/>
      <c r="D181" s="1038"/>
      <c r="E181" s="1038"/>
      <c r="F181" s="1038"/>
      <c r="G181" s="1038"/>
      <c r="H181" s="1038"/>
    </row>
    <row r="182" spans="1:8" x14ac:dyDescent="0.2">
      <c r="A182" s="1038"/>
      <c r="B182" s="1038"/>
      <c r="C182" s="1038"/>
      <c r="D182" s="1038"/>
      <c r="E182" s="1038"/>
      <c r="F182" s="1038"/>
      <c r="G182" s="1038"/>
      <c r="H182" s="1038"/>
    </row>
    <row r="183" spans="1:8" x14ac:dyDescent="0.2">
      <c r="A183" s="1038"/>
      <c r="B183" s="1038"/>
      <c r="C183" s="1038"/>
      <c r="D183" s="1038"/>
      <c r="E183" s="1038"/>
      <c r="F183" s="1038"/>
      <c r="G183" s="1038"/>
      <c r="H183" s="1038"/>
    </row>
    <row r="184" spans="1:8" x14ac:dyDescent="0.2">
      <c r="A184" s="1038"/>
      <c r="B184" s="1038"/>
      <c r="C184" s="1038"/>
      <c r="D184" s="1038"/>
      <c r="E184" s="1038"/>
      <c r="F184" s="1038"/>
      <c r="G184" s="1038"/>
      <c r="H184" s="1038"/>
    </row>
    <row r="185" spans="1:8" x14ac:dyDescent="0.2">
      <c r="A185" s="1038"/>
      <c r="B185" s="1038"/>
      <c r="C185" s="1038"/>
      <c r="D185" s="1038"/>
      <c r="E185" s="1038"/>
      <c r="F185" s="1038"/>
      <c r="G185" s="1038"/>
      <c r="H185" s="1038"/>
    </row>
    <row r="186" spans="1:8" x14ac:dyDescent="0.2">
      <c r="A186" s="1038"/>
      <c r="B186" s="1038"/>
      <c r="C186" s="1038"/>
      <c r="D186" s="1038"/>
      <c r="E186" s="1038"/>
      <c r="F186" s="1038"/>
      <c r="G186" s="1038"/>
      <c r="H186" s="1038"/>
    </row>
    <row r="187" spans="1:8" x14ac:dyDescent="0.2">
      <c r="A187" s="1038"/>
      <c r="B187" s="1038"/>
      <c r="C187" s="1038"/>
      <c r="D187" s="1038"/>
      <c r="E187" s="1038"/>
      <c r="F187" s="1038"/>
      <c r="G187" s="1038"/>
      <c r="H187" s="1038"/>
    </row>
    <row r="188" spans="1:8" x14ac:dyDescent="0.2">
      <c r="A188" s="1038"/>
      <c r="B188" s="1038"/>
      <c r="C188" s="1038"/>
      <c r="D188" s="1038"/>
      <c r="E188" s="1038"/>
      <c r="F188" s="1038"/>
      <c r="G188" s="1038"/>
      <c r="H188" s="1038"/>
    </row>
    <row r="189" spans="1:8" x14ac:dyDescent="0.2">
      <c r="A189" s="1038"/>
      <c r="B189" s="1038"/>
      <c r="C189" s="1038"/>
      <c r="D189" s="1038"/>
      <c r="E189" s="1038"/>
      <c r="F189" s="1038"/>
      <c r="G189" s="1038"/>
      <c r="H189" s="1038"/>
    </row>
    <row r="190" spans="1:8" x14ac:dyDescent="0.2">
      <c r="A190" s="1038"/>
      <c r="B190" s="1038"/>
      <c r="C190" s="1038"/>
      <c r="D190" s="1038"/>
      <c r="E190" s="1038"/>
      <c r="F190" s="1038"/>
      <c r="G190" s="1038"/>
      <c r="H190" s="1038"/>
    </row>
    <row r="191" spans="1:8" x14ac:dyDescent="0.2">
      <c r="A191" s="1038"/>
      <c r="B191" s="1038"/>
      <c r="C191" s="1038"/>
      <c r="D191" s="1038"/>
      <c r="E191" s="1038"/>
      <c r="F191" s="1038"/>
      <c r="G191" s="1038"/>
      <c r="H191" s="1038"/>
    </row>
    <row r="192" spans="1:8" x14ac:dyDescent="0.2">
      <c r="A192" s="1038"/>
      <c r="B192" s="1038"/>
      <c r="C192" s="1038"/>
      <c r="D192" s="1038"/>
      <c r="E192" s="1038"/>
      <c r="F192" s="1038"/>
      <c r="G192" s="1038"/>
      <c r="H192" s="1038"/>
    </row>
    <row r="193" spans="1:8" x14ac:dyDescent="0.2">
      <c r="A193" s="1038"/>
      <c r="B193" s="1038"/>
      <c r="C193" s="1038"/>
      <c r="D193" s="1038"/>
      <c r="E193" s="1038"/>
      <c r="F193" s="1038"/>
      <c r="G193" s="1038"/>
      <c r="H193" s="1038"/>
    </row>
    <row r="194" spans="1:8" x14ac:dyDescent="0.2">
      <c r="A194" s="1038"/>
      <c r="B194" s="1038"/>
      <c r="C194" s="1038"/>
      <c r="D194" s="1038"/>
      <c r="E194" s="1038"/>
      <c r="F194" s="1038"/>
      <c r="G194" s="1038"/>
      <c r="H194" s="1038"/>
    </row>
    <row r="195" spans="1:8" x14ac:dyDescent="0.2">
      <c r="A195" s="1038"/>
      <c r="B195" s="1038"/>
      <c r="C195" s="1038"/>
      <c r="D195" s="1038"/>
      <c r="E195" s="1038"/>
      <c r="F195" s="1038"/>
      <c r="G195" s="1038"/>
      <c r="H195" s="1038"/>
    </row>
    <row r="196" spans="1:8" x14ac:dyDescent="0.2">
      <c r="A196" s="1038"/>
      <c r="B196" s="1038"/>
      <c r="C196" s="1038"/>
      <c r="D196" s="1038"/>
      <c r="E196" s="1038"/>
      <c r="F196" s="1038"/>
      <c r="G196" s="1038"/>
      <c r="H196" s="1038"/>
    </row>
    <row r="197" spans="1:8" x14ac:dyDescent="0.2">
      <c r="A197" s="1038"/>
      <c r="B197" s="1038"/>
      <c r="C197" s="1038"/>
      <c r="D197" s="1038"/>
      <c r="E197" s="1038"/>
      <c r="F197" s="1038"/>
      <c r="G197" s="1038"/>
      <c r="H197" s="1038"/>
    </row>
    <row r="198" spans="1:8" x14ac:dyDescent="0.2">
      <c r="A198" s="1038"/>
      <c r="B198" s="1038"/>
      <c r="C198" s="1038"/>
      <c r="D198" s="1038"/>
      <c r="E198" s="1038"/>
      <c r="F198" s="1038"/>
      <c r="G198" s="1038"/>
      <c r="H198" s="1038"/>
    </row>
    <row r="199" spans="1:8" x14ac:dyDescent="0.2">
      <c r="A199" s="1038"/>
      <c r="B199" s="1038"/>
      <c r="C199" s="1038"/>
      <c r="D199" s="1038"/>
      <c r="E199" s="1038"/>
      <c r="F199" s="1038"/>
      <c r="G199" s="1038"/>
      <c r="H199" s="1038"/>
    </row>
    <row r="200" spans="1:8" ht="15.75" x14ac:dyDescent="0.2">
      <c r="A200" s="1040" t="s">
        <v>681</v>
      </c>
      <c r="B200" s="1038"/>
      <c r="C200" s="1038"/>
      <c r="D200" s="1038"/>
      <c r="E200" s="1038"/>
      <c r="F200" s="1038"/>
      <c r="G200" s="1038"/>
      <c r="H200" s="1038"/>
    </row>
    <row r="201" spans="1:8" x14ac:dyDescent="0.2">
      <c r="A201" s="1038"/>
      <c r="B201" s="1038"/>
      <c r="C201" s="1038"/>
      <c r="D201" s="1038"/>
      <c r="E201" s="1038"/>
      <c r="F201" s="1038"/>
      <c r="G201" s="1038"/>
      <c r="H201" s="1038"/>
    </row>
    <row r="202" spans="1:8" x14ac:dyDescent="0.2">
      <c r="A202" s="1039" t="s">
        <v>842</v>
      </c>
      <c r="B202" s="1038"/>
      <c r="C202" s="1038"/>
      <c r="D202" s="1038"/>
      <c r="E202" s="1038"/>
      <c r="F202" s="1038"/>
      <c r="G202" s="1038"/>
      <c r="H202" s="1038"/>
    </row>
    <row r="203" spans="1:8" x14ac:dyDescent="0.2">
      <c r="A203" s="1039" t="s">
        <v>843</v>
      </c>
      <c r="B203" s="1038"/>
      <c r="C203" s="1038"/>
      <c r="D203" s="1038"/>
      <c r="E203" s="1038"/>
      <c r="F203" s="1038"/>
      <c r="G203" s="1038"/>
      <c r="H203" s="1038"/>
    </row>
    <row r="204" spans="1:8" x14ac:dyDescent="0.2">
      <c r="A204" s="1039" t="s">
        <v>844</v>
      </c>
      <c r="B204" s="1038"/>
      <c r="C204" s="1038"/>
      <c r="D204" s="1038"/>
      <c r="E204" s="1038"/>
      <c r="F204" s="1038"/>
      <c r="G204" s="1038"/>
      <c r="H204" s="1038"/>
    </row>
    <row r="205" spans="1:8" x14ac:dyDescent="0.2">
      <c r="A205" s="1039" t="s">
        <v>845</v>
      </c>
      <c r="B205" s="1038"/>
      <c r="C205" s="1038"/>
      <c r="D205" s="1038"/>
      <c r="E205" s="1038"/>
      <c r="F205" s="1038"/>
      <c r="G205" s="1038"/>
      <c r="H205" s="1038"/>
    </row>
    <row r="206" spans="1:8" x14ac:dyDescent="0.2">
      <c r="A206" s="1039" t="s">
        <v>846</v>
      </c>
      <c r="B206" s="1038"/>
      <c r="C206" s="1038"/>
      <c r="D206" s="1038"/>
      <c r="E206" s="1038"/>
      <c r="F206" s="1038"/>
      <c r="G206" s="1038"/>
      <c r="H206" s="1038"/>
    </row>
    <row r="207" spans="1:8" x14ac:dyDescent="0.2">
      <c r="A207" s="1038"/>
      <c r="B207" s="1038"/>
      <c r="C207" s="1038"/>
      <c r="D207" s="1038"/>
      <c r="E207" s="1038"/>
      <c r="F207" s="1038"/>
      <c r="G207" s="1038"/>
      <c r="H207" s="1038"/>
    </row>
    <row r="208" spans="1:8" x14ac:dyDescent="0.2">
      <c r="A208" s="1039" t="s">
        <v>839</v>
      </c>
      <c r="B208" s="1038"/>
      <c r="C208" s="1038"/>
      <c r="D208" s="1038"/>
      <c r="E208" s="1038"/>
      <c r="F208" s="1038"/>
      <c r="G208" s="1038"/>
      <c r="H208" s="1038"/>
    </row>
    <row r="209" spans="1:8" x14ac:dyDescent="0.2">
      <c r="A209" s="1039" t="s">
        <v>840</v>
      </c>
      <c r="B209" s="1038"/>
      <c r="C209" s="1038"/>
      <c r="D209" s="1038"/>
      <c r="E209" s="1038"/>
      <c r="F209" s="1038"/>
      <c r="G209" s="1038"/>
      <c r="H209" s="1038"/>
    </row>
    <row r="210" spans="1:8" x14ac:dyDescent="0.2">
      <c r="A210" s="1039" t="s">
        <v>841</v>
      </c>
      <c r="B210" s="1038"/>
      <c r="C210" s="1038"/>
      <c r="D210" s="1038"/>
      <c r="E210" s="1038"/>
      <c r="F210" s="1038"/>
      <c r="G210" s="1038"/>
      <c r="H210" s="1038"/>
    </row>
    <row r="211" spans="1:8" ht="15.75" x14ac:dyDescent="0.2">
      <c r="A211" s="1040" t="s">
        <v>682</v>
      </c>
      <c r="B211" s="1038"/>
      <c r="C211" s="1038"/>
      <c r="D211" s="1038"/>
      <c r="E211" s="1038"/>
      <c r="F211" s="1038"/>
      <c r="G211" s="1038"/>
      <c r="H211" s="1038"/>
    </row>
    <row r="212" spans="1:8" x14ac:dyDescent="0.2">
      <c r="A212" s="1038"/>
      <c r="B212" s="1038"/>
      <c r="C212" s="1038"/>
      <c r="D212" s="1038"/>
      <c r="E212" s="1038"/>
      <c r="F212" s="1038"/>
      <c r="G212" s="1038"/>
      <c r="H212" s="1038"/>
    </row>
    <row r="213" spans="1:8" x14ac:dyDescent="0.2">
      <c r="A213" s="1039" t="s">
        <v>837</v>
      </c>
      <c r="B213" s="1038"/>
      <c r="C213" s="1038"/>
      <c r="D213" s="1038"/>
      <c r="E213" s="1038"/>
      <c r="F213" s="1038"/>
      <c r="G213" s="1038"/>
      <c r="H213" s="1038"/>
    </row>
    <row r="214" spans="1:8" x14ac:dyDescent="0.2">
      <c r="A214" s="1039" t="s">
        <v>838</v>
      </c>
      <c r="B214" s="1038"/>
      <c r="C214" s="1038"/>
      <c r="D214" s="1038"/>
      <c r="E214" s="1038"/>
      <c r="F214" s="1038"/>
      <c r="G214" s="1038"/>
      <c r="H214" s="1038"/>
    </row>
    <row r="215" spans="1:8" x14ac:dyDescent="0.2">
      <c r="A215" s="1038"/>
      <c r="B215" s="1038"/>
      <c r="C215" s="1038"/>
      <c r="D215" s="1038"/>
      <c r="E215" s="1038"/>
      <c r="F215" s="1038"/>
      <c r="G215" s="1038"/>
      <c r="H215" s="1038"/>
    </row>
    <row r="216" spans="1:8" x14ac:dyDescent="0.2">
      <c r="A216" s="1039" t="s">
        <v>830</v>
      </c>
      <c r="B216" s="1038"/>
      <c r="C216" s="1038"/>
      <c r="D216" s="1038"/>
      <c r="E216" s="1038"/>
      <c r="F216" s="1038"/>
      <c r="G216" s="1038"/>
      <c r="H216" s="1038"/>
    </row>
    <row r="217" spans="1:8" x14ac:dyDescent="0.2">
      <c r="A217" s="1039" t="s">
        <v>831</v>
      </c>
      <c r="B217" s="1038"/>
      <c r="C217" s="1038"/>
      <c r="D217" s="1038"/>
      <c r="E217" s="1038"/>
      <c r="F217" s="1038"/>
      <c r="G217" s="1038"/>
      <c r="H217" s="1038"/>
    </row>
    <row r="218" spans="1:8" x14ac:dyDescent="0.2">
      <c r="A218" s="1039" t="s">
        <v>832</v>
      </c>
      <c r="B218" s="1038"/>
      <c r="C218" s="1038"/>
      <c r="D218" s="1038"/>
      <c r="E218" s="1038"/>
      <c r="F218" s="1038"/>
      <c r="G218" s="1038"/>
      <c r="H218" s="1038"/>
    </row>
    <row r="219" spans="1:8" x14ac:dyDescent="0.2">
      <c r="A219" s="1039" t="s">
        <v>833</v>
      </c>
      <c r="B219" s="1038"/>
      <c r="C219" s="1038"/>
      <c r="D219" s="1038"/>
      <c r="E219" s="1038"/>
      <c r="F219" s="1038"/>
      <c r="G219" s="1038"/>
      <c r="H219" s="1038"/>
    </row>
    <row r="220" spans="1:8" x14ac:dyDescent="0.2">
      <c r="A220" s="1039" t="s">
        <v>834</v>
      </c>
      <c r="B220" s="1038"/>
      <c r="C220" s="1038"/>
      <c r="D220" s="1038"/>
      <c r="E220" s="1038"/>
      <c r="F220" s="1038"/>
      <c r="G220" s="1038"/>
      <c r="H220" s="1038"/>
    </row>
    <row r="221" spans="1:8" x14ac:dyDescent="0.2">
      <c r="A221" s="1039" t="s">
        <v>835</v>
      </c>
      <c r="B221" s="1038"/>
      <c r="C221" s="1038"/>
      <c r="D221" s="1038"/>
      <c r="E221" s="1038"/>
      <c r="F221" s="1038"/>
      <c r="G221" s="1038"/>
      <c r="H221" s="1038"/>
    </row>
    <row r="222" spans="1:8" x14ac:dyDescent="0.2">
      <c r="A222" s="1039" t="s">
        <v>836</v>
      </c>
      <c r="B222" s="1038"/>
      <c r="C222" s="1038"/>
      <c r="D222" s="1038"/>
      <c r="E222" s="1038"/>
      <c r="F222" s="1038"/>
      <c r="G222" s="1038"/>
      <c r="H222" s="1038"/>
    </row>
    <row r="223" spans="1:8" x14ac:dyDescent="0.2">
      <c r="A223" s="1038"/>
      <c r="B223" s="1038"/>
      <c r="C223" s="1038"/>
      <c r="D223" s="1038"/>
      <c r="E223" s="1038"/>
      <c r="F223" s="1038"/>
      <c r="G223" s="1038"/>
      <c r="H223" s="1038"/>
    </row>
    <row r="224" spans="1:8" x14ac:dyDescent="0.2">
      <c r="A224" s="1039" t="s">
        <v>827</v>
      </c>
      <c r="B224" s="1038"/>
      <c r="C224" s="1038"/>
      <c r="D224" s="1038"/>
      <c r="E224" s="1038"/>
      <c r="F224" s="1038"/>
      <c r="G224" s="1038"/>
      <c r="H224" s="1038"/>
    </row>
    <row r="225" spans="1:8" x14ac:dyDescent="0.2">
      <c r="A225" s="1039" t="s">
        <v>828</v>
      </c>
      <c r="B225" s="1038"/>
      <c r="C225" s="1038"/>
      <c r="D225" s="1038"/>
      <c r="E225" s="1038"/>
      <c r="F225" s="1038"/>
      <c r="G225" s="1038"/>
      <c r="H225" s="1038"/>
    </row>
    <row r="226" spans="1:8" x14ac:dyDescent="0.2">
      <c r="A226" s="1039" t="s">
        <v>829</v>
      </c>
      <c r="B226" s="1038"/>
      <c r="C226" s="1038"/>
      <c r="D226" s="1038"/>
      <c r="E226" s="1038"/>
      <c r="F226" s="1038"/>
      <c r="G226" s="1038"/>
      <c r="H226" s="1038"/>
    </row>
    <row r="227" spans="1:8" x14ac:dyDescent="0.2">
      <c r="A227" s="1038"/>
      <c r="B227" s="1038"/>
      <c r="C227" s="1038"/>
      <c r="D227" s="1038"/>
      <c r="E227" s="1038"/>
      <c r="F227" s="1038"/>
      <c r="G227" s="1038"/>
      <c r="H227" s="1038"/>
    </row>
    <row r="228" spans="1:8" x14ac:dyDescent="0.2">
      <c r="A228" s="1039" t="s">
        <v>822</v>
      </c>
      <c r="B228" s="1038"/>
      <c r="C228" s="1038"/>
      <c r="D228" s="1038"/>
      <c r="E228" s="1038"/>
      <c r="F228" s="1038"/>
      <c r="G228" s="1038"/>
      <c r="H228" s="1038"/>
    </row>
    <row r="229" spans="1:8" x14ac:dyDescent="0.2">
      <c r="A229" s="1039" t="s">
        <v>823</v>
      </c>
      <c r="B229" s="1038"/>
      <c r="C229" s="1038"/>
      <c r="D229" s="1038"/>
      <c r="E229" s="1038"/>
      <c r="F229" s="1038"/>
      <c r="G229" s="1038"/>
      <c r="H229" s="1038"/>
    </row>
    <row r="230" spans="1:8" x14ac:dyDescent="0.2">
      <c r="A230" s="1039" t="s">
        <v>824</v>
      </c>
      <c r="B230" s="1038"/>
      <c r="C230" s="1038"/>
      <c r="D230" s="1038"/>
      <c r="E230" s="1038"/>
      <c r="F230" s="1038"/>
      <c r="G230" s="1038"/>
      <c r="H230" s="1038"/>
    </row>
    <row r="231" spans="1:8" x14ac:dyDescent="0.2">
      <c r="A231" s="1039" t="s">
        <v>825</v>
      </c>
      <c r="B231" s="1038"/>
      <c r="C231" s="1038"/>
      <c r="D231" s="1038"/>
      <c r="E231" s="1038"/>
      <c r="F231" s="1038"/>
      <c r="G231" s="1038"/>
      <c r="H231" s="1038"/>
    </row>
    <row r="232" spans="1:8" x14ac:dyDescent="0.2">
      <c r="A232" s="1039" t="s">
        <v>826</v>
      </c>
      <c r="B232" s="1038"/>
      <c r="C232" s="1038"/>
      <c r="D232" s="1038"/>
      <c r="E232" s="1038"/>
      <c r="F232" s="1038"/>
      <c r="G232" s="1038"/>
      <c r="H232" s="1038"/>
    </row>
    <row r="233" spans="1:8" x14ac:dyDescent="0.2">
      <c r="A233" s="1038"/>
      <c r="B233" s="1038"/>
      <c r="C233" s="1038"/>
      <c r="D233" s="1038"/>
      <c r="E233" s="1038"/>
      <c r="F233" s="1038"/>
      <c r="G233" s="1038"/>
      <c r="H233" s="1038"/>
    </row>
    <row r="234" spans="1:8" x14ac:dyDescent="0.2">
      <c r="A234" s="1039" t="s">
        <v>816</v>
      </c>
      <c r="B234" s="1038"/>
      <c r="C234" s="1038"/>
      <c r="D234" s="1038"/>
      <c r="E234" s="1038"/>
      <c r="F234" s="1038"/>
      <c r="G234" s="1038"/>
      <c r="H234" s="1038"/>
    </row>
    <row r="235" spans="1:8" x14ac:dyDescent="0.2">
      <c r="A235" s="1039" t="s">
        <v>817</v>
      </c>
      <c r="B235" s="1038"/>
      <c r="C235" s="1038"/>
      <c r="D235" s="1038"/>
      <c r="E235" s="1038"/>
      <c r="F235" s="1038"/>
      <c r="G235" s="1038"/>
      <c r="H235" s="1038"/>
    </row>
    <row r="236" spans="1:8" x14ac:dyDescent="0.2">
      <c r="A236" s="1039" t="s">
        <v>818</v>
      </c>
      <c r="B236" s="1038"/>
      <c r="C236" s="1038"/>
      <c r="D236" s="1038"/>
      <c r="E236" s="1038"/>
      <c r="F236" s="1038"/>
      <c r="G236" s="1038"/>
      <c r="H236" s="1038"/>
    </row>
    <row r="237" spans="1:8" x14ac:dyDescent="0.2">
      <c r="A237" s="1039" t="s">
        <v>819</v>
      </c>
      <c r="B237" s="1038"/>
      <c r="C237" s="1038"/>
      <c r="D237" s="1038"/>
      <c r="E237" s="1038"/>
      <c r="F237" s="1038"/>
      <c r="G237" s="1038"/>
      <c r="H237" s="1038"/>
    </row>
    <row r="238" spans="1:8" x14ac:dyDescent="0.2">
      <c r="A238" s="1039" t="s">
        <v>820</v>
      </c>
      <c r="B238" s="1038"/>
      <c r="C238" s="1038"/>
      <c r="D238" s="1038"/>
      <c r="E238" s="1038"/>
      <c r="F238" s="1038"/>
      <c r="G238" s="1038"/>
      <c r="H238" s="1038"/>
    </row>
    <row r="239" spans="1:8" x14ac:dyDescent="0.2">
      <c r="A239" s="1039" t="s">
        <v>821</v>
      </c>
      <c r="B239" s="1038"/>
      <c r="C239" s="1038"/>
      <c r="D239" s="1038"/>
      <c r="E239" s="1038"/>
      <c r="F239" s="1038"/>
      <c r="G239" s="1038"/>
      <c r="H239" s="1038"/>
    </row>
    <row r="240" spans="1:8" x14ac:dyDescent="0.2">
      <c r="A240" s="1038"/>
      <c r="B240" s="1038"/>
      <c r="C240" s="1038"/>
      <c r="D240" s="1038"/>
      <c r="E240" s="1038"/>
      <c r="F240" s="1038"/>
      <c r="G240" s="1038"/>
      <c r="H240" s="1038"/>
    </row>
    <row r="241" spans="1:8" x14ac:dyDescent="0.2">
      <c r="A241" s="1039" t="s">
        <v>806</v>
      </c>
      <c r="B241" s="1038"/>
      <c r="C241" s="1038"/>
      <c r="D241" s="1038"/>
      <c r="E241" s="1038"/>
      <c r="F241" s="1038"/>
      <c r="G241" s="1038"/>
      <c r="H241" s="1038"/>
    </row>
    <row r="242" spans="1:8" x14ac:dyDescent="0.2">
      <c r="A242" s="1039" t="s">
        <v>807</v>
      </c>
      <c r="B242" s="1038"/>
      <c r="C242" s="1038"/>
      <c r="D242" s="1038"/>
      <c r="E242" s="1038"/>
      <c r="F242" s="1038"/>
      <c r="G242" s="1038"/>
      <c r="H242" s="1038"/>
    </row>
    <row r="243" spans="1:8" x14ac:dyDescent="0.2">
      <c r="A243" s="1039" t="s">
        <v>808</v>
      </c>
      <c r="B243" s="1038"/>
      <c r="C243" s="1038"/>
      <c r="D243" s="1038"/>
      <c r="E243" s="1038"/>
      <c r="F243" s="1038"/>
      <c r="G243" s="1038"/>
      <c r="H243" s="1038"/>
    </row>
    <row r="244" spans="1:8" x14ac:dyDescent="0.2">
      <c r="A244" s="1039" t="s">
        <v>809</v>
      </c>
      <c r="B244" s="1038"/>
      <c r="C244" s="1038"/>
      <c r="D244" s="1038"/>
      <c r="E244" s="1038"/>
      <c r="F244" s="1038"/>
      <c r="G244" s="1038"/>
      <c r="H244" s="1038"/>
    </row>
    <row r="245" spans="1:8" x14ac:dyDescent="0.2">
      <c r="A245" s="1039" t="s">
        <v>810</v>
      </c>
      <c r="B245" s="1038"/>
      <c r="C245" s="1038"/>
      <c r="D245" s="1038"/>
      <c r="E245" s="1038"/>
      <c r="F245" s="1038"/>
      <c r="G245" s="1038"/>
      <c r="H245" s="1038"/>
    </row>
    <row r="246" spans="1:8" x14ac:dyDescent="0.2">
      <c r="A246" s="1039" t="s">
        <v>811</v>
      </c>
      <c r="B246" s="1038"/>
      <c r="C246" s="1038"/>
      <c r="D246" s="1038"/>
      <c r="E246" s="1038"/>
      <c r="F246" s="1038"/>
      <c r="G246" s="1038"/>
      <c r="H246" s="1038"/>
    </row>
    <row r="247" spans="1:8" x14ac:dyDescent="0.2">
      <c r="A247" s="1039" t="s">
        <v>812</v>
      </c>
      <c r="B247" s="1038"/>
      <c r="C247" s="1038"/>
      <c r="D247" s="1038"/>
      <c r="E247" s="1038"/>
      <c r="F247" s="1038"/>
      <c r="G247" s="1038"/>
      <c r="H247" s="1038"/>
    </row>
    <row r="248" spans="1:8" x14ac:dyDescent="0.2">
      <c r="A248" s="1039" t="s">
        <v>813</v>
      </c>
      <c r="B248" s="1038"/>
      <c r="C248" s="1038"/>
      <c r="D248" s="1038"/>
      <c r="E248" s="1038"/>
      <c r="F248" s="1038"/>
      <c r="G248" s="1038"/>
      <c r="H248" s="1038"/>
    </row>
    <row r="249" spans="1:8" x14ac:dyDescent="0.2">
      <c r="A249" s="1039" t="s">
        <v>814</v>
      </c>
      <c r="B249" s="1038"/>
      <c r="C249" s="1038"/>
      <c r="D249" s="1038"/>
      <c r="E249" s="1038"/>
      <c r="F249" s="1038"/>
      <c r="G249" s="1038"/>
      <c r="H249" s="1038"/>
    </row>
    <row r="250" spans="1:8" x14ac:dyDescent="0.2">
      <c r="A250" s="1039" t="s">
        <v>815</v>
      </c>
      <c r="B250" s="1038"/>
      <c r="C250" s="1038"/>
      <c r="D250" s="1038"/>
      <c r="E250" s="1038"/>
      <c r="F250" s="1038"/>
      <c r="G250" s="1038"/>
      <c r="H250" s="1038"/>
    </row>
    <row r="251" spans="1:8" x14ac:dyDescent="0.2">
      <c r="A251" s="1038"/>
      <c r="B251" s="1038"/>
      <c r="C251" s="1038"/>
      <c r="D251" s="1038"/>
      <c r="E251" s="1038"/>
      <c r="F251" s="1038"/>
      <c r="G251" s="1038"/>
      <c r="H251" s="1038"/>
    </row>
    <row r="252" spans="1:8" x14ac:dyDescent="0.2">
      <c r="A252" s="1039" t="s">
        <v>804</v>
      </c>
      <c r="B252" s="1038"/>
      <c r="C252" s="1038"/>
      <c r="D252" s="1038"/>
      <c r="E252" s="1038"/>
      <c r="F252" s="1038"/>
      <c r="G252" s="1038"/>
      <c r="H252" s="1038"/>
    </row>
    <row r="253" spans="1:8" x14ac:dyDescent="0.2">
      <c r="A253" s="1039" t="s">
        <v>805</v>
      </c>
      <c r="B253" s="1038"/>
      <c r="C253" s="1038"/>
      <c r="D253" s="1038"/>
      <c r="E253" s="1038"/>
      <c r="F253" s="1038"/>
      <c r="G253" s="1038"/>
      <c r="H253" s="1038"/>
    </row>
    <row r="254" spans="1:8" x14ac:dyDescent="0.2">
      <c r="A254" s="1038"/>
      <c r="B254" s="1038"/>
      <c r="C254" s="1038"/>
      <c r="D254" s="1038"/>
      <c r="E254" s="1038"/>
      <c r="F254" s="1038"/>
      <c r="G254" s="1038"/>
      <c r="H254" s="1038"/>
    </row>
    <row r="255" spans="1:8" x14ac:dyDescent="0.2">
      <c r="A255" s="1039" t="s">
        <v>788</v>
      </c>
      <c r="B255" s="1038"/>
      <c r="C255" s="1038"/>
      <c r="D255" s="1038"/>
      <c r="E255" s="1038"/>
      <c r="F255" s="1038"/>
      <c r="G255" s="1038"/>
      <c r="H255" s="1038"/>
    </row>
    <row r="256" spans="1:8" x14ac:dyDescent="0.2">
      <c r="A256" s="1039" t="s">
        <v>789</v>
      </c>
      <c r="B256" s="1038"/>
      <c r="C256" s="1038"/>
      <c r="D256" s="1038"/>
      <c r="E256" s="1038"/>
      <c r="F256" s="1038"/>
      <c r="G256" s="1038"/>
      <c r="H256" s="1038"/>
    </row>
    <row r="257" spans="1:8" x14ac:dyDescent="0.2">
      <c r="A257" s="1039" t="s">
        <v>790</v>
      </c>
      <c r="B257" s="1038"/>
      <c r="C257" s="1038"/>
      <c r="D257" s="1038"/>
      <c r="E257" s="1038"/>
      <c r="F257" s="1038"/>
      <c r="G257" s="1038"/>
      <c r="H257" s="1038"/>
    </row>
    <row r="258" spans="1:8" x14ac:dyDescent="0.2">
      <c r="A258" s="1039" t="s">
        <v>791</v>
      </c>
      <c r="B258" s="1038"/>
      <c r="C258" s="1038"/>
      <c r="D258" s="1038"/>
      <c r="E258" s="1038"/>
      <c r="F258" s="1038"/>
      <c r="G258" s="1038"/>
      <c r="H258" s="1038"/>
    </row>
    <row r="259" spans="1:8" x14ac:dyDescent="0.2">
      <c r="A259" s="1039" t="s">
        <v>792</v>
      </c>
      <c r="B259" s="1038"/>
      <c r="C259" s="1038"/>
      <c r="D259" s="1038"/>
      <c r="E259" s="1038"/>
      <c r="F259" s="1038"/>
      <c r="G259" s="1038"/>
      <c r="H259" s="1038"/>
    </row>
    <row r="260" spans="1:8" x14ac:dyDescent="0.2">
      <c r="A260" s="1039" t="s">
        <v>793</v>
      </c>
      <c r="B260" s="1038"/>
      <c r="C260" s="1038"/>
      <c r="D260" s="1038"/>
      <c r="E260" s="1038"/>
      <c r="F260" s="1038"/>
      <c r="G260" s="1038"/>
      <c r="H260" s="1038"/>
    </row>
    <row r="261" spans="1:8" x14ac:dyDescent="0.2">
      <c r="A261" s="1039" t="s">
        <v>794</v>
      </c>
      <c r="B261" s="1038"/>
      <c r="C261" s="1038"/>
      <c r="D261" s="1038"/>
      <c r="E261" s="1038"/>
      <c r="F261" s="1038"/>
      <c r="G261" s="1038"/>
      <c r="H261" s="1038"/>
    </row>
    <row r="262" spans="1:8" x14ac:dyDescent="0.2">
      <c r="A262" s="1039" t="s">
        <v>795</v>
      </c>
      <c r="B262" s="1038"/>
      <c r="C262" s="1038"/>
      <c r="D262" s="1038"/>
      <c r="E262" s="1038"/>
      <c r="F262" s="1038"/>
      <c r="G262" s="1038"/>
      <c r="H262" s="1038"/>
    </row>
    <row r="263" spans="1:8" x14ac:dyDescent="0.2">
      <c r="A263" s="1039" t="s">
        <v>796</v>
      </c>
      <c r="B263" s="1038"/>
      <c r="C263" s="1038"/>
      <c r="D263" s="1038"/>
      <c r="E263" s="1038"/>
      <c r="F263" s="1038"/>
      <c r="G263" s="1038"/>
      <c r="H263" s="1038"/>
    </row>
    <row r="264" spans="1:8" x14ac:dyDescent="0.2">
      <c r="A264" s="1039" t="s">
        <v>797</v>
      </c>
      <c r="B264" s="1038"/>
      <c r="C264" s="1038"/>
      <c r="D264" s="1038"/>
      <c r="E264" s="1038"/>
      <c r="F264" s="1038"/>
      <c r="G264" s="1038"/>
      <c r="H264" s="1038"/>
    </row>
    <row r="265" spans="1:8" x14ac:dyDescent="0.2">
      <c r="A265" s="1039" t="s">
        <v>798</v>
      </c>
      <c r="B265" s="1038"/>
      <c r="C265" s="1038"/>
      <c r="D265" s="1038"/>
      <c r="E265" s="1038"/>
      <c r="F265" s="1038"/>
      <c r="G265" s="1038"/>
      <c r="H265" s="1038"/>
    </row>
    <row r="266" spans="1:8" x14ac:dyDescent="0.2">
      <c r="A266" s="1039" t="s">
        <v>799</v>
      </c>
      <c r="B266" s="1038"/>
      <c r="C266" s="1038"/>
      <c r="D266" s="1038"/>
      <c r="E266" s="1038"/>
      <c r="F266" s="1038"/>
      <c r="G266" s="1038"/>
      <c r="H266" s="1038"/>
    </row>
    <row r="267" spans="1:8" x14ac:dyDescent="0.2">
      <c r="A267" s="1039" t="s">
        <v>800</v>
      </c>
      <c r="B267" s="1038"/>
      <c r="C267" s="1038"/>
      <c r="D267" s="1038"/>
      <c r="E267" s="1038"/>
      <c r="F267" s="1038"/>
      <c r="G267" s="1038"/>
      <c r="H267" s="1038"/>
    </row>
    <row r="268" spans="1:8" x14ac:dyDescent="0.2">
      <c r="A268" s="1039" t="s">
        <v>801</v>
      </c>
      <c r="B268" s="1038"/>
      <c r="C268" s="1038"/>
      <c r="D268" s="1038"/>
      <c r="E268" s="1038"/>
      <c r="F268" s="1038"/>
      <c r="G268" s="1038"/>
      <c r="H268" s="1038"/>
    </row>
    <row r="269" spans="1:8" x14ac:dyDescent="0.2">
      <c r="A269" s="1039" t="s">
        <v>802</v>
      </c>
      <c r="B269" s="1038"/>
      <c r="C269" s="1038"/>
      <c r="D269" s="1038"/>
      <c r="E269" s="1038"/>
      <c r="F269" s="1038"/>
      <c r="G269" s="1038"/>
      <c r="H269" s="1038"/>
    </row>
    <row r="270" spans="1:8" x14ac:dyDescent="0.2">
      <c r="A270" s="1039" t="s">
        <v>803</v>
      </c>
      <c r="B270" s="1038"/>
      <c r="C270" s="1038"/>
      <c r="D270" s="1038"/>
      <c r="E270" s="1038"/>
      <c r="F270" s="1038"/>
      <c r="G270" s="1038"/>
      <c r="H270" s="1038"/>
    </row>
    <row r="271" spans="1:8" x14ac:dyDescent="0.2">
      <c r="A271" s="1038"/>
      <c r="B271" s="1038"/>
      <c r="C271" s="1038"/>
      <c r="D271" s="1038"/>
      <c r="E271" s="1038"/>
      <c r="F271" s="1038"/>
      <c r="G271" s="1038"/>
      <c r="H271" s="1038"/>
    </row>
    <row r="272" spans="1:8" x14ac:dyDescent="0.2">
      <c r="A272" s="1039" t="s">
        <v>781</v>
      </c>
      <c r="B272" s="1038"/>
      <c r="C272" s="1038"/>
      <c r="D272" s="1038"/>
      <c r="E272" s="1038"/>
      <c r="F272" s="1038"/>
      <c r="G272" s="1038"/>
      <c r="H272" s="1038"/>
    </row>
    <row r="273" spans="1:8" x14ac:dyDescent="0.2">
      <c r="A273" s="1039" t="s">
        <v>782</v>
      </c>
      <c r="B273" s="1038"/>
      <c r="C273" s="1038"/>
      <c r="D273" s="1038"/>
      <c r="E273" s="1038"/>
      <c r="F273" s="1038"/>
      <c r="G273" s="1038"/>
      <c r="H273" s="1038"/>
    </row>
    <row r="274" spans="1:8" x14ac:dyDescent="0.2">
      <c r="A274" s="1039" t="s">
        <v>783</v>
      </c>
      <c r="B274" s="1038"/>
      <c r="C274" s="1038"/>
      <c r="D274" s="1038"/>
      <c r="E274" s="1038"/>
      <c r="F274" s="1038"/>
      <c r="G274" s="1038"/>
      <c r="H274" s="1038"/>
    </row>
    <row r="275" spans="1:8" x14ac:dyDescent="0.2">
      <c r="A275" s="1039" t="s">
        <v>784</v>
      </c>
      <c r="B275" s="1038"/>
      <c r="C275" s="1038"/>
      <c r="D275" s="1038"/>
      <c r="E275" s="1038"/>
      <c r="F275" s="1038"/>
      <c r="G275" s="1038"/>
      <c r="H275" s="1038"/>
    </row>
    <row r="276" spans="1:8" x14ac:dyDescent="0.2">
      <c r="A276" s="1039" t="s">
        <v>785</v>
      </c>
      <c r="B276" s="1038"/>
      <c r="C276" s="1038"/>
      <c r="D276" s="1038"/>
      <c r="E276" s="1038"/>
      <c r="F276" s="1038"/>
      <c r="G276" s="1038"/>
      <c r="H276" s="1038"/>
    </row>
    <row r="277" spans="1:8" x14ac:dyDescent="0.2">
      <c r="A277" s="1039" t="s">
        <v>786</v>
      </c>
      <c r="B277" s="1038"/>
      <c r="C277" s="1038"/>
      <c r="D277" s="1038"/>
      <c r="E277" s="1038"/>
      <c r="F277" s="1038"/>
      <c r="G277" s="1038"/>
      <c r="H277" s="1038"/>
    </row>
    <row r="278" spans="1:8" x14ac:dyDescent="0.2">
      <c r="A278" s="1039" t="s">
        <v>787</v>
      </c>
      <c r="B278" s="1038"/>
      <c r="C278" s="1038"/>
      <c r="D278" s="1038"/>
      <c r="E278" s="1038"/>
      <c r="F278" s="1038"/>
      <c r="G278" s="1038"/>
      <c r="H278" s="1038"/>
    </row>
    <row r="279" spans="1:8" x14ac:dyDescent="0.2">
      <c r="A279" s="1038"/>
      <c r="B279" s="1038"/>
      <c r="C279" s="1038"/>
      <c r="D279" s="1038"/>
      <c r="E279" s="1038"/>
      <c r="F279" s="1038"/>
      <c r="G279" s="1038"/>
      <c r="H279" s="1038"/>
    </row>
    <row r="280" spans="1:8" x14ac:dyDescent="0.2">
      <c r="A280" s="1039" t="s">
        <v>772</v>
      </c>
      <c r="B280" s="1038"/>
      <c r="C280" s="1038"/>
      <c r="D280" s="1038"/>
      <c r="E280" s="1038"/>
      <c r="F280" s="1038"/>
      <c r="G280" s="1038"/>
      <c r="H280" s="1038"/>
    </row>
    <row r="281" spans="1:8" x14ac:dyDescent="0.2">
      <c r="A281" s="1039" t="s">
        <v>773</v>
      </c>
      <c r="B281" s="1038"/>
      <c r="C281" s="1038"/>
      <c r="D281" s="1038"/>
      <c r="E281" s="1038"/>
      <c r="F281" s="1038"/>
      <c r="G281" s="1038"/>
      <c r="H281" s="1038"/>
    </row>
    <row r="282" spans="1:8" x14ac:dyDescent="0.2">
      <c r="A282" s="1039" t="s">
        <v>774</v>
      </c>
      <c r="B282" s="1038"/>
      <c r="C282" s="1038"/>
      <c r="D282" s="1038"/>
      <c r="E282" s="1038"/>
      <c r="F282" s="1038"/>
      <c r="G282" s="1038"/>
      <c r="H282" s="1038"/>
    </row>
    <row r="283" spans="1:8" x14ac:dyDescent="0.2">
      <c r="A283" s="1039" t="s">
        <v>775</v>
      </c>
      <c r="B283" s="1038"/>
      <c r="C283" s="1038"/>
      <c r="D283" s="1038"/>
      <c r="E283" s="1038"/>
      <c r="F283" s="1038"/>
      <c r="G283" s="1038"/>
      <c r="H283" s="1038"/>
    </row>
    <row r="284" spans="1:8" x14ac:dyDescent="0.2">
      <c r="A284" s="1039" t="s">
        <v>776</v>
      </c>
      <c r="B284" s="1038"/>
      <c r="C284" s="1038"/>
      <c r="D284" s="1038"/>
      <c r="E284" s="1038"/>
      <c r="F284" s="1038"/>
      <c r="G284" s="1038"/>
      <c r="H284" s="1038"/>
    </row>
    <row r="285" spans="1:8" x14ac:dyDescent="0.2">
      <c r="A285" s="1039" t="s">
        <v>777</v>
      </c>
      <c r="B285" s="1038"/>
      <c r="C285" s="1038"/>
      <c r="D285" s="1038"/>
      <c r="E285" s="1038"/>
      <c r="F285" s="1038"/>
      <c r="G285" s="1038"/>
      <c r="H285" s="1038"/>
    </row>
    <row r="286" spans="1:8" x14ac:dyDescent="0.2">
      <c r="A286" s="1039" t="s">
        <v>778</v>
      </c>
      <c r="B286" s="1038"/>
      <c r="C286" s="1038"/>
      <c r="D286" s="1038"/>
      <c r="E286" s="1038"/>
      <c r="F286" s="1038"/>
      <c r="G286" s="1038"/>
      <c r="H286" s="1038"/>
    </row>
    <row r="287" spans="1:8" x14ac:dyDescent="0.2">
      <c r="A287" s="1039" t="s">
        <v>779</v>
      </c>
      <c r="B287" s="1038"/>
      <c r="C287" s="1038"/>
      <c r="D287" s="1038"/>
      <c r="E287" s="1038"/>
      <c r="F287" s="1038"/>
      <c r="G287" s="1038"/>
      <c r="H287" s="1038"/>
    </row>
    <row r="288" spans="1:8" x14ac:dyDescent="0.2">
      <c r="A288" s="1039" t="s">
        <v>780</v>
      </c>
      <c r="B288" s="1038"/>
      <c r="C288" s="1038"/>
      <c r="D288" s="1038"/>
      <c r="E288" s="1038"/>
      <c r="F288" s="1038"/>
      <c r="G288" s="1038"/>
      <c r="H288" s="1038"/>
    </row>
    <row r="289" spans="1:8" x14ac:dyDescent="0.2">
      <c r="A289" s="1038"/>
      <c r="B289" s="1038"/>
      <c r="C289" s="1038"/>
      <c r="D289" s="1038"/>
      <c r="E289" s="1038"/>
      <c r="F289" s="1038"/>
      <c r="G289" s="1038"/>
      <c r="H289" s="1038"/>
    </row>
    <row r="290" spans="1:8" x14ac:dyDescent="0.2">
      <c r="A290" s="1039" t="s">
        <v>765</v>
      </c>
      <c r="B290" s="1038"/>
      <c r="C290" s="1038"/>
      <c r="D290" s="1038"/>
      <c r="E290" s="1038"/>
      <c r="F290" s="1038"/>
      <c r="G290" s="1038"/>
      <c r="H290" s="1038"/>
    </row>
    <row r="291" spans="1:8" x14ac:dyDescent="0.2">
      <c r="A291" s="1039" t="s">
        <v>766</v>
      </c>
      <c r="B291" s="1038"/>
      <c r="C291" s="1038"/>
      <c r="D291" s="1038"/>
      <c r="E291" s="1038"/>
      <c r="F291" s="1038"/>
      <c r="G291" s="1038"/>
      <c r="H291" s="1038"/>
    </row>
    <row r="292" spans="1:8" x14ac:dyDescent="0.2">
      <c r="A292" s="1039" t="s">
        <v>767</v>
      </c>
      <c r="B292" s="1038"/>
      <c r="C292" s="1038"/>
      <c r="D292" s="1038"/>
      <c r="E292" s="1038"/>
      <c r="F292" s="1038"/>
      <c r="G292" s="1038"/>
      <c r="H292" s="1038"/>
    </row>
    <row r="293" spans="1:8" x14ac:dyDescent="0.2">
      <c r="A293" s="1039" t="s">
        <v>768</v>
      </c>
      <c r="B293" s="1038"/>
      <c r="C293" s="1038"/>
      <c r="D293" s="1038"/>
      <c r="E293" s="1038"/>
      <c r="F293" s="1038"/>
      <c r="G293" s="1038"/>
      <c r="H293" s="1038"/>
    </row>
    <row r="294" spans="1:8" x14ac:dyDescent="0.2">
      <c r="A294" s="1039" t="s">
        <v>769</v>
      </c>
      <c r="B294" s="1038"/>
      <c r="C294" s="1038"/>
      <c r="D294" s="1038"/>
      <c r="E294" s="1038"/>
      <c r="F294" s="1038"/>
      <c r="G294" s="1038"/>
      <c r="H294" s="1038"/>
    </row>
    <row r="295" spans="1:8" x14ac:dyDescent="0.2">
      <c r="A295" s="1039" t="s">
        <v>770</v>
      </c>
      <c r="B295" s="1038"/>
      <c r="C295" s="1038"/>
      <c r="D295" s="1038"/>
      <c r="E295" s="1038"/>
      <c r="F295" s="1038"/>
      <c r="G295" s="1038"/>
      <c r="H295" s="1038"/>
    </row>
    <row r="296" spans="1:8" x14ac:dyDescent="0.2">
      <c r="A296" s="1039" t="s">
        <v>771</v>
      </c>
      <c r="B296" s="1038"/>
      <c r="C296" s="1038"/>
      <c r="D296" s="1038"/>
      <c r="E296" s="1038"/>
      <c r="F296" s="1038"/>
      <c r="G296" s="1038"/>
      <c r="H296" s="1038"/>
    </row>
    <row r="297" spans="1:8" x14ac:dyDescent="0.2">
      <c r="A297" s="1038"/>
      <c r="B297" s="1038"/>
      <c r="C297" s="1038"/>
      <c r="D297" s="1038"/>
      <c r="E297" s="1038"/>
      <c r="F297" s="1038"/>
      <c r="G297" s="1038"/>
      <c r="H297" s="1038"/>
    </row>
    <row r="298" spans="1:8" x14ac:dyDescent="0.2">
      <c r="A298" s="1039" t="s">
        <v>762</v>
      </c>
      <c r="B298" s="1038"/>
      <c r="C298" s="1038"/>
      <c r="D298" s="1038"/>
      <c r="E298" s="1038"/>
      <c r="F298" s="1038"/>
      <c r="G298" s="1038"/>
      <c r="H298" s="1038"/>
    </row>
    <row r="299" spans="1:8" x14ac:dyDescent="0.2">
      <c r="A299" s="1039" t="s">
        <v>763</v>
      </c>
      <c r="B299" s="1038"/>
      <c r="C299" s="1038"/>
      <c r="D299" s="1038"/>
      <c r="E299" s="1038"/>
      <c r="F299" s="1038"/>
      <c r="G299" s="1038"/>
      <c r="H299" s="1038"/>
    </row>
    <row r="300" spans="1:8" x14ac:dyDescent="0.2">
      <c r="A300" s="1039" t="s">
        <v>764</v>
      </c>
      <c r="B300" s="1038"/>
      <c r="C300" s="1038"/>
      <c r="D300" s="1038"/>
      <c r="E300" s="1038"/>
      <c r="F300" s="1038"/>
      <c r="G300" s="1038"/>
      <c r="H300" s="1038"/>
    </row>
    <row r="301" spans="1:8" x14ac:dyDescent="0.2">
      <c r="A301" s="1038"/>
      <c r="B301" s="1038"/>
      <c r="C301" s="1038"/>
      <c r="D301" s="1038"/>
      <c r="E301" s="1038"/>
      <c r="F301" s="1038"/>
      <c r="G301" s="1038"/>
      <c r="H301" s="1038"/>
    </row>
    <row r="302" spans="1:8" x14ac:dyDescent="0.2">
      <c r="A302" s="1039" t="s">
        <v>760</v>
      </c>
      <c r="B302" s="1038"/>
      <c r="C302" s="1038"/>
      <c r="D302" s="1038"/>
      <c r="E302" s="1038"/>
      <c r="F302" s="1038"/>
      <c r="G302" s="1038"/>
      <c r="H302" s="1038"/>
    </row>
    <row r="303" spans="1:8" x14ac:dyDescent="0.2">
      <c r="A303" s="1039" t="s">
        <v>761</v>
      </c>
      <c r="B303" s="1038"/>
      <c r="C303" s="1038"/>
      <c r="D303" s="1038"/>
      <c r="E303" s="1038"/>
      <c r="F303" s="1038"/>
      <c r="G303" s="1038"/>
      <c r="H303" s="1038"/>
    </row>
    <row r="304" spans="1:8" x14ac:dyDescent="0.2">
      <c r="A304" s="1038"/>
      <c r="B304" s="1038"/>
      <c r="C304" s="1038"/>
      <c r="D304" s="1038"/>
      <c r="E304" s="1038"/>
      <c r="F304" s="1038"/>
      <c r="G304" s="1038"/>
      <c r="H304" s="1038"/>
    </row>
    <row r="305" spans="1:8" x14ac:dyDescent="0.2">
      <c r="A305" s="1039" t="s">
        <v>747</v>
      </c>
      <c r="B305" s="1038"/>
      <c r="C305" s="1038"/>
      <c r="D305" s="1038"/>
      <c r="E305" s="1038"/>
      <c r="F305" s="1038"/>
      <c r="G305" s="1038"/>
      <c r="H305" s="1038"/>
    </row>
    <row r="306" spans="1:8" x14ac:dyDescent="0.2">
      <c r="A306" s="1039" t="s">
        <v>748</v>
      </c>
      <c r="B306" s="1038"/>
      <c r="C306" s="1038"/>
      <c r="D306" s="1038"/>
      <c r="E306" s="1038"/>
      <c r="F306" s="1038"/>
      <c r="G306" s="1038"/>
      <c r="H306" s="1038"/>
    </row>
    <row r="307" spans="1:8" x14ac:dyDescent="0.2">
      <c r="A307" s="1039" t="s">
        <v>749</v>
      </c>
      <c r="B307" s="1038"/>
      <c r="C307" s="1038"/>
      <c r="D307" s="1038"/>
      <c r="E307" s="1038"/>
      <c r="F307" s="1038"/>
      <c r="G307" s="1038"/>
      <c r="H307" s="1038"/>
    </row>
    <row r="308" spans="1:8" x14ac:dyDescent="0.2">
      <c r="A308" s="1039" t="s">
        <v>750</v>
      </c>
      <c r="B308" s="1038"/>
      <c r="C308" s="1038"/>
      <c r="D308" s="1038"/>
      <c r="E308" s="1038"/>
      <c r="F308" s="1038"/>
      <c r="G308" s="1038"/>
      <c r="H308" s="1038"/>
    </row>
    <row r="309" spans="1:8" x14ac:dyDescent="0.2">
      <c r="A309" s="1039" t="s">
        <v>751</v>
      </c>
      <c r="B309" s="1038"/>
      <c r="C309" s="1038"/>
      <c r="D309" s="1038"/>
      <c r="E309" s="1038"/>
      <c r="F309" s="1038"/>
      <c r="G309" s="1038"/>
      <c r="H309" s="1038"/>
    </row>
    <row r="310" spans="1:8" x14ac:dyDescent="0.2">
      <c r="A310" s="1039" t="s">
        <v>752</v>
      </c>
      <c r="B310" s="1038"/>
      <c r="C310" s="1038"/>
      <c r="D310" s="1038"/>
      <c r="E310" s="1038"/>
      <c r="F310" s="1038"/>
      <c r="G310" s="1038"/>
      <c r="H310" s="1038"/>
    </row>
    <row r="311" spans="1:8" x14ac:dyDescent="0.2">
      <c r="A311" s="1039" t="s">
        <v>753</v>
      </c>
      <c r="B311" s="1038"/>
      <c r="C311" s="1038"/>
      <c r="D311" s="1038"/>
      <c r="E311" s="1038"/>
      <c r="F311" s="1038"/>
      <c r="G311" s="1038"/>
      <c r="H311" s="1038"/>
    </row>
    <row r="312" spans="1:8" x14ac:dyDescent="0.2">
      <c r="A312" s="1039" t="s">
        <v>754</v>
      </c>
      <c r="B312" s="1038"/>
      <c r="C312" s="1038"/>
      <c r="D312" s="1038"/>
      <c r="E312" s="1038"/>
      <c r="F312" s="1038"/>
      <c r="G312" s="1038"/>
      <c r="H312" s="1038"/>
    </row>
    <row r="313" spans="1:8" x14ac:dyDescent="0.2">
      <c r="A313" s="1039" t="s">
        <v>755</v>
      </c>
      <c r="B313" s="1038"/>
      <c r="C313" s="1038"/>
      <c r="D313" s="1038"/>
      <c r="E313" s="1038"/>
      <c r="F313" s="1038"/>
      <c r="G313" s="1038"/>
      <c r="H313" s="1038"/>
    </row>
    <row r="314" spans="1:8" x14ac:dyDescent="0.2">
      <c r="A314" s="1039" t="s">
        <v>756</v>
      </c>
      <c r="B314" s="1038"/>
      <c r="C314" s="1038"/>
      <c r="D314" s="1038"/>
      <c r="E314" s="1038"/>
      <c r="F314" s="1038"/>
      <c r="G314" s="1038"/>
      <c r="H314" s="1038"/>
    </row>
    <row r="315" spans="1:8" x14ac:dyDescent="0.2">
      <c r="A315" s="1039" t="s">
        <v>757</v>
      </c>
      <c r="B315" s="1038"/>
      <c r="C315" s="1038"/>
      <c r="D315" s="1038"/>
      <c r="E315" s="1038"/>
      <c r="F315" s="1038"/>
      <c r="G315" s="1038"/>
      <c r="H315" s="1038"/>
    </row>
    <row r="316" spans="1:8" x14ac:dyDescent="0.2">
      <c r="A316" s="1039" t="s">
        <v>758</v>
      </c>
      <c r="B316" s="1038"/>
      <c r="C316" s="1038"/>
      <c r="D316" s="1038"/>
      <c r="E316" s="1038"/>
      <c r="F316" s="1038"/>
      <c r="G316" s="1038"/>
      <c r="H316" s="1038"/>
    </row>
    <row r="317" spans="1:8" x14ac:dyDescent="0.2">
      <c r="A317" s="1039" t="s">
        <v>759</v>
      </c>
      <c r="B317" s="1038"/>
      <c r="C317" s="1038"/>
      <c r="D317" s="1038"/>
      <c r="E317" s="1038"/>
      <c r="F317" s="1038"/>
      <c r="G317" s="1038"/>
      <c r="H317" s="1038"/>
    </row>
    <row r="318" spans="1:8" x14ac:dyDescent="0.2">
      <c r="A318" s="1038"/>
      <c r="B318" s="1038"/>
      <c r="C318" s="1038"/>
      <c r="D318" s="1038"/>
      <c r="E318" s="1038"/>
      <c r="F318" s="1038"/>
      <c r="G318" s="1038"/>
      <c r="H318" s="1038"/>
    </row>
    <row r="319" spans="1:8" x14ac:dyDescent="0.2">
      <c r="A319" s="1039" t="s">
        <v>739</v>
      </c>
      <c r="B319" s="1038"/>
      <c r="C319" s="1038"/>
      <c r="D319" s="1038"/>
      <c r="E319" s="1038"/>
      <c r="F319" s="1038"/>
      <c r="G319" s="1038"/>
      <c r="H319" s="1038"/>
    </row>
    <row r="320" spans="1:8" x14ac:dyDescent="0.2">
      <c r="A320" s="1039" t="s">
        <v>740</v>
      </c>
      <c r="B320" s="1038"/>
      <c r="C320" s="1038"/>
      <c r="D320" s="1038"/>
      <c r="E320" s="1038"/>
      <c r="F320" s="1038"/>
      <c r="G320" s="1038"/>
      <c r="H320" s="1038"/>
    </row>
    <row r="321" spans="1:8" x14ac:dyDescent="0.2">
      <c r="A321" s="1039" t="s">
        <v>741</v>
      </c>
      <c r="B321" s="1038"/>
      <c r="C321" s="1038"/>
      <c r="D321" s="1038"/>
      <c r="E321" s="1038"/>
      <c r="F321" s="1038"/>
      <c r="G321" s="1038"/>
      <c r="H321" s="1038"/>
    </row>
    <row r="322" spans="1:8" x14ac:dyDescent="0.2">
      <c r="A322" s="1039" t="s">
        <v>742</v>
      </c>
      <c r="B322" s="1038"/>
      <c r="C322" s="1038"/>
      <c r="D322" s="1038"/>
      <c r="E322" s="1038"/>
      <c r="F322" s="1038"/>
      <c r="G322" s="1038"/>
      <c r="H322" s="1038"/>
    </row>
    <row r="323" spans="1:8" x14ac:dyDescent="0.2">
      <c r="A323" s="1039" t="s">
        <v>743</v>
      </c>
      <c r="B323" s="1038"/>
      <c r="C323" s="1038"/>
      <c r="D323" s="1038"/>
      <c r="E323" s="1038"/>
      <c r="F323" s="1038"/>
      <c r="G323" s="1038"/>
      <c r="H323" s="1038"/>
    </row>
    <row r="324" spans="1:8" x14ac:dyDescent="0.2">
      <c r="A324" s="1039" t="s">
        <v>744</v>
      </c>
      <c r="B324" s="1038"/>
      <c r="C324" s="1038"/>
      <c r="D324" s="1038"/>
      <c r="E324" s="1038"/>
      <c r="F324" s="1038"/>
      <c r="G324" s="1038"/>
      <c r="H324" s="1038"/>
    </row>
    <row r="325" spans="1:8" x14ac:dyDescent="0.2">
      <c r="A325" s="1039" t="s">
        <v>745</v>
      </c>
      <c r="B325" s="1038"/>
      <c r="C325" s="1038"/>
      <c r="D325" s="1038"/>
      <c r="E325" s="1038"/>
      <c r="F325" s="1038"/>
      <c r="G325" s="1038"/>
      <c r="H325" s="1038"/>
    </row>
    <row r="326" spans="1:8" x14ac:dyDescent="0.2">
      <c r="A326" s="1039" t="s">
        <v>746</v>
      </c>
      <c r="B326" s="1038"/>
      <c r="C326" s="1038"/>
      <c r="D326" s="1038"/>
      <c r="E326" s="1038"/>
      <c r="F326" s="1038"/>
      <c r="G326" s="1038"/>
      <c r="H326" s="1038"/>
    </row>
    <row r="327" spans="1:8" x14ac:dyDescent="0.2">
      <c r="A327" s="1038"/>
      <c r="B327" s="1038"/>
      <c r="C327" s="1038"/>
      <c r="D327" s="1038"/>
      <c r="E327" s="1038"/>
      <c r="F327" s="1038"/>
      <c r="G327" s="1038"/>
      <c r="H327" s="1038"/>
    </row>
    <row r="328" spans="1:8" x14ac:dyDescent="0.2">
      <c r="A328" s="1039" t="s">
        <v>704</v>
      </c>
      <c r="B328" s="1038"/>
      <c r="C328" s="1038"/>
      <c r="D328" s="1038"/>
      <c r="E328" s="1038"/>
      <c r="F328" s="1038"/>
      <c r="G328" s="1038"/>
      <c r="H328" s="1038"/>
    </row>
    <row r="329" spans="1:8" x14ac:dyDescent="0.2">
      <c r="A329" s="1039" t="s">
        <v>705</v>
      </c>
      <c r="B329" s="1038"/>
      <c r="C329" s="1038"/>
      <c r="D329" s="1038"/>
      <c r="E329" s="1038"/>
      <c r="F329" s="1038"/>
      <c r="G329" s="1038"/>
      <c r="H329" s="1038"/>
    </row>
    <row r="330" spans="1:8" x14ac:dyDescent="0.2">
      <c r="A330" s="1039" t="s">
        <v>706</v>
      </c>
      <c r="B330" s="1038"/>
      <c r="C330" s="1038"/>
      <c r="D330" s="1038"/>
      <c r="E330" s="1038"/>
      <c r="F330" s="1038"/>
      <c r="G330" s="1038"/>
      <c r="H330" s="1038"/>
    </row>
    <row r="331" spans="1:8" x14ac:dyDescent="0.2">
      <c r="A331" s="1039" t="s">
        <v>707</v>
      </c>
      <c r="B331" s="1038"/>
      <c r="C331" s="1038"/>
      <c r="D331" s="1038"/>
      <c r="E331" s="1038"/>
      <c r="F331" s="1038"/>
      <c r="G331" s="1038"/>
      <c r="H331" s="1038"/>
    </row>
    <row r="332" spans="1:8" x14ac:dyDescent="0.2">
      <c r="A332" s="1039" t="s">
        <v>708</v>
      </c>
      <c r="B332" s="1038"/>
      <c r="C332" s="1038"/>
      <c r="D332" s="1038"/>
      <c r="E332" s="1038"/>
      <c r="F332" s="1038"/>
      <c r="G332" s="1038"/>
      <c r="H332" s="1038"/>
    </row>
    <row r="333" spans="1:8" x14ac:dyDescent="0.2">
      <c r="A333" s="1039" t="s">
        <v>709</v>
      </c>
      <c r="B333" s="1038"/>
      <c r="C333" s="1038"/>
      <c r="D333" s="1038"/>
      <c r="E333" s="1038"/>
      <c r="F333" s="1038"/>
      <c r="G333" s="1038"/>
      <c r="H333" s="1038"/>
    </row>
    <row r="334" spans="1:8" x14ac:dyDescent="0.2">
      <c r="A334" s="1039" t="s">
        <v>710</v>
      </c>
      <c r="B334" s="1038"/>
      <c r="C334" s="1038"/>
      <c r="D334" s="1038"/>
      <c r="E334" s="1038"/>
      <c r="F334" s="1038"/>
      <c r="G334" s="1038"/>
      <c r="H334" s="1038"/>
    </row>
    <row r="335" spans="1:8" x14ac:dyDescent="0.2">
      <c r="A335" s="1039" t="s">
        <v>711</v>
      </c>
      <c r="B335" s="1038"/>
      <c r="C335" s="1038"/>
      <c r="D335" s="1038"/>
      <c r="E335" s="1038"/>
      <c r="F335" s="1038"/>
      <c r="G335" s="1038"/>
      <c r="H335" s="1038"/>
    </row>
    <row r="336" spans="1:8" x14ac:dyDescent="0.2">
      <c r="A336" s="1039" t="s">
        <v>712</v>
      </c>
      <c r="B336" s="1038"/>
      <c r="C336" s="1038"/>
      <c r="D336" s="1038"/>
      <c r="E336" s="1038"/>
      <c r="F336" s="1038"/>
      <c r="G336" s="1038"/>
      <c r="H336" s="1038"/>
    </row>
    <row r="337" spans="1:8" x14ac:dyDescent="0.2">
      <c r="A337" s="1039" t="s">
        <v>713</v>
      </c>
      <c r="B337" s="1038"/>
      <c r="C337" s="1038"/>
      <c r="D337" s="1038"/>
      <c r="E337" s="1038"/>
      <c r="F337" s="1038"/>
      <c r="G337" s="1038"/>
      <c r="H337" s="1038"/>
    </row>
    <row r="338" spans="1:8" x14ac:dyDescent="0.2">
      <c r="A338" s="1039" t="s">
        <v>714</v>
      </c>
      <c r="B338" s="1038"/>
      <c r="C338" s="1038"/>
      <c r="D338" s="1038"/>
      <c r="E338" s="1038"/>
      <c r="F338" s="1038"/>
      <c r="G338" s="1038"/>
      <c r="H338" s="1038"/>
    </row>
    <row r="339" spans="1:8" x14ac:dyDescent="0.2">
      <c r="A339" s="1039" t="s">
        <v>715</v>
      </c>
      <c r="B339" s="1038"/>
      <c r="C339" s="1038"/>
      <c r="D339" s="1038"/>
      <c r="E339" s="1038"/>
      <c r="F339" s="1038"/>
      <c r="G339" s="1038"/>
      <c r="H339" s="1038"/>
    </row>
    <row r="340" spans="1:8" x14ac:dyDescent="0.2">
      <c r="A340" s="1039" t="s">
        <v>716</v>
      </c>
      <c r="B340" s="1038"/>
      <c r="C340" s="1038"/>
      <c r="D340" s="1038"/>
      <c r="E340" s="1038"/>
      <c r="F340" s="1038"/>
      <c r="G340" s="1038"/>
      <c r="H340" s="1038"/>
    </row>
    <row r="341" spans="1:8" x14ac:dyDescent="0.2">
      <c r="A341" s="1039" t="s">
        <v>717</v>
      </c>
      <c r="B341" s="1038"/>
      <c r="C341" s="1038"/>
      <c r="D341" s="1038"/>
      <c r="E341" s="1038"/>
      <c r="F341" s="1038"/>
      <c r="G341" s="1038"/>
      <c r="H341" s="1038"/>
    </row>
    <row r="342" spans="1:8" x14ac:dyDescent="0.2">
      <c r="A342" s="1039" t="s">
        <v>718</v>
      </c>
      <c r="B342" s="1038"/>
      <c r="C342" s="1038"/>
      <c r="D342" s="1038"/>
      <c r="E342" s="1038"/>
      <c r="F342" s="1038"/>
      <c r="G342" s="1038"/>
      <c r="H342" s="1038"/>
    </row>
    <row r="343" spans="1:8" x14ac:dyDescent="0.2">
      <c r="A343" s="1039" t="s">
        <v>719</v>
      </c>
      <c r="B343" s="1038"/>
      <c r="C343" s="1038"/>
      <c r="D343" s="1038"/>
      <c r="E343" s="1038"/>
      <c r="F343" s="1038"/>
      <c r="G343" s="1038"/>
      <c r="H343" s="1038"/>
    </row>
    <row r="344" spans="1:8" x14ac:dyDescent="0.2">
      <c r="A344" s="1039" t="s">
        <v>720</v>
      </c>
      <c r="B344" s="1038"/>
      <c r="C344" s="1038"/>
      <c r="D344" s="1038"/>
      <c r="E344" s="1038"/>
      <c r="F344" s="1038"/>
      <c r="G344" s="1038"/>
      <c r="H344" s="1038"/>
    </row>
    <row r="345" spans="1:8" x14ac:dyDescent="0.2">
      <c r="A345" s="1039" t="s">
        <v>721</v>
      </c>
      <c r="B345" s="1038"/>
      <c r="C345" s="1038"/>
      <c r="D345" s="1038"/>
      <c r="E345" s="1038"/>
      <c r="F345" s="1038"/>
      <c r="G345" s="1038"/>
      <c r="H345" s="1038"/>
    </row>
    <row r="346" spans="1:8" x14ac:dyDescent="0.2">
      <c r="A346" s="1039" t="s">
        <v>722</v>
      </c>
      <c r="B346" s="1038"/>
      <c r="C346" s="1038"/>
      <c r="D346" s="1038"/>
      <c r="E346" s="1038"/>
      <c r="F346" s="1038"/>
      <c r="G346" s="1038"/>
      <c r="H346" s="1038"/>
    </row>
    <row r="347" spans="1:8" x14ac:dyDescent="0.2">
      <c r="A347" s="1039" t="s">
        <v>723</v>
      </c>
      <c r="B347" s="1038"/>
      <c r="C347" s="1038"/>
      <c r="D347" s="1038"/>
      <c r="E347" s="1038"/>
      <c r="F347" s="1038"/>
      <c r="G347" s="1038"/>
      <c r="H347" s="1038"/>
    </row>
    <row r="348" spans="1:8" x14ac:dyDescent="0.2">
      <c r="A348" s="1039" t="s">
        <v>724</v>
      </c>
      <c r="B348" s="1038"/>
      <c r="C348" s="1038"/>
      <c r="D348" s="1038"/>
      <c r="E348" s="1038"/>
      <c r="F348" s="1038"/>
      <c r="G348" s="1038"/>
      <c r="H348" s="1038"/>
    </row>
    <row r="349" spans="1:8" x14ac:dyDescent="0.2">
      <c r="A349" s="1039" t="s">
        <v>725</v>
      </c>
      <c r="B349" s="1038"/>
      <c r="C349" s="1038"/>
      <c r="D349" s="1038"/>
      <c r="E349" s="1038"/>
      <c r="F349" s="1038"/>
      <c r="G349" s="1038"/>
      <c r="H349" s="1038"/>
    </row>
    <row r="350" spans="1:8" x14ac:dyDescent="0.2">
      <c r="A350" s="1039" t="s">
        <v>726</v>
      </c>
      <c r="B350" s="1038"/>
      <c r="C350" s="1038"/>
      <c r="D350" s="1038"/>
      <c r="E350" s="1038"/>
      <c r="F350" s="1038"/>
      <c r="G350" s="1038"/>
      <c r="H350" s="1038"/>
    </row>
    <row r="351" spans="1:8" x14ac:dyDescent="0.2">
      <c r="A351" s="1039" t="s">
        <v>727</v>
      </c>
      <c r="B351" s="1038"/>
      <c r="C351" s="1038"/>
      <c r="D351" s="1038"/>
      <c r="E351" s="1038"/>
      <c r="F351" s="1038"/>
      <c r="G351" s="1038"/>
      <c r="H351" s="1038"/>
    </row>
    <row r="352" spans="1:8" x14ac:dyDescent="0.2">
      <c r="A352" s="1039" t="s">
        <v>728</v>
      </c>
      <c r="B352" s="1038"/>
      <c r="C352" s="1038"/>
      <c r="D352" s="1038"/>
      <c r="E352" s="1038"/>
      <c r="F352" s="1038"/>
      <c r="G352" s="1038"/>
      <c r="H352" s="1038"/>
    </row>
    <row r="353" spans="1:8" x14ac:dyDescent="0.2">
      <c r="A353" s="1039" t="s">
        <v>729</v>
      </c>
      <c r="B353" s="1038"/>
      <c r="C353" s="1038"/>
      <c r="D353" s="1038"/>
      <c r="E353" s="1038"/>
      <c r="F353" s="1038"/>
      <c r="G353" s="1038"/>
      <c r="H353" s="1038"/>
    </row>
    <row r="354" spans="1:8" x14ac:dyDescent="0.2">
      <c r="A354" s="1039" t="s">
        <v>730</v>
      </c>
      <c r="B354" s="1038"/>
      <c r="C354" s="1038"/>
      <c r="D354" s="1038"/>
      <c r="E354" s="1038"/>
      <c r="F354" s="1038"/>
      <c r="G354" s="1038"/>
      <c r="H354" s="1038"/>
    </row>
    <row r="355" spans="1:8" x14ac:dyDescent="0.2">
      <c r="A355" s="1039" t="s">
        <v>731</v>
      </c>
      <c r="B355" s="1038"/>
      <c r="C355" s="1038"/>
      <c r="D355" s="1038"/>
      <c r="E355" s="1038"/>
      <c r="F355" s="1038"/>
      <c r="G355" s="1038"/>
      <c r="H355" s="1038"/>
    </row>
    <row r="356" spans="1:8" x14ac:dyDescent="0.2">
      <c r="A356" s="1039" t="s">
        <v>732</v>
      </c>
      <c r="B356" s="1038"/>
      <c r="C356" s="1038"/>
      <c r="D356" s="1038"/>
      <c r="E356" s="1038"/>
      <c r="F356" s="1038"/>
      <c r="G356" s="1038"/>
      <c r="H356" s="1038"/>
    </row>
    <row r="357" spans="1:8" x14ac:dyDescent="0.2">
      <c r="A357" s="1039" t="s">
        <v>733</v>
      </c>
      <c r="B357" s="1038"/>
      <c r="C357" s="1038"/>
      <c r="D357" s="1038"/>
      <c r="E357" s="1038"/>
      <c r="F357" s="1038"/>
      <c r="G357" s="1038"/>
      <c r="H357" s="1038"/>
    </row>
    <row r="358" spans="1:8" x14ac:dyDescent="0.2">
      <c r="A358" s="1039" t="s">
        <v>734</v>
      </c>
      <c r="B358" s="1038"/>
      <c r="C358" s="1038"/>
      <c r="D358" s="1038"/>
      <c r="E358" s="1038"/>
      <c r="F358" s="1038"/>
      <c r="G358" s="1038"/>
      <c r="H358" s="1038"/>
    </row>
    <row r="359" spans="1:8" x14ac:dyDescent="0.2">
      <c r="A359" s="1039" t="s">
        <v>735</v>
      </c>
      <c r="B359" s="1038"/>
      <c r="C359" s="1038"/>
      <c r="D359" s="1038"/>
      <c r="E359" s="1038"/>
      <c r="F359" s="1038"/>
      <c r="G359" s="1038"/>
      <c r="H359" s="1038"/>
    </row>
    <row r="360" spans="1:8" x14ac:dyDescent="0.2">
      <c r="A360" s="1039" t="s">
        <v>736</v>
      </c>
      <c r="B360" s="1038"/>
      <c r="C360" s="1038"/>
      <c r="D360" s="1038"/>
      <c r="E360" s="1038"/>
      <c r="F360" s="1038"/>
      <c r="G360" s="1038"/>
      <c r="H360" s="1038"/>
    </row>
    <row r="361" spans="1:8" x14ac:dyDescent="0.2">
      <c r="A361" s="1039" t="s">
        <v>737</v>
      </c>
      <c r="B361" s="1038"/>
      <c r="C361" s="1038"/>
      <c r="D361" s="1038"/>
      <c r="E361" s="1038"/>
      <c r="F361" s="1038"/>
      <c r="G361" s="1038"/>
      <c r="H361" s="1038"/>
    </row>
    <row r="362" spans="1:8" x14ac:dyDescent="0.2">
      <c r="A362" s="1039" t="s">
        <v>738</v>
      </c>
      <c r="B362" s="1038"/>
      <c r="C362" s="1038"/>
      <c r="D362" s="1038"/>
      <c r="E362" s="1038"/>
      <c r="F362" s="1038"/>
      <c r="G362" s="1038"/>
      <c r="H362" s="1038"/>
    </row>
    <row r="363" spans="1:8" x14ac:dyDescent="0.2">
      <c r="A363" s="1038"/>
      <c r="B363" s="1038"/>
      <c r="C363" s="1038"/>
      <c r="D363" s="1038"/>
      <c r="E363" s="1038"/>
      <c r="F363" s="1038"/>
      <c r="G363" s="1038"/>
      <c r="H363" s="1038"/>
    </row>
    <row r="364" spans="1:8" x14ac:dyDescent="0.2">
      <c r="A364" s="1039" t="s">
        <v>696</v>
      </c>
      <c r="B364" s="1038"/>
      <c r="C364" s="1038"/>
      <c r="D364" s="1038"/>
      <c r="E364" s="1038"/>
      <c r="F364" s="1038"/>
      <c r="G364" s="1038"/>
      <c r="H364" s="1038"/>
    </row>
    <row r="365" spans="1:8" x14ac:dyDescent="0.2">
      <c r="A365" s="1039" t="s">
        <v>700</v>
      </c>
      <c r="B365" s="1038"/>
      <c r="C365" s="1038"/>
      <c r="D365" s="1038"/>
      <c r="E365" s="1038"/>
      <c r="F365" s="1038"/>
      <c r="G365" s="1038"/>
      <c r="H365" s="1038"/>
    </row>
    <row r="366" spans="1:8" x14ac:dyDescent="0.2">
      <c r="A366" s="1039" t="s">
        <v>701</v>
      </c>
      <c r="B366" s="1038"/>
      <c r="C366" s="1038"/>
      <c r="D366" s="1038"/>
      <c r="E366" s="1038"/>
      <c r="F366" s="1038"/>
      <c r="G366" s="1038"/>
      <c r="H366" s="1038"/>
    </row>
    <row r="367" spans="1:8" x14ac:dyDescent="0.2">
      <c r="A367" s="1039" t="s">
        <v>702</v>
      </c>
      <c r="B367" s="1038"/>
      <c r="C367" s="1038"/>
      <c r="D367" s="1038"/>
      <c r="E367" s="1038"/>
      <c r="F367" s="1038"/>
      <c r="G367" s="1038"/>
      <c r="H367" s="1038"/>
    </row>
    <row r="368" spans="1:8" x14ac:dyDescent="0.2">
      <c r="A368" s="1039" t="s">
        <v>703</v>
      </c>
      <c r="B368" s="1038"/>
      <c r="C368" s="1038"/>
      <c r="D368" s="1038"/>
      <c r="E368" s="1038"/>
      <c r="F368" s="1038"/>
      <c r="G368" s="1038"/>
      <c r="H368" s="1038"/>
    </row>
    <row r="369" spans="1:8" x14ac:dyDescent="0.2">
      <c r="A369" s="1038"/>
      <c r="B369" s="1038"/>
      <c r="C369" s="1038"/>
      <c r="D369" s="1038"/>
      <c r="E369" s="1038"/>
      <c r="F369" s="1038"/>
      <c r="G369" s="1038"/>
      <c r="H369" s="1038"/>
    </row>
    <row r="370" spans="1:8" x14ac:dyDescent="0.2">
      <c r="A370" s="1039" t="s">
        <v>696</v>
      </c>
      <c r="B370" s="1038"/>
      <c r="C370" s="1038"/>
      <c r="D370" s="1038"/>
      <c r="E370" s="1038"/>
      <c r="F370" s="1038"/>
      <c r="G370" s="1038"/>
      <c r="H370" s="1038"/>
    </row>
    <row r="371" spans="1:8" x14ac:dyDescent="0.2">
      <c r="A371" s="1039" t="s">
        <v>697</v>
      </c>
      <c r="B371" s="1038"/>
      <c r="C371" s="1038"/>
      <c r="D371" s="1038"/>
      <c r="E371" s="1038"/>
      <c r="F371" s="1038"/>
      <c r="G371" s="1038"/>
      <c r="H371" s="1038"/>
    </row>
    <row r="372" spans="1:8" x14ac:dyDescent="0.2">
      <c r="A372" s="1039" t="s">
        <v>698</v>
      </c>
      <c r="B372" s="1038"/>
      <c r="C372" s="1038"/>
      <c r="D372" s="1038"/>
      <c r="E372" s="1038"/>
      <c r="F372" s="1038"/>
      <c r="G372" s="1038"/>
      <c r="H372" s="1038"/>
    </row>
    <row r="373" spans="1:8" x14ac:dyDescent="0.2">
      <c r="A373" s="1039" t="s">
        <v>699</v>
      </c>
      <c r="B373" s="1038"/>
      <c r="C373" s="1038"/>
      <c r="D373" s="1038"/>
      <c r="E373" s="1038"/>
      <c r="F373" s="1038"/>
      <c r="G373" s="1038"/>
      <c r="H373" s="1038"/>
    </row>
    <row r="374" spans="1:8" x14ac:dyDescent="0.2">
      <c r="A374" s="1038"/>
      <c r="B374" s="1038"/>
      <c r="C374" s="1038"/>
      <c r="D374" s="1038"/>
      <c r="E374" s="1038"/>
      <c r="F374" s="1038"/>
      <c r="G374" s="1038"/>
      <c r="H374" s="1038"/>
    </row>
    <row r="375" spans="1:8" x14ac:dyDescent="0.2">
      <c r="A375" s="1039" t="s">
        <v>690</v>
      </c>
      <c r="B375" s="1038"/>
      <c r="C375" s="1038"/>
      <c r="D375" s="1038"/>
      <c r="E375" s="1038"/>
      <c r="F375" s="1038"/>
      <c r="G375" s="1038"/>
      <c r="H375" s="1038"/>
    </row>
    <row r="376" spans="1:8" x14ac:dyDescent="0.2">
      <c r="A376" s="1039" t="s">
        <v>691</v>
      </c>
      <c r="B376" s="1038"/>
      <c r="C376" s="1038"/>
      <c r="D376" s="1038"/>
      <c r="E376" s="1038"/>
      <c r="F376" s="1038"/>
      <c r="G376" s="1038"/>
      <c r="H376" s="1038"/>
    </row>
    <row r="377" spans="1:8" x14ac:dyDescent="0.2">
      <c r="A377" s="1039" t="s">
        <v>692</v>
      </c>
      <c r="B377" s="1038"/>
      <c r="C377" s="1038"/>
      <c r="D377" s="1038"/>
      <c r="E377" s="1038"/>
      <c r="F377" s="1038"/>
      <c r="G377" s="1038"/>
      <c r="H377" s="1038"/>
    </row>
    <row r="378" spans="1:8" x14ac:dyDescent="0.2">
      <c r="A378" s="1039" t="s">
        <v>693</v>
      </c>
      <c r="B378" s="1038"/>
      <c r="C378" s="1038"/>
      <c r="D378" s="1038"/>
      <c r="E378" s="1038"/>
      <c r="F378" s="1038"/>
      <c r="G378" s="1038"/>
      <c r="H378" s="1038"/>
    </row>
    <row r="379" spans="1:8" x14ac:dyDescent="0.2">
      <c r="A379" s="1039" t="s">
        <v>694</v>
      </c>
      <c r="B379" s="1038"/>
      <c r="C379" s="1038"/>
      <c r="D379" s="1038"/>
      <c r="E379" s="1038"/>
      <c r="F379" s="1038"/>
      <c r="G379" s="1038"/>
      <c r="H379" s="1038"/>
    </row>
    <row r="380" spans="1:8" x14ac:dyDescent="0.2">
      <c r="A380" s="1039" t="s">
        <v>695</v>
      </c>
      <c r="B380" s="1038"/>
      <c r="C380" s="1038"/>
      <c r="D380" s="1038"/>
      <c r="E380" s="1038"/>
      <c r="F380" s="1038"/>
      <c r="G380" s="1038"/>
      <c r="H380" s="1038"/>
    </row>
    <row r="381" spans="1:8" x14ac:dyDescent="0.2">
      <c r="A381" s="1038"/>
      <c r="B381" s="1038"/>
      <c r="C381" s="1038"/>
      <c r="D381" s="1038"/>
      <c r="E381" s="1038"/>
      <c r="F381" s="1038"/>
      <c r="G381" s="1038"/>
      <c r="H381" s="1038"/>
    </row>
    <row r="382" spans="1:8" x14ac:dyDescent="0.2">
      <c r="A382" s="1039" t="s">
        <v>685</v>
      </c>
      <c r="B382" s="1038"/>
      <c r="C382" s="1038"/>
      <c r="D382" s="1038"/>
      <c r="E382" s="1038"/>
      <c r="F382" s="1038"/>
      <c r="G382" s="1038"/>
      <c r="H382" s="1038"/>
    </row>
    <row r="383" spans="1:8" x14ac:dyDescent="0.2">
      <c r="A383" s="1039" t="s">
        <v>686</v>
      </c>
      <c r="B383" s="1038"/>
      <c r="C383" s="1038"/>
      <c r="D383" s="1038"/>
      <c r="E383" s="1038"/>
      <c r="F383" s="1038"/>
      <c r="G383" s="1038"/>
      <c r="H383" s="1038"/>
    </row>
    <row r="384" spans="1:8" x14ac:dyDescent="0.2">
      <c r="A384" s="1039" t="s">
        <v>687</v>
      </c>
      <c r="B384" s="1038"/>
      <c r="C384" s="1038"/>
      <c r="D384" s="1038"/>
      <c r="E384" s="1038"/>
      <c r="F384" s="1038"/>
      <c r="G384" s="1038"/>
      <c r="H384" s="1038"/>
    </row>
    <row r="385" spans="1:8" x14ac:dyDescent="0.2">
      <c r="A385" s="1039" t="s">
        <v>688</v>
      </c>
      <c r="B385" s="1038"/>
      <c r="C385" s="1038"/>
      <c r="D385" s="1038"/>
      <c r="E385" s="1038"/>
      <c r="F385" s="1038"/>
      <c r="G385" s="1038"/>
      <c r="H385" s="1038"/>
    </row>
    <row r="386" spans="1:8" x14ac:dyDescent="0.2">
      <c r="A386" s="1039" t="s">
        <v>689</v>
      </c>
      <c r="B386" s="1038"/>
      <c r="C386" s="1038"/>
      <c r="D386" s="1038"/>
      <c r="E386" s="1038"/>
      <c r="F386" s="1038"/>
      <c r="G386" s="1038"/>
      <c r="H386" s="1038"/>
    </row>
    <row r="387" spans="1:8" x14ac:dyDescent="0.2">
      <c r="A387" s="1038"/>
      <c r="B387" s="1038"/>
      <c r="C387" s="1038"/>
      <c r="D387" s="1038"/>
      <c r="E387" s="1038"/>
      <c r="F387" s="1038"/>
      <c r="G387" s="1038"/>
      <c r="H387" s="1038"/>
    </row>
    <row r="388" spans="1:8" x14ac:dyDescent="0.2">
      <c r="A388" s="1039" t="s">
        <v>683</v>
      </c>
      <c r="B388" s="1038"/>
      <c r="C388" s="1038"/>
      <c r="D388" s="1038"/>
      <c r="E388" s="1038"/>
      <c r="F388" s="1038"/>
      <c r="G388" s="1038"/>
      <c r="H388" s="1038"/>
    </row>
    <row r="389" spans="1:8" x14ac:dyDescent="0.2">
      <c r="A389" s="1039" t="s">
        <v>684</v>
      </c>
      <c r="B389" s="1038"/>
      <c r="C389" s="1038"/>
      <c r="D389" s="1038"/>
      <c r="E389" s="1038"/>
      <c r="F389" s="1038"/>
      <c r="G389" s="1038"/>
      <c r="H389" s="1038"/>
    </row>
    <row r="391" spans="1:8" x14ac:dyDescent="0.2">
      <c r="A391" s="1034" t="s">
        <v>939</v>
      </c>
    </row>
  </sheetData>
  <mergeCells count="12">
    <mergeCell ref="A129:H129"/>
    <mergeCell ref="A130:H130"/>
    <mergeCell ref="B122:C122"/>
    <mergeCell ref="D122:F122"/>
    <mergeCell ref="G122:H122"/>
    <mergeCell ref="A108:H108"/>
    <mergeCell ref="A109:H109"/>
    <mergeCell ref="A110:H110"/>
    <mergeCell ref="A111:H111"/>
    <mergeCell ref="A113:H113"/>
    <mergeCell ref="A114:H114"/>
    <mergeCell ref="A121:H121"/>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Z638"/>
  <sheetViews>
    <sheetView showGridLines="0" zoomScaleNormal="100" workbookViewId="0">
      <pane xSplit="2" ySplit="19" topLeftCell="DU20" activePane="bottomRight" state="frozen"/>
      <selection activeCell="B1" sqref="B1"/>
      <selection pane="topRight" activeCell="C1" sqref="C1"/>
      <selection pane="bottomLeft" activeCell="B20" sqref="B20"/>
      <selection pane="bottomRight" activeCell="EM25" sqref="EM25"/>
    </sheetView>
  </sheetViews>
  <sheetFormatPr defaultRowHeight="12.75" customHeight="1" outlineLevelRow="1" outlineLevelCol="1" x14ac:dyDescent="0.2"/>
  <cols>
    <col min="1" max="1" width="3.85546875" style="10" hidden="1" customWidth="1"/>
    <col min="2" max="2" width="35.28515625" style="10" customWidth="1"/>
    <col min="3" max="13" width="9.140625" style="10" hidden="1" customWidth="1" outlineLevel="1"/>
    <col min="14" max="14" width="9.140625" style="419" hidden="1" customWidth="1" outlineLevel="1"/>
    <col min="15" max="15" width="9.140625" style="10" hidden="1" customWidth="1" outlineLevel="1"/>
    <col min="16" max="16" width="9.140625" style="419" hidden="1" customWidth="1" outlineLevel="1"/>
    <col min="17" max="17" width="9.140625" style="10" hidden="1" customWidth="1" outlineLevel="1"/>
    <col min="18" max="18" width="9.140625" style="419" hidden="1" customWidth="1" outlineLevel="1"/>
    <col min="19" max="19" width="9.140625" style="10" hidden="1" customWidth="1" outlineLevel="1"/>
    <col min="20" max="20" width="9.140625" style="419" hidden="1" customWidth="1" outlineLevel="1"/>
    <col min="21" max="21" width="9.140625" style="10" hidden="1" customWidth="1" outlineLevel="1"/>
    <col min="22" max="22" width="9.140625" style="419" hidden="1" customWidth="1" outlineLevel="1"/>
    <col min="23" max="23" width="9.140625" style="10" hidden="1" customWidth="1" outlineLevel="1" collapsed="1"/>
    <col min="24" max="24" width="9.140625" style="419" hidden="1" customWidth="1" outlineLevel="1"/>
    <col min="25" max="25" width="9.140625" style="10" hidden="1" customWidth="1" outlineLevel="1" collapsed="1"/>
    <col min="26" max="26" width="9.140625" style="419" hidden="1" customWidth="1" outlineLevel="1"/>
    <col min="27" max="27" width="9.140625" style="10" hidden="1" customWidth="1" outlineLevel="1" collapsed="1"/>
    <col min="28" max="28" width="9.140625" style="419" hidden="1" customWidth="1" outlineLevel="1"/>
    <col min="29" max="29" width="9.140625" style="10" hidden="1" customWidth="1" outlineLevel="1"/>
    <col min="30" max="30" width="9.140625" style="419" hidden="1" customWidth="1" outlineLevel="1"/>
    <col min="31" max="31" width="9.140625" style="10" hidden="1" customWidth="1" outlineLevel="1"/>
    <col min="32" max="32" width="9.140625" style="419" hidden="1" customWidth="1" outlineLevel="1"/>
    <col min="33" max="33" width="9.140625" style="10" hidden="1" customWidth="1" outlineLevel="1"/>
    <col min="34" max="34" width="9.140625" style="419" hidden="1" customWidth="1" outlineLevel="1"/>
    <col min="35" max="35" width="9.140625" style="10" hidden="1" customWidth="1" outlineLevel="1"/>
    <col min="36" max="36" width="9.140625" style="419" hidden="1" customWidth="1" outlineLevel="1"/>
    <col min="37" max="37" width="9.140625" style="10" hidden="1" customWidth="1" outlineLevel="1" collapsed="1"/>
    <col min="38" max="38" width="9.140625" style="419" hidden="1" customWidth="1" outlineLevel="1"/>
    <col min="39" max="39" width="9.140625" style="10" hidden="1" customWidth="1" outlineLevel="1" collapsed="1"/>
    <col min="40" max="40" width="9.140625" style="419" hidden="1" customWidth="1" outlineLevel="1"/>
    <col min="41" max="41" width="9.140625" style="10" hidden="1" customWidth="1" outlineLevel="1" collapsed="1"/>
    <col min="42" max="42" width="9.140625" style="419" hidden="1" customWidth="1" outlineLevel="1"/>
    <col min="43" max="43" width="9.140625" style="10" hidden="1" customWidth="1" outlineLevel="1" collapsed="1"/>
    <col min="44" max="44" width="9.140625" style="419" hidden="1" customWidth="1" outlineLevel="1"/>
    <col min="45" max="45" width="9.140625" style="10" hidden="1" customWidth="1" outlineLevel="1"/>
    <col min="46" max="46" width="9.140625" style="419" hidden="1" customWidth="1" outlineLevel="1"/>
    <col min="47" max="47" width="9.140625" style="10" hidden="1" customWidth="1" outlineLevel="1"/>
    <col min="48" max="48" width="9.140625" style="419" hidden="1" customWidth="1" outlineLevel="1"/>
    <col min="49" max="49" width="9.140625" style="10" hidden="1" customWidth="1" outlineLevel="1"/>
    <col min="50" max="50" width="9.140625" style="419" hidden="1" customWidth="1" outlineLevel="1"/>
    <col min="51" max="51" width="9.140625" style="10" hidden="1" customWidth="1" outlineLevel="1"/>
    <col min="52" max="52" width="9.140625" style="419" hidden="1" customWidth="1" outlineLevel="1"/>
    <col min="53" max="53" width="9.140625" style="10" hidden="1" customWidth="1" outlineLevel="1"/>
    <col min="54" max="54" width="9.140625" style="419" hidden="1" customWidth="1" outlineLevel="1"/>
    <col min="55" max="55" width="9.140625" style="10" hidden="1" customWidth="1" outlineLevel="1"/>
    <col min="56" max="56" width="9.140625" style="419" hidden="1" customWidth="1" outlineLevel="1"/>
    <col min="57" max="57" width="9.140625" style="10" hidden="1" customWidth="1" outlineLevel="1"/>
    <col min="58" max="58" width="9.140625" style="419" hidden="1" customWidth="1" outlineLevel="1"/>
    <col min="59" max="59" width="9.140625" style="10" hidden="1" customWidth="1" outlineLevel="1"/>
    <col min="60" max="60" width="9.140625" style="419" hidden="1" customWidth="1" outlineLevel="1"/>
    <col min="61" max="61" width="9.140625" style="10" hidden="1" customWidth="1" outlineLevel="1"/>
    <col min="62" max="62" width="9.140625" style="419" hidden="1" customWidth="1" outlineLevel="1"/>
    <col min="63" max="63" width="9.140625" style="10" hidden="1" customWidth="1" outlineLevel="1"/>
    <col min="64" max="64" width="9.140625" style="419" hidden="1" customWidth="1" outlineLevel="1"/>
    <col min="65" max="65" width="9.140625" style="10" hidden="1" customWidth="1" outlineLevel="1"/>
    <col min="66" max="66" width="9.140625" style="419" hidden="1" customWidth="1" outlineLevel="1"/>
    <col min="67" max="67" width="9.140625" style="10" hidden="1" customWidth="1" outlineLevel="1"/>
    <col min="68" max="68" width="9.140625" style="419" hidden="1" customWidth="1" outlineLevel="1"/>
    <col min="69" max="69" width="9.140625" style="10" hidden="1" customWidth="1" outlineLevel="1" collapsed="1"/>
    <col min="70" max="70" width="9.140625" style="419" hidden="1" customWidth="1" outlineLevel="1"/>
    <col min="71" max="71" width="9.140625" style="10" hidden="1" customWidth="1" outlineLevel="1" collapsed="1"/>
    <col min="72" max="72" width="9.140625" style="419" hidden="1" customWidth="1" outlineLevel="1"/>
    <col min="73" max="73" width="9.140625" style="10" hidden="1" customWidth="1" outlineLevel="1" collapsed="1"/>
    <col min="74" max="74" width="9.140625" style="419" hidden="1" customWidth="1" outlineLevel="1"/>
    <col min="75" max="75" width="9.140625" style="10" hidden="1" customWidth="1" outlineLevel="1" collapsed="1"/>
    <col min="76" max="76" width="9.140625" style="419" hidden="1" customWidth="1" outlineLevel="1"/>
    <col min="77" max="77" width="9.140625" style="10" hidden="1" customWidth="1" outlineLevel="1" collapsed="1"/>
    <col min="78" max="78" width="9.140625" style="419" hidden="1" customWidth="1" outlineLevel="1"/>
    <col min="79" max="79" width="9.140625" style="10" hidden="1" customWidth="1" outlineLevel="1" collapsed="1"/>
    <col min="80" max="80" width="9.140625" style="419" hidden="1" customWidth="1" outlineLevel="1"/>
    <col min="81" max="81" width="9.140625" style="10" hidden="1" customWidth="1" outlineLevel="1" collapsed="1"/>
    <col min="82" max="82" width="9.140625" style="419" hidden="1" customWidth="1" outlineLevel="1"/>
    <col min="83" max="83" width="9.140625" style="10" hidden="1" customWidth="1" outlineLevel="1" collapsed="1"/>
    <col min="84" max="84" width="9.140625" style="419" hidden="1" customWidth="1" outlineLevel="1"/>
    <col min="85" max="85" width="9.140625" style="10" hidden="1" customWidth="1" outlineLevel="1"/>
    <col min="86" max="86" width="9.140625" style="419" hidden="1" customWidth="1" outlineLevel="1"/>
    <col min="87" max="87" width="9.140625" style="10" hidden="1" customWidth="1" outlineLevel="1"/>
    <col min="88" max="88" width="9.140625" style="419" hidden="1" customWidth="1" outlineLevel="1"/>
    <col min="89" max="89" width="9.140625" style="10" hidden="1" customWidth="1" outlineLevel="1"/>
    <col min="90" max="90" width="9.140625" style="419" hidden="1" customWidth="1" outlineLevel="1"/>
    <col min="91" max="91" width="9.140625" style="10" hidden="1" customWidth="1" outlineLevel="1"/>
    <col min="92" max="92" width="9.140625" style="419" hidden="1" customWidth="1" outlineLevel="1"/>
    <col min="93" max="93" width="9.140625" style="10" hidden="1" customWidth="1" outlineLevel="1" collapsed="1"/>
    <col min="94" max="94" width="9.140625" style="419" hidden="1" customWidth="1" outlineLevel="1"/>
    <col min="95" max="95" width="9.140625" style="10" hidden="1" customWidth="1" outlineLevel="1" collapsed="1"/>
    <col min="96" max="96" width="9.140625" style="419" hidden="1" customWidth="1" outlineLevel="1"/>
    <col min="97" max="97" width="9.140625" style="10" hidden="1" customWidth="1" outlineLevel="1" collapsed="1"/>
    <col min="98" max="98" width="9.140625" style="419" hidden="1" customWidth="1" outlineLevel="1"/>
    <col min="99" max="99" width="9.140625" style="10" hidden="1" customWidth="1" outlineLevel="1" collapsed="1"/>
    <col min="100" max="100" width="9.140625" style="419" hidden="1" customWidth="1" outlineLevel="1"/>
    <col min="101" max="101" width="9.140625" style="10" hidden="1" customWidth="1" outlineLevel="1"/>
    <col min="102" max="102" width="9.140625" style="419" hidden="1" customWidth="1" outlineLevel="1"/>
    <col min="103" max="103" width="9.140625" style="10" hidden="1" customWidth="1" outlineLevel="1" collapsed="1"/>
    <col min="104" max="104" width="9.140625" style="419" hidden="1" customWidth="1" outlineLevel="1"/>
    <col min="105" max="105" width="9.140625" style="10" hidden="1" customWidth="1" outlineLevel="1" collapsed="1"/>
    <col min="106" max="106" width="9.140625" style="419" hidden="1" customWidth="1" outlineLevel="1"/>
    <col min="107" max="107" width="9.140625" style="10" hidden="1" customWidth="1" outlineLevel="1" collapsed="1"/>
    <col min="108" max="108" width="9.140625" style="419" hidden="1" customWidth="1" outlineLevel="1"/>
    <col min="109" max="109" width="9.140625" style="10" hidden="1" customWidth="1" outlineLevel="1" collapsed="1"/>
    <col min="110" max="110" width="9.140625" style="419" hidden="1" customWidth="1" outlineLevel="1"/>
    <col min="111" max="111" width="9.140625" style="10" hidden="1" customWidth="1" outlineLevel="1" collapsed="1"/>
    <col min="112" max="112" width="0.42578125" style="419" hidden="1" customWidth="1" outlineLevel="1"/>
    <col min="113" max="113" width="9.140625" style="10" hidden="1" customWidth="1" outlineLevel="1" collapsed="1"/>
    <col min="114" max="114" width="9.140625" style="419" hidden="1" customWidth="1" outlineLevel="1"/>
    <col min="115" max="115" width="9.140625" style="10" hidden="1" customWidth="1" outlineLevel="1" collapsed="1"/>
    <col min="116" max="116" width="9.140625" style="419" hidden="1" customWidth="1" outlineLevel="1"/>
    <col min="117" max="117" width="9.140625" style="10" collapsed="1"/>
    <col min="118" max="118" width="9.140625" style="419" hidden="1" customWidth="1" outlineLevel="1"/>
    <col min="119" max="119" width="9.140625" style="10" collapsed="1"/>
    <col min="120" max="120" width="9.140625" style="419" hidden="1" customWidth="1" outlineLevel="1"/>
    <col min="121" max="121" width="9.140625" style="10" collapsed="1"/>
    <col min="122" max="122" width="9.140625" style="419" hidden="1" customWidth="1" outlineLevel="1"/>
    <col min="123" max="123" width="9.140625" style="10" collapsed="1"/>
    <col min="124" max="124" width="9.140625" style="419" hidden="1" customWidth="1" outlineLevel="1"/>
    <col min="125" max="125" width="9.140625" style="10" collapsed="1"/>
    <col min="126" max="126" width="9.140625" style="419" hidden="1" customWidth="1" outlineLevel="1"/>
    <col min="127" max="127" width="9.140625" style="10" collapsed="1"/>
    <col min="128" max="128" width="9.140625" style="419" hidden="1" customWidth="1" outlineLevel="1"/>
    <col min="129" max="129" width="9.140625" style="10" collapsed="1"/>
    <col min="130" max="130" width="9.140625" style="419" hidden="1" customWidth="1" outlineLevel="1"/>
    <col min="131" max="131" width="9.140625" style="10" collapsed="1"/>
    <col min="132" max="132" width="9.140625" style="419" hidden="1" customWidth="1" outlineLevel="1"/>
    <col min="133" max="133" width="9.140625" style="10" collapsed="1"/>
    <col min="134" max="134" width="9.140625" style="419" hidden="1" customWidth="1" outlineLevel="1"/>
    <col min="135" max="135" width="9.140625" style="10" collapsed="1"/>
    <col min="136" max="136" width="9.140625" style="419" hidden="1" customWidth="1" outlineLevel="1"/>
    <col min="137" max="137" width="9.140625" style="10" collapsed="1"/>
    <col min="138" max="138" width="9.140625" style="419" hidden="1" customWidth="1" outlineLevel="1"/>
    <col min="139" max="139" width="9.140625" style="10" collapsed="1"/>
    <col min="140" max="140" width="9.140625" style="419" hidden="1" customWidth="1" outlineLevel="1"/>
    <col min="141" max="141" width="9.140625" style="10" collapsed="1"/>
    <col min="142" max="142" width="9.140625" style="419" hidden="1" customWidth="1" outlineLevel="1"/>
    <col min="143" max="143" width="9.140625" style="10" collapsed="1"/>
    <col min="144" max="144" width="9.140625" style="419" hidden="1" customWidth="1" outlineLevel="1"/>
    <col min="145" max="145" width="9.140625" style="10" collapsed="1"/>
    <col min="146" max="146" width="9.140625" style="419" hidden="1" customWidth="1" outlineLevel="1"/>
    <col min="147" max="147" width="9.140625" style="10" collapsed="1"/>
    <col min="148" max="148" width="9.140625" style="419" hidden="1" customWidth="1" outlineLevel="1"/>
    <col min="149" max="149" width="0.85546875" style="10" customWidth="1" collapsed="1"/>
    <col min="150" max="150" width="0.85546875" style="459" customWidth="1"/>
    <col min="151" max="151" width="0.85546875" style="10" customWidth="1"/>
    <col min="152" max="154" width="9.140625" style="10" hidden="1" customWidth="1" outlineLevel="1"/>
    <col min="155" max="155" width="9.140625" style="419" hidden="1" customWidth="1" outlineLevel="1"/>
    <col min="156" max="156" width="9.140625" style="10" hidden="1" customWidth="1" outlineLevel="1"/>
    <col min="157" max="157" width="9.140625" style="419" hidden="1" customWidth="1" outlineLevel="1"/>
    <col min="158" max="158" width="9.140625" style="10" hidden="1" customWidth="1" outlineLevel="1"/>
    <col min="159" max="159" width="9.140625" style="419" hidden="1" customWidth="1" outlineLevel="1"/>
    <col min="160" max="160" width="9.140625" style="10" hidden="1" customWidth="1" outlineLevel="1"/>
    <col min="161" max="161" width="9.140625" style="419" hidden="1" customWidth="1" outlineLevel="1"/>
    <col min="162" max="162" width="9.140625" style="10" hidden="1" customWidth="1" outlineLevel="1"/>
    <col min="163" max="163" width="9.140625" style="419" hidden="1" customWidth="1" outlineLevel="1"/>
    <col min="164" max="164" width="9.140625" style="10" hidden="1" customWidth="1" outlineLevel="1" collapsed="1"/>
    <col min="165" max="165" width="9.140625" style="419" hidden="1" customWidth="1" outlineLevel="1"/>
    <col min="166" max="166" width="9.140625" style="10" hidden="1" customWidth="1" outlineLevel="1"/>
    <col min="167" max="167" width="9.140625" style="419" hidden="1" customWidth="1" outlineLevel="1"/>
    <col min="168" max="168" width="9.140625" style="10" hidden="1" customWidth="1" outlineLevel="1"/>
    <col min="169" max="169" width="9.140625" style="419" hidden="1" customWidth="1" outlineLevel="1"/>
    <col min="170" max="170" width="9.140625" style="10" hidden="1" customWidth="1" outlineLevel="1"/>
    <col min="171" max="171" width="9.140625" style="419" hidden="1" customWidth="1" outlineLevel="1"/>
    <col min="172" max="172" width="9.140625" style="10" hidden="1" customWidth="1" outlineLevel="1"/>
    <col min="173" max="173" width="9.140625" style="419" hidden="1" customWidth="1" outlineLevel="1"/>
    <col min="174" max="174" width="9.140625" style="10" hidden="1" customWidth="1" outlineLevel="1" collapsed="1"/>
    <col min="175" max="175" width="9.140625" style="419" hidden="1" customWidth="1" outlineLevel="1"/>
    <col min="176" max="176" width="9.140625" style="10" hidden="1" customWidth="1" outlineLevel="1" collapsed="1"/>
    <col min="177" max="177" width="9.140625" style="419" hidden="1" customWidth="1" outlineLevel="1"/>
    <col min="178" max="178" width="9.140625" style="10" hidden="1" customWidth="1" outlineLevel="1" collapsed="1"/>
    <col min="179" max="179" width="9.140625" style="419" hidden="1" customWidth="1" outlineLevel="1"/>
    <col min="180" max="180" width="9.140625" style="10" hidden="1" customWidth="1" outlineLevel="1" collapsed="1"/>
    <col min="181" max="181" width="9.140625" style="419" hidden="1" customWidth="1" outlineLevel="1"/>
    <col min="182" max="182" width="0" style="10" hidden="1" customWidth="1" outlineLevel="1" collapsed="1"/>
    <col min="183" max="183" width="9.140625" style="419" hidden="1" customWidth="1" outlineLevel="1"/>
    <col min="184" max="184" width="9.140625" style="10" collapsed="1"/>
    <col min="185" max="185" width="9.140625" style="419" hidden="1" customWidth="1" outlineLevel="1"/>
    <col min="186" max="186" width="9.140625" style="10" collapsed="1"/>
    <col min="187" max="187" width="9.140625" style="419" hidden="1" customWidth="1" outlineLevel="1"/>
    <col min="188" max="188" width="9.140625" style="10" collapsed="1"/>
    <col min="189" max="189" width="9.140625" style="419" hidden="1" customWidth="1" outlineLevel="1"/>
    <col min="190" max="190" width="9.140625" style="10" collapsed="1"/>
    <col min="191" max="191" width="9.140625" style="419" hidden="1" customWidth="1" outlineLevel="1"/>
    <col min="192" max="192" width="9.140625" style="10" collapsed="1"/>
    <col min="193" max="193" width="9.140625" style="419" hidden="1" customWidth="1" outlineLevel="1"/>
    <col min="194" max="194" width="9.140625" style="10" collapsed="1"/>
    <col min="195" max="195" width="9.140625" style="419" hidden="1" customWidth="1" outlineLevel="1"/>
    <col min="196" max="196" width="9.140625" style="10" collapsed="1"/>
    <col min="197" max="197" width="9.140625" style="419" hidden="1" customWidth="1" outlineLevel="1"/>
    <col min="198" max="198" width="9.140625" style="10" collapsed="1"/>
    <col min="199" max="199" width="9.140625" style="419" hidden="1" customWidth="1" outlineLevel="1"/>
    <col min="200" max="200" width="9.140625" style="10" collapsed="1"/>
    <col min="201" max="201" width="9.140625" style="419" hidden="1" customWidth="1" outlineLevel="1"/>
    <col min="202" max="202" width="9.140625" style="419" collapsed="1"/>
    <col min="203" max="204" width="9.140625" style="562"/>
    <col min="205" max="210" width="9.140625" hidden="1" customWidth="1" outlineLevel="1"/>
    <col min="211" max="211" width="9.140625" style="562" collapsed="1"/>
    <col min="212" max="16384" width="9.140625" style="562"/>
  </cols>
  <sheetData>
    <row r="1" spans="1:286" s="925" customFormat="1" ht="12.75" customHeight="1" x14ac:dyDescent="0.2">
      <c r="A1" s="920"/>
      <c r="B1" s="943"/>
      <c r="C1" s="944"/>
      <c r="D1" s="944"/>
      <c r="E1" s="945"/>
      <c r="F1" s="945"/>
      <c r="G1" s="945"/>
      <c r="H1" s="945"/>
      <c r="I1" s="945"/>
      <c r="J1" s="945"/>
      <c r="K1" s="945"/>
      <c r="L1" s="945"/>
      <c r="M1" s="945"/>
      <c r="N1" s="944"/>
      <c r="O1" s="945"/>
      <c r="P1" s="944"/>
      <c r="Q1" s="945"/>
      <c r="R1" s="944"/>
      <c r="S1" s="945"/>
      <c r="T1" s="944"/>
      <c r="U1" s="945"/>
      <c r="V1" s="944"/>
      <c r="W1" s="945"/>
      <c r="X1" s="944"/>
      <c r="Y1" s="945"/>
      <c r="Z1" s="946"/>
      <c r="AA1" s="947"/>
      <c r="AB1" s="944"/>
      <c r="AC1" s="945"/>
      <c r="AD1" s="944"/>
      <c r="AE1" s="948"/>
      <c r="AF1" s="944"/>
      <c r="AG1" s="945"/>
      <c r="AH1" s="944"/>
      <c r="AI1" s="945"/>
      <c r="AJ1" s="944"/>
      <c r="AK1" s="945"/>
      <c r="AL1" s="944"/>
      <c r="AM1" s="945"/>
      <c r="AN1" s="944"/>
      <c r="AO1" s="945"/>
      <c r="AP1" s="944"/>
      <c r="AQ1" s="945"/>
      <c r="AR1" s="944"/>
      <c r="AS1" s="945"/>
      <c r="AT1" s="949"/>
      <c r="AU1" s="945"/>
      <c r="AV1" s="949"/>
      <c r="AW1" s="945"/>
      <c r="AX1" s="949"/>
      <c r="AY1" s="945"/>
      <c r="AZ1" s="949"/>
      <c r="BA1" s="945"/>
      <c r="BB1" s="949"/>
      <c r="BC1" s="945"/>
      <c r="BD1" s="949"/>
      <c r="BE1" s="945"/>
      <c r="BF1" s="949"/>
      <c r="BG1" s="945"/>
      <c r="BH1" s="949"/>
      <c r="BI1" s="945"/>
      <c r="BJ1" s="949"/>
      <c r="BK1" s="945"/>
      <c r="BL1" s="949"/>
      <c r="BM1" s="945"/>
      <c r="BN1" s="949"/>
      <c r="BO1" s="945"/>
      <c r="BP1" s="949"/>
      <c r="BQ1" s="945"/>
      <c r="BR1" s="949"/>
      <c r="BS1" s="945"/>
      <c r="BT1" s="949"/>
      <c r="BU1" s="945"/>
      <c r="BV1" s="949"/>
      <c r="BW1" s="945"/>
      <c r="BX1" s="949"/>
      <c r="BY1" s="945"/>
      <c r="BZ1" s="949"/>
      <c r="CA1" s="945"/>
      <c r="CB1" s="949"/>
      <c r="CC1" s="945"/>
      <c r="CD1" s="949"/>
      <c r="CE1" s="945"/>
      <c r="CF1" s="949"/>
      <c r="CG1" s="945"/>
      <c r="CH1" s="949"/>
      <c r="CI1" s="945"/>
      <c r="CJ1" s="949"/>
      <c r="CK1" s="945"/>
      <c r="CL1" s="949"/>
      <c r="CM1" s="945"/>
      <c r="CN1" s="949"/>
      <c r="CO1" s="945"/>
      <c r="CP1" s="949"/>
      <c r="CQ1" s="945"/>
      <c r="CR1" s="949"/>
      <c r="CS1" s="945"/>
      <c r="CT1" s="949"/>
      <c r="CU1" s="945"/>
      <c r="CV1" s="949"/>
      <c r="CW1" s="945"/>
      <c r="CX1" s="949"/>
      <c r="CY1" s="945"/>
      <c r="CZ1" s="949"/>
      <c r="DA1" s="945"/>
      <c r="DB1" s="949"/>
      <c r="DC1" s="945"/>
      <c r="DD1" s="949"/>
      <c r="DE1" s="945"/>
      <c r="DF1" s="949"/>
      <c r="DG1" s="950"/>
      <c r="DH1" s="949"/>
      <c r="DI1" s="950"/>
      <c r="DJ1" s="949"/>
      <c r="DK1" s="950"/>
      <c r="DL1" s="949"/>
      <c r="DM1" s="950"/>
      <c r="DN1" s="949"/>
      <c r="DO1" s="950"/>
      <c r="DP1" s="949"/>
      <c r="DQ1" s="950"/>
      <c r="DR1" s="949">
        <v>7.3380129130687033</v>
      </c>
      <c r="DS1" s="950"/>
      <c r="DT1" s="949" t="s">
        <v>282</v>
      </c>
      <c r="DU1" s="950"/>
      <c r="DV1" s="951">
        <v>5.3716585352793667</v>
      </c>
      <c r="DW1" s="950"/>
      <c r="DX1" s="951">
        <v>4.8085150245958053</v>
      </c>
      <c r="DY1" s="950"/>
      <c r="DZ1" s="951">
        <v>4.1552508878599959</v>
      </c>
      <c r="EA1" s="950"/>
      <c r="EB1" s="949"/>
      <c r="EC1" s="950"/>
      <c r="ED1" s="949"/>
      <c r="EE1" s="950"/>
      <c r="EF1" s="949"/>
      <c r="EG1" s="951"/>
      <c r="EH1" s="949"/>
      <c r="EI1" s="951"/>
      <c r="EJ1" s="949"/>
      <c r="EK1" s="951"/>
      <c r="EL1" s="951">
        <v>24.131768311857993</v>
      </c>
      <c r="EM1" s="951"/>
      <c r="EN1" s="951">
        <v>22.595307410566857</v>
      </c>
      <c r="EO1" s="951"/>
      <c r="EP1" s="951">
        <v>20.387719567438346</v>
      </c>
      <c r="EQ1" s="951"/>
      <c r="ER1" s="949"/>
      <c r="ES1" s="945"/>
      <c r="ET1" s="952"/>
      <c r="EU1" s="945"/>
      <c r="EV1" s="945"/>
      <c r="EW1" s="944"/>
      <c r="EX1" s="945"/>
      <c r="EY1" s="944"/>
      <c r="EZ1" s="945"/>
      <c r="FA1" s="944"/>
      <c r="FB1" s="945"/>
      <c r="FC1" s="944"/>
      <c r="FD1" s="945"/>
      <c r="FE1" s="944"/>
      <c r="FF1" s="945"/>
      <c r="FG1" s="944"/>
      <c r="FH1" s="945"/>
      <c r="FI1" s="944"/>
      <c r="FJ1" s="945"/>
      <c r="FK1" s="944"/>
      <c r="FL1" s="945"/>
      <c r="FM1" s="944"/>
      <c r="FN1" s="945"/>
      <c r="FO1" s="944"/>
      <c r="FP1" s="945"/>
      <c r="FQ1" s="944"/>
      <c r="FR1" s="945"/>
      <c r="FS1" s="944"/>
      <c r="FT1" s="945"/>
      <c r="FU1" s="944"/>
      <c r="FV1" s="945"/>
      <c r="FW1" s="944"/>
      <c r="FX1" s="945"/>
      <c r="FY1" s="944"/>
      <c r="FZ1" s="950"/>
      <c r="GA1" s="944"/>
      <c r="GB1" s="950"/>
      <c r="GC1" s="944"/>
      <c r="GD1" s="951"/>
      <c r="GE1" s="951" t="s">
        <v>282</v>
      </c>
      <c r="GF1" s="951"/>
      <c r="GG1" s="951">
        <v>5.9529971275412485</v>
      </c>
      <c r="GH1" s="951"/>
      <c r="GI1" s="951"/>
      <c r="GJ1" s="951"/>
      <c r="GK1" s="951">
        <v>21.13136664648647</v>
      </c>
      <c r="GL1" s="951"/>
      <c r="GM1" s="951">
        <v>5.9017114703698415</v>
      </c>
      <c r="GN1" s="951"/>
      <c r="GO1" s="944">
        <v>6.3574600474836762</v>
      </c>
      <c r="GP1" s="951"/>
      <c r="GQ1" s="944">
        <v>6.670796895350084</v>
      </c>
      <c r="GR1" s="951"/>
      <c r="GS1" s="976"/>
      <c r="GT1" s="944"/>
      <c r="GW1"/>
      <c r="GX1"/>
      <c r="GY1"/>
      <c r="GZ1"/>
      <c r="HA1"/>
      <c r="HB1"/>
    </row>
    <row r="2" spans="1:286" customFormat="1" ht="12.75" hidden="1" customHeight="1" outlineLevel="1" x14ac:dyDescent="0.2"/>
    <row r="3" spans="1:286" s="925" customFormat="1" ht="12.75" hidden="1" customHeight="1" outlineLevel="1" x14ac:dyDescent="0.2">
      <c r="A3" s="920"/>
      <c r="B3" s="926"/>
      <c r="C3" s="927" t="s">
        <v>169</v>
      </c>
      <c r="D3" s="928"/>
      <c r="E3" s="927" t="s">
        <v>482</v>
      </c>
      <c r="F3" s="928"/>
      <c r="G3" s="927" t="s">
        <v>327</v>
      </c>
      <c r="H3" s="928"/>
      <c r="I3" s="927" t="s">
        <v>484</v>
      </c>
      <c r="J3" s="928"/>
      <c r="K3" s="927" t="s">
        <v>253</v>
      </c>
      <c r="L3" s="928"/>
      <c r="M3" s="927" t="s">
        <v>255</v>
      </c>
      <c r="N3" s="929"/>
      <c r="O3" s="927" t="s">
        <v>320</v>
      </c>
      <c r="P3" s="929"/>
      <c r="Q3" s="927" t="s">
        <v>116</v>
      </c>
      <c r="R3" s="929"/>
      <c r="S3" s="927" t="s">
        <v>117</v>
      </c>
      <c r="T3" s="929"/>
      <c r="U3" s="927" t="s">
        <v>130</v>
      </c>
      <c r="V3" s="929"/>
      <c r="W3" s="927" t="s">
        <v>170</v>
      </c>
      <c r="X3" s="929"/>
      <c r="Y3" s="927" t="s">
        <v>171</v>
      </c>
      <c r="Z3" s="929"/>
      <c r="AA3" s="924" t="s">
        <v>172</v>
      </c>
      <c r="AB3" s="921"/>
      <c r="AC3" s="927" t="s">
        <v>421</v>
      </c>
      <c r="AD3" s="921"/>
      <c r="AE3" s="924" t="s">
        <v>422</v>
      </c>
      <c r="AF3" s="921"/>
      <c r="AG3" s="924" t="s">
        <v>423</v>
      </c>
      <c r="AH3" s="921"/>
      <c r="AI3" s="924" t="s">
        <v>88</v>
      </c>
      <c r="AJ3" s="921"/>
      <c r="AK3" s="924" t="s">
        <v>379</v>
      </c>
      <c r="AL3" s="921"/>
      <c r="AM3" s="924" t="s">
        <v>380</v>
      </c>
      <c r="AN3" s="921"/>
      <c r="AO3" s="924" t="s">
        <v>381</v>
      </c>
      <c r="AP3" s="921"/>
      <c r="AQ3" s="924" t="s">
        <v>382</v>
      </c>
      <c r="AR3" s="921"/>
      <c r="AS3" s="924" t="s">
        <v>460</v>
      </c>
      <c r="AT3" s="923"/>
      <c r="AU3" s="924" t="s">
        <v>461</v>
      </c>
      <c r="AV3" s="923"/>
      <c r="AW3" s="924" t="s">
        <v>462</v>
      </c>
      <c r="AX3" s="923"/>
      <c r="AY3" s="924" t="s">
        <v>463</v>
      </c>
      <c r="AZ3" s="923"/>
      <c r="BA3" s="924" t="s">
        <v>439</v>
      </c>
      <c r="BB3" s="923"/>
      <c r="BC3" s="924" t="s">
        <v>440</v>
      </c>
      <c r="BD3" s="923"/>
      <c r="BE3" s="924" t="s">
        <v>441</v>
      </c>
      <c r="BF3" s="923"/>
      <c r="BG3" s="924" t="s">
        <v>32</v>
      </c>
      <c r="BH3" s="923"/>
      <c r="BI3" s="924" t="s">
        <v>232</v>
      </c>
      <c r="BJ3" s="923"/>
      <c r="BK3" s="924" t="s">
        <v>233</v>
      </c>
      <c r="BL3" s="923"/>
      <c r="BM3" s="924" t="s">
        <v>234</v>
      </c>
      <c r="BN3" s="923"/>
      <c r="BO3" s="924" t="s">
        <v>235</v>
      </c>
      <c r="BP3" s="923"/>
      <c r="BQ3" s="924" t="s">
        <v>508</v>
      </c>
      <c r="BR3" s="923"/>
      <c r="BS3" s="924" t="s">
        <v>509</v>
      </c>
      <c r="BT3" s="923"/>
      <c r="BU3" s="924" t="s">
        <v>436</v>
      </c>
      <c r="BV3" s="923"/>
      <c r="BW3" s="924" t="s">
        <v>437</v>
      </c>
      <c r="BX3" s="923"/>
      <c r="BY3" s="924" t="s">
        <v>417</v>
      </c>
      <c r="BZ3" s="923"/>
      <c r="CA3" s="924" t="s">
        <v>418</v>
      </c>
      <c r="CB3" s="923"/>
      <c r="CC3" s="924" t="s">
        <v>419</v>
      </c>
      <c r="CD3" s="923"/>
      <c r="CE3" s="924" t="s">
        <v>420</v>
      </c>
      <c r="CF3" s="923"/>
      <c r="CG3" s="924" t="s">
        <v>82</v>
      </c>
      <c r="CH3" s="923"/>
      <c r="CI3" s="924" t="s">
        <v>83</v>
      </c>
      <c r="CJ3" s="923"/>
      <c r="CK3" s="924" t="s">
        <v>84</v>
      </c>
      <c r="CL3" s="923"/>
      <c r="CM3" s="924" t="s">
        <v>85</v>
      </c>
      <c r="CN3" s="923"/>
      <c r="CO3" s="924" t="s">
        <v>399</v>
      </c>
      <c r="CP3" s="929"/>
      <c r="CQ3" s="924" t="s">
        <v>400</v>
      </c>
      <c r="CR3" s="929"/>
      <c r="CS3" s="924" t="s">
        <v>401</v>
      </c>
      <c r="CT3" s="930"/>
      <c r="CU3" s="924" t="s">
        <v>402</v>
      </c>
      <c r="CV3" s="929"/>
      <c r="CW3" s="924" t="s">
        <v>534</v>
      </c>
      <c r="CX3" s="929"/>
      <c r="CY3" s="924" t="s">
        <v>535</v>
      </c>
      <c r="CZ3" s="929"/>
      <c r="DA3" s="924" t="s">
        <v>536</v>
      </c>
      <c r="DB3" s="929"/>
      <c r="DC3" s="924" t="s">
        <v>537</v>
      </c>
      <c r="DD3" s="929"/>
      <c r="DE3" s="924" t="s">
        <v>521</v>
      </c>
      <c r="DF3" s="929"/>
      <c r="DG3" s="924" t="s">
        <v>522</v>
      </c>
      <c r="DH3" s="929"/>
      <c r="DI3" s="924" t="s">
        <v>523</v>
      </c>
      <c r="DJ3" s="929"/>
      <c r="DK3" s="924" t="s">
        <v>524</v>
      </c>
      <c r="DL3" s="929"/>
      <c r="DM3" s="924" t="s">
        <v>548</v>
      </c>
      <c r="DN3" s="929"/>
      <c r="DO3" s="924" t="s">
        <v>549</v>
      </c>
      <c r="DP3" s="929"/>
      <c r="DQ3" s="924" t="s">
        <v>550</v>
      </c>
      <c r="DR3" s="929"/>
      <c r="DS3" s="924" t="s">
        <v>551</v>
      </c>
      <c r="DT3" s="929"/>
      <c r="DU3" s="924" t="s">
        <v>581</v>
      </c>
      <c r="DV3" s="929"/>
      <c r="DW3" s="924" t="s">
        <v>582</v>
      </c>
      <c r="DX3" s="929"/>
      <c r="DY3" s="924" t="s">
        <v>583</v>
      </c>
      <c r="DZ3" s="929"/>
      <c r="EA3" s="924" t="s">
        <v>584</v>
      </c>
      <c r="EB3" s="929"/>
      <c r="EC3" s="924" t="s">
        <v>612</v>
      </c>
      <c r="ED3" s="929"/>
      <c r="EE3" s="924" t="s">
        <v>613</v>
      </c>
      <c r="EF3" s="929"/>
      <c r="EG3" s="924" t="s">
        <v>614</v>
      </c>
      <c r="EH3" s="929"/>
      <c r="EI3" s="924" t="s">
        <v>615</v>
      </c>
      <c r="EJ3" s="929"/>
      <c r="EK3" s="924" t="s">
        <v>624</v>
      </c>
      <c r="EL3" s="929"/>
      <c r="EM3" s="924" t="s">
        <v>626</v>
      </c>
      <c r="EN3" s="929"/>
      <c r="EO3" s="924" t="s">
        <v>628</v>
      </c>
      <c r="EP3" s="929"/>
      <c r="EQ3" s="924" t="s">
        <v>622</v>
      </c>
      <c r="ER3" s="929"/>
      <c r="ES3" s="922"/>
      <c r="ET3" s="460"/>
      <c r="EU3" s="922"/>
      <c r="EV3" s="924" t="s">
        <v>173</v>
      </c>
      <c r="EW3" s="928"/>
      <c r="EX3" s="924" t="s">
        <v>174</v>
      </c>
      <c r="EY3" s="929"/>
      <c r="EZ3" s="924" t="s">
        <v>175</v>
      </c>
      <c r="FA3" s="929"/>
      <c r="FB3" s="924" t="s">
        <v>176</v>
      </c>
      <c r="FC3" s="929"/>
      <c r="FD3" s="924" t="s">
        <v>177</v>
      </c>
      <c r="FE3" s="929"/>
      <c r="FF3" s="924" t="s">
        <v>178</v>
      </c>
      <c r="FG3" s="929"/>
      <c r="FH3" s="924" t="s">
        <v>179</v>
      </c>
      <c r="FI3" s="929"/>
      <c r="FJ3" s="924" t="s">
        <v>180</v>
      </c>
      <c r="FK3" s="929"/>
      <c r="FL3" s="924" t="s">
        <v>181</v>
      </c>
      <c r="FM3" s="929"/>
      <c r="FN3" s="924" t="s">
        <v>272</v>
      </c>
      <c r="FO3" s="929"/>
      <c r="FP3" s="924" t="s">
        <v>87</v>
      </c>
      <c r="FQ3" s="929"/>
      <c r="FR3" s="924" t="s">
        <v>383</v>
      </c>
      <c r="FS3" s="929"/>
      <c r="FT3" s="924" t="s">
        <v>278</v>
      </c>
      <c r="FU3" s="929"/>
      <c r="FV3" s="924" t="s">
        <v>333</v>
      </c>
      <c r="FW3" s="929"/>
      <c r="FX3" s="924" t="s">
        <v>487</v>
      </c>
      <c r="FY3" s="929"/>
      <c r="FZ3" s="924" t="s">
        <v>488</v>
      </c>
      <c r="GA3" s="929"/>
      <c r="GB3" s="924" t="s">
        <v>574</v>
      </c>
      <c r="GC3" s="929"/>
      <c r="GD3" s="924" t="s">
        <v>86</v>
      </c>
      <c r="GE3" s="929"/>
      <c r="GF3" s="924" t="s">
        <v>403</v>
      </c>
      <c r="GG3" s="929"/>
      <c r="GH3" s="924" t="s">
        <v>538</v>
      </c>
      <c r="GI3" s="929"/>
      <c r="GJ3" s="924" t="s">
        <v>525</v>
      </c>
      <c r="GK3" s="929"/>
      <c r="GL3" s="924" t="s">
        <v>552</v>
      </c>
      <c r="GM3" s="929"/>
      <c r="GN3" s="924" t="s">
        <v>585</v>
      </c>
      <c r="GO3" s="929"/>
      <c r="GP3" s="924" t="s">
        <v>610</v>
      </c>
      <c r="GQ3" s="929"/>
      <c r="GR3" s="924" t="s">
        <v>630</v>
      </c>
      <c r="GS3" s="929"/>
      <c r="GT3" s="931" t="s">
        <v>495</v>
      </c>
      <c r="GW3"/>
      <c r="GX3"/>
      <c r="GY3"/>
      <c r="GZ3"/>
      <c r="HA3"/>
      <c r="HB3"/>
    </row>
    <row r="4" spans="1:286" s="932" customFormat="1" ht="12.75" customHeight="1" collapsed="1" x14ac:dyDescent="0.2">
      <c r="B4" s="1029" t="s">
        <v>410</v>
      </c>
      <c r="C4" s="933"/>
      <c r="D4" s="933"/>
      <c r="N4" s="933" t="str">
        <f>M6&amp;"/"</f>
        <v>1Q02/</v>
      </c>
      <c r="O4" s="934"/>
      <c r="P4" s="933" t="str">
        <f>O6&amp;"/"</f>
        <v>2Q02/</v>
      </c>
      <c r="Q4" s="934"/>
      <c r="R4" s="933" t="str">
        <f>+Q6&amp;"/"</f>
        <v>3Q02/</v>
      </c>
      <c r="S4" s="934"/>
      <c r="T4" s="933" t="str">
        <f>S6&amp;"/"</f>
        <v>4Q02/</v>
      </c>
      <c r="U4" s="934"/>
      <c r="V4" s="933" t="str">
        <f>U6&amp;"/"</f>
        <v>1Q03/</v>
      </c>
      <c r="W4" s="934"/>
      <c r="X4" s="933" t="str">
        <f>W6&amp;"/"</f>
        <v>2Q03/</v>
      </c>
      <c r="Y4" s="934"/>
      <c r="Z4" s="933" t="str">
        <f>Y6&amp;"/"</f>
        <v>3Q03/</v>
      </c>
      <c r="AA4" s="934"/>
      <c r="AB4" s="933" t="str">
        <f>AA6&amp;"/"</f>
        <v>4Q03/</v>
      </c>
      <c r="AC4" s="934"/>
      <c r="AD4" s="933" t="str">
        <f>AC6&amp;"/"</f>
        <v>1Q04/</v>
      </c>
      <c r="AE4" s="934"/>
      <c r="AF4" s="933" t="str">
        <f>AE6&amp;"/"</f>
        <v>2Q04/</v>
      </c>
      <c r="AG4" s="934"/>
      <c r="AH4" s="933" t="str">
        <f>AG6&amp;"/"</f>
        <v>3Q04/</v>
      </c>
      <c r="AI4" s="934"/>
      <c r="AJ4" s="933" t="str">
        <f>AI6&amp;"/"</f>
        <v>4Q04/</v>
      </c>
      <c r="AK4" s="934"/>
      <c r="AL4" s="933" t="str">
        <f>AK6&amp;"/"</f>
        <v>1Q05/</v>
      </c>
      <c r="AM4" s="934"/>
      <c r="AN4" s="933" t="str">
        <f>AM6&amp;"/"</f>
        <v>2Q05/</v>
      </c>
      <c r="AO4" s="934"/>
      <c r="AP4" s="933" t="str">
        <f>AO6&amp;"/"</f>
        <v>3Q05/</v>
      </c>
      <c r="AQ4" s="934"/>
      <c r="AR4" s="933" t="str">
        <f>AQ6&amp;"/"</f>
        <v>4Q05/</v>
      </c>
      <c r="AS4" s="934"/>
      <c r="AT4" s="935" t="str">
        <f>AS6&amp;"/"</f>
        <v>1Q06/</v>
      </c>
      <c r="AU4" s="936"/>
      <c r="AV4" s="935" t="str">
        <f>AU6&amp;"/"</f>
        <v>2Q06/</v>
      </c>
      <c r="AW4" s="936"/>
      <c r="AX4" s="935" t="str">
        <f>AW6&amp;"/"</f>
        <v>3Q06/</v>
      </c>
      <c r="AY4" s="936"/>
      <c r="AZ4" s="935" t="str">
        <f>AY6&amp;"/"</f>
        <v>4Q06/</v>
      </c>
      <c r="BA4" s="936"/>
      <c r="BB4" s="935" t="str">
        <f>BA6&amp;"/"</f>
        <v>1Q07/</v>
      </c>
      <c r="BD4" s="935" t="str">
        <f>BC6&amp;"/"</f>
        <v>2Q07/</v>
      </c>
      <c r="BE4" s="934"/>
      <c r="BF4" s="935" t="str">
        <f>BE6&amp;"/"</f>
        <v>3Q07/</v>
      </c>
      <c r="BG4" s="934"/>
      <c r="BH4" s="935" t="str">
        <f>BG6&amp;"/"</f>
        <v>4Q07/</v>
      </c>
      <c r="BI4" s="934"/>
      <c r="BJ4" s="935" t="str">
        <f>BI6&amp;"/"</f>
        <v>1Q08/</v>
      </c>
      <c r="BK4" s="934"/>
      <c r="BL4" s="935" t="str">
        <f>BK6&amp;"/"</f>
        <v>2Q08/</v>
      </c>
      <c r="BM4" s="934"/>
      <c r="BN4" s="935" t="str">
        <f>BM6&amp;"/"</f>
        <v>3Q08/</v>
      </c>
      <c r="BO4" s="934"/>
      <c r="BP4" s="935" t="str">
        <f>BO6&amp;"/"</f>
        <v>4Q08/</v>
      </c>
      <c r="BQ4" s="934"/>
      <c r="BR4" s="935" t="str">
        <f>BQ6&amp;"/"</f>
        <v>1Q09/</v>
      </c>
      <c r="BS4" s="934"/>
      <c r="BT4" s="935" t="str">
        <f>BS6&amp;"/"</f>
        <v>2Q09/</v>
      </c>
      <c r="BU4" s="934"/>
      <c r="BV4" s="935" t="str">
        <f>BU6&amp;"/"</f>
        <v>3Q09/</v>
      </c>
      <c r="BW4" s="934"/>
      <c r="BX4" s="935" t="str">
        <f>BW6&amp;"/"</f>
        <v>4Q09/</v>
      </c>
      <c r="BY4" s="934"/>
      <c r="BZ4" s="935" t="str">
        <f>BY6&amp;"/"</f>
        <v>1Q10/</v>
      </c>
      <c r="CA4" s="934"/>
      <c r="CB4" s="935" t="str">
        <f>CA6&amp;"/"</f>
        <v>2Q10/</v>
      </c>
      <c r="CC4" s="934"/>
      <c r="CD4" s="935" t="str">
        <f>CC6&amp;"/"</f>
        <v>3Q10/</v>
      </c>
      <c r="CE4" s="934"/>
      <c r="CF4" s="935"/>
      <c r="CG4" s="934"/>
      <c r="CH4" s="935" t="str">
        <f>CG6&amp;"/"</f>
        <v>1Q11/</v>
      </c>
      <c r="CI4" s="934"/>
      <c r="CJ4" s="935" t="str">
        <f>CI6&amp;"/"</f>
        <v>2Q11/</v>
      </c>
      <c r="CK4" s="934"/>
      <c r="CL4" s="935" t="str">
        <f>CK6&amp;"/"</f>
        <v>3Q11/</v>
      </c>
      <c r="CM4" s="934"/>
      <c r="CN4" s="935" t="str">
        <f>CM6&amp;"/"</f>
        <v>4Q11/</v>
      </c>
      <c r="CO4" s="937"/>
      <c r="CP4" s="938" t="str">
        <f>CO6&amp;"/"</f>
        <v>1Q12/</v>
      </c>
      <c r="CQ4" s="937"/>
      <c r="CR4" s="938" t="str">
        <f>CQ6&amp;"/"</f>
        <v>2Q12/</v>
      </c>
      <c r="CS4" s="937"/>
      <c r="CT4" s="938" t="str">
        <f>CS6&amp;"/"</f>
        <v>3Q12/</v>
      </c>
      <c r="CU4" s="937"/>
      <c r="CV4" s="938" t="str">
        <f>CU6&amp;"/"</f>
        <v>4Q12/</v>
      </c>
      <c r="CW4" s="937"/>
      <c r="CX4" s="938" t="str">
        <f>CW6&amp;"/"</f>
        <v>1Q13/</v>
      </c>
      <c r="CY4" s="937"/>
      <c r="CZ4" s="938" t="str">
        <f>CY6&amp;"/"</f>
        <v>2Q13/</v>
      </c>
      <c r="DA4" s="937"/>
      <c r="DB4" s="938" t="str">
        <f>DA6&amp;"/"</f>
        <v>3Q13/</v>
      </c>
      <c r="DC4" s="937"/>
      <c r="DD4" s="939" t="str">
        <f>DC6&amp;"/"</f>
        <v>4Q13/</v>
      </c>
      <c r="DE4" s="937"/>
      <c r="DF4" s="939" t="str">
        <f>DE6&amp;"/"</f>
        <v>1Q14/</v>
      </c>
      <c r="DG4" s="937"/>
      <c r="DH4" s="939" t="str">
        <f>DG6&amp;"/"</f>
        <v>2Q14/</v>
      </c>
      <c r="DI4" s="937"/>
      <c r="DJ4" s="939" t="str">
        <f>DI6&amp;"/"</f>
        <v>3Q14/</v>
      </c>
      <c r="DK4" s="937"/>
      <c r="DL4" s="939" t="str">
        <f>DK6&amp;"/"</f>
        <v>4Q14/</v>
      </c>
      <c r="DM4" s="937"/>
      <c r="DN4" s="939" t="str">
        <f>DM6&amp;"/"</f>
        <v>1Q15/</v>
      </c>
      <c r="DO4" s="937"/>
      <c r="DP4" s="939" t="str">
        <f>DO6&amp;"/"</f>
        <v>2Q15/</v>
      </c>
      <c r="DQ4" s="937"/>
      <c r="DR4" s="940" t="str">
        <f>DQ6&amp;"/"</f>
        <v>3Q15/</v>
      </c>
      <c r="DS4" s="937"/>
      <c r="DT4" s="940" t="str">
        <f>DS6&amp;"/"</f>
        <v>4Q15/</v>
      </c>
      <c r="DU4" s="937"/>
      <c r="DV4" s="940" t="str">
        <f>DU6&amp;"/"</f>
        <v>1Q16/</v>
      </c>
      <c r="DW4" s="937"/>
      <c r="DX4" s="940" t="str">
        <f>DW6&amp;"/"</f>
        <v>2Q16/</v>
      </c>
      <c r="DY4" s="937"/>
      <c r="DZ4" s="954" t="str">
        <f>DY6&amp;"/"</f>
        <v>3Q16/</v>
      </c>
      <c r="EA4" s="953"/>
      <c r="EB4" s="955" t="str">
        <f>EA6&amp;"/"</f>
        <v>4Q16/</v>
      </c>
      <c r="EC4" s="953"/>
      <c r="ED4" s="972" t="str">
        <f t="shared" ref="ED4" si="0">EC6&amp;"/"</f>
        <v>1Q17/</v>
      </c>
      <c r="EE4" s="953"/>
      <c r="EF4" s="972" t="str">
        <f t="shared" ref="EF4" si="1">EE6&amp;"/"</f>
        <v>2Q17/</v>
      </c>
      <c r="EG4" s="971"/>
      <c r="EH4" s="972" t="str">
        <f t="shared" ref="EH4" si="2">EG6&amp;"/"</f>
        <v>3Q17/</v>
      </c>
      <c r="EI4" s="971"/>
      <c r="EJ4" s="955" t="str">
        <f t="shared" ref="EJ4" si="3">EI6&amp;"/"</f>
        <v>4Q17/</v>
      </c>
      <c r="EK4" s="971"/>
      <c r="EL4" s="955" t="str">
        <f t="shared" ref="EL4" si="4">EK6&amp;"/"</f>
        <v>1Q18E/</v>
      </c>
      <c r="EM4" s="971"/>
      <c r="EN4" s="955" t="str">
        <f t="shared" ref="EN4" si="5">EM6&amp;"/"</f>
        <v>2Q18E/</v>
      </c>
      <c r="EO4" s="971"/>
      <c r="EP4" s="955" t="str">
        <f t="shared" ref="EP4" si="6">EO6&amp;"/"</f>
        <v>3Q18E/</v>
      </c>
      <c r="EQ4" s="971"/>
      <c r="ER4" s="955" t="str">
        <f t="shared" ref="ER4" si="7">EQ6&amp;"/"</f>
        <v>4Q18E/</v>
      </c>
      <c r="ES4" s="956"/>
      <c r="ET4" s="957"/>
      <c r="EU4" s="956"/>
      <c r="EV4" s="956"/>
      <c r="EW4" s="958"/>
      <c r="EX4" s="956"/>
      <c r="EY4" s="958" t="str">
        <f>EX6&amp;"/"</f>
        <v>1999/</v>
      </c>
      <c r="EZ4" s="956"/>
      <c r="FA4" s="958" t="str">
        <f>EZ6&amp;"/"</f>
        <v>2000/</v>
      </c>
      <c r="FB4" s="959"/>
      <c r="FC4" s="958" t="str">
        <f>FB6&amp;"/"</f>
        <v>2001/</v>
      </c>
      <c r="FD4" s="959"/>
      <c r="FE4" s="958" t="str">
        <f>+FD6&amp;"/"</f>
        <v>2002/</v>
      </c>
      <c r="FF4" s="959"/>
      <c r="FG4" s="958" t="str">
        <f>+FF6&amp;"/"</f>
        <v>2003/</v>
      </c>
      <c r="FH4" s="959"/>
      <c r="FI4" s="958" t="str">
        <f>+FH6&amp;"/"</f>
        <v>2004/</v>
      </c>
      <c r="FJ4" s="959"/>
      <c r="FK4" s="958" t="str">
        <f>+FJ6&amp;"/"</f>
        <v>2005/</v>
      </c>
      <c r="FL4" s="960"/>
      <c r="FM4" s="958" t="str">
        <f>+FL6&amp;"/"</f>
        <v>2006/</v>
      </c>
      <c r="FN4" s="959"/>
      <c r="FO4" s="958" t="str">
        <f>+FN6&amp;"/"</f>
        <v>2007/</v>
      </c>
      <c r="FP4" s="959"/>
      <c r="FQ4" s="958" t="str">
        <f>+FP6&amp;"/"</f>
        <v>2008/</v>
      </c>
      <c r="FR4" s="959"/>
      <c r="FS4" s="958" t="str">
        <f>+FR6&amp;"/"</f>
        <v>2009/</v>
      </c>
      <c r="FT4" s="959"/>
      <c r="FU4" s="958" t="str">
        <f>+FT6&amp;"/"</f>
        <v>2010/</v>
      </c>
      <c r="FV4" s="959"/>
      <c r="FW4" s="958" t="str">
        <f>+FV6&amp;"/"</f>
        <v>2011/</v>
      </c>
      <c r="FX4" s="961"/>
      <c r="FY4" s="958" t="str">
        <f>+FX6&amp;"/"</f>
        <v>2012/</v>
      </c>
      <c r="FZ4" s="961"/>
      <c r="GA4" s="962" t="str">
        <f>+FZ6&amp;"/"</f>
        <v>2013/</v>
      </c>
      <c r="GB4" s="961"/>
      <c r="GC4" s="962" t="str">
        <f>+GB6&amp;"/"</f>
        <v>2014/</v>
      </c>
      <c r="GD4" s="953"/>
      <c r="GE4" s="955" t="str">
        <f>GD6&amp;"/"</f>
        <v>2015/</v>
      </c>
      <c r="GF4" s="953"/>
      <c r="GG4" s="955" t="str">
        <f>GF6&amp;"/"</f>
        <v>2016/</v>
      </c>
      <c r="GH4" s="971"/>
      <c r="GI4" s="972" t="str">
        <f>GH6&amp;"/"</f>
        <v>2017/</v>
      </c>
      <c r="GJ4" s="971"/>
      <c r="GK4" s="972" t="str">
        <f>GJ6&amp;"/"</f>
        <v>2018E/</v>
      </c>
      <c r="GL4" s="971"/>
      <c r="GM4" s="972" t="str">
        <f>GL6&amp;"/"</f>
        <v>2019E/</v>
      </c>
      <c r="GN4" s="941"/>
      <c r="GO4" s="955" t="str">
        <f>GN6&amp;"/"</f>
        <v>2020E/</v>
      </c>
      <c r="GP4" s="977"/>
      <c r="GQ4" s="955" t="str">
        <f>GP6&amp;"/"</f>
        <v>2021E/</v>
      </c>
      <c r="GR4" s="941"/>
      <c r="GS4" s="955" t="str">
        <f>GR6&amp;"/"</f>
        <v>2022E/</v>
      </c>
      <c r="GT4" s="933"/>
      <c r="GU4" s="925"/>
      <c r="GV4" s="925"/>
      <c r="GW4"/>
      <c r="GX4"/>
      <c r="GY4"/>
      <c r="GZ4"/>
      <c r="HA4"/>
      <c r="HB4"/>
      <c r="HC4" s="925"/>
      <c r="HD4" s="925"/>
      <c r="HE4" s="925"/>
      <c r="HF4" s="925"/>
      <c r="HG4" s="925"/>
      <c r="HH4" s="925"/>
      <c r="HI4" s="925"/>
      <c r="HJ4" s="925"/>
      <c r="HK4" s="925"/>
      <c r="HL4" s="925"/>
      <c r="HM4" s="925"/>
      <c r="HN4" s="925"/>
      <c r="HO4" s="925"/>
      <c r="HP4" s="925"/>
      <c r="HQ4" s="925"/>
      <c r="HR4" s="925"/>
      <c r="HS4" s="925"/>
      <c r="HT4" s="925"/>
      <c r="HU4" s="925"/>
      <c r="HV4" s="925"/>
      <c r="HW4" s="925"/>
      <c r="HX4" s="925"/>
      <c r="HY4" s="925"/>
      <c r="HZ4" s="925"/>
      <c r="IA4" s="925"/>
      <c r="IB4" s="925"/>
      <c r="IC4" s="925"/>
      <c r="ID4" s="925"/>
      <c r="IE4" s="925"/>
      <c r="IF4" s="925"/>
      <c r="IG4" s="925"/>
      <c r="IH4" s="925"/>
      <c r="II4" s="925"/>
      <c r="IJ4" s="925"/>
      <c r="IK4" s="925"/>
      <c r="IL4" s="925"/>
      <c r="IM4" s="925"/>
      <c r="IN4" s="925"/>
      <c r="IO4" s="925"/>
      <c r="IP4" s="925"/>
      <c r="IQ4" s="925"/>
      <c r="IR4" s="925"/>
      <c r="IS4" s="925"/>
      <c r="IT4" s="925"/>
      <c r="IU4" s="925"/>
      <c r="IV4" s="925"/>
      <c r="IW4" s="925"/>
      <c r="IX4" s="925"/>
      <c r="IY4" s="925"/>
      <c r="IZ4" s="925"/>
      <c r="JA4" s="925"/>
      <c r="JB4" s="925"/>
      <c r="JC4" s="925"/>
      <c r="JD4" s="925"/>
      <c r="JE4" s="925"/>
      <c r="JF4" s="925"/>
      <c r="JG4" s="925"/>
      <c r="JH4" s="925"/>
      <c r="JI4" s="925"/>
      <c r="JJ4" s="925"/>
      <c r="JK4" s="925"/>
      <c r="JL4" s="925"/>
      <c r="JM4" s="925"/>
      <c r="JN4" s="925"/>
      <c r="JO4" s="925"/>
      <c r="JP4" s="925"/>
      <c r="JQ4" s="925"/>
      <c r="JR4" s="925"/>
      <c r="JS4" s="925"/>
      <c r="JT4" s="925"/>
      <c r="JU4" s="925"/>
      <c r="JV4" s="925"/>
      <c r="JW4" s="925"/>
      <c r="JX4" s="925"/>
      <c r="JY4" s="925"/>
      <c r="JZ4" s="925"/>
    </row>
    <row r="5" spans="1:286" ht="12.75" customHeight="1" x14ac:dyDescent="0.2">
      <c r="A5" s="1"/>
      <c r="B5" s="1029"/>
      <c r="C5" s="5"/>
      <c r="D5" s="5"/>
      <c r="E5" s="15"/>
      <c r="F5" s="15"/>
      <c r="G5" s="15"/>
      <c r="H5" s="15"/>
      <c r="I5" s="15"/>
      <c r="J5" s="15"/>
      <c r="K5" s="15"/>
      <c r="L5" s="15"/>
      <c r="M5" s="15"/>
      <c r="N5" s="5" t="str">
        <f>E6</f>
        <v>1Q01</v>
      </c>
      <c r="O5" s="15"/>
      <c r="P5" s="5" t="str">
        <f>G6</f>
        <v>2Q01</v>
      </c>
      <c r="Q5" s="15"/>
      <c r="R5" s="5" t="str">
        <f>I6</f>
        <v>3Q01</v>
      </c>
      <c r="S5" s="15"/>
      <c r="T5" s="5" t="str">
        <f>K6</f>
        <v>4Q01</v>
      </c>
      <c r="U5" s="21"/>
      <c r="V5" s="5" t="str">
        <f>M6</f>
        <v>1Q02</v>
      </c>
      <c r="W5" s="15"/>
      <c r="X5" s="5" t="str">
        <f>O6</f>
        <v>2Q02</v>
      </c>
      <c r="Y5" s="15"/>
      <c r="Z5" s="5" t="str">
        <f>Q6</f>
        <v>3Q02</v>
      </c>
      <c r="AA5" s="22"/>
      <c r="AB5" s="5" t="str">
        <f>S6</f>
        <v>4Q02</v>
      </c>
      <c r="AC5" s="21"/>
      <c r="AD5" s="5" t="str">
        <f>U6</f>
        <v>1Q03</v>
      </c>
      <c r="AE5" s="23"/>
      <c r="AF5" s="5" t="str">
        <f>W6</f>
        <v>2Q03</v>
      </c>
      <c r="AG5" s="23"/>
      <c r="AH5" s="5" t="str">
        <f>Y6</f>
        <v>3Q03</v>
      </c>
      <c r="AI5" s="23"/>
      <c r="AJ5" s="5" t="str">
        <f>AA6</f>
        <v>4Q03</v>
      </c>
      <c r="AK5" s="23"/>
      <c r="AL5" s="5" t="str">
        <f>AC6</f>
        <v>1Q04</v>
      </c>
      <c r="AM5" s="23"/>
      <c r="AN5" s="5" t="str">
        <f>AE6</f>
        <v>2Q04</v>
      </c>
      <c r="AO5" s="23"/>
      <c r="AP5" s="5" t="str">
        <f>AG6</f>
        <v>3Q04</v>
      </c>
      <c r="AQ5" s="23"/>
      <c r="AR5" s="5" t="str">
        <f>AI6</f>
        <v>4Q04</v>
      </c>
      <c r="AS5" s="23"/>
      <c r="AT5" s="18" t="str">
        <f>AK6</f>
        <v>1Q05</v>
      </c>
      <c r="AU5" s="23"/>
      <c r="AV5" s="18" t="str">
        <f>AM6</f>
        <v>2Q05</v>
      </c>
      <c r="AW5" s="23"/>
      <c r="AX5" s="18" t="str">
        <f>AO6</f>
        <v>3Q05</v>
      </c>
      <c r="AY5" s="23"/>
      <c r="AZ5" s="18" t="str">
        <f>AQ6</f>
        <v>4Q05</v>
      </c>
      <c r="BA5" s="23"/>
      <c r="BB5" s="18" t="str">
        <f>AS6</f>
        <v>1Q06</v>
      </c>
      <c r="BC5" s="23"/>
      <c r="BD5" s="18" t="str">
        <f>AU6</f>
        <v>2Q06</v>
      </c>
      <c r="BE5" s="23"/>
      <c r="BF5" s="18" t="str">
        <f>AW6</f>
        <v>3Q06</v>
      </c>
      <c r="BG5" s="23"/>
      <c r="BH5" s="18" t="str">
        <f>AY6</f>
        <v>4Q06</v>
      </c>
      <c r="BI5" s="23"/>
      <c r="BJ5" s="18" t="str">
        <f>BA6</f>
        <v>1Q07</v>
      </c>
      <c r="BK5" s="23"/>
      <c r="BL5" s="18" t="str">
        <f>BC6</f>
        <v>2Q07</v>
      </c>
      <c r="BM5" s="23"/>
      <c r="BN5" s="18" t="str">
        <f>BE6</f>
        <v>3Q07</v>
      </c>
      <c r="BO5" s="23"/>
      <c r="BP5" s="18" t="str">
        <f>BG6</f>
        <v>4Q07</v>
      </c>
      <c r="BQ5" s="23"/>
      <c r="BR5" s="18" t="str">
        <f>BI6</f>
        <v>1Q08</v>
      </c>
      <c r="BS5" s="23"/>
      <c r="BT5" s="18" t="str">
        <f>BK6</f>
        <v>2Q08</v>
      </c>
      <c r="BU5" s="23"/>
      <c r="BV5" s="18" t="str">
        <f>BM6</f>
        <v>3Q08</v>
      </c>
      <c r="BW5" s="23"/>
      <c r="BX5" s="18" t="str">
        <f>BO6</f>
        <v>4Q08</v>
      </c>
      <c r="BY5" s="23"/>
      <c r="BZ5" s="18" t="str">
        <f>BQ6</f>
        <v>1Q09</v>
      </c>
      <c r="CA5" s="23"/>
      <c r="CB5" s="18" t="str">
        <f>BS6</f>
        <v>2Q09</v>
      </c>
      <c r="CC5" s="23"/>
      <c r="CD5" s="18" t="str">
        <f>BU6</f>
        <v>3Q09</v>
      </c>
      <c r="CE5" s="23"/>
      <c r="CF5" s="18" t="str">
        <f>BW6</f>
        <v>4Q09</v>
      </c>
      <c r="CG5" s="23"/>
      <c r="CH5" s="18" t="str">
        <f>BY6</f>
        <v>1Q10</v>
      </c>
      <c r="CI5" s="23"/>
      <c r="CJ5" s="18" t="str">
        <f>CA6</f>
        <v>2Q10</v>
      </c>
      <c r="CK5" s="23"/>
      <c r="CL5" s="18" t="str">
        <f>CC6</f>
        <v>3Q10</v>
      </c>
      <c r="CM5" s="23"/>
      <c r="CN5" s="18" t="str">
        <f>CE6</f>
        <v>4Q10</v>
      </c>
      <c r="CO5" s="23"/>
      <c r="CP5" s="18" t="str">
        <f>CG6</f>
        <v>1Q11</v>
      </c>
      <c r="CQ5" s="23"/>
      <c r="CR5" s="18" t="str">
        <f>CI6</f>
        <v>2Q11</v>
      </c>
      <c r="CS5" s="23"/>
      <c r="CT5" s="18" t="str">
        <f>CK6</f>
        <v>3Q11</v>
      </c>
      <c r="CU5" s="23"/>
      <c r="CV5" s="18" t="str">
        <f>CM6</f>
        <v>4Q11</v>
      </c>
      <c r="CW5" s="892" t="s">
        <v>576</v>
      </c>
      <c r="CX5" s="18" t="str">
        <f>CO6</f>
        <v>1Q12</v>
      </c>
      <c r="CY5" s="23"/>
      <c r="CZ5" s="18" t="str">
        <f>CQ6</f>
        <v>2Q12</v>
      </c>
      <c r="DA5" s="23"/>
      <c r="DB5" s="18" t="str">
        <f>CS6</f>
        <v>3Q12</v>
      </c>
      <c r="DC5" s="23"/>
      <c r="DD5" s="18" t="str">
        <f>CU6</f>
        <v>4Q12</v>
      </c>
      <c r="DE5" s="23"/>
      <c r="DF5" s="18" t="str">
        <f>CW6</f>
        <v>1Q13</v>
      </c>
      <c r="DG5" s="16"/>
      <c r="DH5" s="18" t="str">
        <f>CY6</f>
        <v>2Q13</v>
      </c>
      <c r="DI5" s="16"/>
      <c r="DJ5" s="18" t="str">
        <f>DA6</f>
        <v>3Q13</v>
      </c>
      <c r="DK5" s="16"/>
      <c r="DL5" s="18" t="str">
        <f>DC6</f>
        <v>4Q13</v>
      </c>
      <c r="DM5" s="16"/>
      <c r="DN5" s="18" t="str">
        <f>DE6</f>
        <v>1Q14</v>
      </c>
      <c r="DO5" s="16"/>
      <c r="DP5" s="18" t="str">
        <f>DG6</f>
        <v>2Q14</v>
      </c>
      <c r="DQ5" s="16"/>
      <c r="DR5" s="18" t="str">
        <f>DI6</f>
        <v>3Q14</v>
      </c>
      <c r="DS5" s="16"/>
      <c r="DT5" s="18" t="str">
        <f>DK6</f>
        <v>4Q14</v>
      </c>
      <c r="DU5" s="16"/>
      <c r="DV5" s="18" t="str">
        <f>DM6</f>
        <v>1Q15</v>
      </c>
      <c r="DW5" s="16"/>
      <c r="DX5" s="18" t="str">
        <f>DO6</f>
        <v>2Q15</v>
      </c>
      <c r="DY5" s="16"/>
      <c r="DZ5" s="18" t="str">
        <f>DQ6</f>
        <v>3Q15</v>
      </c>
      <c r="EA5" s="16"/>
      <c r="EB5" s="18" t="str">
        <f>DS6</f>
        <v>4Q15</v>
      </c>
      <c r="EC5" s="16"/>
      <c r="ED5" s="18" t="str">
        <f t="shared" ref="ED5" si="8">DU6</f>
        <v>1Q16</v>
      </c>
      <c r="EE5" s="16"/>
      <c r="EF5" s="18" t="str">
        <f t="shared" ref="EF5" si="9">DW6</f>
        <v>2Q16</v>
      </c>
      <c r="EG5" s="16"/>
      <c r="EH5" s="18" t="str">
        <f t="shared" ref="EH5" si="10">DY6</f>
        <v>3Q16</v>
      </c>
      <c r="EI5" s="16"/>
      <c r="EJ5" s="18" t="str">
        <f t="shared" ref="EJ5" si="11">EA6</f>
        <v>4Q16</v>
      </c>
      <c r="EK5" s="16"/>
      <c r="EL5" s="18" t="str">
        <f t="shared" ref="EL5" si="12">EC6</f>
        <v>1Q17</v>
      </c>
      <c r="EM5" s="16"/>
      <c r="EN5" s="18" t="str">
        <f t="shared" ref="EN5" si="13">EE6</f>
        <v>2Q17</v>
      </c>
      <c r="EO5" s="16"/>
      <c r="EP5" s="18" t="str">
        <f t="shared" ref="EP5" si="14">EG6</f>
        <v>3Q17</v>
      </c>
      <c r="EQ5" s="16"/>
      <c r="ER5" s="18" t="str">
        <f t="shared" ref="ER5" si="15">EI6</f>
        <v>4Q17</v>
      </c>
      <c r="ES5" s="4"/>
      <c r="ET5" s="460"/>
      <c r="EU5" s="4"/>
      <c r="EV5" s="4"/>
      <c r="EW5" s="5"/>
      <c r="EX5" s="4"/>
      <c r="EY5" s="5" t="str">
        <f>EV6</f>
        <v>1998</v>
      </c>
      <c r="EZ5" s="4"/>
      <c r="FA5" s="5" t="str">
        <f>EX6</f>
        <v>1999</v>
      </c>
      <c r="FB5" s="23"/>
      <c r="FC5" s="5" t="str">
        <f>EZ6</f>
        <v>2000</v>
      </c>
      <c r="FD5" s="23"/>
      <c r="FE5" s="5" t="str">
        <f>FB6</f>
        <v>2001</v>
      </c>
      <c r="FF5" s="23"/>
      <c r="FG5" s="5" t="str">
        <f>FD6</f>
        <v>2002</v>
      </c>
      <c r="FH5" s="23"/>
      <c r="FI5" s="5" t="str">
        <f>FF6</f>
        <v>2003</v>
      </c>
      <c r="FJ5" s="23"/>
      <c r="FK5" s="5" t="str">
        <f>FH6</f>
        <v>2004</v>
      </c>
      <c r="FL5" s="23">
        <f>FL637</f>
        <v>1.83</v>
      </c>
      <c r="FM5" s="5" t="str">
        <f>FJ6</f>
        <v>2005</v>
      </c>
      <c r="FN5" s="23">
        <f>FN637</f>
        <v>2.21</v>
      </c>
      <c r="FO5" s="5">
        <f>FL6</f>
        <v>2006</v>
      </c>
      <c r="FP5" s="23">
        <f>FP637</f>
        <v>2.5099999999999998</v>
      </c>
      <c r="FQ5" s="5">
        <f>FN6</f>
        <v>2007</v>
      </c>
      <c r="FR5" s="23">
        <f>FR637</f>
        <v>2.59</v>
      </c>
      <c r="FS5" s="5">
        <f>FP6</f>
        <v>2008</v>
      </c>
      <c r="FT5" s="23">
        <f>FT495</f>
        <v>2.732884478973888</v>
      </c>
      <c r="FU5" s="5" t="str">
        <f>FR6</f>
        <v>2009</v>
      </c>
      <c r="FV5" s="23"/>
      <c r="FW5" s="5" t="str">
        <f>FT6</f>
        <v>2010</v>
      </c>
      <c r="FX5" s="892" t="s">
        <v>576</v>
      </c>
      <c r="FY5" s="5" t="str">
        <f>FV6</f>
        <v>2011</v>
      </c>
      <c r="FZ5" s="23"/>
      <c r="GA5" s="5" t="str">
        <f>FX6</f>
        <v>2012</v>
      </c>
      <c r="GB5" s="182"/>
      <c r="GC5" s="5" t="str">
        <f>FZ6</f>
        <v>2013</v>
      </c>
      <c r="GD5" s="16"/>
      <c r="GE5" s="5" t="str">
        <f>GB6</f>
        <v>2014</v>
      </c>
      <c r="GF5" s="454"/>
      <c r="GG5" s="5" t="str">
        <f>GD6</f>
        <v>2015</v>
      </c>
      <c r="GH5" s="975"/>
      <c r="GI5" s="5" t="str">
        <f>GF6</f>
        <v>2016</v>
      </c>
      <c r="GJ5" s="975"/>
      <c r="GK5" s="5" t="str">
        <f>GH6</f>
        <v>2017</v>
      </c>
      <c r="GL5" s="16"/>
      <c r="GM5" s="5" t="str">
        <f>GJ6</f>
        <v>2018E</v>
      </c>
      <c r="GN5" s="16"/>
      <c r="GO5" s="5" t="str">
        <f>GL6</f>
        <v>2019E</v>
      </c>
      <c r="GP5" s="16"/>
      <c r="GQ5" s="5" t="str">
        <f>GN6</f>
        <v>2020E</v>
      </c>
      <c r="GR5" s="16"/>
      <c r="GS5" s="5" t="str">
        <f>GP6</f>
        <v>2021E</v>
      </c>
      <c r="GT5" s="5" t="s">
        <v>46</v>
      </c>
    </row>
    <row r="6" spans="1:286" s="24" customFormat="1" ht="12.75" customHeight="1" x14ac:dyDescent="0.2">
      <c r="A6" s="590" t="s">
        <v>496</v>
      </c>
      <c r="B6" s="601">
        <v>1</v>
      </c>
      <c r="C6" s="25"/>
      <c r="D6" s="25"/>
      <c r="E6" s="26" t="s">
        <v>482</v>
      </c>
      <c r="F6" s="26"/>
      <c r="G6" s="26" t="s">
        <v>327</v>
      </c>
      <c r="H6" s="26"/>
      <c r="I6" s="26" t="s">
        <v>484</v>
      </c>
      <c r="J6" s="26"/>
      <c r="K6" s="27" t="s">
        <v>253</v>
      </c>
      <c r="L6" s="27"/>
      <c r="M6" s="26" t="s">
        <v>255</v>
      </c>
      <c r="N6" s="25" t="s">
        <v>464</v>
      </c>
      <c r="O6" s="26" t="s">
        <v>320</v>
      </c>
      <c r="P6" s="25" t="s">
        <v>464</v>
      </c>
      <c r="Q6" s="26" t="s">
        <v>116</v>
      </c>
      <c r="R6" s="25" t="s">
        <v>464</v>
      </c>
      <c r="S6" s="26" t="s">
        <v>117</v>
      </c>
      <c r="T6" s="25" t="s">
        <v>464</v>
      </c>
      <c r="U6" s="26" t="s">
        <v>130</v>
      </c>
      <c r="V6" s="25" t="s">
        <v>464</v>
      </c>
      <c r="W6" s="26" t="s">
        <v>170</v>
      </c>
      <c r="X6" s="25" t="s">
        <v>464</v>
      </c>
      <c r="Y6" s="26" t="s">
        <v>171</v>
      </c>
      <c r="Z6" s="25" t="s">
        <v>464</v>
      </c>
      <c r="AA6" s="28" t="s">
        <v>172</v>
      </c>
      <c r="AB6" s="25" t="s">
        <v>464</v>
      </c>
      <c r="AC6" s="26" t="s">
        <v>421</v>
      </c>
      <c r="AD6" s="25" t="s">
        <v>464</v>
      </c>
      <c r="AE6" s="29" t="s">
        <v>422</v>
      </c>
      <c r="AF6" s="25" t="s">
        <v>464</v>
      </c>
      <c r="AG6" s="29" t="s">
        <v>423</v>
      </c>
      <c r="AH6" s="25" t="s">
        <v>464</v>
      </c>
      <c r="AI6" s="29" t="s">
        <v>88</v>
      </c>
      <c r="AJ6" s="25" t="s">
        <v>464</v>
      </c>
      <c r="AK6" s="29" t="s">
        <v>379</v>
      </c>
      <c r="AL6" s="25" t="s">
        <v>464</v>
      </c>
      <c r="AM6" s="29" t="s">
        <v>380</v>
      </c>
      <c r="AN6" s="25" t="s">
        <v>464</v>
      </c>
      <c r="AO6" s="29" t="s">
        <v>381</v>
      </c>
      <c r="AP6" s="25" t="s">
        <v>464</v>
      </c>
      <c r="AQ6" s="29" t="s">
        <v>382</v>
      </c>
      <c r="AR6" s="25" t="s">
        <v>464</v>
      </c>
      <c r="AS6" s="29" t="s">
        <v>460</v>
      </c>
      <c r="AT6" s="30" t="s">
        <v>464</v>
      </c>
      <c r="AU6" s="29" t="s">
        <v>461</v>
      </c>
      <c r="AV6" s="30" t="s">
        <v>464</v>
      </c>
      <c r="AW6" s="29" t="s">
        <v>462</v>
      </c>
      <c r="AX6" s="30" t="s">
        <v>464</v>
      </c>
      <c r="AY6" s="29" t="s">
        <v>463</v>
      </c>
      <c r="AZ6" s="30" t="s">
        <v>464</v>
      </c>
      <c r="BA6" s="31" t="s">
        <v>439</v>
      </c>
      <c r="BB6" s="30" t="s">
        <v>464</v>
      </c>
      <c r="BC6" s="31" t="s">
        <v>440</v>
      </c>
      <c r="BD6" s="30" t="s">
        <v>464</v>
      </c>
      <c r="BE6" s="31" t="s">
        <v>441</v>
      </c>
      <c r="BF6" s="30" t="s">
        <v>464</v>
      </c>
      <c r="BG6" s="31" t="s">
        <v>32</v>
      </c>
      <c r="BH6" s="30" t="s">
        <v>464</v>
      </c>
      <c r="BI6" s="31" t="s">
        <v>201</v>
      </c>
      <c r="BJ6" s="30" t="s">
        <v>464</v>
      </c>
      <c r="BK6" s="31" t="s">
        <v>233</v>
      </c>
      <c r="BL6" s="30" t="s">
        <v>464</v>
      </c>
      <c r="BM6" s="31" t="s">
        <v>234</v>
      </c>
      <c r="BN6" s="30" t="s">
        <v>464</v>
      </c>
      <c r="BO6" s="29" t="s">
        <v>235</v>
      </c>
      <c r="BP6" s="30" t="s">
        <v>464</v>
      </c>
      <c r="BQ6" s="579" t="s">
        <v>508</v>
      </c>
      <c r="BR6" s="30" t="s">
        <v>464</v>
      </c>
      <c r="BS6" s="579" t="s">
        <v>509</v>
      </c>
      <c r="BT6" s="30" t="s">
        <v>464</v>
      </c>
      <c r="BU6" s="579" t="s">
        <v>436</v>
      </c>
      <c r="BV6" s="30" t="s">
        <v>464</v>
      </c>
      <c r="BW6" s="579" t="s">
        <v>437</v>
      </c>
      <c r="BX6" s="30" t="s">
        <v>464</v>
      </c>
      <c r="BY6" s="579" t="s">
        <v>417</v>
      </c>
      <c r="BZ6" s="30" t="s">
        <v>464</v>
      </c>
      <c r="CA6" s="579" t="s">
        <v>418</v>
      </c>
      <c r="CB6" s="30" t="s">
        <v>464</v>
      </c>
      <c r="CC6" s="579" t="s">
        <v>419</v>
      </c>
      <c r="CD6" s="30" t="s">
        <v>464</v>
      </c>
      <c r="CE6" s="579" t="s">
        <v>420</v>
      </c>
      <c r="CF6" s="30" t="s">
        <v>464</v>
      </c>
      <c r="CG6" s="579" t="s">
        <v>82</v>
      </c>
      <c r="CH6" s="30" t="s">
        <v>464</v>
      </c>
      <c r="CI6" s="579" t="s">
        <v>83</v>
      </c>
      <c r="CJ6" s="30" t="s">
        <v>464</v>
      </c>
      <c r="CK6" s="579" t="s">
        <v>84</v>
      </c>
      <c r="CL6" s="30" t="s">
        <v>464</v>
      </c>
      <c r="CM6" s="579" t="s">
        <v>85</v>
      </c>
      <c r="CN6" s="30" t="s">
        <v>464</v>
      </c>
      <c r="CO6" s="579" t="s">
        <v>399</v>
      </c>
      <c r="CP6" s="591" t="s">
        <v>464</v>
      </c>
      <c r="CQ6" s="579" t="s">
        <v>400</v>
      </c>
      <c r="CR6" s="591" t="s">
        <v>464</v>
      </c>
      <c r="CS6" s="579" t="s">
        <v>401</v>
      </c>
      <c r="CT6" s="591" t="s">
        <v>464</v>
      </c>
      <c r="CU6" s="579" t="s">
        <v>402</v>
      </c>
      <c r="CV6" s="32" t="s">
        <v>464</v>
      </c>
      <c r="CW6" s="579" t="s">
        <v>534</v>
      </c>
      <c r="CX6" s="32" t="s">
        <v>464</v>
      </c>
      <c r="CY6" s="579" t="s">
        <v>535</v>
      </c>
      <c r="CZ6" s="32" t="s">
        <v>464</v>
      </c>
      <c r="DA6" s="579" t="s">
        <v>536</v>
      </c>
      <c r="DB6" s="32" t="s">
        <v>464</v>
      </c>
      <c r="DC6" s="579" t="s">
        <v>537</v>
      </c>
      <c r="DD6" s="32" t="s">
        <v>464</v>
      </c>
      <c r="DE6" s="579" t="s">
        <v>521</v>
      </c>
      <c r="DF6" s="32" t="s">
        <v>464</v>
      </c>
      <c r="DG6" s="579" t="s">
        <v>522</v>
      </c>
      <c r="DH6" s="32" t="s">
        <v>464</v>
      </c>
      <c r="DI6" s="579" t="s">
        <v>523</v>
      </c>
      <c r="DJ6" s="32" t="s">
        <v>464</v>
      </c>
      <c r="DK6" s="579" t="s">
        <v>524</v>
      </c>
      <c r="DL6" s="32" t="s">
        <v>464</v>
      </c>
      <c r="DM6" s="576" t="s">
        <v>548</v>
      </c>
      <c r="DN6" s="32" t="s">
        <v>464</v>
      </c>
      <c r="DO6" s="576" t="s">
        <v>549</v>
      </c>
      <c r="DP6" s="32" t="s">
        <v>464</v>
      </c>
      <c r="DQ6" s="576" t="s">
        <v>550</v>
      </c>
      <c r="DR6" s="32" t="s">
        <v>464</v>
      </c>
      <c r="DS6" s="576" t="s">
        <v>551</v>
      </c>
      <c r="DT6" s="32" t="s">
        <v>464</v>
      </c>
      <c r="DU6" s="576" t="s">
        <v>581</v>
      </c>
      <c r="DV6" s="32" t="s">
        <v>464</v>
      </c>
      <c r="DW6" s="576" t="s">
        <v>582</v>
      </c>
      <c r="DX6" s="32" t="s">
        <v>464</v>
      </c>
      <c r="DY6" s="576" t="s">
        <v>583</v>
      </c>
      <c r="DZ6" s="32" t="s">
        <v>464</v>
      </c>
      <c r="EA6" s="576" t="s">
        <v>584</v>
      </c>
      <c r="EB6" s="32" t="s">
        <v>464</v>
      </c>
      <c r="EC6" s="576" t="s">
        <v>612</v>
      </c>
      <c r="ED6" s="32" t="s">
        <v>464</v>
      </c>
      <c r="EE6" s="576" t="s">
        <v>613</v>
      </c>
      <c r="EF6" s="32" t="s">
        <v>464</v>
      </c>
      <c r="EG6" s="576" t="s">
        <v>614</v>
      </c>
      <c r="EH6" s="32" t="s">
        <v>464</v>
      </c>
      <c r="EI6" s="576" t="s">
        <v>615</v>
      </c>
      <c r="EJ6" s="32" t="s">
        <v>464</v>
      </c>
      <c r="EK6" s="576" t="s">
        <v>625</v>
      </c>
      <c r="EL6" s="32" t="s">
        <v>464</v>
      </c>
      <c r="EM6" s="576" t="s">
        <v>627</v>
      </c>
      <c r="EN6" s="32" t="s">
        <v>464</v>
      </c>
      <c r="EO6" s="576" t="s">
        <v>629</v>
      </c>
      <c r="EP6" s="32" t="s">
        <v>464</v>
      </c>
      <c r="EQ6" s="576" t="s">
        <v>623</v>
      </c>
      <c r="ER6" s="32" t="s">
        <v>464</v>
      </c>
      <c r="ES6" s="31"/>
      <c r="ET6" s="461"/>
      <c r="EU6" s="31"/>
      <c r="EV6" s="26" t="s">
        <v>94</v>
      </c>
      <c r="EW6" s="25"/>
      <c r="EX6" s="26" t="s">
        <v>95</v>
      </c>
      <c r="EY6" s="25" t="s">
        <v>464</v>
      </c>
      <c r="EZ6" s="26" t="s">
        <v>96</v>
      </c>
      <c r="FA6" s="25" t="s">
        <v>464</v>
      </c>
      <c r="FB6" s="26" t="s">
        <v>254</v>
      </c>
      <c r="FC6" s="25" t="s">
        <v>464</v>
      </c>
      <c r="FD6" s="26" t="s">
        <v>118</v>
      </c>
      <c r="FE6" s="25" t="s">
        <v>464</v>
      </c>
      <c r="FF6" s="26" t="s">
        <v>164</v>
      </c>
      <c r="FG6" s="25" t="s">
        <v>464</v>
      </c>
      <c r="FH6" s="26" t="s">
        <v>268</v>
      </c>
      <c r="FI6" s="25" t="s">
        <v>464</v>
      </c>
      <c r="FJ6" s="26" t="s">
        <v>486</v>
      </c>
      <c r="FK6" s="25" t="s">
        <v>464</v>
      </c>
      <c r="FL6" s="33">
        <v>2006</v>
      </c>
      <c r="FM6" s="25" t="s">
        <v>464</v>
      </c>
      <c r="FN6" s="33">
        <v>2007</v>
      </c>
      <c r="FO6" s="25" t="s">
        <v>464</v>
      </c>
      <c r="FP6" s="33">
        <v>2008</v>
      </c>
      <c r="FQ6" s="25" t="s">
        <v>464</v>
      </c>
      <c r="FR6" s="26" t="s">
        <v>145</v>
      </c>
      <c r="FS6" s="25" t="s">
        <v>464</v>
      </c>
      <c r="FT6" s="26" t="s">
        <v>475</v>
      </c>
      <c r="FU6" s="25" t="s">
        <v>464</v>
      </c>
      <c r="FV6" s="577" t="s">
        <v>430</v>
      </c>
      <c r="FW6" s="25" t="s">
        <v>464</v>
      </c>
      <c r="FX6" s="578" t="s">
        <v>30</v>
      </c>
      <c r="FY6" s="25" t="s">
        <v>464</v>
      </c>
      <c r="FZ6" s="578" t="s">
        <v>408</v>
      </c>
      <c r="GA6" s="25" t="s">
        <v>464</v>
      </c>
      <c r="GB6" s="883" t="s">
        <v>573</v>
      </c>
      <c r="GC6" s="25" t="s">
        <v>464</v>
      </c>
      <c r="GD6" s="883" t="s">
        <v>609</v>
      </c>
      <c r="GE6" s="25" t="s">
        <v>464</v>
      </c>
      <c r="GF6" s="883" t="s">
        <v>621</v>
      </c>
      <c r="GG6" s="25" t="s">
        <v>464</v>
      </c>
      <c r="GH6" s="883" t="s">
        <v>638</v>
      </c>
      <c r="GI6" s="25" t="s">
        <v>464</v>
      </c>
      <c r="GJ6" s="576" t="s">
        <v>526</v>
      </c>
      <c r="GK6" s="25" t="s">
        <v>464</v>
      </c>
      <c r="GL6" s="579" t="s">
        <v>553</v>
      </c>
      <c r="GM6" s="25" t="s">
        <v>464</v>
      </c>
      <c r="GN6" s="579" t="s">
        <v>586</v>
      </c>
      <c r="GO6" s="25" t="s">
        <v>464</v>
      </c>
      <c r="GP6" s="579" t="s">
        <v>611</v>
      </c>
      <c r="GQ6" s="25" t="s">
        <v>464</v>
      </c>
      <c r="GR6" s="579" t="s">
        <v>631</v>
      </c>
      <c r="GS6" s="25" t="s">
        <v>464</v>
      </c>
      <c r="GT6" s="25" t="s">
        <v>355</v>
      </c>
      <c r="GU6" s="592"/>
      <c r="GV6" s="592"/>
      <c r="GW6"/>
      <c r="GX6"/>
      <c r="GY6"/>
      <c r="GZ6"/>
      <c r="HA6"/>
      <c r="HB6"/>
      <c r="HC6" s="592"/>
      <c r="HD6" s="592"/>
      <c r="HE6" s="592"/>
      <c r="HF6" s="592"/>
      <c r="HG6" s="592"/>
      <c r="HH6" s="592"/>
      <c r="HI6" s="592"/>
      <c r="HJ6" s="592"/>
      <c r="HK6" s="592"/>
      <c r="HL6" s="592"/>
      <c r="HM6" s="592"/>
      <c r="HN6" s="592"/>
      <c r="HO6" s="592"/>
      <c r="HP6" s="592"/>
      <c r="HQ6" s="592"/>
      <c r="HR6" s="592"/>
      <c r="HS6" s="592"/>
      <c r="HT6" s="592"/>
      <c r="HU6" s="592"/>
      <c r="HV6" s="592"/>
      <c r="HW6" s="592"/>
      <c r="HX6" s="592"/>
      <c r="HY6" s="592"/>
      <c r="HZ6" s="592"/>
      <c r="IA6" s="592"/>
      <c r="IB6" s="592"/>
      <c r="IC6" s="592"/>
      <c r="ID6" s="592"/>
      <c r="IE6" s="592"/>
      <c r="IF6" s="592"/>
      <c r="IG6" s="592"/>
      <c r="IH6" s="592"/>
      <c r="II6" s="592"/>
      <c r="IJ6" s="592"/>
      <c r="IK6" s="592"/>
      <c r="IL6" s="592"/>
      <c r="IM6" s="592"/>
      <c r="IN6" s="592"/>
      <c r="IO6" s="592"/>
      <c r="IP6" s="592"/>
      <c r="IQ6" s="592"/>
      <c r="IR6" s="592"/>
      <c r="IS6" s="592"/>
      <c r="IT6" s="592"/>
      <c r="IU6" s="592"/>
      <c r="IV6" s="592"/>
      <c r="IW6" s="592"/>
      <c r="IX6" s="592"/>
      <c r="IY6" s="592"/>
      <c r="IZ6" s="592"/>
      <c r="JA6" s="592"/>
      <c r="JB6" s="592"/>
      <c r="JC6" s="592"/>
      <c r="JD6" s="592"/>
      <c r="JE6" s="592"/>
      <c r="JF6" s="592"/>
      <c r="JG6" s="592"/>
      <c r="JH6" s="592"/>
      <c r="JI6" s="592"/>
      <c r="JJ6" s="592"/>
      <c r="JK6" s="592"/>
      <c r="JL6" s="592"/>
      <c r="JM6" s="592"/>
      <c r="JN6" s="592"/>
      <c r="JO6" s="592"/>
      <c r="JP6" s="592"/>
      <c r="JQ6" s="592"/>
      <c r="JR6" s="592"/>
      <c r="JS6" s="592"/>
      <c r="JT6" s="592"/>
      <c r="JU6" s="592"/>
      <c r="JV6" s="592"/>
      <c r="JW6" s="592"/>
      <c r="JX6" s="592"/>
      <c r="JY6" s="592"/>
      <c r="JZ6" s="592"/>
    </row>
    <row r="7" spans="1:286" s="580" customFormat="1" ht="12.75" customHeight="1" x14ac:dyDescent="0.2">
      <c r="A7" s="457"/>
      <c r="B7" s="567" t="s">
        <v>104</v>
      </c>
      <c r="C7" s="457"/>
      <c r="D7" s="457"/>
      <c r="E7" s="457"/>
      <c r="F7" s="457"/>
      <c r="G7" s="457"/>
      <c r="H7" s="457"/>
      <c r="I7" s="457"/>
      <c r="J7" s="457"/>
      <c r="K7" s="457"/>
      <c r="L7" s="457"/>
      <c r="M7" s="457"/>
      <c r="N7" s="566"/>
      <c r="O7" s="457"/>
      <c r="P7" s="566"/>
      <c r="Q7" s="457"/>
      <c r="R7" s="566"/>
      <c r="S7" s="457"/>
      <c r="T7" s="566"/>
      <c r="U7" s="457"/>
      <c r="V7" s="566"/>
      <c r="W7" s="457"/>
      <c r="X7" s="566"/>
      <c r="Y7" s="457"/>
      <c r="Z7" s="566"/>
      <c r="AA7" s="457"/>
      <c r="AB7" s="566"/>
      <c r="AC7" s="457"/>
      <c r="AD7" s="566"/>
      <c r="AE7" s="457"/>
      <c r="AF7" s="566"/>
      <c r="AG7" s="457"/>
      <c r="AH7" s="566"/>
      <c r="AI7" s="457"/>
      <c r="AJ7" s="566"/>
      <c r="AK7" s="457"/>
      <c r="AL7" s="566"/>
      <c r="AM7" s="457"/>
      <c r="AN7" s="566"/>
      <c r="AO7" s="457"/>
      <c r="AP7" s="566"/>
      <c r="AQ7" s="457"/>
      <c r="AR7" s="566"/>
      <c r="AS7" s="457"/>
      <c r="AT7" s="566"/>
      <c r="AU7" s="457"/>
      <c r="AV7" s="566"/>
      <c r="AW7" s="457"/>
      <c r="AX7" s="566"/>
      <c r="AY7" s="457"/>
      <c r="AZ7" s="566"/>
      <c r="BA7" s="457"/>
      <c r="BB7" s="566"/>
      <c r="BC7" s="457"/>
      <c r="BD7" s="566"/>
      <c r="BE7" s="457"/>
      <c r="BF7" s="566"/>
      <c r="BG7" s="457"/>
      <c r="BH7" s="566"/>
      <c r="BI7" s="457"/>
      <c r="BJ7" s="566"/>
      <c r="BK7" s="457"/>
      <c r="BL7" s="566"/>
      <c r="BM7" s="457"/>
      <c r="BN7" s="566"/>
      <c r="BO7" s="457"/>
      <c r="BP7" s="566"/>
      <c r="BQ7" s="457"/>
      <c r="BR7" s="566"/>
      <c r="BS7" s="457"/>
      <c r="BT7" s="566"/>
      <c r="BU7" s="457"/>
      <c r="BV7" s="566"/>
      <c r="BW7" s="457"/>
      <c r="BX7" s="566"/>
      <c r="BY7" s="457"/>
      <c r="BZ7" s="566"/>
      <c r="CA7" s="457"/>
      <c r="CB7" s="566"/>
      <c r="CC7" s="457"/>
      <c r="CD7" s="566"/>
      <c r="CE7" s="457"/>
      <c r="CF7" s="566"/>
      <c r="CG7" s="573">
        <f>CG159</f>
        <v>194.70000000000005</v>
      </c>
      <c r="CH7" s="572" t="str">
        <f t="shared" ref="CH7:CH18" si="16">IF(ISERROR((CG7/BY7-1)*100),"NA",IF(((CG7/BY7-1)*100)&gt;100,"NM",IF(((CG7/BY7-1)*100)&lt;-50,"NM",(CG7/BY7-1)*100)))</f>
        <v>NA</v>
      </c>
      <c r="CI7" s="573">
        <f>CI159</f>
        <v>205.59999999999991</v>
      </c>
      <c r="CJ7" s="572" t="str">
        <f t="shared" ref="CJ7:CJ18" si="17">IF(ISERROR((CI7/CA7-1)*100),"NA",IF(((CI7/CA7-1)*100)&gt;100,"NM",IF(((CI7/CA7-1)*100)&lt;-50,"NM",(CI7/CA7-1)*100)))</f>
        <v>NA</v>
      </c>
      <c r="CK7" s="573">
        <f>CK159</f>
        <v>209.20000000000027</v>
      </c>
      <c r="CL7" s="572" t="str">
        <f t="shared" ref="CL7:CL18" si="18">IF(ISERROR((CK7/CC7-1)*100),"NA",IF(((CK7/CC7-1)*100)&gt;100,"NM",IF(((CK7/CC7-1)*100)&lt;-50,"NM",(CK7/CC7-1)*100)))</f>
        <v>NA</v>
      </c>
      <c r="CM7" s="573">
        <f>CM159</f>
        <v>207.40000000000009</v>
      </c>
      <c r="CN7" s="572" t="str">
        <f t="shared" ref="CN7:CN18" si="19">IF(ISERROR((CM7/CE7-1)*100),"NA",IF(((CM7/CE7-1)*100)&gt;100,"NM",IF(((CM7/CE7-1)*100)&lt;-50,"NM",(CM7/CE7-1)*100)))</f>
        <v>NA</v>
      </c>
      <c r="CO7" s="573">
        <f>CO159</f>
        <v>205.89999999999964</v>
      </c>
      <c r="CP7" s="572">
        <f t="shared" ref="CP7:CP18" si="20">IF(ISERROR((CO7/CG7-1)*100),"NA",IF(((CO7/CG7-1)*100)&gt;100,"NM",IF(((CO7/CG7-1)*100)&lt;-50,"NM",(CO7/CG7-1)*100)))</f>
        <v>5.752439650744523</v>
      </c>
      <c r="CQ7" s="573">
        <f>CQ159</f>
        <v>212.70000000000027</v>
      </c>
      <c r="CR7" s="572">
        <f t="shared" ref="CR7:CR18" si="21">IF(ISERROR((CQ7/CI7-1)*100),"NA",IF(((CQ7/CI7-1)*100)&gt;100,"NM",IF(((CQ7/CI7-1)*100)&lt;-50,"NM",(CQ7/CI7-1)*100)))</f>
        <v>3.4533073929962965</v>
      </c>
      <c r="CS7" s="573">
        <f>CS159</f>
        <v>216.29999999999995</v>
      </c>
      <c r="CT7" s="572">
        <f t="shared" ref="CT7:CT18" si="22">IF(ISERROR((CS7/CK7-1)*100),"NA",IF(((CS7/CK7-1)*100)&gt;100,"NM",IF(((CS7/CK7-1)*100)&lt;-50,"NM",(CS7/CK7-1)*100)))</f>
        <v>3.3938814531547123</v>
      </c>
      <c r="CU7" s="573">
        <f>CU159</f>
        <v>212.19999999999982</v>
      </c>
      <c r="CV7" s="572">
        <f t="shared" ref="CV7:CV18" si="23">IF(ISERROR((CU7/CM7-1)*100),"NA",IF(((CU7/CM7-1)*100)&gt;100,"NM",IF(((CU7/CM7-1)*100)&lt;-50,"NM",(CU7/CM7-1)*100)))</f>
        <v>2.3143683702988138</v>
      </c>
      <c r="CW7" s="573">
        <f>CW159</f>
        <v>205.20000000000005</v>
      </c>
      <c r="CX7" s="572">
        <f t="shared" ref="CX7:CX18" si="24">IF(ISERROR((CW7/CO7-1)*100),"NA",IF(((CW7/CO7-1)*100)&gt;100,"NM",IF(((CW7/CO7-1)*100)&lt;-50,"NM",(CW7/CO7-1)*100)))</f>
        <v>-0.33997085964040386</v>
      </c>
      <c r="CY7" s="573">
        <f>CY159</f>
        <v>211.09999999999991</v>
      </c>
      <c r="CZ7" s="572">
        <f t="shared" ref="CZ7:CZ18" si="25">IF(ISERROR((CY7/CQ7-1)*100),"NA",IF(((CY7/CQ7-1)*100)&gt;100,"NM",IF(((CY7/CQ7-1)*100)&lt;-50,"NM",(CY7/CQ7-1)*100)))</f>
        <v>-0.75223319228977514</v>
      </c>
      <c r="DA7" s="573">
        <f>DA159</f>
        <v>216.90000000000009</v>
      </c>
      <c r="DB7" s="572">
        <f t="shared" ref="DB7:DB18" si="26">IF(ISERROR((DA7/CS7-1)*100),"NA",IF(((DA7/CS7-1)*100)&gt;100,"NM",IF(((DA7/CS7-1)*100)&lt;-50,"NM",(DA7/CS7-1)*100)))</f>
        <v>0.27739251040228563</v>
      </c>
      <c r="DC7" s="573">
        <f>DC159</f>
        <v>225.20000000000005</v>
      </c>
      <c r="DD7" s="572">
        <f t="shared" ref="DD7:DD18" si="27">IF(ISERROR((DC7/CU7-1)*100),"NA",IF(((DC7/CU7-1)*100)&gt;100,"NM",IF(((DC7/CU7-1)*100)&lt;-50,"NM",(DC7/CU7-1)*100)))</f>
        <v>6.1262959472197176</v>
      </c>
      <c r="DE7" s="573">
        <f>DE159</f>
        <v>207.5</v>
      </c>
      <c r="DF7" s="572">
        <f t="shared" ref="DF7:DF18" si="28">IF(ISERROR((DE7/CW7-1)*100),"NA",IF(((DE7/CW7-1)*100)&gt;100,"NM",IF(((DE7/CW7-1)*100)&lt;-50,"NM",(DE7/CW7-1)*100)))</f>
        <v>1.1208576998050557</v>
      </c>
      <c r="DG7" s="573">
        <f>DG159</f>
        <v>215.79999999999973</v>
      </c>
      <c r="DH7" s="572">
        <f t="shared" ref="DH7:DH18" si="29">IF(ISERROR((DG7/CY7-1)*100),"NA",IF(((DG7/CY7-1)*100)&gt;100,"NM",IF(((DG7/CY7-1)*100)&lt;-50,"NM",(DG7/CY7-1)*100)))</f>
        <v>2.2264329701562335</v>
      </c>
      <c r="DI7" s="573">
        <f>DI159</f>
        <v>212.10000000000014</v>
      </c>
      <c r="DJ7" s="572">
        <f t="shared" ref="DJ7:DL18" si="30">IF(ISERROR((DI7/DA7-1)*100),"NA",IF(((DI7/DA7-1)*100)&gt;100,"NM",IF(((DI7/DA7-1)*100)&lt;-50,"NM",(DI7/DA7-1)*100)))</f>
        <v>-2.2130013831258455</v>
      </c>
      <c r="DK7" s="573">
        <f>DK159</f>
        <v>209.5</v>
      </c>
      <c r="DL7" s="572">
        <f t="shared" si="30"/>
        <v>-6.9715808170515263</v>
      </c>
      <c r="DM7" s="573">
        <f>DM159</f>
        <v>214.30000000000018</v>
      </c>
      <c r="DN7" s="572">
        <f t="shared" ref="DN7:DP12" si="31">IF(ISERROR((DM7/DE7-1)*100),"NA",IF(((DM7/DE7-1)*100)&gt;100,"NM",IF(((DM7/DE7-1)*100)&lt;-50,"NM",(DM7/DE7-1)*100)))</f>
        <v>3.277108433735032</v>
      </c>
      <c r="DO7" s="573">
        <f>DO159</f>
        <v>202.80000000000018</v>
      </c>
      <c r="DP7" s="572">
        <f t="shared" si="31"/>
        <v>-6.0240963855419665</v>
      </c>
      <c r="DQ7" s="573">
        <f>DQ159</f>
        <v>218.69999999999982</v>
      </c>
      <c r="DR7" s="572">
        <f t="shared" ref="DR7:DR12" si="32">IF(ISERROR((DQ7/DI7-1)*100),"NA",IF(((DQ7/DI7-1)*100)&gt;100,"NM",IF(((DQ7/DI7-1)*100)&lt;-50,"NM",(DQ7/DI7-1)*100)))</f>
        <v>3.1117397454029527</v>
      </c>
      <c r="DS7" s="573">
        <f>DS159</f>
        <v>214.19999999999982</v>
      </c>
      <c r="DT7" s="572">
        <f t="shared" ref="DT7:DT12" si="33">IF(ISERROR((DS7/DK7-1)*100),"NA",IF(((DS7/DK7-1)*100)&gt;100,"NM",IF(((DS7/DK7-1)*100)&lt;-50,"NM",(DS7/DK7-1)*100)))</f>
        <v>2.243436754176531</v>
      </c>
      <c r="DU7" s="573">
        <f>DU159</f>
        <v>215.90000000000032</v>
      </c>
      <c r="DV7" s="572">
        <f t="shared" ref="DV7:DV12" si="34">IF(ISERROR((DU7/DM7-1)*100),"NA",IF(((DU7/DM7-1)*100)&gt;100,"NM",IF(((DU7/DM7-1)*100)&lt;-50,"NM",(DU7/DM7-1)*100)))</f>
        <v>0.74661689220725247</v>
      </c>
      <c r="DW7" s="573">
        <f>DW159</f>
        <v>227.20000000000027</v>
      </c>
      <c r="DX7" s="572">
        <f t="shared" ref="DX7:DX12" si="35">IF(ISERROR((DW7/DO7-1)*100),"NA",IF(((DW7/DO7-1)*100)&gt;100,"NM",IF(((DW7/DO7-1)*100)&lt;-50,"NM",(DW7/DO7-1)*100)))</f>
        <v>12.031558185404378</v>
      </c>
      <c r="DY7" s="573">
        <f>DY159</f>
        <v>231</v>
      </c>
      <c r="DZ7" s="572">
        <f t="shared" ref="DZ7:DZ12" si="36">IF(ISERROR((DY7/DQ7-1)*100),"NA",IF(((DY7/DQ7-1)*100)&gt;100,"NM",IF(((DY7/DQ7-1)*100)&lt;-50,"NM",(DY7/DQ7-1)*100)))</f>
        <v>5.6241426611797873</v>
      </c>
      <c r="EA7" s="573">
        <f>EA159</f>
        <v>240.09999999999945</v>
      </c>
      <c r="EB7" s="572">
        <f t="shared" ref="EB7:EB12" si="37">IF(ISERROR((EA7/DS7-1)*100),"NA",IF(((EA7/DS7-1)*100)&gt;100,"NM",IF(((EA7/DS7-1)*100)&lt;-50,"NM",(EA7/DS7-1)*100)))</f>
        <v>12.091503267973703</v>
      </c>
      <c r="EC7" s="573">
        <f>EC159</f>
        <v>239.09999999999991</v>
      </c>
      <c r="ED7" s="572">
        <f t="shared" ref="ED7:ED12" si="38">IF(ISERROR((EC7/DU7-1)*100),"NA",IF(((EC7/DU7-1)*100)&gt;100,"NM",IF(((EC7/DU7-1)*100)&lt;-50,"NM",(EC7/DU7-1)*100)))</f>
        <v>10.745715609078065</v>
      </c>
      <c r="EE7" s="573">
        <f t="shared" ref="EE7:EG7" si="39">EE159</f>
        <v>247.80000000000018</v>
      </c>
      <c r="EF7" s="572">
        <f t="shared" ref="EF7:EF12" si="40">IF(ISERROR((EE7/DW7-1)*100),"NA",IF(((EE7/DW7-1)*100)&gt;100,"NM",IF(((EE7/DW7-1)*100)&lt;-50,"NM",(EE7/DW7-1)*100)))</f>
        <v>9.0669014084506561</v>
      </c>
      <c r="EG7" s="573">
        <f t="shared" si="39"/>
        <v>258.40000000000009</v>
      </c>
      <c r="EH7" s="572">
        <f t="shared" ref="EH7:EH12" si="41">IF(ISERROR((EG7/DY7-1)*100),"NA",IF(((EG7/DY7-1)*100)&gt;100,"NM",IF(((EG7/DY7-1)*100)&lt;-50,"NM",(EG7/DY7-1)*100)))</f>
        <v>11.861471861471905</v>
      </c>
      <c r="EI7" s="573">
        <f t="shared" ref="EI7" si="42">EI159</f>
        <v>264.20000000000016</v>
      </c>
      <c r="EJ7" s="572">
        <f t="shared" ref="EJ7:EJ12" si="43">IF(ISERROR((EI7/EA7-1)*100),"NA",IF(((EI7/EA7-1)*100)&gt;100,"NM",IF(((EI7/EA7-1)*100)&lt;-50,"NM",(EI7/EA7-1)*100)))</f>
        <v>10.037484381508023</v>
      </c>
      <c r="EK7" s="573">
        <f t="shared" ref="EK7:EQ7" si="44">EK159</f>
        <v>247.75395908854307</v>
      </c>
      <c r="EL7" s="572">
        <f t="shared" ref="EL7:EL12" si="45">IF(ISERROR((EK7/EC7-1)*100),"NA",IF(((EK7/EC7-1)*100)&gt;100,"NM",IF(((EK7/EC7-1)*100)&lt;-50,"NM",(EK7/EC7-1)*100)))</f>
        <v>3.6193889956265934</v>
      </c>
      <c r="EM7" s="573">
        <f t="shared" si="44"/>
        <v>249.92341271997634</v>
      </c>
      <c r="EN7" s="572">
        <f t="shared" ref="EN7:EN12" si="46">IF(ISERROR((EM7/EE7-1)*100),"NA",IF(((EM7/EE7-1)*100)&gt;100,"NM",IF(((EM7/EE7-1)*100)&lt;-50,"NM",(EM7/EE7-1)*100)))</f>
        <v>0.85690585955453535</v>
      </c>
      <c r="EO7" s="573">
        <f t="shared" si="44"/>
        <v>253.27590306912748</v>
      </c>
      <c r="EP7" s="572">
        <f t="shared" ref="EP7:EP12" si="47">IF(ISERROR((EO7/EG7-1)*100),"NA",IF(((EO7/EG7-1)*100)&gt;100,"NM",IF(((EO7/EG7-1)*100)&lt;-50,"NM",(EO7/EG7-1)*100)))</f>
        <v>-1.9830096481705195</v>
      </c>
      <c r="EQ7" s="573">
        <f t="shared" si="44"/>
        <v>256.21326921042373</v>
      </c>
      <c r="ER7" s="572">
        <f t="shared" ref="ER7:ER12" si="48">IF(ISERROR((EQ7/EI7-1)*100),"NA",IF(((EQ7/EI7-1)*100)&gt;100,"NM",IF(((EQ7/EI7-1)*100)&lt;-50,"NM",(EQ7/EI7-1)*100)))</f>
        <v>-3.0229866728146981</v>
      </c>
      <c r="ES7" s="457"/>
      <c r="ET7" s="459"/>
      <c r="EU7" s="457"/>
      <c r="EV7" s="457"/>
      <c r="EW7" s="457"/>
      <c r="EX7" s="457"/>
      <c r="EY7" s="566"/>
      <c r="EZ7" s="457"/>
      <c r="FA7" s="566"/>
      <c r="FB7" s="457"/>
      <c r="FC7" s="566"/>
      <c r="FD7" s="457"/>
      <c r="FE7" s="566"/>
      <c r="FF7" s="457"/>
      <c r="FG7" s="566"/>
      <c r="FH7" s="457"/>
      <c r="FI7" s="566"/>
      <c r="FJ7" s="457"/>
      <c r="FK7" s="566"/>
      <c r="FL7" s="457"/>
      <c r="FM7" s="566"/>
      <c r="FN7" s="457"/>
      <c r="FO7" s="566"/>
      <c r="FP7" s="457"/>
      <c r="FQ7" s="566"/>
      <c r="FR7" s="457"/>
      <c r="FS7" s="566"/>
      <c r="FT7" s="457"/>
      <c r="FU7" s="566"/>
      <c r="FV7" s="573">
        <f t="shared" ref="FV7:GB7" si="49">FV159</f>
        <v>816.89999999999964</v>
      </c>
      <c r="FW7" s="572" t="str">
        <f t="shared" ref="FW7:FW18" si="50">IF(ISERROR((FV7/FT7-1)*100),"NA",IF(((FV7/FT7-1)*100)&gt;100,"NM",IF(((FV7/FT7-1)*100)&lt;-50,"NM",(FV7/FT7-1)*100)))</f>
        <v>NA</v>
      </c>
      <c r="FX7" s="573">
        <f t="shared" si="49"/>
        <v>842.79999999999927</v>
      </c>
      <c r="FY7" s="572">
        <f t="shared" ref="FY7:FY18" si="51">IF(ISERROR((FX7/FV7-1)*100),"NA",IF(((FX7/FV7-1)*100)&gt;100,"NM",IF(((FX7/FV7-1)*100)&lt;-50,"NM",(FX7/FV7-1)*100)))</f>
        <v>3.1705227077977183</v>
      </c>
      <c r="FZ7" s="573">
        <f t="shared" si="49"/>
        <v>858.40000000000055</v>
      </c>
      <c r="GA7" s="572">
        <f t="shared" ref="GA7:GA12" si="52">IF(ISERROR((FZ7/FX7-1)*100),"NA",IF(((FZ7/FX7-1)*100)&gt;100,"NM",IF(((FZ7/FX7-1)*100)&lt;-50,"NM",(FZ7/FX7-1)*100)))</f>
        <v>1.8509729473186187</v>
      </c>
      <c r="GB7" s="573">
        <f t="shared" si="49"/>
        <v>844.90000000000055</v>
      </c>
      <c r="GC7" s="572">
        <f t="shared" ref="GC7:GC12" si="53">IF(ISERROR((GB7/FZ7-1)*100),"NA",IF(((GB7/FZ7-1)*100)&gt;100,"NM",IF(((GB7/FZ7-1)*100)&lt;-50,"NM",(GB7/FZ7-1)*100)))</f>
        <v>-1.572693383038215</v>
      </c>
      <c r="GD7" s="573">
        <f>GD159</f>
        <v>850</v>
      </c>
      <c r="GE7" s="572">
        <f t="shared" ref="GE7:GQ12" si="54">IF(ISERROR((GD7/GB7-1)*100),"NA",IF(((GD7/GB7-1)*100)&gt;100,"NM",IF(((GD7/GB7-1)*100)&lt;-50,"NM",(GD7/GB7-1)*100)))</f>
        <v>0.60362173038222</v>
      </c>
      <c r="GF7" s="573">
        <f>GF159</f>
        <v>914.19999999999982</v>
      </c>
      <c r="GG7" s="572">
        <f t="shared" si="54"/>
        <v>7.5529411764705623</v>
      </c>
      <c r="GH7" s="573">
        <f>GH159</f>
        <v>1009.4999999999997</v>
      </c>
      <c r="GI7" s="572">
        <f t="shared" si="54"/>
        <v>10.424414788886448</v>
      </c>
      <c r="GJ7" s="573">
        <f>GJ159</f>
        <v>1007.1665440880697</v>
      </c>
      <c r="GK7" s="572">
        <f t="shared" si="54"/>
        <v>-0.23114966933431846</v>
      </c>
      <c r="GL7" s="573">
        <f>GL159</f>
        <v>1038.8742678077633</v>
      </c>
      <c r="GM7" s="572">
        <f t="shared" si="54"/>
        <v>3.1482105820346717</v>
      </c>
      <c r="GN7" s="573">
        <f>GN159</f>
        <v>1071.830784140473</v>
      </c>
      <c r="GO7" s="572">
        <f t="shared" si="54"/>
        <v>3.1723296412235369</v>
      </c>
      <c r="GP7" s="573">
        <f>GP159</f>
        <v>1107.8845811916553</v>
      </c>
      <c r="GQ7" s="572">
        <f t="shared" si="54"/>
        <v>3.3637583081824518</v>
      </c>
      <c r="GR7" s="573">
        <f>GR159</f>
        <v>1139.8795837842745</v>
      </c>
      <c r="GS7" s="572">
        <f t="shared" ref="GS7:GS12" si="55">IF(ISERROR((GR7/GP7-1)*100),"NA",IF(((GR7/GP7-1)*100)&gt;100,"NM",IF(((GR7/GP7-1)*100)&lt;-50,"NM",(GR7/GP7-1)*100)))</f>
        <v>2.8879364453474832</v>
      </c>
      <c r="GT7" s="572">
        <f t="shared" ref="GT7:GT12" si="56">IF(ISERROR(((GR7/GH7)^0.2-1)*100),"NA",(IF(OR(((GR7/GH7)^0.2-1)*100&gt;99,((GR7/GH7)^0.2-1)*100&lt;-50),"NM",(((GR7/GH7)^0.2-1)*100))))</f>
        <v>2.4590985031468504</v>
      </c>
      <c r="GW7"/>
      <c r="GX7"/>
      <c r="GY7"/>
      <c r="GZ7"/>
      <c r="HA7"/>
      <c r="HB7"/>
    </row>
    <row r="8" spans="1:286" s="580" customFormat="1" ht="12.75" customHeight="1" x14ac:dyDescent="0.2">
      <c r="A8" s="457"/>
      <c r="B8" s="567" t="s">
        <v>108</v>
      </c>
      <c r="C8" s="457"/>
      <c r="D8" s="457"/>
      <c r="E8" s="457"/>
      <c r="F8" s="457"/>
      <c r="G8" s="457"/>
      <c r="H8" s="457"/>
      <c r="I8" s="457"/>
      <c r="J8" s="457"/>
      <c r="K8" s="457"/>
      <c r="L8" s="457"/>
      <c r="M8" s="457"/>
      <c r="N8" s="566"/>
      <c r="O8" s="457"/>
      <c r="P8" s="566"/>
      <c r="Q8" s="457"/>
      <c r="R8" s="566"/>
      <c r="S8" s="457"/>
      <c r="T8" s="566"/>
      <c r="U8" s="457"/>
      <c r="V8" s="566"/>
      <c r="W8" s="457"/>
      <c r="X8" s="566"/>
      <c r="Y8" s="457"/>
      <c r="Z8" s="566"/>
      <c r="AA8" s="457"/>
      <c r="AB8" s="566"/>
      <c r="AC8" s="457"/>
      <c r="AD8" s="566"/>
      <c r="AE8" s="457"/>
      <c r="AF8" s="566"/>
      <c r="AG8" s="457"/>
      <c r="AH8" s="566"/>
      <c r="AI8" s="457"/>
      <c r="AJ8" s="566"/>
      <c r="AK8" s="457"/>
      <c r="AL8" s="566"/>
      <c r="AM8" s="457"/>
      <c r="AN8" s="566"/>
      <c r="AO8" s="457"/>
      <c r="AP8" s="566"/>
      <c r="AQ8" s="457"/>
      <c r="AR8" s="566"/>
      <c r="AS8" s="457"/>
      <c r="AT8" s="566"/>
      <c r="AU8" s="457"/>
      <c r="AV8" s="566"/>
      <c r="AW8" s="457"/>
      <c r="AX8" s="566"/>
      <c r="AY8" s="457"/>
      <c r="AZ8" s="566"/>
      <c r="BA8" s="457"/>
      <c r="BB8" s="566"/>
      <c r="BC8" s="457"/>
      <c r="BD8" s="566"/>
      <c r="BE8" s="457"/>
      <c r="BF8" s="566"/>
      <c r="BG8" s="457"/>
      <c r="BH8" s="566"/>
      <c r="BI8" s="457"/>
      <c r="BJ8" s="566"/>
      <c r="BK8" s="457"/>
      <c r="BL8" s="566"/>
      <c r="BM8" s="457"/>
      <c r="BN8" s="566"/>
      <c r="BO8" s="457"/>
      <c r="BP8" s="566"/>
      <c r="BQ8" s="457"/>
      <c r="BR8" s="566"/>
      <c r="BS8" s="457"/>
      <c r="BT8" s="566"/>
      <c r="BU8" s="457"/>
      <c r="BV8" s="566"/>
      <c r="BW8" s="457"/>
      <c r="BX8" s="566"/>
      <c r="BY8" s="457"/>
      <c r="BZ8" s="566"/>
      <c r="CA8" s="457"/>
      <c r="CB8" s="566"/>
      <c r="CC8" s="457"/>
      <c r="CD8" s="566"/>
      <c r="CE8" s="457"/>
      <c r="CF8" s="566"/>
      <c r="CG8" s="573">
        <f>CG205</f>
        <v>48.900000000000006</v>
      </c>
      <c r="CH8" s="572" t="str">
        <f t="shared" si="16"/>
        <v>NA</v>
      </c>
      <c r="CI8" s="573">
        <f>CI205</f>
        <v>55.200000000000017</v>
      </c>
      <c r="CJ8" s="572" t="str">
        <f t="shared" si="17"/>
        <v>NA</v>
      </c>
      <c r="CK8" s="573">
        <f>CK205</f>
        <v>34.699999999999989</v>
      </c>
      <c r="CL8" s="572" t="str">
        <f t="shared" si="18"/>
        <v>NA</v>
      </c>
      <c r="CM8" s="573">
        <f>CM205</f>
        <v>51.900000000000006</v>
      </c>
      <c r="CN8" s="572" t="str">
        <f t="shared" si="19"/>
        <v>NA</v>
      </c>
      <c r="CO8" s="573">
        <f>CO205</f>
        <v>38.799999999999983</v>
      </c>
      <c r="CP8" s="572">
        <f t="shared" si="20"/>
        <v>-20.654396728016401</v>
      </c>
      <c r="CQ8" s="573">
        <f>CQ205</f>
        <v>29.999999999999972</v>
      </c>
      <c r="CR8" s="572">
        <f t="shared" si="21"/>
        <v>-45.652173913043548</v>
      </c>
      <c r="CS8" s="573">
        <f>CS205</f>
        <v>27.5</v>
      </c>
      <c r="CT8" s="572">
        <f t="shared" si="22"/>
        <v>-20.749279538904876</v>
      </c>
      <c r="CU8" s="573">
        <f>CU205</f>
        <v>35</v>
      </c>
      <c r="CV8" s="572">
        <f t="shared" si="23"/>
        <v>-32.562620423892106</v>
      </c>
      <c r="CW8" s="573">
        <f>CW205</f>
        <v>31.300000000000011</v>
      </c>
      <c r="CX8" s="572">
        <f t="shared" si="24"/>
        <v>-19.329896907216426</v>
      </c>
      <c r="CY8" s="573">
        <f>CY205</f>
        <v>33.5</v>
      </c>
      <c r="CZ8" s="572">
        <f t="shared" si="25"/>
        <v>11.666666666666782</v>
      </c>
      <c r="DA8" s="573">
        <f>DA205</f>
        <v>31.300000000000011</v>
      </c>
      <c r="DB8" s="572">
        <f t="shared" si="26"/>
        <v>13.818181818181863</v>
      </c>
      <c r="DC8" s="573">
        <f>DC205</f>
        <v>35.900000000000006</v>
      </c>
      <c r="DD8" s="572">
        <f t="shared" si="27"/>
        <v>2.5714285714285801</v>
      </c>
      <c r="DE8" s="573">
        <f>DE205</f>
        <v>36.499999999999972</v>
      </c>
      <c r="DF8" s="572">
        <f t="shared" si="28"/>
        <v>16.613418530351296</v>
      </c>
      <c r="DG8" s="573">
        <f>DG205</f>
        <v>39.599999999999994</v>
      </c>
      <c r="DH8" s="572">
        <f t="shared" si="29"/>
        <v>18.208955223880572</v>
      </c>
      <c r="DI8" s="573">
        <f>DI205</f>
        <v>33.5</v>
      </c>
      <c r="DJ8" s="572">
        <f t="shared" si="30"/>
        <v>7.0287539936101817</v>
      </c>
      <c r="DK8" s="573">
        <f>DK205</f>
        <v>38.200000000000017</v>
      </c>
      <c r="DL8" s="572">
        <f t="shared" si="30"/>
        <v>6.4066852367688387</v>
      </c>
      <c r="DM8" s="573">
        <f>DM205</f>
        <v>32.599999999999994</v>
      </c>
      <c r="DN8" s="572">
        <f t="shared" si="31"/>
        <v>-10.68493150684926</v>
      </c>
      <c r="DO8" s="573">
        <f>DO205</f>
        <v>38.299999999999983</v>
      </c>
      <c r="DP8" s="572">
        <f t="shared" si="31"/>
        <v>-3.2828282828283095</v>
      </c>
      <c r="DQ8" s="573">
        <f>DQ205</f>
        <v>32.700000000000017</v>
      </c>
      <c r="DR8" s="572">
        <f t="shared" si="32"/>
        <v>-2.3880597014924843</v>
      </c>
      <c r="DS8" s="573">
        <f>DS205</f>
        <v>37</v>
      </c>
      <c r="DT8" s="572">
        <f t="shared" si="33"/>
        <v>-3.1413612565445503</v>
      </c>
      <c r="DU8" s="573">
        <f>DU205</f>
        <v>33.600000000000023</v>
      </c>
      <c r="DV8" s="572">
        <f t="shared" si="34"/>
        <v>3.0674846625767804</v>
      </c>
      <c r="DW8" s="573">
        <f>DW205</f>
        <v>36.900000000000006</v>
      </c>
      <c r="DX8" s="572">
        <f t="shared" si="35"/>
        <v>-3.6553524804176951</v>
      </c>
      <c r="DY8" s="573">
        <f>DY205</f>
        <v>28.200000000000017</v>
      </c>
      <c r="DZ8" s="572">
        <f t="shared" si="36"/>
        <v>-13.761467889908252</v>
      </c>
      <c r="EA8" s="573">
        <f>EA205</f>
        <v>29.90000000000002</v>
      </c>
      <c r="EB8" s="572">
        <f t="shared" si="37"/>
        <v>-19.189189189189136</v>
      </c>
      <c r="EC8" s="573">
        <f>EC205</f>
        <v>26.599999999999994</v>
      </c>
      <c r="ED8" s="572">
        <f t="shared" si="38"/>
        <v>-20.833333333333403</v>
      </c>
      <c r="EE8" s="573">
        <f t="shared" ref="EE8:EG8" si="57">EE205</f>
        <v>28.900000000000006</v>
      </c>
      <c r="EF8" s="572">
        <f t="shared" si="40"/>
        <v>-21.680216802168019</v>
      </c>
      <c r="EG8" s="573">
        <f t="shared" si="57"/>
        <v>25.899999999999977</v>
      </c>
      <c r="EH8" s="572">
        <f t="shared" si="41"/>
        <v>-8.1560283687944661</v>
      </c>
      <c r="EI8" s="573">
        <f t="shared" ref="EI8" si="58">EI205</f>
        <v>29.700000000000017</v>
      </c>
      <c r="EJ8" s="572">
        <f t="shared" si="43"/>
        <v>-0.66889632107024477</v>
      </c>
      <c r="EK8" s="573">
        <f t="shared" ref="EK8:EQ8" si="59">EK205</f>
        <v>30.230456366771932</v>
      </c>
      <c r="EL8" s="572">
        <f t="shared" si="45"/>
        <v>13.648332205909552</v>
      </c>
      <c r="EM8" s="573">
        <f t="shared" si="59"/>
        <v>30.389841129286168</v>
      </c>
      <c r="EN8" s="572">
        <f t="shared" si="46"/>
        <v>5.1551596169071345</v>
      </c>
      <c r="EO8" s="573">
        <f t="shared" si="59"/>
        <v>30.005496626384883</v>
      </c>
      <c r="EP8" s="572">
        <f t="shared" si="47"/>
        <v>15.851338325810449</v>
      </c>
      <c r="EQ8" s="573">
        <f t="shared" si="59"/>
        <v>29.255547131776524</v>
      </c>
      <c r="ER8" s="572">
        <f t="shared" si="48"/>
        <v>-1.4964743037828021</v>
      </c>
      <c r="ES8" s="457"/>
      <c r="ET8" s="459"/>
      <c r="EU8" s="457"/>
      <c r="EV8" s="457"/>
      <c r="EW8" s="457"/>
      <c r="EX8" s="457"/>
      <c r="EY8" s="566"/>
      <c r="EZ8" s="457"/>
      <c r="FA8" s="566"/>
      <c r="FB8" s="457"/>
      <c r="FC8" s="566"/>
      <c r="FD8" s="457"/>
      <c r="FE8" s="566"/>
      <c r="FF8" s="457"/>
      <c r="FG8" s="566"/>
      <c r="FH8" s="457"/>
      <c r="FI8" s="566"/>
      <c r="FJ8" s="457"/>
      <c r="FK8" s="566"/>
      <c r="FL8" s="457"/>
      <c r="FM8" s="566"/>
      <c r="FN8" s="457"/>
      <c r="FO8" s="566"/>
      <c r="FP8" s="457"/>
      <c r="FQ8" s="566"/>
      <c r="FR8" s="457"/>
      <c r="FS8" s="566"/>
      <c r="FT8" s="457"/>
      <c r="FU8" s="566"/>
      <c r="FV8" s="573">
        <f t="shared" ref="FV8:GB8" si="60">FV205</f>
        <v>190.70000000000005</v>
      </c>
      <c r="FW8" s="572" t="str">
        <f t="shared" si="50"/>
        <v>NA</v>
      </c>
      <c r="FX8" s="573">
        <f t="shared" si="60"/>
        <v>131.29999999999984</v>
      </c>
      <c r="FY8" s="572">
        <f t="shared" si="51"/>
        <v>-31.148400629260721</v>
      </c>
      <c r="FZ8" s="573">
        <f t="shared" si="60"/>
        <v>132</v>
      </c>
      <c r="GA8" s="572">
        <f t="shared" si="52"/>
        <v>0.53313023610066512</v>
      </c>
      <c r="GB8" s="573">
        <f t="shared" si="60"/>
        <v>147.79999999999995</v>
      </c>
      <c r="GC8" s="572">
        <f t="shared" si="53"/>
        <v>11.96969696969694</v>
      </c>
      <c r="GD8" s="573">
        <f>GD205</f>
        <v>140.59999999999991</v>
      </c>
      <c r="GE8" s="572">
        <f t="shared" si="54"/>
        <v>-4.8714479025710684</v>
      </c>
      <c r="GF8" s="573">
        <f>GF205</f>
        <v>128.60000000000002</v>
      </c>
      <c r="GG8" s="572">
        <f t="shared" si="54"/>
        <v>-8.5348506401137225</v>
      </c>
      <c r="GH8" s="573">
        <f>GH205</f>
        <v>111.09999999999991</v>
      </c>
      <c r="GI8" s="572">
        <f t="shared" si="54"/>
        <v>-13.60808709175747</v>
      </c>
      <c r="GJ8" s="573">
        <f>GJ205</f>
        <v>119.88134125421936</v>
      </c>
      <c r="GK8" s="572">
        <f t="shared" si="54"/>
        <v>7.9039975285503772</v>
      </c>
      <c r="GL8" s="573">
        <f>GL205</f>
        <v>125.35277280935134</v>
      </c>
      <c r="GM8" s="572">
        <f t="shared" si="54"/>
        <v>4.564039322457436</v>
      </c>
      <c r="GN8" s="573">
        <f>GN205</f>
        <v>131.06646622074265</v>
      </c>
      <c r="GO8" s="572">
        <f t="shared" si="54"/>
        <v>4.5580909646739665</v>
      </c>
      <c r="GP8" s="573">
        <f>GP205</f>
        <v>137.03304814640614</v>
      </c>
      <c r="GQ8" s="572">
        <f t="shared" si="54"/>
        <v>4.5523329480895214</v>
      </c>
      <c r="GR8" s="573">
        <f>GR205</f>
        <v>142.60543312586753</v>
      </c>
      <c r="GS8" s="572">
        <f t="shared" si="55"/>
        <v>4.0664533518278478</v>
      </c>
      <c r="GT8" s="572">
        <f t="shared" si="56"/>
        <v>5.119770151790215</v>
      </c>
      <c r="GW8"/>
      <c r="GX8"/>
      <c r="GY8"/>
      <c r="GZ8"/>
      <c r="HA8"/>
      <c r="HB8"/>
    </row>
    <row r="9" spans="1:286" s="580" customFormat="1" ht="12.75" customHeight="1" x14ac:dyDescent="0.2">
      <c r="A9" s="457"/>
      <c r="B9" s="567" t="s">
        <v>134</v>
      </c>
      <c r="C9" s="457"/>
      <c r="D9" s="457"/>
      <c r="E9" s="457"/>
      <c r="F9" s="457"/>
      <c r="G9" s="457"/>
      <c r="H9" s="457"/>
      <c r="I9" s="457"/>
      <c r="J9" s="457"/>
      <c r="K9" s="457"/>
      <c r="L9" s="457"/>
      <c r="M9" s="457"/>
      <c r="N9" s="566"/>
      <c r="O9" s="457"/>
      <c r="P9" s="566"/>
      <c r="Q9" s="457"/>
      <c r="R9" s="566"/>
      <c r="S9" s="457"/>
      <c r="T9" s="566"/>
      <c r="U9" s="457"/>
      <c r="V9" s="566"/>
      <c r="W9" s="457"/>
      <c r="X9" s="566"/>
      <c r="Y9" s="457"/>
      <c r="Z9" s="566"/>
      <c r="AA9" s="457"/>
      <c r="AB9" s="566"/>
      <c r="AC9" s="457"/>
      <c r="AD9" s="566"/>
      <c r="AE9" s="457"/>
      <c r="AF9" s="566"/>
      <c r="AG9" s="457"/>
      <c r="AH9" s="566"/>
      <c r="AI9" s="457"/>
      <c r="AJ9" s="566"/>
      <c r="AK9" s="457"/>
      <c r="AL9" s="566"/>
      <c r="AM9" s="457"/>
      <c r="AN9" s="566"/>
      <c r="AO9" s="457"/>
      <c r="AP9" s="566"/>
      <c r="AQ9" s="457"/>
      <c r="AR9" s="566"/>
      <c r="AS9" s="457"/>
      <c r="AT9" s="566"/>
      <c r="AU9" s="457"/>
      <c r="AV9" s="566"/>
      <c r="AW9" s="457"/>
      <c r="AX9" s="566"/>
      <c r="AY9" s="457"/>
      <c r="AZ9" s="566"/>
      <c r="BA9" s="457"/>
      <c r="BB9" s="566"/>
      <c r="BC9" s="457"/>
      <c r="BD9" s="566"/>
      <c r="BE9" s="457"/>
      <c r="BF9" s="566"/>
      <c r="BG9" s="457"/>
      <c r="BH9" s="566"/>
      <c r="BI9" s="457"/>
      <c r="BJ9" s="566"/>
      <c r="BK9" s="457"/>
      <c r="BL9" s="566"/>
      <c r="BM9" s="457"/>
      <c r="BN9" s="566"/>
      <c r="BO9" s="457"/>
      <c r="BP9" s="566"/>
      <c r="BQ9" s="457"/>
      <c r="BR9" s="566"/>
      <c r="BS9" s="457"/>
      <c r="BT9" s="566"/>
      <c r="BU9" s="457"/>
      <c r="BV9" s="566"/>
      <c r="BW9" s="457"/>
      <c r="BX9" s="566"/>
      <c r="BY9" s="457"/>
      <c r="BZ9" s="566"/>
      <c r="CA9" s="457"/>
      <c r="CB9" s="566"/>
      <c r="CC9" s="457"/>
      <c r="CD9" s="566"/>
      <c r="CE9" s="457"/>
      <c r="CF9" s="566"/>
      <c r="CG9" s="573">
        <f>CG239</f>
        <v>66.499999999999943</v>
      </c>
      <c r="CH9" s="572" t="str">
        <f t="shared" si="16"/>
        <v>NA</v>
      </c>
      <c r="CI9" s="573">
        <f>CI239</f>
        <v>71.899999999999977</v>
      </c>
      <c r="CJ9" s="572" t="str">
        <f t="shared" si="17"/>
        <v>NA</v>
      </c>
      <c r="CK9" s="573">
        <f>CK239</f>
        <v>66.700000000000045</v>
      </c>
      <c r="CL9" s="572" t="str">
        <f t="shared" si="18"/>
        <v>NA</v>
      </c>
      <c r="CM9" s="573">
        <f>CM239</f>
        <v>64.999999999999943</v>
      </c>
      <c r="CN9" s="572" t="str">
        <f t="shared" si="19"/>
        <v>NA</v>
      </c>
      <c r="CO9" s="573">
        <f>CO239</f>
        <v>69.699999999999989</v>
      </c>
      <c r="CP9" s="572">
        <f t="shared" si="20"/>
        <v>4.8120300751880452</v>
      </c>
      <c r="CQ9" s="573">
        <f>CQ239</f>
        <v>67.599999999999966</v>
      </c>
      <c r="CR9" s="572">
        <f t="shared" si="21"/>
        <v>-5.9805285118219924</v>
      </c>
      <c r="CS9" s="573">
        <f>CS239</f>
        <v>68.699999999999932</v>
      </c>
      <c r="CT9" s="572">
        <f t="shared" si="22"/>
        <v>2.9985007496250216</v>
      </c>
      <c r="CU9" s="573">
        <f>CU239</f>
        <v>68.300000000000011</v>
      </c>
      <c r="CV9" s="572">
        <f t="shared" si="23"/>
        <v>5.0769230769231788</v>
      </c>
      <c r="CW9" s="573">
        <f>CW239</f>
        <v>75.100000000000023</v>
      </c>
      <c r="CX9" s="572">
        <f t="shared" si="24"/>
        <v>7.7474892395983375</v>
      </c>
      <c r="CY9" s="573">
        <f>CY239</f>
        <v>70.799999999999955</v>
      </c>
      <c r="CZ9" s="572">
        <f t="shared" si="25"/>
        <v>4.7337278106508673</v>
      </c>
      <c r="DA9" s="573">
        <f>DA239</f>
        <v>68.600000000000023</v>
      </c>
      <c r="DB9" s="572">
        <f t="shared" si="26"/>
        <v>-0.14556040756901201</v>
      </c>
      <c r="DC9" s="573">
        <f>DC239</f>
        <v>49</v>
      </c>
      <c r="DD9" s="572">
        <f t="shared" si="27"/>
        <v>-28.257686676427539</v>
      </c>
      <c r="DE9" s="573">
        <f>DE239</f>
        <v>79.099999999999966</v>
      </c>
      <c r="DF9" s="572">
        <f t="shared" si="28"/>
        <v>5.3262316910784868</v>
      </c>
      <c r="DG9" s="573">
        <f>DG239</f>
        <v>74.899999999999977</v>
      </c>
      <c r="DH9" s="572">
        <f t="shared" si="29"/>
        <v>5.7909604519774449</v>
      </c>
      <c r="DI9" s="573">
        <f>DI239</f>
        <v>71</v>
      </c>
      <c r="DJ9" s="572">
        <f t="shared" si="30"/>
        <v>3.4985422740524408</v>
      </c>
      <c r="DK9" s="573">
        <f>DK239</f>
        <v>74</v>
      </c>
      <c r="DL9" s="572">
        <f t="shared" si="30"/>
        <v>51.020408163265294</v>
      </c>
      <c r="DM9" s="573">
        <f>DM239</f>
        <v>77.599999999999966</v>
      </c>
      <c r="DN9" s="572">
        <f t="shared" si="31"/>
        <v>-1.896333754740831</v>
      </c>
      <c r="DO9" s="573">
        <f>DO239</f>
        <v>77.599999999999966</v>
      </c>
      <c r="DP9" s="572">
        <f t="shared" si="31"/>
        <v>3.6048064085447029</v>
      </c>
      <c r="DQ9" s="573">
        <f>DQ239</f>
        <v>76.300000000000068</v>
      </c>
      <c r="DR9" s="572">
        <f t="shared" si="32"/>
        <v>7.4647887323944673</v>
      </c>
      <c r="DS9" s="573">
        <f>DS239</f>
        <v>77.600000000000023</v>
      </c>
      <c r="DT9" s="572">
        <f t="shared" si="33"/>
        <v>4.864864864864904</v>
      </c>
      <c r="DU9" s="573">
        <f>DU239</f>
        <v>77.399999999999977</v>
      </c>
      <c r="DV9" s="572">
        <f t="shared" si="34"/>
        <v>-0.25773195876287458</v>
      </c>
      <c r="DW9" s="573">
        <f>DW239</f>
        <v>77.899999999999977</v>
      </c>
      <c r="DX9" s="572">
        <f t="shared" si="35"/>
        <v>0.38659793814435073</v>
      </c>
      <c r="DY9" s="573">
        <f>DY239</f>
        <v>79</v>
      </c>
      <c r="DZ9" s="572">
        <f t="shared" si="36"/>
        <v>3.5386631716906036</v>
      </c>
      <c r="EA9" s="573">
        <f>EA239</f>
        <v>79.899999999999977</v>
      </c>
      <c r="EB9" s="572">
        <f t="shared" si="37"/>
        <v>2.9639175257731409</v>
      </c>
      <c r="EC9" s="573">
        <f>EC239</f>
        <v>82.400000000000034</v>
      </c>
      <c r="ED9" s="572">
        <f t="shared" si="38"/>
        <v>6.4599483204135222</v>
      </c>
      <c r="EE9" s="573">
        <f t="shared" ref="EE9:EG9" si="61">EE239</f>
        <v>81.800000000000068</v>
      </c>
      <c r="EF9" s="572">
        <f t="shared" si="40"/>
        <v>5.0064184852375959</v>
      </c>
      <c r="EG9" s="573">
        <f t="shared" si="61"/>
        <v>81.700000000000045</v>
      </c>
      <c r="EH9" s="572">
        <f t="shared" si="41"/>
        <v>3.4177215189874044</v>
      </c>
      <c r="EI9" s="573">
        <f t="shared" ref="EI9" si="62">EI239</f>
        <v>79.099999999999994</v>
      </c>
      <c r="EJ9" s="572">
        <f t="shared" si="43"/>
        <v>-1.001251564455552</v>
      </c>
      <c r="EK9" s="573">
        <f t="shared" ref="EK9:EQ9" si="63">EK239</f>
        <v>77.960626999999988</v>
      </c>
      <c r="EL9" s="572">
        <f t="shared" si="45"/>
        <v>-5.3875885922330617</v>
      </c>
      <c r="EM9" s="573">
        <f t="shared" si="63"/>
        <v>78.590878084999986</v>
      </c>
      <c r="EN9" s="572">
        <f t="shared" si="46"/>
        <v>-3.9231319254279695</v>
      </c>
      <c r="EO9" s="573">
        <f t="shared" si="63"/>
        <v>79.409102620624992</v>
      </c>
      <c r="EP9" s="572">
        <f t="shared" si="47"/>
        <v>-2.8040359600673859</v>
      </c>
      <c r="EQ9" s="573">
        <f t="shared" si="63"/>
        <v>80.151668422632156</v>
      </c>
      <c r="ER9" s="572">
        <f t="shared" si="48"/>
        <v>1.3295428857549529</v>
      </c>
      <c r="ES9" s="457"/>
      <c r="ET9" s="459"/>
      <c r="EU9" s="457"/>
      <c r="EV9" s="457"/>
      <c r="EW9" s="457"/>
      <c r="EX9" s="457"/>
      <c r="EY9" s="566"/>
      <c r="EZ9" s="457"/>
      <c r="FA9" s="566"/>
      <c r="FB9" s="457"/>
      <c r="FC9" s="566"/>
      <c r="FD9" s="457"/>
      <c r="FE9" s="566"/>
      <c r="FF9" s="457"/>
      <c r="FG9" s="566"/>
      <c r="FH9" s="457"/>
      <c r="FI9" s="566"/>
      <c r="FJ9" s="457"/>
      <c r="FK9" s="566"/>
      <c r="FL9" s="457"/>
      <c r="FM9" s="566"/>
      <c r="FN9" s="457"/>
      <c r="FO9" s="566"/>
      <c r="FP9" s="457"/>
      <c r="FQ9" s="566"/>
      <c r="FR9" s="457"/>
      <c r="FS9" s="566"/>
      <c r="FT9" s="457"/>
      <c r="FU9" s="566"/>
      <c r="FV9" s="573">
        <f t="shared" ref="FV9:GB9" si="64">FV239</f>
        <v>270.09999999999991</v>
      </c>
      <c r="FW9" s="572" t="str">
        <f t="shared" si="50"/>
        <v>NA</v>
      </c>
      <c r="FX9" s="573">
        <f t="shared" si="64"/>
        <v>273.39999999999986</v>
      </c>
      <c r="FY9" s="572">
        <f t="shared" si="51"/>
        <v>1.2217697149203843</v>
      </c>
      <c r="FZ9" s="573">
        <f t="shared" si="64"/>
        <v>263.5</v>
      </c>
      <c r="GA9" s="572">
        <f t="shared" si="52"/>
        <v>-3.6210680321872246</v>
      </c>
      <c r="GB9" s="573">
        <f t="shared" si="64"/>
        <v>298.99999999999977</v>
      </c>
      <c r="GC9" s="572">
        <f t="shared" si="53"/>
        <v>13.472485768500864</v>
      </c>
      <c r="GD9" s="573">
        <f>GD239</f>
        <v>309.09999999999991</v>
      </c>
      <c r="GE9" s="572">
        <f t="shared" si="54"/>
        <v>3.3779264214047311</v>
      </c>
      <c r="GF9" s="573">
        <f>GF239</f>
        <v>314.20000000000005</v>
      </c>
      <c r="GG9" s="572">
        <f t="shared" si="54"/>
        <v>1.649951472015565</v>
      </c>
      <c r="GH9" s="573">
        <f>GH239</f>
        <v>325.00000000000011</v>
      </c>
      <c r="GI9" s="572">
        <f t="shared" si="54"/>
        <v>3.437301082113331</v>
      </c>
      <c r="GJ9" s="573">
        <f>GJ239</f>
        <v>316.11227612825701</v>
      </c>
      <c r="GK9" s="572">
        <f t="shared" si="54"/>
        <v>-2.7346842682286487</v>
      </c>
      <c r="GL9" s="573">
        <f>GL239</f>
        <v>319.20591431074467</v>
      </c>
      <c r="GM9" s="572">
        <f t="shared" si="54"/>
        <v>0.9786517057732036</v>
      </c>
      <c r="GN9" s="573">
        <f>GN239</f>
        <v>325.64179352595966</v>
      </c>
      <c r="GO9" s="572">
        <f t="shared" si="54"/>
        <v>2.0162155294371154</v>
      </c>
      <c r="GP9" s="573">
        <f>GP239</f>
        <v>333.91469964775729</v>
      </c>
      <c r="GQ9" s="572">
        <f t="shared" si="54"/>
        <v>2.540492739651401</v>
      </c>
      <c r="GR9" s="573">
        <f>GR239</f>
        <v>340.65225472832435</v>
      </c>
      <c r="GS9" s="572">
        <f t="shared" si="55"/>
        <v>2.0177473731088913</v>
      </c>
      <c r="GT9" s="572">
        <f t="shared" si="56"/>
        <v>0.94517874140382929</v>
      </c>
      <c r="GW9"/>
      <c r="GX9"/>
      <c r="GY9"/>
      <c r="GZ9"/>
      <c r="HA9"/>
      <c r="HB9"/>
    </row>
    <row r="10" spans="1:286" s="580" customFormat="1" ht="12.75" customHeight="1" x14ac:dyDescent="0.2">
      <c r="A10" s="457"/>
      <c r="B10" s="567" t="s">
        <v>207</v>
      </c>
      <c r="C10" s="457"/>
      <c r="D10" s="457"/>
      <c r="E10" s="457"/>
      <c r="F10" s="457"/>
      <c r="G10" s="457"/>
      <c r="H10" s="457"/>
      <c r="I10" s="457"/>
      <c r="J10" s="457"/>
      <c r="K10" s="457"/>
      <c r="L10" s="457"/>
      <c r="M10" s="457"/>
      <c r="N10" s="566"/>
      <c r="O10" s="457"/>
      <c r="P10" s="566"/>
      <c r="Q10" s="457"/>
      <c r="R10" s="566"/>
      <c r="S10" s="457"/>
      <c r="T10" s="566"/>
      <c r="U10" s="457"/>
      <c r="V10" s="566"/>
      <c r="W10" s="457"/>
      <c r="X10" s="566"/>
      <c r="Y10" s="457"/>
      <c r="Z10" s="566"/>
      <c r="AA10" s="457"/>
      <c r="AB10" s="566"/>
      <c r="AC10" s="457"/>
      <c r="AD10" s="566"/>
      <c r="AE10" s="457"/>
      <c r="AF10" s="566"/>
      <c r="AG10" s="457"/>
      <c r="AH10" s="566"/>
      <c r="AI10" s="457"/>
      <c r="AJ10" s="566"/>
      <c r="AK10" s="457"/>
      <c r="AL10" s="566"/>
      <c r="AM10" s="457"/>
      <c r="AN10" s="566"/>
      <c r="AO10" s="457"/>
      <c r="AP10" s="566"/>
      <c r="AQ10" s="457"/>
      <c r="AR10" s="566"/>
      <c r="AS10" s="457"/>
      <c r="AT10" s="566"/>
      <c r="AU10" s="457"/>
      <c r="AV10" s="566"/>
      <c r="AW10" s="457"/>
      <c r="AX10" s="566"/>
      <c r="AY10" s="457"/>
      <c r="AZ10" s="566"/>
      <c r="BA10" s="457"/>
      <c r="BB10" s="566"/>
      <c r="BC10" s="457"/>
      <c r="BD10" s="566"/>
      <c r="BE10" s="457"/>
      <c r="BF10" s="566"/>
      <c r="BG10" s="457"/>
      <c r="BH10" s="566"/>
      <c r="BI10" s="457"/>
      <c r="BJ10" s="566"/>
      <c r="BK10" s="457"/>
      <c r="BL10" s="566"/>
      <c r="BM10" s="457"/>
      <c r="BN10" s="566"/>
      <c r="BO10" s="457"/>
      <c r="BP10" s="566"/>
      <c r="BQ10" s="457"/>
      <c r="BR10" s="566"/>
      <c r="BS10" s="457"/>
      <c r="BT10" s="566"/>
      <c r="BU10" s="457"/>
      <c r="BV10" s="566"/>
      <c r="BW10" s="457"/>
      <c r="BX10" s="566"/>
      <c r="BY10" s="457"/>
      <c r="BZ10" s="566"/>
      <c r="CA10" s="457"/>
      <c r="CB10" s="566"/>
      <c r="CC10" s="457"/>
      <c r="CD10" s="566"/>
      <c r="CE10" s="457"/>
      <c r="CF10" s="566"/>
      <c r="CG10" s="573">
        <f>CG276</f>
        <v>31.899999999999864</v>
      </c>
      <c r="CH10" s="572" t="str">
        <f t="shared" si="16"/>
        <v>NA</v>
      </c>
      <c r="CI10" s="573">
        <f>CI276</f>
        <v>30.400000000000205</v>
      </c>
      <c r="CJ10" s="572" t="str">
        <f t="shared" si="17"/>
        <v>NA</v>
      </c>
      <c r="CK10" s="573">
        <f>CK276</f>
        <v>30.799999999999955</v>
      </c>
      <c r="CL10" s="572" t="str">
        <f t="shared" si="18"/>
        <v>NA</v>
      </c>
      <c r="CM10" s="573">
        <f>CM276</f>
        <v>-922.30000000000018</v>
      </c>
      <c r="CN10" s="572" t="str">
        <f t="shared" si="19"/>
        <v>NA</v>
      </c>
      <c r="CO10" s="573">
        <f>CO276</f>
        <v>15.399999999999977</v>
      </c>
      <c r="CP10" s="572" t="str">
        <f t="shared" si="20"/>
        <v>NM</v>
      </c>
      <c r="CQ10" s="573">
        <f>CQ276</f>
        <v>25.700000000000045</v>
      </c>
      <c r="CR10" s="572">
        <f t="shared" si="21"/>
        <v>-15.460526315789892</v>
      </c>
      <c r="CS10" s="573">
        <f>CS276</f>
        <v>25.600000000000023</v>
      </c>
      <c r="CT10" s="572">
        <f t="shared" si="22"/>
        <v>-16.883116883116688</v>
      </c>
      <c r="CU10" s="573">
        <f>CU276</f>
        <v>28.799999999999955</v>
      </c>
      <c r="CV10" s="572" t="str">
        <f t="shared" si="23"/>
        <v>NM</v>
      </c>
      <c r="CW10" s="573">
        <f>CW276</f>
        <v>26.600000000000136</v>
      </c>
      <c r="CX10" s="572">
        <f t="shared" si="24"/>
        <v>72.727272727273856</v>
      </c>
      <c r="CY10" s="573">
        <f>CY276</f>
        <v>29.100000000000023</v>
      </c>
      <c r="CZ10" s="572">
        <f t="shared" si="25"/>
        <v>13.229571984435683</v>
      </c>
      <c r="DA10" s="573">
        <f>DA276</f>
        <v>25</v>
      </c>
      <c r="DB10" s="572">
        <f t="shared" si="26"/>
        <v>-2.3437500000000888</v>
      </c>
      <c r="DC10" s="573">
        <f>DC276</f>
        <v>26.600000000000023</v>
      </c>
      <c r="DD10" s="572">
        <f t="shared" si="27"/>
        <v>-7.6388888888886619</v>
      </c>
      <c r="DE10" s="573">
        <f>DE276</f>
        <v>28.299999999999955</v>
      </c>
      <c r="DF10" s="572">
        <f t="shared" si="28"/>
        <v>6.3909774436083033</v>
      </c>
      <c r="DG10" s="573">
        <f>DG276</f>
        <v>36.600000000000136</v>
      </c>
      <c r="DH10" s="572">
        <f t="shared" si="29"/>
        <v>25.773195876289034</v>
      </c>
      <c r="DI10" s="573">
        <f>DI276</f>
        <v>25.700000000000045</v>
      </c>
      <c r="DJ10" s="572">
        <f t="shared" si="30"/>
        <v>2.8000000000001801</v>
      </c>
      <c r="DK10" s="573">
        <f>DK276</f>
        <v>-668.80000000000007</v>
      </c>
      <c r="DL10" s="572" t="str">
        <f t="shared" si="30"/>
        <v>NM</v>
      </c>
      <c r="DM10" s="573">
        <f>DM276</f>
        <v>26.699999999999932</v>
      </c>
      <c r="DN10" s="572">
        <f t="shared" si="31"/>
        <v>-5.6537102473499079</v>
      </c>
      <c r="DO10" s="573">
        <f>DO276</f>
        <v>36.599999999999909</v>
      </c>
      <c r="DP10" s="572">
        <f t="shared" si="31"/>
        <v>-6.2172489379008766E-13</v>
      </c>
      <c r="DQ10" s="573">
        <f>DQ276</f>
        <v>27.700000000000045</v>
      </c>
      <c r="DR10" s="572">
        <f t="shared" si="32"/>
        <v>7.7821011673151697</v>
      </c>
      <c r="DS10" s="573">
        <f>DS276</f>
        <v>28.099999999999795</v>
      </c>
      <c r="DT10" s="572" t="str">
        <f t="shared" si="33"/>
        <v>NM</v>
      </c>
      <c r="DU10" s="573">
        <f>DU276</f>
        <v>33.699999999999818</v>
      </c>
      <c r="DV10" s="572">
        <f t="shared" si="34"/>
        <v>26.217228464419119</v>
      </c>
      <c r="DW10" s="573">
        <f>DW276</f>
        <v>32.599999999999909</v>
      </c>
      <c r="DX10" s="572">
        <f t="shared" si="35"/>
        <v>-10.928961748633903</v>
      </c>
      <c r="DY10" s="573">
        <f>DY276</f>
        <v>28.600000000000023</v>
      </c>
      <c r="DZ10" s="572">
        <f t="shared" si="36"/>
        <v>3.2490974729241007</v>
      </c>
      <c r="EA10" s="573">
        <f>EA276</f>
        <v>34.600000000000023</v>
      </c>
      <c r="EB10" s="572">
        <f t="shared" si="37"/>
        <v>23.131672597865748</v>
      </c>
      <c r="EC10" s="573">
        <f>EC276</f>
        <v>31.599999999999909</v>
      </c>
      <c r="ED10" s="572">
        <f t="shared" si="38"/>
        <v>-6.2314540059344781</v>
      </c>
      <c r="EE10" s="573">
        <f t="shared" ref="EE10:EG10" si="65">EE276</f>
        <v>32.600000000000023</v>
      </c>
      <c r="EF10" s="572">
        <f t="shared" si="40"/>
        <v>3.5527136788005009E-13</v>
      </c>
      <c r="EG10" s="573">
        <f t="shared" si="65"/>
        <v>26.600000000000023</v>
      </c>
      <c r="EH10" s="572">
        <f t="shared" si="41"/>
        <v>-6.9930069930069898</v>
      </c>
      <c r="EI10" s="573">
        <f t="shared" ref="EI10" si="66">EI276</f>
        <v>33.099999999999909</v>
      </c>
      <c r="EJ10" s="572">
        <f t="shared" si="43"/>
        <v>-4.3352601156072641</v>
      </c>
      <c r="EK10" s="573">
        <f t="shared" ref="EK10:EQ10" si="67">EK276</f>
        <v>30.080092226633383</v>
      </c>
      <c r="EL10" s="572">
        <f t="shared" si="45"/>
        <v>-4.8098347258434533</v>
      </c>
      <c r="EM10" s="573">
        <f t="shared" si="67"/>
        <v>29.441322464516929</v>
      </c>
      <c r="EN10" s="572">
        <f t="shared" si="46"/>
        <v>-9.6891948941199129</v>
      </c>
      <c r="EO10" s="573">
        <f t="shared" si="67"/>
        <v>28.809868919704627</v>
      </c>
      <c r="EP10" s="572">
        <f t="shared" si="47"/>
        <v>8.3077778936263336</v>
      </c>
      <c r="EQ10" s="573">
        <f t="shared" si="67"/>
        <v>28.185661335753935</v>
      </c>
      <c r="ER10" s="572">
        <f t="shared" si="48"/>
        <v>-14.846944604972778</v>
      </c>
      <c r="ES10" s="457"/>
      <c r="ET10" s="459"/>
      <c r="EU10" s="457"/>
      <c r="EV10" s="457"/>
      <c r="EW10" s="457"/>
      <c r="EX10" s="457"/>
      <c r="EY10" s="566"/>
      <c r="EZ10" s="457"/>
      <c r="FA10" s="566"/>
      <c r="FB10" s="457"/>
      <c r="FC10" s="566"/>
      <c r="FD10" s="457"/>
      <c r="FE10" s="566"/>
      <c r="FF10" s="457"/>
      <c r="FG10" s="566"/>
      <c r="FH10" s="457"/>
      <c r="FI10" s="566"/>
      <c r="FJ10" s="457"/>
      <c r="FK10" s="566"/>
      <c r="FL10" s="457"/>
      <c r="FM10" s="566"/>
      <c r="FN10" s="457"/>
      <c r="FO10" s="566"/>
      <c r="FP10" s="457"/>
      <c r="FQ10" s="566"/>
      <c r="FR10" s="457"/>
      <c r="FS10" s="566"/>
      <c r="FT10" s="457"/>
      <c r="FU10" s="566"/>
      <c r="FV10" s="573">
        <f t="shared" ref="FV10:GB10" si="68">FV276</f>
        <v>-829.20000000000027</v>
      </c>
      <c r="FW10" s="572" t="str">
        <f t="shared" si="50"/>
        <v>NA</v>
      </c>
      <c r="FX10" s="573">
        <f t="shared" si="68"/>
        <v>94.699999999999818</v>
      </c>
      <c r="FY10" s="572" t="str">
        <f t="shared" si="51"/>
        <v>NM</v>
      </c>
      <c r="FZ10" s="573">
        <f t="shared" si="68"/>
        <v>107.29999999999973</v>
      </c>
      <c r="GA10" s="572">
        <f t="shared" si="52"/>
        <v>13.305174234424433</v>
      </c>
      <c r="GB10" s="573">
        <f t="shared" si="68"/>
        <v>-578.19999999999982</v>
      </c>
      <c r="GC10" s="572" t="str">
        <f t="shared" si="53"/>
        <v>NM</v>
      </c>
      <c r="GD10" s="573">
        <f>GD276</f>
        <v>119.09999999999991</v>
      </c>
      <c r="GE10" s="572" t="str">
        <f t="shared" si="54"/>
        <v>NM</v>
      </c>
      <c r="GF10" s="573">
        <f>GF276</f>
        <v>129.50000000000045</v>
      </c>
      <c r="GG10" s="572">
        <f t="shared" si="54"/>
        <v>8.7321578505462192</v>
      </c>
      <c r="GH10" s="573">
        <f>GH276</f>
        <v>123.89999999999964</v>
      </c>
      <c r="GI10" s="572">
        <f t="shared" si="54"/>
        <v>-4.3243243243249463</v>
      </c>
      <c r="GJ10" s="573">
        <f>GJ276</f>
        <v>116.51694494660887</v>
      </c>
      <c r="GK10" s="572">
        <f t="shared" si="54"/>
        <v>-5.9588822061265372</v>
      </c>
      <c r="GL10" s="573">
        <f>GL276</f>
        <v>113.75875823842989</v>
      </c>
      <c r="GM10" s="572">
        <f t="shared" si="54"/>
        <v>-2.3671979294023315</v>
      </c>
      <c r="GN10" s="573">
        <f>GN276</f>
        <v>111.06857069869147</v>
      </c>
      <c r="GO10" s="572">
        <f t="shared" si="54"/>
        <v>-2.3648179545877168</v>
      </c>
      <c r="GP10" s="573">
        <f>GP276</f>
        <v>108.44463728099754</v>
      </c>
      <c r="GQ10" s="572">
        <f t="shared" si="54"/>
        <v>-2.3624445702215668</v>
      </c>
      <c r="GR10" s="573">
        <f>GR276</f>
        <v>105.88525939176861</v>
      </c>
      <c r="GS10" s="572">
        <f t="shared" si="55"/>
        <v>-2.3600778732812411</v>
      </c>
      <c r="GT10" s="572">
        <f t="shared" si="56"/>
        <v>-3.0935153109152957</v>
      </c>
      <c r="GW10"/>
      <c r="GX10"/>
      <c r="GY10"/>
      <c r="GZ10"/>
      <c r="HA10"/>
      <c r="HB10"/>
    </row>
    <row r="11" spans="1:286" s="580" customFormat="1" ht="12.75" customHeight="1" x14ac:dyDescent="0.2">
      <c r="A11" s="457"/>
      <c r="B11" s="567" t="s">
        <v>194</v>
      </c>
      <c r="C11" s="457"/>
      <c r="D11" s="457"/>
      <c r="E11" s="457"/>
      <c r="F11" s="457"/>
      <c r="G11" s="457"/>
      <c r="H11" s="457"/>
      <c r="I11" s="457"/>
      <c r="J11" s="457"/>
      <c r="K11" s="457"/>
      <c r="L11" s="457"/>
      <c r="M11" s="457"/>
      <c r="N11" s="566"/>
      <c r="O11" s="457"/>
      <c r="P11" s="566"/>
      <c r="Q11" s="457"/>
      <c r="R11" s="566"/>
      <c r="S11" s="457"/>
      <c r="T11" s="566"/>
      <c r="U11" s="457"/>
      <c r="V11" s="566"/>
      <c r="W11" s="457"/>
      <c r="X11" s="566"/>
      <c r="Y11" s="457"/>
      <c r="Z11" s="566"/>
      <c r="AA11" s="457"/>
      <c r="AB11" s="566"/>
      <c r="AC11" s="457"/>
      <c r="AD11" s="566"/>
      <c r="AE11" s="457"/>
      <c r="AF11" s="566"/>
      <c r="AG11" s="457"/>
      <c r="AH11" s="566"/>
      <c r="AI11" s="457"/>
      <c r="AJ11" s="566"/>
      <c r="AK11" s="457"/>
      <c r="AL11" s="566"/>
      <c r="AM11" s="457"/>
      <c r="AN11" s="566"/>
      <c r="AO11" s="457"/>
      <c r="AP11" s="566"/>
      <c r="AQ11" s="457"/>
      <c r="AR11" s="566"/>
      <c r="AS11" s="457"/>
      <c r="AT11" s="566"/>
      <c r="AU11" s="457"/>
      <c r="AV11" s="566"/>
      <c r="AW11" s="457"/>
      <c r="AX11" s="566"/>
      <c r="AY11" s="457"/>
      <c r="AZ11" s="566"/>
      <c r="BA11" s="457"/>
      <c r="BB11" s="566"/>
      <c r="BC11" s="457"/>
      <c r="BD11" s="566"/>
      <c r="BE11" s="457"/>
      <c r="BF11" s="566"/>
      <c r="BG11" s="457"/>
      <c r="BH11" s="566"/>
      <c r="BI11" s="457"/>
      <c r="BJ11" s="566"/>
      <c r="BK11" s="457"/>
      <c r="BL11" s="566"/>
      <c r="BM11" s="457"/>
      <c r="BN11" s="566"/>
      <c r="BO11" s="457"/>
      <c r="BP11" s="566"/>
      <c r="BQ11" s="457"/>
      <c r="BR11" s="566"/>
      <c r="BS11" s="457"/>
      <c r="BT11" s="566"/>
      <c r="BU11" s="457"/>
      <c r="BV11" s="566"/>
      <c r="BW11" s="457"/>
      <c r="BX11" s="566"/>
      <c r="BY11" s="457"/>
      <c r="BZ11" s="566"/>
      <c r="CA11" s="457"/>
      <c r="CB11" s="566"/>
      <c r="CC11" s="457"/>
      <c r="CD11" s="566"/>
      <c r="CE11" s="457"/>
      <c r="CF11" s="566"/>
      <c r="CG11" s="573">
        <f>CG305</f>
        <v>-21.799999999999997</v>
      </c>
      <c r="CH11" s="572" t="str">
        <f t="shared" si="16"/>
        <v>NA</v>
      </c>
      <c r="CI11" s="573">
        <f>CI305</f>
        <v>-16.999999999999996</v>
      </c>
      <c r="CJ11" s="572" t="str">
        <f t="shared" si="17"/>
        <v>NA</v>
      </c>
      <c r="CK11" s="573">
        <f>CK305</f>
        <v>-20.800000000000004</v>
      </c>
      <c r="CL11" s="572" t="str">
        <f t="shared" si="18"/>
        <v>NA</v>
      </c>
      <c r="CM11" s="573">
        <f>CM305</f>
        <v>-18.799999999999997</v>
      </c>
      <c r="CN11" s="572" t="str">
        <f t="shared" si="19"/>
        <v>NA</v>
      </c>
      <c r="CO11" s="573">
        <f>CO305</f>
        <v>-20.6</v>
      </c>
      <c r="CP11" s="572">
        <f t="shared" si="20"/>
        <v>-5.5045871559632804</v>
      </c>
      <c r="CQ11" s="573">
        <f>CQ305</f>
        <v>-25.900000000000006</v>
      </c>
      <c r="CR11" s="572">
        <f t="shared" si="21"/>
        <v>52.352941176470644</v>
      </c>
      <c r="CS11" s="573">
        <f>CS305</f>
        <v>-27.399999999999995</v>
      </c>
      <c r="CT11" s="572">
        <f t="shared" si="22"/>
        <v>31.730769230769184</v>
      </c>
      <c r="CU11" s="573">
        <f>CU305</f>
        <v>-34.599999999999994</v>
      </c>
      <c r="CV11" s="572">
        <f t="shared" si="23"/>
        <v>84.042553191489361</v>
      </c>
      <c r="CW11" s="573">
        <f>CW305</f>
        <v>-26.199999999999996</v>
      </c>
      <c r="CX11" s="572">
        <f t="shared" si="24"/>
        <v>27.184466019417442</v>
      </c>
      <c r="CY11" s="573">
        <f>CY305</f>
        <v>-29.6</v>
      </c>
      <c r="CZ11" s="572">
        <f t="shared" si="25"/>
        <v>14.285714285714256</v>
      </c>
      <c r="DA11" s="573">
        <f>DA305</f>
        <v>-25.4</v>
      </c>
      <c r="DB11" s="572">
        <f t="shared" si="26"/>
        <v>-7.2992700729926918</v>
      </c>
      <c r="DC11" s="573">
        <f>DC305</f>
        <v>-33.900000000000006</v>
      </c>
      <c r="DD11" s="572">
        <f t="shared" si="27"/>
        <v>-2.0231213872831999</v>
      </c>
      <c r="DE11" s="573">
        <f>DE305</f>
        <v>-26.5</v>
      </c>
      <c r="DF11" s="572">
        <f t="shared" si="28"/>
        <v>1.1450381679389388</v>
      </c>
      <c r="DG11" s="573">
        <f>DG305</f>
        <v>-41.6</v>
      </c>
      <c r="DH11" s="572">
        <f t="shared" si="29"/>
        <v>40.540540540540547</v>
      </c>
      <c r="DI11" s="573">
        <f>DI305</f>
        <v>-25.099999999999994</v>
      </c>
      <c r="DJ11" s="572">
        <f t="shared" si="30"/>
        <v>-1.1811023622047445</v>
      </c>
      <c r="DK11" s="573">
        <f>DK305</f>
        <v>-25.799999999999997</v>
      </c>
      <c r="DL11" s="572">
        <f t="shared" si="30"/>
        <v>-23.893805309734539</v>
      </c>
      <c r="DM11" s="573">
        <f>DM305</f>
        <v>-32.9</v>
      </c>
      <c r="DN11" s="572">
        <f t="shared" si="31"/>
        <v>24.15094339622641</v>
      </c>
      <c r="DO11" s="573">
        <f>DO305</f>
        <v>-36.299999999999997</v>
      </c>
      <c r="DP11" s="572">
        <f t="shared" si="31"/>
        <v>-12.740384615384626</v>
      </c>
      <c r="DQ11" s="573">
        <f>DQ305</f>
        <v>-29.9</v>
      </c>
      <c r="DR11" s="572">
        <f t="shared" si="32"/>
        <v>19.123505976095643</v>
      </c>
      <c r="DS11" s="573">
        <f>DS305</f>
        <v>-37.6</v>
      </c>
      <c r="DT11" s="572">
        <f t="shared" si="33"/>
        <v>45.736434108527149</v>
      </c>
      <c r="DU11" s="573">
        <f>DU305</f>
        <v>-35.9</v>
      </c>
      <c r="DV11" s="572">
        <f t="shared" si="34"/>
        <v>9.1185410334346564</v>
      </c>
      <c r="DW11" s="573">
        <f>DW305</f>
        <v>-39.699999999999996</v>
      </c>
      <c r="DX11" s="572">
        <f t="shared" si="35"/>
        <v>9.3663911845730077</v>
      </c>
      <c r="DY11" s="573">
        <f>DY305</f>
        <v>-45.7</v>
      </c>
      <c r="DZ11" s="572">
        <f t="shared" si="36"/>
        <v>52.842809364548501</v>
      </c>
      <c r="EA11" s="573">
        <f>EA305</f>
        <v>-41.7</v>
      </c>
      <c r="EB11" s="572">
        <f t="shared" si="37"/>
        <v>10.904255319148938</v>
      </c>
      <c r="EC11" s="573">
        <f>EC305</f>
        <v>-39.800000000000004</v>
      </c>
      <c r="ED11" s="572">
        <f t="shared" si="38"/>
        <v>10.863509749303635</v>
      </c>
      <c r="EE11" s="573">
        <f t="shared" ref="EE11:EG11" si="69">EE305</f>
        <v>-37.599999999999994</v>
      </c>
      <c r="EF11" s="572">
        <f t="shared" si="40"/>
        <v>-5.2896725440806041</v>
      </c>
      <c r="EG11" s="573">
        <f t="shared" si="69"/>
        <v>-36.199999999999996</v>
      </c>
      <c r="EH11" s="572">
        <f t="shared" si="41"/>
        <v>-20.787746170678357</v>
      </c>
      <c r="EI11" s="573">
        <f t="shared" ref="EI11" si="70">EI305</f>
        <v>-33.199999999999996</v>
      </c>
      <c r="EJ11" s="572">
        <f t="shared" si="43"/>
        <v>-20.383693045563568</v>
      </c>
      <c r="EK11" s="573">
        <f t="shared" ref="EK11:EQ11" si="71">EK305</f>
        <v>-35.319999999999993</v>
      </c>
      <c r="EL11" s="572">
        <f t="shared" si="45"/>
        <v>-11.256281407035207</v>
      </c>
      <c r="EM11" s="573">
        <f t="shared" si="71"/>
        <v>-35.319999999999993</v>
      </c>
      <c r="EN11" s="572">
        <f t="shared" si="46"/>
        <v>-6.0638297872340434</v>
      </c>
      <c r="EO11" s="573">
        <f t="shared" si="71"/>
        <v>-37.069999999999993</v>
      </c>
      <c r="EP11" s="572">
        <f t="shared" si="47"/>
        <v>2.403314917127064</v>
      </c>
      <c r="EQ11" s="573">
        <f t="shared" si="71"/>
        <v>-37.069999999999993</v>
      </c>
      <c r="ER11" s="572">
        <f t="shared" si="48"/>
        <v>11.656626506024082</v>
      </c>
      <c r="ES11" s="457"/>
      <c r="ET11" s="459"/>
      <c r="EU11" s="457"/>
      <c r="EV11" s="457"/>
      <c r="EW11" s="457"/>
      <c r="EX11" s="457"/>
      <c r="EY11" s="566"/>
      <c r="EZ11" s="457"/>
      <c r="FA11" s="566"/>
      <c r="FB11" s="457"/>
      <c r="FC11" s="566"/>
      <c r="FD11" s="457"/>
      <c r="FE11" s="566"/>
      <c r="FF11" s="457"/>
      <c r="FG11" s="566"/>
      <c r="FH11" s="457"/>
      <c r="FI11" s="566"/>
      <c r="FJ11" s="457"/>
      <c r="FK11" s="566"/>
      <c r="FL11" s="457"/>
      <c r="FM11" s="566"/>
      <c r="FN11" s="457"/>
      <c r="FO11" s="566"/>
      <c r="FP11" s="457"/>
      <c r="FQ11" s="566"/>
      <c r="FR11" s="457"/>
      <c r="FS11" s="566"/>
      <c r="FT11" s="457"/>
      <c r="FU11" s="566"/>
      <c r="FV11" s="573">
        <f t="shared" ref="FV11:GB11" si="72">FV305</f>
        <v>-78.399999999999977</v>
      </c>
      <c r="FW11" s="572" t="str">
        <f t="shared" si="50"/>
        <v>NA</v>
      </c>
      <c r="FX11" s="573">
        <f t="shared" si="72"/>
        <v>-86.399999999999977</v>
      </c>
      <c r="FY11" s="572">
        <f t="shared" si="51"/>
        <v>10.204081632653072</v>
      </c>
      <c r="FZ11" s="573">
        <f t="shared" si="72"/>
        <v>-115.1</v>
      </c>
      <c r="GA11" s="572">
        <f t="shared" si="52"/>
        <v>33.217592592592624</v>
      </c>
      <c r="GB11" s="573">
        <f t="shared" si="72"/>
        <v>-119.00000000000001</v>
      </c>
      <c r="GC11" s="572">
        <f t="shared" si="53"/>
        <v>3.3883579496090555</v>
      </c>
      <c r="GD11" s="573">
        <f>GD305</f>
        <v>-136.69999999999999</v>
      </c>
      <c r="GE11" s="572">
        <f t="shared" si="54"/>
        <v>14.873949579831901</v>
      </c>
      <c r="GF11" s="573">
        <f>GF305</f>
        <v>-163</v>
      </c>
      <c r="GG11" s="572">
        <f t="shared" si="54"/>
        <v>19.239209948792979</v>
      </c>
      <c r="GH11" s="573">
        <f>GH305</f>
        <v>-146.79999999999998</v>
      </c>
      <c r="GI11" s="572">
        <f t="shared" si="54"/>
        <v>-9.9386503067484746</v>
      </c>
      <c r="GJ11" s="573">
        <f>GJ305</f>
        <v>-144.77999999999997</v>
      </c>
      <c r="GK11" s="572">
        <f t="shared" si="54"/>
        <v>-1.3760217983651346</v>
      </c>
      <c r="GL11" s="573">
        <f>GL305</f>
        <v>-148.27999999999997</v>
      </c>
      <c r="GM11" s="572">
        <f t="shared" si="54"/>
        <v>2.4174609752728227</v>
      </c>
      <c r="GN11" s="573">
        <f>GN305</f>
        <v>-150.02199999999999</v>
      </c>
      <c r="GO11" s="572">
        <f t="shared" si="54"/>
        <v>1.1748044240625921</v>
      </c>
      <c r="GP11" s="573">
        <f>GP305</f>
        <v>-151.78141999999997</v>
      </c>
      <c r="GQ11" s="572">
        <f t="shared" si="54"/>
        <v>1.1727746597165689</v>
      </c>
      <c r="GR11" s="573">
        <f>GR305</f>
        <v>-153.55843419999997</v>
      </c>
      <c r="GS11" s="572">
        <f t="shared" si="55"/>
        <v>1.1707718902616682</v>
      </c>
      <c r="GT11" s="572">
        <f t="shared" si="56"/>
        <v>0.90426514075188091</v>
      </c>
      <c r="GW11"/>
      <c r="GX11"/>
      <c r="GY11"/>
      <c r="GZ11"/>
      <c r="HA11"/>
      <c r="HB11"/>
    </row>
    <row r="12" spans="1:286" s="570" customFormat="1" ht="12.75" customHeight="1" x14ac:dyDescent="0.2">
      <c r="A12" s="560"/>
      <c r="B12" s="568" t="s">
        <v>137</v>
      </c>
      <c r="C12" s="560"/>
      <c r="D12" s="560"/>
      <c r="E12" s="560"/>
      <c r="F12" s="560"/>
      <c r="G12" s="560"/>
      <c r="H12" s="560"/>
      <c r="I12" s="560"/>
      <c r="J12" s="560"/>
      <c r="K12" s="560"/>
      <c r="L12" s="560"/>
      <c r="M12" s="560"/>
      <c r="N12" s="569"/>
      <c r="O12" s="560"/>
      <c r="P12" s="569"/>
      <c r="Q12" s="560"/>
      <c r="R12" s="569"/>
      <c r="S12" s="560"/>
      <c r="T12" s="569"/>
      <c r="U12" s="560"/>
      <c r="V12" s="569"/>
      <c r="W12" s="560"/>
      <c r="X12" s="569"/>
      <c r="Y12" s="560"/>
      <c r="Z12" s="569"/>
      <c r="AA12" s="560"/>
      <c r="AB12" s="569"/>
      <c r="AC12" s="560"/>
      <c r="AD12" s="569"/>
      <c r="AE12" s="560"/>
      <c r="AF12" s="569"/>
      <c r="AG12" s="560"/>
      <c r="AH12" s="569"/>
      <c r="AI12" s="560"/>
      <c r="AJ12" s="569"/>
      <c r="AK12" s="560"/>
      <c r="AL12" s="569"/>
      <c r="AM12" s="560"/>
      <c r="AN12" s="569"/>
      <c r="AO12" s="560"/>
      <c r="AP12" s="569"/>
      <c r="AQ12" s="560"/>
      <c r="AR12" s="569"/>
      <c r="AS12" s="560"/>
      <c r="AT12" s="569"/>
      <c r="AU12" s="560"/>
      <c r="AV12" s="569"/>
      <c r="AW12" s="560"/>
      <c r="AX12" s="569"/>
      <c r="AY12" s="560"/>
      <c r="AZ12" s="569"/>
      <c r="BA12" s="560"/>
      <c r="BB12" s="569"/>
      <c r="BC12" s="560"/>
      <c r="BD12" s="569"/>
      <c r="BE12" s="560"/>
      <c r="BF12" s="569"/>
      <c r="BG12" s="560"/>
      <c r="BH12" s="569"/>
      <c r="BI12" s="560"/>
      <c r="BJ12" s="569"/>
      <c r="BK12" s="560"/>
      <c r="BL12" s="569"/>
      <c r="BM12" s="560"/>
      <c r="BN12" s="569"/>
      <c r="BO12" s="560"/>
      <c r="BP12" s="569"/>
      <c r="BQ12" s="560"/>
      <c r="BR12" s="569"/>
      <c r="BS12" s="560"/>
      <c r="BT12" s="569"/>
      <c r="BU12" s="560"/>
      <c r="BV12" s="569"/>
      <c r="BW12" s="560"/>
      <c r="BX12" s="569"/>
      <c r="BY12" s="560"/>
      <c r="BZ12" s="569"/>
      <c r="CA12" s="560"/>
      <c r="CB12" s="569"/>
      <c r="CC12" s="560"/>
      <c r="CD12" s="569"/>
      <c r="CE12" s="560"/>
      <c r="CF12" s="569"/>
      <c r="CG12" s="574">
        <f>CG7+CG8+CG9+CG10+CG11</f>
        <v>320.19999999999987</v>
      </c>
      <c r="CH12" s="572" t="str">
        <f t="shared" si="16"/>
        <v>NA</v>
      </c>
      <c r="CI12" s="574">
        <f>CI7+CI8+CI9+CI10+CI11</f>
        <v>346.10000000000014</v>
      </c>
      <c r="CJ12" s="572" t="str">
        <f t="shared" si="17"/>
        <v>NA</v>
      </c>
      <c r="CK12" s="574">
        <f>CK7+CK8+CK9+CK10+CK11</f>
        <v>320.60000000000025</v>
      </c>
      <c r="CL12" s="572" t="str">
        <f t="shared" si="18"/>
        <v>NA</v>
      </c>
      <c r="CM12" s="574">
        <f>CM7+CM8+CM9+CM10+CM11</f>
        <v>-616.80000000000018</v>
      </c>
      <c r="CN12" s="572" t="str">
        <f t="shared" si="19"/>
        <v>NA</v>
      </c>
      <c r="CO12" s="574">
        <f>CO7+CO8+CO9+CO10+CO11</f>
        <v>309.19999999999959</v>
      </c>
      <c r="CP12" s="572">
        <f t="shared" si="20"/>
        <v>-3.4353529044348186</v>
      </c>
      <c r="CQ12" s="574">
        <f>CQ7+CQ8+CQ9+CQ10+CQ11</f>
        <v>310.10000000000025</v>
      </c>
      <c r="CR12" s="572">
        <f t="shared" si="21"/>
        <v>-10.401618029471216</v>
      </c>
      <c r="CS12" s="574">
        <f>CS7+CS8+CS9+CS10+CS11</f>
        <v>310.69999999999993</v>
      </c>
      <c r="CT12" s="572">
        <f t="shared" si="22"/>
        <v>-3.0879600748597302</v>
      </c>
      <c r="CU12" s="574">
        <f>CU7+CU8+CU9+CU10+CU11</f>
        <v>309.69999999999982</v>
      </c>
      <c r="CV12" s="572" t="str">
        <f t="shared" si="23"/>
        <v>NM</v>
      </c>
      <c r="CW12" s="574">
        <f>CW7+CW8+CW9+CW10+CW11</f>
        <v>312.00000000000023</v>
      </c>
      <c r="CX12" s="572">
        <f t="shared" si="24"/>
        <v>0.90556274256166081</v>
      </c>
      <c r="CY12" s="574">
        <f>CY7+CY8+CY9+CY10+CY11</f>
        <v>314.89999999999986</v>
      </c>
      <c r="CZ12" s="572">
        <f t="shared" si="25"/>
        <v>1.5478877781359701</v>
      </c>
      <c r="DA12" s="574">
        <f>DA7+DA8+DA9+DA10+DA11</f>
        <v>316.40000000000015</v>
      </c>
      <c r="DB12" s="572">
        <f t="shared" si="26"/>
        <v>1.8345671065337132</v>
      </c>
      <c r="DC12" s="574">
        <f>DC7+DC8+DC9+DC10+DC11</f>
        <v>302.80000000000007</v>
      </c>
      <c r="DD12" s="572">
        <f t="shared" si="27"/>
        <v>-2.2279625443977213</v>
      </c>
      <c r="DE12" s="574">
        <f>DE7+DE8+DE9+DE10+DE11</f>
        <v>324.89999999999986</v>
      </c>
      <c r="DF12" s="572">
        <f t="shared" si="28"/>
        <v>4.1346153846152589</v>
      </c>
      <c r="DG12" s="574">
        <f>DG7+DG8+DG9+DG10+DG11</f>
        <v>325.29999999999984</v>
      </c>
      <c r="DH12" s="572">
        <f t="shared" si="29"/>
        <v>3.3026357573832987</v>
      </c>
      <c r="DI12" s="574">
        <f>DI7+DI8+DI9+DI10+DI11</f>
        <v>317.20000000000016</v>
      </c>
      <c r="DJ12" s="572">
        <f t="shared" si="30"/>
        <v>0.25284450063212116</v>
      </c>
      <c r="DK12" s="574">
        <f>DK7+DK8+DK9+DK10+DK11</f>
        <v>-372.90000000000003</v>
      </c>
      <c r="DL12" s="572" t="str">
        <f t="shared" si="30"/>
        <v>NM</v>
      </c>
      <c r="DM12" s="574">
        <f>DM7+DM8+DM9+DM10+DM11</f>
        <v>318.30000000000007</v>
      </c>
      <c r="DN12" s="572">
        <f t="shared" si="31"/>
        <v>-2.0313942751615244</v>
      </c>
      <c r="DO12" s="574">
        <f>DO7+DO8+DO9+DO10+DO11</f>
        <v>319.00000000000006</v>
      </c>
      <c r="DP12" s="572">
        <f t="shared" si="31"/>
        <v>-1.9366738395326766</v>
      </c>
      <c r="DQ12" s="574">
        <f>DQ7+DQ8+DQ9+DQ10+DQ11</f>
        <v>325.5</v>
      </c>
      <c r="DR12" s="572">
        <f t="shared" si="32"/>
        <v>2.6166456494324919</v>
      </c>
      <c r="DS12" s="574">
        <f>DS7+DS8+DS9+DS10+DS11</f>
        <v>319.29999999999961</v>
      </c>
      <c r="DT12" s="572" t="str">
        <f t="shared" si="33"/>
        <v>NM</v>
      </c>
      <c r="DU12" s="574">
        <f>DU7+DU8+DU9+DU10+DU11</f>
        <v>324.70000000000016</v>
      </c>
      <c r="DV12" s="572">
        <f t="shared" si="34"/>
        <v>2.0106817467797855</v>
      </c>
      <c r="DW12" s="574">
        <f>DW7+DW8+DW9+DW10+DW11</f>
        <v>334.90000000000015</v>
      </c>
      <c r="DX12" s="572">
        <f t="shared" si="35"/>
        <v>4.9843260188088045</v>
      </c>
      <c r="DY12" s="574">
        <f>DY7+DY8+DY9+DY10+DY11</f>
        <v>321.10000000000008</v>
      </c>
      <c r="DZ12" s="572">
        <f t="shared" si="36"/>
        <v>-1.3517665130568068</v>
      </c>
      <c r="EA12" s="574">
        <f>EA7+EA8+EA9+EA10+EA11</f>
        <v>342.7999999999995</v>
      </c>
      <c r="EB12" s="572">
        <f t="shared" si="37"/>
        <v>7.3598496711556161</v>
      </c>
      <c r="EC12" s="574">
        <f>EC7+EC8+EC9+EC10+EC11</f>
        <v>339.89999999999986</v>
      </c>
      <c r="ED12" s="572">
        <f t="shared" si="38"/>
        <v>4.6812442254387632</v>
      </c>
      <c r="EE12" s="574">
        <f t="shared" ref="EE12:EG12" si="73">EE7+EE8+EE9+EE10+EE11</f>
        <v>353.50000000000023</v>
      </c>
      <c r="EF12" s="572">
        <f t="shared" si="40"/>
        <v>5.5538966855777971</v>
      </c>
      <c r="EG12" s="574">
        <f t="shared" si="73"/>
        <v>356.40000000000015</v>
      </c>
      <c r="EH12" s="572">
        <f t="shared" si="41"/>
        <v>10.993459981314246</v>
      </c>
      <c r="EI12" s="574">
        <f t="shared" ref="EI12" si="74">EI7+EI8+EI9+EI10+EI11</f>
        <v>372.90000000000015</v>
      </c>
      <c r="EJ12" s="572">
        <f t="shared" si="43"/>
        <v>8.7806301050177069</v>
      </c>
      <c r="EK12" s="574">
        <f t="shared" ref="EK12:EQ12" si="75">EK7+EK8+EK9+EK10+EK11</f>
        <v>350.70513468194838</v>
      </c>
      <c r="EL12" s="572">
        <f t="shared" si="45"/>
        <v>3.1789157640331078</v>
      </c>
      <c r="EM12" s="574">
        <f t="shared" si="75"/>
        <v>353.02545439877946</v>
      </c>
      <c r="EN12" s="572">
        <f t="shared" si="46"/>
        <v>-0.13424203712044669</v>
      </c>
      <c r="EO12" s="574">
        <f t="shared" si="75"/>
        <v>354.43037123584202</v>
      </c>
      <c r="EP12" s="572">
        <f t="shared" si="47"/>
        <v>-0.55264555672225324</v>
      </c>
      <c r="EQ12" s="574">
        <f t="shared" si="75"/>
        <v>356.73614610058638</v>
      </c>
      <c r="ER12" s="572">
        <f t="shared" si="48"/>
        <v>-4.334634995820263</v>
      </c>
      <c r="ES12" s="560"/>
      <c r="ET12" s="575"/>
      <c r="EU12" s="560"/>
      <c r="EV12" s="560"/>
      <c r="EW12" s="560"/>
      <c r="EX12" s="560"/>
      <c r="EY12" s="569"/>
      <c r="EZ12" s="560"/>
      <c r="FA12" s="569"/>
      <c r="FB12" s="560"/>
      <c r="FC12" s="569"/>
      <c r="FD12" s="560"/>
      <c r="FE12" s="569"/>
      <c r="FF12" s="560"/>
      <c r="FG12" s="569"/>
      <c r="FH12" s="560"/>
      <c r="FI12" s="569"/>
      <c r="FJ12" s="560"/>
      <c r="FK12" s="569"/>
      <c r="FL12" s="560"/>
      <c r="FM12" s="569"/>
      <c r="FN12" s="560"/>
      <c r="FO12" s="569"/>
      <c r="FP12" s="560"/>
      <c r="FQ12" s="569"/>
      <c r="FR12" s="560"/>
      <c r="FS12" s="569"/>
      <c r="FT12" s="560"/>
      <c r="FU12" s="569"/>
      <c r="FV12" s="574">
        <f>FV7+FV8+FV9+FV10+FV11</f>
        <v>370.09999999999934</v>
      </c>
      <c r="FW12" s="572" t="str">
        <f t="shared" si="50"/>
        <v>NA</v>
      </c>
      <c r="FX12" s="574">
        <f>FX7+FX8+FX9+FX10+FX11</f>
        <v>1255.7999999999988</v>
      </c>
      <c r="FY12" s="572" t="str">
        <f t="shared" si="51"/>
        <v>NM</v>
      </c>
      <c r="FZ12" s="574">
        <f>FZ7+FZ8+FZ9+FZ10+FZ11</f>
        <v>1246.1000000000004</v>
      </c>
      <c r="GA12" s="572">
        <f t="shared" si="52"/>
        <v>-0.77241598980717363</v>
      </c>
      <c r="GB12" s="574">
        <f>GB7+GB8+GB9+GB10+GB11</f>
        <v>594.50000000000045</v>
      </c>
      <c r="GC12" s="572" t="str">
        <f t="shared" si="53"/>
        <v>NM</v>
      </c>
      <c r="GD12" s="574">
        <f>GD7+GD8+GD9+GD10+GD11</f>
        <v>1282.0999999999997</v>
      </c>
      <c r="GE12" s="572" t="str">
        <f t="shared" si="54"/>
        <v>NM</v>
      </c>
      <c r="GF12" s="574">
        <f>GF7+GF8+GF9+GF10+GF11</f>
        <v>1323.5000000000002</v>
      </c>
      <c r="GG12" s="572">
        <f t="shared" si="54"/>
        <v>3.2290772950628321</v>
      </c>
      <c r="GH12" s="574">
        <f>GH7+GH8+GH9+GH10+GH11</f>
        <v>1422.6999999999991</v>
      </c>
      <c r="GI12" s="572">
        <f t="shared" si="54"/>
        <v>7.4952776728370862</v>
      </c>
      <c r="GJ12" s="574">
        <f>GJ7+GJ8+GJ9+GJ10+GJ11</f>
        <v>1414.8971064171551</v>
      </c>
      <c r="GK12" s="572">
        <f t="shared" si="54"/>
        <v>-0.5484567078684166</v>
      </c>
      <c r="GL12" s="574">
        <f>GL7+GL8+GL9+GL10+GL11</f>
        <v>1448.9117131662892</v>
      </c>
      <c r="GM12" s="572">
        <f t="shared" si="54"/>
        <v>2.4040339466992799</v>
      </c>
      <c r="GN12" s="574">
        <f>GN7+GN8+GN9+GN10+GN11</f>
        <v>1489.585614585867</v>
      </c>
      <c r="GO12" s="572">
        <f t="shared" si="54"/>
        <v>2.8072035756197655</v>
      </c>
      <c r="GP12" s="574">
        <f>GP7+GP8+GP9+GP10+GP11</f>
        <v>1535.4955462668163</v>
      </c>
      <c r="GQ12" s="572">
        <f t="shared" si="54"/>
        <v>3.082060623532068</v>
      </c>
      <c r="GR12" s="574">
        <f>GR7+GR8+GR9+GR10+GR11</f>
        <v>1575.4640968302349</v>
      </c>
      <c r="GS12" s="572">
        <f t="shared" si="55"/>
        <v>2.6029740470815632</v>
      </c>
      <c r="GT12" s="572">
        <f t="shared" si="56"/>
        <v>2.0608158834128254</v>
      </c>
      <c r="GW12"/>
      <c r="GX12"/>
      <c r="GY12"/>
      <c r="GZ12"/>
      <c r="HA12"/>
      <c r="HB12"/>
    </row>
    <row r="13" spans="1:286" s="594" customFormat="1" ht="12.75" hidden="1" customHeight="1" outlineLevel="1" x14ac:dyDescent="0.2">
      <c r="B13" s="593" t="s">
        <v>517</v>
      </c>
      <c r="C13" s="595"/>
      <c r="D13" s="596"/>
      <c r="E13" s="595"/>
      <c r="F13" s="596"/>
      <c r="G13" s="595"/>
      <c r="H13" s="596"/>
      <c r="I13" s="595"/>
      <c r="J13" s="596"/>
      <c r="K13" s="597"/>
      <c r="L13" s="596"/>
      <c r="M13" s="595"/>
      <c r="N13" s="596"/>
      <c r="O13" s="595"/>
      <c r="P13" s="596"/>
      <c r="Q13" s="595"/>
      <c r="R13" s="596"/>
      <c r="S13" s="595"/>
      <c r="T13" s="596"/>
      <c r="U13" s="595"/>
      <c r="V13" s="596"/>
      <c r="W13" s="595"/>
      <c r="X13" s="596"/>
      <c r="Y13" s="597"/>
      <c r="Z13" s="596"/>
      <c r="AA13" s="595"/>
      <c r="AB13" s="596"/>
      <c r="AC13" s="597"/>
      <c r="AD13" s="596"/>
      <c r="AE13" s="597"/>
      <c r="AF13" s="596"/>
      <c r="AG13" s="597"/>
      <c r="AH13" s="596"/>
      <c r="AI13" s="597"/>
      <c r="AJ13" s="596"/>
      <c r="AK13" s="597"/>
      <c r="AL13" s="596"/>
      <c r="AM13" s="597"/>
      <c r="AN13" s="596"/>
      <c r="AO13" s="597"/>
      <c r="AP13" s="596"/>
      <c r="AQ13" s="597"/>
      <c r="AR13" s="596"/>
      <c r="AS13" s="597"/>
      <c r="AT13" s="596"/>
      <c r="AU13" s="597"/>
      <c r="AV13" s="596"/>
      <c r="AW13" s="597"/>
      <c r="AX13" s="596"/>
      <c r="AY13" s="597"/>
      <c r="AZ13" s="596"/>
      <c r="BA13" s="597"/>
      <c r="BB13" s="596"/>
      <c r="BC13" s="597"/>
      <c r="BD13" s="596"/>
      <c r="BE13" s="597"/>
      <c r="BF13" s="596"/>
      <c r="BG13" s="597"/>
      <c r="BH13" s="596"/>
      <c r="BI13" s="597"/>
      <c r="BJ13" s="596"/>
      <c r="BK13" s="597"/>
      <c r="BL13" s="596"/>
      <c r="BM13" s="597"/>
      <c r="BN13" s="596"/>
      <c r="BO13" s="597"/>
      <c r="BP13" s="596"/>
      <c r="BQ13" s="597"/>
      <c r="BR13" s="596"/>
      <c r="BS13" s="597"/>
      <c r="BT13" s="596"/>
      <c r="BU13" s="597"/>
      <c r="BV13" s="596"/>
      <c r="BW13" s="597"/>
      <c r="BX13" s="596"/>
      <c r="BY13" s="597"/>
      <c r="BZ13" s="596"/>
      <c r="CA13" s="597"/>
      <c r="CB13" s="596"/>
      <c r="CC13" s="597"/>
      <c r="CD13" s="596"/>
      <c r="CE13" s="597"/>
      <c r="CF13" s="596"/>
      <c r="CG13" s="598">
        <f>CG12-CG413</f>
        <v>0</v>
      </c>
      <c r="CH13" s="596"/>
      <c r="CI13" s="598">
        <f>CI12-CI413</f>
        <v>0</v>
      </c>
      <c r="CJ13" s="596"/>
      <c r="CK13" s="598">
        <f>CK12-CK413</f>
        <v>0</v>
      </c>
      <c r="CL13" s="596"/>
      <c r="CM13" s="598">
        <f>CM12-CM413</f>
        <v>0</v>
      </c>
      <c r="CN13" s="596"/>
      <c r="CO13" s="598">
        <f>CO12-CO413</f>
        <v>0</v>
      </c>
      <c r="CP13" s="596"/>
      <c r="CQ13" s="598">
        <f>CQ12-CQ413</f>
        <v>0</v>
      </c>
      <c r="CR13" s="596"/>
      <c r="CS13" s="598">
        <f>CS12-CS413</f>
        <v>0</v>
      </c>
      <c r="CT13" s="596"/>
      <c r="CU13" s="598">
        <f>CU12-CU413</f>
        <v>0</v>
      </c>
      <c r="CV13" s="596"/>
      <c r="CW13" s="598">
        <f>CW12-CW413</f>
        <v>0</v>
      </c>
      <c r="CX13" s="596"/>
      <c r="CY13" s="598">
        <f>CY12-CY413</f>
        <v>0</v>
      </c>
      <c r="CZ13" s="596"/>
      <c r="DA13" s="598">
        <f>DA12-DA413</f>
        <v>0</v>
      </c>
      <c r="DB13" s="596"/>
      <c r="DC13" s="598">
        <f>DC12-DC413</f>
        <v>0</v>
      </c>
      <c r="DD13" s="596"/>
      <c r="DE13" s="598">
        <f>DE12-DE413</f>
        <v>0</v>
      </c>
      <c r="DF13" s="596"/>
      <c r="DG13" s="598">
        <f>DG12-DG413</f>
        <v>0</v>
      </c>
      <c r="DH13" s="596"/>
      <c r="DI13" s="598">
        <f>DI12-DI413</f>
        <v>0</v>
      </c>
      <c r="DJ13" s="596"/>
      <c r="DK13" s="598">
        <f>DK12-DK413</f>
        <v>0</v>
      </c>
      <c r="DL13" s="596"/>
      <c r="DM13" s="598">
        <f>DM12-DM413</f>
        <v>0</v>
      </c>
      <c r="DN13" s="596"/>
      <c r="DO13" s="598">
        <f>DO12-DO413</f>
        <v>0</v>
      </c>
      <c r="DP13" s="596"/>
      <c r="DQ13" s="598">
        <f>DQ12-DQ413</f>
        <v>0</v>
      </c>
      <c r="DR13" s="596"/>
      <c r="DS13" s="598">
        <f>DS12-DS413</f>
        <v>0</v>
      </c>
      <c r="DT13" s="596"/>
      <c r="DU13" s="598">
        <f>DU12-DU413</f>
        <v>0</v>
      </c>
      <c r="DV13" s="596"/>
      <c r="DW13" s="598">
        <f>DW12-DW413</f>
        <v>0</v>
      </c>
      <c r="DX13" s="596"/>
      <c r="DY13" s="598">
        <f>DY12-DY413</f>
        <v>0</v>
      </c>
      <c r="DZ13" s="596"/>
      <c r="EA13" s="598">
        <f>EA12-EA413</f>
        <v>-4.5474735088646412E-13</v>
      </c>
      <c r="EB13" s="596"/>
      <c r="EC13" s="598">
        <f>EC12-EC413</f>
        <v>0</v>
      </c>
      <c r="ED13" s="596"/>
      <c r="EE13" s="974">
        <f t="shared" ref="EE13:EG13" si="76">EE12-EE413</f>
        <v>0</v>
      </c>
      <c r="EF13" s="596"/>
      <c r="EG13" s="974">
        <f t="shared" si="76"/>
        <v>0</v>
      </c>
      <c r="EH13" s="596"/>
      <c r="EI13" s="974">
        <f t="shared" ref="EI13" si="77">EI12-EI413</f>
        <v>0</v>
      </c>
      <c r="EJ13" s="596"/>
      <c r="EK13" s="598">
        <f t="shared" ref="EK13:EQ13" si="78">EK12-EK413</f>
        <v>0</v>
      </c>
      <c r="EL13" s="596"/>
      <c r="EM13" s="598">
        <f t="shared" si="78"/>
        <v>0</v>
      </c>
      <c r="EN13" s="596"/>
      <c r="EO13" s="598">
        <f t="shared" si="78"/>
        <v>0</v>
      </c>
      <c r="EP13" s="596"/>
      <c r="EQ13" s="598">
        <f t="shared" si="78"/>
        <v>0</v>
      </c>
      <c r="ER13" s="596"/>
      <c r="ES13" s="599"/>
      <c r="ET13" s="600"/>
      <c r="EU13" s="599"/>
      <c r="EV13" s="599"/>
      <c r="EW13" s="595"/>
      <c r="EX13" s="596"/>
      <c r="EY13" s="595"/>
      <c r="EZ13" s="596"/>
      <c r="FA13" s="595"/>
      <c r="FB13" s="596"/>
      <c r="FC13" s="597"/>
      <c r="FD13" s="596"/>
      <c r="FE13" s="597"/>
      <c r="FF13" s="596"/>
      <c r="FG13" s="597"/>
      <c r="FH13" s="596"/>
      <c r="FI13" s="597"/>
      <c r="FJ13" s="596"/>
      <c r="FK13" s="597"/>
      <c r="FL13" s="596"/>
      <c r="FM13" s="597"/>
      <c r="FN13" s="596"/>
      <c r="FO13" s="597"/>
      <c r="FP13" s="596"/>
      <c r="FQ13" s="597"/>
      <c r="FR13" s="596"/>
      <c r="FS13" s="597"/>
      <c r="FT13" s="596"/>
      <c r="FU13" s="595"/>
      <c r="FV13" s="598">
        <f>FV12-FV413</f>
        <v>-4.5474735088646412E-13</v>
      </c>
      <c r="FW13" s="596"/>
      <c r="FX13" s="598">
        <f>FX12-FX413</f>
        <v>0</v>
      </c>
      <c r="FY13" s="596"/>
      <c r="FZ13" s="598">
        <f>FZ12-FZ413</f>
        <v>0</v>
      </c>
      <c r="GA13" s="596"/>
      <c r="GB13" s="598">
        <f>GB12-GB413</f>
        <v>0</v>
      </c>
      <c r="GC13" s="596"/>
      <c r="GD13" s="598">
        <f>GD12-GD413</f>
        <v>0</v>
      </c>
      <c r="GE13" s="596"/>
      <c r="GF13" s="598">
        <f>GF12-GF413</f>
        <v>0</v>
      </c>
      <c r="GG13" s="596"/>
      <c r="GH13" s="598">
        <f>GH12-GH413</f>
        <v>0</v>
      </c>
      <c r="GI13" s="596"/>
      <c r="GJ13" s="598">
        <f>GJ12-GJ413</f>
        <v>0</v>
      </c>
      <c r="GK13" s="596"/>
      <c r="GL13" s="598">
        <f>GL12-GL413</f>
        <v>0</v>
      </c>
      <c r="GM13" s="596"/>
      <c r="GN13" s="598">
        <f>GN12-GN413</f>
        <v>0</v>
      </c>
      <c r="GO13" s="596"/>
      <c r="GP13" s="598">
        <f>GP12-GP413</f>
        <v>0</v>
      </c>
      <c r="GQ13" s="596"/>
      <c r="GR13" s="598">
        <f>GR12-GR413</f>
        <v>0</v>
      </c>
      <c r="GS13" s="596"/>
      <c r="GT13" s="596"/>
      <c r="GW13"/>
      <c r="GX13"/>
      <c r="GY13"/>
      <c r="GZ13"/>
      <c r="HA13"/>
      <c r="HB13"/>
    </row>
    <row r="14" spans="1:286" s="580" customFormat="1" ht="12.75" customHeight="1" collapsed="1" x14ac:dyDescent="0.2">
      <c r="A14" s="457"/>
      <c r="B14" s="567" t="s">
        <v>48</v>
      </c>
      <c r="C14" s="457"/>
      <c r="D14" s="457"/>
      <c r="E14" s="457"/>
      <c r="F14" s="457"/>
      <c r="G14" s="457"/>
      <c r="H14" s="457"/>
      <c r="I14" s="457"/>
      <c r="J14" s="457"/>
      <c r="K14" s="457"/>
      <c r="L14" s="457"/>
      <c r="M14" s="457"/>
      <c r="N14" s="566"/>
      <c r="O14" s="457"/>
      <c r="P14" s="566"/>
      <c r="Q14" s="457"/>
      <c r="R14" s="566"/>
      <c r="S14" s="457"/>
      <c r="T14" s="566"/>
      <c r="U14" s="457"/>
      <c r="V14" s="566"/>
      <c r="W14" s="457"/>
      <c r="X14" s="566"/>
      <c r="Y14" s="457"/>
      <c r="Z14" s="566"/>
      <c r="AA14" s="457"/>
      <c r="AB14" s="566"/>
      <c r="AC14" s="457"/>
      <c r="AD14" s="566"/>
      <c r="AE14" s="457"/>
      <c r="AF14" s="566"/>
      <c r="AG14" s="457"/>
      <c r="AH14" s="566"/>
      <c r="AI14" s="457"/>
      <c r="AJ14" s="566"/>
      <c r="AK14" s="457"/>
      <c r="AL14" s="566"/>
      <c r="AM14" s="457"/>
      <c r="AN14" s="566"/>
      <c r="AO14" s="457"/>
      <c r="AP14" s="566"/>
      <c r="AQ14" s="457"/>
      <c r="AR14" s="566"/>
      <c r="AS14" s="457"/>
      <c r="AT14" s="566"/>
      <c r="AU14" s="457"/>
      <c r="AV14" s="566"/>
      <c r="AW14" s="457"/>
      <c r="AX14" s="566"/>
      <c r="AY14" s="457"/>
      <c r="AZ14" s="566"/>
      <c r="BA14" s="457"/>
      <c r="BB14" s="566"/>
      <c r="BC14" s="457"/>
      <c r="BD14" s="566"/>
      <c r="BE14" s="457"/>
      <c r="BF14" s="566"/>
      <c r="BG14" s="457"/>
      <c r="BH14" s="566"/>
      <c r="BI14" s="457"/>
      <c r="BJ14" s="566"/>
      <c r="BK14" s="457"/>
      <c r="BL14" s="566"/>
      <c r="BM14" s="457"/>
      <c r="BN14" s="566"/>
      <c r="BO14" s="457"/>
      <c r="BP14" s="566"/>
      <c r="BQ14" s="457"/>
      <c r="BR14" s="566"/>
      <c r="BS14" s="457"/>
      <c r="BT14" s="566"/>
      <c r="BU14" s="457"/>
      <c r="BV14" s="566"/>
      <c r="BW14" s="457"/>
      <c r="BX14" s="566"/>
      <c r="BY14" s="457"/>
      <c r="BZ14" s="566"/>
      <c r="CA14" s="457"/>
      <c r="CB14" s="566"/>
      <c r="CC14" s="457"/>
      <c r="CD14" s="566"/>
      <c r="CE14" s="457"/>
      <c r="CF14" s="566"/>
      <c r="CG14" s="573">
        <f>CG414</f>
        <v>101.1</v>
      </c>
      <c r="CH14" s="572" t="str">
        <f t="shared" si="16"/>
        <v>NA</v>
      </c>
      <c r="CI14" s="573">
        <f>CI414</f>
        <v>111.1</v>
      </c>
      <c r="CJ14" s="572" t="str">
        <f t="shared" si="17"/>
        <v>NA</v>
      </c>
      <c r="CK14" s="573">
        <f>CK414</f>
        <v>97.5</v>
      </c>
      <c r="CL14" s="572" t="str">
        <f t="shared" si="18"/>
        <v>NA</v>
      </c>
      <c r="CM14" s="573">
        <f>CM414</f>
        <v>-248.1</v>
      </c>
      <c r="CN14" s="572" t="str">
        <f t="shared" si="19"/>
        <v>NA</v>
      </c>
      <c r="CO14" s="573">
        <f>CO414</f>
        <v>96</v>
      </c>
      <c r="CP14" s="572">
        <f t="shared" si="20"/>
        <v>-5.0445103857566735</v>
      </c>
      <c r="CQ14" s="573">
        <f>CQ414</f>
        <v>84.8</v>
      </c>
      <c r="CR14" s="572">
        <f t="shared" si="21"/>
        <v>-23.672367236723669</v>
      </c>
      <c r="CS14" s="573">
        <f>CS414</f>
        <v>86.7</v>
      </c>
      <c r="CT14" s="572">
        <f t="shared" si="22"/>
        <v>-11.076923076923073</v>
      </c>
      <c r="CU14" s="573">
        <f>CU414</f>
        <v>84.7</v>
      </c>
      <c r="CV14" s="572" t="str">
        <f t="shared" si="23"/>
        <v>NM</v>
      </c>
      <c r="CW14" s="573">
        <f>CW414</f>
        <v>99.3</v>
      </c>
      <c r="CX14" s="572">
        <f t="shared" si="24"/>
        <v>3.4375000000000044</v>
      </c>
      <c r="CY14" s="573">
        <f>CY414</f>
        <v>99</v>
      </c>
      <c r="CZ14" s="572">
        <f t="shared" si="25"/>
        <v>16.74528301886793</v>
      </c>
      <c r="DA14" s="573">
        <f>DA414</f>
        <v>94.8</v>
      </c>
      <c r="DB14" s="572">
        <f t="shared" si="26"/>
        <v>9.3425605536332057</v>
      </c>
      <c r="DC14" s="573">
        <f>DC414</f>
        <v>88.5</v>
      </c>
      <c r="DD14" s="572">
        <f t="shared" si="27"/>
        <v>4.4864226682408415</v>
      </c>
      <c r="DE14" s="573">
        <f>DE414</f>
        <v>102.3</v>
      </c>
      <c r="DF14" s="572">
        <f t="shared" si="28"/>
        <v>3.0211480362537735</v>
      </c>
      <c r="DG14" s="573">
        <f>DG414</f>
        <v>104</v>
      </c>
      <c r="DH14" s="572">
        <f t="shared" si="29"/>
        <v>5.0505050505050608</v>
      </c>
      <c r="DI14" s="573">
        <f>DI414</f>
        <v>98.1</v>
      </c>
      <c r="DJ14" s="572">
        <f t="shared" si="30"/>
        <v>3.4810126582278444</v>
      </c>
      <c r="DK14" s="573">
        <f>DK414</f>
        <v>-143.80000000000001</v>
      </c>
      <c r="DL14" s="572" t="str">
        <f t="shared" si="30"/>
        <v>NM</v>
      </c>
      <c r="DM14" s="573">
        <f>DM414</f>
        <v>95.4</v>
      </c>
      <c r="DN14" s="572">
        <f>IF(ISERROR((DM14/DE14-1)*100),"NA",IF(((DM14/DE14-1)*100)&gt;100,"NM",IF(((DM14/DE14-1)*100)&lt;-50,"NM",(DM14/DE14-1)*100)))</f>
        <v>-6.7448680351906098</v>
      </c>
      <c r="DO14" s="573">
        <f>DO414</f>
        <v>98.4</v>
      </c>
      <c r="DP14" s="572">
        <f>IF(ISERROR((DO14/DG14-1)*100),"NA",IF(((DO14/DG14-1)*100)&gt;100,"NM",IF(((DO14/DG14-1)*100)&lt;-50,"NM",(DO14/DG14-1)*100)))</f>
        <v>-5.3846153846153761</v>
      </c>
      <c r="DQ14" s="573">
        <f>DQ414</f>
        <v>104.4</v>
      </c>
      <c r="DR14" s="572">
        <f>IF(ISERROR((DQ14/DI14-1)*100),"NA",IF(((DQ14/DI14-1)*100)&gt;100,"NM",IF(((DQ14/DI14-1)*100)&lt;-50,"NM",(DQ14/DI14-1)*100)))</f>
        <v>6.4220183486238591</v>
      </c>
      <c r="DS14" s="573">
        <f>DS414</f>
        <v>90.7</v>
      </c>
      <c r="DT14" s="572" t="str">
        <f>IF(ISERROR((DS14/DK14-1)*100),"NA",IF(((DS14/DK14-1)*100)&gt;100,"NM",IF(((DS14/DK14-1)*100)&lt;-50,"NM",(DS14/DK14-1)*100)))</f>
        <v>NM</v>
      </c>
      <c r="DU14" s="573">
        <f>DU414</f>
        <v>100.5</v>
      </c>
      <c r="DV14" s="572">
        <f>IF(ISERROR((DU14/DM14-1)*100),"NA",IF(((DU14/DM14-1)*100)&gt;100,"NM",IF(((DU14/DM14-1)*100)&lt;-50,"NM",(DU14/DM14-1)*100)))</f>
        <v>5.3459119496855223</v>
      </c>
      <c r="DW14" s="573">
        <f>DW414</f>
        <v>101.9</v>
      </c>
      <c r="DX14" s="572">
        <f>IF(ISERROR((DW14/DO14-1)*100),"NA",IF(((DW14/DO14-1)*100)&gt;100,"NM",IF(((DW14/DO14-1)*100)&lt;-50,"NM",(DW14/DO14-1)*100)))</f>
        <v>3.5569105691056979</v>
      </c>
      <c r="DY14" s="573">
        <f>DY414</f>
        <v>92.4</v>
      </c>
      <c r="DZ14" s="572">
        <f>IF(ISERROR((DY14/DQ14-1)*100),"NA",IF(((DY14/DQ14-1)*100)&gt;100,"NM",IF(((DY14/DQ14-1)*100)&lt;-50,"NM",(DY14/DQ14-1)*100)))</f>
        <v>-11.494252873563216</v>
      </c>
      <c r="EA14" s="573">
        <f>EA414</f>
        <v>113.1</v>
      </c>
      <c r="EB14" s="572">
        <f>IF(ISERROR((EA14/DS14-1)*100),"NA",IF(((EA14/DS14-1)*100)&gt;100,"NM",IF(((EA14/DS14-1)*100)&lt;-50,"NM",(EA14/DS14-1)*100)))</f>
        <v>24.696802646085981</v>
      </c>
      <c r="EC14" s="573">
        <f>EC414</f>
        <v>103.8</v>
      </c>
      <c r="ED14" s="572">
        <f t="shared" ref="ED14:ED15" si="79">IF(ISERROR((EC14/DU14-1)*100),"NA",IF(((EC14/DU14-1)*100)&gt;100,"NM",IF(((EC14/DU14-1)*100)&lt;-50,"NM",(EC14/DU14-1)*100)))</f>
        <v>3.2835820895522394</v>
      </c>
      <c r="EE14" s="573">
        <f t="shared" ref="EE14:EG14" si="80">EE414</f>
        <v>113.1</v>
      </c>
      <c r="EF14" s="572">
        <f t="shared" ref="EF14:EF15" si="81">IF(ISERROR((EE14/DW14-1)*100),"NA",IF(((EE14/DW14-1)*100)&gt;100,"NM",IF(((EE14/DW14-1)*100)&lt;-50,"NM",(EE14/DW14-1)*100)))</f>
        <v>10.99116781157996</v>
      </c>
      <c r="EG14" s="573">
        <f t="shared" si="80"/>
        <v>110.9</v>
      </c>
      <c r="EH14" s="572">
        <f t="shared" ref="EH14:EH15" si="82">IF(ISERROR((EG14/DY14-1)*100),"NA",IF(((EG14/DY14-1)*100)&gt;100,"NM",IF(((EG14/DY14-1)*100)&lt;-50,"NM",(EG14/DY14-1)*100)))</f>
        <v>20.021645021645028</v>
      </c>
      <c r="EI14" s="573">
        <f t="shared" ref="EI14" si="83">EI414</f>
        <v>119.3</v>
      </c>
      <c r="EJ14" s="572">
        <f t="shared" ref="EJ14:EJ15" si="84">IF(ISERROR((EI14/EA14-1)*100),"NA",IF(((EI14/EA14-1)*100)&gt;100,"NM",IF(((EI14/EA14-1)*100)&lt;-50,"NM",(EI14/EA14-1)*100)))</f>
        <v>5.4818744473916992</v>
      </c>
      <c r="EK14" s="573">
        <f t="shared" ref="EK14:EQ14" si="85">EK414</f>
        <v>68.387501262979924</v>
      </c>
      <c r="EL14" s="572">
        <f t="shared" ref="EL14:EL15" si="86">IF(ISERROR((EK14/EC14-1)*100),"NA",IF(((EK14/EC14-1)*100)&gt;100,"NM",IF(((EK14/EC14-1)*100)&lt;-50,"NM",(EK14/EC14-1)*100)))</f>
        <v>-34.116087415240912</v>
      </c>
      <c r="EM14" s="573">
        <f t="shared" si="85"/>
        <v>68.839963607761987</v>
      </c>
      <c r="EN14" s="572">
        <f t="shared" ref="EN14:EN15" si="87">IF(ISERROR((EM14/EE14-1)*100),"NA",IF(((EM14/EE14-1)*100)&gt;100,"NM",IF(((EM14/EE14-1)*100)&lt;-50,"NM",(EM14/EE14-1)*100)))</f>
        <v>-39.13354234503803</v>
      </c>
      <c r="EO14" s="573">
        <f t="shared" si="85"/>
        <v>69.113922390989146</v>
      </c>
      <c r="EP14" s="572">
        <f t="shared" ref="EP14:EP15" si="88">IF(ISERROR((EO14/EG14-1)*100),"NA",IF(((EO14/EG14-1)*100)&gt;100,"NM",IF(((EO14/EG14-1)*100)&lt;-50,"NM",(EO14/EG14-1)*100)))</f>
        <v>-37.679060062228011</v>
      </c>
      <c r="EQ14" s="573">
        <f t="shared" si="85"/>
        <v>69.563548489614362</v>
      </c>
      <c r="ER14" s="572">
        <f t="shared" ref="ER14:ER15" si="89">IF(ISERROR((EQ14/EI14-1)*100),"NA",IF(((EQ14/EI14-1)*100)&gt;100,"NM",IF(((EQ14/EI14-1)*100)&lt;-50,"NM",(EQ14/EI14-1)*100)))</f>
        <v>-41.69023596847078</v>
      </c>
      <c r="ES14" s="457"/>
      <c r="ET14" s="459"/>
      <c r="EU14" s="457"/>
      <c r="EV14" s="457"/>
      <c r="EW14" s="457"/>
      <c r="EX14" s="457"/>
      <c r="EY14" s="566"/>
      <c r="EZ14" s="457"/>
      <c r="FA14" s="566"/>
      <c r="FB14" s="457"/>
      <c r="FC14" s="566"/>
      <c r="FD14" s="457"/>
      <c r="FE14" s="566"/>
      <c r="FF14" s="457"/>
      <c r="FG14" s="566"/>
      <c r="FH14" s="457"/>
      <c r="FI14" s="566"/>
      <c r="FJ14" s="457"/>
      <c r="FK14" s="566"/>
      <c r="FL14" s="457"/>
      <c r="FM14" s="566"/>
      <c r="FN14" s="457"/>
      <c r="FO14" s="566"/>
      <c r="FP14" s="457"/>
      <c r="FQ14" s="566"/>
      <c r="FR14" s="457"/>
      <c r="FS14" s="566"/>
      <c r="FT14" s="457"/>
      <c r="FU14" s="566"/>
      <c r="FV14" s="573">
        <f t="shared" ref="FV14:GB14" si="90">FV414</f>
        <v>61.599999999999994</v>
      </c>
      <c r="FW14" s="572" t="str">
        <f t="shared" si="50"/>
        <v>NA</v>
      </c>
      <c r="FX14" s="573">
        <f t="shared" si="90"/>
        <v>374.59999999999877</v>
      </c>
      <c r="FY14" s="572" t="str">
        <f t="shared" si="51"/>
        <v>NM</v>
      </c>
      <c r="FZ14" s="573">
        <f t="shared" si="90"/>
        <v>381.6</v>
      </c>
      <c r="GA14" s="572">
        <f>IF(ISERROR((FZ14/FX14-1)*100),"NA",IF(((FZ14/FX14-1)*100)&gt;100,"NM",IF(((FZ14/FX14-1)*100)&lt;-50,"NM",(FZ14/FX14-1)*100)))</f>
        <v>1.8686599038978402</v>
      </c>
      <c r="GB14" s="573">
        <f t="shared" si="90"/>
        <v>160.59999999999997</v>
      </c>
      <c r="GC14" s="572" t="str">
        <f>IF(ISERROR((GB14/FZ14-1)*100),"NA",IF(((GB14/FZ14-1)*100)&gt;100,"NM",IF(((GB14/FZ14-1)*100)&lt;-50,"NM",(GB14/FZ14-1)*100)))</f>
        <v>NM</v>
      </c>
      <c r="GD14" s="573">
        <f>GD414</f>
        <v>388.90000000000003</v>
      </c>
      <c r="GE14" s="572" t="str">
        <f>IF(ISERROR((GD14/GB14-1)*100),"NA",IF(((GD14/GB14-1)*100)&gt;100,"NM",IF(((GD14/GB14-1)*100)&lt;-50,"NM",(GD14/GB14-1)*100)))</f>
        <v>NM</v>
      </c>
      <c r="GF14" s="573">
        <f>GF414</f>
        <v>407.9</v>
      </c>
      <c r="GG14" s="572">
        <f>IF(ISERROR((GF14/GD14-1)*100),"NA",IF(((GF14/GD14-1)*100)&gt;100,"NM",IF(((GF14/GD14-1)*100)&lt;-50,"NM",(GF14/GD14-1)*100)))</f>
        <v>4.8855746978657688</v>
      </c>
      <c r="GH14" s="573">
        <f>GH414</f>
        <v>447.09999999999997</v>
      </c>
      <c r="GI14" s="572">
        <f>IF(ISERROR((GH14/GF14-1)*100),"NA",IF(((GH14/GF14-1)*100)&gt;100,"NM",IF(((GH14/GF14-1)*100)&lt;-50,"NM",(GH14/GF14-1)*100)))</f>
        <v>9.6101985780828514</v>
      </c>
      <c r="GJ14" s="573">
        <f>GJ414</f>
        <v>275.90493575134542</v>
      </c>
      <c r="GK14" s="572">
        <f>IF(ISERROR((GJ14/GH14-1)*100),"NA",IF(((GJ14/GH14-1)*100)&gt;100,"NM",IF(((GJ14/GH14-1)*100)&lt;-50,"NM",(GJ14/GH14-1)*100)))</f>
        <v>-38.290106072166083</v>
      </c>
      <c r="GL14" s="573">
        <f>GL414</f>
        <v>282.53778406742651</v>
      </c>
      <c r="GM14" s="572">
        <f>IF(ISERROR((GL14/GJ14-1)*100),"NA",IF(((GL14/GJ14-1)*100)&gt;100,"NM",IF(((GL14/GJ14-1)*100)&lt;-50,"NM",(GL14/GJ14-1)*100)))</f>
        <v>2.4040339466992577</v>
      </c>
      <c r="GN14" s="573">
        <f>GN414</f>
        <v>290.46919484424382</v>
      </c>
      <c r="GO14" s="572">
        <f>IF(ISERROR((GN14/GL14-1)*100),"NA",IF(((GN14/GL14-1)*100)&gt;100,"NM",IF(((GN14/GL14-1)*100)&lt;-50,"NM",(GN14/GL14-1)*100)))</f>
        <v>2.8072035756196323</v>
      </c>
      <c r="GP14" s="573">
        <f>GP414</f>
        <v>299.42163152202903</v>
      </c>
      <c r="GQ14" s="572">
        <f>IF(ISERROR((GP14/GN14-1)*100),"NA",IF(((GP14/GN14-1)*100)&gt;100,"NM",IF(((GP14/GN14-1)*100)&lt;-50,"NM",(GP14/GN14-1)*100)))</f>
        <v>3.0820606235321124</v>
      </c>
      <c r="GR14" s="573">
        <f>GR414</f>
        <v>307.21549888189571</v>
      </c>
      <c r="GS14" s="572">
        <f>IF(ISERROR((GR14/GP14-1)*100),"NA",IF(((GR14/GP14-1)*100)&gt;100,"NM",IF(((GR14/GP14-1)*100)&lt;-50,"NM",(GR14/GP14-1)*100)))</f>
        <v>2.6029740470815854</v>
      </c>
      <c r="GT14" s="572">
        <f>IF(ISERROR(((GR14/GH14)^0.2-1)*100),"NA",(IF(OR(((GR14/GH14)^0.2-1)*100&gt;99,((GR14/GH14)^0.2-1)*100&lt;-50),"NM",(((GR14/GH14)^0.2-1)*100))))</f>
        <v>-7.2299714182083807</v>
      </c>
      <c r="GW14"/>
      <c r="GX14"/>
      <c r="GY14"/>
      <c r="GZ14"/>
      <c r="HA14"/>
      <c r="HB14"/>
      <c r="HC14" s="970"/>
    </row>
    <row r="15" spans="1:286" s="570" customFormat="1" ht="12.75" customHeight="1" x14ac:dyDescent="0.2">
      <c r="A15" s="560"/>
      <c r="B15" s="568" t="s">
        <v>138</v>
      </c>
      <c r="C15" s="560"/>
      <c r="D15" s="560"/>
      <c r="E15" s="560"/>
      <c r="F15" s="560"/>
      <c r="G15" s="560"/>
      <c r="H15" s="560"/>
      <c r="I15" s="560"/>
      <c r="J15" s="560"/>
      <c r="K15" s="560"/>
      <c r="L15" s="560"/>
      <c r="M15" s="560"/>
      <c r="N15" s="569"/>
      <c r="O15" s="560"/>
      <c r="P15" s="569"/>
      <c r="Q15" s="560"/>
      <c r="R15" s="569"/>
      <c r="S15" s="560"/>
      <c r="T15" s="569"/>
      <c r="U15" s="560"/>
      <c r="V15" s="569"/>
      <c r="W15" s="560"/>
      <c r="X15" s="569"/>
      <c r="Y15" s="560"/>
      <c r="Z15" s="569"/>
      <c r="AA15" s="560"/>
      <c r="AB15" s="569"/>
      <c r="AC15" s="560"/>
      <c r="AD15" s="569"/>
      <c r="AE15" s="560"/>
      <c r="AF15" s="569"/>
      <c r="AG15" s="560"/>
      <c r="AH15" s="569"/>
      <c r="AI15" s="560"/>
      <c r="AJ15" s="569"/>
      <c r="AK15" s="560"/>
      <c r="AL15" s="569"/>
      <c r="AM15" s="560"/>
      <c r="AN15" s="569"/>
      <c r="AO15" s="560"/>
      <c r="AP15" s="569"/>
      <c r="AQ15" s="560"/>
      <c r="AR15" s="569"/>
      <c r="AS15" s="560"/>
      <c r="AT15" s="569"/>
      <c r="AU15" s="560"/>
      <c r="AV15" s="569"/>
      <c r="AW15" s="560"/>
      <c r="AX15" s="569"/>
      <c r="AY15" s="560"/>
      <c r="AZ15" s="569"/>
      <c r="BA15" s="560"/>
      <c r="BB15" s="569"/>
      <c r="BC15" s="560"/>
      <c r="BD15" s="569"/>
      <c r="BE15" s="560"/>
      <c r="BF15" s="569"/>
      <c r="BG15" s="560"/>
      <c r="BH15" s="569"/>
      <c r="BI15" s="560"/>
      <c r="BJ15" s="569"/>
      <c r="BK15" s="560"/>
      <c r="BL15" s="569"/>
      <c r="BM15" s="560"/>
      <c r="BN15" s="569"/>
      <c r="BO15" s="560"/>
      <c r="BP15" s="569"/>
      <c r="BQ15" s="560"/>
      <c r="BR15" s="569"/>
      <c r="BS15" s="560"/>
      <c r="BT15" s="569"/>
      <c r="BU15" s="560"/>
      <c r="BV15" s="569"/>
      <c r="BW15" s="560"/>
      <c r="BX15" s="569"/>
      <c r="BY15" s="560"/>
      <c r="BZ15" s="569"/>
      <c r="CA15" s="560"/>
      <c r="CB15" s="569"/>
      <c r="CC15" s="560"/>
      <c r="CD15" s="569"/>
      <c r="CE15" s="560"/>
      <c r="CF15" s="569"/>
      <c r="CG15" s="574">
        <f>CG12-CG14</f>
        <v>219.09999999999988</v>
      </c>
      <c r="CH15" s="572" t="str">
        <f t="shared" si="16"/>
        <v>NA</v>
      </c>
      <c r="CI15" s="574">
        <f>CI12-CI14</f>
        <v>235.00000000000014</v>
      </c>
      <c r="CJ15" s="572" t="str">
        <f t="shared" si="17"/>
        <v>NA</v>
      </c>
      <c r="CK15" s="574">
        <f>CK12-CK14</f>
        <v>223.10000000000025</v>
      </c>
      <c r="CL15" s="572" t="str">
        <f t="shared" si="18"/>
        <v>NA</v>
      </c>
      <c r="CM15" s="574">
        <f>CM12-CM14</f>
        <v>-368.70000000000016</v>
      </c>
      <c r="CN15" s="572" t="str">
        <f t="shared" si="19"/>
        <v>NA</v>
      </c>
      <c r="CO15" s="574">
        <f>CO12-CO14</f>
        <v>213.19999999999959</v>
      </c>
      <c r="CP15" s="572">
        <f t="shared" si="20"/>
        <v>-2.692834322227422</v>
      </c>
      <c r="CQ15" s="574">
        <f>CQ12-CQ14</f>
        <v>225.30000000000024</v>
      </c>
      <c r="CR15" s="572">
        <f t="shared" si="21"/>
        <v>-4.127659574468046</v>
      </c>
      <c r="CS15" s="574">
        <f>CS12-CS14</f>
        <v>223.99999999999994</v>
      </c>
      <c r="CT15" s="572">
        <f t="shared" si="22"/>
        <v>0.40340654415047528</v>
      </c>
      <c r="CU15" s="574">
        <f>CU12-CU14</f>
        <v>224.99999999999983</v>
      </c>
      <c r="CV15" s="572" t="str">
        <f t="shared" si="23"/>
        <v>NM</v>
      </c>
      <c r="CW15" s="574">
        <f>CW12-CW14</f>
        <v>212.70000000000022</v>
      </c>
      <c r="CX15" s="572">
        <f t="shared" si="24"/>
        <v>-0.23452157598470302</v>
      </c>
      <c r="CY15" s="574">
        <f>CY12-CY14</f>
        <v>215.89999999999986</v>
      </c>
      <c r="CZ15" s="572">
        <f t="shared" si="25"/>
        <v>-4.1722148246783668</v>
      </c>
      <c r="DA15" s="574">
        <f>DA12-DA14</f>
        <v>221.60000000000014</v>
      </c>
      <c r="DB15" s="572">
        <f t="shared" si="26"/>
        <v>-1.0714285714284899</v>
      </c>
      <c r="DC15" s="574">
        <f>DC12-DC14</f>
        <v>214.30000000000007</v>
      </c>
      <c r="DD15" s="572">
        <f t="shared" si="27"/>
        <v>-4.7555555555554569</v>
      </c>
      <c r="DE15" s="574">
        <f>DE12-DE14</f>
        <v>222.59999999999985</v>
      </c>
      <c r="DF15" s="572">
        <f t="shared" si="28"/>
        <v>4.6544428772917756</v>
      </c>
      <c r="DG15" s="574">
        <f>DG12-DG14</f>
        <v>221.29999999999984</v>
      </c>
      <c r="DH15" s="572">
        <f t="shared" si="29"/>
        <v>2.5011579434923492</v>
      </c>
      <c r="DI15" s="574">
        <f>DI12-DI14</f>
        <v>219.10000000000016</v>
      </c>
      <c r="DJ15" s="572">
        <f t="shared" si="30"/>
        <v>-1.1281588447653257</v>
      </c>
      <c r="DK15" s="574">
        <f>DK12-DK14</f>
        <v>-229.10000000000002</v>
      </c>
      <c r="DL15" s="973" t="str">
        <f t="shared" si="30"/>
        <v>NM</v>
      </c>
      <c r="DM15" s="574">
        <f>DM12-DM14</f>
        <v>222.90000000000006</v>
      </c>
      <c r="DN15" s="973">
        <f>IF(ISERROR((DM15/DE15-1)*100),"NA",IF(((DM15/DE15-1)*100)&gt;100,"NM",IF(((DM15/DE15-1)*100)&lt;-50,"NM",(DM15/DE15-1)*100)))</f>
        <v>0.13477088948796734</v>
      </c>
      <c r="DO15" s="574">
        <f>DO12-DO14</f>
        <v>220.60000000000005</v>
      </c>
      <c r="DP15" s="973">
        <f>IF(ISERROR((DO15/DG15-1)*100),"NA",IF(((DO15/DG15-1)*100)&gt;100,"NM",IF(((DO15/DG15-1)*100)&lt;-50,"NM",(DO15/DG15-1)*100)))</f>
        <v>-0.31631269769534232</v>
      </c>
      <c r="DQ15" s="574">
        <f>DQ12-DQ14</f>
        <v>221.1</v>
      </c>
      <c r="DR15" s="973">
        <f>IF(ISERROR((DQ15/DI15-1)*100),"NA",IF(((DQ15/DI15-1)*100)&gt;100,"NM",IF(((DQ15/DI15-1)*100)&lt;-50,"NM",(DQ15/DI15-1)*100)))</f>
        <v>0.91282519397528628</v>
      </c>
      <c r="DS15" s="574">
        <f>DS12-DS14</f>
        <v>228.59999999999962</v>
      </c>
      <c r="DT15" s="973" t="str">
        <f>IF(ISERROR((DS15/DK15-1)*100),"NA",IF(((DS15/DK15-1)*100)&gt;100,"NM",IF(((DS15/DK15-1)*100)&lt;-50,"NM",(DS15/DK15-1)*100)))</f>
        <v>NM</v>
      </c>
      <c r="DU15" s="574">
        <f>DU12-DU14</f>
        <v>224.20000000000016</v>
      </c>
      <c r="DV15" s="973">
        <f>IF(ISERROR((DU15/DM15-1)*100),"NA",IF(((DU15/DM15-1)*100)&gt;100,"NM",IF(((DU15/DM15-1)*100)&lt;-50,"NM",(DU15/DM15-1)*100)))</f>
        <v>0.58322117541502738</v>
      </c>
      <c r="DW15" s="574">
        <f>DW12-DW14</f>
        <v>233.00000000000014</v>
      </c>
      <c r="DX15" s="973">
        <f>IF(ISERROR((DW15/DO15-1)*100),"NA",IF(((DW15/DO15-1)*100)&gt;100,"NM",IF(((DW15/DO15-1)*100)&lt;-50,"NM",(DW15/DO15-1)*100)))</f>
        <v>5.6210335448776405</v>
      </c>
      <c r="DY15" s="574">
        <f>DY12-DY14</f>
        <v>228.70000000000007</v>
      </c>
      <c r="DZ15" s="973">
        <f>IF(ISERROR((DY15/DQ15-1)*100),"NA",IF(((DY15/DQ15-1)*100)&gt;100,"NM",IF(((DY15/DQ15-1)*100)&lt;-50,"NM",(DY15/DQ15-1)*100)))</f>
        <v>3.437358661239287</v>
      </c>
      <c r="EA15" s="574">
        <f>EA12-EA14</f>
        <v>229.69999999999951</v>
      </c>
      <c r="EB15" s="572">
        <f>IF(ISERROR((EA15/DS15-1)*100),"NA",IF(((EA15/DS15-1)*100)&gt;100,"NM",IF(((EA15/DS15-1)*100)&lt;-50,"NM",(EA15/DS15-1)*100)))</f>
        <v>0.48118985126854863</v>
      </c>
      <c r="EC15" s="574">
        <f>EC12-EC14</f>
        <v>236.09999999999985</v>
      </c>
      <c r="ED15" s="572">
        <f t="shared" si="79"/>
        <v>5.3077609277429438</v>
      </c>
      <c r="EE15" s="574">
        <f t="shared" ref="EE15:EG15" si="91">EE12-EE14</f>
        <v>240.40000000000023</v>
      </c>
      <c r="EF15" s="572">
        <f t="shared" si="81"/>
        <v>3.1759656652360801</v>
      </c>
      <c r="EG15" s="574">
        <f t="shared" si="91"/>
        <v>245.50000000000014</v>
      </c>
      <c r="EH15" s="572">
        <f t="shared" si="82"/>
        <v>7.3458679492785617</v>
      </c>
      <c r="EI15" s="574">
        <f t="shared" ref="EI15" si="92">EI12-EI14</f>
        <v>253.60000000000014</v>
      </c>
      <c r="EJ15" s="572">
        <f t="shared" si="84"/>
        <v>10.404875925120027</v>
      </c>
      <c r="EK15" s="574">
        <f t="shared" ref="EK15:EQ15" si="93">EK12-EK14</f>
        <v>282.31763341896846</v>
      </c>
      <c r="EL15" s="572">
        <f t="shared" si="86"/>
        <v>19.575448292659313</v>
      </c>
      <c r="EM15" s="574">
        <f t="shared" si="93"/>
        <v>284.18549079101746</v>
      </c>
      <c r="EN15" s="572">
        <f t="shared" si="87"/>
        <v>18.213598498759232</v>
      </c>
      <c r="EO15" s="574">
        <f t="shared" si="93"/>
        <v>285.31644884485286</v>
      </c>
      <c r="EP15" s="572">
        <f t="shared" si="88"/>
        <v>16.218512767760764</v>
      </c>
      <c r="EQ15" s="574">
        <f t="shared" si="93"/>
        <v>287.17259761097205</v>
      </c>
      <c r="ER15" s="572">
        <f t="shared" si="89"/>
        <v>13.23840599801731</v>
      </c>
      <c r="ES15" s="560"/>
      <c r="ET15" s="575"/>
      <c r="EU15" s="560"/>
      <c r="EV15" s="560"/>
      <c r="EW15" s="560"/>
      <c r="EX15" s="560"/>
      <c r="EY15" s="569"/>
      <c r="EZ15" s="560"/>
      <c r="FA15" s="569"/>
      <c r="FB15" s="560"/>
      <c r="FC15" s="569"/>
      <c r="FD15" s="560"/>
      <c r="FE15" s="569"/>
      <c r="FF15" s="560"/>
      <c r="FG15" s="569"/>
      <c r="FH15" s="560"/>
      <c r="FI15" s="569"/>
      <c r="FJ15" s="560"/>
      <c r="FK15" s="569"/>
      <c r="FL15" s="560"/>
      <c r="FM15" s="569"/>
      <c r="FN15" s="560"/>
      <c r="FO15" s="569"/>
      <c r="FP15" s="560"/>
      <c r="FQ15" s="569"/>
      <c r="FR15" s="560"/>
      <c r="FS15" s="569"/>
      <c r="FT15" s="560"/>
      <c r="FU15" s="569"/>
      <c r="FV15" s="574">
        <f>FV12-FV14</f>
        <v>308.49999999999932</v>
      </c>
      <c r="FW15" s="572" t="str">
        <f t="shared" si="50"/>
        <v>NA</v>
      </c>
      <c r="FX15" s="574">
        <f>FX12-FX14</f>
        <v>881.2</v>
      </c>
      <c r="FY15" s="572" t="str">
        <f t="shared" si="51"/>
        <v>NM</v>
      </c>
      <c r="FZ15" s="574">
        <f>FZ12-FZ14</f>
        <v>864.50000000000034</v>
      </c>
      <c r="GA15" s="572">
        <f>IF(ISERROR((FZ15/FX15-1)*100),"NA",IF(((FZ15/FX15-1)*100)&gt;100,"NM",IF(((FZ15/FX15-1)*100)&lt;-50,"NM",(FZ15/FX15-1)*100)))</f>
        <v>-1.8951429868360958</v>
      </c>
      <c r="GB15" s="574">
        <f>GB12-GB14</f>
        <v>433.90000000000049</v>
      </c>
      <c r="GC15" s="572">
        <f>IF(ISERROR((GB15/FZ15-1)*100),"NA",IF(((GB15/FZ15-1)*100)&gt;100,"NM",IF(((GB15/FZ15-1)*100)&lt;-50,"NM",(GB15/FZ15-1)*100)))</f>
        <v>-49.809138230190833</v>
      </c>
      <c r="GD15" s="574">
        <f>GD12-GD14</f>
        <v>893.19999999999959</v>
      </c>
      <c r="GE15" s="572" t="str">
        <f>IF(ISERROR((GD15/GB15-1)*100),"NA",IF(((GD15/GB15-1)*100)&gt;100,"NM",IF(((GD15/GB15-1)*100)&lt;-50,"NM",(GD15/GB15-1)*100)))</f>
        <v>NM</v>
      </c>
      <c r="GF15" s="574">
        <f>GF12-GF14</f>
        <v>915.60000000000025</v>
      </c>
      <c r="GG15" s="572">
        <f>IF(ISERROR((GF15/GD15-1)*100),"NA",IF(((GF15/GD15-1)*100)&gt;100,"NM",IF(((GF15/GD15-1)*100)&lt;-50,"NM",(GF15/GD15-1)*100)))</f>
        <v>2.507836990595691</v>
      </c>
      <c r="GH15" s="574">
        <f>GH12-GH14</f>
        <v>975.59999999999923</v>
      </c>
      <c r="GI15" s="572">
        <f>IF(ISERROR((GH15/GF15-1)*100),"NA",IF(((GH15/GF15-1)*100)&gt;100,"NM",IF(((GH15/GF15-1)*100)&lt;-50,"NM",(GH15/GF15-1)*100)))</f>
        <v>6.5530799475752577</v>
      </c>
      <c r="GJ15" s="574">
        <f>GJ12-GJ14</f>
        <v>1138.9921706658097</v>
      </c>
      <c r="GK15" s="572">
        <f>IF(ISERROR((GJ15/GH15-1)*100),"NA",IF(((GJ15/GH15-1)*100)&gt;100,"NM",IF(((GJ15/GH15-1)*100)&lt;-50,"NM",(GJ15/GH15-1)*100)))</f>
        <v>16.747864971895311</v>
      </c>
      <c r="GL15" s="574">
        <f>GL12-GL14</f>
        <v>1166.3739290988628</v>
      </c>
      <c r="GM15" s="572">
        <f>IF(ISERROR((GL15/GJ15-1)*100),"NA",IF(((GL15/GJ15-1)*100)&gt;100,"NM",IF(((GL15/GJ15-1)*100)&lt;-50,"NM",(GL15/GJ15-1)*100)))</f>
        <v>2.4040339466992799</v>
      </c>
      <c r="GN15" s="574">
        <f>GN12-GN14</f>
        <v>1199.1164197416233</v>
      </c>
      <c r="GO15" s="572">
        <f>IF(ISERROR((GN15/GL15-1)*100),"NA",IF(((GN15/GL15-1)*100)&gt;100,"NM",IF(((GN15/GL15-1)*100)&lt;-50,"NM",(GN15/GL15-1)*100)))</f>
        <v>2.8072035756198099</v>
      </c>
      <c r="GP15" s="574">
        <f>GP12-GP14</f>
        <v>1236.0739147447873</v>
      </c>
      <c r="GQ15" s="572">
        <f>IF(ISERROR((GP15/GN15-1)*100),"NA",IF(((GP15/GN15-1)*100)&gt;100,"NM",IF(((GP15/GN15-1)*100)&lt;-50,"NM",(GP15/GN15-1)*100)))</f>
        <v>3.082060623532068</v>
      </c>
      <c r="GR15" s="574">
        <f>GR12-GR14</f>
        <v>1268.2485979483392</v>
      </c>
      <c r="GS15" s="572">
        <f>IF(ISERROR((GR15/GP15-1)*100),"NA",IF(((GR15/GP15-1)*100)&gt;100,"NM",IF(((GR15/GP15-1)*100)&lt;-50,"NM",(GR15/GP15-1)*100)))</f>
        <v>2.6029740470815632</v>
      </c>
      <c r="GT15" s="572">
        <f>IF(ISERROR(((GR15/GH15)^0.2-1)*100),"NA",(IF(OR(((GR15/GH15)^0.2-1)*100&gt;99,((GR15/GH15)^0.2-1)*100&lt;-50),"NM",(((GR15/GH15)^0.2-1)*100))))</f>
        <v>5.3868733319542672</v>
      </c>
      <c r="GW15"/>
      <c r="GX15"/>
      <c r="GY15"/>
      <c r="GZ15"/>
      <c r="HA15"/>
      <c r="HB15"/>
      <c r="HC15" s="970"/>
    </row>
    <row r="16" spans="1:286" s="594" customFormat="1" ht="12.75" hidden="1" customHeight="1" outlineLevel="1" x14ac:dyDescent="0.2">
      <c r="B16" s="593" t="s">
        <v>517</v>
      </c>
      <c r="C16" s="595"/>
      <c r="D16" s="596"/>
      <c r="E16" s="595"/>
      <c r="F16" s="596"/>
      <c r="G16" s="595"/>
      <c r="H16" s="596"/>
      <c r="I16" s="595"/>
      <c r="J16" s="596"/>
      <c r="K16" s="597"/>
      <c r="L16" s="596"/>
      <c r="M16" s="595"/>
      <c r="N16" s="596"/>
      <c r="O16" s="595"/>
      <c r="P16" s="596"/>
      <c r="Q16" s="595"/>
      <c r="R16" s="596"/>
      <c r="S16" s="595"/>
      <c r="T16" s="596"/>
      <c r="U16" s="595"/>
      <c r="V16" s="596"/>
      <c r="W16" s="595"/>
      <c r="X16" s="596"/>
      <c r="Y16" s="597"/>
      <c r="Z16" s="596"/>
      <c r="AA16" s="595"/>
      <c r="AB16" s="596"/>
      <c r="AC16" s="597"/>
      <c r="AD16" s="596"/>
      <c r="AE16" s="597"/>
      <c r="AF16" s="596"/>
      <c r="AG16" s="597"/>
      <c r="AH16" s="596"/>
      <c r="AI16" s="597"/>
      <c r="AJ16" s="596"/>
      <c r="AK16" s="597"/>
      <c r="AL16" s="596"/>
      <c r="AM16" s="597"/>
      <c r="AN16" s="596"/>
      <c r="AO16" s="597"/>
      <c r="AP16" s="596"/>
      <c r="AQ16" s="597"/>
      <c r="AR16" s="596"/>
      <c r="AS16" s="597"/>
      <c r="AT16" s="596"/>
      <c r="AU16" s="597"/>
      <c r="AV16" s="596"/>
      <c r="AW16" s="597"/>
      <c r="AX16" s="596"/>
      <c r="AY16" s="597"/>
      <c r="AZ16" s="596"/>
      <c r="BA16" s="597"/>
      <c r="BB16" s="596"/>
      <c r="BC16" s="597"/>
      <c r="BD16" s="596"/>
      <c r="BE16" s="597"/>
      <c r="BF16" s="596"/>
      <c r="BG16" s="597"/>
      <c r="BH16" s="596"/>
      <c r="BI16" s="597"/>
      <c r="BJ16" s="596"/>
      <c r="BK16" s="597"/>
      <c r="BL16" s="596"/>
      <c r="BM16" s="597"/>
      <c r="BN16" s="596"/>
      <c r="BO16" s="597"/>
      <c r="BP16" s="596"/>
      <c r="BQ16" s="597"/>
      <c r="BR16" s="596"/>
      <c r="BS16" s="597"/>
      <c r="BT16" s="596"/>
      <c r="BU16" s="597"/>
      <c r="BV16" s="596"/>
      <c r="BW16" s="597"/>
      <c r="BX16" s="596"/>
      <c r="BY16" s="597"/>
      <c r="BZ16" s="596"/>
      <c r="CA16" s="597"/>
      <c r="CB16" s="596"/>
      <c r="CC16" s="597"/>
      <c r="CD16" s="596"/>
      <c r="CE16" s="597"/>
      <c r="CF16" s="596"/>
      <c r="CG16" s="598">
        <f>CG15-CG416</f>
        <v>0</v>
      </c>
      <c r="CH16" s="596"/>
      <c r="CI16" s="598">
        <f>CI15-CI416</f>
        <v>0</v>
      </c>
      <c r="CJ16" s="596"/>
      <c r="CK16" s="598">
        <f>CK15-CK416</f>
        <v>2.2737367544323206E-13</v>
      </c>
      <c r="CL16" s="596"/>
      <c r="CM16" s="598">
        <f>CM15-CM416</f>
        <v>0</v>
      </c>
      <c r="CN16" s="596"/>
      <c r="CO16" s="598">
        <f>CO15-CO416</f>
        <v>-3.4106051316484809E-13</v>
      </c>
      <c r="CP16" s="596"/>
      <c r="CQ16" s="598">
        <f>CQ15-CQ416</f>
        <v>3.4106051316484809E-13</v>
      </c>
      <c r="CR16" s="596"/>
      <c r="CS16" s="598">
        <f>CS15-CS416</f>
        <v>0</v>
      </c>
      <c r="CT16" s="596"/>
      <c r="CU16" s="598">
        <f>CU15-CU416</f>
        <v>0</v>
      </c>
      <c r="CV16" s="596"/>
      <c r="CW16" s="598">
        <f>CW15-CW416</f>
        <v>0</v>
      </c>
      <c r="CX16" s="596"/>
      <c r="CY16" s="598">
        <f>CY15-CY416</f>
        <v>0</v>
      </c>
      <c r="CZ16" s="596"/>
      <c r="DA16" s="598">
        <f>DA15-DA416</f>
        <v>0</v>
      </c>
      <c r="DB16" s="596"/>
      <c r="DC16" s="598">
        <f>DC15-DC416</f>
        <v>0</v>
      </c>
      <c r="DD16" s="596"/>
      <c r="DE16" s="598">
        <f>DE15-DE416</f>
        <v>0</v>
      </c>
      <c r="DF16" s="596"/>
      <c r="DG16" s="598">
        <f>DG15-DG416</f>
        <v>0</v>
      </c>
      <c r="DH16" s="596"/>
      <c r="DI16" s="598">
        <f>DI15-DI416</f>
        <v>0</v>
      </c>
      <c r="DJ16" s="596"/>
      <c r="DK16" s="598">
        <f>DK15-DK416</f>
        <v>0</v>
      </c>
      <c r="DL16" s="596"/>
      <c r="DM16" s="598">
        <f>DM15-DM416</f>
        <v>0</v>
      </c>
      <c r="DN16" s="596"/>
      <c r="DO16" s="598">
        <f>DO15-DO416</f>
        <v>0</v>
      </c>
      <c r="DP16" s="596"/>
      <c r="DQ16" s="598">
        <f>DQ15-DQ416</f>
        <v>-2.2737367544323206E-13</v>
      </c>
      <c r="DR16" s="596"/>
      <c r="DS16" s="598">
        <f>DS15-DS416</f>
        <v>-2.8421709430404007E-13</v>
      </c>
      <c r="DT16" s="596"/>
      <c r="DU16" s="598">
        <f>DU15-DU416</f>
        <v>3.4106051316484809E-13</v>
      </c>
      <c r="DV16" s="596"/>
      <c r="DW16" s="598">
        <f>DW15-DW416</f>
        <v>2.2737367544323206E-13</v>
      </c>
      <c r="DX16" s="596"/>
      <c r="DY16" s="598">
        <f>DY15-DY416</f>
        <v>0</v>
      </c>
      <c r="DZ16" s="596"/>
      <c r="EA16" s="598">
        <f>EA15-EA416</f>
        <v>-4.5474735088646412E-13</v>
      </c>
      <c r="EB16" s="596"/>
      <c r="EC16" s="598">
        <f>EC15-EC416</f>
        <v>0</v>
      </c>
      <c r="ED16" s="596"/>
      <c r="EE16" s="598">
        <f t="shared" ref="EE16:EG16" si="94">EE15-EE416</f>
        <v>0</v>
      </c>
      <c r="EF16" s="596"/>
      <c r="EG16" s="598">
        <f t="shared" si="94"/>
        <v>2.2737367544323206E-13</v>
      </c>
      <c r="EH16" s="596"/>
      <c r="EI16" s="598">
        <f t="shared" ref="EI16" si="95">EI15-EI416</f>
        <v>3.4106051316484809E-13</v>
      </c>
      <c r="EJ16" s="596"/>
      <c r="EK16" s="598">
        <f t="shared" ref="EK16:EQ16" si="96">EK15-EK416</f>
        <v>0</v>
      </c>
      <c r="EL16" s="596"/>
      <c r="EM16" s="598">
        <f t="shared" si="96"/>
        <v>0</v>
      </c>
      <c r="EN16" s="596"/>
      <c r="EO16" s="598">
        <f t="shared" si="96"/>
        <v>0</v>
      </c>
      <c r="EP16" s="596"/>
      <c r="EQ16" s="598">
        <f t="shared" si="96"/>
        <v>0</v>
      </c>
      <c r="ER16" s="596"/>
      <c r="ES16" s="599"/>
      <c r="ET16" s="600"/>
      <c r="EU16" s="599"/>
      <c r="EV16" s="599"/>
      <c r="EW16" s="595"/>
      <c r="EX16" s="596"/>
      <c r="EY16" s="595"/>
      <c r="EZ16" s="596"/>
      <c r="FA16" s="595"/>
      <c r="FB16" s="596"/>
      <c r="FC16" s="597"/>
      <c r="FD16" s="596"/>
      <c r="FE16" s="597"/>
      <c r="FF16" s="596"/>
      <c r="FG16" s="597"/>
      <c r="FH16" s="596"/>
      <c r="FI16" s="597"/>
      <c r="FJ16" s="596"/>
      <c r="FK16" s="597"/>
      <c r="FL16" s="596"/>
      <c r="FM16" s="597"/>
      <c r="FN16" s="596"/>
      <c r="FO16" s="597"/>
      <c r="FP16" s="596"/>
      <c r="FQ16" s="597"/>
      <c r="FR16" s="596"/>
      <c r="FS16" s="597"/>
      <c r="FT16" s="596"/>
      <c r="FU16" s="595"/>
      <c r="FV16" s="598">
        <f>FV15-FV416</f>
        <v>-4.5474735088646412E-13</v>
      </c>
      <c r="FW16" s="596"/>
      <c r="FX16" s="598">
        <f>FX15-FX416</f>
        <v>0</v>
      </c>
      <c r="FY16" s="596"/>
      <c r="FZ16" s="598">
        <f>FZ15-FZ416</f>
        <v>0</v>
      </c>
      <c r="GA16" s="596"/>
      <c r="GB16" s="598">
        <f>GB15-GB416</f>
        <v>4.5474735088646412E-13</v>
      </c>
      <c r="GC16" s="596"/>
      <c r="GD16" s="598">
        <f>GD15-GD416</f>
        <v>0</v>
      </c>
      <c r="GE16" s="596"/>
      <c r="GF16" s="598">
        <f>GF15-GF416</f>
        <v>-9.0949470177292824E-13</v>
      </c>
      <c r="GG16" s="596"/>
      <c r="GH16" s="598">
        <f>GH15-GH416</f>
        <v>0</v>
      </c>
      <c r="GI16" s="596"/>
      <c r="GJ16" s="598">
        <f>GJ15-GJ416</f>
        <v>0</v>
      </c>
      <c r="GK16" s="596"/>
      <c r="GL16" s="598">
        <f>GL15-GL416</f>
        <v>0</v>
      </c>
      <c r="GM16" s="596"/>
      <c r="GN16" s="598">
        <f>GN15-GN416</f>
        <v>0</v>
      </c>
      <c r="GO16" s="596"/>
      <c r="GP16" s="598">
        <f>GP15-GP416</f>
        <v>0</v>
      </c>
      <c r="GQ16" s="596"/>
      <c r="GR16" s="598">
        <f>GR15-GR416</f>
        <v>0</v>
      </c>
      <c r="GS16" s="596"/>
      <c r="GT16" s="596"/>
      <c r="GW16"/>
      <c r="GX16"/>
      <c r="GY16"/>
      <c r="GZ16"/>
      <c r="HA16"/>
      <c r="HB16"/>
      <c r="HC16" s="970"/>
    </row>
    <row r="17" spans="1:286" s="580" customFormat="1" ht="12.75" customHeight="1" collapsed="1" x14ac:dyDescent="0.2">
      <c r="A17" s="457"/>
      <c r="B17" s="568" t="s">
        <v>139</v>
      </c>
      <c r="C17" s="457"/>
      <c r="D17" s="457"/>
      <c r="E17" s="457"/>
      <c r="F17" s="457"/>
      <c r="G17" s="457"/>
      <c r="H17" s="457"/>
      <c r="I17" s="457"/>
      <c r="J17" s="457"/>
      <c r="K17" s="457"/>
      <c r="L17" s="457"/>
      <c r="M17" s="457"/>
      <c r="N17" s="566"/>
      <c r="O17" s="457"/>
      <c r="P17" s="566"/>
      <c r="Q17" s="457"/>
      <c r="R17" s="566"/>
      <c r="S17" s="457"/>
      <c r="T17" s="566"/>
      <c r="U17" s="457"/>
      <c r="V17" s="566"/>
      <c r="W17" s="457"/>
      <c r="X17" s="566"/>
      <c r="Y17" s="457"/>
      <c r="Z17" s="566"/>
      <c r="AA17" s="457"/>
      <c r="AB17" s="566"/>
      <c r="AC17" s="457"/>
      <c r="AD17" s="566"/>
      <c r="AE17" s="457"/>
      <c r="AF17" s="566"/>
      <c r="AG17" s="457"/>
      <c r="AH17" s="566"/>
      <c r="AI17" s="457"/>
      <c r="AJ17" s="566"/>
      <c r="AK17" s="457"/>
      <c r="AL17" s="566"/>
      <c r="AM17" s="457"/>
      <c r="AN17" s="566"/>
      <c r="AO17" s="457"/>
      <c r="AP17" s="566"/>
      <c r="AQ17" s="457"/>
      <c r="AR17" s="566"/>
      <c r="AS17" s="457"/>
      <c r="AT17" s="566"/>
      <c r="AU17" s="457"/>
      <c r="AV17" s="566"/>
      <c r="AW17" s="457"/>
      <c r="AX17" s="566"/>
      <c r="AY17" s="457"/>
      <c r="AZ17" s="566"/>
      <c r="BA17" s="457"/>
      <c r="BB17" s="566"/>
      <c r="BC17" s="457"/>
      <c r="BD17" s="566"/>
      <c r="BE17" s="457"/>
      <c r="BF17" s="566"/>
      <c r="BG17" s="457"/>
      <c r="BH17" s="566"/>
      <c r="BI17" s="457"/>
      <c r="BJ17" s="566"/>
      <c r="BK17" s="457"/>
      <c r="BL17" s="566"/>
      <c r="BM17" s="457"/>
      <c r="BN17" s="566"/>
      <c r="BO17" s="457"/>
      <c r="BP17" s="566"/>
      <c r="BQ17" s="457"/>
      <c r="BR17" s="566"/>
      <c r="BS17" s="457"/>
      <c r="BT17" s="566"/>
      <c r="BU17" s="457"/>
      <c r="BV17" s="566"/>
      <c r="BW17" s="457"/>
      <c r="BX17" s="566"/>
      <c r="BY17" s="457"/>
      <c r="BZ17" s="566"/>
      <c r="CA17" s="457"/>
      <c r="CB17" s="566"/>
      <c r="CC17" s="457"/>
      <c r="CD17" s="566"/>
      <c r="CE17" s="457"/>
      <c r="CF17" s="566"/>
      <c r="CG17" s="571">
        <f>CG488</f>
        <v>0.69703300663164036</v>
      </c>
      <c r="CH17" s="572" t="str">
        <f t="shared" si="16"/>
        <v>NA</v>
      </c>
      <c r="CI17" s="571">
        <f>CI488</f>
        <v>0.76444898692682983</v>
      </c>
      <c r="CJ17" s="572" t="str">
        <f t="shared" si="17"/>
        <v>NA</v>
      </c>
      <c r="CK17" s="571">
        <f>CK488</f>
        <v>0.74572262394087163</v>
      </c>
      <c r="CL17" s="572" t="str">
        <f t="shared" si="18"/>
        <v>NA</v>
      </c>
      <c r="CM17" s="571">
        <f>CM488</f>
        <v>-1.2192469066685814</v>
      </c>
      <c r="CN17" s="572" t="str">
        <f t="shared" si="19"/>
        <v>NA</v>
      </c>
      <c r="CO17" s="571">
        <f>CO488</f>
        <v>0.73193163253203453</v>
      </c>
      <c r="CP17" s="572">
        <f t="shared" si="20"/>
        <v>5.0067393607426292</v>
      </c>
      <c r="CQ17" s="571">
        <f>CQ488</f>
        <v>0.79403502562156802</v>
      </c>
      <c r="CR17" s="572">
        <f t="shared" si="21"/>
        <v>3.8702436919535232</v>
      </c>
      <c r="CS17" s="571">
        <f>CS488</f>
        <v>0.80427691772748733</v>
      </c>
      <c r="CT17" s="572">
        <f t="shared" si="22"/>
        <v>7.8520205645870922</v>
      </c>
      <c r="CU17" s="571">
        <f>CU488</f>
        <v>0.8223684210526313</v>
      </c>
      <c r="CV17" s="572" t="str">
        <f t="shared" si="23"/>
        <v>NM</v>
      </c>
      <c r="CW17" s="571">
        <f>CW488</f>
        <v>0.78674511653490997</v>
      </c>
      <c r="CX17" s="572">
        <f t="shared" si="24"/>
        <v>7.4888803225042322</v>
      </c>
      <c r="CY17" s="571">
        <f>CY488</f>
        <v>0.8094136357937507</v>
      </c>
      <c r="CZ17" s="572">
        <f t="shared" si="25"/>
        <v>1.9367672301539018</v>
      </c>
      <c r="DA17" s="571">
        <f>DA488</f>
        <v>0.83856793409688568</v>
      </c>
      <c r="DB17" s="572">
        <f t="shared" si="26"/>
        <v>4.263583302413898</v>
      </c>
      <c r="DC17" s="571">
        <f>DC488</f>
        <v>0.81607006854531583</v>
      </c>
      <c r="DD17" s="572">
        <f t="shared" si="27"/>
        <v>-0.76587966488955717</v>
      </c>
      <c r="DE17" s="571">
        <f>DE488</f>
        <v>0.85385500575373896</v>
      </c>
      <c r="DF17" s="572">
        <f t="shared" si="28"/>
        <v>8.5300674651027428</v>
      </c>
      <c r="DG17" s="571">
        <f>DG488</f>
        <v>0.85808452888716569</v>
      </c>
      <c r="DH17" s="572">
        <f t="shared" si="29"/>
        <v>6.0131051592287488</v>
      </c>
      <c r="DI17" s="571">
        <f>DI488</f>
        <v>0.85989010989011005</v>
      </c>
      <c r="DJ17" s="572">
        <f t="shared" si="30"/>
        <v>2.5426891401693963</v>
      </c>
      <c r="DK17" s="571">
        <f>DK488</f>
        <v>-0.90768621236133129</v>
      </c>
      <c r="DL17" s="572" t="str">
        <f t="shared" si="30"/>
        <v>NM</v>
      </c>
      <c r="DM17" s="571">
        <f>DM488</f>
        <v>0.8838223632038068</v>
      </c>
      <c r="DN17" s="572">
        <f>IF(ISERROR((DM17/DE17-1)*100),"NA",IF(((DM17/DE17-1)*100)&gt;100,"NM",IF(((DM17/DE17-1)*100)&lt;-50,"NM",(DM17/DE17-1)*100)))</f>
        <v>3.5096541272384041</v>
      </c>
      <c r="DO17" s="571">
        <f>DO488</f>
        <v>0.88487765744083402</v>
      </c>
      <c r="DP17" s="572">
        <f>IF(ISERROR((DO17/DG17-1)*100),"NA",IF(((DO17/DG17-1)*100)&gt;100,"NM",IF(((DO17/DG17-1)*100)&lt;-50,"NM",(DO17/DG17-1)*100)))</f>
        <v>3.1224346380438694</v>
      </c>
      <c r="DQ17" s="571">
        <f>DQ488</f>
        <v>0.8976857490864808</v>
      </c>
      <c r="DR17" s="572">
        <f>IF(ISERROR((DQ17/DI17-1)*100),"NA",IF(((DQ17/DI17-1)*100)&gt;100,"NM",IF(((DQ17/DI17-1)*100)&lt;-50,"NM",(DQ17/DI17-1)*100)))</f>
        <v>4.3954034081402416</v>
      </c>
      <c r="DS17" s="571">
        <f>DS488</f>
        <v>0.93765381460213248</v>
      </c>
      <c r="DT17" s="572" t="str">
        <f>IF(ISERROR((DS17/DK17-1)*100),"NA",IF(((DS17/DK17-1)*100)&gt;100,"NM",IF(((DS17/DK17-1)*100)&lt;-50,"NM",(DS17/DK17-1)*100)))</f>
        <v>NM</v>
      </c>
      <c r="DU17" s="571">
        <f>DU488</f>
        <v>0.93533583646224372</v>
      </c>
      <c r="DV17" s="572">
        <f>IF(ISERROR((DU17/DM17-1)*100),"NA",IF(((DU17/DM17-1)*100)&gt;100,"NM",IF(((DU17/DM17-1)*100)&lt;-50,"NM",(DU17/DM17-1)*100)))</f>
        <v>5.8284871941578276</v>
      </c>
      <c r="DW17" s="571">
        <f>DW488</f>
        <v>0.98187947745469828</v>
      </c>
      <c r="DX17" s="572">
        <f>IF(ISERROR((DW17/DO17-1)*100),"NA",IF(((DW17/DO17-1)*100)&gt;100,"NM",IF(((DW17/DO17-1)*100)&lt;-50,"NM",(DW17/DO17-1)*100)))</f>
        <v>10.962173041458012</v>
      </c>
      <c r="DY17" s="571">
        <f>DY488</f>
        <v>0.97651579846285308</v>
      </c>
      <c r="DZ17" s="572">
        <f>IF(ISERROR((DY17/DQ17-1)*100),"NA",IF(((DY17/DQ17-1)*100)&gt;100,"NM",IF(((DY17/DQ17-1)*100)&lt;-50,"NM",(DY17/DQ17-1)*100)))</f>
        <v>8.7814749712349602</v>
      </c>
      <c r="EA17" s="571">
        <f>EA488</f>
        <v>0.98838209982788272</v>
      </c>
      <c r="EB17" s="572">
        <f>IF(ISERROR((EA17/DS17-1)*100),"NA",IF(((EA17/DS17-1)*100)&gt;100,"NM",IF(((EA17/DS17-1)*100)&lt;-50,"NM",(EA17/DS17-1)*100)))</f>
        <v>5.4101294567094893</v>
      </c>
      <c r="EC17" s="571">
        <f>EC488</f>
        <v>1.0247395833333321</v>
      </c>
      <c r="ED17" s="572">
        <f t="shared" ref="ED17:ED19" si="97">IF(ISERROR((EC17/DU17-1)*100),"NA",IF(((EC17/DU17-1)*100)&gt;100,"NM",IF(((EC17/DU17-1)*100)&lt;-50,"NM",(EC17/DU17-1)*100)))</f>
        <v>9.5584648193576705</v>
      </c>
      <c r="EE17" s="571">
        <f t="shared" ref="EE17:EG17" si="98">EE488</f>
        <v>1.0534618755477656</v>
      </c>
      <c r="EF17" s="572">
        <f t="shared" ref="EF17:EF19" si="99">IF(ISERROR((EE17/DW17-1)*100),"NA",IF(((EE17/DW17-1)*100)&gt;100,"NM",IF(((EE17/DW17-1)*100)&lt;-50,"NM",(EE17/DW17-1)*100)))</f>
        <v>7.2903446641566116</v>
      </c>
      <c r="EG17" s="571">
        <f t="shared" si="98"/>
        <v>1.0862831858407076</v>
      </c>
      <c r="EH17" s="572">
        <f t="shared" ref="EH17:EH19" si="100">IF(ISERROR((EG17/DY17-1)*100),"NA",IF(((EG17/DY17-1)*100)&gt;100,"NM",IF(((EG17/DY17-1)*100)&lt;-50,"NM",(EG17/DY17-1)*100)))</f>
        <v>11.240718025314166</v>
      </c>
      <c r="EI17" s="571">
        <f t="shared" ref="EI17" si="101">EI488</f>
        <v>1.1281138790035579</v>
      </c>
      <c r="EJ17" s="572">
        <f t="shared" ref="EJ17:EJ19" si="102">IF(ISERROR((EI17/EA17-1)*100),"NA",IF(((EI17/EA17-1)*100)&gt;100,"NM",IF(((EI17/EA17-1)*100)&lt;-50,"NM",(EI17/EA17-1)*100)))</f>
        <v>14.137425111200219</v>
      </c>
      <c r="EK17" s="571">
        <f t="shared" ref="EK17:EQ17" si="103">EK488</f>
        <v>1.2720273653832308</v>
      </c>
      <c r="EL17" s="572">
        <f t="shared" ref="EL17:EL19" si="104">IF(ISERROR((EK17/EC17-1)*100),"NA",IF(((EK17/EC17-1)*100)&gt;100,"NM",IF(((EK17/EC17-1)*100)&lt;-50,"NM",(EK17/EC17-1)*100)))</f>
        <v>24.131768311857993</v>
      </c>
      <c r="EM17" s="571">
        <f t="shared" si="103"/>
        <v>1.2914948247809064</v>
      </c>
      <c r="EN17" s="572">
        <f t="shared" ref="EN17:EN19" si="105">IF(ISERROR((EM17/EE17-1)*100),"NA",IF(((EM17/EE17-1)*100)&gt;100,"NM",IF(((EM17/EE17-1)*100)&lt;-50,"NM",(EM17/EE17-1)*100)))</f>
        <v>22.595307410566857</v>
      </c>
      <c r="EO17" s="571">
        <f t="shared" si="103"/>
        <v>1.3077515554781463</v>
      </c>
      <c r="EP17" s="572">
        <f t="shared" ref="EP17:EP19" si="106">IF(ISERROR((EO17/EG17-1)*100),"NA",IF(((EO17/EG17-1)*100)&gt;100,"NM",IF(((EO17/EG17-1)*100)&lt;-50,"NM",(EO17/EG17-1)*100)))</f>
        <v>20.387719567438346</v>
      </c>
      <c r="EQ17" s="571">
        <f t="shared" si="103"/>
        <v>1.327471892073594</v>
      </c>
      <c r="ER17" s="572">
        <f t="shared" ref="ER17:ER19" si="107">IF(ISERROR((EQ17/EI17-1)*100),"NA",IF(((EQ17/EI17-1)*100)&gt;100,"NM",IF(((EQ17/EI17-1)*100)&lt;-50,"NM",(EQ17/EI17-1)*100)))</f>
        <v>17.671798634914882</v>
      </c>
      <c r="ES17" s="457"/>
      <c r="ET17" s="459"/>
      <c r="EU17" s="457"/>
      <c r="EV17" s="457"/>
      <c r="EW17" s="457"/>
      <c r="EX17" s="457"/>
      <c r="EY17" s="566"/>
      <c r="EZ17" s="457"/>
      <c r="FA17" s="566"/>
      <c r="FB17" s="457"/>
      <c r="FC17" s="566"/>
      <c r="FD17" s="457"/>
      <c r="FE17" s="566"/>
      <c r="FF17" s="457"/>
      <c r="FG17" s="566"/>
      <c r="FH17" s="457"/>
      <c r="FI17" s="566"/>
      <c r="FJ17" s="457"/>
      <c r="FK17" s="566"/>
      <c r="FL17" s="457"/>
      <c r="FM17" s="566"/>
      <c r="FN17" s="457"/>
      <c r="FO17" s="566"/>
      <c r="FP17" s="457"/>
      <c r="FQ17" s="566"/>
      <c r="FR17" s="457"/>
      <c r="FS17" s="566"/>
      <c r="FT17" s="457"/>
      <c r="FU17" s="566"/>
      <c r="FV17" s="571">
        <f>FV488</f>
        <v>1.0077687916143476</v>
      </c>
      <c r="FW17" s="572" t="str">
        <f t="shared" si="50"/>
        <v>NA</v>
      </c>
      <c r="FX17" s="571">
        <f>FX488</f>
        <v>3.127218823882048</v>
      </c>
      <c r="FY17" s="572" t="str">
        <f t="shared" si="51"/>
        <v>NM</v>
      </c>
      <c r="FZ17" s="571">
        <f>FZ488</f>
        <v>3.2501504660823852</v>
      </c>
      <c r="GA17" s="572">
        <f>IF(ISERROR((FZ17/FX17-1)*100),"NA",IF(((FZ17/FX17-1)*100)&gt;100,"NM",IF(((FZ17/FX17-1)*100)&lt;-50,"NM",(FZ17/FX17-1)*100)))</f>
        <v>3.9310214322556769</v>
      </c>
      <c r="GB17" s="571">
        <f>GB488</f>
        <v>1.6919477480990448</v>
      </c>
      <c r="GC17" s="572">
        <f>IF(ISERROR((GB17/FZ17-1)*100),"NA",IF(((GB17/FZ17-1)*100)&gt;100,"NM",IF(((GB17/FZ17-1)*100)&lt;-50,"NM",(GB17/FZ17-1)*100)))</f>
        <v>-47.942479409623829</v>
      </c>
      <c r="GD17" s="571">
        <f>GD488</f>
        <v>3.6030657523194822</v>
      </c>
      <c r="GE17" s="572" t="str">
        <f>IF(ISERROR((GD17/GB17-1)*100),"NA",IF(((GD17/GB17-1)*100)&gt;100,"NM",IF(((GD17/GB17-1)*100)&lt;-50,"NM",(GD17/GB17-1)*100)))</f>
        <v>NM</v>
      </c>
      <c r="GF17" s="571">
        <f>GF488</f>
        <v>3.8813056379822002</v>
      </c>
      <c r="GG17" s="572">
        <f>IF(ISERROR((GF17/GD17-1)*100),"NA",IF(((GF17/GD17-1)*100)&gt;100,"NM",IF(((GF17/GD17-1)*100)&lt;-50,"NM",(GF17/GD17-1)*100)))</f>
        <v>7.7223094106345425</v>
      </c>
      <c r="GH17" s="571">
        <f>GH488</f>
        <v>4.291180998460522</v>
      </c>
      <c r="GI17" s="572">
        <f>IF(ISERROR((GH17/GF17-1)*100),"NA",IF(((GH17/GF17-1)*100)&gt;100,"NM",IF(((GH17/GF17-1)*100)&lt;-50,"NM",(GH17/GF17-1)*100)))</f>
        <v>10.56024437929619</v>
      </c>
      <c r="GJ17" s="571">
        <f>GJ488</f>
        <v>5.1979661887095761</v>
      </c>
      <c r="GK17" s="572">
        <f>IF(ISERROR((GJ17/GH17-1)*100),"NA",IF(((GJ17/GH17-1)*100)&gt;100,"NM",IF(((GJ17/GH17-1)*100)&lt;-50,"NM",(GJ17/GH17-1)*100)))</f>
        <v>21.131366646486516</v>
      </c>
      <c r="GL17" s="571">
        <f>GL488</f>
        <v>5.5047351554945934</v>
      </c>
      <c r="GM17" s="572">
        <f>IF(ISERROR((GL17/GJ17-1)*100),"NA",IF(((GL17/GJ17-1)*100)&gt;100,"NM",IF(((GL17/GJ17-1)*100)&lt;-50,"NM",(GL17/GJ17-1)*100)))</f>
        <v>5.901711470369797</v>
      </c>
      <c r="GN17" s="571">
        <f>GN488</f>
        <v>5.8546964937249504</v>
      </c>
      <c r="GO17" s="572">
        <f>IF(ISERROR((GN17/GL17-1)*100),"NA",IF(((GN17/GL17-1)*100)&gt;100,"NM",IF(((GN17/GL17-1)*100)&lt;-50,"NM",(GN17/GL17-1)*100)))</f>
        <v>6.3574600474836762</v>
      </c>
      <c r="GP17" s="571">
        <f>GP488</f>
        <v>6.2452514056605244</v>
      </c>
      <c r="GQ17" s="572">
        <f>IF(ISERROR((GP17/GN17-1)*100),"NA",IF(((GP17/GN17-1)*100)&gt;100,"NM",IF(((GP17/GN17-1)*100)&lt;-50,"NM",(GP17/GN17-1)*100)))</f>
        <v>6.670796895350084</v>
      </c>
      <c r="GR17" s="571">
        <f>GR488</f>
        <v>6.6510372047902013</v>
      </c>
      <c r="GS17" s="572">
        <f>IF(ISERROR((GR17/GP17-1)*100),"NA",IF(((GR17/GP17-1)*100)&gt;100,"NM",IF(((GR17/GP17-1)*100)&lt;-50,"NM",(GR17/GP17-1)*100)))</f>
        <v>6.4975094319162929</v>
      </c>
      <c r="GT17" s="572">
        <f>IF(ISERROR(((GR17/GH17)^0.2-1)*100),"NA",(IF(OR(((GR17/GH17)^0.2-1)*100&gt;99,((GR17/GH17)^0.2-1)*100&lt;-50),"NM",(((GR17/GH17)^0.2-1)*100))))</f>
        <v>9.1597440816612696</v>
      </c>
      <c r="GW17"/>
      <c r="GX17"/>
      <c r="GY17"/>
      <c r="GZ17"/>
      <c r="HA17"/>
      <c r="HB17"/>
      <c r="HC17" s="970"/>
    </row>
    <row r="18" spans="1:286" s="580" customFormat="1" ht="12.75" customHeight="1" x14ac:dyDescent="0.2">
      <c r="A18" s="457"/>
      <c r="B18" s="568" t="s">
        <v>140</v>
      </c>
      <c r="C18" s="457"/>
      <c r="D18" s="457"/>
      <c r="E18" s="457"/>
      <c r="F18" s="457"/>
      <c r="G18" s="457"/>
      <c r="H18" s="457"/>
      <c r="I18" s="457"/>
      <c r="J18" s="457"/>
      <c r="K18" s="457"/>
      <c r="L18" s="457"/>
      <c r="M18" s="457"/>
      <c r="N18" s="566"/>
      <c r="O18" s="457"/>
      <c r="P18" s="566"/>
      <c r="Q18" s="457"/>
      <c r="R18" s="566"/>
      <c r="S18" s="457"/>
      <c r="T18" s="566"/>
      <c r="U18" s="457"/>
      <c r="V18" s="566"/>
      <c r="W18" s="457"/>
      <c r="X18" s="566"/>
      <c r="Y18" s="457"/>
      <c r="Z18" s="566"/>
      <c r="AA18" s="457"/>
      <c r="AB18" s="566"/>
      <c r="AC18" s="457"/>
      <c r="AD18" s="566"/>
      <c r="AE18" s="457"/>
      <c r="AF18" s="566"/>
      <c r="AG18" s="457"/>
      <c r="AH18" s="566"/>
      <c r="AI18" s="457"/>
      <c r="AJ18" s="566"/>
      <c r="AK18" s="457"/>
      <c r="AL18" s="566"/>
      <c r="AM18" s="457"/>
      <c r="AN18" s="566"/>
      <c r="AO18" s="457"/>
      <c r="AP18" s="566"/>
      <c r="AQ18" s="457"/>
      <c r="AR18" s="566"/>
      <c r="AS18" s="457"/>
      <c r="AT18" s="566"/>
      <c r="AU18" s="457"/>
      <c r="AV18" s="566"/>
      <c r="AW18" s="457"/>
      <c r="AX18" s="566"/>
      <c r="AY18" s="457"/>
      <c r="AZ18" s="566"/>
      <c r="BA18" s="457"/>
      <c r="BB18" s="566"/>
      <c r="BC18" s="457"/>
      <c r="BD18" s="566"/>
      <c r="BE18" s="457"/>
      <c r="BF18" s="566"/>
      <c r="BG18" s="457"/>
      <c r="BH18" s="566"/>
      <c r="BI18" s="457"/>
      <c r="BJ18" s="566"/>
      <c r="BK18" s="457"/>
      <c r="BL18" s="566"/>
      <c r="BM18" s="457"/>
      <c r="BN18" s="566"/>
      <c r="BO18" s="457"/>
      <c r="BP18" s="566"/>
      <c r="BQ18" s="457"/>
      <c r="BR18" s="566"/>
      <c r="BS18" s="457"/>
      <c r="BT18" s="566"/>
      <c r="BU18" s="457"/>
      <c r="BV18" s="566"/>
      <c r="BW18" s="457"/>
      <c r="BX18" s="566"/>
      <c r="BY18" s="457"/>
      <c r="BZ18" s="566"/>
      <c r="CA18" s="457"/>
      <c r="CB18" s="566"/>
      <c r="CC18" s="457"/>
      <c r="CD18" s="566"/>
      <c r="CE18" s="457"/>
      <c r="CF18" s="566"/>
      <c r="CG18" s="571">
        <f>CG493</f>
        <v>0.69703300663164036</v>
      </c>
      <c r="CH18" s="572" t="str">
        <f t="shared" si="16"/>
        <v>NA</v>
      </c>
      <c r="CI18" s="571">
        <f>CI493</f>
        <v>0.75561397985457524</v>
      </c>
      <c r="CJ18" s="572" t="str">
        <f t="shared" si="17"/>
        <v>NA</v>
      </c>
      <c r="CK18" s="571">
        <f>CK493</f>
        <v>0.716201233467336</v>
      </c>
      <c r="CL18" s="572" t="str">
        <f t="shared" si="18"/>
        <v>NA</v>
      </c>
      <c r="CM18" s="571">
        <f>CM493</f>
        <v>0.7506380131485213</v>
      </c>
      <c r="CN18" s="572" t="str">
        <f t="shared" si="19"/>
        <v>NA</v>
      </c>
      <c r="CO18" s="571">
        <f>CO493</f>
        <v>0.73193163253203442</v>
      </c>
      <c r="CP18" s="572">
        <f t="shared" si="20"/>
        <v>5.0067393607426292</v>
      </c>
      <c r="CQ18" s="571">
        <f>CQ493</f>
        <v>0.75456235679350958</v>
      </c>
      <c r="CR18" s="572">
        <f t="shared" si="21"/>
        <v>-0.13917464328386808</v>
      </c>
      <c r="CS18" s="571">
        <f>CS493</f>
        <v>0.77088506355398001</v>
      </c>
      <c r="CT18" s="572">
        <f t="shared" si="22"/>
        <v>7.6352605289303765</v>
      </c>
      <c r="CU18" s="571">
        <f>CU493</f>
        <v>0.8223684210526313</v>
      </c>
      <c r="CV18" s="572">
        <f t="shared" si="23"/>
        <v>9.555925312553736</v>
      </c>
      <c r="CW18" s="571">
        <f>CW493</f>
        <v>0.78926673549816306</v>
      </c>
      <c r="CX18" s="572">
        <f t="shared" si="24"/>
        <v>7.8333959645635609</v>
      </c>
      <c r="CY18" s="571">
        <f>CY493</f>
        <v>0.8094136357937507</v>
      </c>
      <c r="CZ18" s="572">
        <f t="shared" si="25"/>
        <v>7.2692837783917552</v>
      </c>
      <c r="DA18" s="571">
        <f>DA493</f>
        <v>0.81472778073582797</v>
      </c>
      <c r="DB18" s="572">
        <f t="shared" si="26"/>
        <v>5.6873221774101701</v>
      </c>
      <c r="DC18" s="571">
        <f>DC493</f>
        <v>0.84436840315471418</v>
      </c>
      <c r="DD18" s="572">
        <f t="shared" si="27"/>
        <v>2.6751978236132734</v>
      </c>
      <c r="DE18" s="571">
        <f>DE493</f>
        <v>0.85385500575373907</v>
      </c>
      <c r="DF18" s="572">
        <f t="shared" si="28"/>
        <v>8.183326035501759</v>
      </c>
      <c r="DG18" s="571">
        <f>DG493</f>
        <v>0.89290382117524014</v>
      </c>
      <c r="DH18" s="572">
        <f t="shared" si="29"/>
        <v>10.314897314475658</v>
      </c>
      <c r="DI18" s="571">
        <f>DI493</f>
        <v>0.85989010989011005</v>
      </c>
      <c r="DJ18" s="572">
        <f t="shared" si="30"/>
        <v>5.5432415859802076</v>
      </c>
      <c r="DK18" s="571">
        <f>DK493</f>
        <v>0.89037242472266254</v>
      </c>
      <c r="DL18" s="572">
        <f t="shared" si="30"/>
        <v>5.4483352759374881</v>
      </c>
      <c r="DM18" s="571">
        <f>DM493</f>
        <v>0.8838223632038068</v>
      </c>
      <c r="DN18" s="572">
        <f>IF(ISERROR((DM18/DE18-1)*100),"NA",IF(((DM18/DE18-1)*100)&gt;100,"NM",IF(((DM18/DE18-1)*100)&lt;-50,"NM",(DM18/DE18-1)*100)))</f>
        <v>3.5096541272384041</v>
      </c>
      <c r="DO18" s="571">
        <f>DO493</f>
        <v>0.88487765744083402</v>
      </c>
      <c r="DP18" s="572">
        <f>IF(ISERROR((DO18/DG18-1)*100),"NA",IF(((DO18/DG18-1)*100)&gt;100,"NM",IF(((DO18/DG18-1)*100)&lt;-50,"NM",(DO18/DG18-1)*100)))</f>
        <v>-0.89888334488725796</v>
      </c>
      <c r="DQ18" s="571">
        <f>DQ493</f>
        <v>0.8976857490864808</v>
      </c>
      <c r="DR18" s="572">
        <f>IF(ISERROR((DQ18/DI18-1)*100),"NA",IF(((DQ18/DI18-1)*100)&gt;100,"NM",IF(((DQ18/DI18-1)*100)&lt;-50,"NM",(DQ18/DI18-1)*100)))</f>
        <v>4.3954034081402416</v>
      </c>
      <c r="DS18" s="571">
        <f>DS493</f>
        <v>0.93765381460213248</v>
      </c>
      <c r="DT18" s="572">
        <f>IF(ISERROR((DS18/DK18-1)*100),"NA",IF(((DS18/DK18-1)*100)&gt;100,"NM",IF(((DS18/DK18-1)*100)&lt;-50,"NM",(DS18/DK18-1)*100)))</f>
        <v>5.3102935992427325</v>
      </c>
      <c r="DU18" s="571">
        <f>DU493</f>
        <v>0.93533583646224372</v>
      </c>
      <c r="DV18" s="572">
        <f>IF(ISERROR((DU18/DM18-1)*100),"NA",IF(((DU18/DM18-1)*100)&gt;100,"NM",IF(((DU18/DM18-1)*100)&lt;-50,"NM",(DU18/DM18-1)*100)))</f>
        <v>5.8284871941578276</v>
      </c>
      <c r="DW18" s="571">
        <f>DW493</f>
        <v>0.98187947745469828</v>
      </c>
      <c r="DX18" s="572">
        <f>IF(ISERROR((DW18/DO18-1)*100),"NA",IF(((DW18/DO18-1)*100)&gt;100,"NM",IF(((DW18/DO18-1)*100)&lt;-50,"NM",(DW18/DO18-1)*100)))</f>
        <v>10.962173041458012</v>
      </c>
      <c r="DY18" s="571">
        <f>DY493</f>
        <v>0.97651579846285308</v>
      </c>
      <c r="DZ18" s="572">
        <f>IF(ISERROR((DY18/DQ18-1)*100),"NA",IF(((DY18/DQ18-1)*100)&gt;100,"NM",IF(((DY18/DQ18-1)*100)&lt;-50,"NM",(DY18/DQ18-1)*100)))</f>
        <v>8.7814749712349602</v>
      </c>
      <c r="EA18" s="571">
        <f>EA493</f>
        <v>0.98838209982788272</v>
      </c>
      <c r="EB18" s="572">
        <f>IF(ISERROR((EA18/DS18-1)*100),"NA",IF(((EA18/DS18-1)*100)&gt;100,"NM",IF(((EA18/DS18-1)*100)&lt;-50,"NM",(EA18/DS18-1)*100)))</f>
        <v>5.4101294567094893</v>
      </c>
      <c r="EC18" s="571">
        <f>EC493</f>
        <v>1.0247395833333321</v>
      </c>
      <c r="ED18" s="572">
        <f t="shared" si="97"/>
        <v>9.5584648193576705</v>
      </c>
      <c r="EE18" s="571">
        <f t="shared" ref="EE18:EG18" si="108">EE493</f>
        <v>1.0534618755477656</v>
      </c>
      <c r="EF18" s="572">
        <f t="shared" si="99"/>
        <v>7.2903446641566116</v>
      </c>
      <c r="EG18" s="571">
        <f t="shared" si="108"/>
        <v>1.0862831858407076</v>
      </c>
      <c r="EH18" s="572">
        <f t="shared" si="100"/>
        <v>11.240718025314166</v>
      </c>
      <c r="EI18" s="571">
        <f t="shared" ref="EI18" si="109">EI493</f>
        <v>1.0717304270462624</v>
      </c>
      <c r="EJ18" s="572">
        <f t="shared" si="102"/>
        <v>8.4328041991952318</v>
      </c>
      <c r="EK18" s="571">
        <f t="shared" ref="EK18:EQ18" si="110">EK493</f>
        <v>1.2720273653832308</v>
      </c>
      <c r="EL18" s="572">
        <f t="shared" si="104"/>
        <v>24.131768311857993</v>
      </c>
      <c r="EM18" s="571">
        <f t="shared" si="110"/>
        <v>1.2914948247809064</v>
      </c>
      <c r="EN18" s="572">
        <f t="shared" si="105"/>
        <v>22.595307410566857</v>
      </c>
      <c r="EO18" s="571">
        <f t="shared" si="110"/>
        <v>1.3077515554781463</v>
      </c>
      <c r="EP18" s="572">
        <f t="shared" si="106"/>
        <v>20.387719567438346</v>
      </c>
      <c r="EQ18" s="571">
        <f t="shared" si="110"/>
        <v>1.327471892073594</v>
      </c>
      <c r="ER18" s="572">
        <f t="shared" si="107"/>
        <v>23.862480580323407</v>
      </c>
      <c r="ES18" s="457"/>
      <c r="ET18" s="459"/>
      <c r="EU18" s="457"/>
      <c r="EV18" s="457"/>
      <c r="EW18" s="457"/>
      <c r="EX18" s="457"/>
      <c r="EY18" s="566"/>
      <c r="EZ18" s="457"/>
      <c r="FA18" s="566"/>
      <c r="FB18" s="457"/>
      <c r="FC18" s="566"/>
      <c r="FD18" s="457"/>
      <c r="FE18" s="566"/>
      <c r="FF18" s="457"/>
      <c r="FG18" s="566"/>
      <c r="FH18" s="457"/>
      <c r="FI18" s="566"/>
      <c r="FJ18" s="457"/>
      <c r="FK18" s="566"/>
      <c r="FL18" s="457"/>
      <c r="FM18" s="566"/>
      <c r="FN18" s="457"/>
      <c r="FO18" s="566"/>
      <c r="FP18" s="457"/>
      <c r="FQ18" s="566"/>
      <c r="FR18" s="457"/>
      <c r="FS18" s="566"/>
      <c r="FT18" s="457"/>
      <c r="FU18" s="566"/>
      <c r="FV18" s="571">
        <f>FV493</f>
        <v>2.9612395773043971</v>
      </c>
      <c r="FW18" s="572" t="str">
        <f t="shared" si="50"/>
        <v>NA</v>
      </c>
      <c r="FX18" s="571">
        <f>FX493</f>
        <v>3.127218823882048</v>
      </c>
      <c r="FY18" s="572">
        <f t="shared" si="51"/>
        <v>5.6050597138358249</v>
      </c>
      <c r="FZ18" s="571">
        <f>FZ493</f>
        <v>3.2782532708643006</v>
      </c>
      <c r="GA18" s="572">
        <f>IF(ISERROR((FZ18/FX18-1)*100),"NA",IF(((FZ18/FX18-1)*100)&gt;100,"NM",IF(((FZ18/FX18-1)*100)&lt;-50,"NM",(FZ18/FX18-1)*100)))</f>
        <v>4.8296731213315791</v>
      </c>
      <c r="GB18" s="571">
        <f>GB493</f>
        <v>3.4950672645739917</v>
      </c>
      <c r="GC18" s="572">
        <f>IF(ISERROR((GB18/FZ18-1)*100),"NA",IF(((GB18/FZ18-1)*100)&gt;100,"NM",IF(((GB18/FZ18-1)*100)&lt;-50,"NM",(GB18/FZ18-1)*100)))</f>
        <v>6.6137047932397497</v>
      </c>
      <c r="GD18" s="571">
        <f>GD493</f>
        <v>3.6030657523194822</v>
      </c>
      <c r="GE18" s="572">
        <f>IF(ISERROR((GD18/GB18-1)*100),"NA",IF(((GD18/GB18-1)*100)&gt;100,"NM",IF(((GD18/GB18-1)*100)&lt;-50,"NM",(GD18/GB18-1)*100)))</f>
        <v>3.0900260158127191</v>
      </c>
      <c r="GF18" s="571">
        <f>GF493</f>
        <v>3.8813056379822002</v>
      </c>
      <c r="GG18" s="572">
        <f>IF(ISERROR((GF18/GD18-1)*100),"NA",IF(((GF18/GD18-1)*100)&gt;100,"NM",IF(((GF18/GD18-1)*100)&lt;-50,"NM",(GF18/GD18-1)*100)))</f>
        <v>7.7223094106345425</v>
      </c>
      <c r="GH18" s="571">
        <f>GH493</f>
        <v>4.2354299538157019</v>
      </c>
      <c r="GI18" s="572">
        <f>IF(ISERROR((GH18/GF18-1)*100),"NA",IF(((GH18/GF18-1)*100)&gt;100,"NM",IF(((GH18/GF18-1)*100)&lt;-50,"NM",(GH18/GF18-1)*100)))</f>
        <v>9.1238451403585543</v>
      </c>
      <c r="GJ18" s="571">
        <f>GJ493</f>
        <v>5.1979661887095761</v>
      </c>
      <c r="GK18" s="572">
        <f>IF(ISERROR((GJ18/GH18-1)*100),"NA",IF(((GJ18/GH18-1)*100)&gt;100,"NM",IF(((GJ18/GH18-1)*100)&lt;-50,"NM",(GJ18/GH18-1)*100)))</f>
        <v>22.725821118272172</v>
      </c>
      <c r="GL18" s="571">
        <f>GL493</f>
        <v>5.5047351554945934</v>
      </c>
      <c r="GM18" s="572">
        <f>IF(ISERROR((GL18/GJ18-1)*100),"NA",IF(((GL18/GJ18-1)*100)&gt;100,"NM",IF(((GL18/GJ18-1)*100)&lt;-50,"NM",(GL18/GJ18-1)*100)))</f>
        <v>5.901711470369797</v>
      </c>
      <c r="GN18" s="571">
        <f>GN493</f>
        <v>5.8546964937249504</v>
      </c>
      <c r="GO18" s="572">
        <f>IF(ISERROR((GN18/GL18-1)*100),"NA",IF(((GN18/GL18-1)*100)&gt;100,"NM",IF(((GN18/GL18-1)*100)&lt;-50,"NM",(GN18/GL18-1)*100)))</f>
        <v>6.3574600474836762</v>
      </c>
      <c r="GP18" s="571">
        <f>GP493</f>
        <v>6.2452514056605244</v>
      </c>
      <c r="GQ18" s="572">
        <f>IF(ISERROR((GP18/GN18-1)*100),"NA",IF(((GP18/GN18-1)*100)&gt;100,"NM",IF(((GP18/GN18-1)*100)&lt;-50,"NM",(GP18/GN18-1)*100)))</f>
        <v>6.670796895350084</v>
      </c>
      <c r="GR18" s="571">
        <f>GR493</f>
        <v>6.6510372047902013</v>
      </c>
      <c r="GS18" s="572">
        <f>IF(ISERROR((GR18/GP18-1)*100),"NA",IF(((GR18/GP18-1)*100)&gt;100,"NM",IF(((GR18/GP18-1)*100)&lt;-50,"NM",(GR18/GP18-1)*100)))</f>
        <v>6.4975094319162929</v>
      </c>
      <c r="GT18" s="572">
        <f>IF(ISERROR(((GR18/GH18)^0.2-1)*100),"NA",(IF(OR(((GR18/GH18)^0.2-1)*100&gt;99,((GR18/GH18)^0.2-1)*100&lt;-50),"NM",(((GR18/GH18)^0.2-1)*100))))</f>
        <v>9.44561719255117</v>
      </c>
      <c r="GW18"/>
      <c r="GX18"/>
      <c r="GY18"/>
      <c r="GZ18"/>
      <c r="HA18"/>
      <c r="HB18"/>
    </row>
    <row r="19" spans="1:286" s="580" customFormat="1" ht="12.75" customHeight="1" x14ac:dyDescent="0.2">
      <c r="A19" s="457"/>
      <c r="B19" s="568" t="s">
        <v>528</v>
      </c>
      <c r="C19" s="457"/>
      <c r="D19" s="457"/>
      <c r="E19" s="457"/>
      <c r="F19" s="457"/>
      <c r="G19" s="457"/>
      <c r="H19" s="457"/>
      <c r="I19" s="457"/>
      <c r="J19" s="457"/>
      <c r="K19" s="457"/>
      <c r="L19" s="457"/>
      <c r="M19" s="457"/>
      <c r="N19" s="566"/>
      <c r="O19" s="457"/>
      <c r="P19" s="566"/>
      <c r="Q19" s="457"/>
      <c r="R19" s="566"/>
      <c r="S19" s="457"/>
      <c r="T19" s="566"/>
      <c r="U19" s="457"/>
      <c r="V19" s="566"/>
      <c r="W19" s="457"/>
      <c r="X19" s="566"/>
      <c r="Y19" s="457"/>
      <c r="Z19" s="566"/>
      <c r="AA19" s="457"/>
      <c r="AB19" s="566"/>
      <c r="AC19" s="457"/>
      <c r="AD19" s="566"/>
      <c r="AE19" s="457"/>
      <c r="AF19" s="566"/>
      <c r="AG19" s="457"/>
      <c r="AH19" s="566"/>
      <c r="AI19" s="457"/>
      <c r="AJ19" s="566"/>
      <c r="AK19" s="457"/>
      <c r="AL19" s="566"/>
      <c r="AM19" s="457"/>
      <c r="AN19" s="566"/>
      <c r="AO19" s="457"/>
      <c r="AP19" s="566"/>
      <c r="AQ19" s="457"/>
      <c r="AR19" s="566"/>
      <c r="AS19" s="457"/>
      <c r="AT19" s="566"/>
      <c r="AU19" s="457"/>
      <c r="AV19" s="566"/>
      <c r="AW19" s="457"/>
      <c r="AX19" s="566"/>
      <c r="AY19" s="457"/>
      <c r="AZ19" s="566"/>
      <c r="BA19" s="457"/>
      <c r="BB19" s="566"/>
      <c r="BC19" s="457"/>
      <c r="BD19" s="566"/>
      <c r="BE19" s="457"/>
      <c r="BF19" s="566"/>
      <c r="BG19" s="457"/>
      <c r="BH19" s="566"/>
      <c r="BI19" s="457"/>
      <c r="BJ19" s="566"/>
      <c r="BK19" s="457"/>
      <c r="BL19" s="566"/>
      <c r="BM19" s="457"/>
      <c r="BN19" s="566"/>
      <c r="BO19" s="457"/>
      <c r="BP19" s="566"/>
      <c r="BQ19" s="457"/>
      <c r="BR19" s="566"/>
      <c r="BS19" s="457"/>
      <c r="BT19" s="566"/>
      <c r="BU19" s="457"/>
      <c r="BV19" s="566"/>
      <c r="BW19" s="457"/>
      <c r="BX19" s="566"/>
      <c r="BY19" s="457"/>
      <c r="BZ19" s="566"/>
      <c r="CA19" s="457"/>
      <c r="CB19" s="566"/>
      <c r="CC19" s="457"/>
      <c r="CD19" s="566"/>
      <c r="CE19" s="457"/>
      <c r="CF19" s="566"/>
      <c r="CG19" s="571">
        <f>CG495</f>
        <v>0.69703300663164036</v>
      </c>
      <c r="CH19" s="572" t="str">
        <f>IF(ISERROR((CG19/BY19-1)*100),"NA",IF(((CG19/BY19-1)*100)&gt;100,"NM",IF(((CG19/BY19-1)*100)&lt;-50,"NM",(CG19/BY19-1)*100)))</f>
        <v>NA</v>
      </c>
      <c r="CI19" s="571">
        <f>CI495</f>
        <v>0.76444898692682983</v>
      </c>
      <c r="CJ19" s="572" t="str">
        <f>IF(ISERROR((CI19/CA19-1)*100),"NA",IF(((CI19/CA19-1)*100)&gt;100,"NM",IF(((CI19/CA19-1)*100)&lt;-50,"NM",(CI19/CA19-1)*100)))</f>
        <v>NA</v>
      </c>
      <c r="CK19" s="571">
        <f>CK495</f>
        <v>0.74572262394087163</v>
      </c>
      <c r="CL19" s="572" t="str">
        <f>IF(ISERROR((CK19/CC19-1)*100),"NA",IF(((CK19/CC19-1)*100)&gt;100,"NM",IF(((CK19/CC19-1)*100)&lt;-50,"NM",(CK19/CC19-1)*100)))</f>
        <v>NA</v>
      </c>
      <c r="CM19" s="571">
        <f>CM495</f>
        <v>-1.2192469066685814</v>
      </c>
      <c r="CN19" s="572" t="str">
        <f>IF(ISERROR((CM19/CE19-1)*100),"NA",IF(((CM19/CE19-1)*100)&gt;100,"NM",IF(((CM19/CE19-1)*100)&lt;-50,"NM",(CM19/CE19-1)*100)))</f>
        <v>NA</v>
      </c>
      <c r="CO19" s="571">
        <f>CO495</f>
        <v>0.73193163253203453</v>
      </c>
      <c r="CP19" s="572">
        <f>IF(ISERROR((CO19/CG19-1)*100),"NA",IF(((CO19/CG19-1)*100)&gt;100,"NM",IF(((CO19/CG19-1)*100)&lt;-50,"NM",(CO19/CG19-1)*100)))</f>
        <v>5.0067393607426292</v>
      </c>
      <c r="CQ19" s="571">
        <f>CQ495</f>
        <v>0.79403502562156802</v>
      </c>
      <c r="CR19" s="572">
        <f>IF(ISERROR((CQ19/CI19-1)*100),"NA",IF(((CQ19/CI19-1)*100)&gt;100,"NM",IF(((CQ19/CI19-1)*100)&lt;-50,"NM",(CQ19/CI19-1)*100)))</f>
        <v>3.8702436919535232</v>
      </c>
      <c r="CS19" s="571">
        <f>CS495</f>
        <v>0.80427691772748733</v>
      </c>
      <c r="CT19" s="572">
        <f>IF(ISERROR((CS19/CK19-1)*100),"NA",IF(((CS19/CK19-1)*100)&gt;100,"NM",IF(((CS19/CK19-1)*100)&lt;-50,"NM",(CS19/CK19-1)*100)))</f>
        <v>7.8520205645870922</v>
      </c>
      <c r="CU19" s="571">
        <f>CU495</f>
        <v>0.8223684210526313</v>
      </c>
      <c r="CV19" s="572" t="str">
        <f>IF(ISERROR((CU19/CM19-1)*100),"NA",IF(((CU19/CM19-1)*100)&gt;100,"NM",IF(((CU19/CM19-1)*100)&lt;-50,"NM",(CU19/CM19-1)*100)))</f>
        <v>NM</v>
      </c>
      <c r="CW19" s="571">
        <f>CW495</f>
        <v>0.78674511653490997</v>
      </c>
      <c r="CX19" s="572">
        <f>IF(ISERROR((CW19/CO19-1)*100),"NA",IF(((CW19/CO19-1)*100)&gt;100,"NM",IF(((CW19/CO19-1)*100)&lt;-50,"NM",(CW19/CO19-1)*100)))</f>
        <v>7.4888803225042322</v>
      </c>
      <c r="CY19" s="571">
        <f>CY495</f>
        <v>0.8094136357937507</v>
      </c>
      <c r="CZ19" s="572">
        <f>IF(ISERROR((CY19/CQ19-1)*100),"NA",IF(((CY19/CQ19-1)*100)&gt;100,"NM",IF(((CY19/CQ19-1)*100)&lt;-50,"NM",(CY19/CQ19-1)*100)))</f>
        <v>1.9367672301539018</v>
      </c>
      <c r="DA19" s="571">
        <f>DA495</f>
        <v>0.83856793409688568</v>
      </c>
      <c r="DB19" s="572">
        <f>IF(ISERROR((DA19/CS19-1)*100),"NA",IF(((DA19/CS19-1)*100)&gt;100,"NM",IF(((DA19/CS19-1)*100)&lt;-50,"NM",(DA19/CS19-1)*100)))</f>
        <v>4.263583302413898</v>
      </c>
      <c r="DC19" s="571">
        <f>DC495</f>
        <v>0.81607006854531583</v>
      </c>
      <c r="DD19" s="572">
        <f>IF(ISERROR((DC19/CU19-1)*100),"NA",IF(((DC19/CU19-1)*100)&gt;100,"NM",IF(((DC19/CU19-1)*100)&lt;-50,"NM",(DC19/CU19-1)*100)))</f>
        <v>-0.76587966488955717</v>
      </c>
      <c r="DE19" s="571">
        <f>DE495</f>
        <v>0.85385500575373896</v>
      </c>
      <c r="DF19" s="572">
        <f>IF(ISERROR((DE19/CW19-1)*100),"NA",IF(((DE19/CW19-1)*100)&gt;100,"NM",IF(((DE19/CW19-1)*100)&lt;-50,"NM",(DE19/CW19-1)*100)))</f>
        <v>8.5300674651027428</v>
      </c>
      <c r="DG19" s="571">
        <f>DG495</f>
        <v>0.85808452888716569</v>
      </c>
      <c r="DH19" s="572">
        <f>IF(ISERROR((DG19/CY19-1)*100),"NA",IF(((DG19/CY19-1)*100)&gt;100,"NM",IF(((DG19/CY19-1)*100)&lt;-50,"NM",(DG19/CY19-1)*100)))</f>
        <v>6.0131051592287488</v>
      </c>
      <c r="DI19" s="571">
        <f>DI495</f>
        <v>0.85989010989011005</v>
      </c>
      <c r="DJ19" s="572">
        <f>IF(ISERROR((DI19/DA19-1)*100),"NA",IF(((DI19/DA19-1)*100)&gt;100,"NM",IF(((DI19/DA19-1)*100)&lt;-50,"NM",(DI19/DA19-1)*100)))</f>
        <v>2.5426891401693963</v>
      </c>
      <c r="DK19" s="571">
        <f>DK495</f>
        <v>-0.90768621236133129</v>
      </c>
      <c r="DL19" s="572" t="str">
        <f>IF(ISERROR((DK19/DC19-1)*100),"NA",IF(((DK19/DC19-1)*100)&gt;100,"NM",IF(((DK19/DC19-1)*100)&lt;-50,"NM",(DK19/DC19-1)*100)))</f>
        <v>NM</v>
      </c>
      <c r="DM19" s="571">
        <f>DM495</f>
        <v>0.8838223632038068</v>
      </c>
      <c r="DN19" s="572">
        <f>IF(ISERROR((DM19/DE19-1)*100),"NA",IF(((DM19/DE19-1)*100)&gt;100,"NM",IF(((DM19/DE19-1)*100)&lt;-50,"NM",(DM19/DE19-1)*100)))</f>
        <v>3.5096541272384041</v>
      </c>
      <c r="DO19" s="571">
        <f>DO495</f>
        <v>0.88487765744083402</v>
      </c>
      <c r="DP19" s="572">
        <f>IF(ISERROR((DO19/DG19-1)*100),"NA",IF(((DO19/DG19-1)*100)&gt;100,"NM",IF(((DO19/DG19-1)*100)&lt;-50,"NM",(DO19/DG19-1)*100)))</f>
        <v>3.1224346380438694</v>
      </c>
      <c r="DQ19" s="571">
        <f>DQ495</f>
        <v>0.8976857490864808</v>
      </c>
      <c r="DR19" s="572">
        <f>IF(ISERROR((DQ19/DI19-1)*100),"NA",IF(((DQ19/DI19-1)*100)&gt;100,"NM",IF(((DQ19/DI19-1)*100)&lt;-50,"NM",(DQ19/DI19-1)*100)))</f>
        <v>4.3954034081402416</v>
      </c>
      <c r="DS19" s="571">
        <f>DS495</f>
        <v>0.93765381460213248</v>
      </c>
      <c r="DT19" s="572" t="str">
        <f>IF(ISERROR((DS19/DK19-1)*100),"NA",IF(((DS19/DK19-1)*100)&gt;100,"NM",IF(((DS19/DK19-1)*100)&lt;-50,"NM",(DS19/DK19-1)*100)))</f>
        <v>NM</v>
      </c>
      <c r="DU19" s="571">
        <f>DU495</f>
        <v>0.93533583646224372</v>
      </c>
      <c r="DV19" s="572">
        <f>IF(ISERROR((DU19/DM19-1)*100),"NA",IF(((DU19/DM19-1)*100)&gt;100,"NM",IF(((DU19/DM19-1)*100)&lt;-50,"NM",(DU19/DM19-1)*100)))</f>
        <v>5.8284871941578276</v>
      </c>
      <c r="DW19" s="571">
        <f>DW495</f>
        <v>0.98187947745469828</v>
      </c>
      <c r="DX19" s="572">
        <f>IF(ISERROR((DW19/DO19-1)*100),"NA",IF(((DW19/DO19-1)*100)&gt;100,"NM",IF(((DW19/DO19-1)*100)&lt;-50,"NM",(DW19/DO19-1)*100)))</f>
        <v>10.962173041458012</v>
      </c>
      <c r="DY19" s="571">
        <f>DY495</f>
        <v>0.97651579846285308</v>
      </c>
      <c r="DZ19" s="572">
        <f>IF(ISERROR((DY19/DQ19-1)*100),"NA",IF(((DY19/DQ19-1)*100)&gt;100,"NM",IF(((DY19/DQ19-1)*100)&lt;-50,"NM",(DY19/DQ19-1)*100)))</f>
        <v>8.7814749712349602</v>
      </c>
      <c r="EA19" s="571">
        <f>EA495</f>
        <v>0.98838209982788272</v>
      </c>
      <c r="EB19" s="572">
        <f>IF(ISERROR((EA19/DS19-1)*100),"NA",IF(((EA19/DS19-1)*100)&gt;100,"NM",IF(((EA19/DS19-1)*100)&lt;-50,"NM",(EA19/DS19-1)*100)))</f>
        <v>5.4101294567094893</v>
      </c>
      <c r="EC19" s="571">
        <f>EC495</f>
        <v>1.0247395833333321</v>
      </c>
      <c r="ED19" s="572">
        <f t="shared" si="97"/>
        <v>9.5584648193576705</v>
      </c>
      <c r="EE19" s="571">
        <f t="shared" ref="EE19:EG19" si="111">EE495</f>
        <v>1.0534618755477656</v>
      </c>
      <c r="EF19" s="572">
        <f t="shared" si="99"/>
        <v>7.2903446641566116</v>
      </c>
      <c r="EG19" s="571">
        <f t="shared" si="111"/>
        <v>1.0862831858407076</v>
      </c>
      <c r="EH19" s="572">
        <f t="shared" si="100"/>
        <v>11.240718025314166</v>
      </c>
      <c r="EI19" s="571">
        <f t="shared" ref="EI19" si="112">EI495</f>
        <v>1.1281138790035579</v>
      </c>
      <c r="EJ19" s="572">
        <f t="shared" si="102"/>
        <v>14.137425111200219</v>
      </c>
      <c r="EK19" s="571">
        <f t="shared" ref="EK19:EQ19" si="113">EK495</f>
        <v>1.2720273653832308</v>
      </c>
      <c r="EL19" s="572">
        <f t="shared" si="104"/>
        <v>24.131768311857993</v>
      </c>
      <c r="EM19" s="571">
        <f t="shared" si="113"/>
        <v>1.2914948247809064</v>
      </c>
      <c r="EN19" s="572">
        <f t="shared" si="105"/>
        <v>22.595307410566857</v>
      </c>
      <c r="EO19" s="571">
        <f t="shared" si="113"/>
        <v>1.3077515554781463</v>
      </c>
      <c r="EP19" s="572">
        <f t="shared" si="106"/>
        <v>20.387719567438346</v>
      </c>
      <c r="EQ19" s="571">
        <f t="shared" si="113"/>
        <v>1.327471892073594</v>
      </c>
      <c r="ER19" s="572">
        <f t="shared" si="107"/>
        <v>17.671798634914882</v>
      </c>
      <c r="ES19" s="457"/>
      <c r="ET19" s="459"/>
      <c r="EU19" s="457"/>
      <c r="EV19" s="457"/>
      <c r="EW19" s="457"/>
      <c r="EX19" s="457"/>
      <c r="EY19" s="566"/>
      <c r="EZ19" s="457"/>
      <c r="FA19" s="566"/>
      <c r="FB19" s="457"/>
      <c r="FC19" s="566"/>
      <c r="FD19" s="457"/>
      <c r="FE19" s="566"/>
      <c r="FF19" s="457"/>
      <c r="FG19" s="566"/>
      <c r="FH19" s="457"/>
      <c r="FI19" s="566"/>
      <c r="FJ19" s="457"/>
      <c r="FK19" s="566"/>
      <c r="FL19" s="457"/>
      <c r="FM19" s="566"/>
      <c r="FN19" s="457"/>
      <c r="FO19" s="566"/>
      <c r="FP19" s="457"/>
      <c r="FQ19" s="566"/>
      <c r="FR19" s="457"/>
      <c r="FS19" s="566"/>
      <c r="FT19" s="457"/>
      <c r="FU19" s="566"/>
      <c r="FV19" s="571">
        <f>FV495</f>
        <v>1.0077687916143476</v>
      </c>
      <c r="FW19" s="572" t="str">
        <f>IF(ISERROR((FV19/FT19-1)*100),"NA",IF(((FV19/FT19-1)*100)&gt;100,"NM",IF(((FV19/FT19-1)*100)&lt;-50,"NM",(FV19/FT19-1)*100)))</f>
        <v>NA</v>
      </c>
      <c r="FX19" s="571">
        <f>FX495</f>
        <v>3.1495763801580989</v>
      </c>
      <c r="FY19" s="572" t="str">
        <f>IF(ISERROR((FX19/FV19-1)*100),"NA",IF(((FX19/FV19-1)*100)&gt;100,"NM",IF(((FX19/FV19-1)*100)&lt;-50,"NM",(FX19/FV19-1)*100)))</f>
        <v>NM</v>
      </c>
      <c r="FZ19" s="571">
        <f>FZ495</f>
        <v>3.2501504660823857</v>
      </c>
      <c r="GA19" s="572">
        <f>IF(ISERROR((FZ19/FX19-1)*100),"NA",IF(((FZ19/FX19-1)*100)&gt;100,"NM",IF(((FZ19/FX19-1)*100)&lt;-50,"NM",(FZ19/FX19-1)*100)))</f>
        <v>3.1932575618070391</v>
      </c>
      <c r="GB19" s="571">
        <f>GB495</f>
        <v>1.6919477480990437</v>
      </c>
      <c r="GC19" s="572">
        <f>IF(ISERROR((GB19/FZ19-1)*100),"NA",IF(((GB19/FZ19-1)*100)&gt;100,"NM",IF(((GB19/FZ19-1)*100)&lt;-50,"NM",(GB19/FZ19-1)*100)))</f>
        <v>-47.942479409623871</v>
      </c>
      <c r="GD19" s="571">
        <f>GD495</f>
        <v>3.6030657523194844</v>
      </c>
      <c r="GE19" s="572" t="str">
        <f>IF(ISERROR((GD19/GB19-1)*100),"NA",IF(((GD19/GB19-1)*100)&gt;100,"NM",IF(((GD19/GB19-1)*100)&lt;-50,"NM",(GD19/GB19-1)*100)))</f>
        <v>NM</v>
      </c>
      <c r="GF19" s="571">
        <f>GF495</f>
        <v>3.8813056379821944</v>
      </c>
      <c r="GG19" s="572">
        <f>IF(ISERROR((GF19/GD19-1)*100),"NA",IF(((GF19/GD19-1)*100)&gt;100,"NM",IF(((GF19/GD19-1)*100)&lt;-50,"NM",(GF19/GD19-1)*100)))</f>
        <v>7.7223094106343204</v>
      </c>
      <c r="GH19" s="571">
        <f>GH495</f>
        <v>4.291180998460522</v>
      </c>
      <c r="GI19" s="572">
        <f>IF(ISERROR((GH19/GF19-1)*100),"NA",IF(((GH19/GF19-1)*100)&gt;100,"NM",IF(((GH19/GF19-1)*100)&lt;-50,"NM",(GH19/GF19-1)*100)))</f>
        <v>10.560244379296368</v>
      </c>
      <c r="GJ19" s="571">
        <f>GJ495</f>
        <v>5.1979661887095743</v>
      </c>
      <c r="GK19" s="572">
        <f>IF(ISERROR((GJ19/GH19-1)*100),"NA",IF(((GJ19/GH19-1)*100)&gt;100,"NM",IF(((GJ19/GH19-1)*100)&lt;-50,"NM",(GJ19/GH19-1)*100)))</f>
        <v>21.13136664648647</v>
      </c>
      <c r="GL19" s="571">
        <f>GL495</f>
        <v>5.5047351554945934</v>
      </c>
      <c r="GM19" s="572">
        <f>IF(ISERROR((GL19/GJ19-1)*100),"NA",IF(((GL19/GJ19-1)*100)&gt;100,"NM",IF(((GL19/GJ19-1)*100)&lt;-50,"NM",(GL19/GJ19-1)*100)))</f>
        <v>5.9017114703698415</v>
      </c>
      <c r="GN19" s="571">
        <f>GN495</f>
        <v>5.8546964937249504</v>
      </c>
      <c r="GO19" s="572">
        <f>IF(ISERROR((GN19/GL19-1)*100),"NA",IF(((GN19/GL19-1)*100)&gt;100,"NM",IF(((GN19/GL19-1)*100)&lt;-50,"NM",(GN19/GL19-1)*100)))</f>
        <v>6.3574600474836762</v>
      </c>
      <c r="GP19" s="571">
        <f>GP495</f>
        <v>6.2452514056605244</v>
      </c>
      <c r="GQ19" s="572">
        <f>IF(ISERROR((GP19/GN19-1)*100),"NA",IF(((GP19/GN19-1)*100)&gt;100,"NM",IF(((GP19/GN19-1)*100)&lt;-50,"NM",(GP19/GN19-1)*100)))</f>
        <v>6.670796895350084</v>
      </c>
      <c r="GR19" s="571">
        <f>GR495</f>
        <v>6.6510372047902013</v>
      </c>
      <c r="GS19" s="572">
        <f>IF(ISERROR((GR19/GP19-1)*100),"NA",IF(((GR19/GP19-1)*100)&gt;100,"NM",IF(((GR19/GP19-1)*100)&lt;-50,"NM",(GR19/GP19-1)*100)))</f>
        <v>6.4975094319162929</v>
      </c>
      <c r="GT19" s="572">
        <f>IF(ISERROR(((GR19/GH19)^0.2-1)*100),"NA",(IF(OR(((GR19/GH19)^0.2-1)*100&gt;99,((GR19/GH19)^0.2-1)*100&lt;-50),"NM",(((GR19/GH19)^0.2-1)*100))))</f>
        <v>9.1597440816612696</v>
      </c>
      <c r="GW19"/>
      <c r="GX19"/>
      <c r="GY19"/>
      <c r="GZ19"/>
      <c r="HA19"/>
      <c r="HB19"/>
    </row>
    <row r="20" spans="1:286" s="589" customFormat="1" ht="12.75" customHeight="1" x14ac:dyDescent="0.2">
      <c r="A20" s="581"/>
      <c r="B20" s="582" t="s">
        <v>366</v>
      </c>
      <c r="C20" s="583"/>
      <c r="D20" s="583"/>
      <c r="E20" s="584"/>
      <c r="F20" s="584"/>
      <c r="G20" s="584"/>
      <c r="H20" s="584"/>
      <c r="I20" s="584"/>
      <c r="J20" s="584"/>
      <c r="K20" s="584"/>
      <c r="L20" s="584"/>
      <c r="M20" s="584"/>
      <c r="N20" s="585"/>
      <c r="O20" s="584"/>
      <c r="P20" s="583"/>
      <c r="Q20" s="584"/>
      <c r="R20" s="583"/>
      <c r="S20" s="584"/>
      <c r="T20" s="583"/>
      <c r="U20" s="584"/>
      <c r="V20" s="583"/>
      <c r="W20" s="584"/>
      <c r="X20" s="583"/>
      <c r="Y20" s="584"/>
      <c r="Z20" s="583"/>
      <c r="AA20" s="586"/>
      <c r="AB20" s="583"/>
      <c r="AC20" s="584"/>
      <c r="AD20" s="583"/>
      <c r="AE20" s="586"/>
      <c r="AF20" s="583"/>
      <c r="AG20" s="586"/>
      <c r="AH20" s="583"/>
      <c r="AI20" s="586"/>
      <c r="AJ20" s="583"/>
      <c r="AK20" s="586"/>
      <c r="AL20" s="583"/>
      <c r="AM20" s="586"/>
      <c r="AN20" s="583"/>
      <c r="AO20" s="586"/>
      <c r="AP20" s="583"/>
      <c r="AQ20" s="586"/>
      <c r="AR20" s="583"/>
      <c r="AS20" s="586"/>
      <c r="AT20" s="587"/>
      <c r="AU20" s="586"/>
      <c r="AV20" s="587"/>
      <c r="AW20" s="586"/>
      <c r="AX20" s="587"/>
      <c r="AY20" s="586"/>
      <c r="AZ20" s="587"/>
      <c r="BA20" s="586"/>
      <c r="BB20" s="587"/>
      <c r="BC20" s="586"/>
      <c r="BD20" s="587"/>
      <c r="BE20" s="586"/>
      <c r="BF20" s="587"/>
      <c r="BG20" s="586"/>
      <c r="BH20" s="587"/>
      <c r="BI20" s="586"/>
      <c r="BJ20" s="587"/>
      <c r="BK20" s="586"/>
      <c r="BL20" s="587"/>
      <c r="BM20" s="586"/>
      <c r="BN20" s="587"/>
      <c r="BO20" s="586"/>
      <c r="BP20" s="587"/>
      <c r="BQ20" s="586"/>
      <c r="BR20" s="587"/>
      <c r="BS20" s="586"/>
      <c r="BT20" s="587"/>
      <c r="BU20" s="586"/>
      <c r="BV20" s="587"/>
      <c r="BW20" s="586"/>
      <c r="BX20" s="587"/>
      <c r="BY20" s="586"/>
      <c r="BZ20" s="587"/>
      <c r="CA20" s="586"/>
      <c r="CB20" s="587"/>
      <c r="CC20" s="586"/>
      <c r="CD20" s="587"/>
      <c r="CE20" s="586"/>
      <c r="CF20" s="587"/>
      <c r="CG20" s="586"/>
      <c r="CH20" s="587"/>
      <c r="CI20" s="586"/>
      <c r="CJ20" s="587"/>
      <c r="CK20" s="586"/>
      <c r="CL20" s="587"/>
      <c r="CM20" s="586"/>
      <c r="CN20" s="587"/>
      <c r="CO20" s="586"/>
      <c r="CP20" s="587"/>
      <c r="CQ20" s="586"/>
      <c r="CR20" s="587"/>
      <c r="CS20" s="586"/>
      <c r="CT20" s="587"/>
      <c r="CU20" s="586"/>
      <c r="CV20" s="587"/>
      <c r="CW20" s="586"/>
      <c r="CX20" s="587"/>
      <c r="CY20" s="586"/>
      <c r="CZ20" s="587"/>
      <c r="DA20" s="586"/>
      <c r="DB20" s="587"/>
      <c r="DC20" s="586"/>
      <c r="DD20" s="587"/>
      <c r="DE20" s="586"/>
      <c r="DF20" s="587"/>
      <c r="DG20" s="586"/>
      <c r="DH20" s="587"/>
      <c r="DI20" s="586"/>
      <c r="DJ20" s="587"/>
      <c r="DK20" s="586"/>
      <c r="DL20" s="587"/>
      <c r="DM20" s="586"/>
      <c r="DN20" s="587"/>
      <c r="DO20" s="586"/>
      <c r="DP20" s="587"/>
      <c r="DQ20" s="586"/>
      <c r="DR20" s="587"/>
      <c r="DS20" s="586"/>
      <c r="DT20" s="587"/>
      <c r="DU20" s="586"/>
      <c r="DV20" s="587"/>
      <c r="DW20" s="586"/>
      <c r="DX20" s="587"/>
      <c r="DY20" s="586"/>
      <c r="DZ20" s="587"/>
      <c r="EA20" s="586"/>
      <c r="EB20" s="587"/>
      <c r="EC20" s="586"/>
      <c r="ED20" s="587"/>
      <c r="EE20" s="586"/>
      <c r="EF20" s="587"/>
      <c r="EG20" s="586"/>
      <c r="EH20" s="587"/>
      <c r="EI20" s="586"/>
      <c r="EJ20" s="587"/>
      <c r="EK20" s="586"/>
      <c r="EL20" s="587"/>
      <c r="EM20" s="586"/>
      <c r="EN20" s="587"/>
      <c r="EO20" s="586"/>
      <c r="EP20" s="587"/>
      <c r="EQ20" s="586"/>
      <c r="ER20" s="587"/>
      <c r="ES20" s="584"/>
      <c r="ET20" s="588"/>
      <c r="EU20" s="584"/>
      <c r="EV20" s="584"/>
      <c r="EW20" s="583"/>
      <c r="EX20" s="584"/>
      <c r="EY20" s="583"/>
      <c r="EZ20" s="584"/>
      <c r="FA20" s="583"/>
      <c r="FB20" s="584"/>
      <c r="FC20" s="583"/>
      <c r="FD20" s="584"/>
      <c r="FE20" s="583"/>
      <c r="FF20" s="584"/>
      <c r="FG20" s="583"/>
      <c r="FH20" s="584"/>
      <c r="FI20" s="583"/>
      <c r="FJ20" s="584"/>
      <c r="FK20" s="583"/>
      <c r="FL20" s="584"/>
      <c r="FM20" s="583"/>
      <c r="FN20" s="584"/>
      <c r="FO20" s="583"/>
      <c r="FP20" s="584"/>
      <c r="FQ20" s="583"/>
      <c r="FR20" s="584"/>
      <c r="FS20" s="583"/>
      <c r="FT20" s="584"/>
      <c r="FU20" s="583"/>
      <c r="FV20" s="584"/>
      <c r="FW20" s="583"/>
      <c r="FX20" s="584"/>
      <c r="FY20" s="583"/>
      <c r="FZ20" s="584"/>
      <c r="GA20" s="583"/>
      <c r="GB20" s="584"/>
      <c r="GC20" s="583"/>
      <c r="GD20" s="584"/>
      <c r="GE20" s="583"/>
      <c r="GF20" s="584"/>
      <c r="GG20" s="583"/>
      <c r="GH20" s="584"/>
      <c r="GI20" s="583"/>
      <c r="GJ20" s="584"/>
      <c r="GK20" s="583"/>
      <c r="GL20" s="584"/>
      <c r="GM20" s="583"/>
      <c r="GN20" s="584"/>
      <c r="GO20" s="583"/>
      <c r="GP20" s="584"/>
      <c r="GQ20" s="583"/>
      <c r="GR20" s="584"/>
      <c r="GS20" s="583"/>
      <c r="GT20" s="583"/>
      <c r="GU20" s="562"/>
      <c r="GV20" s="562"/>
      <c r="GW20"/>
      <c r="GX20"/>
      <c r="GY20"/>
      <c r="GZ20"/>
      <c r="HA20"/>
      <c r="HB20"/>
      <c r="HC20" s="562"/>
      <c r="HD20" s="562"/>
      <c r="HE20" s="562"/>
      <c r="HF20" s="562"/>
      <c r="HG20" s="562"/>
      <c r="HH20" s="562"/>
      <c r="HI20" s="562"/>
      <c r="HJ20" s="562"/>
      <c r="HK20" s="562"/>
      <c r="HL20" s="562"/>
      <c r="HM20" s="562"/>
      <c r="HN20" s="562"/>
      <c r="HO20" s="562"/>
      <c r="HP20" s="562"/>
      <c r="HQ20" s="562"/>
      <c r="HR20" s="562"/>
      <c r="HS20" s="562"/>
      <c r="HT20" s="562"/>
      <c r="HU20" s="562"/>
      <c r="HV20" s="562"/>
      <c r="HW20" s="562"/>
      <c r="HX20" s="562"/>
      <c r="HY20" s="562"/>
      <c r="HZ20" s="562"/>
      <c r="IA20" s="562"/>
      <c r="IB20" s="562"/>
      <c r="IC20" s="562"/>
      <c r="ID20" s="562"/>
      <c r="IE20" s="562"/>
      <c r="IF20" s="562"/>
      <c r="IG20" s="562"/>
      <c r="IH20" s="562"/>
      <c r="II20" s="562"/>
      <c r="IJ20" s="562"/>
      <c r="IK20" s="562"/>
      <c r="IL20" s="562"/>
      <c r="IM20" s="562"/>
      <c r="IN20" s="562"/>
      <c r="IO20" s="562"/>
      <c r="IP20" s="562"/>
      <c r="IQ20" s="562"/>
      <c r="IR20" s="562"/>
      <c r="IS20" s="562"/>
      <c r="IT20" s="562"/>
      <c r="IU20" s="562"/>
      <c r="IV20" s="562"/>
      <c r="IW20" s="562"/>
      <c r="IX20" s="562"/>
      <c r="IY20" s="562"/>
      <c r="IZ20" s="562"/>
      <c r="JA20" s="562"/>
      <c r="JB20" s="562"/>
      <c r="JC20" s="562"/>
      <c r="JD20" s="562"/>
      <c r="JE20" s="562"/>
      <c r="JF20" s="562"/>
      <c r="JG20" s="562"/>
      <c r="JH20" s="562"/>
      <c r="JI20" s="562"/>
      <c r="JJ20" s="562"/>
      <c r="JK20" s="562"/>
      <c r="JL20" s="562"/>
      <c r="JM20" s="562"/>
      <c r="JN20" s="562"/>
      <c r="JO20" s="562"/>
      <c r="JP20" s="562"/>
      <c r="JQ20" s="562"/>
      <c r="JR20" s="562"/>
      <c r="JS20" s="562"/>
      <c r="JT20" s="562"/>
      <c r="JU20" s="562"/>
      <c r="JV20" s="562"/>
      <c r="JW20" s="562"/>
      <c r="JX20" s="562"/>
      <c r="JY20" s="562"/>
      <c r="JZ20" s="562"/>
    </row>
    <row r="21" spans="1:286" s="76" customFormat="1" ht="12.75" customHeight="1" x14ac:dyDescent="0.2">
      <c r="A21" s="67"/>
      <c r="B21" s="68"/>
      <c r="C21" s="69"/>
      <c r="D21" s="69"/>
      <c r="E21" s="69"/>
      <c r="F21" s="69"/>
      <c r="G21" s="69"/>
      <c r="H21" s="69"/>
      <c r="I21" s="69"/>
      <c r="J21" s="69"/>
      <c r="K21" s="69"/>
      <c r="L21" s="69"/>
      <c r="M21" s="69"/>
      <c r="N21" s="69"/>
      <c r="O21" s="69"/>
      <c r="P21" s="69"/>
      <c r="Q21" s="69"/>
      <c r="R21" s="69"/>
      <c r="S21" s="69"/>
      <c r="T21" s="69"/>
      <c r="U21" s="69"/>
      <c r="V21" s="69"/>
      <c r="W21" s="69"/>
      <c r="X21" s="69"/>
      <c r="Y21" s="69"/>
      <c r="Z21" s="69"/>
      <c r="AA21" s="70"/>
      <c r="AB21" s="69"/>
      <c r="AC21" s="69"/>
      <c r="AD21" s="69"/>
      <c r="AE21" s="69"/>
      <c r="AF21" s="69"/>
      <c r="AG21" s="69"/>
      <c r="AH21" s="69"/>
      <c r="AI21" s="69"/>
      <c r="AJ21" s="69"/>
      <c r="AK21" s="69"/>
      <c r="AL21" s="69"/>
      <c r="AM21" s="69"/>
      <c r="AN21" s="69"/>
      <c r="AO21" s="69"/>
      <c r="AP21" s="69"/>
      <c r="AQ21" s="69"/>
      <c r="AR21" s="69"/>
      <c r="AS21" s="69"/>
      <c r="AT21" s="71"/>
      <c r="AU21" s="69"/>
      <c r="AV21" s="71"/>
      <c r="AW21" s="69"/>
      <c r="AX21" s="71"/>
      <c r="AY21" s="69"/>
      <c r="AZ21" s="71"/>
      <c r="BA21" s="69"/>
      <c r="BB21" s="71"/>
      <c r="BC21" s="69"/>
      <c r="BD21" s="71"/>
      <c r="BE21" s="72"/>
      <c r="BF21" s="71"/>
      <c r="BG21" s="72"/>
      <c r="BH21" s="71"/>
      <c r="BI21" s="72"/>
      <c r="BJ21" s="71"/>
      <c r="BK21" s="72"/>
      <c r="BL21" s="71"/>
      <c r="BM21" s="72"/>
      <c r="BN21" s="71"/>
      <c r="BO21" s="72"/>
      <c r="BP21" s="71"/>
      <c r="BQ21" s="72"/>
      <c r="BR21" s="71"/>
      <c r="BS21" s="72"/>
      <c r="BT21" s="71"/>
      <c r="BU21" s="72"/>
      <c r="BV21" s="71"/>
      <c r="BW21" s="72"/>
      <c r="BX21" s="71"/>
      <c r="BY21" s="72"/>
      <c r="BZ21" s="71"/>
      <c r="CA21" s="72"/>
      <c r="CB21" s="71"/>
      <c r="CC21" s="72"/>
      <c r="CD21" s="71"/>
      <c r="CE21" s="72"/>
      <c r="CF21" s="71"/>
      <c r="CG21" s="72"/>
      <c r="CH21" s="71"/>
      <c r="CI21" s="72"/>
      <c r="CJ21" s="71"/>
      <c r="CK21" s="72"/>
      <c r="CL21" s="71"/>
      <c r="CM21" s="72"/>
      <c r="CN21" s="71"/>
      <c r="CO21" s="72"/>
      <c r="CP21" s="71"/>
      <c r="CQ21" s="72"/>
      <c r="CR21" s="71"/>
      <c r="CS21" s="72"/>
      <c r="CT21" s="71"/>
      <c r="CU21" s="72"/>
      <c r="CV21" s="71"/>
      <c r="CW21" s="72"/>
      <c r="CX21" s="71"/>
      <c r="CY21" s="72"/>
      <c r="CZ21" s="71"/>
      <c r="DA21" s="72"/>
      <c r="DB21" s="71"/>
      <c r="DC21" s="72"/>
      <c r="DD21" s="71"/>
      <c r="DE21" s="72"/>
      <c r="DF21" s="71"/>
      <c r="DG21" s="72"/>
      <c r="DH21" s="71"/>
      <c r="DI21" s="72"/>
      <c r="DJ21" s="71"/>
      <c r="DK21" s="72"/>
      <c r="DL21" s="71"/>
      <c r="DM21" s="72"/>
      <c r="DN21" s="71"/>
      <c r="DO21" s="72"/>
      <c r="DP21" s="71"/>
      <c r="DQ21" s="72"/>
      <c r="DR21" s="71"/>
      <c r="DS21" s="72"/>
      <c r="DT21" s="71"/>
      <c r="DU21" s="72"/>
      <c r="DV21" s="71"/>
      <c r="DW21" s="72"/>
      <c r="DX21" s="71"/>
      <c r="DY21" s="72"/>
      <c r="DZ21" s="71"/>
      <c r="EA21" s="72"/>
      <c r="EB21" s="71"/>
      <c r="EC21" s="72"/>
      <c r="ED21" s="71"/>
      <c r="EE21" s="72"/>
      <c r="EF21" s="71"/>
      <c r="EG21" s="72"/>
      <c r="EH21" s="71"/>
      <c r="EI21" s="72"/>
      <c r="EJ21" s="71"/>
      <c r="EK21" s="72"/>
      <c r="EL21" s="71"/>
      <c r="EM21" s="72"/>
      <c r="EN21" s="71"/>
      <c r="EO21" s="72"/>
      <c r="EP21" s="71"/>
      <c r="EQ21" s="72"/>
      <c r="ER21" s="71"/>
      <c r="ES21" s="73"/>
      <c r="ET21" s="464"/>
      <c r="EU21" s="73"/>
      <c r="EV21" s="73"/>
      <c r="EW21" s="69"/>
      <c r="EX21" s="73"/>
      <c r="EY21" s="69"/>
      <c r="EZ21" s="74"/>
      <c r="FA21" s="69"/>
      <c r="FB21" s="74"/>
      <c r="FC21" s="69"/>
      <c r="FD21" s="75"/>
      <c r="FE21" s="429"/>
      <c r="FF21" s="75"/>
      <c r="FG21" s="429"/>
      <c r="FH21" s="75"/>
      <c r="FI21" s="429"/>
      <c r="FJ21" s="75"/>
      <c r="FK21" s="429"/>
      <c r="FL21" s="75"/>
      <c r="FM21" s="429"/>
      <c r="FN21" s="75"/>
      <c r="FO21" s="429"/>
      <c r="FP21" s="75"/>
      <c r="FQ21" s="429"/>
      <c r="FR21" s="73"/>
      <c r="FS21" s="429"/>
      <c r="FT21" s="73"/>
      <c r="FU21" s="429"/>
      <c r="FV21" s="73"/>
      <c r="FW21" s="429"/>
      <c r="FX21" s="73"/>
      <c r="FY21" s="429"/>
      <c r="FZ21" s="73"/>
      <c r="GA21" s="429"/>
      <c r="GB21" s="73"/>
      <c r="GC21" s="429"/>
      <c r="GD21" s="73"/>
      <c r="GE21" s="429"/>
      <c r="GF21" s="919"/>
      <c r="GG21" s="429"/>
      <c r="GH21" s="919"/>
      <c r="GI21" s="429"/>
      <c r="GJ21" s="919"/>
      <c r="GK21" s="429"/>
      <c r="GL21" s="73"/>
      <c r="GM21" s="429"/>
      <c r="GN21" s="73"/>
      <c r="GO21" s="429"/>
      <c r="GP21" s="73"/>
      <c r="GQ21" s="429"/>
      <c r="GR21" s="73"/>
      <c r="GS21" s="429"/>
      <c r="GT21" s="69"/>
      <c r="GU21" s="562"/>
      <c r="GV21" s="562"/>
      <c r="GW21"/>
      <c r="GX21"/>
      <c r="GY21"/>
      <c r="GZ21"/>
      <c r="HA21"/>
      <c r="HB21"/>
      <c r="HC21" s="562"/>
      <c r="HD21" s="562"/>
      <c r="HE21" s="562"/>
      <c r="HF21" s="562"/>
      <c r="HG21" s="562"/>
      <c r="HH21" s="562"/>
      <c r="HI21" s="562"/>
      <c r="HJ21" s="562"/>
      <c r="HK21" s="562"/>
      <c r="HL21" s="562"/>
      <c r="HM21" s="562"/>
      <c r="HN21" s="562"/>
      <c r="HO21" s="562"/>
      <c r="HP21" s="562"/>
      <c r="HQ21" s="562"/>
      <c r="HR21" s="562"/>
      <c r="HS21" s="562"/>
      <c r="HT21" s="562"/>
      <c r="HU21" s="562"/>
      <c r="HV21" s="562"/>
      <c r="HW21" s="562"/>
      <c r="HX21" s="562"/>
      <c r="HY21" s="562"/>
      <c r="HZ21" s="562"/>
      <c r="IA21" s="562"/>
      <c r="IB21" s="562"/>
      <c r="IC21" s="562"/>
      <c r="ID21" s="562"/>
      <c r="IE21" s="562"/>
      <c r="IF21" s="562"/>
      <c r="IG21" s="562"/>
      <c r="IH21" s="562"/>
      <c r="II21" s="562"/>
      <c r="IJ21" s="562"/>
      <c r="IK21" s="562"/>
      <c r="IL21" s="562"/>
      <c r="IM21" s="562"/>
      <c r="IN21" s="562"/>
      <c r="IO21" s="562"/>
      <c r="IP21" s="562"/>
      <c r="IQ21" s="562"/>
      <c r="IR21" s="562"/>
      <c r="IS21" s="562"/>
      <c r="IT21" s="562"/>
      <c r="IU21" s="562"/>
      <c r="IV21" s="562"/>
      <c r="IW21" s="562"/>
      <c r="IX21" s="562"/>
      <c r="IY21" s="562"/>
      <c r="IZ21" s="562"/>
      <c r="JA21" s="562"/>
      <c r="JB21" s="562"/>
      <c r="JC21" s="562"/>
      <c r="JD21" s="562"/>
      <c r="JE21" s="562"/>
      <c r="JF21" s="562"/>
      <c r="JG21" s="562"/>
      <c r="JH21" s="562"/>
      <c r="JI21" s="562"/>
      <c r="JJ21" s="562"/>
      <c r="JK21" s="562"/>
      <c r="JL21" s="562"/>
      <c r="JM21" s="562"/>
      <c r="JN21" s="562"/>
      <c r="JO21" s="562"/>
      <c r="JP21" s="562"/>
      <c r="JQ21" s="562"/>
      <c r="JR21" s="562"/>
      <c r="JS21" s="562"/>
      <c r="JT21" s="562"/>
      <c r="JU21" s="562"/>
      <c r="JV21" s="562"/>
      <c r="JW21" s="562"/>
      <c r="JX21" s="562"/>
      <c r="JY21" s="562"/>
      <c r="JZ21" s="562"/>
    </row>
    <row r="22" spans="1:286" s="83" customFormat="1" ht="12.75" customHeight="1" x14ac:dyDescent="0.2">
      <c r="A22" s="77"/>
      <c r="B22" s="68" t="s">
        <v>211</v>
      </c>
      <c r="C22" s="78"/>
      <c r="D22" s="3"/>
      <c r="E22" s="78"/>
      <c r="F22" s="78"/>
      <c r="G22" s="78"/>
      <c r="H22" s="78"/>
      <c r="I22" s="78"/>
      <c r="J22" s="79"/>
      <c r="K22" s="78"/>
      <c r="L22" s="79"/>
      <c r="M22" s="78"/>
      <c r="N22" s="79"/>
      <c r="O22" s="78"/>
      <c r="P22" s="79"/>
      <c r="Q22" s="78"/>
      <c r="R22" s="79"/>
      <c r="S22" s="78"/>
      <c r="T22" s="79"/>
      <c r="U22" s="78"/>
      <c r="V22" s="79"/>
      <c r="W22" s="78"/>
      <c r="X22" s="79"/>
      <c r="Y22" s="78"/>
      <c r="Z22" s="79"/>
      <c r="AA22" s="80"/>
      <c r="AB22" s="79"/>
      <c r="AC22" s="78">
        <f>+AC70</f>
        <v>63.3</v>
      </c>
      <c r="AD22" s="79" t="str">
        <f>IF(ISERROR((AC22/U22-1)*100),"NA",IF(((AC22/U22-1)*100)&gt;100,"NM",IF(((AC22/U22-1)*100)&lt;-50,"NM",(AC22/U22-1)*100)))</f>
        <v>NA</v>
      </c>
      <c r="AE22" s="78">
        <f>+AE70</f>
        <v>58.9</v>
      </c>
      <c r="AF22" s="79" t="str">
        <f>IF(ISERROR((AE22/W22-1)*100),"NA",IF(((AE22/W22-1)*100)&gt;100,"NM",IF(((AE22/W22-1)*100)&lt;-50,"NM",(AE22/W22-1)*100)))</f>
        <v>NA</v>
      </c>
      <c r="AG22" s="78">
        <f>+AG70</f>
        <v>33.1</v>
      </c>
      <c r="AH22" s="79" t="str">
        <f>IF(ISERROR((AG22/Y22-1)*100),"NA",IF(((AG22/Y22-1)*100)&gt;100,"NM",IF(((AG22/Y22-1)*100)&lt;-50,"NM",(AG22/Y22-1)*100)))</f>
        <v>NA</v>
      </c>
      <c r="AI22" s="78">
        <f>+AI70</f>
        <v>113</v>
      </c>
      <c r="AJ22" s="79" t="str">
        <f>IF(ISERROR((AI22/AA22-1)*100),"NA",IF(((AI22/AA22-1)*100)&gt;100,"NM",IF(((AI22/AA22-1)*100)&lt;-50,"NM",(AI22/AA22-1)*100)))</f>
        <v>NA</v>
      </c>
      <c r="AK22" s="78">
        <f>+AK70</f>
        <v>53.8</v>
      </c>
      <c r="AL22" s="79">
        <f>IF(ISERROR((AK22/AC22-1)*100),"NA",IF(((AK22/AC22-1)*100)&gt;100,"NM",IF(((AK22/AC22-1)*100)&lt;-50,"NM",(AK22/AC22-1)*100)))</f>
        <v>-15.007898894154813</v>
      </c>
      <c r="AM22" s="78">
        <f>+AM70</f>
        <v>63.6</v>
      </c>
      <c r="AN22" s="79">
        <f>IF(ISERROR((AM22/AE22-1)*100),"NA",IF(((AM22/AE22-1)*100)&gt;100,"NM",IF(((AM22/AE22-1)*100)&lt;-50,"NM",(AM22/AE22-1)*100)))</f>
        <v>7.9796264855687582</v>
      </c>
      <c r="AO22" s="78">
        <f>+AO70</f>
        <v>40.799999999999997</v>
      </c>
      <c r="AP22" s="79">
        <f>IF(ISERROR((AO22/AG22-1)*100),"NA",IF(((AO22/AG22-1)*100)&gt;100,"NM",IF(((AO22/AG22-1)*100)&lt;-50,"NM",(AO22/AG22-1)*100)))</f>
        <v>23.262839879154072</v>
      </c>
      <c r="AQ22" s="78">
        <f>+AQ70</f>
        <v>104.6</v>
      </c>
      <c r="AR22" s="79">
        <f>IF(ISERROR((AQ22/AI22-1)*100),"NA",IF(((AQ22/AI22-1)*100)&gt;100,"NM",IF(((AQ22/AI22-1)*100)&lt;-50,"NM",(AQ22/AI22-1)*100)))</f>
        <v>-7.4336283185840735</v>
      </c>
      <c r="AS22" s="78">
        <f>+AS70</f>
        <v>56.400000000000006</v>
      </c>
      <c r="AT22" s="81">
        <f>IF(ISERROR((AS22/AK22-1)*100),"NA",IF(((AS22/AK22-1)*100)&gt;100,"NM",IF(((AS22/AK22-1)*100)&lt;-50,"NM",(AS22/AK22-1)*100)))</f>
        <v>4.8327137546468668</v>
      </c>
      <c r="AU22" s="78">
        <f>+AU70</f>
        <v>72.099999999999994</v>
      </c>
      <c r="AV22" s="81">
        <f>IF(ISERROR((AU22/AM22-1)*100),"NA",IF(((AU22/AM22-1)*100)&gt;100,"NM",IF(((AU22/AM22-1)*100)&lt;-50,"NM",(AU22/AM22-1)*100)))</f>
        <v>13.364779874213827</v>
      </c>
      <c r="AW22" s="78">
        <f>+AW70</f>
        <v>35.6</v>
      </c>
      <c r="AX22" s="81">
        <f>IF(ISERROR((AW22/AO22-1)*100),"NA",IF(((AW22/AO22-1)*100)&gt;100,"NM",IF(((AW22/AO22-1)*100)&lt;-50,"NM",(AW22/AO22-1)*100)))</f>
        <v>-12.745098039215675</v>
      </c>
      <c r="AY22" s="78">
        <f>+AY70</f>
        <v>132.19999999999999</v>
      </c>
      <c r="AZ22" s="81">
        <f>IF(ISERROR((AY22/AQ22-1)*100),"NA",IF(((AY22/AQ22-1)*100)&gt;100,"NM",IF(((AY22/AQ22-1)*100)&lt;-50,"NM",(AY22/AQ22-1)*100)))</f>
        <v>26.386233269598456</v>
      </c>
      <c r="BA22" s="78">
        <f>+BA70</f>
        <v>41.4</v>
      </c>
      <c r="BB22" s="81">
        <f>IF(ISERROR((BA22/AS22-1)*100),"NA",IF(((BA22/AS22-1)*100)&gt;100,"NM",IF(((BA22/AS22-1)*100)&lt;-50,"NM",(BA22/AS22-1)*100)))</f>
        <v>-26.595744680851073</v>
      </c>
      <c r="BC22" s="78">
        <f>+BC70</f>
        <v>71.599999999999994</v>
      </c>
      <c r="BD22" s="81">
        <f>IF(ISERROR((BC22/AU22-1)*100),"NA",IF(((BC22/AU22-1)*100)&gt;100,"NM",IF(((BC22/AU22-1)*100)&lt;-50,"NM",(BC22/AU22-1)*100)))</f>
        <v>-0.69348127600554754</v>
      </c>
      <c r="BE22" s="78">
        <f>+BE70</f>
        <v>33.9</v>
      </c>
      <c r="BF22" s="81">
        <f>IF(ISERROR((BE22/AW22-1)*100),"NA",IF(((BE22/AW22-1)*100)&gt;100,"NM",IF(((BE22/AW22-1)*100)&lt;-50,"NM",(BE22/AW22-1)*100)))</f>
        <v>-4.7752808988764102</v>
      </c>
      <c r="BG22" s="78">
        <f>+BG70</f>
        <v>102.7</v>
      </c>
      <c r="BH22" s="81">
        <f>IF(ISERROR((BG22/AY22-1)*100),"NA",IF(((BG22/AY22-1)*100)&gt;100,"NM",IF(((BG22/AY22-1)*100)&lt;-50,"NM",(BG22/AY22-1)*100)))</f>
        <v>-22.314674735249618</v>
      </c>
      <c r="BI22" s="78">
        <f>+BI70</f>
        <v>51.900000000000006</v>
      </c>
      <c r="BJ22" s="81">
        <f>IF(ISERROR((BI22/BA22-1)*100),"NA",IF(((BI22/BA22-1)*100)&gt;100,"NM",IF(((BI22/BA22-1)*100)&lt;-50,"NM",(BI22/BA22-1)*100)))</f>
        <v>25.362318840579732</v>
      </c>
      <c r="BK22" s="78">
        <f>+BK70</f>
        <v>63.5</v>
      </c>
      <c r="BL22" s="81">
        <f>IF(ISERROR((BK22/BC22-1)*100),"NA",IF(((BK22/BC22-1)*100)&gt;100,"NM",IF(((BK22/BC22-1)*100)&lt;-50,"NM",(BK22/BC22-1)*100)))</f>
        <v>-11.312849162011162</v>
      </c>
      <c r="BM22" s="78">
        <f>+BM70</f>
        <v>42.7</v>
      </c>
      <c r="BN22" s="81">
        <f>IF(ISERROR((BM22/BE22-1)*100),"NA",IF(((BM22/BE22-1)*100)&gt;100,"NM",IF(((BM22/BE22-1)*100)&lt;-50,"NM",(BM22/BE22-1)*100)))</f>
        <v>25.958702064896766</v>
      </c>
      <c r="BO22" s="78">
        <f>+BO70</f>
        <v>112.2</v>
      </c>
      <c r="BP22" s="81">
        <f>IF(ISERROR((BO22/BG22-1)*100),"NA",IF(((BO22/BG22-1)*100)&gt;100,"NM",IF(((BO22/BG22-1)*100)&lt;-50,"NM",(BO22/BG22-1)*100)))</f>
        <v>9.2502434274586154</v>
      </c>
      <c r="BQ22" s="78">
        <f>+BQ70</f>
        <v>48.3</v>
      </c>
      <c r="BR22" s="81">
        <f>IF(ISERROR((BQ22/BI22-1)*100),"NA",IF(((BQ22/BI22-1)*100)&gt;100,"NM",IF(((BQ22/BI22-1)*100)&lt;-50,"NM",(BQ22/BI22-1)*100)))</f>
        <v>-6.936416184971117</v>
      </c>
      <c r="BS22" s="78">
        <f>+BS70</f>
        <v>75.899999999999991</v>
      </c>
      <c r="BT22" s="81">
        <f>IF(ISERROR((BS22/BK22-1)*100),"NA",IF(((BS22/BK22-1)*100)&gt;100,"NM",IF(((BS22/BK22-1)*100)&lt;-50,"NM",(BS22/BK22-1)*100)))</f>
        <v>19.527559055118093</v>
      </c>
      <c r="BU22" s="78">
        <f>+BU70</f>
        <v>34.799999999999997</v>
      </c>
      <c r="BV22" s="81">
        <f>IF(ISERROR((BU22/BM22-1)*100),"NA",IF(((BU22/BM22-1)*100)&gt;100,"NM",IF(((BU22/BM22-1)*100)&lt;-50,"NM",(BU22/BM22-1)*100)))</f>
        <v>-18.501170960187363</v>
      </c>
      <c r="BW22" s="78">
        <f>+BW70</f>
        <v>114.7</v>
      </c>
      <c r="BX22" s="81">
        <f>IF(ISERROR((BW22/BO22-1)*100),"NA",IF(((BW22/BO22-1)*100)&gt;100,"NM",IF(((BW22/BO22-1)*100)&lt;-50,"NM",(BW22/BO22-1)*100)))</f>
        <v>2.2281639928698693</v>
      </c>
      <c r="BY22" s="78">
        <f>+BY70</f>
        <v>42.5</v>
      </c>
      <c r="BZ22" s="81">
        <f>IF(ISERROR((BY22/BQ22-1)*100),"NA",IF(((BY22/BQ22-1)*100)&gt;100,"NM",IF(((BY22/BQ22-1)*100)&lt;-50,"NM",(BY22/BQ22-1)*100)))</f>
        <v>-12.008281573498959</v>
      </c>
      <c r="CA22" s="78">
        <f>+CA70</f>
        <v>50.400000000000006</v>
      </c>
      <c r="CB22" s="81">
        <f>IF(ISERROR((CA22/BS22-1)*100),"NA",IF(((CA22/BS22-1)*100)&gt;100,"NM",IF(((CA22/BS22-1)*100)&lt;-50,"NM",(CA22/BS22-1)*100)))</f>
        <v>-33.596837944664017</v>
      </c>
      <c r="CC22" s="78">
        <f>+CC70</f>
        <v>32.799999999999997</v>
      </c>
      <c r="CD22" s="81">
        <f>IF(ISERROR((CC22/BU22-1)*100),"NA",IF(((CC22/BU22-1)*100)&gt;100,"NM",IF(((CC22/BU22-1)*100)&lt;-50,"NM",(CC22/BU22-1)*100)))</f>
        <v>-5.7471264367816133</v>
      </c>
      <c r="CE22" s="78">
        <f>+CE70</f>
        <v>109.19999999999999</v>
      </c>
      <c r="CF22" s="81">
        <f>IF(ISERROR((CE22/BW22-1)*100),"NA",IF(((CE22/BW22-1)*100)&gt;100,"NM",IF(((CE22/BW22-1)*100)&lt;-50,"NM",(CE22/BW22-1)*100)))</f>
        <v>-4.7951176983435211</v>
      </c>
      <c r="CG22" s="78">
        <f>+CG70</f>
        <v>44.9</v>
      </c>
      <c r="CH22" s="81">
        <f>IF(ISERROR((CG22/BY22-1)*100),"NA",IF(((CG22/BY22-1)*100)&gt;100,"NM",IF(((CG22/BY22-1)*100)&lt;-50,"NM",(CG22/BY22-1)*100)))</f>
        <v>5.647058823529405</v>
      </c>
      <c r="CI22" s="78">
        <f>+CI70</f>
        <v>57.199999999999996</v>
      </c>
      <c r="CJ22" s="81">
        <f>IF(ISERROR((CI22/CA22-1)*100),"NA",IF(((CI22/CA22-1)*100)&gt;100,"NM",IF(((CI22/CA22-1)*100)&lt;-50,"NM",(CI22/CA22-1)*100)))</f>
        <v>13.492063492063465</v>
      </c>
      <c r="CK22" s="78">
        <f>+CK70</f>
        <v>34.4</v>
      </c>
      <c r="CL22" s="81">
        <f>IF(ISERROR((CK22/CC22-1)*100),"NA",IF(((CK22/CC22-1)*100)&gt;100,"NM",IF(((CK22/CC22-1)*100)&lt;-50,"NM",(CK22/CC22-1)*100)))</f>
        <v>4.8780487804878092</v>
      </c>
      <c r="CM22" s="78">
        <f>+CM70</f>
        <v>119.4</v>
      </c>
      <c r="CN22" s="81">
        <f>IF(ISERROR((CM22/CE22-1)*100),"NA",IF(((CM22/CE22-1)*100)&gt;100,"NM",IF(((CM22/CE22-1)*100)&lt;-50,"NM",(CM22/CE22-1)*100)))</f>
        <v>9.3406593406593519</v>
      </c>
      <c r="CO22" s="78">
        <f>+CO70</f>
        <v>49.8</v>
      </c>
      <c r="CP22" s="81">
        <f>IF(ISERROR((CO22/CG22-1)*100),"NA",IF(((CO22/CG22-1)*100)&gt;100,"NM",IF(((CO22/CG22-1)*100)&lt;-50,"NM",(CO22/CG22-1)*100)))</f>
        <v>10.913140311804014</v>
      </c>
      <c r="CQ22" s="78">
        <f>+CQ70</f>
        <v>59.6</v>
      </c>
      <c r="CR22" s="81">
        <f>IF(ISERROR((CQ22/CI22-1)*100),"NA",IF(((CQ22/CI22-1)*100)&gt;100,"NM",IF(((CQ22/CI22-1)*100)&lt;-50,"NM",(CQ22/CI22-1)*100)))</f>
        <v>4.1958041958042092</v>
      </c>
      <c r="CS22" s="78">
        <f>+CS70</f>
        <v>37.700000000000003</v>
      </c>
      <c r="CT22" s="81">
        <f>IF(ISERROR((CS22/CK22-1)*100),"NA",IF(((CS22/CK22-1)*100)&gt;100,"NM",IF(((CS22/CK22-1)*100)&lt;-50,"NM",(CS22/CK22-1)*100)))</f>
        <v>9.5930232558139714</v>
      </c>
      <c r="CU22" s="78">
        <f>+CU70</f>
        <v>133.1</v>
      </c>
      <c r="CV22" s="81">
        <f>IF(ISERROR((CU22/CM22-1)*100),"NA",IF(((CU22/CM22-1)*100)&gt;100,"NM",IF(((CU22/CM22-1)*100)&lt;-50,"NM",(CU22/CM22-1)*100)))</f>
        <v>11.474036850921255</v>
      </c>
      <c r="CW22" s="78">
        <f>+CW70</f>
        <v>46.900000000000006</v>
      </c>
      <c r="CX22" s="81">
        <f>IF(ISERROR((CW22/CO22-1)*100),"NA",IF(((CW22/CO22-1)*100)&gt;100,"NM",IF(((CW22/CO22-1)*100)&lt;-50,"NM",(CW22/CO22-1)*100)))</f>
        <v>-5.8232931726907466</v>
      </c>
      <c r="CY22" s="78">
        <f>+CY70</f>
        <v>51.5</v>
      </c>
      <c r="CZ22" s="81">
        <f>IF(ISERROR((CY22/CQ22-1)*100),"NA",IF(((CY22/CQ22-1)*100)&gt;100,"NM",IF(((CY22/CQ22-1)*100)&lt;-50,"NM",(CY22/CQ22-1)*100)))</f>
        <v>-13.590604026845643</v>
      </c>
      <c r="DA22" s="78">
        <f>+DA70</f>
        <v>38.5</v>
      </c>
      <c r="DB22" s="81">
        <f>IF(ISERROR((DA22/CS22-1)*100),"NA",IF(((DA22/CS22-1)*100)&gt;100,"NM",IF(((DA22/CS22-1)*100)&lt;-50,"NM",(DA22/CS22-1)*100)))</f>
        <v>2.1220159151193574</v>
      </c>
      <c r="DC22" s="78">
        <f>+DC70</f>
        <v>138.30000000000001</v>
      </c>
      <c r="DD22" s="81">
        <f>IF(ISERROR((DC22/CU22-1)*100),"NA",IF(((DC22/CU22-1)*100)&gt;100,"NM",IF(((DC22/CU22-1)*100)&lt;-50,"NM",(DC22/CU22-1)*100)))</f>
        <v>3.9068369646882095</v>
      </c>
      <c r="DE22" s="78">
        <f>+DE70</f>
        <v>52.5</v>
      </c>
      <c r="DF22" s="81">
        <f>IF(ISERROR((DE22/CW22-1)*100),"NA",IF(((DE22/CW22-1)*100)&gt;100,"NM",IF(((DE22/CW22-1)*100)&lt;-50,"NM",(DE22/CW22-1)*100)))</f>
        <v>11.940298507462677</v>
      </c>
      <c r="DG22" s="78">
        <f>+DG70</f>
        <v>70.099999999999994</v>
      </c>
      <c r="DH22" s="81">
        <f>IF(ISERROR((DG22/CY22-1)*100),"NA",IF(((DG22/CY22-1)*100)&gt;100,"NM",IF(((DG22/CY22-1)*100)&lt;-50,"NM",(DG22/CY22-1)*100)))</f>
        <v>36.116504854368927</v>
      </c>
      <c r="DI22" s="78">
        <f>+DI70</f>
        <v>43.6</v>
      </c>
      <c r="DJ22" s="81">
        <f>IF(ISERROR((DI22/DA22-1)*100),"NA",IF(((DI22/DA22-1)*100)&gt;100,"NM",IF(((DI22/DA22-1)*100)&lt;-50,"NM",(DI22/DA22-1)*100)))</f>
        <v>13.24675324675324</v>
      </c>
      <c r="DK22" s="78">
        <f>+DK70</f>
        <v>176.2</v>
      </c>
      <c r="DL22" s="81">
        <f>IF(ISERROR((DK22/DC22-1)*100),"NA",IF(((DK22/DC22-1)*100)&gt;100,"NM",IF(((DK22/DC22-1)*100)&lt;-50,"NM",(DK22/DC22-1)*100)))</f>
        <v>27.404193781634099</v>
      </c>
      <c r="DM22" s="78">
        <f>+DM70</f>
        <v>61.3</v>
      </c>
      <c r="DN22" s="81">
        <f>IF(ISERROR((DM22/DE22-1)*100),"NA",IF(((DM22/DE22-1)*100)&gt;100,"NM",IF(((DM22/DE22-1)*100)&lt;-50,"NM",(DM22/DE22-1)*100)))</f>
        <v>16.761904761904756</v>
      </c>
      <c r="DO22" s="78">
        <f>+DO70</f>
        <v>84.3</v>
      </c>
      <c r="DP22" s="81">
        <f>IF(ISERROR((DO22/DG22-1)*100),"NA",IF(((DO22/DG22-1)*100)&gt;100,"NM",IF(((DO22/DG22-1)*100)&lt;-50,"NM",(DO22/DG22-1)*100)))</f>
        <v>20.256776034236811</v>
      </c>
      <c r="DQ22" s="78">
        <f>+DQ70</f>
        <v>49.5</v>
      </c>
      <c r="DR22" s="81">
        <f>IF(ISERROR((DQ22/DI22-1)*100),"NA",IF(((DQ22/DI22-1)*100)&gt;100,"NM",IF(((DQ22/DI22-1)*100)&lt;-50,"NM",(DQ22/DI22-1)*100)))</f>
        <v>13.53211009174311</v>
      </c>
      <c r="DS22" s="78">
        <f>+DS70</f>
        <v>164.3</v>
      </c>
      <c r="DT22" s="81">
        <f>IF(ISERROR((DS22/DK22-1)*100),"NA",IF(((DS22/DK22-1)*100)&gt;100,"NM",IF(((DS22/DK22-1)*100)&lt;-50,"NM",(DS22/DK22-1)*100)))</f>
        <v>-6.7536889897843233</v>
      </c>
      <c r="DU22" s="78">
        <f>+DU70</f>
        <v>53.7</v>
      </c>
      <c r="DV22" s="81">
        <f>IF(ISERROR((DU22/DM22-1)*100),"NA",IF(((DU22/DM22-1)*100)&gt;100,"NM",IF(((DU22/DM22-1)*100)&lt;-50,"NM",(DU22/DM22-1)*100)))</f>
        <v>-12.398042414355615</v>
      </c>
      <c r="DW22" s="78">
        <f>+DW70</f>
        <v>73.199999999999989</v>
      </c>
      <c r="DX22" s="81">
        <f>IF(ISERROR((DW22/DO22-1)*100),"NA",IF(((DW22/DO22-1)*100)&gt;100,"NM",IF(((DW22/DO22-1)*100)&lt;-50,"NM",(DW22/DO22-1)*100)))</f>
        <v>-13.167259786476881</v>
      </c>
      <c r="DY22" s="78">
        <f>+DY70</f>
        <v>36</v>
      </c>
      <c r="DZ22" s="81">
        <f>IF(ISERROR((DY22/DQ22-1)*100),"NA",IF(((DY22/DQ22-1)*100)&gt;100,"NM",IF(((DY22/DQ22-1)*100)&lt;-50,"NM",(DY22/DQ22-1)*100)))</f>
        <v>-27.27272727272727</v>
      </c>
      <c r="EA22" s="78">
        <f>+EA70</f>
        <v>169.5</v>
      </c>
      <c r="EB22" s="81">
        <f>IF(ISERROR((EA22/DS22-1)*100),"NA",IF(((EA22/DS22-1)*100)&gt;100,"NM",IF(((EA22/DS22-1)*100)&lt;-50,"NM",(EA22/DS22-1)*100)))</f>
        <v>3.1649421789409438</v>
      </c>
      <c r="EC22" s="78">
        <f>+EC70</f>
        <v>52.9</v>
      </c>
      <c r="ED22" s="81">
        <f t="shared" ref="ED22" si="114">IF(ISERROR((EC22/DU22-1)*100),"NA",IF(((EC22/DU22-1)*100)&gt;100,"NM",IF(((EC22/DU22-1)*100)&lt;-50,"NM",(EC22/DU22-1)*100)))</f>
        <v>-1.4897579143389295</v>
      </c>
      <c r="EE22" s="78">
        <f>+EE70</f>
        <v>74.900000000000006</v>
      </c>
      <c r="EF22" s="81">
        <f t="shared" ref="EF22" si="115">IF(ISERROR((EE22/DW22-1)*100),"NA",IF(((EE22/DW22-1)*100)&gt;100,"NM",IF(((EE22/DW22-1)*100)&lt;-50,"NM",(EE22/DW22-1)*100)))</f>
        <v>2.3224043715847298</v>
      </c>
      <c r="EG22" s="78">
        <f>+EG70</f>
        <v>51.8</v>
      </c>
      <c r="EH22" s="81">
        <f t="shared" ref="EH22" si="116">IF(ISERROR((EG22/DY22-1)*100),"NA",IF(((EG22/DY22-1)*100)&gt;100,"NM",IF(((EG22/DY22-1)*100)&lt;-50,"NM",(EG22/DY22-1)*100)))</f>
        <v>43.888888888888886</v>
      </c>
      <c r="EI22" s="78">
        <f>+EI70</f>
        <v>223.7</v>
      </c>
      <c r="EJ22" s="81">
        <f t="shared" ref="EJ22" si="117">IF(ISERROR((EI22/EA22-1)*100),"NA",IF(((EI22/EA22-1)*100)&gt;100,"NM",IF(((EI22/EA22-1)*100)&lt;-50,"NM",(EI22/EA22-1)*100)))</f>
        <v>31.976401179941007</v>
      </c>
      <c r="EK22" s="82">
        <f t="shared" ref="EK22" si="118">EC22*1.05</f>
        <v>55.545000000000002</v>
      </c>
      <c r="EL22" s="81">
        <f t="shared" ref="EL22" si="119">IF(ISERROR((EK22/EC22-1)*100),"NA",IF(((EK22/EC22-1)*100)&gt;100,"NM",IF(((EK22/EC22-1)*100)&lt;-50,"NM",(EK22/EC22-1)*100)))</f>
        <v>5.0000000000000044</v>
      </c>
      <c r="EM22" s="82">
        <f t="shared" ref="EM22" si="120">EE22*1.05</f>
        <v>78.64500000000001</v>
      </c>
      <c r="EN22" s="81">
        <f t="shared" ref="EN22" si="121">IF(ISERROR((EM22/EE22-1)*100),"NA",IF(((EM22/EE22-1)*100)&gt;100,"NM",IF(((EM22/EE22-1)*100)&lt;-50,"NM",(EM22/EE22-1)*100)))</f>
        <v>5.0000000000000044</v>
      </c>
      <c r="EO22" s="82">
        <f t="shared" ref="EO22" si="122">EG22*1.05</f>
        <v>54.39</v>
      </c>
      <c r="EP22" s="81">
        <f t="shared" ref="EP22" si="123">IF(ISERROR((EO22/EG22-1)*100),"NA",IF(((EO22/EG22-1)*100)&gt;100,"NM",IF(((EO22/EG22-1)*100)&lt;-50,"NM",(EO22/EG22-1)*100)))</f>
        <v>5.0000000000000044</v>
      </c>
      <c r="EQ22" s="82">
        <f t="shared" ref="EQ22" si="124">EI22*1.05</f>
        <v>234.88499999999999</v>
      </c>
      <c r="ER22" s="81">
        <f t="shared" ref="ER22" si="125">IF(ISERROR((EQ22/EI22-1)*100),"NA",IF(((EQ22/EI22-1)*100)&gt;100,"NM",IF(((EQ22/EI22-1)*100)&lt;-50,"NM",(EQ22/EI22-1)*100)))</f>
        <v>5.0000000000000044</v>
      </c>
      <c r="ES22" s="78"/>
      <c r="ET22" s="465"/>
      <c r="EU22" s="78"/>
      <c r="EV22" s="78"/>
      <c r="EW22" s="3"/>
      <c r="EX22" s="78"/>
      <c r="EY22" s="3"/>
      <c r="EZ22" s="78"/>
      <c r="FA22" s="3"/>
      <c r="FB22" s="78"/>
      <c r="FC22" s="3"/>
      <c r="FD22" s="75"/>
      <c r="FE22" s="79"/>
      <c r="FF22" s="75"/>
      <c r="FG22" s="79"/>
      <c r="FH22" s="75">
        <f>+AI22+AG22+AE22+AC22</f>
        <v>268.3</v>
      </c>
      <c r="FI22" s="79" t="str">
        <f>IF(ISERROR((FH22/FF22-1)*100),"NA",IF(((FH22/FF22-1)*100)&gt;100,"NM",IF(((FH22/FF22-1)*100)&lt;-50,"NM",(FH22/FF22-1)*100)))</f>
        <v>NA</v>
      </c>
      <c r="FJ22" s="75">
        <f>+AK22+AM22+AO22+AQ22</f>
        <v>262.79999999999995</v>
      </c>
      <c r="FK22" s="79">
        <f>IF(ISERROR((FJ22/FH22-1)*100),"NA",IF(((FJ22/FH22-1)*100)&gt;100,"NM",IF(((FJ22/FH22-1)*100)&lt;-50,"NM",(FJ22/FH22-1)*100)))</f>
        <v>-2.0499440924338641</v>
      </c>
      <c r="FL22" s="78">
        <f>AS22+AU22+AW22+AY22</f>
        <v>296.29999999999995</v>
      </c>
      <c r="FM22" s="79">
        <f>IF(ISERROR((FL22/FJ22-1)*100),"NA",IF(((FL22/FJ22-1)*100)&gt;100,"NM",IF(((FL22/FJ22-1)*100)&lt;-50,"NM",(FL22/FJ22-1)*100)))</f>
        <v>12.747336377473362</v>
      </c>
      <c r="FN22" s="78">
        <f>BA22+BC22+BE22+BG22</f>
        <v>249.60000000000002</v>
      </c>
      <c r="FO22" s="79">
        <f>IF(ISERROR((FN22/FL22-1)*100),"NA",IF(((FN22/FL22-1)*100)&gt;100,"NM",IF(((FN22/FL22-1)*100)&lt;-50,"NM",(FN22/FL22-1)*100)))</f>
        <v>-15.761052986837642</v>
      </c>
      <c r="FP22" s="78">
        <f>BI22+BK22+BM22+BO22</f>
        <v>270.3</v>
      </c>
      <c r="FQ22" s="79">
        <f>IF(ISERROR((FP22/FN22-1)*100),"NA",IF(((FP22/FN22-1)*100)&gt;100,"NM",IF(((FP22/FN22-1)*100)&lt;-50,"NM",(FP22/FN22-1)*100)))</f>
        <v>8.2932692307692299</v>
      </c>
      <c r="FR22" s="78">
        <f>BQ22+BS22+BU22+BW22</f>
        <v>273.7</v>
      </c>
      <c r="FS22" s="79">
        <f>IF(ISERROR((FR22/FP22-1)*100),"NA",IF(((FR22/FP22-1)*100)&gt;100,"NM",IF(((FR22/FP22-1)*100)&lt;-50,"NM",(FR22/FP22-1)*100)))</f>
        <v>1.2578616352201255</v>
      </c>
      <c r="FT22" s="78">
        <f>+CE22+CC22+CA22+BY22</f>
        <v>234.9</v>
      </c>
      <c r="FU22" s="79">
        <f>IF(ISERROR((FT22/FR22-1)*100),"NA",IF(((FT22/FR22-1)*100)&gt;100,"NM",IF(((FT22/FR22-1)*100)&lt;-50,"NM",(FT22/FR22-1)*100)))</f>
        <v>-14.176105224698565</v>
      </c>
      <c r="FV22" s="78">
        <f>+CM22+CK22+CI22+CG22</f>
        <v>255.9</v>
      </c>
      <c r="FW22" s="79">
        <f>IF(ISERROR((FV22/FT22-1)*100),"NA",IF(((FV22/FT22-1)*100)&gt;100,"NM",IF(((FV22/FT22-1)*100)&lt;-50,"NM",(FV22/FT22-1)*100)))</f>
        <v>8.9399744572158379</v>
      </c>
      <c r="FX22" s="78">
        <f>+CU22+CS22+CQ22+CO22</f>
        <v>280.2</v>
      </c>
      <c r="FY22" s="79">
        <f>IF(ISERROR((FX22/FV22-1)*100),"NA",IF(((FX22/FV22-1)*100)&gt;100,"NM",IF(((FX22/FV22-1)*100)&lt;-50,"NM",(FX22/FV22-1)*100)))</f>
        <v>9.4958968347010462</v>
      </c>
      <c r="FZ22" s="78">
        <f>+DC22+DA22+CY22+CW22</f>
        <v>275.20000000000005</v>
      </c>
      <c r="GA22" s="79">
        <f>IF(ISERROR((FZ22/FX22-1)*100),"NA",IF(((FZ22/FX22-1)*100)&gt;100,"NM",IF(((FZ22/FX22-1)*100)&lt;-50,"NM",(FZ22/FX22-1)*100)))</f>
        <v>-1.7844396859385991</v>
      </c>
      <c r="GB22" s="78">
        <f>+DK22+DI22+DG22+DE22</f>
        <v>342.4</v>
      </c>
      <c r="GC22" s="79">
        <f>IF(ISERROR((GB22/FZ22-1)*100),"NA",IF(((GB22/FZ22-1)*100)&gt;100,"NM",IF(((GB22/FZ22-1)*100)&lt;-50,"NM",(GB22/FZ22-1)*100)))</f>
        <v>24.418604651162767</v>
      </c>
      <c r="GD22" s="78">
        <f>+DS22+DQ22+DO22+DM22</f>
        <v>359.40000000000003</v>
      </c>
      <c r="GE22" s="79">
        <f>IF(ISERROR((GD22/GB22-1)*100),"NA",IF(((GD22/GB22-1)*100)&gt;100,"NM",IF(((GD22/GB22-1)*100)&lt;-50,"NM",(GD22/GB22-1)*100)))</f>
        <v>4.9649532710280608</v>
      </c>
      <c r="GF22" s="78">
        <f>+EA22+DY22+DW22+DU22</f>
        <v>332.4</v>
      </c>
      <c r="GG22" s="79">
        <f>IF(ISERROR((GF22/GD22-1)*100),"NA",IF(((GF22/GD22-1)*100)&gt;100,"NM",IF(((GF22/GD22-1)*100)&lt;-50,"NM",(GF22/GD22-1)*100)))</f>
        <v>-7.5125208681135369</v>
      </c>
      <c r="GH22" s="78">
        <f>+EI22+EG22+EE22+EC22</f>
        <v>403.29999999999995</v>
      </c>
      <c r="GI22" s="79">
        <f>IF(ISERROR((GH22/GF22-1)*100),"NA",IF(((GH22/GF22-1)*100)&gt;100,"NM",IF(((GH22/GF22-1)*100)&lt;-50,"NM",(GH22/GF22-1)*100)))</f>
        <v>21.329723225030083</v>
      </c>
      <c r="GJ22" s="78">
        <f>+EQ22+EO22+EM22+EK22</f>
        <v>423.46499999999997</v>
      </c>
      <c r="GK22" s="79">
        <f>IF(ISERROR((GJ22/GH22-1)*100),"NA",IF(((GJ22/GH22-1)*100)&gt;100,"NM",IF(((GJ22/GH22-1)*100)&lt;-50,"NM",(GJ22/GH22-1)*100)))</f>
        <v>5.0000000000000044</v>
      </c>
      <c r="GL22" s="82">
        <f>+GJ22*1.05</f>
        <v>444.63824999999997</v>
      </c>
      <c r="GM22" s="79">
        <f>IF(ISERROR((GL22/GJ22-1)*100),"NA",IF(((GL22/GJ22-1)*100)&gt;100,"NM",IF(((GL22/GJ22-1)*100)&lt;-50,"NM",(GL22/GJ22-1)*100)))</f>
        <v>5.0000000000000044</v>
      </c>
      <c r="GN22" s="82">
        <f>+GL22*1.05</f>
        <v>466.87016249999999</v>
      </c>
      <c r="GO22" s="79">
        <f>IF(ISERROR((GN22/GL22-1)*100),"NA",IF(((GN22/GL22-1)*100)&gt;100,"NM",IF(((GN22/GL22-1)*100)&lt;-50,"NM",(GN22/GL22-1)*100)))</f>
        <v>5.0000000000000044</v>
      </c>
      <c r="GP22" s="82">
        <f>+GN22*1.05</f>
        <v>490.21367062500002</v>
      </c>
      <c r="GQ22" s="79">
        <f>IF(ISERROR((GP22/GN22-1)*100),"NA",IF(((GP22/GN22-1)*100)&gt;100,"NM",IF(((GP22/GN22-1)*100)&lt;-50,"NM",(GP22/GN22-1)*100)))</f>
        <v>5.0000000000000044</v>
      </c>
      <c r="GR22" s="82">
        <f>+GP22*1.05</f>
        <v>514.72435415625</v>
      </c>
      <c r="GS22" s="79">
        <f>IF(ISERROR((GR22/GP22-1)*100),"NA",IF(((GR22/GP22-1)*100)&gt;100,"NM",IF(((GR22/GP22-1)*100)&lt;-50,"NM",(GR22/GP22-1)*100)))</f>
        <v>5.0000000000000044</v>
      </c>
      <c r="GT22" s="79">
        <f>IF(ISERROR(((GR22/GH22)^0.2-1)*100),"NA",(IF(OR(((GR22/GH22)^0.2-1)*100&gt;99,((GR22/GH22)^0.2-1)*100&lt;-50),"NM",(((GR22/GH22)^0.2-1)*100))))</f>
        <v>5.0000000000000044</v>
      </c>
      <c r="GU22" s="562"/>
      <c r="GV22" s="562"/>
      <c r="GW22"/>
      <c r="GX22"/>
      <c r="GY22"/>
      <c r="GZ22"/>
      <c r="HA22"/>
      <c r="HB22"/>
      <c r="HC22" s="562"/>
      <c r="HD22" s="562"/>
      <c r="HE22" s="562"/>
      <c r="HF22" s="562"/>
      <c r="HG22" s="562"/>
      <c r="HH22" s="562"/>
      <c r="HI22" s="562"/>
      <c r="HJ22" s="562"/>
      <c r="HK22" s="562"/>
      <c r="HL22" s="562"/>
      <c r="HM22" s="562"/>
      <c r="HN22" s="562"/>
      <c r="HO22" s="562"/>
      <c r="HP22" s="562"/>
      <c r="HQ22" s="562"/>
      <c r="HR22" s="562"/>
      <c r="HS22" s="562"/>
      <c r="HT22" s="562"/>
      <c r="HU22" s="562"/>
      <c r="HV22" s="562"/>
      <c r="HW22" s="562"/>
      <c r="HX22" s="562"/>
      <c r="HY22" s="562"/>
      <c r="HZ22" s="562"/>
      <c r="IA22" s="562"/>
      <c r="IB22" s="562"/>
      <c r="IC22" s="562"/>
      <c r="ID22" s="562"/>
      <c r="IE22" s="562"/>
      <c r="IF22" s="562"/>
      <c r="IG22" s="562"/>
      <c r="IH22" s="562"/>
      <c r="II22" s="562"/>
      <c r="IJ22" s="562"/>
      <c r="IK22" s="562"/>
      <c r="IL22" s="562"/>
      <c r="IM22" s="562"/>
      <c r="IN22" s="562"/>
      <c r="IO22" s="562"/>
      <c r="IP22" s="562"/>
      <c r="IQ22" s="562"/>
      <c r="IR22" s="562"/>
      <c r="IS22" s="562"/>
      <c r="IT22" s="562"/>
      <c r="IU22" s="562"/>
      <c r="IV22" s="562"/>
      <c r="IW22" s="562"/>
      <c r="IX22" s="562"/>
      <c r="IY22" s="562"/>
      <c r="IZ22" s="562"/>
      <c r="JA22" s="562"/>
      <c r="JB22" s="562"/>
      <c r="JC22" s="562"/>
      <c r="JD22" s="562"/>
      <c r="JE22" s="562"/>
      <c r="JF22" s="562"/>
      <c r="JG22" s="562"/>
      <c r="JH22" s="562"/>
      <c r="JI22" s="562"/>
      <c r="JJ22" s="562"/>
      <c r="JK22" s="562"/>
      <c r="JL22" s="562"/>
      <c r="JM22" s="562"/>
      <c r="JN22" s="562"/>
      <c r="JO22" s="562"/>
      <c r="JP22" s="562"/>
      <c r="JQ22" s="562"/>
      <c r="JR22" s="562"/>
      <c r="JS22" s="562"/>
      <c r="JT22" s="562"/>
      <c r="JU22" s="562"/>
      <c r="JV22" s="562"/>
      <c r="JW22" s="562"/>
      <c r="JX22" s="562"/>
      <c r="JY22" s="562"/>
      <c r="JZ22" s="562"/>
    </row>
    <row r="23" spans="1:286" s="91" customFormat="1" ht="12.75" hidden="1" customHeight="1" outlineLevel="1" x14ac:dyDescent="0.2">
      <c r="A23" s="84"/>
      <c r="B23" s="85" t="s">
        <v>328</v>
      </c>
      <c r="C23" s="86"/>
      <c r="D23" s="87"/>
      <c r="E23" s="86"/>
      <c r="F23" s="86"/>
      <c r="G23" s="86"/>
      <c r="H23" s="86"/>
      <c r="I23" s="86"/>
      <c r="J23" s="87"/>
      <c r="K23" s="86"/>
      <c r="L23" s="87"/>
      <c r="M23" s="86"/>
      <c r="N23" s="87"/>
      <c r="O23" s="86"/>
      <c r="P23" s="87"/>
      <c r="Q23" s="86"/>
      <c r="R23" s="87"/>
      <c r="S23" s="86"/>
      <c r="T23" s="87"/>
      <c r="U23" s="86"/>
      <c r="V23" s="87"/>
      <c r="W23" s="86"/>
      <c r="X23" s="87"/>
      <c r="Y23" s="86"/>
      <c r="Z23" s="87"/>
      <c r="AA23" s="88"/>
      <c r="AB23" s="87"/>
      <c r="AC23" s="86"/>
      <c r="AD23" s="87"/>
      <c r="AE23" s="86"/>
      <c r="AF23" s="87"/>
      <c r="AG23" s="86"/>
      <c r="AH23" s="87"/>
      <c r="AI23" s="86"/>
      <c r="AJ23" s="87"/>
      <c r="AK23" s="86"/>
      <c r="AL23" s="87"/>
      <c r="AM23" s="86"/>
      <c r="AN23" s="87"/>
      <c r="AO23" s="86"/>
      <c r="AP23" s="87"/>
      <c r="AQ23" s="86"/>
      <c r="AR23" s="87"/>
      <c r="AS23" s="86"/>
      <c r="AT23" s="89"/>
      <c r="AU23" s="86"/>
      <c r="AV23" s="89"/>
      <c r="AW23" s="86"/>
      <c r="AX23" s="89"/>
      <c r="AY23" s="86"/>
      <c r="AZ23" s="89"/>
      <c r="BA23" s="86"/>
      <c r="BB23" s="89"/>
      <c r="BC23" s="86"/>
      <c r="BD23" s="89"/>
      <c r="BE23" s="86"/>
      <c r="BF23" s="89"/>
      <c r="BG23" s="86"/>
      <c r="BH23" s="89"/>
      <c r="BI23" s="86"/>
      <c r="BJ23" s="89"/>
      <c r="BK23" s="86"/>
      <c r="BL23" s="89"/>
      <c r="BM23" s="86"/>
      <c r="BN23" s="89"/>
      <c r="BO23" s="86"/>
      <c r="BP23" s="89"/>
      <c r="BQ23" s="86"/>
      <c r="BR23" s="89"/>
      <c r="BS23" s="86"/>
      <c r="BT23" s="89"/>
      <c r="BU23" s="86"/>
      <c r="BV23" s="89"/>
      <c r="BW23" s="86"/>
      <c r="BX23" s="89"/>
      <c r="BY23" s="86"/>
      <c r="BZ23" s="89"/>
      <c r="CA23" s="86"/>
      <c r="CB23" s="89"/>
      <c r="CC23" s="86"/>
      <c r="CD23" s="89"/>
      <c r="CE23" s="86"/>
      <c r="CF23" s="89"/>
      <c r="CG23" s="86"/>
      <c r="CH23" s="89"/>
      <c r="CI23" s="86"/>
      <c r="CJ23" s="89"/>
      <c r="CK23" s="86"/>
      <c r="CL23" s="89"/>
      <c r="CM23" s="86"/>
      <c r="CN23" s="89"/>
      <c r="CO23" s="86"/>
      <c r="CP23" s="89"/>
      <c r="CQ23" s="86"/>
      <c r="CR23" s="89"/>
      <c r="CS23" s="86"/>
      <c r="CT23" s="89"/>
      <c r="CU23" s="86"/>
      <c r="CV23" s="89"/>
      <c r="CW23" s="86"/>
      <c r="CX23" s="89"/>
      <c r="CY23" s="86"/>
      <c r="CZ23" s="89"/>
      <c r="DA23" s="86"/>
      <c r="DB23" s="89"/>
      <c r="DC23" s="86"/>
      <c r="DD23" s="89"/>
      <c r="DE23" s="86"/>
      <c r="DF23" s="89"/>
      <c r="DG23" s="86"/>
      <c r="DH23" s="89"/>
      <c r="DI23" s="86"/>
      <c r="DJ23" s="89"/>
      <c r="DK23" s="86"/>
      <c r="DL23" s="89"/>
      <c r="DM23" s="86"/>
      <c r="DN23" s="89"/>
      <c r="DO23" s="86"/>
      <c r="DP23" s="89"/>
      <c r="DQ23" s="86"/>
      <c r="DR23" s="89"/>
      <c r="DS23" s="86"/>
      <c r="DT23" s="89"/>
      <c r="DU23" s="86"/>
      <c r="DV23" s="89"/>
      <c r="DW23" s="86"/>
      <c r="DX23" s="89"/>
      <c r="DY23" s="86"/>
      <c r="DZ23" s="89"/>
      <c r="EA23" s="86">
        <f>IF($B$6=1,EA22,IF($B$6=2,EA22*(1+(EA597/100)),IF($B$6=3,EA22*(1+(EA598/100)),$AD25:$BH25)))</f>
        <v>169.5</v>
      </c>
      <c r="EB23" s="89"/>
      <c r="EC23" s="86">
        <f>IF($B$6=1,EC22,IF($B$6=2,EC22*(1+(EC597/100)),IF($B$6=3,EC22*(1+(EC598/100)),$AD25:$BH25)))</f>
        <v>52.9</v>
      </c>
      <c r="ED23" s="89"/>
      <c r="EE23" s="86">
        <f t="shared" ref="EE23:EG23" si="126">IF($B$6=1,EE22,IF($B$6=2,EE22*(1+(EE597/100)),IF($B$6=3,EE22*(1+(EE598/100)),$AD25:$BH25)))</f>
        <v>74.900000000000006</v>
      </c>
      <c r="EF23" s="89"/>
      <c r="EG23" s="86">
        <f t="shared" si="126"/>
        <v>51.8</v>
      </c>
      <c r="EH23" s="89"/>
      <c r="EI23" s="86">
        <f t="shared" ref="EI23" si="127">IF($B$6=1,EI22,IF($B$6=2,EI22*(1+(EI597/100)),IF($B$6=3,EI22*(1+(EI598/100)),$AD25:$BH25)))</f>
        <v>223.7</v>
      </c>
      <c r="EJ23" s="89"/>
      <c r="EK23" s="86">
        <f t="shared" ref="EK23:EQ23" si="128">IF($B$6=1,EK22,IF($B$6=2,EK22*(1+(EK597/100)),IF($B$6=3,EK22*(1+(EK598/100)),$AD25:$BH25)))</f>
        <v>55.545000000000002</v>
      </c>
      <c r="EL23" s="89"/>
      <c r="EM23" s="86">
        <f t="shared" si="128"/>
        <v>78.64500000000001</v>
      </c>
      <c r="EN23" s="89"/>
      <c r="EO23" s="86">
        <f t="shared" si="128"/>
        <v>54.39</v>
      </c>
      <c r="EP23" s="89"/>
      <c r="EQ23" s="86">
        <f t="shared" si="128"/>
        <v>234.88499999999999</v>
      </c>
      <c r="ER23" s="89"/>
      <c r="ES23" s="86"/>
      <c r="ET23" s="466"/>
      <c r="EU23" s="86"/>
      <c r="EV23" s="86"/>
      <c r="EW23" s="87"/>
      <c r="EX23" s="86"/>
      <c r="EY23" s="87"/>
      <c r="EZ23" s="86"/>
      <c r="FA23" s="87"/>
      <c r="FB23" s="86"/>
      <c r="FC23" s="87"/>
      <c r="FD23" s="90"/>
      <c r="FE23" s="87"/>
      <c r="FF23" s="90"/>
      <c r="FG23" s="87"/>
      <c r="FH23" s="90"/>
      <c r="FI23" s="87"/>
      <c r="FJ23" s="86"/>
      <c r="FK23" s="87"/>
      <c r="FL23" s="86"/>
      <c r="FM23" s="87"/>
      <c r="FN23" s="86"/>
      <c r="FO23" s="87"/>
      <c r="FP23" s="86"/>
      <c r="FQ23" s="87"/>
      <c r="FR23" s="86"/>
      <c r="FS23" s="87"/>
      <c r="FT23" s="86"/>
      <c r="FU23" s="87"/>
      <c r="FV23" s="86"/>
      <c r="FW23" s="87"/>
      <c r="FX23" s="86"/>
      <c r="FY23" s="87"/>
      <c r="FZ23" s="86">
        <f>FZ22</f>
        <v>275.20000000000005</v>
      </c>
      <c r="GA23" s="87"/>
      <c r="GB23" s="86">
        <f>GB22</f>
        <v>342.4</v>
      </c>
      <c r="GC23" s="87"/>
      <c r="GD23" s="86">
        <f>GD22</f>
        <v>359.40000000000003</v>
      </c>
      <c r="GE23" s="87"/>
      <c r="GF23" s="86">
        <f>GF22</f>
        <v>332.4</v>
      </c>
      <c r="GG23" s="87"/>
      <c r="GH23" s="86">
        <f>GH22</f>
        <v>403.29999999999995</v>
      </c>
      <c r="GI23" s="87"/>
      <c r="GJ23" s="86">
        <f>GJ22</f>
        <v>423.46499999999997</v>
      </c>
      <c r="GK23" s="87"/>
      <c r="GL23" s="86">
        <f>IF($B$6=1,GL22,IF($B$6=2,GL22*(1+(GL597/100)),IF($B$6=3,GL22*(1+(GL598/100)),$AD25:$BH25)))</f>
        <v>444.63824999999997</v>
      </c>
      <c r="GM23" s="87"/>
      <c r="GN23" s="86">
        <f>IF($B$6=1,GN22,IF($B$6=2,GN22*(1+(GN597/100)),IF($B$6=3,GN22*(1+(GN598/100)),$AD25:$BH25)))</f>
        <v>466.87016249999999</v>
      </c>
      <c r="GO23" s="87"/>
      <c r="GP23" s="86">
        <f>IF($B$6=1,GP22,IF($B$6=2,GP22*(1+(GP597/100)),IF($B$6=3,GP22*(1+(GP598/100)),$AD25:$BH25)))</f>
        <v>490.21367062500002</v>
      </c>
      <c r="GQ23" s="87"/>
      <c r="GR23" s="86">
        <f>IF($B$6=1,GR22,IF($B$6=2,GR22*(1+(GR597/100)),IF($B$6=3,GR22*(1+(GR598/100)),$AD25:$BH25)))</f>
        <v>514.72435415625</v>
      </c>
      <c r="GS23" s="87"/>
      <c r="GT23" s="87"/>
      <c r="GU23" s="562"/>
      <c r="GV23" s="562"/>
      <c r="GW23"/>
      <c r="GX23"/>
      <c r="GY23"/>
      <c r="GZ23"/>
      <c r="HA23"/>
      <c r="HB23"/>
      <c r="HC23" s="562"/>
      <c r="HD23" s="562"/>
      <c r="HE23" s="562"/>
      <c r="HF23" s="562"/>
      <c r="HG23" s="562"/>
      <c r="HH23" s="562"/>
      <c r="HI23" s="562"/>
      <c r="HJ23" s="562"/>
      <c r="HK23" s="562"/>
      <c r="HL23" s="562"/>
      <c r="HM23" s="562"/>
      <c r="HN23" s="562"/>
      <c r="HO23" s="562"/>
      <c r="HP23" s="562"/>
      <c r="HQ23" s="562"/>
      <c r="HR23" s="562"/>
      <c r="HS23" s="562"/>
      <c r="HT23" s="562"/>
      <c r="HU23" s="562"/>
      <c r="HV23" s="562"/>
      <c r="HW23" s="562"/>
      <c r="HX23" s="562"/>
      <c r="HY23" s="562"/>
      <c r="HZ23" s="562"/>
      <c r="IA23" s="562"/>
      <c r="IB23" s="562"/>
      <c r="IC23" s="562"/>
      <c r="ID23" s="562"/>
      <c r="IE23" s="562"/>
      <c r="IF23" s="562"/>
      <c r="IG23" s="562"/>
      <c r="IH23" s="562"/>
      <c r="II23" s="562"/>
      <c r="IJ23" s="562"/>
      <c r="IK23" s="562"/>
      <c r="IL23" s="562"/>
      <c r="IM23" s="562"/>
      <c r="IN23" s="562"/>
      <c r="IO23" s="562"/>
      <c r="IP23" s="562"/>
      <c r="IQ23" s="562"/>
      <c r="IR23" s="562"/>
      <c r="IS23" s="562"/>
      <c r="IT23" s="562"/>
      <c r="IU23" s="562"/>
      <c r="IV23" s="562"/>
      <c r="IW23" s="562"/>
      <c r="IX23" s="562"/>
      <c r="IY23" s="562"/>
      <c r="IZ23" s="562"/>
      <c r="JA23" s="562"/>
      <c r="JB23" s="562"/>
      <c r="JC23" s="562"/>
      <c r="JD23" s="562"/>
      <c r="JE23" s="562"/>
      <c r="JF23" s="562"/>
      <c r="JG23" s="562"/>
      <c r="JH23" s="562"/>
      <c r="JI23" s="562"/>
      <c r="JJ23" s="562"/>
      <c r="JK23" s="562"/>
      <c r="JL23" s="562"/>
      <c r="JM23" s="562"/>
      <c r="JN23" s="562"/>
      <c r="JO23" s="562"/>
      <c r="JP23" s="562"/>
      <c r="JQ23" s="562"/>
      <c r="JR23" s="562"/>
      <c r="JS23" s="562"/>
      <c r="JT23" s="562"/>
      <c r="JU23" s="562"/>
      <c r="JV23" s="562"/>
      <c r="JW23" s="562"/>
      <c r="JX23" s="562"/>
      <c r="JY23" s="562"/>
      <c r="JZ23" s="562"/>
    </row>
    <row r="24" spans="1:286" ht="12.75" customHeight="1" collapsed="1" x14ac:dyDescent="0.2">
      <c r="A24" s="1"/>
      <c r="B24" s="2"/>
      <c r="C24" s="78"/>
      <c r="D24" s="3"/>
      <c r="E24" s="78"/>
      <c r="F24" s="78"/>
      <c r="G24" s="78"/>
      <c r="H24" s="78"/>
      <c r="I24" s="78"/>
      <c r="J24" s="79"/>
      <c r="K24" s="78"/>
      <c r="L24" s="79"/>
      <c r="M24" s="78"/>
      <c r="N24" s="79"/>
      <c r="O24" s="78"/>
      <c r="P24" s="79"/>
      <c r="Q24" s="78"/>
      <c r="R24" s="79"/>
      <c r="S24" s="78"/>
      <c r="T24" s="79"/>
      <c r="U24" s="78"/>
      <c r="V24" s="79"/>
      <c r="W24" s="78"/>
      <c r="X24" s="79"/>
      <c r="Y24" s="78"/>
      <c r="Z24" s="79"/>
      <c r="AA24" s="80"/>
      <c r="AB24" s="79"/>
      <c r="AC24" s="78"/>
      <c r="AD24" s="79"/>
      <c r="AE24" s="78"/>
      <c r="AF24" s="79"/>
      <c r="AG24" s="78"/>
      <c r="AH24" s="79"/>
      <c r="AI24" s="78"/>
      <c r="AJ24" s="79"/>
      <c r="AK24" s="78"/>
      <c r="AL24" s="79"/>
      <c r="AM24" s="78"/>
      <c r="AN24" s="79"/>
      <c r="AO24" s="78"/>
      <c r="AP24" s="79"/>
      <c r="AQ24" s="78"/>
      <c r="AR24" s="79"/>
      <c r="AS24" s="78"/>
      <c r="AT24" s="81"/>
      <c r="AU24" s="78"/>
      <c r="AV24" s="81"/>
      <c r="AW24" s="78"/>
      <c r="AX24" s="81"/>
      <c r="AY24" s="78"/>
      <c r="AZ24" s="81"/>
      <c r="BA24" s="78"/>
      <c r="BB24" s="81"/>
      <c r="BC24" s="78"/>
      <c r="BD24" s="81"/>
      <c r="BE24" s="78"/>
      <c r="BF24" s="81"/>
      <c r="BG24" s="78"/>
      <c r="BH24" s="81"/>
      <c r="BI24" s="78"/>
      <c r="BJ24" s="81"/>
      <c r="BK24" s="78"/>
      <c r="BL24" s="81"/>
      <c r="BM24" s="78"/>
      <c r="BN24" s="81"/>
      <c r="BO24" s="78"/>
      <c r="BP24" s="81"/>
      <c r="BQ24" s="78"/>
      <c r="BR24" s="81"/>
      <c r="BS24" s="78"/>
      <c r="BT24" s="81"/>
      <c r="BU24" s="78"/>
      <c r="BV24" s="81"/>
      <c r="BW24" s="78"/>
      <c r="BX24" s="81"/>
      <c r="BY24" s="78"/>
      <c r="BZ24" s="81"/>
      <c r="CA24" s="78"/>
      <c r="CB24" s="81"/>
      <c r="CC24" s="78"/>
      <c r="CD24" s="81"/>
      <c r="CE24" s="78"/>
      <c r="CF24" s="81"/>
      <c r="CG24" s="78"/>
      <c r="CH24" s="81"/>
      <c r="CI24" s="78"/>
      <c r="CJ24" s="81"/>
      <c r="CK24" s="78"/>
      <c r="CL24" s="81"/>
      <c r="CM24" s="78"/>
      <c r="CN24" s="81"/>
      <c r="CO24" s="78"/>
      <c r="CP24" s="81"/>
      <c r="CQ24" s="78"/>
      <c r="CR24" s="81"/>
      <c r="CS24" s="78"/>
      <c r="CT24" s="81"/>
      <c r="CU24" s="78"/>
      <c r="CV24" s="81"/>
      <c r="CW24" s="78"/>
      <c r="CX24" s="81"/>
      <c r="CY24" s="78"/>
      <c r="CZ24" s="81"/>
      <c r="DA24" s="78"/>
      <c r="DB24" s="81"/>
      <c r="DC24" s="78"/>
      <c r="DD24" s="81"/>
      <c r="DE24" s="78"/>
      <c r="DF24" s="81"/>
      <c r="DG24" s="78"/>
      <c r="DH24" s="81"/>
      <c r="DI24" s="78"/>
      <c r="DJ24" s="81"/>
      <c r="DK24" s="78"/>
      <c r="DL24" s="81"/>
      <c r="DM24" s="78"/>
      <c r="DN24" s="81"/>
      <c r="DO24" s="78"/>
      <c r="DP24" s="81"/>
      <c r="DQ24" s="78"/>
      <c r="DR24" s="81"/>
      <c r="DS24" s="78"/>
      <c r="DT24" s="81"/>
      <c r="DU24" s="78"/>
      <c r="DV24" s="81"/>
      <c r="DW24" s="78"/>
      <c r="DX24" s="81"/>
      <c r="DY24" s="78"/>
      <c r="DZ24" s="81"/>
      <c r="EA24" s="78"/>
      <c r="EB24" s="81"/>
      <c r="EC24" s="78"/>
      <c r="ED24" s="81"/>
      <c r="EE24" s="78"/>
      <c r="EF24" s="81"/>
      <c r="EG24" s="78"/>
      <c r="EH24" s="81"/>
      <c r="EI24" s="78"/>
      <c r="EJ24" s="81"/>
      <c r="EK24" s="78"/>
      <c r="EL24" s="81"/>
      <c r="EM24" s="78"/>
      <c r="EN24" s="81"/>
      <c r="EO24" s="78"/>
      <c r="EP24" s="81"/>
      <c r="EQ24" s="78"/>
      <c r="ER24" s="81"/>
      <c r="ES24" s="78"/>
      <c r="ET24" s="465"/>
      <c r="EU24" s="78"/>
      <c r="EV24" s="78"/>
      <c r="EW24" s="3"/>
      <c r="EX24" s="78"/>
      <c r="EY24" s="3"/>
      <c r="EZ24" s="78"/>
      <c r="FA24" s="3"/>
      <c r="FB24" s="78"/>
      <c r="FC24" s="3"/>
      <c r="FD24" s="75"/>
      <c r="FE24" s="429"/>
      <c r="FF24" s="75"/>
      <c r="FG24" s="429"/>
      <c r="FH24" s="75"/>
      <c r="FI24" s="429"/>
      <c r="FJ24" s="75"/>
      <c r="FK24" s="429"/>
      <c r="FL24" s="75"/>
      <c r="FM24" s="429"/>
      <c r="FN24" s="75"/>
      <c r="FO24" s="429"/>
      <c r="FP24" s="75"/>
      <c r="FQ24" s="429"/>
      <c r="FR24" s="78"/>
      <c r="FS24" s="429"/>
      <c r="FT24" s="78"/>
      <c r="FU24" s="429"/>
      <c r="FV24" s="78"/>
      <c r="FW24" s="429"/>
      <c r="FX24" s="78"/>
      <c r="FY24" s="429"/>
      <c r="FZ24" s="78"/>
      <c r="GA24" s="429"/>
      <c r="GB24" s="78"/>
      <c r="GC24" s="429"/>
      <c r="GD24" s="78"/>
      <c r="GE24" s="429"/>
      <c r="GF24" s="78"/>
      <c r="GG24" s="429"/>
      <c r="GH24" s="78"/>
      <c r="GI24" s="429"/>
      <c r="GJ24" s="78"/>
      <c r="GK24" s="429"/>
      <c r="GL24" s="78"/>
      <c r="GM24" s="429"/>
      <c r="GN24" s="78"/>
      <c r="GO24" s="429"/>
      <c r="GP24" s="78"/>
      <c r="GQ24" s="429"/>
      <c r="GR24" s="78"/>
      <c r="GS24" s="429"/>
      <c r="GT24" s="79"/>
    </row>
    <row r="25" spans="1:286" ht="12.75" customHeight="1" x14ac:dyDescent="0.2">
      <c r="A25" s="1"/>
      <c r="B25" s="92" t="s">
        <v>467</v>
      </c>
      <c r="C25" s="78"/>
      <c r="D25" s="3"/>
      <c r="E25" s="82"/>
      <c r="F25" s="79"/>
      <c r="G25" s="78"/>
      <c r="H25" s="79"/>
      <c r="I25" s="78"/>
      <c r="J25" s="79"/>
      <c r="K25" s="78"/>
      <c r="L25" s="79"/>
      <c r="M25" s="78"/>
      <c r="N25" s="79"/>
      <c r="O25" s="78"/>
      <c r="P25" s="79"/>
      <c r="Q25" s="78"/>
      <c r="R25" s="79"/>
      <c r="S25" s="78"/>
      <c r="T25" s="79"/>
      <c r="U25" s="78"/>
      <c r="V25" s="79"/>
      <c r="W25" s="78"/>
      <c r="X25" s="79"/>
      <c r="Y25" s="78"/>
      <c r="Z25" s="79"/>
      <c r="AA25" s="80"/>
      <c r="AB25" s="79"/>
      <c r="AC25" s="78" t="s">
        <v>199</v>
      </c>
      <c r="AD25" s="79" t="str">
        <f t="shared" ref="AD25:AD30" si="129">IF(ISERROR((AC25/U25-1)*100),"NA",IF(((AC25/U25-1)*100)&gt;100,"NM",IF(((AC25/U25-1)*100)&lt;-50,"NM",(AC25/U25-1)*100)))</f>
        <v>NA</v>
      </c>
      <c r="AE25" s="78">
        <f>+AC39*4</f>
        <v>2669.6</v>
      </c>
      <c r="AF25" s="79" t="str">
        <f t="shared" ref="AF25:AF30" si="130">IF(ISERROR((AE25/W25-1)*100),"NA",IF(((AE25/W25-1)*100)&gt;100,"NM",IF(((AE25/W25-1)*100)&lt;-50,"NM",(AE25/W25-1)*100)))</f>
        <v>NA</v>
      </c>
      <c r="AG25" s="78">
        <f>+AE39*4</f>
        <v>2651.6</v>
      </c>
      <c r="AH25" s="79" t="str">
        <f t="shared" ref="AH25:AH30" si="131">IF(ISERROR((AG25/Y25-1)*100),"NA",IF(((AG25/Y25-1)*100)&gt;100,"NM",IF(((AG25/Y25-1)*100)&lt;-50,"NM",(AG25/Y25-1)*100)))</f>
        <v>NA</v>
      </c>
      <c r="AI25" s="78">
        <f>+AG39*4</f>
        <v>2632.8</v>
      </c>
      <c r="AJ25" s="79" t="str">
        <f t="shared" ref="AJ25:AJ30" si="132">IF(ISERROR((AI25/AA25-1)*100),"NA",IF(((AI25/AA25-1)*100)&gt;100,"NM",IF(((AI25/AA25-1)*100)&lt;-50,"NM",(AI25/AA25-1)*100)))</f>
        <v>NA</v>
      </c>
      <c r="AK25" s="78">
        <f>+AI39*4</f>
        <v>2624.7999999999997</v>
      </c>
      <c r="AL25" s="79" t="str">
        <f t="shared" ref="AL25:AL30" si="133">IF(ISERROR((AK25/AC25-1)*100),"NA",IF(((AK25/AC25-1)*100)&gt;100,"NM",IF(((AK25/AC25-1)*100)&lt;-50,"NM",(AK25/AC25-1)*100)))</f>
        <v>NA</v>
      </c>
      <c r="AM25" s="78">
        <f>+AK39*4</f>
        <v>2541.6000000000004</v>
      </c>
      <c r="AN25" s="79">
        <f t="shared" ref="AN25:BD30" si="134">IF(ISERROR((AM25/AE25-1)*100),"NA",IF(((AM25/AE25-1)*100)&gt;100,"NM",IF(((AM25/AE25-1)*100)&lt;-50,"NM",(AM25/AE25-1)*100)))</f>
        <v>-4.7947258016182044</v>
      </c>
      <c r="AO25" s="78">
        <f>+AM39*4</f>
        <v>2547.1999999999998</v>
      </c>
      <c r="AP25" s="79">
        <f t="shared" si="134"/>
        <v>-3.9372454367174625</v>
      </c>
      <c r="AQ25" s="78">
        <f>+AO39*4</f>
        <v>2504</v>
      </c>
      <c r="AR25" s="79">
        <f t="shared" si="134"/>
        <v>-4.8921300516560411</v>
      </c>
      <c r="AS25" s="78">
        <f>+AQ39*4</f>
        <v>2518.8000000000002</v>
      </c>
      <c r="AT25" s="81">
        <f t="shared" si="134"/>
        <v>-4.0384029259372012</v>
      </c>
      <c r="AU25" s="78">
        <f>+AS39*4</f>
        <v>2479.1999999999998</v>
      </c>
      <c r="AV25" s="81">
        <f t="shared" si="134"/>
        <v>-2.4551463644948313</v>
      </c>
      <c r="AW25" s="78">
        <f>+AU39*4</f>
        <v>2491.6</v>
      </c>
      <c r="AX25" s="81">
        <f t="shared" si="134"/>
        <v>-2.1827889447236126</v>
      </c>
      <c r="AY25" s="78">
        <f>+AW39*4</f>
        <v>2462.8000000000002</v>
      </c>
      <c r="AZ25" s="81">
        <f t="shared" si="134"/>
        <v>-1.6453674121405637</v>
      </c>
      <c r="BA25" s="78">
        <f>+AY39*4</f>
        <v>2500.4</v>
      </c>
      <c r="BB25" s="81">
        <f t="shared" si="134"/>
        <v>-0.73050659043989441</v>
      </c>
      <c r="BC25" s="78">
        <f>+BA39*4</f>
        <v>2360.4</v>
      </c>
      <c r="BD25" s="81">
        <f t="shared" si="134"/>
        <v>-4.7918683446272929</v>
      </c>
      <c r="BE25" s="78">
        <f>+BC39*4</f>
        <v>2437.1999999999998</v>
      </c>
      <c r="BF25" s="81">
        <f t="shared" ref="BF25:BF30" si="135">IF(ISERROR((BE25/AW25-1)*100),"NA",IF(((BE25/AW25-1)*100)&gt;100,"NM",IF(((BE25/AW25-1)*100)&lt;-50,"NM",(BE25/AW25-1)*100)))</f>
        <v>-2.183336008990211</v>
      </c>
      <c r="BG25" s="78">
        <f>+BE39*4</f>
        <v>2373.1999999999998</v>
      </c>
      <c r="BH25" s="81">
        <f t="shared" ref="BH25:BH30" si="136">IF(ISERROR((BG25/AY25-1)*100),"NA",IF(((BG25/AY25-1)*100)&gt;100,"NM",IF(((BG25/AY25-1)*100)&lt;-50,"NM",(BG25/AY25-1)*100)))</f>
        <v>-3.638135455579028</v>
      </c>
      <c r="BI25" s="78">
        <f>+BG39*4</f>
        <v>2354.4</v>
      </c>
      <c r="BJ25" s="81">
        <f t="shared" ref="BJ25:BJ30" si="137">IF(ISERROR((BI25/BA25-1)*100),"NA",IF(((BI25/BA25-1)*100)&gt;100,"NM",IF(((BI25/BA25-1)*100)&lt;-50,"NM",(BI25/BA25-1)*100)))</f>
        <v>-5.8390657494800884</v>
      </c>
      <c r="BK25" s="78">
        <f>+BI39*4</f>
        <v>2273.6</v>
      </c>
      <c r="BL25" s="81">
        <f t="shared" ref="BL25:BL30" si="138">IF(ISERROR((BK25/BC25-1)*100),"NA",IF(((BK25/BC25-1)*100)&gt;100,"NM",IF(((BK25/BC25-1)*100)&lt;-50,"NM",(BK25/BC25-1)*100)))</f>
        <v>-3.6773428232503069</v>
      </c>
      <c r="BM25" s="78">
        <f>+BK39*4</f>
        <v>2294.4</v>
      </c>
      <c r="BN25" s="81">
        <f t="shared" ref="BN25:BN30" si="139">IF(ISERROR((BM25/BE25-1)*100),"NA",IF(((BM25/BE25-1)*100)&gt;100,"NM",IF(((BM25/BE25-1)*100)&lt;-50,"NM",(BM25/BE25-1)*100)))</f>
        <v>-5.8591826686361319</v>
      </c>
      <c r="BO25" s="78">
        <f>+BM39*4</f>
        <v>2249.6</v>
      </c>
      <c r="BP25" s="81">
        <f t="shared" ref="BP25:BP30" si="140">IF(ISERROR((BO25/BG25-1)*100),"NA",IF(((BO25/BG25-1)*100)&gt;100,"NM",IF(((BO25/BG25-1)*100)&lt;-50,"NM",(BO25/BG25-1)*100)))</f>
        <v>-5.2081577616720054</v>
      </c>
      <c r="BQ25" s="78">
        <f>+BO39*4</f>
        <v>2276.8000000000002</v>
      </c>
      <c r="BR25" s="81">
        <f t="shared" ref="BR25:BR30" si="141">IF(ISERROR((BQ25/BI25-1)*100),"NA",IF(((BQ25/BI25-1)*100)&gt;100,"NM",IF(((BQ25/BI25-1)*100)&lt;-50,"NM",(BQ25/BI25-1)*100)))</f>
        <v>-3.2959565069656804</v>
      </c>
      <c r="BS25" s="78">
        <f>+BQ39*4</f>
        <v>2182.8000000000002</v>
      </c>
      <c r="BT25" s="81">
        <f t="shared" ref="BT25:BT30" si="142">IF(ISERROR((BS25/BK25-1)*100),"NA",IF(((BS25/BK25-1)*100)&gt;100,"NM",IF(((BS25/BK25-1)*100)&lt;-50,"NM",(BS25/BK25-1)*100)))</f>
        <v>-3.9936664320900706</v>
      </c>
      <c r="BU25" s="78">
        <f>+BS39*4</f>
        <v>2164</v>
      </c>
      <c r="BV25" s="81">
        <f t="shared" ref="BV25:BV30" si="143">IF(ISERROR((BU25/BM25-1)*100),"NA",IF(((BU25/BM25-1)*100)&gt;100,"NM",IF(((BU25/BM25-1)*100)&lt;-50,"NM",(BU25/BM25-1)*100)))</f>
        <v>-5.6834030683403096</v>
      </c>
      <c r="BW25" s="78">
        <f>+BU39*4</f>
        <v>2149.6</v>
      </c>
      <c r="BX25" s="81">
        <f t="shared" ref="BX25:BX30" si="144">IF(ISERROR((BW25/BO25-1)*100),"NA",IF(((BW25/BO25-1)*100)&gt;100,"NM",IF(((BW25/BO25-1)*100)&lt;-50,"NM",(BW25/BO25-1)*100)))</f>
        <v>-4.445234708392598</v>
      </c>
      <c r="BY25" s="78">
        <f>+BW39*4</f>
        <v>2142.4</v>
      </c>
      <c r="BZ25" s="81">
        <f t="shared" ref="BZ25:BZ30" si="145">IF(ISERROR((BY25/BQ25-1)*100),"NA",IF(((BY25/BQ25-1)*100)&gt;100,"NM",IF(((BY25/BQ25-1)*100)&lt;-50,"NM",(BY25/BQ25-1)*100)))</f>
        <v>-5.9030217849613482</v>
      </c>
      <c r="CA25" s="78">
        <f>+BY39*4</f>
        <v>2087.1999999999998</v>
      </c>
      <c r="CB25" s="81">
        <f t="shared" ref="CB25:CB30" si="146">IF(ISERROR((CA25/BS25-1)*100),"NA",IF(((CA25/BS25-1)*100)&gt;100,"NM",IF(((CA25/BS25-1)*100)&lt;-50,"NM",(CA25/BS25-1)*100)))</f>
        <v>-4.3796958035550837</v>
      </c>
      <c r="CC25" s="78">
        <f>+CA39*4</f>
        <v>2082.8000000000002</v>
      </c>
      <c r="CD25" s="81">
        <f t="shared" ref="CD25:CD30" si="147">IF(ISERROR((CC25/BU25-1)*100),"NA",IF(((CC25/BU25-1)*100)&gt;100,"NM",IF(((CC25/BU25-1)*100)&lt;-50,"NM",(CC25/BU25-1)*100)))</f>
        <v>-3.7523105360443565</v>
      </c>
      <c r="CE25" s="78">
        <f>+CC39*4</f>
        <v>2054.4</v>
      </c>
      <c r="CF25" s="81">
        <f t="shared" ref="CF25:CF30" si="148">IF(ISERROR((CE25/BW25-1)*100),"NA",IF(((CE25/BW25-1)*100)&gt;100,"NM",IF(((CE25/BW25-1)*100)&lt;-50,"NM",(CE25/BW25-1)*100)))</f>
        <v>-4.4287309266840218</v>
      </c>
      <c r="CG25" s="78">
        <f>+CE39*4</f>
        <v>2056.8000000000002</v>
      </c>
      <c r="CH25" s="81">
        <f t="shared" ref="CH25:CH30" si="149">IF(ISERROR((CG25/BY25-1)*100),"NA",IF(((CG25/BY25-1)*100)&gt;100,"NM",IF(((CG25/BY25-1)*100)&lt;-50,"NM",(CG25/BY25-1)*100)))</f>
        <v>-3.9955190440627342</v>
      </c>
      <c r="CI25" s="78">
        <f>+CG39*4</f>
        <v>2032</v>
      </c>
      <c r="CJ25" s="81">
        <f t="shared" ref="CJ25:CJ30" si="150">IF(ISERROR((CI25/CA25-1)*100),"NA",IF(((CI25/CA25-1)*100)&gt;100,"NM",IF(((CI25/CA25-1)*100)&lt;-50,"NM",(CI25/CA25-1)*100)))</f>
        <v>-2.6446914526638499</v>
      </c>
      <c r="CK25" s="78">
        <f>+CI39*4</f>
        <v>2029.6</v>
      </c>
      <c r="CL25" s="81">
        <f t="shared" ref="CL25:CL30" si="151">IF(ISERROR((CK25/CC25-1)*100),"NA",IF(((CK25/CC25-1)*100)&gt;100,"NM",IF(((CK25/CC25-1)*100)&lt;-50,"NM",(CK25/CC25-1)*100)))</f>
        <v>-2.5542538889955946</v>
      </c>
      <c r="CM25" s="78">
        <f>+CK39*4</f>
        <v>2035.6</v>
      </c>
      <c r="CN25" s="81">
        <f t="shared" ref="CN25:CN30" si="152">IF(ISERROR((CM25/CE25-1)*100),"NA",IF(((CM25/CE25-1)*100)&gt;100,"NM",IF(((CM25/CE25-1)*100)&lt;-50,"NM",(CM25/CE25-1)*100)))</f>
        <v>-0.91510903426792467</v>
      </c>
      <c r="CO25" s="78">
        <f>+CM39*4</f>
        <v>2044.4</v>
      </c>
      <c r="CP25" s="81">
        <f t="shared" ref="CP25:CP30" si="153">IF(ISERROR((CO25/CG25-1)*100),"NA",IF(((CO25/CG25-1)*100)&gt;100,"NM",IF(((CO25/CG25-1)*100)&lt;-50,"NM",(CO25/CG25-1)*100)))</f>
        <v>-0.60287825748736035</v>
      </c>
      <c r="CQ25" s="78">
        <f>+CO39*4</f>
        <v>2052.8000000000002</v>
      </c>
      <c r="CR25" s="81">
        <f t="shared" ref="CR25:CR30" si="154">IF(ISERROR((CQ25/CI25-1)*100),"NA",IF(((CQ25/CI25-1)*100)&gt;100,"NM",IF(((CQ25/CI25-1)*100)&lt;-50,"NM",(CQ25/CI25-1)*100)))</f>
        <v>1.0236220472441104</v>
      </c>
      <c r="CS25" s="78">
        <f>+CQ39*4</f>
        <v>2064</v>
      </c>
      <c r="CT25" s="81">
        <f t="shared" ref="CT25:CT30" si="155">IF(ISERROR((CS25/CK25-1)*100),"NA",IF(((CS25/CK25-1)*100)&gt;100,"NM",IF(((CS25/CK25-1)*100)&lt;-50,"NM",(CS25/CK25-1)*100)))</f>
        <v>1.6949152542372836</v>
      </c>
      <c r="CU25" s="78">
        <f>+CS39*4</f>
        <v>2050</v>
      </c>
      <c r="CV25" s="81">
        <f t="shared" ref="CV25:CV30" si="156">IF(ISERROR((CU25/CM25-1)*100),"NA",IF(((CU25/CM25-1)*100)&gt;100,"NM",IF(((CU25/CM25-1)*100)&lt;-50,"NM",(CU25/CM25-1)*100)))</f>
        <v>0.70740813519356571</v>
      </c>
      <c r="CW25" s="78">
        <f>+CU39*4</f>
        <v>2055.1999999999998</v>
      </c>
      <c r="CX25" s="81">
        <f t="shared" ref="CX25:CX30" si="157">IF(ISERROR((CW25/CO25-1)*100),"NA",IF(((CW25/CO25-1)*100)&gt;100,"NM",IF(((CW25/CO25-1)*100)&lt;-50,"NM",(CW25/CO25-1)*100)))</f>
        <v>0.52827235374681702</v>
      </c>
      <c r="CY25" s="78">
        <f>+CW39*4</f>
        <v>2094.8000000000002</v>
      </c>
      <c r="CZ25" s="81">
        <f t="shared" ref="CZ25:CZ30" si="158">IF(ISERROR((CY25/CQ25-1)*100),"NA",IF(((CY25/CQ25-1)*100)&gt;100,"NM",IF(((CY25/CQ25-1)*100)&lt;-50,"NM",(CY25/CQ25-1)*100)))</f>
        <v>2.045985970381925</v>
      </c>
      <c r="DA25" s="78">
        <f>+CY39*4</f>
        <v>2095.6</v>
      </c>
      <c r="DB25" s="81">
        <f t="shared" ref="DB25:DB30" si="159">IF(ISERROR((DA25/CS25-1)*100),"NA",IF(((DA25/CS25-1)*100)&gt;100,"NM",IF(((DA25/CS25-1)*100)&lt;-50,"NM",(DA25/CS25-1)*100)))</f>
        <v>1.5310077519379739</v>
      </c>
      <c r="DC25" s="78">
        <f>+DA39*4</f>
        <v>2058</v>
      </c>
      <c r="DD25" s="81">
        <f t="shared" ref="DD25:DD30" si="160">IF(ISERROR((DC25/CU25-1)*100),"NA",IF(((DC25/CU25-1)*100)&gt;100,"NM",IF(((DC25/CU25-1)*100)&lt;-50,"NM",(DC25/CU25-1)*100)))</f>
        <v>0.39024390243902474</v>
      </c>
      <c r="DE25" s="78">
        <f>+DC39*4</f>
        <v>2045.6</v>
      </c>
      <c r="DF25" s="81">
        <f t="shared" ref="DF25:DF30" si="161">IF(ISERROR((DE25/CW25-1)*100),"NA",IF(((DE25/CW25-1)*100)&gt;100,"NM",IF(((DE25/CW25-1)*100)&lt;-50,"NM",(DE25/CW25-1)*100)))</f>
        <v>-0.46710782405604556</v>
      </c>
      <c r="DG25" s="78">
        <f>+DE39*4</f>
        <v>2083.1999999999998</v>
      </c>
      <c r="DH25" s="81">
        <f t="shared" ref="DH25:DH30" si="162">IF(ISERROR((DG25/CY25-1)*100),"NA",IF(((DG25/CY25-1)*100)&gt;100,"NM",IF(((DG25/CY25-1)*100)&lt;-50,"NM",(DG25/CY25-1)*100)))</f>
        <v>-0.55375214817645624</v>
      </c>
      <c r="DI25" s="78">
        <f>+DG39*4</f>
        <v>2096</v>
      </c>
      <c r="DJ25" s="81">
        <f t="shared" ref="DJ25:DJ30" si="163">IF(ISERROR((DI25/DA25-1)*100),"NA",IF(((DI25/DA25-1)*100)&gt;100,"NM",IF(((DI25/DA25-1)*100)&lt;-50,"NM",(DI25/DA25-1)*100)))</f>
        <v>1.9087612139734311E-2</v>
      </c>
      <c r="DK25" s="78">
        <f>+DI39*4</f>
        <v>2104</v>
      </c>
      <c r="DL25" s="81">
        <f t="shared" ref="DL25:DL30" si="164">IF(ISERROR((DK25/DC25-1)*100),"NA",IF(((DK25/DC25-1)*100)&gt;100,"NM",IF(((DK25/DC25-1)*100)&lt;-50,"NM",(DK25/DC25-1)*100)))</f>
        <v>2.2351797862002032</v>
      </c>
      <c r="DM25" s="78">
        <f>+DK39*4</f>
        <v>2163.1999999999998</v>
      </c>
      <c r="DN25" s="81">
        <f t="shared" ref="DN25:DP30" si="165">IF(ISERROR((DM25/DE25-1)*100),"NA",IF(((DM25/DE25-1)*100)&gt;100,"NM",IF(((DM25/DE25-1)*100)&lt;-50,"NM",(DM25/DE25-1)*100)))</f>
        <v>5.7489245209229489</v>
      </c>
      <c r="DO25" s="78">
        <f>+DM39*4</f>
        <v>2212</v>
      </c>
      <c r="DP25" s="81">
        <f t="shared" si="165"/>
        <v>6.1827956989247479</v>
      </c>
      <c r="DQ25" s="78">
        <f>+DO39*4</f>
        <v>2244</v>
      </c>
      <c r="DR25" s="81">
        <f t="shared" ref="DR25:DR30" si="166">IF(ISERROR((DQ25/DI25-1)*100),"NA",IF(((DQ25/DI25-1)*100)&gt;100,"NM",IF(((DQ25/DI25-1)*100)&lt;-50,"NM",(DQ25/DI25-1)*100)))</f>
        <v>7.0610687022900853</v>
      </c>
      <c r="DS25" s="78">
        <f>+DQ39*4</f>
        <v>2270</v>
      </c>
      <c r="DT25" s="81">
        <f t="shared" ref="DT25:DT30" si="167">IF(ISERROR((DS25/DK25-1)*100),"NA",IF(((DS25/DK25-1)*100)&gt;100,"NM",IF(((DS25/DK25-1)*100)&lt;-50,"NM",(DS25/DK25-1)*100)))</f>
        <v>7.8897338403041806</v>
      </c>
      <c r="DU25" s="78">
        <f>+DS39*4</f>
        <v>2282.4</v>
      </c>
      <c r="DV25" s="81">
        <f t="shared" ref="DV25:DV30" si="168">IF(ISERROR((DU25/DM25-1)*100),"NA",IF(((DU25/DM25-1)*100)&gt;100,"NM",IF(((DU25/DM25-1)*100)&lt;-50,"NM",(DU25/DM25-1)*100)))</f>
        <v>5.5103550295858117</v>
      </c>
      <c r="DW25" s="78">
        <f>+DU39*4</f>
        <v>2352.4</v>
      </c>
      <c r="DX25" s="81">
        <f t="shared" ref="DX25:DX30" si="169">IF(ISERROR((DW25/DO25-1)*100),"NA",IF(((DW25/DO25-1)*100)&gt;100,"NM",IF(((DW25/DO25-1)*100)&lt;-50,"NM",(DW25/DO25-1)*100)))</f>
        <v>6.3471971066907829</v>
      </c>
      <c r="DY25" s="78">
        <f>+DW39*4</f>
        <v>2356.4</v>
      </c>
      <c r="DZ25" s="81">
        <f t="shared" ref="DZ25:DZ30" si="170">IF(ISERROR((DY25/DQ25-1)*100),"NA",IF(((DY25/DQ25-1)*100)&gt;100,"NM",IF(((DY25/DQ25-1)*100)&lt;-50,"NM",(DY25/DQ25-1)*100)))</f>
        <v>5.0089126559714758</v>
      </c>
      <c r="EA25" s="78">
        <f>+DY39*4</f>
        <v>2334.4</v>
      </c>
      <c r="EB25" s="81">
        <f t="shared" ref="EB25:EB30" si="171">IF(ISERROR((EA25/DS25-1)*100),"NA",IF(((EA25/DS25-1)*100)&gt;100,"NM",IF(((EA25/DS25-1)*100)&lt;-50,"NM",(EA25/DS25-1)*100)))</f>
        <v>2.8370044052863586</v>
      </c>
      <c r="EC25" s="78">
        <f>+EA39*4</f>
        <v>2367.6</v>
      </c>
      <c r="ED25" s="81">
        <f t="shared" ref="ED25:ED30" si="172">IF(ISERROR((EC25/DU25-1)*100),"NA",IF(((EC25/DU25-1)*100)&gt;100,"NM",IF(((EC25/DU25-1)*100)&lt;-50,"NM",(EC25/DU25-1)*100)))</f>
        <v>3.732912723449</v>
      </c>
      <c r="EE25" s="78">
        <f>+EC39*4</f>
        <v>2369.1999999999998</v>
      </c>
      <c r="EF25" s="81">
        <f t="shared" ref="EF25:EF30" si="173">IF(ISERROR((EE25/DW25-1)*100),"NA",IF(((EE25/DW25-1)*100)&gt;100,"NM",IF(((EE25/DW25-1)*100)&lt;-50,"NM",(EE25/DW25-1)*100)))</f>
        <v>0.71416425777928172</v>
      </c>
      <c r="EG25" s="78">
        <f>+EE39*4</f>
        <v>2384</v>
      </c>
      <c r="EH25" s="81">
        <f t="shared" ref="EH25:EH30" si="174">IF(ISERROR((EG25/DY25-1)*100),"NA",IF(((EG25/DY25-1)*100)&gt;100,"NM",IF(((EG25/DY25-1)*100)&lt;-50,"NM",(EG25/DY25-1)*100)))</f>
        <v>1.171278221015104</v>
      </c>
      <c r="EI25" s="78">
        <f>+EG39*4</f>
        <v>2385.1999999999998</v>
      </c>
      <c r="EJ25" s="81">
        <f t="shared" ref="EJ25:EJ30" si="175">IF(ISERROR((EI25/EA25-1)*100),"NA",IF(((EI25/EA25-1)*100)&gt;100,"NM",IF(((EI25/EA25-1)*100)&lt;-50,"NM",(EI25/EA25-1)*100)))</f>
        <v>2.1761480466072625</v>
      </c>
      <c r="EK25" s="78">
        <f t="shared" ref="EK25" si="176">+EI29</f>
        <v>2419.1999999999998</v>
      </c>
      <c r="EL25" s="81">
        <f t="shared" ref="EL25:EL30" si="177">IF(ISERROR((EK25/EC25-1)*100),"NA",IF(((EK25/EC25-1)*100)&gt;100,"NM",IF(((EK25/EC25-1)*100)&lt;-50,"NM",(EK25/EC25-1)*100)))</f>
        <v>2.1794221996958907</v>
      </c>
      <c r="EM25" s="78">
        <f t="shared" ref="EM25" si="178">+EK29</f>
        <v>2515.9835399999997</v>
      </c>
      <c r="EN25" s="81">
        <f t="shared" ref="EN25:EN30" si="179">IF(ISERROR((EM25/EE25-1)*100),"NA",IF(((EM25/EE25-1)*100)&gt;100,"NM",IF(((EM25/EE25-1)*100)&lt;-50,"NM",(EM25/EE25-1)*100)))</f>
        <v>6.1954896167482731</v>
      </c>
      <c r="EO25" s="78">
        <f t="shared" ref="EO25" si="180">+EM29</f>
        <v>2528.7192551979997</v>
      </c>
      <c r="EP25" s="81">
        <f t="shared" ref="EP25:EP30" si="181">IF(ISERROR((EO25/EG25-1)*100),"NA",IF(((EO25/EG25-1)*100)&gt;100,"NM",IF(((EO25/EG25-1)*100)&lt;-50,"NM",(EO25/EG25-1)*100)))</f>
        <v>6.0704385569630759</v>
      </c>
      <c r="EQ25" s="78">
        <f t="shared" ref="EQ25" si="182">+EO29</f>
        <v>2521.1698425103023</v>
      </c>
      <c r="ER25" s="81">
        <f t="shared" ref="ER25:ER30" si="183">IF(ISERROR((EQ25/EI25-1)*100),"NA",IF(((EQ25/EI25-1)*100)&gt;100,"NM",IF(((EQ25/EI25-1)*100)&lt;-50,"NM",(EQ25/EI25-1)*100)))</f>
        <v>5.7005635800059684</v>
      </c>
      <c r="ES25" s="78"/>
      <c r="ET25" s="465"/>
      <c r="EU25" s="78"/>
      <c r="EV25" s="78"/>
      <c r="EW25" s="3"/>
      <c r="EX25" s="78"/>
      <c r="EY25" s="3"/>
      <c r="EZ25" s="78"/>
      <c r="FA25" s="3"/>
      <c r="FB25" s="78"/>
      <c r="FC25" s="3"/>
      <c r="FD25" s="75"/>
      <c r="FE25" s="79"/>
      <c r="FF25" s="75"/>
      <c r="FG25" s="79"/>
      <c r="FH25" s="75"/>
      <c r="FI25" s="79" t="str">
        <f t="shared" ref="FI25:GQ30" si="184">IF(ISERROR((FH25/FF25-1)*100),"NA",IF(((FH25/FF25-1)*100)&gt;100,"NM",IF(((FH25/FF25-1)*100)&lt;-50,"NM",(FH25/FF25-1)*100)))</f>
        <v>NA</v>
      </c>
      <c r="FJ25" s="75">
        <f>+FH29</f>
        <v>2624.7999999999997</v>
      </c>
      <c r="FK25" s="79" t="str">
        <f t="shared" si="184"/>
        <v>NA</v>
      </c>
      <c r="FL25" s="75">
        <f>+FJ29</f>
        <v>2518.8000000000002</v>
      </c>
      <c r="FM25" s="79">
        <f t="shared" si="184"/>
        <v>-4.0384029259372012</v>
      </c>
      <c r="FN25" s="75">
        <f>+FL29</f>
        <v>2500.4</v>
      </c>
      <c r="FO25" s="79">
        <f t="shared" si="184"/>
        <v>-0.73050659043989441</v>
      </c>
      <c r="FP25" s="75">
        <f>+FN29</f>
        <v>2354.4</v>
      </c>
      <c r="FQ25" s="79">
        <f t="shared" si="184"/>
        <v>-5.8390657494800884</v>
      </c>
      <c r="FR25" s="78">
        <f>+FT29</f>
        <v>2056.8000000000002</v>
      </c>
      <c r="FS25" s="79">
        <f t="shared" si="184"/>
        <v>-12.640163098878688</v>
      </c>
      <c r="FT25" s="78">
        <f>+FR29</f>
        <v>2142.4</v>
      </c>
      <c r="FU25" s="79">
        <f t="shared" si="184"/>
        <v>4.1618047452353091</v>
      </c>
      <c r="FV25" s="78">
        <f>+FT29</f>
        <v>2056.8000000000002</v>
      </c>
      <c r="FW25" s="79">
        <f t="shared" si="184"/>
        <v>-3.9955190440627342</v>
      </c>
      <c r="FX25" s="78">
        <f>FV29</f>
        <v>2044.4000000000003</v>
      </c>
      <c r="FY25" s="79">
        <f t="shared" si="184"/>
        <v>-0.60287825748734925</v>
      </c>
      <c r="FZ25" s="78">
        <f>FX29</f>
        <v>2055.1999999999998</v>
      </c>
      <c r="GA25" s="79">
        <f t="shared" si="184"/>
        <v>0.52827235374679482</v>
      </c>
      <c r="GB25" s="78">
        <f>FZ29</f>
        <v>2045.6000000000001</v>
      </c>
      <c r="GC25" s="79">
        <f t="shared" si="184"/>
        <v>-0.46710782405603446</v>
      </c>
      <c r="GD25" s="78">
        <f>GB29</f>
        <v>2163.1999999999998</v>
      </c>
      <c r="GE25" s="79">
        <f t="shared" si="184"/>
        <v>5.7489245209229489</v>
      </c>
      <c r="GF25" s="78">
        <f>GD29</f>
        <v>2282.4</v>
      </c>
      <c r="GG25" s="79">
        <f t="shared" si="184"/>
        <v>5.5103550295858117</v>
      </c>
      <c r="GH25" s="78">
        <f>GF29</f>
        <v>2367.6</v>
      </c>
      <c r="GI25" s="79">
        <f t="shared" si="184"/>
        <v>3.732912723449</v>
      </c>
      <c r="GJ25" s="78">
        <f>GH29</f>
        <v>2419.2000000000003</v>
      </c>
      <c r="GK25" s="79">
        <f t="shared" si="184"/>
        <v>2.1794221996959129</v>
      </c>
      <c r="GL25" s="78">
        <f>+GJ29</f>
        <v>2516.2702056444668</v>
      </c>
      <c r="GM25" s="79">
        <f t="shared" si="184"/>
        <v>4.0124919661237879</v>
      </c>
      <c r="GN25" s="78">
        <f>+GL29</f>
        <v>2622.8983360997263</v>
      </c>
      <c r="GO25" s="79">
        <f t="shared" si="184"/>
        <v>4.2375469143207445</v>
      </c>
      <c r="GP25" s="78">
        <f>+GN29</f>
        <v>2737.3623954200416</v>
      </c>
      <c r="GQ25" s="79">
        <f t="shared" si="184"/>
        <v>4.3640295830346343</v>
      </c>
      <c r="GR25" s="78">
        <f>+GP29</f>
        <v>2859.7272314961947</v>
      </c>
      <c r="GS25" s="79">
        <f t="shared" ref="GS25:GS30" si="185">IF(ISERROR((GR25/GP25-1)*100),"NA",IF(((GR25/GP25-1)*100)&gt;100,"NM",IF(((GR25/GP25-1)*100)&lt;-50,"NM",(GR25/GP25-1)*100)))</f>
        <v>4.4701730498265535</v>
      </c>
      <c r="GT25" s="79">
        <f t="shared" ref="GT25:GT30" si="186">IF(ISERROR(((GR25/GH25)^0.2-1)*100),"NA",(IF(OR(((GR25/GH25)^0.2-1)*100&gt;99,((GR25/GH25)^0.2-1)*100&lt;-50),"NM",(((GR25/GH25)^0.2-1)*100))))</f>
        <v>3.8492240601263772</v>
      </c>
    </row>
    <row r="26" spans="1:286" ht="12.75" customHeight="1" x14ac:dyDescent="0.2">
      <c r="A26" s="1"/>
      <c r="B26" s="2" t="s">
        <v>479</v>
      </c>
      <c r="C26" s="78"/>
      <c r="D26" s="3"/>
      <c r="E26" s="82"/>
      <c r="F26" s="79"/>
      <c r="G26" s="78"/>
      <c r="H26" s="79"/>
      <c r="I26" s="78"/>
      <c r="J26" s="79"/>
      <c r="K26" s="78"/>
      <c r="L26" s="79"/>
      <c r="M26" s="78"/>
      <c r="N26" s="79"/>
      <c r="O26" s="78"/>
      <c r="P26" s="79"/>
      <c r="Q26" s="78"/>
      <c r="R26" s="79"/>
      <c r="S26" s="78"/>
      <c r="T26" s="79"/>
      <c r="U26" s="78"/>
      <c r="V26" s="79"/>
      <c r="W26" s="78"/>
      <c r="X26" s="79"/>
      <c r="Y26" s="78"/>
      <c r="Z26" s="79"/>
      <c r="AA26" s="80"/>
      <c r="AB26" s="79"/>
      <c r="AC26" s="78">
        <f>+AA22*0.75+Y22*0.25</f>
        <v>0</v>
      </c>
      <c r="AD26" s="79" t="str">
        <f t="shared" si="129"/>
        <v>NA</v>
      </c>
      <c r="AE26" s="78">
        <f>+AC22*0.75+AA22*0.25</f>
        <v>47.474999999999994</v>
      </c>
      <c r="AF26" s="79" t="str">
        <f t="shared" si="130"/>
        <v>NA</v>
      </c>
      <c r="AG26" s="78">
        <f>+AC22*0.2+AE22*0.7+AG22*0.1</f>
        <v>57.2</v>
      </c>
      <c r="AH26" s="79" t="str">
        <f t="shared" si="131"/>
        <v>NA</v>
      </c>
      <c r="AI26" s="78">
        <f>+AE22*0.2+AG22*0.7+AI22*0.1</f>
        <v>46.25</v>
      </c>
      <c r="AJ26" s="79" t="str">
        <f t="shared" si="132"/>
        <v>NA</v>
      </c>
      <c r="AK26" s="78">
        <f>+AG22*0.2+AI22*0.7+AK22*0.1</f>
        <v>91.1</v>
      </c>
      <c r="AL26" s="79" t="str">
        <f t="shared" si="133"/>
        <v>NA</v>
      </c>
      <c r="AM26" s="78">
        <f>+AI22*0.2+AK22*0.7+AM22*0.1</f>
        <v>66.62</v>
      </c>
      <c r="AN26" s="79">
        <f t="shared" si="134"/>
        <v>40.326487625065852</v>
      </c>
      <c r="AO26" s="78">
        <f>+AK22*0.2+AM22*0.7+AO22*0.1</f>
        <v>59.359999999999992</v>
      </c>
      <c r="AP26" s="79">
        <f t="shared" si="134"/>
        <v>3.7762237762237527</v>
      </c>
      <c r="AQ26" s="78">
        <f>+AM22*0.2+AO22*0.7+AQ22*0.1</f>
        <v>51.739999999999995</v>
      </c>
      <c r="AR26" s="79">
        <f t="shared" si="134"/>
        <v>11.870270270270256</v>
      </c>
      <c r="AS26" s="78">
        <f>+AO22*0.2+AQ22*0.7+AS22*0.1</f>
        <v>87.019999999999982</v>
      </c>
      <c r="AT26" s="81">
        <f t="shared" si="134"/>
        <v>-4.4785949506037426</v>
      </c>
      <c r="AU26" s="78">
        <f>+AQ22*0.2+AS22*0.7+AU22*0.1</f>
        <v>67.61</v>
      </c>
      <c r="AV26" s="81">
        <f t="shared" si="134"/>
        <v>1.4860402281597018</v>
      </c>
      <c r="AW26" s="78">
        <f>+AS22*0.2+AU22*0.7+AW22*0.1</f>
        <v>65.309999999999988</v>
      </c>
      <c r="AX26" s="81">
        <f t="shared" si="134"/>
        <v>10.023584905660377</v>
      </c>
      <c r="AY26" s="78">
        <f>+AU22*0.2+AW22*0.7+AY22*0.1</f>
        <v>52.559999999999995</v>
      </c>
      <c r="AZ26" s="81">
        <f t="shared" si="134"/>
        <v>1.5848473134905339</v>
      </c>
      <c r="BA26" s="78">
        <f>+AW22*0.2+AY22*0.7+BA22*0.1</f>
        <v>103.8</v>
      </c>
      <c r="BB26" s="81">
        <f t="shared" si="134"/>
        <v>19.282923465869928</v>
      </c>
      <c r="BC26" s="78">
        <f>+AY22*0.2+BA22*0.7+BC22*0.1</f>
        <v>62.58</v>
      </c>
      <c r="BD26" s="81">
        <f t="shared" si="134"/>
        <v>-7.4397278509096276</v>
      </c>
      <c r="BE26" s="78">
        <f>+BA22*0.2+BC22*0.7+BE22*0.1</f>
        <v>61.789999999999992</v>
      </c>
      <c r="BF26" s="81">
        <f t="shared" si="135"/>
        <v>-5.3896799877507178</v>
      </c>
      <c r="BG26" s="78">
        <f>+BC22*0.2+BE22*0.7+BG22*0.1</f>
        <v>48.32</v>
      </c>
      <c r="BH26" s="81">
        <f t="shared" si="136"/>
        <v>-8.0669710806697044</v>
      </c>
      <c r="BI26" s="78">
        <f>+BE22*0.2+BG22*0.7+BI22*0.1</f>
        <v>83.86</v>
      </c>
      <c r="BJ26" s="81">
        <f t="shared" si="137"/>
        <v>-19.21001926782273</v>
      </c>
      <c r="BK26" s="78">
        <f>+BG22*0.2+BI22*0.7+BK22*0.1</f>
        <v>63.220000000000006</v>
      </c>
      <c r="BL26" s="81">
        <f t="shared" si="138"/>
        <v>1.0226909555768771</v>
      </c>
      <c r="BM26" s="78">
        <f>+BI22*0.2+BK22*0.7+BM22*0.1</f>
        <v>59.1</v>
      </c>
      <c r="BN26" s="81">
        <f t="shared" si="139"/>
        <v>-4.3534552516588327</v>
      </c>
      <c r="BO26" s="78">
        <f>+BK22*0.2+BM22*0.7+BO22*0.1</f>
        <v>53.81</v>
      </c>
      <c r="BP26" s="81">
        <f t="shared" si="140"/>
        <v>11.361754966887428</v>
      </c>
      <c r="BQ26" s="78">
        <f>+BM22*0.2+BO22*0.7+BQ22*0.1</f>
        <v>91.91</v>
      </c>
      <c r="BR26" s="81">
        <f t="shared" si="141"/>
        <v>9.599332220367284</v>
      </c>
      <c r="BS26" s="78">
        <f>+BO22*0.2+BQ22*0.7+BS22*0.1</f>
        <v>63.84</v>
      </c>
      <c r="BT26" s="81">
        <f t="shared" si="142"/>
        <v>0.98070230939575342</v>
      </c>
      <c r="BU26" s="78">
        <f>+BQ22*0.2+BS22*0.7+BU22*0.1</f>
        <v>66.27</v>
      </c>
      <c r="BV26" s="81">
        <f t="shared" si="143"/>
        <v>12.131979695431472</v>
      </c>
      <c r="BW26" s="78">
        <f>+BS22*0.2+BU22*0.7+BW22*0.1</f>
        <v>51.009999999999991</v>
      </c>
      <c r="BX26" s="81">
        <f t="shared" si="144"/>
        <v>-5.2034937743913989</v>
      </c>
      <c r="BY26" s="78">
        <f>+BU22*0.2+BW22*0.7+BY22*0.1</f>
        <v>91.499999999999986</v>
      </c>
      <c r="BZ26" s="81">
        <f t="shared" si="145"/>
        <v>-0.44608856490045978</v>
      </c>
      <c r="CA26" s="78">
        <f>+BW22*0.2+BY22*0.7+CA22*0.1</f>
        <v>57.73</v>
      </c>
      <c r="CB26" s="81">
        <f t="shared" si="146"/>
        <v>-9.5708020050125455</v>
      </c>
      <c r="CC26" s="78">
        <f>+BY22*0.2+CA22*0.7+CC22*0.1</f>
        <v>47.06</v>
      </c>
      <c r="CD26" s="81">
        <f t="shared" si="147"/>
        <v>-28.987475479100645</v>
      </c>
      <c r="CE26" s="78">
        <f>+CA22*0.2+CC22*0.7+CE22*0.1</f>
        <v>43.96</v>
      </c>
      <c r="CF26" s="81">
        <f t="shared" si="148"/>
        <v>-13.82081944716721</v>
      </c>
      <c r="CG26" s="78">
        <f>+CC22*0.2+CE22*0.7+CG22*0.1</f>
        <v>87.489999999999981</v>
      </c>
      <c r="CH26" s="81">
        <f t="shared" si="149"/>
        <v>-4.382513661202192</v>
      </c>
      <c r="CI26" s="78">
        <f>+CE22*0.2+CG22*0.7+CI22*0.1</f>
        <v>58.989999999999995</v>
      </c>
      <c r="CJ26" s="81">
        <f t="shared" si="150"/>
        <v>2.1825740516196124</v>
      </c>
      <c r="CK26" s="78">
        <f>+CG22*0.2+CI22*0.7+CK22*0.1</f>
        <v>52.459999999999994</v>
      </c>
      <c r="CL26" s="81">
        <f t="shared" si="151"/>
        <v>11.474713132171676</v>
      </c>
      <c r="CM26" s="78">
        <f>+CI22*0.2+CK22*0.7+CM22*0.1</f>
        <v>47.459999999999994</v>
      </c>
      <c r="CN26" s="81">
        <f t="shared" si="152"/>
        <v>7.961783439490433</v>
      </c>
      <c r="CO26" s="78">
        <f>+CK22*0.2+CM22*0.7+CO22*0.1</f>
        <v>95.44</v>
      </c>
      <c r="CP26" s="81">
        <f t="shared" si="153"/>
        <v>9.0867527717453545</v>
      </c>
      <c r="CQ26" s="78">
        <f>+CM22*0.2+CO22*0.7+CQ22*0.1</f>
        <v>64.699999999999989</v>
      </c>
      <c r="CR26" s="81">
        <f t="shared" si="154"/>
        <v>9.6796067130021868</v>
      </c>
      <c r="CS26" s="78">
        <f>+CO22*0.2+CQ22*0.7+CS22*0.1</f>
        <v>55.45</v>
      </c>
      <c r="CT26" s="81">
        <f t="shared" si="155"/>
        <v>5.6995806328631549</v>
      </c>
      <c r="CU26" s="78">
        <f>+CQ22*0.2+CS22*0.7+CU22*0.1</f>
        <v>51.620000000000005</v>
      </c>
      <c r="CV26" s="81">
        <f t="shared" si="156"/>
        <v>8.7652760219132162</v>
      </c>
      <c r="CW26" s="78">
        <f>+CS22*0.2+CU22*0.7+CW22*0.1</f>
        <v>105.39999999999999</v>
      </c>
      <c r="CX26" s="7">
        <f t="shared" si="157"/>
        <v>10.435875943000838</v>
      </c>
      <c r="CY26" s="78">
        <f>+CU22*0.2+CW22*0.7+CY22*0.1</f>
        <v>64.600000000000009</v>
      </c>
      <c r="CZ26" s="7">
        <f t="shared" si="158"/>
        <v>-0.15455950540955721</v>
      </c>
      <c r="DA26" s="78">
        <f>+CW22*0.2+CY22*0.7+DA22*0.1</f>
        <v>49.28</v>
      </c>
      <c r="DB26" s="7">
        <f t="shared" si="159"/>
        <v>-11.12714156898107</v>
      </c>
      <c r="DC26" s="78">
        <f>+CY22*0.2+DA22*0.7+DC22*0.1</f>
        <v>51.08</v>
      </c>
      <c r="DD26" s="81">
        <f t="shared" si="160"/>
        <v>-1.0461061604029598</v>
      </c>
      <c r="DE26" s="78">
        <f>+DA22*0.2+DC22*0.7+DE22*0.1</f>
        <v>109.76</v>
      </c>
      <c r="DF26" s="81">
        <f t="shared" si="161"/>
        <v>4.1366223908918531</v>
      </c>
      <c r="DG26" s="78">
        <f>+DC22*0.2+DE22*0.7+DG22*0.1</f>
        <v>71.42</v>
      </c>
      <c r="DH26" s="81">
        <f t="shared" si="162"/>
        <v>10.557275541795663</v>
      </c>
      <c r="DI26" s="78">
        <f>+DE22*0.2+DG22*0.7+DI22*0.1</f>
        <v>63.929999999999993</v>
      </c>
      <c r="DJ26" s="81">
        <f t="shared" si="163"/>
        <v>29.728084415584387</v>
      </c>
      <c r="DK26" s="78">
        <f>+DG22*0.2+DI22*0.7+DK22*0.1</f>
        <v>62.16</v>
      </c>
      <c r="DL26" s="81">
        <f t="shared" si="164"/>
        <v>21.691464369616288</v>
      </c>
      <c r="DM26" s="78">
        <f>+DI22*0.2+DK22*0.7+DM22*0.1</f>
        <v>138.19</v>
      </c>
      <c r="DN26" s="81">
        <f t="shared" si="165"/>
        <v>25.901967930029144</v>
      </c>
      <c r="DO26" s="78">
        <f>+DK22*0.2+DM22*0.7+DO22*0.1</f>
        <v>86.580000000000013</v>
      </c>
      <c r="DP26" s="81">
        <f t="shared" si="165"/>
        <v>21.226547185662305</v>
      </c>
      <c r="DQ26" s="78">
        <f>+DM22*0.2+DO22*0.7+DQ22*0.1</f>
        <v>76.22</v>
      </c>
      <c r="DR26" s="81">
        <f t="shared" si="166"/>
        <v>19.224151415610848</v>
      </c>
      <c r="DS26" s="78">
        <f>+DO22*0.2+DQ22*0.7+DS22*0.1</f>
        <v>67.94</v>
      </c>
      <c r="DT26" s="81">
        <f t="shared" si="167"/>
        <v>9.2985842985843004</v>
      </c>
      <c r="DU26" s="78">
        <f>+DQ22*0.2+DS22*0.7+DU22*0.1</f>
        <v>130.28</v>
      </c>
      <c r="DV26" s="81">
        <f t="shared" si="168"/>
        <v>-5.7240031840219974</v>
      </c>
      <c r="DW26" s="78">
        <f>+DS22*0.2+DU22*0.7+DW22*0.1</f>
        <v>77.77</v>
      </c>
      <c r="DX26" s="81">
        <f t="shared" si="169"/>
        <v>-10.175560175560195</v>
      </c>
      <c r="DY26" s="78">
        <f>+DU22*0.2+DW22*0.7+DY22*0.1</f>
        <v>65.579999999999984</v>
      </c>
      <c r="DZ26" s="81">
        <f t="shared" si="170"/>
        <v>-13.959590658619803</v>
      </c>
      <c r="EA26" s="78">
        <f>+DW22*0.2+DY22*0.7+EA22*0.1</f>
        <v>56.789999999999992</v>
      </c>
      <c r="EB26" s="81">
        <f t="shared" si="171"/>
        <v>-16.411539593759205</v>
      </c>
      <c r="EC26" s="78">
        <f>+DY22*0.2+EA22*0.7+EC22*0.1</f>
        <v>131.13999999999999</v>
      </c>
      <c r="ED26" s="81">
        <f t="shared" si="172"/>
        <v>0.66011667178382805</v>
      </c>
      <c r="EE26" s="78">
        <f>+EA22*0.2+EC22*0.7+EE22*0.1</f>
        <v>78.419999999999987</v>
      </c>
      <c r="EF26" s="81">
        <f t="shared" si="173"/>
        <v>0.83579786550083135</v>
      </c>
      <c r="EG26" s="78">
        <f>+EC22*0.2+EE22*0.7+EG22*0.1</f>
        <v>68.19</v>
      </c>
      <c r="EH26" s="81">
        <f t="shared" si="174"/>
        <v>3.9798719121683757</v>
      </c>
      <c r="EI26" s="78">
        <f>+EE22*0.2+EG22*0.7+EI22*0.1</f>
        <v>73.61</v>
      </c>
      <c r="EJ26" s="81">
        <f t="shared" si="175"/>
        <v>29.617890473674958</v>
      </c>
      <c r="EK26" s="78">
        <f t="shared" ref="EK26" si="187">+EG22*0.2+EI22*0.7+EK22*0.1</f>
        <v>172.50449999999998</v>
      </c>
      <c r="EL26" s="81">
        <f t="shared" si="177"/>
        <v>31.542244929083417</v>
      </c>
      <c r="EM26" s="78">
        <f t="shared" ref="EM26" si="188">+EI22*0.2+EK22*0.7+EM22*0.1</f>
        <v>91.486000000000004</v>
      </c>
      <c r="EN26" s="81">
        <f t="shared" si="179"/>
        <v>16.661565927059453</v>
      </c>
      <c r="EO26" s="78">
        <f t="shared" ref="EO26" si="189">+EK22*0.2+EM22*0.7+EO22*0.1</f>
        <v>71.599500000000006</v>
      </c>
      <c r="EP26" s="81">
        <f t="shared" si="181"/>
        <v>5.0000000000000044</v>
      </c>
      <c r="EQ26" s="78">
        <f t="shared" ref="EQ26" si="190">+EM22*0.2+EO22*0.7+EQ22*0.1</f>
        <v>77.290500000000009</v>
      </c>
      <c r="ER26" s="81">
        <f t="shared" si="183"/>
        <v>5.0000000000000044</v>
      </c>
      <c r="ES26" s="78"/>
      <c r="ET26" s="465"/>
      <c r="EU26" s="78"/>
      <c r="EV26" s="78"/>
      <c r="EW26" s="3"/>
      <c r="EX26" s="78"/>
      <c r="EY26" s="3"/>
      <c r="EZ26" s="78"/>
      <c r="FA26" s="3"/>
      <c r="FB26" s="78"/>
      <c r="FC26" s="3"/>
      <c r="FD26" s="78"/>
      <c r="FE26" s="79"/>
      <c r="FF26" s="78"/>
      <c r="FG26" s="79"/>
      <c r="FH26" s="78">
        <f>AC26+AE26+AG26+AI26</f>
        <v>150.92500000000001</v>
      </c>
      <c r="FI26" s="79" t="str">
        <f t="shared" si="184"/>
        <v>NA</v>
      </c>
      <c r="FJ26" s="78">
        <f>AK26+AM26+AO26+AQ26</f>
        <v>268.82</v>
      </c>
      <c r="FK26" s="79">
        <f t="shared" si="184"/>
        <v>78.11495776047704</v>
      </c>
      <c r="FL26" s="78">
        <f>AS26+AU26+AW26+AY26</f>
        <v>272.5</v>
      </c>
      <c r="FM26" s="79">
        <f t="shared" si="184"/>
        <v>1.3689457629640689</v>
      </c>
      <c r="FN26" s="78">
        <f>BA26+BC26+BE26+BG26</f>
        <v>276.49</v>
      </c>
      <c r="FO26" s="79">
        <f t="shared" si="184"/>
        <v>1.4642201834862423</v>
      </c>
      <c r="FP26" s="78">
        <f>BI26+BK26+BM26+BO26</f>
        <v>259.99</v>
      </c>
      <c r="FQ26" s="79">
        <f t="shared" si="184"/>
        <v>-5.9676661000397813</v>
      </c>
      <c r="FR26" s="78">
        <f>BQ26+BS26+BU26+BW26</f>
        <v>273.02999999999997</v>
      </c>
      <c r="FS26" s="79">
        <f t="shared" si="184"/>
        <v>5.0155775222123777</v>
      </c>
      <c r="FT26" s="78">
        <f>BY26+CA26+CC26+CE26</f>
        <v>240.25</v>
      </c>
      <c r="FU26" s="79">
        <f t="shared" si="184"/>
        <v>-12.006006665934132</v>
      </c>
      <c r="FV26" s="78">
        <f>CG26+CI26+CK26+CM26</f>
        <v>246.39999999999992</v>
      </c>
      <c r="FW26" s="79">
        <f t="shared" si="184"/>
        <v>2.5598335067637645</v>
      </c>
      <c r="FX26" s="78">
        <f>+CU26+CS26+CQ26+CO26</f>
        <v>267.20999999999998</v>
      </c>
      <c r="FY26" s="79">
        <f t="shared" si="184"/>
        <v>8.4456168831169123</v>
      </c>
      <c r="FZ26" s="78">
        <f>+DC26+DA26+CY26+CW26</f>
        <v>270.36</v>
      </c>
      <c r="GA26" s="79">
        <f t="shared" si="184"/>
        <v>1.1788480970023718</v>
      </c>
      <c r="GB26" s="78">
        <f>+DK26+DI26+DG26+DE26</f>
        <v>307.27</v>
      </c>
      <c r="GC26" s="79">
        <f t="shared" si="184"/>
        <v>13.652167480396503</v>
      </c>
      <c r="GD26" s="78">
        <f>+DS26+DQ26+DO26+DM26</f>
        <v>368.93</v>
      </c>
      <c r="GE26" s="79">
        <f t="shared" si="184"/>
        <v>20.067042015165825</v>
      </c>
      <c r="GF26" s="78">
        <f>+EA26+DY26+DW26+DU26</f>
        <v>330.41999999999996</v>
      </c>
      <c r="GG26" s="79">
        <f t="shared" si="184"/>
        <v>-10.438294527417135</v>
      </c>
      <c r="GH26" s="78">
        <f>+EI26+EG26+EE26+EC26</f>
        <v>351.36</v>
      </c>
      <c r="GI26" s="79">
        <f t="shared" si="184"/>
        <v>6.3373887779190285</v>
      </c>
      <c r="GJ26" s="78">
        <f>+EQ26+EO26+EM26+EK26</f>
        <v>412.88049999999998</v>
      </c>
      <c r="GK26" s="79">
        <f t="shared" si="184"/>
        <v>17.509249772313296</v>
      </c>
      <c r="GL26" s="78">
        <f>+GL23*0.55+GJ23*0.45</f>
        <v>435.11028750000003</v>
      </c>
      <c r="GM26" s="79">
        <f t="shared" si="184"/>
        <v>5.3840729944863108</v>
      </c>
      <c r="GN26" s="78">
        <f>+GN23*0.55+GL23*0.45</f>
        <v>456.86580187499999</v>
      </c>
      <c r="GO26" s="79">
        <f t="shared" si="184"/>
        <v>4.9999999999999822</v>
      </c>
      <c r="GP26" s="78">
        <f>+GP23*0.55+GN23*0.45</f>
        <v>479.70909196875004</v>
      </c>
      <c r="GQ26" s="79">
        <f t="shared" si="184"/>
        <v>5.0000000000000044</v>
      </c>
      <c r="GR26" s="78">
        <f>+GR23*0.55+GP23*0.45</f>
        <v>503.6945465671875</v>
      </c>
      <c r="GS26" s="79">
        <f t="shared" si="185"/>
        <v>4.9999999999999822</v>
      </c>
      <c r="GT26" s="79">
        <f t="shared" si="186"/>
        <v>7.4689451385363315</v>
      </c>
    </row>
    <row r="27" spans="1:286" ht="12.75" customHeight="1" x14ac:dyDescent="0.2">
      <c r="A27" s="1"/>
      <c r="B27" s="2" t="s">
        <v>480</v>
      </c>
      <c r="C27" s="78"/>
      <c r="D27" s="3"/>
      <c r="E27" s="82"/>
      <c r="F27" s="79"/>
      <c r="G27" s="93"/>
      <c r="H27" s="79"/>
      <c r="I27" s="93"/>
      <c r="J27" s="79"/>
      <c r="K27" s="93"/>
      <c r="L27" s="79"/>
      <c r="M27" s="93"/>
      <c r="N27" s="79"/>
      <c r="O27" s="93"/>
      <c r="P27" s="79"/>
      <c r="Q27" s="93"/>
      <c r="R27" s="79"/>
      <c r="S27" s="93"/>
      <c r="T27" s="79"/>
      <c r="U27" s="93"/>
      <c r="V27" s="79"/>
      <c r="W27" s="93"/>
      <c r="X27" s="79"/>
      <c r="Y27" s="93"/>
      <c r="Z27" s="79"/>
      <c r="AA27" s="94"/>
      <c r="AB27" s="79"/>
      <c r="AC27" s="93" t="s">
        <v>199</v>
      </c>
      <c r="AD27" s="79" t="str">
        <f t="shared" si="129"/>
        <v>NA</v>
      </c>
      <c r="AE27" s="93">
        <f>-AE25*AE32/400</f>
        <v>-91.43379999999992</v>
      </c>
      <c r="AF27" s="79" t="str">
        <f t="shared" si="130"/>
        <v>NA</v>
      </c>
      <c r="AG27" s="93">
        <f>-AG25*AG32/400</f>
        <v>-106.06400000000018</v>
      </c>
      <c r="AH27" s="79" t="str">
        <f t="shared" si="131"/>
        <v>NA</v>
      </c>
      <c r="AI27" s="93">
        <f>-AI25*AI32/400</f>
        <v>-96.097199999999972</v>
      </c>
      <c r="AJ27" s="79" t="str">
        <f t="shared" si="132"/>
        <v>NA</v>
      </c>
      <c r="AK27" s="93">
        <f>-AK25*AK32/400</f>
        <v>-114.17880000000002</v>
      </c>
      <c r="AL27" s="79" t="str">
        <f t="shared" si="133"/>
        <v>NA</v>
      </c>
      <c r="AM27" s="93">
        <f>-AM25*AM32/400</f>
        <v>-102.93479999999994</v>
      </c>
      <c r="AN27" s="79">
        <f t="shared" si="134"/>
        <v>12.578499417064615</v>
      </c>
      <c r="AO27" s="93">
        <f>-AO25*AO32/400</f>
        <v>-84.057599999999923</v>
      </c>
      <c r="AP27" s="79">
        <f t="shared" si="134"/>
        <v>-20.748227485292105</v>
      </c>
      <c r="AQ27" s="93">
        <f>-AQ25*AQ32/400</f>
        <v>-87.640000000000185</v>
      </c>
      <c r="AR27" s="79">
        <f t="shared" si="134"/>
        <v>-8.8006726522726897</v>
      </c>
      <c r="AS27" s="93">
        <f>-AS25*AS32/400</f>
        <v>-84.379800000000046</v>
      </c>
      <c r="AT27" s="81">
        <f t="shared" si="134"/>
        <v>-26.098540184342422</v>
      </c>
      <c r="AU27" s="93">
        <f>-AU25*AU32/400</f>
        <v>-84.292799999999957</v>
      </c>
      <c r="AV27" s="81">
        <f t="shared" si="134"/>
        <v>-18.110493244267232</v>
      </c>
      <c r="AW27" s="93">
        <f>-AW25*AW32/400</f>
        <v>-65.404499999999999</v>
      </c>
      <c r="AX27" s="81">
        <f t="shared" si="134"/>
        <v>-22.190854842393716</v>
      </c>
      <c r="AY27" s="93">
        <f>-AY25*AY32/400</f>
        <v>-69.574100000000072</v>
      </c>
      <c r="AZ27" s="81">
        <f t="shared" si="134"/>
        <v>-20.613760839799266</v>
      </c>
      <c r="BA27" s="93">
        <f>-BA25*BA32/400</f>
        <v>-96.265400000000042</v>
      </c>
      <c r="BB27" s="81">
        <f t="shared" si="134"/>
        <v>14.085835709494443</v>
      </c>
      <c r="BC27" s="93">
        <f>-BC25*BC32/400</f>
        <v>-54.289199999999937</v>
      </c>
      <c r="BD27" s="81">
        <f t="shared" si="134"/>
        <v>-35.594499174306748</v>
      </c>
      <c r="BE27" s="93">
        <f>-BE25*BE32/400</f>
        <v>-109.06469999999995</v>
      </c>
      <c r="BF27" s="81">
        <f t="shared" si="135"/>
        <v>66.754122422768987</v>
      </c>
      <c r="BG27" s="93">
        <f>-BG25*BG32/400</f>
        <v>-87.215100000000092</v>
      </c>
      <c r="BH27" s="81">
        <f t="shared" si="136"/>
        <v>25.355699894069783</v>
      </c>
      <c r="BI27" s="93">
        <f>-BI25*BI32/400</f>
        <v>-58.271400000000042</v>
      </c>
      <c r="BJ27" s="81">
        <f t="shared" si="137"/>
        <v>-39.467970838951459</v>
      </c>
      <c r="BK27" s="93">
        <f>-BK25*BK32/400</f>
        <v>-59.113600000000034</v>
      </c>
      <c r="BL27" s="81">
        <f t="shared" si="138"/>
        <v>8.8864820258911514</v>
      </c>
      <c r="BM27" s="93">
        <f>-BM25*BM32/400</f>
        <v>-73.420799999999915</v>
      </c>
      <c r="BN27" s="81">
        <f t="shared" si="139"/>
        <v>-32.681426712767788</v>
      </c>
      <c r="BO27" s="93">
        <f>-BO25*BO32/400</f>
        <v>-69.175200000000061</v>
      </c>
      <c r="BP27" s="81">
        <f t="shared" si="140"/>
        <v>-20.684376902623526</v>
      </c>
      <c r="BQ27" s="93">
        <f>-BQ25*BQ32/400</f>
        <v>-75.134400000000028</v>
      </c>
      <c r="BR27" s="81">
        <f t="shared" si="141"/>
        <v>28.938724657379055</v>
      </c>
      <c r="BS27" s="93">
        <f>-BS25*BS32/400</f>
        <v>-59.481299999999955</v>
      </c>
      <c r="BT27" s="81">
        <f t="shared" si="142"/>
        <v>0.62202268175162168</v>
      </c>
      <c r="BU27" s="93">
        <f>-BU25*BU32/400</f>
        <v>-73.57600000000005</v>
      </c>
      <c r="BV27" s="81">
        <f t="shared" si="143"/>
        <v>0.21138423988860122</v>
      </c>
      <c r="BW27" s="93">
        <f>-BW25*BW32/400</f>
        <v>-72.548999999999921</v>
      </c>
      <c r="BX27" s="81">
        <f t="shared" si="144"/>
        <v>4.8771814176176598</v>
      </c>
      <c r="BY27" s="93">
        <f>-BY25*BY32/400</f>
        <v>-51.953200000000095</v>
      </c>
      <c r="BZ27" s="81">
        <f t="shared" si="145"/>
        <v>-30.852978129857856</v>
      </c>
      <c r="CA27" s="93">
        <f>-CA25*CA32/400</f>
        <v>-42.787599999999941</v>
      </c>
      <c r="CB27" s="81">
        <f t="shared" si="146"/>
        <v>-28.065459228362577</v>
      </c>
      <c r="CC27" s="93">
        <f>-CC25*CC32/400</f>
        <v>-51.02859999999999</v>
      </c>
      <c r="CD27" s="81">
        <f t="shared" si="147"/>
        <v>-30.645047298032026</v>
      </c>
      <c r="CE27" s="93">
        <f>-CE25*CE32/400</f>
        <v>-58.550399999999961</v>
      </c>
      <c r="CF27" s="81">
        <f t="shared" si="148"/>
        <v>-19.29537278253315</v>
      </c>
      <c r="CG27" s="93">
        <f>-CG25*CG32/400</f>
        <v>-56.562000000000005</v>
      </c>
      <c r="CH27" s="81">
        <f t="shared" si="149"/>
        <v>8.871060877866821</v>
      </c>
      <c r="CI27" s="93">
        <f>-CI25*CI32/400</f>
        <v>-48.76800000000005</v>
      </c>
      <c r="CJ27" s="81">
        <f t="shared" si="150"/>
        <v>13.97694659200357</v>
      </c>
      <c r="CK27" s="93">
        <f>-CK25*CK32/400</f>
        <v>-48.710400000000043</v>
      </c>
      <c r="CL27" s="81">
        <f t="shared" si="151"/>
        <v>-4.542942585138432</v>
      </c>
      <c r="CM27" s="93">
        <f>-CM25*CM32/400</f>
        <v>-49.363299999999938</v>
      </c>
      <c r="CN27" s="81">
        <f t="shared" si="152"/>
        <v>-15.690926108105208</v>
      </c>
      <c r="CO27" s="93">
        <f>-CO25*CO32/400</f>
        <v>-74.620600000000053</v>
      </c>
      <c r="CP27" s="81">
        <f t="shared" si="153"/>
        <v>31.927088858244133</v>
      </c>
      <c r="CQ27" s="93">
        <f>-CQ25*CQ32/400</f>
        <v>-22.580799999999957</v>
      </c>
      <c r="CR27" s="81" t="str">
        <f t="shared" si="154"/>
        <v>NM</v>
      </c>
      <c r="CS27" s="93">
        <f>-CS25*CS32/400</f>
        <v>-53.147999999999982</v>
      </c>
      <c r="CT27" s="81">
        <f t="shared" si="155"/>
        <v>9.1101694915252995</v>
      </c>
      <c r="CU27" s="93">
        <f>-CU25*CU32/400</f>
        <v>-47.66249999999998</v>
      </c>
      <c r="CV27" s="81">
        <f t="shared" si="156"/>
        <v>-3.4454746745050668</v>
      </c>
      <c r="CW27" s="93">
        <f>-CW25*CW32/400</f>
        <v>-66.280199999999951</v>
      </c>
      <c r="CX27" s="81">
        <f t="shared" si="157"/>
        <v>-11.177074427169032</v>
      </c>
      <c r="CY27" s="93">
        <f>-CY25*CY32/400</f>
        <v>-62.320300000000032</v>
      </c>
      <c r="CZ27" s="81" t="str">
        <f t="shared" si="158"/>
        <v>NM</v>
      </c>
      <c r="DA27" s="93">
        <f>-DA25*DA32/400</f>
        <v>-71.77429999999994</v>
      </c>
      <c r="DB27" s="81">
        <f t="shared" si="159"/>
        <v>35.046097689470848</v>
      </c>
      <c r="DC27" s="93">
        <f>-DC25*DC32/400</f>
        <v>-66.885000000000005</v>
      </c>
      <c r="DD27" s="81">
        <f t="shared" si="160"/>
        <v>40.330448465775049</v>
      </c>
      <c r="DE27" s="93">
        <f>-DE25*DE32/400</f>
        <v>-48.071599999999954</v>
      </c>
      <c r="DF27" s="81">
        <f t="shared" si="161"/>
        <v>-27.472156088847065</v>
      </c>
      <c r="DG27" s="93">
        <f>-DG25*DG32/400</f>
        <v>-56.767200000000024</v>
      </c>
      <c r="DH27" s="81">
        <f t="shared" si="162"/>
        <v>-8.9105796987498547</v>
      </c>
      <c r="DI27" s="93">
        <f>-DI25*DI32/400</f>
        <v>-45.063999999999972</v>
      </c>
      <c r="DJ27" s="7">
        <f t="shared" si="163"/>
        <v>-37.21429536756191</v>
      </c>
      <c r="DK27" s="93">
        <f>-DK25*DK32/400</f>
        <v>-47.340000000000074</v>
      </c>
      <c r="DL27" s="81">
        <f t="shared" si="164"/>
        <v>-29.221798609553606</v>
      </c>
      <c r="DM27" s="93">
        <f>-DM25*DM32/400</f>
        <v>-46.508799999999965</v>
      </c>
      <c r="DN27" s="81">
        <f t="shared" si="165"/>
        <v>-3.2509839489428094</v>
      </c>
      <c r="DO27" s="93">
        <f>-DO25*DO32/400</f>
        <v>-45.34599999999994</v>
      </c>
      <c r="DP27" s="81">
        <f t="shared" si="165"/>
        <v>-20.119364703561349</v>
      </c>
      <c r="DQ27" s="93">
        <f>-DQ25*DQ32/400</f>
        <v>-40.392000000000095</v>
      </c>
      <c r="DR27" s="81">
        <f t="shared" si="166"/>
        <v>-10.367477365524325</v>
      </c>
      <c r="DS27" s="93">
        <f>-DS25*DS32/400</f>
        <v>-44.832500000000039</v>
      </c>
      <c r="DT27" s="81">
        <f t="shared" si="167"/>
        <v>-5.2967891846219528</v>
      </c>
      <c r="DU27" s="93">
        <f>-DU25*DU32/400</f>
        <v>-81.595799999999912</v>
      </c>
      <c r="DV27" s="81">
        <f t="shared" si="168"/>
        <v>75.441636851520528</v>
      </c>
      <c r="DW27" s="93">
        <f>-DW25*DW32/400</f>
        <v>-48.812300000000072</v>
      </c>
      <c r="DX27" s="81">
        <f t="shared" si="169"/>
        <v>7.6441141445775518</v>
      </c>
      <c r="DY27" s="93">
        <f>-DY25*DY32/400</f>
        <v>-54.786299999999983</v>
      </c>
      <c r="DZ27" s="81">
        <f t="shared" si="170"/>
        <v>35.636512180629467</v>
      </c>
      <c r="EA27" s="93">
        <f>-EA25*EA32/400</f>
        <v>-49.606000000000002</v>
      </c>
      <c r="EB27" s="81">
        <f t="shared" si="171"/>
        <v>10.647409803156105</v>
      </c>
      <c r="EC27" s="93">
        <f>-EC25*EC32/400</f>
        <v>-87.601200000000063</v>
      </c>
      <c r="ED27" s="81">
        <f t="shared" si="172"/>
        <v>7.3599376438495012</v>
      </c>
      <c r="EE27" s="93">
        <f>-EE25*EE32/400</f>
        <v>-56.268499999999996</v>
      </c>
      <c r="EF27" s="81">
        <f t="shared" si="173"/>
        <v>15.275248246855643</v>
      </c>
      <c r="EG27" s="93">
        <f>-EG25*EG32/400</f>
        <v>-61.387999999999984</v>
      </c>
      <c r="EH27" s="81">
        <f t="shared" si="174"/>
        <v>12.049910287790922</v>
      </c>
      <c r="EI27" s="93">
        <f>-EI25*EI32/400</f>
        <v>-57.841099999999926</v>
      </c>
      <c r="EJ27" s="81">
        <f t="shared" si="175"/>
        <v>16.601016006128134</v>
      </c>
      <c r="EK27" s="93">
        <f t="shared" ref="EK27:EQ27" si="191">-EK32*EK25/400</f>
        <v>-60.48</v>
      </c>
      <c r="EL27" s="81">
        <f t="shared" si="177"/>
        <v>-30.959849865070399</v>
      </c>
      <c r="EM27" s="93">
        <f t="shared" si="191"/>
        <v>-62.899588499999993</v>
      </c>
      <c r="EN27" s="81">
        <f t="shared" si="179"/>
        <v>11.784725912366589</v>
      </c>
      <c r="EO27" s="93">
        <f t="shared" si="191"/>
        <v>-63.217981379949997</v>
      </c>
      <c r="EP27" s="81">
        <f t="shared" si="181"/>
        <v>2.9810083077311811</v>
      </c>
      <c r="EQ27" s="93">
        <f t="shared" si="191"/>
        <v>-63.029246062757558</v>
      </c>
      <c r="ER27" s="81">
        <f t="shared" si="183"/>
        <v>8.9696531752640141</v>
      </c>
      <c r="ES27" s="78"/>
      <c r="ET27" s="465"/>
      <c r="EU27" s="78"/>
      <c r="EV27" s="78"/>
      <c r="EW27" s="3"/>
      <c r="EX27" s="78"/>
      <c r="EY27" s="3"/>
      <c r="EZ27" s="78"/>
      <c r="FA27" s="3"/>
      <c r="FB27" s="78"/>
      <c r="FC27" s="3"/>
      <c r="FD27" s="93"/>
      <c r="FE27" s="79"/>
      <c r="FF27" s="93"/>
      <c r="FG27" s="79"/>
      <c r="FH27" s="95" t="s">
        <v>199</v>
      </c>
      <c r="FI27" s="79" t="str">
        <f t="shared" si="184"/>
        <v>NA</v>
      </c>
      <c r="FJ27" s="75">
        <f>+AK27+AM27+AO27+AQ27</f>
        <v>-388.8112000000001</v>
      </c>
      <c r="FK27" s="79" t="str">
        <f t="shared" si="184"/>
        <v>NA</v>
      </c>
      <c r="FL27" s="75">
        <f>AS27+AU27+AW27+AY27</f>
        <v>-303.65120000000002</v>
      </c>
      <c r="FM27" s="79">
        <f t="shared" si="184"/>
        <v>-21.902661240211209</v>
      </c>
      <c r="FN27" s="75">
        <f>BA27+BC27+BE27+BG27</f>
        <v>-346.83440000000007</v>
      </c>
      <c r="FO27" s="79">
        <f t="shared" si="184"/>
        <v>14.22131709013501</v>
      </c>
      <c r="FP27" s="75">
        <f>BI27+BK27+BM27+BO27</f>
        <v>-259.98100000000005</v>
      </c>
      <c r="FQ27" s="79">
        <f t="shared" si="184"/>
        <v>-25.041749030661322</v>
      </c>
      <c r="FR27" s="93">
        <f>BQ27+BS27+BU27+BW27</f>
        <v>-280.74069999999995</v>
      </c>
      <c r="FS27" s="79">
        <f t="shared" si="184"/>
        <v>7.985083525334491</v>
      </c>
      <c r="FT27" s="93">
        <f>BY27+CA27+CC27+CE27</f>
        <v>-204.31979999999999</v>
      </c>
      <c r="FU27" s="79">
        <f t="shared" si="184"/>
        <v>-27.221168857953259</v>
      </c>
      <c r="FV27" s="93">
        <f>CG27+CI27+CK27+CM27</f>
        <v>-203.40370000000001</v>
      </c>
      <c r="FW27" s="79">
        <f t="shared" si="184"/>
        <v>-0.44836574820451558</v>
      </c>
      <c r="FX27" s="93">
        <f>CO27+CQ27+CS27+CU27</f>
        <v>-198.01189999999997</v>
      </c>
      <c r="FY27" s="79">
        <f t="shared" si="184"/>
        <v>-2.6507875717108664</v>
      </c>
      <c r="FZ27" s="93">
        <f>CW27+CY27+DA27+DC27</f>
        <v>-267.25979999999993</v>
      </c>
      <c r="GA27" s="79">
        <f t="shared" si="184"/>
        <v>34.971585041101051</v>
      </c>
      <c r="GB27" s="93">
        <f>DE27+DG27+DI27+DK27</f>
        <v>-197.24280000000005</v>
      </c>
      <c r="GC27" s="79">
        <f t="shared" si="184"/>
        <v>-26.198103867472732</v>
      </c>
      <c r="GD27" s="93">
        <f>DM27+DO27+DQ27+DS27</f>
        <v>-177.07930000000005</v>
      </c>
      <c r="GE27" s="79">
        <f t="shared" si="184"/>
        <v>-10.222679864613561</v>
      </c>
      <c r="GF27" s="93">
        <f>DU27+DW27+DY27+EA27</f>
        <v>-234.80039999999997</v>
      </c>
      <c r="GG27" s="79">
        <f t="shared" si="184"/>
        <v>32.596187131979804</v>
      </c>
      <c r="GH27" s="93">
        <f>EC27+EE27+EG27+EI27</f>
        <v>-263.09879999999998</v>
      </c>
      <c r="GI27" s="79">
        <f t="shared" si="184"/>
        <v>12.0521089401892</v>
      </c>
      <c r="GJ27" s="93">
        <f>EK27+EM27+EO27+EQ27</f>
        <v>-249.62681594270754</v>
      </c>
      <c r="GK27" s="79">
        <f t="shared" si="184"/>
        <v>-5.1205038021049258</v>
      </c>
      <c r="GL27" s="93">
        <f>-GL32*GL25/100</f>
        <v>-259.64307187769936</v>
      </c>
      <c r="GM27" s="79">
        <f t="shared" si="184"/>
        <v>4.0124919661238101</v>
      </c>
      <c r="GN27" s="93">
        <f>-GN32*GN25/100</f>
        <v>-270.64556885830041</v>
      </c>
      <c r="GO27" s="79">
        <f t="shared" si="184"/>
        <v>4.2375469143207445</v>
      </c>
      <c r="GP27" s="93">
        <f>-GP32*GP25/100</f>
        <v>-282.45662154844899</v>
      </c>
      <c r="GQ27" s="79">
        <f t="shared" si="184"/>
        <v>4.3640295830346343</v>
      </c>
      <c r="GR27" s="93">
        <f>-GR32*GR25/100</f>
        <v>-295.08292132235835</v>
      </c>
      <c r="GS27" s="79">
        <f t="shared" si="185"/>
        <v>4.4701730498265535</v>
      </c>
      <c r="GT27" s="79">
        <f t="shared" si="186"/>
        <v>2.3210625501165261</v>
      </c>
    </row>
    <row r="28" spans="1:286" ht="12.75" customHeight="1" x14ac:dyDescent="0.2">
      <c r="A28" s="1"/>
      <c r="B28" s="2" t="s">
        <v>405</v>
      </c>
      <c r="C28" s="78"/>
      <c r="D28" s="3"/>
      <c r="E28" s="82"/>
      <c r="F28" s="79"/>
      <c r="G28" s="93"/>
      <c r="H28" s="79"/>
      <c r="I28" s="93"/>
      <c r="J28" s="79"/>
      <c r="K28" s="93"/>
      <c r="L28" s="79"/>
      <c r="M28" s="93"/>
      <c r="N28" s="79"/>
      <c r="O28" s="93"/>
      <c r="P28" s="79"/>
      <c r="Q28" s="93"/>
      <c r="R28" s="79"/>
      <c r="S28" s="93"/>
      <c r="T28" s="79"/>
      <c r="U28" s="93"/>
      <c r="V28" s="79"/>
      <c r="W28" s="93"/>
      <c r="X28" s="79"/>
      <c r="Y28" s="93"/>
      <c r="Z28" s="79"/>
      <c r="AA28" s="94"/>
      <c r="AB28" s="79"/>
      <c r="AC28" s="93" t="s">
        <v>199</v>
      </c>
      <c r="AD28" s="79" t="str">
        <f t="shared" si="129"/>
        <v>NA</v>
      </c>
      <c r="AE28" s="93">
        <f>+AE29-AE25-AE26-AE27</f>
        <v>25.958799999999925</v>
      </c>
      <c r="AF28" s="79" t="str">
        <f t="shared" si="130"/>
        <v>NA</v>
      </c>
      <c r="AG28" s="93">
        <f>+AG29-AG25-AG26-AG27</f>
        <v>30.064000000000448</v>
      </c>
      <c r="AH28" s="79" t="str">
        <f t="shared" si="131"/>
        <v>NA</v>
      </c>
      <c r="AI28" s="93">
        <f>+AI29-AI25-AI26-AI27</f>
        <v>41.847199999999518</v>
      </c>
      <c r="AJ28" s="79" t="str">
        <f t="shared" si="132"/>
        <v>NA</v>
      </c>
      <c r="AK28" s="93">
        <f>+AK29-AK25-AK26-AK27</f>
        <v>-60.121199999999334</v>
      </c>
      <c r="AL28" s="79" t="str">
        <f t="shared" si="133"/>
        <v>NA</v>
      </c>
      <c r="AM28" s="93">
        <f>+AM29-AM25-AM26-AM27</f>
        <v>41.914799999999389</v>
      </c>
      <c r="AN28" s="79">
        <f t="shared" si="134"/>
        <v>61.466631739523827</v>
      </c>
      <c r="AO28" s="93">
        <f>+AO29-AO25-AO26-AO27</f>
        <v>-18.502399999999881</v>
      </c>
      <c r="AP28" s="79" t="str">
        <f t="shared" si="134"/>
        <v>NM</v>
      </c>
      <c r="AQ28" s="93">
        <f>+AQ29-AQ25-AQ26-AQ27</f>
        <v>50.700000000000372</v>
      </c>
      <c r="AR28" s="79">
        <f t="shared" si="134"/>
        <v>21.155059358812434</v>
      </c>
      <c r="AS28" s="93">
        <f>+AS29-AS25-AS26-AS27</f>
        <v>-42.2402000000003</v>
      </c>
      <c r="AT28" s="81">
        <f t="shared" si="134"/>
        <v>-29.741588657577079</v>
      </c>
      <c r="AU28" s="93">
        <f>+AU29-AU25-AU26-AU27</f>
        <v>29.082800000000049</v>
      </c>
      <c r="AV28" s="81">
        <f t="shared" si="134"/>
        <v>-30.614484621182804</v>
      </c>
      <c r="AW28" s="93">
        <f>+AW29-AW25-AW26-AW27</f>
        <v>-28.705499999999716</v>
      </c>
      <c r="AX28" s="81">
        <f t="shared" si="134"/>
        <v>55.144737979937197</v>
      </c>
      <c r="AY28" s="93">
        <f>+AY29-AY25-AY26-AY27</f>
        <v>54.614099999999986</v>
      </c>
      <c r="AZ28" s="81">
        <f t="shared" si="134"/>
        <v>7.7201183431944376</v>
      </c>
      <c r="BA28" s="93">
        <f>+BA29-BA25-BA26-BA27</f>
        <v>-147.53459999999995</v>
      </c>
      <c r="BB28" s="81" t="str">
        <f t="shared" si="134"/>
        <v>NM</v>
      </c>
      <c r="BC28" s="93">
        <f>+BC29-BC25-BC26-BC27</f>
        <v>68.509199999999666</v>
      </c>
      <c r="BD28" s="81" t="str">
        <f t="shared" si="134"/>
        <v>NM</v>
      </c>
      <c r="BE28" s="93">
        <f>+BE29-BE25-BE26-BE27</f>
        <v>-16.725300000000047</v>
      </c>
      <c r="BF28" s="81">
        <f t="shared" si="135"/>
        <v>-41.73485917332841</v>
      </c>
      <c r="BG28" s="93">
        <f>+BG29-BG25-BG26-BG27</f>
        <v>20.095100000000372</v>
      </c>
      <c r="BH28" s="81" t="str">
        <f t="shared" si="136"/>
        <v>NM</v>
      </c>
      <c r="BI28" s="93">
        <f>+BI29-BI25-BI26-BI27</f>
        <v>-106.38860000000015</v>
      </c>
      <c r="BJ28" s="81">
        <f t="shared" si="137"/>
        <v>-27.889051110722374</v>
      </c>
      <c r="BK28" s="93">
        <f>+BK29-BK25-BK26-BK27</f>
        <v>16.69360000000021</v>
      </c>
      <c r="BL28" s="81" t="str">
        <f t="shared" si="138"/>
        <v>NM</v>
      </c>
      <c r="BM28" s="93">
        <f>+BM29-BM25-BM26-BM27</f>
        <v>-30.479200000000262</v>
      </c>
      <c r="BN28" s="81">
        <f t="shared" si="139"/>
        <v>82.234100434671873</v>
      </c>
      <c r="BO28" s="93">
        <f>+BO29-BO25-BO26-BO27</f>
        <v>42.565200000000331</v>
      </c>
      <c r="BP28" s="81" t="str">
        <f t="shared" si="140"/>
        <v>NM</v>
      </c>
      <c r="BQ28" s="93">
        <f>+BQ29-BQ25-BQ26-BQ27</f>
        <v>-110.77559999999997</v>
      </c>
      <c r="BR28" s="81">
        <f t="shared" si="141"/>
        <v>4.1235621109778853</v>
      </c>
      <c r="BS28" s="93">
        <f>+BS29-BS25-BS26-BS27</f>
        <v>-23.158700000000231</v>
      </c>
      <c r="BT28" s="81" t="str">
        <f t="shared" si="142"/>
        <v>NM</v>
      </c>
      <c r="BU28" s="93">
        <f>+BU29-BU25-BU26-BU27</f>
        <v>-7.0940000000000367</v>
      </c>
      <c r="BV28" s="81" t="str">
        <f t="shared" si="143"/>
        <v>NM</v>
      </c>
      <c r="BW28" s="93">
        <f>+BW29-BW25-BW26-BW27</f>
        <v>14.339000000000112</v>
      </c>
      <c r="BX28" s="81" t="str">
        <f t="shared" si="144"/>
        <v>NM</v>
      </c>
      <c r="BY28" s="93">
        <f>+BY29-BY25-BY26-BY27</f>
        <v>-94.746800000000178</v>
      </c>
      <c r="BZ28" s="81">
        <f t="shared" si="145"/>
        <v>-14.469612441728863</v>
      </c>
      <c r="CA28" s="93">
        <f>+CA29-CA25-CA26-CA27</f>
        <v>-19.342399999999692</v>
      </c>
      <c r="CB28" s="81">
        <f t="shared" si="146"/>
        <v>-16.478904256285976</v>
      </c>
      <c r="CC28" s="93">
        <f>+CC29-CC25-CC26-CC27</f>
        <v>-24.431400000000103</v>
      </c>
      <c r="CD28" s="81" t="str">
        <f t="shared" si="147"/>
        <v>NM</v>
      </c>
      <c r="CE28" s="93">
        <f>+CE29-CE25-CE26-CE27</f>
        <v>16.990400000000051</v>
      </c>
      <c r="CF28" s="81">
        <f t="shared" si="148"/>
        <v>18.490829207057089</v>
      </c>
      <c r="CG28" s="93">
        <f>+CG29-CG25-CG26-CG27</f>
        <v>-55.728000000000158</v>
      </c>
      <c r="CH28" s="81">
        <f t="shared" si="149"/>
        <v>-41.182182406160365</v>
      </c>
      <c r="CI28" s="93">
        <f>+CI29-CI25-CI26-CI27</f>
        <v>-12.622000000000035</v>
      </c>
      <c r="CJ28" s="81">
        <f t="shared" si="150"/>
        <v>-34.744395731655651</v>
      </c>
      <c r="CK28" s="93">
        <f>+CK29-CK25-CK26-CK27</f>
        <v>2.2504000000000488</v>
      </c>
      <c r="CL28" s="81" t="str">
        <f t="shared" si="151"/>
        <v>NM</v>
      </c>
      <c r="CM28" s="93">
        <f>+CM29-CM25-CM26-CM27</f>
        <v>10.703300000000127</v>
      </c>
      <c r="CN28" s="81">
        <f t="shared" si="152"/>
        <v>-37.003837461153978</v>
      </c>
      <c r="CO28" s="93">
        <f>+CO29-CO25-CO26-CO27</f>
        <v>-12.419399999999854</v>
      </c>
      <c r="CP28" s="81" t="str">
        <f t="shared" si="153"/>
        <v>NM</v>
      </c>
      <c r="CQ28" s="93">
        <f>+CQ29-CQ25-CQ26-CQ27</f>
        <v>-30.919200000000213</v>
      </c>
      <c r="CR28" s="81" t="str">
        <f t="shared" si="154"/>
        <v>NM</v>
      </c>
      <c r="CS28" s="93">
        <f>+CS29-CS25-CS26-CS27</f>
        <v>-16.302000000000021</v>
      </c>
      <c r="CT28" s="81" t="str">
        <f t="shared" si="155"/>
        <v>NM</v>
      </c>
      <c r="CU28" s="93">
        <f>+CU29-CU25-CU26-CU27</f>
        <v>1.2424999999997937</v>
      </c>
      <c r="CV28" s="81" t="str">
        <f t="shared" si="156"/>
        <v>NM</v>
      </c>
      <c r="CW28" s="93">
        <f>+CW29-CW25-CW26-CW27</f>
        <v>0.48020000000032326</v>
      </c>
      <c r="CX28" s="81" t="str">
        <f t="shared" si="157"/>
        <v>NM</v>
      </c>
      <c r="CY28" s="93">
        <f>+CY29-CY25-CY26-CY27</f>
        <v>-1.4797000000002498</v>
      </c>
      <c r="CZ28" s="81" t="str">
        <f t="shared" si="158"/>
        <v>NM</v>
      </c>
      <c r="DA28" s="93">
        <f>+DA29-DA25-DA26-DA27</f>
        <v>-15.10569999999997</v>
      </c>
      <c r="DB28" s="81">
        <f t="shared" si="159"/>
        <v>-7.3383633909952728</v>
      </c>
      <c r="DC28" s="93">
        <f>+DC29-DC25-DC26-DC27</f>
        <v>3.4049999999999159</v>
      </c>
      <c r="DD28" s="81" t="str">
        <f t="shared" si="160"/>
        <v>NM</v>
      </c>
      <c r="DE28" s="93">
        <f>+DE29-DE25-DE26-DE27</f>
        <v>-24.088400000000142</v>
      </c>
      <c r="DF28" s="81" t="str">
        <f t="shared" si="161"/>
        <v>NM</v>
      </c>
      <c r="DG28" s="93">
        <f>+DG29-DG25-DG26-DG27</f>
        <v>-1.8527999999997959</v>
      </c>
      <c r="DH28" s="81">
        <f t="shared" si="162"/>
        <v>25.214570521016633</v>
      </c>
      <c r="DI28" s="93">
        <f>+DI29-DI25-DI26-DI27</f>
        <v>-10.866000000000021</v>
      </c>
      <c r="DJ28" s="81">
        <f t="shared" si="163"/>
        <v>-28.066888657923549</v>
      </c>
      <c r="DK28" s="93">
        <f>+DK29-DK25-DK26-DK27</f>
        <v>44.379999999999896</v>
      </c>
      <c r="DL28" s="81" t="str">
        <f t="shared" si="164"/>
        <v>NM</v>
      </c>
      <c r="DM28" s="93">
        <f>+DM29-DM25-DM26-DM27</f>
        <v>-42.881199999999851</v>
      </c>
      <c r="DN28" s="81">
        <f t="shared" si="165"/>
        <v>78.01597449394562</v>
      </c>
      <c r="DO28" s="93">
        <f>+DO29-DO25-DO26-DO27</f>
        <v>-9.2340000000000728</v>
      </c>
      <c r="DP28" s="81" t="str">
        <f t="shared" si="165"/>
        <v>NM</v>
      </c>
      <c r="DQ28" s="93">
        <f>+DQ29-DQ25-DQ26-DQ27</f>
        <v>-9.8279999999999035</v>
      </c>
      <c r="DR28" s="81">
        <f t="shared" si="166"/>
        <v>-9.5527332965223195</v>
      </c>
      <c r="DS28" s="93">
        <f>+DS29-DS25-DS26-DS27</f>
        <v>-10.707499999999868</v>
      </c>
      <c r="DT28" s="81" t="str">
        <f t="shared" si="167"/>
        <v>NM</v>
      </c>
      <c r="DU28" s="93">
        <f>+DU29-DU25-DU26-DU27</f>
        <v>21.315799999999911</v>
      </c>
      <c r="DV28" s="81" t="str">
        <f t="shared" si="168"/>
        <v>NM</v>
      </c>
      <c r="DW28" s="93">
        <f>+DW29-DW25-DW26-DW27</f>
        <v>-24.957699999999925</v>
      </c>
      <c r="DX28" s="81" t="str">
        <f t="shared" si="169"/>
        <v>NM</v>
      </c>
      <c r="DY28" s="93">
        <f>+DY29-DY25-DY26-DY27</f>
        <v>-32.793700000000001</v>
      </c>
      <c r="DZ28" s="81" t="str">
        <f t="shared" si="170"/>
        <v>NM</v>
      </c>
      <c r="EA28" s="93">
        <f>+EA29-EA25-EA26-EA27</f>
        <v>26.015999999999828</v>
      </c>
      <c r="EB28" s="81" t="str">
        <f t="shared" si="171"/>
        <v>NM</v>
      </c>
      <c r="EC28" s="93">
        <f>+EC29-EC25-EC26-EC27</f>
        <v>-41.938800000000015</v>
      </c>
      <c r="ED28" s="81" t="str">
        <f t="shared" si="172"/>
        <v>NM</v>
      </c>
      <c r="EE28" s="93">
        <f>+EE29-EE25-EE26-EE27</f>
        <v>-7.3514999999998096</v>
      </c>
      <c r="EF28" s="81" t="str">
        <f t="shared" si="173"/>
        <v>NM</v>
      </c>
      <c r="EG28" s="93">
        <f>+EG29-EG25-EG26-EG27</f>
        <v>-5.6020000000001957</v>
      </c>
      <c r="EH28" s="81" t="str">
        <f t="shared" si="174"/>
        <v>NM</v>
      </c>
      <c r="EI28" s="93">
        <f>+EI29-EI25-EI26-EI27</f>
        <v>18.231099999999927</v>
      </c>
      <c r="EJ28" s="81">
        <f t="shared" si="175"/>
        <v>-29.923508610085914</v>
      </c>
      <c r="EK28" s="93">
        <f t="shared" ref="EK28:EQ28" si="192">+EK25*EK36/100</f>
        <v>-15.240959999999999</v>
      </c>
      <c r="EL28" s="81" t="str">
        <f t="shared" si="177"/>
        <v>NM</v>
      </c>
      <c r="EM28" s="93">
        <f t="shared" si="192"/>
        <v>-15.850696301999999</v>
      </c>
      <c r="EN28" s="81" t="str">
        <f t="shared" si="179"/>
        <v>NM</v>
      </c>
      <c r="EO28" s="93">
        <f t="shared" si="192"/>
        <v>-15.930931307747398</v>
      </c>
      <c r="EP28" s="81" t="str">
        <f t="shared" si="181"/>
        <v>NM</v>
      </c>
      <c r="EQ28" s="93">
        <f t="shared" si="192"/>
        <v>-19.160890803078299</v>
      </c>
      <c r="ER28" s="81" t="str">
        <f t="shared" si="183"/>
        <v>NM</v>
      </c>
      <c r="ES28" s="78"/>
      <c r="ET28" s="465"/>
      <c r="EU28" s="78"/>
      <c r="EV28" s="78"/>
      <c r="EW28" s="3"/>
      <c r="EX28" s="78"/>
      <c r="EY28" s="3"/>
      <c r="EZ28" s="78"/>
      <c r="FA28" s="3"/>
      <c r="FB28" s="78"/>
      <c r="FC28" s="3"/>
      <c r="FD28" s="75"/>
      <c r="FE28" s="79"/>
      <c r="FF28" s="75"/>
      <c r="FG28" s="79"/>
      <c r="FH28" s="95" t="s">
        <v>199</v>
      </c>
      <c r="FI28" s="79" t="str">
        <f t="shared" si="184"/>
        <v>NA</v>
      </c>
      <c r="FJ28" s="75">
        <f>FJ29-FJ25-FJ26-FJ27</f>
        <v>13.991200000000561</v>
      </c>
      <c r="FK28" s="79" t="str">
        <f t="shared" si="184"/>
        <v>NA</v>
      </c>
      <c r="FL28" s="75">
        <f>FL29-FL25-FL26-FL27</f>
        <v>12.751199999999926</v>
      </c>
      <c r="FM28" s="79">
        <f t="shared" si="184"/>
        <v>-8.8627137057620828</v>
      </c>
      <c r="FN28" s="75">
        <f>FN29-FN25-FN26-FN27</f>
        <v>-75.655599999999936</v>
      </c>
      <c r="FO28" s="79" t="str">
        <f t="shared" si="184"/>
        <v>NM</v>
      </c>
      <c r="FP28" s="75">
        <f>FP29-FP25-FP26-FP27</f>
        <v>-77.608999999999867</v>
      </c>
      <c r="FQ28" s="79">
        <f t="shared" si="184"/>
        <v>2.5819635294676679</v>
      </c>
      <c r="FR28" s="96">
        <f>FR29-FR25-FR26-FR27</f>
        <v>93.310699999999883</v>
      </c>
      <c r="FS28" s="79" t="str">
        <f t="shared" si="184"/>
        <v>NM</v>
      </c>
      <c r="FT28" s="96">
        <f>+CE28+CC28+CA28+BY28</f>
        <v>-121.53019999999992</v>
      </c>
      <c r="FU28" s="79" t="str">
        <f t="shared" si="184"/>
        <v>NM</v>
      </c>
      <c r="FV28" s="96">
        <f>+CM28+CK28+CI28+CG28</f>
        <v>-55.396300000000018</v>
      </c>
      <c r="FW28" s="79" t="str">
        <f t="shared" si="184"/>
        <v>NM</v>
      </c>
      <c r="FX28" s="93">
        <f>CO28+CQ28+CS28+CU28</f>
        <v>-58.398100000000298</v>
      </c>
      <c r="FY28" s="79">
        <f t="shared" si="184"/>
        <v>5.4187734559894452</v>
      </c>
      <c r="FZ28" s="93">
        <f>CW28+CY28+DA28+DC28</f>
        <v>-12.700199999999981</v>
      </c>
      <c r="GA28" s="79" t="str">
        <f t="shared" si="184"/>
        <v>NM</v>
      </c>
      <c r="GB28" s="93">
        <f>DE28+DG28+DI28+DK28</f>
        <v>7.5727999999999369</v>
      </c>
      <c r="GC28" s="79" t="str">
        <f t="shared" si="184"/>
        <v>NM</v>
      </c>
      <c r="GD28" s="93">
        <f>DM28+DO28+DQ28+DS28</f>
        <v>-72.650699999999688</v>
      </c>
      <c r="GE28" s="79" t="str">
        <f t="shared" si="184"/>
        <v>NM</v>
      </c>
      <c r="GF28" s="93">
        <f>DU28+DW28+DY28+EA28</f>
        <v>-10.419600000000187</v>
      </c>
      <c r="GG28" s="79" t="str">
        <f t="shared" si="184"/>
        <v>NM</v>
      </c>
      <c r="GH28" s="93">
        <f>EC28+EE28+EG28+EI28</f>
        <v>-36.661200000000093</v>
      </c>
      <c r="GI28" s="79" t="str">
        <f t="shared" si="184"/>
        <v>NM</v>
      </c>
      <c r="GJ28" s="93">
        <f>EK28+EM28+EO28+EQ28</f>
        <v>-66.183478412825693</v>
      </c>
      <c r="GK28" s="79">
        <f t="shared" si="184"/>
        <v>80.527310652203226</v>
      </c>
      <c r="GL28" s="96">
        <f>+GL25*GL36/100</f>
        <v>-68.839085167041588</v>
      </c>
      <c r="GM28" s="79">
        <f t="shared" si="184"/>
        <v>4.0124919661237879</v>
      </c>
      <c r="GN28" s="96">
        <f>+GN25*GN36/100</f>
        <v>-71.756173696384195</v>
      </c>
      <c r="GO28" s="79">
        <f t="shared" si="184"/>
        <v>4.2375469143207445</v>
      </c>
      <c r="GP28" s="96">
        <f>+GP25*GP36/100</f>
        <v>-74.887634344148125</v>
      </c>
      <c r="GQ28" s="79">
        <f t="shared" si="184"/>
        <v>4.3640295830346343</v>
      </c>
      <c r="GR28" s="96">
        <f>+GR25*GR36/100</f>
        <v>-78.235241192252886</v>
      </c>
      <c r="GS28" s="79">
        <f t="shared" si="185"/>
        <v>4.4701730498265535</v>
      </c>
      <c r="GT28" s="79">
        <f t="shared" si="186"/>
        <v>16.369495069566597</v>
      </c>
    </row>
    <row r="29" spans="1:286" ht="12.75" customHeight="1" x14ac:dyDescent="0.2">
      <c r="A29" s="1"/>
      <c r="B29" s="92" t="s">
        <v>468</v>
      </c>
      <c r="C29" s="78"/>
      <c r="D29" s="3"/>
      <c r="E29" s="82"/>
      <c r="F29" s="79"/>
      <c r="G29" s="78"/>
      <c r="H29" s="79"/>
      <c r="I29" s="78"/>
      <c r="J29" s="79"/>
      <c r="K29" s="78"/>
      <c r="L29" s="79"/>
      <c r="M29" s="78"/>
      <c r="N29" s="79"/>
      <c r="O29" s="78"/>
      <c r="P29" s="79"/>
      <c r="Q29" s="78"/>
      <c r="R29" s="79"/>
      <c r="S29" s="78"/>
      <c r="T29" s="79"/>
      <c r="U29" s="78"/>
      <c r="V29" s="79"/>
      <c r="W29" s="78"/>
      <c r="X29" s="79"/>
      <c r="Y29" s="78"/>
      <c r="Z29" s="79"/>
      <c r="AA29" s="80"/>
      <c r="AB29" s="79"/>
      <c r="AC29" s="78">
        <f>+AC39*4</f>
        <v>2669.6</v>
      </c>
      <c r="AD29" s="79" t="str">
        <f t="shared" si="129"/>
        <v>NA</v>
      </c>
      <c r="AE29" s="78">
        <f>+AE39*4</f>
        <v>2651.6</v>
      </c>
      <c r="AF29" s="79" t="str">
        <f t="shared" si="130"/>
        <v>NA</v>
      </c>
      <c r="AG29" s="78">
        <f>+AG39*4</f>
        <v>2632.8</v>
      </c>
      <c r="AH29" s="79" t="str">
        <f t="shared" si="131"/>
        <v>NA</v>
      </c>
      <c r="AI29" s="78">
        <f>+AI39*4</f>
        <v>2624.7999999999997</v>
      </c>
      <c r="AJ29" s="79" t="str">
        <f t="shared" si="132"/>
        <v>NA</v>
      </c>
      <c r="AK29" s="78">
        <f>+AK39*4</f>
        <v>2541.6000000000004</v>
      </c>
      <c r="AL29" s="79">
        <f t="shared" si="133"/>
        <v>-4.7947258016182044</v>
      </c>
      <c r="AM29" s="78">
        <f>+AM39*4</f>
        <v>2547.1999999999998</v>
      </c>
      <c r="AN29" s="79">
        <f t="shared" si="134"/>
        <v>-3.9372454367174625</v>
      </c>
      <c r="AO29" s="78">
        <f>+AO39*4</f>
        <v>2504</v>
      </c>
      <c r="AP29" s="79">
        <f t="shared" si="134"/>
        <v>-4.8921300516560411</v>
      </c>
      <c r="AQ29" s="78">
        <f>+AQ39*4</f>
        <v>2518.8000000000002</v>
      </c>
      <c r="AR29" s="79">
        <f t="shared" si="134"/>
        <v>-4.0384029259372012</v>
      </c>
      <c r="AS29" s="78">
        <f>+AS39*4</f>
        <v>2479.1999999999998</v>
      </c>
      <c r="AT29" s="81">
        <f t="shared" si="134"/>
        <v>-2.4551463644948313</v>
      </c>
      <c r="AU29" s="78">
        <f>+AU39*4</f>
        <v>2491.6</v>
      </c>
      <c r="AV29" s="81">
        <f t="shared" si="134"/>
        <v>-2.1827889447236126</v>
      </c>
      <c r="AW29" s="78">
        <f>+AW39*4</f>
        <v>2462.8000000000002</v>
      </c>
      <c r="AX29" s="81">
        <f t="shared" si="134"/>
        <v>-1.6453674121405637</v>
      </c>
      <c r="AY29" s="78">
        <f>+AY39*4</f>
        <v>2500.4</v>
      </c>
      <c r="AZ29" s="81">
        <f t="shared" si="134"/>
        <v>-0.73050659043989441</v>
      </c>
      <c r="BA29" s="78">
        <f>+BA39*4</f>
        <v>2360.4</v>
      </c>
      <c r="BB29" s="81">
        <f t="shared" si="134"/>
        <v>-4.7918683446272929</v>
      </c>
      <c r="BC29" s="78">
        <f>+BC39*4</f>
        <v>2437.1999999999998</v>
      </c>
      <c r="BD29" s="81">
        <f t="shared" si="134"/>
        <v>-2.183336008990211</v>
      </c>
      <c r="BE29" s="78">
        <f>+BE39*4</f>
        <v>2373.1999999999998</v>
      </c>
      <c r="BF29" s="81">
        <f t="shared" si="135"/>
        <v>-3.638135455579028</v>
      </c>
      <c r="BG29" s="78">
        <f>+BG39*4</f>
        <v>2354.4</v>
      </c>
      <c r="BH29" s="81">
        <f t="shared" si="136"/>
        <v>-5.8390657494800884</v>
      </c>
      <c r="BI29" s="78">
        <f>+BI39*4</f>
        <v>2273.6</v>
      </c>
      <c r="BJ29" s="81">
        <f t="shared" si="137"/>
        <v>-3.6773428232503069</v>
      </c>
      <c r="BK29" s="78">
        <f>+BK39*4</f>
        <v>2294.4</v>
      </c>
      <c r="BL29" s="81">
        <f t="shared" si="138"/>
        <v>-5.8591826686361319</v>
      </c>
      <c r="BM29" s="78">
        <f>+BM39*4</f>
        <v>2249.6</v>
      </c>
      <c r="BN29" s="81">
        <f t="shared" si="139"/>
        <v>-5.2081577616720054</v>
      </c>
      <c r="BO29" s="78">
        <f>+BO39*4</f>
        <v>2276.8000000000002</v>
      </c>
      <c r="BP29" s="81">
        <f t="shared" si="140"/>
        <v>-3.2959565069656804</v>
      </c>
      <c r="BQ29" s="78">
        <f>+BQ39*4</f>
        <v>2182.8000000000002</v>
      </c>
      <c r="BR29" s="81">
        <f t="shared" si="141"/>
        <v>-3.9936664320900706</v>
      </c>
      <c r="BS29" s="78">
        <f>+BS39*4</f>
        <v>2164</v>
      </c>
      <c r="BT29" s="81">
        <f t="shared" si="142"/>
        <v>-5.6834030683403096</v>
      </c>
      <c r="BU29" s="78">
        <f>+BU39*4</f>
        <v>2149.6</v>
      </c>
      <c r="BV29" s="81">
        <f t="shared" si="143"/>
        <v>-4.445234708392598</v>
      </c>
      <c r="BW29" s="78">
        <f>+BW39*4</f>
        <v>2142.4</v>
      </c>
      <c r="BX29" s="81">
        <f t="shared" si="144"/>
        <v>-5.9030217849613482</v>
      </c>
      <c r="BY29" s="78">
        <f>+BY39*4</f>
        <v>2087.1999999999998</v>
      </c>
      <c r="BZ29" s="81">
        <f t="shared" si="145"/>
        <v>-4.3796958035550837</v>
      </c>
      <c r="CA29" s="78">
        <f>+CA39*4</f>
        <v>2082.8000000000002</v>
      </c>
      <c r="CB29" s="81">
        <f t="shared" si="146"/>
        <v>-3.7523105360443565</v>
      </c>
      <c r="CC29" s="78">
        <f>+CC39*4</f>
        <v>2054.4</v>
      </c>
      <c r="CD29" s="81">
        <f t="shared" si="147"/>
        <v>-4.4287309266840218</v>
      </c>
      <c r="CE29" s="78">
        <f>+CE39*4</f>
        <v>2056.8000000000002</v>
      </c>
      <c r="CF29" s="81">
        <f t="shared" si="148"/>
        <v>-3.9955190440627342</v>
      </c>
      <c r="CG29" s="78">
        <f>+CG39*4</f>
        <v>2032</v>
      </c>
      <c r="CH29" s="81">
        <f t="shared" si="149"/>
        <v>-2.6446914526638499</v>
      </c>
      <c r="CI29" s="78">
        <f>+CI39*4</f>
        <v>2029.6</v>
      </c>
      <c r="CJ29" s="81">
        <f t="shared" si="150"/>
        <v>-2.5542538889955946</v>
      </c>
      <c r="CK29" s="78">
        <f>+CK39*4</f>
        <v>2035.6</v>
      </c>
      <c r="CL29" s="81">
        <f t="shared" si="151"/>
        <v>-0.91510903426792467</v>
      </c>
      <c r="CM29" s="78">
        <f>+CM39*4</f>
        <v>2044.4</v>
      </c>
      <c r="CN29" s="81">
        <f t="shared" si="152"/>
        <v>-0.60287825748736035</v>
      </c>
      <c r="CO29" s="78">
        <f>+CO39*4</f>
        <v>2052.8000000000002</v>
      </c>
      <c r="CP29" s="81">
        <f t="shared" si="153"/>
        <v>1.0236220472441104</v>
      </c>
      <c r="CQ29" s="78">
        <f>+CQ39*4</f>
        <v>2064</v>
      </c>
      <c r="CR29" s="81">
        <f t="shared" si="154"/>
        <v>1.6949152542372836</v>
      </c>
      <c r="CS29" s="78">
        <f>+CS39*4</f>
        <v>2050</v>
      </c>
      <c r="CT29" s="81">
        <f t="shared" si="155"/>
        <v>0.70740813519356571</v>
      </c>
      <c r="CU29" s="78">
        <f>+CU39*4</f>
        <v>2055.1999999999998</v>
      </c>
      <c r="CV29" s="81">
        <f t="shared" si="156"/>
        <v>0.52827235374681702</v>
      </c>
      <c r="CW29" s="78">
        <f>+CW39*4</f>
        <v>2094.8000000000002</v>
      </c>
      <c r="CX29" s="81">
        <f t="shared" si="157"/>
        <v>2.045985970381925</v>
      </c>
      <c r="CY29" s="78">
        <f>+CY39*4</f>
        <v>2095.6</v>
      </c>
      <c r="CZ29" s="81">
        <f t="shared" si="158"/>
        <v>1.5310077519379739</v>
      </c>
      <c r="DA29" s="78">
        <f>+DA39*4</f>
        <v>2058</v>
      </c>
      <c r="DB29" s="81">
        <f t="shared" si="159"/>
        <v>0.39024390243902474</v>
      </c>
      <c r="DC29" s="78">
        <f>+DC39*4</f>
        <v>2045.6</v>
      </c>
      <c r="DD29" s="81">
        <f t="shared" si="160"/>
        <v>-0.46710782405604556</v>
      </c>
      <c r="DE29" s="78">
        <f>+DE39*4</f>
        <v>2083.1999999999998</v>
      </c>
      <c r="DF29" s="81">
        <f t="shared" si="161"/>
        <v>-0.55375214817645624</v>
      </c>
      <c r="DG29" s="78">
        <f>+DG39*4</f>
        <v>2096</v>
      </c>
      <c r="DH29" s="81">
        <f t="shared" si="162"/>
        <v>1.9087612139734311E-2</v>
      </c>
      <c r="DI29" s="78">
        <f>+DI39*4</f>
        <v>2104</v>
      </c>
      <c r="DJ29" s="81">
        <f t="shared" si="163"/>
        <v>2.2351797862002032</v>
      </c>
      <c r="DK29" s="78">
        <f>+DK39*4</f>
        <v>2163.1999999999998</v>
      </c>
      <c r="DL29" s="81">
        <f t="shared" si="164"/>
        <v>5.7489245209229489</v>
      </c>
      <c r="DM29" s="78">
        <f>+DM39*4</f>
        <v>2212</v>
      </c>
      <c r="DN29" s="81">
        <f t="shared" si="165"/>
        <v>6.1827956989247479</v>
      </c>
      <c r="DO29" s="78">
        <f>+DO39*4</f>
        <v>2244</v>
      </c>
      <c r="DP29" s="81">
        <f t="shared" si="165"/>
        <v>7.0610687022900853</v>
      </c>
      <c r="DQ29" s="78">
        <f>+DQ39*4</f>
        <v>2270</v>
      </c>
      <c r="DR29" s="81">
        <f t="shared" si="166"/>
        <v>7.8897338403041806</v>
      </c>
      <c r="DS29" s="78">
        <f>+DS39*4</f>
        <v>2282.4</v>
      </c>
      <c r="DT29" s="81">
        <f t="shared" si="167"/>
        <v>5.5103550295858117</v>
      </c>
      <c r="DU29" s="78">
        <f>+DU39*4</f>
        <v>2352.4</v>
      </c>
      <c r="DV29" s="81">
        <f t="shared" si="168"/>
        <v>6.3471971066907829</v>
      </c>
      <c r="DW29" s="78">
        <f>+DW39*4</f>
        <v>2356.4</v>
      </c>
      <c r="DX29" s="81">
        <f t="shared" si="169"/>
        <v>5.0089126559714758</v>
      </c>
      <c r="DY29" s="78">
        <f>+DY39*4</f>
        <v>2334.4</v>
      </c>
      <c r="DZ29" s="81">
        <f t="shared" si="170"/>
        <v>2.8370044052863586</v>
      </c>
      <c r="EA29" s="78">
        <f>+EA39*4</f>
        <v>2367.6</v>
      </c>
      <c r="EB29" s="81">
        <f t="shared" si="171"/>
        <v>3.732912723449</v>
      </c>
      <c r="EC29" s="78">
        <f>+EC39*4</f>
        <v>2369.1999999999998</v>
      </c>
      <c r="ED29" s="81">
        <f t="shared" si="172"/>
        <v>0.71416425777928172</v>
      </c>
      <c r="EE29" s="78">
        <f>+EE39*4</f>
        <v>2384</v>
      </c>
      <c r="EF29" s="81">
        <f t="shared" si="173"/>
        <v>1.171278221015104</v>
      </c>
      <c r="EG29" s="78">
        <f>+EG39*4</f>
        <v>2385.1999999999998</v>
      </c>
      <c r="EH29" s="81">
        <f t="shared" si="174"/>
        <v>2.1761480466072625</v>
      </c>
      <c r="EI29" s="78">
        <f>+EI39*4</f>
        <v>2419.1999999999998</v>
      </c>
      <c r="EJ29" s="81">
        <f t="shared" si="175"/>
        <v>2.1794221996958907</v>
      </c>
      <c r="EK29" s="78">
        <f t="shared" ref="EK29:EQ29" si="193">SUM(EK25:EK28)</f>
        <v>2515.9835399999997</v>
      </c>
      <c r="EL29" s="81">
        <f t="shared" si="177"/>
        <v>6.1954896167482731</v>
      </c>
      <c r="EM29" s="78">
        <f t="shared" si="193"/>
        <v>2528.7192551979997</v>
      </c>
      <c r="EN29" s="81">
        <f t="shared" si="179"/>
        <v>6.0704385569630759</v>
      </c>
      <c r="EO29" s="78">
        <f t="shared" si="193"/>
        <v>2521.1698425103023</v>
      </c>
      <c r="EP29" s="81">
        <f t="shared" si="181"/>
        <v>5.7005635800059684</v>
      </c>
      <c r="EQ29" s="78">
        <f t="shared" si="193"/>
        <v>2516.2702056444664</v>
      </c>
      <c r="ER29" s="81">
        <f t="shared" si="183"/>
        <v>4.0124919661237879</v>
      </c>
      <c r="ES29" s="78"/>
      <c r="ET29" s="465"/>
      <c r="EU29" s="78"/>
      <c r="EV29" s="78"/>
      <c r="EW29" s="3"/>
      <c r="EX29" s="78"/>
      <c r="EY29" s="3"/>
      <c r="EZ29" s="78"/>
      <c r="FA29" s="3"/>
      <c r="FB29" s="78"/>
      <c r="FC29" s="3"/>
      <c r="FD29" s="75"/>
      <c r="FE29" s="79"/>
      <c r="FF29" s="75"/>
      <c r="FG29" s="79"/>
      <c r="FH29" s="75">
        <f>AI29</f>
        <v>2624.7999999999997</v>
      </c>
      <c r="FI29" s="79" t="str">
        <f t="shared" si="184"/>
        <v>NA</v>
      </c>
      <c r="FJ29" s="75">
        <f>AQ29</f>
        <v>2518.8000000000002</v>
      </c>
      <c r="FK29" s="79">
        <f t="shared" si="184"/>
        <v>-4.0384029259372012</v>
      </c>
      <c r="FL29" s="75">
        <f>AY29</f>
        <v>2500.4</v>
      </c>
      <c r="FM29" s="79">
        <f t="shared" si="184"/>
        <v>-0.73050659043989441</v>
      </c>
      <c r="FN29" s="75">
        <f>BG29</f>
        <v>2354.4</v>
      </c>
      <c r="FO29" s="79">
        <f t="shared" si="184"/>
        <v>-5.8390657494800884</v>
      </c>
      <c r="FP29" s="75">
        <f>BO29</f>
        <v>2276.8000000000002</v>
      </c>
      <c r="FQ29" s="79">
        <f t="shared" si="184"/>
        <v>-3.2959565069656804</v>
      </c>
      <c r="FR29" s="78">
        <f>BW29</f>
        <v>2142.4</v>
      </c>
      <c r="FS29" s="79">
        <f t="shared" si="184"/>
        <v>-5.9030217849613482</v>
      </c>
      <c r="FT29" s="78">
        <f>SUM(FT25:FT28)</f>
        <v>2056.8000000000002</v>
      </c>
      <c r="FU29" s="79">
        <f t="shared" si="184"/>
        <v>-3.9955190440627342</v>
      </c>
      <c r="FV29" s="78">
        <f>SUM(FV25:FV28)</f>
        <v>2044.4000000000003</v>
      </c>
      <c r="FW29" s="79">
        <f t="shared" si="184"/>
        <v>-0.60287825748734925</v>
      </c>
      <c r="FX29" s="78">
        <f>SUM(FX25:FX28)</f>
        <v>2055.1999999999998</v>
      </c>
      <c r="FY29" s="79">
        <f t="shared" si="184"/>
        <v>0.52827235374679482</v>
      </c>
      <c r="FZ29" s="78">
        <f>SUM(FZ25:FZ28)</f>
        <v>2045.6000000000001</v>
      </c>
      <c r="GA29" s="79">
        <f t="shared" si="184"/>
        <v>-0.46710782405603446</v>
      </c>
      <c r="GB29" s="78">
        <f>SUM(GB25:GB28)</f>
        <v>2163.1999999999998</v>
      </c>
      <c r="GC29" s="79">
        <f t="shared" si="184"/>
        <v>5.7489245209229489</v>
      </c>
      <c r="GD29" s="78">
        <f>SUM(GD25:GD28)</f>
        <v>2282.4</v>
      </c>
      <c r="GE29" s="79">
        <f t="shared" si="184"/>
        <v>5.5103550295858117</v>
      </c>
      <c r="GF29" s="78">
        <f>SUM(GF25:GF28)</f>
        <v>2367.6</v>
      </c>
      <c r="GG29" s="79">
        <f t="shared" si="184"/>
        <v>3.732912723449</v>
      </c>
      <c r="GH29" s="78">
        <f>SUM(GH25:GH28)</f>
        <v>2419.2000000000003</v>
      </c>
      <c r="GI29" s="79">
        <f t="shared" si="184"/>
        <v>2.1794221996959129</v>
      </c>
      <c r="GJ29" s="78">
        <f>SUM(GJ25:GJ28)</f>
        <v>2516.2702056444668</v>
      </c>
      <c r="GK29" s="79">
        <f t="shared" si="184"/>
        <v>4.0124919661237879</v>
      </c>
      <c r="GL29" s="78">
        <f>SUM(GL25:GL28)</f>
        <v>2622.8983360997263</v>
      </c>
      <c r="GM29" s="79">
        <f t="shared" si="184"/>
        <v>4.2375469143207445</v>
      </c>
      <c r="GN29" s="78">
        <f>SUM(GN25:GN28)</f>
        <v>2737.3623954200416</v>
      </c>
      <c r="GO29" s="79">
        <f t="shared" si="184"/>
        <v>4.3640295830346343</v>
      </c>
      <c r="GP29" s="78">
        <f>SUM(GP25:GP28)</f>
        <v>2859.7272314961947</v>
      </c>
      <c r="GQ29" s="79">
        <f t="shared" si="184"/>
        <v>4.4701730498265535</v>
      </c>
      <c r="GR29" s="78">
        <f>SUM(GR25:GR28)</f>
        <v>2990.1036155487709</v>
      </c>
      <c r="GS29" s="79">
        <f t="shared" si="185"/>
        <v>4.5590496400023328</v>
      </c>
      <c r="GT29" s="79">
        <f t="shared" si="186"/>
        <v>4.3284830814108499</v>
      </c>
    </row>
    <row r="30" spans="1:286" ht="12.75" customHeight="1" x14ac:dyDescent="0.2">
      <c r="A30" s="1"/>
      <c r="B30" s="92" t="s">
        <v>275</v>
      </c>
      <c r="C30" s="78"/>
      <c r="D30" s="3"/>
      <c r="E30" s="82"/>
      <c r="F30" s="79"/>
      <c r="G30" s="78"/>
      <c r="H30" s="79"/>
      <c r="I30" s="78"/>
      <c r="J30" s="79"/>
      <c r="K30" s="78"/>
      <c r="L30" s="79"/>
      <c r="M30" s="78"/>
      <c r="N30" s="79"/>
      <c r="O30" s="78"/>
      <c r="P30" s="79"/>
      <c r="Q30" s="78"/>
      <c r="R30" s="79"/>
      <c r="S30" s="78"/>
      <c r="T30" s="79"/>
      <c r="U30" s="78"/>
      <c r="V30" s="79"/>
      <c r="W30" s="78"/>
      <c r="X30" s="79"/>
      <c r="Y30" s="78"/>
      <c r="Z30" s="79"/>
      <c r="AA30" s="80"/>
      <c r="AB30" s="79"/>
      <c r="AC30" s="78">
        <f>+AC29/4</f>
        <v>667.4</v>
      </c>
      <c r="AD30" s="79" t="str">
        <f t="shared" si="129"/>
        <v>NA</v>
      </c>
      <c r="AE30" s="78">
        <f>+AE29/4</f>
        <v>662.9</v>
      </c>
      <c r="AF30" s="79" t="str">
        <f t="shared" si="130"/>
        <v>NA</v>
      </c>
      <c r="AG30" s="78">
        <f>+AG29/4</f>
        <v>658.2</v>
      </c>
      <c r="AH30" s="79" t="str">
        <f t="shared" si="131"/>
        <v>NA</v>
      </c>
      <c r="AI30" s="78">
        <f>+AI29/4</f>
        <v>656.19999999999993</v>
      </c>
      <c r="AJ30" s="79" t="str">
        <f t="shared" si="132"/>
        <v>NA</v>
      </c>
      <c r="AK30" s="78">
        <f>+AK29/4</f>
        <v>635.40000000000009</v>
      </c>
      <c r="AL30" s="79">
        <f t="shared" si="133"/>
        <v>-4.7947258016182044</v>
      </c>
      <c r="AM30" s="78">
        <f>+AM29/4</f>
        <v>636.79999999999995</v>
      </c>
      <c r="AN30" s="79">
        <f t="shared" si="134"/>
        <v>-3.9372454367174625</v>
      </c>
      <c r="AO30" s="78">
        <f>+AO29/4</f>
        <v>626</v>
      </c>
      <c r="AP30" s="79">
        <f t="shared" si="134"/>
        <v>-4.8921300516560411</v>
      </c>
      <c r="AQ30" s="78">
        <f>+AQ29/4</f>
        <v>629.70000000000005</v>
      </c>
      <c r="AR30" s="79">
        <f t="shared" si="134"/>
        <v>-4.0384029259372012</v>
      </c>
      <c r="AS30" s="78">
        <f>+AS29/4</f>
        <v>619.79999999999995</v>
      </c>
      <c r="AT30" s="81">
        <f t="shared" si="134"/>
        <v>-2.4551463644948313</v>
      </c>
      <c r="AU30" s="78">
        <f>+AU29/4</f>
        <v>622.9</v>
      </c>
      <c r="AV30" s="81">
        <f t="shared" si="134"/>
        <v>-2.1827889447236126</v>
      </c>
      <c r="AW30" s="78">
        <f>+AW29/4</f>
        <v>615.70000000000005</v>
      </c>
      <c r="AX30" s="81">
        <f t="shared" si="134"/>
        <v>-1.6453674121405637</v>
      </c>
      <c r="AY30" s="78">
        <f>+AY29/4</f>
        <v>625.1</v>
      </c>
      <c r="AZ30" s="81">
        <f t="shared" si="134"/>
        <v>-0.73050659043989441</v>
      </c>
      <c r="BA30" s="78">
        <f>+BA29/4</f>
        <v>590.1</v>
      </c>
      <c r="BB30" s="81">
        <f t="shared" si="134"/>
        <v>-4.7918683446272929</v>
      </c>
      <c r="BC30" s="78">
        <f>+BC29/4</f>
        <v>609.29999999999995</v>
      </c>
      <c r="BD30" s="81">
        <f t="shared" si="134"/>
        <v>-2.183336008990211</v>
      </c>
      <c r="BE30" s="78">
        <f>+BE29/4</f>
        <v>593.29999999999995</v>
      </c>
      <c r="BF30" s="81">
        <f t="shared" si="135"/>
        <v>-3.638135455579028</v>
      </c>
      <c r="BG30" s="78">
        <f>+BG29/4</f>
        <v>588.6</v>
      </c>
      <c r="BH30" s="81">
        <f t="shared" si="136"/>
        <v>-5.8390657494800884</v>
      </c>
      <c r="BI30" s="78">
        <f>+BI29/4</f>
        <v>568.4</v>
      </c>
      <c r="BJ30" s="81">
        <f t="shared" si="137"/>
        <v>-3.6773428232503069</v>
      </c>
      <c r="BK30" s="78">
        <f>+BK29/4</f>
        <v>573.6</v>
      </c>
      <c r="BL30" s="81">
        <f t="shared" si="138"/>
        <v>-5.8591826686361319</v>
      </c>
      <c r="BM30" s="78">
        <f>+BM29/4</f>
        <v>562.4</v>
      </c>
      <c r="BN30" s="81">
        <f t="shared" si="139"/>
        <v>-5.2081577616720054</v>
      </c>
      <c r="BO30" s="78">
        <f>+BO29/4</f>
        <v>569.20000000000005</v>
      </c>
      <c r="BP30" s="81">
        <f t="shared" si="140"/>
        <v>-3.2959565069656804</v>
      </c>
      <c r="BQ30" s="78">
        <f>+BQ29/4</f>
        <v>545.70000000000005</v>
      </c>
      <c r="BR30" s="81">
        <f t="shared" si="141"/>
        <v>-3.9936664320900706</v>
      </c>
      <c r="BS30" s="78">
        <f>+BS29/4</f>
        <v>541</v>
      </c>
      <c r="BT30" s="81">
        <f t="shared" si="142"/>
        <v>-5.6834030683403096</v>
      </c>
      <c r="BU30" s="78">
        <f>+BU29/4</f>
        <v>537.4</v>
      </c>
      <c r="BV30" s="81">
        <f t="shared" si="143"/>
        <v>-4.445234708392598</v>
      </c>
      <c r="BW30" s="78">
        <f>+BW29/4</f>
        <v>535.6</v>
      </c>
      <c r="BX30" s="81">
        <f t="shared" si="144"/>
        <v>-5.9030217849613482</v>
      </c>
      <c r="BY30" s="78">
        <f>+BY29/4</f>
        <v>521.79999999999995</v>
      </c>
      <c r="BZ30" s="81">
        <f t="shared" si="145"/>
        <v>-4.3796958035550837</v>
      </c>
      <c r="CA30" s="78">
        <f>+CA29/4</f>
        <v>520.70000000000005</v>
      </c>
      <c r="CB30" s="81">
        <f t="shared" si="146"/>
        <v>-3.7523105360443565</v>
      </c>
      <c r="CC30" s="78">
        <f>+CC29/4</f>
        <v>513.6</v>
      </c>
      <c r="CD30" s="81">
        <f t="shared" si="147"/>
        <v>-4.4287309266840218</v>
      </c>
      <c r="CE30" s="78">
        <f>+CE29/4</f>
        <v>514.20000000000005</v>
      </c>
      <c r="CF30" s="81">
        <f t="shared" si="148"/>
        <v>-3.9955190440627342</v>
      </c>
      <c r="CG30" s="78">
        <f>+CG29/4</f>
        <v>508</v>
      </c>
      <c r="CH30" s="81">
        <f t="shared" si="149"/>
        <v>-2.6446914526638499</v>
      </c>
      <c r="CI30" s="78">
        <f>+CI29/4</f>
        <v>507.4</v>
      </c>
      <c r="CJ30" s="81">
        <f t="shared" si="150"/>
        <v>-2.5542538889955946</v>
      </c>
      <c r="CK30" s="78">
        <f>+CK29/4</f>
        <v>508.9</v>
      </c>
      <c r="CL30" s="81">
        <f t="shared" si="151"/>
        <v>-0.91510903426792467</v>
      </c>
      <c r="CM30" s="78">
        <f>+CM29/4</f>
        <v>511.1</v>
      </c>
      <c r="CN30" s="81">
        <f t="shared" si="152"/>
        <v>-0.60287825748736035</v>
      </c>
      <c r="CO30" s="78">
        <f>+CO29/4</f>
        <v>513.20000000000005</v>
      </c>
      <c r="CP30" s="81">
        <f t="shared" si="153"/>
        <v>1.0236220472441104</v>
      </c>
      <c r="CQ30" s="78">
        <f>+CQ29/4</f>
        <v>516</v>
      </c>
      <c r="CR30" s="81">
        <f t="shared" si="154"/>
        <v>1.6949152542372836</v>
      </c>
      <c r="CS30" s="78">
        <f>+CS29/4</f>
        <v>512.5</v>
      </c>
      <c r="CT30" s="81">
        <f t="shared" si="155"/>
        <v>0.70740813519356571</v>
      </c>
      <c r="CU30" s="78">
        <f>+CU29/4</f>
        <v>513.79999999999995</v>
      </c>
      <c r="CV30" s="81">
        <f t="shared" si="156"/>
        <v>0.52827235374681702</v>
      </c>
      <c r="CW30" s="78">
        <f>+CW29/4</f>
        <v>523.70000000000005</v>
      </c>
      <c r="CX30" s="81">
        <f t="shared" si="157"/>
        <v>2.045985970381925</v>
      </c>
      <c r="CY30" s="78">
        <f>+CY29/4</f>
        <v>523.9</v>
      </c>
      <c r="CZ30" s="81">
        <f t="shared" si="158"/>
        <v>1.5310077519379739</v>
      </c>
      <c r="DA30" s="78">
        <f>+DA29/4</f>
        <v>514.5</v>
      </c>
      <c r="DB30" s="81">
        <f t="shared" si="159"/>
        <v>0.39024390243902474</v>
      </c>
      <c r="DC30" s="78">
        <f>+DC29/4</f>
        <v>511.4</v>
      </c>
      <c r="DD30" s="81">
        <f t="shared" si="160"/>
        <v>-0.46710782405604556</v>
      </c>
      <c r="DE30" s="78">
        <f>+DE29/4</f>
        <v>520.79999999999995</v>
      </c>
      <c r="DF30" s="81">
        <f t="shared" si="161"/>
        <v>-0.55375214817645624</v>
      </c>
      <c r="DG30" s="78">
        <f>+DG29/4</f>
        <v>524</v>
      </c>
      <c r="DH30" s="81">
        <f t="shared" si="162"/>
        <v>1.9087612139734311E-2</v>
      </c>
      <c r="DI30" s="78">
        <f>+DI29/4</f>
        <v>526</v>
      </c>
      <c r="DJ30" s="81">
        <f t="shared" si="163"/>
        <v>2.2351797862002032</v>
      </c>
      <c r="DK30" s="78">
        <f>+DK29/4</f>
        <v>540.79999999999995</v>
      </c>
      <c r="DL30" s="81">
        <f t="shared" si="164"/>
        <v>5.7489245209229489</v>
      </c>
      <c r="DM30" s="78">
        <f>+DM29/4</f>
        <v>553</v>
      </c>
      <c r="DN30" s="81">
        <f t="shared" si="165"/>
        <v>6.1827956989247479</v>
      </c>
      <c r="DO30" s="78">
        <f>+DO29/4</f>
        <v>561</v>
      </c>
      <c r="DP30" s="81">
        <f t="shared" si="165"/>
        <v>7.0610687022900853</v>
      </c>
      <c r="DQ30" s="78">
        <f>+DQ29/4</f>
        <v>567.5</v>
      </c>
      <c r="DR30" s="81">
        <f t="shared" si="166"/>
        <v>7.8897338403041806</v>
      </c>
      <c r="DS30" s="78">
        <f>+DS29/4</f>
        <v>570.6</v>
      </c>
      <c r="DT30" s="81">
        <f t="shared" si="167"/>
        <v>5.5103550295858117</v>
      </c>
      <c r="DU30" s="78">
        <f>+DU29/4</f>
        <v>588.1</v>
      </c>
      <c r="DV30" s="81">
        <f t="shared" si="168"/>
        <v>6.3471971066907829</v>
      </c>
      <c r="DW30" s="78">
        <f>+DW29/4</f>
        <v>589.1</v>
      </c>
      <c r="DX30" s="81">
        <f t="shared" si="169"/>
        <v>5.0089126559714758</v>
      </c>
      <c r="DY30" s="78">
        <f>+DY29/4</f>
        <v>583.6</v>
      </c>
      <c r="DZ30" s="81">
        <f t="shared" si="170"/>
        <v>2.8370044052863586</v>
      </c>
      <c r="EA30" s="78">
        <f>+EA29/4</f>
        <v>591.9</v>
      </c>
      <c r="EB30" s="81">
        <f t="shared" si="171"/>
        <v>3.732912723449</v>
      </c>
      <c r="EC30" s="78">
        <f>+EC29/4</f>
        <v>592.29999999999995</v>
      </c>
      <c r="ED30" s="81">
        <f t="shared" si="172"/>
        <v>0.71416425777928172</v>
      </c>
      <c r="EE30" s="78">
        <f>+EE29/4</f>
        <v>596</v>
      </c>
      <c r="EF30" s="81">
        <f t="shared" si="173"/>
        <v>1.171278221015104</v>
      </c>
      <c r="EG30" s="78">
        <f>+EG29/4</f>
        <v>596.29999999999995</v>
      </c>
      <c r="EH30" s="81">
        <f t="shared" si="174"/>
        <v>2.1761480466072625</v>
      </c>
      <c r="EI30" s="78">
        <f>+EI29/4</f>
        <v>604.79999999999995</v>
      </c>
      <c r="EJ30" s="81">
        <f t="shared" si="175"/>
        <v>2.1794221996958907</v>
      </c>
      <c r="EK30" s="78">
        <f t="shared" ref="EK30:EQ30" si="194">+EK29/4</f>
        <v>628.99588499999993</v>
      </c>
      <c r="EL30" s="81">
        <f t="shared" si="177"/>
        <v>6.1954896167482731</v>
      </c>
      <c r="EM30" s="78">
        <f t="shared" si="194"/>
        <v>632.17981379949993</v>
      </c>
      <c r="EN30" s="81">
        <f t="shared" si="179"/>
        <v>6.0704385569630759</v>
      </c>
      <c r="EO30" s="78">
        <f t="shared" si="194"/>
        <v>630.29246062757557</v>
      </c>
      <c r="EP30" s="81">
        <f t="shared" si="181"/>
        <v>5.7005635800059684</v>
      </c>
      <c r="EQ30" s="78">
        <f t="shared" si="194"/>
        <v>629.0675514111166</v>
      </c>
      <c r="ER30" s="81">
        <f t="shared" si="183"/>
        <v>4.0124919661237879</v>
      </c>
      <c r="ES30" s="78"/>
      <c r="ET30" s="465"/>
      <c r="EU30" s="78"/>
      <c r="EV30" s="78"/>
      <c r="EW30" s="3"/>
      <c r="EX30" s="78"/>
      <c r="EY30" s="3"/>
      <c r="EZ30" s="78"/>
      <c r="FA30" s="3"/>
      <c r="FB30" s="78"/>
      <c r="FC30" s="3"/>
      <c r="FD30" s="75"/>
      <c r="FE30" s="79"/>
      <c r="FF30" s="75"/>
      <c r="FG30" s="79"/>
      <c r="FH30" s="75">
        <f>+FH29</f>
        <v>2624.7999999999997</v>
      </c>
      <c r="FI30" s="79" t="str">
        <f t="shared" si="184"/>
        <v>NA</v>
      </c>
      <c r="FJ30" s="75">
        <f>+FJ29</f>
        <v>2518.8000000000002</v>
      </c>
      <c r="FK30" s="79">
        <f t="shared" si="184"/>
        <v>-4.0384029259372012</v>
      </c>
      <c r="FL30" s="75">
        <f>+FL29</f>
        <v>2500.4</v>
      </c>
      <c r="FM30" s="79">
        <f t="shared" si="184"/>
        <v>-0.73050659043989441</v>
      </c>
      <c r="FN30" s="75">
        <f>+FN29</f>
        <v>2354.4</v>
      </c>
      <c r="FO30" s="79">
        <f t="shared" si="184"/>
        <v>-5.8390657494800884</v>
      </c>
      <c r="FP30" s="75">
        <f>+FP29</f>
        <v>2276.8000000000002</v>
      </c>
      <c r="FQ30" s="79">
        <f t="shared" si="184"/>
        <v>-3.2959565069656804</v>
      </c>
      <c r="FR30" s="78">
        <f>+FR29</f>
        <v>2142.4</v>
      </c>
      <c r="FS30" s="79">
        <f t="shared" si="184"/>
        <v>-5.9030217849613482</v>
      </c>
      <c r="FT30" s="78">
        <f>+FT29</f>
        <v>2056.8000000000002</v>
      </c>
      <c r="FU30" s="79">
        <f t="shared" si="184"/>
        <v>-3.9955190440627342</v>
      </c>
      <c r="FV30" s="78">
        <f>+FV29</f>
        <v>2044.4000000000003</v>
      </c>
      <c r="FW30" s="79">
        <f t="shared" si="184"/>
        <v>-0.60287825748734925</v>
      </c>
      <c r="FX30" s="78">
        <f>CU30+CS30+CQ30+CO30</f>
        <v>2055.5</v>
      </c>
      <c r="FY30" s="79">
        <f t="shared" si="184"/>
        <v>0.54294658579532307</v>
      </c>
      <c r="FZ30" s="78">
        <f>DC30+DA30+CY30+CW30</f>
        <v>2073.5</v>
      </c>
      <c r="GA30" s="79">
        <f t="shared" si="184"/>
        <v>0.87569934322548892</v>
      </c>
      <c r="GB30" s="78">
        <f>DK30+DI30+DG30+DE30</f>
        <v>2111.6</v>
      </c>
      <c r="GC30" s="79">
        <f t="shared" si="184"/>
        <v>1.8374728719556366</v>
      </c>
      <c r="GD30" s="78">
        <f>DS30+DQ30+DO30+DM30</f>
        <v>2252.1</v>
      </c>
      <c r="GE30" s="79">
        <f t="shared" si="184"/>
        <v>6.6537222958893638</v>
      </c>
      <c r="GF30" s="78">
        <f>EA30+DY30+DW30+DU30</f>
        <v>2352.6999999999998</v>
      </c>
      <c r="GG30" s="79">
        <f t="shared" si="184"/>
        <v>4.4669419652768383</v>
      </c>
      <c r="GH30" s="78">
        <f>EI30+EG30+EE30+EC30</f>
        <v>2389.3999999999996</v>
      </c>
      <c r="GI30" s="79">
        <f t="shared" si="184"/>
        <v>1.5599098907637998</v>
      </c>
      <c r="GJ30" s="78">
        <f>EQ30+EO30+EM30+EK30</f>
        <v>2520.5357108381922</v>
      </c>
      <c r="GK30" s="79">
        <f t="shared" si="184"/>
        <v>5.4882276235955763</v>
      </c>
      <c r="GL30" s="78">
        <f>GJ30/GJ29*GL29</f>
        <v>2627.3445940771685</v>
      </c>
      <c r="GM30" s="79">
        <f t="shared" si="184"/>
        <v>4.2375469143207445</v>
      </c>
      <c r="GN30" s="78">
        <f>GL30/GL29*GN29</f>
        <v>2742.0026894109578</v>
      </c>
      <c r="GO30" s="79">
        <f t="shared" si="184"/>
        <v>4.3640295830346565</v>
      </c>
      <c r="GP30" s="78">
        <f>GN30/GN29*GP29</f>
        <v>2864.5749546585253</v>
      </c>
      <c r="GQ30" s="79">
        <f t="shared" si="184"/>
        <v>4.4701730498265313</v>
      </c>
      <c r="GR30" s="78">
        <f>GP30/GP29*GR29</f>
        <v>2995.1723488164821</v>
      </c>
      <c r="GS30" s="79">
        <f t="shared" si="185"/>
        <v>4.559049640002355</v>
      </c>
      <c r="GT30" s="79">
        <f t="shared" si="186"/>
        <v>4.6228609201699689</v>
      </c>
    </row>
    <row r="31" spans="1:286" ht="12.75" customHeight="1" x14ac:dyDescent="0.2">
      <c r="A31" s="1"/>
      <c r="B31" s="2"/>
      <c r="C31" s="78"/>
      <c r="D31" s="3"/>
      <c r="E31" s="78"/>
      <c r="F31" s="79"/>
      <c r="G31" s="78"/>
      <c r="H31" s="79"/>
      <c r="I31" s="78"/>
      <c r="J31" s="79"/>
      <c r="K31" s="78"/>
      <c r="L31" s="79"/>
      <c r="M31" s="78"/>
      <c r="N31" s="79"/>
      <c r="O31" s="78"/>
      <c r="P31" s="79"/>
      <c r="Q31" s="78"/>
      <c r="R31" s="79"/>
      <c r="S31" s="78"/>
      <c r="T31" s="79"/>
      <c r="U31" s="78"/>
      <c r="V31" s="79"/>
      <c r="W31" s="78"/>
      <c r="X31" s="79"/>
      <c r="Y31" s="78"/>
      <c r="Z31" s="79"/>
      <c r="AA31" s="80"/>
      <c r="AB31" s="79"/>
      <c r="AC31" s="78"/>
      <c r="AD31" s="79"/>
      <c r="AE31" s="78"/>
      <c r="AF31" s="79"/>
      <c r="AG31" s="78"/>
      <c r="AH31" s="79"/>
      <c r="AI31" s="78"/>
      <c r="AJ31" s="97"/>
      <c r="AK31" s="78"/>
      <c r="AL31" s="97"/>
      <c r="AM31" s="78"/>
      <c r="AN31" s="97"/>
      <c r="AO31" s="78"/>
      <c r="AP31" s="97"/>
      <c r="AQ31" s="78"/>
      <c r="AR31" s="97"/>
      <c r="AS31" s="78"/>
      <c r="AT31" s="98"/>
      <c r="AU31" s="78"/>
      <c r="AV31" s="98"/>
      <c r="AW31" s="78"/>
      <c r="AX31" s="98"/>
      <c r="AY31" s="78"/>
      <c r="AZ31" s="98"/>
      <c r="BA31" s="78"/>
      <c r="BB31" s="98"/>
      <c r="BC31" s="78"/>
      <c r="BD31" s="98"/>
      <c r="BE31" s="78"/>
      <c r="BF31" s="98"/>
      <c r="BG31" s="78"/>
      <c r="BH31" s="98"/>
      <c r="BI31" s="78"/>
      <c r="BJ31" s="98"/>
      <c r="BK31" s="78"/>
      <c r="BL31" s="98"/>
      <c r="BM31" s="78"/>
      <c r="BN31" s="98"/>
      <c r="BO31" s="78"/>
      <c r="BP31" s="98"/>
      <c r="BQ31" s="78"/>
      <c r="BR31" s="98"/>
      <c r="BS31" s="78"/>
      <c r="BT31" s="98"/>
      <c r="BU31" s="78"/>
      <c r="BV31" s="98"/>
      <c r="BW31" s="78"/>
      <c r="BX31" s="98"/>
      <c r="BY31" s="78"/>
      <c r="BZ31" s="98"/>
      <c r="CA31" s="78"/>
      <c r="CB31" s="98"/>
      <c r="CC31" s="78"/>
      <c r="CD31" s="98"/>
      <c r="CE31" s="78"/>
      <c r="CF31" s="98"/>
      <c r="CG31" s="78"/>
      <c r="CH31" s="98"/>
      <c r="CI31" s="78"/>
      <c r="CJ31" s="98"/>
      <c r="CK31" s="78"/>
      <c r="CL31" s="98"/>
      <c r="CM31" s="78"/>
      <c r="CN31" s="98"/>
      <c r="CO31" s="78"/>
      <c r="CP31" s="98"/>
      <c r="CQ31" s="78"/>
      <c r="CR31" s="98"/>
      <c r="CS31" s="78"/>
      <c r="CT31" s="98"/>
      <c r="CU31" s="78"/>
      <c r="CV31" s="98"/>
      <c r="CW31" s="78"/>
      <c r="CX31" s="98"/>
      <c r="CY31" s="78"/>
      <c r="CZ31" s="98"/>
      <c r="DA31" s="78"/>
      <c r="DB31" s="98"/>
      <c r="DC31" s="78"/>
      <c r="DD31" s="98"/>
      <c r="DE31" s="78"/>
      <c r="DF31" s="98"/>
      <c r="DG31" s="78"/>
      <c r="DH31" s="98"/>
      <c r="DI31" s="78"/>
      <c r="DJ31" s="98"/>
      <c r="DK31" s="78"/>
      <c r="DL31" s="98"/>
      <c r="DM31" s="78"/>
      <c r="DN31" s="98"/>
      <c r="DO31" s="78"/>
      <c r="DP31" s="98"/>
      <c r="DQ31" s="78"/>
      <c r="DR31" s="98"/>
      <c r="DS31" s="78"/>
      <c r="DT31" s="98"/>
      <c r="DU31" s="78"/>
      <c r="DV31" s="98"/>
      <c r="DW31" s="78"/>
      <c r="DX31" s="98"/>
      <c r="DY31" s="78"/>
      <c r="DZ31" s="98"/>
      <c r="EA31" s="78"/>
      <c r="EB31" s="98"/>
      <c r="EC31" s="78"/>
      <c r="ED31" s="98"/>
      <c r="EE31" s="78"/>
      <c r="EF31" s="98"/>
      <c r="EG31" s="78"/>
      <c r="EH31" s="98"/>
      <c r="EI31" s="78"/>
      <c r="EJ31" s="98"/>
      <c r="EK31" s="78"/>
      <c r="EL31" s="98"/>
      <c r="EM31" s="78"/>
      <c r="EN31" s="98"/>
      <c r="EO31" s="78"/>
      <c r="EP31" s="98"/>
      <c r="EQ31" s="78"/>
      <c r="ER31" s="98"/>
      <c r="ES31" s="99"/>
      <c r="ET31" s="465"/>
      <c r="EU31" s="99"/>
      <c r="EV31" s="78"/>
      <c r="EW31" s="3"/>
      <c r="EX31" s="78"/>
      <c r="EY31" s="3"/>
      <c r="EZ31" s="78"/>
      <c r="FA31" s="3"/>
      <c r="FB31" s="78"/>
      <c r="FC31" s="3"/>
      <c r="FD31" s="100"/>
      <c r="FE31" s="429"/>
      <c r="FF31" s="100"/>
      <c r="FG31" s="429"/>
      <c r="FH31" s="100"/>
      <c r="FI31" s="429"/>
      <c r="FJ31" s="75"/>
      <c r="FK31" s="429"/>
      <c r="FL31" s="78"/>
      <c r="FM31" s="429"/>
      <c r="FN31" s="78"/>
      <c r="FO31" s="429"/>
      <c r="FP31" s="78"/>
      <c r="FQ31" s="429"/>
      <c r="FR31" s="78"/>
      <c r="FS31" s="429"/>
      <c r="FT31" s="78"/>
      <c r="FU31" s="429"/>
      <c r="FV31" s="78"/>
      <c r="FW31" s="429"/>
      <c r="FX31" s="78"/>
      <c r="FY31" s="429"/>
      <c r="FZ31" s="78"/>
      <c r="GA31" s="429"/>
      <c r="GB31" s="78"/>
      <c r="GC31" s="429"/>
      <c r="GD31" s="78"/>
      <c r="GE31" s="429"/>
      <c r="GF31" s="78"/>
      <c r="GG31" s="429"/>
      <c r="GH31" s="78"/>
      <c r="GI31" s="429"/>
      <c r="GJ31" s="78"/>
      <c r="GK31" s="429"/>
      <c r="GL31" s="78"/>
      <c r="GM31" s="429"/>
      <c r="GN31" s="78"/>
      <c r="GO31" s="429"/>
      <c r="GP31" s="78"/>
      <c r="GQ31" s="429"/>
      <c r="GR31" s="78"/>
      <c r="GS31" s="429"/>
      <c r="GT31" s="79"/>
    </row>
    <row r="32" spans="1:286" ht="12.75" customHeight="1" x14ac:dyDescent="0.2">
      <c r="A32" s="1"/>
      <c r="B32" s="2" t="s">
        <v>325</v>
      </c>
      <c r="C32" s="78"/>
      <c r="D32" s="3"/>
      <c r="E32" s="82"/>
      <c r="F32" s="79"/>
      <c r="G32" s="101"/>
      <c r="H32" s="79"/>
      <c r="I32" s="101"/>
      <c r="J32" s="79"/>
      <c r="K32" s="101"/>
      <c r="L32" s="79"/>
      <c r="M32" s="101"/>
      <c r="N32" s="79"/>
      <c r="O32" s="101"/>
      <c r="P32" s="79"/>
      <c r="Q32" s="101"/>
      <c r="R32" s="79"/>
      <c r="S32" s="101"/>
      <c r="T32" s="79"/>
      <c r="U32" s="101"/>
      <c r="V32" s="79"/>
      <c r="W32" s="101"/>
      <c r="X32" s="79"/>
      <c r="Y32" s="101"/>
      <c r="Z32" s="79"/>
      <c r="AA32" s="102"/>
      <c r="AB32" s="79"/>
      <c r="AC32" s="101">
        <f>100-AC33</f>
        <v>16.5</v>
      </c>
      <c r="AD32" s="79" t="str">
        <f>IF(ISERROR((AC32/U32-1)*100),"NA",IF(((AC32/U32-1)*100)&gt;100,"NM",IF(((AC32/U32-1)*100)&lt;-50,"NM",(AC32/U32-1)*100)))</f>
        <v>NA</v>
      </c>
      <c r="AE32" s="101">
        <f>100-AE33</f>
        <v>13.699999999999989</v>
      </c>
      <c r="AF32" s="79" t="str">
        <f>IF(ISERROR((AE32/W32-1)*100),"NA",IF(((AE32/W32-1)*100)&gt;100,"NM",IF(((AE32/W32-1)*100)&lt;-50,"NM",(AE32/W32-1)*100)))</f>
        <v>NA</v>
      </c>
      <c r="AG32" s="101">
        <f>100-AG33</f>
        <v>16.000000000000028</v>
      </c>
      <c r="AH32" s="79" t="str">
        <f>IF(ISERROR((AG32/Y32-1)*100),"NA",IF(((AG32/Y32-1)*100)&gt;100,"NM",IF(((AG32/Y32-1)*100)&lt;-50,"NM",(AG32/Y32-1)*100)))</f>
        <v>NA</v>
      </c>
      <c r="AI32" s="101">
        <f>100-AI33</f>
        <v>14.599999999999994</v>
      </c>
      <c r="AJ32" s="79" t="str">
        <f>IF(ISERROR((AI32/AA32-1)*100),"NA",IF(((AI32/AA32-1)*100)&gt;100,"NM",IF(((AI32/AA32-1)*100)&lt;-50,"NM",(AI32/AA32-1)*100)))</f>
        <v>NA</v>
      </c>
      <c r="AK32" s="101">
        <f>100-AK33</f>
        <v>17.400000000000006</v>
      </c>
      <c r="AL32" s="79">
        <f>IF(ISERROR((AK32/AC32-1)*100),"NA",IF(((AK32/AC32-1)*100)&gt;100,"NM",IF(((AK32/AC32-1)*100)&lt;-50,"NM",(AK32/AC32-1)*100)))</f>
        <v>5.4545454545454897</v>
      </c>
      <c r="AM32" s="101">
        <f>100-AM33</f>
        <v>16.199999999999989</v>
      </c>
      <c r="AN32" s="79">
        <f>IF(ISERROR((AM32/AE32-1)*100),"NA",IF(((AM32/AE32-1)*100)&gt;100,"NM",IF(((AM32/AE32-1)*100)&lt;-50,"NM",(AM32/AE32-1)*100)))</f>
        <v>18.248175182481763</v>
      </c>
      <c r="AO32" s="101">
        <f>100-AO33</f>
        <v>13.199999999999989</v>
      </c>
      <c r="AP32" s="79">
        <f>IF(ISERROR((AO32/AG32-1)*100),"NA",IF(((AO32/AG32-1)*100)&gt;100,"NM",IF(((AO32/AG32-1)*100)&lt;-50,"NM",(AO32/AG32-1)*100)))</f>
        <v>-17.500000000000217</v>
      </c>
      <c r="AQ32" s="101">
        <f>100-AQ33</f>
        <v>14.000000000000028</v>
      </c>
      <c r="AR32" s="79">
        <f>IF(ISERROR((AQ32/AI32-1)*100),"NA",IF(((AQ32/AI32-1)*100)&gt;100,"NM",IF(((AQ32/AI32-1)*100)&lt;-50,"NM",(AQ32/AI32-1)*100)))</f>
        <v>-4.1095890410956626</v>
      </c>
      <c r="AS32" s="103">
        <f>100-AS33</f>
        <v>13.400000000000006</v>
      </c>
      <c r="AT32" s="81">
        <f>IF(ISERROR((AS32/AK32-1)*100),"NA",IF(((AS32/AK32-1)*100)&gt;100,"NM",IF(((AS32/AK32-1)*100)&lt;-50,"NM",(AS32/AK32-1)*100)))</f>
        <v>-22.988505747126432</v>
      </c>
      <c r="AU32" s="103">
        <f>100-AU33</f>
        <v>13.599999999999994</v>
      </c>
      <c r="AV32" s="81">
        <f>IF(ISERROR((AU32/AM32-1)*100),"NA",IF(((AU32/AM32-1)*100)&gt;100,"NM",IF(((AU32/AM32-1)*100)&lt;-50,"NM",(AU32/AM32-1)*100)))</f>
        <v>-16.049382716049355</v>
      </c>
      <c r="AW32" s="103">
        <f>100-AW33</f>
        <v>10.5</v>
      </c>
      <c r="AX32" s="81">
        <f>IF(ISERROR((AW32/AO32-1)*100),"NA",IF(((AW32/AO32-1)*100)&gt;100,"NM",IF(((AW32/AO32-1)*100)&lt;-50,"NM",(AW32/AO32-1)*100)))</f>
        <v>-20.454545454545382</v>
      </c>
      <c r="AY32" s="103">
        <f>100-AY33</f>
        <v>11.300000000000011</v>
      </c>
      <c r="AZ32" s="81">
        <f>IF(ISERROR((AY32/AQ32-1)*100),"NA",IF(((AY32/AQ32-1)*100)&gt;100,"NM",IF(((AY32/AQ32-1)*100)&lt;-50,"NM",(AY32/AQ32-1)*100)))</f>
        <v>-19.285714285714374</v>
      </c>
      <c r="BA32" s="103">
        <f>100-BA33</f>
        <v>15.400000000000006</v>
      </c>
      <c r="BB32" s="81">
        <f>IF(ISERROR((BA32/AS32-1)*100),"NA",IF(((BA32/AS32-1)*100)&gt;100,"NM",IF(((BA32/AS32-1)*100)&lt;-50,"NM",(BA32/AS32-1)*100)))</f>
        <v>14.925373134328357</v>
      </c>
      <c r="BC32" s="103">
        <f>100-BC33</f>
        <v>9.1999999999999886</v>
      </c>
      <c r="BD32" s="81">
        <f>IF(ISERROR((BC32/AU32-1)*100),"NA",IF(((BC32/AU32-1)*100)&gt;100,"NM",IF(((BC32/AU32-1)*100)&lt;-50,"NM",(BC32/AU32-1)*100)))</f>
        <v>-32.352941176470637</v>
      </c>
      <c r="BE32" s="103">
        <f>100-BE33</f>
        <v>17.899999999999991</v>
      </c>
      <c r="BF32" s="81">
        <f>IF(ISERROR((BE32/AW32-1)*100),"NA",IF(((BE32/AW32-1)*100)&gt;100,"NM",IF(((BE32/AW32-1)*100)&lt;-50,"NM",(BE32/AW32-1)*100)))</f>
        <v>70.476190476190396</v>
      </c>
      <c r="BG32" s="103">
        <f>100-BG33</f>
        <v>14.700000000000017</v>
      </c>
      <c r="BH32" s="81">
        <f>IF(ISERROR((BG32/AY32-1)*100),"NA",IF(((BG32/AY32-1)*100)&gt;100,"NM",IF(((BG32/AY32-1)*100)&lt;-50,"NM",(BG32/AY32-1)*100)))</f>
        <v>30.088495575221263</v>
      </c>
      <c r="BI32" s="103">
        <f>100-BI33</f>
        <v>9.9000000000000057</v>
      </c>
      <c r="BJ32" s="81">
        <f>IF(ISERROR((BI32/BA32-1)*100),"NA",IF(((BI32/BA32-1)*100)&gt;100,"NM",IF(((BI32/BA32-1)*100)&lt;-50,"NM",(BI32/BA32-1)*100)))</f>
        <v>-35.714285714285701</v>
      </c>
      <c r="BK32" s="103">
        <f>100-BK33</f>
        <v>10.400000000000006</v>
      </c>
      <c r="BL32" s="81">
        <f>IF(ISERROR((BK32/BC32-1)*100),"NA",IF(((BK32/BC32-1)*100)&gt;100,"NM",IF(((BK32/BC32-1)*100)&lt;-50,"NM",(BK32/BC32-1)*100)))</f>
        <v>13.043478260869756</v>
      </c>
      <c r="BM32" s="103">
        <f>100-BM33</f>
        <v>12.799999999999983</v>
      </c>
      <c r="BN32" s="81">
        <f>IF(ISERROR((BM32/BE32-1)*100),"NA",IF(((BM32/BE32-1)*100)&gt;100,"NM",IF(((BM32/BE32-1)*100)&lt;-50,"NM",(BM32/BE32-1)*100)))</f>
        <v>-28.491620111731908</v>
      </c>
      <c r="BO32" s="103">
        <f>100-BO33</f>
        <v>12.300000000000011</v>
      </c>
      <c r="BP32" s="81">
        <f>IF(ISERROR((BO32/BG32-1)*100),"NA",IF(((BO32/BG32-1)*100)&gt;100,"NM",IF(((BO32/BG32-1)*100)&lt;-50,"NM",(BO32/BG32-1)*100)))</f>
        <v>-16.326530612244916</v>
      </c>
      <c r="BQ32" s="103">
        <f>100-BQ33</f>
        <v>13.200000000000003</v>
      </c>
      <c r="BR32" s="81">
        <f>IF(ISERROR((BQ32/BI32-1)*100),"NA",IF(((BQ32/BI32-1)*100)&gt;100,"NM",IF(((BQ32/BI32-1)*100)&lt;-50,"NM",(BQ32/BI32-1)*100)))</f>
        <v>33.333333333333279</v>
      </c>
      <c r="BS32" s="103">
        <f>100-BS33</f>
        <v>10.899999999999991</v>
      </c>
      <c r="BT32" s="81">
        <f>IF(ISERROR((BS32/BK32-1)*100),"NA",IF(((BS32/BK32-1)*100)&gt;100,"NM",IF(((BS32/BK32-1)*100)&lt;-50,"NM",(BS32/BK32-1)*100)))</f>
        <v>4.8076923076921574</v>
      </c>
      <c r="BU32" s="103">
        <f>100-BU33</f>
        <v>13.600000000000009</v>
      </c>
      <c r="BV32" s="81">
        <f>IF(ISERROR((BU32/BM32-1)*100),"NA",IF(((BU32/BM32-1)*100)&gt;100,"NM",IF(((BU32/BM32-1)*100)&lt;-50,"NM",(BU32/BM32-1)*100)))</f>
        <v>6.2500000000001998</v>
      </c>
      <c r="BW32" s="103">
        <f>100-BW33</f>
        <v>13.499999999999986</v>
      </c>
      <c r="BX32" s="81">
        <f>IF(ISERROR((BW32/BO32-1)*100),"NA",IF(((BW32/BO32-1)*100)&gt;100,"NM",IF(((BW32/BO32-1)*100)&lt;-50,"NM",(BW32/BO32-1)*100)))</f>
        <v>9.7560975609753964</v>
      </c>
      <c r="BY32" s="103">
        <f>100-BY33</f>
        <v>9.7000000000000171</v>
      </c>
      <c r="BZ32" s="81">
        <f>IF(ISERROR((BY32/BQ32-1)*100),"NA",IF(((BY32/BQ32-1)*100)&gt;100,"NM",IF(((BY32/BQ32-1)*100)&lt;-50,"NM",(BY32/BQ32-1)*100)))</f>
        <v>-26.515151515151402</v>
      </c>
      <c r="CA32" s="103">
        <f>100-CA33</f>
        <v>8.1999999999999886</v>
      </c>
      <c r="CB32" s="81">
        <f>IF(ISERROR((CA32/BS32-1)*100),"NA",IF(((CA32/BS32-1)*100)&gt;100,"NM",IF(((CA32/BS32-1)*100)&lt;-50,"NM",(CA32/BS32-1)*100)))</f>
        <v>-24.770642201834903</v>
      </c>
      <c r="CC32" s="103">
        <f>100-CC33</f>
        <v>9.7999999999999972</v>
      </c>
      <c r="CD32" s="81">
        <f>IF(ISERROR((CC32/BU32-1)*100),"NA",IF(((CC32/BU32-1)*100)&gt;100,"NM",IF(((CC32/BU32-1)*100)&lt;-50,"NM",(CC32/BU32-1)*100)))</f>
        <v>-27.941176470588303</v>
      </c>
      <c r="CE32" s="103">
        <f>100-CE33</f>
        <v>11.399999999999991</v>
      </c>
      <c r="CF32" s="81">
        <f>IF(ISERROR((CE32/BW32-1)*100),"NA",IF(((CE32/BW32-1)*100)&gt;100,"NM",IF(((CE32/BW32-1)*100)&lt;-50,"NM",(CE32/BW32-1)*100)))</f>
        <v>-15.555555555555534</v>
      </c>
      <c r="CG32" s="103">
        <f>100-CG33</f>
        <v>11</v>
      </c>
      <c r="CH32" s="81">
        <f>IF(ISERROR((CG32/BY32-1)*100),"NA",IF(((CG32/BY32-1)*100)&gt;100,"NM",IF(((CG32/BY32-1)*100)&lt;-50,"NM",(CG32/BY32-1)*100)))</f>
        <v>13.402061855669899</v>
      </c>
      <c r="CI32" s="103">
        <f>100-CI33</f>
        <v>9.6000000000000085</v>
      </c>
      <c r="CJ32" s="81">
        <f>IF(ISERROR((CI32/CA32-1)*100),"NA",IF(((CI32/CA32-1)*100)&gt;100,"NM",IF(((CI32/CA32-1)*100)&lt;-50,"NM",(CI32/CA32-1)*100)))</f>
        <v>17.073170731707577</v>
      </c>
      <c r="CK32" s="103">
        <f>100-CK33</f>
        <v>9.6000000000000085</v>
      </c>
      <c r="CL32" s="81">
        <f>IF(ISERROR((CK32/CC32-1)*100),"NA",IF(((CK32/CC32-1)*100)&gt;100,"NM",IF(((CK32/CC32-1)*100)&lt;-50,"NM",(CK32/CC32-1)*100)))</f>
        <v>-2.0408163265304924</v>
      </c>
      <c r="CM32" s="103">
        <f>100-CM33</f>
        <v>9.6999999999999886</v>
      </c>
      <c r="CN32" s="81">
        <f>IF(ISERROR((CM32/CE32-1)*100),"NA",IF(((CM32/CE32-1)*100)&gt;100,"NM",IF(((CM32/CE32-1)*100)&lt;-50,"NM",(CM32/CE32-1)*100)))</f>
        <v>-14.912280701754421</v>
      </c>
      <c r="CO32" s="103">
        <f>100-CO33</f>
        <v>14.600000000000009</v>
      </c>
      <c r="CP32" s="81">
        <f>IF(ISERROR((CO32/CG32-1)*100),"NA",IF(((CO32/CG32-1)*100)&gt;100,"NM",IF(((CO32/CG32-1)*100)&lt;-50,"NM",(CO32/CG32-1)*100)))</f>
        <v>32.727272727272805</v>
      </c>
      <c r="CQ32" s="103">
        <f>100-CQ33</f>
        <v>4.3999999999999915</v>
      </c>
      <c r="CR32" s="81" t="str">
        <f>IF(ISERROR((CQ32/CI32-1)*100),"NA",IF(((CQ32/CI32-1)*100)&gt;100,"NM",IF(((CQ32/CI32-1)*100)&lt;-50,"NM",(CQ32/CI32-1)*100)))</f>
        <v>NM</v>
      </c>
      <c r="CS32" s="103">
        <f>100-CS33</f>
        <v>10.299999999999997</v>
      </c>
      <c r="CT32" s="81">
        <f>IF(ISERROR((CS32/CK32-1)*100),"NA",IF(((CS32/CK32-1)*100)&gt;100,"NM",IF(((CS32/CK32-1)*100)&lt;-50,"NM",(CS32/CK32-1)*100)))</f>
        <v>7.2916666666665408</v>
      </c>
      <c r="CU32" s="103">
        <f>100-CU33</f>
        <v>9.2999999999999972</v>
      </c>
      <c r="CV32" s="81">
        <f>IF(ISERROR((CU32/CM32-1)*100),"NA",IF(((CU32/CM32-1)*100)&gt;100,"NM",IF(((CU32/CM32-1)*100)&lt;-50,"NM",(CU32/CM32-1)*100)))</f>
        <v>-4.1237113402061043</v>
      </c>
      <c r="CW32" s="103">
        <f>100-CW33</f>
        <v>12.899999999999991</v>
      </c>
      <c r="CX32" s="81">
        <f>IF(ISERROR((CW32/CO32-1)*100),"NA",IF(((CW32/CO32-1)*100)&gt;100,"NM",IF(((CW32/CO32-1)*100)&lt;-50,"NM",(CW32/CO32-1)*100)))</f>
        <v>-11.643835616438469</v>
      </c>
      <c r="CY32" s="103">
        <f>100-CY33</f>
        <v>11.900000000000006</v>
      </c>
      <c r="CZ32" s="81" t="str">
        <f>IF(ISERROR((CY32/CQ32-1)*100),"NA",IF(((CY32/CQ32-1)*100)&gt;100,"NM",IF(((CY32/CQ32-1)*100)&lt;-50,"NM",(CY32/CQ32-1)*100)))</f>
        <v>NM</v>
      </c>
      <c r="DA32" s="103">
        <f>100-DA33</f>
        <v>13.699999999999989</v>
      </c>
      <c r="DB32" s="81">
        <f>IF(ISERROR((DA32/CS32-1)*100),"NA",IF(((DA32/CS32-1)*100)&gt;100,"NM",IF(((DA32/CS32-1)*100)&lt;-50,"NM",(DA32/CS32-1)*100)))</f>
        <v>33.009708737863996</v>
      </c>
      <c r="DC32" s="103">
        <f>100-DC33</f>
        <v>13</v>
      </c>
      <c r="DD32" s="81">
        <f>IF(ISERROR((DC32/CU32-1)*100),"NA",IF(((DC32/CU32-1)*100)&gt;100,"NM",IF(((DC32/CU32-1)*100)&lt;-50,"NM",(DC32/CU32-1)*100)))</f>
        <v>39.784946236559193</v>
      </c>
      <c r="DE32" s="103">
        <f>100-DE33</f>
        <v>9.3999999999999915</v>
      </c>
      <c r="DF32" s="81">
        <f>IF(ISERROR((DE32/CW32-1)*100),"NA",IF(((DE32/CW32-1)*100)&gt;100,"NM",IF(((DE32/CW32-1)*100)&lt;-50,"NM",(DE32/CW32-1)*100)))</f>
        <v>-27.13178294573645</v>
      </c>
      <c r="DG32" s="103">
        <f>100-DG33</f>
        <v>10.900000000000006</v>
      </c>
      <c r="DH32" s="81">
        <f>IF(ISERROR((DG32/CY32-1)*100),"NA",IF(((DG32/CY32-1)*100)&gt;100,"NM",IF(((DG32/CY32-1)*100)&lt;-50,"NM",(DG32/CY32-1)*100)))</f>
        <v>-8.4033613445378066</v>
      </c>
      <c r="DI32" s="103">
        <f>100-DI33</f>
        <v>8.5999999999999943</v>
      </c>
      <c r="DJ32" s="81">
        <f>IF(ISERROR((DI32/DA32-1)*100),"NA",IF(((DI32/DA32-1)*100)&gt;100,"NM",IF(((DI32/DA32-1)*100)&lt;-50,"NM",(DI32/DA32-1)*100)))</f>
        <v>-37.226277372262764</v>
      </c>
      <c r="DK32" s="103">
        <f>100-DK33</f>
        <v>9.0000000000000142</v>
      </c>
      <c r="DL32" s="81">
        <f>IF(ISERROR((DK32/DC32-1)*100),"NA",IF(((DK32/DC32-1)*100)&gt;100,"NM",IF(((DK32/DC32-1)*100)&lt;-50,"NM",(DK32/DC32-1)*100)))</f>
        <v>-30.76923076923066</v>
      </c>
      <c r="DM32" s="103">
        <f>100-DM33</f>
        <v>8.5999999999999943</v>
      </c>
      <c r="DN32" s="81">
        <f>IF(ISERROR((DM32/DE32-1)*100),"NA",IF(((DM32/DE32-1)*100)&gt;100,"NM",IF(((DM32/DE32-1)*100)&lt;-50,"NM",(DM32/DE32-1)*100)))</f>
        <v>-8.510638297872319</v>
      </c>
      <c r="DO32" s="103">
        <f>100-DO33</f>
        <v>8.1999999999999886</v>
      </c>
      <c r="DP32" s="81">
        <f>IF(ISERROR((DO32/DG32-1)*100),"NA",IF(((DO32/DG32-1)*100)&gt;100,"NM",IF(((DO32/DG32-1)*100)&lt;-50,"NM",(DO32/DG32-1)*100)))</f>
        <v>-24.770642201835003</v>
      </c>
      <c r="DQ32" s="103">
        <f>100-DQ33</f>
        <v>7.2000000000000171</v>
      </c>
      <c r="DR32" s="81">
        <f>IF(ISERROR((DQ32/DI32-1)*100),"NA",IF(((DQ32/DI32-1)*100)&gt;100,"NM",IF(((DQ32/DI32-1)*100)&lt;-50,"NM",(DQ32/DI32-1)*100)))</f>
        <v>-16.279069767441612</v>
      </c>
      <c r="DS32" s="103">
        <f>100-DS33</f>
        <v>7.9000000000000057</v>
      </c>
      <c r="DT32" s="81">
        <f>IF(ISERROR((DS32/DK32-1)*100),"NA",IF(((DS32/DK32-1)*100)&gt;100,"NM",IF(((DS32/DK32-1)*100)&lt;-50,"NM",(DS32/DK32-1)*100)))</f>
        <v>-12.222222222222301</v>
      </c>
      <c r="DU32" s="103">
        <f>100-DU33</f>
        <v>14.299999999999983</v>
      </c>
      <c r="DV32" s="81">
        <f>IF(ISERROR((DU32/DM32-1)*100),"NA",IF(((DU32/DM32-1)*100)&gt;100,"NM",IF(((DU32/DM32-1)*100)&lt;-50,"NM",(DU32/DM32-1)*100)))</f>
        <v>66.279069767441783</v>
      </c>
      <c r="DW32" s="103">
        <f>100-DW33</f>
        <v>8.3000000000000114</v>
      </c>
      <c r="DX32" s="81">
        <f>IF(ISERROR((DW32/DO32-1)*100),"NA",IF(((DW32/DO32-1)*100)&gt;100,"NM",IF(((DW32/DO32-1)*100)&lt;-50,"NM",(DW32/DO32-1)*100)))</f>
        <v>1.219512195122241</v>
      </c>
      <c r="DY32" s="103">
        <f>100-DY33</f>
        <v>9.2999999999999972</v>
      </c>
      <c r="DZ32" s="81">
        <f>IF(ISERROR((DY32/DQ32-1)*100),"NA",IF(((DY32/DQ32-1)*100)&gt;100,"NM",IF(((DY32/DQ32-1)*100)&lt;-50,"NM",(DY32/DQ32-1)*100)))</f>
        <v>29.16666666666632</v>
      </c>
      <c r="EA32" s="103">
        <f>100-EA33</f>
        <v>8.5</v>
      </c>
      <c r="EB32" s="81">
        <f>IF(ISERROR((EA32/DS32-1)*100),"NA",IF(((EA32/DS32-1)*100)&gt;100,"NM",IF(((EA32/DS32-1)*100)&lt;-50,"NM",(EA32/DS32-1)*100)))</f>
        <v>7.5949367088606889</v>
      </c>
      <c r="EC32" s="103">
        <f>100-EC33</f>
        <v>14.800000000000011</v>
      </c>
      <c r="ED32" s="81">
        <f t="shared" ref="ED32:ED36" si="195">IF(ISERROR((EC32/DU32-1)*100),"NA",IF(((EC32/DU32-1)*100)&gt;100,"NM",IF(((EC32/DU32-1)*100)&lt;-50,"NM",(EC32/DU32-1)*100)))</f>
        <v>3.4965034965037001</v>
      </c>
      <c r="EE32" s="103">
        <f>100-EE33</f>
        <v>9.5</v>
      </c>
      <c r="EF32" s="81">
        <f t="shared" ref="EF32:EF36" si="196">IF(ISERROR((EE32/DW32-1)*100),"NA",IF(((EE32/DW32-1)*100)&gt;100,"NM",IF(((EE32/DW32-1)*100)&lt;-50,"NM",(EE32/DW32-1)*100)))</f>
        <v>14.457831325301051</v>
      </c>
      <c r="EG32" s="103">
        <f>100-EG33</f>
        <v>10.299999999999997</v>
      </c>
      <c r="EH32" s="81">
        <f t="shared" ref="EH32:EH36" si="197">IF(ISERROR((EG32/DY32-1)*100),"NA",IF(((EG32/DY32-1)*100)&gt;100,"NM",IF(((EG32/DY32-1)*100)&lt;-50,"NM",(EG32/DY32-1)*100)))</f>
        <v>10.752688172043023</v>
      </c>
      <c r="EI32" s="103">
        <f>100-EI33</f>
        <v>9.6999999999999886</v>
      </c>
      <c r="EJ32" s="81">
        <f t="shared" ref="EJ32:EJ36" si="198">IF(ISERROR((EI32/EA32-1)*100),"NA",IF(((EI32/EA32-1)*100)&gt;100,"NM",IF(((EI32/EA32-1)*100)&lt;-50,"NM",(EI32/EA32-1)*100)))</f>
        <v>14.11764705882339</v>
      </c>
      <c r="EK32" s="103">
        <f t="shared" ref="EK32:EQ32" si="199">100-EK33</f>
        <v>10</v>
      </c>
      <c r="EL32" s="81">
        <f t="shared" ref="EL32:EL36" si="200">IF(ISERROR((EK32/EC32-1)*100),"NA",IF(((EK32/EC32-1)*100)&gt;100,"NM",IF(((EK32/EC32-1)*100)&lt;-50,"NM",(EK32/EC32-1)*100)))</f>
        <v>-32.432432432432492</v>
      </c>
      <c r="EM32" s="103">
        <f t="shared" si="199"/>
        <v>10</v>
      </c>
      <c r="EN32" s="81">
        <f t="shared" ref="EN32:EN36" si="201">IF(ISERROR((EM32/EE32-1)*100),"NA",IF(((EM32/EE32-1)*100)&gt;100,"NM",IF(((EM32/EE32-1)*100)&lt;-50,"NM",(EM32/EE32-1)*100)))</f>
        <v>5.2631578947368363</v>
      </c>
      <c r="EO32" s="103">
        <f t="shared" si="199"/>
        <v>10</v>
      </c>
      <c r="EP32" s="81">
        <f t="shared" ref="EP32:EP36" si="202">IF(ISERROR((EO32/EG32-1)*100),"NA",IF(((EO32/EG32-1)*100)&gt;100,"NM",IF(((EO32/EG32-1)*100)&lt;-50,"NM",(EO32/EG32-1)*100)))</f>
        <v>-2.9126213592232775</v>
      </c>
      <c r="EQ32" s="103">
        <f t="shared" si="199"/>
        <v>10</v>
      </c>
      <c r="ER32" s="81">
        <f t="shared" ref="ER32:ER36" si="203">IF(ISERROR((EQ32/EI32-1)*100),"NA",IF(((EQ32/EI32-1)*100)&gt;100,"NM",IF(((EQ32/EI32-1)*100)&lt;-50,"NM",(EQ32/EI32-1)*100)))</f>
        <v>3.0927835051547614</v>
      </c>
      <c r="ES32" s="78"/>
      <c r="ET32" s="465"/>
      <c r="EU32" s="78"/>
      <c r="EV32" s="78"/>
      <c r="EW32" s="3"/>
      <c r="EX32" s="78"/>
      <c r="EY32" s="3"/>
      <c r="EZ32" s="78"/>
      <c r="FA32" s="3"/>
      <c r="FB32" s="78"/>
      <c r="FC32" s="3"/>
      <c r="FD32" s="104"/>
      <c r="FE32" s="79"/>
      <c r="FF32" s="104"/>
      <c r="FG32" s="79"/>
      <c r="FH32" s="105" t="s">
        <v>199</v>
      </c>
      <c r="FI32" s="79" t="str">
        <f>IF(ISERROR((FH32/FF32-1)*100),"NA",IF(((FH32/FF32-1)*100)&gt;100,"NM",IF(((FH32/FF32-1)*100)&lt;-50,"NM",(FH32/FF32-1)*100)))</f>
        <v>NA</v>
      </c>
      <c r="FJ32" s="104">
        <f>-FJ27/FJ25*100</f>
        <v>14.812983846388303</v>
      </c>
      <c r="FK32" s="79" t="str">
        <f>IF(ISERROR((FJ32/FH32-1)*100),"NA",IF(((FJ32/FH32-1)*100)&gt;100,"NM",IF(((FJ32/FH32-1)*100)&lt;-50,"NM",(FJ32/FH32-1)*100)))</f>
        <v>NA</v>
      </c>
      <c r="FL32" s="104">
        <f>-FL27/FL25*100</f>
        <v>12.055391456249007</v>
      </c>
      <c r="FM32" s="79">
        <f>IF(ISERROR((FL32/FJ32-1)*100),"NA",IF(((FL32/FJ32-1)*100)&gt;100,"NM",IF(((FL32/FJ32-1)*100)&lt;-50,"NM",(FL32/FJ32-1)*100)))</f>
        <v>-18.61604939785073</v>
      </c>
      <c r="FN32" s="104">
        <f>-FN27/FN25*100</f>
        <v>13.871156614941613</v>
      </c>
      <c r="FO32" s="79">
        <f>IF(ISERROR((FN32/FL32-1)*100),"NA",IF(((FN32/FL32-1)*100)&gt;100,"NM",IF(((FN32/FL32-1)*100)&lt;-50,"NM",(FN32/FL32-1)*100)))</f>
        <v>15.061851498413104</v>
      </c>
      <c r="FP32" s="104">
        <f>-FP27/FP25*100</f>
        <v>11.042346245327899</v>
      </c>
      <c r="FQ32" s="79">
        <f>IF(ISERROR((FP32/FN32-1)*100),"NA",IF(((FP32/FN32-1)*100)&gt;100,"NM",IF(((FP32/FN32-1)*100)&lt;-50,"NM",(FP32/FN32-1)*100)))</f>
        <v>-20.39347149008902</v>
      </c>
      <c r="FR32" s="103">
        <f>-FR27/FR25*100</f>
        <v>13.649392259821077</v>
      </c>
      <c r="FS32" s="79">
        <f>IF(ISERROR((FR32/FP32-1)*100),"NA",IF(((FR32/FP32-1)*100)&gt;100,"NM",IF(((FR32/FP32-1)*100)&lt;-50,"NM",(FR32/FP32-1)*100)))</f>
        <v>23.609529683025833</v>
      </c>
      <c r="FT32" s="103">
        <f>-FT27/FT25*100</f>
        <v>9.5369585511575785</v>
      </c>
      <c r="FU32" s="79">
        <f>IF(ISERROR((FT32/FR32-1)*100),"NA",IF(((FT32/FR32-1)*100)&gt;100,"NM",IF(((FT32/FR32-1)*100)&lt;-50,"NM",(FT32/FR32-1)*100)))</f>
        <v>-30.129060916279993</v>
      </c>
      <c r="FV32" s="103">
        <f>-FV27/FV25*100</f>
        <v>9.8893280824581868</v>
      </c>
      <c r="FW32" s="79">
        <f>IF(ISERROR((FV32/FT32-1)*100),"NA",IF(((FV32/FT32-1)*100)&gt;100,"NM",IF(((FV32/FT32-1)*100)&lt;-50,"NM",(FV32/FT32-1)*100)))</f>
        <v>3.6947788900460132</v>
      </c>
      <c r="FX32" s="103">
        <f>-FX27/FX25*100</f>
        <v>9.6855752298962994</v>
      </c>
      <c r="FY32" s="79">
        <f>IF(ISERROR((FX32/FV32-1)*100),"NA",IF(((FX32/FV32-1)*100)&gt;100,"NM",IF(((FX32/FV32-1)*100)&lt;-50,"NM",(FX32/FV32-1)*100)))</f>
        <v>-2.0603305994398857</v>
      </c>
      <c r="FZ32" s="103">
        <f>-FZ27/FZ25*100</f>
        <v>13.004077462047487</v>
      </c>
      <c r="GA32" s="79">
        <f>IF(ISERROR((FZ32/FX32-1)*100),"NA",IF(((FZ32/FX32-1)*100)&gt;100,"NM",IF(((FZ32/FX32-1)*100)&lt;-50,"NM",(FZ32/FX32-1)*100)))</f>
        <v>34.262314352874192</v>
      </c>
      <c r="GB32" s="103">
        <f>-GB27/GB25*100</f>
        <v>9.6422956589753639</v>
      </c>
      <c r="GC32" s="79">
        <f>IF(ISERROR((GB32/FZ32-1)*100),"NA",IF(((GB32/FZ32-1)*100)&gt;100,"NM",IF(((GB32/FZ32-1)*100)&lt;-50,"NM",(GB32/FZ32-1)*100)))</f>
        <v>-25.851751597785487</v>
      </c>
      <c r="GD32" s="103">
        <f>-GD27/GD25*100</f>
        <v>8.1859883505917193</v>
      </c>
      <c r="GE32" s="79">
        <f>IF(ISERROR((GD32/GB32-1)*100),"NA",IF(((GD32/GB32-1)*100)&gt;100,"NM",IF(((GD32/GB32-1)*100)&lt;-50,"NM",(GD32/GB32-1)*100)))</f>
        <v>-15.103325596825757</v>
      </c>
      <c r="GF32" s="103">
        <f>-GF27/GF25*100</f>
        <v>10.28743427970557</v>
      </c>
      <c r="GG32" s="79">
        <f>IF(ISERROR((GF32/GD32-1)*100),"NA",IF(((GF32/GD32-1)*100)&gt;100,"NM",IF(((GF32/GD32-1)*100)&lt;-50,"NM",(GF32/GD32-1)*100)))</f>
        <v>25.671254821196388</v>
      </c>
      <c r="GH32" s="103">
        <f>-GH27/GH25*100</f>
        <v>11.112468322351749</v>
      </c>
      <c r="GI32" s="79">
        <f>IF(ISERROR((GH32/GF32-1)*100),"NA",IF(((GH32/GF32-1)*100)&gt;100,"NM",IF(((GH32/GF32-1)*100)&lt;-50,"NM",(GH32/GF32-1)*100)))</f>
        <v>8.019823215529609</v>
      </c>
      <c r="GJ32" s="103">
        <f>-GJ27/GJ25*100</f>
        <v>10.318568780700542</v>
      </c>
      <c r="GK32" s="79">
        <f>IF(ISERROR((GJ32/GH32-1)*100),"NA",IF(((GJ32/GH32-1)*100)&gt;100,"NM",IF(((GJ32/GH32-1)*100)&lt;-50,"NM",(GJ32/GH32-1)*100)))</f>
        <v>-7.1442232150560887</v>
      </c>
      <c r="GL32" s="103">
        <f>100-GL34</f>
        <v>10.318568780700545</v>
      </c>
      <c r="GM32" s="79">
        <f>IF(ISERROR((GL32/GJ32-1)*100),"NA",IF(((GL32/GJ32-1)*100)&gt;100,"NM",IF(((GL32/GJ32-1)*100)&lt;-50,"NM",(GL32/GJ32-1)*100)))</f>
        <v>4.4408920985006262E-14</v>
      </c>
      <c r="GN32" s="103">
        <f>100-GN34</f>
        <v>10.318568780700545</v>
      </c>
      <c r="GO32" s="79">
        <f>IF(ISERROR((GN32/GL32-1)*100),"NA",IF(((GN32/GL32-1)*100)&gt;100,"NM",IF(((GN32/GL32-1)*100)&lt;-50,"NM",(GN32/GL32-1)*100)))</f>
        <v>0</v>
      </c>
      <c r="GP32" s="103">
        <f>100-GP34</f>
        <v>10.318568780700545</v>
      </c>
      <c r="GQ32" s="79">
        <f>IF(ISERROR((GP32/GN32-1)*100),"NA",IF(((GP32/GN32-1)*100)&gt;100,"NM",IF(((GP32/GN32-1)*100)&lt;-50,"NM",(GP32/GN32-1)*100)))</f>
        <v>0</v>
      </c>
      <c r="GR32" s="103">
        <f>100-GR34</f>
        <v>10.318568780700545</v>
      </c>
      <c r="GS32" s="79">
        <f>IF(ISERROR((GR32/GP32-1)*100),"NA",IF(((GR32/GP32-1)*100)&gt;100,"NM",IF(((GR32/GP32-1)*100)&lt;-50,"NM",(GR32/GP32-1)*100)))</f>
        <v>0</v>
      </c>
      <c r="GT32" s="79">
        <f>IF(ISERROR(((GR32/GH32)^0.2-1)*100),"NA",(IF(OR(((GR32/GH32)^0.2-1)*100&gt;99,((GR32/GH32)^0.2-1)*100&lt;-50),"NM",(((GR32/GH32)^0.2-1)*100))))</f>
        <v>-1.4715194300586099</v>
      </c>
    </row>
    <row r="33" spans="1:286" s="110" customFormat="1" ht="12.75" customHeight="1" x14ac:dyDescent="0.2">
      <c r="A33" s="106"/>
      <c r="B33" s="2" t="s">
        <v>476</v>
      </c>
      <c r="C33" s="97"/>
      <c r="D33" s="97"/>
      <c r="E33" s="107"/>
      <c r="F33" s="108"/>
      <c r="G33" s="107"/>
      <c r="H33" s="108"/>
      <c r="I33" s="101"/>
      <c r="J33" s="108"/>
      <c r="K33" s="101"/>
      <c r="L33" s="79"/>
      <c r="M33" s="107"/>
      <c r="N33" s="79"/>
      <c r="O33" s="107"/>
      <c r="P33" s="79"/>
      <c r="Q33" s="101"/>
      <c r="R33" s="79"/>
      <c r="S33" s="101"/>
      <c r="T33" s="79"/>
      <c r="U33" s="107"/>
      <c r="V33" s="79"/>
      <c r="W33" s="107"/>
      <c r="X33" s="79"/>
      <c r="Y33" s="101"/>
      <c r="Z33" s="79"/>
      <c r="AA33" s="102"/>
      <c r="AB33" s="79"/>
      <c r="AC33" s="109">
        <f>+AC34</f>
        <v>83.5</v>
      </c>
      <c r="AD33" s="79" t="str">
        <f>IF(ISERROR((AC33/U33-1)*100),"NA",IF(((AC33/U33-1)*100)&gt;100,"NM",IF(((AC33/U33-1)*100)&lt;-50,"NM",(AC33/U33-1)*100)))</f>
        <v>NA</v>
      </c>
      <c r="AE33" s="109">
        <f>+AE34*2-AC34*1</f>
        <v>86.300000000000011</v>
      </c>
      <c r="AF33" s="79" t="str">
        <f>IF(ISERROR((AE33/W33-1)*100),"NA",IF(((AE33/W33-1)*100)&gt;100,"NM",IF(((AE33/W33-1)*100)&lt;-50,"NM",(AE33/W33-1)*100)))</f>
        <v>NA</v>
      </c>
      <c r="AG33" s="109">
        <f>+AG34*3-AE34*2</f>
        <v>83.999999999999972</v>
      </c>
      <c r="AH33" s="79" t="str">
        <f>IF(ISERROR((AG33/Y33-1)*100),"NA",IF(((AG33/Y33-1)*100)&gt;100,"NM",IF(((AG33/Y33-1)*100)&lt;-50,"NM",(AG33/Y33-1)*100)))</f>
        <v>NA</v>
      </c>
      <c r="AI33" s="109">
        <f>+AI34*4-AG34*3</f>
        <v>85.4</v>
      </c>
      <c r="AJ33" s="79" t="str">
        <f>IF(ISERROR((AI33/AA33-1)*100),"NA",IF(((AI33/AA33-1)*100)&gt;100,"NM",IF(((AI33/AA33-1)*100)&lt;-50,"NM",(AI33/AA33-1)*100)))</f>
        <v>NA</v>
      </c>
      <c r="AK33" s="109">
        <f>+AK34</f>
        <v>82.6</v>
      </c>
      <c r="AL33" s="79">
        <f>IF(ISERROR((AK33/AC33-1)*100),"NA",IF(((AK33/AC33-1)*100)&gt;100,"NM",IF(((AK33/AC33-1)*100)&lt;-50,"NM",(AK33/AC33-1)*100)))</f>
        <v>-1.0778443113772518</v>
      </c>
      <c r="AM33" s="109">
        <f>+AM34*2-AK34*1</f>
        <v>83.800000000000011</v>
      </c>
      <c r="AN33" s="79">
        <f>IF(ISERROR((AM33/AE33-1)*100),"NA",IF(((AM33/AE33-1)*100)&gt;100,"NM",IF(((AM33/AE33-1)*100)&lt;-50,"NM",(AM33/AE33-1)*100)))</f>
        <v>-2.8968713789107814</v>
      </c>
      <c r="AO33" s="109">
        <f>+AO34*3-AM34*2</f>
        <v>86.800000000000011</v>
      </c>
      <c r="AP33" s="79">
        <f>IF(ISERROR((AO33/AG33-1)*100),"NA",IF(((AO33/AG33-1)*100)&gt;100,"NM",IF(((AO33/AG33-1)*100)&lt;-50,"NM",(AO33/AG33-1)*100)))</f>
        <v>3.3333333333333881</v>
      </c>
      <c r="AQ33" s="109">
        <f>+AQ34*4-AO34*3</f>
        <v>85.999999999999972</v>
      </c>
      <c r="AR33" s="79">
        <f>IF(ISERROR((AQ33/AI33-1)*100),"NA",IF(((AQ33/AI33-1)*100)&gt;100,"NM",IF(((AQ33/AI33-1)*100)&lt;-50,"NM",(AQ33/AI33-1)*100)))</f>
        <v>0.70257611241213436</v>
      </c>
      <c r="AS33" s="103">
        <f>+AS34</f>
        <v>86.6</v>
      </c>
      <c r="AT33" s="81">
        <f>IF(ISERROR((AS33/AK33-1)*100),"NA",IF(((AS33/AK33-1)*100)&gt;100,"NM",IF(((AS33/AK33-1)*100)&lt;-50,"NM",(AS33/AK33-1)*100)))</f>
        <v>4.8426150121065437</v>
      </c>
      <c r="AU33" s="103">
        <f>+AU34*2-AS34*1</f>
        <v>86.4</v>
      </c>
      <c r="AV33" s="81">
        <f>IF(ISERROR((AU33/AM33-1)*100),"NA",IF(((AU33/AM33-1)*100)&gt;100,"NM",IF(((AU33/AM33-1)*100)&lt;-50,"NM",(AU33/AM33-1)*100)))</f>
        <v>3.1026252983293423</v>
      </c>
      <c r="AW33" s="103">
        <f>+AW34*3-AU34*2</f>
        <v>89.5</v>
      </c>
      <c r="AX33" s="81">
        <f>IF(ISERROR((AW33/AO33-1)*100),"NA",IF(((AW33/AO33-1)*100)&gt;100,"NM",IF(((AW33/AO33-1)*100)&lt;-50,"NM",(AW33/AO33-1)*100)))</f>
        <v>3.110599078340992</v>
      </c>
      <c r="AY33" s="103">
        <f>+AY34*4-AW34*3</f>
        <v>88.699999999999989</v>
      </c>
      <c r="AZ33" s="81">
        <f>IF(ISERROR((AY33/AQ33-1)*100),"NA",IF(((AY33/AQ33-1)*100)&gt;100,"NM",IF(((AY33/AQ33-1)*100)&lt;-50,"NM",(AY33/AQ33-1)*100)))</f>
        <v>3.1395348837209403</v>
      </c>
      <c r="BA33" s="103">
        <f>+BA34</f>
        <v>84.6</v>
      </c>
      <c r="BB33" s="81">
        <f>IF(ISERROR((BA33/AS33-1)*100),"NA",IF(((BA33/AS33-1)*100)&gt;100,"NM",IF(((BA33/AS33-1)*100)&lt;-50,"NM",(BA33/AS33-1)*100)))</f>
        <v>-2.3094688221709014</v>
      </c>
      <c r="BC33" s="103">
        <f>+BC34*2-BA34*1</f>
        <v>90.800000000000011</v>
      </c>
      <c r="BD33" s="81">
        <f>IF(ISERROR((BC33/AU33-1)*100),"NA",IF(((BC33/AU33-1)*100)&gt;100,"NM",IF(((BC33/AU33-1)*100)&lt;-50,"NM",(BC33/AU33-1)*100)))</f>
        <v>5.0925925925926041</v>
      </c>
      <c r="BE33" s="103">
        <f>+BE34*2-BC34*1</f>
        <v>82.100000000000009</v>
      </c>
      <c r="BF33" s="81">
        <f>IF(ISERROR((BE33/AW33-1)*100),"NA",IF(((BE33/AW33-1)*100)&gt;100,"NM",IF(((BE33/AW33-1)*100)&lt;-50,"NM",(BE33/AW33-1)*100)))</f>
        <v>-8.2681564245809973</v>
      </c>
      <c r="BG33" s="103">
        <f>+BG34*2-BE34*1</f>
        <v>85.299999999999983</v>
      </c>
      <c r="BH33" s="81">
        <f>IF(ISERROR((BG33/AY33-1)*100),"NA",IF(((BG33/AY33-1)*100)&gt;100,"NM",IF(((BG33/AY33-1)*100)&lt;-50,"NM",(BG33/AY33-1)*100)))</f>
        <v>-3.8331454340473581</v>
      </c>
      <c r="BI33" s="103">
        <f>+BI34*2-BG34*1</f>
        <v>90.1</v>
      </c>
      <c r="BJ33" s="81">
        <f>IF(ISERROR((BI33/BA33-1)*100),"NA",IF(((BI33/BA33-1)*100)&gt;100,"NM",IF(((BI33/BA33-1)*100)&lt;-50,"NM",(BI33/BA33-1)*100)))</f>
        <v>6.5011820330969305</v>
      </c>
      <c r="BK33" s="103">
        <f>+BK34*2-BI34*1</f>
        <v>89.6</v>
      </c>
      <c r="BL33" s="81">
        <f>IF(ISERROR((BK33/BC33-1)*100),"NA",IF(((BK33/BC33-1)*100)&gt;100,"NM",IF(((BK33/BC33-1)*100)&lt;-50,"NM",(BK33/BC33-1)*100)))</f>
        <v>-1.3215859030837218</v>
      </c>
      <c r="BM33" s="103">
        <f>+BM34*2-BK34*1</f>
        <v>87.200000000000017</v>
      </c>
      <c r="BN33" s="81">
        <f>IF(ISERROR((BM33/BE33-1)*100),"NA",IF(((BM33/BE33-1)*100)&gt;100,"NM",IF(((BM33/BE33-1)*100)&lt;-50,"NM",(BM33/BE33-1)*100)))</f>
        <v>6.2119366626065764</v>
      </c>
      <c r="BO33" s="103">
        <f>+BO34*2-BM34*1</f>
        <v>87.699999999999989</v>
      </c>
      <c r="BP33" s="81">
        <f>IF(ISERROR((BO33/BG33-1)*100),"NA",IF(((BO33/BG33-1)*100)&gt;100,"NM",IF(((BO33/BG33-1)*100)&lt;-50,"NM",(BO33/BG33-1)*100)))</f>
        <v>2.8135990621336537</v>
      </c>
      <c r="BQ33" s="103">
        <f>+BQ34*2-BO34*1</f>
        <v>86.8</v>
      </c>
      <c r="BR33" s="81">
        <f>IF(ISERROR((BQ33/BI33-1)*100),"NA",IF(((BQ33/BI33-1)*100)&gt;100,"NM",IF(((BQ33/BI33-1)*100)&lt;-50,"NM",(BQ33/BI33-1)*100)))</f>
        <v>-3.662597114317423</v>
      </c>
      <c r="BS33" s="103">
        <f>+BS34*2-BQ34*1</f>
        <v>89.100000000000009</v>
      </c>
      <c r="BT33" s="81">
        <f>IF(ISERROR((BS33/BK33-1)*100),"NA",IF(((BS33/BK33-1)*100)&gt;100,"NM",IF(((BS33/BK33-1)*100)&lt;-50,"NM",(BS33/BK33-1)*100)))</f>
        <v>-0.55803571428569843</v>
      </c>
      <c r="BU33" s="103">
        <f>+BU34*2-BS34*1</f>
        <v>86.399999999999991</v>
      </c>
      <c r="BV33" s="81">
        <f>IF(ISERROR((BU33/BM33-1)*100),"NA",IF(((BU33/BM33-1)*100)&gt;100,"NM",IF(((BU33/BM33-1)*100)&lt;-50,"NM",(BU33/BM33-1)*100)))</f>
        <v>-0.91743119266057827</v>
      </c>
      <c r="BW33" s="103">
        <f>+BW34*2-BU34*1</f>
        <v>86.500000000000014</v>
      </c>
      <c r="BX33" s="81">
        <f>IF(ISERROR((BW33/BO33-1)*100),"NA",IF(((BW33/BO33-1)*100)&gt;100,"NM",IF(((BW33/BO33-1)*100)&lt;-50,"NM",(BW33/BO33-1)*100)))</f>
        <v>-1.3683010262257378</v>
      </c>
      <c r="BY33" s="103">
        <f>+BY34*2-BW34*1</f>
        <v>90.299999999999983</v>
      </c>
      <c r="BZ33" s="81">
        <f>IF(ISERROR((BY33/BQ33-1)*100),"NA",IF(((BY33/BQ33-1)*100)&gt;100,"NM",IF(((BY33/BQ33-1)*100)&lt;-50,"NM",(BY33/BQ33-1)*100)))</f>
        <v>4.0322580645161032</v>
      </c>
      <c r="CA33" s="103">
        <f>+CA34*2-BY34*1</f>
        <v>91.800000000000011</v>
      </c>
      <c r="CB33" s="81">
        <f>IF(ISERROR((CA33/BS33-1)*100),"NA",IF(((CA33/BS33-1)*100)&gt;100,"NM",IF(((CA33/BS33-1)*100)&lt;-50,"NM",(CA33/BS33-1)*100)))</f>
        <v>3.0303030303030276</v>
      </c>
      <c r="CC33" s="103">
        <f>+CC34*2-CA34*1</f>
        <v>90.2</v>
      </c>
      <c r="CD33" s="81">
        <f>IF(ISERROR((CC33/BU33-1)*100),"NA",IF(((CC33/BU33-1)*100)&gt;100,"NM",IF(((CC33/BU33-1)*100)&lt;-50,"NM",(CC33/BU33-1)*100)))</f>
        <v>4.3981481481481621</v>
      </c>
      <c r="CE33" s="103">
        <f>+CE34*2-CC34*1</f>
        <v>88.600000000000009</v>
      </c>
      <c r="CF33" s="81">
        <f>IF(ISERROR((CE33/BW33-1)*100),"NA",IF(((CE33/BW33-1)*100)&gt;100,"NM",IF(((CE33/BW33-1)*100)&lt;-50,"NM",(CE33/BW33-1)*100)))</f>
        <v>2.4277456647398665</v>
      </c>
      <c r="CG33" s="103">
        <f>+CG34*2-CE34*1</f>
        <v>89</v>
      </c>
      <c r="CH33" s="81">
        <f>IF(ISERROR((CG33/BY33-1)*100),"NA",IF(((CG33/BY33-1)*100)&gt;100,"NM",IF(((CG33/BY33-1)*100)&lt;-50,"NM",(CG33/BY33-1)*100)))</f>
        <v>-1.4396456256921208</v>
      </c>
      <c r="CI33" s="103">
        <f>+CI34*2-CG34*1</f>
        <v>90.399999999999991</v>
      </c>
      <c r="CJ33" s="81">
        <f>IF(ISERROR((CI33/CA33-1)*100),"NA",IF(((CI33/CA33-1)*100)&gt;100,"NM",IF(((CI33/CA33-1)*100)&lt;-50,"NM",(CI33/CA33-1)*100)))</f>
        <v>-1.5250544662309573</v>
      </c>
      <c r="CK33" s="103">
        <f>+CK34*2-CI34*1</f>
        <v>90.399999999999991</v>
      </c>
      <c r="CL33" s="81">
        <f>IF(ISERROR((CK33/CC33-1)*100),"NA",IF(((CK33/CC33-1)*100)&gt;100,"NM",IF(((CK33/CC33-1)*100)&lt;-50,"NM",(CK33/CC33-1)*100)))</f>
        <v>0.22172949002217113</v>
      </c>
      <c r="CM33" s="103">
        <f>+CM34*2-CK34*1</f>
        <v>90.300000000000011</v>
      </c>
      <c r="CN33" s="81">
        <f>IF(ISERROR((CM33/CE33-1)*100),"NA",IF(((CM33/CE33-1)*100)&gt;100,"NM",IF(((CM33/CE33-1)*100)&lt;-50,"NM",(CM33/CE33-1)*100)))</f>
        <v>1.9187358916478603</v>
      </c>
      <c r="CO33" s="103">
        <f>+CO34*2-CM34*1</f>
        <v>85.399999999999991</v>
      </c>
      <c r="CP33" s="81">
        <f>IF(ISERROR((CO33/CG33-1)*100),"NA",IF(((CO33/CG33-1)*100)&gt;100,"NM",IF(((CO33/CG33-1)*100)&lt;-50,"NM",(CO33/CG33-1)*100)))</f>
        <v>-4.0449438202247334</v>
      </c>
      <c r="CQ33" s="103">
        <f>+CQ34*2-CO34*1</f>
        <v>95.600000000000009</v>
      </c>
      <c r="CR33" s="81">
        <f>IF(ISERROR((CQ33/CI33-1)*100),"NA",IF(((CQ33/CI33-1)*100)&gt;100,"NM",IF(((CQ33/CI33-1)*100)&lt;-50,"NM",(CQ33/CI33-1)*100)))</f>
        <v>5.752212389380551</v>
      </c>
      <c r="CS33" s="103">
        <f>+CS34*2-CQ34*1</f>
        <v>89.7</v>
      </c>
      <c r="CT33" s="81">
        <f>IF(ISERROR((CS33/CK33-1)*100),"NA",IF(((CS33/CK33-1)*100)&gt;100,"NM",IF(((CS33/CK33-1)*100)&lt;-50,"NM",(CS33/CK33-1)*100)))</f>
        <v>-0.77433628318582803</v>
      </c>
      <c r="CU33" s="103">
        <f>+CU34*2-CS34*1</f>
        <v>90.7</v>
      </c>
      <c r="CV33" s="81">
        <f>IF(ISERROR((CU33/CM33-1)*100),"NA",IF(((CU33/CM33-1)*100)&gt;100,"NM",IF(((CU33/CM33-1)*100)&lt;-50,"NM",(CU33/CM33-1)*100)))</f>
        <v>0.44296788482833804</v>
      </c>
      <c r="CW33" s="103">
        <f>+CW34*2-CU34*1</f>
        <v>87.100000000000009</v>
      </c>
      <c r="CX33" s="81">
        <f>IF(ISERROR((CW33/CO33-1)*100),"NA",IF(((CW33/CO33-1)*100)&gt;100,"NM",IF(((CW33/CO33-1)*100)&lt;-50,"NM",(CW33/CO33-1)*100)))</f>
        <v>1.9906323185011843</v>
      </c>
      <c r="CY33" s="103">
        <f>+CY34*2-CW34*1</f>
        <v>88.1</v>
      </c>
      <c r="CZ33" s="81">
        <f>IF(ISERROR((CY33/CQ33-1)*100),"NA",IF(((CY33/CQ33-1)*100)&gt;100,"NM",IF(((CY33/CQ33-1)*100)&lt;-50,"NM",(CY33/CQ33-1)*100)))</f>
        <v>-7.8451882845188443</v>
      </c>
      <c r="DA33" s="103">
        <f>+DA34*2-CY34*1</f>
        <v>86.300000000000011</v>
      </c>
      <c r="DB33" s="81">
        <f>IF(ISERROR((DA33/CS33-1)*100),"NA",IF(((DA33/CS33-1)*100)&gt;100,"NM",IF(((DA33/CS33-1)*100)&lt;-50,"NM",(DA33/CS33-1)*100)))</f>
        <v>-3.7904124860646538</v>
      </c>
      <c r="DC33" s="103">
        <f>+DC34*2-DA34*1</f>
        <v>87</v>
      </c>
      <c r="DD33" s="81">
        <f>IF(ISERROR((DC33/CU33-1)*100),"NA",IF(((DC33/CU33-1)*100)&gt;100,"NM",IF(((DC33/CU33-1)*100)&lt;-50,"NM",(DC33/CU33-1)*100)))</f>
        <v>-4.0793825799338546</v>
      </c>
      <c r="DE33" s="103">
        <f>+DE34*2-DC34*1</f>
        <v>90.600000000000009</v>
      </c>
      <c r="DF33" s="81">
        <f>IF(ISERROR((DE33/CW33-1)*100),"NA",IF(((DE33/CW33-1)*100)&gt;100,"NM",IF(((DE33/CW33-1)*100)&lt;-50,"NM",(DE33/CW33-1)*100)))</f>
        <v>4.0183696900114807</v>
      </c>
      <c r="DG33" s="103">
        <f>+DG34*2-DE34*1</f>
        <v>89.1</v>
      </c>
      <c r="DH33" s="81">
        <f>IF(ISERROR((DG33/CY33-1)*100),"NA",IF(((DG33/CY33-1)*100)&gt;100,"NM",IF(((DG33/CY33-1)*100)&lt;-50,"NM",(DG33/CY33-1)*100)))</f>
        <v>1.1350737797956922</v>
      </c>
      <c r="DI33" s="103">
        <f>+DI34*2-DG34*1</f>
        <v>91.4</v>
      </c>
      <c r="DJ33" s="81">
        <f>IF(ISERROR((DI33/DA33-1)*100),"NA",IF(((DI33/DA33-1)*100)&gt;100,"NM",IF(((DI33/DA33-1)*100)&lt;-50,"NM",(DI33/DA33-1)*100)))</f>
        <v>5.9096176129779687</v>
      </c>
      <c r="DK33" s="103">
        <f>+DK34*2-DI34*1</f>
        <v>90.999999999999986</v>
      </c>
      <c r="DL33" s="81">
        <f>IF(ISERROR((DK33/DC33-1)*100),"NA",IF(((DK33/DC33-1)*100)&gt;100,"NM",IF(((DK33/DC33-1)*100)&lt;-50,"NM",(DK33/DC33-1)*100)))</f>
        <v>4.5977011494252817</v>
      </c>
      <c r="DM33" s="103">
        <f>+DM34*2-DK34*1</f>
        <v>91.4</v>
      </c>
      <c r="DN33" s="81">
        <f>IF(ISERROR((DM33/DE33-1)*100),"NA",IF(((DM33/DE33-1)*100)&gt;100,"NM",IF(((DM33/DE33-1)*100)&lt;-50,"NM",(DM33/DE33-1)*100)))</f>
        <v>0.88300220750552327</v>
      </c>
      <c r="DO33" s="103">
        <f>+DO34*2-DM34*1</f>
        <v>91.800000000000011</v>
      </c>
      <c r="DP33" s="81">
        <f>IF(ISERROR((DO33/DG33-1)*100),"NA",IF(((DO33/DG33-1)*100)&gt;100,"NM",IF(((DO33/DG33-1)*100)&lt;-50,"NM",(DO33/DG33-1)*100)))</f>
        <v>3.0303030303030498</v>
      </c>
      <c r="DQ33" s="103">
        <f>+DQ34*2-DO34*1</f>
        <v>92.799999999999983</v>
      </c>
      <c r="DR33" s="81">
        <f>IF(ISERROR((DQ33/DI33-1)*100),"NA",IF(((DQ33/DI33-1)*100)&gt;100,"NM",IF(((DQ33/DI33-1)*100)&lt;-50,"NM",(DQ33/DI33-1)*100)))</f>
        <v>1.5317286652078543</v>
      </c>
      <c r="DS33" s="103">
        <f>+DS34*2-DQ34*1</f>
        <v>92.1</v>
      </c>
      <c r="DT33" s="81">
        <f>IF(ISERROR((DS33/DK33-1)*100),"NA",IF(((DS33/DK33-1)*100)&gt;100,"NM",IF(((DS33/DK33-1)*100)&lt;-50,"NM",(DS33/DK33-1)*100)))</f>
        <v>1.2087912087912267</v>
      </c>
      <c r="DU33" s="103">
        <f>+DU34*2-DS34*1</f>
        <v>85.700000000000017</v>
      </c>
      <c r="DV33" s="81">
        <f>IF(ISERROR((DU33/DM33-1)*100),"NA",IF(((DU33/DM33-1)*100)&gt;100,"NM",IF(((DU33/DM33-1)*100)&lt;-50,"NM",(DU33/DM33-1)*100)))</f>
        <v>-6.2363238512034851</v>
      </c>
      <c r="DW33" s="103">
        <f>+DW34*2-DU34*1</f>
        <v>91.699999999999989</v>
      </c>
      <c r="DX33" s="81">
        <f>IF(ISERROR((DW33/DO33-1)*100),"NA",IF(((DW33/DO33-1)*100)&gt;100,"NM",IF(((DW33/DO33-1)*100)&lt;-50,"NM",(DW33/DO33-1)*100)))</f>
        <v>-0.10893246187366756</v>
      </c>
      <c r="DY33" s="103">
        <f>+DY34*2-DW34*1</f>
        <v>90.7</v>
      </c>
      <c r="DZ33" s="81">
        <f>IF(ISERROR((DY33/DQ33-1)*100),"NA",IF(((DY33/DQ33-1)*100)&gt;100,"NM",IF(((DY33/DQ33-1)*100)&lt;-50,"NM",(DY33/DQ33-1)*100)))</f>
        <v>-2.2629310344827402</v>
      </c>
      <c r="EA33" s="103">
        <f>+EA34*2-DY34*1</f>
        <v>91.5</v>
      </c>
      <c r="EB33" s="81">
        <f>IF(ISERROR((EA33/DS33-1)*100),"NA",IF(((EA33/DS33-1)*100)&gt;100,"NM",IF(((EA33/DS33-1)*100)&lt;-50,"NM",(EA33/DS33-1)*100)))</f>
        <v>-0.65146579804559179</v>
      </c>
      <c r="EC33" s="103">
        <f>+EC34*2-EA34*1</f>
        <v>85.199999999999989</v>
      </c>
      <c r="ED33" s="81">
        <f t="shared" si="195"/>
        <v>-0.5834305717619892</v>
      </c>
      <c r="EE33" s="103">
        <f>+EE34*2-EC34*1</f>
        <v>90.5</v>
      </c>
      <c r="EF33" s="81">
        <f t="shared" si="196"/>
        <v>-1.3086150490730475</v>
      </c>
      <c r="EG33" s="103">
        <f>+EG34*2-EE34*1</f>
        <v>89.7</v>
      </c>
      <c r="EH33" s="81">
        <f t="shared" si="197"/>
        <v>-1.1025358324145529</v>
      </c>
      <c r="EI33" s="103">
        <f>+EI34*2-EG34*1</f>
        <v>90.300000000000011</v>
      </c>
      <c r="EJ33" s="81">
        <f t="shared" si="198"/>
        <v>-1.3114754098360493</v>
      </c>
      <c r="EK33" s="105">
        <v>90</v>
      </c>
      <c r="EL33" s="81">
        <f t="shared" si="200"/>
        <v>5.6338028169014231</v>
      </c>
      <c r="EM33" s="105">
        <f>EK33</f>
        <v>90</v>
      </c>
      <c r="EN33" s="81">
        <f t="shared" si="201"/>
        <v>-0.55248618784530246</v>
      </c>
      <c r="EO33" s="105">
        <f>EM33</f>
        <v>90</v>
      </c>
      <c r="EP33" s="81">
        <f t="shared" si="202"/>
        <v>0.33444816053511683</v>
      </c>
      <c r="EQ33" s="105">
        <f>EO33</f>
        <v>90</v>
      </c>
      <c r="ER33" s="81">
        <f t="shared" si="203"/>
        <v>-0.33222591362127574</v>
      </c>
      <c r="ES33" s="78"/>
      <c r="ET33" s="467"/>
      <c r="EU33" s="78"/>
      <c r="EV33" s="99"/>
      <c r="EW33" s="97"/>
      <c r="EX33" s="108"/>
      <c r="EY33" s="124"/>
      <c r="EZ33" s="108"/>
      <c r="FA33" s="124"/>
      <c r="FB33" s="95"/>
      <c r="FC33" s="124"/>
      <c r="FD33" s="104"/>
      <c r="FE33" s="79"/>
      <c r="FF33" s="104"/>
      <c r="FG33" s="79"/>
      <c r="FH33" s="105" t="s">
        <v>199</v>
      </c>
      <c r="FI33" s="79" t="str">
        <f>IF(ISERROR((FH33/FF33-1)*100),"NA",IF(((FH33/FF33-1)*100)&gt;100,"NM",IF(((FH33/FF33-1)*100)&lt;-50,"NM",(FH33/FF33-1)*100)))</f>
        <v>NA</v>
      </c>
      <c r="FJ33" s="104">
        <f>+FJ34</f>
        <v>85.187016153611694</v>
      </c>
      <c r="FK33" s="79" t="str">
        <f>IF(ISERROR((FJ33/FH33-1)*100),"NA",IF(((FJ33/FH33-1)*100)&gt;100,"NM",IF(((FJ33/FH33-1)*100)&lt;-50,"NM",(FJ33/FH33-1)*100)))</f>
        <v>NA</v>
      </c>
      <c r="FL33" s="104">
        <f>+FL34</f>
        <v>87.944608543750988</v>
      </c>
      <c r="FM33" s="79">
        <f>IF(ISERROR((FL33/FJ33-1)*100),"NA",IF(((FL33/FJ33-1)*100)&gt;100,"NM",IF(((FL33/FJ33-1)*100)&lt;-50,"NM",(FL33/FJ33-1)*100)))</f>
        <v>3.2371040971393095</v>
      </c>
      <c r="FN33" s="104">
        <f>+FN34</f>
        <v>86.128843385058389</v>
      </c>
      <c r="FO33" s="79">
        <f>IF(ISERROR((FN33/FL33-1)*100),"NA",IF(((FN33/FL33-1)*100)&gt;100,"NM",IF(((FN33/FL33-1)*100)&lt;-50,"NM",(FN33/FL33-1)*100)))</f>
        <v>-2.0646691011072971</v>
      </c>
      <c r="FP33" s="104">
        <f>+FP34</f>
        <v>88.957653754672094</v>
      </c>
      <c r="FQ33" s="79">
        <f>IF(ISERROR((FP33/FN33-1)*100),"NA",IF(((FP33/FN33-1)*100)&gt;100,"NM",IF(((FP33/FN33-1)*100)&lt;-50,"NM",(FP33/FN33-1)*100)))</f>
        <v>3.2843937738335383</v>
      </c>
      <c r="FR33" s="103">
        <f>+FR34</f>
        <v>86.35060774017893</v>
      </c>
      <c r="FS33" s="79">
        <f>IF(ISERROR((FR33/FP33-1)*100),"NA",IF(((FR33/FP33-1)*100)&gt;100,"NM",IF(((FR33/FP33-1)*100)&lt;-50,"NM",(FR33/FP33-1)*100)))</f>
        <v>-2.9306595941512636</v>
      </c>
      <c r="FT33" s="103">
        <f>+FT34</f>
        <v>90.463041448842418</v>
      </c>
      <c r="FU33" s="79">
        <f>IF(ISERROR((FT33/FR33-1)*100),"NA",IF(((FT33/FR33-1)*100)&gt;100,"NM",IF(((FT33/FR33-1)*100)&lt;-50,"NM",(FT33/FR33-1)*100)))</f>
        <v>4.7624838044422635</v>
      </c>
      <c r="FV33" s="103">
        <f>+FV34</f>
        <v>90.110671917541808</v>
      </c>
      <c r="FW33" s="79">
        <f>IF(ISERROR((FV33/FT33-1)*100),"NA",IF(((FV33/FT33-1)*100)&gt;100,"NM",IF(((FV33/FT33-1)*100)&lt;-50,"NM",(FV33/FT33-1)*100)))</f>
        <v>-0.38951767004195004</v>
      </c>
      <c r="FX33" s="103">
        <f>+FX34</f>
        <v>90.314424770103699</v>
      </c>
      <c r="FY33" s="79">
        <f>IF(ISERROR((FX33/FV33-1)*100),"NA",IF(((FX33/FV33-1)*100)&gt;100,"NM",IF(((FX33/FV33-1)*100)&lt;-50,"NM",(FX33/FV33-1)*100)))</f>
        <v>0.22611400872512011</v>
      </c>
      <c r="FZ33" s="103">
        <f>+FZ34</f>
        <v>86.995922537952509</v>
      </c>
      <c r="GA33" s="79">
        <f>IF(ISERROR((FZ33/FX33-1)*100),"NA",IF(((FZ33/FX33-1)*100)&gt;100,"NM",IF(((FZ33/FX33-1)*100)&lt;-50,"NM",(FZ33/FX33-1)*100)))</f>
        <v>-3.6743878296279564</v>
      </c>
      <c r="GB33" s="103">
        <f>+GB34</f>
        <v>90.357704341024629</v>
      </c>
      <c r="GC33" s="79">
        <f>IF(ISERROR((GB33/FZ33-1)*100),"NA",IF(((GB33/FZ33-1)*100)&gt;100,"NM",IF(((GB33/FZ33-1)*100)&lt;-50,"NM",(GB33/FZ33-1)*100)))</f>
        <v>3.8642981245535113</v>
      </c>
      <c r="GD33" s="103">
        <f>+GD34</f>
        <v>91.814011649408286</v>
      </c>
      <c r="GE33" s="79">
        <f>IF(ISERROR((GD33/GB33-1)*100),"NA",IF(((GD33/GB33-1)*100)&gt;100,"NM",IF(((GD33/GB33-1)*100)&lt;-50,"NM",(GD33/GB33-1)*100)))</f>
        <v>1.6117134880799133</v>
      </c>
      <c r="GF33" s="103">
        <f>+GF34</f>
        <v>89.712565720294435</v>
      </c>
      <c r="GG33" s="79">
        <f>IF(ISERROR((GF33/GD33-1)*100),"NA",IF(((GF33/GD33-1)*100)&gt;100,"NM",IF(((GF33/GD33-1)*100)&lt;-50,"NM",(GF33/GD33-1)*100)))</f>
        <v>-2.2888074394769031</v>
      </c>
      <c r="GH33" s="103">
        <f>+GH34</f>
        <v>88.887531677648255</v>
      </c>
      <c r="GI33" s="79">
        <f>IF(ISERROR((GH33/GF33-1)*100),"NA",IF(((GH33/GF33-1)*100)&gt;100,"NM",IF(((GH33/GF33-1)*100)&lt;-50,"NM",(GH33/GF33-1)*100)))</f>
        <v>-0.91964156416891596</v>
      </c>
      <c r="GJ33" s="103">
        <f>+GJ34</f>
        <v>89.681431219299455</v>
      </c>
      <c r="GK33" s="79">
        <f>IF(ISERROR((GJ33/GH33-1)*100),"NA",IF(((GJ33/GH33-1)*100)&gt;100,"NM",IF(((GJ33/GH33-1)*100)&lt;-50,"NM",(GJ33/GH33-1)*100)))</f>
        <v>0.89315062154080582</v>
      </c>
      <c r="GL33" s="105">
        <f>GJ33</f>
        <v>89.681431219299455</v>
      </c>
      <c r="GM33" s="79">
        <f>IF(ISERROR((GL33/GJ33-1)*100),"NA",IF(((GL33/GJ33-1)*100)&gt;100,"NM",IF(((GL33/GJ33-1)*100)&lt;-50,"NM",(GL33/GJ33-1)*100)))</f>
        <v>0</v>
      </c>
      <c r="GN33" s="105">
        <f>GL33</f>
        <v>89.681431219299455</v>
      </c>
      <c r="GO33" s="79">
        <f>IF(ISERROR((GN33/GL33-1)*100),"NA",IF(((GN33/GL33-1)*100)&gt;100,"NM",IF(((GN33/GL33-1)*100)&lt;-50,"NM",(GN33/GL33-1)*100)))</f>
        <v>0</v>
      </c>
      <c r="GP33" s="105">
        <f>GN33</f>
        <v>89.681431219299455</v>
      </c>
      <c r="GQ33" s="79">
        <f>IF(ISERROR((GP33/GN33-1)*100),"NA",IF(((GP33/GN33-1)*100)&gt;100,"NM",IF(((GP33/GN33-1)*100)&lt;-50,"NM",(GP33/GN33-1)*100)))</f>
        <v>0</v>
      </c>
      <c r="GR33" s="105">
        <f>GP33</f>
        <v>89.681431219299455</v>
      </c>
      <c r="GS33" s="79">
        <f>IF(ISERROR((GR33/GP33-1)*100),"NA",IF(((GR33/GP33-1)*100)&gt;100,"NM",IF(((GR33/GP33-1)*100)&lt;-50,"NM",(GR33/GP33-1)*100)))</f>
        <v>0</v>
      </c>
      <c r="GT33" s="79">
        <f>IF(ISERROR(((GR33/GH33)^0.2-1)*100),"NA",(IF(OR(((GR33/GH33)^0.2-1)*100&gt;99,((GR33/GH33)^0.2-1)*100&lt;-50),"NM",(((GR33/GH33)^0.2-1)*100))))</f>
        <v>0.17799534855986732</v>
      </c>
      <c r="GU33" s="562"/>
      <c r="GV33" s="562"/>
      <c r="GW33"/>
      <c r="GX33"/>
      <c r="GY33"/>
      <c r="GZ33"/>
      <c r="HA33"/>
      <c r="HB33"/>
      <c r="HC33" s="562"/>
      <c r="HD33" s="562"/>
      <c r="HE33" s="562"/>
      <c r="HF33" s="562"/>
      <c r="HG33" s="562"/>
      <c r="HH33" s="562"/>
      <c r="HI33" s="562"/>
      <c r="HJ33" s="562"/>
      <c r="HK33" s="562"/>
      <c r="HL33" s="562"/>
      <c r="HM33" s="562"/>
      <c r="HN33" s="562"/>
      <c r="HO33" s="562"/>
      <c r="HP33" s="562"/>
      <c r="HQ33" s="562"/>
      <c r="HR33" s="562"/>
      <c r="HS33" s="562"/>
      <c r="HT33" s="562"/>
      <c r="HU33" s="562"/>
      <c r="HV33" s="562"/>
      <c r="HW33" s="562"/>
      <c r="HX33" s="562"/>
      <c r="HY33" s="562"/>
      <c r="HZ33" s="562"/>
      <c r="IA33" s="562"/>
      <c r="IB33" s="562"/>
      <c r="IC33" s="562"/>
      <c r="ID33" s="562"/>
      <c r="IE33" s="562"/>
      <c r="IF33" s="562"/>
      <c r="IG33" s="562"/>
      <c r="IH33" s="562"/>
      <c r="II33" s="562"/>
      <c r="IJ33" s="562"/>
      <c r="IK33" s="562"/>
      <c r="IL33" s="562"/>
      <c r="IM33" s="562"/>
      <c r="IN33" s="562"/>
      <c r="IO33" s="562"/>
      <c r="IP33" s="562"/>
      <c r="IQ33" s="562"/>
      <c r="IR33" s="562"/>
      <c r="IS33" s="562"/>
      <c r="IT33" s="562"/>
      <c r="IU33" s="562"/>
      <c r="IV33" s="562"/>
      <c r="IW33" s="562"/>
      <c r="IX33" s="562"/>
      <c r="IY33" s="562"/>
      <c r="IZ33" s="562"/>
      <c r="JA33" s="562"/>
      <c r="JB33" s="562"/>
      <c r="JC33" s="562"/>
      <c r="JD33" s="562"/>
      <c r="JE33" s="562"/>
      <c r="JF33" s="562"/>
      <c r="JG33" s="562"/>
      <c r="JH33" s="562"/>
      <c r="JI33" s="562"/>
      <c r="JJ33" s="562"/>
      <c r="JK33" s="562"/>
      <c r="JL33" s="562"/>
      <c r="JM33" s="562"/>
      <c r="JN33" s="562"/>
      <c r="JO33" s="562"/>
      <c r="JP33" s="562"/>
      <c r="JQ33" s="562"/>
      <c r="JR33" s="562"/>
      <c r="JS33" s="562"/>
      <c r="JT33" s="562"/>
      <c r="JU33" s="562"/>
      <c r="JV33" s="562"/>
      <c r="JW33" s="562"/>
      <c r="JX33" s="562"/>
      <c r="JY33" s="562"/>
      <c r="JZ33" s="562"/>
    </row>
    <row r="34" spans="1:286" s="110" customFormat="1" ht="12.75" customHeight="1" x14ac:dyDescent="0.2">
      <c r="A34" s="106"/>
      <c r="B34" s="2" t="s">
        <v>477</v>
      </c>
      <c r="C34" s="97"/>
      <c r="D34" s="97"/>
      <c r="E34" s="101"/>
      <c r="F34" s="79"/>
      <c r="G34" s="101"/>
      <c r="H34" s="79"/>
      <c r="I34" s="107"/>
      <c r="J34" s="108"/>
      <c r="K34" s="107"/>
      <c r="L34" s="79"/>
      <c r="M34" s="101"/>
      <c r="N34" s="79"/>
      <c r="O34" s="101"/>
      <c r="P34" s="79"/>
      <c r="Q34" s="107"/>
      <c r="R34" s="79"/>
      <c r="S34" s="107"/>
      <c r="T34" s="79"/>
      <c r="U34" s="101"/>
      <c r="V34" s="79"/>
      <c r="W34" s="101"/>
      <c r="X34" s="79"/>
      <c r="Y34" s="107"/>
      <c r="Z34" s="79"/>
      <c r="AA34" s="111"/>
      <c r="AB34" s="79"/>
      <c r="AC34" s="107">
        <v>83.5</v>
      </c>
      <c r="AD34" s="79" t="str">
        <f>IF(ISERROR((AC34/U34-1)*100),"NA",IF(((AC34/U34-1)*100)&gt;100,"NM",IF(((AC34/U34-1)*100)&lt;-50,"NM",(AC34/U34-1)*100)))</f>
        <v>NA</v>
      </c>
      <c r="AE34" s="112">
        <v>84.9</v>
      </c>
      <c r="AF34" s="79" t="str">
        <f>IF(ISERROR((AE34/W34-1)*100),"NA",IF(((AE34/W34-1)*100)&gt;100,"NM",IF(((AE34/W34-1)*100)&lt;-50,"NM",(AE34/W34-1)*100)))</f>
        <v>NA</v>
      </c>
      <c r="AG34" s="112">
        <v>84.6</v>
      </c>
      <c r="AH34" s="79" t="str">
        <f>IF(ISERROR((AG34/Y34-1)*100),"NA",IF(((AG34/Y34-1)*100)&gt;100,"NM",IF(((AG34/Y34-1)*100)&lt;-50,"NM",(AG34/Y34-1)*100)))</f>
        <v>NA</v>
      </c>
      <c r="AI34" s="112">
        <v>84.8</v>
      </c>
      <c r="AJ34" s="79" t="str">
        <f>IF(ISERROR((AI34/AA34-1)*100),"NA",IF(((AI34/AA34-1)*100)&gt;100,"NM",IF(((AI34/AA34-1)*100)&lt;-50,"NM",(AI34/AA34-1)*100)))</f>
        <v>NA</v>
      </c>
      <c r="AK34" s="112">
        <v>82.6</v>
      </c>
      <c r="AL34" s="79">
        <f>IF(ISERROR((AK34/AC34-1)*100),"NA",IF(((AK34/AC34-1)*100)&gt;100,"NM",IF(((AK34/AC34-1)*100)&lt;-50,"NM",(AK34/AC34-1)*100)))</f>
        <v>-1.0778443113772518</v>
      </c>
      <c r="AM34" s="112">
        <v>83.2</v>
      </c>
      <c r="AN34" s="79">
        <f>IF(ISERROR((AM34/AE34-1)*100),"NA",IF(((AM34/AE34-1)*100)&gt;100,"NM",IF(((AM34/AE34-1)*100)&lt;-50,"NM",(AM34/AE34-1)*100)))</f>
        <v>-2.0023557126030656</v>
      </c>
      <c r="AO34" s="112">
        <v>84.4</v>
      </c>
      <c r="AP34" s="79">
        <f>IF(ISERROR((AO34/AG34-1)*100),"NA",IF(((AO34/AG34-1)*100)&gt;100,"NM",IF(((AO34/AG34-1)*100)&lt;-50,"NM",(AO34/AG34-1)*100)))</f>
        <v>-0.23640661938533203</v>
      </c>
      <c r="AQ34" s="112">
        <v>84.8</v>
      </c>
      <c r="AR34" s="79">
        <f>IF(ISERROR((AQ34/AI34-1)*100),"NA",IF(((AQ34/AI34-1)*100)&gt;100,"NM",IF(((AQ34/AI34-1)*100)&lt;-50,"NM",(AQ34/AI34-1)*100)))</f>
        <v>0</v>
      </c>
      <c r="AS34" s="105">
        <v>86.6</v>
      </c>
      <c r="AT34" s="81">
        <f>IF(ISERROR((AS34/AK34-1)*100),"NA",IF(((AS34/AK34-1)*100)&gt;100,"NM",IF(((AS34/AK34-1)*100)&lt;-50,"NM",(AS34/AK34-1)*100)))</f>
        <v>4.8426150121065437</v>
      </c>
      <c r="AU34" s="105">
        <v>86.5</v>
      </c>
      <c r="AV34" s="81">
        <f>IF(ISERROR((AU34/AM34-1)*100),"NA",IF(((AU34/AM34-1)*100)&gt;100,"NM",IF(((AU34/AM34-1)*100)&lt;-50,"NM",(AU34/AM34-1)*100)))</f>
        <v>3.9663461538461453</v>
      </c>
      <c r="AW34" s="105">
        <v>87.5</v>
      </c>
      <c r="AX34" s="81">
        <f>IF(ISERROR((AW34/AO34-1)*100),"NA",IF(((AW34/AO34-1)*100)&gt;100,"NM",IF(((AW34/AO34-1)*100)&lt;-50,"NM",(AW34/AO34-1)*100)))</f>
        <v>3.6729857819905121</v>
      </c>
      <c r="AY34" s="105">
        <v>87.8</v>
      </c>
      <c r="AZ34" s="81">
        <f>IF(ISERROR((AY34/AQ34-1)*100),"NA",IF(((AY34/AQ34-1)*100)&gt;100,"NM",IF(((AY34/AQ34-1)*100)&lt;-50,"NM",(AY34/AQ34-1)*100)))</f>
        <v>3.5377358490566113</v>
      </c>
      <c r="BA34" s="105">
        <v>84.6</v>
      </c>
      <c r="BB34" s="81">
        <f>IF(ISERROR((BA34/AS34-1)*100),"NA",IF(((BA34/AS34-1)*100)&gt;100,"NM",IF(((BA34/AS34-1)*100)&lt;-50,"NM",(BA34/AS34-1)*100)))</f>
        <v>-2.3094688221709014</v>
      </c>
      <c r="BC34" s="105">
        <v>87.7</v>
      </c>
      <c r="BD34" s="81">
        <f>IF(ISERROR((BC34/AU34-1)*100),"NA",IF(((BC34/AU34-1)*100)&gt;100,"NM",IF(((BC34/AU34-1)*100)&lt;-50,"NM",(BC34/AU34-1)*100)))</f>
        <v>1.387283236994219</v>
      </c>
      <c r="BE34" s="105">
        <v>84.9</v>
      </c>
      <c r="BF34" s="81">
        <f>IF(ISERROR((BE34/AW34-1)*100),"NA",IF(((BE34/AW34-1)*100)&gt;100,"NM",IF(((BE34/AW34-1)*100)&lt;-50,"NM",(BE34/AW34-1)*100)))</f>
        <v>-2.9714285714285693</v>
      </c>
      <c r="BG34" s="105">
        <v>85.1</v>
      </c>
      <c r="BH34" s="81">
        <f>IF(ISERROR((BG34/AY34-1)*100),"NA",IF(((BG34/AY34-1)*100)&gt;100,"NM",IF(((BG34/AY34-1)*100)&lt;-50,"NM",(BG34/AY34-1)*100)))</f>
        <v>-3.0751708428246038</v>
      </c>
      <c r="BI34" s="105">
        <v>87.6</v>
      </c>
      <c r="BJ34" s="81">
        <f>IF(ISERROR((BI34/BA34-1)*100),"NA",IF(((BI34/BA34-1)*100)&gt;100,"NM",IF(((BI34/BA34-1)*100)&lt;-50,"NM",(BI34/BA34-1)*100)))</f>
        <v>3.5460992907801359</v>
      </c>
      <c r="BK34" s="105">
        <v>88.6</v>
      </c>
      <c r="BL34" s="81">
        <f>IF(ISERROR((BK34/BC34-1)*100),"NA",IF(((BK34/BC34-1)*100)&gt;100,"NM",IF(((BK34/BC34-1)*100)&lt;-50,"NM",(BK34/BC34-1)*100)))</f>
        <v>1.0262257696693089</v>
      </c>
      <c r="BM34" s="105">
        <v>87.9</v>
      </c>
      <c r="BN34" s="81">
        <f>IF(ISERROR((BM34/BE34-1)*100),"NA",IF(((BM34/BE34-1)*100)&gt;100,"NM",IF(((BM34/BE34-1)*100)&lt;-50,"NM",(BM34/BE34-1)*100)))</f>
        <v>3.5335689045936425</v>
      </c>
      <c r="BO34" s="105">
        <v>87.8</v>
      </c>
      <c r="BP34" s="81">
        <f>IF(ISERROR((BO34/BG34-1)*100),"NA",IF(((BO34/BG34-1)*100)&gt;100,"NM",IF(((BO34/BG34-1)*100)&lt;-50,"NM",(BO34/BG34-1)*100)))</f>
        <v>3.1727379553466495</v>
      </c>
      <c r="BQ34" s="105">
        <v>87.3</v>
      </c>
      <c r="BR34" s="81">
        <f>IF(ISERROR((BQ34/BI34-1)*100),"NA",IF(((BQ34/BI34-1)*100)&gt;100,"NM",IF(((BQ34/BI34-1)*100)&lt;-50,"NM",(BQ34/BI34-1)*100)))</f>
        <v>-0.3424657534246589</v>
      </c>
      <c r="BS34" s="105">
        <v>88.2</v>
      </c>
      <c r="BT34" s="81">
        <f>IF(ISERROR((BS34/BK34-1)*100),"NA",IF(((BS34/BK34-1)*100)&gt;100,"NM",IF(((BS34/BK34-1)*100)&lt;-50,"NM",(BS34/BK34-1)*100)))</f>
        <v>-0.45146726862301811</v>
      </c>
      <c r="BU34" s="105">
        <v>87.3</v>
      </c>
      <c r="BV34" s="81">
        <f>IF(ISERROR((BU34/BM34-1)*100),"NA",IF(((BU34/BM34-1)*100)&gt;100,"NM",IF(((BU34/BM34-1)*100)&lt;-50,"NM",(BU34/BM34-1)*100)))</f>
        <v>-0.68259385665530026</v>
      </c>
      <c r="BW34" s="105">
        <v>86.9</v>
      </c>
      <c r="BX34" s="81">
        <f>IF(ISERROR((BW34/BO34-1)*100),"NA",IF(((BW34/BO34-1)*100)&gt;100,"NM",IF(((BW34/BO34-1)*100)&lt;-50,"NM",(BW34/BO34-1)*100)))</f>
        <v>-1.0250569476081939</v>
      </c>
      <c r="BY34" s="105">
        <v>88.6</v>
      </c>
      <c r="BZ34" s="81">
        <f>IF(ISERROR((BY34/BQ34-1)*100),"NA",IF(((BY34/BQ34-1)*100)&gt;100,"NM",IF(((BY34/BQ34-1)*100)&lt;-50,"NM",(BY34/BQ34-1)*100)))</f>
        <v>1.4891179839633395</v>
      </c>
      <c r="CA34" s="105">
        <v>90.2</v>
      </c>
      <c r="CB34" s="81">
        <f>IF(ISERROR((CA34/BS34-1)*100),"NA",IF(((CA34/BS34-1)*100)&gt;100,"NM",IF(((CA34/BS34-1)*100)&lt;-50,"NM",(CA34/BS34-1)*100)))</f>
        <v>2.2675736961451198</v>
      </c>
      <c r="CC34" s="105">
        <v>90.2</v>
      </c>
      <c r="CD34" s="81">
        <f>IF(ISERROR((CC34/BU34-1)*100),"NA",IF(((CC34/BU34-1)*100)&gt;100,"NM",IF(((CC34/BU34-1)*100)&lt;-50,"NM",(CC34/BU34-1)*100)))</f>
        <v>3.3218785796105488</v>
      </c>
      <c r="CE34" s="105">
        <v>89.4</v>
      </c>
      <c r="CF34" s="81">
        <f>IF(ISERROR((CE34/BW34-1)*100),"NA",IF(((CE34/BW34-1)*100)&gt;100,"NM",IF(((CE34/BW34-1)*100)&lt;-50,"NM",(CE34/BW34-1)*100)))</f>
        <v>2.8768699654775576</v>
      </c>
      <c r="CG34" s="105">
        <v>89.2</v>
      </c>
      <c r="CH34" s="81">
        <f>IF(ISERROR((CG34/BY34-1)*100),"NA",IF(((CG34/BY34-1)*100)&gt;100,"NM",IF(((CG34/BY34-1)*100)&lt;-50,"NM",(CG34/BY34-1)*100)))</f>
        <v>0.67720090293454938</v>
      </c>
      <c r="CI34" s="105">
        <v>89.8</v>
      </c>
      <c r="CJ34" s="81">
        <f>IF(ISERROR((CI34/CA34-1)*100),"NA",IF(((CI34/CA34-1)*100)&gt;100,"NM",IF(((CI34/CA34-1)*100)&lt;-50,"NM",(CI34/CA34-1)*100)))</f>
        <v>-0.44345898004435336</v>
      </c>
      <c r="CK34" s="105">
        <v>90.1</v>
      </c>
      <c r="CL34" s="81">
        <f>IF(ISERROR((CK34/CC34-1)*100),"NA",IF(((CK34/CC34-1)*100)&gt;100,"NM",IF(((CK34/CC34-1)*100)&lt;-50,"NM",(CK34/CC34-1)*100)))</f>
        <v>-0.11086474501109667</v>
      </c>
      <c r="CM34" s="105">
        <v>90.2</v>
      </c>
      <c r="CN34" s="81">
        <f>IF(ISERROR((CM34/CE34-1)*100),"NA",IF(((CM34/CE34-1)*100)&gt;100,"NM",IF(((CM34/CE34-1)*100)&lt;-50,"NM",(CM34/CE34-1)*100)))</f>
        <v>0.89485458612974522</v>
      </c>
      <c r="CO34" s="105">
        <v>87.8</v>
      </c>
      <c r="CP34" s="81">
        <f>IF(ISERROR((CO34/CG34-1)*100),"NA",IF(((CO34/CG34-1)*100)&gt;100,"NM",IF(((CO34/CG34-1)*100)&lt;-50,"NM",(CO34/CG34-1)*100)))</f>
        <v>-1.5695067264574036</v>
      </c>
      <c r="CQ34" s="105">
        <v>91.7</v>
      </c>
      <c r="CR34" s="81">
        <f>IF(ISERROR((CQ34/CI34-1)*100),"NA",IF(((CQ34/CI34-1)*100)&gt;100,"NM",IF(((CQ34/CI34-1)*100)&lt;-50,"NM",(CQ34/CI34-1)*100)))</f>
        <v>2.1158129175946616</v>
      </c>
      <c r="CS34" s="105">
        <v>90.7</v>
      </c>
      <c r="CT34" s="81">
        <f>IF(ISERROR((CS34/CK34-1)*100),"NA",IF(((CS34/CK34-1)*100)&gt;100,"NM",IF(((CS34/CK34-1)*100)&lt;-50,"NM",(CS34/CK34-1)*100)))</f>
        <v>0.66592674805772134</v>
      </c>
      <c r="CU34" s="105">
        <v>90.7</v>
      </c>
      <c r="CV34" s="81">
        <f>IF(ISERROR((CU34/CM34-1)*100),"NA",IF(((CU34/CM34-1)*100)&gt;100,"NM",IF(((CU34/CM34-1)*100)&lt;-50,"NM",(CU34/CM34-1)*100)))</f>
        <v>0.55432372505543892</v>
      </c>
      <c r="CW34" s="105">
        <v>88.9</v>
      </c>
      <c r="CX34" s="81">
        <f>IF(ISERROR((CW34/CO34-1)*100),"NA",IF(((CW34/CO34-1)*100)&gt;100,"NM",IF(((CW34/CO34-1)*100)&lt;-50,"NM",(CW34/CO34-1)*100)))</f>
        <v>1.2528473804100271</v>
      </c>
      <c r="CY34" s="105">
        <v>88.5</v>
      </c>
      <c r="CZ34" s="81">
        <f>IF(ISERROR((CY34/CQ34-1)*100),"NA",IF(((CY34/CQ34-1)*100)&gt;100,"NM",IF(((CY34/CQ34-1)*100)&lt;-50,"NM",(CY34/CQ34-1)*100)))</f>
        <v>-3.4896401308615044</v>
      </c>
      <c r="DA34" s="105">
        <v>87.4</v>
      </c>
      <c r="DB34" s="81">
        <f>IF(ISERROR((DA34/CS34-1)*100),"NA",IF(((DA34/CS34-1)*100)&gt;100,"NM",IF(((DA34/CS34-1)*100)&lt;-50,"NM",(DA34/CS34-1)*100)))</f>
        <v>-3.6383682469680267</v>
      </c>
      <c r="DC34" s="105">
        <v>87.2</v>
      </c>
      <c r="DD34" s="81">
        <f>IF(ISERROR((DC34/CU34-1)*100),"NA",IF(((DC34/CU34-1)*100)&gt;100,"NM",IF(((DC34/CU34-1)*100)&lt;-50,"NM",(DC34/CU34-1)*100)))</f>
        <v>-3.8588754134509351</v>
      </c>
      <c r="DE34" s="105">
        <v>88.9</v>
      </c>
      <c r="DF34" s="81">
        <f>IF(ISERROR((DE34/CW34-1)*100),"NA",IF(((DE34/CW34-1)*100)&gt;100,"NM",IF(((DE34/CW34-1)*100)&lt;-50,"NM",(DE34/CW34-1)*100)))</f>
        <v>0</v>
      </c>
      <c r="DG34" s="105">
        <v>89</v>
      </c>
      <c r="DH34" s="81">
        <f>IF(ISERROR((DG34/CY34-1)*100),"NA",IF(((DG34/CY34-1)*100)&gt;100,"NM",IF(((DG34/CY34-1)*100)&lt;-50,"NM",(DG34/CY34-1)*100)))</f>
        <v>0.56497175141243527</v>
      </c>
      <c r="DI34" s="105">
        <v>90.2</v>
      </c>
      <c r="DJ34" s="81">
        <f>IF(ISERROR((DI34/DA34-1)*100),"NA",IF(((DI34/DA34-1)*100)&gt;100,"NM",IF(((DI34/DA34-1)*100)&lt;-50,"NM",(DI34/DA34-1)*100)))</f>
        <v>3.203661327231111</v>
      </c>
      <c r="DK34" s="105">
        <v>90.6</v>
      </c>
      <c r="DL34" s="81">
        <f>IF(ISERROR((DK34/DC34-1)*100),"NA",IF(((DK34/DC34-1)*100)&gt;100,"NM",IF(((DK34/DC34-1)*100)&lt;-50,"NM",(DK34/DC34-1)*100)))</f>
        <v>3.8990825688073327</v>
      </c>
      <c r="DM34" s="105">
        <v>91</v>
      </c>
      <c r="DN34" s="81">
        <f>IF(ISERROR((DM34/DE34-1)*100),"NA",IF(((DM34/DE34-1)*100)&gt;100,"NM",IF(((DM34/DE34-1)*100)&lt;-50,"NM",(DM34/DE34-1)*100)))</f>
        <v>2.3622047244094446</v>
      </c>
      <c r="DO34" s="105">
        <v>91.4</v>
      </c>
      <c r="DP34" s="81">
        <f>IF(ISERROR((DO34/DG34-1)*100),"NA",IF(((DO34/DG34-1)*100)&gt;100,"NM",IF(((DO34/DG34-1)*100)&lt;-50,"NM",(DO34/DG34-1)*100)))</f>
        <v>2.6966292134831482</v>
      </c>
      <c r="DQ34" s="105">
        <v>92.1</v>
      </c>
      <c r="DR34" s="81">
        <f>IF(ISERROR((DQ34/DI34-1)*100),"NA",IF(((DQ34/DI34-1)*100)&gt;100,"NM",IF(((DQ34/DI34-1)*100)&lt;-50,"NM",(DQ34/DI34-1)*100)))</f>
        <v>2.1064301552106368</v>
      </c>
      <c r="DS34" s="105">
        <v>92.1</v>
      </c>
      <c r="DT34" s="81">
        <f>IF(ISERROR((DS34/DK34-1)*100),"NA",IF(((DS34/DK34-1)*100)&gt;100,"NM",IF(((DS34/DK34-1)*100)&lt;-50,"NM",(DS34/DK34-1)*100)))</f>
        <v>1.655629139072845</v>
      </c>
      <c r="DU34" s="105">
        <v>88.9</v>
      </c>
      <c r="DV34" s="81">
        <f>IF(ISERROR((DU34/DM34-1)*100),"NA",IF(((DU34/DM34-1)*100)&gt;100,"NM",IF(((DU34/DM34-1)*100)&lt;-50,"NM",(DU34/DM34-1)*100)))</f>
        <v>-2.3076923076922995</v>
      </c>
      <c r="DW34" s="105">
        <v>90.3</v>
      </c>
      <c r="DX34" s="81">
        <f>IF(ISERROR((DW34/DO34-1)*100),"NA",IF(((DW34/DO34-1)*100)&gt;100,"NM",IF(((DW34/DO34-1)*100)&lt;-50,"NM",(DW34/DO34-1)*100)))</f>
        <v>-1.2035010940919078</v>
      </c>
      <c r="DY34" s="105">
        <v>90.5</v>
      </c>
      <c r="DZ34" s="81">
        <f>IF(ISERROR((DY34/DQ34-1)*100),"NA",IF(((DY34/DQ34-1)*100)&gt;100,"NM",IF(((DY34/DQ34-1)*100)&lt;-50,"NM",(DY34/DQ34-1)*100)))</f>
        <v>-1.7372421281215966</v>
      </c>
      <c r="EA34" s="105">
        <v>91</v>
      </c>
      <c r="EB34" s="81">
        <f>IF(ISERROR((EA34/DS34-1)*100),"NA",IF(((EA34/DS34-1)*100)&gt;100,"NM",IF(((EA34/DS34-1)*100)&lt;-50,"NM",(EA34/DS34-1)*100)))</f>
        <v>-1.1943539630835942</v>
      </c>
      <c r="EC34" s="105">
        <v>88.1</v>
      </c>
      <c r="ED34" s="81">
        <f t="shared" si="195"/>
        <v>-0.89988751406075984</v>
      </c>
      <c r="EE34" s="105">
        <v>89.3</v>
      </c>
      <c r="EF34" s="81">
        <f t="shared" si="196"/>
        <v>-1.1074197120708784</v>
      </c>
      <c r="EG34" s="105">
        <v>89.5</v>
      </c>
      <c r="EH34" s="81">
        <f t="shared" si="197"/>
        <v>-1.1049723756906049</v>
      </c>
      <c r="EI34" s="105">
        <v>89.9</v>
      </c>
      <c r="EJ34" s="81">
        <f t="shared" si="198"/>
        <v>-1.2087912087912045</v>
      </c>
      <c r="EK34" s="103">
        <f t="shared" ref="EK34" si="204">AVERAGE(EE33, EG33, EI33, EK33)</f>
        <v>90.125</v>
      </c>
      <c r="EL34" s="81">
        <f t="shared" si="200"/>
        <v>2.2985244040862662</v>
      </c>
      <c r="EM34" s="103">
        <f t="shared" ref="EM34" si="205">AVERAGE(EG33, EI33, EK33, EM33)</f>
        <v>90</v>
      </c>
      <c r="EN34" s="81">
        <f t="shared" si="201"/>
        <v>0.7838745800671898</v>
      </c>
      <c r="EO34" s="103">
        <f t="shared" ref="EO34" si="206">AVERAGE(EI33, EK33, EM33, EO33)</f>
        <v>90.075000000000003</v>
      </c>
      <c r="EP34" s="81">
        <f t="shared" si="202"/>
        <v>0.6424581005586516</v>
      </c>
      <c r="EQ34" s="103">
        <f t="shared" ref="EQ34" si="207">AVERAGE(EK33, EM33, EO33, EQ33)</f>
        <v>90</v>
      </c>
      <c r="ER34" s="81">
        <f t="shared" si="203"/>
        <v>0.11123470522802492</v>
      </c>
      <c r="ES34" s="99"/>
      <c r="ET34" s="467"/>
      <c r="EU34" s="99"/>
      <c r="EV34" s="99"/>
      <c r="EW34" s="97"/>
      <c r="EX34" s="108"/>
      <c r="EY34" s="124"/>
      <c r="EZ34" s="108"/>
      <c r="FA34" s="124"/>
      <c r="FB34" s="107"/>
      <c r="FC34" s="124"/>
      <c r="FD34" s="107"/>
      <c r="FE34" s="79"/>
      <c r="FF34" s="112"/>
      <c r="FG34" s="79"/>
      <c r="FH34" s="105" t="s">
        <v>199</v>
      </c>
      <c r="FI34" s="79" t="str">
        <f>IF(ISERROR((FH34/FF34-1)*100),"NA",IF(((FH34/FF34-1)*100)&gt;100,"NM",IF(((FH34/FF34-1)*100)&lt;-50,"NM",(FH34/FF34-1)*100)))</f>
        <v>NA</v>
      </c>
      <c r="FJ34" s="104">
        <f>100-FJ32</f>
        <v>85.187016153611694</v>
      </c>
      <c r="FK34" s="79" t="str">
        <f>IF(ISERROR((FJ34/FH34-1)*100),"NA",IF(((FJ34/FH34-1)*100)&gt;100,"NM",IF(((FJ34/FH34-1)*100)&lt;-50,"NM",(FJ34/FH34-1)*100)))</f>
        <v>NA</v>
      </c>
      <c r="FL34" s="104">
        <f>100-FL32</f>
        <v>87.944608543750988</v>
      </c>
      <c r="FM34" s="79">
        <f>IF(ISERROR((FL34/FJ34-1)*100),"NA",IF(((FL34/FJ34-1)*100)&gt;100,"NM",IF(((FL34/FJ34-1)*100)&lt;-50,"NM",(FL34/FJ34-1)*100)))</f>
        <v>3.2371040971393095</v>
      </c>
      <c r="FN34" s="104">
        <f>100-FN32</f>
        <v>86.128843385058389</v>
      </c>
      <c r="FO34" s="79">
        <f>IF(ISERROR((FN34/FL34-1)*100),"NA",IF(((FN34/FL34-1)*100)&gt;100,"NM",IF(((FN34/FL34-1)*100)&lt;-50,"NM",(FN34/FL34-1)*100)))</f>
        <v>-2.0646691011072971</v>
      </c>
      <c r="FP34" s="104">
        <f>100-FP32</f>
        <v>88.957653754672094</v>
      </c>
      <c r="FQ34" s="79">
        <f>IF(ISERROR((FP34/FN34-1)*100),"NA",IF(((FP34/FN34-1)*100)&gt;100,"NM",IF(((FP34/FN34-1)*100)&lt;-50,"NM",(FP34/FN34-1)*100)))</f>
        <v>3.2843937738335383</v>
      </c>
      <c r="FR34" s="103">
        <f>100-FR32</f>
        <v>86.35060774017893</v>
      </c>
      <c r="FS34" s="79">
        <f>IF(ISERROR((FR34/FP34-1)*100),"NA",IF(((FR34/FP34-1)*100)&gt;100,"NM",IF(((FR34/FP34-1)*100)&lt;-50,"NM",(FR34/FP34-1)*100)))</f>
        <v>-2.9306595941512636</v>
      </c>
      <c r="FT34" s="103">
        <f>100-FT32</f>
        <v>90.463041448842418</v>
      </c>
      <c r="FU34" s="79">
        <f>IF(ISERROR((FT34/FR34-1)*100),"NA",IF(((FT34/FR34-1)*100)&gt;100,"NM",IF(((FT34/FR34-1)*100)&lt;-50,"NM",(FT34/FR34-1)*100)))</f>
        <v>4.7624838044422635</v>
      </c>
      <c r="FV34" s="103">
        <f>100-FV32</f>
        <v>90.110671917541808</v>
      </c>
      <c r="FW34" s="79">
        <f>IF(ISERROR((FV34/FT34-1)*100),"NA",IF(((FV34/FT34-1)*100)&gt;100,"NM",IF(((FV34/FT34-1)*100)&lt;-50,"NM",(FV34/FT34-1)*100)))</f>
        <v>-0.38951767004195004</v>
      </c>
      <c r="FX34" s="103">
        <f>100-FX32</f>
        <v>90.314424770103699</v>
      </c>
      <c r="FY34" s="79">
        <f>IF(ISERROR((FX34/FV34-1)*100),"NA",IF(((FX34/FV34-1)*100)&gt;100,"NM",IF(((FX34/FV34-1)*100)&lt;-50,"NM",(FX34/FV34-1)*100)))</f>
        <v>0.22611400872512011</v>
      </c>
      <c r="FZ34" s="103">
        <f>100-FZ32</f>
        <v>86.995922537952509</v>
      </c>
      <c r="GA34" s="79">
        <f>IF(ISERROR((FZ34/FX34-1)*100),"NA",IF(((FZ34/FX34-1)*100)&gt;100,"NM",IF(((FZ34/FX34-1)*100)&lt;-50,"NM",(FZ34/FX34-1)*100)))</f>
        <v>-3.6743878296279564</v>
      </c>
      <c r="GB34" s="103">
        <f>100-GB32</f>
        <v>90.357704341024629</v>
      </c>
      <c r="GC34" s="79">
        <f>IF(ISERROR((GB34/FZ34-1)*100),"NA",IF(((GB34/FZ34-1)*100)&gt;100,"NM",IF(((GB34/FZ34-1)*100)&lt;-50,"NM",(GB34/FZ34-1)*100)))</f>
        <v>3.8642981245535113</v>
      </c>
      <c r="GD34" s="103">
        <f>100-GD32</f>
        <v>91.814011649408286</v>
      </c>
      <c r="GE34" s="79">
        <f>IF(ISERROR((GD34/GB34-1)*100),"NA",IF(((GD34/GB34-1)*100)&gt;100,"NM",IF(((GD34/GB34-1)*100)&lt;-50,"NM",(GD34/GB34-1)*100)))</f>
        <v>1.6117134880799133</v>
      </c>
      <c r="GF34" s="103">
        <f>100-GF32</f>
        <v>89.712565720294435</v>
      </c>
      <c r="GG34" s="79">
        <f>IF(ISERROR((GF34/GD34-1)*100),"NA",IF(((GF34/GD34-1)*100)&gt;100,"NM",IF(((GF34/GD34-1)*100)&lt;-50,"NM",(GF34/GD34-1)*100)))</f>
        <v>-2.2888074394769031</v>
      </c>
      <c r="GH34" s="103">
        <f>100-GH32</f>
        <v>88.887531677648255</v>
      </c>
      <c r="GI34" s="79">
        <f>IF(ISERROR((GH34/GF34-1)*100),"NA",IF(((GH34/GF34-1)*100)&gt;100,"NM",IF(((GH34/GF34-1)*100)&lt;-50,"NM",(GH34/GF34-1)*100)))</f>
        <v>-0.91964156416891596</v>
      </c>
      <c r="GJ34" s="103">
        <f>100-GJ32</f>
        <v>89.681431219299455</v>
      </c>
      <c r="GK34" s="79">
        <f>IF(ISERROR((GJ34/GH34-1)*100),"NA",IF(((GJ34/GH34-1)*100)&gt;100,"NM",IF(((GJ34/GH34-1)*100)&lt;-50,"NM",(GJ34/GH34-1)*100)))</f>
        <v>0.89315062154080582</v>
      </c>
      <c r="GL34" s="105">
        <f>GJ34</f>
        <v>89.681431219299455</v>
      </c>
      <c r="GM34" s="79">
        <f>IF(ISERROR((GL34/GJ34-1)*100),"NA",IF(((GL34/GJ34-1)*100)&gt;100,"NM",IF(((GL34/GJ34-1)*100)&lt;-50,"NM",(GL34/GJ34-1)*100)))</f>
        <v>0</v>
      </c>
      <c r="GN34" s="105">
        <f>GL34</f>
        <v>89.681431219299455</v>
      </c>
      <c r="GO34" s="79">
        <f>IF(ISERROR((GN34/GL34-1)*100),"NA",IF(((GN34/GL34-1)*100)&gt;100,"NM",IF(((GN34/GL34-1)*100)&lt;-50,"NM",(GN34/GL34-1)*100)))</f>
        <v>0</v>
      </c>
      <c r="GP34" s="105">
        <f>GN34</f>
        <v>89.681431219299455</v>
      </c>
      <c r="GQ34" s="79">
        <f>IF(ISERROR((GP34/GN34-1)*100),"NA",IF(((GP34/GN34-1)*100)&gt;100,"NM",IF(((GP34/GN34-1)*100)&lt;-50,"NM",(GP34/GN34-1)*100)))</f>
        <v>0</v>
      </c>
      <c r="GR34" s="105">
        <f>GP34</f>
        <v>89.681431219299455</v>
      </c>
      <c r="GS34" s="79">
        <f>IF(ISERROR((GR34/GP34-1)*100),"NA",IF(((GR34/GP34-1)*100)&gt;100,"NM",IF(((GR34/GP34-1)*100)&lt;-50,"NM",(GR34/GP34-1)*100)))</f>
        <v>0</v>
      </c>
      <c r="GT34" s="79">
        <f>IF(ISERROR(((GR34/GH34)^0.2-1)*100),"NA",(IF(OR(((GR34/GH34)^0.2-1)*100&gt;99,((GR34/GH34)^0.2-1)*100&lt;-50),"NM",(((GR34/GH34)^0.2-1)*100))))</f>
        <v>0.17799534855986732</v>
      </c>
      <c r="GU34" s="562"/>
      <c r="GV34" s="562"/>
      <c r="GW34"/>
      <c r="GX34"/>
      <c r="GY34"/>
      <c r="GZ34"/>
      <c r="HA34"/>
      <c r="HB34"/>
      <c r="HC34" s="562"/>
      <c r="HD34" s="562"/>
      <c r="HE34" s="562"/>
      <c r="HF34" s="562"/>
      <c r="HG34" s="562"/>
      <c r="HH34" s="562"/>
      <c r="HI34" s="562"/>
      <c r="HJ34" s="562"/>
      <c r="HK34" s="562"/>
      <c r="HL34" s="562"/>
      <c r="HM34" s="562"/>
      <c r="HN34" s="562"/>
      <c r="HO34" s="562"/>
      <c r="HP34" s="562"/>
      <c r="HQ34" s="562"/>
      <c r="HR34" s="562"/>
      <c r="HS34" s="562"/>
      <c r="HT34" s="562"/>
      <c r="HU34" s="562"/>
      <c r="HV34" s="562"/>
      <c r="HW34" s="562"/>
      <c r="HX34" s="562"/>
      <c r="HY34" s="562"/>
      <c r="HZ34" s="562"/>
      <c r="IA34" s="562"/>
      <c r="IB34" s="562"/>
      <c r="IC34" s="562"/>
      <c r="ID34" s="562"/>
      <c r="IE34" s="562"/>
      <c r="IF34" s="562"/>
      <c r="IG34" s="562"/>
      <c r="IH34" s="562"/>
      <c r="II34" s="562"/>
      <c r="IJ34" s="562"/>
      <c r="IK34" s="562"/>
      <c r="IL34" s="562"/>
      <c r="IM34" s="562"/>
      <c r="IN34" s="562"/>
      <c r="IO34" s="562"/>
      <c r="IP34" s="562"/>
      <c r="IQ34" s="562"/>
      <c r="IR34" s="562"/>
      <c r="IS34" s="562"/>
      <c r="IT34" s="562"/>
      <c r="IU34" s="562"/>
      <c r="IV34" s="562"/>
      <c r="IW34" s="562"/>
      <c r="IX34" s="562"/>
      <c r="IY34" s="562"/>
      <c r="IZ34" s="562"/>
      <c r="JA34" s="562"/>
      <c r="JB34" s="562"/>
      <c r="JC34" s="562"/>
      <c r="JD34" s="562"/>
      <c r="JE34" s="562"/>
      <c r="JF34" s="562"/>
      <c r="JG34" s="562"/>
      <c r="JH34" s="562"/>
      <c r="JI34" s="562"/>
      <c r="JJ34" s="562"/>
      <c r="JK34" s="562"/>
      <c r="JL34" s="562"/>
      <c r="JM34" s="562"/>
      <c r="JN34" s="562"/>
      <c r="JO34" s="562"/>
      <c r="JP34" s="562"/>
      <c r="JQ34" s="562"/>
      <c r="JR34" s="562"/>
      <c r="JS34" s="562"/>
      <c r="JT34" s="562"/>
      <c r="JU34" s="562"/>
      <c r="JV34" s="562"/>
      <c r="JW34" s="562"/>
      <c r="JX34" s="562"/>
      <c r="JY34" s="562"/>
      <c r="JZ34" s="562"/>
    </row>
    <row r="35" spans="1:286" ht="12.75" customHeight="1" x14ac:dyDescent="0.2">
      <c r="A35" s="1"/>
      <c r="B35" s="2" t="s">
        <v>326</v>
      </c>
      <c r="C35" s="78"/>
      <c r="D35" s="3"/>
      <c r="E35" s="82"/>
      <c r="F35" s="78"/>
      <c r="G35" s="101"/>
      <c r="H35" s="78"/>
      <c r="I35" s="101"/>
      <c r="J35" s="79"/>
      <c r="K35" s="101"/>
      <c r="L35" s="79"/>
      <c r="M35" s="101"/>
      <c r="N35" s="79"/>
      <c r="O35" s="101"/>
      <c r="P35" s="79"/>
      <c r="Q35" s="101"/>
      <c r="R35" s="79"/>
      <c r="S35" s="101"/>
      <c r="T35" s="79"/>
      <c r="U35" s="101"/>
      <c r="V35" s="79"/>
      <c r="W35" s="101"/>
      <c r="X35" s="79"/>
      <c r="Y35" s="101"/>
      <c r="Z35" s="79"/>
      <c r="AA35" s="102"/>
      <c r="AB35" s="79"/>
      <c r="AC35" s="101">
        <f>AVERAGE(AC33,AA33,Y33,W33)</f>
        <v>83.5</v>
      </c>
      <c r="AD35" s="79" t="str">
        <f>IF(ISERROR((AC35/U35-1)*100),"NA",IF(((AC35/U35-1)*100)&gt;100,"NM",IF(((AC35/U35-1)*100)&lt;-50,"NM",(AC35/U35-1)*100)))</f>
        <v>NA</v>
      </c>
      <c r="AE35" s="101">
        <f>AVERAGE(AE33,AC33,AA33,Y33)</f>
        <v>84.9</v>
      </c>
      <c r="AF35" s="79" t="str">
        <f>IF(ISERROR((AE35/W35-1)*100),"NA",IF(((AE35/W35-1)*100)&gt;100,"NM",IF(((AE35/W35-1)*100)&lt;-50,"NM",(AE35/W35-1)*100)))</f>
        <v>NA</v>
      </c>
      <c r="AG35" s="101">
        <f>AVERAGE(AG33,AE33,AC33,AA33)</f>
        <v>84.6</v>
      </c>
      <c r="AH35" s="79" t="str">
        <f>IF(ISERROR((AG35/Y35-1)*100),"NA",IF(((AG35/Y35-1)*100)&gt;100,"NM",IF(((AG35/Y35-1)*100)&lt;-50,"NM",(AG35/Y35-1)*100)))</f>
        <v>NA</v>
      </c>
      <c r="AI35" s="101">
        <f>AVERAGE(AI33,AG33,AE33,AC33)</f>
        <v>84.8</v>
      </c>
      <c r="AJ35" s="79" t="str">
        <f>IF(ISERROR((AI35/AA35-1)*100),"NA",IF(((AI35/AA35-1)*100)&gt;100,"NM",IF(((AI35/AA35-1)*100)&lt;-50,"NM",(AI35/AA35-1)*100)))</f>
        <v>NA</v>
      </c>
      <c r="AK35" s="101">
        <f>AVERAGE(AK33,AI33,AG33,AE33)</f>
        <v>84.574999999999989</v>
      </c>
      <c r="AL35" s="79">
        <f>IF(ISERROR((AK35/AC35-1)*100),"NA",IF(((AK35/AC35-1)*100)&gt;100,"NM",IF(((AK35/AC35-1)*100)&lt;-50,"NM",(AK35/AC35-1)*100)))</f>
        <v>1.287425149700594</v>
      </c>
      <c r="AM35" s="101">
        <f>AVERAGE(AM33,AK33,AI33,AG33)</f>
        <v>83.949999999999989</v>
      </c>
      <c r="AN35" s="79">
        <f>IF(ISERROR((AM35/AE35-1)*100),"NA",IF(((AM35/AE35-1)*100)&gt;100,"NM",IF(((AM35/AE35-1)*100)&lt;-50,"NM",(AM35/AE35-1)*100)))</f>
        <v>-1.1189634864546716</v>
      </c>
      <c r="AO35" s="101">
        <f>AVERAGE(AO33,AM33,AK33,AI33)</f>
        <v>84.65</v>
      </c>
      <c r="AP35" s="79">
        <f>IF(ISERROR((AO35/AG35-1)*100),"NA",IF(((AO35/AG35-1)*100)&gt;100,"NM",IF(((AO35/AG35-1)*100)&lt;-50,"NM",(AO35/AG35-1)*100)))</f>
        <v>5.910165484634966E-2</v>
      </c>
      <c r="AQ35" s="101">
        <f>AVERAGE(AQ33,AO33,AM33,AK33)</f>
        <v>84.800000000000011</v>
      </c>
      <c r="AR35" s="79">
        <f>IF(ISERROR((AQ35/AI35-1)*100),"NA",IF(((AQ35/AI35-1)*100)&gt;100,"NM",IF(((AQ35/AI35-1)*100)&lt;-50,"NM",(AQ35/AI35-1)*100)))</f>
        <v>2.2204460492503131E-14</v>
      </c>
      <c r="AS35" s="103">
        <f>AVERAGE(AS33,AQ33,AO33,AM33)</f>
        <v>85.8</v>
      </c>
      <c r="AT35" s="81">
        <f>IF(ISERROR((AS35/AK35-1)*100),"NA",IF(((AS35/AK35-1)*100)&gt;100,"NM",IF(((AS35/AK35-1)*100)&lt;-50,"NM",(AS35/AK35-1)*100)))</f>
        <v>1.4484185634052738</v>
      </c>
      <c r="AU35" s="103">
        <f>AVERAGE(AU33,AS33,AQ33,AO33)</f>
        <v>86.45</v>
      </c>
      <c r="AV35" s="81">
        <f>IF(ISERROR((AU35/AM35-1)*100),"NA",IF(((AU35/AM35-1)*100)&gt;100,"NM",IF(((AU35/AM35-1)*100)&lt;-50,"NM",(AU35/AM35-1)*100)))</f>
        <v>2.9779630732579054</v>
      </c>
      <c r="AW35" s="103">
        <f>AVERAGE(AW33,AU33,AS33,AQ33)</f>
        <v>87.125</v>
      </c>
      <c r="AX35" s="81">
        <f>IF(ISERROR((AW35/AO35-1)*100),"NA",IF(((AW35/AO35-1)*100)&gt;100,"NM",IF(((AW35/AO35-1)*100)&lt;-50,"NM",(AW35/AO35-1)*100)))</f>
        <v>2.9238038984051862</v>
      </c>
      <c r="AY35" s="103">
        <f>AVERAGE(AY33,AW33,AU33,AS33)</f>
        <v>87.800000000000011</v>
      </c>
      <c r="AZ35" s="81">
        <f>IF(ISERROR((AY35/AQ35-1)*100),"NA",IF(((AY35/AQ35-1)*100)&gt;100,"NM",IF(((AY35/AQ35-1)*100)&lt;-50,"NM",(AY35/AQ35-1)*100)))</f>
        <v>3.5377358490566113</v>
      </c>
      <c r="BA35" s="103">
        <f>AVERAGE(BA33,AY33,AW33,AU33)</f>
        <v>87.299999999999983</v>
      </c>
      <c r="BB35" s="81">
        <f>IF(ISERROR((BA35/AS35-1)*100),"NA",IF(((BA35/AS35-1)*100)&gt;100,"NM",IF(((BA35/AS35-1)*100)&lt;-50,"NM",(BA35/AS35-1)*100)))</f>
        <v>1.7482517482517279</v>
      </c>
      <c r="BC35" s="103">
        <f>AVERAGE(BC33,BA33,AY33,AW33)</f>
        <v>88.4</v>
      </c>
      <c r="BD35" s="81">
        <f>IF(ISERROR((BC35/AU35-1)*100),"NA",IF(((BC35/AU35-1)*100)&gt;100,"NM",IF(((BC35/AU35-1)*100)&lt;-50,"NM",(BC35/AU35-1)*100)))</f>
        <v>2.2556390977443552</v>
      </c>
      <c r="BE35" s="103">
        <f>AVERAGE(BE33,BC33,BA33,AY33)</f>
        <v>86.55</v>
      </c>
      <c r="BF35" s="81">
        <f>IF(ISERROR((BE35/AW35-1)*100),"NA",IF(((BE35/AW35-1)*100)&gt;100,"NM",IF(((BE35/AW35-1)*100)&lt;-50,"NM",(BE35/AW35-1)*100)))</f>
        <v>-0.65997130559540818</v>
      </c>
      <c r="BG35" s="103">
        <f>AVERAGE(BG33,BE33,BC33,BA33)</f>
        <v>85.699999999999989</v>
      </c>
      <c r="BH35" s="81">
        <f>IF(ISERROR((BG35/AY35-1)*100),"NA",IF(((BG35/AY35-1)*100)&gt;100,"NM",IF(((BG35/AY35-1)*100)&lt;-50,"NM",(BG35/AY35-1)*100)))</f>
        <v>-2.3917995444191598</v>
      </c>
      <c r="BI35" s="103">
        <f>AVERAGE(BI33,BG33,BE33,BC33)</f>
        <v>87.075000000000003</v>
      </c>
      <c r="BJ35" s="81">
        <f>IF(ISERROR((BI35/BA35-1)*100),"NA",IF(((BI35/BA35-1)*100)&gt;100,"NM",IF(((BI35/BA35-1)*100)&lt;-50,"NM",(BI35/BA35-1)*100)))</f>
        <v>-0.25773195876286348</v>
      </c>
      <c r="BK35" s="103">
        <f>AVERAGE(BK33,BI33,BG33,BE33)</f>
        <v>86.775000000000006</v>
      </c>
      <c r="BL35" s="81">
        <f>IF(ISERROR((BK35/BC35-1)*100),"NA",IF(((BK35/BC35-1)*100)&gt;100,"NM",IF(((BK35/BC35-1)*100)&lt;-50,"NM",(BK35/BC35-1)*100)))</f>
        <v>-1.8382352941176516</v>
      </c>
      <c r="BM35" s="103">
        <f>AVERAGE(BM33,BK33,BI33,BG33)</f>
        <v>88.049999999999983</v>
      </c>
      <c r="BN35" s="81">
        <f>IF(ISERROR((BM35/BE35-1)*100),"NA",IF(((BM35/BE35-1)*100)&gt;100,"NM",IF(((BM35/BE35-1)*100)&lt;-50,"NM",(BM35/BE35-1)*100)))</f>
        <v>1.7331022530329143</v>
      </c>
      <c r="BO35" s="103">
        <f>AVERAGE(BO33,BM33,BK33,BI33)</f>
        <v>88.65</v>
      </c>
      <c r="BP35" s="81">
        <f>IF(ISERROR((BO35/BG35-1)*100),"NA",IF(((BO35/BG35-1)*100)&gt;100,"NM",IF(((BO35/BG35-1)*100)&lt;-50,"NM",(BO35/BG35-1)*100)))</f>
        <v>3.4422403733955775</v>
      </c>
      <c r="BQ35" s="103">
        <f>AVERAGE(BQ33,BO33,BM33,BK33)</f>
        <v>87.825000000000017</v>
      </c>
      <c r="BR35" s="81">
        <f>IF(ISERROR((BQ35/BI35-1)*100),"NA",IF(((BQ35/BI35-1)*100)&gt;100,"NM",IF(((BQ35/BI35-1)*100)&lt;-50,"NM",(BQ35/BI35-1)*100)))</f>
        <v>0.86132644272181036</v>
      </c>
      <c r="BS35" s="103">
        <f>AVERAGE(BS33,BQ33,BO33,BM33)</f>
        <v>87.700000000000017</v>
      </c>
      <c r="BT35" s="81">
        <f>IF(ISERROR((BS35/BK35-1)*100),"NA",IF(((BS35/BK35-1)*100)&gt;100,"NM",IF(((BS35/BK35-1)*100)&lt;-50,"NM",(BS35/BK35-1)*100)))</f>
        <v>1.0659752232786035</v>
      </c>
      <c r="BU35" s="103">
        <f>AVERAGE(BU33,BS33,BQ33,BO33)</f>
        <v>87.5</v>
      </c>
      <c r="BV35" s="81">
        <f>IF(ISERROR((BU35/BM35-1)*100),"NA",IF(((BU35/BM35-1)*100)&gt;100,"NM",IF(((BU35/BM35-1)*100)&lt;-50,"NM",(BU35/BM35-1)*100)))</f>
        <v>-0.62464508801814977</v>
      </c>
      <c r="BW35" s="103">
        <f>AVERAGE(BW33,BU33,BS33,BQ33)</f>
        <v>87.2</v>
      </c>
      <c r="BX35" s="81">
        <f>IF(ISERROR((BW35/BO35-1)*100),"NA",IF(((BW35/BO35-1)*100)&gt;100,"NM",IF(((BW35/BO35-1)*100)&lt;-50,"NM",(BW35/BO35-1)*100)))</f>
        <v>-1.6356457980823524</v>
      </c>
      <c r="BY35" s="103">
        <f>AVERAGE(BY33,BW33,BU33,BS33)</f>
        <v>88.075000000000003</v>
      </c>
      <c r="BZ35" s="81">
        <f>IF(ISERROR((BY35/BQ35-1)*100),"NA",IF(((BY35/BQ35-1)*100)&gt;100,"NM",IF(((BY35/BQ35-1)*100)&lt;-50,"NM",(BY35/BQ35-1)*100)))</f>
        <v>0.28465698832904618</v>
      </c>
      <c r="CA35" s="103">
        <f>AVERAGE(CA33,BY33,BW33,BU33)</f>
        <v>88.75</v>
      </c>
      <c r="CB35" s="81">
        <f>IF(ISERROR((CA35/BS35-1)*100),"NA",IF(((CA35/BS35-1)*100)&gt;100,"NM",IF(((CA35/BS35-1)*100)&lt;-50,"NM",(CA35/BS35-1)*100)))</f>
        <v>1.1972633979475233</v>
      </c>
      <c r="CC35" s="103">
        <f>AVERAGE(CC33,CA33,BY33,BW33)</f>
        <v>89.699999999999989</v>
      </c>
      <c r="CD35" s="81">
        <f>IF(ISERROR((CC35/BU35-1)*100),"NA",IF(((CC35/BU35-1)*100)&gt;100,"NM",IF(((CC35/BU35-1)*100)&lt;-50,"NM",(CC35/BU35-1)*100)))</f>
        <v>2.5142857142856911</v>
      </c>
      <c r="CE35" s="103">
        <f>AVERAGE(CE33,CC33,CA33,BY33)</f>
        <v>90.224999999999994</v>
      </c>
      <c r="CF35" s="81">
        <f>IF(ISERROR((CE35/BW35-1)*100),"NA",IF(((CE35/BW35-1)*100)&gt;100,"NM",IF(((CE35/BW35-1)*100)&lt;-50,"NM",(CE35/BW35-1)*100)))</f>
        <v>3.469036697247696</v>
      </c>
      <c r="CG35" s="103">
        <f>AVERAGE(CG33,CE33,CC33,CA33)</f>
        <v>89.9</v>
      </c>
      <c r="CH35" s="81">
        <f>IF(ISERROR((CG35/BY35-1)*100),"NA",IF(((CG35/BY35-1)*100)&gt;100,"NM",IF(((CG35/BY35-1)*100)&lt;-50,"NM",(CG35/BY35-1)*100)))</f>
        <v>2.0720976440533612</v>
      </c>
      <c r="CI35" s="103">
        <f>AVERAGE(CI33,CG33,CE33,CC33)</f>
        <v>89.55</v>
      </c>
      <c r="CJ35" s="81">
        <f>IF(ISERROR((CI35/CA35-1)*100),"NA",IF(((CI35/CA35-1)*100)&gt;100,"NM",IF(((CI35/CA35-1)*100)&lt;-50,"NM",(CI35/CA35-1)*100)))</f>
        <v>0.90140845070423303</v>
      </c>
      <c r="CK35" s="103">
        <f>AVERAGE(CK33,CI33,CG33,CE33)</f>
        <v>89.6</v>
      </c>
      <c r="CL35" s="81">
        <f>IF(ISERROR((CK35/CC35-1)*100),"NA",IF(((CK35/CC35-1)*100)&gt;100,"NM",IF(((CK35/CC35-1)*100)&lt;-50,"NM",(CK35/CC35-1)*100)))</f>
        <v>-0.11148272017836858</v>
      </c>
      <c r="CM35" s="103">
        <f>AVERAGE(CM33,CK33,CI33,CG33)</f>
        <v>90.024999999999991</v>
      </c>
      <c r="CN35" s="81">
        <f>IF(ISERROR((CM35/CE35-1)*100),"NA",IF(((CM35/CE35-1)*100)&gt;100,"NM",IF(((CM35/CE35-1)*100)&lt;-50,"NM",(CM35/CE35-1)*100)))</f>
        <v>-0.22166805209199447</v>
      </c>
      <c r="CO35" s="103">
        <f>AVERAGE(CO33,CM33,CK33,CI33)</f>
        <v>89.124999999999986</v>
      </c>
      <c r="CP35" s="81">
        <f>IF(ISERROR((CO35/CG35-1)*100),"NA",IF(((CO35/CG35-1)*100)&gt;100,"NM",IF(((CO35/CG35-1)*100)&lt;-50,"NM",(CO35/CG35-1)*100)))</f>
        <v>-0.86206896551725976</v>
      </c>
      <c r="CQ35" s="103">
        <f>AVERAGE(CQ33,CO33,CM33,CK33)</f>
        <v>90.424999999999997</v>
      </c>
      <c r="CR35" s="81">
        <f>IF(ISERROR((CQ35/CI35-1)*100),"NA",IF(((CQ35/CI35-1)*100)&gt;100,"NM",IF(((CQ35/CI35-1)*100)&lt;-50,"NM",(CQ35/CI35-1)*100)))</f>
        <v>0.97710776102735153</v>
      </c>
      <c r="CS35" s="103">
        <f>AVERAGE(CS33,CQ33,CO33,CM33)</f>
        <v>90.25</v>
      </c>
      <c r="CT35" s="81">
        <f>IF(ISERROR((CS35/CK35-1)*100),"NA",IF(((CS35/CK35-1)*100)&gt;100,"NM",IF(((CS35/CK35-1)*100)&lt;-50,"NM",(CS35/CK35-1)*100)))</f>
        <v>0.72544642857144126</v>
      </c>
      <c r="CU35" s="103">
        <f>AVERAGE(CU33,CS33,CQ33,CO33)</f>
        <v>90.35</v>
      </c>
      <c r="CV35" s="81">
        <f>IF(ISERROR((CU35/CM35-1)*100),"NA",IF(((CU35/CM35-1)*100)&gt;100,"NM",IF(((CU35/CM35-1)*100)&lt;-50,"NM",(CU35/CM35-1)*100)))</f>
        <v>0.36101083032491488</v>
      </c>
      <c r="CW35" s="103">
        <f>AVERAGE(CW33,CU33,CS33,CQ33)</f>
        <v>90.775000000000006</v>
      </c>
      <c r="CX35" s="81">
        <f>IF(ISERROR((CW35/CO35-1)*100),"NA",IF(((CW35/CO35-1)*100)&gt;100,"NM",IF(((CW35/CO35-1)*100)&lt;-50,"NM",(CW35/CO35-1)*100)))</f>
        <v>1.8513323983169849</v>
      </c>
      <c r="CY35" s="103">
        <f>AVERAGE(CY33,CW33,CU33,CS33)</f>
        <v>88.899999999999991</v>
      </c>
      <c r="CZ35" s="81">
        <f>IF(ISERROR((CY35/CQ35-1)*100),"NA",IF(((CY35/CQ35-1)*100)&gt;100,"NM",IF(((CY35/CQ35-1)*100)&lt;-50,"NM",(CY35/CQ35-1)*100)))</f>
        <v>-1.6864805087088763</v>
      </c>
      <c r="DA35" s="103">
        <f>AVERAGE(DA33,CY33,CW33,CU33)</f>
        <v>88.05</v>
      </c>
      <c r="DB35" s="81">
        <f>IF(ISERROR((DA35/CS35-1)*100),"NA",IF(((DA35/CS35-1)*100)&gt;100,"NM",IF(((DA35/CS35-1)*100)&lt;-50,"NM",(DA35/CS35-1)*100)))</f>
        <v>-2.437673130193907</v>
      </c>
      <c r="DC35" s="103">
        <f>AVERAGE(DC33,DA33,CY33,CW33)</f>
        <v>87.125</v>
      </c>
      <c r="DD35" s="81">
        <f>IF(ISERROR((DC35/CU35-1)*100),"NA",IF(((DC35/CU35-1)*100)&gt;100,"NM",IF(((DC35/CU35-1)*100)&lt;-50,"NM",(DC35/CU35-1)*100)))</f>
        <v>-3.5694521306032012</v>
      </c>
      <c r="DE35" s="103">
        <f>AVERAGE(DE33,DC33,DA33,CY33)</f>
        <v>88</v>
      </c>
      <c r="DF35" s="81">
        <f>IF(ISERROR((DE35/CW35-1)*100),"NA",IF(((DE35/CW35-1)*100)&gt;100,"NM",IF(((DE35/CW35-1)*100)&lt;-50,"NM",(DE35/CW35-1)*100)))</f>
        <v>-3.0570090884054046</v>
      </c>
      <c r="DG35" s="103">
        <f>AVERAGE(DG33,DE33,DC33,DA33)</f>
        <v>88.25</v>
      </c>
      <c r="DH35" s="81">
        <f>IF(ISERROR((DG35/CY35-1)*100),"NA",IF(((DG35/CY35-1)*100)&gt;100,"NM",IF(((DG35/CY35-1)*100)&lt;-50,"NM",(DG35/CY35-1)*100)))</f>
        <v>-0.73115860517434239</v>
      </c>
      <c r="DI35" s="103">
        <f>AVERAGE(DI33,DG33,DE33,DC33)</f>
        <v>89.525000000000006</v>
      </c>
      <c r="DJ35" s="81">
        <f>IF(ISERROR((DI35/DA35-1)*100),"NA",IF(((DI35/DA35-1)*100)&gt;100,"NM",IF(((DI35/DA35-1)*100)&lt;-50,"NM",(DI35/DA35-1)*100)))</f>
        <v>1.6751845542305688</v>
      </c>
      <c r="DK35" s="103">
        <f>AVERAGE(DK33,DI33,DG33,DE33)</f>
        <v>90.525000000000006</v>
      </c>
      <c r="DL35" s="81">
        <f>IF(ISERROR((DK35/DC35-1)*100),"NA",IF(((DK35/DC35-1)*100)&gt;100,"NM",IF(((DK35/DC35-1)*100)&lt;-50,"NM",(DK35/DC35-1)*100)))</f>
        <v>3.9024390243902474</v>
      </c>
      <c r="DM35" s="103">
        <f>AVERAGE(DM33,DK33,DI33,DG33)</f>
        <v>90.724999999999994</v>
      </c>
      <c r="DN35" s="81">
        <f>IF(ISERROR((DM35/DE35-1)*100),"NA",IF(((DM35/DE35-1)*100)&gt;100,"NM",IF(((DM35/DE35-1)*100)&lt;-50,"NM",(DM35/DE35-1)*100)))</f>
        <v>3.0965909090909127</v>
      </c>
      <c r="DO35" s="103">
        <f>AVERAGE(DO33,DM33,DK33,DI33)</f>
        <v>91.4</v>
      </c>
      <c r="DP35" s="81">
        <f>IF(ISERROR((DO35/DG35-1)*100),"NA",IF(((DO35/DG35-1)*100)&gt;100,"NM",IF(((DO35/DG35-1)*100)&lt;-50,"NM",(DO35/DG35-1)*100)))</f>
        <v>3.569405099150158</v>
      </c>
      <c r="DQ35" s="103">
        <f>AVERAGE(DQ33,DO33,DM33,DK33)</f>
        <v>91.75</v>
      </c>
      <c r="DR35" s="81">
        <f>IF(ISERROR((DQ35/DI35-1)*100),"NA",IF(((DQ35/DI35-1)*100)&gt;100,"NM",IF(((DQ35/DI35-1)*100)&lt;-50,"NM",(DQ35/DI35-1)*100)))</f>
        <v>2.4853392907009164</v>
      </c>
      <c r="DS35" s="103">
        <f>AVERAGE(DS33,DQ33,DO33,DM33)</f>
        <v>92.025000000000006</v>
      </c>
      <c r="DT35" s="81">
        <f>IF(ISERROR((DS35/DK35-1)*100),"NA",IF(((DS35/DK35-1)*100)&gt;100,"NM",IF(((DS35/DK35-1)*100)&lt;-50,"NM",(DS35/DK35-1)*100)))</f>
        <v>1.6570008285004212</v>
      </c>
      <c r="DU35" s="103">
        <f>AVERAGE(DU33,DS33,DQ33,DO33)</f>
        <v>90.600000000000009</v>
      </c>
      <c r="DV35" s="81">
        <f>IF(ISERROR((DU35/DM35-1)*100),"NA",IF(((DU35/DM35-1)*100)&gt;100,"NM",IF(((DU35/DM35-1)*100)&lt;-50,"NM",(DU35/DM35-1)*100)))</f>
        <v>-0.13777900248000963</v>
      </c>
      <c r="DW35" s="103">
        <f>AVERAGE(DW33,DU33,DS33,DQ33)</f>
        <v>90.574999999999989</v>
      </c>
      <c r="DX35" s="81">
        <f>IF(ISERROR((DW35/DO35-1)*100),"NA",IF(((DW35/DO35-1)*100)&gt;100,"NM",IF(((DW35/DO35-1)*100)&lt;-50,"NM",(DW35/DO35-1)*100)))</f>
        <v>-0.90262582056894747</v>
      </c>
      <c r="DY35" s="103">
        <f>AVERAGE(DY33,DW33,DU33,DS33)</f>
        <v>90.050000000000011</v>
      </c>
      <c r="DZ35" s="81">
        <f>IF(ISERROR((DY35/DQ35-1)*100),"NA",IF(((DY35/DQ35-1)*100)&gt;100,"NM",IF(((DY35/DQ35-1)*100)&lt;-50,"NM",(DY35/DQ35-1)*100)))</f>
        <v>-1.8528610354223263</v>
      </c>
      <c r="EA35" s="103">
        <f>AVERAGE(EA33,DY33,DW33,DU33)</f>
        <v>89.9</v>
      </c>
      <c r="EB35" s="81">
        <f>IF(ISERROR((EA35/DS35-1)*100),"NA",IF(((EA35/DS35-1)*100)&gt;100,"NM",IF(((EA35/DS35-1)*100)&lt;-50,"NM",(EA35/DS35-1)*100)))</f>
        <v>-2.3091551208910599</v>
      </c>
      <c r="EC35" s="103">
        <f>AVERAGE(EC33,EA33,DY33,DW33)</f>
        <v>89.774999999999991</v>
      </c>
      <c r="ED35" s="81">
        <f t="shared" si="195"/>
        <v>-0.91059602649008475</v>
      </c>
      <c r="EE35" s="103">
        <f>AVERAGE(EE33,EC33,EA33,DY33)</f>
        <v>89.474999999999994</v>
      </c>
      <c r="EF35" s="81">
        <f t="shared" si="196"/>
        <v>-1.2144631520839</v>
      </c>
      <c r="EG35" s="103">
        <f>AVERAGE(EG33,EE33,EC33,EA33)</f>
        <v>89.224999999999994</v>
      </c>
      <c r="EH35" s="81">
        <f t="shared" si="197"/>
        <v>-0.91615769017214799</v>
      </c>
      <c r="EI35" s="103">
        <f>AVERAGE(EI33,EG33,EE33,EC33)</f>
        <v>88.924999999999997</v>
      </c>
      <c r="EJ35" s="81">
        <f t="shared" si="198"/>
        <v>-1.0845383759733096</v>
      </c>
      <c r="EK35" s="103">
        <f t="shared" ref="EK35" si="208">AVERAGE(EK33,EI33,EG33,EE33)</f>
        <v>90.125</v>
      </c>
      <c r="EL35" s="81">
        <f t="shared" si="200"/>
        <v>0.38986354775829568</v>
      </c>
      <c r="EM35" s="103">
        <f t="shared" ref="EM35" si="209">AVERAGE(EM33,EK33,EI33,EG33)</f>
        <v>90</v>
      </c>
      <c r="EN35" s="81">
        <f t="shared" si="201"/>
        <v>0.58675607711651256</v>
      </c>
      <c r="EO35" s="103">
        <f t="shared" ref="EO35" si="210">AVERAGE(EO33,EM33,EK33,EI33)</f>
        <v>90.075000000000003</v>
      </c>
      <c r="EP35" s="81">
        <f t="shared" si="202"/>
        <v>0.95264780050434705</v>
      </c>
      <c r="EQ35" s="103">
        <f t="shared" ref="EQ35" si="211">AVERAGE(EQ33,EO33,EM33,EK33)</f>
        <v>90</v>
      </c>
      <c r="ER35" s="81">
        <f t="shared" si="203"/>
        <v>1.20888389091931</v>
      </c>
      <c r="ES35" s="78"/>
      <c r="ET35" s="465"/>
      <c r="EU35" s="78"/>
      <c r="EV35" s="78"/>
      <c r="EW35" s="3"/>
      <c r="EX35" s="78"/>
      <c r="EY35" s="3"/>
      <c r="EZ35" s="78"/>
      <c r="FA35" s="3"/>
      <c r="FB35" s="78"/>
      <c r="FC35" s="3"/>
      <c r="FD35" s="104"/>
      <c r="FE35" s="79"/>
      <c r="FF35" s="104"/>
      <c r="FG35" s="79"/>
      <c r="FH35" s="105" t="s">
        <v>199</v>
      </c>
      <c r="FI35" s="79" t="str">
        <f>IF(ISERROR((FH35/FF35-1)*100),"NA",IF(((FH35/FF35-1)*100)&gt;100,"NM",IF(((FH35/FF35-1)*100)&lt;-50,"NM",(FH35/FF35-1)*100)))</f>
        <v>NA</v>
      </c>
      <c r="FJ35" s="104">
        <f>+FJ34</f>
        <v>85.187016153611694</v>
      </c>
      <c r="FK35" s="79" t="str">
        <f>IF(ISERROR((FJ35/FH35-1)*100),"NA",IF(((FJ35/FH35-1)*100)&gt;100,"NM",IF(((FJ35/FH35-1)*100)&lt;-50,"NM",(FJ35/FH35-1)*100)))</f>
        <v>NA</v>
      </c>
      <c r="FL35" s="104">
        <f>+FL34</f>
        <v>87.944608543750988</v>
      </c>
      <c r="FM35" s="79">
        <f>IF(ISERROR((FL35/FJ35-1)*100),"NA",IF(((FL35/FJ35-1)*100)&gt;100,"NM",IF(((FL35/FJ35-1)*100)&lt;-50,"NM",(FL35/FJ35-1)*100)))</f>
        <v>3.2371040971393095</v>
      </c>
      <c r="FN35" s="104">
        <f>+FN34</f>
        <v>86.128843385058389</v>
      </c>
      <c r="FO35" s="79">
        <f>IF(ISERROR((FN35/FL35-1)*100),"NA",IF(((FN35/FL35-1)*100)&gt;100,"NM",IF(((FN35/FL35-1)*100)&lt;-50,"NM",(FN35/FL35-1)*100)))</f>
        <v>-2.0646691011072971</v>
      </c>
      <c r="FP35" s="104">
        <f>+FP34</f>
        <v>88.957653754672094</v>
      </c>
      <c r="FQ35" s="79">
        <f>IF(ISERROR((FP35/FN35-1)*100),"NA",IF(((FP35/FN35-1)*100)&gt;100,"NM",IF(((FP35/FN35-1)*100)&lt;-50,"NM",(FP35/FN35-1)*100)))</f>
        <v>3.2843937738335383</v>
      </c>
      <c r="FR35" s="103">
        <f>+FR34</f>
        <v>86.35060774017893</v>
      </c>
      <c r="FS35" s="79">
        <f>IF(ISERROR((FR35/FP35-1)*100),"NA",IF(((FR35/FP35-1)*100)&gt;100,"NM",IF(((FR35/FP35-1)*100)&lt;-50,"NM",(FR35/FP35-1)*100)))</f>
        <v>-2.9306595941512636</v>
      </c>
      <c r="FT35" s="103">
        <f>+FT34</f>
        <v>90.463041448842418</v>
      </c>
      <c r="FU35" s="79">
        <f>IF(ISERROR((FT35/FR35-1)*100),"NA",IF(((FT35/FR35-1)*100)&gt;100,"NM",IF(((FT35/FR35-1)*100)&lt;-50,"NM",(FT35/FR35-1)*100)))</f>
        <v>4.7624838044422635</v>
      </c>
      <c r="FV35" s="103">
        <f>+FV34</f>
        <v>90.110671917541808</v>
      </c>
      <c r="FW35" s="79">
        <f>IF(ISERROR((FV35/FT35-1)*100),"NA",IF(((FV35/FT35-1)*100)&gt;100,"NM",IF(((FV35/FT35-1)*100)&lt;-50,"NM",(FV35/FT35-1)*100)))</f>
        <v>-0.38951767004195004</v>
      </c>
      <c r="FX35" s="103">
        <f>+FX34</f>
        <v>90.314424770103699</v>
      </c>
      <c r="FY35" s="79">
        <f>IF(ISERROR((FX35/FV35-1)*100),"NA",IF(((FX35/FV35-1)*100)&gt;100,"NM",IF(((FX35/FV35-1)*100)&lt;-50,"NM",(FX35/FV35-1)*100)))</f>
        <v>0.22611400872512011</v>
      </c>
      <c r="FZ35" s="103">
        <f>+FZ34</f>
        <v>86.995922537952509</v>
      </c>
      <c r="GA35" s="79">
        <f>IF(ISERROR((FZ35/FX35-1)*100),"NA",IF(((FZ35/FX35-1)*100)&gt;100,"NM",IF(((FZ35/FX35-1)*100)&lt;-50,"NM",(FZ35/FX35-1)*100)))</f>
        <v>-3.6743878296279564</v>
      </c>
      <c r="GB35" s="103">
        <f>+GB34</f>
        <v>90.357704341024629</v>
      </c>
      <c r="GC35" s="79">
        <f>IF(ISERROR((GB35/FZ35-1)*100),"NA",IF(((GB35/FZ35-1)*100)&gt;100,"NM",IF(((GB35/FZ35-1)*100)&lt;-50,"NM",(GB35/FZ35-1)*100)))</f>
        <v>3.8642981245535113</v>
      </c>
      <c r="GD35" s="103">
        <f>+GD34</f>
        <v>91.814011649408286</v>
      </c>
      <c r="GE35" s="79">
        <f>IF(ISERROR((GD35/GB35-1)*100),"NA",IF(((GD35/GB35-1)*100)&gt;100,"NM",IF(((GD35/GB35-1)*100)&lt;-50,"NM",(GD35/GB35-1)*100)))</f>
        <v>1.6117134880799133</v>
      </c>
      <c r="GF35" s="103">
        <f>+GF34</f>
        <v>89.712565720294435</v>
      </c>
      <c r="GG35" s="79">
        <f>IF(ISERROR((GF35/GD35-1)*100),"NA",IF(((GF35/GD35-1)*100)&gt;100,"NM",IF(((GF35/GD35-1)*100)&lt;-50,"NM",(GF35/GD35-1)*100)))</f>
        <v>-2.2888074394769031</v>
      </c>
      <c r="GH35" s="103">
        <f>+GH34</f>
        <v>88.887531677648255</v>
      </c>
      <c r="GI35" s="79">
        <f>IF(ISERROR((GH35/GF35-1)*100),"NA",IF(((GH35/GF35-1)*100)&gt;100,"NM",IF(((GH35/GF35-1)*100)&lt;-50,"NM",(GH35/GF35-1)*100)))</f>
        <v>-0.91964156416891596</v>
      </c>
      <c r="GJ35" s="103">
        <f>+GJ34</f>
        <v>89.681431219299455</v>
      </c>
      <c r="GK35" s="79">
        <f>IF(ISERROR((GJ35/GH35-1)*100),"NA",IF(((GJ35/GH35-1)*100)&gt;100,"NM",IF(((GJ35/GH35-1)*100)&lt;-50,"NM",(GJ35/GH35-1)*100)))</f>
        <v>0.89315062154080582</v>
      </c>
      <c r="GL35" s="103">
        <f>+GL34</f>
        <v>89.681431219299455</v>
      </c>
      <c r="GM35" s="79">
        <f>IF(ISERROR((GL35/GJ35-1)*100),"NA",IF(((GL35/GJ35-1)*100)&gt;100,"NM",IF(((GL35/GJ35-1)*100)&lt;-50,"NM",(GL35/GJ35-1)*100)))</f>
        <v>0</v>
      </c>
      <c r="GN35" s="103">
        <f>+GN34</f>
        <v>89.681431219299455</v>
      </c>
      <c r="GO35" s="79">
        <f>IF(ISERROR((GN35/GL35-1)*100),"NA",IF(((GN35/GL35-1)*100)&gt;100,"NM",IF(((GN35/GL35-1)*100)&lt;-50,"NM",(GN35/GL35-1)*100)))</f>
        <v>0</v>
      </c>
      <c r="GP35" s="103">
        <f>+GP34</f>
        <v>89.681431219299455</v>
      </c>
      <c r="GQ35" s="79">
        <f>IF(ISERROR((GP35/GN35-1)*100),"NA",IF(((GP35/GN35-1)*100)&gt;100,"NM",IF(((GP35/GN35-1)*100)&lt;-50,"NM",(GP35/GN35-1)*100)))</f>
        <v>0</v>
      </c>
      <c r="GR35" s="103">
        <f>+GR34</f>
        <v>89.681431219299455</v>
      </c>
      <c r="GS35" s="79">
        <f>IF(ISERROR((GR35/GP35-1)*100),"NA",IF(((GR35/GP35-1)*100)&gt;100,"NM",IF(((GR35/GP35-1)*100)&lt;-50,"NM",(GR35/GP35-1)*100)))</f>
        <v>0</v>
      </c>
      <c r="GT35" s="79">
        <f>IF(ISERROR(((GR35/GH35)^0.2-1)*100),"NA",(IF(OR(((GR35/GH35)^0.2-1)*100&gt;99,((GR35/GH35)^0.2-1)*100&lt;-50),"NM",(((GR35/GH35)^0.2-1)*100))))</f>
        <v>0.17799534855986732</v>
      </c>
    </row>
    <row r="36" spans="1:286" s="110" customFormat="1" ht="12.75" customHeight="1" x14ac:dyDescent="0.2">
      <c r="A36" s="106"/>
      <c r="B36" s="2" t="s">
        <v>478</v>
      </c>
      <c r="C36" s="97"/>
      <c r="D36" s="97"/>
      <c r="E36" s="82"/>
      <c r="F36" s="108"/>
      <c r="G36" s="104"/>
      <c r="H36" s="108"/>
      <c r="I36" s="104"/>
      <c r="J36" s="108"/>
      <c r="K36" s="104"/>
      <c r="L36" s="79"/>
      <c r="M36" s="104"/>
      <c r="N36" s="79"/>
      <c r="O36" s="104"/>
      <c r="P36" s="79"/>
      <c r="Q36" s="104"/>
      <c r="R36" s="79"/>
      <c r="S36" s="104"/>
      <c r="T36" s="79"/>
      <c r="U36" s="104"/>
      <c r="V36" s="79"/>
      <c r="W36" s="104"/>
      <c r="X36" s="79"/>
      <c r="Y36" s="104"/>
      <c r="Z36" s="79"/>
      <c r="AA36" s="113"/>
      <c r="AB36" s="79"/>
      <c r="AC36" s="104" t="s">
        <v>199</v>
      </c>
      <c r="AD36" s="79" t="str">
        <f>IF(ISERROR((AC36/U36-1)*100),"NA",IF(((AC36/U36-1)*100)&gt;100,"NM",IF(((AC36/U36-1)*100)&lt;-50,"NM",(AC36/U36-1)*100)))</f>
        <v>NA</v>
      </c>
      <c r="AE36" s="104">
        <f>+AE28/AE25*100</f>
        <v>0.97238537608630227</v>
      </c>
      <c r="AF36" s="79" t="str">
        <f>IF(ISERROR((AE36/W36-1)*100),"NA",IF(((AE36/W36-1)*100)&gt;100,"NM",IF(((AE36/W36-1)*100)&lt;-50,"NM",(AE36/W36-1)*100)))</f>
        <v>NA</v>
      </c>
      <c r="AG36" s="104">
        <f>+AG28/AG25*100</f>
        <v>1.1338060039221771</v>
      </c>
      <c r="AH36" s="79" t="str">
        <f>IF(ISERROR((AG36/Y36-1)*100),"NA",IF(((AG36/Y36-1)*100)&gt;100,"NM",IF(((AG36/Y36-1)*100)&lt;-50,"NM",(AG36/Y36-1)*100)))</f>
        <v>NA</v>
      </c>
      <c r="AI36" s="104">
        <f>+AI28/AI25*100</f>
        <v>1.5894560923731205</v>
      </c>
      <c r="AJ36" s="79" t="str">
        <f>IF(ISERROR((AI36/AA36-1)*100),"NA",IF(((AI36/AA36-1)*100)&gt;100,"NM",IF(((AI36/AA36-1)*100)&lt;-50,"NM",(AI36/AA36-1)*100)))</f>
        <v>NA</v>
      </c>
      <c r="AK36" s="104">
        <f>+AK28/AK25*100</f>
        <v>-2.2905059433099413</v>
      </c>
      <c r="AL36" s="79" t="str">
        <f>IF(ISERROR((AK36/AC36-1)*100),"NA",IF(((AK36/AC36-1)*100)&gt;100,"NM",IF(((AK36/AC36-1)*100)&lt;-50,"NM",(AK36/AC36-1)*100)))</f>
        <v>NA</v>
      </c>
      <c r="AM36" s="104">
        <f>+AM28/AM25*100</f>
        <v>1.649150141643035</v>
      </c>
      <c r="AN36" s="79">
        <f>IF(ISERROR((AM36/AE36-1)*100),"NA",IF(((AM36/AE36-1)*100)&gt;100,"NM",IF(((AM36/AE36-1)*100)&lt;-50,"NM",(AM36/AE36-1)*100)))</f>
        <v>69.598410486242003</v>
      </c>
      <c r="AO36" s="104">
        <f>+AO28/AO25*100</f>
        <v>-0.72638190954773407</v>
      </c>
      <c r="AP36" s="79" t="str">
        <f>IF(ISERROR((AO36/AG36-1)*100),"NA",IF(((AO36/AG36-1)*100)&gt;100,"NM",IF(((AO36/AG36-1)*100)&lt;-50,"NM",(AO36/AG36-1)*100)))</f>
        <v>NM</v>
      </c>
      <c r="AQ36" s="104">
        <f>+AQ28/AQ25*100</f>
        <v>2.0247603833865964</v>
      </c>
      <c r="AR36" s="79">
        <f>IF(ISERROR((AQ36/AI36-1)*100),"NA",IF(((AQ36/AI36-1)*100)&gt;100,"NM",IF(((AQ36/AI36-1)*100)&lt;-50,"NM",(AQ36/AI36-1)*100)))</f>
        <v>27.386996916885529</v>
      </c>
      <c r="AS36" s="103">
        <f>+AS28/AS25*100</f>
        <v>-1.6769969826901816</v>
      </c>
      <c r="AT36" s="81">
        <f>IF(ISERROR((AS36/AK36-1)*100),"NA",IF(((AS36/AK36-1)*100)&gt;100,"NM",IF(((AS36/AK36-1)*100)&lt;-50,"NM",(AS36/AK36-1)*100)))</f>
        <v>-26.784866566781151</v>
      </c>
      <c r="AU36" s="103">
        <f>+AU28/AU25*100</f>
        <v>1.1730719586963556</v>
      </c>
      <c r="AV36" s="81">
        <f>IF(ISERROR((AU36/AM36-1)*100),"NA",IF(((AU36/AM36-1)*100)&gt;100,"NM",IF(((AU36/AM36-1)*100)&lt;-50,"NM",(AU36/AM36-1)*100)))</f>
        <v>-28.86809217215156</v>
      </c>
      <c r="AW36" s="103">
        <f>+AW28/AW25*100</f>
        <v>-1.1520910258468342</v>
      </c>
      <c r="AX36" s="81">
        <f>IF(ISERROR((AW36/AO36-1)*100),"NA",IF(((AW36/AO36-1)*100)&gt;100,"NM",IF(((AW36/AO36-1)*100)&lt;-50,"NM",(AW36/AO36-1)*100)))</f>
        <v>58.606789445535433</v>
      </c>
      <c r="AY36" s="103">
        <f>+AY28/AY25*100</f>
        <v>2.2175613123274314</v>
      </c>
      <c r="AZ36" s="81">
        <f>IF(ISERROR((AY36/AQ36-1)*100),"NA",IF(((AY36/AQ36-1)*100)&gt;100,"NM",IF(((AY36/AQ36-1)*100)&lt;-50,"NM",(AY36/AQ36-1)*100)))</f>
        <v>9.5221602774723237</v>
      </c>
      <c r="BA36" s="103">
        <f>+BA28/BA25*100</f>
        <v>-5.9004399296112595</v>
      </c>
      <c r="BB36" s="81" t="str">
        <f>IF(ISERROR((BA36/AS36-1)*100),"NA",IF(((BA36/AS36-1)*100)&gt;100,"NM",IF(((BA36/AS36-1)*100)&lt;-50,"NM",(BA36/AS36-1)*100)))</f>
        <v>NM</v>
      </c>
      <c r="BC36" s="103">
        <f>+BC28/BC25*100</f>
        <v>2.9024402643619585</v>
      </c>
      <c r="BD36" s="81" t="str">
        <f>IF(ISERROR((BC36/AU36-1)*100),"NA",IF(((BC36/AU36-1)*100)&gt;100,"NM",IF(((BC36/AU36-1)*100)&lt;-50,"NM",(BC36/AU36-1)*100)))</f>
        <v>NM</v>
      </c>
      <c r="BE36" s="103">
        <f>+BE28/BE25*100</f>
        <v>-0.68625061546036636</v>
      </c>
      <c r="BF36" s="81">
        <f>IF(ISERROR((BE36/AW36-1)*100),"NA",IF(((BE36/AW36-1)*100)&gt;100,"NM",IF(((BE36/AW36-1)*100)&lt;-50,"NM",(BE36/AW36-1)*100)))</f>
        <v>-40.43434068450069</v>
      </c>
      <c r="BG36" s="103">
        <f>+BG28/BG25*100</f>
        <v>0.8467512219787785</v>
      </c>
      <c r="BH36" s="81" t="str">
        <f>IF(ISERROR((BG36/AY36-1)*100),"NA",IF(((BG36/AY36-1)*100)&gt;100,"NM",IF(((BG36/AY36-1)*100)&lt;-50,"NM",(BG36/AY36-1)*100)))</f>
        <v>NM</v>
      </c>
      <c r="BI36" s="103">
        <f>+BI28/BI25*100</f>
        <v>-4.5187138973836287</v>
      </c>
      <c r="BJ36" s="81">
        <f>IF(ISERROR((BI36/BA36-1)*100),"NA",IF(((BI36/BA36-1)*100)&gt;100,"NM",IF(((BI36/BA36-1)*100)&lt;-50,"NM",(BI36/BA36-1)*100)))</f>
        <v>-23.417339193531351</v>
      </c>
      <c r="BK36" s="103">
        <f>+BK28/BK25*100</f>
        <v>0.73423645320197972</v>
      </c>
      <c r="BL36" s="81" t="str">
        <f>IF(ISERROR((BK36/BC36-1)*100),"NA",IF(((BK36/BC36-1)*100)&gt;100,"NM",IF(((BK36/BC36-1)*100)&lt;-50,"NM",(BK36/BC36-1)*100)))</f>
        <v>NM</v>
      </c>
      <c r="BM36" s="103">
        <f>+BM28/BM25*100</f>
        <v>-1.328417015341713</v>
      </c>
      <c r="BN36" s="81">
        <f>IF(ISERROR((BM36/BE36-1)*100),"NA",IF(((BM36/BE36-1)*100)&gt;100,"NM",IF(((BM36/BE36-1)*100)&lt;-50,"NM",(BM36/BE36-1)*100)))</f>
        <v>93.57607635084652</v>
      </c>
      <c r="BO36" s="103">
        <f>+BO28/BO25*100</f>
        <v>1.8921230440967429</v>
      </c>
      <c r="BP36" s="81" t="str">
        <f>IF(ISERROR((BO36/BG36-1)*100),"NA",IF(((BO36/BG36-1)*100)&gt;100,"NM",IF(((BO36/BG36-1)*100)&lt;-50,"NM",(BO36/BG36-1)*100)))</f>
        <v>NM</v>
      </c>
      <c r="BQ36" s="103">
        <f>+BQ28/BQ25*100</f>
        <v>-4.8654075895994362</v>
      </c>
      <c r="BR36" s="81">
        <f>IF(ISERROR((BQ36/BI36-1)*100),"NA",IF(((BQ36/BI36-1)*100)&gt;100,"NM",IF(((BQ36/BI36-1)*100)&lt;-50,"NM",(BQ36/BI36-1)*100)))</f>
        <v>7.6723975026731894</v>
      </c>
      <c r="BS36" s="103">
        <f>+BS28/BS25*100</f>
        <v>-1.0609629833241814</v>
      </c>
      <c r="BT36" s="81" t="str">
        <f>IF(ISERROR((BS36/BK36-1)*100),"NA",IF(((BS36/BK36-1)*100)&gt;100,"NM",IF(((BS36/BK36-1)*100)&lt;-50,"NM",(BS36/BK36-1)*100)))</f>
        <v>NM</v>
      </c>
      <c r="BU36" s="103">
        <f>+BU28/BU25*100</f>
        <v>-0.32781885397412369</v>
      </c>
      <c r="BV36" s="81" t="str">
        <f>IF(ISERROR((BU36/BM36-1)*100),"NA",IF(((BU36/BM36-1)*100)&gt;100,"NM",IF(((BU36/BM36-1)*100)&lt;-50,"NM",(BU36/BM36-1)*100)))</f>
        <v>NM</v>
      </c>
      <c r="BW36" s="103">
        <f>+BW28/BW25*100</f>
        <v>0.66705433569036621</v>
      </c>
      <c r="BX36" s="81" t="str">
        <f>IF(ISERROR((BW36/BO36-1)*100),"NA",IF(((BW36/BO36-1)*100)&gt;100,"NM",IF(((BW36/BO36-1)*100)&lt;-50,"NM",(BW36/BO36-1)*100)))</f>
        <v>NM</v>
      </c>
      <c r="BY36" s="103">
        <f>+BY28/BY25*100</f>
        <v>-4.4224607916355563</v>
      </c>
      <c r="BZ36" s="81">
        <f>IF(ISERROR((BY36/BQ36-1)*100),"NA",IF(((BY36/BQ36-1)*100)&gt;100,"NM",IF(((BY36/BQ36-1)*100)&lt;-50,"NM",(BY36/BQ36-1)*100)))</f>
        <v>-9.104001870485579</v>
      </c>
      <c r="CA36" s="103">
        <f>+CA28/CA25*100</f>
        <v>-0.92671521655805367</v>
      </c>
      <c r="CB36" s="81">
        <f>IF(ISERROR((CA36/BS36-1)*100),"NA",IF(((CA36/BS36-1)*100)&gt;100,"NM",IF(((CA36/BS36-1)*100)&lt;-50,"NM",(CA36/BS36-1)*100)))</f>
        <v>-12.653388372279128</v>
      </c>
      <c r="CC36" s="103">
        <f>+CC28/CC25*100</f>
        <v>-1.1730074899174237</v>
      </c>
      <c r="CD36" s="81" t="str">
        <f>IF(ISERROR((CC36/BU36-1)*100),"NA",IF(((CC36/BU36-1)*100)&gt;100,"NM",IF(((CC36/BU36-1)*100)&lt;-50,"NM",(CC36/BU36-1)*100)))</f>
        <v>NM</v>
      </c>
      <c r="CE36" s="103">
        <f>+CE28/CE25*100</f>
        <v>0.82702492211838252</v>
      </c>
      <c r="CF36" s="81">
        <f>IF(ISERROR((CE36/BW36-1)*100),"NA",IF(((CE36/BW36-1)*100)&gt;100,"NM",IF(((CE36/BW36-1)*100)&lt;-50,"NM",(CE36/BW36-1)*100)))</f>
        <v>23.981642554268866</v>
      </c>
      <c r="CG36" s="103">
        <f>+CG28/CG25*100</f>
        <v>-2.7094515752625514</v>
      </c>
      <c r="CH36" s="81">
        <f>IF(ISERROR((CG36/BY36-1)*100),"NA",IF(((CG36/BY36-1)*100)&gt;100,"NM",IF(((CG36/BY36-1)*100)&lt;-50,"NM",(CG36/BY36-1)*100)))</f>
        <v>-38.734299682496079</v>
      </c>
      <c r="CI36" s="103">
        <f>+CI28/CI25*100</f>
        <v>-0.62116141732283636</v>
      </c>
      <c r="CJ36" s="81">
        <f>IF(ISERROR((CI36/CA36-1)*100),"NA",IF(((CI36/CA36-1)*100)&gt;100,"NM",IF(((CI36/CA36-1)*100)&lt;-50,"NM",(CI36/CA36-1)*100)))</f>
        <v>-32.971704119641601</v>
      </c>
      <c r="CK36" s="103">
        <f>+CK28/CK25*100</f>
        <v>0.11087899093417664</v>
      </c>
      <c r="CL36" s="81" t="str">
        <f>IF(ISERROR((CK36/CC36-1)*100),"NA",IF(((CK36/CC36-1)*100)&gt;100,"NM",IF(((CK36/CC36-1)*100)&lt;-50,"NM",(CK36/CC36-1)*100)))</f>
        <v>NM</v>
      </c>
      <c r="CM36" s="103">
        <f>+CM28/CM25*100</f>
        <v>0.52580565926508782</v>
      </c>
      <c r="CN36" s="81">
        <f>IF(ISERROR((CM36/CE36-1)*100),"NA",IF(((CM36/CE36-1)*100)&gt;100,"NM",IF(((CM36/CE36-1)*100)&lt;-50,"NM",(CM36/CE36-1)*100)))</f>
        <v>-36.422029711237336</v>
      </c>
      <c r="CO36" s="103">
        <f>+CO28/CO25*100</f>
        <v>-0.6074838583447395</v>
      </c>
      <c r="CP36" s="81" t="str">
        <f>IF(ISERROR((CO36/CG36-1)*100),"NA",IF(((CO36/CG36-1)*100)&gt;100,"NM",IF(((CO36/CG36-1)*100)&lt;-50,"NM",(CO36/CG36-1)*100)))</f>
        <v>NM</v>
      </c>
      <c r="CQ36" s="103">
        <f>+CQ28/CQ25*100</f>
        <v>-1.506196414653167</v>
      </c>
      <c r="CR36" s="81" t="str">
        <f>IF(ISERROR((CQ36/CI36-1)*100),"NA",IF(((CQ36/CI36-1)*100)&gt;100,"NM",IF(((CQ36/CI36-1)*100)&lt;-50,"NM",(CQ36/CI36-1)*100)))</f>
        <v>NM</v>
      </c>
      <c r="CS36" s="103">
        <f>+CS28/CS25*100</f>
        <v>-0.78982558139534986</v>
      </c>
      <c r="CT36" s="81" t="str">
        <f>IF(ISERROR((CS36/CK36-1)*100),"NA",IF(((CS36/CK36-1)*100)&gt;100,"NM",IF(((CS36/CK36-1)*100)&lt;-50,"NM",(CS36/CK36-1)*100)))</f>
        <v>NM</v>
      </c>
      <c r="CU36" s="103">
        <f>+CU28/CU25*100</f>
        <v>6.0609756097550913E-2</v>
      </c>
      <c r="CV36" s="81" t="str">
        <f>IF(ISERROR((CU36/CM36-1)*100),"NA",IF(((CU36/CM36-1)*100)&gt;100,"NM",IF(((CU36/CM36-1)*100)&lt;-50,"NM",(CU36/CM36-1)*100)))</f>
        <v>NM</v>
      </c>
      <c r="CW36" s="103">
        <f>+CW28/CW25*100</f>
        <v>2.3365122615819543E-2</v>
      </c>
      <c r="CX36" s="81" t="str">
        <f>IF(ISERROR((CW36/CO36-1)*100),"NA",IF(((CW36/CO36-1)*100)&gt;100,"NM",IF(((CW36/CO36-1)*100)&lt;-50,"NM",(CW36/CO36-1)*100)))</f>
        <v>NM</v>
      </c>
      <c r="CY36" s="103">
        <f>+CY28/CY25*100</f>
        <v>-7.0636814970414824E-2</v>
      </c>
      <c r="CZ36" s="81" t="str">
        <f>IF(ISERROR((CY36/CQ36-1)*100),"NA",IF(((CY36/CQ36-1)*100)&gt;100,"NM",IF(((CY36/CQ36-1)*100)&lt;-50,"NM",(CY36/CQ36-1)*100)))</f>
        <v>NM</v>
      </c>
      <c r="DA36" s="103">
        <f>+DA28/DA25*100</f>
        <v>-0.72082935674746951</v>
      </c>
      <c r="DB36" s="81">
        <f>IF(ISERROR((DA36/CS36-1)*100),"NA",IF(((DA36/CS36-1)*100)&gt;100,"NM",IF(((DA36/CS36-1)*100)&lt;-50,"NM",(DA36/CS36-1)*100)))</f>
        <v>-8.7356280010566056</v>
      </c>
      <c r="DC36" s="103">
        <f>+DC28/DC25*100</f>
        <v>0.16545189504372768</v>
      </c>
      <c r="DD36" s="81" t="str">
        <f>IF(ISERROR((DC36/CU36-1)*100),"NA",IF(((DC36/CU36-1)*100)&gt;100,"NM",IF(((DC36/CU36-1)*100)&lt;-50,"NM",(DC36/CU36-1)*100)))</f>
        <v>NM</v>
      </c>
      <c r="DE36" s="103">
        <f>+DE28/DE25*100</f>
        <v>-1.1775713727023926</v>
      </c>
      <c r="DF36" s="81" t="str">
        <f>IF(ISERROR((DE36/CW36-1)*100),"NA",IF(((DE36/CW36-1)*100)&gt;100,"NM",IF(((DE36/CW36-1)*100)&lt;-50,"NM",(DE36/CW36-1)*100)))</f>
        <v>NM</v>
      </c>
      <c r="DG36" s="103">
        <f>+DG28/DG25*100</f>
        <v>-8.8940092165888829E-2</v>
      </c>
      <c r="DH36" s="81">
        <f>IF(ISERROR((DG36/CY36-1)*100),"NA",IF(((DG36/CY36-1)*100)&gt;100,"NM",IF(((DG36/CY36-1)*100)&lt;-50,"NM",(DG36/CY36-1)*100)))</f>
        <v>25.911809872996194</v>
      </c>
      <c r="DI36" s="103">
        <f>+DI28/DI25*100</f>
        <v>-0.51841603053435215</v>
      </c>
      <c r="DJ36" s="81">
        <f>IF(ISERROR((DI36/DA36-1)*100),"NA",IF(((DI36/DA36-1)*100)&gt;100,"NM",IF(((DI36/DA36-1)*100)&lt;-50,"NM",(DI36/DA36-1)*100)))</f>
        <v>-28.080616350927766</v>
      </c>
      <c r="DK36" s="103">
        <f>+DK28/DK25*100</f>
        <v>2.1093155893536073</v>
      </c>
      <c r="DL36" s="81" t="str">
        <f>IF(ISERROR((DK36/DC36-1)*100),"NA",IF(((DK36/DC36-1)*100)&gt;100,"NM",IF(((DK36/DC36-1)*100)&lt;-50,"NM",(DK36/DC36-1)*100)))</f>
        <v>NM</v>
      </c>
      <c r="DM36" s="103">
        <f>+DM28/DM25*100</f>
        <v>-1.9823039940828335</v>
      </c>
      <c r="DN36" s="81">
        <f>IF(ISERROR((DM36/DE36-1)*100),"NA",IF(((DM36/DE36-1)*100)&gt;100,"NM",IF(((DM36/DE36-1)*100)&lt;-50,"NM",(DM36/DE36-1)*100)))</f>
        <v>68.338330910140144</v>
      </c>
      <c r="DO36" s="103">
        <f>+DO28/DO25*100</f>
        <v>-0.41745027124774287</v>
      </c>
      <c r="DP36" s="81" t="str">
        <f>IF(ISERROR((DO36/DG36-1)*100),"NA",IF(((DO36/DG36-1)*100)&gt;100,"NM",IF(((DO36/DG36-1)*100)&lt;-50,"NM",(DO36/DG36-1)*100)))</f>
        <v>NM</v>
      </c>
      <c r="DQ36" s="103">
        <f>+DQ28/DQ25*100</f>
        <v>-0.43796791443849842</v>
      </c>
      <c r="DR36" s="81">
        <f>IF(ISERROR((DQ36/DI36-1)*100),"NA",IF(((DQ36/DI36-1)*100)&gt;100,"NM",IF(((DQ36/DI36-1)*100)&lt;-50,"NM",(DQ36/DI36-1)*100)))</f>
        <v>-15.51806104701906</v>
      </c>
      <c r="DS36" s="103">
        <f>+DS28/DS25*100</f>
        <v>-0.47169603524228498</v>
      </c>
      <c r="DT36" s="81" t="str">
        <f>IF(ISERROR((DS36/DK36-1)*100),"NA",IF(((DS36/DK36-1)*100)&gt;100,"NM",IF(((DS36/DK36-1)*100)&lt;-50,"NM",(DS36/DK36-1)*100)))</f>
        <v>NM</v>
      </c>
      <c r="DU36" s="103">
        <f>+DU28/DU25*100</f>
        <v>0.93392043463020979</v>
      </c>
      <c r="DV36" s="81" t="str">
        <f>IF(ISERROR((DU36/DM36-1)*100),"NA",IF(((DU36/DM36-1)*100)&gt;100,"NM",IF(((DU36/DM36-1)*100)&lt;-50,"NM",(DU36/DM36-1)*100)))</f>
        <v>NM</v>
      </c>
      <c r="DW36" s="103">
        <f>+DW28/DW25*100</f>
        <v>-1.0609462676415544</v>
      </c>
      <c r="DX36" s="81" t="str">
        <f>IF(ISERROR((DW36/DO36-1)*100),"NA",IF(((DW36/DO36-1)*100)&gt;100,"NM",IF(((DW36/DO36-1)*100)&lt;-50,"NM",(DW36/DO36-1)*100)))</f>
        <v>NM</v>
      </c>
      <c r="DY36" s="103">
        <f>+DY28/DY25*100</f>
        <v>-1.391686470887795</v>
      </c>
      <c r="DZ36" s="81" t="str">
        <f>IF(ISERROR((DY36/DQ36-1)*100),"NA",IF(((DY36/DQ36-1)*100)&gt;100,"NM",IF(((DY36/DQ36-1)*100)&lt;-50,"NM",(DY36/DQ36-1)*100)))</f>
        <v>NM</v>
      </c>
      <c r="EA36" s="103">
        <f>+EA28/EA25*100</f>
        <v>1.1144619602467369</v>
      </c>
      <c r="EB36" s="81" t="str">
        <f>IF(ISERROR((EA36/DS36-1)*100),"NA",IF(((EA36/DS36-1)*100)&gt;100,"NM",IF(((EA36/DS36-1)*100)&lt;-50,"NM",(EA36/DS36-1)*100)))</f>
        <v>NM</v>
      </c>
      <c r="EC36" s="103">
        <f>+EC28/EC25*100</f>
        <v>-1.7713634059807408</v>
      </c>
      <c r="ED36" s="81" t="str">
        <f t="shared" si="195"/>
        <v>NM</v>
      </c>
      <c r="EE36" s="103">
        <f>+EE28/EE25*100</f>
        <v>-0.31029461421576104</v>
      </c>
      <c r="EF36" s="81" t="str">
        <f t="shared" si="196"/>
        <v>NM</v>
      </c>
      <c r="EG36" s="103">
        <f>+EG28/EG25*100</f>
        <v>-0.23498322147651826</v>
      </c>
      <c r="EH36" s="81" t="str">
        <f t="shared" si="197"/>
        <v>NM</v>
      </c>
      <c r="EI36" s="103">
        <f>+EI28/EI25*100</f>
        <v>0.76434261277879967</v>
      </c>
      <c r="EJ36" s="81">
        <f t="shared" si="198"/>
        <v>-31.41599802925731</v>
      </c>
      <c r="EK36" s="120">
        <v>-0.63</v>
      </c>
      <c r="EL36" s="81" t="str">
        <f t="shared" si="200"/>
        <v>NM</v>
      </c>
      <c r="EM36" s="120">
        <f t="shared" ref="EM36" si="212">EK36</f>
        <v>-0.63</v>
      </c>
      <c r="EN36" s="81" t="str">
        <f t="shared" si="201"/>
        <v>NM</v>
      </c>
      <c r="EO36" s="120">
        <f t="shared" ref="EO36" si="213">EM36</f>
        <v>-0.63</v>
      </c>
      <c r="EP36" s="81" t="str">
        <f t="shared" si="202"/>
        <v>NM</v>
      </c>
      <c r="EQ36" s="120">
        <f>EO36-0.13</f>
        <v>-0.76</v>
      </c>
      <c r="ER36" s="81" t="str">
        <f t="shared" si="203"/>
        <v>NM</v>
      </c>
      <c r="ES36" s="114"/>
      <c r="ET36" s="468"/>
      <c r="EU36" s="114"/>
      <c r="EV36" s="114"/>
      <c r="EW36" s="115"/>
      <c r="EX36" s="114"/>
      <c r="EY36" s="115"/>
      <c r="EZ36" s="114"/>
      <c r="FA36" s="115"/>
      <c r="FB36" s="114"/>
      <c r="FC36" s="115"/>
      <c r="FD36" s="116"/>
      <c r="FE36" s="117"/>
      <c r="FF36" s="116"/>
      <c r="FG36" s="117"/>
      <c r="FH36" s="118" t="s">
        <v>199</v>
      </c>
      <c r="FI36" s="117" t="str">
        <f>IF(ISERROR((FH36/FF36-1)*100),"NA",IF(((FH36/FF36-1)*100)&gt;100,"NM",IF(((FH36/FF36-1)*100)&lt;-50,"NM",(FH36/FF36-1)*100)))</f>
        <v>NA</v>
      </c>
      <c r="FJ36" s="116">
        <f>+FJ28/FJ25*100</f>
        <v>0.53303870771108519</v>
      </c>
      <c r="FK36" s="117" t="str">
        <f>IF(ISERROR((FJ36/FH36-1)*100),"NA",IF(((FJ36/FH36-1)*100)&gt;100,"NM",IF(((FJ36/FH36-1)*100)&lt;-50,"NM",(FJ36/FH36-1)*100)))</f>
        <v>NA</v>
      </c>
      <c r="FL36" s="104">
        <f>+FL28/FL25*100</f>
        <v>0.50624106717484219</v>
      </c>
      <c r="FM36" s="117">
        <f>IF(ISERROR((FL36/FJ36-1)*100),"NA",IF(((FL36/FJ36-1)*100)&gt;100,"NM",IF(((FL36/FJ36-1)*100)&lt;-50,"NM",(FL36/FJ36-1)*100)))</f>
        <v>-5.0273348161364195</v>
      </c>
      <c r="FN36" s="104">
        <f>+FN28/FN25*100</f>
        <v>-3.025739881618938</v>
      </c>
      <c r="FO36" s="117" t="str">
        <f>IF(ISERROR((FN36/FL36-1)*100),"NA",IF(((FN36/FL36-1)*100)&gt;100,"NM",IF(((FN36/FL36-1)*100)&lt;-50,"NM",(FN36/FL36-1)*100)))</f>
        <v>NM</v>
      </c>
      <c r="FP36" s="104">
        <f>+FP28/FP25*100</f>
        <v>-3.2963387699626172</v>
      </c>
      <c r="FQ36" s="117">
        <f>IF(ISERROR((FP36/FN36-1)*100),"NA",IF(((FP36/FN36-1)*100)&gt;100,"NM",IF(((FP36/FN36-1)*100)&lt;-50,"NM",(FP36/FN36-1)*100)))</f>
        <v>8.9432303810231595</v>
      </c>
      <c r="FR36" s="119">
        <f>+FR28/FR25*100</f>
        <v>4.5366929210423903</v>
      </c>
      <c r="FS36" s="117" t="str">
        <f>IF(ISERROR((FR36/FP36-1)*100),"NA",IF(((FR36/FP36-1)*100)&gt;100,"NM",IF(((FR36/FP36-1)*100)&lt;-50,"NM",(FR36/FP36-1)*100)))</f>
        <v>NM</v>
      </c>
      <c r="FT36" s="119">
        <f>+FT28/FT25*100</f>
        <v>-5.6726194921583231</v>
      </c>
      <c r="FU36" s="117" t="str">
        <f>IF(ISERROR((FT36/FR36-1)*100),"NA",IF(((FT36/FR36-1)*100)&gt;100,"NM",IF(((FT36/FR36-1)*100)&lt;-50,"NM",(FT36/FR36-1)*100)))</f>
        <v>NM</v>
      </c>
      <c r="FV36" s="119">
        <f>+FV28/FV25*100</f>
        <v>-2.6933245818747573</v>
      </c>
      <c r="FW36" s="117" t="str">
        <f>IF(ISERROR((FV36/FT36-1)*100),"NA",IF(((FV36/FT36-1)*100)&gt;100,"NM",IF(((FV36/FT36-1)*100)&lt;-50,"NM",(FV36/FT36-1)*100)))</f>
        <v>NM</v>
      </c>
      <c r="FX36" s="119">
        <f>+FX28/FX25*100</f>
        <v>-2.8564909019761444</v>
      </c>
      <c r="FY36" s="117">
        <f>IF(ISERROR((FX36/FV36-1)*100),"NA",IF(((FX36/FV36-1)*100)&gt;100,"NM",IF(((FX36/FV36-1)*100)&lt;-50,"NM",(FX36/FV36-1)*100)))</f>
        <v>6.0581751341611811</v>
      </c>
      <c r="FZ36" s="119">
        <f>+FZ28/FZ25*100</f>
        <v>-0.61795445698715368</v>
      </c>
      <c r="GA36" s="117" t="str">
        <f>IF(ISERROR((FZ36/FX36-1)*100),"NA",IF(((FZ36/FX36-1)*100)&gt;100,"NM",IF(((FZ36/FX36-1)*100)&lt;-50,"NM",(FZ36/FX36-1)*100)))</f>
        <v>NM</v>
      </c>
      <c r="GB36" s="119">
        <f>+GB28/GB25*100</f>
        <v>0.37019945248337588</v>
      </c>
      <c r="GC36" s="117" t="str">
        <f>IF(ISERROR((GB36/FZ36-1)*100),"NA",IF(((GB36/FZ36-1)*100)&gt;100,"NM",IF(((GB36/FZ36-1)*100)&lt;-50,"NM",(GB36/FZ36-1)*100)))</f>
        <v>NM</v>
      </c>
      <c r="GD36" s="119">
        <f>+GD28/GD25*100</f>
        <v>-3.3584828032544234</v>
      </c>
      <c r="GE36" s="117" t="str">
        <f>IF(ISERROR((GD36/GB36-1)*100),"NA",IF(((GD36/GB36-1)*100)&gt;100,"NM",IF(((GD36/GB36-1)*100)&lt;-50,"NM",(GD36/GB36-1)*100)))</f>
        <v>NM</v>
      </c>
      <c r="GF36" s="119">
        <f>+GF28/GF25*100</f>
        <v>-0.45651945320715853</v>
      </c>
      <c r="GG36" s="117" t="str">
        <f>IF(ISERROR((GF36/GD36-1)*100),"NA",IF(((GF36/GD36-1)*100)&gt;100,"NM",IF(((GF36/GD36-1)*100)&lt;-50,"NM",(GF36/GD36-1)*100)))</f>
        <v>NM</v>
      </c>
      <c r="GH36" s="119">
        <f>+GH28/GH25*100</f>
        <v>-1.5484541307653361</v>
      </c>
      <c r="GI36" s="117" t="str">
        <f>IF(ISERROR((GH36/GF36-1)*100),"NA",IF(((GH36/GF36-1)*100)&gt;100,"NM",IF(((GH36/GF36-1)*100)&lt;-50,"NM",(GH36/GF36-1)*100)))</f>
        <v>NM</v>
      </c>
      <c r="GJ36" s="119">
        <f>+GJ28/GJ25*100</f>
        <v>-2.7357588629640248</v>
      </c>
      <c r="GK36" s="117">
        <f>IF(ISERROR((GJ36/GH36-1)*100),"NA",IF(((GJ36/GH36-1)*100)&gt;100,"NM",IF(((GJ36/GH36-1)*100)&lt;-50,"NM",(GJ36/GH36-1)*100)))</f>
        <v>76.676777736506381</v>
      </c>
      <c r="GL36" s="120">
        <f>GJ36</f>
        <v>-2.7357588629640248</v>
      </c>
      <c r="GM36" s="117">
        <f>IF(ISERROR((GL36/GJ36-1)*100),"NA",IF(((GL36/GJ36-1)*100)&gt;100,"NM",IF(((GL36/GJ36-1)*100)&lt;-50,"NM",(GL36/GJ36-1)*100)))</f>
        <v>0</v>
      </c>
      <c r="GN36" s="120">
        <f>GL36</f>
        <v>-2.7357588629640248</v>
      </c>
      <c r="GO36" s="117">
        <f>IF(ISERROR((GN36/GL36-1)*100),"NA",IF(((GN36/GL36-1)*100)&gt;100,"NM",IF(((GN36/GL36-1)*100)&lt;-50,"NM",(GN36/GL36-1)*100)))</f>
        <v>0</v>
      </c>
      <c r="GP36" s="120">
        <f>GN36</f>
        <v>-2.7357588629640248</v>
      </c>
      <c r="GQ36" s="117">
        <f>IF(ISERROR((GP36/GN36-1)*100),"NA",IF(((GP36/GN36-1)*100)&gt;100,"NM",IF(((GP36/GN36-1)*100)&lt;-50,"NM",(GP36/GN36-1)*100)))</f>
        <v>0</v>
      </c>
      <c r="GR36" s="120">
        <f>GP36</f>
        <v>-2.7357588629640248</v>
      </c>
      <c r="GS36" s="117">
        <f>IF(ISERROR((GR36/GP36-1)*100),"NA",IF(((GR36/GP36-1)*100)&gt;100,"NM",IF(((GR36/GP36-1)*100)&lt;-50,"NM",(GR36/GP36-1)*100)))</f>
        <v>0</v>
      </c>
      <c r="GT36" s="79">
        <f>IF(ISERROR(((GR36/GH36)^0.2-1)*100),"NA",(IF(OR(((GR36/GH36)^0.2-1)*100&gt;99,((GR36/GH36)^0.2-1)*100&lt;-50),"NM",(((GR36/GH36)^0.2-1)*100))))</f>
        <v>12.056200826489793</v>
      </c>
      <c r="GU36" s="562"/>
      <c r="GV36" s="562"/>
      <c r="GW36"/>
      <c r="GX36"/>
      <c r="GY36"/>
      <c r="GZ36"/>
      <c r="HA36"/>
      <c r="HB36"/>
      <c r="HC36" s="562"/>
      <c r="HD36" s="562"/>
      <c r="HE36" s="562"/>
      <c r="HF36" s="562"/>
      <c r="HG36" s="562"/>
      <c r="HH36" s="562"/>
      <c r="HI36" s="562"/>
      <c r="HJ36" s="562"/>
      <c r="HK36" s="562"/>
      <c r="HL36" s="562"/>
      <c r="HM36" s="562"/>
      <c r="HN36" s="562"/>
      <c r="HO36" s="562"/>
      <c r="HP36" s="562"/>
      <c r="HQ36" s="562"/>
      <c r="HR36" s="562"/>
      <c r="HS36" s="562"/>
      <c r="HT36" s="562"/>
      <c r="HU36" s="562"/>
      <c r="HV36" s="562"/>
      <c r="HW36" s="562"/>
      <c r="HX36" s="562"/>
      <c r="HY36" s="562"/>
      <c r="HZ36" s="562"/>
      <c r="IA36" s="562"/>
      <c r="IB36" s="562"/>
      <c r="IC36" s="562"/>
      <c r="ID36" s="562"/>
      <c r="IE36" s="562"/>
      <c r="IF36" s="562"/>
      <c r="IG36" s="562"/>
      <c r="IH36" s="562"/>
      <c r="II36" s="562"/>
      <c r="IJ36" s="562"/>
      <c r="IK36" s="562"/>
      <c r="IL36" s="562"/>
      <c r="IM36" s="562"/>
      <c r="IN36" s="562"/>
      <c r="IO36" s="562"/>
      <c r="IP36" s="562"/>
      <c r="IQ36" s="562"/>
      <c r="IR36" s="562"/>
      <c r="IS36" s="562"/>
      <c r="IT36" s="562"/>
      <c r="IU36" s="562"/>
      <c r="IV36" s="562"/>
      <c r="IW36" s="562"/>
      <c r="IX36" s="562"/>
      <c r="IY36" s="562"/>
      <c r="IZ36" s="562"/>
      <c r="JA36" s="562"/>
      <c r="JB36" s="562"/>
      <c r="JC36" s="562"/>
      <c r="JD36" s="562"/>
      <c r="JE36" s="562"/>
      <c r="JF36" s="562"/>
      <c r="JG36" s="562"/>
      <c r="JH36" s="562"/>
      <c r="JI36" s="562"/>
      <c r="JJ36" s="562"/>
      <c r="JK36" s="562"/>
      <c r="JL36" s="562"/>
      <c r="JM36" s="562"/>
      <c r="JN36" s="562"/>
      <c r="JO36" s="562"/>
      <c r="JP36" s="562"/>
      <c r="JQ36" s="562"/>
      <c r="JR36" s="562"/>
      <c r="JS36" s="562"/>
      <c r="JT36" s="562"/>
      <c r="JU36" s="562"/>
      <c r="JV36" s="562"/>
      <c r="JW36" s="562"/>
      <c r="JX36" s="562"/>
      <c r="JY36" s="562"/>
      <c r="JZ36" s="562"/>
    </row>
    <row r="37" spans="1:286" s="110" customFormat="1" ht="12.75" customHeight="1" x14ac:dyDescent="0.2">
      <c r="A37" s="106"/>
      <c r="B37" s="121"/>
      <c r="C37" s="97"/>
      <c r="D37" s="97"/>
      <c r="E37" s="108"/>
      <c r="F37" s="108"/>
      <c r="G37" s="108"/>
      <c r="H37" s="108"/>
      <c r="I37" s="108"/>
      <c r="J37" s="108"/>
      <c r="K37" s="108"/>
      <c r="L37" s="108"/>
      <c r="M37" s="108"/>
      <c r="N37" s="124"/>
      <c r="O37" s="108"/>
      <c r="P37" s="124"/>
      <c r="Q37" s="108"/>
      <c r="R37" s="124"/>
      <c r="S37" s="108"/>
      <c r="T37" s="124"/>
      <c r="U37" s="108"/>
      <c r="V37" s="124"/>
      <c r="W37" s="108"/>
      <c r="X37" s="124"/>
      <c r="Y37" s="108"/>
      <c r="Z37" s="122"/>
      <c r="AA37" s="123"/>
      <c r="AB37" s="124"/>
      <c r="AC37" s="124"/>
      <c r="AD37" s="124"/>
      <c r="AE37" s="124"/>
      <c r="AF37" s="124"/>
      <c r="AG37" s="124"/>
      <c r="AH37" s="124"/>
      <c r="AI37" s="124"/>
      <c r="AJ37" s="124"/>
      <c r="AK37" s="124"/>
      <c r="AL37" s="124"/>
      <c r="AM37" s="124"/>
      <c r="AN37" s="124"/>
      <c r="AO37" s="124"/>
      <c r="AP37" s="124"/>
      <c r="AQ37" s="124"/>
      <c r="AR37" s="124"/>
      <c r="AS37" s="124"/>
      <c r="AT37" s="98"/>
      <c r="AU37" s="124"/>
      <c r="AV37" s="98"/>
      <c r="AW37" s="124"/>
      <c r="AX37" s="98"/>
      <c r="AY37" s="124"/>
      <c r="AZ37" s="98"/>
      <c r="BA37" s="124"/>
      <c r="BB37" s="98"/>
      <c r="BC37" s="124"/>
      <c r="BD37" s="98"/>
      <c r="BE37" s="124"/>
      <c r="BF37" s="98"/>
      <c r="BG37" s="124"/>
      <c r="BH37" s="98"/>
      <c r="BI37" s="124"/>
      <c r="BJ37" s="98"/>
      <c r="BK37" s="124"/>
      <c r="BL37" s="98"/>
      <c r="BM37" s="124"/>
      <c r="BN37" s="98"/>
      <c r="BO37" s="124"/>
      <c r="BP37" s="98"/>
      <c r="BQ37" s="124"/>
      <c r="BR37" s="98"/>
      <c r="BS37" s="124"/>
      <c r="BT37" s="98"/>
      <c r="BU37" s="124"/>
      <c r="BV37" s="98"/>
      <c r="BW37" s="124"/>
      <c r="BX37" s="98"/>
      <c r="BY37" s="124"/>
      <c r="BZ37" s="98"/>
      <c r="CA37" s="124"/>
      <c r="CB37" s="98"/>
      <c r="CC37" s="124"/>
      <c r="CD37" s="98"/>
      <c r="CE37" s="124"/>
      <c r="CF37" s="98"/>
      <c r="CG37" s="124"/>
      <c r="CH37" s="98"/>
      <c r="CI37" s="124"/>
      <c r="CJ37" s="98"/>
      <c r="CK37" s="124"/>
      <c r="CL37" s="98"/>
      <c r="CM37" s="124"/>
      <c r="CN37" s="98"/>
      <c r="CO37" s="124"/>
      <c r="CP37" s="98"/>
      <c r="CQ37" s="124"/>
      <c r="CR37" s="98"/>
      <c r="CS37" s="124"/>
      <c r="CT37" s="98"/>
      <c r="CU37" s="124"/>
      <c r="CV37" s="98"/>
      <c r="CW37" s="124"/>
      <c r="CX37" s="98"/>
      <c r="CY37" s="124"/>
      <c r="CZ37" s="98"/>
      <c r="DA37" s="124"/>
      <c r="DB37" s="98"/>
      <c r="DC37" s="124"/>
      <c r="DD37" s="98"/>
      <c r="DE37" s="124"/>
      <c r="DF37" s="98"/>
      <c r="DG37" s="124"/>
      <c r="DH37" s="98"/>
      <c r="DI37" s="124"/>
      <c r="DJ37" s="98"/>
      <c r="DK37" s="124"/>
      <c r="DL37" s="98"/>
      <c r="DM37" s="124"/>
      <c r="DN37" s="98"/>
      <c r="DO37" s="124"/>
      <c r="DP37" s="98"/>
      <c r="DQ37" s="124"/>
      <c r="DR37" s="98"/>
      <c r="DS37" s="124"/>
      <c r="DT37" s="98"/>
      <c r="DU37" s="124"/>
      <c r="DV37" s="98"/>
      <c r="DW37" s="124"/>
      <c r="DX37" s="98"/>
      <c r="DY37" s="124"/>
      <c r="DZ37" s="98"/>
      <c r="EA37" s="124"/>
      <c r="EB37" s="98"/>
      <c r="EC37" s="124"/>
      <c r="ED37" s="98"/>
      <c r="EE37" s="124"/>
      <c r="EF37" s="98"/>
      <c r="EG37" s="124"/>
      <c r="EH37" s="98"/>
      <c r="EI37" s="124"/>
      <c r="EJ37" s="98"/>
      <c r="EK37" s="124"/>
      <c r="EL37" s="98"/>
      <c r="EM37" s="124"/>
      <c r="EN37" s="98"/>
      <c r="EO37" s="124"/>
      <c r="EP37" s="98"/>
      <c r="EQ37" s="124"/>
      <c r="ER37" s="98"/>
      <c r="ES37" s="99"/>
      <c r="ET37" s="467"/>
      <c r="EU37" s="99"/>
      <c r="EV37" s="99"/>
      <c r="EW37" s="97"/>
      <c r="EX37" s="99"/>
      <c r="EY37" s="97"/>
      <c r="EZ37" s="99"/>
      <c r="FA37" s="97"/>
      <c r="FB37" s="99"/>
      <c r="FC37" s="97"/>
      <c r="FD37" s="99"/>
      <c r="FE37" s="97"/>
      <c r="FF37" s="99"/>
      <c r="FG37" s="97"/>
      <c r="FH37" s="99"/>
      <c r="FI37" s="97"/>
      <c r="FJ37" s="99"/>
      <c r="FK37" s="97"/>
      <c r="FL37" s="99"/>
      <c r="FM37" s="97"/>
      <c r="FN37" s="99"/>
      <c r="FO37" s="97"/>
      <c r="FP37" s="99"/>
      <c r="FQ37" s="97"/>
      <c r="FR37" s="124"/>
      <c r="FS37" s="97"/>
      <c r="FT37" s="124"/>
      <c r="FU37" s="97"/>
      <c r="FV37" s="124"/>
      <c r="FW37" s="97"/>
      <c r="FX37" s="124"/>
      <c r="FY37" s="97"/>
      <c r="FZ37" s="124"/>
      <c r="GA37" s="97"/>
      <c r="GB37" s="124"/>
      <c r="GC37" s="97"/>
      <c r="GD37" s="124"/>
      <c r="GE37" s="97"/>
      <c r="GF37" s="124"/>
      <c r="GG37" s="97"/>
      <c r="GH37" s="124"/>
      <c r="GI37" s="97"/>
      <c r="GJ37" s="124"/>
      <c r="GK37" s="97"/>
      <c r="GL37" s="124"/>
      <c r="GM37" s="97"/>
      <c r="GN37" s="124"/>
      <c r="GO37" s="97"/>
      <c r="GP37" s="124"/>
      <c r="GQ37" s="97"/>
      <c r="GR37" s="124"/>
      <c r="GS37" s="97"/>
      <c r="GT37" s="97"/>
      <c r="GU37" s="562"/>
      <c r="GV37" s="562"/>
      <c r="GW37"/>
      <c r="GX37"/>
      <c r="GY37"/>
      <c r="GZ37"/>
      <c r="HA37"/>
      <c r="HB37"/>
      <c r="HC37" s="562"/>
      <c r="HD37" s="562"/>
      <c r="HE37" s="562"/>
      <c r="HF37" s="562"/>
      <c r="HG37" s="562"/>
      <c r="HH37" s="562"/>
      <c r="HI37" s="562"/>
      <c r="HJ37" s="562"/>
      <c r="HK37" s="562"/>
      <c r="HL37" s="562"/>
      <c r="HM37" s="562"/>
      <c r="HN37" s="562"/>
      <c r="HO37" s="562"/>
      <c r="HP37" s="562"/>
      <c r="HQ37" s="562"/>
      <c r="HR37" s="562"/>
      <c r="HS37" s="562"/>
      <c r="HT37" s="562"/>
      <c r="HU37" s="562"/>
      <c r="HV37" s="562"/>
      <c r="HW37" s="562"/>
      <c r="HX37" s="562"/>
      <c r="HY37" s="562"/>
      <c r="HZ37" s="562"/>
      <c r="IA37" s="562"/>
      <c r="IB37" s="562"/>
      <c r="IC37" s="562"/>
      <c r="ID37" s="562"/>
      <c r="IE37" s="562"/>
      <c r="IF37" s="562"/>
      <c r="IG37" s="562"/>
      <c r="IH37" s="562"/>
      <c r="II37" s="562"/>
      <c r="IJ37" s="562"/>
      <c r="IK37" s="562"/>
      <c r="IL37" s="562"/>
      <c r="IM37" s="562"/>
      <c r="IN37" s="562"/>
      <c r="IO37" s="562"/>
      <c r="IP37" s="562"/>
      <c r="IQ37" s="562"/>
      <c r="IR37" s="562"/>
      <c r="IS37" s="562"/>
      <c r="IT37" s="562"/>
      <c r="IU37" s="562"/>
      <c r="IV37" s="562"/>
      <c r="IW37" s="562"/>
      <c r="IX37" s="562"/>
      <c r="IY37" s="562"/>
      <c r="IZ37" s="562"/>
      <c r="JA37" s="562"/>
      <c r="JB37" s="562"/>
      <c r="JC37" s="562"/>
      <c r="JD37" s="562"/>
      <c r="JE37" s="562"/>
      <c r="JF37" s="562"/>
      <c r="JG37" s="562"/>
      <c r="JH37" s="562"/>
      <c r="JI37" s="562"/>
      <c r="JJ37" s="562"/>
      <c r="JK37" s="562"/>
      <c r="JL37" s="562"/>
      <c r="JM37" s="562"/>
      <c r="JN37" s="562"/>
      <c r="JO37" s="562"/>
      <c r="JP37" s="562"/>
      <c r="JQ37" s="562"/>
      <c r="JR37" s="562"/>
      <c r="JS37" s="562"/>
      <c r="JT37" s="562"/>
      <c r="JU37" s="562"/>
      <c r="JV37" s="562"/>
      <c r="JW37" s="562"/>
      <c r="JX37" s="562"/>
      <c r="JY37" s="562"/>
      <c r="JZ37" s="562"/>
    </row>
    <row r="38" spans="1:286" s="76" customFormat="1" ht="12.75" customHeight="1" x14ac:dyDescent="0.2">
      <c r="A38" s="67"/>
      <c r="B38" s="68" t="s">
        <v>283</v>
      </c>
      <c r="C38" s="79"/>
      <c r="D38" s="79"/>
      <c r="E38" s="82"/>
      <c r="F38" s="82"/>
      <c r="G38" s="82"/>
      <c r="H38" s="82"/>
      <c r="I38" s="82"/>
      <c r="J38" s="82"/>
      <c r="K38" s="82"/>
      <c r="L38" s="82"/>
      <c r="M38" s="82"/>
      <c r="N38" s="3"/>
      <c r="O38" s="82"/>
      <c r="P38" s="79"/>
      <c r="Q38" s="82"/>
      <c r="R38" s="79"/>
      <c r="S38" s="82"/>
      <c r="T38" s="79"/>
      <c r="U38" s="82"/>
      <c r="V38" s="79"/>
      <c r="W38" s="82"/>
      <c r="X38" s="79"/>
      <c r="Y38" s="82"/>
      <c r="Z38" s="125"/>
      <c r="AA38" s="66"/>
      <c r="AB38" s="124"/>
      <c r="AC38" s="124"/>
      <c r="AD38" s="124"/>
      <c r="AE38" s="124"/>
      <c r="AF38" s="124"/>
      <c r="AG38" s="124"/>
      <c r="AH38" s="124"/>
      <c r="AI38" s="124"/>
      <c r="AJ38" s="124"/>
      <c r="AK38" s="124"/>
      <c r="AL38" s="124"/>
      <c r="AM38" s="124"/>
      <c r="AN38" s="79"/>
      <c r="AO38" s="124"/>
      <c r="AP38" s="79"/>
      <c r="AQ38" s="124"/>
      <c r="AR38" s="79"/>
      <c r="AS38" s="124"/>
      <c r="AT38" s="81"/>
      <c r="AU38" s="124"/>
      <c r="AV38" s="81"/>
      <c r="AW38" s="124"/>
      <c r="AX38" s="81"/>
      <c r="AY38" s="124"/>
      <c r="AZ38" s="81"/>
      <c r="BA38" s="124"/>
      <c r="BB38" s="81"/>
      <c r="BC38" s="124"/>
      <c r="BD38" s="81"/>
      <c r="BE38" s="124"/>
      <c r="BF38" s="81"/>
      <c r="BG38" s="124"/>
      <c r="BH38" s="81"/>
      <c r="BI38" s="124"/>
      <c r="BJ38" s="81"/>
      <c r="BK38" s="124"/>
      <c r="BL38" s="81"/>
      <c r="BM38" s="124"/>
      <c r="BN38" s="81"/>
      <c r="BO38" s="124"/>
      <c r="BP38" s="81"/>
      <c r="BQ38" s="124"/>
      <c r="BR38" s="81"/>
      <c r="BS38" s="124"/>
      <c r="BT38" s="81"/>
      <c r="BU38" s="124"/>
      <c r="BV38" s="81"/>
      <c r="BW38" s="124"/>
      <c r="BX38" s="81"/>
      <c r="BY38" s="124"/>
      <c r="BZ38" s="81"/>
      <c r="CA38" s="124"/>
      <c r="CB38" s="81"/>
      <c r="CC38" s="124"/>
      <c r="CD38" s="81"/>
      <c r="CE38" s="124"/>
      <c r="CF38" s="81"/>
      <c r="CG38" s="124"/>
      <c r="CH38" s="81"/>
      <c r="CI38" s="124"/>
      <c r="CJ38" s="81"/>
      <c r="CK38" s="124"/>
      <c r="CL38" s="81"/>
      <c r="CM38" s="124"/>
      <c r="CN38" s="81"/>
      <c r="CO38" s="124"/>
      <c r="CP38" s="81"/>
      <c r="CQ38" s="124"/>
      <c r="CR38" s="81"/>
      <c r="CS38" s="124"/>
      <c r="CT38" s="81"/>
      <c r="CU38" s="124"/>
      <c r="CV38" s="81"/>
      <c r="CW38" s="124"/>
      <c r="CX38" s="81"/>
      <c r="CY38" s="124"/>
      <c r="CZ38" s="81"/>
      <c r="DA38" s="124"/>
      <c r="DB38" s="81"/>
      <c r="DC38" s="124"/>
      <c r="DD38" s="81"/>
      <c r="DE38" s="124"/>
      <c r="DF38" s="81"/>
      <c r="DG38" s="124"/>
      <c r="DH38" s="81"/>
      <c r="DI38" s="124"/>
      <c r="DJ38" s="81"/>
      <c r="DK38" s="124"/>
      <c r="DL38" s="81"/>
      <c r="DM38" s="124"/>
      <c r="DN38" s="81"/>
      <c r="DO38" s="124"/>
      <c r="DP38" s="81"/>
      <c r="DQ38" s="124"/>
      <c r="DR38" s="81"/>
      <c r="DS38" s="124"/>
      <c r="DT38" s="81"/>
      <c r="DU38" s="124"/>
      <c r="DV38" s="81"/>
      <c r="DW38" s="124"/>
      <c r="DX38" s="81"/>
      <c r="DY38" s="124"/>
      <c r="DZ38" s="81"/>
      <c r="EA38" s="124"/>
      <c r="EB38" s="81"/>
      <c r="EC38" s="124"/>
      <c r="ED38" s="81"/>
      <c r="EE38" s="124"/>
      <c r="EF38" s="81"/>
      <c r="EG38" s="124"/>
      <c r="EH38" s="81"/>
      <c r="EI38" s="124"/>
      <c r="EJ38" s="81"/>
      <c r="EK38" s="124"/>
      <c r="EL38" s="81"/>
      <c r="EM38" s="124"/>
      <c r="EN38" s="81"/>
      <c r="EO38" s="124"/>
      <c r="EP38" s="81"/>
      <c r="EQ38" s="124"/>
      <c r="ER38" s="81"/>
      <c r="ES38" s="82"/>
      <c r="ET38" s="469"/>
      <c r="EU38" s="82"/>
      <c r="EV38" s="82"/>
      <c r="EW38" s="79"/>
      <c r="EX38" s="82"/>
      <c r="EY38" s="79"/>
      <c r="EZ38" s="82"/>
      <c r="FA38" s="79"/>
      <c r="FB38" s="82"/>
      <c r="FC38" s="79"/>
      <c r="FD38" s="82"/>
      <c r="FE38" s="79"/>
      <c r="FF38" s="82"/>
      <c r="FG38" s="79"/>
      <c r="FH38" s="82"/>
      <c r="FI38" s="79"/>
      <c r="FJ38" s="82"/>
      <c r="FK38" s="79"/>
      <c r="FL38" s="82"/>
      <c r="FM38" s="79"/>
      <c r="FN38" s="82"/>
      <c r="FO38" s="79"/>
      <c r="FP38" s="82"/>
      <c r="FQ38" s="79"/>
      <c r="FR38" s="124"/>
      <c r="FS38" s="79"/>
      <c r="FT38" s="124"/>
      <c r="FU38" s="79"/>
      <c r="FV38" s="124"/>
      <c r="FW38" s="79"/>
      <c r="FX38" s="124"/>
      <c r="FY38" s="79"/>
      <c r="FZ38" s="124"/>
      <c r="GA38" s="79"/>
      <c r="GB38" s="124"/>
      <c r="GC38" s="79"/>
      <c r="GD38" s="124"/>
      <c r="GE38" s="79"/>
      <c r="GF38" s="124"/>
      <c r="GG38" s="79"/>
      <c r="GH38" s="124"/>
      <c r="GI38" s="79"/>
      <c r="GJ38" s="124"/>
      <c r="GK38" s="79"/>
      <c r="GL38" s="124"/>
      <c r="GM38" s="79"/>
      <c r="GN38" s="124"/>
      <c r="GO38" s="79"/>
      <c r="GP38" s="124"/>
      <c r="GQ38" s="79"/>
      <c r="GR38" s="124"/>
      <c r="GS38" s="79"/>
      <c r="GT38" s="79"/>
      <c r="GU38" s="562"/>
      <c r="GV38" s="562"/>
      <c r="GW38"/>
      <c r="GX38"/>
      <c r="GY38"/>
      <c r="GZ38"/>
      <c r="HA38"/>
      <c r="HB38"/>
      <c r="HC38" s="562"/>
      <c r="HD38" s="562"/>
      <c r="HE38" s="562"/>
      <c r="HF38" s="562"/>
      <c r="HG38" s="562"/>
      <c r="HH38" s="562"/>
      <c r="HI38" s="562"/>
      <c r="HJ38" s="562"/>
      <c r="HK38" s="562"/>
      <c r="HL38" s="562"/>
      <c r="HM38" s="562"/>
      <c r="HN38" s="562"/>
      <c r="HO38" s="562"/>
      <c r="HP38" s="562"/>
      <c r="HQ38" s="562"/>
      <c r="HR38" s="562"/>
      <c r="HS38" s="562"/>
      <c r="HT38" s="562"/>
      <c r="HU38" s="562"/>
      <c r="HV38" s="562"/>
      <c r="HW38" s="562"/>
      <c r="HX38" s="562"/>
      <c r="HY38" s="562"/>
      <c r="HZ38" s="562"/>
      <c r="IA38" s="562"/>
      <c r="IB38" s="562"/>
      <c r="IC38" s="562"/>
      <c r="ID38" s="562"/>
      <c r="IE38" s="562"/>
      <c r="IF38" s="562"/>
      <c r="IG38" s="562"/>
      <c r="IH38" s="562"/>
      <c r="II38" s="562"/>
      <c r="IJ38" s="562"/>
      <c r="IK38" s="562"/>
      <c r="IL38" s="562"/>
      <c r="IM38" s="562"/>
      <c r="IN38" s="562"/>
      <c r="IO38" s="562"/>
      <c r="IP38" s="562"/>
      <c r="IQ38" s="562"/>
      <c r="IR38" s="562"/>
      <c r="IS38" s="562"/>
      <c r="IT38" s="562"/>
      <c r="IU38" s="562"/>
      <c r="IV38" s="562"/>
      <c r="IW38" s="562"/>
      <c r="IX38" s="562"/>
      <c r="IY38" s="562"/>
      <c r="IZ38" s="562"/>
      <c r="JA38" s="562"/>
      <c r="JB38" s="562"/>
      <c r="JC38" s="562"/>
      <c r="JD38" s="562"/>
      <c r="JE38" s="562"/>
      <c r="JF38" s="562"/>
      <c r="JG38" s="562"/>
      <c r="JH38" s="562"/>
      <c r="JI38" s="562"/>
      <c r="JJ38" s="562"/>
      <c r="JK38" s="562"/>
      <c r="JL38" s="562"/>
      <c r="JM38" s="562"/>
      <c r="JN38" s="562"/>
      <c r="JO38" s="562"/>
      <c r="JP38" s="562"/>
      <c r="JQ38" s="562"/>
      <c r="JR38" s="562"/>
      <c r="JS38" s="562"/>
      <c r="JT38" s="562"/>
      <c r="JU38" s="562"/>
      <c r="JV38" s="562"/>
      <c r="JW38" s="562"/>
      <c r="JX38" s="562"/>
      <c r="JY38" s="562"/>
      <c r="JZ38" s="562"/>
    </row>
    <row r="39" spans="1:286" ht="12.75" customHeight="1" x14ac:dyDescent="0.2">
      <c r="A39" s="1"/>
      <c r="B39" s="2" t="s">
        <v>269</v>
      </c>
      <c r="C39" s="79"/>
      <c r="D39" s="79"/>
      <c r="E39" s="95"/>
      <c r="F39" s="95"/>
      <c r="G39" s="95"/>
      <c r="H39" s="95"/>
      <c r="I39" s="95"/>
      <c r="J39" s="95"/>
      <c r="K39" s="95"/>
      <c r="L39" s="79"/>
      <c r="M39" s="95"/>
      <c r="N39" s="79"/>
      <c r="O39" s="95"/>
      <c r="P39" s="79"/>
      <c r="Q39" s="95"/>
      <c r="R39" s="79"/>
      <c r="S39" s="95"/>
      <c r="T39" s="79"/>
      <c r="U39" s="95"/>
      <c r="V39" s="79"/>
      <c r="W39" s="95"/>
      <c r="X39" s="79"/>
      <c r="Y39" s="95"/>
      <c r="Z39" s="79"/>
      <c r="AA39" s="126"/>
      <c r="AB39" s="79"/>
      <c r="AC39" s="95">
        <f>1330.3-AE39</f>
        <v>667.4</v>
      </c>
      <c r="AD39" s="79" t="str">
        <f>IF(ISERROR((AC39/U39-1)*100),"NA",IF(((AC39/U39-1)*100)&gt;100,"NM",IF(((AC39/U39-1)*100)&lt;-50,"NM",(AC39/U39-1)*100)))</f>
        <v>NA</v>
      </c>
      <c r="AE39" s="95">
        <f>662.9</f>
        <v>662.9</v>
      </c>
      <c r="AF39" s="79" t="str">
        <f>IF(ISERROR((AE39/W39-1)*100),"NA",IF(((AE39/W39-1)*100)&gt;100,"NM",IF(((AE39/W39-1)*100)&lt;-50,"NM",(AE39/W39-1)*100)))</f>
        <v>NA</v>
      </c>
      <c r="AG39" s="95">
        <v>658.2</v>
      </c>
      <c r="AH39" s="79" t="str">
        <f>IF(ISERROR((AG39/Y39-1)*100),"NA",IF(((AG39/Y39-1)*100)&gt;100,"NM",IF(((AG39/Y39-1)*100)&lt;-50,"NM",(AG39/Y39-1)*100)))</f>
        <v>NA</v>
      </c>
      <c r="AI39" s="127">
        <f>FH39-AG39-AE39-AC39</f>
        <v>656.19999999999993</v>
      </c>
      <c r="AJ39" s="3" t="str">
        <f>IF(ISERROR((AI39/AA39-1)*100),"NA",IF(((AI39/AA39-1)*100)&gt;100,"NM",IF(((AI39/AA39-1)*100)&lt;-50,"NM",(AI39/AA39-1)*100)))</f>
        <v>NA</v>
      </c>
      <c r="AK39" s="95">
        <f>1272.2-AM39</f>
        <v>635.40000000000009</v>
      </c>
      <c r="AL39" s="3">
        <f>IF(ISERROR((AK39/AC39-1)*100),"NA",IF(((AK39/AC39-1)*100)&gt;100,"NM",IF(((AK39/AC39-1)*100)&lt;-50,"NM",(AK39/AC39-1)*100)))</f>
        <v>-4.7947258016182044</v>
      </c>
      <c r="AM39" s="95">
        <v>636.79999999999995</v>
      </c>
      <c r="AN39" s="79">
        <f>IF(ISERROR((AM39/AE39-1)*100),"NA",IF(((AM39/AE39-1)*100)&gt;100,"NM",IF(((AM39/AE39-1)*100)&lt;-50,"NM",(AM39/AE39-1)*100)))</f>
        <v>-3.9372454367174625</v>
      </c>
      <c r="AO39" s="95">
        <v>626</v>
      </c>
      <c r="AP39" s="79">
        <f>IF(ISERROR((AO39/AG39-1)*100),"NA",IF(((AO39/AG39-1)*100)&gt;100,"NM",IF(((AO39/AG39-1)*100)&lt;-50,"NM",(AO39/AG39-1)*100)))</f>
        <v>-4.8921300516560411</v>
      </c>
      <c r="AQ39" s="95">
        <v>629.70000000000005</v>
      </c>
      <c r="AR39" s="79">
        <f>IF(ISERROR((AQ39/AI39-1)*100),"NA",IF(((AQ39/AI39-1)*100)&gt;100,"NM",IF(((AQ39/AI39-1)*100)&lt;-50,"NM",(AQ39/AI39-1)*100)))</f>
        <v>-4.0384029259372012</v>
      </c>
      <c r="AS39" s="95">
        <v>619.79999999999995</v>
      </c>
      <c r="AT39" s="81">
        <f>IF(ISERROR((AS39/AK39-1)*100),"NA",IF(((AS39/AK39-1)*100)&gt;100,"NM",IF(((AS39/AK39-1)*100)&lt;-50,"NM",(AS39/AK39-1)*100)))</f>
        <v>-2.4551463644948313</v>
      </c>
      <c r="AU39" s="95">
        <v>622.9</v>
      </c>
      <c r="AV39" s="81">
        <f>IF(ISERROR((AU39/AM39-1)*100),"NA",IF(((AU39/AM39-1)*100)&gt;100,"NM",IF(((AU39/AM39-1)*100)&lt;-50,"NM",(AU39/AM39-1)*100)))</f>
        <v>-2.1827889447236126</v>
      </c>
      <c r="AW39" s="95">
        <v>615.70000000000005</v>
      </c>
      <c r="AX39" s="81">
        <f>IF(ISERROR((AW39/AO39-1)*100),"NA",IF(((AW39/AO39-1)*100)&gt;100,"NM",IF(((AW39/AO39-1)*100)&lt;-50,"NM",(AW39/AO39-1)*100)))</f>
        <v>-1.6453674121405637</v>
      </c>
      <c r="AY39" s="95">
        <v>625.1</v>
      </c>
      <c r="AZ39" s="81">
        <f>IF(ISERROR((AY39/AQ39-1)*100),"NA",IF(((AY39/AQ39-1)*100)&gt;100,"NM",IF(((AY39/AQ39-1)*100)&lt;-50,"NM",(AY39/AQ39-1)*100)))</f>
        <v>-0.73050659043989441</v>
      </c>
      <c r="BA39" s="95">
        <v>590.1</v>
      </c>
      <c r="BB39" s="81">
        <f>IF(ISERROR((BA39/AS39-1)*100),"NA",IF(((BA39/AS39-1)*100)&gt;100,"NM",IF(((BA39/AS39-1)*100)&lt;-50,"NM",(BA39/AS39-1)*100)))</f>
        <v>-4.7918683446272929</v>
      </c>
      <c r="BC39" s="95">
        <v>609.29999999999995</v>
      </c>
      <c r="BD39" s="81">
        <f>IF(ISERROR((BC39/AU39-1)*100),"NA",IF(((BC39/AU39-1)*100)&gt;100,"NM",IF(((BC39/AU39-1)*100)&lt;-50,"NM",(BC39/AU39-1)*100)))</f>
        <v>-2.183336008990211</v>
      </c>
      <c r="BE39" s="95">
        <v>593.29999999999995</v>
      </c>
      <c r="BF39" s="81">
        <f>IF(ISERROR((BE39/AW39-1)*100),"NA",IF(((BE39/AW39-1)*100)&gt;100,"NM",IF(((BE39/AW39-1)*100)&lt;-50,"NM",(BE39/AW39-1)*100)))</f>
        <v>-3.638135455579028</v>
      </c>
      <c r="BG39" s="95">
        <v>588.6</v>
      </c>
      <c r="BH39" s="81">
        <f>IF(ISERROR((BG39/AY39-1)*100),"NA",IF(((BG39/AY39-1)*100)&gt;100,"NM",IF(((BG39/AY39-1)*100)&lt;-50,"NM",(BG39/AY39-1)*100)))</f>
        <v>-5.8390657494800884</v>
      </c>
      <c r="BI39" s="95">
        <v>568.4</v>
      </c>
      <c r="BJ39" s="81">
        <f>IF(ISERROR((BI39/BA39-1)*100),"NA",IF(((BI39/BA39-1)*100)&gt;100,"NM",IF(((BI39/BA39-1)*100)&lt;-50,"NM",(BI39/BA39-1)*100)))</f>
        <v>-3.6773428232503069</v>
      </c>
      <c r="BK39" s="95">
        <v>573.6</v>
      </c>
      <c r="BL39" s="81">
        <f>IF(ISERROR((BK39/BC39-1)*100),"NA",IF(((BK39/BC39-1)*100)&gt;100,"NM",IF(((BK39/BC39-1)*100)&lt;-50,"NM",(BK39/BC39-1)*100)))</f>
        <v>-5.8591826686361319</v>
      </c>
      <c r="BM39" s="95">
        <v>562.4</v>
      </c>
      <c r="BN39" s="81">
        <f>IF(ISERROR((BM39/BE39-1)*100),"NA",IF(((BM39/BE39-1)*100)&gt;100,"NM",IF(((BM39/BE39-1)*100)&lt;-50,"NM",(BM39/BE39-1)*100)))</f>
        <v>-5.2081577616720054</v>
      </c>
      <c r="BO39" s="95">
        <v>569.20000000000005</v>
      </c>
      <c r="BP39" s="81">
        <f>IF(ISERROR((BO39/BG39-1)*100),"NA",IF(((BO39/BG39-1)*100)&gt;100,"NM",IF(((BO39/BG39-1)*100)&lt;-50,"NM",(BO39/BG39-1)*100)))</f>
        <v>-3.2959565069656804</v>
      </c>
      <c r="BQ39" s="95">
        <v>545.70000000000005</v>
      </c>
      <c r="BR39" s="81">
        <f>IF(ISERROR((BQ39/BI39-1)*100),"NA",IF(((BQ39/BI39-1)*100)&gt;100,"NM",IF(((BQ39/BI39-1)*100)&lt;-50,"NM",(BQ39/BI39-1)*100)))</f>
        <v>-3.9936664320900706</v>
      </c>
      <c r="BS39" s="95">
        <v>541</v>
      </c>
      <c r="BT39" s="7">
        <f>IF(ISERROR((BS39/BK39-1)*100),"NA",IF(((BS39/BK39-1)*100)&gt;100,"NM",IF(((BS39/BK39-1)*100)&lt;-50,"NM",(BS39/BK39-1)*100)))</f>
        <v>-5.6834030683403096</v>
      </c>
      <c r="BU39" s="95">
        <v>537.4</v>
      </c>
      <c r="BV39" s="7">
        <f>IF(ISERROR((BU39/BM39-1)*100),"NA",IF(((BU39/BM39-1)*100)&gt;100,"NM",IF(((BU39/BM39-1)*100)&lt;-50,"NM",(BU39/BM39-1)*100)))</f>
        <v>-4.445234708392598</v>
      </c>
      <c r="BW39" s="95">
        <v>535.6</v>
      </c>
      <c r="BX39" s="7">
        <f>IF(ISERROR((BW39/BO39-1)*100),"NA",IF(((BW39/BO39-1)*100)&gt;100,"NM",IF(((BW39/BO39-1)*100)&lt;-50,"NM",(BW39/BO39-1)*100)))</f>
        <v>-5.9030217849613482</v>
      </c>
      <c r="BY39" s="95">
        <v>521.79999999999995</v>
      </c>
      <c r="BZ39" s="7">
        <f>IF(ISERROR((BY39/BQ39-1)*100),"NA",IF(((BY39/BQ39-1)*100)&gt;100,"NM",IF(((BY39/BQ39-1)*100)&lt;-50,"NM",(BY39/BQ39-1)*100)))</f>
        <v>-4.3796958035550837</v>
      </c>
      <c r="CA39" s="95">
        <v>520.70000000000005</v>
      </c>
      <c r="CB39" s="7">
        <f>IF(ISERROR((CA39/BS39-1)*100),"NA",IF(((CA39/BS39-1)*100)&gt;100,"NM",IF(((CA39/BS39-1)*100)&lt;-50,"NM",(CA39/BS39-1)*100)))</f>
        <v>-3.7523105360443565</v>
      </c>
      <c r="CC39" s="95">
        <v>513.6</v>
      </c>
      <c r="CD39" s="7">
        <f>IF(ISERROR((CC39/BU39-1)*100),"NA",IF(((CC39/BU39-1)*100)&gt;100,"NM",IF(((CC39/BU39-1)*100)&lt;-50,"NM",(CC39/BU39-1)*100)))</f>
        <v>-4.4287309266840218</v>
      </c>
      <c r="CE39" s="95">
        <v>514.20000000000005</v>
      </c>
      <c r="CF39" s="81">
        <f>IF(ISERROR((CE39/BW39-1)*100),"NA",IF(((CE39/BW39-1)*100)&gt;100,"NM",IF(((CE39/BW39-1)*100)&lt;-50,"NM",(CE39/BW39-1)*100)))</f>
        <v>-3.9955190440627342</v>
      </c>
      <c r="CG39" s="95">
        <v>508</v>
      </c>
      <c r="CH39" s="81">
        <f>IF(ISERROR((CG39/BY39-1)*100),"NA",IF(((CG39/BY39-1)*100)&gt;100,"NM",IF(((CG39/BY39-1)*100)&lt;-50,"NM",(CG39/BY39-1)*100)))</f>
        <v>-2.6446914526638499</v>
      </c>
      <c r="CI39" s="95">
        <v>507.4</v>
      </c>
      <c r="CJ39" s="81">
        <f>IF(ISERROR((CI39/CA39-1)*100),"NA",IF(((CI39/CA39-1)*100)&gt;100,"NM",IF(((CI39/CA39-1)*100)&lt;-50,"NM",(CI39/CA39-1)*100)))</f>
        <v>-2.5542538889955946</v>
      </c>
      <c r="CK39" s="95">
        <v>508.9</v>
      </c>
      <c r="CL39" s="81">
        <f>IF(ISERROR((CK39/CC39-1)*100),"NA",IF(((CK39/CC39-1)*100)&gt;100,"NM",IF(((CK39/CC39-1)*100)&lt;-50,"NM",(CK39/CC39-1)*100)))</f>
        <v>-0.91510903426792467</v>
      </c>
      <c r="CM39" s="95">
        <v>511.1</v>
      </c>
      <c r="CN39" s="128">
        <f>IF(ISERROR((CM39/CE39-1)*100),"NA",IF(((CM39/CE39-1)*100)&gt;100,"NM",IF(((CM39/CE39-1)*100)&lt;-50,"NM",(CM39/CE39-1)*100)))</f>
        <v>-0.60287825748736035</v>
      </c>
      <c r="CO39" s="95">
        <v>513.20000000000005</v>
      </c>
      <c r="CP39" s="81">
        <f>IF(ISERROR((CO39/CG39-1)*100),"NA",IF(((CO39/CG39-1)*100)&gt;100,"NM",IF(((CO39/CG39-1)*100)&lt;-50,"NM",(CO39/CG39-1)*100)))</f>
        <v>1.0236220472441104</v>
      </c>
      <c r="CQ39" s="95">
        <v>516</v>
      </c>
      <c r="CR39" s="81">
        <f>IF(ISERROR((CQ39/CI39-1)*100),"NA",IF(((CQ39/CI39-1)*100)&gt;100,"NM",IF(((CQ39/CI39-1)*100)&lt;-50,"NM",(CQ39/CI39-1)*100)))</f>
        <v>1.6949152542372836</v>
      </c>
      <c r="CS39" s="95">
        <v>512.5</v>
      </c>
      <c r="CT39" s="81">
        <f>IF(ISERROR((CS39/CK39-1)*100),"NA",IF(((CS39/CK39-1)*100)&gt;100,"NM",IF(((CS39/CK39-1)*100)&lt;-50,"NM",(CS39/CK39-1)*100)))</f>
        <v>0.70740813519356571</v>
      </c>
      <c r="CU39" s="95">
        <v>513.79999999999995</v>
      </c>
      <c r="CV39" s="81">
        <f>IF(ISERROR((CU39/CM39-1)*100),"NA",IF(((CU39/CM39-1)*100)&gt;100,"NM",IF(((CU39/CM39-1)*100)&lt;-50,"NM",(CU39/CM39-1)*100)))</f>
        <v>0.52827235374681702</v>
      </c>
      <c r="CW39" s="95">
        <v>523.70000000000005</v>
      </c>
      <c r="CX39" s="81">
        <f>IF(ISERROR((CW39/CO39-1)*100),"NA",IF(((CW39/CO39-1)*100)&gt;100,"NM",IF(((CW39/CO39-1)*100)&lt;-50,"NM",(CW39/CO39-1)*100)))</f>
        <v>2.045985970381925</v>
      </c>
      <c r="CY39" s="95">
        <v>523.9</v>
      </c>
      <c r="CZ39" s="81">
        <f>IF(ISERROR((CY39/CQ39-1)*100),"NA",IF(((CY39/CQ39-1)*100)&gt;100,"NM",IF(((CY39/CQ39-1)*100)&lt;-50,"NM",(CY39/CQ39-1)*100)))</f>
        <v>1.5310077519379739</v>
      </c>
      <c r="DA39" s="95">
        <v>514.5</v>
      </c>
      <c r="DB39" s="81">
        <f>IF(ISERROR((DA39/CS39-1)*100),"NA",IF(((DA39/CS39-1)*100)&gt;100,"NM",IF(((DA39/CS39-1)*100)&lt;-50,"NM",(DA39/CS39-1)*100)))</f>
        <v>0.39024390243902474</v>
      </c>
      <c r="DC39" s="95">
        <v>511.4</v>
      </c>
      <c r="DD39" s="81">
        <f>IF(ISERROR((DC39/CU39-1)*100),"NA",IF(((DC39/CU39-1)*100)&gt;100,"NM",IF(((DC39/CU39-1)*100)&lt;-50,"NM",(DC39/CU39-1)*100)))</f>
        <v>-0.46710782405604556</v>
      </c>
      <c r="DE39" s="95">
        <v>520.79999999999995</v>
      </c>
      <c r="DF39" s="81">
        <f>IF(ISERROR((DE39/CW39-1)*100),"NA",IF(((DE39/CW39-1)*100)&gt;100,"NM",IF(((DE39/CW39-1)*100)&lt;-50,"NM",(DE39/CW39-1)*100)))</f>
        <v>-0.55375214817645624</v>
      </c>
      <c r="DG39" s="95">
        <v>524</v>
      </c>
      <c r="DH39" s="81">
        <f>IF(ISERROR((DG39/CY39-1)*100),"NA",IF(((DG39/CY39-1)*100)&gt;100,"NM",IF(((DG39/CY39-1)*100)&lt;-50,"NM",(DG39/CY39-1)*100)))</f>
        <v>1.9087612139734311E-2</v>
      </c>
      <c r="DI39" s="95">
        <v>526</v>
      </c>
      <c r="DJ39" s="81">
        <f>IF(ISERROR((DI39/DA39-1)*100),"NA",IF(((DI39/DA39-1)*100)&gt;100,"NM",IF(((DI39/DA39-1)*100)&lt;-50,"NM",(DI39/DA39-1)*100)))</f>
        <v>2.2351797862002032</v>
      </c>
      <c r="DK39" s="95">
        <v>540.79999999999995</v>
      </c>
      <c r="DL39" s="81">
        <f>IF(ISERROR((DK39/DC39-1)*100),"NA",IF(((DK39/DC39-1)*100)&gt;100,"NM",IF(((DK39/DC39-1)*100)&lt;-50,"NM",(DK39/DC39-1)*100)))</f>
        <v>5.7489245209229489</v>
      </c>
      <c r="DM39" s="95">
        <v>553</v>
      </c>
      <c r="DN39" s="81">
        <f>IF(ISERROR((DM39/DE39-1)*100),"NA",IF(((DM39/DE39-1)*100)&gt;100,"NM",IF(((DM39/DE39-1)*100)&lt;-50,"NM",(DM39/DE39-1)*100)))</f>
        <v>6.1827956989247479</v>
      </c>
      <c r="DO39" s="95">
        <v>561</v>
      </c>
      <c r="DP39" s="81">
        <f>IF(ISERROR((DO39/DG39-1)*100),"NA",IF(((DO39/DG39-1)*100)&gt;100,"NM",IF(((DO39/DG39-1)*100)&lt;-50,"NM",(DO39/DG39-1)*100)))</f>
        <v>7.0610687022900853</v>
      </c>
      <c r="DQ39" s="95">
        <v>567.5</v>
      </c>
      <c r="DR39" s="81">
        <f>IF(ISERROR((DQ39/DI39-1)*100),"NA",IF(((DQ39/DI39-1)*100)&gt;100,"NM",IF(((DQ39/DI39-1)*100)&lt;-50,"NM",(DQ39/DI39-1)*100)))</f>
        <v>7.8897338403041806</v>
      </c>
      <c r="DS39" s="95">
        <v>570.6</v>
      </c>
      <c r="DT39" s="81">
        <f>IF(ISERROR((DS39/DK39-1)*100),"NA",IF(((DS39/DK39-1)*100)&gt;100,"NM",IF(((DS39/DK39-1)*100)&lt;-50,"NM",(DS39/DK39-1)*100)))</f>
        <v>5.5103550295858117</v>
      </c>
      <c r="DU39" s="95">
        <v>588.1</v>
      </c>
      <c r="DV39" s="81">
        <f>IF(ISERROR((DU39/DM39-1)*100),"NA",IF(((DU39/DM39-1)*100)&gt;100,"NM",IF(((DU39/DM39-1)*100)&lt;-50,"NM",(DU39/DM39-1)*100)))</f>
        <v>6.3471971066907829</v>
      </c>
      <c r="DW39" s="95">
        <v>589.1</v>
      </c>
      <c r="DX39" s="81">
        <f>IF(ISERROR((DW39/DO39-1)*100),"NA",IF(((DW39/DO39-1)*100)&gt;100,"NM",IF(((DW39/DO39-1)*100)&lt;-50,"NM",(DW39/DO39-1)*100)))</f>
        <v>5.0089126559714758</v>
      </c>
      <c r="DY39" s="95">
        <v>583.6</v>
      </c>
      <c r="DZ39" s="81">
        <f>IF(ISERROR((DY39/DQ39-1)*100),"NA",IF(((DY39/DQ39-1)*100)&gt;100,"NM",IF(((DY39/DQ39-1)*100)&lt;-50,"NM",(DY39/DQ39-1)*100)))</f>
        <v>2.8370044052863586</v>
      </c>
      <c r="EA39" s="95">
        <v>591.9</v>
      </c>
      <c r="EB39" s="81">
        <f>IF(ISERROR((EA39/DS39-1)*100),"NA",IF(((EA39/DS39-1)*100)&gt;100,"NM",IF(((EA39/DS39-1)*100)&lt;-50,"NM",(EA39/DS39-1)*100)))</f>
        <v>3.732912723449</v>
      </c>
      <c r="EC39" s="95">
        <v>592.29999999999995</v>
      </c>
      <c r="ED39" s="81">
        <f t="shared" ref="ED39:ED42" si="214">IF(ISERROR((EC39/DU39-1)*100),"NA",IF(((EC39/DU39-1)*100)&gt;100,"NM",IF(((EC39/DU39-1)*100)&lt;-50,"NM",(EC39/DU39-1)*100)))</f>
        <v>0.71416425777928172</v>
      </c>
      <c r="EE39" s="95">
        <v>596</v>
      </c>
      <c r="EF39" s="81">
        <f t="shared" ref="EF39:EF42" si="215">IF(ISERROR((EE39/DW39-1)*100),"NA",IF(((EE39/DW39-1)*100)&gt;100,"NM",IF(((EE39/DW39-1)*100)&lt;-50,"NM",(EE39/DW39-1)*100)))</f>
        <v>1.171278221015104</v>
      </c>
      <c r="EG39" s="95">
        <v>596.29999999999995</v>
      </c>
      <c r="EH39" s="81">
        <f t="shared" ref="EH39:EH42" si="216">IF(ISERROR((EG39/DY39-1)*100),"NA",IF(((EG39/DY39-1)*100)&gt;100,"NM",IF(((EG39/DY39-1)*100)&lt;-50,"NM",(EG39/DY39-1)*100)))</f>
        <v>2.1761480466072625</v>
      </c>
      <c r="EI39" s="95">
        <v>604.79999999999995</v>
      </c>
      <c r="EJ39" s="81">
        <f t="shared" ref="EJ39:EJ42" si="217">IF(ISERROR((EI39/EA39-1)*100),"NA",IF(((EI39/EA39-1)*100)&gt;100,"NM",IF(((EI39/EA39-1)*100)&lt;-50,"NM",(EI39/EA39-1)*100)))</f>
        <v>2.1794221996958907</v>
      </c>
      <c r="EK39" s="93">
        <f t="shared" ref="EK39:EQ39" si="218">+EK30</f>
        <v>628.99588499999993</v>
      </c>
      <c r="EL39" s="81">
        <f t="shared" ref="EL39:EL42" si="219">IF(ISERROR((EK39/EC39-1)*100),"NA",IF(((EK39/EC39-1)*100)&gt;100,"NM",IF(((EK39/EC39-1)*100)&lt;-50,"NM",(EK39/EC39-1)*100)))</f>
        <v>6.1954896167482731</v>
      </c>
      <c r="EM39" s="93">
        <f t="shared" si="218"/>
        <v>632.17981379949993</v>
      </c>
      <c r="EN39" s="81">
        <f t="shared" ref="EN39:EN42" si="220">IF(ISERROR((EM39/EE39-1)*100),"NA",IF(((EM39/EE39-1)*100)&gt;100,"NM",IF(((EM39/EE39-1)*100)&lt;-50,"NM",(EM39/EE39-1)*100)))</f>
        <v>6.0704385569630759</v>
      </c>
      <c r="EO39" s="93">
        <f t="shared" si="218"/>
        <v>630.29246062757557</v>
      </c>
      <c r="EP39" s="81">
        <f t="shared" ref="EP39:EP42" si="221">IF(ISERROR((EO39/EG39-1)*100),"NA",IF(((EO39/EG39-1)*100)&gt;100,"NM",IF(((EO39/EG39-1)*100)&lt;-50,"NM",(EO39/EG39-1)*100)))</f>
        <v>5.7005635800059684</v>
      </c>
      <c r="EQ39" s="93">
        <f t="shared" si="218"/>
        <v>629.0675514111166</v>
      </c>
      <c r="ER39" s="81">
        <f t="shared" ref="ER39:ER42" si="222">IF(ISERROR((EQ39/EI39-1)*100),"NA",IF(((EQ39/EI39-1)*100)&gt;100,"NM",IF(((EQ39/EI39-1)*100)&lt;-50,"NM",(EQ39/EI39-1)*100)))</f>
        <v>4.0124919661237879</v>
      </c>
      <c r="ES39" s="129"/>
      <c r="ET39" s="469"/>
      <c r="EU39" s="129"/>
      <c r="EV39" s="129"/>
      <c r="EW39" s="79"/>
      <c r="EX39" s="129"/>
      <c r="EY39" s="79"/>
      <c r="EZ39" s="129"/>
      <c r="FA39" s="79"/>
      <c r="FB39" s="35"/>
      <c r="FC39" s="79"/>
      <c r="FD39" s="129">
        <v>2547.8000000000002</v>
      </c>
      <c r="FE39" s="79" t="str">
        <f>IF(ISERROR((FD39/FB39-1)*100),"NA",IF(((FD39/FB39-1)*100)&gt;100,"NM",IF(((FD39/FB39-1)*100)&lt;-50,"NM",(FD39/FB39-1)*100)))</f>
        <v>NA</v>
      </c>
      <c r="FF39" s="129">
        <v>2662.6</v>
      </c>
      <c r="FG39" s="79">
        <f>IF(ISERROR((FF39/FD39-1)*100),"NA",IF(((FF39/FD39-1)*100)&gt;100,"NM",IF(((FF39/FD39-1)*100)&lt;-50,"NM",(FF39/FD39-1)*100)))</f>
        <v>4.5058481827458863</v>
      </c>
      <c r="FH39" s="129">
        <v>2644.7</v>
      </c>
      <c r="FI39" s="79">
        <f>IF(ISERROR((FH39/FF39-1)*100),"NA",IF(((FH39/FF39-1)*100)&gt;100,"NM",IF(((FH39/FF39-1)*100)&lt;-50,"NM",(FH39/FF39-1)*100)))</f>
        <v>-0.67227521971006121</v>
      </c>
      <c r="FJ39" s="35">
        <f>+AQ39+AO39+AM39+AK39</f>
        <v>2527.9</v>
      </c>
      <c r="FK39" s="79">
        <f>IF(ISERROR((FJ39/FH39-1)*100),"NA",IF(((FJ39/FH39-1)*100)&gt;100,"NM",IF(((FJ39/FH39-1)*100)&lt;-50,"NM",(FJ39/FH39-1)*100)))</f>
        <v>-4.4163799296706552</v>
      </c>
      <c r="FL39" s="78">
        <f>AS39+AU39+AW39+AY39</f>
        <v>2483.5</v>
      </c>
      <c r="FM39" s="79">
        <f>IF(ISERROR((FL39/FJ39-1)*100),"NA",IF(((FL39/FJ39-1)*100)&gt;100,"NM",IF(((FL39/FJ39-1)*100)&lt;-50,"NM",(FL39/FJ39-1)*100)))</f>
        <v>-1.756398591716446</v>
      </c>
      <c r="FN39" s="78">
        <f>BA39+BC39+BE39+BG39</f>
        <v>2381.3000000000002</v>
      </c>
      <c r="FO39" s="79">
        <f>IF(ISERROR((FN39/FL39-1)*100),"NA",IF(((FN39/FL39-1)*100)&gt;100,"NM",IF(((FN39/FL39-1)*100)&lt;-50,"NM",(FN39/FL39-1)*100)))</f>
        <v>-4.115160056372047</v>
      </c>
      <c r="FP39" s="78">
        <f>BI39+BK39+BM39+BO39</f>
        <v>2273.6000000000004</v>
      </c>
      <c r="FQ39" s="79">
        <f>IF(ISERROR((FP39/FN39-1)*100),"NA",IF(((FP39/FN39-1)*100)&gt;100,"NM",IF(((FP39/FN39-1)*100)&lt;-50,"NM",(FP39/FN39-1)*100)))</f>
        <v>-4.5227396800067154</v>
      </c>
      <c r="FR39" s="35">
        <f>BQ39+BS39+BU39+BW39</f>
        <v>2159.6999999999998</v>
      </c>
      <c r="FS39" s="79">
        <f>IF(ISERROR((FR39/FP39-1)*100),"NA",IF(((FR39/FP39-1)*100)&gt;100,"NM",IF(((FR39/FP39-1)*100)&lt;-50,"NM",(FR39/FP39-1)*100)))</f>
        <v>-5.0096762843068525</v>
      </c>
      <c r="FT39" s="93">
        <f>+CE39+CC39+CA39+BY39</f>
        <v>2070.3000000000002</v>
      </c>
      <c r="FU39" s="79">
        <f>IF(ISERROR((FT39/FR39-1)*100),"NA",IF(((FT39/FR39-1)*100)&gt;100,"NM",IF(((FT39/FR39-1)*100)&lt;-50,"NM",(FT39/FR39-1)*100)))</f>
        <v>-4.1394638144186535</v>
      </c>
      <c r="FV39" s="93">
        <f>+CM39+CK39+CI39+CG39</f>
        <v>2035.4</v>
      </c>
      <c r="FW39" s="79">
        <f>IF(ISERROR((FV39/FT39-1)*100),"NA",IF(((FV39/FT39-1)*100)&gt;100,"NM",IF(((FV39/FT39-1)*100)&lt;-50,"NM",(FV39/FT39-1)*100)))</f>
        <v>-1.6857460271458291</v>
      </c>
      <c r="FX39" s="93">
        <f>+FX30</f>
        <v>2055.5</v>
      </c>
      <c r="FY39" s="79">
        <f>IF(ISERROR((FX39/FV39-1)*100),"NA",IF(((FX39/FV39-1)*100)&gt;100,"NM",IF(((FX39/FV39-1)*100)&lt;-50,"NM",(FX39/FV39-1)*100)))</f>
        <v>0.98752088041662578</v>
      </c>
      <c r="FZ39" s="93">
        <f>CW39+CY39+DA39+DC39</f>
        <v>2073.5</v>
      </c>
      <c r="GA39" s="79">
        <f>IF(ISERROR((FZ39/FX39-1)*100),"NA",IF(((FZ39/FX39-1)*100)&gt;100,"NM",IF(((FZ39/FX39-1)*100)&lt;-50,"NM",(FZ39/FX39-1)*100)))</f>
        <v>0.87569934322548892</v>
      </c>
      <c r="GB39" s="93">
        <f>DE39+DG39+DI39+DK39</f>
        <v>2111.6</v>
      </c>
      <c r="GC39" s="79">
        <f>IF(ISERROR((GB39/FZ39-1)*100),"NA",IF(((GB39/FZ39-1)*100)&gt;100,"NM",IF(((GB39/FZ39-1)*100)&lt;-50,"NM",(GB39/FZ39-1)*100)))</f>
        <v>1.8374728719556366</v>
      </c>
      <c r="GD39" s="93">
        <f>DM39+DO39+DQ39+DS39</f>
        <v>2252.1</v>
      </c>
      <c r="GE39" s="79">
        <f>IF(ISERROR((GD39/GB39-1)*100),"NA",IF(((GD39/GB39-1)*100)&gt;100,"NM",IF(((GD39/GB39-1)*100)&lt;-50,"NM",(GD39/GB39-1)*100)))</f>
        <v>6.6537222958893638</v>
      </c>
      <c r="GF39" s="93">
        <f>DU39+DW39+DY39+EA39</f>
        <v>2352.7000000000003</v>
      </c>
      <c r="GG39" s="79">
        <f>IF(ISERROR((GF39/GD39-1)*100),"NA",IF(((GF39/GD39-1)*100)&gt;100,"NM",IF(((GF39/GD39-1)*100)&lt;-50,"NM",(GF39/GD39-1)*100)))</f>
        <v>4.4669419652768605</v>
      </c>
      <c r="GH39" s="93">
        <f>EC39+EE39+EG39+EI39</f>
        <v>2389.3999999999996</v>
      </c>
      <c r="GI39" s="79">
        <f>IF(ISERROR((GH39/GF39-1)*100),"NA",IF(((GH39/GF39-1)*100)&gt;100,"NM",IF(((GH39/GF39-1)*100)&lt;-50,"NM",(GH39/GF39-1)*100)))</f>
        <v>1.5599098907637776</v>
      </c>
      <c r="GJ39" s="93">
        <f>EK39+EM39+EO39+EQ39</f>
        <v>2520.5357108381922</v>
      </c>
      <c r="GK39" s="79">
        <f>IF(ISERROR((GJ39/GH39-1)*100),"NA",IF(((GJ39/GH39-1)*100)&gt;100,"NM",IF(((GJ39/GH39-1)*100)&lt;-50,"NM",(GJ39/GH39-1)*100)))</f>
        <v>5.4882276235955763</v>
      </c>
      <c r="GL39" s="95">
        <f>+GL30</f>
        <v>2627.3445940771685</v>
      </c>
      <c r="GM39" s="79">
        <f>IF(ISERROR((GL39/GJ39-1)*100),"NA",IF(((GL39/GJ39-1)*100)&gt;100,"NM",IF(((GL39/GJ39-1)*100)&lt;-50,"NM",(GL39/GJ39-1)*100)))</f>
        <v>4.2375469143207445</v>
      </c>
      <c r="GN39" s="95">
        <f>+GN30</f>
        <v>2742.0026894109578</v>
      </c>
      <c r="GO39" s="79">
        <f>IF(ISERROR((GN39/GL39-1)*100),"NA",IF(((GN39/GL39-1)*100)&gt;100,"NM",IF(((GN39/GL39-1)*100)&lt;-50,"NM",(GN39/GL39-1)*100)))</f>
        <v>4.3640295830346565</v>
      </c>
      <c r="GP39" s="95">
        <f>+GP30</f>
        <v>2864.5749546585253</v>
      </c>
      <c r="GQ39" s="79">
        <f>IF(ISERROR((GP39/GN39-1)*100),"NA",IF(((GP39/GN39-1)*100)&gt;100,"NM",IF(((GP39/GN39-1)*100)&lt;-50,"NM",(GP39/GN39-1)*100)))</f>
        <v>4.4701730498265313</v>
      </c>
      <c r="GR39" s="95">
        <f>+GR30</f>
        <v>2995.1723488164821</v>
      </c>
      <c r="GS39" s="79">
        <f>IF(ISERROR((GR39/GP39-1)*100),"NA",IF(((GR39/GP39-1)*100)&gt;100,"NM",IF(((GR39/GP39-1)*100)&lt;-50,"NM",(GR39/GP39-1)*100)))</f>
        <v>4.559049640002355</v>
      </c>
      <c r="GT39" s="79">
        <f>IF(ISERROR(((GR39/GH39)^0.2-1)*100),"NA",(IF(OR(((GR39/GH39)^0.2-1)*100&gt;99,((GR39/GH39)^0.2-1)*100&lt;-50),"NM",(((GR39/GH39)^0.2-1)*100))))</f>
        <v>4.6228609201699689</v>
      </c>
    </row>
    <row r="40" spans="1:286" s="132" customFormat="1" ht="12.75" customHeight="1" x14ac:dyDescent="0.2">
      <c r="A40" s="1" t="s">
        <v>79</v>
      </c>
      <c r="B40" s="10" t="s">
        <v>406</v>
      </c>
      <c r="C40" s="79"/>
      <c r="D40" s="79"/>
      <c r="E40" s="129"/>
      <c r="F40" s="129"/>
      <c r="G40" s="129"/>
      <c r="H40" s="129"/>
      <c r="I40" s="129"/>
      <c r="J40" s="129"/>
      <c r="K40" s="129"/>
      <c r="L40" s="79"/>
      <c r="M40" s="129"/>
      <c r="N40" s="79"/>
      <c r="O40" s="129"/>
      <c r="P40" s="79"/>
      <c r="Q40" s="129"/>
      <c r="R40" s="79"/>
      <c r="S40" s="129"/>
      <c r="T40" s="79"/>
      <c r="U40" s="129"/>
      <c r="V40" s="79"/>
      <c r="W40" s="129"/>
      <c r="X40" s="79"/>
      <c r="Y40" s="129"/>
      <c r="Z40" s="79"/>
      <c r="AA40" s="130"/>
      <c r="AB40" s="79"/>
      <c r="AC40" s="129">
        <f>292.5-AE40</f>
        <v>142.1</v>
      </c>
      <c r="AD40" s="79" t="str">
        <f>IF(ISERROR((AC40/U40-1)*100),"NA",IF(((AC40/U40-1)*100)&gt;100,"NM",IF(((AC40/U40-1)*100)&lt;-50,"NM",(AC40/U40-1)*100)))</f>
        <v>NA</v>
      </c>
      <c r="AE40" s="129">
        <v>150.4</v>
      </c>
      <c r="AF40" s="79" t="str">
        <f>IF(ISERROR((AE40/W40-1)*100),"NA",IF(((AE40/W40-1)*100)&gt;100,"NM",IF(((AE40/W40-1)*100)&lt;-50,"NM",(AE40/W40-1)*100)))</f>
        <v>NA</v>
      </c>
      <c r="AG40" s="129">
        <v>147.19999999999999</v>
      </c>
      <c r="AH40" s="79" t="str">
        <f>IF(ISERROR((AG40/Y40-1)*100),"NA",IF(((AG40/Y40-1)*100)&gt;100,"NM",IF(((AG40/Y40-1)*100)&lt;-50,"NM",(AG40/Y40-1)*100)))</f>
        <v>NA</v>
      </c>
      <c r="AI40" s="127">
        <f>FH40-AG40-AE40-AC40</f>
        <v>156.09999999999994</v>
      </c>
      <c r="AJ40" s="79" t="str">
        <f>IF(ISERROR((AI40/AA40-1)*100),"NA",IF(((AI40/AA40-1)*100)&gt;100,"NM",IF(((AI40/AA40-1)*100)&lt;-50,"NM",(AI40/AA40-1)*100)))</f>
        <v>NA</v>
      </c>
      <c r="AK40" s="129">
        <f>301.5-AM40</f>
        <v>148.69999999999999</v>
      </c>
      <c r="AL40" s="79">
        <f>IF(ISERROR((AK40/AC40-1)*100),"NA",IF(((AK40/AC40-1)*100)&gt;100,"NM",IF(((AK40/AC40-1)*100)&lt;-50,"NM",(AK40/AC40-1)*100)))</f>
        <v>4.6446164672765633</v>
      </c>
      <c r="AM40" s="129">
        <v>152.80000000000001</v>
      </c>
      <c r="AN40" s="79">
        <f>IF(ISERROR((AM40/AE40-1)*100),"NA",IF(((AM40/AE40-1)*100)&gt;100,"NM",IF(((AM40/AE40-1)*100)&lt;-50,"NM",(AM40/AE40-1)*100)))</f>
        <v>1.5957446808510634</v>
      </c>
      <c r="AO40" s="129">
        <v>151.9</v>
      </c>
      <c r="AP40" s="79">
        <f>IF(ISERROR((AO40/AG40-1)*100),"NA",IF(((AO40/AG40-1)*100)&gt;100,"NM",IF(((AO40/AG40-1)*100)&lt;-50,"NM",(AO40/AG40-1)*100)))</f>
        <v>3.192934782608714</v>
      </c>
      <c r="AQ40" s="129">
        <v>152.30000000000001</v>
      </c>
      <c r="AR40" s="79">
        <f>IF(ISERROR((AQ40/AI40-1)*100),"NA",IF(((AQ40/AI40-1)*100)&gt;100,"NM",IF(((AQ40/AI40-1)*100)&lt;-50,"NM",(AQ40/AI40-1)*100)))</f>
        <v>-2.4343369634848955</v>
      </c>
      <c r="AS40" s="129">
        <v>153.30000000000001</v>
      </c>
      <c r="AT40" s="81">
        <f>IF(ISERROR((AS40/AK40-1)*100),"NA",IF(((AS40/AK40-1)*100)&gt;100,"NM",IF(((AS40/AK40-1)*100)&lt;-50,"NM",(AS40/AK40-1)*100)))</f>
        <v>3.0934767989240219</v>
      </c>
      <c r="AU40" s="129">
        <v>150.6</v>
      </c>
      <c r="AV40" s="81">
        <f>IF(ISERROR((AU40/AM40-1)*100),"NA",IF(((AU40/AM40-1)*100)&gt;100,"NM",IF(((AU40/AM40-1)*100)&lt;-50,"NM",(AU40/AM40-1)*100)))</f>
        <v>-1.4397905759162444</v>
      </c>
      <c r="AW40" s="129">
        <v>149.6</v>
      </c>
      <c r="AX40" s="81">
        <f>IF(ISERROR((AW40/AO40-1)*100),"NA",IF(((AW40/AO40-1)*100)&gt;100,"NM",IF(((AW40/AO40-1)*100)&lt;-50,"NM",(AW40/AO40-1)*100)))</f>
        <v>-1.5141540487162652</v>
      </c>
      <c r="AY40" s="129">
        <v>168.4</v>
      </c>
      <c r="AZ40" s="81">
        <f>IF(ISERROR((AY40/AQ40-1)*100),"NA",IF(((AY40/AQ40-1)*100)&gt;100,"NM",IF(((AY40/AQ40-1)*100)&lt;-50,"NM",(AY40/AQ40-1)*100)))</f>
        <v>10.571240971766249</v>
      </c>
      <c r="BA40" s="129">
        <f>155.3+3.3</f>
        <v>158.60000000000002</v>
      </c>
      <c r="BB40" s="81">
        <f>IF(ISERROR((BA40/AS40-1)*100),"NA",IF(((BA40/AS40-1)*100)&gt;100,"NM",IF(((BA40/AS40-1)*100)&lt;-50,"NM",(BA40/AS40-1)*100)))</f>
        <v>3.4572733202870243</v>
      </c>
      <c r="BC40" s="129">
        <f>165.5+2.7</f>
        <v>168.2</v>
      </c>
      <c r="BD40" s="81">
        <f>IF(ISERROR((BC40/AU40-1)*100),"NA",IF(((BC40/AU40-1)*100)&gt;100,"NM",IF(((BC40/AU40-1)*100)&lt;-50,"NM",(BC40/AU40-1)*100)))</f>
        <v>11.686586985391756</v>
      </c>
      <c r="BE40" s="129">
        <f>160.3+3</f>
        <v>163.30000000000001</v>
      </c>
      <c r="BF40" s="81">
        <f>IF(ISERROR((BE40/AW40-1)*100),"NA",IF(((BE40/AW40-1)*100)&gt;100,"NM",IF(((BE40/AW40-1)*100)&lt;-50,"NM",(BE40/AW40-1)*100)))</f>
        <v>9.1577540106952071</v>
      </c>
      <c r="BG40" s="129">
        <f>154.9+3.7</f>
        <v>158.6</v>
      </c>
      <c r="BH40" s="81">
        <f>IF(ISERROR((BG40/AY40-1)*100),"NA",IF(((BG40/AY40-1)*100)&gt;100,"NM",IF(((BG40/AY40-1)*100)&lt;-50,"NM",(BG40/AY40-1)*100)))</f>
        <v>-5.8194774346793432</v>
      </c>
      <c r="BI40" s="129">
        <f>154+2.8</f>
        <v>156.80000000000001</v>
      </c>
      <c r="BJ40" s="81">
        <f>IF(ISERROR((BI40/BA40-1)*100),"NA",IF(((BI40/BA40-1)*100)&gt;100,"NM",IF(((BI40/BA40-1)*100)&lt;-50,"NM",(BI40/BA40-1)*100)))</f>
        <v>-1.1349306431273742</v>
      </c>
      <c r="BK40" s="129">
        <f>158.4+2.3</f>
        <v>160.70000000000002</v>
      </c>
      <c r="BL40" s="81">
        <f>IF(ISERROR((BK40/BC40-1)*100),"NA",IF(((BK40/BC40-1)*100)&gt;100,"NM",IF(((BK40/BC40-1)*100)&lt;-50,"NM",(BK40/BC40-1)*100)))</f>
        <v>-4.4589774078477866</v>
      </c>
      <c r="BM40" s="129">
        <f>155+2.2</f>
        <v>157.19999999999999</v>
      </c>
      <c r="BN40" s="81">
        <f>IF(ISERROR((BM40/BE40-1)*100),"NA",IF(((BM40/BE40-1)*100)&gt;100,"NM",IF(((BM40/BE40-1)*100)&lt;-50,"NM",(BM40/BE40-1)*100)))</f>
        <v>-3.7354562155542115</v>
      </c>
      <c r="BO40" s="129">
        <v>156.6</v>
      </c>
      <c r="BP40" s="81">
        <f>IF(ISERROR((BO40/BG40-1)*100),"NA",IF(((BO40/BG40-1)*100)&gt;100,"NM",IF(((BO40/BG40-1)*100)&lt;-50,"NM",(BO40/BG40-1)*100)))</f>
        <v>-1.2610340479192961</v>
      </c>
      <c r="BQ40" s="129">
        <v>156.5</v>
      </c>
      <c r="BR40" s="81">
        <f>IF(ISERROR((BQ40/BI40-1)*100),"NA",IF(((BQ40/BI40-1)*100)&gt;100,"NM",IF(((BQ40/BI40-1)*100)&lt;-50,"NM",(BQ40/BI40-1)*100)))</f>
        <v>-0.19132653061225691</v>
      </c>
      <c r="BS40" s="129">
        <v>161.6</v>
      </c>
      <c r="BT40" s="81">
        <f>IF(ISERROR((BS40/BK40-1)*100),"NA",IF(((BS40/BK40-1)*100)&gt;100,"NM",IF(((BS40/BK40-1)*100)&lt;-50,"NM",(BS40/BK40-1)*100)))</f>
        <v>0.56004978220285384</v>
      </c>
      <c r="BU40" s="129">
        <v>157.30000000000001</v>
      </c>
      <c r="BV40" s="81">
        <f>IF(ISERROR((BU40/BM40-1)*100),"NA",IF(((BU40/BM40-1)*100)&gt;100,"NM",IF(((BU40/BM40-1)*100)&lt;-50,"NM",(BU40/BM40-1)*100)))</f>
        <v>6.3613231552173133E-2</v>
      </c>
      <c r="BW40" s="129">
        <v>154</v>
      </c>
      <c r="BX40" s="81">
        <f>IF(ISERROR((BW40/BO40-1)*100),"NA",IF(((BW40/BO40-1)*100)&gt;100,"NM",IF(((BW40/BO40-1)*100)&lt;-50,"NM",(BW40/BO40-1)*100)))</f>
        <v>-1.6602809706257937</v>
      </c>
      <c r="BY40" s="129">
        <v>151.30000000000001</v>
      </c>
      <c r="BZ40" s="81">
        <f>IF(ISERROR((BY40/BQ40-1)*100),"NA",IF(((BY40/BQ40-1)*100)&gt;100,"NM",IF(((BY40/BQ40-1)*100)&lt;-50,"NM",(BY40/BQ40-1)*100)))</f>
        <v>-3.3226837060702841</v>
      </c>
      <c r="CA40" s="129">
        <v>155.9</v>
      </c>
      <c r="CB40" s="81">
        <f>IF(ISERROR((CA40/BS40-1)*100),"NA",IF(((CA40/BS40-1)*100)&gt;100,"NM",IF(((CA40/BS40-1)*100)&lt;-50,"NM",(CA40/BS40-1)*100)))</f>
        <v>-3.5272277227722748</v>
      </c>
      <c r="CC40" s="129">
        <v>150.19999999999999</v>
      </c>
      <c r="CD40" s="81">
        <f>IF(ISERROR((CC40/BU40-1)*100),"NA",IF(((CC40/BU40-1)*100)&gt;100,"NM",IF(((CC40/BU40-1)*100)&lt;-50,"NM",(CC40/BU40-1)*100)))</f>
        <v>-4.5136681500318021</v>
      </c>
      <c r="CE40" s="129">
        <v>157.19999999999999</v>
      </c>
      <c r="CF40" s="81">
        <f>IF(ISERROR((CE40/BW40-1)*100),"NA",IF(((CE40/BW40-1)*100)&gt;100,"NM",IF(((CE40/BW40-1)*100)&lt;-50,"NM",(CE40/BW40-1)*100)))</f>
        <v>2.0779220779220786</v>
      </c>
      <c r="CG40" s="129">
        <v>147.69999999999999</v>
      </c>
      <c r="CH40" s="81">
        <f>IF(ISERROR((CG40/BY40-1)*100),"NA",IF(((CG40/BY40-1)*100)&gt;100,"NM",IF(((CG40/BY40-1)*100)&lt;-50,"NM",(CG40/BY40-1)*100)))</f>
        <v>-2.3793787177792569</v>
      </c>
      <c r="CI40" s="129">
        <v>153.5</v>
      </c>
      <c r="CJ40" s="81">
        <f>IF(ISERROR((CI40/CA40-1)*100),"NA",IF(((CI40/CA40-1)*100)&gt;100,"NM",IF(((CI40/CA40-1)*100)&lt;-50,"NM",(CI40/CA40-1)*100)))</f>
        <v>-1.5394483643361156</v>
      </c>
      <c r="CK40" s="129">
        <v>153</v>
      </c>
      <c r="CL40" s="81">
        <f>IF(ISERROR((CK40/CC40-1)*100),"NA",IF(((CK40/CC40-1)*100)&gt;100,"NM",IF(((CK40/CC40-1)*100)&lt;-50,"NM",(CK40/CC40-1)*100)))</f>
        <v>1.8641810918775148</v>
      </c>
      <c r="CM40" s="129">
        <v>150.80000000000001</v>
      </c>
      <c r="CN40" s="81">
        <f>IF(ISERROR((CM40/CE40-1)*100),"NA",IF(((CM40/CE40-1)*100)&gt;100,"NM",IF(((CM40/CE40-1)*100)&lt;-50,"NM",(CM40/CE40-1)*100)))</f>
        <v>-4.0712468193384037</v>
      </c>
      <c r="CO40" s="129">
        <v>147.4</v>
      </c>
      <c r="CP40" s="81">
        <f>IF(ISERROR((CO40/CG40-1)*100),"NA",IF(((CO40/CG40-1)*100)&gt;100,"NM",IF(((CO40/CG40-1)*100)&lt;-50,"NM",(CO40/CG40-1)*100)))</f>
        <v>-0.20311442112388445</v>
      </c>
      <c r="CQ40" s="129">
        <v>142</v>
      </c>
      <c r="CR40" s="81">
        <f>IF(ISERROR((CQ40/CI40-1)*100),"NA",IF(((CQ40/CI40-1)*100)&gt;100,"NM",IF(((CQ40/CI40-1)*100)&lt;-50,"NM",(CQ40/CI40-1)*100)))</f>
        <v>-7.4918566775244333</v>
      </c>
      <c r="CS40" s="129">
        <v>142.9</v>
      </c>
      <c r="CT40" s="81">
        <f>IF(ISERROR((CS40/CK40-1)*100),"NA",IF(((CS40/CK40-1)*100)&gt;100,"NM",IF(((CS40/CK40-1)*100)&lt;-50,"NM",(CS40/CK40-1)*100)))</f>
        <v>-6.6013071895424824</v>
      </c>
      <c r="CU40" s="129">
        <v>144.6</v>
      </c>
      <c r="CV40" s="81">
        <f>IF(ISERROR((CU40/CM40-1)*100),"NA",IF(((CU40/CM40-1)*100)&gt;100,"NM",IF(((CU40/CM40-1)*100)&lt;-50,"NM",(CU40/CM40-1)*100)))</f>
        <v>-4.1114058355437795</v>
      </c>
      <c r="CW40" s="129">
        <v>140.80000000000001</v>
      </c>
      <c r="CX40" s="81">
        <f>IF(ISERROR((CW40/CO40-1)*100),"NA",IF(((CW40/CO40-1)*100)&gt;100,"NM",IF(((CW40/CO40-1)*100)&lt;-50,"NM",(CW40/CO40-1)*100)))</f>
        <v>-4.4776119402984982</v>
      </c>
      <c r="CY40" s="129">
        <v>136.69999999999999</v>
      </c>
      <c r="CZ40" s="81">
        <f>IF(ISERROR((CY40/CQ40-1)*100),"NA",IF(((CY40/CQ40-1)*100)&gt;100,"NM",IF(((CY40/CQ40-1)*100)&lt;-50,"NM",(CY40/CQ40-1)*100)))</f>
        <v>-3.7323943661971892</v>
      </c>
      <c r="DA40" s="129">
        <v>136.30000000000001</v>
      </c>
      <c r="DB40" s="81">
        <f>IF(ISERROR((DA40/CS40-1)*100),"NA",IF(((DA40/CS40-1)*100)&gt;100,"NM",IF(((DA40/CS40-1)*100)&lt;-50,"NM",(DA40/CS40-1)*100)))</f>
        <v>-4.6186144156752924</v>
      </c>
      <c r="DC40" s="129">
        <v>133.6</v>
      </c>
      <c r="DD40" s="81">
        <f>IF(ISERROR((DC40/CU40-1)*100),"NA",IF(((DC40/CU40-1)*100)&gt;100,"NM",IF(((DC40/CU40-1)*100)&lt;-50,"NM",(DC40/CU40-1)*100)))</f>
        <v>-7.6071922544951542</v>
      </c>
      <c r="DE40" s="129">
        <v>131.5</v>
      </c>
      <c r="DF40" s="81">
        <f>IF(ISERROR((DE40/CW40-1)*100),"NA",IF(((DE40/CW40-1)*100)&gt;100,"NM",IF(((DE40/CW40-1)*100)&lt;-50,"NM",(DE40/CW40-1)*100)))</f>
        <v>-6.6051136363636465</v>
      </c>
      <c r="DG40" s="129">
        <v>127.5</v>
      </c>
      <c r="DH40" s="81">
        <f>IF(ISERROR((DG40/CY40-1)*100),"NA",IF(((DG40/CY40-1)*100)&gt;100,"NM",IF(((DG40/CY40-1)*100)&lt;-50,"NM",(DG40/CY40-1)*100)))</f>
        <v>-6.7300658376005735</v>
      </c>
      <c r="DI40" s="129">
        <v>124.8</v>
      </c>
      <c r="DJ40" s="81">
        <f>IF(ISERROR((DI40/DA40-1)*100),"NA",IF(((DI40/DA40-1)*100)&gt;100,"NM",IF(((DI40/DA40-1)*100)&lt;-50,"NM",(DI40/DA40-1)*100)))</f>
        <v>-8.4372707263389639</v>
      </c>
      <c r="DK40" s="129">
        <v>132.1</v>
      </c>
      <c r="DL40" s="81">
        <f>IF(ISERROR((DK40/DC40-1)*100),"NA",IF(((DK40/DC40-1)*100)&gt;100,"NM",IF(((DK40/DC40-1)*100)&lt;-50,"NM",(DK40/DC40-1)*100)))</f>
        <v>-1.1227544910179632</v>
      </c>
      <c r="DM40" s="129">
        <v>125</v>
      </c>
      <c r="DN40" s="81">
        <f>IF(ISERROR((DM40/DE40-1)*100),"NA",IF(((DM40/DE40-1)*100)&gt;100,"NM",IF(((DM40/DE40-1)*100)&lt;-50,"NM",(DM40/DE40-1)*100)))</f>
        <v>-4.9429657794676789</v>
      </c>
      <c r="DO40" s="129">
        <v>125.2</v>
      </c>
      <c r="DP40" s="81">
        <f>IF(ISERROR((DO40/DG40-1)*100),"NA",IF(((DO40/DG40-1)*100)&gt;100,"NM",IF(((DO40/DG40-1)*100)&lt;-50,"NM",(DO40/DG40-1)*100)))</f>
        <v>-1.8039215686274535</v>
      </c>
      <c r="DQ40" s="129">
        <v>121.7</v>
      </c>
      <c r="DR40" s="81">
        <f>IF(ISERROR((DQ40/DI40-1)*100),"NA",IF(((DQ40/DI40-1)*100)&gt;100,"NM",IF(((DQ40/DI40-1)*100)&lt;-50,"NM",(DQ40/DI40-1)*100)))</f>
        <v>-2.4839743589743501</v>
      </c>
      <c r="DS40" s="129">
        <v>124.6</v>
      </c>
      <c r="DT40" s="81">
        <f>IF(ISERROR((DS40/DK40-1)*100),"NA",IF(((DS40/DK40-1)*100)&gt;100,"NM",IF(((DS40/DK40-1)*100)&lt;-50,"NM",(DS40/DK40-1)*100)))</f>
        <v>-5.6775170325510942</v>
      </c>
      <c r="DU40" s="129">
        <v>120.8</v>
      </c>
      <c r="DV40" s="81">
        <f>IF(ISERROR((DU40/DM40-1)*100),"NA",IF(((DU40/DM40-1)*100)&gt;100,"NM",IF(((DU40/DM40-1)*100)&lt;-50,"NM",(DU40/DM40-1)*100)))</f>
        <v>-3.3600000000000074</v>
      </c>
      <c r="DW40" s="129">
        <v>119.8</v>
      </c>
      <c r="DX40" s="81">
        <f>IF(ISERROR((DW40/DO40-1)*100),"NA",IF(((DW40/DO40-1)*100)&gt;100,"NM",IF(((DW40/DO40-1)*100)&lt;-50,"NM",(DW40/DO40-1)*100)))</f>
        <v>-4.3130990415335528</v>
      </c>
      <c r="DY40" s="129">
        <v>120.1</v>
      </c>
      <c r="DZ40" s="81">
        <f>IF(ISERROR((DY40/DQ40-1)*100),"NA",IF(((DY40/DQ40-1)*100)&gt;100,"NM",IF(((DY40/DQ40-1)*100)&lt;-50,"NM",(DY40/DQ40-1)*100)))</f>
        <v>-1.3147082990961456</v>
      </c>
      <c r="EA40" s="129">
        <v>118.8</v>
      </c>
      <c r="EB40" s="81">
        <f>IF(ISERROR((EA40/DS40-1)*100),"NA",IF(((EA40/DS40-1)*100)&gt;100,"NM",IF(((EA40/DS40-1)*100)&lt;-50,"NM",(EA40/DS40-1)*100)))</f>
        <v>-4.6548956661316199</v>
      </c>
      <c r="EC40" s="129">
        <v>115.5</v>
      </c>
      <c r="ED40" s="81">
        <f t="shared" si="214"/>
        <v>-4.3874172185430442</v>
      </c>
      <c r="EE40" s="129">
        <v>118.1</v>
      </c>
      <c r="EF40" s="81">
        <f t="shared" si="215"/>
        <v>-1.4190317195325597</v>
      </c>
      <c r="EG40" s="129">
        <v>113.7</v>
      </c>
      <c r="EH40" s="81">
        <f t="shared" si="216"/>
        <v>-5.3288925895087385</v>
      </c>
      <c r="EI40" s="129">
        <v>113.2</v>
      </c>
      <c r="EJ40" s="81">
        <f t="shared" si="217"/>
        <v>-4.7138047138047146</v>
      </c>
      <c r="EK40" s="129">
        <f t="shared" ref="EK40:EK41" si="223">EI40*1.01</f>
        <v>114.33200000000001</v>
      </c>
      <c r="EL40" s="81">
        <f t="shared" si="219"/>
        <v>-1.0112554112554073</v>
      </c>
      <c r="EM40" s="129">
        <f t="shared" ref="EM40:EM41" si="224">EK40*1.01</f>
        <v>115.47532000000001</v>
      </c>
      <c r="EN40" s="81">
        <f t="shared" si="220"/>
        <v>-2.2224216765452831</v>
      </c>
      <c r="EO40" s="129">
        <f t="shared" ref="EO40:EO41" si="225">EM40*1.01</f>
        <v>116.63007320000001</v>
      </c>
      <c r="EP40" s="81">
        <f t="shared" si="221"/>
        <v>2.577021284080927</v>
      </c>
      <c r="EQ40" s="129">
        <f t="shared" ref="EQ40:EQ41" si="226">EO40*1.01</f>
        <v>117.79637393200001</v>
      </c>
      <c r="ER40" s="81">
        <f t="shared" si="222"/>
        <v>4.0604010000000024</v>
      </c>
      <c r="ES40" s="129"/>
      <c r="ET40" s="469"/>
      <c r="EU40" s="129"/>
      <c r="EV40" s="95"/>
      <c r="EW40" s="79"/>
      <c r="EX40" s="95"/>
      <c r="EY40" s="79"/>
      <c r="EZ40" s="131"/>
      <c r="FA40" s="79"/>
      <c r="FB40" s="35"/>
      <c r="FC40" s="79"/>
      <c r="FD40" s="129">
        <v>568.29999999999995</v>
      </c>
      <c r="FE40" s="79" t="str">
        <f>IF(ISERROR((FD40/FB40-1)*100),"NA",IF(((FD40/FB40-1)*100)&gt;100,"NM",IF(((FD40/FB40-1)*100)&lt;-50,"NM",(FD40/FB40-1)*100)))</f>
        <v>NA</v>
      </c>
      <c r="FF40" s="129">
        <v>609.70000000000005</v>
      </c>
      <c r="FG40" s="79">
        <f>IF(ISERROR((FF40/FD40-1)*100),"NA",IF(((FF40/FD40-1)*100)&gt;100,"NM",IF(((FF40/FD40-1)*100)&lt;-50,"NM",(FF40/FD40-1)*100)))</f>
        <v>7.2848847439732634</v>
      </c>
      <c r="FH40" s="129">
        <v>595.79999999999995</v>
      </c>
      <c r="FI40" s="79">
        <f>IF(ISERROR((FH40/FF40-1)*100),"NA",IF(((FH40/FF40-1)*100)&gt;100,"NM",IF(((FH40/FF40-1)*100)&lt;-50,"NM",(FH40/FF40-1)*100)))</f>
        <v>-2.2798097424963193</v>
      </c>
      <c r="FJ40" s="35">
        <f>+AQ40+AO40+AM40+AK40</f>
        <v>605.70000000000005</v>
      </c>
      <c r="FK40" s="79">
        <f>IF(ISERROR((FJ40/FH40-1)*100),"NA",IF(((FJ40/FH40-1)*100)&gt;100,"NM",IF(((FJ40/FH40-1)*100)&lt;-50,"NM",(FJ40/FH40-1)*100)))</f>
        <v>1.6616314199396021</v>
      </c>
      <c r="FL40" s="78">
        <f>AS40+AU40+AW40+AY40</f>
        <v>621.9</v>
      </c>
      <c r="FM40" s="79">
        <f>IF(ISERROR((FL40/FJ40-1)*100),"NA",IF(((FL40/FJ40-1)*100)&gt;100,"NM",IF(((FL40/FJ40-1)*100)&lt;-50,"NM",(FL40/FJ40-1)*100)))</f>
        <v>2.6745913818722045</v>
      </c>
      <c r="FN40" s="78">
        <f>BA40+BC40+BE40+BG40</f>
        <v>648.70000000000005</v>
      </c>
      <c r="FO40" s="79">
        <f>IF(ISERROR((FN40/FL40-1)*100),"NA",IF(((FN40/FL40-1)*100)&gt;100,"NM",IF(((FN40/FL40-1)*100)&lt;-50,"NM",(FN40/FL40-1)*100)))</f>
        <v>4.3093744975076564</v>
      </c>
      <c r="FP40" s="78">
        <f>BI40+BK40+BM40+BO40</f>
        <v>631.29999999999995</v>
      </c>
      <c r="FQ40" s="79">
        <f>IF(ISERROR((FP40/FN40-1)*100),"NA",IF(((FP40/FN40-1)*100)&gt;100,"NM",IF(((FP40/FN40-1)*100)&lt;-50,"NM",(FP40/FN40-1)*100)))</f>
        <v>-2.6822876522275441</v>
      </c>
      <c r="FR40" s="35">
        <f>BQ40+BS40+BU40+BW40</f>
        <v>629.40000000000009</v>
      </c>
      <c r="FS40" s="79">
        <f>IF(ISERROR((FR40/FP40-1)*100),"NA",IF(((FR40/FP40-1)*100)&gt;100,"NM",IF(((FR40/FP40-1)*100)&lt;-50,"NM",(FR40/FP40-1)*100)))</f>
        <v>-0.30096626009818994</v>
      </c>
      <c r="FT40" s="35">
        <f>BY40+CA40+CC40+CE40</f>
        <v>614.6</v>
      </c>
      <c r="FU40" s="79">
        <f>IF(ISERROR((FT40/FR40-1)*100),"NA",IF(((FT40/FR40-1)*100)&gt;100,"NM",IF(((FT40/FR40-1)*100)&lt;-50,"NM",(FT40/FR40-1)*100)))</f>
        <v>-2.3514458214172307</v>
      </c>
      <c r="FV40" s="35">
        <f>CG40+CI40+CK40+CM40</f>
        <v>605</v>
      </c>
      <c r="FW40" s="79">
        <f>IF(ISERROR((FV40/FT40-1)*100),"NA",IF(((FV40/FT40-1)*100)&gt;100,"NM",IF(((FV40/FT40-1)*100)&lt;-50,"NM",(FV40/FT40-1)*100)))</f>
        <v>-1.5619915392125039</v>
      </c>
      <c r="FX40" s="886">
        <v>575.6</v>
      </c>
      <c r="FY40" s="79">
        <f>IF(ISERROR((FX40/FV40-1)*100),"NA",IF(((FX40/FV40-1)*100)&gt;100,"NM",IF(((FX40/FV40-1)*100)&lt;-50,"NM",(FX40/FV40-1)*100)))</f>
        <v>-4.8595041322313959</v>
      </c>
      <c r="FZ40" s="93">
        <f>CW40+CY40+DA40+DC40</f>
        <v>547.4</v>
      </c>
      <c r="GA40" s="79">
        <f>IF(ISERROR((FZ40/FX40-1)*100),"NA",IF(((FZ40/FX40-1)*100)&gt;100,"NM",IF(((FZ40/FX40-1)*100)&lt;-50,"NM",(FZ40/FX40-1)*100)))</f>
        <v>-4.899235580264083</v>
      </c>
      <c r="GB40" s="93">
        <f>DE40+DG40+DI40+DK40</f>
        <v>515.9</v>
      </c>
      <c r="GC40" s="79">
        <f>IF(ISERROR((GB40/FZ40-1)*100),"NA",IF(((GB40/FZ40-1)*100)&gt;100,"NM",IF(((GB40/FZ40-1)*100)&lt;-50,"NM",(GB40/FZ40-1)*100)))</f>
        <v>-5.7544757033248128</v>
      </c>
      <c r="GD40" s="93">
        <f>DM40+DO40+DQ40+DS40</f>
        <v>496.5</v>
      </c>
      <c r="GE40" s="79">
        <f>IF(ISERROR((GD40/GB40-1)*100),"NA",IF(((GD40/GB40-1)*100)&gt;100,"NM",IF(((GD40/GB40-1)*100)&lt;-50,"NM",(GD40/GB40-1)*100)))</f>
        <v>-3.7604186857918109</v>
      </c>
      <c r="GF40" s="93">
        <f>DU40+DW40+DY40+EA40</f>
        <v>479.5</v>
      </c>
      <c r="GG40" s="79">
        <f>IF(ISERROR((GF40/GD40-1)*100),"NA",IF(((GF40/GD40-1)*100)&gt;100,"NM",IF(((GF40/GD40-1)*100)&lt;-50,"NM",(GF40/GD40-1)*100)))</f>
        <v>-3.423967774420944</v>
      </c>
      <c r="GH40" s="93">
        <f>EC40+EE40+EG40+EI40</f>
        <v>460.5</v>
      </c>
      <c r="GI40" s="79">
        <f>IF(ISERROR((GH40/GF40-1)*100),"NA",IF(((GH40/GF40-1)*100)&gt;100,"NM",IF(((GH40/GF40-1)*100)&lt;-50,"NM",(GH40/GF40-1)*100)))</f>
        <v>-3.9624608967674613</v>
      </c>
      <c r="GJ40" s="93">
        <f>EK40+EM40+EO40+EQ40</f>
        <v>464.23376713200003</v>
      </c>
      <c r="GK40" s="79">
        <f>IF(ISERROR((GJ40/GH40-1)*100),"NA",IF(((GJ40/GH40-1)*100)&gt;100,"NM",IF(((GJ40/GH40-1)*100)&lt;-50,"NM",(GJ40/GH40-1)*100)))</f>
        <v>0.81080719478827668</v>
      </c>
      <c r="GL40" s="129">
        <f>GJ40*1.02</f>
        <v>473.51844247464004</v>
      </c>
      <c r="GM40" s="79">
        <f>IF(ISERROR((GL40/GJ40-1)*100),"NA",IF(((GL40/GJ40-1)*100)&gt;100,"NM",IF(((GL40/GJ40-1)*100)&lt;-50,"NM",(GL40/GJ40-1)*100)))</f>
        <v>2.0000000000000018</v>
      </c>
      <c r="GN40" s="129">
        <f>GL40*1.02</f>
        <v>482.98881132413283</v>
      </c>
      <c r="GO40" s="79">
        <f>IF(ISERROR((GN40/GL40-1)*100),"NA",IF(((GN40/GL40-1)*100)&gt;100,"NM",IF(((GN40/GL40-1)*100)&lt;-50,"NM",(GN40/GL40-1)*100)))</f>
        <v>2.0000000000000018</v>
      </c>
      <c r="GP40" s="129">
        <f>GN40*1.02</f>
        <v>492.6485875506155</v>
      </c>
      <c r="GQ40" s="79">
        <f>IF(ISERROR((GP40/GN40-1)*100),"NA",IF(((GP40/GN40-1)*100)&gt;100,"NM",IF(((GP40/GN40-1)*100)&lt;-50,"NM",(GP40/GN40-1)*100)))</f>
        <v>2.0000000000000018</v>
      </c>
      <c r="GR40" s="129">
        <f>GP40*1.02</f>
        <v>502.50155930162782</v>
      </c>
      <c r="GS40" s="79">
        <f>IF(ISERROR((GR40/GP40-1)*100),"NA",IF(((GR40/GP40-1)*100)&gt;100,"NM",IF(((GR40/GP40-1)*100)&lt;-50,"NM",(GR40/GP40-1)*100)))</f>
        <v>2.0000000000000018</v>
      </c>
      <c r="GT40" s="79">
        <f>IF(ISERROR(((GR40/GH40)^0.2-1)*100),"NA",(IF(OR(((GR40/GH40)^0.2-1)*100&gt;99,((GR40/GH40)^0.2-1)*100&lt;-50),"NM",(((GR40/GH40)^0.2-1)*100))))</f>
        <v>1.7610444557998317</v>
      </c>
      <c r="GU40" s="562"/>
      <c r="GV40" s="562"/>
      <c r="GW40"/>
      <c r="GX40"/>
      <c r="GY40"/>
      <c r="GZ40"/>
      <c r="HA40"/>
      <c r="HB40"/>
      <c r="HC40" s="562"/>
      <c r="HD40" s="562"/>
      <c r="HE40" s="562"/>
      <c r="HF40" s="562"/>
      <c r="HG40" s="562"/>
      <c r="HH40" s="562"/>
      <c r="HI40" s="562"/>
      <c r="HJ40" s="562"/>
      <c r="HK40" s="562"/>
      <c r="HL40" s="562"/>
      <c r="HM40" s="562"/>
      <c r="HN40" s="562"/>
      <c r="HO40" s="562"/>
      <c r="HP40" s="562"/>
      <c r="HQ40" s="562"/>
      <c r="HR40" s="562"/>
      <c r="HS40" s="562"/>
      <c r="HT40" s="562"/>
      <c r="HU40" s="562"/>
      <c r="HV40" s="562"/>
      <c r="HW40" s="562"/>
      <c r="HX40" s="562"/>
      <c r="HY40" s="562"/>
      <c r="HZ40" s="562"/>
      <c r="IA40" s="562"/>
      <c r="IB40" s="562"/>
      <c r="IC40" s="562"/>
      <c r="ID40" s="562"/>
      <c r="IE40" s="562"/>
      <c r="IF40" s="562"/>
      <c r="IG40" s="562"/>
      <c r="IH40" s="562"/>
      <c r="II40" s="562"/>
      <c r="IJ40" s="562"/>
      <c r="IK40" s="562"/>
      <c r="IL40" s="562"/>
      <c r="IM40" s="562"/>
      <c r="IN40" s="562"/>
      <c r="IO40" s="562"/>
      <c r="IP40" s="562"/>
      <c r="IQ40" s="562"/>
      <c r="IR40" s="562"/>
      <c r="IS40" s="562"/>
      <c r="IT40" s="562"/>
      <c r="IU40" s="562"/>
      <c r="IV40" s="562"/>
      <c r="IW40" s="562"/>
      <c r="IX40" s="562"/>
      <c r="IY40" s="562"/>
      <c r="IZ40" s="562"/>
      <c r="JA40" s="562"/>
      <c r="JB40" s="562"/>
      <c r="JC40" s="562"/>
      <c r="JD40" s="562"/>
      <c r="JE40" s="562"/>
      <c r="JF40" s="562"/>
      <c r="JG40" s="562"/>
      <c r="JH40" s="562"/>
      <c r="JI40" s="562"/>
      <c r="JJ40" s="562"/>
      <c r="JK40" s="562"/>
      <c r="JL40" s="562"/>
      <c r="JM40" s="562"/>
      <c r="JN40" s="562"/>
      <c r="JO40" s="562"/>
      <c r="JP40" s="562"/>
      <c r="JQ40" s="562"/>
      <c r="JR40" s="562"/>
      <c r="JS40" s="562"/>
      <c r="JT40" s="562"/>
      <c r="JU40" s="562"/>
      <c r="JV40" s="562"/>
      <c r="JW40" s="562"/>
      <c r="JX40" s="562"/>
      <c r="JY40" s="562"/>
      <c r="JZ40" s="562"/>
    </row>
    <row r="41" spans="1:286" s="132" customFormat="1" ht="12.75" customHeight="1" x14ac:dyDescent="0.2">
      <c r="A41" s="133"/>
      <c r="B41" s="10" t="s">
        <v>407</v>
      </c>
      <c r="C41" s="79"/>
      <c r="D41" s="79"/>
      <c r="E41" s="129"/>
      <c r="F41" s="129"/>
      <c r="G41" s="95"/>
      <c r="H41" s="95"/>
      <c r="I41" s="95"/>
      <c r="J41" s="95"/>
      <c r="K41" s="95"/>
      <c r="L41" s="79"/>
      <c r="M41" s="129"/>
      <c r="N41" s="79"/>
      <c r="O41" s="129"/>
      <c r="P41" s="79"/>
      <c r="Q41" s="95"/>
      <c r="R41" s="79"/>
      <c r="S41" s="95"/>
      <c r="T41" s="79"/>
      <c r="U41" s="129"/>
      <c r="V41" s="79"/>
      <c r="W41" s="129"/>
      <c r="X41" s="79"/>
      <c r="Y41" s="95"/>
      <c r="Z41" s="79"/>
      <c r="AA41" s="126"/>
      <c r="AB41" s="79"/>
      <c r="AC41" s="129">
        <f>34.7-AE41</f>
        <v>17.000000000000004</v>
      </c>
      <c r="AD41" s="79" t="str">
        <f>IF(ISERROR((AC41/U41-1)*100),"NA",IF(((AC41/U41-1)*100)&gt;100,"NM",IF(((AC41/U41-1)*100)&lt;-50,"NM",(AC41/U41-1)*100)))</f>
        <v>NA</v>
      </c>
      <c r="AE41" s="129">
        <v>17.7</v>
      </c>
      <c r="AF41" s="79" t="str">
        <f>IF(ISERROR((AE41/W41-1)*100),"NA",IF(((AE41/W41-1)*100)&gt;100,"NM",IF(((AE41/W41-1)*100)&lt;-50,"NM",(AE41/W41-1)*100)))</f>
        <v>NA</v>
      </c>
      <c r="AG41" s="95">
        <v>17.7</v>
      </c>
      <c r="AH41" s="79" t="str">
        <f>IF(ISERROR((AG41/Y41-1)*100),"NA",IF(((AG41/Y41-1)*100)&gt;100,"NM",IF(((AG41/Y41-1)*100)&lt;-50,"NM",(AG41/Y41-1)*100)))</f>
        <v>NA</v>
      </c>
      <c r="AI41" s="127">
        <f>FH41-AG41-AE41-AC41</f>
        <v>17.199999999999985</v>
      </c>
      <c r="AJ41" s="79" t="str">
        <f>IF(ISERROR((AI41/AA41-1)*100),"NA",IF(((AI41/AA41-1)*100)&gt;100,"NM",IF(((AI41/AA41-1)*100)&lt;-50,"NM",(AI41/AA41-1)*100)))</f>
        <v>NA</v>
      </c>
      <c r="AK41" s="95">
        <f>38.8-AM41</f>
        <v>20.399999999999999</v>
      </c>
      <c r="AL41" s="79">
        <f>IF(ISERROR((AK41/AC41-1)*100),"NA",IF(((AK41/AC41-1)*100)&gt;100,"NM",IF(((AK41/AC41-1)*100)&lt;-50,"NM",(AK41/AC41-1)*100)))</f>
        <v>19.999999999999972</v>
      </c>
      <c r="AM41" s="95">
        <v>18.399999999999999</v>
      </c>
      <c r="AN41" s="79">
        <f>IF(ISERROR((AM41/AE41-1)*100),"NA",IF(((AM41/AE41-1)*100)&gt;100,"NM",IF(((AM41/AE41-1)*100)&lt;-50,"NM",(AM41/AE41-1)*100)))</f>
        <v>3.9548022598870025</v>
      </c>
      <c r="AO41" s="95">
        <f>20.2</f>
        <v>20.2</v>
      </c>
      <c r="AP41" s="79">
        <f>IF(ISERROR((AO41/AG41-1)*100),"NA",IF(((AO41/AG41-1)*100)&gt;100,"NM",IF(((AO41/AG41-1)*100)&lt;-50,"NM",(AO41/AG41-1)*100)))</f>
        <v>14.124293785310726</v>
      </c>
      <c r="AQ41" s="95">
        <v>21.3</v>
      </c>
      <c r="AR41" s="79">
        <f>IF(ISERROR((AQ41/AI41-1)*100),"NA",IF(((AQ41/AI41-1)*100)&gt;100,"NM",IF(((AQ41/AI41-1)*100)&lt;-50,"NM",(AQ41/AI41-1)*100)))</f>
        <v>23.837209302325689</v>
      </c>
      <c r="AS41" s="95">
        <v>19.5</v>
      </c>
      <c r="AT41" s="81">
        <f>IF(ISERROR((AS41/AK41-1)*100),"NA",IF(((AS41/AK41-1)*100)&gt;100,"NM",IF(((AS41/AK41-1)*100)&lt;-50,"NM",(AS41/AK41-1)*100)))</f>
        <v>-4.4117647058823479</v>
      </c>
      <c r="AU41" s="95">
        <v>21.5</v>
      </c>
      <c r="AV41" s="81">
        <f>IF(ISERROR((AU41/AM41-1)*100),"NA",IF(((AU41/AM41-1)*100)&gt;100,"NM",IF(((AU41/AM41-1)*100)&lt;-50,"NM",(AU41/AM41-1)*100)))</f>
        <v>16.847826086956541</v>
      </c>
      <c r="AW41" s="95">
        <v>20.7</v>
      </c>
      <c r="AX41" s="81">
        <f>IF(ISERROR((AW41/AO41-1)*100),"NA",IF(((AW41/AO41-1)*100)&gt;100,"NM",IF(((AW41/AO41-1)*100)&lt;-50,"NM",(AW41/AO41-1)*100)))</f>
        <v>2.4752475247524774</v>
      </c>
      <c r="AY41" s="95">
        <v>20.6</v>
      </c>
      <c r="AZ41" s="81">
        <f>IF(ISERROR((AY41/AQ41-1)*100),"NA",IF(((AY41/AQ41-1)*100)&gt;100,"NM",IF(((AY41/AQ41-1)*100)&lt;-50,"NM",(AY41/AQ41-1)*100)))</f>
        <v>-3.2863849765258135</v>
      </c>
      <c r="BA41" s="95">
        <f>24.7-0.1</f>
        <v>24.599999999999998</v>
      </c>
      <c r="BB41" s="81">
        <f>IF(ISERROR((BA41/AS41-1)*100),"NA",IF(((BA41/AS41-1)*100)&gt;100,"NM",IF(((BA41/AS41-1)*100)&lt;-50,"NM",(BA41/AS41-1)*100)))</f>
        <v>26.15384615384615</v>
      </c>
      <c r="BC41" s="95">
        <f>24.6+0.1</f>
        <v>24.700000000000003</v>
      </c>
      <c r="BD41" s="81">
        <f>IF(ISERROR((BC41/AU41-1)*100),"NA",IF(((BC41/AU41-1)*100)&gt;100,"NM",IF(((BC41/AU41-1)*100)&lt;-50,"NM",(BC41/AU41-1)*100)))</f>
        <v>14.883720930232581</v>
      </c>
      <c r="BE41" s="95">
        <v>24.4</v>
      </c>
      <c r="BF41" s="81">
        <f>IF(ISERROR((BE41/AW41-1)*100),"NA",IF(((BE41/AW41-1)*100)&gt;100,"NM",IF(((BE41/AW41-1)*100)&lt;-50,"NM",(BE41/AW41-1)*100)))</f>
        <v>17.874396135265691</v>
      </c>
      <c r="BG41" s="95">
        <f>26.5-0.1</f>
        <v>26.4</v>
      </c>
      <c r="BH41" s="81">
        <f>IF(ISERROR((BG41/AY41-1)*100),"NA",IF(((BG41/AY41-1)*100)&gt;100,"NM",IF(((BG41/AY41-1)*100)&lt;-50,"NM",(BG41/AY41-1)*100)))</f>
        <v>28.155339805825228</v>
      </c>
      <c r="BI41" s="95">
        <v>24.4</v>
      </c>
      <c r="BJ41" s="81">
        <f>IF(ISERROR((BI41/BA41-1)*100),"NA",IF(((BI41/BA41-1)*100)&gt;100,"NM",IF(((BI41/BA41-1)*100)&lt;-50,"NM",(BI41/BA41-1)*100)))</f>
        <v>-0.81300813008129413</v>
      </c>
      <c r="BK41" s="95">
        <v>25.3</v>
      </c>
      <c r="BL41" s="81">
        <f>IF(ISERROR((BK41/BC41-1)*100),"NA",IF(((BK41/BC41-1)*100)&gt;100,"NM",IF(((BK41/BC41-1)*100)&lt;-50,"NM",(BK41/BC41-1)*100)))</f>
        <v>2.4291497975708509</v>
      </c>
      <c r="BM41" s="95">
        <f>25.7-0.1</f>
        <v>25.599999999999998</v>
      </c>
      <c r="BN41" s="81">
        <f>IF(ISERROR((BM41/BE41-1)*100),"NA",IF(((BM41/BE41-1)*100)&gt;100,"NM",IF(((BM41/BE41-1)*100)&lt;-50,"NM",(BM41/BE41-1)*100)))</f>
        <v>4.9180327868852514</v>
      </c>
      <c r="BO41" s="95">
        <v>24.9</v>
      </c>
      <c r="BP41" s="81">
        <f>IF(ISERROR((BO41/BG41-1)*100),"NA",IF(((BO41/BG41-1)*100)&gt;100,"NM",IF(((BO41/BG41-1)*100)&lt;-50,"NM",(BO41/BG41-1)*100)))</f>
        <v>-5.6818181818181763</v>
      </c>
      <c r="BQ41" s="95">
        <v>23.4</v>
      </c>
      <c r="BR41" s="81">
        <f>IF(ISERROR((BQ41/BI41-1)*100),"NA",IF(((BQ41/BI41-1)*100)&gt;100,"NM",IF(((BQ41/BI41-1)*100)&lt;-50,"NM",(BQ41/BI41-1)*100)))</f>
        <v>-4.098360655737709</v>
      </c>
      <c r="BS41" s="95">
        <v>21.8</v>
      </c>
      <c r="BT41" s="81">
        <f>IF(ISERROR((BS41/BK41-1)*100),"NA",IF(((BS41/BK41-1)*100)&gt;100,"NM",IF(((BS41/BK41-1)*100)&lt;-50,"NM",(BS41/BK41-1)*100)))</f>
        <v>-13.833992094861658</v>
      </c>
      <c r="BU41" s="95">
        <v>21.9</v>
      </c>
      <c r="BV41" s="81">
        <f>IF(ISERROR((BU41/BM41-1)*100),"NA",IF(((BU41/BM41-1)*100)&gt;100,"NM",IF(((BU41/BM41-1)*100)&lt;-50,"NM",(BU41/BM41-1)*100)))</f>
        <v>-14.453125</v>
      </c>
      <c r="BW41" s="95">
        <v>21.8</v>
      </c>
      <c r="BX41" s="81">
        <f>IF(ISERROR((BW41/BO41-1)*100),"NA",IF(((BW41/BO41-1)*100)&gt;100,"NM",IF(((BW41/BO41-1)*100)&lt;-50,"NM",(BW41/BO41-1)*100)))</f>
        <v>-12.449799196787136</v>
      </c>
      <c r="BY41" s="95">
        <v>21.7</v>
      </c>
      <c r="BZ41" s="81">
        <f>IF(ISERROR((BY41/BQ41-1)*100),"NA",IF(((BY41/BQ41-1)*100)&gt;100,"NM",IF(((BY41/BQ41-1)*100)&lt;-50,"NM",(BY41/BQ41-1)*100)))</f>
        <v>-7.2649572649572614</v>
      </c>
      <c r="CA41" s="95">
        <v>21.6</v>
      </c>
      <c r="CB41" s="81">
        <f>IF(ISERROR((CA41/BS41-1)*100),"NA",IF(((CA41/BS41-1)*100)&gt;100,"NM",IF(((CA41/BS41-1)*100)&lt;-50,"NM",(CA41/BS41-1)*100)))</f>
        <v>-0.91743119266054496</v>
      </c>
      <c r="CC41" s="95">
        <v>21.5</v>
      </c>
      <c r="CD41" s="81">
        <f>IF(ISERROR((CC41/BU41-1)*100),"NA",IF(((CC41/BU41-1)*100)&gt;100,"NM",IF(((CC41/BU41-1)*100)&lt;-50,"NM",(CC41/BU41-1)*100)))</f>
        <v>-1.826484018264829</v>
      </c>
      <c r="CE41" s="95">
        <v>21.9</v>
      </c>
      <c r="CF41" s="81">
        <f>IF(ISERROR((CE41/BW41-1)*100),"NA",IF(((CE41/BW41-1)*100)&gt;100,"NM",IF(((CE41/BW41-1)*100)&lt;-50,"NM",(CE41/BW41-1)*100)))</f>
        <v>0.45871559633026138</v>
      </c>
      <c r="CG41" s="95">
        <v>22.2</v>
      </c>
      <c r="CH41" s="81">
        <f>IF(ISERROR((CG41/BY41-1)*100),"NA",IF(((CG41/BY41-1)*100)&gt;100,"NM",IF(((CG41/BY41-1)*100)&lt;-50,"NM",(CG41/BY41-1)*100)))</f>
        <v>2.3041474654377891</v>
      </c>
      <c r="CI41" s="95">
        <v>21.8</v>
      </c>
      <c r="CJ41" s="81">
        <f>IF(ISERROR((CI41/CA41-1)*100),"NA",IF(((CI41/CA41-1)*100)&gt;100,"NM",IF(((CI41/CA41-1)*100)&lt;-50,"NM",(CI41/CA41-1)*100)))</f>
        <v>0.92592592592593004</v>
      </c>
      <c r="CK41" s="95">
        <v>23.1</v>
      </c>
      <c r="CL41" s="81">
        <f>IF(ISERROR((CK41/CC41-1)*100),"NA",IF(((CK41/CC41-1)*100)&gt;100,"NM",IF(((CK41/CC41-1)*100)&lt;-50,"NM",(CK41/CC41-1)*100)))</f>
        <v>7.441860465116279</v>
      </c>
      <c r="CM41" s="95">
        <v>22.3</v>
      </c>
      <c r="CN41" s="81">
        <f>IF(ISERROR((CM41/CE41-1)*100),"NA",IF(((CM41/CE41-1)*100)&gt;100,"NM",IF(((CM41/CE41-1)*100)&lt;-50,"NM",(CM41/CE41-1)*100)))</f>
        <v>1.8264840182648401</v>
      </c>
      <c r="CO41" s="95">
        <v>23.5</v>
      </c>
      <c r="CP41" s="81">
        <f>IF(ISERROR((CO41/CG41-1)*100),"NA",IF(((CO41/CG41-1)*100)&gt;100,"NM",IF(((CO41/CG41-1)*100)&lt;-50,"NM",(CO41/CG41-1)*100)))</f>
        <v>5.8558558558558627</v>
      </c>
      <c r="CQ41" s="95">
        <v>23.1</v>
      </c>
      <c r="CR41" s="81">
        <f>IF(ISERROR((CQ41/CI41-1)*100),"NA",IF(((CQ41/CI41-1)*100)&gt;100,"NM",IF(((CQ41/CI41-1)*100)&lt;-50,"NM",(CQ41/CI41-1)*100)))</f>
        <v>5.9633027522935755</v>
      </c>
      <c r="CS41" s="95">
        <v>23.4</v>
      </c>
      <c r="CT41" s="81">
        <f>IF(ISERROR((CS41/CK41-1)*100),"NA",IF(((CS41/CK41-1)*100)&gt;100,"NM",IF(((CS41/CK41-1)*100)&lt;-50,"NM",(CS41/CK41-1)*100)))</f>
        <v>1.298701298701288</v>
      </c>
      <c r="CU41" s="95">
        <v>23.7</v>
      </c>
      <c r="CV41" s="81">
        <f>IF(ISERROR((CU41/CM41-1)*100),"NA",IF(((CU41/CM41-1)*100)&gt;100,"NM",IF(((CU41/CM41-1)*100)&lt;-50,"NM",(CU41/CM41-1)*100)))</f>
        <v>6.2780269058295923</v>
      </c>
      <c r="CW41" s="95">
        <v>27.8</v>
      </c>
      <c r="CX41" s="81">
        <f>IF(ISERROR((CW41/CO41-1)*100),"NA",IF(((CW41/CO41-1)*100)&gt;100,"NM",IF(((CW41/CO41-1)*100)&lt;-50,"NM",(CW41/CO41-1)*100)))</f>
        <v>18.297872340425524</v>
      </c>
      <c r="CY41" s="95">
        <v>22.7</v>
      </c>
      <c r="CZ41" s="81">
        <f>IF(ISERROR((CY41/CQ41-1)*100),"NA",IF(((CY41/CQ41-1)*100)&gt;100,"NM",IF(((CY41/CQ41-1)*100)&lt;-50,"NM",(CY41/CQ41-1)*100)))</f>
        <v>-1.7316017316017396</v>
      </c>
      <c r="DA41" s="95">
        <v>23.1</v>
      </c>
      <c r="DB41" s="81">
        <f>IF(ISERROR((DA41/CS41-1)*100),"NA",IF(((DA41/CS41-1)*100)&gt;100,"NM",IF(((DA41/CS41-1)*100)&lt;-50,"NM",(DA41/CS41-1)*100)))</f>
        <v>-1.2820512820512664</v>
      </c>
      <c r="DC41" s="95">
        <v>22</v>
      </c>
      <c r="DD41" s="81">
        <f>IF(ISERROR((DC41/CU41-1)*100),"NA",IF(((DC41/CU41-1)*100)&gt;100,"NM",IF(((DC41/CU41-1)*100)&lt;-50,"NM",(DC41/CU41-1)*100)))</f>
        <v>-7.1729957805907185</v>
      </c>
      <c r="DE41" s="95">
        <v>21.8</v>
      </c>
      <c r="DF41" s="81">
        <f>IF(ISERROR((DE41/CW41-1)*100),"NA",IF(((DE41/CW41-1)*100)&gt;100,"NM",IF(((DE41/CW41-1)*100)&lt;-50,"NM",(DE41/CW41-1)*100)))</f>
        <v>-21.582733812949641</v>
      </c>
      <c r="DG41" s="95">
        <v>22.9</v>
      </c>
      <c r="DH41" s="81">
        <f>IF(ISERROR((DG41/CY41-1)*100),"NA",IF(((DG41/CY41-1)*100)&gt;100,"NM",IF(((DG41/CY41-1)*100)&lt;-50,"NM",(DG41/CY41-1)*100)))</f>
        <v>0.88105726872247381</v>
      </c>
      <c r="DI41" s="95">
        <v>22.9</v>
      </c>
      <c r="DJ41" s="81">
        <f>IF(ISERROR((DI41/DA41-1)*100),"NA",IF(((DI41/DA41-1)*100)&gt;100,"NM",IF(((DI41/DA41-1)*100)&lt;-50,"NM",(DI41/DA41-1)*100)))</f>
        <v>-0.86580086580088089</v>
      </c>
      <c r="DK41" s="95">
        <v>23.4</v>
      </c>
      <c r="DL41" s="81">
        <f>IF(ISERROR((DK41/DC41-1)*100),"NA",IF(((DK41/DC41-1)*100)&gt;100,"NM",IF(((DK41/DC41-1)*100)&lt;-50,"NM",(DK41/DC41-1)*100)))</f>
        <v>6.3636363636363491</v>
      </c>
      <c r="DM41" s="95">
        <v>23.6</v>
      </c>
      <c r="DN41" s="81">
        <f>IF(ISERROR((DM41/DE41-1)*100),"NA",IF(((DM41/DE41-1)*100)&gt;100,"NM",IF(((DM41/DE41-1)*100)&lt;-50,"NM",(DM41/DE41-1)*100)))</f>
        <v>8.2568807339449499</v>
      </c>
      <c r="DO41" s="95">
        <v>24.8</v>
      </c>
      <c r="DP41" s="81">
        <f>IF(ISERROR((DO41/DG41-1)*100),"NA",IF(((DO41/DG41-1)*100)&gt;100,"NM",IF(((DO41/DG41-1)*100)&lt;-50,"NM",(DO41/DG41-1)*100)))</f>
        <v>8.2969432314410554</v>
      </c>
      <c r="DQ41" s="95">
        <v>21.6</v>
      </c>
      <c r="DR41" s="81">
        <f>IF(ISERROR((DQ41/DI41-1)*100),"NA",IF(((DQ41/DI41-1)*100)&gt;100,"NM",IF(((DQ41/DI41-1)*100)&lt;-50,"NM",(DQ41/DI41-1)*100)))</f>
        <v>-5.676855895196498</v>
      </c>
      <c r="DS41" s="95">
        <v>22.9</v>
      </c>
      <c r="DT41" s="81">
        <f>IF(ISERROR((DS41/DK41-1)*100),"NA",IF(((DS41/DK41-1)*100)&gt;100,"NM",IF(((DS41/DK41-1)*100)&lt;-50,"NM",(DS41/DK41-1)*100)))</f>
        <v>-2.1367521367521403</v>
      </c>
      <c r="DU41" s="95">
        <v>22.9</v>
      </c>
      <c r="DV41" s="81">
        <f>IF(ISERROR((DU41/DM41-1)*100),"NA",IF(((DU41/DM41-1)*100)&gt;100,"NM",IF(((DU41/DM41-1)*100)&lt;-50,"NM",(DU41/DM41-1)*100)))</f>
        <v>-2.9661016949152685</v>
      </c>
      <c r="DW41" s="95">
        <v>22.5</v>
      </c>
      <c r="DX41" s="81">
        <f>IF(ISERROR((DW41/DO41-1)*100),"NA",IF(((DW41/DO41-1)*100)&gt;100,"NM",IF(((DW41/DO41-1)*100)&lt;-50,"NM",(DW41/DO41-1)*100)))</f>
        <v>-9.2741935483870996</v>
      </c>
      <c r="DY41" s="95">
        <v>22.8</v>
      </c>
      <c r="DZ41" s="81">
        <f>IF(ISERROR((DY41/DQ41-1)*100),"NA",IF(((DY41/DQ41-1)*100)&gt;100,"NM",IF(((DY41/DQ41-1)*100)&lt;-50,"NM",(DY41/DQ41-1)*100)))</f>
        <v>5.555555555555558</v>
      </c>
      <c r="EA41" s="95">
        <v>22.9</v>
      </c>
      <c r="EB41" s="81">
        <f>IF(ISERROR((EA41/DS41-1)*100),"NA",IF(((EA41/DS41-1)*100)&gt;100,"NM",IF(((EA41/DS41-1)*100)&lt;-50,"NM",(EA41/DS41-1)*100)))</f>
        <v>0</v>
      </c>
      <c r="EC41" s="95">
        <v>24</v>
      </c>
      <c r="ED41" s="81">
        <f t="shared" si="214"/>
        <v>4.8034934497816595</v>
      </c>
      <c r="EE41" s="95">
        <v>25.6</v>
      </c>
      <c r="EF41" s="81">
        <f t="shared" si="215"/>
        <v>13.777777777777779</v>
      </c>
      <c r="EG41" s="95">
        <v>23.8</v>
      </c>
      <c r="EH41" s="81">
        <f t="shared" si="216"/>
        <v>4.3859649122806932</v>
      </c>
      <c r="EI41" s="95">
        <v>24.9</v>
      </c>
      <c r="EJ41" s="81">
        <f t="shared" si="217"/>
        <v>8.7336244541484689</v>
      </c>
      <c r="EK41" s="129">
        <f t="shared" si="223"/>
        <v>25.148999999999997</v>
      </c>
      <c r="EL41" s="81">
        <f t="shared" si="219"/>
        <v>4.787499999999989</v>
      </c>
      <c r="EM41" s="129">
        <f t="shared" si="224"/>
        <v>25.400489999999998</v>
      </c>
      <c r="EN41" s="81">
        <f t="shared" si="220"/>
        <v>-0.77933593750001418</v>
      </c>
      <c r="EO41" s="129">
        <f t="shared" si="225"/>
        <v>25.6544949</v>
      </c>
      <c r="EP41" s="81">
        <f t="shared" si="221"/>
        <v>7.7919953781512508</v>
      </c>
      <c r="EQ41" s="129">
        <f t="shared" si="226"/>
        <v>25.911039848999998</v>
      </c>
      <c r="ER41" s="81">
        <f t="shared" si="222"/>
        <v>4.0604010000000024</v>
      </c>
      <c r="ES41" s="129"/>
      <c r="ET41" s="469"/>
      <c r="EU41" s="129"/>
      <c r="EV41" s="95"/>
      <c r="EW41" s="79"/>
      <c r="EX41" s="95"/>
      <c r="EY41" s="79"/>
      <c r="EZ41" s="131"/>
      <c r="FA41" s="79"/>
      <c r="FB41" s="35"/>
      <c r="FC41" s="79"/>
      <c r="FD41" s="129">
        <v>33.9</v>
      </c>
      <c r="FE41" s="79" t="str">
        <f>IF(ISERROR((FD41/FB41-1)*100),"NA",IF(((FD41/FB41-1)*100)&gt;100,"NM",IF(((FD41/FB41-1)*100)&lt;-50,"NM",(FD41/FB41-1)*100)))</f>
        <v>NA</v>
      </c>
      <c r="FF41" s="129">
        <v>56.4</v>
      </c>
      <c r="FG41" s="79">
        <f>IF(ISERROR((FF41/FD41-1)*100),"NA",IF(((FF41/FD41-1)*100)&gt;100,"NM",IF(((FF41/FD41-1)*100)&lt;-50,"NM",(FF41/FD41-1)*100)))</f>
        <v>66.371681415929203</v>
      </c>
      <c r="FH41" s="129">
        <v>69.599999999999994</v>
      </c>
      <c r="FI41" s="79">
        <f>IF(ISERROR((FH41/FF41-1)*100),"NA",IF(((FH41/FF41-1)*100)&gt;100,"NM",IF(((FH41/FF41-1)*100)&lt;-50,"NM",(FH41/FF41-1)*100)))</f>
        <v>23.404255319148938</v>
      </c>
      <c r="FJ41" s="35">
        <f>+AQ41+AO41+AM41+AK41</f>
        <v>80.3</v>
      </c>
      <c r="FK41" s="79">
        <f>IF(ISERROR((FJ41/FH41-1)*100),"NA",IF(((FJ41/FH41-1)*100)&gt;100,"NM",IF(((FJ41/FH41-1)*100)&lt;-50,"NM",(FJ41/FH41-1)*100)))</f>
        <v>15.373563218390807</v>
      </c>
      <c r="FL41" s="78">
        <f>AS41+AU41+AW41+AY41</f>
        <v>82.300000000000011</v>
      </c>
      <c r="FM41" s="79">
        <f>IF(ISERROR((FL41/FJ41-1)*100),"NA",IF(((FL41/FJ41-1)*100)&gt;100,"NM",IF(((FL41/FJ41-1)*100)&lt;-50,"NM",(FL41/FJ41-1)*100)))</f>
        <v>2.4906600249066102</v>
      </c>
      <c r="FN41" s="78">
        <f>BA41+BC41+BE41+BG41</f>
        <v>100.1</v>
      </c>
      <c r="FO41" s="79">
        <f>IF(ISERROR((FN41/FL41-1)*100),"NA",IF(((FN41/FL41-1)*100)&gt;100,"NM",IF(((FN41/FL41-1)*100)&lt;-50,"NM",(FN41/FL41-1)*100)))</f>
        <v>21.628189550425247</v>
      </c>
      <c r="FP41" s="78">
        <f>BI41+BK41+BM41+BO41</f>
        <v>100.19999999999999</v>
      </c>
      <c r="FQ41" s="79">
        <f>IF(ISERROR((FP41/FN41-1)*100),"NA",IF(((FP41/FN41-1)*100)&gt;100,"NM",IF(((FP41/FN41-1)*100)&lt;-50,"NM",(FP41/FN41-1)*100)))</f>
        <v>9.9900099900085415E-2</v>
      </c>
      <c r="FR41" s="93">
        <f>BQ41+BS41+BU41+BW41</f>
        <v>88.899999999999991</v>
      </c>
      <c r="FS41" s="79">
        <f>IF(ISERROR((FR41/FP41-1)*100),"NA",IF(((FR41/FP41-1)*100)&gt;100,"NM",IF(((FR41/FP41-1)*100)&lt;-50,"NM",(FR41/FP41-1)*100)))</f>
        <v>-11.277445109780437</v>
      </c>
      <c r="FT41" s="93">
        <f>BY41+CA41+CC41+CE41</f>
        <v>86.699999999999989</v>
      </c>
      <c r="FU41" s="79">
        <f>IF(ISERROR((FT41/FR41-1)*100),"NA",IF(((FT41/FR41-1)*100)&gt;100,"NM",IF(((FT41/FR41-1)*100)&lt;-50,"NM",(FT41/FR41-1)*100)))</f>
        <v>-2.4746906636670452</v>
      </c>
      <c r="FV41" s="93">
        <f>CG41+CI41+CK41+CM41</f>
        <v>89.399999999999991</v>
      </c>
      <c r="FW41" s="79">
        <f>IF(ISERROR((FV41/FT41-1)*100),"NA",IF(((FV41/FT41-1)*100)&gt;100,"NM",IF(((FV41/FT41-1)*100)&lt;-50,"NM",(FV41/FT41-1)*100)))</f>
        <v>3.114186851211076</v>
      </c>
      <c r="FX41" s="93">
        <f>CO41+CQ41+CS41+CU41</f>
        <v>93.7</v>
      </c>
      <c r="FY41" s="79">
        <f>IF(ISERROR((FX41/FV41-1)*100),"NA",IF(((FX41/FV41-1)*100)&gt;100,"NM",IF(((FX41/FV41-1)*100)&lt;-50,"NM",(FX41/FV41-1)*100)))</f>
        <v>4.8098434004474333</v>
      </c>
      <c r="FZ41" s="93">
        <f>CW41+CY41+DA41+DC41</f>
        <v>95.6</v>
      </c>
      <c r="GA41" s="79">
        <f>IF(ISERROR((FZ41/FX41-1)*100),"NA",IF(((FZ41/FX41-1)*100)&gt;100,"NM",IF(((FZ41/FX41-1)*100)&lt;-50,"NM",(FZ41/FX41-1)*100)))</f>
        <v>2.0277481323372371</v>
      </c>
      <c r="GB41" s="93">
        <f>DE41+DG41+DI41+DK41</f>
        <v>91</v>
      </c>
      <c r="GC41" s="79">
        <f>IF(ISERROR((GB41/FZ41-1)*100),"NA",IF(((GB41/FZ41-1)*100)&gt;100,"NM",IF(((GB41/FZ41-1)*100)&lt;-50,"NM",(GB41/FZ41-1)*100)))</f>
        <v>-4.8117154811715412</v>
      </c>
      <c r="GD41" s="93">
        <f>DM41+DO41+DQ41+DS41</f>
        <v>92.9</v>
      </c>
      <c r="GE41" s="79">
        <f>IF(ISERROR((GD41/GB41-1)*100),"NA",IF(((GD41/GB41-1)*100)&gt;100,"NM",IF(((GD41/GB41-1)*100)&lt;-50,"NM",(GD41/GB41-1)*100)))</f>
        <v>2.0879120879121027</v>
      </c>
      <c r="GF41" s="93">
        <f>DU41+DW41+DY41+EA41</f>
        <v>91.1</v>
      </c>
      <c r="GG41" s="79">
        <f>IF(ISERROR((GF41/GD41-1)*100),"NA",IF(((GF41/GD41-1)*100)&gt;100,"NM",IF(((GF41/GD41-1)*100)&lt;-50,"NM",(GF41/GD41-1)*100)))</f>
        <v>-1.9375672766415608</v>
      </c>
      <c r="GH41" s="93">
        <f>EC41+EE41+EG41+EI41</f>
        <v>98.300000000000011</v>
      </c>
      <c r="GI41" s="79">
        <f>IF(ISERROR((GH41/GF41-1)*100),"NA",IF(((GH41/GF41-1)*100)&gt;100,"NM",IF(((GH41/GF41-1)*100)&lt;-50,"NM",(GH41/GF41-1)*100)))</f>
        <v>7.9034028540066137</v>
      </c>
      <c r="GJ41" s="93">
        <f>EK41+EM41+EO41+EQ41</f>
        <v>102.11502474899999</v>
      </c>
      <c r="GK41" s="79">
        <f>IF(ISERROR((GJ41/GH41-1)*100),"NA",IF(((GJ41/GH41-1)*100)&gt;100,"NM",IF(((GJ41/GH41-1)*100)&lt;-50,"NM",(GJ41/GH41-1)*100)))</f>
        <v>3.8810017792471729</v>
      </c>
      <c r="GL41" s="95">
        <f>GJ41*1.04</f>
        <v>106.19962573895999</v>
      </c>
      <c r="GM41" s="79">
        <f>IF(ISERROR((GL41/GJ41-1)*100),"NA",IF(((GL41/GJ41-1)*100)&gt;100,"NM",IF(((GL41/GJ41-1)*100)&lt;-50,"NM",(GL41/GJ41-1)*100)))</f>
        <v>4.0000000000000036</v>
      </c>
      <c r="GN41" s="95">
        <f>GL41*1.04</f>
        <v>110.4476107685184</v>
      </c>
      <c r="GO41" s="79">
        <f>IF(ISERROR((GN41/GL41-1)*100),"NA",IF(((GN41/GL41-1)*100)&gt;100,"NM",IF(((GN41/GL41-1)*100)&lt;-50,"NM",(GN41/GL41-1)*100)))</f>
        <v>4.0000000000000036</v>
      </c>
      <c r="GP41" s="95">
        <f>GN41*1.04</f>
        <v>114.86551519925914</v>
      </c>
      <c r="GQ41" s="79">
        <f>IF(ISERROR((GP41/GN41-1)*100),"NA",IF(((GP41/GN41-1)*100)&gt;100,"NM",IF(((GP41/GN41-1)*100)&lt;-50,"NM",(GP41/GN41-1)*100)))</f>
        <v>4.0000000000000036</v>
      </c>
      <c r="GR41" s="95">
        <f>GP41*1.04</f>
        <v>119.46013580722951</v>
      </c>
      <c r="GS41" s="79">
        <f>IF(ISERROR((GR41/GP41-1)*100),"NA",IF(((GR41/GP41-1)*100)&gt;100,"NM",IF(((GR41/GP41-1)*100)&lt;-50,"NM",(GR41/GP41-1)*100)))</f>
        <v>4.0000000000000036</v>
      </c>
      <c r="GT41" s="79">
        <f>IF(ISERROR(((GR41/GH41)^0.2-1)*100),"NA",(IF(OR(((GR41/GH41)^0.2-1)*100&gt;99,((GR41/GH41)^0.2-1)*100&lt;-50),"NM",(((GR41/GH41)^0.2-1)*100))))</f>
        <v>3.9761894556140875</v>
      </c>
      <c r="GU41" s="562"/>
      <c r="GV41" s="562"/>
      <c r="GW41"/>
      <c r="GX41"/>
      <c r="GY41"/>
      <c r="GZ41"/>
      <c r="HA41"/>
      <c r="HB41"/>
      <c r="HC41" s="562"/>
      <c r="HD41" s="562"/>
      <c r="HE41" s="562"/>
      <c r="HF41" s="562"/>
      <c r="HG41" s="562"/>
      <c r="HH41" s="562"/>
      <c r="HI41" s="562"/>
      <c r="HJ41" s="562"/>
      <c r="HK41" s="562"/>
      <c r="HL41" s="562"/>
      <c r="HM41" s="562"/>
      <c r="HN41" s="562"/>
      <c r="HO41" s="562"/>
      <c r="HP41" s="562"/>
      <c r="HQ41" s="562"/>
      <c r="HR41" s="562"/>
      <c r="HS41" s="562"/>
      <c r="HT41" s="562"/>
      <c r="HU41" s="562"/>
      <c r="HV41" s="562"/>
      <c r="HW41" s="562"/>
      <c r="HX41" s="562"/>
      <c r="HY41" s="562"/>
      <c r="HZ41" s="562"/>
      <c r="IA41" s="562"/>
      <c r="IB41" s="562"/>
      <c r="IC41" s="562"/>
      <c r="ID41" s="562"/>
      <c r="IE41" s="562"/>
      <c r="IF41" s="562"/>
      <c r="IG41" s="562"/>
      <c r="IH41" s="562"/>
      <c r="II41" s="562"/>
      <c r="IJ41" s="562"/>
      <c r="IK41" s="562"/>
      <c r="IL41" s="562"/>
      <c r="IM41" s="562"/>
      <c r="IN41" s="562"/>
      <c r="IO41" s="562"/>
      <c r="IP41" s="562"/>
      <c r="IQ41" s="562"/>
      <c r="IR41" s="562"/>
      <c r="IS41" s="562"/>
      <c r="IT41" s="562"/>
      <c r="IU41" s="562"/>
      <c r="IV41" s="562"/>
      <c r="IW41" s="562"/>
      <c r="IX41" s="562"/>
      <c r="IY41" s="562"/>
      <c r="IZ41" s="562"/>
      <c r="JA41" s="562"/>
      <c r="JB41" s="562"/>
      <c r="JC41" s="562"/>
      <c r="JD41" s="562"/>
      <c r="JE41" s="562"/>
      <c r="JF41" s="562"/>
      <c r="JG41" s="562"/>
      <c r="JH41" s="562"/>
      <c r="JI41" s="562"/>
      <c r="JJ41" s="562"/>
      <c r="JK41" s="562"/>
      <c r="JL41" s="562"/>
      <c r="JM41" s="562"/>
      <c r="JN41" s="562"/>
      <c r="JO41" s="562"/>
      <c r="JP41" s="562"/>
      <c r="JQ41" s="562"/>
      <c r="JR41" s="562"/>
      <c r="JS41" s="562"/>
      <c r="JT41" s="562"/>
      <c r="JU41" s="562"/>
      <c r="JV41" s="562"/>
      <c r="JW41" s="562"/>
      <c r="JX41" s="562"/>
      <c r="JY41" s="562"/>
      <c r="JZ41" s="562"/>
    </row>
    <row r="42" spans="1:286" s="143" customFormat="1" ht="12.75" customHeight="1" x14ac:dyDescent="0.2">
      <c r="A42" s="134"/>
      <c r="B42" s="83" t="s">
        <v>56</v>
      </c>
      <c r="C42" s="135"/>
      <c r="D42" s="135"/>
      <c r="E42" s="136"/>
      <c r="F42" s="136"/>
      <c r="G42" s="136"/>
      <c r="H42" s="136"/>
      <c r="I42" s="136"/>
      <c r="J42" s="136"/>
      <c r="K42" s="136"/>
      <c r="L42" s="79"/>
      <c r="M42" s="136"/>
      <c r="N42" s="79"/>
      <c r="O42" s="136"/>
      <c r="P42" s="79"/>
      <c r="Q42" s="136"/>
      <c r="R42" s="79"/>
      <c r="S42" s="136"/>
      <c r="T42" s="79"/>
      <c r="U42" s="136"/>
      <c r="V42" s="79"/>
      <c r="W42" s="136"/>
      <c r="X42" s="79"/>
      <c r="Y42" s="136"/>
      <c r="Z42" s="79"/>
      <c r="AA42" s="137"/>
      <c r="AB42" s="79"/>
      <c r="AC42" s="136">
        <f>SUM(AC39:AC41)</f>
        <v>826.5</v>
      </c>
      <c r="AD42" s="79" t="str">
        <f>IF(ISERROR((AC42/U42-1)*100),"NA",IF(((AC42/U42-1)*100)&gt;100,"NM",IF(((AC42/U42-1)*100)&lt;-50,"NM",(AC42/U42-1)*100)))</f>
        <v>NA</v>
      </c>
      <c r="AE42" s="136">
        <f>SUM(AE39:AE41)</f>
        <v>831</v>
      </c>
      <c r="AF42" s="79" t="str">
        <f>IF(ISERROR((AE42/W42-1)*100),"NA",IF(((AE42/W42-1)*100)&gt;100,"NM",IF(((AE42/W42-1)*100)&lt;-50,"NM",(AE42/W42-1)*100)))</f>
        <v>NA</v>
      </c>
      <c r="AG42" s="136">
        <f>SUM(AG39:AG41)</f>
        <v>823.10000000000014</v>
      </c>
      <c r="AH42" s="79" t="str">
        <f>IF(ISERROR((AG42/Y42-1)*100),"NA",IF(((AG42/Y42-1)*100)&gt;100,"NM",IF(((AG42/Y42-1)*100)&lt;-50,"NM",(AG42/Y42-1)*100)))</f>
        <v>NA</v>
      </c>
      <c r="AI42" s="136">
        <f>SUM(AI39:AI41)</f>
        <v>829.49999999999977</v>
      </c>
      <c r="AJ42" s="79" t="str">
        <f>IF(ISERROR((AI42/AA42-1)*100),"NA",IF(((AI42/AA42-1)*100)&gt;100,"NM",IF(((AI42/AA42-1)*100)&lt;-50,"NM",(AI42/AA42-1)*100)))</f>
        <v>NA</v>
      </c>
      <c r="AK42" s="136">
        <f>SUM(AK39:AK41)</f>
        <v>804.50000000000011</v>
      </c>
      <c r="AL42" s="79">
        <f>IF(ISERROR((AK42/AC42-1)*100),"NA",IF(((AK42/AC42-1)*100)&gt;100,"NM",IF(((AK42/AC42-1)*100)&lt;-50,"NM",(AK42/AC42-1)*100)))</f>
        <v>-2.661826981246207</v>
      </c>
      <c r="AM42" s="136">
        <f>SUM(AM39:AM41)</f>
        <v>807.99999999999989</v>
      </c>
      <c r="AN42" s="79">
        <f>IF(ISERROR((AM42/AE42-1)*100),"NA",IF(((AM42/AE42-1)*100)&gt;100,"NM",IF(((AM42/AE42-1)*100)&lt;-50,"NM",(AM42/AE42-1)*100)))</f>
        <v>-2.7677496991576511</v>
      </c>
      <c r="AO42" s="136">
        <f>SUM(AO39:AO41)</f>
        <v>798.1</v>
      </c>
      <c r="AP42" s="79">
        <f>IF(ISERROR((AO42/AG42-1)*100),"NA",IF(((AO42/AG42-1)*100)&gt;100,"NM",IF(((AO42/AG42-1)*100)&lt;-50,"NM",(AO42/AG42-1)*100)))</f>
        <v>-3.0372980196817001</v>
      </c>
      <c r="AQ42" s="136">
        <f>SUM(AQ39:AQ41)</f>
        <v>803.3</v>
      </c>
      <c r="AR42" s="79">
        <f>IF(ISERROR((AQ42/AI42-1)*100),"NA",IF(((AQ42/AI42-1)*100)&gt;100,"NM",IF(((AQ42/AI42-1)*100)&lt;-50,"NM",(AQ42/AI42-1)*100)))</f>
        <v>-3.1585292344785798</v>
      </c>
      <c r="AS42" s="136">
        <f>SUM(AS39:AS41)</f>
        <v>792.59999999999991</v>
      </c>
      <c r="AT42" s="81">
        <f>IF(ISERROR((AS42/AK42-1)*100),"NA",IF(((AS42/AK42-1)*100)&gt;100,"NM",IF(((AS42/AK42-1)*100)&lt;-50,"NM",(AS42/AK42-1)*100)))</f>
        <v>-1.4791796146675251</v>
      </c>
      <c r="AU42" s="136">
        <f>SUM(AU39:AU41)</f>
        <v>795</v>
      </c>
      <c r="AV42" s="81">
        <f>IF(ISERROR((AU42/AM42-1)*100),"NA",IF(((AU42/AM42-1)*100)&gt;100,"NM",IF(((AU42/AM42-1)*100)&lt;-50,"NM",(AU42/AM42-1)*100)))</f>
        <v>-1.6089108910890992</v>
      </c>
      <c r="AW42" s="136">
        <f>SUM(AW39:AW41)</f>
        <v>786.00000000000011</v>
      </c>
      <c r="AX42" s="81">
        <f>IF(ISERROR((AW42/AO42-1)*100),"NA",IF(((AW42/AO42-1)*100)&gt;100,"NM",IF(((AW42/AO42-1)*100)&lt;-50,"NM",(AW42/AO42-1)*100)))</f>
        <v>-1.5161007392557213</v>
      </c>
      <c r="AY42" s="136">
        <f>SUM(AY39:AY41)</f>
        <v>814.1</v>
      </c>
      <c r="AZ42" s="81">
        <f>IF(ISERROR((AY42/AQ42-1)*100),"NA",IF(((AY42/AQ42-1)*100)&gt;100,"NM",IF(((AY42/AQ42-1)*100)&lt;-50,"NM",(AY42/AQ42-1)*100)))</f>
        <v>1.3444541267272569</v>
      </c>
      <c r="BA42" s="136">
        <f>SUM(BA39:BA41)</f>
        <v>773.30000000000007</v>
      </c>
      <c r="BB42" s="81">
        <f>IF(ISERROR((BA42/AS42-1)*100),"NA",IF(((BA42/AS42-1)*100)&gt;100,"NM",IF(((BA42/AS42-1)*100)&lt;-50,"NM",(BA42/AS42-1)*100)))</f>
        <v>-2.4350239717385591</v>
      </c>
      <c r="BC42" s="136">
        <f>SUM(BC39:BC41)</f>
        <v>802.2</v>
      </c>
      <c r="BD42" s="81">
        <f>IF(ISERROR((BC42/AU42-1)*100),"NA",IF(((BC42/AU42-1)*100)&gt;100,"NM",IF(((BC42/AU42-1)*100)&lt;-50,"NM",(BC42/AU42-1)*100)))</f>
        <v>0.90566037735848592</v>
      </c>
      <c r="BE42" s="136">
        <f>SUM(BE39:BE41)</f>
        <v>780.99999999999989</v>
      </c>
      <c r="BF42" s="81">
        <f>IF(ISERROR((BE42/AW42-1)*100),"NA",IF(((BE42/AW42-1)*100)&gt;100,"NM",IF(((BE42/AW42-1)*100)&lt;-50,"NM",(BE42/AW42-1)*100)))</f>
        <v>-0.63613231552165361</v>
      </c>
      <c r="BG42" s="136">
        <f>SUM(BG39:BG41)</f>
        <v>773.6</v>
      </c>
      <c r="BH42" s="81">
        <f>IF(ISERROR((BG42/AY42-1)*100),"NA",IF(((BG42/AY42-1)*100)&gt;100,"NM",IF(((BG42/AY42-1)*100)&lt;-50,"NM",(BG42/AY42-1)*100)))</f>
        <v>-4.9748188183269875</v>
      </c>
      <c r="BI42" s="136">
        <f>SUM(BI39:BI41)</f>
        <v>749.6</v>
      </c>
      <c r="BJ42" s="81">
        <f>IF(ISERROR((BI42/BA42-1)*100),"NA",IF(((BI42/BA42-1)*100)&gt;100,"NM",IF(((BI42/BA42-1)*100)&lt;-50,"NM",(BI42/BA42-1)*100)))</f>
        <v>-3.0647872753135963</v>
      </c>
      <c r="BK42" s="136">
        <f>SUM(BK39:BK41)</f>
        <v>759.6</v>
      </c>
      <c r="BL42" s="81">
        <f>IF(ISERROR((BK42/BC42-1)*100),"NA",IF(((BK42/BC42-1)*100)&gt;100,"NM",IF(((BK42/BC42-1)*100)&lt;-50,"NM",(BK42/BC42-1)*100)))</f>
        <v>-5.3103964098728529</v>
      </c>
      <c r="BM42" s="136">
        <f>SUM(BM39:BM41)</f>
        <v>745.19999999999993</v>
      </c>
      <c r="BN42" s="81">
        <f>IF(ISERROR((BM42/BE42-1)*100),"NA",IF(((BM42/BE42-1)*100)&gt;100,"NM",IF(((BM42/BE42-1)*100)&lt;-50,"NM",(BM42/BE42-1)*100)))</f>
        <v>-4.5838668373879621</v>
      </c>
      <c r="BO42" s="136">
        <f>SUM(BO39:BO41)</f>
        <v>750.7</v>
      </c>
      <c r="BP42" s="81">
        <f>IF(ISERROR((BO42/BG42-1)*100),"NA",IF(((BO42/BG42-1)*100)&gt;100,"NM",IF(((BO42/BG42-1)*100)&lt;-50,"NM",(BO42/BG42-1)*100)))</f>
        <v>-2.9601861427094089</v>
      </c>
      <c r="BQ42" s="136">
        <f>SUM(BQ39:BQ41)</f>
        <v>725.6</v>
      </c>
      <c r="BR42" s="81">
        <f>IF(ISERROR((BQ42/BI42-1)*100),"NA",IF(((BQ42/BI42-1)*100)&gt;100,"NM",IF(((BQ42/BI42-1)*100)&lt;-50,"NM",(BQ42/BI42-1)*100)))</f>
        <v>-3.2017075773746018</v>
      </c>
      <c r="BS42" s="136">
        <f>SUM(BS39:BS41)</f>
        <v>724.4</v>
      </c>
      <c r="BT42" s="81">
        <f>IF(ISERROR((BS42/BK42-1)*100),"NA",IF(((BS42/BK42-1)*100)&gt;100,"NM",IF(((BS42/BK42-1)*100)&lt;-50,"NM",(BS42/BK42-1)*100)))</f>
        <v>-4.6340179041600926</v>
      </c>
      <c r="BU42" s="136">
        <f>SUM(BU39:BU41)</f>
        <v>716.6</v>
      </c>
      <c r="BV42" s="81">
        <f>IF(ISERROR((BU42/BM42-1)*100),"NA",IF(((BU42/BM42-1)*100)&gt;100,"NM",IF(((BU42/BM42-1)*100)&lt;-50,"NM",(BU42/BM42-1)*100)))</f>
        <v>-3.8378958668813579</v>
      </c>
      <c r="BW42" s="136">
        <f>SUM(BW39:BW41)</f>
        <v>711.4</v>
      </c>
      <c r="BX42" s="81">
        <f>IF(ISERROR((BW42/BO42-1)*100),"NA",IF(((BW42/BO42-1)*100)&gt;100,"NM",IF(((BW42/BO42-1)*100)&lt;-50,"NM",(BW42/BO42-1)*100)))</f>
        <v>-5.2351138936992285</v>
      </c>
      <c r="BY42" s="136">
        <f>SUM(BY39:BY41)</f>
        <v>694.8</v>
      </c>
      <c r="BZ42" s="81">
        <f>IF(ISERROR((BY42/BQ42-1)*100),"NA",IF(((BY42/BQ42-1)*100)&gt;100,"NM",IF(((BY42/BQ42-1)*100)&lt;-50,"NM",(BY42/BQ42-1)*100)))</f>
        <v>-4.2447629547960446</v>
      </c>
      <c r="CA42" s="136">
        <f>SUM(CA39:CA41)</f>
        <v>698.2</v>
      </c>
      <c r="CB42" s="81">
        <f>IF(ISERROR((CA42/BS42-1)*100),"NA",IF(((CA42/BS42-1)*100)&gt;100,"NM",IF(((CA42/BS42-1)*100)&lt;-50,"NM",(CA42/BS42-1)*100)))</f>
        <v>-3.6167863059083261</v>
      </c>
      <c r="CC42" s="136">
        <f>SUM(CC39:CC41)</f>
        <v>685.3</v>
      </c>
      <c r="CD42" s="81">
        <f>IF(ISERROR((CC42/BU42-1)*100),"NA",IF(((CC42/BU42-1)*100)&gt;100,"NM",IF(((CC42/BU42-1)*100)&lt;-50,"NM",(CC42/BU42-1)*100)))</f>
        <v>-4.3678481719229829</v>
      </c>
      <c r="CE42" s="136">
        <f>SUM(CE39:CE41)</f>
        <v>693.30000000000007</v>
      </c>
      <c r="CF42" s="81">
        <f>IF(ISERROR((CE42/BW42-1)*100),"NA",IF(((CE42/BW42-1)*100)&gt;100,"NM",IF(((CE42/BW42-1)*100)&lt;-50,"NM",(CE42/BW42-1)*100)))</f>
        <v>-2.544278886702267</v>
      </c>
      <c r="CG42" s="136">
        <f>SUM(CG39:CG41)</f>
        <v>677.90000000000009</v>
      </c>
      <c r="CH42" s="81">
        <f>IF(ISERROR((CG42/BY42-1)*100),"NA",IF(((CG42/BY42-1)*100)&gt;100,"NM",IF(((CG42/BY42-1)*100)&lt;-50,"NM",(CG42/BY42-1)*100)))</f>
        <v>-2.4323546344271585</v>
      </c>
      <c r="CI42" s="136">
        <f>SUM(CI39:CI41)</f>
        <v>682.69999999999993</v>
      </c>
      <c r="CJ42" s="81">
        <f>IF(ISERROR((CI42/CA42-1)*100),"NA",IF(((CI42/CA42-1)*100)&gt;100,"NM",IF(((CI42/CA42-1)*100)&lt;-50,"NM",(CI42/CA42-1)*100)))</f>
        <v>-2.2199942709825393</v>
      </c>
      <c r="CK42" s="136">
        <f>SUM(CK39:CK41)</f>
        <v>685</v>
      </c>
      <c r="CL42" s="81">
        <f>IF(ISERROR((CK42/CC42-1)*100),"NA",IF(((CK42/CC42-1)*100)&gt;100,"NM",IF(((CK42/CC42-1)*100)&lt;-50,"NM",(CK42/CC42-1)*100)))</f>
        <v>-4.377644827082694E-2</v>
      </c>
      <c r="CM42" s="136">
        <f>SUM(CM39:CM41)</f>
        <v>684.2</v>
      </c>
      <c r="CN42" s="81">
        <f>IF(ISERROR((CM42/CE42-1)*100),"NA",IF(((CM42/CE42-1)*100)&gt;100,"NM",IF(((CM42/CE42-1)*100)&lt;-50,"NM",(CM42/CE42-1)*100)))</f>
        <v>-1.31256310399539</v>
      </c>
      <c r="CO42" s="136">
        <f>SUM(CO39:CO41)</f>
        <v>684.1</v>
      </c>
      <c r="CP42" s="81">
        <f>IF(ISERROR((CO42/CG42-1)*100),"NA",IF(((CO42/CG42-1)*100)&gt;100,"NM",IF(((CO42/CG42-1)*100)&lt;-50,"NM",(CO42/CG42-1)*100)))</f>
        <v>0.91458917244431337</v>
      </c>
      <c r="CQ42" s="136">
        <f>SUM(CQ39:CQ41)</f>
        <v>681.1</v>
      </c>
      <c r="CR42" s="81">
        <f>IF(ISERROR((CQ42/CI42-1)*100),"NA",IF(((CQ42/CI42-1)*100)&gt;100,"NM",IF(((CQ42/CI42-1)*100)&lt;-50,"NM",(CQ42/CI42-1)*100)))</f>
        <v>-0.23436355646695439</v>
      </c>
      <c r="CS42" s="136">
        <f>SUM(CS39:CS41)</f>
        <v>678.8</v>
      </c>
      <c r="CT42" s="81">
        <f>IF(ISERROR((CS42/CK42-1)*100),"NA",IF(((CS42/CK42-1)*100)&gt;100,"NM",IF(((CS42/CK42-1)*100)&lt;-50,"NM",(CS42/CK42-1)*100)))</f>
        <v>-0.90510948905110356</v>
      </c>
      <c r="CU42" s="136">
        <f>SUM(CU39:CU41)</f>
        <v>682.1</v>
      </c>
      <c r="CV42" s="81">
        <f>IF(ISERROR((CU42/CM42-1)*100),"NA",IF(((CU42/CM42-1)*100)&gt;100,"NM",IF(((CU42/CM42-1)*100)&lt;-50,"NM",(CU42/CM42-1)*100)))</f>
        <v>-0.30692779888921162</v>
      </c>
      <c r="CW42" s="136">
        <f>SUM(CW39:CW41)</f>
        <v>692.3</v>
      </c>
      <c r="CX42" s="81">
        <f>IF(ISERROR((CW42/CO42-1)*100),"NA",IF(((CW42/CO42-1)*100)&gt;100,"NM",IF(((CW42/CO42-1)*100)&lt;-50,"NM",(CW42/CO42-1)*100)))</f>
        <v>1.198655167373186</v>
      </c>
      <c r="CY42" s="136">
        <f>SUM(CY39:CY41)</f>
        <v>683.3</v>
      </c>
      <c r="CZ42" s="81">
        <f>IF(ISERROR((CY42/CQ42-1)*100),"NA",IF(((CY42/CQ42-1)*100)&gt;100,"NM",IF(((CY42/CQ42-1)*100)&lt;-50,"NM",(CY42/CQ42-1)*100)))</f>
        <v>0.32300690060196313</v>
      </c>
      <c r="DA42" s="136">
        <f>SUM(DA39:DA41)</f>
        <v>673.9</v>
      </c>
      <c r="DB42" s="81">
        <f>IF(ISERROR((DA42/CS42-1)*100),"NA",IF(((DA42/CS42-1)*100)&gt;100,"NM",IF(((DA42/CS42-1)*100)&lt;-50,"NM",(DA42/CS42-1)*100)))</f>
        <v>-0.72186210960518693</v>
      </c>
      <c r="DC42" s="136">
        <f>SUM(DC39:DC41)</f>
        <v>667</v>
      </c>
      <c r="DD42" s="81">
        <f>IF(ISERROR((DC42/CU42-1)*100),"NA",IF(((DC42/CU42-1)*100)&gt;100,"NM",IF(((DC42/CU42-1)*100)&lt;-50,"NM",(DC42/CU42-1)*100)))</f>
        <v>-2.2137516493182852</v>
      </c>
      <c r="DE42" s="136">
        <f>SUM(DE39:DE41)</f>
        <v>674.09999999999991</v>
      </c>
      <c r="DF42" s="81">
        <f>IF(ISERROR((DE42/CW42-1)*100),"NA",IF(((DE42/CW42-1)*100)&gt;100,"NM",IF(((DE42/CW42-1)*100)&lt;-50,"NM",(DE42/CW42-1)*100)))</f>
        <v>-2.6289180990899941</v>
      </c>
      <c r="DG42" s="136">
        <f>SUM(DG39:DG41)</f>
        <v>674.4</v>
      </c>
      <c r="DH42" s="81">
        <f>IF(ISERROR((DG42/CY42-1)*100),"NA",IF(((DG42/CY42-1)*100)&gt;100,"NM",IF(((DG42/CY42-1)*100)&lt;-50,"NM",(DG42/CY42-1)*100)))</f>
        <v>-1.3025025611005381</v>
      </c>
      <c r="DI42" s="136">
        <f>SUM(DI39:DI41)</f>
        <v>673.69999999999993</v>
      </c>
      <c r="DJ42" s="81">
        <f>IF(ISERROR((DI42/DA42-1)*100),"NA",IF(((DI42/DA42-1)*100)&gt;100,"NM",IF(((DI42/DA42-1)*100)&lt;-50,"NM",(DI42/DA42-1)*100)))</f>
        <v>-2.9677993767629474E-2</v>
      </c>
      <c r="DK42" s="136">
        <f>SUM(DK39:DK41)</f>
        <v>696.3</v>
      </c>
      <c r="DL42" s="81">
        <f>IF(ISERROR((DK42/DC42-1)*100),"NA",IF(((DK42/DC42-1)*100)&gt;100,"NM",IF(((DK42/DC42-1)*100)&lt;-50,"NM",(DK42/DC42-1)*100)))</f>
        <v>4.3928035982008895</v>
      </c>
      <c r="DM42" s="136">
        <f>SUM(DM39:DM41)</f>
        <v>701.6</v>
      </c>
      <c r="DN42" s="81">
        <f>IF(ISERROR((DM42/DE42-1)*100),"NA",IF(((DM42/DE42-1)*100)&gt;100,"NM",IF(((DM42/DE42-1)*100)&lt;-50,"NM",(DM42/DE42-1)*100)))</f>
        <v>4.0795134253078347</v>
      </c>
      <c r="DO42" s="136">
        <f>SUM(DO39:DO41)</f>
        <v>711</v>
      </c>
      <c r="DP42" s="81">
        <f>IF(ISERROR((DO42/DG42-1)*100),"NA",IF(((DO42/DG42-1)*100)&gt;100,"NM",IF(((DO42/DG42-1)*100)&lt;-50,"NM",(DO42/DG42-1)*100)))</f>
        <v>5.4270462633452032</v>
      </c>
      <c r="DQ42" s="136">
        <f>SUM(DQ39:DQ41)</f>
        <v>710.80000000000007</v>
      </c>
      <c r="DR42" s="81">
        <f>IF(ISERROR((DQ42/DI42-1)*100),"NA",IF(((DQ42/DI42-1)*100)&gt;100,"NM",IF(((DQ42/DI42-1)*100)&lt;-50,"NM",(DQ42/DI42-1)*100)))</f>
        <v>5.5069021819801334</v>
      </c>
      <c r="DS42" s="136">
        <f>SUM(DS39:DS41)</f>
        <v>718.1</v>
      </c>
      <c r="DT42" s="81">
        <f>IF(ISERROR((DS42/DK42-1)*100),"NA",IF(((DS42/DK42-1)*100)&gt;100,"NM",IF(((DS42/DK42-1)*100)&lt;-50,"NM",(DS42/DK42-1)*100)))</f>
        <v>3.1308344104552743</v>
      </c>
      <c r="DU42" s="136">
        <f>SUM(DU39:DU41)</f>
        <v>731.8</v>
      </c>
      <c r="DV42" s="81">
        <f>IF(ISERROR((DU42/DM42-1)*100),"NA",IF(((DU42/DM42-1)*100)&gt;100,"NM",IF(((DU42/DM42-1)*100)&lt;-50,"NM",(DU42/DM42-1)*100)))</f>
        <v>4.3044469783352302</v>
      </c>
      <c r="DW42" s="136">
        <f>SUM(DW39:DW41)</f>
        <v>731.4</v>
      </c>
      <c r="DX42" s="81">
        <f>IF(ISERROR((DW42/DO42-1)*100),"NA",IF(((DW42/DO42-1)*100)&gt;100,"NM",IF(((DW42/DO42-1)*100)&lt;-50,"NM",(DW42/DO42-1)*100)))</f>
        <v>2.8691983122362874</v>
      </c>
      <c r="DY42" s="136">
        <f>SUM(DY39:DY41)</f>
        <v>726.5</v>
      </c>
      <c r="DZ42" s="81">
        <f>IF(ISERROR((DY42/DQ42-1)*100),"NA",IF(((DY42/DQ42-1)*100)&gt;100,"NM",IF(((DY42/DQ42-1)*100)&lt;-50,"NM",(DY42/DQ42-1)*100)))</f>
        <v>2.2087788407428199</v>
      </c>
      <c r="EA42" s="136">
        <f>SUM(EA39:EA41)</f>
        <v>733.59999999999991</v>
      </c>
      <c r="EB42" s="81">
        <f>IF(ISERROR((EA42/DS42-1)*100),"NA",IF(((EA42/DS42-1)*100)&gt;100,"NM",IF(((EA42/DS42-1)*100)&lt;-50,"NM",(EA42/DS42-1)*100)))</f>
        <v>2.1584737501740614</v>
      </c>
      <c r="EC42" s="136">
        <f>SUM(EC39:EC41)</f>
        <v>731.8</v>
      </c>
      <c r="ED42" s="81">
        <f t="shared" si="214"/>
        <v>0</v>
      </c>
      <c r="EE42" s="136">
        <f t="shared" ref="EE42:EG42" si="227">SUM(EE39:EE41)</f>
        <v>739.7</v>
      </c>
      <c r="EF42" s="81">
        <f t="shared" si="215"/>
        <v>1.1348099535138267</v>
      </c>
      <c r="EG42" s="136">
        <f t="shared" si="227"/>
        <v>733.8</v>
      </c>
      <c r="EH42" s="81">
        <f t="shared" si="216"/>
        <v>1.0048176187198887</v>
      </c>
      <c r="EI42" s="136">
        <f t="shared" ref="EI42" si="228">SUM(EI39:EI41)</f>
        <v>742.9</v>
      </c>
      <c r="EJ42" s="81">
        <f t="shared" si="217"/>
        <v>1.2677208287895425</v>
      </c>
      <c r="EK42" s="136">
        <f t="shared" ref="EK42:EQ42" si="229">SUM(EK39:EK41)</f>
        <v>768.47688499999992</v>
      </c>
      <c r="EL42" s="81">
        <f t="shared" si="219"/>
        <v>5.0118727794479234</v>
      </c>
      <c r="EM42" s="136">
        <f t="shared" si="229"/>
        <v>773.05562379949993</v>
      </c>
      <c r="EN42" s="81">
        <f t="shared" si="220"/>
        <v>4.5093448424361027</v>
      </c>
      <c r="EO42" s="136">
        <f t="shared" si="229"/>
        <v>772.57702872757557</v>
      </c>
      <c r="EP42" s="81">
        <f t="shared" si="221"/>
        <v>5.2844138358647541</v>
      </c>
      <c r="EQ42" s="136">
        <f t="shared" si="229"/>
        <v>772.77496519211661</v>
      </c>
      <c r="ER42" s="81">
        <f t="shared" si="222"/>
        <v>4.0213979259815069</v>
      </c>
      <c r="ES42" s="138"/>
      <c r="ET42" s="470"/>
      <c r="EU42" s="138"/>
      <c r="EV42" s="139"/>
      <c r="EW42" s="140"/>
      <c r="EX42" s="139"/>
      <c r="EY42" s="79"/>
      <c r="EZ42" s="141"/>
      <c r="FA42" s="79"/>
      <c r="FB42" s="142"/>
      <c r="FC42" s="79"/>
      <c r="FD42" s="142">
        <f>SUM(FD39:FD41)</f>
        <v>3150.0000000000005</v>
      </c>
      <c r="FE42" s="79" t="str">
        <f>IF(ISERROR((FD42/FB42-1)*100),"NA",IF(((FD42/FB42-1)*100)&gt;100,"NM",IF(((FD42/FB42-1)*100)&lt;-50,"NM",(FD42/FB42-1)*100)))</f>
        <v>NA</v>
      </c>
      <c r="FF42" s="142">
        <f>SUM(FF39:FF41)</f>
        <v>3328.7000000000003</v>
      </c>
      <c r="FG42" s="79">
        <f>IF(ISERROR((FF42/FD42-1)*100),"NA",IF(((FF42/FD42-1)*100)&gt;100,"NM",IF(((FF42/FD42-1)*100)&lt;-50,"NM",(FF42/FD42-1)*100)))</f>
        <v>5.6730158730158742</v>
      </c>
      <c r="FH42" s="142">
        <f>SUM(FH39:FH41)</f>
        <v>3310.1</v>
      </c>
      <c r="FI42" s="79">
        <f>IF(ISERROR((FH42/FF42-1)*100),"NA",IF(((FH42/FF42-1)*100)&gt;100,"NM",IF(((FH42/FF42-1)*100)&lt;-50,"NM",(FH42/FF42-1)*100)))</f>
        <v>-0.55877669961247323</v>
      </c>
      <c r="FJ42" s="142">
        <f>SUM(FJ39:FJ41)</f>
        <v>3213.9000000000005</v>
      </c>
      <c r="FK42" s="79">
        <f>IF(ISERROR((FJ42/FH42-1)*100),"NA",IF(((FJ42/FH42-1)*100)&gt;100,"NM",IF(((FJ42/FH42-1)*100)&lt;-50,"NM",(FJ42/FH42-1)*100)))</f>
        <v>-2.9062566085616526</v>
      </c>
      <c r="FL42" s="136">
        <f>SUM(FL39:FL41)</f>
        <v>3187.7000000000003</v>
      </c>
      <c r="FM42" s="79">
        <f>IF(ISERROR((FL42/FJ42-1)*100),"NA",IF(((FL42/FJ42-1)*100)&gt;100,"NM",IF(((FL42/FJ42-1)*100)&lt;-50,"NM",(FL42/FJ42-1)*100)))</f>
        <v>-0.81520893618346468</v>
      </c>
      <c r="FN42" s="136">
        <f>SUM(FN39:FN41)</f>
        <v>3130.1</v>
      </c>
      <c r="FO42" s="79">
        <f>IF(ISERROR((FN42/FL42-1)*100),"NA",IF(((FN42/FL42-1)*100)&gt;100,"NM",IF(((FN42/FL42-1)*100)&lt;-50,"NM",(FN42/FL42-1)*100)))</f>
        <v>-1.8069454465602264</v>
      </c>
      <c r="FP42" s="136">
        <f>SUM(FP39:FP41)</f>
        <v>3005.1000000000004</v>
      </c>
      <c r="FQ42" s="79">
        <f>IF(ISERROR((FP42/FN42-1)*100),"NA",IF(((FP42/FN42-1)*100)&gt;100,"NM",IF(((FP42/FN42-1)*100)&lt;-50,"NM",(FP42/FN42-1)*100)))</f>
        <v>-3.9934826363374865</v>
      </c>
      <c r="FR42" s="136">
        <f>SUM(FR39:FR41)</f>
        <v>2878</v>
      </c>
      <c r="FS42" s="79">
        <f>IF(ISERROR((FR42/FP42-1)*100),"NA",IF(((FR42/FP42-1)*100)&gt;100,"NM",IF(((FR42/FP42-1)*100)&lt;-50,"NM",(FR42/FP42-1)*100)))</f>
        <v>-4.229476556520595</v>
      </c>
      <c r="FT42" s="136">
        <f>SUM(FT39:FT41)</f>
        <v>2771.6</v>
      </c>
      <c r="FU42" s="79">
        <f>IF(ISERROR((FT42/FR42-1)*100),"NA",IF(((FT42/FR42-1)*100)&gt;100,"NM",IF(((FT42/FR42-1)*100)&lt;-50,"NM",(FT42/FR42-1)*100)))</f>
        <v>-3.6970118137595542</v>
      </c>
      <c r="FV42" s="136">
        <f>SUM(FV39:FV41)</f>
        <v>2729.8</v>
      </c>
      <c r="FW42" s="79">
        <f>IF(ISERROR((FV42/FT42-1)*100),"NA",IF(((FV42/FT42-1)*100)&gt;100,"NM",IF(((FV42/FT42-1)*100)&lt;-50,"NM",(FV42/FT42-1)*100)))</f>
        <v>-1.5081541347957805</v>
      </c>
      <c r="FX42" s="136">
        <f>SUM(FX39:FX41)</f>
        <v>2724.7999999999997</v>
      </c>
      <c r="FY42" s="79">
        <f>IF(ISERROR((FX42/FV42-1)*100),"NA",IF(((FX42/FV42-1)*100)&gt;100,"NM",IF(((FX42/FV42-1)*100)&lt;-50,"NM",(FX42/FV42-1)*100)))</f>
        <v>-0.18316360172908608</v>
      </c>
      <c r="FZ42" s="136">
        <f>SUM(FZ39:FZ41)</f>
        <v>2716.5</v>
      </c>
      <c r="GA42" s="79">
        <f>IF(ISERROR((FZ42/FX42-1)*100),"NA",IF(((FZ42/FX42-1)*100)&gt;100,"NM",IF(((FZ42/FX42-1)*100)&lt;-50,"NM",(FZ42/FX42-1)*100)))</f>
        <v>-0.30460951262476499</v>
      </c>
      <c r="GB42" s="136">
        <f>SUM(GB39:GB41)</f>
        <v>2718.5</v>
      </c>
      <c r="GC42" s="79">
        <f>IF(ISERROR((GB42/FZ42-1)*100),"NA",IF(((GB42/FZ42-1)*100)&gt;100,"NM",IF(((GB42/FZ42-1)*100)&lt;-50,"NM",(GB42/FZ42-1)*100)))</f>
        <v>7.3624148720785598E-2</v>
      </c>
      <c r="GD42" s="136">
        <f>SUM(GD39:GD41)</f>
        <v>2841.5</v>
      </c>
      <c r="GE42" s="79">
        <f>IF(ISERROR((GD42/GB42-1)*100),"NA",IF(((GD42/GB42-1)*100)&gt;100,"NM",IF(((GD42/GB42-1)*100)&lt;-50,"NM",(GD42/GB42-1)*100)))</f>
        <v>4.5245539819753544</v>
      </c>
      <c r="GF42" s="136">
        <f>SUM(GF39:GF41)</f>
        <v>2923.3</v>
      </c>
      <c r="GG42" s="79">
        <f>IF(ISERROR((GF42/GD42-1)*100),"NA",IF(((GF42/GD42-1)*100)&gt;100,"NM",IF(((GF42/GD42-1)*100)&lt;-50,"NM",(GF42/GD42-1)*100)))</f>
        <v>2.8787612176667254</v>
      </c>
      <c r="GH42" s="136">
        <f>SUM(GH39:GH41)</f>
        <v>2948.2</v>
      </c>
      <c r="GI42" s="79">
        <f>IF(ISERROR((GH42/GF42-1)*100),"NA",IF(((GH42/GF42-1)*100)&gt;100,"NM",IF(((GH42/GF42-1)*100)&lt;-50,"NM",(GH42/GF42-1)*100)))</f>
        <v>0.8517771012212183</v>
      </c>
      <c r="GJ42" s="136">
        <f>SUM(GJ39:GJ41)</f>
        <v>3086.8845027191924</v>
      </c>
      <c r="GK42" s="79">
        <f>IF(ISERROR((GJ42/GH42-1)*100),"NA",IF(((GJ42/GH42-1)*100)&gt;100,"NM",IF(((GJ42/GH42-1)*100)&lt;-50,"NM",(GJ42/GH42-1)*100)))</f>
        <v>4.7040398453019661</v>
      </c>
      <c r="GL42" s="136">
        <f>SUM(GL39:GL41)</f>
        <v>3207.0626622907685</v>
      </c>
      <c r="GM42" s="79">
        <f>IF(ISERROR((GL42/GJ42-1)*100),"NA",IF(((GL42/GJ42-1)*100)&gt;100,"NM",IF(((GL42/GJ42-1)*100)&lt;-50,"NM",(GL42/GJ42-1)*100)))</f>
        <v>3.8931861385067323</v>
      </c>
      <c r="GN42" s="136">
        <f>SUM(GN39:GN41)</f>
        <v>3335.4391115036087</v>
      </c>
      <c r="GO42" s="79">
        <f>IF(ISERROR((GN42/GL42-1)*100),"NA",IF(((GN42/GL42-1)*100)&gt;100,"NM",IF(((GN42/GL42-1)*100)&lt;-50,"NM",(GN42/GL42-1)*100)))</f>
        <v>4.0029292449540899</v>
      </c>
      <c r="GP42" s="136">
        <f>SUM(GP39:GP41)</f>
        <v>3472.0890574084001</v>
      </c>
      <c r="GQ42" s="79">
        <f>IF(ISERROR((GP42/GN42-1)*100),"NA",IF(((GP42/GN42-1)*100)&gt;100,"NM",IF(((GP42/GN42-1)*100)&lt;-50,"NM",(GP42/GN42-1)*100)))</f>
        <v>4.0969102219104769</v>
      </c>
      <c r="GR42" s="136">
        <f>SUM(GR39:GR41)</f>
        <v>3617.1340439253395</v>
      </c>
      <c r="GS42" s="79">
        <f>IF(ISERROR((GR42/GP42-1)*100),"NA",IF(((GR42/GP42-1)*100)&gt;100,"NM",IF(((GR42/GP42-1)*100)&lt;-50,"NM",(GR42/GP42-1)*100)))</f>
        <v>4.1774558232444248</v>
      </c>
      <c r="GT42" s="79">
        <f>IF(ISERROR(((GR42/GH42)^0.2-1)*100),"NA",(IF(OR(((GR42/GH42)^0.2-1)*100&gt;99,((GR42/GH42)^0.2-1)*100&lt;-50),"NM",(((GR42/GH42)^0.2-1)*100))))</f>
        <v>4.1745258062923618</v>
      </c>
      <c r="GU42" s="562"/>
      <c r="GV42" s="562"/>
      <c r="GW42"/>
      <c r="GX42"/>
      <c r="GY42"/>
      <c r="GZ42"/>
      <c r="HA42"/>
      <c r="HB42"/>
      <c r="HC42" s="562"/>
      <c r="HD42" s="562"/>
      <c r="HE42" s="562"/>
      <c r="HF42" s="562"/>
      <c r="HG42" s="562"/>
      <c r="HH42" s="562"/>
      <c r="HI42" s="562"/>
      <c r="HJ42" s="562"/>
      <c r="HK42" s="562"/>
      <c r="HL42" s="562"/>
      <c r="HM42" s="562"/>
      <c r="HN42" s="562"/>
      <c r="HO42" s="562"/>
      <c r="HP42" s="562"/>
      <c r="HQ42" s="562"/>
      <c r="HR42" s="562"/>
      <c r="HS42" s="562"/>
      <c r="HT42" s="562"/>
      <c r="HU42" s="562"/>
      <c r="HV42" s="562"/>
      <c r="HW42" s="562"/>
      <c r="HX42" s="562"/>
      <c r="HY42" s="562"/>
      <c r="HZ42" s="562"/>
      <c r="IA42" s="562"/>
      <c r="IB42" s="562"/>
      <c r="IC42" s="562"/>
      <c r="ID42" s="562"/>
      <c r="IE42" s="562"/>
      <c r="IF42" s="562"/>
      <c r="IG42" s="562"/>
      <c r="IH42" s="562"/>
      <c r="II42" s="562"/>
      <c r="IJ42" s="562"/>
      <c r="IK42" s="562"/>
      <c r="IL42" s="562"/>
      <c r="IM42" s="562"/>
      <c r="IN42" s="562"/>
      <c r="IO42" s="562"/>
      <c r="IP42" s="562"/>
      <c r="IQ42" s="562"/>
      <c r="IR42" s="562"/>
      <c r="IS42" s="562"/>
      <c r="IT42" s="562"/>
      <c r="IU42" s="562"/>
      <c r="IV42" s="562"/>
      <c r="IW42" s="562"/>
      <c r="IX42" s="562"/>
      <c r="IY42" s="562"/>
      <c r="IZ42" s="562"/>
      <c r="JA42" s="562"/>
      <c r="JB42" s="562"/>
      <c r="JC42" s="562"/>
      <c r="JD42" s="562"/>
      <c r="JE42" s="562"/>
      <c r="JF42" s="562"/>
      <c r="JG42" s="562"/>
      <c r="JH42" s="562"/>
      <c r="JI42" s="562"/>
      <c r="JJ42" s="562"/>
      <c r="JK42" s="562"/>
      <c r="JL42" s="562"/>
      <c r="JM42" s="562"/>
      <c r="JN42" s="562"/>
      <c r="JO42" s="562"/>
      <c r="JP42" s="562"/>
      <c r="JQ42" s="562"/>
      <c r="JR42" s="562"/>
      <c r="JS42" s="562"/>
      <c r="JT42" s="562"/>
      <c r="JU42" s="562"/>
      <c r="JV42" s="562"/>
      <c r="JW42" s="562"/>
      <c r="JX42" s="562"/>
      <c r="JY42" s="562"/>
      <c r="JZ42" s="562"/>
    </row>
    <row r="43" spans="1:286" s="132" customFormat="1" ht="12.75" customHeight="1" x14ac:dyDescent="0.2">
      <c r="A43" s="133"/>
      <c r="B43" s="10"/>
      <c r="C43" s="79"/>
      <c r="D43" s="79"/>
      <c r="E43" s="95"/>
      <c r="F43" s="95"/>
      <c r="G43" s="95"/>
      <c r="H43" s="95"/>
      <c r="I43" s="95"/>
      <c r="J43" s="95"/>
      <c r="K43" s="95"/>
      <c r="L43" s="79"/>
      <c r="M43" s="95"/>
      <c r="N43" s="79"/>
      <c r="O43" s="95"/>
      <c r="P43" s="79"/>
      <c r="Q43" s="95"/>
      <c r="R43" s="79"/>
      <c r="S43" s="95"/>
      <c r="T43" s="79"/>
      <c r="U43" s="95"/>
      <c r="V43" s="79"/>
      <c r="W43" s="95"/>
      <c r="X43" s="79"/>
      <c r="Y43" s="95"/>
      <c r="Z43" s="79"/>
      <c r="AA43" s="126"/>
      <c r="AB43" s="79"/>
      <c r="AC43" s="95"/>
      <c r="AD43" s="79"/>
      <c r="AE43" s="95"/>
      <c r="AF43" s="79"/>
      <c r="AG43" s="144"/>
      <c r="AH43" s="97"/>
      <c r="AI43" s="144"/>
      <c r="AJ43" s="97"/>
      <c r="AK43" s="144"/>
      <c r="AL43" s="97"/>
      <c r="AM43" s="144"/>
      <c r="AN43" s="79"/>
      <c r="AO43" s="144"/>
      <c r="AP43" s="79"/>
      <c r="AQ43" s="144"/>
      <c r="AR43" s="79"/>
      <c r="AS43" s="144"/>
      <c r="AT43" s="81"/>
      <c r="AU43" s="144"/>
      <c r="AV43" s="81"/>
      <c r="AW43" s="144"/>
      <c r="AX43" s="81"/>
      <c r="AY43" s="144"/>
      <c r="AZ43" s="81"/>
      <c r="BA43" s="144"/>
      <c r="BB43" s="81"/>
      <c r="BC43" s="144"/>
      <c r="BD43" s="81"/>
      <c r="BE43" s="144"/>
      <c r="BF43" s="81"/>
      <c r="BG43" s="144"/>
      <c r="BH43" s="81"/>
      <c r="BI43" s="144"/>
      <c r="BJ43" s="81"/>
      <c r="BK43" s="144"/>
      <c r="BL43" s="81"/>
      <c r="BM43" s="144"/>
      <c r="BN43" s="81"/>
      <c r="BO43" s="144"/>
      <c r="BP43" s="81"/>
      <c r="BQ43" s="144"/>
      <c r="BR43" s="81"/>
      <c r="BS43" s="144"/>
      <c r="BT43" s="81"/>
      <c r="BU43" s="144"/>
      <c r="BV43" s="81"/>
      <c r="BW43" s="144"/>
      <c r="BX43" s="81"/>
      <c r="BY43" s="144"/>
      <c r="BZ43" s="81"/>
      <c r="CA43" s="144"/>
      <c r="CB43" s="81"/>
      <c r="CC43" s="144"/>
      <c r="CD43" s="81"/>
      <c r="CE43" s="144"/>
      <c r="CF43" s="81"/>
      <c r="CG43" s="144"/>
      <c r="CH43" s="81"/>
      <c r="CI43" s="144"/>
      <c r="CJ43" s="81"/>
      <c r="CK43" s="144"/>
      <c r="CL43" s="81"/>
      <c r="CM43" s="144"/>
      <c r="CN43" s="81"/>
      <c r="CO43" s="144"/>
      <c r="CP43" s="81"/>
      <c r="CQ43" s="144"/>
      <c r="CR43" s="81"/>
      <c r="CS43" s="144"/>
      <c r="CT43" s="81"/>
      <c r="CU43" s="144"/>
      <c r="CV43" s="81"/>
      <c r="CW43" s="144"/>
      <c r="CX43" s="81"/>
      <c r="CY43" s="144"/>
      <c r="CZ43" s="81"/>
      <c r="DA43" s="144"/>
      <c r="DB43" s="81"/>
      <c r="DC43" s="144"/>
      <c r="DD43" s="81"/>
      <c r="DE43" s="144"/>
      <c r="DF43" s="81"/>
      <c r="DG43" s="144"/>
      <c r="DH43" s="81"/>
      <c r="DI43" s="144"/>
      <c r="DJ43" s="81"/>
      <c r="DK43" s="144"/>
      <c r="DL43" s="81"/>
      <c r="DM43" s="144"/>
      <c r="DN43" s="81"/>
      <c r="DO43" s="144"/>
      <c r="DP43" s="81"/>
      <c r="DQ43" s="144"/>
      <c r="DR43" s="81"/>
      <c r="DS43" s="144"/>
      <c r="DT43" s="81"/>
      <c r="DU43" s="144"/>
      <c r="DV43" s="81"/>
      <c r="DW43" s="144"/>
      <c r="DX43" s="81"/>
      <c r="DY43" s="144"/>
      <c r="DZ43" s="81"/>
      <c r="EA43" s="144"/>
      <c r="EB43" s="81"/>
      <c r="EC43" s="144"/>
      <c r="ED43" s="81"/>
      <c r="EE43" s="144"/>
      <c r="EF43" s="81"/>
      <c r="EG43" s="144"/>
      <c r="EH43" s="81"/>
      <c r="EI43" s="144"/>
      <c r="EJ43" s="81"/>
      <c r="EK43" s="144"/>
      <c r="EL43" s="81"/>
      <c r="EM43" s="144"/>
      <c r="EN43" s="81"/>
      <c r="EO43" s="144"/>
      <c r="EP43" s="81"/>
      <c r="EQ43" s="144"/>
      <c r="ER43" s="81"/>
      <c r="ES43" s="129"/>
      <c r="ET43" s="469"/>
      <c r="EU43" s="129"/>
      <c r="EV43" s="95"/>
      <c r="EW43" s="79"/>
      <c r="EX43" s="95"/>
      <c r="EY43" s="79"/>
      <c r="EZ43" s="131"/>
      <c r="FA43" s="79"/>
      <c r="FB43" s="145"/>
      <c r="FC43" s="79"/>
      <c r="FD43" s="145"/>
      <c r="FE43" s="79"/>
      <c r="FF43" s="145"/>
      <c r="FG43" s="79"/>
      <c r="FH43" s="145"/>
      <c r="FI43" s="79"/>
      <c r="FJ43" s="145"/>
      <c r="FK43" s="79"/>
      <c r="FL43" s="95"/>
      <c r="FM43" s="79"/>
      <c r="FN43" s="95"/>
      <c r="FO43" s="79"/>
      <c r="FP43" s="95"/>
      <c r="FQ43" s="79"/>
      <c r="FR43" s="144"/>
      <c r="FS43" s="79"/>
      <c r="FT43" s="144"/>
      <c r="FU43" s="79"/>
      <c r="FV43" s="144"/>
      <c r="FW43" s="79"/>
      <c r="FX43" s="144"/>
      <c r="FY43" s="79"/>
      <c r="FZ43" s="144"/>
      <c r="GA43" s="79"/>
      <c r="GB43" s="144"/>
      <c r="GC43" s="79"/>
      <c r="GD43" s="144"/>
      <c r="GE43" s="79"/>
      <c r="GF43" s="144"/>
      <c r="GG43" s="79"/>
      <c r="GH43" s="144"/>
      <c r="GI43" s="79"/>
      <c r="GJ43" s="144"/>
      <c r="GK43" s="79"/>
      <c r="GL43" s="144"/>
      <c r="GM43" s="79"/>
      <c r="GN43" s="144"/>
      <c r="GO43" s="79"/>
      <c r="GP43" s="144"/>
      <c r="GQ43" s="79"/>
      <c r="GR43" s="144"/>
      <c r="GS43" s="79"/>
      <c r="GT43" s="79"/>
      <c r="GU43" s="562"/>
      <c r="GV43" s="562"/>
      <c r="GW43"/>
      <c r="GX43"/>
      <c r="GY43"/>
      <c r="GZ43"/>
      <c r="HA43"/>
      <c r="HB43"/>
      <c r="HC43" s="562"/>
      <c r="HD43" s="562"/>
      <c r="HE43" s="562"/>
      <c r="HF43" s="562"/>
      <c r="HG43" s="562"/>
      <c r="HH43" s="562"/>
      <c r="HI43" s="562"/>
      <c r="HJ43" s="562"/>
      <c r="HK43" s="562"/>
      <c r="HL43" s="562"/>
      <c r="HM43" s="562"/>
      <c r="HN43" s="562"/>
      <c r="HO43" s="562"/>
      <c r="HP43" s="562"/>
      <c r="HQ43" s="562"/>
      <c r="HR43" s="562"/>
      <c r="HS43" s="562"/>
      <c r="HT43" s="562"/>
      <c r="HU43" s="562"/>
      <c r="HV43" s="562"/>
      <c r="HW43" s="562"/>
      <c r="HX43" s="562"/>
      <c r="HY43" s="562"/>
      <c r="HZ43" s="562"/>
      <c r="IA43" s="562"/>
      <c r="IB43" s="562"/>
      <c r="IC43" s="562"/>
      <c r="ID43" s="562"/>
      <c r="IE43" s="562"/>
      <c r="IF43" s="562"/>
      <c r="IG43" s="562"/>
      <c r="IH43" s="562"/>
      <c r="II43" s="562"/>
      <c r="IJ43" s="562"/>
      <c r="IK43" s="562"/>
      <c r="IL43" s="562"/>
      <c r="IM43" s="562"/>
      <c r="IN43" s="562"/>
      <c r="IO43" s="562"/>
      <c r="IP43" s="562"/>
      <c r="IQ43" s="562"/>
      <c r="IR43" s="562"/>
      <c r="IS43" s="562"/>
      <c r="IT43" s="562"/>
      <c r="IU43" s="562"/>
      <c r="IV43" s="562"/>
      <c r="IW43" s="562"/>
      <c r="IX43" s="562"/>
      <c r="IY43" s="562"/>
      <c r="IZ43" s="562"/>
      <c r="JA43" s="562"/>
      <c r="JB43" s="562"/>
      <c r="JC43" s="562"/>
      <c r="JD43" s="562"/>
      <c r="JE43" s="562"/>
      <c r="JF43" s="562"/>
      <c r="JG43" s="562"/>
      <c r="JH43" s="562"/>
      <c r="JI43" s="562"/>
      <c r="JJ43" s="562"/>
      <c r="JK43" s="562"/>
      <c r="JL43" s="562"/>
      <c r="JM43" s="562"/>
      <c r="JN43" s="562"/>
      <c r="JO43" s="562"/>
      <c r="JP43" s="562"/>
      <c r="JQ43" s="562"/>
      <c r="JR43" s="562"/>
      <c r="JS43" s="562"/>
      <c r="JT43" s="562"/>
      <c r="JU43" s="562"/>
      <c r="JV43" s="562"/>
      <c r="JW43" s="562"/>
      <c r="JX43" s="562"/>
      <c r="JY43" s="562"/>
      <c r="JZ43" s="562"/>
    </row>
    <row r="44" spans="1:286" s="132" customFormat="1" ht="12.75" customHeight="1" x14ac:dyDescent="0.2">
      <c r="A44" s="133"/>
      <c r="B44" s="83" t="s">
        <v>451</v>
      </c>
      <c r="C44" s="79"/>
      <c r="D44" s="79"/>
      <c r="E44" s="95"/>
      <c r="F44" s="95"/>
      <c r="G44" s="95"/>
      <c r="H44" s="95"/>
      <c r="I44" s="95"/>
      <c r="J44" s="95"/>
      <c r="K44" s="95"/>
      <c r="L44" s="79"/>
      <c r="M44" s="95"/>
      <c r="N44" s="79"/>
      <c r="O44" s="95"/>
      <c r="P44" s="79"/>
      <c r="Q44" s="95"/>
      <c r="R44" s="79"/>
      <c r="S44" s="95"/>
      <c r="T44" s="79"/>
      <c r="U44" s="95"/>
      <c r="V44" s="79"/>
      <c r="W44" s="95"/>
      <c r="X44" s="79"/>
      <c r="Y44" s="95"/>
      <c r="Z44" s="79"/>
      <c r="AA44" s="126"/>
      <c r="AB44" s="79"/>
      <c r="AC44" s="95"/>
      <c r="AD44" s="79"/>
      <c r="AE44" s="95"/>
      <c r="AF44" s="79"/>
      <c r="AG44" s="95"/>
      <c r="AH44" s="79"/>
      <c r="AI44" s="95"/>
      <c r="AJ44" s="79"/>
      <c r="AK44" s="95"/>
      <c r="AL44" s="79"/>
      <c r="AM44" s="95"/>
      <c r="AN44" s="79"/>
      <c r="AO44" s="95"/>
      <c r="AP44" s="79"/>
      <c r="AQ44" s="95"/>
      <c r="AR44" s="79"/>
      <c r="AS44" s="95"/>
      <c r="AT44" s="81"/>
      <c r="AU44" s="95"/>
      <c r="AV44" s="81"/>
      <c r="AW44" s="95"/>
      <c r="AX44" s="81"/>
      <c r="AY44" s="95"/>
      <c r="AZ44" s="81"/>
      <c r="BA44" s="95"/>
      <c r="BB44" s="81"/>
      <c r="BC44" s="95"/>
      <c r="BD44" s="81"/>
      <c r="BE44" s="95"/>
      <c r="BF44" s="81"/>
      <c r="BG44" s="95"/>
      <c r="BH44" s="81"/>
      <c r="BI44" s="95"/>
      <c r="BJ44" s="81"/>
      <c r="BK44" s="95"/>
      <c r="BL44" s="81"/>
      <c r="BM44" s="95"/>
      <c r="BN44" s="81"/>
      <c r="BO44" s="95"/>
      <c r="BP44" s="81"/>
      <c r="BQ44" s="95"/>
      <c r="BR44" s="81"/>
      <c r="BS44" s="95"/>
      <c r="BT44" s="81"/>
      <c r="BU44" s="95"/>
      <c r="BV44" s="81"/>
      <c r="BW44" s="95"/>
      <c r="BX44" s="81"/>
      <c r="BY44" s="95"/>
      <c r="BZ44" s="81"/>
      <c r="CA44" s="95"/>
      <c r="CB44" s="81"/>
      <c r="CC44" s="95"/>
      <c r="CD44" s="81"/>
      <c r="CE44" s="95"/>
      <c r="CF44" s="81"/>
      <c r="CG44" s="95"/>
      <c r="CH44" s="81"/>
      <c r="CI44" s="95"/>
      <c r="CJ44" s="81"/>
      <c r="CK44" s="95"/>
      <c r="CL44" s="81"/>
      <c r="CM44" s="95"/>
      <c r="CN44" s="81"/>
      <c r="CO44" s="95"/>
      <c r="CP44" s="81"/>
      <c r="CQ44" s="95"/>
      <c r="CR44" s="81"/>
      <c r="CS44" s="95"/>
      <c r="CT44" s="81"/>
      <c r="CU44" s="95"/>
      <c r="CV44" s="81"/>
      <c r="CW44" s="95"/>
      <c r="CX44" s="81"/>
      <c r="CY44" s="95"/>
      <c r="CZ44" s="81"/>
      <c r="DA44" s="95"/>
      <c r="DB44" s="81"/>
      <c r="DC44" s="95"/>
      <c r="DD44" s="81"/>
      <c r="DE44" s="95"/>
      <c r="DF44" s="81"/>
      <c r="DG44" s="95"/>
      <c r="DH44" s="81"/>
      <c r="DI44" s="95"/>
      <c r="DJ44" s="81"/>
      <c r="DK44" s="95"/>
      <c r="DL44" s="81"/>
      <c r="DM44" s="95"/>
      <c r="DN44" s="81"/>
      <c r="DO44" s="95"/>
      <c r="DP44" s="81"/>
      <c r="DQ44" s="95"/>
      <c r="DR44" s="81"/>
      <c r="DS44" s="95"/>
      <c r="DT44" s="81"/>
      <c r="DU44" s="95"/>
      <c r="DV44" s="81"/>
      <c r="DW44" s="95"/>
      <c r="DX44" s="81"/>
      <c r="DY44" s="95"/>
      <c r="DZ44" s="81"/>
      <c r="EA44" s="95"/>
      <c r="EB44" s="81"/>
      <c r="EC44" s="95"/>
      <c r="ED44" s="81"/>
      <c r="EE44" s="95"/>
      <c r="EF44" s="81"/>
      <c r="EG44" s="95"/>
      <c r="EH44" s="81"/>
      <c r="EI44" s="95"/>
      <c r="EJ44" s="81"/>
      <c r="EK44" s="95"/>
      <c r="EL44" s="81"/>
      <c r="EM44" s="95"/>
      <c r="EN44" s="81"/>
      <c r="EO44" s="95"/>
      <c r="EP44" s="81"/>
      <c r="EQ44" s="95"/>
      <c r="ER44" s="81"/>
      <c r="ES44" s="129"/>
      <c r="ET44" s="469"/>
      <c r="EU44" s="129"/>
      <c r="EV44" s="95"/>
      <c r="EW44" s="79"/>
      <c r="EX44" s="95"/>
      <c r="EY44" s="79"/>
      <c r="EZ44" s="131"/>
      <c r="FA44" s="79"/>
      <c r="FB44" s="145"/>
      <c r="FC44" s="79"/>
      <c r="FD44" s="145"/>
      <c r="FE44" s="79"/>
      <c r="FF44" s="145"/>
      <c r="FG44" s="79"/>
      <c r="FH44" s="145"/>
      <c r="FI44" s="79"/>
      <c r="FJ44" s="145"/>
      <c r="FK44" s="79"/>
      <c r="FL44" s="95"/>
      <c r="FM44" s="79"/>
      <c r="FN44" s="95"/>
      <c r="FO44" s="79"/>
      <c r="FP44" s="95"/>
      <c r="FQ44" s="79"/>
      <c r="FR44" s="95"/>
      <c r="FS44" s="79"/>
      <c r="FT44" s="95"/>
      <c r="FU44" s="79"/>
      <c r="FV44" s="95"/>
      <c r="FW44" s="79"/>
      <c r="FX44" s="95"/>
      <c r="FY44" s="79"/>
      <c r="FZ44" s="95"/>
      <c r="GA44" s="79"/>
      <c r="GB44" s="95"/>
      <c r="GC44" s="79"/>
      <c r="GD44" s="95"/>
      <c r="GE44" s="79"/>
      <c r="GF44" s="95"/>
      <c r="GG44" s="79"/>
      <c r="GH44" s="95"/>
      <c r="GI44" s="79"/>
      <c r="GJ44" s="95"/>
      <c r="GK44" s="79"/>
      <c r="GL44" s="95"/>
      <c r="GM44" s="79"/>
      <c r="GN44" s="95"/>
      <c r="GO44" s="79"/>
      <c r="GP44" s="95"/>
      <c r="GQ44" s="79"/>
      <c r="GR44" s="95"/>
      <c r="GS44" s="79"/>
      <c r="GT44" s="79"/>
      <c r="GU44" s="562"/>
      <c r="GV44" s="562"/>
      <c r="GW44"/>
      <c r="GX44"/>
      <c r="GY44"/>
      <c r="GZ44"/>
      <c r="HA44"/>
      <c r="HB44"/>
      <c r="HC44" s="562"/>
      <c r="HD44" s="562"/>
      <c r="HE44" s="562"/>
      <c r="HF44" s="562"/>
      <c r="HG44" s="562"/>
      <c r="HH44" s="562"/>
      <c r="HI44" s="562"/>
      <c r="HJ44" s="562"/>
      <c r="HK44" s="562"/>
      <c r="HL44" s="562"/>
      <c r="HM44" s="562"/>
      <c r="HN44" s="562"/>
      <c r="HO44" s="562"/>
      <c r="HP44" s="562"/>
      <c r="HQ44" s="562"/>
      <c r="HR44" s="562"/>
      <c r="HS44" s="562"/>
      <c r="HT44" s="562"/>
      <c r="HU44" s="562"/>
      <c r="HV44" s="562"/>
      <c r="HW44" s="562"/>
      <c r="HX44" s="562"/>
      <c r="HY44" s="562"/>
      <c r="HZ44" s="562"/>
      <c r="IA44" s="562"/>
      <c r="IB44" s="562"/>
      <c r="IC44" s="562"/>
      <c r="ID44" s="562"/>
      <c r="IE44" s="562"/>
      <c r="IF44" s="562"/>
      <c r="IG44" s="562"/>
      <c r="IH44" s="562"/>
      <c r="II44" s="562"/>
      <c r="IJ44" s="562"/>
      <c r="IK44" s="562"/>
      <c r="IL44" s="562"/>
      <c r="IM44" s="562"/>
      <c r="IN44" s="562"/>
      <c r="IO44" s="562"/>
      <c r="IP44" s="562"/>
      <c r="IQ44" s="562"/>
      <c r="IR44" s="562"/>
      <c r="IS44" s="562"/>
      <c r="IT44" s="562"/>
      <c r="IU44" s="562"/>
      <c r="IV44" s="562"/>
      <c r="IW44" s="562"/>
      <c r="IX44" s="562"/>
      <c r="IY44" s="562"/>
      <c r="IZ44" s="562"/>
      <c r="JA44" s="562"/>
      <c r="JB44" s="562"/>
      <c r="JC44" s="562"/>
      <c r="JD44" s="562"/>
      <c r="JE44" s="562"/>
      <c r="JF44" s="562"/>
      <c r="JG44" s="562"/>
      <c r="JH44" s="562"/>
      <c r="JI44" s="562"/>
      <c r="JJ44" s="562"/>
      <c r="JK44" s="562"/>
      <c r="JL44" s="562"/>
      <c r="JM44" s="562"/>
      <c r="JN44" s="562"/>
      <c r="JO44" s="562"/>
      <c r="JP44" s="562"/>
      <c r="JQ44" s="562"/>
      <c r="JR44" s="562"/>
      <c r="JS44" s="562"/>
      <c r="JT44" s="562"/>
      <c r="JU44" s="562"/>
      <c r="JV44" s="562"/>
      <c r="JW44" s="562"/>
      <c r="JX44" s="562"/>
      <c r="JY44" s="562"/>
      <c r="JZ44" s="562"/>
    </row>
    <row r="45" spans="1:286" s="132" customFormat="1" ht="12.75" customHeight="1" x14ac:dyDescent="0.2">
      <c r="A45" s="133"/>
      <c r="B45" s="2" t="s">
        <v>310</v>
      </c>
      <c r="C45" s="79"/>
      <c r="D45" s="79"/>
      <c r="E45" s="129"/>
      <c r="F45" s="129"/>
      <c r="G45" s="95"/>
      <c r="H45" s="95"/>
      <c r="I45" s="95"/>
      <c r="J45" s="95"/>
      <c r="K45" s="95"/>
      <c r="L45" s="79"/>
      <c r="M45" s="129"/>
      <c r="N45" s="79"/>
      <c r="O45" s="129"/>
      <c r="P45" s="79"/>
      <c r="Q45" s="95"/>
      <c r="R45" s="79"/>
      <c r="S45" s="95"/>
      <c r="T45" s="79"/>
      <c r="U45" s="129"/>
      <c r="V45" s="79"/>
      <c r="W45" s="129"/>
      <c r="X45" s="79"/>
      <c r="Y45" s="95"/>
      <c r="Z45" s="79"/>
      <c r="AA45" s="126"/>
      <c r="AB45" s="79"/>
      <c r="AC45" s="129">
        <f>1234.1-AE45</f>
        <v>621.29999999999995</v>
      </c>
      <c r="AD45" s="79" t="str">
        <f>IF(ISERROR((AC45/U45-1)*100),"NA",IF(((AC45/U45-1)*100)&gt;100,"NM",IF(((AC45/U45-1)*100)&lt;-50,"NM",(AC45/U45-1)*100)))</f>
        <v>NA</v>
      </c>
      <c r="AE45" s="129">
        <v>612.79999999999995</v>
      </c>
      <c r="AF45" s="79" t="str">
        <f>IF(ISERROR((AE45/W45-1)*100),"NA",IF(((AE45/W45-1)*100)&gt;100,"NM",IF(((AE45/W45-1)*100)&lt;-50,"NM",(AE45/W45-1)*100)))</f>
        <v>NA</v>
      </c>
      <c r="AG45" s="95">
        <v>611.70000000000005</v>
      </c>
      <c r="AH45" s="79" t="str">
        <f>IF(ISERROR((AG45/Y45-1)*100),"NA",IF(((AG45/Y45-1)*100)&gt;100,"NM",IF(((AG45/Y45-1)*100)&lt;-50,"NM",(AG45/Y45-1)*100)))</f>
        <v>NA</v>
      </c>
      <c r="AI45" s="127">
        <f>FH45-AG45-AE45-AC45</f>
        <v>687.3</v>
      </c>
      <c r="AJ45" s="79" t="str">
        <f>IF(ISERROR((AI45/AA45-1)*100),"NA",IF(((AI45/AA45-1)*100)&gt;100,"NM",IF(((AI45/AA45-1)*100)&lt;-50,"NM",(AI45/AA45-1)*100)))</f>
        <v>NA</v>
      </c>
      <c r="AK45" s="95">
        <f>1200.6-AM45</f>
        <v>605.49999999999989</v>
      </c>
      <c r="AL45" s="79">
        <f>IF(ISERROR((AK45/AC45-1)*100),"NA",IF(((AK45/AC45-1)*100)&gt;100,"NM",IF(((AK45/AC45-1)*100)&lt;-50,"NM",(AK45/AC45-1)*100)))</f>
        <v>-2.5430548849187273</v>
      </c>
      <c r="AM45" s="95">
        <v>595.1</v>
      </c>
      <c r="AN45" s="79">
        <f>IF(ISERROR((AM45/AE45-1)*100),"NA",IF(((AM45/AE45-1)*100)&gt;100,"NM",IF(((AM45/AE45-1)*100)&lt;-50,"NM",(AM45/AE45-1)*100)))</f>
        <v>-2.8883812010443766</v>
      </c>
      <c r="AO45" s="95">
        <f>606-27.3</f>
        <v>578.70000000000005</v>
      </c>
      <c r="AP45" s="79">
        <f>IF(ISERROR((AO45/AG45-1)*100),"NA",IF(((AO45/AG45-1)*100)&gt;100,"NM",IF(((AO45/AG45-1)*100)&lt;-50,"NM",(AO45/AG45-1)*100)))</f>
        <v>-5.3948013732221689</v>
      </c>
      <c r="AQ45" s="95">
        <f>591.1</f>
        <v>591.1</v>
      </c>
      <c r="AR45" s="79">
        <f>IF(ISERROR((AQ45/AI45-1)*100),"NA",IF(((AQ45/AI45-1)*100)&gt;100,"NM",IF(((AQ45/AI45-1)*100)&lt;-50,"NM",(AQ45/AI45-1)*100)))</f>
        <v>-13.99679906882001</v>
      </c>
      <c r="AS45" s="95">
        <f>664.4-72.8</f>
        <v>591.6</v>
      </c>
      <c r="AT45" s="81">
        <f>IF(ISERROR((AS45/AK45-1)*100),"NA",IF(((AS45/AK45-1)*100)&gt;100,"NM",IF(((AS45/AK45-1)*100)&lt;-50,"NM",(AS45/AK45-1)*100)))</f>
        <v>-2.2956234516927965</v>
      </c>
      <c r="AU45" s="95">
        <v>592.1</v>
      </c>
      <c r="AV45" s="81">
        <f>IF(ISERROR((AU45/AM45-1)*100),"NA",IF(((AU45/AM45-1)*100)&gt;100,"NM",IF(((AU45/AM45-1)*100)&lt;-50,"NM",(AU45/AM45-1)*100)))</f>
        <v>-0.50411695513359334</v>
      </c>
      <c r="AW45" s="95">
        <f>858.4-291.4</f>
        <v>567</v>
      </c>
      <c r="AX45" s="81">
        <f>IF(ISERROR((AW45/AO45-1)*100),"NA",IF(((AW45/AO45-1)*100)&gt;100,"NM",IF(((AW45/AO45-1)*100)&lt;-50,"NM",(AW45/AO45-1)*100)))</f>
        <v>-2.021772939346822</v>
      </c>
      <c r="AY45" s="95">
        <v>587.6</v>
      </c>
      <c r="AZ45" s="81">
        <f>IF(ISERROR((AY45/AQ45-1)*100),"NA",IF(((AY45/AQ45-1)*100)&gt;100,"NM",IF(((AY45/AQ45-1)*100)&lt;-50,"NM",(AY45/AQ45-1)*100)))</f>
        <v>-0.5921163931652873</v>
      </c>
      <c r="BA45" s="95">
        <v>551.1</v>
      </c>
      <c r="BB45" s="81">
        <f>IF(ISERROR((BA45/AS45-1)*100),"NA",IF(((BA45/AS45-1)*100)&gt;100,"NM",IF(((BA45/AS45-1)*100)&lt;-50,"NM",(BA45/AS45-1)*100)))</f>
        <v>-6.845841784989859</v>
      </c>
      <c r="BC45" s="95">
        <f>641.2-66.2</f>
        <v>575</v>
      </c>
      <c r="BD45" s="81">
        <f>IF(ISERROR((BC45/AU45-1)*100),"NA",IF(((BC45/AU45-1)*100)&gt;100,"NM",IF(((BC45/AU45-1)*100)&lt;-50,"NM",(BC45/AU45-1)*100)))</f>
        <v>-2.8880256713393004</v>
      </c>
      <c r="BE45" s="95">
        <v>546.4</v>
      </c>
      <c r="BF45" s="81">
        <f>IF(ISERROR((BE45/AW45-1)*100),"NA",IF(((BE45/AW45-1)*100)&gt;100,"NM",IF(((BE45/AW45-1)*100)&lt;-50,"NM",(BE45/AW45-1)*100)))</f>
        <v>-3.633156966490303</v>
      </c>
      <c r="BG45" s="95">
        <v>538.70000000000005</v>
      </c>
      <c r="BH45" s="81">
        <f>IF(ISERROR((BG45/AY45-1)*100),"NA",IF(((BG45/AY45-1)*100)&gt;100,"NM",IF(((BG45/AY45-1)*100)&lt;-50,"NM",(BG45/AY45-1)*100)))</f>
        <v>-8.3219877467665011</v>
      </c>
      <c r="BI45" s="95">
        <v>517.4</v>
      </c>
      <c r="BJ45" s="81">
        <f>IF(ISERROR((BI45/BA45-1)*100),"NA",IF(((BI45/BA45-1)*100)&gt;100,"NM",IF(((BI45/BA45-1)*100)&lt;-50,"NM",(BI45/BA45-1)*100)))</f>
        <v>-6.1150426419887545</v>
      </c>
      <c r="BK45" s="95">
        <v>519.1</v>
      </c>
      <c r="BL45" s="81">
        <f>IF(ISERROR((BK45/BC45-1)*100),"NA",IF(((BK45/BC45-1)*100)&gt;100,"NM",IF(((BK45/BC45-1)*100)&lt;-50,"NM",(BK45/BC45-1)*100)))</f>
        <v>-9.7217391304347807</v>
      </c>
      <c r="BM45" s="95">
        <v>502.5</v>
      </c>
      <c r="BN45" s="81">
        <f>IF(ISERROR((BM45/BE45-1)*100),"NA",IF(((BM45/BE45-1)*100)&gt;100,"NM",IF(((BM45/BE45-1)*100)&lt;-50,"NM",(BM45/BE45-1)*100)))</f>
        <v>-8.0344070278184461</v>
      </c>
      <c r="BO45" s="95">
        <v>504.9</v>
      </c>
      <c r="BP45" s="81">
        <f>IF(ISERROR((BO45/BG45-1)*100),"NA",IF(((BO45/BG45-1)*100)&gt;100,"NM",IF(((BO45/BG45-1)*100)&lt;-50,"NM",(BO45/BG45-1)*100)))</f>
        <v>-6.274364210135519</v>
      </c>
      <c r="BQ45" s="95">
        <v>480.4</v>
      </c>
      <c r="BR45" s="81">
        <f>IF(ISERROR((BQ45/BI45-1)*100),"NA",IF(((BQ45/BI45-1)*100)&gt;100,"NM",IF(((BQ45/BI45-1)*100)&lt;-50,"NM",(BQ45/BI45-1)*100)))</f>
        <v>-7.1511403169694621</v>
      </c>
      <c r="BS45" s="95">
        <v>470.8</v>
      </c>
      <c r="BT45" s="81">
        <f>IF(ISERROR((BS45/BK45-1)*100),"NA",IF(((BS45/BK45-1)*100)&gt;100,"NM",IF(((BS45/BK45-1)*100)&lt;-50,"NM",(BS45/BK45-1)*100)))</f>
        <v>-9.30456559429782</v>
      </c>
      <c r="BU45" s="95">
        <v>458.5</v>
      </c>
      <c r="BV45" s="81">
        <f>IF(ISERROR((BU45/BM45-1)*100),"NA",IF(((BU45/BM45-1)*100)&gt;100,"NM",IF(((BU45/BM45-1)*100)&lt;-50,"NM",(BU45/BM45-1)*100)))</f>
        <v>-8.7562189054726343</v>
      </c>
      <c r="BW45" s="95">
        <v>453.1</v>
      </c>
      <c r="BX45" s="81">
        <f>IF(ISERROR((BW45/BO45-1)*100),"NA",IF(((BW45/BO45-1)*100)&gt;100,"NM",IF(((BW45/BO45-1)*100)&lt;-50,"NM",(BW45/BO45-1)*100)))</f>
        <v>-10.259457318280841</v>
      </c>
      <c r="BY45" s="95">
        <v>439.3</v>
      </c>
      <c r="BZ45" s="81">
        <f>IF(ISERROR((BY45/BQ45-1)*100),"NA",IF(((BY45/BQ45-1)*100)&gt;100,"NM",IF(((BY45/BQ45-1)*100)&lt;-50,"NM",(BY45/BQ45-1)*100)))</f>
        <v>-8.5553705245628553</v>
      </c>
      <c r="CA45" s="95">
        <v>440.6</v>
      </c>
      <c r="CB45" s="81">
        <f>IF(ISERROR((CA45/BS45-1)*100),"NA",IF(((CA45/BS45-1)*100)&gt;100,"NM",IF(((CA45/BS45-1)*100)&lt;-50,"NM",(CA45/BS45-1)*100)))</f>
        <v>-6.4146134239592145</v>
      </c>
      <c r="CC45" s="95">
        <v>434.7</v>
      </c>
      <c r="CD45" s="81">
        <f>IF(ISERROR((CC45/BU45-1)*100),"NA",IF(((CC45/BU45-1)*100)&gt;100,"NM",IF(((CC45/BU45-1)*100)&lt;-50,"NM",(CC45/BU45-1)*100)))</f>
        <v>-5.190839694656491</v>
      </c>
      <c r="CE45" s="95">
        <v>433.2</v>
      </c>
      <c r="CF45" s="81">
        <f>IF(ISERROR((CE45/BW45-1)*100),"NA",IF(((CE45/BW45-1)*100)&gt;100,"NM",IF(((CE45/BW45-1)*100)&lt;-50,"NM",(CE45/BW45-1)*100)))</f>
        <v>-4.3919664533215723</v>
      </c>
      <c r="CG45" s="95">
        <v>426.3</v>
      </c>
      <c r="CH45" s="81">
        <f>IF(ISERROR((CG45/BY45-1)*100),"NA",IF(((CG45/BY45-1)*100)&gt;100,"NM",IF(((CG45/BY45-1)*100)&lt;-50,"NM",(CG45/BY45-1)*100)))</f>
        <v>-2.9592533576143887</v>
      </c>
      <c r="CI45" s="95">
        <v>428.1</v>
      </c>
      <c r="CJ45" s="81">
        <f>IF(ISERROR((CI45/CA45-1)*100),"NA",IF(((CI45/CA45-1)*100)&gt;100,"NM",IF(((CI45/CA45-1)*100)&lt;-50,"NM",(CI45/CA45-1)*100)))</f>
        <v>-2.8370403994552928</v>
      </c>
      <c r="CK45" s="95">
        <v>435</v>
      </c>
      <c r="CL45" s="81">
        <f>IF(ISERROR((CK45/CC45-1)*100),"NA",IF(((CK45/CC45-1)*100)&gt;100,"NM",IF(((CK45/CC45-1)*100)&lt;-50,"NM",(CK45/CC45-1)*100)))</f>
        <v>6.9013112491367323E-2</v>
      </c>
      <c r="CM45" s="95">
        <v>432.7</v>
      </c>
      <c r="CN45" s="81">
        <f>IF(ISERROR((CM45/CE45-1)*100),"NA",IF(((CM45/CE45-1)*100)&gt;100,"NM",IF(((CM45/CE45-1)*100)&lt;-50,"NM",(CM45/CE45-1)*100)))</f>
        <v>-0.11542012927054923</v>
      </c>
      <c r="CO45" s="95">
        <v>435.7</v>
      </c>
      <c r="CP45" s="81">
        <f>IF(ISERROR((CO45/CG45-1)*100),"NA",IF(((CO45/CG45-1)*100)&gt;100,"NM",IF(((CO45/CG45-1)*100)&lt;-50,"NM",(CO45/CG45-1)*100)))</f>
        <v>2.2050199390100778</v>
      </c>
      <c r="CQ45" s="95">
        <v>436.8</v>
      </c>
      <c r="CR45" s="81">
        <f>IF(ISERROR((CQ45/CI45-1)*100),"NA",IF(((CQ45/CI45-1)*100)&gt;100,"NM",IF(((CQ45/CI45-1)*100)&lt;-50,"NM",(CQ45/CI45-1)*100)))</f>
        <v>2.0322354590049052</v>
      </c>
      <c r="CS45" s="95">
        <v>435.1</v>
      </c>
      <c r="CT45" s="81">
        <f>IF(ISERROR((CS45/CK45-1)*100),"NA",IF(((CS45/CK45-1)*100)&gt;100,"NM",IF(((CS45/CK45-1)*100)&lt;-50,"NM",(CS45/CK45-1)*100)))</f>
        <v>2.2988505747134624E-2</v>
      </c>
      <c r="CU45" s="95">
        <v>434</v>
      </c>
      <c r="CV45" s="81">
        <f>IF(ISERROR((CU45/CM45-1)*100),"NA",IF(((CU45/CM45-1)*100)&gt;100,"NM",IF(((CU45/CM45-1)*100)&lt;-50,"NM",(CU45/CM45-1)*100)))</f>
        <v>0.30043910330483925</v>
      </c>
      <c r="CW45" s="95">
        <v>441.4</v>
      </c>
      <c r="CX45" s="81">
        <f>IF(ISERROR((CW45/CO45-1)*100),"NA",IF(((CW45/CO45-1)*100)&gt;100,"NM",IF(((CW45/CO45-1)*100)&lt;-50,"NM",(CW45/CO45-1)*100)))</f>
        <v>1.3082396144135755</v>
      </c>
      <c r="CY45" s="95">
        <v>439.6</v>
      </c>
      <c r="CZ45" s="81">
        <f>IF(ISERROR((CY45/CQ45-1)*100),"NA",IF(((CY45/CQ45-1)*100)&gt;100,"NM",IF(((CY45/CQ45-1)*100)&lt;-50,"NM",(CY45/CQ45-1)*100)))</f>
        <v>0.64102564102563875</v>
      </c>
      <c r="DA45" s="95">
        <v>426.3</v>
      </c>
      <c r="DB45" s="81">
        <f>IF(ISERROR((DA45/CS45-1)*100),"NA",IF(((DA45/CS45-1)*100)&gt;100,"NM",IF(((DA45/CS45-1)*100)&lt;-50,"NM",(DA45/CS45-1)*100)))</f>
        <v>-2.0225235578028022</v>
      </c>
      <c r="DC45" s="95">
        <v>425.6</v>
      </c>
      <c r="DD45" s="81">
        <f>IF(ISERROR((DC45/CU45-1)*100),"NA",IF(((DC45/CU45-1)*100)&gt;100,"NM",IF(((DC45/CU45-1)*100)&lt;-50,"NM",(DC45/CU45-1)*100)))</f>
        <v>-1.9354838709677358</v>
      </c>
      <c r="DE45" s="95">
        <v>432.5</v>
      </c>
      <c r="DF45" s="81">
        <f>IF(ISERROR((DE45/CW45-1)*100),"NA",IF(((DE45/CW45-1)*100)&gt;100,"NM",IF(((DE45/CW45-1)*100)&lt;-50,"NM",(DE45/CW45-1)*100)))</f>
        <v>-2.0163117353873994</v>
      </c>
      <c r="DG45" s="95">
        <v>429.1</v>
      </c>
      <c r="DH45" s="81">
        <f>IF(ISERROR((DG45/CY45-1)*100),"NA",IF(((DG45/CY45-1)*100)&gt;100,"NM",IF(((DG45/CY45-1)*100)&lt;-50,"NM",(DG45/CY45-1)*100)))</f>
        <v>-2.3885350318471388</v>
      </c>
      <c r="DI45" s="95">
        <v>431.9</v>
      </c>
      <c r="DJ45" s="81">
        <f>IF(ISERROR((DI45/DA45-1)*100),"NA",IF(((DI45/DA45-1)*100)&gt;100,"NM",IF(((DI45/DA45-1)*100)&lt;-50,"NM",(DI45/DA45-1)*100)))</f>
        <v>1.3136288998357948</v>
      </c>
      <c r="DK45" s="95">
        <v>452.9</v>
      </c>
      <c r="DL45" s="81">
        <f>IF(ISERROR((DK45/DC45-1)*100),"NA",IF(((DK45/DC45-1)*100)&gt;100,"NM",IF(((DK45/DC45-1)*100)&lt;-50,"NM",(DK45/DC45-1)*100)))</f>
        <v>6.4144736842105088</v>
      </c>
      <c r="DM45" s="95">
        <v>443</v>
      </c>
      <c r="DN45" s="81">
        <f>IF(ISERROR((DM45/DE45-1)*100),"NA",IF(((DM45/DE45-1)*100)&gt;100,"NM",IF(((DM45/DE45-1)*100)&lt;-50,"NM",(DM45/DE45-1)*100)))</f>
        <v>2.4277456647398887</v>
      </c>
      <c r="DO45" s="95">
        <v>467.8</v>
      </c>
      <c r="DP45" s="81">
        <f>IF(ISERROR((DO45/DG45-1)*100),"NA",IF(((DO45/DG45-1)*100)&gt;100,"NM",IF(((DO45/DG45-1)*100)&lt;-50,"NM",(DO45/DG45-1)*100)))</f>
        <v>9.0188767187135745</v>
      </c>
      <c r="DQ45" s="95">
        <v>457.1</v>
      </c>
      <c r="DR45" s="81">
        <f>IF(ISERROR((DQ45/DI45-1)*100),"NA",IF(((DQ45/DI45-1)*100)&gt;100,"NM",IF(((DQ45/DI45-1)*100)&lt;-50,"NM",(DQ45/DI45-1)*100)))</f>
        <v>5.8346839546191465</v>
      </c>
      <c r="DS45" s="95">
        <v>466.1</v>
      </c>
      <c r="DT45" s="81">
        <f>IF(ISERROR((DS45/DK45-1)*100),"NA",IF(((DS45/DK45-1)*100)&gt;100,"NM",IF(((DS45/DK45-1)*100)&lt;-50,"NM",(DS45/DK45-1)*100)))</f>
        <v>2.9145506734378657</v>
      </c>
      <c r="DU45" s="95">
        <v>474.3</v>
      </c>
      <c r="DV45" s="81">
        <f>IF(ISERROR((DU45/DM45-1)*100),"NA",IF(((DU45/DM45-1)*100)&gt;100,"NM",IF(((DU45/DM45-1)*100)&lt;-50,"NM",(DU45/DM45-1)*100)))</f>
        <v>7.0654627539503467</v>
      </c>
      <c r="DW45" s="95">
        <v>471.2</v>
      </c>
      <c r="DX45" s="81">
        <f>IF(ISERROR((DW45/DO45-1)*100),"NA",IF(((DW45/DO45-1)*100)&gt;100,"NM",IF(((DW45/DO45-1)*100)&lt;-50,"NM",(DW45/DO45-1)*100)))</f>
        <v>0.72680632749038132</v>
      </c>
      <c r="DY45" s="95">
        <v>458.5</v>
      </c>
      <c r="DZ45" s="81">
        <f>IF(ISERROR((DY45/DQ45-1)*100),"NA",IF(((DY45/DQ45-1)*100)&gt;100,"NM",IF(((DY45/DQ45-1)*100)&lt;-50,"NM",(DY45/DQ45-1)*100)))</f>
        <v>0.30627871362940429</v>
      </c>
      <c r="EA45" s="95">
        <v>459.8</v>
      </c>
      <c r="EB45" s="81">
        <f>IF(ISERROR((EA45/DS45-1)*100),"NA",IF(((EA45/DS45-1)*100)&gt;100,"NM",IF(((EA45/DS45-1)*100)&lt;-50,"NM",(EA45/DS45-1)*100)))</f>
        <v>-1.3516412786955589</v>
      </c>
      <c r="EC45" s="95">
        <v>453.8</v>
      </c>
      <c r="ED45" s="81">
        <f t="shared" ref="ED45:ED49" si="230">IF(ISERROR((EC45/DU45-1)*100),"NA",IF(((EC45/DU45-1)*100)&gt;100,"NM",IF(((EC45/DU45-1)*100)&lt;-50,"NM",(EC45/DU45-1)*100)))</f>
        <v>-4.3221589711153303</v>
      </c>
      <c r="EE45" s="95">
        <v>455.9</v>
      </c>
      <c r="EF45" s="81">
        <f t="shared" ref="EF45:EF49" si="231">IF(ISERROR((EE45/DW45-1)*100),"NA",IF(((EE45/DW45-1)*100)&gt;100,"NM",IF(((EE45/DW45-1)*100)&lt;-50,"NM",(EE45/DW45-1)*100)))</f>
        <v>-3.2470288624787846</v>
      </c>
      <c r="EG45" s="95">
        <v>457.1</v>
      </c>
      <c r="EH45" s="81">
        <f t="shared" ref="EH45:EH49" si="232">IF(ISERROR((EG45/DY45-1)*100),"NA",IF(((EG45/DY45-1)*100)&gt;100,"NM",IF(((EG45/DY45-1)*100)&lt;-50,"NM",(EG45/DY45-1)*100)))</f>
        <v>-0.30534351145037331</v>
      </c>
      <c r="EI45" s="95">
        <v>461.7</v>
      </c>
      <c r="EJ45" s="81">
        <f t="shared" ref="EJ45:EJ49" si="233">IF(ISERROR((EI45/EA45-1)*100),"NA",IF(((EI45/EA45-1)*100)&gt;100,"NM",IF(((EI45/EA45-1)*100)&lt;-50,"NM",(EI45/EA45-1)*100)))</f>
        <v>0.41322314049585529</v>
      </c>
      <c r="EK45" s="93">
        <f t="shared" ref="EK45:EQ45" si="234">+EK39*EK52/100</f>
        <v>480.17096578125</v>
      </c>
      <c r="EL45" s="81">
        <f t="shared" ref="EL45:EL49" si="235">IF(ISERROR((EK45/EC45-1)*100),"NA",IF(((EK45/EC45-1)*100)&gt;100,"NM",IF(((EK45/EC45-1)*100)&lt;-50,"NM",(EK45/EC45-1)*100)))</f>
        <v>5.8111427459784037</v>
      </c>
      <c r="EM45" s="93">
        <f t="shared" si="234"/>
        <v>482.60155428443971</v>
      </c>
      <c r="EN45" s="81">
        <f t="shared" ref="EN45:EN49" si="236">IF(ISERROR((EM45/EE45-1)*100),"NA",IF(((EM45/EE45-1)*100)&gt;100,"NM",IF(((EM45/EE45-1)*100)&lt;-50,"NM",(EM45/EE45-1)*100)))</f>
        <v>5.856888415099748</v>
      </c>
      <c r="EO45" s="93">
        <f t="shared" si="234"/>
        <v>481.16076235408678</v>
      </c>
      <c r="EP45" s="81">
        <f t="shared" ref="EP45:EP49" si="237">IF(ISERROR((EO45/EG45-1)*100),"NA",IF(((EO45/EG45-1)*100)&gt;100,"NM",IF(((EO45/EG45-1)*100)&lt;-50,"NM",(EO45/EG45-1)*100)))</f>
        <v>5.2637852448231826</v>
      </c>
      <c r="EQ45" s="93">
        <f t="shared" si="234"/>
        <v>478.96754030477126</v>
      </c>
      <c r="ER45" s="81">
        <f t="shared" ref="ER45:ER49" si="238">IF(ISERROR((EQ45/EI45-1)*100),"NA",IF(((EQ45/EI45-1)*100)&gt;100,"NM",IF(((EQ45/EI45-1)*100)&lt;-50,"NM",(EQ45/EI45-1)*100)))</f>
        <v>3.7399914023762859</v>
      </c>
      <c r="ES45" s="129"/>
      <c r="ET45" s="469"/>
      <c r="EU45" s="129"/>
      <c r="EV45" s="95"/>
      <c r="EW45" s="79"/>
      <c r="EX45" s="95"/>
      <c r="EY45" s="79"/>
      <c r="EZ45" s="131"/>
      <c r="FA45" s="79"/>
      <c r="FB45" s="35"/>
      <c r="FC45" s="79"/>
      <c r="FD45" s="129">
        <v>2148.5</v>
      </c>
      <c r="FE45" s="79" t="str">
        <f>IF(ISERROR((FD45/FB45-1)*100),"NA",IF(((FD45/FB45-1)*100)&gt;100,"NM",IF(((FD45/FB45-1)*100)&lt;-50,"NM",(FD45/FB45-1)*100)))</f>
        <v>NA</v>
      </c>
      <c r="FF45" s="129">
        <v>3412.1</v>
      </c>
      <c r="FG45" s="79">
        <f>IF(ISERROR((FF45/FD45-1)*100),"NA",IF(((FF45/FD45-1)*100)&gt;100,"NM",IF(((FF45/FD45-1)*100)&lt;-50,"NM",(FF45/FD45-1)*100)))</f>
        <v>58.81312543635093</v>
      </c>
      <c r="FH45" s="129">
        <v>2533.1</v>
      </c>
      <c r="FI45" s="79">
        <f>IF(ISERROR((FH45/FF45-1)*100),"NA",IF(((FH45/FF45-1)*100)&gt;100,"NM",IF(((FH45/FF45-1)*100)&lt;-50,"NM",(FH45/FF45-1)*100)))</f>
        <v>-25.761261393276868</v>
      </c>
      <c r="FJ45" s="35">
        <f>+AQ45+AO45+AM45+AK45</f>
        <v>2370.4</v>
      </c>
      <c r="FK45" s="79">
        <f>IF(ISERROR((FJ45/FH45-1)*100),"NA",IF(((FJ45/FH45-1)*100)&gt;100,"NM",IF(((FJ45/FH45-1)*100)&lt;-50,"NM",(FJ45/FH45-1)*100)))</f>
        <v>-6.4229600094745543</v>
      </c>
      <c r="FL45" s="78">
        <f>AS45+AU45+AW45+AY45</f>
        <v>2338.3000000000002</v>
      </c>
      <c r="FM45" s="79">
        <f>IF(ISERROR((FL45/FJ45-1)*100),"NA",IF(((FL45/FJ45-1)*100)&gt;100,"NM",IF(((FL45/FJ45-1)*100)&lt;-50,"NM",(FL45/FJ45-1)*100)))</f>
        <v>-1.354201822477219</v>
      </c>
      <c r="FN45" s="78">
        <f>BA45+BC45+BE45+BG45</f>
        <v>2211.1999999999998</v>
      </c>
      <c r="FO45" s="79">
        <f>IF(ISERROR((FN45/FL45-1)*100),"NA",IF(((FN45/FL45-1)*100)&gt;100,"NM",IF(((FN45/FL45-1)*100)&lt;-50,"NM",(FN45/FL45-1)*100)))</f>
        <v>-5.4355728520720348</v>
      </c>
      <c r="FP45" s="78">
        <f>BI45+BK45+BM45+BO45</f>
        <v>2043.9</v>
      </c>
      <c r="FQ45" s="79">
        <f>IF(ISERROR((FP45/FN45-1)*100),"NA",IF(((FP45/FN45-1)*100)&gt;100,"NM",IF(((FP45/FN45-1)*100)&lt;-50,"NM",(FP45/FN45-1)*100)))</f>
        <v>-7.566027496382044</v>
      </c>
      <c r="FR45" s="93">
        <f>BQ45+BS45+BU45+BW45</f>
        <v>1862.8000000000002</v>
      </c>
      <c r="FS45" s="79">
        <f>IF(ISERROR((FR45/FP45-1)*100),"NA",IF(((FR45/FP45-1)*100)&gt;100,"NM",IF(((FR45/FP45-1)*100)&lt;-50,"NM",(FR45/FP45-1)*100)))</f>
        <v>-8.8605117667204798</v>
      </c>
      <c r="FT45" s="93">
        <f>BY45+CA45+CC45+CE45</f>
        <v>1747.8000000000002</v>
      </c>
      <c r="FU45" s="79">
        <f>IF(ISERROR((FT45/FR45-1)*100),"NA",IF(((FT45/FR45-1)*100)&gt;100,"NM",IF(((FT45/FR45-1)*100)&lt;-50,"NM",(FT45/FR45-1)*100)))</f>
        <v>-6.1735022546703933</v>
      </c>
      <c r="FV45" s="93">
        <f>CG45+CI45+CK45+CM45</f>
        <v>1722.1000000000001</v>
      </c>
      <c r="FW45" s="79">
        <f>IF(ISERROR((FV45/FT45-1)*100),"NA",IF(((FV45/FT45-1)*100)&gt;100,"NM",IF(((FV45/FT45-1)*100)&lt;-50,"NM",(FV45/FT45-1)*100)))</f>
        <v>-1.4704199565167664</v>
      </c>
      <c r="FX45" s="93">
        <f>CO45+CQ45+CS45+CU45</f>
        <v>1741.6</v>
      </c>
      <c r="FY45" s="79">
        <f>IF(ISERROR((FX45/FV45-1)*100),"NA",IF(((FX45/FV45-1)*100)&gt;100,"NM",IF(((FX45/FV45-1)*100)&lt;-50,"NM",(FX45/FV45-1)*100)))</f>
        <v>1.1323384240171652</v>
      </c>
      <c r="FZ45" s="93">
        <f>CW45+CY45+DA45+DC45</f>
        <v>1732.9</v>
      </c>
      <c r="GA45" s="79">
        <f>IF(ISERROR((FZ45/FX45-1)*100),"NA",IF(((FZ45/FX45-1)*100)&gt;100,"NM",IF(((FZ45/FX45-1)*100)&lt;-50,"NM",(FZ45/FX45-1)*100)))</f>
        <v>-0.49954065227375555</v>
      </c>
      <c r="GB45" s="93">
        <f>DE45+DG45+DI45+DK45</f>
        <v>1746.4</v>
      </c>
      <c r="GC45" s="79">
        <f>IF(ISERROR((GB45/FZ45-1)*100),"NA",IF(((GB45/FZ45-1)*100)&gt;100,"NM",IF(((GB45/FZ45-1)*100)&lt;-50,"NM",(GB45/FZ45-1)*100)))</f>
        <v>0.77904091407468012</v>
      </c>
      <c r="GD45" s="93">
        <f>DM45+DO45+DQ45+DS45</f>
        <v>1834</v>
      </c>
      <c r="GE45" s="79">
        <f>IF(ISERROR((GD45/GB45-1)*100),"NA",IF(((GD45/GB45-1)*100)&gt;100,"NM",IF(((GD45/GB45-1)*100)&lt;-50,"NM",(GD45/GB45-1)*100)))</f>
        <v>5.0160329821346661</v>
      </c>
      <c r="GF45" s="93">
        <f>DU45+DW45+DY45+EA45</f>
        <v>1863.8</v>
      </c>
      <c r="GG45" s="79">
        <f>IF(ISERROR((GF45/GD45-1)*100),"NA",IF(((GF45/GD45-1)*100)&gt;100,"NM",IF(((GF45/GD45-1)*100)&lt;-50,"NM",(GF45/GD45-1)*100)))</f>
        <v>1.6248636859323762</v>
      </c>
      <c r="GH45" s="93">
        <f>EC45+EE45+EG45+EI45</f>
        <v>1828.5000000000002</v>
      </c>
      <c r="GI45" s="79">
        <f>IF(ISERROR((GH45/GF45-1)*100),"NA",IF(((GH45/GF45-1)*100)&gt;100,"NM",IF(((GH45/GF45-1)*100)&lt;-50,"NM",(GH45/GF45-1)*100)))</f>
        <v>-1.8939800407768881</v>
      </c>
      <c r="GJ45" s="93">
        <f>EK45+EM45+EO45+EQ45</f>
        <v>1922.9008227245479</v>
      </c>
      <c r="GK45" s="79">
        <f>IF(ISERROR((GJ45/GH45-1)*100),"NA",IF(((GJ45/GH45-1)*100)&gt;100,"NM",IF(((GJ45/GH45-1)*100)&lt;-50,"NM",(GJ45/GH45-1)*100)))</f>
        <v>5.1627466625401963</v>
      </c>
      <c r="GL45" s="93">
        <f>+GL39*GL52/100</f>
        <v>2004.3846472033601</v>
      </c>
      <c r="GM45" s="79">
        <f>IF(ISERROR((GL45/GJ45-1)*100),"NA",IF(((GL45/GJ45-1)*100)&gt;100,"NM",IF(((GL45/GJ45-1)*100)&lt;-50,"NM",(GL45/GJ45-1)*100)))</f>
        <v>4.2375469143207445</v>
      </c>
      <c r="GN45" s="93">
        <f>+GN39*GN52/100</f>
        <v>2091.8565861651196</v>
      </c>
      <c r="GO45" s="79">
        <f>IF(ISERROR((GN45/GL45-1)*100),"NA",IF(((GN45/GL45-1)*100)&gt;100,"NM",IF(((GN45/GL45-1)*100)&lt;-50,"NM",(GN45/GL45-1)*100)))</f>
        <v>4.3640295830346565</v>
      </c>
      <c r="GP45" s="93">
        <f>+GP39*GP52/100</f>
        <v>2185.3661955208941</v>
      </c>
      <c r="GQ45" s="79">
        <f>IF(ISERROR((GP45/GN45-1)*100),"NA",IF(((GP45/GN45-1)*100)&gt;100,"NM",IF(((GP45/GN45-1)*100)&lt;-50,"NM",(GP45/GN45-1)*100)))</f>
        <v>4.4701730498265313</v>
      </c>
      <c r="GR45" s="93">
        <f>+GR39*GR52/100</f>
        <v>2284.9981251905224</v>
      </c>
      <c r="GS45" s="79">
        <f>IF(ISERROR((GR45/GP45-1)*100),"NA",IF(((GR45/GP45-1)*100)&gt;100,"NM",IF(((GR45/GP45-1)*100)&lt;-50,"NM",(GR45/GP45-1)*100)))</f>
        <v>4.559049640002355</v>
      </c>
      <c r="GT45" s="79">
        <f>IF(ISERROR(((GR45/GH45)^0.2-1)*100),"NA",(IF(OR(((GR45/GH45)^0.2-1)*100&gt;99,((GR45/GH45)^0.2-1)*100&lt;-50),"NM",(((GR45/GH45)^0.2-1)*100))))</f>
        <v>4.5582189111376126</v>
      </c>
      <c r="GU45" s="562"/>
      <c r="GV45" s="562"/>
      <c r="GW45"/>
      <c r="GX45"/>
      <c r="GY45"/>
      <c r="GZ45"/>
      <c r="HA45"/>
      <c r="HB45"/>
      <c r="HC45" s="562"/>
      <c r="HD45" s="562"/>
      <c r="HE45" s="562"/>
      <c r="HF45" s="562"/>
      <c r="HG45" s="562"/>
      <c r="HH45" s="562"/>
      <c r="HI45" s="562"/>
      <c r="HJ45" s="562"/>
      <c r="HK45" s="562"/>
      <c r="HL45" s="562"/>
      <c r="HM45" s="562"/>
      <c r="HN45" s="562"/>
      <c r="HO45" s="562"/>
      <c r="HP45" s="562"/>
      <c r="HQ45" s="562"/>
      <c r="HR45" s="562"/>
      <c r="HS45" s="562"/>
      <c r="HT45" s="562"/>
      <c r="HU45" s="562"/>
      <c r="HV45" s="562"/>
      <c r="HW45" s="562"/>
      <c r="HX45" s="562"/>
      <c r="HY45" s="562"/>
      <c r="HZ45" s="562"/>
      <c r="IA45" s="562"/>
      <c r="IB45" s="562"/>
      <c r="IC45" s="562"/>
      <c r="ID45" s="562"/>
      <c r="IE45" s="562"/>
      <c r="IF45" s="562"/>
      <c r="IG45" s="562"/>
      <c r="IH45" s="562"/>
      <c r="II45" s="562"/>
      <c r="IJ45" s="562"/>
      <c r="IK45" s="562"/>
      <c r="IL45" s="562"/>
      <c r="IM45" s="562"/>
      <c r="IN45" s="562"/>
      <c r="IO45" s="562"/>
      <c r="IP45" s="562"/>
      <c r="IQ45" s="562"/>
      <c r="IR45" s="562"/>
      <c r="IS45" s="562"/>
      <c r="IT45" s="562"/>
      <c r="IU45" s="562"/>
      <c r="IV45" s="562"/>
      <c r="IW45" s="562"/>
      <c r="IX45" s="562"/>
      <c r="IY45" s="562"/>
      <c r="IZ45" s="562"/>
      <c r="JA45" s="562"/>
      <c r="JB45" s="562"/>
      <c r="JC45" s="562"/>
      <c r="JD45" s="562"/>
      <c r="JE45" s="562"/>
      <c r="JF45" s="562"/>
      <c r="JG45" s="562"/>
      <c r="JH45" s="562"/>
      <c r="JI45" s="562"/>
      <c r="JJ45" s="562"/>
      <c r="JK45" s="562"/>
      <c r="JL45" s="562"/>
      <c r="JM45" s="562"/>
      <c r="JN45" s="562"/>
      <c r="JO45" s="562"/>
      <c r="JP45" s="562"/>
      <c r="JQ45" s="562"/>
      <c r="JR45" s="562"/>
      <c r="JS45" s="562"/>
      <c r="JT45" s="562"/>
      <c r="JU45" s="562"/>
      <c r="JV45" s="562"/>
      <c r="JW45" s="562"/>
      <c r="JX45" s="562"/>
      <c r="JY45" s="562"/>
      <c r="JZ45" s="562"/>
    </row>
    <row r="46" spans="1:286" s="132" customFormat="1" ht="12.75" customHeight="1" x14ac:dyDescent="0.2">
      <c r="A46" s="133"/>
      <c r="B46" s="2" t="s">
        <v>114</v>
      </c>
      <c r="C46" s="79"/>
      <c r="D46" s="79"/>
      <c r="E46" s="129"/>
      <c r="F46" s="129"/>
      <c r="G46" s="129"/>
      <c r="H46" s="129"/>
      <c r="I46" s="129"/>
      <c r="J46" s="129"/>
      <c r="K46" s="129"/>
      <c r="L46" s="79"/>
      <c r="M46" s="129"/>
      <c r="N46" s="79"/>
      <c r="O46" s="129"/>
      <c r="P46" s="79"/>
      <c r="Q46" s="129"/>
      <c r="R46" s="79"/>
      <c r="S46" s="129"/>
      <c r="T46" s="79"/>
      <c r="U46" s="129"/>
      <c r="V46" s="79"/>
      <c r="W46" s="129"/>
      <c r="X46" s="79"/>
      <c r="Y46" s="129"/>
      <c r="Z46" s="79"/>
      <c r="AA46" s="130"/>
      <c r="AB46" s="79"/>
      <c r="AC46" s="129">
        <f>102.7-AE46</f>
        <v>51.800000000000004</v>
      </c>
      <c r="AD46" s="79" t="str">
        <f>IF(ISERROR((AC46/U46-1)*100),"NA",IF(((AC46/U46-1)*100)&gt;100,"NM",IF(((AC46/U46-1)*100)&lt;-50,"NM",(AC46/U46-1)*100)))</f>
        <v>NA</v>
      </c>
      <c r="AE46" s="129">
        <v>50.9</v>
      </c>
      <c r="AF46" s="79" t="str">
        <f>IF(ISERROR((AE46/W46-1)*100),"NA",IF(((AE46/W46-1)*100)&gt;100,"NM",IF(((AE46/W46-1)*100)&lt;-50,"NM",(AE46/W46-1)*100)))</f>
        <v>NA</v>
      </c>
      <c r="AG46" s="129">
        <v>49.4</v>
      </c>
      <c r="AH46" s="79" t="str">
        <f>IF(ISERROR((AG46/Y46-1)*100),"NA",IF(((AG46/Y46-1)*100)&gt;100,"NM",IF(((AG46/Y46-1)*100)&lt;-50,"NM",(AG46/Y46-1)*100)))</f>
        <v>NA</v>
      </c>
      <c r="AI46" s="127">
        <f>FH46-AG46-AE46-AC46</f>
        <v>46.899999999999984</v>
      </c>
      <c r="AJ46" s="79" t="str">
        <f>IF(ISERROR((AI46/AA46-1)*100),"NA",IF(((AI46/AA46-1)*100)&gt;100,"NM",IF(((AI46/AA46-1)*100)&lt;-50,"NM",(AI46/AA46-1)*100)))</f>
        <v>NA</v>
      </c>
      <c r="AK46" s="129">
        <f>96-AM46</f>
        <v>48.1</v>
      </c>
      <c r="AL46" s="79">
        <f>IF(ISERROR((AK46/AC46-1)*100),"NA",IF(((AK46/AC46-1)*100)&gt;100,"NM",IF(((AK46/AC46-1)*100)&lt;-50,"NM",(AK46/AC46-1)*100)))</f>
        <v>-7.1428571428571512</v>
      </c>
      <c r="AM46" s="129">
        <v>47.9</v>
      </c>
      <c r="AN46" s="79">
        <f>IF(ISERROR((AM46/AE46-1)*100),"NA",IF(((AM46/AE46-1)*100)&gt;100,"NM",IF(((AM46/AE46-1)*100)&lt;-50,"NM",(AM46/AE46-1)*100)))</f>
        <v>-5.8939096267190516</v>
      </c>
      <c r="AO46" s="129">
        <v>39</v>
      </c>
      <c r="AP46" s="79">
        <f>IF(ISERROR((AO46/AG46-1)*100),"NA",IF(((AO46/AG46-1)*100)&gt;100,"NM",IF(((AO46/AG46-1)*100)&lt;-50,"NM",(AO46/AG46-1)*100)))</f>
        <v>-21.052631578947366</v>
      </c>
      <c r="AQ46" s="129">
        <v>40.1</v>
      </c>
      <c r="AR46" s="79">
        <f>IF(ISERROR((AQ46/AI46-1)*100),"NA",IF(((AQ46/AI46-1)*100)&gt;100,"NM",IF(((AQ46/AI46-1)*100)&lt;-50,"NM",(AQ46/AI46-1)*100)))</f>
        <v>-14.498933901918942</v>
      </c>
      <c r="AS46" s="129">
        <v>46.6</v>
      </c>
      <c r="AT46" s="81">
        <f>IF(ISERROR((AS46/AK46-1)*100),"NA",IF(((AS46/AK46-1)*100)&gt;100,"NM",IF(((AS46/AK46-1)*100)&lt;-50,"NM",(AS46/AK46-1)*100)))</f>
        <v>-3.1185031185031131</v>
      </c>
      <c r="AU46" s="129">
        <v>44.1</v>
      </c>
      <c r="AV46" s="81">
        <f>IF(ISERROR((AU46/AM46-1)*100),"NA",IF(((AU46/AM46-1)*100)&gt;100,"NM",IF(((AU46/AM46-1)*100)&lt;-50,"NM",(AU46/AM46-1)*100)))</f>
        <v>-7.9331941544885094</v>
      </c>
      <c r="AW46" s="129">
        <v>42.1</v>
      </c>
      <c r="AX46" s="81">
        <f>IF(ISERROR((AW46/AO46-1)*100),"NA",IF(((AW46/AO46-1)*100)&gt;100,"NM",IF(((AW46/AO46-1)*100)&lt;-50,"NM",(AW46/AO46-1)*100)))</f>
        <v>7.9487179487179427</v>
      </c>
      <c r="AY46" s="129">
        <v>43</v>
      </c>
      <c r="AZ46" s="81">
        <f>IF(ISERROR((AY46/AQ46-1)*100),"NA",IF(((AY46/AQ46-1)*100)&gt;100,"NM",IF(((AY46/AQ46-1)*100)&lt;-50,"NM",(AY46/AQ46-1)*100)))</f>
        <v>7.2319201995012516</v>
      </c>
      <c r="BA46" s="129">
        <v>45.4</v>
      </c>
      <c r="BB46" s="81">
        <f>IF(ISERROR((BA46/AS46-1)*100),"NA",IF(((BA46/AS46-1)*100)&gt;100,"NM",IF(((BA46/AS46-1)*100)&lt;-50,"NM",(BA46/AS46-1)*100)))</f>
        <v>-2.5751072961373467</v>
      </c>
      <c r="BC46" s="129">
        <v>41.5</v>
      </c>
      <c r="BD46" s="81">
        <f>IF(ISERROR((BC46/AU46-1)*100),"NA",IF(((BC46/AU46-1)*100)&gt;100,"NM",IF(((BC46/AU46-1)*100)&lt;-50,"NM",(BC46/AU46-1)*100)))</f>
        <v>-5.8956916099773267</v>
      </c>
      <c r="BE46" s="129">
        <v>40.5</v>
      </c>
      <c r="BF46" s="81">
        <f>IF(ISERROR((BE46/AW46-1)*100),"NA",IF(((BE46/AW46-1)*100)&gt;100,"NM",IF(((BE46/AW46-1)*100)&lt;-50,"NM",(BE46/AW46-1)*100)))</f>
        <v>-3.8004750593824244</v>
      </c>
      <c r="BG46" s="129">
        <v>40.299999999999997</v>
      </c>
      <c r="BH46" s="81">
        <f>IF(ISERROR((BG46/AY46-1)*100),"NA",IF(((BG46/AY46-1)*100)&gt;100,"NM",IF(((BG46/AY46-1)*100)&lt;-50,"NM",(BG46/AY46-1)*100)))</f>
        <v>-6.2790697674418698</v>
      </c>
      <c r="BI46" s="129">
        <v>42.8</v>
      </c>
      <c r="BJ46" s="81">
        <f>IF(ISERROR((BI46/BA46-1)*100),"NA",IF(((BI46/BA46-1)*100)&gt;100,"NM",IF(((BI46/BA46-1)*100)&lt;-50,"NM",(BI46/BA46-1)*100)))</f>
        <v>-5.7268722466960353</v>
      </c>
      <c r="BK46" s="129">
        <v>41.6</v>
      </c>
      <c r="BL46" s="81">
        <f>IF(ISERROR((BK46/BC46-1)*100),"NA",IF(((BK46/BC46-1)*100)&gt;100,"NM",IF(((BK46/BC46-1)*100)&lt;-50,"NM",(BK46/BC46-1)*100)))</f>
        <v>0.24096385542169418</v>
      </c>
      <c r="BM46" s="129">
        <v>41.7</v>
      </c>
      <c r="BN46" s="81">
        <f>IF(ISERROR((BM46/BE46-1)*100),"NA",IF(((BM46/BE46-1)*100)&gt;100,"NM",IF(((BM46/BE46-1)*100)&lt;-50,"NM",(BM46/BE46-1)*100)))</f>
        <v>2.9629629629629672</v>
      </c>
      <c r="BO46" s="129">
        <v>39.799999999999997</v>
      </c>
      <c r="BP46" s="81">
        <f>IF(ISERROR((BO46/BG46-1)*100),"NA",IF(((BO46/BG46-1)*100)&gt;100,"NM",IF(((BO46/BG46-1)*100)&lt;-50,"NM",(BO46/BG46-1)*100)))</f>
        <v>-1.2406947890818865</v>
      </c>
      <c r="BQ46" s="129">
        <v>42.1</v>
      </c>
      <c r="BR46" s="81">
        <f>IF(ISERROR((BQ46/BI46-1)*100),"NA",IF(((BQ46/BI46-1)*100)&gt;100,"NM",IF(((BQ46/BI46-1)*100)&lt;-50,"NM",(BQ46/BI46-1)*100)))</f>
        <v>-1.6355140186915751</v>
      </c>
      <c r="BS46" s="129">
        <v>41.5</v>
      </c>
      <c r="BT46" s="81">
        <f>IF(ISERROR((BS46/BK46-1)*100),"NA",IF(((BS46/BK46-1)*100)&gt;100,"NM",IF(((BS46/BK46-1)*100)&lt;-50,"NM",(BS46/BK46-1)*100)))</f>
        <v>-0.24038461538461453</v>
      </c>
      <c r="BU46" s="129">
        <v>39.9</v>
      </c>
      <c r="BV46" s="81">
        <f>IF(ISERROR((BU46/BM46-1)*100),"NA",IF(((BU46/BM46-1)*100)&gt;100,"NM",IF(((BU46/BM46-1)*100)&lt;-50,"NM",(BU46/BM46-1)*100)))</f>
        <v>-4.316546762589935</v>
      </c>
      <c r="BW46" s="129">
        <v>38.700000000000003</v>
      </c>
      <c r="BX46" s="81">
        <f>IF(ISERROR((BW46/BO46-1)*100),"NA",IF(((BW46/BO46-1)*100)&gt;100,"NM",IF(((BW46/BO46-1)*100)&lt;-50,"NM",(BW46/BO46-1)*100)))</f>
        <v>-2.7638190954773711</v>
      </c>
      <c r="BY46" s="129">
        <f>41.1</f>
        <v>41.1</v>
      </c>
      <c r="BZ46" s="81">
        <f>IF(ISERROR((BY46/BQ46-1)*100),"NA",IF(((BY46/BQ46-1)*100)&gt;100,"NM",IF(((BY46/BQ46-1)*100)&lt;-50,"NM",(BY46/BQ46-1)*100)))</f>
        <v>-2.3752969121140111</v>
      </c>
      <c r="CA46" s="129">
        <v>39.6</v>
      </c>
      <c r="CB46" s="81">
        <f>IF(ISERROR((CA46/BS46-1)*100),"NA",IF(((CA46/BS46-1)*100)&gt;100,"NM",IF(((CA46/BS46-1)*100)&lt;-50,"NM",(CA46/BS46-1)*100)))</f>
        <v>-4.5783132530120447</v>
      </c>
      <c r="CC46" s="129">
        <v>38.5</v>
      </c>
      <c r="CD46" s="81">
        <f>IF(ISERROR((CC46/BU46-1)*100),"NA",IF(((CC46/BU46-1)*100)&gt;100,"NM",IF(((CC46/BU46-1)*100)&lt;-50,"NM",(CC46/BU46-1)*100)))</f>
        <v>-3.5087719298245612</v>
      </c>
      <c r="CE46" s="129">
        <v>40.5</v>
      </c>
      <c r="CF46" s="81">
        <f>IF(ISERROR((CE46/BW46-1)*100),"NA",IF(((CE46/BW46-1)*100)&gt;100,"NM",IF(((CE46/BW46-1)*100)&lt;-50,"NM",(CE46/BW46-1)*100)))</f>
        <v>4.6511627906976605</v>
      </c>
      <c r="CG46" s="129">
        <v>40.799999999999997</v>
      </c>
      <c r="CH46" s="81">
        <f>IF(ISERROR((CG46/BY46-1)*100),"NA",IF(((CG46/BY46-1)*100)&gt;100,"NM",IF(((CG46/BY46-1)*100)&lt;-50,"NM",(CG46/BY46-1)*100)))</f>
        <v>-0.72992700729928028</v>
      </c>
      <c r="CI46" s="129">
        <v>39.5</v>
      </c>
      <c r="CJ46" s="81">
        <f>IF(ISERROR((CI46/CA46-1)*100),"NA",IF(((CI46/CA46-1)*100)&gt;100,"NM",IF(((CI46/CA46-1)*100)&lt;-50,"NM",(CI46/CA46-1)*100)))</f>
        <v>-0.2525252525252597</v>
      </c>
      <c r="CK46" s="129">
        <v>39.9</v>
      </c>
      <c r="CL46" s="81">
        <f>IF(ISERROR((CK46/CC46-1)*100),"NA",IF(((CK46/CC46-1)*100)&gt;100,"NM",IF(((CK46/CC46-1)*100)&lt;-50,"NM",(CK46/CC46-1)*100)))</f>
        <v>3.6363636363636376</v>
      </c>
      <c r="CM46" s="129">
        <v>39.299999999999997</v>
      </c>
      <c r="CN46" s="81">
        <f>IF(ISERROR((CM46/CE46-1)*100),"NA",IF(((CM46/CE46-1)*100)&gt;100,"NM",IF(((CM46/CE46-1)*100)&lt;-50,"NM",(CM46/CE46-1)*100)))</f>
        <v>-2.9629629629629672</v>
      </c>
      <c r="CO46" s="129">
        <v>40.4</v>
      </c>
      <c r="CP46" s="81">
        <f>IF(ISERROR((CO46/CG46-1)*100),"NA",IF(((CO46/CG46-1)*100)&gt;100,"NM",IF(((CO46/CG46-1)*100)&lt;-50,"NM",(CO46/CG46-1)*100)))</f>
        <v>-0.98039215686274161</v>
      </c>
      <c r="CQ46" s="129">
        <v>40.299999999999997</v>
      </c>
      <c r="CR46" s="81">
        <f>IF(ISERROR((CQ46/CI46-1)*100),"NA",IF(((CQ46/CI46-1)*100)&gt;100,"NM",IF(((CQ46/CI46-1)*100)&lt;-50,"NM",(CQ46/CI46-1)*100)))</f>
        <v>2.0253164556961911</v>
      </c>
      <c r="CS46" s="129">
        <v>39.4</v>
      </c>
      <c r="CT46" s="81">
        <f>IF(ISERROR((CS46/CK46-1)*100),"NA",IF(((CS46/CK46-1)*100)&gt;100,"NM",IF(((CS46/CK46-1)*100)&lt;-50,"NM",(CS46/CK46-1)*100)))</f>
        <v>-1.253132832080206</v>
      </c>
      <c r="CU46" s="129">
        <v>39.200000000000003</v>
      </c>
      <c r="CV46" s="81">
        <f>IF(ISERROR((CU46/CM46-1)*100),"NA",IF(((CU46/CM46-1)*100)&gt;100,"NM",IF(((CU46/CM46-1)*100)&lt;-50,"NM",(CU46/CM46-1)*100)))</f>
        <v>-0.25445292620863702</v>
      </c>
      <c r="CW46" s="129">
        <v>43.6</v>
      </c>
      <c r="CX46" s="81">
        <f>IF(ISERROR((CW46/CO46-1)*100),"NA",IF(((CW46/CO46-1)*100)&gt;100,"NM",IF(((CW46/CO46-1)*100)&lt;-50,"NM",(CW46/CO46-1)*100)))</f>
        <v>7.9207920792079278</v>
      </c>
      <c r="CY46" s="129">
        <v>40.700000000000003</v>
      </c>
      <c r="CZ46" s="81">
        <f>IF(ISERROR((CY46/CQ46-1)*100),"NA",IF(((CY46/CQ46-1)*100)&gt;100,"NM",IF(((CY46/CQ46-1)*100)&lt;-50,"NM",(CY46/CQ46-1)*100)))</f>
        <v>0.99255583126551805</v>
      </c>
      <c r="DA46" s="129">
        <v>40.299999999999997</v>
      </c>
      <c r="DB46" s="81">
        <f>IF(ISERROR((DA46/CS46-1)*100),"NA",IF(((DA46/CS46-1)*100)&gt;100,"NM",IF(((DA46/CS46-1)*100)&lt;-50,"NM",(DA46/CS46-1)*100)))</f>
        <v>2.2842639593908531</v>
      </c>
      <c r="DC46" s="129">
        <v>39.4</v>
      </c>
      <c r="DD46" s="81">
        <f>IF(ISERROR((DC46/CU46-1)*100),"NA",IF(((DC46/CU46-1)*100)&gt;100,"NM",IF(((DC46/CU46-1)*100)&lt;-50,"NM",(DC46/CU46-1)*100)))</f>
        <v>0.51020408163264808</v>
      </c>
      <c r="DE46" s="129">
        <v>41.4</v>
      </c>
      <c r="DF46" s="81">
        <f>IF(ISERROR((DE46/CW46-1)*100),"NA",IF(((DE46/CW46-1)*100)&gt;100,"NM",IF(((DE46/CW46-1)*100)&lt;-50,"NM",(DE46/CW46-1)*100)))</f>
        <v>-5.0458715596330306</v>
      </c>
      <c r="DG46" s="129">
        <v>39.799999999999997</v>
      </c>
      <c r="DH46" s="81">
        <f>IF(ISERROR((DG46/CY46-1)*100),"NA",IF(((DG46/CY46-1)*100)&gt;100,"NM",IF(((DG46/CY46-1)*100)&lt;-50,"NM",(DG46/CY46-1)*100)))</f>
        <v>-2.211302211302224</v>
      </c>
      <c r="DI46" s="129">
        <v>39.700000000000003</v>
      </c>
      <c r="DJ46" s="81">
        <f>IF(ISERROR((DI46/DA46-1)*100),"NA",IF(((DI46/DA46-1)*100)&gt;100,"NM",IF(((DI46/DA46-1)*100)&lt;-50,"NM",(DI46/DA46-1)*100)))</f>
        <v>-1.4888337468982438</v>
      </c>
      <c r="DK46" s="129">
        <v>40.299999999999997</v>
      </c>
      <c r="DL46" s="81">
        <f>IF(ISERROR((DK46/DC46-1)*100),"NA",IF(((DK46/DC46-1)*100)&gt;100,"NM",IF(((DK46/DC46-1)*100)&lt;-50,"NM",(DK46/DC46-1)*100)))</f>
        <v>2.2842639593908531</v>
      </c>
      <c r="DM46" s="129">
        <v>44.5</v>
      </c>
      <c r="DN46" s="81">
        <f>IF(ISERROR((DM46/DE46-1)*100),"NA",IF(((DM46/DE46-1)*100)&gt;100,"NM",IF(((DM46/DE46-1)*100)&lt;-50,"NM",(DM46/DE46-1)*100)))</f>
        <v>7.4879227053140207</v>
      </c>
      <c r="DO46" s="129">
        <v>42</v>
      </c>
      <c r="DP46" s="81">
        <f>IF(ISERROR((DO46/DG46-1)*100),"NA",IF(((DO46/DG46-1)*100)&gt;100,"NM",IF(((DO46/DG46-1)*100)&lt;-50,"NM",(DO46/DG46-1)*100)))</f>
        <v>5.5276381909547867</v>
      </c>
      <c r="DQ46" s="129">
        <v>42.4</v>
      </c>
      <c r="DR46" s="81">
        <f>IF(ISERROR((DQ46/DI46-1)*100),"NA",IF(((DQ46/DI46-1)*100)&gt;100,"NM",IF(((DQ46/DI46-1)*100)&lt;-50,"NM",(DQ46/DI46-1)*100)))</f>
        <v>6.8010075566750539</v>
      </c>
      <c r="DS46" s="129">
        <v>43.3</v>
      </c>
      <c r="DT46" s="81">
        <f>IF(ISERROR((DS46/DK46-1)*100),"NA",IF(((DS46/DK46-1)*100)&gt;100,"NM",IF(((DS46/DK46-1)*100)&lt;-50,"NM",(DS46/DK46-1)*100)))</f>
        <v>7.4441687344913188</v>
      </c>
      <c r="DU46" s="129">
        <v>45.2</v>
      </c>
      <c r="DV46" s="81">
        <f>IF(ISERROR((DU46/DM46-1)*100),"NA",IF(((DU46/DM46-1)*100)&gt;100,"NM",IF(((DU46/DM46-1)*100)&lt;-50,"NM",(DU46/DM46-1)*100)))</f>
        <v>1.5730337078651679</v>
      </c>
      <c r="DW46" s="129">
        <v>44.9</v>
      </c>
      <c r="DX46" s="81">
        <f>IF(ISERROR((DW46/DO46-1)*100),"NA",IF(((DW46/DO46-1)*100)&gt;100,"NM",IF(((DW46/DO46-1)*100)&lt;-50,"NM",(DW46/DO46-1)*100)))</f>
        <v>6.9047619047619024</v>
      </c>
      <c r="DY46" s="129">
        <v>44.2</v>
      </c>
      <c r="DZ46" s="81">
        <f>IF(ISERROR((DY46/DQ46-1)*100),"NA",IF(((DY46/DQ46-1)*100)&gt;100,"NM",IF(((DY46/DQ46-1)*100)&lt;-50,"NM",(DY46/DQ46-1)*100)))</f>
        <v>4.2452830188679291</v>
      </c>
      <c r="EA46" s="129">
        <v>43.9</v>
      </c>
      <c r="EB46" s="81">
        <f>IF(ISERROR((EA46/DS46-1)*100),"NA",IF(((EA46/DS46-1)*100)&gt;100,"NM",IF(((EA46/DS46-1)*100)&lt;-50,"NM",(EA46/DS46-1)*100)))</f>
        <v>1.3856812933025431</v>
      </c>
      <c r="EC46" s="129">
        <v>46.4</v>
      </c>
      <c r="ED46" s="81">
        <f t="shared" si="230"/>
        <v>2.6548672566371501</v>
      </c>
      <c r="EE46" s="129">
        <v>44.9</v>
      </c>
      <c r="EF46" s="81">
        <f t="shared" si="231"/>
        <v>0</v>
      </c>
      <c r="EG46" s="129">
        <v>45.8</v>
      </c>
      <c r="EH46" s="81">
        <f t="shared" si="232"/>
        <v>3.6199095022624306</v>
      </c>
      <c r="EI46" s="129">
        <v>44.8</v>
      </c>
      <c r="EJ46" s="81">
        <f t="shared" si="233"/>
        <v>2.0501138952163878</v>
      </c>
      <c r="EK46" s="129">
        <f>EI46*1.005</f>
        <v>45.023999999999994</v>
      </c>
      <c r="EL46" s="81">
        <f t="shared" si="235"/>
        <v>-2.9655172413793229</v>
      </c>
      <c r="EM46" s="129">
        <f>EK46*1.01</f>
        <v>45.474239999999995</v>
      </c>
      <c r="EN46" s="81">
        <f t="shared" si="236"/>
        <v>1.2789309576837438</v>
      </c>
      <c r="EO46" s="129">
        <f>EM46*1.01</f>
        <v>45.928982399999995</v>
      </c>
      <c r="EP46" s="81">
        <f t="shared" si="237"/>
        <v>0.28162096069868081</v>
      </c>
      <c r="EQ46" s="129">
        <f>EO46*1.01</f>
        <v>46.388272223999998</v>
      </c>
      <c r="ER46" s="81">
        <f t="shared" si="238"/>
        <v>3.5452505000000079</v>
      </c>
      <c r="ES46" s="129"/>
      <c r="ET46" s="469"/>
      <c r="EU46" s="129"/>
      <c r="EV46" s="95"/>
      <c r="EW46" s="79"/>
      <c r="EX46" s="95"/>
      <c r="EY46" s="79"/>
      <c r="EZ46" s="131"/>
      <c r="FA46" s="79"/>
      <c r="FB46" s="35"/>
      <c r="FC46" s="79"/>
      <c r="FD46" s="95">
        <v>205.6</v>
      </c>
      <c r="FE46" s="79" t="str">
        <f>IF(ISERROR((FD46/FB46-1)*100),"NA",IF(((FD46/FB46-1)*100)&gt;100,"NM",IF(((FD46/FB46-1)*100)&lt;-50,"NM",(FD46/FB46-1)*100)))</f>
        <v>NA</v>
      </c>
      <c r="FF46" s="95">
        <v>200.1</v>
      </c>
      <c r="FG46" s="79">
        <f>IF(ISERROR((FF46/FD46-1)*100),"NA",IF(((FF46/FD46-1)*100)&gt;100,"NM",IF(((FF46/FD46-1)*100)&lt;-50,"NM",(FF46/FD46-1)*100)))</f>
        <v>-2.675097276264593</v>
      </c>
      <c r="FH46" s="95">
        <v>199</v>
      </c>
      <c r="FI46" s="79">
        <f>IF(ISERROR((FH46/FF46-1)*100),"NA",IF(((FH46/FF46-1)*100)&gt;100,"NM",IF(((FH46/FF46-1)*100)&lt;-50,"NM",(FH46/FF46-1)*100)))</f>
        <v>-0.54972513743127838</v>
      </c>
      <c r="FJ46" s="35">
        <f>+AQ46+AO46+AM46+AK46</f>
        <v>175.1</v>
      </c>
      <c r="FK46" s="79">
        <f>IF(ISERROR((FJ46/FH46-1)*100),"NA",IF(((FJ46/FH46-1)*100)&gt;100,"NM",IF(((FJ46/FH46-1)*100)&lt;-50,"NM",(FJ46/FH46-1)*100)))</f>
        <v>-12.010050251256288</v>
      </c>
      <c r="FL46" s="78">
        <f>AS46+AU46+AW46+AY46</f>
        <v>175.8</v>
      </c>
      <c r="FM46" s="79">
        <f>IF(ISERROR((FL46/FJ46-1)*100),"NA",IF(((FL46/FJ46-1)*100)&gt;100,"NM",IF(((FL46/FJ46-1)*100)&lt;-50,"NM",(FL46/FJ46-1)*100)))</f>
        <v>0.39977155910908557</v>
      </c>
      <c r="FN46" s="78">
        <f>BA46+BC46+BE46+BG46</f>
        <v>167.7</v>
      </c>
      <c r="FO46" s="79">
        <f>IF(ISERROR((FN46/FL46-1)*100),"NA",IF(((FN46/FL46-1)*100)&gt;100,"NM",IF(((FN46/FL46-1)*100)&lt;-50,"NM",(FN46/FL46-1)*100)))</f>
        <v>-4.6075085324232212</v>
      </c>
      <c r="FP46" s="78">
        <f>BI46+BK46+BM46+BO46</f>
        <v>165.9</v>
      </c>
      <c r="FQ46" s="79">
        <f>IF(ISERROR((FP46/FN46-1)*100),"NA",IF(((FP46/FN46-1)*100)&gt;100,"NM",IF(((FP46/FN46-1)*100)&lt;-50,"NM",(FP46/FN46-1)*100)))</f>
        <v>-1.0733452593917558</v>
      </c>
      <c r="FR46" s="35">
        <f>BQ46+BS46+BU46+BW46</f>
        <v>162.19999999999999</v>
      </c>
      <c r="FS46" s="79">
        <f>IF(ISERROR((FR46/FP46-1)*100),"NA",IF(((FR46/FP46-1)*100)&gt;100,"NM",IF(((FR46/FP46-1)*100)&lt;-50,"NM",(FR46/FP46-1)*100)))</f>
        <v>-2.2302591922845227</v>
      </c>
      <c r="FT46" s="35">
        <f>BY46+CA46+CC46+CE46</f>
        <v>159.69999999999999</v>
      </c>
      <c r="FU46" s="79">
        <f>IF(ISERROR((FT46/FR46-1)*100),"NA",IF(((FT46/FR46-1)*100)&gt;100,"NM",IF(((FT46/FR46-1)*100)&lt;-50,"NM",(FT46/FR46-1)*100)))</f>
        <v>-1.5413070283600505</v>
      </c>
      <c r="FV46" s="35">
        <f>CG46+CI46+CK46+CM46</f>
        <v>159.5</v>
      </c>
      <c r="FW46" s="79">
        <f>IF(ISERROR((FV46/FT46-1)*100),"NA",IF(((FV46/FT46-1)*100)&gt;100,"NM",IF(((FV46/FT46-1)*100)&lt;-50,"NM",(FV46/FT46-1)*100)))</f>
        <v>-0.12523481527864089</v>
      </c>
      <c r="FX46" s="35">
        <f>CO46+CQ46+CS46+CU46</f>
        <v>159.30000000000001</v>
      </c>
      <c r="FY46" s="79">
        <f>IF(ISERROR((FX46/FV46-1)*100),"NA",IF(((FX46/FV46-1)*100)&gt;100,"NM",IF(((FX46/FV46-1)*100)&lt;-50,"NM",(FX46/FV46-1)*100)))</f>
        <v>-0.12539184952977678</v>
      </c>
      <c r="FZ46" s="35">
        <f>CW46+CY46+DA46+DC46</f>
        <v>164</v>
      </c>
      <c r="GA46" s="79">
        <f>IF(ISERROR((FZ46/FX46-1)*100),"NA",IF(((FZ46/FX46-1)*100)&gt;100,"NM",IF(((FZ46/FX46-1)*100)&lt;-50,"NM",(FZ46/FX46-1)*100)))</f>
        <v>2.9504080351537842</v>
      </c>
      <c r="GB46" s="35">
        <f>DE46+DG46+DI46+DK46</f>
        <v>161.19999999999999</v>
      </c>
      <c r="GC46" s="79">
        <f>IF(ISERROR((GB46/FZ46-1)*100),"NA",IF(((GB46/FZ46-1)*100)&gt;100,"NM",IF(((GB46/FZ46-1)*100)&lt;-50,"NM",(GB46/FZ46-1)*100)))</f>
        <v>-1.7073170731707332</v>
      </c>
      <c r="GD46" s="35">
        <f>DM46+DO46+DQ46+DS46</f>
        <v>172.2</v>
      </c>
      <c r="GE46" s="79">
        <f>IF(ISERROR((GD46/GB46-1)*100),"NA",IF(((GD46/GB46-1)*100)&gt;100,"NM",IF(((GD46/GB46-1)*100)&lt;-50,"NM",(GD46/GB46-1)*100)))</f>
        <v>6.8238213399503644</v>
      </c>
      <c r="GF46" s="35">
        <f>DU46+DW46+DY46+EA46</f>
        <v>178.20000000000002</v>
      </c>
      <c r="GG46" s="79">
        <f>IF(ISERROR((GF46/GD46-1)*100),"NA",IF(((GF46/GD46-1)*100)&gt;100,"NM",IF(((GF46/GD46-1)*100)&lt;-50,"NM",(GF46/GD46-1)*100)))</f>
        <v>3.484320557491305</v>
      </c>
      <c r="GH46" s="35">
        <f>EC46+EE46+EG46+EI46</f>
        <v>181.89999999999998</v>
      </c>
      <c r="GI46" s="79">
        <f>IF(ISERROR((GH46/GF46-1)*100),"NA",IF(((GH46/GF46-1)*100)&gt;100,"NM",IF(((GH46/GF46-1)*100)&lt;-50,"NM",(GH46/GF46-1)*100)))</f>
        <v>2.0763187429853946</v>
      </c>
      <c r="GJ46" s="35">
        <f>EK46+EM46+EO46+EQ46</f>
        <v>182.81549462399997</v>
      </c>
      <c r="GK46" s="79">
        <f>IF(ISERROR((GJ46/GH46-1)*100),"NA",IF(((GJ46/GH46-1)*100)&gt;100,"NM",IF(((GJ46/GH46-1)*100)&lt;-50,"NM",(GJ46/GH46-1)*100)))</f>
        <v>0.50329556019790278</v>
      </c>
      <c r="GL46" s="129">
        <f>GJ46*1.03</f>
        <v>188.29995946271998</v>
      </c>
      <c r="GM46" s="79">
        <f>IF(ISERROR((GL46/GJ46-1)*100),"NA",IF(((GL46/GJ46-1)*100)&gt;100,"NM",IF(((GL46/GJ46-1)*100)&lt;-50,"NM",(GL46/GJ46-1)*100)))</f>
        <v>3.0000000000000027</v>
      </c>
      <c r="GN46" s="129">
        <f>GL46*1.03</f>
        <v>193.94895824660159</v>
      </c>
      <c r="GO46" s="79">
        <f>IF(ISERROR((GN46/GL46-1)*100),"NA",IF(((GN46/GL46-1)*100)&gt;100,"NM",IF(((GN46/GL46-1)*100)&lt;-50,"NM",(GN46/GL46-1)*100)))</f>
        <v>3.0000000000000027</v>
      </c>
      <c r="GP46" s="129">
        <f>GN46*1.03</f>
        <v>199.76742699399963</v>
      </c>
      <c r="GQ46" s="79">
        <f>IF(ISERROR((GP46/GN46-1)*100),"NA",IF(((GP46/GN46-1)*100)&gt;100,"NM",IF(((GP46/GN46-1)*100)&lt;-50,"NM",(GP46/GN46-1)*100)))</f>
        <v>3.0000000000000027</v>
      </c>
      <c r="GR46" s="129">
        <f>GP46*1.03</f>
        <v>205.76044980381963</v>
      </c>
      <c r="GS46" s="79">
        <f>IF(ISERROR((GR46/GP46-1)*100),"NA",IF(((GR46/GP46-1)*100)&gt;100,"NM",IF(((GR46/GP46-1)*100)&lt;-50,"NM",(GR46/GP46-1)*100)))</f>
        <v>3.0000000000000027</v>
      </c>
      <c r="GT46" s="79">
        <f>IF(ISERROR(((GR46/GH46)^0.2-1)*100),"NA",(IF(OR(((GR46/GH46)^0.2-1)*100&gt;99,((GR46/GH46)^0.2-1)*100&lt;-50),"NM",(((GR46/GH46)^0.2-1)*100))))</f>
        <v>2.4957459002277194</v>
      </c>
      <c r="GU46" s="562"/>
      <c r="GV46" s="562"/>
      <c r="GW46"/>
      <c r="GX46"/>
      <c r="GY46"/>
      <c r="GZ46"/>
      <c r="HA46"/>
      <c r="HB46"/>
      <c r="HC46" s="562"/>
      <c r="HD46" s="562"/>
      <c r="HE46" s="562"/>
      <c r="HF46" s="562"/>
      <c r="HG46" s="562"/>
      <c r="HH46" s="562"/>
      <c r="HI46" s="562"/>
      <c r="HJ46" s="562"/>
      <c r="HK46" s="562"/>
      <c r="HL46" s="562"/>
      <c r="HM46" s="562"/>
      <c r="HN46" s="562"/>
      <c r="HO46" s="562"/>
      <c r="HP46" s="562"/>
      <c r="HQ46" s="562"/>
      <c r="HR46" s="562"/>
      <c r="HS46" s="562"/>
      <c r="HT46" s="562"/>
      <c r="HU46" s="562"/>
      <c r="HV46" s="562"/>
      <c r="HW46" s="562"/>
      <c r="HX46" s="562"/>
      <c r="HY46" s="562"/>
      <c r="HZ46" s="562"/>
      <c r="IA46" s="562"/>
      <c r="IB46" s="562"/>
      <c r="IC46" s="562"/>
      <c r="ID46" s="562"/>
      <c r="IE46" s="562"/>
      <c r="IF46" s="562"/>
      <c r="IG46" s="562"/>
      <c r="IH46" s="562"/>
      <c r="II46" s="562"/>
      <c r="IJ46" s="562"/>
      <c r="IK46" s="562"/>
      <c r="IL46" s="562"/>
      <c r="IM46" s="562"/>
      <c r="IN46" s="562"/>
      <c r="IO46" s="562"/>
      <c r="IP46" s="562"/>
      <c r="IQ46" s="562"/>
      <c r="IR46" s="562"/>
      <c r="IS46" s="562"/>
      <c r="IT46" s="562"/>
      <c r="IU46" s="562"/>
      <c r="IV46" s="562"/>
      <c r="IW46" s="562"/>
      <c r="IX46" s="562"/>
      <c r="IY46" s="562"/>
      <c r="IZ46" s="562"/>
      <c r="JA46" s="562"/>
      <c r="JB46" s="562"/>
      <c r="JC46" s="562"/>
      <c r="JD46" s="562"/>
      <c r="JE46" s="562"/>
      <c r="JF46" s="562"/>
      <c r="JG46" s="562"/>
      <c r="JH46" s="562"/>
      <c r="JI46" s="562"/>
      <c r="JJ46" s="562"/>
      <c r="JK46" s="562"/>
      <c r="JL46" s="562"/>
      <c r="JM46" s="562"/>
      <c r="JN46" s="562"/>
      <c r="JO46" s="562"/>
      <c r="JP46" s="562"/>
      <c r="JQ46" s="562"/>
      <c r="JR46" s="562"/>
      <c r="JS46" s="562"/>
      <c r="JT46" s="562"/>
      <c r="JU46" s="562"/>
      <c r="JV46" s="562"/>
      <c r="JW46" s="562"/>
      <c r="JX46" s="562"/>
      <c r="JY46" s="562"/>
      <c r="JZ46" s="562"/>
    </row>
    <row r="47" spans="1:286" s="132" customFormat="1" ht="12.75" customHeight="1" x14ac:dyDescent="0.2">
      <c r="A47" s="133"/>
      <c r="B47" s="2" t="s">
        <v>311</v>
      </c>
      <c r="C47" s="79"/>
      <c r="D47" s="79"/>
      <c r="E47" s="95"/>
      <c r="F47" s="95"/>
      <c r="G47" s="95"/>
      <c r="H47" s="95"/>
      <c r="I47" s="95"/>
      <c r="J47" s="95"/>
      <c r="K47" s="95"/>
      <c r="L47" s="79"/>
      <c r="M47" s="95"/>
      <c r="N47" s="79"/>
      <c r="O47" s="95"/>
      <c r="P47" s="79"/>
      <c r="Q47" s="95"/>
      <c r="R47" s="79"/>
      <c r="S47" s="95"/>
      <c r="T47" s="79"/>
      <c r="U47" s="95"/>
      <c r="V47" s="79"/>
      <c r="W47" s="95"/>
      <c r="X47" s="79"/>
      <c r="Y47" s="95"/>
      <c r="Z47" s="79"/>
      <c r="AA47" s="126"/>
      <c r="AB47" s="79"/>
      <c r="AC47" s="95">
        <f>46.3-40.1-AE47</f>
        <v>2.399999999999995</v>
      </c>
      <c r="AD47" s="79" t="str">
        <f>IF(ISERROR((AC47/U47-1)*100),"NA",IF(((AC47/U47-1)*100)&gt;100,"NM",IF(((AC47/U47-1)*100)&lt;-50,"NM",(AC47/U47-1)*100)))</f>
        <v>NA</v>
      </c>
      <c r="AE47" s="95">
        <f>23.6-19.8</f>
        <v>3.8000000000000007</v>
      </c>
      <c r="AF47" s="79" t="str">
        <f>IF(ISERROR((AE47/W47-1)*100),"NA",IF(((AE47/W47-1)*100)&gt;100,"NM",IF(((AE47/W47-1)*100)&lt;-50,"NM",(AE47/W47-1)*100)))</f>
        <v>NA</v>
      </c>
      <c r="AG47" s="95">
        <f>23.1-20.6</f>
        <v>2.5</v>
      </c>
      <c r="AH47" s="79" t="str">
        <f>IF(ISERROR((AG47/Y47-1)*100),"NA",IF(((AG47/Y47-1)*100)&gt;100,"NM",IF(((AG47/Y47-1)*100)&lt;-50,"NM",(AG47/Y47-1)*100)))</f>
        <v>NA</v>
      </c>
      <c r="AI47" s="127">
        <f>FH47-AG47-AE47-AC47</f>
        <v>7.7000000000000099</v>
      </c>
      <c r="AJ47" s="79" t="str">
        <f>IF(ISERROR((AI47/AA47-1)*100),"NA",IF(((AI47/AA47-1)*100)&gt;100,"NM",IF(((AI47/AA47-1)*100)&lt;-50,"NM",(AI47/AA47-1)*100)))</f>
        <v>NA</v>
      </c>
      <c r="AK47" s="95">
        <f>46.1-38.7-AM47</f>
        <v>3.2999999999999972</v>
      </c>
      <c r="AL47" s="79">
        <f>IF(ISERROR((AK47/AC47-1)*100),"NA",IF(((AK47/AC47-1)*100)&gt;100,"NM",IF(((AK47/AC47-1)*100)&lt;-50,"NM",(AK47/AC47-1)*100)))</f>
        <v>37.500000000000178</v>
      </c>
      <c r="AM47" s="95">
        <f>23-18.9</f>
        <v>4.1000000000000014</v>
      </c>
      <c r="AN47" s="79">
        <f>IF(ISERROR((AM47/AE47-1)*100),"NA",IF(((AM47/AE47-1)*100)&gt;100,"NM",IF(((AM47/AE47-1)*100)&lt;-50,"NM",(AM47/AE47-1)*100)))</f>
        <v>7.8947368421052877</v>
      </c>
      <c r="AO47" s="95">
        <f>22.6-13.1</f>
        <v>9.5000000000000018</v>
      </c>
      <c r="AP47" s="79" t="str">
        <f>IF(ISERROR((AO47/AG47-1)*100),"NA",IF(((AO47/AG47-1)*100)&gt;100,"NM",IF(((AO47/AG47-1)*100)&lt;-50,"NM",(AO47/AG47-1)*100)))</f>
        <v>NM</v>
      </c>
      <c r="AQ47" s="95">
        <f>23.5-12.8</f>
        <v>10.7</v>
      </c>
      <c r="AR47" s="79">
        <f>IF(ISERROR((AQ47/AI47-1)*100),"NA",IF(((AQ47/AI47-1)*100)&gt;100,"NM",IF(((AQ47/AI47-1)*100)&lt;-50,"NM",(AQ47/AI47-1)*100)))</f>
        <v>38.961038961038774</v>
      </c>
      <c r="AS47" s="95">
        <f>-17.8+22</f>
        <v>4.1999999999999993</v>
      </c>
      <c r="AT47" s="81">
        <f>IF(ISERROR((AS47/AK47-1)*100),"NA",IF(((AS47/AK47-1)*100)&gt;100,"NM",IF(((AS47/AK47-1)*100)&lt;-50,"NM",(AS47/AK47-1)*100)))</f>
        <v>27.272727272727359</v>
      </c>
      <c r="AU47" s="95">
        <f>-15.2+21.8</f>
        <v>6.6000000000000014</v>
      </c>
      <c r="AV47" s="81">
        <f>IF(ISERROR((AU47/AM47-1)*100),"NA",IF(((AU47/AM47-1)*100)&gt;100,"NM",IF(((AU47/AM47-1)*100)&lt;-50,"NM",(AU47/AM47-1)*100)))</f>
        <v>60.975609756097548</v>
      </c>
      <c r="AW47" s="95">
        <f>-15.4+21.8</f>
        <v>6.4</v>
      </c>
      <c r="AX47" s="81">
        <f>IF(ISERROR((AW47/AO47-1)*100),"NA",IF(((AW47/AO47-1)*100)&gt;100,"NM",IF(((AW47/AO47-1)*100)&lt;-50,"NM",(AW47/AO47-1)*100)))</f>
        <v>-32.631578947368432</v>
      </c>
      <c r="AY47" s="95">
        <f>-16.1+20.8</f>
        <v>4.6999999999999993</v>
      </c>
      <c r="AZ47" s="81" t="str">
        <f>IF(ISERROR((AY47/AQ47-1)*100),"NA",IF(((AY47/AQ47-1)*100)&gt;100,"NM",IF(((AY47/AQ47-1)*100)&lt;-50,"NM",(AY47/AQ47-1)*100)))</f>
        <v>NM</v>
      </c>
      <c r="BA47" s="95">
        <f>-15.5+16.6</f>
        <v>1.1000000000000014</v>
      </c>
      <c r="BB47" s="81" t="str">
        <f>IF(ISERROR((BA47/AS47-1)*100),"NA",IF(((BA47/AS47-1)*100)&gt;100,"NM",IF(((BA47/AS47-1)*100)&lt;-50,"NM",(BA47/AS47-1)*100)))</f>
        <v>NM</v>
      </c>
      <c r="BC47" s="95">
        <f>-15+16.6</f>
        <v>1.6000000000000014</v>
      </c>
      <c r="BD47" s="81" t="str">
        <f>IF(ISERROR((BC47/AU47-1)*100),"NA",IF(((BC47/AU47-1)*100)&gt;100,"NM",IF(((BC47/AU47-1)*100)&lt;-50,"NM",(BC47/AU47-1)*100)))</f>
        <v>NM</v>
      </c>
      <c r="BE47" s="95">
        <f>-14.7+16.4</f>
        <v>1.6999999999999993</v>
      </c>
      <c r="BF47" s="81" t="str">
        <f>IF(ISERROR((BE47/AW47-1)*100),"NA",IF(((BE47/AW47-1)*100)&gt;100,"NM",IF(((BE47/AW47-1)*100)&lt;-50,"NM",(BE47/AW47-1)*100)))</f>
        <v>NM</v>
      </c>
      <c r="BG47" s="95">
        <f>-15.2+16.6</f>
        <v>1.4000000000000021</v>
      </c>
      <c r="BH47" s="81" t="str">
        <f>IF(ISERROR((BG47/AY47-1)*100),"NA",IF(((BG47/AY47-1)*100)&gt;100,"NM",IF(((BG47/AY47-1)*100)&lt;-50,"NM",(BG47/AY47-1)*100)))</f>
        <v>NM</v>
      </c>
      <c r="BI47" s="95">
        <f>-14.4+19.4</f>
        <v>4.9999999999999982</v>
      </c>
      <c r="BJ47" s="81" t="str">
        <f>IF(ISERROR((BI47/BA47-1)*100),"NA",IF(((BI47/BA47-1)*100)&gt;100,"NM",IF(((BI47/BA47-1)*100)&lt;-50,"NM",(BI47/BA47-1)*100)))</f>
        <v>NM</v>
      </c>
      <c r="BK47" s="95">
        <f>-15+19.1</f>
        <v>4.1000000000000014</v>
      </c>
      <c r="BL47" s="81" t="str">
        <f>IF(ISERROR((BK47/BC47-1)*100),"NA",IF(((BK47/BC47-1)*100)&gt;100,"NM",IF(((BK47/BC47-1)*100)&lt;-50,"NM",(BK47/BC47-1)*100)))</f>
        <v>NM</v>
      </c>
      <c r="BM47" s="95">
        <f>-14.7+19.1</f>
        <v>4.4000000000000021</v>
      </c>
      <c r="BN47" s="81" t="str">
        <f>IF(ISERROR((BM47/BE47-1)*100),"NA",IF(((BM47/BE47-1)*100)&gt;100,"NM",IF(((BM47/BE47-1)*100)&lt;-50,"NM",(BM47/BE47-1)*100)))</f>
        <v>NM</v>
      </c>
      <c r="BO47" s="95">
        <f>-15.3+19.1</f>
        <v>3.8000000000000007</v>
      </c>
      <c r="BP47" s="81" t="str">
        <f>IF(ISERROR((BO47/BG47-1)*100),"NA",IF(((BO47/BG47-1)*100)&gt;100,"NM",IF(((BO47/BG47-1)*100)&lt;-50,"NM",(BO47/BG47-1)*100)))</f>
        <v>NM</v>
      </c>
      <c r="BQ47" s="95">
        <f>-15.8+16.9</f>
        <v>1.0999999999999979</v>
      </c>
      <c r="BR47" s="81" t="str">
        <f>IF(ISERROR((BQ47/BI47-1)*100),"NA",IF(((BQ47/BI47-1)*100)&gt;100,"NM",IF(((BQ47/BI47-1)*100)&lt;-50,"NM",(BQ47/BI47-1)*100)))</f>
        <v>NM</v>
      </c>
      <c r="BS47" s="95">
        <f>-15.8+17.1</f>
        <v>1.3000000000000007</v>
      </c>
      <c r="BT47" s="81" t="str">
        <f>IF(ISERROR((BS47/BK47-1)*100),"NA",IF(((BS47/BK47-1)*100)&gt;100,"NM",IF(((BS47/BK47-1)*100)&lt;-50,"NM",(BS47/BK47-1)*100)))</f>
        <v>NM</v>
      </c>
      <c r="BU47" s="95">
        <f>-15.7+17</f>
        <v>1.3000000000000007</v>
      </c>
      <c r="BV47" s="81" t="str">
        <f>IF(ISERROR((BU47/BM47-1)*100),"NA",IF(((BU47/BM47-1)*100)&gt;100,"NM",IF(((BU47/BM47-1)*100)&lt;-50,"NM",(BU47/BM47-1)*100)))</f>
        <v>NM</v>
      </c>
      <c r="BW47" s="95">
        <f>-15.2+16.3</f>
        <v>1.1000000000000014</v>
      </c>
      <c r="BX47" s="81" t="str">
        <f>IF(ISERROR((BW47/BO47-1)*100),"NA",IF(((BW47/BO47-1)*100)&gt;100,"NM",IF(((BW47/BO47-1)*100)&lt;-50,"NM",(BW47/BO47-1)*100)))</f>
        <v>NM</v>
      </c>
      <c r="BY47" s="95">
        <f>-4.9+5.3</f>
        <v>0.39999999999999947</v>
      </c>
      <c r="BZ47" s="81" t="str">
        <f>IF(ISERROR((BY47/BQ47-1)*100),"NA",IF(((BY47/BQ47-1)*100)&gt;100,"NM",IF(((BY47/BQ47-1)*100)&lt;-50,"NM",(BY47/BQ47-1)*100)))</f>
        <v>NM</v>
      </c>
      <c r="CA47" s="95">
        <f>-4.6+5.3</f>
        <v>0.70000000000000018</v>
      </c>
      <c r="CB47" s="81">
        <f>IF(ISERROR((CA47/BS47-1)*100),"NA",IF(((CA47/BS47-1)*100)&gt;100,"NM",IF(((CA47/BS47-1)*100)&lt;-50,"NM",(CA47/BS47-1)*100)))</f>
        <v>-46.153846153846168</v>
      </c>
      <c r="CC47" s="95">
        <f>-4.5+5.1</f>
        <v>0.59999999999999964</v>
      </c>
      <c r="CD47" s="81" t="str">
        <f>IF(ISERROR((CC47/BU47-1)*100),"NA",IF(((CC47/BU47-1)*100)&gt;100,"NM",IF(((CC47/BU47-1)*100)&lt;-50,"NM",(CC47/BU47-1)*100)))</f>
        <v>NM</v>
      </c>
      <c r="CE47" s="95">
        <f>-4.2+4.8</f>
        <v>0.59999999999999964</v>
      </c>
      <c r="CF47" s="81">
        <f>IF(ISERROR((CE47/BW47-1)*100),"NA",IF(((CE47/BW47-1)*100)&gt;100,"NM",IF(((CE47/BW47-1)*100)&lt;-50,"NM",(CE47/BW47-1)*100)))</f>
        <v>-45.45454545454556</v>
      </c>
      <c r="CG47" s="95">
        <f>-5.4+5</f>
        <v>-0.40000000000000036</v>
      </c>
      <c r="CH47" s="81" t="str">
        <f>IF(ISERROR((CG47/BY47-1)*100),"NA",IF(((CG47/BY47-1)*100)&gt;100,"NM",IF(((CG47/BY47-1)*100)&lt;-50,"NM",(CG47/BY47-1)*100)))</f>
        <v>NM</v>
      </c>
      <c r="CI47" s="95">
        <f>-5.3+4.9</f>
        <v>-0.39999999999999947</v>
      </c>
      <c r="CJ47" s="81" t="str">
        <f>IF(ISERROR((CI47/CA47-1)*100),"NA",IF(((CI47/CA47-1)*100)&gt;100,"NM",IF(((CI47/CA47-1)*100)&lt;-50,"NM",(CI47/CA47-1)*100)))</f>
        <v>NM</v>
      </c>
      <c r="CK47" s="95">
        <f>-5.3+5</f>
        <v>-0.29999999999999982</v>
      </c>
      <c r="CL47" s="81" t="str">
        <f>IF(ISERROR((CK47/CC47-1)*100),"NA",IF(((CK47/CC47-1)*100)&gt;100,"NM",IF(((CK47/CC47-1)*100)&lt;-50,"NM",(CK47/CC47-1)*100)))</f>
        <v>NM</v>
      </c>
      <c r="CM47" s="95">
        <f>-5.9+4.9</f>
        <v>-1</v>
      </c>
      <c r="CN47" s="81" t="str">
        <f>IF(ISERROR((CM47/CE47-1)*100),"NA",IF(((CM47/CE47-1)*100)&gt;100,"NM",IF(((CM47/CE47-1)*100)&lt;-50,"NM",(CM47/CE47-1)*100)))</f>
        <v>NM</v>
      </c>
      <c r="CO47" s="95">
        <f>-6.1+4.2</f>
        <v>-1.8999999999999995</v>
      </c>
      <c r="CP47" s="81" t="str">
        <f>IF(ISERROR((CO47/CG47-1)*100),"NA",IF(((CO47/CG47-1)*100)&gt;100,"NM",IF(((CO47/CG47-1)*100)&lt;-50,"NM",(CO47/CG47-1)*100)))</f>
        <v>NM</v>
      </c>
      <c r="CQ47" s="95">
        <f>-5.8+4.5</f>
        <v>-1.2999999999999998</v>
      </c>
      <c r="CR47" s="81" t="str">
        <f>IF(ISERROR((CQ47/CI47-1)*100),"NA",IF(((CQ47/CI47-1)*100)&gt;100,"NM",IF(((CQ47/CI47-1)*100)&lt;-50,"NM",(CQ47/CI47-1)*100)))</f>
        <v>NM</v>
      </c>
      <c r="CS47" s="95">
        <f>-5.6+4.6</f>
        <v>-1</v>
      </c>
      <c r="CT47" s="81" t="str">
        <f>IF(ISERROR((CS47/CK47-1)*100),"NA",IF(((CS47/CK47-1)*100)&gt;100,"NM",IF(((CS47/CK47-1)*100)&lt;-50,"NM",(CS47/CK47-1)*100)))</f>
        <v>NM</v>
      </c>
      <c r="CU47" s="95">
        <f>-8.8+5</f>
        <v>-3.8000000000000007</v>
      </c>
      <c r="CV47" s="81" t="str">
        <f>IF(ISERROR((CU47/CM47-1)*100),"NA",IF(((CU47/CM47-1)*100)&gt;100,"NM",IF(((CU47/CM47-1)*100)&lt;-50,"NM",(CU47/CM47-1)*100)))</f>
        <v>NM</v>
      </c>
      <c r="CW47" s="95">
        <f>-6.7+5.2</f>
        <v>-1.5</v>
      </c>
      <c r="CX47" s="81">
        <f>IF(ISERROR((CW47/CO47-1)*100),"NA",IF(((CW47/CO47-1)*100)&gt;100,"NM",IF(((CW47/CO47-1)*100)&lt;-50,"NM",(CW47/CO47-1)*100)))</f>
        <v>-21.052631578947345</v>
      </c>
      <c r="CY47" s="95">
        <f>-6.9+5.2</f>
        <v>-1.7000000000000002</v>
      </c>
      <c r="CZ47" s="81">
        <f>IF(ISERROR((CY47/CQ47-1)*100),"NA",IF(((CY47/CQ47-1)*100)&gt;100,"NM",IF(((CY47/CQ47-1)*100)&lt;-50,"NM",(CY47/CQ47-1)*100)))</f>
        <v>30.769230769230795</v>
      </c>
      <c r="DA47" s="95">
        <f>-8.6+5.4</f>
        <v>-3.1999999999999993</v>
      </c>
      <c r="DB47" s="81" t="str">
        <f>IF(ISERROR((DA47/CS47-1)*100),"NA",IF(((DA47/CS47-1)*100)&gt;100,"NM",IF(((DA47/CS47-1)*100)&lt;-50,"NM",(DA47/CS47-1)*100)))</f>
        <v>NM</v>
      </c>
      <c r="DC47" s="95">
        <f>-7.4+5.3</f>
        <v>-2.1000000000000005</v>
      </c>
      <c r="DD47" s="81">
        <f>IF(ISERROR((DC47/CU47-1)*100),"NA",IF(((DC47/CU47-1)*100)&gt;100,"NM",IF(((DC47/CU47-1)*100)&lt;-50,"NM",(DC47/CU47-1)*100)))</f>
        <v>-44.73684210526315</v>
      </c>
      <c r="DE47" s="95">
        <f>-9.9+6.5</f>
        <v>-3.4000000000000004</v>
      </c>
      <c r="DF47" s="81" t="str">
        <f>IF(ISERROR((DE47/CW47-1)*100),"NA",IF(((DE47/CW47-1)*100)&gt;100,"NM",IF(((DE47/CW47-1)*100)&lt;-50,"NM",(DE47/CW47-1)*100)))</f>
        <v>NM</v>
      </c>
      <c r="DG47" s="95">
        <f>-9.1+6.5</f>
        <v>-2.5999999999999996</v>
      </c>
      <c r="DH47" s="81">
        <f>IF(ISERROR((DG47/CY47-1)*100),"NA",IF(((DG47/CY47-1)*100)&gt;100,"NM",IF(((DG47/CY47-1)*100)&lt;-50,"NM",(DG47/CY47-1)*100)))</f>
        <v>52.941176470588204</v>
      </c>
      <c r="DI47" s="95">
        <f>-9.3+6.5</f>
        <v>-2.8000000000000007</v>
      </c>
      <c r="DJ47" s="81">
        <f>IF(ISERROR((DI47/DA47-1)*100),"NA",IF(((DI47/DA47-1)*100)&gt;100,"NM",IF(((DI47/DA47-1)*100)&lt;-50,"NM",(DI47/DA47-1)*100)))</f>
        <v>-12.499999999999956</v>
      </c>
      <c r="DK47" s="95">
        <f>-11.9+6.8</f>
        <v>-5.1000000000000005</v>
      </c>
      <c r="DL47" s="81" t="str">
        <f>IF(ISERROR((DK47/DC47-1)*100),"NA",IF(((DK47/DC47-1)*100)&gt;100,"NM",IF(((DK47/DC47-1)*100)&lt;-50,"NM",(DK47/DC47-1)*100)))</f>
        <v>NM</v>
      </c>
      <c r="DM47" s="95">
        <f>-10.3+8.3</f>
        <v>-2</v>
      </c>
      <c r="DN47" s="81">
        <f>IF(ISERROR((DM47/DE47-1)*100),"NA",IF(((DM47/DE47-1)*100)&gt;100,"NM",IF(((DM47/DE47-1)*100)&lt;-50,"NM",(DM47/DE47-1)*100)))</f>
        <v>-41.176470588235304</v>
      </c>
      <c r="DO47" s="95">
        <f>-11.2+8.5</f>
        <v>-2.6999999999999993</v>
      </c>
      <c r="DP47" s="81">
        <f>IF(ISERROR((DO47/DG47-1)*100),"NA",IF(((DO47/DG47-1)*100)&gt;100,"NM",IF(((DO47/DG47-1)*100)&lt;-50,"NM",(DO47/DG47-1)*100)))</f>
        <v>3.8461538461538325</v>
      </c>
      <c r="DQ47" s="95">
        <f>-10.3+8.4</f>
        <v>-1.9000000000000004</v>
      </c>
      <c r="DR47" s="81">
        <f>IF(ISERROR((DQ47/DI47-1)*100),"NA",IF(((DQ47/DI47-1)*100)&gt;100,"NM",IF(((DQ47/DI47-1)*100)&lt;-50,"NM",(DQ47/DI47-1)*100)))</f>
        <v>-32.142857142857153</v>
      </c>
      <c r="DS47" s="95">
        <f>-11.4+8.5</f>
        <v>-2.9000000000000004</v>
      </c>
      <c r="DT47" s="81">
        <f>IF(ISERROR((DS47/DK47-1)*100),"NA",IF(((DS47/DK47-1)*100)&gt;100,"NM",IF(((DS47/DK47-1)*100)&lt;-50,"NM",(DS47/DK47-1)*100)))</f>
        <v>-43.137254901960787</v>
      </c>
      <c r="DU47" s="95">
        <f>-12.4+9.1</f>
        <v>-3.3000000000000007</v>
      </c>
      <c r="DV47" s="81">
        <f>IF(ISERROR((DU47/DM47-1)*100),"NA",IF(((DU47/DM47-1)*100)&gt;100,"NM",IF(((DU47/DM47-1)*100)&lt;-50,"NM",(DU47/DM47-1)*100)))</f>
        <v>65.000000000000028</v>
      </c>
      <c r="DW47" s="95">
        <f>-11.3+8.9</f>
        <v>-2.4000000000000004</v>
      </c>
      <c r="DX47" s="81">
        <f>IF(ISERROR((DW47/DO47-1)*100),"NA",IF(((DW47/DO47-1)*100)&gt;100,"NM",IF(((DW47/DO47-1)*100)&lt;-50,"NM",(DW47/DO47-1)*100)))</f>
        <v>-11.111111111111072</v>
      </c>
      <c r="DY47" s="95">
        <f>-11.6+9</f>
        <v>-2.5999999999999996</v>
      </c>
      <c r="DZ47" s="81">
        <f>IF(ISERROR((DY47/DQ47-1)*100),"NA",IF(((DY47/DQ47-1)*100)&gt;100,"NM",IF(((DY47/DQ47-1)*100)&lt;-50,"NM",(DY47/DQ47-1)*100)))</f>
        <v>36.842105263157855</v>
      </c>
      <c r="EA47" s="95">
        <f>-11.1+8.9</f>
        <v>-2.1999999999999993</v>
      </c>
      <c r="EB47" s="81">
        <f>IF(ISERROR((EA47/DS47-1)*100),"NA",IF(((EA47/DS47-1)*100)&gt;100,"NM",IF(((EA47/DS47-1)*100)&lt;-50,"NM",(EA47/DS47-1)*100)))</f>
        <v>-24.137931034482797</v>
      </c>
      <c r="EC47" s="95">
        <f>-12+10</f>
        <v>-2</v>
      </c>
      <c r="ED47" s="81">
        <f t="shared" si="230"/>
        <v>-39.393939393939405</v>
      </c>
      <c r="EE47" s="95">
        <f>-11.4+9.9</f>
        <v>-1.5</v>
      </c>
      <c r="EF47" s="81">
        <f t="shared" si="231"/>
        <v>-37.500000000000014</v>
      </c>
      <c r="EG47" s="95">
        <f>-12.4+10</f>
        <v>-2.4000000000000004</v>
      </c>
      <c r="EH47" s="81">
        <f t="shared" si="232"/>
        <v>-7.692307692307665</v>
      </c>
      <c r="EI47" s="95">
        <f>-11.1+10</f>
        <v>-1.0999999999999996</v>
      </c>
      <c r="EJ47" s="81">
        <f t="shared" si="233"/>
        <v>-50</v>
      </c>
      <c r="EK47" s="95">
        <f t="shared" ref="EK47" si="239">EI47*1.01</f>
        <v>-1.1109999999999995</v>
      </c>
      <c r="EL47" s="81">
        <f t="shared" si="235"/>
        <v>-44.450000000000024</v>
      </c>
      <c r="EM47" s="95">
        <f t="shared" ref="EM47" si="240">EK47*1.01</f>
        <v>-1.1221099999999995</v>
      </c>
      <c r="EN47" s="81">
        <f t="shared" si="236"/>
        <v>-25.192666666666696</v>
      </c>
      <c r="EO47" s="95">
        <f t="shared" ref="EO47" si="241">EM47*1.01</f>
        <v>-1.1333310999999995</v>
      </c>
      <c r="EP47" s="81" t="str">
        <f t="shared" si="237"/>
        <v>NM</v>
      </c>
      <c r="EQ47" s="95">
        <f t="shared" ref="EQ47" si="242">EO47*1.01</f>
        <v>-1.1446644109999995</v>
      </c>
      <c r="ER47" s="81">
        <f t="shared" si="238"/>
        <v>4.0604009999999802</v>
      </c>
      <c r="ES47" s="95"/>
      <c r="ET47" s="471"/>
      <c r="EU47" s="95"/>
      <c r="EV47" s="95"/>
      <c r="EW47" s="146"/>
      <c r="EX47" s="95"/>
      <c r="EY47" s="146"/>
      <c r="EZ47" s="131"/>
      <c r="FA47" s="146"/>
      <c r="FB47" s="95"/>
      <c r="FC47" s="146"/>
      <c r="FD47" s="95">
        <f>89.3-131.1</f>
        <v>-41.8</v>
      </c>
      <c r="FE47" s="146" t="str">
        <f>IF(ISERROR((FD47/FB47-1)*100),"NA",IF(((FD47/FB47-1)*100)&gt;100,"NM",IF(((FD47/FB47-1)*100)&lt;-50,"NM",(FD47/FB47-1)*100)))</f>
        <v>NA</v>
      </c>
      <c r="FF47" s="95">
        <f>96.1-125.1</f>
        <v>-29</v>
      </c>
      <c r="FG47" s="146">
        <f>IF(ISERROR((FF47/FD47-1)*100),"NA",IF(((FF47/FD47-1)*100)&gt;100,"NM",IF(((FF47/FD47-1)*100)&lt;-50,"NM",(FF47/FD47-1)*100)))</f>
        <v>-30.622009569377983</v>
      </c>
      <c r="FH47" s="95">
        <f>93.5-77.1</f>
        <v>16.400000000000006</v>
      </c>
      <c r="FI47" s="146" t="str">
        <f>IF(ISERROR((FH47/FF47-1)*100),"NA",IF(((FH47/FF47-1)*100)&gt;100,"NM",IF(((FH47/FF47-1)*100)&lt;-50,"NM",(FH47/FF47-1)*100)))</f>
        <v>NM</v>
      </c>
      <c r="FJ47" s="93">
        <f>+AQ47+AO47+AM47+AK47</f>
        <v>27.6</v>
      </c>
      <c r="FK47" s="146">
        <f>IF(ISERROR((FJ47/FH47-1)*100),"NA",IF(((FJ47/FH47-1)*100)&gt;100,"NM",IF(((FJ47/FH47-1)*100)&lt;-50,"NM",(FJ47/FH47-1)*100)))</f>
        <v>68.292682926829215</v>
      </c>
      <c r="FL47" s="78">
        <f>AS47+AU47+AW47+AY47</f>
        <v>21.900000000000002</v>
      </c>
      <c r="FM47" s="146">
        <f>IF(ISERROR((FL47/FJ47-1)*100),"NA",IF(((FL47/FJ47-1)*100)&gt;100,"NM",IF(((FL47/FJ47-1)*100)&lt;-50,"NM",(FL47/FJ47-1)*100)))</f>
        <v>-20.65217391304347</v>
      </c>
      <c r="FN47" s="78">
        <f>BA47+BC47+BE47+BG47</f>
        <v>5.8000000000000043</v>
      </c>
      <c r="FO47" s="146" t="str">
        <f>IF(ISERROR((FN47/FL47-1)*100),"NA",IF(((FN47/FL47-1)*100)&gt;100,"NM",IF(((FN47/FL47-1)*100)&lt;-50,"NM",(FN47/FL47-1)*100)))</f>
        <v>NM</v>
      </c>
      <c r="FP47" s="78">
        <f>BI47+BK47+BM47+BO47</f>
        <v>17.300000000000004</v>
      </c>
      <c r="FQ47" s="146" t="str">
        <f>IF(ISERROR((FP47/FN47-1)*100),"NA",IF(((FP47/FN47-1)*100)&gt;100,"NM",IF(((FP47/FN47-1)*100)&lt;-50,"NM",(FP47/FN47-1)*100)))</f>
        <v>NM</v>
      </c>
      <c r="FR47" s="95">
        <f>-24.1+24.2</f>
        <v>9.9999999999997868E-2</v>
      </c>
      <c r="FS47" s="146" t="str">
        <f>IF(ISERROR((FR47/FP47-1)*100),"NA",IF(((FR47/FP47-1)*100)&gt;100,"NM",IF(((FR47/FP47-1)*100)&lt;-50,"NM",(FR47/FP47-1)*100)))</f>
        <v>NM</v>
      </c>
      <c r="FT47" s="93">
        <f>BY47+CA47+CC47+CE47</f>
        <v>2.2999999999999989</v>
      </c>
      <c r="FU47" s="146" t="str">
        <f>IF(ISERROR((FT47/FR47-1)*100),"NA",IF(((FT47/FR47-1)*100)&gt;100,"NM",IF(((FT47/FR47-1)*100)&lt;-50,"NM",(FT47/FR47-1)*100)))</f>
        <v>NM</v>
      </c>
      <c r="FV47" s="93">
        <f>CG47+CI47+CK47+CM47</f>
        <v>-2.0999999999999996</v>
      </c>
      <c r="FW47" s="146" t="str">
        <f>IF(ISERROR((FV47/FT47-1)*100),"NA",IF(((FV47/FT47-1)*100)&gt;100,"NM",IF(((FV47/FT47-1)*100)&lt;-50,"NM",(FV47/FT47-1)*100)))</f>
        <v>NM</v>
      </c>
      <c r="FX47" s="93">
        <f>CO47+CQ47+CS47+CU47</f>
        <v>-8</v>
      </c>
      <c r="FY47" s="146" t="str">
        <f>IF(ISERROR((FX47/FV47-1)*100),"NA",IF(((FX47/FV47-1)*100)&gt;100,"NM",IF(((FX47/FV47-1)*100)&lt;-50,"NM",(FX47/FV47-1)*100)))</f>
        <v>NM</v>
      </c>
      <c r="FZ47" s="93">
        <f>CW47+CY47+DA47+DC47</f>
        <v>-8.5</v>
      </c>
      <c r="GA47" s="146">
        <f>IF(ISERROR((FZ47/FX47-1)*100),"NA",IF(((FZ47/FX47-1)*100)&gt;100,"NM",IF(((FZ47/FX47-1)*100)&lt;-50,"NM",(FZ47/FX47-1)*100)))</f>
        <v>6.25</v>
      </c>
      <c r="GB47" s="93">
        <f>DE47+DG47+DI47+DK47</f>
        <v>-13.900000000000002</v>
      </c>
      <c r="GC47" s="146">
        <f>IF(ISERROR((GB47/FZ47-1)*100),"NA",IF(((GB47/FZ47-1)*100)&gt;100,"NM",IF(((GB47/FZ47-1)*100)&lt;-50,"NM",(GB47/FZ47-1)*100)))</f>
        <v>63.529411764705898</v>
      </c>
      <c r="GD47" s="93">
        <f>DM47+DO47+DQ47+DS47</f>
        <v>-9.5</v>
      </c>
      <c r="GE47" s="146">
        <f>IF(ISERROR((GD47/GB47-1)*100),"NA",IF(((GD47/GB47-1)*100)&gt;100,"NM",IF(((GD47/GB47-1)*100)&lt;-50,"NM",(GD47/GB47-1)*100)))</f>
        <v>-31.654676258992819</v>
      </c>
      <c r="GF47" s="93">
        <f>DU47+DW47+DY47+EA47</f>
        <v>-10.5</v>
      </c>
      <c r="GG47" s="146">
        <f>IF(ISERROR((GF47/GD47-1)*100),"NA",IF(((GF47/GD47-1)*100)&gt;100,"NM",IF(((GF47/GD47-1)*100)&lt;-50,"NM",(GF47/GD47-1)*100)))</f>
        <v>10.526315789473696</v>
      </c>
      <c r="GH47" s="93">
        <f>EC47+EE47+EG47+EI47</f>
        <v>-7</v>
      </c>
      <c r="GI47" s="146">
        <f>IF(ISERROR((GH47/GF47-1)*100),"NA",IF(((GH47/GF47-1)*100)&gt;100,"NM",IF(((GH47/GF47-1)*100)&lt;-50,"NM",(GH47/GF47-1)*100)))</f>
        <v>-33.333333333333336</v>
      </c>
      <c r="GJ47" s="93">
        <f>EK47+EM47+EO47+EQ47</f>
        <v>-4.5111055109999985</v>
      </c>
      <c r="GK47" s="146">
        <f>IF(ISERROR((GJ47/GH47-1)*100),"NA",IF(((GJ47/GH47-1)*100)&gt;100,"NM",IF(((GJ47/GH47-1)*100)&lt;-50,"NM",(GJ47/GH47-1)*100)))</f>
        <v>-35.555635557142885</v>
      </c>
      <c r="GL47" s="95">
        <f>GJ47*1.02</f>
        <v>-4.6013276212199985</v>
      </c>
      <c r="GM47" s="146">
        <f>IF(ISERROR((GL47/GJ47-1)*100),"NA",IF(((GL47/GJ47-1)*100)&gt;100,"NM",IF(((GL47/GJ47-1)*100)&lt;-50,"NM",(GL47/GJ47-1)*100)))</f>
        <v>2.0000000000000018</v>
      </c>
      <c r="GN47" s="95">
        <f>GL47*1.02</f>
        <v>-4.6933541736443987</v>
      </c>
      <c r="GO47" s="146">
        <f>IF(ISERROR((GN47/GL47-1)*100),"NA",IF(((GN47/GL47-1)*100)&gt;100,"NM",IF(((GN47/GL47-1)*100)&lt;-50,"NM",(GN47/GL47-1)*100)))</f>
        <v>2.0000000000000018</v>
      </c>
      <c r="GP47" s="95">
        <f>GN47*1.02</f>
        <v>-4.7872212571172863</v>
      </c>
      <c r="GQ47" s="146">
        <f>IF(ISERROR((GP47/GN47-1)*100),"NA",IF(((GP47/GN47-1)*100)&gt;100,"NM",IF(((GP47/GN47-1)*100)&lt;-50,"NM",(GP47/GN47-1)*100)))</f>
        <v>2.0000000000000018</v>
      </c>
      <c r="GR47" s="95">
        <f>GP47*1.02</f>
        <v>-4.8829656822596323</v>
      </c>
      <c r="GS47" s="146">
        <f>IF(ISERROR((GR47/GP47-1)*100),"NA",IF(((GR47/GP47-1)*100)&gt;100,"NM",IF(((GR47/GP47-1)*100)&lt;-50,"NM",(GR47/GP47-1)*100)))</f>
        <v>2.0000000000000018</v>
      </c>
      <c r="GT47" s="79">
        <f>IF(ISERROR(((GR47/GH47)^0.2-1)*100),"NA",(IF(OR(((GR47/GH47)^0.2-1)*100&gt;99,((GR47/GH47)^0.2-1)*100&lt;-50),"NM",(((GR47/GH47)^0.2-1)*100))))</f>
        <v>-6.9498395352237452</v>
      </c>
      <c r="GU47" s="562"/>
      <c r="GV47" s="562"/>
      <c r="GW47"/>
      <c r="GX47"/>
      <c r="GY47"/>
      <c r="GZ47"/>
      <c r="HA47"/>
      <c r="HB47"/>
      <c r="HC47" s="562"/>
      <c r="HD47" s="562"/>
      <c r="HE47" s="562"/>
      <c r="HF47" s="562"/>
      <c r="HG47" s="562"/>
      <c r="HH47" s="562"/>
      <c r="HI47" s="562"/>
      <c r="HJ47" s="562"/>
      <c r="HK47" s="562"/>
      <c r="HL47" s="562"/>
      <c r="HM47" s="562"/>
      <c r="HN47" s="562"/>
      <c r="HO47" s="562"/>
      <c r="HP47" s="562"/>
      <c r="HQ47" s="562"/>
      <c r="HR47" s="562"/>
      <c r="HS47" s="562"/>
      <c r="HT47" s="562"/>
      <c r="HU47" s="562"/>
      <c r="HV47" s="562"/>
      <c r="HW47" s="562"/>
      <c r="HX47" s="562"/>
      <c r="HY47" s="562"/>
      <c r="HZ47" s="562"/>
      <c r="IA47" s="562"/>
      <c r="IB47" s="562"/>
      <c r="IC47" s="562"/>
      <c r="ID47" s="562"/>
      <c r="IE47" s="562"/>
      <c r="IF47" s="562"/>
      <c r="IG47" s="562"/>
      <c r="IH47" s="562"/>
      <c r="II47" s="562"/>
      <c r="IJ47" s="562"/>
      <c r="IK47" s="562"/>
      <c r="IL47" s="562"/>
      <c r="IM47" s="562"/>
      <c r="IN47" s="562"/>
      <c r="IO47" s="562"/>
      <c r="IP47" s="562"/>
      <c r="IQ47" s="562"/>
      <c r="IR47" s="562"/>
      <c r="IS47" s="562"/>
      <c r="IT47" s="562"/>
      <c r="IU47" s="562"/>
      <c r="IV47" s="562"/>
      <c r="IW47" s="562"/>
      <c r="IX47" s="562"/>
      <c r="IY47" s="562"/>
      <c r="IZ47" s="562"/>
      <c r="JA47" s="562"/>
      <c r="JB47" s="562"/>
      <c r="JC47" s="562"/>
      <c r="JD47" s="562"/>
      <c r="JE47" s="562"/>
      <c r="JF47" s="562"/>
      <c r="JG47" s="562"/>
      <c r="JH47" s="562"/>
      <c r="JI47" s="562"/>
      <c r="JJ47" s="562"/>
      <c r="JK47" s="562"/>
      <c r="JL47" s="562"/>
      <c r="JM47" s="562"/>
      <c r="JN47" s="562"/>
      <c r="JO47" s="562"/>
      <c r="JP47" s="562"/>
      <c r="JQ47" s="562"/>
      <c r="JR47" s="562"/>
      <c r="JS47" s="562"/>
      <c r="JT47" s="562"/>
      <c r="JU47" s="562"/>
      <c r="JV47" s="562"/>
      <c r="JW47" s="562"/>
      <c r="JX47" s="562"/>
      <c r="JY47" s="562"/>
      <c r="JZ47" s="562"/>
    </row>
    <row r="48" spans="1:286" s="132" customFormat="1" ht="12.75" customHeight="1" x14ac:dyDescent="0.2">
      <c r="A48" s="133"/>
      <c r="B48" s="2" t="s">
        <v>501</v>
      </c>
      <c r="C48" s="79"/>
      <c r="D48" s="79"/>
      <c r="E48" s="129"/>
      <c r="F48" s="129"/>
      <c r="G48" s="129"/>
      <c r="H48" s="129"/>
      <c r="I48" s="129"/>
      <c r="J48" s="129"/>
      <c r="K48" s="129"/>
      <c r="L48" s="79"/>
      <c r="M48" s="129"/>
      <c r="N48" s="79"/>
      <c r="O48" s="129"/>
      <c r="P48" s="79"/>
      <c r="Q48" s="129"/>
      <c r="R48" s="79"/>
      <c r="S48" s="129"/>
      <c r="T48" s="79"/>
      <c r="U48" s="129"/>
      <c r="V48" s="79"/>
      <c r="W48" s="129"/>
      <c r="X48" s="79"/>
      <c r="Y48" s="129"/>
      <c r="Z48" s="79"/>
      <c r="AA48" s="130"/>
      <c r="AB48" s="79"/>
      <c r="AC48" s="129">
        <f>300.6-AE48</f>
        <v>156.10000000000002</v>
      </c>
      <c r="AD48" s="79" t="str">
        <f>IF(ISERROR((AC48/U48-1)*100),"NA",IF(((AC48/U48-1)*100)&gt;100,"NM",IF(((AC48/U48-1)*100)&lt;-50,"NM",(AC48/U48-1)*100)))</f>
        <v>NA</v>
      </c>
      <c r="AE48" s="129">
        <v>144.5</v>
      </c>
      <c r="AF48" s="79" t="str">
        <f>IF(ISERROR((AE48/W48-1)*100),"NA",IF(((AE48/W48-1)*100)&gt;100,"NM",IF(((AE48/W48-1)*100)&lt;-50,"NM",(AE48/W48-1)*100)))</f>
        <v>NA</v>
      </c>
      <c r="AG48" s="129">
        <v>142.80000000000001</v>
      </c>
      <c r="AH48" s="79" t="str">
        <f>IF(ISERROR((AG48/Y48-1)*100),"NA",IF(((AG48/Y48-1)*100)&gt;100,"NM",IF(((AG48/Y48-1)*100)&lt;-50,"NM",(AG48/Y48-1)*100)))</f>
        <v>NA</v>
      </c>
      <c r="AI48" s="127">
        <f>FH48-AG48-AE48-AC48</f>
        <v>176.2</v>
      </c>
      <c r="AJ48" s="79" t="str">
        <f>IF(ISERROR((AI48/AA48-1)*100),"NA",IF(((AI48/AA48-1)*100)&gt;100,"NM",IF(((AI48/AA48-1)*100)&lt;-50,"NM",(AI48/AA48-1)*100)))</f>
        <v>NA</v>
      </c>
      <c r="AK48" s="129">
        <f>284.9-AM48</f>
        <v>144.09999999999997</v>
      </c>
      <c r="AL48" s="79">
        <f>IF(ISERROR((AK48/AC48-1)*100),"NA",IF(((AK48/AC48-1)*100)&gt;100,"NM",IF(((AK48/AC48-1)*100)&lt;-50,"NM",(AK48/AC48-1)*100)))</f>
        <v>-7.6873798846893386</v>
      </c>
      <c r="AM48" s="129">
        <v>140.80000000000001</v>
      </c>
      <c r="AN48" s="79">
        <f>IF(ISERROR((AM48/AE48-1)*100),"NA",IF(((AM48/AE48-1)*100)&gt;100,"NM",IF(((AM48/AE48-1)*100)&lt;-50,"NM",(AM48/AE48-1)*100)))</f>
        <v>-2.5605536332179879</v>
      </c>
      <c r="AO48" s="129">
        <f>149.8-10.1</f>
        <v>139.70000000000002</v>
      </c>
      <c r="AP48" s="79">
        <f>IF(ISERROR((AO48/AG48-1)*100),"NA",IF(((AO48/AG48-1)*100)&gt;100,"NM",IF(((AO48/AG48-1)*100)&lt;-50,"NM",(AO48/AG48-1)*100)))</f>
        <v>-2.1708683473389279</v>
      </c>
      <c r="AQ48" s="129">
        <v>147.80000000000001</v>
      </c>
      <c r="AR48" s="79">
        <f>IF(ISERROR((AQ48/AI48-1)*100),"NA",IF(((AQ48/AI48-1)*100)&gt;100,"NM",IF(((AQ48/AI48-1)*100)&lt;-50,"NM",(AQ48/AI48-1)*100)))</f>
        <v>-16.118047673098733</v>
      </c>
      <c r="AS48" s="129">
        <v>149</v>
      </c>
      <c r="AT48" s="81">
        <f>IF(ISERROR((AS48/AK48-1)*100),"NA",IF(((AS48/AK48-1)*100)&gt;100,"NM",IF(((AS48/AK48-1)*100)&lt;-50,"NM",(AS48/AK48-1)*100)))</f>
        <v>3.4004163775156471</v>
      </c>
      <c r="AU48" s="129">
        <v>141.80000000000001</v>
      </c>
      <c r="AV48" s="81">
        <f>IF(ISERROR((AU48/AM48-1)*100),"NA",IF(((AU48/AM48-1)*100)&gt;100,"NM",IF(((AU48/AM48-1)*100)&lt;-50,"NM",(AU48/AM48-1)*100)))</f>
        <v>0.71022727272727071</v>
      </c>
      <c r="AW48" s="129">
        <v>154.1</v>
      </c>
      <c r="AX48" s="81">
        <f>IF(ISERROR((AW48/AO48-1)*100),"NA",IF(((AW48/AO48-1)*100)&gt;100,"NM",IF(((AW48/AO48-1)*100)&lt;-50,"NM",(AW48/AO48-1)*100)))</f>
        <v>10.307802433786662</v>
      </c>
      <c r="AY48" s="129">
        <v>143.69999999999999</v>
      </c>
      <c r="AZ48" s="81">
        <f>IF(ISERROR((AY48/AQ48-1)*100),"NA",IF(((AY48/AQ48-1)*100)&gt;100,"NM",IF(((AY48/AQ48-1)*100)&lt;-50,"NM",(AY48/AQ48-1)*100)))</f>
        <v>-2.7740189445196406</v>
      </c>
      <c r="BA48" s="129">
        <f>143.8+2+0.2</f>
        <v>146</v>
      </c>
      <c r="BB48" s="81">
        <f>IF(ISERROR((BA48/AS48-1)*100),"NA",IF(((BA48/AS48-1)*100)&gt;100,"NM",IF(((BA48/AS48-1)*100)&lt;-50,"NM",(BA48/AS48-1)*100)))</f>
        <v>-2.0134228187919434</v>
      </c>
      <c r="BC48" s="129">
        <f>130.5+1.8-0.1</f>
        <v>132.20000000000002</v>
      </c>
      <c r="BD48" s="81">
        <f>IF(ISERROR((BC48/AU48-1)*100),"NA",IF(((BC48/AU48-1)*100)&gt;100,"NM",IF(((BC48/AU48-1)*100)&lt;-50,"NM",(BC48/AU48-1)*100)))</f>
        <v>-6.7700987306064881</v>
      </c>
      <c r="BE48" s="129">
        <f>139+1.9</f>
        <v>140.9</v>
      </c>
      <c r="BF48" s="81">
        <f>IF(ISERROR((BE48/AW48-1)*100),"NA",IF(((BE48/AW48-1)*100)&gt;100,"NM",IF(((BE48/AW48-1)*100)&lt;-50,"NM",(BE48/AW48-1)*100)))</f>
        <v>-8.5658663205710468</v>
      </c>
      <c r="BG48" s="129">
        <f>148.3+1.8-0.1</f>
        <v>150.00000000000003</v>
      </c>
      <c r="BH48" s="81">
        <f>IF(ISERROR((BG48/AY48-1)*100),"NA",IF(((BG48/AY48-1)*100)&gt;100,"NM",IF(((BG48/AY48-1)*100)&lt;-50,"NM",(BG48/AY48-1)*100)))</f>
        <v>4.3841336116910545</v>
      </c>
      <c r="BI48" s="129">
        <f>143+1.3</f>
        <v>144.30000000000001</v>
      </c>
      <c r="BJ48" s="81">
        <f>IF(ISERROR((BI48/BA48-1)*100),"NA",IF(((BI48/BA48-1)*100)&gt;100,"NM",IF(((BI48/BA48-1)*100)&lt;-50,"NM",(BI48/BA48-1)*100)))</f>
        <v>-1.1643835616438225</v>
      </c>
      <c r="BK48" s="129">
        <f>146.8+1</f>
        <v>147.80000000000001</v>
      </c>
      <c r="BL48" s="81">
        <f>IF(ISERROR((BK48/BC48-1)*100),"NA",IF(((BK48/BC48-1)*100)&gt;100,"NM",IF(((BK48/BC48-1)*100)&lt;-50,"NM",(BK48/BC48-1)*100)))</f>
        <v>11.800302571860822</v>
      </c>
      <c r="BM48" s="129">
        <f>141+1</f>
        <v>142</v>
      </c>
      <c r="BN48" s="81">
        <f>IF(ISERROR((BM48/BE48-1)*100),"NA",IF(((BM48/BE48-1)*100)&gt;100,"NM",IF(((BM48/BE48-1)*100)&lt;-50,"NM",(BM48/BE48-1)*100)))</f>
        <v>0.78069552874378001</v>
      </c>
      <c r="BO48" s="129">
        <f>141.6+0.9</f>
        <v>142.5</v>
      </c>
      <c r="BP48" s="81">
        <f>IF(ISERROR((BO48/BG48-1)*100),"NA",IF(((BO48/BG48-1)*100)&gt;100,"NM",IF(((BO48/BG48-1)*100)&lt;-50,"NM",(BO48/BG48-1)*100)))</f>
        <v>-5.000000000000016</v>
      </c>
      <c r="BQ48" s="129">
        <f>143.5+0.8</f>
        <v>144.30000000000001</v>
      </c>
      <c r="BR48" s="81">
        <f>IF(ISERROR((BQ48/BI48-1)*100),"NA",IF(((BQ48/BI48-1)*100)&gt;100,"NM",IF(((BQ48/BI48-1)*100)&lt;-50,"NM",(BQ48/BI48-1)*100)))</f>
        <v>0</v>
      </c>
      <c r="BS48" s="129">
        <f>142+0.5</f>
        <v>142.5</v>
      </c>
      <c r="BT48" s="81">
        <f>IF(ISERROR((BS48/BK48-1)*100),"NA",IF(((BS48/BK48-1)*100)&gt;100,"NM",IF(((BS48/BK48-1)*100)&lt;-50,"NM",(BS48/BK48-1)*100)))</f>
        <v>-3.5859269282814688</v>
      </c>
      <c r="BU48" s="129">
        <f>141.5+0.4</f>
        <v>141.9</v>
      </c>
      <c r="BV48" s="81">
        <f>IF(ISERROR((BU48/BM48-1)*100),"NA",IF(((BU48/BM48-1)*100)&gt;100,"NM",IF(((BU48/BM48-1)*100)&lt;-50,"NM",(BU48/BM48-1)*100)))</f>
        <v>-7.0422535211267512E-2</v>
      </c>
      <c r="BW48" s="129">
        <f>145.6+0.3</f>
        <v>145.9</v>
      </c>
      <c r="BX48" s="81">
        <f>IF(ISERROR((BW48/BO48-1)*100),"NA",IF(((BW48/BO48-1)*100)&gt;100,"NM",IF(((BW48/BO48-1)*100)&lt;-50,"NM",(BW48/BO48-1)*100)))</f>
        <v>2.3859649122807136</v>
      </c>
      <c r="BY48" s="129">
        <f>137.9+0.3</f>
        <v>138.20000000000002</v>
      </c>
      <c r="BZ48" s="81">
        <f>IF(ISERROR((BY48/BQ48-1)*100),"NA",IF(((BY48/BQ48-1)*100)&gt;100,"NM",IF(((BY48/BQ48-1)*100)&lt;-50,"NM",(BY48/BQ48-1)*100)))</f>
        <v>-4.2273042273042183</v>
      </c>
      <c r="CA48" s="129">
        <f>132.3+0.3</f>
        <v>132.60000000000002</v>
      </c>
      <c r="CB48" s="81">
        <f>IF(ISERROR((CA48/BS48-1)*100),"NA",IF(((CA48/BS48-1)*100)&gt;100,"NM",IF(((CA48/BS48-1)*100)&lt;-50,"NM",(CA48/BS48-1)*100)))</f>
        <v>-6.9473684210526132</v>
      </c>
      <c r="CC48" s="129">
        <f>132.7+0.3</f>
        <v>133</v>
      </c>
      <c r="CD48" s="81">
        <f>IF(ISERROR((CC48/BU48-1)*100),"NA",IF(((CC48/BU48-1)*100)&gt;100,"NM",IF(((CC48/BU48-1)*100)&lt;-50,"NM",(CC48/BU48-1)*100)))</f>
        <v>-6.2720225510923271</v>
      </c>
      <c r="CE48" s="129">
        <v>140.80000000000001</v>
      </c>
      <c r="CF48" s="81">
        <f>IF(ISERROR((CE48/BW48-1)*100),"NA",IF(((CE48/BW48-1)*100)&gt;100,"NM",IF(((CE48/BW48-1)*100)&lt;-50,"NM",(CE48/BW48-1)*100)))</f>
        <v>-3.4955448937628475</v>
      </c>
      <c r="CG48" s="129">
        <f>137.1+0.3</f>
        <v>137.4</v>
      </c>
      <c r="CH48" s="81">
        <f>IF(ISERROR((CG48/BY48-1)*100),"NA",IF(((CG48/BY48-1)*100)&gt;100,"NM",IF(((CG48/BY48-1)*100)&lt;-50,"NM",(CG48/BY48-1)*100)))</f>
        <v>-0.57887120115774904</v>
      </c>
      <c r="CI48" s="129">
        <f>136.6+0.2</f>
        <v>136.79999999999998</v>
      </c>
      <c r="CJ48" s="81">
        <f>IF(ISERROR((CI48/CA48-1)*100),"NA",IF(((CI48/CA48-1)*100)&gt;100,"NM",IF(((CI48/CA48-1)*100)&lt;-50,"NM",(CI48/CA48-1)*100)))</f>
        <v>3.1674208144796046</v>
      </c>
      <c r="CK48" s="129">
        <f>0.3+137.4</f>
        <v>137.70000000000002</v>
      </c>
      <c r="CL48" s="81">
        <f>IF(ISERROR((CK48/CC48-1)*100),"NA",IF(((CK48/CC48-1)*100)&gt;100,"NM",IF(((CK48/CC48-1)*100)&lt;-50,"NM",(CK48/CC48-1)*100)))</f>
        <v>3.5338345864661891</v>
      </c>
      <c r="CM48" s="129">
        <f>0.2+135.9</f>
        <v>136.1</v>
      </c>
      <c r="CN48" s="81">
        <f>IF(ISERROR((CM48/CE48-1)*100),"NA",IF(((CM48/CE48-1)*100)&gt;100,"NM",IF(((CM48/CE48-1)*100)&lt;-50,"NM",(CM48/CE48-1)*100)))</f>
        <v>-3.338068181818199</v>
      </c>
      <c r="CO48" s="129">
        <f>0.3+134.9</f>
        <v>135.20000000000002</v>
      </c>
      <c r="CP48" s="81">
        <f>IF(ISERROR((CO48/CG48-1)*100),"NA",IF(((CO48/CG48-1)*100)&gt;100,"NM",IF(((CO48/CG48-1)*100)&lt;-50,"NM",(CO48/CG48-1)*100)))</f>
        <v>-1.6011644832605421</v>
      </c>
      <c r="CQ48" s="129">
        <f>0.3+134.6</f>
        <v>134.9</v>
      </c>
      <c r="CR48" s="81">
        <f>IF(ISERROR((CQ48/CI48-1)*100),"NA",IF(((CQ48/CI48-1)*100)&gt;100,"NM",IF(((CQ48/CI48-1)*100)&lt;-50,"NM",(CQ48/CI48-1)*100)))</f>
        <v>-1.3888888888888729</v>
      </c>
      <c r="CS48" s="129">
        <f>0.2+130.6</f>
        <v>130.79999999999998</v>
      </c>
      <c r="CT48" s="81">
        <f>IF(ISERROR((CS48/CK48-1)*100),"NA",IF(((CS48/CK48-1)*100)&gt;100,"NM",IF(((CS48/CK48-1)*100)&lt;-50,"NM",(CS48/CK48-1)*100)))</f>
        <v>-5.0108932461873863</v>
      </c>
      <c r="CU48" s="129">
        <f>0.3+138.9</f>
        <v>139.20000000000002</v>
      </c>
      <c r="CV48" s="81">
        <f>IF(ISERROR((CU48/CM48-1)*100),"NA",IF(((CU48/CM48-1)*100)&gt;100,"NM",IF(((CU48/CM48-1)*100)&lt;-50,"NM",(CU48/CM48-1)*100)))</f>
        <v>2.2777369581190365</v>
      </c>
      <c r="CW48" s="129">
        <f>131.5+0.1</f>
        <v>131.6</v>
      </c>
      <c r="CX48" s="81">
        <f>IF(ISERROR((CW48/CO48-1)*100),"NA",IF(((CW48/CO48-1)*100)&gt;100,"NM",IF(((CW48/CO48-1)*100)&lt;-50,"NM",(CW48/CO48-1)*100)))</f>
        <v>-2.6627218934911379</v>
      </c>
      <c r="CY48" s="129">
        <v>132.69999999999999</v>
      </c>
      <c r="CZ48" s="81">
        <f>IF(ISERROR((CY48/CQ48-1)*100),"NA",IF(((CY48/CQ48-1)*100)&gt;100,"NM",IF(((CY48/CQ48-1)*100)&lt;-50,"NM",(CY48/CQ48-1)*100)))</f>
        <v>-1.630837657524109</v>
      </c>
      <c r="DA48" s="129">
        <v>132.6</v>
      </c>
      <c r="DB48" s="81">
        <f>IF(ISERROR((DA48/CS48-1)*100),"NA",IF(((DA48/CS48-1)*100)&gt;100,"NM",IF(((DA48/CS48-1)*100)&lt;-50,"NM",(DA48/CS48-1)*100)))</f>
        <v>1.3761467889908285</v>
      </c>
      <c r="DC48" s="129">
        <v>135.5</v>
      </c>
      <c r="DD48" s="81">
        <f>IF(ISERROR((DC48/CU48-1)*100),"NA",IF(((DC48/CU48-1)*100)&gt;100,"NM",IF(((DC48/CU48-1)*100)&lt;-50,"NM",(DC48/CU48-1)*100)))</f>
        <v>-2.6580459770115028</v>
      </c>
      <c r="DE48" s="129">
        <v>136</v>
      </c>
      <c r="DF48" s="81">
        <f>IF(ISERROR((DE48/CW48-1)*100),"NA",IF(((DE48/CW48-1)*100)&gt;100,"NM",IF(((DE48/CW48-1)*100)&lt;-50,"NM",(DE48/CW48-1)*100)))</f>
        <v>3.3434650455927084</v>
      </c>
      <c r="DG48" s="129">
        <v>135.4</v>
      </c>
      <c r="DH48" s="81">
        <f>IF(ISERROR((DG48/CY48-1)*100),"NA",IF(((DG48/CY48-1)*100)&gt;100,"NM",IF(((DG48/CY48-1)*100)&lt;-50,"NM",(DG48/CY48-1)*100)))</f>
        <v>2.0346646571213434</v>
      </c>
      <c r="DI48" s="129">
        <v>136.30000000000001</v>
      </c>
      <c r="DJ48" s="81">
        <f>IF(ISERROR((DI48/DA48-1)*100),"NA",IF(((DI48/DA48-1)*100)&gt;100,"NM",IF(((DI48/DA48-1)*100)&lt;-50,"NM",(DI48/DA48-1)*100)))</f>
        <v>2.7903469079939791</v>
      </c>
      <c r="DK48" s="129">
        <v>142.30000000000001</v>
      </c>
      <c r="DL48" s="81">
        <f>IF(ISERROR((DK48/DC48-1)*100),"NA",IF(((DK48/DC48-1)*100)&gt;100,"NM",IF(((DK48/DC48-1)*100)&lt;-50,"NM",(DK48/DC48-1)*100)))</f>
        <v>5.0184501845018437</v>
      </c>
      <c r="DM48" s="129">
        <v>141.80000000000001</v>
      </c>
      <c r="DN48" s="81">
        <f>IF(ISERROR((DM48/DE48-1)*100),"NA",IF(((DM48/DE48-1)*100)&gt;100,"NM",IF(((DM48/DE48-1)*100)&lt;-50,"NM",(DM48/DE48-1)*100)))</f>
        <v>4.2647058823529482</v>
      </c>
      <c r="DO48" s="129">
        <v>142.69999999999999</v>
      </c>
      <c r="DP48" s="81">
        <f>IF(ISERROR((DO48/DG48-1)*100),"NA",IF(((DO48/DG48-1)*100)&gt;100,"NM",IF(((DO48/DG48-1)*100)&lt;-50,"NM",(DO48/DG48-1)*100)))</f>
        <v>5.3914327917282012</v>
      </c>
      <c r="DQ48" s="129">
        <v>142.4</v>
      </c>
      <c r="DR48" s="81">
        <f>IF(ISERROR((DQ48/DI48-1)*100),"NA",IF(((DQ48/DI48-1)*100)&gt;100,"NM",IF(((DQ48/DI48-1)*100)&lt;-50,"NM",(DQ48/DI48-1)*100)))</f>
        <v>4.4754218635363108</v>
      </c>
      <c r="DS48" s="129">
        <v>145.5</v>
      </c>
      <c r="DT48" s="81">
        <f>IF(ISERROR((DS48/DK48-1)*100),"NA",IF(((DS48/DK48-1)*100)&gt;100,"NM",IF(((DS48/DK48-1)*100)&lt;-50,"NM",(DS48/DK48-1)*100)))</f>
        <v>2.2487702037947921</v>
      </c>
      <c r="DU48" s="129">
        <v>145.19999999999999</v>
      </c>
      <c r="DV48" s="81">
        <f>IF(ISERROR((DU48/DM48-1)*100),"NA",IF(((DU48/DM48-1)*100)&gt;100,"NM",IF(((DU48/DM48-1)*100)&lt;-50,"NM",(DU48/DM48-1)*100)))</f>
        <v>2.3977433004231052</v>
      </c>
      <c r="DW48" s="129">
        <v>143.30000000000001</v>
      </c>
      <c r="DX48" s="81">
        <f>IF(ISERROR((DW48/DO48-1)*100),"NA",IF(((DW48/DO48-1)*100)&gt;100,"NM",IF(((DW48/DO48-1)*100)&lt;-50,"NM",(DW48/DO48-1)*100)))</f>
        <v>0.42046250875964475</v>
      </c>
      <c r="DY48" s="129">
        <v>141</v>
      </c>
      <c r="DZ48" s="81">
        <f>IF(ISERROR((DY48/DQ48-1)*100),"NA",IF(((DY48/DQ48-1)*100)&gt;100,"NM",IF(((DY48/DQ48-1)*100)&lt;-50,"NM",(DY48/DQ48-1)*100)))</f>
        <v>-0.98314606741572996</v>
      </c>
      <c r="EA48" s="129">
        <v>142.6</v>
      </c>
      <c r="EB48" s="81">
        <f>IF(ISERROR((EA48/DS48-1)*100),"NA",IF(((EA48/DS48-1)*100)&gt;100,"NM",IF(((EA48/DS48-1)*100)&lt;-50,"NM",(EA48/DS48-1)*100)))</f>
        <v>-1.993127147766327</v>
      </c>
      <c r="EC48" s="129">
        <v>144.9</v>
      </c>
      <c r="ED48" s="81">
        <f t="shared" si="230"/>
        <v>-0.20661157024792765</v>
      </c>
      <c r="EE48" s="129">
        <v>148</v>
      </c>
      <c r="EF48" s="81">
        <f t="shared" si="231"/>
        <v>3.2798325191905064</v>
      </c>
      <c r="EG48" s="129">
        <v>143.30000000000001</v>
      </c>
      <c r="EH48" s="81">
        <f t="shared" si="232"/>
        <v>1.6312056737588732</v>
      </c>
      <c r="EI48" s="129">
        <v>150.80000000000001</v>
      </c>
      <c r="EJ48" s="81">
        <f t="shared" si="233"/>
        <v>5.7503506311360475</v>
      </c>
      <c r="EK48" s="35">
        <f t="shared" ref="EK48:EQ48" si="243">EK53/100*EK42</f>
        <v>154.45485435760804</v>
      </c>
      <c r="EL48" s="81">
        <f t="shared" si="235"/>
        <v>6.5941023862029269</v>
      </c>
      <c r="EM48" s="35">
        <f t="shared" si="243"/>
        <v>155.37512723532549</v>
      </c>
      <c r="EN48" s="81">
        <f t="shared" si="236"/>
        <v>4.9831940779226258</v>
      </c>
      <c r="EO48" s="35">
        <f t="shared" si="243"/>
        <v>155.27893523062994</v>
      </c>
      <c r="EP48" s="81">
        <f t="shared" si="237"/>
        <v>8.3593407052546596</v>
      </c>
      <c r="EQ48" s="35">
        <f t="shared" si="243"/>
        <v>155.3187181419959</v>
      </c>
      <c r="ER48" s="81">
        <f t="shared" si="238"/>
        <v>2.9964974416418322</v>
      </c>
      <c r="ES48" s="129"/>
      <c r="ET48" s="469"/>
      <c r="EU48" s="129"/>
      <c r="EV48" s="95"/>
      <c r="EW48" s="79"/>
      <c r="EX48" s="95"/>
      <c r="EY48" s="79"/>
      <c r="EZ48" s="131"/>
      <c r="FA48" s="79"/>
      <c r="FB48" s="35"/>
      <c r="FC48" s="79"/>
      <c r="FD48" s="95">
        <v>547.79999999999995</v>
      </c>
      <c r="FE48" s="79" t="str">
        <f>IF(ISERROR((FD48/FB48-1)*100),"NA",IF(((FD48/FB48-1)*100)&gt;100,"NM",IF(((FD48/FB48-1)*100)&lt;-50,"NM",(FD48/FB48-1)*100)))</f>
        <v>NA</v>
      </c>
      <c r="FF48" s="95">
        <v>615.5</v>
      </c>
      <c r="FG48" s="79">
        <f>IF(ISERROR((FF48/FD48-1)*100),"NA",IF(((FF48/FD48-1)*100)&gt;100,"NM",IF(((FF48/FD48-1)*100)&lt;-50,"NM",(FF48/FD48-1)*100)))</f>
        <v>12.358525009127419</v>
      </c>
      <c r="FH48" s="95">
        <v>619.6</v>
      </c>
      <c r="FI48" s="79">
        <f>IF(ISERROR((FH48/FF48-1)*100),"NA",IF(((FH48/FF48-1)*100)&gt;100,"NM",IF(((FH48/FF48-1)*100)&lt;-50,"NM",(FH48/FF48-1)*100)))</f>
        <v>0.66612510154346882</v>
      </c>
      <c r="FJ48" s="35">
        <f>+AQ48+AO48+AM48+AK48</f>
        <v>572.4</v>
      </c>
      <c r="FK48" s="79">
        <f>IF(ISERROR((FJ48/FH48-1)*100),"NA",IF(((FJ48/FH48-1)*100)&gt;100,"NM",IF(((FJ48/FH48-1)*100)&lt;-50,"NM",(FJ48/FH48-1)*100)))</f>
        <v>-7.6178179470626333</v>
      </c>
      <c r="FL48" s="78">
        <f>AS48+AU48+AW48+AY48</f>
        <v>588.59999999999991</v>
      </c>
      <c r="FM48" s="79">
        <f>IF(ISERROR((FL48/FJ48-1)*100),"NA",IF(((FL48/FJ48-1)*100)&gt;100,"NM",IF(((FL48/FJ48-1)*100)&lt;-50,"NM",(FL48/FJ48-1)*100)))</f>
        <v>2.8301886792452713</v>
      </c>
      <c r="FN48" s="78">
        <f>BA48+BC48+BE48+BG48</f>
        <v>569.1</v>
      </c>
      <c r="FO48" s="79">
        <f>IF(ISERROR((FN48/FL48-1)*100),"NA",IF(((FN48/FL48-1)*100)&gt;100,"NM",IF(((FN48/FL48-1)*100)&lt;-50,"NM",(FN48/FL48-1)*100)))</f>
        <v>-3.3129459734964173</v>
      </c>
      <c r="FP48" s="78">
        <f>BI48+BK48+BM48+BO48</f>
        <v>576.6</v>
      </c>
      <c r="FQ48" s="79">
        <f>IF(ISERROR((FP48/FN48-1)*100),"NA",IF(((FP48/FN48-1)*100)&gt;100,"NM",IF(((FP48/FN48-1)*100)&lt;-50,"NM",(FP48/FN48-1)*100)))</f>
        <v>1.317870321560366</v>
      </c>
      <c r="FR48" s="35">
        <f>BQ48+BS48+BU48+BW48</f>
        <v>574.6</v>
      </c>
      <c r="FS48" s="79">
        <f>IF(ISERROR((FR48/FP48-1)*100),"NA",IF(((FR48/FP48-1)*100)&gt;100,"NM",IF(((FR48/FP48-1)*100)&lt;-50,"NM",(FR48/FP48-1)*100)))</f>
        <v>-0.3468609087755814</v>
      </c>
      <c r="FT48" s="35">
        <f>BY48+CA48+CC48+CE48</f>
        <v>544.60000000000014</v>
      </c>
      <c r="FU48" s="79">
        <f>IF(ISERROR((FT48/FR48-1)*100),"NA",IF(((FT48/FR48-1)*100)&gt;100,"NM",IF(((FT48/FR48-1)*100)&lt;-50,"NM",(FT48/FR48-1)*100)))</f>
        <v>-5.2210233205708168</v>
      </c>
      <c r="FV48" s="35">
        <f>CG48+CI48+CK48+CM48</f>
        <v>548</v>
      </c>
      <c r="FW48" s="79">
        <f>IF(ISERROR((FV48/FT48-1)*100),"NA",IF(((FV48/FT48-1)*100)&gt;100,"NM",IF(((FV48/FT48-1)*100)&lt;-50,"NM",(FV48/FT48-1)*100)))</f>
        <v>0.62431142122656436</v>
      </c>
      <c r="FX48" s="35">
        <f>CO48+CQ48+CS48+CU48</f>
        <v>540.1</v>
      </c>
      <c r="FY48" s="79">
        <f>IF(ISERROR((FX48/FV48-1)*100),"NA",IF(((FX48/FV48-1)*100)&gt;100,"NM",IF(((FX48/FV48-1)*100)&lt;-50,"NM",(FX48/FV48-1)*100)))</f>
        <v>-1.4416058394160491</v>
      </c>
      <c r="FZ48" s="35">
        <f>CW48+CY48+DA48+DC48</f>
        <v>532.4</v>
      </c>
      <c r="GA48" s="79">
        <f>IF(ISERROR((FZ48/FX48-1)*100),"NA",IF(((FZ48/FX48-1)*100)&gt;100,"NM",IF(((FZ48/FX48-1)*100)&lt;-50,"NM",(FZ48/FX48-1)*100)))</f>
        <v>-1.4256619144602967</v>
      </c>
      <c r="GB48" s="35">
        <f>DE48+DG48+DI48+DK48</f>
        <v>550</v>
      </c>
      <c r="GC48" s="79">
        <f>IF(ISERROR((GB48/FZ48-1)*100),"NA",IF(((GB48/FZ48-1)*100)&gt;100,"NM",IF(((GB48/FZ48-1)*100)&lt;-50,"NM",(GB48/FZ48-1)*100)))</f>
        <v>3.3057851239669533</v>
      </c>
      <c r="GD48" s="35">
        <f>DM48+DO48+DQ48+DS48</f>
        <v>572.4</v>
      </c>
      <c r="GE48" s="79">
        <f>IF(ISERROR((GD48/GB48-1)*100),"NA",IF(((GD48/GB48-1)*100)&gt;100,"NM",IF(((GD48/GB48-1)*100)&lt;-50,"NM",(GD48/GB48-1)*100)))</f>
        <v>4.0727272727272723</v>
      </c>
      <c r="GF48" s="35">
        <f>DU48+DW48+DY48+EA48</f>
        <v>572.1</v>
      </c>
      <c r="GG48" s="79">
        <f>IF(ISERROR((GF48/GD48-1)*100),"NA",IF(((GF48/GD48-1)*100)&gt;100,"NM",IF(((GF48/GD48-1)*100)&lt;-50,"NM",(GF48/GD48-1)*100)))</f>
        <v>-5.2410901467492277E-2</v>
      </c>
      <c r="GH48" s="35">
        <f>EC48+EE48+EG48+EI48</f>
        <v>587</v>
      </c>
      <c r="GI48" s="79">
        <f>IF(ISERROR((GH48/GF48-1)*100),"NA",IF(((GH48/GF48-1)*100)&gt;100,"NM",IF(((GH48/GF48-1)*100)&lt;-50,"NM",(GH48/GF48-1)*100)))</f>
        <v>2.604439783254664</v>
      </c>
      <c r="GJ48" s="35">
        <f>EK48+EM48+EO48+EQ48</f>
        <v>620.42763496555938</v>
      </c>
      <c r="GK48" s="79">
        <f>IF(ISERROR((GJ48/GH48-1)*100),"NA",IF(((GJ48/GH48-1)*100)&gt;100,"NM",IF(((GJ48/GH48-1)*100)&lt;-50,"NM",(GJ48/GH48-1)*100)))</f>
        <v>5.6946567232639467</v>
      </c>
      <c r="GL48" s="35">
        <f>GL53/100*GL42</f>
        <v>644.5820376495036</v>
      </c>
      <c r="GM48" s="79">
        <f>IF(ISERROR((GL48/GJ48-1)*100),"NA",IF(((GL48/GJ48-1)*100)&gt;100,"NM",IF(((GL48/GJ48-1)*100)&lt;-50,"NM",(GL48/GJ48-1)*100)))</f>
        <v>3.8931861385067101</v>
      </c>
      <c r="GN48" s="35">
        <f>GN53/100*GN42</f>
        <v>670.38420054229653</v>
      </c>
      <c r="GO48" s="79">
        <f>IF(ISERROR((GN48/GL48-1)*100),"NA",IF(((GN48/GL48-1)*100)&gt;100,"NM",IF(((GN48/GL48-1)*100)&lt;-50,"NM",(GN48/GL48-1)*100)))</f>
        <v>4.0029292449540899</v>
      </c>
      <c r="GP48" s="35">
        <f>GP53/100*GP42</f>
        <v>697.84923938038673</v>
      </c>
      <c r="GQ48" s="79">
        <f>IF(ISERROR((GP48/GN48-1)*100),"NA",IF(((GP48/GN48-1)*100)&gt;100,"NM",IF(((GP48/GN48-1)*100)&lt;-50,"NM",(GP48/GN48-1)*100)))</f>
        <v>4.0969102219104769</v>
      </c>
      <c r="GR48" s="35">
        <f>GR53/100*GR42</f>
        <v>727.00158306834953</v>
      </c>
      <c r="GS48" s="79">
        <f>IF(ISERROR((GR48/GP48-1)*100),"NA",IF(((GR48/GP48-1)*100)&gt;100,"NM",IF(((GR48/GP48-1)*100)&lt;-50,"NM",(GR48/GP48-1)*100)))</f>
        <v>4.1774558232444026</v>
      </c>
      <c r="GT48" s="79">
        <f>IF(ISERROR(((GR48/GH48)^0.2-1)*100),"NA",(IF(OR(((GR48/GH48)^0.2-1)*100&gt;99,((GR48/GH48)^0.2-1)*100&lt;-50),"NM",(((GR48/GH48)^0.2-1)*100))))</f>
        <v>4.3709054349535092</v>
      </c>
      <c r="GU48" s="562"/>
      <c r="GV48" s="562"/>
      <c r="GW48"/>
      <c r="GX48"/>
      <c r="GY48"/>
      <c r="GZ48"/>
      <c r="HA48"/>
      <c r="HB48"/>
      <c r="HC48" s="562"/>
      <c r="HD48" s="562"/>
      <c r="HE48" s="562"/>
      <c r="HF48" s="562"/>
      <c r="HG48" s="562"/>
      <c r="HH48" s="562"/>
      <c r="HI48" s="562"/>
      <c r="HJ48" s="562"/>
      <c r="HK48" s="562"/>
      <c r="HL48" s="562"/>
      <c r="HM48" s="562"/>
      <c r="HN48" s="562"/>
      <c r="HO48" s="562"/>
      <c r="HP48" s="562"/>
      <c r="HQ48" s="562"/>
      <c r="HR48" s="562"/>
      <c r="HS48" s="562"/>
      <c r="HT48" s="562"/>
      <c r="HU48" s="562"/>
      <c r="HV48" s="562"/>
      <c r="HW48" s="562"/>
      <c r="HX48" s="562"/>
      <c r="HY48" s="562"/>
      <c r="HZ48" s="562"/>
      <c r="IA48" s="562"/>
      <c r="IB48" s="562"/>
      <c r="IC48" s="562"/>
      <c r="ID48" s="562"/>
      <c r="IE48" s="562"/>
      <c r="IF48" s="562"/>
      <c r="IG48" s="562"/>
      <c r="IH48" s="562"/>
      <c r="II48" s="562"/>
      <c r="IJ48" s="562"/>
      <c r="IK48" s="562"/>
      <c r="IL48" s="562"/>
      <c r="IM48" s="562"/>
      <c r="IN48" s="562"/>
      <c r="IO48" s="562"/>
      <c r="IP48" s="562"/>
      <c r="IQ48" s="562"/>
      <c r="IR48" s="562"/>
      <c r="IS48" s="562"/>
      <c r="IT48" s="562"/>
      <c r="IU48" s="562"/>
      <c r="IV48" s="562"/>
      <c r="IW48" s="562"/>
      <c r="IX48" s="562"/>
      <c r="IY48" s="562"/>
      <c r="IZ48" s="562"/>
      <c r="JA48" s="562"/>
      <c r="JB48" s="562"/>
      <c r="JC48" s="562"/>
      <c r="JD48" s="562"/>
      <c r="JE48" s="562"/>
      <c r="JF48" s="562"/>
      <c r="JG48" s="562"/>
      <c r="JH48" s="562"/>
      <c r="JI48" s="562"/>
      <c r="JJ48" s="562"/>
      <c r="JK48" s="562"/>
      <c r="JL48" s="562"/>
      <c r="JM48" s="562"/>
      <c r="JN48" s="562"/>
      <c r="JO48" s="562"/>
      <c r="JP48" s="562"/>
      <c r="JQ48" s="562"/>
      <c r="JR48" s="562"/>
      <c r="JS48" s="562"/>
      <c r="JT48" s="562"/>
      <c r="JU48" s="562"/>
      <c r="JV48" s="562"/>
      <c r="JW48" s="562"/>
      <c r="JX48" s="562"/>
      <c r="JY48" s="562"/>
      <c r="JZ48" s="562"/>
    </row>
    <row r="49" spans="1:286" s="143" customFormat="1" ht="12.75" customHeight="1" x14ac:dyDescent="0.2">
      <c r="A49" s="134"/>
      <c r="B49" s="68" t="s">
        <v>57</v>
      </c>
      <c r="C49" s="140"/>
      <c r="D49" s="140"/>
      <c r="E49" s="147"/>
      <c r="F49" s="147"/>
      <c r="G49" s="147"/>
      <c r="H49" s="148"/>
      <c r="I49" s="147"/>
      <c r="J49" s="148"/>
      <c r="K49" s="147"/>
      <c r="L49" s="79"/>
      <c r="M49" s="147"/>
      <c r="N49" s="79"/>
      <c r="O49" s="147"/>
      <c r="P49" s="79"/>
      <c r="Q49" s="147"/>
      <c r="R49" s="79"/>
      <c r="S49" s="147"/>
      <c r="T49" s="79"/>
      <c r="U49" s="147"/>
      <c r="V49" s="79"/>
      <c r="W49" s="147"/>
      <c r="X49" s="79"/>
      <c r="Y49" s="147"/>
      <c r="Z49" s="79"/>
      <c r="AA49" s="149"/>
      <c r="AB49" s="79"/>
      <c r="AC49" s="147">
        <f>SUM(AC45:AC48)</f>
        <v>831.59999999999991</v>
      </c>
      <c r="AD49" s="79" t="str">
        <f>IF(ISERROR((AC49/U49-1)*100),"NA",IF(((AC49/U49-1)*100)&gt;100,"NM",IF(((AC49/U49-1)*100)&lt;-50,"NM",(AC49/U49-1)*100)))</f>
        <v>NA</v>
      </c>
      <c r="AE49" s="147">
        <f>SUM(AE45:AE48)</f>
        <v>811.99999999999989</v>
      </c>
      <c r="AF49" s="79" t="str">
        <f>IF(ISERROR((AE49/W49-1)*100),"NA",IF(((AE49/W49-1)*100)&gt;100,"NM",IF(((AE49/W49-1)*100)&lt;-50,"NM",(AE49/W49-1)*100)))</f>
        <v>NA</v>
      </c>
      <c r="AG49" s="147">
        <f>SUM(AG45:AG48)</f>
        <v>806.40000000000009</v>
      </c>
      <c r="AH49" s="79" t="str">
        <f>IF(ISERROR((AG49/Y49-1)*100),"NA",IF(((AG49/Y49-1)*100)&gt;100,"NM",IF(((AG49/Y49-1)*100)&lt;-50,"NM",(AG49/Y49-1)*100)))</f>
        <v>NA</v>
      </c>
      <c r="AI49" s="147">
        <f>SUM(AI45:AI48)</f>
        <v>918.09999999999991</v>
      </c>
      <c r="AJ49" s="79" t="str">
        <f>IF(ISERROR((AI49/AA49-1)*100),"NA",IF(((AI49/AA49-1)*100)&gt;100,"NM",IF(((AI49/AA49-1)*100)&lt;-50,"NM",(AI49/AA49-1)*100)))</f>
        <v>NA</v>
      </c>
      <c r="AK49" s="147">
        <f>SUM(AK45:AK48)</f>
        <v>800.99999999999977</v>
      </c>
      <c r="AL49" s="79">
        <f>IF(ISERROR((AK49/AC49-1)*100),"NA",IF(((AK49/AC49-1)*100)&gt;100,"NM",IF(((AK49/AC49-1)*100)&lt;-50,"NM",(AK49/AC49-1)*100)))</f>
        <v>-3.6796536796536938</v>
      </c>
      <c r="AM49" s="147">
        <f>SUM(AM45:AM48)</f>
        <v>787.90000000000009</v>
      </c>
      <c r="AN49" s="79">
        <f>IF(ISERROR((AM49/AE49-1)*100),"NA",IF(((AM49/AE49-1)*100)&gt;100,"NM",IF(((AM49/AE49-1)*100)&lt;-50,"NM",(AM49/AE49-1)*100)))</f>
        <v>-2.9679802955664747</v>
      </c>
      <c r="AO49" s="147">
        <f>SUM(AO45:AO48)</f>
        <v>766.90000000000009</v>
      </c>
      <c r="AP49" s="79">
        <f>IF(ISERROR((AO49/AG49-1)*100),"NA",IF(((AO49/AG49-1)*100)&gt;100,"NM",IF(((AO49/AG49-1)*100)&lt;-50,"NM",(AO49/AG49-1)*100)))</f>
        <v>-4.8983134920634885</v>
      </c>
      <c r="AQ49" s="147">
        <f>SUM(AQ45:AQ48)</f>
        <v>789.7</v>
      </c>
      <c r="AR49" s="79">
        <f>IF(ISERROR((AQ49/AI49-1)*100),"NA",IF(((AQ49/AI49-1)*100)&gt;100,"NM",IF(((AQ49/AI49-1)*100)&lt;-50,"NM",(AQ49/AI49-1)*100)))</f>
        <v>-13.985404640017418</v>
      </c>
      <c r="AS49" s="147">
        <f>SUM(AS45:AS48)</f>
        <v>791.40000000000009</v>
      </c>
      <c r="AT49" s="81">
        <f>IF(ISERROR((AS49/AK49-1)*100),"NA",IF(((AS49/AK49-1)*100)&gt;100,"NM",IF(((AS49/AK49-1)*100)&lt;-50,"NM",(AS49/AK49-1)*100)))</f>
        <v>-1.1985018726591412</v>
      </c>
      <c r="AU49" s="147">
        <f>SUM(AU45:AU48)</f>
        <v>784.60000000000014</v>
      </c>
      <c r="AV49" s="81">
        <f>IF(ISERROR((AU49/AM49-1)*100),"NA",IF(((AU49/AM49-1)*100)&gt;100,"NM",IF(((AU49/AM49-1)*100)&lt;-50,"NM",(AU49/AM49-1)*100)))</f>
        <v>-0.41883487752252258</v>
      </c>
      <c r="AW49" s="147">
        <f>SUM(AW45:AW48)</f>
        <v>769.6</v>
      </c>
      <c r="AX49" s="81">
        <f>IF(ISERROR((AW49/AO49-1)*100),"NA",IF(((AW49/AO49-1)*100)&gt;100,"NM",IF(((AW49/AO49-1)*100)&lt;-50,"NM",(AW49/AO49-1)*100)))</f>
        <v>0.35206676228973777</v>
      </c>
      <c r="AY49" s="147">
        <f>SUM(AY45:AY48)</f>
        <v>779</v>
      </c>
      <c r="AZ49" s="81">
        <f>IF(ISERROR((AY49/AQ49-1)*100),"NA",IF(((AY49/AQ49-1)*100)&gt;100,"NM",IF(((AY49/AQ49-1)*100)&lt;-50,"NM",(AY49/AQ49-1)*100)))</f>
        <v>-1.3549449157908122</v>
      </c>
      <c r="BA49" s="147">
        <f>SUM(BA45:BA48)</f>
        <v>743.6</v>
      </c>
      <c r="BB49" s="81">
        <f>IF(ISERROR((BA49/AS49-1)*100),"NA",IF(((BA49/AS49-1)*100)&gt;100,"NM",IF(((BA49/AS49-1)*100)&lt;-50,"NM",(BA49/AS49-1)*100)))</f>
        <v>-6.0399292393227277</v>
      </c>
      <c r="BC49" s="147">
        <f>SUM(BC45:BC48)</f>
        <v>750.30000000000007</v>
      </c>
      <c r="BD49" s="81">
        <f>IF(ISERROR((BC49/AU49-1)*100),"NA",IF(((BC49/AU49-1)*100)&gt;100,"NM",IF(((BC49/AU49-1)*100)&lt;-50,"NM",(BC49/AU49-1)*100)))</f>
        <v>-4.3716543461636554</v>
      </c>
      <c r="BE49" s="147">
        <f>SUM(BE45:BE48)</f>
        <v>729.5</v>
      </c>
      <c r="BF49" s="81">
        <f>IF(ISERROR((BE49/AW49-1)*100),"NA",IF(((BE49/AW49-1)*100)&gt;100,"NM",IF(((BE49/AW49-1)*100)&lt;-50,"NM",(BE49/AW49-1)*100)))</f>
        <v>-5.210498960498966</v>
      </c>
      <c r="BG49" s="147">
        <f>SUM(BG45:BG48)</f>
        <v>730.4</v>
      </c>
      <c r="BH49" s="81">
        <f>IF(ISERROR((BG49/AY49-1)*100),"NA",IF(((BG49/AY49-1)*100)&gt;100,"NM",IF(((BG49/AY49-1)*100)&lt;-50,"NM",(BG49/AY49-1)*100)))</f>
        <v>-6.2387676508344097</v>
      </c>
      <c r="BI49" s="147">
        <f>SUM(BI45:BI48)</f>
        <v>709.5</v>
      </c>
      <c r="BJ49" s="81">
        <f>IF(ISERROR((BI49/BA49-1)*100),"NA",IF(((BI49/BA49-1)*100)&gt;100,"NM",IF(((BI49/BA49-1)*100)&lt;-50,"NM",(BI49/BA49-1)*100)))</f>
        <v>-4.5857988165680545</v>
      </c>
      <c r="BK49" s="147">
        <f>SUM(BK45:BK48)</f>
        <v>712.60000000000014</v>
      </c>
      <c r="BL49" s="81">
        <f>IF(ISERROR((BK49/BC49-1)*100),"NA",IF(((BK49/BC49-1)*100)&gt;100,"NM",IF(((BK49/BC49-1)*100)&lt;-50,"NM",(BK49/BC49-1)*100)))</f>
        <v>-5.0246568039450823</v>
      </c>
      <c r="BM49" s="147">
        <f>SUM(BM45:BM48)</f>
        <v>690.6</v>
      </c>
      <c r="BN49" s="81">
        <f>IF(ISERROR((BM49/BE49-1)*100),"NA",IF(((BM49/BE49-1)*100)&gt;100,"NM",IF(((BM49/BE49-1)*100)&lt;-50,"NM",(BM49/BE49-1)*100)))</f>
        <v>-5.3324194653872503</v>
      </c>
      <c r="BO49" s="147">
        <f>SUM(BO45:BO48)</f>
        <v>690.99999999999989</v>
      </c>
      <c r="BP49" s="81">
        <f>IF(ISERROR((BO49/BG49-1)*100),"NA",IF(((BO49/BG49-1)*100)&gt;100,"NM",IF(((BO49/BG49-1)*100)&lt;-50,"NM",(BO49/BG49-1)*100)))</f>
        <v>-5.3943044906900495</v>
      </c>
      <c r="BQ49" s="147">
        <f>SUM(BQ45:BQ48)</f>
        <v>667.90000000000009</v>
      </c>
      <c r="BR49" s="81">
        <f>IF(ISERROR((BQ49/BI49-1)*100),"NA",IF(((BQ49/BI49-1)*100)&gt;100,"NM",IF(((BQ49/BI49-1)*100)&lt;-50,"NM",(BQ49/BI49-1)*100)))</f>
        <v>-5.8632840028188689</v>
      </c>
      <c r="BS49" s="147">
        <f>SUM(BS45:BS48)</f>
        <v>656.09999999999991</v>
      </c>
      <c r="BT49" s="81">
        <f>IF(ISERROR((BS49/BK49-1)*100),"NA",IF(((BS49/BK49-1)*100)&gt;100,"NM",IF(((BS49/BK49-1)*100)&lt;-50,"NM",(BS49/BK49-1)*100)))</f>
        <v>-7.9287117597530488</v>
      </c>
      <c r="BU49" s="147">
        <f>SUM(BU45:BU48)</f>
        <v>641.6</v>
      </c>
      <c r="BV49" s="81">
        <f>IF(ISERROR((BU49/BM49-1)*100),"NA",IF(((BU49/BM49-1)*100)&gt;100,"NM",IF(((BU49/BM49-1)*100)&lt;-50,"NM",(BU49/BM49-1)*100)))</f>
        <v>-7.0952794671300339</v>
      </c>
      <c r="BW49" s="147">
        <f>SUM(BW45:BW48)</f>
        <v>638.80000000000007</v>
      </c>
      <c r="BX49" s="81">
        <f>IF(ISERROR((BW49/BO49-1)*100),"NA",IF(((BW49/BO49-1)*100)&gt;100,"NM",IF(((BW49/BO49-1)*100)&lt;-50,"NM",(BW49/BO49-1)*100)))</f>
        <v>-7.5542691751085078</v>
      </c>
      <c r="BY49" s="147">
        <f>SUM(BY45:BY48)</f>
        <v>619</v>
      </c>
      <c r="BZ49" s="81">
        <f>IF(ISERROR((BY49/BQ49-1)*100),"NA",IF(((BY49/BQ49-1)*100)&gt;100,"NM",IF(((BY49/BQ49-1)*100)&lt;-50,"NM",(BY49/BQ49-1)*100)))</f>
        <v>-7.321455307680802</v>
      </c>
      <c r="CA49" s="147">
        <f>SUM(CA45:CA48)</f>
        <v>613.5</v>
      </c>
      <c r="CB49" s="81">
        <f>IF(ISERROR((CA49/BS49-1)*100),"NA",IF(((CA49/BS49-1)*100)&gt;100,"NM",IF(((CA49/BS49-1)*100)&lt;-50,"NM",(CA49/BS49-1)*100)))</f>
        <v>-6.4929126657521596</v>
      </c>
      <c r="CC49" s="147">
        <f>SUM(CC45:CC48)</f>
        <v>606.79999999999995</v>
      </c>
      <c r="CD49" s="81">
        <f>IF(ISERROR((CC49/BU49-1)*100),"NA",IF(((CC49/BU49-1)*100)&gt;100,"NM",IF(((CC49/BU49-1)*100)&lt;-50,"NM",(CC49/BU49-1)*100)))</f>
        <v>-5.4239401496259498</v>
      </c>
      <c r="CE49" s="147">
        <f>SUM(CE45:CE48)</f>
        <v>615.1</v>
      </c>
      <c r="CF49" s="81">
        <f>IF(ISERROR((CE49/BW49-1)*100),"NA",IF(((CE49/BW49-1)*100)&gt;100,"NM",IF(((CE49/BW49-1)*100)&lt;-50,"NM",(CE49/BW49-1)*100)))</f>
        <v>-3.7100814026299389</v>
      </c>
      <c r="CG49" s="147">
        <f>SUM(CG45:CG48)</f>
        <v>604.1</v>
      </c>
      <c r="CH49" s="81">
        <f>IF(ISERROR((CG49/BY49-1)*100),"NA",IF(((CG49/BY49-1)*100)&gt;100,"NM",IF(((CG49/BY49-1)*100)&lt;-50,"NM",(CG49/BY49-1)*100)))</f>
        <v>-2.4071082390953125</v>
      </c>
      <c r="CI49" s="147">
        <f>SUM(CI45:CI48)</f>
        <v>604</v>
      </c>
      <c r="CJ49" s="81">
        <f>IF(ISERROR((CI49/CA49-1)*100),"NA",IF(((CI49/CA49-1)*100)&gt;100,"NM",IF(((CI49/CA49-1)*100)&lt;-50,"NM",(CI49/CA49-1)*100)))</f>
        <v>-1.5484922575387139</v>
      </c>
      <c r="CK49" s="147">
        <f>SUM(CK45:CK48)</f>
        <v>612.29999999999995</v>
      </c>
      <c r="CL49" s="81">
        <f>IF(ISERROR((CK49/CC49-1)*100),"NA",IF(((CK49/CC49-1)*100)&gt;100,"NM",IF(((CK49/CC49-1)*100)&lt;-50,"NM",(CK49/CC49-1)*100)))</f>
        <v>0.90639419907712071</v>
      </c>
      <c r="CM49" s="147">
        <f>SUM(CM45:CM48)</f>
        <v>607.1</v>
      </c>
      <c r="CN49" s="81">
        <f>IF(ISERROR((CM49/CE49-1)*100),"NA",IF(((CM49/CE49-1)*100)&gt;100,"NM",IF(((CM49/CE49-1)*100)&lt;-50,"NM",(CM49/CE49-1)*100)))</f>
        <v>-1.3006015282067906</v>
      </c>
      <c r="CO49" s="147">
        <f>SUM(CO45:CO48)</f>
        <v>609.4</v>
      </c>
      <c r="CP49" s="81">
        <f>IF(ISERROR((CO49/CG49-1)*100),"NA",IF(((CO49/CG49-1)*100)&gt;100,"NM",IF(((CO49/CG49-1)*100)&lt;-50,"NM",(CO49/CG49-1)*100)))</f>
        <v>0.87733818904154326</v>
      </c>
      <c r="CQ49" s="147">
        <f>SUM(CQ45:CQ48)</f>
        <v>610.70000000000005</v>
      </c>
      <c r="CR49" s="81">
        <f>IF(ISERROR((CQ49/CI49-1)*100),"NA",IF(((CQ49/CI49-1)*100)&gt;100,"NM",IF(((CQ49/CI49-1)*100)&lt;-50,"NM",(CQ49/CI49-1)*100)))</f>
        <v>1.1092715231788119</v>
      </c>
      <c r="CS49" s="147">
        <f>SUM(CS45:CS48)</f>
        <v>604.29999999999995</v>
      </c>
      <c r="CT49" s="81">
        <f>IF(ISERROR((CS49/CK49-1)*100),"NA",IF(((CS49/CK49-1)*100)&gt;100,"NM",IF(((CS49/CK49-1)*100)&lt;-50,"NM",(CS49/CK49-1)*100)))</f>
        <v>-1.306549077249719</v>
      </c>
      <c r="CU49" s="147">
        <f>SUM(CU45:CU48)</f>
        <v>608.6</v>
      </c>
      <c r="CV49" s="81">
        <f>IF(ISERROR((CU49/CM49-1)*100),"NA",IF(((CU49/CM49-1)*100)&gt;100,"NM",IF(((CU49/CM49-1)*100)&lt;-50,"NM",(CU49/CM49-1)*100)))</f>
        <v>0.24707626420688023</v>
      </c>
      <c r="CW49" s="147">
        <f>SUM(CW45:CW48)</f>
        <v>615.1</v>
      </c>
      <c r="CX49" s="81">
        <f>IF(ISERROR((CW49/CO49-1)*100),"NA",IF(((CW49/CO49-1)*100)&gt;100,"NM",IF(((CW49/CO49-1)*100)&lt;-50,"NM",(CW49/CO49-1)*100)))</f>
        <v>0.93534624220545926</v>
      </c>
      <c r="CY49" s="147">
        <f>SUM(CY45:CY48)</f>
        <v>611.29999999999995</v>
      </c>
      <c r="CZ49" s="81">
        <f>IF(ISERROR((CY49/CQ49-1)*100),"NA",IF(((CY49/CQ49-1)*100)&gt;100,"NM",IF(((CY49/CQ49-1)*100)&lt;-50,"NM",(CY49/CQ49-1)*100)))</f>
        <v>9.8247912231852474E-2</v>
      </c>
      <c r="DA49" s="147">
        <f>SUM(DA45:DA48)</f>
        <v>596</v>
      </c>
      <c r="DB49" s="81">
        <f>IF(ISERROR((DA49/CS49-1)*100),"NA",IF(((DA49/CS49-1)*100)&gt;100,"NM",IF(((DA49/CS49-1)*100)&lt;-50,"NM",(DA49/CS49-1)*100)))</f>
        <v>-1.3734899884163432</v>
      </c>
      <c r="DC49" s="147">
        <f>SUM(DC45:DC48)</f>
        <v>598.4</v>
      </c>
      <c r="DD49" s="81">
        <f>IF(ISERROR((DC49/CU49-1)*100),"NA",IF(((DC49/CU49-1)*100)&gt;100,"NM",IF(((DC49/CU49-1)*100)&lt;-50,"NM",(DC49/CU49-1)*100)))</f>
        <v>-1.6759776536312887</v>
      </c>
      <c r="DE49" s="147">
        <f>SUM(DE45:DE48)</f>
        <v>606.5</v>
      </c>
      <c r="DF49" s="81">
        <f>IF(ISERROR((DE49/CW49-1)*100),"NA",IF(((DE49/CW49-1)*100)&gt;100,"NM",IF(((DE49/CW49-1)*100)&lt;-50,"NM",(DE49/CW49-1)*100)))</f>
        <v>-1.3981466428223066</v>
      </c>
      <c r="DG49" s="147">
        <f>SUM(DG45:DG48)</f>
        <v>601.70000000000005</v>
      </c>
      <c r="DH49" s="81">
        <f>IF(ISERROR((DG49/CY49-1)*100),"NA",IF(((DG49/CY49-1)*100)&gt;100,"NM",IF(((DG49/CY49-1)*100)&lt;-50,"NM",(DG49/CY49-1)*100)))</f>
        <v>-1.5704236872239319</v>
      </c>
      <c r="DI49" s="147">
        <f>SUM(DI45:DI48)</f>
        <v>605.09999999999991</v>
      </c>
      <c r="DJ49" s="81">
        <f>IF(ISERROR((DI49/DA49-1)*100),"NA",IF(((DI49/DA49-1)*100)&gt;100,"NM",IF(((DI49/DA49-1)*100)&lt;-50,"NM",(DI49/DA49-1)*100)))</f>
        <v>1.5268456375838735</v>
      </c>
      <c r="DK49" s="147">
        <f>SUM(DK45:DK48)</f>
        <v>630.4</v>
      </c>
      <c r="DL49" s="81">
        <f>IF(ISERROR((DK49/DC49-1)*100),"NA",IF(((DK49/DC49-1)*100)&gt;100,"NM",IF(((DK49/DC49-1)*100)&lt;-50,"NM",(DK49/DC49-1)*100)))</f>
        <v>5.3475935828876997</v>
      </c>
      <c r="DM49" s="147">
        <f>SUM(DM45:DM48)</f>
        <v>627.29999999999995</v>
      </c>
      <c r="DN49" s="81">
        <f>IF(ISERROR((DM49/DE49-1)*100),"NA",IF(((DM49/DE49-1)*100)&gt;100,"NM",IF(((DM49/DE49-1)*100)&lt;-50,"NM",(DM49/DE49-1)*100)))</f>
        <v>3.429513602638079</v>
      </c>
      <c r="DO49" s="147">
        <f>SUM(DO45:DO48)</f>
        <v>649.79999999999995</v>
      </c>
      <c r="DP49" s="81">
        <f>IF(ISERROR((DO49/DG49-1)*100),"NA",IF(((DO49/DG49-1)*100)&gt;100,"NM",IF(((DO49/DG49-1)*100)&lt;-50,"NM",(DO49/DG49-1)*100)))</f>
        <v>7.994016951969396</v>
      </c>
      <c r="DQ49" s="147">
        <f>SUM(DQ45:DQ48)</f>
        <v>640</v>
      </c>
      <c r="DR49" s="81">
        <f>IF(ISERROR((DQ49/DI49-1)*100),"NA",IF(((DQ49/DI49-1)*100)&gt;100,"NM",IF(((DQ49/DI49-1)*100)&lt;-50,"NM",(DQ49/DI49-1)*100)))</f>
        <v>5.7676417121137247</v>
      </c>
      <c r="DS49" s="147">
        <f>SUM(DS45:DS48)</f>
        <v>652</v>
      </c>
      <c r="DT49" s="81">
        <f>IF(ISERROR((DS49/DK49-1)*100),"NA",IF(((DS49/DK49-1)*100)&gt;100,"NM",IF(((DS49/DK49-1)*100)&lt;-50,"NM",(DS49/DK49-1)*100)))</f>
        <v>3.4263959390862908</v>
      </c>
      <c r="DU49" s="147">
        <f>SUM(DU45:DU48)</f>
        <v>661.40000000000009</v>
      </c>
      <c r="DV49" s="81">
        <f>IF(ISERROR((DU49/DM49-1)*100),"NA",IF(((DU49/DM49-1)*100)&gt;100,"NM",IF(((DU49/DM49-1)*100)&lt;-50,"NM",(DU49/DM49-1)*100)))</f>
        <v>5.4359955364259749</v>
      </c>
      <c r="DW49" s="147">
        <f>SUM(DW45:DW48)</f>
        <v>657</v>
      </c>
      <c r="DX49" s="81">
        <f>IF(ISERROR((DW49/DO49-1)*100),"NA",IF(((DW49/DO49-1)*100)&gt;100,"NM",IF(((DW49/DO49-1)*100)&lt;-50,"NM",(DW49/DO49-1)*100)))</f>
        <v>1.1080332409972415</v>
      </c>
      <c r="DY49" s="147">
        <f>SUM(DY45:DY48)</f>
        <v>641.09999999999991</v>
      </c>
      <c r="DZ49" s="81">
        <f>IF(ISERROR((DY49/DQ49-1)*100),"NA",IF(((DY49/DQ49-1)*100)&gt;100,"NM",IF(((DY49/DQ49-1)*100)&lt;-50,"NM",(DY49/DQ49-1)*100)))</f>
        <v>0.17187499999997691</v>
      </c>
      <c r="EA49" s="147">
        <f>SUM(EA45:EA48)</f>
        <v>644.1</v>
      </c>
      <c r="EB49" s="81">
        <f>IF(ISERROR((EA49/DS49-1)*100),"NA",IF(((EA49/DS49-1)*100)&gt;100,"NM",IF(((EA49/DS49-1)*100)&lt;-50,"NM",(EA49/DS49-1)*100)))</f>
        <v>-1.21165644171779</v>
      </c>
      <c r="EC49" s="147">
        <f>SUM(EC45:EC48)</f>
        <v>643.1</v>
      </c>
      <c r="ED49" s="81">
        <f t="shared" si="230"/>
        <v>-2.7668581796190028</v>
      </c>
      <c r="EE49" s="147">
        <f>SUM(EE45:EE48)</f>
        <v>647.29999999999995</v>
      </c>
      <c r="EF49" s="81">
        <f t="shared" si="231"/>
        <v>-1.4764079147640885</v>
      </c>
      <c r="EG49" s="147">
        <f>SUM(EG45:EG48)</f>
        <v>643.80000000000007</v>
      </c>
      <c r="EH49" s="81">
        <f t="shared" si="232"/>
        <v>0.42115114646703589</v>
      </c>
      <c r="EI49" s="147">
        <f>SUM(EI45:EI48)</f>
        <v>656.2</v>
      </c>
      <c r="EJ49" s="81">
        <f t="shared" si="233"/>
        <v>1.8785902810122712</v>
      </c>
      <c r="EK49" s="147">
        <f t="shared" ref="EK49:EQ49" si="244">SUM(EK45:EK48)</f>
        <v>678.538820138858</v>
      </c>
      <c r="EL49" s="81">
        <f t="shared" si="235"/>
        <v>5.5106235638093581</v>
      </c>
      <c r="EM49" s="147">
        <f t="shared" si="244"/>
        <v>682.32881151976517</v>
      </c>
      <c r="EN49" s="81">
        <f t="shared" si="236"/>
        <v>5.4115265749675956</v>
      </c>
      <c r="EO49" s="147">
        <f t="shared" si="244"/>
        <v>681.2353488847167</v>
      </c>
      <c r="EP49" s="81">
        <f t="shared" si="237"/>
        <v>5.8147481958242597</v>
      </c>
      <c r="EQ49" s="147">
        <f t="shared" si="244"/>
        <v>679.52986625976712</v>
      </c>
      <c r="ER49" s="81">
        <f t="shared" si="238"/>
        <v>3.5552981194402644</v>
      </c>
      <c r="ES49" s="138"/>
      <c r="ET49" s="470"/>
      <c r="EU49" s="138"/>
      <c r="EV49" s="139"/>
      <c r="EW49" s="140"/>
      <c r="EX49" s="139"/>
      <c r="EY49" s="79"/>
      <c r="EZ49" s="141"/>
      <c r="FA49" s="79"/>
      <c r="FB49" s="147"/>
      <c r="FC49" s="79"/>
      <c r="FD49" s="147">
        <f>SUM(FD45:FD48)</f>
        <v>2860.0999999999995</v>
      </c>
      <c r="FE49" s="79" t="str">
        <f>IF(ISERROR((FD49/FB49-1)*100),"NA",IF(((FD49/FB49-1)*100)&gt;100,"NM",IF(((FD49/FB49-1)*100)&lt;-50,"NM",(FD49/FB49-1)*100)))</f>
        <v>NA</v>
      </c>
      <c r="FF49" s="147">
        <f>SUM(FF45:FF48)</f>
        <v>4198.7</v>
      </c>
      <c r="FG49" s="79">
        <f>IF(ISERROR((FF49/FD49-1)*100),"NA",IF(((FF49/FD49-1)*100)&gt;100,"NM",IF(((FF49/FD49-1)*100)&lt;-50,"NM",(FF49/FD49-1)*100)))</f>
        <v>46.802559351071672</v>
      </c>
      <c r="FH49" s="147">
        <f>SUM(FH45:FH48)</f>
        <v>3368.1</v>
      </c>
      <c r="FI49" s="79">
        <f>IF(ISERROR((FH49/FF49-1)*100),"NA",IF(((FH49/FF49-1)*100)&gt;100,"NM",IF(((FH49/FF49-1)*100)&lt;-50,"NM",(FH49/FF49-1)*100)))</f>
        <v>-19.782313573248867</v>
      </c>
      <c r="FJ49" s="147">
        <f>SUM(FJ45:FJ48)</f>
        <v>3145.5</v>
      </c>
      <c r="FK49" s="79">
        <f>IF(ISERROR((FJ49/FH49-1)*100),"NA",IF(((FJ49/FH49-1)*100)&gt;100,"NM",IF(((FJ49/FH49-1)*100)&lt;-50,"NM",(FJ49/FH49-1)*100)))</f>
        <v>-6.609067426739113</v>
      </c>
      <c r="FL49" s="147">
        <f>SUM(FL45:FL48)</f>
        <v>3124.6000000000004</v>
      </c>
      <c r="FM49" s="79">
        <f>IF(ISERROR((FL49/FJ49-1)*100),"NA",IF(((FL49/FJ49-1)*100)&gt;100,"NM",IF(((FL49/FJ49-1)*100)&lt;-50,"NM",(FL49/FJ49-1)*100)))</f>
        <v>-0.66444126529962011</v>
      </c>
      <c r="FN49" s="147">
        <f>SUM(FN45:FN48)</f>
        <v>2953.7999999999997</v>
      </c>
      <c r="FO49" s="79">
        <f>IF(ISERROR((FN49/FL49-1)*100),"NA",IF(((FN49/FL49-1)*100)&gt;100,"NM",IF(((FN49/FL49-1)*100)&lt;-50,"NM",(FN49/FL49-1)*100)))</f>
        <v>-5.4662996863598767</v>
      </c>
      <c r="FP49" s="147">
        <f>SUM(FP45:FP48)</f>
        <v>2803.7000000000003</v>
      </c>
      <c r="FQ49" s="79">
        <f>IF(ISERROR((FP49/FN49-1)*100),"NA",IF(((FP49/FN49-1)*100)&gt;100,"NM",IF(((FP49/FN49-1)*100)&lt;-50,"NM",(FP49/FN49-1)*100)))</f>
        <v>-5.0815898165075364</v>
      </c>
      <c r="FR49" s="147">
        <f>SUM(FR45:FR48)</f>
        <v>2599.7000000000003</v>
      </c>
      <c r="FS49" s="79">
        <f>IF(ISERROR((FR49/FP49-1)*100),"NA",IF(((FR49/FP49-1)*100)&gt;100,"NM",IF(((FR49/FP49-1)*100)&lt;-50,"NM",(FR49/FP49-1)*100)))</f>
        <v>-7.2760994400256855</v>
      </c>
      <c r="FT49" s="147">
        <f>SUM(FT45:FT48)</f>
        <v>2454.4000000000005</v>
      </c>
      <c r="FU49" s="79">
        <f>IF(ISERROR((FT49/FR49-1)*100),"NA",IF(((FT49/FR49-1)*100)&gt;100,"NM",IF(((FT49/FR49-1)*100)&lt;-50,"NM",(FT49/FR49-1)*100)))</f>
        <v>-5.5891064353579161</v>
      </c>
      <c r="FV49" s="147">
        <f>SUM(FV45:FV48)</f>
        <v>2427.5</v>
      </c>
      <c r="FW49" s="79">
        <f>IF(ISERROR((FV49/FT49-1)*100),"NA",IF(((FV49/FT49-1)*100)&gt;100,"NM",IF(((FV49/FT49-1)*100)&lt;-50,"NM",(FV49/FT49-1)*100)))</f>
        <v>-1.0959908735332702</v>
      </c>
      <c r="FX49" s="147">
        <f>SUM(FX45:FX48)</f>
        <v>2433</v>
      </c>
      <c r="FY49" s="79">
        <f>IF(ISERROR((FX49/FV49-1)*100),"NA",IF(((FX49/FV49-1)*100)&gt;100,"NM",IF(((FX49/FV49-1)*100)&lt;-50,"NM",(FX49/FV49-1)*100)))</f>
        <v>0.22657054582904124</v>
      </c>
      <c r="FZ49" s="147">
        <f>SUM(FZ45:FZ48)</f>
        <v>2420.8000000000002</v>
      </c>
      <c r="GA49" s="79">
        <f>IF(ISERROR((FZ49/FX49-1)*100),"NA",IF(((FZ49/FX49-1)*100)&gt;100,"NM",IF(((FZ49/FX49-1)*100)&lt;-50,"NM",(FZ49/FX49-1)*100)))</f>
        <v>-0.50143855322646314</v>
      </c>
      <c r="GB49" s="147">
        <f>SUM(GB45:GB48)</f>
        <v>2443.6999999999998</v>
      </c>
      <c r="GC49" s="79">
        <f>IF(ISERROR((GB49/FZ49-1)*100),"NA",IF(((GB49/FZ49-1)*100)&gt;100,"NM",IF(((GB49/FZ49-1)*100)&lt;-50,"NM",(GB49/FZ49-1)*100)))</f>
        <v>0.94596827495041502</v>
      </c>
      <c r="GD49" s="147">
        <f>SUM(GD45:GD48)</f>
        <v>2569.1</v>
      </c>
      <c r="GE49" s="79">
        <f>IF(ISERROR((GD49/GB49-1)*100),"NA",IF(((GD49/GB49-1)*100)&gt;100,"NM",IF(((GD49/GB49-1)*100)&lt;-50,"NM",(GD49/GB49-1)*100)))</f>
        <v>5.1315627941236786</v>
      </c>
      <c r="GF49" s="147">
        <f>SUM(GF45:GF48)</f>
        <v>2603.6</v>
      </c>
      <c r="GG49" s="79">
        <f>IF(ISERROR((GF49/GD49-1)*100),"NA",IF(((GF49/GD49-1)*100)&gt;100,"NM",IF(((GF49/GD49-1)*100)&lt;-50,"NM",(GF49/GD49-1)*100)))</f>
        <v>1.3428827215756556</v>
      </c>
      <c r="GH49" s="147">
        <f>SUM(GH45:GH48)</f>
        <v>2590.4</v>
      </c>
      <c r="GI49" s="79">
        <f>IF(ISERROR((GH49/GF49-1)*100),"NA",IF(((GH49/GF49-1)*100)&gt;100,"NM",IF(((GH49/GF49-1)*100)&lt;-50,"NM",(GH49/GF49-1)*100)))</f>
        <v>-0.50699032109385866</v>
      </c>
      <c r="GJ49" s="147">
        <f>SUM(GJ45:GJ48)</f>
        <v>2721.632846803107</v>
      </c>
      <c r="GK49" s="79">
        <f>IF(ISERROR((GJ49/GH49-1)*100),"NA",IF(((GJ49/GH49-1)*100)&gt;100,"NM",IF(((GJ49/GH49-1)*100)&lt;-50,"NM",(GJ49/GH49-1)*100)))</f>
        <v>5.0661228691749161</v>
      </c>
      <c r="GL49" s="147">
        <f>SUM(GL45:GL48)</f>
        <v>2832.6653166943634</v>
      </c>
      <c r="GM49" s="79">
        <f>IF(ISERROR((GL49/GJ49-1)*100),"NA",IF(((GL49/GJ49-1)*100)&gt;100,"NM",IF(((GL49/GJ49-1)*100)&lt;-50,"NM",(GL49/GJ49-1)*100)))</f>
        <v>4.0796270526231249</v>
      </c>
      <c r="GN49" s="147">
        <f>SUM(GN45:GN48)</f>
        <v>2951.4963907803735</v>
      </c>
      <c r="GO49" s="79">
        <f>IF(ISERROR((GN49/GL49-1)*100),"NA",IF(((GN49/GL49-1)*100)&gt;100,"NM",IF(((GN49/GL49-1)*100)&lt;-50,"NM",(GN49/GL49-1)*100)))</f>
        <v>4.1950269728540546</v>
      </c>
      <c r="GP49" s="147">
        <f>SUM(GP45:GP48)</f>
        <v>3078.1956406381632</v>
      </c>
      <c r="GQ49" s="79">
        <f>IF(ISERROR((GP49/GN49-1)*100),"NA",IF(((GP49/GN49-1)*100)&gt;100,"NM",IF(((GP49/GN49-1)*100)&lt;-50,"NM",(GP49/GN49-1)*100)))</f>
        <v>4.2927123425785529</v>
      </c>
      <c r="GR49" s="147">
        <f>SUM(GR45:GR48)</f>
        <v>3212.877192380432</v>
      </c>
      <c r="GS49" s="79">
        <f>IF(ISERROR((GR49/GP49-1)*100),"NA",IF(((GR49/GP49-1)*100)&gt;100,"NM",IF(((GR49/GP49-1)*100)&lt;-50,"NM",(GR49/GP49-1)*100)))</f>
        <v>4.3753408641156621</v>
      </c>
      <c r="GT49" s="79">
        <f>IF(ISERROR(((GR49/GH49)^0.2-1)*100),"NA",(IF(OR(((GR49/GH49)^0.2-1)*100&gt;99,((GR49/GH49)^0.2-1)*100&lt;-50),"NM",(((GR49/GH49)^0.2-1)*100))))</f>
        <v>4.4011923812574683</v>
      </c>
      <c r="GU49" s="562"/>
      <c r="GV49" s="562"/>
      <c r="GW49"/>
      <c r="GX49"/>
      <c r="GY49"/>
      <c r="GZ49"/>
      <c r="HA49"/>
      <c r="HB49"/>
      <c r="HC49" s="562"/>
      <c r="HD49" s="562"/>
      <c r="HE49" s="562"/>
      <c r="HF49" s="562"/>
      <c r="HG49" s="562"/>
      <c r="HH49" s="562"/>
      <c r="HI49" s="562"/>
      <c r="HJ49" s="562"/>
      <c r="HK49" s="562"/>
      <c r="HL49" s="562"/>
      <c r="HM49" s="562"/>
      <c r="HN49" s="562"/>
      <c r="HO49" s="562"/>
      <c r="HP49" s="562"/>
      <c r="HQ49" s="562"/>
      <c r="HR49" s="562"/>
      <c r="HS49" s="562"/>
      <c r="HT49" s="562"/>
      <c r="HU49" s="562"/>
      <c r="HV49" s="562"/>
      <c r="HW49" s="562"/>
      <c r="HX49" s="562"/>
      <c r="HY49" s="562"/>
      <c r="HZ49" s="562"/>
      <c r="IA49" s="562"/>
      <c r="IB49" s="562"/>
      <c r="IC49" s="562"/>
      <c r="ID49" s="562"/>
      <c r="IE49" s="562"/>
      <c r="IF49" s="562"/>
      <c r="IG49" s="562"/>
      <c r="IH49" s="562"/>
      <c r="II49" s="562"/>
      <c r="IJ49" s="562"/>
      <c r="IK49" s="562"/>
      <c r="IL49" s="562"/>
      <c r="IM49" s="562"/>
      <c r="IN49" s="562"/>
      <c r="IO49" s="562"/>
      <c r="IP49" s="562"/>
      <c r="IQ49" s="562"/>
      <c r="IR49" s="562"/>
      <c r="IS49" s="562"/>
      <c r="IT49" s="562"/>
      <c r="IU49" s="562"/>
      <c r="IV49" s="562"/>
      <c r="IW49" s="562"/>
      <c r="IX49" s="562"/>
      <c r="IY49" s="562"/>
      <c r="IZ49" s="562"/>
      <c r="JA49" s="562"/>
      <c r="JB49" s="562"/>
      <c r="JC49" s="562"/>
      <c r="JD49" s="562"/>
      <c r="JE49" s="562"/>
      <c r="JF49" s="562"/>
      <c r="JG49" s="562"/>
      <c r="JH49" s="562"/>
      <c r="JI49" s="562"/>
      <c r="JJ49" s="562"/>
      <c r="JK49" s="562"/>
      <c r="JL49" s="562"/>
      <c r="JM49" s="562"/>
      <c r="JN49" s="562"/>
      <c r="JO49" s="562"/>
      <c r="JP49" s="562"/>
      <c r="JQ49" s="562"/>
      <c r="JR49" s="562"/>
      <c r="JS49" s="562"/>
      <c r="JT49" s="562"/>
      <c r="JU49" s="562"/>
      <c r="JV49" s="562"/>
      <c r="JW49" s="562"/>
      <c r="JX49" s="562"/>
      <c r="JY49" s="562"/>
      <c r="JZ49" s="562"/>
    </row>
    <row r="50" spans="1:286" s="132" customFormat="1" ht="12.75" customHeight="1" x14ac:dyDescent="0.2">
      <c r="A50" s="133"/>
      <c r="B50" s="68"/>
      <c r="C50" s="79"/>
      <c r="D50" s="79"/>
      <c r="E50" s="147"/>
      <c r="F50" s="148"/>
      <c r="G50" s="147"/>
      <c r="H50" s="148"/>
      <c r="I50" s="147"/>
      <c r="J50" s="148"/>
      <c r="K50" s="147"/>
      <c r="L50" s="140"/>
      <c r="M50" s="147"/>
      <c r="N50" s="79"/>
      <c r="O50" s="147"/>
      <c r="P50" s="79"/>
      <c r="Q50" s="147"/>
      <c r="R50" s="79"/>
      <c r="S50" s="147"/>
      <c r="T50" s="79"/>
      <c r="U50" s="147"/>
      <c r="V50" s="79"/>
      <c r="W50" s="147"/>
      <c r="X50" s="79"/>
      <c r="Y50" s="147"/>
      <c r="Z50" s="79"/>
      <c r="AA50" s="149"/>
      <c r="AB50" s="79"/>
      <c r="AC50" s="147"/>
      <c r="AD50" s="79"/>
      <c r="AE50" s="147"/>
      <c r="AF50" s="79"/>
      <c r="AG50" s="150"/>
      <c r="AH50" s="97"/>
      <c r="AI50" s="150"/>
      <c r="AJ50" s="97"/>
      <c r="AK50" s="150"/>
      <c r="AL50" s="97"/>
      <c r="AM50" s="150"/>
      <c r="AN50" s="79"/>
      <c r="AO50" s="150"/>
      <c r="AP50" s="79"/>
      <c r="AQ50" s="150"/>
      <c r="AR50" s="79"/>
      <c r="AS50" s="150"/>
      <c r="AT50" s="81"/>
      <c r="AU50" s="150"/>
      <c r="AV50" s="81"/>
      <c r="AW50" s="150"/>
      <c r="AX50" s="81"/>
      <c r="AY50" s="150"/>
      <c r="AZ50" s="81"/>
      <c r="BA50" s="150"/>
      <c r="BB50" s="81"/>
      <c r="BC50" s="150"/>
      <c r="BD50" s="81"/>
      <c r="BE50" s="150"/>
      <c r="BF50" s="81"/>
      <c r="BG50" s="150"/>
      <c r="BH50" s="81"/>
      <c r="BI50" s="150"/>
      <c r="BJ50" s="81"/>
      <c r="BK50" s="150"/>
      <c r="BL50" s="81"/>
      <c r="BM50" s="150"/>
      <c r="BN50" s="81"/>
      <c r="BO50" s="150"/>
      <c r="BP50" s="81"/>
      <c r="BQ50" s="150"/>
      <c r="BR50" s="81"/>
      <c r="BS50" s="150"/>
      <c r="BT50" s="81"/>
      <c r="BU50" s="150"/>
      <c r="BV50" s="81"/>
      <c r="BW50" s="150"/>
      <c r="BX50" s="81"/>
      <c r="BY50" s="150"/>
      <c r="BZ50" s="81"/>
      <c r="CA50" s="150"/>
      <c r="CB50" s="81"/>
      <c r="CC50" s="150"/>
      <c r="CD50" s="81"/>
      <c r="CE50" s="150"/>
      <c r="CF50" s="81"/>
      <c r="CG50" s="150"/>
      <c r="CH50" s="81"/>
      <c r="CI50" s="150"/>
      <c r="CJ50" s="81"/>
      <c r="CK50" s="150"/>
      <c r="CL50" s="81"/>
      <c r="CM50" s="150"/>
      <c r="CN50" s="81"/>
      <c r="CO50" s="150"/>
      <c r="CP50" s="81"/>
      <c r="CQ50" s="150"/>
      <c r="CR50" s="81"/>
      <c r="CS50" s="150"/>
      <c r="CT50" s="81"/>
      <c r="CU50" s="150"/>
      <c r="CV50" s="81"/>
      <c r="CW50" s="150"/>
      <c r="CX50" s="81"/>
      <c r="CY50" s="150"/>
      <c r="CZ50" s="81"/>
      <c r="DA50" s="150"/>
      <c r="DB50" s="81"/>
      <c r="DC50" s="150"/>
      <c r="DD50" s="81"/>
      <c r="DE50" s="150"/>
      <c r="DF50" s="81"/>
      <c r="DG50" s="150"/>
      <c r="DH50" s="81"/>
      <c r="DI50" s="150"/>
      <c r="DJ50" s="81"/>
      <c r="DK50" s="150"/>
      <c r="DL50" s="855"/>
      <c r="DM50" s="150"/>
      <c r="DN50" s="855"/>
      <c r="DO50" s="150"/>
      <c r="DP50" s="855"/>
      <c r="DQ50" s="150"/>
      <c r="DR50" s="855"/>
      <c r="DS50" s="150"/>
      <c r="DT50" s="81"/>
      <c r="DU50" s="150"/>
      <c r="DV50" s="81"/>
      <c r="DW50" s="150"/>
      <c r="DX50" s="81"/>
      <c r="DY50" s="150"/>
      <c r="DZ50" s="81"/>
      <c r="EA50" s="150"/>
      <c r="EB50" s="81"/>
      <c r="EC50" s="150"/>
      <c r="ED50" s="81"/>
      <c r="EE50" s="150"/>
      <c r="EF50" s="81"/>
      <c r="EG50" s="150"/>
      <c r="EH50" s="81"/>
      <c r="EI50" s="150"/>
      <c r="EJ50" s="81"/>
      <c r="EK50" s="874"/>
      <c r="EL50" s="81"/>
      <c r="EM50" s="874"/>
      <c r="EN50" s="81"/>
      <c r="EO50" s="874"/>
      <c r="EP50" s="81"/>
      <c r="EQ50" s="874"/>
      <c r="ER50" s="81"/>
      <c r="ES50" s="138"/>
      <c r="ET50" s="470"/>
      <c r="EU50" s="138"/>
      <c r="EV50" s="139"/>
      <c r="EW50" s="140"/>
      <c r="EX50" s="139"/>
      <c r="EY50" s="79"/>
      <c r="EZ50" s="141"/>
      <c r="FA50" s="79"/>
      <c r="FB50" s="147"/>
      <c r="FC50" s="79"/>
      <c r="FD50" s="147"/>
      <c r="FE50" s="79"/>
      <c r="FF50" s="147"/>
      <c r="FG50" s="79"/>
      <c r="FH50" s="147"/>
      <c r="FI50" s="79"/>
      <c r="FJ50" s="147"/>
      <c r="FK50" s="79"/>
      <c r="FL50" s="147"/>
      <c r="FM50" s="79"/>
      <c r="FN50" s="147"/>
      <c r="FO50" s="79"/>
      <c r="FP50" s="147"/>
      <c r="FQ50" s="79"/>
      <c r="FR50" s="150"/>
      <c r="FS50" s="79"/>
      <c r="FT50" s="150"/>
      <c r="FU50" s="79"/>
      <c r="FV50" s="150"/>
      <c r="FW50" s="79"/>
      <c r="FX50" s="150"/>
      <c r="FY50" s="79"/>
      <c r="FZ50" s="150"/>
      <c r="GA50" s="79"/>
      <c r="GB50" s="150"/>
      <c r="GC50" s="79"/>
      <c r="GD50" s="150"/>
      <c r="GE50" s="79"/>
      <c r="GF50" s="150"/>
      <c r="GG50" s="79"/>
      <c r="GH50" s="150"/>
      <c r="GI50" s="79"/>
      <c r="GJ50" s="150"/>
      <c r="GK50" s="79"/>
      <c r="GL50" s="150"/>
      <c r="GM50" s="79"/>
      <c r="GN50" s="150"/>
      <c r="GO50" s="79"/>
      <c r="GP50" s="150"/>
      <c r="GQ50" s="79"/>
      <c r="GR50" s="150"/>
      <c r="GS50" s="79"/>
      <c r="GT50" s="79"/>
      <c r="GU50" s="562"/>
      <c r="GV50" s="562"/>
      <c r="GW50"/>
      <c r="GX50"/>
      <c r="GY50"/>
      <c r="GZ50"/>
      <c r="HA50"/>
      <c r="HB50"/>
      <c r="HC50" s="562"/>
      <c r="HD50" s="562"/>
      <c r="HE50" s="562"/>
      <c r="HF50" s="562"/>
      <c r="HG50" s="562"/>
      <c r="HH50" s="562"/>
      <c r="HI50" s="562"/>
      <c r="HJ50" s="562"/>
      <c r="HK50" s="562"/>
      <c r="HL50" s="562"/>
      <c r="HM50" s="562"/>
      <c r="HN50" s="562"/>
      <c r="HO50" s="562"/>
      <c r="HP50" s="562"/>
      <c r="HQ50" s="562"/>
      <c r="HR50" s="562"/>
      <c r="HS50" s="562"/>
      <c r="HT50" s="562"/>
      <c r="HU50" s="562"/>
      <c r="HV50" s="562"/>
      <c r="HW50" s="562"/>
      <c r="HX50" s="562"/>
      <c r="HY50" s="562"/>
      <c r="HZ50" s="562"/>
      <c r="IA50" s="562"/>
      <c r="IB50" s="562"/>
      <c r="IC50" s="562"/>
      <c r="ID50" s="562"/>
      <c r="IE50" s="562"/>
      <c r="IF50" s="562"/>
      <c r="IG50" s="562"/>
      <c r="IH50" s="562"/>
      <c r="II50" s="562"/>
      <c r="IJ50" s="562"/>
      <c r="IK50" s="562"/>
      <c r="IL50" s="562"/>
      <c r="IM50" s="562"/>
      <c r="IN50" s="562"/>
      <c r="IO50" s="562"/>
      <c r="IP50" s="562"/>
      <c r="IQ50" s="562"/>
      <c r="IR50" s="562"/>
      <c r="IS50" s="562"/>
      <c r="IT50" s="562"/>
      <c r="IU50" s="562"/>
      <c r="IV50" s="562"/>
      <c r="IW50" s="562"/>
      <c r="IX50" s="562"/>
      <c r="IY50" s="562"/>
      <c r="IZ50" s="562"/>
      <c r="JA50" s="562"/>
      <c r="JB50" s="562"/>
      <c r="JC50" s="562"/>
      <c r="JD50" s="562"/>
      <c r="JE50" s="562"/>
      <c r="JF50" s="562"/>
      <c r="JG50" s="562"/>
      <c r="JH50" s="562"/>
      <c r="JI50" s="562"/>
      <c r="JJ50" s="562"/>
      <c r="JK50" s="562"/>
      <c r="JL50" s="562"/>
      <c r="JM50" s="562"/>
      <c r="JN50" s="562"/>
      <c r="JO50" s="562"/>
      <c r="JP50" s="562"/>
      <c r="JQ50" s="562"/>
      <c r="JR50" s="562"/>
      <c r="JS50" s="562"/>
      <c r="JT50" s="562"/>
      <c r="JU50" s="562"/>
      <c r="JV50" s="562"/>
      <c r="JW50" s="562"/>
      <c r="JX50" s="562"/>
      <c r="JY50" s="562"/>
      <c r="JZ50" s="562"/>
    </row>
    <row r="51" spans="1:286" s="132" customFormat="1" ht="12.75" customHeight="1" x14ac:dyDescent="0.2">
      <c r="A51" s="1"/>
      <c r="B51" s="2" t="s">
        <v>92</v>
      </c>
      <c r="C51" s="79"/>
      <c r="D51" s="79"/>
      <c r="E51" s="151"/>
      <c r="F51" s="152"/>
      <c r="G51" s="151"/>
      <c r="H51" s="152"/>
      <c r="I51" s="151"/>
      <c r="J51" s="152"/>
      <c r="K51" s="151"/>
      <c r="L51" s="79"/>
      <c r="M51" s="151"/>
      <c r="N51" s="79"/>
      <c r="O51" s="151"/>
      <c r="P51" s="79"/>
      <c r="Q51" s="151"/>
      <c r="R51" s="79"/>
      <c r="S51" s="151"/>
      <c r="T51" s="79"/>
      <c r="U51" s="153"/>
      <c r="V51" s="79"/>
      <c r="W51" s="151"/>
      <c r="X51" s="79"/>
      <c r="Y51" s="151"/>
      <c r="Z51" s="79"/>
      <c r="AA51" s="154"/>
      <c r="AB51" s="79"/>
      <c r="AC51" s="151">
        <f>AC45/AC39*100</f>
        <v>93.092598142043741</v>
      </c>
      <c r="AD51" s="79" t="str">
        <f>IF(ISERROR((AC51/U51-1)*100),"NA",IF(((AC51/U51-1)*100)&gt;100,"NM",IF(((AC51/U51-1)*100)&lt;-50,"NM",(AC51/U51-1)*100)))</f>
        <v>NA</v>
      </c>
      <c r="AE51" s="151">
        <f>AE45/AE39*100</f>
        <v>92.442298989289483</v>
      </c>
      <c r="AF51" s="79" t="str">
        <f>IF(ISERROR((AE51/W51-1)*100),"NA",IF(((AE51/W51-1)*100)&gt;100,"NM",IF(((AE51/W51-1)*100)&lt;-50,"NM",(AE51/W51-1)*100)))</f>
        <v>NA</v>
      </c>
      <c r="AG51" s="151">
        <f>AG45/AG39*100</f>
        <v>92.935278030993615</v>
      </c>
      <c r="AH51" s="79" t="str">
        <f>IF(ISERROR((AG51/Y51-1)*100),"NA",IF(((AG51/Y51-1)*100)&gt;100,"NM",IF(((AG51/Y51-1)*100)&lt;-50,"NM",(AG51/Y51-1)*100)))</f>
        <v>NA</v>
      </c>
      <c r="AI51" s="151">
        <f>AI45/AI39*100</f>
        <v>104.73940871685463</v>
      </c>
      <c r="AJ51" s="79" t="str">
        <f>IF(ISERROR((AI51/AA51-1)*100),"NA",IF(((AI51/AA51-1)*100)&gt;100,"NM",IF(((AI51/AA51-1)*100)&lt;-50,"NM",(AI51/AA51-1)*100)))</f>
        <v>NA</v>
      </c>
      <c r="AK51" s="151">
        <f>AK45/AK39*100</f>
        <v>95.294302801384916</v>
      </c>
      <c r="AL51" s="79">
        <f>IF(ISERROR((AK51/AC51-1)*100),"NA",IF(((AK51/AC51-1)*100)&gt;100,"NM",IF(((AK51/AC51-1)*100)&lt;-50,"NM",(AK51/AC51-1)*100)))</f>
        <v>2.3650695149594503</v>
      </c>
      <c r="AM51" s="151">
        <f>AM45/AM39*100</f>
        <v>93.451633165829151</v>
      </c>
      <c r="AN51" s="79">
        <f>IF(ISERROR((AM51/AE51-1)*100),"NA",IF(((AM51/AE51-1)*100)&gt;100,"NM",IF(((AM51/AE51-1)*100)&lt;-50,"NM",(AM51/AE51-1)*100)))</f>
        <v>1.0918531749806615</v>
      </c>
      <c r="AO51" s="151">
        <f>AO45/AO39*100</f>
        <v>92.444089456869023</v>
      </c>
      <c r="AP51" s="79">
        <f>IF(ISERROR((AO51/AG51-1)*100),"NA",IF(((AO51/AG51-1)*100)&gt;100,"NM",IF(((AO51/AG51-1)*100)&lt;-50,"NM",(AO51/AG51-1)*100)))</f>
        <v>-0.52852757804284778</v>
      </c>
      <c r="AQ51" s="151">
        <f>AQ45/AQ39*100</f>
        <v>93.870096871526115</v>
      </c>
      <c r="AR51" s="79">
        <f>IF(ISERROR((AQ51/AI51-1)*100),"NA",IF(((AQ51/AI51-1)*100)&gt;100,"NM",IF(((AQ51/AI51-1)*100)&lt;-50,"NM",(AQ51/AI51-1)*100)))</f>
        <v>-10.377480624042734</v>
      </c>
      <c r="AS51" s="151">
        <f>AS45/AS39*100</f>
        <v>95.450145208131659</v>
      </c>
      <c r="AT51" s="81">
        <f>IF(ISERROR((AS51/AK51-1)*100),"NA",IF(((AS51/AK51-1)*100)&gt;100,"NM",IF(((AS51/AK51-1)*100)&lt;-50,"NM",(AS51/AK51-1)*100)))</f>
        <v>0.1635380103168993</v>
      </c>
      <c r="AU51" s="151">
        <f>AU45/AU39*100</f>
        <v>95.055386097286885</v>
      </c>
      <c r="AV51" s="81">
        <f>IF(ISERROR((AU51/AM51-1)*100),"NA",IF(((AU51/AM51-1)*100)&gt;100,"NM",IF(((AU51/AM51-1)*100)&lt;-50,"NM",(AU51/AM51-1)*100)))</f>
        <v>1.7161315186561721</v>
      </c>
      <c r="AW51" s="151">
        <f>AW45/AW39*100</f>
        <v>92.090303719343822</v>
      </c>
      <c r="AX51" s="81">
        <f>IF(ISERROR((AW51/AO51-1)*100),"NA",IF(((AW51/AO51-1)*100)&gt;100,"NM",IF(((AW51/AO51-1)*100)&lt;-50,"NM",(AW51/AO51-1)*100)))</f>
        <v>-0.38270238757693864</v>
      </c>
      <c r="AY51" s="151">
        <f>AY45/AY39*100</f>
        <v>94.000959846424564</v>
      </c>
      <c r="AZ51" s="81">
        <f>IF(ISERROR((AY51/AQ51-1)*100),"NA",IF(((AY51/AQ51-1)*100)&gt;100,"NM",IF(((AY51/AQ51-1)*100)&lt;-50,"NM",(AY51/AQ51-1)*100)))</f>
        <v>0.13940858618433083</v>
      </c>
      <c r="BA51" s="151">
        <f>BA45/BA39*100</f>
        <v>93.390950686324345</v>
      </c>
      <c r="BB51" s="81">
        <f>IF(ISERROR((BA51/AS51-1)*100),"NA",IF(((BA51/AS51-1)*100)&gt;100,"NM",IF(((BA51/AS51-1)*100)&lt;-50,"NM",(BA51/AS51-1)*100)))</f>
        <v>-2.1573508529685093</v>
      </c>
      <c r="BC51" s="151">
        <f>BC45/BC39*100</f>
        <v>94.370589200722151</v>
      </c>
      <c r="BD51" s="81">
        <f>IF(ISERROR((BC51/AU51-1)*100),"NA",IF(((BC51/AU51-1)*100)&gt;100,"NM",IF(((BC51/AU51-1)*100)&lt;-50,"NM",(BC51/AU51-1)*100)))</f>
        <v>-0.72041882599251927</v>
      </c>
      <c r="BE51" s="151">
        <f>BE45/BE39*100</f>
        <v>92.095061520310125</v>
      </c>
      <c r="BF51" s="81">
        <f>IF(ISERROR((BE51/AW51-1)*100),"NA",IF(((BE51/AW51-1)*100)&gt;100,"NM",IF(((BE51/AW51-1)*100)&lt;-50,"NM",(BE51/AW51-1)*100)))</f>
        <v>5.1664515960281321E-3</v>
      </c>
      <c r="BG51" s="151">
        <f>BG45/BG39*100</f>
        <v>91.522256201155287</v>
      </c>
      <c r="BH51" s="81">
        <f>IF(ISERROR((BG51/AY51-1)*100),"NA",IF(((BG51/AY51-1)*100)&gt;100,"NM",IF(((BG51/AY51-1)*100)&lt;-50,"NM",(BG51/AY51-1)*100)))</f>
        <v>-2.6368918459118929</v>
      </c>
      <c r="BI51" s="151">
        <f>BI45/BI39*100</f>
        <v>91.027445460942999</v>
      </c>
      <c r="BJ51" s="81">
        <f>IF(ISERROR((BI51/BA51-1)*100),"NA",IF(((BI51/BA51-1)*100)&gt;100,"NM",IF(((BI51/BA51-1)*100)&lt;-50,"NM",(BI51/BA51-1)*100)))</f>
        <v>-2.5307647132961963</v>
      </c>
      <c r="BK51" s="151">
        <f>BK45/BK39*100</f>
        <v>90.498605299860529</v>
      </c>
      <c r="BL51" s="81">
        <f>IF(ISERROR((BK51/BC51-1)*100),"NA",IF(((BK51/BC51-1)*100)&gt;100,"NM",IF(((BK51/BC51-1)*100)&lt;-50,"NM",(BK51/BC51-1)*100)))</f>
        <v>-4.102956157904325</v>
      </c>
      <c r="BM51" s="151">
        <f>BM45/BM39*100</f>
        <v>89.349217638691329</v>
      </c>
      <c r="BN51" s="81">
        <f>IF(ISERROR((BM51/BE51-1)*100),"NA",IF(((BM51/BE51-1)*100)&gt;100,"NM",IF(((BM51/BE51-1)*100)&lt;-50,"NM",(BM51/BE51-1)*100)))</f>
        <v>-2.9815321650154325</v>
      </c>
      <c r="BO51" s="151">
        <f>BO45/BO39*100</f>
        <v>88.703443429374545</v>
      </c>
      <c r="BP51" s="81">
        <f>IF(ISERROR((BO51/BG51-1)*100),"NA",IF(((BO51/BG51-1)*100)&gt;100,"NM",IF(((BO51/BG51-1)*100)&lt;-50,"NM",(BO51/BG51-1)*100)))</f>
        <v>-3.079920544774728</v>
      </c>
      <c r="BQ51" s="151">
        <f>BQ45/BQ39*100</f>
        <v>88.033718160161243</v>
      </c>
      <c r="BR51" s="155">
        <f>IF(ISERROR((BQ51/BI51-1)*100),"NA",IF(((BQ51/BI51-1)*100)&gt;100,"NM",IF(((BQ51/BI51-1)*100)&lt;-50,"NM",(BQ51/BI51-1)*100)))</f>
        <v>-3.2888183180602049</v>
      </c>
      <c r="BS51" s="151">
        <f>BS45/BS39*100</f>
        <v>87.024029574861373</v>
      </c>
      <c r="BT51" s="155">
        <f>IF(ISERROR((BS51/BK51-1)*100),"NA",IF(((BS51/BK51-1)*100)&gt;100,"NM",IF(((BS51/BK51-1)*100)&lt;-50,"NM",(BS51/BK51-1)*100)))</f>
        <v>-3.8393693620872971</v>
      </c>
      <c r="BU51" s="151">
        <f>BU45/BU39*100</f>
        <v>85.318198734648306</v>
      </c>
      <c r="BV51" s="155">
        <f>IF(ISERROR((BU51/BM51-1)*100),"NA",IF(((BU51/BM51-1)*100)&gt;100,"NM",IF(((BU51/BM51-1)*100)&lt;-50,"NM",(BU51/BM51-1)*100)))</f>
        <v>-4.5115324012612863</v>
      </c>
      <c r="BW51" s="151">
        <f>BW45/BW39*100</f>
        <v>84.596713965646003</v>
      </c>
      <c r="BX51" s="155">
        <f>IF(ISERROR((BW51/BO51-1)*100),"NA",IF(((BW51/BO51-1)*100)&gt;100,"NM",IF(((BW51/BO51-1)*100)&lt;-50,"NM",(BW51/BO51-1)*100)))</f>
        <v>-4.6297294726763472</v>
      </c>
      <c r="BY51" s="151">
        <f>BY45/BY39*100</f>
        <v>84.189344576466084</v>
      </c>
      <c r="BZ51" s="155">
        <f>IF(ISERROR((BY51/BQ51-1)*100),"NA",IF(((BY51/BQ51-1)*100)&gt;100,"NM",IF(((BY51/BQ51-1)*100)&lt;-50,"NM",(BY51/BQ51-1)*100)))</f>
        <v>-4.3669331070409045</v>
      </c>
      <c r="CA51" s="151">
        <f>CA45/CA39*100</f>
        <v>84.616861916650649</v>
      </c>
      <c r="CB51" s="81">
        <f>IF(ISERROR((CA51/BS51-1)*100),"NA",IF(((CA51/BS51-1)*100)&gt;100,"NM",IF(((CA51/BS51-1)*100)&lt;-50,"NM",(CA51/BS51-1)*100)))</f>
        <v>-2.7660953761512341</v>
      </c>
      <c r="CC51" s="151">
        <f>CC45/CC39*100</f>
        <v>84.637850467289709</v>
      </c>
      <c r="CD51" s="81">
        <f>IF(ISERROR((CC51/BU51-1)*100),"NA",IF(((CC51/BU51-1)*100)&gt;100,"NM",IF(((CC51/BU51-1)*100)&lt;-50,"NM",(CC51/BU51-1)*100)))</f>
        <v>-0.79742455589641992</v>
      </c>
      <c r="CE51" s="151">
        <f>CE45/CE39*100</f>
        <v>84.247374562427055</v>
      </c>
      <c r="CF51" s="81">
        <f>IF(ISERROR((CE51/BW51-1)*100),"NA",IF(((CE51/BW51-1)*100)&gt;100,"NM",IF(((CE51/BW51-1)*100)&lt;-50,"NM",(CE51/BW51-1)*100)))</f>
        <v>-0.41294677634974297</v>
      </c>
      <c r="CG51" s="151">
        <f>CG45/CG39*100</f>
        <v>83.917322834645674</v>
      </c>
      <c r="CH51" s="81">
        <f>IF(ISERROR((CG51/BY51-1)*100),"NA",IF(((CG51/BY51-1)*100)&gt;100,"NM",IF(((CG51/BY51-1)*100)&lt;-50,"NM",(CG51/BY51-1)*100)))</f>
        <v>-0.32310709055745068</v>
      </c>
      <c r="CI51" s="151">
        <f>CI45/CI39*100</f>
        <v>84.371304690579436</v>
      </c>
      <c r="CJ51" s="81">
        <f>IF(ISERROR((CI51/CA51-1)*100),"NA",IF(((CI51/CA51-1)*100)&gt;100,"NM",IF(((CI51/CA51-1)*100)&lt;-50,"NM",(CI51/CA51-1)*100)))</f>
        <v>-0.29019892786037449</v>
      </c>
      <c r="CK51" s="151">
        <f>CK45/CK39*100</f>
        <v>85.478483002554526</v>
      </c>
      <c r="CL51" s="81">
        <f>IF(ISERROR((CK51/CC51-1)*100),"NA",IF(((CK51/CC51-1)*100)&gt;100,"NM",IF(((CK51/CC51-1)*100)&lt;-50,"NM",(CK51/CC51-1)*100)))</f>
        <v>0.99321111136878582</v>
      </c>
      <c r="CM51" s="151">
        <f>CM45/CM39*100</f>
        <v>84.660536098610834</v>
      </c>
      <c r="CN51" s="81">
        <f>IF(ISERROR((CM51/CE51-1)*100),"NA",IF(((CM51/CE51-1)*100)&gt;100,"NM",IF(((CM51/CE51-1)*100)&lt;-50,"NM",(CM51/CE51-1)*100)))</f>
        <v>0.49041473200761576</v>
      </c>
      <c r="CO51" s="151">
        <f>CO45/CO39*100</f>
        <v>84.898674980514414</v>
      </c>
      <c r="CP51" s="155">
        <f>IF(ISERROR((CO51/CG51-1)*100),"NA",IF(((CO51/CG51-1)*100)&gt;100,"NM",IF(((CO51/CG51-1)*100)&lt;-50,"NM",(CO51/CG51-1)*100)))</f>
        <v>1.1694273753256379</v>
      </c>
      <c r="CQ51" s="151">
        <f>CQ45/CQ39*100</f>
        <v>84.651162790697683</v>
      </c>
      <c r="CR51" s="81">
        <f>IF(ISERROR((CQ51/CI51-1)*100),"NA",IF(((CQ51/CI51-1)*100)&gt;100,"NM",IF(((CQ51/CI51-1)*100)&lt;-50,"NM",(CQ51/CI51-1)*100)))</f>
        <v>0.33169820135481309</v>
      </c>
      <c r="CS51" s="151">
        <f>CS45/CS39*100</f>
        <v>84.897560975609764</v>
      </c>
      <c r="CT51" s="81">
        <f>IF(ISERROR((CS51/CK51-1)*100),"NA",IF(((CS51/CK51-1)*100)&gt;100,"NM",IF(((CS51/CK51-1)*100)&lt;-50,"NM",(CS51/CK51-1)*100)))</f>
        <v>-0.67961199887859314</v>
      </c>
      <c r="CU51" s="151">
        <f>CU45/CU39*100</f>
        <v>84.46866485013625</v>
      </c>
      <c r="CV51" s="81">
        <f>IF(ISERROR((CU51/CM51-1)*100),"NA",IF(((CU51/CM51-1)*100)&gt;100,"NM",IF(((CU51/CM51-1)*100)&lt;-50,"NM",(CU51/CM51-1)*100)))</f>
        <v>-0.22663599513602639</v>
      </c>
      <c r="CW51" s="151">
        <f>CW45/CW39*100</f>
        <v>84.284895932785929</v>
      </c>
      <c r="CX51" s="81">
        <f>IF(ISERROR((CW51/CO51-1)*100),"NA",IF(((CW51/CO51-1)*100)&gt;100,"NM",IF(((CW51/CO51-1)*100)&lt;-50,"NM",(CW51/CO51-1)*100)))</f>
        <v>-0.7229548021442711</v>
      </c>
      <c r="CY51" s="151">
        <f>CY45/CY39*100</f>
        <v>83.90914296621493</v>
      </c>
      <c r="CZ51" s="81">
        <f>IF(ISERROR((CY51/CQ51-1)*100),"NA",IF(((CY51/CQ51-1)*100)&gt;100,"NM",IF(((CY51/CQ51-1)*100)&lt;-50,"NM",(CY51/CQ51-1)*100)))</f>
        <v>-0.87656188057028128</v>
      </c>
      <c r="DA51" s="151">
        <f>DA45/DA39*100</f>
        <v>82.857142857142861</v>
      </c>
      <c r="DB51" s="81">
        <f>IF(ISERROR((DA51/CS51-1)*100),"NA",IF(((DA51/CS51-1)*100)&gt;100,"NM",IF(((DA51/CS51-1)*100)&lt;-50,"NM",(DA51/CS51-1)*100)))</f>
        <v>-2.4033883836228176</v>
      </c>
      <c r="DC51" s="151">
        <f>DC45/DC39*100</f>
        <v>83.22252639812281</v>
      </c>
      <c r="DD51" s="81">
        <f>IF(ISERROR((DC51/CU51-1)*100),"NA",IF(((DC51/CU51-1)*100)&gt;100,"NM",IF(((DC51/CU51-1)*100)&lt;-50,"NM",(DC51/CU51-1)*100)))</f>
        <v>-1.4752671351255908</v>
      </c>
      <c r="DE51" s="151">
        <f>DE45/DE39*100</f>
        <v>83.045314900153627</v>
      </c>
      <c r="DF51" s="81">
        <f>IF(ISERROR((DE51/CW51-1)*100),"NA",IF(((DE51/CW51-1)*100)&gt;100,"NM",IF(((DE51/CW51-1)*100)&lt;-50,"NM",(DE51/CW51-1)*100)))</f>
        <v>-1.4707036402119122</v>
      </c>
      <c r="DG51" s="151">
        <f>DG45/DG39*100</f>
        <v>81.889312977099237</v>
      </c>
      <c r="DH51" s="81">
        <f>IF(ISERROR((DG51/CY51-1)*100),"NA",IF(((DG51/CY51-1)*100)&gt;100,"NM",IF(((DG51/CY51-1)*100)&lt;-50,"NM",(DG51/CY51-1)*100)))</f>
        <v>-2.4071631740166355</v>
      </c>
      <c r="DI51" s="151">
        <f>DI45/DI39*100</f>
        <v>82.110266159695811</v>
      </c>
      <c r="DJ51" s="855">
        <f>IF(ISERROR((DI51/DA51-1)*100),"NA",IF(((DI51/DA51-1)*100)&gt;100,"NM",IF(((DI51/DA51-1)*100)&lt;-50,"NM",(DI51/DA51-1)*100)))</f>
        <v>-0.901402910711957</v>
      </c>
      <c r="DK51" s="151">
        <f>DK45/DK39*100</f>
        <v>83.746301775147941</v>
      </c>
      <c r="DL51" s="855">
        <f>IF(ISERROR((DK51/DC51-1)*100),"NA",IF(((DK51/DC51-1)*100)&gt;100,"NM",IF(((DK51/DC51-1)*100)&lt;-50,"NM",(DK51/DC51-1)*100)))</f>
        <v>0.62936731158518278</v>
      </c>
      <c r="DM51" s="151">
        <f>DM45/DM39*100</f>
        <v>80.10849909584087</v>
      </c>
      <c r="DN51" s="855">
        <f>IF(ISERROR((DM51/DE51-1)*100),"NA",IF(((DM51/DE51-1)*100)&gt;100,"NM",IF(((DM51/DE51-1)*100)&lt;-50,"NM",(DM51/DE51-1)*100)))</f>
        <v>-3.5364015511817004</v>
      </c>
      <c r="DO51" s="151">
        <f>DO45/DO39*100</f>
        <v>83.386809269162214</v>
      </c>
      <c r="DP51" s="855">
        <f>IF(ISERROR((DO51/DG51-1)*100),"NA",IF(((DO51/DG51-1)*100)&gt;100,"NM",IF(((DO51/DG51-1)*100)&lt;-50,"NM",(DO51/DG51-1)*100)))</f>
        <v>1.8286834235399674</v>
      </c>
      <c r="DQ51" s="151">
        <f>DQ45/DQ39*100</f>
        <v>80.546255506607935</v>
      </c>
      <c r="DR51" s="855">
        <f>IF(ISERROR((DQ51/DI51-1)*100),"NA",IF(((DQ51/DI51-1)*100)&gt;100,"NM",IF(((DQ51/DI51-1)*100)&lt;-50,"NM",(DQ51/DI51-1)*100)))</f>
        <v>-1.9047687046173212</v>
      </c>
      <c r="DS51" s="151">
        <f>DS45/DS39*100</f>
        <v>81.68594461969856</v>
      </c>
      <c r="DT51" s="81">
        <f>IF(ISERROR((DS51/DK51-1)*100),"NA",IF(((DS51/DK51-1)*100)&gt;100,"NM",IF(((DS51/DK51-1)*100)&lt;-50,"NM",(DS51/DK51-1)*100)))</f>
        <v>-2.4602365857077202</v>
      </c>
      <c r="DU51" s="151">
        <f>DU45/DU39*100</f>
        <v>80.649549396361166</v>
      </c>
      <c r="DV51" s="81">
        <f>IF(ISERROR((DU51/DM51-1)*100),"NA",IF(((DU51/DM51-1)*100)&gt;100,"NM",IF(((DU51/DM51-1)*100)&lt;-50,"NM",(DU51/DM51-1)*100)))</f>
        <v>0.67539687627025113</v>
      </c>
      <c r="DW51" s="151">
        <f>DW45/DW39*100</f>
        <v>79.986419962654892</v>
      </c>
      <c r="DX51" s="81">
        <f>IF(ISERROR((DW51/DO51-1)*100),"NA",IF(((DW51/DO51-1)*100)&gt;100,"NM",IF(((DW51/DO51-1)*100)&lt;-50,"NM",(DW51/DO51-1)*100)))</f>
        <v>-4.0778503654352427</v>
      </c>
      <c r="DY51" s="151">
        <f>DY45/DY39*100</f>
        <v>78.564084989718992</v>
      </c>
      <c r="DZ51" s="81">
        <f>IF(ISERROR((DY51/DQ51-1)*100),"NA",IF(((DY51/DQ51-1)*100)&gt;100,"NM",IF(((DY51/DQ51-1)*100)&lt;-50,"NM",(DY51/DQ51-1)*100)))</f>
        <v>-2.4609095785046442</v>
      </c>
      <c r="EA51" s="151">
        <f>EA45/EA39*100</f>
        <v>77.682040885284692</v>
      </c>
      <c r="EB51" s="81">
        <f>IF(ISERROR((EA51/DS51-1)*100),"NA",IF(((EA51/DS51-1)*100)&gt;100,"NM",IF(((EA51/DS51-1)*100)&lt;-50,"NM",(EA51/DS51-1)*100)))</f>
        <v>-4.9015822159548472</v>
      </c>
      <c r="EC51" s="151">
        <f>EC45/EC39*100</f>
        <v>76.616579436096572</v>
      </c>
      <c r="ED51" s="81">
        <f t="shared" ref="ED51" si="245">IF(ISERROR((EC51/DU51-1)*100),"NA",IF(((EC51/DU51-1)*100)&gt;100,"NM",IF(((EC51/DU51-1)*100)&lt;-50,"NM",(EC51/DU51-1)*100)))</f>
        <v>-5.0006106549264295</v>
      </c>
      <c r="EE51" s="151">
        <f>EE45/EE39*100</f>
        <v>76.493288590604024</v>
      </c>
      <c r="EF51" s="81">
        <f t="shared" ref="EF51" si="246">IF(ISERROR((EE51/DW51-1)*100),"NA",IF(((EE51/DW51-1)*100)&gt;100,"NM",IF(((EE51/DW51-1)*100)&lt;-50,"NM",(EE51/DW51-1)*100)))</f>
        <v>-4.3671555417554515</v>
      </c>
      <c r="EG51" s="151">
        <f>EG45/EG39*100</f>
        <v>76.656045614623523</v>
      </c>
      <c r="EH51" s="81">
        <f t="shared" ref="EH51" si="247">IF(ISERROR((EG51/DY51-1)*100),"NA",IF(((EG51/DY51-1)*100)&gt;100,"NM",IF(((EG51/DY51-1)*100)&lt;-50,"NM",(EG51/DY51-1)*100)))</f>
        <v>-2.4286407400342824</v>
      </c>
      <c r="EI51" s="151">
        <f>EI45/EI39*100</f>
        <v>76.339285714285722</v>
      </c>
      <c r="EJ51" s="81">
        <f t="shared" ref="EJ51" si="248">IF(ISERROR((EI51/EA51-1)*100),"NA",IF(((EI51/EA51-1)*100)&gt;100,"NM",IF(((EI51/EA51-1)*100)&lt;-50,"NM",(EI51/EA51-1)*100)))</f>
        <v>-1.7285271546635284</v>
      </c>
      <c r="EK51" s="898">
        <f>EI51</f>
        <v>76.339285714285722</v>
      </c>
      <c r="EL51" s="81">
        <f t="shared" ref="EL51" si="249">IF(ISERROR((EK51/EC51-1)*100),"NA",IF(((EK51/EC51-1)*100)&gt;100,"NM",IF(((EK51/EC51-1)*100)&lt;-50,"NM",(EK51/EC51-1)*100)))</f>
        <v>-0.36192391235911892</v>
      </c>
      <c r="EM51" s="898">
        <f t="shared" ref="EM51" si="250">EK51</f>
        <v>76.339285714285722</v>
      </c>
      <c r="EN51" s="81">
        <f t="shared" ref="EN51" si="251">IF(ISERROR((EM51/EE51-1)*100),"NA",IF(((EM51/EE51-1)*100)&gt;100,"NM",IF(((EM51/EE51-1)*100)&lt;-50,"NM",(EM51/EE51-1)*100)))</f>
        <v>-0.20132861216430875</v>
      </c>
      <c r="EO51" s="898">
        <f t="shared" ref="EO51" si="252">EM51</f>
        <v>76.339285714285722</v>
      </c>
      <c r="EP51" s="81">
        <f t="shared" ref="EP51" si="253">IF(ISERROR((EO51/EG51-1)*100),"NA",IF(((EO51/EG51-1)*100)&gt;100,"NM",IF(((EO51/EG51-1)*100)&lt;-50,"NM",(EO51/EG51-1)*100)))</f>
        <v>-0.41322233334375458</v>
      </c>
      <c r="EQ51" s="898">
        <f>EO51-0.2</f>
        <v>76.13928571428572</v>
      </c>
      <c r="ER51" s="81">
        <f t="shared" ref="ER51" si="254">IF(ISERROR((EQ51/EI51-1)*100),"NA",IF(((EQ51/EI51-1)*100)&gt;100,"NM",IF(((EQ51/EI51-1)*100)&lt;-50,"NM",(EQ51/EI51-1)*100)))</f>
        <v>-0.26198830409357443</v>
      </c>
      <c r="ES51" s="129"/>
      <c r="ET51" s="470"/>
      <c r="EU51" s="129"/>
      <c r="EV51" s="95"/>
      <c r="EW51" s="79"/>
      <c r="EX51" s="95"/>
      <c r="EY51" s="79"/>
      <c r="EZ51" s="131"/>
      <c r="FA51" s="79"/>
      <c r="FB51" s="156"/>
      <c r="FC51" s="79"/>
      <c r="FD51" s="156">
        <f>FD45/FD39*100</f>
        <v>84.327655231964826</v>
      </c>
      <c r="FE51" s="79" t="str">
        <f>IF(ISERROR((FD51/FB51-1)*100),"NA",IF(((FD51/FB51-1)*100)&gt;100,"NM",IF(((FD51/FB51-1)*100)&lt;-50,"NM",(FD51/FB51-1)*100)))</f>
        <v>NA</v>
      </c>
      <c r="FF51" s="156">
        <f>FF45/FF39*100</f>
        <v>128.1491774956809</v>
      </c>
      <c r="FG51" s="79">
        <f>IF(ISERROR((FF51/FD51-1)*100),"NA",IF(((FF51/FD51-1)*100)&gt;100,"NM",IF(((FF51/FD51-1)*100)&lt;-50,"NM",(FF51/FD51-1)*100)))</f>
        <v>51.965778181752768</v>
      </c>
      <c r="FH51" s="156">
        <f>FH45/FH39*100</f>
        <v>95.780239724732482</v>
      </c>
      <c r="FI51" s="79">
        <f>IF(ISERROR((FH51/FF51-1)*100),"NA",IF(((FH51/FF51-1)*100)&gt;100,"NM",IF(((FH51/FF51-1)*100)&lt;-50,"NM",(FH51/FF51-1)*100)))</f>
        <v>-25.25879479174915</v>
      </c>
      <c r="FJ51" s="156">
        <f>FJ45/FJ39*100</f>
        <v>93.769532022627473</v>
      </c>
      <c r="FK51" s="79">
        <f>IF(ISERROR((FJ51/FH51-1)*100),"NA",IF(((FJ51/FH51-1)*100)&gt;100,"NM",IF(((FJ51/FH51-1)*100)&lt;-50,"NM",(FJ51/FH51-1)*100)))</f>
        <v>-2.0992928268750211</v>
      </c>
      <c r="FL51" s="156">
        <f>FL45/FL39*100</f>
        <v>94.153412522649489</v>
      </c>
      <c r="FM51" s="79">
        <f>IF(ISERROR((FL51/FJ51-1)*100),"NA",IF(((FL51/FJ51-1)*100)&gt;100,"NM",IF(((FL51/FJ51-1)*100)&lt;-50,"NM",(FL51/FJ51-1)*100)))</f>
        <v>0.40938724097436818</v>
      </c>
      <c r="FN51" s="156">
        <f>FN45/FN39*100</f>
        <v>92.856842900936456</v>
      </c>
      <c r="FO51" s="79">
        <f>IF(ISERROR((FN51/FL51-1)*100),"NA",IF(((FN51/FL51-1)*100)&gt;100,"NM",IF(((FN51/FL51-1)*100)&lt;-50,"NM",(FN51/FL51-1)*100)))</f>
        <v>-1.3770819208503204</v>
      </c>
      <c r="FP51" s="151">
        <f>FP45/FP39*100</f>
        <v>89.897079521463752</v>
      </c>
      <c r="FQ51" s="79">
        <f>IF(ISERROR((FP51/FN51-1)*100),"NA",IF(((FP51/FN51-1)*100)&gt;100,"NM",IF(((FP51/FN51-1)*100)&lt;-50,"NM",(FP51/FN51-1)*100)))</f>
        <v>-3.1874477819909375</v>
      </c>
      <c r="FR51" s="151">
        <f>FR45/FR39*100</f>
        <v>86.252720285224811</v>
      </c>
      <c r="FS51" s="79">
        <f>IF(ISERROR((FR51/FP51-1)*100),"NA",IF(((FR51/FP51-1)*100)&gt;100,"NM",IF(((FR51/FP51-1)*100)&lt;-50,"NM",(FR51/FP51-1)*100)))</f>
        <v>-4.0539239490742451</v>
      </c>
      <c r="FT51" s="151">
        <f>FT45/FT39*100</f>
        <v>84.4225474568903</v>
      </c>
      <c r="FU51" s="79">
        <f>IF(ISERROR((FT51/FR51-1)*100),"NA",IF(((FT51/FR51-1)*100)&gt;100,"NM",IF(((FT51/FR51-1)*100)&lt;-50,"NM",(FT51/FR51-1)*100)))</f>
        <v>-2.1218725882295675</v>
      </c>
      <c r="FV51" s="151">
        <f>FV45/FV39*100</f>
        <v>84.607448167436388</v>
      </c>
      <c r="FW51" s="79">
        <f>IF(ISERROR((FV51/FT51-1)*100),"NA",IF(((FV51/FT51-1)*100)&gt;100,"NM",IF(((FV51/FT51-1)*100)&lt;-50,"NM",(FV51/FT51-1)*100)))</f>
        <v>0.21901816056961732</v>
      </c>
      <c r="FX51" s="151">
        <f>FX45/FX39*100</f>
        <v>84.728776453417652</v>
      </c>
      <c r="FY51" s="79">
        <f>IF(ISERROR((FX51/FV51-1)*100),"NA",IF(((FX51/FV51-1)*100)&gt;100,"NM",IF(((FX51/FV51-1)*100)&lt;-50,"NM",(FX51/FV51-1)*100)))</f>
        <v>0.14340142458990623</v>
      </c>
      <c r="FZ51" s="151">
        <f>FZ45/FZ39*100</f>
        <v>83.573667711598759</v>
      </c>
      <c r="GA51" s="79">
        <f>IF(ISERROR((FZ51/FX51-1)*100),"NA",IF(((FZ51/FX51-1)*100)&gt;100,"NM",IF(((FZ51/FX51-1)*100)&lt;-50,"NM",(FZ51/FX51-1)*100)))</f>
        <v>-1.3633015725819542</v>
      </c>
      <c r="GB51" s="151">
        <f>GB45/GB39*100</f>
        <v>82.705057776093966</v>
      </c>
      <c r="GC51" s="79">
        <f>IF(ISERROR((GB51/FZ51-1)*100),"NA",IF(((GB51/FZ51-1)*100)&gt;100,"NM",IF(((GB51/FZ51-1)*100)&lt;-50,"NM",(GB51/FZ51-1)*100)))</f>
        <v>-1.0393344689648476</v>
      </c>
      <c r="GD51" s="151">
        <f>GD45/GD39*100</f>
        <v>81.435105013098891</v>
      </c>
      <c r="GE51" s="79">
        <f>IF(ISERROR((GD51/GB51-1)*100),"NA",IF(((GD51/GB51-1)*100)&gt;100,"NM",IF(((GD51/GB51-1)*100)&lt;-50,"NM",(GD51/GB51-1)*100)))</f>
        <v>-1.5355200723433327</v>
      </c>
      <c r="GF51" s="151">
        <f>GF45/GF39*100</f>
        <v>79.21962001105112</v>
      </c>
      <c r="GG51" s="79">
        <f>IF(ISERROR((GF51/GD51-1)*100),"NA",IF(((GF51/GD51-1)*100)&gt;100,"NM",IF(((GF51/GD51-1)*100)&lt;-50,"NM",(GF51/GD51-1)*100)))</f>
        <v>-2.7205527661460116</v>
      </c>
      <c r="GH51" s="151">
        <f>GH45/GH39*100</f>
        <v>76.525487570101305</v>
      </c>
      <c r="GI51" s="79">
        <f>IF(ISERROR((GH51/GF51-1)*100),"NA",IF(((GH51/GF51-1)*100)&gt;100,"NM",IF(((GH51/GF51-1)*100)&lt;-50,"NM",(GH51/GF51-1)*100)))</f>
        <v>-3.40083989367026</v>
      </c>
      <c r="GJ51" s="151">
        <f>GJ45/GJ39*100</f>
        <v>76.289370329337501</v>
      </c>
      <c r="GK51" s="79">
        <f>IF(ISERROR((GJ51/GH51-1)*100),"NA",IF(((GJ51/GH51-1)*100)&gt;100,"NM",IF(((GJ51/GH51-1)*100)&lt;-50,"NM",(GJ51/GH51-1)*100)))</f>
        <v>-0.30854718899701039</v>
      </c>
      <c r="GL51" s="153">
        <f>GJ51</f>
        <v>76.289370329337501</v>
      </c>
      <c r="GM51" s="79">
        <f>IF(ISERROR((GL51/GJ51-1)*100),"NA",IF(((GL51/GJ51-1)*100)&gt;100,"NM",IF(((GL51/GJ51-1)*100)&lt;-50,"NM",(GL51/GJ51-1)*100)))</f>
        <v>0</v>
      </c>
      <c r="GN51" s="153">
        <f>GL51</f>
        <v>76.289370329337501</v>
      </c>
      <c r="GO51" s="79">
        <f>IF(ISERROR((GN51/GL51-1)*100),"NA",IF(((GN51/GL51-1)*100)&gt;100,"NM",IF(((GN51/GL51-1)*100)&lt;-50,"NM",(GN51/GL51-1)*100)))</f>
        <v>0</v>
      </c>
      <c r="GP51" s="153">
        <f>GN51</f>
        <v>76.289370329337501</v>
      </c>
      <c r="GQ51" s="79">
        <f>IF(ISERROR((GP51/GN51-1)*100),"NA",IF(((GP51/GN51-1)*100)&gt;100,"NM",IF(((GP51/GN51-1)*100)&lt;-50,"NM",(GP51/GN51-1)*100)))</f>
        <v>0</v>
      </c>
      <c r="GR51" s="153">
        <f>GP51</f>
        <v>76.289370329337501</v>
      </c>
      <c r="GS51" s="79">
        <f>IF(ISERROR((GR51/GP51-1)*100),"NA",IF(((GR51/GP51-1)*100)&gt;100,"NM",IF(((GR51/GP51-1)*100)&lt;-50,"NM",(GR51/GP51-1)*100)))</f>
        <v>0</v>
      </c>
      <c r="GT51" s="79">
        <f>IF(ISERROR(((GR51/GH51)^0.2-1)*100),"NA",(IF(OR(((GR51/GH51)^0.2-1)*100&gt;99,((GR51/GH51)^0.2-1)*100&lt;-50),"NM",(((GR51/GH51)^0.2-1)*100))))</f>
        <v>-6.1785740194664207E-2</v>
      </c>
      <c r="GU51" s="562"/>
      <c r="GV51" s="562"/>
      <c r="GW51"/>
      <c r="GX51"/>
      <c r="GY51"/>
      <c r="GZ51"/>
      <c r="HA51"/>
      <c r="HB51"/>
      <c r="HC51" s="562"/>
      <c r="HD51" s="562"/>
      <c r="HE51" s="562"/>
      <c r="HF51" s="562"/>
      <c r="HG51" s="562"/>
      <c r="HH51" s="562"/>
      <c r="HI51" s="562"/>
      <c r="HJ51" s="562"/>
      <c r="HK51" s="562"/>
      <c r="HL51" s="562"/>
      <c r="HM51" s="562"/>
      <c r="HN51" s="562"/>
      <c r="HO51" s="562"/>
      <c r="HP51" s="562"/>
      <c r="HQ51" s="562"/>
      <c r="HR51" s="562"/>
      <c r="HS51" s="562"/>
      <c r="HT51" s="562"/>
      <c r="HU51" s="562"/>
      <c r="HV51" s="562"/>
      <c r="HW51" s="562"/>
      <c r="HX51" s="562"/>
      <c r="HY51" s="562"/>
      <c r="HZ51" s="562"/>
      <c r="IA51" s="562"/>
      <c r="IB51" s="562"/>
      <c r="IC51" s="562"/>
      <c r="ID51" s="562"/>
      <c r="IE51" s="562"/>
      <c r="IF51" s="562"/>
      <c r="IG51" s="562"/>
      <c r="IH51" s="562"/>
      <c r="II51" s="562"/>
      <c r="IJ51" s="562"/>
      <c r="IK51" s="562"/>
      <c r="IL51" s="562"/>
      <c r="IM51" s="562"/>
      <c r="IN51" s="562"/>
      <c r="IO51" s="562"/>
      <c r="IP51" s="562"/>
      <c r="IQ51" s="562"/>
      <c r="IR51" s="562"/>
      <c r="IS51" s="562"/>
      <c r="IT51" s="562"/>
      <c r="IU51" s="562"/>
      <c r="IV51" s="562"/>
      <c r="IW51" s="562"/>
      <c r="IX51" s="562"/>
      <c r="IY51" s="562"/>
      <c r="IZ51" s="562"/>
      <c r="JA51" s="562"/>
      <c r="JB51" s="562"/>
      <c r="JC51" s="562"/>
      <c r="JD51" s="562"/>
      <c r="JE51" s="562"/>
      <c r="JF51" s="562"/>
      <c r="JG51" s="562"/>
      <c r="JH51" s="562"/>
      <c r="JI51" s="562"/>
      <c r="JJ51" s="562"/>
      <c r="JK51" s="562"/>
      <c r="JL51" s="562"/>
      <c r="JM51" s="562"/>
      <c r="JN51" s="562"/>
      <c r="JO51" s="562"/>
      <c r="JP51" s="562"/>
      <c r="JQ51" s="562"/>
      <c r="JR51" s="562"/>
      <c r="JS51" s="562"/>
      <c r="JT51" s="562"/>
      <c r="JU51" s="562"/>
      <c r="JV51" s="562"/>
      <c r="JW51" s="562"/>
      <c r="JX51" s="562"/>
      <c r="JY51" s="562"/>
      <c r="JZ51" s="562"/>
    </row>
    <row r="52" spans="1:286" s="165" customFormat="1" ht="12.75" hidden="1" customHeight="1" outlineLevel="1" x14ac:dyDescent="0.2">
      <c r="A52" s="157"/>
      <c r="B52" s="85" t="s">
        <v>449</v>
      </c>
      <c r="C52" s="87"/>
      <c r="D52" s="87"/>
      <c r="E52" s="158"/>
      <c r="F52" s="159"/>
      <c r="G52" s="158"/>
      <c r="H52" s="159"/>
      <c r="I52" s="158"/>
      <c r="J52" s="159"/>
      <c r="K52" s="158"/>
      <c r="L52" s="87"/>
      <c r="M52" s="158"/>
      <c r="N52" s="87"/>
      <c r="O52" s="158"/>
      <c r="P52" s="87"/>
      <c r="Q52" s="158"/>
      <c r="R52" s="87"/>
      <c r="S52" s="158"/>
      <c r="T52" s="87"/>
      <c r="U52" s="158"/>
      <c r="V52" s="87"/>
      <c r="W52" s="158"/>
      <c r="X52" s="87"/>
      <c r="Y52" s="158"/>
      <c r="Z52" s="87"/>
      <c r="AA52" s="160"/>
      <c r="AB52" s="87"/>
      <c r="AC52" s="158"/>
      <c r="AD52" s="87"/>
      <c r="AE52" s="158"/>
      <c r="AF52" s="87"/>
      <c r="AG52" s="158"/>
      <c r="AH52" s="87"/>
      <c r="AI52" s="158"/>
      <c r="AJ52" s="87"/>
      <c r="AK52" s="158"/>
      <c r="AL52" s="87"/>
      <c r="AM52" s="158"/>
      <c r="AN52" s="87"/>
      <c r="AO52" s="158"/>
      <c r="AP52" s="87"/>
      <c r="AQ52" s="158"/>
      <c r="AR52" s="87"/>
      <c r="AS52" s="158"/>
      <c r="AT52" s="89"/>
      <c r="AU52" s="158"/>
      <c r="AV52" s="89"/>
      <c r="AW52" s="158"/>
      <c r="AX52" s="89"/>
      <c r="AY52" s="158"/>
      <c r="AZ52" s="89"/>
      <c r="BA52" s="158"/>
      <c r="BB52" s="89"/>
      <c r="BC52" s="158"/>
      <c r="BD52" s="89"/>
      <c r="BE52" s="158"/>
      <c r="BF52" s="89"/>
      <c r="BG52" s="158"/>
      <c r="BH52" s="89"/>
      <c r="BI52" s="158"/>
      <c r="BJ52" s="89"/>
      <c r="BK52" s="158"/>
      <c r="BL52" s="89"/>
      <c r="BM52" s="158"/>
      <c r="BN52" s="89"/>
      <c r="BO52" s="158"/>
      <c r="BP52" s="89"/>
      <c r="BQ52" s="158"/>
      <c r="BR52" s="161"/>
      <c r="BS52" s="158"/>
      <c r="BT52" s="161"/>
      <c r="BU52" s="158"/>
      <c r="BV52" s="161"/>
      <c r="BW52" s="158"/>
      <c r="BX52" s="89"/>
      <c r="BY52" s="158"/>
      <c r="BZ52" s="89"/>
      <c r="CA52" s="158"/>
      <c r="CB52" s="89"/>
      <c r="CC52" s="158"/>
      <c r="CD52" s="89"/>
      <c r="CE52" s="158"/>
      <c r="CF52" s="89"/>
      <c r="CG52" s="158"/>
      <c r="CH52" s="89"/>
      <c r="CI52" s="158"/>
      <c r="CJ52" s="89"/>
      <c r="CK52" s="158"/>
      <c r="CL52" s="89"/>
      <c r="CM52" s="158"/>
      <c r="CN52" s="89"/>
      <c r="CO52" s="158"/>
      <c r="CP52" s="89"/>
      <c r="CQ52" s="158"/>
      <c r="CR52" s="89"/>
      <c r="CS52" s="158"/>
      <c r="CT52" s="89"/>
      <c r="CU52" s="158"/>
      <c r="CV52" s="89"/>
      <c r="CW52" s="158"/>
      <c r="CX52" s="89"/>
      <c r="CY52" s="158"/>
      <c r="CZ52" s="89"/>
      <c r="DA52" s="158"/>
      <c r="DB52" s="89"/>
      <c r="DC52" s="158"/>
      <c r="DD52" s="89"/>
      <c r="DE52" s="158"/>
      <c r="DF52" s="89"/>
      <c r="DG52" s="158"/>
      <c r="DH52" s="89"/>
      <c r="DI52" s="158"/>
      <c r="DJ52" s="89"/>
      <c r="DK52" s="158"/>
      <c r="DL52" s="876"/>
      <c r="DM52" s="158"/>
      <c r="DN52" s="876"/>
      <c r="DO52" s="158"/>
      <c r="DP52" s="876"/>
      <c r="DQ52" s="158"/>
      <c r="DR52" s="876"/>
      <c r="DS52" s="158"/>
      <c r="DT52" s="89"/>
      <c r="DU52" s="158"/>
      <c r="DV52" s="89"/>
      <c r="DW52" s="158"/>
      <c r="DX52" s="89"/>
      <c r="DY52" s="158"/>
      <c r="DZ52" s="89"/>
      <c r="EA52" s="158"/>
      <c r="EB52" s="89"/>
      <c r="EC52" s="158"/>
      <c r="ED52" s="89"/>
      <c r="EE52" s="158"/>
      <c r="EF52" s="89"/>
      <c r="EG52" s="158"/>
      <c r="EH52" s="89"/>
      <c r="EI52" s="158"/>
      <c r="EJ52" s="89"/>
      <c r="EK52" s="875">
        <f t="shared" ref="EK52:EQ52" si="255">IF($B$6=1,EK51,IF($B$6=2,EK51+EK602,IF($B$6=3,EK51+EK603)))</f>
        <v>76.339285714285722</v>
      </c>
      <c r="EL52" s="89"/>
      <c r="EM52" s="875">
        <f t="shared" si="255"/>
        <v>76.339285714285722</v>
      </c>
      <c r="EN52" s="89"/>
      <c r="EO52" s="875">
        <f t="shared" si="255"/>
        <v>76.339285714285722</v>
      </c>
      <c r="EP52" s="89"/>
      <c r="EQ52" s="875">
        <f t="shared" si="255"/>
        <v>76.13928571428572</v>
      </c>
      <c r="ER52" s="89"/>
      <c r="ES52" s="162"/>
      <c r="ET52" s="472"/>
      <c r="EU52" s="162"/>
      <c r="EV52" s="90"/>
      <c r="EW52" s="87"/>
      <c r="EX52" s="90"/>
      <c r="EY52" s="87"/>
      <c r="EZ52" s="163"/>
      <c r="FA52" s="87"/>
      <c r="FB52" s="164"/>
      <c r="FC52" s="87"/>
      <c r="FD52" s="164"/>
      <c r="FE52" s="87"/>
      <c r="FF52" s="164"/>
      <c r="FG52" s="87"/>
      <c r="FH52" s="164"/>
      <c r="FI52" s="87"/>
      <c r="FJ52" s="164"/>
      <c r="FK52" s="87"/>
      <c r="FL52" s="164"/>
      <c r="FM52" s="87"/>
      <c r="FN52" s="164"/>
      <c r="FO52" s="87"/>
      <c r="FP52" s="164"/>
      <c r="FQ52" s="87"/>
      <c r="FR52" s="158"/>
      <c r="FS52" s="87"/>
      <c r="FT52" s="158"/>
      <c r="FU52" s="87"/>
      <c r="FV52" s="158"/>
      <c r="FW52" s="87"/>
      <c r="FX52" s="158"/>
      <c r="FY52" s="87"/>
      <c r="FZ52" s="158"/>
      <c r="GA52" s="87"/>
      <c r="GB52" s="158"/>
      <c r="GC52" s="87"/>
      <c r="GD52" s="158"/>
      <c r="GE52" s="87"/>
      <c r="GF52" s="158"/>
      <c r="GG52" s="87"/>
      <c r="GH52" s="158"/>
      <c r="GI52" s="87"/>
      <c r="GJ52" s="158"/>
      <c r="GK52" s="87"/>
      <c r="GL52" s="158">
        <f>IF($B$6=1,GL51,IF($B$6=2,GL51+GL602,IF($B$6=3,GL51+GL603)))</f>
        <v>76.289370329337501</v>
      </c>
      <c r="GM52" s="87"/>
      <c r="GN52" s="158">
        <f>IF($B$6=1,GN51,IF($B$6=2,GN51+GN602,IF($B$6=3,GN51+GN603)))</f>
        <v>76.289370329337501</v>
      </c>
      <c r="GO52" s="87"/>
      <c r="GP52" s="158">
        <f>IF($B$6=1,GP51,IF($B$6=2,GP51+GP602,IF($B$6=3,GP51+GP603)))</f>
        <v>76.289370329337501</v>
      </c>
      <c r="GQ52" s="87"/>
      <c r="GR52" s="158">
        <f>IF($B$6=1,GR51,IF($B$6=2,GR51+GR602,IF($B$6=3,GR51+GR603)))</f>
        <v>76.289370329337501</v>
      </c>
      <c r="GS52" s="87"/>
      <c r="GT52" s="87"/>
      <c r="GU52" s="562"/>
      <c r="GV52" s="562"/>
      <c r="GW52"/>
      <c r="GX52"/>
      <c r="GY52"/>
      <c r="GZ52"/>
      <c r="HA52"/>
      <c r="HB52"/>
      <c r="HC52" s="562"/>
      <c r="HD52" s="562"/>
      <c r="HE52" s="562"/>
      <c r="HF52" s="562"/>
      <c r="HG52" s="562"/>
      <c r="HH52" s="562"/>
      <c r="HI52" s="562"/>
      <c r="HJ52" s="562"/>
      <c r="HK52" s="562"/>
      <c r="HL52" s="562"/>
      <c r="HM52" s="562"/>
      <c r="HN52" s="562"/>
      <c r="HO52" s="562"/>
      <c r="HP52" s="562"/>
      <c r="HQ52" s="562"/>
      <c r="HR52" s="562"/>
      <c r="HS52" s="562"/>
      <c r="HT52" s="562"/>
      <c r="HU52" s="562"/>
      <c r="HV52" s="562"/>
      <c r="HW52" s="562"/>
      <c r="HX52" s="562"/>
      <c r="HY52" s="562"/>
      <c r="HZ52" s="562"/>
      <c r="IA52" s="562"/>
      <c r="IB52" s="562"/>
      <c r="IC52" s="562"/>
      <c r="ID52" s="562"/>
      <c r="IE52" s="562"/>
      <c r="IF52" s="562"/>
      <c r="IG52" s="562"/>
      <c r="IH52" s="562"/>
      <c r="II52" s="562"/>
      <c r="IJ52" s="562"/>
      <c r="IK52" s="562"/>
      <c r="IL52" s="562"/>
      <c r="IM52" s="562"/>
      <c r="IN52" s="562"/>
      <c r="IO52" s="562"/>
      <c r="IP52" s="562"/>
      <c r="IQ52" s="562"/>
      <c r="IR52" s="562"/>
      <c r="IS52" s="562"/>
      <c r="IT52" s="562"/>
      <c r="IU52" s="562"/>
      <c r="IV52" s="562"/>
      <c r="IW52" s="562"/>
      <c r="IX52" s="562"/>
      <c r="IY52" s="562"/>
      <c r="IZ52" s="562"/>
      <c r="JA52" s="562"/>
      <c r="JB52" s="562"/>
      <c r="JC52" s="562"/>
      <c r="JD52" s="562"/>
      <c r="JE52" s="562"/>
      <c r="JF52" s="562"/>
      <c r="JG52" s="562"/>
      <c r="JH52" s="562"/>
      <c r="JI52" s="562"/>
      <c r="JJ52" s="562"/>
      <c r="JK52" s="562"/>
      <c r="JL52" s="562"/>
      <c r="JM52" s="562"/>
      <c r="JN52" s="562"/>
      <c r="JO52" s="562"/>
      <c r="JP52" s="562"/>
      <c r="JQ52" s="562"/>
      <c r="JR52" s="562"/>
      <c r="JS52" s="562"/>
      <c r="JT52" s="562"/>
      <c r="JU52" s="562"/>
      <c r="JV52" s="562"/>
      <c r="JW52" s="562"/>
      <c r="JX52" s="562"/>
      <c r="JY52" s="562"/>
      <c r="JZ52" s="562"/>
    </row>
    <row r="53" spans="1:286" s="132" customFormat="1" ht="12.75" customHeight="1" collapsed="1" x14ac:dyDescent="0.2">
      <c r="A53" s="133"/>
      <c r="B53" s="2" t="s">
        <v>502</v>
      </c>
      <c r="C53" s="79"/>
      <c r="D53" s="79"/>
      <c r="E53" s="103"/>
      <c r="F53" s="93"/>
      <c r="G53" s="103"/>
      <c r="H53" s="93"/>
      <c r="I53" s="103"/>
      <c r="J53" s="93"/>
      <c r="K53" s="103"/>
      <c r="L53" s="79"/>
      <c r="M53" s="103"/>
      <c r="N53" s="79"/>
      <c r="O53" s="103"/>
      <c r="P53" s="79"/>
      <c r="Q53" s="103"/>
      <c r="R53" s="79"/>
      <c r="S53" s="103"/>
      <c r="T53" s="79"/>
      <c r="U53" s="103"/>
      <c r="V53" s="79"/>
      <c r="W53" s="103"/>
      <c r="X53" s="79"/>
      <c r="Y53" s="103"/>
      <c r="Z53" s="79"/>
      <c r="AA53" s="166"/>
      <c r="AB53" s="79"/>
      <c r="AC53" s="103">
        <f>AC48/AC42*100</f>
        <v>18.886872353297036</v>
      </c>
      <c r="AD53" s="79" t="str">
        <f>IF(ISERROR((AC53/U53-1)*100),"NA",IF(((AC53/U53-1)*100)&gt;100,"NM",IF(((AC53/U53-1)*100)&lt;-50,"NM",(AC53/U53-1)*100)))</f>
        <v>NA</v>
      </c>
      <c r="AE53" s="103">
        <f>AE48/AE42*100</f>
        <v>17.388688327316487</v>
      </c>
      <c r="AF53" s="79" t="str">
        <f>IF(ISERROR((AE53/W53-1)*100),"NA",IF(((AE53/W53-1)*100)&gt;100,"NM",IF(((AE53/W53-1)*100)&lt;-50,"NM",(AE53/W53-1)*100)))</f>
        <v>NA</v>
      </c>
      <c r="AG53" s="103">
        <f>AG48/AG42*100</f>
        <v>17.349046288421818</v>
      </c>
      <c r="AH53" s="79" t="str">
        <f>IF(ISERROR((AG53/Y53-1)*100),"NA",IF(((AG53/Y53-1)*100)&gt;100,"NM",IF(((AG53/Y53-1)*100)&lt;-50,"NM",(AG53/Y53-1)*100)))</f>
        <v>NA</v>
      </c>
      <c r="AI53" s="103">
        <f>AI48/AI42*100</f>
        <v>21.24171187462327</v>
      </c>
      <c r="AJ53" s="79" t="str">
        <f>IF(ISERROR((AI53/AA53-1)*100),"NA",IF(((AI53/AA53-1)*100)&gt;100,"NM",IF(((AI53/AA53-1)*100)&lt;-50,"NM",(AI53/AA53-1)*100)))</f>
        <v>NA</v>
      </c>
      <c r="AK53" s="103">
        <f>AK48/AK42*100</f>
        <v>17.911746426351765</v>
      </c>
      <c r="AL53" s="79">
        <f>IF(ISERROR((AK53/AC53-1)*100),"NA",IF(((AK53/AC53-1)*100)&gt;100,"NM",IF(((AK53/AC53-1)*100)&lt;-50,"NM",(AK53/AC53-1)*100)))</f>
        <v>-5.1629825664334827</v>
      </c>
      <c r="AM53" s="103">
        <f>AM48/AM42*100</f>
        <v>17.425742574257431</v>
      </c>
      <c r="AN53" s="79">
        <f>IF(ISERROR((AM53/AE53-1)*100),"NA",IF(((AM53/AE53-1)*100)&gt;100,"NM",IF(((AM53/AE53-1)*100)&lt;-50,"NM",(AM53/AE53-1)*100)))</f>
        <v>0.21309397375726125</v>
      </c>
      <c r="AO53" s="103">
        <f>AO48/AO42*100</f>
        <v>17.504072171407092</v>
      </c>
      <c r="AP53" s="79">
        <f>IF(ISERROR((AO53/AG53-1)*100),"NA",IF(((AO53/AG53-1)*100)&gt;100,"NM",IF(((AO53/AG53-1)*100)&lt;-50,"NM",(AO53/AG53-1)*100)))</f>
        <v>0.8935700580194661</v>
      </c>
      <c r="AQ53" s="103">
        <f>AQ48/AQ42*100</f>
        <v>18.399103697248851</v>
      </c>
      <c r="AR53" s="79">
        <f>IF(ISERROR((AQ53/AI53-1)*100),"NA",IF(((AQ53/AI53-1)*100)&gt;100,"NM",IF(((AQ53/AI53-1)*100)&lt;-50,"NM",(AQ53/AI53-1)*100)))</f>
        <v>-13.382199109716685</v>
      </c>
      <c r="AS53" s="103">
        <f>AS48/AS42*100</f>
        <v>18.798889730002525</v>
      </c>
      <c r="AT53" s="81">
        <f>IF(ISERROR((AS53/AK53-1)*100),"NA",IF(((AS53/AK53-1)*100)&gt;100,"NM",IF(((AS53/AK53-1)*100)&lt;-50,"NM",(AS53/AK53-1)*100)))</f>
        <v>4.952857652928766</v>
      </c>
      <c r="AU53" s="103">
        <f>AU48/AU42*100</f>
        <v>17.836477987421382</v>
      </c>
      <c r="AV53" s="81">
        <f>IF(ISERROR((AU53/AM53-1)*100),"NA",IF(((AU53/AM53-1)*100)&gt;100,"NM",IF(((AU53/AM53-1)*100)&lt;-50,"NM",(AU53/AM53-1)*100)))</f>
        <v>2.3570611778158668</v>
      </c>
      <c r="AW53" s="103">
        <f>AW48/AW42*100</f>
        <v>19.605597964376585</v>
      </c>
      <c r="AX53" s="81">
        <f>IF(ISERROR((AW53/AO53-1)*100),"NA",IF(((AW53/AO53-1)*100)&gt;100,"NM",IF(((AW53/AO53-1)*100)&lt;-50,"NM",(AW53/AO53-1)*100)))</f>
        <v>12.005925092118485</v>
      </c>
      <c r="AY53" s="103">
        <f>AY48/AY42*100</f>
        <v>17.651394177619455</v>
      </c>
      <c r="AZ53" s="81">
        <f>IF(ISERROR((AY53/AQ53-1)*100),"NA",IF(((AY53/AQ53-1)*100)&gt;100,"NM",IF(((AY53/AQ53-1)*100)&lt;-50,"NM",(AY53/AQ53-1)*100)))</f>
        <v>-4.0638366516799307</v>
      </c>
      <c r="BA53" s="103">
        <f>BA48/BA42*100</f>
        <v>18.880124143282035</v>
      </c>
      <c r="BB53" s="81">
        <f>IF(ISERROR((BA53/AS53-1)*100),"NA",IF(((BA53/AS53-1)*100)&gt;100,"NM",IF(((BA53/AS53-1)*100)&lt;-50,"NM",(BA53/AS53-1)*100)))</f>
        <v>0.43212346285463887</v>
      </c>
      <c r="BC53" s="103">
        <f>BC48/BC42*100</f>
        <v>16.479680877586638</v>
      </c>
      <c r="BD53" s="81">
        <f>IF(ISERROR((BC53/AU53-1)*100),"NA",IF(((BC53/AU53-1)*100)&gt;100,"NM",IF(((BC53/AU53-1)*100)&lt;-50,"NM",(BC53/AU53-1)*100)))</f>
        <v>-7.606866730032591</v>
      </c>
      <c r="BE53" s="103">
        <f>BE48/BE42*100</f>
        <v>18.040973111395651</v>
      </c>
      <c r="BF53" s="81">
        <f>IF(ISERROR((BE53/AW53-1)*100),"NA",IF(((BE53/AW53-1)*100)&gt;100,"NM",IF(((BE53/AW53-1)*100)&lt;-50,"NM",(BE53/AW53-1)*100)))</f>
        <v>-7.9805005479754332</v>
      </c>
      <c r="BG53" s="103">
        <f>BG48/BG42*100</f>
        <v>19.389865563598761</v>
      </c>
      <c r="BH53" s="81">
        <f>IF(ISERROR((BG53/AY53-1)*100),"NA",IF(((BG53/AY53-1)*100)&gt;100,"NM",IF(((BG53/AY53-1)*100)&lt;-50,"NM",(BG53/AY53-1)*100)))</f>
        <v>9.8489182694902802</v>
      </c>
      <c r="BI53" s="103">
        <f>BI48/BI42*100</f>
        <v>19.250266808964785</v>
      </c>
      <c r="BJ53" s="81">
        <f>IF(ISERROR((BI53/BA53-1)*100),"NA",IF(((BI53/BA53-1)*100)&gt;100,"NM",IF(((BI53/BA53-1)*100)&lt;-50,"NM",(BI53/BA53-1)*100)))</f>
        <v>1.960488516249792</v>
      </c>
      <c r="BK53" s="103">
        <f>BK48/BK42*100</f>
        <v>19.457609268035807</v>
      </c>
      <c r="BL53" s="81">
        <f>IF(ISERROR((BK53/BC53-1)*100),"NA",IF(((BK53/BC53-1)*100)&gt;100,"NM",IF(((BK53/BC53-1)*100)&lt;-50,"NM",(BK53/BC53-1)*100)))</f>
        <v>18.070303742952511</v>
      </c>
      <c r="BM53" s="103">
        <f>BM48/BM42*100</f>
        <v>19.055287171229203</v>
      </c>
      <c r="BN53" s="81">
        <f>IF(ISERROR((BM53/BE53-1)*100),"NA",IF(((BM53/BE53-1)*100)&gt;100,"NM",IF(((BM53/BE53-1)*100)&lt;-50,"NM",(BM53/BE53-1)*100)))</f>
        <v>5.6222802039034958</v>
      </c>
      <c r="BO53" s="103">
        <f>BO48/BO42*100</f>
        <v>18.982283202344476</v>
      </c>
      <c r="BP53" s="81">
        <f>IF(ISERROR((BO53/BG53-1)*100),"NA",IF(((BO53/BG53-1)*100)&gt;100,"NM",IF(((BO53/BG53-1)*100)&lt;-50,"NM",(BO53/BG53-1)*100)))</f>
        <v>-2.1020380977754272</v>
      </c>
      <c r="BQ53" s="103">
        <f>BQ48/BQ42*100</f>
        <v>19.886990077177511</v>
      </c>
      <c r="BR53" s="155">
        <f>IF(ISERROR((BQ53/BI53-1)*100),"NA",IF(((BQ53/BI53-1)*100)&gt;100,"NM",IF(((BQ53/BI53-1)*100)&lt;-50,"NM",(BQ53/BI53-1)*100)))</f>
        <v>3.3076074972436587</v>
      </c>
      <c r="BS53" s="103">
        <f>BS48/BS42*100</f>
        <v>19.671452236333518</v>
      </c>
      <c r="BT53" s="155">
        <f>IF(ISERROR((BS53/BK53-1)*100),"NA",IF(((BS53/BK53-1)*100)&gt;100,"NM",IF(((BS53/BK53-1)*100)&lt;-50,"NM",(BS53/BK53-1)*100)))</f>
        <v>1.0990197477600994</v>
      </c>
      <c r="BU53" s="103">
        <f>BU48/BU42*100</f>
        <v>19.801842031816914</v>
      </c>
      <c r="BV53" s="155">
        <f>IF(ISERROR((BU53/BM53-1)*100),"NA",IF(((BU53/BM53-1)*100)&gt;100,"NM",IF(((BU53/BM53-1)*100)&lt;-50,"NM",(BU53/BM53-1)*100)))</f>
        <v>3.9178357895067739</v>
      </c>
      <c r="BW53" s="103">
        <f>BW48/BW42*100</f>
        <v>20.508855777340457</v>
      </c>
      <c r="BX53" s="81">
        <f>IF(ISERROR((BW53/BO53-1)*100),"NA",IF(((BW53/BO53-1)*100)&gt;100,"NM",IF(((BW53/BO53-1)*100)&lt;-50,"NM",(BW53/BO53-1)*100)))</f>
        <v>8.042091452978827</v>
      </c>
      <c r="BY53" s="103">
        <f>BY48/BY42*100</f>
        <v>19.890616004605647</v>
      </c>
      <c r="BZ53" s="81">
        <f>IF(ISERROR((BY53/BQ53-1)*100),"NA",IF(((BY53/BQ53-1)*100)&gt;100,"NM",IF(((BY53/BQ53-1)*100)&lt;-50,"NM",(BY53/BQ53-1)*100)))</f>
        <v>1.8232660719719185E-2</v>
      </c>
      <c r="CA53" s="103">
        <f>CA48/CA42*100</f>
        <v>18.991692924663422</v>
      </c>
      <c r="CB53" s="81">
        <f>IF(ISERROR((CA53/BS53-1)*100),"NA",IF(((CA53/BS53-1)*100)&gt;100,"NM",IF(((CA53/BS53-1)*100)&lt;-50,"NM",(CA53/BS53-1)*100)))</f>
        <v>-3.4555624236759175</v>
      </c>
      <c r="CC53" s="103">
        <f>CC48/CC42*100</f>
        <v>19.40755873340143</v>
      </c>
      <c r="CD53" s="81">
        <f>IF(ISERROR((CC53/BU53-1)*100),"NA",IF(((CC53/BU53-1)*100)&gt;100,"NM",IF(((CC53/BU53-1)*100)&lt;-50,"NM",(CC53/BU53-1)*100)))</f>
        <v>-1.9911445499967262</v>
      </c>
      <c r="CE53" s="103">
        <f>CE48/CE42*100</f>
        <v>20.308668685994519</v>
      </c>
      <c r="CF53" s="81">
        <f>IF(ISERROR((CE53/BW53-1)*100),"NA",IF(((CE53/BW53-1)*100)&gt;100,"NM",IF(((CE53/BW53-1)*100)&lt;-50,"NM",(CE53/BW53-1)*100)))</f>
        <v>-0.97610073189513535</v>
      </c>
      <c r="CG53" s="103">
        <f>CG48/CG42*100</f>
        <v>20.2684761764272</v>
      </c>
      <c r="CH53" s="81">
        <f>IF(ISERROR((CG53/BY53-1)*100),"NA",IF(((CG53/BY53-1)*100)&gt;100,"NM",IF(((CG53/BY53-1)*100)&lt;-50,"NM",(CG53/BY53-1)*100)))</f>
        <v>1.8996906467555252</v>
      </c>
      <c r="CI53" s="103">
        <f>CI48/CI42*100</f>
        <v>20.038084077925884</v>
      </c>
      <c r="CJ53" s="81">
        <f>IF(ISERROR((CI53/CA53-1)*100),"NA",IF(((CI53/CA53-1)*100)&gt;100,"NM",IF(((CI53/CA53-1)*100)&lt;-50,"NM",(CI53/CA53-1)*100)))</f>
        <v>5.509730793422718</v>
      </c>
      <c r="CK53" s="103">
        <f>CK48/CK42*100</f>
        <v>20.102189781021902</v>
      </c>
      <c r="CL53" s="81">
        <f>IF(ISERROR((CK53/CC53-1)*100),"NA",IF(((CK53/CC53-1)*100)&gt;100,"NM",IF(((CK53/CC53-1)*100)&lt;-50,"NM",(CK53/CC53-1)*100)))</f>
        <v>3.5791778716865341</v>
      </c>
      <c r="CM53" s="103">
        <f>CM48/CM42*100</f>
        <v>19.891844489915229</v>
      </c>
      <c r="CN53" s="81">
        <f>IF(ISERROR((CM53/CE53-1)*100),"NA",IF(((CM53/CE53-1)*100)&gt;100,"NM",IF(((CM53/CE53-1)*100)&lt;-50,"NM",(CM53/CE53-1)*100)))</f>
        <v>-2.0524447098137166</v>
      </c>
      <c r="CO53" s="103">
        <f>CO48/CO42*100</f>
        <v>19.763192515714078</v>
      </c>
      <c r="CP53" s="155">
        <f>IF(ISERROR((CO53/CG53-1)*100),"NA",IF(((CO53/CG53-1)*100)&gt;100,"NM",IF(((CO53/CG53-1)*100)&lt;-50,"NM",(CO53/CG53-1)*100)))</f>
        <v>-2.4929533740715049</v>
      </c>
      <c r="CQ53" s="103">
        <f>CQ48/CQ42*100</f>
        <v>19.806195859638819</v>
      </c>
      <c r="CR53" s="155">
        <f>IF(ISERROR((CQ53/CI53-1)*100),"NA",IF(((CQ53/CI53-1)*100)&gt;100,"NM",IF(((CQ53/CI53-1)*100)&lt;-50,"NM",(CQ53/CI53-1)*100)))</f>
        <v>-1.1572374753258674</v>
      </c>
      <c r="CS53" s="103">
        <f>CS48/CS42*100</f>
        <v>19.269298762522098</v>
      </c>
      <c r="CT53" s="155">
        <f>IF(ISERROR((CS53/CK53-1)*100),"NA",IF(((CS53/CK53-1)*100)&gt;100,"NM",IF(((CS53/CK53-1)*100)&lt;-50,"NM",(CS53/CK53-1)*100)))</f>
        <v>-4.1432850230382456</v>
      </c>
      <c r="CU53" s="103">
        <f>CU48/CU42*100</f>
        <v>20.407564873185752</v>
      </c>
      <c r="CV53" s="81">
        <f>IF(ISERROR((CU53/CM53-1)*100),"NA",IF(((CU53/CM53-1)*100)&gt;100,"NM",IF(((CU53/CM53-1)*100)&lt;-50,"NM",(CU53/CM53-1)*100)))</f>
        <v>2.59262223536878</v>
      </c>
      <c r="CW53" s="103">
        <f>CW48/CW42*100</f>
        <v>19.009100101112235</v>
      </c>
      <c r="CX53" s="81">
        <f>IF(ISERROR((CW53/CO53-1)*100),"NA",IF(((CW53/CO53-1)*100)&gt;100,"NM",IF(((CW53/CO53-1)*100)&lt;-50,"NM",(CW53/CO53-1)*100)))</f>
        <v>-3.8156406866059256</v>
      </c>
      <c r="CY53" s="103">
        <f>CY48/CY42*100</f>
        <v>19.420459534611446</v>
      </c>
      <c r="CZ53" s="81">
        <f>IF(ISERROR((CY53/CQ53-1)*100),"NA",IF(((CY53/CQ53-1)*100)&gt;100,"NM",IF(((CY53/CQ53-1)*100)&lt;-50,"NM",(CY53/CQ53-1)*100)))</f>
        <v>-1.9475538248787561</v>
      </c>
      <c r="DA53" s="103">
        <f>DA48/DA42*100</f>
        <v>19.676509867932928</v>
      </c>
      <c r="DB53" s="81">
        <f>IF(ISERROR((DA53/CS53-1)*100),"NA",IF(((DA53/CS53-1)*100)&gt;100,"NM",IF(((DA53/CS53-1)*100)&lt;-50,"NM",(DA53/CS53-1)*100)))</f>
        <v>2.1132637488751715</v>
      </c>
      <c r="DC53" s="103">
        <f>DC48/DC42*100</f>
        <v>20.314842578710646</v>
      </c>
      <c r="DD53" s="81">
        <f>IF(ISERROR((DC53/CU53-1)*100),"NA",IF(((DC53/CU53-1)*100)&gt;100,"NM",IF(((DC53/CU53-1)*100)&lt;-50,"NM",(DC53/CU53-1)*100)))</f>
        <v>-0.45435256509676059</v>
      </c>
      <c r="DE53" s="103">
        <f>DE48/DE42*100</f>
        <v>20.175048212431392</v>
      </c>
      <c r="DF53" s="81">
        <f>IF(ISERROR((DE53/CW53-1)*100),"NA",IF(((DE53/CW53-1)*100)&gt;100,"NM",IF(((DE53/CW53-1)*100)&lt;-50,"NM",(DE53/CW53-1)*100)))</f>
        <v>6.1336312877374732</v>
      </c>
      <c r="DG53" s="103">
        <f>DG48/DG42*100</f>
        <v>20.077105575326218</v>
      </c>
      <c r="DH53" s="81">
        <f>IF(ISERROR((DG53/CY53-1)*100),"NA",IF(((DG53/CY53-1)*100)&gt;100,"NM",IF(((DG53/CY53-1)*100)&lt;-50,"NM",(DG53/CY53-1)*100)))</f>
        <v>3.3812075329344715</v>
      </c>
      <c r="DI53" s="103">
        <f>DI48/DI42*100</f>
        <v>20.231557072881106</v>
      </c>
      <c r="DJ53" s="81">
        <f>IF(ISERROR((DI53/DA53-1)*100),"NA",IF(((DI53/DA53-1)*100)&gt;100,"NM",IF(((DI53/DA53-1)*100)&lt;-50,"NM",(DI53/DA53-1)*100)))</f>
        <v>2.820862077033004</v>
      </c>
      <c r="DK53" s="103">
        <f>DK48/DK42*100</f>
        <v>20.436593422375417</v>
      </c>
      <c r="DL53" s="855">
        <f>IF(ISERROR((DK53/DC53-1)*100),"NA",IF(((DK53/DC53-1)*100)&gt;100,"NM",IF(((DK53/DC53-1)*100)&lt;-50,"NM",(DK53/DC53-1)*100)))</f>
        <v>0.59931965110260332</v>
      </c>
      <c r="DM53" s="103">
        <f>DM48/DM42*100</f>
        <v>20.210946408209807</v>
      </c>
      <c r="DN53" s="855">
        <f>IF(ISERROR((DM53/DE53-1)*100),"NA",IF(((DM53/DE53-1)*100)&gt;100,"NM",IF(((DM53/DE53-1)*100)&lt;-50,"NM",(DM53/DE53-1)*100)))</f>
        <v>0.17793363069287249</v>
      </c>
      <c r="DO53" s="103">
        <f>DO48/DO42*100</f>
        <v>20.070323488045005</v>
      </c>
      <c r="DP53" s="855">
        <f>IF(ISERROR((DO53/DG53-1)*100),"NA",IF(((DO53/DG53-1)*100)&gt;100,"NM",IF(((DO53/DG53-1)*100)&lt;-50,"NM",(DO53/DG53-1)*100)))</f>
        <v>-3.3780204301703254E-2</v>
      </c>
      <c r="DQ53" s="103">
        <f>DQ48/DQ42*100</f>
        <v>20.033764772087785</v>
      </c>
      <c r="DR53" s="855">
        <f>IF(ISERROR((DQ53/DI53-1)*100),"NA",IF(((DQ53/DI53-1)*100)&gt;100,"NM",IF(((DQ53/DI53-1)*100)&lt;-50,"NM",(DQ53/DI53-1)*100)))</f>
        <v>-0.97764250216038073</v>
      </c>
      <c r="DS53" s="103">
        <f>DS48/DS42*100</f>
        <v>20.261801977440467</v>
      </c>
      <c r="DT53" s="81">
        <f>IF(ISERROR((DS53/DK53-1)*100),"NA",IF(((DS53/DK53-1)*100)&gt;100,"NM",IF(((DS53/DK53-1)*100)&lt;-50,"NM",(DS53/DK53-1)*100)))</f>
        <v>-0.85528659949547503</v>
      </c>
      <c r="DU53" s="103">
        <f>DU48/DU42*100</f>
        <v>19.8414867450123</v>
      </c>
      <c r="DV53" s="81">
        <f>IF(ISERROR((DU53/DM53-1)*100),"NA",IF(((DU53/DM53-1)*100)&gt;100,"NM",IF(((DU53/DM53-1)*100)&lt;-50,"NM",(DU53/DM53-1)*100)))</f>
        <v>-1.8280176283453464</v>
      </c>
      <c r="DW53" s="103">
        <f>DW48/DW42*100</f>
        <v>19.59256220946131</v>
      </c>
      <c r="DX53" s="81">
        <f>IF(ISERROR((DW53/DO53-1)*100),"NA",IF(((DW53/DO53-1)*100)&gt;100,"NM",IF(((DW53/DO53-1)*100)&lt;-50,"NM",(DW53/DO53-1)*100)))</f>
        <v>-2.3804363635109183</v>
      </c>
      <c r="DY53" s="103">
        <f>DY48/DY42*100</f>
        <v>19.408121128699243</v>
      </c>
      <c r="DZ53" s="81">
        <f>IF(ISERROR((DY53/DQ53-1)*100),"NA",IF(((DY53/DQ53-1)*100)&gt;100,"NM",IF(((DY53/DQ53-1)*100)&lt;-50,"NM",(DY53/DQ53-1)*100)))</f>
        <v>-3.1229459390489933</v>
      </c>
      <c r="EA53" s="103">
        <f>EA48/EA42*100</f>
        <v>19.438386041439479</v>
      </c>
      <c r="EB53" s="81">
        <f>IF(ISERROR((EA53/DS53-1)*100),"NA",IF(((EA53/DS53-1)*100)&gt;100,"NM",IF(((EA53/DS53-1)*100)&lt;-50,"NM",(EA53/DS53-1)*100)))</f>
        <v>-4.0638830490880355</v>
      </c>
      <c r="EC53" s="103">
        <f>EC48/EC42*100</f>
        <v>19.800491937687895</v>
      </c>
      <c r="ED53" s="81">
        <f t="shared" ref="ED53" si="256">IF(ISERROR((EC53/DU53-1)*100),"NA",IF(((EC53/DU53-1)*100)&gt;100,"NM",IF(((EC53/DU53-1)*100)&lt;-50,"NM",(EC53/DU53-1)*100)))</f>
        <v>-0.20661157024793875</v>
      </c>
      <c r="EE53" s="103">
        <f>EE48/EE42*100</f>
        <v>20.008111396512099</v>
      </c>
      <c r="EF53" s="81">
        <f t="shared" ref="EF53" si="257">IF(ISERROR((EE53/DW53-1)*100),"NA",IF(((EE53/DW53-1)*100)&gt;100,"NM",IF(((EE53/DW53-1)*100)&lt;-50,"NM",(EE53/DW53-1)*100)))</f>
        <v>2.1209537711720072</v>
      </c>
      <c r="EG53" s="103">
        <f>EG48/EG42*100</f>
        <v>19.528481875170346</v>
      </c>
      <c r="EH53" s="81">
        <f t="shared" ref="EH53" si="258">IF(ISERROR((EG53/DY53-1)*100),"NA",IF(((EG53/DY53-1)*100)&gt;100,"NM",IF(((EG53/DY53-1)*100)&lt;-50,"NM",(EG53/DY53-1)*100)))</f>
        <v>0.6201566121365687</v>
      </c>
      <c r="EI53" s="103">
        <f>EI48/EI42*100</f>
        <v>20.29882891371652</v>
      </c>
      <c r="EJ53" s="81">
        <f t="shared" ref="EJ53" si="259">IF(ISERROR((EI53/EA53-1)*100),"NA",IF(((EI53/EA53-1)*100)&gt;100,"NM",IF(((EI53/EA53-1)*100)&lt;-50,"NM",(EI53/EA53-1)*100)))</f>
        <v>4.4265139628501871</v>
      </c>
      <c r="EK53" s="877">
        <f>EI53-0.2</f>
        <v>20.09882891371652</v>
      </c>
      <c r="EL53" s="81">
        <f t="shared" ref="EL53" si="260">IF(ISERROR((EK53/EC53-1)*100),"NA",IF(((EK53/EC53-1)*100)&gt;100,"NM",IF(((EK53/EC53-1)*100)&lt;-50,"NM",(EK53/EC53-1)*100)))</f>
        <v>1.5067149693426485</v>
      </c>
      <c r="EM53" s="877">
        <f t="shared" ref="EM53" si="261">EK53</f>
        <v>20.09882891371652</v>
      </c>
      <c r="EN53" s="81">
        <f t="shared" ref="EN53" si="262">IF(ISERROR((EM53/EE53-1)*100),"NA",IF(((EM53/EE53-1)*100)&gt;100,"NM",IF(((EM53/EE53-1)*100)&lt;-50,"NM",(EM53/EE53-1)*100)))</f>
        <v>0.45340369916291312</v>
      </c>
      <c r="EO53" s="877">
        <f t="shared" ref="EO53" si="263">EM53</f>
        <v>20.09882891371652</v>
      </c>
      <c r="EP53" s="81">
        <f t="shared" ref="EP53" si="264">IF(ISERROR((EO53/EG53-1)*100),"NA",IF(((EO53/EG53-1)*100)&gt;100,"NM",IF(((EO53/EG53-1)*100)&lt;-50,"NM",(EO53/EG53-1)*100)))</f>
        <v>2.9205907668191422</v>
      </c>
      <c r="EQ53" s="877">
        <f t="shared" ref="EQ53" si="265">EO53</f>
        <v>20.09882891371652</v>
      </c>
      <c r="ER53" s="81">
        <f t="shared" ref="ER53" si="266">IF(ISERROR((EQ53/EI53-1)*100),"NA",IF(((EQ53/EI53-1)*100)&gt;100,"NM",IF(((EQ53/EI53-1)*100)&lt;-50,"NM",(EQ53/EI53-1)*100)))</f>
        <v>-0.98527851458886095</v>
      </c>
      <c r="ES53" s="105"/>
      <c r="ET53" s="470"/>
      <c r="EU53" s="105"/>
      <c r="EV53" s="95"/>
      <c r="EW53" s="79"/>
      <c r="EX53" s="95"/>
      <c r="EY53" s="79"/>
      <c r="EZ53" s="131"/>
      <c r="FA53" s="79"/>
      <c r="FB53" s="103"/>
      <c r="FC53" s="79"/>
      <c r="FD53" s="103">
        <f>FD48/FD42*100</f>
        <v>17.390476190476186</v>
      </c>
      <c r="FE53" s="79" t="str">
        <f>IF(ISERROR((FD53/FB53-1)*100),"NA",IF(((FD53/FB53-1)*100)&gt;100,"NM",IF(((FD53/FB53-1)*100)&lt;-50,"NM",(FD53/FB53-1)*100)))</f>
        <v>NA</v>
      </c>
      <c r="FF53" s="103">
        <f>FF48/FF42*100</f>
        <v>18.49070207588548</v>
      </c>
      <c r="FG53" s="79">
        <f>IF(ISERROR((FF53/FD53-1)*100),"NA",IF(((FF53/FD53-1)*100)&gt;100,"NM",IF(((FF53/FD53-1)*100)&lt;-50,"NM",(FF53/FD53-1)*100)))</f>
        <v>6.3266001077752376</v>
      </c>
      <c r="FH53" s="103">
        <f>FH48/FH42*100</f>
        <v>18.718467720008462</v>
      </c>
      <c r="FI53" s="79">
        <f>IF(ISERROR((FH53/FF53-1)*100),"NA",IF(((FH53/FF53-1)*100)&gt;100,"NM",IF(((FH53/FF53-1)*100)&lt;-50,"NM",(FH53/FF53-1)*100)))</f>
        <v>1.2317847272009352</v>
      </c>
      <c r="FJ53" s="103">
        <f>FJ48/FJ42*100</f>
        <v>17.810137216465971</v>
      </c>
      <c r="FK53" s="79">
        <f>IF(ISERROR((FJ53/FH53-1)*100),"NA",IF(((FJ53/FH53-1)*100)&gt;100,"NM",IF(((FJ53/FH53-1)*100)&lt;-50,"NM",(FJ53/FH53-1)*100)))</f>
        <v>-4.8525900577404695</v>
      </c>
      <c r="FL53" s="103">
        <f>FL48/FL42*100</f>
        <v>18.464723782037201</v>
      </c>
      <c r="FM53" s="79">
        <f>IF(ISERROR((FL53/FJ53-1)*100),"NA",IF(((FL53/FJ53-1)*100)&gt;100,"NM",IF(((FL53/FJ53-1)*100)&lt;-50,"NM",(FL53/FJ53-1)*100)))</f>
        <v>3.6753594743000884</v>
      </c>
      <c r="FN53" s="103">
        <f>FN48/FN42*100</f>
        <v>18.181527746717357</v>
      </c>
      <c r="FO53" s="79">
        <f>IF(ISERROR((FN53/FL53-1)*100),"NA",IF(((FN53/FL53-1)*100)&gt;100,"NM",IF(((FN53/FL53-1)*100)&lt;-50,"NM",(FN53/FL53-1)*100)))</f>
        <v>-1.5337139004231504</v>
      </c>
      <c r="FP53" s="103">
        <f>FP48/FP42*100</f>
        <v>19.187381451532392</v>
      </c>
      <c r="FQ53" s="79">
        <f>IF(ISERROR((FP53/FN53-1)*100),"NA",IF(((FP53/FN53-1)*100)&gt;100,"NM",IF(((FP53/FN53-1)*100)&lt;-50,"NM",(FP53/FN53-1)*100)))</f>
        <v>5.5322837487990606</v>
      </c>
      <c r="FR53" s="103">
        <f>FR48/FR42*100</f>
        <v>19.965253648366925</v>
      </c>
      <c r="FS53" s="79">
        <f>IF(ISERROR((FR53/FP53-1)*100),"NA",IF(((FR53/FP53-1)*100)&gt;100,"NM",IF(((FR53/FP53-1)*100)&lt;-50,"NM",(FR53/FP53-1)*100)))</f>
        <v>4.0540820997354343</v>
      </c>
      <c r="FT53" s="103">
        <f>FT48/FT42*100</f>
        <v>19.649300043296297</v>
      </c>
      <c r="FU53" s="79">
        <f>IF(ISERROR((FT53/FR53-1)*100),"NA",IF(((FT53/FR53-1)*100)&gt;100,"NM",IF(((FT53/FR53-1)*100)&lt;-50,"NM",(FT53/FR53-1)*100)))</f>
        <v>-1.5825173605869658</v>
      </c>
      <c r="FV53" s="103">
        <f>FV48/FV42*100</f>
        <v>20.074730749505456</v>
      </c>
      <c r="FW53" s="79">
        <f>IF(ISERROR((FV53/FT53-1)*100),"NA",IF(((FV53/FT53-1)*100)&gt;100,"NM",IF(((FV53/FT53-1)*100)&lt;-50,"NM",(FV53/FT53-1)*100)))</f>
        <v>2.1651188860251747</v>
      </c>
      <c r="FX53" s="103">
        <f>FX48/FX42*100</f>
        <v>19.821638285378747</v>
      </c>
      <c r="FY53" s="79">
        <f>IF(ISERROR((FX53/FV53-1)*100),"NA",IF(((FX53/FV53-1)*100)&gt;100,"NM",IF(((FX53/FV53-1)*100)&lt;-50,"NM",(FX53/FV53-1)*100)))</f>
        <v>-1.2607514754983451</v>
      </c>
      <c r="FZ53" s="103">
        <f>FZ48/FZ42*100</f>
        <v>19.598748389471744</v>
      </c>
      <c r="GA53" s="79">
        <f>IF(ISERROR((FZ53/FX53-1)*100),"NA",IF(((FZ53/FX53-1)*100)&gt;100,"NM",IF(((FZ53/FX53-1)*100)&lt;-50,"NM",(FZ53/FX53-1)*100)))</f>
        <v>-1.1244776677789337</v>
      </c>
      <c r="GB53" s="103">
        <f>GB48/GB42*100</f>
        <v>20.231745447857275</v>
      </c>
      <c r="GC53" s="79">
        <f>IF(ISERROR((GB53/FZ53-1)*100),"NA",IF(((GB53/FZ53-1)*100)&gt;100,"NM",IF(((GB53/FZ53-1)*100)&lt;-50,"NM",(GB53/FZ53-1)*100)))</f>
        <v>3.2297830749517198</v>
      </c>
      <c r="GD53" s="103">
        <f>GD48/GD42*100</f>
        <v>20.144289987682562</v>
      </c>
      <c r="GE53" s="79">
        <f>IF(ISERROR((GD53/GB53-1)*100),"NA",IF(((GD53/GB53-1)*100)&gt;100,"NM",IF(((GD53/GB53-1)*100)&lt;-50,"NM",(GD53/GB53-1)*100)))</f>
        <v>-0.43226848815446361</v>
      </c>
      <c r="GF53" s="103">
        <f>GF48/GF42*100</f>
        <v>19.5703485786611</v>
      </c>
      <c r="GG53" s="79">
        <f>IF(ISERROR((GF53/GD53-1)*100),"NA",IF(((GF53/GD53-1)*100)&gt;100,"NM",IF(((GF53/GD53-1)*100)&lt;-50,"NM",(GF53/GD53-1)*100)))</f>
        <v>-2.8491518409058059</v>
      </c>
      <c r="GH53" s="103">
        <f>GH48/GH42*100</f>
        <v>19.910453836239061</v>
      </c>
      <c r="GI53" s="79">
        <f>IF(ISERROR((GH53/GF53-1)*100),"NA",IF(((GH53/GF53-1)*100)&gt;100,"NM",IF(((GH53/GF53-1)*100)&lt;-50,"NM",(GH53/GF53-1)*100)))</f>
        <v>1.7378599885992774</v>
      </c>
      <c r="GJ53" s="103">
        <f>GJ48/GJ42*100</f>
        <v>20.098828913716517</v>
      </c>
      <c r="GK53" s="79">
        <f>IF(ISERROR((GJ53/GH53-1)*100),"NA",IF(((GJ53/GH53-1)*100)&gt;100,"NM",IF(((GJ53/GH53-1)*100)&lt;-50,"NM",(GJ53/GH53-1)*100)))</f>
        <v>0.94611141979392688</v>
      </c>
      <c r="GL53" s="105">
        <f>GJ53</f>
        <v>20.098828913716517</v>
      </c>
      <c r="GM53" s="79">
        <f>IF(ISERROR((GL53/GJ53-1)*100),"NA",IF(((GL53/GJ53-1)*100)&gt;100,"NM",IF(((GL53/GJ53-1)*100)&lt;-50,"NM",(GL53/GJ53-1)*100)))</f>
        <v>0</v>
      </c>
      <c r="GN53" s="105">
        <f>GL53</f>
        <v>20.098828913716517</v>
      </c>
      <c r="GO53" s="79">
        <f>IF(ISERROR((GN53/GL53-1)*100),"NA",IF(((GN53/GL53-1)*100)&gt;100,"NM",IF(((GN53/GL53-1)*100)&lt;-50,"NM",(GN53/GL53-1)*100)))</f>
        <v>0</v>
      </c>
      <c r="GP53" s="105">
        <f>GN53</f>
        <v>20.098828913716517</v>
      </c>
      <c r="GQ53" s="79">
        <f>IF(ISERROR((GP53/GN53-1)*100),"NA",IF(((GP53/GN53-1)*100)&gt;100,"NM",IF(((GP53/GN53-1)*100)&lt;-50,"NM",(GP53/GN53-1)*100)))</f>
        <v>0</v>
      </c>
      <c r="GR53" s="105">
        <f>GP53</f>
        <v>20.098828913716517</v>
      </c>
      <c r="GS53" s="79">
        <f>IF(ISERROR((GR53/GP53-1)*100),"NA",IF(((GR53/GP53-1)*100)&gt;100,"NM",IF(((GR53/GP53-1)*100)&lt;-50,"NM",(GR53/GP53-1)*100)))</f>
        <v>0</v>
      </c>
      <c r="GT53" s="79">
        <f>IF(ISERROR(((GR53/GH53)^0.2-1)*100),"NA",(IF(OR(((GR53/GH53)^0.2-1)*100&gt;99,((GR53/GH53)^0.2-1)*100&lt;-50),"NM",(((GR53/GH53)^0.2-1)*100))))</f>
        <v>0.18851022084449554</v>
      </c>
      <c r="GU53" s="562"/>
      <c r="GV53" s="562"/>
      <c r="GW53"/>
      <c r="GX53"/>
      <c r="GY53"/>
      <c r="GZ53"/>
      <c r="HA53"/>
      <c r="HB53"/>
      <c r="HC53" s="562"/>
      <c r="HD53" s="562"/>
      <c r="HE53" s="562"/>
      <c r="HF53" s="562"/>
      <c r="HG53" s="562"/>
      <c r="HH53" s="562"/>
      <c r="HI53" s="562"/>
      <c r="HJ53" s="562"/>
      <c r="HK53" s="562"/>
      <c r="HL53" s="562"/>
      <c r="HM53" s="562"/>
      <c r="HN53" s="562"/>
      <c r="HO53" s="562"/>
      <c r="HP53" s="562"/>
      <c r="HQ53" s="562"/>
      <c r="HR53" s="562"/>
      <c r="HS53" s="562"/>
      <c r="HT53" s="562"/>
      <c r="HU53" s="562"/>
      <c r="HV53" s="562"/>
      <c r="HW53" s="562"/>
      <c r="HX53" s="562"/>
      <c r="HY53" s="562"/>
      <c r="HZ53" s="562"/>
      <c r="IA53" s="562"/>
      <c r="IB53" s="562"/>
      <c r="IC53" s="562"/>
      <c r="ID53" s="562"/>
      <c r="IE53" s="562"/>
      <c r="IF53" s="562"/>
      <c r="IG53" s="562"/>
      <c r="IH53" s="562"/>
      <c r="II53" s="562"/>
      <c r="IJ53" s="562"/>
      <c r="IK53" s="562"/>
      <c r="IL53" s="562"/>
      <c r="IM53" s="562"/>
      <c r="IN53" s="562"/>
      <c r="IO53" s="562"/>
      <c r="IP53" s="562"/>
      <c r="IQ53" s="562"/>
      <c r="IR53" s="562"/>
      <c r="IS53" s="562"/>
      <c r="IT53" s="562"/>
      <c r="IU53" s="562"/>
      <c r="IV53" s="562"/>
      <c r="IW53" s="562"/>
      <c r="IX53" s="562"/>
      <c r="IY53" s="562"/>
      <c r="IZ53" s="562"/>
      <c r="JA53" s="562"/>
      <c r="JB53" s="562"/>
      <c r="JC53" s="562"/>
      <c r="JD53" s="562"/>
      <c r="JE53" s="562"/>
      <c r="JF53" s="562"/>
      <c r="JG53" s="562"/>
      <c r="JH53" s="562"/>
      <c r="JI53" s="562"/>
      <c r="JJ53" s="562"/>
      <c r="JK53" s="562"/>
      <c r="JL53" s="562"/>
      <c r="JM53" s="562"/>
      <c r="JN53" s="562"/>
      <c r="JO53" s="562"/>
      <c r="JP53" s="562"/>
      <c r="JQ53" s="562"/>
      <c r="JR53" s="562"/>
      <c r="JS53" s="562"/>
      <c r="JT53" s="562"/>
      <c r="JU53" s="562"/>
      <c r="JV53" s="562"/>
      <c r="JW53" s="562"/>
      <c r="JX53" s="562"/>
      <c r="JY53" s="562"/>
      <c r="JZ53" s="562"/>
    </row>
    <row r="54" spans="1:286" s="132" customFormat="1" ht="12.75" customHeight="1" x14ac:dyDescent="0.2">
      <c r="A54" s="133"/>
      <c r="B54" s="2"/>
      <c r="C54" s="79"/>
      <c r="D54" s="79"/>
      <c r="E54" s="93"/>
      <c r="F54" s="93"/>
      <c r="G54" s="93"/>
      <c r="H54" s="93"/>
      <c r="I54" s="93"/>
      <c r="J54" s="93"/>
      <c r="K54" s="93"/>
      <c r="L54" s="3"/>
      <c r="M54" s="93"/>
      <c r="N54" s="3"/>
      <c r="O54" s="93"/>
      <c r="P54" s="3"/>
      <c r="Q54" s="93"/>
      <c r="R54" s="3"/>
      <c r="S54" s="93"/>
      <c r="T54" s="3"/>
      <c r="U54" s="93"/>
      <c r="V54" s="3"/>
      <c r="W54" s="93"/>
      <c r="X54" s="3"/>
      <c r="Y54" s="93"/>
      <c r="Z54" s="3"/>
      <c r="AA54" s="94"/>
      <c r="AB54" s="3"/>
      <c r="AC54" s="93"/>
      <c r="AD54" s="3"/>
      <c r="AE54" s="93"/>
      <c r="AF54" s="3"/>
      <c r="AG54" s="144"/>
      <c r="AH54" s="97"/>
      <c r="AI54" s="144"/>
      <c r="AJ54" s="97"/>
      <c r="AK54" s="144"/>
      <c r="AL54" s="97"/>
      <c r="AM54" s="144"/>
      <c r="AN54" s="3"/>
      <c r="AO54" s="144"/>
      <c r="AP54" s="3"/>
      <c r="AQ54" s="144"/>
      <c r="AR54" s="3"/>
      <c r="AS54" s="144"/>
      <c r="AT54" s="7"/>
      <c r="AU54" s="144"/>
      <c r="AV54" s="7"/>
      <c r="AW54" s="144"/>
      <c r="AX54" s="7"/>
      <c r="AY54" s="144"/>
      <c r="AZ54" s="7"/>
      <c r="BA54" s="144"/>
      <c r="BB54" s="7"/>
      <c r="BC54" s="144"/>
      <c r="BD54" s="7"/>
      <c r="BE54" s="144"/>
      <c r="BF54" s="7"/>
      <c r="BG54" s="144"/>
      <c r="BH54" s="7"/>
      <c r="BI54" s="144"/>
      <c r="BJ54" s="7"/>
      <c r="BK54" s="144"/>
      <c r="BL54" s="7"/>
      <c r="BM54" s="144"/>
      <c r="BN54" s="7"/>
      <c r="BO54" s="144"/>
      <c r="BP54" s="7"/>
      <c r="BQ54" s="144"/>
      <c r="BR54" s="7"/>
      <c r="BS54" s="144"/>
      <c r="BT54" s="7"/>
      <c r="BU54" s="144"/>
      <c r="BV54" s="7"/>
      <c r="BW54" s="144"/>
      <c r="BX54" s="7"/>
      <c r="BY54" s="144"/>
      <c r="BZ54" s="7"/>
      <c r="CA54" s="144"/>
      <c r="CB54" s="7"/>
      <c r="CC54" s="144"/>
      <c r="CD54" s="7"/>
      <c r="CE54" s="144"/>
      <c r="CF54" s="7"/>
      <c r="CG54" s="144"/>
      <c r="CH54" s="7"/>
      <c r="CI54" s="144"/>
      <c r="CJ54" s="7"/>
      <c r="CK54" s="144"/>
      <c r="CL54" s="7"/>
      <c r="CM54" s="144"/>
      <c r="CN54" s="7"/>
      <c r="CO54" s="144"/>
      <c r="CP54" s="7"/>
      <c r="CQ54" s="144"/>
      <c r="CR54" s="7"/>
      <c r="CS54" s="144"/>
      <c r="CT54" s="7"/>
      <c r="CU54" s="144"/>
      <c r="CV54" s="7"/>
      <c r="CW54" s="144"/>
      <c r="CX54" s="7"/>
      <c r="CY54" s="144"/>
      <c r="CZ54" s="7"/>
      <c r="DA54" s="144"/>
      <c r="DB54" s="7"/>
      <c r="DC54" s="144"/>
      <c r="DD54" s="7"/>
      <c r="DE54" s="144"/>
      <c r="DF54" s="7"/>
      <c r="DG54" s="144"/>
      <c r="DH54" s="7"/>
      <c r="DI54" s="144"/>
      <c r="DJ54" s="7"/>
      <c r="DK54" s="144"/>
      <c r="DL54" s="879"/>
      <c r="DM54" s="144"/>
      <c r="DN54" s="879"/>
      <c r="DO54" s="144"/>
      <c r="DP54" s="879"/>
      <c r="DQ54" s="144"/>
      <c r="DR54" s="879"/>
      <c r="DS54" s="144"/>
      <c r="DT54" s="7"/>
      <c r="DU54" s="144"/>
      <c r="DV54" s="7"/>
      <c r="DW54" s="144"/>
      <c r="DX54" s="7"/>
      <c r="DY54" s="144"/>
      <c r="DZ54" s="7"/>
      <c r="EA54" s="144"/>
      <c r="EB54" s="7"/>
      <c r="EC54" s="144"/>
      <c r="ED54" s="7"/>
      <c r="EE54" s="144"/>
      <c r="EF54" s="7"/>
      <c r="EG54" s="144"/>
      <c r="EH54" s="7"/>
      <c r="EI54" s="144"/>
      <c r="EJ54" s="7"/>
      <c r="EK54" s="878"/>
      <c r="EL54" s="7"/>
      <c r="EM54" s="878"/>
      <c r="EN54" s="7"/>
      <c r="EO54" s="878"/>
      <c r="EP54" s="7"/>
      <c r="EQ54" s="878"/>
      <c r="ER54" s="7"/>
      <c r="ES54" s="129"/>
      <c r="ET54" s="469"/>
      <c r="EU54" s="129"/>
      <c r="EV54" s="95"/>
      <c r="EW54" s="79"/>
      <c r="EX54" s="95"/>
      <c r="EY54" s="79"/>
      <c r="EZ54" s="131"/>
      <c r="FA54" s="79"/>
      <c r="FB54" s="145"/>
      <c r="FC54" s="3"/>
      <c r="FD54" s="93"/>
      <c r="FE54" s="3"/>
      <c r="FF54" s="93"/>
      <c r="FG54" s="3"/>
      <c r="FH54" s="93"/>
      <c r="FI54" s="3"/>
      <c r="FJ54" s="93"/>
      <c r="FK54" s="3"/>
      <c r="FL54" s="93"/>
      <c r="FM54" s="3"/>
      <c r="FN54" s="93"/>
      <c r="FO54" s="3"/>
      <c r="FP54" s="93"/>
      <c r="FQ54" s="3"/>
      <c r="FR54" s="144"/>
      <c r="FS54" s="3"/>
      <c r="FT54" s="144"/>
      <c r="FU54" s="3"/>
      <c r="FV54" s="144"/>
      <c r="FW54" s="3"/>
      <c r="FX54" s="144"/>
      <c r="FY54" s="3"/>
      <c r="FZ54" s="144"/>
      <c r="GA54" s="3"/>
      <c r="GB54" s="144"/>
      <c r="GC54" s="3"/>
      <c r="GD54" s="144"/>
      <c r="GE54" s="3"/>
      <c r="GF54" s="144"/>
      <c r="GG54" s="3"/>
      <c r="GH54" s="144"/>
      <c r="GI54" s="3"/>
      <c r="GJ54" s="144"/>
      <c r="GK54" s="3"/>
      <c r="GL54" s="168"/>
      <c r="GM54" s="3"/>
      <c r="GN54" s="168"/>
      <c r="GO54" s="3"/>
      <c r="GP54" s="168"/>
      <c r="GQ54" s="3"/>
      <c r="GR54" s="168"/>
      <c r="GS54" s="3"/>
      <c r="GT54" s="3"/>
      <c r="GU54" s="562"/>
      <c r="GV54" s="562"/>
      <c r="GW54"/>
      <c r="GX54"/>
      <c r="GY54"/>
      <c r="GZ54"/>
      <c r="HA54"/>
      <c r="HB54"/>
      <c r="HC54" s="562"/>
      <c r="HD54" s="562"/>
      <c r="HE54" s="562"/>
      <c r="HF54" s="562"/>
      <c r="HG54" s="562"/>
      <c r="HH54" s="562"/>
      <c r="HI54" s="562"/>
      <c r="HJ54" s="562"/>
      <c r="HK54" s="562"/>
      <c r="HL54" s="562"/>
      <c r="HM54" s="562"/>
      <c r="HN54" s="562"/>
      <c r="HO54" s="562"/>
      <c r="HP54" s="562"/>
      <c r="HQ54" s="562"/>
      <c r="HR54" s="562"/>
      <c r="HS54" s="562"/>
      <c r="HT54" s="562"/>
      <c r="HU54" s="562"/>
      <c r="HV54" s="562"/>
      <c r="HW54" s="562"/>
      <c r="HX54" s="562"/>
      <c r="HY54" s="562"/>
      <c r="HZ54" s="562"/>
      <c r="IA54" s="562"/>
      <c r="IB54" s="562"/>
      <c r="IC54" s="562"/>
      <c r="ID54" s="562"/>
      <c r="IE54" s="562"/>
      <c r="IF54" s="562"/>
      <c r="IG54" s="562"/>
      <c r="IH54" s="562"/>
      <c r="II54" s="562"/>
      <c r="IJ54" s="562"/>
      <c r="IK54" s="562"/>
      <c r="IL54" s="562"/>
      <c r="IM54" s="562"/>
      <c r="IN54" s="562"/>
      <c r="IO54" s="562"/>
      <c r="IP54" s="562"/>
      <c r="IQ54" s="562"/>
      <c r="IR54" s="562"/>
      <c r="IS54" s="562"/>
      <c r="IT54" s="562"/>
      <c r="IU54" s="562"/>
      <c r="IV54" s="562"/>
      <c r="IW54" s="562"/>
      <c r="IX54" s="562"/>
      <c r="IY54" s="562"/>
      <c r="IZ54" s="562"/>
      <c r="JA54" s="562"/>
      <c r="JB54" s="562"/>
      <c r="JC54" s="562"/>
      <c r="JD54" s="562"/>
      <c r="JE54" s="562"/>
      <c r="JF54" s="562"/>
      <c r="JG54" s="562"/>
      <c r="JH54" s="562"/>
      <c r="JI54" s="562"/>
      <c r="JJ54" s="562"/>
      <c r="JK54" s="562"/>
      <c r="JL54" s="562"/>
      <c r="JM54" s="562"/>
      <c r="JN54" s="562"/>
      <c r="JO54" s="562"/>
      <c r="JP54" s="562"/>
      <c r="JQ54" s="562"/>
      <c r="JR54" s="562"/>
      <c r="JS54" s="562"/>
      <c r="JT54" s="562"/>
      <c r="JU54" s="562"/>
      <c r="JV54" s="562"/>
      <c r="JW54" s="562"/>
      <c r="JX54" s="562"/>
      <c r="JY54" s="562"/>
      <c r="JZ54" s="562"/>
    </row>
    <row r="55" spans="1:286" s="83" customFormat="1" ht="12.75" customHeight="1" x14ac:dyDescent="0.2">
      <c r="A55" s="1" t="s">
        <v>204</v>
      </c>
      <c r="B55" s="68" t="s">
        <v>453</v>
      </c>
      <c r="C55" s="79"/>
      <c r="D55" s="79"/>
      <c r="E55" s="169"/>
      <c r="F55" s="169"/>
      <c r="G55" s="169"/>
      <c r="H55" s="169"/>
      <c r="I55" s="169"/>
      <c r="J55" s="169"/>
      <c r="K55" s="169"/>
      <c r="L55" s="79"/>
      <c r="M55" s="169"/>
      <c r="N55" s="79"/>
      <c r="O55" s="169"/>
      <c r="P55" s="79"/>
      <c r="Q55" s="169"/>
      <c r="R55" s="79"/>
      <c r="S55" s="169"/>
      <c r="T55" s="79"/>
      <c r="U55" s="169"/>
      <c r="V55" s="79"/>
      <c r="W55" s="169"/>
      <c r="X55" s="79"/>
      <c r="Y55" s="169"/>
      <c r="Z55" s="79"/>
      <c r="AA55" s="170"/>
      <c r="AB55" s="79"/>
      <c r="AC55" s="169">
        <f>AC42-AC49</f>
        <v>-5.0999999999999091</v>
      </c>
      <c r="AD55" s="79" t="str">
        <f>IF(ISERROR((AC55/U55-1)*100),"NA",IF(((AC55/U55-1)*100)&gt;100,"NM",IF(((AC55/U55-1)*100)&lt;-50,"NM",(AC55/U55-1)*100)))</f>
        <v>NA</v>
      </c>
      <c r="AE55" s="169">
        <f>AE42-AE49</f>
        <v>19.000000000000114</v>
      </c>
      <c r="AF55" s="79" t="str">
        <f>IF(ISERROR((AE55/W55-1)*100),"NA",IF(((AE55/W55-1)*100)&gt;100,"NM",IF(((AE55/W55-1)*100)&lt;-50,"NM",(AE55/W55-1)*100)))</f>
        <v>NA</v>
      </c>
      <c r="AG55" s="169">
        <f>AG42-AG49</f>
        <v>16.700000000000045</v>
      </c>
      <c r="AH55" s="79" t="str">
        <f>IF(ISERROR((AG55/Y55-1)*100),"NA",IF(((AG55/Y55-1)*100)&gt;100,"NM",IF(((AG55/Y55-1)*100)&lt;-50,"NM",(AG55/Y55-1)*100)))</f>
        <v>NA</v>
      </c>
      <c r="AI55" s="169">
        <f>AI42-AI49</f>
        <v>-88.600000000000136</v>
      </c>
      <c r="AJ55" s="79" t="str">
        <f>IF(ISERROR((AI55/AA55-1)*100),"NA",IF(((AI55/AA55-1)*100)&gt;100,"NM",IF(((AI55/AA55-1)*100)&lt;-50,"NM",(AI55/AA55-1)*100)))</f>
        <v>NA</v>
      </c>
      <c r="AK55" s="169">
        <f>AK42-AK49</f>
        <v>3.5000000000003411</v>
      </c>
      <c r="AL55" s="79" t="str">
        <f>IF(ISERROR((AK55/AC55-1)*100),"NA",IF(((AK55/AC55-1)*100)&gt;100,"NM",IF(((AK55/AC55-1)*100)&lt;-50,"NM",(AK55/AC55-1)*100)))</f>
        <v>NM</v>
      </c>
      <c r="AM55" s="169">
        <f>AM42-AM49</f>
        <v>20.099999999999795</v>
      </c>
      <c r="AN55" s="79">
        <f>IF(ISERROR((AM55/AE55-1)*100),"NA",IF(((AM55/AE55-1)*100)&gt;100,"NM",IF(((AM55/AE55-1)*100)&lt;-50,"NM",(AM55/AE55-1)*100)))</f>
        <v>5.7894736842088124</v>
      </c>
      <c r="AO55" s="169">
        <f>AO42-AO49</f>
        <v>31.199999999999932</v>
      </c>
      <c r="AP55" s="79">
        <f>IF(ISERROR((AO55/AG55-1)*100),"NA",IF(((AO55/AG55-1)*100)&gt;100,"NM",IF(((AO55/AG55-1)*100)&lt;-50,"NM",(AO55/AG55-1)*100)))</f>
        <v>86.826347305388296</v>
      </c>
      <c r="AQ55" s="169">
        <f>AQ42-AQ49</f>
        <v>13.599999999999909</v>
      </c>
      <c r="AR55" s="79" t="str">
        <f>IF(ISERROR((AQ55/AI55-1)*100),"NA",IF(((AQ55/AI55-1)*100)&gt;100,"NM",IF(((AQ55/AI55-1)*100)&lt;-50,"NM",(AQ55/AI55-1)*100)))</f>
        <v>NM</v>
      </c>
      <c r="AS55" s="169">
        <f>AS42-AS49</f>
        <v>1.1999999999998181</v>
      </c>
      <c r="AT55" s="81" t="str">
        <f>IF(ISERROR((AS55/AK55-1)*100),"NA",IF(((AS55/AK55-1)*100)&gt;100,"NM",IF(((AS55/AK55-1)*100)&lt;-50,"NM",(AS55/AK55-1)*100)))</f>
        <v>NM</v>
      </c>
      <c r="AU55" s="169">
        <f>AU42-AU49</f>
        <v>10.399999999999864</v>
      </c>
      <c r="AV55" s="81">
        <f>IF(ISERROR((AU55/AM55-1)*100),"NA",IF(((AU55/AM55-1)*100)&gt;100,"NM",IF(((AU55/AM55-1)*100)&lt;-50,"NM",(AU55/AM55-1)*100)))</f>
        <v>-48.258706467661838</v>
      </c>
      <c r="AW55" s="169">
        <f>AW42-AW49</f>
        <v>16.400000000000091</v>
      </c>
      <c r="AX55" s="81">
        <f>IF(ISERROR((AW55/AO55-1)*100),"NA",IF(((AW55/AO55-1)*100)&gt;100,"NM",IF(((AW55/AO55-1)*100)&lt;-50,"NM",(AW55/AO55-1)*100)))</f>
        <v>-47.435897435897033</v>
      </c>
      <c r="AY55" s="169">
        <f>AY42-AY49</f>
        <v>35.100000000000023</v>
      </c>
      <c r="AZ55" s="81" t="str">
        <f>IF(ISERROR((AY55/AQ55-1)*100),"NA",IF(((AY55/AQ55-1)*100)&gt;100,"NM",IF(((AY55/AQ55-1)*100)&lt;-50,"NM",(AY55/AQ55-1)*100)))</f>
        <v>NM</v>
      </c>
      <c r="BA55" s="169">
        <f>BA42-BA49</f>
        <v>29.700000000000045</v>
      </c>
      <c r="BB55" s="81" t="str">
        <f>IF(ISERROR((BA55/AS55-1)*100),"NA",IF(((BA55/AS55-1)*100)&gt;100,"NM",IF(((BA55/AS55-1)*100)&lt;-50,"NM",(BA55/AS55-1)*100)))</f>
        <v>NM</v>
      </c>
      <c r="BC55" s="169">
        <f>BC42-BC49</f>
        <v>51.899999999999977</v>
      </c>
      <c r="BD55" s="81" t="str">
        <f>IF(ISERROR((BC55/AU55-1)*100),"NA",IF(((BC55/AU55-1)*100)&gt;100,"NM",IF(((BC55/AU55-1)*100)&lt;-50,"NM",(BC55/AU55-1)*100)))</f>
        <v>NM</v>
      </c>
      <c r="BE55" s="169">
        <f>BE42-BE49</f>
        <v>51.499999999999886</v>
      </c>
      <c r="BF55" s="81" t="str">
        <f>IF(ISERROR((BE55/AW55-1)*100),"NA",IF(((BE55/AW55-1)*100)&gt;100,"NM",IF(((BE55/AW55-1)*100)&lt;-50,"NM",(BE55/AW55-1)*100)))</f>
        <v>NM</v>
      </c>
      <c r="BG55" s="169">
        <f>BG42-BG49</f>
        <v>43.200000000000045</v>
      </c>
      <c r="BH55" s="81">
        <f>IF(ISERROR((BG55/AY55-1)*100),"NA",IF(((BG55/AY55-1)*100)&gt;100,"NM",IF(((BG55/AY55-1)*100)&lt;-50,"NM",(BG55/AY55-1)*100)))</f>
        <v>23.07692307692313</v>
      </c>
      <c r="BI55" s="169">
        <f>BI42-BI49</f>
        <v>40.100000000000023</v>
      </c>
      <c r="BJ55" s="81">
        <f>IF(ISERROR((BI55/BA55-1)*100),"NA",IF(((BI55/BA55-1)*100)&gt;100,"NM",IF(((BI55/BA55-1)*100)&lt;-50,"NM",(BI55/BA55-1)*100)))</f>
        <v>35.016835016834882</v>
      </c>
      <c r="BK55" s="169">
        <f>BK42-BK49</f>
        <v>46.999999999999886</v>
      </c>
      <c r="BL55" s="81">
        <f>IF(ISERROR((BK55/BC55-1)*100),"NA",IF(((BK55/BC55-1)*100)&gt;100,"NM",IF(((BK55/BC55-1)*100)&lt;-50,"NM",(BK55/BC55-1)*100)))</f>
        <v>-9.4412331406552816</v>
      </c>
      <c r="BM55" s="169">
        <f>BM42-BM49</f>
        <v>54.599999999999909</v>
      </c>
      <c r="BN55" s="81">
        <f>IF(ISERROR((BM55/BE55-1)*100),"NA",IF(((BM55/BE55-1)*100)&gt;100,"NM",IF(((BM55/BE55-1)*100)&lt;-50,"NM",(BM55/BE55-1)*100)))</f>
        <v>6.019417475728206</v>
      </c>
      <c r="BO55" s="169">
        <f>BO42-BO49</f>
        <v>59.700000000000159</v>
      </c>
      <c r="BP55" s="81">
        <f>IF(ISERROR((BO55/BG55-1)*100),"NA",IF(((BO55/BG55-1)*100)&gt;100,"NM",IF(((BO55/BG55-1)*100)&lt;-50,"NM",(BO55/BG55-1)*100)))</f>
        <v>38.194444444444663</v>
      </c>
      <c r="BQ55" s="169">
        <f>BQ42-BQ49</f>
        <v>57.699999999999932</v>
      </c>
      <c r="BR55" s="81">
        <f>IF(ISERROR((BQ55/BI55-1)*100),"NA",IF(((BQ55/BI55-1)*100)&gt;100,"NM",IF(((BQ55/BI55-1)*100)&lt;-50,"NM",(BQ55/BI55-1)*100)))</f>
        <v>43.890274314214217</v>
      </c>
      <c r="BS55" s="169">
        <f>BS42-BS49</f>
        <v>68.300000000000068</v>
      </c>
      <c r="BT55" s="81">
        <f>IF(ISERROR((BS55/BK55-1)*100),"NA",IF(((BS55/BK55-1)*100)&gt;100,"NM",IF(((BS55/BK55-1)*100)&lt;-50,"NM",(BS55/BK55-1)*100)))</f>
        <v>45.319148936170706</v>
      </c>
      <c r="BU55" s="169">
        <f>BU42-BU49</f>
        <v>75</v>
      </c>
      <c r="BV55" s="81">
        <f>IF(ISERROR((BU55/BM55-1)*100),"NA",IF(((BU55/BM55-1)*100)&gt;100,"NM",IF(((BU55/BM55-1)*100)&lt;-50,"NM",(BU55/BM55-1)*100)))</f>
        <v>37.362637362637585</v>
      </c>
      <c r="BW55" s="169">
        <f>BW42-BW49</f>
        <v>72.599999999999909</v>
      </c>
      <c r="BX55" s="81">
        <f>IF(ISERROR((BW55/BO55-1)*100),"NA",IF(((BW55/BO55-1)*100)&gt;100,"NM",IF(((BW55/BO55-1)*100)&lt;-50,"NM",(BW55/BO55-1)*100)))</f>
        <v>21.608040201004552</v>
      </c>
      <c r="BY55" s="169">
        <f>BY42-BY49</f>
        <v>75.799999999999955</v>
      </c>
      <c r="BZ55" s="81">
        <f>IF(ISERROR((BY55/BQ55-1)*100),"NA",IF(((BY55/BQ55-1)*100)&gt;100,"NM",IF(((BY55/BQ55-1)*100)&lt;-50,"NM",(BY55/BQ55-1)*100)))</f>
        <v>31.369150779896081</v>
      </c>
      <c r="CA55" s="169">
        <f>CA42-CA49</f>
        <v>84.700000000000045</v>
      </c>
      <c r="CB55" s="81">
        <f>IF(ISERROR((CA55/BS55-1)*100),"NA",IF(((CA55/BS55-1)*100)&gt;100,"NM",IF(((CA55/BS55-1)*100)&lt;-50,"NM",(CA55/BS55-1)*100)))</f>
        <v>24.011713030746652</v>
      </c>
      <c r="CC55" s="169">
        <f>CC42-CC49</f>
        <v>78.5</v>
      </c>
      <c r="CD55" s="81">
        <f>IF(ISERROR((CC55/BU55-1)*100),"NA",IF(((CC55/BU55-1)*100)&gt;100,"NM",IF(((CC55/BU55-1)*100)&lt;-50,"NM",(CC55/BU55-1)*100)))</f>
        <v>4.6666666666666634</v>
      </c>
      <c r="CE55" s="169">
        <f>CE42-CE49</f>
        <v>78.200000000000045</v>
      </c>
      <c r="CF55" s="81">
        <f>IF(ISERROR((CE55/BW55-1)*100),"NA",IF(((CE55/BW55-1)*100)&gt;100,"NM",IF(((CE55/BW55-1)*100)&lt;-50,"NM",(CE55/BW55-1)*100)))</f>
        <v>7.7134986225897206</v>
      </c>
      <c r="CG55" s="169">
        <f>CG42-CG49</f>
        <v>73.800000000000068</v>
      </c>
      <c r="CH55" s="81">
        <f>IF(ISERROR((CG55/BY55-1)*100),"NA",IF(((CG55/BY55-1)*100)&gt;100,"NM",IF(((CG55/BY55-1)*100)&lt;-50,"NM",(CG55/BY55-1)*100)))</f>
        <v>-2.6385224274404817</v>
      </c>
      <c r="CI55" s="169">
        <f>CI42-CI49</f>
        <v>78.699999999999932</v>
      </c>
      <c r="CJ55" s="81">
        <f>IF(ISERROR((CI55/CA55-1)*100),"NA",IF(((CI55/CA55-1)*100)&gt;100,"NM",IF(((CI55/CA55-1)*100)&lt;-50,"NM",(CI55/CA55-1)*100)))</f>
        <v>-7.083825265643573</v>
      </c>
      <c r="CK55" s="169">
        <f>CK42-CK49</f>
        <v>72.700000000000045</v>
      </c>
      <c r="CL55" s="81">
        <f>IF(ISERROR((CK55/CC55-1)*100),"NA",IF(((CK55/CC55-1)*100)&gt;100,"NM",IF(((CK55/CC55-1)*100)&lt;-50,"NM",(CK55/CC55-1)*100)))</f>
        <v>-7.3885350318470771</v>
      </c>
      <c r="CM55" s="169">
        <f>CM42-CM49</f>
        <v>77.100000000000023</v>
      </c>
      <c r="CN55" s="81">
        <f>IF(ISERROR((CM55/CE55-1)*100),"NA",IF(((CM55/CE55-1)*100)&gt;100,"NM",IF(((CM55/CE55-1)*100)&lt;-50,"NM",(CM55/CE55-1)*100)))</f>
        <v>-1.4066496163683162</v>
      </c>
      <c r="CO55" s="169">
        <f>CO42-CO49</f>
        <v>74.700000000000045</v>
      </c>
      <c r="CP55" s="81">
        <f>IF(ISERROR((CO55/CG55-1)*100),"NA",IF(((CO55/CG55-1)*100)&gt;100,"NM",IF(((CO55/CG55-1)*100)&lt;-50,"NM",(CO55/CG55-1)*100)))</f>
        <v>1.2195121951219301</v>
      </c>
      <c r="CQ55" s="169">
        <f>CQ42-CQ49</f>
        <v>70.399999999999977</v>
      </c>
      <c r="CR55" s="81">
        <f>IF(ISERROR((CQ55/CI55-1)*100),"NA",IF(((CQ55/CI55-1)*100)&gt;100,"NM",IF(((CQ55/CI55-1)*100)&lt;-50,"NM",(CQ55/CI55-1)*100)))</f>
        <v>-10.546378653113042</v>
      </c>
      <c r="CS55" s="169">
        <f>CS42-CS49</f>
        <v>74.5</v>
      </c>
      <c r="CT55" s="81">
        <f>IF(ISERROR((CS55/CK55-1)*100),"NA",IF(((CS55/CK55-1)*100)&gt;100,"NM",IF(((CS55/CK55-1)*100)&lt;-50,"NM",(CS55/CK55-1)*100)))</f>
        <v>2.475928473177369</v>
      </c>
      <c r="CU55" s="169">
        <f>CU42-CU49</f>
        <v>73.5</v>
      </c>
      <c r="CV55" s="81">
        <f>IF(ISERROR((CU55/CM55-1)*100),"NA",IF(((CU55/CM55-1)*100)&gt;100,"NM",IF(((CU55/CM55-1)*100)&lt;-50,"NM",(CU55/CM55-1)*100)))</f>
        <v>-4.6692607003891329</v>
      </c>
      <c r="CW55" s="169">
        <f>CW42-CW49</f>
        <v>77.199999999999932</v>
      </c>
      <c r="CX55" s="81">
        <f>IF(ISERROR((CW55/CO55-1)*100),"NA",IF(((CW55/CO55-1)*100)&gt;100,"NM",IF(((CW55/CO55-1)*100)&lt;-50,"NM",(CW55/CO55-1)*100)))</f>
        <v>3.3467202141899355</v>
      </c>
      <c r="CY55" s="169">
        <f>CY42-CY49</f>
        <v>72</v>
      </c>
      <c r="CZ55" s="81">
        <f>IF(ISERROR((CY55/CQ55-1)*100),"NA",IF(((CY55/CQ55-1)*100)&gt;100,"NM",IF(((CY55/CQ55-1)*100)&lt;-50,"NM",(CY55/CQ55-1)*100)))</f>
        <v>2.2727272727273151</v>
      </c>
      <c r="DA55" s="169">
        <f>DA42-DA49</f>
        <v>77.899999999999977</v>
      </c>
      <c r="DB55" s="81">
        <f>IF(ISERROR((DA55/CS55-1)*100),"NA",IF(((DA55/CS55-1)*100)&gt;100,"NM",IF(((DA55/CS55-1)*100)&lt;-50,"NM",(DA55/CS55-1)*100)))</f>
        <v>4.5637583892617073</v>
      </c>
      <c r="DC55" s="169">
        <f>DC42-DC49</f>
        <v>68.600000000000023</v>
      </c>
      <c r="DD55" s="81">
        <f>IF(ISERROR((DC55/CU55-1)*100),"NA",IF(((DC55/CU55-1)*100)&gt;100,"NM",IF(((DC55/CU55-1)*100)&lt;-50,"NM",(DC55/CU55-1)*100)))</f>
        <v>-6.6666666666666323</v>
      </c>
      <c r="DE55" s="169">
        <f>DE42-DE49</f>
        <v>67.599999999999909</v>
      </c>
      <c r="DF55" s="81">
        <f>IF(ISERROR((DE55/CW55-1)*100),"NA",IF(((DE55/CW55-1)*100)&gt;100,"NM",IF(((DE55/CW55-1)*100)&lt;-50,"NM",(DE55/CW55-1)*100)))</f>
        <v>-12.435233160621806</v>
      </c>
      <c r="DG55" s="169">
        <f>DG42-DG49</f>
        <v>72.699999999999932</v>
      </c>
      <c r="DH55" s="81">
        <f>IF(ISERROR((DG55/CY55-1)*100),"NA",IF(((DG55/CY55-1)*100)&gt;100,"NM",IF(((DG55/CY55-1)*100)&lt;-50,"NM",(DG55/CY55-1)*100)))</f>
        <v>0.97222222222212995</v>
      </c>
      <c r="DI55" s="169">
        <f>DI42-DI49</f>
        <v>68.600000000000023</v>
      </c>
      <c r="DJ55" s="81">
        <f>IF(ISERROR((DI55/DA55-1)*100),"NA",IF(((DI55/DA55-1)*100)&gt;100,"NM",IF(((DI55/DA55-1)*100)&lt;-50,"NM",(DI55/DA55-1)*100)))</f>
        <v>-11.938382541720093</v>
      </c>
      <c r="DK55" s="169">
        <f>DK42-DK49</f>
        <v>65.899999999999977</v>
      </c>
      <c r="DL55" s="81">
        <f>IF(ISERROR((DK55/DC55-1)*100),"NA",IF(((DK55/DC55-1)*100)&gt;100,"NM",IF(((DK55/DC55-1)*100)&lt;-50,"NM",(DK55/DC55-1)*100)))</f>
        <v>-3.9358600583091041</v>
      </c>
      <c r="DM55" s="169">
        <f>DM42-DM49</f>
        <v>74.300000000000068</v>
      </c>
      <c r="DN55" s="81">
        <f>IF(ISERROR((DM55/DE55-1)*100),"NA",IF(((DM55/DE55-1)*100)&gt;100,"NM",IF(((DM55/DE55-1)*100)&lt;-50,"NM",(DM55/DE55-1)*100)))</f>
        <v>9.9112426035505408</v>
      </c>
      <c r="DO55" s="169">
        <f>DO42-DO49</f>
        <v>61.200000000000045</v>
      </c>
      <c r="DP55" s="81">
        <f>IF(ISERROR((DO55/DG55-1)*100),"NA",IF(((DO55/DG55-1)*100)&gt;100,"NM",IF(((DO55/DG55-1)*100)&lt;-50,"NM",(DO55/DG55-1)*100)))</f>
        <v>-15.818431911966846</v>
      </c>
      <c r="DQ55" s="169">
        <f>DQ42-DQ49</f>
        <v>70.800000000000068</v>
      </c>
      <c r="DR55" s="81">
        <f>IF(ISERROR((DQ55/DI55-1)*100),"NA",IF(((DQ55/DI55-1)*100)&gt;100,"NM",IF(((DQ55/DI55-1)*100)&lt;-50,"NM",(DQ55/DI55-1)*100)))</f>
        <v>3.2069970845481688</v>
      </c>
      <c r="DS55" s="169">
        <f>DS42-DS49</f>
        <v>66.100000000000023</v>
      </c>
      <c r="DT55" s="81">
        <f>IF(ISERROR((DS55/DK55-1)*100),"NA",IF(((DS55/DK55-1)*100)&gt;100,"NM",IF(((DS55/DK55-1)*100)&lt;-50,"NM",(DS55/DK55-1)*100)))</f>
        <v>0.30349013657062773</v>
      </c>
      <c r="DU55" s="169">
        <f>DU42-DU49</f>
        <v>70.399999999999864</v>
      </c>
      <c r="DV55" s="81">
        <f>IF(ISERROR((DU55/DM55-1)*100),"NA",IF(((DU55/DM55-1)*100)&gt;100,"NM",IF(((DU55/DM55-1)*100)&lt;-50,"NM",(DU55/DM55-1)*100)))</f>
        <v>-5.2489905787351248</v>
      </c>
      <c r="DW55" s="169">
        <f>DW42-DW49</f>
        <v>74.399999999999977</v>
      </c>
      <c r="DX55" s="81">
        <f>IF(ISERROR((DW55/DO55-1)*100),"NA",IF(((DW55/DO55-1)*100)&gt;100,"NM",IF(((DW55/DO55-1)*100)&lt;-50,"NM",(DW55/DO55-1)*100)))</f>
        <v>21.568627450980273</v>
      </c>
      <c r="DY55" s="169">
        <f>DY42-DY49</f>
        <v>85.400000000000091</v>
      </c>
      <c r="DZ55" s="81">
        <f>IF(ISERROR((DY55/DQ55-1)*100),"NA",IF(((DY55/DQ55-1)*100)&gt;100,"NM",IF(((DY55/DQ55-1)*100)&lt;-50,"NM",(DY55/DQ55-1)*100)))</f>
        <v>20.621468926553675</v>
      </c>
      <c r="EA55" s="169">
        <f>EA42-EA49</f>
        <v>89.499999999999886</v>
      </c>
      <c r="EB55" s="81">
        <f>IF(ISERROR((EA55/DS55-1)*100),"NA",IF(((EA55/DS55-1)*100)&gt;100,"NM",IF(((EA55/DS55-1)*100)&lt;-50,"NM",(EA55/DS55-1)*100)))</f>
        <v>35.400907715582242</v>
      </c>
      <c r="EC55" s="169">
        <f>EC42-EC49</f>
        <v>88.699999999999932</v>
      </c>
      <c r="ED55" s="81">
        <f t="shared" ref="ED55:ED56" si="267">IF(ISERROR((EC55/DU55-1)*100),"NA",IF(((EC55/DU55-1)*100)&gt;100,"NM",IF(((EC55/DU55-1)*100)&lt;-50,"NM",(EC55/DU55-1)*100)))</f>
        <v>25.994318181818322</v>
      </c>
      <c r="EE55" s="169">
        <f>EE42-EE49</f>
        <v>92.400000000000091</v>
      </c>
      <c r="EF55" s="81">
        <f t="shared" ref="EF55:EF56" si="268">IF(ISERROR((EE55/DW55-1)*100),"NA",IF(((EE55/DW55-1)*100)&gt;100,"NM",IF(((EE55/DW55-1)*100)&lt;-50,"NM",(EE55/DW55-1)*100)))</f>
        <v>24.193548387096932</v>
      </c>
      <c r="EG55" s="169">
        <f>EG42-EG49</f>
        <v>89.999999999999886</v>
      </c>
      <c r="EH55" s="81">
        <f t="shared" ref="EH55:EH56" si="269">IF(ISERROR((EG55/DY55-1)*100),"NA",IF(((EG55/DY55-1)*100)&gt;100,"NM",IF(((EG55/DY55-1)*100)&lt;-50,"NM",(EG55/DY55-1)*100)))</f>
        <v>5.3864168618264596</v>
      </c>
      <c r="EI55" s="169">
        <f>EI42-EI49</f>
        <v>86.699999999999932</v>
      </c>
      <c r="EJ55" s="81">
        <f t="shared" ref="EJ55:EJ56" si="270">IF(ISERROR((EI55/EA55-1)*100),"NA",IF(((EI55/EA55-1)*100)&gt;100,"NM",IF(((EI55/EA55-1)*100)&lt;-50,"NM",(EI55/EA55-1)*100)))</f>
        <v>-3.1284916201116841</v>
      </c>
      <c r="EK55" s="169">
        <f t="shared" ref="EK55:EQ55" si="271">EK42-EK49</f>
        <v>89.938064861141925</v>
      </c>
      <c r="EL55" s="81">
        <f t="shared" ref="EL55:EL56" si="272">IF(ISERROR((EK55/EC55-1)*100),"NA",IF(((EK55/EC55-1)*100)&gt;100,"NM",IF(((EK55/EC55-1)*100)&lt;-50,"NM",(EK55/EC55-1)*100)))</f>
        <v>1.3957890204532086</v>
      </c>
      <c r="EM55" s="169">
        <f t="shared" si="271"/>
        <v>90.726812279734759</v>
      </c>
      <c r="EN55" s="81">
        <f t="shared" ref="EN55:EN56" si="273">IF(ISERROR((EM55/EE55-1)*100),"NA",IF(((EM55/EE55-1)*100)&gt;100,"NM",IF(((EM55/EE55-1)*100)&lt;-50,"NM",(EM55/EE55-1)*100)))</f>
        <v>-1.8108092210663784</v>
      </c>
      <c r="EO55" s="169">
        <f t="shared" si="271"/>
        <v>91.341679842858866</v>
      </c>
      <c r="EP55" s="81">
        <f t="shared" ref="EP55:EP56" si="274">IF(ISERROR((EO55/EG55-1)*100),"NA",IF(((EO55/EG55-1)*100)&gt;100,"NM",IF(((EO55/EG55-1)*100)&lt;-50,"NM",(EO55/EG55-1)*100)))</f>
        <v>1.4907553809544227</v>
      </c>
      <c r="EQ55" s="169">
        <f t="shared" si="271"/>
        <v>93.245098932349492</v>
      </c>
      <c r="ER55" s="81">
        <f t="shared" ref="ER55:ER56" si="275">IF(ISERROR((EQ55/EI55-1)*100),"NA",IF(((EQ55/EI55-1)*100)&gt;100,"NM",IF(((EQ55/EI55-1)*100)&lt;-50,"NM",(EQ55/EI55-1)*100)))</f>
        <v>7.5491337166661676</v>
      </c>
      <c r="ES55" s="82"/>
      <c r="ET55" s="469"/>
      <c r="EU55" s="82"/>
      <c r="EV55" s="169"/>
      <c r="EW55" s="79"/>
      <c r="EX55" s="169"/>
      <c r="EY55" s="79"/>
      <c r="EZ55" s="169"/>
      <c r="FA55" s="79"/>
      <c r="FB55" s="169"/>
      <c r="FC55" s="79"/>
      <c r="FD55" s="169">
        <f>FD42-FD49</f>
        <v>289.900000000001</v>
      </c>
      <c r="FE55" s="79" t="str">
        <f>IF(ISERROR((FD55/FB55-1)*100),"NA",IF(((FD55/FB55-1)*100)&gt;100,"NM",IF(((FD55/FB55-1)*100)&lt;-50,"NM",(FD55/FB55-1)*100)))</f>
        <v>NA</v>
      </c>
      <c r="FF55" s="169">
        <f>FF42-FF49</f>
        <v>-869.99999999999955</v>
      </c>
      <c r="FG55" s="79" t="str">
        <f>IF(ISERROR((FF55/FD55-1)*100),"NA",IF(((FF55/FD55-1)*100)&gt;100,"NM",IF(((FF55/FD55-1)*100)&lt;-50,"NM",(FF55/FD55-1)*100)))</f>
        <v>NM</v>
      </c>
      <c r="FH55" s="169">
        <f>FH42-FH49</f>
        <v>-58</v>
      </c>
      <c r="FI55" s="79" t="str">
        <f>IF(ISERROR((FH55/FF55-1)*100),"NA",IF(((FH55/FF55-1)*100)&gt;100,"NM",IF(((FH55/FF55-1)*100)&lt;-50,"NM",(FH55/FF55-1)*100)))</f>
        <v>NM</v>
      </c>
      <c r="FJ55" s="169">
        <f>FJ42-FJ49</f>
        <v>68.400000000000546</v>
      </c>
      <c r="FK55" s="79" t="str">
        <f>IF(ISERROR((FJ55/FH55-1)*100),"NA",IF(((FJ55/FH55-1)*100)&gt;100,"NM",IF(((FJ55/FH55-1)*100)&lt;-50,"NM",(FJ55/FH55-1)*100)))</f>
        <v>NM</v>
      </c>
      <c r="FL55" s="169">
        <f>FL42-FL49</f>
        <v>63.099999999999909</v>
      </c>
      <c r="FM55" s="79">
        <f>IF(ISERROR((FL55/FJ55-1)*100),"NA",IF(((FL55/FJ55-1)*100)&gt;100,"NM",IF(((FL55/FJ55-1)*100)&lt;-50,"NM",(FL55/FJ55-1)*100)))</f>
        <v>-7.7485380116967706</v>
      </c>
      <c r="FN55" s="169">
        <f>FN42-FN49</f>
        <v>176.30000000000018</v>
      </c>
      <c r="FO55" s="79" t="str">
        <f>IF(ISERROR((FN55/FL55-1)*100),"NA",IF(((FN55/FL55-1)*100)&gt;100,"NM",IF(((FN55/FL55-1)*100)&lt;-50,"NM",(FN55/FL55-1)*100)))</f>
        <v>NM</v>
      </c>
      <c r="FP55" s="169">
        <f>FP42-FP49</f>
        <v>201.40000000000009</v>
      </c>
      <c r="FQ55" s="79">
        <f>IF(ISERROR((FP55/FN55-1)*100),"NA",IF(((FP55/FN55-1)*100)&gt;100,"NM",IF(((FP55/FN55-1)*100)&lt;-50,"NM",(FP55/FN55-1)*100)))</f>
        <v>14.237095859330617</v>
      </c>
      <c r="FR55" s="169">
        <f>FR42-FR49</f>
        <v>278.29999999999973</v>
      </c>
      <c r="FS55" s="79">
        <f>IF(ISERROR((FR55/FP55-1)*100),"NA",IF(((FR55/FP55-1)*100)&gt;100,"NM",IF(((FR55/FP55-1)*100)&lt;-50,"NM",(FR55/FP55-1)*100)))</f>
        <v>38.182720953326509</v>
      </c>
      <c r="FT55" s="169">
        <f>FT42-FT49</f>
        <v>317.19999999999936</v>
      </c>
      <c r="FU55" s="79">
        <f>IF(ISERROR((FT55/FR55-1)*100),"NA",IF(((FT55/FR55-1)*100)&gt;100,"NM",IF(((FT55/FR55-1)*100)&lt;-50,"NM",(FT55/FR55-1)*100)))</f>
        <v>13.977721882860106</v>
      </c>
      <c r="FV55" s="169">
        <f>FV42-FV49</f>
        <v>302.30000000000018</v>
      </c>
      <c r="FW55" s="79">
        <f>IF(ISERROR((FV55/FT55-1)*100),"NA",IF(((FV55/FT55-1)*100)&gt;100,"NM",IF(((FV55/FT55-1)*100)&lt;-50,"NM",(FV55/FT55-1)*100)))</f>
        <v>-4.6973518284991194</v>
      </c>
      <c r="FX55" s="169">
        <f>FX42-FX49</f>
        <v>291.79999999999973</v>
      </c>
      <c r="FY55" s="79">
        <f>IF(ISERROR((FX55/FV55-1)*100),"NA",IF(((FX55/FV55-1)*100)&gt;100,"NM",IF(((FX55/FV55-1)*100)&lt;-50,"NM",(FX55/FV55-1)*100)))</f>
        <v>-3.473370823685229</v>
      </c>
      <c r="FZ55" s="169">
        <f>FZ42-FZ49</f>
        <v>295.69999999999982</v>
      </c>
      <c r="GA55" s="79">
        <f>IF(ISERROR((FZ55/FX55-1)*100),"NA",IF(((FZ55/FX55-1)*100)&gt;100,"NM",IF(((FZ55/FX55-1)*100)&lt;-50,"NM",(FZ55/FX55-1)*100)))</f>
        <v>1.3365318711446417</v>
      </c>
      <c r="GB55" s="169">
        <f>GB42-GB49</f>
        <v>274.80000000000018</v>
      </c>
      <c r="GC55" s="79">
        <f>IF(ISERROR((GB55/FZ55-1)*100),"NA",IF(((GB55/FZ55-1)*100)&gt;100,"NM",IF(((GB55/FZ55-1)*100)&lt;-50,"NM",(GB55/FZ55-1)*100)))</f>
        <v>-7.0679742982751588</v>
      </c>
      <c r="GD55" s="169">
        <f>GD42-GD49</f>
        <v>272.40000000000009</v>
      </c>
      <c r="GE55" s="79">
        <f>IF(ISERROR((GD55/GB55-1)*100),"NA",IF(((GD55/GB55-1)*100)&gt;100,"NM",IF(((GD55/GB55-1)*100)&lt;-50,"NM",(GD55/GB55-1)*100)))</f>
        <v>-0.8733624454148825</v>
      </c>
      <c r="GF55" s="169">
        <f>GF42-GF49</f>
        <v>319.70000000000027</v>
      </c>
      <c r="GG55" s="79">
        <f>IF(ISERROR((GF55/GD55-1)*100),"NA",IF(((GF55/GD55-1)*100)&gt;100,"NM",IF(((GF55/GD55-1)*100)&lt;-50,"NM",(GF55/GD55-1)*100)))</f>
        <v>17.36417033773867</v>
      </c>
      <c r="GH55" s="169">
        <f>GH42-GH49</f>
        <v>357.79999999999973</v>
      </c>
      <c r="GI55" s="79">
        <f>IF(ISERROR((GH55/GF55-1)*100),"NA",IF(((GH55/GF55-1)*100)&gt;100,"NM",IF(((GH55/GF55-1)*100)&lt;-50,"NM",(GH55/GF55-1)*100)))</f>
        <v>11.91742258367201</v>
      </c>
      <c r="GJ55" s="169">
        <f>GJ42-GJ49</f>
        <v>365.25165591608538</v>
      </c>
      <c r="GK55" s="79">
        <f>IF(ISERROR((GJ55/GH55-1)*100),"NA",IF(((GJ55/GH55-1)*100)&gt;100,"NM",IF(((GJ55/GH55-1)*100)&lt;-50,"NM",(GJ55/GH55-1)*100)))</f>
        <v>2.0826316143336188</v>
      </c>
      <c r="GL55" s="169">
        <f>GL42-GL49</f>
        <v>374.3973455964051</v>
      </c>
      <c r="GM55" s="79">
        <f>IF(ISERROR((GL55/GJ55-1)*100),"NA",IF(((GL55/GJ55-1)*100)&gt;100,"NM",IF(((GL55/GJ55-1)*100)&lt;-50,"NM",(GL55/GJ55-1)*100)))</f>
        <v>2.5039420170132942</v>
      </c>
      <c r="GN55" s="169">
        <f>GN42-GN49</f>
        <v>383.9427207232352</v>
      </c>
      <c r="GO55" s="79">
        <f>IF(ISERROR((GN55/GL55-1)*100),"NA",IF(((GN55/GL55-1)*100)&gt;100,"NM",IF(((GN55/GL55-1)*100)&lt;-50,"NM",(GN55/GL55-1)*100)))</f>
        <v>2.5495306628375181</v>
      </c>
      <c r="GP55" s="169">
        <f>GP42-GP49</f>
        <v>393.89341677023685</v>
      </c>
      <c r="GQ55" s="79">
        <f>IF(ISERROR((GP55/GN55-1)*100),"NA",IF(((GP55/GN55-1)*100)&gt;100,"NM",IF(((GP55/GN55-1)*100)&lt;-50,"NM",(GP55/GN55-1)*100)))</f>
        <v>2.5917136879838321</v>
      </c>
      <c r="GR55" s="169">
        <f>GR42-GR49</f>
        <v>404.25685154490748</v>
      </c>
      <c r="GS55" s="79">
        <f>IF(ISERROR((GR55/GP55-1)*100),"NA",IF(((GR55/GP55-1)*100)&gt;100,"NM",IF(((GR55/GP55-1)*100)&lt;-50,"NM",(GR55/GP55-1)*100)))</f>
        <v>2.6310251284843655</v>
      </c>
      <c r="GT55" s="79">
        <f>IF(ISERROR(((GR55/GH55)^0.2-1)*100),"NA",(IF(OR(((GR55/GH55)^0.2-1)*100&gt;99,((GR55/GH55)^0.2-1)*100&lt;-50),"NM",(((GR55/GH55)^0.2-1)*100))))</f>
        <v>2.4715748100562429</v>
      </c>
      <c r="GU55" s="562"/>
      <c r="GV55" s="562"/>
      <c r="GW55"/>
      <c r="GX55"/>
      <c r="GY55"/>
      <c r="GZ55"/>
      <c r="HA55"/>
      <c r="HB55"/>
      <c r="HC55" s="562"/>
      <c r="HD55" s="562"/>
      <c r="HE55" s="562"/>
      <c r="HF55" s="562"/>
      <c r="HG55" s="562"/>
      <c r="HH55" s="562"/>
      <c r="HI55" s="562"/>
      <c r="HJ55" s="562"/>
      <c r="HK55" s="562"/>
      <c r="HL55" s="562"/>
      <c r="HM55" s="562"/>
      <c r="HN55" s="562"/>
      <c r="HO55" s="562"/>
      <c r="HP55" s="562"/>
      <c r="HQ55" s="562"/>
      <c r="HR55" s="562"/>
      <c r="HS55" s="562"/>
      <c r="HT55" s="562"/>
      <c r="HU55" s="562"/>
      <c r="HV55" s="562"/>
      <c r="HW55" s="562"/>
      <c r="HX55" s="562"/>
      <c r="HY55" s="562"/>
      <c r="HZ55" s="562"/>
      <c r="IA55" s="562"/>
      <c r="IB55" s="562"/>
      <c r="IC55" s="562"/>
      <c r="ID55" s="562"/>
      <c r="IE55" s="562"/>
      <c r="IF55" s="562"/>
      <c r="IG55" s="562"/>
      <c r="IH55" s="562"/>
      <c r="II55" s="562"/>
      <c r="IJ55" s="562"/>
      <c r="IK55" s="562"/>
      <c r="IL55" s="562"/>
      <c r="IM55" s="562"/>
      <c r="IN55" s="562"/>
      <c r="IO55" s="562"/>
      <c r="IP55" s="562"/>
      <c r="IQ55" s="562"/>
      <c r="IR55" s="562"/>
      <c r="IS55" s="562"/>
      <c r="IT55" s="562"/>
      <c r="IU55" s="562"/>
      <c r="IV55" s="562"/>
      <c r="IW55" s="562"/>
      <c r="IX55" s="562"/>
      <c r="IY55" s="562"/>
      <c r="IZ55" s="562"/>
      <c r="JA55" s="562"/>
      <c r="JB55" s="562"/>
      <c r="JC55" s="562"/>
      <c r="JD55" s="562"/>
      <c r="JE55" s="562"/>
      <c r="JF55" s="562"/>
      <c r="JG55" s="562"/>
      <c r="JH55" s="562"/>
      <c r="JI55" s="562"/>
      <c r="JJ55" s="562"/>
      <c r="JK55" s="562"/>
      <c r="JL55" s="562"/>
      <c r="JM55" s="562"/>
      <c r="JN55" s="562"/>
      <c r="JO55" s="562"/>
      <c r="JP55" s="562"/>
      <c r="JQ55" s="562"/>
      <c r="JR55" s="562"/>
      <c r="JS55" s="562"/>
      <c r="JT55" s="562"/>
      <c r="JU55" s="562"/>
      <c r="JV55" s="562"/>
      <c r="JW55" s="562"/>
      <c r="JX55" s="562"/>
      <c r="JY55" s="562"/>
      <c r="JZ55" s="562"/>
    </row>
    <row r="56" spans="1:286" ht="12.75" customHeight="1" x14ac:dyDescent="0.2">
      <c r="A56" s="1"/>
      <c r="B56" s="2" t="s">
        <v>55</v>
      </c>
      <c r="C56" s="79"/>
      <c r="D56" s="79"/>
      <c r="E56" s="171"/>
      <c r="F56" s="171"/>
      <c r="G56" s="171"/>
      <c r="H56" s="171"/>
      <c r="I56" s="171"/>
      <c r="J56" s="171"/>
      <c r="K56" s="171"/>
      <c r="L56" s="79"/>
      <c r="M56" s="171"/>
      <c r="N56" s="79"/>
      <c r="O56" s="171"/>
      <c r="P56" s="79"/>
      <c r="Q56" s="171"/>
      <c r="R56" s="79"/>
      <c r="S56" s="171"/>
      <c r="T56" s="79"/>
      <c r="U56" s="171"/>
      <c r="V56" s="79"/>
      <c r="W56" s="171"/>
      <c r="X56" s="79"/>
      <c r="Y56" s="171"/>
      <c r="Z56" s="79"/>
      <c r="AA56" s="172"/>
      <c r="AB56" s="79"/>
      <c r="AC56" s="171">
        <f>+AC55/AC42*100</f>
        <v>-0.61705989110706705</v>
      </c>
      <c r="AD56" s="79" t="str">
        <f>IF(ISERROR((AC56/U56-1)*100),"NA",IF(((AC56/U56-1)*100)&gt;100,"NM",IF(((AC56/U56-1)*100)&lt;-50,"NM",(AC56/U56-1)*100)))</f>
        <v>NA</v>
      </c>
      <c r="AE56" s="171">
        <f>+AE55/AE42*100</f>
        <v>2.2864019253911088</v>
      </c>
      <c r="AF56" s="79" t="str">
        <f>IF(ISERROR((AE56/W56-1)*100),"NA",IF(((AE56/W56-1)*100)&gt;100,"NM",IF(((AE56/W56-1)*100)&lt;-50,"NM",(AE56/W56-1)*100)))</f>
        <v>NA</v>
      </c>
      <c r="AG56" s="171">
        <f>+AG55/AG42*100</f>
        <v>2.0289150771473747</v>
      </c>
      <c r="AH56" s="79" t="str">
        <f>IF(ISERROR((AG56/Y56-1)*100),"NA",IF(((AG56/Y56-1)*100)&gt;100,"NM",IF(((AG56/Y56-1)*100)&lt;-50,"NM",(AG56/Y56-1)*100)))</f>
        <v>NA</v>
      </c>
      <c r="AI56" s="171">
        <f>+AI55/AI42*100</f>
        <v>-10.681133212778802</v>
      </c>
      <c r="AJ56" s="79" t="str">
        <f>IF(ISERROR((AI56/AA56-1)*100),"NA",IF(((AI56/AA56-1)*100)&gt;100,"NM",IF(((AI56/AA56-1)*100)&lt;-50,"NM",(AI56/AA56-1)*100)))</f>
        <v>NA</v>
      </c>
      <c r="AK56" s="171">
        <f>+AK55/AK42*100</f>
        <v>0.43505282784342336</v>
      </c>
      <c r="AL56" s="79" t="str">
        <f>IF(ISERROR((AK56/AC56-1)*100),"NA",IF(((AK56/AC56-1)*100)&gt;100,"NM",IF(((AK56/AC56-1)*100)&lt;-50,"NM",(AK56/AC56-1)*100)))</f>
        <v>NM</v>
      </c>
      <c r="AM56" s="171">
        <f>+AM55/AM42*100</f>
        <v>2.487623762376213</v>
      </c>
      <c r="AN56" s="79">
        <f>IF(ISERROR((AM56/AE56-1)*100),"NA",IF(((AM56/AE56-1)*100)&gt;100,"NM",IF(((AM56/AE56-1)*100)&lt;-50,"NM",(AM56/AE56-1)*100)))</f>
        <v>8.8008077123484583</v>
      </c>
      <c r="AO56" s="171">
        <f>+AO55/AO42*100</f>
        <v>3.9092845508081604</v>
      </c>
      <c r="AP56" s="79">
        <f>IF(ISERROR((AO56/AG56-1)*100),"NA",IF(((AO56/AG56-1)*100)&gt;100,"NM",IF(((AO56/AG56-1)*100)&lt;-50,"NM",(AO56/AG56-1)*100)))</f>
        <v>92.678569686837648</v>
      </c>
      <c r="AQ56" s="171">
        <f>+AQ55/AQ42*100</f>
        <v>1.6930163077306</v>
      </c>
      <c r="AR56" s="79" t="str">
        <f>IF(ISERROR((AQ56/AI56-1)*100),"NA",IF(((AQ56/AI56-1)*100)&gt;100,"NM",IF(((AQ56/AI56-1)*100)&lt;-50,"NM",(AQ56/AI56-1)*100)))</f>
        <v>NM</v>
      </c>
      <c r="AS56" s="171">
        <f>+AS55/AS42*100</f>
        <v>0.15140045420133966</v>
      </c>
      <c r="AT56" s="81" t="str">
        <f>IF(ISERROR((AS56/AK56-1)*100),"NA",IF(((AS56/AK56-1)*100)&gt;100,"NM",IF(((AS56/AK56-1)*100)&lt;-50,"NM",(AS56/AK56-1)*100)))</f>
        <v>NM</v>
      </c>
      <c r="AU56" s="171">
        <f>+AU55/AU42*100</f>
        <v>1.3081761006289137</v>
      </c>
      <c r="AV56" s="81">
        <f>IF(ISERROR((AU56/AM56-1)*100),"NA",IF(((AU56/AM56-1)*100)&gt;100,"NM",IF(((AU56/AM56-1)*100)&lt;-50,"NM",(AU56/AM56-1)*100)))</f>
        <v>-47.412622422478968</v>
      </c>
      <c r="AW56" s="171">
        <f>+AW55/AW42*100</f>
        <v>2.0865139949109528</v>
      </c>
      <c r="AX56" s="81">
        <f>IF(ISERROR((AW56/AO56-1)*100),"NA",IF(((AW56/AO56-1)*100)&gt;100,"NM",IF(((AW56/AO56-1)*100)&lt;-50,"NM",(AW56/AO56-1)*100)))</f>
        <v>-46.62670450838349</v>
      </c>
      <c r="AY56" s="171">
        <f>+AY55/AY42*100</f>
        <v>4.3115096425500576</v>
      </c>
      <c r="AZ56" s="81" t="str">
        <f>IF(ISERROR((AY56/AQ56-1)*100),"NA",IF(((AY56/AQ56-1)*100)&gt;100,"NM",IF(((AY56/AQ56-1)*100)&lt;-50,"NM",(AY56/AQ56-1)*100)))</f>
        <v>NM</v>
      </c>
      <c r="BA56" s="171">
        <f>+BA55/BA42*100</f>
        <v>3.8406827880512147</v>
      </c>
      <c r="BB56" s="81" t="str">
        <f>IF(ISERROR((BA56/AS56-1)*100),"NA",IF(((BA56/AS56-1)*100)&gt;100,"NM",IF(((BA56/AS56-1)*100)&lt;-50,"NM",(BA56/AS56-1)*100)))</f>
        <v>NM</v>
      </c>
      <c r="BC56" s="171">
        <f>+BC55/BC42*100</f>
        <v>6.4697083021690318</v>
      </c>
      <c r="BD56" s="81" t="str">
        <f>IF(ISERROR((BC56/AU56-1)*100),"NA",IF(((BC56/AU56-1)*100)&gt;100,"NM",IF(((BC56/AU56-1)*100)&lt;-50,"NM",(BC56/AU56-1)*100)))</f>
        <v>NM</v>
      </c>
      <c r="BE56" s="171">
        <f>+BE55/BE42*100</f>
        <v>6.5941101152368624</v>
      </c>
      <c r="BF56" s="81" t="str">
        <f>IF(ISERROR((BE56/AW56-1)*100),"NA",IF(((BE56/AW56-1)*100)&gt;100,"NM",IF(((BE56/AW56-1)*100)&lt;-50,"NM",(BE56/AW56-1)*100)))</f>
        <v>NM</v>
      </c>
      <c r="BG56" s="171">
        <f>+BG55/BG42*100</f>
        <v>5.5842812823164483</v>
      </c>
      <c r="BH56" s="81">
        <f>IF(ISERROR((BG56/AY56-1)*100),"NA",IF(((BG56/AY56-1)*100)&gt;100,"NM",IF(((BG56/AY56-1)*100)&lt;-50,"NM",(BG56/AY56-1)*100)))</f>
        <v>29.520324556519029</v>
      </c>
      <c r="BI56" s="171">
        <f>+BI55/BI42*100</f>
        <v>5.3495197438633966</v>
      </c>
      <c r="BJ56" s="81">
        <f>IF(ISERROR((BI56/BA56-1)*100),"NA",IF(((BI56/BA56-1)*100)&gt;100,"NM",IF(((BI56/BA56-1)*100)&lt;-50,"NM",(BI56/BA56-1)*100)))</f>
        <v>39.285643701331942</v>
      </c>
      <c r="BK56" s="171">
        <f>+BK55/BK42*100</f>
        <v>6.1874670879410063</v>
      </c>
      <c r="BL56" s="81">
        <f>IF(ISERROR((BK56/BC56-1)*100),"NA",IF(((BK56/BC56-1)*100)&gt;100,"NM",IF(((BK56/BC56-1)*100)&lt;-50,"NM",(BK56/BC56-1)*100)))</f>
        <v>-4.3625029297441609</v>
      </c>
      <c r="BM56" s="171">
        <f>+BM55/BM42*100</f>
        <v>7.3268921095007933</v>
      </c>
      <c r="BN56" s="81">
        <f>IF(ISERROR((BM56/BE56-1)*100),"NA",IF(((BM56/BE56-1)*100)&gt;100,"NM",IF(((BM56/BE56-1)*100)&lt;-50,"NM",(BM56/BE56-1)*100)))</f>
        <v>11.112674514954012</v>
      </c>
      <c r="BO56" s="171">
        <f>+BO55/BO42*100</f>
        <v>7.9525775942453913</v>
      </c>
      <c r="BP56" s="81">
        <f>IF(ISERROR((BO56/BG56-1)*100),"NA",IF(((BO56/BG56-1)*100)&gt;100,"NM",IF(((BO56/BG56-1)*100)&lt;-50,"NM",(BO56/BG56-1)*100)))</f>
        <v>42.410046919171961</v>
      </c>
      <c r="BQ56" s="171">
        <f>+BQ55/BQ42*100</f>
        <v>7.9520396912899569</v>
      </c>
      <c r="BR56" s="81">
        <f>IF(ISERROR((BQ56/BI56-1)*100),"NA",IF(((BQ56/BI56-1)*100)&gt;100,"NM",IF(((BQ56/BI56-1)*100)&lt;-50,"NM",(BQ56/BI56-1)*100)))</f>
        <v>48.649599815235625</v>
      </c>
      <c r="BS56" s="171">
        <f>+BS55/BS42*100</f>
        <v>9.4284925455549526</v>
      </c>
      <c r="BT56" s="81">
        <f>IF(ISERROR((BS56/BK56-1)*100),"NA",IF(((BS56/BK56-1)*100)&gt;100,"NM",IF(((BS56/BK56-1)*100)&lt;-50,"NM",(BS56/BK56-1)*100)))</f>
        <v>52.380488034118301</v>
      </c>
      <c r="BU56" s="171">
        <f>+BU55/BU42*100</f>
        <v>10.466089868825007</v>
      </c>
      <c r="BV56" s="81">
        <f>IF(ISERROR((BU56/BM56-1)*100),"NA",IF(((BU56/BM56-1)*100)&gt;100,"NM",IF(((BU56/BM56-1)*100)&lt;-50,"NM",(BU56/BM56-1)*100)))</f>
        <v>42.844874912974504</v>
      </c>
      <c r="BW56" s="171">
        <f>+BW55/BW42*100</f>
        <v>10.205229125667685</v>
      </c>
      <c r="BX56" s="81">
        <f>IF(ISERROR((BW56/BO56-1)*100),"NA",IF(((BW56/BO56-1)*100)&gt;100,"NM",IF(((BW56/BO56-1)*100)&lt;-50,"NM",(BW56/BO56-1)*100)))</f>
        <v>28.326055354082278</v>
      </c>
      <c r="BY56" s="171">
        <f>+BY55/BY42*100</f>
        <v>10.909614277489919</v>
      </c>
      <c r="BZ56" s="81">
        <f>IF(ISERROR((BY56/BQ56-1)*100),"NA",IF(((BY56/BQ56-1)*100)&gt;100,"NM",IF(((BY56/BQ56-1)*100)&lt;-50,"NM",(BY56/BQ56-1)*100)))</f>
        <v>37.192653721779799</v>
      </c>
      <c r="CA56" s="171">
        <f>+CA55/CA42*100</f>
        <v>12.131194500143232</v>
      </c>
      <c r="CB56" s="81">
        <f>IF(ISERROR((CA56/BS56-1)*100),"NA",IF(((CA56/BS56-1)*100)&gt;100,"NM",IF(((CA56/BS56-1)*100)&lt;-50,"NM",(CA56/BS56-1)*100)))</f>
        <v>28.665260554959705</v>
      </c>
      <c r="CC56" s="171">
        <f>+CC55/CC42*100</f>
        <v>11.454837297533928</v>
      </c>
      <c r="CD56" s="81">
        <f>IF(ISERROR((CC56/BU56-1)*100),"NA",IF(((CC56/BU56-1)*100)&gt;100,"NM",IF(((CC56/BU56-1)*100)&lt;-50,"NM",(CC56/BU56-1)*100)))</f>
        <v>9.4471520988375079</v>
      </c>
      <c r="CE56" s="171">
        <f>+CE55/CE42*100</f>
        <v>11.279388432136166</v>
      </c>
      <c r="CF56" s="81">
        <f>IF(ISERROR((CE56/BW56-1)*100),"NA",IF(((CE56/BW56-1)*100)&gt;100,"NM",IF(((CE56/BW56-1)*100)&lt;-50,"NM",(CE56/BW56-1)*100)))</f>
        <v>10.525577556772436</v>
      </c>
      <c r="CG56" s="171">
        <f>+CG55/CG42*100</f>
        <v>10.886561439740383</v>
      </c>
      <c r="CH56" s="81">
        <f>IF(ISERROR((CG56/BY56-1)*100),"NA",IF(((CG56/BY56-1)*100)&gt;100,"NM",IF(((CG56/BY56-1)*100)&lt;-50,"NM",(CG56/BY56-1)*100)))</f>
        <v>-0.21130754179916611</v>
      </c>
      <c r="CI56" s="171">
        <f>+CI55/CI42*100</f>
        <v>11.527757433719048</v>
      </c>
      <c r="CJ56" s="81">
        <f>IF(ISERROR((CI56/CA56-1)*100),"NA",IF(((CI56/CA56-1)*100)&gt;100,"NM",IF(((CI56/CA56-1)*100)&lt;-50,"NM",(CI56/CA56-1)*100)))</f>
        <v>-4.9742592653762134</v>
      </c>
      <c r="CK56" s="171">
        <f>+CK55/CK42*100</f>
        <v>10.613138686131393</v>
      </c>
      <c r="CL56" s="81">
        <f>IF(ISERROR((CK56/CC56-1)*100),"NA",IF(((CK56/CC56-1)*100)&gt;100,"NM",IF(((CK56/CC56-1)*100)&lt;-50,"NM",(CK56/CC56-1)*100)))</f>
        <v>-7.3479752661676052</v>
      </c>
      <c r="CM56" s="171">
        <f>+CM55/CM42*100</f>
        <v>11.268634902075419</v>
      </c>
      <c r="CN56" s="81">
        <f>IF(ISERROR((CM56/CE56-1)*100),"NA",IF(((CM56/CE56-1)*100)&gt;100,"NM",IF(((CM56/CE56-1)*100)&lt;-50,"NM",(CM56/CE56-1)*100)))</f>
        <v>-9.5337882239332483E-2</v>
      </c>
      <c r="CO56" s="171">
        <f>+CO55/CO42*100</f>
        <v>10.919456219850906</v>
      </c>
      <c r="CP56" s="81">
        <f>IF(ISERROR((CO56/CG56-1)*100),"NA",IF(((CO56/CG56-1)*100)&gt;100,"NM",IF(((CO56/CG56-1)*100)&lt;-50,"NM",(CO56/CG56-1)*100)))</f>
        <v>0.30215950456535801</v>
      </c>
      <c r="CQ56" s="171">
        <f>+CQ55/CQ42*100</f>
        <v>10.336220819262953</v>
      </c>
      <c r="CR56" s="81">
        <f>IF(ISERROR((CQ56/CI56-1)*100),"NA",IF(((CQ56/CI56-1)*100)&gt;100,"NM",IF(((CQ56/CI56-1)*100)&lt;-50,"NM",(CQ56/CI56-1)*100)))</f>
        <v>-10.336239475084829</v>
      </c>
      <c r="CS56" s="171">
        <f>+CS55/CS42*100</f>
        <v>10.975250441956394</v>
      </c>
      <c r="CT56" s="81">
        <f>IF(ISERROR((CS56/CK56-1)*100),"NA",IF(((CS56/CK56-1)*100)&gt;100,"NM",IF(((CS56/CK56-1)*100)&lt;-50,"NM",(CS56/CK56-1)*100)))</f>
        <v>3.4119195700154759</v>
      </c>
      <c r="CU56" s="171">
        <f>+CU55/CU42*100</f>
        <v>10.775546107608855</v>
      </c>
      <c r="CV56" s="81">
        <f>IF(ISERROR((CU56/CM56-1)*100),"NA",IF(((CU56/CM56-1)*100)&gt;100,"NM",IF(((CU56/CM56-1)*100)&lt;-50,"NM",(CU56/CM56-1)*100)))</f>
        <v>-4.3757633355904435</v>
      </c>
      <c r="CW56" s="171">
        <f>+CW55/CW42*100</f>
        <v>11.151235013722365</v>
      </c>
      <c r="CX56" s="81">
        <f>IF(ISERROR((CW56/CO56-1)*100),"NA",IF(((CW56/CO56-1)*100)&gt;100,"NM",IF(((CW56/CO56-1)*100)&lt;-50,"NM",(CW56/CO56-1)*100)))</f>
        <v>2.1226221270075785</v>
      </c>
      <c r="CY56" s="171">
        <f>+CY55/CY42*100</f>
        <v>10.537099370701011</v>
      </c>
      <c r="CZ56" s="81">
        <f>IF(ISERROR((CY56/CQ56-1)*100),"NA",IF(((CY56/CQ56-1)*100)&gt;100,"NM",IF(((CY56/CQ56-1)*100)&lt;-50,"NM",(CY56/CQ56-1)*100)))</f>
        <v>1.9434429173929013</v>
      </c>
      <c r="DA56" s="171">
        <f>+DA55/DA42*100</f>
        <v>11.559578572488496</v>
      </c>
      <c r="DB56" s="81">
        <f>IF(ISERROR((DA56/CS56-1)*100),"NA",IF(((DA56/CS56-1)*100)&gt;100,"NM",IF(((DA56/CS56-1)*100)&lt;-50,"NM",(DA56/CS56-1)*100)))</f>
        <v>5.3240528188616132</v>
      </c>
      <c r="DC56" s="171">
        <f>+DC55/DC42*100</f>
        <v>10.284857571214397</v>
      </c>
      <c r="DD56" s="81">
        <f>IF(ISERROR((DC56/CU56-1)*100),"NA",IF(((DC56/CU56-1)*100)&gt;100,"NM",IF(((DC56/CU56-1)*100)&lt;-50,"NM",(DC56/CU56-1)*100)))</f>
        <v>-4.5537231384307431</v>
      </c>
      <c r="DE56" s="171">
        <f>+DE55/DE42*100</f>
        <v>10.028185729120297</v>
      </c>
      <c r="DF56" s="81">
        <f>IF(ISERROR((DE56/CW56-1)*100),"NA",IF(((DE56/CW56-1)*100)&gt;100,"NM",IF(((DE56/CW56-1)*100)&lt;-50,"NM",(DE56/CW56-1)*100)))</f>
        <v>-10.071075385103789</v>
      </c>
      <c r="DG56" s="171">
        <f>+DG55/DG42*100</f>
        <v>10.779952550415175</v>
      </c>
      <c r="DH56" s="81">
        <f>IF(ISERROR((DG56/CY56-1)*100),"NA",IF(((DG56/CY56-1)*100)&gt;100,"NM",IF(((DG56/CY56-1)*100)&lt;-50,"NM",(DG56/CY56-1)*100)))</f>
        <v>2.3047441347040065</v>
      </c>
      <c r="DI56" s="171">
        <f>+DI55/DI42*100</f>
        <v>10.182573845925491</v>
      </c>
      <c r="DJ56" s="81">
        <f>IF(ISERROR((DI56/DA56-1)*100),"NA",IF(((DI56/DA56-1)*100)&gt;100,"NM",IF(((DI56/DA56-1)*100)&lt;-50,"NM",(DI56/DA56-1)*100)))</f>
        <v>-11.912239861756213</v>
      </c>
      <c r="DK56" s="171">
        <f>+DK55/DK42*100</f>
        <v>9.4643113600459543</v>
      </c>
      <c r="DL56" s="81">
        <f>IF(ISERROR((DK56/DC56-1)*100),"NA",IF(((DK56/DC56-1)*100)&gt;100,"NM",IF(((DK56/DC56-1)*100)&lt;-50,"NM",(DK56/DC56-1)*100)))</f>
        <v>-7.9781971260838418</v>
      </c>
      <c r="DM56" s="171">
        <f>+DM55/DM42*100</f>
        <v>10.590079817559872</v>
      </c>
      <c r="DN56" s="81">
        <f>IF(ISERROR((DM56/DE56-1)*100),"NA",IF(((DM56/DE56-1)*100)&gt;100,"NM",IF(((DM56/DE56-1)*100)&lt;-50,"NM",(DM56/DE56-1)*100)))</f>
        <v>5.6031480032117997</v>
      </c>
      <c r="DO56" s="171">
        <f>+DO55/DO42*100</f>
        <v>8.6075949367088676</v>
      </c>
      <c r="DP56" s="81">
        <f>IF(ISERROR((DO56/DG56-1)*100),"NA",IF(((DO56/DG56-1)*100)&gt;100,"NM",IF(((DO56/DG56-1)*100)&lt;-50,"NM",(DO56/DG56-1)*100)))</f>
        <v>-20.151829087806526</v>
      </c>
      <c r="DQ56" s="171">
        <f>+DQ55/DQ42*100</f>
        <v>9.9606077658975885</v>
      </c>
      <c r="DR56" s="81">
        <f>IF(ISERROR((DQ56/DI56-1)*100),"NA",IF(((DQ56/DI56-1)*100)&gt;100,"NM",IF(((DQ56/DI56-1)*100)&lt;-50,"NM",(DQ56/DI56-1)*100)))</f>
        <v>-2.1798622174168836</v>
      </c>
      <c r="DS56" s="171">
        <f>+DS55/DS42*100</f>
        <v>9.2048461217100712</v>
      </c>
      <c r="DT56" s="81">
        <f>IF(ISERROR((DS56/DK56-1)*100),"NA",IF(((DS56/DK56-1)*100)&gt;100,"NM",IF(((DS56/DK56-1)*100)&lt;-50,"NM",(DS56/DK56-1)*100)))</f>
        <v>-2.7415120706111629</v>
      </c>
      <c r="DU56" s="171">
        <f>+DU55/DU42*100</f>
        <v>9.6201147854604905</v>
      </c>
      <c r="DV56" s="81">
        <f>IF(ISERROR((DU56/DM56-1)*100),"NA",IF(((DU56/DM56-1)*100)&gt;100,"NM",IF(((DU56/DM56-1)*100)&lt;-50,"NM",(DU56/DM56-1)*100)))</f>
        <v>-9.1591852829195908</v>
      </c>
      <c r="DW56" s="171">
        <f>+DW55/DW42*100</f>
        <v>10.172272354388841</v>
      </c>
      <c r="DX56" s="81">
        <f>IF(ISERROR((DW56/DO56-1)*100),"NA",IF(((DW56/DO56-1)*100)&gt;100,"NM",IF(((DW56/DO56-1)*100)&lt;-50,"NM",(DW56/DO56-1)*100)))</f>
        <v>18.177869999517338</v>
      </c>
      <c r="DY56" s="171">
        <f>+DY55/DY42*100</f>
        <v>11.754989676531327</v>
      </c>
      <c r="DZ56" s="81">
        <f>IF(ISERROR((DY56/DQ56-1)*100),"NA",IF(((DY56/DQ56-1)*100)&gt;100,"NM",IF(((DY56/DQ56-1)*100)&lt;-50,"NM",(DY56/DQ56-1)*100)))</f>
        <v>18.01478336269011</v>
      </c>
      <c r="EA56" s="171">
        <f>+EA55/EA42*100</f>
        <v>12.200109051254076</v>
      </c>
      <c r="EB56" s="81">
        <f>IF(ISERROR((EA56/DS56-1)*100),"NA",IF(((EA56/DS56-1)*100)&gt;100,"NM",IF(((EA56/DS56-1)*100)&lt;-50,"NM",(EA56/DS56-1)*100)))</f>
        <v>32.540065199781388</v>
      </c>
      <c r="EC56" s="171">
        <f>+EC55/EC42*100</f>
        <v>12.12079803224924</v>
      </c>
      <c r="ED56" s="81">
        <f t="shared" si="267"/>
        <v>25.994318181818322</v>
      </c>
      <c r="EE56" s="171">
        <f>+EE55/EE42*100</f>
        <v>12.491550628633242</v>
      </c>
      <c r="EF56" s="81">
        <f t="shared" si="268"/>
        <v>22.800001744386478</v>
      </c>
      <c r="EG56" s="171">
        <f>+EG55/EG42*100</f>
        <v>12.264922322158611</v>
      </c>
      <c r="EH56" s="81">
        <f t="shared" si="269"/>
        <v>4.3380101527894732</v>
      </c>
      <c r="EI56" s="171">
        <f>+EI55/EI42*100</f>
        <v>11.670480549199077</v>
      </c>
      <c r="EJ56" s="81">
        <f t="shared" si="270"/>
        <v>-4.3411784257826547</v>
      </c>
      <c r="EK56" s="171">
        <f t="shared" ref="EK56:EQ56" si="276">+EK55/EK42*100</f>
        <v>11.703418361261697</v>
      </c>
      <c r="EL56" s="81">
        <f t="shared" si="272"/>
        <v>-3.4434999236604757</v>
      </c>
      <c r="EM56" s="171">
        <f t="shared" si="276"/>
        <v>11.736129909232211</v>
      </c>
      <c r="EN56" s="81">
        <f t="shared" si="273"/>
        <v>-6.047453529663871</v>
      </c>
      <c r="EO56" s="171">
        <f t="shared" si="276"/>
        <v>11.822986763313095</v>
      </c>
      <c r="EP56" s="81">
        <f t="shared" si="274"/>
        <v>-3.6032479231204451</v>
      </c>
      <c r="EQ56" s="171">
        <f t="shared" si="276"/>
        <v>12.066268077042091</v>
      </c>
      <c r="ER56" s="81">
        <f t="shared" si="275"/>
        <v>3.3913558758313256</v>
      </c>
      <c r="ES56" s="82"/>
      <c r="ET56" s="469"/>
      <c r="EU56" s="82"/>
      <c r="EV56" s="171"/>
      <c r="EW56" s="79"/>
      <c r="EX56" s="171"/>
      <c r="EY56" s="79"/>
      <c r="EZ56" s="171"/>
      <c r="FA56" s="79"/>
      <c r="FB56" s="171"/>
      <c r="FC56" s="79"/>
      <c r="FD56" s="171">
        <f>+FD55/FD42*100</f>
        <v>9.2031746031746344</v>
      </c>
      <c r="FE56" s="79" t="str">
        <f>IF(ISERROR((FD56/FB56-1)*100),"NA",IF(((FD56/FB56-1)*100)&gt;100,"NM",IF(((FD56/FB56-1)*100)&lt;-50,"NM",(FD56/FB56-1)*100)))</f>
        <v>NA</v>
      </c>
      <c r="FF56" s="171">
        <f>+FF55/FF42*100</f>
        <v>-26.136329498002208</v>
      </c>
      <c r="FG56" s="79" t="str">
        <f>IF(ISERROR((FF56/FD56-1)*100),"NA",IF(((FF56/FD56-1)*100)&gt;100,"NM",IF(((FF56/FD56-1)*100)&lt;-50,"NM",(FF56/FD56-1)*100)))</f>
        <v>NM</v>
      </c>
      <c r="FH56" s="171">
        <f>+FH55/FH42*100</f>
        <v>-1.7522129240808437</v>
      </c>
      <c r="FI56" s="79" t="str">
        <f>IF(ISERROR((FH56/FF56-1)*100),"NA",IF(((FH56/FF56-1)*100)&gt;100,"NM",IF(((FH56/FF56-1)*100)&lt;-50,"NM",(FH56/FF56-1)*100)))</f>
        <v>NM</v>
      </c>
      <c r="FJ56" s="171">
        <f>+FJ55/FJ42*100</f>
        <v>2.1282553906468942</v>
      </c>
      <c r="FK56" s="79" t="str">
        <f>IF(ISERROR((FJ56/FH56-1)*100),"NA",IF(((FJ56/FH56-1)*100)&gt;100,"NM",IF(((FJ56/FH56-1)*100)&lt;-50,"NM",(FJ56/FH56-1)*100)))</f>
        <v>NM</v>
      </c>
      <c r="FL56" s="171">
        <f>+FL55/FL42*100</f>
        <v>1.979483640242178</v>
      </c>
      <c r="FM56" s="79">
        <f>IF(ISERROR((FL56/FJ56-1)*100),"NA",IF(((FL56/FJ56-1)*100)&gt;100,"NM",IF(((FL56/FJ56-1)*100)&lt;-50,"NM",(FL56/FJ56-1)*100)))</f>
        <v>-6.9903147459899673</v>
      </c>
      <c r="FN56" s="171">
        <f>+FN55/FN42*100</f>
        <v>5.6324079102904125</v>
      </c>
      <c r="FO56" s="79" t="str">
        <f>IF(ISERROR((FN56/FL56-1)*100),"NA",IF(((FN56/FL56-1)*100)&gt;100,"NM",IF(((FN56/FL56-1)*100)&lt;-50,"NM",(FN56/FL56-1)*100)))</f>
        <v>NM</v>
      </c>
      <c r="FP56" s="171">
        <f>+FP55/FP42*100</f>
        <v>6.7019400352733713</v>
      </c>
      <c r="FQ56" s="79">
        <f>IF(ISERROR((FP56/FN56-1)*100),"NA",IF(((FP56/FN56-1)*100)&gt;100,"NM",IF(((FP56/FN56-1)*100)&lt;-50,"NM",(FP56/FN56-1)*100)))</f>
        <v>18.988896791884024</v>
      </c>
      <c r="FR56" s="171">
        <f>+FR55/FR42*100</f>
        <v>9.6699096594857448</v>
      </c>
      <c r="FS56" s="79">
        <f>IF(ISERROR((FR56/FP56-1)*100),"NA",IF(((FR56/FP56-1)*100)&gt;100,"NM",IF(((FR56/FP56-1)*100)&lt;-50,"NM",(FR56/FP56-1)*100)))</f>
        <v>44.285230971800395</v>
      </c>
      <c r="FT56" s="171">
        <f>+FT55/FT42*100</f>
        <v>11.444652908067519</v>
      </c>
      <c r="FU56" s="79">
        <f>IF(ISERROR((FT56/FR56-1)*100),"NA",IF(((FT56/FR56-1)*100)&gt;100,"NM",IF(((FT56/FR56-1)*100)&lt;-50,"NM",(FT56/FR56-1)*100)))</f>
        <v>18.353255729135288</v>
      </c>
      <c r="FV56" s="171">
        <f>+FV55/FV42*100</f>
        <v>11.074071360539239</v>
      </c>
      <c r="FW56" s="79">
        <f>IF(ISERROR((FV56/FT56-1)*100),"NA",IF(((FV56/FT56-1)*100)&gt;100,"NM",IF(((FV56/FT56-1)*100)&lt;-50,"NM",(FV56/FT56-1)*100)))</f>
        <v>-3.2380322103700565</v>
      </c>
      <c r="FX56" s="171">
        <f>+FX55/FX42*100</f>
        <v>10.709042865531407</v>
      </c>
      <c r="FY56" s="79">
        <f>IF(ISERROR((FX56/FV56-1)*100),"NA",IF(((FX56/FV56-1)*100)&gt;100,"NM",IF(((FX56/FV56-1)*100)&lt;-50,"NM",(FX56/FV56-1)*100)))</f>
        <v>-3.2962447425484043</v>
      </c>
      <c r="FZ56" s="171">
        <f>+FZ55/FZ42*100</f>
        <v>10.885330388367377</v>
      </c>
      <c r="GA56" s="79">
        <f>IF(ISERROR((FZ56/FX56-1)*100),"NA",IF(((FZ56/FX56-1)*100)&gt;100,"NM",IF(((FZ56/FX56-1)*100)&lt;-50,"NM",(FZ56/FX56-1)*100)))</f>
        <v>1.6461557307178021</v>
      </c>
      <c r="GB56" s="171">
        <f>+GB55/GB42*100</f>
        <v>10.108515725583969</v>
      </c>
      <c r="GC56" s="79">
        <f>IF(ISERROR((GB56/FZ56-1)*100),"NA",IF(((GB56/FZ56-1)*100)&gt;100,"NM",IF(((GB56/FZ56-1)*100)&lt;-50,"NM",(GB56/FZ56-1)*100)))</f>
        <v>-7.1363443742006432</v>
      </c>
      <c r="GD56" s="171">
        <f>+GD55/GD42*100</f>
        <v>9.5864860109097343</v>
      </c>
      <c r="GE56" s="79">
        <f>IF(ISERROR((GD56/GB56-1)*100),"NA",IF(((GD56/GB56-1)*100)&gt;100,"NM",IF(((GD56/GB56-1)*100)&lt;-50,"NM",(GD56/GB56-1)*100)))</f>
        <v>-5.1642568389443362</v>
      </c>
      <c r="GF56" s="171">
        <f>+GF55/GF42*100</f>
        <v>10.936270653029119</v>
      </c>
      <c r="GG56" s="79">
        <f>IF(ISERROR((GF56/GD56-1)*100),"NA",IF(((GF56/GD56-1)*100)&gt;100,"NM",IF(((GF56/GD56-1)*100)&lt;-50,"NM",(GF56/GD56-1)*100)))</f>
        <v>14.080077314912742</v>
      </c>
      <c r="GH56" s="171">
        <f>+GH55/GH42*100</f>
        <v>12.136218709721177</v>
      </c>
      <c r="GI56" s="79">
        <f>IF(ISERROR((GH56/GF56-1)*100),"NA",IF(((GH56/GF56-1)*100)&gt;100,"NM",IF(((GH56/GF56-1)*100)&lt;-50,"NM",(GH56/GF56-1)*100)))</f>
        <v>10.972186906874848</v>
      </c>
      <c r="GJ56" s="171">
        <f>+GJ55/GJ42*100</f>
        <v>11.832371946353692</v>
      </c>
      <c r="GK56" s="79">
        <f>IF(ISERROR((GJ56/GH56-1)*100),"NA",IF(((GJ56/GH56-1)*100)&gt;100,"NM",IF(((GJ56/GH56-1)*100)&lt;-50,"NM",(GJ56/GH56-1)*100)))</f>
        <v>-2.5036361871437096</v>
      </c>
      <c r="GL56" s="171">
        <f>+GL55/GL42*100</f>
        <v>11.674151241216389</v>
      </c>
      <c r="GM56" s="79">
        <f>IF(ISERROR((GL56/GJ56-1)*100),"NA",IF(((GL56/GJ56-1)*100)&gt;100,"NM",IF(((GL56/GJ56-1)*100)&lt;-50,"NM",(GL56/GJ56-1)*100)))</f>
        <v>-1.3371850196617685</v>
      </c>
      <c r="GN56" s="171">
        <f>+GN55/GN42*100</f>
        <v>11.511009731793745</v>
      </c>
      <c r="GO56" s="79">
        <f>IF(ISERROR((GN56/GL56-1)*100),"NA",IF(((GN56/GL56-1)*100)&gt;100,"NM",IF(((GN56/GL56-1)*100)&lt;-50,"NM",(GN56/GL56-1)*100)))</f>
        <v>-1.3974592760685023</v>
      </c>
      <c r="GP56" s="171">
        <f>+GP55/GP42*100</f>
        <v>11.344565483704574</v>
      </c>
      <c r="GQ56" s="79">
        <f>IF(ISERROR((GP56/GN56-1)*100),"NA",IF(((GP56/GN56-1)*100)&gt;100,"NM",IF(((GP56/GN56-1)*100)&lt;-50,"NM",(GP56/GN56-1)*100)))</f>
        <v>-1.4459569748207834</v>
      </c>
      <c r="GR56" s="171">
        <f>+GR55/GR42*100</f>
        <v>11.176164516872729</v>
      </c>
      <c r="GS56" s="79">
        <f>IF(ISERROR((GR56/GP56-1)*100),"NA",IF(((GR56/GP56-1)*100)&gt;100,"NM",IF(((GR56/GP56-1)*100)&lt;-50,"NM",(GR56/GP56-1)*100)))</f>
        <v>-1.4844197168568329</v>
      </c>
      <c r="GT56" s="79">
        <f>IF(ISERROR(((GR56/GH56)^0.2-1)*100),"NA",(IF(OR(((GR56/GH56)^0.2-1)*100&gt;99,((GR56/GH56)^0.2-1)*100&lt;-50),"NM",(((GR56/GH56)^0.2-1)*100))))</f>
        <v>-1.6347096212395384</v>
      </c>
    </row>
    <row r="57" spans="1:286" ht="12.75" customHeight="1" x14ac:dyDescent="0.2">
      <c r="A57" s="1"/>
      <c r="B57" s="2"/>
      <c r="C57" s="79"/>
      <c r="D57" s="79"/>
      <c r="E57" s="171"/>
      <c r="F57" s="171"/>
      <c r="G57" s="171"/>
      <c r="H57" s="171"/>
      <c r="I57" s="171"/>
      <c r="J57" s="171"/>
      <c r="K57" s="171"/>
      <c r="L57" s="79"/>
      <c r="M57" s="171"/>
      <c r="N57" s="79"/>
      <c r="O57" s="171"/>
      <c r="P57" s="79"/>
      <c r="Q57" s="171"/>
      <c r="R57" s="79"/>
      <c r="S57" s="171"/>
      <c r="T57" s="79"/>
      <c r="U57" s="171"/>
      <c r="V57" s="79"/>
      <c r="W57" s="171"/>
      <c r="X57" s="79"/>
      <c r="Y57" s="171"/>
      <c r="Z57" s="79"/>
      <c r="AA57" s="172"/>
      <c r="AB57" s="79"/>
      <c r="AC57" s="171"/>
      <c r="AD57" s="79"/>
      <c r="AE57" s="171"/>
      <c r="AF57" s="79"/>
      <c r="AG57" s="171"/>
      <c r="AH57" s="79"/>
      <c r="AI57" s="171"/>
      <c r="AJ57" s="79"/>
      <c r="AK57" s="171"/>
      <c r="AL57" s="79"/>
      <c r="AM57" s="171"/>
      <c r="AN57" s="79"/>
      <c r="AO57" s="171"/>
      <c r="AP57" s="79"/>
      <c r="AQ57" s="171"/>
      <c r="AR57" s="79"/>
      <c r="AS57" s="171"/>
      <c r="AT57" s="81"/>
      <c r="AU57" s="171"/>
      <c r="AV57" s="81"/>
      <c r="AW57" s="171"/>
      <c r="AX57" s="81"/>
      <c r="AY57" s="171"/>
      <c r="AZ57" s="81"/>
      <c r="BA57" s="171"/>
      <c r="BB57" s="81"/>
      <c r="BC57" s="171"/>
      <c r="BD57" s="81"/>
      <c r="BE57" s="171"/>
      <c r="BF57" s="81"/>
      <c r="BG57" s="171"/>
      <c r="BH57" s="81"/>
      <c r="BI57" s="171"/>
      <c r="BJ57" s="81"/>
      <c r="BK57" s="171"/>
      <c r="BL57" s="81"/>
      <c r="BM57" s="171"/>
      <c r="BN57" s="81"/>
      <c r="BO57" s="171"/>
      <c r="BP57" s="81"/>
      <c r="BQ57" s="171"/>
      <c r="BR57" s="81"/>
      <c r="BS57" s="171"/>
      <c r="BT57" s="81"/>
      <c r="BU57" s="171"/>
      <c r="BV57" s="81"/>
      <c r="BW57" s="171"/>
      <c r="BX57" s="81"/>
      <c r="BY57" s="171"/>
      <c r="BZ57" s="81"/>
      <c r="CA57" s="171"/>
      <c r="CB57" s="81"/>
      <c r="CC57" s="171"/>
      <c r="CD57" s="81"/>
      <c r="CE57" s="171"/>
      <c r="CF57" s="81"/>
      <c r="CG57" s="171"/>
      <c r="CH57" s="81"/>
      <c r="CI57" s="171"/>
      <c r="CJ57" s="81"/>
      <c r="CK57" s="171"/>
      <c r="CL57" s="81"/>
      <c r="CM57" s="171"/>
      <c r="CN57" s="81"/>
      <c r="CO57" s="171"/>
      <c r="CP57" s="81"/>
      <c r="CQ57" s="171"/>
      <c r="CR57" s="81"/>
      <c r="CS57" s="171"/>
      <c r="CT57" s="81"/>
      <c r="CU57" s="171"/>
      <c r="CV57" s="81"/>
      <c r="CW57" s="171"/>
      <c r="CX57" s="81"/>
      <c r="CY57" s="171"/>
      <c r="CZ57" s="81"/>
      <c r="DA57" s="171"/>
      <c r="DB57" s="81"/>
      <c r="DC57" s="171"/>
      <c r="DD57" s="81"/>
      <c r="DE57" s="171"/>
      <c r="DF57" s="81"/>
      <c r="DG57" s="171"/>
      <c r="DH57" s="81"/>
      <c r="DI57" s="171"/>
      <c r="DJ57" s="81"/>
      <c r="DK57" s="171"/>
      <c r="DL57" s="81"/>
      <c r="DM57" s="171"/>
      <c r="DN57" s="81"/>
      <c r="DO57" s="171"/>
      <c r="DP57" s="81"/>
      <c r="DQ57" s="171"/>
      <c r="DR57" s="81"/>
      <c r="DS57" s="171"/>
      <c r="DT57" s="81"/>
      <c r="DU57" s="171"/>
      <c r="DV57" s="81"/>
      <c r="DW57" s="171"/>
      <c r="DX57" s="81"/>
      <c r="DY57" s="171"/>
      <c r="DZ57" s="81"/>
      <c r="EA57" s="171"/>
      <c r="EB57" s="81"/>
      <c r="EC57" s="171"/>
      <c r="ED57" s="81"/>
      <c r="EE57" s="171"/>
      <c r="EF57" s="81"/>
      <c r="EG57" s="171"/>
      <c r="EH57" s="81"/>
      <c r="EI57" s="171"/>
      <c r="EJ57" s="81"/>
      <c r="EK57" s="171"/>
      <c r="EL57" s="81"/>
      <c r="EM57" s="171"/>
      <c r="EN57" s="81"/>
      <c r="EO57" s="171"/>
      <c r="EP57" s="81"/>
      <c r="EQ57" s="171"/>
      <c r="ER57" s="81"/>
      <c r="ES57" s="82"/>
      <c r="ET57" s="469"/>
      <c r="EU57" s="82"/>
      <c r="EV57" s="171"/>
      <c r="EW57" s="79"/>
      <c r="EX57" s="171"/>
      <c r="EY57" s="79"/>
      <c r="EZ57" s="171"/>
      <c r="FA57" s="79"/>
      <c r="FB57" s="171"/>
      <c r="FC57" s="79"/>
      <c r="FD57" s="171"/>
      <c r="FE57" s="79"/>
      <c r="FF57" s="171"/>
      <c r="FG57" s="79"/>
      <c r="FH57" s="171"/>
      <c r="FI57" s="79"/>
      <c r="FJ57" s="171"/>
      <c r="FK57" s="79"/>
      <c r="FL57" s="171"/>
      <c r="FM57" s="79"/>
      <c r="FN57" s="171"/>
      <c r="FO57" s="79"/>
      <c r="FP57" s="171"/>
      <c r="FQ57" s="79"/>
      <c r="FR57" s="171"/>
      <c r="FS57" s="79"/>
      <c r="FT57" s="171"/>
      <c r="FU57" s="79"/>
      <c r="FV57" s="171"/>
      <c r="FW57" s="79"/>
      <c r="FX57" s="171"/>
      <c r="FY57" s="79"/>
      <c r="FZ57" s="171"/>
      <c r="GA57" s="79"/>
      <c r="GB57" s="171"/>
      <c r="GC57" s="79"/>
      <c r="GD57" s="171"/>
      <c r="GE57" s="79"/>
      <c r="GF57" s="171"/>
      <c r="GG57" s="79"/>
      <c r="GH57" s="171"/>
      <c r="GI57" s="79"/>
      <c r="GJ57" s="171"/>
      <c r="GK57" s="79"/>
      <c r="GL57" s="171"/>
      <c r="GM57" s="79"/>
      <c r="GN57" s="171"/>
      <c r="GO57" s="79"/>
      <c r="GP57" s="171"/>
      <c r="GQ57" s="79"/>
      <c r="GR57" s="171"/>
      <c r="GS57" s="79"/>
      <c r="GT57" s="79"/>
    </row>
    <row r="58" spans="1:286" ht="12.75" customHeight="1" x14ac:dyDescent="0.2">
      <c r="A58" s="1"/>
      <c r="B58" s="2" t="s">
        <v>256</v>
      </c>
      <c r="C58" s="79"/>
      <c r="D58" s="79"/>
      <c r="E58" s="171"/>
      <c r="F58" s="171"/>
      <c r="G58" s="171"/>
      <c r="H58" s="171"/>
      <c r="I58" s="171"/>
      <c r="J58" s="171"/>
      <c r="K58" s="171"/>
      <c r="L58" s="79"/>
      <c r="M58" s="171"/>
      <c r="N58" s="79"/>
      <c r="O58" s="171"/>
      <c r="P58" s="79"/>
      <c r="Q58" s="171"/>
      <c r="R58" s="79"/>
      <c r="S58" s="171"/>
      <c r="T58" s="79"/>
      <c r="U58" s="171"/>
      <c r="V58" s="79"/>
      <c r="W58" s="171"/>
      <c r="X58" s="79"/>
      <c r="Y58" s="171"/>
      <c r="Z58" s="79"/>
      <c r="AA58" s="173"/>
      <c r="AB58" s="79"/>
      <c r="AC58" s="174">
        <v>0</v>
      </c>
      <c r="AD58" s="79" t="str">
        <f>IF(ISERROR((AC58/U58-1)*100),"NA",IF(((AC58/U58-1)*100)&gt;100,"NM",IF(((AC58/U58-1)*100)&lt;-50,"NM",(AC58/U58-1)*100)))</f>
        <v>NA</v>
      </c>
      <c r="AE58" s="174">
        <v>0</v>
      </c>
      <c r="AF58" s="79" t="str">
        <f>IF(ISERROR((AE58/W58-1)*100),"NA",IF(((AE58/W58-1)*100)&gt;100,"NM",IF(((AE58/W58-1)*100)&lt;-50,"NM",(AE58/W58-1)*100)))</f>
        <v>NA</v>
      </c>
      <c r="AG58" s="174">
        <v>0</v>
      </c>
      <c r="AH58" s="79" t="str">
        <f>IF(ISERROR((AG58/Y58-1)*100),"NA",IF(((AG58/Y58-1)*100)&gt;100,"NM",IF(((AG58/Y58-1)*100)&lt;-50,"NM",(AG58/Y58-1)*100)))</f>
        <v>NA</v>
      </c>
      <c r="AI58" s="174">
        <v>0</v>
      </c>
      <c r="AJ58" s="79" t="str">
        <f>IF(ISERROR((AI58/AA58-1)*100),"NA",IF(((AI58/AA58-1)*100)&gt;100,"NM",IF(((AI58/AA58-1)*100)&lt;-50,"NM",(AI58/AA58-1)*100)))</f>
        <v>NA</v>
      </c>
      <c r="AK58" s="174">
        <v>0</v>
      </c>
      <c r="AL58" s="79" t="str">
        <f>IF(ISERROR((AK58/AC58-1)*100),"NA",IF(((AK58/AC58-1)*100)&gt;100,"NM",IF(((AK58/AC58-1)*100)&lt;-50,"NM",(AK58/AC58-1)*100)))</f>
        <v>NA</v>
      </c>
      <c r="AM58" s="174">
        <v>0</v>
      </c>
      <c r="AN58" s="79" t="str">
        <f>IF(ISERROR((AM58/AE58-1)*100),"NA",IF(((AM58/AE58-1)*100)&gt;100,"NM",IF(((AM58/AE58-1)*100)&lt;-50,"NM",(AM58/AE58-1)*100)))</f>
        <v>NA</v>
      </c>
      <c r="AO58" s="174">
        <v>0</v>
      </c>
      <c r="AP58" s="79" t="str">
        <f>IF(ISERROR((AO58/AG58-1)*100),"NA",IF(((AO58/AG58-1)*100)&gt;100,"NM",IF(((AO58/AG58-1)*100)&lt;-50,"NM",(AO58/AG58-1)*100)))</f>
        <v>NA</v>
      </c>
      <c r="AQ58" s="174">
        <v>0</v>
      </c>
      <c r="AR58" s="79" t="str">
        <f>IF(ISERROR((AQ58/AI58-1)*100),"NA",IF(((AQ58/AI58-1)*100)&gt;100,"NM",IF(((AQ58/AI58-1)*100)&lt;-50,"NM",(AQ58/AI58-1)*100)))</f>
        <v>NA</v>
      </c>
      <c r="AS58" s="174">
        <v>0</v>
      </c>
      <c r="AT58" s="81" t="str">
        <f>IF(ISERROR((AS58/AK58-1)*100),"NA",IF(((AS58/AK58-1)*100)&gt;100,"NM",IF(((AS58/AK58-1)*100)&lt;-50,"NM",(AS58/AK58-1)*100)))</f>
        <v>NA</v>
      </c>
      <c r="AU58" s="174">
        <v>0</v>
      </c>
      <c r="AV58" s="81" t="str">
        <f>IF(ISERROR((AU58/AM58-1)*100),"NA",IF(((AU58/AM58-1)*100)&gt;100,"NM",IF(((AU58/AM58-1)*100)&lt;-50,"NM",(AU58/AM58-1)*100)))</f>
        <v>NA</v>
      </c>
      <c r="AW58" s="174">
        <v>0</v>
      </c>
      <c r="AX58" s="81" t="str">
        <f>IF(ISERROR((AW58/AO58-1)*100),"NA",IF(((AW58/AO58-1)*100)&gt;100,"NM",IF(((AW58/AO58-1)*100)&lt;-50,"NM",(AW58/AO58-1)*100)))</f>
        <v>NA</v>
      </c>
      <c r="AY58" s="174">
        <v>12</v>
      </c>
      <c r="AZ58" s="81" t="str">
        <f>IF(ISERROR((AY58/AQ58-1)*100),"NA",IF(((AY58/AQ58-1)*100)&gt;100,"NM",IF(((AY58/AQ58-1)*100)&lt;-50,"NM",(AY58/AQ58-1)*100)))</f>
        <v>NA</v>
      </c>
      <c r="BA58" s="174">
        <v>0</v>
      </c>
      <c r="BB58" s="81" t="str">
        <f>IF(ISERROR((BA58/AS58-1)*100),"NA",IF(((BA58/AS58-1)*100)&gt;100,"NM",IF(((BA58/AS58-1)*100)&lt;-50,"NM",(BA58/AS58-1)*100)))</f>
        <v>NA</v>
      </c>
      <c r="BC58" s="174">
        <v>0</v>
      </c>
      <c r="BD58" s="81" t="str">
        <f>IF(ISERROR((BC58/AU58-1)*100),"NA",IF(((BC58/AU58-1)*100)&gt;100,"NM",IF(((BC58/AU58-1)*100)&lt;-50,"NM",(BC58/AU58-1)*100)))</f>
        <v>NA</v>
      </c>
      <c r="BE58" s="174">
        <v>0</v>
      </c>
      <c r="BF58" s="81" t="str">
        <f>IF(ISERROR((BE58/AW58-1)*100),"NA",IF(((BE58/AW58-1)*100)&gt;100,"NM",IF(((BE58/AW58-1)*100)&lt;-50,"NM",(BE58/AW58-1)*100)))</f>
        <v>NA</v>
      </c>
      <c r="BG58" s="174">
        <f>-4.5-4.5</f>
        <v>-9</v>
      </c>
      <c r="BH58" s="81" t="str">
        <f>IF(ISERROR((BG58/AY58-1)*100),"NA",IF(((BG58/AY58-1)*100)&gt;100,"NM",IF(((BG58/AY58-1)*100)&lt;-50,"NM",(BG58/AY58-1)*100)))</f>
        <v>NM</v>
      </c>
      <c r="BI58" s="174">
        <v>0</v>
      </c>
      <c r="BJ58" s="81" t="str">
        <f>IF(ISERROR((BI58/BA58-1)*100),"NA",IF(((BI58/BA58-1)*100)&gt;100,"NM",IF(((BI58/BA58-1)*100)&lt;-50,"NM",(BI58/BA58-1)*100)))</f>
        <v>NA</v>
      </c>
      <c r="BK58" s="174">
        <v>-4</v>
      </c>
      <c r="BL58" s="81" t="str">
        <f>IF(ISERROR((BK58/BC58-1)*100),"NA",IF(((BK58/BC58-1)*100)&gt;100,"NM",IF(((BK58/BC58-1)*100)&lt;-50,"NM",(BK58/BC58-1)*100)))</f>
        <v>NA</v>
      </c>
      <c r="BM58" s="174">
        <v>0</v>
      </c>
      <c r="BN58" s="81" t="str">
        <f>IF(ISERROR((BM58/BE58-1)*100),"NA",IF(((BM58/BE58-1)*100)&gt;100,"NM",IF(((BM58/BE58-1)*100)&lt;-50,"NM",(BM58/BE58-1)*100)))</f>
        <v>NA</v>
      </c>
      <c r="BO58" s="174">
        <v>0</v>
      </c>
      <c r="BP58" s="81" t="str">
        <f>IF(ISERROR((BO58/BG58-1)*100),"NA",IF(((BO58/BG58-1)*100)&gt;100,"NM",IF(((BO58/BG58-1)*100)&lt;-50,"NM",(BO58/BG58-1)*100)))</f>
        <v>NM</v>
      </c>
      <c r="BQ58" s="174">
        <v>0</v>
      </c>
      <c r="BR58" s="81" t="str">
        <f>IF(ISERROR((BQ58/BI58-1)*100),"NA",IF(((BQ58/BI58-1)*100)&gt;100,"NM",IF(((BQ58/BI58-1)*100)&lt;-50,"NM",(BQ58/BI58-1)*100)))</f>
        <v>NA</v>
      </c>
      <c r="BS58" s="174">
        <v>0</v>
      </c>
      <c r="BT58" s="81" t="str">
        <f>IF(ISERROR((BS58/BK58-1)*100),"NA",IF(((BS58/BK58-1)*100)&gt;100,"NM",IF(((BS58/BK58-1)*100)&lt;-50,"NM",(BS58/BK58-1)*100)))</f>
        <v>NM</v>
      </c>
      <c r="BU58" s="174">
        <v>0</v>
      </c>
      <c r="BV58" s="81" t="str">
        <f>IF(ISERROR((BU58/BM58-1)*100),"NA",IF(((BU58/BM58-1)*100)&gt;100,"NM",IF(((BU58/BM58-1)*100)&lt;-50,"NM",(BU58/BM58-1)*100)))</f>
        <v>NA</v>
      </c>
      <c r="BW58" s="174">
        <v>0</v>
      </c>
      <c r="BX58" s="81" t="str">
        <f>IF(ISERROR((BW58/BO58-1)*100),"NA",IF(((BW58/BO58-1)*100)&gt;100,"NM",IF(((BW58/BO58-1)*100)&lt;-50,"NM",(BW58/BO58-1)*100)))</f>
        <v>NA</v>
      </c>
      <c r="BY58" s="174">
        <v>0</v>
      </c>
      <c r="BZ58" s="81" t="str">
        <f>IF(ISERROR((BY58/BQ58-1)*100),"NA",IF(((BY58/BQ58-1)*100)&gt;100,"NM",IF(((BY58/BQ58-1)*100)&lt;-50,"NM",(BY58/BQ58-1)*100)))</f>
        <v>NA</v>
      </c>
      <c r="CA58" s="174">
        <v>0</v>
      </c>
      <c r="CB58" s="81" t="str">
        <f>IF(ISERROR((CA58/BS58-1)*100),"NA",IF(((CA58/BS58-1)*100)&gt;100,"NM",IF(((CA58/BS58-1)*100)&lt;-50,"NM",(CA58/BS58-1)*100)))</f>
        <v>NA</v>
      </c>
      <c r="CC58" s="174">
        <v>0</v>
      </c>
      <c r="CD58" s="81" t="str">
        <f>IF(ISERROR((CC58/BU58-1)*100),"NA",IF(((CC58/BU58-1)*100)&gt;100,"NM",IF(((CC58/BU58-1)*100)&lt;-50,"NM",(CC58/BU58-1)*100)))</f>
        <v>NA</v>
      </c>
      <c r="CE58" s="174">
        <v>0</v>
      </c>
      <c r="CF58" s="81" t="str">
        <f>IF(ISERROR((CE58/BW58-1)*100),"NA",IF(((CE58/BW58-1)*100)&gt;100,"NM",IF(((CE58/BW58-1)*100)&lt;-50,"NM",(CE58/BW58-1)*100)))</f>
        <v>NA</v>
      </c>
      <c r="CG58" s="174">
        <v>0</v>
      </c>
      <c r="CH58" s="81" t="str">
        <f>IF(ISERROR((CG58/BY58-1)*100),"NA",IF(((CG58/BY58-1)*100)&gt;100,"NM",IF(((CG58/BY58-1)*100)&lt;-50,"NM",(CG58/BY58-1)*100)))</f>
        <v>NA</v>
      </c>
      <c r="CI58" s="174">
        <v>0</v>
      </c>
      <c r="CJ58" s="81" t="str">
        <f>IF(ISERROR((CI58/CA58-1)*100),"NA",IF(((CI58/CA58-1)*100)&gt;100,"NM",IF(((CI58/CA58-1)*100)&lt;-50,"NM",(CI58/CA58-1)*100)))</f>
        <v>NA</v>
      </c>
      <c r="CK58" s="174">
        <v>0</v>
      </c>
      <c r="CL58" s="81" t="str">
        <f>IF(ISERROR((CK58/CC58-1)*100),"NA",IF(((CK58/CC58-1)*100)&gt;100,"NM",IF(((CK58/CC58-1)*100)&lt;-50,"NM",(CK58/CC58-1)*100)))</f>
        <v>NA</v>
      </c>
      <c r="CM58" s="174">
        <v>0</v>
      </c>
      <c r="CN58" s="81" t="str">
        <f>IF(ISERROR((CM58/CE58-1)*100),"NA",IF(((CM58/CE58-1)*100)&gt;100,"NM",IF(((CM58/CE58-1)*100)&lt;-50,"NM",(CM58/CE58-1)*100)))</f>
        <v>NA</v>
      </c>
      <c r="CO58" s="174">
        <v>0</v>
      </c>
      <c r="CP58" s="81" t="str">
        <f>IF(ISERROR((CO58/CG58-1)*100),"NA",IF(((CO58/CG58-1)*100)&gt;100,"NM",IF(((CO58/CG58-1)*100)&lt;-50,"NM",(CO58/CG58-1)*100)))</f>
        <v>NA</v>
      </c>
      <c r="CQ58" s="174">
        <v>0</v>
      </c>
      <c r="CR58" s="81" t="str">
        <f>IF(ISERROR((CQ58/CI58-1)*100),"NA",IF(((CQ58/CI58-1)*100)&gt;100,"NM",IF(((CQ58/CI58-1)*100)&lt;-50,"NM",(CQ58/CI58-1)*100)))</f>
        <v>NA</v>
      </c>
      <c r="CS58" s="174">
        <v>0</v>
      </c>
      <c r="CT58" s="81" t="str">
        <f>IF(ISERROR((CS58/CK58-1)*100),"NA",IF(((CS58/CK58-1)*100)&gt;100,"NM",IF(((CS58/CK58-1)*100)&lt;-50,"NM",(CS58/CK58-1)*100)))</f>
        <v>NA</v>
      </c>
      <c r="CU58" s="174">
        <v>0</v>
      </c>
      <c r="CV58" s="81" t="str">
        <f>IF(ISERROR((CU58/CM58-1)*100),"NA",IF(((CU58/CM58-1)*100)&gt;100,"NM",IF(((CU58/CM58-1)*100)&lt;-50,"NM",(CU58/CM58-1)*100)))</f>
        <v>NA</v>
      </c>
      <c r="CW58" s="174">
        <v>4</v>
      </c>
      <c r="CX58" s="81" t="str">
        <f>IF(ISERROR((CW58/CO58-1)*100),"NA",IF(((CW58/CO58-1)*100)&gt;100,"NM",IF(((CW58/CO58-1)*100)&lt;-50,"NM",(CW58/CO58-1)*100)))</f>
        <v>NA</v>
      </c>
      <c r="CY58" s="174">
        <v>0</v>
      </c>
      <c r="CZ58" s="81" t="str">
        <f>IF(ISERROR((CY58/CQ58-1)*100),"NA",IF(((CY58/CQ58-1)*100)&gt;100,"NM",IF(((CY58/CQ58-1)*100)&lt;-50,"NM",(CY58/CQ58-1)*100)))</f>
        <v>NA</v>
      </c>
      <c r="DA58" s="174">
        <v>0</v>
      </c>
      <c r="DB58" s="81" t="str">
        <f>IF(ISERROR((DA58/CS58-1)*100),"NA",IF(((DA58/CS58-1)*100)&gt;100,"NM",IF(((DA58/CS58-1)*100)&lt;-50,"NM",(DA58/CS58-1)*100)))</f>
        <v>NA</v>
      </c>
      <c r="DC58" s="174">
        <v>0</v>
      </c>
      <c r="DD58" s="81" t="str">
        <f>IF(ISERROR((DC58/CU58-1)*100),"NA",IF(((DC58/CU58-1)*100)&gt;100,"NM",IF(((DC58/CU58-1)*100)&lt;-50,"NM",(DC58/CU58-1)*100)))</f>
        <v>NA</v>
      </c>
      <c r="DE58" s="174">
        <v>0</v>
      </c>
      <c r="DF58" s="81" t="str">
        <f>IF(ISERROR((DE58/CW58-1)*100),"NA",IF(((DE58/CW58-1)*100)&gt;100,"NM",IF(((DE58/CW58-1)*100)&lt;-50,"NM",(DE58/CW58-1)*100)))</f>
        <v>NM</v>
      </c>
      <c r="DG58" s="174">
        <v>0</v>
      </c>
      <c r="DH58" s="81" t="str">
        <f>IF(ISERROR((DG58/CY58-1)*100),"NA",IF(((DG58/CY58-1)*100)&gt;100,"NM",IF(((DG58/CY58-1)*100)&lt;-50,"NM",(DG58/CY58-1)*100)))</f>
        <v>NA</v>
      </c>
      <c r="DI58" s="174">
        <v>0</v>
      </c>
      <c r="DJ58" s="81" t="str">
        <f>IF(ISERROR((DI58/DA58-1)*100),"NA",IF(((DI58/DA58-1)*100)&gt;100,"NM",IF(((DI58/DA58-1)*100)&lt;-50,"NM",(DI58/DA58-1)*100)))</f>
        <v>NA</v>
      </c>
      <c r="DK58" s="174">
        <v>0</v>
      </c>
      <c r="DL58" s="81" t="str">
        <f>IF(ISERROR((DK58/DC58-1)*100),"NA",IF(((DK58/DC58-1)*100)&gt;100,"NM",IF(((DK58/DC58-1)*100)&lt;-50,"NM",(DK58/DC58-1)*100)))</f>
        <v>NA</v>
      </c>
      <c r="DM58" s="174">
        <v>0</v>
      </c>
      <c r="DN58" s="81" t="str">
        <f>IF(ISERROR((DM58/DE58-1)*100),"NA",IF(((DM58/DE58-1)*100)&gt;100,"NM",IF(((DM58/DE58-1)*100)&lt;-50,"NM",(DM58/DE58-1)*100)))</f>
        <v>NA</v>
      </c>
      <c r="DO58" s="174">
        <v>0</v>
      </c>
      <c r="DP58" s="81" t="str">
        <f>IF(ISERROR((DO58/DG58-1)*100),"NA",IF(((DO58/DG58-1)*100)&gt;100,"NM",IF(((DO58/DG58-1)*100)&lt;-50,"NM",(DO58/DG58-1)*100)))</f>
        <v>NA</v>
      </c>
      <c r="DQ58" s="174">
        <v>0</v>
      </c>
      <c r="DR58" s="81" t="str">
        <f>IF(ISERROR((DQ58/DI58-1)*100),"NA",IF(((DQ58/DI58-1)*100)&gt;100,"NM",IF(((DQ58/DI58-1)*100)&lt;-50,"NM",(DQ58/DI58-1)*100)))</f>
        <v>NA</v>
      </c>
      <c r="DS58" s="174">
        <v>0</v>
      </c>
      <c r="DT58" s="81" t="str">
        <f>IF(ISERROR((DS58/DK58-1)*100),"NA",IF(((DS58/DK58-1)*100)&gt;100,"NM",IF(((DS58/DK58-1)*100)&lt;-50,"NM",(DS58/DK58-1)*100)))</f>
        <v>NA</v>
      </c>
      <c r="DU58" s="174">
        <v>0</v>
      </c>
      <c r="DV58" s="81" t="str">
        <f>IF(ISERROR((DU58/DM58-1)*100),"NA",IF(((DU58/DM58-1)*100)&gt;100,"NM",IF(((DU58/DM58-1)*100)&lt;-50,"NM",(DU58/DM58-1)*100)))</f>
        <v>NA</v>
      </c>
      <c r="DW58" s="174">
        <v>0</v>
      </c>
      <c r="DX58" s="81" t="str">
        <f>IF(ISERROR((DW58/DO58-1)*100),"NA",IF(((DW58/DO58-1)*100)&gt;100,"NM",IF(((DW58/DO58-1)*100)&lt;-50,"NM",(DW58/DO58-1)*100)))</f>
        <v>NA</v>
      </c>
      <c r="DY58" s="174">
        <v>0</v>
      </c>
      <c r="DZ58" s="81" t="str">
        <f>IF(ISERROR((DY58/DQ58-1)*100),"NA",IF(((DY58/DQ58-1)*100)&gt;100,"NM",IF(((DY58/DQ58-1)*100)&lt;-50,"NM",(DY58/DQ58-1)*100)))</f>
        <v>NA</v>
      </c>
      <c r="EA58" s="174">
        <v>0</v>
      </c>
      <c r="EB58" s="81" t="str">
        <f>IF(ISERROR((EA58/DS58-1)*100),"NA",IF(((EA58/DS58-1)*100)&gt;100,"NM",IF(((EA58/DS58-1)*100)&lt;-50,"NM",(EA58/DS58-1)*100)))</f>
        <v>NA</v>
      </c>
      <c r="EC58" s="174">
        <v>0</v>
      </c>
      <c r="ED58" s="81" t="str">
        <f t="shared" ref="ED58:ED59" si="277">IF(ISERROR((EC58/DU58-1)*100),"NA",IF(((EC58/DU58-1)*100)&gt;100,"NM",IF(((EC58/DU58-1)*100)&lt;-50,"NM",(EC58/DU58-1)*100)))</f>
        <v>NA</v>
      </c>
      <c r="EE58" s="174">
        <v>0</v>
      </c>
      <c r="EF58" s="81" t="str">
        <f t="shared" ref="EF58:EF59" si="278">IF(ISERROR((EE58/DW58-1)*100),"NA",IF(((EE58/DW58-1)*100)&gt;100,"NM",IF(((EE58/DW58-1)*100)&lt;-50,"NM",(EE58/DW58-1)*100)))</f>
        <v>NA</v>
      </c>
      <c r="EG58" s="174">
        <v>0</v>
      </c>
      <c r="EH58" s="81" t="str">
        <f t="shared" ref="EH58:EH59" si="279">IF(ISERROR((EG58/DY58-1)*100),"NA",IF(((EG58/DY58-1)*100)&gt;100,"NM",IF(((EG58/DY58-1)*100)&lt;-50,"NM",(EG58/DY58-1)*100)))</f>
        <v>NA</v>
      </c>
      <c r="EI58" s="174">
        <v>0</v>
      </c>
      <c r="EJ58" s="81" t="str">
        <f t="shared" ref="EJ58:EJ59" si="280">IF(ISERROR((EI58/EA58-1)*100),"NA",IF(((EI58/EA58-1)*100)&gt;100,"NM",IF(((EI58/EA58-1)*100)&lt;-50,"NM",(EI58/EA58-1)*100)))</f>
        <v>NA</v>
      </c>
      <c r="EK58" s="174">
        <v>0</v>
      </c>
      <c r="EL58" s="81" t="str">
        <f t="shared" ref="EL58:EL59" si="281">IF(ISERROR((EK58/EC58-1)*100),"NA",IF(((EK58/EC58-1)*100)&gt;100,"NM",IF(((EK58/EC58-1)*100)&lt;-50,"NM",(EK58/EC58-1)*100)))</f>
        <v>NA</v>
      </c>
      <c r="EM58" s="174">
        <v>0</v>
      </c>
      <c r="EN58" s="81" t="str">
        <f t="shared" ref="EN58:EN59" si="282">IF(ISERROR((EM58/EE58-1)*100),"NA",IF(((EM58/EE58-1)*100)&gt;100,"NM",IF(((EM58/EE58-1)*100)&lt;-50,"NM",(EM58/EE58-1)*100)))</f>
        <v>NA</v>
      </c>
      <c r="EO58" s="174">
        <v>0</v>
      </c>
      <c r="EP58" s="81" t="str">
        <f t="shared" ref="EP58:EP59" si="283">IF(ISERROR((EO58/EG58-1)*100),"NA",IF(((EO58/EG58-1)*100)&gt;100,"NM",IF(((EO58/EG58-1)*100)&lt;-50,"NM",(EO58/EG58-1)*100)))</f>
        <v>NA</v>
      </c>
      <c r="EQ58" s="174">
        <v>0</v>
      </c>
      <c r="ER58" s="81" t="str">
        <f t="shared" ref="ER58:ER59" si="284">IF(ISERROR((EQ58/EI58-1)*100),"NA",IF(((EQ58/EI58-1)*100)&gt;100,"NM",IF(((EQ58/EI58-1)*100)&lt;-50,"NM",(EQ58/EI58-1)*100)))</f>
        <v>NA</v>
      </c>
      <c r="ES58" s="174"/>
      <c r="ET58" s="473"/>
      <c r="EU58" s="174"/>
      <c r="EV58" s="175"/>
      <c r="EW58" s="176"/>
      <c r="EX58" s="175"/>
      <c r="EY58" s="176"/>
      <c r="EZ58" s="175"/>
      <c r="FA58" s="176"/>
      <c r="FB58" s="175"/>
      <c r="FC58" s="176"/>
      <c r="FD58" s="175">
        <f>O58+Q58+S58+M58</f>
        <v>0</v>
      </c>
      <c r="FE58" s="176" t="str">
        <f>IF(ISERROR((FD58/FB58-1)*100),"NA",IF(((FD58/FB58-1)*100)&gt;100,"NM",IF(((FD58/FB58-1)*100)&lt;-50,"NM",(FD58/FB58-1)*100)))</f>
        <v>NA</v>
      </c>
      <c r="FF58" s="175">
        <f>U58+W58+Y58+AA58</f>
        <v>0</v>
      </c>
      <c r="FG58" s="176" t="str">
        <f>IF(ISERROR((FF58/FD58-1)*100),"NA",IF(((FF58/FD58-1)*100)&gt;100,"NM",IF(((FF58/FD58-1)*100)&lt;-50,"NM",(FF58/FD58-1)*100)))</f>
        <v>NA</v>
      </c>
      <c r="FH58" s="175">
        <f>AC58+AE58+AG58+AI58</f>
        <v>0</v>
      </c>
      <c r="FI58" s="176" t="str">
        <f>IF(ISERROR((FH58/FF58-1)*100),"NA",IF(((FH58/FF58-1)*100)&gt;100,"NM",IF(((FH58/FF58-1)*100)&lt;-50,"NM",(FH58/FF58-1)*100)))</f>
        <v>NA</v>
      </c>
      <c r="FJ58" s="175">
        <f>AK58+AM58+AO58+AQ58</f>
        <v>0</v>
      </c>
      <c r="FK58" s="176" t="str">
        <f>IF(ISERROR((FJ58/FH58-1)*100),"NA",IF(((FJ58/FH58-1)*100)&gt;100,"NM",IF(((FJ58/FH58-1)*100)&lt;-50,"NM",(FJ58/FH58-1)*100)))</f>
        <v>NA</v>
      </c>
      <c r="FL58" s="175">
        <f>AS58+AU58+AW58+AY58</f>
        <v>12</v>
      </c>
      <c r="FM58" s="176" t="str">
        <f>IF(ISERROR((FL58/FJ58-1)*100),"NA",IF(((FL58/FJ58-1)*100)&gt;100,"NM",IF(((FL58/FJ58-1)*100)&lt;-50,"NM",(FL58/FJ58-1)*100)))</f>
        <v>NA</v>
      </c>
      <c r="FN58" s="175">
        <f>BA58+BC58+BE58+BG58</f>
        <v>-9</v>
      </c>
      <c r="FO58" s="176" t="str">
        <f>IF(ISERROR((FN58/FL58-1)*100),"NA",IF(((FN58/FL58-1)*100)&gt;100,"NM",IF(((FN58/FL58-1)*100)&lt;-50,"NM",(FN58/FL58-1)*100)))</f>
        <v>NM</v>
      </c>
      <c r="FP58" s="175">
        <f>BI58+BK58+BM58+BO58</f>
        <v>-4</v>
      </c>
      <c r="FQ58" s="176" t="str">
        <f>IF(ISERROR((FP58/FN58-1)*100),"NA",IF(((FP58/FN58-1)*100)&gt;100,"NM",IF(((FP58/FN58-1)*100)&lt;-50,"NM",(FP58/FN58-1)*100)))</f>
        <v>NM</v>
      </c>
      <c r="FR58" s="177">
        <f>BQ58+BS58+BU58+BW58</f>
        <v>0</v>
      </c>
      <c r="FS58" s="176" t="str">
        <f>IF(ISERROR((FR58/FP58-1)*100),"NA",IF(((FR58/FP58-1)*100)&gt;100,"NM",IF(((FR58/FP58-1)*100)&lt;-50,"NM",(FR58/FP58-1)*100)))</f>
        <v>NM</v>
      </c>
      <c r="FT58" s="177">
        <f>BY58+CA58+CC58+CE58</f>
        <v>0</v>
      </c>
      <c r="FU58" s="176" t="str">
        <f>IF(ISERROR((FT58/FR58-1)*100),"NA",IF(((FT58/FR58-1)*100)&gt;100,"NM",IF(((FT58/FR58-1)*100)&lt;-50,"NM",(FT58/FR58-1)*100)))</f>
        <v>NA</v>
      </c>
      <c r="FV58" s="177">
        <f>CG58+CI58+CK58+CM58</f>
        <v>0</v>
      </c>
      <c r="FW58" s="176" t="str">
        <f>IF(ISERROR((FV58/FT58-1)*100),"NA",IF(((FV58/FT58-1)*100)&gt;100,"NM",IF(((FV58/FT58-1)*100)&lt;-50,"NM",(FV58/FT58-1)*100)))</f>
        <v>NA</v>
      </c>
      <c r="FX58" s="177">
        <f>CO58+CQ58+CS58+CU58</f>
        <v>0</v>
      </c>
      <c r="FY58" s="176" t="str">
        <f>IF(ISERROR((FX58/FV58-1)*100),"NA",IF(((FX58/FV58-1)*100)&gt;100,"NM",IF(((FX58/FV58-1)*100)&lt;-50,"NM",(FX58/FV58-1)*100)))</f>
        <v>NA</v>
      </c>
      <c r="FZ58" s="177">
        <f>CW58+CY58+DA58+DC58</f>
        <v>4</v>
      </c>
      <c r="GA58" s="176" t="str">
        <f>IF(ISERROR((FZ58/FX58-1)*100),"NA",IF(((FZ58/FX58-1)*100)&gt;100,"NM",IF(((FZ58/FX58-1)*100)&lt;-50,"NM",(FZ58/FX58-1)*100)))</f>
        <v>NA</v>
      </c>
      <c r="GB58" s="177">
        <f>DE58+DG58+DI58+DK58</f>
        <v>0</v>
      </c>
      <c r="GC58" s="176" t="str">
        <f>IF(ISERROR((GB58/FZ58-1)*100),"NA",IF(((GB58/FZ58-1)*100)&gt;100,"NM",IF(((GB58/FZ58-1)*100)&lt;-50,"NM",(GB58/FZ58-1)*100)))</f>
        <v>NM</v>
      </c>
      <c r="GD58" s="177">
        <f>DM58+DO58+DQ58+DS58</f>
        <v>0</v>
      </c>
      <c r="GE58" s="176" t="str">
        <f>IF(ISERROR((GD58/GB58-1)*100),"NA",IF(((GD58/GB58-1)*100)&gt;100,"NM",IF(((GD58/GB58-1)*100)&lt;-50,"NM",(GD58/GB58-1)*100)))</f>
        <v>NA</v>
      </c>
      <c r="GF58" s="177">
        <f>DU58+DW58+DY58+EA58</f>
        <v>0</v>
      </c>
      <c r="GG58" s="176" t="str">
        <f>IF(ISERROR((GF58/GD58-1)*100),"NA",IF(((GF58/GD58-1)*100)&gt;100,"NM",IF(((GF58/GD58-1)*100)&lt;-50,"NM",(GF58/GD58-1)*100)))</f>
        <v>NA</v>
      </c>
      <c r="GH58" s="177">
        <f>EC58+EE58+EG58+EI58</f>
        <v>0</v>
      </c>
      <c r="GI58" s="176" t="str">
        <f>IF(ISERROR((GH58/GF58-1)*100),"NA",IF(((GH58/GF58-1)*100)&gt;100,"NM",IF(((GH58/GF58-1)*100)&lt;-50,"NM",(GH58/GF58-1)*100)))</f>
        <v>NA</v>
      </c>
      <c r="GJ58" s="177">
        <f>EK58+EM58+EO58+EQ58</f>
        <v>0</v>
      </c>
      <c r="GK58" s="176" t="str">
        <f>IF(ISERROR((GJ58/GH58-1)*100),"NA",IF(((GJ58/GH58-1)*100)&gt;100,"NM",IF(((GJ58/GH58-1)*100)&lt;-50,"NM",(GJ58/GH58-1)*100)))</f>
        <v>NA</v>
      </c>
      <c r="GL58" s="174">
        <v>0</v>
      </c>
      <c r="GM58" s="176" t="str">
        <f>IF(ISERROR((GL58/GJ58-1)*100),"NA",IF(((GL58/GJ58-1)*100)&gt;100,"NM",IF(((GL58/GJ58-1)*100)&lt;-50,"NM",(GL58/GJ58-1)*100)))</f>
        <v>NA</v>
      </c>
      <c r="GN58" s="174">
        <v>0</v>
      </c>
      <c r="GO58" s="176" t="str">
        <f>IF(ISERROR((GN58/GL58-1)*100),"NA",IF(((GN58/GL58-1)*100)&gt;100,"NM",IF(((GN58/GL58-1)*100)&lt;-50,"NM",(GN58/GL58-1)*100)))</f>
        <v>NA</v>
      </c>
      <c r="GP58" s="174">
        <v>0</v>
      </c>
      <c r="GQ58" s="176" t="str">
        <f>IF(ISERROR((GP58/GN58-1)*100),"NA",IF(((GP58/GN58-1)*100)&gt;100,"NM",IF(((GP58/GN58-1)*100)&lt;-50,"NM",(GP58/GN58-1)*100)))</f>
        <v>NA</v>
      </c>
      <c r="GR58" s="174">
        <v>0</v>
      </c>
      <c r="GS58" s="176" t="str">
        <f>IF(ISERROR((GR58/GP58-1)*100),"NA",IF(((GR58/GP58-1)*100)&gt;100,"NM",IF(((GR58/GP58-1)*100)&lt;-50,"NM",(GR58/GP58-1)*100)))</f>
        <v>NA</v>
      </c>
      <c r="GT58" s="79" t="str">
        <f>IF(ISERROR(((GR58/GH58)^0.2-1)*100),"NA",(IF(OR(((GR58/GH58)^0.2-1)*100&gt;99,((GR58/GH58)^0.2-1)*100&lt;-50),"NM",(((GR58/GH58)^0.2-1)*100))))</f>
        <v>NA</v>
      </c>
    </row>
    <row r="59" spans="1:286" ht="12.75" customHeight="1" x14ac:dyDescent="0.2">
      <c r="A59" s="1"/>
      <c r="B59" s="68" t="s">
        <v>474</v>
      </c>
      <c r="C59" s="79"/>
      <c r="D59" s="79"/>
      <c r="E59" s="171"/>
      <c r="F59" s="171"/>
      <c r="G59" s="171"/>
      <c r="H59" s="171"/>
      <c r="I59" s="171"/>
      <c r="J59" s="171"/>
      <c r="K59" s="171"/>
      <c r="L59" s="79"/>
      <c r="M59" s="171"/>
      <c r="N59" s="79"/>
      <c r="O59" s="171"/>
      <c r="P59" s="79"/>
      <c r="Q59" s="171"/>
      <c r="R59" s="79"/>
      <c r="S59" s="171"/>
      <c r="T59" s="79"/>
      <c r="U59" s="171"/>
      <c r="V59" s="79"/>
      <c r="W59" s="171"/>
      <c r="X59" s="79"/>
      <c r="Y59" s="171"/>
      <c r="Z59" s="79"/>
      <c r="AA59" s="172"/>
      <c r="AB59" s="79"/>
      <c r="AC59" s="178">
        <f>AC55-AC58</f>
        <v>-5.0999999999999091</v>
      </c>
      <c r="AD59" s="79" t="str">
        <f>IF(ISERROR((AC59/U59-1)*100),"NA",IF(((AC59/U59-1)*100)&gt;100,"NM",IF(((AC59/U59-1)*100)&lt;-50,"NM",(AC59/U59-1)*100)))</f>
        <v>NA</v>
      </c>
      <c r="AE59" s="178">
        <f>AE55-AE58</f>
        <v>19.000000000000114</v>
      </c>
      <c r="AF59" s="79" t="str">
        <f>IF(ISERROR((AE59/W59-1)*100),"NA",IF(((AE59/W59-1)*100)&gt;100,"NM",IF(((AE59/W59-1)*100)&lt;-50,"NM",(AE59/W59-1)*100)))</f>
        <v>NA</v>
      </c>
      <c r="AG59" s="178">
        <f>AG55-AG58</f>
        <v>16.700000000000045</v>
      </c>
      <c r="AH59" s="79" t="str">
        <f>IF(ISERROR((AG59/Y59-1)*100),"NA",IF(((AG59/Y59-1)*100)&gt;100,"NM",IF(((AG59/Y59-1)*100)&lt;-50,"NM",(AG59/Y59-1)*100)))</f>
        <v>NA</v>
      </c>
      <c r="AI59" s="178">
        <f>AI55-AI58</f>
        <v>-88.600000000000136</v>
      </c>
      <c r="AJ59" s="79" t="str">
        <f>IF(ISERROR((AI59/AA59-1)*100),"NA",IF(((AI59/AA59-1)*100)&gt;100,"NM",IF(((AI59/AA59-1)*100)&lt;-50,"NM",(AI59/AA59-1)*100)))</f>
        <v>NA</v>
      </c>
      <c r="AK59" s="178">
        <f>AK55-AK58</f>
        <v>3.5000000000003411</v>
      </c>
      <c r="AL59" s="79" t="str">
        <f>IF(ISERROR((AK59/AC59-1)*100),"NA",IF(((AK59/AC59-1)*100)&gt;100,"NM",IF(((AK59/AC59-1)*100)&lt;-50,"NM",(AK59/AC59-1)*100)))</f>
        <v>NM</v>
      </c>
      <c r="AM59" s="178">
        <f>AM55-AM58</f>
        <v>20.099999999999795</v>
      </c>
      <c r="AN59" s="79">
        <f>IF(ISERROR((AM59/AE59-1)*100),"NA",IF(((AM59/AE59-1)*100)&gt;100,"NM",IF(((AM59/AE59-1)*100)&lt;-50,"NM",(AM59/AE59-1)*100)))</f>
        <v>5.7894736842088124</v>
      </c>
      <c r="AO59" s="178">
        <f>AO55-AO58</f>
        <v>31.199999999999932</v>
      </c>
      <c r="AP59" s="79">
        <f>IF(ISERROR((AO59/AG59-1)*100),"NA",IF(((AO59/AG59-1)*100)&gt;100,"NM",IF(((AO59/AG59-1)*100)&lt;-50,"NM",(AO59/AG59-1)*100)))</f>
        <v>86.826347305388296</v>
      </c>
      <c r="AQ59" s="178">
        <f>AQ55-AQ58</f>
        <v>13.599999999999909</v>
      </c>
      <c r="AR59" s="79" t="str">
        <f>IF(ISERROR((AQ59/AI59-1)*100),"NA",IF(((AQ59/AI59-1)*100)&gt;100,"NM",IF(((AQ59/AI59-1)*100)&lt;-50,"NM",(AQ59/AI59-1)*100)))</f>
        <v>NM</v>
      </c>
      <c r="AS59" s="178">
        <f>AS55-AS58</f>
        <v>1.1999999999998181</v>
      </c>
      <c r="AT59" s="81" t="str">
        <f>IF(ISERROR((AS59/AK59-1)*100),"NA",IF(((AS59/AK59-1)*100)&gt;100,"NM",IF(((AS59/AK59-1)*100)&lt;-50,"NM",(AS59/AK59-1)*100)))</f>
        <v>NM</v>
      </c>
      <c r="AU59" s="178">
        <f>AU55-AU58</f>
        <v>10.399999999999864</v>
      </c>
      <c r="AV59" s="81">
        <f>IF(ISERROR((AU59/AM59-1)*100),"NA",IF(((AU59/AM59-1)*100)&gt;100,"NM",IF(((AU59/AM59-1)*100)&lt;-50,"NM",(AU59/AM59-1)*100)))</f>
        <v>-48.258706467661838</v>
      </c>
      <c r="AW59" s="178">
        <f>AW55-AW58</f>
        <v>16.400000000000091</v>
      </c>
      <c r="AX59" s="81">
        <f>IF(ISERROR((AW59/AO59-1)*100),"NA",IF(((AW59/AO59-1)*100)&gt;100,"NM",IF(((AW59/AO59-1)*100)&lt;-50,"NM",(AW59/AO59-1)*100)))</f>
        <v>-47.435897435897033</v>
      </c>
      <c r="AY59" s="178">
        <f>AY55-AY58</f>
        <v>23.100000000000023</v>
      </c>
      <c r="AZ59" s="81">
        <f>IF(ISERROR((AY59/AQ59-1)*100),"NA",IF(((AY59/AQ59-1)*100)&gt;100,"NM",IF(((AY59/AQ59-1)*100)&lt;-50,"NM",(AY59/AQ59-1)*100)))</f>
        <v>69.852941176471887</v>
      </c>
      <c r="BA59" s="178">
        <f>BA55-BA58</f>
        <v>29.700000000000045</v>
      </c>
      <c r="BB59" s="81" t="str">
        <f>IF(ISERROR((BA59/AS59-1)*100),"NA",IF(((BA59/AS59-1)*100)&gt;100,"NM",IF(((BA59/AS59-1)*100)&lt;-50,"NM",(BA59/AS59-1)*100)))</f>
        <v>NM</v>
      </c>
      <c r="BC59" s="178">
        <f>BC55-BC58</f>
        <v>51.899999999999977</v>
      </c>
      <c r="BD59" s="81" t="str">
        <f>IF(ISERROR((BC59/AU59-1)*100),"NA",IF(((BC59/AU59-1)*100)&gt;100,"NM",IF(((BC59/AU59-1)*100)&lt;-50,"NM",(BC59/AU59-1)*100)))</f>
        <v>NM</v>
      </c>
      <c r="BE59" s="178">
        <f>BE55-BE58</f>
        <v>51.499999999999886</v>
      </c>
      <c r="BF59" s="81" t="str">
        <f>IF(ISERROR((BE59/AW59-1)*100),"NA",IF(((BE59/AW59-1)*100)&gt;100,"NM",IF(((BE59/AW59-1)*100)&lt;-50,"NM",(BE59/AW59-1)*100)))</f>
        <v>NM</v>
      </c>
      <c r="BG59" s="178">
        <f>BG55-BG58</f>
        <v>52.200000000000045</v>
      </c>
      <c r="BH59" s="81" t="str">
        <f>IF(ISERROR((BG59/AY59-1)*100),"NA",IF(((BG59/AY59-1)*100)&gt;100,"NM",IF(((BG59/AY59-1)*100)&lt;-50,"NM",(BG59/AY59-1)*100)))</f>
        <v>NM</v>
      </c>
      <c r="BI59" s="178">
        <f>BI55-BI58</f>
        <v>40.100000000000023</v>
      </c>
      <c r="BJ59" s="81">
        <f>IF(ISERROR((BI59/BA59-1)*100),"NA",IF(((BI59/BA59-1)*100)&gt;100,"NM",IF(((BI59/BA59-1)*100)&lt;-50,"NM",(BI59/BA59-1)*100)))</f>
        <v>35.016835016834882</v>
      </c>
      <c r="BK59" s="178">
        <f>BK55-BK58</f>
        <v>50.999999999999886</v>
      </c>
      <c r="BL59" s="81">
        <f>IF(ISERROR((BK59/BC59-1)*100),"NA",IF(((BK59/BC59-1)*100)&gt;100,"NM",IF(((BK59/BC59-1)*100)&lt;-50,"NM",(BK59/BC59-1)*100)))</f>
        <v>-1.7341040462429458</v>
      </c>
      <c r="BM59" s="178">
        <f>BM55-BM58</f>
        <v>54.599999999999909</v>
      </c>
      <c r="BN59" s="81">
        <f>IF(ISERROR((BM59/BE59-1)*100),"NA",IF(((BM59/BE59-1)*100)&gt;100,"NM",IF(((BM59/BE59-1)*100)&lt;-50,"NM",(BM59/BE59-1)*100)))</f>
        <v>6.019417475728206</v>
      </c>
      <c r="BO59" s="178">
        <f>BO55-BO58</f>
        <v>59.700000000000159</v>
      </c>
      <c r="BP59" s="81">
        <f>IF(ISERROR((BO59/BG59-1)*100),"NA",IF(((BO59/BG59-1)*100)&gt;100,"NM",IF(((BO59/BG59-1)*100)&lt;-50,"NM",(BO59/BG59-1)*100)))</f>
        <v>14.367816091954232</v>
      </c>
      <c r="BQ59" s="178">
        <f>BQ55-BQ58</f>
        <v>57.699999999999932</v>
      </c>
      <c r="BR59" s="81">
        <f>IF(ISERROR((BQ59/BI59-1)*100),"NA",IF(((BQ59/BI59-1)*100)&gt;100,"NM",IF(((BQ59/BI59-1)*100)&lt;-50,"NM",(BQ59/BI59-1)*100)))</f>
        <v>43.890274314214217</v>
      </c>
      <c r="BS59" s="178">
        <f>BS55-BS58</f>
        <v>68.300000000000068</v>
      </c>
      <c r="BT59" s="81">
        <f>IF(ISERROR((BS59/BK59-1)*100),"NA",IF(((BS59/BK59-1)*100)&gt;100,"NM",IF(((BS59/BK59-1)*100)&lt;-50,"NM",(BS59/BK59-1)*100)))</f>
        <v>33.921568627451414</v>
      </c>
      <c r="BU59" s="178">
        <f>BU55-BU58</f>
        <v>75</v>
      </c>
      <c r="BV59" s="81">
        <f>IF(ISERROR((BU59/BM59-1)*100),"NA",IF(((BU59/BM59-1)*100)&gt;100,"NM",IF(((BU59/BM59-1)*100)&lt;-50,"NM",(BU59/BM59-1)*100)))</f>
        <v>37.362637362637585</v>
      </c>
      <c r="BW59" s="178">
        <f>BW55-BW58</f>
        <v>72.599999999999909</v>
      </c>
      <c r="BX59" s="81">
        <f>IF(ISERROR((BW59/BO59-1)*100),"NA",IF(((BW59/BO59-1)*100)&gt;100,"NM",IF(((BW59/BO59-1)*100)&lt;-50,"NM",(BW59/BO59-1)*100)))</f>
        <v>21.608040201004552</v>
      </c>
      <c r="BY59" s="178">
        <f>BY55-BY58</f>
        <v>75.799999999999955</v>
      </c>
      <c r="BZ59" s="81">
        <f>IF(ISERROR((BY59/BQ59-1)*100),"NA",IF(((BY59/BQ59-1)*100)&gt;100,"NM",IF(((BY59/BQ59-1)*100)&lt;-50,"NM",(BY59/BQ59-1)*100)))</f>
        <v>31.369150779896081</v>
      </c>
      <c r="CA59" s="178">
        <f>CA55-CA58</f>
        <v>84.700000000000045</v>
      </c>
      <c r="CB59" s="81">
        <f>IF(ISERROR((CA59/BS59-1)*100),"NA",IF(((CA59/BS59-1)*100)&gt;100,"NM",IF(((CA59/BS59-1)*100)&lt;-50,"NM",(CA59/BS59-1)*100)))</f>
        <v>24.011713030746652</v>
      </c>
      <c r="CC59" s="178">
        <f>CC55-CC58</f>
        <v>78.5</v>
      </c>
      <c r="CD59" s="81">
        <f>IF(ISERROR((CC59/BU59-1)*100),"NA",IF(((CC59/BU59-1)*100)&gt;100,"NM",IF(((CC59/BU59-1)*100)&lt;-50,"NM",(CC59/BU59-1)*100)))</f>
        <v>4.6666666666666634</v>
      </c>
      <c r="CE59" s="178">
        <f>CE55-CE58</f>
        <v>78.200000000000045</v>
      </c>
      <c r="CF59" s="81">
        <f>IF(ISERROR((CE59/BW59-1)*100),"NA",IF(((CE59/BW59-1)*100)&gt;100,"NM",IF(((CE59/BW59-1)*100)&lt;-50,"NM",(CE59/BW59-1)*100)))</f>
        <v>7.7134986225897206</v>
      </c>
      <c r="CG59" s="178">
        <f>CG55-CG58</f>
        <v>73.800000000000068</v>
      </c>
      <c r="CH59" s="81">
        <f>IF(ISERROR((CG59/BY59-1)*100),"NA",IF(((CG59/BY59-1)*100)&gt;100,"NM",IF(((CG59/BY59-1)*100)&lt;-50,"NM",(CG59/BY59-1)*100)))</f>
        <v>-2.6385224274404817</v>
      </c>
      <c r="CI59" s="178">
        <f>CI55-CI58</f>
        <v>78.699999999999932</v>
      </c>
      <c r="CJ59" s="81">
        <f>IF(ISERROR((CI59/CA59-1)*100),"NA",IF(((CI59/CA59-1)*100)&gt;100,"NM",IF(((CI59/CA59-1)*100)&lt;-50,"NM",(CI59/CA59-1)*100)))</f>
        <v>-7.083825265643573</v>
      </c>
      <c r="CK59" s="178">
        <f>CK55-CK58</f>
        <v>72.700000000000045</v>
      </c>
      <c r="CL59" s="81">
        <f>IF(ISERROR((CK59/CC59-1)*100),"NA",IF(((CK59/CC59-1)*100)&gt;100,"NM",IF(((CK59/CC59-1)*100)&lt;-50,"NM",(CK59/CC59-1)*100)))</f>
        <v>-7.3885350318470771</v>
      </c>
      <c r="CM59" s="178">
        <f>CM55-CM58</f>
        <v>77.100000000000023</v>
      </c>
      <c r="CN59" s="81">
        <f>IF(ISERROR((CM59/CE59-1)*100),"NA",IF(((CM59/CE59-1)*100)&gt;100,"NM",IF(((CM59/CE59-1)*100)&lt;-50,"NM",(CM59/CE59-1)*100)))</f>
        <v>-1.4066496163683162</v>
      </c>
      <c r="CO59" s="178">
        <f>CO55-CO58</f>
        <v>74.700000000000045</v>
      </c>
      <c r="CP59" s="81">
        <f>IF(ISERROR((CO59/CG59-1)*100),"NA",IF(((CO59/CG59-1)*100)&gt;100,"NM",IF(((CO59/CG59-1)*100)&lt;-50,"NM",(CO59/CG59-1)*100)))</f>
        <v>1.2195121951219301</v>
      </c>
      <c r="CQ59" s="178">
        <f>CQ55-CQ58</f>
        <v>70.399999999999977</v>
      </c>
      <c r="CR59" s="81">
        <f>IF(ISERROR((CQ59/CI59-1)*100),"NA",IF(((CQ59/CI59-1)*100)&gt;100,"NM",IF(((CQ59/CI59-1)*100)&lt;-50,"NM",(CQ59/CI59-1)*100)))</f>
        <v>-10.546378653113042</v>
      </c>
      <c r="CS59" s="178">
        <f>CS55-CS58</f>
        <v>74.5</v>
      </c>
      <c r="CT59" s="81">
        <f>IF(ISERROR((CS59/CK59-1)*100),"NA",IF(((CS59/CK59-1)*100)&gt;100,"NM",IF(((CS59/CK59-1)*100)&lt;-50,"NM",(CS59/CK59-1)*100)))</f>
        <v>2.475928473177369</v>
      </c>
      <c r="CU59" s="178">
        <f>CU55-CU58</f>
        <v>73.5</v>
      </c>
      <c r="CV59" s="81">
        <f>IF(ISERROR((CU59/CM59-1)*100),"NA",IF(((CU59/CM59-1)*100)&gt;100,"NM",IF(((CU59/CM59-1)*100)&lt;-50,"NM",(CU59/CM59-1)*100)))</f>
        <v>-4.6692607003891329</v>
      </c>
      <c r="CW59" s="178">
        <f>CW55-CW58</f>
        <v>73.199999999999932</v>
      </c>
      <c r="CX59" s="81">
        <f>IF(ISERROR((CW59/CO59-1)*100),"NA",IF(((CW59/CO59-1)*100)&gt;100,"NM",IF(((CW59/CO59-1)*100)&lt;-50,"NM",(CW59/CO59-1)*100)))</f>
        <v>-2.0080321285142033</v>
      </c>
      <c r="CY59" s="178">
        <f>CY55-CY58</f>
        <v>72</v>
      </c>
      <c r="CZ59" s="81">
        <f>IF(ISERROR((CY59/CQ59-1)*100),"NA",IF(((CY59/CQ59-1)*100)&gt;100,"NM",IF(((CY59/CQ59-1)*100)&lt;-50,"NM",(CY59/CQ59-1)*100)))</f>
        <v>2.2727272727273151</v>
      </c>
      <c r="DA59" s="178">
        <f>DA55-DA58</f>
        <v>77.899999999999977</v>
      </c>
      <c r="DB59" s="81">
        <f>IF(ISERROR((DA59/CS59-1)*100),"NA",IF(((DA59/CS59-1)*100)&gt;100,"NM",IF(((DA59/CS59-1)*100)&lt;-50,"NM",(DA59/CS59-1)*100)))</f>
        <v>4.5637583892617073</v>
      </c>
      <c r="DC59" s="178">
        <f>DC55-DC58</f>
        <v>68.600000000000023</v>
      </c>
      <c r="DD59" s="81">
        <f>IF(ISERROR((DC59/CU59-1)*100),"NA",IF(((DC59/CU59-1)*100)&gt;100,"NM",IF(((DC59/CU59-1)*100)&lt;-50,"NM",(DC59/CU59-1)*100)))</f>
        <v>-6.6666666666666323</v>
      </c>
      <c r="DE59" s="178">
        <f>DE55-DE58</f>
        <v>67.599999999999909</v>
      </c>
      <c r="DF59" s="81">
        <f>IF(ISERROR((DE59/CW59-1)*100),"NA",IF(((DE59/CW59-1)*100)&gt;100,"NM",IF(((DE59/CW59-1)*100)&lt;-50,"NM",(DE59/CW59-1)*100)))</f>
        <v>-7.6502732240437581</v>
      </c>
      <c r="DG59" s="178">
        <f>DG55-DG58</f>
        <v>72.699999999999932</v>
      </c>
      <c r="DH59" s="81">
        <f>IF(ISERROR((DG59/CY59-1)*100),"NA",IF(((DG59/CY59-1)*100)&gt;100,"NM",IF(((DG59/CY59-1)*100)&lt;-50,"NM",(DG59/CY59-1)*100)))</f>
        <v>0.97222222222212995</v>
      </c>
      <c r="DI59" s="178">
        <f>DI55-DI58</f>
        <v>68.600000000000023</v>
      </c>
      <c r="DJ59" s="81">
        <f>IF(ISERROR((DI59/DA59-1)*100),"NA",IF(((DI59/DA59-1)*100)&gt;100,"NM",IF(((DI59/DA59-1)*100)&lt;-50,"NM",(DI59/DA59-1)*100)))</f>
        <v>-11.938382541720093</v>
      </c>
      <c r="DK59" s="178">
        <f>DK55-DK58</f>
        <v>65.899999999999977</v>
      </c>
      <c r="DL59" s="81">
        <f>IF(ISERROR((DK59/DC59-1)*100),"NA",IF(((DK59/DC59-1)*100)&gt;100,"NM",IF(((DK59/DC59-1)*100)&lt;-50,"NM",(DK59/DC59-1)*100)))</f>
        <v>-3.9358600583091041</v>
      </c>
      <c r="DM59" s="178">
        <f>DM55-DM58</f>
        <v>74.300000000000068</v>
      </c>
      <c r="DN59" s="81">
        <f>IF(ISERROR((DM59/DE59-1)*100),"NA",IF(((DM59/DE59-1)*100)&gt;100,"NM",IF(((DM59/DE59-1)*100)&lt;-50,"NM",(DM59/DE59-1)*100)))</f>
        <v>9.9112426035505408</v>
      </c>
      <c r="DO59" s="178">
        <f>DO55-DO58</f>
        <v>61.200000000000045</v>
      </c>
      <c r="DP59" s="81">
        <f>IF(ISERROR((DO59/DG59-1)*100),"NA",IF(((DO59/DG59-1)*100)&gt;100,"NM",IF(((DO59/DG59-1)*100)&lt;-50,"NM",(DO59/DG59-1)*100)))</f>
        <v>-15.818431911966846</v>
      </c>
      <c r="DQ59" s="178">
        <f>DQ55-DQ58</f>
        <v>70.800000000000068</v>
      </c>
      <c r="DR59" s="81">
        <f>IF(ISERROR((DQ59/DI59-1)*100),"NA",IF(((DQ59/DI59-1)*100)&gt;100,"NM",IF(((DQ59/DI59-1)*100)&lt;-50,"NM",(DQ59/DI59-1)*100)))</f>
        <v>3.2069970845481688</v>
      </c>
      <c r="DS59" s="178">
        <f>DS55-DS58</f>
        <v>66.100000000000023</v>
      </c>
      <c r="DT59" s="81">
        <f>IF(ISERROR((DS59/DK59-1)*100),"NA",IF(((DS59/DK59-1)*100)&gt;100,"NM",IF(((DS59/DK59-1)*100)&lt;-50,"NM",(DS59/DK59-1)*100)))</f>
        <v>0.30349013657062773</v>
      </c>
      <c r="DU59" s="178">
        <f>DU55-DU58</f>
        <v>70.399999999999864</v>
      </c>
      <c r="DV59" s="81">
        <f>IF(ISERROR((DU59/DM59-1)*100),"NA",IF(((DU59/DM59-1)*100)&gt;100,"NM",IF(((DU59/DM59-1)*100)&lt;-50,"NM",(DU59/DM59-1)*100)))</f>
        <v>-5.2489905787351248</v>
      </c>
      <c r="DW59" s="178">
        <f>DW55-DW58</f>
        <v>74.399999999999977</v>
      </c>
      <c r="DX59" s="81">
        <f>IF(ISERROR((DW59/DO59-1)*100),"NA",IF(((DW59/DO59-1)*100)&gt;100,"NM",IF(((DW59/DO59-1)*100)&lt;-50,"NM",(DW59/DO59-1)*100)))</f>
        <v>21.568627450980273</v>
      </c>
      <c r="DY59" s="178">
        <f>DY55-DY58</f>
        <v>85.400000000000091</v>
      </c>
      <c r="DZ59" s="81">
        <f>IF(ISERROR((DY59/DQ59-1)*100),"NA",IF(((DY59/DQ59-1)*100)&gt;100,"NM",IF(((DY59/DQ59-1)*100)&lt;-50,"NM",(DY59/DQ59-1)*100)))</f>
        <v>20.621468926553675</v>
      </c>
      <c r="EA59" s="178">
        <f>EA55-EA58</f>
        <v>89.499999999999886</v>
      </c>
      <c r="EB59" s="81">
        <f>IF(ISERROR((EA59/DS59-1)*100),"NA",IF(((EA59/DS59-1)*100)&gt;100,"NM",IF(((EA59/DS59-1)*100)&lt;-50,"NM",(EA59/DS59-1)*100)))</f>
        <v>35.400907715582242</v>
      </c>
      <c r="EC59" s="178">
        <f>EC55-EC58</f>
        <v>88.699999999999932</v>
      </c>
      <c r="ED59" s="81">
        <f t="shared" si="277"/>
        <v>25.994318181818322</v>
      </c>
      <c r="EE59" s="178">
        <f>EE55-EE58</f>
        <v>92.400000000000091</v>
      </c>
      <c r="EF59" s="81">
        <f t="shared" si="278"/>
        <v>24.193548387096932</v>
      </c>
      <c r="EG59" s="178">
        <f>EG55-EG58</f>
        <v>89.999999999999886</v>
      </c>
      <c r="EH59" s="81">
        <f t="shared" si="279"/>
        <v>5.3864168618264596</v>
      </c>
      <c r="EI59" s="178">
        <f>EI55-EI58</f>
        <v>86.699999999999932</v>
      </c>
      <c r="EJ59" s="81">
        <f t="shared" si="280"/>
        <v>-3.1284916201116841</v>
      </c>
      <c r="EK59" s="178">
        <f t="shared" ref="EK59:EQ59" si="285">EK55-EK58</f>
        <v>89.938064861141925</v>
      </c>
      <c r="EL59" s="81">
        <f t="shared" si="281"/>
        <v>1.3957890204532086</v>
      </c>
      <c r="EM59" s="178">
        <f t="shared" si="285"/>
        <v>90.726812279734759</v>
      </c>
      <c r="EN59" s="81">
        <f t="shared" si="282"/>
        <v>-1.8108092210663784</v>
      </c>
      <c r="EO59" s="178">
        <f t="shared" si="285"/>
        <v>91.341679842858866</v>
      </c>
      <c r="EP59" s="81">
        <f t="shared" si="283"/>
        <v>1.4907553809544227</v>
      </c>
      <c r="EQ59" s="178">
        <f t="shared" si="285"/>
        <v>93.245098932349492</v>
      </c>
      <c r="ER59" s="81">
        <f t="shared" si="284"/>
        <v>7.5491337166661676</v>
      </c>
      <c r="ES59" s="82"/>
      <c r="ET59" s="465"/>
      <c r="EU59" s="82"/>
      <c r="EV59" s="171"/>
      <c r="EW59" s="79"/>
      <c r="EX59" s="171"/>
      <c r="EY59" s="79"/>
      <c r="EZ59" s="171"/>
      <c r="FA59" s="79"/>
      <c r="FB59" s="171"/>
      <c r="FC59" s="79"/>
      <c r="FD59" s="178">
        <f>FD55-FD58</f>
        <v>289.900000000001</v>
      </c>
      <c r="FE59" s="79" t="str">
        <f>IF(ISERROR((FD59/FB59-1)*100),"NA",IF(((FD59/FB59-1)*100)&gt;100,"NM",IF(((FD59/FB59-1)*100)&lt;-50,"NM",(FD59/FB59-1)*100)))</f>
        <v>NA</v>
      </c>
      <c r="FF59" s="178">
        <f>FF55-FF58</f>
        <v>-869.99999999999955</v>
      </c>
      <c r="FG59" s="79" t="str">
        <f>IF(ISERROR((FF59/FD59-1)*100),"NA",IF(((FF59/FD59-1)*100)&gt;100,"NM",IF(((FF59/FD59-1)*100)&lt;-50,"NM",(FF59/FD59-1)*100)))</f>
        <v>NM</v>
      </c>
      <c r="FH59" s="178">
        <f>FH55-FH58</f>
        <v>-58</v>
      </c>
      <c r="FI59" s="79" t="str">
        <f>IF(ISERROR((FH59/FF59-1)*100),"NA",IF(((FH59/FF59-1)*100)&gt;100,"NM",IF(((FH59/FF59-1)*100)&lt;-50,"NM",(FH59/FF59-1)*100)))</f>
        <v>NM</v>
      </c>
      <c r="FJ59" s="178">
        <f>FJ55-FJ58</f>
        <v>68.400000000000546</v>
      </c>
      <c r="FK59" s="79" t="str">
        <f>IF(ISERROR((FJ59/FH59-1)*100),"NA",IF(((FJ59/FH59-1)*100)&gt;100,"NM",IF(((FJ59/FH59-1)*100)&lt;-50,"NM",(FJ59/FH59-1)*100)))</f>
        <v>NM</v>
      </c>
      <c r="FL59" s="178">
        <f>FL55-FL58</f>
        <v>51.099999999999909</v>
      </c>
      <c r="FM59" s="79">
        <f>IF(ISERROR((FL59/FJ59-1)*100),"NA",IF(((FL59/FJ59-1)*100)&gt;100,"NM",IF(((FL59/FJ59-1)*100)&lt;-50,"NM",(FL59/FJ59-1)*100)))</f>
        <v>-25.292397660819443</v>
      </c>
      <c r="FN59" s="178">
        <f>FN55-FN58</f>
        <v>185.30000000000018</v>
      </c>
      <c r="FO59" s="79" t="str">
        <f>IF(ISERROR((FN59/FL59-1)*100),"NA",IF(((FN59/FL59-1)*100)&gt;100,"NM",IF(((FN59/FL59-1)*100)&lt;-50,"NM",(FN59/FL59-1)*100)))</f>
        <v>NM</v>
      </c>
      <c r="FP59" s="178">
        <f>FP55-FP58</f>
        <v>205.40000000000009</v>
      </c>
      <c r="FQ59" s="79">
        <f>IF(ISERROR((FP59/FN59-1)*100),"NA",IF(((FP59/FN59-1)*100)&gt;100,"NM",IF(((FP59/FN59-1)*100)&lt;-50,"NM",(FP59/FN59-1)*100)))</f>
        <v>10.847274689692332</v>
      </c>
      <c r="FR59" s="178">
        <f>FR55-FR58</f>
        <v>278.29999999999973</v>
      </c>
      <c r="FS59" s="79">
        <f>IF(ISERROR((FR59/FP59-1)*100),"NA",IF(((FR59/FP59-1)*100)&gt;100,"NM",IF(((FR59/FP59-1)*100)&lt;-50,"NM",(FR59/FP59-1)*100)))</f>
        <v>35.49172346640681</v>
      </c>
      <c r="FT59" s="178">
        <f>FT55-FT58</f>
        <v>317.19999999999936</v>
      </c>
      <c r="FU59" s="79">
        <f>IF(ISERROR((FT59/FR59-1)*100),"NA",IF(((FT59/FR59-1)*100)&gt;100,"NM",IF(((FT59/FR59-1)*100)&lt;-50,"NM",(FT59/FR59-1)*100)))</f>
        <v>13.977721882860106</v>
      </c>
      <c r="FV59" s="178">
        <f>FV55-FV58</f>
        <v>302.30000000000018</v>
      </c>
      <c r="FW59" s="79">
        <f>IF(ISERROR((FV59/FT59-1)*100),"NA",IF(((FV59/FT59-1)*100)&gt;100,"NM",IF(((FV59/FT59-1)*100)&lt;-50,"NM",(FV59/FT59-1)*100)))</f>
        <v>-4.6973518284991194</v>
      </c>
      <c r="FX59" s="178">
        <f>FX55-FX58</f>
        <v>291.79999999999973</v>
      </c>
      <c r="FY59" s="79">
        <f>IF(ISERROR((FX59/FV59-1)*100),"NA",IF(((FX59/FV59-1)*100)&gt;100,"NM",IF(((FX59/FV59-1)*100)&lt;-50,"NM",(FX59/FV59-1)*100)))</f>
        <v>-3.473370823685229</v>
      </c>
      <c r="FZ59" s="178">
        <f>FZ55-FZ58</f>
        <v>291.69999999999982</v>
      </c>
      <c r="GA59" s="79">
        <f>IF(ISERROR((FZ59/FX59-1)*100),"NA",IF(((FZ59/FX59-1)*100)&gt;100,"NM",IF(((FZ59/FX59-1)*100)&lt;-50,"NM",(FZ59/FX59-1)*100)))</f>
        <v>-3.4270047978035567E-2</v>
      </c>
      <c r="GB59" s="178">
        <f>GB55-GB58</f>
        <v>274.80000000000018</v>
      </c>
      <c r="GC59" s="79">
        <f>IF(ISERROR((GB59/FZ59-1)*100),"NA",IF(((GB59/FZ59-1)*100)&gt;100,"NM",IF(((GB59/FZ59-1)*100)&lt;-50,"NM",(GB59/FZ59-1)*100)))</f>
        <v>-5.793623585875773</v>
      </c>
      <c r="GD59" s="178">
        <f>GD55-GD58</f>
        <v>272.40000000000009</v>
      </c>
      <c r="GE59" s="79">
        <f>IF(ISERROR((GD59/GB59-1)*100),"NA",IF(((GD59/GB59-1)*100)&gt;100,"NM",IF(((GD59/GB59-1)*100)&lt;-50,"NM",(GD59/GB59-1)*100)))</f>
        <v>-0.8733624454148825</v>
      </c>
      <c r="GF59" s="178">
        <f>GF55-GF58</f>
        <v>319.70000000000027</v>
      </c>
      <c r="GG59" s="79">
        <f>IF(ISERROR((GF59/GD59-1)*100),"NA",IF(((GF59/GD59-1)*100)&gt;100,"NM",IF(((GF59/GD59-1)*100)&lt;-50,"NM",(GF59/GD59-1)*100)))</f>
        <v>17.36417033773867</v>
      </c>
      <c r="GH59" s="178">
        <f>GH55-GH58</f>
        <v>357.79999999999973</v>
      </c>
      <c r="GI59" s="79">
        <f>IF(ISERROR((GH59/GF59-1)*100),"NA",IF(((GH59/GF59-1)*100)&gt;100,"NM",IF(((GH59/GF59-1)*100)&lt;-50,"NM",(GH59/GF59-1)*100)))</f>
        <v>11.91742258367201</v>
      </c>
      <c r="GJ59" s="178">
        <f>GJ55-GJ58</f>
        <v>365.25165591608538</v>
      </c>
      <c r="GK59" s="79">
        <f>IF(ISERROR((GJ59/GH59-1)*100),"NA",IF(((GJ59/GH59-1)*100)&gt;100,"NM",IF(((GJ59/GH59-1)*100)&lt;-50,"NM",(GJ59/GH59-1)*100)))</f>
        <v>2.0826316143336188</v>
      </c>
      <c r="GL59" s="178">
        <f>GL55-GL58</f>
        <v>374.3973455964051</v>
      </c>
      <c r="GM59" s="79">
        <f>IF(ISERROR((GL59/GJ59-1)*100),"NA",IF(((GL59/GJ59-1)*100)&gt;100,"NM",IF(((GL59/GJ59-1)*100)&lt;-50,"NM",(GL59/GJ59-1)*100)))</f>
        <v>2.5039420170132942</v>
      </c>
      <c r="GN59" s="178">
        <f>GN55-GN58</f>
        <v>383.9427207232352</v>
      </c>
      <c r="GO59" s="79">
        <f>IF(ISERROR((GN59/GL59-1)*100),"NA",IF(((GN59/GL59-1)*100)&gt;100,"NM",IF(((GN59/GL59-1)*100)&lt;-50,"NM",(GN59/GL59-1)*100)))</f>
        <v>2.5495306628375181</v>
      </c>
      <c r="GP59" s="178">
        <f>GP55-GP58</f>
        <v>393.89341677023685</v>
      </c>
      <c r="GQ59" s="79">
        <f>IF(ISERROR((GP59/GN59-1)*100),"NA",IF(((GP59/GN59-1)*100)&gt;100,"NM",IF(((GP59/GN59-1)*100)&lt;-50,"NM",(GP59/GN59-1)*100)))</f>
        <v>2.5917136879838321</v>
      </c>
      <c r="GR59" s="178">
        <f>GR55-GR58</f>
        <v>404.25685154490748</v>
      </c>
      <c r="GS59" s="79">
        <f>IF(ISERROR((GR59/GP59-1)*100),"NA",IF(((GR59/GP59-1)*100)&gt;100,"NM",IF(((GR59/GP59-1)*100)&lt;-50,"NM",(GR59/GP59-1)*100)))</f>
        <v>2.6310251284843655</v>
      </c>
      <c r="GT59" s="79">
        <f>IF(ISERROR(((GR59/GH59)^0.2-1)*100),"NA",(IF(OR(((GR59/GH59)^0.2-1)*100&gt;99,((GR59/GH59)^0.2-1)*100&lt;-50),"NM",(((GR59/GH59)^0.2-1)*100))))</f>
        <v>2.4715748100562429</v>
      </c>
    </row>
    <row r="60" spans="1:286" s="132" customFormat="1" ht="12.75" customHeight="1" x14ac:dyDescent="0.2">
      <c r="A60" s="133"/>
      <c r="B60" s="68"/>
      <c r="C60" s="79"/>
      <c r="D60" s="79"/>
      <c r="E60" s="179"/>
      <c r="F60" s="179"/>
      <c r="G60" s="179"/>
      <c r="H60" s="179"/>
      <c r="I60" s="179"/>
      <c r="J60" s="179"/>
      <c r="K60" s="179"/>
      <c r="L60" s="179"/>
      <c r="M60" s="179"/>
      <c r="N60" s="420"/>
      <c r="O60" s="179"/>
      <c r="P60" s="420"/>
      <c r="Q60" s="179"/>
      <c r="R60" s="420"/>
      <c r="S60" s="179"/>
      <c r="T60" s="420"/>
      <c r="U60" s="179"/>
      <c r="V60" s="420"/>
      <c r="W60" s="179"/>
      <c r="X60" s="420"/>
      <c r="Y60" s="179"/>
      <c r="Z60" s="420"/>
      <c r="AA60" s="180"/>
      <c r="AB60" s="420"/>
      <c r="AC60" s="179"/>
      <c r="AD60" s="420"/>
      <c r="AE60" s="179"/>
      <c r="AF60" s="420"/>
      <c r="AG60" s="179"/>
      <c r="AH60" s="420"/>
      <c r="AI60" s="179"/>
      <c r="AJ60" s="420"/>
      <c r="AK60" s="179"/>
      <c r="AL60" s="420"/>
      <c r="AM60" s="179"/>
      <c r="AN60" s="420"/>
      <c r="AO60" s="179"/>
      <c r="AP60" s="420"/>
      <c r="AQ60" s="179"/>
      <c r="AR60" s="420"/>
      <c r="AS60" s="179"/>
      <c r="AT60" s="238"/>
      <c r="AU60" s="179"/>
      <c r="AV60" s="238"/>
      <c r="AW60" s="179"/>
      <c r="AX60" s="238"/>
      <c r="AY60" s="179"/>
      <c r="AZ60" s="238"/>
      <c r="BA60" s="179"/>
      <c r="BB60" s="238"/>
      <c r="BC60" s="179"/>
      <c r="BD60" s="238"/>
      <c r="BE60" s="179"/>
      <c r="BF60" s="238"/>
      <c r="BG60" s="179"/>
      <c r="BH60" s="238"/>
      <c r="BI60" s="179"/>
      <c r="BJ60" s="238"/>
      <c r="BK60" s="179"/>
      <c r="BL60" s="238"/>
      <c r="BM60" s="179"/>
      <c r="BN60" s="238"/>
      <c r="BO60" s="179"/>
      <c r="BP60" s="238"/>
      <c r="BQ60" s="179"/>
      <c r="BR60" s="238"/>
      <c r="BS60" s="179"/>
      <c r="BT60" s="238"/>
      <c r="BU60" s="179"/>
      <c r="BV60" s="238"/>
      <c r="BW60" s="179"/>
      <c r="BX60" s="238"/>
      <c r="BY60" s="179"/>
      <c r="BZ60" s="238"/>
      <c r="CA60" s="179"/>
      <c r="CB60" s="238"/>
      <c r="CC60" s="179"/>
      <c r="CD60" s="238"/>
      <c r="CE60" s="179"/>
      <c r="CF60" s="81"/>
      <c r="CG60" s="179"/>
      <c r="CH60" s="238"/>
      <c r="CI60" s="179"/>
      <c r="CJ60" s="238"/>
      <c r="CK60" s="179"/>
      <c r="CL60" s="238"/>
      <c r="CM60" s="179"/>
      <c r="CN60" s="238"/>
      <c r="CO60" s="179"/>
      <c r="CP60" s="238"/>
      <c r="CQ60" s="179"/>
      <c r="CR60" s="238"/>
      <c r="CS60" s="179"/>
      <c r="CT60" s="238"/>
      <c r="CU60" s="179"/>
      <c r="CV60" s="238"/>
      <c r="CW60" s="179"/>
      <c r="CX60" s="238"/>
      <c r="CY60" s="179"/>
      <c r="CZ60" s="238"/>
      <c r="DA60" s="179"/>
      <c r="DB60" s="238"/>
      <c r="DC60" s="179"/>
      <c r="DD60" s="238"/>
      <c r="DE60" s="179"/>
      <c r="DF60" s="238"/>
      <c r="DG60" s="179"/>
      <c r="DH60" s="238"/>
      <c r="DI60" s="179"/>
      <c r="DJ60" s="238"/>
      <c r="DK60" s="179"/>
      <c r="DL60" s="238"/>
      <c r="DM60" s="179"/>
      <c r="DN60" s="238"/>
      <c r="DO60" s="179"/>
      <c r="DP60" s="238"/>
      <c r="DQ60" s="179"/>
      <c r="DR60" s="238"/>
      <c r="DS60" s="179"/>
      <c r="DT60" s="238"/>
      <c r="DU60" s="179"/>
      <c r="DV60" s="238"/>
      <c r="DW60" s="179"/>
      <c r="DX60" s="238"/>
      <c r="DY60" s="179"/>
      <c r="DZ60" s="238"/>
      <c r="EA60" s="179"/>
      <c r="EB60" s="238"/>
      <c r="EC60" s="179"/>
      <c r="ED60" s="238"/>
      <c r="EE60" s="179"/>
      <c r="EF60" s="238"/>
      <c r="EG60" s="179"/>
      <c r="EH60" s="238"/>
      <c r="EI60" s="179"/>
      <c r="EJ60" s="238"/>
      <c r="EK60" s="179"/>
      <c r="EL60" s="238"/>
      <c r="EM60" s="179"/>
      <c r="EN60" s="238"/>
      <c r="EO60" s="179"/>
      <c r="EP60" s="238"/>
      <c r="EQ60" s="179"/>
      <c r="ER60" s="238"/>
      <c r="ES60" s="129"/>
      <c r="ET60" s="469"/>
      <c r="EU60" s="129"/>
      <c r="EV60" s="95"/>
      <c r="EW60" s="79"/>
      <c r="EX60" s="95"/>
      <c r="EY60" s="79"/>
      <c r="EZ60" s="131"/>
      <c r="FA60" s="79"/>
      <c r="FB60" s="145"/>
      <c r="FC60" s="420"/>
      <c r="FD60" s="145"/>
      <c r="FE60" s="420"/>
      <c r="FF60" s="145"/>
      <c r="FG60" s="420"/>
      <c r="FH60" s="145"/>
      <c r="FI60" s="420"/>
      <c r="FJ60" s="145"/>
      <c r="FK60" s="420"/>
      <c r="FL60" s="95"/>
      <c r="FM60" s="420"/>
      <c r="FN60" s="95"/>
      <c r="FO60" s="420"/>
      <c r="FP60" s="95"/>
      <c r="FQ60" s="420"/>
      <c r="FR60" s="179"/>
      <c r="FS60" s="420"/>
      <c r="FT60" s="179"/>
      <c r="FU60" s="420"/>
      <c r="FV60" s="179"/>
      <c r="FW60" s="420"/>
      <c r="FX60" s="179"/>
      <c r="FY60" s="420"/>
      <c r="FZ60" s="179"/>
      <c r="GA60" s="420"/>
      <c r="GB60" s="179"/>
      <c r="GC60" s="420"/>
      <c r="GD60" s="179"/>
      <c r="GE60" s="420"/>
      <c r="GF60" s="179"/>
      <c r="GG60" s="420"/>
      <c r="GH60" s="179"/>
      <c r="GI60" s="420"/>
      <c r="GJ60" s="179"/>
      <c r="GK60" s="420"/>
      <c r="GL60" s="179"/>
      <c r="GM60" s="420"/>
      <c r="GN60" s="179"/>
      <c r="GO60" s="420"/>
      <c r="GP60" s="179"/>
      <c r="GQ60" s="420"/>
      <c r="GR60" s="179"/>
      <c r="GS60" s="420"/>
      <c r="GT60" s="420"/>
      <c r="GU60" s="562"/>
      <c r="GV60" s="562"/>
      <c r="GW60"/>
      <c r="GX60"/>
      <c r="GY60"/>
      <c r="GZ60"/>
      <c r="HA60"/>
      <c r="HB60"/>
      <c r="HC60" s="562"/>
      <c r="HD60" s="562"/>
      <c r="HE60" s="562"/>
      <c r="HF60" s="562"/>
      <c r="HG60" s="562"/>
      <c r="HH60" s="562"/>
      <c r="HI60" s="562"/>
      <c r="HJ60" s="562"/>
      <c r="HK60" s="562"/>
      <c r="HL60" s="562"/>
      <c r="HM60" s="562"/>
      <c r="HN60" s="562"/>
      <c r="HO60" s="562"/>
      <c r="HP60" s="562"/>
      <c r="HQ60" s="562"/>
      <c r="HR60" s="562"/>
      <c r="HS60" s="562"/>
      <c r="HT60" s="562"/>
      <c r="HU60" s="562"/>
      <c r="HV60" s="562"/>
      <c r="HW60" s="562"/>
      <c r="HX60" s="562"/>
      <c r="HY60" s="562"/>
      <c r="HZ60" s="562"/>
      <c r="IA60" s="562"/>
      <c r="IB60" s="562"/>
      <c r="IC60" s="562"/>
      <c r="ID60" s="562"/>
      <c r="IE60" s="562"/>
      <c r="IF60" s="562"/>
      <c r="IG60" s="562"/>
      <c r="IH60" s="562"/>
      <c r="II60" s="562"/>
      <c r="IJ60" s="562"/>
      <c r="IK60" s="562"/>
      <c r="IL60" s="562"/>
      <c r="IM60" s="562"/>
      <c r="IN60" s="562"/>
      <c r="IO60" s="562"/>
      <c r="IP60" s="562"/>
      <c r="IQ60" s="562"/>
      <c r="IR60" s="562"/>
      <c r="IS60" s="562"/>
      <c r="IT60" s="562"/>
      <c r="IU60" s="562"/>
      <c r="IV60" s="562"/>
      <c r="IW60" s="562"/>
      <c r="IX60" s="562"/>
      <c r="IY60" s="562"/>
      <c r="IZ60" s="562"/>
      <c r="JA60" s="562"/>
      <c r="JB60" s="562"/>
      <c r="JC60" s="562"/>
      <c r="JD60" s="562"/>
      <c r="JE60" s="562"/>
      <c r="JF60" s="562"/>
      <c r="JG60" s="562"/>
      <c r="JH60" s="562"/>
      <c r="JI60" s="562"/>
      <c r="JJ60" s="562"/>
      <c r="JK60" s="562"/>
      <c r="JL60" s="562"/>
      <c r="JM60" s="562"/>
      <c r="JN60" s="562"/>
      <c r="JO60" s="562"/>
      <c r="JP60" s="562"/>
      <c r="JQ60" s="562"/>
      <c r="JR60" s="562"/>
      <c r="JS60" s="562"/>
      <c r="JT60" s="562"/>
      <c r="JU60" s="562"/>
      <c r="JV60" s="562"/>
      <c r="JW60" s="562"/>
      <c r="JX60" s="562"/>
      <c r="JY60" s="562"/>
      <c r="JZ60" s="562"/>
    </row>
    <row r="61" spans="1:286" s="132" customFormat="1" ht="12.75" customHeight="1" x14ac:dyDescent="0.2">
      <c r="A61" s="133"/>
      <c r="B61" s="68" t="s">
        <v>389</v>
      </c>
      <c r="C61" s="79"/>
      <c r="D61" s="79"/>
      <c r="E61" s="179"/>
      <c r="F61" s="179"/>
      <c r="G61" s="179"/>
      <c r="H61" s="179"/>
      <c r="I61" s="179"/>
      <c r="J61" s="179"/>
      <c r="K61" s="179"/>
      <c r="L61" s="179"/>
      <c r="M61" s="179"/>
      <c r="N61" s="420"/>
      <c r="O61" s="179"/>
      <c r="P61" s="420"/>
      <c r="Q61" s="179"/>
      <c r="R61" s="420"/>
      <c r="S61" s="179"/>
      <c r="T61" s="420"/>
      <c r="U61" s="179"/>
      <c r="V61" s="420"/>
      <c r="W61" s="179"/>
      <c r="X61" s="420"/>
      <c r="Y61" s="179"/>
      <c r="Z61" s="420"/>
      <c r="AA61" s="180"/>
      <c r="AB61" s="420"/>
      <c r="AC61" s="179"/>
      <c r="AD61" s="420"/>
      <c r="AE61" s="179"/>
      <c r="AF61" s="420"/>
      <c r="AG61" s="179"/>
      <c r="AH61" s="420"/>
      <c r="AI61" s="179"/>
      <c r="AJ61" s="420"/>
      <c r="AK61" s="179"/>
      <c r="AL61" s="420"/>
      <c r="AM61" s="179"/>
      <c r="AN61" s="420"/>
      <c r="AO61" s="179"/>
      <c r="AP61" s="420"/>
      <c r="AQ61" s="179"/>
      <c r="AR61" s="420"/>
      <c r="AS61" s="179"/>
      <c r="AT61" s="238"/>
      <c r="AU61" s="179"/>
      <c r="AV61" s="238"/>
      <c r="AW61" s="179"/>
      <c r="AX61" s="238"/>
      <c r="AY61" s="179"/>
      <c r="AZ61" s="238"/>
      <c r="BA61" s="179"/>
      <c r="BB61" s="238"/>
      <c r="BC61" s="179"/>
      <c r="BD61" s="238"/>
      <c r="BE61" s="179"/>
      <c r="BF61" s="238"/>
      <c r="BG61" s="179"/>
      <c r="BH61" s="238"/>
      <c r="BI61" s="179"/>
      <c r="BJ61" s="238"/>
      <c r="BK61" s="179"/>
      <c r="BL61" s="238"/>
      <c r="BM61" s="179"/>
      <c r="BN61" s="238"/>
      <c r="BO61" s="179"/>
      <c r="BP61" s="238"/>
      <c r="BQ61" s="179"/>
      <c r="BR61" s="238"/>
      <c r="BS61" s="179"/>
      <c r="BT61" s="238"/>
      <c r="BU61" s="179"/>
      <c r="BV61" s="238"/>
      <c r="BW61" s="179"/>
      <c r="BX61" s="238"/>
      <c r="BY61" s="179"/>
      <c r="BZ61" s="238"/>
      <c r="CA61" s="179"/>
      <c r="CB61" s="238"/>
      <c r="CC61" s="179"/>
      <c r="CD61" s="238"/>
      <c r="CE61" s="179"/>
      <c r="CF61" s="81"/>
      <c r="CG61" s="179"/>
      <c r="CH61" s="238"/>
      <c r="CI61" s="179"/>
      <c r="CJ61" s="238"/>
      <c r="CK61" s="179"/>
      <c r="CL61" s="238"/>
      <c r="CM61" s="179"/>
      <c r="CN61" s="238"/>
      <c r="CO61" s="179"/>
      <c r="CP61" s="238"/>
      <c r="CQ61" s="179"/>
      <c r="CR61" s="238"/>
      <c r="CS61" s="179"/>
      <c r="CT61" s="238"/>
      <c r="CU61" s="179"/>
      <c r="CV61" s="238"/>
      <c r="CW61" s="179"/>
      <c r="CX61" s="238"/>
      <c r="CY61" s="179"/>
      <c r="CZ61" s="238"/>
      <c r="DA61" s="179"/>
      <c r="DB61" s="238"/>
      <c r="DC61" s="179"/>
      <c r="DD61" s="238"/>
      <c r="DE61" s="179"/>
      <c r="DF61" s="238"/>
      <c r="DG61" s="179"/>
      <c r="DH61" s="238"/>
      <c r="DI61" s="179"/>
      <c r="DJ61" s="238"/>
      <c r="DK61" s="179"/>
      <c r="DL61" s="238"/>
      <c r="DM61" s="179"/>
      <c r="DN61" s="238"/>
      <c r="DO61" s="179"/>
      <c r="DP61" s="238"/>
      <c r="DQ61" s="179"/>
      <c r="DR61" s="238"/>
      <c r="DS61" s="179"/>
      <c r="DT61" s="238"/>
      <c r="DU61" s="179"/>
      <c r="DV61" s="238"/>
      <c r="DW61" s="179"/>
      <c r="DX61" s="238"/>
      <c r="DY61" s="179"/>
      <c r="DZ61" s="238"/>
      <c r="EA61" s="179"/>
      <c r="EB61" s="238"/>
      <c r="EC61" s="179"/>
      <c r="ED61" s="238"/>
      <c r="EE61" s="179"/>
      <c r="EF61" s="238"/>
      <c r="EG61" s="179"/>
      <c r="EH61" s="238"/>
      <c r="EI61" s="179"/>
      <c r="EJ61" s="238"/>
      <c r="EK61" s="179"/>
      <c r="EL61" s="238"/>
      <c r="EM61" s="179"/>
      <c r="EN61" s="238"/>
      <c r="EO61" s="179"/>
      <c r="EP61" s="238"/>
      <c r="EQ61" s="179"/>
      <c r="ER61" s="238"/>
      <c r="ES61" s="129"/>
      <c r="ET61" s="469"/>
      <c r="EU61" s="129"/>
      <c r="EV61" s="95"/>
      <c r="EW61" s="79"/>
      <c r="EX61" s="95"/>
      <c r="EY61" s="79"/>
      <c r="EZ61" s="131"/>
      <c r="FA61" s="79"/>
      <c r="FB61" s="145"/>
      <c r="FC61" s="420"/>
      <c r="FD61" s="145"/>
      <c r="FE61" s="420"/>
      <c r="FF61" s="181"/>
      <c r="FG61" s="420"/>
      <c r="FH61" s="145"/>
      <c r="FI61" s="420"/>
      <c r="FJ61" s="145"/>
      <c r="FK61" s="420"/>
      <c r="FL61" s="95"/>
      <c r="FM61" s="420"/>
      <c r="FN61" s="95"/>
      <c r="FO61" s="420"/>
      <c r="FP61" s="95"/>
      <c r="FQ61" s="420"/>
      <c r="FR61" s="179"/>
      <c r="FS61" s="420"/>
      <c r="FT61" s="179"/>
      <c r="FU61" s="420"/>
      <c r="FV61" s="179"/>
      <c r="FW61" s="420"/>
      <c r="FX61" s="179"/>
      <c r="FY61" s="420"/>
      <c r="FZ61" s="179"/>
      <c r="GA61" s="420"/>
      <c r="GB61" s="179"/>
      <c r="GC61" s="420"/>
      <c r="GD61" s="179"/>
      <c r="GE61" s="420"/>
      <c r="GF61" s="179"/>
      <c r="GG61" s="420"/>
      <c r="GH61" s="179"/>
      <c r="GI61" s="420"/>
      <c r="GJ61" s="179"/>
      <c r="GK61" s="420"/>
      <c r="GL61" s="179"/>
      <c r="GM61" s="420"/>
      <c r="GN61" s="179"/>
      <c r="GO61" s="420"/>
      <c r="GP61" s="179"/>
      <c r="GQ61" s="420"/>
      <c r="GR61" s="179"/>
      <c r="GS61" s="420"/>
      <c r="GT61" s="420"/>
      <c r="GU61" s="562"/>
      <c r="GV61" s="562"/>
      <c r="GW61"/>
      <c r="GX61"/>
      <c r="GY61"/>
      <c r="GZ61"/>
      <c r="HA61"/>
      <c r="HB61"/>
      <c r="HC61" s="562"/>
      <c r="HD61" s="562"/>
      <c r="HE61" s="562"/>
      <c r="HF61" s="562"/>
      <c r="HG61" s="562"/>
      <c r="HH61" s="562"/>
      <c r="HI61" s="562"/>
      <c r="HJ61" s="562"/>
      <c r="HK61" s="562"/>
      <c r="HL61" s="562"/>
      <c r="HM61" s="562"/>
      <c r="HN61" s="562"/>
      <c r="HO61" s="562"/>
      <c r="HP61" s="562"/>
      <c r="HQ61" s="562"/>
      <c r="HR61" s="562"/>
      <c r="HS61" s="562"/>
      <c r="HT61" s="562"/>
      <c r="HU61" s="562"/>
      <c r="HV61" s="562"/>
      <c r="HW61" s="562"/>
      <c r="HX61" s="562"/>
      <c r="HY61" s="562"/>
      <c r="HZ61" s="562"/>
      <c r="IA61" s="562"/>
      <c r="IB61" s="562"/>
      <c r="IC61" s="562"/>
      <c r="ID61" s="562"/>
      <c r="IE61" s="562"/>
      <c r="IF61" s="562"/>
      <c r="IG61" s="562"/>
      <c r="IH61" s="562"/>
      <c r="II61" s="562"/>
      <c r="IJ61" s="562"/>
      <c r="IK61" s="562"/>
      <c r="IL61" s="562"/>
      <c r="IM61" s="562"/>
      <c r="IN61" s="562"/>
      <c r="IO61" s="562"/>
      <c r="IP61" s="562"/>
      <c r="IQ61" s="562"/>
      <c r="IR61" s="562"/>
      <c r="IS61" s="562"/>
      <c r="IT61" s="562"/>
      <c r="IU61" s="562"/>
      <c r="IV61" s="562"/>
      <c r="IW61" s="562"/>
      <c r="IX61" s="562"/>
      <c r="IY61" s="562"/>
      <c r="IZ61" s="562"/>
      <c r="JA61" s="562"/>
      <c r="JB61" s="562"/>
      <c r="JC61" s="562"/>
      <c r="JD61" s="562"/>
      <c r="JE61" s="562"/>
      <c r="JF61" s="562"/>
      <c r="JG61" s="562"/>
      <c r="JH61" s="562"/>
      <c r="JI61" s="562"/>
      <c r="JJ61" s="562"/>
      <c r="JK61" s="562"/>
      <c r="JL61" s="562"/>
      <c r="JM61" s="562"/>
      <c r="JN61" s="562"/>
      <c r="JO61" s="562"/>
      <c r="JP61" s="562"/>
      <c r="JQ61" s="562"/>
      <c r="JR61" s="562"/>
      <c r="JS61" s="562"/>
      <c r="JT61" s="562"/>
      <c r="JU61" s="562"/>
      <c r="JV61" s="562"/>
      <c r="JW61" s="562"/>
      <c r="JX61" s="562"/>
      <c r="JY61" s="562"/>
      <c r="JZ61" s="562"/>
    </row>
    <row r="62" spans="1:286" s="132" customFormat="1" ht="12.75" customHeight="1" x14ac:dyDescent="0.2">
      <c r="A62" s="133"/>
      <c r="B62" s="2" t="s">
        <v>359</v>
      </c>
      <c r="C62" s="79"/>
      <c r="D62" s="79"/>
      <c r="E62" s="182"/>
      <c r="F62" s="182"/>
      <c r="G62" s="182"/>
      <c r="H62" s="182"/>
      <c r="I62" s="182"/>
      <c r="J62" s="182"/>
      <c r="K62" s="182"/>
      <c r="L62" s="79"/>
      <c r="M62" s="182"/>
      <c r="N62" s="79"/>
      <c r="O62" s="182"/>
      <c r="P62" s="79"/>
      <c r="Q62" s="182"/>
      <c r="R62" s="79"/>
      <c r="S62" s="182"/>
      <c r="T62" s="79"/>
      <c r="U62" s="182"/>
      <c r="V62" s="79"/>
      <c r="W62" s="182"/>
      <c r="X62" s="79"/>
      <c r="Y62" s="182"/>
      <c r="Z62" s="79"/>
      <c r="AA62" s="183"/>
      <c r="AB62" s="79"/>
      <c r="AC62" s="182">
        <f>76.8-AE62</f>
        <v>35.799999999999997</v>
      </c>
      <c r="AD62" s="79" t="str">
        <f>IF(ISERROR((AC62/U62-1)*100),"NA",IF(((AC62/U62-1)*100)&gt;100,"NM",IF(((AC62/U62-1)*100)&lt;-50,"NM",(AC62/U62-1)*100)))</f>
        <v>NA</v>
      </c>
      <c r="AE62" s="182">
        <v>41</v>
      </c>
      <c r="AF62" s="79" t="str">
        <f>IF(ISERROR((AE62/W62-1)*100),"NA",IF(((AE62/W62-1)*100)&gt;100,"NM",IF(((AE62/W62-1)*100)&lt;-50,"NM",(AE62/W62-1)*100)))</f>
        <v>NA</v>
      </c>
      <c r="AG62" s="182">
        <v>23.8</v>
      </c>
      <c r="AH62" s="79" t="str">
        <f>IF(ISERROR((AG62/Y62-1)*100),"NA",IF(((AG62/Y62-1)*100)&gt;100,"NM",IF(((AG62/Y62-1)*100)&lt;-50,"NM",(AG62/Y62-1)*100)))</f>
        <v>NA</v>
      </c>
      <c r="AI62" s="184">
        <f>FH62-AG62-AE62-AC62</f>
        <v>79.8</v>
      </c>
      <c r="AJ62" s="79" t="str">
        <f>IF(ISERROR((AI62/AA62-1)*100),"NA",IF(((AI62/AA62-1)*100)&gt;100,"NM",IF(((AI62/AA62-1)*100)&lt;-50,"NM",(AI62/AA62-1)*100)))</f>
        <v>NA</v>
      </c>
      <c r="AK62" s="182">
        <f>84.7-AM62</f>
        <v>37</v>
      </c>
      <c r="AL62" s="79">
        <f>IF(ISERROR((AK62/AC62-1)*100),"NA",IF(((AK62/AC62-1)*100)&gt;100,"NM",IF(((AK62/AC62-1)*100)&lt;-50,"NM",(AK62/AC62-1)*100)))</f>
        <v>3.3519553072625774</v>
      </c>
      <c r="AM62" s="182">
        <v>47.7</v>
      </c>
      <c r="AN62" s="79">
        <f t="shared" ref="AN62:BD64" si="286">IF(ISERROR((AM62/AE62-1)*100),"NA",IF(((AM62/AE62-1)*100)&gt;100,"NM",IF(((AM62/AE62-1)*100)&lt;-50,"NM",(AM62/AE62-1)*100)))</f>
        <v>16.341463414634163</v>
      </c>
      <c r="AO62" s="182">
        <v>27.6</v>
      </c>
      <c r="AP62" s="79">
        <f t="shared" si="286"/>
        <v>15.96638655462186</v>
      </c>
      <c r="AQ62" s="182">
        <v>68.099999999999994</v>
      </c>
      <c r="AR62" s="79">
        <f t="shared" si="286"/>
        <v>-14.661654135338352</v>
      </c>
      <c r="AS62" s="95">
        <v>43.1</v>
      </c>
      <c r="AT62" s="81">
        <f t="shared" si="286"/>
        <v>16.486486486486495</v>
      </c>
      <c r="AU62" s="95">
        <v>50.9</v>
      </c>
      <c r="AV62" s="81">
        <f t="shared" si="286"/>
        <v>6.7085953878406546</v>
      </c>
      <c r="AW62" s="95">
        <v>25.4</v>
      </c>
      <c r="AX62" s="81">
        <f t="shared" si="286"/>
        <v>-7.9710144927536364</v>
      </c>
      <c r="AY62" s="95">
        <v>89.1</v>
      </c>
      <c r="AZ62" s="81">
        <f t="shared" si="286"/>
        <v>30.83700440528634</v>
      </c>
      <c r="BA62" s="95">
        <v>25.5</v>
      </c>
      <c r="BB62" s="81">
        <f t="shared" si="286"/>
        <v>-40.835266821345705</v>
      </c>
      <c r="BC62" s="95">
        <v>53</v>
      </c>
      <c r="BD62" s="81">
        <f t="shared" si="286"/>
        <v>4.1257367387033339</v>
      </c>
      <c r="BE62" s="95">
        <v>23.9</v>
      </c>
      <c r="BF62" s="81">
        <f>IF(ISERROR((BE62/AW62-1)*100),"NA",IF(((BE62/AW62-1)*100)&gt;100,"NM",IF(((BE62/AW62-1)*100)&lt;-50,"NM",(BE62/AW62-1)*100)))</f>
        <v>-5.9055118110236222</v>
      </c>
      <c r="BG62" s="95">
        <v>75.3</v>
      </c>
      <c r="BH62" s="81">
        <f>IF(ISERROR((BG62/AY62-1)*100),"NA",IF(((BG62/AY62-1)*100)&gt;100,"NM",IF(((BG62/AY62-1)*100)&lt;-50,"NM",(BG62/AY62-1)*100)))</f>
        <v>-15.488215488215484</v>
      </c>
      <c r="BI62" s="95">
        <v>36.1</v>
      </c>
      <c r="BJ62" s="81">
        <f>IF(ISERROR((BI62/BA62-1)*100),"NA",IF(((BI62/BA62-1)*100)&gt;100,"NM",IF(((BI62/BA62-1)*100)&lt;-50,"NM",(BI62/BA62-1)*100)))</f>
        <v>41.568627450980401</v>
      </c>
      <c r="BK62" s="95">
        <v>45.4</v>
      </c>
      <c r="BL62" s="81">
        <f>IF(ISERROR((BK62/BC62-1)*100),"NA",IF(((BK62/BC62-1)*100)&gt;100,"NM",IF(((BK62/BC62-1)*100)&lt;-50,"NM",(BK62/BC62-1)*100)))</f>
        <v>-14.339622641509441</v>
      </c>
      <c r="BM62" s="95">
        <v>31.4</v>
      </c>
      <c r="BN62" s="81">
        <f>IF(ISERROR((BM62/BE62-1)*100),"NA",IF(((BM62/BE62-1)*100)&gt;100,"NM",IF(((BM62/BE62-1)*100)&lt;-50,"NM",(BM62/BE62-1)*100)))</f>
        <v>31.380753138075313</v>
      </c>
      <c r="BO62" s="95">
        <v>77.400000000000006</v>
      </c>
      <c r="BP62" s="81">
        <f>IF(ISERROR((BO62/BG62-1)*100),"NA",IF(((BO62/BG62-1)*100)&gt;100,"NM",IF(((BO62/BG62-1)*100)&lt;-50,"NM",(BO62/BG62-1)*100)))</f>
        <v>2.788844621513964</v>
      </c>
      <c r="BQ62" s="95">
        <v>31.7</v>
      </c>
      <c r="BR62" s="81">
        <f>IF(ISERROR((BQ62/BI62-1)*100),"NA",IF(((BQ62/BI62-1)*100)&gt;100,"NM",IF(((BQ62/BI62-1)*100)&lt;-50,"NM",(BQ62/BI62-1)*100)))</f>
        <v>-12.188365650969535</v>
      </c>
      <c r="BS62" s="95">
        <v>54.3</v>
      </c>
      <c r="BT62" s="81">
        <f>IF(ISERROR((BS62/BK62-1)*100),"NA",IF(((BS62/BK62-1)*100)&gt;100,"NM",IF(((BS62/BK62-1)*100)&lt;-50,"NM",(BS62/BK62-1)*100)))</f>
        <v>19.6035242290749</v>
      </c>
      <c r="BU62" s="95">
        <v>20.7</v>
      </c>
      <c r="BV62" s="81"/>
      <c r="BW62" s="95">
        <v>75.400000000000006</v>
      </c>
      <c r="BX62" s="81"/>
      <c r="BY62" s="95">
        <v>27.6</v>
      </c>
      <c r="BZ62" s="81">
        <f>IF(ISERROR((BY62/BQ62-1)*100),"NA",IF(((BY62/BQ62-1)*100)&gt;100,"NM",IF(((BY62/BQ62-1)*100)&lt;-50,"NM",(BY62/BQ62-1)*100)))</f>
        <v>-12.933753943217663</v>
      </c>
      <c r="CA62" s="95">
        <v>32.200000000000003</v>
      </c>
      <c r="CB62" s="81">
        <f>IF(ISERROR((CA62/BS62-1)*100),"NA",IF(((CA62/BS62-1)*100)&gt;100,"NM",IF(((CA62/BS62-1)*100)&lt;-50,"NM",(CA62/BS62-1)*100)))</f>
        <v>-40.699815837937379</v>
      </c>
      <c r="CC62" s="95">
        <v>21.2</v>
      </c>
      <c r="CD62" s="81">
        <f t="shared" ref="CD62:CD70" si="287">IF(ISERROR((CC62/BU62-1)*100),"NA",IF(((CC62/BU62-1)*100)&gt;100,"NM",IF(((CC62/BU62-1)*100)&lt;-50,"NM",(CC62/BU62-1)*100)))</f>
        <v>2.4154589371980784</v>
      </c>
      <c r="CE62" s="95">
        <v>67.3</v>
      </c>
      <c r="CF62" s="81">
        <f t="shared" ref="CF62:CF70" si="288">IF(ISERROR((CE62/BW62-1)*100),"NA",IF(((CE62/BW62-1)*100)&gt;100,"NM",IF(((CE62/BW62-1)*100)&lt;-50,"NM",(CE62/BW62-1)*100)))</f>
        <v>-10.742705570291788</v>
      </c>
      <c r="CG62" s="95">
        <v>29.5</v>
      </c>
      <c r="CH62" s="81">
        <f>IF(ISERROR((CG62/BY62-1)*100),"NA",IF(((CG62/BY62-1)*100)&gt;100,"NM",IF(((CG62/BY62-1)*100)&lt;-50,"NM",(CG62/BY62-1)*100)))</f>
        <v>6.8840579710144789</v>
      </c>
      <c r="CI62" s="95">
        <v>38.299999999999997</v>
      </c>
      <c r="CJ62" s="81">
        <f>IF(ISERROR((CI62/CA62-1)*100),"NA",IF(((CI62/CA62-1)*100)&gt;100,"NM",IF(((CI62/CA62-1)*100)&lt;-50,"NM",(CI62/CA62-1)*100)))</f>
        <v>18.944099378881972</v>
      </c>
      <c r="CK62" s="95">
        <v>22</v>
      </c>
      <c r="CL62" s="81">
        <f>IF(ISERROR((CK62/CC62-1)*100),"NA",IF(((CK62/CC62-1)*100)&gt;100,"NM",IF(((CK62/CC62-1)*100)&lt;-50,"NM",(CK62/CC62-1)*100)))</f>
        <v>3.7735849056603765</v>
      </c>
      <c r="CM62" s="95">
        <v>75.2</v>
      </c>
      <c r="CN62" s="81">
        <f>IF(ISERROR((CM62/CE62-1)*100),"NA",IF(((CM62/CE62-1)*100)&gt;100,"NM",IF(((CM62/CE62-1)*100)&lt;-50,"NM",(CM62/CE62-1)*100)))</f>
        <v>11.738484398216942</v>
      </c>
      <c r="CO62" s="95">
        <v>35.799999999999997</v>
      </c>
      <c r="CP62" s="81">
        <f>IF(ISERROR((CO62/CG62-1)*100),"NA",IF(((CO62/CG62-1)*100)&gt;100,"NM",IF(((CO62/CG62-1)*100)&lt;-50,"NM",(CO62/CG62-1)*100)))</f>
        <v>21.355932203389827</v>
      </c>
      <c r="CQ62" s="95">
        <v>36</v>
      </c>
      <c r="CR62" s="81">
        <f>IF(ISERROR((CQ62/CI62-1)*100),"NA",IF(((CQ62/CI62-1)*100)&gt;100,"NM",IF(((CQ62/CI62-1)*100)&lt;-50,"NM",(CQ62/CI62-1)*100)))</f>
        <v>-6.0052219321148792</v>
      </c>
      <c r="CS62" s="95">
        <v>23.6</v>
      </c>
      <c r="CT62" s="81">
        <f>IF(ISERROR((CS62/CK62-1)*100),"NA",IF(((CS62/CK62-1)*100)&gt;100,"NM",IF(((CS62/CK62-1)*100)&lt;-50,"NM",(CS62/CK62-1)*100)))</f>
        <v>7.2727272727272751</v>
      </c>
      <c r="CU62" s="95">
        <v>86.8</v>
      </c>
      <c r="CV62" s="81">
        <f>IF(ISERROR((CU62/CM62-1)*100),"NA",IF(((CU62/CM62-1)*100)&gt;100,"NM",IF(((CU62/CM62-1)*100)&lt;-50,"NM",(CU62/CM62-1)*100)))</f>
        <v>15.42553191489362</v>
      </c>
      <c r="CW62" s="95">
        <v>31.1</v>
      </c>
      <c r="CX62" s="81">
        <f>IF(ISERROR((CW62/CO62-1)*100),"NA",IF(((CW62/CO62-1)*100)&gt;100,"NM",IF(((CW62/CO62-1)*100)&lt;-50,"NM",(CW62/CO62-1)*100)))</f>
        <v>-13.128491620111726</v>
      </c>
      <c r="CY62" s="95">
        <v>32.799999999999997</v>
      </c>
      <c r="CZ62" s="81">
        <f>IF(ISERROR((CY62/CQ62-1)*100),"NA",IF(((CY62/CQ62-1)*100)&gt;100,"NM",IF(((CY62/CQ62-1)*100)&lt;-50,"NM",(CY62/CQ62-1)*100)))</f>
        <v>-8.8888888888889017</v>
      </c>
      <c r="DA62" s="95">
        <v>25.7</v>
      </c>
      <c r="DB62" s="81">
        <f>IF(ISERROR((DA62/CS62-1)*100),"NA",IF(((DA62/CS62-1)*100)&gt;100,"NM",IF(((DA62/CS62-1)*100)&lt;-50,"NM",(DA62/CS62-1)*100)))</f>
        <v>8.8983050847457612</v>
      </c>
      <c r="DC62" s="95">
        <v>83.7</v>
      </c>
      <c r="DD62" s="81">
        <f>IF(ISERROR((DC62/CU62-1)*100),"NA",IF(((DC62/CU62-1)*100)&gt;100,"NM",IF(((DC62/CU62-1)*100)&lt;-50,"NM",(DC62/CU62-1)*100)))</f>
        <v>-3.5714285714285698</v>
      </c>
      <c r="DE62" s="95">
        <v>32.700000000000003</v>
      </c>
      <c r="DF62" s="81">
        <f>IF(ISERROR((DE62/CW62-1)*100),"NA",IF(((DE62/CW62-1)*100)&gt;100,"NM",IF(((DE62/CW62-1)*100)&lt;-50,"NM",(DE62/CW62-1)*100)))</f>
        <v>5.1446945337620731</v>
      </c>
      <c r="DG62" s="95">
        <v>46.8</v>
      </c>
      <c r="DH62" s="81">
        <f>IF(ISERROR((DG62/CY62-1)*100),"NA",IF(((DG62/CY62-1)*100)&gt;100,"NM",IF(((DG62/CY62-1)*100)&lt;-50,"NM",(DG62/CY62-1)*100)))</f>
        <v>42.682926829268283</v>
      </c>
      <c r="DI62" s="95">
        <v>28</v>
      </c>
      <c r="DJ62" s="81">
        <f>IF(ISERROR((DI62/DA62-1)*100),"NA",IF(((DI62/DA62-1)*100)&gt;100,"NM",IF(((DI62/DA62-1)*100)&lt;-50,"NM",(DI62/DA62-1)*100)))</f>
        <v>8.949416342412464</v>
      </c>
      <c r="DK62" s="95">
        <v>116.1</v>
      </c>
      <c r="DL62" s="81">
        <f>IF(ISERROR((DK62/DC62-1)*100),"NA",IF(((DK62/DC62-1)*100)&gt;100,"NM",IF(((DK62/DC62-1)*100)&lt;-50,"NM",(DK62/DC62-1)*100)))</f>
        <v>38.709677419354826</v>
      </c>
      <c r="DM62" s="95">
        <v>37.299999999999997</v>
      </c>
      <c r="DN62" s="81">
        <f>IF(ISERROR((DM62/DE62-1)*100),"NA",IF(((DM62/DE62-1)*100)&gt;100,"NM",IF(((DM62/DE62-1)*100)&lt;-50,"NM",(DM62/DE62-1)*100)))</f>
        <v>14.067278287461749</v>
      </c>
      <c r="DO62" s="95">
        <v>51.9</v>
      </c>
      <c r="DP62" s="81">
        <f>IF(ISERROR((DO62/DG62-1)*100),"NA",IF(((DO62/DG62-1)*100)&gt;100,"NM",IF(((DO62/DG62-1)*100)&lt;-50,"NM",(DO62/DG62-1)*100)))</f>
        <v>10.897435897435903</v>
      </c>
      <c r="DQ62" s="95">
        <v>34.299999999999997</v>
      </c>
      <c r="DR62" s="81">
        <f>IF(ISERROR((DQ62/DI62-1)*100),"NA",IF(((DQ62/DI62-1)*100)&gt;100,"NM",IF(((DQ62/DI62-1)*100)&lt;-50,"NM",(DQ62/DI62-1)*100)))</f>
        <v>22.499999999999986</v>
      </c>
      <c r="DS62" s="95">
        <v>116.2</v>
      </c>
      <c r="DT62" s="81">
        <f>IF(ISERROR((DS62/DK62-1)*100),"NA",IF(((DS62/DK62-1)*100)&gt;100,"NM",IF(((DS62/DK62-1)*100)&lt;-50,"NM",(DS62/DK62-1)*100)))</f>
        <v>8.6132644272196579E-2</v>
      </c>
      <c r="DU62" s="95">
        <v>37.5</v>
      </c>
      <c r="DV62" s="81">
        <f>IF(ISERROR((DU62/DM62-1)*100),"NA",IF(((DU62/DM62-1)*100)&gt;100,"NM",IF(((DU62/DM62-1)*100)&lt;-50,"NM",(DU62/DM62-1)*100)))</f>
        <v>0.53619302949061698</v>
      </c>
      <c r="DW62" s="95">
        <v>48.3</v>
      </c>
      <c r="DX62" s="81">
        <f>IF(ISERROR((DW62/DO62-1)*100),"NA",IF(((DW62/DO62-1)*100)&gt;100,"NM",IF(((DW62/DO62-1)*100)&lt;-50,"NM",(DW62/DO62-1)*100)))</f>
        <v>-6.9364161849711063</v>
      </c>
      <c r="DY62" s="95">
        <v>24.3</v>
      </c>
      <c r="DZ62" s="81">
        <f>IF(ISERROR((DY62/DQ62-1)*100),"NA",IF(((DY62/DQ62-1)*100)&gt;100,"NM",IF(((DY62/DQ62-1)*100)&lt;-50,"NM",(DY62/DQ62-1)*100)))</f>
        <v>-29.154518950437314</v>
      </c>
      <c r="EA62" s="95">
        <v>107.7</v>
      </c>
      <c r="EB62" s="81">
        <f>IF(ISERROR((EA62/DS62-1)*100),"NA",IF(((EA62/DS62-1)*100)&gt;100,"NM",IF(((EA62/DS62-1)*100)&lt;-50,"NM",(EA62/DS62-1)*100)))</f>
        <v>-7.3149741824440673</v>
      </c>
      <c r="EC62" s="95">
        <v>36</v>
      </c>
      <c r="ED62" s="81">
        <f t="shared" ref="ED62:ED64" si="289">IF(ISERROR((EC62/DU62-1)*100),"NA",IF(((EC62/DU62-1)*100)&gt;100,"NM",IF(((EC62/DU62-1)*100)&lt;-50,"NM",(EC62/DU62-1)*100)))</f>
        <v>-4.0000000000000036</v>
      </c>
      <c r="EE62" s="95">
        <v>47.5</v>
      </c>
      <c r="EF62" s="81">
        <f t="shared" ref="EF62:EF64" si="290">IF(ISERROR((EE62/DW62-1)*100),"NA",IF(((EE62/DW62-1)*100)&gt;100,"NM",IF(((EE62/DW62-1)*100)&lt;-50,"NM",(EE62/DW62-1)*100)))</f>
        <v>-1.6563146997929601</v>
      </c>
      <c r="EG62" s="95">
        <v>31.1</v>
      </c>
      <c r="EH62" s="81">
        <f t="shared" ref="EH62:EH64" si="291">IF(ISERROR((EG62/DY62-1)*100),"NA",IF(((EG62/DY62-1)*100)&gt;100,"NM",IF(((EG62/DY62-1)*100)&lt;-50,"NM",(EG62/DY62-1)*100)))</f>
        <v>27.983539094650212</v>
      </c>
      <c r="EI62" s="95">
        <v>126.2</v>
      </c>
      <c r="EJ62" s="81">
        <f t="shared" ref="EJ62:EJ64" si="292">IF(ISERROR((EI62/EA62-1)*100),"NA",IF(((EI62/EA62-1)*100)&gt;100,"NM",IF(((EI62/EA62-1)*100)&lt;-50,"NM",(EI62/EA62-1)*100)))</f>
        <v>17.177344475394605</v>
      </c>
      <c r="EK62" s="105"/>
      <c r="EL62" s="81" t="str">
        <f t="shared" ref="EL62:EL64" si="293">IF(ISERROR((EK62/EC62-1)*100),"NA",IF(((EK62/EC62-1)*100)&gt;100,"NM",IF(((EK62/EC62-1)*100)&lt;-50,"NM",(EK62/EC62-1)*100)))</f>
        <v>NM</v>
      </c>
      <c r="EM62" s="105"/>
      <c r="EN62" s="81" t="str">
        <f t="shared" ref="EN62:EN64" si="294">IF(ISERROR((EM62/EE62-1)*100),"NA",IF(((EM62/EE62-1)*100)&gt;100,"NM",IF(((EM62/EE62-1)*100)&lt;-50,"NM",(EM62/EE62-1)*100)))</f>
        <v>NM</v>
      </c>
      <c r="EO62" s="105"/>
      <c r="EP62" s="81" t="str">
        <f t="shared" ref="EP62:EP64" si="295">IF(ISERROR((EO62/EG62-1)*100),"NA",IF(((EO62/EG62-1)*100)&gt;100,"NM",IF(((EO62/EG62-1)*100)&lt;-50,"NM",(EO62/EG62-1)*100)))</f>
        <v>NM</v>
      </c>
      <c r="EQ62" s="105"/>
      <c r="ER62" s="81" t="str">
        <f t="shared" ref="ER62:ER64" si="296">IF(ISERROR((EQ62/EI62-1)*100),"NA",IF(((EQ62/EI62-1)*100)&gt;100,"NM",IF(((EQ62/EI62-1)*100)&lt;-50,"NM",(EQ62/EI62-1)*100)))</f>
        <v>NM</v>
      </c>
      <c r="ES62" s="129"/>
      <c r="ET62" s="469"/>
      <c r="EU62" s="129"/>
      <c r="EV62" s="95"/>
      <c r="EW62" s="79"/>
      <c r="EX62" s="95"/>
      <c r="EY62" s="79"/>
      <c r="EZ62" s="131"/>
      <c r="FA62" s="79"/>
      <c r="FB62" s="185"/>
      <c r="FC62" s="79"/>
      <c r="FD62" s="186">
        <v>325.2</v>
      </c>
      <c r="FE62" s="79" t="str">
        <f>IF(ISERROR((FD62/FB62-1)*100),"NA",IF(((FD62/FB62-1)*100)&gt;100,"NM",IF(((FD62/FB62-1)*100)&lt;-50,"NM",(FD62/FB62-1)*100)))</f>
        <v>NA</v>
      </c>
      <c r="FF62" s="187">
        <v>299.10000000000002</v>
      </c>
      <c r="FG62" s="79">
        <f>IF(ISERROR((FF62/FD62-1)*100),"NA",IF(((FF62/FD62-1)*100)&gt;100,"NM",IF(((FF62/FD62-1)*100)&lt;-50,"NM",(FF62/FD62-1)*100)))</f>
        <v>-8.0258302583025696</v>
      </c>
      <c r="FH62" s="107">
        <v>180.4</v>
      </c>
      <c r="FI62" s="79">
        <f>IF(ISERROR((FH62/FF62-1)*100),"NA",IF(((FH62/FF62-1)*100)&gt;100,"NM",IF(((FH62/FF62-1)*100)&lt;-50,"NM",(FH62/FF62-1)*100)))</f>
        <v>-39.685723838181211</v>
      </c>
      <c r="FJ62" s="145"/>
      <c r="FK62" s="79" t="str">
        <f>IF(ISERROR((FJ62/FH62-1)*100),"NA",IF(((FJ62/FH62-1)*100)&gt;100,"NM",IF(((FJ62/FH62-1)*100)&lt;-50,"NM",(FJ62/FH62-1)*100)))</f>
        <v>NM</v>
      </c>
      <c r="FL62" s="95"/>
      <c r="FM62" s="79" t="str">
        <f>IF(ISERROR((FL62/FJ62-1)*100),"NA",IF(((FL62/FJ62-1)*100)&gt;100,"NM",IF(((FL62/FJ62-1)*100)&lt;-50,"NM",(FL62/FJ62-1)*100)))</f>
        <v>NA</v>
      </c>
      <c r="FN62" s="95"/>
      <c r="FO62" s="79" t="str">
        <f>IF(ISERROR((FN62/FL62-1)*100),"NA",IF(((FN62/FL62-1)*100)&gt;100,"NM",IF(((FN62/FL62-1)*100)&lt;-50,"NM",(FN62/FL62-1)*100)))</f>
        <v>NA</v>
      </c>
      <c r="FP62" s="78">
        <f>BI62+BK62+BM62+BO62</f>
        <v>190.3</v>
      </c>
      <c r="FQ62" s="79" t="str">
        <f>IF(ISERROR((FP62/FN62-1)*100),"NA",IF(((FP62/FN62-1)*100)&gt;100,"NM",IF(((FP62/FN62-1)*100)&lt;-50,"NM",(FP62/FN62-1)*100)))</f>
        <v>NA</v>
      </c>
      <c r="FR62" s="78">
        <f>BQ62+BS62+BU62+BW62</f>
        <v>182.10000000000002</v>
      </c>
      <c r="FS62" s="79">
        <f>IF(ISERROR((FR62/FP62-1)*100),"NA",IF(((FR62/FP62-1)*100)&gt;100,"NM",IF(((FR62/FP62-1)*100)&lt;-50,"NM",(FR62/FP62-1)*100)))</f>
        <v>-4.3089858118759761</v>
      </c>
      <c r="FT62" s="78">
        <f>BY62+CA62+CC62+CE62</f>
        <v>148.30000000000001</v>
      </c>
      <c r="FU62" s="79">
        <f>IF(ISERROR((FT62/FR62-1)*100),"NA",IF(((FT62/FR62-1)*100)&gt;100,"NM",IF(((FT62/FR62-1)*100)&lt;-50,"NM",(FT62/FR62-1)*100)))</f>
        <v>-18.561230093355306</v>
      </c>
      <c r="FV62" s="78">
        <f>CG62+CI62+CK62+CM62</f>
        <v>165</v>
      </c>
      <c r="FW62" s="79">
        <f>IF(ISERROR((FV62/FT62-1)*100),"NA",IF(((FV62/FT62-1)*100)&gt;100,"NM",IF(((FV62/FT62-1)*100)&lt;-50,"NM",(FV62/FT62-1)*100)))</f>
        <v>11.26095751854348</v>
      </c>
      <c r="FX62" s="78">
        <f>CO62+CQ62+CS62+CU62</f>
        <v>182.2</v>
      </c>
      <c r="FY62" s="79">
        <f>IF(ISERROR((FX62/FV62-1)*100),"NA",IF(((FX62/FV62-1)*100)&gt;100,"NM",IF(((FX62/FV62-1)*100)&lt;-50,"NM",(FX62/FV62-1)*100)))</f>
        <v>10.424242424242426</v>
      </c>
      <c r="FZ62" s="78">
        <f>CW62+CY62+DA62+DC62</f>
        <v>173.3</v>
      </c>
      <c r="GA62" s="79">
        <f>IF(ISERROR((FZ62/FX62-1)*100),"NA",IF(((FZ62/FX62-1)*100)&gt;100,"NM",IF(((FZ62/FX62-1)*100)&lt;-50,"NM",(FZ62/FX62-1)*100)))</f>
        <v>-4.8847420417123866</v>
      </c>
      <c r="GB62" s="78">
        <f>DE62+DG62+DI62+DK62</f>
        <v>223.6</v>
      </c>
      <c r="GC62" s="79">
        <f>IF(ISERROR((GB62/FZ62-1)*100),"NA",IF(((GB62/FZ62-1)*100)&gt;100,"NM",IF(((GB62/FZ62-1)*100)&lt;-50,"NM",(GB62/FZ62-1)*100)))</f>
        <v>29.024812463935355</v>
      </c>
      <c r="GD62" s="9"/>
      <c r="GE62" s="79" t="str">
        <f>IF(ISERROR((GD62/GB62-1)*100),"NA",IF(((GD62/GB62-1)*100)&gt;100,"NM",IF(((GD62/GB62-1)*100)&lt;-50,"NM",(GD62/GB62-1)*100)))</f>
        <v>NM</v>
      </c>
      <c r="GF62" s="9"/>
      <c r="GG62" s="79" t="str">
        <f>IF(ISERROR((GF62/GD62-1)*100),"NA",IF(((GF62/GD62-1)*100)&gt;100,"NM",IF(((GF62/GD62-1)*100)&lt;-50,"NM",(GF62/GD62-1)*100)))</f>
        <v>NA</v>
      </c>
      <c r="GH62" s="9"/>
      <c r="GI62" s="79" t="str">
        <f>IF(ISERROR((GH62/GF62-1)*100),"NA",IF(((GH62/GF62-1)*100)&gt;100,"NM",IF(((GH62/GF62-1)*100)&lt;-50,"NM",(GH62/GF62-1)*100)))</f>
        <v>NA</v>
      </c>
      <c r="GJ62" s="9"/>
      <c r="GK62" s="79" t="str">
        <f>IF(ISERROR((GJ62/GH62-1)*100),"NA",IF(((GJ62/GH62-1)*100)&gt;100,"NM",IF(((GJ62/GH62-1)*100)&lt;-50,"NM",(GJ62/GH62-1)*100)))</f>
        <v>NA</v>
      </c>
      <c r="GL62" s="105"/>
      <c r="GM62" s="79" t="str">
        <f>IF(ISERROR((GL62/GJ62-1)*100),"NA",IF(((GL62/GJ62-1)*100)&gt;100,"NM",IF(((GL62/GJ62-1)*100)&lt;-50,"NM",(GL62/GJ62-1)*100)))</f>
        <v>NA</v>
      </c>
      <c r="GN62" s="105"/>
      <c r="GO62" s="79" t="str">
        <f>IF(ISERROR((GN62/GL62-1)*100),"NA",IF(((GN62/GL62-1)*100)&gt;100,"NM",IF(((GN62/GL62-1)*100)&lt;-50,"NM",(GN62/GL62-1)*100)))</f>
        <v>NA</v>
      </c>
      <c r="GP62" s="105"/>
      <c r="GQ62" s="79" t="str">
        <f>IF(ISERROR((GP62/GN62-1)*100),"NA",IF(((GP62/GN62-1)*100)&gt;100,"NM",IF(((GP62/GN62-1)*100)&lt;-50,"NM",(GP62/GN62-1)*100)))</f>
        <v>NA</v>
      </c>
      <c r="GR62" s="105"/>
      <c r="GS62" s="79" t="str">
        <f>IF(ISERROR((GR62/GP62-1)*100),"NA",IF(((GR62/GP62-1)*100)&gt;100,"NM",IF(((GR62/GP62-1)*100)&lt;-50,"NM",(GR62/GP62-1)*100)))</f>
        <v>NA</v>
      </c>
      <c r="GT62" s="79"/>
      <c r="GU62" s="562"/>
      <c r="GV62" s="562"/>
      <c r="GW62"/>
      <c r="GX62"/>
      <c r="GY62"/>
      <c r="GZ62"/>
      <c r="HA62"/>
      <c r="HB62"/>
      <c r="HC62" s="562"/>
      <c r="HD62" s="562"/>
      <c r="HE62" s="562"/>
      <c r="HF62" s="562"/>
      <c r="HG62" s="562"/>
      <c r="HH62" s="562"/>
      <c r="HI62" s="562"/>
      <c r="HJ62" s="562"/>
      <c r="HK62" s="562"/>
      <c r="HL62" s="562"/>
      <c r="HM62" s="562"/>
      <c r="HN62" s="562"/>
      <c r="HO62" s="562"/>
      <c r="HP62" s="562"/>
      <c r="HQ62" s="562"/>
      <c r="HR62" s="562"/>
      <c r="HS62" s="562"/>
      <c r="HT62" s="562"/>
      <c r="HU62" s="562"/>
      <c r="HV62" s="562"/>
      <c r="HW62" s="562"/>
      <c r="HX62" s="562"/>
      <c r="HY62" s="562"/>
      <c r="HZ62" s="562"/>
      <c r="IA62" s="562"/>
      <c r="IB62" s="562"/>
      <c r="IC62" s="562"/>
      <c r="ID62" s="562"/>
      <c r="IE62" s="562"/>
      <c r="IF62" s="562"/>
      <c r="IG62" s="562"/>
      <c r="IH62" s="562"/>
      <c r="II62" s="562"/>
      <c r="IJ62" s="562"/>
      <c r="IK62" s="562"/>
      <c r="IL62" s="562"/>
      <c r="IM62" s="562"/>
      <c r="IN62" s="562"/>
      <c r="IO62" s="562"/>
      <c r="IP62" s="562"/>
      <c r="IQ62" s="562"/>
      <c r="IR62" s="562"/>
      <c r="IS62" s="562"/>
      <c r="IT62" s="562"/>
      <c r="IU62" s="562"/>
      <c r="IV62" s="562"/>
      <c r="IW62" s="562"/>
      <c r="IX62" s="562"/>
      <c r="IY62" s="562"/>
      <c r="IZ62" s="562"/>
      <c r="JA62" s="562"/>
      <c r="JB62" s="562"/>
      <c r="JC62" s="562"/>
      <c r="JD62" s="562"/>
      <c r="JE62" s="562"/>
      <c r="JF62" s="562"/>
      <c r="JG62" s="562"/>
      <c r="JH62" s="562"/>
      <c r="JI62" s="562"/>
      <c r="JJ62" s="562"/>
      <c r="JK62" s="562"/>
      <c r="JL62" s="562"/>
      <c r="JM62" s="562"/>
      <c r="JN62" s="562"/>
      <c r="JO62" s="562"/>
      <c r="JP62" s="562"/>
      <c r="JQ62" s="562"/>
      <c r="JR62" s="562"/>
      <c r="JS62" s="562"/>
      <c r="JT62" s="562"/>
      <c r="JU62" s="562"/>
      <c r="JV62" s="562"/>
      <c r="JW62" s="562"/>
      <c r="JX62" s="562"/>
      <c r="JY62" s="562"/>
      <c r="JZ62" s="562"/>
    </row>
    <row r="63" spans="1:286" s="132" customFormat="1" ht="12.75" customHeight="1" x14ac:dyDescent="0.2">
      <c r="A63" s="133"/>
      <c r="B63" s="2" t="s">
        <v>360</v>
      </c>
      <c r="C63" s="79"/>
      <c r="D63" s="79"/>
      <c r="E63" s="182"/>
      <c r="F63" s="182"/>
      <c r="G63" s="182"/>
      <c r="H63" s="182"/>
      <c r="I63" s="182"/>
      <c r="J63" s="182"/>
      <c r="K63" s="182"/>
      <c r="L63" s="79"/>
      <c r="M63" s="182"/>
      <c r="N63" s="79"/>
      <c r="O63" s="182"/>
      <c r="P63" s="79"/>
      <c r="Q63" s="182"/>
      <c r="R63" s="79"/>
      <c r="S63" s="182"/>
      <c r="T63" s="79"/>
      <c r="U63" s="182"/>
      <c r="V63" s="79"/>
      <c r="W63" s="182"/>
      <c r="X63" s="79"/>
      <c r="Y63" s="182"/>
      <c r="Z63" s="79"/>
      <c r="AA63" s="183"/>
      <c r="AB63" s="79"/>
      <c r="AC63" s="182">
        <v>0.2</v>
      </c>
      <c r="AD63" s="79" t="str">
        <f>IF(ISERROR((AC63/U63-1)*100),"NA",IF(((AC63/U63-1)*100)&gt;100,"NM",IF(((AC63/U63-1)*100)&lt;-50,"NM",(AC63/U63-1)*100)))</f>
        <v>NA</v>
      </c>
      <c r="AE63" s="182">
        <v>0.1</v>
      </c>
      <c r="AF63" s="79" t="str">
        <f>IF(ISERROR((AE63/W63-1)*100),"NA",IF(((AE63/W63-1)*100)&gt;100,"NM",IF(((AE63/W63-1)*100)&lt;-50,"NM",(AE63/W63-1)*100)))</f>
        <v>NA</v>
      </c>
      <c r="AG63" s="182">
        <v>0.1</v>
      </c>
      <c r="AH63" s="79" t="str">
        <f>IF(ISERROR((AG63/Y63-1)*100),"NA",IF(((AG63/Y63-1)*100)&gt;100,"NM",IF(((AG63/Y63-1)*100)&lt;-50,"NM",(AG63/Y63-1)*100)))</f>
        <v>NA</v>
      </c>
      <c r="AI63" s="184">
        <f>FH63-AG63-AE63-AC63</f>
        <v>0.7</v>
      </c>
      <c r="AJ63" s="79" t="str">
        <f>IF(ISERROR((AI63/AA63-1)*100),"NA",IF(((AI63/AA63-1)*100)&gt;100,"NM",IF(((AI63/AA63-1)*100)&lt;-50,"NM",(AI63/AA63-1)*100)))</f>
        <v>NA</v>
      </c>
      <c r="AK63" s="182">
        <v>0.1</v>
      </c>
      <c r="AL63" s="79">
        <f>IF(ISERROR((AK63/AC63-1)*100),"NA",IF(((AK63/AC63-1)*100)&gt;100,"NM",IF(((AK63/AC63-1)*100)&lt;-50,"NM",(AK63/AC63-1)*100)))</f>
        <v>-50</v>
      </c>
      <c r="AM63" s="182">
        <v>0.5</v>
      </c>
      <c r="AN63" s="79" t="str">
        <f t="shared" si="286"/>
        <v>NM</v>
      </c>
      <c r="AO63" s="182">
        <v>0.9</v>
      </c>
      <c r="AP63" s="79" t="str">
        <f t="shared" si="286"/>
        <v>NM</v>
      </c>
      <c r="AQ63" s="182">
        <v>0.3</v>
      </c>
      <c r="AR63" s="79" t="str">
        <f t="shared" si="286"/>
        <v>NM</v>
      </c>
      <c r="AS63" s="95">
        <v>0</v>
      </c>
      <c r="AT63" s="81" t="str">
        <f t="shared" si="286"/>
        <v>NM</v>
      </c>
      <c r="AU63" s="95">
        <v>0.5</v>
      </c>
      <c r="AV63" s="81">
        <f t="shared" si="286"/>
        <v>0</v>
      </c>
      <c r="AW63" s="95">
        <v>0</v>
      </c>
      <c r="AX63" s="81" t="str">
        <f t="shared" si="286"/>
        <v>NM</v>
      </c>
      <c r="AY63" s="95">
        <v>3.2</v>
      </c>
      <c r="AZ63" s="81" t="str">
        <f t="shared" si="286"/>
        <v>NM</v>
      </c>
      <c r="BA63" s="95">
        <v>0</v>
      </c>
      <c r="BB63" s="81" t="str">
        <f t="shared" si="286"/>
        <v>NA</v>
      </c>
      <c r="BC63" s="95">
        <v>1.6</v>
      </c>
      <c r="BD63" s="81" t="str">
        <f t="shared" si="286"/>
        <v>NM</v>
      </c>
      <c r="BE63" s="95">
        <v>0</v>
      </c>
      <c r="BF63" s="81" t="str">
        <f>IF(ISERROR((BE63/AW63-1)*100),"NA",IF(((BE63/AW63-1)*100)&gt;100,"NM",IF(((BE63/AW63-1)*100)&lt;-50,"NM",(BE63/AW63-1)*100)))</f>
        <v>NA</v>
      </c>
      <c r="BG63" s="95">
        <v>0</v>
      </c>
      <c r="BH63" s="81" t="str">
        <f>IF(ISERROR((BG63/AY63-1)*100),"NA",IF(((BG63/AY63-1)*100)&gt;100,"NM",IF(((BG63/AY63-1)*100)&lt;-50,"NM",(BG63/AY63-1)*100)))</f>
        <v>NM</v>
      </c>
      <c r="BI63" s="95">
        <v>1.2</v>
      </c>
      <c r="BJ63" s="81" t="str">
        <f t="shared" ref="BJ63:BJ70" si="297">IF(ISERROR((BI63/BA63-1)*100),"NA",IF(((BI63/BA63-1)*100)&gt;100,"NM",IF(((BI63/BA63-1)*100)&lt;-50,"NM",(BI63/BA63-1)*100)))</f>
        <v>NA</v>
      </c>
      <c r="BK63" s="95">
        <v>0</v>
      </c>
      <c r="BL63" s="81" t="str">
        <f>IF(ISERROR((BK63/BC63-1)*100),"NA",IF(((BK63/BC63-1)*100)&gt;100,"NM",IF(((BK63/BC63-1)*100)&lt;-50,"NM",(BK63/BC63-1)*100)))</f>
        <v>NM</v>
      </c>
      <c r="BM63" s="95">
        <v>0.1</v>
      </c>
      <c r="BN63" s="81" t="str">
        <f>IF(ISERROR((BM63/BE63-1)*100),"NA",IF(((BM63/BE63-1)*100)&gt;100,"NM",IF(((BM63/BE63-1)*100)&lt;-50,"NM",(BM63/BE63-1)*100)))</f>
        <v>NA</v>
      </c>
      <c r="BO63" s="95">
        <v>0.1</v>
      </c>
      <c r="BP63" s="81" t="str">
        <f>IF(ISERROR((BO63/BG63-1)*100),"NA",IF(((BO63/BG63-1)*100)&gt;100,"NM",IF(((BO63/BG63-1)*100)&lt;-50,"NM",(BO63/BG63-1)*100)))</f>
        <v>NA</v>
      </c>
      <c r="BQ63" s="95">
        <v>0</v>
      </c>
      <c r="BR63" s="81" t="str">
        <f>IF(ISERROR((BQ63/BI63-1)*100),"NA",IF(((BQ63/BI63-1)*100)&gt;100,"NM",IF(((BQ63/BI63-1)*100)&lt;-50,"NM",(BQ63/BI63-1)*100)))</f>
        <v>NM</v>
      </c>
      <c r="BS63" s="95">
        <v>0</v>
      </c>
      <c r="BT63" s="81" t="str">
        <f>IF(ISERROR((BS63/BK63-1)*100),"NA",IF(((BS63/BK63-1)*100)&gt;100,"NM",IF(((BS63/BK63-1)*100)&lt;-50,"NM",(BS63/BK63-1)*100)))</f>
        <v>NA</v>
      </c>
      <c r="BU63" s="95">
        <v>0</v>
      </c>
      <c r="BV63" s="81"/>
      <c r="BW63" s="95">
        <v>0</v>
      </c>
      <c r="BX63" s="81"/>
      <c r="BY63" s="95">
        <v>0</v>
      </c>
      <c r="BZ63" s="81" t="str">
        <f>IF(ISERROR((BY63/BQ63-1)*100),"NA",IF(((BY63/BQ63-1)*100)&gt;100,"NM",IF(((BY63/BQ63-1)*100)&lt;-50,"NM",(BY63/BQ63-1)*100)))</f>
        <v>NA</v>
      </c>
      <c r="CA63" s="95">
        <v>0</v>
      </c>
      <c r="CB63" s="81" t="str">
        <f>IF(ISERROR((CA63/BS63-1)*100),"NA",IF(((CA63/BS63-1)*100)&gt;100,"NM",IF(((CA63/BS63-1)*100)&lt;-50,"NM",(CA63/BS63-1)*100)))</f>
        <v>NA</v>
      </c>
      <c r="CC63" s="95">
        <v>0</v>
      </c>
      <c r="CD63" s="81" t="str">
        <f t="shared" si="287"/>
        <v>NA</v>
      </c>
      <c r="CE63" s="95">
        <v>0</v>
      </c>
      <c r="CF63" s="81" t="str">
        <f t="shared" si="288"/>
        <v>NA</v>
      </c>
      <c r="CG63" s="95">
        <v>0</v>
      </c>
      <c r="CH63" s="81" t="str">
        <f>IF(ISERROR((CG63/BY63-1)*100),"NA",IF(((CG63/BY63-1)*100)&gt;100,"NM",IF(((CG63/BY63-1)*100)&lt;-50,"NM",(CG63/BY63-1)*100)))</f>
        <v>NA</v>
      </c>
      <c r="CI63" s="95">
        <v>0</v>
      </c>
      <c r="CJ63" s="81" t="str">
        <f>IF(ISERROR((CI63/CA63-1)*100),"NA",IF(((CI63/CA63-1)*100)&gt;100,"NM",IF(((CI63/CA63-1)*100)&lt;-50,"NM",(CI63/CA63-1)*100)))</f>
        <v>NA</v>
      </c>
      <c r="CK63" s="95">
        <v>0</v>
      </c>
      <c r="CL63" s="81" t="str">
        <f>IF(ISERROR((CK63/CC63-1)*100),"NA",IF(((CK63/CC63-1)*100)&gt;100,"NM",IF(((CK63/CC63-1)*100)&lt;-50,"NM",(CK63/CC63-1)*100)))</f>
        <v>NA</v>
      </c>
      <c r="CM63" s="95">
        <v>0</v>
      </c>
      <c r="CN63" s="81" t="str">
        <f>IF(ISERROR((CM63/CE63-1)*100),"NA",IF(((CM63/CE63-1)*100)&gt;100,"NM",IF(((CM63/CE63-1)*100)&lt;-50,"NM",(CM63/CE63-1)*100)))</f>
        <v>NA</v>
      </c>
      <c r="CO63" s="95">
        <v>0</v>
      </c>
      <c r="CP63" s="81" t="str">
        <f>IF(ISERROR((CO63/CG63-1)*100),"NA",IF(((CO63/CG63-1)*100)&gt;100,"NM",IF(((CO63/CG63-1)*100)&lt;-50,"NM",(CO63/CG63-1)*100)))</f>
        <v>NA</v>
      </c>
      <c r="CQ63" s="95">
        <v>0</v>
      </c>
      <c r="CR63" s="81" t="str">
        <f>IF(ISERROR((CQ63/CI63-1)*100),"NA",IF(((CQ63/CI63-1)*100)&gt;100,"NM",IF(((CQ63/CI63-1)*100)&lt;-50,"NM",(CQ63/CI63-1)*100)))</f>
        <v>NA</v>
      </c>
      <c r="CS63" s="95">
        <v>0</v>
      </c>
      <c r="CT63" s="81" t="str">
        <f>IF(ISERROR((CS63/CK63-1)*100),"NA",IF(((CS63/CK63-1)*100)&gt;100,"NM",IF(((CS63/CK63-1)*100)&lt;-50,"NM",(CS63/CK63-1)*100)))</f>
        <v>NA</v>
      </c>
      <c r="CU63" s="95">
        <v>0</v>
      </c>
      <c r="CV63" s="81" t="str">
        <f>IF(ISERROR((CU63/CM63-1)*100),"NA",IF(((CU63/CM63-1)*100)&gt;100,"NM",IF(((CU63/CM63-1)*100)&lt;-50,"NM",(CU63/CM63-1)*100)))</f>
        <v>NA</v>
      </c>
      <c r="CW63" s="95">
        <v>0</v>
      </c>
      <c r="CX63" s="81" t="str">
        <f>IF(ISERROR((CW63/CO63-1)*100),"NA",IF(((CW63/CO63-1)*100)&gt;100,"NM",IF(((CW63/CO63-1)*100)&lt;-50,"NM",(CW63/CO63-1)*100)))</f>
        <v>NA</v>
      </c>
      <c r="CY63" s="95">
        <v>0</v>
      </c>
      <c r="CZ63" s="81" t="str">
        <f>IF(ISERROR((CY63/CQ63-1)*100),"NA",IF(((CY63/CQ63-1)*100)&gt;100,"NM",IF(((CY63/CQ63-1)*100)&lt;-50,"NM",(CY63/CQ63-1)*100)))</f>
        <v>NA</v>
      </c>
      <c r="DA63" s="95">
        <v>0</v>
      </c>
      <c r="DB63" s="81" t="str">
        <f>IF(ISERROR((DA63/CS63-1)*100),"NA",IF(((DA63/CS63-1)*100)&gt;100,"NM",IF(((DA63/CS63-1)*100)&lt;-50,"NM",(DA63/CS63-1)*100)))</f>
        <v>NA</v>
      </c>
      <c r="DC63" s="95">
        <v>0</v>
      </c>
      <c r="DD63" s="81" t="str">
        <f>IF(ISERROR((DC63/CU63-1)*100),"NA",IF(((DC63/CU63-1)*100)&gt;100,"NM",IF(((DC63/CU63-1)*100)&lt;-50,"NM",(DC63/CU63-1)*100)))</f>
        <v>NA</v>
      </c>
      <c r="DE63" s="95">
        <v>0</v>
      </c>
      <c r="DF63" s="81" t="str">
        <f>IF(ISERROR((DE63/CW63-1)*100),"NA",IF(((DE63/CW63-1)*100)&gt;100,"NM",IF(((DE63/CW63-1)*100)&lt;-50,"NM",(DE63/CW63-1)*100)))</f>
        <v>NA</v>
      </c>
      <c r="DG63" s="95">
        <v>0</v>
      </c>
      <c r="DH63" s="81" t="str">
        <f>IF(ISERROR((DG63/CY63-1)*100),"NA",IF(((DG63/CY63-1)*100)&gt;100,"NM",IF(((DG63/CY63-1)*100)&lt;-50,"NM",(DG63/CY63-1)*100)))</f>
        <v>NA</v>
      </c>
      <c r="DI63" s="95">
        <v>0</v>
      </c>
      <c r="DJ63" s="81" t="str">
        <f>IF(ISERROR((DI63/DA63-1)*100),"NA",IF(((DI63/DA63-1)*100)&gt;100,"NM",IF(((DI63/DA63-1)*100)&lt;-50,"NM",(DI63/DA63-1)*100)))</f>
        <v>NA</v>
      </c>
      <c r="DK63" s="95">
        <v>0</v>
      </c>
      <c r="DL63" s="81" t="str">
        <f>IF(ISERROR((DK63/DC63-1)*100),"NA",IF(((DK63/DC63-1)*100)&gt;100,"NM",IF(((DK63/DC63-1)*100)&lt;-50,"NM",(DK63/DC63-1)*100)))</f>
        <v>NA</v>
      </c>
      <c r="DM63" s="95">
        <v>0</v>
      </c>
      <c r="DN63" s="81" t="str">
        <f>IF(ISERROR((DM63/DE63-1)*100),"NA",IF(((DM63/DE63-1)*100)&gt;100,"NM",IF(((DM63/DE63-1)*100)&lt;-50,"NM",(DM63/DE63-1)*100)))</f>
        <v>NA</v>
      </c>
      <c r="DO63" s="95">
        <v>0</v>
      </c>
      <c r="DP63" s="81" t="str">
        <f>IF(ISERROR((DO63/DG63-1)*100),"NA",IF(((DO63/DG63-1)*100)&gt;100,"NM",IF(((DO63/DG63-1)*100)&lt;-50,"NM",(DO63/DG63-1)*100)))</f>
        <v>NA</v>
      </c>
      <c r="DQ63" s="95">
        <v>0</v>
      </c>
      <c r="DR63" s="81" t="str">
        <f>IF(ISERROR((DQ63/DI63-1)*100),"NA",IF(((DQ63/DI63-1)*100)&gt;100,"NM",IF(((DQ63/DI63-1)*100)&lt;-50,"NM",(DQ63/DI63-1)*100)))</f>
        <v>NA</v>
      </c>
      <c r="DS63" s="95">
        <v>0</v>
      </c>
      <c r="DT63" s="81" t="str">
        <f>IF(ISERROR((DS63/DK63-1)*100),"NA",IF(((DS63/DK63-1)*100)&gt;100,"NM",IF(((DS63/DK63-1)*100)&lt;-50,"NM",(DS63/DK63-1)*100)))</f>
        <v>NA</v>
      </c>
      <c r="DU63" s="95">
        <v>0</v>
      </c>
      <c r="DV63" s="81" t="str">
        <f>IF(ISERROR((DU63/DM63-1)*100),"NA",IF(((DU63/DM63-1)*100)&gt;100,"NM",IF(((DU63/DM63-1)*100)&lt;-50,"NM",(DU63/DM63-1)*100)))</f>
        <v>NA</v>
      </c>
      <c r="DW63" s="95">
        <v>0</v>
      </c>
      <c r="DX63" s="81" t="str">
        <f>IF(ISERROR((DW63/DO63-1)*100),"NA",IF(((DW63/DO63-1)*100)&gt;100,"NM",IF(((DW63/DO63-1)*100)&lt;-50,"NM",(DW63/DO63-1)*100)))</f>
        <v>NA</v>
      </c>
      <c r="DY63" s="95">
        <v>0</v>
      </c>
      <c r="DZ63" s="81" t="str">
        <f>IF(ISERROR((DY63/DQ63-1)*100),"NA",IF(((DY63/DQ63-1)*100)&gt;100,"NM",IF(((DY63/DQ63-1)*100)&lt;-50,"NM",(DY63/DQ63-1)*100)))</f>
        <v>NA</v>
      </c>
      <c r="EA63" s="95">
        <v>0</v>
      </c>
      <c r="EB63" s="81" t="str">
        <f>IF(ISERROR((EA63/DS63-1)*100),"NA",IF(((EA63/DS63-1)*100)&gt;100,"NM",IF(((EA63/DS63-1)*100)&lt;-50,"NM",(EA63/DS63-1)*100)))</f>
        <v>NA</v>
      </c>
      <c r="EC63" s="95">
        <v>0</v>
      </c>
      <c r="ED63" s="81" t="str">
        <f t="shared" si="289"/>
        <v>NA</v>
      </c>
      <c r="EE63" s="95">
        <v>0</v>
      </c>
      <c r="EF63" s="81" t="str">
        <f t="shared" si="290"/>
        <v>NA</v>
      </c>
      <c r="EG63" s="95">
        <v>0</v>
      </c>
      <c r="EH63" s="81" t="str">
        <f t="shared" si="291"/>
        <v>NA</v>
      </c>
      <c r="EI63" s="95">
        <v>0</v>
      </c>
      <c r="EJ63" s="81" t="str">
        <f t="shared" si="292"/>
        <v>NA</v>
      </c>
      <c r="EK63" s="188"/>
      <c r="EL63" s="81" t="str">
        <f t="shared" si="293"/>
        <v>NA</v>
      </c>
      <c r="EM63" s="188"/>
      <c r="EN63" s="81" t="str">
        <f t="shared" si="294"/>
        <v>NA</v>
      </c>
      <c r="EO63" s="188"/>
      <c r="EP63" s="81" t="str">
        <f t="shared" si="295"/>
        <v>NA</v>
      </c>
      <c r="EQ63" s="188"/>
      <c r="ER63" s="81" t="str">
        <f t="shared" si="296"/>
        <v>NA</v>
      </c>
      <c r="ES63" s="129"/>
      <c r="ET63" s="469"/>
      <c r="EU63" s="129"/>
      <c r="EV63" s="95"/>
      <c r="EW63" s="79"/>
      <c r="EX63" s="95"/>
      <c r="EY63" s="79"/>
      <c r="EZ63" s="131"/>
      <c r="FA63" s="79"/>
      <c r="FB63" s="185"/>
      <c r="FC63" s="79"/>
      <c r="FD63" s="186">
        <v>4.8</v>
      </c>
      <c r="FE63" s="79" t="str">
        <f>IF(ISERROR((FD63/FB63-1)*100),"NA",IF(((FD63/FB63-1)*100)&gt;100,"NM",IF(((FD63/FB63-1)*100)&lt;-50,"NM",(FD63/FB63-1)*100)))</f>
        <v>NA</v>
      </c>
      <c r="FF63" s="187">
        <v>6.5</v>
      </c>
      <c r="FG63" s="79">
        <f>IF(ISERROR((FF63/FD63-1)*100),"NA",IF(((FF63/FD63-1)*100)&gt;100,"NM",IF(((FF63/FD63-1)*100)&lt;-50,"NM",(FF63/FD63-1)*100)))</f>
        <v>35.416666666666671</v>
      </c>
      <c r="FH63" s="107">
        <v>1.1000000000000001</v>
      </c>
      <c r="FI63" s="79" t="str">
        <f>IF(ISERROR((FH63/FF63-1)*100),"NA",IF(((FH63/FF63-1)*100)&gt;100,"NM",IF(((FH63/FF63-1)*100)&lt;-50,"NM",(FH63/FF63-1)*100)))</f>
        <v>NM</v>
      </c>
      <c r="FJ63" s="145"/>
      <c r="FK63" s="79" t="str">
        <f>IF(ISERROR((FJ63/FH63-1)*100),"NA",IF(((FJ63/FH63-1)*100)&gt;100,"NM",IF(((FJ63/FH63-1)*100)&lt;-50,"NM",(FJ63/FH63-1)*100)))</f>
        <v>NM</v>
      </c>
      <c r="FL63" s="95"/>
      <c r="FM63" s="79" t="str">
        <f>IF(ISERROR((FL63/FJ63-1)*100),"NA",IF(((FL63/FJ63-1)*100)&gt;100,"NM",IF(((FL63/FJ63-1)*100)&lt;-50,"NM",(FL63/FJ63-1)*100)))</f>
        <v>NA</v>
      </c>
      <c r="FN63" s="95"/>
      <c r="FO63" s="79" t="str">
        <f>IF(ISERROR((FN63/FL63-1)*100),"NA",IF(((FN63/FL63-1)*100)&gt;100,"NM",IF(((FN63/FL63-1)*100)&lt;-50,"NM",(FN63/FL63-1)*100)))</f>
        <v>NA</v>
      </c>
      <c r="FP63" s="78">
        <f>BI63+BK63+BM63+BO63</f>
        <v>1.4000000000000001</v>
      </c>
      <c r="FQ63" s="79" t="str">
        <f>IF(ISERROR((FP63/FN63-1)*100),"NA",IF(((FP63/FN63-1)*100)&gt;100,"NM",IF(((FP63/FN63-1)*100)&lt;-50,"NM",(FP63/FN63-1)*100)))</f>
        <v>NA</v>
      </c>
      <c r="FR63" s="78">
        <f>BQ63+BS63+BU63+BW63</f>
        <v>0</v>
      </c>
      <c r="FS63" s="79" t="str">
        <f>IF(ISERROR((FR63/FP63-1)*100),"NA",IF(((FR63/FP63-1)*100)&gt;100,"NM",IF(((FR63/FP63-1)*100)&lt;-50,"NM",(FR63/FP63-1)*100)))</f>
        <v>NM</v>
      </c>
      <c r="FT63" s="78">
        <f>BY63+CA63+CC63+CE63</f>
        <v>0</v>
      </c>
      <c r="FU63" s="79" t="str">
        <f>IF(ISERROR((FT63/FR63-1)*100),"NA",IF(((FT63/FR63-1)*100)&gt;100,"NM",IF(((FT63/FR63-1)*100)&lt;-50,"NM",(FT63/FR63-1)*100)))</f>
        <v>NA</v>
      </c>
      <c r="FV63" s="78">
        <f>CG63+CI63+CK63+CM63</f>
        <v>0</v>
      </c>
      <c r="FW63" s="79" t="str">
        <f>IF(ISERROR((FV63/FT63-1)*100),"NA",IF(((FV63/FT63-1)*100)&gt;100,"NM",IF(((FV63/FT63-1)*100)&lt;-50,"NM",(FV63/FT63-1)*100)))</f>
        <v>NA</v>
      </c>
      <c r="FX63" s="78">
        <f>CO63+CQ63+CS63+CU63</f>
        <v>0</v>
      </c>
      <c r="FY63" s="79" t="str">
        <f>IF(ISERROR((FX63/FV63-1)*100),"NA",IF(((FX63/FV63-1)*100)&gt;100,"NM",IF(((FX63/FV63-1)*100)&lt;-50,"NM",(FX63/FV63-1)*100)))</f>
        <v>NA</v>
      </c>
      <c r="FZ63" s="78">
        <f>CW63+CY63+DA63+DC63</f>
        <v>0</v>
      </c>
      <c r="GA63" s="79" t="str">
        <f>IF(ISERROR((FZ63/FX63-1)*100),"NA",IF(((FZ63/FX63-1)*100)&gt;100,"NM",IF(((FZ63/FX63-1)*100)&lt;-50,"NM",(FZ63/FX63-1)*100)))</f>
        <v>NA</v>
      </c>
      <c r="GB63" s="78">
        <f>DE63+DG63+DI63+DK63</f>
        <v>0</v>
      </c>
      <c r="GC63" s="79" t="str">
        <f>IF(ISERROR((GB63/FZ63-1)*100),"NA",IF(((GB63/FZ63-1)*100)&gt;100,"NM",IF(((GB63/FZ63-1)*100)&lt;-50,"NM",(GB63/FZ63-1)*100)))</f>
        <v>NA</v>
      </c>
      <c r="GD63" s="9"/>
      <c r="GE63" s="79" t="str">
        <f>IF(ISERROR((GD63/GB63-1)*100),"NA",IF(((GD63/GB63-1)*100)&gt;100,"NM",IF(((GD63/GB63-1)*100)&lt;-50,"NM",(GD63/GB63-1)*100)))</f>
        <v>NA</v>
      </c>
      <c r="GF63" s="9"/>
      <c r="GG63" s="79" t="str">
        <f>IF(ISERROR((GF63/GD63-1)*100),"NA",IF(((GF63/GD63-1)*100)&gt;100,"NM",IF(((GF63/GD63-1)*100)&lt;-50,"NM",(GF63/GD63-1)*100)))</f>
        <v>NA</v>
      </c>
      <c r="GH63" s="9"/>
      <c r="GI63" s="79" t="str">
        <f>IF(ISERROR((GH63/GF63-1)*100),"NA",IF(((GH63/GF63-1)*100)&gt;100,"NM",IF(((GH63/GF63-1)*100)&lt;-50,"NM",(GH63/GF63-1)*100)))</f>
        <v>NA</v>
      </c>
      <c r="GJ63" s="9"/>
      <c r="GK63" s="79" t="str">
        <f>IF(ISERROR((GJ63/GH63-1)*100),"NA",IF(((GJ63/GH63-1)*100)&gt;100,"NM",IF(((GJ63/GH63-1)*100)&lt;-50,"NM",(GJ63/GH63-1)*100)))</f>
        <v>NA</v>
      </c>
      <c r="GL63" s="188"/>
      <c r="GM63" s="79" t="str">
        <f>IF(ISERROR((GL63/GJ63-1)*100),"NA",IF(((GL63/GJ63-1)*100)&gt;100,"NM",IF(((GL63/GJ63-1)*100)&lt;-50,"NM",(GL63/GJ63-1)*100)))</f>
        <v>NA</v>
      </c>
      <c r="GN63" s="188"/>
      <c r="GO63" s="79" t="str">
        <f>IF(ISERROR((GN63/GL63-1)*100),"NA",IF(((GN63/GL63-1)*100)&gt;100,"NM",IF(((GN63/GL63-1)*100)&lt;-50,"NM",(GN63/GL63-1)*100)))</f>
        <v>NA</v>
      </c>
      <c r="GP63" s="188"/>
      <c r="GQ63" s="79" t="str">
        <f>IF(ISERROR((GP63/GN63-1)*100),"NA",IF(((GP63/GN63-1)*100)&gt;100,"NM",IF(((GP63/GN63-1)*100)&lt;-50,"NM",(GP63/GN63-1)*100)))</f>
        <v>NA</v>
      </c>
      <c r="GR63" s="188"/>
      <c r="GS63" s="79" t="str">
        <f>IF(ISERROR((GR63/GP63-1)*100),"NA",IF(((GR63/GP63-1)*100)&gt;100,"NM",IF(((GR63/GP63-1)*100)&lt;-50,"NM",(GR63/GP63-1)*100)))</f>
        <v>NA</v>
      </c>
      <c r="GT63" s="79"/>
      <c r="GU63" s="562"/>
      <c r="GV63" s="562"/>
      <c r="GW63"/>
      <c r="GX63"/>
      <c r="GY63"/>
      <c r="GZ63"/>
      <c r="HA63"/>
      <c r="HB63"/>
      <c r="HC63" s="562"/>
      <c r="HD63" s="562"/>
      <c r="HE63" s="562"/>
      <c r="HF63" s="562"/>
      <c r="HG63" s="562"/>
      <c r="HH63" s="562"/>
      <c r="HI63" s="562"/>
      <c r="HJ63" s="562"/>
      <c r="HK63" s="562"/>
      <c r="HL63" s="562"/>
      <c r="HM63" s="562"/>
      <c r="HN63" s="562"/>
      <c r="HO63" s="562"/>
      <c r="HP63" s="562"/>
      <c r="HQ63" s="562"/>
      <c r="HR63" s="562"/>
      <c r="HS63" s="562"/>
      <c r="HT63" s="562"/>
      <c r="HU63" s="562"/>
      <c r="HV63" s="562"/>
      <c r="HW63" s="562"/>
      <c r="HX63" s="562"/>
      <c r="HY63" s="562"/>
      <c r="HZ63" s="562"/>
      <c r="IA63" s="562"/>
      <c r="IB63" s="562"/>
      <c r="IC63" s="562"/>
      <c r="ID63" s="562"/>
      <c r="IE63" s="562"/>
      <c r="IF63" s="562"/>
      <c r="IG63" s="562"/>
      <c r="IH63" s="562"/>
      <c r="II63" s="562"/>
      <c r="IJ63" s="562"/>
      <c r="IK63" s="562"/>
      <c r="IL63" s="562"/>
      <c r="IM63" s="562"/>
      <c r="IN63" s="562"/>
      <c r="IO63" s="562"/>
      <c r="IP63" s="562"/>
      <c r="IQ63" s="562"/>
      <c r="IR63" s="562"/>
      <c r="IS63" s="562"/>
      <c r="IT63" s="562"/>
      <c r="IU63" s="562"/>
      <c r="IV63" s="562"/>
      <c r="IW63" s="562"/>
      <c r="IX63" s="562"/>
      <c r="IY63" s="562"/>
      <c r="IZ63" s="562"/>
      <c r="JA63" s="562"/>
      <c r="JB63" s="562"/>
      <c r="JC63" s="562"/>
      <c r="JD63" s="562"/>
      <c r="JE63" s="562"/>
      <c r="JF63" s="562"/>
      <c r="JG63" s="562"/>
      <c r="JH63" s="562"/>
      <c r="JI63" s="562"/>
      <c r="JJ63" s="562"/>
      <c r="JK63" s="562"/>
      <c r="JL63" s="562"/>
      <c r="JM63" s="562"/>
      <c r="JN63" s="562"/>
      <c r="JO63" s="562"/>
      <c r="JP63" s="562"/>
      <c r="JQ63" s="562"/>
      <c r="JR63" s="562"/>
      <c r="JS63" s="562"/>
      <c r="JT63" s="562"/>
      <c r="JU63" s="562"/>
      <c r="JV63" s="562"/>
      <c r="JW63" s="562"/>
      <c r="JX63" s="562"/>
      <c r="JY63" s="562"/>
      <c r="JZ63" s="562"/>
    </row>
    <row r="64" spans="1:286" s="132" customFormat="1" ht="12.75" customHeight="1" x14ac:dyDescent="0.2">
      <c r="A64" s="133"/>
      <c r="B64" s="2" t="s">
        <v>390</v>
      </c>
      <c r="C64" s="79"/>
      <c r="D64" s="79"/>
      <c r="E64" s="189"/>
      <c r="F64" s="179"/>
      <c r="G64" s="189"/>
      <c r="H64" s="179"/>
      <c r="I64" s="189"/>
      <c r="J64" s="179"/>
      <c r="K64" s="189"/>
      <c r="L64" s="79"/>
      <c r="M64" s="189"/>
      <c r="N64" s="79"/>
      <c r="O64" s="189"/>
      <c r="P64" s="79"/>
      <c r="Q64" s="189"/>
      <c r="R64" s="79"/>
      <c r="S64" s="189"/>
      <c r="T64" s="79"/>
      <c r="U64" s="189"/>
      <c r="V64" s="79"/>
      <c r="W64" s="189"/>
      <c r="X64" s="79"/>
      <c r="Y64" s="189"/>
      <c r="Z64" s="79"/>
      <c r="AA64" s="190"/>
      <c r="AB64" s="79"/>
      <c r="AC64" s="189">
        <f>+AC62+AC63</f>
        <v>36</v>
      </c>
      <c r="AD64" s="79" t="str">
        <f>IF(ISERROR((AC64/U64-1)*100),"NA",IF(((AC64/U64-1)*100)&gt;100,"NM",IF(((AC64/U64-1)*100)&lt;-50,"NM",(AC64/U64-1)*100)))</f>
        <v>NA</v>
      </c>
      <c r="AE64" s="189">
        <f>+AE62+AE63</f>
        <v>41.1</v>
      </c>
      <c r="AF64" s="79" t="str">
        <f>IF(ISERROR((AE64/W64-1)*100),"NA",IF(((AE64/W64-1)*100)&gt;100,"NM",IF(((AE64/W64-1)*100)&lt;-50,"NM",(AE64/W64-1)*100)))</f>
        <v>NA</v>
      </c>
      <c r="AG64" s="189">
        <f>+AG62+AG63</f>
        <v>23.900000000000002</v>
      </c>
      <c r="AH64" s="79" t="str">
        <f>IF(ISERROR((AG64/Y64-1)*100),"NA",IF(((AG64/Y64-1)*100)&gt;100,"NM",IF(((AG64/Y64-1)*100)&lt;-50,"NM",(AG64/Y64-1)*100)))</f>
        <v>NA</v>
      </c>
      <c r="AI64" s="189">
        <f>+AI62+AI63</f>
        <v>80.5</v>
      </c>
      <c r="AJ64" s="79" t="str">
        <f>IF(ISERROR((AI64/AA64-1)*100),"NA",IF(((AI64/AA64-1)*100)&gt;100,"NM",IF(((AI64/AA64-1)*100)&lt;-50,"NM",(AI64/AA64-1)*100)))</f>
        <v>NA</v>
      </c>
      <c r="AK64" s="189">
        <f>+AK62+AK63</f>
        <v>37.1</v>
      </c>
      <c r="AL64" s="79">
        <f>IF(ISERROR((AK64/AC64-1)*100),"NA",IF(((AK64/AC64-1)*100)&gt;100,"NM",IF(((AK64/AC64-1)*100)&lt;-50,"NM",(AK64/AC64-1)*100)))</f>
        <v>3.0555555555555669</v>
      </c>
      <c r="AM64" s="189">
        <f>+AM62+AM63</f>
        <v>48.2</v>
      </c>
      <c r="AN64" s="79">
        <f t="shared" si="286"/>
        <v>17.274939172749406</v>
      </c>
      <c r="AO64" s="189">
        <f>+AO62+AO63</f>
        <v>28.5</v>
      </c>
      <c r="AP64" s="79">
        <f t="shared" si="286"/>
        <v>19.246861924686186</v>
      </c>
      <c r="AQ64" s="189">
        <f>+AQ62+AQ63</f>
        <v>68.399999999999991</v>
      </c>
      <c r="AR64" s="79">
        <f t="shared" si="286"/>
        <v>-15.031055900621126</v>
      </c>
      <c r="AS64" s="93">
        <f>+AS62+AS63</f>
        <v>43.1</v>
      </c>
      <c r="AT64" s="81">
        <f t="shared" si="286"/>
        <v>16.172506738544467</v>
      </c>
      <c r="AU64" s="93">
        <f>+AU62+AU63</f>
        <v>51.4</v>
      </c>
      <c r="AV64" s="81">
        <f t="shared" si="286"/>
        <v>6.639004149377592</v>
      </c>
      <c r="AW64" s="93">
        <f>+AW62+AW63</f>
        <v>25.4</v>
      </c>
      <c r="AX64" s="81">
        <f t="shared" si="286"/>
        <v>-10.87719298245614</v>
      </c>
      <c r="AY64" s="93">
        <f>+AY62+AY63</f>
        <v>92.3</v>
      </c>
      <c r="AZ64" s="81">
        <f t="shared" si="286"/>
        <v>34.94152046783627</v>
      </c>
      <c r="BA64" s="93">
        <f>+BA62+BA63</f>
        <v>25.5</v>
      </c>
      <c r="BB64" s="81">
        <f t="shared" si="286"/>
        <v>-40.835266821345705</v>
      </c>
      <c r="BC64" s="93">
        <f>+BC62+BC63</f>
        <v>54.6</v>
      </c>
      <c r="BD64" s="81">
        <f t="shared" si="286"/>
        <v>6.2256809338521402</v>
      </c>
      <c r="BE64" s="93">
        <f>+BE62+BE63</f>
        <v>23.9</v>
      </c>
      <c r="BF64" s="81">
        <f>IF(ISERROR((BE64/AW64-1)*100),"NA",IF(((BE64/AW64-1)*100)&gt;100,"NM",IF(((BE64/AW64-1)*100)&lt;-50,"NM",(BE64/AW64-1)*100)))</f>
        <v>-5.9055118110236222</v>
      </c>
      <c r="BG64" s="93">
        <f>+BG62+BG63</f>
        <v>75.3</v>
      </c>
      <c r="BH64" s="81">
        <f>IF(ISERROR((BG64/AY64-1)*100),"NA",IF(((BG64/AY64-1)*100)&gt;100,"NM",IF(((BG64/AY64-1)*100)&lt;-50,"NM",(BG64/AY64-1)*100)))</f>
        <v>-18.418201516793065</v>
      </c>
      <c r="BI64" s="93">
        <f>+BI62+BI63</f>
        <v>37.300000000000004</v>
      </c>
      <c r="BJ64" s="81">
        <f t="shared" si="297"/>
        <v>46.274509803921582</v>
      </c>
      <c r="BK64" s="93">
        <f>+BK62+BK63</f>
        <v>45.4</v>
      </c>
      <c r="BL64" s="81">
        <f>IF(ISERROR((BK64/BC64-1)*100),"NA",IF(((BK64/BC64-1)*100)&gt;100,"NM",IF(((BK64/BC64-1)*100)&lt;-50,"NM",(BK64/BC64-1)*100)))</f>
        <v>-16.849816849816857</v>
      </c>
      <c r="BM64" s="93">
        <f>+BM62+BM63</f>
        <v>31.5</v>
      </c>
      <c r="BN64" s="81">
        <f>IF(ISERROR((BM64/BE64-1)*100),"NA",IF(((BM64/BE64-1)*100)&gt;100,"NM",IF(((BM64/BE64-1)*100)&lt;-50,"NM",(BM64/BE64-1)*100)))</f>
        <v>31.799163179916334</v>
      </c>
      <c r="BO64" s="93">
        <f>+BO62+BO63</f>
        <v>77.5</v>
      </c>
      <c r="BP64" s="81">
        <f>IF(ISERROR((BO64/BG64-1)*100),"NA",IF(((BO64/BG64-1)*100)&gt;100,"NM",IF(((BO64/BG64-1)*100)&lt;-50,"NM",(BO64/BG64-1)*100)))</f>
        <v>2.921646746347939</v>
      </c>
      <c r="BQ64" s="93">
        <f>+BQ62+BQ63</f>
        <v>31.7</v>
      </c>
      <c r="BR64" s="81">
        <f>IF(ISERROR((BQ64/BI64-1)*100),"NA",IF(((BQ64/BI64-1)*100)&gt;100,"NM",IF(((BQ64/BI64-1)*100)&lt;-50,"NM",(BQ64/BI64-1)*100)))</f>
        <v>-15.013404825737275</v>
      </c>
      <c r="BS64" s="93">
        <f>+BS62+BS63</f>
        <v>54.3</v>
      </c>
      <c r="BT64" s="81">
        <f>IF(ISERROR((BS64/BK64-1)*100),"NA",IF(((BS64/BK64-1)*100)&gt;100,"NM",IF(((BS64/BK64-1)*100)&lt;-50,"NM",(BS64/BK64-1)*100)))</f>
        <v>19.6035242290749</v>
      </c>
      <c r="BU64" s="93">
        <f>+BU62+BU63</f>
        <v>20.7</v>
      </c>
      <c r="BV64" s="81"/>
      <c r="BW64" s="93">
        <f>+BW62+BW63</f>
        <v>75.400000000000006</v>
      </c>
      <c r="BX64" s="81"/>
      <c r="BY64" s="93">
        <f>+BY62+BY63</f>
        <v>27.6</v>
      </c>
      <c r="BZ64" s="81">
        <f>IF(ISERROR((BY64/BQ64-1)*100),"NA",IF(((BY64/BQ64-1)*100)&gt;100,"NM",IF(((BY64/BQ64-1)*100)&lt;-50,"NM",(BY64/BQ64-1)*100)))</f>
        <v>-12.933753943217663</v>
      </c>
      <c r="CA64" s="93">
        <f>+CA62+CA63</f>
        <v>32.200000000000003</v>
      </c>
      <c r="CB64" s="81">
        <f>IF(ISERROR((CA64/BS64-1)*100),"NA",IF(((CA64/BS64-1)*100)&gt;100,"NM",IF(((CA64/BS64-1)*100)&lt;-50,"NM",(CA64/BS64-1)*100)))</f>
        <v>-40.699815837937379</v>
      </c>
      <c r="CC64" s="93">
        <f>+CC62+CC63</f>
        <v>21.2</v>
      </c>
      <c r="CD64" s="81">
        <f t="shared" si="287"/>
        <v>2.4154589371980784</v>
      </c>
      <c r="CE64" s="93">
        <f>+CE62+CE63</f>
        <v>67.3</v>
      </c>
      <c r="CF64" s="81">
        <f t="shared" si="288"/>
        <v>-10.742705570291788</v>
      </c>
      <c r="CG64" s="93">
        <f>+CG62+CG63</f>
        <v>29.5</v>
      </c>
      <c r="CH64" s="81">
        <f>IF(ISERROR((CG64/BY64-1)*100),"NA",IF(((CG64/BY64-1)*100)&gt;100,"NM",IF(((CG64/BY64-1)*100)&lt;-50,"NM",(CG64/BY64-1)*100)))</f>
        <v>6.8840579710144789</v>
      </c>
      <c r="CI64" s="93">
        <f>+CI62+CI63</f>
        <v>38.299999999999997</v>
      </c>
      <c r="CJ64" s="81">
        <f>IF(ISERROR((CI64/CA64-1)*100),"NA",IF(((CI64/CA64-1)*100)&gt;100,"NM",IF(((CI64/CA64-1)*100)&lt;-50,"NM",(CI64/CA64-1)*100)))</f>
        <v>18.944099378881972</v>
      </c>
      <c r="CK64" s="93">
        <f>+CK62+CK63</f>
        <v>22</v>
      </c>
      <c r="CL64" s="81">
        <f>IF(ISERROR((CK64/CC64-1)*100),"NA",IF(((CK64/CC64-1)*100)&gt;100,"NM",IF(((CK64/CC64-1)*100)&lt;-50,"NM",(CK64/CC64-1)*100)))</f>
        <v>3.7735849056603765</v>
      </c>
      <c r="CM64" s="93">
        <f>+CM62+CM63</f>
        <v>75.2</v>
      </c>
      <c r="CN64" s="81">
        <f>IF(ISERROR((CM64/CE64-1)*100),"NA",IF(((CM64/CE64-1)*100)&gt;100,"NM",IF(((CM64/CE64-1)*100)&lt;-50,"NM",(CM64/CE64-1)*100)))</f>
        <v>11.738484398216942</v>
      </c>
      <c r="CO64" s="93">
        <f>+CO62+CO63</f>
        <v>35.799999999999997</v>
      </c>
      <c r="CP64" s="81">
        <f>IF(ISERROR((CO64/CG64-1)*100),"NA",IF(((CO64/CG64-1)*100)&gt;100,"NM",IF(((CO64/CG64-1)*100)&lt;-50,"NM",(CO64/CG64-1)*100)))</f>
        <v>21.355932203389827</v>
      </c>
      <c r="CQ64" s="93">
        <f>+CQ62+CQ63</f>
        <v>36</v>
      </c>
      <c r="CR64" s="81">
        <f>IF(ISERROR((CQ64/CI64-1)*100),"NA",IF(((CQ64/CI64-1)*100)&gt;100,"NM",IF(((CQ64/CI64-1)*100)&lt;-50,"NM",(CQ64/CI64-1)*100)))</f>
        <v>-6.0052219321148792</v>
      </c>
      <c r="CS64" s="93">
        <f>+CS62+CS63</f>
        <v>23.6</v>
      </c>
      <c r="CT64" s="81">
        <f>IF(ISERROR((CS64/CK64-1)*100),"NA",IF(((CS64/CK64-1)*100)&gt;100,"NM",IF(((CS64/CK64-1)*100)&lt;-50,"NM",(CS64/CK64-1)*100)))</f>
        <v>7.2727272727272751</v>
      </c>
      <c r="CU64" s="93">
        <f>+CU62+CU63</f>
        <v>86.8</v>
      </c>
      <c r="CV64" s="81">
        <f>IF(ISERROR((CU64/CM64-1)*100),"NA",IF(((CU64/CM64-1)*100)&gt;100,"NM",IF(((CU64/CM64-1)*100)&lt;-50,"NM",(CU64/CM64-1)*100)))</f>
        <v>15.42553191489362</v>
      </c>
      <c r="CW64" s="93">
        <f>+CW62+CW63</f>
        <v>31.1</v>
      </c>
      <c r="CX64" s="81">
        <f>IF(ISERROR((CW64/CO64-1)*100),"NA",IF(((CW64/CO64-1)*100)&gt;100,"NM",IF(((CW64/CO64-1)*100)&lt;-50,"NM",(CW64/CO64-1)*100)))</f>
        <v>-13.128491620111726</v>
      </c>
      <c r="CY64" s="93">
        <f>+CY62+CY63</f>
        <v>32.799999999999997</v>
      </c>
      <c r="CZ64" s="81">
        <f>IF(ISERROR((CY64/CQ64-1)*100),"NA",IF(((CY64/CQ64-1)*100)&gt;100,"NM",IF(((CY64/CQ64-1)*100)&lt;-50,"NM",(CY64/CQ64-1)*100)))</f>
        <v>-8.8888888888889017</v>
      </c>
      <c r="DA64" s="93">
        <f>+DA62+DA63</f>
        <v>25.7</v>
      </c>
      <c r="DB64" s="81">
        <f>IF(ISERROR((DA64/CS64-1)*100),"NA",IF(((DA64/CS64-1)*100)&gt;100,"NM",IF(((DA64/CS64-1)*100)&lt;-50,"NM",(DA64/CS64-1)*100)))</f>
        <v>8.8983050847457612</v>
      </c>
      <c r="DC64" s="93">
        <f>+DC62+DC63</f>
        <v>83.7</v>
      </c>
      <c r="DD64" s="81">
        <f>IF(ISERROR((DC64/CU64-1)*100),"NA",IF(((DC64/CU64-1)*100)&gt;100,"NM",IF(((DC64/CU64-1)*100)&lt;-50,"NM",(DC64/CU64-1)*100)))</f>
        <v>-3.5714285714285698</v>
      </c>
      <c r="DE64" s="93">
        <f>+DE62+DE63</f>
        <v>32.700000000000003</v>
      </c>
      <c r="DF64" s="81">
        <f>IF(ISERROR((DE64/CW64-1)*100),"NA",IF(((DE64/CW64-1)*100)&gt;100,"NM",IF(((DE64/CW64-1)*100)&lt;-50,"NM",(DE64/CW64-1)*100)))</f>
        <v>5.1446945337620731</v>
      </c>
      <c r="DG64" s="93">
        <f>+DG62+DG63</f>
        <v>46.8</v>
      </c>
      <c r="DH64" s="81">
        <f>IF(ISERROR((DG64/CY64-1)*100),"NA",IF(((DG64/CY64-1)*100)&gt;100,"NM",IF(((DG64/CY64-1)*100)&lt;-50,"NM",(DG64/CY64-1)*100)))</f>
        <v>42.682926829268283</v>
      </c>
      <c r="DI64" s="93">
        <f>+DI62+DI63</f>
        <v>28</v>
      </c>
      <c r="DJ64" s="81">
        <f>IF(ISERROR((DI64/DA64-1)*100),"NA",IF(((DI64/DA64-1)*100)&gt;100,"NM",IF(((DI64/DA64-1)*100)&lt;-50,"NM",(DI64/DA64-1)*100)))</f>
        <v>8.949416342412464</v>
      </c>
      <c r="DK64" s="93">
        <f>+DK62+DK63</f>
        <v>116.1</v>
      </c>
      <c r="DL64" s="81">
        <f>IF(ISERROR((DK64/DC64-1)*100),"NA",IF(((DK64/DC64-1)*100)&gt;100,"NM",IF(((DK64/DC64-1)*100)&lt;-50,"NM",(DK64/DC64-1)*100)))</f>
        <v>38.709677419354826</v>
      </c>
      <c r="DM64" s="93">
        <f>+DM62+DM63</f>
        <v>37.299999999999997</v>
      </c>
      <c r="DN64" s="81">
        <f>IF(ISERROR((DM64/DE64-1)*100),"NA",IF(((DM64/DE64-1)*100)&gt;100,"NM",IF(((DM64/DE64-1)*100)&lt;-50,"NM",(DM64/DE64-1)*100)))</f>
        <v>14.067278287461749</v>
      </c>
      <c r="DO64" s="93">
        <f>+DO62+DO63</f>
        <v>51.9</v>
      </c>
      <c r="DP64" s="81">
        <f>IF(ISERROR((DO64/DG64-1)*100),"NA",IF(((DO64/DG64-1)*100)&gt;100,"NM",IF(((DO64/DG64-1)*100)&lt;-50,"NM",(DO64/DG64-1)*100)))</f>
        <v>10.897435897435903</v>
      </c>
      <c r="DQ64" s="93">
        <f>+DQ62+DQ63</f>
        <v>34.299999999999997</v>
      </c>
      <c r="DR64" s="81">
        <f>IF(ISERROR((DQ64/DI64-1)*100),"NA",IF(((DQ64/DI64-1)*100)&gt;100,"NM",IF(((DQ64/DI64-1)*100)&lt;-50,"NM",(DQ64/DI64-1)*100)))</f>
        <v>22.499999999999986</v>
      </c>
      <c r="DS64" s="93">
        <f>+DS62+DS63</f>
        <v>116.2</v>
      </c>
      <c r="DT64" s="81">
        <f>IF(ISERROR((DS64/DK64-1)*100),"NA",IF(((DS64/DK64-1)*100)&gt;100,"NM",IF(((DS64/DK64-1)*100)&lt;-50,"NM",(DS64/DK64-1)*100)))</f>
        <v>8.6132644272196579E-2</v>
      </c>
      <c r="DU64" s="93">
        <f>+DU62+DU63</f>
        <v>37.5</v>
      </c>
      <c r="DV64" s="81">
        <f>IF(ISERROR((DU64/DM64-1)*100),"NA",IF(((DU64/DM64-1)*100)&gt;100,"NM",IF(((DU64/DM64-1)*100)&lt;-50,"NM",(DU64/DM64-1)*100)))</f>
        <v>0.53619302949061698</v>
      </c>
      <c r="DW64" s="93">
        <f>+DW62+DW63</f>
        <v>48.3</v>
      </c>
      <c r="DX64" s="81">
        <f>IF(ISERROR((DW64/DO64-1)*100),"NA",IF(((DW64/DO64-1)*100)&gt;100,"NM",IF(((DW64/DO64-1)*100)&lt;-50,"NM",(DW64/DO64-1)*100)))</f>
        <v>-6.9364161849711063</v>
      </c>
      <c r="DY64" s="93">
        <f>+DY62+DY63</f>
        <v>24.3</v>
      </c>
      <c r="DZ64" s="81">
        <f>IF(ISERROR((DY64/DQ64-1)*100),"NA",IF(((DY64/DQ64-1)*100)&gt;100,"NM",IF(((DY64/DQ64-1)*100)&lt;-50,"NM",(DY64/DQ64-1)*100)))</f>
        <v>-29.154518950437314</v>
      </c>
      <c r="EA64" s="93">
        <f>+EA62+EA63</f>
        <v>107.7</v>
      </c>
      <c r="EB64" s="81">
        <f>IF(ISERROR((EA64/DS64-1)*100),"NA",IF(((EA64/DS64-1)*100)&gt;100,"NM",IF(((EA64/DS64-1)*100)&lt;-50,"NM",(EA64/DS64-1)*100)))</f>
        <v>-7.3149741824440673</v>
      </c>
      <c r="EC64" s="93">
        <f>+EC62+EC63</f>
        <v>36</v>
      </c>
      <c r="ED64" s="81">
        <f t="shared" si="289"/>
        <v>-4.0000000000000036</v>
      </c>
      <c r="EE64" s="93">
        <f>+EE62+EE63</f>
        <v>47.5</v>
      </c>
      <c r="EF64" s="81">
        <f t="shared" si="290"/>
        <v>-1.6563146997929601</v>
      </c>
      <c r="EG64" s="93">
        <f>+EG62+EG63</f>
        <v>31.1</v>
      </c>
      <c r="EH64" s="81">
        <f t="shared" si="291"/>
        <v>27.983539094650212</v>
      </c>
      <c r="EI64" s="93">
        <f>+EI62+EI63</f>
        <v>126.2</v>
      </c>
      <c r="EJ64" s="81">
        <f t="shared" si="292"/>
        <v>17.177344475394605</v>
      </c>
      <c r="EK64" s="103"/>
      <c r="EL64" s="81" t="str">
        <f t="shared" si="293"/>
        <v>NM</v>
      </c>
      <c r="EM64" s="103"/>
      <c r="EN64" s="81" t="str">
        <f t="shared" si="294"/>
        <v>NM</v>
      </c>
      <c r="EO64" s="103"/>
      <c r="EP64" s="81" t="str">
        <f t="shared" si="295"/>
        <v>NM</v>
      </c>
      <c r="EQ64" s="103"/>
      <c r="ER64" s="81" t="str">
        <f t="shared" si="296"/>
        <v>NM</v>
      </c>
      <c r="ES64" s="129"/>
      <c r="ET64" s="469"/>
      <c r="EU64" s="129"/>
      <c r="EV64" s="95"/>
      <c r="EW64" s="79"/>
      <c r="EX64" s="95"/>
      <c r="EY64" s="79"/>
      <c r="EZ64" s="131"/>
      <c r="FA64" s="79"/>
      <c r="FB64" s="191"/>
      <c r="FC64" s="79"/>
      <c r="FD64" s="191">
        <f>SUM(FD62:FD63)</f>
        <v>330</v>
      </c>
      <c r="FE64" s="79" t="str">
        <f>IF(ISERROR((FD64/FB64-1)*100),"NA",IF(((FD64/FB64-1)*100)&gt;100,"NM",IF(((FD64/FB64-1)*100)&lt;-50,"NM",(FD64/FB64-1)*100)))</f>
        <v>NA</v>
      </c>
      <c r="FF64" s="191">
        <f>SUM(FF62:FF63)</f>
        <v>305.60000000000002</v>
      </c>
      <c r="FG64" s="79">
        <f>IF(ISERROR((FF64/FD64-1)*100),"NA",IF(((FF64/FD64-1)*100)&gt;100,"NM",IF(((FF64/FD64-1)*100)&lt;-50,"NM",(FF64/FD64-1)*100)))</f>
        <v>-7.3939393939393856</v>
      </c>
      <c r="FH64" s="191">
        <f>SUM(FH62:FH63)</f>
        <v>181.5</v>
      </c>
      <c r="FI64" s="79">
        <f>IF(ISERROR((FH64/FF64-1)*100),"NA",IF(((FH64/FF64-1)*100)&gt;100,"NM",IF(((FH64/FF64-1)*100)&lt;-50,"NM",(FH64/FF64-1)*100)))</f>
        <v>-40.608638743455508</v>
      </c>
      <c r="FJ64" s="145"/>
      <c r="FK64" s="79" t="str">
        <f>IF(ISERROR((FJ64/FH64-1)*100),"NA",IF(((FJ64/FH64-1)*100)&gt;100,"NM",IF(((FJ64/FH64-1)*100)&lt;-50,"NM",(FJ64/FH64-1)*100)))</f>
        <v>NM</v>
      </c>
      <c r="FL64" s="95"/>
      <c r="FM64" s="79" t="str">
        <f>IF(ISERROR((FL64/FJ64-1)*100),"NA",IF(((FL64/FJ64-1)*100)&gt;100,"NM",IF(((FL64/FJ64-1)*100)&lt;-50,"NM",(FL64/FJ64-1)*100)))</f>
        <v>NA</v>
      </c>
      <c r="FN64" s="95"/>
      <c r="FO64" s="79" t="str">
        <f>IF(ISERROR((FN64/FL64-1)*100),"NA",IF(((FN64/FL64-1)*100)&gt;100,"NM",IF(((FN64/FL64-1)*100)&lt;-50,"NM",(FN64/FL64-1)*100)))</f>
        <v>NA</v>
      </c>
      <c r="FP64" s="93">
        <f>++FP63+FP62</f>
        <v>191.70000000000002</v>
      </c>
      <c r="FQ64" s="79" t="str">
        <f>IF(ISERROR((FP64/FN64-1)*100),"NA",IF(((FP64/FN64-1)*100)&gt;100,"NM",IF(((FP64/FN64-1)*100)&lt;-50,"NM",(FP64/FN64-1)*100)))</f>
        <v>NA</v>
      </c>
      <c r="FR64" s="93">
        <f>++FR63+FR62</f>
        <v>182.10000000000002</v>
      </c>
      <c r="FS64" s="79">
        <f>IF(ISERROR((FR64/FP64-1)*100),"NA",IF(((FR64/FP64-1)*100)&gt;100,"NM",IF(((FR64/FP64-1)*100)&lt;-50,"NM",(FR64/FP64-1)*100)))</f>
        <v>-5.0078247261345794</v>
      </c>
      <c r="FT64" s="93">
        <f>++FT63+FT62</f>
        <v>148.30000000000001</v>
      </c>
      <c r="FU64" s="79">
        <f>IF(ISERROR((FT64/FR64-1)*100),"NA",IF(((FT64/FR64-1)*100)&gt;100,"NM",IF(((FT64/FR64-1)*100)&lt;-50,"NM",(FT64/FR64-1)*100)))</f>
        <v>-18.561230093355306</v>
      </c>
      <c r="FV64" s="93">
        <f>++FV63+FV62</f>
        <v>165</v>
      </c>
      <c r="FW64" s="79">
        <f>IF(ISERROR((FV64/FT64-1)*100),"NA",IF(((FV64/FT64-1)*100)&gt;100,"NM",IF(((FV64/FT64-1)*100)&lt;-50,"NM",(FV64/FT64-1)*100)))</f>
        <v>11.26095751854348</v>
      </c>
      <c r="FX64" s="78">
        <f>CO64+CQ64+CS64+CU64</f>
        <v>182.2</v>
      </c>
      <c r="FY64" s="79">
        <f>IF(ISERROR((FX64/FV64-1)*100),"NA",IF(((FX64/FV64-1)*100)&gt;100,"NM",IF(((FX64/FV64-1)*100)&lt;-50,"NM",(FX64/FV64-1)*100)))</f>
        <v>10.424242424242426</v>
      </c>
      <c r="FZ64" s="78">
        <f>CW64+CY64+DA64+DC64</f>
        <v>173.3</v>
      </c>
      <c r="GA64" s="79">
        <f>IF(ISERROR((FZ64/FX64-1)*100),"NA",IF(((FZ64/FX64-1)*100)&gt;100,"NM",IF(((FZ64/FX64-1)*100)&lt;-50,"NM",(FZ64/FX64-1)*100)))</f>
        <v>-4.8847420417123866</v>
      </c>
      <c r="GB64" s="78">
        <f>DE64+DG64+DI64+DK64</f>
        <v>223.6</v>
      </c>
      <c r="GC64" s="79">
        <f>IF(ISERROR((GB64/FZ64-1)*100),"NA",IF(((GB64/FZ64-1)*100)&gt;100,"NM",IF(((GB64/FZ64-1)*100)&lt;-50,"NM",(GB64/FZ64-1)*100)))</f>
        <v>29.024812463935355</v>
      </c>
      <c r="GD64" s="9"/>
      <c r="GE64" s="79" t="str">
        <f>IF(ISERROR((GD64/GB64-1)*100),"NA",IF(((GD64/GB64-1)*100)&gt;100,"NM",IF(((GD64/GB64-1)*100)&lt;-50,"NM",(GD64/GB64-1)*100)))</f>
        <v>NM</v>
      </c>
      <c r="GF64" s="9"/>
      <c r="GG64" s="79" t="str">
        <f>IF(ISERROR((GF64/GD64-1)*100),"NA",IF(((GF64/GD64-1)*100)&gt;100,"NM",IF(((GF64/GD64-1)*100)&lt;-50,"NM",(GF64/GD64-1)*100)))</f>
        <v>NA</v>
      </c>
      <c r="GH64" s="9"/>
      <c r="GI64" s="79" t="str">
        <f>IF(ISERROR((GH64/GF64-1)*100),"NA",IF(((GH64/GF64-1)*100)&gt;100,"NM",IF(((GH64/GF64-1)*100)&lt;-50,"NM",(GH64/GF64-1)*100)))</f>
        <v>NA</v>
      </c>
      <c r="GJ64" s="9"/>
      <c r="GK64" s="79" t="str">
        <f>IF(ISERROR((GJ64/GH64-1)*100),"NA",IF(((GJ64/GH64-1)*100)&gt;100,"NM",IF(((GJ64/GH64-1)*100)&lt;-50,"NM",(GJ64/GH64-1)*100)))</f>
        <v>NA</v>
      </c>
      <c r="GL64" s="103"/>
      <c r="GM64" s="79" t="str">
        <f>IF(ISERROR((GL64/GJ64-1)*100),"NA",IF(((GL64/GJ64-1)*100)&gt;100,"NM",IF(((GL64/GJ64-1)*100)&lt;-50,"NM",(GL64/GJ64-1)*100)))</f>
        <v>NA</v>
      </c>
      <c r="GN64" s="103"/>
      <c r="GO64" s="79" t="str">
        <f>IF(ISERROR((GN64/GL64-1)*100),"NA",IF(((GN64/GL64-1)*100)&gt;100,"NM",IF(((GN64/GL64-1)*100)&lt;-50,"NM",(GN64/GL64-1)*100)))</f>
        <v>NA</v>
      </c>
      <c r="GP64" s="103"/>
      <c r="GQ64" s="79" t="str">
        <f>IF(ISERROR((GP64/GN64-1)*100),"NA",IF(((GP64/GN64-1)*100)&gt;100,"NM",IF(((GP64/GN64-1)*100)&lt;-50,"NM",(GP64/GN64-1)*100)))</f>
        <v>NA</v>
      </c>
      <c r="GR64" s="103"/>
      <c r="GS64" s="79" t="str">
        <f>IF(ISERROR((GR64/GP64-1)*100),"NA",IF(((GR64/GP64-1)*100)&gt;100,"NM",IF(((GR64/GP64-1)*100)&lt;-50,"NM",(GR64/GP64-1)*100)))</f>
        <v>NA</v>
      </c>
      <c r="GT64" s="79"/>
      <c r="GU64" s="562"/>
      <c r="GV64" s="562"/>
      <c r="GW64"/>
      <c r="GX64"/>
      <c r="GY64"/>
      <c r="GZ64"/>
      <c r="HA64"/>
      <c r="HB64"/>
      <c r="HC64" s="562"/>
      <c r="HD64" s="562"/>
      <c r="HE64" s="562"/>
      <c r="HF64" s="562"/>
      <c r="HG64" s="562"/>
      <c r="HH64" s="562"/>
      <c r="HI64" s="562"/>
      <c r="HJ64" s="562"/>
      <c r="HK64" s="562"/>
      <c r="HL64" s="562"/>
      <c r="HM64" s="562"/>
      <c r="HN64" s="562"/>
      <c r="HO64" s="562"/>
      <c r="HP64" s="562"/>
      <c r="HQ64" s="562"/>
      <c r="HR64" s="562"/>
      <c r="HS64" s="562"/>
      <c r="HT64" s="562"/>
      <c r="HU64" s="562"/>
      <c r="HV64" s="562"/>
      <c r="HW64" s="562"/>
      <c r="HX64" s="562"/>
      <c r="HY64" s="562"/>
      <c r="HZ64" s="562"/>
      <c r="IA64" s="562"/>
      <c r="IB64" s="562"/>
      <c r="IC64" s="562"/>
      <c r="ID64" s="562"/>
      <c r="IE64" s="562"/>
      <c r="IF64" s="562"/>
      <c r="IG64" s="562"/>
      <c r="IH64" s="562"/>
      <c r="II64" s="562"/>
      <c r="IJ64" s="562"/>
      <c r="IK64" s="562"/>
      <c r="IL64" s="562"/>
      <c r="IM64" s="562"/>
      <c r="IN64" s="562"/>
      <c r="IO64" s="562"/>
      <c r="IP64" s="562"/>
      <c r="IQ64" s="562"/>
      <c r="IR64" s="562"/>
      <c r="IS64" s="562"/>
      <c r="IT64" s="562"/>
      <c r="IU64" s="562"/>
      <c r="IV64" s="562"/>
      <c r="IW64" s="562"/>
      <c r="IX64" s="562"/>
      <c r="IY64" s="562"/>
      <c r="IZ64" s="562"/>
      <c r="JA64" s="562"/>
      <c r="JB64" s="562"/>
      <c r="JC64" s="562"/>
      <c r="JD64" s="562"/>
      <c r="JE64" s="562"/>
      <c r="JF64" s="562"/>
      <c r="JG64" s="562"/>
      <c r="JH64" s="562"/>
      <c r="JI64" s="562"/>
      <c r="JJ64" s="562"/>
      <c r="JK64" s="562"/>
      <c r="JL64" s="562"/>
      <c r="JM64" s="562"/>
      <c r="JN64" s="562"/>
      <c r="JO64" s="562"/>
      <c r="JP64" s="562"/>
      <c r="JQ64" s="562"/>
      <c r="JR64" s="562"/>
      <c r="JS64" s="562"/>
      <c r="JT64" s="562"/>
      <c r="JU64" s="562"/>
      <c r="JV64" s="562"/>
      <c r="JW64" s="562"/>
      <c r="JX64" s="562"/>
      <c r="JY64" s="562"/>
      <c r="JZ64" s="562"/>
    </row>
    <row r="65" spans="1:286" ht="12.75" customHeight="1" x14ac:dyDescent="0.2">
      <c r="A65" s="1"/>
      <c r="B65" s="2"/>
      <c r="C65" s="3"/>
      <c r="D65" s="3"/>
      <c r="E65" s="4"/>
      <c r="F65" s="4"/>
      <c r="G65" s="4"/>
      <c r="H65" s="4"/>
      <c r="I65" s="4"/>
      <c r="J65" s="4"/>
      <c r="K65" s="4"/>
      <c r="L65" s="3"/>
      <c r="M65" s="4"/>
      <c r="N65" s="3"/>
      <c r="O65" s="4"/>
      <c r="P65" s="3"/>
      <c r="Q65" s="4"/>
      <c r="R65" s="3"/>
      <c r="S65" s="4"/>
      <c r="T65" s="3"/>
      <c r="U65" s="4"/>
      <c r="V65" s="3"/>
      <c r="W65" s="4"/>
      <c r="X65" s="3"/>
      <c r="Y65" s="4"/>
      <c r="Z65" s="3"/>
      <c r="AA65" s="14"/>
      <c r="AB65" s="3"/>
      <c r="AC65" s="4"/>
      <c r="AD65" s="3"/>
      <c r="AE65" s="4"/>
      <c r="AF65" s="79"/>
      <c r="AG65" s="4"/>
      <c r="AH65" s="3"/>
      <c r="AI65" s="4"/>
      <c r="AJ65" s="3"/>
      <c r="AK65" s="4"/>
      <c r="AL65" s="3"/>
      <c r="AM65" s="4"/>
      <c r="AN65" s="3"/>
      <c r="AO65" s="4"/>
      <c r="AP65" s="3"/>
      <c r="AQ65" s="4"/>
      <c r="AR65" s="3"/>
      <c r="AS65" s="192"/>
      <c r="AT65" s="7"/>
      <c r="AU65" s="192"/>
      <c r="AV65" s="7"/>
      <c r="AW65" s="192"/>
      <c r="AX65" s="7"/>
      <c r="AY65" s="192"/>
      <c r="AZ65" s="7"/>
      <c r="BA65" s="192"/>
      <c r="BB65" s="7"/>
      <c r="BC65" s="192"/>
      <c r="BD65" s="7"/>
      <c r="BE65" s="192"/>
      <c r="BF65" s="7"/>
      <c r="BG65" s="192"/>
      <c r="BH65" s="7"/>
      <c r="BI65" s="192"/>
      <c r="BJ65" s="81"/>
      <c r="BK65" s="192"/>
      <c r="BL65" s="7"/>
      <c r="BM65" s="192"/>
      <c r="BN65" s="7"/>
      <c r="BO65" s="192"/>
      <c r="BP65" s="7"/>
      <c r="BQ65" s="192"/>
      <c r="BR65" s="7"/>
      <c r="BS65" s="192"/>
      <c r="BT65" s="7"/>
      <c r="BU65" s="192"/>
      <c r="BV65" s="7"/>
      <c r="BW65" s="192"/>
      <c r="BX65" s="7"/>
      <c r="BY65" s="192"/>
      <c r="BZ65" s="7"/>
      <c r="CA65" s="192"/>
      <c r="CB65" s="7"/>
      <c r="CC65" s="192"/>
      <c r="CD65" s="81"/>
      <c r="CE65" s="192"/>
      <c r="CF65" s="81"/>
      <c r="CG65" s="192"/>
      <c r="CH65" s="81"/>
      <c r="CI65" s="192"/>
      <c r="CJ65" s="81"/>
      <c r="CK65" s="192"/>
      <c r="CL65" s="81"/>
      <c r="CM65" s="192"/>
      <c r="CN65" s="81"/>
      <c r="CO65" s="192"/>
      <c r="CP65" s="81"/>
      <c r="CQ65" s="192"/>
      <c r="CR65" s="81"/>
      <c r="CS65" s="192"/>
      <c r="CT65" s="81"/>
      <c r="CU65" s="192"/>
      <c r="CV65" s="81"/>
      <c r="CW65" s="192"/>
      <c r="CX65" s="81"/>
      <c r="CY65" s="192"/>
      <c r="CZ65" s="81"/>
      <c r="DA65" s="192"/>
      <c r="DB65" s="81"/>
      <c r="DC65" s="192"/>
      <c r="DD65" s="81"/>
      <c r="DE65" s="192"/>
      <c r="DF65" s="81"/>
      <c r="DG65" s="192"/>
      <c r="DH65" s="81"/>
      <c r="DI65" s="192"/>
      <c r="DJ65" s="81"/>
      <c r="DK65" s="192"/>
      <c r="DL65" s="81"/>
      <c r="DM65" s="192"/>
      <c r="DN65" s="81"/>
      <c r="DO65" s="192"/>
      <c r="DP65" s="81"/>
      <c r="DQ65" s="192"/>
      <c r="DR65" s="81"/>
      <c r="DS65" s="192"/>
      <c r="DT65" s="81"/>
      <c r="DU65" s="192"/>
      <c r="DV65" s="81"/>
      <c r="DW65" s="192"/>
      <c r="DX65" s="81"/>
      <c r="DY65" s="192"/>
      <c r="DZ65" s="81"/>
      <c r="EA65" s="192"/>
      <c r="EB65" s="81"/>
      <c r="EC65" s="192"/>
      <c r="ED65" s="81"/>
      <c r="EE65" s="192"/>
      <c r="EF65" s="81"/>
      <c r="EG65" s="192"/>
      <c r="EH65" s="81"/>
      <c r="EI65" s="192"/>
      <c r="EJ65" s="81"/>
      <c r="EK65" s="4"/>
      <c r="EL65" s="81"/>
      <c r="EM65" s="4"/>
      <c r="EN65" s="81"/>
      <c r="EO65" s="4"/>
      <c r="EP65" s="81"/>
      <c r="EQ65" s="4"/>
      <c r="ER65" s="81"/>
      <c r="ES65" s="4"/>
      <c r="ET65" s="458"/>
      <c r="EU65" s="4"/>
      <c r="EV65" s="4"/>
      <c r="EW65" s="3"/>
      <c r="EX65" s="4"/>
      <c r="EY65" s="3"/>
      <c r="EZ65" s="8"/>
      <c r="FA65" s="3"/>
      <c r="FB65" s="8"/>
      <c r="FC65" s="3"/>
      <c r="FD65" s="8"/>
      <c r="FE65" s="3"/>
      <c r="FF65" s="191"/>
      <c r="FG65" s="3"/>
      <c r="FH65" s="171"/>
      <c r="FI65" s="3"/>
      <c r="FJ65" s="8"/>
      <c r="FK65" s="3"/>
      <c r="FL65" s="4"/>
      <c r="FM65" s="3"/>
      <c r="FN65" s="4"/>
      <c r="FO65" s="3"/>
      <c r="FP65" s="4"/>
      <c r="FQ65" s="3"/>
      <c r="FR65" s="4"/>
      <c r="FS65" s="3"/>
      <c r="FT65" s="4"/>
      <c r="FU65" s="3"/>
      <c r="FV65" s="4"/>
      <c r="FW65" s="3"/>
      <c r="FX65" s="9"/>
      <c r="FY65" s="3"/>
      <c r="FZ65" s="9"/>
      <c r="GA65" s="3"/>
      <c r="GB65" s="9"/>
      <c r="GC65" s="3"/>
      <c r="GD65" s="9"/>
      <c r="GE65" s="3"/>
      <c r="GF65" s="9"/>
      <c r="GG65" s="3"/>
      <c r="GH65" s="9"/>
      <c r="GI65" s="3"/>
      <c r="GJ65" s="9"/>
      <c r="GK65" s="3"/>
      <c r="GL65" s="4"/>
      <c r="GM65" s="3"/>
      <c r="GN65" s="4"/>
      <c r="GO65" s="3"/>
      <c r="GP65" s="4"/>
      <c r="GQ65" s="3"/>
      <c r="GR65" s="4"/>
      <c r="GS65" s="3"/>
      <c r="GT65" s="79"/>
    </row>
    <row r="66" spans="1:286" s="132" customFormat="1" ht="12.75" customHeight="1" x14ac:dyDescent="0.2">
      <c r="A66" s="133"/>
      <c r="B66" s="2" t="s">
        <v>364</v>
      </c>
      <c r="C66" s="79"/>
      <c r="D66" s="79"/>
      <c r="E66" s="182"/>
      <c r="F66" s="182"/>
      <c r="G66" s="182"/>
      <c r="H66" s="182"/>
      <c r="I66" s="182"/>
      <c r="J66" s="182"/>
      <c r="K66" s="182"/>
      <c r="L66" s="79"/>
      <c r="M66" s="182"/>
      <c r="N66" s="79"/>
      <c r="O66" s="182"/>
      <c r="P66" s="79"/>
      <c r="Q66" s="182"/>
      <c r="R66" s="79"/>
      <c r="S66" s="182"/>
      <c r="T66" s="79"/>
      <c r="U66" s="182"/>
      <c r="V66" s="79"/>
      <c r="W66" s="182"/>
      <c r="X66" s="79"/>
      <c r="Y66" s="182"/>
      <c r="Z66" s="79"/>
      <c r="AA66" s="183"/>
      <c r="AB66" s="79"/>
      <c r="AC66" s="182">
        <v>25.7</v>
      </c>
      <c r="AD66" s="79" t="str">
        <f>IF(ISERROR((AC66/U66-1)*100),"NA",IF(((AC66/U66-1)*100)&gt;100,"NM",IF(((AC66/U66-1)*100)&lt;-50,"NM",(AC66/U66-1)*100)))</f>
        <v>NA</v>
      </c>
      <c r="AE66" s="182">
        <v>16.899999999999999</v>
      </c>
      <c r="AF66" s="79" t="str">
        <f>IF(ISERROR((AE66/W66-1)*100),"NA",IF(((AE66/W66-1)*100)&gt;100,"NM",IF(((AE66/W66-1)*100)&lt;-50,"NM",(AE66/W66-1)*100)))</f>
        <v>NA</v>
      </c>
      <c r="AG66" s="182">
        <v>8.3000000000000007</v>
      </c>
      <c r="AH66" s="79" t="str">
        <f t="shared" ref="AH66:AJ68" si="298">IF(ISERROR((AG66/Y66-1)*100),"NA",IF(((AG66/Y66-1)*100)&gt;100,"NM",IF(((AG66/Y66-1)*100)&lt;-50,"NM",(AG66/Y66-1)*100)))</f>
        <v>NA</v>
      </c>
      <c r="AI66" s="184">
        <f>FH66-AG66-AE66-AC66</f>
        <v>28.600000000000005</v>
      </c>
      <c r="AJ66" s="79" t="str">
        <f t="shared" si="298"/>
        <v>NA</v>
      </c>
      <c r="AK66" s="182">
        <v>16</v>
      </c>
      <c r="AL66" s="79">
        <f>IF(ISERROR((AK66/AC66-1)*100),"NA",IF(((AK66/AC66-1)*100)&gt;100,"NM",IF(((AK66/AC66-1)*100)&lt;-50,"NM",(AK66/AC66-1)*100)))</f>
        <v>-37.7431906614786</v>
      </c>
      <c r="AM66" s="182">
        <v>14.7</v>
      </c>
      <c r="AN66" s="79">
        <f t="shared" ref="AN66:BD68" si="299">IF(ISERROR((AM66/AE66-1)*100),"NA",IF(((AM66/AE66-1)*100)&gt;100,"NM",IF(((AM66/AE66-1)*100)&lt;-50,"NM",(AM66/AE66-1)*100)))</f>
        <v>-13.017751479289942</v>
      </c>
      <c r="AO66" s="182">
        <v>11.5</v>
      </c>
      <c r="AP66" s="79">
        <f t="shared" si="299"/>
        <v>38.554216867469869</v>
      </c>
      <c r="AQ66" s="182">
        <v>32.6</v>
      </c>
      <c r="AR66" s="79">
        <f t="shared" si="299"/>
        <v>13.98601398601398</v>
      </c>
      <c r="AS66" s="95">
        <v>12</v>
      </c>
      <c r="AT66" s="81">
        <f t="shared" si="299"/>
        <v>-25</v>
      </c>
      <c r="AU66" s="95">
        <v>18.8</v>
      </c>
      <c r="AV66" s="81">
        <f t="shared" si="299"/>
        <v>27.891156462585045</v>
      </c>
      <c r="AW66" s="95">
        <v>9.8000000000000007</v>
      </c>
      <c r="AX66" s="81">
        <f t="shared" si="299"/>
        <v>-14.782608695652167</v>
      </c>
      <c r="AY66" s="95">
        <v>33.5</v>
      </c>
      <c r="AZ66" s="81">
        <f t="shared" si="299"/>
        <v>2.7607361963190247</v>
      </c>
      <c r="BA66" s="95">
        <v>15.2</v>
      </c>
      <c r="BB66" s="81">
        <f t="shared" si="299"/>
        <v>26.666666666666661</v>
      </c>
      <c r="BC66" s="95">
        <v>16.2</v>
      </c>
      <c r="BD66" s="81">
        <f t="shared" si="299"/>
        <v>-13.829787234042556</v>
      </c>
      <c r="BE66" s="95">
        <v>8.5</v>
      </c>
      <c r="BF66" s="81">
        <f>IF(ISERROR((BE66/AW66-1)*100),"NA",IF(((BE66/AW66-1)*100)&gt;100,"NM",IF(((BE66/AW66-1)*100)&lt;-50,"NM",(BE66/AW66-1)*100)))</f>
        <v>-13.265306122448983</v>
      </c>
      <c r="BG66" s="95">
        <v>24.8</v>
      </c>
      <c r="BH66" s="81">
        <f>IF(ISERROR((BG66/AY66-1)*100),"NA",IF(((BG66/AY66-1)*100)&gt;100,"NM",IF(((BG66/AY66-1)*100)&lt;-50,"NM",(BG66/AY66-1)*100)))</f>
        <v>-25.970149253731346</v>
      </c>
      <c r="BI66" s="95">
        <v>13.4</v>
      </c>
      <c r="BJ66" s="81">
        <f t="shared" si="297"/>
        <v>-11.842105263157887</v>
      </c>
      <c r="BK66" s="95">
        <v>16.399999999999999</v>
      </c>
      <c r="BL66" s="81">
        <f>IF(ISERROR((BK66/BC66-1)*100),"NA",IF(((BK66/BC66-1)*100)&gt;100,"NM",IF(((BK66/BC66-1)*100)&lt;-50,"NM",(BK66/BC66-1)*100)))</f>
        <v>1.2345679012345734</v>
      </c>
      <c r="BM66" s="95">
        <v>10.7</v>
      </c>
      <c r="BN66" s="81"/>
      <c r="BO66" s="95">
        <v>31</v>
      </c>
      <c r="BP66" s="81"/>
      <c r="BQ66" s="95">
        <v>15.9</v>
      </c>
      <c r="BR66" s="81">
        <f>IF(ISERROR((BQ66/BI66-1)*100),"NA",IF(((BQ66/BI66-1)*100)&gt;100,"NM",IF(((BQ66/BI66-1)*100)&lt;-50,"NM",(BQ66/BI66-1)*100)))</f>
        <v>18.656716417910445</v>
      </c>
      <c r="BS66" s="95">
        <v>19.399999999999999</v>
      </c>
      <c r="BT66" s="81"/>
      <c r="BU66" s="95">
        <v>13.8</v>
      </c>
      <c r="BV66" s="81"/>
      <c r="BW66" s="95">
        <v>34.799999999999997</v>
      </c>
      <c r="BX66" s="81"/>
      <c r="BY66" s="95">
        <v>14.3</v>
      </c>
      <c r="BZ66" s="81">
        <f>IF(ISERROR((BY66/BQ66-1)*100),"NA",IF(((BY66/BQ66-1)*100)&gt;100,"NM",IF(((BY66/BQ66-1)*100)&lt;-50,"NM",(BY66/BQ66-1)*100)))</f>
        <v>-10.062893081761004</v>
      </c>
      <c r="CA66" s="95">
        <v>17.100000000000001</v>
      </c>
      <c r="CB66" s="81">
        <f>IF(ISERROR((CA66/BS66-1)*100),"NA",IF(((CA66/BS66-1)*100)&gt;100,"NM",IF(((CA66/BS66-1)*100)&lt;-50,"NM",(CA66/BS66-1)*100)))</f>
        <v>-11.855670103092775</v>
      </c>
      <c r="CC66" s="95">
        <v>11.5</v>
      </c>
      <c r="CD66" s="81">
        <f t="shared" si="287"/>
        <v>-16.666666666666675</v>
      </c>
      <c r="CE66" s="95">
        <v>37.4</v>
      </c>
      <c r="CF66" s="81">
        <f t="shared" si="288"/>
        <v>7.4712643678160884</v>
      </c>
      <c r="CG66" s="95">
        <v>14</v>
      </c>
      <c r="CH66" s="81">
        <f>IF(ISERROR((CG66/BY66-1)*100),"NA",IF(((CG66/BY66-1)*100)&gt;100,"NM",IF(((CG66/BY66-1)*100)&lt;-50,"NM",(CG66/BY66-1)*100)))</f>
        <v>-2.0979020979021046</v>
      </c>
      <c r="CI66" s="95">
        <v>17.7</v>
      </c>
      <c r="CJ66" s="81">
        <f>IF(ISERROR((CI66/CA66-1)*100),"NA",IF(((CI66/CA66-1)*100)&gt;100,"NM",IF(((CI66/CA66-1)*100)&lt;-50,"NM",(CI66/CA66-1)*100)))</f>
        <v>3.5087719298245501</v>
      </c>
      <c r="CK66" s="95">
        <v>12.4</v>
      </c>
      <c r="CL66" s="81">
        <f>IF(ISERROR((CK66/CC66-1)*100),"NA",IF(((CK66/CC66-1)*100)&gt;100,"NM",IF(((CK66/CC66-1)*100)&lt;-50,"NM",(CK66/CC66-1)*100)))</f>
        <v>7.8260869565217384</v>
      </c>
      <c r="CM66" s="95">
        <v>40.799999999999997</v>
      </c>
      <c r="CN66" s="81">
        <f>IF(ISERROR((CM66/CE66-1)*100),"NA",IF(((CM66/CE66-1)*100)&gt;100,"NM",IF(((CM66/CE66-1)*100)&lt;-50,"NM",(CM66/CE66-1)*100)))</f>
        <v>9.0909090909090828</v>
      </c>
      <c r="CO66" s="95">
        <v>13.4</v>
      </c>
      <c r="CP66" s="81">
        <f>IF(ISERROR((CO66/CG66-1)*100),"NA",IF(((CO66/CG66-1)*100)&gt;100,"NM",IF(((CO66/CG66-1)*100)&lt;-50,"NM",(CO66/CG66-1)*100)))</f>
        <v>-4.2857142857142811</v>
      </c>
      <c r="CQ66" s="95">
        <v>23.6</v>
      </c>
      <c r="CR66" s="81">
        <f>IF(ISERROR((CQ66/CI66-1)*100),"NA",IF(((CQ66/CI66-1)*100)&gt;100,"NM",IF(((CQ66/CI66-1)*100)&lt;-50,"NM",(CQ66/CI66-1)*100)))</f>
        <v>33.33333333333335</v>
      </c>
      <c r="CS66" s="95">
        <v>14.1</v>
      </c>
      <c r="CT66" s="81">
        <f>IF(ISERROR((CS66/CK66-1)*100),"NA",IF(((CS66/CK66-1)*100)&gt;100,"NM",IF(((CS66/CK66-1)*100)&lt;-50,"NM",(CS66/CK66-1)*100)))</f>
        <v>13.709677419354826</v>
      </c>
      <c r="CU66" s="95">
        <v>46.3</v>
      </c>
      <c r="CV66" s="81">
        <f>IF(ISERROR((CU66/CM66-1)*100),"NA",IF(((CU66/CM66-1)*100)&gt;100,"NM",IF(((CU66/CM66-1)*100)&lt;-50,"NM",(CU66/CM66-1)*100)))</f>
        <v>13.480392156862742</v>
      </c>
      <c r="CW66" s="95">
        <v>15.8</v>
      </c>
      <c r="CX66" s="81">
        <f>IF(ISERROR((CW66/CO66-1)*100),"NA",IF(((CW66/CO66-1)*100)&gt;100,"NM",IF(((CW66/CO66-1)*100)&lt;-50,"NM",(CW66/CO66-1)*100)))</f>
        <v>17.910447761194035</v>
      </c>
      <c r="CY66" s="95">
        <v>18.7</v>
      </c>
      <c r="CZ66" s="81">
        <f>IF(ISERROR((CY66/CQ66-1)*100),"NA",IF(((CY66/CQ66-1)*100)&gt;100,"NM",IF(((CY66/CQ66-1)*100)&lt;-50,"NM",(CY66/CQ66-1)*100)))</f>
        <v>-20.762711864406789</v>
      </c>
      <c r="DA66" s="95">
        <v>12.8</v>
      </c>
      <c r="DB66" s="81">
        <f>IF(ISERROR((DA66/CS66-1)*100),"NA",IF(((DA66/CS66-1)*100)&gt;100,"NM",IF(((DA66/CS66-1)*100)&lt;-50,"NM",(DA66/CS66-1)*100)))</f>
        <v>-9.2198581560283603</v>
      </c>
      <c r="DC66" s="95">
        <v>54.6</v>
      </c>
      <c r="DD66" s="81">
        <f>IF(ISERROR((DC66/CU66-1)*100),"NA",IF(((DC66/CU66-1)*100)&gt;100,"NM",IF(((DC66/CU66-1)*100)&lt;-50,"NM",(DC66/CU66-1)*100)))</f>
        <v>17.926565874730027</v>
      </c>
      <c r="DE66" s="95">
        <v>19.8</v>
      </c>
      <c r="DF66" s="81">
        <f>IF(ISERROR((DE66/CW66-1)*100),"NA",IF(((DE66/CW66-1)*100)&gt;100,"NM",IF(((DE66/CW66-1)*100)&lt;-50,"NM",(DE66/CW66-1)*100)))</f>
        <v>25.316455696202532</v>
      </c>
      <c r="DG66" s="95">
        <v>23.3</v>
      </c>
      <c r="DH66" s="81">
        <f>IF(ISERROR((DG66/CY66-1)*100),"NA",IF(((DG66/CY66-1)*100)&gt;100,"NM",IF(((DG66/CY66-1)*100)&lt;-50,"NM",(DG66/CY66-1)*100)))</f>
        <v>24.598930481283432</v>
      </c>
      <c r="DI66" s="95">
        <v>15.6</v>
      </c>
      <c r="DJ66" s="81">
        <f>IF(ISERROR((DI66/DA66-1)*100),"NA",IF(((DI66/DA66-1)*100)&gt;100,"NM",IF(((DI66/DA66-1)*100)&lt;-50,"NM",(DI66/DA66-1)*100)))</f>
        <v>21.875</v>
      </c>
      <c r="DK66" s="95">
        <v>60.1</v>
      </c>
      <c r="DL66" s="81">
        <f>IF(ISERROR((DK66/DC66-1)*100),"NA",IF(((DK66/DC66-1)*100)&gt;100,"NM",IF(((DK66/DC66-1)*100)&lt;-50,"NM",(DK66/DC66-1)*100)))</f>
        <v>10.073260073260082</v>
      </c>
      <c r="DM66" s="95">
        <v>24</v>
      </c>
      <c r="DN66" s="81">
        <f>IF(ISERROR((DM66/DE66-1)*100),"NA",IF(((DM66/DE66-1)*100)&gt;100,"NM",IF(((DM66/DE66-1)*100)&lt;-50,"NM",(DM66/DE66-1)*100)))</f>
        <v>21.212121212121215</v>
      </c>
      <c r="DO66" s="95">
        <v>32.4</v>
      </c>
      <c r="DP66" s="81">
        <f>IF(ISERROR((DO66/DG66-1)*100),"NA",IF(((DO66/DG66-1)*100)&gt;100,"NM",IF(((DO66/DG66-1)*100)&lt;-50,"NM",(DO66/DG66-1)*100)))</f>
        <v>39.055793991416301</v>
      </c>
      <c r="DQ66" s="95">
        <v>15.2</v>
      </c>
      <c r="DR66" s="81">
        <f>IF(ISERROR((DQ66/DI66-1)*100),"NA",IF(((DQ66/DI66-1)*100)&gt;100,"NM",IF(((DQ66/DI66-1)*100)&lt;-50,"NM",(DQ66/DI66-1)*100)))</f>
        <v>-2.5641025641025661</v>
      </c>
      <c r="DS66" s="95">
        <v>48.1</v>
      </c>
      <c r="DT66" s="81">
        <f>IF(ISERROR((DS66/DK66-1)*100),"NA",IF(((DS66/DK66-1)*100)&gt;100,"NM",IF(((DS66/DK66-1)*100)&lt;-50,"NM",(DS66/DK66-1)*100)))</f>
        <v>-19.966722129783697</v>
      </c>
      <c r="DU66" s="95">
        <v>16.2</v>
      </c>
      <c r="DV66" s="81">
        <f>IF(ISERROR((DU66/DM66-1)*100),"NA",IF(((DU66/DM66-1)*100)&gt;100,"NM",IF(((DU66/DM66-1)*100)&lt;-50,"NM",(DU66/DM66-1)*100)))</f>
        <v>-32.500000000000007</v>
      </c>
      <c r="DW66" s="95">
        <v>24.9</v>
      </c>
      <c r="DX66" s="81">
        <f>IF(ISERROR((DW66/DO66-1)*100),"NA",IF(((DW66/DO66-1)*100)&gt;100,"NM",IF(((DW66/DO66-1)*100)&lt;-50,"NM",(DW66/DO66-1)*100)))</f>
        <v>-23.148148148148152</v>
      </c>
      <c r="DY66" s="95">
        <v>11.7</v>
      </c>
      <c r="DZ66" s="81">
        <f>IF(ISERROR((DY66/DQ66-1)*100),"NA",IF(((DY66/DQ66-1)*100)&gt;100,"NM",IF(((DY66/DQ66-1)*100)&lt;-50,"NM",(DY66/DQ66-1)*100)))</f>
        <v>-23.026315789473685</v>
      </c>
      <c r="EA66" s="95">
        <v>61.8</v>
      </c>
      <c r="EB66" s="81">
        <f>IF(ISERROR((EA66/DS66-1)*100),"NA",IF(((EA66/DS66-1)*100)&gt;100,"NM",IF(((EA66/DS66-1)*100)&lt;-50,"NM",(EA66/DS66-1)*100)))</f>
        <v>28.482328482328477</v>
      </c>
      <c r="EC66" s="95">
        <v>16.899999999999999</v>
      </c>
      <c r="ED66" s="81">
        <f t="shared" ref="ED66:ED68" si="300">IF(ISERROR((EC66/DU66-1)*100),"NA",IF(((EC66/DU66-1)*100)&gt;100,"NM",IF(((EC66/DU66-1)*100)&lt;-50,"NM",(EC66/DU66-1)*100)))</f>
        <v>4.3209876543209846</v>
      </c>
      <c r="EE66" s="95">
        <v>27.4</v>
      </c>
      <c r="EF66" s="81">
        <f t="shared" ref="EF66:EF68" si="301">IF(ISERROR((EE66/DW66-1)*100),"NA",IF(((EE66/DW66-1)*100)&gt;100,"NM",IF(((EE66/DW66-1)*100)&lt;-50,"NM",(EE66/DW66-1)*100)))</f>
        <v>10.040160642570273</v>
      </c>
      <c r="EG66" s="95">
        <v>20.7</v>
      </c>
      <c r="EH66" s="81">
        <f t="shared" ref="EH66:EH68" si="302">IF(ISERROR((EG66/DY66-1)*100),"NA",IF(((EG66/DY66-1)*100)&gt;100,"NM",IF(((EG66/DY66-1)*100)&lt;-50,"NM",(EG66/DY66-1)*100)))</f>
        <v>76.923076923076934</v>
      </c>
      <c r="EI66" s="95">
        <v>97.5</v>
      </c>
      <c r="EJ66" s="81">
        <f t="shared" ref="EJ66:EJ68" si="303">IF(ISERROR((EI66/EA66-1)*100),"NA",IF(((EI66/EA66-1)*100)&gt;100,"NM",IF(((EI66/EA66-1)*100)&lt;-50,"NM",(EI66/EA66-1)*100)))</f>
        <v>57.766990291262132</v>
      </c>
      <c r="EK66" s="182"/>
      <c r="EL66" s="81" t="str">
        <f t="shared" ref="EL66:EL68" si="304">IF(ISERROR((EK66/EC66-1)*100),"NA",IF(((EK66/EC66-1)*100)&gt;100,"NM",IF(((EK66/EC66-1)*100)&lt;-50,"NM",(EK66/EC66-1)*100)))</f>
        <v>NM</v>
      </c>
      <c r="EM66" s="182"/>
      <c r="EN66" s="81" t="str">
        <f t="shared" ref="EN66:EN68" si="305">IF(ISERROR((EM66/EE66-1)*100),"NA",IF(((EM66/EE66-1)*100)&gt;100,"NM",IF(((EM66/EE66-1)*100)&lt;-50,"NM",(EM66/EE66-1)*100)))</f>
        <v>NM</v>
      </c>
      <c r="EO66" s="182"/>
      <c r="EP66" s="81" t="str">
        <f t="shared" ref="EP66:EP68" si="306">IF(ISERROR((EO66/EG66-1)*100),"NA",IF(((EO66/EG66-1)*100)&gt;100,"NM",IF(((EO66/EG66-1)*100)&lt;-50,"NM",(EO66/EG66-1)*100)))</f>
        <v>NM</v>
      </c>
      <c r="EQ66" s="182"/>
      <c r="ER66" s="81" t="str">
        <f t="shared" ref="ER66:ER68" si="307">IF(ISERROR((EQ66/EI66-1)*100),"NA",IF(((EQ66/EI66-1)*100)&gt;100,"NM",IF(((EQ66/EI66-1)*100)&lt;-50,"NM",(EQ66/EI66-1)*100)))</f>
        <v>NM</v>
      </c>
      <c r="ES66" s="129"/>
      <c r="ET66" s="469"/>
      <c r="EU66" s="129"/>
      <c r="EV66" s="95"/>
      <c r="EW66" s="79"/>
      <c r="EX66" s="95"/>
      <c r="EY66" s="79"/>
      <c r="EZ66" s="131"/>
      <c r="FA66" s="79"/>
      <c r="FB66" s="185"/>
      <c r="FC66" s="79"/>
      <c r="FD66" s="186">
        <v>129.30000000000001</v>
      </c>
      <c r="FE66" s="79" t="str">
        <f>IF(ISERROR((FD66/FB66-1)*100),"NA",IF(((FD66/FB66-1)*100)&gt;100,"NM",IF(((FD66/FB66-1)*100)&lt;-50,"NM",(FD66/FB66-1)*100)))</f>
        <v>NA</v>
      </c>
      <c r="FF66" s="187">
        <v>127.2</v>
      </c>
      <c r="FG66" s="79">
        <f>IF(ISERROR((FF66/FD66-1)*100),"NA",IF(((FF66/FD66-1)*100)&gt;100,"NM",IF(((FF66/FD66-1)*100)&lt;-50,"NM",(FF66/FD66-1)*100)))</f>
        <v>-1.6241299303944357</v>
      </c>
      <c r="FH66" s="107">
        <v>79.5</v>
      </c>
      <c r="FI66" s="79">
        <f>IF(ISERROR((FH66/FF66-1)*100),"NA",IF(((FH66/FF66-1)*100)&gt;100,"NM",IF(((FH66/FF66-1)*100)&lt;-50,"NM",(FH66/FF66-1)*100)))</f>
        <v>-37.5</v>
      </c>
      <c r="FJ66" s="145"/>
      <c r="FK66" s="79" t="str">
        <f>IF(ISERROR((FJ66/FH66-1)*100),"NA",IF(((FJ66/FH66-1)*100)&gt;100,"NM",IF(((FJ66/FH66-1)*100)&lt;-50,"NM",(FJ66/FH66-1)*100)))</f>
        <v>NM</v>
      </c>
      <c r="FL66" s="95" t="s">
        <v>212</v>
      </c>
      <c r="FM66" s="79" t="str">
        <f>IF(ISERROR((FL66/FJ66-1)*100),"NA",IF(((FL66/FJ66-1)*100)&gt;100,"NM",IF(((FL66/FJ66-1)*100)&lt;-50,"NM",(FL66/FJ66-1)*100)))</f>
        <v>NA</v>
      </c>
      <c r="FN66" s="95" t="s">
        <v>212</v>
      </c>
      <c r="FO66" s="79" t="str">
        <f>IF(ISERROR((FN66/FL66-1)*100),"NA",IF(((FN66/FL66-1)*100)&gt;100,"NM",IF(((FN66/FL66-1)*100)&lt;-50,"NM",(FN66/FL66-1)*100)))</f>
        <v>NA</v>
      </c>
      <c r="FP66" s="78">
        <f>BI66+BK66+BM66+BO66</f>
        <v>71.5</v>
      </c>
      <c r="FQ66" s="79" t="str">
        <f>IF(ISERROR((FP66/FN66-1)*100),"NA",IF(((FP66/FN66-1)*100)&gt;100,"NM",IF(((FP66/FN66-1)*100)&lt;-50,"NM",(FP66/FN66-1)*100)))</f>
        <v>NA</v>
      </c>
      <c r="FR66" s="78">
        <f>BQ66+BS66+BU66+BW66</f>
        <v>83.899999999999991</v>
      </c>
      <c r="FS66" s="79">
        <f>IF(ISERROR((FR66/FP66-1)*100),"NA",IF(((FR66/FP66-1)*100)&gt;100,"NM",IF(((FR66/FP66-1)*100)&lt;-50,"NM",(FR66/FP66-1)*100)))</f>
        <v>17.34265734265734</v>
      </c>
      <c r="FT66" s="78">
        <f>BY66+CA66+CC66+CE66</f>
        <v>80.300000000000011</v>
      </c>
      <c r="FU66" s="79">
        <f>IF(ISERROR((FT66/FR66-1)*100),"NA",IF(((FT66/FR66-1)*100)&gt;100,"NM",IF(((FT66/FR66-1)*100)&lt;-50,"NM",(FT66/FR66-1)*100)))</f>
        <v>-4.2908224076281032</v>
      </c>
      <c r="FV66" s="78">
        <f>CG66+CI66+CK66+CM66</f>
        <v>84.9</v>
      </c>
      <c r="FW66" s="79">
        <f>IF(ISERROR((FV66/FT66-1)*100),"NA",IF(((FV66/FT66-1)*100)&gt;100,"NM",IF(((FV66/FT66-1)*100)&lt;-50,"NM",(FV66/FT66-1)*100)))</f>
        <v>5.7285180572851813</v>
      </c>
      <c r="FX66" s="78">
        <f>CO66+CQ66+CS66+CU66</f>
        <v>97.4</v>
      </c>
      <c r="FY66" s="79">
        <f>IF(ISERROR((FX66/FV66-1)*100),"NA",IF(((FX66/FV66-1)*100)&gt;100,"NM",IF(((FX66/FV66-1)*100)&lt;-50,"NM",(FX66/FV66-1)*100)))</f>
        <v>14.723203769140159</v>
      </c>
      <c r="FZ66" s="78">
        <f>CW66+CY66+DA66+DC66</f>
        <v>101.9</v>
      </c>
      <c r="GA66" s="79">
        <f>IF(ISERROR((FZ66/FX66-1)*100),"NA",IF(((FZ66/FX66-1)*100)&gt;100,"NM",IF(((FZ66/FX66-1)*100)&lt;-50,"NM",(FZ66/FX66-1)*100)))</f>
        <v>4.62012320328542</v>
      </c>
      <c r="GB66" s="78">
        <f>DE66+DG66+DI66+DK66</f>
        <v>118.80000000000001</v>
      </c>
      <c r="GC66" s="79">
        <f>IF(ISERROR((GB66/FZ66-1)*100),"NA",IF(((GB66/FZ66-1)*100)&gt;100,"NM",IF(((GB66/FZ66-1)*100)&lt;-50,"NM",(GB66/FZ66-1)*100)))</f>
        <v>16.584887144259074</v>
      </c>
      <c r="GD66" s="9"/>
      <c r="GE66" s="79" t="str">
        <f>IF(ISERROR((GD66/GB66-1)*100),"NA",IF(((GD66/GB66-1)*100)&gt;100,"NM",IF(((GD66/GB66-1)*100)&lt;-50,"NM",(GD66/GB66-1)*100)))</f>
        <v>NM</v>
      </c>
      <c r="GF66" s="9"/>
      <c r="GG66" s="79" t="str">
        <f>IF(ISERROR((GF66/GD66-1)*100),"NA",IF(((GF66/GD66-1)*100)&gt;100,"NM",IF(((GF66/GD66-1)*100)&lt;-50,"NM",(GF66/GD66-1)*100)))</f>
        <v>NA</v>
      </c>
      <c r="GH66" s="9"/>
      <c r="GI66" s="79" t="str">
        <f>IF(ISERROR((GH66/GF66-1)*100),"NA",IF(((GH66/GF66-1)*100)&gt;100,"NM",IF(((GH66/GF66-1)*100)&lt;-50,"NM",(GH66/GF66-1)*100)))</f>
        <v>NA</v>
      </c>
      <c r="GJ66" s="9"/>
      <c r="GK66" s="79" t="str">
        <f>IF(ISERROR((GJ66/GH66-1)*100),"NA",IF(((GJ66/GH66-1)*100)&gt;100,"NM",IF(((GJ66/GH66-1)*100)&lt;-50,"NM",(GJ66/GH66-1)*100)))</f>
        <v>NA</v>
      </c>
      <c r="GL66" s="182"/>
      <c r="GM66" s="79" t="str">
        <f>IF(ISERROR((GL66/GJ66-1)*100),"NA",IF(((GL66/GJ66-1)*100)&gt;100,"NM",IF(((GL66/GJ66-1)*100)&lt;-50,"NM",(GL66/GJ66-1)*100)))</f>
        <v>NA</v>
      </c>
      <c r="GN66" s="182"/>
      <c r="GO66" s="79" t="str">
        <f>IF(ISERROR((GN66/GL66-1)*100),"NA",IF(((GN66/GL66-1)*100)&gt;100,"NM",IF(((GN66/GL66-1)*100)&lt;-50,"NM",(GN66/GL66-1)*100)))</f>
        <v>NA</v>
      </c>
      <c r="GP66" s="182"/>
      <c r="GQ66" s="79" t="str">
        <f>IF(ISERROR((GP66/GN66-1)*100),"NA",IF(((GP66/GN66-1)*100)&gt;100,"NM",IF(((GP66/GN66-1)*100)&lt;-50,"NM",(GP66/GN66-1)*100)))</f>
        <v>NA</v>
      </c>
      <c r="GR66" s="182"/>
      <c r="GS66" s="79" t="str">
        <f>IF(ISERROR((GR66/GP66-1)*100),"NA",IF(((GR66/GP66-1)*100)&gt;100,"NM",IF(((GR66/GP66-1)*100)&lt;-50,"NM",(GR66/GP66-1)*100)))</f>
        <v>NA</v>
      </c>
      <c r="GT66" s="79"/>
      <c r="GU66" s="562"/>
      <c r="GV66" s="562"/>
      <c r="GW66"/>
      <c r="GX66"/>
      <c r="GY66"/>
      <c r="GZ66"/>
      <c r="HA66"/>
      <c r="HB66"/>
      <c r="HC66" s="562"/>
      <c r="HD66" s="562"/>
      <c r="HE66" s="562"/>
      <c r="HF66" s="562"/>
      <c r="HG66" s="562"/>
      <c r="HH66" s="562"/>
      <c r="HI66" s="562"/>
      <c r="HJ66" s="562"/>
      <c r="HK66" s="562"/>
      <c r="HL66" s="562"/>
      <c r="HM66" s="562"/>
      <c r="HN66" s="562"/>
      <c r="HO66" s="562"/>
      <c r="HP66" s="562"/>
      <c r="HQ66" s="562"/>
      <c r="HR66" s="562"/>
      <c r="HS66" s="562"/>
      <c r="HT66" s="562"/>
      <c r="HU66" s="562"/>
      <c r="HV66" s="562"/>
      <c r="HW66" s="562"/>
      <c r="HX66" s="562"/>
      <c r="HY66" s="562"/>
      <c r="HZ66" s="562"/>
      <c r="IA66" s="562"/>
      <c r="IB66" s="562"/>
      <c r="IC66" s="562"/>
      <c r="ID66" s="562"/>
      <c r="IE66" s="562"/>
      <c r="IF66" s="562"/>
      <c r="IG66" s="562"/>
      <c r="IH66" s="562"/>
      <c r="II66" s="562"/>
      <c r="IJ66" s="562"/>
      <c r="IK66" s="562"/>
      <c r="IL66" s="562"/>
      <c r="IM66" s="562"/>
      <c r="IN66" s="562"/>
      <c r="IO66" s="562"/>
      <c r="IP66" s="562"/>
      <c r="IQ66" s="562"/>
      <c r="IR66" s="562"/>
      <c r="IS66" s="562"/>
      <c r="IT66" s="562"/>
      <c r="IU66" s="562"/>
      <c r="IV66" s="562"/>
      <c r="IW66" s="562"/>
      <c r="IX66" s="562"/>
      <c r="IY66" s="562"/>
      <c r="IZ66" s="562"/>
      <c r="JA66" s="562"/>
      <c r="JB66" s="562"/>
      <c r="JC66" s="562"/>
      <c r="JD66" s="562"/>
      <c r="JE66" s="562"/>
      <c r="JF66" s="562"/>
      <c r="JG66" s="562"/>
      <c r="JH66" s="562"/>
      <c r="JI66" s="562"/>
      <c r="JJ66" s="562"/>
      <c r="JK66" s="562"/>
      <c r="JL66" s="562"/>
      <c r="JM66" s="562"/>
      <c r="JN66" s="562"/>
      <c r="JO66" s="562"/>
      <c r="JP66" s="562"/>
      <c r="JQ66" s="562"/>
      <c r="JR66" s="562"/>
      <c r="JS66" s="562"/>
      <c r="JT66" s="562"/>
      <c r="JU66" s="562"/>
      <c r="JV66" s="562"/>
      <c r="JW66" s="562"/>
      <c r="JX66" s="562"/>
      <c r="JY66" s="562"/>
      <c r="JZ66" s="562"/>
    </row>
    <row r="67" spans="1:286" s="132" customFormat="1" ht="12.75" customHeight="1" x14ac:dyDescent="0.2">
      <c r="A67" s="133"/>
      <c r="B67" s="2" t="s">
        <v>361</v>
      </c>
      <c r="C67" s="79"/>
      <c r="D67" s="79"/>
      <c r="E67" s="182"/>
      <c r="F67" s="182"/>
      <c r="G67" s="182"/>
      <c r="H67" s="182"/>
      <c r="I67" s="182"/>
      <c r="J67" s="182"/>
      <c r="K67" s="182"/>
      <c r="L67" s="79"/>
      <c r="M67" s="182"/>
      <c r="N67" s="79"/>
      <c r="O67" s="182"/>
      <c r="P67" s="79"/>
      <c r="Q67" s="182"/>
      <c r="R67" s="79"/>
      <c r="S67" s="182"/>
      <c r="T67" s="79"/>
      <c r="U67" s="182"/>
      <c r="V67" s="79"/>
      <c r="W67" s="182"/>
      <c r="X67" s="79"/>
      <c r="Y67" s="182"/>
      <c r="Z67" s="79"/>
      <c r="AA67" s="183"/>
      <c r="AB67" s="79"/>
      <c r="AC67" s="182">
        <v>1.6</v>
      </c>
      <c r="AD67" s="79" t="str">
        <f>IF(ISERROR((AC67/U67-1)*100),"NA",IF(((AC67/U67-1)*100)&gt;100,"NM",IF(((AC67/U67-1)*100)&lt;-50,"NM",(AC67/U67-1)*100)))</f>
        <v>NA</v>
      </c>
      <c r="AE67" s="182">
        <v>0.9</v>
      </c>
      <c r="AF67" s="79" t="str">
        <f>IF(ISERROR((AE67/W67-1)*100),"NA",IF(((AE67/W67-1)*100)&gt;100,"NM",IF(((AE67/W67-1)*100)&lt;-50,"NM",(AE67/W67-1)*100)))</f>
        <v>NA</v>
      </c>
      <c r="AG67" s="182">
        <v>0.9</v>
      </c>
      <c r="AH67" s="79" t="str">
        <f t="shared" si="298"/>
        <v>NA</v>
      </c>
      <c r="AI67" s="184">
        <f>FH67-AG67-AE67-AC67</f>
        <v>3.899999999999999</v>
      </c>
      <c r="AJ67" s="79" t="str">
        <f t="shared" si="298"/>
        <v>NA</v>
      </c>
      <c r="AK67" s="182">
        <v>0.7</v>
      </c>
      <c r="AL67" s="79" t="str">
        <f>IF(ISERROR((AK67/AC67-1)*100),"NA",IF(((AK67/AC67-1)*100)&gt;100,"NM",IF(((AK67/AC67-1)*100)&lt;-50,"NM",(AK67/AC67-1)*100)))</f>
        <v>NM</v>
      </c>
      <c r="AM67" s="182">
        <v>0.7</v>
      </c>
      <c r="AN67" s="79">
        <f t="shared" si="299"/>
        <v>-22.222222222222232</v>
      </c>
      <c r="AO67" s="182">
        <v>0.8</v>
      </c>
      <c r="AP67" s="79">
        <f t="shared" si="299"/>
        <v>-11.111111111111105</v>
      </c>
      <c r="AQ67" s="182">
        <v>3.6</v>
      </c>
      <c r="AR67" s="79">
        <f t="shared" si="299"/>
        <v>-7.692307692307665</v>
      </c>
      <c r="AS67" s="95">
        <v>1.3</v>
      </c>
      <c r="AT67" s="81">
        <f t="shared" si="299"/>
        <v>85.714285714285737</v>
      </c>
      <c r="AU67" s="95">
        <v>1.9</v>
      </c>
      <c r="AV67" s="81" t="str">
        <f t="shared" si="299"/>
        <v>NM</v>
      </c>
      <c r="AW67" s="95">
        <v>0.4</v>
      </c>
      <c r="AX67" s="81">
        <f t="shared" si="299"/>
        <v>-50</v>
      </c>
      <c r="AY67" s="95">
        <v>6.4</v>
      </c>
      <c r="AZ67" s="81">
        <f t="shared" si="299"/>
        <v>77.777777777777786</v>
      </c>
      <c r="BA67" s="95">
        <v>0.7</v>
      </c>
      <c r="BB67" s="81">
        <f t="shared" si="299"/>
        <v>-46.153846153846153</v>
      </c>
      <c r="BC67" s="95">
        <v>0.8</v>
      </c>
      <c r="BD67" s="81" t="str">
        <f t="shared" si="299"/>
        <v>NM</v>
      </c>
      <c r="BE67" s="95">
        <v>1.5</v>
      </c>
      <c r="BF67" s="81" t="str">
        <f>IF(ISERROR((BE67/AW67-1)*100),"NA",IF(((BE67/AW67-1)*100)&gt;100,"NM",IF(((BE67/AW67-1)*100)&lt;-50,"NM",(BE67/AW67-1)*100)))</f>
        <v>NM</v>
      </c>
      <c r="BG67" s="95">
        <v>2.6</v>
      </c>
      <c r="BH67" s="81" t="str">
        <f>IF(ISERROR((BG67/AY67-1)*100),"NA",IF(((BG67/AY67-1)*100)&gt;100,"NM",IF(((BG67/AY67-1)*100)&lt;-50,"NM",(BG67/AY67-1)*100)))</f>
        <v>NM</v>
      </c>
      <c r="BI67" s="95">
        <v>1.2</v>
      </c>
      <c r="BJ67" s="81">
        <f t="shared" si="297"/>
        <v>71.428571428571445</v>
      </c>
      <c r="BK67" s="95">
        <v>1.7</v>
      </c>
      <c r="BL67" s="81" t="str">
        <f>IF(ISERROR((BK67/BC67-1)*100),"NA",IF(((BK67/BC67-1)*100)&gt;100,"NM",IF(((BK67/BC67-1)*100)&lt;-50,"NM",(BK67/BC67-1)*100)))</f>
        <v>NM</v>
      </c>
      <c r="BM67" s="95">
        <v>0.5</v>
      </c>
      <c r="BN67" s="81"/>
      <c r="BO67" s="95">
        <v>3.7</v>
      </c>
      <c r="BP67" s="81"/>
      <c r="BQ67" s="95">
        <v>0.7</v>
      </c>
      <c r="BR67" s="81">
        <f>IF(ISERROR((BQ67/BI67-1)*100),"NA",IF(((BQ67/BI67-1)*100)&gt;100,"NM",IF(((BQ67/BI67-1)*100)&lt;-50,"NM",(BQ67/BI67-1)*100)))</f>
        <v>-41.666666666666664</v>
      </c>
      <c r="BS67" s="95">
        <v>2.2000000000000002</v>
      </c>
      <c r="BT67" s="81"/>
      <c r="BU67" s="95">
        <v>0.3</v>
      </c>
      <c r="BV67" s="81"/>
      <c r="BW67" s="95">
        <v>4.5</v>
      </c>
      <c r="BX67" s="81"/>
      <c r="BY67" s="95">
        <v>0.6</v>
      </c>
      <c r="BZ67" s="81">
        <f>IF(ISERROR((BY67/BQ67-1)*100),"NA",IF(((BY67/BQ67-1)*100)&gt;100,"NM",IF(((BY67/BQ67-1)*100)&lt;-50,"NM",(BY67/BQ67-1)*100)))</f>
        <v>-14.285714285714279</v>
      </c>
      <c r="CA67" s="95">
        <v>1.1000000000000001</v>
      </c>
      <c r="CB67" s="81">
        <f>IF(ISERROR((CA67/BS67-1)*100),"NA",IF(((CA67/BS67-1)*100)&gt;100,"NM",IF(((CA67/BS67-1)*100)&lt;-50,"NM",(CA67/BS67-1)*100)))</f>
        <v>-50</v>
      </c>
      <c r="CC67" s="95">
        <v>0.1</v>
      </c>
      <c r="CD67" s="81" t="str">
        <f t="shared" si="287"/>
        <v>NM</v>
      </c>
      <c r="CE67" s="95">
        <v>4.5</v>
      </c>
      <c r="CF67" s="81">
        <f t="shared" si="288"/>
        <v>0</v>
      </c>
      <c r="CG67" s="95">
        <v>1.4</v>
      </c>
      <c r="CH67" s="81" t="str">
        <f>IF(ISERROR((CG67/BY67-1)*100),"NA",IF(((CG67/BY67-1)*100)&gt;100,"NM",IF(((CG67/BY67-1)*100)&lt;-50,"NM",(CG67/BY67-1)*100)))</f>
        <v>NM</v>
      </c>
      <c r="CI67" s="95">
        <v>1.2</v>
      </c>
      <c r="CJ67" s="81">
        <f>IF(ISERROR((CI67/CA67-1)*100),"NA",IF(((CI67/CA67-1)*100)&gt;100,"NM",IF(((CI67/CA67-1)*100)&lt;-50,"NM",(CI67/CA67-1)*100)))</f>
        <v>9.0909090909090828</v>
      </c>
      <c r="CK67" s="95">
        <v>0</v>
      </c>
      <c r="CL67" s="81" t="str">
        <f>IF(ISERROR((CK67/CC67-1)*100),"NA",IF(((CK67/CC67-1)*100)&gt;100,"NM",IF(((CK67/CC67-1)*100)&lt;-50,"NM",(CK67/CC67-1)*100)))</f>
        <v>NM</v>
      </c>
      <c r="CM67" s="95">
        <v>3.4</v>
      </c>
      <c r="CN67" s="81">
        <f>IF(ISERROR((CM67/CE67-1)*100),"NA",IF(((CM67/CE67-1)*100)&gt;100,"NM",IF(((CM67/CE67-1)*100)&lt;-50,"NM",(CM67/CE67-1)*100)))</f>
        <v>-24.444444444444446</v>
      </c>
      <c r="CO67" s="95">
        <v>0.6</v>
      </c>
      <c r="CP67" s="81" t="str">
        <f>IF(ISERROR((CO67/CG67-1)*100),"NA",IF(((CO67/CG67-1)*100)&gt;100,"NM",IF(((CO67/CG67-1)*100)&lt;-50,"NM",(CO67/CG67-1)*100)))</f>
        <v>NM</v>
      </c>
      <c r="CQ67" s="95">
        <v>0</v>
      </c>
      <c r="CR67" s="81" t="str">
        <f>IF(ISERROR((CQ67/CI67-1)*100),"NA",IF(((CQ67/CI67-1)*100)&gt;100,"NM",IF(((CQ67/CI67-1)*100)&lt;-50,"NM",(CQ67/CI67-1)*100)))</f>
        <v>NM</v>
      </c>
      <c r="CS67" s="95">
        <v>0</v>
      </c>
      <c r="CT67" s="81" t="str">
        <f>IF(ISERROR((CS67/CK67-1)*100),"NA",IF(((CS67/CK67-1)*100)&gt;100,"NM",IF(((CS67/CK67-1)*100)&lt;-50,"NM",(CS67/CK67-1)*100)))</f>
        <v>NA</v>
      </c>
      <c r="CU67" s="95">
        <v>0</v>
      </c>
      <c r="CV67" s="81" t="str">
        <f>IF(ISERROR((CU67/CM67-1)*100),"NA",IF(((CU67/CM67-1)*100)&gt;100,"NM",IF(((CU67/CM67-1)*100)&lt;-50,"NM",(CU67/CM67-1)*100)))</f>
        <v>NM</v>
      </c>
      <c r="CW67" s="95">
        <v>0</v>
      </c>
      <c r="CX67" s="81" t="str">
        <f>IF(ISERROR((CW67/CO67-1)*100),"NA",IF(((CW67/CO67-1)*100)&gt;100,"NM",IF(((CW67/CO67-1)*100)&lt;-50,"NM",(CW67/CO67-1)*100)))</f>
        <v>NM</v>
      </c>
      <c r="CY67" s="95">
        <v>0</v>
      </c>
      <c r="CZ67" s="81" t="str">
        <f>IF(ISERROR((CY67/CQ67-1)*100),"NA",IF(((CY67/CQ67-1)*100)&gt;100,"NM",IF(((CY67/CQ67-1)*100)&lt;-50,"NM",(CY67/CQ67-1)*100)))</f>
        <v>NA</v>
      </c>
      <c r="DA67" s="95">
        <v>0</v>
      </c>
      <c r="DB67" s="81" t="str">
        <f>IF(ISERROR((DA67/CS67-1)*100),"NA",IF(((DA67/CS67-1)*100)&gt;100,"NM",IF(((DA67/CS67-1)*100)&lt;-50,"NM",(DA67/CS67-1)*100)))</f>
        <v>NA</v>
      </c>
      <c r="DC67" s="95">
        <v>0</v>
      </c>
      <c r="DD67" s="81" t="str">
        <f>IF(ISERROR((DC67/CU67-1)*100),"NA",IF(((DC67/CU67-1)*100)&gt;100,"NM",IF(((DC67/CU67-1)*100)&lt;-50,"NM",(DC67/CU67-1)*100)))</f>
        <v>NA</v>
      </c>
      <c r="DE67" s="95">
        <v>0</v>
      </c>
      <c r="DF67" s="81" t="str">
        <f>IF(ISERROR((DE67/CW67-1)*100),"NA",IF(((DE67/CW67-1)*100)&gt;100,"NM",IF(((DE67/CW67-1)*100)&lt;-50,"NM",(DE67/CW67-1)*100)))</f>
        <v>NA</v>
      </c>
      <c r="DG67" s="95">
        <v>0</v>
      </c>
      <c r="DH67" s="81" t="str">
        <f>IF(ISERROR((DG67/CY67-1)*100),"NA",IF(((DG67/CY67-1)*100)&gt;100,"NM",IF(((DG67/CY67-1)*100)&lt;-50,"NM",(DG67/CY67-1)*100)))</f>
        <v>NA</v>
      </c>
      <c r="DI67" s="95">
        <v>0</v>
      </c>
      <c r="DJ67" s="81" t="str">
        <f>IF(ISERROR((DI67/DA67-1)*100),"NA",IF(((DI67/DA67-1)*100)&gt;100,"NM",IF(((DI67/DA67-1)*100)&lt;-50,"NM",(DI67/DA67-1)*100)))</f>
        <v>NA</v>
      </c>
      <c r="DK67" s="95">
        <v>0</v>
      </c>
      <c r="DL67" s="81" t="str">
        <f>IF(ISERROR((DK67/DC67-1)*100),"NA",IF(((DK67/DC67-1)*100)&gt;100,"NM",IF(((DK67/DC67-1)*100)&lt;-50,"NM",(DK67/DC67-1)*100)))</f>
        <v>NA</v>
      </c>
      <c r="DM67" s="95">
        <v>0</v>
      </c>
      <c r="DN67" s="81" t="str">
        <f>IF(ISERROR((DM67/DE67-1)*100),"NA",IF(((DM67/DE67-1)*100)&gt;100,"NM",IF(((DM67/DE67-1)*100)&lt;-50,"NM",(DM67/DE67-1)*100)))</f>
        <v>NA</v>
      </c>
      <c r="DO67" s="95">
        <v>0</v>
      </c>
      <c r="DP67" s="81" t="str">
        <f>IF(ISERROR((DO67/DG67-1)*100),"NA",IF(((DO67/DG67-1)*100)&gt;100,"NM",IF(((DO67/DG67-1)*100)&lt;-50,"NM",(DO67/DG67-1)*100)))</f>
        <v>NA</v>
      </c>
      <c r="DQ67" s="95">
        <v>0</v>
      </c>
      <c r="DR67" s="81" t="str">
        <f>IF(ISERROR((DQ67/DI67-1)*100),"NA",IF(((DQ67/DI67-1)*100)&gt;100,"NM",IF(((DQ67/DI67-1)*100)&lt;-50,"NM",(DQ67/DI67-1)*100)))</f>
        <v>NA</v>
      </c>
      <c r="DS67" s="95">
        <v>0</v>
      </c>
      <c r="DT67" s="81" t="str">
        <f>IF(ISERROR((DS67/DK67-1)*100),"NA",IF(((DS67/DK67-1)*100)&gt;100,"NM",IF(((DS67/DK67-1)*100)&lt;-50,"NM",(DS67/DK67-1)*100)))</f>
        <v>NA</v>
      </c>
      <c r="DU67" s="95">
        <v>0</v>
      </c>
      <c r="DV67" s="81" t="str">
        <f>IF(ISERROR((DU67/DM67-1)*100),"NA",IF(((DU67/DM67-1)*100)&gt;100,"NM",IF(((DU67/DM67-1)*100)&lt;-50,"NM",(DU67/DM67-1)*100)))</f>
        <v>NA</v>
      </c>
      <c r="DW67" s="95">
        <v>0</v>
      </c>
      <c r="DX67" s="81" t="str">
        <f>IF(ISERROR((DW67/DO67-1)*100),"NA",IF(((DW67/DO67-1)*100)&gt;100,"NM",IF(((DW67/DO67-1)*100)&lt;-50,"NM",(DW67/DO67-1)*100)))</f>
        <v>NA</v>
      </c>
      <c r="DY67" s="95">
        <v>0</v>
      </c>
      <c r="DZ67" s="81" t="str">
        <f>IF(ISERROR((DY67/DQ67-1)*100),"NA",IF(((DY67/DQ67-1)*100)&gt;100,"NM",IF(((DY67/DQ67-1)*100)&lt;-50,"NM",(DY67/DQ67-1)*100)))</f>
        <v>NA</v>
      </c>
      <c r="EA67" s="95">
        <v>0</v>
      </c>
      <c r="EB67" s="81" t="str">
        <f>IF(ISERROR((EA67/DS67-1)*100),"NA",IF(((EA67/DS67-1)*100)&gt;100,"NM",IF(((EA67/DS67-1)*100)&lt;-50,"NM",(EA67/DS67-1)*100)))</f>
        <v>NA</v>
      </c>
      <c r="EC67" s="95">
        <v>0</v>
      </c>
      <c r="ED67" s="81" t="str">
        <f t="shared" si="300"/>
        <v>NA</v>
      </c>
      <c r="EE67" s="95">
        <v>0</v>
      </c>
      <c r="EF67" s="81" t="str">
        <f t="shared" si="301"/>
        <v>NA</v>
      </c>
      <c r="EG67" s="95">
        <v>0</v>
      </c>
      <c r="EH67" s="81" t="str">
        <f t="shared" si="302"/>
        <v>NA</v>
      </c>
      <c r="EI67" s="95">
        <v>0</v>
      </c>
      <c r="EJ67" s="81" t="str">
        <f t="shared" si="303"/>
        <v>NA</v>
      </c>
      <c r="EK67" s="182"/>
      <c r="EL67" s="81" t="str">
        <f t="shared" si="304"/>
        <v>NA</v>
      </c>
      <c r="EM67" s="182"/>
      <c r="EN67" s="81" t="str">
        <f t="shared" si="305"/>
        <v>NA</v>
      </c>
      <c r="EO67" s="182"/>
      <c r="EP67" s="81" t="str">
        <f t="shared" si="306"/>
        <v>NA</v>
      </c>
      <c r="EQ67" s="182"/>
      <c r="ER67" s="81" t="str">
        <f t="shared" si="307"/>
        <v>NA</v>
      </c>
      <c r="ES67" s="129"/>
      <c r="ET67" s="469"/>
      <c r="EU67" s="129"/>
      <c r="EV67" s="95"/>
      <c r="EW67" s="79"/>
      <c r="EX67" s="95"/>
      <c r="EY67" s="79"/>
      <c r="EZ67" s="131"/>
      <c r="FA67" s="79"/>
      <c r="FB67" s="185"/>
      <c r="FC67" s="79"/>
      <c r="FD67" s="186">
        <v>20.2</v>
      </c>
      <c r="FE67" s="79" t="str">
        <f>IF(ISERROR((FD67/FB67-1)*100),"NA",IF(((FD67/FB67-1)*100)&gt;100,"NM",IF(((FD67/FB67-1)*100)&lt;-50,"NM",(FD67/FB67-1)*100)))</f>
        <v>NA</v>
      </c>
      <c r="FF67" s="187">
        <v>14.4</v>
      </c>
      <c r="FG67" s="79">
        <f>IF(ISERROR((FF67/FD67-1)*100),"NA",IF(((FF67/FD67-1)*100)&gt;100,"NM",IF(((FF67/FD67-1)*100)&lt;-50,"NM",(FF67/FD67-1)*100)))</f>
        <v>-28.712871287128706</v>
      </c>
      <c r="FH67" s="107">
        <v>7.3</v>
      </c>
      <c r="FI67" s="79">
        <f>IF(ISERROR((FH67/FF67-1)*100),"NA",IF(((FH67/FF67-1)*100)&gt;100,"NM",IF(((FH67/FF67-1)*100)&lt;-50,"NM",(FH67/FF67-1)*100)))</f>
        <v>-49.305555555555557</v>
      </c>
      <c r="FJ67" s="145"/>
      <c r="FK67" s="79" t="str">
        <f>IF(ISERROR((FJ67/FH67-1)*100),"NA",IF(((FJ67/FH67-1)*100)&gt;100,"NM",IF(((FJ67/FH67-1)*100)&lt;-50,"NM",(FJ67/FH67-1)*100)))</f>
        <v>NM</v>
      </c>
      <c r="FL67" s="95"/>
      <c r="FM67" s="79" t="str">
        <f>IF(ISERROR((FL67/FJ67-1)*100),"NA",IF(((FL67/FJ67-1)*100)&gt;100,"NM",IF(((FL67/FJ67-1)*100)&lt;-50,"NM",(FL67/FJ67-1)*100)))</f>
        <v>NA</v>
      </c>
      <c r="FN67" s="95"/>
      <c r="FO67" s="79" t="str">
        <f>IF(ISERROR((FN67/FL67-1)*100),"NA",IF(((FN67/FL67-1)*100)&gt;100,"NM",IF(((FN67/FL67-1)*100)&lt;-50,"NM",(FN67/FL67-1)*100)))</f>
        <v>NA</v>
      </c>
      <c r="FP67" s="78">
        <f>BI67+BK67+BM67+BO67</f>
        <v>7.1</v>
      </c>
      <c r="FQ67" s="79" t="str">
        <f>IF(ISERROR((FP67/FN67-1)*100),"NA",IF(((FP67/FN67-1)*100)&gt;100,"NM",IF(((FP67/FN67-1)*100)&lt;-50,"NM",(FP67/FN67-1)*100)))</f>
        <v>NA</v>
      </c>
      <c r="FR67" s="78">
        <f>BQ67+BS67+BU67+BW67</f>
        <v>7.7</v>
      </c>
      <c r="FS67" s="79">
        <f>IF(ISERROR((FR67/FP67-1)*100),"NA",IF(((FR67/FP67-1)*100)&gt;100,"NM",IF(((FR67/FP67-1)*100)&lt;-50,"NM",(FR67/FP67-1)*100)))</f>
        <v>8.4507042253521227</v>
      </c>
      <c r="FT67" s="78">
        <f>BY67+CA67+CC67+CE67</f>
        <v>6.3000000000000007</v>
      </c>
      <c r="FU67" s="79">
        <f>IF(ISERROR((FT67/FR67-1)*100),"NA",IF(((FT67/FR67-1)*100)&gt;100,"NM",IF(((FT67/FR67-1)*100)&lt;-50,"NM",(FT67/FR67-1)*100)))</f>
        <v>-18.181818181818176</v>
      </c>
      <c r="FV67" s="78">
        <f>CG67+CI67+CK67+CM67</f>
        <v>6</v>
      </c>
      <c r="FW67" s="79">
        <f>IF(ISERROR((FV67/FT67-1)*100),"NA",IF(((FV67/FT67-1)*100)&gt;100,"NM",IF(((FV67/FT67-1)*100)&lt;-50,"NM",(FV67/FT67-1)*100)))</f>
        <v>-4.7619047619047672</v>
      </c>
      <c r="FX67" s="78">
        <f>CO67+CQ67+CS67+CU67</f>
        <v>0.6</v>
      </c>
      <c r="FY67" s="79" t="str">
        <f>IF(ISERROR((FX67/FV67-1)*100),"NA",IF(((FX67/FV67-1)*100)&gt;100,"NM",IF(((FX67/FV67-1)*100)&lt;-50,"NM",(FX67/FV67-1)*100)))</f>
        <v>NM</v>
      </c>
      <c r="FZ67" s="78">
        <f>CW67+CY67+DA67+DC67</f>
        <v>0</v>
      </c>
      <c r="GA67" s="79" t="str">
        <f>IF(ISERROR((FZ67/FX67-1)*100),"NA",IF(((FZ67/FX67-1)*100)&gt;100,"NM",IF(((FZ67/FX67-1)*100)&lt;-50,"NM",(FZ67/FX67-1)*100)))</f>
        <v>NM</v>
      </c>
      <c r="GB67" s="78">
        <f>DE67+DG67+DI67+DK67</f>
        <v>0</v>
      </c>
      <c r="GC67" s="79" t="str">
        <f>IF(ISERROR((GB67/FZ67-1)*100),"NA",IF(((GB67/FZ67-1)*100)&gt;100,"NM",IF(((GB67/FZ67-1)*100)&lt;-50,"NM",(GB67/FZ67-1)*100)))</f>
        <v>NA</v>
      </c>
      <c r="GD67" s="9"/>
      <c r="GE67" s="79" t="str">
        <f>IF(ISERROR((GD67/GB67-1)*100),"NA",IF(((GD67/GB67-1)*100)&gt;100,"NM",IF(((GD67/GB67-1)*100)&lt;-50,"NM",(GD67/GB67-1)*100)))</f>
        <v>NA</v>
      </c>
      <c r="GF67" s="9"/>
      <c r="GG67" s="79" t="str">
        <f>IF(ISERROR((GF67/GD67-1)*100),"NA",IF(((GF67/GD67-1)*100)&gt;100,"NM",IF(((GF67/GD67-1)*100)&lt;-50,"NM",(GF67/GD67-1)*100)))</f>
        <v>NA</v>
      </c>
      <c r="GH67" s="9"/>
      <c r="GI67" s="79" t="str">
        <f>IF(ISERROR((GH67/GF67-1)*100),"NA",IF(((GH67/GF67-1)*100)&gt;100,"NM",IF(((GH67/GF67-1)*100)&lt;-50,"NM",(GH67/GF67-1)*100)))</f>
        <v>NA</v>
      </c>
      <c r="GJ67" s="9"/>
      <c r="GK67" s="79" t="str">
        <f>IF(ISERROR((GJ67/GH67-1)*100),"NA",IF(((GJ67/GH67-1)*100)&gt;100,"NM",IF(((GJ67/GH67-1)*100)&lt;-50,"NM",(GJ67/GH67-1)*100)))</f>
        <v>NA</v>
      </c>
      <c r="GL67" s="182"/>
      <c r="GM67" s="79" t="str">
        <f>IF(ISERROR((GL67/GJ67-1)*100),"NA",IF(((GL67/GJ67-1)*100)&gt;100,"NM",IF(((GL67/GJ67-1)*100)&lt;-50,"NM",(GL67/GJ67-1)*100)))</f>
        <v>NA</v>
      </c>
      <c r="GN67" s="182"/>
      <c r="GO67" s="79" t="str">
        <f>IF(ISERROR((GN67/GL67-1)*100),"NA",IF(((GN67/GL67-1)*100)&gt;100,"NM",IF(((GN67/GL67-1)*100)&lt;-50,"NM",(GN67/GL67-1)*100)))</f>
        <v>NA</v>
      </c>
      <c r="GP67" s="182"/>
      <c r="GQ67" s="79" t="str">
        <f>IF(ISERROR((GP67/GN67-1)*100),"NA",IF(((GP67/GN67-1)*100)&gt;100,"NM",IF(((GP67/GN67-1)*100)&lt;-50,"NM",(GP67/GN67-1)*100)))</f>
        <v>NA</v>
      </c>
      <c r="GR67" s="182"/>
      <c r="GS67" s="79" t="str">
        <f>IF(ISERROR((GR67/GP67-1)*100),"NA",IF(((GR67/GP67-1)*100)&gt;100,"NM",IF(((GR67/GP67-1)*100)&lt;-50,"NM",(GR67/GP67-1)*100)))</f>
        <v>NA</v>
      </c>
      <c r="GT67" s="79"/>
      <c r="GU67" s="562"/>
      <c r="GV67" s="562"/>
      <c r="GW67"/>
      <c r="GX67"/>
      <c r="GY67"/>
      <c r="GZ67"/>
      <c r="HA67"/>
      <c r="HB67"/>
      <c r="HC67" s="562"/>
      <c r="HD67" s="562"/>
      <c r="HE67" s="562"/>
      <c r="HF67" s="562"/>
      <c r="HG67" s="562"/>
      <c r="HH67" s="562"/>
      <c r="HI67" s="562"/>
      <c r="HJ67" s="562"/>
      <c r="HK67" s="562"/>
      <c r="HL67" s="562"/>
      <c r="HM67" s="562"/>
      <c r="HN67" s="562"/>
      <c r="HO67" s="562"/>
      <c r="HP67" s="562"/>
      <c r="HQ67" s="562"/>
      <c r="HR67" s="562"/>
      <c r="HS67" s="562"/>
      <c r="HT67" s="562"/>
      <c r="HU67" s="562"/>
      <c r="HV67" s="562"/>
      <c r="HW67" s="562"/>
      <c r="HX67" s="562"/>
      <c r="HY67" s="562"/>
      <c r="HZ67" s="562"/>
      <c r="IA67" s="562"/>
      <c r="IB67" s="562"/>
      <c r="IC67" s="562"/>
      <c r="ID67" s="562"/>
      <c r="IE67" s="562"/>
      <c r="IF67" s="562"/>
      <c r="IG67" s="562"/>
      <c r="IH67" s="562"/>
      <c r="II67" s="562"/>
      <c r="IJ67" s="562"/>
      <c r="IK67" s="562"/>
      <c r="IL67" s="562"/>
      <c r="IM67" s="562"/>
      <c r="IN67" s="562"/>
      <c r="IO67" s="562"/>
      <c r="IP67" s="562"/>
      <c r="IQ67" s="562"/>
      <c r="IR67" s="562"/>
      <c r="IS67" s="562"/>
      <c r="IT67" s="562"/>
      <c r="IU67" s="562"/>
      <c r="IV67" s="562"/>
      <c r="IW67" s="562"/>
      <c r="IX67" s="562"/>
      <c r="IY67" s="562"/>
      <c r="IZ67" s="562"/>
      <c r="JA67" s="562"/>
      <c r="JB67" s="562"/>
      <c r="JC67" s="562"/>
      <c r="JD67" s="562"/>
      <c r="JE67" s="562"/>
      <c r="JF67" s="562"/>
      <c r="JG67" s="562"/>
      <c r="JH67" s="562"/>
      <c r="JI67" s="562"/>
      <c r="JJ67" s="562"/>
      <c r="JK67" s="562"/>
      <c r="JL67" s="562"/>
      <c r="JM67" s="562"/>
      <c r="JN67" s="562"/>
      <c r="JO67" s="562"/>
      <c r="JP67" s="562"/>
      <c r="JQ67" s="562"/>
      <c r="JR67" s="562"/>
      <c r="JS67" s="562"/>
      <c r="JT67" s="562"/>
      <c r="JU67" s="562"/>
      <c r="JV67" s="562"/>
      <c r="JW67" s="562"/>
      <c r="JX67" s="562"/>
      <c r="JY67" s="562"/>
      <c r="JZ67" s="562"/>
    </row>
    <row r="68" spans="1:286" s="132" customFormat="1" ht="12.75" customHeight="1" x14ac:dyDescent="0.2">
      <c r="A68" s="133"/>
      <c r="B68" s="2" t="s">
        <v>237</v>
      </c>
      <c r="C68" s="79"/>
      <c r="D68" s="79"/>
      <c r="E68" s="189"/>
      <c r="F68" s="179"/>
      <c r="G68" s="189"/>
      <c r="H68" s="179"/>
      <c r="I68" s="189"/>
      <c r="J68" s="179"/>
      <c r="K68" s="189"/>
      <c r="L68" s="79"/>
      <c r="M68" s="189"/>
      <c r="N68" s="79"/>
      <c r="O68" s="189"/>
      <c r="P68" s="79"/>
      <c r="Q68" s="189"/>
      <c r="R68" s="79"/>
      <c r="S68" s="189"/>
      <c r="T68" s="79"/>
      <c r="U68" s="189"/>
      <c r="V68" s="79"/>
      <c r="W68" s="189"/>
      <c r="X68" s="79"/>
      <c r="Y68" s="189"/>
      <c r="Z68" s="79"/>
      <c r="AA68" s="190"/>
      <c r="AB68" s="79"/>
      <c r="AC68" s="189">
        <f>+AC66+AC67</f>
        <v>27.3</v>
      </c>
      <c r="AD68" s="79" t="str">
        <f>IF(ISERROR((AC68/U68-1)*100),"NA",IF(((AC68/U68-1)*100)&gt;100,"NM",IF(((AC68/U68-1)*100)&lt;-50,"NM",(AC68/U68-1)*100)))</f>
        <v>NA</v>
      </c>
      <c r="AE68" s="189">
        <f>+AE66+AE67</f>
        <v>17.799999999999997</v>
      </c>
      <c r="AF68" s="79" t="str">
        <f>IF(ISERROR((AE68/W68-1)*100),"NA",IF(((AE68/W68-1)*100)&gt;100,"NM",IF(((AE68/W68-1)*100)&lt;-50,"NM",(AE68/W68-1)*100)))</f>
        <v>NA</v>
      </c>
      <c r="AG68" s="189">
        <f>+AG66+AG67</f>
        <v>9.2000000000000011</v>
      </c>
      <c r="AH68" s="79" t="str">
        <f t="shared" si="298"/>
        <v>NA</v>
      </c>
      <c r="AI68" s="189">
        <f>+AI66+AI67</f>
        <v>32.500000000000007</v>
      </c>
      <c r="AJ68" s="79" t="str">
        <f t="shared" si="298"/>
        <v>NA</v>
      </c>
      <c r="AK68" s="189">
        <f>+AK66+AK67</f>
        <v>16.7</v>
      </c>
      <c r="AL68" s="79">
        <f>IF(ISERROR((AK68/AC68-1)*100),"NA",IF(((AK68/AC68-1)*100)&gt;100,"NM",IF(((AK68/AC68-1)*100)&lt;-50,"NM",(AK68/AC68-1)*100)))</f>
        <v>-38.827838827838832</v>
      </c>
      <c r="AM68" s="189">
        <f>+AM66+AM67</f>
        <v>15.399999999999999</v>
      </c>
      <c r="AN68" s="79">
        <f t="shared" si="299"/>
        <v>-13.48314606741573</v>
      </c>
      <c r="AO68" s="189">
        <f>+AO66+AO67</f>
        <v>12.3</v>
      </c>
      <c r="AP68" s="79">
        <f t="shared" si="299"/>
        <v>33.695652173913039</v>
      </c>
      <c r="AQ68" s="189">
        <f>+AQ66+AQ67</f>
        <v>36.200000000000003</v>
      </c>
      <c r="AR68" s="79">
        <f t="shared" si="299"/>
        <v>11.384615384615371</v>
      </c>
      <c r="AS68" s="93">
        <f>+AS66+AS67</f>
        <v>13.3</v>
      </c>
      <c r="AT68" s="81">
        <f t="shared" si="299"/>
        <v>-20.359281437125741</v>
      </c>
      <c r="AU68" s="93">
        <f>+AU66+AU67</f>
        <v>20.7</v>
      </c>
      <c r="AV68" s="81">
        <f t="shared" si="299"/>
        <v>34.415584415584433</v>
      </c>
      <c r="AW68" s="93">
        <f>+AW66+AW67</f>
        <v>10.200000000000001</v>
      </c>
      <c r="AX68" s="81">
        <f t="shared" si="299"/>
        <v>-17.073170731707311</v>
      </c>
      <c r="AY68" s="93">
        <f>+AY66+AY67</f>
        <v>39.9</v>
      </c>
      <c r="AZ68" s="81">
        <f t="shared" si="299"/>
        <v>10.220994475138113</v>
      </c>
      <c r="BA68" s="93">
        <f>+BA66+BA67</f>
        <v>15.899999999999999</v>
      </c>
      <c r="BB68" s="81">
        <f t="shared" si="299"/>
        <v>19.548872180451117</v>
      </c>
      <c r="BC68" s="93">
        <f>+BC66+BC67</f>
        <v>17</v>
      </c>
      <c r="BD68" s="81">
        <f t="shared" si="299"/>
        <v>-17.874396135265702</v>
      </c>
      <c r="BE68" s="93">
        <f>+BE66+BE67</f>
        <v>10</v>
      </c>
      <c r="BF68" s="81">
        <f>IF(ISERROR((BE68/AW68-1)*100),"NA",IF(((BE68/AW68-1)*100)&gt;100,"NM",IF(((BE68/AW68-1)*100)&lt;-50,"NM",(BE68/AW68-1)*100)))</f>
        <v>-1.9607843137255054</v>
      </c>
      <c r="BG68" s="93">
        <f>+BG66+BG67</f>
        <v>27.400000000000002</v>
      </c>
      <c r="BH68" s="81">
        <f>IF(ISERROR((BG68/AY68-1)*100),"NA",IF(((BG68/AY68-1)*100)&gt;100,"NM",IF(((BG68/AY68-1)*100)&lt;-50,"NM",(BG68/AY68-1)*100)))</f>
        <v>-31.328320802005006</v>
      </c>
      <c r="BI68" s="93">
        <f>+BI66+BI67</f>
        <v>14.6</v>
      </c>
      <c r="BJ68" s="81">
        <f t="shared" si="297"/>
        <v>-8.1761006289308149</v>
      </c>
      <c r="BK68" s="93">
        <f>+BK66+BK67</f>
        <v>18.099999999999998</v>
      </c>
      <c r="BL68" s="81">
        <f>IF(ISERROR((BK68/BC68-1)*100),"NA",IF(((BK68/BC68-1)*100)&gt;100,"NM",IF(((BK68/BC68-1)*100)&lt;-50,"NM",(BK68/BC68-1)*100)))</f>
        <v>6.4705882352940947</v>
      </c>
      <c r="BM68" s="93">
        <f>+BM66+BM67</f>
        <v>11.2</v>
      </c>
      <c r="BN68" s="81"/>
      <c r="BO68" s="93">
        <f>+BO66+BO67</f>
        <v>34.700000000000003</v>
      </c>
      <c r="BP68" s="81"/>
      <c r="BQ68" s="93">
        <f>+BQ66+BQ67</f>
        <v>16.600000000000001</v>
      </c>
      <c r="BR68" s="81">
        <f>IF(ISERROR((BQ68/BI68-1)*100),"NA",IF(((BQ68/BI68-1)*100)&gt;100,"NM",IF(((BQ68/BI68-1)*100)&lt;-50,"NM",(BQ68/BI68-1)*100)))</f>
        <v>13.698630136986312</v>
      </c>
      <c r="BS68" s="93">
        <f>+BS66+BS67</f>
        <v>21.599999999999998</v>
      </c>
      <c r="BT68" s="81"/>
      <c r="BU68" s="93">
        <f>+BU66+BU67</f>
        <v>14.100000000000001</v>
      </c>
      <c r="BV68" s="81"/>
      <c r="BW68" s="93">
        <f>+BW66+BW67</f>
        <v>39.299999999999997</v>
      </c>
      <c r="BX68" s="81"/>
      <c r="BY68" s="93">
        <f>+BY66+BY67</f>
        <v>14.9</v>
      </c>
      <c r="BZ68" s="81">
        <f>IF(ISERROR((BY68/BQ68-1)*100),"NA",IF(((BY68/BQ68-1)*100)&gt;100,"NM",IF(((BY68/BQ68-1)*100)&lt;-50,"NM",(BY68/BQ68-1)*100)))</f>
        <v>-10.240963855421692</v>
      </c>
      <c r="CA68" s="93">
        <f>+CA66+CA67</f>
        <v>18.200000000000003</v>
      </c>
      <c r="CB68" s="81">
        <f>IF(ISERROR((CA68/BS68-1)*100),"NA",IF(((CA68/BS68-1)*100)&gt;100,"NM",IF(((CA68/BS68-1)*100)&lt;-50,"NM",(CA68/BS68-1)*100)))</f>
        <v>-15.740740740740723</v>
      </c>
      <c r="CC68" s="93">
        <f>+CC66+CC67</f>
        <v>11.6</v>
      </c>
      <c r="CD68" s="81">
        <f t="shared" si="287"/>
        <v>-17.730496453900724</v>
      </c>
      <c r="CE68" s="93">
        <f>+CE66+CE67</f>
        <v>41.9</v>
      </c>
      <c r="CF68" s="81">
        <f t="shared" si="288"/>
        <v>6.61577608142494</v>
      </c>
      <c r="CG68" s="93">
        <f>+CG66+CG67</f>
        <v>15.4</v>
      </c>
      <c r="CH68" s="81">
        <f>IF(ISERROR((CG68/BY68-1)*100),"NA",IF(((CG68/BY68-1)*100)&gt;100,"NM",IF(((CG68/BY68-1)*100)&lt;-50,"NM",(CG68/BY68-1)*100)))</f>
        <v>3.3557046979865834</v>
      </c>
      <c r="CI68" s="93">
        <f>+CI66+CI67</f>
        <v>18.899999999999999</v>
      </c>
      <c r="CJ68" s="81">
        <f>IF(ISERROR((CI68/CA68-1)*100),"NA",IF(((CI68/CA68-1)*100)&gt;100,"NM",IF(((CI68/CA68-1)*100)&lt;-50,"NM",(CI68/CA68-1)*100)))</f>
        <v>3.8461538461538325</v>
      </c>
      <c r="CK68" s="93">
        <f>+CK66+CK67</f>
        <v>12.4</v>
      </c>
      <c r="CL68" s="81">
        <f>IF(ISERROR((CK68/CC68-1)*100),"NA",IF(((CK68/CC68-1)*100)&gt;100,"NM",IF(((CK68/CC68-1)*100)&lt;-50,"NM",(CK68/CC68-1)*100)))</f>
        <v>6.8965517241379448</v>
      </c>
      <c r="CM68" s="93">
        <f>+CM66+CM67</f>
        <v>44.199999999999996</v>
      </c>
      <c r="CN68" s="81">
        <f>IF(ISERROR((CM68/CE68-1)*100),"NA",IF(((CM68/CE68-1)*100)&gt;100,"NM",IF(((CM68/CE68-1)*100)&lt;-50,"NM",(CM68/CE68-1)*100)))</f>
        <v>5.4892601431980825</v>
      </c>
      <c r="CO68" s="93">
        <f>+CO66+CO67</f>
        <v>14</v>
      </c>
      <c r="CP68" s="81">
        <f>IF(ISERROR((CO68/CG68-1)*100),"NA",IF(((CO68/CG68-1)*100)&gt;100,"NM",IF(((CO68/CG68-1)*100)&lt;-50,"NM",(CO68/CG68-1)*100)))</f>
        <v>-9.0909090909090935</v>
      </c>
      <c r="CQ68" s="93">
        <f>+CQ66+CQ67</f>
        <v>23.6</v>
      </c>
      <c r="CR68" s="81">
        <f>IF(ISERROR((CQ68/CI68-1)*100),"NA",IF(((CQ68/CI68-1)*100)&gt;100,"NM",IF(((CQ68/CI68-1)*100)&lt;-50,"NM",(CQ68/CI68-1)*100)))</f>
        <v>24.867724867724881</v>
      </c>
      <c r="CS68" s="93">
        <f>+CS66+CS67</f>
        <v>14.1</v>
      </c>
      <c r="CT68" s="81">
        <f>IF(ISERROR((CS68/CK68-1)*100),"NA",IF(((CS68/CK68-1)*100)&gt;100,"NM",IF(((CS68/CK68-1)*100)&lt;-50,"NM",(CS68/CK68-1)*100)))</f>
        <v>13.709677419354826</v>
      </c>
      <c r="CU68" s="93">
        <f>+CU66+CU67</f>
        <v>46.3</v>
      </c>
      <c r="CV68" s="81">
        <f>IF(ISERROR((CU68/CM68-1)*100),"NA",IF(((CU68/CM68-1)*100)&gt;100,"NM",IF(((CU68/CM68-1)*100)&lt;-50,"NM",(CU68/CM68-1)*100)))</f>
        <v>4.7511312217194623</v>
      </c>
      <c r="CW68" s="93">
        <f>+CW66+CW67</f>
        <v>15.8</v>
      </c>
      <c r="CX68" s="81">
        <f>IF(ISERROR((CW68/CO68-1)*100),"NA",IF(((CW68/CO68-1)*100)&gt;100,"NM",IF(((CW68/CO68-1)*100)&lt;-50,"NM",(CW68/CO68-1)*100)))</f>
        <v>12.857142857142856</v>
      </c>
      <c r="CY68" s="93">
        <f>+CY66+CY67</f>
        <v>18.7</v>
      </c>
      <c r="CZ68" s="81">
        <f>IF(ISERROR((CY68/CQ68-1)*100),"NA",IF(((CY68/CQ68-1)*100)&gt;100,"NM",IF(((CY68/CQ68-1)*100)&lt;-50,"NM",(CY68/CQ68-1)*100)))</f>
        <v>-20.762711864406789</v>
      </c>
      <c r="DA68" s="93">
        <f>+DA66+DA67</f>
        <v>12.8</v>
      </c>
      <c r="DB68" s="81">
        <f>IF(ISERROR((DA68/CS68-1)*100),"NA",IF(((DA68/CS68-1)*100)&gt;100,"NM",IF(((DA68/CS68-1)*100)&lt;-50,"NM",(DA68/CS68-1)*100)))</f>
        <v>-9.2198581560283603</v>
      </c>
      <c r="DC68" s="93">
        <f>+DC66+DC67</f>
        <v>54.6</v>
      </c>
      <c r="DD68" s="81">
        <f>IF(ISERROR((DC68/CU68-1)*100),"NA",IF(((DC68/CU68-1)*100)&gt;100,"NM",IF(((DC68/CU68-1)*100)&lt;-50,"NM",(DC68/CU68-1)*100)))</f>
        <v>17.926565874730027</v>
      </c>
      <c r="DE68" s="93">
        <f>+DE66+DE67</f>
        <v>19.8</v>
      </c>
      <c r="DF68" s="81">
        <f>IF(ISERROR((DE68/CW68-1)*100),"NA",IF(((DE68/CW68-1)*100)&gt;100,"NM",IF(((DE68/CW68-1)*100)&lt;-50,"NM",(DE68/CW68-1)*100)))</f>
        <v>25.316455696202532</v>
      </c>
      <c r="DG68" s="93">
        <f>+DG66+DG67</f>
        <v>23.3</v>
      </c>
      <c r="DH68" s="81">
        <f>IF(ISERROR((DG68/CY68-1)*100),"NA",IF(((DG68/CY68-1)*100)&gt;100,"NM",IF(((DG68/CY68-1)*100)&lt;-50,"NM",(DG68/CY68-1)*100)))</f>
        <v>24.598930481283432</v>
      </c>
      <c r="DI68" s="93">
        <f>+DI66+DI67</f>
        <v>15.6</v>
      </c>
      <c r="DJ68" s="81">
        <f>IF(ISERROR((DI68/DA68-1)*100),"NA",IF(((DI68/DA68-1)*100)&gt;100,"NM",IF(((DI68/DA68-1)*100)&lt;-50,"NM",(DI68/DA68-1)*100)))</f>
        <v>21.875</v>
      </c>
      <c r="DK68" s="93">
        <f>+DK66+DK67</f>
        <v>60.1</v>
      </c>
      <c r="DL68" s="81">
        <f>IF(ISERROR((DK68/DC68-1)*100),"NA",IF(((DK68/DC68-1)*100)&gt;100,"NM",IF(((DK68/DC68-1)*100)&lt;-50,"NM",(DK68/DC68-1)*100)))</f>
        <v>10.073260073260082</v>
      </c>
      <c r="DM68" s="93">
        <f>+DM66+DM67</f>
        <v>24</v>
      </c>
      <c r="DN68" s="81">
        <f>IF(ISERROR((DM68/DE68-1)*100),"NA",IF(((DM68/DE68-1)*100)&gt;100,"NM",IF(((DM68/DE68-1)*100)&lt;-50,"NM",(DM68/DE68-1)*100)))</f>
        <v>21.212121212121215</v>
      </c>
      <c r="DO68" s="93">
        <f>+DO66+DO67</f>
        <v>32.4</v>
      </c>
      <c r="DP68" s="81">
        <f>IF(ISERROR((DO68/DG68-1)*100),"NA",IF(((DO68/DG68-1)*100)&gt;100,"NM",IF(((DO68/DG68-1)*100)&lt;-50,"NM",(DO68/DG68-1)*100)))</f>
        <v>39.055793991416301</v>
      </c>
      <c r="DQ68" s="93">
        <f>+DQ66+DQ67</f>
        <v>15.2</v>
      </c>
      <c r="DR68" s="81">
        <f>IF(ISERROR((DQ68/DI68-1)*100),"NA",IF(((DQ68/DI68-1)*100)&gt;100,"NM",IF(((DQ68/DI68-1)*100)&lt;-50,"NM",(DQ68/DI68-1)*100)))</f>
        <v>-2.5641025641025661</v>
      </c>
      <c r="DS68" s="93">
        <f>+DS66+DS67</f>
        <v>48.1</v>
      </c>
      <c r="DT68" s="81">
        <f>IF(ISERROR((DS68/DK68-1)*100),"NA",IF(((DS68/DK68-1)*100)&gt;100,"NM",IF(((DS68/DK68-1)*100)&lt;-50,"NM",(DS68/DK68-1)*100)))</f>
        <v>-19.966722129783697</v>
      </c>
      <c r="DU68" s="93">
        <f>+DU66+DU67</f>
        <v>16.2</v>
      </c>
      <c r="DV68" s="81">
        <f>IF(ISERROR((DU68/DM68-1)*100),"NA",IF(((DU68/DM68-1)*100)&gt;100,"NM",IF(((DU68/DM68-1)*100)&lt;-50,"NM",(DU68/DM68-1)*100)))</f>
        <v>-32.500000000000007</v>
      </c>
      <c r="DW68" s="93">
        <f>+DW66+DW67</f>
        <v>24.9</v>
      </c>
      <c r="DX68" s="81">
        <f>IF(ISERROR((DW68/DO68-1)*100),"NA",IF(((DW68/DO68-1)*100)&gt;100,"NM",IF(((DW68/DO68-1)*100)&lt;-50,"NM",(DW68/DO68-1)*100)))</f>
        <v>-23.148148148148152</v>
      </c>
      <c r="DY68" s="93">
        <f>+DY66+DY67</f>
        <v>11.7</v>
      </c>
      <c r="DZ68" s="81">
        <f>IF(ISERROR((DY68/DQ68-1)*100),"NA",IF(((DY68/DQ68-1)*100)&gt;100,"NM",IF(((DY68/DQ68-1)*100)&lt;-50,"NM",(DY68/DQ68-1)*100)))</f>
        <v>-23.026315789473685</v>
      </c>
      <c r="EA68" s="93">
        <f>+EA66+EA67</f>
        <v>61.8</v>
      </c>
      <c r="EB68" s="81">
        <f>IF(ISERROR((EA68/DS68-1)*100),"NA",IF(((EA68/DS68-1)*100)&gt;100,"NM",IF(((EA68/DS68-1)*100)&lt;-50,"NM",(EA68/DS68-1)*100)))</f>
        <v>28.482328482328477</v>
      </c>
      <c r="EC68" s="93">
        <f>+EC66+EC67</f>
        <v>16.899999999999999</v>
      </c>
      <c r="ED68" s="81">
        <f t="shared" si="300"/>
        <v>4.3209876543209846</v>
      </c>
      <c r="EE68" s="93">
        <f>+EE66+EE67</f>
        <v>27.4</v>
      </c>
      <c r="EF68" s="81">
        <f t="shared" si="301"/>
        <v>10.040160642570273</v>
      </c>
      <c r="EG68" s="93">
        <f>+EG66+EG67</f>
        <v>20.7</v>
      </c>
      <c r="EH68" s="81">
        <f t="shared" si="302"/>
        <v>76.923076923076934</v>
      </c>
      <c r="EI68" s="93">
        <f>+EI66+EI67</f>
        <v>97.5</v>
      </c>
      <c r="EJ68" s="81">
        <f t="shared" si="303"/>
        <v>57.766990291262132</v>
      </c>
      <c r="EK68" s="189"/>
      <c r="EL68" s="81" t="str">
        <f t="shared" si="304"/>
        <v>NM</v>
      </c>
      <c r="EM68" s="189"/>
      <c r="EN68" s="81" t="str">
        <f t="shared" si="305"/>
        <v>NM</v>
      </c>
      <c r="EO68" s="189"/>
      <c r="EP68" s="81" t="str">
        <f t="shared" si="306"/>
        <v>NM</v>
      </c>
      <c r="EQ68" s="189"/>
      <c r="ER68" s="81" t="str">
        <f t="shared" si="307"/>
        <v>NM</v>
      </c>
      <c r="ES68" s="129"/>
      <c r="ET68" s="469"/>
      <c r="EU68" s="129"/>
      <c r="EV68" s="95"/>
      <c r="EW68" s="79"/>
      <c r="EX68" s="95"/>
      <c r="EY68" s="79"/>
      <c r="EZ68" s="131"/>
      <c r="FA68" s="79"/>
      <c r="FB68" s="191"/>
      <c r="FC68" s="79"/>
      <c r="FD68" s="191">
        <f>SUM(FD66:FD67)</f>
        <v>149.5</v>
      </c>
      <c r="FE68" s="79" t="str">
        <f>IF(ISERROR((FD68/FB68-1)*100),"NA",IF(((FD68/FB68-1)*100)&gt;100,"NM",IF(((FD68/FB68-1)*100)&lt;-50,"NM",(FD68/FB68-1)*100)))</f>
        <v>NA</v>
      </c>
      <c r="FF68" s="191">
        <f>SUM(FF66:FF67)</f>
        <v>141.6</v>
      </c>
      <c r="FG68" s="79">
        <f>IF(ISERROR((FF68/FD68-1)*100),"NA",IF(((FF68/FD68-1)*100)&gt;100,"NM",IF(((FF68/FD68-1)*100)&lt;-50,"NM",(FF68/FD68-1)*100)))</f>
        <v>-5.2842809364548549</v>
      </c>
      <c r="FH68" s="191">
        <f>SUM(FH66:FH67)</f>
        <v>86.8</v>
      </c>
      <c r="FI68" s="79">
        <f>IF(ISERROR((FH68/FF68-1)*100),"NA",IF(((FH68/FF68-1)*100)&gt;100,"NM",IF(((FH68/FF68-1)*100)&lt;-50,"NM",(FH68/FF68-1)*100)))</f>
        <v>-38.700564971751419</v>
      </c>
      <c r="FJ68" s="145"/>
      <c r="FK68" s="79" t="str">
        <f>IF(ISERROR((FJ68/FH68-1)*100),"NA",IF(((FJ68/FH68-1)*100)&gt;100,"NM",IF(((FJ68/FH68-1)*100)&lt;-50,"NM",(FJ68/FH68-1)*100)))</f>
        <v>NM</v>
      </c>
      <c r="FL68" s="95"/>
      <c r="FM68" s="79" t="str">
        <f>IF(ISERROR((FL68/FJ68-1)*100),"NA",IF(((FL68/FJ68-1)*100)&gt;100,"NM",IF(((FL68/FJ68-1)*100)&lt;-50,"NM",(FL68/FJ68-1)*100)))</f>
        <v>NA</v>
      </c>
      <c r="FN68" s="95"/>
      <c r="FO68" s="79" t="str">
        <f>IF(ISERROR((FN68/FL68-1)*100),"NA",IF(((FN68/FL68-1)*100)&gt;100,"NM",IF(((FN68/FL68-1)*100)&lt;-50,"NM",(FN68/FL68-1)*100)))</f>
        <v>NA</v>
      </c>
      <c r="FP68" s="93">
        <f>+FP67+FP66</f>
        <v>78.599999999999994</v>
      </c>
      <c r="FQ68" s="79" t="str">
        <f>IF(ISERROR((FP68/FN68-1)*100),"NA",IF(((FP68/FN68-1)*100)&gt;100,"NM",IF(((FP68/FN68-1)*100)&lt;-50,"NM",(FP68/FN68-1)*100)))</f>
        <v>NA</v>
      </c>
      <c r="FR68" s="93">
        <f>+FR67+FR66</f>
        <v>91.6</v>
      </c>
      <c r="FS68" s="79">
        <f>IF(ISERROR((FR68/FP68-1)*100),"NA",IF(((FR68/FP68-1)*100)&gt;100,"NM",IF(((FR68/FP68-1)*100)&lt;-50,"NM",(FR68/FP68-1)*100)))</f>
        <v>16.53944020356235</v>
      </c>
      <c r="FT68" s="93">
        <f>+FT67+FT66</f>
        <v>86.600000000000009</v>
      </c>
      <c r="FU68" s="79">
        <f>IF(ISERROR((FT68/FR68-1)*100),"NA",IF(((FT68/FR68-1)*100)&gt;100,"NM",IF(((FT68/FR68-1)*100)&lt;-50,"NM",(FT68/FR68-1)*100)))</f>
        <v>-5.4585152838427797</v>
      </c>
      <c r="FV68" s="93">
        <f>+FV67+FV66</f>
        <v>90.9</v>
      </c>
      <c r="FW68" s="79">
        <f>IF(ISERROR((FV68/FT68-1)*100),"NA",IF(((FV68/FT68-1)*100)&gt;100,"NM",IF(((FV68/FT68-1)*100)&lt;-50,"NM",(FV68/FT68-1)*100)))</f>
        <v>4.9653579676674386</v>
      </c>
      <c r="FX68" s="78">
        <f>CO68+CQ68+CS68+CU68</f>
        <v>98</v>
      </c>
      <c r="FY68" s="79">
        <f>IF(ISERROR((FX68/FV68-1)*100),"NA",IF(((FX68/FV68-1)*100)&gt;100,"NM",IF(((FX68/FV68-1)*100)&lt;-50,"NM",(FX68/FV68-1)*100)))</f>
        <v>7.810781078107798</v>
      </c>
      <c r="FZ68" s="78">
        <f>CW68+CY68+DA68+DC68</f>
        <v>101.9</v>
      </c>
      <c r="GA68" s="79">
        <f>IF(ISERROR((FZ68/FX68-1)*100),"NA",IF(((FZ68/FX68-1)*100)&gt;100,"NM",IF(((FZ68/FX68-1)*100)&lt;-50,"NM",(FZ68/FX68-1)*100)))</f>
        <v>3.9795918367347083</v>
      </c>
      <c r="GB68" s="78">
        <f>DE68+DG68+DI68+DK68</f>
        <v>118.80000000000001</v>
      </c>
      <c r="GC68" s="79">
        <f>IF(ISERROR((GB68/FZ68-1)*100),"NA",IF(((GB68/FZ68-1)*100)&gt;100,"NM",IF(((GB68/FZ68-1)*100)&lt;-50,"NM",(GB68/FZ68-1)*100)))</f>
        <v>16.584887144259074</v>
      </c>
      <c r="GD68" s="9"/>
      <c r="GE68" s="79" t="str">
        <f>IF(ISERROR((GD68/GB68-1)*100),"NA",IF(((GD68/GB68-1)*100)&gt;100,"NM",IF(((GD68/GB68-1)*100)&lt;-50,"NM",(GD68/GB68-1)*100)))</f>
        <v>NM</v>
      </c>
      <c r="GF68" s="9"/>
      <c r="GG68" s="79" t="str">
        <f>IF(ISERROR((GF68/GD68-1)*100),"NA",IF(((GF68/GD68-1)*100)&gt;100,"NM",IF(((GF68/GD68-1)*100)&lt;-50,"NM",(GF68/GD68-1)*100)))</f>
        <v>NA</v>
      </c>
      <c r="GH68" s="9"/>
      <c r="GI68" s="79" t="str">
        <f>IF(ISERROR((GH68/GF68-1)*100),"NA",IF(((GH68/GF68-1)*100)&gt;100,"NM",IF(((GH68/GF68-1)*100)&lt;-50,"NM",(GH68/GF68-1)*100)))</f>
        <v>NA</v>
      </c>
      <c r="GJ68" s="9"/>
      <c r="GK68" s="79" t="str">
        <f>IF(ISERROR((GJ68/GH68-1)*100),"NA",IF(((GJ68/GH68-1)*100)&gt;100,"NM",IF(((GJ68/GH68-1)*100)&lt;-50,"NM",(GJ68/GH68-1)*100)))</f>
        <v>NA</v>
      </c>
      <c r="GL68" s="189"/>
      <c r="GM68" s="79" t="str">
        <f>IF(ISERROR((GL68/GJ68-1)*100),"NA",IF(((GL68/GJ68-1)*100)&gt;100,"NM",IF(((GL68/GJ68-1)*100)&lt;-50,"NM",(GL68/GJ68-1)*100)))</f>
        <v>NA</v>
      </c>
      <c r="GN68" s="189"/>
      <c r="GO68" s="79" t="str">
        <f>IF(ISERROR((GN68/GL68-1)*100),"NA",IF(((GN68/GL68-1)*100)&gt;100,"NM",IF(((GN68/GL68-1)*100)&lt;-50,"NM",(GN68/GL68-1)*100)))</f>
        <v>NA</v>
      </c>
      <c r="GP68" s="189"/>
      <c r="GQ68" s="79" t="str">
        <f>IF(ISERROR((GP68/GN68-1)*100),"NA",IF(((GP68/GN68-1)*100)&gt;100,"NM",IF(((GP68/GN68-1)*100)&lt;-50,"NM",(GP68/GN68-1)*100)))</f>
        <v>NA</v>
      </c>
      <c r="GR68" s="189"/>
      <c r="GS68" s="79" t="str">
        <f>IF(ISERROR((GR68/GP68-1)*100),"NA",IF(((GR68/GP68-1)*100)&gt;100,"NM",IF(((GR68/GP68-1)*100)&lt;-50,"NM",(GR68/GP68-1)*100)))</f>
        <v>NA</v>
      </c>
      <c r="GT68" s="79"/>
      <c r="GU68" s="562"/>
      <c r="GV68" s="562"/>
      <c r="GW68"/>
      <c r="GX68"/>
      <c r="GY68"/>
      <c r="GZ68"/>
      <c r="HA68"/>
      <c r="HB68"/>
      <c r="HC68" s="562"/>
      <c r="HD68" s="562"/>
      <c r="HE68" s="562"/>
      <c r="HF68" s="562"/>
      <c r="HG68" s="562"/>
      <c r="HH68" s="562"/>
      <c r="HI68" s="562"/>
      <c r="HJ68" s="562"/>
      <c r="HK68" s="562"/>
      <c r="HL68" s="562"/>
      <c r="HM68" s="562"/>
      <c r="HN68" s="562"/>
      <c r="HO68" s="562"/>
      <c r="HP68" s="562"/>
      <c r="HQ68" s="562"/>
      <c r="HR68" s="562"/>
      <c r="HS68" s="562"/>
      <c r="HT68" s="562"/>
      <c r="HU68" s="562"/>
      <c r="HV68" s="562"/>
      <c r="HW68" s="562"/>
      <c r="HX68" s="562"/>
      <c r="HY68" s="562"/>
      <c r="HZ68" s="562"/>
      <c r="IA68" s="562"/>
      <c r="IB68" s="562"/>
      <c r="IC68" s="562"/>
      <c r="ID68" s="562"/>
      <c r="IE68" s="562"/>
      <c r="IF68" s="562"/>
      <c r="IG68" s="562"/>
      <c r="IH68" s="562"/>
      <c r="II68" s="562"/>
      <c r="IJ68" s="562"/>
      <c r="IK68" s="562"/>
      <c r="IL68" s="562"/>
      <c r="IM68" s="562"/>
      <c r="IN68" s="562"/>
      <c r="IO68" s="562"/>
      <c r="IP68" s="562"/>
      <c r="IQ68" s="562"/>
      <c r="IR68" s="562"/>
      <c r="IS68" s="562"/>
      <c r="IT68" s="562"/>
      <c r="IU68" s="562"/>
      <c r="IV68" s="562"/>
      <c r="IW68" s="562"/>
      <c r="IX68" s="562"/>
      <c r="IY68" s="562"/>
      <c r="IZ68" s="562"/>
      <c r="JA68" s="562"/>
      <c r="JB68" s="562"/>
      <c r="JC68" s="562"/>
      <c r="JD68" s="562"/>
      <c r="JE68" s="562"/>
      <c r="JF68" s="562"/>
      <c r="JG68" s="562"/>
      <c r="JH68" s="562"/>
      <c r="JI68" s="562"/>
      <c r="JJ68" s="562"/>
      <c r="JK68" s="562"/>
      <c r="JL68" s="562"/>
      <c r="JM68" s="562"/>
      <c r="JN68" s="562"/>
      <c r="JO68" s="562"/>
      <c r="JP68" s="562"/>
      <c r="JQ68" s="562"/>
      <c r="JR68" s="562"/>
      <c r="JS68" s="562"/>
      <c r="JT68" s="562"/>
      <c r="JU68" s="562"/>
      <c r="JV68" s="562"/>
      <c r="JW68" s="562"/>
      <c r="JX68" s="562"/>
      <c r="JY68" s="562"/>
      <c r="JZ68" s="562"/>
    </row>
    <row r="69" spans="1:286" s="132" customFormat="1" ht="12.75" customHeight="1" x14ac:dyDescent="0.2">
      <c r="A69" s="133"/>
      <c r="B69" s="2"/>
      <c r="C69" s="79"/>
      <c r="D69" s="79"/>
      <c r="E69" s="189"/>
      <c r="F69" s="179"/>
      <c r="G69" s="189"/>
      <c r="H69" s="179"/>
      <c r="I69" s="189"/>
      <c r="J69" s="179"/>
      <c r="K69" s="189"/>
      <c r="L69" s="179"/>
      <c r="M69" s="189"/>
      <c r="N69" s="420"/>
      <c r="O69" s="189"/>
      <c r="P69" s="420"/>
      <c r="Q69" s="189"/>
      <c r="R69" s="420"/>
      <c r="S69" s="189"/>
      <c r="T69" s="420"/>
      <c r="U69" s="189"/>
      <c r="V69" s="420"/>
      <c r="W69" s="189"/>
      <c r="X69" s="420"/>
      <c r="Y69" s="189"/>
      <c r="Z69" s="420"/>
      <c r="AA69" s="190"/>
      <c r="AB69" s="420"/>
      <c r="AC69" s="189"/>
      <c r="AD69" s="420"/>
      <c r="AE69" s="189"/>
      <c r="AF69" s="420"/>
      <c r="AG69" s="189"/>
      <c r="AH69" s="420"/>
      <c r="AI69" s="189"/>
      <c r="AJ69" s="420"/>
      <c r="AK69" s="189"/>
      <c r="AL69" s="420"/>
      <c r="AM69" s="189"/>
      <c r="AN69" s="420"/>
      <c r="AO69" s="189"/>
      <c r="AP69" s="420"/>
      <c r="AQ69" s="189"/>
      <c r="AR69" s="420"/>
      <c r="AS69" s="189"/>
      <c r="AT69" s="238"/>
      <c r="AU69" s="189"/>
      <c r="AV69" s="238"/>
      <c r="AW69" s="189"/>
      <c r="AX69" s="238"/>
      <c r="AY69" s="189"/>
      <c r="AZ69" s="238"/>
      <c r="BA69" s="189"/>
      <c r="BB69" s="238"/>
      <c r="BC69" s="189"/>
      <c r="BD69" s="238"/>
      <c r="BE69" s="189"/>
      <c r="BF69" s="238"/>
      <c r="BG69" s="189"/>
      <c r="BH69" s="238"/>
      <c r="BI69" s="189"/>
      <c r="BJ69" s="81"/>
      <c r="BK69" s="189"/>
      <c r="BL69" s="238"/>
      <c r="BM69" s="189"/>
      <c r="BN69" s="238"/>
      <c r="BO69" s="189"/>
      <c r="BP69" s="238"/>
      <c r="BQ69" s="189"/>
      <c r="BR69" s="81"/>
      <c r="BS69" s="189"/>
      <c r="BT69" s="238"/>
      <c r="BU69" s="189"/>
      <c r="BV69" s="238"/>
      <c r="BW69" s="189"/>
      <c r="BX69" s="238"/>
      <c r="BY69" s="189"/>
      <c r="BZ69" s="238"/>
      <c r="CA69" s="189"/>
      <c r="CB69" s="238"/>
      <c r="CC69" s="189"/>
      <c r="CD69" s="81"/>
      <c r="CE69" s="189"/>
      <c r="CF69" s="81"/>
      <c r="CG69" s="189"/>
      <c r="CH69" s="81"/>
      <c r="CI69" s="189"/>
      <c r="CJ69" s="81"/>
      <c r="CK69" s="189"/>
      <c r="CL69" s="81"/>
      <c r="CM69" s="189"/>
      <c r="CN69" s="81"/>
      <c r="CO69" s="189"/>
      <c r="CP69" s="81"/>
      <c r="CQ69" s="189"/>
      <c r="CR69" s="81"/>
      <c r="CS69" s="189"/>
      <c r="CT69" s="81"/>
      <c r="CU69" s="189"/>
      <c r="CV69" s="81"/>
      <c r="CW69" s="189"/>
      <c r="CX69" s="81"/>
      <c r="CY69" s="189"/>
      <c r="CZ69" s="81"/>
      <c r="DA69" s="189"/>
      <c r="DB69" s="81"/>
      <c r="DC69" s="189"/>
      <c r="DD69" s="81"/>
      <c r="DE69" s="189"/>
      <c r="DF69" s="81"/>
      <c r="DG69" s="189"/>
      <c r="DH69" s="81"/>
      <c r="DI69" s="189"/>
      <c r="DJ69" s="81"/>
      <c r="DK69" s="189"/>
      <c r="DL69" s="81"/>
      <c r="DM69" s="189"/>
      <c r="DN69" s="81"/>
      <c r="DO69" s="189"/>
      <c r="DP69" s="81"/>
      <c r="DQ69" s="189"/>
      <c r="DR69" s="81"/>
      <c r="DS69" s="189"/>
      <c r="DT69" s="81"/>
      <c r="DU69" s="189"/>
      <c r="DV69" s="81"/>
      <c r="DW69" s="189"/>
      <c r="DX69" s="81"/>
      <c r="DY69" s="189"/>
      <c r="DZ69" s="81"/>
      <c r="EA69" s="189"/>
      <c r="EB69" s="81"/>
      <c r="EC69" s="189"/>
      <c r="ED69" s="81"/>
      <c r="EE69" s="189"/>
      <c r="EF69" s="81"/>
      <c r="EG69" s="189"/>
      <c r="EH69" s="81"/>
      <c r="EI69" s="189"/>
      <c r="EJ69" s="81"/>
      <c r="EK69" s="189"/>
      <c r="EL69" s="81"/>
      <c r="EM69" s="189"/>
      <c r="EN69" s="81"/>
      <c r="EO69" s="189"/>
      <c r="EP69" s="81"/>
      <c r="EQ69" s="189"/>
      <c r="ER69" s="81"/>
      <c r="ES69" s="129"/>
      <c r="ET69" s="469"/>
      <c r="EU69" s="129"/>
      <c r="EV69" s="95"/>
      <c r="EW69" s="79"/>
      <c r="EX69" s="95"/>
      <c r="EY69" s="79"/>
      <c r="EZ69" s="131"/>
      <c r="FA69" s="79"/>
      <c r="FB69" s="145"/>
      <c r="FC69" s="420"/>
      <c r="FD69" s="145"/>
      <c r="FE69" s="420"/>
      <c r="FF69" s="191"/>
      <c r="FG69" s="420"/>
      <c r="FH69" s="171"/>
      <c r="FI69" s="420"/>
      <c r="FJ69" s="145"/>
      <c r="FK69" s="420"/>
      <c r="FL69" s="95"/>
      <c r="FM69" s="420"/>
      <c r="FN69" s="95"/>
      <c r="FO69" s="420"/>
      <c r="FP69" s="95"/>
      <c r="FQ69" s="420"/>
      <c r="FR69" s="189"/>
      <c r="FS69" s="420"/>
      <c r="FT69" s="189"/>
      <c r="FU69" s="420"/>
      <c r="FV69" s="189"/>
      <c r="FW69" s="420"/>
      <c r="FX69" s="9"/>
      <c r="FY69" s="420"/>
      <c r="FZ69" s="9"/>
      <c r="GA69" s="420"/>
      <c r="GB69" s="9"/>
      <c r="GC69" s="420"/>
      <c r="GD69" s="9"/>
      <c r="GE69" s="420"/>
      <c r="GF69" s="9"/>
      <c r="GG69" s="420"/>
      <c r="GH69" s="9"/>
      <c r="GI69" s="420"/>
      <c r="GJ69" s="9"/>
      <c r="GK69" s="420"/>
      <c r="GL69" s="189"/>
      <c r="GM69" s="420"/>
      <c r="GN69" s="189"/>
      <c r="GO69" s="420"/>
      <c r="GP69" s="189"/>
      <c r="GQ69" s="420"/>
      <c r="GR69" s="189"/>
      <c r="GS69" s="420"/>
      <c r="GT69" s="79"/>
      <c r="GU69" s="562"/>
      <c r="GV69" s="562"/>
      <c r="GW69"/>
      <c r="GX69"/>
      <c r="GY69"/>
      <c r="GZ69"/>
      <c r="HA69"/>
      <c r="HB69"/>
      <c r="HC69" s="562"/>
      <c r="HD69" s="562"/>
      <c r="HE69" s="562"/>
      <c r="HF69" s="562"/>
      <c r="HG69" s="562"/>
      <c r="HH69" s="562"/>
      <c r="HI69" s="562"/>
      <c r="HJ69" s="562"/>
      <c r="HK69" s="562"/>
      <c r="HL69" s="562"/>
      <c r="HM69" s="562"/>
      <c r="HN69" s="562"/>
      <c r="HO69" s="562"/>
      <c r="HP69" s="562"/>
      <c r="HQ69" s="562"/>
      <c r="HR69" s="562"/>
      <c r="HS69" s="562"/>
      <c r="HT69" s="562"/>
      <c r="HU69" s="562"/>
      <c r="HV69" s="562"/>
      <c r="HW69" s="562"/>
      <c r="HX69" s="562"/>
      <c r="HY69" s="562"/>
      <c r="HZ69" s="562"/>
      <c r="IA69" s="562"/>
      <c r="IB69" s="562"/>
      <c r="IC69" s="562"/>
      <c r="ID69" s="562"/>
      <c r="IE69" s="562"/>
      <c r="IF69" s="562"/>
      <c r="IG69" s="562"/>
      <c r="IH69" s="562"/>
      <c r="II69" s="562"/>
      <c r="IJ69" s="562"/>
      <c r="IK69" s="562"/>
      <c r="IL69" s="562"/>
      <c r="IM69" s="562"/>
      <c r="IN69" s="562"/>
      <c r="IO69" s="562"/>
      <c r="IP69" s="562"/>
      <c r="IQ69" s="562"/>
      <c r="IR69" s="562"/>
      <c r="IS69" s="562"/>
      <c r="IT69" s="562"/>
      <c r="IU69" s="562"/>
      <c r="IV69" s="562"/>
      <c r="IW69" s="562"/>
      <c r="IX69" s="562"/>
      <c r="IY69" s="562"/>
      <c r="IZ69" s="562"/>
      <c r="JA69" s="562"/>
      <c r="JB69" s="562"/>
      <c r="JC69" s="562"/>
      <c r="JD69" s="562"/>
      <c r="JE69" s="562"/>
      <c r="JF69" s="562"/>
      <c r="JG69" s="562"/>
      <c r="JH69" s="562"/>
      <c r="JI69" s="562"/>
      <c r="JJ69" s="562"/>
      <c r="JK69" s="562"/>
      <c r="JL69" s="562"/>
      <c r="JM69" s="562"/>
      <c r="JN69" s="562"/>
      <c r="JO69" s="562"/>
      <c r="JP69" s="562"/>
      <c r="JQ69" s="562"/>
      <c r="JR69" s="562"/>
      <c r="JS69" s="562"/>
      <c r="JT69" s="562"/>
      <c r="JU69" s="562"/>
      <c r="JV69" s="562"/>
      <c r="JW69" s="562"/>
      <c r="JX69" s="562"/>
      <c r="JY69" s="562"/>
      <c r="JZ69" s="562"/>
    </row>
    <row r="70" spans="1:286" s="132" customFormat="1" ht="12.75" customHeight="1" x14ac:dyDescent="0.2">
      <c r="A70" s="1" t="s">
        <v>262</v>
      </c>
      <c r="B70" s="68" t="s">
        <v>211</v>
      </c>
      <c r="C70" s="79"/>
      <c r="D70" s="79"/>
      <c r="E70" s="189"/>
      <c r="F70" s="179"/>
      <c r="G70" s="189"/>
      <c r="H70" s="179"/>
      <c r="I70" s="189"/>
      <c r="J70" s="179"/>
      <c r="K70" s="189"/>
      <c r="L70" s="79"/>
      <c r="M70" s="189"/>
      <c r="N70" s="79"/>
      <c r="O70" s="189"/>
      <c r="P70" s="79"/>
      <c r="Q70" s="193"/>
      <c r="R70" s="79"/>
      <c r="S70" s="193"/>
      <c r="T70" s="79"/>
      <c r="U70" s="193"/>
      <c r="V70" s="79"/>
      <c r="W70" s="193"/>
      <c r="X70" s="79"/>
      <c r="Y70" s="193"/>
      <c r="Z70" s="79"/>
      <c r="AA70" s="194"/>
      <c r="AB70" s="79"/>
      <c r="AC70" s="193">
        <f>+AC68+AC64</f>
        <v>63.3</v>
      </c>
      <c r="AD70" s="79" t="str">
        <f>IF(ISERROR((AC70/U70-1)*100),"NA",IF(((AC70/U70-1)*100)&gt;100,"NM",IF(((AC70/U70-1)*100)&lt;-50,"NM",(AC70/U70-1)*100)))</f>
        <v>NA</v>
      </c>
      <c r="AE70" s="193">
        <f>+AE68+AE64</f>
        <v>58.9</v>
      </c>
      <c r="AF70" s="79" t="str">
        <f>IF(ISERROR((AE70/W70-1)*100),"NA",IF(((AE70/W70-1)*100)&gt;100,"NM",IF(((AE70/W70-1)*100)&lt;-50,"NM",(AE70/W70-1)*100)))</f>
        <v>NA</v>
      </c>
      <c r="AG70" s="193">
        <f>+AG68+AG64</f>
        <v>33.1</v>
      </c>
      <c r="AH70" s="79" t="str">
        <f>IF(ISERROR((AG70/Y70-1)*100),"NA",IF(((AG70/Y70-1)*100)&gt;100,"NM",IF(((AG70/Y70-1)*100)&lt;-50,"NM",(AG70/Y70-1)*100)))</f>
        <v>NA</v>
      </c>
      <c r="AI70" s="193">
        <f>+AI68+AI64</f>
        <v>113</v>
      </c>
      <c r="AJ70" s="79" t="str">
        <f>IF(ISERROR((AI70/AA70-1)*100),"NA",IF(((AI70/AA70-1)*100)&gt;100,"NM",IF(((AI70/AA70-1)*100)&lt;-50,"NM",(AI70/AA70-1)*100)))</f>
        <v>NA</v>
      </c>
      <c r="AK70" s="193">
        <f>+AK68+AK64</f>
        <v>53.8</v>
      </c>
      <c r="AL70" s="79">
        <f>IF(ISERROR((AK70/AC70-1)*100),"NA",IF(((AK70/AC70-1)*100)&gt;100,"NM",IF(((AK70/AC70-1)*100)&lt;-50,"NM",(AK70/AC70-1)*100)))</f>
        <v>-15.007898894154813</v>
      </c>
      <c r="AM70" s="193">
        <f>+AM68+AM64</f>
        <v>63.6</v>
      </c>
      <c r="AN70" s="79">
        <f>IF(ISERROR((AM70/AE70-1)*100),"NA",IF(((AM70/AE70-1)*100)&gt;100,"NM",IF(((AM70/AE70-1)*100)&lt;-50,"NM",(AM70/AE70-1)*100)))</f>
        <v>7.9796264855687582</v>
      </c>
      <c r="AO70" s="193">
        <f>+AO68+AO64</f>
        <v>40.799999999999997</v>
      </c>
      <c r="AP70" s="79">
        <f>IF(ISERROR((AO70/AG70-1)*100),"NA",IF(((AO70/AG70-1)*100)&gt;100,"NM",IF(((AO70/AG70-1)*100)&lt;-50,"NM",(AO70/AG70-1)*100)))</f>
        <v>23.262839879154072</v>
      </c>
      <c r="AQ70" s="193">
        <f>+AQ68+AQ64</f>
        <v>104.6</v>
      </c>
      <c r="AR70" s="79">
        <f>IF(ISERROR((AQ70/AI70-1)*100),"NA",IF(((AQ70/AI70-1)*100)&gt;100,"NM",IF(((AQ70/AI70-1)*100)&lt;-50,"NM",(AQ70/AI70-1)*100)))</f>
        <v>-7.4336283185840735</v>
      </c>
      <c r="AS70" s="147">
        <f>+AS68+AS64</f>
        <v>56.400000000000006</v>
      </c>
      <c r="AT70" s="81">
        <f>IF(ISERROR((AS70/AK70-1)*100),"NA",IF(((AS70/AK70-1)*100)&gt;100,"NM",IF(((AS70/AK70-1)*100)&lt;-50,"NM",(AS70/AK70-1)*100)))</f>
        <v>4.8327137546468668</v>
      </c>
      <c r="AU70" s="147">
        <f>+AU68+AU64</f>
        <v>72.099999999999994</v>
      </c>
      <c r="AV70" s="81">
        <f>IF(ISERROR((AU70/AM70-1)*100),"NA",IF(((AU70/AM70-1)*100)&gt;100,"NM",IF(((AU70/AM70-1)*100)&lt;-50,"NM",(AU70/AM70-1)*100)))</f>
        <v>13.364779874213827</v>
      </c>
      <c r="AW70" s="147">
        <f>+AW68+AW64</f>
        <v>35.6</v>
      </c>
      <c r="AX70" s="81">
        <f>IF(ISERROR((AW70/AO70-1)*100),"NA",IF(((AW70/AO70-1)*100)&gt;100,"NM",IF(((AW70/AO70-1)*100)&lt;-50,"NM",(AW70/AO70-1)*100)))</f>
        <v>-12.745098039215675</v>
      </c>
      <c r="AY70" s="147">
        <f>+AY68+AY64</f>
        <v>132.19999999999999</v>
      </c>
      <c r="AZ70" s="81">
        <f>IF(ISERROR((AY70/AQ70-1)*100),"NA",IF(((AY70/AQ70-1)*100)&gt;100,"NM",IF(((AY70/AQ70-1)*100)&lt;-50,"NM",(AY70/AQ70-1)*100)))</f>
        <v>26.386233269598456</v>
      </c>
      <c r="BA70" s="147">
        <f>+BA68+BA64</f>
        <v>41.4</v>
      </c>
      <c r="BB70" s="81">
        <f>IF(ISERROR((BA70/AS70-1)*100),"NA",IF(((BA70/AS70-1)*100)&gt;100,"NM",IF(((BA70/AS70-1)*100)&lt;-50,"NM",(BA70/AS70-1)*100)))</f>
        <v>-26.595744680851073</v>
      </c>
      <c r="BC70" s="147">
        <f>+BC68+BC64</f>
        <v>71.599999999999994</v>
      </c>
      <c r="BD70" s="81">
        <f>IF(ISERROR((BC70/AU70-1)*100),"NA",IF(((BC70/AU70-1)*100)&gt;100,"NM",IF(((BC70/AU70-1)*100)&lt;-50,"NM",(BC70/AU70-1)*100)))</f>
        <v>-0.69348127600554754</v>
      </c>
      <c r="BE70" s="147">
        <f>+BE68+BE64</f>
        <v>33.9</v>
      </c>
      <c r="BF70" s="81">
        <f>IF(ISERROR((BE70/AW70-1)*100),"NA",IF(((BE70/AW70-1)*100)&gt;100,"NM",IF(((BE70/AW70-1)*100)&lt;-50,"NM",(BE70/AW70-1)*100)))</f>
        <v>-4.7752808988764102</v>
      </c>
      <c r="BG70" s="147">
        <f>+BG68+BG64</f>
        <v>102.7</v>
      </c>
      <c r="BH70" s="81">
        <f>IF(ISERROR((BG70/AY70-1)*100),"NA",IF(((BG70/AY70-1)*100)&gt;100,"NM",IF(((BG70/AY70-1)*100)&lt;-50,"NM",(BG70/AY70-1)*100)))</f>
        <v>-22.314674735249618</v>
      </c>
      <c r="BI70" s="147">
        <f>+BI68+BI64</f>
        <v>51.900000000000006</v>
      </c>
      <c r="BJ70" s="81">
        <f t="shared" si="297"/>
        <v>25.362318840579732</v>
      </c>
      <c r="BK70" s="147">
        <f>+BK68+BK64</f>
        <v>63.5</v>
      </c>
      <c r="BL70" s="81">
        <f>IF(ISERROR((BK70/BC70-1)*100),"NA",IF(((BK70/BC70-1)*100)&gt;100,"NM",IF(((BK70/BC70-1)*100)&lt;-50,"NM",(BK70/BC70-1)*100)))</f>
        <v>-11.312849162011162</v>
      </c>
      <c r="BM70" s="147">
        <f>+BM68+BM64</f>
        <v>42.7</v>
      </c>
      <c r="BN70" s="81"/>
      <c r="BO70" s="147">
        <f>+BO68+BO64</f>
        <v>112.2</v>
      </c>
      <c r="BP70" s="81"/>
      <c r="BQ70" s="147">
        <f>+BQ68+BQ64</f>
        <v>48.3</v>
      </c>
      <c r="BR70" s="81">
        <f>IF(ISERROR((BQ70/BI70-1)*100),"NA",IF(((BQ70/BI70-1)*100)&gt;100,"NM",IF(((BQ70/BI70-1)*100)&lt;-50,"NM",(BQ70/BI70-1)*100)))</f>
        <v>-6.936416184971117</v>
      </c>
      <c r="BS70" s="147">
        <f>+BS68+BS64</f>
        <v>75.899999999999991</v>
      </c>
      <c r="BT70" s="81"/>
      <c r="BU70" s="147">
        <f>+BU68+BU64</f>
        <v>34.799999999999997</v>
      </c>
      <c r="BV70" s="81"/>
      <c r="BW70" s="147">
        <f>+BW68+BW64</f>
        <v>114.7</v>
      </c>
      <c r="BX70" s="81"/>
      <c r="BY70" s="147">
        <f>+BY68+BY64</f>
        <v>42.5</v>
      </c>
      <c r="BZ70" s="81">
        <f>IF(ISERROR((BY70/BQ70-1)*100),"NA",IF(((BY70/BQ70-1)*100)&gt;100,"NM",IF(((BY70/BQ70-1)*100)&lt;-50,"NM",(BY70/BQ70-1)*100)))</f>
        <v>-12.008281573498959</v>
      </c>
      <c r="CA70" s="147">
        <f>+CA68+CA64</f>
        <v>50.400000000000006</v>
      </c>
      <c r="CB70" s="81">
        <f>IF(ISERROR((CA70/BS70-1)*100),"NA",IF(((CA70/BS70-1)*100)&gt;100,"NM",IF(((CA70/BS70-1)*100)&lt;-50,"NM",(CA70/BS70-1)*100)))</f>
        <v>-33.596837944664017</v>
      </c>
      <c r="CC70" s="147">
        <f>+CC68+CC64</f>
        <v>32.799999999999997</v>
      </c>
      <c r="CD70" s="81">
        <f t="shared" si="287"/>
        <v>-5.7471264367816133</v>
      </c>
      <c r="CE70" s="147">
        <f>+CE68+CE64</f>
        <v>109.19999999999999</v>
      </c>
      <c r="CF70" s="81">
        <f t="shared" si="288"/>
        <v>-4.7951176983435211</v>
      </c>
      <c r="CG70" s="147">
        <f>+CG68+CG64</f>
        <v>44.9</v>
      </c>
      <c r="CH70" s="81">
        <f>IF(ISERROR((CG70/BY70-1)*100),"NA",IF(((CG70/BY70-1)*100)&gt;100,"NM",IF(((CG70/BY70-1)*100)&lt;-50,"NM",(CG70/BY70-1)*100)))</f>
        <v>5.647058823529405</v>
      </c>
      <c r="CI70" s="147">
        <f>+CI68+CI64</f>
        <v>57.199999999999996</v>
      </c>
      <c r="CJ70" s="81">
        <f>IF(ISERROR((CI70/CA70-1)*100),"NA",IF(((CI70/CA70-1)*100)&gt;100,"NM",IF(((CI70/CA70-1)*100)&lt;-50,"NM",(CI70/CA70-1)*100)))</f>
        <v>13.492063492063465</v>
      </c>
      <c r="CK70" s="147">
        <f>+CK68+CK64</f>
        <v>34.4</v>
      </c>
      <c r="CL70" s="81">
        <f>IF(ISERROR((CK70/CC70-1)*100),"NA",IF(((CK70/CC70-1)*100)&gt;100,"NM",IF(((CK70/CC70-1)*100)&lt;-50,"NM",(CK70/CC70-1)*100)))</f>
        <v>4.8780487804878092</v>
      </c>
      <c r="CM70" s="147">
        <f>+CM68+CM64</f>
        <v>119.4</v>
      </c>
      <c r="CN70" s="81">
        <f>IF(ISERROR((CM70/CE70-1)*100),"NA",IF(((CM70/CE70-1)*100)&gt;100,"NM",IF(((CM70/CE70-1)*100)&lt;-50,"NM",(CM70/CE70-1)*100)))</f>
        <v>9.3406593406593519</v>
      </c>
      <c r="CO70" s="147">
        <f>+CO68+CO64</f>
        <v>49.8</v>
      </c>
      <c r="CP70" s="81">
        <f>IF(ISERROR((CO70/CG70-1)*100),"NA",IF(((CO70/CG70-1)*100)&gt;100,"NM",IF(((CO70/CG70-1)*100)&lt;-50,"NM",(CO70/CG70-1)*100)))</f>
        <v>10.913140311804014</v>
      </c>
      <c r="CQ70" s="147">
        <f>+CQ68+CQ64</f>
        <v>59.6</v>
      </c>
      <c r="CR70" s="81">
        <f>IF(ISERROR((CQ70/CI70-1)*100),"NA",IF(((CQ70/CI70-1)*100)&gt;100,"NM",IF(((CQ70/CI70-1)*100)&lt;-50,"NM",(CQ70/CI70-1)*100)))</f>
        <v>4.1958041958042092</v>
      </c>
      <c r="CS70" s="147">
        <f>+CS68+CS64</f>
        <v>37.700000000000003</v>
      </c>
      <c r="CT70" s="81">
        <f>IF(ISERROR((CS70/CK70-1)*100),"NA",IF(((CS70/CK70-1)*100)&gt;100,"NM",IF(((CS70/CK70-1)*100)&lt;-50,"NM",(CS70/CK70-1)*100)))</f>
        <v>9.5930232558139714</v>
      </c>
      <c r="CU70" s="147">
        <f>+CU68+CU64</f>
        <v>133.1</v>
      </c>
      <c r="CV70" s="81">
        <f>IF(ISERROR((CU70/CM70-1)*100),"NA",IF(((CU70/CM70-1)*100)&gt;100,"NM",IF(((CU70/CM70-1)*100)&lt;-50,"NM",(CU70/CM70-1)*100)))</f>
        <v>11.474036850921255</v>
      </c>
      <c r="CW70" s="147">
        <f>+CW68+CW64</f>
        <v>46.900000000000006</v>
      </c>
      <c r="CX70" s="81">
        <f>IF(ISERROR((CW70/CO70-1)*100),"NA",IF(((CW70/CO70-1)*100)&gt;100,"NM",IF(((CW70/CO70-1)*100)&lt;-50,"NM",(CW70/CO70-1)*100)))</f>
        <v>-5.8232931726907466</v>
      </c>
      <c r="CY70" s="147">
        <f>+CY68+CY64</f>
        <v>51.5</v>
      </c>
      <c r="CZ70" s="81">
        <f>IF(ISERROR((CY70/CQ70-1)*100),"NA",IF(((CY70/CQ70-1)*100)&gt;100,"NM",IF(((CY70/CQ70-1)*100)&lt;-50,"NM",(CY70/CQ70-1)*100)))</f>
        <v>-13.590604026845643</v>
      </c>
      <c r="DA70" s="147">
        <f>+DA68+DA64</f>
        <v>38.5</v>
      </c>
      <c r="DB70" s="81">
        <f>IF(ISERROR((DA70/CS70-1)*100),"NA",IF(((DA70/CS70-1)*100)&gt;100,"NM",IF(((DA70/CS70-1)*100)&lt;-50,"NM",(DA70/CS70-1)*100)))</f>
        <v>2.1220159151193574</v>
      </c>
      <c r="DC70" s="147">
        <f>+DC68+DC64</f>
        <v>138.30000000000001</v>
      </c>
      <c r="DD70" s="81">
        <f>IF(ISERROR((DC70/CU70-1)*100),"NA",IF(((DC70/CU70-1)*100)&gt;100,"NM",IF(((DC70/CU70-1)*100)&lt;-50,"NM",(DC70/CU70-1)*100)))</f>
        <v>3.9068369646882095</v>
      </c>
      <c r="DE70" s="147">
        <f>+DE68+DE64</f>
        <v>52.5</v>
      </c>
      <c r="DF70" s="81">
        <f>IF(ISERROR((DE70/CW70-1)*100),"NA",IF(((DE70/CW70-1)*100)&gt;100,"NM",IF(((DE70/CW70-1)*100)&lt;-50,"NM",(DE70/CW70-1)*100)))</f>
        <v>11.940298507462677</v>
      </c>
      <c r="DG70" s="147">
        <f>+DG68+DG64</f>
        <v>70.099999999999994</v>
      </c>
      <c r="DH70" s="81">
        <f>IF(ISERROR((DG70/CY70-1)*100),"NA",IF(((DG70/CY70-1)*100)&gt;100,"NM",IF(((DG70/CY70-1)*100)&lt;-50,"NM",(DG70/CY70-1)*100)))</f>
        <v>36.116504854368927</v>
      </c>
      <c r="DI70" s="147">
        <f>+DI68+DI64</f>
        <v>43.6</v>
      </c>
      <c r="DJ70" s="81">
        <f>IF(ISERROR((DI70/DA70-1)*100),"NA",IF(((DI70/DA70-1)*100)&gt;100,"NM",IF(((DI70/DA70-1)*100)&lt;-50,"NM",(DI70/DA70-1)*100)))</f>
        <v>13.24675324675324</v>
      </c>
      <c r="DK70" s="147">
        <f>+DK68+DK64</f>
        <v>176.2</v>
      </c>
      <c r="DL70" s="81">
        <f>IF(ISERROR((DK70/DC70-1)*100),"NA",IF(((DK70/DC70-1)*100)&gt;100,"NM",IF(((DK70/DC70-1)*100)&lt;-50,"NM",(DK70/DC70-1)*100)))</f>
        <v>27.404193781634099</v>
      </c>
      <c r="DM70" s="147">
        <f>+DM68+DM64</f>
        <v>61.3</v>
      </c>
      <c r="DN70" s="81">
        <f>IF(ISERROR((DM70/DE70-1)*100),"NA",IF(((DM70/DE70-1)*100)&gt;100,"NM",IF(((DM70/DE70-1)*100)&lt;-50,"NM",(DM70/DE70-1)*100)))</f>
        <v>16.761904761904756</v>
      </c>
      <c r="DO70" s="147">
        <f>+DO68+DO64</f>
        <v>84.3</v>
      </c>
      <c r="DP70" s="81">
        <f>IF(ISERROR((DO70/DG70-1)*100),"NA",IF(((DO70/DG70-1)*100)&gt;100,"NM",IF(((DO70/DG70-1)*100)&lt;-50,"NM",(DO70/DG70-1)*100)))</f>
        <v>20.256776034236811</v>
      </c>
      <c r="DQ70" s="147">
        <f>+DQ68+DQ64</f>
        <v>49.5</v>
      </c>
      <c r="DR70" s="81">
        <f>IF(ISERROR((DQ70/DI70-1)*100),"NA",IF(((DQ70/DI70-1)*100)&gt;100,"NM",IF(((DQ70/DI70-1)*100)&lt;-50,"NM",(DQ70/DI70-1)*100)))</f>
        <v>13.53211009174311</v>
      </c>
      <c r="DS70" s="147">
        <f>+DS68+DS64</f>
        <v>164.3</v>
      </c>
      <c r="DT70" s="81">
        <f>IF(ISERROR((DS70/DK70-1)*100),"NA",IF(((DS70/DK70-1)*100)&gt;100,"NM",IF(((DS70/DK70-1)*100)&lt;-50,"NM",(DS70/DK70-1)*100)))</f>
        <v>-6.7536889897843233</v>
      </c>
      <c r="DU70" s="147">
        <f>+DU68+DU64</f>
        <v>53.7</v>
      </c>
      <c r="DV70" s="81">
        <f>IF(ISERROR((DU70/DM70-1)*100),"NA",IF(((DU70/DM70-1)*100)&gt;100,"NM",IF(((DU70/DM70-1)*100)&lt;-50,"NM",(DU70/DM70-1)*100)))</f>
        <v>-12.398042414355615</v>
      </c>
      <c r="DW70" s="147">
        <f>+DW68+DW64</f>
        <v>73.199999999999989</v>
      </c>
      <c r="DX70" s="81">
        <f>IF(ISERROR((DW70/DO70-1)*100),"NA",IF(((DW70/DO70-1)*100)&gt;100,"NM",IF(((DW70/DO70-1)*100)&lt;-50,"NM",(DW70/DO70-1)*100)))</f>
        <v>-13.167259786476881</v>
      </c>
      <c r="DY70" s="147">
        <f>+DY68+DY64</f>
        <v>36</v>
      </c>
      <c r="DZ70" s="81">
        <f>IF(ISERROR((DY70/DQ70-1)*100),"NA",IF(((DY70/DQ70-1)*100)&gt;100,"NM",IF(((DY70/DQ70-1)*100)&lt;-50,"NM",(DY70/DQ70-1)*100)))</f>
        <v>-27.27272727272727</v>
      </c>
      <c r="EA70" s="147">
        <f>+EA68+EA64</f>
        <v>169.5</v>
      </c>
      <c r="EB70" s="81">
        <f>IF(ISERROR((EA70/DS70-1)*100),"NA",IF(((EA70/DS70-1)*100)&gt;100,"NM",IF(((EA70/DS70-1)*100)&lt;-50,"NM",(EA70/DS70-1)*100)))</f>
        <v>3.1649421789409438</v>
      </c>
      <c r="EC70" s="147">
        <f>+EC68+EC64</f>
        <v>52.9</v>
      </c>
      <c r="ED70" s="81">
        <f t="shared" ref="ED70" si="308">IF(ISERROR((EC70/DU70-1)*100),"NA",IF(((EC70/DU70-1)*100)&gt;100,"NM",IF(((EC70/DU70-1)*100)&lt;-50,"NM",(EC70/DU70-1)*100)))</f>
        <v>-1.4897579143389295</v>
      </c>
      <c r="EE70" s="147">
        <f>+EE68+EE64</f>
        <v>74.900000000000006</v>
      </c>
      <c r="EF70" s="81">
        <f t="shared" ref="EF70" si="309">IF(ISERROR((EE70/DW70-1)*100),"NA",IF(((EE70/DW70-1)*100)&gt;100,"NM",IF(((EE70/DW70-1)*100)&lt;-50,"NM",(EE70/DW70-1)*100)))</f>
        <v>2.3224043715847298</v>
      </c>
      <c r="EG70" s="147">
        <f>+EG68+EG64</f>
        <v>51.8</v>
      </c>
      <c r="EH70" s="81">
        <f t="shared" ref="EH70" si="310">IF(ISERROR((EG70/DY70-1)*100),"NA",IF(((EG70/DY70-1)*100)&gt;100,"NM",IF(((EG70/DY70-1)*100)&lt;-50,"NM",(EG70/DY70-1)*100)))</f>
        <v>43.888888888888886</v>
      </c>
      <c r="EI70" s="147">
        <f>+EI68+EI64</f>
        <v>223.7</v>
      </c>
      <c r="EJ70" s="81">
        <f t="shared" ref="EJ70" si="311">IF(ISERROR((EI70/EA70-1)*100),"NA",IF(((EI70/EA70-1)*100)&gt;100,"NM",IF(((EI70/EA70-1)*100)&lt;-50,"NM",(EI70/EA70-1)*100)))</f>
        <v>31.976401179941007</v>
      </c>
      <c r="EK70" s="147"/>
      <c r="EL70" s="81" t="str">
        <f t="shared" ref="EL70" si="312">IF(ISERROR((EK70/EC70-1)*100),"NA",IF(((EK70/EC70-1)*100)&gt;100,"NM",IF(((EK70/EC70-1)*100)&lt;-50,"NM",(EK70/EC70-1)*100)))</f>
        <v>NM</v>
      </c>
      <c r="EM70" s="147"/>
      <c r="EN70" s="81" t="str">
        <f t="shared" ref="EN70" si="313">IF(ISERROR((EM70/EE70-1)*100),"NA",IF(((EM70/EE70-1)*100)&gt;100,"NM",IF(((EM70/EE70-1)*100)&lt;-50,"NM",(EM70/EE70-1)*100)))</f>
        <v>NM</v>
      </c>
      <c r="EO70" s="147"/>
      <c r="EP70" s="81" t="str">
        <f t="shared" ref="EP70" si="314">IF(ISERROR((EO70/EG70-1)*100),"NA",IF(((EO70/EG70-1)*100)&gt;100,"NM",IF(((EO70/EG70-1)*100)&lt;-50,"NM",(EO70/EG70-1)*100)))</f>
        <v>NM</v>
      </c>
      <c r="EQ70" s="147"/>
      <c r="ER70" s="81" t="str">
        <f t="shared" ref="ER70" si="315">IF(ISERROR((EQ70/EI70-1)*100),"NA",IF(((EQ70/EI70-1)*100)&gt;100,"NM",IF(((EQ70/EI70-1)*100)&lt;-50,"NM",(EQ70/EI70-1)*100)))</f>
        <v>NM</v>
      </c>
      <c r="ES70" s="179"/>
      <c r="ET70" s="474"/>
      <c r="EU70" s="179"/>
      <c r="EV70" s="179"/>
      <c r="EW70" s="195"/>
      <c r="EX70" s="179"/>
      <c r="EY70" s="195"/>
      <c r="EZ70" s="196"/>
      <c r="FA70" s="195"/>
      <c r="FB70" s="197"/>
      <c r="FC70" s="195"/>
      <c r="FD70" s="178">
        <f>FD68+FD64</f>
        <v>479.5</v>
      </c>
      <c r="FE70" s="195" t="str">
        <f>IF(ISERROR((FD70/FB70-1)*100),"NA",IF(((FD70/FB70-1)*100)&gt;100,"NM",IF(((FD70/FB70-1)*100)&lt;-50,"NM",(FD70/FB70-1)*100)))</f>
        <v>NA</v>
      </c>
      <c r="FF70" s="178">
        <f>FF68+FF64</f>
        <v>447.20000000000005</v>
      </c>
      <c r="FG70" s="195">
        <f>IF(ISERROR((FF70/FD70-1)*100),"NA",IF(((FF70/FD70-1)*100)&gt;100,"NM",IF(((FF70/FD70-1)*100)&lt;-50,"NM",(FF70/FD70-1)*100)))</f>
        <v>-6.7361835245046802</v>
      </c>
      <c r="FH70" s="178">
        <f>FH68+FH64</f>
        <v>268.3</v>
      </c>
      <c r="FI70" s="195">
        <f>IF(ISERROR((FH70/FF70-1)*100),"NA",IF(((FH70/FF70-1)*100)&gt;100,"NM",IF(((FH70/FF70-1)*100)&lt;-50,"NM",(FH70/FF70-1)*100)))</f>
        <v>-40.004472271914139</v>
      </c>
      <c r="FJ70" s="198"/>
      <c r="FK70" s="195" t="str">
        <f>IF(ISERROR((FJ70/FH70-1)*100),"NA",IF(((FJ70/FH70-1)*100)&gt;100,"NM",IF(((FJ70/FH70-1)*100)&lt;-50,"NM",(FJ70/FH70-1)*100)))</f>
        <v>NM</v>
      </c>
      <c r="FL70" s="95"/>
      <c r="FM70" s="195" t="str">
        <f>IF(ISERROR((FL70/FJ70-1)*100),"NA",IF(((FL70/FJ70-1)*100)&gt;100,"NM",IF(((FL70/FJ70-1)*100)&lt;-50,"NM",(FL70/FJ70-1)*100)))</f>
        <v>NA</v>
      </c>
      <c r="FN70" s="95"/>
      <c r="FO70" s="195" t="str">
        <f>IF(ISERROR((FN70/FL70-1)*100),"NA",IF(((FN70/FL70-1)*100)&gt;100,"NM",IF(((FN70/FL70-1)*100)&lt;-50,"NM",(FN70/FL70-1)*100)))</f>
        <v>NA</v>
      </c>
      <c r="FP70" s="199">
        <f>+FP68+FP64</f>
        <v>270.3</v>
      </c>
      <c r="FQ70" s="195" t="str">
        <f>IF(ISERROR((FP70/FN70-1)*100),"NA",IF(((FP70/FN70-1)*100)&gt;100,"NM",IF(((FP70/FN70-1)*100)&lt;-50,"NM",(FP70/FN70-1)*100)))</f>
        <v>NA</v>
      </c>
      <c r="FR70" s="199">
        <f>+FR68+FR64</f>
        <v>273.70000000000005</v>
      </c>
      <c r="FS70" s="195">
        <f>IF(ISERROR((FR70/FP70-1)*100),"NA",IF(((FR70/FP70-1)*100)&gt;100,"NM",IF(((FR70/FP70-1)*100)&lt;-50,"NM",(FR70/FP70-1)*100)))</f>
        <v>1.2578616352201477</v>
      </c>
      <c r="FT70" s="199">
        <f>+FT68+FT64</f>
        <v>234.90000000000003</v>
      </c>
      <c r="FU70" s="195">
        <f>IF(ISERROR((FT70/FR70-1)*100),"NA",IF(((FT70/FR70-1)*100)&gt;100,"NM",IF(((FT70/FR70-1)*100)&lt;-50,"NM",(FT70/FR70-1)*100)))</f>
        <v>-14.176105224698576</v>
      </c>
      <c r="FV70" s="199">
        <f>+FV68+FV64</f>
        <v>255.9</v>
      </c>
      <c r="FW70" s="195">
        <f>IF(ISERROR((FV70/FT70-1)*100),"NA",IF(((FV70/FT70-1)*100)&gt;100,"NM",IF(((FV70/FT70-1)*100)&lt;-50,"NM",(FV70/FT70-1)*100)))</f>
        <v>8.9399744572158149</v>
      </c>
      <c r="FX70" s="199">
        <f>+FX68+FX64</f>
        <v>280.2</v>
      </c>
      <c r="FY70" s="195">
        <f>IF(ISERROR((FX70/FV70-1)*100),"NA",IF(((FX70/FV70-1)*100)&gt;100,"NM",IF(((FX70/FV70-1)*100)&lt;-50,"NM",(FX70/FV70-1)*100)))</f>
        <v>9.4958968347010462</v>
      </c>
      <c r="FZ70" s="199">
        <f>+FZ68+FZ64</f>
        <v>275.20000000000005</v>
      </c>
      <c r="GA70" s="195">
        <f>IF(ISERROR((FZ70/FX70-1)*100),"NA",IF(((FZ70/FX70-1)*100)&gt;100,"NM",IF(((FZ70/FX70-1)*100)&lt;-50,"NM",(FZ70/FX70-1)*100)))</f>
        <v>-1.7844396859385991</v>
      </c>
      <c r="GB70" s="199">
        <f>DE70+DG70+DI70+DK70</f>
        <v>342.4</v>
      </c>
      <c r="GC70" s="195">
        <f>IF(ISERROR((GB70/FZ70-1)*100),"NA",IF(((GB70/FZ70-1)*100)&gt;100,"NM",IF(((GB70/FZ70-1)*100)&lt;-50,"NM",(GB70/FZ70-1)*100)))</f>
        <v>24.418604651162767</v>
      </c>
      <c r="GD70" s="9"/>
      <c r="GE70" s="195" t="str">
        <f>IF(ISERROR((GD70/GB70-1)*100),"NA",IF(((GD70/GB70-1)*100)&gt;100,"NM",IF(((GD70/GB70-1)*100)&lt;-50,"NM",(GD70/GB70-1)*100)))</f>
        <v>NM</v>
      </c>
      <c r="GF70" s="9"/>
      <c r="GG70" s="195" t="str">
        <f>IF(ISERROR((GF70/GD70-1)*100),"NA",IF(((GF70/GD70-1)*100)&gt;100,"NM",IF(((GF70/GD70-1)*100)&lt;-50,"NM",(GF70/GD70-1)*100)))</f>
        <v>NA</v>
      </c>
      <c r="GH70" s="9"/>
      <c r="GI70" s="195" t="str">
        <f>IF(ISERROR((GH70/GF70-1)*100),"NA",IF(((GH70/GF70-1)*100)&gt;100,"NM",IF(((GH70/GF70-1)*100)&lt;-50,"NM",(GH70/GF70-1)*100)))</f>
        <v>NA</v>
      </c>
      <c r="GJ70" s="9"/>
      <c r="GK70" s="195" t="str">
        <f>IF(ISERROR((GJ70/GH70-1)*100),"NA",IF(((GJ70/GH70-1)*100)&gt;100,"NM",IF(((GJ70/GH70-1)*100)&lt;-50,"NM",(GJ70/GH70-1)*100)))</f>
        <v>NA</v>
      </c>
      <c r="GL70" s="147"/>
      <c r="GM70" s="195" t="str">
        <f>IF(ISERROR((GL70/GJ70-1)*100),"NA",IF(((GL70/GJ70-1)*100)&gt;100,"NM",IF(((GL70/GJ70-1)*100)&lt;-50,"NM",(GL70/GJ70-1)*100)))</f>
        <v>NA</v>
      </c>
      <c r="GN70" s="147"/>
      <c r="GO70" s="195" t="str">
        <f>IF(ISERROR((GN70/GL70-1)*100),"NA",IF(((GN70/GL70-1)*100)&gt;100,"NM",IF(((GN70/GL70-1)*100)&lt;-50,"NM",(GN70/GL70-1)*100)))</f>
        <v>NA</v>
      </c>
      <c r="GP70" s="147"/>
      <c r="GQ70" s="195" t="str">
        <f>IF(ISERROR((GP70/GN70-1)*100),"NA",IF(((GP70/GN70-1)*100)&gt;100,"NM",IF(((GP70/GN70-1)*100)&lt;-50,"NM",(GP70/GN70-1)*100)))</f>
        <v>NA</v>
      </c>
      <c r="GR70" s="147"/>
      <c r="GS70" s="195" t="str">
        <f>IF(ISERROR((GR70/GP70-1)*100),"NA",IF(((GR70/GP70-1)*100)&gt;100,"NM",IF(((GR70/GP70-1)*100)&lt;-50,"NM",(GR70/GP70-1)*100)))</f>
        <v>NA</v>
      </c>
      <c r="GT70" s="79"/>
      <c r="GU70" s="562"/>
      <c r="GV70" s="562"/>
      <c r="GW70"/>
      <c r="GX70"/>
      <c r="GY70"/>
      <c r="GZ70"/>
      <c r="HA70"/>
      <c r="HB70"/>
      <c r="HC70" s="562"/>
      <c r="HD70" s="562"/>
      <c r="HE70" s="562"/>
      <c r="HF70" s="562"/>
      <c r="HG70" s="562"/>
      <c r="HH70" s="562"/>
      <c r="HI70" s="562"/>
      <c r="HJ70" s="562"/>
      <c r="HK70" s="562"/>
      <c r="HL70" s="562"/>
      <c r="HM70" s="562"/>
      <c r="HN70" s="562"/>
      <c r="HO70" s="562"/>
      <c r="HP70" s="562"/>
      <c r="HQ70" s="562"/>
      <c r="HR70" s="562"/>
      <c r="HS70" s="562"/>
      <c r="HT70" s="562"/>
      <c r="HU70" s="562"/>
      <c r="HV70" s="562"/>
      <c r="HW70" s="562"/>
      <c r="HX70" s="562"/>
      <c r="HY70" s="562"/>
      <c r="HZ70" s="562"/>
      <c r="IA70" s="562"/>
      <c r="IB70" s="562"/>
      <c r="IC70" s="562"/>
      <c r="ID70" s="562"/>
      <c r="IE70" s="562"/>
      <c r="IF70" s="562"/>
      <c r="IG70" s="562"/>
      <c r="IH70" s="562"/>
      <c r="II70" s="562"/>
      <c r="IJ70" s="562"/>
      <c r="IK70" s="562"/>
      <c r="IL70" s="562"/>
      <c r="IM70" s="562"/>
      <c r="IN70" s="562"/>
      <c r="IO70" s="562"/>
      <c r="IP70" s="562"/>
      <c r="IQ70" s="562"/>
      <c r="IR70" s="562"/>
      <c r="IS70" s="562"/>
      <c r="IT70" s="562"/>
      <c r="IU70" s="562"/>
      <c r="IV70" s="562"/>
      <c r="IW70" s="562"/>
      <c r="IX70" s="562"/>
      <c r="IY70" s="562"/>
      <c r="IZ70" s="562"/>
      <c r="JA70" s="562"/>
      <c r="JB70" s="562"/>
      <c r="JC70" s="562"/>
      <c r="JD70" s="562"/>
      <c r="JE70" s="562"/>
      <c r="JF70" s="562"/>
      <c r="JG70" s="562"/>
      <c r="JH70" s="562"/>
      <c r="JI70" s="562"/>
      <c r="JJ70" s="562"/>
      <c r="JK70" s="562"/>
      <c r="JL70" s="562"/>
      <c r="JM70" s="562"/>
      <c r="JN70" s="562"/>
      <c r="JO70" s="562"/>
      <c r="JP70" s="562"/>
      <c r="JQ70" s="562"/>
      <c r="JR70" s="562"/>
      <c r="JS70" s="562"/>
      <c r="JT70" s="562"/>
      <c r="JU70" s="562"/>
      <c r="JV70" s="562"/>
      <c r="JW70" s="562"/>
      <c r="JX70" s="562"/>
      <c r="JY70" s="562"/>
      <c r="JZ70" s="562"/>
    </row>
    <row r="71" spans="1:286" s="132" customFormat="1" ht="12.75" customHeight="1" x14ac:dyDescent="0.2">
      <c r="A71" s="133"/>
      <c r="B71" s="68"/>
      <c r="C71" s="79"/>
      <c r="D71" s="79"/>
      <c r="E71" s="179"/>
      <c r="F71" s="179"/>
      <c r="G71" s="179"/>
      <c r="H71" s="179"/>
      <c r="I71" s="179"/>
      <c r="J71" s="179"/>
      <c r="K71" s="179"/>
      <c r="L71" s="179"/>
      <c r="M71" s="179"/>
      <c r="N71" s="420"/>
      <c r="O71" s="179"/>
      <c r="P71" s="420"/>
      <c r="Q71" s="179"/>
      <c r="R71" s="420"/>
      <c r="S71" s="179"/>
      <c r="T71" s="420"/>
      <c r="U71" s="179"/>
      <c r="V71" s="420"/>
      <c r="W71" s="179"/>
      <c r="X71" s="420"/>
      <c r="Y71" s="179"/>
      <c r="Z71" s="420"/>
      <c r="AA71" s="180"/>
      <c r="AB71" s="420"/>
      <c r="AC71" s="179"/>
      <c r="AD71" s="420"/>
      <c r="AE71" s="179"/>
      <c r="AF71" s="420"/>
      <c r="AG71" s="179"/>
      <c r="AH71" s="420"/>
      <c r="AI71" s="179"/>
      <c r="AJ71" s="420"/>
      <c r="AK71" s="179"/>
      <c r="AL71" s="420"/>
      <c r="AM71" s="179"/>
      <c r="AN71" s="420"/>
      <c r="AO71" s="179"/>
      <c r="AP71" s="420"/>
      <c r="AQ71" s="179"/>
      <c r="AR71" s="420"/>
      <c r="AS71" s="179"/>
      <c r="AT71" s="238"/>
      <c r="AU71" s="179"/>
      <c r="AV71" s="238"/>
      <c r="AW71" s="179"/>
      <c r="AX71" s="238"/>
      <c r="AY71" s="179"/>
      <c r="AZ71" s="238"/>
      <c r="BA71" s="179"/>
      <c r="BB71" s="238"/>
      <c r="BC71" s="179"/>
      <c r="BD71" s="238"/>
      <c r="BE71" s="179"/>
      <c r="BF71" s="238"/>
      <c r="BG71" s="179"/>
      <c r="BH71" s="238"/>
      <c r="BI71" s="179"/>
      <c r="BJ71" s="238"/>
      <c r="BK71" s="179"/>
      <c r="BL71" s="238"/>
      <c r="BM71" s="179"/>
      <c r="BN71" s="238"/>
      <c r="BO71" s="179"/>
      <c r="BP71" s="238"/>
      <c r="BQ71" s="179"/>
      <c r="BR71" s="238"/>
      <c r="BS71" s="179"/>
      <c r="BT71" s="238"/>
      <c r="BU71" s="179"/>
      <c r="BV71" s="238"/>
      <c r="BW71" s="179"/>
      <c r="BX71" s="238"/>
      <c r="BY71" s="179"/>
      <c r="BZ71" s="238"/>
      <c r="CA71" s="179"/>
      <c r="CB71" s="238"/>
      <c r="CC71" s="179"/>
      <c r="CD71" s="238"/>
      <c r="CE71" s="179"/>
      <c r="CF71" s="238"/>
      <c r="CG71" s="179"/>
      <c r="CH71" s="238"/>
      <c r="CI71" s="179"/>
      <c r="CJ71" s="238"/>
      <c r="CK71" s="179"/>
      <c r="CL71" s="238"/>
      <c r="CM71" s="179"/>
      <c r="CN71" s="238"/>
      <c r="CO71" s="179"/>
      <c r="CP71" s="238"/>
      <c r="CQ71" s="179"/>
      <c r="CR71" s="238"/>
      <c r="CS71" s="179"/>
      <c r="CT71" s="238"/>
      <c r="CU71" s="179"/>
      <c r="CV71" s="238"/>
      <c r="CW71" s="179"/>
      <c r="CX71" s="238"/>
      <c r="CY71" s="179"/>
      <c r="CZ71" s="238"/>
      <c r="DA71" s="179"/>
      <c r="DB71" s="238"/>
      <c r="DC71" s="179"/>
      <c r="DD71" s="238"/>
      <c r="DE71" s="179"/>
      <c r="DF71" s="238"/>
      <c r="DG71" s="179"/>
      <c r="DH71" s="238"/>
      <c r="DI71" s="179"/>
      <c r="DJ71" s="238"/>
      <c r="DK71" s="179"/>
      <c r="DL71" s="238"/>
      <c r="DM71" s="179"/>
      <c r="DN71" s="238"/>
      <c r="DO71" s="179"/>
      <c r="DP71" s="238"/>
      <c r="DQ71" s="179"/>
      <c r="DR71" s="238"/>
      <c r="DS71" s="179"/>
      <c r="DT71" s="238"/>
      <c r="DU71" s="179"/>
      <c r="DV71" s="238"/>
      <c r="DW71" s="179"/>
      <c r="DX71" s="238"/>
      <c r="DY71" s="179"/>
      <c r="DZ71" s="238"/>
      <c r="EA71" s="179"/>
      <c r="EB71" s="238"/>
      <c r="EC71" s="179"/>
      <c r="ED71" s="238"/>
      <c r="EE71" s="179"/>
      <c r="EF71" s="238"/>
      <c r="EG71" s="179"/>
      <c r="EH71" s="238"/>
      <c r="EI71" s="179"/>
      <c r="EJ71" s="238"/>
      <c r="EK71" s="179"/>
      <c r="EL71" s="238"/>
      <c r="EM71" s="179"/>
      <c r="EN71" s="238"/>
      <c r="EO71" s="179"/>
      <c r="EP71" s="238"/>
      <c r="EQ71" s="179"/>
      <c r="ER71" s="238"/>
      <c r="ES71" s="129"/>
      <c r="ET71" s="469"/>
      <c r="EU71" s="129"/>
      <c r="EV71" s="95"/>
      <c r="EW71" s="79"/>
      <c r="EX71" s="95"/>
      <c r="EY71" s="79"/>
      <c r="EZ71" s="131"/>
      <c r="FA71" s="79"/>
      <c r="FB71" s="145"/>
      <c r="FC71" s="420"/>
      <c r="FD71" s="145"/>
      <c r="FE71" s="420"/>
      <c r="FF71" s="145"/>
      <c r="FG71" s="420"/>
      <c r="FH71" s="145"/>
      <c r="FI71" s="420"/>
      <c r="FJ71" s="145"/>
      <c r="FK71" s="420"/>
      <c r="FL71" s="95"/>
      <c r="FM71" s="420"/>
      <c r="FN71" s="95"/>
      <c r="FO71" s="420"/>
      <c r="FP71" s="95"/>
      <c r="FQ71" s="420"/>
      <c r="FR71" s="179"/>
      <c r="FS71" s="420"/>
      <c r="FT71" s="179"/>
      <c r="FU71" s="420"/>
      <c r="FV71" s="179"/>
      <c r="FW71" s="420"/>
      <c r="FX71" s="179"/>
      <c r="FY71" s="420"/>
      <c r="FZ71" s="179"/>
      <c r="GA71" s="420"/>
      <c r="GB71" s="179"/>
      <c r="GC71" s="420"/>
      <c r="GD71" s="179"/>
      <c r="GE71" s="420"/>
      <c r="GF71" s="179"/>
      <c r="GG71" s="420"/>
      <c r="GH71" s="179"/>
      <c r="GI71" s="420"/>
      <c r="GJ71" s="179"/>
      <c r="GK71" s="420"/>
      <c r="GL71" s="179"/>
      <c r="GM71" s="420"/>
      <c r="GN71" s="179"/>
      <c r="GO71" s="420"/>
      <c r="GP71" s="179"/>
      <c r="GQ71" s="420"/>
      <c r="GR71" s="179"/>
      <c r="GS71" s="420"/>
      <c r="GT71" s="420"/>
      <c r="GU71" s="562"/>
      <c r="GV71" s="562"/>
      <c r="GW71"/>
      <c r="GX71"/>
      <c r="GY71"/>
      <c r="GZ71"/>
      <c r="HA71"/>
      <c r="HB71"/>
      <c r="HC71" s="562"/>
      <c r="HD71" s="562"/>
      <c r="HE71" s="562"/>
      <c r="HF71" s="562"/>
      <c r="HG71" s="562"/>
      <c r="HH71" s="562"/>
      <c r="HI71" s="562"/>
      <c r="HJ71" s="562"/>
      <c r="HK71" s="562"/>
      <c r="HL71" s="562"/>
      <c r="HM71" s="562"/>
      <c r="HN71" s="562"/>
      <c r="HO71" s="562"/>
      <c r="HP71" s="562"/>
      <c r="HQ71" s="562"/>
      <c r="HR71" s="562"/>
      <c r="HS71" s="562"/>
      <c r="HT71" s="562"/>
      <c r="HU71" s="562"/>
      <c r="HV71" s="562"/>
      <c r="HW71" s="562"/>
      <c r="HX71" s="562"/>
      <c r="HY71" s="562"/>
      <c r="HZ71" s="562"/>
      <c r="IA71" s="562"/>
      <c r="IB71" s="562"/>
      <c r="IC71" s="562"/>
      <c r="ID71" s="562"/>
      <c r="IE71" s="562"/>
      <c r="IF71" s="562"/>
      <c r="IG71" s="562"/>
      <c r="IH71" s="562"/>
      <c r="II71" s="562"/>
      <c r="IJ71" s="562"/>
      <c r="IK71" s="562"/>
      <c r="IL71" s="562"/>
      <c r="IM71" s="562"/>
      <c r="IN71" s="562"/>
      <c r="IO71" s="562"/>
      <c r="IP71" s="562"/>
      <c r="IQ71" s="562"/>
      <c r="IR71" s="562"/>
      <c r="IS71" s="562"/>
      <c r="IT71" s="562"/>
      <c r="IU71" s="562"/>
      <c r="IV71" s="562"/>
      <c r="IW71" s="562"/>
      <c r="IX71" s="562"/>
      <c r="IY71" s="562"/>
      <c r="IZ71" s="562"/>
      <c r="JA71" s="562"/>
      <c r="JB71" s="562"/>
      <c r="JC71" s="562"/>
      <c r="JD71" s="562"/>
      <c r="JE71" s="562"/>
      <c r="JF71" s="562"/>
      <c r="JG71" s="562"/>
      <c r="JH71" s="562"/>
      <c r="JI71" s="562"/>
      <c r="JJ71" s="562"/>
      <c r="JK71" s="562"/>
      <c r="JL71" s="562"/>
      <c r="JM71" s="562"/>
      <c r="JN71" s="562"/>
      <c r="JO71" s="562"/>
      <c r="JP71" s="562"/>
      <c r="JQ71" s="562"/>
      <c r="JR71" s="562"/>
      <c r="JS71" s="562"/>
      <c r="JT71" s="562"/>
      <c r="JU71" s="562"/>
      <c r="JV71" s="562"/>
      <c r="JW71" s="562"/>
      <c r="JX71" s="562"/>
      <c r="JY71" s="562"/>
      <c r="JZ71" s="562"/>
    </row>
    <row r="72" spans="1:286" s="589" customFormat="1" ht="12.75" customHeight="1" collapsed="1" x14ac:dyDescent="0.2">
      <c r="A72" s="581"/>
      <c r="B72" s="582" t="s">
        <v>455</v>
      </c>
      <c r="C72" s="583"/>
      <c r="D72" s="583"/>
      <c r="E72" s="584"/>
      <c r="F72" s="584"/>
      <c r="G72" s="584"/>
      <c r="H72" s="584"/>
      <c r="I72" s="584"/>
      <c r="J72" s="584"/>
      <c r="K72" s="584"/>
      <c r="L72" s="584"/>
      <c r="M72" s="584"/>
      <c r="N72" s="585"/>
      <c r="O72" s="584"/>
      <c r="P72" s="583"/>
      <c r="Q72" s="584"/>
      <c r="R72" s="583"/>
      <c r="S72" s="584"/>
      <c r="T72" s="583"/>
      <c r="U72" s="584"/>
      <c r="V72" s="583"/>
      <c r="W72" s="584"/>
      <c r="X72" s="583"/>
      <c r="Y72" s="584"/>
      <c r="Z72" s="583"/>
      <c r="AA72" s="586"/>
      <c r="AB72" s="583"/>
      <c r="AC72" s="584"/>
      <c r="AD72" s="583"/>
      <c r="AE72" s="586"/>
      <c r="AF72" s="583"/>
      <c r="AG72" s="586"/>
      <c r="AH72" s="583"/>
      <c r="AI72" s="586"/>
      <c r="AJ72" s="583"/>
      <c r="AK72" s="586"/>
      <c r="AL72" s="583"/>
      <c r="AM72" s="586"/>
      <c r="AN72" s="583"/>
      <c r="AO72" s="586"/>
      <c r="AP72" s="583"/>
      <c r="AQ72" s="586"/>
      <c r="AR72" s="583"/>
      <c r="AS72" s="586"/>
      <c r="AT72" s="587"/>
      <c r="AU72" s="586"/>
      <c r="AV72" s="587"/>
      <c r="AW72" s="586"/>
      <c r="AX72" s="587"/>
      <c r="AY72" s="586"/>
      <c r="AZ72" s="587"/>
      <c r="BA72" s="586"/>
      <c r="BB72" s="587"/>
      <c r="BC72" s="586"/>
      <c r="BD72" s="587"/>
      <c r="BE72" s="586"/>
      <c r="BF72" s="587"/>
      <c r="BG72" s="586"/>
      <c r="BH72" s="587"/>
      <c r="BI72" s="586"/>
      <c r="BJ72" s="587"/>
      <c r="BK72" s="586"/>
      <c r="BL72" s="587"/>
      <c r="BM72" s="586"/>
      <c r="BN72" s="587"/>
      <c r="BO72" s="586"/>
      <c r="BP72" s="587"/>
      <c r="BQ72" s="586"/>
      <c r="BR72" s="587"/>
      <c r="BS72" s="586"/>
      <c r="BT72" s="587"/>
      <c r="BU72" s="586"/>
      <c r="BV72" s="587"/>
      <c r="BW72" s="586"/>
      <c r="BX72" s="587"/>
      <c r="BY72" s="586"/>
      <c r="BZ72" s="587"/>
      <c r="CA72" s="586"/>
      <c r="CB72" s="587"/>
      <c r="CC72" s="586"/>
      <c r="CD72" s="587"/>
      <c r="CE72" s="586"/>
      <c r="CF72" s="587"/>
      <c r="CG72" s="586"/>
      <c r="CH72" s="587"/>
      <c r="CI72" s="586"/>
      <c r="CJ72" s="587"/>
      <c r="CK72" s="586"/>
      <c r="CL72" s="587"/>
      <c r="CM72" s="586"/>
      <c r="CN72" s="587"/>
      <c r="CO72" s="586"/>
      <c r="CP72" s="587"/>
      <c r="CQ72" s="586"/>
      <c r="CR72" s="587"/>
      <c r="CS72" s="586"/>
      <c r="CT72" s="587"/>
      <c r="CU72" s="586"/>
      <c r="CV72" s="587"/>
      <c r="CW72" s="586"/>
      <c r="CX72" s="587"/>
      <c r="CY72" s="586"/>
      <c r="CZ72" s="587"/>
      <c r="DA72" s="586"/>
      <c r="DB72" s="587"/>
      <c r="DC72" s="586"/>
      <c r="DD72" s="587"/>
      <c r="DE72" s="586"/>
      <c r="DF72" s="587"/>
      <c r="DG72" s="586"/>
      <c r="DH72" s="587"/>
      <c r="DI72" s="586"/>
      <c r="DJ72" s="587"/>
      <c r="DK72" s="586"/>
      <c r="DL72" s="587"/>
      <c r="DM72" s="586"/>
      <c r="DN72" s="587"/>
      <c r="DO72" s="586"/>
      <c r="DP72" s="587"/>
      <c r="DQ72" s="586"/>
      <c r="DR72" s="587"/>
      <c r="DS72" s="586"/>
      <c r="DT72" s="587"/>
      <c r="DU72" s="586"/>
      <c r="DV72" s="587"/>
      <c r="DW72" s="586"/>
      <c r="DX72" s="587"/>
      <c r="DY72" s="586"/>
      <c r="DZ72" s="587"/>
      <c r="EA72" s="586"/>
      <c r="EB72" s="587"/>
      <c r="EC72" s="586"/>
      <c r="ED72" s="587"/>
      <c r="EE72" s="586"/>
      <c r="EF72" s="587"/>
      <c r="EG72" s="586"/>
      <c r="EH72" s="587"/>
      <c r="EI72" s="586"/>
      <c r="EJ72" s="587"/>
      <c r="EK72" s="586"/>
      <c r="EL72" s="587"/>
      <c r="EM72" s="586"/>
      <c r="EN72" s="587"/>
      <c r="EO72" s="586"/>
      <c r="EP72" s="587"/>
      <c r="EQ72" s="586"/>
      <c r="ER72" s="587"/>
      <c r="ES72" s="584"/>
      <c r="ET72" s="588"/>
      <c r="EU72" s="584"/>
      <c r="EV72" s="584"/>
      <c r="EW72" s="583"/>
      <c r="EX72" s="584"/>
      <c r="EY72" s="583"/>
      <c r="EZ72" s="584"/>
      <c r="FA72" s="583"/>
      <c r="FB72" s="584"/>
      <c r="FC72" s="583"/>
      <c r="FD72" s="584"/>
      <c r="FE72" s="583"/>
      <c r="FF72" s="584"/>
      <c r="FG72" s="583"/>
      <c r="FH72" s="584"/>
      <c r="FI72" s="583"/>
      <c r="FJ72" s="584"/>
      <c r="FK72" s="583"/>
      <c r="FL72" s="584"/>
      <c r="FM72" s="583"/>
      <c r="FN72" s="584"/>
      <c r="FO72" s="583"/>
      <c r="FP72" s="584"/>
      <c r="FQ72" s="583"/>
      <c r="FR72" s="584"/>
      <c r="FS72" s="583"/>
      <c r="FT72" s="584"/>
      <c r="FU72" s="583"/>
      <c r="FV72" s="584"/>
      <c r="FW72" s="583"/>
      <c r="FX72" s="584"/>
      <c r="FY72" s="583"/>
      <c r="FZ72" s="584"/>
      <c r="GA72" s="583"/>
      <c r="GB72" s="584"/>
      <c r="GC72" s="583"/>
      <c r="GD72" s="584"/>
      <c r="GE72" s="583"/>
      <c r="GF72" s="584"/>
      <c r="GG72" s="583"/>
      <c r="GH72" s="584"/>
      <c r="GI72" s="583"/>
      <c r="GJ72" s="584"/>
      <c r="GK72" s="583"/>
      <c r="GL72" s="584"/>
      <c r="GM72" s="583"/>
      <c r="GN72" s="584"/>
      <c r="GO72" s="583"/>
      <c r="GP72" s="584"/>
      <c r="GQ72" s="583"/>
      <c r="GR72" s="584"/>
      <c r="GS72" s="583"/>
      <c r="GT72" s="583"/>
      <c r="GU72" s="562"/>
      <c r="GV72" s="562"/>
      <c r="GW72"/>
      <c r="GX72"/>
      <c r="GY72"/>
      <c r="GZ72"/>
      <c r="HA72"/>
      <c r="HB72"/>
      <c r="HC72" s="562"/>
      <c r="HD72" s="562"/>
      <c r="HE72" s="562"/>
      <c r="HF72" s="562"/>
      <c r="HG72" s="562"/>
      <c r="HH72" s="562"/>
      <c r="HI72" s="562"/>
      <c r="HJ72" s="562"/>
      <c r="HK72" s="562"/>
      <c r="HL72" s="562"/>
      <c r="HM72" s="562"/>
      <c r="HN72" s="562"/>
      <c r="HO72" s="562"/>
      <c r="HP72" s="562"/>
      <c r="HQ72" s="562"/>
      <c r="HR72" s="562"/>
      <c r="HS72" s="562"/>
      <c r="HT72" s="562"/>
      <c r="HU72" s="562"/>
      <c r="HV72" s="562"/>
      <c r="HW72" s="562"/>
      <c r="HX72" s="562"/>
      <c r="HY72" s="562"/>
      <c r="HZ72" s="562"/>
      <c r="IA72" s="562"/>
      <c r="IB72" s="562"/>
      <c r="IC72" s="562"/>
      <c r="ID72" s="562"/>
      <c r="IE72" s="562"/>
      <c r="IF72" s="562"/>
      <c r="IG72" s="562"/>
      <c r="IH72" s="562"/>
      <c r="II72" s="562"/>
      <c r="IJ72" s="562"/>
      <c r="IK72" s="562"/>
      <c r="IL72" s="562"/>
      <c r="IM72" s="562"/>
      <c r="IN72" s="562"/>
      <c r="IO72" s="562"/>
      <c r="IP72" s="562"/>
      <c r="IQ72" s="562"/>
      <c r="IR72" s="562"/>
      <c r="IS72" s="562"/>
      <c r="IT72" s="562"/>
      <c r="IU72" s="562"/>
      <c r="IV72" s="562"/>
      <c r="IW72" s="562"/>
      <c r="IX72" s="562"/>
      <c r="IY72" s="562"/>
      <c r="IZ72" s="562"/>
      <c r="JA72" s="562"/>
      <c r="JB72" s="562"/>
      <c r="JC72" s="562"/>
      <c r="JD72" s="562"/>
      <c r="JE72" s="562"/>
      <c r="JF72" s="562"/>
      <c r="JG72" s="562"/>
      <c r="JH72" s="562"/>
      <c r="JI72" s="562"/>
      <c r="JJ72" s="562"/>
      <c r="JK72" s="562"/>
      <c r="JL72" s="562"/>
      <c r="JM72" s="562"/>
      <c r="JN72" s="562"/>
      <c r="JO72" s="562"/>
      <c r="JP72" s="562"/>
      <c r="JQ72" s="562"/>
      <c r="JR72" s="562"/>
      <c r="JS72" s="562"/>
      <c r="JT72" s="562"/>
      <c r="JU72" s="562"/>
      <c r="JV72" s="562"/>
      <c r="JW72" s="562"/>
      <c r="JX72" s="562"/>
      <c r="JY72" s="562"/>
      <c r="JZ72" s="562"/>
    </row>
    <row r="73" spans="1:286" s="76" customFormat="1" ht="12.75" customHeight="1" x14ac:dyDescent="0.2">
      <c r="A73" s="67"/>
      <c r="B73" s="68"/>
      <c r="C73" s="69"/>
      <c r="D73" s="69"/>
      <c r="E73" s="73"/>
      <c r="F73" s="73"/>
      <c r="G73" s="73"/>
      <c r="H73" s="73"/>
      <c r="I73" s="73"/>
      <c r="J73" s="73"/>
      <c r="K73" s="73"/>
      <c r="L73" s="69"/>
      <c r="M73" s="73"/>
      <c r="N73" s="69"/>
      <c r="O73" s="73"/>
      <c r="P73" s="69"/>
      <c r="Q73" s="73"/>
      <c r="R73" s="69"/>
      <c r="S73" s="73"/>
      <c r="T73" s="69"/>
      <c r="U73" s="73"/>
      <c r="V73" s="69"/>
      <c r="W73" s="73"/>
      <c r="X73" s="69"/>
      <c r="Y73" s="73"/>
      <c r="Z73" s="69"/>
      <c r="AA73" s="200"/>
      <c r="AB73" s="69"/>
      <c r="AC73" s="73"/>
      <c r="AD73" s="69"/>
      <c r="AE73" s="73"/>
      <c r="AF73" s="69"/>
      <c r="AG73" s="73"/>
      <c r="AH73" s="69"/>
      <c r="AI73" s="73"/>
      <c r="AJ73" s="69"/>
      <c r="AK73" s="73"/>
      <c r="AL73" s="69"/>
      <c r="AM73" s="73"/>
      <c r="AN73" s="69"/>
      <c r="AO73" s="73"/>
      <c r="AP73" s="69"/>
      <c r="AQ73" s="73"/>
      <c r="AR73" s="69"/>
      <c r="AS73" s="73"/>
      <c r="AT73" s="71"/>
      <c r="AU73" s="73"/>
      <c r="AV73" s="71"/>
      <c r="AW73" s="73"/>
      <c r="AX73" s="71"/>
      <c r="AY73" s="73"/>
      <c r="AZ73" s="71"/>
      <c r="BA73" s="73"/>
      <c r="BB73" s="71"/>
      <c r="BC73" s="73"/>
      <c r="BD73" s="71"/>
      <c r="BE73" s="73"/>
      <c r="BF73" s="71"/>
      <c r="BG73" s="73"/>
      <c r="BH73" s="71"/>
      <c r="BI73" s="73"/>
      <c r="BJ73" s="71"/>
      <c r="BK73" s="73"/>
      <c r="BL73" s="71"/>
      <c r="BM73" s="73"/>
      <c r="BN73" s="71"/>
      <c r="BO73" s="73"/>
      <c r="BP73" s="71"/>
      <c r="BQ73" s="73"/>
      <c r="BR73" s="71"/>
      <c r="BS73" s="73"/>
      <c r="BT73" s="71"/>
      <c r="BU73" s="73"/>
      <c r="BV73" s="71"/>
      <c r="BW73" s="73"/>
      <c r="BX73" s="71"/>
      <c r="BY73" s="73"/>
      <c r="BZ73" s="71"/>
      <c r="CA73" s="73"/>
      <c r="CB73" s="71"/>
      <c r="CC73" s="73"/>
      <c r="CD73" s="71"/>
      <c r="CE73" s="73"/>
      <c r="CF73" s="71"/>
      <c r="CG73" s="73"/>
      <c r="CH73" s="71"/>
      <c r="CI73" s="73"/>
      <c r="CJ73" s="71"/>
      <c r="CK73" s="73"/>
      <c r="CL73" s="71"/>
      <c r="CM73" s="73"/>
      <c r="CN73" s="71"/>
      <c r="CO73" s="73"/>
      <c r="CP73" s="71"/>
      <c r="CQ73" s="73"/>
      <c r="CR73" s="71"/>
      <c r="CS73" s="73"/>
      <c r="CT73" s="71"/>
      <c r="CU73" s="73"/>
      <c r="CV73" s="71"/>
      <c r="CW73" s="73"/>
      <c r="CX73" s="71"/>
      <c r="CY73" s="73"/>
      <c r="CZ73" s="71"/>
      <c r="DA73" s="73"/>
      <c r="DB73" s="71"/>
      <c r="DC73" s="73"/>
      <c r="DD73" s="71"/>
      <c r="DE73" s="73"/>
      <c r="DF73" s="71"/>
      <c r="DG73" s="73"/>
      <c r="DH73" s="71"/>
      <c r="DI73" s="73"/>
      <c r="DJ73" s="71"/>
      <c r="DK73" s="73"/>
      <c r="DL73" s="71"/>
      <c r="DM73" s="73"/>
      <c r="DN73" s="71"/>
      <c r="DO73" s="73"/>
      <c r="DP73" s="71"/>
      <c r="DQ73" s="73"/>
      <c r="DR73" s="71"/>
      <c r="DS73" s="73"/>
      <c r="DT73" s="71"/>
      <c r="DU73" s="73"/>
      <c r="DV73" s="71"/>
      <c r="DW73" s="73"/>
      <c r="DX73" s="71"/>
      <c r="DY73" s="73"/>
      <c r="DZ73" s="71"/>
      <c r="EA73" s="73"/>
      <c r="EB73" s="71"/>
      <c r="EC73" s="73"/>
      <c r="ED73" s="71"/>
      <c r="EE73" s="73"/>
      <c r="EF73" s="71"/>
      <c r="EG73" s="73"/>
      <c r="EH73" s="71"/>
      <c r="EI73" s="73"/>
      <c r="EJ73" s="71"/>
      <c r="EK73" s="73"/>
      <c r="EL73" s="71"/>
      <c r="EM73" s="73"/>
      <c r="EN73" s="71"/>
      <c r="EO73" s="73"/>
      <c r="EP73" s="71"/>
      <c r="EQ73" s="73"/>
      <c r="ER73" s="71"/>
      <c r="ES73" s="73"/>
      <c r="ET73" s="464"/>
      <c r="EU73" s="73"/>
      <c r="EV73" s="73"/>
      <c r="EW73" s="69"/>
      <c r="EX73" s="73"/>
      <c r="EY73" s="69"/>
      <c r="EZ73" s="74"/>
      <c r="FA73" s="69"/>
      <c r="FB73" s="74"/>
      <c r="FC73" s="69"/>
      <c r="FD73" s="74"/>
      <c r="FE73" s="69"/>
      <c r="FF73" s="74"/>
      <c r="FG73" s="69"/>
      <c r="FH73" s="74"/>
      <c r="FI73" s="69"/>
      <c r="FJ73" s="74"/>
      <c r="FK73" s="69"/>
      <c r="FL73" s="73"/>
      <c r="FM73" s="69"/>
      <c r="FN73" s="73"/>
      <c r="FO73" s="69"/>
      <c r="FP73" s="73"/>
      <c r="FQ73" s="69"/>
      <c r="FR73" s="73"/>
      <c r="FS73" s="69"/>
      <c r="FT73" s="73"/>
      <c r="FU73" s="69"/>
      <c r="FV73" s="73"/>
      <c r="FW73" s="69"/>
      <c r="FX73" s="73"/>
      <c r="FY73" s="69"/>
      <c r="FZ73" s="73"/>
      <c r="GA73" s="69"/>
      <c r="GB73" s="73"/>
      <c r="GC73" s="69"/>
      <c r="GD73" s="73"/>
      <c r="GE73" s="69"/>
      <c r="GF73" s="73"/>
      <c r="GG73" s="69"/>
      <c r="GH73" s="73"/>
      <c r="GI73" s="69"/>
      <c r="GJ73" s="73"/>
      <c r="GK73" s="69"/>
      <c r="GL73" s="73"/>
      <c r="GM73" s="69"/>
      <c r="GN73" s="73"/>
      <c r="GO73" s="69"/>
      <c r="GP73" s="73"/>
      <c r="GQ73" s="69"/>
      <c r="GR73" s="73"/>
      <c r="GS73" s="69"/>
      <c r="GT73" s="69"/>
      <c r="GU73" s="562"/>
      <c r="GV73" s="562"/>
      <c r="GW73"/>
      <c r="GX73"/>
      <c r="GY73"/>
      <c r="GZ73"/>
      <c r="HA73"/>
      <c r="HB73"/>
      <c r="HC73" s="562"/>
      <c r="HD73" s="562"/>
      <c r="HE73" s="562"/>
      <c r="HF73" s="562"/>
      <c r="HG73" s="562"/>
      <c r="HH73" s="562"/>
      <c r="HI73" s="562"/>
      <c r="HJ73" s="562"/>
      <c r="HK73" s="562"/>
      <c r="HL73" s="562"/>
      <c r="HM73" s="562"/>
      <c r="HN73" s="562"/>
      <c r="HO73" s="562"/>
      <c r="HP73" s="562"/>
      <c r="HQ73" s="562"/>
      <c r="HR73" s="562"/>
      <c r="HS73" s="562"/>
      <c r="HT73" s="562"/>
      <c r="HU73" s="562"/>
      <c r="HV73" s="562"/>
      <c r="HW73" s="562"/>
      <c r="HX73" s="562"/>
      <c r="HY73" s="562"/>
      <c r="HZ73" s="562"/>
      <c r="IA73" s="562"/>
      <c r="IB73" s="562"/>
      <c r="IC73" s="562"/>
      <c r="ID73" s="562"/>
      <c r="IE73" s="562"/>
      <c r="IF73" s="562"/>
      <c r="IG73" s="562"/>
      <c r="IH73" s="562"/>
      <c r="II73" s="562"/>
      <c r="IJ73" s="562"/>
      <c r="IK73" s="562"/>
      <c r="IL73" s="562"/>
      <c r="IM73" s="562"/>
      <c r="IN73" s="562"/>
      <c r="IO73" s="562"/>
      <c r="IP73" s="562"/>
      <c r="IQ73" s="562"/>
      <c r="IR73" s="562"/>
      <c r="IS73" s="562"/>
      <c r="IT73" s="562"/>
      <c r="IU73" s="562"/>
      <c r="IV73" s="562"/>
      <c r="IW73" s="562"/>
      <c r="IX73" s="562"/>
      <c r="IY73" s="562"/>
      <c r="IZ73" s="562"/>
      <c r="JA73" s="562"/>
      <c r="JB73" s="562"/>
      <c r="JC73" s="562"/>
      <c r="JD73" s="562"/>
      <c r="JE73" s="562"/>
      <c r="JF73" s="562"/>
      <c r="JG73" s="562"/>
      <c r="JH73" s="562"/>
      <c r="JI73" s="562"/>
      <c r="JJ73" s="562"/>
      <c r="JK73" s="562"/>
      <c r="JL73" s="562"/>
      <c r="JM73" s="562"/>
      <c r="JN73" s="562"/>
      <c r="JO73" s="562"/>
      <c r="JP73" s="562"/>
      <c r="JQ73" s="562"/>
      <c r="JR73" s="562"/>
      <c r="JS73" s="562"/>
      <c r="JT73" s="562"/>
      <c r="JU73" s="562"/>
      <c r="JV73" s="562"/>
      <c r="JW73" s="562"/>
      <c r="JX73" s="562"/>
      <c r="JY73" s="562"/>
      <c r="JZ73" s="562"/>
    </row>
    <row r="74" spans="1:286" s="76" customFormat="1" ht="12.75" customHeight="1" x14ac:dyDescent="0.2">
      <c r="A74" s="67"/>
      <c r="B74" s="68" t="s">
        <v>283</v>
      </c>
      <c r="C74" s="79"/>
      <c r="D74" s="79"/>
      <c r="E74" s="82"/>
      <c r="F74" s="82"/>
      <c r="G74" s="82"/>
      <c r="H74" s="82"/>
      <c r="I74" s="82"/>
      <c r="J74" s="82"/>
      <c r="K74" s="82"/>
      <c r="L74" s="79"/>
      <c r="M74" s="82"/>
      <c r="N74" s="79"/>
      <c r="O74" s="82"/>
      <c r="P74" s="79"/>
      <c r="Q74" s="82"/>
      <c r="R74" s="79"/>
      <c r="S74" s="82"/>
      <c r="T74" s="79"/>
      <c r="U74" s="82"/>
      <c r="V74" s="79"/>
      <c r="W74" s="82"/>
      <c r="X74" s="79"/>
      <c r="Y74" s="82"/>
      <c r="Z74" s="79"/>
      <c r="AA74" s="130"/>
      <c r="AB74" s="79"/>
      <c r="AC74" s="82"/>
      <c r="AD74" s="79"/>
      <c r="AE74" s="82"/>
      <c r="AF74" s="79"/>
      <c r="AG74" s="82"/>
      <c r="AH74" s="79"/>
      <c r="AI74" s="82"/>
      <c r="AJ74" s="79"/>
      <c r="AK74" s="82"/>
      <c r="AL74" s="79"/>
      <c r="AM74" s="82"/>
      <c r="AN74" s="79"/>
      <c r="AO74" s="82"/>
      <c r="AP74" s="79"/>
      <c r="AQ74" s="82"/>
      <c r="AR74" s="79"/>
      <c r="AS74" s="82"/>
      <c r="AT74" s="81"/>
      <c r="AU74" s="82"/>
      <c r="AV74" s="81"/>
      <c r="AW74" s="82"/>
      <c r="AX74" s="81"/>
      <c r="AY74" s="82"/>
      <c r="AZ74" s="81"/>
      <c r="BA74" s="82"/>
      <c r="BB74" s="81"/>
      <c r="BC74" s="82"/>
      <c r="BD74" s="81"/>
      <c r="BE74" s="82"/>
      <c r="BF74" s="81"/>
      <c r="BG74" s="82"/>
      <c r="BH74" s="81"/>
      <c r="BI74" s="82"/>
      <c r="BJ74" s="81"/>
      <c r="BK74" s="82"/>
      <c r="BL74" s="81"/>
      <c r="BM74" s="82"/>
      <c r="BN74" s="81"/>
      <c r="BO74" s="82"/>
      <c r="BP74" s="81"/>
      <c r="BQ74" s="82"/>
      <c r="BR74" s="81"/>
      <c r="BS74" s="82"/>
      <c r="BT74" s="81"/>
      <c r="BU74" s="82"/>
      <c r="BV74" s="81"/>
      <c r="BW74" s="82"/>
      <c r="BX74" s="81"/>
      <c r="BY74" s="82"/>
      <c r="BZ74" s="81"/>
      <c r="CA74" s="82"/>
      <c r="CB74" s="81"/>
      <c r="CC74" s="82"/>
      <c r="CD74" s="81"/>
      <c r="CE74" s="82"/>
      <c r="CF74" s="81"/>
      <c r="CG74" s="82"/>
      <c r="CH74" s="81"/>
      <c r="CI74" s="82"/>
      <c r="CJ74" s="81"/>
      <c r="CK74" s="82"/>
      <c r="CL74" s="81"/>
      <c r="CM74" s="82"/>
      <c r="CN74" s="81"/>
      <c r="CO74" s="82"/>
      <c r="CP74" s="81"/>
      <c r="CQ74" s="82"/>
      <c r="CR74" s="81"/>
      <c r="CS74" s="82"/>
      <c r="CT74" s="81"/>
      <c r="CU74" s="82"/>
      <c r="CV74" s="81"/>
      <c r="CW74" s="82"/>
      <c r="CX74" s="81"/>
      <c r="CY74" s="82"/>
      <c r="CZ74" s="81"/>
      <c r="DA74" s="82"/>
      <c r="DB74" s="81"/>
      <c r="DC74" s="82"/>
      <c r="DD74" s="81"/>
      <c r="DE74" s="82"/>
      <c r="DF74" s="81"/>
      <c r="DG74" s="82"/>
      <c r="DH74" s="81"/>
      <c r="DI74" s="82"/>
      <c r="DJ74" s="81"/>
      <c r="DK74" s="82"/>
      <c r="DL74" s="81"/>
      <c r="DM74" s="82"/>
      <c r="DN74" s="81"/>
      <c r="DO74" s="82"/>
      <c r="DP74" s="81"/>
      <c r="DQ74" s="82"/>
      <c r="DR74" s="81"/>
      <c r="DS74" s="82"/>
      <c r="DT74" s="81"/>
      <c r="DU74" s="82"/>
      <c r="DV74" s="81"/>
      <c r="DW74" s="82"/>
      <c r="DX74" s="81"/>
      <c r="DY74" s="82"/>
      <c r="DZ74" s="81"/>
      <c r="EA74" s="82"/>
      <c r="EB74" s="81"/>
      <c r="EC74" s="82"/>
      <c r="ED74" s="81"/>
      <c r="EE74" s="82"/>
      <c r="EF74" s="81"/>
      <c r="EG74" s="82"/>
      <c r="EH74" s="81"/>
      <c r="EI74" s="82"/>
      <c r="EJ74" s="81"/>
      <c r="EK74" s="82"/>
      <c r="EL74" s="81"/>
      <c r="EM74" s="82"/>
      <c r="EN74" s="81"/>
      <c r="EO74" s="82"/>
      <c r="EP74" s="81"/>
      <c r="EQ74" s="82"/>
      <c r="ER74" s="81"/>
      <c r="ES74" s="82"/>
      <c r="ET74" s="469"/>
      <c r="EU74" s="82"/>
      <c r="EV74" s="82"/>
      <c r="EW74" s="79"/>
      <c r="EX74" s="82"/>
      <c r="EY74" s="79"/>
      <c r="EZ74" s="82"/>
      <c r="FA74" s="79"/>
      <c r="FB74" s="82"/>
      <c r="FC74" s="79"/>
      <c r="FD74" s="82"/>
      <c r="FE74" s="79"/>
      <c r="FF74" s="82"/>
      <c r="FG74" s="79"/>
      <c r="FH74" s="82"/>
      <c r="FI74" s="79"/>
      <c r="FJ74" s="82"/>
      <c r="FK74" s="79"/>
      <c r="FL74" s="82"/>
      <c r="FM74" s="79"/>
      <c r="FN74" s="82"/>
      <c r="FO74" s="79"/>
      <c r="FP74" s="82"/>
      <c r="FQ74" s="79"/>
      <c r="FR74" s="82"/>
      <c r="FS74" s="79"/>
      <c r="FT74" s="82"/>
      <c r="FU74" s="79"/>
      <c r="FV74" s="82"/>
      <c r="FW74" s="79"/>
      <c r="FX74" s="82"/>
      <c r="FY74" s="79"/>
      <c r="FZ74" s="82"/>
      <c r="GA74" s="79"/>
      <c r="GB74" s="82"/>
      <c r="GC74" s="79"/>
      <c r="GD74" s="82"/>
      <c r="GE74" s="79"/>
      <c r="GF74" s="82"/>
      <c r="GG74" s="79"/>
      <c r="GH74" s="82"/>
      <c r="GI74" s="79"/>
      <c r="GJ74" s="82"/>
      <c r="GK74" s="79"/>
      <c r="GL74" s="82"/>
      <c r="GM74" s="79"/>
      <c r="GN74" s="82"/>
      <c r="GO74" s="79"/>
      <c r="GP74" s="82"/>
      <c r="GQ74" s="79"/>
      <c r="GR74" s="82"/>
      <c r="GS74" s="79"/>
      <c r="GT74" s="79"/>
      <c r="GU74" s="562"/>
      <c r="GV74" s="562"/>
      <c r="GW74"/>
      <c r="GX74"/>
      <c r="GY74"/>
      <c r="GZ74"/>
      <c r="HA74"/>
      <c r="HB74"/>
      <c r="HC74" s="562"/>
      <c r="HD74" s="562"/>
      <c r="HE74" s="562"/>
      <c r="HF74" s="562"/>
      <c r="HG74" s="562"/>
      <c r="HH74" s="562"/>
      <c r="HI74" s="562"/>
      <c r="HJ74" s="562"/>
      <c r="HK74" s="562"/>
      <c r="HL74" s="562"/>
      <c r="HM74" s="562"/>
      <c r="HN74" s="562"/>
      <c r="HO74" s="562"/>
      <c r="HP74" s="562"/>
      <c r="HQ74" s="562"/>
      <c r="HR74" s="562"/>
      <c r="HS74" s="562"/>
      <c r="HT74" s="562"/>
      <c r="HU74" s="562"/>
      <c r="HV74" s="562"/>
      <c r="HW74" s="562"/>
      <c r="HX74" s="562"/>
      <c r="HY74" s="562"/>
      <c r="HZ74" s="562"/>
      <c r="IA74" s="562"/>
      <c r="IB74" s="562"/>
      <c r="IC74" s="562"/>
      <c r="ID74" s="562"/>
      <c r="IE74" s="562"/>
      <c r="IF74" s="562"/>
      <c r="IG74" s="562"/>
      <c r="IH74" s="562"/>
      <c r="II74" s="562"/>
      <c r="IJ74" s="562"/>
      <c r="IK74" s="562"/>
      <c r="IL74" s="562"/>
      <c r="IM74" s="562"/>
      <c r="IN74" s="562"/>
      <c r="IO74" s="562"/>
      <c r="IP74" s="562"/>
      <c r="IQ74" s="562"/>
      <c r="IR74" s="562"/>
      <c r="IS74" s="562"/>
      <c r="IT74" s="562"/>
      <c r="IU74" s="562"/>
      <c r="IV74" s="562"/>
      <c r="IW74" s="562"/>
      <c r="IX74" s="562"/>
      <c r="IY74" s="562"/>
      <c r="IZ74" s="562"/>
      <c r="JA74" s="562"/>
      <c r="JB74" s="562"/>
      <c r="JC74" s="562"/>
      <c r="JD74" s="562"/>
      <c r="JE74" s="562"/>
      <c r="JF74" s="562"/>
      <c r="JG74" s="562"/>
      <c r="JH74" s="562"/>
      <c r="JI74" s="562"/>
      <c r="JJ74" s="562"/>
      <c r="JK74" s="562"/>
      <c r="JL74" s="562"/>
      <c r="JM74" s="562"/>
      <c r="JN74" s="562"/>
      <c r="JO74" s="562"/>
      <c r="JP74" s="562"/>
      <c r="JQ74" s="562"/>
      <c r="JR74" s="562"/>
      <c r="JS74" s="562"/>
      <c r="JT74" s="562"/>
      <c r="JU74" s="562"/>
      <c r="JV74" s="562"/>
      <c r="JW74" s="562"/>
      <c r="JX74" s="562"/>
      <c r="JY74" s="562"/>
      <c r="JZ74" s="562"/>
    </row>
    <row r="75" spans="1:286" s="132" customFormat="1" ht="12.75" customHeight="1" x14ac:dyDescent="0.2">
      <c r="A75" s="133"/>
      <c r="B75" s="10" t="s">
        <v>269</v>
      </c>
      <c r="C75" s="79"/>
      <c r="D75" s="79"/>
      <c r="E75" s="95"/>
      <c r="F75" s="95"/>
      <c r="G75" s="95"/>
      <c r="H75" s="95"/>
      <c r="I75" s="95"/>
      <c r="J75" s="95"/>
      <c r="K75" s="95"/>
      <c r="L75" s="79"/>
      <c r="M75" s="95"/>
      <c r="N75" s="79"/>
      <c r="O75" s="95"/>
      <c r="P75" s="79"/>
      <c r="Q75" s="95"/>
      <c r="R75" s="79"/>
      <c r="S75" s="95"/>
      <c r="T75" s="79"/>
      <c r="U75" s="95"/>
      <c r="V75" s="79"/>
      <c r="W75" s="95"/>
      <c r="X75" s="79"/>
      <c r="Y75" s="95"/>
      <c r="Z75" s="79"/>
      <c r="AA75" s="126"/>
      <c r="AB75" s="79"/>
      <c r="AC75" s="95">
        <f>825.7-AE75</f>
        <v>413.70000000000005</v>
      </c>
      <c r="AD75" s="79" t="str">
        <f>IF(ISERROR((AC75/U75-1)*100),"NA",IF(((AC75/U75-1)*100)&gt;100,"NM",IF(((AC75/U75-1)*100)&lt;-50,"NM",(AC75/U75-1)*100)))</f>
        <v>NA</v>
      </c>
      <c r="AE75" s="95">
        <v>412</v>
      </c>
      <c r="AF75" s="79" t="str">
        <f>IF(ISERROR((AE75/W75-1)*100),"NA",IF(((AE75/W75-1)*100)&gt;100,"NM",IF(((AE75/W75-1)*100)&lt;-50,"NM",(AE75/W75-1)*100)))</f>
        <v>NA</v>
      </c>
      <c r="AG75" s="95">
        <v>398.3</v>
      </c>
      <c r="AH75" s="79" t="str">
        <f>IF(ISERROR((AG75/Y75-1)*100),"NA",IF(((AG75/Y75-1)*100)&gt;100,"NM",IF(((AG75/Y75-1)*100)&lt;-50,"NM",(AG75/Y75-1)*100)))</f>
        <v>NA</v>
      </c>
      <c r="AI75" s="75">
        <f>FH75-AG75-AE75-AC75</f>
        <v>399.40000000000009</v>
      </c>
      <c r="AJ75" s="79" t="str">
        <f>IF(ISERROR((AI75/AA75-1)*100),"NA",IF(((AI75/AA75-1)*100)&gt;100,"NM",IF(((AI75/AA75-1)*100)&lt;-50,"NM",(AI75/AA75-1)*100)))</f>
        <v>NA</v>
      </c>
      <c r="AK75" s="95">
        <f>741.2-AM75</f>
        <v>369.70000000000005</v>
      </c>
      <c r="AL75" s="79">
        <f>IF(ISERROR((AK75/AC75-1)*100),"NA",IF(((AK75/AC75-1)*100)&gt;100,"NM",IF(((AK75/AC75-1)*100)&lt;-50,"NM",(AK75/AC75-1)*100)))</f>
        <v>-10.635726371766985</v>
      </c>
      <c r="AM75" s="95">
        <v>371.5</v>
      </c>
      <c r="AN75" s="79">
        <f>IF(ISERROR((AM75/AE75-1)*100),"NA",IF(((AM75/AE75-1)*100)&gt;100,"NM",IF(((AM75/AE75-1)*100)&lt;-50,"NM",(AM75/AE75-1)*100)))</f>
        <v>-9.8300970873786415</v>
      </c>
      <c r="AO75" s="95">
        <v>355.9</v>
      </c>
      <c r="AP75" s="79">
        <f>IF(ISERROR((AO75/AG75-1)*100),"NA",IF(((AO75/AG75-1)*100)&gt;100,"NM",IF(((AO75/AG75-1)*100)&lt;-50,"NM",(AO75/AG75-1)*100)))</f>
        <v>-10.645242279688683</v>
      </c>
      <c r="AQ75" s="95">
        <v>366.1</v>
      </c>
      <c r="AR75" s="79">
        <f>IF(ISERROR((AQ75/AI75-1)*100),"NA",IF(((AQ75/AI75-1)*100)&gt;100,"NM",IF(((AQ75/AI75-1)*100)&lt;-50,"NM",(AQ75/AI75-1)*100)))</f>
        <v>-8.3375062593890945</v>
      </c>
      <c r="AS75" s="188">
        <v>358.8</v>
      </c>
      <c r="AT75" s="81">
        <f>IF(ISERROR((AS75/AK75-1)*100),"NA",IF(((AS75/AK75-1)*100)&gt;100,"NM",IF(((AS75/AK75-1)*100)&lt;-50,"NM",(AS75/AK75-1)*100)))</f>
        <v>-2.948336489045178</v>
      </c>
      <c r="AU75" s="188">
        <v>361.5</v>
      </c>
      <c r="AV75" s="81">
        <f>IF(ISERROR((AU75/AM75-1)*100),"NA",IF(((AU75/AM75-1)*100)&gt;100,"NM",IF(((AU75/AM75-1)*100)&lt;-50,"NM",(AU75/AM75-1)*100)))</f>
        <v>-2.6917900403768513</v>
      </c>
      <c r="AW75" s="188">
        <v>330.6</v>
      </c>
      <c r="AX75" s="81">
        <f>IF(ISERROR((AW75/AO75-1)*100),"NA",IF(((AW75/AO75-1)*100)&gt;100,"NM",IF(((AW75/AO75-1)*100)&lt;-50,"NM",(AW75/AO75-1)*100)))</f>
        <v>-7.1087384096656265</v>
      </c>
      <c r="AY75" s="188">
        <v>348.8</v>
      </c>
      <c r="AZ75" s="81">
        <f>IF(ISERROR((AY75/AQ75-1)*100),"NA",IF(((AY75/AQ75-1)*100)&gt;100,"NM",IF(((AY75/AQ75-1)*100)&lt;-50,"NM",(AY75/AQ75-1)*100)))</f>
        <v>-4.725484840207594</v>
      </c>
      <c r="BA75" s="188">
        <v>313.2</v>
      </c>
      <c r="BB75" s="81">
        <f>IF(ISERROR((BA75/AS75-1)*100),"NA",IF(((BA75/AS75-1)*100)&gt;100,"NM",IF(((BA75/AS75-1)*100)&lt;-50,"NM",(BA75/AS75-1)*100)))</f>
        <v>-12.70903010033445</v>
      </c>
      <c r="BC75" s="188">
        <v>309.2</v>
      </c>
      <c r="BD75" s="81">
        <f>IF(ISERROR((BC75/AU75-1)*100),"NA",IF(((BC75/AU75-1)*100)&gt;100,"NM",IF(((BC75/AU75-1)*100)&lt;-50,"NM",(BC75/AU75-1)*100)))</f>
        <v>-14.467496542185343</v>
      </c>
      <c r="BE75" s="188">
        <v>309.60000000000002</v>
      </c>
      <c r="BF75" s="81">
        <f>IF(ISERROR((BE75/AW75-1)*100),"NA",IF(((BE75/AW75-1)*100)&gt;100,"NM",IF(((BE75/AW75-1)*100)&lt;-50,"NM",(BE75/AW75-1)*100)))</f>
        <v>-6.3520871143375679</v>
      </c>
      <c r="BG75" s="188">
        <v>306.39999999999998</v>
      </c>
      <c r="BH75" s="81">
        <f>IF(ISERROR((BG75/AY75-1)*100),"NA",IF(((BG75/AY75-1)*100)&gt;100,"NM",IF(((BG75/AY75-1)*100)&lt;-50,"NM",(BG75/AY75-1)*100)))</f>
        <v>-12.155963302752305</v>
      </c>
      <c r="BI75" s="188">
        <v>292.39999999999998</v>
      </c>
      <c r="BJ75" s="81">
        <f>IF(ISERROR((BI75/BA75-1)*100),"NA",IF(((BI75/BA75-1)*100)&gt;100,"NM",IF(((BI75/BA75-1)*100)&lt;-50,"NM",(BI75/BA75-1)*100)))</f>
        <v>-6.6411238825031971</v>
      </c>
      <c r="BK75" s="188">
        <v>300.60000000000002</v>
      </c>
      <c r="BL75" s="81">
        <f>IF(ISERROR((BK75/BC75-1)*100),"NA",IF(((BK75/BC75-1)*100)&gt;100,"NM",IF(((BK75/BC75-1)*100)&lt;-50,"NM",(BK75/BC75-1)*100)))</f>
        <v>-2.7813712807244428</v>
      </c>
      <c r="BM75" s="188">
        <v>300.3</v>
      </c>
      <c r="BN75" s="81">
        <f>IF(ISERROR((BM75/BE75-1)*100),"NA",IF(((BM75/BE75-1)*100)&gt;100,"NM",IF(((BM75/BE75-1)*100)&lt;-50,"NM",(BM75/BE75-1)*100)))</f>
        <v>-3.0038759689922534</v>
      </c>
      <c r="BO75" s="188">
        <v>297.10000000000002</v>
      </c>
      <c r="BP75" s="81">
        <f>IF(ISERROR((BO75/BG75-1)*100),"NA",IF(((BO75/BG75-1)*100)&gt;100,"NM",IF(((BO75/BG75-1)*100)&lt;-50,"NM",(BO75/BG75-1)*100)))</f>
        <v>-3.0352480417754402</v>
      </c>
      <c r="BQ75" s="188">
        <v>288</v>
      </c>
      <c r="BR75" s="81">
        <f>IF(ISERROR((BQ75/BI75-1)*100),"NA",IF(((BQ75/BI75-1)*100)&gt;100,"NM",IF(((BQ75/BI75-1)*100)&lt;-50,"NM",(BQ75/BI75-1)*100)))</f>
        <v>-1.5047879616962967</v>
      </c>
      <c r="BS75" s="188">
        <v>291.8</v>
      </c>
      <c r="BT75" s="81">
        <f>IF(ISERROR((BS75/BK75-1)*100),"NA",IF(((BS75/BK75-1)*100)&gt;100,"NM",IF(((BS75/BK75-1)*100)&lt;-50,"NM",(BS75/BK75-1)*100)))</f>
        <v>-2.9274783765801726</v>
      </c>
      <c r="BU75" s="188">
        <v>293.39999999999998</v>
      </c>
      <c r="BV75" s="81">
        <f>IF(ISERROR((BU75/BM75-1)*100),"NA",IF(((BU75/BM75-1)*100)&gt;100,"NM",IF(((BU75/BM75-1)*100)&lt;-50,"NM",(BU75/BM75-1)*100)))</f>
        <v>-2.2977022977023087</v>
      </c>
      <c r="BW75" s="188">
        <v>289.39999999999998</v>
      </c>
      <c r="BX75" s="81">
        <f>IF(ISERROR((BW75/BO75-1)*100),"NA",IF(((BW75/BO75-1)*100)&gt;100,"NM",IF(((BW75/BO75-1)*100)&lt;-50,"NM",(BW75/BO75-1)*100)))</f>
        <v>-2.591719959609573</v>
      </c>
      <c r="BY75" s="188">
        <v>296.10000000000002</v>
      </c>
      <c r="BZ75" s="81">
        <f>IF(ISERROR((BY75/BQ75-1)*100),"NA",IF(((BY75/BQ75-1)*100)&gt;100,"NM",IF(((BY75/BQ75-1)*100)&lt;-50,"NM",(BY75/BQ75-1)*100)))</f>
        <v>2.8125000000000178</v>
      </c>
      <c r="CA75" s="188">
        <v>297.7</v>
      </c>
      <c r="CB75" s="81">
        <f>IF(ISERROR((CA75/BS75-1)*100),"NA",IF(((CA75/BS75-1)*100)&gt;100,"NM",IF(((CA75/BS75-1)*100)&lt;-50,"NM",(CA75/BS75-1)*100)))</f>
        <v>2.0219328307059525</v>
      </c>
      <c r="CC75" s="188">
        <v>300</v>
      </c>
      <c r="CD75" s="81">
        <f>IF(ISERROR((CC75/BU75-1)*100),"NA",IF(((CC75/BU75-1)*100)&gt;100,"NM",IF(((CC75/BU75-1)*100)&lt;-50,"NM",(CC75/BU75-1)*100)))</f>
        <v>2.249488752556239</v>
      </c>
      <c r="CE75" s="188">
        <v>302.60000000000002</v>
      </c>
      <c r="CF75" s="81">
        <f>IF(ISERROR((CE75/BW75-1)*100),"NA",IF(((CE75/BW75-1)*100)&gt;100,"NM",IF(((CE75/BW75-1)*100)&lt;-50,"NM",(CE75/BW75-1)*100)))</f>
        <v>4.5611610228058153</v>
      </c>
      <c r="CG75" s="188">
        <v>300.5</v>
      </c>
      <c r="CH75" s="81">
        <f>IF(ISERROR((CG75/BY75-1)*100),"NA",IF(((CG75/BY75-1)*100)&gt;100,"NM",IF(((CG75/BY75-1)*100)&lt;-50,"NM",(CG75/BY75-1)*100)))</f>
        <v>1.4859844647078679</v>
      </c>
      <c r="CI75" s="188">
        <v>301.10000000000002</v>
      </c>
      <c r="CJ75" s="81">
        <f>IF(ISERROR((CI75/CA75-1)*100),"NA",IF(((CI75/CA75-1)*100)&gt;100,"NM",IF(((CI75/CA75-1)*100)&lt;-50,"NM",(CI75/CA75-1)*100)))</f>
        <v>1.1420893516963515</v>
      </c>
      <c r="CK75" s="188">
        <v>305.3</v>
      </c>
      <c r="CL75" s="81">
        <f>IF(ISERROR((CK75/CC75-1)*100),"NA",IF(((CK75/CC75-1)*100)&gt;100,"NM",IF(((CK75/CC75-1)*100)&lt;-50,"NM",(CK75/CC75-1)*100)))</f>
        <v>1.7666666666666719</v>
      </c>
      <c r="CM75" s="188">
        <v>309</v>
      </c>
      <c r="CN75" s="81">
        <f>IF(ISERROR((CM75/CE75-1)*100),"NA",IF(((CM75/CE75-1)*100)&gt;100,"NM",IF(((CM75/CE75-1)*100)&lt;-50,"NM",(CM75/CE75-1)*100)))</f>
        <v>2.1150033046926531</v>
      </c>
      <c r="CO75" s="188">
        <v>321.89999999999998</v>
      </c>
      <c r="CP75" s="81">
        <f>IF(ISERROR((CO75/CG75-1)*100),"NA",IF(((CO75/CG75-1)*100)&gt;100,"NM",IF(((CO75/CG75-1)*100)&lt;-50,"NM",(CO75/CG75-1)*100)))</f>
        <v>7.12146422628952</v>
      </c>
      <c r="CQ75" s="188">
        <v>322.89999999999998</v>
      </c>
      <c r="CR75" s="81">
        <f>IF(ISERROR((CQ75/CI75-1)*100),"NA",IF(((CQ75/CI75-1)*100)&gt;100,"NM",IF(((CQ75/CI75-1)*100)&lt;-50,"NM",(CQ75/CI75-1)*100)))</f>
        <v>7.2401195616074165</v>
      </c>
      <c r="CS75" s="188">
        <v>326.5</v>
      </c>
      <c r="CT75" s="81">
        <f>IF(ISERROR((CS75/CK75-1)*100),"NA",IF(((CS75/CK75-1)*100)&gt;100,"NM",IF(((CS75/CK75-1)*100)&lt;-50,"NM",(CS75/CK75-1)*100)))</f>
        <v>6.9439895185063882</v>
      </c>
      <c r="CU75" s="188">
        <v>326.10000000000002</v>
      </c>
      <c r="CV75" s="81">
        <f>IF(ISERROR((CU75/CM75-1)*100),"NA",IF(((CU75/CM75-1)*100)&gt;100,"NM",IF(((CU75/CM75-1)*100)&lt;-50,"NM",(CU75/CM75-1)*100)))</f>
        <v>5.5339805825242783</v>
      </c>
      <c r="CW75" s="188">
        <v>333.1</v>
      </c>
      <c r="CX75" s="81">
        <f>IF(ISERROR((CW75/CO75-1)*100),"NA",IF(((CW75/CO75-1)*100)&gt;100,"NM",IF(((CW75/CO75-1)*100)&lt;-50,"NM",(CW75/CO75-1)*100)))</f>
        <v>3.4793414103759135</v>
      </c>
      <c r="CY75" s="188">
        <v>333.8</v>
      </c>
      <c r="CZ75" s="81">
        <f>IF(ISERROR((CY75/CQ75-1)*100),"NA",IF(((CY75/CQ75-1)*100)&gt;100,"NM",IF(((CY75/CQ75-1)*100)&lt;-50,"NM",(CY75/CQ75-1)*100)))</f>
        <v>3.3756580984825035</v>
      </c>
      <c r="DA75" s="188">
        <v>335.7</v>
      </c>
      <c r="DB75" s="81">
        <f>IF(ISERROR((DA75/CS75-1)*100),"NA",IF(((DA75/CS75-1)*100)&gt;100,"NM",IF(((DA75/CS75-1)*100)&lt;-50,"NM",(DA75/CS75-1)*100)))</f>
        <v>2.8177641653905017</v>
      </c>
      <c r="DC75" s="188">
        <v>332.9</v>
      </c>
      <c r="DD75" s="81">
        <f>IF(ISERROR((DC75/CU75-1)*100),"NA",IF(((DC75/CU75-1)*100)&gt;100,"NM",IF(((DC75/CU75-1)*100)&lt;-50,"NM",(DC75/CU75-1)*100)))</f>
        <v>2.0852499233363853</v>
      </c>
      <c r="DE75" s="188">
        <v>340.5</v>
      </c>
      <c r="DF75" s="81">
        <f>IF(ISERROR((DE75/CW75-1)*100),"NA",IF(((DE75/CW75-1)*100)&gt;100,"NM",IF(((DE75/CW75-1)*100)&lt;-50,"NM",(DE75/CW75-1)*100)))</f>
        <v>2.2215550885619884</v>
      </c>
      <c r="DG75" s="188">
        <v>344.3</v>
      </c>
      <c r="DH75" s="81">
        <f>IF(ISERROR((DG75/CY75-1)*100),"NA",IF(((DG75/CY75-1)*100)&gt;100,"NM",IF(((DG75/CY75-1)*100)&lt;-50,"NM",(DG75/CY75-1)*100)))</f>
        <v>3.1455961653684916</v>
      </c>
      <c r="DI75" s="188">
        <v>348.3</v>
      </c>
      <c r="DJ75" s="81">
        <f>IF(ISERROR((DI75/DA75-1)*100),"NA",IF(((DI75/DA75-1)*100)&gt;100,"NM",IF(((DI75/DA75-1)*100)&lt;-50,"NM",(DI75/DA75-1)*100)))</f>
        <v>3.7533512064343189</v>
      </c>
      <c r="DK75" s="188">
        <v>355.1</v>
      </c>
      <c r="DL75" s="81">
        <f>IF(ISERROR((DK75/DC75-1)*100),"NA",IF(((DK75/DC75-1)*100)&gt;100,"NM",IF(((DK75/DC75-1)*100)&lt;-50,"NM",(DK75/DC75-1)*100)))</f>
        <v>6.6686692700510752</v>
      </c>
      <c r="DM75" s="188">
        <v>367.6</v>
      </c>
      <c r="DN75" s="81">
        <f>IF(ISERROR((DM75/DE75-1)*100),"NA",IF(((DM75/DE75-1)*100)&gt;100,"NM",IF(((DM75/DE75-1)*100)&lt;-50,"NM",(DM75/DE75-1)*100)))</f>
        <v>7.9588839941262979</v>
      </c>
      <c r="DO75" s="188">
        <v>369.3</v>
      </c>
      <c r="DP75" s="81">
        <f>IF(ISERROR((DO75/DG75-1)*100),"NA",IF(((DO75/DG75-1)*100)&gt;100,"NM",IF(((DO75/DG75-1)*100)&lt;-50,"NM",(DO75/DG75-1)*100)))</f>
        <v>7.2611094975312263</v>
      </c>
      <c r="DQ75" s="188">
        <v>368.6</v>
      </c>
      <c r="DR75" s="81">
        <f>IF(ISERROR((DQ75/DI75-1)*100),"NA",IF(((DQ75/DI75-1)*100)&gt;100,"NM",IF(((DQ75/DI75-1)*100)&lt;-50,"NM",(DQ75/DI75-1)*100)))</f>
        <v>5.828308929084125</v>
      </c>
      <c r="DS75" s="188">
        <v>373.6</v>
      </c>
      <c r="DT75" s="81">
        <f>IF(ISERROR((DS75/DK75-1)*100),"NA",IF(((DS75/DK75-1)*100)&gt;100,"NM",IF(((DS75/DK75-1)*100)&lt;-50,"NM",(DS75/DK75-1)*100)))</f>
        <v>5.2098000563221669</v>
      </c>
      <c r="DU75" s="188">
        <v>386.1</v>
      </c>
      <c r="DV75" s="81">
        <f>IF(ISERROR((DU75/DM75-1)*100),"NA",IF(((DU75/DM75-1)*100)&gt;100,"NM",IF(((DU75/DM75-1)*100)&lt;-50,"NM",(DU75/DM75-1)*100)))</f>
        <v>5.032644178454837</v>
      </c>
      <c r="DW75" s="188">
        <v>383.6</v>
      </c>
      <c r="DX75" s="81">
        <f>IF(ISERROR((DW75/DO75-1)*100),"NA",IF(((DW75/DO75-1)*100)&gt;100,"NM",IF(((DW75/DO75-1)*100)&lt;-50,"NM",(DW75/DO75-1)*100)))</f>
        <v>3.8721906309233667</v>
      </c>
      <c r="DY75" s="188">
        <v>388.7</v>
      </c>
      <c r="DZ75" s="81">
        <f>IF(ISERROR((DY75/DQ75-1)*100),"NA",IF(((DY75/DQ75-1)*100)&gt;100,"NM",IF(((DY75/DQ75-1)*100)&lt;-50,"NM",(DY75/DQ75-1)*100)))</f>
        <v>5.4530656538252842</v>
      </c>
      <c r="EA75" s="188">
        <v>391.9</v>
      </c>
      <c r="EB75" s="81">
        <f>IF(ISERROR((EA75/DS75-1)*100),"NA",IF(((EA75/DS75-1)*100)&gt;100,"NM",IF(((EA75/DS75-1)*100)&lt;-50,"NM",(EA75/DS75-1)*100)))</f>
        <v>4.8982869379014859</v>
      </c>
      <c r="EC75" s="188">
        <v>404.4</v>
      </c>
      <c r="ED75" s="81">
        <f t="shared" ref="ED75:ED78" si="316">IF(ISERROR((EC75/DU75-1)*100),"NA",IF(((EC75/DU75-1)*100)&gt;100,"NM",IF(((EC75/DU75-1)*100)&lt;-50,"NM",(EC75/DU75-1)*100)))</f>
        <v>4.7397047397047309</v>
      </c>
      <c r="EE75" s="188">
        <v>400.6</v>
      </c>
      <c r="EF75" s="81">
        <f t="shared" ref="EF75:EF78" si="317">IF(ISERROR((EE75/DW75-1)*100),"NA",IF(((EE75/DW75-1)*100)&gt;100,"NM",IF(((EE75/DW75-1)*100)&lt;-50,"NM",(EE75/DW75-1)*100)))</f>
        <v>4.4316996871741399</v>
      </c>
      <c r="EG75" s="188">
        <v>407.2</v>
      </c>
      <c r="EH75" s="81">
        <f t="shared" ref="EH75:EH78" si="318">IF(ISERROR((EG75/DY75-1)*100),"NA",IF(((EG75/DY75-1)*100)&gt;100,"NM",IF(((EG75/DY75-1)*100)&lt;-50,"NM",(EG75/DY75-1)*100)))</f>
        <v>4.7594545922305054</v>
      </c>
      <c r="EI75" s="188">
        <v>402.8</v>
      </c>
      <c r="EJ75" s="81">
        <f t="shared" ref="EJ75:EJ78" si="319">IF(ISERROR((EI75/EA75-1)*100),"NA",IF(((EI75/EA75-1)*100)&gt;100,"NM",IF(((EI75/EA75-1)*100)&lt;-50,"NM",(EI75/EA75-1)*100)))</f>
        <v>2.7813217657565836</v>
      </c>
      <c r="EK75" s="188">
        <f>EC75*1.04</f>
        <v>420.57599999999996</v>
      </c>
      <c r="EL75" s="81">
        <f t="shared" ref="EL75:EL78" si="320">IF(ISERROR((EK75/EC75-1)*100),"NA",IF(((EK75/EC75-1)*100)&gt;100,"NM",IF(((EK75/EC75-1)*100)&lt;-50,"NM",(EK75/EC75-1)*100)))</f>
        <v>4.0000000000000036</v>
      </c>
      <c r="EM75" s="188">
        <f>EE75*1.04</f>
        <v>416.62400000000002</v>
      </c>
      <c r="EN75" s="81">
        <f t="shared" ref="EN75:EN78" si="321">IF(ISERROR((EM75/EE75-1)*100),"NA",IF(((EM75/EE75-1)*100)&gt;100,"NM",IF(((EM75/EE75-1)*100)&lt;-50,"NM",(EM75/EE75-1)*100)))</f>
        <v>4.0000000000000036</v>
      </c>
      <c r="EO75" s="188">
        <f>EG75*1.04</f>
        <v>423.488</v>
      </c>
      <c r="EP75" s="81">
        <f t="shared" ref="EP75:EP78" si="322">IF(ISERROR((EO75/EG75-1)*100),"NA",IF(((EO75/EG75-1)*100)&gt;100,"NM",IF(((EO75/EG75-1)*100)&lt;-50,"NM",(EO75/EG75-1)*100)))</f>
        <v>4.0000000000000036</v>
      </c>
      <c r="EQ75" s="188">
        <f>EI75*1.04</f>
        <v>418.91200000000003</v>
      </c>
      <c r="ER75" s="81">
        <f t="shared" ref="ER75:ER78" si="323">IF(ISERROR((EQ75/EI75-1)*100),"NA",IF(((EQ75/EI75-1)*100)&gt;100,"NM",IF(((EQ75/EI75-1)*100)&lt;-50,"NM",(EQ75/EI75-1)*100)))</f>
        <v>4.0000000000000036</v>
      </c>
      <c r="ES75" s="129"/>
      <c r="ET75" s="469"/>
      <c r="EU75" s="129"/>
      <c r="EV75" s="95"/>
      <c r="EW75" s="79"/>
      <c r="EX75" s="95"/>
      <c r="EY75" s="79"/>
      <c r="EZ75" s="131"/>
      <c r="FA75" s="79"/>
      <c r="FB75" s="35"/>
      <c r="FC75" s="79"/>
      <c r="FD75" s="129">
        <v>1606.3</v>
      </c>
      <c r="FE75" s="79" t="str">
        <f>IF(ISERROR((FD75/FB75-1)*100),"NA",IF(((FD75/FB75-1)*100)&gt;100,"NM",IF(((FD75/FB75-1)*100)&lt;-50,"NM",(FD75/FB75-1)*100)))</f>
        <v>NA</v>
      </c>
      <c r="FF75" s="129">
        <v>1662.4</v>
      </c>
      <c r="FG75" s="79">
        <f>IF(ISERROR((FF75/FD75-1)*100),"NA",IF(((FF75/FD75-1)*100)&gt;100,"NM",IF(((FF75/FD75-1)*100)&lt;-50,"NM",(FF75/FD75-1)*100)))</f>
        <v>3.4924982879910527</v>
      </c>
      <c r="FH75" s="129">
        <v>1623.4</v>
      </c>
      <c r="FI75" s="79">
        <f>IF(ISERROR((FH75/FF75-1)*100),"NA",IF(((FH75/FF75-1)*100)&gt;100,"NM",IF(((FH75/FF75-1)*100)&lt;-50,"NM",(FH75/FF75-1)*100)))</f>
        <v>-2.346005774783444</v>
      </c>
      <c r="FJ75" s="35">
        <f>+AQ75+AO75+AM75+AK75</f>
        <v>1463.2</v>
      </c>
      <c r="FK75" s="79">
        <f>IF(ISERROR((FJ75/FH75-1)*100),"NA",IF(((FJ75/FH75-1)*100)&gt;100,"NM",IF(((FJ75/FH75-1)*100)&lt;-50,"NM",(FJ75/FH75-1)*100)))</f>
        <v>-9.8681778982382724</v>
      </c>
      <c r="FL75" s="78">
        <f>AS75+AU75+AW75+AY75</f>
        <v>1399.7</v>
      </c>
      <c r="FM75" s="79">
        <f>IF(ISERROR((FL75/FJ75-1)*100),"NA",IF(((FL75/FJ75-1)*100)&gt;100,"NM",IF(((FL75/FJ75-1)*100)&lt;-50,"NM",(FL75/FJ75-1)*100)))</f>
        <v>-4.3398031711317619</v>
      </c>
      <c r="FN75" s="78">
        <f>BA75+BC75+BE75+BG75</f>
        <v>1238.4000000000001</v>
      </c>
      <c r="FO75" s="79">
        <f>IF(ISERROR((FN75/FL75-1)*100),"NA",IF(((FN75/FL75-1)*100)&gt;100,"NM",IF(((FN75/FL75-1)*100)&lt;-50,"NM",(FN75/FL75-1)*100)))</f>
        <v>-11.523897978138164</v>
      </c>
      <c r="FP75" s="78">
        <f>BI75+BK75+BM75+BO75</f>
        <v>1190.4000000000001</v>
      </c>
      <c r="FQ75" s="79">
        <f>IF(ISERROR((FP75/FN75-1)*100),"NA",IF(((FP75/FN75-1)*100)&gt;100,"NM",IF(((FP75/FN75-1)*100)&lt;-50,"NM",(FP75/FN75-1)*100)))</f>
        <v>-3.8759689922480578</v>
      </c>
      <c r="FR75" s="96">
        <f>BQ75+BS75+BU75+BW75</f>
        <v>1162.5999999999999</v>
      </c>
      <c r="FS75" s="79">
        <f>IF(ISERROR((FR75/FP75-1)*100),"NA",IF(((FR75/FP75-1)*100)&gt;100,"NM",IF(((FR75/FP75-1)*100)&lt;-50,"NM",(FR75/FP75-1)*100)))</f>
        <v>-2.3353494623656101</v>
      </c>
      <c r="FT75" s="96">
        <f>BY75+CA75+CC75+CE75</f>
        <v>1196.4000000000001</v>
      </c>
      <c r="FU75" s="79">
        <f>IF(ISERROR((FT75/FR75-1)*100),"NA",IF(((FT75/FR75-1)*100)&gt;100,"NM",IF(((FT75/FR75-1)*100)&lt;-50,"NM",(FT75/FR75-1)*100)))</f>
        <v>2.9072767933941313</v>
      </c>
      <c r="FV75" s="96">
        <f>CG75+CI75+CK75+CM75</f>
        <v>1215.9000000000001</v>
      </c>
      <c r="FW75" s="79">
        <f>IF(ISERROR((FV75/FT75-1)*100),"NA",IF(((FV75/FT75-1)*100)&gt;100,"NM",IF(((FV75/FT75-1)*100)&lt;-50,"NM",(FV75/FT75-1)*100)))</f>
        <v>1.6298896690070119</v>
      </c>
      <c r="FX75" s="96">
        <f>CO75+CQ75+CS75+CU75</f>
        <v>1297.4000000000001</v>
      </c>
      <c r="FY75" s="79">
        <f>IF(ISERROR((FX75/FV75-1)*100),"NA",IF(((FX75/FV75-1)*100)&gt;100,"NM",IF(((FX75/FV75-1)*100)&lt;-50,"NM",(FX75/FV75-1)*100)))</f>
        <v>6.7028538531129112</v>
      </c>
      <c r="FZ75" s="96">
        <f>CW75+CY75+DA75+DC75</f>
        <v>1335.5</v>
      </c>
      <c r="GA75" s="79">
        <f>IF(ISERROR((FZ75/FX75-1)*100),"NA",IF(((FZ75/FX75-1)*100)&gt;100,"NM",IF(((FZ75/FX75-1)*100)&lt;-50,"NM",(FZ75/FX75-1)*100)))</f>
        <v>2.9366425158008358</v>
      </c>
      <c r="GB75" s="96">
        <f>DE75+DG75+DI75+DK75</f>
        <v>1388.1999999999998</v>
      </c>
      <c r="GC75" s="79">
        <f>IF(ISERROR((GB75/FZ75-1)*100),"NA",IF(((GB75/FZ75-1)*100)&gt;100,"NM",IF(((GB75/FZ75-1)*100)&lt;-50,"NM",(GB75/FZ75-1)*100)))</f>
        <v>3.9460876076375717</v>
      </c>
      <c r="GD75" s="96">
        <f>DM75+DO75+DQ75+DS75</f>
        <v>1479.1</v>
      </c>
      <c r="GE75" s="79">
        <f>IF(ISERROR((GD75/GB75-1)*100),"NA",IF(((GD75/GB75-1)*100)&gt;100,"NM",IF(((GD75/GB75-1)*100)&lt;-50,"NM",(GD75/GB75-1)*100)))</f>
        <v>6.548047831724535</v>
      </c>
      <c r="GF75" s="96">
        <f>DU75+DW75+DY75+EA75</f>
        <v>1550.3000000000002</v>
      </c>
      <c r="GG75" s="79">
        <f>IF(ISERROR((GF75/GD75-1)*100),"NA",IF(((GF75/GD75-1)*100)&gt;100,"NM",IF(((GF75/GD75-1)*100)&lt;-50,"NM",(GF75/GD75-1)*100)))</f>
        <v>4.8137380839700095</v>
      </c>
      <c r="GH75" s="96">
        <f>EC75+EE75+EG75+EI75</f>
        <v>1615</v>
      </c>
      <c r="GI75" s="79">
        <f>IF(ISERROR((GH75/GF75-1)*100),"NA",IF(((GH75/GF75-1)*100)&gt;100,"NM",IF(((GH75/GF75-1)*100)&lt;-50,"NM",(GH75/GF75-1)*100)))</f>
        <v>4.1733857962974685</v>
      </c>
      <c r="GJ75" s="96">
        <f>EK75+EM75+EO75+EQ75</f>
        <v>1679.6000000000001</v>
      </c>
      <c r="GK75" s="79">
        <f>IF(ISERROR((GJ75/GH75-1)*100),"NA",IF(((GJ75/GH75-1)*100)&gt;100,"NM",IF(((GJ75/GH75-1)*100)&lt;-50,"NM",(GJ75/GH75-1)*100)))</f>
        <v>4.0000000000000036</v>
      </c>
      <c r="GL75" s="188">
        <f>+GJ75*1.025</f>
        <v>1721.59</v>
      </c>
      <c r="GM75" s="79">
        <f>IF(ISERROR((GL75/GJ75-1)*100),"NA",IF(((GL75/GJ75-1)*100)&gt;100,"NM",IF(((GL75/GJ75-1)*100)&lt;-50,"NM",(GL75/GJ75-1)*100)))</f>
        <v>2.4999999999999911</v>
      </c>
      <c r="GN75" s="188">
        <f>+GL75*1.025</f>
        <v>1764.6297499999998</v>
      </c>
      <c r="GO75" s="79">
        <f>IF(ISERROR((GN75/GL75-1)*100),"NA",IF(((GN75/GL75-1)*100)&gt;100,"NM",IF(((GN75/GL75-1)*100)&lt;-50,"NM",(GN75/GL75-1)*100)))</f>
        <v>2.4999999999999911</v>
      </c>
      <c r="GP75" s="188">
        <f>+GN75*1.025</f>
        <v>1808.7454937499997</v>
      </c>
      <c r="GQ75" s="79">
        <f>IF(ISERROR((GP75/GN75-1)*100),"NA",IF(((GP75/GN75-1)*100)&gt;100,"NM",IF(((GP75/GN75-1)*100)&lt;-50,"NM",(GP75/GN75-1)*100)))</f>
        <v>2.4999999999999911</v>
      </c>
      <c r="GR75" s="188">
        <f>+GP75*1.025</f>
        <v>1853.9641310937495</v>
      </c>
      <c r="GS75" s="79">
        <f>IF(ISERROR((GR75/GP75-1)*100),"NA",IF(((GR75/GP75-1)*100)&gt;100,"NM",IF(((GR75/GP75-1)*100)&lt;-50,"NM",(GR75/GP75-1)*100)))</f>
        <v>2.4999999999999911</v>
      </c>
      <c r="GT75" s="79">
        <f>IF(ISERROR(((GR75/GH75)^0.2-1)*100),"NA",(IF(OR(((GR75/GH75)^0.2-1)*100&gt;99,((GR75/GH75)^0.2-1)*100&lt;-50),"NM",(((GR75/GH75)^0.2-1)*100))))</f>
        <v>2.7982591656139144</v>
      </c>
      <c r="GU75" s="562"/>
      <c r="GV75" s="562"/>
      <c r="GW75"/>
      <c r="GX75"/>
      <c r="GY75"/>
      <c r="GZ75"/>
      <c r="HA75"/>
      <c r="HB75"/>
      <c r="HC75" s="562"/>
      <c r="HD75" s="562"/>
      <c r="HE75" s="562"/>
      <c r="HF75" s="562"/>
      <c r="HG75" s="562"/>
      <c r="HH75" s="562"/>
      <c r="HI75" s="562"/>
      <c r="HJ75" s="562"/>
      <c r="HK75" s="562"/>
      <c r="HL75" s="562"/>
      <c r="HM75" s="562"/>
      <c r="HN75" s="562"/>
      <c r="HO75" s="562"/>
      <c r="HP75" s="562"/>
      <c r="HQ75" s="562"/>
      <c r="HR75" s="562"/>
      <c r="HS75" s="562"/>
      <c r="HT75" s="562"/>
      <c r="HU75" s="562"/>
      <c r="HV75" s="562"/>
      <c r="HW75" s="562"/>
      <c r="HX75" s="562"/>
      <c r="HY75" s="562"/>
      <c r="HZ75" s="562"/>
      <c r="IA75" s="562"/>
      <c r="IB75" s="562"/>
      <c r="IC75" s="562"/>
      <c r="ID75" s="562"/>
      <c r="IE75" s="562"/>
      <c r="IF75" s="562"/>
      <c r="IG75" s="562"/>
      <c r="IH75" s="562"/>
      <c r="II75" s="562"/>
      <c r="IJ75" s="562"/>
      <c r="IK75" s="562"/>
      <c r="IL75" s="562"/>
      <c r="IM75" s="562"/>
      <c r="IN75" s="562"/>
      <c r="IO75" s="562"/>
      <c r="IP75" s="562"/>
      <c r="IQ75" s="562"/>
      <c r="IR75" s="562"/>
      <c r="IS75" s="562"/>
      <c r="IT75" s="562"/>
      <c r="IU75" s="562"/>
      <c r="IV75" s="562"/>
      <c r="IW75" s="562"/>
      <c r="IX75" s="562"/>
      <c r="IY75" s="562"/>
      <c r="IZ75" s="562"/>
      <c r="JA75" s="562"/>
      <c r="JB75" s="562"/>
      <c r="JC75" s="562"/>
      <c r="JD75" s="562"/>
      <c r="JE75" s="562"/>
      <c r="JF75" s="562"/>
      <c r="JG75" s="562"/>
      <c r="JH75" s="562"/>
      <c r="JI75" s="562"/>
      <c r="JJ75" s="562"/>
      <c r="JK75" s="562"/>
      <c r="JL75" s="562"/>
      <c r="JM75" s="562"/>
      <c r="JN75" s="562"/>
      <c r="JO75" s="562"/>
      <c r="JP75" s="562"/>
      <c r="JQ75" s="562"/>
      <c r="JR75" s="562"/>
      <c r="JS75" s="562"/>
      <c r="JT75" s="562"/>
      <c r="JU75" s="562"/>
      <c r="JV75" s="562"/>
      <c r="JW75" s="562"/>
      <c r="JX75" s="562"/>
      <c r="JY75" s="562"/>
      <c r="JZ75" s="562"/>
    </row>
    <row r="76" spans="1:286" s="132" customFormat="1" ht="12.75" customHeight="1" x14ac:dyDescent="0.2">
      <c r="A76" s="1"/>
      <c r="B76" s="10" t="s">
        <v>406</v>
      </c>
      <c r="C76" s="79"/>
      <c r="D76" s="79"/>
      <c r="E76" s="129"/>
      <c r="F76" s="129"/>
      <c r="G76" s="95"/>
      <c r="H76" s="95"/>
      <c r="I76" s="95"/>
      <c r="J76" s="95"/>
      <c r="K76" s="95"/>
      <c r="L76" s="79"/>
      <c r="M76" s="129"/>
      <c r="N76" s="79"/>
      <c r="O76" s="129"/>
      <c r="P76" s="79"/>
      <c r="Q76" s="129"/>
      <c r="R76" s="79"/>
      <c r="S76" s="95"/>
      <c r="T76" s="79"/>
      <c r="U76" s="129"/>
      <c r="V76" s="79"/>
      <c r="W76" s="129"/>
      <c r="X76" s="79"/>
      <c r="Y76" s="95"/>
      <c r="Z76" s="79"/>
      <c r="AA76" s="126"/>
      <c r="AB76" s="79"/>
      <c r="AC76" s="129">
        <f>66.2-AE76</f>
        <v>33.1</v>
      </c>
      <c r="AD76" s="79" t="str">
        <f>IF(ISERROR((AC76/U76-1)*100),"NA",IF(((AC76/U76-1)*100)&gt;100,"NM",IF(((AC76/U76-1)*100)&lt;-50,"NM",(AC76/U76-1)*100)))</f>
        <v>NA</v>
      </c>
      <c r="AE76" s="129">
        <v>33.1</v>
      </c>
      <c r="AF76" s="79" t="str">
        <f>IF(ISERROR((AE76/W76-1)*100),"NA",IF(((AE76/W76-1)*100)&gt;100,"NM",IF(((AE76/W76-1)*100)&lt;-50,"NM",(AE76/W76-1)*100)))</f>
        <v>NA</v>
      </c>
      <c r="AG76" s="95">
        <v>37.1</v>
      </c>
      <c r="AH76" s="79" t="str">
        <f>IF(ISERROR((AG76/Y76-1)*100),"NA",IF(((AG76/Y76-1)*100)&gt;100,"NM",IF(((AG76/Y76-1)*100)&lt;-50,"NM",(AG76/Y76-1)*100)))</f>
        <v>NA</v>
      </c>
      <c r="AI76" s="75">
        <f>FH76-AG76-AE76-AC76</f>
        <v>44.600000000000016</v>
      </c>
      <c r="AJ76" s="79" t="str">
        <f>IF(ISERROR((AI76/AA76-1)*100),"NA",IF(((AI76/AA76-1)*100)&gt;100,"NM",IF(((AI76/AA76-1)*100)&lt;-50,"NM",(AI76/AA76-1)*100)))</f>
        <v>NA</v>
      </c>
      <c r="AK76" s="95">
        <f>78-AM76</f>
        <v>39.799999999999997</v>
      </c>
      <c r="AL76" s="79">
        <f>IF(ISERROR((AK76/AC76-1)*100),"NA",IF(((AK76/AC76-1)*100)&gt;100,"NM",IF(((AK76/AC76-1)*100)&lt;-50,"NM",(AK76/AC76-1)*100)))</f>
        <v>20.241691842900277</v>
      </c>
      <c r="AM76" s="95">
        <v>38.200000000000003</v>
      </c>
      <c r="AN76" s="79">
        <f>IF(ISERROR((AM76/AE76-1)*100),"NA",IF(((AM76/AE76-1)*100)&gt;100,"NM",IF(((AM76/AE76-1)*100)&lt;-50,"NM",(AM76/AE76-1)*100)))</f>
        <v>15.407854984894254</v>
      </c>
      <c r="AO76" s="95">
        <v>36.200000000000003</v>
      </c>
      <c r="AP76" s="79">
        <f>IF(ISERROR((AO76/AG76-1)*100),"NA",IF(((AO76/AG76-1)*100)&gt;100,"NM",IF(((AO76/AG76-1)*100)&lt;-50,"NM",(AO76/AG76-1)*100)))</f>
        <v>-2.425876010781669</v>
      </c>
      <c r="AQ76" s="95">
        <v>37.700000000000003</v>
      </c>
      <c r="AR76" s="79">
        <f>IF(ISERROR((AQ76/AI76-1)*100),"NA",IF(((AQ76/AI76-1)*100)&gt;100,"NM",IF(((AQ76/AI76-1)*100)&lt;-50,"NM",(AQ76/AI76-1)*100)))</f>
        <v>-15.470852017937242</v>
      </c>
      <c r="AS76" s="188">
        <v>35.1</v>
      </c>
      <c r="AT76" s="81">
        <f>IF(ISERROR((AS76/AK76-1)*100),"NA",IF(((AS76/AK76-1)*100)&gt;100,"NM",IF(((AS76/AK76-1)*100)&lt;-50,"NM",(AS76/AK76-1)*100)))</f>
        <v>-11.809045226130642</v>
      </c>
      <c r="AU76" s="188">
        <v>35.200000000000003</v>
      </c>
      <c r="AV76" s="81">
        <f>IF(ISERROR((AU76/AM76-1)*100),"NA",IF(((AU76/AM76-1)*100)&gt;100,"NM",IF(((AU76/AM76-1)*100)&lt;-50,"NM",(AU76/AM76-1)*100)))</f>
        <v>-7.8534031413612588</v>
      </c>
      <c r="AW76" s="188">
        <v>35.4</v>
      </c>
      <c r="AX76" s="81">
        <f>IF(ISERROR((AW76/AO76-1)*100),"NA",IF(((AW76/AO76-1)*100)&gt;100,"NM",IF(((AW76/AO76-1)*100)&lt;-50,"NM",(AW76/AO76-1)*100)))</f>
        <v>-2.209944751381232</v>
      </c>
      <c r="AY76" s="188">
        <v>35.6</v>
      </c>
      <c r="AZ76" s="81">
        <f>IF(ISERROR((AY76/AQ76-1)*100),"NA",IF(((AY76/AQ76-1)*100)&gt;100,"NM",IF(((AY76/AQ76-1)*100)&lt;-50,"NM",(AY76/AQ76-1)*100)))</f>
        <v>-5.5702917771883298</v>
      </c>
      <c r="BA76" s="188">
        <v>34.4</v>
      </c>
      <c r="BB76" s="81">
        <f>IF(ISERROR((BA76/AS76-1)*100),"NA",IF(((BA76/AS76-1)*100)&gt;100,"NM",IF(((BA76/AS76-1)*100)&lt;-50,"NM",(BA76/AS76-1)*100)))</f>
        <v>-1.9943019943020057</v>
      </c>
      <c r="BC76" s="188">
        <v>35.1</v>
      </c>
      <c r="BD76" s="81">
        <f>IF(ISERROR((BC76/AU76-1)*100),"NA",IF(((BC76/AU76-1)*100)&gt;100,"NM",IF(((BC76/AU76-1)*100)&lt;-50,"NM",(BC76/AU76-1)*100)))</f>
        <v>-0.28409090909091717</v>
      </c>
      <c r="BE76" s="188">
        <v>32.9</v>
      </c>
      <c r="BF76" s="81">
        <f>IF(ISERROR((BE76/AW76-1)*100),"NA",IF(((BE76/AW76-1)*100)&gt;100,"NM",IF(((BE76/AW76-1)*100)&lt;-50,"NM",(BE76/AW76-1)*100)))</f>
        <v>-7.0621468926553632</v>
      </c>
      <c r="BG76" s="188">
        <v>32.5</v>
      </c>
      <c r="BH76" s="81">
        <f>IF(ISERROR((BG76/AY76-1)*100),"NA",IF(((BG76/AY76-1)*100)&gt;100,"NM",IF(((BG76/AY76-1)*100)&lt;-50,"NM",(BG76/AY76-1)*100)))</f>
        <v>-8.70786516853933</v>
      </c>
      <c r="BI76" s="188">
        <v>31.3</v>
      </c>
      <c r="BJ76" s="81">
        <f>IF(ISERROR((BI76/BA76-1)*100),"NA",IF(((BI76/BA76-1)*100)&gt;100,"NM",IF(((BI76/BA76-1)*100)&lt;-50,"NM",(BI76/BA76-1)*100)))</f>
        <v>-9.011627906976738</v>
      </c>
      <c r="BK76" s="188">
        <v>31.9</v>
      </c>
      <c r="BL76" s="81">
        <f>IF(ISERROR((BK76/BC76-1)*100),"NA",IF(((BK76/BC76-1)*100)&gt;100,"NM",IF(((BK76/BC76-1)*100)&lt;-50,"NM",(BK76/BC76-1)*100)))</f>
        <v>-9.1168091168091223</v>
      </c>
      <c r="BM76" s="188">
        <v>30.9</v>
      </c>
      <c r="BN76" s="81">
        <f>IF(ISERROR((BM76/BE76-1)*100),"NA",IF(((BM76/BE76-1)*100)&gt;100,"NM",IF(((BM76/BE76-1)*100)&lt;-50,"NM",(BM76/BE76-1)*100)))</f>
        <v>-6.0790273556231007</v>
      </c>
      <c r="BO76" s="188">
        <v>31.9</v>
      </c>
      <c r="BP76" s="81">
        <f>IF(ISERROR((BO76/BG76-1)*100),"NA",IF(((BO76/BG76-1)*100)&gt;100,"NM",IF(((BO76/BG76-1)*100)&lt;-50,"NM",(BO76/BG76-1)*100)))</f>
        <v>-1.8461538461538529</v>
      </c>
      <c r="BQ76" s="188">
        <v>31</v>
      </c>
      <c r="BR76" s="81">
        <f>IF(ISERROR((BQ76/BI76-1)*100),"NA",IF(((BQ76/BI76-1)*100)&gt;100,"NM",IF(((BQ76/BI76-1)*100)&lt;-50,"NM",(BQ76/BI76-1)*100)))</f>
        <v>-0.95846645367412275</v>
      </c>
      <c r="BS76" s="188">
        <v>32.1</v>
      </c>
      <c r="BT76" s="81">
        <f>IF(ISERROR((BS76/BK76-1)*100),"NA",IF(((BS76/BK76-1)*100)&gt;100,"NM",IF(((BS76/BK76-1)*100)&lt;-50,"NM",(BS76/BK76-1)*100)))</f>
        <v>0.62695924764890609</v>
      </c>
      <c r="BU76" s="188">
        <v>32</v>
      </c>
      <c r="BV76" s="81">
        <f>IF(ISERROR((BU76/BM76-1)*100),"NA",IF(((BU76/BM76-1)*100)&gt;100,"NM",IF(((BU76/BM76-1)*100)&lt;-50,"NM",(BU76/BM76-1)*100)))</f>
        <v>3.5598705501618255</v>
      </c>
      <c r="BW76" s="188">
        <v>31.4</v>
      </c>
      <c r="BX76" s="81">
        <f>IF(ISERROR((BW76/BO76-1)*100),"NA",IF(((BW76/BO76-1)*100)&gt;100,"NM",IF(((BW76/BO76-1)*100)&lt;-50,"NM",(BW76/BO76-1)*100)))</f>
        <v>-1.5673981191222541</v>
      </c>
      <c r="BY76" s="188">
        <v>31.8</v>
      </c>
      <c r="BZ76" s="81">
        <f>IF(ISERROR((BY76/BQ76-1)*100),"NA",IF(((BY76/BQ76-1)*100)&gt;100,"NM",IF(((BY76/BQ76-1)*100)&lt;-50,"NM",(BY76/BQ76-1)*100)))</f>
        <v>2.5806451612903292</v>
      </c>
      <c r="CA76" s="188">
        <v>31.5</v>
      </c>
      <c r="CB76" s="81">
        <f>IF(ISERROR((CA76/BS76-1)*100),"NA",IF(((CA76/BS76-1)*100)&gt;100,"NM",IF(((CA76/BS76-1)*100)&lt;-50,"NM",(CA76/BS76-1)*100)))</f>
        <v>-1.8691588785046731</v>
      </c>
      <c r="CC76" s="188">
        <v>32.5</v>
      </c>
      <c r="CD76" s="81">
        <f>IF(ISERROR((CC76/BU76-1)*100),"NA",IF(((CC76/BU76-1)*100)&gt;100,"NM",IF(((CC76/BU76-1)*100)&lt;-50,"NM",(CC76/BU76-1)*100)))</f>
        <v>1.5625</v>
      </c>
      <c r="CE76" s="188">
        <v>33.799999999999997</v>
      </c>
      <c r="CF76" s="81">
        <f>IF(ISERROR((CE76/BW76-1)*100),"NA",IF(((CE76/BW76-1)*100)&gt;100,"NM",IF(((CE76/BW76-1)*100)&lt;-50,"NM",(CE76/BW76-1)*100)))</f>
        <v>7.6433121019108263</v>
      </c>
      <c r="CG76" s="188">
        <v>34.200000000000003</v>
      </c>
      <c r="CH76" s="81">
        <f>IF(ISERROR((CG76/BY76-1)*100),"NA",IF(((CG76/BY76-1)*100)&gt;100,"NM",IF(((CG76/BY76-1)*100)&lt;-50,"NM",(CG76/BY76-1)*100)))</f>
        <v>7.547169811320753</v>
      </c>
      <c r="CI76" s="188">
        <v>33.700000000000003</v>
      </c>
      <c r="CJ76" s="81">
        <f>IF(ISERROR((CI76/CA76-1)*100),"NA",IF(((CI76/CA76-1)*100)&gt;100,"NM",IF(((CI76/CA76-1)*100)&lt;-50,"NM",(CI76/CA76-1)*100)))</f>
        <v>6.9841269841270037</v>
      </c>
      <c r="CK76" s="188">
        <v>33.700000000000003</v>
      </c>
      <c r="CL76" s="81">
        <f>IF(ISERROR((CK76/CC76-1)*100),"NA",IF(((CK76/CC76-1)*100)&gt;100,"NM",IF(((CK76/CC76-1)*100)&lt;-50,"NM",(CK76/CC76-1)*100)))</f>
        <v>3.6923076923077058</v>
      </c>
      <c r="CM76" s="188">
        <v>33.9</v>
      </c>
      <c r="CN76" s="81">
        <f>IF(ISERROR((CM76/CE76-1)*100),"NA",IF(((CM76/CE76-1)*100)&gt;100,"NM",IF(((CM76/CE76-1)*100)&lt;-50,"NM",(CM76/CE76-1)*100)))</f>
        <v>0.29585798816569309</v>
      </c>
      <c r="CO76" s="188">
        <v>34.9</v>
      </c>
      <c r="CP76" s="81">
        <f>IF(ISERROR((CO76/CG76-1)*100),"NA",IF(((CO76/CG76-1)*100)&gt;100,"NM",IF(((CO76/CG76-1)*100)&lt;-50,"NM",(CO76/CG76-1)*100)))</f>
        <v>2.0467836257309857</v>
      </c>
      <c r="CQ76" s="188">
        <v>38.200000000000003</v>
      </c>
      <c r="CR76" s="81">
        <f>IF(ISERROR((CQ76/CI76-1)*100),"NA",IF(((CQ76/CI76-1)*100)&gt;100,"NM",IF(((CQ76/CI76-1)*100)&lt;-50,"NM",(CQ76/CI76-1)*100)))</f>
        <v>13.353115727002972</v>
      </c>
      <c r="CS76" s="188">
        <v>35.9</v>
      </c>
      <c r="CT76" s="81">
        <f>IF(ISERROR((CS76/CK76-1)*100),"NA",IF(((CS76/CK76-1)*100)&gt;100,"NM",IF(((CS76/CK76-1)*100)&lt;-50,"NM",(CS76/CK76-1)*100)))</f>
        <v>6.5281899109792096</v>
      </c>
      <c r="CU76" s="188">
        <v>37.9</v>
      </c>
      <c r="CV76" s="81">
        <f>IF(ISERROR((CU76/CM76-1)*100),"NA",IF(((CU76/CM76-1)*100)&gt;100,"NM",IF(((CU76/CM76-1)*100)&lt;-50,"NM",(CU76/CM76-1)*100)))</f>
        <v>11.799410029498535</v>
      </c>
      <c r="CW76" s="188">
        <v>34.799999999999997</v>
      </c>
      <c r="CX76" s="81">
        <f>IF(ISERROR((CW76/CO76-1)*100),"NA",IF(((CW76/CO76-1)*100)&gt;100,"NM",IF(((CW76/CO76-1)*100)&lt;-50,"NM",(CW76/CO76-1)*100)))</f>
        <v>-0.28653295128939771</v>
      </c>
      <c r="CY76" s="188">
        <v>33.9</v>
      </c>
      <c r="CZ76" s="81">
        <f>IF(ISERROR((CY76/CQ76-1)*100),"NA",IF(((CY76/CQ76-1)*100)&gt;100,"NM",IF(((CY76/CQ76-1)*100)&lt;-50,"NM",(CY76/CQ76-1)*100)))</f>
        <v>-11.256544502617816</v>
      </c>
      <c r="DA76" s="188">
        <v>35.700000000000003</v>
      </c>
      <c r="DB76" s="81">
        <f>IF(ISERROR((DA76/CS76-1)*100),"NA",IF(((DA76/CS76-1)*100)&gt;100,"NM",IF(((DA76/CS76-1)*100)&lt;-50,"NM",(DA76/CS76-1)*100)))</f>
        <v>-0.55710306406684396</v>
      </c>
      <c r="DC76" s="188">
        <v>34.700000000000003</v>
      </c>
      <c r="DD76" s="81">
        <f>IF(ISERROR((DC76/CU76-1)*100),"NA",IF(((DC76/CU76-1)*100)&gt;100,"NM",IF(((DC76/CU76-1)*100)&lt;-50,"NM",(DC76/CU76-1)*100)))</f>
        <v>-8.4432717678100122</v>
      </c>
      <c r="DE76" s="188">
        <v>34.1</v>
      </c>
      <c r="DF76" s="81">
        <f>IF(ISERROR((DE76/CW76-1)*100),"NA",IF(((DE76/CW76-1)*100)&gt;100,"NM",IF(((DE76/CW76-1)*100)&lt;-50,"NM",(DE76/CW76-1)*100)))</f>
        <v>-2.0114942528735469</v>
      </c>
      <c r="DG76" s="188">
        <v>33.200000000000003</v>
      </c>
      <c r="DH76" s="81">
        <f>IF(ISERROR((DG76/CY76-1)*100),"NA",IF(((DG76/CY76-1)*100)&gt;100,"NM",IF(((DG76/CY76-1)*100)&lt;-50,"NM",(DG76/CY76-1)*100)))</f>
        <v>-2.0648967551622266</v>
      </c>
      <c r="DI76" s="188">
        <v>33.799999999999997</v>
      </c>
      <c r="DJ76" s="81">
        <f>IF(ISERROR((DI76/DA76-1)*100),"NA",IF(((DI76/DA76-1)*100)&gt;100,"NM",IF(((DI76/DA76-1)*100)&lt;-50,"NM",(DI76/DA76-1)*100)))</f>
        <v>-5.3221288515406311</v>
      </c>
      <c r="DK76" s="188">
        <v>34.1</v>
      </c>
      <c r="DL76" s="81">
        <f>IF(ISERROR((DK76/DC76-1)*100),"NA",IF(((DK76/DC76-1)*100)&gt;100,"NM",IF(((DK76/DC76-1)*100)&lt;-50,"NM",(DK76/DC76-1)*100)))</f>
        <v>-1.7291066282420831</v>
      </c>
      <c r="DM76" s="188">
        <v>33.5</v>
      </c>
      <c r="DN76" s="81">
        <f>IF(ISERROR((DM76/DE76-1)*100),"NA",IF(((DM76/DE76-1)*100)&gt;100,"NM",IF(((DM76/DE76-1)*100)&lt;-50,"NM",(DM76/DE76-1)*100)))</f>
        <v>-1.7595307917888658</v>
      </c>
      <c r="DO76" s="188">
        <v>33.799999999999997</v>
      </c>
      <c r="DP76" s="81">
        <f>IF(ISERROR((DO76/DG76-1)*100),"NA",IF(((DO76/DG76-1)*100)&gt;100,"NM",IF(((DO76/DG76-1)*100)&lt;-50,"NM",(DO76/DG76-1)*100)))</f>
        <v>1.8072289156626287</v>
      </c>
      <c r="DQ76" s="188">
        <v>34.700000000000003</v>
      </c>
      <c r="DR76" s="81">
        <f>IF(ISERROR((DQ76/DI76-1)*100),"NA",IF(((DQ76/DI76-1)*100)&gt;100,"NM",IF(((DQ76/DI76-1)*100)&lt;-50,"NM",(DQ76/DI76-1)*100)))</f>
        <v>2.662721893491149</v>
      </c>
      <c r="DS76" s="188">
        <v>33.1</v>
      </c>
      <c r="DT76" s="81">
        <f>IF(ISERROR((DS76/DK76-1)*100),"NA",IF(((DS76/DK76-1)*100)&gt;100,"NM",IF(((DS76/DK76-1)*100)&lt;-50,"NM",(DS76/DK76-1)*100)))</f>
        <v>-2.9325513196480912</v>
      </c>
      <c r="DU76" s="188">
        <v>28.5</v>
      </c>
      <c r="DV76" s="81">
        <f>IF(ISERROR((DU76/DM76-1)*100),"NA",IF(((DU76/DM76-1)*100)&gt;100,"NM",IF(((DU76/DM76-1)*100)&lt;-50,"NM",(DU76/DM76-1)*100)))</f>
        <v>-14.925373134328357</v>
      </c>
      <c r="DW76" s="188">
        <v>28.9</v>
      </c>
      <c r="DX76" s="81">
        <f>IF(ISERROR((DW76/DO76-1)*100),"NA",IF(((DW76/DO76-1)*100)&gt;100,"NM",IF(((DW76/DO76-1)*100)&lt;-50,"NM",(DW76/DO76-1)*100)))</f>
        <v>-14.49704142011834</v>
      </c>
      <c r="DY76" s="188">
        <v>28.1</v>
      </c>
      <c r="DZ76" s="81">
        <f>IF(ISERROR((DY76/DQ76-1)*100),"NA",IF(((DY76/DQ76-1)*100)&gt;100,"NM",IF(((DY76/DQ76-1)*100)&lt;-50,"NM",(DY76/DQ76-1)*100)))</f>
        <v>-19.020172910662826</v>
      </c>
      <c r="EA76" s="188">
        <v>27.9</v>
      </c>
      <c r="EB76" s="81">
        <f>IF(ISERROR((EA76/DS76-1)*100),"NA",IF(((EA76/DS76-1)*100)&gt;100,"NM",IF(((EA76/DS76-1)*100)&lt;-50,"NM",(EA76/DS76-1)*100)))</f>
        <v>-15.70996978851964</v>
      </c>
      <c r="EC76" s="188">
        <v>27.6</v>
      </c>
      <c r="ED76" s="81">
        <f t="shared" si="316"/>
        <v>-3.157894736842104</v>
      </c>
      <c r="EE76" s="188">
        <v>27.8</v>
      </c>
      <c r="EF76" s="81">
        <f t="shared" si="317"/>
        <v>-3.8062283737024138</v>
      </c>
      <c r="EG76" s="188">
        <v>27.3</v>
      </c>
      <c r="EH76" s="81">
        <f t="shared" si="318"/>
        <v>-2.8469750889679735</v>
      </c>
      <c r="EI76" s="188">
        <v>27.2</v>
      </c>
      <c r="EJ76" s="81">
        <f t="shared" si="319"/>
        <v>-2.508960573476704</v>
      </c>
      <c r="EK76" s="129">
        <f>EI76*1.01</f>
        <v>27.471999999999998</v>
      </c>
      <c r="EL76" s="81">
        <f t="shared" si="320"/>
        <v>-0.46376811594204259</v>
      </c>
      <c r="EM76" s="129">
        <f>EK76*1.01</f>
        <v>27.746719999999996</v>
      </c>
      <c r="EN76" s="81">
        <f t="shared" si="321"/>
        <v>-0.19165467625901211</v>
      </c>
      <c r="EO76" s="129">
        <f>EM76*1.02</f>
        <v>28.301654399999997</v>
      </c>
      <c r="EP76" s="81">
        <f t="shared" si="322"/>
        <v>3.6690637362637224</v>
      </c>
      <c r="EQ76" s="129">
        <f>EO76*1.02</f>
        <v>28.867687487999998</v>
      </c>
      <c r="ER76" s="81">
        <f t="shared" si="323"/>
        <v>6.1312040000000012</v>
      </c>
      <c r="ES76" s="95"/>
      <c r="ET76" s="469"/>
      <c r="EU76" s="95"/>
      <c r="EV76" s="95"/>
      <c r="EW76" s="79"/>
      <c r="EX76" s="95"/>
      <c r="EY76" s="79"/>
      <c r="EZ76" s="131"/>
      <c r="FA76" s="79"/>
      <c r="FB76" s="35"/>
      <c r="FC76" s="79"/>
      <c r="FD76" s="129">
        <v>152.4</v>
      </c>
      <c r="FE76" s="79" t="str">
        <f>IF(ISERROR((FD76/FB76-1)*100),"NA",IF(((FD76/FB76-1)*100)&gt;100,"NM",IF(((FD76/FB76-1)*100)&lt;-50,"NM",(FD76/FB76-1)*100)))</f>
        <v>NA</v>
      </c>
      <c r="FF76" s="129">
        <v>145</v>
      </c>
      <c r="FG76" s="79">
        <f>IF(ISERROR((FF76/FD76-1)*100),"NA",IF(((FF76/FD76-1)*100)&gt;100,"NM",IF(((FF76/FD76-1)*100)&lt;-50,"NM",(FF76/FD76-1)*100)))</f>
        <v>-4.8556430446194287</v>
      </c>
      <c r="FH76" s="129">
        <v>147.9</v>
      </c>
      <c r="FI76" s="79">
        <f>IF(ISERROR((FH76/FF76-1)*100),"NA",IF(((FH76/FF76-1)*100)&gt;100,"NM",IF(((FH76/FF76-1)*100)&lt;-50,"NM",(FH76/FF76-1)*100)))</f>
        <v>2.0000000000000018</v>
      </c>
      <c r="FJ76" s="35">
        <f>+AQ76+AO76+AM76+AK76</f>
        <v>151.9</v>
      </c>
      <c r="FK76" s="79">
        <f>IF(ISERROR((FJ76/FH76-1)*100),"NA",IF(((FJ76/FH76-1)*100)&gt;100,"NM",IF(((FJ76/FH76-1)*100)&lt;-50,"NM",(FJ76/FH76-1)*100)))</f>
        <v>2.7045300878972167</v>
      </c>
      <c r="FL76" s="78">
        <f>AS76+AU76+AW76+AY76</f>
        <v>141.30000000000001</v>
      </c>
      <c r="FM76" s="79">
        <f>IF(ISERROR((FL76/FJ76-1)*100),"NA",IF(((FL76/FJ76-1)*100)&gt;100,"NM",IF(((FL76/FJ76-1)*100)&lt;-50,"NM",(FL76/FJ76-1)*100)))</f>
        <v>-6.97827518104015</v>
      </c>
      <c r="FN76" s="78">
        <f>BA76+BC76+BE76+BG76</f>
        <v>134.9</v>
      </c>
      <c r="FO76" s="79">
        <f>IF(ISERROR((FN76/FL76-1)*100),"NA",IF(((FN76/FL76-1)*100)&gt;100,"NM",IF(((FN76/FL76-1)*100)&lt;-50,"NM",(FN76/FL76-1)*100)))</f>
        <v>-4.5293701344656823</v>
      </c>
      <c r="FP76" s="78">
        <f>BI76+BK76+BM76+BO76</f>
        <v>126</v>
      </c>
      <c r="FQ76" s="79">
        <f>IF(ISERROR((FP76/FN76-1)*100),"NA",IF(((FP76/FN76-1)*100)&gt;100,"NM",IF(((FP76/FN76-1)*100)&lt;-50,"NM",(FP76/FN76-1)*100)))</f>
        <v>-6.5974796145292895</v>
      </c>
      <c r="FR76" s="96">
        <f>BQ76+BS76+BU76+BW76</f>
        <v>126.5</v>
      </c>
      <c r="FS76" s="79">
        <f>IF(ISERROR((FR76/FP76-1)*100),"NA",IF(((FR76/FP76-1)*100)&gt;100,"NM",IF(((FR76/FP76-1)*100)&lt;-50,"NM",(FR76/FP76-1)*100)))</f>
        <v>0.39682539682539542</v>
      </c>
      <c r="FT76" s="96">
        <f>BY76+CA76+CC76+CE76</f>
        <v>129.6</v>
      </c>
      <c r="FU76" s="79">
        <f>IF(ISERROR((FT76/FR76-1)*100),"NA",IF(((FT76/FR76-1)*100)&gt;100,"NM",IF(((FT76/FR76-1)*100)&lt;-50,"NM",(FT76/FR76-1)*100)))</f>
        <v>2.4505928853754799</v>
      </c>
      <c r="FV76" s="96">
        <f>CG76+CI76+CK76+CM76</f>
        <v>135.5</v>
      </c>
      <c r="FW76" s="79">
        <f>IF(ISERROR((FV76/FT76-1)*100),"NA",IF(((FV76/FT76-1)*100)&gt;100,"NM",IF(((FV76/FT76-1)*100)&lt;-50,"NM",(FV76/FT76-1)*100)))</f>
        <v>4.5524691358024727</v>
      </c>
      <c r="FX76" s="887">
        <v>145.4</v>
      </c>
      <c r="FY76" s="79">
        <f>IF(ISERROR((FX76/FV76-1)*100),"NA",IF(((FX76/FV76-1)*100)&gt;100,"NM",IF(((FX76/FV76-1)*100)&lt;-50,"NM",(FX76/FV76-1)*100)))</f>
        <v>7.3062730627306394</v>
      </c>
      <c r="FZ76" s="96">
        <f>CW76+CY76+DA76+DC76</f>
        <v>139.1</v>
      </c>
      <c r="GA76" s="79">
        <f>IF(ISERROR((FZ76/FX76-1)*100),"NA",IF(((FZ76/FX76-1)*100)&gt;100,"NM",IF(((FZ76/FX76-1)*100)&lt;-50,"NM",(FZ76/FX76-1)*100)))</f>
        <v>-4.3328748280605289</v>
      </c>
      <c r="GB76" s="96">
        <f>DE76+DG76+DI76+DK76</f>
        <v>135.20000000000002</v>
      </c>
      <c r="GC76" s="79">
        <f>IF(ISERROR((GB76/FZ76-1)*100),"NA",IF(((GB76/FZ76-1)*100)&gt;100,"NM",IF(((GB76/FZ76-1)*100)&lt;-50,"NM",(GB76/FZ76-1)*100)))</f>
        <v>-2.8037383177569986</v>
      </c>
      <c r="GD76" s="96">
        <f>DM76+DO76+DQ76+DS76</f>
        <v>135.1</v>
      </c>
      <c r="GE76" s="79">
        <f>IF(ISERROR((GD76/GB76-1)*100),"NA",IF(((GD76/GB76-1)*100)&gt;100,"NM",IF(((GD76/GB76-1)*100)&lt;-50,"NM",(GD76/GB76-1)*100)))</f>
        <v>-7.3964497041434374E-2</v>
      </c>
      <c r="GF76" s="96">
        <f>DU76+DW76+DY76+EA76</f>
        <v>113.4</v>
      </c>
      <c r="GG76" s="79">
        <f>IF(ISERROR((GF76/GD76-1)*100),"NA",IF(((GF76/GD76-1)*100)&gt;100,"NM",IF(((GF76/GD76-1)*100)&lt;-50,"NM",(GF76/GD76-1)*100)))</f>
        <v>-16.062176165803098</v>
      </c>
      <c r="GH76" s="96">
        <f>EC76+EE76+EG76+EI76</f>
        <v>109.9</v>
      </c>
      <c r="GI76" s="79">
        <f>IF(ISERROR((GH76/GF76-1)*100),"NA",IF(((GH76/GF76-1)*100)&gt;100,"NM",IF(((GH76/GF76-1)*100)&lt;-50,"NM",(GH76/GF76-1)*100)))</f>
        <v>-3.0864197530864224</v>
      </c>
      <c r="GJ76" s="96">
        <f>EK76+EM76+EO76+EQ76</f>
        <v>112.38806188799998</v>
      </c>
      <c r="GK76" s="79">
        <f>IF(ISERROR((GJ76/GH76-1)*100),"NA",IF(((GJ76/GH76-1)*100)&gt;100,"NM",IF(((GJ76/GH76-1)*100)&lt;-50,"NM",(GJ76/GH76-1)*100)))</f>
        <v>2.263932564149207</v>
      </c>
      <c r="GL76" s="188">
        <f>+GJ76*1.04</f>
        <v>116.88358436351999</v>
      </c>
      <c r="GM76" s="79">
        <f>IF(ISERROR((GL76/GJ76-1)*100),"NA",IF(((GL76/GJ76-1)*100)&gt;100,"NM",IF(((GL76/GJ76-1)*100)&lt;-50,"NM",(GL76/GJ76-1)*100)))</f>
        <v>4.0000000000000036</v>
      </c>
      <c r="GN76" s="188">
        <f>+GL76*1.04</f>
        <v>121.55892773806079</v>
      </c>
      <c r="GO76" s="79">
        <f>IF(ISERROR((GN76/GL76-1)*100),"NA",IF(((GN76/GL76-1)*100)&gt;100,"NM",IF(((GN76/GL76-1)*100)&lt;-50,"NM",(GN76/GL76-1)*100)))</f>
        <v>4.0000000000000036</v>
      </c>
      <c r="GP76" s="188">
        <f>+GN76*1.04</f>
        <v>126.42128484758322</v>
      </c>
      <c r="GQ76" s="79">
        <f>IF(ISERROR((GP76/GN76-1)*100),"NA",IF(((GP76/GN76-1)*100)&gt;100,"NM",IF(((GP76/GN76-1)*100)&lt;-50,"NM",(GP76/GN76-1)*100)))</f>
        <v>4.0000000000000036</v>
      </c>
      <c r="GR76" s="188">
        <f>+GP76*1.04</f>
        <v>131.47813624148657</v>
      </c>
      <c r="GS76" s="79">
        <f>IF(ISERROR((GR76/GP76-1)*100),"NA",IF(((GR76/GP76-1)*100)&gt;100,"NM",IF(((GR76/GP76-1)*100)&lt;-50,"NM",(GR76/GP76-1)*100)))</f>
        <v>4.0000000000000036</v>
      </c>
      <c r="GT76" s="79">
        <f>IF(ISERROR(((GR76/GH76)^0.2-1)*100),"NA",(IF(OR(((GR76/GH76)^0.2-1)*100&gt;99,((GR76/GH76)^0.2-1)*100&lt;-50),"NM",(((GR76/GH76)^0.2-1)*100))))</f>
        <v>3.6504446095568133</v>
      </c>
      <c r="GU76" s="562"/>
      <c r="GV76" s="562"/>
      <c r="GW76"/>
      <c r="GX76"/>
      <c r="GY76"/>
      <c r="GZ76"/>
      <c r="HA76"/>
      <c r="HB76"/>
      <c r="HC76" s="562"/>
      <c r="HD76" s="562"/>
      <c r="HE76" s="562"/>
      <c r="HF76" s="562"/>
      <c r="HG76" s="562"/>
      <c r="HH76" s="562"/>
      <c r="HI76" s="562"/>
      <c r="HJ76" s="562"/>
      <c r="HK76" s="562"/>
      <c r="HL76" s="562"/>
      <c r="HM76" s="562"/>
      <c r="HN76" s="562"/>
      <c r="HO76" s="562"/>
      <c r="HP76" s="562"/>
      <c r="HQ76" s="562"/>
      <c r="HR76" s="562"/>
      <c r="HS76" s="562"/>
      <c r="HT76" s="562"/>
      <c r="HU76" s="562"/>
      <c r="HV76" s="562"/>
      <c r="HW76" s="562"/>
      <c r="HX76" s="562"/>
      <c r="HY76" s="562"/>
      <c r="HZ76" s="562"/>
      <c r="IA76" s="562"/>
      <c r="IB76" s="562"/>
      <c r="IC76" s="562"/>
      <c r="ID76" s="562"/>
      <c r="IE76" s="562"/>
      <c r="IF76" s="562"/>
      <c r="IG76" s="562"/>
      <c r="IH76" s="562"/>
      <c r="II76" s="562"/>
      <c r="IJ76" s="562"/>
      <c r="IK76" s="562"/>
      <c r="IL76" s="562"/>
      <c r="IM76" s="562"/>
      <c r="IN76" s="562"/>
      <c r="IO76" s="562"/>
      <c r="IP76" s="562"/>
      <c r="IQ76" s="562"/>
      <c r="IR76" s="562"/>
      <c r="IS76" s="562"/>
      <c r="IT76" s="562"/>
      <c r="IU76" s="562"/>
      <c r="IV76" s="562"/>
      <c r="IW76" s="562"/>
      <c r="IX76" s="562"/>
      <c r="IY76" s="562"/>
      <c r="IZ76" s="562"/>
      <c r="JA76" s="562"/>
      <c r="JB76" s="562"/>
      <c r="JC76" s="562"/>
      <c r="JD76" s="562"/>
      <c r="JE76" s="562"/>
      <c r="JF76" s="562"/>
      <c r="JG76" s="562"/>
      <c r="JH76" s="562"/>
      <c r="JI76" s="562"/>
      <c r="JJ76" s="562"/>
      <c r="JK76" s="562"/>
      <c r="JL76" s="562"/>
      <c r="JM76" s="562"/>
      <c r="JN76" s="562"/>
      <c r="JO76" s="562"/>
      <c r="JP76" s="562"/>
      <c r="JQ76" s="562"/>
      <c r="JR76" s="562"/>
      <c r="JS76" s="562"/>
      <c r="JT76" s="562"/>
      <c r="JU76" s="562"/>
      <c r="JV76" s="562"/>
      <c r="JW76" s="562"/>
      <c r="JX76" s="562"/>
      <c r="JY76" s="562"/>
      <c r="JZ76" s="562"/>
    </row>
    <row r="77" spans="1:286" s="132" customFormat="1" ht="12.75" customHeight="1" x14ac:dyDescent="0.2">
      <c r="A77" s="133"/>
      <c r="B77" s="10" t="s">
        <v>407</v>
      </c>
      <c r="C77" s="79"/>
      <c r="D77" s="79"/>
      <c r="E77" s="129"/>
      <c r="F77" s="129"/>
      <c r="G77" s="95"/>
      <c r="H77" s="95"/>
      <c r="I77" s="95"/>
      <c r="J77" s="95"/>
      <c r="K77" s="95"/>
      <c r="L77" s="79"/>
      <c r="M77" s="129"/>
      <c r="N77" s="79"/>
      <c r="O77" s="129"/>
      <c r="P77" s="79"/>
      <c r="Q77" s="129"/>
      <c r="R77" s="79"/>
      <c r="S77" s="95"/>
      <c r="T77" s="79"/>
      <c r="U77" s="129"/>
      <c r="V77" s="79"/>
      <c r="W77" s="129"/>
      <c r="X77" s="79"/>
      <c r="Y77" s="95"/>
      <c r="Z77" s="79"/>
      <c r="AA77" s="126"/>
      <c r="AB77" s="79"/>
      <c r="AC77" s="129">
        <f>-0.2-AE77</f>
        <v>-0.2</v>
      </c>
      <c r="AD77" s="79" t="str">
        <f>IF(ISERROR((AC77/U77-1)*100),"NA",IF(((AC77/U77-1)*100)&gt;100,"NM",IF(((AC77/U77-1)*100)&lt;-50,"NM",(AC77/U77-1)*100)))</f>
        <v>NA</v>
      </c>
      <c r="AE77" s="129">
        <v>0</v>
      </c>
      <c r="AF77" s="79" t="str">
        <f>IF(ISERROR((AE77/W77-1)*100),"NA",IF(((AE77/W77-1)*100)&gt;100,"NM",IF(((AE77/W77-1)*100)&lt;-50,"NM",(AE77/W77-1)*100)))</f>
        <v>NA</v>
      </c>
      <c r="AG77" s="95">
        <v>-0.2</v>
      </c>
      <c r="AH77" s="79" t="str">
        <f>IF(ISERROR((AG77/Y77-1)*100),"NA",IF(((AG77/Y77-1)*100)&gt;100,"NM",IF(((AG77/Y77-1)*100)&lt;-50,"NM",(AG77/Y77-1)*100)))</f>
        <v>NA</v>
      </c>
      <c r="AI77" s="75">
        <f>FH77-AG77-AE77-AC77</f>
        <v>-0.19999999999999996</v>
      </c>
      <c r="AJ77" s="79" t="str">
        <f>IF(ISERROR((AI77/AA77-1)*100),"NA",IF(((AI77/AA77-1)*100)&gt;100,"NM",IF(((AI77/AA77-1)*100)&lt;-50,"NM",(AI77/AA77-1)*100)))</f>
        <v>NA</v>
      </c>
      <c r="AK77" s="95">
        <f>0.3-AM77</f>
        <v>0</v>
      </c>
      <c r="AL77" s="79" t="str">
        <f>IF(ISERROR((AK77/AC77-1)*100),"NA",IF(((AK77/AC77-1)*100)&gt;100,"NM",IF(((AK77/AC77-1)*100)&lt;-50,"NM",(AK77/AC77-1)*100)))</f>
        <v>NM</v>
      </c>
      <c r="AM77" s="95">
        <v>0.3</v>
      </c>
      <c r="AN77" s="79" t="str">
        <f>IF(ISERROR((AM77/AE77-1)*100),"NA",IF(((AM77/AE77-1)*100)&gt;100,"NM",IF(((AM77/AE77-1)*100)&lt;-50,"NM",(AM77/AE77-1)*100)))</f>
        <v>NA</v>
      </c>
      <c r="AO77" s="95">
        <v>1.4</v>
      </c>
      <c r="AP77" s="79" t="str">
        <f>IF(ISERROR((AO77/AG77-1)*100),"NA",IF(((AO77/AG77-1)*100)&gt;100,"NM",IF(((AO77/AG77-1)*100)&lt;-50,"NM",(AO77/AG77-1)*100)))</f>
        <v>NM</v>
      </c>
      <c r="AQ77" s="95">
        <v>0.3</v>
      </c>
      <c r="AR77" s="79" t="str">
        <f>IF(ISERROR((AQ77/AI77-1)*100),"NA",IF(((AQ77/AI77-1)*100)&gt;100,"NM",IF(((AQ77/AI77-1)*100)&lt;-50,"NM",(AQ77/AI77-1)*100)))</f>
        <v>NM</v>
      </c>
      <c r="AS77" s="188">
        <v>0</v>
      </c>
      <c r="AT77" s="81" t="str">
        <f>IF(ISERROR((AS77/AK77-1)*100),"NA",IF(((AS77/AK77-1)*100)&gt;100,"NM",IF(((AS77/AK77-1)*100)&lt;-50,"NM",(AS77/AK77-1)*100)))</f>
        <v>NA</v>
      </c>
      <c r="AU77" s="188">
        <v>-0.1</v>
      </c>
      <c r="AV77" s="81" t="str">
        <f>IF(ISERROR((AU77/AM77-1)*100),"NA",IF(((AU77/AM77-1)*100)&gt;100,"NM",IF(((AU77/AM77-1)*100)&lt;-50,"NM",(AU77/AM77-1)*100)))</f>
        <v>NM</v>
      </c>
      <c r="AW77" s="188">
        <v>0.1</v>
      </c>
      <c r="AX77" s="81" t="str">
        <f>IF(ISERROR((AW77/AO77-1)*100),"NA",IF(((AW77/AO77-1)*100)&gt;100,"NM",IF(((AW77/AO77-1)*100)&lt;-50,"NM",(AW77/AO77-1)*100)))</f>
        <v>NM</v>
      </c>
      <c r="AY77" s="188">
        <v>0</v>
      </c>
      <c r="AZ77" s="81" t="str">
        <f>IF(ISERROR((AY77/AQ77-1)*100),"NA",IF(((AY77/AQ77-1)*100)&gt;100,"NM",IF(((AY77/AQ77-1)*100)&lt;-50,"NM",(AY77/AQ77-1)*100)))</f>
        <v>NM</v>
      </c>
      <c r="BA77" s="188">
        <v>0.6</v>
      </c>
      <c r="BB77" s="81" t="str">
        <f>IF(ISERROR((BA77/AS77-1)*100),"NA",IF(((BA77/AS77-1)*100)&gt;100,"NM",IF(((BA77/AS77-1)*100)&lt;-50,"NM",(BA77/AS77-1)*100)))</f>
        <v>NA</v>
      </c>
      <c r="BC77" s="188">
        <v>0.6</v>
      </c>
      <c r="BD77" s="81" t="str">
        <f>IF(ISERROR((BC77/AU77-1)*100),"NA",IF(((BC77/AU77-1)*100)&gt;100,"NM",IF(((BC77/AU77-1)*100)&lt;-50,"NM",(BC77/AU77-1)*100)))</f>
        <v>NM</v>
      </c>
      <c r="BE77" s="188">
        <v>0.7</v>
      </c>
      <c r="BF77" s="81" t="str">
        <f>IF(ISERROR((BE77/AW77-1)*100),"NA",IF(((BE77/AW77-1)*100)&gt;100,"NM",IF(((BE77/AW77-1)*100)&lt;-50,"NM",(BE77/AW77-1)*100)))</f>
        <v>NM</v>
      </c>
      <c r="BG77" s="188">
        <v>0.5</v>
      </c>
      <c r="BH77" s="81" t="str">
        <f>IF(ISERROR((BG77/AY77-1)*100),"NA",IF(((BG77/AY77-1)*100)&gt;100,"NM",IF(((BG77/AY77-1)*100)&lt;-50,"NM",(BG77/AY77-1)*100)))</f>
        <v>NA</v>
      </c>
      <c r="BI77" s="188">
        <v>0.5</v>
      </c>
      <c r="BJ77" s="81">
        <f>IF(ISERROR((BI77/BA77-1)*100),"NA",IF(((BI77/BA77-1)*100)&gt;100,"NM",IF(((BI77/BA77-1)*100)&lt;-50,"NM",(BI77/BA77-1)*100)))</f>
        <v>-16.666666666666664</v>
      </c>
      <c r="BK77" s="188">
        <v>0.7</v>
      </c>
      <c r="BL77" s="81">
        <f>IF(ISERROR((BK77/BC77-1)*100),"NA",IF(((BK77/BC77-1)*100)&gt;100,"NM",IF(((BK77/BC77-1)*100)&lt;-50,"NM",(BK77/BC77-1)*100)))</f>
        <v>16.666666666666675</v>
      </c>
      <c r="BM77" s="188">
        <v>0.5</v>
      </c>
      <c r="BN77" s="81">
        <f>IF(ISERROR((BM77/BE77-1)*100),"NA",IF(((BM77/BE77-1)*100)&gt;100,"NM",IF(((BM77/BE77-1)*100)&lt;-50,"NM",(BM77/BE77-1)*100)))</f>
        <v>-28.571428571428569</v>
      </c>
      <c r="BO77" s="188">
        <v>0.6</v>
      </c>
      <c r="BP77" s="81">
        <f>IF(ISERROR((BO77/BG77-1)*100),"NA",IF(((BO77/BG77-1)*100)&gt;100,"NM",IF(((BO77/BG77-1)*100)&lt;-50,"NM",(BO77/BG77-1)*100)))</f>
        <v>19.999999999999996</v>
      </c>
      <c r="BQ77" s="188">
        <v>0.5</v>
      </c>
      <c r="BR77" s="81">
        <f>IF(ISERROR((BQ77/BI77-1)*100),"NA",IF(((BQ77/BI77-1)*100)&gt;100,"NM",IF(((BQ77/BI77-1)*100)&lt;-50,"NM",(BQ77/BI77-1)*100)))</f>
        <v>0</v>
      </c>
      <c r="BS77" s="188">
        <v>0.6</v>
      </c>
      <c r="BT77" s="81">
        <f>IF(ISERROR((BS77/BK77-1)*100),"NA",IF(((BS77/BK77-1)*100)&gt;100,"NM",IF(((BS77/BK77-1)*100)&lt;-50,"NM",(BS77/BK77-1)*100)))</f>
        <v>-14.285714285714279</v>
      </c>
      <c r="BU77" s="188">
        <v>0.5</v>
      </c>
      <c r="BV77" s="81">
        <f>IF(ISERROR((BU77/BM77-1)*100),"NA",IF(((BU77/BM77-1)*100)&gt;100,"NM",IF(((BU77/BM77-1)*100)&lt;-50,"NM",(BU77/BM77-1)*100)))</f>
        <v>0</v>
      </c>
      <c r="BW77" s="188">
        <v>0.3</v>
      </c>
      <c r="BX77" s="81">
        <f>IF(ISERROR((BW77/BO77-1)*100),"NA",IF(((BW77/BO77-1)*100)&gt;100,"NM",IF(((BW77/BO77-1)*100)&lt;-50,"NM",(BW77/BO77-1)*100)))</f>
        <v>-50</v>
      </c>
      <c r="BY77" s="188">
        <v>0.6</v>
      </c>
      <c r="BZ77" s="81">
        <f>IF(ISERROR((BY77/BQ77-1)*100),"NA",IF(((BY77/BQ77-1)*100)&gt;100,"NM",IF(((BY77/BQ77-1)*100)&lt;-50,"NM",(BY77/BQ77-1)*100)))</f>
        <v>19.999999999999996</v>
      </c>
      <c r="CA77" s="188">
        <v>0.6</v>
      </c>
      <c r="CB77" s="81">
        <f>IF(ISERROR((CA77/BS77-1)*100),"NA",IF(((CA77/BS77-1)*100)&gt;100,"NM",IF(((CA77/BS77-1)*100)&lt;-50,"NM",(CA77/BS77-1)*100)))</f>
        <v>0</v>
      </c>
      <c r="CC77" s="188">
        <v>0.6</v>
      </c>
      <c r="CD77" s="81">
        <f>IF(ISERROR((CC77/BU77-1)*100),"NA",IF(((CC77/BU77-1)*100)&gt;100,"NM",IF(((CC77/BU77-1)*100)&lt;-50,"NM",(CC77/BU77-1)*100)))</f>
        <v>19.999999999999996</v>
      </c>
      <c r="CE77" s="188">
        <v>0.6</v>
      </c>
      <c r="CF77" s="81">
        <f>IF(ISERROR((CE77/BW77-1)*100),"NA",IF(((CE77/BW77-1)*100)&gt;100,"NM",IF(((CE77/BW77-1)*100)&lt;-50,"NM",(CE77/BW77-1)*100)))</f>
        <v>100</v>
      </c>
      <c r="CG77" s="188">
        <v>0.5</v>
      </c>
      <c r="CH77" s="81">
        <f>IF(ISERROR((CG77/BY77-1)*100),"NA",IF(((CG77/BY77-1)*100)&gt;100,"NM",IF(((CG77/BY77-1)*100)&lt;-50,"NM",(CG77/BY77-1)*100)))</f>
        <v>-16.666666666666664</v>
      </c>
      <c r="CI77" s="188">
        <v>0.7</v>
      </c>
      <c r="CJ77" s="81">
        <f>IF(ISERROR((CI77/CA77-1)*100),"NA",IF(((CI77/CA77-1)*100)&gt;100,"NM",IF(((CI77/CA77-1)*100)&lt;-50,"NM",(CI77/CA77-1)*100)))</f>
        <v>16.666666666666675</v>
      </c>
      <c r="CK77" s="188">
        <v>0.5</v>
      </c>
      <c r="CL77" s="81">
        <f>IF(ISERROR((CK77/CC77-1)*100),"NA",IF(((CK77/CC77-1)*100)&gt;100,"NM",IF(((CK77/CC77-1)*100)&lt;-50,"NM",(CK77/CC77-1)*100)))</f>
        <v>-16.666666666666664</v>
      </c>
      <c r="CM77" s="188">
        <v>0.5</v>
      </c>
      <c r="CN77" s="81">
        <f>IF(ISERROR((CM77/CE77-1)*100),"NA",IF(((CM77/CE77-1)*100)&gt;100,"NM",IF(((CM77/CE77-1)*100)&lt;-50,"NM",(CM77/CE77-1)*100)))</f>
        <v>-16.666666666666664</v>
      </c>
      <c r="CO77" s="188">
        <v>0.5</v>
      </c>
      <c r="CP77" s="81">
        <f>IF(ISERROR((CO77/CG77-1)*100),"NA",IF(((CO77/CG77-1)*100)&gt;100,"NM",IF(((CO77/CG77-1)*100)&lt;-50,"NM",(CO77/CG77-1)*100)))</f>
        <v>0</v>
      </c>
      <c r="CQ77" s="188">
        <v>0.4</v>
      </c>
      <c r="CR77" s="81">
        <f>IF(ISERROR((CQ77/CI77-1)*100),"NA",IF(((CQ77/CI77-1)*100)&gt;100,"NM",IF(((CQ77/CI77-1)*100)&lt;-50,"NM",(CQ77/CI77-1)*100)))</f>
        <v>-42.857142857142847</v>
      </c>
      <c r="CS77" s="188">
        <v>0.6</v>
      </c>
      <c r="CT77" s="81">
        <f>IF(ISERROR((CS77/CK77-1)*100),"NA",IF(((CS77/CK77-1)*100)&gt;100,"NM",IF(((CS77/CK77-1)*100)&lt;-50,"NM",(CS77/CK77-1)*100)))</f>
        <v>19.999999999999996</v>
      </c>
      <c r="CU77" s="188">
        <v>0.4</v>
      </c>
      <c r="CV77" s="81">
        <f>IF(ISERROR((CU77/CM77-1)*100),"NA",IF(((CU77/CM77-1)*100)&gt;100,"NM",IF(((CU77/CM77-1)*100)&lt;-50,"NM",(CU77/CM77-1)*100)))</f>
        <v>-19.999999999999996</v>
      </c>
      <c r="CW77" s="188">
        <v>0.5</v>
      </c>
      <c r="CX77" s="81">
        <f>IF(ISERROR((CW77/CO77-1)*100),"NA",IF(((CW77/CO77-1)*100)&gt;100,"NM",IF(((CW77/CO77-1)*100)&lt;-50,"NM",(CW77/CO77-1)*100)))</f>
        <v>0</v>
      </c>
      <c r="CY77" s="188">
        <v>0.4</v>
      </c>
      <c r="CZ77" s="81">
        <f>IF(ISERROR((CY77/CQ77-1)*100),"NA",IF(((CY77/CQ77-1)*100)&gt;100,"NM",IF(((CY77/CQ77-1)*100)&lt;-50,"NM",(CY77/CQ77-1)*100)))</f>
        <v>0</v>
      </c>
      <c r="DA77" s="188">
        <v>0.6</v>
      </c>
      <c r="DB77" s="81">
        <f>IF(ISERROR((DA77/CS77-1)*100),"NA",IF(((DA77/CS77-1)*100)&gt;100,"NM",IF(((DA77/CS77-1)*100)&lt;-50,"NM",(DA77/CS77-1)*100)))</f>
        <v>0</v>
      </c>
      <c r="DC77" s="188">
        <v>0.3</v>
      </c>
      <c r="DD77" s="81">
        <f>IF(ISERROR((DC77/CU77-1)*100),"NA",IF(((DC77/CU77-1)*100)&gt;100,"NM",IF(((DC77/CU77-1)*100)&lt;-50,"NM",(DC77/CU77-1)*100)))</f>
        <v>-25.000000000000011</v>
      </c>
      <c r="DE77" s="188">
        <v>0.4</v>
      </c>
      <c r="DF77" s="81">
        <f>IF(ISERROR((DE77/CW77-1)*100),"NA",IF(((DE77/CW77-1)*100)&gt;100,"NM",IF(((DE77/CW77-1)*100)&lt;-50,"NM",(DE77/CW77-1)*100)))</f>
        <v>-19.999999999999996</v>
      </c>
      <c r="DG77" s="188">
        <v>0.4</v>
      </c>
      <c r="DH77" s="81">
        <f>IF(ISERROR((DG77/CY77-1)*100),"NA",IF(((DG77/CY77-1)*100)&gt;100,"NM",IF(((DG77/CY77-1)*100)&lt;-50,"NM",(DG77/CY77-1)*100)))</f>
        <v>0</v>
      </c>
      <c r="DI77" s="188">
        <v>0.4</v>
      </c>
      <c r="DJ77" s="81">
        <f>IF(ISERROR((DI77/DA77-1)*100),"NA",IF(((DI77/DA77-1)*100)&gt;100,"NM",IF(((DI77/DA77-1)*100)&lt;-50,"NM",(DI77/DA77-1)*100)))</f>
        <v>-33.333333333333329</v>
      </c>
      <c r="DK77" s="188">
        <v>0.2</v>
      </c>
      <c r="DL77" s="81">
        <f>IF(ISERROR((DK77/DC77-1)*100),"NA",IF(((DK77/DC77-1)*100)&gt;100,"NM",IF(((DK77/DC77-1)*100)&lt;-50,"NM",(DK77/DC77-1)*100)))</f>
        <v>-33.333333333333329</v>
      </c>
      <c r="DM77" s="188">
        <v>0.3</v>
      </c>
      <c r="DN77" s="81">
        <f>IF(ISERROR((DM77/DE77-1)*100),"NA",IF(((DM77/DE77-1)*100)&gt;100,"NM",IF(((DM77/DE77-1)*100)&lt;-50,"NM",(DM77/DE77-1)*100)))</f>
        <v>-25.000000000000011</v>
      </c>
      <c r="DO77" s="188">
        <v>0.7</v>
      </c>
      <c r="DP77" s="81">
        <f>IF(ISERROR((DO77/DG77-1)*100),"NA",IF(((DO77/DG77-1)*100)&gt;100,"NM",IF(((DO77/DG77-1)*100)&lt;-50,"NM",(DO77/DG77-1)*100)))</f>
        <v>74.999999999999972</v>
      </c>
      <c r="DQ77" s="188">
        <v>0.5</v>
      </c>
      <c r="DR77" s="81">
        <f>IF(ISERROR((DQ77/DI77-1)*100),"NA",IF(((DQ77/DI77-1)*100)&gt;100,"NM",IF(((DQ77/DI77-1)*100)&lt;-50,"NM",(DQ77/DI77-1)*100)))</f>
        <v>25</v>
      </c>
      <c r="DS77" s="188">
        <v>0.6</v>
      </c>
      <c r="DT77" s="81" t="str">
        <f>IF(ISERROR((DS77/DK77-1)*100),"NA",IF(((DS77/DK77-1)*100)&gt;100,"NM",IF(((DS77/DK77-1)*100)&lt;-50,"NM",(DS77/DK77-1)*100)))</f>
        <v>NM</v>
      </c>
      <c r="DU77" s="188">
        <v>1</v>
      </c>
      <c r="DV77" s="81" t="str">
        <f>IF(ISERROR((DU77/DM77-1)*100),"NA",IF(((DU77/DM77-1)*100)&gt;100,"NM",IF(((DU77/DM77-1)*100)&lt;-50,"NM",(DU77/DM77-1)*100)))</f>
        <v>NM</v>
      </c>
      <c r="DW77" s="188">
        <v>1.2</v>
      </c>
      <c r="DX77" s="81">
        <f>IF(ISERROR((DW77/DO77-1)*100),"NA",IF(((DW77/DO77-1)*100)&gt;100,"NM",IF(((DW77/DO77-1)*100)&lt;-50,"NM",(DW77/DO77-1)*100)))</f>
        <v>71.428571428571445</v>
      </c>
      <c r="DY77" s="188">
        <v>1.1000000000000001</v>
      </c>
      <c r="DZ77" s="81" t="str">
        <f>IF(ISERROR((DY77/DQ77-1)*100),"NA",IF(((DY77/DQ77-1)*100)&gt;100,"NM",IF(((DY77/DQ77-1)*100)&lt;-50,"NM",(DY77/DQ77-1)*100)))</f>
        <v>NM</v>
      </c>
      <c r="EA77" s="188">
        <v>1.2</v>
      </c>
      <c r="EB77" s="81">
        <f>IF(ISERROR((EA77/DS77-1)*100),"NA",IF(((EA77/DS77-1)*100)&gt;100,"NM",IF(((EA77/DS77-1)*100)&lt;-50,"NM",(EA77/DS77-1)*100)))</f>
        <v>100</v>
      </c>
      <c r="EC77" s="188">
        <v>1</v>
      </c>
      <c r="ED77" s="81">
        <f t="shared" si="316"/>
        <v>0</v>
      </c>
      <c r="EE77" s="188">
        <v>1.2</v>
      </c>
      <c r="EF77" s="81">
        <f t="shared" si="317"/>
        <v>0</v>
      </c>
      <c r="EG77" s="188">
        <v>1.4</v>
      </c>
      <c r="EH77" s="81">
        <f t="shared" si="318"/>
        <v>27.272727272727249</v>
      </c>
      <c r="EI77" s="188">
        <v>1.2</v>
      </c>
      <c r="EJ77" s="81">
        <f t="shared" si="319"/>
        <v>0</v>
      </c>
      <c r="EK77" s="188">
        <f t="shared" ref="EK77" si="324">EC77*1.025</f>
        <v>1.0249999999999999</v>
      </c>
      <c r="EL77" s="81">
        <f t="shared" si="320"/>
        <v>2.4999999999999911</v>
      </c>
      <c r="EM77" s="188">
        <f t="shared" ref="EM77" si="325">EE77*1.025</f>
        <v>1.2299999999999998</v>
      </c>
      <c r="EN77" s="81">
        <f t="shared" si="321"/>
        <v>2.4999999999999911</v>
      </c>
      <c r="EO77" s="188">
        <f t="shared" ref="EO77" si="326">EG77*1.025</f>
        <v>1.4349999999999998</v>
      </c>
      <c r="EP77" s="81">
        <f t="shared" si="322"/>
        <v>2.4999999999999911</v>
      </c>
      <c r="EQ77" s="188">
        <f t="shared" ref="EQ77" si="327">EI77*1.025</f>
        <v>1.2299999999999998</v>
      </c>
      <c r="ER77" s="81">
        <f t="shared" si="323"/>
        <v>2.4999999999999911</v>
      </c>
      <c r="ES77" s="105"/>
      <c r="ET77" s="475"/>
      <c r="EU77" s="105"/>
      <c r="EV77" s="105"/>
      <c r="EW77" s="201"/>
      <c r="EX77" s="105"/>
      <c r="EY77" s="201"/>
      <c r="EZ77" s="202"/>
      <c r="FA77" s="201"/>
      <c r="FB77" s="103"/>
      <c r="FC77" s="201"/>
      <c r="FD77" s="105">
        <v>2.6</v>
      </c>
      <c r="FE77" s="201" t="str">
        <f>IF(ISERROR((FD77/FB77-1)*100),"NA",IF(((FD77/FB77-1)*100)&gt;100,"NM",IF(((FD77/FB77-1)*100)&lt;-50,"NM",(FD77/FB77-1)*100)))</f>
        <v>NA</v>
      </c>
      <c r="FF77" s="105">
        <v>0.5</v>
      </c>
      <c r="FG77" s="201" t="str">
        <f>IF(ISERROR((FF77/FD77-1)*100),"NA",IF(((FF77/FD77-1)*100)&gt;100,"NM",IF(((FF77/FD77-1)*100)&lt;-50,"NM",(FF77/FD77-1)*100)))</f>
        <v>NM</v>
      </c>
      <c r="FH77" s="105">
        <v>-0.6</v>
      </c>
      <c r="FI77" s="201" t="str">
        <f>IF(ISERROR((FH77/FF77-1)*100),"NA",IF(((FH77/FF77-1)*100)&gt;100,"NM",IF(((FH77/FF77-1)*100)&lt;-50,"NM",(FH77/FF77-1)*100)))</f>
        <v>NM</v>
      </c>
      <c r="FJ77" s="103">
        <f>+AQ77+AO77+AM77+AK77</f>
        <v>2</v>
      </c>
      <c r="FK77" s="201" t="str">
        <f>IF(ISERROR((FJ77/FH77-1)*100),"NA",IF(((FJ77/FH77-1)*100)&gt;100,"NM",IF(((FJ77/FH77-1)*100)&lt;-50,"NM",(FJ77/FH77-1)*100)))</f>
        <v>NM</v>
      </c>
      <c r="FL77" s="78">
        <f>AS77+AU77+AW77+AY77</f>
        <v>0</v>
      </c>
      <c r="FM77" s="201" t="str">
        <f>IF(ISERROR((FL77/FJ77-1)*100),"NA",IF(((FL77/FJ77-1)*100)&gt;100,"NM",IF(((FL77/FJ77-1)*100)&lt;-50,"NM",(FL77/FJ77-1)*100)))</f>
        <v>NM</v>
      </c>
      <c r="FN77" s="78">
        <f>BA77+BC77+BE77+BG77</f>
        <v>2.4</v>
      </c>
      <c r="FO77" s="201" t="str">
        <f>IF(ISERROR((FN77/FL77-1)*100),"NA",IF(((FN77/FL77-1)*100)&gt;100,"NM",IF(((FN77/FL77-1)*100)&lt;-50,"NM",(FN77/FL77-1)*100)))</f>
        <v>NA</v>
      </c>
      <c r="FP77" s="78">
        <f>BI77+BK77+BM77+BO77</f>
        <v>2.2999999999999998</v>
      </c>
      <c r="FQ77" s="201">
        <f>IF(ISERROR((FP77/FN77-1)*100),"NA",IF(((FP77/FN77-1)*100)&gt;100,"NM",IF(((FP77/FN77-1)*100)&lt;-50,"NM",(FP77/FN77-1)*100)))</f>
        <v>-4.1666666666666741</v>
      </c>
      <c r="FR77" s="96">
        <f>BQ77+BS77+BU77+BW77</f>
        <v>1.9000000000000001</v>
      </c>
      <c r="FS77" s="201">
        <f>IF(ISERROR((FR77/FP77-1)*100),"NA",IF(((FR77/FP77-1)*100)&gt;100,"NM",IF(((FR77/FP77-1)*100)&lt;-50,"NM",(FR77/FP77-1)*100)))</f>
        <v>-17.391304347826075</v>
      </c>
      <c r="FT77" s="96">
        <f>BY77+CA77+CC77+CE77</f>
        <v>2.4</v>
      </c>
      <c r="FU77" s="201">
        <f>IF(ISERROR((FT77/FR77-1)*100),"NA",IF(((FT77/FR77-1)*100)&gt;100,"NM",IF(((FT77/FR77-1)*100)&lt;-50,"NM",(FT77/FR77-1)*100)))</f>
        <v>26.315789473684205</v>
      </c>
      <c r="FV77" s="96">
        <f>CG77+CI77+CK77+CM77</f>
        <v>2.2000000000000002</v>
      </c>
      <c r="FW77" s="201">
        <f>IF(ISERROR((FV77/FT77-1)*100),"NA",IF(((FV77/FT77-1)*100)&gt;100,"NM",IF(((FV77/FT77-1)*100)&lt;-50,"NM",(FV77/FT77-1)*100)))</f>
        <v>-8.333333333333325</v>
      </c>
      <c r="FX77" s="96">
        <f>CO77+CQ77+CS77+CU77</f>
        <v>1.9</v>
      </c>
      <c r="FY77" s="201">
        <f>IF(ISERROR((FX77/FV77-1)*100),"NA",IF(((FX77/FV77-1)*100)&gt;100,"NM",IF(((FX77/FV77-1)*100)&lt;-50,"NM",(FX77/FV77-1)*100)))</f>
        <v>-13.636363636363647</v>
      </c>
      <c r="FZ77" s="96">
        <f>CW77+CY77+DA77+DC77</f>
        <v>1.8</v>
      </c>
      <c r="GA77" s="79">
        <f>IF(ISERROR((FZ77/FX77-1)*100),"NA",IF(((FZ77/FX77-1)*100)&gt;100,"NM",IF(((FZ77/FX77-1)*100)&lt;-50,"NM",(FZ77/FX77-1)*100)))</f>
        <v>-5.2631578947368363</v>
      </c>
      <c r="GB77" s="96">
        <f>DE77+DG77+DI77+DK77</f>
        <v>1.4000000000000001</v>
      </c>
      <c r="GC77" s="79">
        <f>IF(ISERROR((GB77/FZ77-1)*100),"NA",IF(((GB77/FZ77-1)*100)&gt;100,"NM",IF(((GB77/FZ77-1)*100)&lt;-50,"NM",(GB77/FZ77-1)*100)))</f>
        <v>-22.222222222222221</v>
      </c>
      <c r="GD77" s="96">
        <f>DM77+DO77+DQ77+DS77</f>
        <v>2.1</v>
      </c>
      <c r="GE77" s="79">
        <f>IF(ISERROR((GD77/GB77-1)*100),"NA",IF(((GD77/GB77-1)*100)&gt;100,"NM",IF(((GD77/GB77-1)*100)&lt;-50,"NM",(GD77/GB77-1)*100)))</f>
        <v>50</v>
      </c>
      <c r="GF77" s="96">
        <f>DU77+DW77+DY77+EA77</f>
        <v>4.5</v>
      </c>
      <c r="GG77" s="79" t="str">
        <f>IF(ISERROR((GF77/GD77-1)*100),"NA",IF(((GF77/GD77-1)*100)&gt;100,"NM",IF(((GF77/GD77-1)*100)&lt;-50,"NM",(GF77/GD77-1)*100)))</f>
        <v>NM</v>
      </c>
      <c r="GH77" s="96">
        <f>EC77+EE77+EG77+EI77</f>
        <v>4.8</v>
      </c>
      <c r="GI77" s="79">
        <f>IF(ISERROR((GH77/GF77-1)*100),"NA",IF(((GH77/GF77-1)*100)&gt;100,"NM",IF(((GH77/GF77-1)*100)&lt;-50,"NM",(GH77/GF77-1)*100)))</f>
        <v>6.6666666666666652</v>
      </c>
      <c r="GJ77" s="96">
        <f>EK77+EM77+EO77+EQ77</f>
        <v>4.919999999999999</v>
      </c>
      <c r="GK77" s="79">
        <f>IF(ISERROR((GJ77/GH77-1)*100),"NA",IF(((GJ77/GH77-1)*100)&gt;100,"NM",IF(((GJ77/GH77-1)*100)&lt;-50,"NM",(GJ77/GH77-1)*100)))</f>
        <v>2.4999999999999911</v>
      </c>
      <c r="GL77" s="188">
        <f>+GJ77*1.04</f>
        <v>5.1167999999999996</v>
      </c>
      <c r="GM77" s="79">
        <f>IF(ISERROR((GL77/GJ77-1)*100),"NA",IF(((GL77/GJ77-1)*100)&gt;100,"NM",IF(((GL77/GJ77-1)*100)&lt;-50,"NM",(GL77/GJ77-1)*100)))</f>
        <v>4.0000000000000036</v>
      </c>
      <c r="GN77" s="188">
        <f>+GL77*1.04</f>
        <v>5.321472</v>
      </c>
      <c r="GO77" s="79">
        <f>IF(ISERROR((GN77/GL77-1)*100),"NA",IF(((GN77/GL77-1)*100)&gt;100,"NM",IF(((GN77/GL77-1)*100)&lt;-50,"NM",(GN77/GL77-1)*100)))</f>
        <v>4.0000000000000036</v>
      </c>
      <c r="GP77" s="188">
        <f>+GN77*1.04</f>
        <v>5.5343308799999997</v>
      </c>
      <c r="GQ77" s="79">
        <f>IF(ISERROR((GP77/GN77-1)*100),"NA",IF(((GP77/GN77-1)*100)&gt;100,"NM",IF(((GP77/GN77-1)*100)&lt;-50,"NM",(GP77/GN77-1)*100)))</f>
        <v>4.0000000000000036</v>
      </c>
      <c r="GR77" s="188">
        <f>+GP77*1.04</f>
        <v>5.7557041152000004</v>
      </c>
      <c r="GS77" s="79">
        <f>IF(ISERROR((GR77/GP77-1)*100),"NA",IF(((GR77/GP77-1)*100)&gt;100,"NM",IF(((GR77/GP77-1)*100)&lt;-50,"NM",(GR77/GP77-1)*100)))</f>
        <v>4.0000000000000036</v>
      </c>
      <c r="GT77" s="79">
        <f>IF(ISERROR(((GR77/GH77)^0.2-1)*100),"NA",(IF(OR(((GR77/GH77)^0.2-1)*100&gt;99,((GR77/GH77)^0.2-1)*100&lt;-50),"NM",(((GR77/GH77)^0.2-1)*100))))</f>
        <v>3.6982541000633473</v>
      </c>
      <c r="GU77" s="562"/>
      <c r="GV77" s="562"/>
      <c r="GW77"/>
      <c r="GX77"/>
      <c r="GY77"/>
      <c r="GZ77"/>
      <c r="HA77"/>
      <c r="HB77"/>
      <c r="HC77" s="562"/>
      <c r="HD77" s="562"/>
      <c r="HE77" s="562"/>
      <c r="HF77" s="562"/>
      <c r="HG77" s="562"/>
      <c r="HH77" s="562"/>
      <c r="HI77" s="562"/>
      <c r="HJ77" s="562"/>
      <c r="HK77" s="562"/>
      <c r="HL77" s="562"/>
      <c r="HM77" s="562"/>
      <c r="HN77" s="562"/>
      <c r="HO77" s="562"/>
      <c r="HP77" s="562"/>
      <c r="HQ77" s="562"/>
      <c r="HR77" s="562"/>
      <c r="HS77" s="562"/>
      <c r="HT77" s="562"/>
      <c r="HU77" s="562"/>
      <c r="HV77" s="562"/>
      <c r="HW77" s="562"/>
      <c r="HX77" s="562"/>
      <c r="HY77" s="562"/>
      <c r="HZ77" s="562"/>
      <c r="IA77" s="562"/>
      <c r="IB77" s="562"/>
      <c r="IC77" s="562"/>
      <c r="ID77" s="562"/>
      <c r="IE77" s="562"/>
      <c r="IF77" s="562"/>
      <c r="IG77" s="562"/>
      <c r="IH77" s="562"/>
      <c r="II77" s="562"/>
      <c r="IJ77" s="562"/>
      <c r="IK77" s="562"/>
      <c r="IL77" s="562"/>
      <c r="IM77" s="562"/>
      <c r="IN77" s="562"/>
      <c r="IO77" s="562"/>
      <c r="IP77" s="562"/>
      <c r="IQ77" s="562"/>
      <c r="IR77" s="562"/>
      <c r="IS77" s="562"/>
      <c r="IT77" s="562"/>
      <c r="IU77" s="562"/>
      <c r="IV77" s="562"/>
      <c r="IW77" s="562"/>
      <c r="IX77" s="562"/>
      <c r="IY77" s="562"/>
      <c r="IZ77" s="562"/>
      <c r="JA77" s="562"/>
      <c r="JB77" s="562"/>
      <c r="JC77" s="562"/>
      <c r="JD77" s="562"/>
      <c r="JE77" s="562"/>
      <c r="JF77" s="562"/>
      <c r="JG77" s="562"/>
      <c r="JH77" s="562"/>
      <c r="JI77" s="562"/>
      <c r="JJ77" s="562"/>
      <c r="JK77" s="562"/>
      <c r="JL77" s="562"/>
      <c r="JM77" s="562"/>
      <c r="JN77" s="562"/>
      <c r="JO77" s="562"/>
      <c r="JP77" s="562"/>
      <c r="JQ77" s="562"/>
      <c r="JR77" s="562"/>
      <c r="JS77" s="562"/>
      <c r="JT77" s="562"/>
      <c r="JU77" s="562"/>
      <c r="JV77" s="562"/>
      <c r="JW77" s="562"/>
      <c r="JX77" s="562"/>
      <c r="JY77" s="562"/>
      <c r="JZ77" s="562"/>
    </row>
    <row r="78" spans="1:286" s="132" customFormat="1" ht="12.75" customHeight="1" x14ac:dyDescent="0.2">
      <c r="A78" s="133"/>
      <c r="B78" s="83" t="s">
        <v>56</v>
      </c>
      <c r="C78" s="139"/>
      <c r="D78" s="139"/>
      <c r="E78" s="199"/>
      <c r="F78" s="139"/>
      <c r="G78" s="199"/>
      <c r="H78" s="139"/>
      <c r="I78" s="199"/>
      <c r="J78" s="139"/>
      <c r="K78" s="199"/>
      <c r="L78" s="79"/>
      <c r="M78" s="199"/>
      <c r="N78" s="79"/>
      <c r="O78" s="199"/>
      <c r="P78" s="79"/>
      <c r="Q78" s="199"/>
      <c r="R78" s="79"/>
      <c r="S78" s="199"/>
      <c r="T78" s="79"/>
      <c r="U78" s="199"/>
      <c r="V78" s="79"/>
      <c r="W78" s="199"/>
      <c r="X78" s="79"/>
      <c r="Y78" s="199"/>
      <c r="Z78" s="79"/>
      <c r="AA78" s="203"/>
      <c r="AB78" s="79"/>
      <c r="AC78" s="199">
        <f>SUM(AC75:AC77)</f>
        <v>446.60000000000008</v>
      </c>
      <c r="AD78" s="79" t="str">
        <f>IF(ISERROR((AC78/U78-1)*100),"NA",IF(((AC78/U78-1)*100)&gt;100,"NM",IF(((AC78/U78-1)*100)&lt;-50,"NM",(AC78/U78-1)*100)))</f>
        <v>NA</v>
      </c>
      <c r="AE78" s="199">
        <f>SUM(AE75:AE77)</f>
        <v>445.1</v>
      </c>
      <c r="AF78" s="79" t="str">
        <f>IF(ISERROR((AE78/W78-1)*100),"NA",IF(((AE78/W78-1)*100)&gt;100,"NM",IF(((AE78/W78-1)*100)&lt;-50,"NM",(AE78/W78-1)*100)))</f>
        <v>NA</v>
      </c>
      <c r="AG78" s="199">
        <f>SUM(AG75:AG77)</f>
        <v>435.20000000000005</v>
      </c>
      <c r="AH78" s="79" t="str">
        <f>IF(ISERROR((AG78/Y78-1)*100),"NA",IF(((AG78/Y78-1)*100)&gt;100,"NM",IF(((AG78/Y78-1)*100)&lt;-50,"NM",(AG78/Y78-1)*100)))</f>
        <v>NA</v>
      </c>
      <c r="AI78" s="199">
        <f>SUM(AI75:AI77)</f>
        <v>443.80000000000013</v>
      </c>
      <c r="AJ78" s="79" t="str">
        <f>IF(ISERROR((AI78/AA78-1)*100),"NA",IF(((AI78/AA78-1)*100)&gt;100,"NM",IF(((AI78/AA78-1)*100)&lt;-50,"NM",(AI78/AA78-1)*100)))</f>
        <v>NA</v>
      </c>
      <c r="AK78" s="199">
        <f>SUM(AK75:AK77)</f>
        <v>409.50000000000006</v>
      </c>
      <c r="AL78" s="79">
        <f>IF(ISERROR((AK78/AC78-1)*100),"NA",IF(((AK78/AC78-1)*100)&gt;100,"NM",IF(((AK78/AC78-1)*100)&lt;-50,"NM",(AK78/AC78-1)*100)))</f>
        <v>-8.3072100313479673</v>
      </c>
      <c r="AM78" s="199">
        <f>SUM(AM75:AM77)</f>
        <v>410</v>
      </c>
      <c r="AN78" s="79">
        <f>IF(ISERROR((AM78/AE78-1)*100),"NA",IF(((AM78/AE78-1)*100)&gt;100,"NM",IF(((AM78/AE78-1)*100)&lt;-50,"NM",(AM78/AE78-1)*100)))</f>
        <v>-7.8858683441923265</v>
      </c>
      <c r="AO78" s="199">
        <f>SUM(AO75:AO77)</f>
        <v>393.49999999999994</v>
      </c>
      <c r="AP78" s="79">
        <f>IF(ISERROR((AO78/AG78-1)*100),"NA",IF(((AO78/AG78-1)*100)&gt;100,"NM",IF(((AO78/AG78-1)*100)&lt;-50,"NM",(AO78/AG78-1)*100)))</f>
        <v>-9.5818014705882586</v>
      </c>
      <c r="AQ78" s="199">
        <f>SUM(AQ75:AQ77)</f>
        <v>404.1</v>
      </c>
      <c r="AR78" s="79">
        <f>IF(ISERROR((AQ78/AI78-1)*100),"NA",IF(((AQ78/AI78-1)*100)&gt;100,"NM",IF(((AQ78/AI78-1)*100)&lt;-50,"NM",(AQ78/AI78-1)*100)))</f>
        <v>-8.9454709328526612</v>
      </c>
      <c r="AS78" s="199">
        <f>SUM(AS75:AS77)</f>
        <v>393.90000000000003</v>
      </c>
      <c r="AT78" s="81">
        <f>IF(ISERROR((AS78/AK78-1)*100),"NA",IF(((AS78/AK78-1)*100)&gt;100,"NM",IF(((AS78/AK78-1)*100)&lt;-50,"NM",(AS78/AK78-1)*100)))</f>
        <v>-3.8095238095238182</v>
      </c>
      <c r="AU78" s="199">
        <f>SUM(AU75:AU77)</f>
        <v>396.59999999999997</v>
      </c>
      <c r="AV78" s="81">
        <f>IF(ISERROR((AU78/AM78-1)*100),"NA",IF(((AU78/AM78-1)*100)&gt;100,"NM",IF(((AU78/AM78-1)*100)&lt;-50,"NM",(AU78/AM78-1)*100)))</f>
        <v>-3.2682926829268322</v>
      </c>
      <c r="AW78" s="199">
        <f>SUM(AW75:AW77)</f>
        <v>366.1</v>
      </c>
      <c r="AX78" s="81">
        <f>IF(ISERROR((AW78/AO78-1)*100),"NA",IF(((AW78/AO78-1)*100)&gt;100,"NM",IF(((AW78/AO78-1)*100)&lt;-50,"NM",(AW78/AO78-1)*100)))</f>
        <v>-6.9631512071156143</v>
      </c>
      <c r="AY78" s="199">
        <f>SUM(AY75:AY77)</f>
        <v>384.40000000000003</v>
      </c>
      <c r="AZ78" s="81">
        <f>IF(ISERROR((AY78/AQ78-1)*100),"NA",IF(((AY78/AQ78-1)*100)&gt;100,"NM",IF(((AY78/AQ78-1)*100)&lt;-50,"NM",(AY78/AQ78-1)*100)))</f>
        <v>-4.8750309329373849</v>
      </c>
      <c r="BA78" s="199">
        <f>SUM(BA75:BA77)</f>
        <v>348.2</v>
      </c>
      <c r="BB78" s="81">
        <f>IF(ISERROR((BA78/AS78-1)*100),"NA",IF(((BA78/AS78-1)*100)&gt;100,"NM",IF(((BA78/AS78-1)*100)&lt;-50,"NM",(BA78/AS78-1)*100)))</f>
        <v>-11.60192942371161</v>
      </c>
      <c r="BC78" s="199">
        <f>SUM(BC75:BC77)</f>
        <v>344.90000000000003</v>
      </c>
      <c r="BD78" s="81">
        <f>IF(ISERROR((BC78/AU78-1)*100),"NA",IF(((BC78/AU78-1)*100)&gt;100,"NM",IF(((BC78/AU78-1)*100)&lt;-50,"NM",(BC78/AU78-1)*100)))</f>
        <v>-13.035804336863322</v>
      </c>
      <c r="BE78" s="199">
        <f>SUM(BE75:BE77)</f>
        <v>343.2</v>
      </c>
      <c r="BF78" s="81">
        <f>IF(ISERROR((BE78/AW78-1)*100),"NA",IF(((BE78/AW78-1)*100)&gt;100,"NM",IF(((BE78/AW78-1)*100)&lt;-50,"NM",(BE78/AW78-1)*100)))</f>
        <v>-6.2551215514886742</v>
      </c>
      <c r="BG78" s="199">
        <f>SUM(BG75:BG77)</f>
        <v>339.4</v>
      </c>
      <c r="BH78" s="81">
        <f>IF(ISERROR((BG78/AY78-1)*100),"NA",IF(((BG78/AY78-1)*100)&gt;100,"NM",IF(((BG78/AY78-1)*100)&lt;-50,"NM",(BG78/AY78-1)*100)))</f>
        <v>-11.706555671175867</v>
      </c>
      <c r="BI78" s="199">
        <f>SUM(BI75:BI77)</f>
        <v>324.2</v>
      </c>
      <c r="BJ78" s="81">
        <f>IF(ISERROR((BI78/BA78-1)*100),"NA",IF(((BI78/BA78-1)*100)&gt;100,"NM",IF(((BI78/BA78-1)*100)&lt;-50,"NM",(BI78/BA78-1)*100)))</f>
        <v>-6.8925904652498593</v>
      </c>
      <c r="BK78" s="199">
        <f>SUM(BK75:BK77)</f>
        <v>333.2</v>
      </c>
      <c r="BL78" s="81">
        <f>IF(ISERROR((BK78/BC78-1)*100),"NA",IF(((BK78/BC78-1)*100)&gt;100,"NM",IF(((BK78/BC78-1)*100)&lt;-50,"NM",(BK78/BC78-1)*100)))</f>
        <v>-3.3922876195998986</v>
      </c>
      <c r="BM78" s="199">
        <f>SUM(BM75:BM77)</f>
        <v>331.7</v>
      </c>
      <c r="BN78" s="81">
        <f>IF(ISERROR((BM78/BE78-1)*100),"NA",IF(((BM78/BE78-1)*100)&gt;100,"NM",IF(((BM78/BE78-1)*100)&lt;-50,"NM",(BM78/BE78-1)*100)))</f>
        <v>-3.350815850815847</v>
      </c>
      <c r="BO78" s="199">
        <f>SUM(BO75:BO77)</f>
        <v>329.6</v>
      </c>
      <c r="BP78" s="81">
        <f>IF(ISERROR((BO78/BG78-1)*100),"NA",IF(((BO78/BG78-1)*100)&gt;100,"NM",IF(((BO78/BG78-1)*100)&lt;-50,"NM",(BO78/BG78-1)*100)))</f>
        <v>-2.8874484384207255</v>
      </c>
      <c r="BQ78" s="199">
        <f>SUM(BQ75:BQ77)</f>
        <v>319.5</v>
      </c>
      <c r="BR78" s="81">
        <f>IF(ISERROR((BQ78/BI78-1)*100),"NA",IF(((BQ78/BI78-1)*100)&gt;100,"NM",IF(((BQ78/BI78-1)*100)&lt;-50,"NM",(BQ78/BI78-1)*100)))</f>
        <v>-1.4497223935842074</v>
      </c>
      <c r="BS78" s="199">
        <f>SUM(BS75:BS77)</f>
        <v>324.50000000000006</v>
      </c>
      <c r="BT78" s="81">
        <f>IF(ISERROR((BS78/BK78-1)*100),"NA",IF(((BS78/BK78-1)*100)&gt;100,"NM",IF(((BS78/BK78-1)*100)&lt;-50,"NM",(BS78/BK78-1)*100)))</f>
        <v>-2.6110444177670833</v>
      </c>
      <c r="BU78" s="199">
        <f>SUM(BU75:BU77)</f>
        <v>325.89999999999998</v>
      </c>
      <c r="BV78" s="81">
        <f>IF(ISERROR((BU78/BM78-1)*100),"NA",IF(((BU78/BM78-1)*100)&gt;100,"NM",IF(((BU78/BM78-1)*100)&lt;-50,"NM",(BU78/BM78-1)*100)))</f>
        <v>-1.7485679831172773</v>
      </c>
      <c r="BW78" s="199">
        <f>SUM(BW75:BW77)</f>
        <v>321.09999999999997</v>
      </c>
      <c r="BX78" s="81">
        <f>IF(ISERROR((BW78/BO78-1)*100),"NA",IF(((BW78/BO78-1)*100)&gt;100,"NM",IF(((BW78/BO78-1)*100)&lt;-50,"NM",(BW78/BO78-1)*100)))</f>
        <v>-2.5788834951456452</v>
      </c>
      <c r="BY78" s="199">
        <f>SUM(BY75:BY77)</f>
        <v>328.50000000000006</v>
      </c>
      <c r="BZ78" s="81">
        <f>IF(ISERROR((BY78/BQ78-1)*100),"NA",IF(((BY78/BQ78-1)*100)&gt;100,"NM",IF(((BY78/BQ78-1)*100)&lt;-50,"NM",(BY78/BQ78-1)*100)))</f>
        <v>2.8169014084507227</v>
      </c>
      <c r="CA78" s="199">
        <f>SUM(CA75:CA77)</f>
        <v>329.8</v>
      </c>
      <c r="CB78" s="81">
        <f>IF(ISERROR((CA78/BS78-1)*100),"NA",IF(((CA78/BS78-1)*100)&gt;100,"NM",IF(((CA78/BS78-1)*100)&lt;-50,"NM",(CA78/BS78-1)*100)))</f>
        <v>1.6332819722649994</v>
      </c>
      <c r="CC78" s="199">
        <f>SUM(CC75:CC77)</f>
        <v>333.1</v>
      </c>
      <c r="CD78" s="81">
        <f>IF(ISERROR((CC78/BU78-1)*100),"NA",IF(((CC78/BU78-1)*100)&gt;100,"NM",IF(((CC78/BU78-1)*100)&lt;-50,"NM",(CC78/BU78-1)*100)))</f>
        <v>2.2092666462105059</v>
      </c>
      <c r="CE78" s="199">
        <f>SUM(CE75:CE77)</f>
        <v>337.00000000000006</v>
      </c>
      <c r="CF78" s="81">
        <f>IF(ISERROR((CE78/BW78-1)*100),"NA",IF(((CE78/BW78-1)*100)&gt;100,"NM",IF(((CE78/BW78-1)*100)&lt;-50,"NM",(CE78/BW78-1)*100)))</f>
        <v>4.9517284335098388</v>
      </c>
      <c r="CG78" s="199">
        <f>SUM(CG75:CG77)</f>
        <v>335.2</v>
      </c>
      <c r="CH78" s="81">
        <f>IF(ISERROR((CG78/BY78-1)*100),"NA",IF(((CG78/BY78-1)*100)&gt;100,"NM",IF(((CG78/BY78-1)*100)&lt;-50,"NM",(CG78/BY78-1)*100)))</f>
        <v>2.0395738203957237</v>
      </c>
      <c r="CI78" s="199">
        <f>SUM(CI75:CI77)</f>
        <v>335.5</v>
      </c>
      <c r="CJ78" s="81">
        <f>IF(ISERROR((CI78/CA78-1)*100),"NA",IF(((CI78/CA78-1)*100)&gt;100,"NM",IF(((CI78/CA78-1)*100)&lt;-50,"NM",(CI78/CA78-1)*100)))</f>
        <v>1.7283201940569981</v>
      </c>
      <c r="CK78" s="199">
        <f>SUM(CK75:CK77)</f>
        <v>339.5</v>
      </c>
      <c r="CL78" s="81">
        <f>IF(ISERROR((CK78/CC78-1)*100),"NA",IF(((CK78/CC78-1)*100)&gt;100,"NM",IF(((CK78/CC78-1)*100)&lt;-50,"NM",(CK78/CC78-1)*100)))</f>
        <v>1.9213449414590134</v>
      </c>
      <c r="CM78" s="199">
        <f>SUM(CM75:CM77)</f>
        <v>343.4</v>
      </c>
      <c r="CN78" s="81">
        <f>IF(ISERROR((CM78/CE78-1)*100),"NA",IF(((CM78/CE78-1)*100)&gt;100,"NM",IF(((CM78/CE78-1)*100)&lt;-50,"NM",(CM78/CE78-1)*100)))</f>
        <v>1.8991097922848477</v>
      </c>
      <c r="CO78" s="147">
        <f>SUM(CO75:CO77)</f>
        <v>357.29999999999995</v>
      </c>
      <c r="CP78" s="81">
        <f>IF(ISERROR((CO78/CG78-1)*100),"NA",IF(((CO78/CG78-1)*100)&gt;100,"NM",IF(((CO78/CG78-1)*100)&lt;-50,"NM",(CO78/CG78-1)*100)))</f>
        <v>6.5930787589498774</v>
      </c>
      <c r="CQ78" s="199">
        <f>SUM(CQ75:CQ77)</f>
        <v>361.49999999999994</v>
      </c>
      <c r="CR78" s="81">
        <f>IF(ISERROR((CQ78/CI78-1)*100),"NA",IF(((CQ78/CI78-1)*100)&gt;100,"NM",IF(((CQ78/CI78-1)*100)&lt;-50,"NM",(CQ78/CI78-1)*100)))</f>
        <v>7.7496274217585537</v>
      </c>
      <c r="CS78" s="199">
        <f>SUM(CS75:CS77)</f>
        <v>363</v>
      </c>
      <c r="CT78" s="81">
        <f>IF(ISERROR((CS78/CK78-1)*100),"NA",IF(((CS78/CK78-1)*100)&gt;100,"NM",IF(((CS78/CK78-1)*100)&lt;-50,"NM",(CS78/CK78-1)*100)))</f>
        <v>6.9219440353460948</v>
      </c>
      <c r="CU78" s="199">
        <f>SUM(CU75:CU77)</f>
        <v>364.4</v>
      </c>
      <c r="CV78" s="81">
        <f>IF(ISERROR((CU78/CM78-1)*100),"NA",IF(((CU78/CM78-1)*100)&gt;100,"NM",IF(((CU78/CM78-1)*100)&lt;-50,"NM",(CU78/CM78-1)*100)))</f>
        <v>6.1153174140943456</v>
      </c>
      <c r="CW78" s="199">
        <f>SUM(CW75:CW77)</f>
        <v>368.40000000000003</v>
      </c>
      <c r="CX78" s="81">
        <f>IF(ISERROR((CW78/CO78-1)*100),"NA",IF(((CW78/CO78-1)*100)&gt;100,"NM",IF(((CW78/CO78-1)*100)&lt;-50,"NM",(CW78/CO78-1)*100)))</f>
        <v>3.1066330814441878</v>
      </c>
      <c r="CY78" s="199">
        <f>SUM(CY75:CY77)</f>
        <v>368.09999999999997</v>
      </c>
      <c r="CZ78" s="81">
        <f>IF(ISERROR((CY78/CQ78-1)*100),"NA",IF(((CY78/CQ78-1)*100)&gt;100,"NM",IF(((CY78/CQ78-1)*100)&lt;-50,"NM",(CY78/CQ78-1)*100)))</f>
        <v>1.8257261410788539</v>
      </c>
      <c r="DA78" s="199">
        <f>SUM(DA75:DA77)</f>
        <v>372</v>
      </c>
      <c r="DB78" s="81">
        <f>IF(ISERROR((DA78/CS78-1)*100),"NA",IF(((DA78/CS78-1)*100)&gt;100,"NM",IF(((DA78/CS78-1)*100)&lt;-50,"NM",(DA78/CS78-1)*100)))</f>
        <v>2.4793388429751984</v>
      </c>
      <c r="DC78" s="199">
        <f>SUM(DC75:DC77)</f>
        <v>367.9</v>
      </c>
      <c r="DD78" s="81">
        <f>IF(ISERROR((DC78/CU78-1)*100),"NA",IF(((DC78/CU78-1)*100)&gt;100,"NM",IF(((DC78/CU78-1)*100)&lt;-50,"NM",(DC78/CU78-1)*100)))</f>
        <v>0.96048298572997126</v>
      </c>
      <c r="DE78" s="199">
        <f>SUM(DE75:DE77)</f>
        <v>375</v>
      </c>
      <c r="DF78" s="81">
        <f>IF(ISERROR((DE78/CW78-1)*100),"NA",IF(((DE78/CW78-1)*100)&gt;100,"NM",IF(((DE78/CW78-1)*100)&lt;-50,"NM",(DE78/CW78-1)*100)))</f>
        <v>1.791530944625408</v>
      </c>
      <c r="DG78" s="199">
        <f>SUM(DG75:DG77)</f>
        <v>377.9</v>
      </c>
      <c r="DH78" s="81">
        <f>IF(ISERROR((DG78/CY78-1)*100),"NA",IF(((DG78/CY78-1)*100)&gt;100,"NM",IF(((DG78/CY78-1)*100)&lt;-50,"NM",(DG78/CY78-1)*100)))</f>
        <v>2.6623200217332332</v>
      </c>
      <c r="DI78" s="199">
        <f>SUM(DI75:DI77)</f>
        <v>382.5</v>
      </c>
      <c r="DJ78" s="81">
        <f>IF(ISERROR((DI78/DA78-1)*100),"NA",IF(((DI78/DA78-1)*100)&gt;100,"NM",IF(((DI78/DA78-1)*100)&lt;-50,"NM",(DI78/DA78-1)*100)))</f>
        <v>2.8225806451612989</v>
      </c>
      <c r="DK78" s="199">
        <f>SUM(DK75:DK77)</f>
        <v>389.40000000000003</v>
      </c>
      <c r="DL78" s="81">
        <f>IF(ISERROR((DK78/DC78-1)*100),"NA",IF(((DK78/DC78-1)*100)&gt;100,"NM",IF(((DK78/DC78-1)*100)&lt;-50,"NM",(DK78/DC78-1)*100)))</f>
        <v>5.8439793422125685</v>
      </c>
      <c r="DM78" s="199">
        <f>SUM(DM75:DM77)</f>
        <v>401.40000000000003</v>
      </c>
      <c r="DN78" s="81">
        <f>IF(ISERROR((DM78/DE78-1)*100),"NA",IF(((DM78/DE78-1)*100)&gt;100,"NM",IF(((DM78/DE78-1)*100)&lt;-50,"NM",(DM78/DE78-1)*100)))</f>
        <v>7.0400000000000018</v>
      </c>
      <c r="DO78" s="199">
        <f>SUM(DO75:DO77)</f>
        <v>403.8</v>
      </c>
      <c r="DP78" s="81">
        <f>IF(ISERROR((DO78/DG78-1)*100),"NA",IF(((DO78/DG78-1)*100)&gt;100,"NM",IF(((DO78/DG78-1)*100)&lt;-50,"NM",(DO78/DG78-1)*100)))</f>
        <v>6.8536649907382952</v>
      </c>
      <c r="DQ78" s="199">
        <f>SUM(DQ75:DQ77)</f>
        <v>403.8</v>
      </c>
      <c r="DR78" s="81">
        <f>IF(ISERROR((DQ78/DI78-1)*100),"NA",IF(((DQ78/DI78-1)*100)&gt;100,"NM",IF(((DQ78/DI78-1)*100)&lt;-50,"NM",(DQ78/DI78-1)*100)))</f>
        <v>5.5686274509803901</v>
      </c>
      <c r="DS78" s="199">
        <f>SUM(DS75:DS77)</f>
        <v>407.30000000000007</v>
      </c>
      <c r="DT78" s="81">
        <f>IF(ISERROR((DS78/DK78-1)*100),"NA",IF(((DS78/DK78-1)*100)&gt;100,"NM",IF(((DS78/DK78-1)*100)&lt;-50,"NM",(DS78/DK78-1)*100)))</f>
        <v>4.5968156137647709</v>
      </c>
      <c r="DU78" s="199">
        <f>SUM(DU75:DU77)</f>
        <v>415.6</v>
      </c>
      <c r="DV78" s="81">
        <f>IF(ISERROR((DU78/DM78-1)*100),"NA",IF(((DU78/DM78-1)*100)&gt;100,"NM",IF(((DU78/DM78-1)*100)&lt;-50,"NM",(DU78/DM78-1)*100)))</f>
        <v>3.5376183358246216</v>
      </c>
      <c r="DW78" s="199">
        <f>SUM(DW75:DW77)</f>
        <v>413.7</v>
      </c>
      <c r="DX78" s="81">
        <f>IF(ISERROR((DW78/DO78-1)*100),"NA",IF(((DW78/DO78-1)*100)&gt;100,"NM",IF(((DW78/DO78-1)*100)&lt;-50,"NM",(DW78/DO78-1)*100)))</f>
        <v>2.4517087667161874</v>
      </c>
      <c r="DY78" s="199">
        <f>SUM(DY75:DY77)</f>
        <v>417.90000000000003</v>
      </c>
      <c r="DZ78" s="81">
        <f>IF(ISERROR((DY78/DQ78-1)*100),"NA",IF(((DY78/DQ78-1)*100)&gt;100,"NM",IF(((DY78/DQ78-1)*100)&lt;-50,"NM",(DY78/DQ78-1)*100)))</f>
        <v>3.4918276374442891</v>
      </c>
      <c r="EA78" s="199">
        <f>SUM(EA75:EA77)</f>
        <v>420.99999999999994</v>
      </c>
      <c r="EB78" s="81">
        <f>IF(ISERROR((EA78/DS78-1)*100),"NA",IF(((EA78/DS78-1)*100)&gt;100,"NM",IF(((EA78/DS78-1)*100)&lt;-50,"NM",(EA78/DS78-1)*100)))</f>
        <v>3.3636140437024009</v>
      </c>
      <c r="EC78" s="199">
        <f>SUM(EC75:EC77)</f>
        <v>433</v>
      </c>
      <c r="ED78" s="81">
        <f t="shared" si="316"/>
        <v>4.1867179980750624</v>
      </c>
      <c r="EE78" s="199">
        <f t="shared" ref="EE78:EG78" si="328">SUM(EE75:EE77)</f>
        <v>429.6</v>
      </c>
      <c r="EF78" s="81">
        <f t="shared" si="317"/>
        <v>3.8433647570703444</v>
      </c>
      <c r="EG78" s="199">
        <f t="shared" si="328"/>
        <v>435.9</v>
      </c>
      <c r="EH78" s="81">
        <f t="shared" si="318"/>
        <v>4.3072505384063042</v>
      </c>
      <c r="EI78" s="199">
        <f t="shared" ref="EI78" si="329">SUM(EI75:EI77)</f>
        <v>431.2</v>
      </c>
      <c r="EJ78" s="81">
        <f t="shared" si="319"/>
        <v>2.4228028503562982</v>
      </c>
      <c r="EK78" s="199">
        <f t="shared" ref="EK78:EQ78" si="330">SUM(EK75:EK77)</f>
        <v>449.07299999999992</v>
      </c>
      <c r="EL78" s="81">
        <f t="shared" si="320"/>
        <v>3.7120092378752689</v>
      </c>
      <c r="EM78" s="199">
        <f t="shared" si="330"/>
        <v>445.60072000000002</v>
      </c>
      <c r="EN78" s="81">
        <f t="shared" si="321"/>
        <v>3.7245623836126729</v>
      </c>
      <c r="EO78" s="199">
        <f t="shared" si="330"/>
        <v>453.22465440000002</v>
      </c>
      <c r="EP78" s="81">
        <f t="shared" si="322"/>
        <v>3.9744561596696482</v>
      </c>
      <c r="EQ78" s="199">
        <f t="shared" si="330"/>
        <v>449.00968748800005</v>
      </c>
      <c r="ER78" s="81">
        <f t="shared" si="323"/>
        <v>4.1302614768089274</v>
      </c>
      <c r="ES78" s="138"/>
      <c r="ET78" s="470"/>
      <c r="EU78" s="138"/>
      <c r="EV78" s="139"/>
      <c r="EW78" s="140"/>
      <c r="EX78" s="139"/>
      <c r="EY78" s="79"/>
      <c r="EZ78" s="141"/>
      <c r="FA78" s="79"/>
      <c r="FB78" s="142"/>
      <c r="FC78" s="79"/>
      <c r="FD78" s="142">
        <f>SUM(FD75:FD77)</f>
        <v>1761.3</v>
      </c>
      <c r="FE78" s="79" t="str">
        <f>IF(ISERROR((FD78/FB78-1)*100),"NA",IF(((FD78/FB78-1)*100)&gt;100,"NM",IF(((FD78/FB78-1)*100)&lt;-50,"NM",(FD78/FB78-1)*100)))</f>
        <v>NA</v>
      </c>
      <c r="FF78" s="142">
        <f>SUM(FF75:FF77)</f>
        <v>1807.9</v>
      </c>
      <c r="FG78" s="79">
        <f>IF(ISERROR((FF78/FD78-1)*100),"NA",IF(((FF78/FD78-1)*100)&gt;100,"NM",IF(((FF78/FD78-1)*100)&lt;-50,"NM",(FF78/FD78-1)*100)))</f>
        <v>2.6457730085732267</v>
      </c>
      <c r="FH78" s="142">
        <f>SUM(FH75:FH77)</f>
        <v>1770.7000000000003</v>
      </c>
      <c r="FI78" s="79">
        <f>IF(ISERROR((FH78/FF78-1)*100),"NA",IF(((FH78/FF78-1)*100)&gt;100,"NM",IF(((FH78/FF78-1)*100)&lt;-50,"NM",(FH78/FF78-1)*100)))</f>
        <v>-2.057635931190871</v>
      </c>
      <c r="FJ78" s="142">
        <f>SUM(FJ75:FJ77)</f>
        <v>1617.1000000000001</v>
      </c>
      <c r="FK78" s="79">
        <f>IF(ISERROR((FJ78/FH78-1)*100),"NA",IF(((FJ78/FH78-1)*100)&gt;100,"NM",IF(((FJ78/FH78-1)*100)&lt;-50,"NM",(FJ78/FH78-1)*100)))</f>
        <v>-8.6745354944372295</v>
      </c>
      <c r="FL78" s="199">
        <f>SUM(FL75:FL77)</f>
        <v>1541</v>
      </c>
      <c r="FM78" s="79">
        <f>IF(ISERROR((FL78/FJ78-1)*100),"NA",IF(((FL78/FJ78-1)*100)&gt;100,"NM",IF(((FL78/FJ78-1)*100)&lt;-50,"NM",(FL78/FJ78-1)*100)))</f>
        <v>-4.7059551048172725</v>
      </c>
      <c r="FN78" s="199">
        <f>SUM(FN75:FN77)</f>
        <v>1375.7000000000003</v>
      </c>
      <c r="FO78" s="79">
        <f>IF(ISERROR((FN78/FL78-1)*100),"NA",IF(((FN78/FL78-1)*100)&gt;100,"NM",IF(((FN78/FL78-1)*100)&lt;-50,"NM",(FN78/FL78-1)*100)))</f>
        <v>-10.726800778715106</v>
      </c>
      <c r="FP78" s="199">
        <f>SUM(FP75:FP77)</f>
        <v>1318.7</v>
      </c>
      <c r="FQ78" s="79">
        <f>IF(ISERROR((FP78/FN78-1)*100),"NA",IF(((FP78/FN78-1)*100)&gt;100,"NM",IF(((FP78/FN78-1)*100)&lt;-50,"NM",(FP78/FN78-1)*100)))</f>
        <v>-4.1433452060769209</v>
      </c>
      <c r="FR78" s="199">
        <f>SUM(FR75:FR77)</f>
        <v>1291</v>
      </c>
      <c r="FS78" s="79">
        <f>IF(ISERROR((FR78/FP78-1)*100),"NA",IF(((FR78/FP78-1)*100)&gt;100,"NM",IF(((FR78/FP78-1)*100)&lt;-50,"NM",(FR78/FP78-1)*100)))</f>
        <v>-2.1005535754910154</v>
      </c>
      <c r="FT78" s="199">
        <f>SUM(FT75:FT77)</f>
        <v>1328.4</v>
      </c>
      <c r="FU78" s="79">
        <f>IF(ISERROR((FT78/FR78-1)*100),"NA",IF(((FT78/FR78-1)*100)&gt;100,"NM",IF(((FT78/FR78-1)*100)&lt;-50,"NM",(FT78/FR78-1)*100)))</f>
        <v>2.8969790859798783</v>
      </c>
      <c r="FV78" s="199">
        <f>SUM(FV75:FV77)</f>
        <v>1353.6000000000001</v>
      </c>
      <c r="FW78" s="79">
        <f>IF(ISERROR((FV78/FT78-1)*100),"NA",IF(((FV78/FT78-1)*100)&gt;100,"NM",IF(((FV78/FT78-1)*100)&lt;-50,"NM",(FV78/FT78-1)*100)))</f>
        <v>1.8970189701897011</v>
      </c>
      <c r="FX78" s="199">
        <f>SUM(FX75:FX77)</f>
        <v>1444.7000000000003</v>
      </c>
      <c r="FY78" s="79">
        <f>IF(ISERROR((FX78/FV78-1)*100),"NA",IF(((FX78/FV78-1)*100)&gt;100,"NM",IF(((FX78/FV78-1)*100)&lt;-50,"NM",(FX78/FV78-1)*100)))</f>
        <v>6.7302009456264855</v>
      </c>
      <c r="FZ78" s="199">
        <f>SUM(FZ75:FZ77)</f>
        <v>1476.3999999999999</v>
      </c>
      <c r="GA78" s="79">
        <f>IF(ISERROR((FZ78/FX78-1)*100),"NA",IF(((FZ78/FX78-1)*100)&gt;100,"NM",IF(((FZ78/FX78-1)*100)&lt;-50,"NM",(FZ78/FX78-1)*100)))</f>
        <v>2.1942271751920428</v>
      </c>
      <c r="GB78" s="199">
        <f>SUM(GB75:GB77)</f>
        <v>1524.8</v>
      </c>
      <c r="GC78" s="79">
        <f>IF(ISERROR((GB78/FZ78-1)*100),"NA",IF(((GB78/FZ78-1)*100)&gt;100,"NM",IF(((GB78/FZ78-1)*100)&lt;-50,"NM",(GB78/FZ78-1)*100)))</f>
        <v>3.2782443782172876</v>
      </c>
      <c r="GD78" s="199">
        <f>SUM(GD75:GD77)</f>
        <v>1616.2999999999997</v>
      </c>
      <c r="GE78" s="79">
        <f>IF(ISERROR((GD78/GB78-1)*100),"NA",IF(((GD78/GB78-1)*100)&gt;100,"NM",IF(((GD78/GB78-1)*100)&lt;-50,"NM",(GD78/GB78-1)*100)))</f>
        <v>6.000786988457496</v>
      </c>
      <c r="GF78" s="199">
        <f>SUM(GF75:GF77)</f>
        <v>1668.2000000000003</v>
      </c>
      <c r="GG78" s="79">
        <f>IF(ISERROR((GF78/GD78-1)*100),"NA",IF(((GF78/GD78-1)*100)&gt;100,"NM",IF(((GF78/GD78-1)*100)&lt;-50,"NM",(GF78/GD78-1)*100)))</f>
        <v>3.2110375549093906</v>
      </c>
      <c r="GH78" s="199">
        <f>SUM(GH75:GH77)</f>
        <v>1729.7</v>
      </c>
      <c r="GI78" s="79">
        <f>IF(ISERROR((GH78/GF78-1)*100),"NA",IF(((GH78/GF78-1)*100)&gt;100,"NM",IF(((GH78/GF78-1)*100)&lt;-50,"NM",(GH78/GF78-1)*100)))</f>
        <v>3.6866083203452638</v>
      </c>
      <c r="GJ78" s="199">
        <f>SUM(GJ75:GJ77)</f>
        <v>1796.9080618880002</v>
      </c>
      <c r="GK78" s="79">
        <f>IF(ISERROR((GJ78/GH78-1)*100),"NA",IF(((GJ78/GH78-1)*100)&gt;100,"NM",IF(((GJ78/GH78-1)*100)&lt;-50,"NM",(GJ78/GH78-1)*100)))</f>
        <v>3.8855328604960437</v>
      </c>
      <c r="GL78" s="199">
        <f>SUM(GL75:GL77)</f>
        <v>1843.5903843635199</v>
      </c>
      <c r="GM78" s="79">
        <f>IF(ISERROR((GL78/GJ78-1)*100),"NA",IF(((GL78/GJ78-1)*100)&gt;100,"NM",IF(((GL78/GJ78-1)*100)&lt;-50,"NM",(GL78/GJ78-1)*100)))</f>
        <v>2.5979249281385508</v>
      </c>
      <c r="GN78" s="199">
        <f>SUM(GN75:GN77)</f>
        <v>1891.5101497380606</v>
      </c>
      <c r="GO78" s="79">
        <f>IF(ISERROR((GN78/GL78-1)*100),"NA",IF(((GN78/GL78-1)*100)&gt;100,"NM",IF(((GN78/GL78-1)*100)&lt;-50,"NM",(GN78/GL78-1)*100)))</f>
        <v>2.5992631433193525</v>
      </c>
      <c r="GP78" s="199">
        <f>SUM(GP75:GP77)</f>
        <v>1940.7011094775828</v>
      </c>
      <c r="GQ78" s="79">
        <f>IF(ISERROR((GP78/GN78-1)*100),"NA",IF(((GP78/GN78-1)*100)&gt;100,"NM",IF(((GP78/GN78-1)*100)&lt;-50,"NM",(GP78/GN78-1)*100)))</f>
        <v>2.6006183337865973</v>
      </c>
      <c r="GR78" s="199">
        <f>SUM(GR75:GR77)</f>
        <v>1991.1979714504359</v>
      </c>
      <c r="GS78" s="79">
        <f>IF(ISERROR((GR78/GP78-1)*100),"NA",IF(((GR78/GP78-1)*100)&gt;100,"NM",IF(((GR78/GP78-1)*100)&lt;-50,"NM",(GR78/GP78-1)*100)))</f>
        <v>2.6019906788452563</v>
      </c>
      <c r="GT78" s="79">
        <f>IF(ISERROR(((GR78/GH78)^0.2-1)*100),"NA",(IF(OR(((GR78/GH78)^0.2-1)*100&gt;99,((GR78/GH78)^0.2-1)*100&lt;-50),"NM",(((GR78/GH78)^0.2-1)*100))))</f>
        <v>2.8557869088456034</v>
      </c>
      <c r="GU78" s="562"/>
      <c r="GV78" s="562"/>
      <c r="GW78"/>
      <c r="GX78"/>
      <c r="GY78"/>
      <c r="GZ78"/>
      <c r="HA78"/>
      <c r="HB78"/>
      <c r="HC78" s="562"/>
      <c r="HD78" s="562"/>
      <c r="HE78" s="562"/>
      <c r="HF78" s="562"/>
      <c r="HG78" s="562"/>
      <c r="HH78" s="562"/>
      <c r="HI78" s="562"/>
      <c r="HJ78" s="562"/>
      <c r="HK78" s="562"/>
      <c r="HL78" s="562"/>
      <c r="HM78" s="562"/>
      <c r="HN78" s="562"/>
      <c r="HO78" s="562"/>
      <c r="HP78" s="562"/>
      <c r="HQ78" s="562"/>
      <c r="HR78" s="562"/>
      <c r="HS78" s="562"/>
      <c r="HT78" s="562"/>
      <c r="HU78" s="562"/>
      <c r="HV78" s="562"/>
      <c r="HW78" s="562"/>
      <c r="HX78" s="562"/>
      <c r="HY78" s="562"/>
      <c r="HZ78" s="562"/>
      <c r="IA78" s="562"/>
      <c r="IB78" s="562"/>
      <c r="IC78" s="562"/>
      <c r="ID78" s="562"/>
      <c r="IE78" s="562"/>
      <c r="IF78" s="562"/>
      <c r="IG78" s="562"/>
      <c r="IH78" s="562"/>
      <c r="II78" s="562"/>
      <c r="IJ78" s="562"/>
      <c r="IK78" s="562"/>
      <c r="IL78" s="562"/>
      <c r="IM78" s="562"/>
      <c r="IN78" s="562"/>
      <c r="IO78" s="562"/>
      <c r="IP78" s="562"/>
      <c r="IQ78" s="562"/>
      <c r="IR78" s="562"/>
      <c r="IS78" s="562"/>
      <c r="IT78" s="562"/>
      <c r="IU78" s="562"/>
      <c r="IV78" s="562"/>
      <c r="IW78" s="562"/>
      <c r="IX78" s="562"/>
      <c r="IY78" s="562"/>
      <c r="IZ78" s="562"/>
      <c r="JA78" s="562"/>
      <c r="JB78" s="562"/>
      <c r="JC78" s="562"/>
      <c r="JD78" s="562"/>
      <c r="JE78" s="562"/>
      <c r="JF78" s="562"/>
      <c r="JG78" s="562"/>
      <c r="JH78" s="562"/>
      <c r="JI78" s="562"/>
      <c r="JJ78" s="562"/>
      <c r="JK78" s="562"/>
      <c r="JL78" s="562"/>
      <c r="JM78" s="562"/>
      <c r="JN78" s="562"/>
      <c r="JO78" s="562"/>
      <c r="JP78" s="562"/>
      <c r="JQ78" s="562"/>
      <c r="JR78" s="562"/>
      <c r="JS78" s="562"/>
      <c r="JT78" s="562"/>
      <c r="JU78" s="562"/>
      <c r="JV78" s="562"/>
      <c r="JW78" s="562"/>
      <c r="JX78" s="562"/>
      <c r="JY78" s="562"/>
      <c r="JZ78" s="562"/>
    </row>
    <row r="79" spans="1:286" s="132" customFormat="1" ht="12.75" customHeight="1" x14ac:dyDescent="0.2">
      <c r="A79" s="133"/>
      <c r="B79" s="83"/>
      <c r="C79" s="139"/>
      <c r="D79" s="139"/>
      <c r="E79" s="199"/>
      <c r="F79" s="139"/>
      <c r="G79" s="199"/>
      <c r="H79" s="139"/>
      <c r="I79" s="199"/>
      <c r="J79" s="139"/>
      <c r="K79" s="199"/>
      <c r="L79" s="79"/>
      <c r="M79" s="199"/>
      <c r="N79" s="79"/>
      <c r="O79" s="199"/>
      <c r="P79" s="79"/>
      <c r="Q79" s="199"/>
      <c r="R79" s="79"/>
      <c r="S79" s="199"/>
      <c r="T79" s="79"/>
      <c r="U79" s="199"/>
      <c r="V79" s="79"/>
      <c r="W79" s="199"/>
      <c r="X79" s="79"/>
      <c r="Y79" s="199"/>
      <c r="Z79" s="79"/>
      <c r="AA79" s="203"/>
      <c r="AB79" s="79"/>
      <c r="AC79" s="199"/>
      <c r="AD79" s="79"/>
      <c r="AE79" s="199"/>
      <c r="AF79" s="79"/>
      <c r="AG79" s="199"/>
      <c r="AH79" s="79"/>
      <c r="AI79" s="199"/>
      <c r="AJ79" s="79"/>
      <c r="AK79" s="199"/>
      <c r="AL79" s="79"/>
      <c r="AM79" s="199"/>
      <c r="AN79" s="79"/>
      <c r="AO79" s="199"/>
      <c r="AP79" s="79"/>
      <c r="AQ79" s="199"/>
      <c r="AR79" s="79"/>
      <c r="AS79" s="199"/>
      <c r="AT79" s="81"/>
      <c r="AU79" s="199"/>
      <c r="AV79" s="81"/>
      <c r="AW79" s="199"/>
      <c r="AX79" s="81"/>
      <c r="AY79" s="199"/>
      <c r="AZ79" s="81"/>
      <c r="BA79" s="199"/>
      <c r="BB79" s="81"/>
      <c r="BC79" s="199"/>
      <c r="BD79" s="81"/>
      <c r="BE79" s="199"/>
      <c r="BF79" s="81"/>
      <c r="BG79" s="199"/>
      <c r="BH79" s="81"/>
      <c r="BI79" s="199"/>
      <c r="BJ79" s="81"/>
      <c r="BK79" s="199"/>
      <c r="BL79" s="81"/>
      <c r="BM79" s="199"/>
      <c r="BN79" s="81"/>
      <c r="BO79" s="199"/>
      <c r="BP79" s="81"/>
      <c r="BQ79" s="199"/>
      <c r="BR79" s="81"/>
      <c r="BS79" s="199"/>
      <c r="BT79" s="81"/>
      <c r="BU79" s="199"/>
      <c r="BV79" s="81"/>
      <c r="BW79" s="199"/>
      <c r="BX79" s="81"/>
      <c r="BY79" s="199"/>
      <c r="BZ79" s="81"/>
      <c r="CA79" s="199"/>
      <c r="CB79" s="81"/>
      <c r="CC79" s="199"/>
      <c r="CD79" s="81"/>
      <c r="CE79" s="199"/>
      <c r="CF79" s="81"/>
      <c r="CG79" s="199"/>
      <c r="CH79" s="81"/>
      <c r="CI79" s="199"/>
      <c r="CJ79" s="81"/>
      <c r="CK79" s="199"/>
      <c r="CL79" s="81"/>
      <c r="CM79" s="199"/>
      <c r="CN79" s="81"/>
      <c r="CO79" s="199"/>
      <c r="CP79" s="81"/>
      <c r="CQ79" s="199"/>
      <c r="CR79" s="81"/>
      <c r="CS79" s="199"/>
      <c r="CT79" s="81"/>
      <c r="CU79" s="199"/>
      <c r="CV79" s="81"/>
      <c r="CW79" s="199"/>
      <c r="CX79" s="81"/>
      <c r="CY79" s="199"/>
      <c r="CZ79" s="81"/>
      <c r="DA79" s="199"/>
      <c r="DB79" s="81"/>
      <c r="DC79" s="199"/>
      <c r="DD79" s="81"/>
      <c r="DE79" s="199"/>
      <c r="DF79" s="81"/>
      <c r="DG79" s="199"/>
      <c r="DH79" s="81"/>
      <c r="DI79" s="199"/>
      <c r="DJ79" s="81"/>
      <c r="DK79" s="199"/>
      <c r="DL79" s="81"/>
      <c r="DM79" s="199"/>
      <c r="DN79" s="81"/>
      <c r="DO79" s="199"/>
      <c r="DP79" s="81"/>
      <c r="DQ79" s="199"/>
      <c r="DR79" s="81"/>
      <c r="DS79" s="199"/>
      <c r="DT79" s="81"/>
      <c r="DU79" s="199"/>
      <c r="DV79" s="81"/>
      <c r="DW79" s="199"/>
      <c r="DX79" s="81"/>
      <c r="DY79" s="199"/>
      <c r="DZ79" s="81"/>
      <c r="EA79" s="199"/>
      <c r="EB79" s="81"/>
      <c r="EC79" s="199"/>
      <c r="ED79" s="81"/>
      <c r="EE79" s="199"/>
      <c r="EF79" s="81"/>
      <c r="EG79" s="199"/>
      <c r="EH79" s="81"/>
      <c r="EI79" s="199"/>
      <c r="EJ79" s="81"/>
      <c r="EK79" s="199"/>
      <c r="EL79" s="81"/>
      <c r="EM79" s="199"/>
      <c r="EN79" s="81"/>
      <c r="EO79" s="199"/>
      <c r="EP79" s="81"/>
      <c r="EQ79" s="199"/>
      <c r="ER79" s="81"/>
      <c r="ES79" s="138"/>
      <c r="ET79" s="470"/>
      <c r="EU79" s="138"/>
      <c r="EV79" s="139"/>
      <c r="EW79" s="140"/>
      <c r="EX79" s="139"/>
      <c r="EY79" s="79"/>
      <c r="EZ79" s="141"/>
      <c r="FA79" s="79"/>
      <c r="FB79" s="142"/>
      <c r="FC79" s="79"/>
      <c r="FD79" s="142"/>
      <c r="FE79" s="79"/>
      <c r="FF79" s="142"/>
      <c r="FG79" s="79"/>
      <c r="FH79" s="142"/>
      <c r="FI79" s="79"/>
      <c r="FJ79" s="142"/>
      <c r="FK79" s="79"/>
      <c r="FL79" s="199"/>
      <c r="FM79" s="79"/>
      <c r="FN79" s="199"/>
      <c r="FO79" s="79"/>
      <c r="FP79" s="199"/>
      <c r="FQ79" s="79"/>
      <c r="FR79" s="199"/>
      <c r="FS79" s="79"/>
      <c r="FT79" s="199"/>
      <c r="FU79" s="79"/>
      <c r="FV79" s="199"/>
      <c r="FW79" s="79"/>
      <c r="FX79" s="199"/>
      <c r="FY79" s="79"/>
      <c r="FZ79" s="199"/>
      <c r="GA79" s="79"/>
      <c r="GB79" s="199"/>
      <c r="GC79" s="79"/>
      <c r="GD79" s="199"/>
      <c r="GE79" s="79"/>
      <c r="GF79" s="199"/>
      <c r="GG79" s="79"/>
      <c r="GH79" s="199"/>
      <c r="GI79" s="79"/>
      <c r="GJ79" s="199"/>
      <c r="GK79" s="79"/>
      <c r="GL79" s="199"/>
      <c r="GM79" s="79"/>
      <c r="GN79" s="199"/>
      <c r="GO79" s="79"/>
      <c r="GP79" s="199"/>
      <c r="GQ79" s="79"/>
      <c r="GR79" s="199"/>
      <c r="GS79" s="79"/>
      <c r="GT79" s="79"/>
      <c r="GU79" s="562"/>
      <c r="GV79" s="562"/>
      <c r="GW79"/>
      <c r="GX79"/>
      <c r="GY79"/>
      <c r="GZ79"/>
      <c r="HA79"/>
      <c r="HB79"/>
      <c r="HC79" s="562"/>
      <c r="HD79" s="562"/>
      <c r="HE79" s="562"/>
      <c r="HF79" s="562"/>
      <c r="HG79" s="562"/>
      <c r="HH79" s="562"/>
      <c r="HI79" s="562"/>
      <c r="HJ79" s="562"/>
      <c r="HK79" s="562"/>
      <c r="HL79" s="562"/>
      <c r="HM79" s="562"/>
      <c r="HN79" s="562"/>
      <c r="HO79" s="562"/>
      <c r="HP79" s="562"/>
      <c r="HQ79" s="562"/>
      <c r="HR79" s="562"/>
      <c r="HS79" s="562"/>
      <c r="HT79" s="562"/>
      <c r="HU79" s="562"/>
      <c r="HV79" s="562"/>
      <c r="HW79" s="562"/>
      <c r="HX79" s="562"/>
      <c r="HY79" s="562"/>
      <c r="HZ79" s="562"/>
      <c r="IA79" s="562"/>
      <c r="IB79" s="562"/>
      <c r="IC79" s="562"/>
      <c r="ID79" s="562"/>
      <c r="IE79" s="562"/>
      <c r="IF79" s="562"/>
      <c r="IG79" s="562"/>
      <c r="IH79" s="562"/>
      <c r="II79" s="562"/>
      <c r="IJ79" s="562"/>
      <c r="IK79" s="562"/>
      <c r="IL79" s="562"/>
      <c r="IM79" s="562"/>
      <c r="IN79" s="562"/>
      <c r="IO79" s="562"/>
      <c r="IP79" s="562"/>
      <c r="IQ79" s="562"/>
      <c r="IR79" s="562"/>
      <c r="IS79" s="562"/>
      <c r="IT79" s="562"/>
      <c r="IU79" s="562"/>
      <c r="IV79" s="562"/>
      <c r="IW79" s="562"/>
      <c r="IX79" s="562"/>
      <c r="IY79" s="562"/>
      <c r="IZ79" s="562"/>
      <c r="JA79" s="562"/>
      <c r="JB79" s="562"/>
      <c r="JC79" s="562"/>
      <c r="JD79" s="562"/>
      <c r="JE79" s="562"/>
      <c r="JF79" s="562"/>
      <c r="JG79" s="562"/>
      <c r="JH79" s="562"/>
      <c r="JI79" s="562"/>
      <c r="JJ79" s="562"/>
      <c r="JK79" s="562"/>
      <c r="JL79" s="562"/>
      <c r="JM79" s="562"/>
      <c r="JN79" s="562"/>
      <c r="JO79" s="562"/>
      <c r="JP79" s="562"/>
      <c r="JQ79" s="562"/>
      <c r="JR79" s="562"/>
      <c r="JS79" s="562"/>
      <c r="JT79" s="562"/>
      <c r="JU79" s="562"/>
      <c r="JV79" s="562"/>
      <c r="JW79" s="562"/>
      <c r="JX79" s="562"/>
      <c r="JY79" s="562"/>
      <c r="JZ79" s="562"/>
    </row>
    <row r="80" spans="1:286" s="132" customFormat="1" ht="12.75" customHeight="1" x14ac:dyDescent="0.2">
      <c r="A80" s="133"/>
      <c r="B80" s="83" t="s">
        <v>451</v>
      </c>
      <c r="C80" s="139"/>
      <c r="D80" s="139"/>
      <c r="E80" s="199"/>
      <c r="F80" s="139"/>
      <c r="G80" s="199"/>
      <c r="H80" s="139"/>
      <c r="I80" s="199"/>
      <c r="J80" s="139"/>
      <c r="K80" s="199"/>
      <c r="L80" s="79"/>
      <c r="M80" s="199"/>
      <c r="N80" s="79"/>
      <c r="O80" s="199"/>
      <c r="P80" s="79"/>
      <c r="Q80" s="199"/>
      <c r="R80" s="79"/>
      <c r="S80" s="199"/>
      <c r="T80" s="79"/>
      <c r="U80" s="199"/>
      <c r="V80" s="79"/>
      <c r="W80" s="199"/>
      <c r="X80" s="79"/>
      <c r="Y80" s="199"/>
      <c r="Z80" s="79"/>
      <c r="AA80" s="203"/>
      <c r="AB80" s="79"/>
      <c r="AC80" s="199"/>
      <c r="AD80" s="79"/>
      <c r="AE80" s="199"/>
      <c r="AF80" s="79"/>
      <c r="AG80" s="199"/>
      <c r="AH80" s="79"/>
      <c r="AI80" s="199"/>
      <c r="AJ80" s="79"/>
      <c r="AK80" s="199"/>
      <c r="AL80" s="79"/>
      <c r="AM80" s="199"/>
      <c r="AN80" s="79"/>
      <c r="AO80" s="199"/>
      <c r="AP80" s="79"/>
      <c r="AQ80" s="199"/>
      <c r="AR80" s="79"/>
      <c r="AS80" s="199"/>
      <c r="AT80" s="81"/>
      <c r="AU80" s="199"/>
      <c r="AV80" s="81"/>
      <c r="AW80" s="199"/>
      <c r="AX80" s="81"/>
      <c r="AY80" s="199"/>
      <c r="AZ80" s="81"/>
      <c r="BA80" s="199"/>
      <c r="BB80" s="81"/>
      <c r="BC80" s="199"/>
      <c r="BD80" s="81"/>
      <c r="BE80" s="199"/>
      <c r="BF80" s="81"/>
      <c r="BG80" s="199"/>
      <c r="BH80" s="81"/>
      <c r="BI80" s="199"/>
      <c r="BJ80" s="81"/>
      <c r="BK80" s="199"/>
      <c r="BL80" s="81"/>
      <c r="BM80" s="199"/>
      <c r="BN80" s="81"/>
      <c r="BO80" s="199"/>
      <c r="BP80" s="81"/>
      <c r="BQ80" s="199"/>
      <c r="BR80" s="81"/>
      <c r="BS80" s="199"/>
      <c r="BT80" s="81"/>
      <c r="BU80" s="199"/>
      <c r="BV80" s="81"/>
      <c r="BW80" s="199"/>
      <c r="BX80" s="81"/>
      <c r="BY80" s="199"/>
      <c r="BZ80" s="81"/>
      <c r="CA80" s="199"/>
      <c r="CB80" s="81"/>
      <c r="CC80" s="199"/>
      <c r="CD80" s="81"/>
      <c r="CE80" s="199"/>
      <c r="CF80" s="81"/>
      <c r="CG80" s="199"/>
      <c r="CH80" s="81"/>
      <c r="CI80" s="199"/>
      <c r="CJ80" s="81"/>
      <c r="CK80" s="199"/>
      <c r="CL80" s="81"/>
      <c r="CM80" s="199"/>
      <c r="CN80" s="81"/>
      <c r="CO80" s="199"/>
      <c r="CP80" s="81"/>
      <c r="CQ80" s="199"/>
      <c r="CR80" s="81"/>
      <c r="CS80" s="199"/>
      <c r="CT80" s="81"/>
      <c r="CU80" s="199"/>
      <c r="CV80" s="81"/>
      <c r="CW80" s="199"/>
      <c r="CX80" s="81"/>
      <c r="CY80" s="199"/>
      <c r="CZ80" s="81"/>
      <c r="DA80" s="199"/>
      <c r="DB80" s="81"/>
      <c r="DC80" s="199"/>
      <c r="DD80" s="81"/>
      <c r="DE80" s="199"/>
      <c r="DF80" s="81"/>
      <c r="DG80" s="199"/>
      <c r="DH80" s="81"/>
      <c r="DI80" s="199"/>
      <c r="DJ80" s="81"/>
      <c r="DK80" s="199"/>
      <c r="DL80" s="81"/>
      <c r="DM80" s="199"/>
      <c r="DN80" s="81"/>
      <c r="DO80" s="199"/>
      <c r="DP80" s="81"/>
      <c r="DQ80" s="199"/>
      <c r="DR80" s="81"/>
      <c r="DS80" s="199"/>
      <c r="DT80" s="81"/>
      <c r="DU80" s="199"/>
      <c r="DV80" s="81"/>
      <c r="DW80" s="199"/>
      <c r="DX80" s="81"/>
      <c r="DY80" s="199"/>
      <c r="DZ80" s="81"/>
      <c r="EA80" s="199"/>
      <c r="EB80" s="81"/>
      <c r="EC80" s="199"/>
      <c r="ED80" s="81"/>
      <c r="EE80" s="199"/>
      <c r="EF80" s="81"/>
      <c r="EG80" s="199"/>
      <c r="EH80" s="81"/>
      <c r="EI80" s="199"/>
      <c r="EJ80" s="81"/>
      <c r="EK80" s="199"/>
      <c r="EL80" s="81"/>
      <c r="EM80" s="199"/>
      <c r="EN80" s="81"/>
      <c r="EO80" s="199"/>
      <c r="EP80" s="81"/>
      <c r="EQ80" s="199"/>
      <c r="ER80" s="81"/>
      <c r="ES80" s="138"/>
      <c r="ET80" s="470"/>
      <c r="EU80" s="138"/>
      <c r="EV80" s="139"/>
      <c r="EW80" s="140"/>
      <c r="EX80" s="139"/>
      <c r="EY80" s="79"/>
      <c r="EZ80" s="141"/>
      <c r="FA80" s="79"/>
      <c r="FB80" s="142"/>
      <c r="FC80" s="79"/>
      <c r="FD80" s="142"/>
      <c r="FE80" s="79"/>
      <c r="FF80" s="142"/>
      <c r="FG80" s="79"/>
      <c r="FH80" s="142"/>
      <c r="FI80" s="79"/>
      <c r="FJ80" s="142"/>
      <c r="FK80" s="79"/>
      <c r="FL80" s="199"/>
      <c r="FM80" s="79"/>
      <c r="FN80" s="199"/>
      <c r="FO80" s="79"/>
      <c r="FP80" s="199"/>
      <c r="FQ80" s="79"/>
      <c r="FR80" s="199"/>
      <c r="FS80" s="79"/>
      <c r="FT80" s="199"/>
      <c r="FU80" s="79"/>
      <c r="FV80" s="199"/>
      <c r="FW80" s="79"/>
      <c r="FX80" s="199"/>
      <c r="FY80" s="79"/>
      <c r="FZ80" s="199"/>
      <c r="GA80" s="79"/>
      <c r="GB80" s="199"/>
      <c r="GC80" s="79"/>
      <c r="GD80" s="199"/>
      <c r="GE80" s="79"/>
      <c r="GF80" s="199"/>
      <c r="GG80" s="79"/>
      <c r="GH80" s="199"/>
      <c r="GI80" s="79"/>
      <c r="GJ80" s="199"/>
      <c r="GK80" s="79"/>
      <c r="GL80" s="199"/>
      <c r="GM80" s="79"/>
      <c r="GN80" s="199"/>
      <c r="GO80" s="79"/>
      <c r="GP80" s="199"/>
      <c r="GQ80" s="79"/>
      <c r="GR80" s="199"/>
      <c r="GS80" s="79"/>
      <c r="GT80" s="79"/>
      <c r="GU80" s="562"/>
      <c r="GV80" s="562"/>
      <c r="GW80"/>
      <c r="GX80"/>
      <c r="GY80"/>
      <c r="GZ80"/>
      <c r="HA80"/>
      <c r="HB80"/>
      <c r="HC80" s="562"/>
      <c r="HD80" s="562"/>
      <c r="HE80" s="562"/>
      <c r="HF80" s="562"/>
      <c r="HG80" s="562"/>
      <c r="HH80" s="562"/>
      <c r="HI80" s="562"/>
      <c r="HJ80" s="562"/>
      <c r="HK80" s="562"/>
      <c r="HL80" s="562"/>
      <c r="HM80" s="562"/>
      <c r="HN80" s="562"/>
      <c r="HO80" s="562"/>
      <c r="HP80" s="562"/>
      <c r="HQ80" s="562"/>
      <c r="HR80" s="562"/>
      <c r="HS80" s="562"/>
      <c r="HT80" s="562"/>
      <c r="HU80" s="562"/>
      <c r="HV80" s="562"/>
      <c r="HW80" s="562"/>
      <c r="HX80" s="562"/>
      <c r="HY80" s="562"/>
      <c r="HZ80" s="562"/>
      <c r="IA80" s="562"/>
      <c r="IB80" s="562"/>
      <c r="IC80" s="562"/>
      <c r="ID80" s="562"/>
      <c r="IE80" s="562"/>
      <c r="IF80" s="562"/>
      <c r="IG80" s="562"/>
      <c r="IH80" s="562"/>
      <c r="II80" s="562"/>
      <c r="IJ80" s="562"/>
      <c r="IK80" s="562"/>
      <c r="IL80" s="562"/>
      <c r="IM80" s="562"/>
      <c r="IN80" s="562"/>
      <c r="IO80" s="562"/>
      <c r="IP80" s="562"/>
      <c r="IQ80" s="562"/>
      <c r="IR80" s="562"/>
      <c r="IS80" s="562"/>
      <c r="IT80" s="562"/>
      <c r="IU80" s="562"/>
      <c r="IV80" s="562"/>
      <c r="IW80" s="562"/>
      <c r="IX80" s="562"/>
      <c r="IY80" s="562"/>
      <c r="IZ80" s="562"/>
      <c r="JA80" s="562"/>
      <c r="JB80" s="562"/>
      <c r="JC80" s="562"/>
      <c r="JD80" s="562"/>
      <c r="JE80" s="562"/>
      <c r="JF80" s="562"/>
      <c r="JG80" s="562"/>
      <c r="JH80" s="562"/>
      <c r="JI80" s="562"/>
      <c r="JJ80" s="562"/>
      <c r="JK80" s="562"/>
      <c r="JL80" s="562"/>
      <c r="JM80" s="562"/>
      <c r="JN80" s="562"/>
      <c r="JO80" s="562"/>
      <c r="JP80" s="562"/>
      <c r="JQ80" s="562"/>
      <c r="JR80" s="562"/>
      <c r="JS80" s="562"/>
      <c r="JT80" s="562"/>
      <c r="JU80" s="562"/>
      <c r="JV80" s="562"/>
      <c r="JW80" s="562"/>
      <c r="JX80" s="562"/>
      <c r="JY80" s="562"/>
      <c r="JZ80" s="562"/>
    </row>
    <row r="81" spans="1:286" s="132" customFormat="1" ht="12.75" customHeight="1" x14ac:dyDescent="0.2">
      <c r="A81" s="133"/>
      <c r="B81" s="2" t="s">
        <v>131</v>
      </c>
      <c r="C81" s="79"/>
      <c r="D81" s="79"/>
      <c r="E81" s="95"/>
      <c r="F81" s="95"/>
      <c r="G81" s="95"/>
      <c r="H81" s="95"/>
      <c r="I81" s="95"/>
      <c r="J81" s="95"/>
      <c r="K81" s="95"/>
      <c r="L81" s="79"/>
      <c r="M81" s="95"/>
      <c r="N81" s="79"/>
      <c r="O81" s="95"/>
      <c r="P81" s="79"/>
      <c r="Q81" s="95"/>
      <c r="R81" s="79"/>
      <c r="S81" s="95"/>
      <c r="T81" s="79"/>
      <c r="U81" s="95"/>
      <c r="V81" s="79"/>
      <c r="W81" s="95"/>
      <c r="X81" s="79"/>
      <c r="Y81" s="95"/>
      <c r="Z81" s="79"/>
      <c r="AA81" s="126"/>
      <c r="AB81" s="79"/>
      <c r="AC81" s="95">
        <f>637.1-AE81</f>
        <v>319.8</v>
      </c>
      <c r="AD81" s="79" t="str">
        <f>IF(ISERROR((AC81/U81-1)*100),"NA",IF(((AC81/U81-1)*100)&gt;100,"NM",IF(((AC81/U81-1)*100)&lt;-50,"NM",(AC81/U81-1)*100)))</f>
        <v>NA</v>
      </c>
      <c r="AE81" s="95">
        <v>317.3</v>
      </c>
      <c r="AF81" s="79" t="str">
        <f>IF(ISERROR((AE81/W81-1)*100),"NA",IF(((AE81/W81-1)*100)&gt;100,"NM",IF(((AE81/W81-1)*100)&lt;-50,"NM",(AE81/W81-1)*100)))</f>
        <v>NA</v>
      </c>
      <c r="AG81" s="95">
        <v>305.39999999999998</v>
      </c>
      <c r="AH81" s="79" t="str">
        <f>IF(ISERROR((AG81/Y81-1)*100),"NA",IF(((AG81/Y81-1)*100)&gt;100,"NM",IF(((AG81/Y81-1)*100)&lt;-50,"NM",(AG81/Y81-1)*100)))</f>
        <v>NA</v>
      </c>
      <c r="AI81" s="75">
        <f>FH81-AG81-AE81-AC81</f>
        <v>301.7999999999999</v>
      </c>
      <c r="AJ81" s="79" t="str">
        <f>IF(ISERROR((AI81/AA81-1)*100),"NA",IF(((AI81/AA81-1)*100)&gt;100,"NM",IF(((AI81/AA81-1)*100)&lt;-50,"NM",(AI81/AA81-1)*100)))</f>
        <v>NA</v>
      </c>
      <c r="AK81" s="95">
        <f>559.5-AM81</f>
        <v>275.10000000000002</v>
      </c>
      <c r="AL81" s="79">
        <f>IF(ISERROR((AK81/AC81-1)*100),"NA",IF(((AK81/AC81-1)*100)&gt;100,"NM",IF(((AK81/AC81-1)*100)&lt;-50,"NM",(AK81/AC81-1)*100)))</f>
        <v>-13.977485928705436</v>
      </c>
      <c r="AM81" s="95">
        <v>284.39999999999998</v>
      </c>
      <c r="AN81" s="79">
        <f>IF(ISERROR((AM81/AE81-1)*100),"NA",IF(((AM81/AE81-1)*100)&gt;100,"NM",IF(((AM81/AE81-1)*100)&lt;-50,"NM",(AM81/AE81-1)*100)))</f>
        <v>-10.368736211786967</v>
      </c>
      <c r="AO81" s="95">
        <v>272.60000000000002</v>
      </c>
      <c r="AP81" s="79">
        <f>IF(ISERROR((AO81/AG81-1)*100),"NA",IF(((AO81/AG81-1)*100)&gt;100,"NM",IF(((AO81/AG81-1)*100)&lt;-50,"NM",(AO81/AG81-1)*100)))</f>
        <v>-10.74001309757694</v>
      </c>
      <c r="AQ81" s="95">
        <v>279.8</v>
      </c>
      <c r="AR81" s="79">
        <f>IF(ISERROR((AQ81/AI81-1)*100),"NA",IF(((AQ81/AI81-1)*100)&gt;100,"NM",IF(((AQ81/AI81-1)*100)&lt;-50,"NM",(AQ81/AI81-1)*100)))</f>
        <v>-7.2895957587806093</v>
      </c>
      <c r="AS81" s="95">
        <v>274.8</v>
      </c>
      <c r="AT81" s="81">
        <f>IF(ISERROR((AS81/AK81-1)*100),"NA",IF(((AS81/AK81-1)*100)&gt;100,"NM",IF(((AS81/AK81-1)*100)&lt;-50,"NM",(AS81/AK81-1)*100)))</f>
        <v>-0.10905125408942062</v>
      </c>
      <c r="AU81" s="95">
        <v>276</v>
      </c>
      <c r="AV81" s="81">
        <f>IF(ISERROR((AU81/AM81-1)*100),"NA",IF(((AU81/AM81-1)*100)&gt;100,"NM",IF(((AU81/AM81-1)*100)&lt;-50,"NM",(AU81/AM81-1)*100)))</f>
        <v>-2.9535864978902926</v>
      </c>
      <c r="AW81" s="95">
        <v>251.6</v>
      </c>
      <c r="AX81" s="81">
        <f>IF(ISERROR((AW81/AO81-1)*100),"NA",IF(((AW81/AO81-1)*100)&gt;100,"NM",IF(((AW81/AO81-1)*100)&lt;-50,"NM",(AW81/AO81-1)*100)))</f>
        <v>-7.7035950110051488</v>
      </c>
      <c r="AY81" s="95">
        <v>264.89999999999998</v>
      </c>
      <c r="AZ81" s="81">
        <f>IF(ISERROR((AY81/AQ81-1)*100),"NA",IF(((AY81/AQ81-1)*100)&gt;100,"NM",IF(((AY81/AQ81-1)*100)&lt;-50,"NM",(AY81/AQ81-1)*100)))</f>
        <v>-5.325232308792005</v>
      </c>
      <c r="BA81" s="95">
        <v>235.4</v>
      </c>
      <c r="BB81" s="81">
        <f>IF(ISERROR((BA81/AS81-1)*100),"NA",IF(((BA81/AS81-1)*100)&gt;100,"NM",IF(((BA81/AS81-1)*100)&lt;-50,"NM",(BA81/AS81-1)*100)))</f>
        <v>-14.337700145560406</v>
      </c>
      <c r="BC81" s="95">
        <v>229.6</v>
      </c>
      <c r="BD81" s="81">
        <f>IF(ISERROR((BC81/AU81-1)*100),"NA",IF(((BC81/AU81-1)*100)&gt;100,"NM",IF(((BC81/AU81-1)*100)&lt;-50,"NM",(BC81/AU81-1)*100)))</f>
        <v>-16.811594202898551</v>
      </c>
      <c r="BE81" s="95">
        <v>223.7</v>
      </c>
      <c r="BF81" s="81">
        <f>IF(ISERROR((BE81/AW81-1)*100),"NA",IF(((BE81/AW81-1)*100)&gt;100,"NM",IF(((BE81/AW81-1)*100)&lt;-50,"NM",(BE81/AW81-1)*100)))</f>
        <v>-11.089030206677265</v>
      </c>
      <c r="BG81" s="95">
        <v>212.9</v>
      </c>
      <c r="BH81" s="81">
        <f>IF(ISERROR((BG81/AY81-1)*100),"NA",IF(((BG81/AY81-1)*100)&gt;100,"NM",IF(((BG81/AY81-1)*100)&lt;-50,"NM",(BG81/AY81-1)*100)))</f>
        <v>-19.630049075122681</v>
      </c>
      <c r="BI81" s="95">
        <v>199.3</v>
      </c>
      <c r="BJ81" s="81">
        <f>IF(ISERROR((BI81/BA81-1)*100),"NA",IF(((BI81/BA81-1)*100)&gt;100,"NM",IF(((BI81/BA81-1)*100)&lt;-50,"NM",(BI81/BA81-1)*100)))</f>
        <v>-15.335598980458787</v>
      </c>
      <c r="BK81" s="95">
        <v>208.9</v>
      </c>
      <c r="BL81" s="81">
        <f>IF(ISERROR((BK81/BC81-1)*100),"NA",IF(((BK81/BC81-1)*100)&gt;100,"NM",IF(((BK81/BC81-1)*100)&lt;-50,"NM",(BK81/BC81-1)*100)))</f>
        <v>-9.0156794425087057</v>
      </c>
      <c r="BM81" s="95">
        <v>211.5</v>
      </c>
      <c r="BN81" s="81">
        <f>IF(ISERROR((BM81/BE81-1)*100),"NA",IF(((BM81/BE81-1)*100)&gt;100,"NM",IF(((BM81/BE81-1)*100)&lt;-50,"NM",(BM81/BE81-1)*100)))</f>
        <v>-5.4537326776933348</v>
      </c>
      <c r="BO81" s="95">
        <v>207.9</v>
      </c>
      <c r="BP81" s="81">
        <f>IF(ISERROR((BO81/BG81-1)*100),"NA",IF(((BO81/BG81-1)*100)&gt;100,"NM",IF(((BO81/BG81-1)*100)&lt;-50,"NM",(BO81/BG81-1)*100)))</f>
        <v>-2.3485204321277542</v>
      </c>
      <c r="BQ81" s="95">
        <v>201.1</v>
      </c>
      <c r="BR81" s="81">
        <f>IF(ISERROR((BQ81/BI81-1)*100),"NA",IF(((BQ81/BI81-1)*100)&gt;100,"NM",IF(((BQ81/BI81-1)*100)&lt;-50,"NM",(BQ81/BI81-1)*100)))</f>
        <v>0.90316106372301252</v>
      </c>
      <c r="BS81" s="95">
        <v>205.7</v>
      </c>
      <c r="BT81" s="81">
        <f>IF(ISERROR((BS81/BK81-1)*100),"NA",IF(((BS81/BK81-1)*100)&gt;100,"NM",IF(((BS81/BK81-1)*100)&lt;-50,"NM",(BS81/BK81-1)*100)))</f>
        <v>-1.5318334131163347</v>
      </c>
      <c r="BU81" s="95">
        <v>206.4</v>
      </c>
      <c r="BV81" s="81">
        <f>IF(ISERROR((BU81/BM81-1)*100),"NA",IF(((BU81/BM81-1)*100)&gt;100,"NM",IF(((BU81/BM81-1)*100)&lt;-50,"NM",(BU81/BM81-1)*100)))</f>
        <v>-2.4113475177304888</v>
      </c>
      <c r="BW81" s="95">
        <v>202.3</v>
      </c>
      <c r="BX81" s="81">
        <f>IF(ISERROR((BW81/BO81-1)*100),"NA",IF(((BW81/BO81-1)*100)&gt;100,"NM",IF(((BW81/BO81-1)*100)&lt;-50,"NM",(BW81/BO81-1)*100)))</f>
        <v>-2.6936026936026924</v>
      </c>
      <c r="BY81" s="95">
        <v>206.5</v>
      </c>
      <c r="BZ81" s="81">
        <f>IF(ISERROR((BY81/BQ81-1)*100),"NA",IF(((BY81/BQ81-1)*100)&gt;100,"NM",IF(((BY81/BQ81-1)*100)&lt;-50,"NM",(BY81/BQ81-1)*100)))</f>
        <v>2.6852312282446666</v>
      </c>
      <c r="CA81" s="95">
        <v>209.4</v>
      </c>
      <c r="CB81" s="81">
        <f>IF(ISERROR((CA81/BS81-1)*100),"NA",IF(((CA81/BS81-1)*100)&gt;100,"NM",IF(((CA81/BS81-1)*100)&lt;-50,"NM",(CA81/BS81-1)*100)))</f>
        <v>1.798736023334957</v>
      </c>
      <c r="CC81" s="95">
        <v>211.3</v>
      </c>
      <c r="CD81" s="81">
        <f>IF(ISERROR((CC81/BU81-1)*100),"NA",IF(((CC81/BU81-1)*100)&gt;100,"NM",IF(((CC81/BU81-1)*100)&lt;-50,"NM",(CC81/BU81-1)*100)))</f>
        <v>2.3740310077519311</v>
      </c>
      <c r="CE81" s="95">
        <v>212.7</v>
      </c>
      <c r="CF81" s="81">
        <f>IF(ISERROR((CE81/BW81-1)*100),"NA",IF(((CE81/BW81-1)*100)&gt;100,"NM",IF(((CE81/BW81-1)*100)&lt;-50,"NM",(CE81/BW81-1)*100)))</f>
        <v>5.1408798813642909</v>
      </c>
      <c r="CG81" s="95">
        <v>210.2</v>
      </c>
      <c r="CH81" s="81">
        <f>IF(ISERROR((CG81/BY81-1)*100),"NA",IF(((CG81/BY81-1)*100)&gt;100,"NM",IF(((CG81/BY81-1)*100)&lt;-50,"NM",(CG81/BY81-1)*100)))</f>
        <v>1.7917675544794065</v>
      </c>
      <c r="CI81" s="95">
        <v>211.6</v>
      </c>
      <c r="CJ81" s="81">
        <f>IF(ISERROR((CI81/CA81-1)*100),"NA",IF(((CI81/CA81-1)*100)&gt;100,"NM",IF(((CI81/CA81-1)*100)&lt;-50,"NM",(CI81/CA81-1)*100)))</f>
        <v>1.0506208213944657</v>
      </c>
      <c r="CK81" s="95">
        <v>214.3</v>
      </c>
      <c r="CL81" s="81">
        <f>IF(ISERROR((CK81/CC81-1)*100),"NA",IF(((CK81/CC81-1)*100)&gt;100,"NM",IF(((CK81/CC81-1)*100)&lt;-50,"NM",(CK81/CC81-1)*100)))</f>
        <v>1.4197823000473342</v>
      </c>
      <c r="CM81" s="95">
        <v>218.5</v>
      </c>
      <c r="CN81" s="81">
        <f>IF(ISERROR((CM81/CE81-1)*100),"NA",IF(((CM81/CE81-1)*100)&gt;100,"NM",IF(((CM81/CE81-1)*100)&lt;-50,"NM",(CM81/CE81-1)*100)))</f>
        <v>2.7268453220498312</v>
      </c>
      <c r="CO81" s="95">
        <v>231.7</v>
      </c>
      <c r="CP81" s="81">
        <f>IF(ISERROR((CO81/CG81-1)*100),"NA",IF(((CO81/CG81-1)*100)&gt;100,"NM",IF(((CO81/CG81-1)*100)&lt;-50,"NM",(CO81/CG81-1)*100)))</f>
        <v>10.228353948620361</v>
      </c>
      <c r="CQ81" s="95">
        <v>232.2</v>
      </c>
      <c r="CR81" s="81">
        <f>IF(ISERROR((CQ81/CI81-1)*100),"NA",IF(((CQ81/CI81-1)*100)&gt;100,"NM",IF(((CQ81/CI81-1)*100)&lt;-50,"NM",(CQ81/CI81-1)*100)))</f>
        <v>9.7353497164461178</v>
      </c>
      <c r="CS81" s="95">
        <v>236</v>
      </c>
      <c r="CT81" s="81">
        <f>IF(ISERROR((CS81/CK81-1)*100),"NA",IF(((CS81/CK81-1)*100)&gt;100,"NM",IF(((CS81/CK81-1)*100)&lt;-50,"NM",(CS81/CK81-1)*100)))</f>
        <v>10.125991600559958</v>
      </c>
      <c r="CU81" s="95">
        <v>236.5</v>
      </c>
      <c r="CV81" s="81">
        <f>IF(ISERROR((CU81/CM81-1)*100),"NA",IF(((CU81/CM81-1)*100)&gt;100,"NM",IF(((CU81/CM81-1)*100)&lt;-50,"NM",(CU81/CM81-1)*100)))</f>
        <v>8.2379862700228799</v>
      </c>
      <c r="CW81" s="95">
        <v>235.3</v>
      </c>
      <c r="CX81" s="81">
        <f>IF(ISERROR((CW81/CO81-1)*100),"NA",IF(((CW81/CO81-1)*100)&gt;100,"NM",IF(((CW81/CO81-1)*100)&lt;-50,"NM",(CW81/CO81-1)*100)))</f>
        <v>1.5537332757876721</v>
      </c>
      <c r="CY81" s="95">
        <v>237.3</v>
      </c>
      <c r="CZ81" s="81">
        <f>IF(ISERROR((CY81/CQ81-1)*100),"NA",IF(((CY81/CQ81-1)*100)&gt;100,"NM",IF(((CY81/CQ81-1)*100)&lt;-50,"NM",(CY81/CQ81-1)*100)))</f>
        <v>2.1963824289405798</v>
      </c>
      <c r="DA81" s="95">
        <v>240.3</v>
      </c>
      <c r="DB81" s="81">
        <f>IF(ISERROR((DA81/CS81-1)*100),"NA",IF(((DA81/CS81-1)*100)&gt;100,"NM",IF(((DA81/CS81-1)*100)&lt;-50,"NM",(DA81/CS81-1)*100)))</f>
        <v>1.8220338983050866</v>
      </c>
      <c r="DC81" s="95">
        <v>197</v>
      </c>
      <c r="DD81" s="81">
        <f>IF(ISERROR((DC81/CU81-1)*100),"NA",IF(((DC81/CU81-1)*100)&gt;100,"NM",IF(((DC81/CU81-1)*100)&lt;-50,"NM",(DC81/CU81-1)*100)))</f>
        <v>-16.701902748414376</v>
      </c>
      <c r="DE81" s="95">
        <v>239.3</v>
      </c>
      <c r="DF81" s="81">
        <f>IF(ISERROR((DE81/CW81-1)*100),"NA",IF(((DE81/CW81-1)*100)&gt;100,"NM",IF(((DE81/CW81-1)*100)&lt;-50,"NM",(DE81/CW81-1)*100)))</f>
        <v>1.6999575010624657</v>
      </c>
      <c r="DG81" s="95">
        <v>241.5</v>
      </c>
      <c r="DH81" s="81">
        <f>IF(ISERROR((DG81/CY81-1)*100),"NA",IF(((DG81/CY81-1)*100)&gt;100,"NM",IF(((DG81/CY81-1)*100)&lt;-50,"NM",(DG81/CY81-1)*100)))</f>
        <v>1.7699115044247815</v>
      </c>
      <c r="DI81" s="95">
        <v>243.7</v>
      </c>
      <c r="DJ81" s="81">
        <f>IF(ISERROR((DI81/DA81-1)*100),"NA",IF(((DI81/DA81-1)*100)&gt;100,"NM",IF(((DI81/DA81-1)*100)&lt;-50,"NM",(DI81/DA81-1)*100)))</f>
        <v>1.4148980441115233</v>
      </c>
      <c r="DK81" s="95">
        <v>251.3</v>
      </c>
      <c r="DL81" s="81">
        <f>IF(ISERROR((DK81/DC81-1)*100),"NA",IF(((DK81/DC81-1)*100)&gt;100,"NM",IF(((DK81/DC81-1)*100)&lt;-50,"NM",(DK81/DC81-1)*100)))</f>
        <v>27.56345177664976</v>
      </c>
      <c r="DM81" s="95">
        <v>260.8</v>
      </c>
      <c r="DN81" s="81">
        <f>IF(ISERROR((DM81/DE81-1)*100),"NA",IF(((DM81/DE81-1)*100)&gt;100,"NM",IF(((DM81/DE81-1)*100)&lt;-50,"NM",(DM81/DE81-1)*100)))</f>
        <v>8.9845382365231874</v>
      </c>
      <c r="DO81" s="95">
        <v>269.89999999999998</v>
      </c>
      <c r="DP81" s="81">
        <f>IF(ISERROR((DO81/DG81-1)*100),"NA",IF(((DO81/DG81-1)*100)&gt;100,"NM",IF(((DO81/DG81-1)*100)&lt;-50,"NM",(DO81/DG81-1)*100)))</f>
        <v>11.759834368530008</v>
      </c>
      <c r="DQ81" s="95">
        <v>261.8</v>
      </c>
      <c r="DR81" s="81">
        <f>IF(ISERROR((DQ81/DI81-1)*100),"NA",IF(((DQ81/DI81-1)*100)&gt;100,"NM",IF(((DQ81/DI81-1)*100)&lt;-50,"NM",(DQ81/DI81-1)*100)))</f>
        <v>7.4271645465736613</v>
      </c>
      <c r="DS81" s="95">
        <v>269.10000000000002</v>
      </c>
      <c r="DT81" s="81">
        <f>IF(ISERROR((DS81/DK81-1)*100),"NA",IF(((DS81/DK81-1)*100)&gt;100,"NM",IF(((DS81/DK81-1)*100)&lt;-50,"NM",(DS81/DK81-1)*100)))</f>
        <v>7.0831675288499873</v>
      </c>
      <c r="DU81" s="95">
        <v>275.89999999999998</v>
      </c>
      <c r="DV81" s="81">
        <f>IF(ISERROR((DU81/DM81-1)*100),"NA",IF(((DU81/DM81-1)*100)&gt;100,"NM",IF(((DU81/DM81-1)*100)&lt;-50,"NM",(DU81/DM81-1)*100)))</f>
        <v>5.7898773006134885</v>
      </c>
      <c r="DW81" s="129">
        <v>274.39999999999998</v>
      </c>
      <c r="DX81" s="81">
        <f>IF(ISERROR((DW81/DO81-1)*100),"NA",IF(((DW81/DO81-1)*100)&gt;100,"NM",IF(((DW81/DO81-1)*100)&lt;-50,"NM",(DW81/DO81-1)*100)))</f>
        <v>1.6672841793256676</v>
      </c>
      <c r="DY81" s="95">
        <v>282.2</v>
      </c>
      <c r="DZ81" s="81">
        <f>IF(ISERROR((DY81/DQ81-1)*100),"NA",IF(((DY81/DQ81-1)*100)&gt;100,"NM",IF(((DY81/DQ81-1)*100)&lt;-50,"NM",(DY81/DQ81-1)*100)))</f>
        <v>7.7922077922077726</v>
      </c>
      <c r="EA81" s="95">
        <v>280.10000000000002</v>
      </c>
      <c r="EB81" s="81">
        <f>IF(ISERROR((EA81/DS81-1)*100),"NA",IF(((EA81/DS81-1)*100)&gt;100,"NM",IF(((EA81/DS81-1)*100)&lt;-50,"NM",(EA81/DS81-1)*100)))</f>
        <v>4.0876997398736625</v>
      </c>
      <c r="EC81" s="95">
        <v>290.7</v>
      </c>
      <c r="ED81" s="81">
        <f t="shared" ref="ED81:ED85" si="331">IF(ISERROR((EC81/DU81-1)*100),"NA",IF(((EC81/DU81-1)*100)&gt;100,"NM",IF(((EC81/DU81-1)*100)&lt;-50,"NM",(EC81/DU81-1)*100)))</f>
        <v>5.3642624139180972</v>
      </c>
      <c r="EE81" s="95">
        <v>282.8</v>
      </c>
      <c r="EF81" s="81">
        <f t="shared" ref="EF81:EF85" si="332">IF(ISERROR((EE81/DW81-1)*100),"NA",IF(((EE81/DW81-1)*100)&gt;100,"NM",IF(((EE81/DW81-1)*100)&lt;-50,"NM",(EE81/DW81-1)*100)))</f>
        <v>3.0612244897959329</v>
      </c>
      <c r="EG81" s="95">
        <v>290.60000000000002</v>
      </c>
      <c r="EH81" s="81">
        <f t="shared" ref="EH81:EH85" si="333">IF(ISERROR((EG81/DY81-1)*100),"NA",IF(((EG81/DY81-1)*100)&gt;100,"NM",IF(((EG81/DY81-1)*100)&lt;-50,"NM",(EG81/DY81-1)*100)))</f>
        <v>2.9766123316796733</v>
      </c>
      <c r="EI81" s="95">
        <v>305.7</v>
      </c>
      <c r="EJ81" s="81">
        <f t="shared" ref="EJ81:EJ85" si="334">IF(ISERROR((EI81/EA81-1)*100),"NA",IF(((EI81/EA81-1)*100)&gt;100,"NM",IF(((EI81/EA81-1)*100)&lt;-50,"NM",(EI81/EA81-1)*100)))</f>
        <v>9.1395930024990903</v>
      </c>
      <c r="EK81" s="93">
        <f t="shared" ref="EK81:EQ81" si="335">+EK75*EK88/100</f>
        <v>299.02953599999995</v>
      </c>
      <c r="EL81" s="81">
        <f t="shared" ref="EL81:EL85" si="336">IF(ISERROR((EK81/EC81-1)*100),"NA",IF(((EK81/EC81-1)*100)&gt;100,"NM",IF(((EK81/EC81-1)*100)&lt;-50,"NM",(EK81/EC81-1)*100)))</f>
        <v>2.865337461300288</v>
      </c>
      <c r="EM81" s="93">
        <f t="shared" si="335"/>
        <v>296.21966399999997</v>
      </c>
      <c r="EN81" s="81">
        <f t="shared" ref="EN81:EN85" si="337">IF(ISERROR((EM81/EE81-1)*100),"NA",IF(((EM81/EE81-1)*100)&gt;100,"NM",IF(((EM81/EE81-1)*100)&lt;-50,"NM",(EM81/EE81-1)*100)))</f>
        <v>4.7452842998585432</v>
      </c>
      <c r="EO81" s="93">
        <f t="shared" si="335"/>
        <v>301.09996799999999</v>
      </c>
      <c r="EP81" s="81">
        <f t="shared" ref="EP81:EP85" si="338">IF(ISERROR((EO81/EG81-1)*100),"NA",IF(((EO81/EG81-1)*100)&gt;100,"NM",IF(((EO81/EG81-1)*100)&lt;-50,"NM",(EO81/EG81-1)*100)))</f>
        <v>3.6132030282174599</v>
      </c>
      <c r="EQ81" s="93">
        <f t="shared" si="335"/>
        <v>297.84643199999999</v>
      </c>
      <c r="ER81" s="81">
        <f t="shared" ref="ER81:ER85" si="339">IF(ISERROR((EQ81/EI81-1)*100),"NA",IF(((EQ81/EI81-1)*100)&gt;100,"NM",IF(((EQ81/EI81-1)*100)&lt;-50,"NM",(EQ81/EI81-1)*100)))</f>
        <v>-2.5690441609421022</v>
      </c>
      <c r="ES81" s="129"/>
      <c r="ET81" s="469"/>
      <c r="EU81" s="129"/>
      <c r="EV81" s="95"/>
      <c r="EW81" s="79"/>
      <c r="EX81" s="95"/>
      <c r="EY81" s="79"/>
      <c r="EZ81" s="131"/>
      <c r="FA81" s="79"/>
      <c r="FB81" s="35"/>
      <c r="FC81" s="79"/>
      <c r="FD81" s="129">
        <v>1247.9000000000001</v>
      </c>
      <c r="FE81" s="79" t="str">
        <f>IF(ISERROR((FD81/FB81-1)*100),"NA",IF(((FD81/FB81-1)*100)&gt;100,"NM",IF(((FD81/FB81-1)*100)&lt;-50,"NM",(FD81/FB81-1)*100)))</f>
        <v>NA</v>
      </c>
      <c r="FF81" s="129">
        <v>1280</v>
      </c>
      <c r="FG81" s="79">
        <f>IF(ISERROR((FF81/FD81-1)*100),"NA",IF(((FF81/FD81-1)*100)&gt;100,"NM",IF(((FF81/FD81-1)*100)&lt;-50,"NM",(FF81/FD81-1)*100)))</f>
        <v>2.5723215001201893</v>
      </c>
      <c r="FH81" s="129">
        <v>1244.3</v>
      </c>
      <c r="FI81" s="79">
        <f>IF(ISERROR((FH81/FF81-1)*100),"NA",IF(((FH81/FF81-1)*100)&gt;100,"NM",IF(((FH81/FF81-1)*100)&lt;-50,"NM",(FH81/FF81-1)*100)))</f>
        <v>-2.7890625000000058</v>
      </c>
      <c r="FJ81" s="35">
        <f>+AQ81+AO81+AM81+AK81</f>
        <v>1111.9000000000001</v>
      </c>
      <c r="FK81" s="79">
        <f>IF(ISERROR((FJ81/FH81-1)*100),"NA",IF(((FJ81/FH81-1)*100)&gt;100,"NM",IF(((FJ81/FH81-1)*100)&lt;-50,"NM",(FJ81/FH81-1)*100)))</f>
        <v>-10.640520774732776</v>
      </c>
      <c r="FL81" s="78">
        <f>AS81+AU81+AW81+AY81</f>
        <v>1067.3</v>
      </c>
      <c r="FM81" s="79">
        <f>IF(ISERROR((FL81/FJ81-1)*100),"NA",IF(((FL81/FJ81-1)*100)&gt;100,"NM",IF(((FL81/FJ81-1)*100)&lt;-50,"NM",(FL81/FJ81-1)*100)))</f>
        <v>-4.0111520820217734</v>
      </c>
      <c r="FN81" s="78">
        <f>BA81+BC81+BE81+BG81</f>
        <v>901.6</v>
      </c>
      <c r="FO81" s="79">
        <f>IF(ISERROR((FN81/FL81-1)*100),"NA",IF(((FN81/FL81-1)*100)&gt;100,"NM",IF(((FN81/FL81-1)*100)&lt;-50,"NM",(FN81/FL81-1)*100)))</f>
        <v>-15.525156938068019</v>
      </c>
      <c r="FP81" s="78">
        <f>BI81+BK81+BM81+BO81</f>
        <v>827.6</v>
      </c>
      <c r="FQ81" s="79">
        <f>IF(ISERROR((FP81/FN81-1)*100),"NA",IF(((FP81/FN81-1)*100)&gt;100,"NM",IF(((FP81/FN81-1)*100)&lt;-50,"NM",(FP81/FN81-1)*100)))</f>
        <v>-8.2076308784383318</v>
      </c>
      <c r="FR81" s="93">
        <f>BQ81+BS81+BU81+BW81</f>
        <v>815.5</v>
      </c>
      <c r="FS81" s="79">
        <f>IF(ISERROR((FR81/FP81-1)*100),"NA",IF(((FR81/FP81-1)*100)&gt;100,"NM",IF(((FR81/FP81-1)*100)&lt;-50,"NM",(FR81/FP81-1)*100)))</f>
        <v>-1.46205896568391</v>
      </c>
      <c r="FT81" s="93">
        <f>BY81+CA81+CC81+CE81</f>
        <v>839.90000000000009</v>
      </c>
      <c r="FU81" s="79">
        <f>IF(ISERROR((FT81/FR81-1)*100),"NA",IF(((FT81/FR81-1)*100)&gt;100,"NM",IF(((FT81/FR81-1)*100)&lt;-50,"NM",(FT81/FR81-1)*100)))</f>
        <v>2.9920294297976824</v>
      </c>
      <c r="FV81" s="93">
        <f>CG81+CI81+CK81+CM81</f>
        <v>854.59999999999991</v>
      </c>
      <c r="FW81" s="79">
        <f>IF(ISERROR((FV81/FT81-1)*100),"NA",IF(((FV81/FT81-1)*100)&gt;100,"NM",IF(((FV81/FT81-1)*100)&lt;-50,"NM",(FV81/FT81-1)*100)))</f>
        <v>1.7502083581378614</v>
      </c>
      <c r="FX81" s="93">
        <f>CO81+CQ81+CS81+CU81</f>
        <v>936.4</v>
      </c>
      <c r="FY81" s="79">
        <f>IF(ISERROR((FX81/FV81-1)*100),"NA",IF(((FX81/FV81-1)*100)&gt;100,"NM",IF(((FX81/FV81-1)*100)&lt;-50,"NM",(FX81/FV81-1)*100)))</f>
        <v>9.5717294640767605</v>
      </c>
      <c r="FZ81" s="93">
        <f>CW81+CY81+DA81+DC81</f>
        <v>909.90000000000009</v>
      </c>
      <c r="GA81" s="79">
        <f>IF(ISERROR((FZ81/FX81-1)*100),"NA",IF(((FZ81/FX81-1)*100)&gt;100,"NM",IF(((FZ81/FX81-1)*100)&lt;-50,"NM",(FZ81/FX81-1)*100)))</f>
        <v>-2.8299871849636782</v>
      </c>
      <c r="GB81" s="93">
        <f>DE81+DG81+DI81+DK81</f>
        <v>975.8</v>
      </c>
      <c r="GC81" s="79">
        <f>IF(ISERROR((GB81/FZ81-1)*100),"NA",IF(((GB81/FZ81-1)*100)&gt;100,"NM",IF(((GB81/FZ81-1)*100)&lt;-50,"NM",(GB81/FZ81-1)*100)))</f>
        <v>7.2425541268271054</v>
      </c>
      <c r="GD81" s="93">
        <f>DM81+DO81+DQ81+DS81</f>
        <v>1061.5999999999999</v>
      </c>
      <c r="GE81" s="79">
        <f>IF(ISERROR((GD81/GB81-1)*100),"NA",IF(((GD81/GB81-1)*100)&gt;100,"NM",IF(((GD81/GB81-1)*100)&lt;-50,"NM",(GD81/GB81-1)*100)))</f>
        <v>8.7927854068456703</v>
      </c>
      <c r="GF81" s="93">
        <f>DU81+DW81+DY81+EA81</f>
        <v>1112.5999999999999</v>
      </c>
      <c r="GG81" s="79">
        <f>IF(ISERROR((GF81/GD81-1)*100),"NA",IF(((GF81/GD81-1)*100)&gt;100,"NM",IF(((GF81/GD81-1)*100)&lt;-50,"NM",(GF81/GD81-1)*100)))</f>
        <v>4.8040693293142533</v>
      </c>
      <c r="GH81" s="93">
        <f>EC81+EE81+EG81+EI81</f>
        <v>1169.8</v>
      </c>
      <c r="GI81" s="79">
        <f>IF(ISERROR((GH81/GF81-1)*100),"NA",IF(((GH81/GF81-1)*100)&gt;100,"NM",IF(((GH81/GF81-1)*100)&lt;-50,"NM",(GH81/GF81-1)*100)))</f>
        <v>5.1411109113787656</v>
      </c>
      <c r="GJ81" s="93">
        <f>EK81+EM81+EO81+EQ81</f>
        <v>1194.1956</v>
      </c>
      <c r="GK81" s="79">
        <f>IF(ISERROR((GJ81/GH81-1)*100),"NA",IF(((GJ81/GH81-1)*100)&gt;100,"NM",IF(((GJ81/GH81-1)*100)&lt;-50,"NM",(GJ81/GH81-1)*100)))</f>
        <v>2.0854505043597316</v>
      </c>
      <c r="GL81" s="93">
        <f>+GL75*GL88/100</f>
        <v>1224.0504899999999</v>
      </c>
      <c r="GM81" s="79">
        <f>IF(ISERROR((GL81/GJ81-1)*100),"NA",IF(((GL81/GJ81-1)*100)&gt;100,"NM",IF(((GL81/GJ81-1)*100)&lt;-50,"NM",(GL81/GJ81-1)*100)))</f>
        <v>2.4999999999999911</v>
      </c>
      <c r="GN81" s="93">
        <f>+GN75*GN88/100</f>
        <v>1254.6517522499998</v>
      </c>
      <c r="GO81" s="79">
        <f>IF(ISERROR((GN81/GL81-1)*100),"NA",IF(((GN81/GL81-1)*100)&gt;100,"NM",IF(((GN81/GL81-1)*100)&lt;-50,"NM",(GN81/GL81-1)*100)))</f>
        <v>2.4999999999999911</v>
      </c>
      <c r="GP81" s="93">
        <f>+GP75*GP88/100</f>
        <v>1284.2093005624999</v>
      </c>
      <c r="GQ81" s="79">
        <f>IF(ISERROR((GP81/GN81-1)*100),"NA",IF(((GP81/GN81-1)*100)&gt;100,"NM",IF(((GP81/GN81-1)*100)&lt;-50,"NM",(GP81/GN81-1)*100)))</f>
        <v>2.3558368495077531</v>
      </c>
      <c r="GR81" s="93">
        <f>+GR75*GR88/100</f>
        <v>1316.3145330765622</v>
      </c>
      <c r="GS81" s="79">
        <f>IF(ISERROR((GR81/GP81-1)*100),"NA",IF(((GR81/GP81-1)*100)&gt;100,"NM",IF(((GR81/GP81-1)*100)&lt;-50,"NM",(GR81/GP81-1)*100)))</f>
        <v>2.4999999999999689</v>
      </c>
      <c r="GT81" s="79">
        <f>IF(ISERROR(((GR81/GH81)^0.2-1)*100),"NA",(IF(OR(((GR81/GH81)^0.2-1)*100&gt;99,((GR81/GH81)^0.2-1)*100&lt;-50),"NM",(((GR81/GH81)^0.2-1)*100))))</f>
        <v>2.3881301549752321</v>
      </c>
      <c r="GU81" s="562"/>
      <c r="GV81" s="562"/>
      <c r="GW81"/>
      <c r="GX81"/>
      <c r="GY81"/>
      <c r="GZ81"/>
      <c r="HA81"/>
      <c r="HB81"/>
      <c r="HC81" s="562"/>
      <c r="HD81" s="562"/>
      <c r="HE81" s="562"/>
      <c r="HF81" s="562"/>
      <c r="HG81" s="562"/>
      <c r="HH81" s="562"/>
      <c r="HI81" s="562"/>
      <c r="HJ81" s="562"/>
      <c r="HK81" s="562"/>
      <c r="HL81" s="562"/>
      <c r="HM81" s="562"/>
      <c r="HN81" s="562"/>
      <c r="HO81" s="562"/>
      <c r="HP81" s="562"/>
      <c r="HQ81" s="562"/>
      <c r="HR81" s="562"/>
      <c r="HS81" s="562"/>
      <c r="HT81" s="562"/>
      <c r="HU81" s="562"/>
      <c r="HV81" s="562"/>
      <c r="HW81" s="562"/>
      <c r="HX81" s="562"/>
      <c r="HY81" s="562"/>
      <c r="HZ81" s="562"/>
      <c r="IA81" s="562"/>
      <c r="IB81" s="562"/>
      <c r="IC81" s="562"/>
      <c r="ID81" s="562"/>
      <c r="IE81" s="562"/>
      <c r="IF81" s="562"/>
      <c r="IG81" s="562"/>
      <c r="IH81" s="562"/>
      <c r="II81" s="562"/>
      <c r="IJ81" s="562"/>
      <c r="IK81" s="562"/>
      <c r="IL81" s="562"/>
      <c r="IM81" s="562"/>
      <c r="IN81" s="562"/>
      <c r="IO81" s="562"/>
      <c r="IP81" s="562"/>
      <c r="IQ81" s="562"/>
      <c r="IR81" s="562"/>
      <c r="IS81" s="562"/>
      <c r="IT81" s="562"/>
      <c r="IU81" s="562"/>
      <c r="IV81" s="562"/>
      <c r="IW81" s="562"/>
      <c r="IX81" s="562"/>
      <c r="IY81" s="562"/>
      <c r="IZ81" s="562"/>
      <c r="JA81" s="562"/>
      <c r="JB81" s="562"/>
      <c r="JC81" s="562"/>
      <c r="JD81" s="562"/>
      <c r="JE81" s="562"/>
      <c r="JF81" s="562"/>
      <c r="JG81" s="562"/>
      <c r="JH81" s="562"/>
      <c r="JI81" s="562"/>
      <c r="JJ81" s="562"/>
      <c r="JK81" s="562"/>
      <c r="JL81" s="562"/>
      <c r="JM81" s="562"/>
      <c r="JN81" s="562"/>
      <c r="JO81" s="562"/>
      <c r="JP81" s="562"/>
      <c r="JQ81" s="562"/>
      <c r="JR81" s="562"/>
      <c r="JS81" s="562"/>
      <c r="JT81" s="562"/>
      <c r="JU81" s="562"/>
      <c r="JV81" s="562"/>
      <c r="JW81" s="562"/>
      <c r="JX81" s="562"/>
      <c r="JY81" s="562"/>
      <c r="JZ81" s="562"/>
    </row>
    <row r="82" spans="1:286" s="132" customFormat="1" ht="12.75" customHeight="1" x14ac:dyDescent="0.2">
      <c r="A82" s="133"/>
      <c r="B82" s="2" t="s">
        <v>114</v>
      </c>
      <c r="C82" s="79"/>
      <c r="D82" s="79"/>
      <c r="E82" s="129"/>
      <c r="F82" s="129"/>
      <c r="G82" s="129"/>
      <c r="H82" s="129"/>
      <c r="I82" s="129"/>
      <c r="J82" s="129"/>
      <c r="K82" s="129"/>
      <c r="L82" s="79"/>
      <c r="M82" s="129"/>
      <c r="N82" s="79"/>
      <c r="O82" s="129"/>
      <c r="P82" s="79"/>
      <c r="Q82" s="129"/>
      <c r="R82" s="79"/>
      <c r="S82" s="129"/>
      <c r="T82" s="79"/>
      <c r="U82" s="129"/>
      <c r="V82" s="79"/>
      <c r="W82" s="129"/>
      <c r="X82" s="79"/>
      <c r="Y82" s="129"/>
      <c r="Z82" s="79"/>
      <c r="AA82" s="130"/>
      <c r="AB82" s="79"/>
      <c r="AC82" s="129">
        <f>54.6-AE82</f>
        <v>27.400000000000002</v>
      </c>
      <c r="AD82" s="79" t="str">
        <f>IF(ISERROR((AC82/U82-1)*100),"NA",IF(((AC82/U82-1)*100)&gt;100,"NM",IF(((AC82/U82-1)*100)&lt;-50,"NM",(AC82/U82-1)*100)))</f>
        <v>NA</v>
      </c>
      <c r="AE82" s="129">
        <v>27.2</v>
      </c>
      <c r="AF82" s="79" t="str">
        <f>IF(ISERROR((AE82/W82-1)*100),"NA",IF(((AE82/W82-1)*100)&gt;100,"NM",IF(((AE82/W82-1)*100)&lt;-50,"NM",(AE82/W82-1)*100)))</f>
        <v>NA</v>
      </c>
      <c r="AG82" s="129">
        <v>25.3</v>
      </c>
      <c r="AH82" s="79" t="str">
        <f>IF(ISERROR((AG82/Y82-1)*100),"NA",IF(((AG82/Y82-1)*100)&gt;100,"NM",IF(((AG82/Y82-1)*100)&lt;-50,"NM",(AG82/Y82-1)*100)))</f>
        <v>NA</v>
      </c>
      <c r="AI82" s="75">
        <f>FH82-AG82-AE82-AC82</f>
        <v>26.3</v>
      </c>
      <c r="AJ82" s="79" t="str">
        <f>IF(ISERROR((AI82/AA82-1)*100),"NA",IF(((AI82/AA82-1)*100)&gt;100,"NM",IF(((AI82/AA82-1)*100)&lt;-50,"NM",(AI82/AA82-1)*100)))</f>
        <v>NA</v>
      </c>
      <c r="AK82" s="129">
        <f>56.2-AM82</f>
        <v>25.400000000000002</v>
      </c>
      <c r="AL82" s="79">
        <f>IF(ISERROR((AK82/AC82-1)*100),"NA",IF(((AK82/AC82-1)*100)&gt;100,"NM",IF(((AK82/AC82-1)*100)&lt;-50,"NM",(AK82/AC82-1)*100)))</f>
        <v>-7.2992700729927034</v>
      </c>
      <c r="AM82" s="129">
        <v>30.8</v>
      </c>
      <c r="AN82" s="79">
        <f>IF(ISERROR((AM82/AE82-1)*100),"NA",IF(((AM82/AE82-1)*100)&gt;100,"NM",IF(((AM82/AE82-1)*100)&lt;-50,"NM",(AM82/AE82-1)*100)))</f>
        <v>13.235294117647056</v>
      </c>
      <c r="AO82" s="129">
        <v>20.7</v>
      </c>
      <c r="AP82" s="79">
        <f>IF(ISERROR((AO82/AG82-1)*100),"NA",IF(((AO82/AG82-1)*100)&gt;100,"NM",IF(((AO82/AG82-1)*100)&lt;-50,"NM",(AO82/AG82-1)*100)))</f>
        <v>-18.181818181818187</v>
      </c>
      <c r="AQ82" s="129">
        <v>20.9</v>
      </c>
      <c r="AR82" s="79">
        <f>IF(ISERROR((AQ82/AI82-1)*100),"NA",IF(((AQ82/AI82-1)*100)&gt;100,"NM",IF(((AQ82/AI82-1)*100)&lt;-50,"NM",(AQ82/AI82-1)*100)))</f>
        <v>-20.532319391634989</v>
      </c>
      <c r="AS82" s="129">
        <v>23</v>
      </c>
      <c r="AT82" s="81">
        <f>IF(ISERROR((AS82/AK82-1)*100),"NA",IF(((AS82/AK82-1)*100)&gt;100,"NM",IF(((AS82/AK82-1)*100)&lt;-50,"NM",(AS82/AK82-1)*100)))</f>
        <v>-9.4488188976377998</v>
      </c>
      <c r="AU82" s="129">
        <v>23.1</v>
      </c>
      <c r="AV82" s="81">
        <f>IF(ISERROR((AU82/AM82-1)*100),"NA",IF(((AU82/AM82-1)*100)&gt;100,"NM",IF(((AU82/AM82-1)*100)&lt;-50,"NM",(AU82/AM82-1)*100)))</f>
        <v>-25</v>
      </c>
      <c r="AW82" s="129">
        <v>21</v>
      </c>
      <c r="AX82" s="81">
        <f>IF(ISERROR((AW82/AO82-1)*100),"NA",IF(((AW82/AO82-1)*100)&gt;100,"NM",IF(((AW82/AO82-1)*100)&lt;-50,"NM",(AW82/AO82-1)*100)))</f>
        <v>1.449275362318847</v>
      </c>
      <c r="AY82" s="129">
        <v>23</v>
      </c>
      <c r="AZ82" s="81">
        <f>IF(ISERROR((AY82/AQ82-1)*100),"NA",IF(((AY82/AQ82-1)*100)&gt;100,"NM",IF(((AY82/AQ82-1)*100)&lt;-50,"NM",(AY82/AQ82-1)*100)))</f>
        <v>10.047846889952151</v>
      </c>
      <c r="BA82" s="129">
        <v>22.6</v>
      </c>
      <c r="BB82" s="81">
        <f>IF(ISERROR((BA82/AS82-1)*100),"NA",IF(((BA82/AS82-1)*100)&gt;100,"NM",IF(((BA82/AS82-1)*100)&lt;-50,"NM",(BA82/AS82-1)*100)))</f>
        <v>-1.7391304347825987</v>
      </c>
      <c r="BC82" s="129">
        <v>22.5</v>
      </c>
      <c r="BD82" s="81">
        <f>IF(ISERROR((BC82/AU82-1)*100),"NA",IF(((BC82/AU82-1)*100)&gt;100,"NM",IF(((BC82/AU82-1)*100)&lt;-50,"NM",(BC82/AU82-1)*100)))</f>
        <v>-2.5974025974025983</v>
      </c>
      <c r="BE82" s="129">
        <v>21.2</v>
      </c>
      <c r="BF82" s="81">
        <f>IF(ISERROR((BE82/AW82-1)*100),"NA",IF(((BE82/AW82-1)*100)&gt;100,"NM",IF(((BE82/AW82-1)*100)&lt;-50,"NM",(BE82/AW82-1)*100)))</f>
        <v>0.952380952380949</v>
      </c>
      <c r="BG82" s="129">
        <v>22.4</v>
      </c>
      <c r="BH82" s="81">
        <f>IF(ISERROR((BG82/AY82-1)*100),"NA",IF(((BG82/AY82-1)*100)&gt;100,"NM",IF(((BG82/AY82-1)*100)&lt;-50,"NM",(BG82/AY82-1)*100)))</f>
        <v>-2.6086956521739202</v>
      </c>
      <c r="BI82" s="129">
        <v>21.6</v>
      </c>
      <c r="BJ82" s="81">
        <f>IF(ISERROR((BI82/BA82-1)*100),"NA",IF(((BI82/BA82-1)*100)&gt;100,"NM",IF(((BI82/BA82-1)*100)&lt;-50,"NM",(BI82/BA82-1)*100)))</f>
        <v>-4.4247787610619422</v>
      </c>
      <c r="BK82" s="129">
        <v>20.8</v>
      </c>
      <c r="BL82" s="81">
        <f>IF(ISERROR((BK82/BC82-1)*100),"NA",IF(((BK82/BC82-1)*100)&gt;100,"NM",IF(((BK82/BC82-1)*100)&lt;-50,"NM",(BK82/BC82-1)*100)))</f>
        <v>-7.5555555555555483</v>
      </c>
      <c r="BM82" s="129">
        <v>21.2</v>
      </c>
      <c r="BN82" s="81">
        <f>IF(ISERROR((BM82/BE82-1)*100),"NA",IF(((BM82/BE82-1)*100)&gt;100,"NM",IF(((BM82/BE82-1)*100)&lt;-50,"NM",(BM82/BE82-1)*100)))</f>
        <v>0</v>
      </c>
      <c r="BO82" s="129">
        <v>21.8</v>
      </c>
      <c r="BP82" s="81">
        <f>IF(ISERROR((BO82/BG82-1)*100),"NA",IF(((BO82/BG82-1)*100)&gt;100,"NM",IF(((BO82/BG82-1)*100)&lt;-50,"NM",(BO82/BG82-1)*100)))</f>
        <v>-2.6785714285714191</v>
      </c>
      <c r="BQ82" s="129">
        <v>21.4</v>
      </c>
      <c r="BR82" s="81">
        <f>IF(ISERROR((BQ82/BI82-1)*100),"NA",IF(((BQ82/BI82-1)*100)&gt;100,"NM",IF(((BQ82/BI82-1)*100)&lt;-50,"NM",(BQ82/BI82-1)*100)))</f>
        <v>-0.92592592592594114</v>
      </c>
      <c r="BS82" s="129">
        <v>21.7</v>
      </c>
      <c r="BT82" s="81">
        <f>IF(ISERROR((BS82/BK82-1)*100),"NA",IF(((BS82/BK82-1)*100)&gt;100,"NM",IF(((BS82/BK82-1)*100)&lt;-50,"NM",(BS82/BK82-1)*100)))</f>
        <v>4.3269230769230616</v>
      </c>
      <c r="BU82" s="129">
        <v>21.3</v>
      </c>
      <c r="BV82" s="81">
        <f>IF(ISERROR((BU82/BM82-1)*100),"NA",IF(((BU82/BM82-1)*100)&gt;100,"NM",IF(((BU82/BM82-1)*100)&lt;-50,"NM",(BU82/BM82-1)*100)))</f>
        <v>0.47169811320755262</v>
      </c>
      <c r="BW82" s="129">
        <v>21</v>
      </c>
      <c r="BX82" s="81">
        <f>IF(ISERROR((BW82/BO82-1)*100),"NA",IF(((BW82/BO82-1)*100)&gt;100,"NM",IF(((BW82/BO82-1)*100)&lt;-50,"NM",(BW82/BO82-1)*100)))</f>
        <v>-3.669724770642202</v>
      </c>
      <c r="BY82" s="129">
        <v>22.3</v>
      </c>
      <c r="BZ82" s="81">
        <f>IF(ISERROR((BY82/BQ82-1)*100),"NA",IF(((BY82/BQ82-1)*100)&gt;100,"NM",IF(((BY82/BQ82-1)*100)&lt;-50,"NM",(BY82/BQ82-1)*100)))</f>
        <v>4.20560747663552</v>
      </c>
      <c r="CA82" s="129">
        <v>21.4</v>
      </c>
      <c r="CB82" s="81">
        <f>IF(ISERROR((CA82/BS82-1)*100),"NA",IF(((CA82/BS82-1)*100)&gt;100,"NM",IF(((CA82/BS82-1)*100)&lt;-50,"NM",(CA82/BS82-1)*100)))</f>
        <v>-1.3824884792626779</v>
      </c>
      <c r="CC82" s="129">
        <v>22.2</v>
      </c>
      <c r="CD82" s="81">
        <f>IF(ISERROR((CC82/BU82-1)*100),"NA",IF(((CC82/BU82-1)*100)&gt;100,"NM",IF(((CC82/BU82-1)*100)&lt;-50,"NM",(CC82/BU82-1)*100)))</f>
        <v>4.2253521126760507</v>
      </c>
      <c r="CE82" s="129">
        <v>23.4</v>
      </c>
      <c r="CF82" s="81">
        <f>IF(ISERROR((CE82/BW82-1)*100),"NA",IF(((CE82/BW82-1)*100)&gt;100,"NM",IF(((CE82/BW82-1)*100)&lt;-50,"NM",(CE82/BW82-1)*100)))</f>
        <v>11.428571428571432</v>
      </c>
      <c r="CG82" s="129">
        <v>23.5</v>
      </c>
      <c r="CH82" s="81">
        <f>IF(ISERROR((CG82/BY82-1)*100),"NA",IF(((CG82/BY82-1)*100)&gt;100,"NM",IF(((CG82/BY82-1)*100)&lt;-50,"NM",(CG82/BY82-1)*100)))</f>
        <v>5.3811659192825045</v>
      </c>
      <c r="CI82" s="129">
        <v>23.4</v>
      </c>
      <c r="CJ82" s="81">
        <f>IF(ISERROR((CI82/CA82-1)*100),"NA",IF(((CI82/CA82-1)*100)&gt;100,"NM",IF(((CI82/CA82-1)*100)&lt;-50,"NM",(CI82/CA82-1)*100)))</f>
        <v>9.3457943925233664</v>
      </c>
      <c r="CK82" s="129">
        <v>24.2</v>
      </c>
      <c r="CL82" s="81">
        <f>IF(ISERROR((CK82/CC82-1)*100),"NA",IF(((CK82/CC82-1)*100)&gt;100,"NM",IF(((CK82/CC82-1)*100)&lt;-50,"NM",(CK82/CC82-1)*100)))</f>
        <v>9.0090090090090058</v>
      </c>
      <c r="CM82" s="129">
        <v>24.4</v>
      </c>
      <c r="CN82" s="81">
        <f>IF(ISERROR((CM82/CE82-1)*100),"NA",IF(((CM82/CE82-1)*100)&gt;100,"NM",IF(((CM82/CE82-1)*100)&lt;-50,"NM",(CM82/CE82-1)*100)))</f>
        <v>4.2735042735042805</v>
      </c>
      <c r="CO82" s="129">
        <v>26.2</v>
      </c>
      <c r="CP82" s="81">
        <f>IF(ISERROR((CO82/CG82-1)*100),"NA",IF(((CO82/CG82-1)*100)&gt;100,"NM",IF(((CO82/CG82-1)*100)&lt;-50,"NM",(CO82/CG82-1)*100)))</f>
        <v>11.489361702127665</v>
      </c>
      <c r="CQ82" s="129">
        <v>25.9</v>
      </c>
      <c r="CR82" s="81">
        <f>IF(ISERROR((CQ82/CI82-1)*100),"NA",IF(((CQ82/CI82-1)*100)&gt;100,"NM",IF(((CQ82/CI82-1)*100)&lt;-50,"NM",(CQ82/CI82-1)*100)))</f>
        <v>10.68376068376069</v>
      </c>
      <c r="CS82" s="129">
        <v>26.1</v>
      </c>
      <c r="CT82" s="81">
        <f>IF(ISERROR((CS82/CK82-1)*100),"NA",IF(((CS82/CK82-1)*100)&gt;100,"NM",IF(((CS82/CK82-1)*100)&lt;-50,"NM",(CS82/CK82-1)*100)))</f>
        <v>7.8512396694214948</v>
      </c>
      <c r="CU82" s="129">
        <v>26.4</v>
      </c>
      <c r="CV82" s="81">
        <f>IF(ISERROR((CU82/CM82-1)*100),"NA",IF(((CU82/CM82-1)*100)&gt;100,"NM",IF(((CU82/CM82-1)*100)&lt;-50,"NM",(CU82/CM82-1)*100)))</f>
        <v>8.196721311475418</v>
      </c>
      <c r="CW82" s="129">
        <v>28.4</v>
      </c>
      <c r="CX82" s="81">
        <f>IF(ISERROR((CW82/CO82-1)*100),"NA",IF(((CW82/CO82-1)*100)&gt;100,"NM",IF(((CW82/CO82-1)*100)&lt;-50,"NM",(CW82/CO82-1)*100)))</f>
        <v>8.3969465648855</v>
      </c>
      <c r="CY82" s="129">
        <v>27.2</v>
      </c>
      <c r="CZ82" s="81">
        <f>IF(ISERROR((CY82/CQ82-1)*100),"NA",IF(((CY82/CQ82-1)*100)&gt;100,"NM",IF(((CY82/CQ82-1)*100)&lt;-50,"NM",(CY82/CQ82-1)*100)))</f>
        <v>5.0193050193050315</v>
      </c>
      <c r="DA82" s="129">
        <v>27.4</v>
      </c>
      <c r="DB82" s="81">
        <f>IF(ISERROR((DA82/CS82-1)*100),"NA",IF(((DA82/CS82-1)*100)&gt;100,"NM",IF(((DA82/CS82-1)*100)&lt;-50,"NM",(DA82/CS82-1)*100)))</f>
        <v>4.9808429118773923</v>
      </c>
      <c r="DC82" s="129">
        <v>25.9</v>
      </c>
      <c r="DD82" s="81">
        <f>IF(ISERROR((DC82/CU82-1)*100),"NA",IF(((DC82/CU82-1)*100)&gt;100,"NM",IF(((DC82/CU82-1)*100)&lt;-50,"NM",(DC82/CU82-1)*100)))</f>
        <v>-1.8939393939393923</v>
      </c>
      <c r="DE82" s="129">
        <v>28.5</v>
      </c>
      <c r="DF82" s="81">
        <f>IF(ISERROR((DE82/CW82-1)*100),"NA",IF(((DE82/CW82-1)*100)&gt;100,"NM",IF(((DE82/CW82-1)*100)&lt;-50,"NM",(DE82/CW82-1)*100)))</f>
        <v>0.35211267605634866</v>
      </c>
      <c r="DG82" s="129">
        <v>28</v>
      </c>
      <c r="DH82" s="81">
        <f>IF(ISERROR((DG82/CY82-1)*100),"NA",IF(((DG82/CY82-1)*100)&gt;100,"NM",IF(((DG82/CY82-1)*100)&lt;-50,"NM",(DG82/CY82-1)*100)))</f>
        <v>2.941176470588247</v>
      </c>
      <c r="DI82" s="129">
        <v>28.3</v>
      </c>
      <c r="DJ82" s="81">
        <f>IF(ISERROR((DI82/DA82-1)*100),"NA",IF(((DI82/DA82-1)*100)&gt;100,"NM",IF(((DI82/DA82-1)*100)&lt;-50,"NM",(DI82/DA82-1)*100)))</f>
        <v>3.284671532846728</v>
      </c>
      <c r="DK82" s="129">
        <v>28.5</v>
      </c>
      <c r="DL82" s="81">
        <f>IF(ISERROR((DK82/DC82-1)*100),"NA",IF(((DK82/DC82-1)*100)&gt;100,"NM",IF(((DK82/DC82-1)*100)&lt;-50,"NM",(DK82/DC82-1)*100)))</f>
        <v>10.038610038610042</v>
      </c>
      <c r="DM82" s="129">
        <v>30.3</v>
      </c>
      <c r="DN82" s="81">
        <f>IF(ISERROR((DM82/DE82-1)*100),"NA",IF(((DM82/DE82-1)*100)&gt;100,"NM",IF(((DM82/DE82-1)*100)&lt;-50,"NM",(DM82/DE82-1)*100)))</f>
        <v>6.315789473684208</v>
      </c>
      <c r="DO82" s="129">
        <v>30.2</v>
      </c>
      <c r="DP82" s="81">
        <f>IF(ISERROR((DO82/DG82-1)*100),"NA",IF(((DO82/DG82-1)*100)&gt;100,"NM",IF(((DO82/DG82-1)*100)&lt;-50,"NM",(DO82/DG82-1)*100)))</f>
        <v>7.8571428571428514</v>
      </c>
      <c r="DQ82" s="129">
        <v>30</v>
      </c>
      <c r="DR82" s="81">
        <f>IF(ISERROR((DQ82/DI82-1)*100),"NA",IF(((DQ82/DI82-1)*100)&gt;100,"NM",IF(((DQ82/DI82-1)*100)&lt;-50,"NM",(DQ82/DI82-1)*100)))</f>
        <v>6.0070671378091856</v>
      </c>
      <c r="DS82" s="129">
        <v>30.7</v>
      </c>
      <c r="DT82" s="81">
        <f>IF(ISERROR((DS82/DK82-1)*100),"NA",IF(((DS82/DK82-1)*100)&gt;100,"NM",IF(((DS82/DK82-1)*100)&lt;-50,"NM",(DS82/DK82-1)*100)))</f>
        <v>7.7192982456140369</v>
      </c>
      <c r="DU82" s="129">
        <v>32.299999999999997</v>
      </c>
      <c r="DV82" s="81">
        <f>IF(ISERROR((DU82/DM82-1)*100),"NA",IF(((DU82/DM82-1)*100)&gt;100,"NM",IF(((DU82/DM82-1)*100)&lt;-50,"NM",(DU82/DM82-1)*100)))</f>
        <v>6.6006600660065917</v>
      </c>
      <c r="DW82" s="129">
        <v>31</v>
      </c>
      <c r="DX82" s="81">
        <f>IF(ISERROR((DW82/DO82-1)*100),"NA",IF(((DW82/DO82-1)*100)&gt;100,"NM",IF(((DW82/DO82-1)*100)&lt;-50,"NM",(DW82/DO82-1)*100)))</f>
        <v>2.6490066225165476</v>
      </c>
      <c r="DY82" s="129">
        <v>31.5</v>
      </c>
      <c r="DZ82" s="81">
        <f>IF(ISERROR((DY82/DQ82-1)*100),"NA",IF(((DY82/DQ82-1)*100)&gt;100,"NM",IF(((DY82/DQ82-1)*100)&lt;-50,"NM",(DY82/DQ82-1)*100)))</f>
        <v>5.0000000000000044</v>
      </c>
      <c r="EA82" s="129">
        <v>32</v>
      </c>
      <c r="EB82" s="81">
        <f>IF(ISERROR((EA82/DS82-1)*100),"NA",IF(((EA82/DS82-1)*100)&gt;100,"NM",IF(((EA82/DS82-1)*100)&lt;-50,"NM",(EA82/DS82-1)*100)))</f>
        <v>4.2345276872964188</v>
      </c>
      <c r="EC82" s="129">
        <v>32.6</v>
      </c>
      <c r="ED82" s="81">
        <f t="shared" si="331"/>
        <v>0.92879256965945345</v>
      </c>
      <c r="EE82" s="129">
        <v>32.1</v>
      </c>
      <c r="EF82" s="81">
        <f t="shared" si="332"/>
        <v>3.5483870967742082</v>
      </c>
      <c r="EG82" s="129">
        <v>33.299999999999997</v>
      </c>
      <c r="EH82" s="81">
        <f t="shared" si="333"/>
        <v>5.7142857142857162</v>
      </c>
      <c r="EI82" s="129">
        <v>33.299999999999997</v>
      </c>
      <c r="EJ82" s="81">
        <f t="shared" si="334"/>
        <v>4.0624999999999911</v>
      </c>
      <c r="EK82" s="35">
        <f t="shared" ref="EK82:EQ82" si="340">+EK75*EK89/100</f>
        <v>34.769565044687191</v>
      </c>
      <c r="EL82" s="81">
        <f t="shared" si="336"/>
        <v>6.655107499040458</v>
      </c>
      <c r="EM82" s="35">
        <f t="shared" si="340"/>
        <v>34.442848063555118</v>
      </c>
      <c r="EN82" s="81">
        <f t="shared" si="337"/>
        <v>7.2985920983025476</v>
      </c>
      <c r="EO82" s="35">
        <f t="shared" si="340"/>
        <v>34.798559872889768</v>
      </c>
      <c r="EP82" s="81">
        <f t="shared" si="338"/>
        <v>4.5001797984677738</v>
      </c>
      <c r="EQ82" s="35">
        <f t="shared" si="340"/>
        <v>34.213087999999999</v>
      </c>
      <c r="ER82" s="81">
        <f t="shared" si="339"/>
        <v>2.7420060060060036</v>
      </c>
      <c r="ES82" s="129"/>
      <c r="ET82" s="469"/>
      <c r="EU82" s="129"/>
      <c r="EV82" s="95"/>
      <c r="EW82" s="79"/>
      <c r="EX82" s="95"/>
      <c r="EY82" s="79"/>
      <c r="EZ82" s="131"/>
      <c r="FA82" s="79"/>
      <c r="FB82" s="35"/>
      <c r="FC82" s="79"/>
      <c r="FD82" s="129">
        <v>115.9</v>
      </c>
      <c r="FE82" s="79" t="str">
        <f>IF(ISERROR((FD82/FB82-1)*100),"NA",IF(((FD82/FB82-1)*100)&gt;100,"NM",IF(((FD82/FB82-1)*100)&lt;-50,"NM",(FD82/FB82-1)*100)))</f>
        <v>NA</v>
      </c>
      <c r="FF82" s="129">
        <v>113.2</v>
      </c>
      <c r="FG82" s="79">
        <f>IF(ISERROR((FF82/FD82-1)*100),"NA",IF(((FF82/FD82-1)*100)&gt;100,"NM",IF(((FF82/FD82-1)*100)&lt;-50,"NM",(FF82/FD82-1)*100)))</f>
        <v>-2.3295944779982758</v>
      </c>
      <c r="FH82" s="129">
        <v>106.2</v>
      </c>
      <c r="FI82" s="79">
        <f>IF(ISERROR((FH82/FF82-1)*100),"NA",IF(((FH82/FF82-1)*100)&gt;100,"NM",IF(((FH82/FF82-1)*100)&lt;-50,"NM",(FH82/FF82-1)*100)))</f>
        <v>-6.1837455830388688</v>
      </c>
      <c r="FJ82" s="35">
        <f>+AQ82+AO82+AM82+AK82</f>
        <v>97.8</v>
      </c>
      <c r="FK82" s="79">
        <f>IF(ISERROR((FJ82/FH82-1)*100),"NA",IF(((FJ82/FH82-1)*100)&gt;100,"NM",IF(((FJ82/FH82-1)*100)&lt;-50,"NM",(FJ82/FH82-1)*100)))</f>
        <v>-7.9096045197740157</v>
      </c>
      <c r="FL82" s="78">
        <f>AS82+AU82+AW82+AY82</f>
        <v>90.1</v>
      </c>
      <c r="FM82" s="79">
        <f>IF(ISERROR((FL82/FJ82-1)*100),"NA",IF(((FL82/FJ82-1)*100)&gt;100,"NM",IF(((FL82/FJ82-1)*100)&lt;-50,"NM",(FL82/FJ82-1)*100)))</f>
        <v>-7.8732106339468366</v>
      </c>
      <c r="FN82" s="78">
        <f>BA82+BC82+BE82+BG82</f>
        <v>88.699999999999989</v>
      </c>
      <c r="FO82" s="79">
        <f>IF(ISERROR((FN82/FL82-1)*100),"NA",IF(((FN82/FL82-1)*100)&gt;100,"NM",IF(((FN82/FL82-1)*100)&lt;-50,"NM",(FN82/FL82-1)*100)))</f>
        <v>-1.5538290788013387</v>
      </c>
      <c r="FP82" s="78">
        <f>BI82+BK82+BM82+BO82</f>
        <v>85.4</v>
      </c>
      <c r="FQ82" s="79">
        <f>IF(ISERROR((FP82/FN82-1)*100),"NA",IF(((FP82/FN82-1)*100)&gt;100,"NM",IF(((FP82/FN82-1)*100)&lt;-50,"NM",(FP82/FN82-1)*100)))</f>
        <v>-3.7204058624576986</v>
      </c>
      <c r="FR82" s="35">
        <f>BQ82+BS82+BU82+BW82</f>
        <v>85.399999999999991</v>
      </c>
      <c r="FS82" s="79">
        <f>IF(ISERROR((FR82/FP82-1)*100),"NA",IF(((FR82/FP82-1)*100)&gt;100,"NM",IF(((FR82/FP82-1)*100)&lt;-50,"NM",(FR82/FP82-1)*100)))</f>
        <v>-1.1102230246251565E-14</v>
      </c>
      <c r="FT82" s="35">
        <f>BY82+CA82+CC82+CE82</f>
        <v>89.300000000000011</v>
      </c>
      <c r="FU82" s="79">
        <f>IF(ISERROR((FT82/FR82-1)*100),"NA",IF(((FT82/FR82-1)*100)&gt;100,"NM",IF(((FT82/FR82-1)*100)&lt;-50,"NM",(FT82/FR82-1)*100)))</f>
        <v>4.5667447306791731</v>
      </c>
      <c r="FV82" s="35">
        <f>CG82+CI82+CK82+CM82</f>
        <v>95.5</v>
      </c>
      <c r="FW82" s="79">
        <f>IF(ISERROR((FV82/FT82-1)*100),"NA",IF(((FV82/FT82-1)*100)&gt;100,"NM",IF(((FV82/FT82-1)*100)&lt;-50,"NM",(FV82/FT82-1)*100)))</f>
        <v>6.9428891377379509</v>
      </c>
      <c r="FX82" s="35">
        <f>CO82+CQ82+CS82+CU82</f>
        <v>104.6</v>
      </c>
      <c r="FY82" s="79">
        <f>IF(ISERROR((FX82/FV82-1)*100),"NA",IF(((FX82/FV82-1)*100)&gt;100,"NM",IF(((FX82/FV82-1)*100)&lt;-50,"NM",(FX82/FV82-1)*100)))</f>
        <v>9.5287958115183091</v>
      </c>
      <c r="FZ82" s="35">
        <f>CW82+CY82+DA82+DC82</f>
        <v>108.9</v>
      </c>
      <c r="GA82" s="79">
        <f>IF(ISERROR((FZ82/FX82-1)*100),"NA",IF(((FZ82/FX82-1)*100)&gt;100,"NM",IF(((FZ82/FX82-1)*100)&lt;-50,"NM",(FZ82/FX82-1)*100)))</f>
        <v>4.1108986615678855</v>
      </c>
      <c r="GB82" s="35">
        <f>DE82+DG82+DI82+DK82</f>
        <v>113.3</v>
      </c>
      <c r="GC82" s="79">
        <f>IF(ISERROR((GB82/FZ82-1)*100),"NA",IF(((GB82/FZ82-1)*100)&gt;100,"NM",IF(((GB82/FZ82-1)*100)&lt;-50,"NM",(GB82/FZ82-1)*100)))</f>
        <v>4.040404040404022</v>
      </c>
      <c r="GD82" s="35">
        <f>DM82+DO82+DQ82+DS82</f>
        <v>121.2</v>
      </c>
      <c r="GE82" s="79">
        <f>IF(ISERROR((GD82/GB82-1)*100),"NA",IF(((GD82/GB82-1)*100)&gt;100,"NM",IF(((GD82/GB82-1)*100)&lt;-50,"NM",(GD82/GB82-1)*100)))</f>
        <v>6.9726390114739578</v>
      </c>
      <c r="GF82" s="35">
        <f>DU82+DW82+DY82+EA82</f>
        <v>126.8</v>
      </c>
      <c r="GG82" s="79">
        <f>IF(ISERROR((GF82/GD82-1)*100),"NA",IF(((GF82/GD82-1)*100)&gt;100,"NM",IF(((GF82/GD82-1)*100)&lt;-50,"NM",(GF82/GD82-1)*100)))</f>
        <v>4.6204620462046098</v>
      </c>
      <c r="GH82" s="35">
        <f>EC82+EE82+EG82+EI82</f>
        <v>131.30000000000001</v>
      </c>
      <c r="GI82" s="79">
        <f>IF(ISERROR((GH82/GF82-1)*100),"NA",IF(((GH82/GF82-1)*100)&gt;100,"NM",IF(((GH82/GF82-1)*100)&lt;-50,"NM",(GH82/GF82-1)*100)))</f>
        <v>3.5488958990536501</v>
      </c>
      <c r="GJ82" s="35">
        <f>EK82+EM82+EO82+EQ82</f>
        <v>138.22406098113208</v>
      </c>
      <c r="GK82" s="79">
        <f>IF(ISERROR((GJ82/GH82-1)*100),"NA",IF(((GJ82/GH82-1)*100)&gt;100,"NM",IF(((GJ82/GH82-1)*100)&lt;-50,"NM",(GJ82/GH82-1)*100)))</f>
        <v>5.2734660937791888</v>
      </c>
      <c r="GL82" s="35">
        <f>+GL75*GL89/100</f>
        <v>141.67966250566039</v>
      </c>
      <c r="GM82" s="79">
        <f>IF(ISERROR((GL82/GJ82-1)*100),"NA",IF(((GL82/GJ82-1)*100)&gt;100,"NM",IF(((GL82/GJ82-1)*100)&lt;-50,"NM",(GL82/GJ82-1)*100)))</f>
        <v>2.4999999999999911</v>
      </c>
      <c r="GN82" s="35">
        <f>+GN75*GN89/100</f>
        <v>145.22165406830189</v>
      </c>
      <c r="GO82" s="79">
        <f>IF(ISERROR((GN82/GL82-1)*100),"NA",IF(((GN82/GL82-1)*100)&gt;100,"NM",IF(((GN82/GL82-1)*100)&lt;-50,"NM",(GN82/GL82-1)*100)))</f>
        <v>2.4999999999999911</v>
      </c>
      <c r="GP82" s="35">
        <f>+GP75*GP89/100</f>
        <v>148.85219542000942</v>
      </c>
      <c r="GQ82" s="79">
        <f>IF(ISERROR((GP82/GN82-1)*100),"NA",IF(((GP82/GN82-1)*100)&gt;100,"NM",IF(((GP82/GN82-1)*100)&lt;-50,"NM",(GP82/GN82-1)*100)))</f>
        <v>2.4999999999999911</v>
      </c>
      <c r="GR82" s="35">
        <f>+GR75*GR89/100</f>
        <v>152.57350030550964</v>
      </c>
      <c r="GS82" s="79">
        <f>IF(ISERROR((GR82/GP82-1)*100),"NA",IF(((GR82/GP82-1)*100)&gt;100,"NM",IF(((GR82/GP82-1)*100)&lt;-50,"NM",(GR82/GP82-1)*100)))</f>
        <v>2.4999999999999911</v>
      </c>
      <c r="GT82" s="79">
        <f>IF(ISERROR(((GR82/GH82)^0.2-1)*100),"NA",(IF(OR(((GR82/GH82)^0.2-1)*100&gt;99,((GR82/GH82)^0.2-1)*100&lt;-50),"NM",(((GR82/GH82)^0.2-1)*100))))</f>
        <v>3.0487852765012091</v>
      </c>
      <c r="GU82" s="562"/>
      <c r="GV82" s="562"/>
      <c r="GW82"/>
      <c r="GX82"/>
      <c r="GY82"/>
      <c r="GZ82"/>
      <c r="HA82"/>
      <c r="HB82"/>
      <c r="HC82" s="562"/>
      <c r="HD82" s="562"/>
      <c r="HE82" s="562"/>
      <c r="HF82" s="562"/>
      <c r="HG82" s="562"/>
      <c r="HH82" s="562"/>
      <c r="HI82" s="562"/>
      <c r="HJ82" s="562"/>
      <c r="HK82" s="562"/>
      <c r="HL82" s="562"/>
      <c r="HM82" s="562"/>
      <c r="HN82" s="562"/>
      <c r="HO82" s="562"/>
      <c r="HP82" s="562"/>
      <c r="HQ82" s="562"/>
      <c r="HR82" s="562"/>
      <c r="HS82" s="562"/>
      <c r="HT82" s="562"/>
      <c r="HU82" s="562"/>
      <c r="HV82" s="562"/>
      <c r="HW82" s="562"/>
      <c r="HX82" s="562"/>
      <c r="HY82" s="562"/>
      <c r="HZ82" s="562"/>
      <c r="IA82" s="562"/>
      <c r="IB82" s="562"/>
      <c r="IC82" s="562"/>
      <c r="ID82" s="562"/>
      <c r="IE82" s="562"/>
      <c r="IF82" s="562"/>
      <c r="IG82" s="562"/>
      <c r="IH82" s="562"/>
      <c r="II82" s="562"/>
      <c r="IJ82" s="562"/>
      <c r="IK82" s="562"/>
      <c r="IL82" s="562"/>
      <c r="IM82" s="562"/>
      <c r="IN82" s="562"/>
      <c r="IO82" s="562"/>
      <c r="IP82" s="562"/>
      <c r="IQ82" s="562"/>
      <c r="IR82" s="562"/>
      <c r="IS82" s="562"/>
      <c r="IT82" s="562"/>
      <c r="IU82" s="562"/>
      <c r="IV82" s="562"/>
      <c r="IW82" s="562"/>
      <c r="IX82" s="562"/>
      <c r="IY82" s="562"/>
      <c r="IZ82" s="562"/>
      <c r="JA82" s="562"/>
      <c r="JB82" s="562"/>
      <c r="JC82" s="562"/>
      <c r="JD82" s="562"/>
      <c r="JE82" s="562"/>
      <c r="JF82" s="562"/>
      <c r="JG82" s="562"/>
      <c r="JH82" s="562"/>
      <c r="JI82" s="562"/>
      <c r="JJ82" s="562"/>
      <c r="JK82" s="562"/>
      <c r="JL82" s="562"/>
      <c r="JM82" s="562"/>
      <c r="JN82" s="562"/>
      <c r="JO82" s="562"/>
      <c r="JP82" s="562"/>
      <c r="JQ82" s="562"/>
      <c r="JR82" s="562"/>
      <c r="JS82" s="562"/>
      <c r="JT82" s="562"/>
      <c r="JU82" s="562"/>
      <c r="JV82" s="562"/>
      <c r="JW82" s="562"/>
      <c r="JX82" s="562"/>
      <c r="JY82" s="562"/>
      <c r="JZ82" s="562"/>
    </row>
    <row r="83" spans="1:286" s="132" customFormat="1" ht="12.75" customHeight="1" x14ac:dyDescent="0.2">
      <c r="A83" s="133"/>
      <c r="B83" s="2" t="s">
        <v>311</v>
      </c>
      <c r="C83" s="79"/>
      <c r="D83" s="79"/>
      <c r="E83" s="95"/>
      <c r="F83" s="129"/>
      <c r="G83" s="95"/>
      <c r="H83" s="129"/>
      <c r="I83" s="95"/>
      <c r="J83" s="129"/>
      <c r="K83" s="95"/>
      <c r="L83" s="79"/>
      <c r="M83" s="95"/>
      <c r="N83" s="79"/>
      <c r="O83" s="95"/>
      <c r="P83" s="79"/>
      <c r="Q83" s="95"/>
      <c r="R83" s="79"/>
      <c r="S83" s="95"/>
      <c r="T83" s="79"/>
      <c r="U83" s="95"/>
      <c r="V83" s="79"/>
      <c r="W83" s="95"/>
      <c r="X83" s="79"/>
      <c r="Y83" s="95"/>
      <c r="Z83" s="79"/>
      <c r="AA83" s="126"/>
      <c r="AB83" s="79"/>
      <c r="AC83" s="95">
        <f>-26.5+33.7-AE83</f>
        <v>3.1000000000000032</v>
      </c>
      <c r="AD83" s="79" t="str">
        <f>IF(ISERROR((AC83/U83-1)*100),"NA",IF(((AC83/U83-1)*100)&gt;100,"NM",IF(((AC83/U83-1)*100)&lt;-50,"NM",(AC83/U83-1)*100)))</f>
        <v>NA</v>
      </c>
      <c r="AE83" s="95">
        <f>-12.9+17</f>
        <v>4.0999999999999996</v>
      </c>
      <c r="AF83" s="79" t="str">
        <f>IF(ISERROR((AE83/W83-1)*100),"NA",IF(((AE83/W83-1)*100)&gt;100,"NM",IF(((AE83/W83-1)*100)&lt;-50,"NM",(AE83/W83-1)*100)))</f>
        <v>NA</v>
      </c>
      <c r="AG83" s="95">
        <f>-11.4+16.07</f>
        <v>4.67</v>
      </c>
      <c r="AH83" s="79" t="str">
        <f>IF(ISERROR((AG83/Y83-1)*100),"NA",IF(((AG83/Y83-1)*100)&gt;100,"NM",IF(((AG83/Y83-1)*100)&lt;-50,"NM",(AG83/Y83-1)*100)))</f>
        <v>NA</v>
      </c>
      <c r="AI83" s="75">
        <f>FH83-AG83-AE83-AC83</f>
        <v>8.1299999999999972</v>
      </c>
      <c r="AJ83" s="79" t="str">
        <f>IF(ISERROR((AI83/AA83-1)*100),"NA",IF(((AI83/AA83-1)*100)&gt;100,"NM",IF(((AI83/AA83-1)*100)&lt;-50,"NM",(AI83/AA83-1)*100)))</f>
        <v>NA</v>
      </c>
      <c r="AK83" s="95">
        <f>36.4-29.5-AM83</f>
        <v>6.5999999999999979</v>
      </c>
      <c r="AL83" s="79" t="str">
        <f>IF(ISERROR((AK83/AC83-1)*100),"NA",IF(((AK83/AC83-1)*100)&gt;100,"NM",IF(((AK83/AC83-1)*100)&lt;-50,"NM",(AK83/AC83-1)*100)))</f>
        <v>NM</v>
      </c>
      <c r="AM83" s="95">
        <f>-18.3+18.6</f>
        <v>0.30000000000000071</v>
      </c>
      <c r="AN83" s="79" t="str">
        <f>IF(ISERROR((AM83/AE83-1)*100),"NA",IF(((AM83/AE83-1)*100)&gt;100,"NM",IF(((AM83/AE83-1)*100)&lt;-50,"NM",(AM83/AE83-1)*100)))</f>
        <v>NM</v>
      </c>
      <c r="AO83" s="95">
        <f>18.5-7.1</f>
        <v>11.4</v>
      </c>
      <c r="AP83" s="79" t="str">
        <f>IF(ISERROR((AO83/AG83-1)*100),"NA",IF(((AO83/AG83-1)*100)&gt;100,"NM",IF(((AO83/AG83-1)*100)&lt;-50,"NM",(AO83/AG83-1)*100)))</f>
        <v>NM</v>
      </c>
      <c r="AQ83" s="95">
        <f>18.1-6.1</f>
        <v>12.000000000000002</v>
      </c>
      <c r="AR83" s="79">
        <f>IF(ISERROR((AQ83/AI83-1)*100),"NA",IF(((AQ83/AI83-1)*100)&gt;100,"NM",IF(((AQ83/AI83-1)*100)&lt;-50,"NM",(AQ83/AI83-1)*100)))</f>
        <v>47.601476014760216</v>
      </c>
      <c r="AS83" s="95">
        <f>-9.8+16.4</f>
        <v>6.5999999999999979</v>
      </c>
      <c r="AT83" s="81">
        <f>IF(ISERROR((AS83/AK83-1)*100),"NA",IF(((AS83/AK83-1)*100)&gt;100,"NM",IF(((AS83/AK83-1)*100)&lt;-50,"NM",(AS83/AK83-1)*100)))</f>
        <v>0</v>
      </c>
      <c r="AU83" s="95">
        <f>-9.9+16.3</f>
        <v>6.4</v>
      </c>
      <c r="AV83" s="81" t="str">
        <f>IF(ISERROR((AU83/AM83-1)*100),"NA",IF(((AU83/AM83-1)*100)&gt;100,"NM",IF(((AU83/AM83-1)*100)&lt;-50,"NM",(AU83/AM83-1)*100)))</f>
        <v>NM</v>
      </c>
      <c r="AW83" s="95">
        <f>-9+16.1</f>
        <v>7.1000000000000014</v>
      </c>
      <c r="AX83" s="81">
        <f>IF(ISERROR((AW83/AO83-1)*100),"NA",IF(((AW83/AO83-1)*100)&gt;100,"NM",IF(((AW83/AO83-1)*100)&lt;-50,"NM",(AW83/AO83-1)*100)))</f>
        <v>-37.71929824561402</v>
      </c>
      <c r="AY83" s="95">
        <f>-9+16.2</f>
        <v>7.1999999999999993</v>
      </c>
      <c r="AZ83" s="81">
        <f>IF(ISERROR((AY83/AQ83-1)*100),"NA",IF(((AY83/AQ83-1)*100)&gt;100,"NM",IF(((AY83/AQ83-1)*100)&lt;-50,"NM",(AY83/AQ83-1)*100)))</f>
        <v>-40.000000000000014</v>
      </c>
      <c r="BA83" s="95">
        <f>-9.1+9.3</f>
        <v>0.20000000000000107</v>
      </c>
      <c r="BB83" s="81" t="str">
        <f>IF(ISERROR((BA83/AS83-1)*100),"NA",IF(((BA83/AS83-1)*100)&gt;100,"NM",IF(((BA83/AS83-1)*100)&lt;-50,"NM",(BA83/AS83-1)*100)))</f>
        <v>NM</v>
      </c>
      <c r="BC83" s="95">
        <f>-8.5+9.9</f>
        <v>1.4000000000000004</v>
      </c>
      <c r="BD83" s="81" t="str">
        <f>IF(ISERROR((BC83/AU83-1)*100),"NA",IF(((BC83/AU83-1)*100)&gt;100,"NM",IF(((BC83/AU83-1)*100)&lt;-50,"NM",(BC83/AU83-1)*100)))</f>
        <v>NM</v>
      </c>
      <c r="BE83" s="95">
        <f>-8.7+9.9</f>
        <v>1.2000000000000011</v>
      </c>
      <c r="BF83" s="81" t="str">
        <f>IF(ISERROR((BE83/AW83-1)*100),"NA",IF(((BE83/AW83-1)*100)&gt;100,"NM",IF(((BE83/AW83-1)*100)&lt;-50,"NM",(BE83/AW83-1)*100)))</f>
        <v>NM</v>
      </c>
      <c r="BG83" s="95">
        <f>-9.8+10.3</f>
        <v>0.5</v>
      </c>
      <c r="BH83" s="81" t="str">
        <f>IF(ISERROR((BG83/AY83-1)*100),"NA",IF(((BG83/AY83-1)*100)&gt;100,"NM",IF(((BG83/AY83-1)*100)&lt;-50,"NM",(BG83/AY83-1)*100)))</f>
        <v>NM</v>
      </c>
      <c r="BI83" s="95">
        <f>-9.6+13.7</f>
        <v>4.0999999999999996</v>
      </c>
      <c r="BJ83" s="81" t="str">
        <f>IF(ISERROR((BI83/BA83-1)*100),"NA",IF(((BI83/BA83-1)*100)&gt;100,"NM",IF(((BI83/BA83-1)*100)&lt;-50,"NM",(BI83/BA83-1)*100)))</f>
        <v>NM</v>
      </c>
      <c r="BK83" s="95">
        <f>-10.2+13.7</f>
        <v>3.5</v>
      </c>
      <c r="BL83" s="81" t="str">
        <f>IF(ISERROR((BK83/BC83-1)*100),"NA",IF(((BK83/BC83-1)*100)&gt;100,"NM",IF(((BK83/BC83-1)*100)&lt;-50,"NM",(BK83/BC83-1)*100)))</f>
        <v>NM</v>
      </c>
      <c r="BM83" s="95">
        <f>-10.1+13.7</f>
        <v>3.5999999999999996</v>
      </c>
      <c r="BN83" s="81" t="str">
        <f>IF(ISERROR((BM83/BE83-1)*100),"NA",IF(((BM83/BE83-1)*100)&gt;100,"NM",IF(((BM83/BE83-1)*100)&lt;-50,"NM",(BM83/BE83-1)*100)))</f>
        <v>NM</v>
      </c>
      <c r="BO83" s="95">
        <f>-10.4+13.9</f>
        <v>3.5</v>
      </c>
      <c r="BP83" s="81" t="str">
        <f>IF(ISERROR((BO83/BG83-1)*100),"NA",IF(((BO83/BG83-1)*100)&gt;100,"NM",IF(((BO83/BG83-1)*100)&lt;-50,"NM",(BO83/BG83-1)*100)))</f>
        <v>NM</v>
      </c>
      <c r="BQ83" s="95">
        <f>-11.9+11.6</f>
        <v>-0.30000000000000071</v>
      </c>
      <c r="BR83" s="81" t="str">
        <f>IF(ISERROR((BQ83/BI83-1)*100),"NA",IF(((BQ83/BI83-1)*100)&gt;100,"NM",IF(((BQ83/BI83-1)*100)&lt;-50,"NM",(BQ83/BI83-1)*100)))</f>
        <v>NM</v>
      </c>
      <c r="BS83" s="95">
        <f>-12.1+11.5</f>
        <v>-0.59999999999999964</v>
      </c>
      <c r="BT83" s="81" t="str">
        <f>IF(ISERROR((BS83/BK83-1)*100),"NA",IF(((BS83/BK83-1)*100)&gt;100,"NM",IF(((BS83/BK83-1)*100)&lt;-50,"NM",(BS83/BK83-1)*100)))</f>
        <v>NM</v>
      </c>
      <c r="BU83" s="95">
        <f>-12+11.6</f>
        <v>-0.40000000000000036</v>
      </c>
      <c r="BV83" s="81" t="str">
        <f>IF(ISERROR((BU83/BM83-1)*100),"NA",IF(((BU83/BM83-1)*100)&gt;100,"NM",IF(((BU83/BM83-1)*100)&lt;-50,"NM",(BU83/BM83-1)*100)))</f>
        <v>NM</v>
      </c>
      <c r="BW83" s="95">
        <f>-12.1+11.2</f>
        <v>-0.90000000000000036</v>
      </c>
      <c r="BX83" s="81" t="str">
        <f>IF(ISERROR((BW83/BO83-1)*100),"NA",IF(((BW83/BO83-1)*100)&gt;100,"NM",IF(((BW83/BO83-1)*100)&lt;-50,"NM",(BW83/BO83-1)*100)))</f>
        <v>NM</v>
      </c>
      <c r="BY83" s="95">
        <f>-4+3.9</f>
        <v>-0.10000000000000009</v>
      </c>
      <c r="BZ83" s="81" t="str">
        <f>IF(ISERROR((BY83/BQ83-1)*100),"NA",IF(((BY83/BQ83-1)*100)&gt;100,"NM",IF(((BY83/BQ83-1)*100)&lt;-50,"NM",(BY83/BQ83-1)*100)))</f>
        <v>NM</v>
      </c>
      <c r="CA83" s="95">
        <f>-3.9+3.6</f>
        <v>-0.29999999999999982</v>
      </c>
      <c r="CB83" s="81">
        <f>IF(ISERROR((CA83/BS83-1)*100),"NA",IF(((CA83/BS83-1)*100)&gt;100,"NM",IF(((CA83/BS83-1)*100)&lt;-50,"NM",(CA83/BS83-1)*100)))</f>
        <v>-50</v>
      </c>
      <c r="CC83" s="95">
        <f>-3.8+3.2</f>
        <v>-0.59999999999999964</v>
      </c>
      <c r="CD83" s="81">
        <f>IF(ISERROR((CC83/BU83-1)*100),"NA",IF(((CC83/BU83-1)*100)&gt;100,"NM",IF(((CC83/BU83-1)*100)&lt;-50,"NM",(CC83/BU83-1)*100)))</f>
        <v>49.99999999999978</v>
      </c>
      <c r="CE83" s="95">
        <f>-3.7+3.4</f>
        <v>-0.30000000000000027</v>
      </c>
      <c r="CF83" s="81" t="str">
        <f>IF(ISERROR((CE83/BW83-1)*100),"NA",IF(((CE83/BW83-1)*100)&gt;100,"NM",IF(((CE83/BW83-1)*100)&lt;-50,"NM",(CE83/BW83-1)*100)))</f>
        <v>NM</v>
      </c>
      <c r="CG83" s="95">
        <f>-4.7+3.6</f>
        <v>-1.1000000000000001</v>
      </c>
      <c r="CH83" s="81" t="str">
        <f>IF(ISERROR((CG83/BY83-1)*100),"NA",IF(((CG83/BY83-1)*100)&gt;100,"NM",IF(((CG83/BY83-1)*100)&lt;-50,"NM",(CG83/BY83-1)*100)))</f>
        <v>NM</v>
      </c>
      <c r="CI83" s="95">
        <f>-4.7+3.6</f>
        <v>-1.1000000000000001</v>
      </c>
      <c r="CJ83" s="81" t="str">
        <f>IF(ISERROR((CI83/CA83-1)*100),"NA",IF(((CI83/CA83-1)*100)&gt;100,"NM",IF(((CI83/CA83-1)*100)&lt;-50,"NM",(CI83/CA83-1)*100)))</f>
        <v>NM</v>
      </c>
      <c r="CK83" s="95">
        <f>-4.3+3.4</f>
        <v>-0.89999999999999991</v>
      </c>
      <c r="CL83" s="81">
        <f>IF(ISERROR((CK83/CC83-1)*100),"NA",IF(((CK83/CC83-1)*100)&gt;100,"NM",IF(((CK83/CC83-1)*100)&lt;-50,"NM",(CK83/CC83-1)*100)))</f>
        <v>50.000000000000064</v>
      </c>
      <c r="CM83" s="95">
        <f>-4.8+3.6</f>
        <v>-1.1999999999999997</v>
      </c>
      <c r="CN83" s="81" t="str">
        <f>IF(ISERROR((CM83/CE83-1)*100),"NA",IF(((CM83/CE83-1)*100)&gt;100,"NM",IF(((CM83/CE83-1)*100)&lt;-50,"NM",(CM83/CE83-1)*100)))</f>
        <v>NM</v>
      </c>
      <c r="CO83" s="95">
        <f>-5.1+3.4</f>
        <v>-1.6999999999999997</v>
      </c>
      <c r="CP83" s="81">
        <f>IF(ISERROR((CO83/CG83-1)*100),"NA",IF(((CO83/CG83-1)*100)&gt;100,"NM",IF(((CO83/CG83-1)*100)&lt;-50,"NM",(CO83/CG83-1)*100)))</f>
        <v>54.545454545454518</v>
      </c>
      <c r="CQ83" s="95">
        <f>-5+3.3</f>
        <v>-1.7000000000000002</v>
      </c>
      <c r="CR83" s="81">
        <f>IF(ISERROR((CQ83/CI83-1)*100),"NA",IF(((CQ83/CI83-1)*100)&gt;100,"NM",IF(((CQ83/CI83-1)*100)&lt;-50,"NM",(CQ83/CI83-1)*100)))</f>
        <v>54.54545454545454</v>
      </c>
      <c r="CS83" s="95">
        <f>-4.9+3.3</f>
        <v>-1.6000000000000005</v>
      </c>
      <c r="CT83" s="81">
        <f>IF(ISERROR((CS83/CK83-1)*100),"NA",IF(((CS83/CK83-1)*100)&gt;100,"NM",IF(((CS83/CK83-1)*100)&lt;-50,"NM",(CS83/CK83-1)*100)))</f>
        <v>77.777777777777857</v>
      </c>
      <c r="CU83" s="95">
        <f>-7.4+3.6</f>
        <v>-3.8000000000000003</v>
      </c>
      <c r="CV83" s="81" t="str">
        <f>IF(ISERROR((CU83/CM83-1)*100),"NA",IF(((CU83/CM83-1)*100)&gt;100,"NM",IF(((CU83/CM83-1)*100)&lt;-50,"NM",(CU83/CM83-1)*100)))</f>
        <v>NM</v>
      </c>
      <c r="CW83" s="95">
        <f>-5.7+4.1</f>
        <v>-1.6000000000000005</v>
      </c>
      <c r="CX83" s="81">
        <f>IF(ISERROR((CW83/CO83-1)*100),"NA",IF(((CW83/CO83-1)*100)&gt;100,"NM",IF(((CW83/CO83-1)*100)&lt;-50,"NM",(CW83/CO83-1)*100)))</f>
        <v>-5.8823529411764275</v>
      </c>
      <c r="CY83" s="95">
        <f>-5.7+3.6</f>
        <v>-2.1</v>
      </c>
      <c r="CZ83" s="81">
        <f>IF(ISERROR((CY83/CQ83-1)*100),"NA",IF(((CY83/CQ83-1)*100)&gt;100,"NM",IF(((CY83/CQ83-1)*100)&lt;-50,"NM",(CY83/CQ83-1)*100)))</f>
        <v>23.529411764705866</v>
      </c>
      <c r="DA83" s="95">
        <f>-7.3+4</f>
        <v>-3.3</v>
      </c>
      <c r="DB83" s="81" t="str">
        <f>IF(ISERROR((DA83/CS83-1)*100),"NA",IF(((DA83/CS83-1)*100)&gt;100,"NM",IF(((DA83/CS83-1)*100)&lt;-50,"NM",(DA83/CS83-1)*100)))</f>
        <v>NM</v>
      </c>
      <c r="DC83" s="95">
        <f>-6+3.9</f>
        <v>-2.1</v>
      </c>
      <c r="DD83" s="81">
        <f>IF(ISERROR((DC83/CU83-1)*100),"NA",IF(((DC83/CU83-1)*100)&gt;100,"NM",IF(((DC83/CU83-1)*100)&lt;-50,"NM",(DC83/CU83-1)*100)))</f>
        <v>-44.736842105263165</v>
      </c>
      <c r="DE83" s="95">
        <f>-7.2+5.3</f>
        <v>-1.9000000000000004</v>
      </c>
      <c r="DF83" s="81">
        <f>IF(ISERROR((DE83/CW83-1)*100),"NA",IF(((DE83/CW83-1)*100)&gt;100,"NM",IF(((DE83/CW83-1)*100)&lt;-50,"NM",(DE83/CW83-1)*100)))</f>
        <v>18.749999999999979</v>
      </c>
      <c r="DG83" s="95">
        <f>-7.5+5.3</f>
        <v>-2.2000000000000002</v>
      </c>
      <c r="DH83" s="81">
        <f>IF(ISERROR((DG83/CY83-1)*100),"NA",IF(((DG83/CY83-1)*100)&gt;100,"NM",IF(((DG83/CY83-1)*100)&lt;-50,"NM",(DG83/CY83-1)*100)))</f>
        <v>4.7619047619047672</v>
      </c>
      <c r="DI83" s="95">
        <f>-7.3+5.2</f>
        <v>-2.0999999999999996</v>
      </c>
      <c r="DJ83" s="81">
        <f>IF(ISERROR((DI83/DA83-1)*100),"NA",IF(((DI83/DA83-1)*100)&gt;100,"NM",IF(((DI83/DA83-1)*100)&lt;-50,"NM",(DI83/DA83-1)*100)))</f>
        <v>-36.363636363636374</v>
      </c>
      <c r="DK83" s="95">
        <f>-9.3+5.6</f>
        <v>-3.7000000000000011</v>
      </c>
      <c r="DL83" s="81">
        <f>IF(ISERROR((DK83/DC83-1)*100),"NA",IF(((DK83/DC83-1)*100)&gt;100,"NM",IF(((DK83/DC83-1)*100)&lt;-50,"NM",(DK83/DC83-1)*100)))</f>
        <v>76.190476190476232</v>
      </c>
      <c r="DM83" s="95">
        <f>-8+6.5</f>
        <v>-1.5</v>
      </c>
      <c r="DN83" s="81">
        <f>IF(ISERROR((DM83/DE83-1)*100),"NA",IF(((DM83/DE83-1)*100)&gt;100,"NM",IF(((DM83/DE83-1)*100)&lt;-50,"NM",(DM83/DE83-1)*100)))</f>
        <v>-21.052631578947377</v>
      </c>
      <c r="DO83" s="95">
        <f>-8.8+6.6</f>
        <v>-2.2000000000000011</v>
      </c>
      <c r="DP83" s="81">
        <f>IF(ISERROR((DO83/DG83-1)*100),"NA",IF(((DO83/DG83-1)*100)&gt;100,"NM",IF(((DO83/DG83-1)*100)&lt;-50,"NM",(DO83/DG83-1)*100)))</f>
        <v>4.4408920985006262E-14</v>
      </c>
      <c r="DQ83" s="95">
        <f>-7.9+6.5</f>
        <v>-1.4000000000000004</v>
      </c>
      <c r="DR83" s="81">
        <f>IF(ISERROR((DQ83/DI83-1)*100),"NA",IF(((DQ83/DI83-1)*100)&gt;100,"NM",IF(((DQ83/DI83-1)*100)&lt;-50,"NM",(DQ83/DI83-1)*100)))</f>
        <v>-33.3333333333333</v>
      </c>
      <c r="DS83" s="95">
        <f>-8.6+6.6</f>
        <v>-2</v>
      </c>
      <c r="DT83" s="81">
        <f>IF(ISERROR((DS83/DK83-1)*100),"NA",IF(((DS83/DK83-1)*100)&gt;100,"NM",IF(((DS83/DK83-1)*100)&lt;-50,"NM",(DS83/DK83-1)*100)))</f>
        <v>-45.945945945945965</v>
      </c>
      <c r="DU83" s="95">
        <f>-9.8+7.5</f>
        <v>-2.3000000000000007</v>
      </c>
      <c r="DV83" s="81">
        <f>IF(ISERROR((DU83/DM83-1)*100),"NA",IF(((DU83/DM83-1)*100)&gt;100,"NM",IF(((DU83/DM83-1)*100)&lt;-50,"NM",(DU83/DM83-1)*100)))</f>
        <v>53.333333333333385</v>
      </c>
      <c r="DW83" s="95">
        <f>-8.7+7.2</f>
        <v>-1.4999999999999991</v>
      </c>
      <c r="DX83" s="81">
        <f>IF(ISERROR((DW83/DO83-1)*100),"NA",IF(((DW83/DO83-1)*100)&gt;100,"NM",IF(((DW83/DO83-1)*100)&lt;-50,"NM",(DW83/DO83-1)*100)))</f>
        <v>-31.818181818181891</v>
      </c>
      <c r="DY83" s="95">
        <f>-8.9+7.3</f>
        <v>-1.6000000000000005</v>
      </c>
      <c r="DZ83" s="81">
        <f>IF(ISERROR((DY83/DQ83-1)*100),"NA",IF(((DY83/DQ83-1)*100)&gt;100,"NM",IF(((DY83/DQ83-1)*100)&lt;-50,"NM",(DY83/DQ83-1)*100)))</f>
        <v>14.285714285714302</v>
      </c>
      <c r="EA83" s="95">
        <f>-8.3+7.2</f>
        <v>-1.1000000000000005</v>
      </c>
      <c r="EB83" s="81">
        <f>IF(ISERROR((EA83/DS83-1)*100),"NA",IF(((EA83/DS83-1)*100)&gt;100,"NM",IF(((EA83/DS83-1)*100)&lt;-50,"NM",(EA83/DS83-1)*100)))</f>
        <v>-44.999999999999972</v>
      </c>
      <c r="EC83" s="95">
        <f>-9.3+8</f>
        <v>-1.3000000000000007</v>
      </c>
      <c r="ED83" s="81">
        <f t="shared" si="331"/>
        <v>-43.478260869565197</v>
      </c>
      <c r="EE83" s="95">
        <f>-8.8+8</f>
        <v>-0.80000000000000071</v>
      </c>
      <c r="EF83" s="81">
        <f t="shared" si="332"/>
        <v>-46.666666666666586</v>
      </c>
      <c r="EG83" s="95">
        <f>-9.5+7.9</f>
        <v>-1.5999999999999996</v>
      </c>
      <c r="EH83" s="81">
        <f t="shared" si="333"/>
        <v>-5.5511151231257827E-14</v>
      </c>
      <c r="EI83" s="95">
        <f>-8.6+8</f>
        <v>-0.59999999999999964</v>
      </c>
      <c r="EJ83" s="81">
        <f t="shared" si="334"/>
        <v>-45.454545454545517</v>
      </c>
      <c r="EK83" s="93">
        <f t="shared" ref="EK83" si="341">EI83*EK82/EI82</f>
        <v>-0.62647864945382292</v>
      </c>
      <c r="EL83" s="81" t="str">
        <f t="shared" si="336"/>
        <v>NM</v>
      </c>
      <c r="EM83" s="93">
        <f t="shared" ref="EM83" si="342">EK83*EM82/EK82</f>
        <v>-0.62059185700099273</v>
      </c>
      <c r="EN83" s="81">
        <f t="shared" si="337"/>
        <v>-22.426017874875981</v>
      </c>
      <c r="EO83" s="93">
        <f t="shared" ref="EO83" si="343">EM83*EO82/EM82</f>
        <v>-0.62700107879080624</v>
      </c>
      <c r="EP83" s="81" t="str">
        <f t="shared" si="338"/>
        <v>NM</v>
      </c>
      <c r="EQ83" s="93">
        <f t="shared" ref="EQ83" si="344">EO83*EQ82/EO82</f>
        <v>-0.6164520360360356</v>
      </c>
      <c r="ER83" s="81">
        <f t="shared" si="339"/>
        <v>2.7420060060060036</v>
      </c>
      <c r="ES83" s="95"/>
      <c r="ET83" s="471"/>
      <c r="EU83" s="95"/>
      <c r="EV83" s="95"/>
      <c r="EW83" s="146"/>
      <c r="EX83" s="95"/>
      <c r="EY83" s="146"/>
      <c r="EZ83" s="131"/>
      <c r="FA83" s="146"/>
      <c r="FB83" s="95"/>
      <c r="FC83" s="146"/>
      <c r="FD83" s="95">
        <f>-90.9+61.7</f>
        <v>-29.200000000000003</v>
      </c>
      <c r="FE83" s="146" t="str">
        <f>IF(ISERROR((FD83/FB83-1)*100),"NA",IF(((FD83/FB83-1)*100)&gt;100,"NM",IF(((FD83/FB83-1)*100)&lt;-50,"NM",(FD83/FB83-1)*100)))</f>
        <v>NA</v>
      </c>
      <c r="FF83" s="95">
        <f>-80+71.9</f>
        <v>-8.0999999999999943</v>
      </c>
      <c r="FG83" s="146" t="str">
        <f>IF(ISERROR((FF83/FD83-1)*100),"NA",IF(((FF83/FD83-1)*100)&gt;100,"NM",IF(((FF83/FD83-1)*100)&lt;-50,"NM",(FF83/FD83-1)*100)))</f>
        <v>NM</v>
      </c>
      <c r="FH83" s="95">
        <f>-47+67</f>
        <v>20</v>
      </c>
      <c r="FI83" s="146" t="str">
        <f>IF(ISERROR((FH83/FF83-1)*100),"NA",IF(((FH83/FF83-1)*100)&gt;100,"NM",IF(((FH83/FF83-1)*100)&lt;-50,"NM",(FH83/FF83-1)*100)))</f>
        <v>NM</v>
      </c>
      <c r="FJ83" s="93">
        <f>+AQ83+AO83+AM83+AK83</f>
        <v>30.3</v>
      </c>
      <c r="FK83" s="146">
        <f>IF(ISERROR((FJ83/FH83-1)*100),"NA",IF(((FJ83/FH83-1)*100)&gt;100,"NM",IF(((FJ83/FH83-1)*100)&lt;-50,"NM",(FJ83/FH83-1)*100)))</f>
        <v>51.500000000000014</v>
      </c>
      <c r="FL83" s="78">
        <f>AS83+AU83+AW83+AY83</f>
        <v>27.3</v>
      </c>
      <c r="FM83" s="146">
        <f>IF(ISERROR((FL83/FJ83-1)*100),"NA",IF(((FL83/FJ83-1)*100)&gt;100,"NM",IF(((FL83/FJ83-1)*100)&lt;-50,"NM",(FL83/FJ83-1)*100)))</f>
        <v>-9.9009900990098991</v>
      </c>
      <c r="FN83" s="78">
        <f>BA83+BC83+BE83+BG83</f>
        <v>3.3000000000000025</v>
      </c>
      <c r="FO83" s="146" t="str">
        <f>IF(ISERROR((FN83/FL83-1)*100),"NA",IF(((FN83/FL83-1)*100)&gt;100,"NM",IF(((FN83/FL83-1)*100)&lt;-50,"NM",(FN83/FL83-1)*100)))</f>
        <v>NM</v>
      </c>
      <c r="FP83" s="78">
        <f>BI83+BK83+BM83+BO83</f>
        <v>14.7</v>
      </c>
      <c r="FQ83" s="146" t="str">
        <f>IF(ISERROR((FP83/FN83-1)*100),"NA",IF(((FP83/FN83-1)*100)&gt;100,"NM",IF(((FP83/FN83-1)*100)&lt;-50,"NM",(FP83/FN83-1)*100)))</f>
        <v>NM</v>
      </c>
      <c r="FR83" s="95">
        <f>-16.4+15.3</f>
        <v>-1.0999999999999979</v>
      </c>
      <c r="FS83" s="146" t="str">
        <f>IF(ISERROR((FR83/FP83-1)*100),"NA",IF(((FR83/FP83-1)*100)&gt;100,"NM",IF(((FR83/FP83-1)*100)&lt;-50,"NM",(FR83/FP83-1)*100)))</f>
        <v>NM</v>
      </c>
      <c r="FT83" s="93">
        <f>BY83+CA83+CC83+CE83</f>
        <v>-1.2999999999999998</v>
      </c>
      <c r="FU83" s="146">
        <f>IF(ISERROR((FT83/FR83-1)*100),"NA",IF(((FT83/FR83-1)*100)&gt;100,"NM",IF(((FT83/FR83-1)*100)&lt;-50,"NM",(FT83/FR83-1)*100)))</f>
        <v>18.181818181818386</v>
      </c>
      <c r="FV83" s="93">
        <f>CG83+CI83+CK83+CM83</f>
        <v>-4.3</v>
      </c>
      <c r="FW83" s="146" t="str">
        <f>IF(ISERROR((FV83/FT83-1)*100),"NA",IF(((FV83/FT83-1)*100)&gt;100,"NM",IF(((FV83/FT83-1)*100)&lt;-50,"NM",(FV83/FT83-1)*100)))</f>
        <v>NM</v>
      </c>
      <c r="FX83" s="93">
        <f>CO83+CQ83+CS83+CU83</f>
        <v>-8.8000000000000007</v>
      </c>
      <c r="FY83" s="146" t="str">
        <f>IF(ISERROR((FX83/FV83-1)*100),"NA",IF(((FX83/FV83-1)*100)&gt;100,"NM",IF(((FX83/FV83-1)*100)&lt;-50,"NM",(FX83/FV83-1)*100)))</f>
        <v>NM</v>
      </c>
      <c r="FZ83" s="93">
        <f>CW83+CY83+DA83+DC83</f>
        <v>-9.1</v>
      </c>
      <c r="GA83" s="146">
        <f>IF(ISERROR((FZ83/FX83-1)*100),"NA",IF(((FZ83/FX83-1)*100)&gt;100,"NM",IF(((FZ83/FX83-1)*100)&lt;-50,"NM",(FZ83/FX83-1)*100)))</f>
        <v>3.409090909090895</v>
      </c>
      <c r="GB83" s="93">
        <f>DE83+DG83+DI83+DK83</f>
        <v>-9.9000000000000021</v>
      </c>
      <c r="GC83" s="146">
        <f>IF(ISERROR((GB83/FZ83-1)*100),"NA",IF(((GB83/FZ83-1)*100)&gt;100,"NM",IF(((GB83/FZ83-1)*100)&lt;-50,"NM",(GB83/FZ83-1)*100)))</f>
        <v>8.7912087912088275</v>
      </c>
      <c r="GD83" s="93">
        <f>DM83+DO83+DQ83+DS83</f>
        <v>-7.1000000000000014</v>
      </c>
      <c r="GE83" s="146">
        <f>IF(ISERROR((GD83/GB83-1)*100),"NA",IF(((GD83/GB83-1)*100)&gt;100,"NM",IF(((GD83/GB83-1)*100)&lt;-50,"NM",(GD83/GB83-1)*100)))</f>
        <v>-28.282828282828287</v>
      </c>
      <c r="GF83" s="93">
        <f>DU83+DW83+DY83+EA83</f>
        <v>-6.5000000000000009</v>
      </c>
      <c r="GG83" s="146">
        <f>IF(ISERROR((GF83/GD83-1)*100),"NA",IF(((GF83/GD83-1)*100)&gt;100,"NM",IF(((GF83/GD83-1)*100)&lt;-50,"NM",(GF83/GD83-1)*100)))</f>
        <v>-8.4507042253521227</v>
      </c>
      <c r="GH83" s="93">
        <f>EC83+EE83+EG83+EI83</f>
        <v>-4.3000000000000007</v>
      </c>
      <c r="GI83" s="146">
        <f>IF(ISERROR((GH83/GF83-1)*100),"NA",IF(((GH83/GF83-1)*100)&gt;100,"NM",IF(((GH83/GF83-1)*100)&lt;-50,"NM",(GH83/GF83-1)*100)))</f>
        <v>-33.846153846153847</v>
      </c>
      <c r="GJ83" s="93">
        <f>EK83+EM83+EO83+EQ83</f>
        <v>-2.4905236212816577</v>
      </c>
      <c r="GK83" s="146">
        <f>IF(ISERROR((GJ83/GH83-1)*100),"NA",IF(((GJ83/GH83-1)*100)&gt;100,"NM",IF(((GJ83/GH83-1)*100)&lt;-50,"NM",(GJ83/GH83-1)*100)))</f>
        <v>-42.080846016705642</v>
      </c>
      <c r="GL83" s="93">
        <f>GJ83*GL82/GJ82</f>
        <v>-2.5527867118136993</v>
      </c>
      <c r="GM83" s="146">
        <f>IF(ISERROR((GL83/GJ83-1)*100),"NA",IF(((GL83/GJ83-1)*100)&gt;100,"NM",IF(((GL83/GJ83-1)*100)&lt;-50,"NM",(GL83/GJ83-1)*100)))</f>
        <v>2.5000000000000133</v>
      </c>
      <c r="GN83" s="93">
        <f>GL83*GN82/GL82</f>
        <v>-2.6166063796090415</v>
      </c>
      <c r="GO83" s="146">
        <f>IF(ISERROR((GN83/GL83-1)*100),"NA",IF(((GN83/GL83-1)*100)&gt;100,"NM",IF(((GN83/GL83-1)*100)&lt;-50,"NM",(GN83/GL83-1)*100)))</f>
        <v>2.4999999999999911</v>
      </c>
      <c r="GP83" s="93">
        <f>GN83*GP82/GN82</f>
        <v>-2.6820215390992677</v>
      </c>
      <c r="GQ83" s="146">
        <f>IF(ISERROR((GP83/GN83-1)*100),"NA",IF(((GP83/GN83-1)*100)&gt;100,"NM",IF(((GP83/GN83-1)*100)&lt;-50,"NM",(GP83/GN83-1)*100)))</f>
        <v>2.5000000000000133</v>
      </c>
      <c r="GR83" s="93">
        <f>GP83*GR82/GP82</f>
        <v>-2.749072077576749</v>
      </c>
      <c r="GS83" s="146">
        <f>IF(ISERROR((GR83/GP83-1)*100),"NA",IF(((GR83/GP83-1)*100)&gt;100,"NM",IF(((GR83/GP83-1)*100)&lt;-50,"NM",(GR83/GP83-1)*100)))</f>
        <v>2.4999999999999911</v>
      </c>
      <c r="GT83" s="79">
        <f>IF(ISERROR(((GR83/GH83)^0.2-1)*100),"NA",(IF(OR(((GR83/GH83)^0.2-1)*100&gt;99,((GR83/GH83)^0.2-1)*100&lt;-50),"NM",(((GR83/GH83)^0.2-1)*100))))</f>
        <v>-8.5584594386410533</v>
      </c>
      <c r="GU83" s="562"/>
      <c r="GV83" s="562"/>
      <c r="GW83"/>
      <c r="GX83"/>
      <c r="GY83"/>
      <c r="GZ83"/>
      <c r="HA83"/>
      <c r="HB83"/>
      <c r="HC83" s="562"/>
      <c r="HD83" s="562"/>
      <c r="HE83" s="562"/>
      <c r="HF83" s="562"/>
      <c r="HG83" s="562"/>
      <c r="HH83" s="562"/>
      <c r="HI83" s="562"/>
      <c r="HJ83" s="562"/>
      <c r="HK83" s="562"/>
      <c r="HL83" s="562"/>
      <c r="HM83" s="562"/>
      <c r="HN83" s="562"/>
      <c r="HO83" s="562"/>
      <c r="HP83" s="562"/>
      <c r="HQ83" s="562"/>
      <c r="HR83" s="562"/>
      <c r="HS83" s="562"/>
      <c r="HT83" s="562"/>
      <c r="HU83" s="562"/>
      <c r="HV83" s="562"/>
      <c r="HW83" s="562"/>
      <c r="HX83" s="562"/>
      <c r="HY83" s="562"/>
      <c r="HZ83" s="562"/>
      <c r="IA83" s="562"/>
      <c r="IB83" s="562"/>
      <c r="IC83" s="562"/>
      <c r="ID83" s="562"/>
      <c r="IE83" s="562"/>
      <c r="IF83" s="562"/>
      <c r="IG83" s="562"/>
      <c r="IH83" s="562"/>
      <c r="II83" s="562"/>
      <c r="IJ83" s="562"/>
      <c r="IK83" s="562"/>
      <c r="IL83" s="562"/>
      <c r="IM83" s="562"/>
      <c r="IN83" s="562"/>
      <c r="IO83" s="562"/>
      <c r="IP83" s="562"/>
      <c r="IQ83" s="562"/>
      <c r="IR83" s="562"/>
      <c r="IS83" s="562"/>
      <c r="IT83" s="562"/>
      <c r="IU83" s="562"/>
      <c r="IV83" s="562"/>
      <c r="IW83" s="562"/>
      <c r="IX83" s="562"/>
      <c r="IY83" s="562"/>
      <c r="IZ83" s="562"/>
      <c r="JA83" s="562"/>
      <c r="JB83" s="562"/>
      <c r="JC83" s="562"/>
      <c r="JD83" s="562"/>
      <c r="JE83" s="562"/>
      <c r="JF83" s="562"/>
      <c r="JG83" s="562"/>
      <c r="JH83" s="562"/>
      <c r="JI83" s="562"/>
      <c r="JJ83" s="562"/>
      <c r="JK83" s="562"/>
      <c r="JL83" s="562"/>
      <c r="JM83" s="562"/>
      <c r="JN83" s="562"/>
      <c r="JO83" s="562"/>
      <c r="JP83" s="562"/>
      <c r="JQ83" s="562"/>
      <c r="JR83" s="562"/>
      <c r="JS83" s="562"/>
      <c r="JT83" s="562"/>
      <c r="JU83" s="562"/>
      <c r="JV83" s="562"/>
      <c r="JW83" s="562"/>
      <c r="JX83" s="562"/>
      <c r="JY83" s="562"/>
      <c r="JZ83" s="562"/>
    </row>
    <row r="84" spans="1:286" s="132" customFormat="1" ht="12.75" customHeight="1" x14ac:dyDescent="0.2">
      <c r="A84" s="133"/>
      <c r="B84" s="2" t="s">
        <v>132</v>
      </c>
      <c r="C84" s="79"/>
      <c r="D84" s="79"/>
      <c r="E84" s="95"/>
      <c r="F84" s="95"/>
      <c r="G84" s="95"/>
      <c r="H84" s="95"/>
      <c r="I84" s="95"/>
      <c r="J84" s="95"/>
      <c r="K84" s="95"/>
      <c r="L84" s="79"/>
      <c r="M84" s="95"/>
      <c r="N84" s="79"/>
      <c r="O84" s="95"/>
      <c r="P84" s="79"/>
      <c r="Q84" s="95"/>
      <c r="R84" s="79"/>
      <c r="S84" s="95"/>
      <c r="T84" s="79"/>
      <c r="U84" s="95"/>
      <c r="V84" s="79"/>
      <c r="W84" s="95"/>
      <c r="X84" s="79"/>
      <c r="Y84" s="95"/>
      <c r="Z84" s="79"/>
      <c r="AA84" s="126"/>
      <c r="AB84" s="79"/>
      <c r="AC84" s="95">
        <f>96.1-AE84</f>
        <v>49.699999999999996</v>
      </c>
      <c r="AD84" s="79" t="str">
        <f>IF(ISERROR((AC84/U84-1)*100),"NA",IF(((AC84/U84-1)*100)&gt;100,"NM",IF(((AC84/U84-1)*100)&lt;-50,"NM",(AC84/U84-1)*100)))</f>
        <v>NA</v>
      </c>
      <c r="AE84" s="95">
        <v>46.4</v>
      </c>
      <c r="AF84" s="79" t="str">
        <f>IF(ISERROR((AE84/W84-1)*100),"NA",IF(((AE84/W84-1)*100)&gt;100,"NM",IF(((AE84/W84-1)*100)&lt;-50,"NM",(AE84/W84-1)*100)))</f>
        <v>NA</v>
      </c>
      <c r="AG84" s="95">
        <v>44.6</v>
      </c>
      <c r="AH84" s="79" t="str">
        <f>IF(ISERROR((AG84/Y84-1)*100),"NA",IF(((AG84/Y84-1)*100)&gt;100,"NM",IF(((AG84/Y84-1)*100)&lt;-50,"NM",(AG84/Y84-1)*100)))</f>
        <v>NA</v>
      </c>
      <c r="AI84" s="75">
        <f>FH84-AG84-AE84-AC84</f>
        <v>46.100000000000016</v>
      </c>
      <c r="AJ84" s="79" t="str">
        <f>IF(ISERROR((AI84/AA84-1)*100),"NA",IF(((AI84/AA84-1)*100)&gt;100,"NM",IF(((AI84/AA84-1)*100)&lt;-50,"NM",(AI84/AA84-1)*100)))</f>
        <v>NA</v>
      </c>
      <c r="AK84" s="95">
        <f>93.5-AM84</f>
        <v>46.9</v>
      </c>
      <c r="AL84" s="79">
        <f>IF(ISERROR((AK84/AC84-1)*100),"NA",IF(((AK84/AC84-1)*100)&gt;100,"NM",IF(((AK84/AC84-1)*100)&lt;-50,"NM",(AK84/AC84-1)*100)))</f>
        <v>-5.6338028169014009</v>
      </c>
      <c r="AM84" s="95">
        <v>46.6</v>
      </c>
      <c r="AN84" s="79">
        <f>IF(ISERROR((AM84/AE84-1)*100),"NA",IF(((AM84/AE84-1)*100)&gt;100,"NM",IF(((AM84/AE84-1)*100)&lt;-50,"NM",(AM84/AE84-1)*100)))</f>
        <v>0.43103448275862988</v>
      </c>
      <c r="AO84" s="95">
        <v>46.9</v>
      </c>
      <c r="AP84" s="79">
        <f>IF(ISERROR((AO84/AG84-1)*100),"NA",IF(((AO84/AG84-1)*100)&gt;100,"NM",IF(((AO84/AG84-1)*100)&lt;-50,"NM",(AO84/AG84-1)*100)))</f>
        <v>5.1569506726457437</v>
      </c>
      <c r="AQ84" s="95">
        <v>47.9</v>
      </c>
      <c r="AR84" s="79">
        <f>IF(ISERROR((AQ84/AI84-1)*100),"NA",IF(((AQ84/AI84-1)*100)&gt;100,"NM",IF(((AQ84/AI84-1)*100)&lt;-50,"NM",(AQ84/AI84-1)*100)))</f>
        <v>3.9045553145335754</v>
      </c>
      <c r="AS84" s="95">
        <v>45.6</v>
      </c>
      <c r="AT84" s="81">
        <f>IF(ISERROR((AS84/AK84-1)*100),"NA",IF(((AS84/AK84-1)*100)&gt;100,"NM",IF(((AS84/AK84-1)*100)&lt;-50,"NM",(AS84/AK84-1)*100)))</f>
        <v>-2.771855010660973</v>
      </c>
      <c r="AU84" s="95">
        <v>46.3</v>
      </c>
      <c r="AV84" s="81">
        <f>IF(ISERROR((AU84/AM84-1)*100),"NA",IF(((AU84/AM84-1)*100)&gt;100,"NM",IF(((AU84/AM84-1)*100)&lt;-50,"NM",(AU84/AM84-1)*100)))</f>
        <v>-0.64377682403434777</v>
      </c>
      <c r="AW84" s="95">
        <v>43.4</v>
      </c>
      <c r="AX84" s="81">
        <f>IF(ISERROR((AW84/AO84-1)*100),"NA",IF(((AW84/AO84-1)*100)&gt;100,"NM",IF(((AW84/AO84-1)*100)&lt;-50,"NM",(AW84/AO84-1)*100)))</f>
        <v>-7.4626865671641784</v>
      </c>
      <c r="AY84" s="95">
        <v>43</v>
      </c>
      <c r="AZ84" s="81">
        <f>IF(ISERROR((AY84/AQ84-1)*100),"NA",IF(((AY84/AQ84-1)*100)&gt;100,"NM",IF(((AY84/AQ84-1)*100)&lt;-50,"NM",(AY84/AQ84-1)*100)))</f>
        <v>-10.229645093945717</v>
      </c>
      <c r="BA84" s="95">
        <v>40.6</v>
      </c>
      <c r="BB84" s="81">
        <f>IF(ISERROR((BA84/AS84-1)*100),"NA",IF(((BA84/AS84-1)*100)&gt;100,"NM",IF(((BA84/AS84-1)*100)&lt;-50,"NM",(BA84/AS84-1)*100)))</f>
        <v>-10.964912280701755</v>
      </c>
      <c r="BC84" s="95">
        <v>39.9</v>
      </c>
      <c r="BD84" s="81">
        <f>IF(ISERROR((BC84/AU84-1)*100),"NA",IF(((BC84/AU84-1)*100)&gt;100,"NM",IF(((BC84/AU84-1)*100)&lt;-50,"NM",(BC84/AU84-1)*100)))</f>
        <v>-13.822894168466515</v>
      </c>
      <c r="BE84" s="95">
        <v>40.9</v>
      </c>
      <c r="BF84" s="81">
        <f>IF(ISERROR((BE84/AW84-1)*100),"NA",IF(((BE84/AW84-1)*100)&gt;100,"NM",IF(((BE84/AW84-1)*100)&lt;-50,"NM",(BE84/AW84-1)*100)))</f>
        <v>-5.7603686635944733</v>
      </c>
      <c r="BG84" s="95">
        <v>43.5</v>
      </c>
      <c r="BH84" s="81">
        <f>IF(ISERROR((BG84/AY84-1)*100),"NA",IF(((BG84/AY84-1)*100)&gt;100,"NM",IF(((BG84/AY84-1)*100)&lt;-50,"NM",(BG84/AY84-1)*100)))</f>
        <v>1.1627906976744207</v>
      </c>
      <c r="BI84" s="95">
        <v>43.8</v>
      </c>
      <c r="BJ84" s="81">
        <f>IF(ISERROR((BI84/BA84-1)*100),"NA",IF(((BI84/BA84-1)*100)&gt;100,"NM",IF(((BI84/BA84-1)*100)&lt;-50,"NM",(BI84/BA84-1)*100)))</f>
        <v>7.8817733990147687</v>
      </c>
      <c r="BK84" s="95">
        <v>45.7</v>
      </c>
      <c r="BL84" s="81">
        <f>IF(ISERROR((BK84/BC84-1)*100),"NA",IF(((BK84/BC84-1)*100)&gt;100,"NM",IF(((BK84/BC84-1)*100)&lt;-50,"NM",(BK84/BC84-1)*100)))</f>
        <v>14.536340852130337</v>
      </c>
      <c r="BM84" s="95">
        <v>44.5</v>
      </c>
      <c r="BN84" s="81">
        <f>IF(ISERROR((BM84/BE84-1)*100),"NA",IF(((BM84/BE84-1)*100)&gt;100,"NM",IF(((BM84/BE84-1)*100)&lt;-50,"NM",(BM84/BE84-1)*100)))</f>
        <v>8.8019559902200442</v>
      </c>
      <c r="BO84" s="95">
        <v>46.1</v>
      </c>
      <c r="BP84" s="81">
        <f>IF(ISERROR((BO84/BG84-1)*100),"NA",IF(((BO84/BG84-1)*100)&gt;100,"NM",IF(((BO84/BG84-1)*100)&lt;-50,"NM",(BO84/BG84-1)*100)))</f>
        <v>5.9770114942528707</v>
      </c>
      <c r="BQ84" s="95">
        <v>49</v>
      </c>
      <c r="BR84" s="81">
        <f>IF(ISERROR((BQ84/BI84-1)*100),"NA",IF(((BQ84/BI84-1)*100)&gt;100,"NM",IF(((BQ84/BI84-1)*100)&lt;-50,"NM",(BQ84/BI84-1)*100)))</f>
        <v>11.872146118721471</v>
      </c>
      <c r="BS84" s="95">
        <v>49</v>
      </c>
      <c r="BT84" s="81">
        <f>IF(ISERROR((BS84/BK84-1)*100),"NA",IF(((BS84/BK84-1)*100)&gt;100,"NM",IF(((BS84/BK84-1)*100)&lt;-50,"NM",(BS84/BK84-1)*100)))</f>
        <v>7.2210065645514243</v>
      </c>
      <c r="BU84" s="95">
        <v>48.6</v>
      </c>
      <c r="BV84" s="81">
        <f>IF(ISERROR((BU84/BM84-1)*100),"NA",IF(((BU84/BM84-1)*100)&gt;100,"NM",IF(((BU84/BM84-1)*100)&lt;-50,"NM",(BU84/BM84-1)*100)))</f>
        <v>9.2134831460674249</v>
      </c>
      <c r="BW84" s="95">
        <v>51</v>
      </c>
      <c r="BX84" s="81">
        <f>IF(ISERROR((BW84/BO84-1)*100),"NA",IF(((BW84/BO84-1)*100)&gt;100,"NM",IF(((BW84/BO84-1)*100)&lt;-50,"NM",(BW84/BO84-1)*100)))</f>
        <v>10.629067245119295</v>
      </c>
      <c r="BY84" s="95">
        <v>49.3</v>
      </c>
      <c r="BZ84" s="81">
        <f>IF(ISERROR((BY84/BQ84-1)*100),"NA",IF(((BY84/BQ84-1)*100)&gt;100,"NM",IF(((BY84/BQ84-1)*100)&lt;-50,"NM",(BY84/BQ84-1)*100)))</f>
        <v>0.61224489795916881</v>
      </c>
      <c r="CA84" s="95">
        <v>48.9</v>
      </c>
      <c r="CB84" s="81">
        <f>IF(ISERROR((CA84/BS84-1)*100),"NA",IF(((CA84/BS84-1)*100)&gt;100,"NM",IF(((CA84/BS84-1)*100)&lt;-50,"NM",(CA84/BS84-1)*100)))</f>
        <v>-0.20408163265306367</v>
      </c>
      <c r="CC84" s="95">
        <v>49.1</v>
      </c>
      <c r="CD84" s="81">
        <f>IF(ISERROR((CC84/BU84-1)*100),"NA",IF(((CC84/BU84-1)*100)&gt;100,"NM",IF(((CC84/BU84-1)*100)&lt;-50,"NM",(CC84/BU84-1)*100)))</f>
        <v>1.0288065843621297</v>
      </c>
      <c r="CE84" s="95">
        <v>49.2</v>
      </c>
      <c r="CF84" s="81">
        <f>IF(ISERROR((CE84/BW84-1)*100),"NA",IF(((CE84/BW84-1)*100)&gt;100,"NM",IF(((CE84/BW84-1)*100)&lt;-50,"NM",(CE84/BW84-1)*100)))</f>
        <v>-3.5294117647058809</v>
      </c>
      <c r="CG84" s="95">
        <v>51</v>
      </c>
      <c r="CH84" s="81">
        <f>IF(ISERROR((CG84/BY84-1)*100),"NA",IF(((CG84/BY84-1)*100)&gt;100,"NM",IF(((CG84/BY84-1)*100)&lt;-50,"NM",(CG84/BY84-1)*100)))</f>
        <v>3.4482758620689724</v>
      </c>
      <c r="CI84" s="95">
        <v>49.6</v>
      </c>
      <c r="CJ84" s="81">
        <f>IF(ISERROR((CI84/CA84-1)*100),"NA",IF(((CI84/CA84-1)*100)&gt;100,"NM",IF(((CI84/CA84-1)*100)&lt;-50,"NM",(CI84/CA84-1)*100)))</f>
        <v>1.4314928425357865</v>
      </c>
      <c r="CK84" s="95">
        <v>49.6</v>
      </c>
      <c r="CL84" s="81">
        <f>IF(ISERROR((CK84/CC84-1)*100),"NA",IF(((CK84/CC84-1)*100)&gt;100,"NM",IF(((CK84/CC84-1)*100)&lt;-50,"NM",(CK84/CC84-1)*100)))</f>
        <v>1.0183299389002087</v>
      </c>
      <c r="CM84" s="95">
        <v>49.1</v>
      </c>
      <c r="CN84" s="81">
        <f>IF(ISERROR((CM84/CE84-1)*100),"NA",IF(((CM84/CE84-1)*100)&gt;100,"NM",IF(((CM84/CE84-1)*100)&lt;-50,"NM",(CM84/CE84-1)*100)))</f>
        <v>-0.20325203252032908</v>
      </c>
      <c r="CO84" s="95">
        <v>48.7</v>
      </c>
      <c r="CP84" s="81">
        <f>IF(ISERROR((CO84/CG84-1)*100),"NA",IF(((CO84/CG84-1)*100)&gt;100,"NM",IF(((CO84/CG84-1)*100)&lt;-50,"NM",(CO84/CG84-1)*100)))</f>
        <v>-4.5098039215686221</v>
      </c>
      <c r="CQ84" s="95">
        <v>47.8</v>
      </c>
      <c r="CR84" s="81">
        <f>IF(ISERROR((CQ84/CI84-1)*100),"NA",IF(((CQ84/CI84-1)*100)&gt;100,"NM",IF(((CQ84/CI84-1)*100)&lt;-50,"NM",(CQ84/CI84-1)*100)))</f>
        <v>-3.629032258064524</v>
      </c>
      <c r="CS84" s="95">
        <v>46.4</v>
      </c>
      <c r="CT84" s="81">
        <f>IF(ISERROR((CS84/CK84-1)*100),"NA",IF(((CS84/CK84-1)*100)&gt;100,"NM",IF(((CS84/CK84-1)*100)&lt;-50,"NM",(CS84/CK84-1)*100)))</f>
        <v>-6.4516129032258114</v>
      </c>
      <c r="CU84" s="95">
        <v>50.2</v>
      </c>
      <c r="CV84" s="81">
        <f>IF(ISERROR((CU84/CM84-1)*100),"NA",IF(((CU84/CM84-1)*100)&gt;100,"NM",IF(((CU84/CM84-1)*100)&lt;-50,"NM",(CU84/CM84-1)*100)))</f>
        <v>2.2403258655804503</v>
      </c>
      <c r="CW84" s="95">
        <f>49.3</f>
        <v>49.3</v>
      </c>
      <c r="CX84" s="81">
        <f>IF(ISERROR((CW84/CO84-1)*100),"NA",IF(((CW84/CO84-1)*100)&gt;100,"NM",IF(((CW84/CO84-1)*100)&lt;-50,"NM",(CW84/CO84-1)*100)))</f>
        <v>1.2320328542094305</v>
      </c>
      <c r="CY84" s="95">
        <v>49.6</v>
      </c>
      <c r="CZ84" s="81">
        <f>IF(ISERROR((CY84/CQ84-1)*100),"NA",IF(((CY84/CQ84-1)*100)&gt;100,"NM",IF(((CY84/CQ84-1)*100)&lt;-50,"NM",(CY84/CQ84-1)*100)))</f>
        <v>3.7656903765690419</v>
      </c>
      <c r="DA84" s="95">
        <v>49.9</v>
      </c>
      <c r="DB84" s="81">
        <f>IF(ISERROR((DA84/CS84-1)*100),"NA",IF(((DA84/CS84-1)*100)&gt;100,"NM",IF(((DA84/CS84-1)*100)&lt;-50,"NM",(DA84/CS84-1)*100)))</f>
        <v>7.5431034482758674</v>
      </c>
      <c r="DC84" s="95">
        <v>49.4</v>
      </c>
      <c r="DD84" s="81">
        <f>IF(ISERROR((DC84/CU84-1)*100),"NA",IF(((DC84/CU84-1)*100)&gt;100,"NM",IF(((DC84/CU84-1)*100)&lt;-50,"NM",(DC84/CU84-1)*100)))</f>
        <v>-1.5936254980079778</v>
      </c>
      <c r="DE84" s="95">
        <v>50.4</v>
      </c>
      <c r="DF84" s="81">
        <f>IF(ISERROR((DE84/CW84-1)*100),"NA",IF(((DE84/CW84-1)*100)&gt;100,"NM",IF(((DE84/CW84-1)*100)&lt;-50,"NM",(DE84/CW84-1)*100)))</f>
        <v>2.2312373225152227</v>
      </c>
      <c r="DG84" s="95">
        <v>50</v>
      </c>
      <c r="DH84" s="81">
        <f>IF(ISERROR((DG84/CY84-1)*100),"NA",IF(((DG84/CY84-1)*100)&gt;100,"NM",IF(((DG84/CY84-1)*100)&lt;-50,"NM",(DG84/CY84-1)*100)))</f>
        <v>0.80645161290322509</v>
      </c>
      <c r="DI84" s="95">
        <v>50.8</v>
      </c>
      <c r="DJ84" s="81">
        <f>IF(ISERROR((DI84/DA84-1)*100),"NA",IF(((DI84/DA84-1)*100)&gt;100,"NM",IF(((DI84/DA84-1)*100)&lt;-50,"NM",(DI84/DA84-1)*100)))</f>
        <v>1.8036072144288484</v>
      </c>
      <c r="DK84" s="95">
        <v>54</v>
      </c>
      <c r="DL84" s="81">
        <f>IF(ISERROR((DK84/DC84-1)*100),"NA",IF(((DK84/DC84-1)*100)&gt;100,"NM",IF(((DK84/DC84-1)*100)&lt;-50,"NM",(DK84/DC84-1)*100)))</f>
        <v>9.3117408906882702</v>
      </c>
      <c r="DM84" s="95">
        <v>53.9</v>
      </c>
      <c r="DN84" s="81">
        <f>IF(ISERROR((DM84/DE84-1)*100),"NA",IF(((DM84/DE84-1)*100)&gt;100,"NM",IF(((DM84/DE84-1)*100)&lt;-50,"NM",(DM84/DE84-1)*100)))</f>
        <v>6.944444444444442</v>
      </c>
      <c r="DO84" s="95">
        <v>53.4</v>
      </c>
      <c r="DP84" s="81">
        <f>IF(ISERROR((DO84/DG84-1)*100),"NA",IF(((DO84/DG84-1)*100)&gt;100,"NM",IF(((DO84/DG84-1)*100)&lt;-50,"NM",(DO84/DG84-1)*100)))</f>
        <v>6.800000000000006</v>
      </c>
      <c r="DQ84" s="95">
        <v>53.2</v>
      </c>
      <c r="DR84" s="81">
        <f>IF(ISERROR((DQ84/DI84-1)*100),"NA",IF(((DQ84/DI84-1)*100)&gt;100,"NM",IF(((DQ84/DI84-1)*100)&lt;-50,"NM",(DQ84/DI84-1)*100)))</f>
        <v>4.7244094488189115</v>
      </c>
      <c r="DS84" s="95">
        <v>55.2</v>
      </c>
      <c r="DT84" s="81">
        <f>IF(ISERROR((DS84/DK84-1)*100),"NA",IF(((DS84/DK84-1)*100)&gt;100,"NM",IF(((DS84/DK84-1)*100)&lt;-50,"NM",(DS84/DK84-1)*100)))</f>
        <v>2.2222222222222365</v>
      </c>
      <c r="DU84" s="95">
        <v>54.3</v>
      </c>
      <c r="DV84" s="81">
        <f>IF(ISERROR((DU84/DM84-1)*100),"NA",IF(((DU84/DM84-1)*100)&gt;100,"NM",IF(((DU84/DM84-1)*100)&lt;-50,"NM",(DU84/DM84-1)*100)))</f>
        <v>0.74211502782930427</v>
      </c>
      <c r="DW84" s="95">
        <v>52.9</v>
      </c>
      <c r="DX84" s="81">
        <f>IF(ISERROR((DW84/DO84-1)*100),"NA",IF(((DW84/DO84-1)*100)&gt;100,"NM",IF(((DW84/DO84-1)*100)&lt;-50,"NM",(DW84/DO84-1)*100)))</f>
        <v>-0.93632958801498356</v>
      </c>
      <c r="DY84" s="95">
        <v>52.4</v>
      </c>
      <c r="DZ84" s="81">
        <f>IF(ISERROR((DY84/DQ84-1)*100),"NA",IF(((DY84/DQ84-1)*100)&gt;100,"NM",IF(((DY84/DQ84-1)*100)&lt;-50,"NM",(DY84/DQ84-1)*100)))</f>
        <v>-1.5037593984962516</v>
      </c>
      <c r="EA84" s="95">
        <v>53.9</v>
      </c>
      <c r="EB84" s="81">
        <f>IF(ISERROR((EA84/DS84-1)*100),"NA",IF(((EA84/DS84-1)*100)&gt;100,"NM",IF(((EA84/DS84-1)*100)&lt;-50,"NM",(EA84/DS84-1)*100)))</f>
        <v>-2.3550724637681264</v>
      </c>
      <c r="EC84" s="95">
        <v>55</v>
      </c>
      <c r="ED84" s="81">
        <f t="shared" si="331"/>
        <v>1.2891344383057168</v>
      </c>
      <c r="EE84" s="95">
        <v>54.6</v>
      </c>
      <c r="EF84" s="81">
        <f t="shared" si="332"/>
        <v>3.2136105860113506</v>
      </c>
      <c r="EG84" s="95">
        <v>53.5</v>
      </c>
      <c r="EH84" s="81">
        <f t="shared" si="333"/>
        <v>2.0992366412213803</v>
      </c>
      <c r="EI84" s="95">
        <v>54.3</v>
      </c>
      <c r="EJ84" s="81">
        <f t="shared" si="334"/>
        <v>0.74211502782930427</v>
      </c>
      <c r="EK84" s="93">
        <f t="shared" ref="EK84:EQ84" si="345">EK90*EK78/100</f>
        <v>56.550704777365475</v>
      </c>
      <c r="EL84" s="81">
        <f t="shared" si="336"/>
        <v>2.8194632315735824</v>
      </c>
      <c r="EM84" s="93">
        <f t="shared" si="345"/>
        <v>56.11344873840445</v>
      </c>
      <c r="EN84" s="81">
        <f t="shared" si="337"/>
        <v>2.7718841362718738</v>
      </c>
      <c r="EO84" s="93">
        <f t="shared" si="345"/>
        <v>57.073512833766223</v>
      </c>
      <c r="EP84" s="81">
        <f t="shared" si="338"/>
        <v>6.6794632406845356</v>
      </c>
      <c r="EQ84" s="93">
        <f t="shared" si="345"/>
        <v>56.542731981907238</v>
      </c>
      <c r="ER84" s="81">
        <f t="shared" si="339"/>
        <v>4.1302614768089052</v>
      </c>
      <c r="ES84" s="129"/>
      <c r="ET84" s="469"/>
      <c r="EU84" s="129"/>
      <c r="EV84" s="95"/>
      <c r="EW84" s="79"/>
      <c r="EX84" s="95"/>
      <c r="EY84" s="79"/>
      <c r="EZ84" s="131"/>
      <c r="FA84" s="79"/>
      <c r="FB84" s="95"/>
      <c r="FC84" s="79"/>
      <c r="FD84" s="131">
        <v>202.6</v>
      </c>
      <c r="FE84" s="79" t="str">
        <f>IF(ISERROR((FD84/FB84-1)*100),"NA",IF(((FD84/FB84-1)*100)&gt;100,"NM",IF(((FD84/FB84-1)*100)&lt;-50,"NM",(FD84/FB84-1)*100)))</f>
        <v>NA</v>
      </c>
      <c r="FF84" s="129">
        <v>200.1</v>
      </c>
      <c r="FG84" s="79">
        <f>IF(ISERROR((FF84/FD84-1)*100),"NA",IF(((FF84/FD84-1)*100)&gt;100,"NM",IF(((FF84/FD84-1)*100)&lt;-50,"NM",(FF84/FD84-1)*100)))</f>
        <v>-1.2339585389930852</v>
      </c>
      <c r="FH84" s="129">
        <v>186.8</v>
      </c>
      <c r="FI84" s="79">
        <f>IF(ISERROR((FH84/FF84-1)*100),"NA",IF(((FH84/FF84-1)*100)&gt;100,"NM",IF(((FH84/FF84-1)*100)&lt;-50,"NM",(FH84/FF84-1)*100)))</f>
        <v>-6.6466766616691597</v>
      </c>
      <c r="FJ84" s="35">
        <f>+AQ84+AO84+AM84+AK84</f>
        <v>188.3</v>
      </c>
      <c r="FK84" s="79">
        <f>IF(ISERROR((FJ84/FH84-1)*100),"NA",IF(((FJ84/FH84-1)*100)&gt;100,"NM",IF(((FJ84/FH84-1)*100)&lt;-50,"NM",(FJ84/FH84-1)*100)))</f>
        <v>0.80299785867237183</v>
      </c>
      <c r="FL84" s="78">
        <f>AS84+AU84+AW84+AY84</f>
        <v>178.3</v>
      </c>
      <c r="FM84" s="79">
        <f>IF(ISERROR((FL84/FJ84-1)*100),"NA",IF(((FL84/FJ84-1)*100)&gt;100,"NM",IF(((FL84/FJ84-1)*100)&lt;-50,"NM",(FL84/FJ84-1)*100)))</f>
        <v>-5.3106744556558727</v>
      </c>
      <c r="FN84" s="78">
        <f>BA84+BC84+BE84+BG84</f>
        <v>164.9</v>
      </c>
      <c r="FO84" s="79">
        <f>IF(ISERROR((FN84/FL84-1)*100),"NA",IF(((FN84/FL84-1)*100)&gt;100,"NM",IF(((FN84/FL84-1)*100)&lt;-50,"NM",(FN84/FL84-1)*100)))</f>
        <v>-7.5154234436343277</v>
      </c>
      <c r="FP84" s="78">
        <f>BI84+BK84+BM84+BO84</f>
        <v>180.1</v>
      </c>
      <c r="FQ84" s="79">
        <f>IF(ISERROR((FP84/FN84-1)*100),"NA",IF(((FP84/FN84-1)*100)&gt;100,"NM",IF(((FP84/FN84-1)*100)&lt;-50,"NM",(FP84/FN84-1)*100)))</f>
        <v>9.2177077016373445</v>
      </c>
      <c r="FR84" s="93">
        <f>BQ84+BS84+BU84+BW84</f>
        <v>197.6</v>
      </c>
      <c r="FS84" s="79">
        <f>IF(ISERROR((FR84/FP84-1)*100),"NA",IF(((FR84/FP84-1)*100)&gt;100,"NM",IF(((FR84/FP84-1)*100)&lt;-50,"NM",(FR84/FP84-1)*100)))</f>
        <v>9.7168239866740613</v>
      </c>
      <c r="FT84" s="93">
        <f>BY84+CA84+CC84+CE84</f>
        <v>196.5</v>
      </c>
      <c r="FU84" s="79">
        <f>IF(ISERROR((FT84/FR84-1)*100),"NA",IF(((FT84/FR84-1)*100)&gt;100,"NM",IF(((FT84/FR84-1)*100)&lt;-50,"NM",(FT84/FR84-1)*100)))</f>
        <v>-0.5566801619433126</v>
      </c>
      <c r="FV84" s="93">
        <f>CG84+CI84+CK84+CM84</f>
        <v>199.29999999999998</v>
      </c>
      <c r="FW84" s="79">
        <f>IF(ISERROR((FV84/FT84-1)*100),"NA",IF(((FV84/FT84-1)*100)&gt;100,"NM",IF(((FV84/FT84-1)*100)&lt;-50,"NM",(FV84/FT84-1)*100)))</f>
        <v>1.4249363867684384</v>
      </c>
      <c r="FX84" s="93">
        <f>CO84+CQ84+CS84+CU84</f>
        <v>193.10000000000002</v>
      </c>
      <c r="FY84" s="79">
        <f>IF(ISERROR((FX84/FV84-1)*100),"NA",IF(((FX84/FV84-1)*100)&gt;100,"NM",IF(((FX84/FV84-1)*100)&lt;-50,"NM",(FX84/FV84-1)*100)))</f>
        <v>-3.1108881083793061</v>
      </c>
      <c r="FZ84" s="93">
        <f>CW84+CY84+DA84+DC84</f>
        <v>198.20000000000002</v>
      </c>
      <c r="GA84" s="79">
        <f>IF(ISERROR((FZ84/FX84-1)*100),"NA",IF(((FZ84/FX84-1)*100)&gt;100,"NM",IF(((FZ84/FX84-1)*100)&lt;-50,"NM",(FZ84/FX84-1)*100)))</f>
        <v>2.641118591403413</v>
      </c>
      <c r="GB84" s="93">
        <f>DE84+DG84+DI84+DK84</f>
        <v>205.2</v>
      </c>
      <c r="GC84" s="79">
        <f>IF(ISERROR((GB84/FZ84-1)*100),"NA",IF(((GB84/FZ84-1)*100)&gt;100,"NM",IF(((GB84/FZ84-1)*100)&lt;-50,"NM",(GB84/FZ84-1)*100)))</f>
        <v>3.5317860746720386</v>
      </c>
      <c r="GD84" s="93">
        <f>DM84+DO84+DQ84+DS84</f>
        <v>215.7</v>
      </c>
      <c r="GE84" s="79">
        <f>IF(ISERROR((GD84/GB84-1)*100),"NA",IF(((GD84/GB84-1)*100)&gt;100,"NM",IF(((GD84/GB84-1)*100)&lt;-50,"NM",(GD84/GB84-1)*100)))</f>
        <v>5.1169590643274754</v>
      </c>
      <c r="GF84" s="93">
        <f>DU84+DW84+DY84+EA84</f>
        <v>213.5</v>
      </c>
      <c r="GG84" s="79">
        <f>IF(ISERROR((GF84/GD84-1)*100),"NA",IF(((GF84/GD84-1)*100)&gt;100,"NM",IF(((GF84/GD84-1)*100)&lt;-50,"NM",(GF84/GD84-1)*100)))</f>
        <v>-1.0199350950394037</v>
      </c>
      <c r="GH84" s="93">
        <f>EC84+EE84+EG84+EI84</f>
        <v>217.39999999999998</v>
      </c>
      <c r="GI84" s="79">
        <f>IF(ISERROR((GH84/GF84-1)*100),"NA",IF(((GH84/GF84-1)*100)&gt;100,"NM",IF(((GH84/GF84-1)*100)&lt;-50,"NM",(GH84/GF84-1)*100)))</f>
        <v>1.8266978922716559</v>
      </c>
      <c r="GJ84" s="93">
        <f>EK84+EM84+EO84+EQ84</f>
        <v>226.28039833144339</v>
      </c>
      <c r="GK84" s="79">
        <f>IF(ISERROR((GJ84/GH84-1)*100),"NA",IF(((GJ84/GH84-1)*100)&gt;100,"NM",IF(((GJ84/GH84-1)*100)&lt;-50,"NM",(GJ84/GH84-1)*100)))</f>
        <v>4.084819839670395</v>
      </c>
      <c r="GL84" s="93">
        <f>GL90*GL78/100</f>
        <v>232.15899320718717</v>
      </c>
      <c r="GM84" s="79">
        <f>IF(ISERROR((GL84/GJ84-1)*100),"NA",IF(((GL84/GJ84-1)*100)&gt;100,"NM",IF(((GL84/GJ84-1)*100)&lt;-50,"NM",(GL84/GJ84-1)*100)))</f>
        <v>2.5979249281385508</v>
      </c>
      <c r="GN84" s="93">
        <f>GN90*GN78/100</f>
        <v>238.19341635152287</v>
      </c>
      <c r="GO84" s="79">
        <f>IF(ISERROR((GN84/GL84-1)*100),"NA",IF(((GN84/GL84-1)*100)&gt;100,"NM",IF(((GN84/GL84-1)*100)&lt;-50,"NM",(GN84/GL84-1)*100)))</f>
        <v>2.5992631433193525</v>
      </c>
      <c r="GP84" s="93">
        <f>GP90*GP78/100</f>
        <v>244.38791800703319</v>
      </c>
      <c r="GQ84" s="79">
        <f>IF(ISERROR((GP84/GN84-1)*100),"NA",IF(((GP84/GN84-1)*100)&gt;100,"NM",IF(((GP84/GN84-1)*100)&lt;-50,"NM",(GP84/GN84-1)*100)))</f>
        <v>2.6006183337865973</v>
      </c>
      <c r="GR84" s="93">
        <f>GR90*GR78/100</f>
        <v>250.74686885380018</v>
      </c>
      <c r="GS84" s="79">
        <f>IF(ISERROR((GR84/GP84-1)*100),"NA",IF(((GR84/GP84-1)*100)&gt;100,"NM",IF(((GR84/GP84-1)*100)&lt;-50,"NM",(GR84/GP84-1)*100)))</f>
        <v>2.6019906788452563</v>
      </c>
      <c r="GT84" s="79">
        <f>IF(ISERROR(((GR84/GH84)^0.2-1)*100),"NA",(IF(OR(((GR84/GH84)^0.2-1)*100&gt;99,((GR84/GH84)^0.2-1)*100&lt;-50),"NM",(((GR84/GH84)^0.2-1)*100))))</f>
        <v>2.8952189797552874</v>
      </c>
      <c r="GU84" s="562"/>
      <c r="GV84" s="562"/>
      <c r="GW84"/>
      <c r="GX84"/>
      <c r="GY84"/>
      <c r="GZ84"/>
      <c r="HA84"/>
      <c r="HB84"/>
      <c r="HC84" s="562"/>
      <c r="HD84" s="562"/>
      <c r="HE84" s="562"/>
      <c r="HF84" s="562"/>
      <c r="HG84" s="562"/>
      <c r="HH84" s="562"/>
      <c r="HI84" s="562"/>
      <c r="HJ84" s="562"/>
      <c r="HK84" s="562"/>
      <c r="HL84" s="562"/>
      <c r="HM84" s="562"/>
      <c r="HN84" s="562"/>
      <c r="HO84" s="562"/>
      <c r="HP84" s="562"/>
      <c r="HQ84" s="562"/>
      <c r="HR84" s="562"/>
      <c r="HS84" s="562"/>
      <c r="HT84" s="562"/>
      <c r="HU84" s="562"/>
      <c r="HV84" s="562"/>
      <c r="HW84" s="562"/>
      <c r="HX84" s="562"/>
      <c r="HY84" s="562"/>
      <c r="HZ84" s="562"/>
      <c r="IA84" s="562"/>
      <c r="IB84" s="562"/>
      <c r="IC84" s="562"/>
      <c r="ID84" s="562"/>
      <c r="IE84" s="562"/>
      <c r="IF84" s="562"/>
      <c r="IG84" s="562"/>
      <c r="IH84" s="562"/>
      <c r="II84" s="562"/>
      <c r="IJ84" s="562"/>
      <c r="IK84" s="562"/>
      <c r="IL84" s="562"/>
      <c r="IM84" s="562"/>
      <c r="IN84" s="562"/>
      <c r="IO84" s="562"/>
      <c r="IP84" s="562"/>
      <c r="IQ84" s="562"/>
      <c r="IR84" s="562"/>
      <c r="IS84" s="562"/>
      <c r="IT84" s="562"/>
      <c r="IU84" s="562"/>
      <c r="IV84" s="562"/>
      <c r="IW84" s="562"/>
      <c r="IX84" s="562"/>
      <c r="IY84" s="562"/>
      <c r="IZ84" s="562"/>
      <c r="JA84" s="562"/>
      <c r="JB84" s="562"/>
      <c r="JC84" s="562"/>
      <c r="JD84" s="562"/>
      <c r="JE84" s="562"/>
      <c r="JF84" s="562"/>
      <c r="JG84" s="562"/>
      <c r="JH84" s="562"/>
      <c r="JI84" s="562"/>
      <c r="JJ84" s="562"/>
      <c r="JK84" s="562"/>
      <c r="JL84" s="562"/>
      <c r="JM84" s="562"/>
      <c r="JN84" s="562"/>
      <c r="JO84" s="562"/>
      <c r="JP84" s="562"/>
      <c r="JQ84" s="562"/>
      <c r="JR84" s="562"/>
      <c r="JS84" s="562"/>
      <c r="JT84" s="562"/>
      <c r="JU84" s="562"/>
      <c r="JV84" s="562"/>
      <c r="JW84" s="562"/>
      <c r="JX84" s="562"/>
      <c r="JY84" s="562"/>
      <c r="JZ84" s="562"/>
    </row>
    <row r="85" spans="1:286" s="132" customFormat="1" ht="12.75" customHeight="1" x14ac:dyDescent="0.2">
      <c r="A85" s="133"/>
      <c r="B85" s="68" t="s">
        <v>57</v>
      </c>
      <c r="C85" s="79"/>
      <c r="D85" s="79"/>
      <c r="E85" s="147"/>
      <c r="F85" s="148"/>
      <c r="G85" s="147"/>
      <c r="H85" s="148"/>
      <c r="I85" s="147"/>
      <c r="J85" s="148"/>
      <c r="K85" s="147"/>
      <c r="L85" s="79"/>
      <c r="M85" s="147"/>
      <c r="N85" s="79"/>
      <c r="O85" s="147"/>
      <c r="P85" s="79"/>
      <c r="Q85" s="147"/>
      <c r="R85" s="79"/>
      <c r="S85" s="147"/>
      <c r="T85" s="79"/>
      <c r="U85" s="147"/>
      <c r="V85" s="79"/>
      <c r="W85" s="147"/>
      <c r="X85" s="79"/>
      <c r="Y85" s="147"/>
      <c r="Z85" s="79"/>
      <c r="AA85" s="149"/>
      <c r="AB85" s="79"/>
      <c r="AC85" s="147">
        <f>SUM(AC81:AC84)</f>
        <v>400</v>
      </c>
      <c r="AD85" s="79" t="str">
        <f>IF(ISERROR((AC85/U85-1)*100),"NA",IF(((AC85/U85-1)*100)&gt;100,"NM",IF(((AC85/U85-1)*100)&lt;-50,"NM",(AC85/U85-1)*100)))</f>
        <v>NA</v>
      </c>
      <c r="AE85" s="147">
        <f>SUM(AE81:AE84)</f>
        <v>395</v>
      </c>
      <c r="AF85" s="79" t="str">
        <f>IF(ISERROR((AE85/W85-1)*100),"NA",IF(((AE85/W85-1)*100)&gt;100,"NM",IF(((AE85/W85-1)*100)&lt;-50,"NM",(AE85/W85-1)*100)))</f>
        <v>NA</v>
      </c>
      <c r="AG85" s="147">
        <f>SUM(AG81:AG84)</f>
        <v>379.97</v>
      </c>
      <c r="AH85" s="79" t="str">
        <f>IF(ISERROR((AG85/Y85-1)*100),"NA",IF(((AG85/Y85-1)*100)&gt;100,"NM",IF(((AG85/Y85-1)*100)&lt;-50,"NM",(AG85/Y85-1)*100)))</f>
        <v>NA</v>
      </c>
      <c r="AI85" s="147">
        <f>SUM(AI81:AI84)</f>
        <v>382.32999999999993</v>
      </c>
      <c r="AJ85" s="79" t="str">
        <f>IF(ISERROR((AI85/AA85-1)*100),"NA",IF(((AI85/AA85-1)*100)&gt;100,"NM",IF(((AI85/AA85-1)*100)&lt;-50,"NM",(AI85/AA85-1)*100)))</f>
        <v>NA</v>
      </c>
      <c r="AK85" s="147">
        <f>SUM(AK81:AK84)</f>
        <v>354</v>
      </c>
      <c r="AL85" s="79">
        <f>IF(ISERROR((AK85/AC85-1)*100),"NA",IF(((AK85/AC85-1)*100)&gt;100,"NM",IF(((AK85/AC85-1)*100)&lt;-50,"NM",(AK85/AC85-1)*100)))</f>
        <v>-11.5</v>
      </c>
      <c r="AM85" s="147">
        <f>SUM(AM81:AM84)</f>
        <v>362.1</v>
      </c>
      <c r="AN85" s="79">
        <f>IF(ISERROR((AM85/AE85-1)*100),"NA",IF(((AM85/AE85-1)*100)&gt;100,"NM",IF(((AM85/AE85-1)*100)&lt;-50,"NM",(AM85/AE85-1)*100)))</f>
        <v>-8.329113924050624</v>
      </c>
      <c r="AO85" s="147">
        <f>SUM(AO81:AO84)</f>
        <v>351.59999999999997</v>
      </c>
      <c r="AP85" s="79">
        <f>IF(ISERROR((AO85/AG85-1)*100),"NA",IF(((AO85/AG85-1)*100)&gt;100,"NM",IF(((AO85/AG85-1)*100)&lt;-50,"NM",(AO85/AG85-1)*100)))</f>
        <v>-7.4663789246519618</v>
      </c>
      <c r="AQ85" s="147">
        <f>SUM(AQ81:AQ84)</f>
        <v>360.59999999999997</v>
      </c>
      <c r="AR85" s="79">
        <f>IF(ISERROR((AQ85/AI85-1)*100),"NA",IF(((AQ85/AI85-1)*100)&gt;100,"NM",IF(((AQ85/AI85-1)*100)&lt;-50,"NM",(AQ85/AI85-1)*100)))</f>
        <v>-5.6835717835377775</v>
      </c>
      <c r="AS85" s="147">
        <f>SUM(AS81:AS84)</f>
        <v>350.00000000000006</v>
      </c>
      <c r="AT85" s="81">
        <f>IF(ISERROR((AS85/AK85-1)*100),"NA",IF(((AS85/AK85-1)*100)&gt;100,"NM",IF(((AS85/AK85-1)*100)&lt;-50,"NM",(AS85/AK85-1)*100)))</f>
        <v>-1.1299435028248372</v>
      </c>
      <c r="AU85" s="147">
        <f>SUM(AU81:AU84)</f>
        <v>351.8</v>
      </c>
      <c r="AV85" s="81">
        <f>IF(ISERROR((AU85/AM85-1)*100),"NA",IF(((AU85/AM85-1)*100)&gt;100,"NM",IF(((AU85/AM85-1)*100)&lt;-50,"NM",(AU85/AM85-1)*100)))</f>
        <v>-2.8445180889257182</v>
      </c>
      <c r="AW85" s="147">
        <f>SUM(AW81:AW84)</f>
        <v>323.10000000000002</v>
      </c>
      <c r="AX85" s="81">
        <f>IF(ISERROR((AW85/AO85-1)*100),"NA",IF(((AW85/AO85-1)*100)&gt;100,"NM",IF(((AW85/AO85-1)*100)&lt;-50,"NM",(AW85/AO85-1)*100)))</f>
        <v>-8.1058020477815518</v>
      </c>
      <c r="AY85" s="147">
        <f>SUM(AY81:AY84)</f>
        <v>338.09999999999997</v>
      </c>
      <c r="AZ85" s="81">
        <f>IF(ISERROR((AY85/AQ85-1)*100),"NA",IF(((AY85/AQ85-1)*100)&gt;100,"NM",IF(((AY85/AQ85-1)*100)&lt;-50,"NM",(AY85/AQ85-1)*100)))</f>
        <v>-6.2396006655574094</v>
      </c>
      <c r="BA85" s="147">
        <f>SUM(BA81:BA84)</f>
        <v>298.8</v>
      </c>
      <c r="BB85" s="81">
        <f>IF(ISERROR((BA85/AS85-1)*100),"NA",IF(((BA85/AS85-1)*100)&gt;100,"NM",IF(((BA85/AS85-1)*100)&lt;-50,"NM",(BA85/AS85-1)*100)))</f>
        <v>-14.628571428571435</v>
      </c>
      <c r="BC85" s="147">
        <f>SUM(BC81:BC84)</f>
        <v>293.39999999999998</v>
      </c>
      <c r="BD85" s="81">
        <f>IF(ISERROR((BC85/AU85-1)*100),"NA",IF(((BC85/AU85-1)*100)&gt;100,"NM",IF(((BC85/AU85-1)*100)&lt;-50,"NM",(BC85/AU85-1)*100)))</f>
        <v>-16.600341102899385</v>
      </c>
      <c r="BE85" s="147">
        <f>SUM(BE81:BE84)</f>
        <v>286.99999999999994</v>
      </c>
      <c r="BF85" s="81">
        <f>IF(ISERROR((BE85/AW85-1)*100),"NA",IF(((BE85/AW85-1)*100)&gt;100,"NM",IF(((BE85/AW85-1)*100)&lt;-50,"NM",(BE85/AW85-1)*100)))</f>
        <v>-11.173011451563008</v>
      </c>
      <c r="BG85" s="147">
        <f>SUM(BG81:BG84)</f>
        <v>279.3</v>
      </c>
      <c r="BH85" s="81">
        <f>IF(ISERROR((BG85/AY85-1)*100),"NA",IF(((BG85/AY85-1)*100)&gt;100,"NM",IF(((BG85/AY85-1)*100)&lt;-50,"NM",(BG85/AY85-1)*100)))</f>
        <v>-17.391304347826075</v>
      </c>
      <c r="BI85" s="147">
        <f>SUM(BI81:BI84)</f>
        <v>268.8</v>
      </c>
      <c r="BJ85" s="81">
        <f>IF(ISERROR((BI85/BA85-1)*100),"NA",IF(((BI85/BA85-1)*100)&gt;100,"NM",IF(((BI85/BA85-1)*100)&lt;-50,"NM",(BI85/BA85-1)*100)))</f>
        <v>-10.040160642570283</v>
      </c>
      <c r="BK85" s="147">
        <f>SUM(BK81:BK84)</f>
        <v>278.90000000000003</v>
      </c>
      <c r="BL85" s="81">
        <f>IF(ISERROR((BK85/BC85-1)*100),"NA",IF(((BK85/BC85-1)*100)&gt;100,"NM",IF(((BK85/BC85-1)*100)&lt;-50,"NM",(BK85/BC85-1)*100)))</f>
        <v>-4.9420586230402019</v>
      </c>
      <c r="BM85" s="147">
        <f>SUM(BM81:BM84)</f>
        <v>280.79999999999995</v>
      </c>
      <c r="BN85" s="81">
        <f>IF(ISERROR((BM85/BE85-1)*100),"NA",IF(((BM85/BE85-1)*100)&gt;100,"NM",IF(((BM85/BE85-1)*100)&lt;-50,"NM",(BM85/BE85-1)*100)))</f>
        <v>-2.1602787456445949</v>
      </c>
      <c r="BO85" s="147">
        <f>SUM(BO81:BO84)</f>
        <v>279.3</v>
      </c>
      <c r="BP85" s="81">
        <f>IF(ISERROR((BO85/BG85-1)*100),"NA",IF(((BO85/BG85-1)*100)&gt;100,"NM",IF(((BO85/BG85-1)*100)&lt;-50,"NM",(BO85/BG85-1)*100)))</f>
        <v>0</v>
      </c>
      <c r="BQ85" s="147">
        <f>SUM(BQ81:BQ84)</f>
        <v>271.2</v>
      </c>
      <c r="BR85" s="81">
        <f>IF(ISERROR((BQ85/BI85-1)*100),"NA",IF(((BQ85/BI85-1)*100)&gt;100,"NM",IF(((BQ85/BI85-1)*100)&lt;-50,"NM",(BQ85/BI85-1)*100)))</f>
        <v>0.89285714285713969</v>
      </c>
      <c r="BS85" s="147">
        <f>SUM(BS81:BS84)</f>
        <v>275.79999999999995</v>
      </c>
      <c r="BT85" s="81">
        <f>IF(ISERROR((BS85/BK85-1)*100),"NA",IF(((BS85/BK85-1)*100)&gt;100,"NM",IF(((BS85/BK85-1)*100)&lt;-50,"NM",(BS85/BK85-1)*100)))</f>
        <v>-1.1115095016135057</v>
      </c>
      <c r="BU85" s="147">
        <f>SUM(BU81:BU84)</f>
        <v>275.90000000000003</v>
      </c>
      <c r="BV85" s="81">
        <f>IF(ISERROR((BU85/BM85-1)*100),"NA",IF(((BU85/BM85-1)*100)&gt;100,"NM",IF(((BU85/BM85-1)*100)&lt;-50,"NM",(BU85/BM85-1)*100)))</f>
        <v>-1.7450142450142203</v>
      </c>
      <c r="BW85" s="147">
        <f>SUM(BW81:BW84)</f>
        <v>273.39999999999998</v>
      </c>
      <c r="BX85" s="81">
        <f>IF(ISERROR((BW85/BO85-1)*100),"NA",IF(((BW85/BO85-1)*100)&gt;100,"NM",IF(((BW85/BO85-1)*100)&lt;-50,"NM",(BW85/BO85-1)*100)))</f>
        <v>-2.1124239169352022</v>
      </c>
      <c r="BY85" s="147">
        <f>SUM(BY81:BY84)</f>
        <v>278</v>
      </c>
      <c r="BZ85" s="81">
        <f>IF(ISERROR((BY85/BQ85-1)*100),"NA",IF(((BY85/BQ85-1)*100)&gt;100,"NM",IF(((BY85/BQ85-1)*100)&lt;-50,"NM",(BY85/BQ85-1)*100)))</f>
        <v>2.5073746312684442</v>
      </c>
      <c r="CA85" s="147">
        <f>SUM(CA81:CA84)</f>
        <v>279.39999999999998</v>
      </c>
      <c r="CB85" s="81">
        <f>IF(ISERROR((CA85/BS85-1)*100),"NA",IF(((CA85/BS85-1)*100)&gt;100,"NM",IF(((CA85/BS85-1)*100)&lt;-50,"NM",(CA85/BS85-1)*100)))</f>
        <v>1.3052936910805002</v>
      </c>
      <c r="CC85" s="147">
        <f>SUM(CC81:CC84)</f>
        <v>282</v>
      </c>
      <c r="CD85" s="81">
        <f>IF(ISERROR((CC85/BU85-1)*100),"NA",IF(((CC85/BU85-1)*100)&gt;100,"NM",IF(((CC85/BU85-1)*100)&lt;-50,"NM",(CC85/BU85-1)*100)))</f>
        <v>2.2109459949256838</v>
      </c>
      <c r="CE85" s="147">
        <f>SUM(CE81:CE84)</f>
        <v>285</v>
      </c>
      <c r="CF85" s="81">
        <f>IF(ISERROR((CE85/BW85-1)*100),"NA",IF(((CE85/BW85-1)*100)&gt;100,"NM",IF(((CE85/BW85-1)*100)&lt;-50,"NM",(CE85/BW85-1)*100)))</f>
        <v>4.24286759326995</v>
      </c>
      <c r="CG85" s="147">
        <f>SUM(CG81:CG84)</f>
        <v>283.60000000000002</v>
      </c>
      <c r="CH85" s="81">
        <f>IF(ISERROR((CG85/BY85-1)*100),"NA",IF(((CG85/BY85-1)*100)&gt;100,"NM",IF(((CG85/BY85-1)*100)&lt;-50,"NM",(CG85/BY85-1)*100)))</f>
        <v>2.0143884892086517</v>
      </c>
      <c r="CI85" s="147">
        <f>SUM(CI81:CI84)</f>
        <v>283.5</v>
      </c>
      <c r="CJ85" s="81">
        <f>IF(ISERROR((CI85/CA85-1)*100),"NA",IF(((CI85/CA85-1)*100)&gt;100,"NM",IF(((CI85/CA85-1)*100)&lt;-50,"NM",(CI85/CA85-1)*100)))</f>
        <v>1.4674302075877055</v>
      </c>
      <c r="CK85" s="147">
        <f>SUM(CK81:CK84)</f>
        <v>287.2</v>
      </c>
      <c r="CL85" s="81">
        <f>IF(ISERROR((CK85/CC85-1)*100),"NA",IF(((CK85/CC85-1)*100)&gt;100,"NM",IF(((CK85/CC85-1)*100)&lt;-50,"NM",(CK85/CC85-1)*100)))</f>
        <v>1.8439716312056653</v>
      </c>
      <c r="CM85" s="147">
        <f>SUM(CM81:CM84)</f>
        <v>290.8</v>
      </c>
      <c r="CN85" s="81">
        <f>IF(ISERROR((CM85/CE85-1)*100),"NA",IF(((CM85/CE85-1)*100)&gt;100,"NM",IF(((CM85/CE85-1)*100)&lt;-50,"NM",(CM85/CE85-1)*100)))</f>
        <v>2.0350877192982564</v>
      </c>
      <c r="CO85" s="147">
        <f>SUM(CO81:CO84)</f>
        <v>304.89999999999998</v>
      </c>
      <c r="CP85" s="81">
        <f>IF(ISERROR((CO85/CG85-1)*100),"NA",IF(((CO85/CG85-1)*100)&gt;100,"NM",IF(((CO85/CG85-1)*100)&lt;-50,"NM",(CO85/CG85-1)*100)))</f>
        <v>7.5105782792665554</v>
      </c>
      <c r="CQ85" s="199">
        <f>SUM(CQ81:CQ84)</f>
        <v>304.2</v>
      </c>
      <c r="CR85" s="81">
        <f>IF(ISERROR((CQ85/CI85-1)*100),"NA",IF(((CQ85/CI85-1)*100)&gt;100,"NM",IF(((CQ85/CI85-1)*100)&lt;-50,"NM",(CQ85/CI85-1)*100)))</f>
        <v>7.3015873015872979</v>
      </c>
      <c r="CS85" s="147">
        <f>SUM(CS81:CS84)</f>
        <v>306.89999999999998</v>
      </c>
      <c r="CT85" s="81">
        <f>IF(ISERROR((CS85/CK85-1)*100),"NA",IF(((CS85/CK85-1)*100)&gt;100,"NM",IF(((CS85/CK85-1)*100)&lt;-50,"NM",(CS85/CK85-1)*100)))</f>
        <v>6.8593314763231161</v>
      </c>
      <c r="CU85" s="147">
        <f>SUM(CU81:CU84)</f>
        <v>309.29999999999995</v>
      </c>
      <c r="CV85" s="81">
        <f>IF(ISERROR((CU85/CM85-1)*100),"NA",IF(((CU85/CM85-1)*100)&gt;100,"NM",IF(((CU85/CM85-1)*100)&lt;-50,"NM",(CU85/CM85-1)*100)))</f>
        <v>6.361760660247584</v>
      </c>
      <c r="CW85" s="199">
        <f>SUM(CW81:CW84)</f>
        <v>311.39999999999998</v>
      </c>
      <c r="CX85" s="81">
        <f>IF(ISERROR((CW85/CO85-1)*100),"NA",IF(((CW85/CO85-1)*100)&gt;100,"NM",IF(((CW85/CO85-1)*100)&lt;-50,"NM",(CW85/CO85-1)*100)))</f>
        <v>2.1318465070514936</v>
      </c>
      <c r="CY85" s="199">
        <f>SUM(CY81:CY84)</f>
        <v>312</v>
      </c>
      <c r="CZ85" s="81">
        <f>IF(ISERROR((CY85/CQ85-1)*100),"NA",IF(((CY85/CQ85-1)*100)&gt;100,"NM",IF(((CY85/CQ85-1)*100)&lt;-50,"NM",(CY85/CQ85-1)*100)))</f>
        <v>2.5641025641025772</v>
      </c>
      <c r="DA85" s="199">
        <f>SUM(DA81:DA84)</f>
        <v>314.29999999999995</v>
      </c>
      <c r="DB85" s="81">
        <f>IF(ISERROR((DA85/CS85-1)*100),"NA",IF(((DA85/CS85-1)*100)&gt;100,"NM",IF(((DA85/CS85-1)*100)&lt;-50,"NM",(DA85/CS85-1)*100)))</f>
        <v>2.4112088628217565</v>
      </c>
      <c r="DC85" s="199">
        <f>SUM(DC81:DC84)</f>
        <v>270.2</v>
      </c>
      <c r="DD85" s="81">
        <f>IF(ISERROR((DC85/CU85-1)*100),"NA",IF(((DC85/CU85-1)*100)&gt;100,"NM",IF(((DC85/CU85-1)*100)&lt;-50,"NM",(DC85/CU85-1)*100)))</f>
        <v>-12.641448431943092</v>
      </c>
      <c r="DE85" s="199">
        <f>SUM(DE81:DE84)</f>
        <v>316.3</v>
      </c>
      <c r="DF85" s="81">
        <f>IF(ISERROR((DE85/CW85-1)*100),"NA",IF(((DE85/CW85-1)*100)&gt;100,"NM",IF(((DE85/CW85-1)*100)&lt;-50,"NM",(DE85/CW85-1)*100)))</f>
        <v>1.573538856775869</v>
      </c>
      <c r="DG85" s="199">
        <f>SUM(DG81:DG84)</f>
        <v>317.3</v>
      </c>
      <c r="DH85" s="81">
        <f>IF(ISERROR((DG85/CY85-1)*100),"NA",IF(((DG85/CY85-1)*100)&gt;100,"NM",IF(((DG85/CY85-1)*100)&lt;-50,"NM",(DG85/CY85-1)*100)))</f>
        <v>1.6987179487179427</v>
      </c>
      <c r="DI85" s="199">
        <f>SUM(DI81:DI84)</f>
        <v>320.7</v>
      </c>
      <c r="DJ85" s="81">
        <f>IF(ISERROR((DI85/DA85-1)*100),"NA",IF(((DI85/DA85-1)*100)&gt;100,"NM",IF(((DI85/DA85-1)*100)&lt;-50,"NM",(DI85/DA85-1)*100)))</f>
        <v>2.0362710785873483</v>
      </c>
      <c r="DK85" s="199">
        <f>SUM(DK81:DK84)</f>
        <v>330.1</v>
      </c>
      <c r="DL85" s="81">
        <f>IF(ISERROR((DK85/DC85-1)*100),"NA",IF(((DK85/DC85-1)*100)&gt;100,"NM",IF(((DK85/DC85-1)*100)&lt;-50,"NM",(DK85/DC85-1)*100)))</f>
        <v>22.168763878608445</v>
      </c>
      <c r="DM85" s="199">
        <f>SUM(DM81:DM84)</f>
        <v>343.5</v>
      </c>
      <c r="DN85" s="81">
        <f>IF(ISERROR((DM85/DE85-1)*100),"NA",IF(((DM85/DE85-1)*100)&gt;100,"NM",IF(((DM85/DE85-1)*100)&lt;-50,"NM",(DM85/DE85-1)*100)))</f>
        <v>8.5994309200126509</v>
      </c>
      <c r="DO85" s="199">
        <f>SUM(DO81:DO84)</f>
        <v>351.29999999999995</v>
      </c>
      <c r="DP85" s="81">
        <f>IF(ISERROR((DO85/DG85-1)*100),"NA",IF(((DO85/DG85-1)*100)&gt;100,"NM",IF(((DO85/DG85-1)*100)&lt;-50,"NM",(DO85/DG85-1)*100)))</f>
        <v>10.715411282697751</v>
      </c>
      <c r="DQ85" s="199">
        <f>SUM(DQ81:DQ84)</f>
        <v>343.6</v>
      </c>
      <c r="DR85" s="81">
        <f>IF(ISERROR((DQ85/DI85-1)*100),"NA",IF(((DQ85/DI85-1)*100)&gt;100,"NM",IF(((DQ85/DI85-1)*100)&lt;-50,"NM",(DQ85/DI85-1)*100)))</f>
        <v>7.140629872154669</v>
      </c>
      <c r="DS85" s="199">
        <f>SUM(DS81:DS84)</f>
        <v>353</v>
      </c>
      <c r="DT85" s="81">
        <f>IF(ISERROR((DS85/DK85-1)*100),"NA",IF(((DS85/DK85-1)*100)&gt;100,"NM",IF(((DS85/DK85-1)*100)&lt;-50,"NM",(DS85/DK85-1)*100)))</f>
        <v>6.9372917297788383</v>
      </c>
      <c r="DU85" s="199">
        <f>SUM(DU81:DU84)</f>
        <v>360.2</v>
      </c>
      <c r="DV85" s="81">
        <f>IF(ISERROR((DU85/DM85-1)*100),"NA",IF(((DU85/DM85-1)*100)&gt;100,"NM",IF(((DU85/DM85-1)*100)&lt;-50,"NM",(DU85/DM85-1)*100)))</f>
        <v>4.8617176128093131</v>
      </c>
      <c r="DW85" s="199">
        <f>SUM(DW81:DW84)</f>
        <v>356.79999999999995</v>
      </c>
      <c r="DX85" s="81">
        <f>IF(ISERROR((DW85/DO85-1)*100),"NA",IF(((DW85/DO85-1)*100)&gt;100,"NM",IF(((DW85/DO85-1)*100)&lt;-50,"NM",(DW85/DO85-1)*100)))</f>
        <v>1.5656134358098539</v>
      </c>
      <c r="DY85" s="199">
        <f>SUM(DY81:DY84)</f>
        <v>364.49999999999994</v>
      </c>
      <c r="DZ85" s="81">
        <f>IF(ISERROR((DY85/DQ85-1)*100),"NA",IF(((DY85/DQ85-1)*100)&gt;100,"NM",IF(((DY85/DQ85-1)*100)&lt;-50,"NM",(DY85/DQ85-1)*100)))</f>
        <v>6.082654249126862</v>
      </c>
      <c r="EA85" s="199">
        <f>SUM(EA81:EA84)</f>
        <v>364.9</v>
      </c>
      <c r="EB85" s="81">
        <f>IF(ISERROR((EA85/DS85-1)*100),"NA",IF(((EA85/DS85-1)*100)&gt;100,"NM",IF(((EA85/DS85-1)*100)&lt;-50,"NM",(EA85/DS85-1)*100)))</f>
        <v>3.3711048158640233</v>
      </c>
      <c r="EC85" s="199">
        <f>SUM(EC81:EC84)</f>
        <v>377</v>
      </c>
      <c r="ED85" s="81">
        <f t="shared" si="331"/>
        <v>4.6640755136035494</v>
      </c>
      <c r="EE85" s="199">
        <f>SUM(EE81:EE84)</f>
        <v>368.70000000000005</v>
      </c>
      <c r="EF85" s="81">
        <f t="shared" si="332"/>
        <v>3.335201793721998</v>
      </c>
      <c r="EG85" s="199">
        <f>SUM(EG81:EG84)</f>
        <v>375.8</v>
      </c>
      <c r="EH85" s="81">
        <f t="shared" si="333"/>
        <v>3.1001371742112704</v>
      </c>
      <c r="EI85" s="199">
        <f>SUM(EI81:EI84)</f>
        <v>392.7</v>
      </c>
      <c r="EJ85" s="81">
        <f t="shared" si="334"/>
        <v>7.6185256234584831</v>
      </c>
      <c r="EK85" s="147">
        <f t="shared" ref="EK85:EQ85" si="346">SUM(EK81:EK84)</f>
        <v>389.72332717259877</v>
      </c>
      <c r="EL85" s="81">
        <f t="shared" si="336"/>
        <v>3.374887844190666</v>
      </c>
      <c r="EM85" s="147">
        <f t="shared" si="346"/>
        <v>386.15536894495852</v>
      </c>
      <c r="EN85" s="81">
        <f t="shared" si="337"/>
        <v>4.7343013140652257</v>
      </c>
      <c r="EO85" s="147">
        <f t="shared" si="346"/>
        <v>392.34503962786522</v>
      </c>
      <c r="EP85" s="81">
        <f t="shared" si="338"/>
        <v>4.4026183150253306</v>
      </c>
      <c r="EQ85" s="147">
        <f t="shared" si="346"/>
        <v>387.98579994587124</v>
      </c>
      <c r="ER85" s="81">
        <f t="shared" si="339"/>
        <v>-1.2004583789479883</v>
      </c>
      <c r="ES85" s="138"/>
      <c r="ET85" s="470"/>
      <c r="EU85" s="138"/>
      <c r="EV85" s="139"/>
      <c r="EW85" s="140"/>
      <c r="EX85" s="139"/>
      <c r="EY85" s="79"/>
      <c r="EZ85" s="141"/>
      <c r="FA85" s="79"/>
      <c r="FB85" s="147"/>
      <c r="FC85" s="79"/>
      <c r="FD85" s="147">
        <f>SUM(FD81:FD84)</f>
        <v>1537.2</v>
      </c>
      <c r="FE85" s="79" t="str">
        <f>IF(ISERROR((FD85/FB85-1)*100),"NA",IF(((FD85/FB85-1)*100)&gt;100,"NM",IF(((FD85/FB85-1)*100)&lt;-50,"NM",(FD85/FB85-1)*100)))</f>
        <v>NA</v>
      </c>
      <c r="FF85" s="147">
        <f>SUM(FF81:FF84)</f>
        <v>1585.2</v>
      </c>
      <c r="FG85" s="79">
        <f>IF(ISERROR((FF85/FD85-1)*100),"NA",IF(((FF85/FD85-1)*100)&gt;100,"NM",IF(((FF85/FD85-1)*100)&lt;-50,"NM",(FF85/FD85-1)*100)))</f>
        <v>3.1225604996096834</v>
      </c>
      <c r="FH85" s="147">
        <f>SUM(FH81:FH84)</f>
        <v>1557.3</v>
      </c>
      <c r="FI85" s="79">
        <f>IF(ISERROR((FH85/FF85-1)*100),"NA",IF(((FH85/FF85-1)*100)&gt;100,"NM",IF(((FH85/FF85-1)*100)&lt;-50,"NM",(FH85/FF85-1)*100)))</f>
        <v>-1.7600302800908407</v>
      </c>
      <c r="FJ85" s="147">
        <f>SUM(FJ81:FJ84)</f>
        <v>1428.3</v>
      </c>
      <c r="FK85" s="79">
        <f>IF(ISERROR((FJ85/FH85-1)*100),"NA",IF(((FJ85/FH85-1)*100)&gt;100,"NM",IF(((FJ85/FH85-1)*100)&lt;-50,"NM",(FJ85/FH85-1)*100)))</f>
        <v>-8.2835677133500258</v>
      </c>
      <c r="FL85" s="147">
        <f>SUM(FL81:FL84)</f>
        <v>1362.9999999999998</v>
      </c>
      <c r="FM85" s="79">
        <f>IF(ISERROR((FL85/FJ85-1)*100),"NA",IF(((FL85/FJ85-1)*100)&gt;100,"NM",IF(((FL85/FJ85-1)*100)&lt;-50,"NM",(FL85/FJ85-1)*100)))</f>
        <v>-4.5718686550444758</v>
      </c>
      <c r="FN85" s="147">
        <f>SUM(FN81:FN84)</f>
        <v>1158.5</v>
      </c>
      <c r="FO85" s="79">
        <f>IF(ISERROR((FN85/FL85-1)*100),"NA",IF(((FN85/FL85-1)*100)&gt;100,"NM",IF(((FN85/FL85-1)*100)&lt;-50,"NM",(FN85/FL85-1)*100)))</f>
        <v>-15.003668378576652</v>
      </c>
      <c r="FP85" s="147">
        <f>SUM(FP81:FP84)</f>
        <v>1107.8</v>
      </c>
      <c r="FQ85" s="79">
        <f>IF(ISERROR((FP85/FN85-1)*100),"NA",IF(((FP85/FN85-1)*100)&gt;100,"NM",IF(((FP85/FN85-1)*100)&lt;-50,"NM",(FP85/FN85-1)*100)))</f>
        <v>-4.3763487268019041</v>
      </c>
      <c r="FR85" s="147">
        <f>SUM(FR81:FR84)</f>
        <v>1097.3999999999999</v>
      </c>
      <c r="FS85" s="79">
        <f>IF(ISERROR((FR85/FP85-1)*100),"NA",IF(((FR85/FP85-1)*100)&gt;100,"NM",IF(((FR85/FP85-1)*100)&lt;-50,"NM",(FR85/FP85-1)*100)))</f>
        <v>-0.93879761689836805</v>
      </c>
      <c r="FT85" s="147">
        <f>SUM(FT81:FT84)</f>
        <v>1124.4000000000001</v>
      </c>
      <c r="FU85" s="79">
        <f>IF(ISERROR((FT85/FR85-1)*100),"NA",IF(((FT85/FR85-1)*100)&gt;100,"NM",IF(((FT85/FR85-1)*100)&lt;-50,"NM",(FT85/FR85-1)*100)))</f>
        <v>2.4603608529251142</v>
      </c>
      <c r="FV85" s="147">
        <f>SUM(FV81:FV84)</f>
        <v>1145.0999999999999</v>
      </c>
      <c r="FW85" s="79">
        <f>IF(ISERROR((FV85/FT85-1)*100),"NA",IF(((FV85/FT85-1)*100)&gt;100,"NM",IF(((FV85/FT85-1)*100)&lt;-50,"NM",(FV85/FT85-1)*100)))</f>
        <v>1.8409818569903758</v>
      </c>
      <c r="FX85" s="147">
        <f>SUM(FX81:FX84)</f>
        <v>1225.3000000000002</v>
      </c>
      <c r="FY85" s="79">
        <f>IF(ISERROR((FX85/FV85-1)*100),"NA",IF(((FX85/FV85-1)*100)&gt;100,"NM",IF(((FX85/FV85-1)*100)&lt;-50,"NM",(FX85/FV85-1)*100)))</f>
        <v>7.0037551305563106</v>
      </c>
      <c r="FZ85" s="147">
        <f>SUM(FZ81:FZ84)</f>
        <v>1207.9000000000001</v>
      </c>
      <c r="GA85" s="79">
        <f>IF(ISERROR((FZ85/FX85-1)*100),"NA",IF(((FZ85/FX85-1)*100)&gt;100,"NM",IF(((FZ85/FX85-1)*100)&lt;-50,"NM",(FZ85/FX85-1)*100)))</f>
        <v>-1.4200603933730571</v>
      </c>
      <c r="GB85" s="147">
        <f>SUM(GB81:GB84)</f>
        <v>1284.3999999999999</v>
      </c>
      <c r="GC85" s="79">
        <f>IF(ISERROR((GB85/FZ85-1)*100),"NA",IF(((GB85/FZ85-1)*100)&gt;100,"NM",IF(((GB85/FZ85-1)*100)&lt;-50,"NM",(GB85/FZ85-1)*100)))</f>
        <v>6.3333057372298773</v>
      </c>
      <c r="GD85" s="147">
        <f>SUM(GD81:GD84)</f>
        <v>1391.4</v>
      </c>
      <c r="GE85" s="79">
        <f>IF(ISERROR((GD85/GB85-1)*100),"NA",IF(((GD85/GB85-1)*100)&gt;100,"NM",IF(((GD85/GB85-1)*100)&lt;-50,"NM",(GD85/GB85-1)*100)))</f>
        <v>8.3307380878231196</v>
      </c>
      <c r="GF85" s="147">
        <f>SUM(GF81:GF84)</f>
        <v>1446.3999999999999</v>
      </c>
      <c r="GG85" s="79">
        <f>IF(ISERROR((GF85/GD85-1)*100),"NA",IF(((GF85/GD85-1)*100)&gt;100,"NM",IF(((GF85/GD85-1)*100)&lt;-50,"NM",(GF85/GD85-1)*100)))</f>
        <v>3.9528532413396489</v>
      </c>
      <c r="GH85" s="147">
        <f>SUM(GH81:GH84)</f>
        <v>1514.1999999999998</v>
      </c>
      <c r="GI85" s="79">
        <f>IF(ISERROR((GH85/GF85-1)*100),"NA",IF(((GH85/GF85-1)*100)&gt;100,"NM",IF(((GH85/GF85-1)*100)&lt;-50,"NM",(GH85/GF85-1)*100)))</f>
        <v>4.6875</v>
      </c>
      <c r="GJ85" s="147">
        <f>SUM(GJ81:GJ84)</f>
        <v>1556.2095356912937</v>
      </c>
      <c r="GK85" s="79">
        <f>IF(ISERROR((GJ85/GH85-1)*100),"NA",IF(((GJ85/GH85-1)*100)&gt;100,"NM",IF(((GJ85/GH85-1)*100)&lt;-50,"NM",(GJ85/GH85-1)*100)))</f>
        <v>2.7743716610285185</v>
      </c>
      <c r="GL85" s="147">
        <f>SUM(GL81:GL84)</f>
        <v>1595.3363590010338</v>
      </c>
      <c r="GM85" s="79">
        <f>IF(ISERROR((GL85/GJ85-1)*100),"NA",IF(((GL85/GJ85-1)*100)&gt;100,"NM",IF(((GL85/GJ85-1)*100)&lt;-50,"NM",(GL85/GJ85-1)*100)))</f>
        <v>2.5142387584946357</v>
      </c>
      <c r="GN85" s="147">
        <f>SUM(GN81:GN84)</f>
        <v>1635.4502162902156</v>
      </c>
      <c r="GO85" s="79">
        <f>IF(ISERROR((GN85/GL85-1)*100),"NA",IF(((GN85/GL85-1)*100)&gt;100,"NM",IF(((GN85/GL85-1)*100)&lt;-50,"NM",(GN85/GL85-1)*100)))</f>
        <v>2.5144451239298649</v>
      </c>
      <c r="GP85" s="147">
        <f>SUM(GP81:GP84)</f>
        <v>1674.7673924504434</v>
      </c>
      <c r="GQ85" s="79">
        <f>IF(ISERROR((GP85/GN85-1)*100),"NA",IF(((GP85/GN85-1)*100)&gt;100,"NM",IF(((GP85/GN85-1)*100)&lt;-50,"NM",(GP85/GN85-1)*100)))</f>
        <v>2.4040582690076029</v>
      </c>
      <c r="GR85" s="147">
        <f>SUM(GR81:GR84)</f>
        <v>1716.8858301582952</v>
      </c>
      <c r="GS85" s="79">
        <f>IF(ISERROR((GR85/GP85-1)*100),"NA",IF(((GR85/GP85-1)*100)&gt;100,"NM",IF(((GR85/GP85-1)*100)&lt;-50,"NM",(GR85/GP85-1)*100)))</f>
        <v>2.5148828367279163</v>
      </c>
      <c r="GT85" s="79">
        <f>IF(ISERROR(((GR85/GH85)^0.2-1)*100),"NA",(IF(OR(((GR85/GH85)^0.2-1)*100&gt;99,((GR85/GH85)^0.2-1)*100&lt;-50),"NM",(((GR85/GH85)^0.2-1)*100))))</f>
        <v>2.5443259951967834</v>
      </c>
      <c r="GU85" s="562"/>
      <c r="GV85" s="562"/>
      <c r="GW85"/>
      <c r="GX85"/>
      <c r="GY85"/>
      <c r="GZ85"/>
      <c r="HA85"/>
      <c r="HB85"/>
      <c r="HC85" s="562"/>
      <c r="HD85" s="562"/>
      <c r="HE85" s="562"/>
      <c r="HF85" s="562"/>
      <c r="HG85" s="562"/>
      <c r="HH85" s="562"/>
      <c r="HI85" s="562"/>
      <c r="HJ85" s="562"/>
      <c r="HK85" s="562"/>
      <c r="HL85" s="562"/>
      <c r="HM85" s="562"/>
      <c r="HN85" s="562"/>
      <c r="HO85" s="562"/>
      <c r="HP85" s="562"/>
      <c r="HQ85" s="562"/>
      <c r="HR85" s="562"/>
      <c r="HS85" s="562"/>
      <c r="HT85" s="562"/>
      <c r="HU85" s="562"/>
      <c r="HV85" s="562"/>
      <c r="HW85" s="562"/>
      <c r="HX85" s="562"/>
      <c r="HY85" s="562"/>
      <c r="HZ85" s="562"/>
      <c r="IA85" s="562"/>
      <c r="IB85" s="562"/>
      <c r="IC85" s="562"/>
      <c r="ID85" s="562"/>
      <c r="IE85" s="562"/>
      <c r="IF85" s="562"/>
      <c r="IG85" s="562"/>
      <c r="IH85" s="562"/>
      <c r="II85" s="562"/>
      <c r="IJ85" s="562"/>
      <c r="IK85" s="562"/>
      <c r="IL85" s="562"/>
      <c r="IM85" s="562"/>
      <c r="IN85" s="562"/>
      <c r="IO85" s="562"/>
      <c r="IP85" s="562"/>
      <c r="IQ85" s="562"/>
      <c r="IR85" s="562"/>
      <c r="IS85" s="562"/>
      <c r="IT85" s="562"/>
      <c r="IU85" s="562"/>
      <c r="IV85" s="562"/>
      <c r="IW85" s="562"/>
      <c r="IX85" s="562"/>
      <c r="IY85" s="562"/>
      <c r="IZ85" s="562"/>
      <c r="JA85" s="562"/>
      <c r="JB85" s="562"/>
      <c r="JC85" s="562"/>
      <c r="JD85" s="562"/>
      <c r="JE85" s="562"/>
      <c r="JF85" s="562"/>
      <c r="JG85" s="562"/>
      <c r="JH85" s="562"/>
      <c r="JI85" s="562"/>
      <c r="JJ85" s="562"/>
      <c r="JK85" s="562"/>
      <c r="JL85" s="562"/>
      <c r="JM85" s="562"/>
      <c r="JN85" s="562"/>
      <c r="JO85" s="562"/>
      <c r="JP85" s="562"/>
      <c r="JQ85" s="562"/>
      <c r="JR85" s="562"/>
      <c r="JS85" s="562"/>
      <c r="JT85" s="562"/>
      <c r="JU85" s="562"/>
      <c r="JV85" s="562"/>
      <c r="JW85" s="562"/>
      <c r="JX85" s="562"/>
      <c r="JY85" s="562"/>
      <c r="JZ85" s="562"/>
    </row>
    <row r="86" spans="1:286" s="132" customFormat="1" ht="12.75" customHeight="1" x14ac:dyDescent="0.2">
      <c r="A86" s="133"/>
      <c r="B86" s="83"/>
      <c r="C86" s="139"/>
      <c r="D86" s="139"/>
      <c r="E86" s="199"/>
      <c r="F86" s="139"/>
      <c r="G86" s="199"/>
      <c r="H86" s="139"/>
      <c r="I86" s="199"/>
      <c r="J86" s="139"/>
      <c r="K86" s="199"/>
      <c r="L86" s="79"/>
      <c r="M86" s="199"/>
      <c r="N86" s="79"/>
      <c r="O86" s="199"/>
      <c r="P86" s="79"/>
      <c r="Q86" s="199"/>
      <c r="R86" s="79"/>
      <c r="S86" s="199"/>
      <c r="T86" s="79"/>
      <c r="U86" s="199"/>
      <c r="V86" s="79"/>
      <c r="W86" s="199"/>
      <c r="X86" s="79"/>
      <c r="Y86" s="199"/>
      <c r="Z86" s="79"/>
      <c r="AA86" s="203"/>
      <c r="AB86" s="79"/>
      <c r="AC86" s="199"/>
      <c r="AD86" s="79"/>
      <c r="AE86" s="199"/>
      <c r="AF86" s="79"/>
      <c r="AG86" s="199"/>
      <c r="AH86" s="79"/>
      <c r="AI86" s="199"/>
      <c r="AJ86" s="79"/>
      <c r="AK86" s="199"/>
      <c r="AL86" s="79"/>
      <c r="AM86" s="199"/>
      <c r="AN86" s="79"/>
      <c r="AO86" s="199"/>
      <c r="AP86" s="79"/>
      <c r="AQ86" s="199"/>
      <c r="AR86" s="79"/>
      <c r="AS86" s="199"/>
      <c r="AT86" s="81"/>
      <c r="AU86" s="199"/>
      <c r="AV86" s="81"/>
      <c r="AW86" s="199"/>
      <c r="AX86" s="81"/>
      <c r="AY86" s="199"/>
      <c r="AZ86" s="81"/>
      <c r="BA86" s="199"/>
      <c r="BB86" s="81"/>
      <c r="BC86" s="199"/>
      <c r="BD86" s="81"/>
      <c r="BE86" s="199"/>
      <c r="BF86" s="81"/>
      <c r="BG86" s="199"/>
      <c r="BH86" s="81"/>
      <c r="BI86" s="199"/>
      <c r="BJ86" s="81"/>
      <c r="BK86" s="199"/>
      <c r="BL86" s="81"/>
      <c r="BM86" s="199"/>
      <c r="BN86" s="81"/>
      <c r="BO86" s="199"/>
      <c r="BP86" s="81"/>
      <c r="BQ86" s="199"/>
      <c r="BR86" s="81"/>
      <c r="BS86" s="199"/>
      <c r="BT86" s="81"/>
      <c r="BU86" s="199"/>
      <c r="BV86" s="81"/>
      <c r="BW86" s="199"/>
      <c r="BX86" s="81"/>
      <c r="BY86" s="199"/>
      <c r="BZ86" s="81"/>
      <c r="CA86" s="199"/>
      <c r="CB86" s="81"/>
      <c r="CC86" s="199"/>
      <c r="CD86" s="81"/>
      <c r="CE86" s="199"/>
      <c r="CF86" s="81"/>
      <c r="CG86" s="199"/>
      <c r="CH86" s="81"/>
      <c r="CI86" s="199"/>
      <c r="CJ86" s="81"/>
      <c r="CK86" s="199"/>
      <c r="CL86" s="81"/>
      <c r="CM86" s="199"/>
      <c r="CN86" s="81"/>
      <c r="CO86" s="199"/>
      <c r="CP86" s="81"/>
      <c r="CQ86" s="199"/>
      <c r="CR86" s="81"/>
      <c r="CS86" s="199"/>
      <c r="CT86" s="81"/>
      <c r="CU86" s="453"/>
      <c r="CV86" s="81"/>
      <c r="CW86" s="453"/>
      <c r="CX86" s="81"/>
      <c r="CY86" s="453"/>
      <c r="CZ86" s="81"/>
      <c r="DA86" s="453"/>
      <c r="DB86" s="81"/>
      <c r="DC86" s="453"/>
      <c r="DD86" s="81"/>
      <c r="DE86" s="453"/>
      <c r="DF86" s="81"/>
      <c r="DG86" s="453"/>
      <c r="DH86" s="81"/>
      <c r="DI86" s="453"/>
      <c r="DJ86" s="81"/>
      <c r="DK86" s="453"/>
      <c r="DL86" s="81"/>
      <c r="DM86" s="453"/>
      <c r="DN86" s="81"/>
      <c r="DO86" s="453"/>
      <c r="DP86" s="81"/>
      <c r="DQ86" s="453"/>
      <c r="DR86" s="81"/>
      <c r="DS86" s="453"/>
      <c r="DT86" s="81"/>
      <c r="DU86" s="453"/>
      <c r="DV86" s="81"/>
      <c r="DW86" s="453"/>
      <c r="DX86" s="81"/>
      <c r="DY86" s="453"/>
      <c r="DZ86" s="81"/>
      <c r="EA86" s="453"/>
      <c r="EB86" s="81"/>
      <c r="EC86" s="453"/>
      <c r="ED86" s="81"/>
      <c r="EE86" s="453"/>
      <c r="EF86" s="81"/>
      <c r="EG86" s="453"/>
      <c r="EH86" s="81"/>
      <c r="EI86" s="453"/>
      <c r="EJ86" s="81"/>
      <c r="EK86" s="199"/>
      <c r="EL86" s="81"/>
      <c r="EM86" s="199"/>
      <c r="EN86" s="81"/>
      <c r="EO86" s="199"/>
      <c r="EP86" s="81"/>
      <c r="EQ86" s="199"/>
      <c r="ER86" s="81"/>
      <c r="ES86" s="138"/>
      <c r="ET86" s="470"/>
      <c r="EU86" s="138"/>
      <c r="EV86" s="139"/>
      <c r="EW86" s="140"/>
      <c r="EX86" s="139"/>
      <c r="EY86" s="79"/>
      <c r="EZ86" s="141"/>
      <c r="FA86" s="79"/>
      <c r="FB86" s="142"/>
      <c r="FC86" s="79"/>
      <c r="FD86" s="142"/>
      <c r="FE86" s="79"/>
      <c r="FF86" s="142"/>
      <c r="FG86" s="79"/>
      <c r="FH86" s="142"/>
      <c r="FI86" s="79"/>
      <c r="FJ86" s="142"/>
      <c r="FK86" s="79"/>
      <c r="FL86" s="199"/>
      <c r="FM86" s="79"/>
      <c r="FN86" s="199"/>
      <c r="FO86" s="79"/>
      <c r="FP86" s="199"/>
      <c r="FQ86" s="79"/>
      <c r="FR86" s="199"/>
      <c r="FS86" s="79"/>
      <c r="FT86" s="199"/>
      <c r="FU86" s="79"/>
      <c r="FV86" s="199"/>
      <c r="FW86" s="79"/>
      <c r="FX86" s="199"/>
      <c r="FY86" s="79"/>
      <c r="FZ86" s="199"/>
      <c r="GA86" s="79"/>
      <c r="GB86" s="199"/>
      <c r="GC86" s="79"/>
      <c r="GD86" s="199"/>
      <c r="GE86" s="79"/>
      <c r="GF86" s="199"/>
      <c r="GG86" s="79"/>
      <c r="GH86" s="199"/>
      <c r="GI86" s="79"/>
      <c r="GJ86" s="199"/>
      <c r="GK86" s="79"/>
      <c r="GL86" s="199"/>
      <c r="GM86" s="79"/>
      <c r="GN86" s="199"/>
      <c r="GO86" s="79"/>
      <c r="GP86" s="199"/>
      <c r="GQ86" s="79"/>
      <c r="GR86" s="199"/>
      <c r="GS86" s="79"/>
      <c r="GT86" s="79"/>
      <c r="GU86" s="562"/>
      <c r="GV86" s="562"/>
      <c r="GW86"/>
      <c r="GX86"/>
      <c r="GY86"/>
      <c r="GZ86"/>
      <c r="HA86"/>
      <c r="HB86"/>
      <c r="HC86" s="562"/>
      <c r="HD86" s="562"/>
      <c r="HE86" s="562"/>
      <c r="HF86" s="562"/>
      <c r="HG86" s="562"/>
      <c r="HH86" s="562"/>
      <c r="HI86" s="562"/>
      <c r="HJ86" s="562"/>
      <c r="HK86" s="562"/>
      <c r="HL86" s="562"/>
      <c r="HM86" s="562"/>
      <c r="HN86" s="562"/>
      <c r="HO86" s="562"/>
      <c r="HP86" s="562"/>
      <c r="HQ86" s="562"/>
      <c r="HR86" s="562"/>
      <c r="HS86" s="562"/>
      <c r="HT86" s="562"/>
      <c r="HU86" s="562"/>
      <c r="HV86" s="562"/>
      <c r="HW86" s="562"/>
      <c r="HX86" s="562"/>
      <c r="HY86" s="562"/>
      <c r="HZ86" s="562"/>
      <c r="IA86" s="562"/>
      <c r="IB86" s="562"/>
      <c r="IC86" s="562"/>
      <c r="ID86" s="562"/>
      <c r="IE86" s="562"/>
      <c r="IF86" s="562"/>
      <c r="IG86" s="562"/>
      <c r="IH86" s="562"/>
      <c r="II86" s="562"/>
      <c r="IJ86" s="562"/>
      <c r="IK86" s="562"/>
      <c r="IL86" s="562"/>
      <c r="IM86" s="562"/>
      <c r="IN86" s="562"/>
      <c r="IO86" s="562"/>
      <c r="IP86" s="562"/>
      <c r="IQ86" s="562"/>
      <c r="IR86" s="562"/>
      <c r="IS86" s="562"/>
      <c r="IT86" s="562"/>
      <c r="IU86" s="562"/>
      <c r="IV86" s="562"/>
      <c r="IW86" s="562"/>
      <c r="IX86" s="562"/>
      <c r="IY86" s="562"/>
      <c r="IZ86" s="562"/>
      <c r="JA86" s="562"/>
      <c r="JB86" s="562"/>
      <c r="JC86" s="562"/>
      <c r="JD86" s="562"/>
      <c r="JE86" s="562"/>
      <c r="JF86" s="562"/>
      <c r="JG86" s="562"/>
      <c r="JH86" s="562"/>
      <c r="JI86" s="562"/>
      <c r="JJ86" s="562"/>
      <c r="JK86" s="562"/>
      <c r="JL86" s="562"/>
      <c r="JM86" s="562"/>
      <c r="JN86" s="562"/>
      <c r="JO86" s="562"/>
      <c r="JP86" s="562"/>
      <c r="JQ86" s="562"/>
      <c r="JR86" s="562"/>
      <c r="JS86" s="562"/>
      <c r="JT86" s="562"/>
      <c r="JU86" s="562"/>
      <c r="JV86" s="562"/>
      <c r="JW86" s="562"/>
      <c r="JX86" s="562"/>
      <c r="JY86" s="562"/>
      <c r="JZ86" s="562"/>
    </row>
    <row r="87" spans="1:286" s="132" customFormat="1" ht="12.75" customHeight="1" x14ac:dyDescent="0.2">
      <c r="A87" s="133"/>
      <c r="B87" s="2" t="s">
        <v>92</v>
      </c>
      <c r="C87" s="79"/>
      <c r="D87" s="79"/>
      <c r="E87" s="156"/>
      <c r="F87" s="152"/>
      <c r="G87" s="156"/>
      <c r="H87" s="152"/>
      <c r="I87" s="156"/>
      <c r="J87" s="152"/>
      <c r="K87" s="156"/>
      <c r="L87" s="79"/>
      <c r="M87" s="156"/>
      <c r="N87" s="79"/>
      <c r="O87" s="156"/>
      <c r="P87" s="79"/>
      <c r="Q87" s="156"/>
      <c r="R87" s="79"/>
      <c r="S87" s="156"/>
      <c r="T87" s="79"/>
      <c r="U87" s="156"/>
      <c r="V87" s="79"/>
      <c r="W87" s="156"/>
      <c r="X87" s="79"/>
      <c r="Y87" s="156"/>
      <c r="Z87" s="79"/>
      <c r="AA87" s="204"/>
      <c r="AB87" s="79"/>
      <c r="AC87" s="156">
        <f>AC81/AC75*100</f>
        <v>77.302393038433635</v>
      </c>
      <c r="AD87" s="79" t="str">
        <f>IF(ISERROR((AC87/U87-1)*100),"NA",IF(((AC87/U87-1)*100)&gt;100,"NM",IF(((AC87/U87-1)*100)&lt;-50,"NM",(AC87/U87-1)*100)))</f>
        <v>NA</v>
      </c>
      <c r="AE87" s="156">
        <f>AE81/AE75*100</f>
        <v>77.014563106796118</v>
      </c>
      <c r="AF87" s="79" t="str">
        <f>IF(ISERROR((AE87/W87-1)*100),"NA",IF(((AE87/W87-1)*100)&gt;100,"NM",IF(((AE87/W87-1)*100)&lt;-50,"NM",(AE87/W87-1)*100)))</f>
        <v>NA</v>
      </c>
      <c r="AG87" s="156">
        <f>AG81/AG75*100</f>
        <v>76.675872457946255</v>
      </c>
      <c r="AH87" s="79" t="str">
        <f>IF(ISERROR((AG87/Y87-1)*100),"NA",IF(((AG87/Y87-1)*100)&gt;100,"NM",IF(((AG87/Y87-1)*100)&lt;-50,"NM",(AG87/Y87-1)*100)))</f>
        <v>NA</v>
      </c>
      <c r="AI87" s="156">
        <f>AI81/AI75*100</f>
        <v>75.563345017526245</v>
      </c>
      <c r="AJ87" s="79" t="str">
        <f>IF(ISERROR((AI87/AA87-1)*100),"NA",IF(((AI87/AA87-1)*100)&gt;100,"NM",IF(((AI87/AA87-1)*100)&lt;-50,"NM",(AI87/AA87-1)*100)))</f>
        <v>NA</v>
      </c>
      <c r="AK87" s="156">
        <f>AK81/AK75*100</f>
        <v>74.411685150121727</v>
      </c>
      <c r="AL87" s="79">
        <f>IF(ISERROR((AK87/AC87-1)*100),"NA",IF(((AK87/AC87-1)*100)&gt;100,"NM",IF(((AK87/AC87-1)*100)&lt;-50,"NM",(AK87/AC87-1)*100)))</f>
        <v>-3.7394804671502135</v>
      </c>
      <c r="AM87" s="156">
        <f>AM81/AM75*100</f>
        <v>76.55450874831763</v>
      </c>
      <c r="AN87" s="79">
        <f>IF(ISERROR((AM87/AE87-1)*100),"NA",IF(((AM87/AE87-1)*100)&gt;100,"NM",IF(((AM87/AE87-1)*100)&lt;-50,"NM",(AM87/AE87-1)*100)))</f>
        <v>-0.59736021334111378</v>
      </c>
      <c r="AO87" s="156">
        <f>AO81/AO75*100</f>
        <v>76.594549030626595</v>
      </c>
      <c r="AP87" s="79">
        <f>IF(ISERROR((AO87/AG87-1)*100),"NA",IF(((AO87/AG87-1)*100)&gt;100,"NM",IF(((AO87/AG87-1)*100)&lt;-50,"NM",(AO87/AG87-1)*100)))</f>
        <v>-0.10606130026660221</v>
      </c>
      <c r="AQ87" s="156">
        <f>AQ81/AQ75*100</f>
        <v>76.427205681507786</v>
      </c>
      <c r="AR87" s="79">
        <f>IF(ISERROR((AQ87/AI87-1)*100),"NA",IF(((AQ87/AI87-1)*100)&gt;100,"NM",IF(((AQ87/AI87-1)*100)&lt;-50,"NM",(AQ87/AI87-1)*100)))</f>
        <v>1.1432271345070522</v>
      </c>
      <c r="AS87" s="156">
        <f>AS81/AS75*100</f>
        <v>76.588628762541816</v>
      </c>
      <c r="AT87" s="81">
        <f>IF(ISERROR((AS87/AK87-1)*100),"NA",IF(((AS87/AK87-1)*100)&gt;100,"NM",IF(((AS87/AK87-1)*100)&lt;-50,"NM",(AS87/AK87-1)*100)))</f>
        <v>2.9255399982250241</v>
      </c>
      <c r="AU87" s="156">
        <f>AU81/AU75*100</f>
        <v>76.348547717842322</v>
      </c>
      <c r="AV87" s="81">
        <f>IF(ISERROR((AU87/AM87-1)*100),"NA",IF(((AU87/AM87-1)*100)&gt;100,"NM",IF(((AU87/AM87-1)*100)&lt;-50,"NM",(AU87/AM87-1)*100)))</f>
        <v>-0.26903840654562972</v>
      </c>
      <c r="AW87" s="156">
        <f>AW81/AW75*100</f>
        <v>76.104053236539613</v>
      </c>
      <c r="AX87" s="81">
        <f>IF(ISERROR((AW87/AO87-1)*100),"NA",IF(((AW87/AO87-1)*100)&gt;100,"NM",IF(((AW87/AO87-1)*100)&lt;-50,"NM",(AW87/AO87-1)*100)))</f>
        <v>-0.64037950519280074</v>
      </c>
      <c r="AY87" s="156">
        <f>AY81/AY75*100</f>
        <v>75.946100917431181</v>
      </c>
      <c r="AZ87" s="81">
        <f>IF(ISERROR((AY87/AQ87-1)*100),"NA",IF(((AY87/AQ87-1)*100)&gt;100,"NM",IF(((AY87/AQ87-1)*100)&lt;-50,"NM",(AY87/AQ87-1)*100)))</f>
        <v>-0.62949411768564723</v>
      </c>
      <c r="BA87" s="156">
        <f>BA81/BA75*100</f>
        <v>75.159642401021713</v>
      </c>
      <c r="BB87" s="81">
        <f>IF(ISERROR((BA87/AS87-1)*100),"NA",IF(((BA87/AS87-1)*100)&gt;100,"NM",IF(((BA87/AS87-1)*100)&lt;-50,"NM",(BA87/AS87-1)*100)))</f>
        <v>-1.8657944196266874</v>
      </c>
      <c r="BC87" s="156">
        <f>BC81/BC75*100</f>
        <v>74.256144890038811</v>
      </c>
      <c r="BD87" s="81">
        <f>IF(ISERROR((BC87/AU87-1)*100),"NA",IF(((BC87/AU87-1)*100)&gt;100,"NM",IF(((BC87/AU87-1)*100)&lt;-50,"NM",(BC87/AU87-1)*100)))</f>
        <v>-2.7405928342426389</v>
      </c>
      <c r="BE87" s="156">
        <f>BE81/BE75*100</f>
        <v>72.254521963824274</v>
      </c>
      <c r="BF87" s="81">
        <f>IF(ISERROR((BE87/AW87-1)*100),"NA",IF(((BE87/AW87-1)*100)&gt;100,"NM",IF(((BE87/AW87-1)*100)&lt;-50,"NM",(BE87/AW87-1)*100)))</f>
        <v>-5.0582473718588705</v>
      </c>
      <c r="BG87" s="156">
        <f>BG81/BG75*100</f>
        <v>69.484334203655365</v>
      </c>
      <c r="BH87" s="81">
        <f>IF(ISERROR((BG87/AY87-1)*100),"NA",IF(((BG87/AY87-1)*100)&gt;100,"NM",IF(((BG87/AY87-1)*100)&lt;-50,"NM",(BG87/AY87-1)*100)))</f>
        <v>-8.5083587382597354</v>
      </c>
      <c r="BI87" s="156">
        <f>BI81/BI75*100</f>
        <v>68.160054719562254</v>
      </c>
      <c r="BJ87" s="128">
        <f>IF(ISERROR((BI87/BA87-1)*100),"NA",IF(((BI87/BA87-1)*100)&gt;100,"NM",IF(((BI87/BA87-1)*100)&lt;-50,"NM",(BI87/BA87-1)*100)))</f>
        <v>-9.3129603306418947</v>
      </c>
      <c r="BK87" s="156">
        <f>BK81/BK75*100</f>
        <v>69.494344644045242</v>
      </c>
      <c r="BL87" s="81">
        <f>IF(ISERROR((BK87/BC87-1)*100),"NA",IF(((BK87/BC87-1)*100)&gt;100,"NM",IF(((BK87/BC87-1)*100)&lt;-50,"NM",(BK87/BC87-1)*100)))</f>
        <v>-6.4126682755279223</v>
      </c>
      <c r="BM87" s="156">
        <f>BM81/BM75*100</f>
        <v>70.429570429570433</v>
      </c>
      <c r="BN87" s="81">
        <f>IF(ISERROR((BM87/BE87-1)*100),"NA",IF(((BM87/BE87-1)*100)&gt;100,"NM",IF(((BM87/BE87-1)*100)&lt;-50,"NM",(BM87/BE87-1)*100)))</f>
        <v>-2.5257263969825194</v>
      </c>
      <c r="BO87" s="156">
        <f>BO81/BO75*100</f>
        <v>69.976438909458096</v>
      </c>
      <c r="BP87" s="81">
        <f>IF(ISERROR((BO87/BG87-1)*100),"NA",IF(((BO87/BG87-1)*100)&gt;100,"NM",IF(((BO87/BG87-1)*100)&lt;-50,"NM",(BO87/BG87-1)*100)))</f>
        <v>0.7082239636353016</v>
      </c>
      <c r="BQ87" s="156">
        <f>BQ81/BQ75*100</f>
        <v>69.826388888888886</v>
      </c>
      <c r="BR87" s="81">
        <f>IF(ISERROR((BQ87/BI87-1)*100),"NA",IF(((BQ87/BI87-1)*100)&gt;100,"NM",IF(((BQ87/BI87-1)*100)&lt;-50,"NM",(BQ87/BI87-1)*100)))</f>
        <v>2.4447371355298841</v>
      </c>
      <c r="BS87" s="156">
        <f>BS81/BS75*100</f>
        <v>70.493488690884163</v>
      </c>
      <c r="BT87" s="81">
        <f>IF(ISERROR((BS87/BK87-1)*100),"NA",IF(((BS87/BK87-1)*100)&gt;100,"NM",IF(((BS87/BK87-1)*100)&lt;-50,"NM",(BS87/BK87-1)*100)))</f>
        <v>1.4377343249390995</v>
      </c>
      <c r="BU87" s="156">
        <f>BU81/BU75*100</f>
        <v>70.347648261758707</v>
      </c>
      <c r="BV87" s="81">
        <f>IF(ISERROR((BU87/BM87-1)*100),"NA",IF(((BU87/BM87-1)*100)&gt;100,"NM",IF(((BU87/BM87-1)*100)&lt;-50,"NM",(BU87/BM87-1)*100)))</f>
        <v>-0.11631785812700191</v>
      </c>
      <c r="BW87" s="156">
        <f>BW81/BW75*100</f>
        <v>69.903248099516247</v>
      </c>
      <c r="BX87" s="81">
        <f>IF(ISERROR((BW87/BO87-1)*100),"NA",IF(((BW87/BO87-1)*100)&gt;100,"NM",IF(((BW87/BO87-1)*100)&lt;-50,"NM",(BW87/BO87-1)*100)))</f>
        <v>-0.10459350473170925</v>
      </c>
      <c r="BY87" s="156">
        <f>BY81/BY75*100</f>
        <v>69.739952718676108</v>
      </c>
      <c r="BZ87" s="81">
        <f>IF(ISERROR((BY87/BQ87-1)*100),"NA",IF(((BY87/BQ87-1)*100)&gt;100,"NM",IF(((BY87/BQ87-1)*100)&lt;-50,"NM",(BY87/BQ87-1)*100)))</f>
        <v>-0.12378725520278966</v>
      </c>
      <c r="CA87" s="156">
        <f>CA81/CA75*100</f>
        <v>70.339267719180384</v>
      </c>
      <c r="CB87" s="81">
        <f>IF(ISERROR((CA87/BS87-1)*100),"NA",IF(((CA87/BS87-1)*100)&gt;100,"NM",IF(((CA87/BS87-1)*100)&lt;-50,"NM",(CA87/BS87-1)*100)))</f>
        <v>-0.21877335704016954</v>
      </c>
      <c r="CC87" s="156">
        <f>CC81/CC75*100</f>
        <v>70.433333333333337</v>
      </c>
      <c r="CD87" s="81">
        <f>IF(ISERROR((CC87/BU87-1)*100),"NA",IF(((CC87/BU87-1)*100)&gt;100,"NM",IF(((CC87/BU87-1)*100)&lt;-50,"NM",(CC87/BU87-1)*100)))</f>
        <v>0.12180232558138826</v>
      </c>
      <c r="CE87" s="156">
        <f>CE81/CE75*100</f>
        <v>70.290812954395236</v>
      </c>
      <c r="CF87" s="81">
        <f>IF(ISERROR((CE87/BW87-1)*100),"NA",IF(((CE87/BW87-1)*100)&gt;100,"NM",IF(((CE87/BW87-1)*100)&lt;-50,"NM",(CE87/BW87-1)*100)))</f>
        <v>0.55443039546207995</v>
      </c>
      <c r="CG87" s="156">
        <f>CG81/CG75*100</f>
        <v>69.950083194675543</v>
      </c>
      <c r="CH87" s="81">
        <f>IF(ISERROR((CG87/BY87-1)*100),"NA",IF(((CG87/BY87-1)*100)&gt;100,"NM",IF(((CG87/BY87-1)*100)&lt;-50,"NM",(CG87/BY87-1)*100)))</f>
        <v>0.30130573338225108</v>
      </c>
      <c r="CI87" s="156">
        <f>CI81/CI75*100</f>
        <v>70.275655928263021</v>
      </c>
      <c r="CJ87" s="81">
        <f>IF(ISERROR((CI87/CA87-1)*100),"NA",IF(((CI87/CA87-1)*100)&gt;100,"NM",IF(((CI87/CA87-1)*100)&lt;-50,"NM",(CI87/CA87-1)*100)))</f>
        <v>-9.0435674097899543E-2</v>
      </c>
      <c r="CK87" s="156">
        <f>CK81/CK75*100</f>
        <v>70.193252538486746</v>
      </c>
      <c r="CL87" s="81">
        <f>IF(ISERROR((CK87/CC87-1)*100),"NA",IF(((CK87/CC87-1)*100)&gt;100,"NM",IF(((CK87/CC87-1)*100)&lt;-50,"NM",(CK87/CC87-1)*100)))</f>
        <v>-0.34086246310448542</v>
      </c>
      <c r="CM87" s="156">
        <f>CM81/CM75*100</f>
        <v>70.711974110032358</v>
      </c>
      <c r="CN87" s="81">
        <f>IF(ISERROR((CM87/CE87-1)*100),"NA",IF(((CM87/CE87-1)*100)&gt;100,"NM",IF(((CM87/CE87-1)*100)&lt;-50,"NM",(CM87/CE87-1)*100)))</f>
        <v>0.59916956133423405</v>
      </c>
      <c r="CO87" s="156">
        <f>CO81/CO75*100</f>
        <v>71.978875427151294</v>
      </c>
      <c r="CP87" s="155">
        <f>IF(ISERROR((CO87/CG87-1)*100),"NA",IF(((CO87/CG87-1)*100)&gt;100,"NM",IF(((CO87/CG87-1)*100)&lt;-50,"NM",(CO87/CG87-1)*100)))</f>
        <v>2.900342844238657</v>
      </c>
      <c r="CQ87" s="156">
        <f>CQ81/CQ75*100</f>
        <v>71.910808299783213</v>
      </c>
      <c r="CR87" s="155">
        <f>IF(ISERROR((CQ87/CI87-1)*100),"NA",IF(((CQ87/CI87-1)*100)&gt;100,"NM",IF(((CQ87/CI87-1)*100)&lt;-50,"NM",(CQ87/CI87-1)*100)))</f>
        <v>2.3267692772435344</v>
      </c>
      <c r="CS87" s="156">
        <f>CS81/CS75*100</f>
        <v>72.281776416539046</v>
      </c>
      <c r="CT87" s="81">
        <f>IF(ISERROR((CS87/CK87-1)*100),"NA",IF(((CS87/CK87-1)*100)&gt;100,"NM",IF(((CS87/CK87-1)*100)&lt;-50,"NM",(CS87/CK87-1)*100)))</f>
        <v>2.9753912271085703</v>
      </c>
      <c r="CU87" s="156">
        <f>CU81/CU75*100</f>
        <v>72.523765716038028</v>
      </c>
      <c r="CV87" s="81">
        <f>IF(ISERROR((CU87/CM87-1)*100),"NA",IF(((CU87/CM87-1)*100)&gt;100,"NM",IF(((CU87/CM87-1)*100)&lt;-50,"NM",(CU87/CM87-1)*100)))</f>
        <v>2.5622133009416626</v>
      </c>
      <c r="CW87" s="156">
        <f>CW81/CW75*100</f>
        <v>70.639447613329338</v>
      </c>
      <c r="CX87" s="81">
        <f>IF(ISERROR((CW87/CO87-1)*100),"NA",IF(((CW87/CO87-1)*100)&gt;100,"NM",IF(((CW87/CO87-1)*100)&lt;-50,"NM",(CW87/CO87-1)*100)))</f>
        <v>-1.8608623792373269</v>
      </c>
      <c r="CY87" s="156">
        <f>CY81/CY75*100</f>
        <v>71.090473337327737</v>
      </c>
      <c r="CZ87" s="81">
        <f>IF(ISERROR((CY87/CQ87-1)*100),"NA",IF(((CY87/CQ87-1)*100)&gt;100,"NM",IF(((CY87/CQ87-1)*100)&lt;-50,"NM",(CY87/CQ87-1)*100)))</f>
        <v>-1.140767266911602</v>
      </c>
      <c r="DA87" s="156">
        <f>DA81/DA75*100</f>
        <v>71.58176943699732</v>
      </c>
      <c r="DB87" s="81">
        <f>IF(ISERROR((DA87/CS87-1)*100),"NA",IF(((DA87/CS87-1)*100)&gt;100,"NM",IF(((DA87/CS87-1)*100)&lt;-50,"NM",(DA87/CS87-1)*100)))</f>
        <v>-0.96844185940836436</v>
      </c>
      <c r="DC87" s="156">
        <f>DC81/DC75*100</f>
        <v>59.17693000901172</v>
      </c>
      <c r="DD87" s="81">
        <f>IF(ISERROR((DC87/CU87-1)*100),"NA",IF(((DC87/CU87-1)*100)&gt;100,"NM",IF(((DC87/CU87-1)*100)&lt;-50,"NM",(DC87/CU87-1)*100)))</f>
        <v>-18.403395873409213</v>
      </c>
      <c r="DE87" s="156">
        <f>DE81/DE75*100</f>
        <v>70.279001468428788</v>
      </c>
      <c r="DF87" s="81">
        <f>IF(ISERROR((DE87/CW87-1)*100),"NA",IF(((DE87/CW87-1)*100)&gt;100,"NM",IF(((DE87/CW87-1)*100)&lt;-50,"NM",(DE87/CW87-1)*100)))</f>
        <v>-0.51026183963609473</v>
      </c>
      <c r="DG87" s="156">
        <f>DG81/DG75*100</f>
        <v>70.142317746151605</v>
      </c>
      <c r="DH87" s="81">
        <f>IF(ISERROR((DG87/CY87-1)*100),"NA",IF(((DG87/CY87-1)*100)&gt;100,"NM",IF(((DG87/CY87-1)*100)&lt;-50,"NM",(DG87/CY87-1)*100)))</f>
        <v>-1.3337308737235265</v>
      </c>
      <c r="DI87" s="156">
        <f>DI81/DI75*100</f>
        <v>69.968418030433526</v>
      </c>
      <c r="DJ87" s="81">
        <f>IF(ISERROR((DI87/DA87-1)*100),"NA",IF(((DI87/DA87-1)*100)&gt;100,"NM",IF(((DI87/DA87-1)*100)&lt;-50,"NM",(DI87/DA87-1)*100)))</f>
        <v>-2.253857957484251</v>
      </c>
      <c r="DK87" s="156">
        <f>DK81/DK75*100</f>
        <v>70.768797521824837</v>
      </c>
      <c r="DL87" s="81">
        <f>IF(ISERROR((DK87/DC87-1)*100),"NA",IF(((DK87/DC87-1)*100)&gt;100,"NM",IF(((DK87/DC87-1)*100)&lt;-50,"NM",(DK87/DC87-1)*100)))</f>
        <v>19.58849083764207</v>
      </c>
      <c r="DM87" s="156">
        <f>DM81/DM75*100</f>
        <v>70.94668117519042</v>
      </c>
      <c r="DN87" s="81">
        <f>IF(ISERROR((DM87/DE87-1)*100),"NA",IF(((DM87/DE87-1)*100)&gt;100,"NM",IF(((DM87/DE87-1)*100)&lt;-50,"NM",(DM87/DE87-1)*100)))</f>
        <v>0.95004153845523742</v>
      </c>
      <c r="DO87" s="156">
        <f>DO81/DO75*100</f>
        <v>73.084213376658539</v>
      </c>
      <c r="DP87" s="81">
        <f>IF(ISERROR((DO87/DG87-1)*100),"NA",IF(((DO87/DG87-1)*100)&gt;100,"NM",IF(((DO87/DG87-1)*100)&lt;-50,"NM",(DO87/DG87-1)*100)))</f>
        <v>4.1941808098697297</v>
      </c>
      <c r="DQ87" s="156">
        <f>DQ81/DQ75*100</f>
        <v>71.025501899077597</v>
      </c>
      <c r="DR87" s="81">
        <f>IF(ISERROR((DQ87/DI87-1)*100),"NA",IF(((DQ87/DI87-1)*100)&gt;100,"NM",IF(((DQ87/DI87-1)*100)&lt;-50,"NM",(DQ87/DI87-1)*100)))</f>
        <v>1.5108014421367555</v>
      </c>
      <c r="DS87" s="156">
        <f>DS81/DS75*100</f>
        <v>72.028907922912211</v>
      </c>
      <c r="DT87" s="81">
        <f>IF(ISERROR((DS87/DK87-1)*100),"NA",IF(((DS87/DK87-1)*100)&gt;100,"NM",IF(((DS87/DK87-1)*100)&lt;-50,"NM",(DS87/DK87-1)*100)))</f>
        <v>1.7806016849428064</v>
      </c>
      <c r="DU87" s="156">
        <f>DU81/DU75*100</f>
        <v>71.458171458171449</v>
      </c>
      <c r="DV87" s="81">
        <f>IF(ISERROR((DU87/DM87-1)*100),"NA",IF(((DU87/DM87-1)*100)&gt;100,"NM",IF(((DU87/DM87-1)*100)&lt;-50,"NM",(DU87/DM87-1)*100)))</f>
        <v>0.72095026082754643</v>
      </c>
      <c r="DW87" s="156">
        <f>DW81/DW75*100</f>
        <v>71.532846715328461</v>
      </c>
      <c r="DX87" s="81">
        <f>IF(ISERROR((DW87/DO87-1)*100),"NA",IF(((DW87/DO87-1)*100)&gt;100,"NM",IF(((DW87/DO87-1)*100)&lt;-50,"NM",(DW87/DO87-1)*100)))</f>
        <v>-2.122711033824376</v>
      </c>
      <c r="DY87" s="156">
        <f>DY81/DY75*100</f>
        <v>72.600977617700025</v>
      </c>
      <c r="DZ87" s="81">
        <f>IF(ISERROR((DY87/DQ87-1)*100),"NA",IF(((DY87/DQ87-1)*100)&gt;100,"NM",IF(((DY87/DQ87-1)*100)&lt;-50,"NM",(DY87/DQ87-1)*100)))</f>
        <v>2.2181831546379982</v>
      </c>
      <c r="EA87" s="156">
        <f>EA81/EA75*100</f>
        <v>71.472314365909682</v>
      </c>
      <c r="EB87" s="81">
        <f>IF(ISERROR((EA87/DS87-1)*100),"NA",IF(((EA87/DS87-1)*100)&gt;100,"NM",IF(((EA87/DS87-1)*100)&lt;-50,"NM",(EA87/DS87-1)*100)))</f>
        <v>-0.77273635412911101</v>
      </c>
      <c r="EC87" s="156">
        <f>EC81/EC75*100</f>
        <v>71.884272997032639</v>
      </c>
      <c r="ED87" s="81">
        <f t="shared" ref="ED87" si="347">IF(ISERROR((EC87/DU87-1)*100),"NA",IF(((EC87/DU87-1)*100)&gt;100,"NM",IF(((EC87/DU87-1)*100)&lt;-50,"NM",(EC87/DU87-1)*100)))</f>
        <v>0.59629504949005874</v>
      </c>
      <c r="EE87" s="156">
        <f>EE81/EE75*100</f>
        <v>70.59410883674488</v>
      </c>
      <c r="EF87" s="81">
        <f t="shared" ref="EF87" si="348">IF(ISERROR((EE87/DW87-1)*100),"NA",IF(((EE87/DW87-1)*100)&gt;100,"NM",IF(((EE87/DW87-1)*100)&lt;-50,"NM",(EE87/DW87-1)*100)))</f>
        <v>-1.3123172384280624</v>
      </c>
      <c r="EG87" s="156">
        <f>EG81/EG75*100</f>
        <v>71.365422396856587</v>
      </c>
      <c r="EH87" s="81">
        <f t="shared" ref="EH87" si="349">IF(ISERROR((EG87/DY87-1)*100),"NA",IF(((EG87/DY87-1)*100)&gt;100,"NM",IF(((EG87/DY87-1)*100)&lt;-50,"NM",(EG87/DY87-1)*100)))</f>
        <v>-1.7018437786741503</v>
      </c>
      <c r="EI87" s="156">
        <f>EI81/EI75*100</f>
        <v>75.893743793445879</v>
      </c>
      <c r="EJ87" s="81">
        <f t="shared" ref="EJ87" si="350">IF(ISERROR((EI87/EA87-1)*100),"NA",IF(((EI87/EA87-1)*100)&gt;100,"NM",IF(((EI87/EA87-1)*100)&lt;-50,"NM",(EI87/EA87-1)*100)))</f>
        <v>6.1862127549140888</v>
      </c>
      <c r="EK87" s="205">
        <v>71.099999999999994</v>
      </c>
      <c r="EL87" s="81">
        <f t="shared" ref="EL87" si="351">IF(ISERROR((EK87/EC87-1)*100),"NA",IF(((EK87/EC87-1)*100)&gt;100,"NM",IF(((EK87/EC87-1)*100)&lt;-50,"NM",(EK87/EC87-1)*100)))</f>
        <v>-1.0910216718266308</v>
      </c>
      <c r="EM87" s="205">
        <f t="shared" ref="EM87" si="352">EK87</f>
        <v>71.099999999999994</v>
      </c>
      <c r="EN87" s="81">
        <f t="shared" ref="EN87" si="353">IF(ISERROR((EM87/EE87-1)*100),"NA",IF(((EM87/EE87-1)*100)&gt;100,"NM",IF(((EM87/EE87-1)*100)&lt;-50,"NM",(EM87/EE87-1)*100)))</f>
        <v>0.71661951909476329</v>
      </c>
      <c r="EO87" s="205">
        <f t="shared" ref="EO87" si="354">EM87</f>
        <v>71.099999999999994</v>
      </c>
      <c r="EP87" s="81">
        <f t="shared" ref="EP87" si="355">IF(ISERROR((EO87/EG87-1)*100),"NA",IF(((EO87/EG87-1)*100)&gt;100,"NM",IF(((EO87/EG87-1)*100)&lt;-50,"NM",(EO87/EG87-1)*100)))</f>
        <v>-0.37192016517550996</v>
      </c>
      <c r="EQ87" s="205">
        <f t="shared" ref="EQ87" si="356">EO87</f>
        <v>71.099999999999994</v>
      </c>
      <c r="ER87" s="81">
        <f t="shared" ref="ER87" si="357">IF(ISERROR((EQ87/EI87-1)*100),"NA",IF(((EQ87/EI87-1)*100)&gt;100,"NM",IF(((EQ87/EI87-1)*100)&lt;-50,"NM",(EQ87/EI87-1)*100)))</f>
        <v>-6.3163886162904914</v>
      </c>
      <c r="ES87" s="129"/>
      <c r="ET87" s="469"/>
      <c r="EU87" s="129"/>
      <c r="EV87" s="95"/>
      <c r="EW87" s="79"/>
      <c r="EX87" s="95"/>
      <c r="EY87" s="79"/>
      <c r="EZ87" s="131"/>
      <c r="FA87" s="79"/>
      <c r="FB87" s="151"/>
      <c r="FC87" s="79"/>
      <c r="FD87" s="151">
        <f>FD81/FD75*100</f>
        <v>77.687854074581338</v>
      </c>
      <c r="FE87" s="79" t="str">
        <f>IF(ISERROR((FD87/FB87-1)*100),"NA",IF(((FD87/FB87-1)*100)&gt;100,"NM",IF(((FD87/FB87-1)*100)&lt;-50,"NM",(FD87/FB87-1)*100)))</f>
        <v>NA</v>
      </c>
      <c r="FF87" s="151">
        <f>FF81/FF75*100</f>
        <v>76.997112608277192</v>
      </c>
      <c r="FG87" s="79">
        <f>IF(ISERROR((FF87/FD87-1)*100),"NA",IF(((FF87/FD87-1)*100)&gt;100,"NM",IF(((FF87/FD87-1)*100)&lt;-50,"NM",(FF87/FD87-1)*100)))</f>
        <v>-0.88912414241874016</v>
      </c>
      <c r="FH87" s="151">
        <f>FH81/FH75*100</f>
        <v>76.647776272021673</v>
      </c>
      <c r="FI87" s="79">
        <f>IF(ISERROR((FH87/FF87-1)*100),"NA",IF(((FH87/FF87-1)*100)&gt;100,"NM",IF(((FH87/FF87-1)*100)&lt;-50,"NM",(FH87/FF87-1)*100)))</f>
        <v>-0.45370056671185655</v>
      </c>
      <c r="FJ87" s="151">
        <f>FJ81/FJ75*100</f>
        <v>75.990978676872615</v>
      </c>
      <c r="FK87" s="79">
        <f>IF(ISERROR((FJ87/FH87-1)*100),"NA",IF(((FJ87/FH87-1)*100)&gt;100,"NM",IF(((FJ87/FH87-1)*100)&lt;-50,"NM",(FJ87/FH87-1)*100)))</f>
        <v>-0.85690365343162878</v>
      </c>
      <c r="FL87" s="151">
        <f>FL81/FL75*100</f>
        <v>76.252054011573904</v>
      </c>
      <c r="FM87" s="79">
        <f>IF(ISERROR((FL87/FJ87-1)*100),"NA",IF(((FL87/FJ87-1)*100)&gt;100,"NM",IF(((FL87/FJ87-1)*100)&lt;-50,"NM",(FL87/FJ87-1)*100)))</f>
        <v>0.34356095848091517</v>
      </c>
      <c r="FN87" s="151">
        <f>FN81/FN75*100</f>
        <v>72.803617571059434</v>
      </c>
      <c r="FO87" s="79">
        <f>IF(ISERROR((FN87/FL87-1)*100),"NA",IF(((FN87/FL87-1)*100)&gt;100,"NM",IF(((FN87/FL87-1)*100)&lt;-50,"NM",(FN87/FL87-1)*100)))</f>
        <v>-4.5224177698754868</v>
      </c>
      <c r="FP87" s="156">
        <f>FP81/FP75*100</f>
        <v>69.522849462365585</v>
      </c>
      <c r="FQ87" s="79">
        <f>IF(ISERROR((FP87/FN87-1)*100),"NA",IF(((FP87/FN87-1)*100)&gt;100,"NM",IF(((FP87/FN87-1)*100)&lt;-50,"NM",(FP87/FN87-1)*100)))</f>
        <v>-4.5063256719237614</v>
      </c>
      <c r="FR87" s="156">
        <f>FR81/FR75*100</f>
        <v>70.14450369860657</v>
      </c>
      <c r="FS87" s="79">
        <f>IF(ISERROR((FR87/FP87-1)*100),"NA",IF(((FR87/FP87-1)*100)&gt;100,"NM",IF(((FR87/FP87-1)*100)&lt;-50,"NM",(FR87/FP87-1)*100)))</f>
        <v>0.89417255053318989</v>
      </c>
      <c r="FT87" s="156">
        <f>FT81/FT75*100</f>
        <v>70.202273487128053</v>
      </c>
      <c r="FU87" s="79">
        <f>IF(ISERROR((FT87/FR87-1)*100),"NA",IF(((FT87/FR87-1)*100)&gt;100,"NM",IF(((FT87/FR87-1)*100)&lt;-50,"NM",(FT87/FR87-1)*100)))</f>
        <v>8.2358253997649733E-2</v>
      </c>
      <c r="FV87" s="156">
        <f>FV81/FV75*100</f>
        <v>70.285385311292032</v>
      </c>
      <c r="FW87" s="79">
        <f>IF(ISERROR((FV87/FT87-1)*100),"NA",IF(((FV87/FT87-1)*100)&gt;100,"NM",IF(((FV87/FT87-1)*100)&lt;-50,"NM",(FV87/FT87-1)*100)))</f>
        <v>0.11838907778281005</v>
      </c>
      <c r="FX87" s="156">
        <f>FX81/FX75*100</f>
        <v>72.175119469708633</v>
      </c>
      <c r="FY87" s="79">
        <f>IF(ISERROR((FX87/FV87-1)*100),"NA",IF(((FX87/FV87-1)*100)&gt;100,"NM",IF(((FX87/FV87-1)*100)&lt;-50,"NM",(FX87/FV87-1)*100)))</f>
        <v>2.6886587446978139</v>
      </c>
      <c r="FZ87" s="156">
        <f>FZ81/FZ75*100</f>
        <v>68.131785847997008</v>
      </c>
      <c r="GA87" s="79">
        <f>IF(ISERROR((FZ87/FX87-1)*100),"NA",IF(((FZ87/FX87-1)*100)&gt;100,"NM",IF(((FZ87/FX87-1)*100)&lt;-50,"NM",(FZ87/FX87-1)*100)))</f>
        <v>-5.6021155924910975</v>
      </c>
      <c r="GB87" s="156">
        <f>GB81/GB75*100</f>
        <v>70.292465062671099</v>
      </c>
      <c r="GC87" s="79">
        <f>IF(ISERROR((GB87/FZ87-1)*100),"NA",IF(((GB87/FZ87-1)*100)&gt;100,"NM",IF(((GB87/FZ87-1)*100)&lt;-50,"NM",(GB87/FZ87-1)*100)))</f>
        <v>3.1713233225598936</v>
      </c>
      <c r="GD87" s="156">
        <f>GD81/GD75*100</f>
        <v>71.773375701440074</v>
      </c>
      <c r="GE87" s="79">
        <f>IF(ISERROR((GD87/GB87-1)*100),"NA",IF(((GD87/GB87-1)*100)&gt;100,"NM",IF(((GD87/GB87-1)*100)&lt;-50,"NM",(GD87/GB87-1)*100)))</f>
        <v>2.1067843295133226</v>
      </c>
      <c r="GF87" s="156">
        <f>GF81/GF75*100</f>
        <v>71.76675482164741</v>
      </c>
      <c r="GG87" s="79">
        <f>IF(ISERROR((GF87/GD87-1)*100),"NA",IF(((GF87/GD87-1)*100)&gt;100,"NM",IF(((GF87/GD87-1)*100)&lt;-50,"NM",(GF87/GD87-1)*100)))</f>
        <v>-9.2247016779678503E-3</v>
      </c>
      <c r="GH87" s="156">
        <f>GH81/GH75*100</f>
        <v>72.433436532507727</v>
      </c>
      <c r="GI87" s="79">
        <f>IF(ISERROR((GH87/GF87-1)*100),"NA",IF(((GH87/GF87-1)*100)&gt;100,"NM",IF(((GH87/GF87-1)*100)&lt;-50,"NM",(GH87/GF87-1)*100)))</f>
        <v>0.92895618941826186</v>
      </c>
      <c r="GJ87" s="156">
        <f>GJ81/GJ75*100</f>
        <v>71.099999999999994</v>
      </c>
      <c r="GK87" s="79">
        <f>IF(ISERROR((GJ87/GH87-1)*100),"NA",IF(((GJ87/GH87-1)*100)&gt;100,"NM",IF(((GJ87/GH87-1)*100)&lt;-50,"NM",(GJ87/GH87-1)*100)))</f>
        <v>-1.8409129765771803</v>
      </c>
      <c r="GL87" s="205">
        <f>GJ87</f>
        <v>71.099999999999994</v>
      </c>
      <c r="GM87" s="79">
        <f>IF(ISERROR((GL87/GJ87-1)*100),"NA",IF(((GL87/GJ87-1)*100)&gt;100,"NM",IF(((GL87/GJ87-1)*100)&lt;-50,"NM",(GL87/GJ87-1)*100)))</f>
        <v>0</v>
      </c>
      <c r="GN87" s="205">
        <f>GL87</f>
        <v>71.099999999999994</v>
      </c>
      <c r="GO87" s="79">
        <f>IF(ISERROR((GN87/GL87-1)*100),"NA",IF(((GN87/GL87-1)*100)&gt;100,"NM",IF(((GN87/GL87-1)*100)&lt;-50,"NM",(GN87/GL87-1)*100)))</f>
        <v>0</v>
      </c>
      <c r="GP87" s="205">
        <f>GN87-0.1</f>
        <v>71</v>
      </c>
      <c r="GQ87" s="79">
        <f>IF(ISERROR((GP87/GN87-1)*100),"NA",IF(((GP87/GN87-1)*100)&gt;100,"NM",IF(((GP87/GN87-1)*100)&lt;-50,"NM",(GP87/GN87-1)*100)))</f>
        <v>-0.14064697609000865</v>
      </c>
      <c r="GR87" s="205">
        <f>GP87</f>
        <v>71</v>
      </c>
      <c r="GS87" s="79">
        <f>IF(ISERROR((GR87/GP87-1)*100),"NA",IF(((GR87/GP87-1)*100)&gt;100,"NM",IF(((GR87/GP87-1)*100)&lt;-50,"NM",(GR87/GP87-1)*100)))</f>
        <v>0</v>
      </c>
      <c r="GT87" s="79">
        <f>IF(ISERROR(((GR87/GH87)^0.2-1)*100),"NA",(IF(OR(((GR87/GH87)^0.2-1)*100&gt;99,((GR87/GH87)^0.2-1)*100&lt;-50),"NM",(((GR87/GH87)^0.2-1)*100))))</f>
        <v>-0.39896493770186225</v>
      </c>
      <c r="GU87" s="562"/>
      <c r="GV87" s="562"/>
      <c r="GW87"/>
      <c r="GX87"/>
      <c r="GY87"/>
      <c r="GZ87"/>
      <c r="HA87"/>
      <c r="HB87"/>
      <c r="HC87" s="562"/>
      <c r="HD87" s="562"/>
      <c r="HE87" s="562"/>
      <c r="HF87" s="562"/>
      <c r="HG87" s="562"/>
      <c r="HH87" s="562"/>
      <c r="HI87" s="562"/>
      <c r="HJ87" s="562"/>
      <c r="HK87" s="562"/>
      <c r="HL87" s="562"/>
      <c r="HM87" s="562"/>
      <c r="HN87" s="562"/>
      <c r="HO87" s="562"/>
      <c r="HP87" s="562"/>
      <c r="HQ87" s="562"/>
      <c r="HR87" s="562"/>
      <c r="HS87" s="562"/>
      <c r="HT87" s="562"/>
      <c r="HU87" s="562"/>
      <c r="HV87" s="562"/>
      <c r="HW87" s="562"/>
      <c r="HX87" s="562"/>
      <c r="HY87" s="562"/>
      <c r="HZ87" s="562"/>
      <c r="IA87" s="562"/>
      <c r="IB87" s="562"/>
      <c r="IC87" s="562"/>
      <c r="ID87" s="562"/>
      <c r="IE87" s="562"/>
      <c r="IF87" s="562"/>
      <c r="IG87" s="562"/>
      <c r="IH87" s="562"/>
      <c r="II87" s="562"/>
      <c r="IJ87" s="562"/>
      <c r="IK87" s="562"/>
      <c r="IL87" s="562"/>
      <c r="IM87" s="562"/>
      <c r="IN87" s="562"/>
      <c r="IO87" s="562"/>
      <c r="IP87" s="562"/>
      <c r="IQ87" s="562"/>
      <c r="IR87" s="562"/>
      <c r="IS87" s="562"/>
      <c r="IT87" s="562"/>
      <c r="IU87" s="562"/>
      <c r="IV87" s="562"/>
      <c r="IW87" s="562"/>
      <c r="IX87" s="562"/>
      <c r="IY87" s="562"/>
      <c r="IZ87" s="562"/>
      <c r="JA87" s="562"/>
      <c r="JB87" s="562"/>
      <c r="JC87" s="562"/>
      <c r="JD87" s="562"/>
      <c r="JE87" s="562"/>
      <c r="JF87" s="562"/>
      <c r="JG87" s="562"/>
      <c r="JH87" s="562"/>
      <c r="JI87" s="562"/>
      <c r="JJ87" s="562"/>
      <c r="JK87" s="562"/>
      <c r="JL87" s="562"/>
      <c r="JM87" s="562"/>
      <c r="JN87" s="562"/>
      <c r="JO87" s="562"/>
      <c r="JP87" s="562"/>
      <c r="JQ87" s="562"/>
      <c r="JR87" s="562"/>
      <c r="JS87" s="562"/>
      <c r="JT87" s="562"/>
      <c r="JU87" s="562"/>
      <c r="JV87" s="562"/>
      <c r="JW87" s="562"/>
      <c r="JX87" s="562"/>
      <c r="JY87" s="562"/>
      <c r="JZ87" s="562"/>
    </row>
    <row r="88" spans="1:286" s="165" customFormat="1" ht="12.75" hidden="1" customHeight="1" outlineLevel="1" x14ac:dyDescent="0.2">
      <c r="A88" s="157"/>
      <c r="B88" s="85" t="s">
        <v>449</v>
      </c>
      <c r="C88" s="87"/>
      <c r="D88" s="87"/>
      <c r="E88" s="164"/>
      <c r="F88" s="159"/>
      <c r="G88" s="164"/>
      <c r="H88" s="159"/>
      <c r="I88" s="164"/>
      <c r="J88" s="159"/>
      <c r="K88" s="164"/>
      <c r="L88" s="87"/>
      <c r="M88" s="164"/>
      <c r="N88" s="87"/>
      <c r="O88" s="164"/>
      <c r="P88" s="87"/>
      <c r="Q88" s="164"/>
      <c r="R88" s="87"/>
      <c r="S88" s="164"/>
      <c r="T88" s="87"/>
      <c r="U88" s="164"/>
      <c r="V88" s="87"/>
      <c r="W88" s="164"/>
      <c r="X88" s="87"/>
      <c r="Y88" s="164"/>
      <c r="Z88" s="87"/>
      <c r="AA88" s="206"/>
      <c r="AB88" s="87"/>
      <c r="AC88" s="164"/>
      <c r="AD88" s="87"/>
      <c r="AE88" s="164"/>
      <c r="AF88" s="87"/>
      <c r="AG88" s="164"/>
      <c r="AH88" s="87"/>
      <c r="AI88" s="164"/>
      <c r="AJ88" s="87"/>
      <c r="AK88" s="164"/>
      <c r="AL88" s="87"/>
      <c r="AM88" s="164"/>
      <c r="AN88" s="87"/>
      <c r="AO88" s="164"/>
      <c r="AP88" s="87"/>
      <c r="AQ88" s="164"/>
      <c r="AR88" s="87"/>
      <c r="AS88" s="164"/>
      <c r="AT88" s="89"/>
      <c r="AU88" s="164"/>
      <c r="AV88" s="89"/>
      <c r="AW88" s="164"/>
      <c r="AX88" s="89"/>
      <c r="AY88" s="164"/>
      <c r="AZ88" s="89"/>
      <c r="BA88" s="164"/>
      <c r="BB88" s="89"/>
      <c r="BC88" s="164"/>
      <c r="BD88" s="89"/>
      <c r="BE88" s="164"/>
      <c r="BF88" s="89"/>
      <c r="BG88" s="164"/>
      <c r="BH88" s="89"/>
      <c r="BI88" s="164"/>
      <c r="BJ88" s="89"/>
      <c r="BK88" s="164"/>
      <c r="BL88" s="89"/>
      <c r="BM88" s="164"/>
      <c r="BN88" s="89"/>
      <c r="BO88" s="164"/>
      <c r="BP88" s="89"/>
      <c r="BQ88" s="164"/>
      <c r="BR88" s="89"/>
      <c r="BS88" s="164"/>
      <c r="BT88" s="89"/>
      <c r="BU88" s="164"/>
      <c r="BV88" s="89"/>
      <c r="BW88" s="164"/>
      <c r="BX88" s="89"/>
      <c r="BY88" s="164"/>
      <c r="BZ88" s="89"/>
      <c r="CA88" s="164"/>
      <c r="CB88" s="89"/>
      <c r="CC88" s="164"/>
      <c r="CD88" s="89"/>
      <c r="CE88" s="164"/>
      <c r="CF88" s="89"/>
      <c r="CG88" s="164"/>
      <c r="CH88" s="89"/>
      <c r="CI88" s="164"/>
      <c r="CJ88" s="89"/>
      <c r="CK88" s="164"/>
      <c r="CL88" s="89"/>
      <c r="CM88" s="164"/>
      <c r="CN88" s="89"/>
      <c r="CO88" s="164"/>
      <c r="CP88" s="89"/>
      <c r="CQ88" s="164"/>
      <c r="CR88" s="89"/>
      <c r="CS88" s="164"/>
      <c r="CT88" s="89"/>
      <c r="CU88" s="164"/>
      <c r="CV88" s="89"/>
      <c r="CW88" s="164"/>
      <c r="CX88" s="89"/>
      <c r="CY88" s="164"/>
      <c r="CZ88" s="89"/>
      <c r="DA88" s="164"/>
      <c r="DB88" s="89"/>
      <c r="DC88" s="164"/>
      <c r="DD88" s="89"/>
      <c r="DE88" s="164"/>
      <c r="DF88" s="89"/>
      <c r="DG88" s="164"/>
      <c r="DH88" s="89"/>
      <c r="DI88" s="164"/>
      <c r="DJ88" s="89"/>
      <c r="DK88" s="164"/>
      <c r="DL88" s="89"/>
      <c r="DM88" s="164"/>
      <c r="DN88" s="89"/>
      <c r="DO88" s="164"/>
      <c r="DP88" s="89"/>
      <c r="DQ88" s="164"/>
      <c r="DR88" s="89"/>
      <c r="DS88" s="164"/>
      <c r="DT88" s="89"/>
      <c r="DU88" s="164"/>
      <c r="DV88" s="89"/>
      <c r="DW88" s="164"/>
      <c r="DX88" s="89"/>
      <c r="DY88" s="164"/>
      <c r="DZ88" s="89"/>
      <c r="EA88" s="164"/>
      <c r="EB88" s="89"/>
      <c r="EC88" s="164"/>
      <c r="ED88" s="89"/>
      <c r="EE88" s="164"/>
      <c r="EF88" s="89"/>
      <c r="EG88" s="164"/>
      <c r="EH88" s="89"/>
      <c r="EI88" s="164"/>
      <c r="EJ88" s="89"/>
      <c r="EK88" s="164">
        <f t="shared" ref="EK88:EQ88" si="358">IF($B$6=1,EK87,IF($B$6=2,EK87+EK608,IF($B$6=3,EK87+EK609)))</f>
        <v>71.099999999999994</v>
      </c>
      <c r="EL88" s="89"/>
      <c r="EM88" s="164">
        <f t="shared" si="358"/>
        <v>71.099999999999994</v>
      </c>
      <c r="EN88" s="89"/>
      <c r="EO88" s="164">
        <f t="shared" si="358"/>
        <v>71.099999999999994</v>
      </c>
      <c r="EP88" s="89"/>
      <c r="EQ88" s="164">
        <f t="shared" si="358"/>
        <v>71.099999999999994</v>
      </c>
      <c r="ER88" s="89"/>
      <c r="ES88" s="162"/>
      <c r="ET88" s="466"/>
      <c r="EU88" s="162"/>
      <c r="EV88" s="90"/>
      <c r="EW88" s="87"/>
      <c r="EX88" s="90"/>
      <c r="EY88" s="87"/>
      <c r="EZ88" s="163"/>
      <c r="FA88" s="87"/>
      <c r="FB88" s="158"/>
      <c r="FC88" s="87"/>
      <c r="FD88" s="158"/>
      <c r="FE88" s="87"/>
      <c r="FF88" s="158"/>
      <c r="FG88" s="87"/>
      <c r="FH88" s="158"/>
      <c r="FI88" s="87"/>
      <c r="FJ88" s="158"/>
      <c r="FK88" s="87"/>
      <c r="FL88" s="158"/>
      <c r="FM88" s="87"/>
      <c r="FN88" s="158"/>
      <c r="FO88" s="87"/>
      <c r="FP88" s="164"/>
      <c r="FQ88" s="87"/>
      <c r="FR88" s="164"/>
      <c r="FS88" s="87"/>
      <c r="FT88" s="164"/>
      <c r="FU88" s="87"/>
      <c r="FV88" s="164"/>
      <c r="FW88" s="87"/>
      <c r="FX88" s="164"/>
      <c r="FY88" s="87"/>
      <c r="FZ88" s="164"/>
      <c r="GA88" s="87"/>
      <c r="GB88" s="164"/>
      <c r="GC88" s="87"/>
      <c r="GD88" s="164"/>
      <c r="GE88" s="87"/>
      <c r="GF88" s="164"/>
      <c r="GG88" s="87"/>
      <c r="GH88" s="164"/>
      <c r="GI88" s="87"/>
      <c r="GJ88" s="164"/>
      <c r="GK88" s="87"/>
      <c r="GL88" s="164">
        <f>IF($B$6=1,GL87,IF($B$6=2,GL87+GL608,IF($B$6=3,GL87+GL609)))</f>
        <v>71.099999999999994</v>
      </c>
      <c r="GM88" s="87"/>
      <c r="GN88" s="164">
        <f>IF($B$6=1,GN87,IF($B$6=2,GN87+GN608,IF($B$6=3,GN87+GN609)))</f>
        <v>71.099999999999994</v>
      </c>
      <c r="GO88" s="87"/>
      <c r="GP88" s="164">
        <f>IF($B$6=1,GP87,IF($B$6=2,GP87+GP608,IF($B$6=3,GP87+GP609)))</f>
        <v>71</v>
      </c>
      <c r="GQ88" s="87"/>
      <c r="GR88" s="164">
        <f>IF($B$6=1,GR87,IF($B$6=2,GR87+GR608,IF($B$6=3,GR87+GR609)))</f>
        <v>71</v>
      </c>
      <c r="GS88" s="87"/>
      <c r="GT88" s="87"/>
      <c r="GU88" s="562"/>
      <c r="GV88" s="562"/>
      <c r="GW88"/>
      <c r="GX88"/>
      <c r="GY88"/>
      <c r="GZ88"/>
      <c r="HA88"/>
      <c r="HB88"/>
      <c r="HC88" s="562"/>
      <c r="HD88" s="562"/>
      <c r="HE88" s="562"/>
      <c r="HF88" s="562"/>
      <c r="HG88" s="562"/>
      <c r="HH88" s="562"/>
      <c r="HI88" s="562"/>
      <c r="HJ88" s="562"/>
      <c r="HK88" s="562"/>
      <c r="HL88" s="562"/>
      <c r="HM88" s="562"/>
      <c r="HN88" s="562"/>
      <c r="HO88" s="562"/>
      <c r="HP88" s="562"/>
      <c r="HQ88" s="562"/>
      <c r="HR88" s="562"/>
      <c r="HS88" s="562"/>
      <c r="HT88" s="562"/>
      <c r="HU88" s="562"/>
      <c r="HV88" s="562"/>
      <c r="HW88" s="562"/>
      <c r="HX88" s="562"/>
      <c r="HY88" s="562"/>
      <c r="HZ88" s="562"/>
      <c r="IA88" s="562"/>
      <c r="IB88" s="562"/>
      <c r="IC88" s="562"/>
      <c r="ID88" s="562"/>
      <c r="IE88" s="562"/>
      <c r="IF88" s="562"/>
      <c r="IG88" s="562"/>
      <c r="IH88" s="562"/>
      <c r="II88" s="562"/>
      <c r="IJ88" s="562"/>
      <c r="IK88" s="562"/>
      <c r="IL88" s="562"/>
      <c r="IM88" s="562"/>
      <c r="IN88" s="562"/>
      <c r="IO88" s="562"/>
      <c r="IP88" s="562"/>
      <c r="IQ88" s="562"/>
      <c r="IR88" s="562"/>
      <c r="IS88" s="562"/>
      <c r="IT88" s="562"/>
      <c r="IU88" s="562"/>
      <c r="IV88" s="562"/>
      <c r="IW88" s="562"/>
      <c r="IX88" s="562"/>
      <c r="IY88" s="562"/>
      <c r="IZ88" s="562"/>
      <c r="JA88" s="562"/>
      <c r="JB88" s="562"/>
      <c r="JC88" s="562"/>
      <c r="JD88" s="562"/>
      <c r="JE88" s="562"/>
      <c r="JF88" s="562"/>
      <c r="JG88" s="562"/>
      <c r="JH88" s="562"/>
      <c r="JI88" s="562"/>
      <c r="JJ88" s="562"/>
      <c r="JK88" s="562"/>
      <c r="JL88" s="562"/>
      <c r="JM88" s="562"/>
      <c r="JN88" s="562"/>
      <c r="JO88" s="562"/>
      <c r="JP88" s="562"/>
      <c r="JQ88" s="562"/>
      <c r="JR88" s="562"/>
      <c r="JS88" s="562"/>
      <c r="JT88" s="562"/>
      <c r="JU88" s="562"/>
      <c r="JV88" s="562"/>
      <c r="JW88" s="562"/>
      <c r="JX88" s="562"/>
      <c r="JY88" s="562"/>
      <c r="JZ88" s="562"/>
    </row>
    <row r="89" spans="1:286" s="132" customFormat="1" ht="12.75" customHeight="1" collapsed="1" x14ac:dyDescent="0.2">
      <c r="A89" s="133"/>
      <c r="B89" s="10" t="s">
        <v>45</v>
      </c>
      <c r="C89" s="79"/>
      <c r="D89" s="79"/>
      <c r="E89" s="103"/>
      <c r="F89" s="95"/>
      <c r="G89" s="103"/>
      <c r="H89" s="95"/>
      <c r="I89" s="103"/>
      <c r="J89" s="95"/>
      <c r="K89" s="103"/>
      <c r="L89" s="79"/>
      <c r="M89" s="103"/>
      <c r="N89" s="79"/>
      <c r="O89" s="103"/>
      <c r="P89" s="79"/>
      <c r="Q89" s="103"/>
      <c r="R89" s="79"/>
      <c r="S89" s="103"/>
      <c r="T89" s="79"/>
      <c r="U89" s="103"/>
      <c r="V89" s="79"/>
      <c r="W89" s="103"/>
      <c r="X89" s="79"/>
      <c r="Y89" s="103"/>
      <c r="Z89" s="79"/>
      <c r="AA89" s="166"/>
      <c r="AB89" s="79"/>
      <c r="AC89" s="103">
        <f>+AC82/AC75*100</f>
        <v>6.623156876963983</v>
      </c>
      <c r="AD89" s="79" t="str">
        <f>IF(ISERROR((AC89/U89-1)*100),"NA",IF(((AC89/U89-1)*100)&gt;100,"NM",IF(((AC89/U89-1)*100)&lt;-50,"NM",(AC89/U89-1)*100)))</f>
        <v>NA</v>
      </c>
      <c r="AE89" s="103">
        <f>+AE82/AE75*100</f>
        <v>6.6019417475728144</v>
      </c>
      <c r="AF89" s="79" t="str">
        <f>IF(ISERROR((AE89/W89-1)*100),"NA",IF(((AE89/W89-1)*100)&gt;100,"NM",IF(((AE89/W89-1)*100)&lt;-50,"NM",(AE89/W89-1)*100)))</f>
        <v>NA</v>
      </c>
      <c r="AG89" s="103">
        <f>+AG82/AG75*100</f>
        <v>6.3519959829274413</v>
      </c>
      <c r="AH89" s="79" t="str">
        <f>IF(ISERROR((AG89/Y89-1)*100),"NA",IF(((AG89/Y89-1)*100)&gt;100,"NM",IF(((AG89/Y89-1)*100)&lt;-50,"NM",(AG89/Y89-1)*100)))</f>
        <v>NA</v>
      </c>
      <c r="AI89" s="103">
        <f>+AI82/AI75*100</f>
        <v>6.5848773159739595</v>
      </c>
      <c r="AJ89" s="79" t="str">
        <f>IF(ISERROR((AI89/AA89-1)*100),"NA",IF(((AI89/AA89-1)*100)&gt;100,"NM",IF(((AI89/AA89-1)*100)&lt;-50,"NM",(AI89/AA89-1)*100)))</f>
        <v>NA</v>
      </c>
      <c r="AK89" s="103">
        <f>+AK82/AK75*100</f>
        <v>6.8704354882337029</v>
      </c>
      <c r="AL89" s="79">
        <f>IF(ISERROR((AK89/AC89-1)*100),"NA",IF(((AK89/AC89-1)*100)&gt;100,"NM",IF(((AK89/AC89-1)*100)&lt;-50,"NM",(AK89/AC89-1)*100)))</f>
        <v>3.7335460394993802</v>
      </c>
      <c r="AM89" s="103">
        <f>+AM82/AM75*100</f>
        <v>8.2907133243607003</v>
      </c>
      <c r="AN89" s="79">
        <f>IF(ISERROR((AM89/AE89-1)*100),"NA",IF(((AM89/AE89-1)*100)&gt;100,"NM",IF(((AM89/AE89-1)*100)&lt;-50,"NM",(AM89/AE89-1)*100)))</f>
        <v>25.579922413110623</v>
      </c>
      <c r="AO89" s="103">
        <f>+AO82/AO75*100</f>
        <v>5.8162405169991569</v>
      </c>
      <c r="AP89" s="79">
        <f>IF(ISERROR((AO89/AG89-1)*100),"NA",IF(((AO89/AG89-1)*100)&gt;100,"NM",IF(((AO89/AG89-1)*100)&lt;-50,"NM",(AO89/AG89-1)*100)))</f>
        <v>-8.4344427699302607</v>
      </c>
      <c r="AQ89" s="103">
        <f>+AQ82/AQ75*100</f>
        <v>5.7088227260311379</v>
      </c>
      <c r="AR89" s="79">
        <f>IF(ISERROR((AQ89/AI89-1)*100),"NA",IF(((AQ89/AI89-1)*100)&gt;100,"NM",IF(((AQ89/AI89-1)*100)&lt;-50,"NM",(AQ89/AI89-1)*100)))</f>
        <v>-13.304038145367414</v>
      </c>
      <c r="AS89" s="103">
        <f>+AS82/AS75*100</f>
        <v>6.4102564102564097</v>
      </c>
      <c r="AT89" s="81">
        <f>IF(ISERROR((AS89/AK89-1)*100),"NA",IF(((AS89/AK89-1)*100)&gt;100,"NM",IF(((AS89/AK89-1)*100)&lt;-50,"NM",(AS89/AK89-1)*100)))</f>
        <v>-6.6979608318191053</v>
      </c>
      <c r="AU89" s="103">
        <f>+AU82/AU75*100</f>
        <v>6.3900414937759349</v>
      </c>
      <c r="AV89" s="81">
        <f>IF(ISERROR((AU89/AM89-1)*100),"NA",IF(((AU89/AM89-1)*100)&gt;100,"NM",IF(((AU89/AM89-1)*100)&lt;-50,"NM",(AU89/AM89-1)*100)))</f>
        <v>-22.925311203319488</v>
      </c>
      <c r="AW89" s="103">
        <f>+AW82/AW75*100</f>
        <v>6.3520871143375679</v>
      </c>
      <c r="AX89" s="81">
        <f>IF(ISERROR((AW89/AO89-1)*100),"NA",IF(((AW89/AO89-1)*100)&gt;100,"NM",IF(((AW89/AO89-1)*100)&lt;-50,"NM",(AW89/AO89-1)*100)))</f>
        <v>9.2129373909536572</v>
      </c>
      <c r="AY89" s="103">
        <f>+AY82/AY75*100</f>
        <v>6.5940366972477058</v>
      </c>
      <c r="AZ89" s="81">
        <f>IF(ISERROR((AY89/AQ89-1)*100),"NA",IF(((AY89/AQ89-1)*100)&gt;100,"NM",IF(((AY89/AQ89-1)*100)&lt;-50,"NM",(AY89/AQ89-1)*100)))</f>
        <v>15.506068653702654</v>
      </c>
      <c r="BA89" s="103">
        <f>+BA82/BA75*100</f>
        <v>7.2158365261813548</v>
      </c>
      <c r="BB89" s="81">
        <f>IF(ISERROR((BA89/AS89-1)*100),"NA",IF(((BA89/AS89-1)*100)&gt;100,"NM",IF(((BA89/AS89-1)*100)&lt;-50,"NM",(BA89/AS89-1)*100)))</f>
        <v>12.567049808429154</v>
      </c>
      <c r="BC89" s="103">
        <f>+BC82/BC75*100</f>
        <v>7.2768434670116431</v>
      </c>
      <c r="BD89" s="81">
        <f>IF(ISERROR((BC89/AU89-1)*100),"NA",IF(((BC89/AU89-1)*100)&gt;100,"NM",IF(((BC89/AU89-1)*100)&lt;-50,"NM",(BC89/AU89-1)*100)))</f>
        <v>13.87787503570166</v>
      </c>
      <c r="BE89" s="103">
        <f>+BE82/BE75*100</f>
        <v>6.847545219638242</v>
      </c>
      <c r="BF89" s="81">
        <f>IF(ISERROR((BE89/AW89-1)*100),"NA",IF(((BE89/AW89-1)*100)&gt;100,"NM",IF(((BE89/AW89-1)*100)&lt;-50,"NM",(BE89/AW89-1)*100)))</f>
        <v>7.7999261720191893</v>
      </c>
      <c r="BG89" s="103">
        <f>+BG82/BG75*100</f>
        <v>7.3107049608355092</v>
      </c>
      <c r="BH89" s="81">
        <f>IF(ISERROR((BG89/AY89-1)*100),"NA",IF(((BG89/AY89-1)*100)&gt;100,"NM",IF(((BG89/AY89-1)*100)&lt;-50,"NM",(BG89/AY89-1)*100)))</f>
        <v>10.868430014757656</v>
      </c>
      <c r="BI89" s="103">
        <f>+BI82/BI75*100</f>
        <v>7.3871409028727779</v>
      </c>
      <c r="BJ89" s="81">
        <f>IF(ISERROR((BI89/BA89-1)*100),"NA",IF(((BI89/BA89-1)*100)&gt;100,"NM",IF(((BI89/BA89-1)*100)&lt;-50,"NM",(BI89/BA89-1)*100)))</f>
        <v>2.3740057867147613</v>
      </c>
      <c r="BK89" s="103">
        <f>+BK82/BK75*100</f>
        <v>6.9194943446440451</v>
      </c>
      <c r="BL89" s="81">
        <f>IF(ISERROR((BK89/BC89-1)*100),"NA",IF(((BK89/BC89-1)*100)&gt;100,"NM",IF(((BK89/BC89-1)*100)&lt;-50,"NM",(BK89/BC89-1)*100)))</f>
        <v>-4.9107710504916131</v>
      </c>
      <c r="BM89" s="103">
        <f>+BM82/BM75*100</f>
        <v>7.0596070596070595</v>
      </c>
      <c r="BN89" s="81">
        <f>IF(ISERROR((BM89/BE89-1)*100),"NA",IF(((BM89/BE89-1)*100)&gt;100,"NM",IF(((BM89/BE89-1)*100)&lt;-50,"NM",(BM89/BE89-1)*100)))</f>
        <v>3.0969030969031142</v>
      </c>
      <c r="BO89" s="103">
        <f>+BO82/BO75*100</f>
        <v>7.3375967687647261</v>
      </c>
      <c r="BP89" s="81">
        <f>IF(ISERROR((BO89/BG89-1)*100),"NA",IF(((BO89/BG89-1)*100)&gt;100,"NM",IF(((BO89/BG89-1)*100)&lt;-50,"NM",(BO89/BG89-1)*100)))</f>
        <v>0.36784151560320666</v>
      </c>
      <c r="BQ89" s="103">
        <f>+BQ82/BQ75*100</f>
        <v>7.4305555555555554</v>
      </c>
      <c r="BR89" s="81">
        <f>IF(ISERROR((BQ89/BI89-1)*100),"NA",IF(((BQ89/BI89-1)*100)&gt;100,"NM",IF(((BQ89/BI89-1)*100)&lt;-50,"NM",(BQ89/BI89-1)*100)))</f>
        <v>0.58770576131685903</v>
      </c>
      <c r="BS89" s="103">
        <f>+BS82/BS75*100</f>
        <v>7.4366004112405752</v>
      </c>
      <c r="BT89" s="81">
        <f>IF(ISERROR((BS89/BK89-1)*100),"NA",IF(((BS89/BK89-1)*100)&gt;100,"NM",IF(((BS89/BK89-1)*100)&lt;-50,"NM",(BS89/BK89-1)*100)))</f>
        <v>7.4731770970633216</v>
      </c>
      <c r="BU89" s="103">
        <f>+BU82/BU75*100</f>
        <v>7.259713701431493</v>
      </c>
      <c r="BV89" s="81">
        <f>IF(ISERROR((BU89/BM89-1)*100),"NA",IF(((BU89/BM89-1)*100)&gt;100,"NM",IF(((BU89/BM89-1)*100)&lt;-50,"NM",(BU89/BM89-1)*100)))</f>
        <v>2.83452945942817</v>
      </c>
      <c r="BW89" s="103">
        <f>+BW82/BW75*100</f>
        <v>7.2563925362819637</v>
      </c>
      <c r="BX89" s="81">
        <f>IF(ISERROR((BW89/BO89-1)*100),"NA",IF(((BW89/BO89-1)*100)&gt;100,"NM",IF(((BW89/BO89-1)*100)&lt;-50,"NM",(BW89/BO89-1)*100)))</f>
        <v>-1.1066870399370932</v>
      </c>
      <c r="BY89" s="103">
        <f>+BY82/BY75*100</f>
        <v>7.5312394461330632</v>
      </c>
      <c r="BZ89" s="81">
        <f>IF(ISERROR((BY89/BQ89-1)*100),"NA",IF(((BY89/BQ89-1)*100)&gt;100,"NM",IF(((BY89/BQ89-1)*100)&lt;-50,"NM",(BY89/BQ89-1)*100)))</f>
        <v>1.3549981535664557</v>
      </c>
      <c r="CA89" s="103">
        <f>+CA82/CA75*100</f>
        <v>7.188444743029895</v>
      </c>
      <c r="CB89" s="81">
        <f>IF(ISERROR((CA89/BS89-1)*100),"NA",IF(((CA89/BS89-1)*100)&gt;100,"NM",IF(((CA89/BS89-1)*100)&lt;-50,"NM",(CA89/BS89-1)*100)))</f>
        <v>-3.3369504140035255</v>
      </c>
      <c r="CC89" s="103">
        <f>+CC82/CC75*100</f>
        <v>7.3999999999999995</v>
      </c>
      <c r="CD89" s="81">
        <f>IF(ISERROR((CC89/BU89-1)*100),"NA",IF(((CC89/BU89-1)*100)&gt;100,"NM",IF(((CC89/BU89-1)*100)&lt;-50,"NM",(CC89/BU89-1)*100)))</f>
        <v>1.9323943661971654</v>
      </c>
      <c r="CE89" s="103">
        <f>+CE82/CE75*100</f>
        <v>7.73298083278255</v>
      </c>
      <c r="CF89" s="81">
        <f>IF(ISERROR((CE89/BW89-1)*100),"NA",IF(((CE89/BW89-1)*100)&gt;100,"NM",IF(((CE89/BW89-1)*100)&lt;-50,"NM",(CE89/BW89-1)*100)))</f>
        <v>6.5678406193937944</v>
      </c>
      <c r="CG89" s="103">
        <f>+CG82/CG75*100</f>
        <v>7.8202995008319469</v>
      </c>
      <c r="CH89" s="81">
        <f>IF(ISERROR((CG89/BY89-1)*100),"NA",IF(((CG89/BY89-1)*100)&gt;100,"NM",IF(((CG89/BY89-1)*100)&lt;-50,"NM",(CG89/BY89-1)*100)))</f>
        <v>3.8381471836923531</v>
      </c>
      <c r="CI89" s="103">
        <f>+CI82/CI75*100</f>
        <v>7.7715044835602782</v>
      </c>
      <c r="CJ89" s="81">
        <f>IF(ISERROR((CI89/CA89-1)*100),"NA",IF(((CI89/CA89-1)*100)&gt;100,"NM",IF(((CI89/CA89-1)*100)&lt;-50,"NM",(CI89/CA89-1)*100)))</f>
        <v>8.1110693811165859</v>
      </c>
      <c r="CK89" s="103">
        <f>+CK82/CK75*100</f>
        <v>7.9266295447101207</v>
      </c>
      <c r="CL89" s="81">
        <f>IF(ISERROR((CK89/CC89-1)*100),"NA",IF(((CK89/CC89-1)*100)&gt;100,"NM",IF(((CK89/CC89-1)*100)&lt;-50,"NM",(CK89/CC89-1)*100)))</f>
        <v>7.1166154690556871</v>
      </c>
      <c r="CM89" s="103">
        <f>+CM82/CM75*100</f>
        <v>7.8964401294498376</v>
      </c>
      <c r="CN89" s="81">
        <f>IF(ISERROR((CM89/CE89-1)*100),"NA",IF(((CM89/CE89-1)*100)&gt;100,"NM",IF(((CM89/CE89-1)*100)&lt;-50,"NM",(CM89/CE89-1)*100)))</f>
        <v>2.1137941526291115</v>
      </c>
      <c r="CO89" s="103">
        <f>+CO82/CO75*100</f>
        <v>8.1391736564150357</v>
      </c>
      <c r="CP89" s="155">
        <f>IF(ISERROR((CO89/CG89-1)*100),"NA",IF(((CO89/CG89-1)*100)&gt;100,"NM",IF(((CO89/CG89-1)*100)&lt;-50,"NM",(CO89/CG89-1)*100)))</f>
        <v>4.077518457562479</v>
      </c>
      <c r="CQ89" s="103">
        <f>+CQ82/CQ75*100</f>
        <v>8.021059151440074</v>
      </c>
      <c r="CR89" s="155">
        <f>IF(ISERROR((CQ89/CI89-1)*100),"NA",IF(((CQ89/CI89-1)*100)&gt;100,"NM",IF(((CQ89/CI89-1)*100)&lt;-50,"NM",(CQ89/CI89-1)*100)))</f>
        <v>3.2111500213079625</v>
      </c>
      <c r="CS89" s="103">
        <f>+CS82/CS75*100</f>
        <v>7.9938744257274124</v>
      </c>
      <c r="CT89" s="155">
        <f>IF(ISERROR((CS89/CK89-1)*100),"NA",IF(((CS89/CK89-1)*100)&gt;100,"NM",IF(((CS89/CK89-1)*100)&lt;-50,"NM",(CS89/CK89-1)*100)))</f>
        <v>0.84834141217269288</v>
      </c>
      <c r="CU89" s="103">
        <f>+CU82/CU75*100</f>
        <v>8.0956761729530804</v>
      </c>
      <c r="CV89" s="81">
        <f>IF(ISERROR((CU89/CM89-1)*100),"NA",IF(((CU89/CM89-1)*100)&gt;100,"NM",IF(((CU89/CM89-1)*100)&lt;-50,"NM",(CU89/CM89-1)*100)))</f>
        <v>2.5231121902664855</v>
      </c>
      <c r="CW89" s="103">
        <f>+CW82/CW75*100</f>
        <v>8.5259681777244065</v>
      </c>
      <c r="CX89" s="81">
        <f>IF(ISERROR((CW89/CO89-1)*100),"NA",IF(((CW89/CO89-1)*100)&gt;100,"NM",IF(((CW89/CO89-1)*100)&lt;-50,"NM",(CW89/CO89-1)*100)))</f>
        <v>4.7522578782246638</v>
      </c>
      <c r="CY89" s="103">
        <f>+CY82/CY75*100</f>
        <v>8.148591971240263</v>
      </c>
      <c r="CZ89" s="81">
        <f>IF(ISERROR((CY89/CQ89-1)*100),"NA",IF(((CY89/CQ89-1)*100)&gt;100,"NM",IF(((CY89/CQ89-1)*100)&lt;-50,"NM",(CY89/CQ89-1)*100)))</f>
        <v>1.5899748074703179</v>
      </c>
      <c r="DA89" s="103">
        <f>+DA82/DA75*100</f>
        <v>8.16204944891272</v>
      </c>
      <c r="DB89" s="81">
        <f>IF(ISERROR((DA89/CS89-1)*100),"NA",IF(((DA89/CS89-1)*100)&gt;100,"NM",IF(((DA89/CS89-1)*100)&lt;-50,"NM",(DA89/CS89-1)*100)))</f>
        <v>2.1037986616859294</v>
      </c>
      <c r="DC89" s="103">
        <f>+DC82/DC75*100</f>
        <v>7.7801141483929106</v>
      </c>
      <c r="DD89" s="81">
        <f>IF(ISERROR((DC89/CU89-1)*100),"NA",IF(((DC89/CU89-1)*100)&gt;100,"NM",IF(((DC89/CU89-1)*100)&lt;-50,"NM",(DC89/CU89-1)*100)))</f>
        <v>-3.8979081897375534</v>
      </c>
      <c r="DE89" s="103">
        <f>+DE82/DE75*100</f>
        <v>8.3700440528634363</v>
      </c>
      <c r="DF89" s="81">
        <f>IF(ISERROR((DE89/CW89-1)*100),"NA",IF(((DE89/CW89-1)*100)&gt;100,"NM",IF(((DE89/CW89-1)*100)&lt;-50,"NM",(DE89/CW89-1)*100)))</f>
        <v>-1.8288142954644093</v>
      </c>
      <c r="DG89" s="103">
        <f>+DG82/DG75*100</f>
        <v>8.1324426372349699</v>
      </c>
      <c r="DH89" s="81">
        <f>IF(ISERROR((DG89/CY89-1)*100),"NA",IF(((DG89/CY89-1)*100)&gt;100,"NM",IF(((DG89/CY89-1)*100)&lt;-50,"NM",(DG89/CY89-1)*100)))</f>
        <v>-0.19818557687377725</v>
      </c>
      <c r="DI89" s="103">
        <f>+DI82/DI75*100</f>
        <v>8.1251794430088999</v>
      </c>
      <c r="DJ89" s="81">
        <f>IF(ISERROR((DI89/DA89-1)*100),"NA",IF(((DI89/DA89-1)*100)&gt;100,"NM",IF(((DI89/DA89-1)*100)&lt;-50,"NM",(DI89/DA89-1)*100)))</f>
        <v>-0.45172485335446266</v>
      </c>
      <c r="DK89" s="103">
        <f>+DK82/DK75*100</f>
        <v>8.0259081948746829</v>
      </c>
      <c r="DL89" s="81">
        <f>IF(ISERROR((DK89/DC89-1)*100),"NA",IF(((DK89/DC89-1)*100)&gt;100,"NM",IF(((DK89/DC89-1)*100)&lt;-50,"NM",(DK89/DC89-1)*100)))</f>
        <v>3.1592601572888901</v>
      </c>
      <c r="DM89" s="103">
        <f>+DM82/DM75*100</f>
        <v>8.2426550598476602</v>
      </c>
      <c r="DN89" s="81">
        <f>IF(ISERROR((DM89/DE89-1)*100),"NA",IF(((DM89/DE89-1)*100)&gt;100,"NM",IF(((DM89/DE89-1)*100)&lt;-50,"NM",(DM89/DE89-1)*100)))</f>
        <v>-1.5219632323463794</v>
      </c>
      <c r="DO89" s="103">
        <f>+DO82/DO75*100</f>
        <v>8.1776333604115887</v>
      </c>
      <c r="DP89" s="81">
        <f>IF(ISERROR((DO89/DG89-1)*100),"NA",IF(((DO89/DG89-1)*100)&gt;100,"NM",IF(((DO89/DG89-1)*100)&lt;-50,"NM",(DO89/DG89-1)*100)))</f>
        <v>0.55568449963250277</v>
      </c>
      <c r="DQ89" s="103">
        <f>+DQ82/DQ75*100</f>
        <v>8.138903960933261</v>
      </c>
      <c r="DR89" s="81">
        <f>IF(ISERROR((DQ89/DI89-1)*100),"NA",IF(((DQ89/DI89-1)*100)&gt;100,"NM",IF(((DQ89/DI89-1)*100)&lt;-50,"NM",(DQ89/DI89-1)*100)))</f>
        <v>0.16891341318214792</v>
      </c>
      <c r="DS89" s="103">
        <f>+DS82/DS75*100</f>
        <v>8.217344753747323</v>
      </c>
      <c r="DT89" s="81">
        <f>IF(ISERROR((DS89/DK89-1)*100),"NA",IF(((DS89/DK89-1)*100)&gt;100,"NM",IF(((DS89/DK89-1)*100)&lt;-50,"NM",(DS89/DK89-1)*100)))</f>
        <v>2.3852323528306796</v>
      </c>
      <c r="DU89" s="103">
        <f>+DU82/DU75*100</f>
        <v>8.3657083657083646</v>
      </c>
      <c r="DV89" s="81">
        <f>IF(ISERROR((DU89/DM89-1)*100),"NA",IF(((DU89/DM89-1)*100)&gt;100,"NM",IF(((DU89/DM89-1)*100)&lt;-50,"NM",(DU89/DM89-1)*100)))</f>
        <v>1.4928843311681428</v>
      </c>
      <c r="DW89" s="103">
        <f>+DW82/DW75*100</f>
        <v>8.0813347236704907</v>
      </c>
      <c r="DX89" s="81">
        <f>IF(ISERROR((DW89/DO89-1)*100),"NA",IF(((DW89/DO89-1)*100)&gt;100,"NM",IF(((DW89/DO89-1)*100)&lt;-50,"NM",(DW89/DO89-1)*100)))</f>
        <v>-1.1775856473009161</v>
      </c>
      <c r="DY89" s="103">
        <f>+DY82/DY75*100</f>
        <v>8.1039361975816835</v>
      </c>
      <c r="DZ89" s="81">
        <f>IF(ISERROR((DY89/DQ89-1)*100),"NA",IF(((DY89/DQ89-1)*100)&gt;100,"NM",IF(((DY89/DQ89-1)*100)&lt;-50,"NM",(DY89/DQ89-1)*100)))</f>
        <v>-0.42963725237971095</v>
      </c>
      <c r="EA89" s="103">
        <f>+EA82/EA75*100</f>
        <v>8.1653483031385559</v>
      </c>
      <c r="EB89" s="81">
        <f>IF(ISERROR((EA89/DS89-1)*100),"NA",IF(((EA89/DS89-1)*100)&gt;100,"NM",IF(((EA89/DS89-1)*100)&lt;-50,"NM",(EA89/DS89-1)*100)))</f>
        <v>-0.63276462369495912</v>
      </c>
      <c r="EC89" s="103">
        <f>+EC82/EC75*100</f>
        <v>8.0613254203758657</v>
      </c>
      <c r="ED89" s="81">
        <f t="shared" ref="ED89:ED90" si="359">IF(ISERROR((EC89/DU89-1)*100),"NA",IF(((EC89/DU89-1)*100)&gt;100,"NM",IF(((EC89/DU89-1)*100)&lt;-50,"NM",(EC89/DU89-1)*100)))</f>
        <v>-3.6384599130921957</v>
      </c>
      <c r="EE89" s="103">
        <f>+EE82/EE75*100</f>
        <v>8.0129805292061906</v>
      </c>
      <c r="EF89" s="81">
        <f t="shared" ref="EF89:EF90" si="360">IF(ISERROR((EE89/DW89-1)*100),"NA",IF(((EE89/DW89-1)*100)&gt;100,"NM",IF(((EE89/DW89-1)*100)&lt;-50,"NM",(EE89/DW89-1)*100)))</f>
        <v>-0.84582803214533486</v>
      </c>
      <c r="EG89" s="103">
        <f>+EG82/EG75*100</f>
        <v>8.177799607072691</v>
      </c>
      <c r="EH89" s="81">
        <f t="shared" ref="EH89:EH90" si="361">IF(ISERROR((EG89/DY89-1)*100),"NA",IF(((EG89/DY89-1)*100)&gt;100,"NM",IF(((EG89/DY89-1)*100)&lt;-50,"NM",(EG89/DY89-1)*100)))</f>
        <v>0.91145102441760883</v>
      </c>
      <c r="EI89" s="103">
        <f>+EI82/EI75*100</f>
        <v>8.2671300893743798</v>
      </c>
      <c r="EJ89" s="81">
        <f t="shared" ref="EJ89:EJ90" si="362">IF(ISERROR((EI89/EA89-1)*100),"NA",IF(((EI89/EA89-1)*100)&gt;100,"NM",IF(((EI89/EA89-1)*100)&lt;-50,"NM",(EI89/EA89-1)*100)))</f>
        <v>1.2465088133068569</v>
      </c>
      <c r="EK89" s="167">
        <f t="shared" ref="EK89:EK90" si="363">EI89</f>
        <v>8.2671300893743798</v>
      </c>
      <c r="EL89" s="81">
        <f t="shared" ref="EL89:EL90" si="364">IF(ISERROR((EK89/EC89-1)*100),"NA",IF(((EK89/EC89-1)*100)&gt;100,"NM",IF(((EK89/EC89-1)*100)&lt;-50,"NM",(EK89/EC89-1)*100)))</f>
        <v>2.5529879798465993</v>
      </c>
      <c r="EM89" s="167">
        <f t="shared" ref="EM89:EM90" si="365">EK89</f>
        <v>8.2671300893743798</v>
      </c>
      <c r="EN89" s="81">
        <f t="shared" ref="EN89:EN90" si="366">IF(ISERROR((EM89/EE89-1)*100),"NA",IF(((EM89/EE89-1)*100)&gt;100,"NM",IF(((EM89/EE89-1)*100)&lt;-50,"NM",(EM89/EE89-1)*100)))</f>
        <v>3.1717231714447625</v>
      </c>
      <c r="EO89" s="167">
        <f>EM89-0.05</f>
        <v>8.2171300893743791</v>
      </c>
      <c r="EP89" s="81">
        <f t="shared" ref="EP89:EP90" si="367">IF(ISERROR((EO89/EG89-1)*100),"NA",IF(((EO89/EG89-1)*100)&gt;100,"NM",IF(((EO89/EG89-1)*100)&lt;-50,"NM",(EO89/EG89-1)*100)))</f>
        <v>0.48094211391134234</v>
      </c>
      <c r="EQ89" s="167">
        <f>EO89-0.05</f>
        <v>8.1671300893743783</v>
      </c>
      <c r="ER89" s="81">
        <f t="shared" ref="ER89:ER90" si="368">IF(ISERROR((EQ89/EI89-1)*100),"NA",IF(((EQ89/EI89-1)*100)&gt;100,"NM",IF(((EQ89/EI89-1)*100)&lt;-50,"NM",(EQ89/EI89-1)*100)))</f>
        <v>-1.2096096096096298</v>
      </c>
      <c r="ES89" s="129"/>
      <c r="ET89" s="469"/>
      <c r="EU89" s="129"/>
      <c r="EV89" s="95"/>
      <c r="EW89" s="79"/>
      <c r="EX89" s="95"/>
      <c r="EY89" s="79"/>
      <c r="EZ89" s="131"/>
      <c r="FA89" s="79"/>
      <c r="FB89" s="103"/>
      <c r="FC89" s="79"/>
      <c r="FD89" s="103">
        <f>+FD82/FD75*100</f>
        <v>7.2153396003237251</v>
      </c>
      <c r="FE89" s="79" t="str">
        <f>IF(ISERROR((FD89/FB89-1)*100),"NA",IF(((FD89/FB89-1)*100)&gt;100,"NM",IF(((FD89/FB89-1)*100)&lt;-50,"NM",(FD89/FB89-1)*100)))</f>
        <v>NA</v>
      </c>
      <c r="FF89" s="103">
        <f>+FF82/FF75*100</f>
        <v>6.8094321462945135</v>
      </c>
      <c r="FG89" s="79">
        <f>IF(ISERROR((FF89/FD89-1)*100),"NA",IF(((FF89/FD89-1)*100)&gt;100,"NM",IF(((FF89/FD89-1)*100)&lt;-50,"NM",(FF89/FD89-1)*100)))</f>
        <v>-5.6256181484652501</v>
      </c>
      <c r="FH89" s="103">
        <f>+FH82/FH75*100</f>
        <v>6.5418257977085128</v>
      </c>
      <c r="FI89" s="79">
        <f>IF(ISERROR((FH89/FF89-1)*100),"NA",IF(((FH89/FF89-1)*100)&gt;100,"NM",IF(((FH89/FF89-1)*100)&lt;-50,"NM",(FH89/FF89-1)*100)))</f>
        <v>-3.9299363417788613</v>
      </c>
      <c r="FJ89" s="103">
        <f>+FJ82/FJ75*100</f>
        <v>6.6839803171131766</v>
      </c>
      <c r="FK89" s="79">
        <f>IF(ISERROR((FJ89/FH89-1)*100),"NA",IF(((FJ89/FH89-1)*100)&gt;100,"NM",IF(((FJ89/FH89-1)*100)&lt;-50,"NM",(FJ89/FH89-1)*100)))</f>
        <v>2.1730098568882417</v>
      </c>
      <c r="FL89" s="103">
        <f>+FL82/FL75*100</f>
        <v>6.4370936629277704</v>
      </c>
      <c r="FM89" s="79">
        <f>IF(ISERROR((FL89/FJ89-1)*100),"NA",IF(((FL89/FJ89-1)*100)&gt;100,"NM",IF(((FL89/FJ89-1)*100)&lt;-50,"NM",(FL89/FJ89-1)*100)))</f>
        <v>-3.6937070797963822</v>
      </c>
      <c r="FN89" s="103">
        <f>+FN82/FN75*100</f>
        <v>7.1624677002583956</v>
      </c>
      <c r="FO89" s="79">
        <f>IF(ISERROR((FN89/FL89-1)*100),"NA",IF(((FN89/FL89-1)*100)&gt;100,"NM",IF(((FN89/FL89-1)*100)&lt;-50,"NM",(FN89/FL89-1)*100)))</f>
        <v>11.268657492249456</v>
      </c>
      <c r="FP89" s="103">
        <f>+FP82/FP75*100</f>
        <v>7.1740591397849469</v>
      </c>
      <c r="FQ89" s="79">
        <f>IF(ISERROR((FP89/FN89-1)*100),"NA",IF(((FP89/FN89-1)*100)&gt;100,"NM",IF(((FP89/FN89-1)*100)&lt;-50,"NM",(FP89/FN89-1)*100)))</f>
        <v>0.16183583663675893</v>
      </c>
      <c r="FR89" s="103">
        <f>+FR82/FR75*100</f>
        <v>7.3456046791673835</v>
      </c>
      <c r="FS89" s="79">
        <f>IF(ISERROR((FR89/FP89-1)*100),"NA",IF(((FR89/FP89-1)*100)&gt;100,"NM",IF(((FR89/FP89-1)*100)&lt;-50,"NM",(FR89/FP89-1)*100)))</f>
        <v>2.3911921555134885</v>
      </c>
      <c r="FT89" s="103">
        <f>+FT82/FT75*100</f>
        <v>7.4640588431962556</v>
      </c>
      <c r="FU89" s="79">
        <f>IF(ISERROR((FT89/FR89-1)*100),"NA",IF(((FT89/FR89-1)*100)&gt;100,"NM",IF(((FT89/FR89-1)*100)&lt;-50,"NM",(FT89/FR89-1)*100)))</f>
        <v>1.6125856100698721</v>
      </c>
      <c r="FV89" s="103">
        <f>+FV82/FV75*100</f>
        <v>7.8542643309482685</v>
      </c>
      <c r="FW89" s="79">
        <f>IF(ISERROR((FV89/FT89-1)*100),"NA",IF(((FV89/FT89-1)*100)&gt;100,"NM",IF(((FV89/FT89-1)*100)&lt;-50,"NM",(FV89/FT89-1)*100)))</f>
        <v>5.2277922233651575</v>
      </c>
      <c r="FX89" s="103">
        <f>+FX82/FX75*100</f>
        <v>8.0622784029597643</v>
      </c>
      <c r="FY89" s="79">
        <f>IF(ISERROR((FX89/FV89-1)*100),"NA",IF(((FX89/FV89-1)*100)&gt;100,"NM",IF(((FX89/FV89-1)*100)&lt;-50,"NM",(FX89/FV89-1)*100)))</f>
        <v>2.6484220959034355</v>
      </c>
      <c r="FZ89" s="103">
        <f>+FZ82/FZ75*100</f>
        <v>8.1542493448146764</v>
      </c>
      <c r="GA89" s="79">
        <f>IF(ISERROR((FZ89/FX89-1)*100),"NA",IF(((FZ89/FX89-1)*100)&gt;100,"NM",IF(((FZ89/FX89-1)*100)&lt;-50,"NM",(FZ89/FX89-1)*100)))</f>
        <v>1.1407562137912386</v>
      </c>
      <c r="GB89" s="103">
        <f>+GB82/GB75*100</f>
        <v>8.1616481774960388</v>
      </c>
      <c r="GC89" s="79">
        <f>IF(ISERROR((GB89/FZ89-1)*100),"NA",IF(((GB89/FZ89-1)*100)&gt;100,"NM",IF(((GB89/FZ89-1)*100)&lt;-50,"NM",(GB89/FZ89-1)*100)))</f>
        <v>9.073591410431181E-2</v>
      </c>
      <c r="GD89" s="103">
        <f>+GD82/GD75*100</f>
        <v>8.1941721317017109</v>
      </c>
      <c r="GE89" s="79">
        <f>IF(ISERROR((GD89/GB89-1)*100),"NA",IF(((GD89/GB89-1)*100)&gt;100,"NM",IF(((GD89/GB89-1)*100)&lt;-50,"NM",(GD89/GB89-1)*100)))</f>
        <v>0.39849738065591556</v>
      </c>
      <c r="GF89" s="103">
        <f>+GF82/GF75*100</f>
        <v>8.1790621170096092</v>
      </c>
      <c r="GG89" s="79">
        <f>IF(ISERROR((GF89/GD89-1)*100),"NA",IF(((GF89/GD89-1)*100)&gt;100,"NM",IF(((GF89/GD89-1)*100)&lt;-50,"NM",(GF89/GD89-1)*100)))</f>
        <v>-0.18439952748422472</v>
      </c>
      <c r="GH89" s="103">
        <f>+GH82/GH75*100</f>
        <v>8.1300309597523235</v>
      </c>
      <c r="GI89" s="79">
        <f>IF(ISERROR((GH89/GF89-1)*100),"NA",IF(((GH89/GF89-1)*100)&gt;100,"NM",IF(((GH89/GF89-1)*100)&lt;-50,"NM",(GH89/GF89-1)*100)))</f>
        <v>-0.59947163324897135</v>
      </c>
      <c r="GJ89" s="103">
        <f>+GJ82/GJ75*100</f>
        <v>8.2295821017582806</v>
      </c>
      <c r="GK89" s="79">
        <f>IF(ISERROR((GJ89/GH89-1)*100),"NA",IF(((GJ89/GH89-1)*100)&gt;100,"NM",IF(((GJ89/GH89-1)*100)&lt;-50,"NM",(GJ89/GH89-1)*100)))</f>
        <v>1.2244866286338141</v>
      </c>
      <c r="GL89" s="105">
        <f>+GJ89</f>
        <v>8.2295821017582806</v>
      </c>
      <c r="GM89" s="79">
        <f>IF(ISERROR((GL89/GJ89-1)*100),"NA",IF(((GL89/GJ89-1)*100)&gt;100,"NM",IF(((GL89/GJ89-1)*100)&lt;-50,"NM",(GL89/GJ89-1)*100)))</f>
        <v>0</v>
      </c>
      <c r="GN89" s="105">
        <f>+GL89</f>
        <v>8.2295821017582806</v>
      </c>
      <c r="GO89" s="79">
        <f>IF(ISERROR((GN89/GL89-1)*100),"NA",IF(((GN89/GL89-1)*100)&gt;100,"NM",IF(((GN89/GL89-1)*100)&lt;-50,"NM",(GN89/GL89-1)*100)))</f>
        <v>0</v>
      </c>
      <c r="GP89" s="105">
        <f>+GN89</f>
        <v>8.2295821017582806</v>
      </c>
      <c r="GQ89" s="79">
        <f>IF(ISERROR((GP89/GN89-1)*100),"NA",IF(((GP89/GN89-1)*100)&gt;100,"NM",IF(((GP89/GN89-1)*100)&lt;-50,"NM",(GP89/GN89-1)*100)))</f>
        <v>0</v>
      </c>
      <c r="GR89" s="105">
        <f>+GP89</f>
        <v>8.2295821017582806</v>
      </c>
      <c r="GS89" s="79">
        <f>IF(ISERROR((GR89/GP89-1)*100),"NA",IF(((GR89/GP89-1)*100)&gt;100,"NM",IF(((GR89/GP89-1)*100)&lt;-50,"NM",(GR89/GP89-1)*100)))</f>
        <v>0</v>
      </c>
      <c r="GT89" s="79">
        <f>IF(ISERROR(((GR89/GH89)^0.2-1)*100),"NA",(IF(OR(((GR89/GH89)^0.2-1)*100&gt;99,((GR89/GH89)^0.2-1)*100&lt;-50),"NM",(((GR89/GH89)^0.2-1)*100))))</f>
        <v>0.24370656946988145</v>
      </c>
      <c r="GU89" s="562"/>
      <c r="GV89" s="562"/>
      <c r="GW89"/>
      <c r="GX89"/>
      <c r="GY89"/>
      <c r="GZ89"/>
      <c r="HA89"/>
      <c r="HB89"/>
      <c r="HC89" s="562"/>
      <c r="HD89" s="562"/>
      <c r="HE89" s="562"/>
      <c r="HF89" s="562"/>
      <c r="HG89" s="562"/>
      <c r="HH89" s="562"/>
      <c r="HI89" s="562"/>
      <c r="HJ89" s="562"/>
      <c r="HK89" s="562"/>
      <c r="HL89" s="562"/>
      <c r="HM89" s="562"/>
      <c r="HN89" s="562"/>
      <c r="HO89" s="562"/>
      <c r="HP89" s="562"/>
      <c r="HQ89" s="562"/>
      <c r="HR89" s="562"/>
      <c r="HS89" s="562"/>
      <c r="HT89" s="562"/>
      <c r="HU89" s="562"/>
      <c r="HV89" s="562"/>
      <c r="HW89" s="562"/>
      <c r="HX89" s="562"/>
      <c r="HY89" s="562"/>
      <c r="HZ89" s="562"/>
      <c r="IA89" s="562"/>
      <c r="IB89" s="562"/>
      <c r="IC89" s="562"/>
      <c r="ID89" s="562"/>
      <c r="IE89" s="562"/>
      <c r="IF89" s="562"/>
      <c r="IG89" s="562"/>
      <c r="IH89" s="562"/>
      <c r="II89" s="562"/>
      <c r="IJ89" s="562"/>
      <c r="IK89" s="562"/>
      <c r="IL89" s="562"/>
      <c r="IM89" s="562"/>
      <c r="IN89" s="562"/>
      <c r="IO89" s="562"/>
      <c r="IP89" s="562"/>
      <c r="IQ89" s="562"/>
      <c r="IR89" s="562"/>
      <c r="IS89" s="562"/>
      <c r="IT89" s="562"/>
      <c r="IU89" s="562"/>
      <c r="IV89" s="562"/>
      <c r="IW89" s="562"/>
      <c r="IX89" s="562"/>
      <c r="IY89" s="562"/>
      <c r="IZ89" s="562"/>
      <c r="JA89" s="562"/>
      <c r="JB89" s="562"/>
      <c r="JC89" s="562"/>
      <c r="JD89" s="562"/>
      <c r="JE89" s="562"/>
      <c r="JF89" s="562"/>
      <c r="JG89" s="562"/>
      <c r="JH89" s="562"/>
      <c r="JI89" s="562"/>
      <c r="JJ89" s="562"/>
      <c r="JK89" s="562"/>
      <c r="JL89" s="562"/>
      <c r="JM89" s="562"/>
      <c r="JN89" s="562"/>
      <c r="JO89" s="562"/>
      <c r="JP89" s="562"/>
      <c r="JQ89" s="562"/>
      <c r="JR89" s="562"/>
      <c r="JS89" s="562"/>
      <c r="JT89" s="562"/>
      <c r="JU89" s="562"/>
      <c r="JV89" s="562"/>
      <c r="JW89" s="562"/>
      <c r="JX89" s="562"/>
      <c r="JY89" s="562"/>
      <c r="JZ89" s="562"/>
    </row>
    <row r="90" spans="1:286" ht="12.75" customHeight="1" x14ac:dyDescent="0.2">
      <c r="A90" s="1"/>
      <c r="B90" s="2" t="s">
        <v>502</v>
      </c>
      <c r="C90" s="3"/>
      <c r="D90" s="3"/>
      <c r="E90" s="103"/>
      <c r="F90" s="93"/>
      <c r="G90" s="103"/>
      <c r="H90" s="93"/>
      <c r="I90" s="103"/>
      <c r="J90" s="93"/>
      <c r="K90" s="103"/>
      <c r="L90" s="79"/>
      <c r="M90" s="103"/>
      <c r="N90" s="79"/>
      <c r="O90" s="103"/>
      <c r="P90" s="79"/>
      <c r="Q90" s="103"/>
      <c r="R90" s="79"/>
      <c r="S90" s="103"/>
      <c r="T90" s="79"/>
      <c r="U90" s="103"/>
      <c r="V90" s="79"/>
      <c r="W90" s="103"/>
      <c r="X90" s="79"/>
      <c r="Y90" s="103"/>
      <c r="Z90" s="79"/>
      <c r="AA90" s="166"/>
      <c r="AB90" s="79"/>
      <c r="AC90" s="103">
        <f>AC84/AC78*100</f>
        <v>11.128526645768023</v>
      </c>
      <c r="AD90" s="79" t="str">
        <f>IF(ISERROR((AC90/U90-1)*100),"NA",IF(((AC90/U90-1)*100)&gt;100,"NM",IF(((AC90/U90-1)*100)&lt;-50,"NM",(AC90/U90-1)*100)))</f>
        <v>NA</v>
      </c>
      <c r="AE90" s="103">
        <f>AE84/AE78*100</f>
        <v>10.424623680071893</v>
      </c>
      <c r="AF90" s="79" t="str">
        <f>IF(ISERROR((AE90/W90-1)*100),"NA",IF(((AE90/W90-1)*100)&gt;100,"NM",IF(((AE90/W90-1)*100)&lt;-50,"NM",(AE90/W90-1)*100)))</f>
        <v>NA</v>
      </c>
      <c r="AG90" s="103">
        <f>AG84/AG78*100</f>
        <v>10.248161764705882</v>
      </c>
      <c r="AH90" s="79" t="str">
        <f>IF(ISERROR((AG90/Y90-1)*100),"NA",IF(((AG90/Y90-1)*100)&gt;100,"NM",IF(((AG90/Y90-1)*100)&lt;-50,"NM",(AG90/Y90-1)*100)))</f>
        <v>NA</v>
      </c>
      <c r="AI90" s="103">
        <f>AI84/AI78*100</f>
        <v>10.387561964849032</v>
      </c>
      <c r="AJ90" s="79" t="str">
        <f>IF(ISERROR((AI90/AA90-1)*100),"NA",IF(((AI90/AA90-1)*100)&gt;100,"NM",IF(((AI90/AA90-1)*100)&lt;-50,"NM",(AI90/AA90-1)*100)))</f>
        <v>NA</v>
      </c>
      <c r="AK90" s="103">
        <f>AK84/AK78*100</f>
        <v>11.452991452991451</v>
      </c>
      <c r="AL90" s="79">
        <f>IF(ISERROR((AK90/AC90-1)*100),"NA",IF(((AK90/AC90-1)*100)&gt;100,"NM",IF(((AK90/AC90-1)*100)&lt;-50,"NM",(AK90/AC90-1)*100)))</f>
        <v>2.9156133381485594</v>
      </c>
      <c r="AM90" s="103">
        <f>AM84/AM78*100</f>
        <v>11.365853658536587</v>
      </c>
      <c r="AN90" s="79">
        <f>IF(ISERROR((AM90/AE90-1)*100),"NA",IF(((AM90/AE90-1)*100)&gt;100,"NM",IF(((AM90/AE90-1)*100)&lt;-50,"NM",(AM90/AE90-1)*100)))</f>
        <v>9.028910849453343</v>
      </c>
      <c r="AO90" s="103">
        <f>AO84/AO78*100</f>
        <v>11.918678526048286</v>
      </c>
      <c r="AP90" s="79">
        <f>IF(ISERROR((AO90/AG90-1)*100),"NA",IF(((AO90/AG90-1)*100)&gt;100,"NM",IF(((AO90/AG90-1)*100)&lt;-50,"NM",(AO90/AG90-1)*100)))</f>
        <v>16.30064785955636</v>
      </c>
      <c r="AQ90" s="103">
        <f>AQ84/AQ78*100</f>
        <v>11.853501608512744</v>
      </c>
      <c r="AR90" s="79">
        <f>IF(ISERROR((AQ90/AI90-1)*100),"NA",IF(((AQ90/AI90-1)*100)&gt;100,"NM",IF(((AQ90/AI90-1)*100)&lt;-50,"NM",(AQ90/AI90-1)*100)))</f>
        <v>14.112451493664956</v>
      </c>
      <c r="AS90" s="103">
        <f>AS84/AS78*100</f>
        <v>11.576542269611576</v>
      </c>
      <c r="AT90" s="81">
        <f>IF(ISERROR((AS90/AK90-1)*100),"NA",IF(((AS90/AK90-1)*100)&gt;100,"NM",IF(((AS90/AK90-1)*100)&lt;-50,"NM",(AS90/AK90-1)*100)))</f>
        <v>1.0787645928772127</v>
      </c>
      <c r="AU90" s="103">
        <f>AU84/AU78*100</f>
        <v>11.674230963187091</v>
      </c>
      <c r="AV90" s="81">
        <f>IF(ISERROR((AU90/AM90-1)*100),"NA",IF(((AU90/AM90-1)*100)&gt;100,"NM",IF(((AU90/AM90-1)*100)&lt;-50,"NM",(AU90/AM90-1)*100)))</f>
        <v>2.7131908778263325</v>
      </c>
      <c r="AW90" s="103">
        <f>AW84/AW78*100</f>
        <v>11.854684512428298</v>
      </c>
      <c r="AX90" s="81">
        <f>IF(ISERROR((AW90/AO90-1)*100),"NA",IF(((AW90/AO90-1)*100)&gt;100,"NM",IF(((AW90/AO90-1)*100)&lt;-50,"NM",(AW90/AO90-1)*100)))</f>
        <v>-0.53692205457281927</v>
      </c>
      <c r="AY90" s="103">
        <f>AY84/AY78*100</f>
        <v>11.186264308012486</v>
      </c>
      <c r="AZ90" s="81">
        <f>IF(ISERROR((AY90/AQ90-1)*100),"NA",IF(((AY90/AQ90-1)*100)&gt;100,"NM",IF(((AY90/AQ90-1)*100)&lt;-50,"NM",(AY90/AQ90-1)*100)))</f>
        <v>-5.6290311718612536</v>
      </c>
      <c r="BA90" s="103">
        <f>BA84/BA78*100</f>
        <v>11.659965537047674</v>
      </c>
      <c r="BB90" s="81">
        <f>IF(ISERROR((BA90/AS90-1)*100),"NA",IF(((BA90/AS90-1)*100)&gt;100,"NM",IF(((BA90/AS90-1)*100)&lt;-50,"NM",(BA90/AS90-1)*100)))</f>
        <v>0.72062335620788343</v>
      </c>
      <c r="BC90" s="103">
        <f>BC84/BC78*100</f>
        <v>11.568570600173961</v>
      </c>
      <c r="BD90" s="81">
        <f>IF(ISERROR((BC90/AU90-1)*100),"NA",IF(((BC90/AU90-1)*100)&gt;100,"NM",IF(((BC90/AU90-1)*100)&lt;-50,"NM",(BC90/AU90-1)*100)))</f>
        <v>-0.90507343349907066</v>
      </c>
      <c r="BE90" s="103">
        <f>BE84/BE78*100</f>
        <v>11.917249417249417</v>
      </c>
      <c r="BF90" s="81">
        <f>IF(ISERROR((BE90/AW90-1)*100),"NA",IF(((BE90/AW90-1)*100)&gt;100,"NM",IF(((BE90/AW90-1)*100)&lt;-50,"NM",(BE90/AW90-1)*100)))</f>
        <v>0.52776524550719461</v>
      </c>
      <c r="BG90" s="103">
        <f>BG84/BG78*100</f>
        <v>12.816735415439009</v>
      </c>
      <c r="BH90" s="81">
        <f>IF(ISERROR((BG90/AY90-1)*100),"NA",IF(((BG90/AY90-1)*100)&gt;100,"NM",IF(((BG90/AY90-1)*100)&lt;-50,"NM",(BG90/AY90-1)*100)))</f>
        <v>14.575653341738493</v>
      </c>
      <c r="BI90" s="103">
        <f>BI84/BI78*100</f>
        <v>13.510178901912399</v>
      </c>
      <c r="BJ90" s="81">
        <f>IF(ISERROR((BI90/BA90-1)*100),"NA",IF(((BI90/BA90-1)*100)&gt;100,"NM",IF(((BI90/BA90-1)*100)&lt;-50,"NM",(BI90/BA90-1)*100)))</f>
        <v>15.868086050391561</v>
      </c>
      <c r="BK90" s="103">
        <f>BK84/BK78*100</f>
        <v>13.715486194477791</v>
      </c>
      <c r="BL90" s="81">
        <f>IF(ISERROR((BK90/BC90-1)*100),"NA",IF(((BK90/BC90-1)*100)&gt;100,"NM",IF(((BK90/BC90-1)*100)&lt;-50,"NM",(BK90/BC90-1)*100)))</f>
        <v>18.558175149759172</v>
      </c>
      <c r="BM90" s="103">
        <f>BM84/BM78*100</f>
        <v>13.415737111848056</v>
      </c>
      <c r="BN90" s="81">
        <f>IF(ISERROR((BM90/BE90-1)*100),"NA",IF(((BM90/BE90-1)*100)&gt;100,"NM",IF(((BM90/BE90-1)*100)&lt;-50,"NM",(BM90/BE90-1)*100)))</f>
        <v>12.574107011888813</v>
      </c>
      <c r="BO90" s="103">
        <f>BO84/BO78*100</f>
        <v>13.986650485436893</v>
      </c>
      <c r="BP90" s="81">
        <f>IF(ISERROR((BO90/BG90-1)*100),"NA",IF(((BO90/BG90-1)*100)&gt;100,"NM",IF(((BO90/BG90-1)*100)&lt;-50,"NM",(BO90/BG90-1)*100)))</f>
        <v>9.1280270059145288</v>
      </c>
      <c r="BQ90" s="103">
        <f>BQ84/BQ78*100</f>
        <v>15.336463223787167</v>
      </c>
      <c r="BR90" s="155">
        <f>IF(ISERROR((BQ90/BI90-1)*100),"NA",IF(((BQ90/BI90-1)*100)&gt;100,"NM",IF(((BQ90/BI90-1)*100)&lt;-50,"NM",(BQ90/BI90-1)*100)))</f>
        <v>13.517839660999996</v>
      </c>
      <c r="BS90" s="103">
        <f>BS84/BS78*100</f>
        <v>15.100154083204927</v>
      </c>
      <c r="BT90" s="155">
        <f>IF(ISERROR((BS90/BK90-1)*100),"NA",IF(((BS90/BK90-1)*100)&gt;100,"NM",IF(((BS90/BK90-1)*100)&lt;-50,"NM",(BS90/BK90-1)*100)))</f>
        <v>10.095652965511647</v>
      </c>
      <c r="BU90" s="103">
        <f>BU84/BU78*100</f>
        <v>14.912549861920837</v>
      </c>
      <c r="BV90" s="155">
        <f>IF(ISERROR((BU90/BM90-1)*100),"NA",IF(((BU90/BM90-1)*100)&gt;100,"NM",IF(((BU90/BM90-1)*100)&lt;-50,"NM",(BU90/BM90-1)*100)))</f>
        <v>11.157141330317778</v>
      </c>
      <c r="BW90" s="103">
        <f>BW84/BW78*100</f>
        <v>15.882902522578638</v>
      </c>
      <c r="BX90" s="155">
        <f>IF(ISERROR((BW90/BO90-1)*100),"NA",IF(((BW90/BO90-1)*100)&gt;100,"NM",IF(((BW90/BO90-1)*100)&lt;-50,"NM",(BW90/BO90-1)*100)))</f>
        <v>13.557585063816035</v>
      </c>
      <c r="BY90" s="103">
        <f>BY84/BY78*100</f>
        <v>15.007610350076101</v>
      </c>
      <c r="BZ90" s="155">
        <f>IF(ISERROR((BY90/BQ90-1)*100),"NA",IF(((BY90/BQ90-1)*100)&gt;100,"NM",IF(((BY90/BQ90-1)*100)&lt;-50,"NM",(BY90/BQ90-1)*100)))</f>
        <v>-2.1442549622588847</v>
      </c>
      <c r="CA90" s="103">
        <f>CA84/CA78*100</f>
        <v>14.8271679805943</v>
      </c>
      <c r="CB90" s="155">
        <f>IF(ISERROR((CA90/BS90-1)*100),"NA",IF(((CA90/BS90-1)*100)&gt;100,"NM",IF(((CA90/BS90-1)*100)&lt;-50,"NM",(CA90/BS90-1)*100)))</f>
        <v>-1.8078365366764992</v>
      </c>
      <c r="CC90" s="103">
        <f>CC84/CC78*100</f>
        <v>14.74031822275593</v>
      </c>
      <c r="CD90" s="155">
        <f>IF(ISERROR((CC90/BU90-1)*100),"NA",IF(((CC90/BU90-1)*100)&gt;100,"NM",IF(((CC90/BU90-1)*100)&lt;-50,"NM",(CC90/BU90-1)*100)))</f>
        <v>-1.1549442634535723</v>
      </c>
      <c r="CE90" s="103">
        <f>CE84/CE78*100</f>
        <v>14.59940652818991</v>
      </c>
      <c r="CF90" s="155">
        <f>IF(ISERROR((CE90/BW90-1)*100),"NA",IF(((CE90/BW90-1)*100)&gt;100,"NM",IF(((CE90/BW90-1)*100)&lt;-50,"NM",(CE90/BW90-1)*100)))</f>
        <v>-8.0809914470239335</v>
      </c>
      <c r="CG90" s="103">
        <f>CG84/CG78*100</f>
        <v>15.214797136038186</v>
      </c>
      <c r="CH90" s="155">
        <f>IF(ISERROR((CG90/BY90-1)*100),"NA",IF(((CG90/BY90-1)*100)&gt;100,"NM",IF(((CG90/BY90-1)*100)&lt;-50,"NM",(CG90/BY90-1)*100)))</f>
        <v>1.3805448111266605</v>
      </c>
      <c r="CI90" s="103">
        <f>CI84/CI78*100</f>
        <v>14.783904619970196</v>
      </c>
      <c r="CJ90" s="155">
        <f>IF(ISERROR((CI90/CA90-1)*100),"NA",IF(((CI90/CA90-1)*100)&gt;100,"NM",IF(((CI90/CA90-1)*100)&lt;-50,"NM",(CI90/CA90-1)*100)))</f>
        <v>-0.29178438310489829</v>
      </c>
      <c r="CK90" s="103">
        <f>CK84/CK78*100</f>
        <v>14.609720176730487</v>
      </c>
      <c r="CL90" s="155">
        <f>IF(ISERROR((CK90/CC90-1)*100),"NA",IF(((CK90/CC90-1)*100)&gt;100,"NM",IF(((CK90/CC90-1)*100)&lt;-50,"NM",(CK90/CC90-1)*100)))</f>
        <v>-0.88599203932941961</v>
      </c>
      <c r="CM90" s="103">
        <f>CM84/CM78*100</f>
        <v>14.298194525334887</v>
      </c>
      <c r="CN90" s="155">
        <f>IF(ISERROR((CM90/CE90-1)*100),"NA",IF(((CM90/CE90-1)*100)&gt;100,"NM",IF(((CM90/CE90-1)*100)&lt;-50,"NM",(CM90/CE90-1)*100)))</f>
        <v>-2.063179775653301</v>
      </c>
      <c r="CO90" s="103">
        <f>CO84/CO78*100</f>
        <v>13.630002798768546</v>
      </c>
      <c r="CP90" s="155">
        <f>IF(ISERROR((CO90/CG90-1)*100),"NA",IF(((CO90/CG90-1)*100)&gt;100,"NM",IF(((CO90/CG90-1)*100)&lt;-50,"NM",(CO90/CG90-1)*100)))</f>
        <v>-10.416138467701641</v>
      </c>
      <c r="CQ90" s="103">
        <f>CQ84/CQ78*100</f>
        <v>13.222683264177041</v>
      </c>
      <c r="CR90" s="155">
        <f>IF(ISERROR((CQ90/CI90-1)*100),"NA",IF(((CQ90/CI90-1)*100)&gt;100,"NM",IF(((CQ90/CI90-1)*100)&lt;-50,"NM",(CQ90/CI90-1)*100)))</f>
        <v>-10.560277517512162</v>
      </c>
      <c r="CS90" s="103">
        <f>CS84/CS78*100</f>
        <v>12.782369146005509</v>
      </c>
      <c r="CT90" s="155">
        <f>IF(ISERROR((CS90/CK90-1)*100),"NA",IF(((CS90/CK90-1)*100)&gt;100,"NM",IF(((CS90/CK90-1)*100)&lt;-50,"NM",(CS90/CK90-1)*100)))</f>
        <v>-12.507775704256652</v>
      </c>
      <c r="CU90" s="103">
        <f>CU84/CU78*100</f>
        <v>13.776070252469816</v>
      </c>
      <c r="CV90" s="155">
        <f>IF(ISERROR((CU90/CM90-1)*100),"NA",IF(((CU90/CM90-1)*100)&gt;100,"NM",IF(((CU90/CM90-1)*100)&lt;-50,"NM",(CU90/CM90-1)*100)))</f>
        <v>-3.6516797413821855</v>
      </c>
      <c r="CW90" s="103">
        <f>CW84/CW78*100</f>
        <v>13.382193268186752</v>
      </c>
      <c r="CX90" s="155">
        <f>IF(ISERROR((CW90/CO90-1)*100),"NA",IF(((CW90/CO90-1)*100)&gt;100,"NM",IF(((CW90/CO90-1)*100)&lt;-50,"NM",(CW90/CO90-1)*100)))</f>
        <v>-1.8181179728311014</v>
      </c>
      <c r="CY90" s="103">
        <f>CY84/CY78*100</f>
        <v>13.474599293670201</v>
      </c>
      <c r="CZ90" s="155">
        <f>IF(ISERROR((CY90/CQ90-1)*100),"NA",IF(((CY90/CQ90-1)*100)&gt;100,"NM",IF(((CY90/CQ90-1)*100)&lt;-50,"NM",(CY90/CQ90-1)*100)))</f>
        <v>1.9051808506648005</v>
      </c>
      <c r="DA90" s="103">
        <f>DA84/DA78*100</f>
        <v>13.413978494623654</v>
      </c>
      <c r="DB90" s="155">
        <f>IF(ISERROR((DA90/CS90-1)*100),"NA",IF(((DA90/CS90-1)*100)&gt;100,"NM",IF(((DA90/CS90-1)*100)&lt;-50,"NM",(DA90/CS90-1)*100)))</f>
        <v>4.9412541713014457</v>
      </c>
      <c r="DC90" s="103">
        <f>DC84/DC78*100</f>
        <v>13.427561837455832</v>
      </c>
      <c r="DD90" s="155">
        <f>IF(ISERROR((DC90/CU90-1)*100),"NA",IF(((DC90/CU90-1)*100)&gt;100,"NM",IF(((DC90/CU90-1)*100)&lt;-50,"NM",(DC90/CU90-1)*100)))</f>
        <v>-2.5298100882688468</v>
      </c>
      <c r="DE90" s="103">
        <f>DE84/DE78*100</f>
        <v>13.44</v>
      </c>
      <c r="DF90" s="155">
        <f>IF(ISERROR((DE90/CW90-1)*100),"NA",IF(((DE90/CW90-1)*100)&gt;100,"NM",IF(((DE90/CW90-1)*100)&lt;-50,"NM",(DE90/CW90-1)*100)))</f>
        <v>0.43196754563894491</v>
      </c>
      <c r="DG90" s="103">
        <f>DG84/DG78*100</f>
        <v>13.231013495633768</v>
      </c>
      <c r="DH90" s="155">
        <f>IF(ISERROR((DG90/CY90-1)*100),"NA",IF(((DG90/CY90-1)*100)&gt;100,"NM",IF(((DG90/CY90-1)*100)&lt;-50,"NM",(DG90/CY90-1)*100)))</f>
        <v>-1.8077405697018323</v>
      </c>
      <c r="DI90" s="103">
        <f>DI84/DI78*100</f>
        <v>13.281045751633986</v>
      </c>
      <c r="DJ90" s="155">
        <f>IF(ISERROR((DI90/DA90-1)*100),"NA",IF(((DI90/DA90-1)*100)&gt;100,"NM",IF(((DI90/DA90-1)*100)&lt;-50,"NM",(DI90/DA90-1)*100)))</f>
        <v>-0.99100161106526752</v>
      </c>
      <c r="DK90" s="103">
        <f>DK84/DK78*100</f>
        <v>13.86748844375963</v>
      </c>
      <c r="DL90" s="155">
        <f>IF(ISERROR((DK90/DC90-1)*100),"NA",IF(((DK90/DC90-1)*100)&gt;100,"NM",IF(((DK90/DC90-1)*100)&lt;-50,"NM",(DK90/DC90-1)*100)))</f>
        <v>3.2762955153677664</v>
      </c>
      <c r="DM90" s="103">
        <f>DM84/DM78*100</f>
        <v>13.428001993024413</v>
      </c>
      <c r="DN90" s="155">
        <f>IF(ISERROR((DM90/DE90-1)*100),"NA",IF(((DM90/DE90-1)*100)&gt;100,"NM",IF(((DM90/DE90-1)*100)&lt;-50,"NM",(DM90/DE90-1)*100)))</f>
        <v>-8.9270885235015474E-2</v>
      </c>
      <c r="DO90" s="103">
        <f>DO84/DO78*100</f>
        <v>13.224368499257059</v>
      </c>
      <c r="DP90" s="155">
        <f>IF(ISERROR((DO90/DG90-1)*100),"NA",IF(((DO90/DG90-1)*100)&gt;100,"NM",IF(((DO90/DG90-1)*100)&lt;-50,"NM",(DO90/DG90-1)*100)))</f>
        <v>-5.0222882615169606E-2</v>
      </c>
      <c r="DQ90" s="103">
        <f>DQ84/DQ78*100</f>
        <v>13.174839029222388</v>
      </c>
      <c r="DR90" s="155">
        <f>IF(ISERROR((DQ90/DI90-1)*100),"NA",IF(((DQ90/DI90-1)*100)&gt;100,"NM",IF(((DQ90/DI90-1)*100)&lt;-50,"NM",(DQ90/DI90-1)*100)))</f>
        <v>-0.79968644335504102</v>
      </c>
      <c r="DS90" s="103">
        <f>DS84/DS78*100</f>
        <v>13.552663884114901</v>
      </c>
      <c r="DT90" s="155">
        <f>IF(ISERROR((DS90/DK90-1)*100),"NA",IF(((DS90/DK90-1)*100)&gt;100,"NM",IF(((DS90/DK90-1)*100)&lt;-50,"NM",(DS90/DK90-1)*100)))</f>
        <v>-2.27023488010476</v>
      </c>
      <c r="DU90" s="103">
        <f>DU84/DU78*100</f>
        <v>13.065447545717035</v>
      </c>
      <c r="DV90" s="155">
        <f>IF(ISERROR((DU90/DM90-1)*100),"NA",IF(((DU90/DM90-1)*100)&gt;100,"NM",IF(((DU90/DM90-1)*100)&lt;-50,"NM",(DU90/DM90-1)*100)))</f>
        <v>-2.6999880361629258</v>
      </c>
      <c r="DW90" s="103">
        <f>DW84/DW78*100</f>
        <v>12.787043751510756</v>
      </c>
      <c r="DX90" s="155">
        <f>IF(ISERROR((DW90/DO90-1)*100),"NA",IF(((DW90/DO90-1)*100)&gt;100,"NM",IF(((DW90/DO90-1)*100)&lt;-50,"NM",(DW90/DO90-1)*100)))</f>
        <v>-3.3069612947557503</v>
      </c>
      <c r="DY90" s="103">
        <f>DY84/DY78*100</f>
        <v>12.538884900693944</v>
      </c>
      <c r="DZ90" s="155">
        <f>IF(ISERROR((DY90/DQ90-1)*100),"NA",IF(((DY90/DQ90-1)*100)&gt;100,"NM",IF(((DY90/DQ90-1)*100)&lt;-50,"NM",(DY90/DQ90-1)*100)))</f>
        <v>-4.8270352838305612</v>
      </c>
      <c r="EA90" s="103">
        <f>EA84/EA78*100</f>
        <v>12.802850356294538</v>
      </c>
      <c r="EB90" s="155">
        <f>IF(ISERROR((EA90/DS90-1)*100),"NA",IF(((EA90/DS90-1)*100)&gt;100,"NM",IF(((EA90/DS90-1)*100)&lt;-50,"NM",(EA90/DS90-1)*100)))</f>
        <v>-5.5325914833556862</v>
      </c>
      <c r="EC90" s="103">
        <f>EC84/EC78*100</f>
        <v>12.702078521939955</v>
      </c>
      <c r="ED90" s="155">
        <f t="shared" si="359"/>
        <v>-2.7811448670673089</v>
      </c>
      <c r="EE90" s="103">
        <f>EE84/EE78*100</f>
        <v>12.70949720670391</v>
      </c>
      <c r="EF90" s="155">
        <f t="shared" si="360"/>
        <v>-0.60644623037037215</v>
      </c>
      <c r="EG90" s="103">
        <f>EG84/EG78*100</f>
        <v>12.27345721495756</v>
      </c>
      <c r="EH90" s="155">
        <f t="shared" si="361"/>
        <v>-2.1168364478861612</v>
      </c>
      <c r="EI90" s="103">
        <f>EI84/EI78*100</f>
        <v>12.592764378478662</v>
      </c>
      <c r="EJ90" s="155">
        <f t="shared" si="362"/>
        <v>-1.6409312924022923</v>
      </c>
      <c r="EK90" s="167">
        <f t="shared" si="363"/>
        <v>12.592764378478662</v>
      </c>
      <c r="EL90" s="155">
        <f t="shared" si="364"/>
        <v>-0.86060043852254076</v>
      </c>
      <c r="EM90" s="167">
        <f t="shared" si="365"/>
        <v>12.592764378478662</v>
      </c>
      <c r="EN90" s="155">
        <f t="shared" si="366"/>
        <v>-0.91846928581623688</v>
      </c>
      <c r="EO90" s="167">
        <f t="shared" ref="EO90" si="369">EM90</f>
        <v>12.592764378478662</v>
      </c>
      <c r="EP90" s="155">
        <f t="shared" si="367"/>
        <v>2.6016073379224069</v>
      </c>
      <c r="EQ90" s="167">
        <f t="shared" ref="EQ90" si="370">EO90</f>
        <v>12.592764378478662</v>
      </c>
      <c r="ER90" s="155">
        <f t="shared" si="368"/>
        <v>0</v>
      </c>
      <c r="ES90" s="207"/>
      <c r="ET90" s="469"/>
      <c r="EU90" s="207"/>
      <c r="EV90" s="93"/>
      <c r="EW90" s="3"/>
      <c r="EX90" s="93"/>
      <c r="EY90" s="3"/>
      <c r="EZ90" s="192"/>
      <c r="FA90" s="3"/>
      <c r="FB90" s="93"/>
      <c r="FC90" s="79"/>
      <c r="FD90" s="103">
        <f>FD84/FD78*100</f>
        <v>11.502867200363367</v>
      </c>
      <c r="FE90" s="79" t="str">
        <f>IF(ISERROR((FD90/FB90-1)*100),"NA",IF(((FD90/FB90-1)*100)&gt;100,"NM",IF(((FD90/FB90-1)*100)&lt;-50,"NM",(FD90/FB90-1)*100)))</f>
        <v>NA</v>
      </c>
      <c r="FF90" s="103">
        <f>FF84/FF78*100</f>
        <v>11.068090049228385</v>
      </c>
      <c r="FG90" s="79">
        <f>IF(ISERROR((FF90/FD90-1)*100),"NA",IF(((FF90/FD90-1)*100)&gt;100,"NM",IF(((FF90/FD90-1)*100)&lt;-50,"NM",(FF90/FD90-1)*100)))</f>
        <v>-3.7797285108294387</v>
      </c>
      <c r="FH90" s="103">
        <f>FH84/FH78*100</f>
        <v>10.54950019766194</v>
      </c>
      <c r="FI90" s="79">
        <f>IF(ISERROR((FH90/FF90-1)*100),"NA",IF(((FH90/FF90-1)*100)&gt;100,"NM",IF(((FH90/FF90-1)*100)&lt;-50,"NM",(FH90/FF90-1)*100)))</f>
        <v>-4.6854502381158181</v>
      </c>
      <c r="FJ90" s="103">
        <f>FJ84/FJ78*100</f>
        <v>11.644301527425638</v>
      </c>
      <c r="FK90" s="79">
        <f>IF(ISERROR((FJ90/FH90-1)*100),"NA",IF(((FJ90/FH90-1)*100)&gt;100,"NM",IF(((FJ90/FH90-1)*100)&lt;-50,"NM",(FJ90/FH90-1)*100)))</f>
        <v>10.377755431544866</v>
      </c>
      <c r="FL90" s="103">
        <f>FL84/FL78*100</f>
        <v>11.570408825438028</v>
      </c>
      <c r="FM90" s="79">
        <f>IF(ISERROR((FL90/FJ90-1)*100),"NA",IF(((FL90/FJ90-1)*100)&gt;100,"NM",IF(((FL90/FJ90-1)*100)&lt;-50,"NM",(FL90/FJ90-1)*100)))</f>
        <v>-0.63458251929986442</v>
      </c>
      <c r="FN90" s="103">
        <f>FN84/FN78*100</f>
        <v>11.986624990913715</v>
      </c>
      <c r="FO90" s="79">
        <f>IF(ISERROR((FN90/FL90-1)*100),"NA",IF(((FN90/FL90-1)*100)&gt;100,"NM",IF(((FN90/FL90-1)*100)&lt;-50,"NM",(FN90/FL90-1)*100)))</f>
        <v>3.5972468367808874</v>
      </c>
      <c r="FP90" s="103">
        <f>FP84/FP78*100</f>
        <v>13.657389853643739</v>
      </c>
      <c r="FQ90" s="79">
        <f>IF(ISERROR((FP90/FN90-1)*100),"NA",IF(((FP90/FN90-1)*100)&gt;100,"NM",IF(((FP90/FN90-1)*100)&lt;-50,"NM",(FP90/FN90-1)*100)))</f>
        <v>13.938576238069711</v>
      </c>
      <c r="FR90" s="103">
        <f>FR84/FR78*100</f>
        <v>15.305964368706428</v>
      </c>
      <c r="FS90" s="79">
        <f>IF(ISERROR((FR90/FP90-1)*100),"NA",IF(((FR90/FP90-1)*100)&gt;100,"NM",IF(((FR90/FP90-1)*100)&lt;-50,"NM",(FR90/FP90-1)*100)))</f>
        <v>12.07093399785213</v>
      </c>
      <c r="FT90" s="103">
        <f>FT84/FT78*100</f>
        <v>14.792231255645888</v>
      </c>
      <c r="FU90" s="79">
        <f>IF(ISERROR((FT90/FR90-1)*100),"NA",IF(((FT90/FR90-1)*100)&gt;100,"NM",IF(((FT90/FR90-1)*100)&lt;-50,"NM",(FT90/FR90-1)*100)))</f>
        <v>-3.3564243368479629</v>
      </c>
      <c r="FV90" s="103">
        <f>FV84/FV78*100</f>
        <v>14.723699763593379</v>
      </c>
      <c r="FW90" s="79">
        <f>IF(ISERROR((FV90/FT90-1)*100),"NA",IF(((FV90/FT90-1)*100)&gt;100,"NM",IF(((FV90/FT90-1)*100)&lt;-50,"NM",(FV90/FT90-1)*100)))</f>
        <v>-0.46329381192139474</v>
      </c>
      <c r="FX90" s="103">
        <f>FX84/FX78*100</f>
        <v>13.36609676749498</v>
      </c>
      <c r="FY90" s="79">
        <f>IF(ISERROR((FX90/FV90-1)*100),"NA",IF(((FX90/FV90-1)*100)&gt;100,"NM",IF(((FX90/FV90-1)*100)&lt;-50,"NM",(FX90/FV90-1)*100)))</f>
        <v>-9.2205289288449173</v>
      </c>
      <c r="FZ90" s="103">
        <f>FZ84/FZ78*100</f>
        <v>13.424546193443513</v>
      </c>
      <c r="GA90" s="79">
        <f>IF(ISERROR((FZ90/FX90-1)*100),"NA",IF(((FZ90/FX90-1)*100)&gt;100,"NM",IF(((FZ90/FX90-1)*100)&lt;-50,"NM",(FZ90/FX90-1)*100)))</f>
        <v>0.43729614535392702</v>
      </c>
      <c r="GB90" s="103">
        <f>GB84/GB78*100</f>
        <v>13.457502623294859</v>
      </c>
      <c r="GC90" s="79">
        <f>IF(ISERROR((GB90/FZ90-1)*100),"NA",IF(((GB90/FZ90-1)*100)&gt;100,"NM",IF(((GB90/FZ90-1)*100)&lt;-50,"NM",(GB90/FZ90-1)*100)))</f>
        <v>0.24549380944767218</v>
      </c>
      <c r="GD90" s="103">
        <f>GD84/GD78*100</f>
        <v>13.345294809131969</v>
      </c>
      <c r="GE90" s="79">
        <f>IF(ISERROR((GD90/GB90-1)*100),"NA",IF(((GD90/GB90-1)*100)&gt;100,"NM",IF(((GD90/GB90-1)*100)&lt;-50,"NM",(GD90/GB90-1)*100)))</f>
        <v>-0.83379373799012946</v>
      </c>
      <c r="GF90" s="103">
        <f>GF84/GF78*100</f>
        <v>12.798225632418173</v>
      </c>
      <c r="GG90" s="79">
        <f>IF(ISERROR((GF90/GD90-1)*100),"NA",IF(((GF90/GD90-1)*100)&gt;100,"NM",IF(((GF90/GD90-1)*100)&lt;-50,"NM",(GF90/GD90-1)*100)))</f>
        <v>-4.0993412625058294</v>
      </c>
      <c r="GH90" s="103">
        <f>GH84/GH78*100</f>
        <v>12.568653523732436</v>
      </c>
      <c r="GI90" s="79">
        <f>IF(ISERROR((GH90/GF90-1)*100),"NA",IF(((GH90/GF90-1)*100)&gt;100,"NM",IF(((GH90/GF90-1)*100)&lt;-50,"NM",(GH90/GF90-1)*100)))</f>
        <v>-1.793780757421759</v>
      </c>
      <c r="GJ90" s="103">
        <f>GJ84/GJ78*100</f>
        <v>12.592764378478661</v>
      </c>
      <c r="GK90" s="79">
        <f>IF(ISERROR((GJ90/GH90-1)*100),"NA",IF(((GJ90/GH90-1)*100)&gt;100,"NM",IF(((GJ90/GH90-1)*100)&lt;-50,"NM",(GJ90/GH90-1)*100)))</f>
        <v>0.19183323576146272</v>
      </c>
      <c r="GL90" s="105">
        <f>GJ90</f>
        <v>12.592764378478661</v>
      </c>
      <c r="GM90" s="79">
        <f>IF(ISERROR((GL90/GJ90-1)*100),"NA",IF(((GL90/GJ90-1)*100)&gt;100,"NM",IF(((GL90/GJ90-1)*100)&lt;-50,"NM",(GL90/GJ90-1)*100)))</f>
        <v>0</v>
      </c>
      <c r="GN90" s="105">
        <f>GL90</f>
        <v>12.592764378478661</v>
      </c>
      <c r="GO90" s="79">
        <f>IF(ISERROR((GN90/GL90-1)*100),"NA",IF(((GN90/GL90-1)*100)&gt;100,"NM",IF(((GN90/GL90-1)*100)&lt;-50,"NM",(GN90/GL90-1)*100)))</f>
        <v>0</v>
      </c>
      <c r="GP90" s="105">
        <f>GN90</f>
        <v>12.592764378478661</v>
      </c>
      <c r="GQ90" s="79">
        <f>IF(ISERROR((GP90/GN90-1)*100),"NA",IF(((GP90/GN90-1)*100)&gt;100,"NM",IF(((GP90/GN90-1)*100)&lt;-50,"NM",(GP90/GN90-1)*100)))</f>
        <v>0</v>
      </c>
      <c r="GR90" s="105">
        <f>GP90</f>
        <v>12.592764378478661</v>
      </c>
      <c r="GS90" s="79">
        <f>IF(ISERROR((GR90/GP90-1)*100),"NA",IF(((GR90/GP90-1)*100)&gt;100,"NM",IF(((GR90/GP90-1)*100)&lt;-50,"NM",(GR90/GP90-1)*100)))</f>
        <v>0</v>
      </c>
      <c r="GT90" s="79">
        <f>IF(ISERROR(((GR90/GH90)^0.2-1)*100),"NA",(IF(OR(((GR90/GH90)^0.2-1)*100&gt;99,((GR90/GH90)^0.2-1)*100&lt;-50),"NM",(((GR90/GH90)^0.2-1)*100))))</f>
        <v>3.8337240999997135E-2</v>
      </c>
    </row>
    <row r="91" spans="1:286" s="132" customFormat="1" ht="12.75" customHeight="1" x14ac:dyDescent="0.2">
      <c r="A91" s="133"/>
      <c r="B91" s="83"/>
      <c r="C91" s="139"/>
      <c r="D91" s="139"/>
      <c r="E91" s="199"/>
      <c r="F91" s="139"/>
      <c r="G91" s="199"/>
      <c r="H91" s="139"/>
      <c r="I91" s="199"/>
      <c r="J91" s="139"/>
      <c r="K91" s="199"/>
      <c r="L91" s="79"/>
      <c r="M91" s="199"/>
      <c r="N91" s="79"/>
      <c r="O91" s="199"/>
      <c r="P91" s="79"/>
      <c r="Q91" s="199"/>
      <c r="R91" s="79"/>
      <c r="S91" s="199"/>
      <c r="T91" s="79"/>
      <c r="U91" s="199"/>
      <c r="V91" s="79"/>
      <c r="W91" s="199"/>
      <c r="X91" s="79"/>
      <c r="Y91" s="199"/>
      <c r="Z91" s="79"/>
      <c r="AA91" s="203"/>
      <c r="AB91" s="79"/>
      <c r="AC91" s="199"/>
      <c r="AD91" s="79"/>
      <c r="AE91" s="199"/>
      <c r="AF91" s="79"/>
      <c r="AG91" s="199"/>
      <c r="AH91" s="79"/>
      <c r="AI91" s="199"/>
      <c r="AJ91" s="79"/>
      <c r="AK91" s="199"/>
      <c r="AL91" s="79"/>
      <c r="AM91" s="199"/>
      <c r="AN91" s="79"/>
      <c r="AO91" s="199"/>
      <c r="AP91" s="79"/>
      <c r="AQ91" s="199"/>
      <c r="AR91" s="79"/>
      <c r="AS91" s="199"/>
      <c r="AT91" s="81"/>
      <c r="AU91" s="199"/>
      <c r="AV91" s="81"/>
      <c r="AW91" s="199"/>
      <c r="AX91" s="81"/>
      <c r="AY91" s="199"/>
      <c r="AZ91" s="81"/>
      <c r="BA91" s="199"/>
      <c r="BB91" s="81"/>
      <c r="BC91" s="199"/>
      <c r="BD91" s="81"/>
      <c r="BE91" s="199"/>
      <c r="BF91" s="81"/>
      <c r="BG91" s="199"/>
      <c r="BH91" s="81"/>
      <c r="BI91" s="199"/>
      <c r="BJ91" s="81"/>
      <c r="BK91" s="199"/>
      <c r="BL91" s="81"/>
      <c r="BM91" s="199"/>
      <c r="BN91" s="81"/>
      <c r="BO91" s="199"/>
      <c r="BP91" s="81"/>
      <c r="BQ91" s="199"/>
      <c r="BR91" s="81"/>
      <c r="BS91" s="199"/>
      <c r="BT91" s="81"/>
      <c r="BU91" s="199"/>
      <c r="BV91" s="81"/>
      <c r="BW91" s="199"/>
      <c r="BX91" s="81"/>
      <c r="BY91" s="199"/>
      <c r="BZ91" s="81"/>
      <c r="CA91" s="199"/>
      <c r="CB91" s="81"/>
      <c r="CC91" s="199"/>
      <c r="CD91" s="81"/>
      <c r="CE91" s="199"/>
      <c r="CF91" s="81"/>
      <c r="CG91" s="199"/>
      <c r="CH91" s="81"/>
      <c r="CI91" s="199"/>
      <c r="CJ91" s="81"/>
      <c r="CK91" s="199"/>
      <c r="CL91" s="81"/>
      <c r="CM91" s="199"/>
      <c r="CN91" s="81"/>
      <c r="CO91" s="199"/>
      <c r="CP91" s="81"/>
      <c r="CQ91" s="199"/>
      <c r="CR91" s="81"/>
      <c r="CS91" s="199"/>
      <c r="CT91" s="81"/>
      <c r="CU91" s="199"/>
      <c r="CV91" s="81"/>
      <c r="CW91" s="199"/>
      <c r="CX91" s="81"/>
      <c r="CY91" s="199"/>
      <c r="CZ91" s="81"/>
      <c r="DA91" s="199"/>
      <c r="DB91" s="81"/>
      <c r="DC91" s="199"/>
      <c r="DD91" s="81"/>
      <c r="DE91" s="199"/>
      <c r="DF91" s="81"/>
      <c r="DG91" s="199"/>
      <c r="DH91" s="81"/>
      <c r="DI91" s="199"/>
      <c r="DJ91" s="81"/>
      <c r="DK91" s="199"/>
      <c r="DL91" s="81"/>
      <c r="DM91" s="199"/>
      <c r="DN91" s="81"/>
      <c r="DO91" s="199"/>
      <c r="DP91" s="81"/>
      <c r="DQ91" s="199"/>
      <c r="DR91" s="81"/>
      <c r="DS91" s="199"/>
      <c r="DT91" s="81"/>
      <c r="DU91" s="199"/>
      <c r="DV91" s="81"/>
      <c r="DW91" s="199"/>
      <c r="DX91" s="81"/>
      <c r="DY91" s="199"/>
      <c r="DZ91" s="81"/>
      <c r="EA91" s="199"/>
      <c r="EB91" s="81"/>
      <c r="EC91" s="199"/>
      <c r="ED91" s="81"/>
      <c r="EE91" s="199"/>
      <c r="EF91" s="81"/>
      <c r="EG91" s="199"/>
      <c r="EH91" s="81"/>
      <c r="EI91" s="199"/>
      <c r="EJ91" s="81"/>
      <c r="EK91" s="199"/>
      <c r="EL91" s="81"/>
      <c r="EM91" s="199"/>
      <c r="EN91" s="81"/>
      <c r="EO91" s="199"/>
      <c r="EP91" s="81"/>
      <c r="EQ91" s="199"/>
      <c r="ER91" s="81"/>
      <c r="ES91" s="138"/>
      <c r="ET91" s="469"/>
      <c r="EU91" s="138"/>
      <c r="EV91" s="139"/>
      <c r="EW91" s="140"/>
      <c r="EX91" s="139"/>
      <c r="EY91" s="79"/>
      <c r="EZ91" s="141"/>
      <c r="FA91" s="79"/>
      <c r="FB91" s="142"/>
      <c r="FC91" s="79"/>
      <c r="FD91" s="142"/>
      <c r="FE91" s="79"/>
      <c r="FF91" s="142"/>
      <c r="FG91" s="79"/>
      <c r="FH91" s="142"/>
      <c r="FI91" s="79"/>
      <c r="FJ91" s="142"/>
      <c r="FK91" s="79"/>
      <c r="FL91" s="199"/>
      <c r="FM91" s="79"/>
      <c r="FN91" s="199"/>
      <c r="FO91" s="79"/>
      <c r="FP91" s="151"/>
      <c r="FQ91" s="79"/>
      <c r="FR91" s="199"/>
      <c r="FS91" s="79"/>
      <c r="FT91" s="199"/>
      <c r="FU91" s="79"/>
      <c r="FV91" s="199"/>
      <c r="FW91" s="79"/>
      <c r="FX91" s="199"/>
      <c r="FY91" s="79"/>
      <c r="FZ91" s="199"/>
      <c r="GA91" s="79"/>
      <c r="GB91" s="199"/>
      <c r="GC91" s="79"/>
      <c r="GD91" s="199"/>
      <c r="GE91" s="79"/>
      <c r="GF91" s="199"/>
      <c r="GG91" s="79"/>
      <c r="GH91" s="199"/>
      <c r="GI91" s="79"/>
      <c r="GJ91" s="199"/>
      <c r="GK91" s="79"/>
      <c r="GL91" s="199"/>
      <c r="GM91" s="79"/>
      <c r="GN91" s="199"/>
      <c r="GO91" s="79"/>
      <c r="GP91" s="199"/>
      <c r="GQ91" s="79"/>
      <c r="GR91" s="199"/>
      <c r="GS91" s="79"/>
      <c r="GT91" s="79"/>
      <c r="GU91" s="562"/>
      <c r="GV91" s="562"/>
      <c r="GW91"/>
      <c r="GX91"/>
      <c r="GY91"/>
      <c r="GZ91"/>
      <c r="HA91"/>
      <c r="HB91"/>
      <c r="HC91" s="562"/>
      <c r="HD91" s="562"/>
      <c r="HE91" s="562"/>
      <c r="HF91" s="562"/>
      <c r="HG91" s="562"/>
      <c r="HH91" s="562"/>
      <c r="HI91" s="562"/>
      <c r="HJ91" s="562"/>
      <c r="HK91" s="562"/>
      <c r="HL91" s="562"/>
      <c r="HM91" s="562"/>
      <c r="HN91" s="562"/>
      <c r="HO91" s="562"/>
      <c r="HP91" s="562"/>
      <c r="HQ91" s="562"/>
      <c r="HR91" s="562"/>
      <c r="HS91" s="562"/>
      <c r="HT91" s="562"/>
      <c r="HU91" s="562"/>
      <c r="HV91" s="562"/>
      <c r="HW91" s="562"/>
      <c r="HX91" s="562"/>
      <c r="HY91" s="562"/>
      <c r="HZ91" s="562"/>
      <c r="IA91" s="562"/>
      <c r="IB91" s="562"/>
      <c r="IC91" s="562"/>
      <c r="ID91" s="562"/>
      <c r="IE91" s="562"/>
      <c r="IF91" s="562"/>
      <c r="IG91" s="562"/>
      <c r="IH91" s="562"/>
      <c r="II91" s="562"/>
      <c r="IJ91" s="562"/>
      <c r="IK91" s="562"/>
      <c r="IL91" s="562"/>
      <c r="IM91" s="562"/>
      <c r="IN91" s="562"/>
      <c r="IO91" s="562"/>
      <c r="IP91" s="562"/>
      <c r="IQ91" s="562"/>
      <c r="IR91" s="562"/>
      <c r="IS91" s="562"/>
      <c r="IT91" s="562"/>
      <c r="IU91" s="562"/>
      <c r="IV91" s="562"/>
      <c r="IW91" s="562"/>
      <c r="IX91" s="562"/>
      <c r="IY91" s="562"/>
      <c r="IZ91" s="562"/>
      <c r="JA91" s="562"/>
      <c r="JB91" s="562"/>
      <c r="JC91" s="562"/>
      <c r="JD91" s="562"/>
      <c r="JE91" s="562"/>
      <c r="JF91" s="562"/>
      <c r="JG91" s="562"/>
      <c r="JH91" s="562"/>
      <c r="JI91" s="562"/>
      <c r="JJ91" s="562"/>
      <c r="JK91" s="562"/>
      <c r="JL91" s="562"/>
      <c r="JM91" s="562"/>
      <c r="JN91" s="562"/>
      <c r="JO91" s="562"/>
      <c r="JP91" s="562"/>
      <c r="JQ91" s="562"/>
      <c r="JR91" s="562"/>
      <c r="JS91" s="562"/>
      <c r="JT91" s="562"/>
      <c r="JU91" s="562"/>
      <c r="JV91" s="562"/>
      <c r="JW91" s="562"/>
      <c r="JX91" s="562"/>
      <c r="JY91" s="562"/>
      <c r="JZ91" s="562"/>
    </row>
    <row r="92" spans="1:286" ht="12.75" customHeight="1" x14ac:dyDescent="0.2">
      <c r="A92" s="1"/>
      <c r="B92" s="2" t="s">
        <v>575</v>
      </c>
      <c r="C92" s="79"/>
      <c r="D92" s="79"/>
      <c r="E92" s="171"/>
      <c r="F92" s="171"/>
      <c r="G92" s="171"/>
      <c r="H92" s="171"/>
      <c r="I92" s="171"/>
      <c r="J92" s="171"/>
      <c r="K92" s="171"/>
      <c r="L92" s="79"/>
      <c r="M92" s="171"/>
      <c r="N92" s="79"/>
      <c r="O92" s="171"/>
      <c r="P92" s="79"/>
      <c r="Q92" s="171"/>
      <c r="R92" s="79"/>
      <c r="S92" s="171"/>
      <c r="T92" s="79"/>
      <c r="U92" s="171"/>
      <c r="V92" s="79"/>
      <c r="W92" s="171"/>
      <c r="X92" s="79"/>
      <c r="Y92" s="171"/>
      <c r="Z92" s="79"/>
      <c r="AA92" s="172"/>
      <c r="AB92" s="79"/>
      <c r="AC92" s="171"/>
      <c r="AD92" s="79"/>
      <c r="AE92" s="171"/>
      <c r="AF92" s="79"/>
      <c r="AG92" s="171"/>
      <c r="AH92" s="79"/>
      <c r="AI92" s="171"/>
      <c r="AJ92" s="79"/>
      <c r="AK92" s="171"/>
      <c r="AL92" s="79"/>
      <c r="AM92" s="171"/>
      <c r="AN92" s="79"/>
      <c r="AO92" s="171"/>
      <c r="AP92" s="79"/>
      <c r="AQ92" s="171"/>
      <c r="AR92" s="79"/>
      <c r="AS92" s="171"/>
      <c r="AT92" s="81"/>
      <c r="AU92" s="171"/>
      <c r="AV92" s="81"/>
      <c r="AW92" s="171"/>
      <c r="AX92" s="81"/>
      <c r="AY92" s="171"/>
      <c r="AZ92" s="81"/>
      <c r="BA92" s="171"/>
      <c r="BB92" s="81"/>
      <c r="BC92" s="171"/>
      <c r="BD92" s="81"/>
      <c r="BE92" s="171"/>
      <c r="BF92" s="81"/>
      <c r="BG92" s="171"/>
      <c r="BH92" s="81"/>
      <c r="BI92" s="171"/>
      <c r="BJ92" s="81"/>
      <c r="BK92" s="171"/>
      <c r="BL92" s="81"/>
      <c r="BM92" s="171"/>
      <c r="BN92" s="81"/>
      <c r="BO92" s="171"/>
      <c r="BP92" s="81"/>
      <c r="BQ92" s="171"/>
      <c r="BR92" s="81"/>
      <c r="BS92" s="171"/>
      <c r="BT92" s="81"/>
      <c r="BU92" s="171"/>
      <c r="BV92" s="81"/>
      <c r="BW92" s="171"/>
      <c r="BX92" s="81"/>
      <c r="BY92" s="171"/>
      <c r="BZ92" s="81"/>
      <c r="CA92" s="171"/>
      <c r="CB92" s="81"/>
      <c r="CC92" s="171"/>
      <c r="CD92" s="81"/>
      <c r="CE92" s="171"/>
      <c r="CF92" s="81"/>
      <c r="CG92" s="171"/>
      <c r="CH92" s="81"/>
      <c r="CI92" s="171"/>
      <c r="CJ92" s="81"/>
      <c r="CK92" s="171"/>
      <c r="CL92" s="81"/>
      <c r="CM92" s="171"/>
      <c r="CN92" s="81"/>
      <c r="CO92" s="171"/>
      <c r="CP92" s="81"/>
      <c r="CQ92" s="171"/>
      <c r="CR92" s="81"/>
      <c r="CS92" s="171"/>
      <c r="CT92" s="81"/>
      <c r="CU92" s="171"/>
      <c r="CV92" s="81"/>
      <c r="CW92" s="174">
        <v>0</v>
      </c>
      <c r="CX92" s="81"/>
      <c r="CY92" s="174">
        <v>0</v>
      </c>
      <c r="CZ92" s="81"/>
      <c r="DA92" s="174">
        <v>0</v>
      </c>
      <c r="DB92" s="81"/>
      <c r="DC92" s="174">
        <v>0</v>
      </c>
      <c r="DD92" s="81"/>
      <c r="DE92" s="174">
        <v>0</v>
      </c>
      <c r="DF92" s="81"/>
      <c r="DG92" s="174">
        <v>0</v>
      </c>
      <c r="DH92" s="81"/>
      <c r="DI92" s="174">
        <v>0</v>
      </c>
      <c r="DJ92" s="81"/>
      <c r="DK92" s="174">
        <v>0</v>
      </c>
      <c r="DL92" s="81"/>
      <c r="DM92" s="174">
        <v>0</v>
      </c>
      <c r="DN92" s="81"/>
      <c r="DO92" s="174">
        <v>0</v>
      </c>
      <c r="DP92" s="81"/>
      <c r="DQ92" s="174">
        <v>0</v>
      </c>
      <c r="DR92" s="81"/>
      <c r="DS92" s="174">
        <v>0</v>
      </c>
      <c r="DT92" s="81"/>
      <c r="DU92" s="174">
        <v>0</v>
      </c>
      <c r="DV92" s="81"/>
      <c r="DW92" s="174">
        <v>0</v>
      </c>
      <c r="DX92" s="81"/>
      <c r="DY92" s="174">
        <v>0</v>
      </c>
      <c r="DZ92" s="81"/>
      <c r="EA92" s="174">
        <v>0</v>
      </c>
      <c r="EB92" s="81"/>
      <c r="EC92" s="174">
        <v>0</v>
      </c>
      <c r="ED92" s="81"/>
      <c r="EE92" s="174">
        <v>0</v>
      </c>
      <c r="EF92" s="81"/>
      <c r="EG92" s="174">
        <v>0</v>
      </c>
      <c r="EH92" s="81"/>
      <c r="EI92" s="174">
        <v>18.5</v>
      </c>
      <c r="EJ92" s="81"/>
      <c r="EK92" s="174">
        <v>0</v>
      </c>
      <c r="EL92" s="81"/>
      <c r="EM92" s="174">
        <v>0</v>
      </c>
      <c r="EN92" s="81"/>
      <c r="EO92" s="174">
        <v>0</v>
      </c>
      <c r="EP92" s="81"/>
      <c r="EQ92" s="174">
        <v>0</v>
      </c>
      <c r="ER92" s="81"/>
      <c r="ES92" s="82"/>
      <c r="ET92" s="469"/>
      <c r="EU92" s="82"/>
      <c r="EV92" s="171"/>
      <c r="EW92" s="79"/>
      <c r="EX92" s="171"/>
      <c r="EY92" s="79"/>
      <c r="EZ92" s="171"/>
      <c r="FA92" s="79"/>
      <c r="FB92" s="171"/>
      <c r="FC92" s="79"/>
      <c r="FD92" s="171"/>
      <c r="FE92" s="79"/>
      <c r="FF92" s="171"/>
      <c r="FG92" s="79"/>
      <c r="FH92" s="171"/>
      <c r="FI92" s="79"/>
      <c r="FJ92" s="171"/>
      <c r="FK92" s="79"/>
      <c r="FL92" s="171"/>
      <c r="FM92" s="79"/>
      <c r="FN92" s="171"/>
      <c r="FO92" s="79"/>
      <c r="FP92" s="171"/>
      <c r="FQ92" s="79"/>
      <c r="FR92" s="101"/>
      <c r="FS92" s="79"/>
      <c r="FT92" s="101"/>
      <c r="FU92" s="79"/>
      <c r="FV92" s="101"/>
      <c r="FW92" s="79"/>
      <c r="FX92" s="93">
        <v>0</v>
      </c>
      <c r="FY92" s="146"/>
      <c r="FZ92" s="93">
        <f>CW92+CY92+DA92+DC92</f>
        <v>0</v>
      </c>
      <c r="GA92" s="146"/>
      <c r="GB92" s="93">
        <f>DE92+DG92+DI92+DK92</f>
        <v>0</v>
      </c>
      <c r="GC92" s="146"/>
      <c r="GD92" s="93">
        <f>DM92+DO92+DQ92+DS92</f>
        <v>0</v>
      </c>
      <c r="GE92" s="79"/>
      <c r="GF92" s="93">
        <f>DU92+DW92+DY92+EA92</f>
        <v>0</v>
      </c>
      <c r="GG92" s="79"/>
      <c r="GH92" s="93">
        <f>EC92+EE92+EG92+EI92</f>
        <v>18.5</v>
      </c>
      <c r="GI92" s="79"/>
      <c r="GJ92" s="93">
        <f>EK92+EM92+EO92+EQ92</f>
        <v>0</v>
      </c>
      <c r="GK92" s="79"/>
      <c r="GL92" s="174">
        <v>0</v>
      </c>
      <c r="GM92" s="79"/>
      <c r="GN92" s="174">
        <v>0</v>
      </c>
      <c r="GO92" s="79"/>
      <c r="GP92" s="174">
        <v>0</v>
      </c>
      <c r="GQ92" s="79"/>
      <c r="GR92" s="174">
        <v>0</v>
      </c>
      <c r="GS92" s="79"/>
      <c r="GT92" s="79"/>
    </row>
    <row r="93" spans="1:286" s="83" customFormat="1" ht="12.75" customHeight="1" x14ac:dyDescent="0.2">
      <c r="A93" s="1" t="s">
        <v>295</v>
      </c>
      <c r="B93" s="68" t="s">
        <v>453</v>
      </c>
      <c r="C93" s="79"/>
      <c r="D93" s="79"/>
      <c r="E93" s="169"/>
      <c r="F93" s="169"/>
      <c r="G93" s="169"/>
      <c r="H93" s="169"/>
      <c r="I93" s="169"/>
      <c r="J93" s="169"/>
      <c r="K93" s="169"/>
      <c r="L93" s="79"/>
      <c r="M93" s="169"/>
      <c r="N93" s="79"/>
      <c r="O93" s="169"/>
      <c r="P93" s="79"/>
      <c r="Q93" s="169"/>
      <c r="R93" s="79"/>
      <c r="S93" s="169"/>
      <c r="T93" s="79"/>
      <c r="U93" s="169"/>
      <c r="V93" s="79"/>
      <c r="W93" s="169"/>
      <c r="X93" s="79"/>
      <c r="Y93" s="169"/>
      <c r="Z93" s="79"/>
      <c r="AA93" s="170"/>
      <c r="AB93" s="79"/>
      <c r="AC93" s="169">
        <f>AC78-AC85</f>
        <v>46.60000000000008</v>
      </c>
      <c r="AD93" s="79" t="str">
        <f>IF(ISERROR((AC93/U93-1)*100),"NA",IF(((AC93/U93-1)*100)&gt;100,"NM",IF(((AC93/U93-1)*100)&lt;-50,"NM",(AC93/U93-1)*100)))</f>
        <v>NA</v>
      </c>
      <c r="AE93" s="169">
        <f>AE78-AE85</f>
        <v>50.100000000000023</v>
      </c>
      <c r="AF93" s="79" t="str">
        <f>IF(ISERROR((AE93/W93-1)*100),"NA",IF(((AE93/W93-1)*100)&gt;100,"NM",IF(((AE93/W93-1)*100)&lt;-50,"NM",(AE93/W93-1)*100)))</f>
        <v>NA</v>
      </c>
      <c r="AG93" s="169">
        <f>AG78-AG85</f>
        <v>55.230000000000018</v>
      </c>
      <c r="AH93" s="79" t="str">
        <f>IF(ISERROR((AG93/Y93-1)*100),"NA",IF(((AG93/Y93-1)*100)&gt;100,"NM",IF(((AG93/Y93-1)*100)&lt;-50,"NM",(AG93/Y93-1)*100)))</f>
        <v>NA</v>
      </c>
      <c r="AI93" s="169">
        <f>AI78-AI85</f>
        <v>61.470000000000198</v>
      </c>
      <c r="AJ93" s="79" t="str">
        <f>IF(ISERROR((AI93/AA93-1)*100),"NA",IF(((AI93/AA93-1)*100)&gt;100,"NM",IF(((AI93/AA93-1)*100)&lt;-50,"NM",(AI93/AA93-1)*100)))</f>
        <v>NA</v>
      </c>
      <c r="AK93" s="169">
        <f>AK78-AK85</f>
        <v>55.500000000000057</v>
      </c>
      <c r="AL93" s="208">
        <f>IF(ISERROR((AK93/AC93-1)*100),"NA",IF(((AK93/AC93-1)*100)&gt;100,"NM",IF(((AK93/AC93-1)*100)&lt;-50,"NM",(AK93/AC93-1)*100)))</f>
        <v>19.09871244635184</v>
      </c>
      <c r="AM93" s="169">
        <f>AM78-AM85</f>
        <v>47.899999999999977</v>
      </c>
      <c r="AN93" s="79">
        <f>IF(ISERROR((AM93/AE93-1)*100),"NA",IF(((AM93/AE93-1)*100)&gt;100,"NM",IF(((AM93/AE93-1)*100)&lt;-50,"NM",(AM93/AE93-1)*100)))</f>
        <v>-4.3912175648703533</v>
      </c>
      <c r="AO93" s="169">
        <f>AO78-AO85</f>
        <v>41.899999999999977</v>
      </c>
      <c r="AP93" s="79">
        <f>IF(ISERROR((AO93/AG93-1)*100),"NA",IF(((AO93/AG93-1)*100)&gt;100,"NM",IF(((AO93/AG93-1)*100)&lt;-50,"NM",(AO93/AG93-1)*100)))</f>
        <v>-24.135433641137126</v>
      </c>
      <c r="AQ93" s="169">
        <f>AQ78-AQ85</f>
        <v>43.500000000000057</v>
      </c>
      <c r="AR93" s="79">
        <f>IF(ISERROR((AQ93/AI93-1)*100),"NA",IF(((AQ93/AI93-1)*100)&gt;100,"NM",IF(((AQ93/AI93-1)*100)&lt;-50,"NM",(AQ93/AI93-1)*100)))</f>
        <v>-29.233772571986471</v>
      </c>
      <c r="AS93" s="169">
        <f>AS78-AS85</f>
        <v>43.899999999999977</v>
      </c>
      <c r="AT93" s="81">
        <f>IF(ISERROR((AS93/AK93-1)*100),"NA",IF(((AS93/AK93-1)*100)&gt;100,"NM",IF(((AS93/AK93-1)*100)&lt;-50,"NM",(AS93/AK93-1)*100)))</f>
        <v>-20.900900900901021</v>
      </c>
      <c r="AU93" s="169">
        <f>AU78-AU85</f>
        <v>44.799999999999955</v>
      </c>
      <c r="AV93" s="81">
        <f>IF(ISERROR((AU93/AM93-1)*100),"NA",IF(((AU93/AM93-1)*100)&gt;100,"NM",IF(((AU93/AM93-1)*100)&lt;-50,"NM",(AU93/AM93-1)*100)))</f>
        <v>-6.4718162839248912</v>
      </c>
      <c r="AW93" s="169">
        <f>AW78-AW85</f>
        <v>43</v>
      </c>
      <c r="AX93" s="81">
        <f>IF(ISERROR((AW93/AO93-1)*100),"NA",IF(((AW93/AO93-1)*100)&gt;100,"NM",IF(((AW93/AO93-1)*100)&lt;-50,"NM",(AW93/AO93-1)*100)))</f>
        <v>2.6252983293556742</v>
      </c>
      <c r="AY93" s="169">
        <f>AY78-AY85</f>
        <v>46.300000000000068</v>
      </c>
      <c r="AZ93" s="81">
        <f>IF(ISERROR((AY93/AQ93-1)*100),"NA",IF(((AY93/AQ93-1)*100)&gt;100,"NM",IF(((AY93/AQ93-1)*100)&lt;-50,"NM",(AY93/AQ93-1)*100)))</f>
        <v>6.43678160919543</v>
      </c>
      <c r="BA93" s="169">
        <f>BA78-BA85</f>
        <v>49.399999999999977</v>
      </c>
      <c r="BB93" s="81">
        <f>IF(ISERROR((BA93/AS93-1)*100),"NA",IF(((BA93/AS93-1)*100)&gt;100,"NM",IF(((BA93/AS93-1)*100)&lt;-50,"NM",(BA93/AS93-1)*100)))</f>
        <v>12.528473804100226</v>
      </c>
      <c r="BC93" s="169">
        <f>BC78-BC85</f>
        <v>51.500000000000057</v>
      </c>
      <c r="BD93" s="81">
        <f>IF(ISERROR((BC93/AU93-1)*100),"NA",IF(((BC93/AU93-1)*100)&gt;100,"NM",IF(((BC93/AU93-1)*100)&lt;-50,"NM",(BC93/AU93-1)*100)))</f>
        <v>14.955357142857384</v>
      </c>
      <c r="BE93" s="169">
        <f>BE78-BE85</f>
        <v>56.200000000000045</v>
      </c>
      <c r="BF93" s="81">
        <f>IF(ISERROR((BE93/AW93-1)*100),"NA",IF(((BE93/AW93-1)*100)&gt;100,"NM",IF(((BE93/AW93-1)*100)&lt;-50,"NM",(BE93/AW93-1)*100)))</f>
        <v>30.697674418604759</v>
      </c>
      <c r="BG93" s="169">
        <f>BG78-BG85</f>
        <v>60.099999999999966</v>
      </c>
      <c r="BH93" s="81">
        <f>IF(ISERROR((BG93/AY93-1)*100),"NA",IF(((BG93/AY93-1)*100)&gt;100,"NM",IF(((BG93/AY93-1)*100)&lt;-50,"NM",(BG93/AY93-1)*100)))</f>
        <v>29.805615550755672</v>
      </c>
      <c r="BI93" s="169">
        <f>BI78-BI85</f>
        <v>55.399999999999977</v>
      </c>
      <c r="BJ93" s="81">
        <f>IF(ISERROR((BI93/BA93-1)*100),"NA",IF(((BI93/BA93-1)*100)&gt;100,"NM",IF(((BI93/BA93-1)*100)&lt;-50,"NM",(BI93/BA93-1)*100)))</f>
        <v>12.145748987854255</v>
      </c>
      <c r="BK93" s="169">
        <f>BK78-BK85</f>
        <v>54.299999999999955</v>
      </c>
      <c r="BL93" s="81">
        <f>IF(ISERROR((BK93/BC93-1)*100),"NA",IF(((BK93/BC93-1)*100)&gt;100,"NM",IF(((BK93/BC93-1)*100)&lt;-50,"NM",(BK93/BC93-1)*100)))</f>
        <v>5.4368932038832973</v>
      </c>
      <c r="BM93" s="169">
        <f>BM78-BM85</f>
        <v>50.900000000000034</v>
      </c>
      <c r="BN93" s="81">
        <f>IF(ISERROR((BM93/BE93-1)*100),"NA",IF(((BM93/BE93-1)*100)&gt;100,"NM",IF(((BM93/BE93-1)*100)&lt;-50,"NM",(BM93/BE93-1)*100)))</f>
        <v>-9.4306049822064146</v>
      </c>
      <c r="BO93" s="169">
        <f>BO78-BO85</f>
        <v>50.300000000000011</v>
      </c>
      <c r="BP93" s="81">
        <f>IF(ISERROR((BO93/BG93-1)*100),"NA",IF(((BO93/BG93-1)*100)&gt;100,"NM",IF(((BO93/BG93-1)*100)&lt;-50,"NM",(BO93/BG93-1)*100)))</f>
        <v>-16.306156405989945</v>
      </c>
      <c r="BQ93" s="169">
        <f>BQ78-BQ85</f>
        <v>48.300000000000011</v>
      </c>
      <c r="BR93" s="81">
        <f>IF(ISERROR((BQ93/BI93-1)*100),"NA",IF(((BQ93/BI93-1)*100)&gt;100,"NM",IF(((BQ93/BI93-1)*100)&lt;-50,"NM",(BQ93/BI93-1)*100)))</f>
        <v>-12.815884476534245</v>
      </c>
      <c r="BS93" s="169">
        <f>BS78-BS85</f>
        <v>48.700000000000102</v>
      </c>
      <c r="BT93" s="81">
        <f>IF(ISERROR((BS93/BK93-1)*100),"NA",IF(((BS93/BK93-1)*100)&gt;100,"NM",IF(((BS93/BK93-1)*100)&lt;-50,"NM",(BS93/BK93-1)*100)))</f>
        <v>-10.313075506445413</v>
      </c>
      <c r="BU93" s="169">
        <f>BU78-BU85</f>
        <v>49.999999999999943</v>
      </c>
      <c r="BV93" s="81">
        <f>IF(ISERROR((BU93/BM93-1)*100),"NA",IF(((BU93/BM93-1)*100)&gt;100,"NM",IF(((BU93/BM93-1)*100)&lt;-50,"NM",(BU93/BM93-1)*100)))</f>
        <v>-1.7681728880158953</v>
      </c>
      <c r="BW93" s="169">
        <f>BW78-BW85</f>
        <v>47.699999999999989</v>
      </c>
      <c r="BX93" s="81">
        <f>IF(ISERROR((BW93/BO93-1)*100),"NA",IF(((BW93/BO93-1)*100)&gt;100,"NM",IF(((BW93/BO93-1)*100)&lt;-50,"NM",(BW93/BO93-1)*100)))</f>
        <v>-5.1689860834990498</v>
      </c>
      <c r="BY93" s="169">
        <f>BY78-BY85</f>
        <v>50.500000000000057</v>
      </c>
      <c r="BZ93" s="81">
        <f>IF(ISERROR((BY93/BQ93-1)*100),"NA",IF(((BY93/BQ93-1)*100)&gt;100,"NM",IF(((BY93/BQ93-1)*100)&lt;-50,"NM",(BY93/BQ93-1)*100)))</f>
        <v>4.5548654244307318</v>
      </c>
      <c r="CA93" s="169">
        <f>CA78-CA85</f>
        <v>50.400000000000034</v>
      </c>
      <c r="CB93" s="81">
        <f>IF(ISERROR((CA93/BS93-1)*100),"NA",IF(((CA93/BS93-1)*100)&gt;100,"NM",IF(((CA93/BS93-1)*100)&lt;-50,"NM",(CA93/BS93-1)*100)))</f>
        <v>3.4907597535932755</v>
      </c>
      <c r="CC93" s="169">
        <f>CC78-CC85</f>
        <v>51.100000000000023</v>
      </c>
      <c r="CD93" s="81">
        <f>IF(ISERROR((CC93/BU93-1)*100),"NA",IF(((CC93/BU93-1)*100)&gt;100,"NM",IF(((CC93/BU93-1)*100)&lt;-50,"NM",(CC93/BU93-1)*100)))</f>
        <v>2.2000000000001574</v>
      </c>
      <c r="CE93" s="169">
        <f>CE78-CE85</f>
        <v>52.000000000000057</v>
      </c>
      <c r="CF93" s="81">
        <f>IF(ISERROR((CE93/BW93-1)*100),"NA",IF(((CE93/BW93-1)*100)&gt;100,"NM",IF(((CE93/BW93-1)*100)&lt;-50,"NM",(CE93/BW93-1)*100)))</f>
        <v>9.0146750524110466</v>
      </c>
      <c r="CG93" s="169">
        <f>CG78-CG85</f>
        <v>51.599999999999966</v>
      </c>
      <c r="CH93" s="81">
        <f>IF(ISERROR((CG93/BY93-1)*100),"NA",IF(((CG93/BY93-1)*100)&gt;100,"NM",IF(((CG93/BY93-1)*100)&lt;-50,"NM",(CG93/BY93-1)*100)))</f>
        <v>2.1782178217820025</v>
      </c>
      <c r="CI93" s="169">
        <f>CI78-CI85</f>
        <v>52</v>
      </c>
      <c r="CJ93" s="81">
        <f>IF(ISERROR((CI93/CA93-1)*100),"NA",IF(((CI93/CA93-1)*100)&gt;100,"NM",IF(((CI93/CA93-1)*100)&lt;-50,"NM",(CI93/CA93-1)*100)))</f>
        <v>3.1746031746030967</v>
      </c>
      <c r="CK93" s="169">
        <f>CK78-CK85</f>
        <v>52.300000000000011</v>
      </c>
      <c r="CL93" s="81">
        <f>IF(ISERROR((CK93/CC93-1)*100),"NA",IF(((CK93/CC93-1)*100)&gt;100,"NM",IF(((CK93/CC93-1)*100)&lt;-50,"NM",(CK93/CC93-1)*100)))</f>
        <v>2.348336594911915</v>
      </c>
      <c r="CM93" s="169">
        <f>CM78-CM85</f>
        <v>52.599999999999966</v>
      </c>
      <c r="CN93" s="81">
        <f>IF(ISERROR((CM93/CE93-1)*100),"NA",IF(((CM93/CE93-1)*100)&gt;100,"NM",IF(((CM93/CE93-1)*100)&lt;-50,"NM",(CM93/CE93-1)*100)))</f>
        <v>1.1538461538459721</v>
      </c>
      <c r="CO93" s="169">
        <f>CO78-CO85</f>
        <v>52.399999999999977</v>
      </c>
      <c r="CP93" s="81">
        <f>IF(ISERROR((CO93/CG93-1)*100),"NA",IF(((CO93/CG93-1)*100)&gt;100,"NM",IF(((CO93/CG93-1)*100)&lt;-50,"NM",(CO93/CG93-1)*100)))</f>
        <v>1.5503875968992498</v>
      </c>
      <c r="CQ93" s="169">
        <f>CQ78-CQ85</f>
        <v>57.299999999999955</v>
      </c>
      <c r="CR93" s="81">
        <f>IF(ISERROR((CQ93/CI93-1)*100),"NA",IF(((CQ93/CI93-1)*100)&gt;100,"NM",IF(((CQ93/CI93-1)*100)&lt;-50,"NM",(CQ93/CI93-1)*100)))</f>
        <v>10.192307692307612</v>
      </c>
      <c r="CS93" s="169">
        <f>CS78-CS85</f>
        <v>56.100000000000023</v>
      </c>
      <c r="CT93" s="81">
        <f>IF(ISERROR((CS93/CK93-1)*100),"NA",IF(((CS93/CK93-1)*100)&gt;100,"NM",IF(((CS93/CK93-1)*100)&lt;-50,"NM",(CS93/CK93-1)*100)))</f>
        <v>7.2657743785851103</v>
      </c>
      <c r="CU93" s="169">
        <f>CU78-CU85</f>
        <v>55.100000000000023</v>
      </c>
      <c r="CV93" s="81">
        <f>IF(ISERROR((CU93/CM93-1)*100),"NA",IF(((CU93/CM93-1)*100)&gt;100,"NM",IF(((CU93/CM93-1)*100)&lt;-50,"NM",(CU93/CM93-1)*100)))</f>
        <v>4.7528517110267288</v>
      </c>
      <c r="CW93" s="169">
        <f>CW78-CW85+CW92</f>
        <v>57.000000000000057</v>
      </c>
      <c r="CX93" s="208">
        <f>IF(ISERROR((CW93/CO93-1)*100),"NA",IF(((CW93/CO93-1)*100)&gt;100,"NM",IF(((CW93/CO93-1)*100)&lt;-50,"NM",(CW93/CO93-1)*100)))</f>
        <v>8.7786259541986276</v>
      </c>
      <c r="CY93" s="169">
        <f>CY78-CY85+CY92</f>
        <v>56.099999999999966</v>
      </c>
      <c r="CZ93" s="208">
        <f>IF(ISERROR((CY93/CQ93-1)*100),"NA",IF(((CY93/CQ93-1)*100)&gt;100,"NM",IF(((CY93/CQ93-1)*100)&lt;-50,"NM",(CY93/CQ93-1)*100)))</f>
        <v>-2.0942408376963151</v>
      </c>
      <c r="DA93" s="169">
        <f>DA78-DA85+DA92</f>
        <v>57.700000000000045</v>
      </c>
      <c r="DB93" s="208">
        <f>IF(ISERROR((DA93/CS93-1)*100),"NA",IF(((DA93/CS93-1)*100)&gt;100,"NM",IF(((DA93/CS93-1)*100)&lt;-50,"NM",(DA93/CS93-1)*100)))</f>
        <v>2.8520499108734887</v>
      </c>
      <c r="DC93" s="169">
        <f>DC78-DC85+DC92</f>
        <v>97.699999999999989</v>
      </c>
      <c r="DD93" s="208">
        <f>IF(ISERROR((DC93/CU93-1)*100),"NA",IF(((DC93/CU93-1)*100)&gt;100,"NM",IF(((DC93/CU93-1)*100)&lt;-50,"NM",(DC93/CU93-1)*100)))</f>
        <v>77.313974591651458</v>
      </c>
      <c r="DE93" s="169">
        <f>DE78-DE85+DE92</f>
        <v>58.699999999999989</v>
      </c>
      <c r="DF93" s="208">
        <f>IF(ISERROR((DE93/CW93-1)*100),"NA",IF(((DE93/CW93-1)*100)&gt;100,"NM",IF(((DE93/CW93-1)*100)&lt;-50,"NM",(DE93/CW93-1)*100)))</f>
        <v>2.9824561403507532</v>
      </c>
      <c r="DG93" s="169">
        <f>DG78-DG85+DG92</f>
        <v>60.599999999999966</v>
      </c>
      <c r="DH93" s="208">
        <f>IF(ISERROR((DG93/CY93-1)*100),"NA",IF(((DG93/CY93-1)*100)&gt;100,"NM",IF(((DG93/CY93-1)*100)&lt;-50,"NM",(DG93/CY93-1)*100)))</f>
        <v>8.0213903743315598</v>
      </c>
      <c r="DI93" s="169">
        <f>DI78-DI85+DI92</f>
        <v>61.800000000000011</v>
      </c>
      <c r="DJ93" s="208">
        <f>IF(ISERROR((DI93/DA93-1)*100),"NA",IF(((DI93/DA93-1)*100)&gt;100,"NM",IF(((DI93/DA93-1)*100)&lt;-50,"NM",(DI93/DA93-1)*100)))</f>
        <v>7.1057192374349487</v>
      </c>
      <c r="DK93" s="169">
        <f>DK78-DK85+DK92</f>
        <v>59.300000000000011</v>
      </c>
      <c r="DL93" s="81">
        <f>IF(ISERROR((DK93/DC93-1)*100),"NA",IF(((DK93/DC93-1)*100)&gt;100,"NM",IF(((DK93/DC93-1)*100)&lt;-50,"NM",(DK93/DC93-1)*100)))</f>
        <v>-39.303991811668347</v>
      </c>
      <c r="DM93" s="169">
        <f>DM78-DM85+DM92</f>
        <v>57.900000000000034</v>
      </c>
      <c r="DN93" s="81">
        <f>IF(ISERROR((DM93/DE93-1)*100),"NA",IF(((DM93/DE93-1)*100)&gt;100,"NM",IF(((DM93/DE93-1)*100)&lt;-50,"NM",(DM93/DE93-1)*100)))</f>
        <v>-1.3628620102213884</v>
      </c>
      <c r="DO93" s="169">
        <f>DO78-DO85+DO92</f>
        <v>52.500000000000057</v>
      </c>
      <c r="DP93" s="81">
        <f>IF(ISERROR((DO93/DG93-1)*100),"NA",IF(((DO93/DG93-1)*100)&gt;100,"NM",IF(((DO93/DG93-1)*100)&lt;-50,"NM",(DO93/DG93-1)*100)))</f>
        <v>-13.366336633663224</v>
      </c>
      <c r="DQ93" s="169">
        <f>DQ78-DQ85+DQ92</f>
        <v>60.199999999999989</v>
      </c>
      <c r="DR93" s="81">
        <f>IF(ISERROR((DQ93/DI93-1)*100),"NA",IF(((DQ93/DI93-1)*100)&gt;100,"NM",IF(((DQ93/DI93-1)*100)&lt;-50,"NM",(DQ93/DI93-1)*100)))</f>
        <v>-2.5889967637540812</v>
      </c>
      <c r="DS93" s="169">
        <f>DS78-DS85+DS92</f>
        <v>54.300000000000068</v>
      </c>
      <c r="DT93" s="81">
        <f>IF(ISERROR((DS93/DK93-1)*100),"NA",IF(((DS93/DK93-1)*100)&gt;100,"NM",IF(((DS93/DK93-1)*100)&lt;-50,"NM",(DS93/DK93-1)*100)))</f>
        <v>-8.4317032040471247</v>
      </c>
      <c r="DU93" s="169">
        <f>DU78-DU85+DU92</f>
        <v>55.400000000000034</v>
      </c>
      <c r="DV93" s="81">
        <f>IF(ISERROR((DU93/DM93-1)*100),"NA",IF(((DU93/DM93-1)*100)&gt;100,"NM",IF(((DU93/DM93-1)*100)&lt;-50,"NM",(DU93/DM93-1)*100)))</f>
        <v>-4.3177892918825567</v>
      </c>
      <c r="DW93" s="169">
        <f>DW78-DW85+DW92</f>
        <v>56.900000000000034</v>
      </c>
      <c r="DX93" s="81">
        <f>IF(ISERROR((DW93/DO93-1)*100),"NA",IF(((DW93/DO93-1)*100)&gt;100,"NM",IF(((DW93/DO93-1)*100)&lt;-50,"NM",(DW93/DO93-1)*100)))</f>
        <v>8.3809523809523334</v>
      </c>
      <c r="DY93" s="169">
        <f>DY78-DY85+DY92</f>
        <v>53.400000000000091</v>
      </c>
      <c r="DZ93" s="81">
        <f>IF(ISERROR((DY93/DQ93-1)*100),"NA",IF(((DY93/DQ93-1)*100)&gt;100,"NM",IF(((DY93/DQ93-1)*100)&lt;-50,"NM",(DY93/DQ93-1)*100)))</f>
        <v>-11.295681063122753</v>
      </c>
      <c r="EA93" s="169">
        <f>EA78-EA85+EA92</f>
        <v>56.099999999999966</v>
      </c>
      <c r="EB93" s="81">
        <f>IF(ISERROR((EA93/DS93-1)*100),"NA",IF(((EA93/DS93-1)*100)&gt;100,"NM",IF(((EA93/DS93-1)*100)&lt;-50,"NM",(EA93/DS93-1)*100)))</f>
        <v>3.3149171270716371</v>
      </c>
      <c r="EC93" s="169">
        <f>EC78-EC85+EC92</f>
        <v>56</v>
      </c>
      <c r="ED93" s="81">
        <f t="shared" ref="ED93:ED94" si="371">IF(ISERROR((EC93/DU93-1)*100),"NA",IF(((EC93/DU93-1)*100)&gt;100,"NM",IF(((EC93/DU93-1)*100)&lt;-50,"NM",(EC93/DU93-1)*100)))</f>
        <v>1.083032490974678</v>
      </c>
      <c r="EE93" s="169">
        <f>EE78-EE85+EE92</f>
        <v>60.899999999999977</v>
      </c>
      <c r="EF93" s="81">
        <f t="shared" ref="EF93:EF94" si="372">IF(ISERROR((EE93/DW93-1)*100),"NA",IF(((EE93/DW93-1)*100)&gt;100,"NM",IF(((EE93/DW93-1)*100)&lt;-50,"NM",(EE93/DW93-1)*100)))</f>
        <v>7.0298769771528047</v>
      </c>
      <c r="EG93" s="169">
        <f>EG78-EG85+EG92</f>
        <v>60.099999999999966</v>
      </c>
      <c r="EH93" s="81">
        <f t="shared" ref="EH93:EH94" si="373">IF(ISERROR((EG93/DY93-1)*100),"NA",IF(((EG93/DY93-1)*100)&gt;100,"NM",IF(((EG93/DY93-1)*100)&lt;-50,"NM",(EG93/DY93-1)*100)))</f>
        <v>12.546816479400501</v>
      </c>
      <c r="EI93" s="169">
        <f>EI78-EI85+EI92</f>
        <v>57</v>
      </c>
      <c r="EJ93" s="81">
        <f t="shared" ref="EJ93:EJ94" si="374">IF(ISERROR((EI93/EA93-1)*100),"NA",IF(((EI93/EA93-1)*100)&gt;100,"NM",IF(((EI93/EA93-1)*100)&lt;-50,"NM",(EI93/EA93-1)*100)))</f>
        <v>1.604278074866361</v>
      </c>
      <c r="EK93" s="169">
        <f t="shared" ref="EK93:EQ93" si="375">EK78-EK85+EK92</f>
        <v>59.34967282740115</v>
      </c>
      <c r="EL93" s="81">
        <f t="shared" ref="EL93:EL94" si="376">IF(ISERROR((EK93/EC93-1)*100),"NA",IF(((EK93/EC93-1)*100)&gt;100,"NM",IF(((EK93/EC93-1)*100)&lt;-50,"NM",(EK93/EC93-1)*100)))</f>
        <v>5.9815586203592064</v>
      </c>
      <c r="EM93" s="169">
        <f t="shared" si="375"/>
        <v>59.445351055041499</v>
      </c>
      <c r="EN93" s="81">
        <f t="shared" ref="EN93:EN94" si="377">IF(ISERROR((EM93/EE93-1)*100),"NA",IF(((EM93/EE93-1)*100)&gt;100,"NM",IF(((EM93/EE93-1)*100)&lt;-50,"NM",(EM93/EE93-1)*100)))</f>
        <v>-2.3885861165163891</v>
      </c>
      <c r="EO93" s="169">
        <f t="shared" si="375"/>
        <v>60.879614772134801</v>
      </c>
      <c r="EP93" s="81">
        <f t="shared" ref="EP93:EP94" si="378">IF(ISERROR((EO93/EG93-1)*100),"NA",IF(((EO93/EG93-1)*100)&gt;100,"NM",IF(((EO93/EG93-1)*100)&lt;-50,"NM",(EO93/EG93-1)*100)))</f>
        <v>1.2971959602908978</v>
      </c>
      <c r="EQ93" s="169">
        <f t="shared" si="375"/>
        <v>61.023887542128818</v>
      </c>
      <c r="ER93" s="81">
        <f t="shared" ref="ER93:ER94" si="379">IF(ISERROR((EQ93/EI93-1)*100),"NA",IF(((EQ93/EI93-1)*100)&gt;100,"NM",IF(((EQ93/EI93-1)*100)&lt;-50,"NM",(EQ93/EI93-1)*100)))</f>
        <v>7.0594518282961705</v>
      </c>
      <c r="ES93" s="82"/>
      <c r="ET93" s="469"/>
      <c r="EU93" s="82"/>
      <c r="EV93" s="169"/>
      <c r="EW93" s="79"/>
      <c r="EX93" s="169"/>
      <c r="EY93" s="79"/>
      <c r="EZ93" s="169"/>
      <c r="FA93" s="79"/>
      <c r="FB93" s="169"/>
      <c r="FC93" s="79"/>
      <c r="FD93" s="169">
        <f>FD78-FD85</f>
        <v>224.09999999999991</v>
      </c>
      <c r="FE93" s="79" t="str">
        <f>IF(ISERROR((FD93/FB93-1)*100),"NA",IF(((FD93/FB93-1)*100)&gt;100,"NM",IF(((FD93/FB93-1)*100)&lt;-50,"NM",(FD93/FB93-1)*100)))</f>
        <v>NA</v>
      </c>
      <c r="FF93" s="169">
        <f>FF78-FF85</f>
        <v>222.70000000000005</v>
      </c>
      <c r="FG93" s="79">
        <f>IF(ISERROR((FF93/FD93-1)*100),"NA",IF(((FF93/FD93-1)*100)&gt;100,"NM",IF(((FF93/FD93-1)*100)&lt;-50,"NM",(FF93/FD93-1)*100)))</f>
        <v>-0.62472110664876235</v>
      </c>
      <c r="FH93" s="169">
        <f>FH78-FH85</f>
        <v>213.40000000000032</v>
      </c>
      <c r="FI93" s="79">
        <f>IF(ISERROR((FH93/FF93-1)*100),"NA",IF(((FH93/FF93-1)*100)&gt;100,"NM",IF(((FH93/FF93-1)*100)&lt;-50,"NM",(FH93/FF93-1)*100)))</f>
        <v>-4.1760215536595036</v>
      </c>
      <c r="FJ93" s="169">
        <f>FJ78-FJ85</f>
        <v>188.80000000000018</v>
      </c>
      <c r="FK93" s="79">
        <f>IF(ISERROR((FJ93/FH93-1)*100),"NA",IF(((FJ93/FH93-1)*100)&gt;100,"NM",IF(((FJ93/FH93-1)*100)&lt;-50,"NM",(FJ93/FH93-1)*100)))</f>
        <v>-11.527647610121882</v>
      </c>
      <c r="FL93" s="169">
        <f>FL78-FL85</f>
        <v>178.00000000000023</v>
      </c>
      <c r="FM93" s="79">
        <f>IF(ISERROR((FL93/FJ93-1)*100),"NA",IF(((FL93/FJ93-1)*100)&gt;100,"NM",IF(((FL93/FJ93-1)*100)&lt;-50,"NM",(FL93/FJ93-1)*100)))</f>
        <v>-5.7203389830508211</v>
      </c>
      <c r="FN93" s="169">
        <f>FN78-FN85</f>
        <v>217.20000000000027</v>
      </c>
      <c r="FO93" s="79">
        <f>IF(ISERROR((FN93/FL93-1)*100),"NA",IF(((FN93/FL93-1)*100)&gt;100,"NM",IF(((FN93/FL93-1)*100)&lt;-50,"NM",(FN93/FL93-1)*100)))</f>
        <v>22.022471910112351</v>
      </c>
      <c r="FP93" s="169">
        <f>FP78-FP85</f>
        <v>210.90000000000009</v>
      </c>
      <c r="FQ93" s="79">
        <f>IF(ISERROR((FP93/FN93-1)*100),"NA",IF(((FP93/FN93-1)*100)&gt;100,"NM",IF(((FP93/FN93-1)*100)&lt;-50,"NM",(FP93/FN93-1)*100)))</f>
        <v>-2.9005524861879239</v>
      </c>
      <c r="FR93" s="169">
        <f>FR78-FR85</f>
        <v>193.60000000000014</v>
      </c>
      <c r="FS93" s="79">
        <f>IF(ISERROR((FR93/FP93-1)*100),"NA",IF(((FR93/FP93-1)*100)&gt;100,"NM",IF(((FR93/FP93-1)*100)&lt;-50,"NM",(FR93/FP93-1)*100)))</f>
        <v>-8.2029397818871193</v>
      </c>
      <c r="FT93" s="169">
        <f>FT78-FT85</f>
        <v>204</v>
      </c>
      <c r="FU93" s="79">
        <f>IF(ISERROR((FT93/FR93-1)*100),"NA",IF(((FT93/FR93-1)*100)&gt;100,"NM",IF(((FT93/FR93-1)*100)&lt;-50,"NM",(FT93/FR93-1)*100)))</f>
        <v>5.3719008264462076</v>
      </c>
      <c r="FV93" s="169">
        <f>FV78-FV85</f>
        <v>208.50000000000023</v>
      </c>
      <c r="FW93" s="79">
        <f>IF(ISERROR((FV93/FT93-1)*100),"NA",IF(((FV93/FT93-1)*100)&gt;100,"NM",IF(((FV93/FT93-1)*100)&lt;-50,"NM",(FV93/FT93-1)*100)))</f>
        <v>2.2058823529412797</v>
      </c>
      <c r="FX93" s="169">
        <f>FX78-FX85+FX92</f>
        <v>219.40000000000009</v>
      </c>
      <c r="FY93" s="79">
        <f>IF(ISERROR((FX93/FV93-1)*100),"NA",IF(((FX93/FV93-1)*100)&gt;100,"NM",IF(((FX93/FV93-1)*100)&lt;-50,"NM",(FX93/FV93-1)*100)))</f>
        <v>5.227817745803276</v>
      </c>
      <c r="FZ93" s="169">
        <f>FZ78-FZ85+FZ92</f>
        <v>268.49999999999977</v>
      </c>
      <c r="GA93" s="79">
        <f>IF(ISERROR((FZ93/FX93-1)*100),"NA",IF(((FZ93/FX93-1)*100)&gt;100,"NM",IF(((FZ93/FX93-1)*100)&lt;-50,"NM",(FZ93/FX93-1)*100)))</f>
        <v>22.379216043755545</v>
      </c>
      <c r="GB93" s="169">
        <f>GB78-GB85+GB92</f>
        <v>240.40000000000009</v>
      </c>
      <c r="GC93" s="79">
        <f>IF(ISERROR((GB93/FZ93-1)*100),"NA",IF(((GB93/FZ93-1)*100)&gt;100,"NM",IF(((GB93/FZ93-1)*100)&lt;-50,"NM",(GB93/FZ93-1)*100)))</f>
        <v>-10.465549348230807</v>
      </c>
      <c r="GD93" s="169">
        <f>GD78-GD85+GD92</f>
        <v>224.89999999999964</v>
      </c>
      <c r="GE93" s="79">
        <f>IF(ISERROR((GD93/GB93-1)*100),"NA",IF(((GD93/GB93-1)*100)&gt;100,"NM",IF(((GD93/GB93-1)*100)&lt;-50,"NM",(GD93/GB93-1)*100)))</f>
        <v>-6.4475873544095013</v>
      </c>
      <c r="GF93" s="169">
        <f>GF78-GF85+GF92</f>
        <v>221.80000000000041</v>
      </c>
      <c r="GG93" s="79">
        <f>IF(ISERROR((GF93/GD93-1)*100),"NA",IF(((GF93/GD93-1)*100)&gt;100,"NM",IF(((GF93/GD93-1)*100)&lt;-50,"NM",(GF93/GD93-1)*100)))</f>
        <v>-1.3783903957310994</v>
      </c>
      <c r="GH93" s="169">
        <f>GH78-GH85+GH92</f>
        <v>234.00000000000023</v>
      </c>
      <c r="GI93" s="79">
        <f>IF(ISERROR((GH93/GF93-1)*100),"NA",IF(((GH93/GF93-1)*100)&gt;100,"NM",IF(((GH93/GF93-1)*100)&lt;-50,"NM",(GH93/GF93-1)*100)))</f>
        <v>5.5004508566274923</v>
      </c>
      <c r="GJ93" s="169">
        <f>GJ78-GJ85+GJ92</f>
        <v>240.69852619670655</v>
      </c>
      <c r="GK93" s="79">
        <f>IF(ISERROR((GJ93/GH93-1)*100),"NA",IF(((GJ93/GH93-1)*100)&gt;100,"NM",IF(((GJ93/GH93-1)*100)&lt;-50,"NM",(GJ93/GH93-1)*100)))</f>
        <v>2.8626180327804729</v>
      </c>
      <c r="GL93" s="169">
        <f>GL78-GL85+GL92</f>
        <v>248.25402536248612</v>
      </c>
      <c r="GM93" s="79">
        <f>IF(ISERROR((GL93/GJ93-1)*100),"NA",IF(((GL93/GJ93-1)*100)&gt;100,"NM",IF(((GL93/GJ93-1)*100)&lt;-50,"NM",(GL93/GJ93-1)*100)))</f>
        <v>3.1389885451998945</v>
      </c>
      <c r="GN93" s="169">
        <f>GN78-GN85+GN92</f>
        <v>256.05993344784497</v>
      </c>
      <c r="GO93" s="79">
        <f>IF(ISERROR((GN93/GL93-1)*100),"NA",IF(((GN93/GL93-1)*100)&gt;100,"NM",IF(((GN93/GL93-1)*100)&lt;-50,"NM",(GN93/GL93-1)*100)))</f>
        <v>3.1443228660486433</v>
      </c>
      <c r="GP93" s="169">
        <f>GP78-GP85+GP92</f>
        <v>265.93371702713944</v>
      </c>
      <c r="GQ93" s="79">
        <f>IF(ISERROR((GP93/GN93-1)*100),"NA",IF(((GP93/GN93-1)*100)&gt;100,"NM",IF(((GP93/GN93-1)*100)&lt;-50,"NM",(GP93/GN93-1)*100)))</f>
        <v>3.8560439528137147</v>
      </c>
      <c r="GR93" s="169">
        <f>GR78-GR85+GR92</f>
        <v>274.31214129214072</v>
      </c>
      <c r="GS93" s="79">
        <f>IF(ISERROR((GR93/GP93-1)*100),"NA",IF(((GR93/GP93-1)*100)&gt;100,"NM",IF(((GR93/GP93-1)*100)&lt;-50,"NM",(GR93/GP93-1)*100)))</f>
        <v>3.1505686299064584</v>
      </c>
      <c r="GT93" s="79">
        <f>IF(ISERROR(((GR93/GH93)^0.2-1)*100),"NA",(IF(OR(((GR93/GH93)^0.2-1)*100&gt;99,((GR93/GH93)^0.2-1)*100&lt;-50),"NM",(((GR93/GH93)^0.2-1)*100))))</f>
        <v>3.2299779496921976</v>
      </c>
      <c r="GU93" s="562"/>
      <c r="GV93" s="562"/>
      <c r="GW93"/>
      <c r="GX93"/>
      <c r="GY93"/>
      <c r="GZ93"/>
      <c r="HA93"/>
      <c r="HB93"/>
      <c r="HC93" s="562"/>
      <c r="HD93" s="562"/>
      <c r="HE93" s="562"/>
      <c r="HF93" s="562"/>
      <c r="HG93" s="562"/>
      <c r="HH93" s="562"/>
      <c r="HI93" s="562"/>
      <c r="HJ93" s="562"/>
      <c r="HK93" s="562"/>
      <c r="HL93" s="562"/>
      <c r="HM93" s="562"/>
      <c r="HN93" s="562"/>
      <c r="HO93" s="562"/>
      <c r="HP93" s="562"/>
      <c r="HQ93" s="562"/>
      <c r="HR93" s="562"/>
      <c r="HS93" s="562"/>
      <c r="HT93" s="562"/>
      <c r="HU93" s="562"/>
      <c r="HV93" s="562"/>
      <c r="HW93" s="562"/>
      <c r="HX93" s="562"/>
      <c r="HY93" s="562"/>
      <c r="HZ93" s="562"/>
      <c r="IA93" s="562"/>
      <c r="IB93" s="562"/>
      <c r="IC93" s="562"/>
      <c r="ID93" s="562"/>
      <c r="IE93" s="562"/>
      <c r="IF93" s="562"/>
      <c r="IG93" s="562"/>
      <c r="IH93" s="562"/>
      <c r="II93" s="562"/>
      <c r="IJ93" s="562"/>
      <c r="IK93" s="562"/>
      <c r="IL93" s="562"/>
      <c r="IM93" s="562"/>
      <c r="IN93" s="562"/>
      <c r="IO93" s="562"/>
      <c r="IP93" s="562"/>
      <c r="IQ93" s="562"/>
      <c r="IR93" s="562"/>
      <c r="IS93" s="562"/>
      <c r="IT93" s="562"/>
      <c r="IU93" s="562"/>
      <c r="IV93" s="562"/>
      <c r="IW93" s="562"/>
      <c r="IX93" s="562"/>
      <c r="IY93" s="562"/>
      <c r="IZ93" s="562"/>
      <c r="JA93" s="562"/>
      <c r="JB93" s="562"/>
      <c r="JC93" s="562"/>
      <c r="JD93" s="562"/>
      <c r="JE93" s="562"/>
      <c r="JF93" s="562"/>
      <c r="JG93" s="562"/>
      <c r="JH93" s="562"/>
      <c r="JI93" s="562"/>
      <c r="JJ93" s="562"/>
      <c r="JK93" s="562"/>
      <c r="JL93" s="562"/>
      <c r="JM93" s="562"/>
      <c r="JN93" s="562"/>
      <c r="JO93" s="562"/>
      <c r="JP93" s="562"/>
      <c r="JQ93" s="562"/>
      <c r="JR93" s="562"/>
      <c r="JS93" s="562"/>
      <c r="JT93" s="562"/>
      <c r="JU93" s="562"/>
      <c r="JV93" s="562"/>
      <c r="JW93" s="562"/>
      <c r="JX93" s="562"/>
      <c r="JY93" s="562"/>
      <c r="JZ93" s="562"/>
    </row>
    <row r="94" spans="1:286" ht="12.75" customHeight="1" x14ac:dyDescent="0.2">
      <c r="A94" s="1"/>
      <c r="B94" s="2" t="s">
        <v>55</v>
      </c>
      <c r="C94" s="79"/>
      <c r="D94" s="79"/>
      <c r="E94" s="171"/>
      <c r="F94" s="171"/>
      <c r="G94" s="171"/>
      <c r="H94" s="171"/>
      <c r="I94" s="171"/>
      <c r="J94" s="171"/>
      <c r="K94" s="171"/>
      <c r="L94" s="79"/>
      <c r="M94" s="171"/>
      <c r="N94" s="79"/>
      <c r="O94" s="171"/>
      <c r="P94" s="79"/>
      <c r="Q94" s="171"/>
      <c r="R94" s="79"/>
      <c r="S94" s="171"/>
      <c r="T94" s="79"/>
      <c r="U94" s="171"/>
      <c r="V94" s="79"/>
      <c r="W94" s="171"/>
      <c r="X94" s="79"/>
      <c r="Y94" s="171"/>
      <c r="Z94" s="79"/>
      <c r="AA94" s="172"/>
      <c r="AB94" s="79"/>
      <c r="AC94" s="171">
        <f>+AC93/AC78*100</f>
        <v>10.434393193013898</v>
      </c>
      <c r="AD94" s="79" t="str">
        <f>IF(ISERROR((AC94/U94-1)*100),"NA",IF(((AC94/U94-1)*100)&gt;100,"NM",IF(((AC94/U94-1)*100)&lt;-50,"NM",(AC94/U94-1)*100)))</f>
        <v>NA</v>
      </c>
      <c r="AE94" s="171">
        <f>+AE93/AE78*100</f>
        <v>11.255897551112113</v>
      </c>
      <c r="AF94" s="79" t="str">
        <f>IF(ISERROR((AE94/W94-1)*100),"NA",IF(((AE94/W94-1)*100)&gt;100,"NM",IF(((AE94/W94-1)*100)&lt;-50,"NM",(AE94/W94-1)*100)))</f>
        <v>NA</v>
      </c>
      <c r="AG94" s="171">
        <f>+AG93/AG78*100</f>
        <v>12.69071691176471</v>
      </c>
      <c r="AH94" s="79" t="str">
        <f>IF(ISERROR((AG94/Y94-1)*100),"NA",IF(((AG94/Y94-1)*100)&gt;100,"NM",IF(((AG94/Y94-1)*100)&lt;-50,"NM",(AG94/Y94-1)*100)))</f>
        <v>NA</v>
      </c>
      <c r="AI94" s="171">
        <f>+AI93/AI78*100</f>
        <v>13.850833708877913</v>
      </c>
      <c r="AJ94" s="79" t="str">
        <f>IF(ISERROR((AI94/AA94-1)*100),"NA",IF(((AI94/AA94-1)*100)&gt;100,"NM",IF(((AI94/AA94-1)*100)&lt;-50,"NM",(AI94/AA94-1)*100)))</f>
        <v>NA</v>
      </c>
      <c r="AK94" s="171">
        <f>+AK93/AK78*100</f>
        <v>13.553113553113565</v>
      </c>
      <c r="AL94" s="79">
        <f>IF(ISERROR((AK94/AC94-1)*100),"NA",IF(((AK94/AC94-1)*100)&gt;100,"NM",IF(((AK94/AC94-1)*100)&lt;-50,"NM",(AK94/AC94-1)*100)))</f>
        <v>29.888852206448703</v>
      </c>
      <c r="AM94" s="171">
        <f>+AM93/AM78*100</f>
        <v>11.682926829268288</v>
      </c>
      <c r="AN94" s="79">
        <f>IF(ISERROR((AM94/AE94-1)*100),"NA",IF(((AM94/AE94-1)*100)&gt;100,"NM",IF(((AM94/AE94-1)*100)&lt;-50,"NM",(AM94/AE94-1)*100)))</f>
        <v>3.7938269801858882</v>
      </c>
      <c r="AO94" s="171">
        <f>+AO93/AO78*100</f>
        <v>10.648030495552728</v>
      </c>
      <c r="AP94" s="79">
        <f>IF(ISERROR((AO94/AG94-1)*100),"NA",IF(((AO94/AG94-1)*100)&gt;100,"NM",IF(((AO94/AG94-1)*100)&lt;-50,"NM",(AO94/AG94-1)*100)))</f>
        <v>-16.09591034465787</v>
      </c>
      <c r="AQ94" s="171">
        <f>+AQ93/AQ78*100</f>
        <v>10.764662212323696</v>
      </c>
      <c r="AR94" s="79">
        <f>IF(ISERROR((AQ94/AI94-1)*100),"NA",IF(((AQ94/AI94-1)*100)&gt;100,"NM",IF(((AQ94/AI94-1)*100)&lt;-50,"NM",(AQ94/AI94-1)*100)))</f>
        <v>-22.28148544282995</v>
      </c>
      <c r="AS94" s="171">
        <f>+AS93/AS78*100</f>
        <v>11.144960649911138</v>
      </c>
      <c r="AT94" s="81">
        <f>IF(ISERROR((AS94/AK94-1)*100),"NA",IF(((AS94/AK94-1)*100)&gt;100,"NM",IF(((AS94/AK94-1)*100)&lt;-50,"NM",(AS94/AK94-1)*100)))</f>
        <v>-17.768263312817901</v>
      </c>
      <c r="AU94" s="171">
        <f>+AU93/AU78*100</f>
        <v>11.2960161371659</v>
      </c>
      <c r="AV94" s="81">
        <f>IF(ISERROR((AU94/AM94-1)*100),"NA",IF(((AU94/AM94-1)*100)&gt;100,"NM",IF(((AU94/AM94-1)*100)&lt;-50,"NM",(AU94/AM94-1)*100)))</f>
        <v>-3.3117616651770154</v>
      </c>
      <c r="AW94" s="171">
        <f>+AW93/AW78*100</f>
        <v>11.745424747336793</v>
      </c>
      <c r="AX94" s="81">
        <f>IF(ISERROR((AW94/AO94-1)*100),"NA",IF(((AW94/AO94-1)*100)&gt;100,"NM",IF(((AW94/AO94-1)*100)&lt;-50,"NM",(AW94/AO94-1)*100)))</f>
        <v>10.306077281074689</v>
      </c>
      <c r="AY94" s="171">
        <f>+AY93/AY78*100</f>
        <v>12.044745057232067</v>
      </c>
      <c r="AZ94" s="81">
        <f>IF(ISERROR((AY94/AQ94-1)*100),"NA",IF(((AY94/AQ94-1)*100)&gt;100,"NM",IF(((AY94/AQ94-1)*100)&lt;-50,"NM",(AY94/AQ94-1)*100)))</f>
        <v>11.891528221321202</v>
      </c>
      <c r="BA94" s="171">
        <f>+BA93/BA78*100</f>
        <v>14.187248707639283</v>
      </c>
      <c r="BB94" s="81">
        <f>IF(ISERROR((BA94/AS94-1)*100),"NA",IF(((BA94/AS94-1)*100)&gt;100,"NM",IF(((BA94/AS94-1)*100)&lt;-50,"NM",(BA94/AS94-1)*100)))</f>
        <v>27.297432025947987</v>
      </c>
      <c r="BC94" s="171">
        <f>+BC93/BC78*100</f>
        <v>14.931864308495232</v>
      </c>
      <c r="BD94" s="81">
        <f>IF(ISERROR((BC94/AU94-1)*100),"NA",IF(((BC94/AU94-1)*100)&gt;100,"NM",IF(((BC94/AU94-1)*100)&lt;-50,"NM",(BC94/AU94-1)*100)))</f>
        <v>32.186995195294976</v>
      </c>
      <c r="BE94" s="171">
        <f>+BE93/BE78*100</f>
        <v>16.37529137529139</v>
      </c>
      <c r="BF94" s="81">
        <f>IF(ISERROR((BE94/AW94-1)*100),"NA",IF(((BE94/AW94-1)*100)&gt;100,"NM",IF(((BE94/AW94-1)*100)&lt;-50,"NM",(BE94/AW94-1)*100)))</f>
        <v>39.41846912777158</v>
      </c>
      <c r="BG94" s="171">
        <f>+BG93/BG78*100</f>
        <v>17.707719505008832</v>
      </c>
      <c r="BH94" s="81">
        <f>IF(ISERROR((BG94/AY94-1)*100),"NA",IF(((BG94/AY94-1)*100)&gt;100,"NM",IF(((BG94/AY94-1)*100)&lt;-50,"NM",(BG94/AY94-1)*100)))</f>
        <v>47.016142067502933</v>
      </c>
      <c r="BI94" s="171">
        <f>+BI93/BI78*100</f>
        <v>17.088217149907457</v>
      </c>
      <c r="BJ94" s="81">
        <f>IF(ISERROR((BI94/BA94-1)*100),"NA",IF(((BI94/BA94-1)*100)&gt;100,"NM",IF(((BI94/BA94-1)*100)&lt;-50,"NM",(BI94/BA94-1)*100)))</f>
        <v>20.447716833963135</v>
      </c>
      <c r="BK94" s="171">
        <f>+BK93/BK78*100</f>
        <v>16.296518607442962</v>
      </c>
      <c r="BL94" s="81">
        <f>IF(ISERROR((BK94/BC94-1)*100),"NA",IF(((BK94/BC94-1)*100)&gt;100,"NM",IF(((BK94/BC94-1)*100)&lt;-50,"NM",(BK94/BC94-1)*100)))</f>
        <v>9.1392090816907015</v>
      </c>
      <c r="BM94" s="171">
        <f>+BM93/BM78*100</f>
        <v>15.345191438046438</v>
      </c>
      <c r="BN94" s="81">
        <f>IF(ISERROR((BM94/BE94-1)*100),"NA",IF(((BM94/BE94-1)*100)&gt;100,"NM",IF(((BM94/BE94-1)*100)&lt;-50,"NM",(BM94/BE94-1)*100)))</f>
        <v>-6.2905747057378498</v>
      </c>
      <c r="BO94" s="171">
        <f>+BO93/BO78*100</f>
        <v>15.26092233009709</v>
      </c>
      <c r="BP94" s="81">
        <f>IF(ISERROR((BO94/BG94-1)*100),"NA",IF(((BO94/BG94-1)*100)&gt;100,"NM",IF(((BO94/BG94-1)*100)&lt;-50,"NM",(BO94/BG94-1)*100)))</f>
        <v>-13.817686541847685</v>
      </c>
      <c r="BQ94" s="171">
        <f>+BQ93/BQ78*100</f>
        <v>15.117370892018783</v>
      </c>
      <c r="BR94" s="81">
        <f>IF(ISERROR((BQ94/BI94-1)*100),"NA",IF(((BQ94/BI94-1)*100)&gt;100,"NM",IF(((BQ94/BI94-1)*100)&lt;-50,"NM",(BQ94/BI94-1)*100)))</f>
        <v>-11.533363841290766</v>
      </c>
      <c r="BS94" s="171">
        <f>+BS93/BS78*100</f>
        <v>15.007704160246563</v>
      </c>
      <c r="BT94" s="81">
        <f>IF(ISERROR((BS94/BK94-1)*100),"NA",IF(((BS94/BK94-1)*100)&gt;100,"NM",IF(((BS94/BK94-1)*100)&lt;-50,"NM",(BS94/BK94-1)*100)))</f>
        <v>-7.9085262211020417</v>
      </c>
      <c r="BU94" s="171">
        <f>+BU93/BU78*100</f>
        <v>15.342129487572858</v>
      </c>
      <c r="BV94" s="81">
        <f>IF(ISERROR((BU94/BM94-1)*100),"NA",IF(((BU94/BM94-1)*100)&gt;100,"NM",IF(((BU94/BM94-1)*100)&lt;-50,"NM",(BU94/BM94-1)*100)))</f>
        <v>-1.9953810846484732E-2</v>
      </c>
      <c r="BW94" s="171">
        <f>+BW93/BW78*100</f>
        <v>14.855185300529428</v>
      </c>
      <c r="BX94" s="81">
        <f>IF(ISERROR((BW94/BO94-1)*100),"NA",IF(((BW94/BO94-1)*100)&gt;100,"NM",IF(((BW94/BO94-1)*100)&lt;-50,"NM",(BW94/BO94-1)*100)))</f>
        <v>-2.6586664999105669</v>
      </c>
      <c r="BY94" s="171">
        <f>+BY93/BY78*100</f>
        <v>15.372907153729088</v>
      </c>
      <c r="BZ94" s="81">
        <f>IF(ISERROR((BY94/BQ94-1)*100),"NA",IF(((BY94/BQ94-1)*100)&gt;100,"NM",IF(((BY94/BQ94-1)*100)&lt;-50,"NM",(BY94/BQ94-1)*100)))</f>
        <v>1.6903485634874205</v>
      </c>
      <c r="CA94" s="171">
        <f>+CA93/CA78*100</f>
        <v>15.281989084293521</v>
      </c>
      <c r="CB94" s="81">
        <f>IF(ISERROR((CA94/BS94-1)*100),"NA",IF(((CA94/BS94-1)*100)&gt;100,"NM",IF(((CA94/BS94-1)*100)&lt;-50,"NM",(CA94/BS94-1)*100)))</f>
        <v>1.8276274713190377</v>
      </c>
      <c r="CC94" s="171">
        <f>+CC93/CC78*100</f>
        <v>15.34073851696188</v>
      </c>
      <c r="CD94" s="81">
        <f>IF(ISERROR((CC94/BU94-1)*100),"NA",IF(((CC94/BU94-1)*100)&gt;100,"NM",IF(((CC94/BU94-1)*100)&lt;-50,"NM",(CC94/BU94-1)*100)))</f>
        <v>-9.0663464423657025E-3</v>
      </c>
      <c r="CE94" s="171">
        <f>+CE93/CE78*100</f>
        <v>15.430267062314554</v>
      </c>
      <c r="CF94" s="81">
        <f>IF(ISERROR((CE94/BW94-1)*100),"NA",IF(((CE94/BW94-1)*100)&gt;100,"NM",IF(((CE94/BW94-1)*100)&lt;-50,"NM",(CE94/BW94-1)*100)))</f>
        <v>3.8712526983061712</v>
      </c>
      <c r="CG94" s="171">
        <f>+CG93/CG78*100</f>
        <v>15.39379474940333</v>
      </c>
      <c r="CH94" s="81">
        <f>IF(ISERROR((CG94/BY94-1)*100),"NA",IF(((CG94/BY94-1)*100)&gt;100,"NM",IF(((CG94/BY94-1)*100)&lt;-50,"NM",(CG94/BY94-1)*100)))</f>
        <v>0.13587277582156609</v>
      </c>
      <c r="CI94" s="171">
        <f>+CI93/CI78*100</f>
        <v>15.499254843517138</v>
      </c>
      <c r="CJ94" s="81">
        <f>IF(ISERROR((CI94/CA94-1)*100),"NA",IF(((CI94/CA94-1)*100)&gt;100,"NM",IF(((CI94/CA94-1)*100)&lt;-50,"NM",(CI94/CA94-1)*100)))</f>
        <v>1.4217112577767699</v>
      </c>
      <c r="CK94" s="171">
        <f>+CK93/CK78*100</f>
        <v>15.405007363770254</v>
      </c>
      <c r="CL94" s="81">
        <f>IF(ISERROR((CK94/CC94-1)*100),"NA",IF(((CK94/CC94-1)*100)&gt;100,"NM",IF(((CK94/CC94-1)*100)&lt;-50,"NM",(CK94/CC94-1)*100)))</f>
        <v>0.41894232625967476</v>
      </c>
      <c r="CM94" s="171">
        <f>+CM93/CM78*100</f>
        <v>15.317414094350603</v>
      </c>
      <c r="CN94" s="81">
        <f>IF(ISERROR((CM94/CE94-1)*100),"NA",IF(((CM94/CE94-1)*100)&gt;100,"NM",IF(((CM94/CE94-1)*100)&lt;-50,"NM",(CM94/CE94-1)*100)))</f>
        <v>-0.73137404238176051</v>
      </c>
      <c r="CO94" s="171">
        <f>+CO93/CO78*100</f>
        <v>14.665547159249925</v>
      </c>
      <c r="CP94" s="81">
        <f>IF(ISERROR((CO94/CG94-1)*100),"NA",IF(((CO94/CG94-1)*100)&gt;100,"NM",IF(((CO94/CG94-1)*100)&lt;-50,"NM",(CO94/CG94-1)*100)))</f>
        <v>-4.7307866709190183</v>
      </c>
      <c r="CQ94" s="171">
        <f>+CQ93/CQ78*100</f>
        <v>15.850622406638996</v>
      </c>
      <c r="CR94" s="81">
        <f>IF(ISERROR((CQ94/CI94-1)*100),"NA",IF(((CQ94/CI94-1)*100)&gt;100,"NM",IF(((CQ94/CI94-1)*100)&lt;-50,"NM",(CQ94/CI94-1)*100)))</f>
        <v>2.2669964889881378</v>
      </c>
      <c r="CS94" s="171">
        <f>+CS93/CS78*100</f>
        <v>15.45454545454546</v>
      </c>
      <c r="CT94" s="81">
        <f>IF(ISERROR((CS94/CK94-1)*100),"NA",IF(((CS94/CK94-1)*100)&gt;100,"NM",IF(((CS94/CK94-1)*100)&lt;-50,"NM",(CS94/CK94-1)*100)))</f>
        <v>0.32157135407615556</v>
      </c>
      <c r="CU94" s="171">
        <f>+CU93/CU78*100</f>
        <v>15.120746432491774</v>
      </c>
      <c r="CV94" s="81">
        <f>IF(ISERROR((CU94/CM94-1)*100),"NA",IF(((CU94/CM94-1)*100)&gt;100,"NM",IF(((CU94/CM94-1)*100)&lt;-50,"NM",(CU94/CM94-1)*100)))</f>
        <v>-1.2839481954813992</v>
      </c>
      <c r="CW94" s="171">
        <f>+CW93/CW78*100</f>
        <v>15.472312703583077</v>
      </c>
      <c r="CX94" s="81">
        <f>IF(ISERROR((CW94/CO94-1)*100),"NA",IF(((CW94/CO94-1)*100)&gt;100,"NM",IF(((CW94/CO94-1)*100)&lt;-50,"NM",(CW94/CO94-1)*100)))</f>
        <v>5.5010940646991413</v>
      </c>
      <c r="CY94" s="171">
        <f>+CY93/CY78*100</f>
        <v>15.240423797881004</v>
      </c>
      <c r="CZ94" s="81">
        <f>IF(ISERROR((CY94/CQ94-1)*100),"NA",IF(((CY94/CQ94-1)*100)&gt;100,"NM",IF(((CY94/CQ94-1)*100)&lt;-50,"NM",(CY94/CQ94-1)*100)))</f>
        <v>-3.8496823222690102</v>
      </c>
      <c r="DA94" s="171">
        <f>+DA93/DA78*100</f>
        <v>15.510752688172055</v>
      </c>
      <c r="DB94" s="81">
        <f>IF(ISERROR((DA94/CS94-1)*100),"NA",IF(((DA94/CS94-1)*100)&gt;100,"NM",IF(((DA94/CS94-1)*100)&lt;-50,"NM",(DA94/CS94-1)*100)))</f>
        <v>0.36369386464267794</v>
      </c>
      <c r="DC94" s="171">
        <f>+DC93/DC78*100</f>
        <v>26.556129382984505</v>
      </c>
      <c r="DD94" s="81">
        <f>IF(ISERROR((DC94/CU94-1)*100),"NA",IF(((DC94/CU94-1)*100)&gt;100,"NM",IF(((DC94/CU94-1)*100)&lt;-50,"NM",(DC94/CU94-1)*100)))</f>
        <v>75.627106119048079</v>
      </c>
      <c r="DE94" s="171">
        <f>+DE93/DE78*100</f>
        <v>15.653333333333331</v>
      </c>
      <c r="DF94" s="81">
        <f>IF(ISERROR((DE94/CW94-1)*100),"NA",IF(((DE94/CW94-1)*100)&gt;100,"NM",IF(((DE94/CW94-1)*100)&lt;-50,"NM",(DE94/CW94-1)*100)))</f>
        <v>1.1699649122805855</v>
      </c>
      <c r="DG94" s="171">
        <f>+DG93/DG78*100</f>
        <v>16.035988356708117</v>
      </c>
      <c r="DH94" s="81">
        <f>IF(ISERROR((DG94/CY94-1)*100),"NA",IF(((DG94/CY94-1)*100)&gt;100,"NM",IF(((DG94/CY94-1)*100)&lt;-50,"NM",(DG94/CY94-1)*100)))</f>
        <v>5.220094725566149</v>
      </c>
      <c r="DI94" s="171">
        <f>+DI93/DI78*100</f>
        <v>16.156862745098042</v>
      </c>
      <c r="DJ94" s="81">
        <f>IF(ISERROR((DI94/DA94-1)*100),"NA",IF(((DI94/DA94-1)*100)&gt;100,"NM",IF(((DI94/DA94-1)*100)&lt;-50,"NM",(DI94/DA94-1)*100)))</f>
        <v>4.1655622387602564</v>
      </c>
      <c r="DK94" s="171">
        <f>+DK93/DK78*100</f>
        <v>15.228556753980484</v>
      </c>
      <c r="DL94" s="81">
        <f>IF(ISERROR((DK94/DC94-1)*100),"NA",IF(((DK94/DC94-1)*100)&gt;100,"NM",IF(((DK94/DC94-1)*100)&lt;-50,"NM",(DK94/DC94-1)*100)))</f>
        <v>-42.655209521090889</v>
      </c>
      <c r="DM94" s="171">
        <f>+DM93/DM78*100</f>
        <v>14.42451420029896</v>
      </c>
      <c r="DN94" s="81">
        <f>IF(ISERROR((DM94/DE94-1)*100),"NA",IF(((DM94/DE94-1)*100)&gt;100,"NM",IF(((DM94/DE94-1)*100)&lt;-50,"NM",(DM94/DE94-1)*100)))</f>
        <v>-7.8502074086522882</v>
      </c>
      <c r="DO94" s="171">
        <f>+DO93/DO78*100</f>
        <v>13.001485884101054</v>
      </c>
      <c r="DP94" s="81">
        <f>IF(ISERROR((DO94/DG94-1)*100),"NA",IF(((DO94/DG94-1)*100)&gt;100,"NM",IF(((DO94/DG94-1)*100)&lt;-50,"NM",(DO94/DG94-1)*100)))</f>
        <v>-18.923077300300484</v>
      </c>
      <c r="DQ94" s="171">
        <f>+DQ93/DQ78*100</f>
        <v>14.908370480435856</v>
      </c>
      <c r="DR94" s="81">
        <f>IF(ISERROR((DQ94/DI94-1)*100),"NA",IF(((DQ94/DI94-1)*100)&gt;100,"NM",IF(((DQ94/DI94-1)*100)&lt;-50,"NM",(DQ94/DI94-1)*100)))</f>
        <v>-7.7273186283703277</v>
      </c>
      <c r="DS94" s="171">
        <f>+DS93/DS78*100</f>
        <v>13.331696538178262</v>
      </c>
      <c r="DT94" s="81">
        <f>IF(ISERROR((DS94/DK94-1)*100),"NA",IF(((DS94/DK94-1)*100)&gt;100,"NM",IF(((DS94/DK94-1)*100)&lt;-50,"NM",(DS94/DK94-1)*100)))</f>
        <v>-12.455942125352204</v>
      </c>
      <c r="DU94" s="171">
        <f>+DU93/DU78*100</f>
        <v>13.330125120307995</v>
      </c>
      <c r="DV94" s="81">
        <f>IF(ISERROR((DU94/DM94-1)*100),"NA",IF(((DU94/DM94-1)*100)&gt;100,"NM",IF(((DU94/DM94-1)*100)&lt;-50,"NM",(DU94/DM94-1)*100)))</f>
        <v>-7.5870082333052373</v>
      </c>
      <c r="DW94" s="171">
        <f>+DW93/DW78*100</f>
        <v>13.753927967125945</v>
      </c>
      <c r="DX94" s="81">
        <f>IF(ISERROR((DW94/DO94-1)*100),"NA",IF(((DW94/DO94-1)*100)&gt;100,"NM",IF(((DW94/DO94-1)*100)&lt;-50,"NM",(DW94/DO94-1)*100)))</f>
        <v>5.7873545357228551</v>
      </c>
      <c r="DY94" s="171">
        <f>+DY93/DY78*100</f>
        <v>12.778176597272095</v>
      </c>
      <c r="DZ94" s="81">
        <f>IF(ISERROR((DY94/DQ94-1)*100),"NA",IF(((DY94/DQ94-1)*100)&gt;100,"NM",IF(((DY94/DQ94-1)*100)&lt;-50,"NM",(DY94/DQ94-1)*100)))</f>
        <v>-14.288576246204766</v>
      </c>
      <c r="EA94" s="171">
        <f>+EA93/EA78*100</f>
        <v>13.325415676959615</v>
      </c>
      <c r="EB94" s="81">
        <f>IF(ISERROR((EA94/DS94-1)*100),"NA",IF(((EA94/DS94-1)*100)&gt;100,"NM",IF(((EA94/DS94-1)*100)&lt;-50,"NM",(EA94/DS94-1)*100)))</f>
        <v>-4.71122426216386E-2</v>
      </c>
      <c r="EC94" s="171">
        <f>+EC93/EC78*100</f>
        <v>12.933025404157044</v>
      </c>
      <c r="ED94" s="81">
        <f t="shared" si="371"/>
        <v>-2.978964657623373</v>
      </c>
      <c r="EE94" s="171">
        <f>+EE93/EE78*100</f>
        <v>14.175977653631278</v>
      </c>
      <c r="EF94" s="81">
        <f t="shared" si="372"/>
        <v>3.0685756644509121</v>
      </c>
      <c r="EG94" s="171">
        <f>+EG93/EG78*100</f>
        <v>13.787565955494371</v>
      </c>
      <c r="EH94" s="81">
        <f t="shared" si="373"/>
        <v>7.899322337099024</v>
      </c>
      <c r="EI94" s="171">
        <f>+EI93/EI78*100</f>
        <v>13.218923933209648</v>
      </c>
      <c r="EJ94" s="81">
        <f t="shared" si="374"/>
        <v>-0.79916264026267392</v>
      </c>
      <c r="EK94" s="171">
        <f t="shared" ref="EK94:EQ94" si="380">+EK93/EK78*100</f>
        <v>13.216041228798247</v>
      </c>
      <c r="EL94" s="81">
        <f t="shared" si="376"/>
        <v>2.1883187869578657</v>
      </c>
      <c r="EM94" s="171">
        <f t="shared" si="380"/>
        <v>13.340497083362319</v>
      </c>
      <c r="EN94" s="81">
        <f t="shared" si="377"/>
        <v>-5.8936363380549306</v>
      </c>
      <c r="EO94" s="171">
        <f t="shared" si="380"/>
        <v>13.432547011973583</v>
      </c>
      <c r="EP94" s="81">
        <f t="shared" si="378"/>
        <v>-2.574921089529314</v>
      </c>
      <c r="EQ94" s="171">
        <f t="shared" si="380"/>
        <v>13.59077303733223</v>
      </c>
      <c r="ER94" s="81">
        <f t="shared" si="379"/>
        <v>2.8130058543448744</v>
      </c>
      <c r="ES94" s="82"/>
      <c r="ET94" s="469"/>
      <c r="EU94" s="82"/>
      <c r="EV94" s="171"/>
      <c r="EW94" s="79"/>
      <c r="EX94" s="171"/>
      <c r="EY94" s="79"/>
      <c r="EZ94" s="171"/>
      <c r="FA94" s="79"/>
      <c r="FB94" s="171"/>
      <c r="FC94" s="79"/>
      <c r="FD94" s="171">
        <f>+FD93/FD78*100</f>
        <v>12.723556463975468</v>
      </c>
      <c r="FE94" s="79" t="str">
        <f>IF(ISERROR((FD94/FB94-1)*100),"NA",IF(((FD94/FB94-1)*100)&gt;100,"NM",IF(((FD94/FB94-1)*100)&lt;-50,"NM",(FD94/FB94-1)*100)))</f>
        <v>NA</v>
      </c>
      <c r="FF94" s="171">
        <f>+FF93/FF78*100</f>
        <v>12.318159190220699</v>
      </c>
      <c r="FG94" s="79">
        <f>IF(ISERROR((FF94/FD94-1)*100),"NA",IF(((FF94/FD94-1)*100)&gt;100,"NM",IF(((FF94/FD94-1)*100)&lt;-50,"NM",(FF94/FD94-1)*100)))</f>
        <v>-3.1861946375023376</v>
      </c>
      <c r="FH94" s="171">
        <f>+FH93/FH78*100</f>
        <v>12.051730953860071</v>
      </c>
      <c r="FI94" s="79">
        <f>IF(ISERROR((FH94/FF94-1)*100),"NA",IF(((FH94/FF94-1)*100)&gt;100,"NM",IF(((FH94/FF94-1)*100)&lt;-50,"NM",(FH94/FF94-1)*100)))</f>
        <v>-2.1628900247704475</v>
      </c>
      <c r="FJ94" s="171">
        <f>+FJ93/FJ78*100</f>
        <v>11.675221074763476</v>
      </c>
      <c r="FK94" s="79">
        <f>IF(ISERROR((FJ94/FH94-1)*100),"NA",IF(((FJ94/FH94-1)*100)&gt;100,"NM",IF(((FJ94/FH94-1)*100)&lt;-50,"NM",(FJ94/FH94-1)*100)))</f>
        <v>-3.124114540376477</v>
      </c>
      <c r="FL94" s="171">
        <f>+FL93/FL78*100</f>
        <v>11.550940947436745</v>
      </c>
      <c r="FM94" s="79">
        <f>IF(ISERROR((FL94/FJ94-1)*100),"NA",IF(((FL94/FJ94-1)*100)&gt;100,"NM",IF(((FL94/FJ94-1)*100)&lt;-50,"NM",(FL94/FJ94-1)*100)))</f>
        <v>-1.0644777219282697</v>
      </c>
      <c r="FN94" s="171">
        <f>+FN93/FN78*100</f>
        <v>15.788325943156229</v>
      </c>
      <c r="FO94" s="79">
        <f>IF(ISERROR((FN94/FL94-1)*100),"NA",IF(((FN94/FL94-1)*100)&gt;100,"NM",IF(((FN94/FL94-1)*100)&lt;-50,"NM",(FN94/FL94-1)*100)))</f>
        <v>36.684327406762463</v>
      </c>
      <c r="FP94" s="171">
        <f>+FP93/FP78*100</f>
        <v>15.993023432168052</v>
      </c>
      <c r="FQ94" s="79">
        <f>IF(ISERROR((FP94/FN94-1)*100),"NA",IF(((FP94/FN94-1)*100)&gt;100,"NM",IF(((FP94/FN94-1)*100)&lt;-50,"NM",(FP94/FN94-1)*100)))</f>
        <v>1.2965116741876725</v>
      </c>
      <c r="FR94" s="171">
        <f>+FR93/FR78*100</f>
        <v>14.996127033307523</v>
      </c>
      <c r="FS94" s="79">
        <f>IF(ISERROR((FR94/FP94-1)*100),"NA",IF(((FR94/FP94-1)*100)&gt;100,"NM",IF(((FR94/FP94-1)*100)&lt;-50,"NM",(FR94/FP94-1)*100)))</f>
        <v>-6.2333204418083321</v>
      </c>
      <c r="FT94" s="171">
        <f>+FT93/FT78*100</f>
        <v>15.356820234869014</v>
      </c>
      <c r="FU94" s="79">
        <f>IF(ISERROR((FT94/FR94-1)*100),"NA",IF(((FT94/FR94-1)*100)&gt;100,"NM",IF(((FT94/FR94-1)*100)&lt;-50,"NM",(FT94/FR94-1)*100)))</f>
        <v>2.4052423719828742</v>
      </c>
      <c r="FV94" s="171">
        <f>+FV93/FV78*100</f>
        <v>15.403368794326255</v>
      </c>
      <c r="FW94" s="79">
        <f>IF(ISERROR((FV94/FT94-1)*100),"NA",IF(((FV94/FT94-1)*100)&gt;100,"NM",IF(((FV94/FT94-1)*100)&lt;-50,"NM",(FV94/FT94-1)*100)))</f>
        <v>0.30311326658332138</v>
      </c>
      <c r="FX94" s="171">
        <f>+FX93/FX78*100</f>
        <v>15.186543919152767</v>
      </c>
      <c r="FY94" s="79">
        <f>IF(ISERROR((FX94/FV94-1)*100),"NA",IF(((FX94/FV94-1)*100)&gt;100,"NM",IF(((FX94/FV94-1)*100)&lt;-50,"NM",(FX94/FV94-1)*100)))</f>
        <v>-1.4076458083205456</v>
      </c>
      <c r="FZ94" s="171">
        <f>+FZ93/FZ78*100</f>
        <v>18.186128420482241</v>
      </c>
      <c r="GA94" s="79">
        <f>IF(ISERROR((FZ94/FX94-1)*100),"NA",IF(((FZ94/FX94-1)*100)&gt;100,"NM",IF(((FZ94/FX94-1)*100)&lt;-50,"NM",(FZ94/FX94-1)*100)))</f>
        <v>19.751594024934782</v>
      </c>
      <c r="GB94" s="171">
        <f>+GB93/GB78*100</f>
        <v>15.766002098635893</v>
      </c>
      <c r="GC94" s="79">
        <f>IF(ISERROR((GB94/FZ94-1)*100),"NA",IF(((GB94/FZ94-1)*100)&gt;100,"NM",IF(((GB94/FZ94-1)*100)&lt;-50,"NM",(GB94/FZ94-1)*100)))</f>
        <v>-13.30754004310597</v>
      </c>
      <c r="GD94" s="171">
        <f>+GD93/GD78*100</f>
        <v>13.914496071273877</v>
      </c>
      <c r="GE94" s="79">
        <f>IF(ISERROR((GD94/GB94-1)*100),"NA",IF(((GD94/GB94-1)*100)&gt;100,"NM",IF(((GD94/GB94-1)*100)&lt;-50,"NM",(GD94/GB94-1)*100)))</f>
        <v>-11.743662190189685</v>
      </c>
      <c r="GF94" s="171">
        <f>+GF93/GF78*100</f>
        <v>13.295767893537969</v>
      </c>
      <c r="GG94" s="79">
        <f>IF(ISERROR((GF94/GD94-1)*100),"NA",IF(((GF94/GD94-1)*100)&gt;100,"NM",IF(((GF94/GD94-1)*100)&lt;-50,"NM",(GF94/GD94-1)*100)))</f>
        <v>-4.4466445250091136</v>
      </c>
      <c r="GH94" s="171">
        <f>+GH93/GH78*100</f>
        <v>13.528357518644865</v>
      </c>
      <c r="GI94" s="79">
        <f>IF(ISERROR((GH94/GF94-1)*100),"NA",IF(((GH94/GF94-1)*100)&gt;100,"NM",IF(((GH94/GF94-1)*100)&lt;-50,"NM",(GH94/GF94-1)*100)))</f>
        <v>1.7493508232791832</v>
      </c>
      <c r="GJ94" s="171">
        <f>+GJ93/GJ78*100</f>
        <v>13.395149774318787</v>
      </c>
      <c r="GK94" s="79">
        <f>IF(ISERROR((GJ94/GH94-1)*100),"NA",IF(((GJ94/GH94-1)*100)&gt;100,"NM",IF(((GJ94/GH94-1)*100)&lt;-50,"NM",(GJ94/GH94-1)*100)))</f>
        <v>-0.98465570667016777</v>
      </c>
      <c r="GL94" s="171">
        <f>+GL93/GL78*100</f>
        <v>13.465790853980463</v>
      </c>
      <c r="GM94" s="79">
        <f>IF(ISERROR((GL94/GJ94-1)*100),"NA",IF(((GL94/GJ94-1)*100)&gt;100,"NM",IF(((GL94/GJ94-1)*100)&lt;-50,"NM",(GL94/GJ94-1)*100)))</f>
        <v>0.52736311912771061</v>
      </c>
      <c r="GN94" s="171">
        <f>+GN93/GN78*100</f>
        <v>13.53732801715627</v>
      </c>
      <c r="GO94" s="79">
        <f>IF(ISERROR((GN94/GL94-1)*100),"NA",IF(((GN94/GL94-1)*100)&gt;100,"NM",IF(((GN94/GL94-1)*100)&lt;-50,"NM",(GN94/GL94-1)*100)))</f>
        <v>0.53125110846838908</v>
      </c>
      <c r="GP94" s="171">
        <f>+GP93/GP78*100</f>
        <v>13.702971350324322</v>
      </c>
      <c r="GQ94" s="79">
        <f>IF(ISERROR((GP94/GN94-1)*100),"NA",IF(((GP94/GN94-1)*100)&gt;100,"NM",IF(((GP94/GN94-1)*100)&lt;-50,"NM",(GP94/GN94-1)*100)))</f>
        <v>1.223604340222284</v>
      </c>
      <c r="GR94" s="171">
        <f>+GR93/GR78*100</f>
        <v>13.776236477999484</v>
      </c>
      <c r="GS94" s="79">
        <f>IF(ISERROR((GR94/GP94-1)*100),"NA",IF(((GR94/GP94-1)*100)&gt;100,"NM",IF(((GR94/GP94-1)*100)&lt;-50,"NM",(GR94/GP94-1)*100)))</f>
        <v>0.53466599179183838</v>
      </c>
      <c r="GT94" s="79">
        <f>IF(ISERROR(((GR94/GH94)^0.2-1)*100),"NA",(IF(OR(((GR94/GH94)^0.2-1)*100&gt;99,((GR94/GH94)^0.2-1)*100&lt;-50),"NM",(((GR94/GH94)^0.2-1)*100))))</f>
        <v>0.36380164120295433</v>
      </c>
    </row>
    <row r="95" spans="1:286" ht="12.75" customHeight="1" x14ac:dyDescent="0.2">
      <c r="A95" s="1"/>
      <c r="B95" s="2"/>
      <c r="C95" s="79"/>
      <c r="D95" s="79"/>
      <c r="E95" s="171"/>
      <c r="F95" s="171"/>
      <c r="G95" s="171"/>
      <c r="H95" s="171"/>
      <c r="I95" s="171"/>
      <c r="J95" s="171"/>
      <c r="K95" s="171"/>
      <c r="L95" s="79"/>
      <c r="M95" s="171"/>
      <c r="N95" s="79"/>
      <c r="O95" s="171"/>
      <c r="P95" s="79"/>
      <c r="Q95" s="171"/>
      <c r="R95" s="79"/>
      <c r="S95" s="171"/>
      <c r="T95" s="79"/>
      <c r="U95" s="171"/>
      <c r="V95" s="79"/>
      <c r="W95" s="171"/>
      <c r="X95" s="79"/>
      <c r="Y95" s="171"/>
      <c r="Z95" s="79"/>
      <c r="AA95" s="172"/>
      <c r="AB95" s="79"/>
      <c r="AC95" s="171"/>
      <c r="AD95" s="79"/>
      <c r="AE95" s="171"/>
      <c r="AF95" s="79"/>
      <c r="AG95" s="171"/>
      <c r="AH95" s="79"/>
      <c r="AI95" s="171"/>
      <c r="AJ95" s="79"/>
      <c r="AK95" s="171"/>
      <c r="AL95" s="79"/>
      <c r="AM95" s="171"/>
      <c r="AN95" s="79"/>
      <c r="AO95" s="171"/>
      <c r="AP95" s="79"/>
      <c r="AQ95" s="171"/>
      <c r="AR95" s="79"/>
      <c r="AS95" s="171"/>
      <c r="AT95" s="81"/>
      <c r="AU95" s="171"/>
      <c r="AV95" s="81"/>
      <c r="AW95" s="171"/>
      <c r="AX95" s="81"/>
      <c r="AY95" s="171"/>
      <c r="AZ95" s="81"/>
      <c r="BA95" s="171"/>
      <c r="BB95" s="81"/>
      <c r="BC95" s="171"/>
      <c r="BD95" s="81"/>
      <c r="BE95" s="171"/>
      <c r="BF95" s="81"/>
      <c r="BG95" s="171"/>
      <c r="BH95" s="81"/>
      <c r="BI95" s="171"/>
      <c r="BJ95" s="81"/>
      <c r="BK95" s="171"/>
      <c r="BL95" s="81"/>
      <c r="BM95" s="171"/>
      <c r="BN95" s="81"/>
      <c r="BO95" s="171"/>
      <c r="BP95" s="81"/>
      <c r="BQ95" s="171"/>
      <c r="BR95" s="81"/>
      <c r="BS95" s="171"/>
      <c r="BT95" s="81"/>
      <c r="BU95" s="171"/>
      <c r="BV95" s="81"/>
      <c r="BW95" s="171"/>
      <c r="BX95" s="81"/>
      <c r="BY95" s="171"/>
      <c r="BZ95" s="81"/>
      <c r="CA95" s="171"/>
      <c r="CB95" s="81"/>
      <c r="CC95" s="171"/>
      <c r="CD95" s="81"/>
      <c r="CE95" s="171"/>
      <c r="CF95" s="81"/>
      <c r="CG95" s="171"/>
      <c r="CH95" s="81"/>
      <c r="CI95" s="171"/>
      <c r="CJ95" s="81"/>
      <c r="CK95" s="171"/>
      <c r="CL95" s="81"/>
      <c r="CM95" s="171"/>
      <c r="CN95" s="81"/>
      <c r="CO95" s="171"/>
      <c r="CP95" s="81"/>
      <c r="CQ95" s="171"/>
      <c r="CR95" s="81"/>
      <c r="CS95" s="171"/>
      <c r="CT95" s="81"/>
      <c r="CU95" s="171"/>
      <c r="CV95" s="81"/>
      <c r="CW95" s="171"/>
      <c r="CX95" s="81"/>
      <c r="CY95" s="171"/>
      <c r="CZ95" s="81"/>
      <c r="DA95" s="171"/>
      <c r="DB95" s="81"/>
      <c r="DC95" s="171"/>
      <c r="DD95" s="81"/>
      <c r="DE95" s="171"/>
      <c r="DF95" s="81"/>
      <c r="DG95" s="171"/>
      <c r="DH95" s="81"/>
      <c r="DI95" s="171"/>
      <c r="DJ95" s="81"/>
      <c r="DK95" s="171"/>
      <c r="DL95" s="81"/>
      <c r="DM95" s="171"/>
      <c r="DN95" s="81"/>
      <c r="DO95" s="171"/>
      <c r="DP95" s="81"/>
      <c r="DQ95" s="171"/>
      <c r="DR95" s="81"/>
      <c r="DS95" s="171"/>
      <c r="DT95" s="81"/>
      <c r="DU95" s="171"/>
      <c r="DV95" s="81"/>
      <c r="DW95" s="171"/>
      <c r="DX95" s="81"/>
      <c r="DY95" s="171"/>
      <c r="DZ95" s="81"/>
      <c r="EA95" s="171"/>
      <c r="EB95" s="81"/>
      <c r="EC95" s="171"/>
      <c r="ED95" s="81"/>
      <c r="EE95" s="171"/>
      <c r="EF95" s="81"/>
      <c r="EG95" s="171"/>
      <c r="EH95" s="81"/>
      <c r="EI95" s="171"/>
      <c r="EJ95" s="81"/>
      <c r="EK95" s="171"/>
      <c r="EL95" s="81"/>
      <c r="EM95" s="171"/>
      <c r="EN95" s="81"/>
      <c r="EO95" s="171"/>
      <c r="EP95" s="81"/>
      <c r="EQ95" s="171"/>
      <c r="ER95" s="81"/>
      <c r="ES95" s="82"/>
      <c r="ET95" s="469"/>
      <c r="EU95" s="82"/>
      <c r="EV95" s="171"/>
      <c r="EW95" s="79"/>
      <c r="EX95" s="171"/>
      <c r="EY95" s="79"/>
      <c r="EZ95" s="171"/>
      <c r="FA95" s="79"/>
      <c r="FB95" s="171"/>
      <c r="FC95" s="79"/>
      <c r="FD95" s="171"/>
      <c r="FE95" s="79"/>
      <c r="FF95" s="171"/>
      <c r="FG95" s="79"/>
      <c r="FH95" s="171"/>
      <c r="FI95" s="79"/>
      <c r="FJ95" s="171"/>
      <c r="FK95" s="79"/>
      <c r="FL95" s="171"/>
      <c r="FM95" s="79"/>
      <c r="FN95" s="171"/>
      <c r="FO95" s="79"/>
      <c r="FP95" s="171"/>
      <c r="FQ95" s="79"/>
      <c r="FR95" s="101"/>
      <c r="FS95" s="79"/>
      <c r="FT95" s="101"/>
      <c r="FU95" s="79"/>
      <c r="FV95" s="101"/>
      <c r="FW95" s="79"/>
      <c r="FX95" s="101"/>
      <c r="FY95" s="79"/>
      <c r="FZ95" s="101"/>
      <c r="GA95" s="79"/>
      <c r="GB95" s="101"/>
      <c r="GC95" s="79"/>
      <c r="GD95" s="101"/>
      <c r="GE95" s="79"/>
      <c r="GF95" s="101"/>
      <c r="GG95" s="79"/>
      <c r="GH95" s="101"/>
      <c r="GI95" s="79"/>
      <c r="GJ95" s="101"/>
      <c r="GK95" s="79"/>
      <c r="GL95" s="171"/>
      <c r="GM95" s="79"/>
      <c r="GN95" s="171"/>
      <c r="GO95" s="79"/>
      <c r="GP95" s="171"/>
      <c r="GQ95" s="79"/>
      <c r="GR95" s="171"/>
      <c r="GS95" s="79"/>
      <c r="GT95" s="79"/>
    </row>
    <row r="96" spans="1:286" ht="12.75" customHeight="1" x14ac:dyDescent="0.2">
      <c r="A96" s="1"/>
      <c r="B96" s="2" t="s">
        <v>256</v>
      </c>
      <c r="C96" s="79"/>
      <c r="D96" s="79"/>
      <c r="E96" s="171"/>
      <c r="F96" s="171"/>
      <c r="G96" s="171"/>
      <c r="H96" s="171"/>
      <c r="I96" s="171"/>
      <c r="J96" s="171"/>
      <c r="K96" s="171"/>
      <c r="L96" s="79"/>
      <c r="M96" s="171"/>
      <c r="N96" s="79"/>
      <c r="O96" s="171"/>
      <c r="P96" s="79"/>
      <c r="Q96" s="171"/>
      <c r="R96" s="79"/>
      <c r="S96" s="171"/>
      <c r="T96" s="79"/>
      <c r="U96" s="171"/>
      <c r="V96" s="79"/>
      <c r="W96" s="171"/>
      <c r="X96" s="79"/>
      <c r="Y96" s="171"/>
      <c r="Z96" s="79"/>
      <c r="AA96" s="209"/>
      <c r="AB96" s="79"/>
      <c r="AC96" s="174">
        <v>0</v>
      </c>
      <c r="AD96" s="210" t="str">
        <f>IF(ISERROR((AC96/U96-1)*100),"NA",IF(((AC96/U96-1)*100)&gt;100,"NM",IF(((AC96/U96-1)*100)&lt;-50,"NM",(AC96/U96-1)*100)))</f>
        <v>NA</v>
      </c>
      <c r="AE96" s="174">
        <v>0</v>
      </c>
      <c r="AF96" s="210" t="str">
        <f>IF(ISERROR((AE96/W96-1)*100),"NA",IF(((AE96/W96-1)*100)&gt;100,"NM",IF(((AE96/W96-1)*100)&lt;-50,"NM",(AE96/W96-1)*100)))</f>
        <v>NA</v>
      </c>
      <c r="AG96" s="174">
        <v>0</v>
      </c>
      <c r="AH96" s="210" t="str">
        <f>IF(ISERROR((AG96/Y96-1)*100),"NA",IF(((AG96/Y96-1)*100)&gt;100,"NM",IF(((AG96/Y96-1)*100)&lt;-50,"NM",(AG96/Y96-1)*100)))</f>
        <v>NA</v>
      </c>
      <c r="AI96" s="174">
        <v>0</v>
      </c>
      <c r="AJ96" s="210" t="str">
        <f>IF(ISERROR((AI96/AA96-1)*100),"NA",IF(((AI96/AA96-1)*100)&gt;100,"NM",IF(((AI96/AA96-1)*100)&lt;-50,"NM",(AI96/AA96-1)*100)))</f>
        <v>NA</v>
      </c>
      <c r="AK96" s="174">
        <v>0</v>
      </c>
      <c r="AL96" s="210" t="str">
        <f>IF(ISERROR((AK96/AC96-1)*100),"NA",IF(((AK96/AC96-1)*100)&gt;100,"NM",IF(((AK96/AC96-1)*100)&lt;-50,"NM",(AK96/AC96-1)*100)))</f>
        <v>NA</v>
      </c>
      <c r="AM96" s="174">
        <v>0</v>
      </c>
      <c r="AN96" s="210" t="str">
        <f>IF(ISERROR((AM96/AE96-1)*100),"NA",IF(((AM96/AE96-1)*100)&gt;100,"NM",IF(((AM96/AE96-1)*100)&lt;-50,"NM",(AM96/AE96-1)*100)))</f>
        <v>NA</v>
      </c>
      <c r="AO96" s="174">
        <v>0</v>
      </c>
      <c r="AP96" s="210" t="str">
        <f>IF(ISERROR((AO96/AG96-1)*100),"NA",IF(((AO96/AG96-1)*100)&gt;100,"NM",IF(((AO96/AG96-1)*100)&lt;-50,"NM",(AO96/AG96-1)*100)))</f>
        <v>NA</v>
      </c>
      <c r="AQ96" s="174">
        <v>0</v>
      </c>
      <c r="AR96" s="210" t="str">
        <f>IF(ISERROR((AQ96/AI96-1)*100),"NA",IF(((AQ96/AI96-1)*100)&gt;100,"NM",IF(((AQ96/AI96-1)*100)&lt;-50,"NM",(AQ96/AI96-1)*100)))</f>
        <v>NA</v>
      </c>
      <c r="AS96" s="174">
        <v>0</v>
      </c>
      <c r="AT96" s="81" t="str">
        <f>IF(ISERROR((AS96/AK96-1)*100),"NA",IF(((AS96/AK96-1)*100)&gt;100,"NM",IF(((AS96/AK96-1)*100)&lt;-50,"NM",(AS96/AK96-1)*100)))</f>
        <v>NA</v>
      </c>
      <c r="AU96" s="174">
        <v>0</v>
      </c>
      <c r="AV96" s="81" t="str">
        <f>IF(ISERROR((AU96/AM96-1)*100),"NA",IF(((AU96/AM96-1)*100)&gt;100,"NM",IF(((AU96/AM96-1)*100)&lt;-50,"NM",(AU96/AM96-1)*100)))</f>
        <v>NA</v>
      </c>
      <c r="AW96" s="174">
        <v>0</v>
      </c>
      <c r="AX96" s="81" t="str">
        <f>IF(ISERROR((AW96/AO96-1)*100),"NA",IF(((AW96/AO96-1)*100)&gt;100,"NM",IF(((AW96/AO96-1)*100)&lt;-50,"NM",(AW96/AO96-1)*100)))</f>
        <v>NA</v>
      </c>
      <c r="AY96" s="174">
        <v>0</v>
      </c>
      <c r="AZ96" s="81" t="str">
        <f>IF(ISERROR((AY96/AQ96-1)*100),"NA",IF(((AY96/AQ96-1)*100)&gt;100,"NM",IF(((AY96/AQ96-1)*100)&lt;-50,"NM",(AY96/AQ96-1)*100)))</f>
        <v>NA</v>
      </c>
      <c r="BA96" s="174">
        <v>0</v>
      </c>
      <c r="BB96" s="81" t="str">
        <f>IF(ISERROR((BA96/AS96-1)*100),"NA",IF(((BA96/AS96-1)*100)&gt;100,"NM",IF(((BA96/AS96-1)*100)&lt;-50,"NM",(BA96/AS96-1)*100)))</f>
        <v>NA</v>
      </c>
      <c r="BC96" s="174">
        <v>0</v>
      </c>
      <c r="BD96" s="81" t="str">
        <f>IF(ISERROR((BC96/AU96-1)*100),"NA",IF(((BC96/AU96-1)*100)&gt;100,"NM",IF(((BC96/AU96-1)*100)&lt;-50,"NM",(BC96/AU96-1)*100)))</f>
        <v>NA</v>
      </c>
      <c r="BE96" s="174">
        <v>0</v>
      </c>
      <c r="BF96" s="81" t="str">
        <f>IF(ISERROR((BE96/AW96-1)*100),"NA",IF(((BE96/AW96-1)*100)&gt;100,"NM",IF(((BE96/AW96-1)*100)&lt;-50,"NM",(BE96/AW96-1)*100)))</f>
        <v>NA</v>
      </c>
      <c r="BG96" s="174">
        <v>-4</v>
      </c>
      <c r="BH96" s="81" t="str">
        <f>IF(ISERROR((BG96/AY96-1)*100),"NA",IF(((BG96/AY96-1)*100)&gt;100,"NM",IF(((BG96/AY96-1)*100)&lt;-50,"NM",(BG96/AY96-1)*100)))</f>
        <v>NA</v>
      </c>
      <c r="BI96" s="174">
        <v>0</v>
      </c>
      <c r="BJ96" s="81" t="str">
        <f>IF(ISERROR((BI96/BA96-1)*100),"NA",IF(((BI96/BA96-1)*100)&gt;100,"NM",IF(((BI96/BA96-1)*100)&lt;-50,"NM",(BI96/BA96-1)*100)))</f>
        <v>NA</v>
      </c>
      <c r="BK96" s="174">
        <v>-1</v>
      </c>
      <c r="BL96" s="81" t="str">
        <f>IF(ISERROR((BK96/BC96-1)*100),"NA",IF(((BK96/BC96-1)*100)&gt;100,"NM",IF(((BK96/BC96-1)*100)&lt;-50,"NM",(BK96/BC96-1)*100)))</f>
        <v>NA</v>
      </c>
      <c r="BM96" s="174">
        <v>0</v>
      </c>
      <c r="BN96" s="81" t="str">
        <f>IF(ISERROR((BM96/BE96-1)*100),"NA",IF(((BM96/BE96-1)*100)&gt;100,"NM",IF(((BM96/BE96-1)*100)&lt;-50,"NM",(BM96/BE96-1)*100)))</f>
        <v>NA</v>
      </c>
      <c r="BO96" s="174">
        <v>0</v>
      </c>
      <c r="BP96" s="81" t="str">
        <f>IF(ISERROR((BO96/BG96-1)*100),"NA",IF(((BO96/BG96-1)*100)&gt;100,"NM",IF(((BO96/BG96-1)*100)&lt;-50,"NM",(BO96/BG96-1)*100)))</f>
        <v>NM</v>
      </c>
      <c r="BQ96" s="174">
        <v>0</v>
      </c>
      <c r="BR96" s="81" t="str">
        <f>IF(ISERROR((BQ96/BI96-1)*100),"NA",IF(((BQ96/BI96-1)*100)&gt;100,"NM",IF(((BQ96/BI96-1)*100)&lt;-50,"NM",(BQ96/BI96-1)*100)))</f>
        <v>NA</v>
      </c>
      <c r="BS96" s="174">
        <v>0</v>
      </c>
      <c r="BT96" s="81" t="str">
        <f>IF(ISERROR((BS96/BK96-1)*100),"NA",IF(((BS96/BK96-1)*100)&gt;100,"NM",IF(((BS96/BK96-1)*100)&lt;-50,"NM",(BS96/BK96-1)*100)))</f>
        <v>NM</v>
      </c>
      <c r="BU96" s="174">
        <v>0</v>
      </c>
      <c r="BV96" s="81" t="str">
        <f>IF(ISERROR((BU96/BM96-1)*100),"NA",IF(((BU96/BM96-1)*100)&gt;100,"NM",IF(((BU96/BM96-1)*100)&lt;-50,"NM",(BU96/BM96-1)*100)))</f>
        <v>NA</v>
      </c>
      <c r="BW96" s="174">
        <v>0</v>
      </c>
      <c r="BX96" s="81" t="str">
        <f>IF(ISERROR((BW96/BO96-1)*100),"NA",IF(((BW96/BO96-1)*100)&gt;100,"NM",IF(((BW96/BO96-1)*100)&lt;-50,"NM",(BW96/BO96-1)*100)))</f>
        <v>NA</v>
      </c>
      <c r="BY96" s="174">
        <v>0</v>
      </c>
      <c r="BZ96" s="81" t="str">
        <f>IF(ISERROR((BY96/BQ96-1)*100),"NA",IF(((BY96/BQ96-1)*100)&gt;100,"NM",IF(((BY96/BQ96-1)*100)&lt;-50,"NM",(BY96/BQ96-1)*100)))</f>
        <v>NA</v>
      </c>
      <c r="CA96" s="174">
        <v>0</v>
      </c>
      <c r="CB96" s="81" t="str">
        <f>IF(ISERROR((CA96/BS96-1)*100),"NA",IF(((CA96/BS96-1)*100)&gt;100,"NM",IF(((CA96/BS96-1)*100)&lt;-50,"NM",(CA96/BS96-1)*100)))</f>
        <v>NA</v>
      </c>
      <c r="CC96" s="174">
        <v>0</v>
      </c>
      <c r="CD96" s="81" t="str">
        <f>IF(ISERROR((CC96/BU96-1)*100),"NA",IF(((CC96/BU96-1)*100)&gt;100,"NM",IF(((CC96/BU96-1)*100)&lt;-50,"NM",(CC96/BU96-1)*100)))</f>
        <v>NA</v>
      </c>
      <c r="CE96" s="174">
        <v>0</v>
      </c>
      <c r="CF96" s="81" t="str">
        <f>IF(ISERROR((CE96/BW96-1)*100),"NA",IF(((CE96/BW96-1)*100)&gt;100,"NM",IF(((CE96/BW96-1)*100)&lt;-50,"NM",(CE96/BW96-1)*100)))</f>
        <v>NA</v>
      </c>
      <c r="CG96" s="174">
        <v>0</v>
      </c>
      <c r="CH96" s="81" t="str">
        <f>IF(ISERROR((CG96/BY96-1)*100),"NA",IF(((CG96/BY96-1)*100)&gt;100,"NM",IF(((CG96/BY96-1)*100)&lt;-50,"NM",(CG96/BY96-1)*100)))</f>
        <v>NA</v>
      </c>
      <c r="CI96" s="174">
        <v>0</v>
      </c>
      <c r="CJ96" s="81" t="str">
        <f>IF(ISERROR((CI96/CA96-1)*100),"NA",IF(((CI96/CA96-1)*100)&gt;100,"NM",IF(((CI96/CA96-1)*100)&lt;-50,"NM",(CI96/CA96-1)*100)))</f>
        <v>NA</v>
      </c>
      <c r="CK96" s="174">
        <v>0</v>
      </c>
      <c r="CL96" s="81" t="str">
        <f>IF(ISERROR((CK96/CC96-1)*100),"NA",IF(((CK96/CC96-1)*100)&gt;100,"NM",IF(((CK96/CC96-1)*100)&lt;-50,"NM",(CK96/CC96-1)*100)))</f>
        <v>NA</v>
      </c>
      <c r="CM96" s="174">
        <v>0</v>
      </c>
      <c r="CN96" s="81" t="str">
        <f>IF(ISERROR((CM96/CE96-1)*100),"NA",IF(((CM96/CE96-1)*100)&gt;100,"NM",IF(((CM96/CE96-1)*100)&lt;-50,"NM",(CM96/CE96-1)*100)))</f>
        <v>NA</v>
      </c>
      <c r="CO96" s="174">
        <v>0</v>
      </c>
      <c r="CP96" s="81" t="str">
        <f>IF(ISERROR((CO96/CG96-1)*100),"NA",IF(((CO96/CG96-1)*100)&gt;100,"NM",IF(((CO96/CG96-1)*100)&lt;-50,"NM",(CO96/CG96-1)*100)))</f>
        <v>NA</v>
      </c>
      <c r="CQ96" s="174">
        <v>0</v>
      </c>
      <c r="CR96" s="81" t="str">
        <f>IF(ISERROR((CQ96/CI96-1)*100),"NA",IF(((CQ96/CI96-1)*100)&gt;100,"NM",IF(((CQ96/CI96-1)*100)&lt;-50,"NM",(CQ96/CI96-1)*100)))</f>
        <v>NA</v>
      </c>
      <c r="CS96" s="174">
        <v>0</v>
      </c>
      <c r="CT96" s="81" t="str">
        <f>IF(ISERROR((CS96/CK96-1)*100),"NA",IF(((CS96/CK96-1)*100)&gt;100,"NM",IF(((CS96/CK96-1)*100)&lt;-50,"NM",(CS96/CK96-1)*100)))</f>
        <v>NA</v>
      </c>
      <c r="CU96" s="174">
        <v>0</v>
      </c>
      <c r="CV96" s="81" t="str">
        <f>IF(ISERROR((CU96/CM96-1)*100),"NA",IF(((CU96/CM96-1)*100)&gt;100,"NM",IF(((CU96/CM96-1)*100)&lt;-50,"NM",(CU96/CM96-1)*100)))</f>
        <v>NA</v>
      </c>
      <c r="CW96" s="174">
        <v>0</v>
      </c>
      <c r="CX96" s="81" t="str">
        <f>IF(ISERROR((CW96/CO96-1)*100),"NA",IF(((CW96/CO96-1)*100)&gt;100,"NM",IF(((CW96/CO96-1)*100)&lt;-50,"NM",(CW96/CO96-1)*100)))</f>
        <v>NA</v>
      </c>
      <c r="CY96" s="174">
        <v>0</v>
      </c>
      <c r="CZ96" s="81" t="str">
        <f>IF(ISERROR((CY96/CQ96-1)*100),"NA",IF(((CY96/CQ96-1)*100)&gt;100,"NM",IF(((CY96/CQ96-1)*100)&lt;-50,"NM",(CY96/CQ96-1)*100)))</f>
        <v>NA</v>
      </c>
      <c r="DA96" s="174">
        <v>0</v>
      </c>
      <c r="DB96" s="81" t="str">
        <f>IF(ISERROR((DA96/CS96-1)*100),"NA",IF(((DA96/CS96-1)*100)&gt;100,"NM",IF(((DA96/CS96-1)*100)&lt;-50,"NM",(DA96/CS96-1)*100)))</f>
        <v>NA</v>
      </c>
      <c r="DC96" s="174">
        <f>-(49.1-85)</f>
        <v>35.9</v>
      </c>
      <c r="DD96" s="81" t="str">
        <f>IF(ISERROR((DC96/CU96-1)*100),"NA",IF(((DC96/CU96-1)*100)&gt;100,"NM",IF(((DC96/CU96-1)*100)&lt;-50,"NM",(DC96/CU96-1)*100)))</f>
        <v>NA</v>
      </c>
      <c r="DE96" s="174">
        <v>0</v>
      </c>
      <c r="DF96" s="81" t="str">
        <f>IF(ISERROR((DE96/CW96-1)*100),"NA",IF(((DE96/CW96-1)*100)&gt;100,"NM",IF(((DE96/CW96-1)*100)&lt;-50,"NM",(DE96/CW96-1)*100)))</f>
        <v>NA</v>
      </c>
      <c r="DG96" s="174">
        <v>0</v>
      </c>
      <c r="DH96" s="81" t="str">
        <f>IF(ISERROR((DG96/CY96-1)*100),"NA",IF(((DG96/CY96-1)*100)&gt;100,"NM",IF(((DG96/CY96-1)*100)&lt;-50,"NM",(DG96/CY96-1)*100)))</f>
        <v>NA</v>
      </c>
      <c r="DI96" s="174">
        <v>0</v>
      </c>
      <c r="DJ96" s="81" t="str">
        <f>IF(ISERROR((DI96/DA96-1)*100),"NA",IF(((DI96/DA96-1)*100)&gt;100,"NM",IF(((DI96/DA96-1)*100)&lt;-50,"NM",(DI96/DA96-1)*100)))</f>
        <v>NA</v>
      </c>
      <c r="DK96" s="174">
        <v>0</v>
      </c>
      <c r="DL96" s="81" t="str">
        <f>IF(ISERROR((DK96/DC96-1)*100),"NA",IF(((DK96/DC96-1)*100)&gt;100,"NM",IF(((DK96/DC96-1)*100)&lt;-50,"NM",(DK96/DC96-1)*100)))</f>
        <v>NM</v>
      </c>
      <c r="DM96" s="174">
        <v>0</v>
      </c>
      <c r="DN96" s="81" t="str">
        <f>IF(ISERROR((DM96/DE96-1)*100),"NA",IF(((DM96/DE96-1)*100)&gt;100,"NM",IF(((DM96/DE96-1)*100)&lt;-50,"NM",(DM96/DE96-1)*100)))</f>
        <v>NA</v>
      </c>
      <c r="DO96" s="174">
        <v>0</v>
      </c>
      <c r="DP96" s="81" t="str">
        <f>IF(ISERROR((DO96/DG96-1)*100),"NA",IF(((DO96/DG96-1)*100)&gt;100,"NM",IF(((DO96/DG96-1)*100)&lt;-50,"NM",(DO96/DG96-1)*100)))</f>
        <v>NA</v>
      </c>
      <c r="DQ96" s="174">
        <v>0</v>
      </c>
      <c r="DR96" s="81" t="str">
        <f>IF(ISERROR((DQ96/DI96-1)*100),"NA",IF(((DQ96/DI96-1)*100)&gt;100,"NM",IF(((DQ96/DI96-1)*100)&lt;-50,"NM",(DQ96/DI96-1)*100)))</f>
        <v>NA</v>
      </c>
      <c r="DS96" s="174">
        <v>0</v>
      </c>
      <c r="DT96" s="81" t="str">
        <f>IF(ISERROR((DS96/DK96-1)*100),"NA",IF(((DS96/DK96-1)*100)&gt;100,"NM",IF(((DS96/DK96-1)*100)&lt;-50,"NM",(DS96/DK96-1)*100)))</f>
        <v>NA</v>
      </c>
      <c r="DU96" s="174">
        <v>0</v>
      </c>
      <c r="DV96" s="81" t="str">
        <f>IF(ISERROR((DU96/DM96-1)*100),"NA",IF(((DU96/DM96-1)*100)&gt;100,"NM",IF(((DU96/DM96-1)*100)&lt;-50,"NM",(DU96/DM96-1)*100)))</f>
        <v>NA</v>
      </c>
      <c r="DW96" s="174">
        <v>0</v>
      </c>
      <c r="DX96" s="81" t="str">
        <f>IF(ISERROR((DW96/DO96-1)*100),"NA",IF(((DW96/DO96-1)*100)&gt;100,"NM",IF(((DW96/DO96-1)*100)&lt;-50,"NM",(DW96/DO96-1)*100)))</f>
        <v>NA</v>
      </c>
      <c r="DY96" s="174">
        <v>0</v>
      </c>
      <c r="DZ96" s="81" t="str">
        <f>IF(ISERROR((DY96/DQ96-1)*100),"NA",IF(((DY96/DQ96-1)*100)&gt;100,"NM",IF(((DY96/DQ96-1)*100)&lt;-50,"NM",(DY96/DQ96-1)*100)))</f>
        <v>NA</v>
      </c>
      <c r="EA96" s="174">
        <v>0</v>
      </c>
      <c r="EB96" s="81" t="str">
        <f>IF(ISERROR((EA96/DS96-1)*100),"NA",IF(((EA96/DS96-1)*100)&gt;100,"NM",IF(((EA96/DS96-1)*100)&lt;-50,"NM",(EA96/DS96-1)*100)))</f>
        <v>NA</v>
      </c>
      <c r="EC96" s="174">
        <v>0</v>
      </c>
      <c r="ED96" s="81" t="str">
        <f t="shared" ref="ED96:ED97" si="381">IF(ISERROR((EC96/DU96-1)*100),"NA",IF(((EC96/DU96-1)*100)&gt;100,"NM",IF(((EC96/DU96-1)*100)&lt;-50,"NM",(EC96/DU96-1)*100)))</f>
        <v>NA</v>
      </c>
      <c r="EE96" s="174">
        <v>0</v>
      </c>
      <c r="EF96" s="81" t="str">
        <f t="shared" ref="EF96:EF97" si="382">IF(ISERROR((EE96/DW96-1)*100),"NA",IF(((EE96/DW96-1)*100)&gt;100,"NM",IF(((EE96/DW96-1)*100)&lt;-50,"NM",(EE96/DW96-1)*100)))</f>
        <v>NA</v>
      </c>
      <c r="EG96" s="174">
        <v>0</v>
      </c>
      <c r="EH96" s="81" t="str">
        <f t="shared" ref="EH96:EH97" si="383">IF(ISERROR((EG96/DY96-1)*100),"NA",IF(((EG96/DY96-1)*100)&gt;100,"NM",IF(((EG96/DY96-1)*100)&lt;-50,"NM",(EG96/DY96-1)*100)))</f>
        <v>NA</v>
      </c>
      <c r="EI96" s="174">
        <v>0</v>
      </c>
      <c r="EJ96" s="81" t="str">
        <f t="shared" ref="EJ96:EJ97" si="384">IF(ISERROR((EI96/EA96-1)*100),"NA",IF(((EI96/EA96-1)*100)&gt;100,"NM",IF(((EI96/EA96-1)*100)&lt;-50,"NM",(EI96/EA96-1)*100)))</f>
        <v>NA</v>
      </c>
      <c r="EK96" s="174">
        <v>0</v>
      </c>
      <c r="EL96" s="81" t="str">
        <f t="shared" ref="EL96:EL97" si="385">IF(ISERROR((EK96/EC96-1)*100),"NA",IF(((EK96/EC96-1)*100)&gt;100,"NM",IF(((EK96/EC96-1)*100)&lt;-50,"NM",(EK96/EC96-1)*100)))</f>
        <v>NA</v>
      </c>
      <c r="EM96" s="174">
        <v>0</v>
      </c>
      <c r="EN96" s="81" t="str">
        <f t="shared" ref="EN96:EN97" si="386">IF(ISERROR((EM96/EE96-1)*100),"NA",IF(((EM96/EE96-1)*100)&gt;100,"NM",IF(((EM96/EE96-1)*100)&lt;-50,"NM",(EM96/EE96-1)*100)))</f>
        <v>NA</v>
      </c>
      <c r="EO96" s="174">
        <v>0</v>
      </c>
      <c r="EP96" s="81" t="str">
        <f t="shared" ref="EP96:EP97" si="387">IF(ISERROR((EO96/EG96-1)*100),"NA",IF(((EO96/EG96-1)*100)&gt;100,"NM",IF(((EO96/EG96-1)*100)&lt;-50,"NM",(EO96/EG96-1)*100)))</f>
        <v>NA</v>
      </c>
      <c r="EQ96" s="174">
        <v>0</v>
      </c>
      <c r="ER96" s="81" t="str">
        <f t="shared" ref="ER96:ER97" si="388">IF(ISERROR((EQ96/EI96-1)*100),"NA",IF(((EQ96/EI96-1)*100)&gt;100,"NM",IF(((EQ96/EI96-1)*100)&lt;-50,"NM",(EQ96/EI96-1)*100)))</f>
        <v>NA</v>
      </c>
      <c r="ES96" s="174"/>
      <c r="ET96" s="473"/>
      <c r="EU96" s="174"/>
      <c r="EV96" s="175"/>
      <c r="EW96" s="176"/>
      <c r="EX96" s="175"/>
      <c r="EY96" s="176"/>
      <c r="EZ96" s="175"/>
      <c r="FA96" s="176"/>
      <c r="FB96" s="175"/>
      <c r="FC96" s="176"/>
      <c r="FD96" s="175">
        <f>O96+Q96+S96+M96</f>
        <v>0</v>
      </c>
      <c r="FE96" s="176" t="str">
        <f>IF(ISERROR((FD96/FB96-1)*100),"NA",IF(((FD96/FB96-1)*100)&gt;100,"NM",IF(((FD96/FB96-1)*100)&lt;-50,"NM",(FD96/FB96-1)*100)))</f>
        <v>NA</v>
      </c>
      <c r="FF96" s="175">
        <f>U96+W96+Y96+AA96</f>
        <v>0</v>
      </c>
      <c r="FG96" s="176" t="str">
        <f>IF(ISERROR((FF96/FD96-1)*100),"NA",IF(((FF96/FD96-1)*100)&gt;100,"NM",IF(((FF96/FD96-1)*100)&lt;-50,"NM",(FF96/FD96-1)*100)))</f>
        <v>NA</v>
      </c>
      <c r="FH96" s="175">
        <f>AC96+AE96+AG96+AI96</f>
        <v>0</v>
      </c>
      <c r="FI96" s="176" t="str">
        <f>IF(ISERROR((FH96/FF96-1)*100),"NA",IF(((FH96/FF96-1)*100)&gt;100,"NM",IF(((FH96/FF96-1)*100)&lt;-50,"NM",(FH96/FF96-1)*100)))</f>
        <v>NA</v>
      </c>
      <c r="FJ96" s="175">
        <f>AK96+AM96+AO96+AQ96</f>
        <v>0</v>
      </c>
      <c r="FK96" s="176" t="str">
        <f>IF(ISERROR((FJ96/FH96-1)*100),"NA",IF(((FJ96/FH96-1)*100)&gt;100,"NM",IF(((FJ96/FH96-1)*100)&lt;-50,"NM",(FJ96/FH96-1)*100)))</f>
        <v>NA</v>
      </c>
      <c r="FL96" s="175">
        <f>AS96+AU96+AW96+AY96</f>
        <v>0</v>
      </c>
      <c r="FM96" s="176" t="str">
        <f>IF(ISERROR((FL96/FJ96-1)*100),"NA",IF(((FL96/FJ96-1)*100)&gt;100,"NM",IF(((FL96/FJ96-1)*100)&lt;-50,"NM",(FL96/FJ96-1)*100)))</f>
        <v>NA</v>
      </c>
      <c r="FN96" s="175">
        <f>BA96+BC96+BE96+BG96</f>
        <v>-4</v>
      </c>
      <c r="FO96" s="176" t="str">
        <f>IF(ISERROR((FN96/FL96-1)*100),"NA",IF(((FN96/FL96-1)*100)&gt;100,"NM",IF(((FN96/FL96-1)*100)&lt;-50,"NM",(FN96/FL96-1)*100)))</f>
        <v>NA</v>
      </c>
      <c r="FP96" s="175">
        <f>BI96+BK96+BM96+BO96</f>
        <v>-1</v>
      </c>
      <c r="FQ96" s="176" t="str">
        <f>IF(ISERROR((FP96/FN96-1)*100),"NA",IF(((FP96/FN96-1)*100)&gt;100,"NM",IF(((FP96/FN96-1)*100)&lt;-50,"NM",(FP96/FN96-1)*100)))</f>
        <v>NM</v>
      </c>
      <c r="FR96" s="177">
        <f>BQ96+BS96+BU96+BW96</f>
        <v>0</v>
      </c>
      <c r="FS96" s="176" t="str">
        <f>IF(ISERROR((FR96/FP96-1)*100),"NA",IF(((FR96/FP96-1)*100)&gt;100,"NM",IF(((FR96/FP96-1)*100)&lt;-50,"NM",(FR96/FP96-1)*100)))</f>
        <v>NM</v>
      </c>
      <c r="FT96" s="177">
        <f>BY96+CA96+CC96+CE96</f>
        <v>0</v>
      </c>
      <c r="FU96" s="176" t="str">
        <f>IF(ISERROR((FT96/FR96-1)*100),"NA",IF(((FT96/FR96-1)*100)&gt;100,"NM",IF(((FT96/FR96-1)*100)&lt;-50,"NM",(FT96/FR96-1)*100)))</f>
        <v>NA</v>
      </c>
      <c r="FV96" s="177">
        <f>CG96+CI96+CK96+CM96</f>
        <v>0</v>
      </c>
      <c r="FW96" s="176" t="str">
        <f>IF(ISERROR((FV96/FT96-1)*100),"NA",IF(((FV96/FT96-1)*100)&gt;100,"NM",IF(((FV96/FT96-1)*100)&lt;-50,"NM",(FV96/FT96-1)*100)))</f>
        <v>NA</v>
      </c>
      <c r="FX96" s="177">
        <f>CO96+CQ96+CS96+CU96</f>
        <v>0</v>
      </c>
      <c r="FY96" s="176" t="str">
        <f>IF(ISERROR((FX96/FV96-1)*100),"NA",IF(((FX96/FV96-1)*100)&gt;100,"NM",IF(((FX96/FV96-1)*100)&lt;-50,"NM",(FX96/FV96-1)*100)))</f>
        <v>NA</v>
      </c>
      <c r="FZ96" s="177">
        <f>CW96+CY96+DA96+DC96</f>
        <v>35.9</v>
      </c>
      <c r="GA96" s="176" t="str">
        <f>IF(ISERROR((FZ96/FX96-1)*100),"NA",IF(((FZ96/FX96-1)*100)&gt;100,"NM",IF(((FZ96/FX96-1)*100)&lt;-50,"NM",(FZ96/FX96-1)*100)))</f>
        <v>NA</v>
      </c>
      <c r="GB96" s="177">
        <f>DE96+DG96+DI96+DK96</f>
        <v>0</v>
      </c>
      <c r="GC96" s="176" t="str">
        <f>IF(ISERROR((GB96/FZ96-1)*100),"NA",IF(((GB96/FZ96-1)*100)&gt;100,"NM",IF(((GB96/FZ96-1)*100)&lt;-50,"NM",(GB96/FZ96-1)*100)))</f>
        <v>NM</v>
      </c>
      <c r="GD96" s="177">
        <f>DM96+DO96+DQ96+DS96</f>
        <v>0</v>
      </c>
      <c r="GE96" s="176" t="str">
        <f>IF(ISERROR((GD96/GB96-1)*100),"NA",IF(((GD96/GB96-1)*100)&gt;100,"NM",IF(((GD96/GB96-1)*100)&lt;-50,"NM",(GD96/GB96-1)*100)))</f>
        <v>NA</v>
      </c>
      <c r="GF96" s="177">
        <f>DU96+DW96+DY96+EA96</f>
        <v>0</v>
      </c>
      <c r="GG96" s="176" t="str">
        <f>IF(ISERROR((GF96/GD96-1)*100),"NA",IF(((GF96/GD96-1)*100)&gt;100,"NM",IF(((GF96/GD96-1)*100)&lt;-50,"NM",(GF96/GD96-1)*100)))</f>
        <v>NA</v>
      </c>
      <c r="GH96" s="177">
        <f>EC96+EE96+EG96+EI96</f>
        <v>0</v>
      </c>
      <c r="GI96" s="176" t="str">
        <f>IF(ISERROR((GH96/GF96-1)*100),"NA",IF(((GH96/GF96-1)*100)&gt;100,"NM",IF(((GH96/GF96-1)*100)&lt;-50,"NM",(GH96/GF96-1)*100)))</f>
        <v>NA</v>
      </c>
      <c r="GJ96" s="177">
        <f>EK96+EM96+EO96+EQ96</f>
        <v>0</v>
      </c>
      <c r="GK96" s="176" t="str">
        <f>IF(ISERROR((GJ96/GH96-1)*100),"NA",IF(((GJ96/GH96-1)*100)&gt;100,"NM",IF(((GJ96/GH96-1)*100)&lt;-50,"NM",(GJ96/GH96-1)*100)))</f>
        <v>NA</v>
      </c>
      <c r="GL96" s="174">
        <v>0</v>
      </c>
      <c r="GM96" s="176" t="str">
        <f>IF(ISERROR((GL96/GJ96-1)*100),"NA",IF(((GL96/GJ96-1)*100)&gt;100,"NM",IF(((GL96/GJ96-1)*100)&lt;-50,"NM",(GL96/GJ96-1)*100)))</f>
        <v>NA</v>
      </c>
      <c r="GN96" s="174">
        <v>0</v>
      </c>
      <c r="GO96" s="176" t="str">
        <f>IF(ISERROR((GN96/GL96-1)*100),"NA",IF(((GN96/GL96-1)*100)&gt;100,"NM",IF(((GN96/GL96-1)*100)&lt;-50,"NM",(GN96/GL96-1)*100)))</f>
        <v>NA</v>
      </c>
      <c r="GP96" s="174">
        <v>0</v>
      </c>
      <c r="GQ96" s="176" t="str">
        <f>IF(ISERROR((GP96/GN96-1)*100),"NA",IF(((GP96/GN96-1)*100)&gt;100,"NM",IF(((GP96/GN96-1)*100)&lt;-50,"NM",(GP96/GN96-1)*100)))</f>
        <v>NA</v>
      </c>
      <c r="GR96" s="174">
        <v>0</v>
      </c>
      <c r="GS96" s="176" t="str">
        <f>IF(ISERROR((GR96/GP96-1)*100),"NA",IF(((GR96/GP96-1)*100)&gt;100,"NM",IF(((GR96/GP96-1)*100)&lt;-50,"NM",(GR96/GP96-1)*100)))</f>
        <v>NA</v>
      </c>
      <c r="GT96" s="79" t="str">
        <f>IF(ISERROR(((GR96/GH96)^0.2-1)*100),"NA",(IF(OR(((GR96/GH96)^0.2-1)*100&gt;99,((GR96/GH96)^0.2-1)*100&lt;-50),"NM",(((GR96/GH96)^0.2-1)*100))))</f>
        <v>NA</v>
      </c>
    </row>
    <row r="97" spans="1:286" ht="12.75" customHeight="1" x14ac:dyDescent="0.2">
      <c r="A97" s="1"/>
      <c r="B97" s="68" t="s">
        <v>474</v>
      </c>
      <c r="C97" s="79"/>
      <c r="D97" s="79"/>
      <c r="E97" s="171"/>
      <c r="F97" s="171"/>
      <c r="G97" s="171"/>
      <c r="H97" s="171"/>
      <c r="I97" s="171"/>
      <c r="J97" s="171"/>
      <c r="K97" s="171"/>
      <c r="L97" s="79"/>
      <c r="M97" s="171"/>
      <c r="N97" s="79"/>
      <c r="O97" s="171"/>
      <c r="P97" s="79"/>
      <c r="Q97" s="171"/>
      <c r="R97" s="79"/>
      <c r="S97" s="171"/>
      <c r="T97" s="79"/>
      <c r="U97" s="171"/>
      <c r="V97" s="79"/>
      <c r="W97" s="171"/>
      <c r="X97" s="79"/>
      <c r="Y97" s="171"/>
      <c r="Z97" s="79"/>
      <c r="AA97" s="172"/>
      <c r="AB97" s="79"/>
      <c r="AC97" s="178">
        <f>AC93-AC96</f>
        <v>46.60000000000008</v>
      </c>
      <c r="AD97" s="79" t="str">
        <f>IF(ISERROR((AC97/U97-1)*100),"NA",IF(((AC97/U97-1)*100)&gt;100,"NM",IF(((AC97/U97-1)*100)&lt;-50,"NM",(AC97/U97-1)*100)))</f>
        <v>NA</v>
      </c>
      <c r="AE97" s="178">
        <f>AE93-AE96</f>
        <v>50.100000000000023</v>
      </c>
      <c r="AF97" s="79" t="str">
        <f>IF(ISERROR((AE97/W97-1)*100),"NA",IF(((AE97/W97-1)*100)&gt;100,"NM",IF(((AE97/W97-1)*100)&lt;-50,"NM",(AE97/W97-1)*100)))</f>
        <v>NA</v>
      </c>
      <c r="AG97" s="178">
        <f>AG93-AG96</f>
        <v>55.230000000000018</v>
      </c>
      <c r="AH97" s="79" t="str">
        <f>IF(ISERROR((AG97/Y97-1)*100),"NA",IF(((AG97/Y97-1)*100)&gt;100,"NM",IF(((AG97/Y97-1)*100)&lt;-50,"NM",(AG97/Y97-1)*100)))</f>
        <v>NA</v>
      </c>
      <c r="AI97" s="178">
        <f>AI93-AI96</f>
        <v>61.470000000000198</v>
      </c>
      <c r="AJ97" s="79" t="str">
        <f>IF(ISERROR((AI97/AA97-1)*100),"NA",IF(((AI97/AA97-1)*100)&gt;100,"NM",IF(((AI97/AA97-1)*100)&lt;-50,"NM",(AI97/AA97-1)*100)))</f>
        <v>NA</v>
      </c>
      <c r="AK97" s="178">
        <f>AK93-AK96</f>
        <v>55.500000000000057</v>
      </c>
      <c r="AL97" s="79">
        <f>IF(ISERROR((AK97/AC97-1)*100),"NA",IF(((AK97/AC97-1)*100)&gt;100,"NM",IF(((AK97/AC97-1)*100)&lt;-50,"NM",(AK97/AC97-1)*100)))</f>
        <v>19.09871244635184</v>
      </c>
      <c r="AM97" s="178">
        <f>AM93-AM96</f>
        <v>47.899999999999977</v>
      </c>
      <c r="AN97" s="79">
        <f>IF(ISERROR((AM97/AE97-1)*100),"NA",IF(((AM97/AE97-1)*100)&gt;100,"NM",IF(((AM97/AE97-1)*100)&lt;-50,"NM",(AM97/AE97-1)*100)))</f>
        <v>-4.3912175648703533</v>
      </c>
      <c r="AO97" s="178">
        <f>AO93-AO96</f>
        <v>41.899999999999977</v>
      </c>
      <c r="AP97" s="79">
        <f>IF(ISERROR((AO97/AG97-1)*100),"NA",IF(((AO97/AG97-1)*100)&gt;100,"NM",IF(((AO97/AG97-1)*100)&lt;-50,"NM",(AO97/AG97-1)*100)))</f>
        <v>-24.135433641137126</v>
      </c>
      <c r="AQ97" s="178">
        <f>AQ93-AQ96</f>
        <v>43.500000000000057</v>
      </c>
      <c r="AR97" s="79">
        <f>IF(ISERROR((AQ97/AI97-1)*100),"NA",IF(((AQ97/AI97-1)*100)&gt;100,"NM",IF(((AQ97/AI97-1)*100)&lt;-50,"NM",(AQ97/AI97-1)*100)))</f>
        <v>-29.233772571986471</v>
      </c>
      <c r="AS97" s="178">
        <f>AS93-AS96</f>
        <v>43.899999999999977</v>
      </c>
      <c r="AT97" s="81">
        <f>IF(ISERROR((AS97/AK97-1)*100),"NA",IF(((AS97/AK97-1)*100)&gt;100,"NM",IF(((AS97/AK97-1)*100)&lt;-50,"NM",(AS97/AK97-1)*100)))</f>
        <v>-20.900900900901021</v>
      </c>
      <c r="AU97" s="178">
        <f>AU93-AU96</f>
        <v>44.799999999999955</v>
      </c>
      <c r="AV97" s="81">
        <f>IF(ISERROR((AU97/AM97-1)*100),"NA",IF(((AU97/AM97-1)*100)&gt;100,"NM",IF(((AU97/AM97-1)*100)&lt;-50,"NM",(AU97/AM97-1)*100)))</f>
        <v>-6.4718162839248912</v>
      </c>
      <c r="AW97" s="178">
        <f>AW93-AW96</f>
        <v>43</v>
      </c>
      <c r="AX97" s="81">
        <f>IF(ISERROR((AW97/AO97-1)*100),"NA",IF(((AW97/AO97-1)*100)&gt;100,"NM",IF(((AW97/AO97-1)*100)&lt;-50,"NM",(AW97/AO97-1)*100)))</f>
        <v>2.6252983293556742</v>
      </c>
      <c r="AY97" s="178">
        <f>AY93-AY96</f>
        <v>46.300000000000068</v>
      </c>
      <c r="AZ97" s="81">
        <f>IF(ISERROR((AY97/AQ97-1)*100),"NA",IF(((AY97/AQ97-1)*100)&gt;100,"NM",IF(((AY97/AQ97-1)*100)&lt;-50,"NM",(AY97/AQ97-1)*100)))</f>
        <v>6.43678160919543</v>
      </c>
      <c r="BA97" s="178">
        <f>BA93-BA96</f>
        <v>49.399999999999977</v>
      </c>
      <c r="BB97" s="81">
        <f>IF(ISERROR((BA97/AS97-1)*100),"NA",IF(((BA97/AS97-1)*100)&gt;100,"NM",IF(((BA97/AS97-1)*100)&lt;-50,"NM",(BA97/AS97-1)*100)))</f>
        <v>12.528473804100226</v>
      </c>
      <c r="BC97" s="178">
        <f>BC93-BC96</f>
        <v>51.500000000000057</v>
      </c>
      <c r="BD97" s="81">
        <f>IF(ISERROR((BC97/AU97-1)*100),"NA",IF(((BC97/AU97-1)*100)&gt;100,"NM",IF(((BC97/AU97-1)*100)&lt;-50,"NM",(BC97/AU97-1)*100)))</f>
        <v>14.955357142857384</v>
      </c>
      <c r="BE97" s="178">
        <f>BE93-BE96</f>
        <v>56.200000000000045</v>
      </c>
      <c r="BF97" s="81">
        <f>IF(ISERROR((BE97/AW97-1)*100),"NA",IF(((BE97/AW97-1)*100)&gt;100,"NM",IF(((BE97/AW97-1)*100)&lt;-50,"NM",(BE97/AW97-1)*100)))</f>
        <v>30.697674418604759</v>
      </c>
      <c r="BG97" s="178">
        <f>BG93-BG96</f>
        <v>64.099999999999966</v>
      </c>
      <c r="BH97" s="81">
        <f>IF(ISERROR((BG97/AY97-1)*100),"NA",IF(((BG97/AY97-1)*100)&gt;100,"NM",IF(((BG97/AY97-1)*100)&lt;-50,"NM",(BG97/AY97-1)*100)))</f>
        <v>38.444924406047235</v>
      </c>
      <c r="BI97" s="178">
        <f>BI93-BI96</f>
        <v>55.399999999999977</v>
      </c>
      <c r="BJ97" s="81">
        <f>IF(ISERROR((BI97/BA97-1)*100),"NA",IF(((BI97/BA97-1)*100)&gt;100,"NM",IF(((BI97/BA97-1)*100)&lt;-50,"NM",(BI97/BA97-1)*100)))</f>
        <v>12.145748987854255</v>
      </c>
      <c r="BK97" s="178">
        <f>BK93-BK96</f>
        <v>55.299999999999955</v>
      </c>
      <c r="BL97" s="81">
        <f>IF(ISERROR((BK97/BC97-1)*100),"NA",IF(((BK97/BC97-1)*100)&gt;100,"NM",IF(((BK97/BC97-1)*100)&lt;-50,"NM",(BK97/BC97-1)*100)))</f>
        <v>7.3786407766988305</v>
      </c>
      <c r="BM97" s="178">
        <f>BM93-BM96</f>
        <v>50.900000000000034</v>
      </c>
      <c r="BN97" s="81">
        <f>IF(ISERROR((BM97/BE97-1)*100),"NA",IF(((BM97/BE97-1)*100)&gt;100,"NM",IF(((BM97/BE97-1)*100)&lt;-50,"NM",(BM97/BE97-1)*100)))</f>
        <v>-9.4306049822064146</v>
      </c>
      <c r="BO97" s="178">
        <f>BO93-BO96</f>
        <v>50.300000000000011</v>
      </c>
      <c r="BP97" s="81">
        <f>IF(ISERROR((BO97/BG97-1)*100),"NA",IF(((BO97/BG97-1)*100)&gt;100,"NM",IF(((BO97/BG97-1)*100)&lt;-50,"NM",(BO97/BG97-1)*100)))</f>
        <v>-21.528861154446123</v>
      </c>
      <c r="BQ97" s="178">
        <f>BQ93-BQ96</f>
        <v>48.300000000000011</v>
      </c>
      <c r="BR97" s="81">
        <f>IF(ISERROR((BQ97/BI97-1)*100),"NA",IF(((BQ97/BI97-1)*100)&gt;100,"NM",IF(((BQ97/BI97-1)*100)&lt;-50,"NM",(BQ97/BI97-1)*100)))</f>
        <v>-12.815884476534245</v>
      </c>
      <c r="BS97" s="178">
        <f>BS93-BS96</f>
        <v>48.700000000000102</v>
      </c>
      <c r="BT97" s="81">
        <f>IF(ISERROR((BS97/BK97-1)*100),"NA",IF(((BS97/BK97-1)*100)&gt;100,"NM",IF(((BS97/BK97-1)*100)&lt;-50,"NM",(BS97/BK97-1)*100)))</f>
        <v>-11.934900542495219</v>
      </c>
      <c r="BU97" s="178">
        <f>BU93-BU96</f>
        <v>49.999999999999943</v>
      </c>
      <c r="BV97" s="81">
        <f>IF(ISERROR((BU97/BM97-1)*100),"NA",IF(((BU97/BM97-1)*100)&gt;100,"NM",IF(((BU97/BM97-1)*100)&lt;-50,"NM",(BU97/BM97-1)*100)))</f>
        <v>-1.7681728880158953</v>
      </c>
      <c r="BW97" s="178">
        <f>BW93-BW96</f>
        <v>47.699999999999989</v>
      </c>
      <c r="BX97" s="81">
        <f>IF(ISERROR((BW97/BO97-1)*100),"NA",IF(((BW97/BO97-1)*100)&gt;100,"NM",IF(((BW97/BO97-1)*100)&lt;-50,"NM",(BW97/BO97-1)*100)))</f>
        <v>-5.1689860834990498</v>
      </c>
      <c r="BY97" s="178">
        <f>BY93-BY96</f>
        <v>50.500000000000057</v>
      </c>
      <c r="BZ97" s="81">
        <f>IF(ISERROR((BY97/BQ97-1)*100),"NA",IF(((BY97/BQ97-1)*100)&gt;100,"NM",IF(((BY97/BQ97-1)*100)&lt;-50,"NM",(BY97/BQ97-1)*100)))</f>
        <v>4.5548654244307318</v>
      </c>
      <c r="CA97" s="178">
        <f>CA93-CA96</f>
        <v>50.400000000000034</v>
      </c>
      <c r="CB97" s="81">
        <f>IF(ISERROR((CA97/BS97-1)*100),"NA",IF(((CA97/BS97-1)*100)&gt;100,"NM",IF(((CA97/BS97-1)*100)&lt;-50,"NM",(CA97/BS97-1)*100)))</f>
        <v>3.4907597535932755</v>
      </c>
      <c r="CC97" s="178">
        <f>CC93-CC96</f>
        <v>51.100000000000023</v>
      </c>
      <c r="CD97" s="81">
        <f>IF(ISERROR((CC97/BU97-1)*100),"NA",IF(((CC97/BU97-1)*100)&gt;100,"NM",IF(((CC97/BU97-1)*100)&lt;-50,"NM",(CC97/BU97-1)*100)))</f>
        <v>2.2000000000001574</v>
      </c>
      <c r="CE97" s="178">
        <f>CE93-CE96</f>
        <v>52.000000000000057</v>
      </c>
      <c r="CF97" s="81">
        <f t="shared" ref="CF97:CF102" si="389">IF(ISERROR((CE97/BW97-1)*100),"NA",IF(((CE97/BW97-1)*100)&gt;100,"NM",IF(((CE97/BW97-1)*100)&lt;-50,"NM",(CE97/BW97-1)*100)))</f>
        <v>9.0146750524110466</v>
      </c>
      <c r="CG97" s="178">
        <f>CG93-CG96</f>
        <v>51.599999999999966</v>
      </c>
      <c r="CH97" s="81">
        <f>IF(ISERROR((CG97/BY97-1)*100),"NA",IF(((CG97/BY97-1)*100)&gt;100,"NM",IF(((CG97/BY97-1)*100)&lt;-50,"NM",(CG97/BY97-1)*100)))</f>
        <v>2.1782178217820025</v>
      </c>
      <c r="CI97" s="178">
        <f>CI93-CI96</f>
        <v>52</v>
      </c>
      <c r="CJ97" s="81">
        <f>IF(ISERROR((CI97/CA97-1)*100),"NA",IF(((CI97/CA97-1)*100)&gt;100,"NM",IF(((CI97/CA97-1)*100)&lt;-50,"NM",(CI97/CA97-1)*100)))</f>
        <v>3.1746031746030967</v>
      </c>
      <c r="CK97" s="178">
        <f>CK93-CK96</f>
        <v>52.300000000000011</v>
      </c>
      <c r="CL97" s="81">
        <f>IF(ISERROR((CK97/CC97-1)*100),"NA",IF(((CK97/CC97-1)*100)&gt;100,"NM",IF(((CK97/CC97-1)*100)&lt;-50,"NM",(CK97/CC97-1)*100)))</f>
        <v>2.348336594911915</v>
      </c>
      <c r="CM97" s="178">
        <f>CM93-CM96</f>
        <v>52.599999999999966</v>
      </c>
      <c r="CN97" s="81">
        <f>IF(ISERROR((CM97/CE97-1)*100),"NA",IF(((CM97/CE97-1)*100)&gt;100,"NM",IF(((CM97/CE97-1)*100)&lt;-50,"NM",(CM97/CE97-1)*100)))</f>
        <v>1.1538461538459721</v>
      </c>
      <c r="CO97" s="178">
        <f>CO93-CO96</f>
        <v>52.399999999999977</v>
      </c>
      <c r="CP97" s="81">
        <f>IF(ISERROR((CO97/CG97-1)*100),"NA",IF(((CO97/CG97-1)*100)&gt;100,"NM",IF(((CO97/CG97-1)*100)&lt;-50,"NM",(CO97/CG97-1)*100)))</f>
        <v>1.5503875968992498</v>
      </c>
      <c r="CQ97" s="178">
        <f>CQ93-CQ96</f>
        <v>57.299999999999955</v>
      </c>
      <c r="CR97" s="81">
        <f>IF(ISERROR((CQ97/CI97-1)*100),"NA",IF(((CQ97/CI97-1)*100)&gt;100,"NM",IF(((CQ97/CI97-1)*100)&lt;-50,"NM",(CQ97/CI97-1)*100)))</f>
        <v>10.192307692307612</v>
      </c>
      <c r="CS97" s="178">
        <f>CS93-CS96</f>
        <v>56.100000000000023</v>
      </c>
      <c r="CT97" s="81">
        <f>IF(ISERROR((CS97/CK97-1)*100),"NA",IF(((CS97/CK97-1)*100)&gt;100,"NM",IF(((CS97/CK97-1)*100)&lt;-50,"NM",(CS97/CK97-1)*100)))</f>
        <v>7.2657743785851103</v>
      </c>
      <c r="CU97" s="178">
        <f>CU93-CU96</f>
        <v>55.100000000000023</v>
      </c>
      <c r="CV97" s="81">
        <f>IF(ISERROR((CU97/CM97-1)*100),"NA",IF(((CU97/CM97-1)*100)&gt;100,"NM",IF(((CU97/CM97-1)*100)&lt;-50,"NM",(CU97/CM97-1)*100)))</f>
        <v>4.7528517110267288</v>
      </c>
      <c r="CW97" s="178">
        <f>CW93-CW96</f>
        <v>57.000000000000057</v>
      </c>
      <c r="CX97" s="81">
        <f>IF(ISERROR((CW97/CO97-1)*100),"NA",IF(((CW97/CO97-1)*100)&gt;100,"NM",IF(((CW97/CO97-1)*100)&lt;-50,"NM",(CW97/CO97-1)*100)))</f>
        <v>8.7786259541986276</v>
      </c>
      <c r="CY97" s="178">
        <f>CY93-CY96</f>
        <v>56.099999999999966</v>
      </c>
      <c r="CZ97" s="81">
        <f>IF(ISERROR((CY97/CQ97-1)*100),"NA",IF(((CY97/CQ97-1)*100)&gt;100,"NM",IF(((CY97/CQ97-1)*100)&lt;-50,"NM",(CY97/CQ97-1)*100)))</f>
        <v>-2.0942408376963151</v>
      </c>
      <c r="DA97" s="178">
        <f>DA93-DA96</f>
        <v>57.700000000000045</v>
      </c>
      <c r="DB97" s="81">
        <f>IF(ISERROR((DA97/CS97-1)*100),"NA",IF(((DA97/CS97-1)*100)&gt;100,"NM",IF(((DA97/CS97-1)*100)&lt;-50,"NM",(DA97/CS97-1)*100)))</f>
        <v>2.8520499108734887</v>
      </c>
      <c r="DC97" s="178">
        <f>DC93-DC96</f>
        <v>61.79999999999999</v>
      </c>
      <c r="DD97" s="81">
        <f>IF(ISERROR((DC97/CU97-1)*100),"NA",IF(((DC97/CU97-1)*100)&gt;100,"NM",IF(((DC97/CU97-1)*100)&lt;-50,"NM",(DC97/CU97-1)*100)))</f>
        <v>12.159709618874714</v>
      </c>
      <c r="DE97" s="178">
        <f>DE93-DE96</f>
        <v>58.699999999999989</v>
      </c>
      <c r="DF97" s="81">
        <f>IF(ISERROR((DE97/CW97-1)*100),"NA",IF(((DE97/CW97-1)*100)&gt;100,"NM",IF(((DE97/CW97-1)*100)&lt;-50,"NM",(DE97/CW97-1)*100)))</f>
        <v>2.9824561403507532</v>
      </c>
      <c r="DG97" s="178">
        <f>DG93-DG96</f>
        <v>60.599999999999966</v>
      </c>
      <c r="DH97" s="81">
        <f>IF(ISERROR((DG97/CY97-1)*100),"NA",IF(((DG97/CY97-1)*100)&gt;100,"NM",IF(((DG97/CY97-1)*100)&lt;-50,"NM",(DG97/CY97-1)*100)))</f>
        <v>8.0213903743315598</v>
      </c>
      <c r="DI97" s="178">
        <f>DI93-DI96</f>
        <v>61.800000000000011</v>
      </c>
      <c r="DJ97" s="81">
        <f>IF(ISERROR((DI97/DA97-1)*100),"NA",IF(((DI97/DA97-1)*100)&gt;100,"NM",IF(((DI97/DA97-1)*100)&lt;-50,"NM",(DI97/DA97-1)*100)))</f>
        <v>7.1057192374349487</v>
      </c>
      <c r="DK97" s="178">
        <f>DK93-DK96</f>
        <v>59.300000000000011</v>
      </c>
      <c r="DL97" s="81">
        <f>IF(ISERROR((DK97/DC97-1)*100),"NA",IF(((DK97/DC97-1)*100)&gt;100,"NM",IF(((DK97/DC97-1)*100)&lt;-50,"NM",(DK97/DC97-1)*100)))</f>
        <v>-4.0453074433656644</v>
      </c>
      <c r="DM97" s="178">
        <f>DM93-DM96</f>
        <v>57.900000000000034</v>
      </c>
      <c r="DN97" s="81">
        <f>IF(ISERROR((DM97/DE97-1)*100),"NA",IF(((DM97/DE97-1)*100)&gt;100,"NM",IF(((DM97/DE97-1)*100)&lt;-50,"NM",(DM97/DE97-1)*100)))</f>
        <v>-1.3628620102213884</v>
      </c>
      <c r="DO97" s="178">
        <f>DO93-DO96</f>
        <v>52.500000000000057</v>
      </c>
      <c r="DP97" s="81">
        <f>IF(ISERROR((DO97/DG97-1)*100),"NA",IF(((DO97/DG97-1)*100)&gt;100,"NM",IF(((DO97/DG97-1)*100)&lt;-50,"NM",(DO97/DG97-1)*100)))</f>
        <v>-13.366336633663224</v>
      </c>
      <c r="DQ97" s="178">
        <f>DQ93-DQ96</f>
        <v>60.199999999999989</v>
      </c>
      <c r="DR97" s="81">
        <f>IF(ISERROR((DQ97/DI97-1)*100),"NA",IF(((DQ97/DI97-1)*100)&gt;100,"NM",IF(((DQ97/DI97-1)*100)&lt;-50,"NM",(DQ97/DI97-1)*100)))</f>
        <v>-2.5889967637540812</v>
      </c>
      <c r="DS97" s="178">
        <f>DS93-DS96</f>
        <v>54.300000000000068</v>
      </c>
      <c r="DT97" s="81">
        <f>IF(ISERROR((DS97/DK97-1)*100),"NA",IF(((DS97/DK97-1)*100)&gt;100,"NM",IF(((DS97/DK97-1)*100)&lt;-50,"NM",(DS97/DK97-1)*100)))</f>
        <v>-8.4317032040471247</v>
      </c>
      <c r="DU97" s="178">
        <f>DU93-DU96</f>
        <v>55.400000000000034</v>
      </c>
      <c r="DV97" s="81">
        <f>IF(ISERROR((DU97/DM97-1)*100),"NA",IF(((DU97/DM97-1)*100)&gt;100,"NM",IF(((DU97/DM97-1)*100)&lt;-50,"NM",(DU97/DM97-1)*100)))</f>
        <v>-4.3177892918825567</v>
      </c>
      <c r="DW97" s="178">
        <f>DW93-DW96</f>
        <v>56.900000000000034</v>
      </c>
      <c r="DX97" s="81">
        <f>IF(ISERROR((DW97/DO97-1)*100),"NA",IF(((DW97/DO97-1)*100)&gt;100,"NM",IF(((DW97/DO97-1)*100)&lt;-50,"NM",(DW97/DO97-1)*100)))</f>
        <v>8.3809523809523334</v>
      </c>
      <c r="DY97" s="178">
        <f>DY93-DY96</f>
        <v>53.400000000000091</v>
      </c>
      <c r="DZ97" s="81">
        <f>IF(ISERROR((DY97/DQ97-1)*100),"NA",IF(((DY97/DQ97-1)*100)&gt;100,"NM",IF(((DY97/DQ97-1)*100)&lt;-50,"NM",(DY97/DQ97-1)*100)))</f>
        <v>-11.295681063122753</v>
      </c>
      <c r="EA97" s="178">
        <f>EA93-EA96</f>
        <v>56.099999999999966</v>
      </c>
      <c r="EB97" s="81">
        <f>IF(ISERROR((EA97/DS97-1)*100),"NA",IF(((EA97/DS97-1)*100)&gt;100,"NM",IF(((EA97/DS97-1)*100)&lt;-50,"NM",(EA97/DS97-1)*100)))</f>
        <v>3.3149171270716371</v>
      </c>
      <c r="EC97" s="178">
        <f>EC93-EC96</f>
        <v>56</v>
      </c>
      <c r="ED97" s="81">
        <f t="shared" si="381"/>
        <v>1.083032490974678</v>
      </c>
      <c r="EE97" s="178">
        <f>EE93-EE96</f>
        <v>60.899999999999977</v>
      </c>
      <c r="EF97" s="81">
        <f t="shared" si="382"/>
        <v>7.0298769771528047</v>
      </c>
      <c r="EG97" s="178">
        <f>EG93-EG96</f>
        <v>60.099999999999966</v>
      </c>
      <c r="EH97" s="81">
        <f t="shared" si="383"/>
        <v>12.546816479400501</v>
      </c>
      <c r="EI97" s="178">
        <f>EI93-EI96</f>
        <v>57</v>
      </c>
      <c r="EJ97" s="81">
        <f t="shared" si="384"/>
        <v>1.604278074866361</v>
      </c>
      <c r="EK97" s="178">
        <f t="shared" ref="EK97:EQ97" si="390">EK93-EK96</f>
        <v>59.34967282740115</v>
      </c>
      <c r="EL97" s="81">
        <f t="shared" si="385"/>
        <v>5.9815586203592064</v>
      </c>
      <c r="EM97" s="178">
        <f t="shared" si="390"/>
        <v>59.445351055041499</v>
      </c>
      <c r="EN97" s="81">
        <f t="shared" si="386"/>
        <v>-2.3885861165163891</v>
      </c>
      <c r="EO97" s="178">
        <f t="shared" si="390"/>
        <v>60.879614772134801</v>
      </c>
      <c r="EP97" s="81">
        <f t="shared" si="387"/>
        <v>1.2971959602908978</v>
      </c>
      <c r="EQ97" s="178">
        <f t="shared" si="390"/>
        <v>61.023887542128818</v>
      </c>
      <c r="ER97" s="81">
        <f t="shared" si="388"/>
        <v>7.0594518282961705</v>
      </c>
      <c r="ES97" s="82"/>
      <c r="ET97" s="465"/>
      <c r="EU97" s="82"/>
      <c r="EV97" s="171"/>
      <c r="EW97" s="79"/>
      <c r="EX97" s="171"/>
      <c r="EY97" s="79"/>
      <c r="EZ97" s="171"/>
      <c r="FA97" s="79"/>
      <c r="FB97" s="171"/>
      <c r="FC97" s="79"/>
      <c r="FD97" s="178">
        <f>FD93-FD96</f>
        <v>224.09999999999991</v>
      </c>
      <c r="FE97" s="79" t="str">
        <f>IF(ISERROR((FD97/FB97-1)*100),"NA",IF(((FD97/FB97-1)*100)&gt;100,"NM",IF(((FD97/FB97-1)*100)&lt;-50,"NM",(FD97/FB97-1)*100)))</f>
        <v>NA</v>
      </c>
      <c r="FF97" s="178">
        <f>FF93-FF96</f>
        <v>222.70000000000005</v>
      </c>
      <c r="FG97" s="79">
        <f>IF(ISERROR((FF97/FD97-1)*100),"NA",IF(((FF97/FD97-1)*100)&gt;100,"NM",IF(((FF97/FD97-1)*100)&lt;-50,"NM",(FF97/FD97-1)*100)))</f>
        <v>-0.62472110664876235</v>
      </c>
      <c r="FH97" s="178">
        <f>FH93-FH96</f>
        <v>213.40000000000032</v>
      </c>
      <c r="FI97" s="79">
        <f>IF(ISERROR((FH97/FF97-1)*100),"NA",IF(((FH97/FF97-1)*100)&gt;100,"NM",IF(((FH97/FF97-1)*100)&lt;-50,"NM",(FH97/FF97-1)*100)))</f>
        <v>-4.1760215536595036</v>
      </c>
      <c r="FJ97" s="178">
        <f>FJ93-FJ96</f>
        <v>188.80000000000018</v>
      </c>
      <c r="FK97" s="79">
        <f>IF(ISERROR((FJ97/FH97-1)*100),"NA",IF(((FJ97/FH97-1)*100)&gt;100,"NM",IF(((FJ97/FH97-1)*100)&lt;-50,"NM",(FJ97/FH97-1)*100)))</f>
        <v>-11.527647610121882</v>
      </c>
      <c r="FL97" s="178">
        <f>FL93-FL96</f>
        <v>178.00000000000023</v>
      </c>
      <c r="FM97" s="79">
        <f>IF(ISERROR((FL97/FJ97-1)*100),"NA",IF(((FL97/FJ97-1)*100)&gt;100,"NM",IF(((FL97/FJ97-1)*100)&lt;-50,"NM",(FL97/FJ97-1)*100)))</f>
        <v>-5.7203389830508211</v>
      </c>
      <c r="FN97" s="178">
        <f>FN93-FN96</f>
        <v>221.20000000000027</v>
      </c>
      <c r="FO97" s="79">
        <f>IF(ISERROR((FN97/FL97-1)*100),"NA",IF(((FN97/FL97-1)*100)&gt;100,"NM",IF(((FN97/FL97-1)*100)&lt;-50,"NM",(FN97/FL97-1)*100)))</f>
        <v>24.269662921348313</v>
      </c>
      <c r="FP97" s="178">
        <f>FP93-FP96</f>
        <v>211.90000000000009</v>
      </c>
      <c r="FQ97" s="79">
        <f>IF(ISERROR((FP97/FN97-1)*100),"NA",IF(((FP97/FN97-1)*100)&gt;100,"NM",IF(((FP97/FN97-1)*100)&lt;-50,"NM",(FP97/FN97-1)*100)))</f>
        <v>-4.2043399638337142</v>
      </c>
      <c r="FR97" s="178">
        <f>FR93-FR96</f>
        <v>193.60000000000014</v>
      </c>
      <c r="FS97" s="79">
        <f>IF(ISERROR((FR97/FP97-1)*100),"NA",IF(((FR97/FP97-1)*100)&gt;100,"NM",IF(((FR97/FP97-1)*100)&lt;-50,"NM",(FR97/FP97-1)*100)))</f>
        <v>-8.6361491269466466</v>
      </c>
      <c r="FT97" s="178">
        <f>FT93-FT96</f>
        <v>204</v>
      </c>
      <c r="FU97" s="79">
        <f>IF(ISERROR((FT97/FR97-1)*100),"NA",IF(((FT97/FR97-1)*100)&gt;100,"NM",IF(((FT97/FR97-1)*100)&lt;-50,"NM",(FT97/FR97-1)*100)))</f>
        <v>5.3719008264462076</v>
      </c>
      <c r="FV97" s="178">
        <f>FV93-FV96</f>
        <v>208.50000000000023</v>
      </c>
      <c r="FW97" s="79">
        <f>IF(ISERROR((FV97/FT97-1)*100),"NA",IF(((FV97/FT97-1)*100)&gt;100,"NM",IF(((FV97/FT97-1)*100)&lt;-50,"NM",(FV97/FT97-1)*100)))</f>
        <v>2.2058823529412797</v>
      </c>
      <c r="FX97" s="178">
        <f>FX93-FX96</f>
        <v>219.40000000000009</v>
      </c>
      <c r="FY97" s="79">
        <f>IF(ISERROR((FX97/FV97-1)*100),"NA",IF(((FX97/FV97-1)*100)&gt;100,"NM",IF(((FX97/FV97-1)*100)&lt;-50,"NM",(FX97/FV97-1)*100)))</f>
        <v>5.227817745803276</v>
      </c>
      <c r="FZ97" s="178">
        <f>FZ93-FZ96</f>
        <v>232.59999999999977</v>
      </c>
      <c r="GA97" s="79">
        <f>IF(ISERROR((FZ97/FX97-1)*100),"NA",IF(((FZ97/FX97-1)*100)&gt;100,"NM",IF(((FZ97/FX97-1)*100)&lt;-50,"NM",(FZ97/FX97-1)*100)))</f>
        <v>6.0164083865085205</v>
      </c>
      <c r="GB97" s="178">
        <f>GB93-GB96</f>
        <v>240.40000000000009</v>
      </c>
      <c r="GC97" s="79">
        <f>IF(ISERROR((GB97/FZ97-1)*100),"NA",IF(((GB97/FZ97-1)*100)&gt;100,"NM",IF(((GB97/FZ97-1)*100)&lt;-50,"NM",(GB97/FZ97-1)*100)))</f>
        <v>3.3533963886501761</v>
      </c>
      <c r="GD97" s="178">
        <f>GD93-GD96</f>
        <v>224.89999999999964</v>
      </c>
      <c r="GE97" s="79">
        <f>IF(ISERROR((GD97/GB97-1)*100),"NA",IF(((GD97/GB97-1)*100)&gt;100,"NM",IF(((GD97/GB97-1)*100)&lt;-50,"NM",(GD97/GB97-1)*100)))</f>
        <v>-6.4475873544095013</v>
      </c>
      <c r="GF97" s="178">
        <f>GF93-GF96</f>
        <v>221.80000000000041</v>
      </c>
      <c r="GG97" s="79">
        <f>IF(ISERROR((GF97/GD97-1)*100),"NA",IF(((GF97/GD97-1)*100)&gt;100,"NM",IF(((GF97/GD97-1)*100)&lt;-50,"NM",(GF97/GD97-1)*100)))</f>
        <v>-1.3783903957310994</v>
      </c>
      <c r="GH97" s="178">
        <f>GH93-GH96</f>
        <v>234.00000000000023</v>
      </c>
      <c r="GI97" s="79">
        <f>IF(ISERROR((GH97/GF97-1)*100),"NA",IF(((GH97/GF97-1)*100)&gt;100,"NM",IF(((GH97/GF97-1)*100)&lt;-50,"NM",(GH97/GF97-1)*100)))</f>
        <v>5.5004508566274923</v>
      </c>
      <c r="GJ97" s="178">
        <f>GJ93-GJ96</f>
        <v>240.69852619670655</v>
      </c>
      <c r="GK97" s="79">
        <f>IF(ISERROR((GJ97/GH97-1)*100),"NA",IF(((GJ97/GH97-1)*100)&gt;100,"NM",IF(((GJ97/GH97-1)*100)&lt;-50,"NM",(GJ97/GH97-1)*100)))</f>
        <v>2.8626180327804729</v>
      </c>
      <c r="GL97" s="178">
        <f>GL93-GL96</f>
        <v>248.25402536248612</v>
      </c>
      <c r="GM97" s="79">
        <f>IF(ISERROR((GL97/GJ97-1)*100),"NA",IF(((GL97/GJ97-1)*100)&gt;100,"NM",IF(((GL97/GJ97-1)*100)&lt;-50,"NM",(GL97/GJ97-1)*100)))</f>
        <v>3.1389885451998945</v>
      </c>
      <c r="GN97" s="178">
        <f>GN93-GN96</f>
        <v>256.05993344784497</v>
      </c>
      <c r="GO97" s="79">
        <f>IF(ISERROR((GN97/GL97-1)*100),"NA",IF(((GN97/GL97-1)*100)&gt;100,"NM",IF(((GN97/GL97-1)*100)&lt;-50,"NM",(GN97/GL97-1)*100)))</f>
        <v>3.1443228660486433</v>
      </c>
      <c r="GP97" s="178">
        <f>GP93-GP96</f>
        <v>265.93371702713944</v>
      </c>
      <c r="GQ97" s="79">
        <f>IF(ISERROR((GP97/GN97-1)*100),"NA",IF(((GP97/GN97-1)*100)&gt;100,"NM",IF(((GP97/GN97-1)*100)&lt;-50,"NM",(GP97/GN97-1)*100)))</f>
        <v>3.8560439528137147</v>
      </c>
      <c r="GR97" s="178">
        <f>GR93-GR96</f>
        <v>274.31214129214072</v>
      </c>
      <c r="GS97" s="79">
        <f>IF(ISERROR((GR97/GP97-1)*100),"NA",IF(((GR97/GP97-1)*100)&gt;100,"NM",IF(((GR97/GP97-1)*100)&lt;-50,"NM",(GR97/GP97-1)*100)))</f>
        <v>3.1505686299064584</v>
      </c>
      <c r="GT97" s="79">
        <f>IF(ISERROR(((GR97/GH97)^0.2-1)*100),"NA",(IF(OR(((GR97/GH97)^0.2-1)*100&gt;99,((GR97/GH97)^0.2-1)*100&lt;-50),"NM",(((GR97/GH97)^0.2-1)*100))))</f>
        <v>3.2299779496921976</v>
      </c>
    </row>
    <row r="98" spans="1:286" s="132" customFormat="1" ht="12.75" customHeight="1" x14ac:dyDescent="0.2">
      <c r="A98" s="133"/>
      <c r="B98" s="83"/>
      <c r="C98" s="139"/>
      <c r="D98" s="139"/>
      <c r="E98" s="199"/>
      <c r="F98" s="139"/>
      <c r="G98" s="199"/>
      <c r="H98" s="139"/>
      <c r="I98" s="199"/>
      <c r="J98" s="139"/>
      <c r="K98" s="199"/>
      <c r="L98" s="79"/>
      <c r="M98" s="199"/>
      <c r="N98" s="79"/>
      <c r="O98" s="199"/>
      <c r="P98" s="79"/>
      <c r="Q98" s="199"/>
      <c r="R98" s="79"/>
      <c r="S98" s="199"/>
      <c r="T98" s="79"/>
      <c r="U98" s="199"/>
      <c r="V98" s="79"/>
      <c r="W98" s="199"/>
      <c r="X98" s="79"/>
      <c r="Y98" s="199"/>
      <c r="Z98" s="79"/>
      <c r="AA98" s="203"/>
      <c r="AB98" s="79"/>
      <c r="AC98" s="199"/>
      <c r="AD98" s="79"/>
      <c r="AE98" s="199"/>
      <c r="AF98" s="79"/>
      <c r="AG98" s="199"/>
      <c r="AH98" s="79"/>
      <c r="AI98" s="199"/>
      <c r="AJ98" s="79"/>
      <c r="AK98" s="199"/>
      <c r="AL98" s="79"/>
      <c r="AM98" s="199"/>
      <c r="AN98" s="79"/>
      <c r="AO98" s="199"/>
      <c r="AP98" s="79"/>
      <c r="AQ98" s="199"/>
      <c r="AR98" s="79"/>
      <c r="AS98" s="199"/>
      <c r="AT98" s="81"/>
      <c r="AU98" s="199"/>
      <c r="AV98" s="81"/>
      <c r="AW98" s="199"/>
      <c r="AX98" s="81"/>
      <c r="AY98" s="199"/>
      <c r="AZ98" s="81"/>
      <c r="BA98" s="199"/>
      <c r="BB98" s="81"/>
      <c r="BC98" s="199"/>
      <c r="BD98" s="81"/>
      <c r="BE98" s="199"/>
      <c r="BF98" s="81"/>
      <c r="BG98" s="199"/>
      <c r="BH98" s="81"/>
      <c r="BI98" s="199"/>
      <c r="BJ98" s="81"/>
      <c r="BK98" s="199"/>
      <c r="BL98" s="81"/>
      <c r="BM98" s="199"/>
      <c r="BN98" s="81"/>
      <c r="BO98" s="199"/>
      <c r="BP98" s="81"/>
      <c r="BQ98" s="199"/>
      <c r="BR98" s="81"/>
      <c r="BS98" s="199"/>
      <c r="BT98" s="81"/>
      <c r="BU98" s="199"/>
      <c r="BV98" s="81"/>
      <c r="BW98" s="199"/>
      <c r="BX98" s="81"/>
      <c r="BY98" s="199"/>
      <c r="BZ98" s="81"/>
      <c r="CA98" s="199"/>
      <c r="CB98" s="81"/>
      <c r="CC98" s="199"/>
      <c r="CD98" s="81"/>
      <c r="CE98" s="199"/>
      <c r="CF98" s="81"/>
      <c r="CG98" s="199"/>
      <c r="CH98" s="81"/>
      <c r="CI98" s="199"/>
      <c r="CJ98" s="81"/>
      <c r="CK98" s="199"/>
      <c r="CL98" s="81"/>
      <c r="CM98" s="199"/>
      <c r="CN98" s="81"/>
      <c r="CO98" s="199"/>
      <c r="CP98" s="81"/>
      <c r="CQ98" s="199"/>
      <c r="CR98" s="81"/>
      <c r="CS98" s="199"/>
      <c r="CT98" s="81"/>
      <c r="CU98" s="199"/>
      <c r="CV98" s="81"/>
      <c r="CW98" s="199"/>
      <c r="CX98" s="81"/>
      <c r="CY98" s="199"/>
      <c r="CZ98" s="81"/>
      <c r="DA98" s="199"/>
      <c r="DB98" s="81"/>
      <c r="DC98" s="199"/>
      <c r="DD98" s="81"/>
      <c r="DE98" s="199"/>
      <c r="DF98" s="81"/>
      <c r="DG98" s="199"/>
      <c r="DH98" s="81"/>
      <c r="DI98" s="199"/>
      <c r="DJ98" s="81"/>
      <c r="DK98" s="199"/>
      <c r="DL98" s="81"/>
      <c r="DM98" s="199"/>
      <c r="DN98" s="81"/>
      <c r="DO98" s="199"/>
      <c r="DP98" s="81"/>
      <c r="DQ98" s="199"/>
      <c r="DR98" s="81"/>
      <c r="DS98" s="199"/>
      <c r="DT98" s="81"/>
      <c r="DU98" s="199"/>
      <c r="DV98" s="81"/>
      <c r="DW98" s="199"/>
      <c r="DX98" s="81"/>
      <c r="DY98" s="199"/>
      <c r="DZ98" s="81"/>
      <c r="EA98" s="199"/>
      <c r="EB98" s="81"/>
      <c r="EC98" s="199"/>
      <c r="ED98" s="81"/>
      <c r="EE98" s="199"/>
      <c r="EF98" s="81"/>
      <c r="EG98" s="199"/>
      <c r="EH98" s="81"/>
      <c r="EI98" s="199"/>
      <c r="EJ98" s="81"/>
      <c r="EK98" s="199"/>
      <c r="EL98" s="81"/>
      <c r="EM98" s="199"/>
      <c r="EN98" s="81"/>
      <c r="EO98" s="199"/>
      <c r="EP98" s="81"/>
      <c r="EQ98" s="199"/>
      <c r="ER98" s="81"/>
      <c r="ES98" s="138"/>
      <c r="ET98" s="470"/>
      <c r="EU98" s="138"/>
      <c r="EV98" s="139"/>
      <c r="EW98" s="140"/>
      <c r="EX98" s="139"/>
      <c r="EY98" s="79"/>
      <c r="EZ98" s="141"/>
      <c r="FA98" s="79"/>
      <c r="FB98" s="142"/>
      <c r="FC98" s="79"/>
      <c r="FD98" s="142"/>
      <c r="FE98" s="79"/>
      <c r="FF98" s="142"/>
      <c r="FG98" s="79"/>
      <c r="FH98" s="142"/>
      <c r="FI98" s="79"/>
      <c r="FJ98" s="142"/>
      <c r="FK98" s="79"/>
      <c r="FL98" s="199"/>
      <c r="FM98" s="79"/>
      <c r="FN98" s="199"/>
      <c r="FO98" s="79"/>
      <c r="FP98" s="199"/>
      <c r="FQ98" s="79"/>
      <c r="FR98" s="199"/>
      <c r="FS98" s="79"/>
      <c r="FT98" s="199"/>
      <c r="FU98" s="79"/>
      <c r="FV98" s="199"/>
      <c r="FW98" s="79"/>
      <c r="FX98" s="199"/>
      <c r="FY98" s="79"/>
      <c r="FZ98" s="199"/>
      <c r="GA98" s="79"/>
      <c r="GB98" s="199"/>
      <c r="GC98" s="79"/>
      <c r="GD98" s="199"/>
      <c r="GE98" s="79"/>
      <c r="GF98" s="199"/>
      <c r="GG98" s="79"/>
      <c r="GH98" s="199"/>
      <c r="GI98" s="79"/>
      <c r="GJ98" s="199"/>
      <c r="GK98" s="79"/>
      <c r="GL98" s="199"/>
      <c r="GM98" s="79"/>
      <c r="GN98" s="199"/>
      <c r="GO98" s="79"/>
      <c r="GP98" s="199"/>
      <c r="GQ98" s="79"/>
      <c r="GR98" s="199"/>
      <c r="GS98" s="79"/>
      <c r="GT98" s="79"/>
      <c r="GU98" s="562"/>
      <c r="GV98" s="562"/>
      <c r="GW98"/>
      <c r="GX98"/>
      <c r="GY98"/>
      <c r="GZ98"/>
      <c r="HA98"/>
      <c r="HB98"/>
      <c r="HC98" s="562"/>
      <c r="HD98" s="562"/>
      <c r="HE98" s="562"/>
      <c r="HF98" s="562"/>
      <c r="HG98" s="562"/>
      <c r="HH98" s="562"/>
      <c r="HI98" s="562"/>
      <c r="HJ98" s="562"/>
      <c r="HK98" s="562"/>
      <c r="HL98" s="562"/>
      <c r="HM98" s="562"/>
      <c r="HN98" s="562"/>
      <c r="HO98" s="562"/>
      <c r="HP98" s="562"/>
      <c r="HQ98" s="562"/>
      <c r="HR98" s="562"/>
      <c r="HS98" s="562"/>
      <c r="HT98" s="562"/>
      <c r="HU98" s="562"/>
      <c r="HV98" s="562"/>
      <c r="HW98" s="562"/>
      <c r="HX98" s="562"/>
      <c r="HY98" s="562"/>
      <c r="HZ98" s="562"/>
      <c r="IA98" s="562"/>
      <c r="IB98" s="562"/>
      <c r="IC98" s="562"/>
      <c r="ID98" s="562"/>
      <c r="IE98" s="562"/>
      <c r="IF98" s="562"/>
      <c r="IG98" s="562"/>
      <c r="IH98" s="562"/>
      <c r="II98" s="562"/>
      <c r="IJ98" s="562"/>
      <c r="IK98" s="562"/>
      <c r="IL98" s="562"/>
      <c r="IM98" s="562"/>
      <c r="IN98" s="562"/>
      <c r="IO98" s="562"/>
      <c r="IP98" s="562"/>
      <c r="IQ98" s="562"/>
      <c r="IR98" s="562"/>
      <c r="IS98" s="562"/>
      <c r="IT98" s="562"/>
      <c r="IU98" s="562"/>
      <c r="IV98" s="562"/>
      <c r="IW98" s="562"/>
      <c r="IX98" s="562"/>
      <c r="IY98" s="562"/>
      <c r="IZ98" s="562"/>
      <c r="JA98" s="562"/>
      <c r="JB98" s="562"/>
      <c r="JC98" s="562"/>
      <c r="JD98" s="562"/>
      <c r="JE98" s="562"/>
      <c r="JF98" s="562"/>
      <c r="JG98" s="562"/>
      <c r="JH98" s="562"/>
      <c r="JI98" s="562"/>
      <c r="JJ98" s="562"/>
      <c r="JK98" s="562"/>
      <c r="JL98" s="562"/>
      <c r="JM98" s="562"/>
      <c r="JN98" s="562"/>
      <c r="JO98" s="562"/>
      <c r="JP98" s="562"/>
      <c r="JQ98" s="562"/>
      <c r="JR98" s="562"/>
      <c r="JS98" s="562"/>
      <c r="JT98" s="562"/>
      <c r="JU98" s="562"/>
      <c r="JV98" s="562"/>
      <c r="JW98" s="562"/>
      <c r="JX98" s="562"/>
      <c r="JY98" s="562"/>
      <c r="JZ98" s="562"/>
    </row>
    <row r="99" spans="1:286" ht="12.75" customHeight="1" x14ac:dyDescent="0.2">
      <c r="A99" s="1"/>
      <c r="B99" s="68" t="s">
        <v>389</v>
      </c>
      <c r="C99" s="79"/>
      <c r="D99" s="79"/>
      <c r="E99" s="171"/>
      <c r="F99" s="171"/>
      <c r="G99" s="171"/>
      <c r="H99" s="171"/>
      <c r="I99" s="171"/>
      <c r="J99" s="171"/>
      <c r="K99" s="171"/>
      <c r="L99" s="79"/>
      <c r="M99" s="171"/>
      <c r="N99" s="79"/>
      <c r="O99" s="171"/>
      <c r="P99" s="79"/>
      <c r="Q99" s="171"/>
      <c r="R99" s="79"/>
      <c r="S99" s="171"/>
      <c r="T99" s="79"/>
      <c r="U99" s="171"/>
      <c r="V99" s="79"/>
      <c r="W99" s="171"/>
      <c r="X99" s="79"/>
      <c r="Y99" s="171"/>
      <c r="Z99" s="79"/>
      <c r="AA99" s="172"/>
      <c r="AB99" s="79"/>
      <c r="AC99" s="171"/>
      <c r="AD99" s="79"/>
      <c r="AE99" s="171"/>
      <c r="AF99" s="79"/>
      <c r="AG99" s="171"/>
      <c r="AH99" s="79"/>
      <c r="AI99" s="171"/>
      <c r="AJ99" s="79"/>
      <c r="AK99" s="171"/>
      <c r="AL99" s="79"/>
      <c r="AM99" s="171"/>
      <c r="AN99" s="79"/>
      <c r="AO99" s="171"/>
      <c r="AP99" s="79"/>
      <c r="AQ99" s="171"/>
      <c r="AR99" s="79"/>
      <c r="AS99" s="171"/>
      <c r="AT99" s="81"/>
      <c r="AU99" s="171"/>
      <c r="AV99" s="81"/>
      <c r="AW99" s="171"/>
      <c r="AX99" s="81"/>
      <c r="AY99" s="171"/>
      <c r="AZ99" s="81"/>
      <c r="BA99" s="171"/>
      <c r="BB99" s="81"/>
      <c r="BC99" s="171"/>
      <c r="BD99" s="81"/>
      <c r="BE99" s="171"/>
      <c r="BF99" s="81"/>
      <c r="BG99" s="171"/>
      <c r="BH99" s="81"/>
      <c r="BI99" s="171"/>
      <c r="BJ99" s="81"/>
      <c r="BK99" s="171"/>
      <c r="BL99" s="81"/>
      <c r="BM99" s="171"/>
      <c r="BN99" s="81"/>
      <c r="BO99" s="171"/>
      <c r="BP99" s="81"/>
      <c r="BQ99" s="171"/>
      <c r="BR99" s="81"/>
      <c r="BS99" s="171"/>
      <c r="BT99" s="81"/>
      <c r="BU99" s="171"/>
      <c r="BV99" s="81"/>
      <c r="BW99" s="171"/>
      <c r="BX99" s="81"/>
      <c r="BY99" s="171"/>
      <c r="BZ99" s="81"/>
      <c r="CA99" s="171"/>
      <c r="CB99" s="81"/>
      <c r="CC99" s="171"/>
      <c r="CD99" s="81"/>
      <c r="CE99" s="171"/>
      <c r="CF99" s="81"/>
      <c r="CG99" s="171"/>
      <c r="CH99" s="81"/>
      <c r="CI99" s="171"/>
      <c r="CJ99" s="81"/>
      <c r="CK99" s="171"/>
      <c r="CL99" s="81"/>
      <c r="CM99" s="171"/>
      <c r="CN99" s="81"/>
      <c r="CO99" s="171"/>
      <c r="CP99" s="81"/>
      <c r="CQ99" s="171"/>
      <c r="CR99" s="81"/>
      <c r="CS99" s="171"/>
      <c r="CT99" s="81"/>
      <c r="CU99" s="171"/>
      <c r="CV99" s="81"/>
      <c r="CW99" s="171"/>
      <c r="CX99" s="81"/>
      <c r="CY99" s="171"/>
      <c r="CZ99" s="81"/>
      <c r="DA99" s="171"/>
      <c r="DB99" s="81"/>
      <c r="DC99" s="171"/>
      <c r="DD99" s="81"/>
      <c r="DE99" s="171"/>
      <c r="DF99" s="81"/>
      <c r="DG99" s="171"/>
      <c r="DH99" s="81"/>
      <c r="DI99" s="171"/>
      <c r="DJ99" s="81"/>
      <c r="DK99" s="171"/>
      <c r="DL99" s="81"/>
      <c r="DM99" s="171"/>
      <c r="DN99" s="81"/>
      <c r="DO99" s="171"/>
      <c r="DP99" s="81"/>
      <c r="DQ99" s="171"/>
      <c r="DR99" s="81"/>
      <c r="DS99" s="171"/>
      <c r="DT99" s="81"/>
      <c r="DU99" s="171"/>
      <c r="DV99" s="81"/>
      <c r="DW99" s="171"/>
      <c r="DX99" s="81"/>
      <c r="DY99" s="171"/>
      <c r="DZ99" s="81"/>
      <c r="EA99" s="171"/>
      <c r="EB99" s="81"/>
      <c r="EC99" s="171"/>
      <c r="ED99" s="81"/>
      <c r="EE99" s="171"/>
      <c r="EF99" s="81"/>
      <c r="EG99" s="171"/>
      <c r="EH99" s="81"/>
      <c r="EI99" s="171"/>
      <c r="EJ99" s="81"/>
      <c r="EK99" s="171"/>
      <c r="EL99" s="81"/>
      <c r="EM99" s="171"/>
      <c r="EN99" s="81"/>
      <c r="EO99" s="171"/>
      <c r="EP99" s="81"/>
      <c r="EQ99" s="171"/>
      <c r="ER99" s="81"/>
      <c r="ES99" s="82"/>
      <c r="ET99" s="469"/>
      <c r="EU99" s="82"/>
      <c r="EV99" s="171"/>
      <c r="EW99" s="79"/>
      <c r="EX99" s="171"/>
      <c r="EY99" s="79"/>
      <c r="EZ99" s="171"/>
      <c r="FA99" s="79"/>
      <c r="FB99" s="171"/>
      <c r="FC99" s="79"/>
      <c r="FD99" s="171"/>
      <c r="FE99" s="79"/>
      <c r="FF99" s="171"/>
      <c r="FG99" s="79"/>
      <c r="FH99" s="171"/>
      <c r="FI99" s="79"/>
      <c r="FJ99" s="171"/>
      <c r="FK99" s="79"/>
      <c r="FL99" s="171"/>
      <c r="FM99" s="79"/>
      <c r="FN99" s="171"/>
      <c r="FO99" s="79"/>
      <c r="FP99" s="171"/>
      <c r="FQ99" s="79"/>
      <c r="FR99" s="171"/>
      <c r="FS99" s="79"/>
      <c r="FT99" s="171"/>
      <c r="FU99" s="79"/>
      <c r="FV99" s="171"/>
      <c r="FW99" s="79"/>
      <c r="FX99" s="171"/>
      <c r="FY99" s="79"/>
      <c r="FZ99" s="171"/>
      <c r="GA99" s="79"/>
      <c r="GB99" s="171"/>
      <c r="GC99" s="79"/>
      <c r="GD99" s="171"/>
      <c r="GE99" s="79"/>
      <c r="GF99" s="171"/>
      <c r="GG99" s="79"/>
      <c r="GH99" s="171"/>
      <c r="GI99" s="79"/>
      <c r="GJ99" s="171"/>
      <c r="GK99" s="79"/>
      <c r="GL99" s="171"/>
      <c r="GM99" s="79"/>
      <c r="GN99" s="171"/>
      <c r="GO99" s="79"/>
      <c r="GP99" s="171"/>
      <c r="GQ99" s="79"/>
      <c r="GR99" s="171"/>
      <c r="GS99" s="79"/>
      <c r="GT99" s="79"/>
    </row>
    <row r="100" spans="1:286" ht="12.75" customHeight="1" x14ac:dyDescent="0.2">
      <c r="A100" s="1" t="s">
        <v>305</v>
      </c>
      <c r="B100" s="2" t="s">
        <v>100</v>
      </c>
      <c r="C100" s="79"/>
      <c r="D100" s="79"/>
      <c r="E100" s="171"/>
      <c r="F100" s="171"/>
      <c r="G100" s="171"/>
      <c r="H100" s="171"/>
      <c r="I100" s="171"/>
      <c r="J100" s="171"/>
      <c r="K100" s="171"/>
      <c r="L100" s="79"/>
      <c r="M100" s="171"/>
      <c r="N100" s="79"/>
      <c r="O100" s="171"/>
      <c r="P100" s="79"/>
      <c r="Q100" s="171"/>
      <c r="R100" s="79"/>
      <c r="S100" s="171"/>
      <c r="T100" s="79"/>
      <c r="U100" s="171"/>
      <c r="V100" s="79"/>
      <c r="W100" s="171"/>
      <c r="X100" s="79"/>
      <c r="Y100" s="171"/>
      <c r="Z100" s="79"/>
      <c r="AA100" s="172"/>
      <c r="AB100" s="79"/>
      <c r="AC100" s="107">
        <f>69.2-AE100</f>
        <v>30.1</v>
      </c>
      <c r="AD100" s="79" t="str">
        <f>IF(ISERROR((AC100/U100-1)*100),"NA",IF(((AC100/U100-1)*100)&gt;100,"NM",IF(((AC100/U100-1)*100)&lt;-50,"NM",(AC100/U100-1)*100)))</f>
        <v>NA</v>
      </c>
      <c r="AE100" s="107">
        <v>39.1</v>
      </c>
      <c r="AF100" s="79" t="str">
        <f>IF(ISERROR((AE100/W100-1)*100),"NA",IF(((AE100/W100-1)*100)&gt;100,"NM",IF(((AE100/W100-1)*100)&lt;-50,"NM",(AE100/W100-1)*100)))</f>
        <v>NA</v>
      </c>
      <c r="AG100" s="107">
        <v>27.7</v>
      </c>
      <c r="AH100" s="79" t="str">
        <f>IF(ISERROR((AG100/Y100-1)*100),"NA",IF(((AG100/Y100-1)*100)&gt;100,"NM",IF(((AG100/Y100-1)*100)&lt;-50,"NM",(AG100/Y100-1)*100)))</f>
        <v>NA</v>
      </c>
      <c r="AI100" s="171">
        <f>FH100-AG100-AE100-AC100</f>
        <v>69.600000000000023</v>
      </c>
      <c r="AJ100" s="79" t="str">
        <f>IF(ISERROR((AI100/AA100-1)*100),"NA",IF(((AI100/AA100-1)*100)&gt;100,"NM",IF(((AI100/AA100-1)*100)&lt;-50,"NM",(AI100/AA100-1)*100)))</f>
        <v>NA</v>
      </c>
      <c r="AK100" s="107">
        <f>70.2-AM100</f>
        <v>31.700000000000003</v>
      </c>
      <c r="AL100" s="79">
        <f>IF(ISERROR((AK100/AC100-1)*100),"NA",IF(((AK100/AC100-1)*100)&gt;100,"NM",IF(((AK100/AC100-1)*100)&lt;-50,"NM",(AK100/AC100-1)*100)))</f>
        <v>5.315614617940212</v>
      </c>
      <c r="AM100" s="107">
        <v>38.5</v>
      </c>
      <c r="AN100" s="79">
        <f t="shared" ref="AN100:BD102" si="391">IF(ISERROR((AM100/AE100-1)*100),"NA",IF(((AM100/AE100-1)*100)&gt;100,"NM",IF(((AM100/AE100-1)*100)&lt;-50,"NM",(AM100/AE100-1)*100)))</f>
        <v>-1.5345268542199531</v>
      </c>
      <c r="AO100" s="107">
        <v>23.4</v>
      </c>
      <c r="AP100" s="79">
        <f t="shared" si="391"/>
        <v>-15.523465703971118</v>
      </c>
      <c r="AQ100" s="107">
        <v>64.2</v>
      </c>
      <c r="AR100" s="79">
        <f t="shared" si="391"/>
        <v>-7.7586206896551939</v>
      </c>
      <c r="AS100" s="107">
        <v>33.200000000000003</v>
      </c>
      <c r="AT100" s="81">
        <f t="shared" si="391"/>
        <v>4.7318611987381631</v>
      </c>
      <c r="AU100" s="107">
        <v>43.5</v>
      </c>
      <c r="AV100" s="81">
        <f t="shared" si="391"/>
        <v>12.987012987012992</v>
      </c>
      <c r="AW100" s="107">
        <v>17.7</v>
      </c>
      <c r="AX100" s="81">
        <f t="shared" si="391"/>
        <v>-24.358974358974361</v>
      </c>
      <c r="AY100" s="107">
        <v>55.4</v>
      </c>
      <c r="AZ100" s="81">
        <f t="shared" si="391"/>
        <v>-13.707165109034269</v>
      </c>
      <c r="BA100" s="107">
        <v>20.100000000000001</v>
      </c>
      <c r="BB100" s="81">
        <f t="shared" si="391"/>
        <v>-39.457831325301207</v>
      </c>
      <c r="BC100" s="107">
        <v>35.299999999999997</v>
      </c>
      <c r="BD100" s="81">
        <f t="shared" si="391"/>
        <v>-18.850574712643684</v>
      </c>
      <c r="BE100" s="107">
        <v>17.3</v>
      </c>
      <c r="BF100" s="81">
        <f>IF(ISERROR((BE100/AW100-1)*100),"NA",IF(((BE100/AW100-1)*100)&gt;100,"NM",IF(((BE100/AW100-1)*100)&lt;-50,"NM",(BE100/AW100-1)*100)))</f>
        <v>-2.2598870056497078</v>
      </c>
      <c r="BG100" s="107">
        <v>61.3</v>
      </c>
      <c r="BH100" s="81">
        <f>IF(ISERROR((BG100/AY100-1)*100),"NA",IF(((BG100/AY100-1)*100)&gt;100,"NM",IF(((BG100/AY100-1)*100)&lt;-50,"NM",(BG100/AY100-1)*100)))</f>
        <v>10.649819494584833</v>
      </c>
      <c r="BI100" s="107">
        <v>27.1</v>
      </c>
      <c r="BJ100" s="81">
        <f>IF(ISERROR((BI100/BA100-1)*100),"NA",IF(((BI100/BA100-1)*100)&gt;100,"NM",IF(((BI100/BA100-1)*100)&lt;-50,"NM",(BI100/BA100-1)*100)))</f>
        <v>34.825870646766163</v>
      </c>
      <c r="BK100" s="107">
        <v>38.6</v>
      </c>
      <c r="BL100" s="81">
        <f>IF(ISERROR((BK100/BC100-1)*100),"NA",IF(((BK100/BC100-1)*100)&gt;100,"NM",IF(((BK100/BC100-1)*100)&lt;-50,"NM",(BK100/BC100-1)*100)))</f>
        <v>9.3484419263456289</v>
      </c>
      <c r="BM100" s="107">
        <v>17.100000000000001</v>
      </c>
      <c r="BN100" s="81"/>
      <c r="BO100" s="107">
        <v>82.6</v>
      </c>
      <c r="BP100" s="81"/>
      <c r="BQ100" s="107">
        <v>31.8</v>
      </c>
      <c r="BR100" s="81">
        <f>IF(ISERROR((BQ100/BI100-1)*100),"NA",IF(((BQ100/BI100-1)*100)&gt;100,"NM",IF(((BQ100/BI100-1)*100)&lt;-50,"NM",(BQ100/BI100-1)*100)))</f>
        <v>17.343173431734304</v>
      </c>
      <c r="BS100" s="107">
        <v>48.6</v>
      </c>
      <c r="BT100" s="81"/>
      <c r="BU100" s="107">
        <v>28</v>
      </c>
      <c r="BV100" s="81"/>
      <c r="BW100" s="107">
        <v>76.5</v>
      </c>
      <c r="BX100" s="81"/>
      <c r="BY100" s="107">
        <v>28.5</v>
      </c>
      <c r="BZ100" s="81">
        <f t="shared" ref="BZ100:CD102" si="392">IF(ISERROR((BY100/BQ100-1)*100),"NA",IF(((BY100/BQ100-1)*100)&gt;100,"NM",IF(((BY100/BQ100-1)*100)&lt;-50,"NM",(BY100/BQ100-1)*100)))</f>
        <v>-10.377358490566035</v>
      </c>
      <c r="CA100" s="107">
        <v>36.299999999999997</v>
      </c>
      <c r="CB100" s="81">
        <f t="shared" si="392"/>
        <v>-25.308641975308653</v>
      </c>
      <c r="CC100" s="107">
        <v>24.5</v>
      </c>
      <c r="CD100" s="81">
        <f t="shared" si="392"/>
        <v>-12.5</v>
      </c>
      <c r="CE100" s="107">
        <v>77.599999999999994</v>
      </c>
      <c r="CF100" s="81">
        <f t="shared" si="389"/>
        <v>1.437908496732021</v>
      </c>
      <c r="CG100" s="107">
        <f>30.8</f>
        <v>30.8</v>
      </c>
      <c r="CH100" s="81"/>
      <c r="CI100" s="107">
        <v>40.9</v>
      </c>
      <c r="CJ100" s="81"/>
      <c r="CK100" s="107">
        <v>25.2</v>
      </c>
      <c r="CL100" s="81"/>
      <c r="CM100" s="107">
        <v>88.4</v>
      </c>
      <c r="CN100" s="81"/>
      <c r="CO100" s="107">
        <v>33</v>
      </c>
      <c r="CP100" s="81"/>
      <c r="CQ100" s="107">
        <v>45.2</v>
      </c>
      <c r="CR100" s="81"/>
      <c r="CS100" s="107">
        <v>24.5</v>
      </c>
      <c r="CT100" s="81"/>
      <c r="CU100" s="107">
        <v>85.3</v>
      </c>
      <c r="CV100" s="81"/>
      <c r="CW100" s="107">
        <v>33.700000000000003</v>
      </c>
      <c r="CX100" s="81"/>
      <c r="CY100" s="107">
        <v>33.6</v>
      </c>
      <c r="CZ100" s="81"/>
      <c r="DA100" s="107">
        <v>23.3</v>
      </c>
      <c r="DB100" s="81"/>
      <c r="DC100" s="107"/>
      <c r="DD100" s="81"/>
      <c r="DE100" s="107"/>
      <c r="DF100" s="81"/>
      <c r="DG100" s="107"/>
      <c r="DH100" s="81"/>
      <c r="DI100" s="107"/>
      <c r="DJ100" s="81"/>
      <c r="DK100" s="107"/>
      <c r="DL100" s="81"/>
      <c r="DM100" s="107"/>
      <c r="DN100" s="81"/>
      <c r="DO100" s="107"/>
      <c r="DP100" s="81"/>
      <c r="DQ100" s="107"/>
      <c r="DR100" s="81"/>
      <c r="DS100" s="107"/>
      <c r="DT100" s="81"/>
      <c r="DU100" s="107"/>
      <c r="DV100" s="81"/>
      <c r="DW100" s="107"/>
      <c r="DX100" s="81"/>
      <c r="DY100" s="107"/>
      <c r="DZ100" s="81"/>
      <c r="EA100" s="107"/>
      <c r="EB100" s="81"/>
      <c r="EC100" s="107"/>
      <c r="ED100" s="81"/>
      <c r="EE100" s="107"/>
      <c r="EF100" s="81"/>
      <c r="EG100" s="107"/>
      <c r="EH100" s="81"/>
      <c r="EI100" s="107"/>
      <c r="EJ100" s="81"/>
      <c r="EK100" s="107"/>
      <c r="EL100" s="81"/>
      <c r="EM100" s="107"/>
      <c r="EN100" s="81"/>
      <c r="EO100" s="107"/>
      <c r="EP100" s="81"/>
      <c r="EQ100" s="107"/>
      <c r="ER100" s="81"/>
      <c r="ES100" s="82"/>
      <c r="ET100" s="469"/>
      <c r="EU100" s="82"/>
      <c r="EV100" s="171"/>
      <c r="EW100" s="79"/>
      <c r="EX100" s="171"/>
      <c r="EY100" s="79"/>
      <c r="EZ100" s="171"/>
      <c r="FA100" s="79"/>
      <c r="FB100" s="171"/>
      <c r="FC100" s="79"/>
      <c r="FD100" s="82">
        <v>274.10000000000002</v>
      </c>
      <c r="FE100" s="79" t="str">
        <f t="shared" ref="FE100:GQ102" si="393">IF(ISERROR((FD100/FB100-1)*100),"NA",IF(((FD100/FB100-1)*100)&gt;100,"NM",IF(((FD100/FB100-1)*100)&lt;-50,"NM",(FD100/FB100-1)*100)))</f>
        <v>NA</v>
      </c>
      <c r="FF100" s="82">
        <v>241.6</v>
      </c>
      <c r="FG100" s="79">
        <f t="shared" si="393"/>
        <v>-11.856986501276911</v>
      </c>
      <c r="FH100" s="82">
        <v>166.5</v>
      </c>
      <c r="FI100" s="79">
        <f t="shared" si="393"/>
        <v>-31.084437086092709</v>
      </c>
      <c r="FJ100" s="171"/>
      <c r="FK100" s="79" t="str">
        <f t="shared" si="393"/>
        <v>NM</v>
      </c>
      <c r="FL100" s="171"/>
      <c r="FM100" s="79" t="str">
        <f t="shared" si="393"/>
        <v>NA</v>
      </c>
      <c r="FN100" s="171"/>
      <c r="FO100" s="79" t="str">
        <f t="shared" si="393"/>
        <v>NA</v>
      </c>
      <c r="FP100" s="171"/>
      <c r="FQ100" s="79" t="str">
        <f t="shared" si="393"/>
        <v>NA</v>
      </c>
      <c r="FR100" s="78">
        <f>BQ100+BS100+BU100+BW100</f>
        <v>184.9</v>
      </c>
      <c r="FS100" s="79" t="str">
        <f t="shared" si="393"/>
        <v>NA</v>
      </c>
      <c r="FT100" s="78">
        <f>BY100+CA100+CC100+CE100</f>
        <v>166.89999999999998</v>
      </c>
      <c r="FU100" s="79">
        <f t="shared" si="393"/>
        <v>-9.7349918875067729</v>
      </c>
      <c r="FV100" s="78">
        <f>CG100+CI100+CK100+CM100</f>
        <v>185.3</v>
      </c>
      <c r="FW100" s="79">
        <f t="shared" si="393"/>
        <v>11.024565608148617</v>
      </c>
      <c r="FX100" s="78">
        <f>CO100+CQ100+CS100+CU100</f>
        <v>188</v>
      </c>
      <c r="FY100" s="79">
        <f t="shared" si="393"/>
        <v>1.4570966001079322</v>
      </c>
      <c r="FZ100" s="78">
        <f>CW100+CY100+DA100+DC100</f>
        <v>90.600000000000009</v>
      </c>
      <c r="GA100" s="79" t="str">
        <f t="shared" si="393"/>
        <v>NM</v>
      </c>
      <c r="GB100" s="78"/>
      <c r="GC100" s="79" t="str">
        <f t="shared" si="393"/>
        <v>NM</v>
      </c>
      <c r="GD100" s="107"/>
      <c r="GE100" s="79" t="str">
        <f t="shared" si="393"/>
        <v>NA</v>
      </c>
      <c r="GF100" s="107"/>
      <c r="GG100" s="79" t="str">
        <f t="shared" si="393"/>
        <v>NA</v>
      </c>
      <c r="GH100" s="107"/>
      <c r="GI100" s="79" t="str">
        <f t="shared" si="393"/>
        <v>NA</v>
      </c>
      <c r="GJ100" s="107"/>
      <c r="GK100" s="79" t="str">
        <f t="shared" si="393"/>
        <v>NA</v>
      </c>
      <c r="GL100" s="107"/>
      <c r="GM100" s="79" t="str">
        <f t="shared" si="393"/>
        <v>NA</v>
      </c>
      <c r="GN100" s="107"/>
      <c r="GO100" s="79" t="str">
        <f t="shared" si="393"/>
        <v>NA</v>
      </c>
      <c r="GP100" s="107"/>
      <c r="GQ100" s="79" t="str">
        <f t="shared" si="393"/>
        <v>NA</v>
      </c>
      <c r="GR100" s="107"/>
      <c r="GS100" s="79" t="str">
        <f t="shared" ref="GS100:GS102" si="394">IF(ISERROR((GR100/GP100-1)*100),"NA",IF(((GR100/GP100-1)*100)&gt;100,"NM",IF(((GR100/GP100-1)*100)&lt;-50,"NM",(GR100/GP100-1)*100)))</f>
        <v>NA</v>
      </c>
      <c r="GT100" s="79"/>
    </row>
    <row r="101" spans="1:286" ht="12.75" customHeight="1" x14ac:dyDescent="0.2">
      <c r="A101" s="1"/>
      <c r="B101" s="2" t="s">
        <v>101</v>
      </c>
      <c r="C101" s="79"/>
      <c r="D101" s="79"/>
      <c r="E101" s="171"/>
      <c r="F101" s="171"/>
      <c r="G101" s="171"/>
      <c r="H101" s="171"/>
      <c r="I101" s="171"/>
      <c r="J101" s="171"/>
      <c r="K101" s="171"/>
      <c r="L101" s="79"/>
      <c r="M101" s="171"/>
      <c r="N101" s="79"/>
      <c r="O101" s="171"/>
      <c r="P101" s="79"/>
      <c r="Q101" s="171"/>
      <c r="R101" s="79"/>
      <c r="S101" s="171"/>
      <c r="T101" s="79"/>
      <c r="U101" s="171"/>
      <c r="V101" s="79"/>
      <c r="W101" s="171"/>
      <c r="X101" s="79"/>
      <c r="Y101" s="171"/>
      <c r="Z101" s="79"/>
      <c r="AA101" s="172"/>
      <c r="AB101" s="79"/>
      <c r="AC101" s="107">
        <f>6.1-AE101</f>
        <v>2.4999999999999996</v>
      </c>
      <c r="AD101" s="79" t="str">
        <f>IF(ISERROR((AC101/U101-1)*100),"NA",IF(((AC101/U101-1)*100)&gt;100,"NM",IF(((AC101/U101-1)*100)&lt;-50,"NM",(AC101/U101-1)*100)))</f>
        <v>NA</v>
      </c>
      <c r="AE101" s="107">
        <v>3.6</v>
      </c>
      <c r="AF101" s="79" t="str">
        <f>IF(ISERROR((AE101/W101-1)*100),"NA",IF(((AE101/W101-1)*100)&gt;100,"NM",IF(((AE101/W101-1)*100)&lt;-50,"NM",(AE101/W101-1)*100)))</f>
        <v>NA</v>
      </c>
      <c r="AG101" s="107">
        <v>2.1</v>
      </c>
      <c r="AH101" s="79" t="str">
        <f>IF(ISERROR((AG101/Y101-1)*100),"NA",IF(((AG101/Y101-1)*100)&gt;100,"NM",IF(((AG101/Y101-1)*100)&lt;-50,"NM",(AG101/Y101-1)*100)))</f>
        <v>NA</v>
      </c>
      <c r="AI101" s="171">
        <f>FH101-AG101-AE101-AC101</f>
        <v>4.6000000000000014</v>
      </c>
      <c r="AJ101" s="79" t="str">
        <f>IF(ISERROR((AI101/AA101-1)*100),"NA",IF(((AI101/AA101-1)*100)&gt;100,"NM",IF(((AI101/AA101-1)*100)&lt;-50,"NM",(AI101/AA101-1)*100)))</f>
        <v>NA</v>
      </c>
      <c r="AK101" s="107">
        <f>6.7-AM101</f>
        <v>3.4000000000000004</v>
      </c>
      <c r="AL101" s="79">
        <f>IF(ISERROR((AK101/AC101-1)*100),"NA",IF(((AK101/AC101-1)*100)&gt;100,"NM",IF(((AK101/AC101-1)*100)&lt;-50,"NM",(AK101/AC101-1)*100)))</f>
        <v>36.000000000000028</v>
      </c>
      <c r="AM101" s="107">
        <v>3.3</v>
      </c>
      <c r="AN101" s="79">
        <f t="shared" si="391"/>
        <v>-8.3333333333333375</v>
      </c>
      <c r="AO101" s="107">
        <v>1.7</v>
      </c>
      <c r="AP101" s="79">
        <f t="shared" si="391"/>
        <v>-19.047619047619058</v>
      </c>
      <c r="AQ101" s="107">
        <v>6.3</v>
      </c>
      <c r="AR101" s="79">
        <f t="shared" si="391"/>
        <v>36.956521739130402</v>
      </c>
      <c r="AS101" s="107">
        <v>2.8</v>
      </c>
      <c r="AT101" s="81">
        <f t="shared" si="391"/>
        <v>-17.647058823529427</v>
      </c>
      <c r="AU101" s="107">
        <v>3.1</v>
      </c>
      <c r="AV101" s="81">
        <f t="shared" si="391"/>
        <v>-6.0606060606060552</v>
      </c>
      <c r="AW101" s="107">
        <v>1.8</v>
      </c>
      <c r="AX101" s="81">
        <f t="shared" si="391"/>
        <v>5.8823529411764719</v>
      </c>
      <c r="AY101" s="107">
        <v>6</v>
      </c>
      <c r="AZ101" s="81">
        <f t="shared" si="391"/>
        <v>-4.7619047619047556</v>
      </c>
      <c r="BA101" s="107">
        <v>2</v>
      </c>
      <c r="BB101" s="81">
        <f t="shared" si="391"/>
        <v>-28.571428571428569</v>
      </c>
      <c r="BC101" s="107">
        <v>3.2</v>
      </c>
      <c r="BD101" s="81">
        <f t="shared" si="391"/>
        <v>3.2258064516129004</v>
      </c>
      <c r="BE101" s="107">
        <v>2.4</v>
      </c>
      <c r="BF101" s="81">
        <f>IF(ISERROR((BE101/AW101-1)*100),"NA",IF(((BE101/AW101-1)*100)&gt;100,"NM",IF(((BE101/AW101-1)*100)&lt;-50,"NM",(BE101/AW101-1)*100)))</f>
        <v>33.333333333333329</v>
      </c>
      <c r="BG101" s="107">
        <v>6.2</v>
      </c>
      <c r="BH101" s="81">
        <f>IF(ISERROR((BG101/AY101-1)*100),"NA",IF(((BG101/AY101-1)*100)&gt;100,"NM",IF(((BG101/AY101-1)*100)&lt;-50,"NM",(BG101/AY101-1)*100)))</f>
        <v>3.3333333333333437</v>
      </c>
      <c r="BI101" s="107">
        <v>2.9</v>
      </c>
      <c r="BJ101" s="81">
        <f>IF(ISERROR((BI101/BA101-1)*100),"NA",IF(((BI101/BA101-1)*100)&gt;100,"NM",IF(((BI101/BA101-1)*100)&lt;-50,"NM",(BI101/BA101-1)*100)))</f>
        <v>44.999999999999993</v>
      </c>
      <c r="BK101" s="107">
        <v>3.4</v>
      </c>
      <c r="BL101" s="81">
        <f>IF(ISERROR((BK101/BC101-1)*100),"NA",IF(((BK101/BC101-1)*100)&gt;100,"NM",IF(((BK101/BC101-1)*100)&lt;-50,"NM",(BK101/BC101-1)*100)))</f>
        <v>6.25</v>
      </c>
      <c r="BM101" s="107">
        <v>1.7</v>
      </c>
      <c r="BN101" s="81"/>
      <c r="BO101" s="107">
        <v>9.1999999999999993</v>
      </c>
      <c r="BP101" s="81"/>
      <c r="BQ101" s="107">
        <v>2.9</v>
      </c>
      <c r="BR101" s="81">
        <f>IF(ISERROR((BQ101/BI101-1)*100),"NA",IF(((BQ101/BI101-1)*100)&gt;100,"NM",IF(((BQ101/BI101-1)*100)&lt;-50,"NM",(BQ101/BI101-1)*100)))</f>
        <v>0</v>
      </c>
      <c r="BS101" s="107">
        <v>5.0999999999999996</v>
      </c>
      <c r="BT101" s="81"/>
      <c r="BU101" s="107">
        <v>2.9</v>
      </c>
      <c r="BV101" s="81"/>
      <c r="BW101" s="107">
        <v>7.8</v>
      </c>
      <c r="BX101" s="81"/>
      <c r="BY101" s="107">
        <v>3.5</v>
      </c>
      <c r="BZ101" s="81">
        <f t="shared" si="392"/>
        <v>20.68965517241379</v>
      </c>
      <c r="CA101" s="107">
        <v>3.7</v>
      </c>
      <c r="CB101" s="81">
        <f t="shared" si="392"/>
        <v>-27.450980392156854</v>
      </c>
      <c r="CC101" s="107">
        <v>2.6</v>
      </c>
      <c r="CD101" s="81">
        <f t="shared" si="392"/>
        <v>-10.344827586206895</v>
      </c>
      <c r="CE101" s="107">
        <v>8.3000000000000007</v>
      </c>
      <c r="CF101" s="81">
        <f t="shared" si="389"/>
        <v>6.4102564102564319</v>
      </c>
      <c r="CG101" s="107">
        <v>2.5</v>
      </c>
      <c r="CH101" s="81"/>
      <c r="CI101" s="107">
        <v>3.8</v>
      </c>
      <c r="CJ101" s="81"/>
      <c r="CK101" s="107">
        <v>2.6</v>
      </c>
      <c r="CL101" s="81"/>
      <c r="CM101" s="107">
        <v>8.6999999999999993</v>
      </c>
      <c r="CN101" s="81"/>
      <c r="CO101" s="107">
        <v>2.9</v>
      </c>
      <c r="CP101" s="81"/>
      <c r="CQ101" s="107">
        <v>4.9000000000000004</v>
      </c>
      <c r="CR101" s="81"/>
      <c r="CS101" s="107">
        <v>2.2000000000000002</v>
      </c>
      <c r="CT101" s="81"/>
      <c r="CU101" s="107">
        <v>9.5</v>
      </c>
      <c r="CV101" s="81"/>
      <c r="CW101" s="107">
        <v>3.1</v>
      </c>
      <c r="CX101" s="81"/>
      <c r="CY101" s="107">
        <v>2.9</v>
      </c>
      <c r="CZ101" s="81"/>
      <c r="DA101" s="107">
        <v>2.2000000000000002</v>
      </c>
      <c r="DB101" s="81"/>
      <c r="DC101" s="107"/>
      <c r="DD101" s="81"/>
      <c r="DE101" s="107"/>
      <c r="DF101" s="81"/>
      <c r="DG101" s="107"/>
      <c r="DH101" s="81"/>
      <c r="DI101" s="107"/>
      <c r="DJ101" s="81"/>
      <c r="DK101" s="107"/>
      <c r="DL101" s="81"/>
      <c r="DM101" s="107"/>
      <c r="DN101" s="81"/>
      <c r="DO101" s="107"/>
      <c r="DP101" s="81"/>
      <c r="DQ101" s="107"/>
      <c r="DR101" s="81"/>
      <c r="DS101" s="107"/>
      <c r="DT101" s="81"/>
      <c r="DU101" s="107"/>
      <c r="DV101" s="81"/>
      <c r="DW101" s="107"/>
      <c r="DX101" s="81"/>
      <c r="DY101" s="107"/>
      <c r="DZ101" s="81"/>
      <c r="EA101" s="107"/>
      <c r="EB101" s="81"/>
      <c r="EC101" s="107"/>
      <c r="ED101" s="81"/>
      <c r="EE101" s="107"/>
      <c r="EF101" s="81"/>
      <c r="EG101" s="107"/>
      <c r="EH101" s="81"/>
      <c r="EI101" s="107"/>
      <c r="EJ101" s="81"/>
      <c r="EK101" s="107"/>
      <c r="EL101" s="81"/>
      <c r="EM101" s="107"/>
      <c r="EN101" s="81"/>
      <c r="EO101" s="107"/>
      <c r="EP101" s="81"/>
      <c r="EQ101" s="107"/>
      <c r="ER101" s="81"/>
      <c r="ES101" s="82"/>
      <c r="ET101" s="469"/>
      <c r="EU101" s="82"/>
      <c r="EV101" s="171"/>
      <c r="EW101" s="79"/>
      <c r="EX101" s="171"/>
      <c r="EY101" s="79"/>
      <c r="EZ101" s="171"/>
      <c r="FA101" s="79"/>
      <c r="FB101" s="171"/>
      <c r="FC101" s="79"/>
      <c r="FD101" s="107">
        <v>41.1</v>
      </c>
      <c r="FE101" s="79" t="str">
        <f t="shared" si="393"/>
        <v>NA</v>
      </c>
      <c r="FF101" s="107">
        <v>26.6</v>
      </c>
      <c r="FG101" s="79">
        <f t="shared" si="393"/>
        <v>-35.279805352798057</v>
      </c>
      <c r="FH101" s="107">
        <v>12.8</v>
      </c>
      <c r="FI101" s="79" t="str">
        <f t="shared" si="393"/>
        <v>NM</v>
      </c>
      <c r="FJ101" s="171"/>
      <c r="FK101" s="79" t="str">
        <f t="shared" si="393"/>
        <v>NM</v>
      </c>
      <c r="FL101" s="171"/>
      <c r="FM101" s="79" t="str">
        <f t="shared" si="393"/>
        <v>NA</v>
      </c>
      <c r="FN101" s="171"/>
      <c r="FO101" s="79" t="str">
        <f t="shared" si="393"/>
        <v>NA</v>
      </c>
      <c r="FP101" s="171"/>
      <c r="FQ101" s="79" t="str">
        <f t="shared" si="393"/>
        <v>NA</v>
      </c>
      <c r="FR101" s="78">
        <f>BQ101+BS101+BU101+BW101</f>
        <v>18.7</v>
      </c>
      <c r="FS101" s="79" t="str">
        <f t="shared" si="393"/>
        <v>NA</v>
      </c>
      <c r="FT101" s="78">
        <f>BY101+CA101+CC101+CE101</f>
        <v>18.100000000000001</v>
      </c>
      <c r="FU101" s="79">
        <f t="shared" si="393"/>
        <v>-3.2085561497326109</v>
      </c>
      <c r="FV101" s="78">
        <f>CG101+CI101+CK101+CM101</f>
        <v>17.600000000000001</v>
      </c>
      <c r="FW101" s="79">
        <f t="shared" si="393"/>
        <v>-2.7624309392265234</v>
      </c>
      <c r="FX101" s="78">
        <f>CO101+CQ101+CS101+CU101</f>
        <v>19.5</v>
      </c>
      <c r="FY101" s="79">
        <f t="shared" si="393"/>
        <v>10.795454545454541</v>
      </c>
      <c r="FZ101" s="78">
        <f>CW101+CY101+DA101+DC101</f>
        <v>8.1999999999999993</v>
      </c>
      <c r="GA101" s="79" t="str">
        <f t="shared" si="393"/>
        <v>NM</v>
      </c>
      <c r="GB101" s="78"/>
      <c r="GC101" s="79" t="str">
        <f t="shared" si="393"/>
        <v>NM</v>
      </c>
      <c r="GD101" s="107"/>
      <c r="GE101" s="79" t="str">
        <f t="shared" si="393"/>
        <v>NA</v>
      </c>
      <c r="GF101" s="107"/>
      <c r="GG101" s="79" t="str">
        <f t="shared" si="393"/>
        <v>NA</v>
      </c>
      <c r="GH101" s="107"/>
      <c r="GI101" s="79" t="str">
        <f t="shared" si="393"/>
        <v>NA</v>
      </c>
      <c r="GJ101" s="107"/>
      <c r="GK101" s="79" t="str">
        <f t="shared" si="393"/>
        <v>NA</v>
      </c>
      <c r="GL101" s="107"/>
      <c r="GM101" s="79" t="str">
        <f t="shared" si="393"/>
        <v>NA</v>
      </c>
      <c r="GN101" s="107"/>
      <c r="GO101" s="79" t="str">
        <f t="shared" si="393"/>
        <v>NA</v>
      </c>
      <c r="GP101" s="107"/>
      <c r="GQ101" s="79" t="str">
        <f t="shared" si="393"/>
        <v>NA</v>
      </c>
      <c r="GR101" s="107"/>
      <c r="GS101" s="79" t="str">
        <f t="shared" si="394"/>
        <v>NA</v>
      </c>
      <c r="GT101" s="79"/>
    </row>
    <row r="102" spans="1:286" ht="12.75" customHeight="1" x14ac:dyDescent="0.2">
      <c r="A102" s="1"/>
      <c r="B102" s="2" t="s">
        <v>98</v>
      </c>
      <c r="C102" s="79"/>
      <c r="D102" s="79"/>
      <c r="E102" s="171"/>
      <c r="F102" s="171"/>
      <c r="G102" s="171"/>
      <c r="H102" s="171"/>
      <c r="I102" s="171"/>
      <c r="J102" s="171"/>
      <c r="K102" s="171"/>
      <c r="L102" s="79"/>
      <c r="M102" s="171"/>
      <c r="N102" s="79"/>
      <c r="O102" s="171"/>
      <c r="P102" s="79"/>
      <c r="Q102" s="171"/>
      <c r="R102" s="79"/>
      <c r="S102" s="171"/>
      <c r="T102" s="79"/>
      <c r="U102" s="171"/>
      <c r="V102" s="79"/>
      <c r="W102" s="171"/>
      <c r="X102" s="79"/>
      <c r="Y102" s="171"/>
      <c r="Z102" s="79"/>
      <c r="AA102" s="172"/>
      <c r="AB102" s="79"/>
      <c r="AC102" s="171">
        <f>SUM(AC100:AC101)</f>
        <v>32.6</v>
      </c>
      <c r="AD102" s="79" t="str">
        <f>IF(ISERROR((AC102/U102-1)*100),"NA",IF(((AC102/U102-1)*100)&gt;100,"NM",IF(((AC102/U102-1)*100)&lt;-50,"NM",(AC102/U102-1)*100)))</f>
        <v>NA</v>
      </c>
      <c r="AE102" s="171">
        <f>SUM(AE100:AE101)</f>
        <v>42.7</v>
      </c>
      <c r="AF102" s="79" t="str">
        <f>IF(ISERROR((AE102/W102-1)*100),"NA",IF(((AE102/W102-1)*100)&gt;100,"NM",IF(((AE102/W102-1)*100)&lt;-50,"NM",(AE102/W102-1)*100)))</f>
        <v>NA</v>
      </c>
      <c r="AG102" s="171">
        <f>SUM(AG100:AG101)</f>
        <v>29.8</v>
      </c>
      <c r="AH102" s="79" t="str">
        <f>IF(ISERROR((AG102/Y102-1)*100),"NA",IF(((AG102/Y102-1)*100)&gt;100,"NM",IF(((AG102/Y102-1)*100)&lt;-50,"NM",(AG102/Y102-1)*100)))</f>
        <v>NA</v>
      </c>
      <c r="AI102" s="171">
        <f>SUM(AI100:AI101)</f>
        <v>74.200000000000017</v>
      </c>
      <c r="AJ102" s="79" t="str">
        <f>IF(ISERROR((AI102/AA102-1)*100),"NA",IF(((AI102/AA102-1)*100)&gt;100,"NM",IF(((AI102/AA102-1)*100)&lt;-50,"NM",(AI102/AA102-1)*100)))</f>
        <v>NA</v>
      </c>
      <c r="AK102" s="171">
        <f>SUM(AK100:AK101)</f>
        <v>35.1</v>
      </c>
      <c r="AL102" s="79">
        <f>IF(ISERROR((AK102/AC102-1)*100),"NA",IF(((AK102/AC102-1)*100)&gt;100,"NM",IF(((AK102/AC102-1)*100)&lt;-50,"NM",(AK102/AC102-1)*100)))</f>
        <v>7.6687116564417179</v>
      </c>
      <c r="AM102" s="171">
        <f>SUM(AM100:AM101)</f>
        <v>41.8</v>
      </c>
      <c r="AN102" s="79">
        <f t="shared" si="391"/>
        <v>-2.1077283372365474</v>
      </c>
      <c r="AO102" s="171">
        <f>SUM(AO100:AO101)</f>
        <v>25.099999999999998</v>
      </c>
      <c r="AP102" s="79">
        <f t="shared" si="391"/>
        <v>-15.771812080536918</v>
      </c>
      <c r="AQ102" s="171">
        <f>SUM(AQ100:AQ101)</f>
        <v>70.5</v>
      </c>
      <c r="AR102" s="79">
        <f t="shared" si="391"/>
        <v>-4.9865229110512388</v>
      </c>
      <c r="AS102" s="171">
        <f>SUM(AS100:AS101)</f>
        <v>36</v>
      </c>
      <c r="AT102" s="81">
        <f t="shared" si="391"/>
        <v>2.564102564102555</v>
      </c>
      <c r="AU102" s="171">
        <f>SUM(AU100:AU101)</f>
        <v>46.6</v>
      </c>
      <c r="AV102" s="81">
        <f t="shared" si="391"/>
        <v>11.483253588516762</v>
      </c>
      <c r="AW102" s="171">
        <f>SUM(AW100:AW101)</f>
        <v>19.5</v>
      </c>
      <c r="AX102" s="81">
        <f t="shared" si="391"/>
        <v>-22.310756972111545</v>
      </c>
      <c r="AY102" s="171">
        <f>SUM(AY100:AY101)</f>
        <v>61.4</v>
      </c>
      <c r="AZ102" s="81">
        <f t="shared" si="391"/>
        <v>-12.907801418439725</v>
      </c>
      <c r="BA102" s="171">
        <f>SUM(BA100:BA101)</f>
        <v>22.1</v>
      </c>
      <c r="BB102" s="81">
        <f t="shared" si="391"/>
        <v>-38.611111111111107</v>
      </c>
      <c r="BC102" s="171">
        <f>SUM(BC100:BC101)</f>
        <v>38.5</v>
      </c>
      <c r="BD102" s="81">
        <f t="shared" si="391"/>
        <v>-17.381974248927044</v>
      </c>
      <c r="BE102" s="171">
        <f>SUM(BE100:BE101)</f>
        <v>19.7</v>
      </c>
      <c r="BF102" s="81">
        <f>IF(ISERROR((BE102/AW102-1)*100),"NA",IF(((BE102/AW102-1)*100)&gt;100,"NM",IF(((BE102/AW102-1)*100)&lt;-50,"NM",(BE102/AW102-1)*100)))</f>
        <v>1.025641025641022</v>
      </c>
      <c r="BG102" s="171">
        <f>SUM(BG100:BG101)</f>
        <v>67.5</v>
      </c>
      <c r="BH102" s="81">
        <f>IF(ISERROR((BG102/AY102-1)*100),"NA",IF(((BG102/AY102-1)*100)&gt;100,"NM",IF(((BG102/AY102-1)*100)&lt;-50,"NM",(BG102/AY102-1)*100)))</f>
        <v>9.934853420195445</v>
      </c>
      <c r="BI102" s="171">
        <f>SUM(BI100:BI101)</f>
        <v>30</v>
      </c>
      <c r="BJ102" s="81">
        <f>IF(ISERROR((BI102/BA102-1)*100),"NA",IF(((BI102/BA102-1)*100)&gt;100,"NM",IF(((BI102/BA102-1)*100)&lt;-50,"NM",(BI102/BA102-1)*100)))</f>
        <v>35.746606334841616</v>
      </c>
      <c r="BK102" s="171">
        <f>SUM(BK100:BK101)</f>
        <v>42</v>
      </c>
      <c r="BL102" s="81">
        <f>IF(ISERROR((BK102/BC102-1)*100),"NA",IF(((BK102/BC102-1)*100)&gt;100,"NM",IF(((BK102/BC102-1)*100)&lt;-50,"NM",(BK102/BC102-1)*100)))</f>
        <v>9.0909090909090828</v>
      </c>
      <c r="BM102" s="171">
        <f>SUM(BM100:BM101)</f>
        <v>18.8</v>
      </c>
      <c r="BN102" s="81"/>
      <c r="BO102" s="171">
        <f>SUM(BO100:BO101)</f>
        <v>91.8</v>
      </c>
      <c r="BP102" s="81"/>
      <c r="BQ102" s="171">
        <f>SUM(BQ100:BQ101)</f>
        <v>34.700000000000003</v>
      </c>
      <c r="BR102" s="81">
        <f>IF(ISERROR((BQ102/BI102-1)*100),"NA",IF(((BQ102/BI102-1)*100)&gt;100,"NM",IF(((BQ102/BI102-1)*100)&lt;-50,"NM",(BQ102/BI102-1)*100)))</f>
        <v>15.666666666666673</v>
      </c>
      <c r="BS102" s="171">
        <f>SUM(BS100:BS101)</f>
        <v>53.7</v>
      </c>
      <c r="BT102" s="81"/>
      <c r="BU102" s="171">
        <f>SUM(BU100:BU101)</f>
        <v>30.9</v>
      </c>
      <c r="BV102" s="81"/>
      <c r="BW102" s="171">
        <f>SUM(BW100:BW101)</f>
        <v>84.3</v>
      </c>
      <c r="BX102" s="81"/>
      <c r="BY102" s="171">
        <f>SUM(BY100:BY101)</f>
        <v>32</v>
      </c>
      <c r="BZ102" s="81">
        <f t="shared" si="392"/>
        <v>-7.7809798270893404</v>
      </c>
      <c r="CA102" s="171">
        <f>SUM(CA100:CA101)</f>
        <v>40</v>
      </c>
      <c r="CB102" s="81">
        <f t="shared" si="392"/>
        <v>-25.512104283054004</v>
      </c>
      <c r="CC102" s="171">
        <f>SUM(CC100:CC101)</f>
        <v>27.1</v>
      </c>
      <c r="CD102" s="81">
        <f t="shared" si="392"/>
        <v>-12.297734627831701</v>
      </c>
      <c r="CE102" s="171">
        <f>SUM(CE100:CE101)</f>
        <v>85.899999999999991</v>
      </c>
      <c r="CF102" s="81">
        <f t="shared" si="389"/>
        <v>1.8979833926453082</v>
      </c>
      <c r="CG102" s="171">
        <f>SUM(CG100:CG101)</f>
        <v>33.299999999999997</v>
      </c>
      <c r="CH102" s="81"/>
      <c r="CI102" s="171">
        <f>SUM(CI100:CI101)</f>
        <v>44.699999999999996</v>
      </c>
      <c r="CJ102" s="81"/>
      <c r="CK102" s="171">
        <f>SUM(CK100:CK101)</f>
        <v>27.8</v>
      </c>
      <c r="CL102" s="81"/>
      <c r="CM102" s="171">
        <f>SUM(CM100:CM101)</f>
        <v>97.100000000000009</v>
      </c>
      <c r="CN102" s="81"/>
      <c r="CO102" s="171">
        <f>SUM(CO100:CO101)</f>
        <v>35.9</v>
      </c>
      <c r="CP102" s="81"/>
      <c r="CQ102" s="171">
        <f>SUM(CQ100:CQ101)</f>
        <v>50.1</v>
      </c>
      <c r="CR102" s="81"/>
      <c r="CS102" s="171">
        <f>SUM(CS100:CS101)</f>
        <v>26.7</v>
      </c>
      <c r="CT102" s="81"/>
      <c r="CU102" s="171">
        <f>SUM(CU100:CU101)</f>
        <v>94.8</v>
      </c>
      <c r="CV102" s="81"/>
      <c r="CW102" s="171">
        <f>SUM(CW100:CW101)</f>
        <v>36.800000000000004</v>
      </c>
      <c r="CX102" s="81">
        <f>IF(ISERROR((CW102/CO102-1)*100),"NA",IF(((CW102/CO102-1)*100)&gt;100,"NM",IF(((CW102/CO102-1)*100)&lt;-50,"NM",(CW102/CO102-1)*100)))</f>
        <v>2.5069637883008422</v>
      </c>
      <c r="CY102" s="171">
        <f>SUM(CY100:CY101)</f>
        <v>36.5</v>
      </c>
      <c r="CZ102" s="81">
        <f>IF(ISERROR((CY102/CQ102-1)*100),"NA",IF(((CY102/CQ102-1)*100)&gt;100,"NM",IF(((CY102/CQ102-1)*100)&lt;-50,"NM",(CY102/CQ102-1)*100)))</f>
        <v>-27.145708582834338</v>
      </c>
      <c r="DA102" s="171">
        <f>SUM(DA100:DA101)</f>
        <v>25.5</v>
      </c>
      <c r="DB102" s="81">
        <f>IF(ISERROR((DA102/CS102-1)*100),"NA",IF(((DA102/CS102-1)*100)&gt;100,"NM",IF(((DA102/CS102-1)*100)&lt;-50,"NM",(DA102/CS102-1)*100)))</f>
        <v>-4.4943820224719104</v>
      </c>
      <c r="DC102" s="107">
        <v>100.6</v>
      </c>
      <c r="DD102" s="81">
        <f>IF(ISERROR((DC102/CU102-1)*100),"NA",IF(((DC102/CU102-1)*100)&gt;100,"NM",IF(((DC102/CU102-1)*100)&lt;-50,"NM",(DC102/CU102-1)*100)))</f>
        <v>6.1181434599156148</v>
      </c>
      <c r="DE102" s="107">
        <v>41.3</v>
      </c>
      <c r="DF102" s="81">
        <f>IF(ISERROR((DE102/CW102-1)*100),"NA",IF(((DE102/CW102-1)*100)&gt;100,"NM",IF(((DE102/CW102-1)*100)&lt;-50,"NM",(DE102/CW102-1)*100)))</f>
        <v>12.228260869565188</v>
      </c>
      <c r="DG102" s="107">
        <v>62.3</v>
      </c>
      <c r="DH102" s="81"/>
      <c r="DI102" s="107">
        <v>33.6</v>
      </c>
      <c r="DJ102" s="81"/>
      <c r="DK102" s="107">
        <v>127.6</v>
      </c>
      <c r="DL102" s="81"/>
      <c r="DM102" s="107">
        <v>42.9</v>
      </c>
      <c r="DN102" s="81">
        <f>IF(ISERROR((DM102/DE102-1)*100),"NA",IF(((DM102/DE102-1)*100)&gt;100,"NM",IF(((DM102/DE102-1)*100)&lt;-50,"NM",(DM102/DE102-1)*100)))</f>
        <v>3.874092009685226</v>
      </c>
      <c r="DO102" s="107">
        <v>48.7</v>
      </c>
      <c r="DP102" s="81">
        <f>IF(ISERROR((DO102/DG102-1)*100),"NA",IF(((DO102/DG102-1)*100)&gt;100,"NM",IF(((DO102/DG102-1)*100)&lt;-50,"NM",(DO102/DG102-1)*100)))</f>
        <v>-21.8298555377207</v>
      </c>
      <c r="DQ102" s="107">
        <v>34.1</v>
      </c>
      <c r="DR102" s="81">
        <f>IF(ISERROR((DQ102/DI102-1)*100),"NA",IF(((DQ102/DI102-1)*100)&gt;100,"NM",IF(((DQ102/DI102-1)*100)&lt;-50,"NM",(DQ102/DI102-1)*100)))</f>
        <v>1.4880952380952328</v>
      </c>
      <c r="DS102" s="107">
        <v>124.4</v>
      </c>
      <c r="DT102" s="81"/>
      <c r="DU102" s="107">
        <v>40.799999999999997</v>
      </c>
      <c r="DV102" s="81"/>
      <c r="DW102" s="107">
        <v>55.3</v>
      </c>
      <c r="DX102" s="81"/>
      <c r="DY102" s="107">
        <v>31.1</v>
      </c>
      <c r="DZ102" s="81"/>
      <c r="EA102" s="107">
        <v>142.9</v>
      </c>
      <c r="EB102" s="81"/>
      <c r="EC102" s="107">
        <v>37.200000000000003</v>
      </c>
      <c r="ED102" s="81"/>
      <c r="EE102" s="107">
        <v>59.5</v>
      </c>
      <c r="EF102" s="81"/>
      <c r="EG102" s="107">
        <v>35.1</v>
      </c>
      <c r="EH102" s="81"/>
      <c r="EI102" s="107">
        <v>178.7</v>
      </c>
      <c r="EJ102" s="81"/>
      <c r="EK102" s="171"/>
      <c r="EL102" s="81"/>
      <c r="EM102" s="171"/>
      <c r="EN102" s="81"/>
      <c r="EO102" s="171"/>
      <c r="EP102" s="81"/>
      <c r="EQ102" s="171"/>
      <c r="ER102" s="81"/>
      <c r="ES102" s="82"/>
      <c r="ET102" s="469"/>
      <c r="EU102" s="82"/>
      <c r="EV102" s="171"/>
      <c r="EW102" s="79"/>
      <c r="EX102" s="171"/>
      <c r="EY102" s="79"/>
      <c r="EZ102" s="171"/>
      <c r="FA102" s="79"/>
      <c r="FB102" s="171"/>
      <c r="FC102" s="79"/>
      <c r="FD102" s="171">
        <f>SUM(FD100:FD101)</f>
        <v>315.20000000000005</v>
      </c>
      <c r="FE102" s="79" t="str">
        <f t="shared" si="393"/>
        <v>NA</v>
      </c>
      <c r="FF102" s="171">
        <f>SUM(FF100:FF101)</f>
        <v>268.2</v>
      </c>
      <c r="FG102" s="79">
        <f t="shared" si="393"/>
        <v>-14.911167512690371</v>
      </c>
      <c r="FH102" s="171">
        <f>SUM(FH100:FH101)</f>
        <v>179.3</v>
      </c>
      <c r="FI102" s="79">
        <f t="shared" si="393"/>
        <v>-33.146905294556298</v>
      </c>
      <c r="FJ102" s="171"/>
      <c r="FK102" s="79" t="str">
        <f t="shared" si="393"/>
        <v>NM</v>
      </c>
      <c r="FL102" s="171"/>
      <c r="FM102" s="79" t="str">
        <f t="shared" si="393"/>
        <v>NA</v>
      </c>
      <c r="FN102" s="171"/>
      <c r="FO102" s="79" t="str">
        <f t="shared" si="393"/>
        <v>NA</v>
      </c>
      <c r="FP102" s="171"/>
      <c r="FQ102" s="79" t="str">
        <f t="shared" si="393"/>
        <v>NA</v>
      </c>
      <c r="FR102" s="78">
        <f>BQ102+BS102+BU102+BW102</f>
        <v>203.60000000000002</v>
      </c>
      <c r="FS102" s="79" t="str">
        <f t="shared" si="393"/>
        <v>NA</v>
      </c>
      <c r="FT102" s="78">
        <f>BY102+CA102+CC102+CE102</f>
        <v>185</v>
      </c>
      <c r="FU102" s="79">
        <f t="shared" si="393"/>
        <v>-9.1355599214145489</v>
      </c>
      <c r="FV102" s="78">
        <f>CG102+CI102+CK102+CM102</f>
        <v>202.9</v>
      </c>
      <c r="FW102" s="79">
        <f t="shared" si="393"/>
        <v>9.6756756756756879</v>
      </c>
      <c r="FX102" s="78">
        <f>CO102+CQ102+CS102+CU102</f>
        <v>207.5</v>
      </c>
      <c r="FY102" s="79">
        <f t="shared" si="393"/>
        <v>2.2671266633809806</v>
      </c>
      <c r="FZ102" s="78">
        <f>CW102+CY102+DA102+DC102</f>
        <v>199.4</v>
      </c>
      <c r="GA102" s="79">
        <f t="shared" si="393"/>
        <v>-3.9036144578313281</v>
      </c>
      <c r="GB102" s="78">
        <f>DE102+DG102+DI102+DK102</f>
        <v>264.79999999999995</v>
      </c>
      <c r="GC102" s="79">
        <f t="shared" si="393"/>
        <v>32.79839518555665</v>
      </c>
      <c r="GD102" s="171"/>
      <c r="GE102" s="79" t="str">
        <f t="shared" si="393"/>
        <v>NM</v>
      </c>
      <c r="GF102" s="171"/>
      <c r="GG102" s="79" t="str">
        <f t="shared" si="393"/>
        <v>NA</v>
      </c>
      <c r="GH102" s="171"/>
      <c r="GI102" s="79" t="str">
        <f t="shared" si="393"/>
        <v>NA</v>
      </c>
      <c r="GJ102" s="171"/>
      <c r="GK102" s="79" t="str">
        <f t="shared" si="393"/>
        <v>NA</v>
      </c>
      <c r="GL102" s="171"/>
      <c r="GM102" s="79" t="str">
        <f t="shared" si="393"/>
        <v>NA</v>
      </c>
      <c r="GN102" s="171"/>
      <c r="GO102" s="79" t="str">
        <f t="shared" si="393"/>
        <v>NA</v>
      </c>
      <c r="GP102" s="171"/>
      <c r="GQ102" s="79" t="str">
        <f t="shared" si="393"/>
        <v>NA</v>
      </c>
      <c r="GR102" s="171"/>
      <c r="GS102" s="79" t="str">
        <f t="shared" si="394"/>
        <v>NA</v>
      </c>
      <c r="GT102" s="79"/>
    </row>
    <row r="103" spans="1:286" s="132" customFormat="1" ht="12.75" customHeight="1" x14ac:dyDescent="0.2">
      <c r="A103" s="133"/>
      <c r="B103" s="10"/>
      <c r="C103" s="79"/>
      <c r="D103" s="79"/>
      <c r="E103" s="95"/>
      <c r="F103" s="95"/>
      <c r="G103" s="95"/>
      <c r="H103" s="95"/>
      <c r="I103" s="95"/>
      <c r="J103" s="95"/>
      <c r="K103" s="95"/>
      <c r="L103" s="211"/>
      <c r="M103" s="95"/>
      <c r="N103" s="211"/>
      <c r="O103" s="95"/>
      <c r="P103" s="211"/>
      <c r="Q103" s="95"/>
      <c r="R103" s="211"/>
      <c r="S103" s="95"/>
      <c r="T103" s="211"/>
      <c r="U103" s="95"/>
      <c r="V103" s="211"/>
      <c r="W103" s="95"/>
      <c r="X103" s="211"/>
      <c r="Y103" s="95"/>
      <c r="Z103" s="211"/>
      <c r="AA103" s="126"/>
      <c r="AB103" s="211"/>
      <c r="AC103" s="95"/>
      <c r="AD103" s="211"/>
      <c r="AE103" s="95"/>
      <c r="AF103" s="211"/>
      <c r="AG103" s="95"/>
      <c r="AH103" s="211"/>
      <c r="AI103" s="95"/>
      <c r="AJ103" s="211"/>
      <c r="AK103" s="95"/>
      <c r="AL103" s="211"/>
      <c r="AM103" s="95"/>
      <c r="AN103" s="211"/>
      <c r="AO103" s="95"/>
      <c r="AP103" s="211"/>
      <c r="AQ103" s="95"/>
      <c r="AR103" s="211"/>
      <c r="AS103" s="95"/>
      <c r="AT103" s="212"/>
      <c r="AU103" s="95"/>
      <c r="AV103" s="212"/>
      <c r="AW103" s="95"/>
      <c r="AX103" s="212"/>
      <c r="AY103" s="95"/>
      <c r="AZ103" s="212"/>
      <c r="BA103" s="95"/>
      <c r="BB103" s="212"/>
      <c r="BC103" s="95"/>
      <c r="BD103" s="212"/>
      <c r="BE103" s="95"/>
      <c r="BF103" s="212"/>
      <c r="BG103" s="95"/>
      <c r="BH103" s="212"/>
      <c r="BI103" s="95"/>
      <c r="BJ103" s="212"/>
      <c r="BK103" s="95"/>
      <c r="BL103" s="212"/>
      <c r="BM103" s="95"/>
      <c r="BN103" s="212"/>
      <c r="BO103" s="95"/>
      <c r="BP103" s="212"/>
      <c r="BQ103" s="95"/>
      <c r="BR103" s="212"/>
      <c r="BS103" s="95"/>
      <c r="BT103" s="212"/>
      <c r="BU103" s="95"/>
      <c r="BV103" s="212"/>
      <c r="BW103" s="95"/>
      <c r="BX103" s="212"/>
      <c r="BY103" s="95"/>
      <c r="BZ103" s="212"/>
      <c r="CA103" s="95"/>
      <c r="CB103" s="212"/>
      <c r="CC103" s="95"/>
      <c r="CD103" s="212"/>
      <c r="CE103" s="95"/>
      <c r="CF103" s="212"/>
      <c r="CG103" s="95"/>
      <c r="CH103" s="212"/>
      <c r="CI103" s="95"/>
      <c r="CJ103" s="212"/>
      <c r="CK103" s="95"/>
      <c r="CL103" s="212"/>
      <c r="CM103" s="95"/>
      <c r="CN103" s="212"/>
      <c r="CO103" s="95"/>
      <c r="CP103" s="212"/>
      <c r="CQ103" s="95"/>
      <c r="CR103" s="212"/>
      <c r="CS103" s="95"/>
      <c r="CT103" s="212"/>
      <c r="CU103" s="95"/>
      <c r="CV103" s="212"/>
      <c r="CW103" s="95"/>
      <c r="CX103" s="212"/>
      <c r="CY103" s="95"/>
      <c r="CZ103" s="212"/>
      <c r="DA103" s="95"/>
      <c r="DB103" s="212"/>
      <c r="DC103" s="95"/>
      <c r="DD103" s="212"/>
      <c r="DE103" s="95"/>
      <c r="DF103" s="212"/>
      <c r="DG103" s="95"/>
      <c r="DH103" s="212"/>
      <c r="DI103" s="95"/>
      <c r="DJ103" s="212"/>
      <c r="DK103" s="95"/>
      <c r="DL103" s="212"/>
      <c r="DM103" s="95"/>
      <c r="DN103" s="212"/>
      <c r="DO103" s="95"/>
      <c r="DP103" s="212"/>
      <c r="DQ103" s="95"/>
      <c r="DR103" s="212"/>
      <c r="DS103" s="95"/>
      <c r="DT103" s="212"/>
      <c r="DU103" s="95"/>
      <c r="DV103" s="212"/>
      <c r="DW103" s="95"/>
      <c r="DX103" s="212"/>
      <c r="DY103" s="95"/>
      <c r="DZ103" s="212"/>
      <c r="EA103" s="95"/>
      <c r="EB103" s="212"/>
      <c r="EC103" s="95"/>
      <c r="ED103" s="212"/>
      <c r="EE103" s="95"/>
      <c r="EF103" s="212"/>
      <c r="EG103" s="95"/>
      <c r="EH103" s="212"/>
      <c r="EI103" s="95"/>
      <c r="EJ103" s="212"/>
      <c r="EK103" s="95"/>
      <c r="EL103" s="212"/>
      <c r="EM103" s="95"/>
      <c r="EN103" s="212"/>
      <c r="EO103" s="95"/>
      <c r="EP103" s="212"/>
      <c r="EQ103" s="95"/>
      <c r="ER103" s="212"/>
      <c r="ES103" s="129"/>
      <c r="ET103" s="469"/>
      <c r="EU103" s="129"/>
      <c r="EV103" s="95"/>
      <c r="EW103" s="79"/>
      <c r="EX103" s="95"/>
      <c r="EY103" s="79"/>
      <c r="EZ103" s="131"/>
      <c r="FA103" s="79"/>
      <c r="FB103" s="145"/>
      <c r="FC103" s="211"/>
      <c r="FD103" s="145"/>
      <c r="FE103" s="211"/>
      <c r="FF103" s="145"/>
      <c r="FG103" s="211"/>
      <c r="FH103" s="145"/>
      <c r="FI103" s="211"/>
      <c r="FJ103" s="145"/>
      <c r="FK103" s="211"/>
      <c r="FL103" s="95"/>
      <c r="FM103" s="211"/>
      <c r="FN103" s="95"/>
      <c r="FO103" s="211"/>
      <c r="FP103" s="95"/>
      <c r="FQ103" s="211"/>
      <c r="FR103" s="95"/>
      <c r="FS103" s="211"/>
      <c r="FT103" s="95"/>
      <c r="FU103" s="211"/>
      <c r="FV103" s="95"/>
      <c r="FW103" s="211"/>
      <c r="FX103" s="95"/>
      <c r="FY103" s="211"/>
      <c r="FZ103" s="95"/>
      <c r="GA103" s="211"/>
      <c r="GB103" s="95"/>
      <c r="GC103" s="211"/>
      <c r="GD103" s="95"/>
      <c r="GE103" s="211"/>
      <c r="GF103" s="95"/>
      <c r="GG103" s="211"/>
      <c r="GH103" s="95"/>
      <c r="GI103" s="211"/>
      <c r="GJ103" s="95"/>
      <c r="GK103" s="211"/>
      <c r="GL103" s="95"/>
      <c r="GM103" s="211"/>
      <c r="GN103" s="95"/>
      <c r="GO103" s="211"/>
      <c r="GP103" s="95"/>
      <c r="GQ103" s="211"/>
      <c r="GR103" s="95"/>
      <c r="GS103" s="211"/>
      <c r="GT103" s="211"/>
      <c r="GU103" s="562"/>
      <c r="GV103" s="562"/>
      <c r="GW103"/>
      <c r="GX103"/>
      <c r="GY103"/>
      <c r="GZ103"/>
      <c r="HA103"/>
      <c r="HB103"/>
      <c r="HC103" s="562"/>
      <c r="HD103" s="562"/>
      <c r="HE103" s="562"/>
      <c r="HF103" s="562"/>
      <c r="HG103" s="562"/>
      <c r="HH103" s="562"/>
      <c r="HI103" s="562"/>
      <c r="HJ103" s="562"/>
      <c r="HK103" s="562"/>
      <c r="HL103" s="562"/>
      <c r="HM103" s="562"/>
      <c r="HN103" s="562"/>
      <c r="HO103" s="562"/>
      <c r="HP103" s="562"/>
      <c r="HQ103" s="562"/>
      <c r="HR103" s="562"/>
      <c r="HS103" s="562"/>
      <c r="HT103" s="562"/>
      <c r="HU103" s="562"/>
      <c r="HV103" s="562"/>
      <c r="HW103" s="562"/>
      <c r="HX103" s="562"/>
      <c r="HY103" s="562"/>
      <c r="HZ103" s="562"/>
      <c r="IA103" s="562"/>
      <c r="IB103" s="562"/>
      <c r="IC103" s="562"/>
      <c r="ID103" s="562"/>
      <c r="IE103" s="562"/>
      <c r="IF103" s="562"/>
      <c r="IG103" s="562"/>
      <c r="IH103" s="562"/>
      <c r="II103" s="562"/>
      <c r="IJ103" s="562"/>
      <c r="IK103" s="562"/>
      <c r="IL103" s="562"/>
      <c r="IM103" s="562"/>
      <c r="IN103" s="562"/>
      <c r="IO103" s="562"/>
      <c r="IP103" s="562"/>
      <c r="IQ103" s="562"/>
      <c r="IR103" s="562"/>
      <c r="IS103" s="562"/>
      <c r="IT103" s="562"/>
      <c r="IU103" s="562"/>
      <c r="IV103" s="562"/>
      <c r="IW103" s="562"/>
      <c r="IX103" s="562"/>
      <c r="IY103" s="562"/>
      <c r="IZ103" s="562"/>
      <c r="JA103" s="562"/>
      <c r="JB103" s="562"/>
      <c r="JC103" s="562"/>
      <c r="JD103" s="562"/>
      <c r="JE103" s="562"/>
      <c r="JF103" s="562"/>
      <c r="JG103" s="562"/>
      <c r="JH103" s="562"/>
      <c r="JI103" s="562"/>
      <c r="JJ103" s="562"/>
      <c r="JK103" s="562"/>
      <c r="JL103" s="562"/>
      <c r="JM103" s="562"/>
      <c r="JN103" s="562"/>
      <c r="JO103" s="562"/>
      <c r="JP103" s="562"/>
      <c r="JQ103" s="562"/>
      <c r="JR103" s="562"/>
      <c r="JS103" s="562"/>
      <c r="JT103" s="562"/>
      <c r="JU103" s="562"/>
      <c r="JV103" s="562"/>
      <c r="JW103" s="562"/>
      <c r="JX103" s="562"/>
      <c r="JY103" s="562"/>
      <c r="JZ103" s="562"/>
    </row>
    <row r="104" spans="1:286" s="589" customFormat="1" ht="12.75" customHeight="1" collapsed="1" x14ac:dyDescent="0.2">
      <c r="A104" s="581"/>
      <c r="B104" s="582" t="s">
        <v>456</v>
      </c>
      <c r="C104" s="583"/>
      <c r="D104" s="583"/>
      <c r="E104" s="584"/>
      <c r="F104" s="584"/>
      <c r="G104" s="584"/>
      <c r="H104" s="584"/>
      <c r="I104" s="584"/>
      <c r="J104" s="584"/>
      <c r="K104" s="584"/>
      <c r="L104" s="584"/>
      <c r="M104" s="584"/>
      <c r="N104" s="585"/>
      <c r="O104" s="584"/>
      <c r="P104" s="583"/>
      <c r="Q104" s="584"/>
      <c r="R104" s="583"/>
      <c r="S104" s="584"/>
      <c r="T104" s="583"/>
      <c r="U104" s="584"/>
      <c r="V104" s="583"/>
      <c r="W104" s="584"/>
      <c r="X104" s="583"/>
      <c r="Y104" s="584"/>
      <c r="Z104" s="583"/>
      <c r="AA104" s="586"/>
      <c r="AB104" s="583"/>
      <c r="AC104" s="584"/>
      <c r="AD104" s="583"/>
      <c r="AE104" s="586"/>
      <c r="AF104" s="583"/>
      <c r="AG104" s="586"/>
      <c r="AH104" s="583"/>
      <c r="AI104" s="586"/>
      <c r="AJ104" s="583"/>
      <c r="AK104" s="586"/>
      <c r="AL104" s="583"/>
      <c r="AM104" s="586"/>
      <c r="AN104" s="583"/>
      <c r="AO104" s="586"/>
      <c r="AP104" s="583"/>
      <c r="AQ104" s="586"/>
      <c r="AR104" s="583"/>
      <c r="AS104" s="586"/>
      <c r="AT104" s="587"/>
      <c r="AU104" s="586"/>
      <c r="AV104" s="587"/>
      <c r="AW104" s="586"/>
      <c r="AX104" s="587"/>
      <c r="AY104" s="586"/>
      <c r="AZ104" s="587"/>
      <c r="BA104" s="586"/>
      <c r="BB104" s="587"/>
      <c r="BC104" s="586"/>
      <c r="BD104" s="587"/>
      <c r="BE104" s="586"/>
      <c r="BF104" s="587"/>
      <c r="BG104" s="586"/>
      <c r="BH104" s="587"/>
      <c r="BI104" s="586"/>
      <c r="BJ104" s="587"/>
      <c r="BK104" s="586"/>
      <c r="BL104" s="587"/>
      <c r="BM104" s="586"/>
      <c r="BN104" s="587"/>
      <c r="BO104" s="586"/>
      <c r="BP104" s="587"/>
      <c r="BQ104" s="586"/>
      <c r="BR104" s="587"/>
      <c r="BS104" s="586"/>
      <c r="BT104" s="587"/>
      <c r="BU104" s="586"/>
      <c r="BV104" s="587"/>
      <c r="BW104" s="586"/>
      <c r="BX104" s="587"/>
      <c r="BY104" s="586"/>
      <c r="BZ104" s="587"/>
      <c r="CA104" s="586"/>
      <c r="CB104" s="587"/>
      <c r="CC104" s="586"/>
      <c r="CD104" s="587"/>
      <c r="CE104" s="586"/>
      <c r="CF104" s="587"/>
      <c r="CG104" s="586"/>
      <c r="CH104" s="587"/>
      <c r="CI104" s="586"/>
      <c r="CJ104" s="587"/>
      <c r="CK104" s="586"/>
      <c r="CL104" s="587"/>
      <c r="CM104" s="586"/>
      <c r="CN104" s="587"/>
      <c r="CO104" s="586"/>
      <c r="CP104" s="587"/>
      <c r="CQ104" s="586"/>
      <c r="CR104" s="587"/>
      <c r="CS104" s="586"/>
      <c r="CT104" s="587"/>
      <c r="CU104" s="586"/>
      <c r="CV104" s="587"/>
      <c r="CW104" s="586"/>
      <c r="CX104" s="587"/>
      <c r="CY104" s="586"/>
      <c r="CZ104" s="587"/>
      <c r="DA104" s="586"/>
      <c r="DB104" s="587"/>
      <c r="DC104" s="586"/>
      <c r="DD104" s="587"/>
      <c r="DE104" s="586"/>
      <c r="DF104" s="587"/>
      <c r="DG104" s="586"/>
      <c r="DH104" s="587"/>
      <c r="DI104" s="586"/>
      <c r="DJ104" s="587"/>
      <c r="DK104" s="586"/>
      <c r="DL104" s="587"/>
      <c r="DM104" s="586"/>
      <c r="DN104" s="587"/>
      <c r="DO104" s="586"/>
      <c r="DP104" s="587"/>
      <c r="DQ104" s="586"/>
      <c r="DR104" s="587"/>
      <c r="DS104" s="586"/>
      <c r="DT104" s="587"/>
      <c r="DU104" s="586"/>
      <c r="DV104" s="587"/>
      <c r="DW104" s="586"/>
      <c r="DX104" s="587"/>
      <c r="DY104" s="586"/>
      <c r="DZ104" s="587"/>
      <c r="EA104" s="586"/>
      <c r="EB104" s="587"/>
      <c r="EC104" s="586"/>
      <c r="ED104" s="587"/>
      <c r="EE104" s="586"/>
      <c r="EF104" s="587"/>
      <c r="EG104" s="586"/>
      <c r="EH104" s="587"/>
      <c r="EI104" s="586"/>
      <c r="EJ104" s="587"/>
      <c r="EK104" s="586"/>
      <c r="EL104" s="587"/>
      <c r="EM104" s="586"/>
      <c r="EN104" s="587"/>
      <c r="EO104" s="586"/>
      <c r="EP104" s="587"/>
      <c r="EQ104" s="586"/>
      <c r="ER104" s="587"/>
      <c r="ES104" s="584"/>
      <c r="ET104" s="588"/>
      <c r="EU104" s="584"/>
      <c r="EV104" s="584"/>
      <c r="EW104" s="583"/>
      <c r="EX104" s="584"/>
      <c r="EY104" s="583"/>
      <c r="EZ104" s="584"/>
      <c r="FA104" s="583"/>
      <c r="FB104" s="584"/>
      <c r="FC104" s="583"/>
      <c r="FD104" s="584"/>
      <c r="FE104" s="583"/>
      <c r="FF104" s="584"/>
      <c r="FG104" s="583"/>
      <c r="FH104" s="584"/>
      <c r="FI104" s="583"/>
      <c r="FJ104" s="584"/>
      <c r="FK104" s="583"/>
      <c r="FL104" s="584"/>
      <c r="FM104" s="583"/>
      <c r="FN104" s="584"/>
      <c r="FO104" s="583"/>
      <c r="FP104" s="584"/>
      <c r="FQ104" s="583"/>
      <c r="FR104" s="584"/>
      <c r="FS104" s="583"/>
      <c r="FT104" s="584"/>
      <c r="FU104" s="583"/>
      <c r="FV104" s="584"/>
      <c r="FW104" s="583"/>
      <c r="FX104" s="584"/>
      <c r="FY104" s="583"/>
      <c r="FZ104" s="584"/>
      <c r="GA104" s="583"/>
      <c r="GB104" s="584"/>
      <c r="GC104" s="583"/>
      <c r="GD104" s="584"/>
      <c r="GE104" s="583"/>
      <c r="GF104" s="584"/>
      <c r="GG104" s="583"/>
      <c r="GH104" s="584"/>
      <c r="GI104" s="583"/>
      <c r="GJ104" s="584"/>
      <c r="GK104" s="583"/>
      <c r="GL104" s="584"/>
      <c r="GM104" s="583"/>
      <c r="GN104" s="584"/>
      <c r="GO104" s="583"/>
      <c r="GP104" s="584"/>
      <c r="GQ104" s="583"/>
      <c r="GR104" s="584"/>
      <c r="GS104" s="583"/>
      <c r="GT104" s="583"/>
      <c r="GU104" s="562"/>
      <c r="GV104" s="562"/>
      <c r="GW104"/>
      <c r="GX104"/>
      <c r="GY104"/>
      <c r="GZ104"/>
      <c r="HA104"/>
      <c r="HB104"/>
      <c r="HC104" s="562"/>
      <c r="HD104" s="562"/>
      <c r="HE104" s="562"/>
      <c r="HF104" s="562"/>
      <c r="HG104" s="562"/>
      <c r="HH104" s="562"/>
      <c r="HI104" s="562"/>
      <c r="HJ104" s="562"/>
      <c r="HK104" s="562"/>
      <c r="HL104" s="562"/>
      <c r="HM104" s="562"/>
      <c r="HN104" s="562"/>
      <c r="HO104" s="562"/>
      <c r="HP104" s="562"/>
      <c r="HQ104" s="562"/>
      <c r="HR104" s="562"/>
      <c r="HS104" s="562"/>
      <c r="HT104" s="562"/>
      <c r="HU104" s="562"/>
      <c r="HV104" s="562"/>
      <c r="HW104" s="562"/>
      <c r="HX104" s="562"/>
      <c r="HY104" s="562"/>
      <c r="HZ104" s="562"/>
      <c r="IA104" s="562"/>
      <c r="IB104" s="562"/>
      <c r="IC104" s="562"/>
      <c r="ID104" s="562"/>
      <c r="IE104" s="562"/>
      <c r="IF104" s="562"/>
      <c r="IG104" s="562"/>
      <c r="IH104" s="562"/>
      <c r="II104" s="562"/>
      <c r="IJ104" s="562"/>
      <c r="IK104" s="562"/>
      <c r="IL104" s="562"/>
      <c r="IM104" s="562"/>
      <c r="IN104" s="562"/>
      <c r="IO104" s="562"/>
      <c r="IP104" s="562"/>
      <c r="IQ104" s="562"/>
      <c r="IR104" s="562"/>
      <c r="IS104" s="562"/>
      <c r="IT104" s="562"/>
      <c r="IU104" s="562"/>
      <c r="IV104" s="562"/>
      <c r="IW104" s="562"/>
      <c r="IX104" s="562"/>
      <c r="IY104" s="562"/>
      <c r="IZ104" s="562"/>
      <c r="JA104" s="562"/>
      <c r="JB104" s="562"/>
      <c r="JC104" s="562"/>
      <c r="JD104" s="562"/>
      <c r="JE104" s="562"/>
      <c r="JF104" s="562"/>
      <c r="JG104" s="562"/>
      <c r="JH104" s="562"/>
      <c r="JI104" s="562"/>
      <c r="JJ104" s="562"/>
      <c r="JK104" s="562"/>
      <c r="JL104" s="562"/>
      <c r="JM104" s="562"/>
      <c r="JN104" s="562"/>
      <c r="JO104" s="562"/>
      <c r="JP104" s="562"/>
      <c r="JQ104" s="562"/>
      <c r="JR104" s="562"/>
      <c r="JS104" s="562"/>
      <c r="JT104" s="562"/>
      <c r="JU104" s="562"/>
      <c r="JV104" s="562"/>
      <c r="JW104" s="562"/>
      <c r="JX104" s="562"/>
      <c r="JY104" s="562"/>
      <c r="JZ104" s="562"/>
    </row>
    <row r="105" spans="1:286" s="76" customFormat="1" ht="12.75" customHeight="1" x14ac:dyDescent="0.2">
      <c r="A105" s="67"/>
      <c r="B105" s="68"/>
      <c r="C105" s="69"/>
      <c r="D105" s="69"/>
      <c r="E105" s="73"/>
      <c r="F105" s="73"/>
      <c r="G105" s="73"/>
      <c r="H105" s="73"/>
      <c r="I105" s="73"/>
      <c r="J105" s="73"/>
      <c r="K105" s="73"/>
      <c r="L105" s="69"/>
      <c r="M105" s="73"/>
      <c r="N105" s="69"/>
      <c r="O105" s="73"/>
      <c r="P105" s="69"/>
      <c r="Q105" s="73"/>
      <c r="R105" s="69"/>
      <c r="S105" s="73"/>
      <c r="T105" s="69"/>
      <c r="U105" s="73"/>
      <c r="V105" s="69"/>
      <c r="W105" s="73"/>
      <c r="X105" s="69"/>
      <c r="Y105" s="73"/>
      <c r="Z105" s="69"/>
      <c r="AA105" s="200"/>
      <c r="AB105" s="69"/>
      <c r="AC105" s="73"/>
      <c r="AD105" s="69"/>
      <c r="AE105" s="73"/>
      <c r="AF105" s="69"/>
      <c r="AG105" s="73"/>
      <c r="AH105" s="69"/>
      <c r="AI105" s="73"/>
      <c r="AJ105" s="69"/>
      <c r="AK105" s="73"/>
      <c r="AL105" s="69"/>
      <c r="AM105" s="73"/>
      <c r="AN105" s="69"/>
      <c r="AO105" s="73"/>
      <c r="AP105" s="69"/>
      <c r="AQ105" s="73"/>
      <c r="AR105" s="69"/>
      <c r="AS105" s="73"/>
      <c r="AT105" s="71"/>
      <c r="AU105" s="73"/>
      <c r="AV105" s="71"/>
      <c r="AW105" s="73"/>
      <c r="AX105" s="71"/>
      <c r="AY105" s="73"/>
      <c r="AZ105" s="71"/>
      <c r="BA105" s="73"/>
      <c r="BB105" s="71"/>
      <c r="BC105" s="73"/>
      <c r="BD105" s="71"/>
      <c r="BE105" s="73"/>
      <c r="BF105" s="71"/>
      <c r="BG105" s="73"/>
      <c r="BH105" s="71"/>
      <c r="BI105" s="73"/>
      <c r="BJ105" s="71"/>
      <c r="BK105" s="73"/>
      <c r="BL105" s="71"/>
      <c r="BM105" s="73"/>
      <c r="BN105" s="71"/>
      <c r="BO105" s="73"/>
      <c r="BP105" s="71"/>
      <c r="BQ105" s="73"/>
      <c r="BR105" s="71"/>
      <c r="BS105" s="73"/>
      <c r="BT105" s="71"/>
      <c r="BU105" s="73"/>
      <c r="BV105" s="71"/>
      <c r="BW105" s="73"/>
      <c r="BX105" s="71"/>
      <c r="BY105" s="73"/>
      <c r="BZ105" s="71"/>
      <c r="CA105" s="73"/>
      <c r="CB105" s="71"/>
      <c r="CC105" s="73"/>
      <c r="CD105" s="71"/>
      <c r="CE105" s="73"/>
      <c r="CF105" s="71"/>
      <c r="CG105" s="73"/>
      <c r="CH105" s="71"/>
      <c r="CI105" s="73"/>
      <c r="CJ105" s="71"/>
      <c r="CK105" s="73"/>
      <c r="CL105" s="71"/>
      <c r="CM105" s="73"/>
      <c r="CN105" s="71"/>
      <c r="CO105" s="73"/>
      <c r="CP105" s="71"/>
      <c r="CQ105" s="73"/>
      <c r="CR105" s="71"/>
      <c r="CS105" s="73"/>
      <c r="CT105" s="71"/>
      <c r="CU105" s="73"/>
      <c r="CV105" s="71"/>
      <c r="CW105" s="73"/>
      <c r="CX105" s="71"/>
      <c r="CY105" s="73"/>
      <c r="CZ105" s="71"/>
      <c r="DA105" s="73"/>
      <c r="DB105" s="71"/>
      <c r="DC105" s="73"/>
      <c r="DD105" s="71"/>
      <c r="DE105" s="73"/>
      <c r="DF105" s="71"/>
      <c r="DG105" s="73"/>
      <c r="DH105" s="71"/>
      <c r="DI105" s="73"/>
      <c r="DJ105" s="71"/>
      <c r="DK105" s="73"/>
      <c r="DL105" s="71"/>
      <c r="DM105" s="73"/>
      <c r="DN105" s="71"/>
      <c r="DO105" s="73"/>
      <c r="DP105" s="71"/>
      <c r="DQ105" s="73"/>
      <c r="DR105" s="71"/>
      <c r="DS105" s="73"/>
      <c r="DT105" s="71"/>
      <c r="DU105" s="73"/>
      <c r="DV105" s="71"/>
      <c r="DW105" s="73"/>
      <c r="DX105" s="71"/>
      <c r="DY105" s="73"/>
      <c r="DZ105" s="71"/>
      <c r="EA105" s="73"/>
      <c r="EB105" s="71"/>
      <c r="EC105" s="73"/>
      <c r="ED105" s="71"/>
      <c r="EE105" s="73"/>
      <c r="EF105" s="71"/>
      <c r="EG105" s="73"/>
      <c r="EH105" s="71"/>
      <c r="EI105" s="73"/>
      <c r="EJ105" s="71"/>
      <c r="EK105" s="73"/>
      <c r="EL105" s="71"/>
      <c r="EM105" s="73"/>
      <c r="EN105" s="71"/>
      <c r="EO105" s="73"/>
      <c r="EP105" s="71"/>
      <c r="EQ105" s="73"/>
      <c r="ER105" s="71"/>
      <c r="ES105" s="73"/>
      <c r="ET105" s="464"/>
      <c r="EU105" s="73"/>
      <c r="EV105" s="73"/>
      <c r="EW105" s="69"/>
      <c r="EX105" s="73"/>
      <c r="EY105" s="69"/>
      <c r="EZ105" s="74"/>
      <c r="FA105" s="69"/>
      <c r="FB105" s="74"/>
      <c r="FC105" s="69"/>
      <c r="FD105" s="74"/>
      <c r="FE105" s="69"/>
      <c r="FF105" s="74"/>
      <c r="FG105" s="69"/>
      <c r="FH105" s="74"/>
      <c r="FI105" s="69"/>
      <c r="FJ105" s="74"/>
      <c r="FK105" s="69"/>
      <c r="FL105" s="73"/>
      <c r="FM105" s="69"/>
      <c r="FN105" s="73"/>
      <c r="FO105" s="69"/>
      <c r="FP105" s="73"/>
      <c r="FQ105" s="69"/>
      <c r="FR105" s="73"/>
      <c r="FS105" s="69"/>
      <c r="FT105" s="73"/>
      <c r="FU105" s="69"/>
      <c r="FV105" s="73"/>
      <c r="FW105" s="69"/>
      <c r="FX105" s="73"/>
      <c r="FY105" s="69"/>
      <c r="FZ105" s="73"/>
      <c r="GA105" s="69"/>
      <c r="GB105" s="73"/>
      <c r="GC105" s="69"/>
      <c r="GD105" s="73"/>
      <c r="GE105" s="69"/>
      <c r="GF105" s="73"/>
      <c r="GG105" s="69"/>
      <c r="GH105" s="73"/>
      <c r="GI105" s="69"/>
      <c r="GJ105" s="73"/>
      <c r="GK105" s="69"/>
      <c r="GL105" s="73"/>
      <c r="GM105" s="69"/>
      <c r="GN105" s="73"/>
      <c r="GO105" s="69"/>
      <c r="GP105" s="73"/>
      <c r="GQ105" s="69"/>
      <c r="GR105" s="73"/>
      <c r="GS105" s="69"/>
      <c r="GT105" s="69"/>
      <c r="GU105" s="562"/>
      <c r="GV105" s="562"/>
      <c r="GW105"/>
      <c r="GX105"/>
      <c r="GY105"/>
      <c r="GZ105"/>
      <c r="HA105"/>
      <c r="HB105"/>
      <c r="HC105" s="562"/>
      <c r="HD105" s="562"/>
      <c r="HE105" s="562"/>
      <c r="HF105" s="562"/>
      <c r="HG105" s="562"/>
      <c r="HH105" s="562"/>
      <c r="HI105" s="562"/>
      <c r="HJ105" s="562"/>
      <c r="HK105" s="562"/>
      <c r="HL105" s="562"/>
      <c r="HM105" s="562"/>
      <c r="HN105" s="562"/>
      <c r="HO105" s="562"/>
      <c r="HP105" s="562"/>
      <c r="HQ105" s="562"/>
      <c r="HR105" s="562"/>
      <c r="HS105" s="562"/>
      <c r="HT105" s="562"/>
      <c r="HU105" s="562"/>
      <c r="HV105" s="562"/>
      <c r="HW105" s="562"/>
      <c r="HX105" s="562"/>
      <c r="HY105" s="562"/>
      <c r="HZ105" s="562"/>
      <c r="IA105" s="562"/>
      <c r="IB105" s="562"/>
      <c r="IC105" s="562"/>
      <c r="ID105" s="562"/>
      <c r="IE105" s="562"/>
      <c r="IF105" s="562"/>
      <c r="IG105" s="562"/>
      <c r="IH105" s="562"/>
      <c r="II105" s="562"/>
      <c r="IJ105" s="562"/>
      <c r="IK105" s="562"/>
      <c r="IL105" s="562"/>
      <c r="IM105" s="562"/>
      <c r="IN105" s="562"/>
      <c r="IO105" s="562"/>
      <c r="IP105" s="562"/>
      <c r="IQ105" s="562"/>
      <c r="IR105" s="562"/>
      <c r="IS105" s="562"/>
      <c r="IT105" s="562"/>
      <c r="IU105" s="562"/>
      <c r="IV105" s="562"/>
      <c r="IW105" s="562"/>
      <c r="IX105" s="562"/>
      <c r="IY105" s="562"/>
      <c r="IZ105" s="562"/>
      <c r="JA105" s="562"/>
      <c r="JB105" s="562"/>
      <c r="JC105" s="562"/>
      <c r="JD105" s="562"/>
      <c r="JE105" s="562"/>
      <c r="JF105" s="562"/>
      <c r="JG105" s="562"/>
      <c r="JH105" s="562"/>
      <c r="JI105" s="562"/>
      <c r="JJ105" s="562"/>
      <c r="JK105" s="562"/>
      <c r="JL105" s="562"/>
      <c r="JM105" s="562"/>
      <c r="JN105" s="562"/>
      <c r="JO105" s="562"/>
      <c r="JP105" s="562"/>
      <c r="JQ105" s="562"/>
      <c r="JR105" s="562"/>
      <c r="JS105" s="562"/>
      <c r="JT105" s="562"/>
      <c r="JU105" s="562"/>
      <c r="JV105" s="562"/>
      <c r="JW105" s="562"/>
      <c r="JX105" s="562"/>
      <c r="JY105" s="562"/>
      <c r="JZ105" s="562"/>
    </row>
    <row r="106" spans="1:286" s="76" customFormat="1" ht="12.75" customHeight="1" x14ac:dyDescent="0.2">
      <c r="A106" s="67"/>
      <c r="B106" s="68" t="s">
        <v>283</v>
      </c>
      <c r="C106" s="79"/>
      <c r="D106" s="79"/>
      <c r="E106" s="82"/>
      <c r="F106" s="82"/>
      <c r="G106" s="82"/>
      <c r="H106" s="82"/>
      <c r="I106" s="82"/>
      <c r="J106" s="82"/>
      <c r="K106" s="82"/>
      <c r="L106" s="79"/>
      <c r="M106" s="82"/>
      <c r="N106" s="79"/>
      <c r="O106" s="82"/>
      <c r="P106" s="79"/>
      <c r="Q106" s="82"/>
      <c r="R106" s="79"/>
      <c r="S106" s="82"/>
      <c r="T106" s="79"/>
      <c r="U106" s="82"/>
      <c r="V106" s="79"/>
      <c r="W106" s="82"/>
      <c r="X106" s="79"/>
      <c r="Y106" s="82"/>
      <c r="Z106" s="79"/>
      <c r="AA106" s="130"/>
      <c r="AB106" s="79"/>
      <c r="AC106" s="82"/>
      <c r="AD106" s="79"/>
      <c r="AE106" s="82"/>
      <c r="AF106" s="79"/>
      <c r="AG106" s="82"/>
      <c r="AH106" s="79"/>
      <c r="AI106" s="82"/>
      <c r="AJ106" s="79"/>
      <c r="AK106" s="82"/>
      <c r="AL106" s="79"/>
      <c r="AM106" s="82"/>
      <c r="AN106" s="79"/>
      <c r="AO106" s="82"/>
      <c r="AP106" s="79"/>
      <c r="AQ106" s="82"/>
      <c r="AR106" s="79"/>
      <c r="AS106" s="82"/>
      <c r="AT106" s="81"/>
      <c r="AU106" s="82"/>
      <c r="AV106" s="81"/>
      <c r="AW106" s="82"/>
      <c r="AX106" s="81"/>
      <c r="AY106" s="82"/>
      <c r="AZ106" s="81"/>
      <c r="BA106" s="82"/>
      <c r="BB106" s="81"/>
      <c r="BC106" s="82"/>
      <c r="BD106" s="81"/>
      <c r="BE106" s="82"/>
      <c r="BF106" s="81"/>
      <c r="BG106" s="82"/>
      <c r="BH106" s="81"/>
      <c r="BI106" s="82"/>
      <c r="BJ106" s="81"/>
      <c r="BK106" s="82"/>
      <c r="BL106" s="81"/>
      <c r="BM106" s="82"/>
      <c r="BN106" s="81"/>
      <c r="BO106" s="82"/>
      <c r="BP106" s="81"/>
      <c r="BQ106" s="82"/>
      <c r="BR106" s="81"/>
      <c r="BS106" s="82"/>
      <c r="BT106" s="81"/>
      <c r="BU106" s="82"/>
      <c r="BV106" s="81"/>
      <c r="BW106" s="82"/>
      <c r="BX106" s="81"/>
      <c r="BY106" s="82"/>
      <c r="BZ106" s="81"/>
      <c r="CA106" s="82"/>
      <c r="CB106" s="81"/>
      <c r="CC106" s="82"/>
      <c r="CD106" s="81"/>
      <c r="CE106" s="82"/>
      <c r="CF106" s="81"/>
      <c r="CG106" s="82"/>
      <c r="CH106" s="81"/>
      <c r="CI106" s="82"/>
      <c r="CJ106" s="81"/>
      <c r="CK106" s="82"/>
      <c r="CL106" s="81"/>
      <c r="CM106" s="82"/>
      <c r="CN106" s="81"/>
      <c r="CO106" s="82"/>
      <c r="CP106" s="81"/>
      <c r="CQ106" s="82"/>
      <c r="CR106" s="81"/>
      <c r="CS106" s="82"/>
      <c r="CT106" s="81"/>
      <c r="CU106" s="82"/>
      <c r="CV106" s="81"/>
      <c r="CW106" s="82"/>
      <c r="CX106" s="81"/>
      <c r="CY106" s="82"/>
      <c r="CZ106" s="81"/>
      <c r="DA106" s="82"/>
      <c r="DB106" s="81"/>
      <c r="DC106" s="82"/>
      <c r="DD106" s="81"/>
      <c r="DE106" s="82"/>
      <c r="DF106" s="81"/>
      <c r="DG106" s="82"/>
      <c r="DH106" s="81"/>
      <c r="DI106" s="82"/>
      <c r="DJ106" s="81"/>
      <c r="DK106" s="82"/>
      <c r="DL106" s="81"/>
      <c r="DM106" s="82"/>
      <c r="DN106" s="81"/>
      <c r="DO106" s="82"/>
      <c r="DP106" s="81"/>
      <c r="DQ106" s="82"/>
      <c r="DR106" s="81"/>
      <c r="DS106" s="82"/>
      <c r="DT106" s="81"/>
      <c r="DU106" s="82"/>
      <c r="DV106" s="81"/>
      <c r="DW106" s="82"/>
      <c r="DX106" s="81"/>
      <c r="DY106" s="82"/>
      <c r="DZ106" s="81"/>
      <c r="EA106" s="82"/>
      <c r="EB106" s="81"/>
      <c r="EC106" s="82"/>
      <c r="ED106" s="81"/>
      <c r="EE106" s="82"/>
      <c r="EF106" s="81"/>
      <c r="EG106" s="82"/>
      <c r="EH106" s="81"/>
      <c r="EI106" s="82"/>
      <c r="EJ106" s="81"/>
      <c r="EK106" s="82"/>
      <c r="EL106" s="81"/>
      <c r="EM106" s="82"/>
      <c r="EN106" s="81"/>
      <c r="EO106" s="82"/>
      <c r="EP106" s="81"/>
      <c r="EQ106" s="82"/>
      <c r="ER106" s="81"/>
      <c r="ES106" s="82"/>
      <c r="ET106" s="469"/>
      <c r="EU106" s="82"/>
      <c r="EV106" s="82"/>
      <c r="EW106" s="79"/>
      <c r="EX106" s="82"/>
      <c r="EY106" s="79"/>
      <c r="EZ106" s="82"/>
      <c r="FA106" s="79"/>
      <c r="FB106" s="82"/>
      <c r="FC106" s="79"/>
      <c r="FD106" s="82"/>
      <c r="FE106" s="79"/>
      <c r="FF106" s="82"/>
      <c r="FG106" s="79"/>
      <c r="FH106" s="82"/>
      <c r="FI106" s="79"/>
      <c r="FJ106" s="82"/>
      <c r="FK106" s="79"/>
      <c r="FL106" s="82"/>
      <c r="FM106" s="79"/>
      <c r="FN106" s="82"/>
      <c r="FO106" s="79"/>
      <c r="FP106" s="82"/>
      <c r="FQ106" s="79"/>
      <c r="FR106" s="82"/>
      <c r="FS106" s="79"/>
      <c r="FT106" s="82"/>
      <c r="FU106" s="79"/>
      <c r="FV106" s="82"/>
      <c r="FW106" s="79"/>
      <c r="FX106" s="82"/>
      <c r="FY106" s="79"/>
      <c r="FZ106" s="82"/>
      <c r="GA106" s="79"/>
      <c r="GB106" s="82"/>
      <c r="GC106" s="79"/>
      <c r="GD106" s="82"/>
      <c r="GE106" s="79"/>
      <c r="GF106" s="82"/>
      <c r="GG106" s="79"/>
      <c r="GH106" s="82"/>
      <c r="GI106" s="79"/>
      <c r="GJ106" s="82"/>
      <c r="GK106" s="79"/>
      <c r="GL106" s="82"/>
      <c r="GM106" s="79"/>
      <c r="GN106" s="82"/>
      <c r="GO106" s="79"/>
      <c r="GP106" s="82"/>
      <c r="GQ106" s="79"/>
      <c r="GR106" s="82"/>
      <c r="GS106" s="79"/>
      <c r="GT106" s="79"/>
      <c r="GU106" s="562"/>
      <c r="GV106" s="562"/>
      <c r="GW106"/>
      <c r="GX106"/>
      <c r="GY106"/>
      <c r="GZ106"/>
      <c r="HA106"/>
      <c r="HB106"/>
      <c r="HC106" s="562"/>
      <c r="HD106" s="562"/>
      <c r="HE106" s="562"/>
      <c r="HF106" s="562"/>
      <c r="HG106" s="562"/>
      <c r="HH106" s="562"/>
      <c r="HI106" s="562"/>
      <c r="HJ106" s="562"/>
      <c r="HK106" s="562"/>
      <c r="HL106" s="562"/>
      <c r="HM106" s="562"/>
      <c r="HN106" s="562"/>
      <c r="HO106" s="562"/>
      <c r="HP106" s="562"/>
      <c r="HQ106" s="562"/>
      <c r="HR106" s="562"/>
      <c r="HS106" s="562"/>
      <c r="HT106" s="562"/>
      <c r="HU106" s="562"/>
      <c r="HV106" s="562"/>
      <c r="HW106" s="562"/>
      <c r="HX106" s="562"/>
      <c r="HY106" s="562"/>
      <c r="HZ106" s="562"/>
      <c r="IA106" s="562"/>
      <c r="IB106" s="562"/>
      <c r="IC106" s="562"/>
      <c r="ID106" s="562"/>
      <c r="IE106" s="562"/>
      <c r="IF106" s="562"/>
      <c r="IG106" s="562"/>
      <c r="IH106" s="562"/>
      <c r="II106" s="562"/>
      <c r="IJ106" s="562"/>
      <c r="IK106" s="562"/>
      <c r="IL106" s="562"/>
      <c r="IM106" s="562"/>
      <c r="IN106" s="562"/>
      <c r="IO106" s="562"/>
      <c r="IP106" s="562"/>
      <c r="IQ106" s="562"/>
      <c r="IR106" s="562"/>
      <c r="IS106" s="562"/>
      <c r="IT106" s="562"/>
      <c r="IU106" s="562"/>
      <c r="IV106" s="562"/>
      <c r="IW106" s="562"/>
      <c r="IX106" s="562"/>
      <c r="IY106" s="562"/>
      <c r="IZ106" s="562"/>
      <c r="JA106" s="562"/>
      <c r="JB106" s="562"/>
      <c r="JC106" s="562"/>
      <c r="JD106" s="562"/>
      <c r="JE106" s="562"/>
      <c r="JF106" s="562"/>
      <c r="JG106" s="562"/>
      <c r="JH106" s="562"/>
      <c r="JI106" s="562"/>
      <c r="JJ106" s="562"/>
      <c r="JK106" s="562"/>
      <c r="JL106" s="562"/>
      <c r="JM106" s="562"/>
      <c r="JN106" s="562"/>
      <c r="JO106" s="562"/>
      <c r="JP106" s="562"/>
      <c r="JQ106" s="562"/>
      <c r="JR106" s="562"/>
      <c r="JS106" s="562"/>
      <c r="JT106" s="562"/>
      <c r="JU106" s="562"/>
      <c r="JV106" s="562"/>
      <c r="JW106" s="562"/>
      <c r="JX106" s="562"/>
      <c r="JY106" s="562"/>
      <c r="JZ106" s="562"/>
    </row>
    <row r="107" spans="1:286" s="132" customFormat="1" ht="12.75" customHeight="1" x14ac:dyDescent="0.2">
      <c r="A107" s="133"/>
      <c r="B107" s="10" t="s">
        <v>269</v>
      </c>
      <c r="C107" s="79"/>
      <c r="D107" s="79"/>
      <c r="E107" s="95"/>
      <c r="F107" s="95"/>
      <c r="G107" s="95"/>
      <c r="H107" s="95"/>
      <c r="I107" s="95"/>
      <c r="J107" s="95"/>
      <c r="K107" s="95"/>
      <c r="L107" s="79"/>
      <c r="M107" s="95"/>
      <c r="N107" s="79"/>
      <c r="O107" s="95"/>
      <c r="P107" s="79"/>
      <c r="Q107" s="95"/>
      <c r="R107" s="79"/>
      <c r="S107" s="95"/>
      <c r="T107" s="79"/>
      <c r="U107" s="95"/>
      <c r="V107" s="79"/>
      <c r="W107" s="95"/>
      <c r="X107" s="79"/>
      <c r="Y107" s="95"/>
      <c r="Z107" s="79"/>
      <c r="AA107" s="126"/>
      <c r="AB107" s="79"/>
      <c r="AC107" s="95">
        <f>567.9-AE107</f>
        <v>283.29999999999995</v>
      </c>
      <c r="AD107" s="79" t="str">
        <f>IF(ISERROR((AC107/U107-1)*100),"NA",IF(((AC107/U107-1)*100)&gt;100,"NM",IF(((AC107/U107-1)*100)&lt;-50,"NM",(AC107/U107-1)*100)))</f>
        <v>NA</v>
      </c>
      <c r="AE107" s="95">
        <v>284.60000000000002</v>
      </c>
      <c r="AF107" s="79" t="str">
        <f>IF(ISERROR((AE107/W107-1)*100),"NA",IF(((AE107/W107-1)*100)&gt;100,"NM",IF(((AE107/W107-1)*100)&lt;-50,"NM",(AE107/W107-1)*100)))</f>
        <v>NA</v>
      </c>
      <c r="AG107" s="95">
        <v>291.89999999999998</v>
      </c>
      <c r="AH107" s="79" t="str">
        <f>IF(ISERROR((AG107/Y107-1)*100),"NA",IF(((AG107/Y107-1)*100)&gt;100,"NM",IF(((AG107/Y107-1)*100)&lt;-50,"NM",(AG107/Y107-1)*100)))</f>
        <v>NA</v>
      </c>
      <c r="AI107" s="75">
        <f>FH107-AG107-AE107-AC107</f>
        <v>293.70000000000005</v>
      </c>
      <c r="AJ107" s="79" t="str">
        <f>IF(ISERROR((AI107/AA107-1)*100),"NA",IF(((AI107/AA107-1)*100)&gt;100,"NM",IF(((AI107/AA107-1)*100)&lt;-50,"NM",(AI107/AA107-1)*100)))</f>
        <v>NA</v>
      </c>
      <c r="AK107" s="95">
        <f>613.1-AM107</f>
        <v>304.10000000000002</v>
      </c>
      <c r="AL107" s="79">
        <f>IF(ISERROR((AK107/AC107-1)*100),"NA",IF(((AK107/AC107-1)*100)&gt;100,"NM",IF(((AK107/AC107-1)*100)&lt;-50,"NM",(AK107/AC107-1)*100)))</f>
        <v>7.3420402400282692</v>
      </c>
      <c r="AM107" s="95">
        <v>309</v>
      </c>
      <c r="AN107" s="79">
        <f>IF(ISERROR((AM107/AE107-1)*100),"NA",IF(((AM107/AE107-1)*100)&gt;100,"NM",IF(((AM107/AE107-1)*100)&lt;-50,"NM",(AM107/AE107-1)*100)))</f>
        <v>8.5734364019676601</v>
      </c>
      <c r="AO107" s="95">
        <v>311.60000000000002</v>
      </c>
      <c r="AP107" s="79">
        <f>IF(ISERROR((AO107/AG107-1)*100),"NA",IF(((AO107/AG107-1)*100)&gt;100,"NM",IF(((AO107/AG107-1)*100)&lt;-50,"NM",(AO107/AG107-1)*100)))</f>
        <v>6.7488866050017249</v>
      </c>
      <c r="AQ107" s="95">
        <v>313.2</v>
      </c>
      <c r="AR107" s="79">
        <f>IF(ISERROR((AQ107/AI107-1)*100),"NA",IF(((AQ107/AI107-1)*100)&gt;100,"NM",IF(((AQ107/AI107-1)*100)&lt;-50,"NM",(AQ107/AI107-1)*100)))</f>
        <v>6.6394279877425744</v>
      </c>
      <c r="AS107" s="95">
        <v>325.2</v>
      </c>
      <c r="AT107" s="81">
        <f>IF(ISERROR((AS107/AK107-1)*100),"NA",IF(((AS107/AK107-1)*100)&gt;100,"NM",IF(((AS107/AK107-1)*100)&lt;-50,"NM",(AS107/AK107-1)*100)))</f>
        <v>6.938507070042732</v>
      </c>
      <c r="AU107" s="95">
        <v>327.2</v>
      </c>
      <c r="AV107" s="81">
        <f>IF(ISERROR((AU107/AM107-1)*100),"NA",IF(((AU107/AM107-1)*100)&gt;100,"NM",IF(((AU107/AM107-1)*100)&lt;-50,"NM",(AU107/AM107-1)*100)))</f>
        <v>5.8899676375404386</v>
      </c>
      <c r="AW107" s="95">
        <v>332.3</v>
      </c>
      <c r="AX107" s="81">
        <f>IF(ISERROR((AW107/AO107-1)*100),"NA",IF(((AW107/AO107-1)*100)&gt;100,"NM",IF(((AW107/AO107-1)*100)&lt;-50,"NM",(AW107/AO107-1)*100)))</f>
        <v>6.6431322207958887</v>
      </c>
      <c r="AY107" s="95">
        <v>328.1</v>
      </c>
      <c r="AZ107" s="81">
        <f>IF(ISERROR((AY107/AQ107-1)*100),"NA",IF(((AY107/AQ107-1)*100)&gt;100,"NM",IF(((AY107/AQ107-1)*100)&lt;-50,"NM",(AY107/AQ107-1)*100)))</f>
        <v>4.757343550447013</v>
      </c>
      <c r="BA107" s="95">
        <v>341.6</v>
      </c>
      <c r="BB107" s="81">
        <f>IF(ISERROR((BA107/AS107-1)*100),"NA",IF(((BA107/AS107-1)*100)&gt;100,"NM",IF(((BA107/AS107-1)*100)&lt;-50,"NM",(BA107/AS107-1)*100)))</f>
        <v>5.0430504305043256</v>
      </c>
      <c r="BC107" s="95">
        <v>347.2</v>
      </c>
      <c r="BD107" s="81">
        <f>IF(ISERROR((BC107/AU107-1)*100),"NA",IF(((BC107/AU107-1)*100)&gt;100,"NM",IF(((BC107/AU107-1)*100)&lt;-50,"NM",(BC107/AU107-1)*100)))</f>
        <v>6.112469437652801</v>
      </c>
      <c r="BE107" s="95">
        <v>352.4</v>
      </c>
      <c r="BF107" s="81">
        <f>IF(ISERROR((BE107/AW107-1)*100),"NA",IF(((BE107/AW107-1)*100)&gt;100,"NM",IF(((BE107/AW107-1)*100)&lt;-50,"NM",(BE107/AW107-1)*100)))</f>
        <v>6.048751128498342</v>
      </c>
      <c r="BG107" s="95">
        <v>353.1</v>
      </c>
      <c r="BH107" s="81">
        <f>IF(ISERROR((BG107/AY107-1)*100),"NA",IF(((BG107/AY107-1)*100)&gt;100,"NM",IF(((BG107/AY107-1)*100)&lt;-50,"NM",(BG107/AY107-1)*100)))</f>
        <v>7.6196281621456974</v>
      </c>
      <c r="BI107" s="95">
        <v>369.6</v>
      </c>
      <c r="BJ107" s="81">
        <f>IF(ISERROR((BI107/BA107-1)*100),"NA",IF(((BI107/BA107-1)*100)&gt;100,"NM",IF(((BI107/BA107-1)*100)&lt;-50,"NM",(BI107/BA107-1)*100)))</f>
        <v>8.196721311475418</v>
      </c>
      <c r="BK107" s="95">
        <v>372.7</v>
      </c>
      <c r="BL107" s="81">
        <f>IF(ISERROR((BK107/BC107-1)*100),"NA",IF(((BK107/BC107-1)*100)&gt;100,"NM",IF(((BK107/BC107-1)*100)&lt;-50,"NM",(BK107/BC107-1)*100)))</f>
        <v>7.3444700460829404</v>
      </c>
      <c r="BM107" s="95">
        <v>376.4</v>
      </c>
      <c r="BN107" s="81">
        <f>IF(ISERROR((BM107/BE107-1)*100),"NA",IF(((BM107/BE107-1)*100)&gt;100,"NM",IF(((BM107/BE107-1)*100)&lt;-50,"NM",(BM107/BE107-1)*100)))</f>
        <v>6.8104426787741312</v>
      </c>
      <c r="BO107" s="95">
        <v>380.3</v>
      </c>
      <c r="BP107" s="81">
        <f>IF(ISERROR((BO107/BG107-1)*100),"NA",IF(((BO107/BG107-1)*100)&gt;100,"NM",IF(((BO107/BG107-1)*100)&lt;-50,"NM",(BO107/BG107-1)*100)))</f>
        <v>7.7032002265646993</v>
      </c>
      <c r="BQ107" s="95">
        <v>392.6</v>
      </c>
      <c r="BR107" s="81">
        <f>IF(ISERROR((BQ107/BI107-1)*100),"NA",IF(((BQ107/BI107-1)*100)&gt;100,"NM",IF(((BQ107/BI107-1)*100)&lt;-50,"NM",(BQ107/BI107-1)*100)))</f>
        <v>6.222943722943719</v>
      </c>
      <c r="BS107" s="95">
        <v>390.9</v>
      </c>
      <c r="BT107" s="81">
        <f>IF(ISERROR((BS107/BK107-1)*100),"NA",IF(((BS107/BK107-1)*100)&gt;100,"NM",IF(((BS107/BK107-1)*100)&lt;-50,"NM",(BS107/BK107-1)*100)))</f>
        <v>4.8832841427421503</v>
      </c>
      <c r="BU107" s="95">
        <v>384.4</v>
      </c>
      <c r="BV107" s="81">
        <f>IF(ISERROR((BU107/BM107-1)*100),"NA",IF(((BU107/BM107-1)*100)&gt;100,"NM",IF(((BU107/BM107-1)*100)&lt;-50,"NM",(BU107/BM107-1)*100)))</f>
        <v>2.1253985122210439</v>
      </c>
      <c r="BW107" s="95">
        <v>382.9</v>
      </c>
      <c r="BX107" s="81">
        <f>IF(ISERROR((BW107/BO107-1)*100),"NA",IF(((BW107/BO107-1)*100)&gt;100,"NM",IF(((BW107/BO107-1)*100)&lt;-50,"NM",(BW107/BO107-1)*100)))</f>
        <v>0.68367078622140198</v>
      </c>
      <c r="BY107" s="95">
        <v>249</v>
      </c>
      <c r="BZ107" s="81">
        <f>IF(ISERROR((BY107/BQ107-1)*100),"NA",IF(((BY107/BQ107-1)*100)&gt;100,"NM",IF(((BY107/BQ107-1)*100)&lt;-50,"NM",(BY107/BQ107-1)*100)))</f>
        <v>-36.576668364747846</v>
      </c>
      <c r="CA107" s="95">
        <v>248.6</v>
      </c>
      <c r="CB107" s="81">
        <f>IF(ISERROR((CA107/BS107-1)*100),"NA",IF(((CA107/BS107-1)*100)&gt;100,"NM",IF(((CA107/BS107-1)*100)&lt;-50,"NM",(CA107/BS107-1)*100)))</f>
        <v>-36.403172166794576</v>
      </c>
      <c r="CC107" s="95">
        <v>247.6</v>
      </c>
      <c r="CD107" s="81">
        <f>IF(ISERROR((CC107/BU107-1)*100),"NA",IF(((CC107/BU107-1)*100)&gt;100,"NM",IF(((CC107/BU107-1)*100)&lt;-50,"NM",(CC107/BU107-1)*100)))</f>
        <v>-35.587929240374606</v>
      </c>
      <c r="CE107" s="95">
        <v>243.5</v>
      </c>
      <c r="CF107" s="81">
        <f>IF(ISERROR((CE107/BW107-1)*100),"NA",IF(((CE107/BW107-1)*100)&gt;100,"NM",IF(((CE107/BW107-1)*100)&lt;-50,"NM",(CE107/BW107-1)*100)))</f>
        <v>-36.406372420997648</v>
      </c>
      <c r="CG107" s="95">
        <v>260.3</v>
      </c>
      <c r="CH107" s="81">
        <f>IF(ISERROR((CG107/BY107-1)*100),"NA",IF(((CG107/BY107-1)*100)&gt;100,"NM",IF(((CG107/BY107-1)*100)&lt;-50,"NM",(CG107/BY107-1)*100)))</f>
        <v>4.5381526104417702</v>
      </c>
      <c r="CI107" s="95">
        <v>261.3</v>
      </c>
      <c r="CJ107" s="81">
        <f>IF(ISERROR((CI107/CA107-1)*100),"NA",IF(((CI107/CA107-1)*100)&gt;100,"NM",IF(((CI107/CA107-1)*100)&lt;-50,"NM",(CI107/CA107-1)*100)))</f>
        <v>5.1086082059533355</v>
      </c>
      <c r="CK107" s="95">
        <v>260.2</v>
      </c>
      <c r="CL107" s="81">
        <f>IF(ISERROR((CK107/CC107-1)*100),"NA",IF(((CK107/CC107-1)*100)&gt;100,"NM",IF(((CK107/CC107-1)*100)&lt;-50,"NM",(CK107/CC107-1)*100)))</f>
        <v>5.0888529886914391</v>
      </c>
      <c r="CM107" s="95">
        <v>262.89999999999998</v>
      </c>
      <c r="CN107" s="81">
        <f>IF(ISERROR((CM107/CE107-1)*100),"NA",IF(((CM107/CE107-1)*100)&gt;100,"NM",IF(((CM107/CE107-1)*100)&lt;-50,"NM",(CM107/CE107-1)*100)))</f>
        <v>7.9671457905543974</v>
      </c>
      <c r="CO107" s="95">
        <v>276.89999999999998</v>
      </c>
      <c r="CP107" s="81">
        <f>IF(ISERROR((CO107/CG107-1)*100),"NA",IF(((CO107/CG107-1)*100)&gt;100,"NM",IF(((CO107/CG107-1)*100)&lt;-50,"NM",(CO107/CG107-1)*100)))</f>
        <v>6.3772570111409799</v>
      </c>
      <c r="CQ107" s="95">
        <v>276.10000000000002</v>
      </c>
      <c r="CR107" s="81">
        <f>IF(ISERROR((CQ107/CI107-1)*100),"NA",IF(((CQ107/CI107-1)*100)&gt;100,"NM",IF(((CQ107/CI107-1)*100)&lt;-50,"NM",(CQ107/CI107-1)*100)))</f>
        <v>5.6639877535400007</v>
      </c>
      <c r="CS107" s="95">
        <v>272.89999999999998</v>
      </c>
      <c r="CT107" s="81">
        <f>IF(ISERROR((CS107/CK107-1)*100),"NA",IF(((CS107/CK107-1)*100)&gt;100,"NM",IF(((CS107/CK107-1)*100)&lt;-50,"NM",(CS107/CK107-1)*100)))</f>
        <v>4.880860876249038</v>
      </c>
      <c r="CU107" s="95">
        <v>277.7</v>
      </c>
      <c r="CV107" s="81">
        <f>IF(ISERROR((CU107/CM107-1)*100),"NA",IF(((CU107/CM107-1)*100)&gt;100,"NM",IF(((CU107/CM107-1)*100)&lt;-50,"NM",(CU107/CM107-1)*100)))</f>
        <v>5.6295169265880629</v>
      </c>
      <c r="CW107" s="95">
        <v>282.89999999999998</v>
      </c>
      <c r="CX107" s="81">
        <f>IF(ISERROR((CW107/CO107-1)*100),"NA",IF(((CW107/CO107-1)*100)&gt;100,"NM",IF(((CW107/CO107-1)*100)&lt;-50,"NM",(CW107/CO107-1)*100)))</f>
        <v>2.1668472372697645</v>
      </c>
      <c r="CY107" s="95">
        <v>273.8</v>
      </c>
      <c r="CZ107" s="81">
        <f>IF(ISERROR((CY107/CQ107-1)*100),"NA",IF(((CY107/CQ107-1)*100)&gt;100,"NM",IF(((CY107/CQ107-1)*100)&lt;-50,"NM",(CY107/CQ107-1)*100)))</f>
        <v>-0.83303151032234624</v>
      </c>
      <c r="DA107" s="95">
        <v>274.39999999999998</v>
      </c>
      <c r="DB107" s="81">
        <f>IF(ISERROR((DA107/CS107-1)*100),"NA",IF(((DA107/CS107-1)*100)&gt;100,"NM",IF(((DA107/CS107-1)*100)&lt;-50,"NM",(DA107/CS107-1)*100)))</f>
        <v>0.54965188713813617</v>
      </c>
      <c r="DC107" s="95">
        <v>277</v>
      </c>
      <c r="DD107" s="81">
        <f>IF(ISERROR((DC107/CU107-1)*100),"NA",IF(((DC107/CU107-1)*100)&gt;100,"NM",IF(((DC107/CU107-1)*100)&lt;-50,"NM",(DC107/CU107-1)*100)))</f>
        <v>-0.25207057976233127</v>
      </c>
      <c r="DE107" s="95">
        <v>291.2</v>
      </c>
      <c r="DF107" s="81">
        <f>IF(ISERROR((DE107/CW107-1)*100),"NA",IF(((DE107/CW107-1)*100)&gt;100,"NM",IF(((DE107/CW107-1)*100)&lt;-50,"NM",(DE107/CW107-1)*100)))</f>
        <v>2.9338989042064334</v>
      </c>
      <c r="DG107" s="95">
        <v>289.39999999999998</v>
      </c>
      <c r="DH107" s="81">
        <f>IF(ISERROR((DG107/CY107-1)*100),"NA",IF(((DG107/CY107-1)*100)&gt;100,"NM",IF(((DG107/CY107-1)*100)&lt;-50,"NM",(DG107/CY107-1)*100)))</f>
        <v>5.6975894813732442</v>
      </c>
      <c r="DI107" s="95">
        <v>288.39999999999998</v>
      </c>
      <c r="DJ107" s="81">
        <f>IF(ISERROR((DI107/DA107-1)*100),"NA",IF(((DI107/DA107-1)*100)&gt;100,"NM",IF(((DI107/DA107-1)*100)&lt;-50,"NM",(DI107/DA107-1)*100)))</f>
        <v>5.1020408163265252</v>
      </c>
      <c r="DK107" s="95">
        <v>290.89999999999998</v>
      </c>
      <c r="DL107" s="81">
        <f>IF(ISERROR((DK107/DC107-1)*100),"NA",IF(((DK107/DC107-1)*100)&gt;100,"NM",IF(((DK107/DC107-1)*100)&lt;-50,"NM",(DK107/DC107-1)*100)))</f>
        <v>5.018050541516228</v>
      </c>
      <c r="DM107" s="95">
        <v>309.60000000000002</v>
      </c>
      <c r="DN107" s="81">
        <f>IF(ISERROR((DM107/DE107-1)*100),"NA",IF(((DM107/DE107-1)*100)&gt;100,"NM",IF(((DM107/DE107-1)*100)&lt;-50,"NM",(DM107/DE107-1)*100)))</f>
        <v>6.3186813186813406</v>
      </c>
      <c r="DO107" s="95">
        <v>306.10000000000002</v>
      </c>
      <c r="DP107" s="81">
        <f>IF(ISERROR((DO107/DG107-1)*100),"NA",IF(((DO107/DG107-1)*100)&gt;100,"NM",IF(((DO107/DG107-1)*100)&lt;-50,"NM",(DO107/DG107-1)*100)))</f>
        <v>5.7705597788528129</v>
      </c>
      <c r="DQ107" s="95">
        <v>305.7</v>
      </c>
      <c r="DR107" s="81">
        <f>IF(ISERROR((DQ107/DI107-1)*100),"NA",IF(((DQ107/DI107-1)*100)&gt;100,"NM",IF(((DQ107/DI107-1)*100)&lt;-50,"NM",(DQ107/DI107-1)*100)))</f>
        <v>5.9986130374479973</v>
      </c>
      <c r="DS107" s="95">
        <v>307.39999999999998</v>
      </c>
      <c r="DT107" s="81">
        <f>IF(ISERROR((DS107/DK107-1)*100),"NA",IF(((DS107/DK107-1)*100)&gt;100,"NM",IF(((DS107/DK107-1)*100)&lt;-50,"NM",(DS107/DK107-1)*100)))</f>
        <v>5.6720522516328531</v>
      </c>
      <c r="DU107" s="95">
        <v>327.10000000000002</v>
      </c>
      <c r="DV107" s="81">
        <f>IF(ISERROR((DU107/DM107-1)*100),"NA",IF(((DU107/DM107-1)*100)&gt;100,"NM",IF(((DU107/DM107-1)*100)&lt;-50,"NM",(DU107/DM107-1)*100)))</f>
        <v>5.6524547803617597</v>
      </c>
      <c r="DW107" s="95">
        <v>326.7</v>
      </c>
      <c r="DX107" s="81">
        <f>IF(ISERROR((DW107/DO107-1)*100),"NA",IF(((DW107/DO107-1)*100)&gt;100,"NM",IF(((DW107/DO107-1)*100)&lt;-50,"NM",(DW107/DO107-1)*100)))</f>
        <v>6.7298268539692785</v>
      </c>
      <c r="DY107" s="95">
        <v>342.7</v>
      </c>
      <c r="DZ107" s="81">
        <f>IF(ISERROR((DY107/DQ107-1)*100),"NA",IF(((DY107/DQ107-1)*100)&gt;100,"NM",IF(((DY107/DQ107-1)*100)&lt;-50,"NM",(DY107/DQ107-1)*100)))</f>
        <v>12.103369316323187</v>
      </c>
      <c r="EA107" s="95">
        <v>341.4</v>
      </c>
      <c r="EB107" s="81">
        <f>IF(ISERROR((EA107/DS107-1)*100),"NA",IF(((EA107/DS107-1)*100)&gt;100,"NM",IF(((EA107/DS107-1)*100)&lt;-50,"NM",(EA107/DS107-1)*100)))</f>
        <v>11.060507482108006</v>
      </c>
      <c r="EC107" s="95">
        <v>363.7</v>
      </c>
      <c r="ED107" s="81">
        <f t="shared" ref="ED107:ED110" si="395">IF(ISERROR((EC107/DU107-1)*100),"NA",IF(((EC107/DU107-1)*100)&gt;100,"NM",IF(((EC107/DU107-1)*100)&lt;-50,"NM",(EC107/DU107-1)*100)))</f>
        <v>11.189238764903697</v>
      </c>
      <c r="EE107" s="95">
        <v>361.1</v>
      </c>
      <c r="EF107" s="81">
        <f t="shared" ref="EF107:EF110" si="396">IF(ISERROR((EE107/DW107-1)*100),"NA",IF(((EE107/DW107-1)*100)&gt;100,"NM",IF(((EE107/DW107-1)*100)&lt;-50,"NM",(EE107/DW107-1)*100)))</f>
        <v>10.529537802265088</v>
      </c>
      <c r="EG107" s="95">
        <v>357.4</v>
      </c>
      <c r="EH107" s="81">
        <f t="shared" ref="EH107:EH110" si="397">IF(ISERROR((EG107/DY107-1)*100),"NA",IF(((EG107/DY107-1)*100)&gt;100,"NM",IF(((EG107/DY107-1)*100)&lt;-50,"NM",(EG107/DY107-1)*100)))</f>
        <v>4.2894660052523959</v>
      </c>
      <c r="EI107" s="95">
        <v>356.9</v>
      </c>
      <c r="EJ107" s="81">
        <f t="shared" ref="EJ107:EJ110" si="398">IF(ISERROR((EI107/EA107-1)*100),"NA",IF(((EI107/EA107-1)*100)&gt;100,"NM",IF(((EI107/EA107-1)*100)&lt;-50,"NM",(EI107/EA107-1)*100)))</f>
        <v>4.5401288810779095</v>
      </c>
      <c r="EK107" s="95">
        <f>EI107*1.018</f>
        <v>363.32419999999996</v>
      </c>
      <c r="EL107" s="81">
        <f t="shared" ref="EL107:EL110" si="399">IF(ISERROR((EK107/EC107-1)*100),"NA",IF(((EK107/EC107-1)*100)&gt;100,"NM",IF(((EK107/EC107-1)*100)&lt;-50,"NM",(EK107/EC107-1)*100)))</f>
        <v>-0.10332691778939251</v>
      </c>
      <c r="EM107" s="95">
        <f>EK107*1.018</f>
        <v>369.86403559999997</v>
      </c>
      <c r="EN107" s="81">
        <f t="shared" ref="EN107:EN110" si="400">IF(ISERROR((EM107/EE107-1)*100),"NA",IF(((EM107/EE107-1)*100)&gt;100,"NM",IF(((EM107/EE107-1)*100)&lt;-50,"NM",(EM107/EE107-1)*100)))</f>
        <v>2.4270383827194486</v>
      </c>
      <c r="EO107" s="95">
        <f>EM107*1.018</f>
        <v>376.52158824079999</v>
      </c>
      <c r="EP107" s="81">
        <f t="shared" ref="EP107:EP110" si="401">IF(ISERROR((EO107/EG107-1)*100),"NA",IF(((EO107/EG107-1)*100)&gt;100,"NM",IF(((EO107/EG107-1)*100)&lt;-50,"NM",(EO107/EG107-1)*100)))</f>
        <v>5.3501925687744922</v>
      </c>
      <c r="EQ107" s="95">
        <f>EO107*1.015</f>
        <v>382.16941206441197</v>
      </c>
      <c r="ER107" s="81">
        <f t="shared" ref="ER107:ER110" si="402">IF(ISERROR((EQ107/EI107-1)*100),"NA",IF(((EQ107/EI107-1)*100)&gt;100,"NM",IF(((EQ107/EI107-1)*100)&lt;-50,"NM",(EQ107/EI107-1)*100)))</f>
        <v>7.0802499480000058</v>
      </c>
      <c r="ES107" s="129"/>
      <c r="ET107" s="469"/>
      <c r="EU107" s="129"/>
      <c r="EV107" s="95"/>
      <c r="EW107" s="79"/>
      <c r="EX107" s="95"/>
      <c r="EY107" s="79"/>
      <c r="EZ107" s="131"/>
      <c r="FA107" s="79"/>
      <c r="FB107" s="35"/>
      <c r="FC107" s="79"/>
      <c r="FD107" s="129">
        <v>902.6</v>
      </c>
      <c r="FE107" s="79" t="str">
        <f>IF(ISERROR((FD107/FB107-1)*100),"NA",IF(((FD107/FB107-1)*100)&gt;100,"NM",IF(((FD107/FB107-1)*100)&lt;-50,"NM",(FD107/FB107-1)*100)))</f>
        <v>NA</v>
      </c>
      <c r="FF107" s="129">
        <v>1057.4000000000001</v>
      </c>
      <c r="FG107" s="79">
        <f>IF(ISERROR((FF107/FD107-1)*100),"NA",IF(((FF107/FD107-1)*100)&gt;100,"NM",IF(((FF107/FD107-1)*100)&lt;-50,"NM",(FF107/FD107-1)*100)))</f>
        <v>17.150454243297155</v>
      </c>
      <c r="FH107" s="129">
        <v>1153.5</v>
      </c>
      <c r="FI107" s="79">
        <f>IF(ISERROR((FH107/FF107-1)*100),"NA",IF(((FH107/FF107-1)*100)&gt;100,"NM",IF(((FH107/FF107-1)*100)&lt;-50,"NM",(FH107/FF107-1)*100)))</f>
        <v>9.0883298657083333</v>
      </c>
      <c r="FJ107" s="35">
        <f>+AQ107+AO107+AM107+AK107</f>
        <v>1237.9000000000001</v>
      </c>
      <c r="FK107" s="79">
        <f>IF(ISERROR((FJ107/FH107-1)*100),"NA",IF(((FJ107/FH107-1)*100)&gt;100,"NM",IF(((FJ107/FH107-1)*100)&lt;-50,"NM",(FJ107/FH107-1)*100)))</f>
        <v>7.3168617251842205</v>
      </c>
      <c r="FL107" s="78">
        <f>AS107+AU107+AW107+AY107</f>
        <v>1312.8000000000002</v>
      </c>
      <c r="FM107" s="79">
        <f>IF(ISERROR((FL107/FJ107-1)*100),"NA",IF(((FL107/FJ107-1)*100)&gt;100,"NM",IF(((FL107/FJ107-1)*100)&lt;-50,"NM",(FL107/FJ107-1)*100)))</f>
        <v>6.0505695128847403</v>
      </c>
      <c r="FN107" s="78">
        <f>BA107+BC107+BE107+BG107</f>
        <v>1394.2999999999997</v>
      </c>
      <c r="FO107" s="79">
        <f>IF(ISERROR((FN107/FL107-1)*100),"NA",IF(((FN107/FL107-1)*100)&gt;100,"NM",IF(((FN107/FL107-1)*100)&lt;-50,"NM",(FN107/FL107-1)*100)))</f>
        <v>6.2081048141376938</v>
      </c>
      <c r="FP107" s="78">
        <f>BI107+BK107+BM107+BO107</f>
        <v>1498.9999999999998</v>
      </c>
      <c r="FQ107" s="79">
        <f>IF(ISERROR((FP107/FN107-1)*100),"NA",IF(((FP107/FN107-1)*100)&gt;100,"NM",IF(((FP107/FN107-1)*100)&lt;-50,"NM",(FP107/FN107-1)*100)))</f>
        <v>7.5091443735207708</v>
      </c>
      <c r="FR107" s="95">
        <v>956.1</v>
      </c>
      <c r="FS107" s="79">
        <f>IF(ISERROR((FR107/FP107-1)*100),"NA",IF(((FR107/FP107-1)*100)&gt;100,"NM",IF(((FR107/FP107-1)*100)&lt;-50,"NM",(FR107/FP107-1)*100)))</f>
        <v>-36.217478318879238</v>
      </c>
      <c r="FT107" s="93">
        <f>BY107+CA107+CC107+CE107</f>
        <v>988.7</v>
      </c>
      <c r="FU107" s="79">
        <f>IF(ISERROR((FT107/FR107-1)*100),"NA",IF(((FT107/FR107-1)*100)&gt;100,"NM",IF(((FT107/FR107-1)*100)&lt;-50,"NM",(FT107/FR107-1)*100)))</f>
        <v>3.4096851793745442</v>
      </c>
      <c r="FV107" s="93">
        <f>CG107+CI107+CK107+CM107</f>
        <v>1044.6999999999998</v>
      </c>
      <c r="FW107" s="79">
        <f>IF(ISERROR((FV107/FT107-1)*100),"NA",IF(((FV107/FT107-1)*100)&gt;100,"NM",IF(((FV107/FT107-1)*100)&lt;-50,"NM",(FV107/FT107-1)*100)))</f>
        <v>5.6640032365732562</v>
      </c>
      <c r="FX107" s="93">
        <f>CO107+CQ107+CS107+CU107</f>
        <v>1103.5999999999999</v>
      </c>
      <c r="FY107" s="79">
        <f>IF(ISERROR((FX107/FV107-1)*100),"NA",IF(((FX107/FV107-1)*100)&gt;100,"NM",IF(((FX107/FV107-1)*100)&lt;-50,"NM",(FX107/FV107-1)*100)))</f>
        <v>5.6379821958457033</v>
      </c>
      <c r="FZ107" s="93">
        <f>CW107+CY107+DA107+DC107</f>
        <v>1108.0999999999999</v>
      </c>
      <c r="GA107" s="79">
        <f>IF(ISERROR((FZ107/FX107-1)*100),"NA",IF(((FZ107/FX107-1)*100)&gt;100,"NM",IF(((FZ107/FX107-1)*100)&lt;-50,"NM",(FZ107/FX107-1)*100)))</f>
        <v>0.40775643349040269</v>
      </c>
      <c r="GB107" s="93">
        <f>DE107+DG107+DI107+DK107</f>
        <v>1159.8999999999999</v>
      </c>
      <c r="GC107" s="79">
        <f>IF(ISERROR((GB107/FZ107-1)*100),"NA",IF(((GB107/FZ107-1)*100)&gt;100,"NM",IF(((GB107/FZ107-1)*100)&lt;-50,"NM",(GB107/FZ107-1)*100)))</f>
        <v>4.6746683512318254</v>
      </c>
      <c r="GD107" s="93">
        <f>DM107+DO107+DQ107+DS107</f>
        <v>1228.8000000000002</v>
      </c>
      <c r="GE107" s="79">
        <f>IF(ISERROR((GD107/GB107-1)*100),"NA",IF(((GD107/GB107-1)*100)&gt;100,"NM",IF(((GD107/GB107-1)*100)&lt;-50,"NM",(GD107/GB107-1)*100)))</f>
        <v>5.9401672557979346</v>
      </c>
      <c r="GF107" s="93">
        <f>DU107+DW107+DY107+EA107</f>
        <v>1337.9</v>
      </c>
      <c r="GG107" s="79">
        <f>IF(ISERROR((GF107/GD107-1)*100),"NA",IF(((GF107/GD107-1)*100)&gt;100,"NM",IF(((GF107/GD107-1)*100)&lt;-50,"NM",(GF107/GD107-1)*100)))</f>
        <v>8.8785807291666519</v>
      </c>
      <c r="GH107" s="93">
        <f>EC107+EE107+EG107+EI107</f>
        <v>1439.1</v>
      </c>
      <c r="GI107" s="79">
        <f>IF(ISERROR((GH107/GF107-1)*100),"NA",IF(((GH107/GF107-1)*100)&gt;100,"NM",IF(((GH107/GF107-1)*100)&lt;-50,"NM",(GH107/GF107-1)*100)))</f>
        <v>7.5640929815382174</v>
      </c>
      <c r="GJ107" s="93">
        <f>EK107+EM107+EO107+EQ107</f>
        <v>1491.8792359052118</v>
      </c>
      <c r="GK107" s="79">
        <f>IF(ISERROR((GJ107/GH107-1)*100),"NA",IF(((GJ107/GH107-1)*100)&gt;100,"NM",IF(((GJ107/GH107-1)*100)&lt;-50,"NM",(GJ107/GH107-1)*100)))</f>
        <v>3.6675169137107888</v>
      </c>
      <c r="GL107" s="95">
        <f>+GJ107*1.05</f>
        <v>1566.4731977004724</v>
      </c>
      <c r="GM107" s="79">
        <f>IF(ISERROR((GL107/GJ107-1)*100),"NA",IF(((GL107/GJ107-1)*100)&gt;100,"NM",IF(((GL107/GJ107-1)*100)&lt;-50,"NM",(GL107/GJ107-1)*100)))</f>
        <v>5.0000000000000044</v>
      </c>
      <c r="GN107" s="95">
        <f>+GL107*1.05</f>
        <v>1644.7968575854961</v>
      </c>
      <c r="GO107" s="79">
        <f>IF(ISERROR((GN107/GL107-1)*100),"NA",IF(((GN107/GL107-1)*100)&gt;100,"NM",IF(((GN107/GL107-1)*100)&lt;-50,"NM",(GN107/GL107-1)*100)))</f>
        <v>5.0000000000000044</v>
      </c>
      <c r="GP107" s="95">
        <f>+GN107*1.05</f>
        <v>1727.036700464771</v>
      </c>
      <c r="GQ107" s="79">
        <f>IF(ISERROR((GP107/GN107-1)*100),"NA",IF(((GP107/GN107-1)*100)&gt;100,"NM",IF(((GP107/GN107-1)*100)&lt;-50,"NM",(GP107/GN107-1)*100)))</f>
        <v>5.0000000000000044</v>
      </c>
      <c r="GR107" s="95">
        <f>+GP107*1.05</f>
        <v>1813.3885354880097</v>
      </c>
      <c r="GS107" s="79">
        <f>IF(ISERROR((GR107/GP107-1)*100),"NA",IF(((GR107/GP107-1)*100)&gt;100,"NM",IF(((GR107/GP107-1)*100)&lt;-50,"NM",(GR107/GP107-1)*100)))</f>
        <v>5.0000000000000044</v>
      </c>
      <c r="GT107" s="79">
        <f>IF(ISERROR(((GR107/GH107)^0.2-1)*100),"NA",(IF(OR(((GR107/GH107)^0.2-1)*100&gt;99,((GR107/GH107)^0.2-1)*100&lt;-50),"NM",(((GR107/GH107)^0.2-1)*100))))</f>
        <v>4.7321402196822682</v>
      </c>
      <c r="GU107" s="562"/>
      <c r="GV107" s="562"/>
      <c r="GW107"/>
      <c r="GX107"/>
      <c r="GY107"/>
      <c r="GZ107"/>
      <c r="HA107"/>
      <c r="HB107"/>
      <c r="HC107" s="562"/>
      <c r="HD107" s="562"/>
      <c r="HE107" s="562"/>
      <c r="HF107" s="562"/>
      <c r="HG107" s="562"/>
      <c r="HH107" s="562"/>
      <c r="HI107" s="562"/>
      <c r="HJ107" s="562"/>
      <c r="HK107" s="562"/>
      <c r="HL107" s="562"/>
      <c r="HM107" s="562"/>
      <c r="HN107" s="562"/>
      <c r="HO107" s="562"/>
      <c r="HP107" s="562"/>
      <c r="HQ107" s="562"/>
      <c r="HR107" s="562"/>
      <c r="HS107" s="562"/>
      <c r="HT107" s="562"/>
      <c r="HU107" s="562"/>
      <c r="HV107" s="562"/>
      <c r="HW107" s="562"/>
      <c r="HX107" s="562"/>
      <c r="HY107" s="562"/>
      <c r="HZ107" s="562"/>
      <c r="IA107" s="562"/>
      <c r="IB107" s="562"/>
      <c r="IC107" s="562"/>
      <c r="ID107" s="562"/>
      <c r="IE107" s="562"/>
      <c r="IF107" s="562"/>
      <c r="IG107" s="562"/>
      <c r="IH107" s="562"/>
      <c r="II107" s="562"/>
      <c r="IJ107" s="562"/>
      <c r="IK107" s="562"/>
      <c r="IL107" s="562"/>
      <c r="IM107" s="562"/>
      <c r="IN107" s="562"/>
      <c r="IO107" s="562"/>
      <c r="IP107" s="562"/>
      <c r="IQ107" s="562"/>
      <c r="IR107" s="562"/>
      <c r="IS107" s="562"/>
      <c r="IT107" s="562"/>
      <c r="IU107" s="562"/>
      <c r="IV107" s="562"/>
      <c r="IW107" s="562"/>
      <c r="IX107" s="562"/>
      <c r="IY107" s="562"/>
      <c r="IZ107" s="562"/>
      <c r="JA107" s="562"/>
      <c r="JB107" s="562"/>
      <c r="JC107" s="562"/>
      <c r="JD107" s="562"/>
      <c r="JE107" s="562"/>
      <c r="JF107" s="562"/>
      <c r="JG107" s="562"/>
      <c r="JH107" s="562"/>
      <c r="JI107" s="562"/>
      <c r="JJ107" s="562"/>
      <c r="JK107" s="562"/>
      <c r="JL107" s="562"/>
      <c r="JM107" s="562"/>
      <c r="JN107" s="562"/>
      <c r="JO107" s="562"/>
      <c r="JP107" s="562"/>
      <c r="JQ107" s="562"/>
      <c r="JR107" s="562"/>
      <c r="JS107" s="562"/>
      <c r="JT107" s="562"/>
      <c r="JU107" s="562"/>
      <c r="JV107" s="562"/>
      <c r="JW107" s="562"/>
      <c r="JX107" s="562"/>
      <c r="JY107" s="562"/>
      <c r="JZ107" s="562"/>
    </row>
    <row r="108" spans="1:286" s="132" customFormat="1" ht="12.75" customHeight="1" x14ac:dyDescent="0.2">
      <c r="A108" s="133"/>
      <c r="B108" s="10" t="s">
        <v>406</v>
      </c>
      <c r="C108" s="79"/>
      <c r="D108" s="79"/>
      <c r="E108" s="129"/>
      <c r="F108" s="129"/>
      <c r="G108" s="95"/>
      <c r="H108" s="95"/>
      <c r="I108" s="95"/>
      <c r="J108" s="95"/>
      <c r="K108" s="95"/>
      <c r="L108" s="79"/>
      <c r="M108" s="129"/>
      <c r="N108" s="79"/>
      <c r="O108" s="129"/>
      <c r="P108" s="79"/>
      <c r="Q108" s="95"/>
      <c r="R108" s="79"/>
      <c r="S108" s="95"/>
      <c r="T108" s="79"/>
      <c r="U108" s="129"/>
      <c r="V108" s="79"/>
      <c r="W108" s="129"/>
      <c r="X108" s="79"/>
      <c r="Y108" s="95"/>
      <c r="Z108" s="79"/>
      <c r="AA108" s="126"/>
      <c r="AB108" s="79"/>
      <c r="AC108" s="129">
        <f>109.1-AE108</f>
        <v>54.499999999999993</v>
      </c>
      <c r="AD108" s="79" t="str">
        <f>IF(ISERROR((AC108/U108-1)*100),"NA",IF(((AC108/U108-1)*100)&gt;100,"NM",IF(((AC108/U108-1)*100)&lt;-50,"NM",(AC108/U108-1)*100)))</f>
        <v>NA</v>
      </c>
      <c r="AE108" s="129">
        <v>54.6</v>
      </c>
      <c r="AF108" s="79" t="str">
        <f>IF(ISERROR((AE108/W108-1)*100),"NA",IF(((AE108/W108-1)*100)&gt;100,"NM",IF(((AE108/W108-1)*100)&lt;-50,"NM",(AE108/W108-1)*100)))</f>
        <v>NA</v>
      </c>
      <c r="AG108" s="95">
        <v>52.8</v>
      </c>
      <c r="AH108" s="79" t="str">
        <f>IF(ISERROR((AG108/Y108-1)*100),"NA",IF(((AG108/Y108-1)*100)&gt;100,"NM",IF(((AG108/Y108-1)*100)&lt;-50,"NM",(AG108/Y108-1)*100)))</f>
        <v>NA</v>
      </c>
      <c r="AI108" s="75">
        <f>FH108-AG108-AE108-AC108</f>
        <v>60.200000000000024</v>
      </c>
      <c r="AJ108" s="79" t="str">
        <f>IF(ISERROR((AI108/AA108-1)*100),"NA",IF(((AI108/AA108-1)*100)&gt;100,"NM",IF(((AI108/AA108-1)*100)&lt;-50,"NM",(AI108/AA108-1)*100)))</f>
        <v>NA</v>
      </c>
      <c r="AK108" s="95">
        <f>114.9-AM108</f>
        <v>55.500000000000007</v>
      </c>
      <c r="AL108" s="79">
        <f>IF(ISERROR((AK108/AC108-1)*100),"NA",IF(((AK108/AC108-1)*100)&gt;100,"NM",IF(((AK108/AC108-1)*100)&lt;-50,"NM",(AK108/AC108-1)*100)))</f>
        <v>1.8348623853211343</v>
      </c>
      <c r="AM108" s="95">
        <v>59.4</v>
      </c>
      <c r="AN108" s="79">
        <f>IF(ISERROR((AM108/AE108-1)*100),"NA",IF(((AM108/AE108-1)*100)&gt;100,"NM",IF(((AM108/AE108-1)*100)&lt;-50,"NM",(AM108/AE108-1)*100)))</f>
        <v>8.7912087912087813</v>
      </c>
      <c r="AO108" s="95">
        <v>60.3</v>
      </c>
      <c r="AP108" s="79">
        <f>IF(ISERROR((AO108/AG108-1)*100),"NA",IF(((AO108/AG108-1)*100)&gt;100,"NM",IF(((AO108/AG108-1)*100)&lt;-50,"NM",(AO108/AG108-1)*100)))</f>
        <v>14.204545454545459</v>
      </c>
      <c r="AQ108" s="95">
        <v>65.400000000000006</v>
      </c>
      <c r="AR108" s="79">
        <f>IF(ISERROR((AQ108/AI108-1)*100),"NA",IF(((AQ108/AI108-1)*100)&gt;100,"NM",IF(((AQ108/AI108-1)*100)&lt;-50,"NM",(AQ108/AI108-1)*100)))</f>
        <v>8.6378737541527926</v>
      </c>
      <c r="AS108" s="95">
        <v>69.3</v>
      </c>
      <c r="AT108" s="81">
        <f>IF(ISERROR((AS108/AK108-1)*100),"NA",IF(((AS108/AK108-1)*100)&gt;100,"NM",IF(((AS108/AK108-1)*100)&lt;-50,"NM",(AS108/AK108-1)*100)))</f>
        <v>24.864864864864835</v>
      </c>
      <c r="AU108" s="95">
        <v>73.099999999999994</v>
      </c>
      <c r="AV108" s="81">
        <f>IF(ISERROR((AU108/AM108-1)*100),"NA",IF(((AU108/AM108-1)*100)&gt;100,"NM",IF(((AU108/AM108-1)*100)&lt;-50,"NM",(AU108/AM108-1)*100)))</f>
        <v>23.063973063973052</v>
      </c>
      <c r="AW108" s="95">
        <v>76.900000000000006</v>
      </c>
      <c r="AX108" s="81">
        <f>IF(ISERROR((AW108/AO108-1)*100),"NA",IF(((AW108/AO108-1)*100)&gt;100,"NM",IF(((AW108/AO108-1)*100)&lt;-50,"NM",(AW108/AO108-1)*100)))</f>
        <v>27.529021558872312</v>
      </c>
      <c r="AY108" s="95">
        <v>80.599999999999994</v>
      </c>
      <c r="AZ108" s="81">
        <f>IF(ISERROR((AY108/AQ108-1)*100),"NA",IF(((AY108/AQ108-1)*100)&gt;100,"NM",IF(((AY108/AQ108-1)*100)&lt;-50,"NM",(AY108/AQ108-1)*100)))</f>
        <v>23.241590214067266</v>
      </c>
      <c r="BA108" s="95">
        <f>87.2-6.5</f>
        <v>80.7</v>
      </c>
      <c r="BB108" s="81">
        <f>IF(ISERROR((BA108/AS108-1)*100),"NA",IF(((BA108/AS108-1)*100)&gt;100,"NM",IF(((BA108/AS108-1)*100)&lt;-50,"NM",(BA108/AS108-1)*100)))</f>
        <v>16.450216450216448</v>
      </c>
      <c r="BC108" s="95">
        <f>86.3-6.9</f>
        <v>79.399999999999991</v>
      </c>
      <c r="BD108" s="81">
        <f>IF(ISERROR((BC108/AU108-1)*100),"NA",IF(((BC108/AU108-1)*100)&gt;100,"NM",IF(((BC108/AU108-1)*100)&lt;-50,"NM",(BC108/AU108-1)*100)))</f>
        <v>8.618331053351568</v>
      </c>
      <c r="BE108" s="95">
        <f>89.9-7.6</f>
        <v>82.300000000000011</v>
      </c>
      <c r="BF108" s="81">
        <f>IF(ISERROR((BE108/AW108-1)*100),"NA",IF(((BE108/AW108-1)*100)&gt;100,"NM",IF(((BE108/AW108-1)*100)&lt;-50,"NM",(BE108/AW108-1)*100)))</f>
        <v>7.0221066319896108</v>
      </c>
      <c r="BG108" s="95">
        <f>95.6-7.6</f>
        <v>88</v>
      </c>
      <c r="BH108" s="81">
        <f>IF(ISERROR((BG108/AY108-1)*100),"NA",IF(((BG108/AY108-1)*100)&gt;100,"NM",IF(((BG108/AY108-1)*100)&lt;-50,"NM",(BG108/AY108-1)*100)))</f>
        <v>9.1811414392059643</v>
      </c>
      <c r="BI108" s="95">
        <f>93.8-5.9</f>
        <v>87.899999999999991</v>
      </c>
      <c r="BJ108" s="81">
        <f>IF(ISERROR((BI108/BA108-1)*100),"NA",IF(((BI108/BA108-1)*100)&gt;100,"NM",IF(((BI108/BA108-1)*100)&lt;-50,"NM",(BI108/BA108-1)*100)))</f>
        <v>8.9219330855018431</v>
      </c>
      <c r="BK108" s="95">
        <f>99.8-5.9</f>
        <v>93.899999999999991</v>
      </c>
      <c r="BL108" s="81">
        <f>IF(ISERROR((BK108/BC108-1)*100),"NA",IF(((BK108/BC108-1)*100)&gt;100,"NM",IF(((BK108/BC108-1)*100)&lt;-50,"NM",(BK108/BC108-1)*100)))</f>
        <v>18.261964735516379</v>
      </c>
      <c r="BM108" s="95">
        <f>101.6-5.4</f>
        <v>96.199999999999989</v>
      </c>
      <c r="BN108" s="81">
        <f>IF(ISERROR((BM108/BE108-1)*100),"NA",IF(((BM108/BE108-1)*100)&gt;100,"NM",IF(((BM108/BE108-1)*100)&lt;-50,"NM",(BM108/BE108-1)*100)))</f>
        <v>16.88942891859049</v>
      </c>
      <c r="BO108" s="95">
        <v>101.1</v>
      </c>
      <c r="BP108" s="81">
        <f>IF(ISERROR((BO108/BG108-1)*100),"NA",IF(((BO108/BG108-1)*100)&gt;100,"NM",IF(((BO108/BG108-1)*100)&lt;-50,"NM",(BO108/BG108-1)*100)))</f>
        <v>14.886363636363619</v>
      </c>
      <c r="BQ108" s="95">
        <v>103.8</v>
      </c>
      <c r="BR108" s="81">
        <f>IF(ISERROR((BQ108/BI108-1)*100),"NA",IF(((BQ108/BI108-1)*100)&gt;100,"NM",IF(((BQ108/BI108-1)*100)&lt;-50,"NM",(BQ108/BI108-1)*100)))</f>
        <v>18.088737201365191</v>
      </c>
      <c r="BS108" s="95">
        <v>110.4</v>
      </c>
      <c r="BT108" s="81">
        <f>IF(ISERROR((BS108/BK108-1)*100),"NA",IF(((BS108/BK108-1)*100)&gt;100,"NM",IF(((BS108/BK108-1)*100)&lt;-50,"NM",(BS108/BK108-1)*100)))</f>
        <v>17.571884984025576</v>
      </c>
      <c r="BU108" s="95">
        <v>113.5</v>
      </c>
      <c r="BV108" s="81">
        <f>IF(ISERROR((BU108/BM108-1)*100),"NA",IF(((BU108/BM108-1)*100)&gt;100,"NM",IF(((BU108/BM108-1)*100)&lt;-50,"NM",(BU108/BM108-1)*100)))</f>
        <v>17.983367983367991</v>
      </c>
      <c r="BW108" s="95">
        <v>116.9</v>
      </c>
      <c r="BX108" s="81">
        <f>IF(ISERROR((BW108/BO108-1)*100),"NA",IF(((BW108/BO108-1)*100)&gt;100,"NM",IF(((BW108/BO108-1)*100)&lt;-50,"NM",(BW108/BO108-1)*100)))</f>
        <v>15.628090999010901</v>
      </c>
      <c r="BY108" s="95">
        <v>46.2</v>
      </c>
      <c r="BZ108" s="81" t="str">
        <f>IF(ISERROR((BY108/BQ108-1)*100),"NA",IF(((BY108/BQ108-1)*100)&gt;100,"NM",IF(((BY108/BQ108-1)*100)&lt;-50,"NM",(BY108/BQ108-1)*100)))</f>
        <v>NM</v>
      </c>
      <c r="CA108" s="95">
        <v>50.4</v>
      </c>
      <c r="CB108" s="81" t="str">
        <f>IF(ISERROR((CA108/BS108-1)*100),"NA",IF(((CA108/BS108-1)*100)&gt;100,"NM",IF(((CA108/BS108-1)*100)&lt;-50,"NM",(CA108/BS108-1)*100)))</f>
        <v>NM</v>
      </c>
      <c r="CC108" s="95">
        <v>49.4</v>
      </c>
      <c r="CD108" s="81" t="str">
        <f>IF(ISERROR((CC108/BU108-1)*100),"NA",IF(((CC108/BU108-1)*100)&gt;100,"NM",IF(((CC108/BU108-1)*100)&lt;-50,"NM",(CC108/BU108-1)*100)))</f>
        <v>NM</v>
      </c>
      <c r="CE108" s="95">
        <v>51.3</v>
      </c>
      <c r="CF108" s="81" t="str">
        <f>IF(ISERROR((CE108/BW108-1)*100),"NA",IF(((CE108/BW108-1)*100)&gt;100,"NM",IF(((CE108/BW108-1)*100)&lt;-50,"NM",(CE108/BW108-1)*100)))</f>
        <v>NM</v>
      </c>
      <c r="CG108" s="95">
        <v>51.8</v>
      </c>
      <c r="CH108" s="81">
        <f>IF(ISERROR((CG108/BY108-1)*100),"NA",IF(((CG108/BY108-1)*100)&gt;100,"NM",IF(((CG108/BY108-1)*100)&lt;-50,"NM",(CG108/BY108-1)*100)))</f>
        <v>12.12121212121211</v>
      </c>
      <c r="CI108" s="95">
        <v>51.7</v>
      </c>
      <c r="CJ108" s="81">
        <f>IF(ISERROR((CI108/CA108-1)*100),"NA",IF(((CI108/CA108-1)*100)&gt;100,"NM",IF(((CI108/CA108-1)*100)&lt;-50,"NM",(CI108/CA108-1)*100)))</f>
        <v>2.5793650793650924</v>
      </c>
      <c r="CK108" s="95">
        <v>53.3</v>
      </c>
      <c r="CL108" s="81">
        <f>IF(ISERROR((CK108/CC108-1)*100),"NA",IF(((CK108/CC108-1)*100)&gt;100,"NM",IF(((CK108/CC108-1)*100)&lt;-50,"NM",(CK108/CC108-1)*100)))</f>
        <v>7.8947368421052655</v>
      </c>
      <c r="CM108" s="95">
        <v>54.1</v>
      </c>
      <c r="CN108" s="81">
        <f>IF(ISERROR((CM108/CE108-1)*100),"NA",IF(((CM108/CE108-1)*100)&gt;100,"NM",IF(((CM108/CE108-1)*100)&lt;-50,"NM",(CM108/CE108-1)*100)))</f>
        <v>5.4580896686159841</v>
      </c>
      <c r="CO108" s="95">
        <v>56.3</v>
      </c>
      <c r="CP108" s="81">
        <f>IF(ISERROR((CO108/CG108-1)*100),"NA",IF(((CO108/CG108-1)*100)&gt;100,"NM",IF(((CO108/CG108-1)*100)&lt;-50,"NM",(CO108/CG108-1)*100)))</f>
        <v>8.6872586872586801</v>
      </c>
      <c r="CQ108" s="95">
        <v>56.7</v>
      </c>
      <c r="CR108" s="81">
        <f>IF(ISERROR((CQ108/CI108-1)*100),"NA",IF(((CQ108/CI108-1)*100)&gt;100,"NM",IF(((CQ108/CI108-1)*100)&lt;-50,"NM",(CQ108/CI108-1)*100)))</f>
        <v>9.6711798839458361</v>
      </c>
      <c r="CS108" s="95">
        <v>57.5</v>
      </c>
      <c r="CT108" s="81">
        <f>IF(ISERROR((CS108/CK108-1)*100),"NA",IF(((CS108/CK108-1)*100)&gt;100,"NM",IF(((CS108/CK108-1)*100)&lt;-50,"NM",(CS108/CK108-1)*100)))</f>
        <v>7.879924953095685</v>
      </c>
      <c r="CU108" s="95">
        <v>58</v>
      </c>
      <c r="CV108" s="81">
        <f>IF(ISERROR((CU108/CM108-1)*100),"NA",IF(((CU108/CM108-1)*100)&gt;100,"NM",IF(((CU108/CM108-1)*100)&lt;-50,"NM",(CU108/CM108-1)*100)))</f>
        <v>7.2088724584103536</v>
      </c>
      <c r="CW108" s="95">
        <v>57.2</v>
      </c>
      <c r="CX108" s="81">
        <f>IF(ISERROR((CW108/CO108-1)*100),"NA",IF(((CW108/CO108-1)*100)&gt;100,"NM",IF(((CW108/CO108-1)*100)&lt;-50,"NM",(CW108/CO108-1)*100)))</f>
        <v>1.598579040852588</v>
      </c>
      <c r="CY108" s="95">
        <v>57.6</v>
      </c>
      <c r="CZ108" s="81">
        <f>IF(ISERROR((CY108/CQ108-1)*100),"NA",IF(((CY108/CQ108-1)*100)&gt;100,"NM",IF(((CY108/CQ108-1)*100)&lt;-50,"NM",(CY108/CQ108-1)*100)))</f>
        <v>1.5873015873015817</v>
      </c>
      <c r="DA108" s="95">
        <v>58.2</v>
      </c>
      <c r="DB108" s="81">
        <f>IF(ISERROR((DA108/CS108-1)*100),"NA",IF(((DA108/CS108-1)*100)&gt;100,"NM",IF(((DA108/CS108-1)*100)&lt;-50,"NM",(DA108/CS108-1)*100)))</f>
        <v>1.2173913043478368</v>
      </c>
      <c r="DC108" s="95">
        <v>59.9</v>
      </c>
      <c r="DD108" s="81">
        <f>IF(ISERROR((DC108/CU108-1)*100),"NA",IF(((DC108/CU108-1)*100)&gt;100,"NM",IF(((DC108/CU108-1)*100)&lt;-50,"NM",(DC108/CU108-1)*100)))</f>
        <v>3.2758620689655071</v>
      </c>
      <c r="DE108" s="95">
        <v>57.5</v>
      </c>
      <c r="DF108" s="81">
        <f>IF(ISERROR((DE108/CW108-1)*100),"NA",IF(((DE108/CW108-1)*100)&gt;100,"NM",IF(((DE108/CW108-1)*100)&lt;-50,"NM",(DE108/CW108-1)*100)))</f>
        <v>0.52447552447552059</v>
      </c>
      <c r="DG108" s="95">
        <v>57.5</v>
      </c>
      <c r="DH108" s="81">
        <f>IF(ISERROR((DG108/CY108-1)*100),"NA",IF(((DG108/CY108-1)*100)&gt;100,"NM",IF(((DG108/CY108-1)*100)&lt;-50,"NM",(DG108/CY108-1)*100)))</f>
        <v>-0.17361111111111605</v>
      </c>
      <c r="DI108" s="95">
        <v>55.8</v>
      </c>
      <c r="DJ108" s="81">
        <f>IF(ISERROR((DI108/DA108-1)*100),"NA",IF(((DI108/DA108-1)*100)&gt;100,"NM",IF(((DI108/DA108-1)*100)&lt;-50,"NM",(DI108/DA108-1)*100)))</f>
        <v>-4.1237113402061931</v>
      </c>
      <c r="DK108" s="95">
        <v>57</v>
      </c>
      <c r="DL108" s="81">
        <f>IF(ISERROR((DK108/DC108-1)*100),"NA",IF(((DK108/DC108-1)*100)&gt;100,"NM",IF(((DK108/DC108-1)*100)&lt;-50,"NM",(DK108/DC108-1)*100)))</f>
        <v>-4.8414023372287174</v>
      </c>
      <c r="DM108" s="95">
        <v>56.5</v>
      </c>
      <c r="DN108" s="81">
        <f>IF(ISERROR((DM108/DE108-1)*100),"NA",IF(((DM108/DE108-1)*100)&gt;100,"NM",IF(((DM108/DE108-1)*100)&lt;-50,"NM",(DM108/DE108-1)*100)))</f>
        <v>-1.7391304347826098</v>
      </c>
      <c r="DO108" s="95">
        <v>56.7</v>
      </c>
      <c r="DP108" s="81">
        <f>IF(ISERROR((DO108/DG108-1)*100),"NA",IF(((DO108/DG108-1)*100)&gt;100,"NM",IF(((DO108/DG108-1)*100)&lt;-50,"NM",(DO108/DG108-1)*100)))</f>
        <v>-1.3913043478260834</v>
      </c>
      <c r="DQ108" s="95">
        <v>57.9</v>
      </c>
      <c r="DR108" s="81">
        <f>IF(ISERROR((DQ108/DI108-1)*100),"NA",IF(((DQ108/DI108-1)*100)&gt;100,"NM",IF(((DQ108/DI108-1)*100)&lt;-50,"NM",(DQ108/DI108-1)*100)))</f>
        <v>3.7634408602150504</v>
      </c>
      <c r="DS108" s="95">
        <v>62.6</v>
      </c>
      <c r="DT108" s="81">
        <f>IF(ISERROR((DS108/DK108-1)*100),"NA",IF(((DS108/DK108-1)*100)&gt;100,"NM",IF(((DS108/DK108-1)*100)&lt;-50,"NM",(DS108/DK108-1)*100)))</f>
        <v>9.8245614035087812</v>
      </c>
      <c r="DU108" s="95">
        <v>58.1</v>
      </c>
      <c r="DV108" s="81">
        <f>IF(ISERROR((DU108/DM108-1)*100),"NA",IF(((DU108/DM108-1)*100)&gt;100,"NM",IF(((DU108/DM108-1)*100)&lt;-50,"NM",(DU108/DM108-1)*100)))</f>
        <v>2.831858407079646</v>
      </c>
      <c r="DW108" s="95">
        <v>59</v>
      </c>
      <c r="DX108" s="81">
        <f>IF(ISERROR((DW108/DO108-1)*100),"NA",IF(((DW108/DO108-1)*100)&gt;100,"NM",IF(((DW108/DO108-1)*100)&lt;-50,"NM",(DW108/DO108-1)*100)))</f>
        <v>4.0564373897707284</v>
      </c>
      <c r="DY108" s="95">
        <v>59.1</v>
      </c>
      <c r="DZ108" s="81">
        <f>IF(ISERROR((DY108/DQ108-1)*100),"NA",IF(((DY108/DQ108-1)*100)&gt;100,"NM",IF(((DY108/DQ108-1)*100)&lt;-50,"NM",(DY108/DQ108-1)*100)))</f>
        <v>2.0725388601036343</v>
      </c>
      <c r="EA108" s="95">
        <v>59.6</v>
      </c>
      <c r="EB108" s="81">
        <f>IF(ISERROR((EA108/DS108-1)*100),"NA",IF(((EA108/DS108-1)*100)&gt;100,"NM",IF(((EA108/DS108-1)*100)&lt;-50,"NM",(EA108/DS108-1)*100)))</f>
        <v>-4.7923322683706022</v>
      </c>
      <c r="EC108" s="95">
        <v>59.4</v>
      </c>
      <c r="ED108" s="81">
        <f t="shared" si="395"/>
        <v>2.2375215146299476</v>
      </c>
      <c r="EE108" s="95">
        <v>59.7</v>
      </c>
      <c r="EF108" s="81">
        <f t="shared" si="396"/>
        <v>1.1864406779661163</v>
      </c>
      <c r="EG108" s="95">
        <v>60</v>
      </c>
      <c r="EH108" s="81">
        <f t="shared" si="397"/>
        <v>1.5228426395939021</v>
      </c>
      <c r="EI108" s="95">
        <v>61.7</v>
      </c>
      <c r="EJ108" s="81">
        <f t="shared" si="398"/>
        <v>3.5234899328859148</v>
      </c>
      <c r="EK108" s="95">
        <f>EI108*1.01</f>
        <v>62.317</v>
      </c>
      <c r="EL108" s="81">
        <f t="shared" si="399"/>
        <v>4.91077441077441</v>
      </c>
      <c r="EM108" s="95">
        <f>EK108*1.01</f>
        <v>62.940170000000002</v>
      </c>
      <c r="EN108" s="81">
        <f t="shared" si="400"/>
        <v>5.4274204355108768</v>
      </c>
      <c r="EO108" s="95">
        <f>EM108*1.01</f>
        <v>63.569571700000004</v>
      </c>
      <c r="EP108" s="81">
        <f t="shared" si="401"/>
        <v>5.9492861666666785</v>
      </c>
      <c r="EQ108" s="95">
        <f t="shared" ref="EQ108" si="403">EO108*1.005</f>
        <v>63.8874195585</v>
      </c>
      <c r="ER108" s="81">
        <f t="shared" si="402"/>
        <v>3.5452504999999856</v>
      </c>
      <c r="ES108" s="129"/>
      <c r="ET108" s="469"/>
      <c r="EU108" s="129"/>
      <c r="EV108" s="95"/>
      <c r="EW108" s="79"/>
      <c r="EX108" s="95"/>
      <c r="EY108" s="79"/>
      <c r="EZ108" s="131"/>
      <c r="FA108" s="79"/>
      <c r="FB108" s="35"/>
      <c r="FC108" s="79"/>
      <c r="FD108" s="129">
        <v>174.4</v>
      </c>
      <c r="FE108" s="79" t="str">
        <f>IF(ISERROR((FD108/FB108-1)*100),"NA",IF(((FD108/FB108-1)*100)&gt;100,"NM",IF(((FD108/FB108-1)*100)&lt;-50,"NM",(FD108/FB108-1)*100)))</f>
        <v>NA</v>
      </c>
      <c r="FF108" s="129">
        <v>219.3</v>
      </c>
      <c r="FG108" s="79">
        <f>IF(ISERROR((FF108/FD108-1)*100),"NA",IF(((FF108/FD108-1)*100)&gt;100,"NM",IF(((FF108/FD108-1)*100)&lt;-50,"NM",(FF108/FD108-1)*100)))</f>
        <v>25.745412844036707</v>
      </c>
      <c r="FH108" s="129">
        <v>222.1</v>
      </c>
      <c r="FI108" s="79">
        <f>IF(ISERROR((FH108/FF108-1)*100),"NA",IF(((FH108/FF108-1)*100)&gt;100,"NM",IF(((FH108/FF108-1)*100)&lt;-50,"NM",(FH108/FF108-1)*100)))</f>
        <v>1.276789785681709</v>
      </c>
      <c r="FJ108" s="35">
        <f>+AQ108+AO108+AM108+AK108</f>
        <v>240.6</v>
      </c>
      <c r="FK108" s="79">
        <f>IF(ISERROR((FJ108/FH108-1)*100),"NA",IF(((FJ108/FH108-1)*100)&gt;100,"NM",IF(((FJ108/FH108-1)*100)&lt;-50,"NM",(FJ108/FH108-1)*100)))</f>
        <v>8.3295812696983376</v>
      </c>
      <c r="FL108" s="78">
        <f>AS108+AU108+AW108+AY108</f>
        <v>299.89999999999998</v>
      </c>
      <c r="FM108" s="79">
        <f>IF(ISERROR((FL108/FJ108-1)*100),"NA",IF(((FL108/FJ108-1)*100)&gt;100,"NM",IF(((FL108/FJ108-1)*100)&lt;-50,"NM",(FL108/FJ108-1)*100)))</f>
        <v>24.646716541978385</v>
      </c>
      <c r="FN108" s="78">
        <f>BA108+BC108+BE108+BG108</f>
        <v>330.4</v>
      </c>
      <c r="FO108" s="79">
        <f>IF(ISERROR((FN108/FL108-1)*100),"NA",IF(((FN108/FL108-1)*100)&gt;100,"NM",IF(((FN108/FL108-1)*100)&lt;-50,"NM",(FN108/FL108-1)*100)))</f>
        <v>10.170056685561857</v>
      </c>
      <c r="FP108" s="78">
        <f>BI108+BK108+BM108+BO108</f>
        <v>379.1</v>
      </c>
      <c r="FQ108" s="79">
        <f>IF(ISERROR((FP108/FN108-1)*100),"NA",IF(((FP108/FN108-1)*100)&gt;100,"NM",IF(((FP108/FN108-1)*100)&lt;-50,"NM",(FP108/FN108-1)*100)))</f>
        <v>14.739709443099279</v>
      </c>
      <c r="FR108" s="95">
        <v>178.4</v>
      </c>
      <c r="FS108" s="79" t="str">
        <f>IF(ISERROR((FR108/FP108-1)*100),"NA",IF(((FR108/FP108-1)*100)&gt;100,"NM",IF(((FR108/FP108-1)*100)&lt;-50,"NM",(FR108/FP108-1)*100)))</f>
        <v>NM</v>
      </c>
      <c r="FT108" s="93">
        <f>BY108+CA108+CC108+CE108</f>
        <v>197.3</v>
      </c>
      <c r="FU108" s="79">
        <f>IF(ISERROR((FT108/FR108-1)*100),"NA",IF(((FT108/FR108-1)*100)&gt;100,"NM",IF(((FT108/FR108-1)*100)&lt;-50,"NM",(FT108/FR108-1)*100)))</f>
        <v>10.594170403587455</v>
      </c>
      <c r="FV108" s="93">
        <f>CG108+CI108+CK108+CM108</f>
        <v>210.9</v>
      </c>
      <c r="FW108" s="79">
        <f>IF(ISERROR((FV108/FT108-1)*100),"NA",IF(((FV108/FT108-1)*100)&gt;100,"NM",IF(((FV108/FT108-1)*100)&lt;-50,"NM",(FV108/FT108-1)*100)))</f>
        <v>6.893056259503294</v>
      </c>
      <c r="FX108" s="886">
        <v>227</v>
      </c>
      <c r="FY108" s="79">
        <f>IF(ISERROR((FX108/FV108-1)*100),"NA",IF(((FX108/FV108-1)*100)&gt;100,"NM",IF(((FX108/FV108-1)*100)&lt;-50,"NM",(FX108/FV108-1)*100)))</f>
        <v>7.6339497392128974</v>
      </c>
      <c r="FZ108" s="93">
        <f>CW108+CY108+DA108+DC108</f>
        <v>232.9</v>
      </c>
      <c r="GA108" s="79">
        <f>IF(ISERROR((FZ108/FX108-1)*100),"NA",IF(((FZ108/FX108-1)*100)&gt;100,"NM",IF(((FZ108/FX108-1)*100)&lt;-50,"NM",(FZ108/FX108-1)*100)))</f>
        <v>2.5991189427312822</v>
      </c>
      <c r="GB108" s="93">
        <f>DE108+DG108+DI108+DK108</f>
        <v>227.8</v>
      </c>
      <c r="GC108" s="79">
        <f>IF(ISERROR((GB108/FZ108-1)*100),"NA",IF(((GB108/FZ108-1)*100)&gt;100,"NM",IF(((GB108/FZ108-1)*100)&lt;-50,"NM",(GB108/FZ108-1)*100)))</f>
        <v>-2.1897810218978075</v>
      </c>
      <c r="GD108" s="93">
        <f>DM108+DO108+DQ108+DS108</f>
        <v>233.7</v>
      </c>
      <c r="GE108" s="79">
        <f>IF(ISERROR((GD108/GB108-1)*100),"NA",IF(((GD108/GB108-1)*100)&gt;100,"NM",IF(((GD108/GB108-1)*100)&lt;-50,"NM",(GD108/GB108-1)*100)))</f>
        <v>2.589991220368737</v>
      </c>
      <c r="GF108" s="93">
        <f>DU108+DW108+DY108+EA108</f>
        <v>235.79999999999998</v>
      </c>
      <c r="GG108" s="79">
        <f>IF(ISERROR((GF108/GD108-1)*100),"NA",IF(((GF108/GD108-1)*100)&gt;100,"NM",IF(((GF108/GD108-1)*100)&lt;-50,"NM",(GF108/GD108-1)*100)))</f>
        <v>0.89858793324775199</v>
      </c>
      <c r="GH108" s="93">
        <f>EC108+EE108+EG108+EI108</f>
        <v>240.8</v>
      </c>
      <c r="GI108" s="79">
        <f>IF(ISERROR((GH108/GF108-1)*100),"NA",IF(((GH108/GF108-1)*100)&gt;100,"NM",IF(((GH108/GF108-1)*100)&lt;-50,"NM",(GH108/GF108-1)*100)))</f>
        <v>2.120441051738764</v>
      </c>
      <c r="GJ108" s="93">
        <f>EK108+EM108+EO108+EQ108</f>
        <v>252.71416125850001</v>
      </c>
      <c r="GK108" s="79">
        <f>IF(ISERROR((GJ108/GH108-1)*100),"NA",IF(((GJ108/GH108-1)*100)&gt;100,"NM",IF(((GJ108/GH108-1)*100)&lt;-50,"NM",(GJ108/GH108-1)*100)))</f>
        <v>4.947741386420268</v>
      </c>
      <c r="GL108" s="95">
        <f>+GJ108*1.03</f>
        <v>260.29558609625502</v>
      </c>
      <c r="GM108" s="79">
        <f>IF(ISERROR((GL108/GJ108-1)*100),"NA",IF(((GL108/GJ108-1)*100)&gt;100,"NM",IF(((GL108/GJ108-1)*100)&lt;-50,"NM",(GL108/GJ108-1)*100)))</f>
        <v>3.0000000000000027</v>
      </c>
      <c r="GN108" s="95">
        <f>+GL108*1.03</f>
        <v>268.10445367914269</v>
      </c>
      <c r="GO108" s="79">
        <f>IF(ISERROR((GN108/GL108-1)*100),"NA",IF(((GN108/GL108-1)*100)&gt;100,"NM",IF(((GN108/GL108-1)*100)&lt;-50,"NM",(GN108/GL108-1)*100)))</f>
        <v>3.0000000000000027</v>
      </c>
      <c r="GP108" s="95">
        <f>+GN108*1.03</f>
        <v>276.14758728951699</v>
      </c>
      <c r="GQ108" s="79">
        <f>IF(ISERROR((GP108/GN108-1)*100),"NA",IF(((GP108/GN108-1)*100)&gt;100,"NM",IF(((GP108/GN108-1)*100)&lt;-50,"NM",(GP108/GN108-1)*100)))</f>
        <v>3.0000000000000027</v>
      </c>
      <c r="GR108" s="95">
        <f>+GP108*1.03</f>
        <v>284.43201490820252</v>
      </c>
      <c r="GS108" s="79">
        <f>IF(ISERROR((GR108/GP108-1)*100),"NA",IF(((GR108/GP108-1)*100)&gt;100,"NM",IF(((GR108/GP108-1)*100)&lt;-50,"NM",(GR108/GP108-1)*100)))</f>
        <v>3.0000000000000027</v>
      </c>
      <c r="GT108" s="79">
        <f>IF(ISERROR(((GR108/GH108)^0.2-1)*100),"NA",(IF(OR(((GR108/GH108)^0.2-1)*100&gt;99,((GR108/GH108)^0.2-1)*100&lt;-50),"NM",(((GR108/GH108)^0.2-1)*100))))</f>
        <v>3.3866347124839491</v>
      </c>
      <c r="GU108" s="562"/>
      <c r="GV108" s="562"/>
      <c r="GW108"/>
      <c r="GX108"/>
      <c r="GY108"/>
      <c r="GZ108"/>
      <c r="HA108"/>
      <c r="HB108"/>
      <c r="HC108" s="562"/>
      <c r="HD108" s="562"/>
      <c r="HE108" s="562"/>
      <c r="HF108" s="562"/>
      <c r="HG108" s="562"/>
      <c r="HH108" s="562"/>
      <c r="HI108" s="562"/>
      <c r="HJ108" s="562"/>
      <c r="HK108" s="562"/>
      <c r="HL108" s="562"/>
      <c r="HM108" s="562"/>
      <c r="HN108" s="562"/>
      <c r="HO108" s="562"/>
      <c r="HP108" s="562"/>
      <c r="HQ108" s="562"/>
      <c r="HR108" s="562"/>
      <c r="HS108" s="562"/>
      <c r="HT108" s="562"/>
      <c r="HU108" s="562"/>
      <c r="HV108" s="562"/>
      <c r="HW108" s="562"/>
      <c r="HX108" s="562"/>
      <c r="HY108" s="562"/>
      <c r="HZ108" s="562"/>
      <c r="IA108" s="562"/>
      <c r="IB108" s="562"/>
      <c r="IC108" s="562"/>
      <c r="ID108" s="562"/>
      <c r="IE108" s="562"/>
      <c r="IF108" s="562"/>
      <c r="IG108" s="562"/>
      <c r="IH108" s="562"/>
      <c r="II108" s="562"/>
      <c r="IJ108" s="562"/>
      <c r="IK108" s="562"/>
      <c r="IL108" s="562"/>
      <c r="IM108" s="562"/>
      <c r="IN108" s="562"/>
      <c r="IO108" s="562"/>
      <c r="IP108" s="562"/>
      <c r="IQ108" s="562"/>
      <c r="IR108" s="562"/>
      <c r="IS108" s="562"/>
      <c r="IT108" s="562"/>
      <c r="IU108" s="562"/>
      <c r="IV108" s="562"/>
      <c r="IW108" s="562"/>
      <c r="IX108" s="562"/>
      <c r="IY108" s="562"/>
      <c r="IZ108" s="562"/>
      <c r="JA108" s="562"/>
      <c r="JB108" s="562"/>
      <c r="JC108" s="562"/>
      <c r="JD108" s="562"/>
      <c r="JE108" s="562"/>
      <c r="JF108" s="562"/>
      <c r="JG108" s="562"/>
      <c r="JH108" s="562"/>
      <c r="JI108" s="562"/>
      <c r="JJ108" s="562"/>
      <c r="JK108" s="562"/>
      <c r="JL108" s="562"/>
      <c r="JM108" s="562"/>
      <c r="JN108" s="562"/>
      <c r="JO108" s="562"/>
      <c r="JP108" s="562"/>
      <c r="JQ108" s="562"/>
      <c r="JR108" s="562"/>
      <c r="JS108" s="562"/>
      <c r="JT108" s="562"/>
      <c r="JU108" s="562"/>
      <c r="JV108" s="562"/>
      <c r="JW108" s="562"/>
      <c r="JX108" s="562"/>
      <c r="JY108" s="562"/>
      <c r="JZ108" s="562"/>
    </row>
    <row r="109" spans="1:286" s="132" customFormat="1" ht="12.75" customHeight="1" x14ac:dyDescent="0.2">
      <c r="A109" s="133"/>
      <c r="B109" s="10" t="s">
        <v>407</v>
      </c>
      <c r="C109" s="79"/>
      <c r="D109" s="79"/>
      <c r="E109" s="95"/>
      <c r="F109" s="95"/>
      <c r="G109" s="95"/>
      <c r="H109" s="95"/>
      <c r="I109" s="95"/>
      <c r="J109" s="95"/>
      <c r="K109" s="95"/>
      <c r="L109" s="79"/>
      <c r="M109" s="95"/>
      <c r="N109" s="79"/>
      <c r="O109" s="95"/>
      <c r="P109" s="79"/>
      <c r="Q109" s="95"/>
      <c r="R109" s="79"/>
      <c r="S109" s="95"/>
      <c r="T109" s="79"/>
      <c r="U109" s="95"/>
      <c r="V109" s="79"/>
      <c r="W109" s="95"/>
      <c r="X109" s="79"/>
      <c r="Y109" s="95"/>
      <c r="Z109" s="79"/>
      <c r="AA109" s="126"/>
      <c r="AB109" s="79"/>
      <c r="AC109" s="95">
        <f>9.3-AE109</f>
        <v>5.3000000000000007</v>
      </c>
      <c r="AD109" s="79" t="str">
        <f>IF(ISERROR((AC109/U109-1)*100),"NA",IF(((AC109/U109-1)*100)&gt;100,"NM",IF(((AC109/U109-1)*100)&lt;-50,"NM",(AC109/U109-1)*100)))</f>
        <v>NA</v>
      </c>
      <c r="AE109" s="95">
        <v>4</v>
      </c>
      <c r="AF109" s="79" t="str">
        <f>IF(ISERROR((AE109/W109-1)*100),"NA",IF(((AE109/W109-1)*100)&gt;100,"NM",IF(((AE109/W109-1)*100)&lt;-50,"NM",(AE109/W109-1)*100)))</f>
        <v>NA</v>
      </c>
      <c r="AG109" s="95">
        <v>5.3</v>
      </c>
      <c r="AH109" s="79" t="str">
        <f>IF(ISERROR((AG109/Y109-1)*100),"NA",IF(((AG109/Y109-1)*100)&gt;100,"NM",IF(((AG109/Y109-1)*100)&lt;-50,"NM",(AG109/Y109-1)*100)))</f>
        <v>NA</v>
      </c>
      <c r="AI109" s="75">
        <f>FH109-AG109-AE109-AC109</f>
        <v>6.1999999999999993</v>
      </c>
      <c r="AJ109" s="79" t="str">
        <f>IF(ISERROR((AI109/AA109-1)*100),"NA",IF(((AI109/AA109-1)*100)&gt;100,"NM",IF(((AI109/AA109-1)*100)&lt;-50,"NM",(AI109/AA109-1)*100)))</f>
        <v>NA</v>
      </c>
      <c r="AK109" s="95">
        <f>13.1-AM109</f>
        <v>6.6</v>
      </c>
      <c r="AL109" s="79">
        <f>IF(ISERROR((AK109/AC109-1)*100),"NA",IF(((AK109/AC109-1)*100)&gt;100,"NM",IF(((AK109/AC109-1)*100)&lt;-50,"NM",(AK109/AC109-1)*100)))</f>
        <v>24.528301886792427</v>
      </c>
      <c r="AM109" s="95">
        <v>6.5</v>
      </c>
      <c r="AN109" s="79">
        <f>IF(ISERROR((AM109/AE109-1)*100),"NA",IF(((AM109/AE109-1)*100)&gt;100,"NM",IF(((AM109/AE109-1)*100)&lt;-50,"NM",(AM109/AE109-1)*100)))</f>
        <v>62.5</v>
      </c>
      <c r="AO109" s="95">
        <f>6.2</f>
        <v>6.2</v>
      </c>
      <c r="AP109" s="79">
        <f>IF(ISERROR((AO109/AG109-1)*100),"NA",IF(((AO109/AG109-1)*100)&gt;100,"NM",IF(((AO109/AG109-1)*100)&lt;-50,"NM",(AO109/AG109-1)*100)))</f>
        <v>16.981132075471695</v>
      </c>
      <c r="AQ109" s="95">
        <v>7</v>
      </c>
      <c r="AR109" s="79">
        <f>IF(ISERROR((AQ109/AI109-1)*100),"NA",IF(((AQ109/AI109-1)*100)&gt;100,"NM",IF(((AQ109/AI109-1)*100)&lt;-50,"NM",(AQ109/AI109-1)*100)))</f>
        <v>12.903225806451623</v>
      </c>
      <c r="AS109" s="95">
        <v>5.9</v>
      </c>
      <c r="AT109" s="81">
        <f>IF(ISERROR((AS109/AK109-1)*100),"NA",IF(((AS109/AK109-1)*100)&gt;100,"NM",IF(((AS109/AK109-1)*100)&lt;-50,"NM",(AS109/AK109-1)*100)))</f>
        <v>-10.606060606060597</v>
      </c>
      <c r="AU109" s="95">
        <v>6.7</v>
      </c>
      <c r="AV109" s="81">
        <f>IF(ISERROR((AU109/AM109-1)*100),"NA",IF(((AU109/AM109-1)*100)&gt;100,"NM",IF(((AU109/AM109-1)*100)&lt;-50,"NM",(AU109/AM109-1)*100)))</f>
        <v>3.0769230769230882</v>
      </c>
      <c r="AW109" s="95">
        <v>6.5</v>
      </c>
      <c r="AX109" s="81">
        <f>IF(ISERROR((AW109/AO109-1)*100),"NA",IF(((AW109/AO109-1)*100)&gt;100,"NM",IF(((AW109/AO109-1)*100)&lt;-50,"NM",(AW109/AO109-1)*100)))</f>
        <v>4.8387096774193505</v>
      </c>
      <c r="AY109" s="95">
        <v>7.1</v>
      </c>
      <c r="AZ109" s="81">
        <f>IF(ISERROR((AY109/AQ109-1)*100),"NA",IF(((AY109/AQ109-1)*100)&gt;100,"NM",IF(((AY109/AQ109-1)*100)&lt;-50,"NM",(AY109/AQ109-1)*100)))</f>
        <v>1.4285714285714235</v>
      </c>
      <c r="BA109" s="95">
        <v>9.4</v>
      </c>
      <c r="BB109" s="81">
        <f>IF(ISERROR((BA109/AS109-1)*100),"NA",IF(((BA109/AS109-1)*100)&gt;100,"NM",IF(((BA109/AS109-1)*100)&lt;-50,"NM",(BA109/AS109-1)*100)))</f>
        <v>59.322033898305079</v>
      </c>
      <c r="BC109" s="95">
        <v>9.3000000000000007</v>
      </c>
      <c r="BD109" s="81">
        <f>IF(ISERROR((BC109/AU109-1)*100),"NA",IF(((BC109/AU109-1)*100)&gt;100,"NM",IF(((BC109/AU109-1)*100)&lt;-50,"NM",(BC109/AU109-1)*100)))</f>
        <v>38.805970149253731</v>
      </c>
      <c r="BE109" s="95">
        <v>7.7</v>
      </c>
      <c r="BF109" s="81">
        <f>IF(ISERROR((BE109/AW109-1)*100),"NA",IF(((BE109/AW109-1)*100)&gt;100,"NM",IF(((BE109/AW109-1)*100)&lt;-50,"NM",(BE109/AW109-1)*100)))</f>
        <v>18.461538461538463</v>
      </c>
      <c r="BG109" s="95">
        <v>6.7</v>
      </c>
      <c r="BH109" s="81">
        <f>IF(ISERROR((BG109/AY109-1)*100),"NA",IF(((BG109/AY109-1)*100)&gt;100,"NM",IF(((BG109/AY109-1)*100)&lt;-50,"NM",(BG109/AY109-1)*100)))</f>
        <v>-5.6338028169014009</v>
      </c>
      <c r="BI109" s="95">
        <v>7.7</v>
      </c>
      <c r="BJ109" s="81">
        <f>IF(ISERROR((BI109/BA109-1)*100),"NA",IF(((BI109/BA109-1)*100)&gt;100,"NM",IF(((BI109/BA109-1)*100)&lt;-50,"NM",(BI109/BA109-1)*100)))</f>
        <v>-18.085106382978722</v>
      </c>
      <c r="BK109" s="95">
        <v>7.4</v>
      </c>
      <c r="BL109" s="81">
        <f>IF(ISERROR((BK109/BC109-1)*100),"NA",IF(((BK109/BC109-1)*100)&gt;100,"NM",IF(((BK109/BC109-1)*100)&lt;-50,"NM",(BK109/BC109-1)*100)))</f>
        <v>-20.430107526881724</v>
      </c>
      <c r="BM109" s="95">
        <v>7.4</v>
      </c>
      <c r="BN109" s="81">
        <f>IF(ISERROR((BM109/BE109-1)*100),"NA",IF(((BM109/BE109-1)*100)&gt;100,"NM",IF(((BM109/BE109-1)*100)&lt;-50,"NM",(BM109/BE109-1)*100)))</f>
        <v>-3.8961038961038974</v>
      </c>
      <c r="BO109" s="95">
        <v>7.7</v>
      </c>
      <c r="BP109" s="81">
        <f>IF(ISERROR((BO109/BG109-1)*100),"NA",IF(((BO109/BG109-1)*100)&gt;100,"NM",IF(((BO109/BG109-1)*100)&lt;-50,"NM",(BO109/BG109-1)*100)))</f>
        <v>14.925373134328357</v>
      </c>
      <c r="BQ109" s="95">
        <v>7.7</v>
      </c>
      <c r="BR109" s="81">
        <f>IF(ISERROR((BQ109/BI109-1)*100),"NA",IF(((BQ109/BI109-1)*100)&gt;100,"NM",IF(((BQ109/BI109-1)*100)&lt;-50,"NM",(BQ109/BI109-1)*100)))</f>
        <v>0</v>
      </c>
      <c r="BS109" s="95">
        <v>7.6</v>
      </c>
      <c r="BT109" s="81">
        <f>IF(ISERROR((BS109/BK109-1)*100),"NA",IF(((BS109/BK109-1)*100)&gt;100,"NM",IF(((BS109/BK109-1)*100)&lt;-50,"NM",(BS109/BK109-1)*100)))</f>
        <v>2.7027027027026973</v>
      </c>
      <c r="BU109" s="95">
        <v>6.4</v>
      </c>
      <c r="BV109" s="81">
        <f>IF(ISERROR((BU109/BM109-1)*100),"NA",IF(((BU109/BM109-1)*100)&gt;100,"NM",IF(((BU109/BM109-1)*100)&lt;-50,"NM",(BU109/BM109-1)*100)))</f>
        <v>-13.513513513513509</v>
      </c>
      <c r="BW109" s="95">
        <v>6.2</v>
      </c>
      <c r="BX109" s="81">
        <f>IF(ISERROR((BW109/BO109-1)*100),"NA",IF(((BW109/BO109-1)*100)&gt;100,"NM",IF(((BW109/BO109-1)*100)&lt;-50,"NM",(BW109/BO109-1)*100)))</f>
        <v>-19.480519480519476</v>
      </c>
      <c r="BY109" s="95">
        <v>7.7</v>
      </c>
      <c r="BZ109" s="81">
        <f>IF(ISERROR((BY109/BQ109-1)*100),"NA",IF(((BY109/BQ109-1)*100)&gt;100,"NM",IF(((BY109/BQ109-1)*100)&lt;-50,"NM",(BY109/BQ109-1)*100)))</f>
        <v>0</v>
      </c>
      <c r="CA109" s="95">
        <v>8.4</v>
      </c>
      <c r="CB109" s="81">
        <f>IF(ISERROR((CA109/BS109-1)*100),"NA",IF(((CA109/BS109-1)*100)&gt;100,"NM",IF(((CA109/BS109-1)*100)&lt;-50,"NM",(CA109/BS109-1)*100)))</f>
        <v>10.526315789473696</v>
      </c>
      <c r="CC109" s="95">
        <v>7.5</v>
      </c>
      <c r="CD109" s="81">
        <f>IF(ISERROR((CC109/BU109-1)*100),"NA",IF(((CC109/BU109-1)*100)&gt;100,"NM",IF(((CC109/BU109-1)*100)&lt;-50,"NM",(CC109/BU109-1)*100)))</f>
        <v>17.1875</v>
      </c>
      <c r="CE109" s="95">
        <v>10.1</v>
      </c>
      <c r="CF109" s="81">
        <f>IF(ISERROR((CE109/BW109-1)*100),"NA",IF(((CE109/BW109-1)*100)&gt;100,"NM",IF(((CE109/BW109-1)*100)&lt;-50,"NM",(CE109/BW109-1)*100)))</f>
        <v>62.903225806451601</v>
      </c>
      <c r="CG109" s="95">
        <v>8.3000000000000007</v>
      </c>
      <c r="CH109" s="81">
        <f>IF(ISERROR((CG109/BY109-1)*100),"NA",IF(((CG109/BY109-1)*100)&gt;100,"NM",IF(((CG109/BY109-1)*100)&lt;-50,"NM",(CG109/BY109-1)*100)))</f>
        <v>7.7922077922077948</v>
      </c>
      <c r="CI109" s="95">
        <v>7</v>
      </c>
      <c r="CJ109" s="81">
        <f>IF(ISERROR((CI109/CA109-1)*100),"NA",IF(((CI109/CA109-1)*100)&gt;100,"NM",IF(((CI109/CA109-1)*100)&lt;-50,"NM",(CI109/CA109-1)*100)))</f>
        <v>-16.666666666666675</v>
      </c>
      <c r="CK109" s="95">
        <v>6.8</v>
      </c>
      <c r="CL109" s="81">
        <f>IF(ISERROR((CK109/CC109-1)*100),"NA",IF(((CK109/CC109-1)*100)&gt;100,"NM",IF(((CK109/CC109-1)*100)&lt;-50,"NM",(CK109/CC109-1)*100)))</f>
        <v>-9.3333333333333375</v>
      </c>
      <c r="CM109" s="95">
        <v>7.9</v>
      </c>
      <c r="CN109" s="81">
        <f>IF(ISERROR((CM109/CE109-1)*100),"NA",IF(((CM109/CE109-1)*100)&gt;100,"NM",IF(((CM109/CE109-1)*100)&lt;-50,"NM",(CM109/CE109-1)*100)))</f>
        <v>-21.78217821782178</v>
      </c>
      <c r="CO109" s="95">
        <v>7.1</v>
      </c>
      <c r="CP109" s="81">
        <f>IF(ISERROR((CO109/CG109-1)*100),"NA",IF(((CO109/CG109-1)*100)&gt;100,"NM",IF(((CO109/CG109-1)*100)&lt;-50,"NM",(CO109/CG109-1)*100)))</f>
        <v>-14.457831325301218</v>
      </c>
      <c r="CQ109" s="95">
        <v>7.2</v>
      </c>
      <c r="CR109" s="81">
        <f>IF(ISERROR((CQ109/CI109-1)*100),"NA",IF(((CQ109/CI109-1)*100)&gt;100,"NM",IF(((CQ109/CI109-1)*100)&lt;-50,"NM",(CQ109/CI109-1)*100)))</f>
        <v>2.8571428571428692</v>
      </c>
      <c r="CS109" s="95">
        <v>7.3</v>
      </c>
      <c r="CT109" s="81">
        <f>IF(ISERROR((CS109/CK109-1)*100),"NA",IF(((CS109/CK109-1)*100)&gt;100,"NM",IF(((CS109/CK109-1)*100)&lt;-50,"NM",(CS109/CK109-1)*100)))</f>
        <v>7.3529411764705843</v>
      </c>
      <c r="CU109" s="95">
        <v>7.4</v>
      </c>
      <c r="CV109" s="81">
        <f>IF(ISERROR((CU109/CM109-1)*100),"NA",IF(((CU109/CM109-1)*100)&gt;100,"NM",IF(((CU109/CM109-1)*100)&lt;-50,"NM",(CU109/CM109-1)*100)))</f>
        <v>-6.3291139240506329</v>
      </c>
      <c r="CW109" s="95">
        <v>8.4</v>
      </c>
      <c r="CX109" s="81">
        <f>IF(ISERROR((CW109/CO109-1)*100),"NA",IF(((CW109/CO109-1)*100)&gt;100,"NM",IF(((CW109/CO109-1)*100)&lt;-50,"NM",(CW109/CO109-1)*100)))</f>
        <v>18.309859154929597</v>
      </c>
      <c r="CY109" s="95">
        <v>9</v>
      </c>
      <c r="CZ109" s="81">
        <f>IF(ISERROR((CY109/CQ109-1)*100),"NA",IF(((CY109/CQ109-1)*100)&gt;100,"NM",IF(((CY109/CQ109-1)*100)&lt;-50,"NM",(CY109/CQ109-1)*100)))</f>
        <v>25</v>
      </c>
      <c r="DA109" s="95">
        <v>6.5</v>
      </c>
      <c r="DB109" s="81">
        <f>IF(ISERROR((DA109/CS109-1)*100),"NA",IF(((DA109/CS109-1)*100)&gt;100,"NM",IF(((DA109/CS109-1)*100)&lt;-50,"NM",(DA109/CS109-1)*100)))</f>
        <v>-10.95890410958904</v>
      </c>
      <c r="DC109" s="95">
        <v>7</v>
      </c>
      <c r="DD109" s="81">
        <f>IF(ISERROR((DC109/CU109-1)*100),"NA",IF(((DC109/CU109-1)*100)&gt;100,"NM",IF(((DC109/CU109-1)*100)&lt;-50,"NM",(DC109/CU109-1)*100)))</f>
        <v>-5.4054054054054053</v>
      </c>
      <c r="DE109" s="95">
        <v>8.6999999999999993</v>
      </c>
      <c r="DF109" s="81">
        <f>IF(ISERROR((DE109/CW109-1)*100),"NA",IF(((DE109/CW109-1)*100)&gt;100,"NM",IF(((DE109/CW109-1)*100)&lt;-50,"NM",(DE109/CW109-1)*100)))</f>
        <v>3.5714285714285587</v>
      </c>
      <c r="DG109" s="95">
        <v>7</v>
      </c>
      <c r="DH109" s="81">
        <f>IF(ISERROR((DG109/CY109-1)*100),"NA",IF(((DG109/CY109-1)*100)&gt;100,"NM",IF(((DG109/CY109-1)*100)&lt;-50,"NM",(DG109/CY109-1)*100)))</f>
        <v>-22.222222222222221</v>
      </c>
      <c r="DI109" s="95">
        <v>6.9</v>
      </c>
      <c r="DJ109" s="81">
        <f>IF(ISERROR((DI109/DA109-1)*100),"NA",IF(((DI109/DA109-1)*100)&gt;100,"NM",IF(((DI109/DA109-1)*100)&lt;-50,"NM",(DI109/DA109-1)*100)))</f>
        <v>6.1538461538461542</v>
      </c>
      <c r="DK109" s="95">
        <v>7.1</v>
      </c>
      <c r="DL109" s="81">
        <f>IF(ISERROR((DK109/DC109-1)*100),"NA",IF(((DK109/DC109-1)*100)&gt;100,"NM",IF(((DK109/DC109-1)*100)&lt;-50,"NM",(DK109/DC109-1)*100)))</f>
        <v>1.4285714285714235</v>
      </c>
      <c r="DM109" s="95">
        <v>7</v>
      </c>
      <c r="DN109" s="81">
        <f>IF(ISERROR((DM109/DE109-1)*100),"NA",IF(((DM109/DE109-1)*100)&gt;100,"NM",IF(((DM109/DE109-1)*100)&lt;-50,"NM",(DM109/DE109-1)*100)))</f>
        <v>-19.540229885057471</v>
      </c>
      <c r="DO109" s="95">
        <v>5.9</v>
      </c>
      <c r="DP109" s="81">
        <f>IF(ISERROR((DO109/DG109-1)*100),"NA",IF(((DO109/DG109-1)*100)&gt;100,"NM",IF(((DO109/DG109-1)*100)&lt;-50,"NM",(DO109/DG109-1)*100)))</f>
        <v>-15.714285714285714</v>
      </c>
      <c r="DQ109" s="95">
        <v>6</v>
      </c>
      <c r="DR109" s="81">
        <f>IF(ISERROR((DQ109/DI109-1)*100),"NA",IF(((DQ109/DI109-1)*100)&gt;100,"NM",IF(((DQ109/DI109-1)*100)&lt;-50,"NM",(DQ109/DI109-1)*100)))</f>
        <v>-13.043478260869568</v>
      </c>
      <c r="DS109" s="95">
        <v>5.3</v>
      </c>
      <c r="DT109" s="81">
        <f>IF(ISERROR((DS109/DK109-1)*100),"NA",IF(((DS109/DK109-1)*100)&gt;100,"NM",IF(((DS109/DK109-1)*100)&lt;-50,"NM",(DS109/DK109-1)*100)))</f>
        <v>-25.352112676056336</v>
      </c>
      <c r="DU109" s="95">
        <v>5.0999999999999996</v>
      </c>
      <c r="DV109" s="81">
        <f>IF(ISERROR((DU109/DM109-1)*100),"NA",IF(((DU109/DM109-1)*100)&gt;100,"NM",IF(((DU109/DM109-1)*100)&lt;-50,"NM",(DU109/DM109-1)*100)))</f>
        <v>-27.142857142857146</v>
      </c>
      <c r="DW109" s="95">
        <v>4.2</v>
      </c>
      <c r="DX109" s="81">
        <f>IF(ISERROR((DW109/DO109-1)*100),"NA",IF(((DW109/DO109-1)*100)&gt;100,"NM",IF(((DW109/DO109-1)*100)&lt;-50,"NM",(DW109/DO109-1)*100)))</f>
        <v>-28.8135593220339</v>
      </c>
      <c r="DY109" s="95">
        <v>4.8</v>
      </c>
      <c r="DZ109" s="81">
        <f>IF(ISERROR((DY109/DQ109-1)*100),"NA",IF(((DY109/DQ109-1)*100)&gt;100,"NM",IF(((DY109/DQ109-1)*100)&lt;-50,"NM",(DY109/DQ109-1)*100)))</f>
        <v>-20.000000000000007</v>
      </c>
      <c r="EA109" s="95">
        <v>3.6</v>
      </c>
      <c r="EB109" s="81">
        <f>IF(ISERROR((EA109/DS109-1)*100),"NA",IF(((EA109/DS109-1)*100)&gt;100,"NM",IF(((EA109/DS109-1)*100)&lt;-50,"NM",(EA109/DS109-1)*100)))</f>
        <v>-32.075471698113198</v>
      </c>
      <c r="EC109" s="95">
        <v>3.7</v>
      </c>
      <c r="ED109" s="81">
        <f t="shared" si="395"/>
        <v>-27.450980392156854</v>
      </c>
      <c r="EE109" s="95">
        <v>3.3</v>
      </c>
      <c r="EF109" s="81">
        <f t="shared" si="396"/>
        <v>-21.428571428571441</v>
      </c>
      <c r="EG109" s="95">
        <v>1.3</v>
      </c>
      <c r="EH109" s="81" t="str">
        <f t="shared" si="397"/>
        <v>NM</v>
      </c>
      <c r="EI109" s="95">
        <v>1.8</v>
      </c>
      <c r="EJ109" s="81">
        <f t="shared" si="398"/>
        <v>-50</v>
      </c>
      <c r="EK109" s="95">
        <f t="shared" ref="EK109" si="404">EI109*1.02</f>
        <v>1.8360000000000001</v>
      </c>
      <c r="EL109" s="81" t="str">
        <f t="shared" si="399"/>
        <v>NM</v>
      </c>
      <c r="EM109" s="95">
        <f t="shared" ref="EM109" si="405">EK109*1.02</f>
        <v>1.8727200000000002</v>
      </c>
      <c r="EN109" s="81">
        <f t="shared" si="400"/>
        <v>-43.250909090909083</v>
      </c>
      <c r="EO109" s="95">
        <f t="shared" ref="EO109" si="406">EM109*1.02</f>
        <v>1.9101744000000003</v>
      </c>
      <c r="EP109" s="81">
        <f t="shared" si="401"/>
        <v>46.936492307692326</v>
      </c>
      <c r="EQ109" s="95">
        <f t="shared" ref="EQ109" si="407">EO109*1.02</f>
        <v>1.9483778880000002</v>
      </c>
      <c r="ER109" s="81">
        <f t="shared" si="402"/>
        <v>8.2432160000000199</v>
      </c>
      <c r="ES109" s="129"/>
      <c r="ET109" s="469"/>
      <c r="EU109" s="129"/>
      <c r="EV109" s="95"/>
      <c r="EW109" s="79"/>
      <c r="EX109" s="95"/>
      <c r="EY109" s="79"/>
      <c r="EZ109" s="131"/>
      <c r="FA109" s="79"/>
      <c r="FB109" s="35"/>
      <c r="FC109" s="79"/>
      <c r="FD109" s="129">
        <v>10.1</v>
      </c>
      <c r="FE109" s="79" t="str">
        <f>IF(ISERROR((FD109/FB109-1)*100),"NA",IF(((FD109/FB109-1)*100)&gt;100,"NM",IF(((FD109/FB109-1)*100)&lt;-50,"NM",(FD109/FB109-1)*100)))</f>
        <v>NA</v>
      </c>
      <c r="FF109" s="129">
        <v>13.7</v>
      </c>
      <c r="FG109" s="79">
        <f>IF(ISERROR((FF109/FD109-1)*100),"NA",IF(((FF109/FD109-1)*100)&gt;100,"NM",IF(((FF109/FD109-1)*100)&lt;-50,"NM",(FF109/FD109-1)*100)))</f>
        <v>35.643564356435633</v>
      </c>
      <c r="FH109" s="129">
        <v>20.8</v>
      </c>
      <c r="FI109" s="79">
        <f>IF(ISERROR((FH109/FF109-1)*100),"NA",IF(((FH109/FF109-1)*100)&gt;100,"NM",IF(((FH109/FF109-1)*100)&lt;-50,"NM",(FH109/FF109-1)*100)))</f>
        <v>51.824817518248189</v>
      </c>
      <c r="FJ109" s="35">
        <f>+AQ109+AO109+AM109+AK109</f>
        <v>26.299999999999997</v>
      </c>
      <c r="FK109" s="79">
        <f>IF(ISERROR((FJ109/FH109-1)*100),"NA",IF(((FJ109/FH109-1)*100)&gt;100,"NM",IF(((FJ109/FH109-1)*100)&lt;-50,"NM",(FJ109/FH109-1)*100)))</f>
        <v>26.442307692307665</v>
      </c>
      <c r="FL109" s="78">
        <f>AS109+AU109+AW109+AY109</f>
        <v>26.200000000000003</v>
      </c>
      <c r="FM109" s="79">
        <f>IF(ISERROR((FL109/FJ109-1)*100),"NA",IF(((FL109/FJ109-1)*100)&gt;100,"NM",IF(((FL109/FJ109-1)*100)&lt;-50,"NM",(FL109/FJ109-1)*100)))</f>
        <v>-0.38022813688211032</v>
      </c>
      <c r="FN109" s="78">
        <f>BA109+BC109+BE109+BG109</f>
        <v>33.1</v>
      </c>
      <c r="FO109" s="79">
        <f>IF(ISERROR((FN109/FL109-1)*100),"NA",IF(((FN109/FL109-1)*100)&gt;100,"NM",IF(((FN109/FL109-1)*100)&lt;-50,"NM",(FN109/FL109-1)*100)))</f>
        <v>26.335877862595414</v>
      </c>
      <c r="FP109" s="78">
        <f>BI109+BK109+BM109+BO109</f>
        <v>30.2</v>
      </c>
      <c r="FQ109" s="79">
        <f>IF(ISERROR((FP109/FN109-1)*100),"NA",IF(((FP109/FN109-1)*100)&gt;100,"NM",IF(((FP109/FN109-1)*100)&lt;-50,"NM",(FP109/FN109-1)*100)))</f>
        <v>-8.7613293051359555</v>
      </c>
      <c r="FR109" s="95">
        <v>28</v>
      </c>
      <c r="FS109" s="79">
        <f>IF(ISERROR((FR109/FP109-1)*100),"NA",IF(((FR109/FP109-1)*100)&gt;100,"NM",IF(((FR109/FP109-1)*100)&lt;-50,"NM",(FR109/FP109-1)*100)))</f>
        <v>-7.2847682119205226</v>
      </c>
      <c r="FT109" s="93">
        <f>BY109+CA109+CC109+CE109</f>
        <v>33.700000000000003</v>
      </c>
      <c r="FU109" s="79">
        <f>IF(ISERROR((FT109/FR109-1)*100),"NA",IF(((FT109/FR109-1)*100)&gt;100,"NM",IF(((FT109/FR109-1)*100)&lt;-50,"NM",(FT109/FR109-1)*100)))</f>
        <v>20.357142857142875</v>
      </c>
      <c r="FV109" s="93">
        <f>CG109+CI109+CK109+CM109</f>
        <v>30</v>
      </c>
      <c r="FW109" s="79">
        <f>IF(ISERROR((FV109/FT109-1)*100),"NA",IF(((FV109/FT109-1)*100)&gt;100,"NM",IF(((FV109/FT109-1)*100)&lt;-50,"NM",(FV109/FT109-1)*100)))</f>
        <v>-10.979228486646896</v>
      </c>
      <c r="FX109" s="93">
        <f>CO109+CQ109+CS109+CU109</f>
        <v>29</v>
      </c>
      <c r="FY109" s="79">
        <f>IF(ISERROR((FX109/FV109-1)*100),"NA",IF(((FX109/FV109-1)*100)&gt;100,"NM",IF(((FX109/FV109-1)*100)&lt;-50,"NM",(FX109/FV109-1)*100)))</f>
        <v>-3.3333333333333326</v>
      </c>
      <c r="FZ109" s="93">
        <f>CW109+CY109+DA109+DC109</f>
        <v>30.9</v>
      </c>
      <c r="GA109" s="79">
        <f>IF(ISERROR((FZ109/FX109-1)*100),"NA",IF(((FZ109/FX109-1)*100)&gt;100,"NM",IF(((FZ109/FX109-1)*100)&lt;-50,"NM",(FZ109/FX109-1)*100)))</f>
        <v>6.5517241379310365</v>
      </c>
      <c r="GB109" s="93">
        <f>DE109+DG109+DI109+DK109</f>
        <v>29.700000000000003</v>
      </c>
      <c r="GC109" s="79">
        <f>IF(ISERROR((GB109/FZ109-1)*100),"NA",IF(((GB109/FZ109-1)*100)&gt;100,"NM",IF(((GB109/FZ109-1)*100)&lt;-50,"NM",(GB109/FZ109-1)*100)))</f>
        <v>-3.8834951456310551</v>
      </c>
      <c r="GD109" s="93">
        <f>DM109+DO109+DQ109+DS109</f>
        <v>24.2</v>
      </c>
      <c r="GE109" s="79">
        <f>IF(ISERROR((GD109/GB109-1)*100),"NA",IF(((GD109/GB109-1)*100)&gt;100,"NM",IF(((GD109/GB109-1)*100)&lt;-50,"NM",(GD109/GB109-1)*100)))</f>
        <v>-18.518518518518533</v>
      </c>
      <c r="GF109" s="93">
        <f>DU109+DW109+DY109+EA109</f>
        <v>17.700000000000003</v>
      </c>
      <c r="GG109" s="79">
        <f>IF(ISERROR((GF109/GD109-1)*100),"NA",IF(((GF109/GD109-1)*100)&gt;100,"NM",IF(((GF109/GD109-1)*100)&lt;-50,"NM",(GF109/GD109-1)*100)))</f>
        <v>-26.859504132231393</v>
      </c>
      <c r="GH109" s="93">
        <f>EC109+EE109+EG109+EI109</f>
        <v>10.100000000000001</v>
      </c>
      <c r="GI109" s="79">
        <f>IF(ISERROR((GH109/GF109-1)*100),"NA",IF(((GH109/GF109-1)*100)&gt;100,"NM",IF(((GH109/GF109-1)*100)&lt;-50,"NM",(GH109/GF109-1)*100)))</f>
        <v>-42.937853107344637</v>
      </c>
      <c r="GJ109" s="93">
        <f>EK109+EM109+EO109+EQ109</f>
        <v>7.5672722880000007</v>
      </c>
      <c r="GK109" s="79">
        <f>IF(ISERROR((GJ109/GH109-1)*100),"NA",IF(((GJ109/GH109-1)*100)&gt;100,"NM",IF(((GJ109/GH109-1)*100)&lt;-50,"NM",(GJ109/GH109-1)*100)))</f>
        <v>-25.076512000000008</v>
      </c>
      <c r="GL109" s="95">
        <f>+GJ109*1.05</f>
        <v>7.9456359024000012</v>
      </c>
      <c r="GM109" s="79">
        <f>IF(ISERROR((GL109/GJ109-1)*100),"NA",IF(((GL109/GJ109-1)*100)&gt;100,"NM",IF(((GL109/GJ109-1)*100)&lt;-50,"NM",(GL109/GJ109-1)*100)))</f>
        <v>5.0000000000000044</v>
      </c>
      <c r="GN109" s="95">
        <f>+GL109*1.05</f>
        <v>8.3429176975200008</v>
      </c>
      <c r="GO109" s="79">
        <f>IF(ISERROR((GN109/GL109-1)*100),"NA",IF(((GN109/GL109-1)*100)&gt;100,"NM",IF(((GN109/GL109-1)*100)&lt;-50,"NM",(GN109/GL109-1)*100)))</f>
        <v>5.0000000000000044</v>
      </c>
      <c r="GP109" s="95">
        <f>+GN109*1.05</f>
        <v>8.7600635823960005</v>
      </c>
      <c r="GQ109" s="79">
        <f>IF(ISERROR((GP109/GN109-1)*100),"NA",IF(((GP109/GN109-1)*100)&gt;100,"NM",IF(((GP109/GN109-1)*100)&lt;-50,"NM",(GP109/GN109-1)*100)))</f>
        <v>5.0000000000000044</v>
      </c>
      <c r="GR109" s="95">
        <f>+GP109*1.05</f>
        <v>9.1980667615158005</v>
      </c>
      <c r="GS109" s="79">
        <f>IF(ISERROR((GR109/GP109-1)*100),"NA",IF(((GR109/GP109-1)*100)&gt;100,"NM",IF(((GR109/GP109-1)*100)&lt;-50,"NM",(GR109/GP109-1)*100)))</f>
        <v>5.0000000000000044</v>
      </c>
      <c r="GT109" s="79">
        <f>IF(ISERROR(((GR109/GH109)^0.2-1)*100),"NA",(IF(OR(((GR109/GH109)^0.2-1)*100&gt;99,((GR109/GH109)^0.2-1)*100&lt;-50),"NM",(((GR109/GH109)^0.2-1)*100))))</f>
        <v>-1.8534503076597542</v>
      </c>
      <c r="GU109" s="562"/>
      <c r="GV109" s="562"/>
      <c r="GW109"/>
      <c r="GX109"/>
      <c r="GY109"/>
      <c r="GZ109"/>
      <c r="HA109"/>
      <c r="HB109"/>
      <c r="HC109" s="562"/>
      <c r="HD109" s="562"/>
      <c r="HE109" s="562"/>
      <c r="HF109" s="562"/>
      <c r="HG109" s="562"/>
      <c r="HH109" s="562"/>
      <c r="HI109" s="562"/>
      <c r="HJ109" s="562"/>
      <c r="HK109" s="562"/>
      <c r="HL109" s="562"/>
      <c r="HM109" s="562"/>
      <c r="HN109" s="562"/>
      <c r="HO109" s="562"/>
      <c r="HP109" s="562"/>
      <c r="HQ109" s="562"/>
      <c r="HR109" s="562"/>
      <c r="HS109" s="562"/>
      <c r="HT109" s="562"/>
      <c r="HU109" s="562"/>
      <c r="HV109" s="562"/>
      <c r="HW109" s="562"/>
      <c r="HX109" s="562"/>
      <c r="HY109" s="562"/>
      <c r="HZ109" s="562"/>
      <c r="IA109" s="562"/>
      <c r="IB109" s="562"/>
      <c r="IC109" s="562"/>
      <c r="ID109" s="562"/>
      <c r="IE109" s="562"/>
      <c r="IF109" s="562"/>
      <c r="IG109" s="562"/>
      <c r="IH109" s="562"/>
      <c r="II109" s="562"/>
      <c r="IJ109" s="562"/>
      <c r="IK109" s="562"/>
      <c r="IL109" s="562"/>
      <c r="IM109" s="562"/>
      <c r="IN109" s="562"/>
      <c r="IO109" s="562"/>
      <c r="IP109" s="562"/>
      <c r="IQ109" s="562"/>
      <c r="IR109" s="562"/>
      <c r="IS109" s="562"/>
      <c r="IT109" s="562"/>
      <c r="IU109" s="562"/>
      <c r="IV109" s="562"/>
      <c r="IW109" s="562"/>
      <c r="IX109" s="562"/>
      <c r="IY109" s="562"/>
      <c r="IZ109" s="562"/>
      <c r="JA109" s="562"/>
      <c r="JB109" s="562"/>
      <c r="JC109" s="562"/>
      <c r="JD109" s="562"/>
      <c r="JE109" s="562"/>
      <c r="JF109" s="562"/>
      <c r="JG109" s="562"/>
      <c r="JH109" s="562"/>
      <c r="JI109" s="562"/>
      <c r="JJ109" s="562"/>
      <c r="JK109" s="562"/>
      <c r="JL109" s="562"/>
      <c r="JM109" s="562"/>
      <c r="JN109" s="562"/>
      <c r="JO109" s="562"/>
      <c r="JP109" s="562"/>
      <c r="JQ109" s="562"/>
      <c r="JR109" s="562"/>
      <c r="JS109" s="562"/>
      <c r="JT109" s="562"/>
      <c r="JU109" s="562"/>
      <c r="JV109" s="562"/>
      <c r="JW109" s="562"/>
      <c r="JX109" s="562"/>
      <c r="JY109" s="562"/>
      <c r="JZ109" s="562"/>
    </row>
    <row r="110" spans="1:286" s="132" customFormat="1" ht="12.75" customHeight="1" x14ac:dyDescent="0.2">
      <c r="A110" s="133"/>
      <c r="B110" s="83" t="s">
        <v>56</v>
      </c>
      <c r="C110" s="139"/>
      <c r="D110" s="139"/>
      <c r="E110" s="199"/>
      <c r="F110" s="199"/>
      <c r="G110" s="199"/>
      <c r="H110" s="199"/>
      <c r="I110" s="199"/>
      <c r="J110" s="199"/>
      <c r="K110" s="199"/>
      <c r="L110" s="79"/>
      <c r="M110" s="199"/>
      <c r="N110" s="79"/>
      <c r="O110" s="199"/>
      <c r="P110" s="79"/>
      <c r="Q110" s="199"/>
      <c r="R110" s="79"/>
      <c r="S110" s="199"/>
      <c r="T110" s="79"/>
      <c r="U110" s="199"/>
      <c r="V110" s="79"/>
      <c r="W110" s="199"/>
      <c r="X110" s="79"/>
      <c r="Y110" s="199"/>
      <c r="Z110" s="79"/>
      <c r="AA110" s="203"/>
      <c r="AB110" s="79"/>
      <c r="AC110" s="199">
        <f>SUM(AC107:AC109)</f>
        <v>343.09999999999997</v>
      </c>
      <c r="AD110" s="79" t="str">
        <f>IF(ISERROR((AC110/U110-1)*100),"NA",IF(((AC110/U110-1)*100)&gt;100,"NM",IF(((AC110/U110-1)*100)&lt;-50,"NM",(AC110/U110-1)*100)))</f>
        <v>NA</v>
      </c>
      <c r="AE110" s="199">
        <f>SUM(AE107:AE109)</f>
        <v>343.20000000000005</v>
      </c>
      <c r="AF110" s="79" t="str">
        <f>IF(ISERROR((AE110/W110-1)*100),"NA",IF(((AE110/W110-1)*100)&gt;100,"NM",IF(((AE110/W110-1)*100)&lt;-50,"NM",(AE110/W110-1)*100)))</f>
        <v>NA</v>
      </c>
      <c r="AG110" s="199">
        <f>SUM(AG107:AG109)</f>
        <v>350</v>
      </c>
      <c r="AH110" s="79" t="str">
        <f>IF(ISERROR((AG110/Y110-1)*100),"NA",IF(((AG110/Y110-1)*100)&gt;100,"NM",IF(((AG110/Y110-1)*100)&lt;-50,"NM",(AG110/Y110-1)*100)))</f>
        <v>NA</v>
      </c>
      <c r="AI110" s="199">
        <f>SUM(AI107:AI109)</f>
        <v>360.10000000000008</v>
      </c>
      <c r="AJ110" s="79" t="str">
        <f>IF(ISERROR((AI110/AA110-1)*100),"NA",IF(((AI110/AA110-1)*100)&gt;100,"NM",IF(((AI110/AA110-1)*100)&lt;-50,"NM",(AI110/AA110-1)*100)))</f>
        <v>NA</v>
      </c>
      <c r="AK110" s="199">
        <f>SUM(AK107:AK109)</f>
        <v>366.20000000000005</v>
      </c>
      <c r="AL110" s="79">
        <f>IF(ISERROR((AK110/AC110-1)*100),"NA",IF(((AK110/AC110-1)*100)&gt;100,"NM",IF(((AK110/AC110-1)*100)&lt;-50,"NM",(AK110/AC110-1)*100)))</f>
        <v>6.732730982220958</v>
      </c>
      <c r="AM110" s="199">
        <f>SUM(AM107:AM109)</f>
        <v>374.9</v>
      </c>
      <c r="AN110" s="79">
        <f>IF(ISERROR((AM110/AE110-1)*100),"NA",IF(((AM110/AE110-1)*100)&gt;100,"NM",IF(((AM110/AE110-1)*100)&lt;-50,"NM",(AM110/AE110-1)*100)))</f>
        <v>9.236596736596713</v>
      </c>
      <c r="AO110" s="199">
        <f>SUM(AO107:AO109)</f>
        <v>378.1</v>
      </c>
      <c r="AP110" s="79">
        <f>IF(ISERROR((AO110/AG110-1)*100),"NA",IF(((AO110/AG110-1)*100)&gt;100,"NM",IF(((AO110/AG110-1)*100)&lt;-50,"NM",(AO110/AG110-1)*100)))</f>
        <v>8.0285714285714285</v>
      </c>
      <c r="AQ110" s="199">
        <f>SUM(AQ107:AQ109)</f>
        <v>385.6</v>
      </c>
      <c r="AR110" s="79">
        <f>IF(ISERROR((AQ110/AI110-1)*100),"NA",IF(((AQ110/AI110-1)*100)&gt;100,"NM",IF(((AQ110/AI110-1)*100)&lt;-50,"NM",(AQ110/AI110-1)*100)))</f>
        <v>7.0813662871424432</v>
      </c>
      <c r="AS110" s="199">
        <f>SUM(AS107:AS109)</f>
        <v>400.4</v>
      </c>
      <c r="AT110" s="81">
        <f>IF(ISERROR((AS110/AK110-1)*100),"NA",IF(((AS110/AK110-1)*100)&gt;100,"NM",IF(((AS110/AK110-1)*100)&lt;-50,"NM",(AS110/AK110-1)*100)))</f>
        <v>9.3391589295466879</v>
      </c>
      <c r="AU110" s="199">
        <f>SUM(AU107:AU109)</f>
        <v>406.99999999999994</v>
      </c>
      <c r="AV110" s="81">
        <f>IF(ISERROR((AU110/AM110-1)*100),"NA",IF(((AU110/AM110-1)*100)&gt;100,"NM",IF(((AU110/AM110-1)*100)&lt;-50,"NM",(AU110/AM110-1)*100)))</f>
        <v>8.562283275540139</v>
      </c>
      <c r="AW110" s="199">
        <f>SUM(AW107:AW109)</f>
        <v>415.70000000000005</v>
      </c>
      <c r="AX110" s="81">
        <f>IF(ISERROR((AW110/AO110-1)*100),"NA",IF(((AW110/AO110-1)*100)&gt;100,"NM",IF(((AW110/AO110-1)*100)&lt;-50,"NM",(AW110/AO110-1)*100)))</f>
        <v>9.9444591377942473</v>
      </c>
      <c r="AY110" s="199">
        <f>SUM(AY107:AY109)</f>
        <v>415.80000000000007</v>
      </c>
      <c r="AZ110" s="81">
        <f>IF(ISERROR((AY110/AQ110-1)*100),"NA",IF(((AY110/AQ110-1)*100)&gt;100,"NM",IF(((AY110/AQ110-1)*100)&lt;-50,"NM",(AY110/AQ110-1)*100)))</f>
        <v>7.8319502074688963</v>
      </c>
      <c r="BA110" s="199">
        <f>SUM(BA107:BA109)</f>
        <v>431.7</v>
      </c>
      <c r="BB110" s="81">
        <f>IF(ISERROR((BA110/AS110-1)*100),"NA",IF(((BA110/AS110-1)*100)&gt;100,"NM",IF(((BA110/AS110-1)*100)&lt;-50,"NM",(BA110/AS110-1)*100)))</f>
        <v>7.8171828171828217</v>
      </c>
      <c r="BC110" s="199">
        <f>SUM(BC107:BC109)</f>
        <v>435.9</v>
      </c>
      <c r="BD110" s="81">
        <f>IF(ISERROR((BC110/AU110-1)*100),"NA",IF(((BC110/AU110-1)*100)&gt;100,"NM",IF(((BC110/AU110-1)*100)&lt;-50,"NM",(BC110/AU110-1)*100)))</f>
        <v>7.100737100737109</v>
      </c>
      <c r="BE110" s="199">
        <f>SUM(BE107:BE109)</f>
        <v>442.4</v>
      </c>
      <c r="BF110" s="81">
        <f>IF(ISERROR((BE110/AW110-1)*100),"NA",IF(((BE110/AW110-1)*100)&gt;100,"NM",IF(((BE110/AW110-1)*100)&lt;-50,"NM",(BE110/AW110-1)*100)))</f>
        <v>6.4229011306230266</v>
      </c>
      <c r="BG110" s="199">
        <f>SUM(BG107:BG109)</f>
        <v>447.8</v>
      </c>
      <c r="BH110" s="81">
        <f>IF(ISERROR((BG110/AY110-1)*100),"NA",IF(((BG110/AY110-1)*100)&gt;100,"NM",IF(((BG110/AY110-1)*100)&lt;-50,"NM",(BG110/AY110-1)*100)))</f>
        <v>7.6960076960076895</v>
      </c>
      <c r="BI110" s="199">
        <f>SUM(BI107:BI109)</f>
        <v>465.2</v>
      </c>
      <c r="BJ110" s="81">
        <f>IF(ISERROR((BI110/BA110-1)*100),"NA",IF(((BI110/BA110-1)*100)&gt;100,"NM",IF(((BI110/BA110-1)*100)&lt;-50,"NM",(BI110/BA110-1)*100)))</f>
        <v>7.7600185313875469</v>
      </c>
      <c r="BK110" s="199">
        <f>SUM(BK107:BK109)</f>
        <v>473.99999999999994</v>
      </c>
      <c r="BL110" s="81">
        <f>IF(ISERROR((BK110/BC110-1)*100),"NA",IF(((BK110/BC110-1)*100)&gt;100,"NM",IF(((BK110/BC110-1)*100)&lt;-50,"NM",(BK110/BC110-1)*100)))</f>
        <v>8.740536820371636</v>
      </c>
      <c r="BM110" s="199">
        <f>SUM(BM107:BM109)</f>
        <v>479.99999999999994</v>
      </c>
      <c r="BN110" s="81">
        <f>IF(ISERROR((BM110/BE110-1)*100),"NA",IF(((BM110/BE110-1)*100)&gt;100,"NM",IF(((BM110/BE110-1)*100)&lt;-50,"NM",(BM110/BE110-1)*100)))</f>
        <v>8.4990958408679873</v>
      </c>
      <c r="BO110" s="199">
        <f>SUM(BO107:BO109)</f>
        <v>489.09999999999997</v>
      </c>
      <c r="BP110" s="81">
        <f>IF(ISERROR((BO110/BG110-1)*100),"NA",IF(((BO110/BG110-1)*100)&gt;100,"NM",IF(((BO110/BG110-1)*100)&lt;-50,"NM",(BO110/BG110-1)*100)))</f>
        <v>9.2228673514962001</v>
      </c>
      <c r="BQ110" s="199">
        <f>SUM(BQ107:BQ109)</f>
        <v>504.1</v>
      </c>
      <c r="BR110" s="81">
        <f>IF(ISERROR((BQ110/BI110-1)*100),"NA",IF(((BQ110/BI110-1)*100)&gt;100,"NM",IF(((BQ110/BI110-1)*100)&lt;-50,"NM",(BQ110/BI110-1)*100)))</f>
        <v>8.3619948409286327</v>
      </c>
      <c r="BS110" s="199">
        <f>SUM(BS107:BS109)</f>
        <v>508.9</v>
      </c>
      <c r="BT110" s="81">
        <f>IF(ISERROR((BS110/BK110-1)*100),"NA",IF(((BS110/BK110-1)*100)&gt;100,"NM",IF(((BS110/BK110-1)*100)&lt;-50,"NM",(BS110/BK110-1)*100)))</f>
        <v>7.3628691983122385</v>
      </c>
      <c r="BU110" s="199">
        <f>SUM(BU107:BU109)</f>
        <v>504.29999999999995</v>
      </c>
      <c r="BV110" s="81">
        <f>IF(ISERROR((BU110/BM110-1)*100),"NA",IF(((BU110/BM110-1)*100)&gt;100,"NM",IF(((BU110/BM110-1)*100)&lt;-50,"NM",(BU110/BM110-1)*100)))</f>
        <v>5.062499999999992</v>
      </c>
      <c r="BW110" s="199">
        <f>SUM(BW107:BW109)</f>
        <v>505.99999999999994</v>
      </c>
      <c r="BX110" s="81">
        <f>IF(ISERROR((BW110/BO110-1)*100),"NA",IF(((BW110/BO110-1)*100)&gt;100,"NM",IF(((BW110/BO110-1)*100)&lt;-50,"NM",(BW110/BO110-1)*100)))</f>
        <v>3.4553261091801124</v>
      </c>
      <c r="BY110" s="199">
        <f>SUM(BY107:BY109)</f>
        <v>302.89999999999998</v>
      </c>
      <c r="BZ110" s="81">
        <f>IF(ISERROR((BY110/BQ110-1)*100),"NA",IF(((BY110/BQ110-1)*100)&gt;100,"NM",IF(((BY110/BQ110-1)*100)&lt;-50,"NM",(BY110/BQ110-1)*100)))</f>
        <v>-39.912715731005754</v>
      </c>
      <c r="CA110" s="199">
        <f>SUM(CA107:CA109)</f>
        <v>307.39999999999998</v>
      </c>
      <c r="CB110" s="81">
        <f>IF(ISERROR((CA110/BS110-1)*100),"NA",IF(((CA110/BS110-1)*100)&gt;100,"NM",IF(((CA110/BS110-1)*100)&lt;-50,"NM",(CA110/BS110-1)*100)))</f>
        <v>-39.595205344861469</v>
      </c>
      <c r="CC110" s="199">
        <f>SUM(CC107:CC109)</f>
        <v>304.5</v>
      </c>
      <c r="CD110" s="81">
        <f>IF(ISERROR((CC110/BU110-1)*100),"NA",IF(((CC110/BU110-1)*100)&gt;100,"NM",IF(((CC110/BU110-1)*100)&lt;-50,"NM",(CC110/BU110-1)*100)))</f>
        <v>-39.619274241522895</v>
      </c>
      <c r="CE110" s="199">
        <f>SUM(CE107:CE109)</f>
        <v>304.90000000000003</v>
      </c>
      <c r="CF110" s="81">
        <f>IF(ISERROR((CE110/BW110-1)*100),"NA",IF(((CE110/BW110-1)*100)&gt;100,"NM",IF(((CE110/BW110-1)*100)&lt;-50,"NM",(CE110/BW110-1)*100)))</f>
        <v>-39.743083003952549</v>
      </c>
      <c r="CG110" s="199">
        <f>SUM(CG107:CG109)</f>
        <v>320.40000000000003</v>
      </c>
      <c r="CH110" s="81">
        <f>IF(ISERROR((CG110/BY110-1)*100),"NA",IF(((CG110/BY110-1)*100)&gt;100,"NM",IF(((CG110/BY110-1)*100)&lt;-50,"NM",(CG110/BY110-1)*100)))</f>
        <v>5.7774843182568647</v>
      </c>
      <c r="CI110" s="199">
        <f>SUM(CI107:CI109)</f>
        <v>320</v>
      </c>
      <c r="CJ110" s="81">
        <f>IF(ISERROR((CI110/CA110-1)*100),"NA",IF(((CI110/CA110-1)*100)&gt;100,"NM",IF(((CI110/CA110-1)*100)&lt;-50,"NM",(CI110/CA110-1)*100)))</f>
        <v>4.0988939492518028</v>
      </c>
      <c r="CK110" s="199">
        <f>SUM(CK107:CK109)</f>
        <v>320.3</v>
      </c>
      <c r="CL110" s="81">
        <f>IF(ISERROR((CK110/CC110-1)*100),"NA",IF(((CK110/CC110-1)*100)&gt;100,"NM",IF(((CK110/CC110-1)*100)&lt;-50,"NM",(CK110/CC110-1)*100)))</f>
        <v>5.1888341543514072</v>
      </c>
      <c r="CM110" s="199">
        <f>SUM(CM107:CM109)</f>
        <v>324.89999999999998</v>
      </c>
      <c r="CN110" s="81">
        <f>IF(ISERROR((CM110/CE110-1)*100),"NA",IF(((CM110/CE110-1)*100)&gt;100,"NM",IF(((CM110/CE110-1)*100)&lt;-50,"NM",(CM110/CE110-1)*100)))</f>
        <v>6.5595277140045649</v>
      </c>
      <c r="CO110" s="500">
        <f>SUM(CO107:CO109)</f>
        <v>340.3</v>
      </c>
      <c r="CP110" s="81">
        <f>IF(ISERROR((CO110/CG110-1)*100),"NA",IF(((CO110/CG110-1)*100)&gt;100,"NM",IF(((CO110/CG110-1)*100)&lt;-50,"NM",(CO110/CG110-1)*100)))</f>
        <v>6.2109862671660299</v>
      </c>
      <c r="CQ110" s="199">
        <f>SUM(CQ107:CQ109)</f>
        <v>340</v>
      </c>
      <c r="CR110" s="81">
        <f>IF(ISERROR((CQ110/CI110-1)*100),"NA",IF(((CQ110/CI110-1)*100)&gt;100,"NM",IF(((CQ110/CI110-1)*100)&lt;-50,"NM",(CQ110/CI110-1)*100)))</f>
        <v>6.25</v>
      </c>
      <c r="CS110" s="199">
        <f>SUM(CS107:CS109)</f>
        <v>337.7</v>
      </c>
      <c r="CT110" s="81">
        <f>IF(ISERROR((CS110/CK110-1)*100),"NA",IF(((CS110/CK110-1)*100)&gt;100,"NM",IF(((CS110/CK110-1)*100)&lt;-50,"NM",(CS110/CK110-1)*100)))</f>
        <v>5.4324071183265543</v>
      </c>
      <c r="CU110" s="199">
        <f>SUM(CU107:CU109)</f>
        <v>343.09999999999997</v>
      </c>
      <c r="CV110" s="81">
        <f>IF(ISERROR((CU110/CM110-1)*100),"NA",IF(((CU110/CM110-1)*100)&gt;100,"NM",IF(((CU110/CM110-1)*100)&lt;-50,"NM",(CU110/CM110-1)*100)))</f>
        <v>5.6017236072637644</v>
      </c>
      <c r="CW110" s="199">
        <f>SUM(CW107:CW109)</f>
        <v>348.49999999999994</v>
      </c>
      <c r="CX110" s="81">
        <f>IF(ISERROR((CW110/CO110-1)*100),"NA",IF(((CW110/CO110-1)*100)&gt;100,"NM",IF(((CW110/CO110-1)*100)&lt;-50,"NM",(CW110/CO110-1)*100)))</f>
        <v>2.409638554216853</v>
      </c>
      <c r="CY110" s="199">
        <f>SUM(CY107:CY109)</f>
        <v>340.40000000000003</v>
      </c>
      <c r="CZ110" s="81">
        <f>IF(ISERROR((CY110/CQ110-1)*100),"NA",IF(((CY110/CQ110-1)*100)&gt;100,"NM",IF(((CY110/CQ110-1)*100)&lt;-50,"NM",(CY110/CQ110-1)*100)))</f>
        <v>0.11764705882353343</v>
      </c>
      <c r="DA110" s="199">
        <f>SUM(DA107:DA109)</f>
        <v>339.09999999999997</v>
      </c>
      <c r="DB110" s="81">
        <f>IF(ISERROR((DA110/CS110-1)*100),"NA",IF(((DA110/CS110-1)*100)&gt;100,"NM",IF(((DA110/CS110-1)*100)&lt;-50,"NM",(DA110/CS110-1)*100)))</f>
        <v>0.41456914421083013</v>
      </c>
      <c r="DC110" s="199">
        <f>SUM(DC107:DC109)</f>
        <v>343.9</v>
      </c>
      <c r="DD110" s="81">
        <f>IF(ISERROR((DC110/CU110-1)*100),"NA",IF(((DC110/CU110-1)*100)&gt;100,"NM",IF(((DC110/CU110-1)*100)&lt;-50,"NM",(DC110/CU110-1)*100)))</f>
        <v>0.23316817254444011</v>
      </c>
      <c r="DE110" s="199">
        <f>SUM(DE107:DE109)</f>
        <v>357.4</v>
      </c>
      <c r="DF110" s="81">
        <f>IF(ISERROR((DE110/CW110-1)*100),"NA",IF(((DE110/CW110-1)*100)&gt;100,"NM",IF(((DE110/CW110-1)*100)&lt;-50,"NM",(DE110/CW110-1)*100)))</f>
        <v>2.5538020086083302</v>
      </c>
      <c r="DG110" s="199">
        <f>SUM(DG107:DG109)</f>
        <v>353.9</v>
      </c>
      <c r="DH110" s="81">
        <f>IF(ISERROR((DG110/CY110-1)*100),"NA",IF(((DG110/CY110-1)*100)&gt;100,"NM",IF(((DG110/CY110-1)*100)&lt;-50,"NM",(DG110/CY110-1)*100)))</f>
        <v>3.9659224441833008</v>
      </c>
      <c r="DI110" s="199">
        <f>SUM(DI107:DI109)</f>
        <v>351.09999999999997</v>
      </c>
      <c r="DJ110" s="81">
        <f>IF(ISERROR((DI110/DA110-1)*100),"NA",IF(((DI110/DA110-1)*100)&gt;100,"NM",IF(((DI110/DA110-1)*100)&lt;-50,"NM",(DI110/DA110-1)*100)))</f>
        <v>3.5387791212031949</v>
      </c>
      <c r="DK110" s="199">
        <f>SUM(DK107:DK109)</f>
        <v>355</v>
      </c>
      <c r="DL110" s="81">
        <f>IF(ISERROR((DK110/DC110-1)*100),"NA",IF(((DK110/DC110-1)*100)&gt;100,"NM",IF(((DK110/DC110-1)*100)&lt;-50,"NM",(DK110/DC110-1)*100)))</f>
        <v>3.2276824658330927</v>
      </c>
      <c r="DM110" s="199">
        <f>SUM(DM107:DM109)</f>
        <v>373.1</v>
      </c>
      <c r="DN110" s="81">
        <f>IF(ISERROR((DM110/DE110-1)*100),"NA",IF(((DM110/DE110-1)*100)&gt;100,"NM",IF(((DM110/DE110-1)*100)&lt;-50,"NM",(DM110/DE110-1)*100)))</f>
        <v>4.3928371572467872</v>
      </c>
      <c r="DO110" s="199">
        <f>SUM(DO107:DO109)</f>
        <v>368.7</v>
      </c>
      <c r="DP110" s="81">
        <f>IF(ISERROR((DO110/DG110-1)*100),"NA",IF(((DO110/DG110-1)*100)&gt;100,"NM",IF(((DO110/DG110-1)*100)&lt;-50,"NM",(DO110/DG110-1)*100)))</f>
        <v>4.1819723085617433</v>
      </c>
      <c r="DQ110" s="199">
        <f>SUM(DQ107:DQ109)</f>
        <v>369.59999999999997</v>
      </c>
      <c r="DR110" s="81">
        <f>IF(ISERROR((DQ110/DI110-1)*100),"NA",IF(((DQ110/DI110-1)*100)&gt;100,"NM",IF(((DQ110/DI110-1)*100)&lt;-50,"NM",(DQ110/DI110-1)*100)))</f>
        <v>5.2691540871546483</v>
      </c>
      <c r="DS110" s="199">
        <f>SUM(DS107:DS109)</f>
        <v>375.3</v>
      </c>
      <c r="DT110" s="81">
        <f>IF(ISERROR((DS110/DK110-1)*100),"NA",IF(((DS110/DK110-1)*100)&gt;100,"NM",IF(((DS110/DK110-1)*100)&lt;-50,"NM",(DS110/DK110-1)*100)))</f>
        <v>5.7183098591549353</v>
      </c>
      <c r="DU110" s="199">
        <f>SUM(DU107:DU109)</f>
        <v>390.30000000000007</v>
      </c>
      <c r="DV110" s="81">
        <f>IF(ISERROR((DU110/DM110-1)*100),"NA",IF(((DU110/DM110-1)*100)&gt;100,"NM",IF(((DU110/DM110-1)*100)&lt;-50,"NM",(DU110/DM110-1)*100)))</f>
        <v>4.6100241222192473</v>
      </c>
      <c r="DW110" s="199">
        <f>SUM(DW107:DW109)</f>
        <v>389.9</v>
      </c>
      <c r="DX110" s="81">
        <f>IF(ISERROR((DW110/DO110-1)*100),"NA",IF(((DW110/DO110-1)*100)&gt;100,"NM",IF(((DW110/DO110-1)*100)&lt;-50,"NM",(DW110/DO110-1)*100)))</f>
        <v>5.749932194195817</v>
      </c>
      <c r="DY110" s="199">
        <f>SUM(DY107:DY109)</f>
        <v>406.6</v>
      </c>
      <c r="DZ110" s="81">
        <f>IF(ISERROR((DY110/DQ110-1)*100),"NA",IF(((DY110/DQ110-1)*100)&gt;100,"NM",IF(((DY110/DQ110-1)*100)&lt;-50,"NM",(DY110/DQ110-1)*100)))</f>
        <v>10.010822510822525</v>
      </c>
      <c r="EA110" s="199">
        <f>SUM(EA107:EA109)</f>
        <v>404.6</v>
      </c>
      <c r="EB110" s="81">
        <f>IF(ISERROR((EA110/DS110-1)*100),"NA",IF(((EA110/DS110-1)*100)&gt;100,"NM",IF(((EA110/DS110-1)*100)&lt;-50,"NM",(EA110/DS110-1)*100)))</f>
        <v>7.8070876632027719</v>
      </c>
      <c r="EC110" s="199">
        <f>SUM(EC107:EC109)</f>
        <v>426.79999999999995</v>
      </c>
      <c r="ED110" s="81">
        <f t="shared" si="395"/>
        <v>9.3517806815269999</v>
      </c>
      <c r="EE110" s="199">
        <f t="shared" ref="EE110:EG110" si="408">SUM(EE107:EE109)</f>
        <v>424.1</v>
      </c>
      <c r="EF110" s="81">
        <f t="shared" si="396"/>
        <v>8.7714798666324931</v>
      </c>
      <c r="EG110" s="199">
        <f t="shared" si="408"/>
        <v>418.7</v>
      </c>
      <c r="EH110" s="81">
        <f t="shared" si="397"/>
        <v>2.9758976881455901</v>
      </c>
      <c r="EI110" s="199">
        <f t="shared" ref="EI110" si="409">SUM(EI107:EI109)</f>
        <v>420.4</v>
      </c>
      <c r="EJ110" s="81">
        <f t="shared" si="398"/>
        <v>3.9050914483440335</v>
      </c>
      <c r="EK110" s="199">
        <f t="shared" ref="EK110:EQ110" si="410">SUM(EK107:EK109)</f>
        <v>427.47719999999998</v>
      </c>
      <c r="EL110" s="81">
        <f t="shared" si="399"/>
        <v>0.15866916588567204</v>
      </c>
      <c r="EM110" s="199">
        <f t="shared" si="410"/>
        <v>434.6769256</v>
      </c>
      <c r="EN110" s="81">
        <f t="shared" si="400"/>
        <v>2.4939697241216585</v>
      </c>
      <c r="EO110" s="199">
        <f t="shared" si="410"/>
        <v>442.00133434079999</v>
      </c>
      <c r="EP110" s="81">
        <f t="shared" si="401"/>
        <v>5.5651622500119347</v>
      </c>
      <c r="EQ110" s="199">
        <f t="shared" si="410"/>
        <v>448.00520951091198</v>
      </c>
      <c r="ER110" s="81">
        <f t="shared" si="402"/>
        <v>6.5664152024053291</v>
      </c>
      <c r="ES110" s="138"/>
      <c r="ET110" s="470"/>
      <c r="EU110" s="138"/>
      <c r="EV110" s="139"/>
      <c r="EW110" s="140"/>
      <c r="EX110" s="139"/>
      <c r="EY110" s="79"/>
      <c r="EZ110" s="141"/>
      <c r="FA110" s="79"/>
      <c r="FB110" s="142"/>
      <c r="FC110" s="79"/>
      <c r="FD110" s="142">
        <f>SUM(FD107:FD109)</f>
        <v>1087.0999999999999</v>
      </c>
      <c r="FE110" s="79" t="str">
        <f>IF(ISERROR((FD110/FB110-1)*100),"NA",IF(((FD110/FB110-1)*100)&gt;100,"NM",IF(((FD110/FB110-1)*100)&lt;-50,"NM",(FD110/FB110-1)*100)))</f>
        <v>NA</v>
      </c>
      <c r="FF110" s="142">
        <f>SUM(FF107:FF109)</f>
        <v>1290.4000000000001</v>
      </c>
      <c r="FG110" s="79">
        <f>IF(ISERROR((FF110/FD110-1)*100),"NA",IF(((FF110/FD110-1)*100)&gt;100,"NM",IF(((FF110/FD110-1)*100)&lt;-50,"NM",(FF110/FD110-1)*100)))</f>
        <v>18.701131450648532</v>
      </c>
      <c r="FH110" s="142">
        <f>SUM(FH107:FH109)</f>
        <v>1396.3999999999999</v>
      </c>
      <c r="FI110" s="79">
        <f>IF(ISERROR((FH110/FF110-1)*100),"NA",IF(((FH110/FF110-1)*100)&gt;100,"NM",IF(((FH110/FF110-1)*100)&lt;-50,"NM",(FH110/FF110-1)*100)))</f>
        <v>8.2145071295722119</v>
      </c>
      <c r="FJ110" s="142">
        <f>SUM(FJ107:FJ109)</f>
        <v>1504.8</v>
      </c>
      <c r="FK110" s="79">
        <f>IF(ISERROR((FJ110/FH110-1)*100),"NA",IF(((FJ110/FH110-1)*100)&gt;100,"NM",IF(((FJ110/FH110-1)*100)&lt;-50,"NM",(FJ110/FH110-1)*100)))</f>
        <v>7.7628186765969609</v>
      </c>
      <c r="FL110" s="199">
        <f>SUM(FL107:FL109)</f>
        <v>1638.9000000000003</v>
      </c>
      <c r="FM110" s="79">
        <f>IF(ISERROR((FL110/FJ110-1)*100),"NA",IF(((FL110/FJ110-1)*100)&gt;100,"NM",IF(((FL110/FJ110-1)*100)&lt;-50,"NM",(FL110/FJ110-1)*100)))</f>
        <v>8.911483253588548</v>
      </c>
      <c r="FN110" s="199">
        <f>SUM(FN107:FN109)</f>
        <v>1757.7999999999997</v>
      </c>
      <c r="FO110" s="79">
        <f>IF(ISERROR((FN110/FL110-1)*100),"NA",IF(((FN110/FL110-1)*100)&gt;100,"NM",IF(((FN110/FL110-1)*100)&lt;-50,"NM",(FN110/FL110-1)*100)))</f>
        <v>7.2548660687045796</v>
      </c>
      <c r="FP110" s="199">
        <f>SUM(FP107:FP109)</f>
        <v>1908.3</v>
      </c>
      <c r="FQ110" s="79">
        <f>IF(ISERROR((FP110/FN110-1)*100),"NA",IF(((FP110/FN110-1)*100)&gt;100,"NM",IF(((FP110/FN110-1)*100)&lt;-50,"NM",(FP110/FN110-1)*100)))</f>
        <v>8.5618386619638276</v>
      </c>
      <c r="FR110" s="199">
        <f>SUM(FR107:FR109)</f>
        <v>1162.5</v>
      </c>
      <c r="FS110" s="79">
        <f>IF(ISERROR((FR110/FP110-1)*100),"NA",IF(((FR110/FP110-1)*100)&gt;100,"NM",IF(((FR110/FP110-1)*100)&lt;-50,"NM",(FR110/FP110-1)*100)))</f>
        <v>-39.081905360792327</v>
      </c>
      <c r="FT110" s="199">
        <f>SUM(FT107:FT109)</f>
        <v>1219.7</v>
      </c>
      <c r="FU110" s="79">
        <f>IF(ISERROR((FT110/FR110-1)*100),"NA",IF(((FT110/FR110-1)*100)&gt;100,"NM",IF(((FT110/FR110-1)*100)&lt;-50,"NM",(FT110/FR110-1)*100)))</f>
        <v>4.9204301075268964</v>
      </c>
      <c r="FV110" s="199">
        <f>SUM(FV107:FV109)</f>
        <v>1285.5999999999999</v>
      </c>
      <c r="FW110" s="79">
        <f>IF(ISERROR((FV110/FT110-1)*100),"NA",IF(((FV110/FT110-1)*100)&gt;100,"NM",IF(((FV110/FT110-1)*100)&lt;-50,"NM",(FV110/FT110-1)*100)))</f>
        <v>5.4029679429367761</v>
      </c>
      <c r="FX110" s="199">
        <f>SUM(FX107:FX109)</f>
        <v>1359.6</v>
      </c>
      <c r="FY110" s="79">
        <f>IF(ISERROR((FX110/FV110-1)*100),"NA",IF(((FX110/FV110-1)*100)&gt;100,"NM",IF(((FX110/FV110-1)*100)&lt;-50,"NM",(FX110/FV110-1)*100)))</f>
        <v>5.7560672059738582</v>
      </c>
      <c r="FZ110" s="199">
        <f>SUM(FZ107:FZ109)</f>
        <v>1371.9</v>
      </c>
      <c r="GA110" s="79">
        <f>IF(ISERROR((FZ110/FX110-1)*100),"NA",IF(((FZ110/FX110-1)*100)&gt;100,"NM",IF(((FZ110/FX110-1)*100)&lt;-50,"NM",(FZ110/FX110-1)*100)))</f>
        <v>0.90467784642542792</v>
      </c>
      <c r="GB110" s="199">
        <f>SUM(GB107:GB109)</f>
        <v>1417.3999999999999</v>
      </c>
      <c r="GC110" s="79">
        <f>IF(ISERROR((GB110/FZ110-1)*100),"NA",IF(((GB110/FZ110-1)*100)&gt;100,"NM",IF(((GB110/FZ110-1)*100)&lt;-50,"NM",(GB110/FZ110-1)*100)))</f>
        <v>3.3165682629929139</v>
      </c>
      <c r="GD110" s="199">
        <f>SUM(GD107:GD109)</f>
        <v>1486.7000000000003</v>
      </c>
      <c r="GE110" s="79">
        <f>IF(ISERROR((GD110/GB110-1)*100),"NA",IF(((GD110/GB110-1)*100)&gt;100,"NM",IF(((GD110/GB110-1)*100)&lt;-50,"NM",(GD110/GB110-1)*100)))</f>
        <v>4.8892338083815767</v>
      </c>
      <c r="GF110" s="199">
        <f>SUM(GF107:GF109)</f>
        <v>1591.4</v>
      </c>
      <c r="GG110" s="79">
        <f>IF(ISERROR((GF110/GD110-1)*100),"NA",IF(((GF110/GD110-1)*100)&gt;100,"NM",IF(((GF110/GD110-1)*100)&lt;-50,"NM",(GF110/GD110-1)*100)))</f>
        <v>7.0424429945516787</v>
      </c>
      <c r="GH110" s="199">
        <f>SUM(GH107:GH109)</f>
        <v>1689.9999999999998</v>
      </c>
      <c r="GI110" s="79">
        <f>IF(ISERROR((GH110/GF110-1)*100),"NA",IF(((GH110/GF110-1)*100)&gt;100,"NM",IF(((GH110/GF110-1)*100)&lt;-50,"NM",(GH110/GF110-1)*100)))</f>
        <v>6.1958024381048027</v>
      </c>
      <c r="GJ110" s="199">
        <f>SUM(GJ107:GJ109)</f>
        <v>1752.1606694517118</v>
      </c>
      <c r="GK110" s="79">
        <f>IF(ISERROR((GJ110/GH110-1)*100),"NA",IF(((GJ110/GH110-1)*100)&gt;100,"NM",IF(((GJ110/GH110-1)*100)&lt;-50,"NM",(GJ110/GH110-1)*100)))</f>
        <v>3.6781461214030697</v>
      </c>
      <c r="GL110" s="199">
        <f>SUM(GL107:GL109)</f>
        <v>1834.7144196991273</v>
      </c>
      <c r="GM110" s="79">
        <f>IF(ISERROR((GL110/GJ110-1)*100),"NA",IF(((GL110/GJ110-1)*100)&gt;100,"NM",IF(((GL110/GJ110-1)*100)&lt;-50,"NM",(GL110/GJ110-1)*100)))</f>
        <v>4.7115399681496362</v>
      </c>
      <c r="GN110" s="199">
        <f>SUM(GN107:GN109)</f>
        <v>1921.244228962159</v>
      </c>
      <c r="GO110" s="79">
        <f>IF(ISERROR((GN110/GL110-1)*100),"NA",IF(((GN110/GL110-1)*100)&gt;100,"NM",IF(((GN110/GL110-1)*100)&lt;-50,"NM",(GN110/GL110-1)*100)))</f>
        <v>4.7162549295939771</v>
      </c>
      <c r="GP110" s="199">
        <f>SUM(GP107:GP109)</f>
        <v>2011.9443513366841</v>
      </c>
      <c r="GQ110" s="79">
        <f>IF(ISERROR((GP110/GN110-1)*100),"NA",IF(((GP110/GN110-1)*100)&gt;100,"NM",IF(((GP110/GN110-1)*100)&lt;-50,"NM",(GP110/GN110-1)*100)))</f>
        <v>4.7209053907488085</v>
      </c>
      <c r="GR110" s="199">
        <f>SUM(GR107:GR109)</f>
        <v>2107.0186171577279</v>
      </c>
      <c r="GS110" s="79">
        <f>IF(ISERROR((GR110/GP110-1)*100),"NA",IF(((GR110/GP110-1)*100)&gt;100,"NM",IF(((GR110/GP110-1)*100)&lt;-50,"NM",(GR110/GP110-1)*100)))</f>
        <v>4.725491823761363</v>
      </c>
      <c r="GT110" s="79">
        <f>IF(ISERROR(((GR110/GH110)^0.2-1)*100),"NA",(IF(OR(((GR110/GH110)^0.2-1)*100&gt;99,((GR110/GH110)^0.2-1)*100&lt;-50),"NM",(((GR110/GH110)^0.2-1)*100))))</f>
        <v>4.509635649862731</v>
      </c>
      <c r="GU110" s="562"/>
      <c r="GV110" s="562"/>
      <c r="GW110"/>
      <c r="GX110"/>
      <c r="GY110"/>
      <c r="GZ110"/>
      <c r="HA110"/>
      <c r="HB110"/>
      <c r="HC110" s="562"/>
      <c r="HD110" s="562"/>
      <c r="HE110" s="562"/>
      <c r="HF110" s="562"/>
      <c r="HG110" s="562"/>
      <c r="HH110" s="562"/>
      <c r="HI110" s="562"/>
      <c r="HJ110" s="562"/>
      <c r="HK110" s="562"/>
      <c r="HL110" s="562"/>
      <c r="HM110" s="562"/>
      <c r="HN110" s="562"/>
      <c r="HO110" s="562"/>
      <c r="HP110" s="562"/>
      <c r="HQ110" s="562"/>
      <c r="HR110" s="562"/>
      <c r="HS110" s="562"/>
      <c r="HT110" s="562"/>
      <c r="HU110" s="562"/>
      <c r="HV110" s="562"/>
      <c r="HW110" s="562"/>
      <c r="HX110" s="562"/>
      <c r="HY110" s="562"/>
      <c r="HZ110" s="562"/>
      <c r="IA110" s="562"/>
      <c r="IB110" s="562"/>
      <c r="IC110" s="562"/>
      <c r="ID110" s="562"/>
      <c r="IE110" s="562"/>
      <c r="IF110" s="562"/>
      <c r="IG110" s="562"/>
      <c r="IH110" s="562"/>
      <c r="II110" s="562"/>
      <c r="IJ110" s="562"/>
      <c r="IK110" s="562"/>
      <c r="IL110" s="562"/>
      <c r="IM110" s="562"/>
      <c r="IN110" s="562"/>
      <c r="IO110" s="562"/>
      <c r="IP110" s="562"/>
      <c r="IQ110" s="562"/>
      <c r="IR110" s="562"/>
      <c r="IS110" s="562"/>
      <c r="IT110" s="562"/>
      <c r="IU110" s="562"/>
      <c r="IV110" s="562"/>
      <c r="IW110" s="562"/>
      <c r="IX110" s="562"/>
      <c r="IY110" s="562"/>
      <c r="IZ110" s="562"/>
      <c r="JA110" s="562"/>
      <c r="JB110" s="562"/>
      <c r="JC110" s="562"/>
      <c r="JD110" s="562"/>
      <c r="JE110" s="562"/>
      <c r="JF110" s="562"/>
      <c r="JG110" s="562"/>
      <c r="JH110" s="562"/>
      <c r="JI110" s="562"/>
      <c r="JJ110" s="562"/>
      <c r="JK110" s="562"/>
      <c r="JL110" s="562"/>
      <c r="JM110" s="562"/>
      <c r="JN110" s="562"/>
      <c r="JO110" s="562"/>
      <c r="JP110" s="562"/>
      <c r="JQ110" s="562"/>
      <c r="JR110" s="562"/>
      <c r="JS110" s="562"/>
      <c r="JT110" s="562"/>
      <c r="JU110" s="562"/>
      <c r="JV110" s="562"/>
      <c r="JW110" s="562"/>
      <c r="JX110" s="562"/>
      <c r="JY110" s="562"/>
      <c r="JZ110" s="562"/>
    </row>
    <row r="111" spans="1:286" s="132" customFormat="1" ht="12.75" customHeight="1" x14ac:dyDescent="0.2">
      <c r="A111" s="133"/>
      <c r="B111" s="10"/>
      <c r="C111" s="95"/>
      <c r="D111" s="95"/>
      <c r="E111" s="93"/>
      <c r="F111" s="93"/>
      <c r="G111" s="93"/>
      <c r="H111" s="93"/>
      <c r="I111" s="93"/>
      <c r="J111" s="93"/>
      <c r="K111" s="93"/>
      <c r="L111" s="79"/>
      <c r="M111" s="93"/>
      <c r="N111" s="79"/>
      <c r="O111" s="93"/>
      <c r="P111" s="79"/>
      <c r="Q111" s="93"/>
      <c r="R111" s="79"/>
      <c r="S111" s="93"/>
      <c r="T111" s="79"/>
      <c r="U111" s="93"/>
      <c r="V111" s="79"/>
      <c r="W111" s="93"/>
      <c r="X111" s="79"/>
      <c r="Y111" s="93"/>
      <c r="Z111" s="79"/>
      <c r="AA111" s="94"/>
      <c r="AB111" s="79"/>
      <c r="AC111" s="93"/>
      <c r="AD111" s="79"/>
      <c r="AE111" s="93"/>
      <c r="AF111" s="79"/>
      <c r="AG111" s="93"/>
      <c r="AH111" s="79"/>
      <c r="AI111" s="93"/>
      <c r="AJ111" s="79"/>
      <c r="AK111" s="93"/>
      <c r="AL111" s="79"/>
      <c r="AM111" s="93"/>
      <c r="AN111" s="79"/>
      <c r="AO111" s="93"/>
      <c r="AP111" s="79"/>
      <c r="AQ111" s="93"/>
      <c r="AR111" s="79"/>
      <c r="AS111" s="93"/>
      <c r="AT111" s="81"/>
      <c r="AU111" s="93"/>
      <c r="AV111" s="81"/>
      <c r="AW111" s="93"/>
      <c r="AX111" s="81"/>
      <c r="AY111" s="93"/>
      <c r="AZ111" s="81"/>
      <c r="BA111" s="93"/>
      <c r="BB111" s="81"/>
      <c r="BC111" s="93"/>
      <c r="BD111" s="81"/>
      <c r="BE111" s="93"/>
      <c r="BF111" s="81"/>
      <c r="BG111" s="93"/>
      <c r="BH111" s="81"/>
      <c r="BI111" s="93"/>
      <c r="BJ111" s="81"/>
      <c r="BK111" s="93"/>
      <c r="BL111" s="81"/>
      <c r="BM111" s="93"/>
      <c r="BN111" s="81"/>
      <c r="BO111" s="93"/>
      <c r="BP111" s="81"/>
      <c r="BQ111" s="93"/>
      <c r="BR111" s="81"/>
      <c r="BS111" s="93"/>
      <c r="BT111" s="81"/>
      <c r="BU111" s="93"/>
      <c r="BV111" s="81"/>
      <c r="BW111" s="93"/>
      <c r="BX111" s="81"/>
      <c r="BY111" s="93"/>
      <c r="BZ111" s="81"/>
      <c r="CA111" s="93"/>
      <c r="CB111" s="81"/>
      <c r="CC111" s="93"/>
      <c r="CD111" s="81"/>
      <c r="CE111" s="93"/>
      <c r="CF111" s="81"/>
      <c r="CG111" s="93"/>
      <c r="CH111" s="81"/>
      <c r="CI111" s="93"/>
      <c r="CJ111" s="81"/>
      <c r="CK111" s="93"/>
      <c r="CL111" s="81"/>
      <c r="CM111" s="93"/>
      <c r="CN111" s="81"/>
      <c r="CO111" s="93"/>
      <c r="CP111" s="81"/>
      <c r="CQ111" s="93"/>
      <c r="CR111" s="81"/>
      <c r="CS111" s="93"/>
      <c r="CT111" s="81"/>
      <c r="CU111" s="93"/>
      <c r="CV111" s="81"/>
      <c r="CW111" s="93"/>
      <c r="CX111" s="81"/>
      <c r="CY111" s="93"/>
      <c r="CZ111" s="81"/>
      <c r="DA111" s="93"/>
      <c r="DB111" s="81"/>
      <c r="DC111" s="93"/>
      <c r="DD111" s="81"/>
      <c r="DE111" s="93"/>
      <c r="DF111" s="81"/>
      <c r="DG111" s="93"/>
      <c r="DH111" s="81"/>
      <c r="DI111" s="93"/>
      <c r="DJ111" s="81"/>
      <c r="DK111" s="93"/>
      <c r="DL111" s="81"/>
      <c r="DM111" s="93"/>
      <c r="DN111" s="81"/>
      <c r="DO111" s="93"/>
      <c r="DP111" s="81"/>
      <c r="DQ111" s="93"/>
      <c r="DR111" s="81"/>
      <c r="DS111" s="93"/>
      <c r="DT111" s="81"/>
      <c r="DU111" s="93"/>
      <c r="DV111" s="81"/>
      <c r="DW111" s="93"/>
      <c r="DX111" s="81"/>
      <c r="DY111" s="93"/>
      <c r="DZ111" s="81"/>
      <c r="EA111" s="93"/>
      <c r="EB111" s="81"/>
      <c r="EC111" s="93"/>
      <c r="ED111" s="81"/>
      <c r="EE111" s="93"/>
      <c r="EF111" s="81"/>
      <c r="EG111" s="93"/>
      <c r="EH111" s="81"/>
      <c r="EI111" s="93"/>
      <c r="EJ111" s="81"/>
      <c r="EK111" s="93"/>
      <c r="EL111" s="81"/>
      <c r="EM111" s="93"/>
      <c r="EN111" s="81"/>
      <c r="EO111" s="93"/>
      <c r="EP111" s="81"/>
      <c r="EQ111" s="93"/>
      <c r="ER111" s="81"/>
      <c r="ES111" s="129"/>
      <c r="ET111" s="469"/>
      <c r="EU111" s="129"/>
      <c r="EV111" s="95"/>
      <c r="EW111" s="79"/>
      <c r="EX111" s="95"/>
      <c r="EY111" s="79"/>
      <c r="EZ111" s="131"/>
      <c r="FA111" s="79"/>
      <c r="FB111" s="145"/>
      <c r="FC111" s="79"/>
      <c r="FD111" s="145"/>
      <c r="FE111" s="79"/>
      <c r="FF111" s="145"/>
      <c r="FG111" s="79"/>
      <c r="FH111" s="145"/>
      <c r="FI111" s="79"/>
      <c r="FJ111" s="145"/>
      <c r="FK111" s="79"/>
      <c r="FL111" s="95"/>
      <c r="FM111" s="79"/>
      <c r="FN111" s="95"/>
      <c r="FO111" s="79"/>
      <c r="FP111" s="95"/>
      <c r="FQ111" s="79"/>
      <c r="FR111" s="93"/>
      <c r="FS111" s="79"/>
      <c r="FT111" s="93"/>
      <c r="FU111" s="79"/>
      <c r="FV111" s="93"/>
      <c r="FW111" s="79"/>
      <c r="FX111" s="93"/>
      <c r="FY111" s="79"/>
      <c r="FZ111" s="93"/>
      <c r="GA111" s="79"/>
      <c r="GB111" s="93"/>
      <c r="GC111" s="79"/>
      <c r="GD111" s="93"/>
      <c r="GE111" s="79"/>
      <c r="GF111" s="93"/>
      <c r="GG111" s="79"/>
      <c r="GH111" s="93"/>
      <c r="GI111" s="79"/>
      <c r="GJ111" s="93"/>
      <c r="GK111" s="79"/>
      <c r="GL111" s="93"/>
      <c r="GM111" s="79"/>
      <c r="GN111" s="93"/>
      <c r="GO111" s="79"/>
      <c r="GP111" s="93"/>
      <c r="GQ111" s="79"/>
      <c r="GR111" s="93"/>
      <c r="GS111" s="79"/>
      <c r="GT111" s="79"/>
      <c r="GU111" s="562"/>
      <c r="GV111" s="562"/>
      <c r="GW111"/>
      <c r="GX111"/>
      <c r="GY111"/>
      <c r="GZ111"/>
      <c r="HA111"/>
      <c r="HB111"/>
      <c r="HC111" s="562"/>
      <c r="HD111" s="562"/>
      <c r="HE111" s="562"/>
      <c r="HF111" s="562"/>
      <c r="HG111" s="562"/>
      <c r="HH111" s="562"/>
      <c r="HI111" s="562"/>
      <c r="HJ111" s="562"/>
      <c r="HK111" s="562"/>
      <c r="HL111" s="562"/>
      <c r="HM111" s="562"/>
      <c r="HN111" s="562"/>
      <c r="HO111" s="562"/>
      <c r="HP111" s="562"/>
      <c r="HQ111" s="562"/>
      <c r="HR111" s="562"/>
      <c r="HS111" s="562"/>
      <c r="HT111" s="562"/>
      <c r="HU111" s="562"/>
      <c r="HV111" s="562"/>
      <c r="HW111" s="562"/>
      <c r="HX111" s="562"/>
      <c r="HY111" s="562"/>
      <c r="HZ111" s="562"/>
      <c r="IA111" s="562"/>
      <c r="IB111" s="562"/>
      <c r="IC111" s="562"/>
      <c r="ID111" s="562"/>
      <c r="IE111" s="562"/>
      <c r="IF111" s="562"/>
      <c r="IG111" s="562"/>
      <c r="IH111" s="562"/>
      <c r="II111" s="562"/>
      <c r="IJ111" s="562"/>
      <c r="IK111" s="562"/>
      <c r="IL111" s="562"/>
      <c r="IM111" s="562"/>
      <c r="IN111" s="562"/>
      <c r="IO111" s="562"/>
      <c r="IP111" s="562"/>
      <c r="IQ111" s="562"/>
      <c r="IR111" s="562"/>
      <c r="IS111" s="562"/>
      <c r="IT111" s="562"/>
      <c r="IU111" s="562"/>
      <c r="IV111" s="562"/>
      <c r="IW111" s="562"/>
      <c r="IX111" s="562"/>
      <c r="IY111" s="562"/>
      <c r="IZ111" s="562"/>
      <c r="JA111" s="562"/>
      <c r="JB111" s="562"/>
      <c r="JC111" s="562"/>
      <c r="JD111" s="562"/>
      <c r="JE111" s="562"/>
      <c r="JF111" s="562"/>
      <c r="JG111" s="562"/>
      <c r="JH111" s="562"/>
      <c r="JI111" s="562"/>
      <c r="JJ111" s="562"/>
      <c r="JK111" s="562"/>
      <c r="JL111" s="562"/>
      <c r="JM111" s="562"/>
      <c r="JN111" s="562"/>
      <c r="JO111" s="562"/>
      <c r="JP111" s="562"/>
      <c r="JQ111" s="562"/>
      <c r="JR111" s="562"/>
      <c r="JS111" s="562"/>
      <c r="JT111" s="562"/>
      <c r="JU111" s="562"/>
      <c r="JV111" s="562"/>
      <c r="JW111" s="562"/>
      <c r="JX111" s="562"/>
      <c r="JY111" s="562"/>
      <c r="JZ111" s="562"/>
    </row>
    <row r="112" spans="1:286" s="132" customFormat="1" ht="12.75" customHeight="1" x14ac:dyDescent="0.2">
      <c r="A112" s="133"/>
      <c r="B112" s="68" t="s">
        <v>451</v>
      </c>
      <c r="C112" s="79"/>
      <c r="D112" s="79"/>
      <c r="E112" s="95"/>
      <c r="F112" s="95"/>
      <c r="G112" s="95"/>
      <c r="H112" s="95"/>
      <c r="I112" s="95"/>
      <c r="J112" s="95"/>
      <c r="K112" s="95"/>
      <c r="L112" s="79"/>
      <c r="M112" s="95"/>
      <c r="N112" s="79"/>
      <c r="O112" s="95"/>
      <c r="P112" s="79"/>
      <c r="Q112" s="95"/>
      <c r="R112" s="79"/>
      <c r="S112" s="95"/>
      <c r="T112" s="79"/>
      <c r="U112" s="95"/>
      <c r="V112" s="79"/>
      <c r="W112" s="95"/>
      <c r="X112" s="79"/>
      <c r="Y112" s="95"/>
      <c r="Z112" s="79"/>
      <c r="AA112" s="126"/>
      <c r="AB112" s="79"/>
      <c r="AC112" s="95"/>
      <c r="AD112" s="79"/>
      <c r="AE112" s="95"/>
      <c r="AF112" s="79"/>
      <c r="AG112" s="95"/>
      <c r="AH112" s="79"/>
      <c r="AI112" s="95"/>
      <c r="AJ112" s="79"/>
      <c r="AK112" s="95"/>
      <c r="AL112" s="79"/>
      <c r="AM112" s="95"/>
      <c r="AN112" s="79"/>
      <c r="AO112" s="95"/>
      <c r="AP112" s="79"/>
      <c r="AQ112" s="95"/>
      <c r="AR112" s="79"/>
      <c r="AS112" s="95"/>
      <c r="AT112" s="81"/>
      <c r="AU112" s="95"/>
      <c r="AV112" s="81"/>
      <c r="AW112" s="95"/>
      <c r="AX112" s="81"/>
      <c r="AY112" s="95"/>
      <c r="AZ112" s="81"/>
      <c r="BA112" s="95"/>
      <c r="BB112" s="81"/>
      <c r="BC112" s="95"/>
      <c r="BD112" s="81"/>
      <c r="BE112" s="95"/>
      <c r="BF112" s="81"/>
      <c r="BG112" s="95"/>
      <c r="BH112" s="81"/>
      <c r="BI112" s="95"/>
      <c r="BJ112" s="81"/>
      <c r="BK112" s="95"/>
      <c r="BL112" s="81"/>
      <c r="BM112" s="95"/>
      <c r="BN112" s="81"/>
      <c r="BO112" s="95"/>
      <c r="BP112" s="81"/>
      <c r="BQ112" s="95"/>
      <c r="BR112" s="81"/>
      <c r="BS112" s="95"/>
      <c r="BT112" s="81"/>
      <c r="BU112" s="95"/>
      <c r="BV112" s="81"/>
      <c r="BW112" s="95"/>
      <c r="BX112" s="81"/>
      <c r="BY112" s="95"/>
      <c r="BZ112" s="81"/>
      <c r="CA112" s="95"/>
      <c r="CB112" s="81"/>
      <c r="CC112" s="95"/>
      <c r="CD112" s="81"/>
      <c r="CE112" s="95"/>
      <c r="CF112" s="81"/>
      <c r="CG112" s="95"/>
      <c r="CH112" s="81"/>
      <c r="CI112" s="95"/>
      <c r="CJ112" s="81"/>
      <c r="CK112" s="95"/>
      <c r="CL112" s="81"/>
      <c r="CM112" s="95"/>
      <c r="CN112" s="81"/>
      <c r="CO112" s="95"/>
      <c r="CP112" s="81"/>
      <c r="CQ112" s="95"/>
      <c r="CR112" s="81"/>
      <c r="CS112" s="95"/>
      <c r="CT112" s="81"/>
      <c r="CU112" s="95"/>
      <c r="CV112" s="81"/>
      <c r="CW112" s="95"/>
      <c r="CX112" s="81"/>
      <c r="CY112" s="95"/>
      <c r="CZ112" s="81"/>
      <c r="DA112" s="95"/>
      <c r="DB112" s="81"/>
      <c r="DC112" s="95"/>
      <c r="DD112" s="81"/>
      <c r="DE112" s="95"/>
      <c r="DF112" s="81"/>
      <c r="DG112" s="95"/>
      <c r="DH112" s="81"/>
      <c r="DI112" s="95"/>
      <c r="DJ112" s="81"/>
      <c r="DK112" s="95"/>
      <c r="DL112" s="81"/>
      <c r="DM112" s="95"/>
      <c r="DN112" s="81"/>
      <c r="DO112" s="95"/>
      <c r="DP112" s="81"/>
      <c r="DQ112" s="95"/>
      <c r="DR112" s="81"/>
      <c r="DS112" s="95"/>
      <c r="DT112" s="81"/>
      <c r="DU112" s="95"/>
      <c r="DV112" s="81"/>
      <c r="DW112" s="95"/>
      <c r="DX112" s="81"/>
      <c r="DY112" s="95"/>
      <c r="DZ112" s="81"/>
      <c r="EA112" s="95"/>
      <c r="EB112" s="81"/>
      <c r="EC112" s="95"/>
      <c r="ED112" s="81"/>
      <c r="EE112" s="95"/>
      <c r="EF112" s="81"/>
      <c r="EG112" s="95"/>
      <c r="EH112" s="81"/>
      <c r="EI112" s="95"/>
      <c r="EJ112" s="81"/>
      <c r="EK112" s="95"/>
      <c r="EL112" s="81"/>
      <c r="EM112" s="95"/>
      <c r="EN112" s="81"/>
      <c r="EO112" s="95"/>
      <c r="EP112" s="81"/>
      <c r="EQ112" s="95"/>
      <c r="ER112" s="81"/>
      <c r="ES112" s="129"/>
      <c r="ET112" s="469"/>
      <c r="EU112" s="129"/>
      <c r="EV112" s="95"/>
      <c r="EW112" s="79"/>
      <c r="EX112" s="95"/>
      <c r="EY112" s="79"/>
      <c r="EZ112" s="131"/>
      <c r="FA112" s="79"/>
      <c r="FB112" s="145"/>
      <c r="FC112" s="79"/>
      <c r="FD112" s="145"/>
      <c r="FE112" s="79"/>
      <c r="FF112" s="145"/>
      <c r="FG112" s="79"/>
      <c r="FH112" s="145"/>
      <c r="FI112" s="79"/>
      <c r="FJ112" s="145"/>
      <c r="FK112" s="79"/>
      <c r="FL112" s="95"/>
      <c r="FM112" s="79"/>
      <c r="FN112" s="95"/>
      <c r="FO112" s="79"/>
      <c r="FP112" s="95"/>
      <c r="FQ112" s="79"/>
      <c r="FR112" s="95"/>
      <c r="FS112" s="79"/>
      <c r="FT112" s="95"/>
      <c r="FU112" s="79"/>
      <c r="FV112" s="95"/>
      <c r="FW112" s="79"/>
      <c r="FX112" s="95"/>
      <c r="FY112" s="79"/>
      <c r="FZ112" s="95"/>
      <c r="GA112" s="79"/>
      <c r="GB112" s="95"/>
      <c r="GC112" s="79"/>
      <c r="GD112" s="95"/>
      <c r="GE112" s="79"/>
      <c r="GF112" s="95"/>
      <c r="GG112" s="79"/>
      <c r="GH112" s="95"/>
      <c r="GI112" s="79"/>
      <c r="GJ112" s="95"/>
      <c r="GK112" s="79"/>
      <c r="GL112" s="95"/>
      <c r="GM112" s="79"/>
      <c r="GN112" s="95"/>
      <c r="GO112" s="79"/>
      <c r="GP112" s="95"/>
      <c r="GQ112" s="79"/>
      <c r="GR112" s="95"/>
      <c r="GS112" s="79"/>
      <c r="GT112" s="79"/>
      <c r="GU112" s="562"/>
      <c r="GV112" s="562"/>
      <c r="GW112"/>
      <c r="GX112"/>
      <c r="GY112"/>
      <c r="GZ112"/>
      <c r="HA112"/>
      <c r="HB112"/>
      <c r="HC112" s="562"/>
      <c r="HD112" s="562"/>
      <c r="HE112" s="562"/>
      <c r="HF112" s="562"/>
      <c r="HG112" s="562"/>
      <c r="HH112" s="562"/>
      <c r="HI112" s="562"/>
      <c r="HJ112" s="562"/>
      <c r="HK112" s="562"/>
      <c r="HL112" s="562"/>
      <c r="HM112" s="562"/>
      <c r="HN112" s="562"/>
      <c r="HO112" s="562"/>
      <c r="HP112" s="562"/>
      <c r="HQ112" s="562"/>
      <c r="HR112" s="562"/>
      <c r="HS112" s="562"/>
      <c r="HT112" s="562"/>
      <c r="HU112" s="562"/>
      <c r="HV112" s="562"/>
      <c r="HW112" s="562"/>
      <c r="HX112" s="562"/>
      <c r="HY112" s="562"/>
      <c r="HZ112" s="562"/>
      <c r="IA112" s="562"/>
      <c r="IB112" s="562"/>
      <c r="IC112" s="562"/>
      <c r="ID112" s="562"/>
      <c r="IE112" s="562"/>
      <c r="IF112" s="562"/>
      <c r="IG112" s="562"/>
      <c r="IH112" s="562"/>
      <c r="II112" s="562"/>
      <c r="IJ112" s="562"/>
      <c r="IK112" s="562"/>
      <c r="IL112" s="562"/>
      <c r="IM112" s="562"/>
      <c r="IN112" s="562"/>
      <c r="IO112" s="562"/>
      <c r="IP112" s="562"/>
      <c r="IQ112" s="562"/>
      <c r="IR112" s="562"/>
      <c r="IS112" s="562"/>
      <c r="IT112" s="562"/>
      <c r="IU112" s="562"/>
      <c r="IV112" s="562"/>
      <c r="IW112" s="562"/>
      <c r="IX112" s="562"/>
      <c r="IY112" s="562"/>
      <c r="IZ112" s="562"/>
      <c r="JA112" s="562"/>
      <c r="JB112" s="562"/>
      <c r="JC112" s="562"/>
      <c r="JD112" s="562"/>
      <c r="JE112" s="562"/>
      <c r="JF112" s="562"/>
      <c r="JG112" s="562"/>
      <c r="JH112" s="562"/>
      <c r="JI112" s="562"/>
      <c r="JJ112" s="562"/>
      <c r="JK112" s="562"/>
      <c r="JL112" s="562"/>
      <c r="JM112" s="562"/>
      <c r="JN112" s="562"/>
      <c r="JO112" s="562"/>
      <c r="JP112" s="562"/>
      <c r="JQ112" s="562"/>
      <c r="JR112" s="562"/>
      <c r="JS112" s="562"/>
      <c r="JT112" s="562"/>
      <c r="JU112" s="562"/>
      <c r="JV112" s="562"/>
      <c r="JW112" s="562"/>
      <c r="JX112" s="562"/>
      <c r="JY112" s="562"/>
      <c r="JZ112" s="562"/>
    </row>
    <row r="113" spans="1:286" s="132" customFormat="1" ht="12.75" customHeight="1" x14ac:dyDescent="0.2">
      <c r="A113" s="133"/>
      <c r="B113" s="2" t="s">
        <v>312</v>
      </c>
      <c r="C113" s="79"/>
      <c r="D113" s="79"/>
      <c r="E113" s="129"/>
      <c r="F113" s="129"/>
      <c r="G113" s="129"/>
      <c r="H113" s="129"/>
      <c r="I113" s="129"/>
      <c r="J113" s="129"/>
      <c r="K113" s="129"/>
      <c r="L113" s="79"/>
      <c r="M113" s="129"/>
      <c r="N113" s="79"/>
      <c r="O113" s="129"/>
      <c r="P113" s="79"/>
      <c r="Q113" s="129"/>
      <c r="R113" s="79"/>
      <c r="S113" s="129"/>
      <c r="T113" s="79"/>
      <c r="U113" s="129"/>
      <c r="V113" s="79"/>
      <c r="W113" s="129"/>
      <c r="X113" s="79"/>
      <c r="Y113" s="129"/>
      <c r="Z113" s="79"/>
      <c r="AA113" s="130"/>
      <c r="AB113" s="79"/>
      <c r="AC113" s="129">
        <f>400.5-AE113</f>
        <v>195.9</v>
      </c>
      <c r="AD113" s="79" t="str">
        <f>IF(ISERROR((AC113/U113-1)*100),"NA",IF(((AC113/U113-1)*100)&gt;100,"NM",IF(((AC113/U113-1)*100)&lt;-50,"NM",(AC113/U113-1)*100)))</f>
        <v>NA</v>
      </c>
      <c r="AE113" s="129">
        <v>204.6</v>
      </c>
      <c r="AF113" s="79" t="str">
        <f>IF(ISERROR((AE113/W113-1)*100),"NA",IF(((AE113/W113-1)*100)&gt;100,"NM",IF(((AE113/W113-1)*100)&lt;-50,"NM",(AE113/W113-1)*100)))</f>
        <v>NA</v>
      </c>
      <c r="AG113" s="129">
        <v>213.9</v>
      </c>
      <c r="AH113" s="79" t="str">
        <f>IF(ISERROR((AG113/Y113-1)*100),"NA",IF(((AG113/Y113-1)*100)&gt;100,"NM",IF(((AG113/Y113-1)*100)&lt;-50,"NM",(AG113/Y113-1)*100)))</f>
        <v>NA</v>
      </c>
      <c r="AI113" s="75">
        <f>FH113-AG113-AE113-AC113</f>
        <v>222.6</v>
      </c>
      <c r="AJ113" s="79" t="str">
        <f>IF(ISERROR((AI113/AA113-1)*100),"NA",IF(((AI113/AA113-1)*100)&gt;100,"NM",IF(((AI113/AA113-1)*100)&lt;-50,"NM",(AI113/AA113-1)*100)))</f>
        <v>NA</v>
      </c>
      <c r="AK113" s="129">
        <f>439.2-AM113</f>
        <v>219.29999999999998</v>
      </c>
      <c r="AL113" s="79">
        <f>IF(ISERROR((AK113/AC113-1)*100),"NA",IF(((AK113/AC113-1)*100)&gt;100,"NM",IF(((AK113/AC113-1)*100)&lt;-50,"NM",(AK113/AC113-1)*100)))</f>
        <v>11.944869831546701</v>
      </c>
      <c r="AM113" s="129">
        <v>219.9</v>
      </c>
      <c r="AN113" s="79">
        <f>IF(ISERROR((AM113/AE113-1)*100),"NA",IF(((AM113/AE113-1)*100)&gt;100,"NM",IF(((AM113/AE113-1)*100)&lt;-50,"NM",(AM113/AE113-1)*100)))</f>
        <v>7.4780058651026549</v>
      </c>
      <c r="AO113" s="129">
        <f>235.7-2.3</f>
        <v>233.39999999999998</v>
      </c>
      <c r="AP113" s="79">
        <f>IF(ISERROR((AO113/AG113-1)*100),"NA",IF(((AO113/AG113-1)*100)&gt;100,"NM",IF(((AO113/AG113-1)*100)&lt;-50,"NM",(AO113/AG113-1)*100)))</f>
        <v>9.1164095371668807</v>
      </c>
      <c r="AQ113" s="129">
        <v>234.8</v>
      </c>
      <c r="AR113" s="79">
        <f>IF(ISERROR((AQ113/AI113-1)*100),"NA",IF(((AQ113/AI113-1)*100)&gt;100,"NM",IF(((AQ113/AI113-1)*100)&lt;-50,"NM",(AQ113/AI113-1)*100)))</f>
        <v>5.480682839173423</v>
      </c>
      <c r="AS113" s="129">
        <v>231.9</v>
      </c>
      <c r="AT113" s="81">
        <f>IF(ISERROR((AS113/AK113-1)*100),"NA",IF(((AS113/AK113-1)*100)&gt;100,"NM",IF(((AS113/AK113-1)*100)&lt;-50,"NM",(AS113/AK113-1)*100)))</f>
        <v>5.7455540355677348</v>
      </c>
      <c r="AU113" s="129">
        <v>246</v>
      </c>
      <c r="AV113" s="81">
        <f>IF(ISERROR((AU113/AM113-1)*100),"NA",IF(((AU113/AM113-1)*100)&gt;100,"NM",IF(((AU113/AM113-1)*100)&lt;-50,"NM",(AU113/AM113-1)*100)))</f>
        <v>11.869031377899052</v>
      </c>
      <c r="AW113" s="129">
        <v>249.4</v>
      </c>
      <c r="AX113" s="81">
        <f>IF(ISERROR((AW113/AO113-1)*100),"NA",IF(((AW113/AO113-1)*100)&gt;100,"NM",IF(((AW113/AO113-1)*100)&lt;-50,"NM",(AW113/AO113-1)*100)))</f>
        <v>6.8551842330762724</v>
      </c>
      <c r="AY113" s="129">
        <v>255</v>
      </c>
      <c r="AZ113" s="81">
        <f>IF(ISERROR((AY113/AQ113-1)*100),"NA",IF(((AY113/AQ113-1)*100)&gt;100,"NM",IF(((AY113/AQ113-1)*100)&lt;-50,"NM",(AY113/AQ113-1)*100)))</f>
        <v>8.6030664395229994</v>
      </c>
      <c r="BA113" s="129">
        <v>259.5</v>
      </c>
      <c r="BB113" s="81">
        <f>IF(ISERROR((BA113/AS113-1)*100),"NA",IF(((BA113/AS113-1)*100)&gt;100,"NM",IF(((BA113/AS113-1)*100)&lt;-50,"NM",(BA113/AS113-1)*100)))</f>
        <v>11.901681759379045</v>
      </c>
      <c r="BC113" s="129">
        <v>267.8</v>
      </c>
      <c r="BD113" s="81">
        <f>IF(ISERROR((BC113/AU113-1)*100),"NA",IF(((BC113/AU113-1)*100)&gt;100,"NM",IF(((BC113/AU113-1)*100)&lt;-50,"NM",(BC113/AU113-1)*100)))</f>
        <v>8.8617886178861802</v>
      </c>
      <c r="BE113" s="129">
        <v>272.7</v>
      </c>
      <c r="BF113" s="81">
        <f>IF(ISERROR((BE113/AW113-1)*100),"NA",IF(((BE113/AW113-1)*100)&gt;100,"NM",IF(((BE113/AW113-1)*100)&lt;-50,"NM",(BE113/AW113-1)*100)))</f>
        <v>9.3424218123496328</v>
      </c>
      <c r="BG113" s="129">
        <v>267.39999999999998</v>
      </c>
      <c r="BH113" s="81">
        <f>IF(ISERROR((BG113/AY113-1)*100),"NA",IF(((BG113/AY113-1)*100)&gt;100,"NM",IF(((BG113/AY113-1)*100)&lt;-50,"NM",(BG113/AY113-1)*100)))</f>
        <v>4.8627450980392117</v>
      </c>
      <c r="BI113" s="129">
        <v>273.2</v>
      </c>
      <c r="BJ113" s="81">
        <f>IF(ISERROR((BI113/BA113-1)*100),"NA",IF(((BI113/BA113-1)*100)&gt;100,"NM",IF(((BI113/BA113-1)*100)&lt;-50,"NM",(BI113/BA113-1)*100)))</f>
        <v>5.2793834296724462</v>
      </c>
      <c r="BK113" s="129">
        <v>278.8</v>
      </c>
      <c r="BL113" s="81">
        <f>IF(ISERROR((BK113/BC113-1)*100),"NA",IF(((BK113/BC113-1)*100)&gt;100,"NM",IF(((BK113/BC113-1)*100)&lt;-50,"NM",(BK113/BC113-1)*100)))</f>
        <v>4.1075429424944021</v>
      </c>
      <c r="BM113" s="129">
        <v>286.7</v>
      </c>
      <c r="BN113" s="81">
        <f>IF(ISERROR((BM113/BE113-1)*100),"NA",IF(((BM113/BE113-1)*100)&gt;100,"NM",IF(((BM113/BE113-1)*100)&lt;-50,"NM",(BM113/BE113-1)*100)))</f>
        <v>5.1338467180051417</v>
      </c>
      <c r="BO113" s="129">
        <v>288.2</v>
      </c>
      <c r="BP113" s="81">
        <f>IF(ISERROR((BO113/BG113-1)*100),"NA",IF(((BO113/BG113-1)*100)&gt;100,"NM",IF(((BO113/BG113-1)*100)&lt;-50,"NM",(BO113/BG113-1)*100)))</f>
        <v>7.7786088257292496</v>
      </c>
      <c r="BQ113" s="129">
        <v>291.10000000000002</v>
      </c>
      <c r="BR113" s="81">
        <f>IF(ISERROR((BQ113/BI113-1)*100),"NA",IF(((BQ113/BI113-1)*100)&gt;100,"NM",IF(((BQ113/BI113-1)*100)&lt;-50,"NM",(BQ113/BI113-1)*100)))</f>
        <v>6.5519765739385116</v>
      </c>
      <c r="BS113" s="129">
        <v>297.7</v>
      </c>
      <c r="BT113" s="81">
        <f>IF(ISERROR((BS113/BK113-1)*100),"NA",IF(((BS113/BK113-1)*100)&gt;100,"NM",IF(((BS113/BK113-1)*100)&lt;-50,"NM",(BS113/BK113-1)*100)))</f>
        <v>6.7790530846484787</v>
      </c>
      <c r="BU113" s="129">
        <v>299.10000000000002</v>
      </c>
      <c r="BV113" s="81">
        <f>IF(ISERROR((BU113/BM113-1)*100),"NA",IF(((BU113/BM113-1)*100)&gt;100,"NM",IF(((BU113/BM113-1)*100)&lt;-50,"NM",(BU113/BM113-1)*100)))</f>
        <v>4.3250784792466135</v>
      </c>
      <c r="BW113" s="129">
        <v>289.7</v>
      </c>
      <c r="BX113" s="81">
        <f>IF(ISERROR((BW113/BO113-1)*100),"NA",IF(((BW113/BO113-1)*100)&gt;100,"NM",IF(((BW113/BO113-1)*100)&lt;-50,"NM",(BW113/BO113-1)*100)))</f>
        <v>0.52047189451769338</v>
      </c>
      <c r="BY113" s="129">
        <v>132.6</v>
      </c>
      <c r="BZ113" s="81" t="str">
        <f>IF(ISERROR((BY113/BQ113-1)*100),"NA",IF(((BY113/BQ113-1)*100)&gt;100,"NM",IF(((BY113/BQ113-1)*100)&lt;-50,"NM",(BY113/BQ113-1)*100)))</f>
        <v>NM</v>
      </c>
      <c r="CA113" s="129">
        <v>136.80000000000001</v>
      </c>
      <c r="CB113" s="81" t="str">
        <f>IF(ISERROR((CA113/BS113-1)*100),"NA",IF(((CA113/BS113-1)*100)&gt;100,"NM",IF(((CA113/BS113-1)*100)&lt;-50,"NM",(CA113/BS113-1)*100)))</f>
        <v>NM</v>
      </c>
      <c r="CC113" s="129">
        <v>134.9</v>
      </c>
      <c r="CD113" s="81" t="str">
        <f>IF(ISERROR((CC113/BU113-1)*100),"NA",IF(((CC113/BU113-1)*100)&gt;100,"NM",IF(((CC113/BU113-1)*100)&lt;-50,"NM",(CC113/BU113-1)*100)))</f>
        <v>NM</v>
      </c>
      <c r="CE113" s="129">
        <v>132.4</v>
      </c>
      <c r="CF113" s="81" t="str">
        <f>IF(ISERROR((CE113/BW113-1)*100),"NA",IF(((CE113/BW113-1)*100)&gt;100,"NM",IF(((CE113/BW113-1)*100)&lt;-50,"NM",(CE113/BW113-1)*100)))</f>
        <v>NM</v>
      </c>
      <c r="CG113" s="129">
        <v>133.9</v>
      </c>
      <c r="CH113" s="81">
        <f>IF(ISERROR((CG113/BY113-1)*100),"NA",IF(((CG113/BY113-1)*100)&gt;100,"NM",IF(((CG113/BY113-1)*100)&lt;-50,"NM",(CG113/BY113-1)*100)))</f>
        <v>0.98039215686276382</v>
      </c>
      <c r="CI113" s="129">
        <v>133.4</v>
      </c>
      <c r="CJ113" s="81">
        <f>IF(ISERROR((CI113/CA113-1)*100),"NA",IF(((CI113/CA113-1)*100)&gt;100,"NM",IF(((CI113/CA113-1)*100)&lt;-50,"NM",(CI113/CA113-1)*100)))</f>
        <v>-2.4853801169590684</v>
      </c>
      <c r="CK113" s="129">
        <v>133</v>
      </c>
      <c r="CL113" s="81">
        <f>IF(ISERROR((CK113/CC113-1)*100),"NA",IF(((CK113/CC113-1)*100)&gt;100,"NM",IF(((CK113/CC113-1)*100)&lt;-50,"NM",(CK113/CC113-1)*100)))</f>
        <v>-1.4084507042253613</v>
      </c>
      <c r="CM113" s="129">
        <v>136.5</v>
      </c>
      <c r="CN113" s="81">
        <f>IF(ISERROR((CM113/CE113-1)*100),"NA",IF(((CM113/CE113-1)*100)&gt;100,"NM",IF(((CM113/CE113-1)*100)&lt;-50,"NM",(CM113/CE113-1)*100)))</f>
        <v>3.09667673716012</v>
      </c>
      <c r="CO113" s="129">
        <v>138.80000000000001</v>
      </c>
      <c r="CP113" s="81">
        <f>IF(ISERROR((CO113/CG113-1)*100),"NA",IF(((CO113/CG113-1)*100)&gt;100,"NM",IF(((CO113/CG113-1)*100)&lt;-50,"NM",(CO113/CG113-1)*100)))</f>
        <v>3.6594473487677304</v>
      </c>
      <c r="CQ113" s="129">
        <v>135.4</v>
      </c>
      <c r="CR113" s="81">
        <f>IF(ISERROR((CQ113/CI113-1)*100),"NA",IF(((CQ113/CI113-1)*100)&gt;100,"NM",IF(((CQ113/CI113-1)*100)&lt;-50,"NM",(CQ113/CI113-1)*100)))</f>
        <v>1.4992503748125996</v>
      </c>
      <c r="CS113" s="129">
        <v>140.6</v>
      </c>
      <c r="CT113" s="81">
        <f>IF(ISERROR((CS113/CK113-1)*100),"NA",IF(((CS113/CK113-1)*100)&gt;100,"NM",IF(((CS113/CK113-1)*100)&lt;-50,"NM",(CS113/CK113-1)*100)))</f>
        <v>5.7142857142857162</v>
      </c>
      <c r="CU113" s="129">
        <v>145.80000000000001</v>
      </c>
      <c r="CV113" s="81">
        <f>IF(ISERROR((CU113/CM113-1)*100),"NA",IF(((CU113/CM113-1)*100)&gt;100,"NM",IF(((CU113/CM113-1)*100)&lt;-50,"NM",(CU113/CM113-1)*100)))</f>
        <v>6.8131868131868112</v>
      </c>
      <c r="CW113" s="129">
        <v>131.19999999999999</v>
      </c>
      <c r="CX113" s="81">
        <f>IF(ISERROR((CW113/CO113-1)*100),"NA",IF(((CW113/CO113-1)*100)&gt;100,"NM",IF(((CW113/CO113-1)*100)&lt;-50,"NM",(CW113/CO113-1)*100)))</f>
        <v>-5.4755043227665894</v>
      </c>
      <c r="CY113" s="129">
        <v>137.80000000000001</v>
      </c>
      <c r="CZ113" s="81">
        <f>IF(ISERROR((CY113/CQ113-1)*100),"NA",IF(((CY113/CQ113-1)*100)&gt;100,"NM",IF(((CY113/CQ113-1)*100)&lt;-50,"NM",(CY113/CQ113-1)*100)))</f>
        <v>1.7725258493353158</v>
      </c>
      <c r="DA113" s="129">
        <v>143.4</v>
      </c>
      <c r="DB113" s="81">
        <f>IF(ISERROR((DA113/CS113-1)*100),"NA",IF(((DA113/CS113-1)*100)&gt;100,"NM",IF(((DA113/CS113-1)*100)&lt;-50,"NM",(DA113/CS113-1)*100)))</f>
        <v>1.9914651493598834</v>
      </c>
      <c r="DC113" s="129">
        <v>167.2</v>
      </c>
      <c r="DD113" s="81">
        <f>IF(ISERROR((DC113/CU113-1)*100),"NA",IF(((DC113/CU113-1)*100)&gt;100,"NM",IF(((DC113/CU113-1)*100)&lt;-50,"NM",(DC113/CU113-1)*100)))</f>
        <v>14.677640603566511</v>
      </c>
      <c r="DE113" s="129">
        <v>137.69999999999999</v>
      </c>
      <c r="DF113" s="81">
        <f>IF(ISERROR((DE113/CW113-1)*100),"NA",IF(((DE113/CW113-1)*100)&gt;100,"NM",IF(((DE113/CW113-1)*100)&lt;-50,"NM",(DE113/CW113-1)*100)))</f>
        <v>4.9542682926829285</v>
      </c>
      <c r="DG113" s="129">
        <v>144.19999999999999</v>
      </c>
      <c r="DH113" s="81">
        <f>IF(ISERROR((DG113/CY113-1)*100),"NA",IF(((DG113/CY113-1)*100)&gt;100,"NM",IF(((DG113/CY113-1)*100)&lt;-50,"NM",(DG113/CY113-1)*100)))</f>
        <v>4.6444121915819814</v>
      </c>
      <c r="DI113" s="129">
        <v>142.4</v>
      </c>
      <c r="DJ113" s="81">
        <f>IF(ISERROR((DI113/DA113-1)*100),"NA",IF(((DI113/DA113-1)*100)&gt;100,"NM",IF(((DI113/DA113-1)*100)&lt;-50,"NM",(DI113/DA113-1)*100)))</f>
        <v>-0.69735006973500324</v>
      </c>
      <c r="DK113" s="129">
        <v>141.6</v>
      </c>
      <c r="DL113" s="81">
        <f>IF(ISERROR((DK113/DC113-1)*100),"NA",IF(((DK113/DC113-1)*100)&gt;100,"NM",IF(((DK113/DC113-1)*100)&lt;-50,"NM",(DK113/DC113-1)*100)))</f>
        <v>-15.311004784688997</v>
      </c>
      <c r="DM113" s="129">
        <v>136.1</v>
      </c>
      <c r="DN113" s="81">
        <f>IF(ISERROR((DM113/DE113-1)*100),"NA",IF(((DM113/DE113-1)*100)&gt;100,"NM",IF(((DM113/DE113-1)*100)&lt;-50,"NM",(DM113/DE113-1)*100)))</f>
        <v>-1.1619462599854691</v>
      </c>
      <c r="DO113" s="129">
        <v>142.1</v>
      </c>
      <c r="DP113" s="81">
        <f>IF(ISERROR((DO113/DG113-1)*100),"NA",IF(((DO113/DG113-1)*100)&gt;100,"NM",IF(((DO113/DG113-1)*100)&lt;-50,"NM",(DO113/DG113-1)*100)))</f>
        <v>-1.4563106796116498</v>
      </c>
      <c r="DQ113" s="129">
        <v>147.69999999999999</v>
      </c>
      <c r="DR113" s="81">
        <f>IF(ISERROR((DQ113/DI113-1)*100),"NA",IF(((DQ113/DI113-1)*100)&gt;100,"NM",IF(((DQ113/DI113-1)*100)&lt;-50,"NM",(DQ113/DI113-1)*100)))</f>
        <v>3.7219101123595388</v>
      </c>
      <c r="DS113" s="129">
        <v>155.19999999999999</v>
      </c>
      <c r="DT113" s="81">
        <f>IF(ISERROR((DS113/DK113-1)*100),"NA",IF(((DS113/DK113-1)*100)&gt;100,"NM",IF(((DS113/DK113-1)*100)&lt;-50,"NM",(DS113/DK113-1)*100)))</f>
        <v>9.6045197740112886</v>
      </c>
      <c r="DU113" s="129">
        <v>152</v>
      </c>
      <c r="DV113" s="81">
        <f>IF(ISERROR((DU113/DM113-1)*100),"NA",IF(((DU113/DM113-1)*100)&gt;100,"NM",IF(((DU113/DM113-1)*100)&lt;-50,"NM",(DU113/DM113-1)*100)))</f>
        <v>11.682586333578261</v>
      </c>
      <c r="DW113" s="129">
        <v>152.80000000000001</v>
      </c>
      <c r="DX113" s="81">
        <f>IF(ISERROR((DW113/DO113-1)*100),"NA",IF(((DW113/DO113-1)*100)&gt;100,"NM",IF(((DW113/DO113-1)*100)&lt;-50,"NM",(DW113/DO113-1)*100)))</f>
        <v>7.5299085151302014</v>
      </c>
      <c r="DY113" s="129">
        <v>171.4</v>
      </c>
      <c r="DZ113" s="81">
        <f>IF(ISERROR((DY113/DQ113-1)*100),"NA",IF(((DY113/DQ113-1)*100)&gt;100,"NM",IF(((DY113/DQ113-1)*100)&lt;-50,"NM",(DY113/DQ113-1)*100)))</f>
        <v>16.046039268788093</v>
      </c>
      <c r="EA113" s="129">
        <v>171.7</v>
      </c>
      <c r="EB113" s="81">
        <f>IF(ISERROR((EA113/DS113-1)*100),"NA",IF(((EA113/DS113-1)*100)&gt;100,"NM",IF(((EA113/DS113-1)*100)&lt;-50,"NM",(EA113/DS113-1)*100)))</f>
        <v>10.631443298969078</v>
      </c>
      <c r="EC113" s="129">
        <v>178.9</v>
      </c>
      <c r="ED113" s="81">
        <f t="shared" ref="ED113:ED117" si="411">IF(ISERROR((EC113/DU113-1)*100),"NA",IF(((EC113/DU113-1)*100)&gt;100,"NM",IF(((EC113/DU113-1)*100)&lt;-50,"NM",(EC113/DU113-1)*100)))</f>
        <v>17.69736842105263</v>
      </c>
      <c r="EE113" s="129">
        <v>177</v>
      </c>
      <c r="EF113" s="81">
        <f t="shared" ref="EF113:EF117" si="412">IF(ISERROR((EE113/DW113-1)*100),"NA",IF(((EE113/DW113-1)*100)&gt;100,"NM",IF(((EE113/DW113-1)*100)&lt;-50,"NM",(EE113/DW113-1)*100)))</f>
        <v>15.837696335078522</v>
      </c>
      <c r="EG113" s="129">
        <v>173</v>
      </c>
      <c r="EH113" s="81">
        <f t="shared" ref="EH113:EH117" si="413">IF(ISERROR((EG113/DY113-1)*100),"NA",IF(((EG113/DY113-1)*100)&gt;100,"NM",IF(((EG113/DY113-1)*100)&lt;-50,"NM",(EG113/DY113-1)*100)))</f>
        <v>0.93348891481912499</v>
      </c>
      <c r="EI113" s="129">
        <v>166.2</v>
      </c>
      <c r="EJ113" s="81">
        <f t="shared" ref="EJ113:EJ117" si="414">IF(ISERROR((EI113/EA113-1)*100),"NA",IF(((EI113/EA113-1)*100)&gt;100,"NM",IF(((EI113/EA113-1)*100)&lt;-50,"NM",(EI113/EA113-1)*100)))</f>
        <v>-3.2032615026208466</v>
      </c>
      <c r="EK113" s="214">
        <f t="shared" ref="EK113:EQ113" si="415">+EK107*EK120/100</f>
        <v>172.82484199999999</v>
      </c>
      <c r="EL113" s="81">
        <f t="shared" ref="EL113:EL117" si="416">IF(ISERROR((EK113/EC113-1)*100),"NA",IF(((EK113/EC113-1)*100)&gt;100,"NM",IF(((EK113/EC113-1)*100)&lt;-50,"NM",(EK113/EC113-1)*100)))</f>
        <v>-3.3958401341531719</v>
      </c>
      <c r="EM113" s="214">
        <f t="shared" si="415"/>
        <v>175.93568915599997</v>
      </c>
      <c r="EN113" s="81">
        <f t="shared" ref="EN113:EN117" si="417">IF(ISERROR((EM113/EE113-1)*100),"NA",IF(((EM113/EE113-1)*100)&gt;100,"NM",IF(((EM113/EE113-1)*100)&lt;-50,"NM",(EM113/EE113-1)*100)))</f>
        <v>-0.60130556158194404</v>
      </c>
      <c r="EO113" s="214">
        <f t="shared" si="415"/>
        <v>179.10253156080799</v>
      </c>
      <c r="EP113" s="81">
        <f t="shared" ref="EP113:EP117" si="418">IF(ISERROR((EO113/EG113-1)*100),"NA",IF(((EO113/EG113-1)*100)&gt;100,"NM",IF(((EO113/EG113-1)*100)&lt;-50,"NM",(EO113/EG113-1)*100)))</f>
        <v>3.5274748906404474</v>
      </c>
      <c r="EQ113" s="214">
        <f t="shared" si="415"/>
        <v>181.78906953422012</v>
      </c>
      <c r="ER113" s="81">
        <f t="shared" ref="ER113:ER117" si="419">IF(ISERROR((EQ113/EI113-1)*100),"NA",IF(((EQ113/EI113-1)*100)&gt;100,"NM",IF(((EQ113/EI113-1)*100)&lt;-50,"NM",(EQ113/EI113-1)*100)))</f>
        <v>9.3797048942359407</v>
      </c>
      <c r="ES113" s="129"/>
      <c r="ET113" s="469"/>
      <c r="EU113" s="129"/>
      <c r="EV113" s="95"/>
      <c r="EW113" s="79"/>
      <c r="EX113" s="95"/>
      <c r="EY113" s="79"/>
      <c r="EZ113" s="131"/>
      <c r="FA113" s="79"/>
      <c r="FB113" s="35"/>
      <c r="FC113" s="79"/>
      <c r="FD113" s="129">
        <v>635.1</v>
      </c>
      <c r="FE113" s="79" t="str">
        <f>IF(ISERROR((FD113/FB113-1)*100),"NA",IF(((FD113/FB113-1)*100)&gt;100,"NM",IF(((FD113/FB113-1)*100)&lt;-50,"NM",(FD113/FB113-1)*100)))</f>
        <v>NA</v>
      </c>
      <c r="FF113" s="129">
        <v>745.4</v>
      </c>
      <c r="FG113" s="79">
        <f>IF(ISERROR((FF113/FD113-1)*100),"NA",IF(((FF113/FD113-1)*100)&gt;100,"NM",IF(((FF113/FD113-1)*100)&lt;-50,"NM",(FF113/FD113-1)*100)))</f>
        <v>17.367343725397568</v>
      </c>
      <c r="FH113" s="129">
        <v>837</v>
      </c>
      <c r="FI113" s="79">
        <f>IF(ISERROR((FH113/FF113-1)*100),"NA",IF(((FH113/FF113-1)*100)&gt;100,"NM",IF(((FH113/FF113-1)*100)&lt;-50,"NM",(FH113/FF113-1)*100)))</f>
        <v>12.288704051515964</v>
      </c>
      <c r="FJ113" s="35">
        <f>+AQ113+AO113+AM113+AK113</f>
        <v>907.4</v>
      </c>
      <c r="FK113" s="79">
        <f>IF(ISERROR((FJ113/FH113-1)*100),"NA",IF(((FJ113/FH113-1)*100)&gt;100,"NM",IF(((FJ113/FH113-1)*100)&lt;-50,"NM",(FJ113/FH113-1)*100)))</f>
        <v>8.4109916367980819</v>
      </c>
      <c r="FL113" s="78">
        <f>AS113+AU113+AW113+AY113</f>
        <v>982.3</v>
      </c>
      <c r="FM113" s="79">
        <f>IF(ISERROR((FL113/FJ113-1)*100),"NA",IF(((FL113/FJ113-1)*100)&gt;100,"NM",IF(((FL113/FJ113-1)*100)&lt;-50,"NM",(FL113/FJ113-1)*100)))</f>
        <v>8.2543530967599708</v>
      </c>
      <c r="FN113" s="78">
        <f>BA113+BC113+BE113+BG113</f>
        <v>1067.4000000000001</v>
      </c>
      <c r="FO113" s="79">
        <f>IF(ISERROR((FN113/FL113-1)*100),"NA",IF(((FN113/FL113-1)*100)&gt;100,"NM",IF(((FN113/FL113-1)*100)&lt;-50,"NM",(FN113/FL113-1)*100)))</f>
        <v>8.6633411381451744</v>
      </c>
      <c r="FP113" s="78">
        <f>BI113+BK113+BM113+BO113</f>
        <v>1126.9000000000001</v>
      </c>
      <c r="FQ113" s="79">
        <f>IF(ISERROR((FP113/FN113-1)*100),"NA",IF(((FP113/FN113-1)*100)&gt;100,"NM",IF(((FP113/FN113-1)*100)&lt;-50,"NM",(FP113/FN113-1)*100)))</f>
        <v>5.5742926737867737</v>
      </c>
      <c r="FR113" s="129">
        <v>513.79999999999995</v>
      </c>
      <c r="FS113" s="79" t="str">
        <f>IF(ISERROR((FR113/FP113-1)*100),"NA",IF(((FR113/FP113-1)*100)&gt;100,"NM",IF(((FR113/FP113-1)*100)&lt;-50,"NM",(FR113/FP113-1)*100)))</f>
        <v>NM</v>
      </c>
      <c r="FT113" s="214">
        <f>BY113+CA113+CC113+CE113</f>
        <v>536.69999999999993</v>
      </c>
      <c r="FU113" s="79">
        <f>IF(ISERROR((FT113/FR113-1)*100),"NA",IF(((FT113/FR113-1)*100)&gt;100,"NM",IF(((FT113/FR113-1)*100)&lt;-50,"NM",(FT113/FR113-1)*100)))</f>
        <v>4.4569871545348416</v>
      </c>
      <c r="FV113" s="214">
        <f>CG113+CI113+CK113+CM113</f>
        <v>536.79999999999995</v>
      </c>
      <c r="FW113" s="79">
        <f>IF(ISERROR((FV113/FT113-1)*100),"NA",IF(((FV113/FT113-1)*100)&gt;100,"NM",IF(((FV113/FT113-1)*100)&lt;-50,"NM",(FV113/FT113-1)*100)))</f>
        <v>1.8632383081795822E-2</v>
      </c>
      <c r="FX113" s="214">
        <f>CO113+CQ113+CS113+CU113</f>
        <v>560.60000000000014</v>
      </c>
      <c r="FY113" s="79">
        <f>IF(ISERROR((FX113/FV113-1)*100),"NA",IF(((FX113/FV113-1)*100)&gt;100,"NM",IF(((FX113/FV113-1)*100)&lt;-50,"NM",(FX113/FV113-1)*100)))</f>
        <v>4.4336810730253751</v>
      </c>
      <c r="FZ113" s="214">
        <f>CW113+CY113+DA113+DC113</f>
        <v>579.59999999999991</v>
      </c>
      <c r="GA113" s="79">
        <f>IF(ISERROR((FZ113/FX113-1)*100),"NA",IF(((FZ113/FX113-1)*100)&gt;100,"NM",IF(((FZ113/FX113-1)*100)&lt;-50,"NM",(FZ113/FX113-1)*100)))</f>
        <v>3.3892258294683897</v>
      </c>
      <c r="GB113" s="214">
        <f>DE113+DG113+DI113+DK113</f>
        <v>565.9</v>
      </c>
      <c r="GC113" s="79">
        <f>IF(ISERROR((GB113/FZ113-1)*100),"NA",IF(((GB113/FZ113-1)*100)&gt;100,"NM",IF(((GB113/FZ113-1)*100)&lt;-50,"NM",(GB113/FZ113-1)*100)))</f>
        <v>-2.3636991028295307</v>
      </c>
      <c r="GD113" s="214">
        <f>DM113+DO113+DQ113+DS113</f>
        <v>581.09999999999991</v>
      </c>
      <c r="GE113" s="79">
        <f>IF(ISERROR((GD113/GB113-1)*100),"NA",IF(((GD113/GB113-1)*100)&gt;100,"NM",IF(((GD113/GB113-1)*100)&lt;-50,"NM",(GD113/GB113-1)*100)))</f>
        <v>2.6859869234846956</v>
      </c>
      <c r="GF113" s="214">
        <f>DU113+DW113+DY113+EA113</f>
        <v>647.90000000000009</v>
      </c>
      <c r="GG113" s="79">
        <f>IF(ISERROR((GF113/GD113-1)*100),"NA",IF(((GF113/GD113-1)*100)&gt;100,"NM",IF(((GF113/GD113-1)*100)&lt;-50,"NM",(GF113/GD113-1)*100)))</f>
        <v>11.495439683359177</v>
      </c>
      <c r="GH113" s="214">
        <f>EC113+EE113+EG113+EI113</f>
        <v>695.09999999999991</v>
      </c>
      <c r="GI113" s="79">
        <f>IF(ISERROR((GH113/GF113-1)*100),"NA",IF(((GH113/GF113-1)*100)&gt;100,"NM",IF(((GH113/GF113-1)*100)&lt;-50,"NM",(GH113/GF113-1)*100)))</f>
        <v>7.285074857231022</v>
      </c>
      <c r="GJ113" s="214">
        <f>EK113+EM113+EO113+EQ113</f>
        <v>709.65213225102798</v>
      </c>
      <c r="GK113" s="79">
        <f>IF(ISERROR((GJ113/GH113-1)*100),"NA",IF(((GJ113/GH113-1)*100)&gt;100,"NM",IF(((GJ113/GH113-1)*100)&lt;-50,"NM",(GJ113/GH113-1)*100)))</f>
        <v>2.0935307511189771</v>
      </c>
      <c r="GL113" s="214">
        <f>+GL107*GL120/100</f>
        <v>745.13473886357929</v>
      </c>
      <c r="GM113" s="79">
        <f>IF(ISERROR((GL113/GJ113-1)*100),"NA",IF(((GL113/GJ113-1)*100)&gt;100,"NM",IF(((GL113/GJ113-1)*100)&lt;-50,"NM",(GL113/GJ113-1)*100)))</f>
        <v>4.9999999999999822</v>
      </c>
      <c r="GN113" s="214">
        <f>+GN107*GN120/100</f>
        <v>782.39147580675842</v>
      </c>
      <c r="GO113" s="79">
        <f>IF(ISERROR((GN113/GL113-1)*100),"NA",IF(((GN113/GL113-1)*100)&gt;100,"NM",IF(((GN113/GL113-1)*100)&lt;-50,"NM",(GN113/GL113-1)*100)))</f>
        <v>5.0000000000000266</v>
      </c>
      <c r="GP113" s="214">
        <f>+GP107*GP120/100</f>
        <v>821.5110495970963</v>
      </c>
      <c r="GQ113" s="79">
        <f>IF(ISERROR((GP113/GN113-1)*100),"NA",IF(((GP113/GN113-1)*100)&gt;100,"NM",IF(((GP113/GN113-1)*100)&lt;-50,"NM",(GP113/GN113-1)*100)))</f>
        <v>5.0000000000000044</v>
      </c>
      <c r="GR113" s="214">
        <f>+GR107*GR120/100</f>
        <v>864.39999061243918</v>
      </c>
      <c r="GS113" s="79">
        <f>IF(ISERROR((GR113/GP113-1)*100),"NA",IF(((GR113/GP113-1)*100)&gt;100,"NM",IF(((GR113/GP113-1)*100)&lt;-50,"NM",(GR113/GP113-1)*100)))</f>
        <v>5.2207381795263075</v>
      </c>
      <c r="GT113" s="79">
        <f>IF(ISERROR(((GR113/GH113)^0.2-1)*100),"NA",(IF(OR(((GR113/GH113)^0.2-1)*100&gt;99,((GR113/GH113)^0.2-1)*100&lt;-50),"NM",(((GR113/GH113)^0.2-1)*100))))</f>
        <v>4.4560245070069726</v>
      </c>
      <c r="GU113" s="562"/>
      <c r="GV113" s="562"/>
      <c r="GW113"/>
      <c r="GX113"/>
      <c r="GY113"/>
      <c r="GZ113"/>
      <c r="HA113"/>
      <c r="HB113"/>
      <c r="HC113" s="562"/>
      <c r="HD113" s="562"/>
      <c r="HE113" s="562"/>
      <c r="HF113" s="562"/>
      <c r="HG113" s="562"/>
      <c r="HH113" s="562"/>
      <c r="HI113" s="562"/>
      <c r="HJ113" s="562"/>
      <c r="HK113" s="562"/>
      <c r="HL113" s="562"/>
      <c r="HM113" s="562"/>
      <c r="HN113" s="562"/>
      <c r="HO113" s="562"/>
      <c r="HP113" s="562"/>
      <c r="HQ113" s="562"/>
      <c r="HR113" s="562"/>
      <c r="HS113" s="562"/>
      <c r="HT113" s="562"/>
      <c r="HU113" s="562"/>
      <c r="HV113" s="562"/>
      <c r="HW113" s="562"/>
      <c r="HX113" s="562"/>
      <c r="HY113" s="562"/>
      <c r="HZ113" s="562"/>
      <c r="IA113" s="562"/>
      <c r="IB113" s="562"/>
      <c r="IC113" s="562"/>
      <c r="ID113" s="562"/>
      <c r="IE113" s="562"/>
      <c r="IF113" s="562"/>
      <c r="IG113" s="562"/>
      <c r="IH113" s="562"/>
      <c r="II113" s="562"/>
      <c r="IJ113" s="562"/>
      <c r="IK113" s="562"/>
      <c r="IL113" s="562"/>
      <c r="IM113" s="562"/>
      <c r="IN113" s="562"/>
      <c r="IO113" s="562"/>
      <c r="IP113" s="562"/>
      <c r="IQ113" s="562"/>
      <c r="IR113" s="562"/>
      <c r="IS113" s="562"/>
      <c r="IT113" s="562"/>
      <c r="IU113" s="562"/>
      <c r="IV113" s="562"/>
      <c r="IW113" s="562"/>
      <c r="IX113" s="562"/>
      <c r="IY113" s="562"/>
      <c r="IZ113" s="562"/>
      <c r="JA113" s="562"/>
      <c r="JB113" s="562"/>
      <c r="JC113" s="562"/>
      <c r="JD113" s="562"/>
      <c r="JE113" s="562"/>
      <c r="JF113" s="562"/>
      <c r="JG113" s="562"/>
      <c r="JH113" s="562"/>
      <c r="JI113" s="562"/>
      <c r="JJ113" s="562"/>
      <c r="JK113" s="562"/>
      <c r="JL113" s="562"/>
      <c r="JM113" s="562"/>
      <c r="JN113" s="562"/>
      <c r="JO113" s="562"/>
      <c r="JP113" s="562"/>
      <c r="JQ113" s="562"/>
      <c r="JR113" s="562"/>
      <c r="JS113" s="562"/>
      <c r="JT113" s="562"/>
      <c r="JU113" s="562"/>
      <c r="JV113" s="562"/>
      <c r="JW113" s="562"/>
      <c r="JX113" s="562"/>
      <c r="JY113" s="562"/>
      <c r="JZ113" s="562"/>
    </row>
    <row r="114" spans="1:286" s="132" customFormat="1" ht="12.75" customHeight="1" x14ac:dyDescent="0.2">
      <c r="A114" s="133"/>
      <c r="B114" s="2" t="s">
        <v>114</v>
      </c>
      <c r="C114" s="79"/>
      <c r="D114" s="79"/>
      <c r="E114" s="129"/>
      <c r="F114" s="129"/>
      <c r="G114" s="129"/>
      <c r="H114" s="129"/>
      <c r="I114" s="129"/>
      <c r="J114" s="129"/>
      <c r="K114" s="129"/>
      <c r="L114" s="79"/>
      <c r="M114" s="129"/>
      <c r="N114" s="79"/>
      <c r="O114" s="129"/>
      <c r="P114" s="79"/>
      <c r="Q114" s="129"/>
      <c r="R114" s="79"/>
      <c r="S114" s="129"/>
      <c r="T114" s="79"/>
      <c r="U114" s="129"/>
      <c r="V114" s="79"/>
      <c r="W114" s="129"/>
      <c r="X114" s="79"/>
      <c r="Y114" s="129"/>
      <c r="Z114" s="79"/>
      <c r="AA114" s="130"/>
      <c r="AB114" s="79"/>
      <c r="AC114" s="129">
        <f>121.1-AE114</f>
        <v>63.099999999999994</v>
      </c>
      <c r="AD114" s="79" t="str">
        <f>IF(ISERROR((AC114/U114-1)*100),"NA",IF(((AC114/U114-1)*100)&gt;100,"NM",IF(((AC114/U114-1)*100)&lt;-50,"NM",(AC114/U114-1)*100)))</f>
        <v>NA</v>
      </c>
      <c r="AE114" s="129">
        <v>58</v>
      </c>
      <c r="AF114" s="79" t="str">
        <f>IF(ISERROR((AE114/W114-1)*100),"NA",IF(((AE114/W114-1)*100)&gt;100,"NM",IF(((AE114/W114-1)*100)&lt;-50,"NM",(AE114/W114-1)*100)))</f>
        <v>NA</v>
      </c>
      <c r="AG114" s="129">
        <v>56.6</v>
      </c>
      <c r="AH114" s="79" t="str">
        <f>IF(ISERROR((AG114/Y114-1)*100),"NA",IF(((AG114/Y114-1)*100)&gt;100,"NM",IF(((AG114/Y114-1)*100)&lt;-50,"NM",(AG114/Y114-1)*100)))</f>
        <v>NA</v>
      </c>
      <c r="AI114" s="75">
        <f>FH114-AG114-AE114-AC114</f>
        <v>55.400000000000006</v>
      </c>
      <c r="AJ114" s="79" t="str">
        <f>IF(ISERROR((AI114/AA114-1)*100),"NA",IF(((AI114/AA114-1)*100)&gt;100,"NM",IF(((AI114/AA114-1)*100)&lt;-50,"NM",(AI114/AA114-1)*100)))</f>
        <v>NA</v>
      </c>
      <c r="AK114" s="129">
        <f>118.4-AM114</f>
        <v>58.600000000000009</v>
      </c>
      <c r="AL114" s="79">
        <f>IF(ISERROR((AK114/AC114-1)*100),"NA",IF(((AK114/AC114-1)*100)&gt;100,"NM",IF(((AK114/AC114-1)*100)&lt;-50,"NM",(AK114/AC114-1)*100)))</f>
        <v>-7.1315372424722412</v>
      </c>
      <c r="AM114" s="129">
        <v>59.8</v>
      </c>
      <c r="AN114" s="79">
        <f>IF(ISERROR((AM114/AE114-1)*100),"NA",IF(((AM114/AE114-1)*100)&gt;100,"NM",IF(((AM114/AE114-1)*100)&lt;-50,"NM",(AM114/AE114-1)*100)))</f>
        <v>3.1034482758620641</v>
      </c>
      <c r="AO114" s="129">
        <v>55.5</v>
      </c>
      <c r="AP114" s="79">
        <f>IF(ISERROR((AO114/AG114-1)*100),"NA",IF(((AO114/AG114-1)*100)&gt;100,"NM",IF(((AO114/AG114-1)*100)&lt;-50,"NM",(AO114/AG114-1)*100)))</f>
        <v>-1.9434628975265045</v>
      </c>
      <c r="AQ114" s="129">
        <v>54.8</v>
      </c>
      <c r="AR114" s="79">
        <f>IF(ISERROR((AQ114/AI114-1)*100),"NA",IF(((AQ114/AI114-1)*100)&gt;100,"NM",IF(((AQ114/AI114-1)*100)&lt;-50,"NM",(AQ114/AI114-1)*100)))</f>
        <v>-1.0830324909747446</v>
      </c>
      <c r="AS114" s="129">
        <v>64.8</v>
      </c>
      <c r="AT114" s="81">
        <f>IF(ISERROR((AS114/AK114-1)*100),"NA",IF(((AS114/AK114-1)*100)&gt;100,"NM",IF(((AS114/AK114-1)*100)&lt;-50,"NM",(AS114/AK114-1)*100)))</f>
        <v>10.580204778156975</v>
      </c>
      <c r="AU114" s="129">
        <v>57</v>
      </c>
      <c r="AV114" s="81">
        <f>IF(ISERROR((AU114/AM114-1)*100),"NA",IF(((AU114/AM114-1)*100)&gt;100,"NM",IF(((AU114/AM114-1)*100)&lt;-50,"NM",(AU114/AM114-1)*100)))</f>
        <v>-4.6822742474916357</v>
      </c>
      <c r="AW114" s="129">
        <v>58.3</v>
      </c>
      <c r="AX114" s="81">
        <f>IF(ISERROR((AW114/AO114-1)*100),"NA",IF(((AW114/AO114-1)*100)&gt;100,"NM",IF(((AW114/AO114-1)*100)&lt;-50,"NM",(AW114/AO114-1)*100)))</f>
        <v>5.0450450450450379</v>
      </c>
      <c r="AY114" s="129">
        <v>59.2</v>
      </c>
      <c r="AZ114" s="81">
        <f>IF(ISERROR((AY114/AQ114-1)*100),"NA",IF(((AY114/AQ114-1)*100)&gt;100,"NM",IF(((AY114/AQ114-1)*100)&lt;-50,"NM",(AY114/AQ114-1)*100)))</f>
        <v>8.0291970802919721</v>
      </c>
      <c r="BA114" s="129">
        <v>61.5</v>
      </c>
      <c r="BB114" s="81">
        <f>IF(ISERROR((BA114/AS114-1)*100),"NA",IF(((BA114/AS114-1)*100)&gt;100,"NM",IF(((BA114/AS114-1)*100)&lt;-50,"NM",(BA114/AS114-1)*100)))</f>
        <v>-5.0925925925925934</v>
      </c>
      <c r="BC114" s="129">
        <v>59.6</v>
      </c>
      <c r="BD114" s="81">
        <f>IF(ISERROR((BC114/AU114-1)*100),"NA",IF(((BC114/AU114-1)*100)&gt;100,"NM",IF(((BC114/AU114-1)*100)&lt;-50,"NM",(BC114/AU114-1)*100)))</f>
        <v>4.5614035087719218</v>
      </c>
      <c r="BE114" s="129">
        <v>62.6</v>
      </c>
      <c r="BF114" s="81">
        <f>IF(ISERROR((BE114/AW114-1)*100),"NA",IF(((BE114/AW114-1)*100)&gt;100,"NM",IF(((BE114/AW114-1)*100)&lt;-50,"NM",(BE114/AW114-1)*100)))</f>
        <v>7.3756432246998349</v>
      </c>
      <c r="BG114" s="129">
        <v>61.4</v>
      </c>
      <c r="BH114" s="81">
        <f>IF(ISERROR((BG114/AY114-1)*100),"NA",IF(((BG114/AY114-1)*100)&gt;100,"NM",IF(((BG114/AY114-1)*100)&lt;-50,"NM",(BG114/AY114-1)*100)))</f>
        <v>3.716216216216206</v>
      </c>
      <c r="BI114" s="129">
        <v>67.8</v>
      </c>
      <c r="BJ114" s="81">
        <f>IF(ISERROR((BI114/BA114-1)*100),"NA",IF(((BI114/BA114-1)*100)&gt;100,"NM",IF(((BI114/BA114-1)*100)&lt;-50,"NM",(BI114/BA114-1)*100)))</f>
        <v>10.243902439024378</v>
      </c>
      <c r="BK114" s="129">
        <v>67.900000000000006</v>
      </c>
      <c r="BL114" s="81">
        <f>IF(ISERROR((BK114/BC114-1)*100),"NA",IF(((BK114/BC114-1)*100)&gt;100,"NM",IF(((BK114/BC114-1)*100)&lt;-50,"NM",(BK114/BC114-1)*100)))</f>
        <v>13.926174496644306</v>
      </c>
      <c r="BM114" s="129">
        <v>65.7</v>
      </c>
      <c r="BN114" s="81">
        <f>IF(ISERROR((BM114/BE114-1)*100),"NA",IF(((BM114/BE114-1)*100)&gt;100,"NM",IF(((BM114/BE114-1)*100)&lt;-50,"NM",(BM114/BE114-1)*100)))</f>
        <v>4.9520766773162972</v>
      </c>
      <c r="BO114" s="129">
        <v>65.900000000000006</v>
      </c>
      <c r="BP114" s="81">
        <f>IF(ISERROR((BO114/BG114-1)*100),"NA",IF(((BO114/BG114-1)*100)&gt;100,"NM",IF(((BO114/BG114-1)*100)&lt;-50,"NM",(BO114/BG114-1)*100)))</f>
        <v>7.3289902280130326</v>
      </c>
      <c r="BQ114" s="129">
        <v>72.3</v>
      </c>
      <c r="BR114" s="81">
        <f>IF(ISERROR((BQ114/BI114-1)*100),"NA",IF(((BQ114/BI114-1)*100)&gt;100,"NM",IF(((BQ114/BI114-1)*100)&lt;-50,"NM",(BQ114/BI114-1)*100)))</f>
        <v>6.6371681415929196</v>
      </c>
      <c r="BS114" s="129">
        <v>69.400000000000006</v>
      </c>
      <c r="BT114" s="81">
        <f>IF(ISERROR((BS114/BK114-1)*100),"NA",IF(((BS114/BK114-1)*100)&gt;100,"NM",IF(((BS114/BK114-1)*100)&lt;-50,"NM",(BS114/BK114-1)*100)))</f>
        <v>2.2091310751104487</v>
      </c>
      <c r="BU114" s="129">
        <v>63.7</v>
      </c>
      <c r="BV114" s="81">
        <f>IF(ISERROR((BU114/BM114-1)*100),"NA",IF(((BU114/BM114-1)*100)&gt;100,"NM",IF(((BU114/BM114-1)*100)&lt;-50,"NM",(BU114/BM114-1)*100)))</f>
        <v>-3.0441400304414001</v>
      </c>
      <c r="BW114" s="129">
        <v>63.6</v>
      </c>
      <c r="BX114" s="81">
        <f>IF(ISERROR((BW114/BO114-1)*100),"NA",IF(((BW114/BO114-1)*100)&gt;100,"NM",IF(((BW114/BO114-1)*100)&lt;-50,"NM",(BW114/BO114-1)*100)))</f>
        <v>-3.490136570561464</v>
      </c>
      <c r="BY114" s="129">
        <v>56.9</v>
      </c>
      <c r="BZ114" s="81">
        <f>IF(ISERROR((BY114/BQ114-1)*100),"NA",IF(((BY114/BQ114-1)*100)&gt;100,"NM",IF(((BY114/BQ114-1)*100)&lt;-50,"NM",(BY114/BQ114-1)*100)))</f>
        <v>-21.300138312586448</v>
      </c>
      <c r="CA114" s="129">
        <v>53.2</v>
      </c>
      <c r="CB114" s="81">
        <f>IF(ISERROR((CA114/BS114-1)*100),"NA",IF(((CA114/BS114-1)*100)&gt;100,"NM",IF(((CA114/BS114-1)*100)&lt;-50,"NM",(CA114/BS114-1)*100)))</f>
        <v>-23.342939481268012</v>
      </c>
      <c r="CC114" s="129">
        <v>52.6</v>
      </c>
      <c r="CD114" s="81">
        <f>IF(ISERROR((CC114/BU114-1)*100),"NA",IF(((CC114/BU114-1)*100)&gt;100,"NM",IF(((CC114/BU114-1)*100)&lt;-50,"NM",(CC114/BU114-1)*100)))</f>
        <v>-17.425431711146</v>
      </c>
      <c r="CE114" s="129">
        <v>48.9</v>
      </c>
      <c r="CF114" s="81">
        <f>IF(ISERROR((CE114/BW114-1)*100),"NA",IF(((CE114/BW114-1)*100)&gt;100,"NM",IF(((CE114/BW114-1)*100)&lt;-50,"NM",(CE114/BW114-1)*100)))</f>
        <v>-23.113207547169811</v>
      </c>
      <c r="CG114" s="129">
        <v>58.7</v>
      </c>
      <c r="CH114" s="81">
        <f>IF(ISERROR((CG114/BY114-1)*100),"NA",IF(((CG114/BY114-1)*100)&gt;100,"NM",IF(((CG114/BY114-1)*100)&lt;-50,"NM",(CG114/BY114-1)*100)))</f>
        <v>3.1634446397188043</v>
      </c>
      <c r="CI114" s="129">
        <v>55.3</v>
      </c>
      <c r="CJ114" s="81">
        <f>IF(ISERROR((CI114/CA114-1)*100),"NA",IF(((CI114/CA114-1)*100)&gt;100,"NM",IF(((CI114/CA114-1)*100)&lt;-50,"NM",(CI114/CA114-1)*100)))</f>
        <v>3.9473684210526105</v>
      </c>
      <c r="CK114" s="129">
        <v>55.4</v>
      </c>
      <c r="CL114" s="81">
        <f>IF(ISERROR((CK114/CC114-1)*100),"NA",IF(((CK114/CC114-1)*100)&gt;100,"NM",IF(((CK114/CC114-1)*100)&lt;-50,"NM",(CK114/CC114-1)*100)))</f>
        <v>5.323193916349811</v>
      </c>
      <c r="CM114" s="129">
        <v>49.6</v>
      </c>
      <c r="CN114" s="81">
        <f>IF(ISERROR((CM114/CE114-1)*100),"NA",IF(((CM114/CE114-1)*100)&gt;100,"NM",IF(((CM114/CE114-1)*100)&lt;-50,"NM",(CM114/CE114-1)*100)))</f>
        <v>1.4314928425357865</v>
      </c>
      <c r="CO114" s="129">
        <v>62.7</v>
      </c>
      <c r="CP114" s="81">
        <f>IF(ISERROR((CO114/CG114-1)*100),"NA",IF(((CO114/CG114-1)*100)&gt;100,"NM",IF(((CO114/CG114-1)*100)&lt;-50,"NM",(CO114/CG114-1)*100)))</f>
        <v>6.8143100511073307</v>
      </c>
      <c r="CQ114" s="129">
        <v>63.5</v>
      </c>
      <c r="CR114" s="81">
        <f>IF(ISERROR((CQ114/CI114-1)*100),"NA",IF(((CQ114/CI114-1)*100)&gt;100,"NM",IF(((CQ114/CI114-1)*100)&lt;-50,"NM",(CQ114/CI114-1)*100)))</f>
        <v>14.828209764918633</v>
      </c>
      <c r="CS114" s="129">
        <v>58.9</v>
      </c>
      <c r="CT114" s="81">
        <f>IF(ISERROR((CS114/CK114-1)*100),"NA",IF(((CS114/CK114-1)*100)&gt;100,"NM",IF(((CS114/CK114-1)*100)&lt;-50,"NM",(CS114/CK114-1)*100)))</f>
        <v>6.3176895306859215</v>
      </c>
      <c r="CU114" s="129">
        <v>58.5</v>
      </c>
      <c r="CV114" s="81">
        <f>IF(ISERROR((CU114/CM114-1)*100),"NA",IF(((CU114/CM114-1)*100)&gt;100,"NM",IF(((CU114/CM114-1)*100)&lt;-50,"NM",(CU114/CM114-1)*100)))</f>
        <v>17.943548387096776</v>
      </c>
      <c r="CW114" s="129">
        <v>63.9</v>
      </c>
      <c r="CX114" s="81">
        <f>IF(ISERROR((CW114/CO114-1)*100),"NA",IF(((CW114/CO114-1)*100)&gt;100,"NM",IF(((CW114/CO114-1)*100)&lt;-50,"NM",(CW114/CO114-1)*100)))</f>
        <v>1.9138755980861122</v>
      </c>
      <c r="CY114" s="129">
        <v>54.8</v>
      </c>
      <c r="CZ114" s="81">
        <f>IF(ISERROR((CY114/CQ114-1)*100),"NA",IF(((CY114/CQ114-1)*100)&gt;100,"NM",IF(((CY114/CQ114-1)*100)&lt;-50,"NM",(CY114/CQ114-1)*100)))</f>
        <v>-13.700787401574811</v>
      </c>
      <c r="DA114" s="129">
        <v>56.6</v>
      </c>
      <c r="DB114" s="81">
        <f>IF(ISERROR((DA114/CS114-1)*100),"NA",IF(((DA114/CS114-1)*100)&gt;100,"NM",IF(((DA114/CS114-1)*100)&lt;-50,"NM",(DA114/CS114-1)*100)))</f>
        <v>-3.9049235993208753</v>
      </c>
      <c r="DC114" s="129">
        <v>57</v>
      </c>
      <c r="DD114" s="81">
        <f>IF(ISERROR((DC114/CU114-1)*100),"NA",IF(((DC114/CU114-1)*100)&gt;100,"NM",IF(((DC114/CU114-1)*100)&lt;-50,"NM",(DC114/CU114-1)*100)))</f>
        <v>-2.5641025641025661</v>
      </c>
      <c r="DE114" s="129">
        <v>66.599999999999994</v>
      </c>
      <c r="DF114" s="81">
        <f>IF(ISERROR((DE114/CW114-1)*100),"NA",IF(((DE114/CW114-1)*100)&gt;100,"NM",IF(((DE114/CW114-1)*100)&lt;-50,"NM",(DE114/CW114-1)*100)))</f>
        <v>4.2253521126760507</v>
      </c>
      <c r="DG114" s="129">
        <v>61.9</v>
      </c>
      <c r="DH114" s="81">
        <f>IF(ISERROR((DG114/CY114-1)*100),"NA",IF(((DG114/CY114-1)*100)&gt;100,"NM",IF(((DG114/CY114-1)*100)&lt;-50,"NM",(DG114/CY114-1)*100)))</f>
        <v>12.956204379562042</v>
      </c>
      <c r="DI114" s="129">
        <v>62.3</v>
      </c>
      <c r="DJ114" s="81">
        <f>IF(ISERROR((DI114/DA114-1)*100),"NA",IF(((DI114/DA114-1)*100)&gt;100,"NM",IF(((DI114/DA114-1)*100)&lt;-50,"NM",(DI114/DA114-1)*100)))</f>
        <v>10.070671378091856</v>
      </c>
      <c r="DK114" s="129">
        <v>63.4</v>
      </c>
      <c r="DL114" s="81">
        <f>IF(ISERROR((DK114/DC114-1)*100),"NA",IF(((DK114/DC114-1)*100)&gt;100,"NM",IF(((DK114/DC114-1)*100)&lt;-50,"NM",(DK114/DC114-1)*100)))</f>
        <v>11.228070175438587</v>
      </c>
      <c r="DM114" s="129">
        <v>71.099999999999994</v>
      </c>
      <c r="DN114" s="81">
        <f>IF(ISERROR((DM114/DE114-1)*100),"NA",IF(((DM114/DE114-1)*100)&gt;100,"NM",IF(((DM114/DE114-1)*100)&lt;-50,"NM",(DM114/DE114-1)*100)))</f>
        <v>6.7567567567567544</v>
      </c>
      <c r="DO114" s="129">
        <v>66.3</v>
      </c>
      <c r="DP114" s="81">
        <f>IF(ISERROR((DO114/DG114-1)*100),"NA",IF(((DO114/DG114-1)*100)&gt;100,"NM",IF(((DO114/DG114-1)*100)&lt;-50,"NM",(DO114/DG114-1)*100)))</f>
        <v>7.1082390953150165</v>
      </c>
      <c r="DQ114" s="129">
        <v>65</v>
      </c>
      <c r="DR114" s="81">
        <f>IF(ISERROR((DQ114/DI114-1)*100),"NA",IF(((DQ114/DI114-1)*100)&gt;100,"NM",IF(((DQ114/DI114-1)*100)&lt;-50,"NM",(DQ114/DI114-1)*100)))</f>
        <v>4.3338683788122001</v>
      </c>
      <c r="DS114" s="129">
        <v>66.400000000000006</v>
      </c>
      <c r="DT114" s="81">
        <f>IF(ISERROR((DS114/DK114-1)*100),"NA",IF(((DS114/DK114-1)*100)&gt;100,"NM",IF(((DS114/DK114-1)*100)&lt;-50,"NM",(DS114/DK114-1)*100)))</f>
        <v>4.7318611987381853</v>
      </c>
      <c r="DU114" s="129">
        <v>71.5</v>
      </c>
      <c r="DV114" s="81">
        <f>IF(ISERROR((DU114/DM114-1)*100),"NA",IF(((DU114/DM114-1)*100)&gt;100,"NM",IF(((DU114/DM114-1)*100)&lt;-50,"NM",(DU114/DM114-1)*100)))</f>
        <v>0.56258790436005679</v>
      </c>
      <c r="DW114" s="129">
        <v>69.5</v>
      </c>
      <c r="DX114" s="81">
        <f>IF(ISERROR((DW114/DO114-1)*100),"NA",IF(((DW114/DO114-1)*100)&gt;100,"NM",IF(((DW114/DO114-1)*100)&lt;-50,"NM",(DW114/DO114-1)*100)))</f>
        <v>4.8265460030165963</v>
      </c>
      <c r="DY114" s="129">
        <v>69.7</v>
      </c>
      <c r="DZ114" s="81">
        <f>IF(ISERROR((DY114/DQ114-1)*100),"NA",IF(((DY114/DQ114-1)*100)&gt;100,"NM",IF(((DY114/DQ114-1)*100)&lt;-50,"NM",(DY114/DQ114-1)*100)))</f>
        <v>7.2307692307692406</v>
      </c>
      <c r="EA114" s="129">
        <v>64.7</v>
      </c>
      <c r="EB114" s="81">
        <f>IF(ISERROR((EA114/DS114-1)*100),"NA",IF(((EA114/DS114-1)*100)&gt;100,"NM",IF(((EA114/DS114-1)*100)&lt;-50,"NM",(EA114/DS114-1)*100)))</f>
        <v>-2.5602409638554202</v>
      </c>
      <c r="EC114" s="129">
        <v>74.2</v>
      </c>
      <c r="ED114" s="81">
        <f t="shared" si="411"/>
        <v>3.7762237762237749</v>
      </c>
      <c r="EE114" s="129">
        <v>67.7</v>
      </c>
      <c r="EF114" s="81">
        <f t="shared" si="412"/>
        <v>-2.5899280575539474</v>
      </c>
      <c r="EG114" s="129">
        <v>65</v>
      </c>
      <c r="EH114" s="81">
        <f t="shared" si="413"/>
        <v>-6.7431850789096188</v>
      </c>
      <c r="EI114" s="129">
        <v>70.7</v>
      </c>
      <c r="EJ114" s="81">
        <f t="shared" si="414"/>
        <v>9.2735703245749654</v>
      </c>
      <c r="EK114" s="214">
        <f t="shared" ref="EK114:EQ114" si="420">+EK107*EK121/100</f>
        <v>70.121570599999998</v>
      </c>
      <c r="EL114" s="81">
        <f t="shared" si="416"/>
        <v>-5.496535579514827</v>
      </c>
      <c r="EM114" s="214">
        <f t="shared" si="420"/>
        <v>71.383758870799994</v>
      </c>
      <c r="EN114" s="81">
        <f t="shared" si="417"/>
        <v>5.4412981843426689</v>
      </c>
      <c r="EO114" s="214">
        <f t="shared" si="420"/>
        <v>72.668666530474397</v>
      </c>
      <c r="EP114" s="81">
        <f t="shared" si="418"/>
        <v>11.797948508422152</v>
      </c>
      <c r="EQ114" s="214">
        <f t="shared" si="420"/>
        <v>73.758696528431514</v>
      </c>
      <c r="ER114" s="81">
        <f t="shared" si="419"/>
        <v>4.3263034348394847</v>
      </c>
      <c r="ES114" s="129"/>
      <c r="ET114" s="469"/>
      <c r="EU114" s="129"/>
      <c r="EV114" s="95"/>
      <c r="EW114" s="79"/>
      <c r="EX114" s="95"/>
      <c r="EY114" s="79"/>
      <c r="EZ114" s="131"/>
      <c r="FA114" s="79"/>
      <c r="FB114" s="35"/>
      <c r="FC114" s="79"/>
      <c r="FD114" s="129">
        <v>213.6</v>
      </c>
      <c r="FE114" s="79" t="str">
        <f>IF(ISERROR((FD114/FB114-1)*100),"NA",IF(((FD114/FB114-1)*100)&gt;100,"NM",IF(((FD114/FB114-1)*100)&lt;-50,"NM",(FD114/FB114-1)*100)))</f>
        <v>NA</v>
      </c>
      <c r="FF114" s="129">
        <v>235.5</v>
      </c>
      <c r="FG114" s="79">
        <f>IF(ISERROR((FF114/FD114-1)*100),"NA",IF(((FF114/FD114-1)*100)&gt;100,"NM",IF(((FF114/FD114-1)*100)&lt;-50,"NM",(FF114/FD114-1)*100)))</f>
        <v>10.252808988764039</v>
      </c>
      <c r="FH114" s="129">
        <v>233.1</v>
      </c>
      <c r="FI114" s="79">
        <f>IF(ISERROR((FH114/FF114-1)*100),"NA",IF(((FH114/FF114-1)*100)&gt;100,"NM",IF(((FH114/FF114-1)*100)&lt;-50,"NM",(FH114/FF114-1)*100)))</f>
        <v>-1.0191082802547768</v>
      </c>
      <c r="FJ114" s="35">
        <f>+AQ114+AO114+AM114+AK114</f>
        <v>228.7</v>
      </c>
      <c r="FK114" s="79">
        <f>IF(ISERROR((FJ114/FH114-1)*100),"NA",IF(((FJ114/FH114-1)*100)&gt;100,"NM",IF(((FJ114/FH114-1)*100)&lt;-50,"NM",(FJ114/FH114-1)*100)))</f>
        <v>-1.8876018876018863</v>
      </c>
      <c r="FL114" s="78">
        <f>AS114+AU114+AW114+AY114</f>
        <v>239.3</v>
      </c>
      <c r="FM114" s="79">
        <f>IF(ISERROR((FL114/FJ114-1)*100),"NA",IF(((FL114/FJ114-1)*100)&gt;100,"NM",IF(((FL114/FJ114-1)*100)&lt;-50,"NM",(FL114/FJ114-1)*100)))</f>
        <v>4.6348928727590888</v>
      </c>
      <c r="FN114" s="78">
        <f>BA114+BC114+BE114+BG114</f>
        <v>245.1</v>
      </c>
      <c r="FO114" s="79">
        <f>IF(ISERROR((FN114/FL114-1)*100),"NA",IF(((FN114/FL114-1)*100)&gt;100,"NM",IF(((FN114/FL114-1)*100)&lt;-50,"NM",(FN114/FL114-1)*100)))</f>
        <v>2.4237358963643985</v>
      </c>
      <c r="FP114" s="78">
        <f>BI114+BK114+BM114+BO114</f>
        <v>267.29999999999995</v>
      </c>
      <c r="FQ114" s="79">
        <f>IF(ISERROR((FP114/FN114-1)*100),"NA",IF(((FP114/FN114-1)*100)&gt;100,"NM",IF(((FP114/FN114-1)*100)&lt;-50,"NM",(FP114/FN114-1)*100)))</f>
        <v>9.0575275397796631</v>
      </c>
      <c r="FR114" s="129">
        <v>200.7</v>
      </c>
      <c r="FS114" s="79">
        <f>IF(ISERROR((FR114/FP114-1)*100),"NA",IF(((FR114/FP114-1)*100)&gt;100,"NM",IF(((FR114/FP114-1)*100)&lt;-50,"NM",(FR114/FP114-1)*100)))</f>
        <v>-24.915824915824903</v>
      </c>
      <c r="FT114" s="214">
        <f>BY114+CA114+CC114+CE114</f>
        <v>211.6</v>
      </c>
      <c r="FU114" s="79">
        <f>IF(ISERROR((FT114/FR114-1)*100),"NA",IF(((FT114/FR114-1)*100)&gt;100,"NM",IF(((FT114/FR114-1)*100)&lt;-50,"NM",(FT114/FR114-1)*100)))</f>
        <v>5.4309915296462341</v>
      </c>
      <c r="FV114" s="214">
        <f>CG114+CI114+CK114+CM114</f>
        <v>219</v>
      </c>
      <c r="FW114" s="79">
        <f>IF(ISERROR((FV114/FT114-1)*100),"NA",IF(((FV114/FT114-1)*100)&gt;100,"NM",IF(((FV114/FT114-1)*100)&lt;-50,"NM",(FV114/FT114-1)*100)))</f>
        <v>3.4971644612476371</v>
      </c>
      <c r="FX114" s="214">
        <f>CO114+CQ114+CS114+CU114</f>
        <v>243.6</v>
      </c>
      <c r="FY114" s="79">
        <f>IF(ISERROR((FX114/FV114-1)*100),"NA",IF(((FX114/FV114-1)*100)&gt;100,"NM",IF(((FX114/FV114-1)*100)&lt;-50,"NM",(FX114/FV114-1)*100)))</f>
        <v>11.232876712328753</v>
      </c>
      <c r="FZ114" s="214">
        <f>CW114+CY114+DA114+DC114</f>
        <v>232.29999999999998</v>
      </c>
      <c r="GA114" s="79">
        <f>IF(ISERROR((FZ114/FX114-1)*100),"NA",IF(((FZ114/FX114-1)*100)&gt;100,"NM",IF(((FZ114/FX114-1)*100)&lt;-50,"NM",(FZ114/FX114-1)*100)))</f>
        <v>-4.6387520525451587</v>
      </c>
      <c r="GB114" s="214">
        <f>DE114+DG114+DI114+DK114</f>
        <v>254.20000000000002</v>
      </c>
      <c r="GC114" s="79">
        <f>IF(ISERROR((GB114/FZ114-1)*100),"NA",IF(((GB114/FZ114-1)*100)&gt;100,"NM",IF(((GB114/FZ114-1)*100)&lt;-50,"NM",(GB114/FZ114-1)*100)))</f>
        <v>9.4274644855790068</v>
      </c>
      <c r="GD114" s="214">
        <f>DM114+DO114+DQ114+DS114</f>
        <v>268.79999999999995</v>
      </c>
      <c r="GE114" s="79">
        <f>IF(ISERROR((GD114/GB114-1)*100),"NA",IF(((GD114/GB114-1)*100)&gt;100,"NM",IF(((GD114/GB114-1)*100)&lt;-50,"NM",(GD114/GB114-1)*100)))</f>
        <v>5.7435090479936779</v>
      </c>
      <c r="GF114" s="214">
        <f>DU114+DW114+DY114+EA114</f>
        <v>275.39999999999998</v>
      </c>
      <c r="GG114" s="79">
        <f>IF(ISERROR((GF114/GD114-1)*100),"NA",IF(((GF114/GD114-1)*100)&gt;100,"NM",IF(((GF114/GD114-1)*100)&lt;-50,"NM",(GF114/GD114-1)*100)))</f>
        <v>2.4553571428571619</v>
      </c>
      <c r="GH114" s="214">
        <f>EC114+EE114+EG114+EI114</f>
        <v>277.60000000000002</v>
      </c>
      <c r="GI114" s="79">
        <f>IF(ISERROR((GH114/GF114-1)*100),"NA",IF(((GH114/GF114-1)*100)&gt;100,"NM",IF(((GH114/GF114-1)*100)&lt;-50,"NM",(GH114/GF114-1)*100)))</f>
        <v>0.79883805374003636</v>
      </c>
      <c r="GJ114" s="214">
        <f>EK114+EM114+EO114+EQ114</f>
        <v>287.93269252970595</v>
      </c>
      <c r="GK114" s="79">
        <f>IF(ISERROR((GJ114/GH114-1)*100),"NA",IF(((GJ114/GH114-1)*100)&gt;100,"NM",IF(((GJ114/GH114-1)*100)&lt;-50,"NM",(GJ114/GH114-1)*100)))</f>
        <v>3.7221514876462303</v>
      </c>
      <c r="GL114" s="214">
        <f>+GL107*GL121/100</f>
        <v>302.32932715619125</v>
      </c>
      <c r="GM114" s="79">
        <f>IF(ISERROR((GL114/GJ114-1)*100),"NA",IF(((GL114/GJ114-1)*100)&gt;100,"NM",IF(((GL114/GJ114-1)*100)&lt;-50,"NM",(GL114/GJ114-1)*100)))</f>
        <v>5.0000000000000044</v>
      </c>
      <c r="GN114" s="214">
        <f>+GN107*GN121/100</f>
        <v>317.44579351400085</v>
      </c>
      <c r="GO114" s="79">
        <f>IF(ISERROR((GN114/GL114-1)*100),"NA",IF(((GN114/GL114-1)*100)&gt;100,"NM",IF(((GN114/GL114-1)*100)&lt;-50,"NM",(GN114/GL114-1)*100)))</f>
        <v>5.0000000000000044</v>
      </c>
      <c r="GP114" s="214">
        <f>+GP107*GP121/100</f>
        <v>333.31808318970087</v>
      </c>
      <c r="GQ114" s="79">
        <f>IF(ISERROR((GP114/GN114-1)*100),"NA",IF(((GP114/GN114-1)*100)&gt;100,"NM",IF(((GP114/GN114-1)*100)&lt;-50,"NM",(GP114/GN114-1)*100)))</f>
        <v>4.9999999999999822</v>
      </c>
      <c r="GR114" s="214">
        <f>+GR107*GR121/100</f>
        <v>349.9839873491859</v>
      </c>
      <c r="GS114" s="79">
        <f>IF(ISERROR((GR114/GP114-1)*100),"NA",IF(((GR114/GP114-1)*100)&gt;100,"NM",IF(((GR114/GP114-1)*100)&lt;-50,"NM",(GR114/GP114-1)*100)))</f>
        <v>5.0000000000000044</v>
      </c>
      <c r="GT114" s="79">
        <f>IF(ISERROR(((GR114/GH114)^0.2-1)*100),"NA",(IF(OR(((GR114/GH114)^0.2-1)*100&gt;99,((GR114/GH114)^0.2-1)*100&lt;-50),"NM",(((GR114/GH114)^0.2-1)*100))))</f>
        <v>4.743177023058176</v>
      </c>
      <c r="GU114" s="562"/>
      <c r="GV114" s="562"/>
      <c r="GW114"/>
      <c r="GX114"/>
      <c r="GY114"/>
      <c r="GZ114"/>
      <c r="HA114"/>
      <c r="HB114"/>
      <c r="HC114" s="562"/>
      <c r="HD114" s="562"/>
      <c r="HE114" s="562"/>
      <c r="HF114" s="562"/>
      <c r="HG114" s="562"/>
      <c r="HH114" s="562"/>
      <c r="HI114" s="562"/>
      <c r="HJ114" s="562"/>
      <c r="HK114" s="562"/>
      <c r="HL114" s="562"/>
      <c r="HM114" s="562"/>
      <c r="HN114" s="562"/>
      <c r="HO114" s="562"/>
      <c r="HP114" s="562"/>
      <c r="HQ114" s="562"/>
      <c r="HR114" s="562"/>
      <c r="HS114" s="562"/>
      <c r="HT114" s="562"/>
      <c r="HU114" s="562"/>
      <c r="HV114" s="562"/>
      <c r="HW114" s="562"/>
      <c r="HX114" s="562"/>
      <c r="HY114" s="562"/>
      <c r="HZ114" s="562"/>
      <c r="IA114" s="562"/>
      <c r="IB114" s="562"/>
      <c r="IC114" s="562"/>
      <c r="ID114" s="562"/>
      <c r="IE114" s="562"/>
      <c r="IF114" s="562"/>
      <c r="IG114" s="562"/>
      <c r="IH114" s="562"/>
      <c r="II114" s="562"/>
      <c r="IJ114" s="562"/>
      <c r="IK114" s="562"/>
      <c r="IL114" s="562"/>
      <c r="IM114" s="562"/>
      <c r="IN114" s="562"/>
      <c r="IO114" s="562"/>
      <c r="IP114" s="562"/>
      <c r="IQ114" s="562"/>
      <c r="IR114" s="562"/>
      <c r="IS114" s="562"/>
      <c r="IT114" s="562"/>
      <c r="IU114" s="562"/>
      <c r="IV114" s="562"/>
      <c r="IW114" s="562"/>
      <c r="IX114" s="562"/>
      <c r="IY114" s="562"/>
      <c r="IZ114" s="562"/>
      <c r="JA114" s="562"/>
      <c r="JB114" s="562"/>
      <c r="JC114" s="562"/>
      <c r="JD114" s="562"/>
      <c r="JE114" s="562"/>
      <c r="JF114" s="562"/>
      <c r="JG114" s="562"/>
      <c r="JH114" s="562"/>
      <c r="JI114" s="562"/>
      <c r="JJ114" s="562"/>
      <c r="JK114" s="562"/>
      <c r="JL114" s="562"/>
      <c r="JM114" s="562"/>
      <c r="JN114" s="562"/>
      <c r="JO114" s="562"/>
      <c r="JP114" s="562"/>
      <c r="JQ114" s="562"/>
      <c r="JR114" s="562"/>
      <c r="JS114" s="562"/>
      <c r="JT114" s="562"/>
      <c r="JU114" s="562"/>
      <c r="JV114" s="562"/>
      <c r="JW114" s="562"/>
      <c r="JX114" s="562"/>
      <c r="JY114" s="562"/>
      <c r="JZ114" s="562"/>
    </row>
    <row r="115" spans="1:286" s="132" customFormat="1" ht="12.75" customHeight="1" x14ac:dyDescent="0.2">
      <c r="A115" s="133"/>
      <c r="B115" s="2" t="s">
        <v>311</v>
      </c>
      <c r="C115" s="79"/>
      <c r="D115" s="79"/>
      <c r="E115" s="129"/>
      <c r="F115" s="129"/>
      <c r="G115" s="129"/>
      <c r="H115" s="129"/>
      <c r="I115" s="129"/>
      <c r="J115" s="129"/>
      <c r="K115" s="129"/>
      <c r="L115" s="79"/>
      <c r="M115" s="129"/>
      <c r="N115" s="79"/>
      <c r="O115" s="129"/>
      <c r="P115" s="79"/>
      <c r="Q115" s="129"/>
      <c r="R115" s="79"/>
      <c r="S115" s="129"/>
      <c r="T115" s="79"/>
      <c r="U115" s="95"/>
      <c r="V115" s="79"/>
      <c r="W115" s="95"/>
      <c r="X115" s="79"/>
      <c r="Y115" s="95"/>
      <c r="Z115" s="79"/>
      <c r="AA115" s="126"/>
      <c r="AB115" s="79"/>
      <c r="AC115" s="95">
        <f>-119.8+63.9-AE115</f>
        <v>-30.200000000000003</v>
      </c>
      <c r="AD115" s="79" t="str">
        <f>IF(ISERROR((AC115/U115-1)*100),"NA",IF(((AC115/U115-1)*100)&gt;100,"NM",IF(((AC115/U115-1)*100)&lt;-50,"NM",(AC115/U115-1)*100)))</f>
        <v>NA</v>
      </c>
      <c r="AE115" s="95">
        <f>-57.9+32.2</f>
        <v>-25.699999999999996</v>
      </c>
      <c r="AF115" s="79" t="str">
        <f>IF(ISERROR((AE115/W115-1)*100),"NA",IF(((AE115/W115-1)*100)&gt;100,"NM",IF(((AE115/W115-1)*100)&lt;-50,"NM",(AE115/W115-1)*100)))</f>
        <v>NA</v>
      </c>
      <c r="AG115" s="95">
        <f>-52.4+31.1</f>
        <v>-21.299999999999997</v>
      </c>
      <c r="AH115" s="79" t="str">
        <f>IF(ISERROR((AG115/Y115-1)*100),"NA",IF(((AG115/Y115-1)*100)&gt;100,"NM",IF(((AG115/Y115-1)*100)&lt;-50,"NM",(AG115/Y115-1)*100)))</f>
        <v>NA</v>
      </c>
      <c r="AI115" s="75">
        <f>FH115-AG115-AE115-AC115</f>
        <v>-18.900000000000013</v>
      </c>
      <c r="AJ115" s="79" t="str">
        <f>IF(ISERROR((AI115/AA115-1)*100),"NA",IF(((AI115/AA115-1)*100)&gt;100,"NM",IF(((AI115/AA115-1)*100)&lt;-50,"NM",(AI115/AA115-1)*100)))</f>
        <v>NA</v>
      </c>
      <c r="AK115" s="95">
        <f>-106.3+75-AM115</f>
        <v>-17.399999999999999</v>
      </c>
      <c r="AL115" s="79">
        <f>IF(ISERROR((AK115/AC115-1)*100),"NA",IF(((AK115/AC115-1)*100)&gt;100,"NM",IF(((AK115/AC115-1)*100)&lt;-50,"NM",(AK115/AC115-1)*100)))</f>
        <v>-42.384105960264904</v>
      </c>
      <c r="AM115" s="95">
        <f>-53.8+39.9</f>
        <v>-13.899999999999999</v>
      </c>
      <c r="AN115" s="79">
        <f>IF(ISERROR((AM115/AE115-1)*100),"NA",IF(((AM115/AE115-1)*100)&gt;100,"NM",IF(((AM115/AE115-1)*100)&lt;-50,"NM",(AM115/AE115-1)*100)))</f>
        <v>-45.914396887159526</v>
      </c>
      <c r="AO115" s="95">
        <f>-49.5+34.6</f>
        <v>-14.899999999999999</v>
      </c>
      <c r="AP115" s="79">
        <f>IF(ISERROR((AO115/AG115-1)*100),"NA",IF(((AO115/AG115-1)*100)&gt;100,"NM",IF(((AO115/AG115-1)*100)&lt;-50,"NM",(AO115/AG115-1)*100)))</f>
        <v>-30.046948356807512</v>
      </c>
      <c r="AQ115" s="95">
        <f>32.1-48.8</f>
        <v>-16.699999999999996</v>
      </c>
      <c r="AR115" s="79">
        <f>IF(ISERROR((AQ115/AI115-1)*100),"NA",IF(((AQ115/AI115-1)*100)&gt;100,"NM",IF(((AQ115/AI115-1)*100)&lt;-50,"NM",(AQ115/AI115-1)*100)))</f>
        <v>-11.640211640211717</v>
      </c>
      <c r="AS115" s="95">
        <f>-54+40.6</f>
        <v>-13.399999999999999</v>
      </c>
      <c r="AT115" s="81">
        <f>IF(ISERROR((AS115/AK115-1)*100),"NA",IF(((AS115/AK115-1)*100)&gt;100,"NM",IF(((AS115/AK115-1)*100)&lt;-50,"NM",(AS115/AK115-1)*100)))</f>
        <v>-22.988505747126442</v>
      </c>
      <c r="AU115" s="95">
        <f>-49.7+39.8</f>
        <v>-9.9000000000000057</v>
      </c>
      <c r="AV115" s="81">
        <f>IF(ISERROR((AU115/AM115-1)*100),"NA",IF(((AU115/AM115-1)*100)&gt;100,"NM",IF(((AU115/AM115-1)*100)&lt;-50,"NM",(AU115/AM115-1)*100)))</f>
        <v>-28.776978417266143</v>
      </c>
      <c r="AW115" s="95">
        <f>-47.4+35.5</f>
        <v>-11.899999999999999</v>
      </c>
      <c r="AX115" s="81">
        <f>IF(ISERROR((AW115/AO115-1)*100),"NA",IF(((AW115/AO115-1)*100)&gt;100,"NM",IF(((AW115/AO115-1)*100)&lt;-50,"NM",(AW115/AO115-1)*100)))</f>
        <v>-20.134228187919469</v>
      </c>
      <c r="AY115" s="95">
        <f>-52.9+34.9+0.1</f>
        <v>-17.899999999999999</v>
      </c>
      <c r="AZ115" s="81">
        <f>IF(ISERROR((AY115/AQ115-1)*100),"NA",IF(((AY115/AQ115-1)*100)&gt;100,"NM",IF(((AY115/AQ115-1)*100)&lt;-50,"NM",(AY115/AQ115-1)*100)))</f>
        <v>7.1856287425149823</v>
      </c>
      <c r="BA115" s="95">
        <f>-51.9+40.5</f>
        <v>-11.399999999999999</v>
      </c>
      <c r="BB115" s="81">
        <f>IF(ISERROR((BA115/AS115-1)*100),"NA",IF(((BA115/AS115-1)*100)&gt;100,"NM",IF(((BA115/AS115-1)*100)&lt;-50,"NM",(BA115/AS115-1)*100)))</f>
        <v>-14.925373134328357</v>
      </c>
      <c r="BC115" s="95">
        <f>-49.8+44.7</f>
        <v>-5.0999999999999943</v>
      </c>
      <c r="BD115" s="81">
        <f>IF(ISERROR((BC115/AU115-1)*100),"NA",IF(((BC115/AU115-1)*100)&gt;100,"NM",IF(((BC115/AU115-1)*100)&lt;-50,"NM",(BC115/AU115-1)*100)))</f>
        <v>-48.484848484848577</v>
      </c>
      <c r="BE115" s="95">
        <f>-52.8+44.4</f>
        <v>-8.3999999999999986</v>
      </c>
      <c r="BF115" s="81">
        <f>IF(ISERROR((BE115/AW115-1)*100),"NA",IF(((BE115/AW115-1)*100)&gt;100,"NM",IF(((BE115/AW115-1)*100)&lt;-50,"NM",(BE115/AW115-1)*100)))</f>
        <v>-29.411764705882359</v>
      </c>
      <c r="BG115" s="95">
        <f>-53.2+41.9</f>
        <v>-11.300000000000004</v>
      </c>
      <c r="BH115" s="81">
        <f>IF(ISERROR((BG115/AY115-1)*100),"NA",IF(((BG115/AY115-1)*100)&gt;100,"NM",IF(((BG115/AY115-1)*100)&lt;-50,"NM",(BG115/AY115-1)*100)))</f>
        <v>-36.87150837988824</v>
      </c>
      <c r="BI115" s="95">
        <f>-57.1+48.6</f>
        <v>-8.5</v>
      </c>
      <c r="BJ115" s="81">
        <f>IF(ISERROR((BI115/BA115-1)*100),"NA",IF(((BI115/BA115-1)*100)&gt;100,"NM",IF(((BI115/BA115-1)*100)&lt;-50,"NM",(BI115/BA115-1)*100)))</f>
        <v>-25.438596491228061</v>
      </c>
      <c r="BK115" s="95">
        <f>-59.3+45</f>
        <v>-14.299999999999997</v>
      </c>
      <c r="BL115" s="81" t="str">
        <f>IF(ISERROR((BK115/BC115-1)*100),"NA",IF(((BK115/BC115-1)*100)&gt;100,"NM",IF(((BK115/BC115-1)*100)&lt;-50,"NM",(BK115/BC115-1)*100)))</f>
        <v>NM</v>
      </c>
      <c r="BM115" s="95">
        <f>-56.5+46.7</f>
        <v>-9.7999999999999972</v>
      </c>
      <c r="BN115" s="81">
        <f>IF(ISERROR((BM115/BE115-1)*100),"NA",IF(((BM115/BE115-1)*100)&gt;100,"NM",IF(((BM115/BE115-1)*100)&lt;-50,"NM",(BM115/BE115-1)*100)))</f>
        <v>16.66666666666665</v>
      </c>
      <c r="BO115" s="95">
        <f>-57.1+48.3</f>
        <v>-8.8000000000000043</v>
      </c>
      <c r="BP115" s="81">
        <f>IF(ISERROR((BO115/BG115-1)*100),"NA",IF(((BO115/BG115-1)*100)&gt;100,"NM",IF(((BO115/BG115-1)*100)&lt;-50,"NM",(BO115/BG115-1)*100)))</f>
        <v>-22.123893805309724</v>
      </c>
      <c r="BQ115" s="95">
        <f>-62.5+50.3</f>
        <v>-12.200000000000003</v>
      </c>
      <c r="BR115" s="81">
        <f>IF(ISERROR((BQ115/BI115-1)*100),"NA",IF(((BQ115/BI115-1)*100)&gt;100,"NM",IF(((BQ115/BI115-1)*100)&lt;-50,"NM",(BQ115/BI115-1)*100)))</f>
        <v>43.529411764705905</v>
      </c>
      <c r="BS115" s="95">
        <f>-57.2+52.7</f>
        <v>-4.5</v>
      </c>
      <c r="BT115" s="81" t="str">
        <f>IF(ISERROR((BS115/BK115-1)*100),"NA",IF(((BS115/BK115-1)*100)&gt;100,"NM",IF(((BS115/BK115-1)*100)&lt;-50,"NM",(BS115/BK115-1)*100)))</f>
        <v>NM</v>
      </c>
      <c r="BU115" s="95">
        <f>-50.8+49.8</f>
        <v>-1</v>
      </c>
      <c r="BV115" s="81" t="str">
        <f>IF(ISERROR((BU115/BM115-1)*100),"NA",IF(((BU115/BM115-1)*100)&gt;100,"NM",IF(((BU115/BM115-1)*100)&lt;-50,"NM",(BU115/BM115-1)*100)))</f>
        <v>NM</v>
      </c>
      <c r="BW115" s="95">
        <f>-54.4+51.2</f>
        <v>-3.1999999999999957</v>
      </c>
      <c r="BX115" s="81" t="str">
        <f>IF(ISERROR((BW115/BO115-1)*100),"NA",IF(((BW115/BO115-1)*100)&gt;100,"NM",IF(((BW115/BO115-1)*100)&lt;-50,"NM",(BW115/BO115-1)*100)))</f>
        <v>NM</v>
      </c>
      <c r="BY115" s="95">
        <f>-45.2+40.7</f>
        <v>-4.5</v>
      </c>
      <c r="BZ115" s="81" t="str">
        <f>IF(ISERROR((BY115/BQ115-1)*100),"NA",IF(((BY115/BQ115-1)*100)&gt;100,"NM",IF(((BY115/BQ115-1)*100)&lt;-50,"NM",(BY115/BQ115-1)*100)))</f>
        <v>NM</v>
      </c>
      <c r="CA115" s="95">
        <f>-43.6+38.2</f>
        <v>-5.3999999999999986</v>
      </c>
      <c r="CB115" s="81">
        <f>IF(ISERROR((CA115/BS115-1)*100),"NA",IF(((CA115/BS115-1)*100)&gt;100,"NM",IF(((CA115/BS115-1)*100)&lt;-50,"NM",(CA115/BS115-1)*100)))</f>
        <v>19.999999999999972</v>
      </c>
      <c r="CC115" s="95">
        <f>-42.8+37.9</f>
        <v>-4.8999999999999986</v>
      </c>
      <c r="CD115" s="81" t="str">
        <f>IF(ISERROR((CC115/BU115-1)*100),"NA",IF(((CC115/BU115-1)*100)&gt;100,"NM",IF(((CC115/BU115-1)*100)&lt;-50,"NM",(CC115/BU115-1)*100)))</f>
        <v>NM</v>
      </c>
      <c r="CE115" s="95">
        <f>-42.6+41.2</f>
        <v>-1.3999999999999986</v>
      </c>
      <c r="CF115" s="81" t="str">
        <f>IF(ISERROR((CE115/BW115-1)*100),"NA",IF(((CE115/BW115-1)*100)&gt;100,"NM",IF(((CE115/BW115-1)*100)&lt;-50,"NM",(CE115/BW115-1)*100)))</f>
        <v>NM</v>
      </c>
      <c r="CG115" s="95">
        <f>-46.5+41</f>
        <v>-5.5</v>
      </c>
      <c r="CH115" s="81">
        <f>IF(ISERROR((CG115/BY115-1)*100),"NA",IF(((CG115/BY115-1)*100)&gt;100,"NM",IF(((CG115/BY115-1)*100)&lt;-50,"NM",(CG115/BY115-1)*100)))</f>
        <v>22.222222222222232</v>
      </c>
      <c r="CI115" s="95">
        <f>-46.6+40.9</f>
        <v>-5.7000000000000028</v>
      </c>
      <c r="CJ115" s="81">
        <f>IF(ISERROR((CI115/CA115-1)*100),"NA",IF(((CI115/CA115-1)*100)&gt;100,"NM",IF(((CI115/CA115-1)*100)&lt;-50,"NM",(CI115/CA115-1)*100)))</f>
        <v>5.5555555555556468</v>
      </c>
      <c r="CK115" s="95">
        <f>-45.4+33.2</f>
        <v>-12.199999999999996</v>
      </c>
      <c r="CL115" s="81" t="str">
        <f>IF(ISERROR((CK115/CC115-1)*100),"NA",IF(((CK115/CC115-1)*100)&gt;100,"NM",IF(((CK115/CC115-1)*100)&lt;-50,"NM",(CK115/CC115-1)*100)))</f>
        <v>NM</v>
      </c>
      <c r="CM115" s="95">
        <f>-41.4+39</f>
        <v>-2.3999999999999986</v>
      </c>
      <c r="CN115" s="81">
        <f>IF(ISERROR((CM115/CE115-1)*100),"NA",IF(((CM115/CE115-1)*100)&gt;100,"NM",IF(((CM115/CE115-1)*100)&lt;-50,"NM",(CM115/CE115-1)*100)))</f>
        <v>71.428571428571502</v>
      </c>
      <c r="CO115" s="95">
        <f>-50.7+46</f>
        <v>-4.7000000000000028</v>
      </c>
      <c r="CP115" s="81">
        <f>IF(ISERROR((CO115/CG115-1)*100),"NA",IF(((CO115/CG115-1)*100)&gt;100,"NM",IF(((CO115/CG115-1)*100)&lt;-50,"NM",(CO115/CG115-1)*100)))</f>
        <v>-14.545454545454495</v>
      </c>
      <c r="CQ115" s="95">
        <f>-53.5+45.4</f>
        <v>-8.1000000000000014</v>
      </c>
      <c r="CR115" s="81">
        <f>IF(ISERROR((CQ115/CI115-1)*100),"NA",IF(((CQ115/CI115-1)*100)&gt;100,"NM",IF(((CQ115/CI115-1)*100)&lt;-50,"NM",(CQ115/CI115-1)*100)))</f>
        <v>42.10526315789469</v>
      </c>
      <c r="CS115" s="95">
        <f>-46.1+34.4</f>
        <v>-11.700000000000003</v>
      </c>
      <c r="CT115" s="81">
        <f>IF(ISERROR((CS115/CK115-1)*100),"NA",IF(((CS115/CK115-1)*100)&gt;100,"NM",IF(((CS115/CK115-1)*100)&lt;-50,"NM",(CS115/CK115-1)*100)))</f>
        <v>-4.0983606557376433</v>
      </c>
      <c r="CU115" s="95">
        <f>-50.2+38.8</f>
        <v>-11.400000000000006</v>
      </c>
      <c r="CV115" s="81" t="str">
        <f>IF(ISERROR((CU115/CM115-1)*100),"NA",IF(((CU115/CM115-1)*100)&gt;100,"NM",IF(((CU115/CM115-1)*100)&lt;-50,"NM",(CU115/CM115-1)*100)))</f>
        <v>NM</v>
      </c>
      <c r="CW115" s="95">
        <f>-51.6+67.4</f>
        <v>15.800000000000004</v>
      </c>
      <c r="CX115" s="81" t="str">
        <f>IF(ISERROR((CW115/CO115-1)*100),"NA",IF(((CW115/CO115-1)*100)&gt;100,"NM",IF(((CW115/CO115-1)*100)&lt;-50,"NM",(CW115/CO115-1)*100)))</f>
        <v>NM</v>
      </c>
      <c r="CY115" s="95">
        <f>-47.6+46</f>
        <v>-1.6000000000000014</v>
      </c>
      <c r="CZ115" s="81" t="str">
        <f>IF(ISERROR((CY115/CQ115-1)*100),"NA",IF(((CY115/CQ115-1)*100)&gt;100,"NM",IF(((CY115/CQ115-1)*100)&lt;-50,"NM",(CY115/CQ115-1)*100)))</f>
        <v>NM</v>
      </c>
      <c r="DA115" s="95">
        <f>-49.4+40.3</f>
        <v>-9.1000000000000014</v>
      </c>
      <c r="DB115" s="81">
        <f>IF(ISERROR((DA115/CS115-1)*100),"NA",IF(((DA115/CS115-1)*100)&gt;100,"NM",IF(((DA115/CS115-1)*100)&lt;-50,"NM",(DA115/CS115-1)*100)))</f>
        <v>-22.222222222222232</v>
      </c>
      <c r="DC115" s="95">
        <f>-49.1+39.6</f>
        <v>-9.5</v>
      </c>
      <c r="DD115" s="81">
        <f>IF(ISERROR((DC115/CU115-1)*100),"NA",IF(((DC115/CU115-1)*100)&gt;100,"NM",IF(((DC115/CU115-1)*100)&lt;-50,"NM",(DC115/CU115-1)*100)))</f>
        <v>-16.666666666666707</v>
      </c>
      <c r="DE115" s="95">
        <f>-57.2+59.1</f>
        <v>1.8999999999999986</v>
      </c>
      <c r="DF115" s="81" t="str">
        <f>IF(ISERROR((DE115/CW115-1)*100),"NA",IF(((DE115/CW115-1)*100)&gt;100,"NM",IF(((DE115/CW115-1)*100)&lt;-50,"NM",(DE115/CW115-1)*100)))</f>
        <v>NM</v>
      </c>
      <c r="DG115" s="95">
        <f>-53+47.6</f>
        <v>-5.3999999999999986</v>
      </c>
      <c r="DH115" s="81" t="str">
        <f>IF(ISERROR((DG115/CY115-1)*100),"NA",IF(((DG115/CY115-1)*100)&gt;100,"NM",IF(((DG115/CY115-1)*100)&lt;-50,"NM",(DG115/CY115-1)*100)))</f>
        <v>NM</v>
      </c>
      <c r="DI115" s="95">
        <f>-54+46.8</f>
        <v>-7.2000000000000028</v>
      </c>
      <c r="DJ115" s="81">
        <f>IF(ISERROR((DI115/DA115-1)*100),"NA",IF(((DI115/DA115-1)*100)&gt;100,"NM",IF(((DI115/DA115-1)*100)&lt;-50,"NM",(DI115/DA115-1)*100)))</f>
        <v>-20.879120879120862</v>
      </c>
      <c r="DK115" s="95">
        <f>-57+46.9</f>
        <v>-10.100000000000001</v>
      </c>
      <c r="DL115" s="81">
        <f>IF(ISERROR((DK115/DC115-1)*100),"NA",IF(((DK115/DC115-1)*100)&gt;100,"NM",IF(((DK115/DC115-1)*100)&lt;-50,"NM",(DK115/DC115-1)*100)))</f>
        <v>6.3157894736842302</v>
      </c>
      <c r="DM115" s="95">
        <f>-61.8+68.6</f>
        <v>6.7999999999999972</v>
      </c>
      <c r="DN115" s="81" t="str">
        <f>IF(ISERROR((DM115/DE115-1)*100),"NA",IF(((DM115/DE115-1)*100)&gt;100,"NM",IF(((DM115/DE115-1)*100)&lt;-50,"NM",(DM115/DE115-1)*100)))</f>
        <v>NM</v>
      </c>
      <c r="DO115" s="95">
        <f>-56.5+52.9</f>
        <v>-3.6000000000000014</v>
      </c>
      <c r="DP115" s="81">
        <f>IF(ISERROR((DO115/DG115-1)*100),"NA",IF(((DO115/DG115-1)*100)&gt;100,"NM",IF(((DO115/DG115-1)*100)&lt;-50,"NM",(DO115/DG115-1)*100)))</f>
        <v>-33.333333333333293</v>
      </c>
      <c r="DQ115" s="95">
        <f>-55.9+50.1</f>
        <v>-5.7999999999999972</v>
      </c>
      <c r="DR115" s="81">
        <f>IF(ISERROR((DQ115/DI115-1)*100),"NA",IF(((DQ115/DI115-1)*100)&gt;100,"NM",IF(((DQ115/DI115-1)*100)&lt;-50,"NM",(DQ115/DI115-1)*100)))</f>
        <v>-19.444444444444521</v>
      </c>
      <c r="DS115" s="95">
        <f>-56.6+40.8</f>
        <v>-15.800000000000004</v>
      </c>
      <c r="DT115" s="81">
        <f>IF(ISERROR((DS115/DK115-1)*100),"NA",IF(((DS115/DK115-1)*100)&gt;100,"NM",IF(((DS115/DK115-1)*100)&lt;-50,"NM",(DS115/DK115-1)*100)))</f>
        <v>56.435643564356461</v>
      </c>
      <c r="DU115" s="95">
        <f>-62.7+61.9</f>
        <v>-0.80000000000000426</v>
      </c>
      <c r="DV115" s="81" t="str">
        <f>IF(ISERROR((DU115/DM115-1)*100),"NA",IF(((DU115/DM115-1)*100)&gt;100,"NM",IF(((DU115/DM115-1)*100)&lt;-50,"NM",(DU115/DM115-1)*100)))</f>
        <v>NM</v>
      </c>
      <c r="DW115" s="95">
        <f>-58.7+55.1</f>
        <v>-3.6000000000000014</v>
      </c>
      <c r="DX115" s="81">
        <f>IF(ISERROR((DW115/DO115-1)*100),"NA",IF(((DW115/DO115-1)*100)&gt;100,"NM",IF(((DW115/DO115-1)*100)&lt;-50,"NM",(DW115/DO115-1)*100)))</f>
        <v>0</v>
      </c>
      <c r="DY115" s="95">
        <f>-55.7+48</f>
        <v>-7.7000000000000028</v>
      </c>
      <c r="DZ115" s="81">
        <f>IF(ISERROR((DY115/DQ115-1)*100),"NA",IF(((DY115/DQ115-1)*100)&gt;100,"NM",IF(((DY115/DQ115-1)*100)&lt;-50,"NM",(DY115/DQ115-1)*100)))</f>
        <v>32.758620689655295</v>
      </c>
      <c r="EA115" s="95">
        <f>-54.9+45.1</f>
        <v>-9.7999999999999972</v>
      </c>
      <c r="EB115" s="81">
        <f>IF(ISERROR((EA115/DS115-1)*100),"NA",IF(((EA115/DS115-1)*100)&gt;100,"NM",IF(((EA115/DS115-1)*100)&lt;-50,"NM",(EA115/DS115-1)*100)))</f>
        <v>-37.974683544303836</v>
      </c>
      <c r="EC115" s="95">
        <f>-66+65.5</f>
        <v>-0.5</v>
      </c>
      <c r="ED115" s="81">
        <f t="shared" si="411"/>
        <v>-37.500000000000334</v>
      </c>
      <c r="EE115" s="95">
        <f>-58.3+61.7</f>
        <v>3.4000000000000057</v>
      </c>
      <c r="EF115" s="81" t="str">
        <f t="shared" si="412"/>
        <v>NM</v>
      </c>
      <c r="EG115" s="95">
        <f>-56.3+47.3</f>
        <v>-9</v>
      </c>
      <c r="EH115" s="81">
        <f t="shared" si="413"/>
        <v>16.883116883116834</v>
      </c>
      <c r="EI115" s="95">
        <f>-61.8+47.3</f>
        <v>-14.5</v>
      </c>
      <c r="EJ115" s="81">
        <f t="shared" si="414"/>
        <v>47.959183673469433</v>
      </c>
      <c r="EK115" s="95">
        <v>2.5</v>
      </c>
      <c r="EL115" s="81" t="str">
        <f t="shared" si="416"/>
        <v>NM</v>
      </c>
      <c r="EM115" s="95">
        <f t="shared" ref="EM115" si="421">EK115*1.015</f>
        <v>2.5374999999999996</v>
      </c>
      <c r="EN115" s="81">
        <f t="shared" si="417"/>
        <v>-25.36764705882366</v>
      </c>
      <c r="EO115" s="95">
        <f t="shared" ref="EO115" si="422">EM115*1.015</f>
        <v>2.5755624999999993</v>
      </c>
      <c r="EP115" s="81" t="str">
        <f t="shared" si="418"/>
        <v>NM</v>
      </c>
      <c r="EQ115" s="95">
        <f t="shared" ref="EQ115" si="423">EO115*1.015</f>
        <v>2.614195937499999</v>
      </c>
      <c r="ER115" s="81" t="str">
        <f t="shared" si="419"/>
        <v>NM</v>
      </c>
      <c r="ES115" s="129"/>
      <c r="ET115" s="469"/>
      <c r="EU115" s="129"/>
      <c r="EV115" s="95"/>
      <c r="EW115" s="79"/>
      <c r="EX115" s="95"/>
      <c r="EY115" s="79"/>
      <c r="EZ115" s="131"/>
      <c r="FA115" s="79"/>
      <c r="FB115" s="35"/>
      <c r="FC115" s="79"/>
      <c r="FD115" s="95">
        <f>-259+91.1</f>
        <v>-167.9</v>
      </c>
      <c r="FE115" s="79" t="str">
        <f>IF(ISERROR((FD115/FB115-1)*100),"NA",IF(((FD115/FB115-1)*100)&gt;100,"NM",IF(((FD115/FB115-1)*100)&lt;-50,"NM",(FD115/FB115-1)*100)))</f>
        <v>NA</v>
      </c>
      <c r="FF115" s="95">
        <f>-253.7+114</f>
        <v>-139.69999999999999</v>
      </c>
      <c r="FG115" s="79">
        <f>IF(ISERROR((FF115/FD115-1)*100),"NA",IF(((FF115/FD115-1)*100)&gt;100,"NM",IF(((FF115/FD115-1)*100)&lt;-50,"NM",(FF115/FD115-1)*100)))</f>
        <v>-16.795711733174524</v>
      </c>
      <c r="FH115" s="95">
        <f>-221.9+125.8</f>
        <v>-96.100000000000009</v>
      </c>
      <c r="FI115" s="79">
        <f>IF(ISERROR((FH115/FF115-1)*100),"NA",IF(((FH115/FF115-1)*100)&gt;100,"NM",IF(((FH115/FF115-1)*100)&lt;-50,"NM",(FH115/FF115-1)*100)))</f>
        <v>-31.209735146743011</v>
      </c>
      <c r="FJ115" s="75">
        <f>+AQ115+AO115+AM115+AK115</f>
        <v>-62.899999999999991</v>
      </c>
      <c r="FK115" s="79">
        <f>IF(ISERROR((FJ115/FH115-1)*100),"NA",IF(((FJ115/FH115-1)*100)&gt;100,"NM",IF(((FJ115/FH115-1)*100)&lt;-50,"NM",(FJ115/FH115-1)*100)))</f>
        <v>-34.547346514047881</v>
      </c>
      <c r="FL115" s="75">
        <f>AS115+AU115+AW115+AY115</f>
        <v>-53.1</v>
      </c>
      <c r="FM115" s="79">
        <f>IF(ISERROR((FL115/FJ115-1)*100),"NA",IF(((FL115/FJ115-1)*100)&gt;100,"NM",IF(((FL115/FJ115-1)*100)&lt;-50,"NM",(FL115/FJ115-1)*100)))</f>
        <v>-15.58028616852145</v>
      </c>
      <c r="FN115" s="75">
        <f>BA115+BC115+BE115+BG115</f>
        <v>-36.199999999999996</v>
      </c>
      <c r="FO115" s="79">
        <f>IF(ISERROR((FN115/FL115-1)*100),"NA",IF(((FN115/FL115-1)*100)&gt;100,"NM",IF(((FN115/FL115-1)*100)&lt;-50,"NM",(FN115/FL115-1)*100)))</f>
        <v>-31.826741996233533</v>
      </c>
      <c r="FP115" s="75">
        <f>BI115+BK115+BM115+BO115</f>
        <v>-41.4</v>
      </c>
      <c r="FQ115" s="79">
        <f>IF(ISERROR((FP115/FN115-1)*100),"NA",IF(((FP115/FN115-1)*100)&gt;100,"NM",IF(((FP115/FN115-1)*100)&lt;-50,"NM",(FP115/FN115-1)*100)))</f>
        <v>14.364640883977909</v>
      </c>
      <c r="FR115" s="95">
        <f>-168.8+140.6</f>
        <v>-28.200000000000017</v>
      </c>
      <c r="FS115" s="79">
        <f>IF(ISERROR((FR115/FP115-1)*100),"NA",IF(((FR115/FP115-1)*100)&gt;100,"NM",IF(((FR115/FP115-1)*100)&lt;-50,"NM",(FR115/FP115-1)*100)))</f>
        <v>-31.884057971014446</v>
      </c>
      <c r="FT115" s="93">
        <f>BY115+CA115+CC115+CE115</f>
        <v>-16.199999999999996</v>
      </c>
      <c r="FU115" s="79">
        <f>IF(ISERROR((FT115/FR115-1)*100),"NA",IF(((FT115/FR115-1)*100)&gt;100,"NM",IF(((FT115/FR115-1)*100)&lt;-50,"NM",(FT115/FR115-1)*100)))</f>
        <v>-42.553191489361751</v>
      </c>
      <c r="FV115" s="93">
        <f>CG115+CI115+CK115+CM115</f>
        <v>-25.799999999999997</v>
      </c>
      <c r="FW115" s="79">
        <f>IF(ISERROR((FV115/FT115-1)*100),"NA",IF(((FV115/FT115-1)*100)&gt;100,"NM",IF(((FV115/FT115-1)*100)&lt;-50,"NM",(FV115/FT115-1)*100)))</f>
        <v>59.259259259259281</v>
      </c>
      <c r="FX115" s="93">
        <f>CO115+CQ115+CS115+CU115</f>
        <v>-35.900000000000013</v>
      </c>
      <c r="FY115" s="79">
        <f>IF(ISERROR((FX115/FV115-1)*100),"NA",IF(((FX115/FV115-1)*100)&gt;100,"NM",IF(((FX115/FV115-1)*100)&lt;-50,"NM",(FX115/FV115-1)*100)))</f>
        <v>39.147286821705492</v>
      </c>
      <c r="FZ115" s="93">
        <f>CW115+CY115+DA115+DC115</f>
        <v>-4.3999999999999986</v>
      </c>
      <c r="GA115" s="79" t="str">
        <f>IF(ISERROR((FZ115/FX115-1)*100),"NA",IF(((FZ115/FX115-1)*100)&gt;100,"NM",IF(((FZ115/FX115-1)*100)&lt;-50,"NM",(FZ115/FX115-1)*100)))</f>
        <v>NM</v>
      </c>
      <c r="GB115" s="93">
        <f>DE115+DG115+DI115+DK115</f>
        <v>-20.800000000000004</v>
      </c>
      <c r="GC115" s="79" t="str">
        <f>IF(ISERROR((GB115/FZ115-1)*100),"NA",IF(((GB115/FZ115-1)*100)&gt;100,"NM",IF(((GB115/FZ115-1)*100)&lt;-50,"NM",(GB115/FZ115-1)*100)))</f>
        <v>NM</v>
      </c>
      <c r="GD115" s="93">
        <f>DM115+DO115+DQ115+DS115</f>
        <v>-18.400000000000006</v>
      </c>
      <c r="GE115" s="79">
        <f>IF(ISERROR((GD115/GB115-1)*100),"NA",IF(((GD115/GB115-1)*100)&gt;100,"NM",IF(((GD115/GB115-1)*100)&lt;-50,"NM",(GD115/GB115-1)*100)))</f>
        <v>-11.538461538461531</v>
      </c>
      <c r="GF115" s="93">
        <f>DU115+DW115+DY115+EA115</f>
        <v>-21.900000000000006</v>
      </c>
      <c r="GG115" s="79">
        <f>IF(ISERROR((GF115/GD115-1)*100),"NA",IF(((GF115/GD115-1)*100)&gt;100,"NM",IF(((GF115/GD115-1)*100)&lt;-50,"NM",(GF115/GD115-1)*100)))</f>
        <v>19.021739130434767</v>
      </c>
      <c r="GH115" s="93">
        <f>EC115+EE115+EG115+EI115</f>
        <v>-20.599999999999994</v>
      </c>
      <c r="GI115" s="79">
        <f>IF(ISERROR((GH115/GF115-1)*100),"NA",IF(((GH115/GF115-1)*100)&gt;100,"NM",IF(((GH115/GF115-1)*100)&lt;-50,"NM",(GH115/GF115-1)*100)))</f>
        <v>-5.9360730593607798</v>
      </c>
      <c r="GJ115" s="93">
        <f>EK115+EM115+EO115+EQ115</f>
        <v>10.227258437499998</v>
      </c>
      <c r="GK115" s="79" t="str">
        <f>IF(ISERROR((GJ115/GH115-1)*100),"NA",IF(((GJ115/GH115-1)*100)&gt;100,"NM",IF(((GJ115/GH115-1)*100)&lt;-50,"NM",(GJ115/GH115-1)*100)))</f>
        <v>NM</v>
      </c>
      <c r="GL115" s="553">
        <f>GL114/GJ114*GJ115</f>
        <v>10.738621359374998</v>
      </c>
      <c r="GM115" s="79">
        <f>IF(ISERROR((GL115/GJ115-1)*100),"NA",IF(((GL115/GJ115-1)*100)&gt;100,"NM",IF(((GL115/GJ115-1)*100)&lt;-50,"NM",(GL115/GJ115-1)*100)))</f>
        <v>5.0000000000000044</v>
      </c>
      <c r="GN115" s="553">
        <f>GN114/GL114*GL115</f>
        <v>11.275552427343747</v>
      </c>
      <c r="GO115" s="79">
        <f>IF(ISERROR((GN115/GL115-1)*100),"NA",IF(((GN115/GL115-1)*100)&gt;100,"NM",IF(((GN115/GL115-1)*100)&lt;-50,"NM",(GN115/GL115-1)*100)))</f>
        <v>5.0000000000000044</v>
      </c>
      <c r="GP115" s="553">
        <f>GP114/GN114*GN115</f>
        <v>11.839330048710933</v>
      </c>
      <c r="GQ115" s="79">
        <f>IF(ISERROR((GP115/GN115-1)*100),"NA",IF(((GP115/GN115-1)*100)&gt;100,"NM",IF(((GP115/GN115-1)*100)&lt;-50,"NM",(GP115/GN115-1)*100)))</f>
        <v>4.9999999999999822</v>
      </c>
      <c r="GR115" s="553">
        <f>GR114/GP114*GP115</f>
        <v>12.431296551146479</v>
      </c>
      <c r="GS115" s="79">
        <f>IF(ISERROR((GR115/GP115-1)*100),"NA",IF(((GR115/GP115-1)*100)&gt;100,"NM",IF(((GR115/GP115-1)*100)&lt;-50,"NM",(GR115/GP115-1)*100)))</f>
        <v>5.0000000000000044</v>
      </c>
      <c r="GT115" s="79" t="str">
        <f>IF(ISERROR(((GR115/GH115)^0.2-1)*100),"NA",(IF(OR(((GR115/GH115)^0.2-1)*100&gt;99,((GR115/GH115)^0.2-1)*100&lt;-50),"NM",(((GR115/GH115)^0.2-1)*100))))</f>
        <v>NM</v>
      </c>
      <c r="GU115" s="562"/>
      <c r="GV115" s="562"/>
      <c r="GW115"/>
      <c r="GX115"/>
      <c r="GY115"/>
      <c r="GZ115"/>
      <c r="HA115"/>
      <c r="HB115"/>
      <c r="HC115" s="562"/>
      <c r="HD115" s="562"/>
      <c r="HE115" s="562"/>
      <c r="HF115" s="562"/>
      <c r="HG115" s="562"/>
      <c r="HH115" s="562"/>
      <c r="HI115" s="562"/>
      <c r="HJ115" s="562"/>
      <c r="HK115" s="562"/>
      <c r="HL115" s="562"/>
      <c r="HM115" s="562"/>
      <c r="HN115" s="562"/>
      <c r="HO115" s="562"/>
      <c r="HP115" s="562"/>
      <c r="HQ115" s="562"/>
      <c r="HR115" s="562"/>
      <c r="HS115" s="562"/>
      <c r="HT115" s="562"/>
      <c r="HU115" s="562"/>
      <c r="HV115" s="562"/>
      <c r="HW115" s="562"/>
      <c r="HX115" s="562"/>
      <c r="HY115" s="562"/>
      <c r="HZ115" s="562"/>
      <c r="IA115" s="562"/>
      <c r="IB115" s="562"/>
      <c r="IC115" s="562"/>
      <c r="ID115" s="562"/>
      <c r="IE115" s="562"/>
      <c r="IF115" s="562"/>
      <c r="IG115" s="562"/>
      <c r="IH115" s="562"/>
      <c r="II115" s="562"/>
      <c r="IJ115" s="562"/>
      <c r="IK115" s="562"/>
      <c r="IL115" s="562"/>
      <c r="IM115" s="562"/>
      <c r="IN115" s="562"/>
      <c r="IO115" s="562"/>
      <c r="IP115" s="562"/>
      <c r="IQ115" s="562"/>
      <c r="IR115" s="562"/>
      <c r="IS115" s="562"/>
      <c r="IT115" s="562"/>
      <c r="IU115" s="562"/>
      <c r="IV115" s="562"/>
      <c r="IW115" s="562"/>
      <c r="IX115" s="562"/>
      <c r="IY115" s="562"/>
      <c r="IZ115" s="562"/>
      <c r="JA115" s="562"/>
      <c r="JB115" s="562"/>
      <c r="JC115" s="562"/>
      <c r="JD115" s="562"/>
      <c r="JE115" s="562"/>
      <c r="JF115" s="562"/>
      <c r="JG115" s="562"/>
      <c r="JH115" s="562"/>
      <c r="JI115" s="562"/>
      <c r="JJ115" s="562"/>
      <c r="JK115" s="562"/>
      <c r="JL115" s="562"/>
      <c r="JM115" s="562"/>
      <c r="JN115" s="562"/>
      <c r="JO115" s="562"/>
      <c r="JP115" s="562"/>
      <c r="JQ115" s="562"/>
      <c r="JR115" s="562"/>
      <c r="JS115" s="562"/>
      <c r="JT115" s="562"/>
      <c r="JU115" s="562"/>
      <c r="JV115" s="562"/>
      <c r="JW115" s="562"/>
      <c r="JX115" s="562"/>
      <c r="JY115" s="562"/>
      <c r="JZ115" s="562"/>
    </row>
    <row r="116" spans="1:286" s="132" customFormat="1" ht="12.75" customHeight="1" x14ac:dyDescent="0.2">
      <c r="A116" s="133"/>
      <c r="B116" s="2" t="s">
        <v>132</v>
      </c>
      <c r="C116" s="79"/>
      <c r="D116" s="79"/>
      <c r="E116" s="129"/>
      <c r="F116" s="129"/>
      <c r="G116" s="129"/>
      <c r="H116" s="129"/>
      <c r="I116" s="129"/>
      <c r="J116" s="129"/>
      <c r="K116" s="129"/>
      <c r="L116" s="79"/>
      <c r="M116" s="129"/>
      <c r="N116" s="79"/>
      <c r="O116" s="129"/>
      <c r="P116" s="79"/>
      <c r="Q116" s="129"/>
      <c r="R116" s="79"/>
      <c r="S116" s="129"/>
      <c r="T116" s="79"/>
      <c r="U116" s="129"/>
      <c r="V116" s="79"/>
      <c r="W116" s="129"/>
      <c r="X116" s="79"/>
      <c r="Y116" s="129"/>
      <c r="Z116" s="79"/>
      <c r="AA116" s="130"/>
      <c r="AB116" s="79"/>
      <c r="AC116" s="129">
        <f>124.8-AE116</f>
        <v>62.999999999999993</v>
      </c>
      <c r="AD116" s="79" t="str">
        <f>IF(ISERROR((AC116/U116-1)*100),"NA",IF(((AC116/U116-1)*100)&gt;100,"NM",IF(((AC116/U116-1)*100)&lt;-50,"NM",(AC116/U116-1)*100)))</f>
        <v>NA</v>
      </c>
      <c r="AE116" s="129">
        <f>0.1+61.7</f>
        <v>61.800000000000004</v>
      </c>
      <c r="AF116" s="79" t="str">
        <f>IF(ISERROR((AE116/W116-1)*100),"NA",IF(((AE116/W116-1)*100)&gt;100,"NM",IF(((AE116/W116-1)*100)&lt;-50,"NM",(AE116/W116-1)*100)))</f>
        <v>NA</v>
      </c>
      <c r="AG116" s="129">
        <v>58.6</v>
      </c>
      <c r="AH116" s="79" t="str">
        <f>IF(ISERROR((AG116/Y116-1)*100),"NA",IF(((AG116/Y116-1)*100)&gt;100,"NM",IF(((AG116/Y116-1)*100)&lt;-50,"NM",(AG116/Y116-1)*100)))</f>
        <v>NA</v>
      </c>
      <c r="AI116" s="75">
        <f>FH116-AG116-AE116-AC116</f>
        <v>58.899999999999984</v>
      </c>
      <c r="AJ116" s="79" t="str">
        <f>IF(ISERROR((AI116/AA116-1)*100),"NA",IF(((AI116/AA116-1)*100)&gt;100,"NM",IF(((AI116/AA116-1)*100)&lt;-50,"NM",(AI116/AA116-1)*100)))</f>
        <v>NA</v>
      </c>
      <c r="AK116" s="129">
        <f>0.1+129.8-AM116</f>
        <v>64.2</v>
      </c>
      <c r="AL116" s="79">
        <f>IF(ISERROR((AK116/AC116-1)*100),"NA",IF(((AK116/AC116-1)*100)&gt;100,"NM",IF(((AK116/AC116-1)*100)&lt;-50,"NM",(AK116/AC116-1)*100)))</f>
        <v>1.9047619047619202</v>
      </c>
      <c r="AM116" s="129">
        <v>65.7</v>
      </c>
      <c r="AN116" s="79">
        <f>IF(ISERROR((AM116/AE116-1)*100),"NA",IF(((AM116/AE116-1)*100)&gt;100,"NM",IF(((AM116/AE116-1)*100)&lt;-50,"NM",(AM116/AE116-1)*100)))</f>
        <v>6.3106796116504826</v>
      </c>
      <c r="AO116" s="129">
        <f>65.5+0.1-1</f>
        <v>64.599999999999994</v>
      </c>
      <c r="AP116" s="79">
        <f>IF(ISERROR((AO116/AG116-1)*100),"NA",IF(((AO116/AG116-1)*100)&gt;100,"NM",IF(((AO116/AG116-1)*100)&lt;-50,"NM",(AO116/AG116-1)*100)))</f>
        <v>10.238907849829349</v>
      </c>
      <c r="AQ116" s="129">
        <f>65.8+0.1</f>
        <v>65.899999999999991</v>
      </c>
      <c r="AR116" s="79">
        <f>IF(ISERROR((AQ116/AI116-1)*100),"NA",IF(((AQ116/AI116-1)*100)&gt;100,"NM",IF(((AQ116/AI116-1)*100)&lt;-50,"NM",(AQ116/AI116-1)*100)))</f>
        <v>11.884550084889668</v>
      </c>
      <c r="AS116" s="129">
        <f>60.8+0.1</f>
        <v>60.9</v>
      </c>
      <c r="AT116" s="81">
        <f>IF(ISERROR((AS116/AK116-1)*100),"NA",IF(((AS116/AK116-1)*100)&gt;100,"NM",IF(((AS116/AK116-1)*100)&lt;-50,"NM",(AS116/AK116-1)*100)))</f>
        <v>-5.1401869158878561</v>
      </c>
      <c r="AU116" s="129">
        <v>64.599999999999994</v>
      </c>
      <c r="AV116" s="81">
        <f>IF(ISERROR((AU116/AM116-1)*100),"NA",IF(((AU116/AM116-1)*100)&gt;100,"NM",IF(((AU116/AM116-1)*100)&lt;-50,"NM",(AU116/AM116-1)*100)))</f>
        <v>-1.6742770167427867</v>
      </c>
      <c r="AW116" s="129">
        <f>61+0.1</f>
        <v>61.1</v>
      </c>
      <c r="AX116" s="81">
        <f>IF(ISERROR((AW116/AO116-1)*100),"NA",IF(((AW116/AO116-1)*100)&gt;100,"NM",IF(((AW116/AO116-1)*100)&lt;-50,"NM",(AW116/AO116-1)*100)))</f>
        <v>-5.4179566563467336</v>
      </c>
      <c r="AY116" s="129">
        <v>65</v>
      </c>
      <c r="AZ116" s="81">
        <f>IF(ISERROR((AY116/AQ116-1)*100),"NA",IF(((AY116/AQ116-1)*100)&gt;100,"NM",IF(((AY116/AQ116-1)*100)&lt;-50,"NM",(AY116/AQ116-1)*100)))</f>
        <v>-1.3657056145675139</v>
      </c>
      <c r="BA116" s="129">
        <v>64.3</v>
      </c>
      <c r="BB116" s="81">
        <f>IF(ISERROR((BA116/AS116-1)*100),"NA",IF(((BA116/AS116-1)*100)&gt;100,"NM",IF(((BA116/AS116-1)*100)&lt;-50,"NM",(BA116/AS116-1)*100)))</f>
        <v>5.5829228243021278</v>
      </c>
      <c r="BC116" s="129">
        <v>64.3</v>
      </c>
      <c r="BD116" s="81">
        <f>IF(ISERROR((BC116/AU116-1)*100),"NA",IF(((BC116/AU116-1)*100)&gt;100,"NM",IF(((BC116/AU116-1)*100)&lt;-50,"NM",(BC116/AU116-1)*100)))</f>
        <v>-0.46439628482971562</v>
      </c>
      <c r="BE116" s="129">
        <v>65.400000000000006</v>
      </c>
      <c r="BF116" s="81">
        <f>IF(ISERROR((BE116/AW116-1)*100),"NA",IF(((BE116/AW116-1)*100)&gt;100,"NM",IF(((BE116/AW116-1)*100)&lt;-50,"NM",(BE116/AW116-1)*100)))</f>
        <v>7.0376432078559814</v>
      </c>
      <c r="BG116" s="129">
        <v>72.7</v>
      </c>
      <c r="BH116" s="81">
        <f>IF(ISERROR((BG116/AY116-1)*100),"NA",IF(((BG116/AY116-1)*100)&gt;100,"NM",IF(((BG116/AY116-1)*100)&lt;-50,"NM",(BG116/AY116-1)*100)))</f>
        <v>11.84615384615384</v>
      </c>
      <c r="BI116" s="129">
        <v>69.900000000000006</v>
      </c>
      <c r="BJ116" s="81">
        <f>IF(ISERROR((BI116/BA116-1)*100),"NA",IF(((BI116/BA116-1)*100)&gt;100,"NM",IF(((BI116/BA116-1)*100)&lt;-50,"NM",(BI116/BA116-1)*100)))</f>
        <v>8.7091757387247384</v>
      </c>
      <c r="BK116" s="129">
        <v>71.3</v>
      </c>
      <c r="BL116" s="81">
        <f>IF(ISERROR((BK116/BC116-1)*100),"NA",IF(((BK116/BC116-1)*100)&gt;100,"NM",IF(((BK116/BC116-1)*100)&lt;-50,"NM",(BK116/BC116-1)*100)))</f>
        <v>10.886469673405919</v>
      </c>
      <c r="BM116" s="129">
        <v>71.3</v>
      </c>
      <c r="BN116" s="81">
        <f>IF(ISERROR((BM116/BE116-1)*100),"NA",IF(((BM116/BE116-1)*100)&gt;100,"NM",IF(((BM116/BE116-1)*100)&lt;-50,"NM",(BM116/BE116-1)*100)))</f>
        <v>9.0214067278287402</v>
      </c>
      <c r="BO116" s="129">
        <v>71.2</v>
      </c>
      <c r="BP116" s="81">
        <f>IF(ISERROR((BO116/BG116-1)*100),"NA",IF(((BO116/BG116-1)*100)&gt;100,"NM",IF(((BO116/BG116-1)*100)&lt;-50,"NM",(BO116/BG116-1)*100)))</f>
        <v>-2.063273727647863</v>
      </c>
      <c r="BQ116" s="129">
        <v>75.3</v>
      </c>
      <c r="BR116" s="81">
        <f>IF(ISERROR((BQ116/BI116-1)*100),"NA",IF(((BQ116/BI116-1)*100)&gt;100,"NM",IF(((BQ116/BI116-1)*100)&lt;-50,"NM",(BQ116/BI116-1)*100)))</f>
        <v>7.7253218884119956</v>
      </c>
      <c r="BS116" s="129">
        <v>72</v>
      </c>
      <c r="BT116" s="81">
        <f>IF(ISERROR((BS116/BK116-1)*100),"NA",IF(((BS116/BK116-1)*100)&gt;100,"NM",IF(((BS116/BK116-1)*100)&lt;-50,"NM",(BS116/BK116-1)*100)))</f>
        <v>0.9817671809256634</v>
      </c>
      <c r="BU116" s="129">
        <v>70.400000000000006</v>
      </c>
      <c r="BV116" s="81">
        <f>IF(ISERROR((BU116/BM116-1)*100),"NA",IF(((BU116/BM116-1)*100)&gt;100,"NM",IF(((BU116/BM116-1)*100)&lt;-50,"NM",(BU116/BM116-1)*100)))</f>
        <v>-1.2622720897615625</v>
      </c>
      <c r="BW116" s="129">
        <v>73.2</v>
      </c>
      <c r="BX116" s="81">
        <f>IF(ISERROR((BW116/BO116-1)*100),"NA",IF(((BW116/BO116-1)*100)&gt;100,"NM",IF(((BW116/BO116-1)*100)&lt;-50,"NM",(BW116/BO116-1)*100)))</f>
        <v>2.8089887640449396</v>
      </c>
      <c r="BY116" s="129">
        <v>61.7</v>
      </c>
      <c r="BZ116" s="81">
        <f>IF(ISERROR((BY116/BQ116-1)*100),"NA",IF(((BY116/BQ116-1)*100)&gt;100,"NM",IF(((BY116/BQ116-1)*100)&lt;-50,"NM",(BY116/BQ116-1)*100)))</f>
        <v>-18.061088977423633</v>
      </c>
      <c r="CA116" s="129">
        <v>57.1</v>
      </c>
      <c r="CB116" s="81">
        <f>IF(ISERROR((CA116/BS116-1)*100),"NA",IF(((CA116/BS116-1)*100)&gt;100,"NM",IF(((CA116/BS116-1)*100)&lt;-50,"NM",(CA116/BS116-1)*100)))</f>
        <v>-20.694444444444436</v>
      </c>
      <c r="CC116" s="129">
        <v>60.5</v>
      </c>
      <c r="CD116" s="81">
        <f>IF(ISERROR((CC116/BU116-1)*100),"NA",IF(((CC116/BU116-1)*100)&gt;100,"NM",IF(((CC116/BU116-1)*100)&lt;-50,"NM",(CC116/BU116-1)*100)))</f>
        <v>-14.062500000000011</v>
      </c>
      <c r="CE116" s="129">
        <v>60.2</v>
      </c>
      <c r="CF116" s="81">
        <f>IF(ISERROR((CE116/BW116-1)*100),"NA",IF(((CE116/BW116-1)*100)&gt;100,"NM",IF(((CE116/BW116-1)*100)&lt;-50,"NM",(CE116/BW116-1)*100)))</f>
        <v>-17.759562841530052</v>
      </c>
      <c r="CG116" s="129">
        <v>64</v>
      </c>
      <c r="CH116" s="81">
        <f>IF(ISERROR((CG116/BY116-1)*100),"NA",IF(((CG116/BY116-1)*100)&gt;100,"NM",IF(((CG116/BY116-1)*100)&lt;-50,"NM",(CG116/BY116-1)*100)))</f>
        <v>3.7277147487844386</v>
      </c>
      <c r="CI116" s="129">
        <v>62.1</v>
      </c>
      <c r="CJ116" s="81">
        <f>IF(ISERROR((CI116/CA116-1)*100),"NA",IF(((CI116/CA116-1)*100)&gt;100,"NM",IF(((CI116/CA116-1)*100)&lt;-50,"NM",(CI116/CA116-1)*100)))</f>
        <v>8.7565674255691839</v>
      </c>
      <c r="CK116" s="129">
        <v>59.9</v>
      </c>
      <c r="CL116" s="81">
        <f>IF(ISERROR((CK116/CC116-1)*100),"NA",IF(((CK116/CC116-1)*100)&gt;100,"NM",IF(((CK116/CC116-1)*100)&lt;-50,"NM",(CK116/CC116-1)*100)))</f>
        <v>-0.991735537190086</v>
      </c>
      <c r="CM116" s="129">
        <v>63.5</v>
      </c>
      <c r="CN116" s="81">
        <f>IF(ISERROR((CM116/CE116-1)*100),"NA",IF(((CM116/CE116-1)*100)&gt;100,"NM",IF(((CM116/CE116-1)*100)&lt;-50,"NM",(CM116/CE116-1)*100)))</f>
        <v>5.4817275747508276</v>
      </c>
      <c r="CO116" s="129">
        <v>64.7</v>
      </c>
      <c r="CP116" s="81">
        <f>IF(ISERROR((CO116/CG116-1)*100),"NA",IF(((CO116/CG116-1)*100)&gt;100,"NM",IF(((CO116/CG116-1)*100)&lt;-50,"NM",(CO116/CG116-1)*100)))</f>
        <v>1.0937500000000044</v>
      </c>
      <c r="CQ116" s="129">
        <v>64.2</v>
      </c>
      <c r="CR116" s="81">
        <f>IF(ISERROR((CQ116/CI116-1)*100),"NA",IF(((CQ116/CI116-1)*100)&gt;100,"NM",IF(((CQ116/CI116-1)*100)&lt;-50,"NM",(CQ116/CI116-1)*100)))</f>
        <v>3.3816425120772875</v>
      </c>
      <c r="CS116" s="129">
        <v>64.2</v>
      </c>
      <c r="CT116" s="81">
        <f>IF(ISERROR((CS116/CK116-1)*100),"NA",IF(((CS116/CK116-1)*100)&gt;100,"NM",IF(((CS116/CK116-1)*100)&lt;-50,"NM",(CS116/CK116-1)*100)))</f>
        <v>7.1786310517529373</v>
      </c>
      <c r="CU116" s="129">
        <v>66.599999999999994</v>
      </c>
      <c r="CV116" s="81">
        <f>IF(ISERROR((CU116/CM116-1)*100),"NA",IF(((CU116/CM116-1)*100)&gt;100,"NM",IF(((CU116/CM116-1)*100)&lt;-50,"NM",(CU116/CM116-1)*100)))</f>
        <v>4.8818897637795233</v>
      </c>
      <c r="CW116" s="129">
        <v>66.599999999999994</v>
      </c>
      <c r="CX116" s="81">
        <f>IF(ISERROR((CW116/CO116-1)*100),"NA",IF(((CW116/CO116-1)*100)&gt;100,"NM",IF(((CW116/CO116-1)*100)&lt;-50,"NM",(CW116/CO116-1)*100)))</f>
        <v>2.9366306027820643</v>
      </c>
      <c r="CY116" s="129">
        <v>66.400000000000006</v>
      </c>
      <c r="CZ116" s="81">
        <f>IF(ISERROR((CY116/CQ116-1)*100),"NA",IF(((CY116/CQ116-1)*100)&gt;100,"NM",IF(((CY116/CQ116-1)*100)&lt;-50,"NM",(CY116/CQ116-1)*100)))</f>
        <v>3.4267912772585785</v>
      </c>
      <c r="DA116" s="129">
        <v>66.900000000000006</v>
      </c>
      <c r="DB116" s="81">
        <f>IF(ISERROR((DA116/CS116-1)*100),"NA",IF(((DA116/CS116-1)*100)&gt;100,"NM",IF(((DA116/CS116-1)*100)&lt;-50,"NM",(DA116/CS116-1)*100)))</f>
        <v>4.20560747663552</v>
      </c>
      <c r="DC116" s="129">
        <v>70.3</v>
      </c>
      <c r="DD116" s="81">
        <f>IF(ISERROR((DC116/CU116-1)*100),"NA",IF(((DC116/CU116-1)*100)&gt;100,"NM",IF(((DC116/CU116-1)*100)&lt;-50,"NM",(DC116/CU116-1)*100)))</f>
        <v>5.555555555555558</v>
      </c>
      <c r="DE116" s="129">
        <v>70</v>
      </c>
      <c r="DF116" s="81">
        <f>IF(ISERROR((DE116/CW116-1)*100),"NA",IF(((DE116/CW116-1)*100)&gt;100,"NM",IF(((DE116/CW116-1)*100)&lt;-50,"NM",(DE116/CW116-1)*100)))</f>
        <v>5.1051051051051122</v>
      </c>
      <c r="DG116" s="129">
        <v>70.7</v>
      </c>
      <c r="DH116" s="81">
        <f>IF(ISERROR((DG116/CY116-1)*100),"NA",IF(((DG116/CY116-1)*100)&gt;100,"NM",IF(((DG116/CY116-1)*100)&lt;-50,"NM",(DG116/CY116-1)*100)))</f>
        <v>6.475903614457823</v>
      </c>
      <c r="DI116" s="129">
        <v>71.900000000000006</v>
      </c>
      <c r="DJ116" s="81">
        <f>IF(ISERROR((DI116/DA116-1)*100),"NA",IF(((DI116/DA116-1)*100)&gt;100,"NM",IF(((DI116/DA116-1)*100)&lt;-50,"NM",(DI116/DA116-1)*100)))</f>
        <v>7.4738415545590353</v>
      </c>
      <c r="DK116" s="129">
        <v>75.8</v>
      </c>
      <c r="DL116" s="81">
        <f>IF(ISERROR((DK116/DC116-1)*100),"NA",IF(((DK116/DC116-1)*100)&gt;100,"NM",IF(((DK116/DC116-1)*100)&lt;-50,"NM",(DK116/DC116-1)*100)))</f>
        <v>7.8236130867709752</v>
      </c>
      <c r="DM116" s="129">
        <v>77</v>
      </c>
      <c r="DN116" s="81">
        <f>IF(ISERROR((DM116/DE116-1)*100),"NA",IF(((DM116/DE116-1)*100)&gt;100,"NM",IF(((DM116/DE116-1)*100)&lt;-50,"NM",(DM116/DE116-1)*100)))</f>
        <v>10.000000000000009</v>
      </c>
      <c r="DO116" s="129">
        <v>74.8</v>
      </c>
      <c r="DP116" s="81">
        <f>IF(ISERROR((DO116/DG116-1)*100),"NA",IF(((DO116/DG116-1)*100)&gt;100,"NM",IF(((DO116/DG116-1)*100)&lt;-50,"NM",(DO116/DG116-1)*100)))</f>
        <v>5.7991513437057884</v>
      </c>
      <c r="DQ116" s="129">
        <v>75</v>
      </c>
      <c r="DR116" s="81">
        <f>IF(ISERROR((DQ116/DI116-1)*100),"NA",IF(((DQ116/DI116-1)*100)&gt;100,"NM",IF(((DQ116/DI116-1)*100)&lt;-50,"NM",(DQ116/DI116-1)*100)))</f>
        <v>4.311543810848395</v>
      </c>
      <c r="DS116" s="129">
        <v>75.7</v>
      </c>
      <c r="DT116" s="81">
        <f>IF(ISERROR((DS116/DK116-1)*100),"NA",IF(((DS116/DK116-1)*100)&gt;100,"NM",IF(((DS116/DK116-1)*100)&lt;-50,"NM",(DS116/DK116-1)*100)))</f>
        <v>-0.13192612137202797</v>
      </c>
      <c r="DU116" s="129">
        <v>77.5</v>
      </c>
      <c r="DV116" s="81">
        <f>IF(ISERROR((DU116/DM116-1)*100),"NA",IF(((DU116/DM116-1)*100)&gt;100,"NM",IF(((DU116/DM116-1)*100)&lt;-50,"NM",(DU116/DM116-1)*100)))</f>
        <v>0.64935064935065512</v>
      </c>
      <c r="DW116" s="129">
        <v>75.3</v>
      </c>
      <c r="DX116" s="81">
        <f>IF(ISERROR((DW116/DO116-1)*100),"NA",IF(((DW116/DO116-1)*100)&gt;100,"NM",IF(((DW116/DO116-1)*100)&lt;-50,"NM",(DW116/DO116-1)*100)))</f>
        <v>0.66844919786095414</v>
      </c>
      <c r="DY116" s="129">
        <v>81</v>
      </c>
      <c r="DZ116" s="81">
        <f>IF(ISERROR((DY116/DQ116-1)*100),"NA",IF(((DY116/DQ116-1)*100)&gt;100,"NM",IF(((DY116/DQ116-1)*100)&lt;-50,"NM",(DY116/DQ116-1)*100)))</f>
        <v>8.0000000000000071</v>
      </c>
      <c r="EA116" s="129">
        <f>83.5</f>
        <v>83.5</v>
      </c>
      <c r="EB116" s="81">
        <f>IF(ISERROR((EA116/DS116-1)*100),"NA",IF(((EA116/DS116-1)*100)&gt;100,"NM",IF(((EA116/DS116-1)*100)&lt;-50,"NM",(EA116/DS116-1)*100)))</f>
        <v>10.303830911492739</v>
      </c>
      <c r="EC116" s="129">
        <v>79.8</v>
      </c>
      <c r="ED116" s="81">
        <f t="shared" si="411"/>
        <v>2.9677419354838586</v>
      </c>
      <c r="EE116" s="129">
        <v>81.5</v>
      </c>
      <c r="EF116" s="81">
        <f t="shared" si="412"/>
        <v>8.2337317397078493</v>
      </c>
      <c r="EG116" s="129">
        <v>81.400000000000006</v>
      </c>
      <c r="EH116" s="81">
        <f t="shared" si="413"/>
        <v>0.49382716049384268</v>
      </c>
      <c r="EI116" s="129">
        <v>85.6</v>
      </c>
      <c r="EJ116" s="81">
        <f t="shared" si="414"/>
        <v>2.5149700598802394</v>
      </c>
      <c r="EK116" s="214">
        <f t="shared" ref="EK116:EQ116" si="424">+EK107*EK122/100</f>
        <v>83.564565999999999</v>
      </c>
      <c r="EL116" s="81">
        <f t="shared" si="416"/>
        <v>4.7175012531328386</v>
      </c>
      <c r="EM116" s="214">
        <f t="shared" si="424"/>
        <v>85.06872818799998</v>
      </c>
      <c r="EN116" s="81">
        <f t="shared" si="417"/>
        <v>4.3788075926380232</v>
      </c>
      <c r="EO116" s="214">
        <f t="shared" si="424"/>
        <v>86.599965295383996</v>
      </c>
      <c r="EP116" s="81">
        <f t="shared" si="418"/>
        <v>6.3881637535429858</v>
      </c>
      <c r="EQ116" s="214">
        <f t="shared" si="424"/>
        <v>87.898964774814758</v>
      </c>
      <c r="ER116" s="81">
        <f t="shared" si="419"/>
        <v>2.6857065126340673</v>
      </c>
      <c r="ES116" s="129"/>
      <c r="ET116" s="469"/>
      <c r="EU116" s="129"/>
      <c r="EV116" s="95"/>
      <c r="EW116" s="79"/>
      <c r="EX116" s="95"/>
      <c r="EY116" s="79"/>
      <c r="EZ116" s="131"/>
      <c r="FA116" s="79"/>
      <c r="FB116" s="35"/>
      <c r="FC116" s="79"/>
      <c r="FD116" s="129">
        <f>0.3+217</f>
        <v>217.3</v>
      </c>
      <c r="FE116" s="79" t="str">
        <f>IF(ISERROR((FD116/FB116-1)*100),"NA",IF(((FD116/FB116-1)*100)&gt;100,"NM",IF(((FD116/FB116-1)*100)&lt;-50,"NM",(FD116/FB116-1)*100)))</f>
        <v>NA</v>
      </c>
      <c r="FF116" s="129">
        <f>0.3+232.8</f>
        <v>233.10000000000002</v>
      </c>
      <c r="FG116" s="79">
        <f>IF(ISERROR((FF116/FD116-1)*100),"NA",IF(((FF116/FD116-1)*100)&gt;100,"NM",IF(((FF116/FD116-1)*100)&lt;-50,"NM",(FF116/FD116-1)*100)))</f>
        <v>7.271053842613906</v>
      </c>
      <c r="FH116" s="129">
        <f>0.2+242.1</f>
        <v>242.29999999999998</v>
      </c>
      <c r="FI116" s="79">
        <f>IF(ISERROR((FH116/FF116-1)*100),"NA",IF(((FH116/FF116-1)*100)&gt;100,"NM",IF(((FH116/FF116-1)*100)&lt;-50,"NM",(FH116/FF116-1)*100)))</f>
        <v>3.946803946803934</v>
      </c>
      <c r="FJ116" s="35">
        <f>+AQ116+AO116+AM116+AK116</f>
        <v>260.39999999999998</v>
      </c>
      <c r="FK116" s="79">
        <f>IF(ISERROR((FJ116/FH116-1)*100),"NA",IF(((FJ116/FH116-1)*100)&gt;100,"NM",IF(((FJ116/FH116-1)*100)&lt;-50,"NM",(FJ116/FH116-1)*100)))</f>
        <v>7.4700784151877864</v>
      </c>
      <c r="FL116" s="78">
        <f>AS116+AU116+AW116+AY116</f>
        <v>251.6</v>
      </c>
      <c r="FM116" s="79">
        <f>IF(ISERROR((FL116/FJ116-1)*100),"NA",IF(((FL116/FJ116-1)*100)&gt;100,"NM",IF(((FL116/FJ116-1)*100)&lt;-50,"NM",(FL116/FJ116-1)*100)))</f>
        <v>-3.3794162826420782</v>
      </c>
      <c r="FN116" s="78">
        <f>BA116+BC116+BE116+BG116</f>
        <v>266.7</v>
      </c>
      <c r="FO116" s="79">
        <f>IF(ISERROR((FN116/FL116-1)*100),"NA",IF(((FN116/FL116-1)*100)&gt;100,"NM",IF(((FN116/FL116-1)*100)&lt;-50,"NM",(FN116/FL116-1)*100)))</f>
        <v>6.0015898251192246</v>
      </c>
      <c r="FP116" s="78">
        <f>BI116+BK116+BM116+BO116</f>
        <v>283.7</v>
      </c>
      <c r="FQ116" s="79">
        <f>IF(ISERROR((FP116/FN116-1)*100),"NA",IF(((FP116/FN116-1)*100)&gt;100,"NM",IF(((FP116/FN116-1)*100)&lt;-50,"NM",(FP116/FN116-1)*100)))</f>
        <v>6.3742032245969193</v>
      </c>
      <c r="FR116" s="129">
        <v>229.1</v>
      </c>
      <c r="FS116" s="79">
        <f>IF(ISERROR((FR116/FP116-1)*100),"NA",IF(((FR116/FP116-1)*100)&gt;100,"NM",IF(((FR116/FP116-1)*100)&lt;-50,"NM",(FR116/FP116-1)*100)))</f>
        <v>-19.245682058512514</v>
      </c>
      <c r="FT116" s="214">
        <f>BY116+CA116+CC116+CE116</f>
        <v>239.5</v>
      </c>
      <c r="FU116" s="79">
        <f>IF(ISERROR((FT116/FR116-1)*100),"NA",IF(((FT116/FR116-1)*100)&gt;100,"NM",IF(((FT116/FR116-1)*100)&lt;-50,"NM",(FT116/FR116-1)*100)))</f>
        <v>4.5395024006983808</v>
      </c>
      <c r="FV116" s="214">
        <f>CG116+CI116+CK116+CM116</f>
        <v>249.5</v>
      </c>
      <c r="FW116" s="79">
        <f>IF(ISERROR((FV116/FT116-1)*100),"NA",IF(((FV116/FT116-1)*100)&gt;100,"NM",IF(((FV116/FT116-1)*100)&lt;-50,"NM",(FV116/FT116-1)*100)))</f>
        <v>4.175365344467652</v>
      </c>
      <c r="FX116" s="214">
        <f>CO116+CQ116+CS116+CU116</f>
        <v>259.70000000000005</v>
      </c>
      <c r="FY116" s="79">
        <f>IF(ISERROR((FX116/FV116-1)*100),"NA",IF(((FX116/FV116-1)*100)&gt;100,"NM",IF(((FX116/FV116-1)*100)&lt;-50,"NM",(FX116/FV116-1)*100)))</f>
        <v>4.0881763527054193</v>
      </c>
      <c r="FZ116" s="214">
        <f>CW116+CY116+DA116+DC116</f>
        <v>270.2</v>
      </c>
      <c r="GA116" s="79">
        <f>IF(ISERROR((FZ116/FX116-1)*100),"NA",IF(((FZ116/FX116-1)*100)&gt;100,"NM",IF(((FZ116/FX116-1)*100)&lt;-50,"NM",(FZ116/FX116-1)*100)))</f>
        <v>4.0431266846360892</v>
      </c>
      <c r="GB116" s="214">
        <f>DE116+DG116+DI116+DK116</f>
        <v>288.39999999999998</v>
      </c>
      <c r="GC116" s="79">
        <f>IF(ISERROR((GB116/FZ116-1)*100),"NA",IF(((GB116/FZ116-1)*100)&gt;100,"NM",IF(((GB116/FZ116-1)*100)&lt;-50,"NM",(GB116/FZ116-1)*100)))</f>
        <v>6.7357512953367893</v>
      </c>
      <c r="GD116" s="214">
        <f>DM116+DO116+DQ116+DS116</f>
        <v>302.5</v>
      </c>
      <c r="GE116" s="79">
        <f>IF(ISERROR((GD116/GB116-1)*100),"NA",IF(((GD116/GB116-1)*100)&gt;100,"NM",IF(((GD116/GB116-1)*100)&lt;-50,"NM",(GD116/GB116-1)*100)))</f>
        <v>4.8890429958391213</v>
      </c>
      <c r="GF116" s="214">
        <f>DU116+DW116+DY116+EA116</f>
        <v>317.3</v>
      </c>
      <c r="GG116" s="79">
        <f>IF(ISERROR((GF116/GD116-1)*100),"NA",IF(((GF116/GD116-1)*100)&gt;100,"NM",IF(((GF116/GD116-1)*100)&lt;-50,"NM",(GF116/GD116-1)*100)))</f>
        <v>4.8925619834710776</v>
      </c>
      <c r="GH116" s="214">
        <f>EC116+EE116+EG116+EI116</f>
        <v>328.3</v>
      </c>
      <c r="GI116" s="79">
        <f>IF(ISERROR((GH116/GF116-1)*100),"NA",IF(((GH116/GF116-1)*100)&gt;100,"NM",IF(((GH116/GF116-1)*100)&lt;-50,"NM",(GH116/GF116-1)*100)))</f>
        <v>3.4667507091080907</v>
      </c>
      <c r="GJ116" s="214">
        <f>EK116+EM116+EO116+EQ116</f>
        <v>343.13222425819873</v>
      </c>
      <c r="GK116" s="79">
        <f>IF(ISERROR((GJ116/GH116-1)*100),"NA",IF(((GJ116/GH116-1)*100)&gt;100,"NM",IF(((GJ116/GH116-1)*100)&lt;-50,"NM",(GJ116/GH116-1)*100)))</f>
        <v>4.5178873768500605</v>
      </c>
      <c r="GL116" s="214">
        <f>+GL107*GL122/100</f>
        <v>360.2888354711086</v>
      </c>
      <c r="GM116" s="79">
        <f>IF(ISERROR((GL116/GJ116-1)*100),"NA",IF(((GL116/GJ116-1)*100)&gt;100,"NM",IF(((GL116/GJ116-1)*100)&lt;-50,"NM",(GL116/GJ116-1)*100)))</f>
        <v>4.9999999999999822</v>
      </c>
      <c r="GN116" s="214">
        <f>+GN107*GN122/100</f>
        <v>378.30327724466412</v>
      </c>
      <c r="GO116" s="79">
        <f>IF(ISERROR((GN116/GL116-1)*100),"NA",IF(((GN116/GL116-1)*100)&gt;100,"NM",IF(((GN116/GL116-1)*100)&lt;-50,"NM",(GN116/GL116-1)*100)))</f>
        <v>5.0000000000000266</v>
      </c>
      <c r="GP116" s="214">
        <f>+GP107*GP122/100</f>
        <v>397.21844110689727</v>
      </c>
      <c r="GQ116" s="79">
        <f>IF(ISERROR((GP116/GN116-1)*100),"NA",IF(((GP116/GN116-1)*100)&gt;100,"NM",IF(((GP116/GN116-1)*100)&lt;-50,"NM",(GP116/GN116-1)*100)))</f>
        <v>4.9999999999999822</v>
      </c>
      <c r="GR116" s="214">
        <f>+GR107*GR122/100</f>
        <v>418.89275169773026</v>
      </c>
      <c r="GS116" s="79">
        <f>IF(ISERROR((GR116/GP116-1)*100),"NA",IF(((GR116/GP116-1)*100)&gt;100,"NM",IF(((GR116/GP116-1)*100)&lt;-50,"NM",(GR116/GP116-1)*100)))</f>
        <v>5.456521739130471</v>
      </c>
      <c r="GT116" s="79">
        <f>IF(ISERROR(((GR116/GH116)^0.2-1)*100),"NA",(IF(OR(((GR116/GH116)^0.2-1)*100&gt;99,((GR116/GH116)^0.2-1)*100&lt;-50),"NM",(((GR116/GH116)^0.2-1)*100))))</f>
        <v>4.994462010681322</v>
      </c>
      <c r="GU116" s="562"/>
      <c r="GV116" s="562"/>
      <c r="GW116"/>
      <c r="GX116"/>
      <c r="GY116"/>
      <c r="GZ116"/>
      <c r="HA116"/>
      <c r="HB116"/>
      <c r="HC116" s="562"/>
      <c r="HD116" s="562"/>
      <c r="HE116" s="562"/>
      <c r="HF116" s="562"/>
      <c r="HG116" s="562"/>
      <c r="HH116" s="562"/>
      <c r="HI116" s="562"/>
      <c r="HJ116" s="562"/>
      <c r="HK116" s="562"/>
      <c r="HL116" s="562"/>
      <c r="HM116" s="562"/>
      <c r="HN116" s="562"/>
      <c r="HO116" s="562"/>
      <c r="HP116" s="562"/>
      <c r="HQ116" s="562"/>
      <c r="HR116" s="562"/>
      <c r="HS116" s="562"/>
      <c r="HT116" s="562"/>
      <c r="HU116" s="562"/>
      <c r="HV116" s="562"/>
      <c r="HW116" s="562"/>
      <c r="HX116" s="562"/>
      <c r="HY116" s="562"/>
      <c r="HZ116" s="562"/>
      <c r="IA116" s="562"/>
      <c r="IB116" s="562"/>
      <c r="IC116" s="562"/>
      <c r="ID116" s="562"/>
      <c r="IE116" s="562"/>
      <c r="IF116" s="562"/>
      <c r="IG116" s="562"/>
      <c r="IH116" s="562"/>
      <c r="II116" s="562"/>
      <c r="IJ116" s="562"/>
      <c r="IK116" s="562"/>
      <c r="IL116" s="562"/>
      <c r="IM116" s="562"/>
      <c r="IN116" s="562"/>
      <c r="IO116" s="562"/>
      <c r="IP116" s="562"/>
      <c r="IQ116" s="562"/>
      <c r="IR116" s="562"/>
      <c r="IS116" s="562"/>
      <c r="IT116" s="562"/>
      <c r="IU116" s="562"/>
      <c r="IV116" s="562"/>
      <c r="IW116" s="562"/>
      <c r="IX116" s="562"/>
      <c r="IY116" s="562"/>
      <c r="IZ116" s="562"/>
      <c r="JA116" s="562"/>
      <c r="JB116" s="562"/>
      <c r="JC116" s="562"/>
      <c r="JD116" s="562"/>
      <c r="JE116" s="562"/>
      <c r="JF116" s="562"/>
      <c r="JG116" s="562"/>
      <c r="JH116" s="562"/>
      <c r="JI116" s="562"/>
      <c r="JJ116" s="562"/>
      <c r="JK116" s="562"/>
      <c r="JL116" s="562"/>
      <c r="JM116" s="562"/>
      <c r="JN116" s="562"/>
      <c r="JO116" s="562"/>
      <c r="JP116" s="562"/>
      <c r="JQ116" s="562"/>
      <c r="JR116" s="562"/>
      <c r="JS116" s="562"/>
      <c r="JT116" s="562"/>
      <c r="JU116" s="562"/>
      <c r="JV116" s="562"/>
      <c r="JW116" s="562"/>
      <c r="JX116" s="562"/>
      <c r="JY116" s="562"/>
      <c r="JZ116" s="562"/>
    </row>
    <row r="117" spans="1:286" s="132" customFormat="1" ht="12.75" customHeight="1" x14ac:dyDescent="0.2">
      <c r="A117" s="133"/>
      <c r="B117" s="68" t="s">
        <v>57</v>
      </c>
      <c r="C117" s="79"/>
      <c r="D117" s="79"/>
      <c r="E117" s="147"/>
      <c r="F117" s="147"/>
      <c r="G117" s="147"/>
      <c r="H117" s="147"/>
      <c r="I117" s="147"/>
      <c r="J117" s="147"/>
      <c r="K117" s="147"/>
      <c r="L117" s="79"/>
      <c r="M117" s="147"/>
      <c r="N117" s="79"/>
      <c r="O117" s="147"/>
      <c r="P117" s="79"/>
      <c r="Q117" s="147"/>
      <c r="R117" s="79"/>
      <c r="S117" s="147"/>
      <c r="T117" s="79"/>
      <c r="U117" s="147"/>
      <c r="V117" s="79"/>
      <c r="W117" s="147"/>
      <c r="X117" s="79"/>
      <c r="Y117" s="147"/>
      <c r="Z117" s="79"/>
      <c r="AA117" s="149"/>
      <c r="AB117" s="79"/>
      <c r="AC117" s="147">
        <f>SUM(AC113:AC116)</f>
        <v>291.8</v>
      </c>
      <c r="AD117" s="79" t="str">
        <f>IF(ISERROR((AC117/U117-1)*100),"NA",IF(((AC117/U117-1)*100)&gt;100,"NM",IF(((AC117/U117-1)*100)&lt;-50,"NM",(AC117/U117-1)*100)))</f>
        <v>NA</v>
      </c>
      <c r="AE117" s="147">
        <f>SUM(AE113:AE116)</f>
        <v>298.70000000000005</v>
      </c>
      <c r="AF117" s="79" t="str">
        <f>IF(ISERROR((AE117/W117-1)*100),"NA",IF(((AE117/W117-1)*100)&gt;100,"NM",IF(((AE117/W117-1)*100)&lt;-50,"NM",(AE117/W117-1)*100)))</f>
        <v>NA</v>
      </c>
      <c r="AG117" s="147">
        <f>SUM(AG113:AG116)</f>
        <v>307.8</v>
      </c>
      <c r="AH117" s="79" t="str">
        <f>IF(ISERROR((AG117/Y117-1)*100),"NA",IF(((AG117/Y117-1)*100)&gt;100,"NM",IF(((AG117/Y117-1)*100)&lt;-50,"NM",(AG117/Y117-1)*100)))</f>
        <v>NA</v>
      </c>
      <c r="AI117" s="199">
        <f>SUM(AI113:AI116)</f>
        <v>317.99999999999994</v>
      </c>
      <c r="AJ117" s="79" t="str">
        <f>IF(ISERROR((AI117/AA117-1)*100),"NA",IF(((AI117/AA117-1)*100)&gt;100,"NM",IF(((AI117/AA117-1)*100)&lt;-50,"NM",(AI117/AA117-1)*100)))</f>
        <v>NA</v>
      </c>
      <c r="AK117" s="147">
        <f>SUM(AK113:AK116)</f>
        <v>324.7</v>
      </c>
      <c r="AL117" s="79">
        <f>IF(ISERROR((AK117/AC117-1)*100),"NA",IF(((AK117/AC117-1)*100)&gt;100,"NM",IF(((AK117/AC117-1)*100)&lt;-50,"NM",(AK117/AC117-1)*100)))</f>
        <v>11.274845784784082</v>
      </c>
      <c r="AM117" s="147">
        <f>SUM(AM113:AM116)</f>
        <v>331.5</v>
      </c>
      <c r="AN117" s="79">
        <f>IF(ISERROR((AM117/AE117-1)*100),"NA",IF(((AM117/AE117-1)*100)&gt;100,"NM",IF(((AM117/AE117-1)*100)&lt;-50,"NM",(AM117/AE117-1)*100)))</f>
        <v>10.980917308336103</v>
      </c>
      <c r="AO117" s="147">
        <f>SUM(AO113:AO116)</f>
        <v>338.6</v>
      </c>
      <c r="AP117" s="79">
        <f>IF(ISERROR((AO117/AG117-1)*100),"NA",IF(((AO117/AG117-1)*100)&gt;100,"NM",IF(((AO117/AG117-1)*100)&lt;-50,"NM",(AO117/AG117-1)*100)))</f>
        <v>10.006497725795981</v>
      </c>
      <c r="AQ117" s="147">
        <f>SUM(AQ113:AQ116)</f>
        <v>338.8</v>
      </c>
      <c r="AR117" s="79">
        <f>IF(ISERROR((AQ117/AI117-1)*100),"NA",IF(((AQ117/AI117-1)*100)&gt;100,"NM",IF(((AQ117/AI117-1)*100)&lt;-50,"NM",(AQ117/AI117-1)*100)))</f>
        <v>6.5408805031446748</v>
      </c>
      <c r="AS117" s="147">
        <f>SUM(AS113:AS116)</f>
        <v>344.2</v>
      </c>
      <c r="AT117" s="81">
        <f>IF(ISERROR((AS117/AK117-1)*100),"NA",IF(((AS117/AK117-1)*100)&gt;100,"NM",IF(((AS117/AK117-1)*100)&lt;-50,"NM",(AS117/AK117-1)*100)))</f>
        <v>6.0055435786880107</v>
      </c>
      <c r="AU117" s="147">
        <f>SUM(AU113:AU116)</f>
        <v>357.70000000000005</v>
      </c>
      <c r="AV117" s="81">
        <f>IF(ISERROR((AU117/AM117-1)*100),"NA",IF(((AU117/AM117-1)*100)&gt;100,"NM",IF(((AU117/AM117-1)*100)&lt;-50,"NM",(AU117/AM117-1)*100)))</f>
        <v>7.9034690799396845</v>
      </c>
      <c r="AW117" s="147">
        <f>SUM(AW113:AW116)</f>
        <v>356.90000000000003</v>
      </c>
      <c r="AX117" s="81">
        <f>IF(ISERROR((AW117/AO117-1)*100),"NA",IF(((AW117/AO117-1)*100)&gt;100,"NM",IF(((AW117/AO117-1)*100)&lt;-50,"NM",(AW117/AO117-1)*100)))</f>
        <v>5.4046072061429529</v>
      </c>
      <c r="AY117" s="147">
        <f>SUM(AY113:AY116)</f>
        <v>361.3</v>
      </c>
      <c r="AZ117" s="81">
        <f>IF(ISERROR((AY117/AQ117-1)*100),"NA",IF(((AY117/AQ117-1)*100)&gt;100,"NM",IF(((AY117/AQ117-1)*100)&lt;-50,"NM",(AY117/AQ117-1)*100)))</f>
        <v>6.6410861865407345</v>
      </c>
      <c r="BA117" s="147">
        <f>SUM(BA113:BA116)</f>
        <v>373.90000000000003</v>
      </c>
      <c r="BB117" s="81">
        <f>IF(ISERROR((BA117/AS117-1)*100),"NA",IF(((BA117/AS117-1)*100)&gt;100,"NM",IF(((BA117/AS117-1)*100)&lt;-50,"NM",(BA117/AS117-1)*100)))</f>
        <v>8.6287042417199533</v>
      </c>
      <c r="BC117" s="147">
        <f>SUM(BC113:BC116)</f>
        <v>386.60000000000008</v>
      </c>
      <c r="BD117" s="81">
        <f>IF(ISERROR((BC117/AU117-1)*100),"NA",IF(((BC117/AU117-1)*100)&gt;100,"NM",IF(((BC117/AU117-1)*100)&lt;-50,"NM",(BC117/AU117-1)*100)))</f>
        <v>8.079396142018469</v>
      </c>
      <c r="BE117" s="147">
        <f>SUM(BE113:BE116)</f>
        <v>392.30000000000007</v>
      </c>
      <c r="BF117" s="81">
        <f>IF(ISERROR((BE117/AW117-1)*100),"NA",IF(((BE117/AW117-1)*100)&gt;100,"NM",IF(((BE117/AW117-1)*100)&lt;-50,"NM",(BE117/AW117-1)*100)))</f>
        <v>9.9187447464275778</v>
      </c>
      <c r="BG117" s="147">
        <f>SUM(BG113:BG116)</f>
        <v>390.19999999999993</v>
      </c>
      <c r="BH117" s="81">
        <f>IF(ISERROR((BG117/AY117-1)*100),"NA",IF(((BG117/AY117-1)*100)&gt;100,"NM",IF(((BG117/AY117-1)*100)&lt;-50,"NM",(BG117/AY117-1)*100)))</f>
        <v>7.9988928867976483</v>
      </c>
      <c r="BI117" s="147">
        <f>SUM(BI113:BI116)</f>
        <v>402.4</v>
      </c>
      <c r="BJ117" s="81">
        <f>IF(ISERROR((BI117/BA117-1)*100),"NA",IF(((BI117/BA117-1)*100)&gt;100,"NM",IF(((BI117/BA117-1)*100)&lt;-50,"NM",(BI117/BA117-1)*100)))</f>
        <v>7.6223589194971852</v>
      </c>
      <c r="BK117" s="147">
        <f>SUM(BK113:BK116)</f>
        <v>403.70000000000005</v>
      </c>
      <c r="BL117" s="81">
        <f>IF(ISERROR((BK117/BC117-1)*100),"NA",IF(((BK117/BC117-1)*100)&gt;100,"NM",IF(((BK117/BC117-1)*100)&lt;-50,"NM",(BK117/BC117-1)*100)))</f>
        <v>4.4231764097258042</v>
      </c>
      <c r="BM117" s="147">
        <f>SUM(BM113:BM116)</f>
        <v>413.9</v>
      </c>
      <c r="BN117" s="81">
        <f>IF(ISERROR((BM117/BE117-1)*100),"NA",IF(((BM117/BE117-1)*100)&gt;100,"NM",IF(((BM117/BE117-1)*100)&lt;-50,"NM",(BM117/BE117-1)*100)))</f>
        <v>5.5059903135355359</v>
      </c>
      <c r="BO117" s="147">
        <f>SUM(BO113:BO116)</f>
        <v>416.5</v>
      </c>
      <c r="BP117" s="81">
        <f>IF(ISERROR((BO117/BG117-1)*100),"NA",IF(((BO117/BG117-1)*100)&gt;100,"NM",IF(((BO117/BG117-1)*100)&lt;-50,"NM",(BO117/BG117-1)*100)))</f>
        <v>6.7401332649923207</v>
      </c>
      <c r="BQ117" s="147">
        <f>SUM(BQ113:BQ116)</f>
        <v>426.50000000000006</v>
      </c>
      <c r="BR117" s="81">
        <f>IF(ISERROR((BQ117/BI117-1)*100),"NA",IF(((BQ117/BI117-1)*100)&gt;100,"NM",IF(((BQ117/BI117-1)*100)&lt;-50,"NM",(BQ117/BI117-1)*100)))</f>
        <v>5.9890656063618541</v>
      </c>
      <c r="BS117" s="147">
        <f>SUM(BS113:BS116)</f>
        <v>434.6</v>
      </c>
      <c r="BT117" s="81">
        <f>IF(ISERROR((BS117/BK117-1)*100),"NA",IF(((BS117/BK117-1)*100)&gt;100,"NM",IF(((BS117/BK117-1)*100)&lt;-50,"NM",(BS117/BK117-1)*100)))</f>
        <v>7.6541986623730462</v>
      </c>
      <c r="BU117" s="147">
        <f>SUM(BU113:BU116)</f>
        <v>432.20000000000005</v>
      </c>
      <c r="BV117" s="81">
        <f>IF(ISERROR((BU117/BM117-1)*100),"NA",IF(((BU117/BM117-1)*100)&gt;100,"NM",IF(((BU117/BM117-1)*100)&lt;-50,"NM",(BU117/BM117-1)*100)))</f>
        <v>4.4213578158975864</v>
      </c>
      <c r="BW117" s="147">
        <f>SUM(BW113:BW116)</f>
        <v>423.3</v>
      </c>
      <c r="BX117" s="81">
        <f>IF(ISERROR((BW117/BO117-1)*100),"NA",IF(((BW117/BO117-1)*100)&gt;100,"NM",IF(((BW117/BO117-1)*100)&lt;-50,"NM",(BW117/BO117-1)*100)))</f>
        <v>1.6326530612244872</v>
      </c>
      <c r="BY117" s="147">
        <f>SUM(BY113:BY116)</f>
        <v>246.7</v>
      </c>
      <c r="BZ117" s="81">
        <f>IF(ISERROR((BY117/BQ117-1)*100),"NA",IF(((BY117/BQ117-1)*100)&gt;100,"NM",IF(((BY117/BQ117-1)*100)&lt;-50,"NM",(BY117/BQ117-1)*100)))</f>
        <v>-42.157092614302471</v>
      </c>
      <c r="CA117" s="147">
        <f>SUM(CA113:CA116)</f>
        <v>241.7</v>
      </c>
      <c r="CB117" s="81">
        <f>IF(ISERROR((CA117/BS117-1)*100),"NA",IF(((CA117/BS117-1)*100)&gt;100,"NM",IF(((CA117/BS117-1)*100)&lt;-50,"NM",(CA117/BS117-1)*100)))</f>
        <v>-44.385641969627251</v>
      </c>
      <c r="CC117" s="147">
        <f>SUM(CC113:CC116)</f>
        <v>243.1</v>
      </c>
      <c r="CD117" s="81">
        <f>IF(ISERROR((CC117/BU117-1)*100),"NA",IF(((CC117/BU117-1)*100)&gt;100,"NM",IF(((CC117/BU117-1)*100)&lt;-50,"NM",(CC117/BU117-1)*100)))</f>
        <v>-43.752892179546507</v>
      </c>
      <c r="CE117" s="147">
        <f>SUM(CE113:CE116)</f>
        <v>240.10000000000002</v>
      </c>
      <c r="CF117" s="81">
        <f>IF(ISERROR((CE117/BW117-1)*100),"NA",IF(((CE117/BW117-1)*100)&gt;100,"NM",IF(((CE117/BW117-1)*100)&lt;-50,"NM",(CE117/BW117-1)*100)))</f>
        <v>-43.278998346326482</v>
      </c>
      <c r="CG117" s="147">
        <f>SUM(CG113:CG116)</f>
        <v>251.10000000000002</v>
      </c>
      <c r="CH117" s="81">
        <f>IF(ISERROR((CG117/BY117-1)*100),"NA",IF(((CG117/BY117-1)*100)&gt;100,"NM",IF(((CG117/BY117-1)*100)&lt;-50,"NM",(CG117/BY117-1)*100)))</f>
        <v>1.7835427644913082</v>
      </c>
      <c r="CI117" s="147">
        <f>SUM(CI113:CI116)</f>
        <v>245.1</v>
      </c>
      <c r="CJ117" s="81">
        <f>IF(ISERROR((CI117/CA117-1)*100),"NA",IF(((CI117/CA117-1)*100)&gt;100,"NM",IF(((CI117/CA117-1)*100)&lt;-50,"NM",(CI117/CA117-1)*100)))</f>
        <v>1.4067025237898267</v>
      </c>
      <c r="CK117" s="147">
        <f>SUM(CK113:CK116)</f>
        <v>236.10000000000002</v>
      </c>
      <c r="CL117" s="81">
        <f>IF(ISERROR((CK117/CC117-1)*100),"NA",IF(((CK117/CC117-1)*100)&gt;100,"NM",IF(((CK117/CC117-1)*100)&lt;-50,"NM",(CK117/CC117-1)*100)))</f>
        <v>-2.8794734677087486</v>
      </c>
      <c r="CM117" s="147">
        <f>SUM(CM113:CM116)</f>
        <v>247.2</v>
      </c>
      <c r="CN117" s="81">
        <f>IF(ISERROR((CM117/CE117-1)*100),"NA",IF(((CM117/CE117-1)*100)&gt;100,"NM",IF(((CM117/CE117-1)*100)&lt;-50,"NM",(CM117/CE117-1)*100)))</f>
        <v>2.9571012078300596</v>
      </c>
      <c r="CO117" s="147">
        <f>SUM(CO113:CO116)</f>
        <v>261.5</v>
      </c>
      <c r="CP117" s="81">
        <f>IF(ISERROR((CO117/CG117-1)*100),"NA",IF(((CO117/CG117-1)*100)&gt;100,"NM",IF(((CO117/CG117-1)*100)&lt;-50,"NM",(CO117/CG117-1)*100)))</f>
        <v>4.1417761847869272</v>
      </c>
      <c r="CQ117" s="147">
        <f>SUM(CQ113:CQ116)</f>
        <v>255</v>
      </c>
      <c r="CR117" s="81">
        <f>IF(ISERROR((CQ117/CI117-1)*100),"NA",IF(((CQ117/CI117-1)*100)&gt;100,"NM",IF(((CQ117/CI117-1)*100)&lt;-50,"NM",(CQ117/CI117-1)*100)))</f>
        <v>4.0391676866585069</v>
      </c>
      <c r="CS117" s="147">
        <f>SUM(CS113:CS116)</f>
        <v>252</v>
      </c>
      <c r="CT117" s="81">
        <f>IF(ISERROR((CS117/CK117-1)*100),"NA",IF(((CS117/CK117-1)*100)&gt;100,"NM",IF(((CS117/CK117-1)*100)&lt;-50,"NM",(CS117/CK117-1)*100)))</f>
        <v>6.7344345616264123</v>
      </c>
      <c r="CU117" s="147">
        <f>SUM(CU113:CU116)</f>
        <v>259.5</v>
      </c>
      <c r="CV117" s="81">
        <f>IF(ISERROR((CU117/CM117-1)*100),"NA",IF(((CU117/CM117-1)*100)&gt;100,"NM",IF(((CU117/CM117-1)*100)&lt;-50,"NM",(CU117/CM117-1)*100)))</f>
        <v>4.9757281553398203</v>
      </c>
      <c r="CW117" s="147">
        <f>SUM(CW113:CW116)</f>
        <v>277.5</v>
      </c>
      <c r="CX117" s="81">
        <f>IF(ISERROR((CW117/CO117-1)*100),"NA",IF(((CW117/CO117-1)*100)&gt;100,"NM",IF(((CW117/CO117-1)*100)&lt;-50,"NM",(CW117/CO117-1)*100)))</f>
        <v>6.118546845124273</v>
      </c>
      <c r="CY117" s="147">
        <f>SUM(CY113:CY116)</f>
        <v>257.40000000000003</v>
      </c>
      <c r="CZ117" s="81">
        <f>IF(ISERROR((CY117/CQ117-1)*100),"NA",IF(((CY117/CQ117-1)*100)&gt;100,"NM",IF(((CY117/CQ117-1)*100)&lt;-50,"NM",(CY117/CQ117-1)*100)))</f>
        <v>0.94117647058824527</v>
      </c>
      <c r="DA117" s="147">
        <f>SUM(DA113:DA116)</f>
        <v>257.8</v>
      </c>
      <c r="DB117" s="81">
        <f>IF(ISERROR((DA117/CS117-1)*100),"NA",IF(((DA117/CS117-1)*100)&gt;100,"NM",IF(((DA117/CS117-1)*100)&lt;-50,"NM",(DA117/CS117-1)*100)))</f>
        <v>2.3015873015873156</v>
      </c>
      <c r="DC117" s="147">
        <f>SUM(DC113:DC116)</f>
        <v>285</v>
      </c>
      <c r="DD117" s="81">
        <f>IF(ISERROR((DC117/CU117-1)*100),"NA",IF(((DC117/CU117-1)*100)&gt;100,"NM",IF(((DC117/CU117-1)*100)&lt;-50,"NM",(DC117/CU117-1)*100)))</f>
        <v>9.8265895953757223</v>
      </c>
      <c r="DE117" s="147">
        <f>SUM(DE113:DE116)</f>
        <v>276.2</v>
      </c>
      <c r="DF117" s="81">
        <f>IF(ISERROR((DE117/CW117-1)*100),"NA",IF(((DE117/CW117-1)*100)&gt;100,"NM",IF(((DE117/CW117-1)*100)&lt;-50,"NM",(DE117/CW117-1)*100)))</f>
        <v>-0.46846846846847479</v>
      </c>
      <c r="DG117" s="147">
        <f>SUM(DG113:DG116)</f>
        <v>271.39999999999998</v>
      </c>
      <c r="DH117" s="81">
        <f>IF(ISERROR((DG117/CY117-1)*100),"NA",IF(((DG117/CY117-1)*100)&gt;100,"NM",IF(((DG117/CY117-1)*100)&lt;-50,"NM",(DG117/CY117-1)*100)))</f>
        <v>5.4390054390054177</v>
      </c>
      <c r="DI117" s="147">
        <f>SUM(DI113:DI116)</f>
        <v>269.39999999999998</v>
      </c>
      <c r="DJ117" s="81">
        <f>IF(ISERROR((DI117/DA117-1)*100),"NA",IF(((DI117/DA117-1)*100)&gt;100,"NM",IF(((DI117/DA117-1)*100)&lt;-50,"NM",(DI117/DA117-1)*100)))</f>
        <v>4.4996121024049485</v>
      </c>
      <c r="DK117" s="147">
        <f>SUM(DK113:DK116)</f>
        <v>270.7</v>
      </c>
      <c r="DL117" s="81">
        <f>IF(ISERROR((DK117/DC117-1)*100),"NA",IF(((DK117/DC117-1)*100)&gt;100,"NM",IF(((DK117/DC117-1)*100)&lt;-50,"NM",(DK117/DC117-1)*100)))</f>
        <v>-5.0175438596491322</v>
      </c>
      <c r="DM117" s="147">
        <f>SUM(DM113:DM116)</f>
        <v>291</v>
      </c>
      <c r="DN117" s="81">
        <f>IF(ISERROR((DM117/DE117-1)*100),"NA",IF(((DM117/DE117-1)*100)&gt;100,"NM",IF(((DM117/DE117-1)*100)&lt;-50,"NM",(DM117/DE117-1)*100)))</f>
        <v>5.3584359160028905</v>
      </c>
      <c r="DO117" s="147">
        <f>SUM(DO113:DO116)</f>
        <v>279.59999999999997</v>
      </c>
      <c r="DP117" s="81">
        <f>IF(ISERROR((DO117/DG117-1)*100),"NA",IF(((DO117/DG117-1)*100)&gt;100,"NM",IF(((DO117/DG117-1)*100)&lt;-50,"NM",(DO117/DG117-1)*100)))</f>
        <v>3.0213706705968901</v>
      </c>
      <c r="DQ117" s="147">
        <f>SUM(DQ113:DQ116)</f>
        <v>281.89999999999998</v>
      </c>
      <c r="DR117" s="81">
        <f>IF(ISERROR((DQ117/DI117-1)*100),"NA",IF(((DQ117/DI117-1)*100)&gt;100,"NM",IF(((DQ117/DI117-1)*100)&lt;-50,"NM",(DQ117/DI117-1)*100)))</f>
        <v>4.6399406087602069</v>
      </c>
      <c r="DS117" s="147">
        <f>SUM(DS113:DS116)</f>
        <v>281.5</v>
      </c>
      <c r="DT117" s="81">
        <f>IF(ISERROR((DS117/DK117-1)*100),"NA",IF(((DS117/DK117-1)*100)&gt;100,"NM",IF(((DS117/DK117-1)*100)&lt;-50,"NM",(DS117/DK117-1)*100)))</f>
        <v>3.9896564462504669</v>
      </c>
      <c r="DU117" s="147">
        <f>SUM(DU113:DU116)</f>
        <v>300.2</v>
      </c>
      <c r="DV117" s="81">
        <f>IF(ISERROR((DU117/DM117-1)*100),"NA",IF(((DU117/DM117-1)*100)&gt;100,"NM",IF(((DU117/DM117-1)*100)&lt;-50,"NM",(DU117/DM117-1)*100)))</f>
        <v>3.1615120274913977</v>
      </c>
      <c r="DW117" s="147">
        <f>SUM(DW113:DW116)</f>
        <v>294</v>
      </c>
      <c r="DX117" s="81">
        <f>IF(ISERROR((DW117/DO117-1)*100),"NA",IF(((DW117/DO117-1)*100)&gt;100,"NM",IF(((DW117/DO117-1)*100)&lt;-50,"NM",(DW117/DO117-1)*100)))</f>
        <v>5.1502145922746934</v>
      </c>
      <c r="DY117" s="147">
        <f>SUM(DY113:DY116)</f>
        <v>314.40000000000003</v>
      </c>
      <c r="DZ117" s="81">
        <f>IF(ISERROR((DY117/DQ117-1)*100),"NA",IF(((DY117/DQ117-1)*100)&gt;100,"NM",IF(((DY117/DQ117-1)*100)&lt;-50,"NM",(DY117/DQ117-1)*100)))</f>
        <v>11.528910961333839</v>
      </c>
      <c r="EA117" s="147">
        <f>SUM(EA113:EA116)</f>
        <v>310.09999999999997</v>
      </c>
      <c r="EB117" s="81">
        <f>IF(ISERROR((EA117/DS117-1)*100),"NA",IF(((EA117/DS117-1)*100)&gt;100,"NM",IF(((EA117/DS117-1)*100)&lt;-50,"NM",(EA117/DS117-1)*100)))</f>
        <v>10.159857904085246</v>
      </c>
      <c r="EC117" s="147">
        <f>SUM(EC113:EC116)</f>
        <v>332.40000000000003</v>
      </c>
      <c r="ED117" s="81">
        <f t="shared" si="411"/>
        <v>10.726182544970042</v>
      </c>
      <c r="EE117" s="147">
        <f t="shared" ref="EE117:EG117" si="425">SUM(EE113:EE116)</f>
        <v>329.6</v>
      </c>
      <c r="EF117" s="81">
        <f t="shared" si="412"/>
        <v>12.10884353741497</v>
      </c>
      <c r="EG117" s="147">
        <f t="shared" si="425"/>
        <v>310.39999999999998</v>
      </c>
      <c r="EH117" s="81">
        <f t="shared" si="413"/>
        <v>-1.2722646310432739</v>
      </c>
      <c r="EI117" s="147">
        <f t="shared" ref="EI117" si="426">SUM(EI113:EI116)</f>
        <v>308</v>
      </c>
      <c r="EJ117" s="81">
        <f t="shared" si="414"/>
        <v>-0.67720090293452717</v>
      </c>
      <c r="EK117" s="147">
        <f t="shared" ref="EK117:EQ117" si="427">SUM(EK113:EK116)</f>
        <v>329.01097859999999</v>
      </c>
      <c r="EL117" s="81">
        <f t="shared" si="416"/>
        <v>-1.0195611913357494</v>
      </c>
      <c r="EM117" s="147">
        <f t="shared" si="427"/>
        <v>334.92567621479992</v>
      </c>
      <c r="EN117" s="81">
        <f t="shared" si="417"/>
        <v>1.6157998224514358</v>
      </c>
      <c r="EO117" s="147">
        <f t="shared" si="427"/>
        <v>340.94672588666634</v>
      </c>
      <c r="EP117" s="81">
        <f t="shared" si="418"/>
        <v>9.8410843707043671</v>
      </c>
      <c r="EQ117" s="147">
        <f t="shared" si="427"/>
        <v>346.06092677496639</v>
      </c>
      <c r="ER117" s="81">
        <f t="shared" si="419"/>
        <v>12.357443758105969</v>
      </c>
      <c r="ES117" s="138"/>
      <c r="ET117" s="470"/>
      <c r="EU117" s="138"/>
      <c r="EV117" s="139"/>
      <c r="EW117" s="140"/>
      <c r="EX117" s="139"/>
      <c r="EY117" s="79"/>
      <c r="EZ117" s="141"/>
      <c r="FA117" s="79"/>
      <c r="FB117" s="147"/>
      <c r="FC117" s="79"/>
      <c r="FD117" s="147">
        <f>SUM(FD113:FD116)</f>
        <v>898.10000000000014</v>
      </c>
      <c r="FE117" s="79" t="str">
        <f>IF(ISERROR((FD117/FB117-1)*100),"NA",IF(((FD117/FB117-1)*100)&gt;100,"NM",IF(((FD117/FB117-1)*100)&lt;-50,"NM",(FD117/FB117-1)*100)))</f>
        <v>NA</v>
      </c>
      <c r="FF117" s="147">
        <f>SUM(FF113:FF116)</f>
        <v>1074.3000000000002</v>
      </c>
      <c r="FG117" s="79">
        <f>IF(ISERROR((FF117/FD117-1)*100),"NA",IF(((FF117/FD117-1)*100)&gt;100,"NM",IF(((FF117/FD117-1)*100)&lt;-50,"NM",(FF117/FD117-1)*100)))</f>
        <v>19.619196080614643</v>
      </c>
      <c r="FH117" s="147">
        <f>SUM(FH113:FH116)</f>
        <v>1216.3</v>
      </c>
      <c r="FI117" s="79">
        <f>IF(ISERROR((FH117/FF117-1)*100),"NA",IF(((FH117/FF117-1)*100)&gt;100,"NM",IF(((FH117/FF117-1)*100)&lt;-50,"NM",(FH117/FF117-1)*100)))</f>
        <v>13.217909336311994</v>
      </c>
      <c r="FJ117" s="147">
        <f>SUM(FJ113:FJ116)</f>
        <v>1333.6</v>
      </c>
      <c r="FK117" s="79">
        <f>IF(ISERROR((FJ117/FH117-1)*100),"NA",IF(((FJ117/FH117-1)*100)&gt;100,"NM",IF(((FJ117/FH117-1)*100)&lt;-50,"NM",(FJ117/FH117-1)*100)))</f>
        <v>9.6440023020636367</v>
      </c>
      <c r="FL117" s="147">
        <f>SUM(FL113:FL116)</f>
        <v>1420.1</v>
      </c>
      <c r="FM117" s="79">
        <f>IF(ISERROR((FL117/FJ117-1)*100),"NA",IF(((FL117/FJ117-1)*100)&gt;100,"NM",IF(((FL117/FJ117-1)*100)&lt;-50,"NM",(FL117/FJ117-1)*100)))</f>
        <v>6.486202759448112</v>
      </c>
      <c r="FN117" s="147">
        <f>SUM(FN113:FN116)</f>
        <v>1543</v>
      </c>
      <c r="FO117" s="79">
        <f>IF(ISERROR((FN117/FL117-1)*100),"NA",IF(((FN117/FL117-1)*100)&gt;100,"NM",IF(((FN117/FL117-1)*100)&lt;-50,"NM",(FN117/FL117-1)*100)))</f>
        <v>8.6543201183015395</v>
      </c>
      <c r="FP117" s="147">
        <f>SUM(FP113:FP116)</f>
        <v>1636.5</v>
      </c>
      <c r="FQ117" s="79">
        <f>IF(ISERROR((FP117/FN117-1)*100),"NA",IF(((FP117/FN117-1)*100)&gt;100,"NM",IF(((FP117/FN117-1)*100)&lt;-50,"NM",(FP117/FN117-1)*100)))</f>
        <v>6.0596241088788139</v>
      </c>
      <c r="FR117" s="147">
        <f>SUM(FR113:FR116)</f>
        <v>915.4</v>
      </c>
      <c r="FS117" s="79">
        <f>IF(ISERROR((FR117/FP117-1)*100),"NA",IF(((FR117/FP117-1)*100)&gt;100,"NM",IF(((FR117/FP117-1)*100)&lt;-50,"NM",(FR117/FP117-1)*100)))</f>
        <v>-44.063550259700577</v>
      </c>
      <c r="FT117" s="147">
        <f>SUM(FT113:FT116)</f>
        <v>971.59999999999991</v>
      </c>
      <c r="FU117" s="79">
        <f>IF(ISERROR((FT117/FR117-1)*100),"NA",IF(((FT117/FR117-1)*100)&gt;100,"NM",IF(((FT117/FR117-1)*100)&lt;-50,"NM",(FT117/FR117-1)*100)))</f>
        <v>6.139392615250161</v>
      </c>
      <c r="FV117" s="147">
        <f>SUM(FV113:FV116)</f>
        <v>979.5</v>
      </c>
      <c r="FW117" s="79">
        <f>IF(ISERROR((FV117/FT117-1)*100),"NA",IF(((FV117/FT117-1)*100)&gt;100,"NM",IF(((FV117/FT117-1)*100)&lt;-50,"NM",(FV117/FT117-1)*100)))</f>
        <v>0.8130918073281368</v>
      </c>
      <c r="FX117" s="147">
        <f>SUM(FX113:FX116)</f>
        <v>1028.0000000000002</v>
      </c>
      <c r="FY117" s="79">
        <f>IF(ISERROR((FX117/FV117-1)*100),"NA",IF(((FX117/FV117-1)*100)&gt;100,"NM",IF(((FX117/FV117-1)*100)&lt;-50,"NM",(FX117/FV117-1)*100)))</f>
        <v>4.9515058703420323</v>
      </c>
      <c r="FZ117" s="147">
        <f>SUM(FZ113:FZ116)</f>
        <v>1077.6999999999998</v>
      </c>
      <c r="GA117" s="79">
        <f>IF(ISERROR((FZ117/FX117-1)*100),"NA",IF(((FZ117/FX117-1)*100)&gt;100,"NM",IF(((FZ117/FX117-1)*100)&lt;-50,"NM",(FZ117/FX117-1)*100)))</f>
        <v>4.8346303501945131</v>
      </c>
      <c r="GB117" s="147">
        <f>SUM(GB113:GB116)</f>
        <v>1087.7</v>
      </c>
      <c r="GC117" s="79">
        <f>IF(ISERROR((GB117/FZ117-1)*100),"NA",IF(((GB117/FZ117-1)*100)&gt;100,"NM",IF(((GB117/FZ117-1)*100)&lt;-50,"NM",(GB117/FZ117-1)*100)))</f>
        <v>0.92790201354739921</v>
      </c>
      <c r="GD117" s="147">
        <f>SUM(GD113:GD116)</f>
        <v>1134</v>
      </c>
      <c r="GE117" s="79">
        <f>IF(ISERROR((GD117/GB117-1)*100),"NA",IF(((GD117/GB117-1)*100)&gt;100,"NM",IF(((GD117/GB117-1)*100)&lt;-50,"NM",(GD117/GB117-1)*100)))</f>
        <v>4.2566884251172166</v>
      </c>
      <c r="GF117" s="147">
        <f>SUM(GF113:GF116)</f>
        <v>1218.7</v>
      </c>
      <c r="GG117" s="79">
        <f>IF(ISERROR((GF117/GD117-1)*100),"NA",IF(((GF117/GD117-1)*100)&gt;100,"NM",IF(((GF117/GD117-1)*100)&lt;-50,"NM",(GF117/GD117-1)*100)))</f>
        <v>7.469135802469129</v>
      </c>
      <c r="GH117" s="147">
        <f>SUM(GH113:GH116)</f>
        <v>1280.3999999999999</v>
      </c>
      <c r="GI117" s="79">
        <f>IF(ISERROR((GH117/GF117-1)*100),"NA",IF(((GH117/GF117-1)*100)&gt;100,"NM",IF(((GH117/GF117-1)*100)&lt;-50,"NM",(GH117/GF117-1)*100)))</f>
        <v>5.0627718060227922</v>
      </c>
      <c r="GJ117" s="147">
        <f>SUM(GJ113:GJ116)</f>
        <v>1350.9443074764326</v>
      </c>
      <c r="GK117" s="79">
        <f>IF(ISERROR((GJ117/GH117-1)*100),"NA",IF(((GJ117/GH117-1)*100)&gt;100,"NM",IF(((GJ117/GH117-1)*100)&lt;-50,"NM",(GJ117/GH117-1)*100)))</f>
        <v>5.5095522865067803</v>
      </c>
      <c r="GL117" s="147">
        <f>SUM(GL113:GL116)</f>
        <v>1418.4915228502541</v>
      </c>
      <c r="GM117" s="79">
        <f>IF(ISERROR((GL117/GJ117-1)*100),"NA",IF(((GL117/GJ117-1)*100)&gt;100,"NM",IF(((GL117/GJ117-1)*100)&lt;-50,"NM",(GL117/GJ117-1)*100)))</f>
        <v>4.9999999999999822</v>
      </c>
      <c r="GN117" s="147">
        <f>SUM(GN113:GN116)</f>
        <v>1489.416098992767</v>
      </c>
      <c r="GO117" s="79">
        <f>IF(ISERROR((GN117/GL117-1)*100),"NA",IF(((GN117/GL117-1)*100)&gt;100,"NM",IF(((GN117/GL117-1)*100)&lt;-50,"NM",(GN117/GL117-1)*100)))</f>
        <v>5.0000000000000266</v>
      </c>
      <c r="GP117" s="147">
        <f>SUM(GP113:GP116)</f>
        <v>1563.8869039424053</v>
      </c>
      <c r="GQ117" s="79">
        <f>IF(ISERROR((GP117/GN117-1)*100),"NA",IF(((GP117/GN117-1)*100)&gt;100,"NM",IF(((GP117/GN117-1)*100)&lt;-50,"NM",(GP117/GN117-1)*100)))</f>
        <v>4.9999999999999822</v>
      </c>
      <c r="GR117" s="147">
        <f>SUM(GR113:GR116)</f>
        <v>1645.7080262105019</v>
      </c>
      <c r="GS117" s="79">
        <f>IF(ISERROR((GR117/GP117-1)*100),"NA",IF(((GR117/GP117-1)*100)&gt;100,"NM",IF(((GR117/GP117-1)*100)&lt;-50,"NM",(GR117/GP117-1)*100)))</f>
        <v>5.2319078868064972</v>
      </c>
      <c r="GT117" s="79">
        <f>IF(ISERROR(((GR117/GH117)^0.2-1)*100),"NA",(IF(OR(((GR117/GH117)^0.2-1)*100&gt;99,((GR117/GH117)^0.2-1)*100&lt;-50),"NM",(((GR117/GH117)^0.2-1)*100))))</f>
        <v>5.1480987531547617</v>
      </c>
      <c r="GU117" s="562"/>
      <c r="GV117" s="562"/>
      <c r="GW117"/>
      <c r="GX117"/>
      <c r="GY117"/>
      <c r="GZ117"/>
      <c r="HA117"/>
      <c r="HB117"/>
      <c r="HC117" s="562"/>
      <c r="HD117" s="562"/>
      <c r="HE117" s="562"/>
      <c r="HF117" s="562"/>
      <c r="HG117" s="562"/>
      <c r="HH117" s="562"/>
      <c r="HI117" s="562"/>
      <c r="HJ117" s="562"/>
      <c r="HK117" s="562"/>
      <c r="HL117" s="562"/>
      <c r="HM117" s="562"/>
      <c r="HN117" s="562"/>
      <c r="HO117" s="562"/>
      <c r="HP117" s="562"/>
      <c r="HQ117" s="562"/>
      <c r="HR117" s="562"/>
      <c r="HS117" s="562"/>
      <c r="HT117" s="562"/>
      <c r="HU117" s="562"/>
      <c r="HV117" s="562"/>
      <c r="HW117" s="562"/>
      <c r="HX117" s="562"/>
      <c r="HY117" s="562"/>
      <c r="HZ117" s="562"/>
      <c r="IA117" s="562"/>
      <c r="IB117" s="562"/>
      <c r="IC117" s="562"/>
      <c r="ID117" s="562"/>
      <c r="IE117" s="562"/>
      <c r="IF117" s="562"/>
      <c r="IG117" s="562"/>
      <c r="IH117" s="562"/>
      <c r="II117" s="562"/>
      <c r="IJ117" s="562"/>
      <c r="IK117" s="562"/>
      <c r="IL117" s="562"/>
      <c r="IM117" s="562"/>
      <c r="IN117" s="562"/>
      <c r="IO117" s="562"/>
      <c r="IP117" s="562"/>
      <c r="IQ117" s="562"/>
      <c r="IR117" s="562"/>
      <c r="IS117" s="562"/>
      <c r="IT117" s="562"/>
      <c r="IU117" s="562"/>
      <c r="IV117" s="562"/>
      <c r="IW117" s="562"/>
      <c r="IX117" s="562"/>
      <c r="IY117" s="562"/>
      <c r="IZ117" s="562"/>
      <c r="JA117" s="562"/>
      <c r="JB117" s="562"/>
      <c r="JC117" s="562"/>
      <c r="JD117" s="562"/>
      <c r="JE117" s="562"/>
      <c r="JF117" s="562"/>
      <c r="JG117" s="562"/>
      <c r="JH117" s="562"/>
      <c r="JI117" s="562"/>
      <c r="JJ117" s="562"/>
      <c r="JK117" s="562"/>
      <c r="JL117" s="562"/>
      <c r="JM117" s="562"/>
      <c r="JN117" s="562"/>
      <c r="JO117" s="562"/>
      <c r="JP117" s="562"/>
      <c r="JQ117" s="562"/>
      <c r="JR117" s="562"/>
      <c r="JS117" s="562"/>
      <c r="JT117" s="562"/>
      <c r="JU117" s="562"/>
      <c r="JV117" s="562"/>
      <c r="JW117" s="562"/>
      <c r="JX117" s="562"/>
      <c r="JY117" s="562"/>
      <c r="JZ117" s="562"/>
    </row>
    <row r="118" spans="1:286" s="132" customFormat="1" ht="12.75" customHeight="1" x14ac:dyDescent="0.2">
      <c r="A118" s="133"/>
      <c r="B118" s="2"/>
      <c r="C118" s="79"/>
      <c r="D118" s="79"/>
      <c r="E118" s="129"/>
      <c r="F118" s="129"/>
      <c r="G118" s="129"/>
      <c r="H118" s="129"/>
      <c r="I118" s="129"/>
      <c r="J118" s="129"/>
      <c r="K118" s="129"/>
      <c r="L118" s="79"/>
      <c r="M118" s="129"/>
      <c r="N118" s="79"/>
      <c r="O118" s="129"/>
      <c r="P118" s="79"/>
      <c r="Q118" s="129"/>
      <c r="R118" s="79"/>
      <c r="S118" s="129"/>
      <c r="T118" s="79"/>
      <c r="U118" s="129"/>
      <c r="V118" s="79"/>
      <c r="W118" s="129"/>
      <c r="X118" s="79"/>
      <c r="Y118" s="129"/>
      <c r="Z118" s="79"/>
      <c r="AA118" s="130"/>
      <c r="AB118" s="79"/>
      <c r="AC118" s="129"/>
      <c r="AD118" s="79"/>
      <c r="AE118" s="129"/>
      <c r="AF118" s="79"/>
      <c r="AG118" s="129"/>
      <c r="AH118" s="79"/>
      <c r="AI118" s="95"/>
      <c r="AJ118" s="79"/>
      <c r="AK118" s="129"/>
      <c r="AL118" s="79"/>
      <c r="AM118" s="215"/>
      <c r="AN118" s="79"/>
      <c r="AO118" s="215"/>
      <c r="AP118" s="79"/>
      <c r="AQ118" s="215"/>
      <c r="AR118" s="79"/>
      <c r="AS118" s="215"/>
      <c r="AT118" s="81"/>
      <c r="AU118" s="215"/>
      <c r="AV118" s="81"/>
      <c r="AW118" s="215"/>
      <c r="AX118" s="81"/>
      <c r="AY118" s="215"/>
      <c r="AZ118" s="81"/>
      <c r="BA118" s="215"/>
      <c r="BB118" s="81"/>
      <c r="BC118" s="215"/>
      <c r="BD118" s="81"/>
      <c r="BE118" s="215"/>
      <c r="BF118" s="81"/>
      <c r="BG118" s="215"/>
      <c r="BH118" s="81"/>
      <c r="BI118" s="215"/>
      <c r="BJ118" s="81"/>
      <c r="BK118" s="215"/>
      <c r="BL118" s="81"/>
      <c r="BM118" s="215"/>
      <c r="BN118" s="81"/>
      <c r="BO118" s="215"/>
      <c r="BP118" s="81"/>
      <c r="BQ118" s="215"/>
      <c r="BR118" s="81"/>
      <c r="BS118" s="215"/>
      <c r="BT118" s="81"/>
      <c r="BU118" s="215"/>
      <c r="BV118" s="81"/>
      <c r="BW118" s="215"/>
      <c r="BX118" s="81"/>
      <c r="BY118" s="215"/>
      <c r="BZ118" s="81"/>
      <c r="CA118" s="215"/>
      <c r="CB118" s="81"/>
      <c r="CC118" s="215"/>
      <c r="CD118" s="81"/>
      <c r="CE118" s="215"/>
      <c r="CF118" s="81"/>
      <c r="CG118" s="215"/>
      <c r="CH118" s="81"/>
      <c r="CI118" s="215"/>
      <c r="CJ118" s="81"/>
      <c r="CK118" s="215"/>
      <c r="CL118" s="81"/>
      <c r="CM118" s="215"/>
      <c r="CN118" s="81"/>
      <c r="CO118" s="215"/>
      <c r="CP118" s="81"/>
      <c r="CQ118" s="215"/>
      <c r="CR118" s="81"/>
      <c r="CS118" s="215"/>
      <c r="CT118" s="81"/>
      <c r="CU118" s="215"/>
      <c r="CV118" s="81"/>
      <c r="CW118" s="215"/>
      <c r="CX118" s="81"/>
      <c r="CY118" s="215"/>
      <c r="CZ118" s="81"/>
      <c r="DA118" s="215"/>
      <c r="DB118" s="81"/>
      <c r="DC118" s="215"/>
      <c r="DD118" s="81"/>
      <c r="DE118" s="215"/>
      <c r="DF118" s="81"/>
      <c r="DG118" s="215"/>
      <c r="DH118" s="81"/>
      <c r="DI118" s="215"/>
      <c r="DJ118" s="81"/>
      <c r="DK118" s="215"/>
      <c r="DL118" s="81"/>
      <c r="DM118" s="899"/>
      <c r="DN118" s="855"/>
      <c r="DO118" s="899"/>
      <c r="DP118" s="855"/>
      <c r="DQ118" s="215"/>
      <c r="DR118" s="81"/>
      <c r="DS118" s="215"/>
      <c r="DT118" s="81"/>
      <c r="DU118" s="215"/>
      <c r="DV118" s="81"/>
      <c r="DW118" s="215"/>
      <c r="DX118" s="81"/>
      <c r="DY118" s="215"/>
      <c r="DZ118" s="81"/>
      <c r="EA118" s="215"/>
      <c r="EB118" s="81"/>
      <c r="EC118" s="215"/>
      <c r="ED118" s="81"/>
      <c r="EE118" s="215"/>
      <c r="EF118" s="81"/>
      <c r="EG118" s="215"/>
      <c r="EH118" s="81"/>
      <c r="EI118" s="215"/>
      <c r="EJ118" s="81"/>
      <c r="EK118" s="215"/>
      <c r="EL118" s="81"/>
      <c r="EM118" s="215"/>
      <c r="EN118" s="81"/>
      <c r="EO118" s="215"/>
      <c r="EP118" s="81"/>
      <c r="EQ118" s="215"/>
      <c r="ER118" s="81"/>
      <c r="ES118" s="129"/>
      <c r="ET118" s="469"/>
      <c r="EU118" s="129"/>
      <c r="EV118" s="95"/>
      <c r="EW118" s="79"/>
      <c r="EX118" s="95"/>
      <c r="EY118" s="79"/>
      <c r="EZ118" s="131"/>
      <c r="FA118" s="79"/>
      <c r="FB118" s="35"/>
      <c r="FC118" s="79"/>
      <c r="FD118" s="35"/>
      <c r="FE118" s="79"/>
      <c r="FF118" s="35"/>
      <c r="FG118" s="79"/>
      <c r="FH118" s="35"/>
      <c r="FI118" s="79"/>
      <c r="FJ118" s="35"/>
      <c r="FK118" s="79"/>
      <c r="FL118" s="93"/>
      <c r="FM118" s="79"/>
      <c r="FN118" s="93"/>
      <c r="FO118" s="79"/>
      <c r="FP118" s="93"/>
      <c r="FQ118" s="79"/>
      <c r="FR118" s="215"/>
      <c r="FS118" s="79"/>
      <c r="FT118" s="215"/>
      <c r="FU118" s="79"/>
      <c r="FV118" s="215"/>
      <c r="FW118" s="79"/>
      <c r="FX118" s="215"/>
      <c r="FY118" s="79"/>
      <c r="FZ118" s="215"/>
      <c r="GA118" s="79"/>
      <c r="GB118" s="215"/>
      <c r="GC118" s="79"/>
      <c r="GD118" s="215"/>
      <c r="GE118" s="79"/>
      <c r="GF118" s="215"/>
      <c r="GG118" s="79"/>
      <c r="GH118" s="215"/>
      <c r="GI118" s="79"/>
      <c r="GJ118" s="215"/>
      <c r="GK118" s="79"/>
      <c r="GL118" s="215"/>
      <c r="GM118" s="79"/>
      <c r="GN118" s="215"/>
      <c r="GO118" s="79"/>
      <c r="GP118" s="215"/>
      <c r="GQ118" s="79"/>
      <c r="GR118" s="215"/>
      <c r="GS118" s="79"/>
      <c r="GT118" s="79"/>
      <c r="GU118" s="562"/>
      <c r="GV118" s="562"/>
      <c r="GW118"/>
      <c r="GX118"/>
      <c r="GY118"/>
      <c r="GZ118"/>
      <c r="HA118"/>
      <c r="HB118"/>
      <c r="HC118" s="562"/>
      <c r="HD118" s="562"/>
      <c r="HE118" s="562"/>
      <c r="HF118" s="562"/>
      <c r="HG118" s="562"/>
      <c r="HH118" s="562"/>
      <c r="HI118" s="562"/>
      <c r="HJ118" s="562"/>
      <c r="HK118" s="562"/>
      <c r="HL118" s="562"/>
      <c r="HM118" s="562"/>
      <c r="HN118" s="562"/>
      <c r="HO118" s="562"/>
      <c r="HP118" s="562"/>
      <c r="HQ118" s="562"/>
      <c r="HR118" s="562"/>
      <c r="HS118" s="562"/>
      <c r="HT118" s="562"/>
      <c r="HU118" s="562"/>
      <c r="HV118" s="562"/>
      <c r="HW118" s="562"/>
      <c r="HX118" s="562"/>
      <c r="HY118" s="562"/>
      <c r="HZ118" s="562"/>
      <c r="IA118" s="562"/>
      <c r="IB118" s="562"/>
      <c r="IC118" s="562"/>
      <c r="ID118" s="562"/>
      <c r="IE118" s="562"/>
      <c r="IF118" s="562"/>
      <c r="IG118" s="562"/>
      <c r="IH118" s="562"/>
      <c r="II118" s="562"/>
      <c r="IJ118" s="562"/>
      <c r="IK118" s="562"/>
      <c r="IL118" s="562"/>
      <c r="IM118" s="562"/>
      <c r="IN118" s="562"/>
      <c r="IO118" s="562"/>
      <c r="IP118" s="562"/>
      <c r="IQ118" s="562"/>
      <c r="IR118" s="562"/>
      <c r="IS118" s="562"/>
      <c r="IT118" s="562"/>
      <c r="IU118" s="562"/>
      <c r="IV118" s="562"/>
      <c r="IW118" s="562"/>
      <c r="IX118" s="562"/>
      <c r="IY118" s="562"/>
      <c r="IZ118" s="562"/>
      <c r="JA118" s="562"/>
      <c r="JB118" s="562"/>
      <c r="JC118" s="562"/>
      <c r="JD118" s="562"/>
      <c r="JE118" s="562"/>
      <c r="JF118" s="562"/>
      <c r="JG118" s="562"/>
      <c r="JH118" s="562"/>
      <c r="JI118" s="562"/>
      <c r="JJ118" s="562"/>
      <c r="JK118" s="562"/>
      <c r="JL118" s="562"/>
      <c r="JM118" s="562"/>
      <c r="JN118" s="562"/>
      <c r="JO118" s="562"/>
      <c r="JP118" s="562"/>
      <c r="JQ118" s="562"/>
      <c r="JR118" s="562"/>
      <c r="JS118" s="562"/>
      <c r="JT118" s="562"/>
      <c r="JU118" s="562"/>
      <c r="JV118" s="562"/>
      <c r="JW118" s="562"/>
      <c r="JX118" s="562"/>
      <c r="JY118" s="562"/>
      <c r="JZ118" s="562"/>
    </row>
    <row r="119" spans="1:286" s="132" customFormat="1" ht="12.75" customHeight="1" x14ac:dyDescent="0.2">
      <c r="A119" s="133"/>
      <c r="B119" s="2" t="s">
        <v>92</v>
      </c>
      <c r="C119" s="79"/>
      <c r="D119" s="79"/>
      <c r="E119" s="156"/>
      <c r="F119" s="152"/>
      <c r="G119" s="156"/>
      <c r="H119" s="152"/>
      <c r="I119" s="156"/>
      <c r="J119" s="152"/>
      <c r="K119" s="156"/>
      <c r="L119" s="79"/>
      <c r="M119" s="156"/>
      <c r="N119" s="79"/>
      <c r="O119" s="156"/>
      <c r="P119" s="79"/>
      <c r="Q119" s="156"/>
      <c r="R119" s="79"/>
      <c r="S119" s="156"/>
      <c r="T119" s="79"/>
      <c r="U119" s="156"/>
      <c r="V119" s="79"/>
      <c r="W119" s="156"/>
      <c r="X119" s="79"/>
      <c r="Y119" s="156"/>
      <c r="Z119" s="79"/>
      <c r="AA119" s="204"/>
      <c r="AB119" s="79"/>
      <c r="AC119" s="156">
        <f>AC113/AC107*100</f>
        <v>69.149311683727504</v>
      </c>
      <c r="AD119" s="79" t="str">
        <f>IF(ISERROR((AC119/U119-1)*100),"NA",IF(((AC119/U119-1)*100)&gt;100,"NM",IF(((AC119/U119-1)*100)&lt;-50,"NM",(AC119/U119-1)*100)))</f>
        <v>NA</v>
      </c>
      <c r="AE119" s="156">
        <f>AE113/AE107*100</f>
        <v>71.890372452565003</v>
      </c>
      <c r="AF119" s="79" t="str">
        <f>IF(ISERROR((AE119/W119-1)*100),"NA",IF(((AE119/W119-1)*100)&gt;100,"NM",IF(((AE119/W119-1)*100)&lt;-50,"NM",(AE119/W119-1)*100)))</f>
        <v>NA</v>
      </c>
      <c r="AG119" s="156">
        <f>AG113/AG107*100</f>
        <v>73.278520041109971</v>
      </c>
      <c r="AH119" s="79" t="str">
        <f>IF(ISERROR((AG119/Y119-1)*100),"NA",IF(((AG119/Y119-1)*100)&gt;100,"NM",IF(((AG119/Y119-1)*100)&lt;-50,"NM",(AG119/Y119-1)*100)))</f>
        <v>NA</v>
      </c>
      <c r="AI119" s="216">
        <f>AI113/AI107*100</f>
        <v>75.791624106230842</v>
      </c>
      <c r="AJ119" s="79" t="str">
        <f>IF(ISERROR((AI119/AA119-1)*100),"NA",IF(((AI119/AA119-1)*100)&gt;100,"NM",IF(((AI119/AA119-1)*100)&lt;-50,"NM",(AI119/AA119-1)*100)))</f>
        <v>NA</v>
      </c>
      <c r="AK119" s="156">
        <f>AK113/AK107*100</f>
        <v>72.114436040776056</v>
      </c>
      <c r="AL119" s="79">
        <f>IF(ISERROR((AK119/AC119-1)*100),"NA",IF(((AK119/AC119-1)*100)&gt;100,"NM",IF(((AK119/AC119-1)*100)&lt;-50,"NM",(AK119/AC119-1)*100)))</f>
        <v>4.2880027072580651</v>
      </c>
      <c r="AM119" s="156">
        <f>AM113/AM107*100</f>
        <v>71.165048543689323</v>
      </c>
      <c r="AN119" s="79">
        <f>IF(ISERROR((AM119/AE119-1)*100),"NA",IF(((AM119/AE119-1)*100)&gt;100,"NM",IF(((AM119/AE119-1)*100)&lt;-50,"NM",(AM119/AE119-1)*100)))</f>
        <v>-1.0089305203617727</v>
      </c>
      <c r="AO119" s="156">
        <f>AO113/AO107*100</f>
        <v>74.903722721437731</v>
      </c>
      <c r="AP119" s="79">
        <f>IF(ISERROR((AO119/AG119-1)*100),"NA",IF(((AO119/AG119-1)*100)&gt;100,"NM",IF(((AO119/AG119-1)*100)&lt;-50,"NM",(AO119/AG119-1)*100)))</f>
        <v>2.2178432089185351</v>
      </c>
      <c r="AQ119" s="156">
        <f>AQ113/AQ107*100</f>
        <v>74.968071519795672</v>
      </c>
      <c r="AR119" s="79">
        <f>IF(ISERROR((AQ119/AI119-1)*100),"NA",IF(((AQ119/AI119-1)*100)&gt;100,"NM",IF(((AQ119/AI119-1)*100)&lt;-50,"NM",(AQ119/AI119-1)*100)))</f>
        <v>-1.0866010540701243</v>
      </c>
      <c r="AS119" s="156">
        <f>AS113/AS107*100</f>
        <v>71.309963099631005</v>
      </c>
      <c r="AT119" s="81">
        <f>IF(ISERROR((AS119/AK119-1)*100),"NA",IF(((AS119/AK119-1)*100)&gt;100,"NM",IF(((AS119/AK119-1)*100)&lt;-50,"NM",(AS119/AK119-1)*100)))</f>
        <v>-1.1155504851901976</v>
      </c>
      <c r="AU119" s="156">
        <f>AU113/AU107*100</f>
        <v>75.183374083129578</v>
      </c>
      <c r="AV119" s="81">
        <f>IF(ISERROR((AU119/AM119-1)*100),"NA",IF(((AU119/AM119-1)*100)&gt;100,"NM",IF(((AU119/AM119-1)*100)&lt;-50,"NM",(AU119/AM119-1)*100)))</f>
        <v>5.646487456512217</v>
      </c>
      <c r="AW119" s="156">
        <f>AW113/AW107*100</f>
        <v>75.052663256093894</v>
      </c>
      <c r="AX119" s="81">
        <f>IF(ISERROR((AW119/AO119-1)*100),"NA",IF(((AW119/AO119-1)*100)&gt;100,"NM",IF(((AW119/AO119-1)*100)&lt;-50,"NM",(AW119/AO119-1)*100)))</f>
        <v>0.19884263324276841</v>
      </c>
      <c r="AY119" s="156">
        <f>AY113/AY107*100</f>
        <v>77.720207253886002</v>
      </c>
      <c r="AZ119" s="81">
        <f>IF(ISERROR((AY119/AQ119-1)*100),"NA",IF(((AY119/AQ119-1)*100)&gt;100,"NM",IF(((AY119/AQ119-1)*100)&lt;-50,"NM",(AY119/AQ119-1)*100)))</f>
        <v>3.6710771376366802</v>
      </c>
      <c r="BA119" s="156">
        <f>BA113/BA107*100</f>
        <v>75.966042154566736</v>
      </c>
      <c r="BB119" s="81">
        <f>IF(ISERROR((BA119/AS119-1)*100),"NA",IF(((BA119/AS119-1)*100)&gt;100,"NM",IF(((BA119/AS119-1)*100)&lt;-50,"NM",(BA119/AS119-1)*100)))</f>
        <v>6.5293527756149272</v>
      </c>
      <c r="BC119" s="156">
        <f>BC113/BC107*100</f>
        <v>77.131336405529964</v>
      </c>
      <c r="BD119" s="81">
        <f>IF(ISERROR((BC119/AU119-1)*100),"NA",IF(((BC119/AU119-1)*100)&gt;100,"NM",IF(((BC119/AU119-1)*100)&lt;-50,"NM",(BC119/AU119-1)*100)))</f>
        <v>2.590948259713044</v>
      </c>
      <c r="BE119" s="156">
        <f>BE113/BE107*100</f>
        <v>77.383654937570938</v>
      </c>
      <c r="BF119" s="81">
        <f>IF(ISERROR((BE119/AW119-1)*100),"NA",IF(((BE119/AW119-1)*100)&gt;100,"NM",IF(((BE119/AW119-1)*100)&lt;-50,"NM",(BE119/AW119-1)*100)))</f>
        <v>3.1058080824170942</v>
      </c>
      <c r="BG119" s="156">
        <f>BG113/BG107*100</f>
        <v>75.729255168507493</v>
      </c>
      <c r="BH119" s="81">
        <f>IF(ISERROR((BG119/AY119-1)*100),"NA",IF(((BG119/AY119-1)*100)&gt;100,"NM",IF(((BG119/AY119-1)*100)&lt;-50,"NM",(BG119/AY119-1)*100)))</f>
        <v>-2.5616916831870173</v>
      </c>
      <c r="BI119" s="156">
        <f>BI113/BI107*100</f>
        <v>73.917748917748909</v>
      </c>
      <c r="BJ119" s="81">
        <f>IF(ISERROR((BI119/BA119-1)*100),"NA",IF(((BI119/BA119-1)*100)&gt;100,"NM",IF(((BI119/BA119-1)*100)&lt;-50,"NM",(BI119/BA119-1)*100)))</f>
        <v>-2.6963274362118317</v>
      </c>
      <c r="BK119" s="156">
        <f>BK113/BK107*100</f>
        <v>74.805473571236931</v>
      </c>
      <c r="BL119" s="81">
        <f>IF(ISERROR((BK119/BC119-1)*100),"NA",IF(((BK119/BC119-1)*100)&gt;100,"NM",IF(((BK119/BC119-1)*100)&lt;-50,"NM",(BK119/BC119-1)*100)))</f>
        <v>-3.0154577149609452</v>
      </c>
      <c r="BM119" s="156">
        <f>BM113/BM107*100</f>
        <v>76.168969181721579</v>
      </c>
      <c r="BN119" s="81">
        <f>IF(ISERROR((BM119/BE119-1)*100),"NA",IF(((BM119/BE119-1)*100)&gt;100,"NM",IF(((BM119/BE119-1)*100)&lt;-50,"NM",(BM119/BE119-1)*100)))</f>
        <v>-1.5696929239505497</v>
      </c>
      <c r="BO119" s="156">
        <f>BO113/BO107*100</f>
        <v>75.782277149618722</v>
      </c>
      <c r="BP119" s="81">
        <f>IF(ISERROR((BO119/BG119-1)*100),"NA",IF(((BO119/BG119-1)*100)&gt;100,"NM",IF(((BO119/BG119-1)*100)&lt;-50,"NM",(BO119/BG119-1)*100)))</f>
        <v>7.0015188969230202E-2</v>
      </c>
      <c r="BQ119" s="156">
        <f>BQ113/BQ107*100</f>
        <v>74.146714212939386</v>
      </c>
      <c r="BR119" s="81">
        <f>IF(ISERROR((BQ119/BI119-1)*100),"NA",IF(((BQ119/BI119-1)*100)&gt;100,"NM",IF(((BQ119/BI119-1)*100)&lt;-50,"NM",(BQ119/BI119-1)*100)))</f>
        <v>0.30975685615812765</v>
      </c>
      <c r="BS119" s="156">
        <f>BS113/BS107*100</f>
        <v>76.157585060117682</v>
      </c>
      <c r="BT119" s="81">
        <f>IF(ISERROR((BS119/BK119-1)*100),"NA",IF(((BS119/BK119-1)*100)&gt;100,"NM",IF(((BS119/BK119-1)*100)&lt;-50,"NM",(BS119/BK119-1)*100)))</f>
        <v>1.8075034142964741</v>
      </c>
      <c r="BU119" s="156">
        <f>BU113/BU107*100</f>
        <v>77.809573361082215</v>
      </c>
      <c r="BV119" s="81">
        <f>IF(ISERROR((BU119/BM119-1)*100),"NA",IF(((BU119/BM119-1)*100)&gt;100,"NM",IF(((BU119/BM119-1)*100)&lt;-50,"NM",(BU119/BM119-1)*100)))</f>
        <v>2.1539009874828929</v>
      </c>
      <c r="BW119" s="156">
        <f>BW113/BW107*100</f>
        <v>75.659441107338736</v>
      </c>
      <c r="BX119" s="81">
        <f>IF(ISERROR((BW119/BO119-1)*100),"NA",IF(((BW119/BO119-1)*100)&gt;100,"NM",IF(((BW119/BO119-1)*100)&lt;-50,"NM",(BW119/BO119-1)*100)))</f>
        <v>-0.16209072477126885</v>
      </c>
      <c r="BY119" s="156">
        <f>BY113/BY107*100</f>
        <v>53.253012048192772</v>
      </c>
      <c r="BZ119" s="81">
        <f>IF(ISERROR((BY119/BQ119-1)*100),"NA",IF(((BY119/BQ119-1)*100)&gt;100,"NM",IF(((BY119/BQ119-1)*100)&lt;-50,"NM",(BY119/BQ119-1)*100)))</f>
        <v>-28.178864547851322</v>
      </c>
      <c r="CA119" s="156">
        <f>CA113/CA107*100</f>
        <v>55.028157683024951</v>
      </c>
      <c r="CB119" s="81">
        <f>IF(ISERROR((CA119/BS119-1)*100),"NA",IF(((CA119/BS119-1)*100)&gt;100,"NM",IF(((CA119/BS119-1)*100)&lt;-50,"NM",(CA119/BS119-1)*100)))</f>
        <v>-27.744350559978326</v>
      </c>
      <c r="CC119" s="156">
        <f>CC113/CC107*100</f>
        <v>54.483037156704363</v>
      </c>
      <c r="CD119" s="81">
        <f>IF(ISERROR((CC119/BU119-1)*100),"NA",IF(((CC119/BU119-1)*100)&gt;100,"NM",IF(((CC119/BU119-1)*100)&lt;-50,"NM",(CC119/BU119-1)*100)))</f>
        <v>-29.979005406094437</v>
      </c>
      <c r="CE119" s="156">
        <f>CE113/CE107*100</f>
        <v>54.373716632443539</v>
      </c>
      <c r="CF119" s="81">
        <f>IF(ISERROR((CE119/BW119-1)*100),"NA",IF(((CE119/BW119-1)*100)&gt;100,"NM",IF(((CE119/BW119-1)*100)&lt;-50,"NM",(CE119/BW119-1)*100)))</f>
        <v>-28.133599935924646</v>
      </c>
      <c r="CG119" s="156">
        <f>CG113/CG107*100</f>
        <v>51.440645409143293</v>
      </c>
      <c r="CH119" s="81">
        <f>IF(ISERROR((CG119/BY119-1)*100),"NA",IF(((CG119/BY119-1)*100)&gt;100,"NM",IF(((CG119/BY119-1)*100)&lt;-50,"NM",(CG119/BY119-1)*100)))</f>
        <v>-3.4033129194820488</v>
      </c>
      <c r="CI119" s="156">
        <f>CI113/CI107*100</f>
        <v>51.052430156907768</v>
      </c>
      <c r="CJ119" s="81">
        <f>IF(ISERROR((CI119/CA119-1)*100),"NA",IF(((CI119/CA119-1)*100)&gt;100,"NM",IF(((CI119/CA119-1)*100)&lt;-50,"NM",(CI119/CA119-1)*100)))</f>
        <v>-7.2248966593035924</v>
      </c>
      <c r="CK119" s="156">
        <f>CK113/CK107*100</f>
        <v>51.11452728670254</v>
      </c>
      <c r="CL119" s="81">
        <f>IF(ISERROR((CK119/CC119-1)*100),"NA",IF(((CK119/CC119-1)*100)&gt;100,"NM",IF(((CK119/CC119-1)*100)&lt;-50,"NM",(CK119/CC119-1)*100)))</f>
        <v>-6.1826763811152823</v>
      </c>
      <c r="CM119" s="156">
        <f>CM113/CM107*100</f>
        <v>51.92088246481552</v>
      </c>
      <c r="CN119" s="81">
        <f>IF(ISERROR((CM119/CE119-1)*100),"NA",IF(((CM119/CE119-1)*100)&gt;100,"NM",IF(((CM119/CE119-1)*100)&lt;-50,"NM",(CM119/CE119-1)*100)))</f>
        <v>-4.5110658596482107</v>
      </c>
      <c r="CO119" s="156">
        <f>CO113/CO107*100</f>
        <v>50.126399422174075</v>
      </c>
      <c r="CP119" s="81">
        <f>IF(ISERROR((CO119/CG119-1)*100),"NA",IF(((CO119/CG119-1)*100)&gt;100,"NM",IF(((CO119/CG119-1)*100)&lt;-50,"NM",(CO119/CG119-1)*100)))</f>
        <v>-2.5548784944592007</v>
      </c>
      <c r="CQ119" s="156">
        <f>CQ113/CQ107*100</f>
        <v>49.040202825063375</v>
      </c>
      <c r="CR119" s="81">
        <f>IF(ISERROR((CQ119/CI119-1)*100),"NA",IF(((CQ119/CI119-1)*100)&gt;100,"NM",IF(((CQ119/CI119-1)*100)&lt;-50,"NM",(CQ119/CI119-1)*100)))</f>
        <v>-3.941491767698202</v>
      </c>
      <c r="CS119" s="156">
        <f>CS113/CS107*100</f>
        <v>51.520703554415533</v>
      </c>
      <c r="CT119" s="81">
        <f>IF(ISERROR((CS119/CK119-1)*100),"NA",IF(((CS119/CK119-1)*100)&gt;100,"NM",IF(((CS119/CK119-1)*100)&lt;-50,"NM",(CS119/CK119-1)*100)))</f>
        <v>0.79463958540542112</v>
      </c>
      <c r="CU119" s="156">
        <f>CU113/CU107*100</f>
        <v>52.502700756211752</v>
      </c>
      <c r="CV119" s="81">
        <f>IF(ISERROR((CU119/CM119-1)*100),"NA",IF(((CU119/CM119-1)*100)&gt;100,"NM",IF(((CU119/CM119-1)*100)&lt;-50,"NM",(CU119/CM119-1)*100)))</f>
        <v>1.1205862916342069</v>
      </c>
      <c r="CW119" s="156">
        <f>CW113/CW107*100</f>
        <v>46.376811594202898</v>
      </c>
      <c r="CX119" s="81">
        <f>IF(ISERROR((CW119/CO119-1)*100),"NA",IF(((CW119/CO119-1)*100)&gt;100,"NM",IF(((CW119/CO119-1)*100)&lt;-50,"NM",(CW119/CO119-1)*100)))</f>
        <v>-7.480265630873328</v>
      </c>
      <c r="CY119" s="156">
        <f>CY113/CY107*100</f>
        <v>50.32870708546384</v>
      </c>
      <c r="CZ119" s="81">
        <f>IF(ISERROR((CY119/CQ119-1)*100),"NA",IF(((CY119/CQ119-1)*100)&gt;100,"NM",IF(((CY119/CQ119-1)*100)&lt;-50,"NM",(CY119/CQ119-1)*100)))</f>
        <v>2.6274448027811648</v>
      </c>
      <c r="DA119" s="156">
        <f>DA113/DA107*100</f>
        <v>52.259475218658899</v>
      </c>
      <c r="DB119" s="81">
        <f>IF(ISERROR((DA119/CS119-1)*100),"NA",IF(((DA119/CS119-1)*100)&gt;100,"NM",IF(((DA119/CS119-1)*100)&lt;-50,"NM",(DA119/CS119-1)*100)))</f>
        <v>1.433931629957419</v>
      </c>
      <c r="DC119" s="156">
        <f>DC113/DC107*100</f>
        <v>60.361010830324901</v>
      </c>
      <c r="DD119" s="81">
        <f>IF(ISERROR((DC119/CU119-1)*100),"NA",IF(((DC119/CU119-1)*100)&gt;100,"NM",IF(((DC119/CU119-1)*100)&lt;-50,"NM",(DC119/CU119-1)*100)))</f>
        <v>14.967439695344442</v>
      </c>
      <c r="DE119" s="156">
        <f>DE113/DE107*100</f>
        <v>47.287087912087912</v>
      </c>
      <c r="DF119" s="81">
        <f>IF(ISERROR((DE119/CW119-1)*100),"NA",IF(((DE119/CW119-1)*100)&gt;100,"NM",IF(((DE119/CW119-1)*100)&lt;-50,"NM",(DE119/CW119-1)*100)))</f>
        <v>1.9627833104395531</v>
      </c>
      <c r="DG119" s="156">
        <f>DG113/DG107*100</f>
        <v>49.82722874913614</v>
      </c>
      <c r="DH119" s="81">
        <f>IF(ISERROR((DG119/CY119-1)*100),"NA",IF(((DG119/CY119-1)*100)&gt;100,"NM",IF(((DG119/CY119-1)*100)&lt;-50,"NM",(DG119/CY119-1)*100)))</f>
        <v>-0.99640615737680571</v>
      </c>
      <c r="DI119" s="156">
        <f>DI113/DI107*100</f>
        <v>49.375866851595013</v>
      </c>
      <c r="DJ119" s="81">
        <f>IF(ISERROR((DI119/DA119-1)*100),"NA",IF(((DI119/DA119-1)*100)&gt;100,"NM",IF(((DI119/DA119-1)*100)&lt;-50,"NM",(DI119/DA119-1)*100)))</f>
        <v>-5.5178670566410792</v>
      </c>
      <c r="DK119" s="156">
        <f>DK113/DK107*100</f>
        <v>48.676521141285669</v>
      </c>
      <c r="DL119" s="81">
        <f>IF(ISERROR((DK119/DC119-1)*100),"NA",IF(((DK119/DC119-1)*100)&gt;100,"NM",IF(((DK119/DC119-1)*100)&lt;-50,"NM",(DK119/DC119-1)*100)))</f>
        <v>-19.357677295836528</v>
      </c>
      <c r="DM119" s="900">
        <f>DM113/DM107*100</f>
        <v>43.959948320413432</v>
      </c>
      <c r="DN119" s="855">
        <f>IF(ISERROR((DM119/DE119-1)*100),"NA",IF(((DM119/DE119-1)*100)&gt;100,"NM",IF(((DM119/DE119-1)*100)&lt;-50,"NM",(DM119/DE119-1)*100)))</f>
        <v>-7.0360424770922965</v>
      </c>
      <c r="DO119" s="900">
        <f>DO113/DO107*100</f>
        <v>46.42273766742894</v>
      </c>
      <c r="DP119" s="855">
        <f>IF(ISERROR((DO119/DG119-1)*100),"NA",IF(((DO119/DG119-1)*100)&gt;100,"NM",IF(((DO119/DG119-1)*100)&lt;-50,"NM",(DO119/DG119-1)*100)))</f>
        <v>-6.8325916716093227</v>
      </c>
      <c r="DQ119" s="156">
        <f>DQ113/DQ107*100</f>
        <v>48.315341838403661</v>
      </c>
      <c r="DR119" s="81">
        <f>IF(ISERROR((DQ119/DI119-1)*100),"NA",IF(((DQ119/DI119-1)*100)&gt;100,"NM",IF(((DQ119/DI119-1)*100)&lt;-50,"NM",(DQ119/DI119-1)*100)))</f>
        <v>-2.1478610519970909</v>
      </c>
      <c r="DS119" s="156">
        <f>DS113/DS107*100</f>
        <v>50.487963565387119</v>
      </c>
      <c r="DT119" s="81">
        <f>IF(ISERROR((DS119/DK119-1)*100),"NA",IF(((DS119/DK119-1)*100)&gt;100,"NM",IF(((DS119/DK119-1)*100)&lt;-50,"NM",(DS119/DK119-1)*100)))</f>
        <v>3.7213884263496588</v>
      </c>
      <c r="DU119" s="156">
        <f>DU113/DU107*100</f>
        <v>46.468969734026288</v>
      </c>
      <c r="DV119" s="81">
        <f>IF(ISERROR((DU119/DM119-1)*100),"NA",IF(((DU119/DM119-1)*100)&gt;100,"NM",IF(((DU119/DM119-1)*100)&lt;-50,"NM",(DU119/DM119-1)*100)))</f>
        <v>5.7075167498496837</v>
      </c>
      <c r="DW119" s="156">
        <f>DW113/DW107*100</f>
        <v>46.770737679828592</v>
      </c>
      <c r="DX119" s="81">
        <f>IF(ISERROR((DW119/DO119-1)*100),"NA",IF(((DW119/DO119-1)*100)&gt;100,"NM",IF(((DW119/DO119-1)*100)&lt;-50,"NM",(DW119/DO119-1)*100)))</f>
        <v>0.74963267977152803</v>
      </c>
      <c r="DY119" s="156">
        <f>DY113/DY107*100</f>
        <v>50.014590020426027</v>
      </c>
      <c r="DZ119" s="81">
        <f>IF(ISERROR((DY119/DQ119-1)*100),"NA",IF(((DY119/DQ119-1)*100)&gt;100,"NM",IF(((DY119/DQ119-1)*100)&lt;-50,"NM",(DY119/DQ119-1)*100)))</f>
        <v>3.5169950524322147</v>
      </c>
      <c r="EA119" s="156">
        <f>EA113/EA107*100</f>
        <v>50.292911540714705</v>
      </c>
      <c r="EB119" s="81">
        <f>IF(ISERROR((EA119/DS119-1)*100),"NA",IF(((EA119/DS119-1)*100)&gt;100,"NM",IF(((EA119/DS119-1)*100)&lt;-50,"NM",(EA119/DS119-1)*100)))</f>
        <v>-0.38633371381636694</v>
      </c>
      <c r="EC119" s="156">
        <f>EC113/EC107*100</f>
        <v>49.188891943909816</v>
      </c>
      <c r="ED119" s="81">
        <f t="shared" ref="ED119" si="428">IF(ISERROR((EC119/DU119-1)*100),"NA",IF(((EC119/DU119-1)*100)&gt;100,"NM",IF(((EC119/DU119-1)*100)&lt;-50,"NM",(EC119/DU119-1)*100)))</f>
        <v>5.8532010187690942</v>
      </c>
      <c r="EE119" s="156">
        <f>EE113/EE107*100</f>
        <v>49.016892827471608</v>
      </c>
      <c r="EF119" s="81">
        <f t="shared" ref="EF119" si="429">IF(ISERROR((EE119/DW119-1)*100),"NA",IF(((EE119/DW119-1)*100)&gt;100,"NM",IF(((EE119/DW119-1)*100)&lt;-50,"NM",(EE119/DW119-1)*100)))</f>
        <v>4.8024796252288837</v>
      </c>
      <c r="EG119" s="156">
        <f>EG113/EG107*100</f>
        <v>48.405148293228876</v>
      </c>
      <c r="EH119" s="81">
        <f t="shared" ref="EH119" si="430">IF(ISERROR((EG119/DY119-1)*100),"NA",IF(((EG119/DY119-1)*100)&gt;100,"NM",IF(((EG119/DY119-1)*100)&lt;-50,"NM",(EG119/DY119-1)*100)))</f>
        <v>-3.2179444568871896</v>
      </c>
      <c r="EI119" s="156">
        <f>EI113/EI107*100</f>
        <v>46.567666012888765</v>
      </c>
      <c r="EJ119" s="81">
        <f t="shared" ref="EJ119" si="431">IF(ISERROR((EI119/EA119-1)*100),"NA",IF(((EI119/EA119-1)*100)&gt;100,"NM",IF(((EI119/EA119-1)*100)&lt;-50,"NM",(EI119/EA119-1)*100)))</f>
        <v>-7.407098562607894</v>
      </c>
      <c r="EK119" s="205">
        <f>EI119+1</f>
        <v>47.567666012888765</v>
      </c>
      <c r="EL119" s="81">
        <f t="shared" ref="EL119" si="432">IF(ISERROR((EK119/EC119-1)*100),"NA",IF(((EK119/EC119-1)*100)&gt;100,"NM",IF(((EK119/EC119-1)*100)&lt;-50,"NM",(EK119/EC119-1)*100)))</f>
        <v>-3.2959187876599016</v>
      </c>
      <c r="EM119" s="205">
        <f t="shared" ref="EM119" si="433">EK119</f>
        <v>47.567666012888765</v>
      </c>
      <c r="EN119" s="81">
        <f t="shared" ref="EN119" si="434">IF(ISERROR((EM119/EE119-1)*100),"NA",IF(((EM119/EE119-1)*100)&gt;100,"NM",IF(((EM119/EE119-1)*100)&lt;-50,"NM",(EM119/EE119-1)*100)))</f>
        <v>-2.9565864561913235</v>
      </c>
      <c r="EO119" s="205">
        <f t="shared" ref="EO119" si="435">EM119</f>
        <v>47.567666012888765</v>
      </c>
      <c r="EP119" s="81">
        <f t="shared" ref="EP119" si="436">IF(ISERROR((EO119/EG119-1)*100),"NA",IF(((EO119/EG119-1)*100)&gt;100,"NM",IF(((EO119/EG119-1)*100)&lt;-50,"NM",(EO119/EG119-1)*100)))</f>
        <v>-1.7301512542980069</v>
      </c>
      <c r="EQ119" s="205">
        <f t="shared" ref="EQ119" si="437">EO119</f>
        <v>47.567666012888765</v>
      </c>
      <c r="ER119" s="81">
        <f t="shared" ref="ER119" si="438">IF(ISERROR((EQ119/EI119-1)*100),"NA",IF(((EQ119/EI119-1)*100)&gt;100,"NM",IF(((EQ119/EI119-1)*100)&lt;-50,"NM",(EQ119/EI119-1)*100)))</f>
        <v>2.1474127557159939</v>
      </c>
      <c r="ES119" s="129"/>
      <c r="ET119" s="469"/>
      <c r="EU119" s="129"/>
      <c r="EV119" s="95"/>
      <c r="EW119" s="79"/>
      <c r="EX119" s="95"/>
      <c r="EY119" s="79"/>
      <c r="EZ119" s="131"/>
      <c r="FA119" s="79"/>
      <c r="FB119" s="152"/>
      <c r="FC119" s="79"/>
      <c r="FD119" s="156">
        <f>FD113/FD107*100</f>
        <v>70.36339463771327</v>
      </c>
      <c r="FE119" s="79" t="str">
        <f>IF(ISERROR((FD119/FB119-1)*100),"NA",IF(((FD119/FB119-1)*100)&gt;100,"NM",IF(((FD119/FB119-1)*100)&lt;-50,"NM",(FD119/FB119-1)*100)))</f>
        <v>NA</v>
      </c>
      <c r="FF119" s="156">
        <f>FF113/FF107*100</f>
        <v>70.493663703423479</v>
      </c>
      <c r="FG119" s="79">
        <f>IF(ISERROR((FF119/FD119-1)*100),"NA",IF(((FF119/FD119-1)*100)&gt;100,"NM",IF(((FF119/FD119-1)*100)&lt;-50,"NM",(FF119/FD119-1)*100)))</f>
        <v>0.18513755111011498</v>
      </c>
      <c r="FH119" s="156">
        <f>FH113/FH107*100</f>
        <v>72.561768530559164</v>
      </c>
      <c r="FI119" s="79">
        <f>IF(ISERROR((FH119/FF119-1)*100),"NA",IF(((FH119/FF119-1)*100)&gt;100,"NM",IF(((FH119/FF119-1)*100)&lt;-50,"NM",(FH119/FF119-1)*100)))</f>
        <v>2.9337456992396982</v>
      </c>
      <c r="FJ119" s="156">
        <f>FJ113/FJ107*100</f>
        <v>73.301559092010663</v>
      </c>
      <c r="FK119" s="79">
        <f>IF(ISERROR((FJ119/FH119-1)*100),"NA",IF(((FJ119/FH119-1)*100)&gt;100,"NM",IF(((FJ119/FH119-1)*100)&lt;-50,"NM",(FJ119/FH119-1)*100)))</f>
        <v>1.0195321536849544</v>
      </c>
      <c r="FL119" s="156">
        <f>FL113/FL107*100</f>
        <v>74.824801950030448</v>
      </c>
      <c r="FM119" s="79">
        <f>IF(ISERROR((FL119/FJ119-1)*100),"NA",IF(((FL119/FJ119-1)*100)&gt;100,"NM",IF(((FL119/FJ119-1)*100)&lt;-50,"NM",(FL119/FJ119-1)*100)))</f>
        <v>2.0780497398530828</v>
      </c>
      <c r="FN119" s="156">
        <f>FN113/FN107*100</f>
        <v>76.554543498529753</v>
      </c>
      <c r="FO119" s="79">
        <f>IF(ISERROR((FN119/FL119-1)*100),"NA",IF(((FN119/FL119-1)*100)&gt;100,"NM",IF(((FN119/FL119-1)*100)&lt;-50,"NM",(FN119/FL119-1)*100)))</f>
        <v>2.3117221875902372</v>
      </c>
      <c r="FP119" s="156">
        <f>FP113/FP107*100</f>
        <v>75.176784523015357</v>
      </c>
      <c r="FQ119" s="79">
        <f>IF(ISERROR((FP119/FN119-1)*100),"NA",IF(((FP119/FN119-1)*100)&gt;100,"NM",IF(((FP119/FN119-1)*100)&lt;-50,"NM",(FP119/FN119-1)*100)))</f>
        <v>-1.799708955930035</v>
      </c>
      <c r="FR119" s="156">
        <f>FR113/FR107*100</f>
        <v>53.739148624620846</v>
      </c>
      <c r="FS119" s="79">
        <f>IF(ISERROR((FR119/FP119-1)*100),"NA",IF(((FR119/FP119-1)*100)&gt;100,"NM",IF(((FR119/FP119-1)*100)&lt;-50,"NM",(FR119/FP119-1)*100)))</f>
        <v>-28.516297996000862</v>
      </c>
      <c r="FT119" s="156">
        <f>FT113/FT107*100</f>
        <v>54.283402447658538</v>
      </c>
      <c r="FU119" s="79">
        <f>IF(ISERROR((FT119/FR119-1)*100),"NA",IF(((FT119/FR119-1)*100)&gt;100,"NM",IF(((FT119/FR119-1)*100)&lt;-50,"NM",(FT119/FR119-1)*100)))</f>
        <v>1.0127697162443328</v>
      </c>
      <c r="FV119" s="156">
        <f>FV113/FV107*100</f>
        <v>51.383172202546191</v>
      </c>
      <c r="FW119" s="79">
        <f>IF(ISERROR((FV119/FT119-1)*100),"NA",IF(((FV119/FT119-1)*100)&gt;100,"NM",IF(((FV119/FT119-1)*100)&lt;-50,"NM",(FV119/FT119-1)*100)))</f>
        <v>-5.342756928158332</v>
      </c>
      <c r="FX119" s="156">
        <f>FX113/FX107*100</f>
        <v>50.79739035882568</v>
      </c>
      <c r="FY119" s="79">
        <f>IF(ISERROR((FX119/FV119-1)*100),"NA",IF(((FX119/FV119-1)*100)&gt;100,"NM",IF(((FX119/FV119-1)*100)&lt;-50,"NM",(FX119/FV119-1)*100)))</f>
        <v>-1.1400266246922808</v>
      </c>
      <c r="FZ119" s="156">
        <f>FZ113/FZ107*100</f>
        <v>52.305748578648135</v>
      </c>
      <c r="GA119" s="79">
        <f>IF(ISERROR((FZ119/FX119-1)*100),"NA",IF(((FZ119/FX119-1)*100)&gt;100,"NM",IF(((FZ119/FX119-1)*100)&lt;-50,"NM",(FZ119/FX119-1)*100)))</f>
        <v>2.9693616328863026</v>
      </c>
      <c r="GB119" s="156">
        <f>GB113/GB107*100</f>
        <v>48.788688680058627</v>
      </c>
      <c r="GC119" s="79">
        <f>IF(ISERROR((GB119/FZ119-1)*100),"NA",IF(((GB119/FZ119-1)*100)&gt;100,"NM",IF(((GB119/FZ119-1)*100)&lt;-50,"NM",(GB119/FZ119-1)*100)))</f>
        <v>-6.7240408447671429</v>
      </c>
      <c r="GD119" s="156">
        <f>GD113/GD107*100</f>
        <v>47.290039062499986</v>
      </c>
      <c r="GE119" s="79">
        <f>IF(ISERROR((GD119/GB119-1)*100),"NA",IF(((GD119/GB119-1)*100)&gt;100,"NM",IF(((GD119/GB119-1)*100)&lt;-50,"NM",(GD119/GB119-1)*100)))</f>
        <v>-3.0717153055420887</v>
      </c>
      <c r="GF119" s="156">
        <f>GF113/GF107*100</f>
        <v>48.426638762239335</v>
      </c>
      <c r="GG119" s="79">
        <f>IF(ISERROR((GF119/GD119-1)*100),"NA",IF(((GF119/GD119-1)*100)&gt;100,"NM",IF(((GF119/GD119-1)*100)&lt;-50,"NM",(GF119/GD119-1)*100)))</f>
        <v>2.403465343382738</v>
      </c>
      <c r="GH119" s="156">
        <f>GH113/GH107*100</f>
        <v>48.301021471753174</v>
      </c>
      <c r="GI119" s="79">
        <f>IF(ISERROR((GH119/GF119-1)*100),"NA",IF(((GH119/GF119-1)*100)&gt;100,"NM",IF(((GH119/GF119-1)*100)&lt;-50,"NM",(GH119/GF119-1)*100)))</f>
        <v>-0.25939708742311884</v>
      </c>
      <c r="GJ119" s="156">
        <f>GJ113/GJ107*100</f>
        <v>47.567666012888758</v>
      </c>
      <c r="GK119" s="79">
        <f>IF(ISERROR((GJ119/GH119-1)*100),"NA",IF(((GJ119/GH119-1)*100)&gt;100,"NM",IF(((GJ119/GH119-1)*100)&lt;-50,"NM",(GJ119/GH119-1)*100)))</f>
        <v>-1.5183021735747149</v>
      </c>
      <c r="GL119" s="205">
        <f>GJ119</f>
        <v>47.567666012888758</v>
      </c>
      <c r="GM119" s="79">
        <f>IF(ISERROR((GL119/GJ119-1)*100),"NA",IF(((GL119/GJ119-1)*100)&gt;100,"NM",IF(((GL119/GJ119-1)*100)&lt;-50,"NM",(GL119/GJ119-1)*100)))</f>
        <v>0</v>
      </c>
      <c r="GN119" s="205">
        <f>GL119</f>
        <v>47.567666012888758</v>
      </c>
      <c r="GO119" s="79">
        <f>IF(ISERROR((GN119/GL119-1)*100),"NA",IF(((GN119/GL119-1)*100)&gt;100,"NM",IF(((GN119/GL119-1)*100)&lt;-50,"NM",(GN119/GL119-1)*100)))</f>
        <v>0</v>
      </c>
      <c r="GP119" s="205">
        <f>GN119</f>
        <v>47.567666012888758</v>
      </c>
      <c r="GQ119" s="79">
        <f>IF(ISERROR((GP119/GN119-1)*100),"NA",IF(((GP119/GN119-1)*100)&gt;100,"NM",IF(((GP119/GN119-1)*100)&lt;-50,"NM",(GP119/GN119-1)*100)))</f>
        <v>0</v>
      </c>
      <c r="GR119" s="205">
        <f>GP119+0.1</f>
        <v>47.667666012888759</v>
      </c>
      <c r="GS119" s="79">
        <f>IF(ISERROR((GR119/GP119-1)*100),"NA",IF(((GR119/GP119-1)*100)&gt;100,"NM",IF(((GR119/GP119-1)*100)&lt;-50,"NM",(GR119/GP119-1)*100)))</f>
        <v>0.21022683764408967</v>
      </c>
      <c r="GT119" s="79">
        <f>IF(ISERROR(((GR119/GH119)^0.2-1)*100),"NA",(IF(OR(((GR119/GH119)^0.2-1)*100&gt;99,((GR119/GH119)^0.2-1)*100&lt;-50),"NM",(((GR119/GH119)^0.2-1)*100))))</f>
        <v>-0.26363990279977267</v>
      </c>
      <c r="GU119" s="562"/>
      <c r="GV119" s="562"/>
      <c r="GW119"/>
      <c r="GX119"/>
      <c r="GY119"/>
      <c r="GZ119"/>
      <c r="HA119"/>
      <c r="HB119"/>
      <c r="HC119" s="562"/>
      <c r="HD119" s="562"/>
      <c r="HE119" s="562"/>
      <c r="HF119" s="562"/>
      <c r="HG119" s="562"/>
      <c r="HH119" s="562"/>
      <c r="HI119" s="562"/>
      <c r="HJ119" s="562"/>
      <c r="HK119" s="562"/>
      <c r="HL119" s="562"/>
      <c r="HM119" s="562"/>
      <c r="HN119" s="562"/>
      <c r="HO119" s="562"/>
      <c r="HP119" s="562"/>
      <c r="HQ119" s="562"/>
      <c r="HR119" s="562"/>
      <c r="HS119" s="562"/>
      <c r="HT119" s="562"/>
      <c r="HU119" s="562"/>
      <c r="HV119" s="562"/>
      <c r="HW119" s="562"/>
      <c r="HX119" s="562"/>
      <c r="HY119" s="562"/>
      <c r="HZ119" s="562"/>
      <c r="IA119" s="562"/>
      <c r="IB119" s="562"/>
      <c r="IC119" s="562"/>
      <c r="ID119" s="562"/>
      <c r="IE119" s="562"/>
      <c r="IF119" s="562"/>
      <c r="IG119" s="562"/>
      <c r="IH119" s="562"/>
      <c r="II119" s="562"/>
      <c r="IJ119" s="562"/>
      <c r="IK119" s="562"/>
      <c r="IL119" s="562"/>
      <c r="IM119" s="562"/>
      <c r="IN119" s="562"/>
      <c r="IO119" s="562"/>
      <c r="IP119" s="562"/>
      <c r="IQ119" s="562"/>
      <c r="IR119" s="562"/>
      <c r="IS119" s="562"/>
      <c r="IT119" s="562"/>
      <c r="IU119" s="562"/>
      <c r="IV119" s="562"/>
      <c r="IW119" s="562"/>
      <c r="IX119" s="562"/>
      <c r="IY119" s="562"/>
      <c r="IZ119" s="562"/>
      <c r="JA119" s="562"/>
      <c r="JB119" s="562"/>
      <c r="JC119" s="562"/>
      <c r="JD119" s="562"/>
      <c r="JE119" s="562"/>
      <c r="JF119" s="562"/>
      <c r="JG119" s="562"/>
      <c r="JH119" s="562"/>
      <c r="JI119" s="562"/>
      <c r="JJ119" s="562"/>
      <c r="JK119" s="562"/>
      <c r="JL119" s="562"/>
      <c r="JM119" s="562"/>
      <c r="JN119" s="562"/>
      <c r="JO119" s="562"/>
      <c r="JP119" s="562"/>
      <c r="JQ119" s="562"/>
      <c r="JR119" s="562"/>
      <c r="JS119" s="562"/>
      <c r="JT119" s="562"/>
      <c r="JU119" s="562"/>
      <c r="JV119" s="562"/>
      <c r="JW119" s="562"/>
      <c r="JX119" s="562"/>
      <c r="JY119" s="562"/>
      <c r="JZ119" s="562"/>
    </row>
    <row r="120" spans="1:286" s="165" customFormat="1" ht="12.75" hidden="1" customHeight="1" outlineLevel="1" x14ac:dyDescent="0.2">
      <c r="A120" s="157"/>
      <c r="B120" s="85" t="s">
        <v>449</v>
      </c>
      <c r="C120" s="87"/>
      <c r="D120" s="87"/>
      <c r="E120" s="164"/>
      <c r="F120" s="159"/>
      <c r="G120" s="164"/>
      <c r="H120" s="159"/>
      <c r="I120" s="164"/>
      <c r="J120" s="159"/>
      <c r="K120" s="164"/>
      <c r="L120" s="87"/>
      <c r="M120" s="164"/>
      <c r="N120" s="87"/>
      <c r="O120" s="164"/>
      <c r="P120" s="87"/>
      <c r="Q120" s="164"/>
      <c r="R120" s="87"/>
      <c r="S120" s="164"/>
      <c r="T120" s="87"/>
      <c r="U120" s="164"/>
      <c r="V120" s="87"/>
      <c r="W120" s="164"/>
      <c r="X120" s="87"/>
      <c r="Y120" s="164"/>
      <c r="Z120" s="87"/>
      <c r="AA120" s="206"/>
      <c r="AB120" s="87"/>
      <c r="AC120" s="164"/>
      <c r="AD120" s="87"/>
      <c r="AE120" s="164"/>
      <c r="AF120" s="87"/>
      <c r="AG120" s="164"/>
      <c r="AH120" s="87"/>
      <c r="AI120" s="164"/>
      <c r="AJ120" s="87"/>
      <c r="AK120" s="164"/>
      <c r="AL120" s="87"/>
      <c r="AM120" s="164"/>
      <c r="AN120" s="87"/>
      <c r="AO120" s="164"/>
      <c r="AP120" s="87"/>
      <c r="AQ120" s="164"/>
      <c r="AR120" s="87"/>
      <c r="AS120" s="164"/>
      <c r="AT120" s="89"/>
      <c r="AU120" s="164"/>
      <c r="AV120" s="89"/>
      <c r="AW120" s="164"/>
      <c r="AX120" s="89"/>
      <c r="AY120" s="164"/>
      <c r="AZ120" s="89"/>
      <c r="BA120" s="164"/>
      <c r="BB120" s="89"/>
      <c r="BC120" s="164"/>
      <c r="BD120" s="89"/>
      <c r="BE120" s="164"/>
      <c r="BF120" s="89"/>
      <c r="BG120" s="164"/>
      <c r="BH120" s="89"/>
      <c r="BI120" s="164"/>
      <c r="BJ120" s="89"/>
      <c r="BK120" s="164"/>
      <c r="BL120" s="89"/>
      <c r="BM120" s="164"/>
      <c r="BN120" s="89"/>
      <c r="BO120" s="164"/>
      <c r="BP120" s="89"/>
      <c r="BQ120" s="164"/>
      <c r="BR120" s="89"/>
      <c r="BS120" s="164"/>
      <c r="BT120" s="89"/>
      <c r="BU120" s="164"/>
      <c r="BV120" s="89"/>
      <c r="BW120" s="164"/>
      <c r="BX120" s="89"/>
      <c r="BY120" s="164"/>
      <c r="BZ120" s="89"/>
      <c r="CA120" s="164"/>
      <c r="CB120" s="89"/>
      <c r="CC120" s="164"/>
      <c r="CD120" s="89"/>
      <c r="CE120" s="164"/>
      <c r="CF120" s="89"/>
      <c r="CG120" s="164"/>
      <c r="CH120" s="89"/>
      <c r="CI120" s="164"/>
      <c r="CJ120" s="89"/>
      <c r="CK120" s="164"/>
      <c r="CL120" s="89"/>
      <c r="CM120" s="164"/>
      <c r="CN120" s="89"/>
      <c r="CO120" s="164"/>
      <c r="CP120" s="89"/>
      <c r="CQ120" s="164">
        <f>CQ119</f>
        <v>49.040202825063375</v>
      </c>
      <c r="CR120" s="89"/>
      <c r="CS120" s="164">
        <f>CS119</f>
        <v>51.520703554415533</v>
      </c>
      <c r="CT120" s="89"/>
      <c r="CU120" s="164">
        <f>CU119</f>
        <v>52.502700756211752</v>
      </c>
      <c r="CV120" s="89"/>
      <c r="CW120" s="164">
        <f>CW119</f>
        <v>46.376811594202898</v>
      </c>
      <c r="CX120" s="89"/>
      <c r="CY120" s="164">
        <f>CY119</f>
        <v>50.32870708546384</v>
      </c>
      <c r="CZ120" s="89"/>
      <c r="DA120" s="164">
        <f>DA119</f>
        <v>52.259475218658899</v>
      </c>
      <c r="DB120" s="89"/>
      <c r="DC120" s="164">
        <f>DC119</f>
        <v>60.361010830324901</v>
      </c>
      <c r="DD120" s="89"/>
      <c r="DE120" s="164">
        <f>DE119</f>
        <v>47.287087912087912</v>
      </c>
      <c r="DF120" s="89"/>
      <c r="DG120" s="164">
        <f>DG119</f>
        <v>49.82722874913614</v>
      </c>
      <c r="DH120" s="89"/>
      <c r="DI120" s="164">
        <f>DI119</f>
        <v>49.375866851595013</v>
      </c>
      <c r="DJ120" s="89"/>
      <c r="DK120" s="164">
        <f>DK119</f>
        <v>48.676521141285669</v>
      </c>
      <c r="DL120" s="89"/>
      <c r="DM120" s="901">
        <f>DM119</f>
        <v>43.959948320413432</v>
      </c>
      <c r="DN120" s="876"/>
      <c r="DO120" s="901">
        <f>DO119</f>
        <v>46.42273766742894</v>
      </c>
      <c r="DP120" s="876"/>
      <c r="DQ120" s="164">
        <f>DQ119</f>
        <v>48.315341838403661</v>
      </c>
      <c r="DR120" s="89"/>
      <c r="DS120" s="164">
        <f>DS119</f>
        <v>50.487963565387119</v>
      </c>
      <c r="DT120" s="89"/>
      <c r="DU120" s="164">
        <f>DU119</f>
        <v>46.468969734026288</v>
      </c>
      <c r="DV120" s="89"/>
      <c r="DW120" s="164">
        <f>DW119</f>
        <v>46.770737679828592</v>
      </c>
      <c r="DX120" s="89"/>
      <c r="DY120" s="164">
        <f>DY119</f>
        <v>50.014590020426027</v>
      </c>
      <c r="DZ120" s="89"/>
      <c r="EA120" s="164">
        <f>EA119</f>
        <v>50.292911540714705</v>
      </c>
      <c r="EB120" s="89"/>
      <c r="EC120" s="164">
        <f>EC119</f>
        <v>49.188891943909816</v>
      </c>
      <c r="ED120" s="89"/>
      <c r="EE120" s="164">
        <f>EE119</f>
        <v>49.016892827471608</v>
      </c>
      <c r="EF120" s="89"/>
      <c r="EG120" s="164">
        <f>EG119</f>
        <v>48.405148293228876</v>
      </c>
      <c r="EH120" s="89"/>
      <c r="EI120" s="164">
        <f>EI119</f>
        <v>46.567666012888765</v>
      </c>
      <c r="EJ120" s="89"/>
      <c r="EK120" s="164">
        <f t="shared" ref="EK120:EQ120" si="439">IF($B$6=1,EK119,IF($B$6=2,EK119+EK614,IF($B$6=3,EK119+EK615)))</f>
        <v>47.567666012888765</v>
      </c>
      <c r="EL120" s="89"/>
      <c r="EM120" s="164">
        <f t="shared" si="439"/>
        <v>47.567666012888765</v>
      </c>
      <c r="EN120" s="89"/>
      <c r="EO120" s="164">
        <f t="shared" si="439"/>
        <v>47.567666012888765</v>
      </c>
      <c r="EP120" s="89"/>
      <c r="EQ120" s="164">
        <f t="shared" si="439"/>
        <v>47.567666012888765</v>
      </c>
      <c r="ER120" s="89"/>
      <c r="ES120" s="162"/>
      <c r="ET120" s="466"/>
      <c r="EU120" s="162"/>
      <c r="EV120" s="90"/>
      <c r="EW120" s="87"/>
      <c r="EX120" s="90"/>
      <c r="EY120" s="87"/>
      <c r="EZ120" s="163"/>
      <c r="FA120" s="87"/>
      <c r="FB120" s="159"/>
      <c r="FC120" s="87"/>
      <c r="FD120" s="164"/>
      <c r="FE120" s="87"/>
      <c r="FF120" s="164"/>
      <c r="FG120" s="87"/>
      <c r="FH120" s="164"/>
      <c r="FI120" s="87"/>
      <c r="FJ120" s="164"/>
      <c r="FK120" s="87"/>
      <c r="FL120" s="164"/>
      <c r="FM120" s="87"/>
      <c r="FN120" s="164"/>
      <c r="FO120" s="87"/>
      <c r="FP120" s="164"/>
      <c r="FQ120" s="87"/>
      <c r="FR120" s="164"/>
      <c r="FS120" s="87"/>
      <c r="FT120" s="164"/>
      <c r="FU120" s="87"/>
      <c r="FV120" s="164"/>
      <c r="FW120" s="87"/>
      <c r="FX120" s="164"/>
      <c r="FY120" s="87"/>
      <c r="FZ120" s="164"/>
      <c r="GA120" s="87"/>
      <c r="GB120" s="164"/>
      <c r="GC120" s="87"/>
      <c r="GD120" s="164"/>
      <c r="GE120" s="87"/>
      <c r="GF120" s="164"/>
      <c r="GG120" s="87"/>
      <c r="GH120" s="164"/>
      <c r="GI120" s="87"/>
      <c r="GJ120" s="164"/>
      <c r="GK120" s="87"/>
      <c r="GL120" s="164">
        <f>IF($B$6=1,GL119,IF($B$6=2,GL119+GL614,IF($B$6=3,GL119+GL615)))</f>
        <v>47.567666012888758</v>
      </c>
      <c r="GM120" s="87"/>
      <c r="GN120" s="164">
        <f>IF($B$6=1,GN119,IF($B$6=2,GN119+GN614,IF($B$6=3,GN119+GN615)))</f>
        <v>47.567666012888758</v>
      </c>
      <c r="GO120" s="87"/>
      <c r="GP120" s="164">
        <f>IF($B$6=1,GP119,IF($B$6=2,GP119+GP614,IF($B$6=3,GP119+GP615)))</f>
        <v>47.567666012888758</v>
      </c>
      <c r="GQ120" s="87"/>
      <c r="GR120" s="164">
        <f>IF($B$6=1,GR119,IF($B$6=2,GR119+GR614,IF($B$6=3,GR119+GR615)))</f>
        <v>47.667666012888759</v>
      </c>
      <c r="GS120" s="87"/>
      <c r="GT120" s="87"/>
      <c r="GU120" s="562"/>
      <c r="GV120" s="562"/>
      <c r="GW120"/>
      <c r="GX120"/>
      <c r="GY120"/>
      <c r="GZ120"/>
      <c r="HA120"/>
      <c r="HB120"/>
      <c r="HC120" s="562"/>
      <c r="HD120" s="562"/>
      <c r="HE120" s="562"/>
      <c r="HF120" s="562"/>
      <c r="HG120" s="562"/>
      <c r="HH120" s="562"/>
      <c r="HI120" s="562"/>
      <c r="HJ120" s="562"/>
      <c r="HK120" s="562"/>
      <c r="HL120" s="562"/>
      <c r="HM120" s="562"/>
      <c r="HN120" s="562"/>
      <c r="HO120" s="562"/>
      <c r="HP120" s="562"/>
      <c r="HQ120" s="562"/>
      <c r="HR120" s="562"/>
      <c r="HS120" s="562"/>
      <c r="HT120" s="562"/>
      <c r="HU120" s="562"/>
      <c r="HV120" s="562"/>
      <c r="HW120" s="562"/>
      <c r="HX120" s="562"/>
      <c r="HY120" s="562"/>
      <c r="HZ120" s="562"/>
      <c r="IA120" s="562"/>
      <c r="IB120" s="562"/>
      <c r="IC120" s="562"/>
      <c r="ID120" s="562"/>
      <c r="IE120" s="562"/>
      <c r="IF120" s="562"/>
      <c r="IG120" s="562"/>
      <c r="IH120" s="562"/>
      <c r="II120" s="562"/>
      <c r="IJ120" s="562"/>
      <c r="IK120" s="562"/>
      <c r="IL120" s="562"/>
      <c r="IM120" s="562"/>
      <c r="IN120" s="562"/>
      <c r="IO120" s="562"/>
      <c r="IP120" s="562"/>
      <c r="IQ120" s="562"/>
      <c r="IR120" s="562"/>
      <c r="IS120" s="562"/>
      <c r="IT120" s="562"/>
      <c r="IU120" s="562"/>
      <c r="IV120" s="562"/>
      <c r="IW120" s="562"/>
      <c r="IX120" s="562"/>
      <c r="IY120" s="562"/>
      <c r="IZ120" s="562"/>
      <c r="JA120" s="562"/>
      <c r="JB120" s="562"/>
      <c r="JC120" s="562"/>
      <c r="JD120" s="562"/>
      <c r="JE120" s="562"/>
      <c r="JF120" s="562"/>
      <c r="JG120" s="562"/>
      <c r="JH120" s="562"/>
      <c r="JI120" s="562"/>
      <c r="JJ120" s="562"/>
      <c r="JK120" s="562"/>
      <c r="JL120" s="562"/>
      <c r="JM120" s="562"/>
      <c r="JN120" s="562"/>
      <c r="JO120" s="562"/>
      <c r="JP120" s="562"/>
      <c r="JQ120" s="562"/>
      <c r="JR120" s="562"/>
      <c r="JS120" s="562"/>
      <c r="JT120" s="562"/>
      <c r="JU120" s="562"/>
      <c r="JV120" s="562"/>
      <c r="JW120" s="562"/>
      <c r="JX120" s="562"/>
      <c r="JY120" s="562"/>
      <c r="JZ120" s="562"/>
    </row>
    <row r="121" spans="1:286" s="132" customFormat="1" ht="12.75" customHeight="1" collapsed="1" x14ac:dyDescent="0.2">
      <c r="A121" s="133"/>
      <c r="B121" s="10" t="s">
        <v>45</v>
      </c>
      <c r="C121" s="79"/>
      <c r="D121" s="79"/>
      <c r="E121" s="103"/>
      <c r="F121" s="95"/>
      <c r="G121" s="103"/>
      <c r="H121" s="95"/>
      <c r="I121" s="103"/>
      <c r="J121" s="95"/>
      <c r="K121" s="103"/>
      <c r="L121" s="79"/>
      <c r="M121" s="103"/>
      <c r="N121" s="79"/>
      <c r="O121" s="103"/>
      <c r="P121" s="79"/>
      <c r="Q121" s="103"/>
      <c r="R121" s="79"/>
      <c r="S121" s="103"/>
      <c r="T121" s="79"/>
      <c r="U121" s="103"/>
      <c r="V121" s="79"/>
      <c r="W121" s="103"/>
      <c r="X121" s="79"/>
      <c r="Y121" s="103"/>
      <c r="Z121" s="79"/>
      <c r="AA121" s="166"/>
      <c r="AB121" s="79"/>
      <c r="AC121" s="103">
        <f>+AC114/AC107*100</f>
        <v>22.273208612777974</v>
      </c>
      <c r="AD121" s="79" t="str">
        <f>IF(ISERROR((AC121/U121-1)*100),"NA",IF(((AC121/U121-1)*100)&gt;100,"NM",IF(((AC121/U121-1)*100)&lt;-50,"NM",(AC121/U121-1)*100)))</f>
        <v>NA</v>
      </c>
      <c r="AE121" s="103">
        <f>+AE114/AE107*100</f>
        <v>20.379479971890373</v>
      </c>
      <c r="AF121" s="79" t="str">
        <f>IF(ISERROR((AE121/W121-1)*100),"NA",IF(((AE121/W121-1)*100)&gt;100,"NM",IF(((AE121/W121-1)*100)&lt;-50,"NM",(AE121/W121-1)*100)))</f>
        <v>NA</v>
      </c>
      <c r="AG121" s="103">
        <f>+AG114/AG107*100</f>
        <v>19.390202124015076</v>
      </c>
      <c r="AH121" s="79" t="str">
        <f>IF(ISERROR((AG121/Y121-1)*100),"NA",IF(((AG121/Y121-1)*100)&gt;100,"NM",IF(((AG121/Y121-1)*100)&lt;-50,"NM",(AG121/Y121-1)*100)))</f>
        <v>NA</v>
      </c>
      <c r="AI121" s="93">
        <f>+AI114/AI107*100</f>
        <v>18.862785154919987</v>
      </c>
      <c r="AJ121" s="79" t="str">
        <f>IF(ISERROR((AI121/AA121-1)*100),"NA",IF(((AI121/AA121-1)*100)&gt;100,"NM",IF(((AI121/AA121-1)*100)&lt;-50,"NM",(AI121/AA121-1)*100)))</f>
        <v>NA</v>
      </c>
      <c r="AK121" s="103">
        <f>+AK114/AK107*100</f>
        <v>19.269976981256168</v>
      </c>
      <c r="AL121" s="79">
        <f>IF(ISERROR((AK121/AC121-1)*100),"NA",IF(((AK121/AC121-1)*100)&gt;100,"NM",IF(((AK121/AC121-1)*100)&lt;-50,"NM",(AK121/AC121-1)*100)))</f>
        <v>-13.483605724407733</v>
      </c>
      <c r="AM121" s="103">
        <f>+AM114/AM107*100</f>
        <v>19.352750809061487</v>
      </c>
      <c r="AN121" s="79">
        <f>IF(ISERROR((AM121/AE121-1)*100),"NA",IF(((AM121/AE121-1)*100)&gt;100,"NM",IF(((AM121/AE121-1)*100)&lt;-50,"NM",(AM121/AE121-1)*100)))</f>
        <v>-5.0380537886396741</v>
      </c>
      <c r="AO121" s="103">
        <f>+AO114/AO107*100</f>
        <v>17.81129653401797</v>
      </c>
      <c r="AP121" s="79">
        <f>IF(ISERROR((AO121/AG121-1)*100),"NA",IF(((AO121/AG121-1)*100)&gt;100,"NM",IF(((AO121/AG121-1)*100)&lt;-50,"NM",(AO121/AG121-1)*100)))</f>
        <v>-8.142801090462104</v>
      </c>
      <c r="AQ121" s="103">
        <f>+AQ114/AQ107*100</f>
        <v>17.496807151979567</v>
      </c>
      <c r="AR121" s="79">
        <f>IF(ISERROR((AQ121/AI121-1)*100),"NA",IF(((AQ121/AI121-1)*100)&gt;100,"NM",IF(((AQ121/AI121-1)*100)&lt;-50,"NM",(AQ121/AI121-1)*100)))</f>
        <v>-7.241655946996417</v>
      </c>
      <c r="AS121" s="103">
        <f>+AS114/AS107*100</f>
        <v>19.926199261992618</v>
      </c>
      <c r="AT121" s="81">
        <f>IF(ISERROR((AS121/AK121-1)*100),"NA",IF(((AS121/AK121-1)*100)&gt;100,"NM",IF(((AS121/AK121-1)*100)&lt;-50,"NM",(AS121/AK121-1)*100)))</f>
        <v>3.4054128937193617</v>
      </c>
      <c r="AU121" s="103">
        <f>+AU114/AU107*100</f>
        <v>17.420537897310513</v>
      </c>
      <c r="AV121" s="81">
        <f>IF(ISERROR((AU121/AM121-1)*100),"NA",IF(((AU121/AM121-1)*100)&gt;100,"NM",IF(((AU121/AM121-1)*100)&lt;-50,"NM",(AU121/AM121-1)*100)))</f>
        <v>-9.984177085803525</v>
      </c>
      <c r="AW121" s="103">
        <f>+AW114/AW107*100</f>
        <v>17.54438760156485</v>
      </c>
      <c r="AX121" s="81">
        <f>IF(ISERROR((AW121/AO121-1)*100),"NA",IF(((AW121/AO121-1)*100)&gt;100,"NM",IF(((AW121/AO121-1)*100)&lt;-50,"NM",(AW121/AO121-1)*100)))</f>
        <v>-1.4985373577007577</v>
      </c>
      <c r="AY121" s="103">
        <f>+AY114/AY107*100</f>
        <v>18.043279487960987</v>
      </c>
      <c r="AZ121" s="81">
        <f>IF(ISERROR((AY121/AQ121-1)*100),"NA",IF(((AY121/AQ121-1)*100)&gt;100,"NM",IF(((AY121/AQ121-1)*100)&lt;-50,"NM",(AY121/AQ121-1)*100)))</f>
        <v>3.1232688983463541</v>
      </c>
      <c r="BA121" s="103">
        <f>+BA114/BA107*100</f>
        <v>18.003512880562059</v>
      </c>
      <c r="BB121" s="81">
        <f>IF(ISERROR((BA121/AS121-1)*100),"NA",IF(((BA121/AS121-1)*100)&gt;100,"NM",IF(((BA121/AS121-1)*100)&lt;-50,"NM",(BA121/AS121-1)*100)))</f>
        <v>-9.6490372105126241</v>
      </c>
      <c r="BC121" s="103">
        <f>+BC114/BC107*100</f>
        <v>17.165898617511523</v>
      </c>
      <c r="BD121" s="81">
        <f>IF(ISERROR((BC121/AU121-1)*100),"NA",IF(((BC121/AU121-1)*100)&gt;100,"NM",IF(((BC121/AU121-1)*100)&lt;-50,"NM",(BC121/AU121-1)*100)))</f>
        <v>-1.4617188131619274</v>
      </c>
      <c r="BE121" s="103">
        <f>+BE114/BE107*100</f>
        <v>17.763904653802499</v>
      </c>
      <c r="BF121" s="81">
        <f>IF(ISERROR((BE121/AW121-1)*100),"NA",IF(((BE121/AW121-1)*100)&gt;100,"NM",IF(((BE121/AW121-1)*100)&lt;-50,"NM",(BE121/AW121-1)*100)))</f>
        <v>1.2512095447439142</v>
      </c>
      <c r="BG121" s="103">
        <f>+BG114/BG107*100</f>
        <v>17.388841687907107</v>
      </c>
      <c r="BH121" s="81">
        <f>IF(ISERROR((BG121/AY121-1)*100),"NA",IF(((BG121/AY121-1)*100)&gt;100,"NM",IF(((BG121/AY121-1)*100)&lt;-50,"NM",(BG121/AY121-1)*100)))</f>
        <v>-3.6270446317175353</v>
      </c>
      <c r="BI121" s="103">
        <f>+BI114/BI107*100</f>
        <v>18.344155844155843</v>
      </c>
      <c r="BJ121" s="81">
        <f>IF(ISERROR((BI121/BA121-1)*100),"NA",IF(((BI121/BA121-1)*100)&gt;100,"NM",IF(((BI121/BA121-1)*100)&lt;-50,"NM",(BI121/BA121-1)*100)))</f>
        <v>1.8920916481892203</v>
      </c>
      <c r="BK121" s="103">
        <f>+BK114/BK107*100</f>
        <v>18.218406224845722</v>
      </c>
      <c r="BL121" s="81">
        <f>IF(ISERROR((BK121/BC121-1)*100),"NA",IF(((BK121/BC121-1)*100)&gt;100,"NM",IF(((BK121/BC121-1)*100)&lt;-50,"NM",(BK121/BC121-1)*100)))</f>
        <v>6.1313865984300886</v>
      </c>
      <c r="BM121" s="103">
        <f>+BM114/BM107*100</f>
        <v>17.454835281615306</v>
      </c>
      <c r="BN121" s="81">
        <f>IF(ISERROR((BM121/BE121-1)*100),"NA",IF(((BM121/BE121-1)*100)&gt;100,"NM",IF(((BM121/BE121-1)*100)&lt;-50,"NM",(BM121/BE121-1)*100)))</f>
        <v>-1.7398729514179978</v>
      </c>
      <c r="BO121" s="103">
        <f>+BO114/BO107*100</f>
        <v>17.328424927688669</v>
      </c>
      <c r="BP121" s="81">
        <f>IF(ISERROR((BO121/BG121-1)*100),"NA",IF(((BO121/BG121-1)*100)&gt;100,"NM",IF(((BO121/BG121-1)*100)&lt;-50,"NM",(BO121/BG121-1)*100)))</f>
        <v>-0.34744557057215797</v>
      </c>
      <c r="BQ121" s="103">
        <f>+BQ114/BQ107*100</f>
        <v>18.415690269994904</v>
      </c>
      <c r="BR121" s="81">
        <f>IF(ISERROR((BQ121/BI121-1)*100),"NA",IF(((BQ121/BI121-1)*100)&gt;100,"NM",IF(((BQ121/BI121-1)*100)&lt;-50,"NM",(BQ121/BI121-1)*100)))</f>
        <v>0.38995757802533504</v>
      </c>
      <c r="BS121" s="103">
        <f>+BS114/BS107*100</f>
        <v>17.753901253517526</v>
      </c>
      <c r="BT121" s="81">
        <f>IF(ISERROR((BS121/BK121-1)*100),"NA",IF(((BS121/BK121-1)*100)&gt;100,"NM",IF(((BS121/BK121-1)*100)&lt;-50,"NM",(BS121/BK121-1)*100)))</f>
        <v>-2.549646580471554</v>
      </c>
      <c r="BU121" s="103">
        <f>+BU114/BU107*100</f>
        <v>16.571279916753383</v>
      </c>
      <c r="BV121" s="81">
        <f>IF(ISERROR((BU121/BM121-1)*100),"NA",IF(((BU121/BM121-1)*100)&gt;100,"NM",IF(((BU121/BM121-1)*100)&lt;-50,"NM",(BU121/BM121-1)*100)))</f>
        <v>-5.0619518924509554</v>
      </c>
      <c r="BW121" s="103">
        <f>+BW114/BW107*100</f>
        <v>16.610080961086446</v>
      </c>
      <c r="BX121" s="81">
        <f>IF(ISERROR((BW121/BO121-1)*100),"NA",IF(((BW121/BO121-1)*100)&gt;100,"NM",IF(((BW121/BO121-1)*100)&lt;-50,"NM",(BW121/BO121-1)*100)))</f>
        <v>-4.1454660166741375</v>
      </c>
      <c r="BY121" s="103">
        <f>+BY114/BY107*100</f>
        <v>22.85140562248996</v>
      </c>
      <c r="BZ121" s="81">
        <f>IF(ISERROR((BY121/BQ121-1)*100),"NA",IF(((BY121/BQ121-1)*100)&gt;100,"NM",IF(((BY121/BQ121-1)*100)&lt;-50,"NM",(BY121/BQ121-1)*100)))</f>
        <v>24.08660923083761</v>
      </c>
      <c r="CA121" s="103">
        <f>+CA114/CA107*100</f>
        <v>21.399839098954146</v>
      </c>
      <c r="CB121" s="81">
        <f>IF(ISERROR((CA121/BS121-1)*100),"NA",IF(((CA121/BS121-1)*100)&gt;100,"NM",IF(((CA121/BS121-1)*100)&lt;-50,"NM",(CA121/BS121-1)*100)))</f>
        <v>20.535981322495324</v>
      </c>
      <c r="CC121" s="103">
        <f>+CC114/CC107*100</f>
        <v>21.24394184168013</v>
      </c>
      <c r="CD121" s="81">
        <f>IF(ISERROR((CC121/BU121-1)*100),"NA",IF(((CC121/BU121-1)*100)&gt;100,"NM",IF(((CC121/BU121-1)*100)&lt;-50,"NM",(CC121/BU121-1)*100)))</f>
        <v>28.197350768317754</v>
      </c>
      <c r="CE121" s="103">
        <f>+CE114/CE107*100</f>
        <v>20.08213552361396</v>
      </c>
      <c r="CF121" s="81">
        <f>IF(ISERROR((CE121/BW121-1)*100),"NA",IF(((CE121/BW121-1)*100)&gt;100,"NM",IF(((CE121/BW121-1)*100)&lt;-50,"NM",(CE121/BW121-1)*100)))</f>
        <v>20.903297043895996</v>
      </c>
      <c r="CG121" s="103">
        <f>+CG114/CG107*100</f>
        <v>22.550902804456396</v>
      </c>
      <c r="CH121" s="81">
        <f>IF(ISERROR((CG121/BY121-1)*100),"NA",IF(((CG121/BY121-1)*100)&gt;100,"NM",IF(((CG121/BY121-1)*100)&lt;-50,"NM",(CG121/BY121-1)*100)))</f>
        <v>-1.3150299066846616</v>
      </c>
      <c r="CI121" s="103">
        <f>+CI114/CI107*100</f>
        <v>21.163413700727133</v>
      </c>
      <c r="CJ121" s="81">
        <f>IF(ISERROR((CI121/CA121-1)*100),"NA",IF(((CI121/CA121-1)*100)&gt;100,"NM",IF(((CI121/CA121-1)*100)&lt;-50,"NM",(CI121/CA121-1)*100)))</f>
        <v>-1.1047998872036779</v>
      </c>
      <c r="CK121" s="103">
        <f>+CK114/CK107*100</f>
        <v>21.291314373558802</v>
      </c>
      <c r="CL121" s="81">
        <f>IF(ISERROR((CK121/CC121-1)*100),"NA",IF(((CK121/CC121-1)*100)&gt;100,"NM",IF(((CK121/CC121-1)*100)&lt;-50,"NM",(CK121/CC121-1)*100)))</f>
        <v>0.22299313485092398</v>
      </c>
      <c r="CM121" s="103">
        <f>+CM114/CM107*100</f>
        <v>18.86648915937619</v>
      </c>
      <c r="CN121" s="81">
        <f>IF(ISERROR((CM121/CE121-1)*100),"NA",IF(((CM121/CE121-1)*100)&gt;100,"NM",IF(((CM121/CE121-1)*100)&lt;-50,"NM",(CM121/CE121-1)*100)))</f>
        <v>-6.0533719773394061</v>
      </c>
      <c r="CO121" s="103">
        <f>+CO114/CO107*100</f>
        <v>22.643553629469125</v>
      </c>
      <c r="CP121" s="81">
        <f>IF(ISERROR((CO121/CG121-1)*100),"NA",IF(((CO121/CG121-1)*100)&gt;100,"NM",IF(((CO121/CG121-1)*100)&lt;-50,"NM",(CO121/CG121-1)*100)))</f>
        <v>0.41085195486905146</v>
      </c>
      <c r="CQ121" s="103">
        <f>+CQ114/CQ107*100</f>
        <v>22.998913437160446</v>
      </c>
      <c r="CR121" s="81">
        <f>IF(ISERROR((CQ121/CI121-1)*100),"NA",IF(((CQ121/CI121-1)*100)&gt;100,"NM",IF(((CQ121/CI121-1)*100)&lt;-50,"NM",(CQ121/CI121-1)*100)))</f>
        <v>8.6729851922246795</v>
      </c>
      <c r="CS121" s="103">
        <f>+CS114/CS107*100</f>
        <v>21.582997434957861</v>
      </c>
      <c r="CT121" s="81">
        <f>IF(ISERROR((CS121/CK121-1)*100),"NA",IF(((CS121/CK121-1)*100)&gt;100,"NM",IF(((CS121/CK121-1)*100)&lt;-50,"NM",(CS121/CK121-1)*100)))</f>
        <v>1.3699626818779009</v>
      </c>
      <c r="CU121" s="103">
        <f>+CU114/CU107*100</f>
        <v>21.06589845156644</v>
      </c>
      <c r="CV121" s="81">
        <f>IF(ISERROR((CU121/CM121-1)*100),"NA",IF(((CU121/CM121-1)*100)&gt;100,"NM",IF(((CU121/CM121-1)*100)&lt;-50,"NM",(CU121/CM121-1)*100)))</f>
        <v>11.657756107193883</v>
      </c>
      <c r="CW121" s="103">
        <f>+CW114/CW107*100</f>
        <v>22.587486744432663</v>
      </c>
      <c r="CX121" s="81">
        <f>IF(ISERROR((CW121/CO121-1)*100),"NA",IF(((CW121/CO121-1)*100)&gt;100,"NM",IF(((CW121/CO121-1)*100)&lt;-50,"NM",(CW121/CO121-1)*100)))</f>
        <v>-0.24760638702705506</v>
      </c>
      <c r="CY121" s="103">
        <f>+CY114/CY107*100</f>
        <v>20.014609203798393</v>
      </c>
      <c r="CZ121" s="81">
        <f>IF(ISERROR((CY121/CQ121-1)*100),"NA",IF(((CY121/CQ121-1)*100)&gt;100,"NM",IF(((CY121/CQ121-1)*100)&lt;-50,"NM",(CY121/CQ121-1)*100)))</f>
        <v>-12.975848800492329</v>
      </c>
      <c r="DA121" s="103">
        <f>+DA114/DA107*100</f>
        <v>20.626822157434404</v>
      </c>
      <c r="DB121" s="81">
        <f>IF(ISERROR((DA121/CS121-1)*100),"NA",IF(((DA121/CS121-1)*100)&gt;100,"NM",IF(((DA121/CS121-1)*100)&lt;-50,"NM",(DA121/CS121-1)*100)))</f>
        <v>-4.4302246729397528</v>
      </c>
      <c r="DC121" s="103">
        <f>+DC114/DC107*100</f>
        <v>20.577617328519857</v>
      </c>
      <c r="DD121" s="81">
        <f>IF(ISERROR((DC121/CU121-1)*100),"NA",IF(((DC121/CU121-1)*100)&gt;100,"NM",IF(((DC121/CU121-1)*100)&lt;-50,"NM",(DC121/CU121-1)*100)))</f>
        <v>-2.3178746644450632</v>
      </c>
      <c r="DE121" s="103">
        <f>+DE114/DE107*100</f>
        <v>22.87087912087912</v>
      </c>
      <c r="DF121" s="81">
        <f>IF(ISERROR((DE121/CW121-1)*100),"NA",IF(((DE121/CW121-1)*100)&gt;100,"NM",IF(((DE121/CW121-1)*100)&lt;-50,"NM",(DE121/CW121-1)*100)))</f>
        <v>1.254643244079845</v>
      </c>
      <c r="DG121" s="103">
        <f>+DG114/DG107*100</f>
        <v>21.389080856945405</v>
      </c>
      <c r="DH121" s="81">
        <f>IF(ISERROR((DG121/CY121-1)*100),"NA",IF(((DG121/CY121-1)*100)&gt;100,"NM",IF(((DG121/CY121-1)*100)&lt;-50,"NM",(DG121/CY121-1)*100)))</f>
        <v>6.867341945833072</v>
      </c>
      <c r="DI121" s="103">
        <f>+DI114/DI107*100</f>
        <v>21.601941747572816</v>
      </c>
      <c r="DJ121" s="81">
        <f>IF(ISERROR((DI121/DA121-1)*100),"NA",IF(((DI121/DA121-1)*100)&gt;100,"NM",IF(((DI121/DA121-1)*100)&lt;-50,"NM",(DI121/DA121-1)*100)))</f>
        <v>4.7274349034272189</v>
      </c>
      <c r="DK121" s="103">
        <f>+DK114/DK107*100</f>
        <v>21.794431075971126</v>
      </c>
      <c r="DL121" s="81">
        <f>IF(ISERROR((DK121/DC121-1)*100),"NA",IF(((DK121/DC121-1)*100)&gt;100,"NM",IF(((DK121/DC121-1)*100)&lt;-50,"NM",(DK121/DC121-1)*100)))</f>
        <v>5.9132878604210681</v>
      </c>
      <c r="DM121" s="902">
        <f>+DM114/DM107*100</f>
        <v>22.965116279069765</v>
      </c>
      <c r="DN121" s="855">
        <f>IF(ISERROR((DM121/DE121-1)*100),"NA",IF(((DM121/DE121-1)*100)&gt;100,"NM",IF(((DM121/DE121-1)*100)&lt;-50,"NM",(DM121/DE121-1)*100)))</f>
        <v>0.41203994692364798</v>
      </c>
      <c r="DO121" s="902">
        <f>+DO114/DO107*100</f>
        <v>21.659588369813783</v>
      </c>
      <c r="DP121" s="855">
        <f>IF(ISERROR((DO121/DG121-1)*100),"NA",IF(((DO121/DG121-1)*100)&gt;100,"NM",IF(((DO121/DG121-1)*100)&lt;-50,"NM",(DO121/DG121-1)*100)))</f>
        <v>1.2646990989355178</v>
      </c>
      <c r="DQ121" s="103">
        <f>+DQ114/DQ107*100</f>
        <v>21.262675825973176</v>
      </c>
      <c r="DR121" s="81">
        <f>IF(ISERROR((DQ121/DI121-1)*100),"NA",IF(((DQ121/DI121-1)*100)&gt;100,"NM",IF(((DQ121/DI121-1)*100)&lt;-50,"NM",(DQ121/DI121-1)*100)))</f>
        <v>-1.5705343786410308</v>
      </c>
      <c r="DS121" s="103">
        <f>+DS114/DS107*100</f>
        <v>21.600520494469748</v>
      </c>
      <c r="DT121" s="81">
        <f>IF(ISERROR((DS121/DK121-1)*100),"NA",IF(((DS121/DK121-1)*100)&gt;100,"NM",IF(((DS121/DK121-1)*100)&lt;-50,"NM",(DS121/DK121-1)*100)))</f>
        <v>-0.88972536527998081</v>
      </c>
      <c r="DU121" s="103">
        <f>+DU114/DU107*100</f>
        <v>21.858758789361048</v>
      </c>
      <c r="DV121" s="81">
        <f>IF(ISERROR((DU121/DM121-1)*100),"NA",IF(((DU121/DM121-1)*100)&gt;100,"NM",IF(((DU121/DM121-1)*100)&lt;-50,"NM",(DU121/DM121-1)*100)))</f>
        <v>-4.8175566640480838</v>
      </c>
      <c r="DW121" s="103">
        <f>+DW114/DW107*100</f>
        <v>21.27333945515764</v>
      </c>
      <c r="DX121" s="81">
        <f>IF(ISERROR((DW121/DO121-1)*100),"NA",IF(((DW121/DO121-1)*100)&gt;100,"NM",IF(((DW121/DO121-1)*100)&lt;-50,"NM",(DW121/DO121-1)*100)))</f>
        <v>-1.7832698759614685</v>
      </c>
      <c r="DY121" s="103">
        <f>+DY114/DY107*100</f>
        <v>20.338488473883864</v>
      </c>
      <c r="DZ121" s="81">
        <f>IF(ISERROR((DY121/DQ121-1)*100),"NA",IF(((DY121/DQ121-1)*100)&gt;100,"NM",IF(((DY121/DQ121-1)*100)&lt;-50,"NM",(DY121/DQ121-1)*100)))</f>
        <v>-4.3465242082108109</v>
      </c>
      <c r="EA121" s="103">
        <f>+EA114/EA107*100</f>
        <v>18.95137668424136</v>
      </c>
      <c r="EB121" s="81">
        <f>IF(ISERROR((EA121/DS121-1)*100),"NA",IF(((EA121/DS121-1)*100)&gt;100,"NM",IF(((EA121/DS121-1)*100)&lt;-50,"NM",(EA121/DS121-1)*100)))</f>
        <v>-12.264259145545275</v>
      </c>
      <c r="EC121" s="103">
        <f>+EC114/EC107*100</f>
        <v>20.401429749793788</v>
      </c>
      <c r="ED121" s="81">
        <f t="shared" ref="ED121:ED122" si="440">IF(ISERROR((EC121/DU121-1)*100),"NA",IF(((EC121/DU121-1)*100)&gt;100,"NM",IF(((EC121/DU121-1)*100)&lt;-50,"NM",(EC121/DU121-1)*100)))</f>
        <v>-6.6670255782160908</v>
      </c>
      <c r="EE121" s="103">
        <f>+EE114/EE107*100</f>
        <v>18.748269177513155</v>
      </c>
      <c r="EF121" s="81">
        <f t="shared" ref="EF121:EF122" si="441">IF(ISERROR((EE121/DW121-1)*100),"NA",IF(((EE121/DW121-1)*100)&gt;100,"NM",IF(((EE121/DW121-1)*100)&lt;-50,"NM",(EE121/DW121-1)*100)))</f>
        <v>-11.86964690225112</v>
      </c>
      <c r="EG121" s="103">
        <f>+EG114/EG107*100</f>
        <v>18.186905428091777</v>
      </c>
      <c r="EH121" s="81">
        <f t="shared" ref="EH121:EH122" si="442">IF(ISERROR((EG121/DY121-1)*100),"NA",IF(((EG121/DY121-1)*100)&gt;100,"NM",IF(((EG121/DY121-1)*100)&lt;-50,"NM",(EG121/DY121-1)*100)))</f>
        <v>-10.57887388512121</v>
      </c>
      <c r="EI121" s="103">
        <f>+EI114/EI107*100</f>
        <v>19.809470439899133</v>
      </c>
      <c r="EJ121" s="81">
        <f t="shared" ref="EJ121:EJ122" si="443">IF(ISERROR((EI121/EA121-1)*100),"NA",IF(((EI121/EA121-1)*100)&gt;100,"NM",IF(((EI121/EA121-1)*100)&lt;-50,"NM",(EI121/EA121-1)*100)))</f>
        <v>4.5278702964693052</v>
      </c>
      <c r="EK121" s="205">
        <v>19.3</v>
      </c>
      <c r="EL121" s="81">
        <f t="shared" ref="EL121:EL122" si="444">IF(ISERROR((EK121/EC121-1)*100),"NA",IF(((EK121/EC121-1)*100)&gt;100,"NM",IF(((EK121/EC121-1)*100)&lt;-50,"NM",(EK121/EC121-1)*100)))</f>
        <v>-5.3987870619946143</v>
      </c>
      <c r="EM121" s="205">
        <f>EK121</f>
        <v>19.3</v>
      </c>
      <c r="EN121" s="81">
        <f t="shared" ref="EN121:EN122" si="445">IF(ISERROR((EM121/EE121-1)*100),"NA",IF(((EM121/EE121-1)*100)&gt;100,"NM",IF(((EM121/EE121-1)*100)&lt;-50,"NM",(EM121/EE121-1)*100)))</f>
        <v>2.9428360413589427</v>
      </c>
      <c r="EO121" s="205">
        <f>EM121</f>
        <v>19.3</v>
      </c>
      <c r="EP121" s="81">
        <f t="shared" ref="EP121:EP122" si="446">IF(ISERROR((EO121/EG121-1)*100),"NA",IF(((EO121/EG121-1)*100)&gt;100,"NM",IF(((EO121/EG121-1)*100)&lt;-50,"NM",(EO121/EG121-1)*100)))</f>
        <v>6.1203076923076916</v>
      </c>
      <c r="EQ121" s="205">
        <f>EO121</f>
        <v>19.3</v>
      </c>
      <c r="ER121" s="81">
        <f t="shared" ref="ER121:ER122" si="447">IF(ISERROR((EQ121/EI121-1)*100),"NA",IF(((EQ121/EI121-1)*100)&gt;100,"NM",IF(((EQ121/EI121-1)*100)&lt;-50,"NM",(EQ121/EI121-1)*100)))</f>
        <v>-2.5718528995756773</v>
      </c>
      <c r="ES121" s="129"/>
      <c r="ET121" s="469"/>
      <c r="EU121" s="129"/>
      <c r="EV121" s="95"/>
      <c r="EW121" s="79"/>
      <c r="EX121" s="95"/>
      <c r="EY121" s="79"/>
      <c r="EZ121" s="131"/>
      <c r="FA121" s="79"/>
      <c r="FB121" s="103"/>
      <c r="FC121" s="79"/>
      <c r="FD121" s="103">
        <f>+FD114/FD107*100</f>
        <v>23.664967870596055</v>
      </c>
      <c r="FE121" s="79" t="str">
        <f>IF(ISERROR((FD121/FB121-1)*100),"NA",IF(((FD121/FB121-1)*100)&gt;100,"NM",IF(((FD121/FB121-1)*100)&lt;-50,"NM",(FD121/FB121-1)*100)))</f>
        <v>NA</v>
      </c>
      <c r="FF121" s="103">
        <f>+FF114/FF107*100</f>
        <v>22.271609608473614</v>
      </c>
      <c r="FG121" s="79">
        <f>IF(ISERROR((FF121/FD121-1)*100),"NA",IF(((FF121/FD121-1)*100)&gt;100,"NM",IF(((FF121/FD121-1)*100)&lt;-50,"NM",(FF121/FD121-1)*100)))</f>
        <v>-5.8878519072645847</v>
      </c>
      <c r="FH121" s="103">
        <f>+FH114/FH107*100</f>
        <v>20.208062418725618</v>
      </c>
      <c r="FI121" s="79">
        <f>IF(ISERROR((FH121/FF121-1)*100),"NA",IF(((FH121/FF121-1)*100)&gt;100,"NM",IF(((FH121/FF121-1)*100)&lt;-50,"NM",(FH121/FF121-1)*100)))</f>
        <v>-9.2653706940107554</v>
      </c>
      <c r="FJ121" s="103">
        <f>+FJ114/FJ107*100</f>
        <v>18.474836416511835</v>
      </c>
      <c r="FK121" s="79">
        <f>IF(ISERROR((FJ121/FH121-1)*100),"NA",IF(((FJ121/FH121-1)*100)&gt;100,"NM",IF(((FJ121/FH121-1)*100)&lt;-50,"NM",(FJ121/FH121-1)*100)))</f>
        <v>-8.5769034472483856</v>
      </c>
      <c r="FL121" s="103">
        <f>+FL114/FL107*100</f>
        <v>18.228214503351616</v>
      </c>
      <c r="FM121" s="79">
        <f>IF(ISERROR((FL121/FJ121-1)*100),"NA",IF(((FL121/FJ121-1)*100)&gt;100,"NM",IF(((FL121/FJ121-1)*100)&lt;-50,"NM",(FL121/FJ121-1)*100)))</f>
        <v>-1.3349071547924529</v>
      </c>
      <c r="FN121" s="103">
        <f>+FN114/FN107*100</f>
        <v>17.578713332855202</v>
      </c>
      <c r="FO121" s="79">
        <f>IF(ISERROR((FN121/FL121-1)*100),"NA",IF(((FN121/FL121-1)*100)&gt;100,"NM",IF(((FN121/FL121-1)*100)&lt;-50,"NM",(FN121/FL121-1)*100)))</f>
        <v>-3.5631639641775736</v>
      </c>
      <c r="FP121" s="103">
        <f>+FP114/FP107*100</f>
        <v>17.831887925283521</v>
      </c>
      <c r="FQ121" s="79">
        <f>IF(ISERROR((FP121/FN121-1)*100),"NA",IF(((FP121/FN121-1)*100)&gt;100,"NM",IF(((FP121/FN121-1)*100)&lt;-50,"NM",(FP121/FN121-1)*100)))</f>
        <v>1.4402339217576721</v>
      </c>
      <c r="FR121" s="103">
        <f>+FR114/FR107*100</f>
        <v>20.99152808283652</v>
      </c>
      <c r="FS121" s="79">
        <f>IF(ISERROR((FR121/FP121-1)*100),"NA",IF(((FR121/FP121-1)*100)&gt;100,"NM",IF(((FR121/FP121-1)*100)&lt;-50,"NM",(FR121/FP121-1)*100)))</f>
        <v>17.719044504945547</v>
      </c>
      <c r="FT121" s="103">
        <f>+FT114/FT107*100</f>
        <v>21.401840801051886</v>
      </c>
      <c r="FU121" s="79">
        <f>IF(ISERROR((FT121/FR121-1)*100),"NA",IF(((FT121/FR121-1)*100)&gt;100,"NM",IF(((FT121/FR121-1)*100)&lt;-50,"NM",(FT121/FR121-1)*100)))</f>
        <v>1.9546586441739455</v>
      </c>
      <c r="FV121" s="103">
        <f>+FV114/FV107*100</f>
        <v>20.962955872499286</v>
      </c>
      <c r="FW121" s="79">
        <f>IF(ISERROR((FV121/FT121-1)*100),"NA",IF(((FV121/FT121-1)*100)&gt;100,"NM",IF(((FV121/FT121-1)*100)&lt;-50,"NM",(FV121/FT121-1)*100)))</f>
        <v>-2.0506877545366509</v>
      </c>
      <c r="FX121" s="103">
        <f>+FX114/FX107*100</f>
        <v>22.073214932946723</v>
      </c>
      <c r="FY121" s="79">
        <f>IF(ISERROR((FX121/FV121-1)*100),"NA",IF(((FX121/FV121-1)*100)&gt;100,"NM",IF(((FX121/FV121-1)*100)&lt;-50,"NM",(FX121/FV121-1)*100)))</f>
        <v>5.2962905956595252</v>
      </c>
      <c r="FZ121" s="103">
        <f>+FZ114/FZ107*100</f>
        <v>20.963811930331197</v>
      </c>
      <c r="GA121" s="79">
        <f>IF(ISERROR((FZ121/FX121-1)*100),"NA",IF(((FZ121/FX121-1)*100)&gt;100,"NM",IF(((FZ121/FX121-1)*100)&lt;-50,"NM",(FZ121/FX121-1)*100)))</f>
        <v>-5.0260145882039975</v>
      </c>
      <c r="GB121" s="103">
        <f>+GB114/GB107*100</f>
        <v>21.915682386412627</v>
      </c>
      <c r="GC121" s="79">
        <f>IF(ISERROR((GB121/FZ121-1)*100),"NA",IF(((GB121/FZ121-1)*100)&gt;100,"NM",IF(((GB121/FZ121-1)*100)&lt;-50,"NM",(GB121/FZ121-1)*100)))</f>
        <v>4.5405409056557655</v>
      </c>
      <c r="GD121" s="103">
        <f>+GD114/GD107*100</f>
        <v>21.874999999999993</v>
      </c>
      <c r="GE121" s="79">
        <f>IF(ISERROR((GD121/GB121-1)*100),"NA",IF(((GD121/GB121-1)*100)&gt;100,"NM",IF(((GD121/GB121-1)*100)&lt;-50,"NM",(GD121/GB121-1)*100)))</f>
        <v>-0.18563139260430184</v>
      </c>
      <c r="GF121" s="103">
        <f>+GF114/GF107*100</f>
        <v>20.58449809402795</v>
      </c>
      <c r="GG121" s="79">
        <f>IF(ISERROR((GF121/GD121-1)*100),"NA",IF(((GF121/GD121-1)*100)&gt;100,"NM",IF(((GF121/GD121-1)*100)&lt;-50,"NM",(GF121/GD121-1)*100)))</f>
        <v>-5.899437284443632</v>
      </c>
      <c r="GH121" s="103">
        <f>+GH114/GH107*100</f>
        <v>19.289833923980268</v>
      </c>
      <c r="GI121" s="79">
        <f>IF(ISERROR((GH121/GF121-1)*100),"NA",IF(((GH121/GF121-1)*100)&gt;100,"NM",IF(((GH121/GF121-1)*100)&lt;-50,"NM",(GH121/GF121-1)*100)))</f>
        <v>-6.2895105051081863</v>
      </c>
      <c r="GJ121" s="103">
        <f>+GJ114/GJ107*100</f>
        <v>19.300000000000004</v>
      </c>
      <c r="GK121" s="79">
        <f>IF(ISERROR((GJ121/GH121-1)*100),"NA",IF(((GJ121/GH121-1)*100)&gt;100,"NM",IF(((GJ121/GH121-1)*100)&lt;-50,"NM",(GJ121/GH121-1)*100)))</f>
        <v>5.2701729106630069E-2</v>
      </c>
      <c r="GL121" s="105">
        <f>+GJ121</f>
        <v>19.300000000000004</v>
      </c>
      <c r="GM121" s="79">
        <f>IF(ISERROR((GL121/GJ121-1)*100),"NA",IF(((GL121/GJ121-1)*100)&gt;100,"NM",IF(((GL121/GJ121-1)*100)&lt;-50,"NM",(GL121/GJ121-1)*100)))</f>
        <v>0</v>
      </c>
      <c r="GN121" s="105">
        <f>+GL121</f>
        <v>19.300000000000004</v>
      </c>
      <c r="GO121" s="79">
        <f>IF(ISERROR((GN121/GL121-1)*100),"NA",IF(((GN121/GL121-1)*100)&gt;100,"NM",IF(((GN121/GL121-1)*100)&lt;-50,"NM",(GN121/GL121-1)*100)))</f>
        <v>0</v>
      </c>
      <c r="GP121" s="105">
        <f>+GN121</f>
        <v>19.300000000000004</v>
      </c>
      <c r="GQ121" s="79">
        <f>IF(ISERROR((GP121/GN121-1)*100),"NA",IF(((GP121/GN121-1)*100)&gt;100,"NM",IF(((GP121/GN121-1)*100)&lt;-50,"NM",(GP121/GN121-1)*100)))</f>
        <v>0</v>
      </c>
      <c r="GR121" s="105">
        <f>+GP121</f>
        <v>19.300000000000004</v>
      </c>
      <c r="GS121" s="79">
        <f>IF(ISERROR((GR121/GP121-1)*100),"NA",IF(((GR121/GP121-1)*100)&gt;100,"NM",IF(((GR121/GP121-1)*100)&lt;-50,"NM",(GR121/GP121-1)*100)))</f>
        <v>0</v>
      </c>
      <c r="GT121" s="79">
        <f>IF(ISERROR(((GR121/GH121)^0.2-1)*100),"NA",(IF(OR(((GR121/GH121)^0.2-1)*100&gt;99,((GR121/GH121)^0.2-1)*100&lt;-50),"NM",(((GR121/GH121)^0.2-1)*100))))</f>
        <v>1.0538124545877992E-2</v>
      </c>
      <c r="GU121" s="562"/>
      <c r="GV121" s="562"/>
      <c r="GW121"/>
      <c r="GX121"/>
      <c r="GY121"/>
      <c r="GZ121"/>
      <c r="HA121"/>
      <c r="HB121"/>
      <c r="HC121" s="562"/>
      <c r="HD121" s="562"/>
      <c r="HE121" s="562"/>
      <c r="HF121" s="562"/>
      <c r="HG121" s="562"/>
      <c r="HH121" s="562"/>
      <c r="HI121" s="562"/>
      <c r="HJ121" s="562"/>
      <c r="HK121" s="562"/>
      <c r="HL121" s="562"/>
      <c r="HM121" s="562"/>
      <c r="HN121" s="562"/>
      <c r="HO121" s="562"/>
      <c r="HP121" s="562"/>
      <c r="HQ121" s="562"/>
      <c r="HR121" s="562"/>
      <c r="HS121" s="562"/>
      <c r="HT121" s="562"/>
      <c r="HU121" s="562"/>
      <c r="HV121" s="562"/>
      <c r="HW121" s="562"/>
      <c r="HX121" s="562"/>
      <c r="HY121" s="562"/>
      <c r="HZ121" s="562"/>
      <c r="IA121" s="562"/>
      <c r="IB121" s="562"/>
      <c r="IC121" s="562"/>
      <c r="ID121" s="562"/>
      <c r="IE121" s="562"/>
      <c r="IF121" s="562"/>
      <c r="IG121" s="562"/>
      <c r="IH121" s="562"/>
      <c r="II121" s="562"/>
      <c r="IJ121" s="562"/>
      <c r="IK121" s="562"/>
      <c r="IL121" s="562"/>
      <c r="IM121" s="562"/>
      <c r="IN121" s="562"/>
      <c r="IO121" s="562"/>
      <c r="IP121" s="562"/>
      <c r="IQ121" s="562"/>
      <c r="IR121" s="562"/>
      <c r="IS121" s="562"/>
      <c r="IT121" s="562"/>
      <c r="IU121" s="562"/>
      <c r="IV121" s="562"/>
      <c r="IW121" s="562"/>
      <c r="IX121" s="562"/>
      <c r="IY121" s="562"/>
      <c r="IZ121" s="562"/>
      <c r="JA121" s="562"/>
      <c r="JB121" s="562"/>
      <c r="JC121" s="562"/>
      <c r="JD121" s="562"/>
      <c r="JE121" s="562"/>
      <c r="JF121" s="562"/>
      <c r="JG121" s="562"/>
      <c r="JH121" s="562"/>
      <c r="JI121" s="562"/>
      <c r="JJ121" s="562"/>
      <c r="JK121" s="562"/>
      <c r="JL121" s="562"/>
      <c r="JM121" s="562"/>
      <c r="JN121" s="562"/>
      <c r="JO121" s="562"/>
      <c r="JP121" s="562"/>
      <c r="JQ121" s="562"/>
      <c r="JR121" s="562"/>
      <c r="JS121" s="562"/>
      <c r="JT121" s="562"/>
      <c r="JU121" s="562"/>
      <c r="JV121" s="562"/>
      <c r="JW121" s="562"/>
      <c r="JX121" s="562"/>
      <c r="JY121" s="562"/>
      <c r="JZ121" s="562"/>
    </row>
    <row r="122" spans="1:286" ht="12.75" customHeight="1" x14ac:dyDescent="0.2">
      <c r="A122" s="1"/>
      <c r="B122" s="2" t="s">
        <v>44</v>
      </c>
      <c r="C122" s="3"/>
      <c r="D122" s="3"/>
      <c r="E122" s="189"/>
      <c r="F122" s="23"/>
      <c r="G122" s="189"/>
      <c r="H122" s="23"/>
      <c r="I122" s="189"/>
      <c r="J122" s="23"/>
      <c r="K122" s="189"/>
      <c r="L122" s="79"/>
      <c r="M122" s="189"/>
      <c r="N122" s="79"/>
      <c r="O122" s="189"/>
      <c r="P122" s="79"/>
      <c r="Q122" s="189"/>
      <c r="R122" s="79"/>
      <c r="S122" s="189"/>
      <c r="T122" s="79"/>
      <c r="U122" s="189"/>
      <c r="V122" s="79"/>
      <c r="W122" s="189"/>
      <c r="X122" s="79"/>
      <c r="Y122" s="189"/>
      <c r="Z122" s="79"/>
      <c r="AA122" s="190"/>
      <c r="AB122" s="79"/>
      <c r="AC122" s="189">
        <f>AC116/AC107*100</f>
        <v>22.237910342393224</v>
      </c>
      <c r="AD122" s="79" t="str">
        <f>IF(ISERROR((AC122/U122-1)*100),"NA",IF(((AC122/U122-1)*100)&gt;100,"NM",IF(((AC122/U122-1)*100)&lt;-50,"NM",(AC122/U122-1)*100)))</f>
        <v>NA</v>
      </c>
      <c r="AE122" s="189">
        <f>AE116/AE107*100</f>
        <v>21.714687280393534</v>
      </c>
      <c r="AF122" s="79" t="str">
        <f>IF(ISERROR((AE122/W122-1)*100),"NA",IF(((AE122/W122-1)*100)&gt;100,"NM",IF(((AE122/W122-1)*100)&lt;-50,"NM",(AE122/W122-1)*100)))</f>
        <v>NA</v>
      </c>
      <c r="AG122" s="189">
        <f>AG116/AG107*100</f>
        <v>20.075368276807129</v>
      </c>
      <c r="AH122" s="79" t="str">
        <f>IF(ISERROR((AG122/Y122-1)*100),"NA",IF(((AG122/Y122-1)*100)&gt;100,"NM",IF(((AG122/Y122-1)*100)&lt;-50,"NM",(AG122/Y122-1)*100)))</f>
        <v>NA</v>
      </c>
      <c r="AI122" s="93">
        <f>AI116/AI107*100</f>
        <v>20.054477357848135</v>
      </c>
      <c r="AJ122" s="79" t="str">
        <f>IF(ISERROR((AI122/AA122-1)*100),"NA",IF(((AI122/AA122-1)*100)&gt;100,"NM",IF(((AI122/AA122-1)*100)&lt;-50,"NM",(AI122/AA122-1)*100)))</f>
        <v>NA</v>
      </c>
      <c r="AK122" s="189">
        <f>AK116/AK107*100</f>
        <v>21.111476487997368</v>
      </c>
      <c r="AL122" s="79">
        <f>IF(ISERROR((AK122/AC122-1)*100),"NA",IF(((AK122/AC122-1)*100)&gt;100,"NM",IF(((AK122/AC122-1)*100)&lt;-50,"NM",(AK122/AC122-1)*100)))</f>
        <v>-5.0653763642912075</v>
      </c>
      <c r="AM122" s="189">
        <f>AM116/AM107*100</f>
        <v>21.262135922330096</v>
      </c>
      <c r="AN122" s="79">
        <f>IF(ISERROR((AM122/AE122-1)*100),"NA",IF(((AM122/AE122-1)*100)&gt;100,"NM",IF(((AM122/AE122-1)*100)&lt;-50,"NM",(AM122/AE122-1)*100)))</f>
        <v>-2.0840795550947311</v>
      </c>
      <c r="AO122" s="189">
        <f>AO116/AO107*100</f>
        <v>20.731707317073166</v>
      </c>
      <c r="AP122" s="79">
        <f>IF(ISERROR((AO122/AG122-1)*100),"NA",IF(((AO122/AG122-1)*100)&gt;100,"NM",IF(((AO122/AG122-1)*100)&lt;-50,"NM",(AO122/AG122-1)*100)))</f>
        <v>3.2693748439190484</v>
      </c>
      <c r="AQ122" s="189">
        <f>AQ116/AQ107*100</f>
        <v>21.040868454661556</v>
      </c>
      <c r="AR122" s="79">
        <f>IF(ISERROR((AQ122/AI122-1)*100),"NA",IF(((AQ122/AI122-1)*100)&gt;100,"NM",IF(((AQ122/AI122-1)*100)&lt;-50,"NM",(AQ122/AI122-1)*100)))</f>
        <v>4.9185579819032599</v>
      </c>
      <c r="AS122" s="189">
        <f>AS116/AS107*100</f>
        <v>18.726937269372694</v>
      </c>
      <c r="AT122" s="81">
        <f>IF(ISERROR((AS122/AK122-1)*100),"NA",IF(((AS122/AK122-1)*100)&gt;100,"NM",IF(((AS122/AK122-1)*100)&lt;-50,"NM",(AS122/AK122-1)*100)))</f>
        <v>-11.294990286351458</v>
      </c>
      <c r="AU122" s="189">
        <f>AU116/AU107*100</f>
        <v>19.743276283618581</v>
      </c>
      <c r="AV122" s="81">
        <f>IF(ISERROR((AU122/AM122-1)*100),"NA",IF(((AU122/AM122-1)*100)&gt;100,"NM",IF(((AU122/AM122-1)*100)&lt;-50,"NM",(AU122/AM122-1)*100)))</f>
        <v>-7.1434951044422874</v>
      </c>
      <c r="AW122" s="189">
        <f>AW116/AW107*100</f>
        <v>18.386999699067108</v>
      </c>
      <c r="AX122" s="81">
        <f>IF(ISERROR((AW122/AO122-1)*100),"NA",IF(((AW122/AO122-1)*100)&gt;100,"NM",IF(((AW122/AO122-1)*100)&lt;-50,"NM",(AW122/AO122-1)*100)))</f>
        <v>-11.309766157440993</v>
      </c>
      <c r="AY122" s="189">
        <f>AY116/AY107*100</f>
        <v>19.811033221578786</v>
      </c>
      <c r="AZ122" s="81">
        <f>IF(ISERROR((AY122/AQ122-1)*100),"NA",IF(((AY122/AQ122-1)*100)&gt;100,"NM",IF(((AY122/AQ122-1)*100)&lt;-50,"NM",(AY122/AQ122-1)*100)))</f>
        <v>-5.8449832321930799</v>
      </c>
      <c r="BA122" s="189">
        <f>BA116/BA107*100</f>
        <v>18.823185011709601</v>
      </c>
      <c r="BB122" s="81">
        <f>IF(ISERROR((BA122/AS122-1)*100),"NA",IF(((BA122/AS122-1)*100)&gt;100,"NM",IF(((BA122/AS122-1)*100)&lt;-50,"NM",(BA122/AS122-1)*100)))</f>
        <v>0.51395346154288202</v>
      </c>
      <c r="BC122" s="189">
        <f>BC116/BC107*100</f>
        <v>18.519585253456221</v>
      </c>
      <c r="BD122" s="81">
        <f>IF(ISERROR((BC122/AU122-1)*100),"NA",IF(((BC122/AU122-1)*100)&gt;100,"NM",IF(((BC122/AU122-1)*100)&lt;-50,"NM",(BC122/AU122-1)*100)))</f>
        <v>-6.1980140103579657</v>
      </c>
      <c r="BE122" s="189">
        <f>BE116/BE107*100</f>
        <v>18.558456299659483</v>
      </c>
      <c r="BF122" s="81">
        <f>IF(ISERROR((BE122/AW122-1)*100),"NA",IF(((BE122/AW122-1)*100)&gt;100,"NM",IF(((BE122/AW122-1)*100)&lt;-50,"NM",(BE122/AW122-1)*100)))</f>
        <v>0.93248818947375689</v>
      </c>
      <c r="BG122" s="189">
        <f>BG116/BG107*100</f>
        <v>20.589068252619654</v>
      </c>
      <c r="BH122" s="81">
        <f>IF(ISERROR((BG122/AY122-1)*100),"NA",IF(((BG122/AY122-1)*100)&gt;100,"NM",IF(((BG122/AY122-1)*100)&lt;-50,"NM",(BG122/AY122-1)*100)))</f>
        <v>3.9272814413001456</v>
      </c>
      <c r="BI122" s="189">
        <f>BI116/BI107*100</f>
        <v>18.912337662337663</v>
      </c>
      <c r="BJ122" s="81">
        <f>IF(ISERROR((BI122/BA122-1)*100),"NA",IF(((BI122/BA122-1)*100)&gt;100,"NM",IF(((BI122/BA122-1)*100)&lt;-50,"NM",(BI122/BA122-1)*100)))</f>
        <v>0.47363212215467687</v>
      </c>
      <c r="BK122" s="189">
        <f>BK116/BK107*100</f>
        <v>19.130668097665684</v>
      </c>
      <c r="BL122" s="81">
        <f>IF(ISERROR((BK122/BC122-1)*100),"NA",IF(((BK122/BC122-1)*100)&gt;100,"NM",IF(((BK122/BC122-1)*100)&lt;-50,"NM",(BK122/BC122-1)*100)))</f>
        <v>3.2996572863067675</v>
      </c>
      <c r="BM122" s="189">
        <f>BM116/BM107*100</f>
        <v>18.942614240170034</v>
      </c>
      <c r="BN122" s="81">
        <f>IF(ISERROR((BM122/BE122-1)*100),"NA",IF(((BM122/BE122-1)*100)&gt;100,"NM",IF(((BM122/BE122-1)*100)&lt;-50,"NM",(BM122/BE122-1)*100)))</f>
        <v>2.069988658041555</v>
      </c>
      <c r="BO122" s="189">
        <f>BO116/BO107*100</f>
        <v>18.722061530370759</v>
      </c>
      <c r="BP122" s="81">
        <f>IF(ISERROR((BO122/BG122-1)*100),"NA",IF(((BO122/BG122-1)*100)&gt;100,"NM",IF(((BO122/BG122-1)*100)&lt;-50,"NM",(BO122/BG122-1)*100)))</f>
        <v>-9.0679514941689803</v>
      </c>
      <c r="BQ122" s="189">
        <f>BQ116/BQ107*100</f>
        <v>19.179826795720835</v>
      </c>
      <c r="BR122" s="81">
        <f>IF(ISERROR((BQ122/BI122-1)*100),"NA",IF(((BQ122/BI122-1)*100)&gt;100,"NM",IF(((BQ122/BI122-1)*100)&lt;-50,"NM",(BQ122/BI122-1)*100)))</f>
        <v>1.4143631430389103</v>
      </c>
      <c r="BS122" s="189">
        <f>BS116/BS107*100</f>
        <v>18.41903300076746</v>
      </c>
      <c r="BT122" s="81">
        <f>IF(ISERROR((BS122/BK122-1)*100),"NA",IF(((BS122/BK122-1)*100)&gt;100,"NM",IF(((BS122/BK122-1)*100)&lt;-50,"NM",(BS122/BK122-1)*100)))</f>
        <v>-3.7198653662548153</v>
      </c>
      <c r="BU122" s="189">
        <f>BU116/BU107*100</f>
        <v>18.31425598335068</v>
      </c>
      <c r="BV122" s="81">
        <f>IF(ISERROR((BU122/BM122-1)*100),"NA",IF(((BU122/BM122-1)*100)&gt;100,"NM",IF(((BU122/BM122-1)*100)&lt;-50,"NM",(BU122/BM122-1)*100)))</f>
        <v>-3.3171675717644455</v>
      </c>
      <c r="BW122" s="189">
        <f>BW116/BW107*100</f>
        <v>19.117262992948554</v>
      </c>
      <c r="BX122" s="81">
        <f>IF(ISERROR((BW122/BO122-1)*100),"NA",IF(((BW122/BO122-1)*100)&gt;100,"NM",IF(((BW122/BO122-1)*100)&lt;-50,"NM",(BW122/BO122-1)*100)))</f>
        <v>2.1108864637406688</v>
      </c>
      <c r="BY122" s="189">
        <f>BY116/BY107*100</f>
        <v>24.779116465863453</v>
      </c>
      <c r="BZ122" s="81">
        <f>IF(ISERROR((BY122/BQ122-1)*100),"NA",IF(((BY122/BQ122-1)*100)&gt;100,"NM",IF(((BY122/BQ122-1)*100)&lt;-50,"NM",(BY122/BQ122-1)*100)))</f>
        <v>29.193640431580235</v>
      </c>
      <c r="CA122" s="189">
        <f>CA116/CA107*100</f>
        <v>22.968624296057925</v>
      </c>
      <c r="CB122" s="81">
        <f>IF(ISERROR((CA122/BS122-1)*100),"NA",IF(((CA122/BS122-1)*100)&gt;100,"NM",IF(((CA122/BS122-1)*100)&lt;-50,"NM",(CA122/BS122-1)*100)))</f>
        <v>24.700489407347813</v>
      </c>
      <c r="CC122" s="189">
        <f>CC116/CC107*100</f>
        <v>24.434571890145396</v>
      </c>
      <c r="CD122" s="81">
        <f>IF(ISERROR((CC122/BU122-1)*100),"NA",IF(((CC122/BU122-1)*100)&gt;100,"NM",IF(((CC122/BU122-1)*100)&lt;-50,"NM",(CC122/BU122-1)*100)))</f>
        <v>33.418315831987044</v>
      </c>
      <c r="CE122" s="189">
        <f>CE116/CE107*100</f>
        <v>24.722792607802877</v>
      </c>
      <c r="CF122" s="81">
        <f>IF(ISERROR((CE122/BW122-1)*100),"NA",IF(((CE122/BW122-1)*100)&gt;100,"NM",IF(((CE122/BW122-1)*100)&lt;-50,"NM",(CE122/BW122-1)*100)))</f>
        <v>29.321820895187422</v>
      </c>
      <c r="CG122" s="189">
        <f>CG116/CG107*100</f>
        <v>24.587014982712255</v>
      </c>
      <c r="CH122" s="81">
        <f>IF(ISERROR((CG122/BY122-1)*100),"NA",IF(((CG122/BY122-1)*100)&gt;100,"NM",IF(((CG122/BY122-1)*100)&lt;-50,"NM",(CG122/BY122-1)*100)))</f>
        <v>-0.77525558030224762</v>
      </c>
      <c r="CI122" s="189">
        <f>CI116/CI107*100</f>
        <v>23.765786452353616</v>
      </c>
      <c r="CJ122" s="81">
        <f>IF(ISERROR((CI122/CA122-1)*100),"NA",IF(((CI122/CA122-1)*100)&gt;100,"NM",IF(((CI122/CA122-1)*100)&lt;-50,"NM",(CI122/CA122-1)*100)))</f>
        <v>3.4706569536796739</v>
      </c>
      <c r="CK122" s="189">
        <f>CK116/CK107*100</f>
        <v>23.020753266717911</v>
      </c>
      <c r="CL122" s="81">
        <f>IF(ISERROR((CK122/CC122-1)*100),"NA",IF(((CK122/CC122-1)*100)&gt;100,"NM",IF(((CK122/CC122-1)*100)&lt;-50,"NM",(CK122/CC122-1)*100)))</f>
        <v>-5.7861403497627357</v>
      </c>
      <c r="CM122" s="189">
        <f>CM116/CM107*100</f>
        <v>24.153670597185243</v>
      </c>
      <c r="CN122" s="81">
        <f>IF(ISERROR((CM122/CE122-1)*100),"NA",IF(((CM122/CE122-1)*100)&gt;100,"NM",IF(((CM122/CE122-1)*100)&lt;-50,"NM",(CM122/CE122-1)*100)))</f>
        <v>-2.3020134482623522</v>
      </c>
      <c r="CO122" s="189">
        <f>CO116/CO107*100</f>
        <v>23.365836041892383</v>
      </c>
      <c r="CP122" s="81">
        <f>IF(ISERROR((CO122/CG122-1)*100),"NA",IF(((CO122/CG122-1)*100)&gt;100,"NM",IF(((CO122/CG122-1)*100)&lt;-50,"NM",(CO122/CG122-1)*100)))</f>
        <v>-4.9667637233658191</v>
      </c>
      <c r="CQ122" s="189">
        <f>CQ116/CQ107*100</f>
        <v>23.252444766388987</v>
      </c>
      <c r="CR122" s="81">
        <f>IF(ISERROR((CQ122/CI122-1)*100),"NA",IF(((CQ122/CI122-1)*100)&gt;100,"NM",IF(((CQ122/CI122-1)*100)&lt;-50,"NM",(CQ122/CI122-1)*100)))</f>
        <v>-2.1600029394936882</v>
      </c>
      <c r="CS122" s="189">
        <f>CS116/CS107*100</f>
        <v>23.525100769512644</v>
      </c>
      <c r="CT122" s="81">
        <f>IF(ISERROR((CS122/CK122-1)*100),"NA",IF(((CS122/CK122-1)*100)&gt;100,"NM",IF(((CS122/CK122-1)*100)&lt;-50,"NM",(CS122/CK122-1)*100)))</f>
        <v>2.1908384011216864</v>
      </c>
      <c r="CU122" s="189">
        <f>CU116/CU107*100</f>
        <v>23.982715160244865</v>
      </c>
      <c r="CV122" s="81">
        <f>IF(ISERROR((CU122/CM122-1)*100),"NA",IF(((CU122/CM122-1)*100)&gt;100,"NM",IF(((CU122/CM122-1)*100)&lt;-50,"NM",(CU122/CM122-1)*100)))</f>
        <v>-0.70778243104921978</v>
      </c>
      <c r="CW122" s="189">
        <f>CW116/CW107*100</f>
        <v>23.541887592788971</v>
      </c>
      <c r="CX122" s="81">
        <f>IF(ISERROR((CW122/CO122-1)*100),"NA",IF(((CW122/CO122-1)*100)&gt;100,"NM",IF(((CW122/CO122-1)*100)&lt;-50,"NM",(CW122/CO122-1)*100)))</f>
        <v>0.75345710113239317</v>
      </c>
      <c r="CY122" s="189">
        <f>CY116/CY107*100</f>
        <v>24.25127830533236</v>
      </c>
      <c r="CZ122" s="81">
        <f>IF(ISERROR((CY122/CQ122-1)*100),"NA",IF(((CY122/CQ122-1)*100)&gt;100,"NM",IF(((CY122/CQ122-1)*100)&lt;-50,"NM",(CY122/CQ122-1)*100)))</f>
        <v>4.2956065436489999</v>
      </c>
      <c r="DA122" s="189">
        <f>DA116/DA107*100</f>
        <v>24.380466472303212</v>
      </c>
      <c r="DB122" s="81">
        <f>IF(ISERROR((DA122/CS122-1)*100),"NA",IF(((DA122/CS122-1)*100)&gt;100,"NM",IF(((DA122/CS122-1)*100)&lt;-50,"NM",(DA122/CS122-1)*100)))</f>
        <v>3.6359704095256351</v>
      </c>
      <c r="DC122" s="189">
        <f>DC116/DC107*100</f>
        <v>25.379061371841154</v>
      </c>
      <c r="DD122" s="81">
        <f>IF(ISERROR((DC122/CU122-1)*100),"NA",IF(((DC122/CU122-1)*100)&gt;100,"NM",IF(((DC122/CU122-1)*100)&lt;-50,"NM",(DC122/CU122-1)*100)))</f>
        <v>5.8223024468512019</v>
      </c>
      <c r="DE122" s="189">
        <f>DE116/DE107*100</f>
        <v>24.03846153846154</v>
      </c>
      <c r="DF122" s="81">
        <f>IF(ISERROR((DE122/CW122-1)*100),"NA",IF(((DE122/CW122-1)*100)&gt;100,"NM",IF(((DE122/CW122-1)*100)&lt;-50,"NM",(DE122/CW122-1)*100)))</f>
        <v>2.1093208593208734</v>
      </c>
      <c r="DG122" s="189">
        <f>DG116/DG107*100</f>
        <v>24.429854872149278</v>
      </c>
      <c r="DH122" s="81">
        <f>IF(ISERROR((DG122/CY122-1)*100),"NA",IF(((DG122/CY122-1)*100)&gt;100,"NM",IF(((DG122/CY122-1)*100)&lt;-50,"NM",(DG122/CY122-1)*100)))</f>
        <v>0.73635939750711366</v>
      </c>
      <c r="DI122" s="189">
        <f>DI116/DI107*100</f>
        <v>24.930651872399448</v>
      </c>
      <c r="DJ122" s="81">
        <f>IF(ISERROR((DI122/DA122-1)*100),"NA",IF(((DI122/DA122-1)*100)&gt;100,"NM",IF(((DI122/DA122-1)*100)&lt;-50,"NM",(DI122/DA122-1)*100)))</f>
        <v>2.2566647800658757</v>
      </c>
      <c r="DK122" s="189">
        <f>DK116/DK107*100</f>
        <v>26.057064283258853</v>
      </c>
      <c r="DL122" s="81">
        <f>IF(ISERROR((DK122/DC122-1)*100),"NA",IF(((DK122/DC122-1)*100)&gt;100,"NM",IF(((DK122/DC122-1)*100)&lt;-50,"NM",(DK122/DC122-1)*100)))</f>
        <v>2.6715050705932164</v>
      </c>
      <c r="DM122" s="903">
        <f>DM116/DM107*100</f>
        <v>24.870801033591729</v>
      </c>
      <c r="DN122" s="855">
        <f>IF(ISERROR((DM122/DE122-1)*100),"NA",IF(((DM122/DE122-1)*100)&gt;100,"NM",IF(((DM122/DE122-1)*100)&lt;-50,"NM",(DM122/DE122-1)*100)))</f>
        <v>3.4625322997415831</v>
      </c>
      <c r="DO122" s="903">
        <f>DO116/DO107*100</f>
        <v>24.436458673636064</v>
      </c>
      <c r="DP122" s="855">
        <f>IF(ISERROR((DO122/DG122-1)*100),"NA",IF(((DO122/DG122-1)*100)&gt;100,"NM",IF(((DO122/DG122-1)*100)&lt;-50,"NM",(DO122/DG122-1)*100)))</f>
        <v>2.7031685293854579E-2</v>
      </c>
      <c r="DQ122" s="189">
        <f>DQ116/DQ107*100</f>
        <v>24.533856722276742</v>
      </c>
      <c r="DR122" s="81">
        <f>IF(ISERROR((DQ122/DI122-1)*100),"NA",IF(((DQ122/DI122-1)*100)&gt;100,"NM",IF(((DQ122/DI122-1)*100)&lt;-50,"NM",(DQ122/DI122-1)*100)))</f>
        <v>-1.5915955673906579</v>
      </c>
      <c r="DS122" s="189">
        <f>DS116/DS107*100</f>
        <v>24.625894599869881</v>
      </c>
      <c r="DT122" s="81">
        <f>IF(ISERROR((DS122/DK122-1)*100),"NA",IF(((DS122/DK122-1)*100)&gt;100,"NM",IF(((DS122/DK122-1)*100)&lt;-50,"NM",(DS122/DK122-1)*100)))</f>
        <v>-5.4924440751695558</v>
      </c>
      <c r="DU122" s="189">
        <f>DU116/DU107*100</f>
        <v>23.693060226230507</v>
      </c>
      <c r="DV122" s="81">
        <f>IF(ISERROR((DU122/DM122-1)*100),"NA",IF(((DU122/DM122-1)*100)&gt;100,"NM",IF(((DU122/DM122-1)*100)&lt;-50,"NM",(DU122/DM122-1)*100)))</f>
        <v>-4.7354357657017454</v>
      </c>
      <c r="DW122" s="189">
        <f>DW116/DW107*100</f>
        <v>23.048668503213957</v>
      </c>
      <c r="DX122" s="81">
        <f>IF(ISERROR((DW122/DO122-1)*100),"NA",IF(((DW122/DO122-1)*100)&gt;100,"NM",IF(((DW122/DO122-1)*100)&lt;-50,"NM",(DW122/DO122-1)*100)))</f>
        <v>-5.6791787589065112</v>
      </c>
      <c r="DY122" s="189">
        <f>DY116/DY107*100</f>
        <v>23.635833090166329</v>
      </c>
      <c r="DZ122" s="81">
        <f>IF(ISERROR((DY122/DQ122-1)*100),"NA",IF(((DY122/DQ122-1)*100)&gt;100,"NM",IF(((DY122/DQ122-1)*100)&lt;-50,"NM",(DY122/DQ122-1)*100)))</f>
        <v>-3.6603443244820455</v>
      </c>
      <c r="EA122" s="189">
        <f>EA116/EA107*100</f>
        <v>24.458113649677799</v>
      </c>
      <c r="EB122" s="81">
        <f>IF(ISERROR((EA122/DS122-1)*100),"NA",IF(((EA122/DS122-1)*100)&gt;100,"NM",IF(((EA122/DS122-1)*100)&lt;-50,"NM",(EA122/DS122-1)*100)))</f>
        <v>-0.68131920857392725</v>
      </c>
      <c r="EC122" s="189">
        <f>EC116/EC107*100</f>
        <v>21.941160296948034</v>
      </c>
      <c r="ED122" s="81">
        <f t="shared" si="440"/>
        <v>-7.3941479595909243</v>
      </c>
      <c r="EE122" s="189">
        <f>EE116/EE107*100</f>
        <v>22.56992522846857</v>
      </c>
      <c r="EF122" s="81">
        <f t="shared" si="441"/>
        <v>-2.0770973155287864</v>
      </c>
      <c r="EG122" s="189">
        <f>EG116/EG107*100</f>
        <v>22.775601566871856</v>
      </c>
      <c r="EH122" s="81">
        <f t="shared" si="442"/>
        <v>-3.6395227534940289</v>
      </c>
      <c r="EI122" s="189">
        <f>EI116/EI107*100</f>
        <v>23.984309330344633</v>
      </c>
      <c r="EJ122" s="81">
        <f t="shared" si="443"/>
        <v>-1.9372071212017117</v>
      </c>
      <c r="EK122" s="205">
        <v>23</v>
      </c>
      <c r="EL122" s="81">
        <f t="shared" si="444"/>
        <v>4.8258145363408556</v>
      </c>
      <c r="EM122" s="205">
        <f t="shared" ref="EM122" si="448">EK122</f>
        <v>23</v>
      </c>
      <c r="EN122" s="81">
        <f t="shared" si="445"/>
        <v>1.9055214723926239</v>
      </c>
      <c r="EO122" s="205">
        <f t="shared" ref="EO122" si="449">EM122</f>
        <v>23</v>
      </c>
      <c r="EP122" s="81">
        <f t="shared" si="446"/>
        <v>0.98525798525797015</v>
      </c>
      <c r="EQ122" s="205">
        <f>EO122</f>
        <v>23</v>
      </c>
      <c r="ER122" s="81">
        <f t="shared" si="447"/>
        <v>-4.1039719626168143</v>
      </c>
      <c r="ES122" s="35"/>
      <c r="ET122" s="465"/>
      <c r="EU122" s="35"/>
      <c r="EV122" s="93"/>
      <c r="EW122" s="3"/>
      <c r="EX122" s="93"/>
      <c r="EY122" s="3"/>
      <c r="EZ122" s="192"/>
      <c r="FA122" s="3"/>
      <c r="FB122" s="23"/>
      <c r="FC122" s="79"/>
      <c r="FD122" s="189">
        <f>FD116/FD107*100</f>
        <v>24.07489474850432</v>
      </c>
      <c r="FE122" s="79" t="str">
        <f>IF(ISERROR((FD122/FB122-1)*100),"NA",IF(((FD122/FB122-1)*100)&gt;100,"NM",IF(((FD122/FB122-1)*100)&lt;-50,"NM",(FD122/FB122-1)*100)))</f>
        <v>NA</v>
      </c>
      <c r="FF122" s="189">
        <f>FF116/FF107*100</f>
        <v>22.044637790807641</v>
      </c>
      <c r="FG122" s="79">
        <f>IF(ISERROR((FF122/FD122-1)*100),"NA",IF(((FF122/FD122-1)*100)&gt;100,"NM",IF(((FF122/FD122-1)*100)&lt;-50,"NM",(FF122/FD122-1)*100)))</f>
        <v>-8.4330875748597443</v>
      </c>
      <c r="FH122" s="189">
        <f>FH116/FH107*100</f>
        <v>21.005635023840483</v>
      </c>
      <c r="FI122" s="79">
        <f>IF(ISERROR((FH122/FF122-1)*100),"NA",IF(((FH122/FF122-1)*100)&gt;100,"NM",IF(((FH122/FF122-1)*100)&lt;-50,"NM",(FH122/FF122-1)*100)))</f>
        <v>-4.7131768588205674</v>
      </c>
      <c r="FJ122" s="189">
        <f>FJ116/FJ107*100</f>
        <v>21.035624848533804</v>
      </c>
      <c r="FK122" s="79">
        <f>IF(ISERROR((FJ122/FH122-1)*100),"NA",IF(((FJ122/FH122-1)*100)&gt;100,"NM",IF(((FJ122/FH122-1)*100)&lt;-50,"NM",(FJ122/FH122-1)*100)))</f>
        <v>0.14277037880208177</v>
      </c>
      <c r="FL122" s="189">
        <f>FL116/FL107*100</f>
        <v>19.165143205362583</v>
      </c>
      <c r="FM122" s="79">
        <f>IF(ISERROR((FL122/FJ122-1)*100),"NA",IF(((FL122/FJ122-1)*100)&gt;100,"NM",IF(((FL122/FJ122-1)*100)&lt;-50,"NM",(FL122/FJ122-1)*100)))</f>
        <v>-8.8919709142920684</v>
      </c>
      <c r="FN122" s="189">
        <f>FN116/FN107*100</f>
        <v>19.127877788137422</v>
      </c>
      <c r="FO122" s="79">
        <f>IF(ISERROR((FN122/FL122-1)*100),"NA",IF(((FN122/FL122-1)*100)&gt;100,"NM",IF(((FN122/FL122-1)*100)&lt;-50,"NM",(FN122/FL122-1)*100)))</f>
        <v>-0.19444371913033276</v>
      </c>
      <c r="FP122" s="189">
        <f>FP116/FP107*100</f>
        <v>18.925950633755839</v>
      </c>
      <c r="FQ122" s="79">
        <f>IF(ISERROR((FP122/FN122-1)*100),"NA",IF(((FP122/FN122-1)*100)&gt;100,"NM",IF(((FP122/FN122-1)*100)&lt;-50,"NM",(FP122/FN122-1)*100)))</f>
        <v>-1.0556694089022933</v>
      </c>
      <c r="FR122" s="189">
        <f>FR116/FR107*100</f>
        <v>23.961928668549316</v>
      </c>
      <c r="FS122" s="79">
        <f>IF(ISERROR((FR122/FP122-1)*100),"NA",IF(((FR122/FP122-1)*100)&gt;100,"NM",IF(((FR122/FP122-1)*100)&lt;-50,"NM",(FR122/FP122-1)*100)))</f>
        <v>26.608851160223558</v>
      </c>
      <c r="FT122" s="189">
        <f>FT116/FT107*100</f>
        <v>24.223728127844645</v>
      </c>
      <c r="FU122" s="79">
        <f>IF(ISERROR((FT122/FR122-1)*100),"NA",IF(((FT122/FR122-1)*100)&gt;100,"NM",IF(((FT122/FR122-1)*100)&lt;-50,"NM",(FT122/FR122-1)*100)))</f>
        <v>1.0925642210050768</v>
      </c>
      <c r="FV122" s="189">
        <f>FV116/FV107*100</f>
        <v>23.882454293098501</v>
      </c>
      <c r="FW122" s="79">
        <f>IF(ISERROR((FV122/FT122-1)*100),"NA",IF(((FV122/FT122-1)*100)&gt;100,"NM",IF(((FV122/FT122-1)*100)&lt;-50,"NM",(FV122/FT122-1)*100)))</f>
        <v>-1.4088410873215551</v>
      </c>
      <c r="FX122" s="189">
        <f>FX116/FX107*100</f>
        <v>23.532076839434584</v>
      </c>
      <c r="FY122" s="79">
        <f>IF(ISERROR((FX122/FV122-1)*100),"NA",IF(((FX122/FV122-1)*100)&gt;100,"NM",IF(((FX122/FV122-1)*100)&lt;-50,"NM",(FX122/FV122-1)*100)))</f>
        <v>-1.4670914863434636</v>
      </c>
      <c r="FZ122" s="189">
        <f>FZ116/FZ107*100</f>
        <v>24.384080859128236</v>
      </c>
      <c r="GA122" s="79">
        <f>IF(ISERROR((FZ122/FX122-1)*100),"NA",IF(((FZ122/FX122-1)*100)&gt;100,"NM",IF(((FZ122/FX122-1)*100)&lt;-50,"NM",(FZ122/FX122-1)*100)))</f>
        <v>3.6206069931995044</v>
      </c>
      <c r="GB122" s="189">
        <f>GB116/GB107*100</f>
        <v>24.864212432106218</v>
      </c>
      <c r="GC122" s="79">
        <f>IF(ISERROR((GB122/FZ122-1)*100),"NA",IF(((GB122/FZ122-1)*100)&gt;100,"NM",IF(((GB122/FZ122-1)*100)&lt;-50,"NM",(GB122/FZ122-1)*100)))</f>
        <v>1.9690369948812014</v>
      </c>
      <c r="GD122" s="189">
        <f>GD116/GD107*100</f>
        <v>24.617513020833329</v>
      </c>
      <c r="GE122" s="79">
        <f>IF(ISERROR((GD122/GB122-1)*100),"NA",IF(((GD122/GB122-1)*100)&gt;100,"NM",IF(((GD122/GB122-1)*100)&lt;-50,"NM",(GD122/GB122-1)*100)))</f>
        <v>-0.99218670990091073</v>
      </c>
      <c r="GF122" s="189">
        <f>GF116/GF107*100</f>
        <v>23.716271769190524</v>
      </c>
      <c r="GG122" s="79">
        <f>IF(ISERROR((GF122/GD122-1)*100),"NA",IF(((GF122/GD122-1)*100)&gt;100,"NM",IF(((GF122/GD122-1)*100)&lt;-50,"NM",(GF122/GD122-1)*100)))</f>
        <v>-3.6609760331196006</v>
      </c>
      <c r="GH122" s="189">
        <f>GH116/GH107*100</f>
        <v>22.812869154332571</v>
      </c>
      <c r="GI122" s="79">
        <f>IF(ISERROR((GH122/GF122-1)*100),"NA",IF(((GH122/GF122-1)*100)&gt;100,"NM",IF(((GH122/GF122-1)*100)&lt;-50,"NM",(GH122/GF122-1)*100)))</f>
        <v>-3.8092100801085826</v>
      </c>
      <c r="GJ122" s="189">
        <f>GJ116/GJ107*100</f>
        <v>23</v>
      </c>
      <c r="GK122" s="79">
        <f>IF(ISERROR((GJ122/GH122-1)*100),"NA",IF(((GJ122/GH122-1)*100)&gt;100,"NM",IF(((GJ122/GH122-1)*100)&lt;-50,"NM",(GJ122/GH122-1)*100)))</f>
        <v>0.82028632348460917</v>
      </c>
      <c r="GL122" s="182">
        <f>GJ122</f>
        <v>23</v>
      </c>
      <c r="GM122" s="79">
        <f>IF(ISERROR((GL122/GJ122-1)*100),"NA",IF(((GL122/GJ122-1)*100)&gt;100,"NM",IF(((GL122/GJ122-1)*100)&lt;-50,"NM",(GL122/GJ122-1)*100)))</f>
        <v>0</v>
      </c>
      <c r="GN122" s="182">
        <f>GL122</f>
        <v>23</v>
      </c>
      <c r="GO122" s="79">
        <f>IF(ISERROR((GN122/GL122-1)*100),"NA",IF(((GN122/GL122-1)*100)&gt;100,"NM",IF(((GN122/GL122-1)*100)&lt;-50,"NM",(GN122/GL122-1)*100)))</f>
        <v>0</v>
      </c>
      <c r="GP122" s="182">
        <f>GN122</f>
        <v>23</v>
      </c>
      <c r="GQ122" s="79">
        <f>IF(ISERROR((GP122/GN122-1)*100),"NA",IF(((GP122/GN122-1)*100)&gt;100,"NM",IF(((GP122/GN122-1)*100)&lt;-50,"NM",(GP122/GN122-1)*100)))</f>
        <v>0</v>
      </c>
      <c r="GR122" s="182">
        <f>GP122+0.1</f>
        <v>23.1</v>
      </c>
      <c r="GS122" s="79">
        <f>IF(ISERROR((GR122/GP122-1)*100),"NA",IF(((GR122/GP122-1)*100)&gt;100,"NM",IF(((GR122/GP122-1)*100)&lt;-50,"NM",(GR122/GP122-1)*100)))</f>
        <v>0.43478260869564966</v>
      </c>
      <c r="GT122" s="79">
        <f>IF(ISERROR(((GR122/GH122)^0.2-1)*100),"NA",(IF(OR(((GR122/GH122)^0.2-1)*100&gt;99,((GR122/GH122)^0.2-1)*100&lt;-50),"NM",(((GR122/GH122)^0.2-1)*100))))</f>
        <v>0.25046923556495404</v>
      </c>
    </row>
    <row r="123" spans="1:286" s="132" customFormat="1" ht="12.75" customHeight="1" x14ac:dyDescent="0.2">
      <c r="A123" s="133"/>
      <c r="B123" s="2"/>
      <c r="C123" s="79"/>
      <c r="D123" s="79"/>
      <c r="E123" s="129"/>
      <c r="F123" s="129"/>
      <c r="G123" s="129"/>
      <c r="H123" s="129"/>
      <c r="I123" s="129"/>
      <c r="J123" s="129"/>
      <c r="K123" s="129"/>
      <c r="L123" s="79"/>
      <c r="M123" s="129"/>
      <c r="N123" s="79"/>
      <c r="O123" s="129"/>
      <c r="P123" s="79"/>
      <c r="Q123" s="129"/>
      <c r="R123" s="79"/>
      <c r="S123" s="129"/>
      <c r="T123" s="79"/>
      <c r="U123" s="129"/>
      <c r="V123" s="79"/>
      <c r="W123" s="129"/>
      <c r="X123" s="79"/>
      <c r="Y123" s="129"/>
      <c r="Z123" s="79"/>
      <c r="AA123" s="130"/>
      <c r="AB123" s="79"/>
      <c r="AC123" s="129"/>
      <c r="AD123" s="79"/>
      <c r="AE123" s="129"/>
      <c r="AF123" s="79"/>
      <c r="AG123" s="129"/>
      <c r="AH123" s="79"/>
      <c r="AI123" s="95"/>
      <c r="AJ123" s="79"/>
      <c r="AK123" s="129"/>
      <c r="AL123" s="79"/>
      <c r="AM123" s="129"/>
      <c r="AN123" s="79"/>
      <c r="AO123" s="129"/>
      <c r="AP123" s="79"/>
      <c r="AQ123" s="129"/>
      <c r="AR123" s="79"/>
      <c r="AS123" s="129"/>
      <c r="AT123" s="81"/>
      <c r="AU123" s="129"/>
      <c r="AV123" s="81"/>
      <c r="AW123" s="129"/>
      <c r="AX123" s="81"/>
      <c r="AY123" s="129"/>
      <c r="AZ123" s="81"/>
      <c r="BA123" s="129"/>
      <c r="BB123" s="81"/>
      <c r="BC123" s="129"/>
      <c r="BD123" s="81"/>
      <c r="BE123" s="129"/>
      <c r="BF123" s="81"/>
      <c r="BG123" s="129"/>
      <c r="BH123" s="81"/>
      <c r="BI123" s="129"/>
      <c r="BJ123" s="81"/>
      <c r="BK123" s="129"/>
      <c r="BL123" s="81"/>
      <c r="BM123" s="129"/>
      <c r="BN123" s="81"/>
      <c r="BO123" s="129"/>
      <c r="BP123" s="81"/>
      <c r="BQ123" s="129"/>
      <c r="BR123" s="81"/>
      <c r="BS123" s="129"/>
      <c r="BT123" s="81"/>
      <c r="BU123" s="129"/>
      <c r="BV123" s="81"/>
      <c r="BW123" s="129"/>
      <c r="BX123" s="81"/>
      <c r="BY123" s="129"/>
      <c r="BZ123" s="81"/>
      <c r="CA123" s="129"/>
      <c r="CB123" s="81"/>
      <c r="CC123" s="129"/>
      <c r="CD123" s="81"/>
      <c r="CE123" s="129"/>
      <c r="CF123" s="81"/>
      <c r="CG123" s="129"/>
      <c r="CH123" s="81"/>
      <c r="CI123" s="129"/>
      <c r="CJ123" s="81"/>
      <c r="CK123" s="129"/>
      <c r="CL123" s="81"/>
      <c r="CM123" s="129"/>
      <c r="CN123" s="81"/>
      <c r="CO123" s="129"/>
      <c r="CP123" s="81"/>
      <c r="CQ123" s="129"/>
      <c r="CR123" s="81"/>
      <c r="CS123" s="129"/>
      <c r="CT123" s="81"/>
      <c r="CU123" s="129"/>
      <c r="CV123" s="81"/>
      <c r="CW123" s="129"/>
      <c r="CX123" s="81"/>
      <c r="CY123" s="129"/>
      <c r="CZ123" s="81"/>
      <c r="DA123" s="129"/>
      <c r="DB123" s="81"/>
      <c r="DC123" s="129"/>
      <c r="DD123" s="81"/>
      <c r="DE123" s="129"/>
      <c r="DF123" s="81"/>
      <c r="DG123" s="129"/>
      <c r="DH123" s="81"/>
      <c r="DI123" s="129"/>
      <c r="DJ123" s="81"/>
      <c r="DK123" s="129"/>
      <c r="DL123" s="81"/>
      <c r="DM123" s="904"/>
      <c r="DN123" s="855"/>
      <c r="DO123" s="904"/>
      <c r="DP123" s="855"/>
      <c r="DQ123" s="129"/>
      <c r="DR123" s="81"/>
      <c r="DS123" s="129"/>
      <c r="DT123" s="81"/>
      <c r="DU123" s="129"/>
      <c r="DV123" s="81"/>
      <c r="DW123" s="129"/>
      <c r="DX123" s="81"/>
      <c r="DY123" s="129"/>
      <c r="DZ123" s="81"/>
      <c r="EA123" s="129"/>
      <c r="EB123" s="81"/>
      <c r="EC123" s="129"/>
      <c r="ED123" s="81"/>
      <c r="EE123" s="129"/>
      <c r="EF123" s="81"/>
      <c r="EG123" s="129"/>
      <c r="EH123" s="81"/>
      <c r="EI123" s="129"/>
      <c r="EJ123" s="81"/>
      <c r="EK123" s="129"/>
      <c r="EL123" s="81"/>
      <c r="EM123" s="129"/>
      <c r="EN123" s="81"/>
      <c r="EO123" s="129"/>
      <c r="EP123" s="81"/>
      <c r="EQ123" s="129"/>
      <c r="ER123" s="81"/>
      <c r="ES123" s="129"/>
      <c r="ET123" s="469"/>
      <c r="EU123" s="129"/>
      <c r="EV123" s="95"/>
      <c r="EW123" s="79"/>
      <c r="EX123" s="95"/>
      <c r="EY123" s="79"/>
      <c r="EZ123" s="131"/>
      <c r="FA123" s="79"/>
      <c r="FB123" s="35"/>
      <c r="FC123" s="79"/>
      <c r="FD123" s="35"/>
      <c r="FE123" s="79"/>
      <c r="FF123" s="35"/>
      <c r="FG123" s="79"/>
      <c r="FH123" s="35"/>
      <c r="FI123" s="79"/>
      <c r="FJ123" s="35"/>
      <c r="FK123" s="79"/>
      <c r="FL123" s="93"/>
      <c r="FM123" s="79"/>
      <c r="FN123" s="93"/>
      <c r="FO123" s="79"/>
      <c r="FP123" s="93"/>
      <c r="FQ123" s="79"/>
      <c r="FR123" s="129"/>
      <c r="FS123" s="79"/>
      <c r="FT123" s="129"/>
      <c r="FU123" s="79"/>
      <c r="FV123" s="129"/>
      <c r="FW123" s="79"/>
      <c r="FX123" s="129"/>
      <c r="FY123" s="79"/>
      <c r="FZ123" s="129"/>
      <c r="GA123" s="79"/>
      <c r="GB123" s="129"/>
      <c r="GC123" s="79"/>
      <c r="GD123" s="129"/>
      <c r="GE123" s="79"/>
      <c r="GF123" s="129"/>
      <c r="GG123" s="79"/>
      <c r="GH123" s="129"/>
      <c r="GI123" s="79"/>
      <c r="GJ123" s="129"/>
      <c r="GK123" s="79"/>
      <c r="GL123" s="129"/>
      <c r="GM123" s="79"/>
      <c r="GN123" s="129"/>
      <c r="GO123" s="79"/>
      <c r="GP123" s="129"/>
      <c r="GQ123" s="79"/>
      <c r="GR123" s="129"/>
      <c r="GS123" s="79"/>
      <c r="GT123" s="79"/>
      <c r="GU123" s="562"/>
      <c r="GV123" s="562"/>
      <c r="GW123"/>
      <c r="GX123"/>
      <c r="GY123"/>
      <c r="GZ123"/>
      <c r="HA123"/>
      <c r="HB123"/>
      <c r="HC123" s="562"/>
      <c r="HD123" s="562"/>
      <c r="HE123" s="562"/>
      <c r="HF123" s="562"/>
      <c r="HG123" s="562"/>
      <c r="HH123" s="562"/>
      <c r="HI123" s="562"/>
      <c r="HJ123" s="562"/>
      <c r="HK123" s="562"/>
      <c r="HL123" s="562"/>
      <c r="HM123" s="562"/>
      <c r="HN123" s="562"/>
      <c r="HO123" s="562"/>
      <c r="HP123" s="562"/>
      <c r="HQ123" s="562"/>
      <c r="HR123" s="562"/>
      <c r="HS123" s="562"/>
      <c r="HT123" s="562"/>
      <c r="HU123" s="562"/>
      <c r="HV123" s="562"/>
      <c r="HW123" s="562"/>
      <c r="HX123" s="562"/>
      <c r="HY123" s="562"/>
      <c r="HZ123" s="562"/>
      <c r="IA123" s="562"/>
      <c r="IB123" s="562"/>
      <c r="IC123" s="562"/>
      <c r="ID123" s="562"/>
      <c r="IE123" s="562"/>
      <c r="IF123" s="562"/>
      <c r="IG123" s="562"/>
      <c r="IH123" s="562"/>
      <c r="II123" s="562"/>
      <c r="IJ123" s="562"/>
      <c r="IK123" s="562"/>
      <c r="IL123" s="562"/>
      <c r="IM123" s="562"/>
      <c r="IN123" s="562"/>
      <c r="IO123" s="562"/>
      <c r="IP123" s="562"/>
      <c r="IQ123" s="562"/>
      <c r="IR123" s="562"/>
      <c r="IS123" s="562"/>
      <c r="IT123" s="562"/>
      <c r="IU123" s="562"/>
      <c r="IV123" s="562"/>
      <c r="IW123" s="562"/>
      <c r="IX123" s="562"/>
      <c r="IY123" s="562"/>
      <c r="IZ123" s="562"/>
      <c r="JA123" s="562"/>
      <c r="JB123" s="562"/>
      <c r="JC123" s="562"/>
      <c r="JD123" s="562"/>
      <c r="JE123" s="562"/>
      <c r="JF123" s="562"/>
      <c r="JG123" s="562"/>
      <c r="JH123" s="562"/>
      <c r="JI123" s="562"/>
      <c r="JJ123" s="562"/>
      <c r="JK123" s="562"/>
      <c r="JL123" s="562"/>
      <c r="JM123" s="562"/>
      <c r="JN123" s="562"/>
      <c r="JO123" s="562"/>
      <c r="JP123" s="562"/>
      <c r="JQ123" s="562"/>
      <c r="JR123" s="562"/>
      <c r="JS123" s="562"/>
      <c r="JT123" s="562"/>
      <c r="JU123" s="562"/>
      <c r="JV123" s="562"/>
      <c r="JW123" s="562"/>
      <c r="JX123" s="562"/>
      <c r="JY123" s="562"/>
      <c r="JZ123" s="562"/>
    </row>
    <row r="124" spans="1:286" s="132" customFormat="1" ht="12.75" customHeight="1" x14ac:dyDescent="0.2">
      <c r="A124" s="133"/>
      <c r="B124" s="2" t="s">
        <v>575</v>
      </c>
      <c r="C124" s="79"/>
      <c r="D124" s="79"/>
      <c r="E124" s="129"/>
      <c r="F124" s="129"/>
      <c r="G124" s="129"/>
      <c r="H124" s="129"/>
      <c r="I124" s="129"/>
      <c r="J124" s="129"/>
      <c r="K124" s="129"/>
      <c r="L124" s="79"/>
      <c r="M124" s="129"/>
      <c r="N124" s="79"/>
      <c r="O124" s="129"/>
      <c r="P124" s="79"/>
      <c r="Q124" s="129"/>
      <c r="R124" s="79"/>
      <c r="S124" s="129"/>
      <c r="T124" s="79"/>
      <c r="U124" s="129"/>
      <c r="V124" s="79"/>
      <c r="W124" s="129"/>
      <c r="X124" s="79"/>
      <c r="Y124" s="129"/>
      <c r="Z124" s="79"/>
      <c r="AA124" s="130"/>
      <c r="AB124" s="79"/>
      <c r="AC124" s="129"/>
      <c r="AD124" s="79"/>
      <c r="AE124" s="129"/>
      <c r="AF124" s="79"/>
      <c r="AG124" s="129"/>
      <c r="AH124" s="79"/>
      <c r="AI124" s="95"/>
      <c r="AJ124" s="79"/>
      <c r="AK124" s="129"/>
      <c r="AL124" s="79"/>
      <c r="AM124" s="129"/>
      <c r="AN124" s="79"/>
      <c r="AO124" s="129"/>
      <c r="AP124" s="79"/>
      <c r="AQ124" s="129"/>
      <c r="AR124" s="79"/>
      <c r="AS124" s="129"/>
      <c r="AT124" s="81"/>
      <c r="AU124" s="129"/>
      <c r="AV124" s="81"/>
      <c r="AW124" s="129"/>
      <c r="AX124" s="81"/>
      <c r="AY124" s="129"/>
      <c r="AZ124" s="81"/>
      <c r="BA124" s="129"/>
      <c r="BB124" s="81"/>
      <c r="BC124" s="129"/>
      <c r="BD124" s="81"/>
      <c r="BE124" s="129"/>
      <c r="BF124" s="81"/>
      <c r="BG124" s="129"/>
      <c r="BH124" s="81"/>
      <c r="BI124" s="129"/>
      <c r="BJ124" s="81"/>
      <c r="BK124" s="129"/>
      <c r="BL124" s="81"/>
      <c r="BM124" s="129"/>
      <c r="BN124" s="81"/>
      <c r="BO124" s="129"/>
      <c r="BP124" s="81"/>
      <c r="BQ124" s="129"/>
      <c r="BR124" s="81"/>
      <c r="BS124" s="129"/>
      <c r="BT124" s="81"/>
      <c r="BU124" s="129"/>
      <c r="BV124" s="81"/>
      <c r="BW124" s="129"/>
      <c r="BX124" s="81"/>
      <c r="BY124" s="129"/>
      <c r="BZ124" s="81"/>
      <c r="CA124" s="129"/>
      <c r="CB124" s="81"/>
      <c r="CC124" s="129"/>
      <c r="CD124" s="81"/>
      <c r="CE124" s="129"/>
      <c r="CF124" s="81"/>
      <c r="CG124" s="129"/>
      <c r="CH124" s="81"/>
      <c r="CI124" s="129"/>
      <c r="CJ124" s="81"/>
      <c r="CK124" s="129"/>
      <c r="CL124" s="81"/>
      <c r="CM124" s="129"/>
      <c r="CN124" s="81"/>
      <c r="CO124" s="129"/>
      <c r="CP124" s="81"/>
      <c r="CQ124" s="129"/>
      <c r="CR124" s="81"/>
      <c r="CS124" s="129"/>
      <c r="CT124" s="81"/>
      <c r="CU124" s="129"/>
      <c r="CV124" s="81"/>
      <c r="CW124" s="174">
        <v>0</v>
      </c>
      <c r="CX124" s="81"/>
      <c r="CY124" s="174">
        <v>0</v>
      </c>
      <c r="CZ124" s="81"/>
      <c r="DA124" s="174">
        <v>0</v>
      </c>
      <c r="DB124" s="81"/>
      <c r="DC124" s="174">
        <v>0</v>
      </c>
      <c r="DD124" s="81"/>
      <c r="DE124" s="174">
        <v>0</v>
      </c>
      <c r="DF124" s="81"/>
      <c r="DG124" s="174">
        <v>0</v>
      </c>
      <c r="DH124" s="81"/>
      <c r="DI124" s="174">
        <v>0</v>
      </c>
      <c r="DJ124" s="81"/>
      <c r="DK124" s="174">
        <v>0</v>
      </c>
      <c r="DL124" s="81"/>
      <c r="DM124" s="174">
        <v>0</v>
      </c>
      <c r="DN124" s="81"/>
      <c r="DO124" s="174">
        <v>0</v>
      </c>
      <c r="DP124" s="81"/>
      <c r="DQ124" s="174">
        <v>0</v>
      </c>
      <c r="DR124" s="81"/>
      <c r="DS124" s="174">
        <v>0</v>
      </c>
      <c r="DT124" s="81"/>
      <c r="DU124" s="174">
        <v>0</v>
      </c>
      <c r="DV124" s="81"/>
      <c r="DW124" s="174">
        <v>0</v>
      </c>
      <c r="DX124" s="81"/>
      <c r="DY124" s="174">
        <v>0</v>
      </c>
      <c r="DZ124" s="81"/>
      <c r="EA124" s="174">
        <v>0</v>
      </c>
      <c r="EB124" s="81"/>
      <c r="EC124" s="174">
        <v>0</v>
      </c>
      <c r="ED124" s="81"/>
      <c r="EE124" s="174">
        <v>0</v>
      </c>
      <c r="EF124" s="81"/>
      <c r="EG124" s="174">
        <v>0</v>
      </c>
      <c r="EH124" s="81"/>
      <c r="EI124" s="174">
        <v>8.1</v>
      </c>
      <c r="EJ124" s="81"/>
      <c r="EK124" s="174">
        <v>0</v>
      </c>
      <c r="EL124" s="81"/>
      <c r="EM124" s="174">
        <v>0</v>
      </c>
      <c r="EN124" s="81"/>
      <c r="EO124" s="174">
        <v>0</v>
      </c>
      <c r="EP124" s="81"/>
      <c r="EQ124" s="174">
        <v>0</v>
      </c>
      <c r="ER124" s="81"/>
      <c r="ES124" s="129"/>
      <c r="ET124" s="469"/>
      <c r="EU124" s="129"/>
      <c r="EV124" s="95"/>
      <c r="EW124" s="79"/>
      <c r="EX124" s="95"/>
      <c r="EY124" s="79"/>
      <c r="EZ124" s="131"/>
      <c r="FA124" s="79"/>
      <c r="FB124" s="35"/>
      <c r="FC124" s="79"/>
      <c r="FD124" s="35"/>
      <c r="FE124" s="79"/>
      <c r="FF124" s="35"/>
      <c r="FG124" s="79"/>
      <c r="FH124" s="35"/>
      <c r="FI124" s="79"/>
      <c r="FJ124" s="35"/>
      <c r="FK124" s="79"/>
      <c r="FL124" s="93"/>
      <c r="FM124" s="79"/>
      <c r="FN124" s="93"/>
      <c r="FO124" s="79"/>
      <c r="FP124" s="93"/>
      <c r="FQ124" s="79"/>
      <c r="FR124" s="129"/>
      <c r="FS124" s="79"/>
      <c r="FT124" s="129"/>
      <c r="FU124" s="79"/>
      <c r="FV124" s="129"/>
      <c r="FW124" s="79"/>
      <c r="FX124" s="93">
        <v>0</v>
      </c>
      <c r="FY124" s="146"/>
      <c r="FZ124" s="93">
        <f>CW124+CY124+DA124+DC124</f>
        <v>0</v>
      </c>
      <c r="GA124" s="146"/>
      <c r="GB124" s="93">
        <f>DE124+DG124+DI124+DK124</f>
        <v>0</v>
      </c>
      <c r="GC124" s="146"/>
      <c r="GD124" s="93">
        <f>DM124+DO124+DQ124+DS124</f>
        <v>0</v>
      </c>
      <c r="GE124" s="79"/>
      <c r="GF124" s="93">
        <f>DU124+DW124+DY124+EA124</f>
        <v>0</v>
      </c>
      <c r="GG124" s="79"/>
      <c r="GH124" s="93">
        <f>EC124+EE124+EG124+EI124</f>
        <v>8.1</v>
      </c>
      <c r="GI124" s="79"/>
      <c r="GJ124" s="93">
        <f>EK124+EM124+EO124+EQ124</f>
        <v>0</v>
      </c>
      <c r="GK124" s="79"/>
      <c r="GL124" s="174">
        <v>0</v>
      </c>
      <c r="GM124" s="79"/>
      <c r="GN124" s="174">
        <v>0</v>
      </c>
      <c r="GO124" s="79"/>
      <c r="GP124" s="174">
        <v>0</v>
      </c>
      <c r="GQ124" s="79"/>
      <c r="GR124" s="174">
        <v>0</v>
      </c>
      <c r="GS124" s="79"/>
      <c r="GT124" s="79"/>
      <c r="GU124" s="562"/>
      <c r="GV124" s="562"/>
      <c r="GW124"/>
      <c r="GX124"/>
      <c r="GY124"/>
      <c r="GZ124"/>
      <c r="HA124"/>
      <c r="HB124"/>
      <c r="HC124" s="562"/>
      <c r="HD124" s="562"/>
      <c r="HE124" s="562"/>
      <c r="HF124" s="562"/>
      <c r="HG124" s="562"/>
      <c r="HH124" s="562"/>
      <c r="HI124" s="562"/>
      <c r="HJ124" s="562"/>
      <c r="HK124" s="562"/>
      <c r="HL124" s="562"/>
      <c r="HM124" s="562"/>
      <c r="HN124" s="562"/>
      <c r="HO124" s="562"/>
      <c r="HP124" s="562"/>
      <c r="HQ124" s="562"/>
      <c r="HR124" s="562"/>
      <c r="HS124" s="562"/>
      <c r="HT124" s="562"/>
      <c r="HU124" s="562"/>
      <c r="HV124" s="562"/>
      <c r="HW124" s="562"/>
      <c r="HX124" s="562"/>
      <c r="HY124" s="562"/>
      <c r="HZ124" s="562"/>
      <c r="IA124" s="562"/>
      <c r="IB124" s="562"/>
      <c r="IC124" s="562"/>
      <c r="ID124" s="562"/>
      <c r="IE124" s="562"/>
      <c r="IF124" s="562"/>
      <c r="IG124" s="562"/>
      <c r="IH124" s="562"/>
      <c r="II124" s="562"/>
      <c r="IJ124" s="562"/>
      <c r="IK124" s="562"/>
      <c r="IL124" s="562"/>
      <c r="IM124" s="562"/>
      <c r="IN124" s="562"/>
      <c r="IO124" s="562"/>
      <c r="IP124" s="562"/>
      <c r="IQ124" s="562"/>
      <c r="IR124" s="562"/>
      <c r="IS124" s="562"/>
      <c r="IT124" s="562"/>
      <c r="IU124" s="562"/>
      <c r="IV124" s="562"/>
      <c r="IW124" s="562"/>
      <c r="IX124" s="562"/>
      <c r="IY124" s="562"/>
      <c r="IZ124" s="562"/>
      <c r="JA124" s="562"/>
      <c r="JB124" s="562"/>
      <c r="JC124" s="562"/>
      <c r="JD124" s="562"/>
      <c r="JE124" s="562"/>
      <c r="JF124" s="562"/>
      <c r="JG124" s="562"/>
      <c r="JH124" s="562"/>
      <c r="JI124" s="562"/>
      <c r="JJ124" s="562"/>
      <c r="JK124" s="562"/>
      <c r="JL124" s="562"/>
      <c r="JM124" s="562"/>
      <c r="JN124" s="562"/>
      <c r="JO124" s="562"/>
      <c r="JP124" s="562"/>
      <c r="JQ124" s="562"/>
      <c r="JR124" s="562"/>
      <c r="JS124" s="562"/>
      <c r="JT124" s="562"/>
      <c r="JU124" s="562"/>
      <c r="JV124" s="562"/>
      <c r="JW124" s="562"/>
      <c r="JX124" s="562"/>
      <c r="JY124" s="562"/>
      <c r="JZ124" s="562"/>
    </row>
    <row r="125" spans="1:286" s="83" customFormat="1" ht="12.75" customHeight="1" x14ac:dyDescent="0.2">
      <c r="A125" s="77" t="s">
        <v>296</v>
      </c>
      <c r="B125" s="68" t="s">
        <v>453</v>
      </c>
      <c r="C125" s="79"/>
      <c r="D125" s="79"/>
      <c r="E125" s="169"/>
      <c r="F125" s="169"/>
      <c r="G125" s="169"/>
      <c r="H125" s="169"/>
      <c r="I125" s="169"/>
      <c r="J125" s="169"/>
      <c r="K125" s="169"/>
      <c r="L125" s="79"/>
      <c r="M125" s="169"/>
      <c r="N125" s="79"/>
      <c r="O125" s="169"/>
      <c r="P125" s="79"/>
      <c r="Q125" s="169"/>
      <c r="R125" s="79"/>
      <c r="S125" s="169"/>
      <c r="T125" s="79"/>
      <c r="U125" s="169"/>
      <c r="V125" s="79"/>
      <c r="W125" s="169"/>
      <c r="X125" s="79"/>
      <c r="Y125" s="169"/>
      <c r="Z125" s="79"/>
      <c r="AA125" s="170"/>
      <c r="AB125" s="79"/>
      <c r="AC125" s="169">
        <f>AC110-AC117</f>
        <v>51.299999999999955</v>
      </c>
      <c r="AD125" s="79" t="str">
        <f>IF(ISERROR((AC125/U125-1)*100),"NA",IF(((AC125/U125-1)*100)&gt;100,"NM",IF(((AC125/U125-1)*100)&lt;-50,"NM",(AC125/U125-1)*100)))</f>
        <v>NA</v>
      </c>
      <c r="AE125" s="169">
        <f>AE110-AE117</f>
        <v>44.5</v>
      </c>
      <c r="AF125" s="79" t="str">
        <f>IF(ISERROR((AE125/W125-1)*100),"NA",IF(((AE125/W125-1)*100)&gt;100,"NM",IF(((AE125/W125-1)*100)&lt;-50,"NM",(AE125/W125-1)*100)))</f>
        <v>NA</v>
      </c>
      <c r="AG125" s="169">
        <f>AG110-AG117</f>
        <v>42.199999999999989</v>
      </c>
      <c r="AH125" s="79" t="str">
        <f>IF(ISERROR((AG125/Y125-1)*100),"NA",IF(((AG125/Y125-1)*100)&gt;100,"NM",IF(((AG125/Y125-1)*100)&lt;-50,"NM",(AG125/Y125-1)*100)))</f>
        <v>NA</v>
      </c>
      <c r="AI125" s="142">
        <f>AI110-AI117+0.1</f>
        <v>42.200000000000138</v>
      </c>
      <c r="AJ125" s="79" t="str">
        <f>IF(ISERROR((AI125/AA125-1)*100),"NA",IF(((AI125/AA125-1)*100)&gt;100,"NM",IF(((AI125/AA125-1)*100)&lt;-50,"NM",(AI125/AA125-1)*100)))</f>
        <v>NA</v>
      </c>
      <c r="AK125" s="169">
        <f>AK110-AK117</f>
        <v>41.500000000000057</v>
      </c>
      <c r="AL125" s="79">
        <f>IF(ISERROR((AK125/AC125-1)*100),"NA",IF(((AK125/AC125-1)*100)&gt;100,"NM",IF(((AK125/AC125-1)*100)&lt;-50,"NM",(AK125/AC125-1)*100)))</f>
        <v>-19.103313840155767</v>
      </c>
      <c r="AM125" s="169">
        <f>AM110-AM117</f>
        <v>43.399999999999977</v>
      </c>
      <c r="AN125" s="79">
        <f>IF(ISERROR((AM125/AE125-1)*100),"NA",IF(((AM125/AE125-1)*100)&gt;100,"NM",IF(((AM125/AE125-1)*100)&lt;-50,"NM",(AM125/AE125-1)*100)))</f>
        <v>-2.4719101123595988</v>
      </c>
      <c r="AO125" s="169">
        <f>AO110-AO117</f>
        <v>39.5</v>
      </c>
      <c r="AP125" s="79">
        <f>IF(ISERROR((AO125/AG125-1)*100),"NA",IF(((AO125/AG125-1)*100)&gt;100,"NM",IF(((AO125/AG125-1)*100)&lt;-50,"NM",(AO125/AG125-1)*100)))</f>
        <v>-6.3981042654028153</v>
      </c>
      <c r="AQ125" s="169">
        <f>AQ110-AQ117</f>
        <v>46.800000000000011</v>
      </c>
      <c r="AR125" s="79">
        <f>IF(ISERROR((AQ125/AI125-1)*100),"NA",IF(((AQ125/AI125-1)*100)&gt;100,"NM",IF(((AQ125/AI125-1)*100)&lt;-50,"NM",(AQ125/AI125-1)*100)))</f>
        <v>10.900473933648946</v>
      </c>
      <c r="AS125" s="169">
        <f>AS110-AS117</f>
        <v>56.199999999999989</v>
      </c>
      <c r="AT125" s="81">
        <f>IF(ISERROR((AS125/AK125-1)*100),"NA",IF(((AS125/AK125-1)*100)&gt;100,"NM",IF(((AS125/AK125-1)*100)&lt;-50,"NM",(AS125/AK125-1)*100)))</f>
        <v>35.421686746987731</v>
      </c>
      <c r="AU125" s="169">
        <f>AU110-AU117</f>
        <v>49.299999999999898</v>
      </c>
      <c r="AV125" s="81">
        <f>IF(ISERROR((AU125/AM125-1)*100),"NA",IF(((AU125/AM125-1)*100)&gt;100,"NM",IF(((AU125/AM125-1)*100)&lt;-50,"NM",(AU125/AM125-1)*100)))</f>
        <v>13.594470046082762</v>
      </c>
      <c r="AW125" s="169">
        <f>AW110-AW117</f>
        <v>58.800000000000011</v>
      </c>
      <c r="AX125" s="81">
        <f>IF(ISERROR((AW125/AO125-1)*100),"NA",IF(((AW125/AO125-1)*100)&gt;100,"NM",IF(((AW125/AO125-1)*100)&lt;-50,"NM",(AW125/AO125-1)*100)))</f>
        <v>48.860759493670926</v>
      </c>
      <c r="AY125" s="169">
        <f>AY110-AY117</f>
        <v>54.500000000000057</v>
      </c>
      <c r="AZ125" s="81">
        <f>IF(ISERROR((AY125/AQ125-1)*100),"NA",IF(((AY125/AQ125-1)*100)&gt;100,"NM",IF(((AY125/AQ125-1)*100)&lt;-50,"NM",(AY125/AQ125-1)*100)))</f>
        <v>16.452991452991551</v>
      </c>
      <c r="BA125" s="169">
        <f>BA110-BA117</f>
        <v>57.799999999999955</v>
      </c>
      <c r="BB125" s="81">
        <f>IF(ISERROR((BA125/AS125-1)*100),"NA",IF(((BA125/AS125-1)*100)&gt;100,"NM",IF(((BA125/AS125-1)*100)&lt;-50,"NM",(BA125/AS125-1)*100)))</f>
        <v>2.846975088967918</v>
      </c>
      <c r="BC125" s="169">
        <f>BC110-BC117</f>
        <v>49.299999999999898</v>
      </c>
      <c r="BD125" s="81">
        <f>IF(ISERROR((BC125/AU125-1)*100),"NA",IF(((BC125/AU125-1)*100)&gt;100,"NM",IF(((BC125/AU125-1)*100)&lt;-50,"NM",(BC125/AU125-1)*100)))</f>
        <v>0</v>
      </c>
      <c r="BE125" s="169">
        <f>BE110-BE117</f>
        <v>50.099999999999909</v>
      </c>
      <c r="BF125" s="81">
        <f>IF(ISERROR((BE125/AW125-1)*100),"NA",IF(((BE125/AW125-1)*100)&gt;100,"NM",IF(((BE125/AW125-1)*100)&lt;-50,"NM",(BE125/AW125-1)*100)))</f>
        <v>-14.795918367347106</v>
      </c>
      <c r="BG125" s="169">
        <f>BG110-BG117</f>
        <v>57.60000000000008</v>
      </c>
      <c r="BH125" s="81">
        <f>IF(ISERROR((BG125/AY125-1)*100),"NA",IF(((BG125/AY125-1)*100)&gt;100,"NM",IF(((BG125/AY125-1)*100)&lt;-50,"NM",(BG125/AY125-1)*100)))</f>
        <v>5.6880733944954409</v>
      </c>
      <c r="BI125" s="169">
        <f>BI110-BI117</f>
        <v>62.800000000000011</v>
      </c>
      <c r="BJ125" s="81">
        <f>IF(ISERROR((BI125/BA125-1)*100),"NA",IF(((BI125/BA125-1)*100)&gt;100,"NM",IF(((BI125/BA125-1)*100)&lt;-50,"NM",(BI125/BA125-1)*100)))</f>
        <v>8.6505190311419788</v>
      </c>
      <c r="BK125" s="169">
        <f>BK110-BK117</f>
        <v>70.299999999999898</v>
      </c>
      <c r="BL125" s="81">
        <f>IF(ISERROR((BK125/BC125-1)*100),"NA",IF(((BK125/BC125-1)*100)&gt;100,"NM",IF(((BK125/BC125-1)*100)&lt;-50,"NM",(BK125/BC125-1)*100)))</f>
        <v>42.59634888438142</v>
      </c>
      <c r="BM125" s="169">
        <f>BM110-BM117</f>
        <v>66.099999999999966</v>
      </c>
      <c r="BN125" s="81">
        <f>IF(ISERROR((BM125/BE125-1)*100),"NA",IF(((BM125/BE125-1)*100)&gt;100,"NM",IF(((BM125/BE125-1)*100)&lt;-50,"NM",(BM125/BE125-1)*100)))</f>
        <v>31.936127744511154</v>
      </c>
      <c r="BO125" s="169">
        <f>BO110-BO117</f>
        <v>72.599999999999966</v>
      </c>
      <c r="BP125" s="81">
        <f>IF(ISERROR((BO125/BG125-1)*100),"NA",IF(((BO125/BG125-1)*100)&gt;100,"NM",IF(((BO125/BG125-1)*100)&lt;-50,"NM",(BO125/BG125-1)*100)))</f>
        <v>26.04166666666643</v>
      </c>
      <c r="BQ125" s="169">
        <f>BQ110-BQ117</f>
        <v>77.599999999999966</v>
      </c>
      <c r="BR125" s="81">
        <f>IF(ISERROR((BQ125/BI125-1)*100),"NA",IF(((BQ125/BI125-1)*100)&gt;100,"NM",IF(((BQ125/BI125-1)*100)&lt;-50,"NM",(BQ125/BI125-1)*100)))</f>
        <v>23.566878980891648</v>
      </c>
      <c r="BS125" s="169">
        <f>BS110-BS117</f>
        <v>74.299999999999955</v>
      </c>
      <c r="BT125" s="81">
        <f>IF(ISERROR((BS125/BK125-1)*100),"NA",IF(((BS125/BK125-1)*100)&gt;100,"NM",IF(((BS125/BK125-1)*100)&lt;-50,"NM",(BS125/BK125-1)*100)))</f>
        <v>5.6899004267426223</v>
      </c>
      <c r="BU125" s="169">
        <f>BU110-BU117</f>
        <v>72.099999999999909</v>
      </c>
      <c r="BV125" s="81">
        <f>IF(ISERROR((BU125/BM125-1)*100),"NA",IF(((BU125/BM125-1)*100)&gt;100,"NM",IF(((BU125/BM125-1)*100)&lt;-50,"NM",(BU125/BM125-1)*100)))</f>
        <v>9.0771558245082318</v>
      </c>
      <c r="BW125" s="169">
        <f>BW110-BW117</f>
        <v>82.699999999999932</v>
      </c>
      <c r="BX125" s="81">
        <f>IF(ISERROR((BW125/BO125-1)*100),"NA",IF(((BW125/BO125-1)*100)&gt;100,"NM",IF(((BW125/BO125-1)*100)&lt;-50,"NM",(BW125/BO125-1)*100)))</f>
        <v>13.911845730027505</v>
      </c>
      <c r="BY125" s="169">
        <f>BY110-BY117</f>
        <v>56.199999999999989</v>
      </c>
      <c r="BZ125" s="81">
        <f>IF(ISERROR((BY125/BQ125-1)*100),"NA",IF(((BY125/BQ125-1)*100)&gt;100,"NM",IF(((BY125/BQ125-1)*100)&lt;-50,"NM",(BY125/BQ125-1)*100)))</f>
        <v>-27.577319587628846</v>
      </c>
      <c r="CA125" s="169">
        <f>CA110-CA117</f>
        <v>65.699999999999989</v>
      </c>
      <c r="CB125" s="81">
        <f>IF(ISERROR((CA125/BS125-1)*100),"NA",IF(((CA125/BS125-1)*100)&gt;100,"NM",IF(((CA125/BS125-1)*100)&lt;-50,"NM",(CA125/BS125-1)*100)))</f>
        <v>-11.574697173620418</v>
      </c>
      <c r="CC125" s="169">
        <f>CC110-CC117</f>
        <v>61.400000000000006</v>
      </c>
      <c r="CD125" s="81">
        <f>IF(ISERROR((CC125/BU125-1)*100),"NA",IF(((CC125/BU125-1)*100)&gt;100,"NM",IF(((CC125/BU125-1)*100)&lt;-50,"NM",(CC125/BU125-1)*100)))</f>
        <v>-14.840499306518605</v>
      </c>
      <c r="CE125" s="169">
        <f>CE110-CE117</f>
        <v>64.800000000000011</v>
      </c>
      <c r="CF125" s="81">
        <f>IF(ISERROR((CE125/BW125-1)*100),"NA",IF(((CE125/BW125-1)*100)&gt;100,"NM",IF(((CE125/BW125-1)*100)&lt;-50,"NM",(CE125/BW125-1)*100)))</f>
        <v>-21.644498186215156</v>
      </c>
      <c r="CG125" s="169">
        <f>CG110-CG117</f>
        <v>69.300000000000011</v>
      </c>
      <c r="CH125" s="81">
        <f>IF(ISERROR((CG125/BY125-1)*100),"NA",IF(((CG125/BY125-1)*100)&gt;100,"NM",IF(((CG125/BY125-1)*100)&lt;-50,"NM",(CG125/BY125-1)*100)))</f>
        <v>23.309608540925318</v>
      </c>
      <c r="CI125" s="169">
        <f>CI110-CI117</f>
        <v>74.900000000000006</v>
      </c>
      <c r="CJ125" s="81">
        <f>IF(ISERROR((CI125/CA125-1)*100),"NA",IF(((CI125/CA125-1)*100)&gt;100,"NM",IF(((CI125/CA125-1)*100)&lt;-50,"NM",(CI125/CA125-1)*100)))</f>
        <v>14.003044140030463</v>
      </c>
      <c r="CK125" s="169">
        <f>CK110-CK117</f>
        <v>84.199999999999989</v>
      </c>
      <c r="CL125" s="81">
        <f>IF(ISERROR((CK125/CC125-1)*100),"NA",IF(((CK125/CC125-1)*100)&gt;100,"NM",IF(((CK125/CC125-1)*100)&lt;-50,"NM",(CK125/CC125-1)*100)))</f>
        <v>37.133550488599319</v>
      </c>
      <c r="CM125" s="169">
        <f>CM110-CM117</f>
        <v>77.699999999999989</v>
      </c>
      <c r="CN125" s="81">
        <f>IF(ISERROR((CM125/CE125-1)*100),"NA",IF(((CM125/CE125-1)*100)&gt;100,"NM",IF(((CM125/CE125-1)*100)&lt;-50,"NM",(CM125/CE125-1)*100)))</f>
        <v>19.907407407407373</v>
      </c>
      <c r="CO125" s="169">
        <f>CO110-CO117</f>
        <v>78.800000000000011</v>
      </c>
      <c r="CP125" s="81">
        <f>IF(ISERROR((CO125/CG125-1)*100),"NA",IF(((CO125/CG125-1)*100)&gt;100,"NM",IF(((CO125/CG125-1)*100)&lt;-50,"NM",(CO125/CG125-1)*100)))</f>
        <v>13.708513708513713</v>
      </c>
      <c r="CQ125" s="169">
        <f>CQ110-CQ117</f>
        <v>85</v>
      </c>
      <c r="CR125" s="81">
        <f>IF(ISERROR((CQ125/CI125-1)*100),"NA",IF(((CQ125/CI125-1)*100)&gt;100,"NM",IF(((CQ125/CI125-1)*100)&lt;-50,"NM",(CQ125/CI125-1)*100)))</f>
        <v>13.484646194926553</v>
      </c>
      <c r="CS125" s="169">
        <f>CS110-CS117</f>
        <v>85.699999999999989</v>
      </c>
      <c r="CT125" s="81">
        <f>IF(ISERROR((CS125/CK125-1)*100),"NA",IF(((CS125/CK125-1)*100)&gt;100,"NM",IF(((CS125/CK125-1)*100)&lt;-50,"NM",(CS125/CK125-1)*100)))</f>
        <v>1.7814726840855055</v>
      </c>
      <c r="CU125" s="169">
        <f>CU110-CU117</f>
        <v>83.599999999999966</v>
      </c>
      <c r="CV125" s="81">
        <f>IF(ISERROR((CU125/CM125-1)*100),"NA",IF(((CU125/CM125-1)*100)&gt;100,"NM",IF(((CU125/CM125-1)*100)&lt;-50,"NM",(CU125/CM125-1)*100)))</f>
        <v>7.5933075933075633</v>
      </c>
      <c r="CW125" s="169">
        <f>CW110-CW117+CW124</f>
        <v>70.999999999999943</v>
      </c>
      <c r="CX125" s="81">
        <f>IF(ISERROR((CW125/CO125-1)*100),"NA",IF(((CW125/CO125-1)*100)&gt;100,"NM",IF(((CW125/CO125-1)*100)&lt;-50,"NM",(CW125/CO125-1)*100)))</f>
        <v>-9.8984771573604853</v>
      </c>
      <c r="CY125" s="169">
        <f>CY110-CY117+CY124</f>
        <v>83</v>
      </c>
      <c r="CZ125" s="81">
        <f>IF(ISERROR((CY125/CQ125-1)*100),"NA",IF(((CY125/CQ125-1)*100)&gt;100,"NM",IF(((CY125/CQ125-1)*100)&lt;-50,"NM",(CY125/CQ125-1)*100)))</f>
        <v>-2.352941176470591</v>
      </c>
      <c r="DA125" s="169">
        <f>DA110-DA117+DA124</f>
        <v>81.299999999999955</v>
      </c>
      <c r="DB125" s="81">
        <f>IF(ISERROR((DA125/CS125-1)*100),"NA",IF(((DA125/CS125-1)*100)&gt;100,"NM",IF(((DA125/CS125-1)*100)&lt;-50,"NM",(DA125/CS125-1)*100)))</f>
        <v>-5.1341890315052874</v>
      </c>
      <c r="DC125" s="169">
        <f>DC110-DC117+DC124</f>
        <v>58.899999999999977</v>
      </c>
      <c r="DD125" s="81">
        <f>IF(ISERROR((DC125/CU125-1)*100),"NA",IF(((DC125/CU125-1)*100)&gt;100,"NM",IF(((DC125/CU125-1)*100)&lt;-50,"NM",(DC125/CU125-1)*100)))</f>
        <v>-29.54545454545454</v>
      </c>
      <c r="DE125" s="169">
        <f>DE110-DE117+DE124</f>
        <v>81.199999999999989</v>
      </c>
      <c r="DF125" s="81">
        <f>IF(ISERROR((DE125/CW125-1)*100),"NA",IF(((DE125/CW125-1)*100)&gt;100,"NM",IF(((DE125/CW125-1)*100)&lt;-50,"NM",(DE125/CW125-1)*100)))</f>
        <v>14.366197183098661</v>
      </c>
      <c r="DG125" s="169">
        <f>DG110-DG117+DG124</f>
        <v>82.5</v>
      </c>
      <c r="DH125" s="81">
        <f>IF(ISERROR((DG125/CY125-1)*100),"NA",IF(((DG125/CY125-1)*100)&gt;100,"NM",IF(((DG125/CY125-1)*100)&lt;-50,"NM",(DG125/CY125-1)*100)))</f>
        <v>-0.60240963855421326</v>
      </c>
      <c r="DI125" s="169">
        <f>DI110-DI117+DI124</f>
        <v>81.699999999999989</v>
      </c>
      <c r="DJ125" s="81">
        <f>IF(ISERROR((DI125/DA125-1)*100),"NA",IF(((DI125/DA125-1)*100)&gt;100,"NM",IF(((DI125/DA125-1)*100)&lt;-50,"NM",(DI125/DA125-1)*100)))</f>
        <v>0.49200492004923824</v>
      </c>
      <c r="DK125" s="169">
        <f>DK110-DK117+DK124</f>
        <v>84.300000000000011</v>
      </c>
      <c r="DL125" s="81">
        <f>IF(ISERROR((DK125/DC125-1)*100),"NA",IF(((DK125/DC125-1)*100)&gt;100,"NM",IF(((DK125/DC125-1)*100)&lt;-50,"NM",(DK125/DC125-1)*100)))</f>
        <v>43.12393887945678</v>
      </c>
      <c r="DM125" s="169">
        <f>DM110-DM117+DM124</f>
        <v>82.100000000000023</v>
      </c>
      <c r="DN125" s="81">
        <f>IF(ISERROR((DM125/DE125-1)*100),"NA",IF(((DM125/DE125-1)*100)&gt;100,"NM",IF(((DM125/DE125-1)*100)&lt;-50,"NM",(DM125/DE125-1)*100)))</f>
        <v>1.108374384236499</v>
      </c>
      <c r="DO125" s="169">
        <f>DO110-DO117+DO124</f>
        <v>89.100000000000023</v>
      </c>
      <c r="DP125" s="81">
        <f>IF(ISERROR((DO125/DG125-1)*100),"NA",IF(((DO125/DG125-1)*100)&gt;100,"NM",IF(((DO125/DG125-1)*100)&lt;-50,"NM",(DO125/DG125-1)*100)))</f>
        <v>8.0000000000000284</v>
      </c>
      <c r="DQ125" s="169">
        <f>DQ110-DQ117+DQ124</f>
        <v>87.699999999999989</v>
      </c>
      <c r="DR125" s="81">
        <f>IF(ISERROR((DQ125/DI125-1)*100),"NA",IF(((DQ125/DI125-1)*100)&gt;100,"NM",IF(((DQ125/DI125-1)*100)&lt;-50,"NM",(DQ125/DI125-1)*100)))</f>
        <v>7.3439412484700206</v>
      </c>
      <c r="DS125" s="169">
        <f>DS110-DS117+DS124</f>
        <v>93.800000000000011</v>
      </c>
      <c r="DT125" s="81">
        <f>IF(ISERROR((DS125/DK125-1)*100),"NA",IF(((DS125/DK125-1)*100)&gt;100,"NM",IF(((DS125/DK125-1)*100)&lt;-50,"NM",(DS125/DK125-1)*100)))</f>
        <v>11.26927639383155</v>
      </c>
      <c r="DU125" s="169">
        <f>DU110-DU117+DU124</f>
        <v>90.10000000000008</v>
      </c>
      <c r="DV125" s="81">
        <f>IF(ISERROR((DU125/DM125-1)*100),"NA",IF(((DU125/DM125-1)*100)&gt;100,"NM",IF(((DU125/DM125-1)*100)&lt;-50,"NM",(DU125/DM125-1)*100)))</f>
        <v>9.7442143727162644</v>
      </c>
      <c r="DW125" s="169">
        <f>DW110-DW117+DW124</f>
        <v>95.899999999999977</v>
      </c>
      <c r="DX125" s="81">
        <f>IF(ISERROR((DW125/DO125-1)*100),"NA",IF(((DW125/DO125-1)*100)&gt;100,"NM",IF(((DW125/DO125-1)*100)&lt;-50,"NM",(DW125/DO125-1)*100)))</f>
        <v>7.6318742985409083</v>
      </c>
      <c r="DY125" s="169">
        <f>DY110-DY117+DY124</f>
        <v>92.199999999999989</v>
      </c>
      <c r="DZ125" s="81">
        <f>IF(ISERROR((DY125/DQ125-1)*100),"NA",IF(((DY125/DQ125-1)*100)&gt;100,"NM",IF(((DY125/DQ125-1)*100)&lt;-50,"NM",(DY125/DQ125-1)*100)))</f>
        <v>5.1311288483466333</v>
      </c>
      <c r="EA125" s="169">
        <f>EA110-EA117+EA124</f>
        <v>94.500000000000057</v>
      </c>
      <c r="EB125" s="81">
        <f>IF(ISERROR((EA125/DS125-1)*100),"NA",IF(((EA125/DS125-1)*100)&gt;100,"NM",IF(((EA125/DS125-1)*100)&lt;-50,"NM",(EA125/DS125-1)*100)))</f>
        <v>0.74626865671647558</v>
      </c>
      <c r="EC125" s="169">
        <f>EC110-EC117+EC124</f>
        <v>94.39999999999992</v>
      </c>
      <c r="ED125" s="81">
        <f t="shared" ref="ED125:ED126" si="450">IF(ISERROR((EC125/DU125-1)*100),"NA",IF(((EC125/DU125-1)*100)&gt;100,"NM",IF(((EC125/DU125-1)*100)&lt;-50,"NM",(EC125/DU125-1)*100)))</f>
        <v>4.7724750277467587</v>
      </c>
      <c r="EE125" s="169">
        <f>EE110-EE117+EE124</f>
        <v>94.5</v>
      </c>
      <c r="EF125" s="81">
        <f t="shared" ref="EF125:EF126" si="451">IF(ISERROR((EE125/DW125-1)*100),"NA",IF(((EE125/DW125-1)*100)&gt;100,"NM",IF(((EE125/DW125-1)*100)&lt;-50,"NM",(EE125/DW125-1)*100)))</f>
        <v>-1.4598540145985162</v>
      </c>
      <c r="EG125" s="169">
        <f>EG110-EG117+EG124</f>
        <v>108.30000000000001</v>
      </c>
      <c r="EH125" s="81">
        <f t="shared" ref="EH125:EH126" si="452">IF(ISERROR((EG125/DY125-1)*100),"NA",IF(((EG125/DY125-1)*100)&gt;100,"NM",IF(((EG125/DY125-1)*100)&lt;-50,"NM",(EG125/DY125-1)*100)))</f>
        <v>17.462039045553169</v>
      </c>
      <c r="EI125" s="169">
        <f>EI110-EI117+EI124</f>
        <v>120.49999999999997</v>
      </c>
      <c r="EJ125" s="81">
        <f t="shared" ref="EJ125:EJ126" si="453">IF(ISERROR((EI125/EA125-1)*100),"NA",IF(((EI125/EA125-1)*100)&gt;100,"NM",IF(((EI125/EA125-1)*100)&lt;-50,"NM",(EI125/EA125-1)*100)))</f>
        <v>27.513227513227399</v>
      </c>
      <c r="EK125" s="169">
        <f t="shared" ref="EK125:EQ125" si="454">EK110-EK117+EK124</f>
        <v>98.466221399999995</v>
      </c>
      <c r="EL125" s="81">
        <f t="shared" ref="EL125:EL126" si="455">IF(ISERROR((EK125/EC125-1)*100),"NA",IF(((EK125/EC125-1)*100)&gt;100,"NM",IF(((EK125/EC125-1)*100)&lt;-50,"NM",(EK125/EC125-1)*100)))</f>
        <v>4.3074379237288962</v>
      </c>
      <c r="EM125" s="169">
        <f t="shared" si="454"/>
        <v>99.751249385200083</v>
      </c>
      <c r="EN125" s="81">
        <f t="shared" ref="EN125:EN126" si="456">IF(ISERROR((EM125/EE125-1)*100),"NA",IF(((EM125/EE125-1)*100)&gt;100,"NM",IF(((EM125/EE125-1)*100)&lt;-50,"NM",(EM125/EE125-1)*100)))</f>
        <v>5.5568776562963773</v>
      </c>
      <c r="EO125" s="169">
        <f t="shared" si="454"/>
        <v>101.05460845413364</v>
      </c>
      <c r="EP125" s="81">
        <f t="shared" ref="EP125:EP126" si="457">IF(ISERROR((EO125/EG125-1)*100),"NA",IF(((EO125/EG125-1)*100)&gt;100,"NM",IF(((EO125/EG125-1)*100)&lt;-50,"NM",(EO125/EG125-1)*100)))</f>
        <v>-6.6901122307168714</v>
      </c>
      <c r="EQ125" s="169">
        <f t="shared" si="454"/>
        <v>101.94428273594559</v>
      </c>
      <c r="ER125" s="81">
        <f t="shared" ref="ER125:ER126" si="458">IF(ISERROR((EQ125/EI125-1)*100),"NA",IF(((EQ125/EI125-1)*100)&gt;100,"NM",IF(((EQ125/EI125-1)*100)&lt;-50,"NM",(EQ125/EI125-1)*100)))</f>
        <v>-15.398935488841815</v>
      </c>
      <c r="ES125" s="82"/>
      <c r="ET125" s="469"/>
      <c r="EU125" s="82"/>
      <c r="EV125" s="169"/>
      <c r="EW125" s="79"/>
      <c r="EX125" s="169"/>
      <c r="EY125" s="79"/>
      <c r="EZ125" s="169"/>
      <c r="FA125" s="79"/>
      <c r="FB125" s="169"/>
      <c r="FC125" s="79"/>
      <c r="FD125" s="169">
        <f>FD110-FD117</f>
        <v>188.99999999999977</v>
      </c>
      <c r="FE125" s="79" t="str">
        <f>IF(ISERROR((FD125/FB125-1)*100),"NA",IF(((FD125/FB125-1)*100)&gt;100,"NM",IF(((FD125/FB125-1)*100)&lt;-50,"NM",(FD125/FB125-1)*100)))</f>
        <v>NA</v>
      </c>
      <c r="FF125" s="169">
        <f>FF110-FF117</f>
        <v>216.09999999999991</v>
      </c>
      <c r="FG125" s="79">
        <f>IF(ISERROR((FF125/FD125-1)*100),"NA",IF(((FF125/FD125-1)*100)&gt;100,"NM",IF(((FF125/FD125-1)*100)&lt;-50,"NM",(FF125/FD125-1)*100)))</f>
        <v>14.338624338624427</v>
      </c>
      <c r="FH125" s="169">
        <f>FH110-FH117</f>
        <v>180.09999999999991</v>
      </c>
      <c r="FI125" s="79">
        <f>IF(ISERROR((FH125/FF125-1)*100),"NA",IF(((FH125/FF125-1)*100)&gt;100,"NM",IF(((FH125/FF125-1)*100)&lt;-50,"NM",(FH125/FF125-1)*100)))</f>
        <v>-16.658954187875985</v>
      </c>
      <c r="FJ125" s="169">
        <f>FJ110-FJ117</f>
        <v>171.20000000000005</v>
      </c>
      <c r="FK125" s="79">
        <f>IF(ISERROR((FJ125/FH125-1)*100),"NA",IF(((FJ125/FH125-1)*100)&gt;100,"NM",IF(((FJ125/FH125-1)*100)&lt;-50,"NM",(FJ125/FH125-1)*100)))</f>
        <v>-4.9416990560798846</v>
      </c>
      <c r="FL125" s="169">
        <f>FL110-FL117</f>
        <v>218.80000000000041</v>
      </c>
      <c r="FM125" s="79">
        <f>IF(ISERROR((FL125/FJ125-1)*100),"NA",IF(((FL125/FJ125-1)*100)&gt;100,"NM",IF(((FL125/FJ125-1)*100)&lt;-50,"NM",(FL125/FJ125-1)*100)))</f>
        <v>27.803738317757222</v>
      </c>
      <c r="FN125" s="169">
        <f>FN110-FN117</f>
        <v>214.79999999999973</v>
      </c>
      <c r="FO125" s="79">
        <f>IF(ISERROR((FN125/FL125-1)*100),"NA",IF(((FN125/FL125-1)*100)&gt;100,"NM",IF(((FN125/FL125-1)*100)&lt;-50,"NM",(FN125/FL125-1)*100)))</f>
        <v>-1.8281535648997593</v>
      </c>
      <c r="FP125" s="169">
        <f>FP110-FP117</f>
        <v>271.79999999999995</v>
      </c>
      <c r="FQ125" s="79">
        <f>IF(ISERROR((FP125/FN125-1)*100),"NA",IF(((FP125/FN125-1)*100)&gt;100,"NM",IF(((FP125/FN125-1)*100)&lt;-50,"NM",(FP125/FN125-1)*100)))</f>
        <v>26.536312849162158</v>
      </c>
      <c r="FR125" s="169">
        <f>FR110-FR117</f>
        <v>247.10000000000002</v>
      </c>
      <c r="FS125" s="79">
        <f>IF(ISERROR((FR125/FP125-1)*100),"NA",IF(((FR125/FP125-1)*100)&gt;100,"NM",IF(((FR125/FP125-1)*100)&lt;-50,"NM",(FR125/FP125-1)*100)))</f>
        <v>-9.0875643855776076</v>
      </c>
      <c r="FT125" s="169">
        <f>FT110-FT117</f>
        <v>248.10000000000014</v>
      </c>
      <c r="FU125" s="79">
        <f>IF(ISERROR((FT125/FR125-1)*100),"NA",IF(((FT125/FR125-1)*100)&gt;100,"NM",IF(((FT125/FR125-1)*100)&lt;-50,"NM",(FT125/FR125-1)*100)))</f>
        <v>0.40469445568600548</v>
      </c>
      <c r="FV125" s="169">
        <f>FV110-FV117</f>
        <v>306.09999999999991</v>
      </c>
      <c r="FW125" s="79">
        <f>IF(ISERROR((FV125/FT125-1)*100),"NA",IF(((FV125/FT125-1)*100)&gt;100,"NM",IF(((FV125/FT125-1)*100)&lt;-50,"NM",(FV125/FT125-1)*100)))</f>
        <v>23.377670294236097</v>
      </c>
      <c r="FX125" s="169">
        <f>FX110-FX117+FX124</f>
        <v>331.59999999999968</v>
      </c>
      <c r="FY125" s="79">
        <f>IF(ISERROR((FX125/FV125-1)*100),"NA",IF(((FX125/FV125-1)*100)&gt;100,"NM",IF(((FX125/FV125-1)*100)&lt;-50,"NM",(FX125/FV125-1)*100)))</f>
        <v>8.3306109114667635</v>
      </c>
      <c r="FZ125" s="169">
        <f>FZ110-FZ117+FZ124</f>
        <v>294.20000000000027</v>
      </c>
      <c r="GA125" s="79">
        <f>IF(ISERROR((FZ125/FX125-1)*100),"NA",IF(((FZ125/FX125-1)*100)&gt;100,"NM",IF(((FZ125/FX125-1)*100)&lt;-50,"NM",(FZ125/FX125-1)*100)))</f>
        <v>-11.278648974668105</v>
      </c>
      <c r="GB125" s="169">
        <f>GB110-GB117+GB124</f>
        <v>329.69999999999982</v>
      </c>
      <c r="GC125" s="79">
        <f>IF(ISERROR((GB125/FZ125-1)*100),"NA",IF(((GB125/FZ125-1)*100)&gt;100,"NM",IF(((GB125/FZ125-1)*100)&lt;-50,"NM",(GB125/FZ125-1)*100)))</f>
        <v>12.066621346022943</v>
      </c>
      <c r="GD125" s="169">
        <f>GD110-GD117+GD124</f>
        <v>352.70000000000027</v>
      </c>
      <c r="GE125" s="79">
        <f>IF(ISERROR((GD125/GB125-1)*100),"NA",IF(((GD125/GB125-1)*100)&gt;100,"NM",IF(((GD125/GB125-1)*100)&lt;-50,"NM",(GD125/GB125-1)*100)))</f>
        <v>6.9760388231727255</v>
      </c>
      <c r="GF125" s="169">
        <f>GF110-GF117+GF124</f>
        <v>372.70000000000005</v>
      </c>
      <c r="GG125" s="79">
        <f>IF(ISERROR((GF125/GD125-1)*100),"NA",IF(((GF125/GD125-1)*100)&gt;100,"NM",IF(((GF125/GD125-1)*100)&lt;-50,"NM",(GF125/GD125-1)*100)))</f>
        <v>5.6705415367166889</v>
      </c>
      <c r="GH125" s="169">
        <f>GH110-GH117+GH124</f>
        <v>417.69999999999993</v>
      </c>
      <c r="GI125" s="79">
        <f>IF(ISERROR((GH125/GF125-1)*100),"NA",IF(((GH125/GF125-1)*100)&gt;100,"NM",IF(((GH125/GF125-1)*100)&lt;-50,"NM",(GH125/GF125-1)*100)))</f>
        <v>12.074054199087714</v>
      </c>
      <c r="GJ125" s="169">
        <f>GJ110-GJ117+GJ124</f>
        <v>401.21636197527914</v>
      </c>
      <c r="GK125" s="79">
        <f>IF(ISERROR((GJ125/GH125-1)*100),"NA",IF(((GJ125/GH125-1)*100)&gt;100,"NM",IF(((GJ125/GH125-1)*100)&lt;-50,"NM",(GJ125/GH125-1)*100)))</f>
        <v>-3.9462863358201594</v>
      </c>
      <c r="GL125" s="169">
        <f>GL110-GL117+GL124</f>
        <v>416.22289684887323</v>
      </c>
      <c r="GM125" s="79">
        <f>IF(ISERROR((GL125/GJ125-1)*100),"NA",IF(((GL125/GJ125-1)*100)&gt;100,"NM",IF(((GL125/GJ125-1)*100)&lt;-50,"NM",(GL125/GJ125-1)*100)))</f>
        <v>3.7402599434662953</v>
      </c>
      <c r="GN125" s="169">
        <f>GN110-GN117+GN124</f>
        <v>431.82812996939197</v>
      </c>
      <c r="GO125" s="79">
        <f>IF(ISERROR((GN125/GL125-1)*100),"NA",IF(((GN125/GL125-1)*100)&gt;100,"NM",IF(((GN125/GL125-1)*100)&lt;-50,"NM",(GN125/GL125-1)*100)))</f>
        <v>3.7492490775164811</v>
      </c>
      <c r="GP125" s="169">
        <f>GP110-GP117+GP124</f>
        <v>448.05744739427882</v>
      </c>
      <c r="GQ125" s="79">
        <f>IF(ISERROR((GP125/GN125-1)*100),"NA",IF(((GP125/GN125-1)*100)&gt;100,"NM",IF(((GP125/GN125-1)*100)&lt;-50,"NM",(GP125/GN125-1)*100)))</f>
        <v>3.7582816631323235</v>
      </c>
      <c r="GR125" s="169">
        <f>GR110-GR117+GR124</f>
        <v>461.31059094722605</v>
      </c>
      <c r="GS125" s="79">
        <f>IF(ISERROR((GR125/GP125-1)*100),"NA",IF(((GR125/GP125-1)*100)&gt;100,"NM",IF(((GR125/GP125-1)*100)&lt;-50,"NM",(GR125/GP125-1)*100)))</f>
        <v>2.9579116762866287</v>
      </c>
      <c r="GT125" s="79">
        <f>IF(ISERROR(((GR125/GH125)^0.2-1)*100),"NA",(IF(OR(((GR125/GH125)^0.2-1)*100&gt;99,((GR125/GH125)^0.2-1)*100&lt;-50),"NM",(((GR125/GH125)^0.2-1)*100))))</f>
        <v>2.0060169785684812</v>
      </c>
      <c r="GU125" s="562"/>
      <c r="GV125" s="562"/>
      <c r="GW125"/>
      <c r="GX125"/>
      <c r="GY125"/>
      <c r="GZ125"/>
      <c r="HA125"/>
      <c r="HB125"/>
      <c r="HC125" s="562"/>
      <c r="HD125" s="562"/>
      <c r="HE125" s="562"/>
      <c r="HF125" s="562"/>
      <c r="HG125" s="562"/>
      <c r="HH125" s="562"/>
      <c r="HI125" s="562"/>
      <c r="HJ125" s="562"/>
      <c r="HK125" s="562"/>
      <c r="HL125" s="562"/>
      <c r="HM125" s="562"/>
      <c r="HN125" s="562"/>
      <c r="HO125" s="562"/>
      <c r="HP125" s="562"/>
      <c r="HQ125" s="562"/>
      <c r="HR125" s="562"/>
      <c r="HS125" s="562"/>
      <c r="HT125" s="562"/>
      <c r="HU125" s="562"/>
      <c r="HV125" s="562"/>
      <c r="HW125" s="562"/>
      <c r="HX125" s="562"/>
      <c r="HY125" s="562"/>
      <c r="HZ125" s="562"/>
      <c r="IA125" s="562"/>
      <c r="IB125" s="562"/>
      <c r="IC125" s="562"/>
      <c r="ID125" s="562"/>
      <c r="IE125" s="562"/>
      <c r="IF125" s="562"/>
      <c r="IG125" s="562"/>
      <c r="IH125" s="562"/>
      <c r="II125" s="562"/>
      <c r="IJ125" s="562"/>
      <c r="IK125" s="562"/>
      <c r="IL125" s="562"/>
      <c r="IM125" s="562"/>
      <c r="IN125" s="562"/>
      <c r="IO125" s="562"/>
      <c r="IP125" s="562"/>
      <c r="IQ125" s="562"/>
      <c r="IR125" s="562"/>
      <c r="IS125" s="562"/>
      <c r="IT125" s="562"/>
      <c r="IU125" s="562"/>
      <c r="IV125" s="562"/>
      <c r="IW125" s="562"/>
      <c r="IX125" s="562"/>
      <c r="IY125" s="562"/>
      <c r="IZ125" s="562"/>
      <c r="JA125" s="562"/>
      <c r="JB125" s="562"/>
      <c r="JC125" s="562"/>
      <c r="JD125" s="562"/>
      <c r="JE125" s="562"/>
      <c r="JF125" s="562"/>
      <c r="JG125" s="562"/>
      <c r="JH125" s="562"/>
      <c r="JI125" s="562"/>
      <c r="JJ125" s="562"/>
      <c r="JK125" s="562"/>
      <c r="JL125" s="562"/>
      <c r="JM125" s="562"/>
      <c r="JN125" s="562"/>
      <c r="JO125" s="562"/>
      <c r="JP125" s="562"/>
      <c r="JQ125" s="562"/>
      <c r="JR125" s="562"/>
      <c r="JS125" s="562"/>
      <c r="JT125" s="562"/>
      <c r="JU125" s="562"/>
      <c r="JV125" s="562"/>
      <c r="JW125" s="562"/>
      <c r="JX125" s="562"/>
      <c r="JY125" s="562"/>
      <c r="JZ125" s="562"/>
    </row>
    <row r="126" spans="1:286" ht="12.75" customHeight="1" x14ac:dyDescent="0.2">
      <c r="A126" s="1"/>
      <c r="B126" s="2" t="s">
        <v>55</v>
      </c>
      <c r="C126" s="171"/>
      <c r="D126" s="171"/>
      <c r="E126" s="171"/>
      <c r="F126" s="171"/>
      <c r="G126" s="171"/>
      <c r="H126" s="171"/>
      <c r="I126" s="171"/>
      <c r="J126" s="171"/>
      <c r="K126" s="171"/>
      <c r="L126" s="79"/>
      <c r="M126" s="171"/>
      <c r="N126" s="79"/>
      <c r="O126" s="171"/>
      <c r="P126" s="79"/>
      <c r="Q126" s="171"/>
      <c r="R126" s="79"/>
      <c r="S126" s="171"/>
      <c r="T126" s="79"/>
      <c r="U126" s="171"/>
      <c r="V126" s="79"/>
      <c r="W126" s="171"/>
      <c r="X126" s="79"/>
      <c r="Y126" s="171"/>
      <c r="Z126" s="79"/>
      <c r="AA126" s="172"/>
      <c r="AB126" s="79"/>
      <c r="AC126" s="171">
        <f>+AC125/AC110*100</f>
        <v>14.951909064412696</v>
      </c>
      <c r="AD126" s="79" t="str">
        <f>IF(ISERROR((AC126/U126-1)*100),"NA",IF(((AC126/U126-1)*100)&gt;100,"NM",IF(((AC126/U126-1)*100)&lt;-50,"NM",(AC126/U126-1)*100)))</f>
        <v>NA</v>
      </c>
      <c r="AE126" s="171">
        <f>+AE125/AE110*100</f>
        <v>12.966200466200464</v>
      </c>
      <c r="AF126" s="79" t="str">
        <f>IF(ISERROR((AE126/W126-1)*100),"NA",IF(((AE126/W126-1)*100)&gt;100,"NM",IF(((AE126/W126-1)*100)&lt;-50,"NM",(AE126/W126-1)*100)))</f>
        <v>NA</v>
      </c>
      <c r="AG126" s="171">
        <f>+AG125/AG110*100</f>
        <v>12.057142857142853</v>
      </c>
      <c r="AH126" s="79" t="str">
        <f>IF(ISERROR((AG126/Y126-1)*100),"NA",IF(((AG126/Y126-1)*100)&gt;100,"NM",IF(((AG126/Y126-1)*100)&lt;-50,"NM",(AG126/Y126-1)*100)))</f>
        <v>NA</v>
      </c>
      <c r="AI126" s="171">
        <f>+AI125/AI110*100</f>
        <v>11.718966953624028</v>
      </c>
      <c r="AJ126" s="79" t="str">
        <f>IF(ISERROR((AI126/AA126-1)*100),"NA",IF(((AI126/AA126-1)*100)&gt;100,"NM",IF(((AI126/AA126-1)*100)&lt;-50,"NM",(AI126/AA126-1)*100)))</f>
        <v>NA</v>
      </c>
      <c r="AK126" s="171">
        <f>+AK125/AK110*100</f>
        <v>11.332605133806677</v>
      </c>
      <c r="AL126" s="79">
        <f>IF(ISERROR((AK126/AC126-1)*100),"NA",IF(((AK126/AC126-1)*100)&gt;100,"NM",IF(((AK126/AC126-1)*100)&lt;-50,"NM",(AK126/AC126-1)*100)))</f>
        <v>-24.206299777600904</v>
      </c>
      <c r="AM126" s="171">
        <f>+AM125/AM110*100</f>
        <v>11.576420378767665</v>
      </c>
      <c r="AN126" s="79">
        <f>IF(ISERROR((AM126/AE126-1)*100),"NA",IF(((AM126/AE126-1)*100)&gt;100,"NM",IF(((AM126/AE126-1)*100)&lt;-50,"NM",(AM126/AE126-1)*100)))</f>
        <v>-10.718483730492956</v>
      </c>
      <c r="AO126" s="171">
        <f>+AO125/AO110*100</f>
        <v>10.446971700608303</v>
      </c>
      <c r="AP126" s="79">
        <f>IF(ISERROR((AO126/AG126-1)*100),"NA",IF(((AO126/AG126-1)*100)&gt;100,"NM",IF(((AO126/AG126-1)*100)&lt;-50,"NM",(AO126/AG126-1)*100)))</f>
        <v>-13.354500113438217</v>
      </c>
      <c r="AQ126" s="171">
        <f>+AQ125/AQ110*100</f>
        <v>12.136929460580916</v>
      </c>
      <c r="AR126" s="79">
        <f>IF(ISERROR((AQ126/AI126-1)*100),"NA",IF(((AQ126/AI126-1)*100)&gt;100,"NM",IF(((AQ126/AI126-1)*100)&lt;-50,"NM",(AQ126/AI126-1)*100)))</f>
        <v>3.5665473638667011</v>
      </c>
      <c r="AS126" s="171">
        <f>+AS125/AS110*100</f>
        <v>14.035964035964035</v>
      </c>
      <c r="AT126" s="81">
        <f>IF(ISERROR((AS126/AK126-1)*100),"NA",IF(((AS126/AK126-1)*100)&gt;100,"NM",IF(((AS126/AK126-1)*100)&lt;-50,"NM",(AS126/AK126-1)*100)))</f>
        <v>23.854699517349953</v>
      </c>
      <c r="AU126" s="171">
        <f>+AU125/AU110*100</f>
        <v>12.11302211302209</v>
      </c>
      <c r="AV126" s="81">
        <f>IF(ISERROR((AU126/AM126-1)*100),"NA",IF(((AU126/AM126-1)*100)&gt;100,"NM",IF(((AU126/AM126-1)*100)&lt;-50,"NM",(AU126/AM126-1)*100)))</f>
        <v>4.6352993127185327</v>
      </c>
      <c r="AW126" s="171">
        <f>+AW125/AW110*100</f>
        <v>14.144815973057495</v>
      </c>
      <c r="AX126" s="81">
        <f>IF(ISERROR((AW126/AO126-1)*100),"NA",IF(((AW126/AO126-1)*100)&gt;100,"NM",IF(((AW126/AO126-1)*100)&lt;-50,"NM",(AW126/AO126-1)*100)))</f>
        <v>35.396327073747848</v>
      </c>
      <c r="AY126" s="171">
        <f>+AY125/AY110*100</f>
        <v>13.107263107263121</v>
      </c>
      <c r="AZ126" s="81">
        <f>IF(ISERROR((AY126/AQ126-1)*100),"NA",IF(((AY126/AQ126-1)*100)&gt;100,"NM",IF(((AY126/AQ126-1)*100)&lt;-50,"NM",(AY126/AQ126-1)*100)))</f>
        <v>7.9948857726636291</v>
      </c>
      <c r="BA126" s="171">
        <f>+BA125/BA110*100</f>
        <v>13.388927495946248</v>
      </c>
      <c r="BB126" s="81">
        <f>IF(ISERROR((BA126/AS126-1)*100),"NA",IF(((BA126/AS126-1)*100)&gt;100,"NM",IF(((BA126/AS126-1)*100)&lt;-50,"NM",(BA126/AS126-1)*100)))</f>
        <v>-4.6098475199843776</v>
      </c>
      <c r="BC126" s="171">
        <f>+BC125/BC110*100</f>
        <v>11.309933470979558</v>
      </c>
      <c r="BD126" s="81">
        <f>IF(ISERROR((BC126/AU126-1)*100),"NA",IF(((BC126/AU126-1)*100)&gt;100,"NM",IF(((BC126/AU126-1)*100)&lt;-50,"NM",(BC126/AU126-1)*100)))</f>
        <v>-6.629961000229434</v>
      </c>
      <c r="BE126" s="171">
        <f>+BE125/BE110*100</f>
        <v>11.324593128390577</v>
      </c>
      <c r="BF126" s="81">
        <f>IF(ISERROR((BE126/AW126-1)*100),"NA",IF(((BE126/AW126-1)*100)&gt;100,"NM",IF(((BE126/AW126-1)*100)&lt;-50,"NM",(BE126/AW126-1)*100)))</f>
        <v>-19.938208104218337</v>
      </c>
      <c r="BG126" s="171">
        <f>+BG125/BG110*100</f>
        <v>12.862885216614577</v>
      </c>
      <c r="BH126" s="81">
        <f>IF(ISERROR((BG126/AY126-1)*100),"NA",IF(((BG126/AY126-1)*100)&gt;100,"NM",IF(((BG126/AY126-1)*100)&lt;-50,"NM",(BG126/AY126-1)*100)))</f>
        <v>-1.8644463657186083</v>
      </c>
      <c r="BI126" s="171">
        <f>+BI125/BI110*100</f>
        <v>13.499570077386073</v>
      </c>
      <c r="BJ126" s="81">
        <f>IF(ISERROR((BI126/BA126-1)*100),"NA",IF(((BI126/BA126-1)*100)&gt;100,"NM",IF(((BI126/BA126-1)*100)&lt;-50,"NM",(BI126/BA126-1)*100)))</f>
        <v>0.82637374407563691</v>
      </c>
      <c r="BK126" s="171">
        <f>+BK125/BK110*100</f>
        <v>14.831223628691964</v>
      </c>
      <c r="BL126" s="81">
        <f>IF(ISERROR((BK126/BC126-1)*100),"NA",IF(((BK126/BC126-1)*100)&gt;100,"NM",IF(((BK126/BC126-1)*100)&lt;-50,"NM",(BK126/BC126-1)*100)))</f>
        <v>31.134490461396357</v>
      </c>
      <c r="BM126" s="171">
        <f>+BM125/BM110*100</f>
        <v>13.770833333333327</v>
      </c>
      <c r="BN126" s="81">
        <f>IF(ISERROR((BM126/BE126-1)*100),"NA",IF(((BM126/BE126-1)*100)&gt;100,"NM",IF(((BM126/BE126-1)*100)&lt;-50,"NM",(BM126/BE126-1)*100)))</f>
        <v>21.601131071191105</v>
      </c>
      <c r="BO126" s="171">
        <f>+BO125/BO110*100</f>
        <v>14.843590267838882</v>
      </c>
      <c r="BP126" s="81">
        <f>IF(ISERROR((BO126/BG126-1)*100),"NA",IF(((BO126/BG126-1)*100)&gt;100,"NM",IF(((BO126/BG126-1)*100)&lt;-50,"NM",(BO126/BG126-1)*100)))</f>
        <v>15.398606283650039</v>
      </c>
      <c r="BQ126" s="171">
        <f>+BQ125/BQ110*100</f>
        <v>15.393771077167221</v>
      </c>
      <c r="BR126" s="81">
        <f>IF(ISERROR((BQ126/BI126-1)*100),"NA",IF(((BQ126/BI126-1)*100)&gt;100,"NM",IF(((BQ126/BI126-1)*100)&lt;-50,"NM",(BQ126/BI126-1)*100)))</f>
        <v>14.031565367805566</v>
      </c>
      <c r="BS126" s="171">
        <f>+BS125/BS110*100</f>
        <v>14.600117901355858</v>
      </c>
      <c r="BT126" s="81">
        <f>IF(ISERROR((BS126/BK126-1)*100),"NA",IF(((BS126/BK126-1)*100)&gt;100,"NM",IF(((BS126/BK126-1)*100)&lt;-50,"NM",(BS126/BK126-1)*100)))</f>
        <v>-1.5582377632619382</v>
      </c>
      <c r="BU126" s="171">
        <f>+BU125/BU110*100</f>
        <v>14.297045409478468</v>
      </c>
      <c r="BV126" s="81">
        <f>IF(ISERROR((BU126/BM126-1)*100),"NA",IF(((BU126/BM126-1)*100)&gt;100,"NM",IF(((BU126/BM126-1)*100)&lt;-50,"NM",(BU126/BM126-1)*100)))</f>
        <v>3.8212072095259897</v>
      </c>
      <c r="BW126" s="171">
        <f>+BW125/BW110*100</f>
        <v>16.343873517786552</v>
      </c>
      <c r="BX126" s="81">
        <f>IF(ISERROR((BW126/BO126-1)*100),"NA",IF(((BW126/BO126-1)*100)&gt;100,"NM",IF(((BW126/BO126-1)*100)&lt;-50,"NM",(BW126/BO126-1)*100)))</f>
        <v>10.107280131534502</v>
      </c>
      <c r="BY126" s="171">
        <f>+BY125/BY110*100</f>
        <v>18.553978210630572</v>
      </c>
      <c r="BZ126" s="81">
        <f>IF(ISERROR((BY126/BQ126-1)*100),"NA",IF(((BY126/BQ126-1)*100)&gt;100,"NM",IF(((BY126/BQ126-1)*100)&lt;-50,"NM",(BY126/BQ126-1)*100)))</f>
        <v>20.529129071892726</v>
      </c>
      <c r="CA126" s="171">
        <f>+CA125/CA110*100</f>
        <v>21.372804163955756</v>
      </c>
      <c r="CB126" s="81">
        <f>IF(ISERROR((CA126/BS126-1)*100),"NA",IF(((CA126/BS126-1)*100)&gt;100,"NM",IF(((CA126/BS126-1)*100)&lt;-50,"NM",(CA126/BS126-1)*100)))</f>
        <v>46.38788747021654</v>
      </c>
      <c r="CC126" s="171">
        <f>+CC125/CC110*100</f>
        <v>20.164203612479476</v>
      </c>
      <c r="CD126" s="81">
        <f>IF(ISERROR((CC126/BU126-1)*100),"NA",IF(((CC126/BU126-1)*100)&gt;100,"NM",IF(((CC126/BU126-1)*100)&lt;-50,"NM",(CC126/BU126-1)*100)))</f>
        <v>41.037557306149949</v>
      </c>
      <c r="CE126" s="171">
        <f>+CE125/CE110*100</f>
        <v>21.252869793374877</v>
      </c>
      <c r="CF126" s="81">
        <f>IF(ISERROR((CE126/BW126-1)*100),"NA",IF(((CE126/BW126-1)*100)&gt;100,"NM",IF(((CE126/BW126-1)*100)&lt;-50,"NM",(CE126/BW126-1)*100)))</f>
        <v>30.03569668014141</v>
      </c>
      <c r="CG126" s="171">
        <f>+CG125/CG110*100</f>
        <v>21.629213483146067</v>
      </c>
      <c r="CH126" s="81">
        <f>IF(ISERROR((CG126/BY126-1)*100),"NA",IF(((CG126/BY126-1)*100)&gt;100,"NM",IF(((CG126/BY126-1)*100)&lt;-50,"NM",(CG126/BY126-1)*100)))</f>
        <v>16.574533168059503</v>
      </c>
      <c r="CI126" s="171">
        <f>+CI125/CI110*100</f>
        <v>23.40625</v>
      </c>
      <c r="CJ126" s="81">
        <f>IF(ISERROR((CI126/CA126-1)*100),"NA",IF(((CI126/CA126-1)*100)&gt;100,"NM",IF(((CI126/CA126-1)*100)&lt;-50,"NM",(CI126/CA126-1)*100)))</f>
        <v>9.5141742770167514</v>
      </c>
      <c r="CK126" s="171">
        <f>+CK125/CK110*100</f>
        <v>26.287855135810172</v>
      </c>
      <c r="CL126" s="81">
        <f>IF(ISERROR((CK126/CC126-1)*100),"NA",IF(((CK126/CC126-1)*100)&gt;100,"NM",IF(((CK126/CC126-1)*100)&lt;-50,"NM",(CK126/CC126-1)*100)))</f>
        <v>30.368923271240988</v>
      </c>
      <c r="CM126" s="171">
        <f>+CM125/CM110*100</f>
        <v>23.915050784856877</v>
      </c>
      <c r="CN126" s="81">
        <f>IF(ISERROR((CM126/CE126-1)*100),"NA",IF(((CM126/CE126-1)*100)&gt;100,"NM",IF(((CM126/CE126-1)*100)&lt;-50,"NM",(CM126/CE126-1)*100)))</f>
        <v>12.526218893562691</v>
      </c>
      <c r="CO126" s="171">
        <f>+CO125/CO110*100</f>
        <v>23.156038789303558</v>
      </c>
      <c r="CP126" s="81">
        <f>IF(ISERROR((CO126/CG126-1)*100),"NA",IF(((CO126/CG126-1)*100)&gt;100,"NM",IF(((CO126/CG126-1)*100)&lt;-50,"NM",(CO126/CG126-1)*100)))</f>
        <v>7.0590884284684075</v>
      </c>
      <c r="CQ126" s="171">
        <f>+CQ125/CQ110*100</f>
        <v>25</v>
      </c>
      <c r="CR126" s="81">
        <f>IF(ISERROR((CQ126/CI126-1)*100),"NA",IF(((CQ126/CI126-1)*100)&gt;100,"NM",IF(((CQ126/CI126-1)*100)&lt;-50,"NM",(CQ126/CI126-1)*100)))</f>
        <v>6.809078771695587</v>
      </c>
      <c r="CS126" s="171">
        <f>+CS125/CS110*100</f>
        <v>25.377554042049155</v>
      </c>
      <c r="CT126" s="81">
        <f>IF(ISERROR((CS126/CK126-1)*100),"NA",IF(((CS126/CK126-1)*100)&gt;100,"NM",IF(((CS126/CK126-1)*100)&lt;-50,"NM",(CS126/CK126-1)*100)))</f>
        <v>-3.4628199564329387</v>
      </c>
      <c r="CU126" s="171">
        <f>+CU125/CU110*100</f>
        <v>24.366074030894776</v>
      </c>
      <c r="CV126" s="81">
        <f>IF(ISERROR((CU126/CM126-1)*100),"NA",IF(((CU126/CM126-1)*100)&gt;100,"NM",IF(((CU126/CM126-1)*100)&lt;-50,"NM",(CU126/CM126-1)*100)))</f>
        <v>1.8859389013862637</v>
      </c>
      <c r="CW126" s="171">
        <f>+CW125/CW110*100</f>
        <v>20.373027259684349</v>
      </c>
      <c r="CX126" s="81">
        <f>IF(ISERROR((CW126/CO126-1)*100),"NA",IF(((CW126/CO126-1)*100)&gt;100,"NM",IF(((CW126/CO126-1)*100)&lt;-50,"NM",(CW126/CO126-1)*100)))</f>
        <v>-12.01851298895199</v>
      </c>
      <c r="CY126" s="171">
        <f>+CY125/CY110*100</f>
        <v>24.383078730904813</v>
      </c>
      <c r="CZ126" s="81">
        <f>IF(ISERROR((CY126/CQ126-1)*100),"NA",IF(((CY126/CQ126-1)*100)&gt;100,"NM",IF(((CY126/CQ126-1)*100)&lt;-50,"NM",(CY126/CQ126-1)*100)))</f>
        <v>-2.4676850763807434</v>
      </c>
      <c r="DA126" s="171">
        <f>+DA125/DA110*100</f>
        <v>23.975228546151566</v>
      </c>
      <c r="DB126" s="81">
        <f>IF(ISERROR((DA126/CS126-1)*100),"NA",IF(((DA126/CS126-1)*100)&gt;100,"NM",IF(((DA126/CS126-1)*100)&lt;-50,"NM",(DA126/CS126-1)*100)))</f>
        <v>-5.5258497078718332</v>
      </c>
      <c r="DC126" s="171">
        <f>+DC125/DC110*100</f>
        <v>17.127071823204414</v>
      </c>
      <c r="DD126" s="81">
        <f>IF(ISERROR((DC126/CU126-1)*100),"NA",IF(((DC126/CU126-1)*100)&gt;100,"NM",IF(((DC126/CU126-1)*100)&lt;-50,"NM",(DC126/CU126-1)*100)))</f>
        <v>-29.709349969600051</v>
      </c>
      <c r="DE126" s="171">
        <f>+DE125/DE110*100</f>
        <v>22.719641857862339</v>
      </c>
      <c r="DF126" s="81">
        <f>IF(ISERROR((DE126/CW126-1)*100),"NA",IF(((DE126/CW126-1)*100)&gt;100,"NM",IF(((DE126/CW126-1)*100)&lt;-50,"NM",(DE126/CW126-1)*100)))</f>
        <v>11.518242076972252</v>
      </c>
      <c r="DG126" s="171">
        <f>+DG125/DG110*100</f>
        <v>23.311669963266461</v>
      </c>
      <c r="DH126" s="81">
        <f>IF(ISERROR((DG126/CY126-1)*100),"NA",IF(((DG126/CY126-1)*100)&gt;100,"NM",IF(((DG126/CY126-1)*100)&lt;-50,"NM",(DG126/CY126-1)*100)))</f>
        <v>-4.3940668012541595</v>
      </c>
      <c r="DI126" s="171">
        <f>+DI125/DI110*100</f>
        <v>23.26972372543435</v>
      </c>
      <c r="DJ126" s="81">
        <f>IF(ISERROR((DI126/DA126-1)*100),"NA",IF(((DI126/DA126-1)*100)&gt;100,"NM",IF(((DI126/DA126-1)*100)&lt;-50,"NM",(DI126/DA126-1)*100)))</f>
        <v>-2.9426406482805478</v>
      </c>
      <c r="DK126" s="171">
        <f>+DK125/DK110*100</f>
        <v>23.74647887323944</v>
      </c>
      <c r="DL126" s="81">
        <f>IF(ISERROR((DK126/DC126-1)*100),"NA",IF(((DK126/DC126-1)*100)&gt;100,"NM",IF(((DK126/DC126-1)*100)&lt;-50,"NM",(DK126/DC126-1)*100)))</f>
        <v>38.648796001817431</v>
      </c>
      <c r="DM126" s="171">
        <f>+DM125/DM110*100</f>
        <v>22.00482444384884</v>
      </c>
      <c r="DN126" s="81">
        <f>IF(ISERROR((DM126/DE126-1)*100),"NA",IF(((DM126/DE126-1)*100)&gt;100,"NM",IF(((DM126/DE126-1)*100)&lt;-50,"NM",(DM126/DE126-1)*100)))</f>
        <v>-3.1462530020741952</v>
      </c>
      <c r="DO126" s="171">
        <f>+DO125/DO110*100</f>
        <v>24.165988608624904</v>
      </c>
      <c r="DP126" s="81">
        <f>IF(ISERROR((DO126/DG126-1)*100),"NA",IF(((DO126/DG126-1)*100)&gt;100,"NM",IF(((DO126/DG126-1)*100)&lt;-50,"NM",(DO126/DG126-1)*100)))</f>
        <v>3.6647681041497293</v>
      </c>
      <c r="DQ126" s="171">
        <f>+DQ125/DQ110*100</f>
        <v>23.728354978354975</v>
      </c>
      <c r="DR126" s="81">
        <f>IF(ISERROR((DQ126/DI126-1)*100),"NA",IF(((DQ126/DI126-1)*100)&gt;100,"NM",IF(((DQ126/DI126-1)*100)&lt;-50,"NM",(DQ126/DI126-1)*100)))</f>
        <v>1.9709355312170329</v>
      </c>
      <c r="DS126" s="171">
        <f>+DS125/DS110*100</f>
        <v>24.993338662403414</v>
      </c>
      <c r="DT126" s="81">
        <f>IF(ISERROR((DS126/DK126-1)*100),"NA",IF(((DS126/DK126-1)*100)&gt;100,"NM",IF(((DS126/DK126-1)*100)&lt;-50,"NM",(DS126/DK126-1)*100)))</f>
        <v>5.250714414628832</v>
      </c>
      <c r="DU126" s="171">
        <f>+DU125/DU110*100</f>
        <v>23.084806559057153</v>
      </c>
      <c r="DV126" s="81">
        <f>IF(ISERROR((DU126/DM126-1)*100),"NA",IF(((DU126/DM126-1)*100)&gt;100,"NM",IF(((DU126/DM126-1)*100)&lt;-50,"NM",(DU126/DM126-1)*100)))</f>
        <v>4.9079333396372826</v>
      </c>
      <c r="DW126" s="171">
        <f>+DW125/DW110*100</f>
        <v>24.596050269299816</v>
      </c>
      <c r="DX126" s="81">
        <f>IF(ISERROR((DW126/DO126-1)*100),"NA",IF(((DW126/DO126-1)*100)&gt;100,"NM",IF(((DW126/DO126-1)*100)&lt;-50,"NM",(DW126/DO126-1)*100)))</f>
        <v>1.7796154241396245</v>
      </c>
      <c r="DY126" s="171">
        <f>+DY125/DY110*100</f>
        <v>22.675848499754053</v>
      </c>
      <c r="DZ126" s="81">
        <f>IF(ISERROR((DY126/DQ126-1)*100),"NA",IF(((DY126/DQ126-1)*100)&gt;100,"NM",IF(((DY126/DQ126-1)*100)&lt;-50,"NM",(DY126/DQ126-1)*100)))</f>
        <v>-4.435648739919051</v>
      </c>
      <c r="EA126" s="171">
        <f>+EA125/EA110*100</f>
        <v>23.356401384083057</v>
      </c>
      <c r="EB126" s="81">
        <f>IF(ISERROR((EA126/DS126-1)*100),"NA",IF(((EA126/DS126-1)*100)&gt;100,"NM",IF(((EA126/DS126-1)*100)&lt;-50,"NM",(EA126/DS126-1)*100)))</f>
        <v>-6.5494942489725982</v>
      </c>
      <c r="EC126" s="171">
        <f>+EC125/EC110*100</f>
        <v>22.118088097469524</v>
      </c>
      <c r="ED126" s="81">
        <f t="shared" si="450"/>
        <v>-4.1876827475876954</v>
      </c>
      <c r="EE126" s="171">
        <f>+EE125/EE110*100</f>
        <v>22.282480547040791</v>
      </c>
      <c r="EF126" s="81">
        <f t="shared" si="451"/>
        <v>-9.4062652211553086</v>
      </c>
      <c r="EG126" s="171">
        <f>+EG125/EG110*100</f>
        <v>25.86577501791259</v>
      </c>
      <c r="EH126" s="81">
        <f t="shared" si="452"/>
        <v>14.067506749276149</v>
      </c>
      <c r="EI126" s="171">
        <f>+EI125/EI110*100</f>
        <v>28.663177925784961</v>
      </c>
      <c r="EJ126" s="81">
        <f t="shared" si="453"/>
        <v>22.720865489657037</v>
      </c>
      <c r="EK126" s="171">
        <f t="shared" ref="EK126:EQ126" si="459">+EK125/EK110*100</f>
        <v>23.034262739626815</v>
      </c>
      <c r="EL126" s="81">
        <f t="shared" si="455"/>
        <v>4.1421963694145303</v>
      </c>
      <c r="EM126" s="171">
        <f t="shared" si="459"/>
        <v>22.948365443486537</v>
      </c>
      <c r="EN126" s="81">
        <f t="shared" si="456"/>
        <v>2.9883786728321704</v>
      </c>
      <c r="EO126" s="171">
        <f t="shared" si="459"/>
        <v>22.862964566576775</v>
      </c>
      <c r="EP126" s="81">
        <f t="shared" si="457"/>
        <v>-11.609203471600239</v>
      </c>
      <c r="EQ126" s="171">
        <f t="shared" si="459"/>
        <v>22.755155648131485</v>
      </c>
      <c r="ER126" s="81">
        <f t="shared" si="458"/>
        <v>-20.611888510585242</v>
      </c>
      <c r="ES126" s="82"/>
      <c r="ET126" s="469"/>
      <c r="EU126" s="82"/>
      <c r="EV126" s="171"/>
      <c r="EW126" s="79"/>
      <c r="EX126" s="171"/>
      <c r="EY126" s="79"/>
      <c r="EZ126" s="171"/>
      <c r="FA126" s="79"/>
      <c r="FB126" s="171"/>
      <c r="FC126" s="79"/>
      <c r="FD126" s="171">
        <f>+FD125/FD110*100</f>
        <v>17.385705086928507</v>
      </c>
      <c r="FE126" s="79" t="str">
        <f>IF(ISERROR((FD126/FB126-1)*100),"NA",IF(((FD126/FB126-1)*100)&gt;100,"NM",IF(((FD126/FB126-1)*100)&lt;-50,"NM",(FD126/FB126-1)*100)))</f>
        <v>NA</v>
      </c>
      <c r="FF126" s="171">
        <f>+FF125/FF110*100</f>
        <v>16.746745195288273</v>
      </c>
      <c r="FG126" s="79">
        <f>IF(ISERROR((FF126/FD126-1)*100),"NA",IF(((FF126/FD126-1)*100)&gt;100,"NM",IF(((FF126/FD126-1)*100)&lt;-50,"NM",(FF126/FD126-1)*100)))</f>
        <v>-3.6752026359899381</v>
      </c>
      <c r="FH126" s="171">
        <f>+FH125/FH110*100</f>
        <v>12.897450587224284</v>
      </c>
      <c r="FI126" s="79">
        <f>IF(ISERROR((FH126/FF126-1)*100),"NA",IF(((FH126/FF126-1)*100)&gt;100,"NM",IF(((FH126/FF126-1)*100)&lt;-50,"NM",(FH126/FF126-1)*100)))</f>
        <v>-22.985329765135464</v>
      </c>
      <c r="FJ126" s="171">
        <f>+FJ125/FJ110*100</f>
        <v>11.376927166400854</v>
      </c>
      <c r="FK126" s="79">
        <f>IF(ISERROR((FJ126/FH126-1)*100),"NA",IF(((FJ126/FH126-1)*100)&gt;100,"NM",IF(((FJ126/FH126-1)*100)&lt;-50,"NM",(FJ126/FH126-1)*100)))</f>
        <v>-11.789333175112937</v>
      </c>
      <c r="FL126" s="171">
        <f>+FL125/FL110*100</f>
        <v>13.350417963268068</v>
      </c>
      <c r="FM126" s="79">
        <f>IF(ISERROR((FL126/FJ126-1)*100),"NA",IF(((FL126/FJ126-1)*100)&gt;100,"NM",IF(((FL126/FJ126-1)*100)&lt;-50,"NM",(FL126/FJ126-1)*100)))</f>
        <v>17.346430789286103</v>
      </c>
      <c r="FN126" s="171">
        <f>+FN125/FN110*100</f>
        <v>12.219820229832731</v>
      </c>
      <c r="FO126" s="79">
        <f>IF(ISERROR((FN126/FL126-1)*100),"NA",IF(((FN126/FL126-1)*100)&gt;100,"NM",IF(((FN126/FL126-1)*100)&lt;-50,"NM",(FN126/FL126-1)*100)))</f>
        <v>-8.4686317428115725</v>
      </c>
      <c r="FP126" s="171">
        <f>+FP125/FP110*100</f>
        <v>14.243043546612167</v>
      </c>
      <c r="FQ126" s="79">
        <f>IF(ISERROR((FP126/FN126-1)*100),"NA",IF(((FP126/FN126-1)*100)&gt;100,"NM",IF(((FP126/FN126-1)*100)&lt;-50,"NM",(FP126/FN126-1)*100)))</f>
        <v>16.556899191037687</v>
      </c>
      <c r="FR126" s="171">
        <f>+FR125/FR110*100</f>
        <v>21.255913978494625</v>
      </c>
      <c r="FS126" s="79">
        <f>IF(ISERROR((FR126/FP126-1)*100),"NA",IF(((FR126/FP126-1)*100)&gt;100,"NM",IF(((FR126/FP126-1)*100)&lt;-50,"NM",(FR126/FP126-1)*100)))</f>
        <v>49.237162049894387</v>
      </c>
      <c r="FT126" s="171">
        <f>+FT125/FT110*100</f>
        <v>20.341067475608767</v>
      </c>
      <c r="FU126" s="79">
        <f>IF(ISERROR((FT126/FR126-1)*100),"NA",IF(((FT126/FR126-1)*100)&gt;100,"NM",IF(((FT126/FR126-1)*100)&lt;-50,"NM",(FT126/FR126-1)*100)))</f>
        <v>-4.3039621999385265</v>
      </c>
      <c r="FV126" s="171">
        <f>+FV125/FV110*100</f>
        <v>23.809894212818911</v>
      </c>
      <c r="FW126" s="79">
        <f>IF(ISERROR((FV126/FT126-1)*100),"NA",IF(((FV126/FT126-1)*100)&gt;100,"NM",IF(((FV126/FT126-1)*100)&lt;-50,"NM",(FV126/FT126-1)*100)))</f>
        <v>17.053317095426081</v>
      </c>
      <c r="FX126" s="171">
        <f>+FX125/FX110*100</f>
        <v>24.389526331273885</v>
      </c>
      <c r="FY126" s="79">
        <f>IF(ISERROR((FX126/FV126-1)*100),"NA",IF(((FX126/FV126-1)*100)&gt;100,"NM",IF(((FX126/FV126-1)*100)&lt;-50,"NM",(FX126/FV126-1)*100)))</f>
        <v>2.4344170254352093</v>
      </c>
      <c r="FZ126" s="171">
        <f>+FZ125/FZ110*100</f>
        <v>21.444711713681773</v>
      </c>
      <c r="GA126" s="79">
        <f>IF(ISERROR((FZ126/FX126-1)*100),"NA",IF(((FZ126/FX126-1)*100)&gt;100,"NM",IF(((FZ126/FX126-1)*100)&lt;-50,"NM",(FZ126/FX126-1)*100)))</f>
        <v>-12.074095157051378</v>
      </c>
      <c r="GB126" s="171">
        <f>+GB125/GB110*100</f>
        <v>23.260900239875816</v>
      </c>
      <c r="GC126" s="79">
        <f>IF(ISERROR((GB126/FZ126-1)*100),"NA",IF(((GB126/FZ126-1)*100)&gt;100,"NM",IF(((GB126/FZ126-1)*100)&lt;-50,"NM",(GB126/FZ126-1)*100)))</f>
        <v>8.4691673660285627</v>
      </c>
      <c r="GD126" s="171">
        <f>+GD125/GD110*100</f>
        <v>23.72368332548599</v>
      </c>
      <c r="GE126" s="79">
        <f>IF(ISERROR((GD126/GB126-1)*100),"NA",IF(((GD126/GB126-1)*100)&gt;100,"NM",IF(((GD126/GB126-1)*100)&lt;-50,"NM",(GD126/GB126-1)*100)))</f>
        <v>1.9895321369240548</v>
      </c>
      <c r="GF126" s="171">
        <f>+GF125/GF110*100</f>
        <v>23.41963051401282</v>
      </c>
      <c r="GG126" s="79">
        <f>IF(ISERROR((GF126/GD126-1)*100),"NA",IF(((GF126/GD126-1)*100)&gt;100,"NM",IF(((GF126/GD126-1)*100)&lt;-50,"NM",(GF126/GD126-1)*100)))</f>
        <v>-1.2816425143667765</v>
      </c>
      <c r="GH126" s="171">
        <f>+GH125/GH110*100</f>
        <v>24.715976331360945</v>
      </c>
      <c r="GI126" s="79">
        <f>IF(ISERROR((GH126/GF126-1)*100),"NA",IF(((GH126/GF126-1)*100)&gt;100,"NM",IF(((GH126/GF126-1)*100)&lt;-50,"NM",(GH126/GF126-1)*100)))</f>
        <v>5.5352957706675809</v>
      </c>
      <c r="GJ126" s="171">
        <f>+GJ125/GJ110*100</f>
        <v>22.898377356046247</v>
      </c>
      <c r="GK126" s="79">
        <f>IF(ISERROR((GJ126/GH126-1)*100),"NA",IF(((GJ126/GH126-1)*100)&gt;100,"NM",IF(((GJ126/GH126-1)*100)&lt;-50,"NM",(GJ126/GH126-1)*100)))</f>
        <v>-7.3539436635907123</v>
      </c>
      <c r="GL126" s="171">
        <f>+GL125/GL110*100</f>
        <v>22.685977304147919</v>
      </c>
      <c r="GM126" s="79">
        <f>IF(ISERROR((GL126/GJ126-1)*100),"NA",IF(((GL126/GJ126-1)*100)&gt;100,"NM",IF(((GL126/GJ126-1)*100)&lt;-50,"NM",(GL126/GJ126-1)*100)))</f>
        <v>-0.92757686973066189</v>
      </c>
      <c r="GN126" s="171">
        <f>+GN125/GN110*100</f>
        <v>22.476482867701943</v>
      </c>
      <c r="GO126" s="79">
        <f>IF(ISERROR((GN126/GL126-1)*100),"NA",IF(((GN126/GL126-1)*100)&gt;100,"NM",IF(((GN126/GL126-1)*100)&lt;-50,"NM",(GN126/GL126-1)*100)))</f>
        <v>-0.92345343397514101</v>
      </c>
      <c r="GP126" s="171">
        <f>+GP125/GP110*100</f>
        <v>22.269872777375824</v>
      </c>
      <c r="GQ126" s="79">
        <f>IF(ISERROR((GP126/GN126-1)*100),"NA",IF(((GP126/GN126-1)*100)&gt;100,"NM",IF(((GP126/GN126-1)*100)&lt;-50,"NM",(GP126/GN126-1)*100)))</f>
        <v>-0.91922785047038325</v>
      </c>
      <c r="GR126" s="171">
        <f>+GR125/GR110*100</f>
        <v>21.893996910644908</v>
      </c>
      <c r="GS126" s="79">
        <f>IF(ISERROR((GR126/GP126-1)*100),"NA",IF(((GR126/GP126-1)*100)&gt;100,"NM",IF(((GR126/GP126-1)*100)&lt;-50,"NM",(GR126/GP126-1)*100)))</f>
        <v>-1.6878222452746616</v>
      </c>
      <c r="GT126" s="79">
        <f>IF(ISERROR(((GR126/GH126)^0.2-1)*100),"NA",(IF(OR(((GR126/GH126)^0.2-1)*100&gt;99,((GR126/GH126)^0.2-1)*100&lt;-50),"NM",(((GR126/GH126)^0.2-1)*100))))</f>
        <v>-2.3955864506906233</v>
      </c>
    </row>
    <row r="127" spans="1:286" ht="12.75" customHeight="1" x14ac:dyDescent="0.2">
      <c r="A127" s="1"/>
      <c r="B127" s="2"/>
      <c r="C127" s="171"/>
      <c r="D127" s="171"/>
      <c r="E127" s="171"/>
      <c r="F127" s="171"/>
      <c r="G127" s="171"/>
      <c r="H127" s="171"/>
      <c r="I127" s="171"/>
      <c r="J127" s="171"/>
      <c r="K127" s="171"/>
      <c r="L127" s="79"/>
      <c r="M127" s="171"/>
      <c r="N127" s="79"/>
      <c r="O127" s="171"/>
      <c r="P127" s="79"/>
      <c r="Q127" s="171"/>
      <c r="R127" s="79"/>
      <c r="S127" s="171"/>
      <c r="T127" s="79"/>
      <c r="U127" s="171"/>
      <c r="V127" s="79"/>
      <c r="W127" s="171"/>
      <c r="X127" s="79"/>
      <c r="Y127" s="171"/>
      <c r="Z127" s="79"/>
      <c r="AA127" s="172"/>
      <c r="AB127" s="79"/>
      <c r="AC127" s="171"/>
      <c r="AD127" s="79"/>
      <c r="AE127" s="171"/>
      <c r="AF127" s="79"/>
      <c r="AG127" s="171"/>
      <c r="AH127" s="79"/>
      <c r="AI127" s="171"/>
      <c r="AJ127" s="79"/>
      <c r="AK127" s="171"/>
      <c r="AL127" s="79"/>
      <c r="AM127" s="171"/>
      <c r="AN127" s="79"/>
      <c r="AO127" s="171"/>
      <c r="AP127" s="79"/>
      <c r="AQ127" s="171"/>
      <c r="AR127" s="79"/>
      <c r="AS127" s="171"/>
      <c r="AT127" s="81"/>
      <c r="AU127" s="171"/>
      <c r="AV127" s="81"/>
      <c r="AW127" s="171"/>
      <c r="AX127" s="81"/>
      <c r="AY127" s="171"/>
      <c r="AZ127" s="81"/>
      <c r="BA127" s="171"/>
      <c r="BB127" s="81"/>
      <c r="BC127" s="171"/>
      <c r="BD127" s="81"/>
      <c r="BE127" s="171"/>
      <c r="BF127" s="81"/>
      <c r="BG127" s="171"/>
      <c r="BH127" s="81"/>
      <c r="BI127" s="171"/>
      <c r="BJ127" s="81"/>
      <c r="BK127" s="171"/>
      <c r="BL127" s="81"/>
      <c r="BM127" s="171"/>
      <c r="BN127" s="81"/>
      <c r="BO127" s="171"/>
      <c r="BP127" s="81"/>
      <c r="BQ127" s="171"/>
      <c r="BR127" s="81"/>
      <c r="BS127" s="171"/>
      <c r="BT127" s="81"/>
      <c r="BU127" s="171"/>
      <c r="BV127" s="81"/>
      <c r="BW127" s="171"/>
      <c r="BX127" s="81"/>
      <c r="BY127" s="171"/>
      <c r="BZ127" s="81"/>
      <c r="CA127" s="171"/>
      <c r="CB127" s="81"/>
      <c r="CC127" s="171"/>
      <c r="CD127" s="81"/>
      <c r="CE127" s="171"/>
      <c r="CF127" s="81"/>
      <c r="CG127" s="171"/>
      <c r="CH127" s="81"/>
      <c r="CI127" s="171"/>
      <c r="CJ127" s="81"/>
      <c r="CK127" s="171"/>
      <c r="CL127" s="81"/>
      <c r="CM127" s="171"/>
      <c r="CN127" s="81"/>
      <c r="CO127" s="171"/>
      <c r="CP127" s="81"/>
      <c r="CQ127" s="171"/>
      <c r="CR127" s="81"/>
      <c r="CS127" s="171"/>
      <c r="CT127" s="81"/>
      <c r="CU127" s="171"/>
      <c r="CV127" s="81"/>
      <c r="CW127" s="171"/>
      <c r="CX127" s="81"/>
      <c r="CY127" s="171"/>
      <c r="CZ127" s="81"/>
      <c r="DA127" s="171"/>
      <c r="DB127" s="81"/>
      <c r="DC127" s="171"/>
      <c r="DD127" s="81"/>
      <c r="DE127" s="171"/>
      <c r="DF127" s="81"/>
      <c r="DG127" s="171"/>
      <c r="DH127" s="81"/>
      <c r="DI127" s="171"/>
      <c r="DJ127" s="81"/>
      <c r="DK127" s="171"/>
      <c r="DL127" s="81"/>
      <c r="DM127" s="171"/>
      <c r="DN127" s="81"/>
      <c r="DO127" s="171"/>
      <c r="DP127" s="81"/>
      <c r="DQ127" s="171"/>
      <c r="DR127" s="81"/>
      <c r="DS127" s="171"/>
      <c r="DT127" s="81"/>
      <c r="DU127" s="171"/>
      <c r="DV127" s="81"/>
      <c r="DW127" s="171"/>
      <c r="DX127" s="81"/>
      <c r="DY127" s="171"/>
      <c r="DZ127" s="81"/>
      <c r="EA127" s="171"/>
      <c r="EB127" s="81"/>
      <c r="EC127" s="171"/>
      <c r="ED127" s="81"/>
      <c r="EE127" s="171"/>
      <c r="EF127" s="81"/>
      <c r="EG127" s="171"/>
      <c r="EH127" s="81"/>
      <c r="EI127" s="171"/>
      <c r="EJ127" s="81"/>
      <c r="EK127" s="171"/>
      <c r="EL127" s="81"/>
      <c r="EM127" s="171"/>
      <c r="EN127" s="81"/>
      <c r="EO127" s="171"/>
      <c r="EP127" s="81"/>
      <c r="EQ127" s="171"/>
      <c r="ER127" s="81"/>
      <c r="ES127" s="82"/>
      <c r="ET127" s="469"/>
      <c r="EU127" s="82"/>
      <c r="EV127" s="171"/>
      <c r="EW127" s="79"/>
      <c r="EX127" s="171"/>
      <c r="EY127" s="79"/>
      <c r="EZ127" s="171"/>
      <c r="FA127" s="79"/>
      <c r="FB127" s="171"/>
      <c r="FC127" s="79"/>
      <c r="FD127" s="171"/>
      <c r="FE127" s="79"/>
      <c r="FF127" s="171"/>
      <c r="FG127" s="79"/>
      <c r="FH127" s="171"/>
      <c r="FI127" s="79"/>
      <c r="FJ127" s="171"/>
      <c r="FK127" s="79"/>
      <c r="FL127" s="171"/>
      <c r="FM127" s="79"/>
      <c r="FN127" s="171"/>
      <c r="FO127" s="79"/>
      <c r="FP127" s="171"/>
      <c r="FQ127" s="79"/>
      <c r="FR127" s="171"/>
      <c r="FS127" s="79"/>
      <c r="FT127" s="171"/>
      <c r="FU127" s="79"/>
      <c r="FV127" s="171"/>
      <c r="FW127" s="79"/>
      <c r="FX127" s="171"/>
      <c r="FY127" s="79"/>
      <c r="FZ127" s="171"/>
      <c r="GA127" s="79"/>
      <c r="GB127" s="171"/>
      <c r="GC127" s="79"/>
      <c r="GD127" s="171"/>
      <c r="GE127" s="79"/>
      <c r="GF127" s="171"/>
      <c r="GG127" s="79"/>
      <c r="GH127" s="171"/>
      <c r="GI127" s="79"/>
      <c r="GJ127" s="171"/>
      <c r="GK127" s="79"/>
      <c r="GL127" s="171"/>
      <c r="GM127" s="79"/>
      <c r="GN127" s="171"/>
      <c r="GO127" s="79"/>
      <c r="GP127" s="171"/>
      <c r="GQ127" s="79"/>
      <c r="GR127" s="171"/>
      <c r="GS127" s="79"/>
      <c r="GT127" s="79"/>
    </row>
    <row r="128" spans="1:286" ht="12.75" customHeight="1" x14ac:dyDescent="0.2">
      <c r="A128" s="1"/>
      <c r="B128" s="2" t="s">
        <v>256</v>
      </c>
      <c r="C128" s="79"/>
      <c r="D128" s="79"/>
      <c r="E128" s="171"/>
      <c r="F128" s="171"/>
      <c r="G128" s="171"/>
      <c r="H128" s="171"/>
      <c r="I128" s="171"/>
      <c r="J128" s="171"/>
      <c r="K128" s="171"/>
      <c r="L128" s="79"/>
      <c r="M128" s="171"/>
      <c r="N128" s="79"/>
      <c r="O128" s="171"/>
      <c r="P128" s="79"/>
      <c r="Q128" s="171"/>
      <c r="R128" s="79"/>
      <c r="S128" s="171"/>
      <c r="T128" s="79"/>
      <c r="U128" s="171"/>
      <c r="V128" s="79"/>
      <c r="W128" s="171"/>
      <c r="X128" s="79"/>
      <c r="Y128" s="171"/>
      <c r="Z128" s="79"/>
      <c r="AA128" s="209"/>
      <c r="AB128" s="79"/>
      <c r="AC128" s="174">
        <v>0</v>
      </c>
      <c r="AD128" s="79" t="str">
        <f>IF(ISERROR((AC128/U128-1)*100),"NA",IF(((AC128/U128-1)*100)&gt;100,"NM",IF(((AC128/U128-1)*100)&lt;-50,"NM",(AC128/U128-1)*100)))</f>
        <v>NA</v>
      </c>
      <c r="AE128" s="174">
        <v>0</v>
      </c>
      <c r="AF128" s="79" t="str">
        <f>IF(ISERROR((AE128/W128-1)*100),"NA",IF(((AE128/W128-1)*100)&gt;100,"NM",IF(((AE128/W128-1)*100)&lt;-50,"NM",(AE128/W128-1)*100)))</f>
        <v>NA</v>
      </c>
      <c r="AG128" s="174">
        <v>0</v>
      </c>
      <c r="AH128" s="79" t="str">
        <f>IF(ISERROR((AG128/Y128-1)*100),"NA",IF(((AG128/Y128-1)*100)&gt;100,"NM",IF(((AG128/Y128-1)*100)&lt;-50,"NM",(AG128/Y128-1)*100)))</f>
        <v>NA</v>
      </c>
      <c r="AI128" s="174">
        <v>0</v>
      </c>
      <c r="AJ128" s="79" t="str">
        <f>IF(ISERROR((AI128/AA128-1)*100),"NA",IF(((AI128/AA128-1)*100)&gt;100,"NM",IF(((AI128/AA128-1)*100)&lt;-50,"NM",(AI128/AA128-1)*100)))</f>
        <v>NA</v>
      </c>
      <c r="AK128" s="174">
        <v>0</v>
      </c>
      <c r="AL128" s="210" t="str">
        <f>IF(ISERROR((AK128/AC128-1)*100),"NA",IF(((AK128/AC128-1)*100)&gt;100,"NM",IF(((AK128/AC128-1)*100)&lt;-50,"NM",(AK128/AC128-1)*100)))</f>
        <v>NA</v>
      </c>
      <c r="AM128" s="174">
        <v>0</v>
      </c>
      <c r="AN128" s="79" t="str">
        <f>IF(ISERROR((AM128/AE128-1)*100),"NA",IF(((AM128/AE128-1)*100)&gt;100,"NM",IF(((AM128/AE128-1)*100)&lt;-50,"NM",(AM128/AE128-1)*100)))</f>
        <v>NA</v>
      </c>
      <c r="AO128" s="174">
        <v>0</v>
      </c>
      <c r="AP128" s="79" t="str">
        <f>IF(ISERROR((AO128/AG128-1)*100),"NA",IF(((AO128/AG128-1)*100)&gt;100,"NM",IF(((AO128/AG128-1)*100)&lt;-50,"NM",(AO128/AG128-1)*100)))</f>
        <v>NA</v>
      </c>
      <c r="AQ128" s="174">
        <v>0</v>
      </c>
      <c r="AR128" s="79" t="str">
        <f>IF(ISERROR((AQ128/AI128-1)*100),"NA",IF(((AQ128/AI128-1)*100)&gt;100,"NM",IF(((AQ128/AI128-1)*100)&lt;-50,"NM",(AQ128/AI128-1)*100)))</f>
        <v>NA</v>
      </c>
      <c r="AS128" s="174">
        <v>0</v>
      </c>
      <c r="AT128" s="81" t="str">
        <f>IF(ISERROR((AS128/AK128-1)*100),"NA",IF(((AS128/AK128-1)*100)&gt;100,"NM",IF(((AS128/AK128-1)*100)&lt;-50,"NM",(AS128/AK128-1)*100)))</f>
        <v>NA</v>
      </c>
      <c r="AU128" s="174">
        <v>0</v>
      </c>
      <c r="AV128" s="81" t="str">
        <f>IF(ISERROR((AU128/AM128-1)*100),"NA",IF(((AU128/AM128-1)*100)&gt;100,"NM",IF(((AU128/AM128-1)*100)&lt;-50,"NM",(AU128/AM128-1)*100)))</f>
        <v>NA</v>
      </c>
      <c r="AW128" s="174">
        <v>0</v>
      </c>
      <c r="AX128" s="81" t="str">
        <f>IF(ISERROR((AW128/AO128-1)*100),"NA",IF(((AW128/AO128-1)*100)&gt;100,"NM",IF(((AW128/AO128-1)*100)&lt;-50,"NM",(AW128/AO128-1)*100)))</f>
        <v>NA</v>
      </c>
      <c r="AY128" s="174">
        <v>0</v>
      </c>
      <c r="AZ128" s="81" t="str">
        <f>IF(ISERROR((AY128/AQ128-1)*100),"NA",IF(((AY128/AQ128-1)*100)&gt;100,"NM",IF(((AY128/AQ128-1)*100)&lt;-50,"NM",(AY128/AQ128-1)*100)))</f>
        <v>NA</v>
      </c>
      <c r="BA128" s="174">
        <v>0</v>
      </c>
      <c r="BB128" s="81" t="str">
        <f>IF(ISERROR((BA128/AS128-1)*100),"NA",IF(((BA128/AS128-1)*100)&gt;100,"NM",IF(((BA128/AS128-1)*100)&lt;-50,"NM",(BA128/AS128-1)*100)))</f>
        <v>NA</v>
      </c>
      <c r="BC128" s="174">
        <v>0</v>
      </c>
      <c r="BD128" s="81" t="str">
        <f>IF(ISERROR((BC128/AU128-1)*100),"NA",IF(((BC128/AU128-1)*100)&gt;100,"NM",IF(((BC128/AU128-1)*100)&lt;-50,"NM",(BC128/AU128-1)*100)))</f>
        <v>NA</v>
      </c>
      <c r="BE128" s="174">
        <v>0</v>
      </c>
      <c r="BF128" s="81" t="str">
        <f>IF(ISERROR((BE128/AW128-1)*100),"NA",IF(((BE128/AW128-1)*100)&gt;100,"NM",IF(((BE128/AW128-1)*100)&lt;-50,"NM",(BE128/AW128-1)*100)))</f>
        <v>NA</v>
      </c>
      <c r="BG128" s="174">
        <f>5-4.5</f>
        <v>0.5</v>
      </c>
      <c r="BH128" s="81" t="str">
        <f>IF(ISERROR((BG128/AY128-1)*100),"NA",IF(((BG128/AY128-1)*100)&gt;100,"NM",IF(((BG128/AY128-1)*100)&lt;-50,"NM",(BG128/AY128-1)*100)))</f>
        <v>NA</v>
      </c>
      <c r="BI128" s="174">
        <v>0</v>
      </c>
      <c r="BJ128" s="81" t="str">
        <f>IF(ISERROR((BI128/BA128-1)*100),"NA",IF(((BI128/BA128-1)*100)&gt;100,"NM",IF(((BI128/BA128-1)*100)&lt;-50,"NM",(BI128/BA128-1)*100)))</f>
        <v>NA</v>
      </c>
      <c r="BK128" s="174">
        <v>0</v>
      </c>
      <c r="BL128" s="81" t="str">
        <f>IF(ISERROR((BK128/BC128-1)*100),"NA",IF(((BK128/BC128-1)*100)&gt;100,"NM",IF(((BK128/BC128-1)*100)&lt;-50,"NM",(BK128/BC128-1)*100)))</f>
        <v>NA</v>
      </c>
      <c r="BM128" s="174">
        <v>0</v>
      </c>
      <c r="BN128" s="81" t="str">
        <f>IF(ISERROR((BM128/BE128-1)*100),"NA",IF(((BM128/BE128-1)*100)&gt;100,"NM",IF(((BM128/BE128-1)*100)&lt;-50,"NM",(BM128/BE128-1)*100)))</f>
        <v>NA</v>
      </c>
      <c r="BO128" s="174">
        <v>0</v>
      </c>
      <c r="BP128" s="81" t="str">
        <f>IF(ISERROR((BO128/BG128-1)*100),"NA",IF(((BO128/BG128-1)*100)&gt;100,"NM",IF(((BO128/BG128-1)*100)&lt;-50,"NM",(BO128/BG128-1)*100)))</f>
        <v>NM</v>
      </c>
      <c r="BQ128" s="174">
        <v>0</v>
      </c>
      <c r="BR128" s="81" t="str">
        <f>IF(ISERROR((BQ128/BI128-1)*100),"NA",IF(((BQ128/BI128-1)*100)&gt;100,"NM",IF(((BQ128/BI128-1)*100)&lt;-50,"NM",(BQ128/BI128-1)*100)))</f>
        <v>NA</v>
      </c>
      <c r="BS128" s="174">
        <v>0</v>
      </c>
      <c r="BT128" s="81" t="str">
        <f>IF(ISERROR((BS128/BK128-1)*100),"NA",IF(((BS128/BK128-1)*100)&gt;100,"NM",IF(((BS128/BK128-1)*100)&lt;-50,"NM",(BS128/BK128-1)*100)))</f>
        <v>NA</v>
      </c>
      <c r="BU128" s="174">
        <v>0</v>
      </c>
      <c r="BV128" s="81" t="str">
        <f>IF(ISERROR((BU128/BM128-1)*100),"NA",IF(((BU128/BM128-1)*100)&gt;100,"NM",IF(((BU128/BM128-1)*100)&lt;-50,"NM",(BU128/BM128-1)*100)))</f>
        <v>NA</v>
      </c>
      <c r="BW128" s="174">
        <v>0</v>
      </c>
      <c r="BX128" s="81" t="str">
        <f>IF(ISERROR((BW128/BO128-1)*100),"NA",IF(((BW128/BO128-1)*100)&gt;100,"NM",IF(((BW128/BO128-1)*100)&lt;-50,"NM",(BW128/BO128-1)*100)))</f>
        <v>NA</v>
      </c>
      <c r="BY128" s="174">
        <v>0</v>
      </c>
      <c r="BZ128" s="81" t="str">
        <f>IF(ISERROR((BY128/BQ128-1)*100),"NA",IF(((BY128/BQ128-1)*100)&gt;100,"NM",IF(((BY128/BQ128-1)*100)&lt;-50,"NM",(BY128/BQ128-1)*100)))</f>
        <v>NA</v>
      </c>
      <c r="CA128" s="174">
        <v>0</v>
      </c>
      <c r="CB128" s="81" t="str">
        <f>IF(ISERROR((CA128/BS128-1)*100),"NA",IF(((CA128/BS128-1)*100)&gt;100,"NM",IF(((CA128/BS128-1)*100)&lt;-50,"NM",(CA128/BS128-1)*100)))</f>
        <v>NA</v>
      </c>
      <c r="CC128" s="174">
        <v>0</v>
      </c>
      <c r="CD128" s="81" t="str">
        <f>IF(ISERROR((CC128/BU128-1)*100),"NA",IF(((CC128/BU128-1)*100)&gt;100,"NM",IF(((CC128/BU128-1)*100)&lt;-50,"NM",(CC128/BU128-1)*100)))</f>
        <v>NA</v>
      </c>
      <c r="CE128" s="174">
        <v>0</v>
      </c>
      <c r="CF128" s="81" t="str">
        <f>IF(ISERROR((CE128/BW128-1)*100),"NA",IF(((CE128/BW128-1)*100)&gt;100,"NM",IF(((CE128/BW128-1)*100)&lt;-50,"NM",(CE128/BW128-1)*100)))</f>
        <v>NA</v>
      </c>
      <c r="CG128" s="174">
        <v>0</v>
      </c>
      <c r="CH128" s="81" t="str">
        <f>IF(ISERROR((CG128/BY128-1)*100),"NA",IF(((CG128/BY128-1)*100)&gt;100,"NM",IF(((CG128/BY128-1)*100)&lt;-50,"NM",(CG128/BY128-1)*100)))</f>
        <v>NA</v>
      </c>
      <c r="CI128" s="174">
        <v>0</v>
      </c>
      <c r="CJ128" s="81" t="str">
        <f>IF(ISERROR((CI128/CA128-1)*100),"NA",IF(((CI128/CA128-1)*100)&gt;100,"NM",IF(((CI128/CA128-1)*100)&lt;-50,"NM",(CI128/CA128-1)*100)))</f>
        <v>NA</v>
      </c>
      <c r="CK128" s="174">
        <v>5.5</v>
      </c>
      <c r="CL128" s="81" t="str">
        <f>IF(ISERROR((CK128/CC128-1)*100),"NA",IF(((CK128/CC128-1)*100)&gt;100,"NM",IF(((CK128/CC128-1)*100)&lt;-50,"NM",(CK128/CC128-1)*100)))</f>
        <v>NA</v>
      </c>
      <c r="CM128" s="174">
        <v>0</v>
      </c>
      <c r="CN128" s="81" t="str">
        <f>IF(ISERROR((CM128/CE128-1)*100),"NA",IF(((CM128/CE128-1)*100)&gt;100,"NM",IF(((CM128/CE128-1)*100)&lt;-50,"NM",(CM128/CE128-1)*100)))</f>
        <v>NA</v>
      </c>
      <c r="CO128" s="174">
        <v>0</v>
      </c>
      <c r="CP128" s="81" t="str">
        <f>IF(ISERROR((CO128/CG128-1)*100),"NA",IF(((CO128/CG128-1)*100)&gt;100,"NM",IF(((CO128/CG128-1)*100)&lt;-50,"NM",(CO128/CG128-1)*100)))</f>
        <v>NA</v>
      </c>
      <c r="CQ128" s="174">
        <v>0</v>
      </c>
      <c r="CR128" s="81" t="str">
        <f>IF(ISERROR((CQ128/CI128-1)*100),"NA",IF(((CQ128/CI128-1)*100)&gt;100,"NM",IF(((CQ128/CI128-1)*100)&lt;-50,"NM",(CQ128/CI128-1)*100)))</f>
        <v>NA</v>
      </c>
      <c r="CS128" s="174">
        <v>0</v>
      </c>
      <c r="CT128" s="81" t="str">
        <f>IF(ISERROR((CS128/CK128-1)*100),"NA",IF(((CS128/CK128-1)*100)&gt;100,"NM",IF(((CS128/CK128-1)*100)&lt;-50,"NM",(CS128/CK128-1)*100)))</f>
        <v>NM</v>
      </c>
      <c r="CU128" s="174">
        <v>0</v>
      </c>
      <c r="CV128" s="81" t="str">
        <f>IF(ISERROR((CU128/CM128-1)*100),"NA",IF(((CU128/CM128-1)*100)&gt;100,"NM",IF(((CU128/CM128-1)*100)&lt;-50,"NM",(CU128/CM128-1)*100)))</f>
        <v>NA</v>
      </c>
      <c r="CW128" s="174">
        <v>-10</v>
      </c>
      <c r="CX128" s="81" t="str">
        <f>IF(ISERROR((CW128/CO128-1)*100),"NA",IF(((CW128/CO128-1)*100)&gt;100,"NM",IF(((CW128/CO128-1)*100)&lt;-50,"NM",(CW128/CO128-1)*100)))</f>
        <v>NA</v>
      </c>
      <c r="CY128" s="174">
        <v>0</v>
      </c>
      <c r="CZ128" s="81" t="str">
        <f>IF(ISERROR((CY128/CQ128-1)*100),"NA",IF(((CY128/CQ128-1)*100)&gt;100,"NM",IF(((CY128/CQ128-1)*100)&lt;-50,"NM",(CY128/CQ128-1)*100)))</f>
        <v>NA</v>
      </c>
      <c r="DA128" s="174">
        <v>0</v>
      </c>
      <c r="DB128" s="81" t="str">
        <f>IF(ISERROR((DA128/CS128-1)*100),"NA",IF(((DA128/CS128-1)*100)&gt;100,"NM",IF(((DA128/CS128-1)*100)&lt;-50,"NM",(DA128/CS128-1)*100)))</f>
        <v>NA</v>
      </c>
      <c r="DC128" s="174">
        <v>-26.3</v>
      </c>
      <c r="DD128" s="81" t="str">
        <f>IF(ISERROR((DC128/CU128-1)*100),"NA",IF(((DC128/CU128-1)*100)&gt;100,"NM",IF(((DC128/CU128-1)*100)&lt;-50,"NM",(DC128/CU128-1)*100)))</f>
        <v>NA</v>
      </c>
      <c r="DE128" s="174">
        <v>0</v>
      </c>
      <c r="DF128" s="81" t="str">
        <f>IF(ISERROR((DE128/CW128-1)*100),"NA",IF(((DE128/CW128-1)*100)&gt;100,"NM",IF(((DE128/CW128-1)*100)&lt;-50,"NM",(DE128/CW128-1)*100)))</f>
        <v>NM</v>
      </c>
      <c r="DG128" s="174">
        <v>0</v>
      </c>
      <c r="DH128" s="81" t="str">
        <f>IF(ISERROR((DG128/CY128-1)*100),"NA",IF(((DG128/CY128-1)*100)&gt;100,"NM",IF(((DG128/CY128-1)*100)&lt;-50,"NM",(DG128/CY128-1)*100)))</f>
        <v>NA</v>
      </c>
      <c r="DI128" s="174">
        <v>0</v>
      </c>
      <c r="DJ128" s="81" t="str">
        <f>IF(ISERROR((DI128/DA128-1)*100),"NA",IF(((DI128/DA128-1)*100)&gt;100,"NM",IF(((DI128/DA128-1)*100)&lt;-50,"NM",(DI128/DA128-1)*100)))</f>
        <v>NA</v>
      </c>
      <c r="DK128" s="174">
        <v>0</v>
      </c>
      <c r="DL128" s="81" t="str">
        <f>IF(ISERROR((DK128/DC128-1)*100),"NA",IF(((DK128/DC128-1)*100)&gt;100,"NM",IF(((DK128/DC128-1)*100)&lt;-50,"NM",(DK128/DC128-1)*100)))</f>
        <v>NM</v>
      </c>
      <c r="DM128" s="174">
        <v>0</v>
      </c>
      <c r="DN128" s="81" t="str">
        <f>IF(ISERROR((DM128/DE128-1)*100),"NA",IF(((DM128/DE128-1)*100)&gt;100,"NM",IF(((DM128/DE128-1)*100)&lt;-50,"NM",(DM128/DE128-1)*100)))</f>
        <v>NA</v>
      </c>
      <c r="DO128" s="174">
        <v>0</v>
      </c>
      <c r="DP128" s="81" t="str">
        <f>IF(ISERROR((DO128/DG128-1)*100),"NA",IF(((DO128/DG128-1)*100)&gt;100,"NM",IF(((DO128/DG128-1)*100)&lt;-50,"NM",(DO128/DG128-1)*100)))</f>
        <v>NA</v>
      </c>
      <c r="DQ128" s="174">
        <v>0</v>
      </c>
      <c r="DR128" s="81" t="str">
        <f>IF(ISERROR((DQ128/DI128-1)*100),"NA",IF(((DQ128/DI128-1)*100)&gt;100,"NM",IF(((DQ128/DI128-1)*100)&lt;-50,"NM",(DQ128/DI128-1)*100)))</f>
        <v>NA</v>
      </c>
      <c r="DS128" s="174">
        <v>0</v>
      </c>
      <c r="DT128" s="81" t="str">
        <f>IF(ISERROR((DS128/DK128-1)*100),"NA",IF(((DS128/DK128-1)*100)&gt;100,"NM",IF(((DS128/DK128-1)*100)&lt;-50,"NM",(DS128/DK128-1)*100)))</f>
        <v>NA</v>
      </c>
      <c r="DU128" s="174">
        <v>0</v>
      </c>
      <c r="DV128" s="81" t="str">
        <f>IF(ISERROR((DU128/DM128-1)*100),"NA",IF(((DU128/DM128-1)*100)&gt;100,"NM",IF(((DU128/DM128-1)*100)&lt;-50,"NM",(DU128/DM128-1)*100)))</f>
        <v>NA</v>
      </c>
      <c r="DW128" s="174">
        <v>0</v>
      </c>
      <c r="DX128" s="81" t="str">
        <f>IF(ISERROR((DW128/DO128-1)*100),"NA",IF(((DW128/DO128-1)*100)&gt;100,"NM",IF(((DW128/DO128-1)*100)&lt;-50,"NM",(DW128/DO128-1)*100)))</f>
        <v>NA</v>
      </c>
      <c r="DY128" s="174">
        <v>0</v>
      </c>
      <c r="DZ128" s="81" t="str">
        <f>IF(ISERROR((DY128/DQ128-1)*100),"NA",IF(((DY128/DQ128-1)*100)&gt;100,"NM",IF(((DY128/DQ128-1)*100)&lt;-50,"NM",(DY128/DQ128-1)*100)))</f>
        <v>NA</v>
      </c>
      <c r="EA128" s="174">
        <v>0</v>
      </c>
      <c r="EB128" s="81" t="str">
        <f>IF(ISERROR((EA128/DS128-1)*100),"NA",IF(((EA128/DS128-1)*100)&gt;100,"NM",IF(((EA128/DS128-1)*100)&lt;-50,"NM",(EA128/DS128-1)*100)))</f>
        <v>NA</v>
      </c>
      <c r="EC128" s="174">
        <v>0</v>
      </c>
      <c r="ED128" s="81" t="str">
        <f t="shared" ref="ED128:ED129" si="460">IF(ISERROR((EC128/DU128-1)*100),"NA",IF(((EC128/DU128-1)*100)&gt;100,"NM",IF(((EC128/DU128-1)*100)&lt;-50,"NM",(EC128/DU128-1)*100)))</f>
        <v>NA</v>
      </c>
      <c r="EE128" s="174">
        <v>0</v>
      </c>
      <c r="EF128" s="81" t="str">
        <f t="shared" ref="EF128:EF129" si="461">IF(ISERROR((EE128/DW128-1)*100),"NA",IF(((EE128/DW128-1)*100)&gt;100,"NM",IF(((EE128/DW128-1)*100)&lt;-50,"NM",(EE128/DW128-1)*100)))</f>
        <v>NA</v>
      </c>
      <c r="EG128" s="174">
        <v>0</v>
      </c>
      <c r="EH128" s="81" t="str">
        <f t="shared" ref="EH128:EH129" si="462">IF(ISERROR((EG128/DY128-1)*100),"NA",IF(((EG128/DY128-1)*100)&gt;100,"NM",IF(((EG128/DY128-1)*100)&lt;-50,"NM",(EG128/DY128-1)*100)))</f>
        <v>NA</v>
      </c>
      <c r="EI128" s="174">
        <v>19.5</v>
      </c>
      <c r="EJ128" s="81" t="str">
        <f t="shared" ref="EJ128:EJ129" si="463">IF(ISERROR((EI128/EA128-1)*100),"NA",IF(((EI128/EA128-1)*100)&gt;100,"NM",IF(((EI128/EA128-1)*100)&lt;-50,"NM",(EI128/EA128-1)*100)))</f>
        <v>NA</v>
      </c>
      <c r="EK128" s="174">
        <v>0</v>
      </c>
      <c r="EL128" s="81" t="str">
        <f t="shared" ref="EL128:EL129" si="464">IF(ISERROR((EK128/EC128-1)*100),"NA",IF(((EK128/EC128-1)*100)&gt;100,"NM",IF(((EK128/EC128-1)*100)&lt;-50,"NM",(EK128/EC128-1)*100)))</f>
        <v>NA</v>
      </c>
      <c r="EM128" s="174">
        <v>0</v>
      </c>
      <c r="EN128" s="81" t="str">
        <f t="shared" ref="EN128:EN129" si="465">IF(ISERROR((EM128/EE128-1)*100),"NA",IF(((EM128/EE128-1)*100)&gt;100,"NM",IF(((EM128/EE128-1)*100)&lt;-50,"NM",(EM128/EE128-1)*100)))</f>
        <v>NA</v>
      </c>
      <c r="EO128" s="174">
        <v>0</v>
      </c>
      <c r="EP128" s="81" t="str">
        <f t="shared" ref="EP128:EP129" si="466">IF(ISERROR((EO128/EG128-1)*100),"NA",IF(((EO128/EG128-1)*100)&gt;100,"NM",IF(((EO128/EG128-1)*100)&lt;-50,"NM",(EO128/EG128-1)*100)))</f>
        <v>NA</v>
      </c>
      <c r="EQ128" s="174">
        <v>0</v>
      </c>
      <c r="ER128" s="81" t="str">
        <f t="shared" ref="ER128:ER129" si="467">IF(ISERROR((EQ128/EI128-1)*100),"NA",IF(((EQ128/EI128-1)*100)&gt;100,"NM",IF(((EQ128/EI128-1)*100)&lt;-50,"NM",(EQ128/EI128-1)*100)))</f>
        <v>NM</v>
      </c>
      <c r="ES128" s="82"/>
      <c r="ET128" s="465"/>
      <c r="EU128" s="82"/>
      <c r="EV128" s="171"/>
      <c r="EW128" s="79"/>
      <c r="EX128" s="171"/>
      <c r="EY128" s="79"/>
      <c r="EZ128" s="171"/>
      <c r="FA128" s="79"/>
      <c r="FB128" s="171"/>
      <c r="FC128" s="79"/>
      <c r="FD128" s="175">
        <f>O128+Q128+S128+M128</f>
        <v>0</v>
      </c>
      <c r="FE128" s="79" t="str">
        <f>IF(ISERROR((FD128/FB128-1)*100),"NA",IF(((FD128/FB128-1)*100)&gt;100,"NM",IF(((FD128/FB128-1)*100)&lt;-50,"NM",(FD128/FB128-1)*100)))</f>
        <v>NA</v>
      </c>
      <c r="FF128" s="175">
        <f>U128+W128+Y128+AA128</f>
        <v>0</v>
      </c>
      <c r="FG128" s="79" t="str">
        <f>IF(ISERROR((FF128/FD128-1)*100),"NA",IF(((FF128/FD128-1)*100)&gt;100,"NM",IF(((FF128/FD128-1)*100)&lt;-50,"NM",(FF128/FD128-1)*100)))</f>
        <v>NA</v>
      </c>
      <c r="FH128" s="175">
        <f>AC128+AE128+AG128+AI128</f>
        <v>0</v>
      </c>
      <c r="FI128" s="79" t="str">
        <f>IF(ISERROR((FH128/FF128-1)*100),"NA",IF(((FH128/FF128-1)*100)&gt;100,"NM",IF(((FH128/FF128-1)*100)&lt;-50,"NM",(FH128/FF128-1)*100)))</f>
        <v>NA</v>
      </c>
      <c r="FJ128" s="175">
        <f>AK128+AM128+AO128+AQ128</f>
        <v>0</v>
      </c>
      <c r="FK128" s="79" t="str">
        <f>IF(ISERROR((FJ128/FH128-1)*100),"NA",IF(((FJ128/FH128-1)*100)&gt;100,"NM",IF(((FJ128/FH128-1)*100)&lt;-50,"NM",(FJ128/FH128-1)*100)))</f>
        <v>NA</v>
      </c>
      <c r="FL128" s="175">
        <f>AS128+AU128+AW128+AY128</f>
        <v>0</v>
      </c>
      <c r="FM128" s="79" t="str">
        <f>IF(ISERROR((FL128/FJ128-1)*100),"NA",IF(((FL128/FJ128-1)*100)&gt;100,"NM",IF(((FL128/FJ128-1)*100)&lt;-50,"NM",(FL128/FJ128-1)*100)))</f>
        <v>NA</v>
      </c>
      <c r="FN128" s="175">
        <f>BA128+BC128+BE128+BG128</f>
        <v>0.5</v>
      </c>
      <c r="FO128" s="79" t="str">
        <f>IF(ISERROR((FN128/FL128-1)*100),"NA",IF(((FN128/FL128-1)*100)&gt;100,"NM",IF(((FN128/FL128-1)*100)&lt;-50,"NM",(FN128/FL128-1)*100)))</f>
        <v>NA</v>
      </c>
      <c r="FP128" s="175">
        <f>BI128+BK128+BM128+BO128</f>
        <v>0</v>
      </c>
      <c r="FQ128" s="79" t="str">
        <f>IF(ISERROR((FP128/FN128-1)*100),"NA",IF(((FP128/FN128-1)*100)&gt;100,"NM",IF(((FP128/FN128-1)*100)&lt;-50,"NM",(FP128/FN128-1)*100)))</f>
        <v>NM</v>
      </c>
      <c r="FR128" s="177">
        <f>BQ128+BS128+BU128+BW128</f>
        <v>0</v>
      </c>
      <c r="FS128" s="79" t="str">
        <f>IF(ISERROR((FR128/FP128-1)*100),"NA",IF(((FR128/FP128-1)*100)&gt;100,"NM",IF(((FR128/FP128-1)*100)&lt;-50,"NM",(FR128/FP128-1)*100)))</f>
        <v>NA</v>
      </c>
      <c r="FT128" s="177">
        <f>BY128+CA128+CC128+CE128</f>
        <v>0</v>
      </c>
      <c r="FU128" s="79" t="str">
        <f>IF(ISERROR((FT128/FR128-1)*100),"NA",IF(((FT128/FR128-1)*100)&gt;100,"NM",IF(((FT128/FR128-1)*100)&lt;-50,"NM",(FT128/FR128-1)*100)))</f>
        <v>NA</v>
      </c>
      <c r="FV128" s="177">
        <f>CG128+CI128+CK128+CM128</f>
        <v>5.5</v>
      </c>
      <c r="FW128" s="79" t="str">
        <f>IF(ISERROR((FV128/FT128-1)*100),"NA",IF(((FV128/FT128-1)*100)&gt;100,"NM",IF(((FV128/FT128-1)*100)&lt;-50,"NM",(FV128/FT128-1)*100)))</f>
        <v>NA</v>
      </c>
      <c r="FX128" s="177">
        <f>CO128+CQ128+CS128+CU128</f>
        <v>0</v>
      </c>
      <c r="FY128" s="79" t="str">
        <f>IF(ISERROR((FX128/FV128-1)*100),"NA",IF(((FX128/FV128-1)*100)&gt;100,"NM",IF(((FX128/FV128-1)*100)&lt;-50,"NM",(FX128/FV128-1)*100)))</f>
        <v>NM</v>
      </c>
      <c r="FZ128" s="177">
        <f>CW128+CY128+DA128+DC128</f>
        <v>-36.299999999999997</v>
      </c>
      <c r="GA128" s="79" t="str">
        <f>IF(ISERROR((FZ128/FX128-1)*100),"NA",IF(((FZ128/FX128-1)*100)&gt;100,"NM",IF(((FZ128/FX128-1)*100)&lt;-50,"NM",(FZ128/FX128-1)*100)))</f>
        <v>NA</v>
      </c>
      <c r="GB128" s="177">
        <f>DE128+DG128+DI128+DK128</f>
        <v>0</v>
      </c>
      <c r="GC128" s="79" t="str">
        <f>IF(ISERROR((GB128/FZ128-1)*100),"NA",IF(((GB128/FZ128-1)*100)&gt;100,"NM",IF(((GB128/FZ128-1)*100)&lt;-50,"NM",(GB128/FZ128-1)*100)))</f>
        <v>NM</v>
      </c>
      <c r="GD128" s="177">
        <f>DM128+DO128+DQ128+DS128</f>
        <v>0</v>
      </c>
      <c r="GE128" s="79" t="str">
        <f>IF(ISERROR((GD128/GB128-1)*100),"NA",IF(((GD128/GB128-1)*100)&gt;100,"NM",IF(((GD128/GB128-1)*100)&lt;-50,"NM",(GD128/GB128-1)*100)))</f>
        <v>NA</v>
      </c>
      <c r="GF128" s="177">
        <f>DU128+DW128+DY128+EA128</f>
        <v>0</v>
      </c>
      <c r="GG128" s="79" t="str">
        <f>IF(ISERROR((GF128/GD128-1)*100),"NA",IF(((GF128/GD128-1)*100)&gt;100,"NM",IF(((GF128/GD128-1)*100)&lt;-50,"NM",(GF128/GD128-1)*100)))</f>
        <v>NA</v>
      </c>
      <c r="GH128" s="177">
        <f>EC128+EE128+EG128+EI128</f>
        <v>19.5</v>
      </c>
      <c r="GI128" s="79" t="str">
        <f>IF(ISERROR((GH128/GF128-1)*100),"NA",IF(((GH128/GF128-1)*100)&gt;100,"NM",IF(((GH128/GF128-1)*100)&lt;-50,"NM",(GH128/GF128-1)*100)))</f>
        <v>NA</v>
      </c>
      <c r="GJ128" s="177">
        <f>EK128+EM128+EO128+EQ128</f>
        <v>0</v>
      </c>
      <c r="GK128" s="79" t="str">
        <f>IF(ISERROR((GJ128/GH128-1)*100),"NA",IF(((GJ128/GH128-1)*100)&gt;100,"NM",IF(((GJ128/GH128-1)*100)&lt;-50,"NM",(GJ128/GH128-1)*100)))</f>
        <v>NM</v>
      </c>
      <c r="GL128" s="174">
        <v>0</v>
      </c>
      <c r="GM128" s="79" t="str">
        <f>IF(ISERROR((GL128/GJ128-1)*100),"NA",IF(((GL128/GJ128-1)*100)&gt;100,"NM",IF(((GL128/GJ128-1)*100)&lt;-50,"NM",(GL128/GJ128-1)*100)))</f>
        <v>NA</v>
      </c>
      <c r="GN128" s="174">
        <v>0</v>
      </c>
      <c r="GO128" s="79" t="str">
        <f>IF(ISERROR((GN128/GL128-1)*100),"NA",IF(((GN128/GL128-1)*100)&gt;100,"NM",IF(((GN128/GL128-1)*100)&lt;-50,"NM",(GN128/GL128-1)*100)))</f>
        <v>NA</v>
      </c>
      <c r="GP128" s="174">
        <v>0</v>
      </c>
      <c r="GQ128" s="79" t="str">
        <f>IF(ISERROR((GP128/GN128-1)*100),"NA",IF(((GP128/GN128-1)*100)&gt;100,"NM",IF(((GP128/GN128-1)*100)&lt;-50,"NM",(GP128/GN128-1)*100)))</f>
        <v>NA</v>
      </c>
      <c r="GR128" s="174">
        <v>0</v>
      </c>
      <c r="GS128" s="79" t="str">
        <f>IF(ISERROR((GR128/GP128-1)*100),"NA",IF(((GR128/GP128-1)*100)&gt;100,"NM",IF(((GR128/GP128-1)*100)&lt;-50,"NM",(GR128/GP128-1)*100)))</f>
        <v>NA</v>
      </c>
      <c r="GT128" s="79" t="str">
        <f>IF(ISERROR(((GR128/GH128)^0.2-1)*100),"NA",(IF(OR(((GR128/GH128)^0.2-1)*100&gt;99,((GR128/GH128)^0.2-1)*100&lt;-50),"NM",(((GR128/GH128)^0.2-1)*100))))</f>
        <v>NM</v>
      </c>
    </row>
    <row r="129" spans="1:286" ht="12.75" customHeight="1" x14ac:dyDescent="0.2">
      <c r="A129" s="1"/>
      <c r="B129" s="68" t="s">
        <v>474</v>
      </c>
      <c r="C129" s="79"/>
      <c r="D129" s="79"/>
      <c r="E129" s="171"/>
      <c r="F129" s="171"/>
      <c r="G129" s="171"/>
      <c r="H129" s="171"/>
      <c r="I129" s="171"/>
      <c r="J129" s="171"/>
      <c r="K129" s="171"/>
      <c r="L129" s="79"/>
      <c r="M129" s="171"/>
      <c r="N129" s="79"/>
      <c r="O129" s="171"/>
      <c r="P129" s="79"/>
      <c r="Q129" s="171"/>
      <c r="R129" s="79"/>
      <c r="S129" s="171"/>
      <c r="T129" s="79"/>
      <c r="U129" s="171"/>
      <c r="V129" s="79"/>
      <c r="W129" s="171"/>
      <c r="X129" s="79"/>
      <c r="Y129" s="171"/>
      <c r="Z129" s="79"/>
      <c r="AA129" s="172"/>
      <c r="AB129" s="79"/>
      <c r="AC129" s="178">
        <f>AC125-AC128</f>
        <v>51.299999999999955</v>
      </c>
      <c r="AD129" s="79" t="str">
        <f>IF(ISERROR((AC129/U129-1)*100),"NA",IF(((AC129/U129-1)*100)&gt;100,"NM",IF(((AC129/U129-1)*100)&lt;-50,"NM",(AC129/U129-1)*100)))</f>
        <v>NA</v>
      </c>
      <c r="AE129" s="178">
        <f>AE125-AE128</f>
        <v>44.5</v>
      </c>
      <c r="AF129" s="79" t="str">
        <f>IF(ISERROR((AE129/W129-1)*100),"NA",IF(((AE129/W129-1)*100)&gt;100,"NM",IF(((AE129/W129-1)*100)&lt;-50,"NM",(AE129/W129-1)*100)))</f>
        <v>NA</v>
      </c>
      <c r="AG129" s="178">
        <f>AG125-AG128</f>
        <v>42.199999999999989</v>
      </c>
      <c r="AH129" s="79" t="str">
        <f>IF(ISERROR((AG129/Y129-1)*100),"NA",IF(((AG129/Y129-1)*100)&gt;100,"NM",IF(((AG129/Y129-1)*100)&lt;-50,"NM",(AG129/Y129-1)*100)))</f>
        <v>NA</v>
      </c>
      <c r="AI129" s="178">
        <f>AI125-AI128</f>
        <v>42.200000000000138</v>
      </c>
      <c r="AJ129" s="79" t="str">
        <f>IF(ISERROR((AI129/AA129-1)*100),"NA",IF(((AI129/AA129-1)*100)&gt;100,"NM",IF(((AI129/AA129-1)*100)&lt;-50,"NM",(AI129/AA129-1)*100)))</f>
        <v>NA</v>
      </c>
      <c r="AK129" s="178">
        <f>AK125-AK128</f>
        <v>41.500000000000057</v>
      </c>
      <c r="AL129" s="79">
        <f>IF(ISERROR((AK129/AC129-1)*100),"NA",IF(((AK129/AC129-1)*100)&gt;100,"NM",IF(((AK129/AC129-1)*100)&lt;-50,"NM",(AK129/AC129-1)*100)))</f>
        <v>-19.103313840155767</v>
      </c>
      <c r="AM129" s="178">
        <f>AM125-AM128</f>
        <v>43.399999999999977</v>
      </c>
      <c r="AN129" s="79">
        <f>IF(ISERROR((AM129/AE129-1)*100),"NA",IF(((AM129/AE129-1)*100)&gt;100,"NM",IF(((AM129/AE129-1)*100)&lt;-50,"NM",(AM129/AE129-1)*100)))</f>
        <v>-2.4719101123595988</v>
      </c>
      <c r="AO129" s="178">
        <f>AO125-AO128</f>
        <v>39.5</v>
      </c>
      <c r="AP129" s="79">
        <f>IF(ISERROR((AO129/AG129-1)*100),"NA",IF(((AO129/AG129-1)*100)&gt;100,"NM",IF(((AO129/AG129-1)*100)&lt;-50,"NM",(AO129/AG129-1)*100)))</f>
        <v>-6.3981042654028153</v>
      </c>
      <c r="AQ129" s="178">
        <f>AQ125-AQ128</f>
        <v>46.800000000000011</v>
      </c>
      <c r="AR129" s="79">
        <f>IF(ISERROR((AQ129/AI129-1)*100),"NA",IF(((AQ129/AI129-1)*100)&gt;100,"NM",IF(((AQ129/AI129-1)*100)&lt;-50,"NM",(AQ129/AI129-1)*100)))</f>
        <v>10.900473933648946</v>
      </c>
      <c r="AS129" s="178">
        <f>AS125-AS128</f>
        <v>56.199999999999989</v>
      </c>
      <c r="AT129" s="81">
        <f>IF(ISERROR((AS129/AK129-1)*100),"NA",IF(((AS129/AK129-1)*100)&gt;100,"NM",IF(((AS129/AK129-1)*100)&lt;-50,"NM",(AS129/AK129-1)*100)))</f>
        <v>35.421686746987731</v>
      </c>
      <c r="AU129" s="178">
        <f>AU125-AU128</f>
        <v>49.299999999999898</v>
      </c>
      <c r="AV129" s="81">
        <f>IF(ISERROR((AU129/AM129-1)*100),"NA",IF(((AU129/AM129-1)*100)&gt;100,"NM",IF(((AU129/AM129-1)*100)&lt;-50,"NM",(AU129/AM129-1)*100)))</f>
        <v>13.594470046082762</v>
      </c>
      <c r="AW129" s="178">
        <f>AW125-AW128</f>
        <v>58.800000000000011</v>
      </c>
      <c r="AX129" s="81">
        <f>IF(ISERROR((AW129/AO129-1)*100),"NA",IF(((AW129/AO129-1)*100)&gt;100,"NM",IF(((AW129/AO129-1)*100)&lt;-50,"NM",(AW129/AO129-1)*100)))</f>
        <v>48.860759493670926</v>
      </c>
      <c r="AY129" s="178">
        <f>AY125-AY128</f>
        <v>54.500000000000057</v>
      </c>
      <c r="AZ129" s="81">
        <f>IF(ISERROR((AY129/AQ129-1)*100),"NA",IF(((AY129/AQ129-1)*100)&gt;100,"NM",IF(((AY129/AQ129-1)*100)&lt;-50,"NM",(AY129/AQ129-1)*100)))</f>
        <v>16.452991452991551</v>
      </c>
      <c r="BA129" s="178">
        <f>BA125-BA128</f>
        <v>57.799999999999955</v>
      </c>
      <c r="BB129" s="81">
        <f>IF(ISERROR((BA129/AS129-1)*100),"NA",IF(((BA129/AS129-1)*100)&gt;100,"NM",IF(((BA129/AS129-1)*100)&lt;-50,"NM",(BA129/AS129-1)*100)))</f>
        <v>2.846975088967918</v>
      </c>
      <c r="BC129" s="178">
        <f>BC125-BC128</f>
        <v>49.299999999999898</v>
      </c>
      <c r="BD129" s="81">
        <f>IF(ISERROR((BC129/AU129-1)*100),"NA",IF(((BC129/AU129-1)*100)&gt;100,"NM",IF(((BC129/AU129-1)*100)&lt;-50,"NM",(BC129/AU129-1)*100)))</f>
        <v>0</v>
      </c>
      <c r="BE129" s="178">
        <f>BE125-BE128</f>
        <v>50.099999999999909</v>
      </c>
      <c r="BF129" s="81">
        <f>IF(ISERROR((BE129/AW129-1)*100),"NA",IF(((BE129/AW129-1)*100)&gt;100,"NM",IF(((BE129/AW129-1)*100)&lt;-50,"NM",(BE129/AW129-1)*100)))</f>
        <v>-14.795918367347106</v>
      </c>
      <c r="BG129" s="178">
        <f>BG125-BG128</f>
        <v>57.10000000000008</v>
      </c>
      <c r="BH129" s="81">
        <f>IF(ISERROR((BG129/AY129-1)*100),"NA",IF(((BG129/AY129-1)*100)&gt;100,"NM",IF(((BG129/AY129-1)*100)&lt;-50,"NM",(BG129/AY129-1)*100)))</f>
        <v>4.770642201834896</v>
      </c>
      <c r="BI129" s="178">
        <f>BI125-BI128</f>
        <v>62.800000000000011</v>
      </c>
      <c r="BJ129" s="81">
        <f>IF(ISERROR((BI129/BA129-1)*100),"NA",IF(((BI129/BA129-1)*100)&gt;100,"NM",IF(((BI129/BA129-1)*100)&lt;-50,"NM",(BI129/BA129-1)*100)))</f>
        <v>8.6505190311419788</v>
      </c>
      <c r="BK129" s="178">
        <f>BK125-BK128</f>
        <v>70.299999999999898</v>
      </c>
      <c r="BL129" s="81">
        <f>IF(ISERROR((BK129/BC129-1)*100),"NA",IF(((BK129/BC129-1)*100)&gt;100,"NM",IF(((BK129/BC129-1)*100)&lt;-50,"NM",(BK129/BC129-1)*100)))</f>
        <v>42.59634888438142</v>
      </c>
      <c r="BM129" s="178">
        <f>BM125-BM128</f>
        <v>66.099999999999966</v>
      </c>
      <c r="BN129" s="81">
        <f>IF(ISERROR((BM129/BE129-1)*100),"NA",IF(((BM129/BE129-1)*100)&gt;100,"NM",IF(((BM129/BE129-1)*100)&lt;-50,"NM",(BM129/BE129-1)*100)))</f>
        <v>31.936127744511154</v>
      </c>
      <c r="BO129" s="178">
        <f>BO125-BO128</f>
        <v>72.599999999999966</v>
      </c>
      <c r="BP129" s="81">
        <f>IF(ISERROR((BO129/BG129-1)*100),"NA",IF(((BO129/BG129-1)*100)&gt;100,"NM",IF(((BO129/BG129-1)*100)&lt;-50,"NM",(BO129/BG129-1)*100)))</f>
        <v>27.145359019264205</v>
      </c>
      <c r="BQ129" s="178">
        <f>BQ125-BQ128</f>
        <v>77.599999999999966</v>
      </c>
      <c r="BR129" s="81">
        <f>IF(ISERROR((BQ129/BI129-1)*100),"NA",IF(((BQ129/BI129-1)*100)&gt;100,"NM",IF(((BQ129/BI129-1)*100)&lt;-50,"NM",(BQ129/BI129-1)*100)))</f>
        <v>23.566878980891648</v>
      </c>
      <c r="BS129" s="178">
        <f>BS125-BS128</f>
        <v>74.299999999999955</v>
      </c>
      <c r="BT129" s="81">
        <f>IF(ISERROR((BS129/BK129-1)*100),"NA",IF(((BS129/BK129-1)*100)&gt;100,"NM",IF(((BS129/BK129-1)*100)&lt;-50,"NM",(BS129/BK129-1)*100)))</f>
        <v>5.6899004267426223</v>
      </c>
      <c r="BU129" s="178">
        <f>BU125-BU128</f>
        <v>72.099999999999909</v>
      </c>
      <c r="BV129" s="81">
        <f>IF(ISERROR((BU129/BM129-1)*100),"NA",IF(((BU129/BM129-1)*100)&gt;100,"NM",IF(((BU129/BM129-1)*100)&lt;-50,"NM",(BU129/BM129-1)*100)))</f>
        <v>9.0771558245082318</v>
      </c>
      <c r="BW129" s="178">
        <f>BW125-BW128</f>
        <v>82.699999999999932</v>
      </c>
      <c r="BX129" s="81">
        <f>IF(ISERROR((BW129/BO129-1)*100),"NA",IF(((BW129/BO129-1)*100)&gt;100,"NM",IF(((BW129/BO129-1)*100)&lt;-50,"NM",(BW129/BO129-1)*100)))</f>
        <v>13.911845730027505</v>
      </c>
      <c r="BY129" s="178">
        <f>BY125-BY128</f>
        <v>56.199999999999989</v>
      </c>
      <c r="BZ129" s="81">
        <f>IF(ISERROR((BY129/BQ129-1)*100),"NA",IF(((BY129/BQ129-1)*100)&gt;100,"NM",IF(((BY129/BQ129-1)*100)&lt;-50,"NM",(BY129/BQ129-1)*100)))</f>
        <v>-27.577319587628846</v>
      </c>
      <c r="CA129" s="178">
        <f>CA125-CA128</f>
        <v>65.699999999999989</v>
      </c>
      <c r="CB129" s="81">
        <f>IF(ISERROR((CA129/BS129-1)*100),"NA",IF(((CA129/BS129-1)*100)&gt;100,"NM",IF(((CA129/BS129-1)*100)&lt;-50,"NM",(CA129/BS129-1)*100)))</f>
        <v>-11.574697173620418</v>
      </c>
      <c r="CC129" s="178">
        <f>CC125-CC128</f>
        <v>61.400000000000006</v>
      </c>
      <c r="CD129" s="81">
        <f>IF(ISERROR((CC129/BU129-1)*100),"NA",IF(((CC129/BU129-1)*100)&gt;100,"NM",IF(((CC129/BU129-1)*100)&lt;-50,"NM",(CC129/BU129-1)*100)))</f>
        <v>-14.840499306518605</v>
      </c>
      <c r="CE129" s="178">
        <f>CE125-CE128</f>
        <v>64.800000000000011</v>
      </c>
      <c r="CF129" s="81">
        <f>IF(ISERROR((CE129/BW129-1)*100),"NA",IF(((CE129/BW129-1)*100)&gt;100,"NM",IF(((CE129/BW129-1)*100)&lt;-50,"NM",(CE129/BW129-1)*100)))</f>
        <v>-21.644498186215156</v>
      </c>
      <c r="CG129" s="178">
        <f>CG125-CG128</f>
        <v>69.300000000000011</v>
      </c>
      <c r="CH129" s="81">
        <f>IF(ISERROR((CG129/BY129-1)*100),"NA",IF(((CG129/BY129-1)*100)&gt;100,"NM",IF(((CG129/BY129-1)*100)&lt;-50,"NM",(CG129/BY129-1)*100)))</f>
        <v>23.309608540925318</v>
      </c>
      <c r="CI129" s="178">
        <f>CI125-CI128</f>
        <v>74.900000000000006</v>
      </c>
      <c r="CJ129" s="81">
        <f>IF(ISERROR((CI129/CA129-1)*100),"NA",IF(((CI129/CA129-1)*100)&gt;100,"NM",IF(((CI129/CA129-1)*100)&lt;-50,"NM",(CI129/CA129-1)*100)))</f>
        <v>14.003044140030463</v>
      </c>
      <c r="CK129" s="178">
        <f>CK125-CK128</f>
        <v>78.699999999999989</v>
      </c>
      <c r="CL129" s="81">
        <f>IF(ISERROR((CK129/CC129-1)*100),"NA",IF(((CK129/CC129-1)*100)&gt;100,"NM",IF(((CK129/CC129-1)*100)&lt;-50,"NM",(CK129/CC129-1)*100)))</f>
        <v>28.17589576547228</v>
      </c>
      <c r="CM129" s="178">
        <f>CM125-CM128</f>
        <v>77.699999999999989</v>
      </c>
      <c r="CN129" s="81">
        <f>IF(ISERROR((CM129/CE129-1)*100),"NA",IF(((CM129/CE129-1)*100)&gt;100,"NM",IF(((CM129/CE129-1)*100)&lt;-50,"NM",(CM129/CE129-1)*100)))</f>
        <v>19.907407407407373</v>
      </c>
      <c r="CO129" s="178">
        <f>CO125-CO128</f>
        <v>78.800000000000011</v>
      </c>
      <c r="CP129" s="81">
        <f>IF(ISERROR((CO129/CG129-1)*100),"NA",IF(((CO129/CG129-1)*100)&gt;100,"NM",IF(((CO129/CG129-1)*100)&lt;-50,"NM",(CO129/CG129-1)*100)))</f>
        <v>13.708513708513713</v>
      </c>
      <c r="CQ129" s="178">
        <f>CQ125-CQ128</f>
        <v>85</v>
      </c>
      <c r="CR129" s="81">
        <f>IF(ISERROR((CQ129/CI129-1)*100),"NA",IF(((CQ129/CI129-1)*100)&gt;100,"NM",IF(((CQ129/CI129-1)*100)&lt;-50,"NM",(CQ129/CI129-1)*100)))</f>
        <v>13.484646194926553</v>
      </c>
      <c r="CS129" s="178">
        <f>CS125-CS128</f>
        <v>85.699999999999989</v>
      </c>
      <c r="CT129" s="81">
        <f>IF(ISERROR((CS129/CK129-1)*100),"NA",IF(((CS129/CK129-1)*100)&gt;100,"NM",IF(((CS129/CK129-1)*100)&lt;-50,"NM",(CS129/CK129-1)*100)))</f>
        <v>8.8945362134688732</v>
      </c>
      <c r="CU129" s="178">
        <f>CU125-CU128</f>
        <v>83.599999999999966</v>
      </c>
      <c r="CV129" s="81">
        <f>IF(ISERROR((CU129/CM129-1)*100),"NA",IF(((CU129/CM129-1)*100)&gt;100,"NM",IF(((CU129/CM129-1)*100)&lt;-50,"NM",(CU129/CM129-1)*100)))</f>
        <v>7.5933075933075633</v>
      </c>
      <c r="CW129" s="178">
        <f>CW125-CW128</f>
        <v>80.999999999999943</v>
      </c>
      <c r="CX129" s="81">
        <f>IF(ISERROR((CW129/CO129-1)*100),"NA",IF(((CW129/CO129-1)*100)&gt;100,"NM",IF(((CW129/CO129-1)*100)&lt;-50,"NM",(CW129/CO129-1)*100)))</f>
        <v>2.7918781725887465</v>
      </c>
      <c r="CY129" s="178">
        <f>CY125-CY128</f>
        <v>83</v>
      </c>
      <c r="CZ129" s="81">
        <f>IF(ISERROR((CY129/CQ129-1)*100),"NA",IF(((CY129/CQ129-1)*100)&gt;100,"NM",IF(((CY129/CQ129-1)*100)&lt;-50,"NM",(CY129/CQ129-1)*100)))</f>
        <v>-2.352941176470591</v>
      </c>
      <c r="DA129" s="178">
        <f>DA125-DA128</f>
        <v>81.299999999999955</v>
      </c>
      <c r="DB129" s="195">
        <f>IF(ISERROR((DA129/CS129-1)*100),"NA",IF(((DA129/CS129-1)*100)&gt;100,"NM",IF(((DA129/CS129-1)*100)&lt;-50,"NM",(DA129/CS129-1)*100)))</f>
        <v>-5.1341890315052874</v>
      </c>
      <c r="DC129" s="178">
        <f>DC125-DC128</f>
        <v>85.199999999999974</v>
      </c>
      <c r="DD129" s="195">
        <f>IF(ISERROR((DC129/CU129-1)*100),"NA",IF(((DC129/CU129-1)*100)&gt;100,"NM",IF(((DC129/CU129-1)*100)&lt;-50,"NM",(DC129/CU129-1)*100)))</f>
        <v>1.9138755980861344</v>
      </c>
      <c r="DE129" s="178">
        <f>DE125-DE128</f>
        <v>81.199999999999989</v>
      </c>
      <c r="DF129" s="195">
        <f>IF(ISERROR((DE129/CW129-1)*100),"NA",IF(((DE129/CW129-1)*100)&gt;100,"NM",IF(((DE129/CW129-1)*100)&lt;-50,"NM",(DE129/CW129-1)*100)))</f>
        <v>0.24691358024697685</v>
      </c>
      <c r="DG129" s="178">
        <f>DG125-DG128</f>
        <v>82.5</v>
      </c>
      <c r="DH129" s="195">
        <f>IF(ISERROR((DG129/CY129-1)*100),"NA",IF(((DG129/CY129-1)*100)&gt;100,"NM",IF(((DG129/CY129-1)*100)&lt;-50,"NM",(DG129/CY129-1)*100)))</f>
        <v>-0.60240963855421326</v>
      </c>
      <c r="DI129" s="178">
        <f>DI125-DI128</f>
        <v>81.699999999999989</v>
      </c>
      <c r="DJ129" s="195">
        <f>IF(ISERROR((DI129/DA129-1)*100),"NA",IF(((DI129/DA129-1)*100)&gt;100,"NM",IF(((DI129/DA129-1)*100)&lt;-50,"NM",(DI129/DA129-1)*100)))</f>
        <v>0.49200492004923824</v>
      </c>
      <c r="DK129" s="178">
        <f>DK125-DK128</f>
        <v>84.300000000000011</v>
      </c>
      <c r="DL129" s="81">
        <f>IF(ISERROR((DK129/DC129-1)*100),"NA",IF(((DK129/DC129-1)*100)&gt;100,"NM",IF(((DK129/DC129-1)*100)&lt;-50,"NM",(DK129/DC129-1)*100)))</f>
        <v>-1.0563380281689683</v>
      </c>
      <c r="DM129" s="178">
        <f>DM125-DM128</f>
        <v>82.100000000000023</v>
      </c>
      <c r="DN129" s="81">
        <f>IF(ISERROR((DM129/DE129-1)*100),"NA",IF(((DM129/DE129-1)*100)&gt;100,"NM",IF(((DM129/DE129-1)*100)&lt;-50,"NM",(DM129/DE129-1)*100)))</f>
        <v>1.108374384236499</v>
      </c>
      <c r="DO129" s="178">
        <f>DO125-DO128</f>
        <v>89.100000000000023</v>
      </c>
      <c r="DP129" s="81">
        <f>IF(ISERROR((DO129/DG129-1)*100),"NA",IF(((DO129/DG129-1)*100)&gt;100,"NM",IF(((DO129/DG129-1)*100)&lt;-50,"NM",(DO129/DG129-1)*100)))</f>
        <v>8.0000000000000284</v>
      </c>
      <c r="DQ129" s="178">
        <f>DQ125-DQ128</f>
        <v>87.699999999999989</v>
      </c>
      <c r="DR129" s="81">
        <f>IF(ISERROR((DQ129/DI129-1)*100),"NA",IF(((DQ129/DI129-1)*100)&gt;100,"NM",IF(((DQ129/DI129-1)*100)&lt;-50,"NM",(DQ129/DI129-1)*100)))</f>
        <v>7.3439412484700206</v>
      </c>
      <c r="DS129" s="178">
        <f>DS125-DS128</f>
        <v>93.800000000000011</v>
      </c>
      <c r="DT129" s="81">
        <f>IF(ISERROR((DS129/DK129-1)*100),"NA",IF(((DS129/DK129-1)*100)&gt;100,"NM",IF(((DS129/DK129-1)*100)&lt;-50,"NM",(DS129/DK129-1)*100)))</f>
        <v>11.26927639383155</v>
      </c>
      <c r="DU129" s="178">
        <f>DU125-DU128</f>
        <v>90.10000000000008</v>
      </c>
      <c r="DV129" s="81">
        <f>IF(ISERROR((DU129/DM129-1)*100),"NA",IF(((DU129/DM129-1)*100)&gt;100,"NM",IF(((DU129/DM129-1)*100)&lt;-50,"NM",(DU129/DM129-1)*100)))</f>
        <v>9.7442143727162644</v>
      </c>
      <c r="DW129" s="178">
        <f>DW125-DW128</f>
        <v>95.899999999999977</v>
      </c>
      <c r="DX129" s="81">
        <f>IF(ISERROR((DW129/DO129-1)*100),"NA",IF(((DW129/DO129-1)*100)&gt;100,"NM",IF(((DW129/DO129-1)*100)&lt;-50,"NM",(DW129/DO129-1)*100)))</f>
        <v>7.6318742985409083</v>
      </c>
      <c r="DY129" s="178">
        <f>DY125-DY128</f>
        <v>92.199999999999989</v>
      </c>
      <c r="DZ129" s="81">
        <f>IF(ISERROR((DY129/DQ129-1)*100),"NA",IF(((DY129/DQ129-1)*100)&gt;100,"NM",IF(((DY129/DQ129-1)*100)&lt;-50,"NM",(DY129/DQ129-1)*100)))</f>
        <v>5.1311288483466333</v>
      </c>
      <c r="EA129" s="178">
        <f>EA125-EA128</f>
        <v>94.500000000000057</v>
      </c>
      <c r="EB129" s="81">
        <f>IF(ISERROR((EA129/DS129-1)*100),"NA",IF(((EA129/DS129-1)*100)&gt;100,"NM",IF(((EA129/DS129-1)*100)&lt;-50,"NM",(EA129/DS129-1)*100)))</f>
        <v>0.74626865671647558</v>
      </c>
      <c r="EC129" s="178">
        <f>EC125-EC128</f>
        <v>94.39999999999992</v>
      </c>
      <c r="ED129" s="81">
        <f t="shared" si="460"/>
        <v>4.7724750277467587</v>
      </c>
      <c r="EE129" s="178">
        <f>EE125-EE128</f>
        <v>94.5</v>
      </c>
      <c r="EF129" s="81">
        <f t="shared" si="461"/>
        <v>-1.4598540145985162</v>
      </c>
      <c r="EG129" s="178">
        <f>EG125-EG128</f>
        <v>108.30000000000001</v>
      </c>
      <c r="EH129" s="81">
        <f t="shared" si="462"/>
        <v>17.462039045553169</v>
      </c>
      <c r="EI129" s="178">
        <f>EI125-EI128</f>
        <v>100.99999999999997</v>
      </c>
      <c r="EJ129" s="81">
        <f t="shared" si="463"/>
        <v>6.8783068783067947</v>
      </c>
      <c r="EK129" s="178">
        <f t="shared" ref="EK129:EQ129" si="468">EK125-EK128</f>
        <v>98.466221399999995</v>
      </c>
      <c r="EL129" s="81">
        <f t="shared" si="464"/>
        <v>4.3074379237288962</v>
      </c>
      <c r="EM129" s="178">
        <f t="shared" si="468"/>
        <v>99.751249385200083</v>
      </c>
      <c r="EN129" s="81">
        <f t="shared" si="465"/>
        <v>5.5568776562963773</v>
      </c>
      <c r="EO129" s="178">
        <f t="shared" si="468"/>
        <v>101.05460845413364</v>
      </c>
      <c r="EP129" s="81">
        <f t="shared" si="466"/>
        <v>-6.6901122307168714</v>
      </c>
      <c r="EQ129" s="178">
        <f t="shared" si="468"/>
        <v>101.94428273594559</v>
      </c>
      <c r="ER129" s="81">
        <f t="shared" si="467"/>
        <v>0.93493340192636332</v>
      </c>
      <c r="ES129" s="82"/>
      <c r="ET129" s="465"/>
      <c r="EU129" s="82"/>
      <c r="EV129" s="171"/>
      <c r="EW129" s="79"/>
      <c r="EX129" s="171"/>
      <c r="EY129" s="79"/>
      <c r="EZ129" s="171"/>
      <c r="FA129" s="79"/>
      <c r="FB129" s="171"/>
      <c r="FC129" s="79"/>
      <c r="FD129" s="178">
        <f>FD125-FD128</f>
        <v>188.99999999999977</v>
      </c>
      <c r="FE129" s="79" t="str">
        <f>IF(ISERROR((FD129/FB129-1)*100),"NA",IF(((FD129/FB129-1)*100)&gt;100,"NM",IF(((FD129/FB129-1)*100)&lt;-50,"NM",(FD129/FB129-1)*100)))</f>
        <v>NA</v>
      </c>
      <c r="FF129" s="178">
        <f>FF125-FF128</f>
        <v>216.09999999999991</v>
      </c>
      <c r="FG129" s="79">
        <f>IF(ISERROR((FF129/FD129-1)*100),"NA",IF(((FF129/FD129-1)*100)&gt;100,"NM",IF(((FF129/FD129-1)*100)&lt;-50,"NM",(FF129/FD129-1)*100)))</f>
        <v>14.338624338624427</v>
      </c>
      <c r="FH129" s="178">
        <f>FH125-FH128</f>
        <v>180.09999999999991</v>
      </c>
      <c r="FI129" s="79">
        <f>IF(ISERROR((FH129/FF129-1)*100),"NA",IF(((FH129/FF129-1)*100)&gt;100,"NM",IF(((FH129/FF129-1)*100)&lt;-50,"NM",(FH129/FF129-1)*100)))</f>
        <v>-16.658954187875985</v>
      </c>
      <c r="FJ129" s="178">
        <f>FJ125-FJ128</f>
        <v>171.20000000000005</v>
      </c>
      <c r="FK129" s="79">
        <f>IF(ISERROR((FJ129/FH129-1)*100),"NA",IF(((FJ129/FH129-1)*100)&gt;100,"NM",IF(((FJ129/FH129-1)*100)&lt;-50,"NM",(FJ129/FH129-1)*100)))</f>
        <v>-4.9416990560798846</v>
      </c>
      <c r="FL129" s="178">
        <f>FL125-FL128</f>
        <v>218.80000000000041</v>
      </c>
      <c r="FM129" s="79">
        <f>IF(ISERROR((FL129/FJ129-1)*100),"NA",IF(((FL129/FJ129-1)*100)&gt;100,"NM",IF(((FL129/FJ129-1)*100)&lt;-50,"NM",(FL129/FJ129-1)*100)))</f>
        <v>27.803738317757222</v>
      </c>
      <c r="FN129" s="178">
        <f>FN125-FN128</f>
        <v>214.29999999999973</v>
      </c>
      <c r="FO129" s="79">
        <f>IF(ISERROR((FN129/FL129-1)*100),"NA",IF(((FN129/FL129-1)*100)&gt;100,"NM",IF(((FN129/FL129-1)*100)&lt;-50,"NM",(FN129/FL129-1)*100)))</f>
        <v>-2.0566727605121904</v>
      </c>
      <c r="FP129" s="178">
        <f>FP125-FP128</f>
        <v>271.79999999999995</v>
      </c>
      <c r="FQ129" s="79">
        <f>IF(ISERROR((FP129/FN129-1)*100),"NA",IF(((FP129/FN129-1)*100)&gt;100,"NM",IF(((FP129/FN129-1)*100)&lt;-50,"NM",(FP129/FN129-1)*100)))</f>
        <v>26.831544563695896</v>
      </c>
      <c r="FR129" s="178">
        <f>FR125-FR128</f>
        <v>247.10000000000002</v>
      </c>
      <c r="FS129" s="79">
        <f>IF(ISERROR((FR129/FP129-1)*100),"NA",IF(((FR129/FP129-1)*100)&gt;100,"NM",IF(((FR129/FP129-1)*100)&lt;-50,"NM",(FR129/FP129-1)*100)))</f>
        <v>-9.0875643855776076</v>
      </c>
      <c r="FT129" s="178">
        <f>FT125-FT128</f>
        <v>248.10000000000014</v>
      </c>
      <c r="FU129" s="79">
        <f>IF(ISERROR((FT129/FR129-1)*100),"NA",IF(((FT129/FR129-1)*100)&gt;100,"NM",IF(((FT129/FR129-1)*100)&lt;-50,"NM",(FT129/FR129-1)*100)))</f>
        <v>0.40469445568600548</v>
      </c>
      <c r="FV129" s="178">
        <f>FV125-FV128</f>
        <v>300.59999999999991</v>
      </c>
      <c r="FW129" s="79">
        <f>IF(ISERROR((FV129/FT129-1)*100),"NA",IF(((FV129/FT129-1)*100)&gt;100,"NM",IF(((FV129/FT129-1)*100)&lt;-50,"NM",(FV129/FT129-1)*100)))</f>
        <v>21.160822249093016</v>
      </c>
      <c r="FX129" s="178">
        <f>FX125-FX128</f>
        <v>331.59999999999968</v>
      </c>
      <c r="FY129" s="79">
        <f>IF(ISERROR((FX129/FV129-1)*100),"NA",IF(((FX129/FV129-1)*100)&gt;100,"NM",IF(((FX129/FV129-1)*100)&lt;-50,"NM",(FX129/FV129-1)*100)))</f>
        <v>10.312707917498255</v>
      </c>
      <c r="FZ129" s="178">
        <f>FZ125-FZ128</f>
        <v>330.50000000000028</v>
      </c>
      <c r="GA129" s="79">
        <f>IF(ISERROR((FZ129/FX129-1)*100),"NA",IF(((FZ129/FX129-1)*100)&gt;100,"NM",IF(((FZ129/FX129-1)*100)&lt;-50,"NM",(FZ129/FX129-1)*100)))</f>
        <v>-0.33172496984300581</v>
      </c>
      <c r="GB129" s="178">
        <f>GB125-GB128</f>
        <v>329.69999999999982</v>
      </c>
      <c r="GC129" s="79">
        <f>IF(ISERROR((GB129/FZ129-1)*100),"NA",IF(((GB129/FZ129-1)*100)&gt;100,"NM",IF(((GB129/FZ129-1)*100)&lt;-50,"NM",(GB129/FZ129-1)*100)))</f>
        <v>-0.24205748865369081</v>
      </c>
      <c r="GD129" s="178">
        <f>GD125-GD128</f>
        <v>352.70000000000027</v>
      </c>
      <c r="GE129" s="79">
        <f>IF(ISERROR((GD129/GB129-1)*100),"NA",IF(((GD129/GB129-1)*100)&gt;100,"NM",IF(((GD129/GB129-1)*100)&lt;-50,"NM",(GD129/GB129-1)*100)))</f>
        <v>6.9760388231727255</v>
      </c>
      <c r="GF129" s="178">
        <f>GF125-GF128</f>
        <v>372.70000000000005</v>
      </c>
      <c r="GG129" s="79">
        <f>IF(ISERROR((GF129/GD129-1)*100),"NA",IF(((GF129/GD129-1)*100)&gt;100,"NM",IF(((GF129/GD129-1)*100)&lt;-50,"NM",(GF129/GD129-1)*100)))</f>
        <v>5.6705415367166889</v>
      </c>
      <c r="GH129" s="178">
        <f>GH125-GH128</f>
        <v>398.19999999999993</v>
      </c>
      <c r="GI129" s="79">
        <f>IF(ISERROR((GH129/GF129-1)*100),"NA",IF(((GH129/GF129-1)*100)&gt;100,"NM",IF(((GH129/GF129-1)*100)&lt;-50,"NM",(GH129/GF129-1)*100)))</f>
        <v>6.8419640461496956</v>
      </c>
      <c r="GJ129" s="178">
        <f>GJ125-GJ128</f>
        <v>401.21636197527914</v>
      </c>
      <c r="GK129" s="79">
        <f>IF(ISERROR((GJ129/GH129-1)*100),"NA",IF(((GJ129/GH129-1)*100)&gt;100,"NM",IF(((GJ129/GH129-1)*100)&lt;-50,"NM",(GJ129/GH129-1)*100)))</f>
        <v>0.75749924040160455</v>
      </c>
      <c r="GL129" s="178">
        <f>GL125-GL128</f>
        <v>416.22289684887323</v>
      </c>
      <c r="GM129" s="79">
        <f>IF(ISERROR((GL129/GJ129-1)*100),"NA",IF(((GL129/GJ129-1)*100)&gt;100,"NM",IF(((GL129/GJ129-1)*100)&lt;-50,"NM",(GL129/GJ129-1)*100)))</f>
        <v>3.7402599434662953</v>
      </c>
      <c r="GN129" s="178">
        <f>GN125-GN128</f>
        <v>431.82812996939197</v>
      </c>
      <c r="GO129" s="79">
        <f>IF(ISERROR((GN129/GL129-1)*100),"NA",IF(((GN129/GL129-1)*100)&gt;100,"NM",IF(((GN129/GL129-1)*100)&lt;-50,"NM",(GN129/GL129-1)*100)))</f>
        <v>3.7492490775164811</v>
      </c>
      <c r="GP129" s="178">
        <f>GP125-GP128</f>
        <v>448.05744739427882</v>
      </c>
      <c r="GQ129" s="79">
        <f>IF(ISERROR((GP129/GN129-1)*100),"NA",IF(((GP129/GN129-1)*100)&gt;100,"NM",IF(((GP129/GN129-1)*100)&lt;-50,"NM",(GP129/GN129-1)*100)))</f>
        <v>3.7582816631323235</v>
      </c>
      <c r="GR129" s="178">
        <f>GR125-GR128</f>
        <v>461.31059094722605</v>
      </c>
      <c r="GS129" s="79">
        <f>IF(ISERROR((GR129/GP129-1)*100),"NA",IF(((GR129/GP129-1)*100)&gt;100,"NM",IF(((GR129/GP129-1)*100)&lt;-50,"NM",(GR129/GP129-1)*100)))</f>
        <v>2.9579116762866287</v>
      </c>
      <c r="GT129" s="79">
        <f>IF(ISERROR(((GR129/GH129)^0.2-1)*100),"NA",(IF(OR(((GR129/GH129)^0.2-1)*100&gt;99,((GR129/GH129)^0.2-1)*100&lt;-50),"NM",(((GR129/GH129)^0.2-1)*100))))</f>
        <v>2.9860577590697046</v>
      </c>
    </row>
    <row r="130" spans="1:286" ht="12.75" customHeight="1" x14ac:dyDescent="0.2">
      <c r="A130" s="1"/>
      <c r="B130" s="2"/>
      <c r="C130" s="171"/>
      <c r="D130" s="171"/>
      <c r="E130" s="171"/>
      <c r="F130" s="171"/>
      <c r="G130" s="171"/>
      <c r="H130" s="171"/>
      <c r="I130" s="171"/>
      <c r="J130" s="171"/>
      <c r="K130" s="171"/>
      <c r="L130" s="79"/>
      <c r="M130" s="171"/>
      <c r="N130" s="79"/>
      <c r="O130" s="171"/>
      <c r="P130" s="79"/>
      <c r="Q130" s="171"/>
      <c r="R130" s="79"/>
      <c r="S130" s="171"/>
      <c r="T130" s="79"/>
      <c r="U130" s="171"/>
      <c r="V130" s="79"/>
      <c r="W130" s="171"/>
      <c r="X130" s="79"/>
      <c r="Y130" s="171"/>
      <c r="Z130" s="79"/>
      <c r="AA130" s="172"/>
      <c r="AB130" s="79"/>
      <c r="AC130" s="171"/>
      <c r="AD130" s="79"/>
      <c r="AE130" s="171"/>
      <c r="AF130" s="79"/>
      <c r="AG130" s="171"/>
      <c r="AH130" s="79"/>
      <c r="AI130" s="171"/>
      <c r="AJ130" s="79"/>
      <c r="AK130" s="171"/>
      <c r="AL130" s="79"/>
      <c r="AM130" s="171"/>
      <c r="AN130" s="79"/>
      <c r="AO130" s="171"/>
      <c r="AP130" s="79"/>
      <c r="AQ130" s="171"/>
      <c r="AR130" s="79"/>
      <c r="AS130" s="171"/>
      <c r="AT130" s="81"/>
      <c r="AU130" s="171"/>
      <c r="AV130" s="81"/>
      <c r="AW130" s="171"/>
      <c r="AX130" s="81"/>
      <c r="AY130" s="171"/>
      <c r="AZ130" s="81"/>
      <c r="BA130" s="171"/>
      <c r="BB130" s="81"/>
      <c r="BC130" s="171"/>
      <c r="BD130" s="81"/>
      <c r="BE130" s="171"/>
      <c r="BF130" s="81"/>
      <c r="BG130" s="171"/>
      <c r="BH130" s="81"/>
      <c r="BI130" s="171"/>
      <c r="BJ130" s="81"/>
      <c r="BK130" s="171"/>
      <c r="BL130" s="81"/>
      <c r="BM130" s="171"/>
      <c r="BN130" s="81"/>
      <c r="BO130" s="171"/>
      <c r="BP130" s="81"/>
      <c r="BQ130" s="171"/>
      <c r="BR130" s="81"/>
      <c r="BS130" s="171"/>
      <c r="BT130" s="81"/>
      <c r="BU130" s="171"/>
      <c r="BV130" s="81"/>
      <c r="BW130" s="171"/>
      <c r="BX130" s="81"/>
      <c r="BY130" s="171"/>
      <c r="BZ130" s="81"/>
      <c r="CA130" s="171"/>
      <c r="CB130" s="81"/>
      <c r="CC130" s="171"/>
      <c r="CD130" s="81"/>
      <c r="CE130" s="171"/>
      <c r="CF130" s="81"/>
      <c r="CG130" s="171"/>
      <c r="CH130" s="81"/>
      <c r="CI130" s="171"/>
      <c r="CJ130" s="81"/>
      <c r="CK130" s="171"/>
      <c r="CL130" s="81"/>
      <c r="CM130" s="171"/>
      <c r="CN130" s="81"/>
      <c r="CO130" s="171"/>
      <c r="CP130" s="81"/>
      <c r="CQ130" s="171"/>
      <c r="CR130" s="81"/>
      <c r="CS130" s="171"/>
      <c r="CT130" s="81"/>
      <c r="CU130" s="171"/>
      <c r="CV130" s="81"/>
      <c r="CW130" s="171"/>
      <c r="CX130" s="81"/>
      <c r="CY130" s="171"/>
      <c r="CZ130" s="81"/>
      <c r="DA130" s="171"/>
      <c r="DB130" s="81"/>
      <c r="DC130" s="171"/>
      <c r="DD130" s="81"/>
      <c r="DE130" s="171"/>
      <c r="DF130" s="81"/>
      <c r="DG130" s="171"/>
      <c r="DH130" s="81"/>
      <c r="DI130" s="171"/>
      <c r="DJ130" s="81"/>
      <c r="DK130" s="171"/>
      <c r="DL130" s="81"/>
      <c r="DM130" s="171"/>
      <c r="DN130" s="81"/>
      <c r="DO130" s="171"/>
      <c r="DP130" s="81"/>
      <c r="DQ130" s="171"/>
      <c r="DR130" s="81"/>
      <c r="DS130" s="171"/>
      <c r="DT130" s="81"/>
      <c r="DU130" s="171"/>
      <c r="DV130" s="81"/>
      <c r="DW130" s="171"/>
      <c r="DX130" s="81"/>
      <c r="DY130" s="171"/>
      <c r="DZ130" s="81"/>
      <c r="EA130" s="171"/>
      <c r="EB130" s="81"/>
      <c r="EC130" s="171"/>
      <c r="ED130" s="81"/>
      <c r="EE130" s="171"/>
      <c r="EF130" s="81"/>
      <c r="EG130" s="171"/>
      <c r="EH130" s="81"/>
      <c r="EI130" s="171"/>
      <c r="EJ130" s="81"/>
      <c r="EK130" s="171"/>
      <c r="EL130" s="81"/>
      <c r="EM130" s="171"/>
      <c r="EN130" s="81"/>
      <c r="EO130" s="171"/>
      <c r="EP130" s="81"/>
      <c r="EQ130" s="171"/>
      <c r="ER130" s="81"/>
      <c r="ES130" s="82"/>
      <c r="ET130" s="469"/>
      <c r="EU130" s="82"/>
      <c r="EV130" s="171"/>
      <c r="EW130" s="79"/>
      <c r="EX130" s="171"/>
      <c r="EY130" s="79"/>
      <c r="EZ130" s="171"/>
      <c r="FA130" s="79"/>
      <c r="FB130" s="171"/>
      <c r="FC130" s="79"/>
      <c r="FD130" s="171"/>
      <c r="FE130" s="79"/>
      <c r="FF130" s="171"/>
      <c r="FG130" s="79"/>
      <c r="FH130" s="171"/>
      <c r="FI130" s="79"/>
      <c r="FJ130" s="171"/>
      <c r="FK130" s="79"/>
      <c r="FL130" s="171"/>
      <c r="FM130" s="79"/>
      <c r="FN130" s="171"/>
      <c r="FO130" s="79"/>
      <c r="FP130" s="171"/>
      <c r="FQ130" s="79"/>
      <c r="FR130" s="171"/>
      <c r="FS130" s="79"/>
      <c r="FT130" s="171"/>
      <c r="FU130" s="79"/>
      <c r="FV130" s="171"/>
      <c r="FW130" s="79"/>
      <c r="FX130" s="171"/>
      <c r="FY130" s="79"/>
      <c r="FZ130" s="171"/>
      <c r="GA130" s="79"/>
      <c r="GB130" s="171"/>
      <c r="GC130" s="79"/>
      <c r="GD130" s="171"/>
      <c r="GE130" s="79"/>
      <c r="GF130" s="171"/>
      <c r="GG130" s="79"/>
      <c r="GH130" s="171"/>
      <c r="GI130" s="79"/>
      <c r="GJ130" s="171"/>
      <c r="GK130" s="79"/>
      <c r="GL130" s="171"/>
      <c r="GM130" s="79"/>
      <c r="GN130" s="171"/>
      <c r="GO130" s="79"/>
      <c r="GP130" s="171"/>
      <c r="GQ130" s="79"/>
      <c r="GR130" s="171"/>
      <c r="GS130" s="79"/>
      <c r="GT130" s="79"/>
    </row>
    <row r="131" spans="1:286" ht="12.75" customHeight="1" x14ac:dyDescent="0.2">
      <c r="A131" s="1"/>
      <c r="B131" s="68" t="s">
        <v>389</v>
      </c>
      <c r="C131" s="171"/>
      <c r="D131" s="171"/>
      <c r="E131" s="171"/>
      <c r="F131" s="171"/>
      <c r="G131" s="171"/>
      <c r="H131" s="171"/>
      <c r="I131" s="171"/>
      <c r="J131" s="171"/>
      <c r="K131" s="171"/>
      <c r="L131" s="79"/>
      <c r="M131" s="171"/>
      <c r="N131" s="79"/>
      <c r="O131" s="171"/>
      <c r="P131" s="79"/>
      <c r="Q131" s="171"/>
      <c r="R131" s="79"/>
      <c r="S131" s="171"/>
      <c r="T131" s="79"/>
      <c r="U131" s="171"/>
      <c r="V131" s="79"/>
      <c r="W131" s="171"/>
      <c r="X131" s="79"/>
      <c r="Y131" s="171"/>
      <c r="Z131" s="79"/>
      <c r="AA131" s="172"/>
      <c r="AB131" s="79"/>
      <c r="AC131" s="171"/>
      <c r="AD131" s="79"/>
      <c r="AE131" s="171"/>
      <c r="AF131" s="79"/>
      <c r="AG131" s="171"/>
      <c r="AH131" s="79"/>
      <c r="AI131" s="171"/>
      <c r="AJ131" s="79"/>
      <c r="AK131" s="171"/>
      <c r="AL131" s="79"/>
      <c r="AM131" s="171"/>
      <c r="AN131" s="79"/>
      <c r="AO131" s="171"/>
      <c r="AP131" s="79"/>
      <c r="AQ131" s="171"/>
      <c r="AR131" s="79"/>
      <c r="AS131" s="171"/>
      <c r="AT131" s="81"/>
      <c r="AU131" s="171"/>
      <c r="AV131" s="81"/>
      <c r="AW131" s="171"/>
      <c r="AX131" s="81"/>
      <c r="AY131" s="171"/>
      <c r="AZ131" s="81"/>
      <c r="BA131" s="171"/>
      <c r="BB131" s="81"/>
      <c r="BC131" s="171"/>
      <c r="BD131" s="81"/>
      <c r="BE131" s="171"/>
      <c r="BF131" s="81"/>
      <c r="BG131" s="171"/>
      <c r="BH131" s="81"/>
      <c r="BI131" s="171"/>
      <c r="BJ131" s="81"/>
      <c r="BK131" s="171"/>
      <c r="BL131" s="81"/>
      <c r="BM131" s="171"/>
      <c r="BN131" s="81"/>
      <c r="BO131" s="171"/>
      <c r="BP131" s="81"/>
      <c r="BQ131" s="171"/>
      <c r="BR131" s="81"/>
      <c r="BS131" s="171"/>
      <c r="BT131" s="81"/>
      <c r="BU131" s="171"/>
      <c r="BV131" s="81"/>
      <c r="BW131" s="171"/>
      <c r="BX131" s="81"/>
      <c r="BY131" s="171"/>
      <c r="BZ131" s="81"/>
      <c r="CA131" s="171"/>
      <c r="CB131" s="81"/>
      <c r="CC131" s="171"/>
      <c r="CD131" s="81"/>
      <c r="CE131" s="171"/>
      <c r="CF131" s="81"/>
      <c r="CG131" s="171"/>
      <c r="CH131" s="81"/>
      <c r="CI131" s="171"/>
      <c r="CJ131" s="81"/>
      <c r="CK131" s="171"/>
      <c r="CL131" s="81"/>
      <c r="CM131" s="171"/>
      <c r="CN131" s="81"/>
      <c r="CO131" s="171"/>
      <c r="CP131" s="81"/>
      <c r="CQ131" s="171"/>
      <c r="CR131" s="81"/>
      <c r="CS131" s="171"/>
      <c r="CT131" s="81"/>
      <c r="CU131" s="171"/>
      <c r="CV131" s="81"/>
      <c r="CW131" s="171"/>
      <c r="CX131" s="81"/>
      <c r="CY131" s="171"/>
      <c r="CZ131" s="81"/>
      <c r="DA131" s="171"/>
      <c r="DB131" s="81"/>
      <c r="DC131" s="171"/>
      <c r="DD131" s="81"/>
      <c r="DE131" s="171"/>
      <c r="DF131" s="81"/>
      <c r="DG131" s="171"/>
      <c r="DH131" s="81"/>
      <c r="DI131" s="171"/>
      <c r="DJ131" s="81"/>
      <c r="DK131" s="171"/>
      <c r="DL131" s="81"/>
      <c r="DM131" s="171"/>
      <c r="DN131" s="81"/>
      <c r="DO131" s="171"/>
      <c r="DP131" s="81"/>
      <c r="DQ131" s="171"/>
      <c r="DR131" s="81"/>
      <c r="DS131" s="171"/>
      <c r="DT131" s="81"/>
      <c r="DU131" s="171"/>
      <c r="DV131" s="81"/>
      <c r="DW131" s="171"/>
      <c r="DX131" s="81"/>
      <c r="DY131" s="171"/>
      <c r="DZ131" s="81"/>
      <c r="EA131" s="171"/>
      <c r="EB131" s="81"/>
      <c r="EC131" s="171"/>
      <c r="ED131" s="81"/>
      <c r="EE131" s="171"/>
      <c r="EF131" s="81"/>
      <c r="EG131" s="171"/>
      <c r="EH131" s="81"/>
      <c r="EI131" s="171"/>
      <c r="EJ131" s="81"/>
      <c r="EK131" s="171"/>
      <c r="EL131" s="81"/>
      <c r="EM131" s="171"/>
      <c r="EN131" s="81"/>
      <c r="EO131" s="171"/>
      <c r="EP131" s="81"/>
      <c r="EQ131" s="171"/>
      <c r="ER131" s="81"/>
      <c r="ES131" s="82"/>
      <c r="ET131" s="469"/>
      <c r="EU131" s="82"/>
      <c r="EV131" s="171"/>
      <c r="EW131" s="79"/>
      <c r="EX131" s="171"/>
      <c r="EY131" s="79"/>
      <c r="EZ131" s="171"/>
      <c r="FA131" s="79"/>
      <c r="FB131" s="171"/>
      <c r="FC131" s="79"/>
      <c r="FD131" s="171"/>
      <c r="FE131" s="79"/>
      <c r="FF131" s="171"/>
      <c r="FG131" s="79"/>
      <c r="FH131" s="171"/>
      <c r="FI131" s="79"/>
      <c r="FJ131" s="171"/>
      <c r="FK131" s="79"/>
      <c r="FL131" s="171"/>
      <c r="FM131" s="79"/>
      <c r="FN131" s="171"/>
      <c r="FO131" s="79"/>
      <c r="FP131" s="171"/>
      <c r="FQ131" s="79"/>
      <c r="FR131" s="171"/>
      <c r="FS131" s="79"/>
      <c r="FT131" s="171"/>
      <c r="FU131" s="79"/>
      <c r="FV131" s="171"/>
      <c r="FW131" s="79"/>
      <c r="FX131" s="171"/>
      <c r="FY131" s="79"/>
      <c r="FZ131" s="171"/>
      <c r="GA131" s="79"/>
      <c r="GB131" s="171"/>
      <c r="GC131" s="79"/>
      <c r="GD131" s="171"/>
      <c r="GE131" s="79"/>
      <c r="GF131" s="171"/>
      <c r="GG131" s="79"/>
      <c r="GH131" s="171"/>
      <c r="GI131" s="79"/>
      <c r="GJ131" s="171"/>
      <c r="GK131" s="79"/>
      <c r="GL131" s="171"/>
      <c r="GM131" s="79"/>
      <c r="GN131" s="171"/>
      <c r="GO131" s="79"/>
      <c r="GP131" s="171"/>
      <c r="GQ131" s="79"/>
      <c r="GR131" s="171"/>
      <c r="GS131" s="79"/>
      <c r="GT131" s="79"/>
    </row>
    <row r="132" spans="1:286" ht="12.75" customHeight="1" x14ac:dyDescent="0.2">
      <c r="A132" s="1"/>
      <c r="B132" s="2" t="s">
        <v>97</v>
      </c>
      <c r="C132" s="171"/>
      <c r="D132" s="171"/>
      <c r="E132" s="171"/>
      <c r="F132" s="171"/>
      <c r="G132" s="171"/>
      <c r="H132" s="171"/>
      <c r="I132" s="171"/>
      <c r="J132" s="171"/>
      <c r="K132" s="171"/>
      <c r="L132" s="79"/>
      <c r="M132" s="171"/>
      <c r="N132" s="79"/>
      <c r="O132" s="171"/>
      <c r="P132" s="79"/>
      <c r="Q132" s="171"/>
      <c r="R132" s="79"/>
      <c r="S132" s="171"/>
      <c r="T132" s="79"/>
      <c r="U132" s="171"/>
      <c r="V132" s="79"/>
      <c r="W132" s="171"/>
      <c r="X132" s="79"/>
      <c r="Y132" s="171"/>
      <c r="Z132" s="79"/>
      <c r="AA132" s="172"/>
      <c r="AB132" s="79" t="str">
        <f>IF(ISERROR((AA132/S132-1)*100),"NA",IF(((AA132/S132-1)*100)&gt;100,"NM",IF(((AA132/S132-1)*100)&lt;-50,"NM",(AA132/S132-1)*100)))</f>
        <v>NA</v>
      </c>
      <c r="AC132" s="107">
        <f>31.9-AE132</f>
        <v>16.7</v>
      </c>
      <c r="AD132" s="79" t="str">
        <f>IF(ISERROR((AC132/U132-1)*100),"NA",IF(((AC132/U132-1)*100)&gt;100,"NM",IF(((AC132/U132-1)*100)&lt;-50,"NM",(AC132/U132-1)*100)))</f>
        <v>NA</v>
      </c>
      <c r="AE132" s="107">
        <v>15.2</v>
      </c>
      <c r="AF132" s="79" t="str">
        <f>IF(ISERROR((AE132/W132-1)*100),"NA",IF(((AE132/W132-1)*100)&gt;100,"NM",IF(((AE132/W132-1)*100)&lt;-50,"NM",(AE132/W132-1)*100)))</f>
        <v>NA</v>
      </c>
      <c r="AG132" s="107">
        <v>15.4</v>
      </c>
      <c r="AH132" s="79" t="str">
        <f>IF(ISERROR((AG132/Y132-1)*100),"NA",IF(((AG132/Y132-1)*100)&gt;100,"NM",IF(((AG132/Y132-1)*100)&lt;-50,"NM",(AG132/Y132-1)*100)))</f>
        <v>NA</v>
      </c>
      <c r="AI132" s="104">
        <f>FH132-AG132-AE132-AC132</f>
        <v>14.300000000000004</v>
      </c>
      <c r="AJ132" s="79" t="str">
        <f>IF(ISERROR((AI132/AA132-1)*100),"NA",IF(((AI132/AA132-1)*100)&gt;100,"NM",IF(((AI132/AA132-1)*100)&lt;-50,"NM",(AI132/AA132-1)*100)))</f>
        <v>NA</v>
      </c>
      <c r="AK132" s="107">
        <f>25.3-AM132</f>
        <v>13.3</v>
      </c>
      <c r="AL132" s="79">
        <f>IF(ISERROR((AK132/AC132-1)*100),"NA",IF(((AK132/AC132-1)*100)&gt;100,"NM",IF(((AK132/AC132-1)*100)&lt;-50,"NM",(AK132/AC132-1)*100)))</f>
        <v>-20.359281437125741</v>
      </c>
      <c r="AM132" s="107">
        <v>12</v>
      </c>
      <c r="AN132" s="79">
        <f t="shared" ref="AN132:BD137" si="469">IF(ISERROR((AM132/AE132-1)*100),"NA",IF(((AM132/AE132-1)*100)&gt;100,"NM",IF(((AM132/AE132-1)*100)&lt;-50,"NM",(AM132/AE132-1)*100)))</f>
        <v>-21.052631578947366</v>
      </c>
      <c r="AO132" s="107">
        <v>13.4</v>
      </c>
      <c r="AP132" s="79">
        <f t="shared" si="469"/>
        <v>-12.987012987012992</v>
      </c>
      <c r="AQ132" s="107">
        <v>15.1</v>
      </c>
      <c r="AR132" s="79">
        <f t="shared" si="469"/>
        <v>5.5944055944055604</v>
      </c>
      <c r="AS132" s="107">
        <v>12.3</v>
      </c>
      <c r="AT132" s="81">
        <f t="shared" si="469"/>
        <v>-7.518796992481203</v>
      </c>
      <c r="AU132" s="107">
        <v>12.6</v>
      </c>
      <c r="AV132" s="81">
        <f t="shared" si="469"/>
        <v>5.0000000000000044</v>
      </c>
      <c r="AW132" s="107">
        <v>14.1</v>
      </c>
      <c r="AX132" s="81">
        <f t="shared" si="469"/>
        <v>5.2238805970149294</v>
      </c>
      <c r="AY132" s="107">
        <v>16.399999999999999</v>
      </c>
      <c r="AZ132" s="81">
        <f t="shared" si="469"/>
        <v>8.6092715231788084</v>
      </c>
      <c r="BA132" s="107">
        <v>14.5</v>
      </c>
      <c r="BB132" s="81">
        <f t="shared" si="469"/>
        <v>17.886178861788604</v>
      </c>
      <c r="BC132" s="107">
        <v>14.5</v>
      </c>
      <c r="BD132" s="81">
        <f t="shared" si="469"/>
        <v>15.079365079365093</v>
      </c>
      <c r="BE132" s="107">
        <v>15.2</v>
      </c>
      <c r="BF132" s="81">
        <f>IF(ISERROR((BE132/AW132-1)*100),"NA",IF(((BE132/AW132-1)*100)&gt;100,"NM",IF(((BE132/AW132-1)*100)&lt;-50,"NM",(BE132/AW132-1)*100)))</f>
        <v>7.8014184397163122</v>
      </c>
      <c r="BG132" s="107">
        <v>15.5</v>
      </c>
      <c r="BH132" s="81">
        <f>IF(ISERROR((BG132/AY132-1)*100),"NA",IF(((BG132/AY132-1)*100)&gt;100,"NM",IF(((BG132/AY132-1)*100)&lt;-50,"NM",(BG132/AY132-1)*100)))</f>
        <v>-5.4878048780487738</v>
      </c>
      <c r="BI132" s="107">
        <v>16.5</v>
      </c>
      <c r="BJ132" s="81">
        <f>IF(ISERROR((BI132/BA132-1)*100),"NA",IF(((BI132/BA132-1)*100)&gt;100,"NM",IF(((BI132/BA132-1)*100)&lt;-50,"NM",(BI132/BA132-1)*100)))</f>
        <v>13.793103448275868</v>
      </c>
      <c r="BK132" s="107">
        <v>12.8</v>
      </c>
      <c r="BL132" s="81">
        <f>IF(ISERROR((BK132/BC132-1)*100),"NA",IF(((BK132/BC132-1)*100)&gt;100,"NM",IF(((BK132/BC132-1)*100)&lt;-50,"NM",(BK132/BC132-1)*100)))</f>
        <v>-11.724137931034473</v>
      </c>
      <c r="BM132" s="107">
        <v>15.1</v>
      </c>
      <c r="BN132" s="81"/>
      <c r="BO132" s="107">
        <v>13.5</v>
      </c>
      <c r="BP132" s="81"/>
      <c r="BQ132" s="107">
        <v>15.7</v>
      </c>
      <c r="BR132" s="81">
        <f>IF(ISERROR((BQ132/BI132-1)*100),"NA",IF(((BQ132/BI132-1)*100)&gt;100,"NM",IF(((BQ132/BI132-1)*100)&lt;-50,"NM",(BQ132/BI132-1)*100)))</f>
        <v>-4.8484848484848575</v>
      </c>
      <c r="BS132" s="107">
        <v>11.6</v>
      </c>
      <c r="BT132" s="81"/>
      <c r="BU132" s="107">
        <v>12.2</v>
      </c>
      <c r="BV132" s="81"/>
      <c r="BW132" s="107">
        <v>12.1</v>
      </c>
      <c r="BX132" s="81"/>
      <c r="BY132" s="107">
        <v>9.6</v>
      </c>
      <c r="BZ132" s="81">
        <f t="shared" ref="BZ132:CD137" si="470">IF(ISERROR((BY132/BQ132-1)*100),"NA",IF(((BY132/BQ132-1)*100)&gt;100,"NM",IF(((BY132/BQ132-1)*100)&lt;-50,"NM",(BY132/BQ132-1)*100)))</f>
        <v>-38.853503184713375</v>
      </c>
      <c r="CA132" s="107">
        <v>10.3</v>
      </c>
      <c r="CB132" s="81">
        <f t="shared" si="470"/>
        <v>-11.206896551724132</v>
      </c>
      <c r="CC132" s="107">
        <v>11.6</v>
      </c>
      <c r="CD132" s="81">
        <f t="shared" si="470"/>
        <v>-4.9180327868852398</v>
      </c>
      <c r="CE132" s="107">
        <v>11.2</v>
      </c>
      <c r="CF132" s="81">
        <f>IF(ISERROR((CE132/BW132-1)*100),"NA",IF(((CE132/BW132-1)*100)&gt;100,"NM",IF(((CE132/BW132-1)*100)&lt;-50,"NM",(CE132/BW132-1)*100)))</f>
        <v>-7.4380165289256279</v>
      </c>
      <c r="CG132" s="107">
        <v>14.2</v>
      </c>
      <c r="CH132" s="81">
        <f>IF(ISERROR((CG132/BY132-1)*100),"NA",IF(((CG132/BY132-1)*100)&gt;100,"NM",IF(((CG132/BY132-1)*100)&lt;-50,"NM",(CG132/BY132-1)*100)))</f>
        <v>47.916666666666671</v>
      </c>
      <c r="CI132" s="107">
        <v>13.5</v>
      </c>
      <c r="CJ132" s="81">
        <f>IF(ISERROR((CI132/CA132-1)*100),"NA",IF(((CI132/CA132-1)*100)&gt;100,"NM",IF(((CI132/CA132-1)*100)&lt;-50,"NM",(CI132/CA132-1)*100)))</f>
        <v>31.06796116504853</v>
      </c>
      <c r="CK132" s="107">
        <v>12.9</v>
      </c>
      <c r="CL132" s="81">
        <f>IF(ISERROR((CK132/CC132-1)*100),"NA",IF(((CK132/CC132-1)*100)&gt;100,"NM",IF(((CK132/CC132-1)*100)&lt;-50,"NM",(CK132/CC132-1)*100)))</f>
        <v>11.206896551724155</v>
      </c>
      <c r="CM132" s="107">
        <v>15</v>
      </c>
      <c r="CN132" s="81">
        <f>IF(ISERROR((CM132/CE132-1)*100),"NA",IF(((CM132/CE132-1)*100)&gt;100,"NM",IF(((CM132/CE132-1)*100)&lt;-50,"NM",(CM132/CE132-1)*100)))</f>
        <v>33.928571428571445</v>
      </c>
      <c r="CO132" s="107">
        <v>14.9</v>
      </c>
      <c r="CP132" s="81">
        <f>IF(ISERROR((CO132/CG132-1)*100),"NA",IF(((CO132/CG132-1)*100)&gt;100,"NM",IF(((CO132/CG132-1)*100)&lt;-50,"NM",(CO132/CG132-1)*100)))</f>
        <v>4.929577464788748</v>
      </c>
      <c r="CQ132" s="107">
        <v>15.3</v>
      </c>
      <c r="CR132" s="81">
        <f>IF(ISERROR((CQ132/CI132-1)*100),"NA",IF(((CQ132/CI132-1)*100)&gt;100,"NM",IF(((CQ132/CI132-1)*100)&lt;-50,"NM",(CQ132/CI132-1)*100)))</f>
        <v>13.33333333333333</v>
      </c>
      <c r="CS132" s="107">
        <v>14.6</v>
      </c>
      <c r="CT132" s="81">
        <f>IF(ISERROR((CS132/CK132-1)*100),"NA",IF(((CS132/CK132-1)*100)&gt;100,"NM",IF(((CS132/CK132-1)*100)&lt;-50,"NM",(CS132/CK132-1)*100)))</f>
        <v>13.178294573643413</v>
      </c>
      <c r="CU132" s="107">
        <v>12.2</v>
      </c>
      <c r="CV132" s="81">
        <f>IF(ISERROR((CU132/CM132-1)*100),"NA",IF(((CU132/CM132-1)*100)&gt;100,"NM",IF(((CU132/CM132-1)*100)&lt;-50,"NM",(CU132/CM132-1)*100)))</f>
        <v>-18.666666666666675</v>
      </c>
      <c r="CW132" s="107">
        <v>15.2</v>
      </c>
      <c r="CX132" s="81">
        <f>IF(ISERROR((CW132/CO132-1)*100),"NA",IF(((CW132/CO132-1)*100)&gt;100,"NM",IF(((CW132/CO132-1)*100)&lt;-50,"NM",(CW132/CO132-1)*100)))</f>
        <v>2.0134228187919323</v>
      </c>
      <c r="CY132" s="107">
        <v>10.199999999999999</v>
      </c>
      <c r="CZ132" s="81">
        <f>IF(ISERROR((CY132/CQ132-1)*100),"NA",IF(((CY132/CQ132-1)*100)&gt;100,"NM",IF(((CY132/CQ132-1)*100)&lt;-50,"NM",(CY132/CQ132-1)*100)))</f>
        <v>-33.333333333333336</v>
      </c>
      <c r="DA132" s="107">
        <v>11.2</v>
      </c>
      <c r="DB132" s="81">
        <f>IF(ISERROR((DA132/CS132-1)*100),"NA",IF(((DA132/CS132-1)*100)&gt;100,"NM",IF(((DA132/CS132-1)*100)&lt;-50,"NM",(DA132/CS132-1)*100)))</f>
        <v>-23.287671232876718</v>
      </c>
      <c r="DC132" s="107">
        <v>15.6</v>
      </c>
      <c r="DD132" s="81">
        <f>IF(ISERROR((DC132/CU132-1)*100),"NA",IF(((DC132/CU132-1)*100)&gt;100,"NM",IF(((DC132/CU132-1)*100)&lt;-50,"NM",(DC132/CU132-1)*100)))</f>
        <v>27.868852459016402</v>
      </c>
      <c r="DE132" s="107">
        <v>14.6</v>
      </c>
      <c r="DF132" s="81">
        <f>IF(ISERROR((DE132/CW132-1)*100),"NA",IF(((DE132/CW132-1)*100)&gt;100,"NM",IF(((DE132/CW132-1)*100)&lt;-50,"NM",(DE132/CW132-1)*100)))</f>
        <v>-3.9473684210526327</v>
      </c>
      <c r="DG132" s="107">
        <v>11.7</v>
      </c>
      <c r="DH132" s="81">
        <f>IF(ISERROR((DG132/CY132-1)*100),"NA",IF(((DG132/CY132-1)*100)&gt;100,"NM",IF(((DG132/CY132-1)*100)&lt;-50,"NM",(DG132/CY132-1)*100)))</f>
        <v>14.705882352941169</v>
      </c>
      <c r="DI132" s="107">
        <v>14.4</v>
      </c>
      <c r="DJ132" s="81">
        <f>IF(ISERROR((DI132/DA132-1)*100),"NA",IF(((DI132/DA132-1)*100)&gt;100,"NM",IF(((DI132/DA132-1)*100)&lt;-50,"NM",(DI132/DA132-1)*100)))</f>
        <v>28.57142857142858</v>
      </c>
      <c r="DK132" s="107">
        <v>16.100000000000001</v>
      </c>
      <c r="DL132" s="81">
        <f>IF(ISERROR((DK132/DC132-1)*100),"NA",IF(((DK132/DC132-1)*100)&gt;100,"NM",IF(((DK132/DC132-1)*100)&lt;-50,"NM",(DK132/DC132-1)*100)))</f>
        <v>3.2051282051282159</v>
      </c>
      <c r="DM132" s="107">
        <v>12.3</v>
      </c>
      <c r="DN132" s="81">
        <f>IF(ISERROR((DM132/DE132-1)*100),"NA",IF(((DM132/DE132-1)*100)&gt;100,"NM",IF(((DM132/DE132-1)*100)&lt;-50,"NM",(DM132/DE132-1)*100)))</f>
        <v>-15.753424657534243</v>
      </c>
      <c r="DO132" s="107">
        <v>13</v>
      </c>
      <c r="DP132" s="81">
        <f>IF(ISERROR((DO132/DG132-1)*100),"NA",IF(((DO132/DG132-1)*100)&gt;100,"NM",IF(((DO132/DG132-1)*100)&lt;-50,"NM",(DO132/DG132-1)*100)))</f>
        <v>11.111111111111116</v>
      </c>
      <c r="DQ132" s="107">
        <v>21.2</v>
      </c>
      <c r="DR132" s="81">
        <f>IF(ISERROR((DQ132/DI132-1)*100),"NA",IF(((DQ132/DI132-1)*100)&gt;100,"NM",IF(((DQ132/DI132-1)*100)&lt;-50,"NM",(DQ132/DI132-1)*100)))</f>
        <v>47.222222222222207</v>
      </c>
      <c r="DS132" s="107">
        <v>21</v>
      </c>
      <c r="DT132" s="81">
        <f>IF(ISERROR((DS132/DK132-1)*100),"NA",IF(((DS132/DK132-1)*100)&gt;100,"NM",IF(((DS132/DK132-1)*100)&lt;-50,"NM",(DS132/DK132-1)*100)))</f>
        <v>30.434782608695631</v>
      </c>
      <c r="DU132" s="107">
        <v>16.7</v>
      </c>
      <c r="DV132" s="81">
        <f>IF(ISERROR((DU132/DM132-1)*100),"NA",IF(((DU132/DM132-1)*100)&gt;100,"NM",IF(((DU132/DM132-1)*100)&lt;-50,"NM",(DU132/DM132-1)*100)))</f>
        <v>35.77235772357723</v>
      </c>
      <c r="DW132" s="107">
        <v>14.6</v>
      </c>
      <c r="DX132" s="81">
        <f>IF(ISERROR((DW132/DO132-1)*100),"NA",IF(((DW132/DO132-1)*100)&gt;100,"NM",IF(((DW132/DO132-1)*100)&lt;-50,"NM",(DW132/DO132-1)*100)))</f>
        <v>12.307692307692308</v>
      </c>
      <c r="DY132" s="107">
        <v>16.399999999999999</v>
      </c>
      <c r="DZ132" s="81">
        <f>IF(ISERROR((DY132/DQ132-1)*100),"NA",IF(((DY132/DQ132-1)*100)&gt;100,"NM",IF(((DY132/DQ132-1)*100)&lt;-50,"NM",(DY132/DQ132-1)*100)))</f>
        <v>-22.64150943396227</v>
      </c>
      <c r="EA132" s="107">
        <v>17.399999999999999</v>
      </c>
      <c r="EB132" s="81">
        <f>IF(ISERROR((EA132/DS132-1)*100),"NA",IF(((EA132/DS132-1)*100)&gt;100,"NM",IF(((EA132/DS132-1)*100)&lt;-50,"NM",(EA132/DS132-1)*100)))</f>
        <v>-17.142857142857149</v>
      </c>
      <c r="EC132" s="107">
        <v>16.2</v>
      </c>
      <c r="ED132" s="81">
        <f t="shared" ref="ED132" si="471">IF(ISERROR((EC132/DU132-1)*100),"NA",IF(((EC132/DU132-1)*100)&gt;100,"NM",IF(((EC132/DU132-1)*100)&lt;-50,"NM",(EC132/DU132-1)*100)))</f>
        <v>-2.9940119760479056</v>
      </c>
      <c r="EE132" s="107">
        <v>13.6</v>
      </c>
      <c r="EF132" s="81">
        <f t="shared" ref="EF132" si="472">IF(ISERROR((EE132/DW132-1)*100),"NA",IF(((EE132/DW132-1)*100)&gt;100,"NM",IF(((EE132/DW132-1)*100)&lt;-50,"NM",(EE132/DW132-1)*100)))</f>
        <v>-6.8493150684931559</v>
      </c>
      <c r="EG132" s="107">
        <v>20.399999999999999</v>
      </c>
      <c r="EH132" s="81">
        <f t="shared" ref="EH132" si="473">IF(ISERROR((EG132/DY132-1)*100),"NA",IF(((EG132/DY132-1)*100)&gt;100,"NM",IF(((EG132/DY132-1)*100)&lt;-50,"NM",(EG132/DY132-1)*100)))</f>
        <v>24.390243902439025</v>
      </c>
      <c r="EI132" s="107">
        <v>17.7</v>
      </c>
      <c r="EJ132" s="81">
        <f t="shared" ref="EJ132" si="474">IF(ISERROR((EI132/EA132-1)*100),"NA",IF(((EI132/EA132-1)*100)&gt;100,"NM",IF(((EI132/EA132-1)*100)&lt;-50,"NM",(EI132/EA132-1)*100)))</f>
        <v>1.7241379310344973</v>
      </c>
      <c r="EK132" s="107"/>
      <c r="EL132" s="81" t="str">
        <f t="shared" ref="EL132" si="475">IF(ISERROR((EK132/EC132-1)*100),"NA",IF(((EK132/EC132-1)*100)&gt;100,"NM",IF(((EK132/EC132-1)*100)&lt;-50,"NM",(EK132/EC132-1)*100)))</f>
        <v>NM</v>
      </c>
      <c r="EM132" s="107"/>
      <c r="EN132" s="81" t="str">
        <f t="shared" ref="EN132" si="476">IF(ISERROR((EM132/EE132-1)*100),"NA",IF(((EM132/EE132-1)*100)&gt;100,"NM",IF(((EM132/EE132-1)*100)&lt;-50,"NM",(EM132/EE132-1)*100)))</f>
        <v>NM</v>
      </c>
      <c r="EO132" s="107"/>
      <c r="EP132" s="81" t="str">
        <f t="shared" ref="EP132" si="477">IF(ISERROR((EO132/EG132-1)*100),"NA",IF(((EO132/EG132-1)*100)&gt;100,"NM",IF(((EO132/EG132-1)*100)&lt;-50,"NM",(EO132/EG132-1)*100)))</f>
        <v>NM</v>
      </c>
      <c r="EQ132" s="107"/>
      <c r="ER132" s="81" t="str">
        <f t="shared" ref="ER132" si="478">IF(ISERROR((EQ132/EI132-1)*100),"NA",IF(((EQ132/EI132-1)*100)&gt;100,"NM",IF(((EQ132/EI132-1)*100)&lt;-50,"NM",(EQ132/EI132-1)*100)))</f>
        <v>NM</v>
      </c>
      <c r="ES132" s="82"/>
      <c r="ET132" s="469"/>
      <c r="EU132" s="82"/>
      <c r="EV132" s="171"/>
      <c r="EW132" s="79"/>
      <c r="EX132" s="171"/>
      <c r="EY132" s="79"/>
      <c r="EZ132" s="171"/>
      <c r="FA132" s="79"/>
      <c r="FB132" s="171"/>
      <c r="FC132" s="79"/>
      <c r="FD132" s="107">
        <v>83.9</v>
      </c>
      <c r="FE132" s="79" t="str">
        <f>IF(ISERROR((FD132/FB132-1)*100),"NA",IF(((FD132/FB132-1)*100)&gt;100,"NM",IF(((FD132/FB132-1)*100)&lt;-50,"NM",(FD132/FB132-1)*100)))</f>
        <v>NA</v>
      </c>
      <c r="FF132" s="107">
        <v>72.900000000000006</v>
      </c>
      <c r="FG132" s="79">
        <f>IF(ISERROR((FF132/FD132-1)*100),"NA",IF(((FF132/FD132-1)*100)&gt;100,"NM",IF(((FF132/FD132-1)*100)&lt;-50,"NM",(FF132/FD132-1)*100)))</f>
        <v>-13.110846245530395</v>
      </c>
      <c r="FH132" s="107">
        <v>61.6</v>
      </c>
      <c r="FI132" s="79">
        <f t="shared" ref="FI132:GQ137" si="479">IF(ISERROR((FH132/FF132-1)*100),"NA",IF(((FH132/FF132-1)*100)&gt;100,"NM",IF(((FH132/FF132-1)*100)&lt;-50,"NM",(FH132/FF132-1)*100)))</f>
        <v>-15.500685871056241</v>
      </c>
      <c r="FJ132" s="171"/>
      <c r="FK132" s="79" t="str">
        <f t="shared" si="479"/>
        <v>NM</v>
      </c>
      <c r="FL132" s="171"/>
      <c r="FM132" s="79" t="str">
        <f t="shared" si="479"/>
        <v>NA</v>
      </c>
      <c r="FN132" s="171"/>
      <c r="FO132" s="79" t="str">
        <f t="shared" si="479"/>
        <v>NA</v>
      </c>
      <c r="FP132" s="78">
        <f>BI132+BK132+BM132+BO132</f>
        <v>57.9</v>
      </c>
      <c r="FQ132" s="79" t="str">
        <f t="shared" si="479"/>
        <v>NA</v>
      </c>
      <c r="FR132" s="93">
        <f>BQ132+BS132+BU132+BW132</f>
        <v>51.6</v>
      </c>
      <c r="FS132" s="79">
        <f t="shared" si="479"/>
        <v>-10.880829015544036</v>
      </c>
      <c r="FT132" s="93">
        <f>BY132+CA132+CC132+CE132</f>
        <v>42.7</v>
      </c>
      <c r="FU132" s="79">
        <f t="shared" si="479"/>
        <v>-17.248062015503873</v>
      </c>
      <c r="FV132" s="93">
        <f>CG132+CI132+CK132+CM132</f>
        <v>55.6</v>
      </c>
      <c r="FW132" s="79">
        <f t="shared" si="479"/>
        <v>30.210772833723642</v>
      </c>
      <c r="FX132" s="93">
        <f>CO132+CQ132+CS132+CU132</f>
        <v>57</v>
      </c>
      <c r="FY132" s="79">
        <f t="shared" si="479"/>
        <v>2.5179856115107979</v>
      </c>
      <c r="FZ132" s="78">
        <f>CW132+CY132+DA132+DC132</f>
        <v>52.199999999999996</v>
      </c>
      <c r="GA132" s="79">
        <f t="shared" si="479"/>
        <v>-8.4210526315789522</v>
      </c>
      <c r="GB132" s="78">
        <f>DE132+DG132+DI132+DK132</f>
        <v>56.8</v>
      </c>
      <c r="GC132" s="79">
        <f t="shared" si="479"/>
        <v>8.8122605363984761</v>
      </c>
      <c r="GD132" s="9"/>
      <c r="GE132" s="79" t="str">
        <f t="shared" si="479"/>
        <v>NM</v>
      </c>
      <c r="GF132" s="9"/>
      <c r="GG132" s="79" t="str">
        <f t="shared" si="479"/>
        <v>NA</v>
      </c>
      <c r="GH132" s="9"/>
      <c r="GI132" s="79" t="str">
        <f t="shared" si="479"/>
        <v>NA</v>
      </c>
      <c r="GJ132" s="9"/>
      <c r="GK132" s="79" t="str">
        <f t="shared" si="479"/>
        <v>NA</v>
      </c>
      <c r="GL132" s="107"/>
      <c r="GM132" s="79" t="str">
        <f t="shared" si="479"/>
        <v>NA</v>
      </c>
      <c r="GN132" s="107"/>
      <c r="GO132" s="79" t="str">
        <f t="shared" si="479"/>
        <v>NA</v>
      </c>
      <c r="GP132" s="107"/>
      <c r="GQ132" s="79" t="str">
        <f t="shared" si="479"/>
        <v>NA</v>
      </c>
      <c r="GR132" s="107"/>
      <c r="GS132" s="79" t="str">
        <f t="shared" ref="GS132:GS134" si="480">IF(ISERROR((GR132/GP132-1)*100),"NA",IF(((GR132/GP132-1)*100)&gt;100,"NM",IF(((GR132/GP132-1)*100)&lt;-50,"NM",(GR132/GP132-1)*100)))</f>
        <v>NA</v>
      </c>
      <c r="GT132" s="79"/>
    </row>
    <row r="133" spans="1:286" ht="12.75" hidden="1" customHeight="1" outlineLevel="1" x14ac:dyDescent="0.2">
      <c r="A133" s="1"/>
      <c r="B133" s="2" t="s">
        <v>362</v>
      </c>
      <c r="C133" s="171"/>
      <c r="D133" s="171"/>
      <c r="E133" s="107">
        <v>2.746</v>
      </c>
      <c r="F133" s="171"/>
      <c r="G133" s="107">
        <v>5.5750000000000002</v>
      </c>
      <c r="H133" s="171"/>
      <c r="I133" s="107">
        <v>4.2030000000000003</v>
      </c>
      <c r="J133" s="171"/>
      <c r="K133" s="107">
        <v>9.2040000000000006</v>
      </c>
      <c r="L133" s="79"/>
      <c r="M133" s="107">
        <v>4.7130000000000001</v>
      </c>
      <c r="N133" s="79">
        <f>IF(ISERROR((M133/E133-1)*100),"NA",IF(((M133/E133-1)*100)&gt;100,"NM",IF(((M133/E133-1)*100)&lt;-50,"NM",(M133/E133-1)*100)))</f>
        <v>71.631463947560079</v>
      </c>
      <c r="O133" s="107">
        <v>5.6219999999999999</v>
      </c>
      <c r="P133" s="79">
        <f>IF(ISERROR((O133/G133-1)*100),"NA",IF(((O133/G133-1)*100)&gt;100,"NM",IF(((O133/G133-1)*100)&lt;-50,"NM",(O133/G133-1)*100)))</f>
        <v>0.84304932735426164</v>
      </c>
      <c r="Q133" s="107">
        <v>4.9640000000000004</v>
      </c>
      <c r="R133" s="79">
        <f>IF(ISERROR((Q133/I133-1)*100),"NA",IF(((Q133/I133-1)*100)&gt;100,"NM",IF(((Q133/I133-1)*100)&lt;-50,"NM",(Q133/I133-1)*100)))</f>
        <v>18.106114679990483</v>
      </c>
      <c r="S133" s="107">
        <v>8.1859999999999999</v>
      </c>
      <c r="T133" s="79">
        <f>IF(ISERROR((S133/K133-1)*100),"NA",IF(((S133/K133-1)*100)&gt;100,"NM",IF(((S133/K133-1)*100)&lt;-50,"NM",(S133/K133-1)*100)))</f>
        <v>-11.060408518035647</v>
      </c>
      <c r="U133" s="107">
        <v>4.4000000000000004</v>
      </c>
      <c r="V133" s="79">
        <f>IF(ISERROR((U133/M133-1)*100),"NA",IF(((U133/M133-1)*100)&gt;100,"NM",IF(((U133/M133-1)*100)&lt;-50,"NM",(U133/M133-1)*100)))</f>
        <v>-6.6412051771695291</v>
      </c>
      <c r="W133" s="107">
        <v>5.8</v>
      </c>
      <c r="X133" s="79">
        <f>IF(ISERROR((W133/O133-1)*100),"NA",IF(((W133/O133-1)*100)&gt;100,"NM",IF(((W133/O133-1)*100)&lt;-50,"NM",(W133/O133-1)*100)))</f>
        <v>3.1661330487370964</v>
      </c>
      <c r="Y133" s="107">
        <v>5</v>
      </c>
      <c r="Z133" s="79">
        <f>IF(ISERROR((Y133/Q133-1)*100),"NA",IF(((Y133/Q133-1)*100)&gt;100,"NM",IF(((Y133/Q133-1)*100)&lt;-50,"NM",(Y133/Q133-1)*100)))</f>
        <v>0.72522159548749077</v>
      </c>
      <c r="AA133" s="209">
        <v>11.8</v>
      </c>
      <c r="AB133" s="79">
        <f>IF(ISERROR((AA133/S133-1)*100),"NA",IF(((AA133/S133-1)*100)&gt;100,"NM",IF(((AA133/S133-1)*100)&lt;-50,"NM",(AA133/S133-1)*100)))</f>
        <v>44.148546298558536</v>
      </c>
      <c r="AC133" s="107">
        <v>3.3</v>
      </c>
      <c r="AD133" s="79">
        <f>IF(ISERROR((AC133/U133-1)*100),"NA",IF(((AC133/U133-1)*100)&gt;100,"NM",IF(((AC133/U133-1)*100)&lt;-50,"NM",(AC133/U133-1)*100)))</f>
        <v>-25.000000000000011</v>
      </c>
      <c r="AE133" s="107">
        <v>4.5</v>
      </c>
      <c r="AF133" s="79">
        <f>IF(ISERROR((AE133/W133-1)*100),"NA",IF(((AE133/W133-1)*100)&gt;100,"NM",IF(((AE133/W133-1)*100)&lt;-50,"NM",(AE133/W133-1)*100)))</f>
        <v>-22.413793103448278</v>
      </c>
      <c r="AG133" s="107">
        <v>3.6</v>
      </c>
      <c r="AH133" s="79">
        <f>IF(ISERROR((AG133/Y133-1)*100),"NA",IF(((AG133/Y133-1)*100)&gt;100,"NM",IF(((AG133/Y133-1)*100)&lt;-50,"NM",(AG133/Y133-1)*100)))</f>
        <v>-28.000000000000004</v>
      </c>
      <c r="AI133" s="107">
        <v>7.3</v>
      </c>
      <c r="AJ133" s="79">
        <f>IF(ISERROR((AI133/AA133-1)*100),"NA",IF(((AI133/AA133-1)*100)&gt;100,"NM",IF(((AI133/AA133-1)*100)&lt;-50,"NM",(AI133/AA133-1)*100)))</f>
        <v>-38.13559322033899</v>
      </c>
      <c r="AK133" s="107">
        <v>5</v>
      </c>
      <c r="AL133" s="79">
        <f>IF(ISERROR((AK133/AC133-1)*100),"NA",IF(((AK133/AC133-1)*100)&gt;100,"NM",IF(((AK133/AC133-1)*100)&lt;-50,"NM",(AK133/AC133-1)*100)))</f>
        <v>51.515151515151516</v>
      </c>
      <c r="AM133" s="107">
        <v>5.4</v>
      </c>
      <c r="AN133" s="79">
        <f t="shared" si="469"/>
        <v>20.000000000000018</v>
      </c>
      <c r="AO133" s="107">
        <v>4.3</v>
      </c>
      <c r="AP133" s="79">
        <f t="shared" si="469"/>
        <v>19.444444444444443</v>
      </c>
      <c r="AQ133" s="107">
        <v>6.4</v>
      </c>
      <c r="AR133" s="79">
        <f t="shared" si="469"/>
        <v>-12.328767123287665</v>
      </c>
      <c r="AS133" s="107">
        <v>3.9</v>
      </c>
      <c r="AT133" s="81">
        <f t="shared" si="469"/>
        <v>-21.999999999999996</v>
      </c>
      <c r="AU133" s="107">
        <v>4.4000000000000004</v>
      </c>
      <c r="AV133" s="81">
        <f t="shared" si="469"/>
        <v>-18.518518518518512</v>
      </c>
      <c r="AW133" s="107">
        <v>5.5</v>
      </c>
      <c r="AX133" s="81">
        <f t="shared" si="469"/>
        <v>27.906976744186053</v>
      </c>
      <c r="AY133" s="107">
        <v>11.3</v>
      </c>
      <c r="AZ133" s="81">
        <f t="shared" si="469"/>
        <v>76.5625</v>
      </c>
      <c r="BA133" s="107">
        <v>6.1</v>
      </c>
      <c r="BB133" s="81">
        <f t="shared" si="469"/>
        <v>56.410256410256409</v>
      </c>
      <c r="BC133" s="107">
        <v>7.1</v>
      </c>
      <c r="BD133" s="81">
        <f t="shared" si="469"/>
        <v>61.363636363636353</v>
      </c>
      <c r="BE133" s="107">
        <v>8.1999999999999993</v>
      </c>
      <c r="BF133" s="81">
        <f>IF(ISERROR((BE133/AW133-1)*100),"NA",IF(((BE133/AW133-1)*100)&gt;100,"NM",IF(((BE133/AW133-1)*100)&lt;-50,"NM",(BE133/AW133-1)*100)))</f>
        <v>49.090909090909072</v>
      </c>
      <c r="BG133" s="107">
        <v>11.4</v>
      </c>
      <c r="BH133" s="81">
        <f>IF(ISERROR((BG133/AY133-1)*100),"NA",IF(((BG133/AY133-1)*100)&gt;100,"NM",IF(((BG133/AY133-1)*100)&lt;-50,"NM",(BG133/AY133-1)*100)))</f>
        <v>0.88495575221239076</v>
      </c>
      <c r="BI133" s="107">
        <v>8.8000000000000007</v>
      </c>
      <c r="BJ133" s="81">
        <f>IF(ISERROR((BI133/BA133-1)*100),"NA",IF(((BI133/BA133-1)*100)&gt;100,"NM",IF(((BI133/BA133-1)*100)&lt;-50,"NM",(BI133/BA133-1)*100)))</f>
        <v>44.262295081967238</v>
      </c>
      <c r="BK133" s="107">
        <v>7.9</v>
      </c>
      <c r="BL133" s="81">
        <f>IF(ISERROR((BK133/BC133-1)*100),"NA",IF(((BK133/BC133-1)*100)&gt;100,"NM",IF(((BK133/BC133-1)*100)&lt;-50,"NM",(BK133/BC133-1)*100)))</f>
        <v>11.267605633802823</v>
      </c>
      <c r="BM133" s="107">
        <v>5.5</v>
      </c>
      <c r="BN133" s="81"/>
      <c r="BO133" s="107">
        <v>10</v>
      </c>
      <c r="BP133" s="81"/>
      <c r="BQ133" s="107">
        <v>7</v>
      </c>
      <c r="BR133" s="81">
        <f>IF(ISERROR((BQ133/BI133-1)*100),"NA",IF(((BQ133/BI133-1)*100)&gt;100,"NM",IF(((BQ133/BI133-1)*100)&lt;-50,"NM",(BQ133/BI133-1)*100)))</f>
        <v>-20.45454545454546</v>
      </c>
      <c r="BS133" s="107">
        <v>4.9000000000000004</v>
      </c>
      <c r="BT133" s="81"/>
      <c r="BU133" s="107">
        <v>3.3</v>
      </c>
      <c r="BV133" s="81"/>
      <c r="BW133" s="107">
        <v>7.2</v>
      </c>
      <c r="BX133" s="81"/>
      <c r="BY133" s="107">
        <v>5.4</v>
      </c>
      <c r="BZ133" s="81">
        <f t="shared" si="470"/>
        <v>-22.857142857142854</v>
      </c>
      <c r="CA133" s="107">
        <v>5.2</v>
      </c>
      <c r="CB133" s="81">
        <f t="shared" si="470"/>
        <v>6.1224489795918435</v>
      </c>
      <c r="CC133" s="107">
        <v>5.7</v>
      </c>
      <c r="CD133" s="81">
        <f t="shared" si="470"/>
        <v>72.727272727272748</v>
      </c>
      <c r="CE133" s="107">
        <v>9.5</v>
      </c>
      <c r="CF133" s="81">
        <f>IF(ISERROR((CE133/BW133-1)*100),"NA",IF(((CE133/BW133-1)*100)&gt;100,"NM",IF(((CE133/BW133-1)*100)&lt;-50,"NM",(CE133/BW133-1)*100)))</f>
        <v>31.944444444444443</v>
      </c>
      <c r="CG133" s="107">
        <v>7</v>
      </c>
      <c r="CH133" s="81">
        <f>IF(ISERROR((CG133/BY133-1)*100),"NA",IF(((CG133/BY133-1)*100)&gt;100,"NM",IF(((CG133/BY133-1)*100)&lt;-50,"NM",(CG133/BY133-1)*100)))</f>
        <v>29.629629629629626</v>
      </c>
      <c r="CI133" s="107">
        <v>8.4</v>
      </c>
      <c r="CJ133" s="81">
        <f>IF(ISERROR((CI133/CA133-1)*100),"NA",IF(((CI133/CA133-1)*100)&gt;100,"NM",IF(((CI133/CA133-1)*100)&lt;-50,"NM",(CI133/CA133-1)*100)))</f>
        <v>61.53846153846154</v>
      </c>
      <c r="CK133" s="107">
        <v>7.4</v>
      </c>
      <c r="CL133" s="81">
        <f>IF(ISERROR((CK133/CC133-1)*100),"NA",IF(((CK133/CC133-1)*100)&gt;100,"NM",IF(((CK133/CC133-1)*100)&lt;-50,"NM",(CK133/CC133-1)*100)))</f>
        <v>29.824561403508774</v>
      </c>
      <c r="CM133" s="107"/>
      <c r="CN133" s="81"/>
      <c r="CO133" s="107"/>
      <c r="CP133" s="81"/>
      <c r="CQ133" s="107"/>
      <c r="CR133" s="81"/>
      <c r="CS133" s="107"/>
      <c r="CT133" s="81"/>
      <c r="CU133" s="107"/>
      <c r="CV133" s="81"/>
      <c r="CW133" s="107"/>
      <c r="CX133" s="81"/>
      <c r="CY133" s="107"/>
      <c r="CZ133" s="81"/>
      <c r="DA133" s="107"/>
      <c r="DB133" s="81"/>
      <c r="DC133" s="107"/>
      <c r="DD133" s="81"/>
      <c r="DE133" s="107"/>
      <c r="DF133" s="81"/>
      <c r="DG133" s="107"/>
      <c r="DH133" s="81"/>
      <c r="DI133" s="107"/>
      <c r="DJ133" s="81"/>
      <c r="DK133" s="107"/>
      <c r="DL133" s="81"/>
      <c r="DM133" s="107"/>
      <c r="DN133" s="81"/>
      <c r="DO133" s="107"/>
      <c r="DP133" s="81"/>
      <c r="DQ133" s="107"/>
      <c r="DR133" s="81"/>
      <c r="DS133" s="107"/>
      <c r="DT133" s="81"/>
      <c r="DU133" s="107"/>
      <c r="DV133" s="81"/>
      <c r="DW133" s="107"/>
      <c r="DX133" s="81"/>
      <c r="DY133" s="107"/>
      <c r="DZ133" s="81"/>
      <c r="EA133" s="107"/>
      <c r="EB133" s="81"/>
      <c r="EC133" s="107"/>
      <c r="ED133" s="81"/>
      <c r="EE133" s="107"/>
      <c r="EF133" s="81"/>
      <c r="EG133" s="107"/>
      <c r="EH133" s="81"/>
      <c r="EI133" s="107"/>
      <c r="EJ133" s="81"/>
      <c r="EK133" s="107"/>
      <c r="EL133" s="81"/>
      <c r="EM133" s="107"/>
      <c r="EN133" s="81"/>
      <c r="EO133" s="107"/>
      <c r="EP133" s="81"/>
      <c r="EQ133" s="107"/>
      <c r="ER133" s="81"/>
      <c r="ES133" s="82"/>
      <c r="ET133" s="469"/>
      <c r="EU133" s="82"/>
      <c r="EV133" s="171"/>
      <c r="EW133" s="79"/>
      <c r="EX133" s="171"/>
      <c r="EY133" s="79"/>
      <c r="EZ133" s="171"/>
      <c r="FA133" s="79"/>
      <c r="FB133" s="185"/>
      <c r="FC133" s="79"/>
      <c r="FD133" s="185">
        <f>+M133+O133+Q133+S133</f>
        <v>23.484999999999999</v>
      </c>
      <c r="FE133" s="79" t="str">
        <f>IF(ISERROR((FD133/FB133-1)*100),"NA",IF(((FD133/FB133-1)*100)&gt;100,"NM",IF(((FD133/FB133-1)*100)&lt;-50,"NM",(FD133/FB133-1)*100)))</f>
        <v>NA</v>
      </c>
      <c r="FF133" s="191">
        <f>+AA133+Y133+W133+U133</f>
        <v>27</v>
      </c>
      <c r="FG133" s="79">
        <f>IF(ISERROR((FF133/FD133-1)*100),"NA",IF(((FF133/FD133-1)*100)&gt;100,"NM",IF(((FF133/FD133-1)*100)&lt;-50,"NM",(FF133/FD133-1)*100)))</f>
        <v>14.967000212901848</v>
      </c>
      <c r="FH133" s="171">
        <f>+AI133+AG133+AE133+AC133</f>
        <v>18.7</v>
      </c>
      <c r="FI133" s="79">
        <f t="shared" si="479"/>
        <v>-30.740740740740748</v>
      </c>
      <c r="FJ133" s="171"/>
      <c r="FK133" s="79" t="str">
        <f t="shared" si="479"/>
        <v>NM</v>
      </c>
      <c r="FL133" s="171"/>
      <c r="FM133" s="79" t="str">
        <f t="shared" si="479"/>
        <v>NA</v>
      </c>
      <c r="FN133" s="171"/>
      <c r="FO133" s="79" t="str">
        <f t="shared" si="479"/>
        <v>NA</v>
      </c>
      <c r="FP133" s="78">
        <f>BI133+BK133+BM133+BO133</f>
        <v>32.200000000000003</v>
      </c>
      <c r="FQ133" s="79" t="str">
        <f t="shared" si="479"/>
        <v>NA</v>
      </c>
      <c r="FR133" s="93">
        <f>BQ133+BS133+BU133+BW133</f>
        <v>22.4</v>
      </c>
      <c r="FS133" s="79">
        <f t="shared" si="479"/>
        <v>-30.434782608695667</v>
      </c>
      <c r="FT133" s="93">
        <f>BY133+CA133+CC133+CE133</f>
        <v>25.8</v>
      </c>
      <c r="FU133" s="79">
        <f t="shared" si="479"/>
        <v>15.178571428571441</v>
      </c>
      <c r="FV133" s="93">
        <f>CG133+CI133+CK133+CM133</f>
        <v>22.8</v>
      </c>
      <c r="FW133" s="79">
        <f t="shared" si="479"/>
        <v>-11.627906976744185</v>
      </c>
      <c r="FX133" s="93">
        <f>CO133+CQ133+CS133+CU133</f>
        <v>0</v>
      </c>
      <c r="FY133" s="79" t="str">
        <f t="shared" si="479"/>
        <v>NM</v>
      </c>
      <c r="FZ133" s="78">
        <f>CW133+CY133+DA133+DC133</f>
        <v>0</v>
      </c>
      <c r="GA133" s="79" t="str">
        <f t="shared" si="479"/>
        <v>NA</v>
      </c>
      <c r="GB133" s="78">
        <f>CY133+DA133+DC133+DE133</f>
        <v>0</v>
      </c>
      <c r="GC133" s="79" t="str">
        <f t="shared" si="479"/>
        <v>NA</v>
      </c>
      <c r="GD133" s="9"/>
      <c r="GE133" s="79" t="str">
        <f t="shared" si="479"/>
        <v>NA</v>
      </c>
      <c r="GF133" s="9"/>
      <c r="GG133" s="79" t="str">
        <f t="shared" si="479"/>
        <v>NA</v>
      </c>
      <c r="GH133" s="9"/>
      <c r="GI133" s="79" t="str">
        <f t="shared" si="479"/>
        <v>NA</v>
      </c>
      <c r="GJ133" s="9"/>
      <c r="GK133" s="79" t="str">
        <f t="shared" si="479"/>
        <v>NA</v>
      </c>
      <c r="GL133" s="107"/>
      <c r="GM133" s="79" t="str">
        <f t="shared" si="479"/>
        <v>NA</v>
      </c>
      <c r="GN133" s="107"/>
      <c r="GO133" s="79" t="str">
        <f t="shared" si="479"/>
        <v>NA</v>
      </c>
      <c r="GP133" s="107"/>
      <c r="GQ133" s="79" t="str">
        <f t="shared" si="479"/>
        <v>NA</v>
      </c>
      <c r="GR133" s="107"/>
      <c r="GS133" s="79" t="str">
        <f t="shared" si="480"/>
        <v>NA</v>
      </c>
      <c r="GT133" s="79"/>
    </row>
    <row r="134" spans="1:286" ht="12.75" hidden="1" customHeight="1" outlineLevel="1" x14ac:dyDescent="0.2">
      <c r="A134" s="1"/>
      <c r="B134" s="2" t="s">
        <v>363</v>
      </c>
      <c r="C134" s="171"/>
      <c r="D134" s="171"/>
      <c r="E134" s="107">
        <v>11.794</v>
      </c>
      <c r="F134" s="171"/>
      <c r="G134" s="107">
        <v>13.696999999999999</v>
      </c>
      <c r="H134" s="171"/>
      <c r="I134" s="107">
        <v>13.132</v>
      </c>
      <c r="J134" s="171"/>
      <c r="K134" s="107">
        <v>15.154</v>
      </c>
      <c r="L134" s="79"/>
      <c r="M134" s="107">
        <v>12.026</v>
      </c>
      <c r="N134" s="79">
        <f>IF(ISERROR((M134/E134-1)*100),"NA",IF(((M134/E134-1)*100)&gt;100,"NM",IF(((M134/E134-1)*100)&lt;-50,"NM",(M134/E134-1)*100)))</f>
        <v>1.9671019162285752</v>
      </c>
      <c r="O134" s="107">
        <v>15.711</v>
      </c>
      <c r="P134" s="79">
        <f>IF(ISERROR((O134/G134-1)*100),"NA",IF(((O134/G134-1)*100)&gt;100,"NM",IF(((O134/G134-1)*100)&lt;-50,"NM",(O134/G134-1)*100)))</f>
        <v>14.70394977002265</v>
      </c>
      <c r="Q134" s="107">
        <v>16.611999999999998</v>
      </c>
      <c r="R134" s="79">
        <f>IF(ISERROR((Q134/I134-1)*100),"NA",IF(((Q134/I134-1)*100)&gt;100,"NM",IF(((Q134/I134-1)*100)&lt;-50,"NM",(Q134/I134-1)*100)))</f>
        <v>26.500152299725844</v>
      </c>
      <c r="S134" s="107">
        <v>19.321000000000002</v>
      </c>
      <c r="T134" s="79">
        <f>IF(ISERROR((S134/K134-1)*100),"NA",IF(((S134/K134-1)*100)&gt;100,"NM",IF(((S134/K134-1)*100)&lt;-50,"NM",(S134/K134-1)*100)))</f>
        <v>27.497690378777897</v>
      </c>
      <c r="U134" s="107">
        <v>14.3</v>
      </c>
      <c r="V134" s="79">
        <f>IF(ISERROR((U134/M134-1)*100),"NA",IF(((U134/M134-1)*100)&gt;100,"NM",IF(((U134/M134-1)*100)&lt;-50,"NM",(U134/M134-1)*100)))</f>
        <v>18.909030434059538</v>
      </c>
      <c r="W134" s="107">
        <v>12</v>
      </c>
      <c r="X134" s="79">
        <f>IF(ISERROR((W134/O134-1)*100),"NA",IF(((W134/O134-1)*100)&gt;100,"NM",IF(((W134/O134-1)*100)&lt;-50,"NM",(W134/O134-1)*100)))</f>
        <v>-23.620393354974222</v>
      </c>
      <c r="Y134" s="107">
        <v>9.6999999999999993</v>
      </c>
      <c r="Z134" s="79">
        <f>IF(ISERROR((Y134/Q134-1)*100),"NA",IF(((Y134/Q134-1)*100)&gt;100,"NM",IF(((Y134/Q134-1)*100)&lt;-50,"NM",(Y134/Q134-1)*100)))</f>
        <v>-41.608475800626053</v>
      </c>
      <c r="AA134" s="209">
        <v>7.9</v>
      </c>
      <c r="AB134" s="79" t="str">
        <f>IF(ISERROR((AA134/S134-1)*100),"NA",IF(((AA134/S134-1)*100)&gt;100,"NM",IF(((AA134/S134-1)*100)&lt;-50,"NM",(AA134/S134-1)*100)))</f>
        <v>NM</v>
      </c>
      <c r="AC134" s="107">
        <v>5.4</v>
      </c>
      <c r="AD134" s="79" t="str">
        <f>IF(ISERROR((AC134/U134-1)*100),"NA",IF(((AC134/U134-1)*100)&gt;100,"NM",IF(((AC134/U134-1)*100)&lt;-50,"NM",(AC134/U134-1)*100)))</f>
        <v>NM</v>
      </c>
      <c r="AE134" s="107">
        <v>6</v>
      </c>
      <c r="AF134" s="79">
        <f>IF(ISERROR((AE134/W134-1)*100),"NA",IF(((AE134/W134-1)*100)&gt;100,"NM",IF(((AE134/W134-1)*100)&lt;-50,"NM",(AE134/W134-1)*100)))</f>
        <v>-50</v>
      </c>
      <c r="AG134" s="107">
        <v>4.2</v>
      </c>
      <c r="AH134" s="79" t="str">
        <f>IF(ISERROR((AG134/Y134-1)*100),"NA",IF(((AG134/Y134-1)*100)&gt;100,"NM",IF(((AG134/Y134-1)*100)&lt;-50,"NM",(AG134/Y134-1)*100)))</f>
        <v>NM</v>
      </c>
      <c r="AI134" s="107">
        <v>3.9</v>
      </c>
      <c r="AJ134" s="79" t="str">
        <f>IF(ISERROR((AI134/AA134-1)*100),"NA",IF(((AI134/AA134-1)*100)&gt;100,"NM",IF(((AI134/AA134-1)*100)&lt;-50,"NM",(AI134/AA134-1)*100)))</f>
        <v>NM</v>
      </c>
      <c r="AK134" s="107">
        <v>3.1</v>
      </c>
      <c r="AL134" s="79">
        <f>IF(ISERROR((AK134/AC134-1)*100),"NA",IF(((AK134/AC134-1)*100)&gt;100,"NM",IF(((AK134/AC134-1)*100)&lt;-50,"NM",(AK134/AC134-1)*100)))</f>
        <v>-42.592592592592595</v>
      </c>
      <c r="AM134" s="107">
        <v>3.3</v>
      </c>
      <c r="AN134" s="79">
        <f t="shared" si="469"/>
        <v>-45.000000000000007</v>
      </c>
      <c r="AO134" s="107">
        <v>3.5</v>
      </c>
      <c r="AP134" s="79">
        <f t="shared" si="469"/>
        <v>-16.666666666666675</v>
      </c>
      <c r="AQ134" s="107">
        <v>3.1</v>
      </c>
      <c r="AR134" s="79">
        <f t="shared" si="469"/>
        <v>-20.512820512820507</v>
      </c>
      <c r="AS134" s="107">
        <v>2.7</v>
      </c>
      <c r="AT134" s="81">
        <f t="shared" si="469"/>
        <v>-12.903225806451612</v>
      </c>
      <c r="AU134" s="107">
        <v>2.8</v>
      </c>
      <c r="AV134" s="81">
        <f t="shared" si="469"/>
        <v>-15.151515151515149</v>
      </c>
      <c r="AW134" s="107">
        <v>2.9</v>
      </c>
      <c r="AX134" s="81">
        <f t="shared" si="469"/>
        <v>-17.142857142857149</v>
      </c>
      <c r="AY134" s="107">
        <v>2.6</v>
      </c>
      <c r="AZ134" s="81">
        <f t="shared" si="469"/>
        <v>-16.129032258064512</v>
      </c>
      <c r="BA134" s="107">
        <v>2.1</v>
      </c>
      <c r="BB134" s="81">
        <f t="shared" si="469"/>
        <v>-22.222222222222221</v>
      </c>
      <c r="BC134" s="107">
        <v>2.2999999999999998</v>
      </c>
      <c r="BD134" s="81">
        <f t="shared" si="469"/>
        <v>-17.857142857142861</v>
      </c>
      <c r="BE134" s="107">
        <v>2.2000000000000002</v>
      </c>
      <c r="BF134" s="81">
        <f>IF(ISERROR((BE134/AW134-1)*100),"NA",IF(((BE134/AW134-1)*100)&gt;100,"NM",IF(((BE134/AW134-1)*100)&lt;-50,"NM",(BE134/AW134-1)*100)))</f>
        <v>-24.137931034482751</v>
      </c>
      <c r="BG134" s="107">
        <v>3.3</v>
      </c>
      <c r="BH134" s="81">
        <f>IF(ISERROR((BG134/AY134-1)*100),"NA",IF(((BG134/AY134-1)*100)&gt;100,"NM",IF(((BG134/AY134-1)*100)&lt;-50,"NM",(BG134/AY134-1)*100)))</f>
        <v>26.923076923076916</v>
      </c>
      <c r="BI134" s="107">
        <v>2.7</v>
      </c>
      <c r="BJ134" s="81">
        <f>IF(ISERROR((BI134/BA134-1)*100),"NA",IF(((BI134/BA134-1)*100)&gt;100,"NM",IF(((BI134/BA134-1)*100)&lt;-50,"NM",(BI134/BA134-1)*100)))</f>
        <v>28.57142857142858</v>
      </c>
      <c r="BK134" s="107">
        <v>2.2000000000000002</v>
      </c>
      <c r="BL134" s="81">
        <f>IF(ISERROR((BK134/BC134-1)*100),"NA",IF(((BK134/BC134-1)*100)&gt;100,"NM",IF(((BK134/BC134-1)*100)&lt;-50,"NM",(BK134/BC134-1)*100)))</f>
        <v>-4.3478260869565073</v>
      </c>
      <c r="BM134" s="107">
        <v>1.6</v>
      </c>
      <c r="BN134" s="81"/>
      <c r="BO134" s="107">
        <v>1.9</v>
      </c>
      <c r="BP134" s="81"/>
      <c r="BQ134" s="107">
        <v>1.5</v>
      </c>
      <c r="BR134" s="81">
        <f>IF(ISERROR((BQ134/BI134-1)*100),"NA",IF(((BQ134/BI134-1)*100)&gt;100,"NM",IF(((BQ134/BI134-1)*100)&lt;-50,"NM",(BQ134/BI134-1)*100)))</f>
        <v>-44.44444444444445</v>
      </c>
      <c r="BS134" s="107">
        <v>0.8</v>
      </c>
      <c r="BT134" s="81"/>
      <c r="BU134" s="107">
        <v>0.4</v>
      </c>
      <c r="BV134" s="81"/>
      <c r="BW134" s="107">
        <v>1</v>
      </c>
      <c r="BX134" s="81"/>
      <c r="BY134" s="107">
        <v>0</v>
      </c>
      <c r="BZ134" s="81" t="str">
        <f t="shared" si="470"/>
        <v>NM</v>
      </c>
      <c r="CA134" s="107">
        <v>0.1</v>
      </c>
      <c r="CB134" s="81" t="str">
        <f t="shared" si="470"/>
        <v>NM</v>
      </c>
      <c r="CC134" s="107">
        <v>0</v>
      </c>
      <c r="CD134" s="81" t="str">
        <f t="shared" si="470"/>
        <v>NM</v>
      </c>
      <c r="CE134" s="107">
        <v>0.1</v>
      </c>
      <c r="CF134" s="81" t="str">
        <f>IF(ISERROR((CE134/BW134-1)*100),"NA",IF(((CE134/BW134-1)*100)&gt;100,"NM",IF(((CE134/BW134-1)*100)&lt;-50,"NM",(CE134/BW134-1)*100)))</f>
        <v>NM</v>
      </c>
      <c r="CG134" s="107">
        <v>0</v>
      </c>
      <c r="CH134" s="81" t="str">
        <f>IF(ISERROR((CG134/BY134-1)*100),"NA",IF(((CG134/BY134-1)*100)&gt;100,"NM",IF(((CG134/BY134-1)*100)&lt;-50,"NM",(CG134/BY134-1)*100)))</f>
        <v>NA</v>
      </c>
      <c r="CI134" s="107">
        <v>0</v>
      </c>
      <c r="CJ134" s="81" t="str">
        <f>IF(ISERROR((CI134/CA134-1)*100),"NA",IF(((CI134/CA134-1)*100)&gt;100,"NM",IF(((CI134/CA134-1)*100)&lt;-50,"NM",(CI134/CA134-1)*100)))</f>
        <v>NM</v>
      </c>
      <c r="CK134" s="107">
        <v>0</v>
      </c>
      <c r="CL134" s="81" t="str">
        <f>IF(ISERROR((CK134/CC134-1)*100),"NA",IF(((CK134/CC134-1)*100)&gt;100,"NM",IF(((CK134/CC134-1)*100)&lt;-50,"NM",(CK134/CC134-1)*100)))</f>
        <v>NA</v>
      </c>
      <c r="CM134" s="107"/>
      <c r="CN134" s="81"/>
      <c r="CO134" s="107"/>
      <c r="CP134" s="81"/>
      <c r="CQ134" s="107"/>
      <c r="CR134" s="81"/>
      <c r="CS134" s="107"/>
      <c r="CT134" s="81"/>
      <c r="CU134" s="107"/>
      <c r="CV134" s="81"/>
      <c r="CW134" s="107"/>
      <c r="CX134" s="81"/>
      <c r="CY134" s="107"/>
      <c r="CZ134" s="81"/>
      <c r="DA134" s="107"/>
      <c r="DB134" s="81"/>
      <c r="DC134" s="107"/>
      <c r="DD134" s="81"/>
      <c r="DE134" s="107"/>
      <c r="DF134" s="81"/>
      <c r="DG134" s="107"/>
      <c r="DH134" s="81"/>
      <c r="DI134" s="107"/>
      <c r="DJ134" s="81"/>
      <c r="DK134" s="107"/>
      <c r="DL134" s="81"/>
      <c r="DM134" s="107"/>
      <c r="DN134" s="81"/>
      <c r="DO134" s="107"/>
      <c r="DP134" s="81"/>
      <c r="DQ134" s="107"/>
      <c r="DR134" s="81"/>
      <c r="DS134" s="107"/>
      <c r="DT134" s="81"/>
      <c r="DU134" s="107"/>
      <c r="DV134" s="81"/>
      <c r="DW134" s="107"/>
      <c r="DX134" s="81"/>
      <c r="DY134" s="107"/>
      <c r="DZ134" s="81"/>
      <c r="EA134" s="107"/>
      <c r="EB134" s="81"/>
      <c r="EC134" s="107"/>
      <c r="ED134" s="81"/>
      <c r="EE134" s="107"/>
      <c r="EF134" s="81"/>
      <c r="EG134" s="107"/>
      <c r="EH134" s="81"/>
      <c r="EI134" s="107"/>
      <c r="EJ134" s="81"/>
      <c r="EK134" s="107"/>
      <c r="EL134" s="81"/>
      <c r="EM134" s="107"/>
      <c r="EN134" s="81"/>
      <c r="EO134" s="107"/>
      <c r="EP134" s="81"/>
      <c r="EQ134" s="107"/>
      <c r="ER134" s="81"/>
      <c r="ES134" s="82"/>
      <c r="ET134" s="469"/>
      <c r="EU134" s="82"/>
      <c r="EV134" s="171"/>
      <c r="EW134" s="79"/>
      <c r="EX134" s="171"/>
      <c r="EY134" s="79"/>
      <c r="EZ134" s="171"/>
      <c r="FA134" s="79"/>
      <c r="FB134" s="185"/>
      <c r="FC134" s="79"/>
      <c r="FD134" s="185">
        <f>+M134+O134+Q134+S134</f>
        <v>63.67</v>
      </c>
      <c r="FE134" s="79" t="str">
        <f>IF(ISERROR((FD134/FB134-1)*100),"NA",IF(((FD134/FB134-1)*100)&gt;100,"NM",IF(((FD134/FB134-1)*100)&lt;-50,"NM",(FD134/FB134-1)*100)))</f>
        <v>NA</v>
      </c>
      <c r="FF134" s="191">
        <f>+AA134+Y134+W134+U134</f>
        <v>43.900000000000006</v>
      </c>
      <c r="FG134" s="79">
        <f>IF(ISERROR((FF134/FD134-1)*100),"NA",IF(((FF134/FD134-1)*100)&gt;100,"NM",IF(((FF134/FD134-1)*100)&lt;-50,"NM",(FF134/FD134-1)*100)))</f>
        <v>-31.05073032825506</v>
      </c>
      <c r="FH134" s="171">
        <f>+AI134+AG134+AE134+AC134</f>
        <v>19.5</v>
      </c>
      <c r="FI134" s="79" t="str">
        <f t="shared" si="479"/>
        <v>NM</v>
      </c>
      <c r="FJ134" s="171"/>
      <c r="FK134" s="79" t="str">
        <f t="shared" si="479"/>
        <v>NM</v>
      </c>
      <c r="FL134" s="171"/>
      <c r="FM134" s="79" t="str">
        <f t="shared" si="479"/>
        <v>NA</v>
      </c>
      <c r="FN134" s="171"/>
      <c r="FO134" s="79" t="str">
        <f t="shared" si="479"/>
        <v>NA</v>
      </c>
      <c r="FP134" s="78">
        <f>BI134+BK134+BM134+BO134</f>
        <v>8.4</v>
      </c>
      <c r="FQ134" s="79" t="str">
        <f t="shared" si="479"/>
        <v>NA</v>
      </c>
      <c r="FR134" s="93">
        <f>BQ134+BS134+BU134+BW134</f>
        <v>3.6999999999999997</v>
      </c>
      <c r="FS134" s="79" t="str">
        <f t="shared" si="479"/>
        <v>NM</v>
      </c>
      <c r="FT134" s="93">
        <f>BY134+CA134+CC134+CE134</f>
        <v>0.2</v>
      </c>
      <c r="FU134" s="79" t="str">
        <f t="shared" si="479"/>
        <v>NM</v>
      </c>
      <c r="FV134" s="93">
        <f>CG134+CI134+CK134+CM134</f>
        <v>0</v>
      </c>
      <c r="FW134" s="79" t="str">
        <f t="shared" si="479"/>
        <v>NM</v>
      </c>
      <c r="FX134" s="93">
        <f>CO134+CQ134+CS134+CU134</f>
        <v>0</v>
      </c>
      <c r="FY134" s="79" t="str">
        <f t="shared" si="479"/>
        <v>NA</v>
      </c>
      <c r="FZ134" s="78">
        <f>CW134+CY134+DA134+DC134</f>
        <v>0</v>
      </c>
      <c r="GA134" s="79" t="str">
        <f t="shared" si="479"/>
        <v>NA</v>
      </c>
      <c r="GB134" s="78">
        <f>CY134+DA134+DC134+DE134</f>
        <v>0</v>
      </c>
      <c r="GC134" s="79" t="str">
        <f t="shared" si="479"/>
        <v>NA</v>
      </c>
      <c r="GD134" s="9"/>
      <c r="GE134" s="79" t="str">
        <f t="shared" si="479"/>
        <v>NA</v>
      </c>
      <c r="GF134" s="9"/>
      <c r="GG134" s="79" t="str">
        <f t="shared" si="479"/>
        <v>NA</v>
      </c>
      <c r="GH134" s="9"/>
      <c r="GI134" s="79" t="str">
        <f t="shared" si="479"/>
        <v>NA</v>
      </c>
      <c r="GJ134" s="9"/>
      <c r="GK134" s="79" t="str">
        <f t="shared" si="479"/>
        <v>NA</v>
      </c>
      <c r="GL134" s="107"/>
      <c r="GM134" s="79" t="str">
        <f t="shared" si="479"/>
        <v>NA</v>
      </c>
      <c r="GN134" s="107"/>
      <c r="GO134" s="79" t="str">
        <f t="shared" si="479"/>
        <v>NA</v>
      </c>
      <c r="GP134" s="107"/>
      <c r="GQ134" s="79" t="str">
        <f t="shared" si="479"/>
        <v>NA</v>
      </c>
      <c r="GR134" s="107"/>
      <c r="GS134" s="79" t="str">
        <f t="shared" si="480"/>
        <v>NA</v>
      </c>
      <c r="GT134" s="79"/>
    </row>
    <row r="135" spans="1:286" ht="12.75" customHeight="1" collapsed="1" x14ac:dyDescent="0.2">
      <c r="A135" s="1"/>
      <c r="B135" s="969" t="s">
        <v>620</v>
      </c>
      <c r="C135" s="171"/>
      <c r="D135" s="171"/>
      <c r="E135" s="107"/>
      <c r="F135" s="171"/>
      <c r="G135" s="107"/>
      <c r="H135" s="171"/>
      <c r="I135" s="107"/>
      <c r="J135" s="171"/>
      <c r="K135" s="107"/>
      <c r="L135" s="79"/>
      <c r="M135" s="107"/>
      <c r="N135" s="79"/>
      <c r="O135" s="107"/>
      <c r="P135" s="79"/>
      <c r="Q135" s="107"/>
      <c r="R135" s="79"/>
      <c r="S135" s="107"/>
      <c r="T135" s="79"/>
      <c r="U135" s="107"/>
      <c r="V135" s="79"/>
      <c r="W135" s="107"/>
      <c r="X135" s="79"/>
      <c r="Y135" s="107"/>
      <c r="Z135" s="79"/>
      <c r="AA135" s="209"/>
      <c r="AB135" s="79"/>
      <c r="AC135" s="107"/>
      <c r="AD135" s="79"/>
      <c r="AE135" s="107"/>
      <c r="AF135" s="79"/>
      <c r="AG135" s="107"/>
      <c r="AH135" s="79"/>
      <c r="AI135" s="107"/>
      <c r="AJ135" s="79"/>
      <c r="AK135" s="107"/>
      <c r="AL135" s="79"/>
      <c r="AM135" s="107"/>
      <c r="AN135" s="79"/>
      <c r="AO135" s="107"/>
      <c r="AP135" s="79"/>
      <c r="AQ135" s="107"/>
      <c r="AR135" s="79"/>
      <c r="AS135" s="107"/>
      <c r="AT135" s="81"/>
      <c r="AU135" s="107"/>
      <c r="AV135" s="81"/>
      <c r="AW135" s="107"/>
      <c r="AX135" s="81"/>
      <c r="AY135" s="107"/>
      <c r="AZ135" s="81"/>
      <c r="BA135" s="107"/>
      <c r="BB135" s="81"/>
      <c r="BC135" s="107"/>
      <c r="BD135" s="81"/>
      <c r="BE135" s="107"/>
      <c r="BF135" s="81"/>
      <c r="BG135" s="107"/>
      <c r="BH135" s="81"/>
      <c r="BI135" s="107"/>
      <c r="BJ135" s="81"/>
      <c r="BK135" s="107"/>
      <c r="BL135" s="81"/>
      <c r="BM135" s="107"/>
      <c r="BN135" s="81"/>
      <c r="BO135" s="107"/>
      <c r="BP135" s="81"/>
      <c r="BQ135" s="107"/>
      <c r="BR135" s="81"/>
      <c r="BS135" s="107"/>
      <c r="BT135" s="81"/>
      <c r="BU135" s="107"/>
      <c r="BV135" s="81"/>
      <c r="BW135" s="107"/>
      <c r="BX135" s="81"/>
      <c r="BY135" s="107"/>
      <c r="BZ135" s="81"/>
      <c r="CA135" s="107"/>
      <c r="CB135" s="81"/>
      <c r="CC135" s="107"/>
      <c r="CD135" s="81"/>
      <c r="CE135" s="107"/>
      <c r="CF135" s="81"/>
      <c r="CG135" s="107"/>
      <c r="CH135" s="81"/>
      <c r="CI135" s="107"/>
      <c r="CJ135" s="81"/>
      <c r="CK135" s="107"/>
      <c r="CL135" s="81"/>
      <c r="CM135" s="107"/>
      <c r="CN135" s="81"/>
      <c r="CO135" s="107"/>
      <c r="CP135" s="81"/>
      <c r="CQ135" s="107"/>
      <c r="CR135" s="81"/>
      <c r="CS135" s="107"/>
      <c r="CT135" s="81"/>
      <c r="CU135" s="107"/>
      <c r="CV135" s="81"/>
      <c r="CW135" s="107"/>
      <c r="CX135" s="81"/>
      <c r="CY135" s="107"/>
      <c r="CZ135" s="81"/>
      <c r="DA135" s="107"/>
      <c r="DB135" s="81"/>
      <c r="DC135" s="107"/>
      <c r="DD135" s="81"/>
      <c r="DE135" s="107"/>
      <c r="DF135" s="81"/>
      <c r="DG135" s="107"/>
      <c r="DH135" s="81"/>
      <c r="DI135" s="107"/>
      <c r="DJ135" s="81"/>
      <c r="DK135" s="107"/>
      <c r="DL135" s="81"/>
      <c r="DM135" s="107"/>
      <c r="DN135" s="81"/>
      <c r="DO135" s="107"/>
      <c r="DP135" s="81"/>
      <c r="DQ135" s="107"/>
      <c r="DR135" s="81"/>
      <c r="DS135" s="107"/>
      <c r="DT135" s="81"/>
      <c r="DU135" s="107"/>
      <c r="DV135" s="81"/>
      <c r="DW135" s="107"/>
      <c r="DX135" s="81"/>
      <c r="DY135" s="107"/>
      <c r="DZ135" s="81"/>
      <c r="EA135" s="107">
        <v>10</v>
      </c>
      <c r="EB135" s="81"/>
      <c r="EC135" s="107">
        <v>9.9</v>
      </c>
      <c r="ED135" s="81"/>
      <c r="EE135" s="107">
        <v>10.4</v>
      </c>
      <c r="EF135" s="81"/>
      <c r="EG135" s="107">
        <v>9.6999999999999993</v>
      </c>
      <c r="EH135" s="81"/>
      <c r="EI135" s="107">
        <v>24.8</v>
      </c>
      <c r="EJ135" s="81"/>
      <c r="EK135" s="107"/>
      <c r="EL135" s="81"/>
      <c r="EM135" s="107"/>
      <c r="EN135" s="81"/>
      <c r="EO135" s="107"/>
      <c r="EP135" s="81"/>
      <c r="EQ135" s="107"/>
      <c r="ER135" s="81"/>
      <c r="ES135" s="82"/>
      <c r="ET135" s="469"/>
      <c r="EU135" s="82"/>
      <c r="EV135" s="171"/>
      <c r="EW135" s="79"/>
      <c r="EX135" s="171"/>
      <c r="EY135" s="79"/>
      <c r="EZ135" s="171"/>
      <c r="FA135" s="79"/>
      <c r="FB135" s="185"/>
      <c r="FC135" s="79"/>
      <c r="FD135" s="185"/>
      <c r="FE135" s="79"/>
      <c r="FF135" s="191"/>
      <c r="FG135" s="79"/>
      <c r="FH135" s="171"/>
      <c r="FI135" s="79"/>
      <c r="FJ135" s="171"/>
      <c r="FK135" s="79"/>
      <c r="FL135" s="171"/>
      <c r="FM135" s="79"/>
      <c r="FN135" s="171"/>
      <c r="FO135" s="79"/>
      <c r="FP135" s="78"/>
      <c r="FQ135" s="79"/>
      <c r="FR135" s="93"/>
      <c r="FS135" s="79"/>
      <c r="FT135" s="93"/>
      <c r="FU135" s="79"/>
      <c r="FV135" s="93"/>
      <c r="FW135" s="79"/>
      <c r="FX135" s="93"/>
      <c r="FY135" s="79"/>
      <c r="FZ135" s="78"/>
      <c r="GA135" s="79"/>
      <c r="GB135" s="78"/>
      <c r="GC135" s="79"/>
      <c r="GD135" s="9"/>
      <c r="GE135" s="79"/>
      <c r="GF135" s="9"/>
      <c r="GG135" s="79"/>
      <c r="GH135" s="9"/>
      <c r="GI135" s="79"/>
      <c r="GJ135" s="9"/>
      <c r="GK135" s="79"/>
      <c r="GL135" s="107"/>
      <c r="GM135" s="79"/>
      <c r="GN135" s="107"/>
      <c r="GO135" s="79"/>
      <c r="GP135" s="107"/>
      <c r="GQ135" s="79"/>
      <c r="GR135" s="107"/>
      <c r="GS135" s="79"/>
      <c r="GT135" s="79"/>
    </row>
    <row r="136" spans="1:286" ht="12.75" customHeight="1" x14ac:dyDescent="0.2">
      <c r="A136" s="1"/>
      <c r="B136" s="2" t="s">
        <v>457</v>
      </c>
      <c r="C136" s="171"/>
      <c r="D136" s="171"/>
      <c r="E136" s="107"/>
      <c r="F136" s="171"/>
      <c r="G136" s="107"/>
      <c r="H136" s="171"/>
      <c r="I136" s="107"/>
      <c r="J136" s="171"/>
      <c r="K136" s="107"/>
      <c r="L136" s="79"/>
      <c r="M136" s="107"/>
      <c r="N136" s="79"/>
      <c r="O136" s="107"/>
      <c r="P136" s="79"/>
      <c r="Q136" s="107"/>
      <c r="R136" s="79"/>
      <c r="S136" s="107"/>
      <c r="T136" s="79"/>
      <c r="U136" s="107"/>
      <c r="V136" s="79"/>
      <c r="W136" s="107"/>
      <c r="X136" s="79"/>
      <c r="Y136" s="107"/>
      <c r="Z136" s="79"/>
      <c r="AA136" s="209"/>
      <c r="AB136" s="79" t="str">
        <f>IF(ISERROR((AA136/S136-1)*100),"NA",IF(((AA136/S136-1)*100)&gt;100,"NM",IF(((AA136/S136-1)*100)&lt;-50,"NM",(AA136/S136-1)*100)))</f>
        <v>NA</v>
      </c>
      <c r="AC136" s="107">
        <f>64.6-AE136</f>
        <v>45.899999999999991</v>
      </c>
      <c r="AD136" s="79" t="str">
        <f>IF(ISERROR((AC136/U136-1)*100),"NA",IF(((AC136/U136-1)*100)&gt;100,"NM",IF(((AC136/U136-1)*100)&lt;-50,"NM",(AC136/U136-1)*100)))</f>
        <v>NA</v>
      </c>
      <c r="AE136" s="107">
        <v>18.7</v>
      </c>
      <c r="AF136" s="79" t="str">
        <f>IF(ISERROR((AE136/W136-1)*100),"NA",IF(((AE136/W136-1)*100)&gt;100,"NM",IF(((AE136/W136-1)*100)&lt;-50,"NM",(AE136/W136-1)*100)))</f>
        <v>NA</v>
      </c>
      <c r="AG136" s="107">
        <v>23.1</v>
      </c>
      <c r="AH136" s="79" t="str">
        <f>IF(ISERROR((AG136/Y136-1)*100),"NA",IF(((AG136/Y136-1)*100)&gt;100,"NM",IF(((AG136/Y136-1)*100)&lt;-50,"NM",(AG136/Y136-1)*100)))</f>
        <v>NA</v>
      </c>
      <c r="AI136" s="104">
        <f>FH136-AG136-AE136-AC136</f>
        <v>26.400000000000006</v>
      </c>
      <c r="AJ136" s="79" t="str">
        <f>IF(ISERROR((AI136/AA136-1)*100),"NA",IF(((AI136/AA136-1)*100)&gt;100,"NM",IF(((AI136/AA136-1)*100)&lt;-50,"NM",(AI136/AA136-1)*100)))</f>
        <v>NA</v>
      </c>
      <c r="AK136" s="107">
        <f>75.2-AM136</f>
        <v>50.900000000000006</v>
      </c>
      <c r="AL136" s="79">
        <f>IF(ISERROR((AK136/AC136-1)*100),"NA",IF(((AK136/AC136-1)*100)&gt;100,"NM",IF(((AK136/AC136-1)*100)&lt;-50,"NM",(AK136/AC136-1)*100)))</f>
        <v>10.89324618736387</v>
      </c>
      <c r="AM136" s="107">
        <v>24.3</v>
      </c>
      <c r="AN136" s="79">
        <f t="shared" si="469"/>
        <v>29.946524064171133</v>
      </c>
      <c r="AO136" s="107">
        <v>27.5</v>
      </c>
      <c r="AP136" s="79">
        <f t="shared" si="469"/>
        <v>19.047619047619047</v>
      </c>
      <c r="AQ136" s="107">
        <v>27.5</v>
      </c>
      <c r="AR136" s="79">
        <f t="shared" si="469"/>
        <v>4.1666666666666519</v>
      </c>
      <c r="AS136" s="107">
        <v>54.7</v>
      </c>
      <c r="AT136" s="81">
        <f t="shared" si="469"/>
        <v>7.4656188605108031</v>
      </c>
      <c r="AU136" s="107">
        <v>25.8</v>
      </c>
      <c r="AV136" s="81">
        <f t="shared" si="469"/>
        <v>6.1728395061728447</v>
      </c>
      <c r="AW136" s="107">
        <v>28.2</v>
      </c>
      <c r="AX136" s="81">
        <f t="shared" si="469"/>
        <v>2.5454545454545396</v>
      </c>
      <c r="AY136" s="107">
        <v>25.5</v>
      </c>
      <c r="AZ136" s="81">
        <f t="shared" si="469"/>
        <v>-7.2727272727272751</v>
      </c>
      <c r="BA136" s="107">
        <v>49.4</v>
      </c>
      <c r="BB136" s="81">
        <f t="shared" si="469"/>
        <v>-9.6892138939670964</v>
      </c>
      <c r="BC136" s="107">
        <v>28.6</v>
      </c>
      <c r="BD136" s="81">
        <f t="shared" si="469"/>
        <v>10.852713178294572</v>
      </c>
      <c r="BE136" s="107">
        <v>31.3</v>
      </c>
      <c r="BF136" s="81">
        <f>IF(ISERROR((BE136/AW136-1)*100),"NA",IF(((BE136/AW136-1)*100)&gt;100,"NM",IF(((BE136/AW136-1)*100)&lt;-50,"NM",(BE136/AW136-1)*100)))</f>
        <v>10.99290780141844</v>
      </c>
      <c r="BG136" s="107">
        <v>29.1</v>
      </c>
      <c r="BH136" s="81">
        <f>IF(ISERROR((BG136/AY136-1)*100),"NA",IF(((BG136/AY136-1)*100)&gt;100,"NM",IF(((BG136/AY136-1)*100)&lt;-50,"NM",(BG136/AY136-1)*100)))</f>
        <v>14.117647058823547</v>
      </c>
      <c r="BI136" s="107">
        <v>66.2</v>
      </c>
      <c r="BJ136" s="81">
        <f>IF(ISERROR((BI136/BA136-1)*100),"NA",IF(((BI136/BA136-1)*100)&gt;100,"NM",IF(((BI136/BA136-1)*100)&lt;-50,"NM",(BI136/BA136-1)*100)))</f>
        <v>34.008097165991913</v>
      </c>
      <c r="BK136" s="107">
        <v>27.7</v>
      </c>
      <c r="BL136" s="81">
        <f>IF(ISERROR((BK136/BC136-1)*100),"NA",IF(((BK136/BC136-1)*100)&gt;100,"NM",IF(((BK136/BC136-1)*100)&lt;-50,"NM",(BK136/BC136-1)*100)))</f>
        <v>-3.1468531468531569</v>
      </c>
      <c r="BM136" s="107">
        <v>35.4</v>
      </c>
      <c r="BN136" s="81"/>
      <c r="BO136" s="107">
        <v>29.3</v>
      </c>
      <c r="BP136" s="81"/>
      <c r="BQ136" s="107">
        <v>73.8</v>
      </c>
      <c r="BR136" s="81">
        <f>IF(ISERROR((BQ136/BI136-1)*100),"NA",IF(((BQ136/BI136-1)*100)&gt;100,"NM",IF(((BQ136/BI136-1)*100)&lt;-50,"NM",(BQ136/BI136-1)*100)))</f>
        <v>11.480362537764343</v>
      </c>
      <c r="BS136" s="107">
        <v>26</v>
      </c>
      <c r="BT136" s="81"/>
      <c r="BU136" s="107">
        <v>29.1</v>
      </c>
      <c r="BV136" s="81"/>
      <c r="BW136" s="107">
        <v>33</v>
      </c>
      <c r="BX136" s="81"/>
      <c r="BY136" s="107">
        <v>74.8</v>
      </c>
      <c r="BZ136" s="81">
        <f t="shared" si="470"/>
        <v>1.3550135501354976</v>
      </c>
      <c r="CA136" s="107">
        <v>39.200000000000003</v>
      </c>
      <c r="CB136" s="81">
        <f t="shared" si="470"/>
        <v>50.769230769230788</v>
      </c>
      <c r="CC136" s="107">
        <v>36.9</v>
      </c>
      <c r="CD136" s="81">
        <f t="shared" si="470"/>
        <v>26.8041237113402</v>
      </c>
      <c r="CE136" s="107">
        <v>36.299999999999997</v>
      </c>
      <c r="CF136" s="81">
        <f>IF(ISERROR((CE136/BW136-1)*100),"NA",IF(((CE136/BW136-1)*100)&gt;100,"NM",IF(((CE136/BW136-1)*100)&lt;-50,"NM",(CE136/BW136-1)*100)))</f>
        <v>9.9999999999999858</v>
      </c>
      <c r="CG136" s="107">
        <v>82</v>
      </c>
      <c r="CH136" s="81">
        <f>IF(ISERROR((CG136/BY136-1)*100),"NA",IF(((CG136/BY136-1)*100)&gt;100,"NM",IF(((CG136/BY136-1)*100)&lt;-50,"NM",(CG136/BY136-1)*100)))</f>
        <v>9.625668449197855</v>
      </c>
      <c r="CI136" s="107">
        <v>33.9</v>
      </c>
      <c r="CJ136" s="81">
        <f>IF(ISERROR((CI136/CA136-1)*100),"NA",IF(((CI136/CA136-1)*100)&gt;100,"NM",IF(((CI136/CA136-1)*100)&lt;-50,"NM",(CI136/CA136-1)*100)))</f>
        <v>-13.520408163265319</v>
      </c>
      <c r="CK136" s="107">
        <v>42.7</v>
      </c>
      <c r="CL136" s="81">
        <f>IF(ISERROR((CK136/CC136-1)*100),"NA",IF(((CK136/CC136-1)*100)&gt;100,"NM",IF(((CK136/CC136-1)*100)&lt;-50,"NM",(CK136/CC136-1)*100)))</f>
        <v>15.718157181571835</v>
      </c>
      <c r="CM136" s="107">
        <v>40.299999999999997</v>
      </c>
      <c r="CN136" s="81">
        <f>IF(ISERROR((CM136/CE136-1)*100),"NA",IF(((CM136/CE136-1)*100)&gt;100,"NM",IF(((CM136/CE136-1)*100)&lt;-50,"NM",(CM136/CE136-1)*100)))</f>
        <v>11.019283746556475</v>
      </c>
      <c r="CO136" s="107">
        <v>94.9</v>
      </c>
      <c r="CP136" s="81">
        <f>IF(ISERROR((CO136/CG136-1)*100),"NA",IF(((CO136/CG136-1)*100)&gt;100,"NM",IF(((CO136/CG136-1)*100)&lt;-50,"NM",(CO136/CG136-1)*100)))</f>
        <v>15.731707317073184</v>
      </c>
      <c r="CQ136" s="107">
        <v>36.6</v>
      </c>
      <c r="CR136" s="81">
        <f>IF(ISERROR((CQ136/CI136-1)*100),"NA",IF(((CQ136/CI136-1)*100)&gt;100,"NM",IF(((CQ136/CI136-1)*100)&lt;-50,"NM",(CQ136/CI136-1)*100)))</f>
        <v>7.9646017699115168</v>
      </c>
      <c r="CS136" s="107">
        <v>43.8</v>
      </c>
      <c r="CT136" s="81">
        <f>IF(ISERROR((CS136/CK136-1)*100),"NA",IF(((CS136/CK136-1)*100)&gt;100,"NM",IF(((CS136/CK136-1)*100)&lt;-50,"NM",(CS136/CK136-1)*100)))</f>
        <v>2.5761124121779666</v>
      </c>
      <c r="CU136" s="107">
        <v>41.1</v>
      </c>
      <c r="CV136" s="81">
        <f>IF(ISERROR((CU136/CM136-1)*100),"NA",IF(((CU136/CM136-1)*100)&gt;100,"NM",IF(((CU136/CM136-1)*100)&lt;-50,"NM",(CU136/CM136-1)*100)))</f>
        <v>1.9851116625310361</v>
      </c>
      <c r="CW136" s="107">
        <v>98.6</v>
      </c>
      <c r="CX136" s="81">
        <f>IF(ISERROR((CW136/CO136-1)*100),"NA",IF(((CW136/CO136-1)*100)&gt;100,"NM",IF(((CW136/CO136-1)*100)&lt;-50,"NM",(CW136/CO136-1)*100)))</f>
        <v>3.8988408851422518</v>
      </c>
      <c r="CY136" s="107">
        <v>33.200000000000003</v>
      </c>
      <c r="CZ136" s="81">
        <f>IF(ISERROR((CY136/CQ136-1)*100),"NA",IF(((CY136/CQ136-1)*100)&gt;100,"NM",IF(((CY136/CQ136-1)*100)&lt;-50,"NM",(CY136/CQ136-1)*100)))</f>
        <v>-9.2896174863387966</v>
      </c>
      <c r="DA136" s="107">
        <v>46.6</v>
      </c>
      <c r="DB136" s="81">
        <f>IF(ISERROR((DA136/CS136-1)*100),"NA",IF(((DA136/CS136-1)*100)&gt;100,"NM",IF(((DA136/CS136-1)*100)&lt;-50,"NM",(DA136/CS136-1)*100)))</f>
        <v>6.3926940639269514</v>
      </c>
      <c r="DC136" s="107">
        <v>40.4</v>
      </c>
      <c r="DD136" s="81">
        <f>IF(ISERROR((DC136/CU136-1)*100),"NA",IF(((DC136/CU136-1)*100)&gt;100,"NM",IF(((DC136/CU136-1)*100)&lt;-50,"NM",(DC136/CU136-1)*100)))</f>
        <v>-1.7031630170316392</v>
      </c>
      <c r="DE136" s="107">
        <v>103.3</v>
      </c>
      <c r="DF136" s="81">
        <f>IF(ISERROR((DE136/CW136-1)*100),"NA",IF(((DE136/CW136-1)*100)&gt;100,"NM",IF(((DE136/CW136-1)*100)&lt;-50,"NM",(DE136/CW136-1)*100)))</f>
        <v>4.7667342799188717</v>
      </c>
      <c r="DG136" s="107">
        <v>39.9</v>
      </c>
      <c r="DH136" s="81">
        <f>IF(ISERROR((DG136/CY136-1)*100),"NA",IF(((DG136/CY136-1)*100)&gt;100,"NM",IF(((DG136/CY136-1)*100)&lt;-50,"NM",(DG136/CY136-1)*100)))</f>
        <v>20.180722891566248</v>
      </c>
      <c r="DI136" s="107">
        <v>46.1</v>
      </c>
      <c r="DJ136" s="81">
        <f>IF(ISERROR((DI136/DA136-1)*100),"NA",IF(((DI136/DA136-1)*100)&gt;100,"NM",IF(((DI136/DA136-1)*100)&lt;-50,"NM",(DI136/DA136-1)*100)))</f>
        <v>-1.0729613733905574</v>
      </c>
      <c r="DK136" s="107">
        <v>48.8</v>
      </c>
      <c r="DL136" s="81">
        <f>IF(ISERROR((DK136/DC136-1)*100),"NA",IF(((DK136/DC136-1)*100)&gt;100,"NM",IF(((DK136/DC136-1)*100)&lt;-50,"NM",(DK136/DC136-1)*100)))</f>
        <v>20.792079207920789</v>
      </c>
      <c r="DM136" s="107">
        <v>131.9</v>
      </c>
      <c r="DN136" s="81">
        <f>IF(ISERROR((DM136/DE136-1)*100),"NA",IF(((DM136/DE136-1)*100)&gt;100,"NM",IF(((DM136/DE136-1)*100)&lt;-50,"NM",(DM136/DE136-1)*100)))</f>
        <v>27.686350435624398</v>
      </c>
      <c r="DO136" s="107">
        <v>39.299999999999997</v>
      </c>
      <c r="DP136" s="81">
        <f>IF(ISERROR((DO136/DG136-1)*100),"NA",IF(((DO136/DG136-1)*100)&gt;100,"NM",IF(((DO136/DG136-1)*100)&lt;-50,"NM",(DO136/DG136-1)*100)))</f>
        <v>-1.5037593984962405</v>
      </c>
      <c r="DQ136" s="107">
        <v>46.2</v>
      </c>
      <c r="DR136" s="81">
        <f>IF(ISERROR((DQ136/DI136-1)*100),"NA",IF(((DQ136/DI136-1)*100)&gt;100,"NM",IF(((DQ136/DI136-1)*100)&lt;-50,"NM",(DQ136/DI136-1)*100)))</f>
        <v>0.21691973969630851</v>
      </c>
      <c r="DS136" s="107">
        <v>45.2</v>
      </c>
      <c r="DT136" s="81">
        <f>IF(ISERROR((DS136/DK136-1)*100),"NA",IF(((DS136/DK136-1)*100)&gt;100,"NM",IF(((DS136/DK136-1)*100)&lt;-50,"NM",(DS136/DK136-1)*100)))</f>
        <v>-7.3770491803278553</v>
      </c>
      <c r="DU136" s="107">
        <v>125.9</v>
      </c>
      <c r="DV136" s="81">
        <f>IF(ISERROR((DU136/DM136-1)*100),"NA",IF(((DU136/DM136-1)*100)&gt;100,"NM",IF(((DU136/DM136-1)*100)&lt;-50,"NM",(DU136/DM136-1)*100)))</f>
        <v>-4.5489006823351001</v>
      </c>
      <c r="DW136" s="107">
        <v>44.8</v>
      </c>
      <c r="DX136" s="81">
        <f>IF(ISERROR((DW136/DO136-1)*100),"NA",IF(((DW136/DO136-1)*100)&gt;100,"NM",IF(((DW136/DO136-1)*100)&lt;-50,"NM",(DW136/DO136-1)*100)))</f>
        <v>13.994910941475824</v>
      </c>
      <c r="DY136" s="107">
        <f>45.6+4.5</f>
        <v>50.1</v>
      </c>
      <c r="DZ136" s="81">
        <f>IF(ISERROR((DY136/DQ136-1)*100),"NA",IF(((DY136/DQ136-1)*100)&gt;100,"NM",IF(((DY136/DQ136-1)*100)&lt;-50,"NM",(DY136/DQ136-1)*100)))</f>
        <v>8.4415584415584277</v>
      </c>
      <c r="EA136" s="107">
        <v>45.4</v>
      </c>
      <c r="EB136" s="81">
        <f>IF(ISERROR((EA136/DS136-1)*100),"NA",IF(((EA136/DS136-1)*100)&gt;100,"NM",IF(((EA136/DS136-1)*100)&lt;-50,"NM",(EA136/DS136-1)*100)))</f>
        <v>0.44247787610618428</v>
      </c>
      <c r="EC136" s="107">
        <v>147.30000000000001</v>
      </c>
      <c r="ED136" s="81"/>
      <c r="EE136" s="107">
        <v>49.6</v>
      </c>
      <c r="EF136" s="81">
        <f t="shared" ref="EF136:EF137" si="481">IF(ISERROR((EE136/DW136-1)*100),"NA",IF(((EE136/DW136-1)*100)&gt;100,"NM",IF(((EE136/DW136-1)*100)&lt;-50,"NM",(EE136/DW136-1)*100)))</f>
        <v>10.714285714285721</v>
      </c>
      <c r="EG136" s="107">
        <v>44.8</v>
      </c>
      <c r="EH136" s="81">
        <f t="shared" ref="EH136:EH137" si="482">IF(ISERROR((EG136/DY136-1)*100),"NA",IF(((EG136/DY136-1)*100)&gt;100,"NM",IF(((EG136/DY136-1)*100)&lt;-50,"NM",(EG136/DY136-1)*100)))</f>
        <v>-10.578842315369275</v>
      </c>
      <c r="EI136" s="107">
        <v>50.8</v>
      </c>
      <c r="EJ136" s="81">
        <f t="shared" ref="EJ136:EJ137" si="483">IF(ISERROR((EI136/EA136-1)*100),"NA",IF(((EI136/EA136-1)*100)&gt;100,"NM",IF(((EI136/EA136-1)*100)&lt;-50,"NM",(EI136/EA136-1)*100)))</f>
        <v>11.894273127753308</v>
      </c>
      <c r="EK136" s="107"/>
      <c r="EL136" s="81" t="str">
        <f t="shared" ref="EL136:EL137" si="484">IF(ISERROR((EK136/EC136-1)*100),"NA",IF(((EK136/EC136-1)*100)&gt;100,"NM",IF(((EK136/EC136-1)*100)&lt;-50,"NM",(EK136/EC136-1)*100)))</f>
        <v>NM</v>
      </c>
      <c r="EM136" s="107"/>
      <c r="EN136" s="81" t="str">
        <f t="shared" ref="EN136:EN137" si="485">IF(ISERROR((EM136/EE136-1)*100),"NA",IF(((EM136/EE136-1)*100)&gt;100,"NM",IF(((EM136/EE136-1)*100)&lt;-50,"NM",(EM136/EE136-1)*100)))</f>
        <v>NM</v>
      </c>
      <c r="EO136" s="107"/>
      <c r="EP136" s="81" t="str">
        <f t="shared" ref="EP136:EP137" si="486">IF(ISERROR((EO136/EG136-1)*100),"NA",IF(((EO136/EG136-1)*100)&gt;100,"NM",IF(((EO136/EG136-1)*100)&lt;-50,"NM",(EO136/EG136-1)*100)))</f>
        <v>NM</v>
      </c>
      <c r="EQ136" s="107"/>
      <c r="ER136" s="81" t="str">
        <f t="shared" ref="ER136:ER137" si="487">IF(ISERROR((EQ136/EI136-1)*100),"NA",IF(((EQ136/EI136-1)*100)&gt;100,"NM",IF(((EQ136/EI136-1)*100)&lt;-50,"NM",(EQ136/EI136-1)*100)))</f>
        <v>NM</v>
      </c>
      <c r="ES136" s="82"/>
      <c r="ET136" s="469"/>
      <c r="EU136" s="82"/>
      <c r="EV136" s="171"/>
      <c r="EW136" s="79"/>
      <c r="EX136" s="171"/>
      <c r="EY136" s="79"/>
      <c r="EZ136" s="171"/>
      <c r="FA136" s="79"/>
      <c r="FB136" s="185"/>
      <c r="FC136" s="79"/>
      <c r="FD136" s="186">
        <v>79.099999999999994</v>
      </c>
      <c r="FE136" s="79" t="str">
        <f>IF(ISERROR((FD136/FB136-1)*100),"NA",IF(((FD136/FB136-1)*100)&gt;100,"NM",IF(((FD136/FB136-1)*100)&lt;-50,"NM",(FD136/FB136-1)*100)))</f>
        <v>NA</v>
      </c>
      <c r="FF136" s="187">
        <v>105.8</v>
      </c>
      <c r="FG136" s="79">
        <f>IF(ISERROR((FF136/FD136-1)*100),"NA",IF(((FF136/FD136-1)*100)&gt;100,"NM",IF(((FF136/FD136-1)*100)&lt;-50,"NM",(FF136/FD136-1)*100)))</f>
        <v>33.754740834386851</v>
      </c>
      <c r="FH136" s="107">
        <v>114.1</v>
      </c>
      <c r="FI136" s="79">
        <f t="shared" si="479"/>
        <v>7.844990548204156</v>
      </c>
      <c r="FJ136" s="171"/>
      <c r="FK136" s="79" t="str">
        <f t="shared" si="479"/>
        <v>NM</v>
      </c>
      <c r="FL136" s="171"/>
      <c r="FM136" s="79" t="str">
        <f t="shared" si="479"/>
        <v>NA</v>
      </c>
      <c r="FN136" s="171"/>
      <c r="FO136" s="79" t="str">
        <f t="shared" si="479"/>
        <v>NA</v>
      </c>
      <c r="FP136" s="78">
        <f>BI136+BK136+BM136+BO136</f>
        <v>158.60000000000002</v>
      </c>
      <c r="FQ136" s="79" t="str">
        <f t="shared" si="479"/>
        <v>NA</v>
      </c>
      <c r="FR136" s="93">
        <f>BQ136+BS136+BU136+BW136</f>
        <v>161.9</v>
      </c>
      <c r="FS136" s="79">
        <f t="shared" si="479"/>
        <v>2.0807061790668158</v>
      </c>
      <c r="FT136" s="93">
        <f>BY136+CA136+CC136+CE136</f>
        <v>187.2</v>
      </c>
      <c r="FU136" s="79">
        <f t="shared" si="479"/>
        <v>15.626930203829502</v>
      </c>
      <c r="FV136" s="93">
        <f>CG136+CI136+CK136+CM136</f>
        <v>198.90000000000003</v>
      </c>
      <c r="FW136" s="79">
        <f t="shared" si="479"/>
        <v>6.2500000000000222</v>
      </c>
      <c r="FX136" s="93">
        <f>CO136+CQ136+CS136+CU136</f>
        <v>216.4</v>
      </c>
      <c r="FY136" s="79">
        <f t="shared" si="479"/>
        <v>8.7983911513323179</v>
      </c>
      <c r="FZ136" s="78">
        <f>CW136+CY136+DA136+DC136</f>
        <v>218.8</v>
      </c>
      <c r="GA136" s="79">
        <f t="shared" si="479"/>
        <v>1.109057301293892</v>
      </c>
      <c r="GB136" s="78">
        <f>DE136+DG136+DI136+DK136</f>
        <v>238.09999999999997</v>
      </c>
      <c r="GC136" s="79">
        <f t="shared" si="479"/>
        <v>8.8208409506398411</v>
      </c>
      <c r="GD136" s="9"/>
      <c r="GE136" s="79" t="str">
        <f t="shared" si="479"/>
        <v>NM</v>
      </c>
      <c r="GF136" s="9"/>
      <c r="GG136" s="79" t="str">
        <f t="shared" si="479"/>
        <v>NA</v>
      </c>
      <c r="GH136" s="9"/>
      <c r="GI136" s="79" t="str">
        <f t="shared" si="479"/>
        <v>NA</v>
      </c>
      <c r="GJ136" s="9"/>
      <c r="GK136" s="79" t="str">
        <f t="shared" si="479"/>
        <v>NA</v>
      </c>
      <c r="GL136" s="107"/>
      <c r="GM136" s="79" t="str">
        <f t="shared" si="479"/>
        <v>NA</v>
      </c>
      <c r="GN136" s="107"/>
      <c r="GO136" s="79" t="str">
        <f t="shared" si="479"/>
        <v>NA</v>
      </c>
      <c r="GP136" s="107"/>
      <c r="GQ136" s="79" t="str">
        <f t="shared" si="479"/>
        <v>NA</v>
      </c>
      <c r="GR136" s="107"/>
      <c r="GS136" s="79" t="str">
        <f t="shared" ref="GS136:GS137" si="488">IF(ISERROR((GR136/GP136-1)*100),"NA",IF(((GR136/GP136-1)*100)&gt;100,"NM",IF(((GR136/GP136-1)*100)&lt;-50,"NM",(GR136/GP136-1)*100)))</f>
        <v>NA</v>
      </c>
      <c r="GT136" s="79"/>
    </row>
    <row r="137" spans="1:286" s="83" customFormat="1" ht="12.75" customHeight="1" x14ac:dyDescent="0.2">
      <c r="A137" s="77"/>
      <c r="B137" s="68" t="s">
        <v>458</v>
      </c>
      <c r="C137" s="219"/>
      <c r="D137" s="219"/>
      <c r="E137" s="219"/>
      <c r="F137" s="219"/>
      <c r="G137" s="219"/>
      <c r="H137" s="219"/>
      <c r="I137" s="219"/>
      <c r="J137" s="219"/>
      <c r="K137" s="219"/>
      <c r="L137" s="140"/>
      <c r="M137" s="219"/>
      <c r="N137" s="79"/>
      <c r="O137" s="219"/>
      <c r="P137" s="79"/>
      <c r="Q137" s="219"/>
      <c r="R137" s="79"/>
      <c r="S137" s="219"/>
      <c r="T137" s="79"/>
      <c r="U137" s="219"/>
      <c r="V137" s="79"/>
      <c r="W137" s="219"/>
      <c r="X137" s="79"/>
      <c r="Y137" s="219"/>
      <c r="Z137" s="79"/>
      <c r="AA137" s="233"/>
      <c r="AB137" s="79" t="str">
        <f>IF(ISERROR((AA137/S137-1)*100),"NA",IF(((AA137/S137-1)*100)&gt;100,"NM",IF(((AA137/S137-1)*100)&lt;-50,"NM",(AA137/S137-1)*100)))</f>
        <v>NA</v>
      </c>
      <c r="AC137" s="219">
        <f>SUM(AC132:AC136)</f>
        <v>71.299999999999983</v>
      </c>
      <c r="AD137" s="79" t="str">
        <f>IF(ISERROR((AC137/U137-1)*100),"NA",IF(((AC137/U137-1)*100)&gt;100,"NM",IF(((AC137/U137-1)*100)&lt;-50,"NM",(AC137/U137-1)*100)))</f>
        <v>NA</v>
      </c>
      <c r="AE137" s="219">
        <f>SUM(AE132:AE136)</f>
        <v>44.4</v>
      </c>
      <c r="AF137" s="79" t="str">
        <f>IF(ISERROR((AE137/W137-1)*100),"NA",IF(((AE137/W137-1)*100)&gt;100,"NM",IF(((AE137/W137-1)*100)&lt;-50,"NM",(AE137/W137-1)*100)))</f>
        <v>NA</v>
      </c>
      <c r="AG137" s="219">
        <f>SUM(AG132:AG136)</f>
        <v>46.3</v>
      </c>
      <c r="AH137" s="79" t="str">
        <f>IF(ISERROR((AG137/Y137-1)*100),"NA",IF(((AG137/Y137-1)*100)&gt;100,"NM",IF(((AG137/Y137-1)*100)&lt;-50,"NM",(AG137/Y137-1)*100)))</f>
        <v>NA</v>
      </c>
      <c r="AI137" s="219">
        <f>SUM(AI132:AI136)</f>
        <v>51.900000000000006</v>
      </c>
      <c r="AJ137" s="79" t="str">
        <f>IF(ISERROR((AI137/AA137-1)*100),"NA",IF(((AI137/AA137-1)*100)&gt;100,"NM",IF(((AI137/AA137-1)*100)&lt;-50,"NM",(AI137/AA137-1)*100)))</f>
        <v>NA</v>
      </c>
      <c r="AK137" s="219">
        <f>SUM(AK132:AK136)</f>
        <v>72.300000000000011</v>
      </c>
      <c r="AL137" s="79">
        <f>IF(ISERROR((AK137/AC137-1)*100),"NA",IF(((AK137/AC137-1)*100)&gt;100,"NM",IF(((AK137/AC137-1)*100)&lt;-50,"NM",(AK137/AC137-1)*100)))</f>
        <v>1.4025245441795731</v>
      </c>
      <c r="AM137" s="219">
        <f>SUM(AM132:AM136)</f>
        <v>45</v>
      </c>
      <c r="AN137" s="79">
        <f t="shared" si="469"/>
        <v>1.3513513513513598</v>
      </c>
      <c r="AO137" s="219">
        <f>SUM(AO132:AO136)</f>
        <v>48.7</v>
      </c>
      <c r="AP137" s="79">
        <f t="shared" si="469"/>
        <v>5.1835853131749543</v>
      </c>
      <c r="AQ137" s="219">
        <f>SUM(AQ132:AQ136)</f>
        <v>52.1</v>
      </c>
      <c r="AR137" s="79">
        <f t="shared" si="469"/>
        <v>0.38535645472059787</v>
      </c>
      <c r="AS137" s="219">
        <f>+AS136+AS132</f>
        <v>67</v>
      </c>
      <c r="AT137" s="81">
        <f t="shared" si="469"/>
        <v>-7.3305670816044444</v>
      </c>
      <c r="AU137" s="219">
        <f>+AU136+AU132</f>
        <v>38.4</v>
      </c>
      <c r="AV137" s="81">
        <f t="shared" si="469"/>
        <v>-14.666666666666671</v>
      </c>
      <c r="AW137" s="219">
        <f>+AW136+AW132</f>
        <v>42.3</v>
      </c>
      <c r="AX137" s="81">
        <f t="shared" si="469"/>
        <v>-13.141683778234093</v>
      </c>
      <c r="AY137" s="219">
        <f>+AY136+AY132</f>
        <v>41.9</v>
      </c>
      <c r="AZ137" s="357">
        <f>+AZ136+AZ132</f>
        <v>1.3365442504515332</v>
      </c>
      <c r="BA137" s="219">
        <f>+BA136+BA132</f>
        <v>63.9</v>
      </c>
      <c r="BB137" s="81">
        <f t="shared" si="469"/>
        <v>-4.6268656716417889</v>
      </c>
      <c r="BC137" s="219">
        <f>+BC136+BC132</f>
        <v>43.1</v>
      </c>
      <c r="BD137" s="81">
        <f t="shared" si="469"/>
        <v>12.239583333333348</v>
      </c>
      <c r="BE137" s="219">
        <f>+BE136+BE132</f>
        <v>46.5</v>
      </c>
      <c r="BF137" s="81">
        <f>IF(ISERROR((BE137/AW137-1)*100),"NA",IF(((BE137/AW137-1)*100)&gt;100,"NM",IF(((BE137/AW137-1)*100)&lt;-50,"NM",(BE137/AW137-1)*100)))</f>
        <v>9.9290780141844124</v>
      </c>
      <c r="BG137" s="219">
        <f>+BG136+BG132</f>
        <v>44.6</v>
      </c>
      <c r="BH137" s="81">
        <f>IF(ISERROR((BG137/AY137-1)*100),"NA",IF(((BG137/AY137-1)*100)&gt;100,"NM",IF(((BG137/AY137-1)*100)&lt;-50,"NM",(BG137/AY137-1)*100)))</f>
        <v>6.4439140811455964</v>
      </c>
      <c r="BI137" s="219">
        <f>+BI136+BI132</f>
        <v>82.7</v>
      </c>
      <c r="BJ137" s="81">
        <f>IF(ISERROR((BI137/BA137-1)*100),"NA",IF(((BI137/BA137-1)*100)&gt;100,"NM",IF(((BI137/BA137-1)*100)&lt;-50,"NM",(BI137/BA137-1)*100)))</f>
        <v>29.42097026604069</v>
      </c>
      <c r="BK137" s="219">
        <f>+BK136+BK132</f>
        <v>40.5</v>
      </c>
      <c r="BL137" s="81">
        <f>IF(ISERROR((BK137/BC137-1)*100),"NA",IF(((BK137/BC137-1)*100)&gt;100,"NM",IF(((BK137/BC137-1)*100)&lt;-50,"NM",(BK137/BC137-1)*100)))</f>
        <v>-6.0324825986078912</v>
      </c>
      <c r="BM137" s="219">
        <f>+BM136+BM132</f>
        <v>50.5</v>
      </c>
      <c r="BN137" s="81"/>
      <c r="BO137" s="219">
        <f>+BO136+BO132</f>
        <v>42.8</v>
      </c>
      <c r="BP137" s="81"/>
      <c r="BQ137" s="219">
        <f>+BQ136+BQ132</f>
        <v>89.5</v>
      </c>
      <c r="BR137" s="81">
        <f>IF(ISERROR((BQ137/BI137-1)*100),"NA",IF(((BQ137/BI137-1)*100)&gt;100,"NM",IF(((BQ137/BI137-1)*100)&lt;-50,"NM",(BQ137/BI137-1)*100)))</f>
        <v>8.222490931076166</v>
      </c>
      <c r="BS137" s="219">
        <f>+BS136+BS132</f>
        <v>37.6</v>
      </c>
      <c r="BT137" s="81"/>
      <c r="BU137" s="219">
        <f>+BU136+BU132</f>
        <v>41.3</v>
      </c>
      <c r="BV137" s="81"/>
      <c r="BW137" s="219">
        <f>+BW136+BW132</f>
        <v>45.1</v>
      </c>
      <c r="BX137" s="81"/>
      <c r="BY137" s="219">
        <f>+BY136+BY132</f>
        <v>84.399999999999991</v>
      </c>
      <c r="BZ137" s="81">
        <f t="shared" si="470"/>
        <v>-5.6983240223463794</v>
      </c>
      <c r="CA137" s="219">
        <f>+CA136+CA132</f>
        <v>49.5</v>
      </c>
      <c r="CB137" s="81">
        <f t="shared" si="470"/>
        <v>31.64893617021276</v>
      </c>
      <c r="CC137" s="219">
        <f>+CC136+CC132</f>
        <v>48.5</v>
      </c>
      <c r="CD137" s="81">
        <f t="shared" si="470"/>
        <v>17.433414043583539</v>
      </c>
      <c r="CE137" s="219">
        <f>+CE136+CE132</f>
        <v>47.5</v>
      </c>
      <c r="CF137" s="81">
        <f>IF(ISERROR((CE137/BW137-1)*100),"NA",IF(((CE137/BW137-1)*100)&gt;100,"NM",IF(((CE137/BW137-1)*100)&lt;-50,"NM",(CE137/BW137-1)*100)))</f>
        <v>5.3215077605321515</v>
      </c>
      <c r="CG137" s="219">
        <f>+CG136+CG132</f>
        <v>96.2</v>
      </c>
      <c r="CH137" s="81">
        <f>IF(ISERROR((CG137/BY137-1)*100),"NA",IF(((CG137/BY137-1)*100)&gt;100,"NM",IF(((CG137/BY137-1)*100)&lt;-50,"NM",(CG137/BY137-1)*100)))</f>
        <v>13.981042654028442</v>
      </c>
      <c r="CI137" s="219">
        <f>+CI136+CI132</f>
        <v>47.4</v>
      </c>
      <c r="CJ137" s="81">
        <f>IF(ISERROR((CI137/CA137-1)*100),"NA",IF(((CI137/CA137-1)*100)&gt;100,"NM",IF(((CI137/CA137-1)*100)&lt;-50,"NM",(CI137/CA137-1)*100)))</f>
        <v>-4.2424242424242475</v>
      </c>
      <c r="CK137" s="219">
        <f>+CK136+CK132</f>
        <v>55.6</v>
      </c>
      <c r="CL137" s="81">
        <f>IF(ISERROR((CK137/CC137-1)*100),"NA",IF(((CK137/CC137-1)*100)&gt;100,"NM",IF(((CK137/CC137-1)*100)&lt;-50,"NM",(CK137/CC137-1)*100)))</f>
        <v>14.639175257731951</v>
      </c>
      <c r="CM137" s="219">
        <f>+CM136+CM132</f>
        <v>55.3</v>
      </c>
      <c r="CN137" s="81">
        <f>IF(ISERROR((CM137/CE137-1)*100),"NA",IF(((CM137/CE137-1)*100)&gt;100,"NM",IF(((CM137/CE137-1)*100)&lt;-50,"NM",(CM137/CE137-1)*100)))</f>
        <v>16.421052631578938</v>
      </c>
      <c r="CO137" s="219">
        <f>+CO136+CO132</f>
        <v>109.80000000000001</v>
      </c>
      <c r="CP137" s="81">
        <f>IF(ISERROR((CO137/CG137-1)*100),"NA",IF(((CO137/CG137-1)*100)&gt;100,"NM",IF(((CO137/CG137-1)*100)&lt;-50,"NM",(CO137/CG137-1)*100)))</f>
        <v>14.137214137214137</v>
      </c>
      <c r="CQ137" s="219">
        <f>+CQ136+CQ132</f>
        <v>51.900000000000006</v>
      </c>
      <c r="CR137" s="81">
        <f>IF(ISERROR((CQ137/CI137-1)*100),"NA",IF(((CQ137/CI137-1)*100)&gt;100,"NM",IF(((CQ137/CI137-1)*100)&lt;-50,"NM",(CQ137/CI137-1)*100)))</f>
        <v>9.4936708860759556</v>
      </c>
      <c r="CS137" s="219">
        <f>+CS136+CS132</f>
        <v>58.4</v>
      </c>
      <c r="CT137" s="81">
        <f>IF(ISERROR((CS137/CK137-1)*100),"NA",IF(((CS137/CK137-1)*100)&gt;100,"NM",IF(((CS137/CK137-1)*100)&lt;-50,"NM",(CS137/CK137-1)*100)))</f>
        <v>5.0359712230215736</v>
      </c>
      <c r="CU137" s="219">
        <f>+CU136+CU132</f>
        <v>53.3</v>
      </c>
      <c r="CV137" s="81">
        <f>IF(ISERROR((CU137/CM137-1)*100),"NA",IF(((CU137/CM137-1)*100)&gt;100,"NM",IF(((CU137/CM137-1)*100)&lt;-50,"NM",(CU137/CM137-1)*100)))</f>
        <v>-3.6166365280289381</v>
      </c>
      <c r="CW137" s="219">
        <f>+CW136+CW132</f>
        <v>113.8</v>
      </c>
      <c r="CX137" s="81">
        <f>IF(ISERROR((CW137/CO137-1)*100),"NA",IF(((CW137/CO137-1)*100)&gt;100,"NM",IF(((CW137/CO137-1)*100)&lt;-50,"NM",(CW137/CO137-1)*100)))</f>
        <v>3.6429872495446158</v>
      </c>
      <c r="CY137" s="219">
        <f>+CY136+CY132</f>
        <v>43.400000000000006</v>
      </c>
      <c r="CZ137" s="81">
        <f>IF(ISERROR((CY137/CQ137-1)*100),"NA",IF(((CY137/CQ137-1)*100)&gt;100,"NM",IF(((CY137/CQ137-1)*100)&lt;-50,"NM",(CY137/CQ137-1)*100)))</f>
        <v>-16.377649325626198</v>
      </c>
      <c r="DA137" s="219">
        <f>+DA136+DA132</f>
        <v>57.8</v>
      </c>
      <c r="DB137" s="81">
        <f>IF(ISERROR((DA137/CS137-1)*100),"NA",IF(((DA137/CS137-1)*100)&gt;100,"NM",IF(((DA137/CS137-1)*100)&lt;-50,"NM",(DA137/CS137-1)*100)))</f>
        <v>-1.0273972602739767</v>
      </c>
      <c r="DC137" s="219">
        <f>+DC136+DC132</f>
        <v>56</v>
      </c>
      <c r="DD137" s="81">
        <f>IF(ISERROR((DC137/CU137-1)*100),"NA",IF(((DC137/CU137-1)*100)&gt;100,"NM",IF(((DC137/CU137-1)*100)&lt;-50,"NM",(DC137/CU137-1)*100)))</f>
        <v>5.065666041275807</v>
      </c>
      <c r="DE137" s="219">
        <f>+DE136+DE132</f>
        <v>117.89999999999999</v>
      </c>
      <c r="DF137" s="81">
        <f>IF(ISERROR((DE137/CW137-1)*100),"NA",IF(((DE137/CW137-1)*100)&gt;100,"NM",IF(((DE137/CW137-1)*100)&lt;-50,"NM",(DE137/CW137-1)*100)))</f>
        <v>3.6028119507908629</v>
      </c>
      <c r="DG137" s="219">
        <f>+DG136+DG132</f>
        <v>51.599999999999994</v>
      </c>
      <c r="DH137" s="81">
        <f>IF(ISERROR((DG137/CY137-1)*100),"NA",IF(((DG137/CY137-1)*100)&gt;100,"NM",IF(((DG137/CY137-1)*100)&lt;-50,"NM",(DG137/CY137-1)*100)))</f>
        <v>18.894009216589836</v>
      </c>
      <c r="DI137" s="219">
        <f>+DI136+DI132</f>
        <v>60.5</v>
      </c>
      <c r="DJ137" s="81">
        <f>IF(ISERROR((DI137/DA137-1)*100),"NA",IF(((DI137/DA137-1)*100)&gt;100,"NM",IF(((DI137/DA137-1)*100)&lt;-50,"NM",(DI137/DA137-1)*100)))</f>
        <v>4.6712802768166251</v>
      </c>
      <c r="DK137" s="219">
        <f>+DK136+DK132</f>
        <v>64.900000000000006</v>
      </c>
      <c r="DL137" s="81">
        <f>IF(ISERROR((DK137/DC137-1)*100),"NA",IF(((DK137/DC137-1)*100)&gt;100,"NM",IF(((DK137/DC137-1)*100)&lt;-50,"NM",(DK137/DC137-1)*100)))</f>
        <v>15.892857142857153</v>
      </c>
      <c r="DM137" s="219">
        <f>+DM136+DM132</f>
        <v>144.20000000000002</v>
      </c>
      <c r="DN137" s="81">
        <f>IF(ISERROR((DM137/DE137-1)*100),"NA",IF(((DM137/DE137-1)*100)&gt;100,"NM",IF(((DM137/DE137-1)*100)&lt;-50,"NM",(DM137/DE137-1)*100)))</f>
        <v>22.307039864291788</v>
      </c>
      <c r="DO137" s="219">
        <f>+DO136+DO132</f>
        <v>52.3</v>
      </c>
      <c r="DP137" s="81">
        <f>IF(ISERROR((DO137/DG137-1)*100),"NA",IF(((DO137/DG137-1)*100)&gt;100,"NM",IF(((DO137/DG137-1)*100)&lt;-50,"NM",(DO137/DG137-1)*100)))</f>
        <v>1.3565891472868241</v>
      </c>
      <c r="DQ137" s="219">
        <f>+DQ136+DQ132</f>
        <v>67.400000000000006</v>
      </c>
      <c r="DR137" s="81">
        <f>IF(ISERROR((DQ137/DI137-1)*100),"NA",IF(((DQ137/DI137-1)*100)&gt;100,"NM",IF(((DQ137/DI137-1)*100)&lt;-50,"NM",(DQ137/DI137-1)*100)))</f>
        <v>11.404958677685961</v>
      </c>
      <c r="DS137" s="219">
        <f>+DS136+DS132</f>
        <v>66.2</v>
      </c>
      <c r="DT137" s="81">
        <f>IF(ISERROR((DS137/DK137-1)*100),"NA",IF(((DS137/DK137-1)*100)&gt;100,"NM",IF(((DS137/DK137-1)*100)&lt;-50,"NM",(DS137/DK137-1)*100)))</f>
        <v>2.003081664098616</v>
      </c>
      <c r="DU137" s="219">
        <f>+DU136+DU132</f>
        <v>142.6</v>
      </c>
      <c r="DV137" s="81">
        <f>IF(ISERROR((DU137/DM137-1)*100),"NA",IF(((DU137/DM137-1)*100)&gt;100,"NM",IF(((DU137/DM137-1)*100)&lt;-50,"NM",(DU137/DM137-1)*100)))</f>
        <v>-1.1095700416088872</v>
      </c>
      <c r="DW137" s="219">
        <f>+DW136+DW132</f>
        <v>59.4</v>
      </c>
      <c r="DX137" s="81">
        <f>IF(ISERROR((DW137/DO137-1)*100),"NA",IF(((DW137/DO137-1)*100)&gt;100,"NM",IF(((DW137/DO137-1)*100)&lt;-50,"NM",(DW137/DO137-1)*100)))</f>
        <v>13.575525812619516</v>
      </c>
      <c r="DY137" s="219">
        <f>+DY136+DY132</f>
        <v>66.5</v>
      </c>
      <c r="DZ137" s="81">
        <f>IF(ISERROR((DY137/DQ137-1)*100),"NA",IF(((DY137/DQ137-1)*100)&gt;100,"NM",IF(((DY137/DQ137-1)*100)&lt;-50,"NM",(DY137/DQ137-1)*100)))</f>
        <v>-1.335311572700304</v>
      </c>
      <c r="EA137" s="219">
        <f>+EA136+EA132+EA135</f>
        <v>72.8</v>
      </c>
      <c r="EB137" s="81">
        <f>IF(ISERROR((EA137/DS137-1)*100),"NA",IF(((EA137/DS137-1)*100)&gt;100,"NM",IF(((EA137/DS137-1)*100)&lt;-50,"NM",(EA137/DS137-1)*100)))</f>
        <v>9.9697885196374578</v>
      </c>
      <c r="EC137" s="219">
        <f>+EC136+EC132+EC135</f>
        <v>173.4</v>
      </c>
      <c r="ED137" s="81"/>
      <c r="EE137" s="219">
        <f>+EE136+EE132+EE135</f>
        <v>73.600000000000009</v>
      </c>
      <c r="EF137" s="81">
        <f t="shared" si="481"/>
        <v>23.905723905723917</v>
      </c>
      <c r="EG137" s="219">
        <f>+EG136+EG132+EG135</f>
        <v>74.899999999999991</v>
      </c>
      <c r="EH137" s="81">
        <f t="shared" si="482"/>
        <v>12.631578947368416</v>
      </c>
      <c r="EI137" s="219">
        <f>+EI136+EI132+EI135</f>
        <v>93.3</v>
      </c>
      <c r="EJ137" s="81">
        <f t="shared" si="483"/>
        <v>28.159340659340671</v>
      </c>
      <c r="EK137" s="219"/>
      <c r="EL137" s="81" t="str">
        <f t="shared" si="484"/>
        <v>NM</v>
      </c>
      <c r="EM137" s="219"/>
      <c r="EN137" s="81" t="str">
        <f t="shared" si="485"/>
        <v>NM</v>
      </c>
      <c r="EO137" s="219"/>
      <c r="EP137" s="81" t="str">
        <f t="shared" si="486"/>
        <v>NM</v>
      </c>
      <c r="EQ137" s="219"/>
      <c r="ER137" s="81" t="str">
        <f t="shared" si="487"/>
        <v>NM</v>
      </c>
      <c r="ES137" s="236"/>
      <c r="ET137" s="470"/>
      <c r="EU137" s="236"/>
      <c r="EV137" s="219"/>
      <c r="EW137" s="140"/>
      <c r="EX137" s="219"/>
      <c r="EY137" s="79"/>
      <c r="EZ137" s="219"/>
      <c r="FA137" s="79"/>
      <c r="FB137" s="217"/>
      <c r="FC137" s="79"/>
      <c r="FD137" s="217">
        <f>+M137+O137+Q137+S137</f>
        <v>0</v>
      </c>
      <c r="FE137" s="79" t="str">
        <f>IF(ISERROR((FD137/FB137-1)*100),"NA",IF(((FD137/FB137-1)*100)&gt;100,"NM",IF(((FD137/FB137-1)*100)&lt;-50,"NM",(FD137/FB137-1)*100)))</f>
        <v>NA</v>
      </c>
      <c r="FF137" s="218">
        <f>+AA137+Y137+W137+U137</f>
        <v>0</v>
      </c>
      <c r="FG137" s="79" t="str">
        <f>IF(ISERROR((FF137/FD137-1)*100),"NA",IF(((FF137/FD137-1)*100)&gt;100,"NM",IF(((FF137/FD137-1)*100)&lt;-50,"NM",(FF137/FD137-1)*100)))</f>
        <v>NA</v>
      </c>
      <c r="FH137" s="219">
        <f>+AI137+AG137+AE137+AC137</f>
        <v>213.89999999999998</v>
      </c>
      <c r="FI137" s="79" t="str">
        <f t="shared" si="479"/>
        <v>NA</v>
      </c>
      <c r="FJ137" s="219"/>
      <c r="FK137" s="79" t="str">
        <f t="shared" si="479"/>
        <v>NM</v>
      </c>
      <c r="FL137" s="219"/>
      <c r="FM137" s="79" t="str">
        <f t="shared" si="479"/>
        <v>NA</v>
      </c>
      <c r="FN137" s="219"/>
      <c r="FO137" s="79" t="str">
        <f t="shared" si="479"/>
        <v>NA</v>
      </c>
      <c r="FP137" s="220">
        <f>+FP136+FP132</f>
        <v>216.50000000000003</v>
      </c>
      <c r="FQ137" s="79" t="str">
        <f t="shared" si="479"/>
        <v>NA</v>
      </c>
      <c r="FR137" s="220">
        <f>+FR136+FR132</f>
        <v>213.5</v>
      </c>
      <c r="FS137" s="79">
        <f t="shared" si="479"/>
        <v>-1.3856812933025542</v>
      </c>
      <c r="FT137" s="220">
        <f>+FT136+FT132</f>
        <v>229.89999999999998</v>
      </c>
      <c r="FU137" s="79">
        <f t="shared" si="479"/>
        <v>7.6814988290398123</v>
      </c>
      <c r="FV137" s="220">
        <f>+FV136+FV132</f>
        <v>254.50000000000003</v>
      </c>
      <c r="FW137" s="79">
        <f t="shared" si="479"/>
        <v>10.7003044802088</v>
      </c>
      <c r="FX137" s="220">
        <f>+FX136+FX132</f>
        <v>273.39999999999998</v>
      </c>
      <c r="FY137" s="79">
        <f t="shared" si="479"/>
        <v>7.4263261296659833</v>
      </c>
      <c r="FZ137" s="220">
        <f>+FZ136+FZ132</f>
        <v>271</v>
      </c>
      <c r="GA137" s="79">
        <f t="shared" si="479"/>
        <v>-0.87783467446963526</v>
      </c>
      <c r="GB137" s="909">
        <f>DE137+DG137+DI137+DK137</f>
        <v>294.89999999999998</v>
      </c>
      <c r="GC137" s="79">
        <f t="shared" si="479"/>
        <v>8.8191881918819206</v>
      </c>
      <c r="GD137" s="237"/>
      <c r="GE137" s="79" t="str">
        <f t="shared" si="479"/>
        <v>NM</v>
      </c>
      <c r="GF137" s="237"/>
      <c r="GG137" s="79" t="str">
        <f t="shared" si="479"/>
        <v>NA</v>
      </c>
      <c r="GH137" s="237"/>
      <c r="GI137" s="79" t="str">
        <f t="shared" si="479"/>
        <v>NA</v>
      </c>
      <c r="GJ137" s="237"/>
      <c r="GK137" s="79" t="str">
        <f t="shared" si="479"/>
        <v>NA</v>
      </c>
      <c r="GL137" s="219"/>
      <c r="GM137" s="79" t="str">
        <f t="shared" si="479"/>
        <v>NA</v>
      </c>
      <c r="GN137" s="219"/>
      <c r="GO137" s="79" t="str">
        <f t="shared" si="479"/>
        <v>NA</v>
      </c>
      <c r="GP137" s="219"/>
      <c r="GQ137" s="79" t="str">
        <f t="shared" si="479"/>
        <v>NA</v>
      </c>
      <c r="GR137" s="219"/>
      <c r="GS137" s="79" t="str">
        <f t="shared" si="488"/>
        <v>NA</v>
      </c>
      <c r="GT137" s="79"/>
      <c r="GU137" s="562"/>
      <c r="GV137" s="562"/>
      <c r="GW137"/>
      <c r="GX137"/>
      <c r="GY137"/>
      <c r="GZ137"/>
      <c r="HA137"/>
      <c r="HB137"/>
      <c r="HC137" s="562"/>
      <c r="HD137" s="562"/>
      <c r="HE137" s="562"/>
      <c r="HF137" s="562"/>
      <c r="HG137" s="562"/>
      <c r="HH137" s="562"/>
      <c r="HI137" s="562"/>
      <c r="HJ137" s="562"/>
      <c r="HK137" s="562"/>
      <c r="HL137" s="562"/>
      <c r="HM137" s="562"/>
      <c r="HN137" s="562"/>
      <c r="HO137" s="562"/>
      <c r="HP137" s="562"/>
      <c r="HQ137" s="562"/>
      <c r="HR137" s="562"/>
      <c r="HS137" s="562"/>
      <c r="HT137" s="562"/>
      <c r="HU137" s="562"/>
      <c r="HV137" s="562"/>
      <c r="HW137" s="562"/>
      <c r="HX137" s="562"/>
      <c r="HY137" s="562"/>
      <c r="HZ137" s="562"/>
      <c r="IA137" s="562"/>
      <c r="IB137" s="562"/>
      <c r="IC137" s="562"/>
      <c r="ID137" s="562"/>
      <c r="IE137" s="562"/>
      <c r="IF137" s="562"/>
      <c r="IG137" s="562"/>
      <c r="IH137" s="562"/>
      <c r="II137" s="562"/>
      <c r="IJ137" s="562"/>
      <c r="IK137" s="562"/>
      <c r="IL137" s="562"/>
      <c r="IM137" s="562"/>
      <c r="IN137" s="562"/>
      <c r="IO137" s="562"/>
      <c r="IP137" s="562"/>
      <c r="IQ137" s="562"/>
      <c r="IR137" s="562"/>
      <c r="IS137" s="562"/>
      <c r="IT137" s="562"/>
      <c r="IU137" s="562"/>
      <c r="IV137" s="562"/>
      <c r="IW137" s="562"/>
      <c r="IX137" s="562"/>
      <c r="IY137" s="562"/>
      <c r="IZ137" s="562"/>
      <c r="JA137" s="562"/>
      <c r="JB137" s="562"/>
      <c r="JC137" s="562"/>
      <c r="JD137" s="562"/>
      <c r="JE137" s="562"/>
      <c r="JF137" s="562"/>
      <c r="JG137" s="562"/>
      <c r="JH137" s="562"/>
      <c r="JI137" s="562"/>
      <c r="JJ137" s="562"/>
      <c r="JK137" s="562"/>
      <c r="JL137" s="562"/>
      <c r="JM137" s="562"/>
      <c r="JN137" s="562"/>
      <c r="JO137" s="562"/>
      <c r="JP137" s="562"/>
      <c r="JQ137" s="562"/>
      <c r="JR137" s="562"/>
      <c r="JS137" s="562"/>
      <c r="JT137" s="562"/>
      <c r="JU137" s="562"/>
      <c r="JV137" s="562"/>
      <c r="JW137" s="562"/>
      <c r="JX137" s="562"/>
      <c r="JY137" s="562"/>
      <c r="JZ137" s="562"/>
    </row>
    <row r="138" spans="1:286" ht="12.75" customHeight="1" x14ac:dyDescent="0.2">
      <c r="A138" s="1"/>
      <c r="B138" s="68"/>
      <c r="C138" s="171"/>
      <c r="D138" s="171"/>
      <c r="E138" s="171"/>
      <c r="F138" s="171"/>
      <c r="G138" s="171"/>
      <c r="H138" s="171"/>
      <c r="I138" s="171"/>
      <c r="J138" s="171"/>
      <c r="K138" s="171"/>
      <c r="L138" s="79"/>
      <c r="M138" s="171"/>
      <c r="N138" s="79"/>
      <c r="O138" s="171"/>
      <c r="P138" s="79"/>
      <c r="Q138" s="171"/>
      <c r="R138" s="79"/>
      <c r="S138" s="171"/>
      <c r="T138" s="79"/>
      <c r="U138" s="171"/>
      <c r="V138" s="79"/>
      <c r="W138" s="171"/>
      <c r="X138" s="79"/>
      <c r="Y138" s="171"/>
      <c r="Z138" s="79"/>
      <c r="AA138" s="172"/>
      <c r="AB138" s="79"/>
      <c r="AC138" s="171"/>
      <c r="AD138" s="79"/>
      <c r="AE138" s="171"/>
      <c r="AF138" s="79"/>
      <c r="AG138" s="171"/>
      <c r="AH138" s="79"/>
      <c r="AI138" s="171"/>
      <c r="AJ138" s="79"/>
      <c r="AK138" s="171"/>
      <c r="AL138" s="79"/>
      <c r="AM138" s="171"/>
      <c r="AN138" s="79"/>
      <c r="AO138" s="171"/>
      <c r="AP138" s="79"/>
      <c r="AQ138" s="171"/>
      <c r="AR138" s="79"/>
      <c r="AS138" s="171"/>
      <c r="AT138" s="81"/>
      <c r="AU138" s="171"/>
      <c r="AV138" s="81"/>
      <c r="AW138" s="171"/>
      <c r="AX138" s="81"/>
      <c r="AY138" s="171"/>
      <c r="AZ138" s="81"/>
      <c r="BA138" s="171"/>
      <c r="BB138" s="81"/>
      <c r="BC138" s="171"/>
      <c r="BD138" s="81"/>
      <c r="BE138" s="171"/>
      <c r="BF138" s="81"/>
      <c r="BG138" s="171"/>
      <c r="BH138" s="81"/>
      <c r="BI138" s="171"/>
      <c r="BJ138" s="81"/>
      <c r="BK138" s="171"/>
      <c r="BL138" s="81"/>
      <c r="BM138" s="171"/>
      <c r="BN138" s="81"/>
      <c r="BO138" s="171"/>
      <c r="BP138" s="81"/>
      <c r="BQ138" s="171"/>
      <c r="BR138" s="81"/>
      <c r="BS138" s="171"/>
      <c r="BT138" s="81"/>
      <c r="BU138" s="171"/>
      <c r="BV138" s="81"/>
      <c r="BW138" s="171"/>
      <c r="BX138" s="81"/>
      <c r="BY138" s="171"/>
      <c r="BZ138" s="81"/>
      <c r="CA138" s="171"/>
      <c r="CB138" s="81"/>
      <c r="CC138" s="171"/>
      <c r="CD138" s="81"/>
      <c r="CE138" s="171"/>
      <c r="CF138" s="81"/>
      <c r="CG138" s="171"/>
      <c r="CH138" s="81"/>
      <c r="CI138" s="171"/>
      <c r="CJ138" s="81"/>
      <c r="CK138" s="171"/>
      <c r="CL138" s="81"/>
      <c r="CM138" s="171"/>
      <c r="CN138" s="81"/>
      <c r="CO138" s="171"/>
      <c r="CP138" s="81"/>
      <c r="CQ138" s="171"/>
      <c r="CR138" s="81"/>
      <c r="CS138" s="171"/>
      <c r="CT138" s="81"/>
      <c r="CU138" s="171"/>
      <c r="CV138" s="81"/>
      <c r="CW138" s="171"/>
      <c r="CX138" s="81"/>
      <c r="CY138" s="171"/>
      <c r="CZ138" s="81"/>
      <c r="DA138" s="171"/>
      <c r="DB138" s="81"/>
      <c r="DC138" s="171"/>
      <c r="DD138" s="81"/>
      <c r="DE138" s="171"/>
      <c r="DF138" s="81"/>
      <c r="DG138" s="171"/>
      <c r="DH138" s="81"/>
      <c r="DI138" s="171"/>
      <c r="DJ138" s="81"/>
      <c r="DK138" s="171"/>
      <c r="DL138" s="81"/>
      <c r="DM138" s="171"/>
      <c r="DN138" s="81"/>
      <c r="DO138" s="171"/>
      <c r="DP138" s="81"/>
      <c r="DQ138" s="171"/>
      <c r="DR138" s="81"/>
      <c r="DS138" s="171"/>
      <c r="DT138" s="81"/>
      <c r="DU138" s="171"/>
      <c r="DV138" s="81"/>
      <c r="DW138" s="171"/>
      <c r="DX138" s="81"/>
      <c r="DY138" s="171"/>
      <c r="DZ138" s="81"/>
      <c r="EA138" s="171"/>
      <c r="EB138" s="81"/>
      <c r="EC138" s="171"/>
      <c r="ED138" s="81"/>
      <c r="EE138" s="171"/>
      <c r="EF138" s="81"/>
      <c r="EG138" s="171"/>
      <c r="EH138" s="81"/>
      <c r="EI138" s="171"/>
      <c r="EJ138" s="81"/>
      <c r="EK138" s="171"/>
      <c r="EL138" s="81"/>
      <c r="EM138" s="171"/>
      <c r="EN138" s="81"/>
      <c r="EO138" s="171"/>
      <c r="EP138" s="81"/>
      <c r="EQ138" s="171"/>
      <c r="ER138" s="81"/>
      <c r="ES138" s="82"/>
      <c r="ET138" s="469"/>
      <c r="EU138" s="82"/>
      <c r="EV138" s="171"/>
      <c r="EW138" s="79"/>
      <c r="EX138" s="171"/>
      <c r="EY138" s="79"/>
      <c r="EZ138" s="171"/>
      <c r="FA138" s="79"/>
      <c r="FB138" s="217"/>
      <c r="FC138" s="79"/>
      <c r="FD138" s="217"/>
      <c r="FE138" s="79"/>
      <c r="FF138" s="218"/>
      <c r="FG138" s="79"/>
      <c r="FH138" s="219"/>
      <c r="FI138" s="79"/>
      <c r="FJ138" s="171"/>
      <c r="FK138" s="79"/>
      <c r="FL138" s="171"/>
      <c r="FM138" s="79"/>
      <c r="FN138" s="171"/>
      <c r="FO138" s="79"/>
      <c r="FP138" s="171"/>
      <c r="FQ138" s="79"/>
      <c r="FR138" s="171"/>
      <c r="FS138" s="79"/>
      <c r="FT138" s="171"/>
      <c r="FU138" s="79"/>
      <c r="FV138" s="171"/>
      <c r="FW138" s="79"/>
      <c r="FX138" s="171"/>
      <c r="FY138" s="79"/>
      <c r="FZ138" s="171"/>
      <c r="GA138" s="79"/>
      <c r="GB138" s="171"/>
      <c r="GC138" s="79"/>
      <c r="GD138" s="171"/>
      <c r="GE138" s="79"/>
      <c r="GF138" s="171"/>
      <c r="GG138" s="79"/>
      <c r="GH138" s="171"/>
      <c r="GI138" s="79"/>
      <c r="GJ138" s="171"/>
      <c r="GK138" s="79"/>
      <c r="GL138" s="171"/>
      <c r="GM138" s="79"/>
      <c r="GN138" s="171"/>
      <c r="GO138" s="79"/>
      <c r="GP138" s="171"/>
      <c r="GQ138" s="79"/>
      <c r="GR138" s="171"/>
      <c r="GS138" s="79"/>
      <c r="GT138" s="79"/>
    </row>
    <row r="139" spans="1:286" s="589" customFormat="1" ht="12.75" customHeight="1" collapsed="1" x14ac:dyDescent="0.2">
      <c r="A139" s="581"/>
      <c r="B139" s="582" t="s">
        <v>99</v>
      </c>
      <c r="C139" s="583"/>
      <c r="D139" s="583"/>
      <c r="E139" s="584"/>
      <c r="F139" s="584"/>
      <c r="G139" s="584"/>
      <c r="H139" s="584"/>
      <c r="I139" s="584"/>
      <c r="J139" s="584"/>
      <c r="K139" s="584"/>
      <c r="L139" s="584"/>
      <c r="M139" s="584"/>
      <c r="N139" s="585"/>
      <c r="O139" s="584"/>
      <c r="P139" s="583"/>
      <c r="Q139" s="584"/>
      <c r="R139" s="583"/>
      <c r="S139" s="584"/>
      <c r="T139" s="583"/>
      <c r="U139" s="584"/>
      <c r="V139" s="583"/>
      <c r="W139" s="584"/>
      <c r="X139" s="583"/>
      <c r="Y139" s="584"/>
      <c r="Z139" s="583"/>
      <c r="AA139" s="586"/>
      <c r="AB139" s="583"/>
      <c r="AC139" s="584"/>
      <c r="AD139" s="583"/>
      <c r="AE139" s="586"/>
      <c r="AF139" s="583"/>
      <c r="AG139" s="586"/>
      <c r="AH139" s="583"/>
      <c r="AI139" s="586"/>
      <c r="AJ139" s="583"/>
      <c r="AK139" s="586"/>
      <c r="AL139" s="583"/>
      <c r="AM139" s="586"/>
      <c r="AN139" s="583"/>
      <c r="AO139" s="586"/>
      <c r="AP139" s="583"/>
      <c r="AQ139" s="586"/>
      <c r="AR139" s="583"/>
      <c r="AS139" s="586"/>
      <c r="AT139" s="587"/>
      <c r="AU139" s="586"/>
      <c r="AV139" s="587"/>
      <c r="AW139" s="586"/>
      <c r="AX139" s="587"/>
      <c r="AY139" s="586"/>
      <c r="AZ139" s="587"/>
      <c r="BA139" s="586"/>
      <c r="BB139" s="587"/>
      <c r="BC139" s="586"/>
      <c r="BD139" s="587"/>
      <c r="BE139" s="586"/>
      <c r="BF139" s="587"/>
      <c r="BG139" s="586"/>
      <c r="BH139" s="587"/>
      <c r="BI139" s="586"/>
      <c r="BJ139" s="587"/>
      <c r="BK139" s="586"/>
      <c r="BL139" s="587"/>
      <c r="BM139" s="586"/>
      <c r="BN139" s="587"/>
      <c r="BO139" s="586"/>
      <c r="BP139" s="587"/>
      <c r="BQ139" s="586"/>
      <c r="BR139" s="587"/>
      <c r="BS139" s="586"/>
      <c r="BT139" s="587"/>
      <c r="BU139" s="586"/>
      <c r="BV139" s="587"/>
      <c r="BW139" s="586"/>
      <c r="BX139" s="587"/>
      <c r="BY139" s="586"/>
      <c r="BZ139" s="587"/>
      <c r="CA139" s="586"/>
      <c r="CB139" s="587"/>
      <c r="CC139" s="586"/>
      <c r="CD139" s="587"/>
      <c r="CE139" s="586"/>
      <c r="CF139" s="587"/>
      <c r="CG139" s="586"/>
      <c r="CH139" s="587"/>
      <c r="CI139" s="586"/>
      <c r="CJ139" s="587"/>
      <c r="CK139" s="586"/>
      <c r="CL139" s="587"/>
      <c r="CM139" s="586"/>
      <c r="CN139" s="587"/>
      <c r="CO139" s="586"/>
      <c r="CP139" s="587"/>
      <c r="CQ139" s="586"/>
      <c r="CR139" s="587"/>
      <c r="CS139" s="586"/>
      <c r="CT139" s="587"/>
      <c r="CU139" s="586"/>
      <c r="CV139" s="587"/>
      <c r="CW139" s="586"/>
      <c r="CX139" s="587"/>
      <c r="CY139" s="586"/>
      <c r="CZ139" s="587"/>
      <c r="DA139" s="586"/>
      <c r="DB139" s="587"/>
      <c r="DC139" s="586"/>
      <c r="DD139" s="587"/>
      <c r="DE139" s="586"/>
      <c r="DF139" s="587"/>
      <c r="DG139" s="586"/>
      <c r="DH139" s="587"/>
      <c r="DI139" s="586"/>
      <c r="DJ139" s="587"/>
      <c r="DK139" s="586"/>
      <c r="DL139" s="587"/>
      <c r="DM139" s="586"/>
      <c r="DN139" s="587"/>
      <c r="DO139" s="586"/>
      <c r="DP139" s="587"/>
      <c r="DQ139" s="586"/>
      <c r="DR139" s="587"/>
      <c r="DS139" s="586"/>
      <c r="DT139" s="587"/>
      <c r="DU139" s="586"/>
      <c r="DV139" s="587"/>
      <c r="DW139" s="586"/>
      <c r="DX139" s="587"/>
      <c r="DY139" s="586"/>
      <c r="DZ139" s="587"/>
      <c r="EA139" s="586"/>
      <c r="EB139" s="587"/>
      <c r="EC139" s="586"/>
      <c r="ED139" s="587"/>
      <c r="EE139" s="586"/>
      <c r="EF139" s="587"/>
      <c r="EG139" s="586"/>
      <c r="EH139" s="587"/>
      <c r="EI139" s="586"/>
      <c r="EJ139" s="587"/>
      <c r="EK139" s="586"/>
      <c r="EL139" s="587"/>
      <c r="EM139" s="586"/>
      <c r="EN139" s="587"/>
      <c r="EO139" s="586"/>
      <c r="EP139" s="587"/>
      <c r="EQ139" s="586"/>
      <c r="ER139" s="587"/>
      <c r="ES139" s="584"/>
      <c r="ET139" s="588"/>
      <c r="EU139" s="584"/>
      <c r="EV139" s="584"/>
      <c r="EW139" s="583"/>
      <c r="EX139" s="584"/>
      <c r="EY139" s="583"/>
      <c r="EZ139" s="584"/>
      <c r="FA139" s="583"/>
      <c r="FB139" s="584"/>
      <c r="FC139" s="583"/>
      <c r="FD139" s="584"/>
      <c r="FE139" s="583"/>
      <c r="FF139" s="584"/>
      <c r="FG139" s="583"/>
      <c r="FH139" s="584"/>
      <c r="FI139" s="583"/>
      <c r="FJ139" s="584"/>
      <c r="FK139" s="583"/>
      <c r="FL139" s="584"/>
      <c r="FM139" s="583"/>
      <c r="FN139" s="584"/>
      <c r="FO139" s="583"/>
      <c r="FP139" s="584"/>
      <c r="FQ139" s="583"/>
      <c r="FR139" s="584"/>
      <c r="FS139" s="583"/>
      <c r="FT139" s="584"/>
      <c r="FU139" s="583"/>
      <c r="FV139" s="584"/>
      <c r="FW139" s="583"/>
      <c r="FX139" s="584"/>
      <c r="FY139" s="583"/>
      <c r="FZ139" s="584"/>
      <c r="GA139" s="583"/>
      <c r="GB139" s="584"/>
      <c r="GC139" s="583"/>
      <c r="GD139" s="584"/>
      <c r="GE139" s="583"/>
      <c r="GF139" s="584"/>
      <c r="GG139" s="583"/>
      <c r="GH139" s="584"/>
      <c r="GI139" s="583"/>
      <c r="GJ139" s="584"/>
      <c r="GK139" s="583"/>
      <c r="GL139" s="584"/>
      <c r="GM139" s="583"/>
      <c r="GN139" s="584"/>
      <c r="GO139" s="583"/>
      <c r="GP139" s="584"/>
      <c r="GQ139" s="583"/>
      <c r="GR139" s="584"/>
      <c r="GS139" s="583"/>
      <c r="GT139" s="583"/>
      <c r="GU139" s="562"/>
      <c r="GV139" s="562"/>
      <c r="GW139"/>
      <c r="GX139"/>
      <c r="GY139"/>
      <c r="GZ139"/>
      <c r="HA139"/>
      <c r="HB139"/>
      <c r="HC139" s="562"/>
      <c r="HD139" s="562"/>
      <c r="HE139" s="562"/>
      <c r="HF139" s="562"/>
      <c r="HG139" s="562"/>
      <c r="HH139" s="562"/>
      <c r="HI139" s="562"/>
      <c r="HJ139" s="562"/>
      <c r="HK139" s="562"/>
      <c r="HL139" s="562"/>
      <c r="HM139" s="562"/>
      <c r="HN139" s="562"/>
      <c r="HO139" s="562"/>
      <c r="HP139" s="562"/>
      <c r="HQ139" s="562"/>
      <c r="HR139" s="562"/>
      <c r="HS139" s="562"/>
      <c r="HT139" s="562"/>
      <c r="HU139" s="562"/>
      <c r="HV139" s="562"/>
      <c r="HW139" s="562"/>
      <c r="HX139" s="562"/>
      <c r="HY139" s="562"/>
      <c r="HZ139" s="562"/>
      <c r="IA139" s="562"/>
      <c r="IB139" s="562"/>
      <c r="IC139" s="562"/>
      <c r="ID139" s="562"/>
      <c r="IE139" s="562"/>
      <c r="IF139" s="562"/>
      <c r="IG139" s="562"/>
      <c r="IH139" s="562"/>
      <c r="II139" s="562"/>
      <c r="IJ139" s="562"/>
      <c r="IK139" s="562"/>
      <c r="IL139" s="562"/>
      <c r="IM139" s="562"/>
      <c r="IN139" s="562"/>
      <c r="IO139" s="562"/>
      <c r="IP139" s="562"/>
      <c r="IQ139" s="562"/>
      <c r="IR139" s="562"/>
      <c r="IS139" s="562"/>
      <c r="IT139" s="562"/>
      <c r="IU139" s="562"/>
      <c r="IV139" s="562"/>
      <c r="IW139" s="562"/>
      <c r="IX139" s="562"/>
      <c r="IY139" s="562"/>
      <c r="IZ139" s="562"/>
      <c r="JA139" s="562"/>
      <c r="JB139" s="562"/>
      <c r="JC139" s="562"/>
      <c r="JD139" s="562"/>
      <c r="JE139" s="562"/>
      <c r="JF139" s="562"/>
      <c r="JG139" s="562"/>
      <c r="JH139" s="562"/>
      <c r="JI139" s="562"/>
      <c r="JJ139" s="562"/>
      <c r="JK139" s="562"/>
      <c r="JL139" s="562"/>
      <c r="JM139" s="562"/>
      <c r="JN139" s="562"/>
      <c r="JO139" s="562"/>
      <c r="JP139" s="562"/>
      <c r="JQ139" s="562"/>
      <c r="JR139" s="562"/>
      <c r="JS139" s="562"/>
      <c r="JT139" s="562"/>
      <c r="JU139" s="562"/>
      <c r="JV139" s="562"/>
      <c r="JW139" s="562"/>
      <c r="JX139" s="562"/>
      <c r="JY139" s="562"/>
      <c r="JZ139" s="562"/>
    </row>
    <row r="140" spans="1:286" ht="12.75" customHeight="1" x14ac:dyDescent="0.2">
      <c r="A140" s="1"/>
      <c r="B140" s="68"/>
      <c r="C140" s="171"/>
      <c r="D140" s="171"/>
      <c r="E140" s="171"/>
      <c r="F140" s="171"/>
      <c r="G140" s="171"/>
      <c r="H140" s="171"/>
      <c r="I140" s="171"/>
      <c r="J140" s="171"/>
      <c r="K140" s="171"/>
      <c r="L140" s="79"/>
      <c r="M140" s="171"/>
      <c r="N140" s="79"/>
      <c r="O140" s="171"/>
      <c r="P140" s="79"/>
      <c r="Q140" s="171"/>
      <c r="R140" s="79"/>
      <c r="S140" s="171"/>
      <c r="T140" s="79"/>
      <c r="U140" s="171"/>
      <c r="V140" s="79"/>
      <c r="W140" s="171"/>
      <c r="X140" s="79"/>
      <c r="Y140" s="171"/>
      <c r="Z140" s="79"/>
      <c r="AA140" s="172"/>
      <c r="AB140" s="79"/>
      <c r="AC140" s="171"/>
      <c r="AD140" s="79"/>
      <c r="AE140" s="171"/>
      <c r="AF140" s="79"/>
      <c r="AG140" s="171"/>
      <c r="AH140" s="79"/>
      <c r="AI140" s="171"/>
      <c r="AJ140" s="79"/>
      <c r="AK140" s="171"/>
      <c r="AL140" s="79"/>
      <c r="AM140" s="171"/>
      <c r="AN140" s="79"/>
      <c r="AO140" s="171"/>
      <c r="AP140" s="79"/>
      <c r="AQ140" s="171"/>
      <c r="AR140" s="79"/>
      <c r="AS140" s="171"/>
      <c r="AT140" s="81"/>
      <c r="AU140" s="171"/>
      <c r="AV140" s="81"/>
      <c r="AW140" s="171"/>
      <c r="AX140" s="81"/>
      <c r="AY140" s="171"/>
      <c r="AZ140" s="81"/>
      <c r="BA140" s="171"/>
      <c r="BB140" s="81"/>
      <c r="BC140" s="171"/>
      <c r="BD140" s="81"/>
      <c r="BE140" s="171"/>
      <c r="BF140" s="81"/>
      <c r="BG140" s="171"/>
      <c r="BH140" s="81"/>
      <c r="BI140" s="171"/>
      <c r="BJ140" s="81"/>
      <c r="BK140" s="171"/>
      <c r="BL140" s="81"/>
      <c r="BM140" s="171"/>
      <c r="BN140" s="81"/>
      <c r="BO140" s="171"/>
      <c r="BP140" s="81"/>
      <c r="BQ140" s="171"/>
      <c r="BR140" s="81"/>
      <c r="BS140" s="171"/>
      <c r="BT140" s="81"/>
      <c r="BU140" s="171"/>
      <c r="BV140" s="81"/>
      <c r="BW140" s="171"/>
      <c r="BX140" s="81"/>
      <c r="BY140" s="171"/>
      <c r="BZ140" s="81"/>
      <c r="CA140" s="171"/>
      <c r="CB140" s="81"/>
      <c r="CC140" s="171"/>
      <c r="CD140" s="81"/>
      <c r="CE140" s="171"/>
      <c r="CF140" s="81"/>
      <c r="CG140" s="171"/>
      <c r="CH140" s="81"/>
      <c r="CI140" s="171"/>
      <c r="CJ140" s="81"/>
      <c r="CK140" s="171"/>
      <c r="CL140" s="81"/>
      <c r="CM140" s="171"/>
      <c r="CN140" s="81"/>
      <c r="CO140" s="171"/>
      <c r="CP140" s="81"/>
      <c r="CQ140" s="171"/>
      <c r="CR140" s="81"/>
      <c r="CS140" s="171"/>
      <c r="CT140" s="81"/>
      <c r="CU140" s="171"/>
      <c r="CV140" s="81"/>
      <c r="CW140" s="171"/>
      <c r="CX140" s="81"/>
      <c r="CY140" s="171"/>
      <c r="CZ140" s="81"/>
      <c r="DA140" s="171"/>
      <c r="DB140" s="81"/>
      <c r="DC140" s="171"/>
      <c r="DD140" s="81"/>
      <c r="DE140" s="171"/>
      <c r="DF140" s="81"/>
      <c r="DG140" s="171"/>
      <c r="DH140" s="81"/>
      <c r="DI140" s="171"/>
      <c r="DJ140" s="81"/>
      <c r="DK140" s="171"/>
      <c r="DL140" s="81"/>
      <c r="DM140" s="171"/>
      <c r="DN140" s="81"/>
      <c r="DO140" s="171"/>
      <c r="DP140" s="81"/>
      <c r="DQ140" s="171"/>
      <c r="DR140" s="81"/>
      <c r="DS140" s="171"/>
      <c r="DT140" s="81"/>
      <c r="DU140" s="171"/>
      <c r="DV140" s="81"/>
      <c r="DW140" s="171"/>
      <c r="DX140" s="81"/>
      <c r="DY140" s="171"/>
      <c r="DZ140" s="81"/>
      <c r="EA140" s="171"/>
      <c r="EB140" s="81"/>
      <c r="EC140" s="171"/>
      <c r="ED140" s="81"/>
      <c r="EE140" s="171"/>
      <c r="EF140" s="81"/>
      <c r="EG140" s="171"/>
      <c r="EH140" s="81"/>
      <c r="EI140" s="171"/>
      <c r="EJ140" s="81"/>
      <c r="EK140" s="171"/>
      <c r="EL140" s="81"/>
      <c r="EM140" s="171"/>
      <c r="EN140" s="81"/>
      <c r="EO140" s="171"/>
      <c r="EP140" s="81"/>
      <c r="EQ140" s="171"/>
      <c r="ER140" s="81"/>
      <c r="ES140" s="82"/>
      <c r="ET140" s="469"/>
      <c r="EU140" s="82"/>
      <c r="EV140" s="171"/>
      <c r="EW140" s="79"/>
      <c r="EX140" s="171"/>
      <c r="EY140" s="79"/>
      <c r="EZ140" s="171"/>
      <c r="FA140" s="79"/>
      <c r="FB140" s="217"/>
      <c r="FC140" s="79"/>
      <c r="FD140" s="217"/>
      <c r="FE140" s="79"/>
      <c r="FF140" s="218"/>
      <c r="FG140" s="79"/>
      <c r="FH140" s="219"/>
      <c r="FI140" s="79"/>
      <c r="FJ140" s="171"/>
      <c r="FK140" s="79"/>
      <c r="FL140" s="171"/>
      <c r="FM140" s="79"/>
      <c r="FN140" s="171"/>
      <c r="FO140" s="79"/>
      <c r="FP140" s="171"/>
      <c r="FQ140" s="79"/>
      <c r="FR140" s="171"/>
      <c r="FS140" s="79"/>
      <c r="FT140" s="171"/>
      <c r="FU140" s="79"/>
      <c r="FV140" s="171"/>
      <c r="FW140" s="79"/>
      <c r="FX140" s="171"/>
      <c r="FY140" s="79"/>
      <c r="FZ140" s="171"/>
      <c r="GA140" s="79"/>
      <c r="GB140" s="171"/>
      <c r="GC140" s="79"/>
      <c r="GD140" s="171"/>
      <c r="GE140" s="79"/>
      <c r="GF140" s="171"/>
      <c r="GG140" s="79"/>
      <c r="GH140" s="171"/>
      <c r="GI140" s="79"/>
      <c r="GJ140" s="171"/>
      <c r="GK140" s="79"/>
      <c r="GL140" s="171"/>
      <c r="GM140" s="79"/>
      <c r="GN140" s="171"/>
      <c r="GO140" s="79"/>
      <c r="GP140" s="171"/>
      <c r="GQ140" s="79"/>
      <c r="GR140" s="171"/>
      <c r="GS140" s="79"/>
      <c r="GT140" s="79"/>
    </row>
    <row r="141" spans="1:286" ht="12.75" customHeight="1" x14ac:dyDescent="0.2">
      <c r="A141" s="1"/>
      <c r="B141" s="68" t="s">
        <v>283</v>
      </c>
      <c r="C141" s="171"/>
      <c r="D141" s="171"/>
      <c r="E141" s="171"/>
      <c r="F141" s="171"/>
      <c r="G141" s="171"/>
      <c r="H141" s="171"/>
      <c r="I141" s="171"/>
      <c r="J141" s="171"/>
      <c r="K141" s="171"/>
      <c r="L141" s="79"/>
      <c r="M141" s="171"/>
      <c r="N141" s="79"/>
      <c r="O141" s="171"/>
      <c r="P141" s="79"/>
      <c r="Q141" s="171"/>
      <c r="R141" s="79"/>
      <c r="S141" s="171"/>
      <c r="T141" s="79"/>
      <c r="U141" s="171"/>
      <c r="V141" s="79"/>
      <c r="W141" s="171"/>
      <c r="X141" s="79"/>
      <c r="Y141" s="171"/>
      <c r="Z141" s="79"/>
      <c r="AA141" s="172"/>
      <c r="AB141" s="79"/>
      <c r="AC141" s="171"/>
      <c r="AD141" s="79"/>
      <c r="AE141" s="171"/>
      <c r="AF141" s="79"/>
      <c r="AG141" s="171"/>
      <c r="AH141" s="79"/>
      <c r="AI141" s="171"/>
      <c r="AJ141" s="79"/>
      <c r="AK141" s="171"/>
      <c r="AL141" s="79"/>
      <c r="AM141" s="171"/>
      <c r="AN141" s="79"/>
      <c r="AO141" s="171"/>
      <c r="AP141" s="79"/>
      <c r="AQ141" s="171"/>
      <c r="AR141" s="79"/>
      <c r="AS141" s="171"/>
      <c r="AT141" s="81"/>
      <c r="AU141" s="171"/>
      <c r="AV141" s="81"/>
      <c r="AW141" s="171"/>
      <c r="AX141" s="81"/>
      <c r="AY141" s="171"/>
      <c r="AZ141" s="81"/>
      <c r="BA141" s="171"/>
      <c r="BB141" s="81"/>
      <c r="BC141" s="171"/>
      <c r="BD141" s="81"/>
      <c r="BE141" s="171"/>
      <c r="BF141" s="81"/>
      <c r="BG141" s="171"/>
      <c r="BH141" s="81"/>
      <c r="BI141" s="171"/>
      <c r="BJ141" s="81"/>
      <c r="BK141" s="171"/>
      <c r="BL141" s="81"/>
      <c r="BM141" s="171"/>
      <c r="BN141" s="81"/>
      <c r="BO141" s="171"/>
      <c r="BP141" s="81"/>
      <c r="BQ141" s="171"/>
      <c r="BR141" s="81"/>
      <c r="BS141" s="171"/>
      <c r="BT141" s="81"/>
      <c r="BU141" s="171"/>
      <c r="BV141" s="81"/>
      <c r="BW141" s="171"/>
      <c r="BX141" s="81"/>
      <c r="BY141" s="171"/>
      <c r="BZ141" s="81"/>
      <c r="CA141" s="171"/>
      <c r="CB141" s="81"/>
      <c r="CC141" s="171"/>
      <c r="CD141" s="81"/>
      <c r="CE141" s="171"/>
      <c r="CF141" s="81"/>
      <c r="CG141" s="171"/>
      <c r="CH141" s="81"/>
      <c r="CI141" s="171"/>
      <c r="CJ141" s="81"/>
      <c r="CK141" s="171"/>
      <c r="CL141" s="81"/>
      <c r="CM141" s="171"/>
      <c r="CN141" s="81"/>
      <c r="CO141" s="171"/>
      <c r="CP141" s="81"/>
      <c r="CQ141" s="171"/>
      <c r="CR141" s="81"/>
      <c r="CS141" s="171"/>
      <c r="CT141" s="81"/>
      <c r="CU141" s="171"/>
      <c r="CV141" s="81"/>
      <c r="CW141" s="171"/>
      <c r="CX141" s="81"/>
      <c r="CY141" s="171"/>
      <c r="CZ141" s="81"/>
      <c r="DA141" s="171"/>
      <c r="DB141" s="81"/>
      <c r="DC141" s="171"/>
      <c r="DD141" s="81"/>
      <c r="DE141" s="171"/>
      <c r="DF141" s="81"/>
      <c r="DG141" s="171"/>
      <c r="DH141" s="81"/>
      <c r="DI141" s="171"/>
      <c r="DJ141" s="81"/>
      <c r="DK141" s="171"/>
      <c r="DL141" s="81"/>
      <c r="DM141" s="171"/>
      <c r="DN141" s="81"/>
      <c r="DO141" s="171"/>
      <c r="DP141" s="81"/>
      <c r="DQ141" s="912"/>
      <c r="DR141" s="81"/>
      <c r="DS141" s="912"/>
      <c r="DT141" s="81"/>
      <c r="DU141" s="912"/>
      <c r="DV141" s="81"/>
      <c r="DW141" s="912"/>
      <c r="DX141" s="81"/>
      <c r="DY141" s="912"/>
      <c r="DZ141" s="81"/>
      <c r="EA141" s="912"/>
      <c r="EB141" s="81"/>
      <c r="EC141" s="912"/>
      <c r="ED141" s="81"/>
      <c r="EE141" s="912"/>
      <c r="EF141" s="81"/>
      <c r="EG141" s="912"/>
      <c r="EH141" s="81"/>
      <c r="EI141" s="912"/>
      <c r="EJ141" s="81"/>
      <c r="EK141" s="171"/>
      <c r="EL141" s="81"/>
      <c r="EM141" s="171"/>
      <c r="EN141" s="81"/>
      <c r="EO141" s="171"/>
      <c r="EP141" s="81"/>
      <c r="EQ141" s="171"/>
      <c r="ER141" s="81"/>
      <c r="ES141" s="82"/>
      <c r="ET141" s="469"/>
      <c r="EU141" s="82"/>
      <c r="EV141" s="171"/>
      <c r="EW141" s="79"/>
      <c r="EX141" s="171"/>
      <c r="EY141" s="79"/>
      <c r="EZ141" s="171"/>
      <c r="FA141" s="79"/>
      <c r="FB141" s="217"/>
      <c r="FC141" s="79"/>
      <c r="FD141" s="217"/>
      <c r="FE141" s="79"/>
      <c r="FF141" s="218"/>
      <c r="FG141" s="79"/>
      <c r="FH141" s="219"/>
      <c r="FI141" s="79"/>
      <c r="FJ141" s="171"/>
      <c r="FK141" s="79"/>
      <c r="FL141" s="171"/>
      <c r="FM141" s="79"/>
      <c r="FN141" s="171"/>
      <c r="FO141" s="79"/>
      <c r="FP141" s="171"/>
      <c r="FQ141" s="79"/>
      <c r="FR141" s="171"/>
      <c r="FS141" s="79"/>
      <c r="FT141" s="171"/>
      <c r="FU141" s="79"/>
      <c r="FV141" s="171"/>
      <c r="FW141" s="79"/>
      <c r="FX141" s="171"/>
      <c r="FY141" s="79"/>
      <c r="FZ141" s="171"/>
      <c r="GA141" s="79"/>
      <c r="GB141" s="171"/>
      <c r="GC141" s="79"/>
      <c r="GD141" s="171"/>
      <c r="GE141" s="79"/>
      <c r="GF141" s="912"/>
      <c r="GG141" s="79"/>
      <c r="GH141" s="912"/>
      <c r="GI141" s="79"/>
      <c r="GJ141" s="912"/>
      <c r="GK141" s="79"/>
      <c r="GL141" s="171"/>
      <c r="GM141" s="79"/>
      <c r="GN141" s="171"/>
      <c r="GO141" s="79"/>
      <c r="GP141" s="171"/>
      <c r="GQ141" s="79"/>
      <c r="GR141" s="171"/>
      <c r="GS141" s="79"/>
      <c r="GT141" s="79"/>
    </row>
    <row r="142" spans="1:286" ht="12.75" customHeight="1" x14ac:dyDescent="0.2">
      <c r="A142" s="1"/>
      <c r="B142" s="10" t="s">
        <v>269</v>
      </c>
      <c r="C142" s="171"/>
      <c r="D142" s="171"/>
      <c r="E142" s="171"/>
      <c r="F142" s="171"/>
      <c r="G142" s="171"/>
      <c r="H142" s="171"/>
      <c r="I142" s="171"/>
      <c r="J142" s="171"/>
      <c r="K142" s="171"/>
      <c r="L142" s="79"/>
      <c r="M142" s="171"/>
      <c r="N142" s="79"/>
      <c r="O142" s="171"/>
      <c r="P142" s="79"/>
      <c r="Q142" s="171"/>
      <c r="R142" s="79"/>
      <c r="S142" s="171"/>
      <c r="T142" s="79"/>
      <c r="U142" s="74">
        <f>FF142-W142-Y142-AA142</f>
        <v>1321</v>
      </c>
      <c r="V142" s="79" t="str">
        <f>IF(ISERROR((U142/M142-1)*100),"NA",IF(((U142/M142-1)*100)&gt;100,"NM",IF(((U142/M142-1)*100)&lt;-50,"NM",(U142/M142-1)*100)))</f>
        <v>NA</v>
      </c>
      <c r="W142" s="129">
        <v>1349.6</v>
      </c>
      <c r="X142" s="79" t="str">
        <f>IF(ISERROR((W142/O142-1)*100),"NA",IF(((W142/O142-1)*100)&gt;100,"NM",IF(((W142/O142-1)*100)&lt;-50,"NM",(W142/O142-1)*100)))</f>
        <v>NA</v>
      </c>
      <c r="Y142" s="129">
        <v>1356.3</v>
      </c>
      <c r="Z142" s="79" t="str">
        <f>IF(ISERROR((Y142/Q142-1)*100),"NA",IF(((Y142/Q142-1)*100)&gt;100,"NM",IF(((Y142/Q142-1)*100)&lt;-50,"NM",(Y142/Q142-1)*100)))</f>
        <v>NA</v>
      </c>
      <c r="AA142" s="130">
        <v>1355.5</v>
      </c>
      <c r="AB142" s="79" t="str">
        <f>IF(ISERROR((AA142/S142-1)*100),"NA",IF(((AA142/S142-1)*100)&gt;100,"NM",IF(((AA142/S142-1)*100)&lt;-50,"NM",(AA142/S142-1)*100)))</f>
        <v>NA</v>
      </c>
      <c r="AC142" s="74">
        <f>AC39+AC75+AC107</f>
        <v>1364.3999999999999</v>
      </c>
      <c r="AD142" s="79">
        <f>IF(ISERROR((AC142/U142-1)*100),"NA",IF(((AC142/U142-1)*100)&gt;100,"NM",IF(((AC142/U142-1)*100)&lt;-50,"NM",(AC142/U142-1)*100)))</f>
        <v>3.2853898561695516</v>
      </c>
      <c r="AE142" s="74">
        <f>AE39+AE75+AE107</f>
        <v>1359.5</v>
      </c>
      <c r="AF142" s="79">
        <f>IF(ISERROR((AE142/W142-1)*100),"NA",IF(((AE142/W142-1)*100)&gt;100,"NM",IF(((AE142/W142-1)*100)&lt;-50,"NM",(AE142/W142-1)*100)))</f>
        <v>0.73355068168345916</v>
      </c>
      <c r="AG142" s="74">
        <f>AG39+AG75+AG107</f>
        <v>1348.4</v>
      </c>
      <c r="AH142" s="79">
        <f>IF(ISERROR((AG142/Y142-1)*100),"NA",IF(((AG142/Y142-1)*100)&gt;100,"NM",IF(((AG142/Y142-1)*100)&lt;-50,"NM",(AG142/Y142-1)*100)))</f>
        <v>-0.5824670058246606</v>
      </c>
      <c r="AI142" s="74">
        <f>AI39+AI75+AI107</f>
        <v>1349.3</v>
      </c>
      <c r="AJ142" s="79">
        <f>IF(ISERROR((AI142/AA142-1)*100),"NA",IF(((AI142/AA142-1)*100)&gt;100,"NM",IF(((AI142/AA142-1)*100)&lt;-50,"NM",(AI142/AA142-1)*100)))</f>
        <v>-0.45739579490963189</v>
      </c>
      <c r="AK142" s="74">
        <f>AK39+AK75+AK107</f>
        <v>1309.2000000000003</v>
      </c>
      <c r="AL142" s="79">
        <f>IF(ISERROR((AK142/AC142-1)*100),"NA",IF(((AK142/AC142-1)*100)&gt;100,"NM",IF(((AK142/AC142-1)*100)&lt;-50,"NM",(AK142/AC142-1)*100)))</f>
        <v>-4.0457343887422725</v>
      </c>
      <c r="AM142" s="74">
        <f>AM39+AM75+AM107</f>
        <v>1317.3</v>
      </c>
      <c r="AN142" s="79">
        <f>IF(ISERROR((AM142/AE142-1)*100),"NA",IF(((AM142/AE142-1)*100)&gt;100,"NM",IF(((AM142/AE142-1)*100)&lt;-50,"NM",(AM142/AE142-1)*100)))</f>
        <v>-3.1040823832291342</v>
      </c>
      <c r="AO142" s="74">
        <f>AO39+AO75+AO107</f>
        <v>1293.5</v>
      </c>
      <c r="AP142" s="79">
        <f>IF(ISERROR((AO142/AG142-1)*100),"NA",IF(((AO142/AG142-1)*100)&gt;100,"NM",IF(((AO142/AG142-1)*100)&lt;-50,"NM",(AO142/AG142-1)*100)))</f>
        <v>-4.0714921388312124</v>
      </c>
      <c r="AQ142" s="74">
        <f>AQ39+AQ75+AQ107</f>
        <v>1309</v>
      </c>
      <c r="AR142" s="79">
        <f>IF(ISERROR((AQ142/AI142-1)*100),"NA",IF(((AQ142/AI142-1)*100)&gt;100,"NM",IF(((AQ142/AI142-1)*100)&lt;-50,"NM",(AQ142/AI142-1)*100)))</f>
        <v>-2.9867338620025219</v>
      </c>
      <c r="AS142" s="74">
        <f>AS39+AS75+AS107</f>
        <v>1303.8</v>
      </c>
      <c r="AT142" s="81">
        <f>IF(ISERROR((AS142/AK142-1)*100),"NA",IF(((AS142/AK142-1)*100)&gt;100,"NM",IF(((AS142/AK142-1)*100)&lt;-50,"NM",(AS142/AK142-1)*100)))</f>
        <v>-0.4124656278643668</v>
      </c>
      <c r="AU142" s="74">
        <f>AU39+AU75+AU107</f>
        <v>1311.6</v>
      </c>
      <c r="AV142" s="81">
        <f>IF(ISERROR((AU142/AM142-1)*100),"NA",IF(((AU142/AM142-1)*100)&gt;100,"NM",IF(((AU142/AM142-1)*100)&lt;-50,"NM",(AU142/AM142-1)*100)))</f>
        <v>-0.43270325666135978</v>
      </c>
      <c r="AW142" s="74">
        <f>AW39+AW75+AW107</f>
        <v>1278.6000000000001</v>
      </c>
      <c r="AX142" s="81">
        <f>IF(ISERROR((AW142/AO142-1)*100),"NA",IF(((AW142/AO142-1)*100)&gt;100,"NM",IF(((AW142/AO142-1)*100)&lt;-50,"NM",(AW142/AO142-1)*100)))</f>
        <v>-1.1519134132199405</v>
      </c>
      <c r="AY142" s="74">
        <f>AY39+AY75+AY107</f>
        <v>1302</v>
      </c>
      <c r="AZ142" s="81">
        <f>IF(ISERROR((AY142/AQ142-1)*100),"NA",IF(((AY142/AQ142-1)*100)&gt;100,"NM",IF(((AY142/AQ142-1)*100)&lt;-50,"NM",(AY142/AQ142-1)*100)))</f>
        <v>-0.53475935828877219</v>
      </c>
      <c r="BA142" s="74">
        <f>BA39+BA75+BA107</f>
        <v>1244.9000000000001</v>
      </c>
      <c r="BB142" s="81">
        <f>IF(ISERROR((BA142/AS142-1)*100),"NA",IF(((BA142/AS142-1)*100)&gt;100,"NM",IF(((BA142/AS142-1)*100)&lt;-50,"NM",(BA142/AS142-1)*100)))</f>
        <v>-4.5175640435649589</v>
      </c>
      <c r="BC142" s="74">
        <f>BC39+BC75+BC107</f>
        <v>1265.7</v>
      </c>
      <c r="BD142" s="81">
        <f>IF(ISERROR((BC142/AU142-1)*100),"NA",IF(((BC142/AU142-1)*100)&gt;100,"NM",IF(((BC142/AU142-1)*100)&lt;-50,"NM",(BC142/AU142-1)*100)))</f>
        <v>-3.499542543458356</v>
      </c>
      <c r="BE142" s="74">
        <f>BE39+BE75+BE107</f>
        <v>1255.3</v>
      </c>
      <c r="BF142" s="81">
        <f>IF(ISERROR((BE142/AW142-1)*100),"NA",IF(((BE142/AW142-1)*100)&gt;100,"NM",IF(((BE142/AW142-1)*100)&lt;-50,"NM",(BE142/AW142-1)*100)))</f>
        <v>-1.8223056468012033</v>
      </c>
      <c r="BG142" s="74">
        <f>BG39+BG75+BG107</f>
        <v>1248.0999999999999</v>
      </c>
      <c r="BH142" s="81">
        <f>IF(ISERROR((BG142/AY142-1)*100),"NA",IF(((BG142/AY142-1)*100)&gt;100,"NM",IF(((BG142/AY142-1)*100)&lt;-50,"NM",(BG142/AY142-1)*100)))</f>
        <v>-4.1397849462365688</v>
      </c>
      <c r="BI142" s="74">
        <f>BI39+BI75+BI107</f>
        <v>1230.4000000000001</v>
      </c>
      <c r="BJ142" s="81">
        <f>IF(ISERROR((BI142/BA142-1)*100),"NA",IF(((BI142/BA142-1)*100)&gt;100,"NM",IF(((BI142/BA142-1)*100)&lt;-50,"NM",(BI142/BA142-1)*100)))</f>
        <v>-1.1647521889308399</v>
      </c>
      <c r="BK142" s="74">
        <f>BK39+BK75+BK107</f>
        <v>1246.9000000000001</v>
      </c>
      <c r="BL142" s="81">
        <f>IF(ISERROR((BK142/BC142-1)*100),"NA",IF(((BK142/BC142-1)*100)&gt;100,"NM",IF(((BK142/BC142-1)*100)&lt;-50,"NM",(BK142/BC142-1)*100)))</f>
        <v>-1.4853440783755945</v>
      </c>
      <c r="BM142" s="74">
        <f>BM39+BM75+BM107</f>
        <v>1239.0999999999999</v>
      </c>
      <c r="BN142" s="81">
        <f>IF(ISERROR((BM142/BE142-1)*100),"NA",IF(((BM142/BE142-1)*100)&gt;100,"NM",IF(((BM142/BE142-1)*100)&lt;-50,"NM",(BM142/BE142-1)*100)))</f>
        <v>-1.2905281605990582</v>
      </c>
      <c r="BO142" s="74">
        <f>BO39+BO75+BO107</f>
        <v>1246.6000000000001</v>
      </c>
      <c r="BP142" s="81">
        <f>IF(ISERROR((BO142/BG142-1)*100),"NA",IF(((BO142/BG142-1)*100)&gt;100,"NM",IF(((BO142/BG142-1)*100)&lt;-50,"NM",(BO142/BG142-1)*100)))</f>
        <v>-0.12018267767004431</v>
      </c>
      <c r="BQ142" s="74">
        <f>BQ39+BQ75+BQ107</f>
        <v>1226.3000000000002</v>
      </c>
      <c r="BR142" s="81">
        <f>IF(ISERROR((BQ142/BI142-1)*100),"NA",IF(((BQ142/BI142-1)*100)&gt;100,"NM",IF(((BQ142/BI142-1)*100)&lt;-50,"NM",(BQ142/BI142-1)*100)))</f>
        <v>-0.33322496749024211</v>
      </c>
      <c r="BS142" s="74">
        <f>BS39+BS75+BS107</f>
        <v>1223.6999999999998</v>
      </c>
      <c r="BT142" s="81">
        <f>IF(ISERROR((BS142/BK142-1)*100),"NA",IF(((BS142/BK142-1)*100)&gt;100,"NM",IF(((BS142/BK142-1)*100)&lt;-50,"NM",(BS142/BK142-1)*100)))</f>
        <v>-1.8606143235223582</v>
      </c>
      <c r="BU142" s="74">
        <f>BU39+BU75+BU107</f>
        <v>1215.1999999999998</v>
      </c>
      <c r="BV142" s="81">
        <f>IF(ISERROR((BU142/BM142-1)*100),"NA",IF(((BU142/BM142-1)*100)&gt;100,"NM",IF(((BU142/BM142-1)*100)&lt;-50,"NM",(BU142/BM142-1)*100)))</f>
        <v>-1.9288193043337953</v>
      </c>
      <c r="BW142" s="74">
        <f>BW39+BW75+BW107</f>
        <v>1207.9000000000001</v>
      </c>
      <c r="BX142" s="81">
        <f>IF(ISERROR((BW142/BO142-1)*100),"NA",IF(((BW142/BO142-1)*100)&gt;100,"NM",IF(((BW142/BO142-1)*100)&lt;-50,"NM",(BW142/BO142-1)*100)))</f>
        <v>-3.1044440879191448</v>
      </c>
      <c r="BY142" s="74">
        <f>BY39+BY75+BY107</f>
        <v>1066.9000000000001</v>
      </c>
      <c r="BZ142" s="81">
        <f>IF(ISERROR((BY142/BQ142-1)*100),"NA",IF(((BY142/BQ142-1)*100)&gt;100,"NM",IF(((BY142/BQ142-1)*100)&lt;-50,"NM",(BY142/BQ142-1)*100)))</f>
        <v>-12.998450623827784</v>
      </c>
      <c r="CA142" s="74">
        <f>CA39+CA75+CA107</f>
        <v>1067</v>
      </c>
      <c r="CB142" s="81">
        <f>IF(ISERROR((CA142/BS142-1)*100),"NA",IF(((CA142/BS142-1)*100)&gt;100,"NM",IF(((CA142/BS142-1)*100)&lt;-50,"NM",(CA142/BS142-1)*100)))</f>
        <v>-12.805426166544077</v>
      </c>
      <c r="CC142" s="74">
        <f>CC39+CC75+CC107</f>
        <v>1061.2</v>
      </c>
      <c r="CD142" s="81">
        <f>IF(ISERROR((CC142/BU142-1)*100),"NA",IF(((CC142/BU142-1)*100)&gt;100,"NM",IF(((CC142/BU142-1)*100)&lt;-50,"NM",(CC142/BU142-1)*100)))</f>
        <v>-12.672811059907819</v>
      </c>
      <c r="CE142" s="74">
        <f>CE39+CE75+CE107</f>
        <v>1060.3000000000002</v>
      </c>
      <c r="CF142" s="81">
        <f>IF(ISERROR((CE142/BW142-1)*100),"NA",IF(((CE142/BW142-1)*100)&gt;100,"NM",IF(((CE142/BW142-1)*100)&lt;-50,"NM",(CE142/BW142-1)*100)))</f>
        <v>-12.219554598890625</v>
      </c>
      <c r="CG142" s="74">
        <f>CG39+CG75+CG107</f>
        <v>1068.8</v>
      </c>
      <c r="CH142" s="81">
        <f>IF(ISERROR((CG142/BY142-1)*100),"NA",IF(((CG142/BY142-1)*100)&gt;100,"NM",IF(((CG142/BY142-1)*100)&lt;-50,"NM",(CG142/BY142-1)*100)))</f>
        <v>0.17808604367792746</v>
      </c>
      <c r="CI142" s="74">
        <f>CI39+CI75+CI107</f>
        <v>1069.8</v>
      </c>
      <c r="CJ142" s="81">
        <f>IF(ISERROR((CI142/CA142-1)*100),"NA",IF(((CI142/CA142-1)*100)&gt;100,"NM",IF(((CI142/CA142-1)*100)&lt;-50,"NM",(CI142/CA142-1)*100)))</f>
        <v>0.26241799437676239</v>
      </c>
      <c r="CK142" s="74">
        <f>CK39+CK75+CK107</f>
        <v>1074.4000000000001</v>
      </c>
      <c r="CL142" s="81">
        <f>IF(ISERROR((CK142/CC142-1)*100),"NA",IF(((CK142/CC142-1)*100)&gt;100,"NM",IF(((CK142/CC142-1)*100)&lt;-50,"NM",(CK142/CC142-1)*100)))</f>
        <v>1.2438748586505843</v>
      </c>
      <c r="CM142" s="74">
        <f>CM39+CM75+CM107</f>
        <v>1083</v>
      </c>
      <c r="CN142" s="81">
        <f>IF(ISERROR((CM142/CE142-1)*100),"NA",IF(((CM142/CE142-1)*100)&gt;100,"NM",IF(((CM142/CE142-1)*100)&lt;-50,"NM",(CM142/CE142-1)*100)))</f>
        <v>2.1409035178722835</v>
      </c>
      <c r="CO142" s="74">
        <f>CO39+CO75+CO107</f>
        <v>1112</v>
      </c>
      <c r="CP142" s="81">
        <f>IF(ISERROR((CO142/CG142-1)*100),"NA",IF(((CO142/CG142-1)*100)&gt;100,"NM",IF(((CO142/CG142-1)*100)&lt;-50,"NM",(CO142/CG142-1)*100)))</f>
        <v>4.041916167664672</v>
      </c>
      <c r="CQ142" s="74">
        <f>CQ39+CQ75+CQ107</f>
        <v>1115</v>
      </c>
      <c r="CR142" s="81">
        <f>IF(ISERROR((CQ142/CI142-1)*100),"NA",IF(((CQ142/CI142-1)*100)&gt;100,"NM",IF(((CQ142/CI142-1)*100)&lt;-50,"NM",(CQ142/CI142-1)*100)))</f>
        <v>4.2250888016451826</v>
      </c>
      <c r="CS142" s="74">
        <f>CS39+CS75+CS107</f>
        <v>1111.9000000000001</v>
      </c>
      <c r="CT142" s="81">
        <f>IF(ISERROR((CS142/CK142-1)*100),"NA",IF(((CS142/CK142-1)*100)&gt;100,"NM",IF(((CS142/CK142-1)*100)&lt;-50,"NM",(CS142/CK142-1)*100)))</f>
        <v>3.4903201787043869</v>
      </c>
      <c r="CU142" s="74">
        <f>CU39+CU75+CU107</f>
        <v>1117.5999999999999</v>
      </c>
      <c r="CV142" s="81">
        <f>IF(ISERROR((CU142/CM142-1)*100),"NA",IF(((CU142/CM142-1)*100)&gt;100,"NM",IF(((CU142/CM142-1)*100)&lt;-50,"NM",(CU142/CM142-1)*100)))</f>
        <v>3.1948291782086802</v>
      </c>
      <c r="CW142" s="74">
        <f>CW39+CW75+CW107</f>
        <v>1139.7</v>
      </c>
      <c r="CX142" s="81">
        <f>IF(ISERROR((CW142/CO142-1)*100),"NA",IF(((CW142/CO142-1)*100)&gt;100,"NM",IF(((CW142/CO142-1)*100)&lt;-50,"NM",(CW142/CO142-1)*100)))</f>
        <v>2.4910071942445988</v>
      </c>
      <c r="CY142" s="74">
        <f>CY39+CY75+CY107</f>
        <v>1131.5</v>
      </c>
      <c r="CZ142" s="81">
        <f>IF(ISERROR((CY142/CQ142-1)*100),"NA",IF(((CY142/CQ142-1)*100)&gt;100,"NM",IF(((CY142/CQ142-1)*100)&lt;-50,"NM",(CY142/CQ142-1)*100)))</f>
        <v>1.4798206278026971</v>
      </c>
      <c r="DA142" s="74">
        <f>DA39+DA75+DA107</f>
        <v>1124.5999999999999</v>
      </c>
      <c r="DB142" s="81">
        <f>IF(ISERROR((DA142/CS142-1)*100),"NA",IF(((DA142/CS142-1)*100)&gt;100,"NM",IF(((DA142/CS142-1)*100)&lt;-50,"NM",(DA142/CS142-1)*100)))</f>
        <v>1.1421890457774753</v>
      </c>
      <c r="DC142" s="74">
        <f>DC39+DC75+DC107</f>
        <v>1121.3</v>
      </c>
      <c r="DD142" s="81">
        <f>IF(ISERROR((DC142/CU142-1)*100),"NA",IF(((DC142/CU142-1)*100)&gt;100,"NM",IF(((DC142/CU142-1)*100)&lt;-50,"NM",(DC142/CU142-1)*100)))</f>
        <v>0.33106657122405903</v>
      </c>
      <c r="DE142" s="74">
        <f>DE39+DE75+DE107</f>
        <v>1152.5</v>
      </c>
      <c r="DF142" s="81">
        <f>IF(ISERROR((DE142/CW142-1)*100),"NA",IF(((DE142/CW142-1)*100)&gt;100,"NM",IF(((DE142/CW142-1)*100)&lt;-50,"NM",(DE142/CW142-1)*100)))</f>
        <v>1.1231025708519748</v>
      </c>
      <c r="DG142" s="74">
        <f>DG39+DG75+DG107</f>
        <v>1157.6999999999998</v>
      </c>
      <c r="DH142" s="81">
        <f>IF(ISERROR((DG142/CY142-1)*100),"NA",IF(((DG142/CY142-1)*100)&gt;100,"NM",IF(((DG142/CY142-1)*100)&lt;-50,"NM",(DG142/CY142-1)*100)))</f>
        <v>2.3155103844454183</v>
      </c>
      <c r="DI142" s="74">
        <f>DI39+DI75+DI107</f>
        <v>1162.6999999999998</v>
      </c>
      <c r="DJ142" s="81">
        <f>IF(ISERROR((DI142/DA142-1)*100),"NA",IF(((DI142/DA142-1)*100)&gt;100,"NM",IF(((DI142/DA142-1)*100)&lt;-50,"NM",(DI142/DA142-1)*100)))</f>
        <v>3.3878712431086422</v>
      </c>
      <c r="DK142" s="74">
        <f>DK39+DK75+DK107</f>
        <v>1186.8</v>
      </c>
      <c r="DL142" s="81">
        <f>IF(ISERROR((DK142/DC142-1)*100),"NA",IF(((DK142/DC142-1)*100)&gt;100,"NM",IF(((DK142/DC142-1)*100)&lt;-50,"NM",(DK142/DC142-1)*100)))</f>
        <v>5.8414340497636719</v>
      </c>
      <c r="DM142" s="74">
        <f>DM39+DM75+DM107</f>
        <v>1230.2</v>
      </c>
      <c r="DN142" s="81">
        <f>IF(ISERROR((DM142/DE142-1)*100),"NA",IF(((DM142/DE142-1)*100)&gt;100,"NM",IF(((DM142/DE142-1)*100)&lt;-50,"NM",(DM142/DE142-1)*100)))</f>
        <v>6.7418655097613911</v>
      </c>
      <c r="DO142" s="74">
        <f>DO39+DO75+DO107</f>
        <v>1236.4000000000001</v>
      </c>
      <c r="DP142" s="81">
        <f>IF(ISERROR((DO142/DG142-1)*100),"NA",IF(((DO142/DG142-1)*100)&gt;100,"NM",IF(((DO142/DG142-1)*100)&lt;-50,"NM",(DO142/DG142-1)*100)))</f>
        <v>6.7979614753390649</v>
      </c>
      <c r="DQ142" s="74">
        <f>DQ39+DQ75+DQ107</f>
        <v>1241.8</v>
      </c>
      <c r="DR142" s="81">
        <f>IF(ISERROR((DQ142/DI142-1)*100),"NA",IF(((DQ142/DI142-1)*100)&gt;100,"NM",IF(((DQ142/DI142-1)*100)&lt;-50,"NM",(DQ142/DI142-1)*100)))</f>
        <v>6.8031306441902695</v>
      </c>
      <c r="DS142" s="74">
        <f>DS39+DS75+DS107</f>
        <v>1251.5999999999999</v>
      </c>
      <c r="DT142" s="81">
        <f>IF(ISERROR((DS142/DK142-1)*100),"NA",IF(((DS142/DK142-1)*100)&gt;100,"NM",IF(((DS142/DK142-1)*100)&lt;-50,"NM",(DS142/DK142-1)*100)))</f>
        <v>5.4600606673407492</v>
      </c>
      <c r="DU142" s="74">
        <f>DU39+DU75+DU107</f>
        <v>1301.3000000000002</v>
      </c>
      <c r="DV142" s="81">
        <f>IF(ISERROR((DU142/DM142-1)*100),"NA",IF(((DU142/DM142-1)*100)&gt;100,"NM",IF(((DU142/DM142-1)*100)&lt;-50,"NM",(DU142/DM142-1)*100)))</f>
        <v>5.7795480409689626</v>
      </c>
      <c r="DW142" s="74">
        <f>DW39+DW75+DW107</f>
        <v>1299.4000000000001</v>
      </c>
      <c r="DX142" s="81">
        <f>IF(ISERROR((DW142/DO142-1)*100),"NA",IF(((DW142/DO142-1)*100)&gt;100,"NM",IF(((DW142/DO142-1)*100)&lt;-50,"NM",(DW142/DO142-1)*100)))</f>
        <v>5.095438369459715</v>
      </c>
      <c r="DY142" s="74">
        <f>DY39+DY75+DY107</f>
        <v>1315</v>
      </c>
      <c r="DZ142" s="81">
        <f>IF(ISERROR((DY142/DQ142-1)*100),"NA",IF(((DY142/DQ142-1)*100)&gt;100,"NM",IF(((DY142/DQ142-1)*100)&lt;-50,"NM",(DY142/DQ142-1)*100)))</f>
        <v>5.8946690288291137</v>
      </c>
      <c r="EA142" s="74">
        <f>EA39+EA75+EA107</f>
        <v>1325.1999999999998</v>
      </c>
      <c r="EB142" s="81">
        <f>IF(ISERROR((EA142/DS142-1)*100),"NA",IF(((EA142/DS142-1)*100)&gt;100,"NM",IF(((EA142/DS142-1)*100)&lt;-50,"NM",(EA142/DS142-1)*100)))</f>
        <v>5.8804729945669543</v>
      </c>
      <c r="EC142" s="74">
        <f>EC39+EC75+EC107</f>
        <v>1360.3999999999999</v>
      </c>
      <c r="ED142" s="81">
        <f t="shared" ref="ED142:ED145" si="489">IF(ISERROR((EC142/DU142-1)*100),"NA",IF(((EC142/DU142-1)*100)&gt;100,"NM",IF(((EC142/DU142-1)*100)&lt;-50,"NM",(EC142/DU142-1)*100)))</f>
        <v>4.5416122339199116</v>
      </c>
      <c r="EE142" s="74">
        <f>EE39+EE75+EE107</f>
        <v>1357.7</v>
      </c>
      <c r="EF142" s="81">
        <f t="shared" ref="EF142:EF145" si="490">IF(ISERROR((EE142/DW142-1)*100),"NA",IF(((EE142/DW142-1)*100)&gt;100,"NM",IF(((EE142/DW142-1)*100)&lt;-50,"NM",(EE142/DW142-1)*100)))</f>
        <v>4.4866861628443777</v>
      </c>
      <c r="EG142" s="74">
        <f>EG39+EG75+EG107</f>
        <v>1360.9</v>
      </c>
      <c r="EH142" s="81">
        <f t="shared" ref="EH142:EH145" si="491">IF(ISERROR((EG142/DY142-1)*100),"NA",IF(((EG142/DY142-1)*100)&gt;100,"NM",IF(((EG142/DY142-1)*100)&lt;-50,"NM",(EG142/DY142-1)*100)))</f>
        <v>3.4904942965779506</v>
      </c>
      <c r="EI142" s="74">
        <f>EI39+EI75+EI107</f>
        <v>1364.5</v>
      </c>
      <c r="EJ142" s="81">
        <f t="shared" ref="EJ142:EJ145" si="492">IF(ISERROR((EI142/EA142-1)*100),"NA",IF(((EI142/EA142-1)*100)&gt;100,"NM",IF(((EI142/EA142-1)*100)&lt;-50,"NM",(EI142/EA142-1)*100)))</f>
        <v>2.9655900996076179</v>
      </c>
      <c r="EK142" s="74">
        <f t="shared" ref="EK142:EQ142" si="493">EK39+EK75+EK107</f>
        <v>1412.8960849999999</v>
      </c>
      <c r="EL142" s="81">
        <f t="shared" ref="EL142:EL145" si="494">IF(ISERROR((EK142/EC142-1)*100),"NA",IF(((EK142/EC142-1)*100)&gt;100,"NM",IF(((EK142/EC142-1)*100)&lt;-50,"NM",(EK142/EC142-1)*100)))</f>
        <v>3.8588712878565135</v>
      </c>
      <c r="EM142" s="74">
        <f t="shared" si="493"/>
        <v>1418.6678493995</v>
      </c>
      <c r="EN142" s="81">
        <f t="shared" ref="EN142:EN145" si="495">IF(ISERROR((EM142/EE142-1)*100),"NA",IF(((EM142/EE142-1)*100)&gt;100,"NM",IF(((EM142/EE142-1)*100)&lt;-50,"NM",(EM142/EE142-1)*100)))</f>
        <v>4.4905243720630539</v>
      </c>
      <c r="EO142" s="74">
        <f t="shared" si="493"/>
        <v>1430.3020488683756</v>
      </c>
      <c r="EP142" s="81">
        <f t="shared" ref="EP142:EP145" si="496">IF(ISERROR((EO142/EG142-1)*100),"NA",IF(((EO142/EG142-1)*100)&gt;100,"NM",IF(((EO142/EG142-1)*100)&lt;-50,"NM",(EO142/EG142-1)*100)))</f>
        <v>5.0997170158259664</v>
      </c>
      <c r="EQ142" s="74">
        <f t="shared" si="493"/>
        <v>1430.1489634755285</v>
      </c>
      <c r="ER142" s="81">
        <f t="shared" ref="ER142:ER145" si="497">IF(ISERROR((EQ142/EI142-1)*100),"NA",IF(((EQ142/EI142-1)*100)&gt;100,"NM",IF(((EQ142/EI142-1)*100)&lt;-50,"NM",(EQ142/EI142-1)*100)))</f>
        <v>4.8112102217316544</v>
      </c>
      <c r="ES142" s="82"/>
      <c r="ET142" s="469"/>
      <c r="EU142" s="82"/>
      <c r="EV142" s="171"/>
      <c r="EW142" s="79"/>
      <c r="EX142" s="171"/>
      <c r="EY142" s="79"/>
      <c r="EZ142" s="171"/>
      <c r="FA142" s="79"/>
      <c r="FB142" s="217"/>
      <c r="FC142" s="79"/>
      <c r="FD142" s="74">
        <f>FD39+FD75+FD107</f>
        <v>5056.7000000000007</v>
      </c>
      <c r="FE142" s="79" t="str">
        <f>IF(ISERROR((FD142/FB142-1)*100),"NA",IF(((FD142/FB142-1)*100)&gt;100,"NM",IF(((FD142/FB142-1)*100)&lt;-50,"NM",(FD142/FB142-1)*100)))</f>
        <v>NA</v>
      </c>
      <c r="FF142" s="74">
        <f>FF39+FF75+FF107</f>
        <v>5382.4</v>
      </c>
      <c r="FG142" s="79">
        <f>IF(ISERROR((FF142/FD142-1)*100),"NA",IF(((FF142/FD142-1)*100)&gt;100,"NM",IF(((FF142/FD142-1)*100)&lt;-50,"NM",(FF142/FD142-1)*100)))</f>
        <v>6.4409595190539015</v>
      </c>
      <c r="FH142" s="74">
        <f>FH39+FH75+FH107</f>
        <v>5421.6</v>
      </c>
      <c r="FI142" s="79">
        <f>IF(ISERROR((FH142/FF142-1)*100),"NA",IF(((FH142/FF142-1)*100)&gt;100,"NM",IF(((FH142/FF142-1)*100)&lt;-50,"NM",(FH142/FF142-1)*100)))</f>
        <v>0.72829964328182673</v>
      </c>
      <c r="FJ142" s="74">
        <f>FJ39+FJ75+FJ107</f>
        <v>5229</v>
      </c>
      <c r="FK142" s="79">
        <f>IF(ISERROR((FJ142/FH142-1)*100),"NA",IF(((FJ142/FH142-1)*100)&gt;100,"NM",IF(((FJ142/FH142-1)*100)&lt;-50,"NM",(FJ142/FH142-1)*100)))</f>
        <v>-3.5524568393094369</v>
      </c>
      <c r="FL142" s="74">
        <f>FL39+FL75+FL107</f>
        <v>5196</v>
      </c>
      <c r="FM142" s="79">
        <f>IF(ISERROR((FL142/FJ142-1)*100),"NA",IF(((FL142/FJ142-1)*100)&gt;100,"NM",IF(((FL142/FJ142-1)*100)&lt;-50,"NM",(FL142/FJ142-1)*100)))</f>
        <v>-0.63109581181870489</v>
      </c>
      <c r="FN142" s="74">
        <f>FN39+FN75+FN107</f>
        <v>5014</v>
      </c>
      <c r="FO142" s="79">
        <f>IF(ISERROR((FN142/FL142-1)*100),"NA",IF(((FN142/FL142-1)*100)&gt;100,"NM",IF(((FN142/FL142-1)*100)&lt;-50,"NM",(FN142/FL142-1)*100)))</f>
        <v>-3.502694380292537</v>
      </c>
      <c r="FP142" s="74">
        <f>FP39+FP75+FP107</f>
        <v>4963</v>
      </c>
      <c r="FQ142" s="79">
        <f>IF(ISERROR((FP142/FN142-1)*100),"NA",IF(((FP142/FN142-1)*100)&gt;100,"NM",IF(((FP142/FN142-1)*100)&lt;-50,"NM",(FP142/FN142-1)*100)))</f>
        <v>-1.0171519744714752</v>
      </c>
      <c r="FR142" s="74">
        <f>FR39+FR75+FR107</f>
        <v>4278.3999999999996</v>
      </c>
      <c r="FS142" s="79">
        <f>IF(ISERROR((FR142/FP142-1)*100),"NA",IF(((FR142/FP142-1)*100)&gt;100,"NM",IF(((FR142/FP142-1)*100)&lt;-50,"NM",(FR142/FP142-1)*100)))</f>
        <v>-13.794076163610725</v>
      </c>
      <c r="FT142" s="74">
        <f>FT39+FT75+FT107</f>
        <v>4255.4000000000005</v>
      </c>
      <c r="FU142" s="79">
        <f>IF(ISERROR((FT142/FR142-1)*100),"NA",IF(((FT142/FR142-1)*100)&gt;100,"NM",IF(((FT142/FR142-1)*100)&lt;-50,"NM",(FT142/FR142-1)*100)))</f>
        <v>-0.53758414360506324</v>
      </c>
      <c r="FV142" s="74">
        <f>FV39+FV75+FV107</f>
        <v>4296</v>
      </c>
      <c r="FW142" s="79">
        <f>IF(ISERROR((FV142/FT142-1)*100),"NA",IF(((FV142/FT142-1)*100)&gt;100,"NM",IF(((FV142/FT142-1)*100)&lt;-50,"NM",(FV142/FT142-1)*100)))</f>
        <v>0.95408187244441223</v>
      </c>
      <c r="FX142" s="74">
        <f>FX39+FX75+FX107</f>
        <v>4456.5</v>
      </c>
      <c r="FY142" s="79">
        <f>IF(ISERROR((FX142/FV142-1)*100),"NA",IF(((FX142/FV142-1)*100)&gt;100,"NM",IF(((FX142/FV142-1)*100)&lt;-50,"NM",(FX142/FV142-1)*100)))</f>
        <v>3.7360335195530725</v>
      </c>
      <c r="FZ142" s="74">
        <f>FZ39+FZ75+FZ107</f>
        <v>4517.1000000000004</v>
      </c>
      <c r="GA142" s="79">
        <f>IF(ISERROR((FZ142/FX142-1)*100),"NA",IF(((FZ142/FX142-1)*100)&gt;100,"NM",IF(((FZ142/FX142-1)*100)&lt;-50,"NM",(FZ142/FX142-1)*100)))</f>
        <v>1.3598115112756659</v>
      </c>
      <c r="GB142" s="74">
        <f>GB39+GB75+GB107</f>
        <v>4659.7</v>
      </c>
      <c r="GC142" s="79">
        <f>IF(ISERROR((GB142/FZ142-1)*100),"NA",IF(((GB142/FZ142-1)*100)&gt;100,"NM",IF(((GB142/FZ142-1)*100)&lt;-50,"NM",(GB142/FZ142-1)*100)))</f>
        <v>3.1568926966416333</v>
      </c>
      <c r="GD142" s="74">
        <f>GD39+GD75+GD107</f>
        <v>4960</v>
      </c>
      <c r="GE142" s="79">
        <f>IF(ISERROR((GD142/GB142-1)*100),"NA",IF(((GD142/GB142-1)*100)&gt;100,"NM",IF(((GD142/GB142-1)*100)&lt;-50,"NM",(GD142/GB142-1)*100)))</f>
        <v>6.4446208983411024</v>
      </c>
      <c r="GF142" s="74">
        <f>GF39+GF75+GF107</f>
        <v>5240.9000000000005</v>
      </c>
      <c r="GG142" s="79">
        <f>IF(ISERROR((GF142/GD142-1)*100),"NA",IF(((GF142/GD142-1)*100)&gt;100,"NM",IF(((GF142/GD142-1)*100)&lt;-50,"NM",(GF142/GD142-1)*100)))</f>
        <v>5.6633064516129039</v>
      </c>
      <c r="GH142" s="74">
        <f>GH39+GH75+GH107</f>
        <v>5443.5</v>
      </c>
      <c r="GI142" s="79">
        <f>IF(ISERROR((GH142/GF142-1)*100),"NA",IF(((GH142/GF142-1)*100)&gt;100,"NM",IF(((GH142/GF142-1)*100)&lt;-50,"NM",(GH142/GF142-1)*100)))</f>
        <v>3.8657482493464679</v>
      </c>
      <c r="GJ142" s="74">
        <f>GJ39+GJ75+GJ107</f>
        <v>5692.0149467434039</v>
      </c>
      <c r="GK142" s="79">
        <f>IF(ISERROR((GJ142/GH142-1)*100),"NA",IF(((GJ142/GH142-1)*100)&gt;100,"NM",IF(((GJ142/GH142-1)*100)&lt;-50,"NM",(GJ142/GH142-1)*100)))</f>
        <v>4.5653521951575904</v>
      </c>
      <c r="GL142" s="74">
        <f>GL39+GL75+GL107</f>
        <v>5915.4077917776403</v>
      </c>
      <c r="GM142" s="79">
        <f>IF(ISERROR((GL142/GJ142-1)*100),"NA",IF(((GL142/GJ142-1)*100)&gt;100,"NM",IF(((GL142/GJ142-1)*100)&lt;-50,"NM",(GL142/GJ142-1)*100)))</f>
        <v>3.9246707382953661</v>
      </c>
      <c r="GN142" s="74">
        <f>GN39+GN75+GN107</f>
        <v>6151.4292969964536</v>
      </c>
      <c r="GO142" s="79">
        <f>IF(ISERROR((GN142/GL142-1)*100),"NA",IF(((GN142/GL142-1)*100)&gt;100,"NM",IF(((GN142/GL142-1)*100)&lt;-50,"NM",(GN142/GL142-1)*100)))</f>
        <v>3.9899447937787214</v>
      </c>
      <c r="GP142" s="74">
        <f>GP39+GP75+GP107</f>
        <v>6400.357148873296</v>
      </c>
      <c r="GQ142" s="79">
        <f>IF(ISERROR((GP142/GN142-1)*100),"NA",IF(((GP142/GN142-1)*100)&gt;100,"NM",IF(((GP142/GN142-1)*100)&lt;-50,"NM",(GP142/GN142-1)*100)))</f>
        <v>4.0466668778650572</v>
      </c>
      <c r="GR142" s="74">
        <f>GR39+GR75+GR107</f>
        <v>6662.5250153982415</v>
      </c>
      <c r="GS142" s="79">
        <f>IF(ISERROR((GR142/GP142-1)*100),"NA",IF(((GR142/GP142-1)*100)&gt;100,"NM",IF(((GR142/GP142-1)*100)&lt;-50,"NM",(GR142/GP142-1)*100)))</f>
        <v>4.0961443311190449</v>
      </c>
      <c r="GT142" s="79">
        <f>IF(ISERROR(((GR142/GH142)^0.2-1)*100),"NA",(IF(OR(((GR142/GH142)^0.2-1)*100&gt;99,((GR142/GH142)^0.2-1)*100&lt;-50),"NM",(((GR142/GH142)^0.2-1)*100))))</f>
        <v>4.1243072650858803</v>
      </c>
    </row>
    <row r="143" spans="1:286" ht="12.75" customHeight="1" x14ac:dyDescent="0.2">
      <c r="A143" s="1"/>
      <c r="B143" s="10" t="s">
        <v>406</v>
      </c>
      <c r="C143" s="171"/>
      <c r="D143" s="171"/>
      <c r="E143" s="171"/>
      <c r="F143" s="171"/>
      <c r="G143" s="171"/>
      <c r="H143" s="171"/>
      <c r="I143" s="171"/>
      <c r="J143" s="171"/>
      <c r="K143" s="171"/>
      <c r="L143" s="79"/>
      <c r="M143" s="171"/>
      <c r="N143" s="79"/>
      <c r="O143" s="171"/>
      <c r="P143" s="79"/>
      <c r="Q143" s="171"/>
      <c r="R143" s="79"/>
      <c r="S143" s="171"/>
      <c r="T143" s="79"/>
      <c r="U143" s="74">
        <f>FF143-W143-Y143-AA143</f>
        <v>231.59999999999997</v>
      </c>
      <c r="V143" s="79" t="str">
        <f>IF(ISERROR((U143/M143-1)*100),"NA",IF(((U143/M143-1)*100)&gt;100,"NM",IF(((U143/M143-1)*100)&lt;-50,"NM",(U143/M143-1)*100)))</f>
        <v>NA</v>
      </c>
      <c r="W143" s="129">
        <v>245</v>
      </c>
      <c r="X143" s="79" t="str">
        <f>IF(ISERROR((W143/O143-1)*100),"NA",IF(((W143/O143-1)*100)&gt;100,"NM",IF(((W143/O143-1)*100)&lt;-50,"NM",(W143/O143-1)*100)))</f>
        <v>NA</v>
      </c>
      <c r="Y143" s="129">
        <v>258.10000000000002</v>
      </c>
      <c r="Z143" s="79" t="str">
        <f>IF(ISERROR((Y143/Q143-1)*100),"NA",IF(((Y143/Q143-1)*100)&gt;100,"NM",IF(((Y143/Q143-1)*100)&lt;-50,"NM",(Y143/Q143-1)*100)))</f>
        <v>NA</v>
      </c>
      <c r="AA143" s="130">
        <v>239.3</v>
      </c>
      <c r="AB143" s="79" t="str">
        <f>IF(ISERROR((AA143/S143-1)*100),"NA",IF(((AA143/S143-1)*100)&gt;100,"NM",IF(((AA143/S143-1)*100)&lt;-50,"NM",(AA143/S143-1)*100)))</f>
        <v>NA</v>
      </c>
      <c r="AC143" s="74">
        <f>AC40+AC76+AC108</f>
        <v>229.7</v>
      </c>
      <c r="AD143" s="79">
        <f>IF(ISERROR((AC143/U143-1)*100),"NA",IF(((AC143/U143-1)*100)&gt;100,"NM",IF(((AC143/U143-1)*100)&lt;-50,"NM",(AC143/U143-1)*100)))</f>
        <v>-0.82037996545767378</v>
      </c>
      <c r="AE143" s="74">
        <f>AE40+AE76+AE108</f>
        <v>238.1</v>
      </c>
      <c r="AF143" s="79">
        <f>IF(ISERROR((AE143/W143-1)*100),"NA",IF(((AE143/W143-1)*100)&gt;100,"NM",IF(((AE143/W143-1)*100)&lt;-50,"NM",(AE143/W143-1)*100)))</f>
        <v>-2.8163265306122454</v>
      </c>
      <c r="AG143" s="74">
        <f>AG40+AG76+AG108</f>
        <v>237.09999999999997</v>
      </c>
      <c r="AH143" s="79">
        <f>IF(ISERROR((AG143/Y143-1)*100),"NA",IF(((AG143/Y143-1)*100)&gt;100,"NM",IF(((AG143/Y143-1)*100)&lt;-50,"NM",(AG143/Y143-1)*100)))</f>
        <v>-8.136381247578484</v>
      </c>
      <c r="AI143" s="74">
        <f>AI40+AI76+AI108</f>
        <v>260.89999999999998</v>
      </c>
      <c r="AJ143" s="79">
        <f>IF(ISERROR((AI143/AA143-1)*100),"NA",IF(((AI143/AA143-1)*100)&gt;100,"NM",IF(((AI143/AA143-1)*100)&lt;-50,"NM",(AI143/AA143-1)*100)))</f>
        <v>9.0263267864604924</v>
      </c>
      <c r="AK143" s="74">
        <f>AK40+AK76+AK108</f>
        <v>244</v>
      </c>
      <c r="AL143" s="79">
        <f>IF(ISERROR((AK143/AC143-1)*100),"NA",IF(((AK143/AC143-1)*100)&gt;100,"NM",IF(((AK143/AC143-1)*100)&lt;-50,"NM",(AK143/AC143-1)*100)))</f>
        <v>6.2255115367871205</v>
      </c>
      <c r="AM143" s="74">
        <f>AM40+AM76+AM108</f>
        <v>250.4</v>
      </c>
      <c r="AN143" s="79">
        <f>IF(ISERROR((AM143/AE143-1)*100),"NA",IF(((AM143/AE143-1)*100)&gt;100,"NM",IF(((AM143/AE143-1)*100)&lt;-50,"NM",(AM143/AE143-1)*100)))</f>
        <v>5.1658966820663732</v>
      </c>
      <c r="AO143" s="74">
        <f>AO40+AO76+AO108</f>
        <v>248.40000000000003</v>
      </c>
      <c r="AP143" s="79">
        <f>IF(ISERROR((AO143/AG143-1)*100),"NA",IF(((AO143/AG143-1)*100)&gt;100,"NM",IF(((AO143/AG143-1)*100)&lt;-50,"NM",(AO143/AG143-1)*100)))</f>
        <v>4.7659215520877485</v>
      </c>
      <c r="AQ143" s="74">
        <f>AQ40+AQ76+AQ108</f>
        <v>255.4</v>
      </c>
      <c r="AR143" s="79">
        <f>IF(ISERROR((AQ143/AI143-1)*100),"NA",IF(((AQ143/AI143-1)*100)&gt;100,"NM",IF(((AQ143/AI143-1)*100)&lt;-50,"NM",(AQ143/AI143-1)*100)))</f>
        <v>-2.1080873898045138</v>
      </c>
      <c r="AS143" s="74">
        <f>AS40+AS76+AS108</f>
        <v>257.7</v>
      </c>
      <c r="AT143" s="81">
        <f>IF(ISERROR((AS143/AK143-1)*100),"NA",IF(((AS143/AK143-1)*100)&gt;100,"NM",IF(((AS143/AK143-1)*100)&lt;-50,"NM",(AS143/AK143-1)*100)))</f>
        <v>5.6147540983606525</v>
      </c>
      <c r="AU143" s="74">
        <f>AU40+AU76+AU108</f>
        <v>258.89999999999998</v>
      </c>
      <c r="AV143" s="81">
        <f>IF(ISERROR((AU143/AM143-1)*100),"NA",IF(((AU143/AM143-1)*100)&gt;100,"NM",IF(((AU143/AM143-1)*100)&lt;-50,"NM",(AU143/AM143-1)*100)))</f>
        <v>3.3945686900958449</v>
      </c>
      <c r="AW143" s="74">
        <f>AW40+AW76+AW108</f>
        <v>261.89999999999998</v>
      </c>
      <c r="AX143" s="81">
        <f>IF(ISERROR((AW143/AO143-1)*100),"NA",IF(((AW143/AO143-1)*100)&gt;100,"NM",IF(((AW143/AO143-1)*100)&lt;-50,"NM",(AW143/AO143-1)*100)))</f>
        <v>5.4347826086956319</v>
      </c>
      <c r="AY143" s="74">
        <f>AY40+AY76+AY108</f>
        <v>284.60000000000002</v>
      </c>
      <c r="AZ143" s="81">
        <f>IF(ISERROR((AY143/AQ143-1)*100),"NA",IF(((AY143/AQ143-1)*100)&gt;100,"NM",IF(((AY143/AQ143-1)*100)&lt;-50,"NM",(AY143/AQ143-1)*100)))</f>
        <v>11.433046202036024</v>
      </c>
      <c r="BA143" s="74">
        <f>BA40+BA76+BA108</f>
        <v>273.70000000000005</v>
      </c>
      <c r="BB143" s="81">
        <f>IF(ISERROR((BA143/AS143-1)*100),"NA",IF(((BA143/AS143-1)*100)&gt;100,"NM",IF(((BA143/AS143-1)*100)&lt;-50,"NM",(BA143/AS143-1)*100)))</f>
        <v>6.2087698874660591</v>
      </c>
      <c r="BC143" s="74">
        <f>BC40+BC76+BC108</f>
        <v>282.7</v>
      </c>
      <c r="BD143" s="81">
        <f>IF(ISERROR((BC143/AU143-1)*100),"NA",IF(((BC143/AU143-1)*100)&gt;100,"NM",IF(((BC143/AU143-1)*100)&lt;-50,"NM",(BC143/AU143-1)*100)))</f>
        <v>9.1927385090768698</v>
      </c>
      <c r="BE143" s="74">
        <f>BE40+BE76+BE108</f>
        <v>278.5</v>
      </c>
      <c r="BF143" s="81">
        <f>IF(ISERROR((BE143/AW143-1)*100),"NA",IF(((BE143/AW143-1)*100)&gt;100,"NM",IF(((BE143/AW143-1)*100)&lt;-50,"NM",(BE143/AW143-1)*100)))</f>
        <v>6.3382970599465516</v>
      </c>
      <c r="BG143" s="74">
        <f>BG40+BG76+BG108</f>
        <v>279.10000000000002</v>
      </c>
      <c r="BH143" s="81">
        <f>IF(ISERROR((BG143/AY143-1)*100),"NA",IF(((BG143/AY143-1)*100)&gt;100,"NM",IF(((BG143/AY143-1)*100)&lt;-50,"NM",(BG143/AY143-1)*100)))</f>
        <v>-1.9325368938861609</v>
      </c>
      <c r="BI143" s="74">
        <f>BI40+BI76+BI108</f>
        <v>276</v>
      </c>
      <c r="BJ143" s="81">
        <f>IF(ISERROR((BI143/BA143-1)*100),"NA",IF(((BI143/BA143-1)*100)&gt;100,"NM",IF(((BI143/BA143-1)*100)&lt;-50,"NM",(BI143/BA143-1)*100)))</f>
        <v>0.84033613445375632</v>
      </c>
      <c r="BK143" s="74">
        <f>BK40+BK76+BK108</f>
        <v>286.5</v>
      </c>
      <c r="BL143" s="81">
        <f>IF(ISERROR((BK143/BC143-1)*100),"NA",IF(((BK143/BC143-1)*100)&gt;100,"NM",IF(((BK143/BC143-1)*100)&lt;-50,"NM",(BK143/BC143-1)*100)))</f>
        <v>1.344181110718079</v>
      </c>
      <c r="BM143" s="74">
        <f>BM40+BM76+BM108</f>
        <v>284.29999999999995</v>
      </c>
      <c r="BN143" s="81">
        <f>IF(ISERROR((BM143/BE143-1)*100),"NA",IF(((BM143/BE143-1)*100)&gt;100,"NM",IF(((BM143/BE143-1)*100)&lt;-50,"NM",(BM143/BE143-1)*100)))</f>
        <v>2.082585278276472</v>
      </c>
      <c r="BO143" s="74">
        <f>BO40+BO76+BO108</f>
        <v>289.60000000000002</v>
      </c>
      <c r="BP143" s="81">
        <f>IF(ISERROR((BO143/BG143-1)*100),"NA",IF(((BO143/BG143-1)*100)&gt;100,"NM",IF(((BO143/BG143-1)*100)&lt;-50,"NM",(BO143/BG143-1)*100)))</f>
        <v>3.7620924399856648</v>
      </c>
      <c r="BQ143" s="74">
        <f>BQ40+BQ76+BQ108</f>
        <v>291.3</v>
      </c>
      <c r="BR143" s="81">
        <f>IF(ISERROR((BQ143/BI143-1)*100),"NA",IF(((BQ143/BI143-1)*100)&gt;100,"NM",IF(((BQ143/BI143-1)*100)&lt;-50,"NM",(BQ143/BI143-1)*100)))</f>
        <v>5.543478260869561</v>
      </c>
      <c r="BS143" s="74">
        <f>BS40+BS76+BS108</f>
        <v>304.10000000000002</v>
      </c>
      <c r="BT143" s="81">
        <f>IF(ISERROR((BS143/BK143-1)*100),"NA",IF(((BS143/BK143-1)*100)&gt;100,"NM",IF(((BS143/BK143-1)*100)&lt;-50,"NM",(BS143/BK143-1)*100)))</f>
        <v>6.1431064572425864</v>
      </c>
      <c r="BU143" s="74">
        <f>BU40+BU76+BU108</f>
        <v>302.8</v>
      </c>
      <c r="BV143" s="81">
        <f>IF(ISERROR((BU143/BM143-1)*100),"NA",IF(((BU143/BM143-1)*100)&gt;100,"NM",IF(((BU143/BM143-1)*100)&lt;-50,"NM",(BU143/BM143-1)*100)))</f>
        <v>6.5072106929300322</v>
      </c>
      <c r="BW143" s="74">
        <f>BW40+BW76+BW108</f>
        <v>302.3</v>
      </c>
      <c r="BX143" s="81">
        <f>IF(ISERROR((BW143/BO143-1)*100),"NA",IF(((BW143/BO143-1)*100)&gt;100,"NM",IF(((BW143/BO143-1)*100)&lt;-50,"NM",(BW143/BO143-1)*100)))</f>
        <v>4.3853591160220917</v>
      </c>
      <c r="BY143" s="74">
        <f>BY40+BY76+BY108</f>
        <v>229.3</v>
      </c>
      <c r="BZ143" s="81">
        <f>IF(ISERROR((BY143/BQ143-1)*100),"NA",IF(((BY143/BQ143-1)*100)&gt;100,"NM",IF(((BY143/BQ143-1)*100)&lt;-50,"NM",(BY143/BQ143-1)*100)))</f>
        <v>-21.283899759697899</v>
      </c>
      <c r="CA143" s="74">
        <f>CA40+CA76+CA108</f>
        <v>237.8</v>
      </c>
      <c r="CB143" s="81">
        <f>IF(ISERROR((CA143/BS143-1)*100),"NA",IF(((CA143/BS143-1)*100)&gt;100,"NM",IF(((CA143/BS143-1)*100)&lt;-50,"NM",(CA143/BS143-1)*100)))</f>
        <v>-21.802038803025326</v>
      </c>
      <c r="CC143" s="74">
        <f>CC40+CC76+CC108</f>
        <v>232.1</v>
      </c>
      <c r="CD143" s="81">
        <f>IF(ISERROR((CC143/BU143-1)*100),"NA",IF(((CC143/BU143-1)*100)&gt;100,"NM",IF(((CC143/BU143-1)*100)&lt;-50,"NM",(CC143/BU143-1)*100)))</f>
        <v>-23.348745046235141</v>
      </c>
      <c r="CE143" s="74">
        <f>CE40+CE76+CE108</f>
        <v>242.3</v>
      </c>
      <c r="CF143" s="81">
        <f>IF(ISERROR((CE143/BW143-1)*100),"NA",IF(((CE143/BW143-1)*100)&gt;100,"NM",IF(((CE143/BW143-1)*100)&lt;-50,"NM",(CE143/BW143-1)*100)))</f>
        <v>-19.847833278200465</v>
      </c>
      <c r="CG143" s="74">
        <f>CG40+CG76+CG108</f>
        <v>233.7</v>
      </c>
      <c r="CH143" s="81">
        <f>IF(ISERROR((CG143/BY143-1)*100),"NA",IF(((CG143/BY143-1)*100)&gt;100,"NM",IF(((CG143/BY143-1)*100)&lt;-50,"NM",(CG143/BY143-1)*100)))</f>
        <v>1.9188835586567698</v>
      </c>
      <c r="CI143" s="74">
        <f>CI40+CI76+CI108</f>
        <v>238.89999999999998</v>
      </c>
      <c r="CJ143" s="81">
        <f>IF(ISERROR((CI143/CA143-1)*100),"NA",IF(((CI143/CA143-1)*100)&gt;100,"NM",IF(((CI143/CA143-1)*100)&lt;-50,"NM",(CI143/CA143-1)*100)))</f>
        <v>0.4625735912531459</v>
      </c>
      <c r="CK143" s="74">
        <f>CK40+CK76+CK108</f>
        <v>240</v>
      </c>
      <c r="CL143" s="81">
        <f>IF(ISERROR((CK143/CC143-1)*100),"NA",IF(((CK143/CC143-1)*100)&gt;100,"NM",IF(((CK143/CC143-1)*100)&lt;-50,"NM",(CK143/CC143-1)*100)))</f>
        <v>3.4037052994398964</v>
      </c>
      <c r="CM143" s="74">
        <f>CM40+CM76+CM108</f>
        <v>238.8</v>
      </c>
      <c r="CN143" s="81">
        <f>IF(ISERROR((CM143/CE143-1)*100),"NA",IF(((CM143/CE143-1)*100)&gt;100,"NM",IF(((CM143/CE143-1)*100)&lt;-50,"NM",(CM143/CE143-1)*100)))</f>
        <v>-1.4444903012794108</v>
      </c>
      <c r="CO143" s="74">
        <f>CO40+CO76+CO108</f>
        <v>238.60000000000002</v>
      </c>
      <c r="CP143" s="81">
        <f>IF(ISERROR((CO143/CG143-1)*100),"NA",IF(((CO143/CG143-1)*100)&gt;100,"NM",IF(((CO143/CG143-1)*100)&lt;-50,"NM",(CO143/CG143-1)*100)))</f>
        <v>2.0967051775780954</v>
      </c>
      <c r="CQ143" s="74">
        <f>CQ40+CQ76+CQ108</f>
        <v>236.89999999999998</v>
      </c>
      <c r="CR143" s="81">
        <f>IF(ISERROR((CQ143/CI143-1)*100),"NA",IF(((CQ143/CI143-1)*100)&gt;100,"NM",IF(((CQ143/CI143-1)*100)&lt;-50,"NM",(CQ143/CI143-1)*100)))</f>
        <v>-0.83717036416910418</v>
      </c>
      <c r="CS143" s="74">
        <f>CS40+CS76+CS108</f>
        <v>236.3</v>
      </c>
      <c r="CT143" s="81">
        <f>IF(ISERROR((CS143/CK143-1)*100),"NA",IF(((CS143/CK143-1)*100)&gt;100,"NM",IF(((CS143/CK143-1)*100)&lt;-50,"NM",(CS143/CK143-1)*100)))</f>
        <v>-1.5416666666666634</v>
      </c>
      <c r="CU143" s="74">
        <f>CU40+CU76+CU108</f>
        <v>240.5</v>
      </c>
      <c r="CV143" s="81">
        <f>IF(ISERROR((CU143/CM143-1)*100),"NA",IF(((CU143/CM143-1)*100)&gt;100,"NM",IF(((CU143/CM143-1)*100)&lt;-50,"NM",(CU143/CM143-1)*100)))</f>
        <v>0.71189279731993516</v>
      </c>
      <c r="CW143" s="74">
        <f>CW40+CW76+CW108</f>
        <v>232.8</v>
      </c>
      <c r="CX143" s="81">
        <f>IF(ISERROR((CW143/CO143-1)*100),"NA",IF(((CW143/CO143-1)*100)&gt;100,"NM",IF(((CW143/CO143-1)*100)&lt;-50,"NM",(CW143/CO143-1)*100)))</f>
        <v>-2.4308466051969901</v>
      </c>
      <c r="CY143" s="74">
        <f>CY40+CY76+CY108</f>
        <v>228.2</v>
      </c>
      <c r="CZ143" s="81">
        <f>IF(ISERROR((CY143/CQ143-1)*100),"NA",IF(((CY143/CQ143-1)*100)&gt;100,"NM",IF(((CY143/CQ143-1)*100)&lt;-50,"NM",(CY143/CQ143-1)*100)))</f>
        <v>-3.6724356268467706</v>
      </c>
      <c r="DA143" s="74">
        <f>DA40+DA76+DA108</f>
        <v>230.2</v>
      </c>
      <c r="DB143" s="81">
        <f>IF(ISERROR((DA143/CS143-1)*100),"NA",IF(((DA143/CS143-1)*100)&gt;100,"NM",IF(((DA143/CS143-1)*100)&lt;-50,"NM",(DA143/CS143-1)*100)))</f>
        <v>-2.5814642403724219</v>
      </c>
      <c r="DC143" s="74">
        <f>DC40+DC76+DC108</f>
        <v>228.20000000000002</v>
      </c>
      <c r="DD143" s="81">
        <f>IF(ISERROR((DC143/CU143-1)*100),"NA",IF(((DC143/CU143-1)*100)&gt;100,"NM",IF(((DC143/CU143-1)*100)&lt;-50,"NM",(DC143/CU143-1)*100)))</f>
        <v>-5.1143451143451095</v>
      </c>
      <c r="DE143" s="74">
        <f>DE40+DE76+DE108</f>
        <v>223.1</v>
      </c>
      <c r="DF143" s="81">
        <f>IF(ISERROR((DE143/CW143-1)*100),"NA",IF(((DE143/CW143-1)*100)&gt;100,"NM",IF(((DE143/CW143-1)*100)&lt;-50,"NM",(DE143/CW143-1)*100)))</f>
        <v>-4.1666666666666741</v>
      </c>
      <c r="DG143" s="74">
        <f>DG40+DG76+DG108</f>
        <v>218.2</v>
      </c>
      <c r="DH143" s="81">
        <f>IF(ISERROR((DG143/CY143-1)*100),"NA",IF(((DG143/CY143-1)*100)&gt;100,"NM",IF(((DG143/CY143-1)*100)&lt;-50,"NM",(DG143/CY143-1)*100)))</f>
        <v>-4.3821209465381266</v>
      </c>
      <c r="DI143" s="74">
        <f>DI40+DI76+DI108</f>
        <v>214.39999999999998</v>
      </c>
      <c r="DJ143" s="81">
        <f>IF(ISERROR((DI143/DA143-1)*100),"NA",IF(((DI143/DA143-1)*100)&gt;100,"NM",IF(((DI143/DA143-1)*100)&lt;-50,"NM",(DI143/DA143-1)*100)))</f>
        <v>-6.8635968722849716</v>
      </c>
      <c r="DK143" s="74">
        <f>DK40+DK76+DK108</f>
        <v>223.2</v>
      </c>
      <c r="DL143" s="81">
        <f>IF(ISERROR((DK143/DC143-1)*100),"NA",IF(((DK143/DC143-1)*100)&gt;100,"NM",IF(((DK143/DC143-1)*100)&lt;-50,"NM",(DK143/DC143-1)*100)))</f>
        <v>-2.1910604732690797</v>
      </c>
      <c r="DM143" s="74">
        <f>DM40+DM76+DM108</f>
        <v>215</v>
      </c>
      <c r="DN143" s="81">
        <f>IF(ISERROR((DM143/DE143-1)*100),"NA",IF(((DM143/DE143-1)*100)&gt;100,"NM",IF(((DM143/DE143-1)*100)&lt;-50,"NM",(DM143/DE143-1)*100)))</f>
        <v>-3.6306588973554432</v>
      </c>
      <c r="DO143" s="74">
        <f>DO40+DO76+DO108</f>
        <v>215.7</v>
      </c>
      <c r="DP143" s="81">
        <f>IF(ISERROR((DO143/DG143-1)*100),"NA",IF(((DO143/DG143-1)*100)&gt;100,"NM",IF(((DO143/DG143-1)*100)&lt;-50,"NM",(DO143/DG143-1)*100)))</f>
        <v>-1.1457378551787301</v>
      </c>
      <c r="DQ143" s="74">
        <f>DQ40+DQ76+DQ108</f>
        <v>214.3</v>
      </c>
      <c r="DR143" s="81">
        <f>IF(ISERROR((DQ143/DI143-1)*100),"NA",IF(((DQ143/DI143-1)*100)&gt;100,"NM",IF(((DQ143/DI143-1)*100)&lt;-50,"NM",(DQ143/DI143-1)*100)))</f>
        <v>-4.6641791044754743E-2</v>
      </c>
      <c r="DS143" s="74">
        <f>DS40+DS76+DS108</f>
        <v>220.29999999999998</v>
      </c>
      <c r="DT143" s="81">
        <f>IF(ISERROR((DS143/DK143-1)*100),"NA",IF(((DS143/DK143-1)*100)&gt;100,"NM",IF(((DS143/DK143-1)*100)&lt;-50,"NM",(DS143/DK143-1)*100)))</f>
        <v>-1.2992831541218663</v>
      </c>
      <c r="DU143" s="74">
        <f>DU40+DU76+DU108</f>
        <v>207.4</v>
      </c>
      <c r="DV143" s="81">
        <f>IF(ISERROR((DU143/DM143-1)*100),"NA",IF(((DU143/DM143-1)*100)&gt;100,"NM",IF(((DU143/DM143-1)*100)&lt;-50,"NM",(DU143/DM143-1)*100)))</f>
        <v>-3.5348837209302264</v>
      </c>
      <c r="DW143" s="74">
        <f>DW40+DW76+DW108</f>
        <v>207.7</v>
      </c>
      <c r="DX143" s="81">
        <f>IF(ISERROR((DW143/DO143-1)*100),"NA",IF(((DW143/DO143-1)*100)&gt;100,"NM",IF(((DW143/DO143-1)*100)&lt;-50,"NM",(DW143/DO143-1)*100)))</f>
        <v>-3.7088548910523933</v>
      </c>
      <c r="DY143" s="74">
        <f>DY40+DY76+DY108</f>
        <v>207.29999999999998</v>
      </c>
      <c r="DZ143" s="81">
        <f>IF(ISERROR((DY143/DQ143-1)*100),"NA",IF(((DY143/DQ143-1)*100)&gt;100,"NM",IF(((DY143/DQ143-1)*100)&lt;-50,"NM",(DY143/DQ143-1)*100)))</f>
        <v>-3.2664489034064492</v>
      </c>
      <c r="EA143" s="74">
        <f>EA40+EA76+EA108</f>
        <v>206.29999999999998</v>
      </c>
      <c r="EB143" s="81">
        <f>IF(ISERROR((EA143/DS143-1)*100),"NA",IF(((EA143/DS143-1)*100)&gt;100,"NM",IF(((EA143/DS143-1)*100)&lt;-50,"NM",(EA143/DS143-1)*100)))</f>
        <v>-6.3549704947798435</v>
      </c>
      <c r="EC143" s="74">
        <f>EC40+EC76+EC108</f>
        <v>202.5</v>
      </c>
      <c r="ED143" s="81">
        <f t="shared" si="489"/>
        <v>-2.3625843780134992</v>
      </c>
      <c r="EE143" s="74">
        <f>EE40+EE76+EE108</f>
        <v>205.60000000000002</v>
      </c>
      <c r="EF143" s="81">
        <f t="shared" si="490"/>
        <v>-1.0110736639383555</v>
      </c>
      <c r="EG143" s="74">
        <f>EG40+EG76+EG108</f>
        <v>201</v>
      </c>
      <c r="EH143" s="81">
        <f t="shared" si="491"/>
        <v>-3.0390738060781408</v>
      </c>
      <c r="EI143" s="74">
        <f>EI40+EI76+EI108</f>
        <v>202.10000000000002</v>
      </c>
      <c r="EJ143" s="81">
        <f t="shared" si="492"/>
        <v>-2.0358700920988682</v>
      </c>
      <c r="EK143" s="74">
        <f t="shared" ref="EK143:EQ143" si="498">EK40+EK76+EK108</f>
        <v>204.12100000000001</v>
      </c>
      <c r="EL143" s="81">
        <f t="shared" si="494"/>
        <v>0.80049382716049777</v>
      </c>
      <c r="EM143" s="74">
        <f t="shared" si="498"/>
        <v>206.16220999999999</v>
      </c>
      <c r="EN143" s="81">
        <f t="shared" si="495"/>
        <v>0.27344844357974907</v>
      </c>
      <c r="EO143" s="74">
        <f t="shared" si="498"/>
        <v>208.50129930000003</v>
      </c>
      <c r="EP143" s="81">
        <f t="shared" si="496"/>
        <v>3.7319897014925552</v>
      </c>
      <c r="EQ143" s="74">
        <f t="shared" si="498"/>
        <v>210.5514809785</v>
      </c>
      <c r="ER143" s="81">
        <f t="shared" si="497"/>
        <v>4.1818312610093944</v>
      </c>
      <c r="ES143" s="82"/>
      <c r="ET143" s="469"/>
      <c r="EU143" s="82"/>
      <c r="EV143" s="171"/>
      <c r="EW143" s="79"/>
      <c r="EX143" s="171"/>
      <c r="EY143" s="79"/>
      <c r="EZ143" s="171"/>
      <c r="FA143" s="79"/>
      <c r="FB143" s="217"/>
      <c r="FC143" s="79"/>
      <c r="FD143" s="74">
        <f>FD40+FD76+FD108</f>
        <v>895.09999999999991</v>
      </c>
      <c r="FE143" s="79" t="str">
        <f>IF(ISERROR((FD143/FB143-1)*100),"NA",IF(((FD143/FB143-1)*100)&gt;100,"NM",IF(((FD143/FB143-1)*100)&lt;-50,"NM",(FD143/FB143-1)*100)))</f>
        <v>NA</v>
      </c>
      <c r="FF143" s="74">
        <f>FF40+FF76+FF108</f>
        <v>974</v>
      </c>
      <c r="FG143" s="79">
        <f>IF(ISERROR((FF143/FD143-1)*100),"NA",IF(((FF143/FD143-1)*100)&gt;100,"NM",IF(((FF143/FD143-1)*100)&lt;-50,"NM",(FF143/FD143-1)*100)))</f>
        <v>8.8146575801586469</v>
      </c>
      <c r="FH143" s="74">
        <f>FH40+FH76+FH108</f>
        <v>965.8</v>
      </c>
      <c r="FI143" s="79">
        <f>IF(ISERROR((FH143/FF143-1)*100),"NA",IF(((FH143/FF143-1)*100)&gt;100,"NM",IF(((FH143/FF143-1)*100)&lt;-50,"NM",(FH143/FF143-1)*100)))</f>
        <v>-0.84188911704312641</v>
      </c>
      <c r="FJ143" s="74">
        <f>FJ40+FJ76+FJ108</f>
        <v>998.2</v>
      </c>
      <c r="FK143" s="79">
        <f>IF(ISERROR((FJ143/FH143-1)*100),"NA",IF(((FJ143/FH143-1)*100)&gt;100,"NM",IF(((FJ143/FH143-1)*100)&lt;-50,"NM",(FJ143/FH143-1)*100)))</f>
        <v>3.3547318285359395</v>
      </c>
      <c r="FL143" s="74">
        <f>FL40+FL76+FL108</f>
        <v>1063.0999999999999</v>
      </c>
      <c r="FM143" s="79">
        <f>IF(ISERROR((FL143/FJ143-1)*100),"NA",IF(((FL143/FJ143-1)*100)&gt;100,"NM",IF(((FL143/FJ143-1)*100)&lt;-50,"NM",(FL143/FJ143-1)*100)))</f>
        <v>6.5017030655179164</v>
      </c>
      <c r="FN143" s="74">
        <f>FN40+FN76+FN108</f>
        <v>1114</v>
      </c>
      <c r="FO143" s="79">
        <f>IF(ISERROR((FN143/FL143-1)*100),"NA",IF(((FN143/FL143-1)*100)&gt;100,"NM",IF(((FN143/FL143-1)*100)&lt;-50,"NM",(FN143/FL143-1)*100)))</f>
        <v>4.7878844887593086</v>
      </c>
      <c r="FP143" s="74">
        <f>FP40+FP76+FP108</f>
        <v>1136.4000000000001</v>
      </c>
      <c r="FQ143" s="79">
        <f>IF(ISERROR((FP143/FN143-1)*100),"NA",IF(((FP143/FN143-1)*100)&gt;100,"NM",IF(((FP143/FN143-1)*100)&lt;-50,"NM",(FP143/FN143-1)*100)))</f>
        <v>2.0107719928186718</v>
      </c>
      <c r="FR143" s="74">
        <f>FR40+FR76+FR108</f>
        <v>934.30000000000007</v>
      </c>
      <c r="FS143" s="79">
        <f>IF(ISERROR((FR143/FP143-1)*100),"NA",IF(((FR143/FP143-1)*100)&gt;100,"NM",IF(((FR143/FP143-1)*100)&lt;-50,"NM",(FR143/FP143-1)*100)))</f>
        <v>-17.784230904611054</v>
      </c>
      <c r="FT143" s="74">
        <f>FT40+FT76+FT108</f>
        <v>941.5</v>
      </c>
      <c r="FU143" s="79">
        <f>IF(ISERROR((FT143/FR143-1)*100),"NA",IF(((FT143/FR143-1)*100)&gt;100,"NM",IF(((FT143/FR143-1)*100)&lt;-50,"NM",(FT143/FR143-1)*100)))</f>
        <v>0.77063041849512182</v>
      </c>
      <c r="FV143" s="74">
        <f>FV40+FV76+FV108</f>
        <v>951.4</v>
      </c>
      <c r="FW143" s="79">
        <f>IF(ISERROR((FV143/FT143-1)*100),"NA",IF(((FV143/FT143-1)*100)&gt;100,"NM",IF(((FV143/FT143-1)*100)&lt;-50,"NM",(FV143/FT143-1)*100)))</f>
        <v>1.0515135422198618</v>
      </c>
      <c r="FX143" s="74">
        <f>FX40+FX76+FX108</f>
        <v>948</v>
      </c>
      <c r="FY143" s="79">
        <f>IF(ISERROR((FX143/FV143-1)*100),"NA",IF(((FX143/FV143-1)*100)&gt;100,"NM",IF(((FX143/FV143-1)*100)&lt;-50,"NM",(FX143/FV143-1)*100)))</f>
        <v>-0.35736808913180429</v>
      </c>
      <c r="FZ143" s="74">
        <f>FZ40+FZ76+FZ108</f>
        <v>919.4</v>
      </c>
      <c r="GA143" s="79">
        <f>IF(ISERROR((FZ143/FX143-1)*100),"NA",IF(((FZ143/FX143-1)*100)&gt;100,"NM",IF(((FZ143/FX143-1)*100)&lt;-50,"NM",(FZ143/FX143-1)*100)))</f>
        <v>-3.0168776371307993</v>
      </c>
      <c r="GB143" s="74">
        <f>GB40+GB76+GB108</f>
        <v>878.90000000000009</v>
      </c>
      <c r="GC143" s="79">
        <f>IF(ISERROR((GB143/FZ143-1)*100),"NA",IF(((GB143/FZ143-1)*100)&gt;100,"NM",IF(((GB143/FZ143-1)*100)&lt;-50,"NM",(GB143/FZ143-1)*100)))</f>
        <v>-4.4050467696323592</v>
      </c>
      <c r="GD143" s="74">
        <f>GD40+GD76+GD108</f>
        <v>865.3</v>
      </c>
      <c r="GE143" s="79">
        <f>IF(ISERROR((GD143/GB143-1)*100),"NA",IF(((GD143/GB143-1)*100)&gt;100,"NM",IF(((GD143/GB143-1)*100)&lt;-50,"NM",(GD143/GB143-1)*100)))</f>
        <v>-1.5473887814313469</v>
      </c>
      <c r="GF143" s="74">
        <f>GF40+GF76+GF108</f>
        <v>828.69999999999993</v>
      </c>
      <c r="GG143" s="79">
        <f>IF(ISERROR((GF143/GD143-1)*100),"NA",IF(((GF143/GD143-1)*100)&gt;100,"NM",IF(((GF143/GD143-1)*100)&lt;-50,"NM",(GF143/GD143-1)*100)))</f>
        <v>-4.2297469085866179</v>
      </c>
      <c r="GH143" s="74">
        <f>GH40+GH76+GH108</f>
        <v>811.2</v>
      </c>
      <c r="GI143" s="79">
        <f>IF(ISERROR((GH143/GF143-1)*100),"NA",IF(((GH143/GF143-1)*100)&gt;100,"NM",IF(((GH143/GF143-1)*100)&lt;-50,"NM",(GH143/GF143-1)*100)))</f>
        <v>-2.1117412815252701</v>
      </c>
      <c r="GJ143" s="74">
        <f>GJ40+GJ76+GJ108</f>
        <v>829.33599027849993</v>
      </c>
      <c r="GK143" s="79">
        <f>IF(ISERROR((GJ143/GH143-1)*100),"NA",IF(((GJ143/GH143-1)*100)&gt;100,"NM",IF(((GJ143/GH143-1)*100)&lt;-50,"NM",(GJ143/GH143-1)*100)))</f>
        <v>2.2356989988288722</v>
      </c>
      <c r="GL143" s="74">
        <f>GL40+GL76+GL108</f>
        <v>850.69761293441502</v>
      </c>
      <c r="GM143" s="79">
        <f>IF(ISERROR((GL143/GJ143-1)*100),"NA",IF(((GL143/GJ143-1)*100)&gt;100,"NM",IF(((GL143/GJ143-1)*100)&lt;-50,"NM",(GL143/GJ143-1)*100)))</f>
        <v>2.5757501068706334</v>
      </c>
      <c r="GN143" s="74">
        <f>GN40+GN76+GN108</f>
        <v>872.65219274133631</v>
      </c>
      <c r="GO143" s="79">
        <f>IF(ISERROR((GN143/GL143-1)*100),"NA",IF(((GN143/GL143-1)*100)&gt;100,"NM",IF(((GN143/GL143-1)*100)&lt;-50,"NM",(GN143/GL143-1)*100)))</f>
        <v>2.5807736466064268</v>
      </c>
      <c r="GP143" s="74">
        <f>GP40+GP76+GP108</f>
        <v>895.21745968771575</v>
      </c>
      <c r="GQ143" s="79">
        <f>IF(ISERROR((GP143/GN143-1)*100),"NA",IF(((GP143/GN143-1)*100)&gt;100,"NM",IF(((GP143/GN143-1)*100)&lt;-50,"NM",(GP143/GN143-1)*100)))</f>
        <v>2.5858259606835077</v>
      </c>
      <c r="GR143" s="74">
        <f>GR40+GR76+GR108</f>
        <v>918.41171045131694</v>
      </c>
      <c r="GS143" s="79">
        <f>IF(ISERROR((GR143/GP143-1)*100),"NA",IF(((GR143/GP143-1)*100)&gt;100,"NM",IF(((GR143/GP143-1)*100)&lt;-50,"NM",(GR143/GP143-1)*100)))</f>
        <v>2.5909068810713531</v>
      </c>
      <c r="GT143" s="79">
        <f>IF(ISERROR(((GR143/GH143)^0.2-1)*100),"NA",(IF(OR(((GR143/GH143)^0.2-1)*100&gt;99,((GR143/GH143)^0.2-1)*100&lt;-50),"NM",(((GR143/GH143)^0.2-1)*100))))</f>
        <v>2.5136965677756695</v>
      </c>
    </row>
    <row r="144" spans="1:286" ht="12.75" customHeight="1" x14ac:dyDescent="0.2">
      <c r="A144" s="1"/>
      <c r="B144" s="10" t="s">
        <v>407</v>
      </c>
      <c r="C144" s="171"/>
      <c r="D144" s="171"/>
      <c r="E144" s="171"/>
      <c r="F144" s="171"/>
      <c r="G144" s="171"/>
      <c r="H144" s="171"/>
      <c r="I144" s="171"/>
      <c r="J144" s="171"/>
      <c r="K144" s="171"/>
      <c r="L144" s="79"/>
      <c r="M144" s="171"/>
      <c r="N144" s="79"/>
      <c r="O144" s="171"/>
      <c r="P144" s="79"/>
      <c r="Q144" s="171"/>
      <c r="R144" s="79"/>
      <c r="S144" s="171"/>
      <c r="T144" s="79"/>
      <c r="U144" s="74">
        <f>FF144-W144-Y144-AA144</f>
        <v>13.999999999999989</v>
      </c>
      <c r="V144" s="79" t="str">
        <f>IF(ISERROR((U144/M144-1)*100),"NA",IF(((U144/M144-1)*100)&gt;100,"NM",IF(((U144/M144-1)*100)&lt;-50,"NM",(U144/M144-1)*100)))</f>
        <v>NA</v>
      </c>
      <c r="W144" s="129">
        <v>15.2</v>
      </c>
      <c r="X144" s="79" t="str">
        <f>IF(ISERROR((W144/O144-1)*100),"NA",IF(((W144/O144-1)*100)&gt;100,"NM",IF(((W144/O144-1)*100)&lt;-50,"NM",(W144/O144-1)*100)))</f>
        <v>NA</v>
      </c>
      <c r="Y144" s="129">
        <v>19.2</v>
      </c>
      <c r="Z144" s="79" t="str">
        <f>IF(ISERROR((Y144/Q144-1)*100),"NA",IF(((Y144/Q144-1)*100)&gt;100,"NM",IF(((Y144/Q144-1)*100)&lt;-50,"NM",(Y144/Q144-1)*100)))</f>
        <v>NA</v>
      </c>
      <c r="AA144" s="130">
        <v>22.2</v>
      </c>
      <c r="AB144" s="79" t="str">
        <f>IF(ISERROR((AA144/S144-1)*100),"NA",IF(((AA144/S144-1)*100)&gt;100,"NM",IF(((AA144/S144-1)*100)&lt;-50,"NM",(AA144/S144-1)*100)))</f>
        <v>NA</v>
      </c>
      <c r="AC144" s="74">
        <f>AC41+AC77+AC109</f>
        <v>22.100000000000005</v>
      </c>
      <c r="AD144" s="79">
        <f>IF(ISERROR((AC144/U144-1)*100),"NA",IF(((AC144/U144-1)*100)&gt;100,"NM",IF(((AC144/U144-1)*100)&lt;-50,"NM",(AC144/U144-1)*100)))</f>
        <v>57.857142857143003</v>
      </c>
      <c r="AE144" s="74">
        <f>AE41+AE77+AE109</f>
        <v>21.7</v>
      </c>
      <c r="AF144" s="79">
        <f>IF(ISERROR((AE144/W144-1)*100),"NA",IF(((AE144/W144-1)*100)&gt;100,"NM",IF(((AE144/W144-1)*100)&lt;-50,"NM",(AE144/W144-1)*100)))</f>
        <v>42.763157894736835</v>
      </c>
      <c r="AG144" s="74">
        <f>AG41+AG77+AG109</f>
        <v>22.8</v>
      </c>
      <c r="AH144" s="79">
        <f>IF(ISERROR((AG144/Y144-1)*100),"NA",IF(((AG144/Y144-1)*100)&gt;100,"NM",IF(((AG144/Y144-1)*100)&lt;-50,"NM",(AG144/Y144-1)*100)))</f>
        <v>18.75</v>
      </c>
      <c r="AI144" s="74">
        <f>AI41+AI77+AI109</f>
        <v>23.199999999999985</v>
      </c>
      <c r="AJ144" s="79">
        <f>IF(ISERROR((AI144/AA144-1)*100),"NA",IF(((AI144/AA144-1)*100)&gt;100,"NM",IF(((AI144/AA144-1)*100)&lt;-50,"NM",(AI144/AA144-1)*100)))</f>
        <v>4.5045045045044363</v>
      </c>
      <c r="AK144" s="74">
        <f>AK41+AK77+AK109</f>
        <v>27</v>
      </c>
      <c r="AL144" s="79">
        <f>IF(ISERROR((AK144/AC144-1)*100),"NA",IF(((AK144/AC144-1)*100)&gt;100,"NM",IF(((AK144/AC144-1)*100)&lt;-50,"NM",(AK144/AC144-1)*100)))</f>
        <v>22.17194570135743</v>
      </c>
      <c r="AM144" s="74">
        <f>AM41+AM77+AM109</f>
        <v>25.2</v>
      </c>
      <c r="AN144" s="79">
        <f>IF(ISERROR((AM144/AE144-1)*100),"NA",IF(((AM144/AE144-1)*100)&gt;100,"NM",IF(((AM144/AE144-1)*100)&lt;-50,"NM",(AM144/AE144-1)*100)))</f>
        <v>16.129032258064523</v>
      </c>
      <c r="AO144" s="74">
        <f>AO41+AO77+AO109</f>
        <v>27.799999999999997</v>
      </c>
      <c r="AP144" s="79">
        <f>IF(ISERROR((AO144/AG144-1)*100),"NA",IF(((AO144/AG144-1)*100)&gt;100,"NM",IF(((AO144/AG144-1)*100)&lt;-50,"NM",(AO144/AG144-1)*100)))</f>
        <v>21.929824561403489</v>
      </c>
      <c r="AQ144" s="74">
        <f>AQ41+AQ77+AQ109</f>
        <v>28.6</v>
      </c>
      <c r="AR144" s="79">
        <f>IF(ISERROR((AQ144/AI144-1)*100),"NA",IF(((AQ144/AI144-1)*100)&gt;100,"NM",IF(((AQ144/AI144-1)*100)&lt;-50,"NM",(AQ144/AI144-1)*100)))</f>
        <v>23.275862068965615</v>
      </c>
      <c r="AS144" s="74">
        <f>AS41+AS77+AS109</f>
        <v>25.4</v>
      </c>
      <c r="AT144" s="81">
        <f>IF(ISERROR((AS144/AK144-1)*100),"NA",IF(((AS144/AK144-1)*100)&gt;100,"NM",IF(((AS144/AK144-1)*100)&lt;-50,"NM",(AS144/AK144-1)*100)))</f>
        <v>-5.9259259259259345</v>
      </c>
      <c r="AU144" s="74">
        <f>AU41+AU77+AU109</f>
        <v>28.099999999999998</v>
      </c>
      <c r="AV144" s="81">
        <f>IF(ISERROR((AU144/AM144-1)*100),"NA",IF(((AU144/AM144-1)*100)&gt;100,"NM",IF(((AU144/AM144-1)*100)&lt;-50,"NM",(AU144/AM144-1)*100)))</f>
        <v>11.507936507936511</v>
      </c>
      <c r="AW144" s="74">
        <f>AW41+AW77+AW109</f>
        <v>27.3</v>
      </c>
      <c r="AX144" s="81">
        <f>IF(ISERROR((AW144/AO144-1)*100),"NA",IF(((AW144/AO144-1)*100)&gt;100,"NM",IF(((AW144/AO144-1)*100)&lt;-50,"NM",(AW144/AO144-1)*100)))</f>
        <v>-1.7985611510791255</v>
      </c>
      <c r="AY144" s="74">
        <f>AY41+AY77+AY109</f>
        <v>27.700000000000003</v>
      </c>
      <c r="AZ144" s="81">
        <f>IF(ISERROR((AY144/AQ144-1)*100),"NA",IF(((AY144/AQ144-1)*100)&gt;100,"NM",IF(((AY144/AQ144-1)*100)&lt;-50,"NM",(AY144/AQ144-1)*100)))</f>
        <v>-3.1468531468531458</v>
      </c>
      <c r="BA144" s="74">
        <f>BA41+BA77+BA109</f>
        <v>34.6</v>
      </c>
      <c r="BB144" s="81">
        <f>IF(ISERROR((BA144/AS144-1)*100),"NA",IF(((BA144/AS144-1)*100)&gt;100,"NM",IF(((BA144/AS144-1)*100)&lt;-50,"NM",(BA144/AS144-1)*100)))</f>
        <v>36.220472440944881</v>
      </c>
      <c r="BC144" s="74">
        <f>BC41+BC77+BC109</f>
        <v>34.600000000000009</v>
      </c>
      <c r="BD144" s="81">
        <f>IF(ISERROR((BC144/AU144-1)*100),"NA",IF(((BC144/AU144-1)*100)&gt;100,"NM",IF(((BC144/AU144-1)*100)&lt;-50,"NM",(BC144/AU144-1)*100)))</f>
        <v>23.131672597864817</v>
      </c>
      <c r="BE144" s="74">
        <f>BE41+BE77+BE109</f>
        <v>32.799999999999997</v>
      </c>
      <c r="BF144" s="81">
        <f>IF(ISERROR((BE144/AW144-1)*100),"NA",IF(((BE144/AW144-1)*100)&gt;100,"NM",IF(((BE144/AW144-1)*100)&lt;-50,"NM",(BE144/AW144-1)*100)))</f>
        <v>20.146520146520142</v>
      </c>
      <c r="BG144" s="74">
        <f>BG41+BG77+BG109</f>
        <v>33.6</v>
      </c>
      <c r="BH144" s="81">
        <f>IF(ISERROR((BG144/AY144-1)*100),"NA",IF(((BG144/AY144-1)*100)&gt;100,"NM",IF(((BG144/AY144-1)*100)&lt;-50,"NM",(BG144/AY144-1)*100)))</f>
        <v>21.299638989169665</v>
      </c>
      <c r="BI144" s="74">
        <f>BI41+BI77+BI109</f>
        <v>32.6</v>
      </c>
      <c r="BJ144" s="81">
        <f>IF(ISERROR((BI144/BA144-1)*100),"NA",IF(((BI144/BA144-1)*100)&gt;100,"NM",IF(((BI144/BA144-1)*100)&lt;-50,"NM",(BI144/BA144-1)*100)))</f>
        <v>-5.7803468208092461</v>
      </c>
      <c r="BK144" s="74">
        <f>BK41+BK77+BK109</f>
        <v>33.4</v>
      </c>
      <c r="BL144" s="81">
        <f>IF(ISERROR((BK144/BC144-1)*100),"NA",IF(((BK144/BC144-1)*100)&gt;100,"NM",IF(((BK144/BC144-1)*100)&lt;-50,"NM",(BK144/BC144-1)*100)))</f>
        <v>-3.4682080924855807</v>
      </c>
      <c r="BM144" s="74">
        <f>BM41+BM77+BM109</f>
        <v>33.5</v>
      </c>
      <c r="BN144" s="81">
        <f>IF(ISERROR((BM144/BE144-1)*100),"NA",IF(((BM144/BE144-1)*100)&gt;100,"NM",IF(((BM144/BE144-1)*100)&lt;-50,"NM",(BM144/BE144-1)*100)))</f>
        <v>2.1341463414634276</v>
      </c>
      <c r="BO144" s="74">
        <f>BO41+BO77+BO109</f>
        <v>33.200000000000003</v>
      </c>
      <c r="BP144" s="81">
        <f>IF(ISERROR((BO144/BG144-1)*100),"NA",IF(((BO144/BG144-1)*100)&gt;100,"NM",IF(((BO144/BG144-1)*100)&lt;-50,"NM",(BO144/BG144-1)*100)))</f>
        <v>-1.1904761904761862</v>
      </c>
      <c r="BQ144" s="74">
        <f>BQ41+BQ77+BQ109</f>
        <v>31.599999999999998</v>
      </c>
      <c r="BR144" s="81">
        <f>IF(ISERROR((BQ144/BI144-1)*100),"NA",IF(((BQ144/BI144-1)*100)&gt;100,"NM",IF(((BQ144/BI144-1)*100)&lt;-50,"NM",(BQ144/BI144-1)*100)))</f>
        <v>-3.0674846625767027</v>
      </c>
      <c r="BS144" s="74">
        <f>BS41+BS77+BS109</f>
        <v>30</v>
      </c>
      <c r="BT144" s="81">
        <f>IF(ISERROR((BS144/BK144-1)*100),"NA",IF(((BS144/BK144-1)*100)&gt;100,"NM",IF(((BS144/BK144-1)*100)&lt;-50,"NM",(BS144/BK144-1)*100)))</f>
        <v>-10.179640718562865</v>
      </c>
      <c r="BU144" s="74">
        <f>BU41+BU77+BU109</f>
        <v>28.799999999999997</v>
      </c>
      <c r="BV144" s="81">
        <f>IF(ISERROR((BU144/BM144-1)*100),"NA",IF(((BU144/BM144-1)*100)&gt;100,"NM",IF(((BU144/BM144-1)*100)&lt;-50,"NM",(BU144/BM144-1)*100)))</f>
        <v>-14.029850746268668</v>
      </c>
      <c r="BW144" s="74">
        <f>BW41+BW77+BW109</f>
        <v>28.3</v>
      </c>
      <c r="BX144" s="81">
        <f>IF(ISERROR((BW144/BO144-1)*100),"NA",IF(((BW144/BO144-1)*100)&gt;100,"NM",IF(((BW144/BO144-1)*100)&lt;-50,"NM",(BW144/BO144-1)*100)))</f>
        <v>-14.759036144578319</v>
      </c>
      <c r="BY144" s="74">
        <f>BY41+BY77+BY109</f>
        <v>30</v>
      </c>
      <c r="BZ144" s="81">
        <f>IF(ISERROR((BY144/BQ144-1)*100),"NA",IF(((BY144/BQ144-1)*100)&gt;100,"NM",IF(((BY144/BQ144-1)*100)&lt;-50,"NM",(BY144/BQ144-1)*100)))</f>
        <v>-5.0632911392404996</v>
      </c>
      <c r="CA144" s="74">
        <f>CA41+CA77+CA109</f>
        <v>30.6</v>
      </c>
      <c r="CB144" s="81">
        <f>IF(ISERROR((CA144/BS144-1)*100),"NA",IF(((CA144/BS144-1)*100)&gt;100,"NM",IF(((CA144/BS144-1)*100)&lt;-50,"NM",(CA144/BS144-1)*100)))</f>
        <v>2.0000000000000018</v>
      </c>
      <c r="CC144" s="74">
        <f>CC41+CC77+CC109</f>
        <v>29.6</v>
      </c>
      <c r="CD144" s="81">
        <f>IF(ISERROR((CC144/BU144-1)*100),"NA",IF(((CC144/BU144-1)*100)&gt;100,"NM",IF(((CC144/BU144-1)*100)&lt;-50,"NM",(CC144/BU144-1)*100)))</f>
        <v>2.7777777777777901</v>
      </c>
      <c r="CE144" s="74">
        <f>CE41+CE77+CE109</f>
        <v>32.6</v>
      </c>
      <c r="CF144" s="81">
        <f>IF(ISERROR((CE144/BW144-1)*100),"NA",IF(((CE144/BW144-1)*100)&gt;100,"NM",IF(((CE144/BW144-1)*100)&lt;-50,"NM",(CE144/BW144-1)*100)))</f>
        <v>15.194346289752648</v>
      </c>
      <c r="CG144" s="74">
        <f>CG41+CG77+CG109</f>
        <v>31</v>
      </c>
      <c r="CH144" s="81">
        <f>IF(ISERROR((CG144/BY144-1)*100),"NA",IF(((CG144/BY144-1)*100)&gt;100,"NM",IF(((CG144/BY144-1)*100)&lt;-50,"NM",(CG144/BY144-1)*100)))</f>
        <v>3.3333333333333437</v>
      </c>
      <c r="CI144" s="74">
        <f>CI41+CI77+CI109</f>
        <v>29.5</v>
      </c>
      <c r="CJ144" s="81">
        <f>IF(ISERROR((CI144/CA144-1)*100),"NA",IF(((CI144/CA144-1)*100)&gt;100,"NM",IF(((CI144/CA144-1)*100)&lt;-50,"NM",(CI144/CA144-1)*100)))</f>
        <v>-3.5947712418300748</v>
      </c>
      <c r="CK144" s="74">
        <f>CK41+CK77+CK109</f>
        <v>30.400000000000002</v>
      </c>
      <c r="CL144" s="81">
        <f>IF(ISERROR((CK144/CC144-1)*100),"NA",IF(((CK144/CC144-1)*100)&gt;100,"NM",IF(((CK144/CC144-1)*100)&lt;-50,"NM",(CK144/CC144-1)*100)))</f>
        <v>2.7027027027026973</v>
      </c>
      <c r="CM144" s="74">
        <f>CM41+CM77+CM109</f>
        <v>30.700000000000003</v>
      </c>
      <c r="CN144" s="81">
        <f>IF(ISERROR((CM144/CE144-1)*100),"NA",IF(((CM144/CE144-1)*100)&gt;100,"NM",IF(((CM144/CE144-1)*100)&lt;-50,"NM",(CM144/CE144-1)*100)))</f>
        <v>-5.8282208588957047</v>
      </c>
      <c r="CO144" s="74">
        <f>CO41+CO77+CO109</f>
        <v>31.1</v>
      </c>
      <c r="CP144" s="81">
        <f>IF(ISERROR((CO144/CG144-1)*100),"NA",IF(((CO144/CG144-1)*100)&gt;100,"NM",IF(((CO144/CG144-1)*100)&lt;-50,"NM",(CO144/CG144-1)*100)))</f>
        <v>0.3225806451612856</v>
      </c>
      <c r="CQ144" s="74">
        <f>CQ41+CQ77+CQ109</f>
        <v>30.7</v>
      </c>
      <c r="CR144" s="81">
        <f>IF(ISERROR((CQ144/CI144-1)*100),"NA",IF(((CQ144/CI144-1)*100)&gt;100,"NM",IF(((CQ144/CI144-1)*100)&lt;-50,"NM",(CQ144/CI144-1)*100)))</f>
        <v>4.067796610169494</v>
      </c>
      <c r="CS144" s="74">
        <f>CS41+CS77+CS109</f>
        <v>31.3</v>
      </c>
      <c r="CT144" s="81">
        <f>IF(ISERROR((CS144/CK144-1)*100),"NA",IF(((CS144/CK144-1)*100)&gt;100,"NM",IF(((CS144/CK144-1)*100)&lt;-50,"NM",(CS144/CK144-1)*100)))</f>
        <v>2.960526315789469</v>
      </c>
      <c r="CU144" s="74">
        <f>CU41+CU77+CU109</f>
        <v>31.5</v>
      </c>
      <c r="CV144" s="81">
        <f>IF(ISERROR((CU144/CM144-1)*100),"NA",IF(((CU144/CM144-1)*100)&gt;100,"NM",IF(((CU144/CM144-1)*100)&lt;-50,"NM",(CU144/CM144-1)*100)))</f>
        <v>2.6058631921824116</v>
      </c>
      <c r="CW144" s="74">
        <f>CW41+CW77+CW109</f>
        <v>36.700000000000003</v>
      </c>
      <c r="CX144" s="81">
        <f>IF(ISERROR((CW144/CO144-1)*100),"NA",IF(((CW144/CO144-1)*100)&gt;100,"NM",IF(((CW144/CO144-1)*100)&lt;-50,"NM",(CW144/CO144-1)*100)))</f>
        <v>18.0064308681672</v>
      </c>
      <c r="CY144" s="74">
        <f>CY41+CY77+CY109</f>
        <v>32.099999999999994</v>
      </c>
      <c r="CZ144" s="81">
        <f>IF(ISERROR((CY144/CQ144-1)*100),"NA",IF(((CY144/CQ144-1)*100)&gt;100,"NM",IF(((CY144/CQ144-1)*100)&lt;-50,"NM",(CY144/CQ144-1)*100)))</f>
        <v>4.5602605863191981</v>
      </c>
      <c r="DA144" s="74">
        <f>DA41+DA77+DA109</f>
        <v>30.200000000000003</v>
      </c>
      <c r="DB144" s="81">
        <f>IF(ISERROR((DA144/CS144-1)*100),"NA",IF(((DA144/CS144-1)*100)&gt;100,"NM",IF(((DA144/CS144-1)*100)&lt;-50,"NM",(DA144/CS144-1)*100)))</f>
        <v>-3.514376996805102</v>
      </c>
      <c r="DC144" s="74">
        <f>DC41+DC77+DC109</f>
        <v>29.3</v>
      </c>
      <c r="DD144" s="81">
        <f>IF(ISERROR((DC144/CU144-1)*100),"NA",IF(((DC144/CU144-1)*100)&gt;100,"NM",IF(((DC144/CU144-1)*100)&lt;-50,"NM",(DC144/CU144-1)*100)))</f>
        <v>-6.9841269841269815</v>
      </c>
      <c r="DE144" s="74">
        <f>DE41+DE77+DE109</f>
        <v>30.9</v>
      </c>
      <c r="DF144" s="81">
        <f>IF(ISERROR((DE144/CW144-1)*100),"NA",IF(((DE144/CW144-1)*100)&gt;100,"NM",IF(((DE144/CW144-1)*100)&lt;-50,"NM",(DE144/CW144-1)*100)))</f>
        <v>-15.803814713896468</v>
      </c>
      <c r="DG144" s="74">
        <f>DG41+DG77+DG109</f>
        <v>30.299999999999997</v>
      </c>
      <c r="DH144" s="81">
        <f>IF(ISERROR((DG144/CY144-1)*100),"NA",IF(((DG144/CY144-1)*100)&gt;100,"NM",IF(((DG144/CY144-1)*100)&lt;-50,"NM",(DG144/CY144-1)*100)))</f>
        <v>-5.6074766355140078</v>
      </c>
      <c r="DI144" s="74">
        <f>DI41+DI77+DI109</f>
        <v>30.199999999999996</v>
      </c>
      <c r="DJ144" s="81">
        <f>IF(ISERROR((DI144/DA144-1)*100),"NA",IF(((DI144/DA144-1)*100)&gt;100,"NM",IF(((DI144/DA144-1)*100)&lt;-50,"NM",(DI144/DA144-1)*100)))</f>
        <v>-2.2204460492503131E-14</v>
      </c>
      <c r="DK144" s="74">
        <f>DK41+DK77+DK109</f>
        <v>30.699999999999996</v>
      </c>
      <c r="DL144" s="81">
        <f>IF(ISERROR((DK144/DC144-1)*100),"NA",IF(((DK144/DC144-1)*100)&gt;100,"NM",IF(((DK144/DC144-1)*100)&lt;-50,"NM",(DK144/DC144-1)*100)))</f>
        <v>4.778156996587013</v>
      </c>
      <c r="DM144" s="74">
        <f>DM41+DM77+DM109</f>
        <v>30.900000000000002</v>
      </c>
      <c r="DN144" s="81">
        <f>IF(ISERROR((DM144/DE144-1)*100),"NA",IF(((DM144/DE144-1)*100)&gt;100,"NM",IF(((DM144/DE144-1)*100)&lt;-50,"NM",(DM144/DE144-1)*100)))</f>
        <v>2.2204460492503131E-14</v>
      </c>
      <c r="DO144" s="74">
        <f>DO41+DO77+DO109</f>
        <v>31.4</v>
      </c>
      <c r="DP144" s="81">
        <f>IF(ISERROR((DO144/DG144-1)*100),"NA",IF(((DO144/DG144-1)*100)&gt;100,"NM",IF(((DO144/DG144-1)*100)&lt;-50,"NM",(DO144/DG144-1)*100)))</f>
        <v>3.630363036303641</v>
      </c>
      <c r="DQ144" s="74">
        <f>DQ41+DQ77+DQ109</f>
        <v>28.1</v>
      </c>
      <c r="DR144" s="81">
        <f>IF(ISERROR((DQ144/DI144-1)*100),"NA",IF(((DQ144/DI144-1)*100)&gt;100,"NM",IF(((DQ144/DI144-1)*100)&lt;-50,"NM",(DQ144/DI144-1)*100)))</f>
        <v>-6.9536423841059403</v>
      </c>
      <c r="DS144" s="74">
        <f>DS41+DS77+DS109</f>
        <v>28.8</v>
      </c>
      <c r="DT144" s="81">
        <f>IF(ISERROR((DS144/DK144-1)*100),"NA",IF(((DS144/DK144-1)*100)&gt;100,"NM",IF(((DS144/DK144-1)*100)&lt;-50,"NM",(DS144/DK144-1)*100)))</f>
        <v>-6.1889250814332053</v>
      </c>
      <c r="DU144" s="74">
        <f>DU41+DU77+DU109</f>
        <v>29</v>
      </c>
      <c r="DV144" s="81">
        <f>IF(ISERROR((DU144/DM144-1)*100),"NA",IF(((DU144/DM144-1)*100)&gt;100,"NM",IF(((DU144/DM144-1)*100)&lt;-50,"NM",(DU144/DM144-1)*100)))</f>
        <v>-6.1488673139158623</v>
      </c>
      <c r="DW144" s="74">
        <f>DW41+DW77+DW109</f>
        <v>27.9</v>
      </c>
      <c r="DX144" s="81">
        <f>IF(ISERROR((DW144/DO144-1)*100),"NA",IF(((DW144/DO144-1)*100)&gt;100,"NM",IF(((DW144/DO144-1)*100)&lt;-50,"NM",(DW144/DO144-1)*100)))</f>
        <v>-11.146496815286621</v>
      </c>
      <c r="DY144" s="74">
        <f>DY41+DY77+DY109</f>
        <v>28.700000000000003</v>
      </c>
      <c r="DZ144" s="81">
        <f>IF(ISERROR((DY144/DQ144-1)*100),"NA",IF(((DY144/DQ144-1)*100)&gt;100,"NM",IF(((DY144/DQ144-1)*100)&lt;-50,"NM",(DY144/DQ144-1)*100)))</f>
        <v>2.135231316725994</v>
      </c>
      <c r="EA144" s="74">
        <f>EA41+EA77+EA109</f>
        <v>27.7</v>
      </c>
      <c r="EB144" s="81">
        <f>IF(ISERROR((EA144/DS144-1)*100),"NA",IF(((EA144/DS144-1)*100)&gt;100,"NM",IF(((EA144/DS144-1)*100)&lt;-50,"NM",(EA144/DS144-1)*100)))</f>
        <v>-3.8194444444444531</v>
      </c>
      <c r="EC144" s="74">
        <f>EC41+EC77+EC109</f>
        <v>28.7</v>
      </c>
      <c r="ED144" s="81">
        <f t="shared" si="489"/>
        <v>-1.0344827586206917</v>
      </c>
      <c r="EE144" s="74">
        <f>EE41+EE77+EE109</f>
        <v>30.1</v>
      </c>
      <c r="EF144" s="81">
        <f t="shared" si="490"/>
        <v>7.8853046594982157</v>
      </c>
      <c r="EG144" s="74">
        <f>EG41+EG77+EG109</f>
        <v>26.5</v>
      </c>
      <c r="EH144" s="81">
        <f t="shared" si="491"/>
        <v>-7.6655052264808399</v>
      </c>
      <c r="EI144" s="74">
        <f>EI41+EI77+EI109</f>
        <v>27.9</v>
      </c>
      <c r="EJ144" s="81">
        <f t="shared" si="492"/>
        <v>0.72202166064980755</v>
      </c>
      <c r="EK144" s="74">
        <f t="shared" ref="EK144:EQ144" si="499">EK41+EK77+EK109</f>
        <v>28.009999999999994</v>
      </c>
      <c r="EL144" s="81">
        <f t="shared" si="494"/>
        <v>-2.4041811846690075</v>
      </c>
      <c r="EM144" s="74">
        <f t="shared" si="499"/>
        <v>28.503209999999999</v>
      </c>
      <c r="EN144" s="81">
        <f t="shared" si="495"/>
        <v>-5.304950166112965</v>
      </c>
      <c r="EO144" s="74">
        <f t="shared" si="499"/>
        <v>28.999669299999997</v>
      </c>
      <c r="EP144" s="81">
        <f t="shared" si="496"/>
        <v>9.4327143396226276</v>
      </c>
      <c r="EQ144" s="74">
        <f t="shared" si="499"/>
        <v>29.089417736999998</v>
      </c>
      <c r="ER144" s="81">
        <f t="shared" si="497"/>
        <v>4.2631460107526831</v>
      </c>
      <c r="ES144" s="82"/>
      <c r="ET144" s="469"/>
      <c r="EU144" s="82"/>
      <c r="EV144" s="171"/>
      <c r="EW144" s="79"/>
      <c r="EX144" s="171"/>
      <c r="EY144" s="79"/>
      <c r="EZ144" s="171"/>
      <c r="FA144" s="79"/>
      <c r="FB144" s="217"/>
      <c r="FC144" s="79"/>
      <c r="FD144" s="74">
        <f>FD41+FD77+FD109</f>
        <v>46.6</v>
      </c>
      <c r="FE144" s="79" t="str">
        <f>IF(ISERROR((FD144/FB144-1)*100),"NA",IF(((FD144/FB144-1)*100)&gt;100,"NM",IF(((FD144/FB144-1)*100)&lt;-50,"NM",(FD144/FB144-1)*100)))</f>
        <v>NA</v>
      </c>
      <c r="FF144" s="74">
        <f>FF41+FF77+FF109</f>
        <v>70.599999999999994</v>
      </c>
      <c r="FG144" s="79">
        <f>IF(ISERROR((FF144/FD144-1)*100),"NA",IF(((FF144/FD144-1)*100)&gt;100,"NM",IF(((FF144/FD144-1)*100)&lt;-50,"NM",(FF144/FD144-1)*100)))</f>
        <v>51.502145922746756</v>
      </c>
      <c r="FH144" s="74">
        <f>FH41+FH77+FH109</f>
        <v>89.8</v>
      </c>
      <c r="FI144" s="79">
        <f>IF(ISERROR((FH144/FF144-1)*100),"NA",IF(((FH144/FF144-1)*100)&gt;100,"NM",IF(((FH144/FF144-1)*100)&lt;-50,"NM",(FH144/FF144-1)*100)))</f>
        <v>27.195467422096332</v>
      </c>
      <c r="FJ144" s="74">
        <f>FJ41+FJ77+FJ109</f>
        <v>108.6</v>
      </c>
      <c r="FK144" s="79">
        <f>IF(ISERROR((FJ144/FH144-1)*100),"NA",IF(((FJ144/FH144-1)*100)&gt;100,"NM",IF(((FJ144/FH144-1)*100)&lt;-50,"NM",(FJ144/FH144-1)*100)))</f>
        <v>20.935412026726063</v>
      </c>
      <c r="FL144" s="74">
        <f>FL41+FL77+FL109</f>
        <v>108.50000000000001</v>
      </c>
      <c r="FM144" s="79">
        <f>IF(ISERROR((FL144/FJ144-1)*100),"NA",IF(((FL144/FJ144-1)*100)&gt;100,"NM",IF(((FL144/FJ144-1)*100)&lt;-50,"NM",(FL144/FJ144-1)*100)))</f>
        <v>-9.2081031307533756E-2</v>
      </c>
      <c r="FN144" s="74">
        <f>FN41+FN77+FN109</f>
        <v>135.6</v>
      </c>
      <c r="FO144" s="79">
        <f>IF(ISERROR((FN144/FL144-1)*100),"NA",IF(((FN144/FL144-1)*100)&gt;100,"NM",IF(((FN144/FL144-1)*100)&lt;-50,"NM",(FN144/FL144-1)*100)))</f>
        <v>24.976958525345605</v>
      </c>
      <c r="FP144" s="74">
        <f>FP41+FP77+FP109</f>
        <v>132.69999999999999</v>
      </c>
      <c r="FQ144" s="79">
        <f>IF(ISERROR((FP144/FN144-1)*100),"NA",IF(((FP144/FN144-1)*100)&gt;100,"NM",IF(((FP144/FN144-1)*100)&lt;-50,"NM",(FP144/FN144-1)*100)))</f>
        <v>-2.1386430678466128</v>
      </c>
      <c r="FR144" s="74">
        <f>FR41+FR77+FR109</f>
        <v>118.8</v>
      </c>
      <c r="FS144" s="79">
        <f>IF(ISERROR((FR144/FP144-1)*100),"NA",IF(((FR144/FP144-1)*100)&gt;100,"NM",IF(((FR144/FP144-1)*100)&lt;-50,"NM",(FR144/FP144-1)*100)))</f>
        <v>-10.474755086661636</v>
      </c>
      <c r="FT144" s="74">
        <f>FT41+FT77+FT109</f>
        <v>122.8</v>
      </c>
      <c r="FU144" s="79">
        <f>IF(ISERROR((FT144/FR144-1)*100),"NA",IF(((FT144/FR144-1)*100)&gt;100,"NM",IF(((FT144/FR144-1)*100)&lt;-50,"NM",(FT144/FR144-1)*100)))</f>
        <v>3.3670033670033739</v>
      </c>
      <c r="FV144" s="74">
        <f>FV41+FV77+FV109</f>
        <v>121.6</v>
      </c>
      <c r="FW144" s="79">
        <f>IF(ISERROR((FV144/FT144-1)*100),"NA",IF(((FV144/FT144-1)*100)&gt;100,"NM",IF(((FV144/FT144-1)*100)&lt;-50,"NM",(FV144/FT144-1)*100)))</f>
        <v>-0.97719869706840434</v>
      </c>
      <c r="FX144" s="74">
        <f>FX41+FX77+FX109</f>
        <v>124.60000000000001</v>
      </c>
      <c r="FY144" s="79">
        <f>IF(ISERROR((FX144/FV144-1)*100),"NA",IF(((FX144/FV144-1)*100)&gt;100,"NM",IF(((FX144/FV144-1)*100)&lt;-50,"NM",(FX144/FV144-1)*100)))</f>
        <v>2.4671052631578982</v>
      </c>
      <c r="FZ144" s="74">
        <f>FZ41+FZ77+FZ109</f>
        <v>128.29999999999998</v>
      </c>
      <c r="GA144" s="79">
        <f>IF(ISERROR((FZ144/FX144-1)*100),"NA",IF(((FZ144/FX144-1)*100)&gt;100,"NM",IF(((FZ144/FX144-1)*100)&lt;-50,"NM",(FZ144/FX144-1)*100)))</f>
        <v>2.9695024077046384</v>
      </c>
      <c r="GB144" s="74">
        <f>GB41+GB77+GB109</f>
        <v>122.10000000000001</v>
      </c>
      <c r="GC144" s="79">
        <f>IF(ISERROR((GB144/FZ144-1)*100),"NA",IF(((GB144/FZ144-1)*100)&gt;100,"NM",IF(((GB144/FZ144-1)*100)&lt;-50,"NM",(GB144/FZ144-1)*100)))</f>
        <v>-4.8324240062353692</v>
      </c>
      <c r="GD144" s="74">
        <f>GD41+GD77+GD109</f>
        <v>119.2</v>
      </c>
      <c r="GE144" s="79">
        <f>IF(ISERROR((GD144/GB144-1)*100),"NA",IF(((GD144/GB144-1)*100)&gt;100,"NM",IF(((GD144/GB144-1)*100)&lt;-50,"NM",(GD144/GB144-1)*100)))</f>
        <v>-2.3751023751023781</v>
      </c>
      <c r="GF144" s="74">
        <f>GF41+GF77+GF109</f>
        <v>113.3</v>
      </c>
      <c r="GG144" s="79">
        <f>IF(ISERROR((GF144/GD144-1)*100),"NA",IF(((GF144/GD144-1)*100)&gt;100,"NM",IF(((GF144/GD144-1)*100)&lt;-50,"NM",(GF144/GD144-1)*100)))</f>
        <v>-4.949664429530209</v>
      </c>
      <c r="GH144" s="74">
        <f>GH41+GH77+GH109</f>
        <v>113.20000000000002</v>
      </c>
      <c r="GI144" s="79">
        <f>IF(ISERROR((GH144/GF144-1)*100),"NA",IF(((GH144/GF144-1)*100)&gt;100,"NM",IF(((GH144/GF144-1)*100)&lt;-50,"NM",(GH144/GF144-1)*100)))</f>
        <v>-8.8261253309784848E-2</v>
      </c>
      <c r="GJ144" s="74">
        <f>GJ41+GJ77+GJ109</f>
        <v>114.60229703699999</v>
      </c>
      <c r="GK144" s="79">
        <f>IF(ISERROR((GJ144/GH144-1)*100),"NA",IF(((GJ144/GH144-1)*100)&gt;100,"NM",IF(((GJ144/GH144-1)*100)&lt;-50,"NM",(GJ144/GH144-1)*100)))</f>
        <v>1.2387783012367315</v>
      </c>
      <c r="GL144" s="74">
        <f>GL41+GL77+GL109</f>
        <v>119.26206164135999</v>
      </c>
      <c r="GM144" s="79">
        <f>IF(ISERROR((GL144/GJ144-1)*100),"NA",IF(((GL144/GJ144-1)*100)&gt;100,"NM",IF(((GL144/GJ144-1)*100)&lt;-50,"NM",(GL144/GJ144-1)*100)))</f>
        <v>4.0660307208812529</v>
      </c>
      <c r="GN144" s="74">
        <f>GN41+GN77+GN109</f>
        <v>124.11200046603841</v>
      </c>
      <c r="GO144" s="79">
        <f>IF(ISERROR((GN144/GL144-1)*100),"NA",IF(((GN144/GL144-1)*100)&gt;100,"NM",IF(((GN144/GL144-1)*100)&lt;-50,"NM",(GN144/GL144-1)*100)))</f>
        <v>4.0666233317875777</v>
      </c>
      <c r="GP144" s="74">
        <f>GP41+GP77+GP109</f>
        <v>129.15990966165515</v>
      </c>
      <c r="GQ144" s="79">
        <f>IF(ISERROR((GP144/GN144-1)*100),"NA",IF(((GP144/GN144-1)*100)&gt;100,"NM",IF(((GP144/GN144-1)*100)&lt;-50,"NM",(GP144/GN144-1)*100)))</f>
        <v>4.0672208784500619</v>
      </c>
      <c r="GR144" s="74">
        <f>GR41+GR77+GR109</f>
        <v>134.4139066839453</v>
      </c>
      <c r="GS144" s="79">
        <f>IF(ISERROR((GR144/GP144-1)*100),"NA",IF(((GR144/GP144-1)*100)&gt;100,"NM",IF(((GR144/GP144-1)*100)&lt;-50,"NM",(GR144/GP144-1)*100)))</f>
        <v>4.067823395087089</v>
      </c>
      <c r="GT144" s="79">
        <f>IF(ISERROR(((GR144/GH144)^0.2-1)*100),"NA",(IF(OR(((GR144/GH144)^0.2-1)*100&gt;99,((GR144/GH144)^0.2-1)*100&lt;-50),"NM",(((GR144/GH144)^0.2-1)*100))))</f>
        <v>3.4950444502746203</v>
      </c>
    </row>
    <row r="145" spans="1:286" s="83" customFormat="1" ht="12.75" customHeight="1" x14ac:dyDescent="0.2">
      <c r="A145" s="77"/>
      <c r="B145" s="83" t="s">
        <v>56</v>
      </c>
      <c r="C145" s="140"/>
      <c r="D145" s="140"/>
      <c r="E145" s="242"/>
      <c r="F145" s="242"/>
      <c r="G145" s="242"/>
      <c r="H145" s="243"/>
      <c r="I145" s="242"/>
      <c r="J145" s="242"/>
      <c r="K145" s="242"/>
      <c r="L145" s="79"/>
      <c r="M145" s="242"/>
      <c r="N145" s="79"/>
      <c r="O145" s="242"/>
      <c r="P145" s="79"/>
      <c r="Q145" s="242"/>
      <c r="R145" s="79"/>
      <c r="S145" s="242"/>
      <c r="T145" s="79"/>
      <c r="U145" s="242">
        <f>SUM(U142:U144)</f>
        <v>1566.6</v>
      </c>
      <c r="V145" s="79" t="str">
        <f>IF(ISERROR((U145/M145-1)*100),"NA",IF(((U145/M145-1)*100)&gt;100,"NM",IF(((U145/M145-1)*100)&lt;-50,"NM",(U145/M145-1)*100)))</f>
        <v>NA</v>
      </c>
      <c r="W145" s="242">
        <f>SUM(W142:W144)</f>
        <v>1609.8</v>
      </c>
      <c r="X145" s="79" t="str">
        <f>IF(ISERROR((W145/O145-1)*100),"NA",IF(((W145/O145-1)*100)&gt;100,"NM",IF(((W145/O145-1)*100)&lt;-50,"NM",(W145/O145-1)*100)))</f>
        <v>NA</v>
      </c>
      <c r="Y145" s="242">
        <f>SUM(Y142:Y144)</f>
        <v>1633.6000000000001</v>
      </c>
      <c r="Z145" s="79" t="str">
        <f>IF(ISERROR((Y145/Q145-1)*100),"NA",IF(((Y145/Q145-1)*100)&gt;100,"NM",IF(((Y145/Q145-1)*100)&lt;-50,"NM",(Y145/Q145-1)*100)))</f>
        <v>NA</v>
      </c>
      <c r="AA145" s="244">
        <f>SUM(AA142:AA144)</f>
        <v>1617</v>
      </c>
      <c r="AB145" s="79" t="str">
        <f>IF(ISERROR((AA145/S145-1)*100),"NA",IF(((AA145/S145-1)*100)&gt;100,"NM",IF(((AA145/S145-1)*100)&lt;-50,"NM",(AA145/S145-1)*100)))</f>
        <v>NA</v>
      </c>
      <c r="AC145" s="242">
        <f>SUM(AC142:AC144)</f>
        <v>1616.1999999999998</v>
      </c>
      <c r="AD145" s="79">
        <f>IF(ISERROR((AC145/U145-1)*100),"NA",IF(((AC145/U145-1)*100)&gt;100,"NM",IF(((AC145/U145-1)*100)&lt;-50,"NM",(AC145/U145-1)*100)))</f>
        <v>3.1660921741350601</v>
      </c>
      <c r="AE145" s="242">
        <f>SUM(AE142:AE144)</f>
        <v>1619.3</v>
      </c>
      <c r="AF145" s="79">
        <f>IF(ISERROR((AE145/W145-1)*100),"NA",IF(((AE145/W145-1)*100)&gt;100,"NM",IF(((AE145/W145-1)*100)&lt;-50,"NM",(AE145/W145-1)*100)))</f>
        <v>0.5901354205491316</v>
      </c>
      <c r="AG145" s="242">
        <f>SUM(AG142:AG144)</f>
        <v>1608.3</v>
      </c>
      <c r="AH145" s="79">
        <f>IF(ISERROR((AG145/Y145-1)*100),"NA",IF(((AG145/Y145-1)*100)&gt;100,"NM",IF(((AG145/Y145-1)*100)&lt;-50,"NM",(AG145/Y145-1)*100)))</f>
        <v>-1.5487267384916903</v>
      </c>
      <c r="AI145" s="242">
        <f>SUM(AI142:AI144)</f>
        <v>1633.3999999999999</v>
      </c>
      <c r="AJ145" s="79">
        <f>IF(ISERROR((AI145/AA145-1)*100),"NA",IF(((AI145/AA145-1)*100)&gt;100,"NM",IF(((AI145/AA145-1)*100)&lt;-50,"NM",(AI145/AA145-1)*100)))</f>
        <v>1.0142238713667151</v>
      </c>
      <c r="AK145" s="242">
        <f>SUM(AK142:AK144)</f>
        <v>1580.2000000000003</v>
      </c>
      <c r="AL145" s="79">
        <f>IF(ISERROR((AK145/AC145-1)*100),"NA",IF(((AK145/AC145-1)*100)&gt;100,"NM",IF(((AK145/AC145-1)*100)&lt;-50,"NM",(AK145/AC145-1)*100)))</f>
        <v>-2.2274470981313965</v>
      </c>
      <c r="AM145" s="242">
        <f>SUM(AM142:AM144)</f>
        <v>1592.9</v>
      </c>
      <c r="AN145" s="79">
        <f>IF(ISERROR((AM145/AE145-1)*100),"NA",IF(((AM145/AE145-1)*100)&gt;100,"NM",IF(((AM145/AE145-1)*100)&lt;-50,"NM",(AM145/AE145-1)*100)))</f>
        <v>-1.6303340949793022</v>
      </c>
      <c r="AO145" s="242">
        <f>SUM(AO142:AO144)</f>
        <v>1569.7</v>
      </c>
      <c r="AP145" s="79">
        <f>IF(ISERROR((AO145/AG145-1)*100),"NA",IF(((AO145/AG145-1)*100)&gt;100,"NM",IF(((AO145/AG145-1)*100)&lt;-50,"NM",(AO145/AG145-1)*100)))</f>
        <v>-2.4000497419635614</v>
      </c>
      <c r="AQ145" s="242">
        <f>SUM(AQ142:AQ144)</f>
        <v>1593</v>
      </c>
      <c r="AR145" s="79">
        <f>IF(ISERROR((AQ145/AI145-1)*100),"NA",IF(((AQ145/AI145-1)*100)&gt;100,"NM",IF(((AQ145/AI145-1)*100)&lt;-50,"NM",(AQ145/AI145-1)*100)))</f>
        <v>-2.4733684339414586</v>
      </c>
      <c r="AS145" s="242">
        <f>SUM(AS142:AS144)</f>
        <v>1586.9</v>
      </c>
      <c r="AT145" s="81">
        <f>IF(ISERROR((AS145/AK145-1)*100),"NA",IF(((AS145/AK145-1)*100)&gt;100,"NM",IF(((AS145/AK145-1)*100)&lt;-50,"NM",(AS145/AK145-1)*100)))</f>
        <v>0.42399696240980056</v>
      </c>
      <c r="AU145" s="242">
        <f>SUM(AU142:AU144)</f>
        <v>1598.6</v>
      </c>
      <c r="AV145" s="81">
        <f>IF(ISERROR((AU145/AM145-1)*100),"NA",IF(((AU145/AM145-1)*100)&gt;100,"NM",IF(((AU145/AM145-1)*100)&lt;-50,"NM",(AU145/AM145-1)*100)))</f>
        <v>0.35783790570655949</v>
      </c>
      <c r="AW145" s="242">
        <f>SUM(AW142:AW144)</f>
        <v>1567.8</v>
      </c>
      <c r="AX145" s="81">
        <f>IF(ISERROR((AW145/AO145-1)*100),"NA",IF(((AW145/AO145-1)*100)&gt;100,"NM",IF(((AW145/AO145-1)*100)&lt;-50,"NM",(AW145/AO145-1)*100)))</f>
        <v>-0.12104223737020581</v>
      </c>
      <c r="AY145" s="242">
        <f>SUM(AY142:AY144)</f>
        <v>1614.3</v>
      </c>
      <c r="AZ145" s="81">
        <f>IF(ISERROR((AY145/AQ145-1)*100),"NA",IF(((AY145/AQ145-1)*100)&gt;100,"NM",IF(((AY145/AQ145-1)*100)&lt;-50,"NM",(AY145/AQ145-1)*100)))</f>
        <v>1.3370998116760902</v>
      </c>
      <c r="BA145" s="242">
        <f>SUM(BA142:BA144)</f>
        <v>1553.2</v>
      </c>
      <c r="BB145" s="81">
        <f>IF(ISERROR((BA145/AS145-1)*100),"NA",IF(((BA145/AS145-1)*100)&gt;100,"NM",IF(((BA145/AS145-1)*100)&lt;-50,"NM",(BA145/AS145-1)*100)))</f>
        <v>-2.1236372802319048</v>
      </c>
      <c r="BC145" s="242">
        <f>SUM(BC142:BC144)</f>
        <v>1583</v>
      </c>
      <c r="BD145" s="81">
        <f>IF(ISERROR((BC145/AU145-1)*100),"NA",IF(((BC145/AU145-1)*100)&gt;100,"NM",IF(((BC145/AU145-1)*100)&lt;-50,"NM",(BC145/AU145-1)*100)))</f>
        <v>-0.97585387213811048</v>
      </c>
      <c r="BE145" s="242">
        <f>SUM(BE142:BE144)</f>
        <v>1566.6</v>
      </c>
      <c r="BF145" s="81">
        <f>IF(ISERROR((BE145/AW145-1)*100),"NA",IF(((BE145/AW145-1)*100)&gt;100,"NM",IF(((BE145/AW145-1)*100)&lt;-50,"NM",(BE145/AW145-1)*100)))</f>
        <v>-7.6540375047839948E-2</v>
      </c>
      <c r="BG145" s="242">
        <f>SUM(BG142:BG144)</f>
        <v>1560.7999999999997</v>
      </c>
      <c r="BH145" s="81">
        <f>IF(ISERROR((BG145/AY145-1)*100),"NA",IF(((BG145/AY145-1)*100)&gt;100,"NM",IF(((BG145/AY145-1)*100)&lt;-50,"NM",(BG145/AY145-1)*100)))</f>
        <v>-3.3141299634516619</v>
      </c>
      <c r="BI145" s="242">
        <f>SUM(BI142:BI144)</f>
        <v>1539</v>
      </c>
      <c r="BJ145" s="81">
        <f>IF(ISERROR((BI145/BA145-1)*100),"NA",IF(((BI145/BA145-1)*100)&gt;100,"NM",IF(((BI145/BA145-1)*100)&lt;-50,"NM",(BI145/BA145-1)*100)))</f>
        <v>-0.914241565799645</v>
      </c>
      <c r="BK145" s="242">
        <f>SUM(BK142:BK144)</f>
        <v>1566.8000000000002</v>
      </c>
      <c r="BL145" s="81">
        <f>IF(ISERROR((BK145/BC145-1)*100),"NA",IF(((BK145/BC145-1)*100)&gt;100,"NM",IF(((BK145/BC145-1)*100)&lt;-50,"NM",(BK145/BC145-1)*100)))</f>
        <v>-1.0233733417561508</v>
      </c>
      <c r="BM145" s="242">
        <f>SUM(BM142:BM144)</f>
        <v>1556.8999999999999</v>
      </c>
      <c r="BN145" s="81">
        <f>IF(ISERROR((BM145/BE145-1)*100),"NA",IF(((BM145/BE145-1)*100)&gt;100,"NM",IF(((BM145/BE145-1)*100)&lt;-50,"NM",(BM145/BE145-1)*100)))</f>
        <v>-0.61917528405464051</v>
      </c>
      <c r="BO145" s="242">
        <f>SUM(BO142:BO144)</f>
        <v>1569.4000000000003</v>
      </c>
      <c r="BP145" s="81">
        <f>IF(ISERROR((BO145/BG145-1)*100),"NA",IF(((BO145/BG145-1)*100)&gt;100,"NM",IF(((BO145/BG145-1)*100)&lt;-50,"NM",(BO145/BG145-1)*100)))</f>
        <v>0.55099948744237182</v>
      </c>
      <c r="BQ145" s="242">
        <f>SUM(BQ142:BQ144)</f>
        <v>1549.2</v>
      </c>
      <c r="BR145" s="81">
        <f>IF(ISERROR((BQ145/BI145-1)*100),"NA",IF(((BQ145/BI145-1)*100)&gt;100,"NM",IF(((BQ145/BI145-1)*100)&lt;-50,"NM",(BQ145/BI145-1)*100)))</f>
        <v>0.66276803118907601</v>
      </c>
      <c r="BS145" s="242">
        <f>SUM(BS142:BS144)</f>
        <v>1557.7999999999997</v>
      </c>
      <c r="BT145" s="81">
        <f>IF(ISERROR((BS145/BK145-1)*100),"NA",IF(((BS145/BK145-1)*100)&gt;100,"NM",IF(((BS145/BK145-1)*100)&lt;-50,"NM",(BS145/BK145-1)*100)))</f>
        <v>-0.57441919836612731</v>
      </c>
      <c r="BU145" s="242">
        <f>SUM(BU142:BU144)</f>
        <v>1546.7999999999997</v>
      </c>
      <c r="BV145" s="81">
        <f>IF(ISERROR((BU145/BM145-1)*100),"NA",IF(((BU145/BM145-1)*100)&gt;100,"NM",IF(((BU145/BM145-1)*100)&lt;-50,"NM",(BU145/BM145-1)*100)))</f>
        <v>-0.64872503050935615</v>
      </c>
      <c r="BW145" s="242">
        <f>SUM(BW142:BW144)</f>
        <v>1538.5</v>
      </c>
      <c r="BX145" s="81">
        <f>IF(ISERROR((BW145/BO145-1)*100),"NA",IF(((BW145/BO145-1)*100)&gt;100,"NM",IF(((BW145/BO145-1)*100)&lt;-50,"NM",(BW145/BO145-1)*100)))</f>
        <v>-1.9689053141328072</v>
      </c>
      <c r="BY145" s="242">
        <f>SUM(BY142:BY144)</f>
        <v>1326.2</v>
      </c>
      <c r="BZ145" s="81">
        <f>IF(ISERROR((BY145/BQ145-1)*100),"NA",IF(((BY145/BQ145-1)*100)&gt;100,"NM",IF(((BY145/BQ145-1)*100)&lt;-50,"NM",(BY145/BQ145-1)*100)))</f>
        <v>-14.39452620707462</v>
      </c>
      <c r="CA145" s="242">
        <f>SUM(CA142:CA144)</f>
        <v>1335.3999999999999</v>
      </c>
      <c r="CB145" s="81">
        <f>IF(ISERROR((CA145/BS145-1)*100),"NA",IF(((CA145/BS145-1)*100)&gt;100,"NM",IF(((CA145/BS145-1)*100)&lt;-50,"NM",(CA145/BS145-1)*100)))</f>
        <v>-14.276543843882394</v>
      </c>
      <c r="CC145" s="242">
        <f>SUM(CC142:CC144)</f>
        <v>1322.8999999999999</v>
      </c>
      <c r="CD145" s="81">
        <f>IF(ISERROR((CC145/BU145-1)*100),"NA",IF(((CC145/BU145-1)*100)&gt;100,"NM",IF(((CC145/BU145-1)*100)&lt;-50,"NM",(CC145/BU145-1)*100)))</f>
        <v>-14.47504525471941</v>
      </c>
      <c r="CE145" s="242">
        <f>SUM(CE142:CE144)</f>
        <v>1335.2</v>
      </c>
      <c r="CF145" s="81">
        <f>IF(ISERROR((CE145/BW145-1)*100),"NA",IF(((CE145/BW145-1)*100)&gt;100,"NM",IF(((CE145/BW145-1)*100)&lt;-50,"NM",(CE145/BW145-1)*100)))</f>
        <v>-13.214169645758854</v>
      </c>
      <c r="CG145" s="242">
        <f>SUM(CG142:CG144)</f>
        <v>1333.5</v>
      </c>
      <c r="CH145" s="81">
        <f>IF(ISERROR((CG145/BY145-1)*100),"NA",IF(((CG145/BY145-1)*100)&gt;100,"NM",IF(((CG145/BY145-1)*100)&lt;-50,"NM",(CG145/BY145-1)*100)))</f>
        <v>0.55044488010858039</v>
      </c>
      <c r="CI145" s="242">
        <f>SUM(CI142:CI144)</f>
        <v>1338.1999999999998</v>
      </c>
      <c r="CJ145" s="81">
        <f>IF(ISERROR((CI145/CA145-1)*100),"NA",IF(((CI145/CA145-1)*100)&gt;100,"NM",IF(((CI145/CA145-1)*100)&lt;-50,"NM",(CI145/CA145-1)*100)))</f>
        <v>0.209675003744203</v>
      </c>
      <c r="CK145" s="242">
        <f>SUM(CK142:CK144)</f>
        <v>1344.8000000000002</v>
      </c>
      <c r="CL145" s="81">
        <f>IF(ISERROR((CK145/CC145-1)*100),"NA",IF(((CK145/CC145-1)*100)&gt;100,"NM",IF(((CK145/CC145-1)*100)&lt;-50,"NM",(CK145/CC145-1)*100)))</f>
        <v>1.6554539269786339</v>
      </c>
      <c r="CM145" s="242">
        <f>SUM(CM142:CM144)</f>
        <v>1352.5</v>
      </c>
      <c r="CN145" s="81">
        <f>IF(ISERROR((CM145/CE145-1)*100),"NA",IF(((CM145/CE145-1)*100)&gt;100,"NM",IF(((CM145/CE145-1)*100)&lt;-50,"NM",(CM145/CE145-1)*100)))</f>
        <v>1.2956860395446412</v>
      </c>
      <c r="CO145" s="242">
        <f>SUM(CO142:CO144)</f>
        <v>1381.6999999999998</v>
      </c>
      <c r="CP145" s="81">
        <f>IF(ISERROR((CO145/CG145-1)*100),"NA",IF(((CO145/CG145-1)*100)&gt;100,"NM",IF(((CO145/CG145-1)*100)&lt;-50,"NM",(CO145/CG145-1)*100)))</f>
        <v>3.6145481814773062</v>
      </c>
      <c r="CQ145" s="242">
        <f>SUM(CQ142:CQ144)</f>
        <v>1382.6000000000001</v>
      </c>
      <c r="CR145" s="81">
        <f>IF(ISERROR((CQ145/CI145-1)*100),"NA",IF(((CQ145/CI145-1)*100)&gt;100,"NM",IF(((CQ145/CI145-1)*100)&lt;-50,"NM",(CQ145/CI145-1)*100)))</f>
        <v>3.3178897025855969</v>
      </c>
      <c r="CS145" s="242">
        <f>SUM(CS142:CS144)</f>
        <v>1379.5</v>
      </c>
      <c r="CT145" s="81">
        <f>IF(ISERROR((CS145/CK145-1)*100),"NA",IF(((CS145/CK145-1)*100)&gt;100,"NM",IF(((CS145/CK145-1)*100)&lt;-50,"NM",(CS145/CK145-1)*100)))</f>
        <v>2.5803093396787435</v>
      </c>
      <c r="CU145" s="242">
        <f>SUM(CU142:CU144)</f>
        <v>1389.6</v>
      </c>
      <c r="CV145" s="81">
        <f>IF(ISERROR((CU145/CM145-1)*100),"NA",IF(((CU145/CM145-1)*100)&gt;100,"NM",IF(((CU145/CM145-1)*100)&lt;-50,"NM",(CU145/CM145-1)*100)))</f>
        <v>2.7430683918669096</v>
      </c>
      <c r="CW145" s="242">
        <f>SUM(CW142:CW144)</f>
        <v>1409.2</v>
      </c>
      <c r="CX145" s="81">
        <f>IF(ISERROR((CW145/CO145-1)*100),"NA",IF(((CW145/CO145-1)*100)&gt;100,"NM",IF(((CW145/CO145-1)*100)&lt;-50,"NM",(CW145/CO145-1)*100)))</f>
        <v>1.9903018021278251</v>
      </c>
      <c r="CY145" s="242">
        <f>SUM(CY142:CY144)</f>
        <v>1391.8</v>
      </c>
      <c r="CZ145" s="81">
        <f>IF(ISERROR((CY145/CQ145-1)*100),"NA",IF(((CY145/CQ145-1)*100)&gt;100,"NM",IF(((CY145/CQ145-1)*100)&lt;-50,"NM",(CY145/CQ145-1)*100)))</f>
        <v>0.66541299001878773</v>
      </c>
      <c r="DA145" s="242">
        <f>SUM(DA142:DA144)</f>
        <v>1385</v>
      </c>
      <c r="DB145" s="81">
        <f>IF(ISERROR((DA145/CS145-1)*100),"NA",IF(((DA145/CS145-1)*100)&gt;100,"NM",IF(((DA145/CS145-1)*100)&lt;-50,"NM",(DA145/CS145-1)*100)))</f>
        <v>0.3986951794128224</v>
      </c>
      <c r="DC145" s="242">
        <f>SUM(DC142:DC144)</f>
        <v>1378.8</v>
      </c>
      <c r="DD145" s="81">
        <f>IF(ISERROR((DC145/CU145-1)*100),"NA",IF(((DC145/CU145-1)*100)&gt;100,"NM",IF(((DC145/CU145-1)*100)&lt;-50,"NM",(DC145/CU145-1)*100)))</f>
        <v>-0.77720207253885176</v>
      </c>
      <c r="DE145" s="242">
        <f>SUM(DE142:DE144)</f>
        <v>1406.5</v>
      </c>
      <c r="DF145" s="81">
        <f>IF(ISERROR((DE145/CW145-1)*100),"NA",IF(((DE145/CW145-1)*100)&gt;100,"NM",IF(((DE145/CW145-1)*100)&lt;-50,"NM",(DE145/CW145-1)*100)))</f>
        <v>-0.19159806982685934</v>
      </c>
      <c r="DG145" s="242">
        <f>SUM(DG142:DG144)</f>
        <v>1406.1999999999998</v>
      </c>
      <c r="DH145" s="81">
        <f>IF(ISERROR((DG145/CY145-1)*100),"NA",IF(((DG145/CY145-1)*100)&gt;100,"NM",IF(((DG145/CY145-1)*100)&lt;-50,"NM",(DG145/CY145-1)*100)))</f>
        <v>1.0346314125592615</v>
      </c>
      <c r="DI145" s="242">
        <f>SUM(DI142:DI144)</f>
        <v>1407.3</v>
      </c>
      <c r="DJ145" s="81">
        <f>IF(ISERROR((DI145/DA145-1)*100),"NA",IF(((DI145/DA145-1)*100)&gt;100,"NM",IF(((DI145/DA145-1)*100)&lt;-50,"NM",(DI145/DA145-1)*100)))</f>
        <v>1.6101083032491026</v>
      </c>
      <c r="DK145" s="242">
        <f>SUM(DK142:DK144)</f>
        <v>1440.7</v>
      </c>
      <c r="DL145" s="81">
        <f>IF(ISERROR((DK145/DC145-1)*100),"NA",IF(((DK145/DC145-1)*100)&gt;100,"NM",IF(((DK145/DC145-1)*100)&lt;-50,"NM",(DK145/DC145-1)*100)))</f>
        <v>4.4894110821003919</v>
      </c>
      <c r="DM145" s="242">
        <f>SUM(DM142:DM144)</f>
        <v>1476.1000000000001</v>
      </c>
      <c r="DN145" s="81">
        <f>IF(ISERROR((DM145/DE145-1)*100),"NA",IF(((DM145/DE145-1)*100)&gt;100,"NM",IF(((DM145/DE145-1)*100)&lt;-50,"NM",(DM145/DE145-1)*100)))</f>
        <v>4.9484536082474273</v>
      </c>
      <c r="DO145" s="242">
        <f>SUM(DO142:DO144)</f>
        <v>1483.5000000000002</v>
      </c>
      <c r="DP145" s="81">
        <f>IF(ISERROR((DO145/DG145-1)*100),"NA",IF(((DO145/DG145-1)*100)&gt;100,"NM",IF(((DO145/DG145-1)*100)&lt;-50,"NM",(DO145/DG145-1)*100)))</f>
        <v>5.4970843407765813</v>
      </c>
      <c r="DQ145" s="242">
        <f>SUM(DQ142:DQ144)</f>
        <v>1484.1999999999998</v>
      </c>
      <c r="DR145" s="81">
        <f>IF(ISERROR((DQ145/DI145-1)*100),"NA",IF(((DQ145/DI145-1)*100)&gt;100,"NM",IF(((DQ145/DI145-1)*100)&lt;-50,"NM",(DQ145/DI145-1)*100)))</f>
        <v>5.4643643857031021</v>
      </c>
      <c r="DS145" s="242">
        <f>SUM(DS142:DS144)</f>
        <v>1500.6999999999998</v>
      </c>
      <c r="DT145" s="81">
        <f>IF(ISERROR((DS145/DK145-1)*100),"NA",IF(((DS145/DK145-1)*100)&gt;100,"NM",IF(((DS145/DK145-1)*100)&lt;-50,"NM",(DS145/DK145-1)*100)))</f>
        <v>4.1646421878253514</v>
      </c>
      <c r="DU145" s="242">
        <f>SUM(DU142:DU144)</f>
        <v>1537.7000000000003</v>
      </c>
      <c r="DV145" s="81">
        <f>IF(ISERROR((DU145/DM145-1)*100),"NA",IF(((DU145/DM145-1)*100)&gt;100,"NM",IF(((DU145/DM145-1)*100)&lt;-50,"NM",(DU145/DM145-1)*100)))</f>
        <v>4.173159000067761</v>
      </c>
      <c r="DW145" s="242">
        <f>SUM(DW142:DW144)</f>
        <v>1535.0000000000002</v>
      </c>
      <c r="DX145" s="81">
        <f>IF(ISERROR((DW145/DO145-1)*100),"NA",IF(((DW145/DO145-1)*100)&gt;100,"NM",IF(((DW145/DO145-1)*100)&lt;-50,"NM",(DW145/DO145-1)*100)))</f>
        <v>3.4715200539265245</v>
      </c>
      <c r="DY145" s="242">
        <f>SUM(DY142:DY144)</f>
        <v>1551</v>
      </c>
      <c r="DZ145" s="81">
        <f>IF(ISERROR((DY145/DQ145-1)*100),"NA",IF(((DY145/DQ145-1)*100)&gt;100,"NM",IF(((DY145/DQ145-1)*100)&lt;-50,"NM",(DY145/DQ145-1)*100)))</f>
        <v>4.500741140008091</v>
      </c>
      <c r="EA145" s="242">
        <f>SUM(EA142:EA144)</f>
        <v>1559.1999999999998</v>
      </c>
      <c r="EB145" s="81">
        <f>IF(ISERROR((EA145/DS145-1)*100),"NA",IF(((EA145/DS145-1)*100)&gt;100,"NM",IF(((EA145/DS145-1)*100)&lt;-50,"NM",(EA145/DS145-1)*100)))</f>
        <v>3.8981808489371605</v>
      </c>
      <c r="EC145" s="242">
        <f>SUM(EC142:EC144)</f>
        <v>1591.6</v>
      </c>
      <c r="ED145" s="81">
        <f t="shared" si="489"/>
        <v>3.5052350913701957</v>
      </c>
      <c r="EE145" s="242">
        <f>SUM(EE142:EE144)</f>
        <v>1593.4</v>
      </c>
      <c r="EF145" s="81">
        <f t="shared" si="490"/>
        <v>3.8045602605863094</v>
      </c>
      <c r="EG145" s="242">
        <f>SUM(EG142:EG144)</f>
        <v>1588.4</v>
      </c>
      <c r="EH145" s="81">
        <f t="shared" si="491"/>
        <v>2.411347517730511</v>
      </c>
      <c r="EI145" s="242">
        <f>SUM(EI142:EI144)</f>
        <v>1594.5</v>
      </c>
      <c r="EJ145" s="81">
        <f t="shared" si="492"/>
        <v>2.263981528989234</v>
      </c>
      <c r="EK145" s="242">
        <f t="shared" ref="EK145:EQ145" si="500">SUM(EK142:EK144)</f>
        <v>1645.0270849999999</v>
      </c>
      <c r="EL145" s="81">
        <f t="shared" si="494"/>
        <v>3.3568160970093075</v>
      </c>
      <c r="EM145" s="242">
        <f t="shared" si="500"/>
        <v>1653.3332693995001</v>
      </c>
      <c r="EN145" s="81">
        <f t="shared" si="495"/>
        <v>3.7613448851198772</v>
      </c>
      <c r="EO145" s="242">
        <f t="shared" si="500"/>
        <v>1667.8030174683756</v>
      </c>
      <c r="EP145" s="81">
        <f t="shared" si="496"/>
        <v>4.9989308403661337</v>
      </c>
      <c r="EQ145" s="242">
        <f t="shared" si="500"/>
        <v>1669.7898621910285</v>
      </c>
      <c r="ER145" s="81">
        <f t="shared" si="497"/>
        <v>4.7218477385405189</v>
      </c>
      <c r="ES145" s="138"/>
      <c r="ET145" s="470"/>
      <c r="EU145" s="138"/>
      <c r="EV145" s="242"/>
      <c r="EW145" s="140"/>
      <c r="EX145" s="242"/>
      <c r="EY145" s="79"/>
      <c r="EZ145" s="242"/>
      <c r="FA145" s="79"/>
      <c r="FB145" s="242"/>
      <c r="FC145" s="79"/>
      <c r="FD145" s="242">
        <f>SUM(FD142:FD144)</f>
        <v>5998.4000000000015</v>
      </c>
      <c r="FE145" s="79" t="str">
        <f>IF(ISERROR((FD145/FB145-1)*100),"NA",IF(((FD145/FB145-1)*100)&gt;100,"NM",IF(((FD145/FB145-1)*100)&lt;-50,"NM",(FD145/FB145-1)*100)))</f>
        <v>NA</v>
      </c>
      <c r="FF145" s="242">
        <f>SUM(FF142:FF144)</f>
        <v>6427</v>
      </c>
      <c r="FG145" s="79">
        <f>IF(ISERROR((FF145/FD145-1)*100),"NA",IF(((FF145/FD145-1)*100)&gt;100,"NM",IF(((FF145/FD145-1)*100)&lt;-50,"NM",(FF145/FD145-1)*100)))</f>
        <v>7.1452387303280629</v>
      </c>
      <c r="FH145" s="242">
        <f>SUM(FH142:FH144)</f>
        <v>6477.2000000000007</v>
      </c>
      <c r="FI145" s="79">
        <f>IF(ISERROR((FH145/FF145-1)*100),"NA",IF(((FH145/FF145-1)*100)&gt;100,"NM",IF(((FH145/FF145-1)*100)&lt;-50,"NM",(FH145/FF145-1)*100)))</f>
        <v>0.78107981951145433</v>
      </c>
      <c r="FJ145" s="242">
        <f>SUM(FJ142:FJ144)</f>
        <v>6335.8</v>
      </c>
      <c r="FK145" s="79">
        <f>IF(ISERROR((FJ145/FH145-1)*100),"NA",IF(((FJ145/FH145-1)*100)&gt;100,"NM",IF(((FJ145/FH145-1)*100)&lt;-50,"NM",(FJ145/FH145-1)*100)))</f>
        <v>-2.1830420552090501</v>
      </c>
      <c r="FL145" s="242">
        <f>SUM(FL142:FL144)</f>
        <v>6367.6</v>
      </c>
      <c r="FM145" s="79">
        <f>IF(ISERROR((FL145/FJ145-1)*100),"NA",IF(((FL145/FJ145-1)*100)&gt;100,"NM",IF(((FL145/FJ145-1)*100)&lt;-50,"NM",(FL145/FJ145-1)*100)))</f>
        <v>0.50190978250577167</v>
      </c>
      <c r="FN145" s="242">
        <f>SUM(FN142:FN144)</f>
        <v>6263.6</v>
      </c>
      <c r="FO145" s="79">
        <f>IF(ISERROR((FN145/FL145-1)*100),"NA",IF(((FN145/FL145-1)*100)&gt;100,"NM",IF(((FN145/FL145-1)*100)&lt;-50,"NM",(FN145/FL145-1)*100)))</f>
        <v>-1.6332684213832493</v>
      </c>
      <c r="FP145" s="242">
        <f>SUM(FP142:FP144)</f>
        <v>6232.0999999999995</v>
      </c>
      <c r="FQ145" s="79">
        <f>IF(ISERROR((FP145/FN145-1)*100),"NA",IF(((FP145/FN145-1)*100)&gt;100,"NM",IF(((FP145/FN145-1)*100)&lt;-50,"NM",(FP145/FN145-1)*100)))</f>
        <v>-0.50290567724632362</v>
      </c>
      <c r="FR145" s="242">
        <f>SUM(FR142:FR144)</f>
        <v>5331.5</v>
      </c>
      <c r="FS145" s="79">
        <f>IF(ISERROR((FR145/FP145-1)*100),"NA",IF(((FR145/FP145-1)*100)&gt;100,"NM",IF(((FR145/FP145-1)*100)&lt;-50,"NM",(FR145/FP145-1)*100)))</f>
        <v>-14.450987628568212</v>
      </c>
      <c r="FT145" s="242">
        <f>SUM(FT142:FT144)</f>
        <v>5319.7000000000007</v>
      </c>
      <c r="FU145" s="79">
        <f>IF(ISERROR((FT145/FR145-1)*100),"NA",IF(((FT145/FR145-1)*100)&gt;100,"NM",IF(((FT145/FR145-1)*100)&lt;-50,"NM",(FT145/FR145-1)*100)))</f>
        <v>-0.22132608084027838</v>
      </c>
      <c r="FV145" s="242">
        <f>SUM(FV142:FV144)</f>
        <v>5369</v>
      </c>
      <c r="FW145" s="79">
        <f>IF(ISERROR((FV145/FT145-1)*100),"NA",IF(((FV145/FT145-1)*100)&gt;100,"NM",IF(((FV145/FT145-1)*100)&lt;-50,"NM",(FV145/FT145-1)*100)))</f>
        <v>0.92674398932268698</v>
      </c>
      <c r="FX145" s="242">
        <f>SUM(FX142:FX144)</f>
        <v>5529.1</v>
      </c>
      <c r="FY145" s="79">
        <f>IF(ISERROR((FX145/FV145-1)*100),"NA",IF(((FX145/FV145-1)*100)&gt;100,"NM",IF(((FX145/FV145-1)*100)&lt;-50,"NM",(FX145/FV145-1)*100)))</f>
        <v>2.9819333209163856</v>
      </c>
      <c r="FZ145" s="242">
        <f>SUM(FZ142:FZ144)</f>
        <v>5564.8</v>
      </c>
      <c r="GA145" s="79">
        <f>IF(ISERROR((FZ145/FX145-1)*100),"NA",IF(((FZ145/FX145-1)*100)&gt;100,"NM",IF(((FZ145/FX145-1)*100)&lt;-50,"NM",(FZ145/FX145-1)*100)))</f>
        <v>0.64567470293537266</v>
      </c>
      <c r="GB145" s="242">
        <f>SUM(GB142:GB144)</f>
        <v>5660.7000000000007</v>
      </c>
      <c r="GC145" s="79">
        <f>IF(ISERROR((GB145/FZ145-1)*100),"NA",IF(((GB145/FZ145-1)*100)&gt;100,"NM",IF(((GB145/FZ145-1)*100)&lt;-50,"NM",(GB145/FZ145-1)*100)))</f>
        <v>1.7233323749281215</v>
      </c>
      <c r="GD145" s="242">
        <f>SUM(GD142:GD144)</f>
        <v>5944.5</v>
      </c>
      <c r="GE145" s="79">
        <f>IF(ISERROR((GD145/GB145-1)*100),"NA",IF(((GD145/GB145-1)*100)&gt;100,"NM",IF(((GD145/GB145-1)*100)&lt;-50,"NM",(GD145/GB145-1)*100)))</f>
        <v>5.0135142296888979</v>
      </c>
      <c r="GF145" s="242">
        <f>SUM(GF142:GF144)</f>
        <v>6182.9000000000005</v>
      </c>
      <c r="GG145" s="79">
        <f>IF(ISERROR((GF145/GD145-1)*100),"NA",IF(((GF145/GD145-1)*100)&gt;100,"NM",IF(((GF145/GD145-1)*100)&lt;-50,"NM",(GF145/GD145-1)*100)))</f>
        <v>4.0104298090672064</v>
      </c>
      <c r="GH145" s="242">
        <f>SUM(GH142:GH144)</f>
        <v>6367.9</v>
      </c>
      <c r="GI145" s="79">
        <f>IF(ISERROR((GH145/GF145-1)*100),"NA",IF(((GH145/GF145-1)*100)&gt;100,"NM",IF(((GH145/GF145-1)*100)&lt;-50,"NM",(GH145/GF145-1)*100)))</f>
        <v>2.992123437221994</v>
      </c>
      <c r="GJ145" s="242">
        <f>SUM(GJ142:GJ144)</f>
        <v>6635.9532340589039</v>
      </c>
      <c r="GK145" s="79">
        <f>IF(ISERROR((GJ145/GH145-1)*100),"NA",IF(((GJ145/GH145-1)*100)&gt;100,"NM",IF(((GJ145/GH145-1)*100)&lt;-50,"NM",(GJ145/GH145-1)*100)))</f>
        <v>4.2094447786382272</v>
      </c>
      <c r="GL145" s="242">
        <f>SUM(GL142:GL144)</f>
        <v>6885.3674663534148</v>
      </c>
      <c r="GM145" s="79">
        <f>IF(ISERROR((GL145/GJ145-1)*100),"NA",IF(((GL145/GJ145-1)*100)&gt;100,"NM",IF(((GL145/GJ145-1)*100)&lt;-50,"NM",(GL145/GJ145-1)*100)))</f>
        <v>3.75852908387595</v>
      </c>
      <c r="GN145" s="242">
        <f>SUM(GN142:GN144)</f>
        <v>7148.1934902038283</v>
      </c>
      <c r="GO145" s="79">
        <f>IF(ISERROR((GN145/GL145-1)*100),"NA",IF(((GN145/GL145-1)*100)&gt;100,"NM",IF(((GN145/GL145-1)*100)&lt;-50,"NM",(GN145/GL145-1)*100)))</f>
        <v>3.8171677130488746</v>
      </c>
      <c r="GP145" s="242">
        <f>SUM(GP142:GP144)</f>
        <v>7424.7345182226672</v>
      </c>
      <c r="GQ145" s="79">
        <f>IF(ISERROR((GP145/GN145-1)*100),"NA",IF(((GP145/GN145-1)*100)&gt;100,"NM",IF(((GP145/GN145-1)*100)&lt;-50,"NM",(GP145/GN145-1)*100)))</f>
        <v>3.8686841423336116</v>
      </c>
      <c r="GR145" s="242">
        <f>SUM(GR142:GR144)</f>
        <v>7715.3506325335038</v>
      </c>
      <c r="GS145" s="79">
        <f>IF(ISERROR((GR145/GP145-1)*100),"NA",IF(((GR145/GP145-1)*100)&gt;100,"NM",IF(((GR145/GP145-1)*100)&lt;-50,"NM",(GR145/GP145-1)*100)))</f>
        <v>3.914161692887097</v>
      </c>
      <c r="GT145" s="79">
        <f>IF(ISERROR(((GR145/GH145)^0.2-1)*100),"NA",(IF(OR(((GR145/GH145)^0.2-1)*100&gt;99,((GR145/GH145)^0.2-1)*100&lt;-50),"NM",(((GR145/GH145)^0.2-1)*100))))</f>
        <v>3.9134793527630052</v>
      </c>
      <c r="GU145" s="562"/>
      <c r="GV145" s="562"/>
      <c r="GW145"/>
      <c r="GX145"/>
      <c r="GY145"/>
      <c r="GZ145"/>
      <c r="HA145"/>
      <c r="HB145"/>
      <c r="HC145" s="562"/>
      <c r="HD145" s="562"/>
      <c r="HE145" s="562"/>
      <c r="HF145" s="562"/>
      <c r="HG145" s="562"/>
      <c r="HH145" s="562"/>
      <c r="HI145" s="562"/>
      <c r="HJ145" s="562"/>
      <c r="HK145" s="562"/>
      <c r="HL145" s="562"/>
      <c r="HM145" s="562"/>
      <c r="HN145" s="562"/>
      <c r="HO145" s="562"/>
      <c r="HP145" s="562"/>
      <c r="HQ145" s="562"/>
      <c r="HR145" s="562"/>
      <c r="HS145" s="562"/>
      <c r="HT145" s="562"/>
      <c r="HU145" s="562"/>
      <c r="HV145" s="562"/>
      <c r="HW145" s="562"/>
      <c r="HX145" s="562"/>
      <c r="HY145" s="562"/>
      <c r="HZ145" s="562"/>
      <c r="IA145" s="562"/>
      <c r="IB145" s="562"/>
      <c r="IC145" s="562"/>
      <c r="ID145" s="562"/>
      <c r="IE145" s="562"/>
      <c r="IF145" s="562"/>
      <c r="IG145" s="562"/>
      <c r="IH145" s="562"/>
      <c r="II145" s="562"/>
      <c r="IJ145" s="562"/>
      <c r="IK145" s="562"/>
      <c r="IL145" s="562"/>
      <c r="IM145" s="562"/>
      <c r="IN145" s="562"/>
      <c r="IO145" s="562"/>
      <c r="IP145" s="562"/>
      <c r="IQ145" s="562"/>
      <c r="IR145" s="562"/>
      <c r="IS145" s="562"/>
      <c r="IT145" s="562"/>
      <c r="IU145" s="562"/>
      <c r="IV145" s="562"/>
      <c r="IW145" s="562"/>
      <c r="IX145" s="562"/>
      <c r="IY145" s="562"/>
      <c r="IZ145" s="562"/>
      <c r="JA145" s="562"/>
      <c r="JB145" s="562"/>
      <c r="JC145" s="562"/>
      <c r="JD145" s="562"/>
      <c r="JE145" s="562"/>
      <c r="JF145" s="562"/>
      <c r="JG145" s="562"/>
      <c r="JH145" s="562"/>
      <c r="JI145" s="562"/>
      <c r="JJ145" s="562"/>
      <c r="JK145" s="562"/>
      <c r="JL145" s="562"/>
      <c r="JM145" s="562"/>
      <c r="JN145" s="562"/>
      <c r="JO145" s="562"/>
      <c r="JP145" s="562"/>
      <c r="JQ145" s="562"/>
      <c r="JR145" s="562"/>
      <c r="JS145" s="562"/>
      <c r="JT145" s="562"/>
      <c r="JU145" s="562"/>
      <c r="JV145" s="562"/>
      <c r="JW145" s="562"/>
      <c r="JX145" s="562"/>
      <c r="JY145" s="562"/>
      <c r="JZ145" s="562"/>
    </row>
    <row r="146" spans="1:286" ht="12.75" customHeight="1" x14ac:dyDescent="0.2">
      <c r="A146" s="1"/>
      <c r="C146" s="171"/>
      <c r="D146" s="171"/>
      <c r="E146" s="171"/>
      <c r="F146" s="171"/>
      <c r="G146" s="171"/>
      <c r="H146" s="171"/>
      <c r="I146" s="171"/>
      <c r="J146" s="171"/>
      <c r="K146" s="171"/>
      <c r="L146" s="79"/>
      <c r="M146" s="171"/>
      <c r="N146" s="79"/>
      <c r="O146" s="171"/>
      <c r="P146" s="79"/>
      <c r="Q146" s="171"/>
      <c r="R146" s="79"/>
      <c r="S146" s="171"/>
      <c r="T146" s="79"/>
      <c r="U146" s="171"/>
      <c r="V146" s="79"/>
      <c r="W146" s="171"/>
      <c r="X146" s="79"/>
      <c r="Y146" s="171"/>
      <c r="Z146" s="79"/>
      <c r="AA146" s="172"/>
      <c r="AB146" s="79"/>
      <c r="AC146" s="171"/>
      <c r="AD146" s="79"/>
      <c r="AE146" s="171"/>
      <c r="AF146" s="79"/>
      <c r="AG146" s="171"/>
      <c r="AH146" s="79"/>
      <c r="AI146" s="171"/>
      <c r="AJ146" s="79"/>
      <c r="AK146" s="171"/>
      <c r="AL146" s="79"/>
      <c r="AM146" s="171"/>
      <c r="AN146" s="79"/>
      <c r="AO146" s="171"/>
      <c r="AP146" s="79"/>
      <c r="AQ146" s="171"/>
      <c r="AR146" s="79"/>
      <c r="AS146" s="171"/>
      <c r="AT146" s="81"/>
      <c r="AU146" s="171"/>
      <c r="AV146" s="81"/>
      <c r="AW146" s="171"/>
      <c r="AX146" s="81"/>
      <c r="AY146" s="171"/>
      <c r="AZ146" s="81"/>
      <c r="BA146" s="171"/>
      <c r="BB146" s="81"/>
      <c r="BC146" s="171"/>
      <c r="BD146" s="81"/>
      <c r="BE146" s="171"/>
      <c r="BF146" s="81"/>
      <c r="BG146" s="171"/>
      <c r="BH146" s="81"/>
      <c r="BI146" s="171"/>
      <c r="BJ146" s="81"/>
      <c r="BK146" s="171"/>
      <c r="BL146" s="81"/>
      <c r="BM146" s="171"/>
      <c r="BN146" s="81"/>
      <c r="BO146" s="171"/>
      <c r="BP146" s="81"/>
      <c r="BQ146" s="171"/>
      <c r="BR146" s="81"/>
      <c r="BS146" s="171"/>
      <c r="BT146" s="81"/>
      <c r="BU146" s="171"/>
      <c r="BV146" s="81"/>
      <c r="BW146" s="171"/>
      <c r="BX146" s="81"/>
      <c r="BY146" s="171"/>
      <c r="BZ146" s="81"/>
      <c r="CA146" s="171"/>
      <c r="CB146" s="81"/>
      <c r="CC146" s="171"/>
      <c r="CD146" s="81"/>
      <c r="CE146" s="171"/>
      <c r="CF146" s="81"/>
      <c r="CG146" s="171"/>
      <c r="CH146" s="81"/>
      <c r="CI146" s="171"/>
      <c r="CJ146" s="81"/>
      <c r="CK146" s="171"/>
      <c r="CL146" s="81"/>
      <c r="CM146" s="171"/>
      <c r="CN146" s="81"/>
      <c r="CO146" s="171"/>
      <c r="CP146" s="81"/>
      <c r="CQ146" s="171"/>
      <c r="CR146" s="81"/>
      <c r="CS146" s="171"/>
      <c r="CT146" s="81"/>
      <c r="CU146" s="171"/>
      <c r="CV146" s="81"/>
      <c r="CW146" s="171"/>
      <c r="CX146" s="81"/>
      <c r="CY146" s="171"/>
      <c r="CZ146" s="81"/>
      <c r="DA146" s="171"/>
      <c r="DB146" s="81"/>
      <c r="DC146" s="171"/>
      <c r="DD146" s="81"/>
      <c r="DE146" s="171"/>
      <c r="DF146" s="81"/>
      <c r="DG146" s="171"/>
      <c r="DH146" s="81"/>
      <c r="DI146" s="171"/>
      <c r="DJ146" s="81"/>
      <c r="DK146" s="171"/>
      <c r="DL146" s="81"/>
      <c r="DM146" s="171"/>
      <c r="DN146" s="81"/>
      <c r="DO146" s="171"/>
      <c r="DP146" s="81"/>
      <c r="DQ146" s="171"/>
      <c r="DR146" s="81"/>
      <c r="DS146" s="171"/>
      <c r="DT146" s="81"/>
      <c r="DU146" s="171"/>
      <c r="DV146" s="81"/>
      <c r="DW146" s="171"/>
      <c r="DX146" s="81"/>
      <c r="DY146" s="171"/>
      <c r="DZ146" s="81"/>
      <c r="EA146" s="171"/>
      <c r="EB146" s="81"/>
      <c r="EC146" s="171"/>
      <c r="ED146" s="81"/>
      <c r="EE146" s="171"/>
      <c r="EF146" s="81"/>
      <c r="EG146" s="171"/>
      <c r="EH146" s="81"/>
      <c r="EI146" s="171"/>
      <c r="EJ146" s="81"/>
      <c r="EK146" s="171"/>
      <c r="EL146" s="81"/>
      <c r="EM146" s="171"/>
      <c r="EN146" s="81"/>
      <c r="EO146" s="171"/>
      <c r="EP146" s="81"/>
      <c r="EQ146" s="171"/>
      <c r="ER146" s="81"/>
      <c r="ES146" s="82"/>
      <c r="ET146" s="469"/>
      <c r="EU146" s="82"/>
      <c r="EV146" s="171"/>
      <c r="EW146" s="79"/>
      <c r="EX146" s="171"/>
      <c r="EY146" s="79"/>
      <c r="EZ146" s="171"/>
      <c r="FA146" s="79"/>
      <c r="FB146" s="217"/>
      <c r="FC146" s="79"/>
      <c r="FD146" s="171"/>
      <c r="FE146" s="79"/>
      <c r="FF146" s="171"/>
      <c r="FG146" s="79"/>
      <c r="FH146" s="171"/>
      <c r="FI146" s="79"/>
      <c r="FJ146" s="171"/>
      <c r="FK146" s="79"/>
      <c r="FL146" s="171"/>
      <c r="FM146" s="79"/>
      <c r="FN146" s="171"/>
      <c r="FO146" s="79"/>
      <c r="FP146" s="171"/>
      <c r="FQ146" s="79"/>
      <c r="FR146" s="171"/>
      <c r="FS146" s="79"/>
      <c r="FT146" s="171"/>
      <c r="FU146" s="79"/>
      <c r="FV146" s="171"/>
      <c r="FW146" s="79"/>
      <c r="FX146" s="171"/>
      <c r="FY146" s="79"/>
      <c r="FZ146" s="171"/>
      <c r="GA146" s="79"/>
      <c r="GB146" s="171"/>
      <c r="GC146" s="79"/>
      <c r="GD146" s="171"/>
      <c r="GE146" s="79"/>
      <c r="GF146" s="171"/>
      <c r="GG146" s="79"/>
      <c r="GH146" s="171"/>
      <c r="GI146" s="79"/>
      <c r="GJ146" s="171"/>
      <c r="GK146" s="79"/>
      <c r="GL146" s="171"/>
      <c r="GM146" s="79"/>
      <c r="GN146" s="171"/>
      <c r="GO146" s="79"/>
      <c r="GP146" s="171"/>
      <c r="GQ146" s="79"/>
      <c r="GR146" s="171"/>
      <c r="GS146" s="79"/>
      <c r="GT146" s="79"/>
    </row>
    <row r="147" spans="1:286" ht="12.75" customHeight="1" x14ac:dyDescent="0.2">
      <c r="A147" s="1"/>
      <c r="B147" s="68" t="s">
        <v>451</v>
      </c>
      <c r="C147" s="171"/>
      <c r="D147" s="171"/>
      <c r="E147" s="171"/>
      <c r="F147" s="171"/>
      <c r="G147" s="171"/>
      <c r="H147" s="171"/>
      <c r="I147" s="171"/>
      <c r="J147" s="171"/>
      <c r="K147" s="171"/>
      <c r="L147" s="79"/>
      <c r="M147" s="171"/>
      <c r="N147" s="79"/>
      <c r="O147" s="171"/>
      <c r="P147" s="79"/>
      <c r="Q147" s="171"/>
      <c r="R147" s="79"/>
      <c r="S147" s="171"/>
      <c r="T147" s="79"/>
      <c r="U147" s="171"/>
      <c r="V147" s="79"/>
      <c r="W147" s="171"/>
      <c r="X147" s="79"/>
      <c r="Y147" s="171"/>
      <c r="Z147" s="79"/>
      <c r="AA147" s="172"/>
      <c r="AB147" s="79"/>
      <c r="AC147" s="171"/>
      <c r="AD147" s="79"/>
      <c r="AE147" s="171"/>
      <c r="AF147" s="79"/>
      <c r="AG147" s="171"/>
      <c r="AH147" s="79"/>
      <c r="AI147" s="171"/>
      <c r="AJ147" s="79"/>
      <c r="AK147" s="171"/>
      <c r="AL147" s="79"/>
      <c r="AM147" s="171"/>
      <c r="AN147" s="79"/>
      <c r="AO147" s="171"/>
      <c r="AP147" s="79"/>
      <c r="AQ147" s="171"/>
      <c r="AR147" s="79"/>
      <c r="AS147" s="171"/>
      <c r="AT147" s="81"/>
      <c r="AU147" s="171"/>
      <c r="AV147" s="81"/>
      <c r="AW147" s="171"/>
      <c r="AX147" s="81"/>
      <c r="AY147" s="171"/>
      <c r="AZ147" s="81"/>
      <c r="BA147" s="171"/>
      <c r="BB147" s="81"/>
      <c r="BC147" s="171"/>
      <c r="BD147" s="81"/>
      <c r="BE147" s="171"/>
      <c r="BF147" s="81"/>
      <c r="BG147" s="171"/>
      <c r="BH147" s="81"/>
      <c r="BI147" s="171"/>
      <c r="BJ147" s="81"/>
      <c r="BK147" s="171"/>
      <c r="BL147" s="81"/>
      <c r="BM147" s="171"/>
      <c r="BN147" s="81"/>
      <c r="BO147" s="171"/>
      <c r="BP147" s="81"/>
      <c r="BQ147" s="171"/>
      <c r="BR147" s="81"/>
      <c r="BS147" s="171"/>
      <c r="BT147" s="81"/>
      <c r="BU147" s="171"/>
      <c r="BV147" s="81"/>
      <c r="BW147" s="171"/>
      <c r="BX147" s="81"/>
      <c r="BY147" s="171"/>
      <c r="BZ147" s="81"/>
      <c r="CA147" s="171"/>
      <c r="CB147" s="81"/>
      <c r="CC147" s="171"/>
      <c r="CD147" s="81"/>
      <c r="CE147" s="171"/>
      <c r="CF147" s="81"/>
      <c r="CG147" s="171"/>
      <c r="CH147" s="81"/>
      <c r="CI147" s="171"/>
      <c r="CJ147" s="81"/>
      <c r="CK147" s="171"/>
      <c r="CL147" s="81"/>
      <c r="CM147" s="171"/>
      <c r="CN147" s="81"/>
      <c r="CO147" s="171"/>
      <c r="CP147" s="81"/>
      <c r="CQ147" s="171"/>
      <c r="CR147" s="81"/>
      <c r="CS147" s="171"/>
      <c r="CT147" s="81"/>
      <c r="CU147" s="171"/>
      <c r="CV147" s="81"/>
      <c r="CW147" s="171"/>
      <c r="CX147" s="81"/>
      <c r="CY147" s="171"/>
      <c r="CZ147" s="81"/>
      <c r="DA147" s="171"/>
      <c r="DB147" s="81"/>
      <c r="DC147" s="171"/>
      <c r="DD147" s="81"/>
      <c r="DE147" s="171"/>
      <c r="DF147" s="81"/>
      <c r="DG147" s="171"/>
      <c r="DH147" s="81"/>
      <c r="DI147" s="171"/>
      <c r="DJ147" s="81"/>
      <c r="DK147" s="171"/>
      <c r="DL147" s="81"/>
      <c r="DM147" s="171"/>
      <c r="DN147" s="81"/>
      <c r="DO147" s="171"/>
      <c r="DP147" s="81"/>
      <c r="DQ147" s="171"/>
      <c r="DR147" s="81"/>
      <c r="DS147" s="171"/>
      <c r="DT147" s="81"/>
      <c r="DU147" s="171"/>
      <c r="DV147" s="81"/>
      <c r="DW147" s="171"/>
      <c r="DX147" s="81"/>
      <c r="DY147" s="171"/>
      <c r="DZ147" s="81"/>
      <c r="EA147" s="171"/>
      <c r="EB147" s="81"/>
      <c r="EC147" s="171"/>
      <c r="ED147" s="81"/>
      <c r="EE147" s="171"/>
      <c r="EF147" s="81"/>
      <c r="EG147" s="171"/>
      <c r="EH147" s="81"/>
      <c r="EI147" s="171"/>
      <c r="EJ147" s="81"/>
      <c r="EK147" s="171"/>
      <c r="EL147" s="81"/>
      <c r="EM147" s="171"/>
      <c r="EN147" s="81"/>
      <c r="EO147" s="171"/>
      <c r="EP147" s="81"/>
      <c r="EQ147" s="171"/>
      <c r="ER147" s="81"/>
      <c r="ES147" s="82"/>
      <c r="ET147" s="469"/>
      <c r="EU147" s="82"/>
      <c r="EV147" s="171"/>
      <c r="EW147" s="79"/>
      <c r="EX147" s="171"/>
      <c r="EY147" s="79"/>
      <c r="EZ147" s="171"/>
      <c r="FA147" s="79"/>
      <c r="FB147" s="217"/>
      <c r="FC147" s="79"/>
      <c r="FD147" s="171"/>
      <c r="FE147" s="79"/>
      <c r="FF147" s="171"/>
      <c r="FG147" s="79"/>
      <c r="FH147" s="171"/>
      <c r="FI147" s="79"/>
      <c r="FJ147" s="171"/>
      <c r="FK147" s="79"/>
      <c r="FL147" s="171"/>
      <c r="FM147" s="79"/>
      <c r="FN147" s="171"/>
      <c r="FO147" s="79"/>
      <c r="FP147" s="171"/>
      <c r="FQ147" s="79"/>
      <c r="FR147" s="171"/>
      <c r="FS147" s="79"/>
      <c r="FT147" s="171"/>
      <c r="FU147" s="79"/>
      <c r="FV147" s="171"/>
      <c r="FW147" s="79"/>
      <c r="FX147" s="171"/>
      <c r="FY147" s="79"/>
      <c r="FZ147" s="171"/>
      <c r="GA147" s="79"/>
      <c r="GB147" s="171"/>
      <c r="GC147" s="79"/>
      <c r="GD147" s="171"/>
      <c r="GE147" s="79"/>
      <c r="GF147" s="171"/>
      <c r="GG147" s="79"/>
      <c r="GH147" s="171"/>
      <c r="GI147" s="79"/>
      <c r="GJ147" s="171"/>
      <c r="GK147" s="79"/>
      <c r="GL147" s="171"/>
      <c r="GM147" s="79"/>
      <c r="GN147" s="171"/>
      <c r="GO147" s="79"/>
      <c r="GP147" s="171"/>
      <c r="GQ147" s="79"/>
      <c r="GR147" s="171"/>
      <c r="GS147" s="79"/>
      <c r="GT147" s="79"/>
    </row>
    <row r="148" spans="1:286" ht="12.75" customHeight="1" x14ac:dyDescent="0.2">
      <c r="A148" s="1"/>
      <c r="B148" s="2" t="s">
        <v>312</v>
      </c>
      <c r="C148" s="171"/>
      <c r="D148" s="171"/>
      <c r="E148" s="171"/>
      <c r="F148" s="171"/>
      <c r="G148" s="171"/>
      <c r="H148" s="171"/>
      <c r="I148" s="171"/>
      <c r="J148" s="171"/>
      <c r="K148" s="171"/>
      <c r="L148" s="79"/>
      <c r="M148" s="171"/>
      <c r="N148" s="79"/>
      <c r="O148" s="171"/>
      <c r="P148" s="79"/>
      <c r="Q148" s="171"/>
      <c r="R148" s="79"/>
      <c r="S148" s="171"/>
      <c r="T148" s="79"/>
      <c r="U148" s="171"/>
      <c r="V148" s="79" t="str">
        <f>IF(ISERROR((U148/M148-1)*100),"NA",IF(((U148/M148-1)*100)&gt;100,"NM",IF(((U148/M148-1)*100)&lt;-50,"NM",(U148/M148-1)*100)))</f>
        <v>NA</v>
      </c>
      <c r="W148" s="171"/>
      <c r="X148" s="79" t="str">
        <f>IF(ISERROR((W148/O148-1)*100),"NA",IF(((W148/O148-1)*100)&gt;100,"NM",IF(((W148/O148-1)*100)&lt;-50,"NM",(W148/O148-1)*100)))</f>
        <v>NA</v>
      </c>
      <c r="Y148" s="171"/>
      <c r="Z148" s="79" t="str">
        <f>IF(ISERROR((Y148/Q148-1)*100),"NA",IF(((Y148/Q148-1)*100)&gt;100,"NM",IF(((Y148/Q148-1)*100)&lt;-50,"NM",(Y148/Q148-1)*100)))</f>
        <v>NA</v>
      </c>
      <c r="AA148" s="172"/>
      <c r="AB148" s="79" t="str">
        <f>IF(ISERROR((AA148/S148-1)*100),"NA",IF(((AA148/S148-1)*100)&gt;100,"NM",IF(((AA148/S148-1)*100)&lt;-50,"NM",(AA148/S148-1)*100)))</f>
        <v>NA</v>
      </c>
      <c r="AC148" s="74">
        <f>AC45+AC81+AC113</f>
        <v>1137</v>
      </c>
      <c r="AD148" s="79" t="str">
        <f>IF(ISERROR((AC148/U148-1)*100),"NA",IF(((AC148/U148-1)*100)&gt;100,"NM",IF(((AC148/U148-1)*100)&lt;-50,"NM",(AC148/U148-1)*100)))</f>
        <v>NA</v>
      </c>
      <c r="AE148" s="74">
        <f>AE45+AE81+AE113</f>
        <v>1134.6999999999998</v>
      </c>
      <c r="AF148" s="79" t="str">
        <f>IF(ISERROR((AE148/W148-1)*100),"NA",IF(((AE148/W148-1)*100)&gt;100,"NM",IF(((AE148/W148-1)*100)&lt;-50,"NM",(AE148/W148-1)*100)))</f>
        <v>NA</v>
      </c>
      <c r="AG148" s="74">
        <f>AG45+AG81+AG113</f>
        <v>1131</v>
      </c>
      <c r="AH148" s="79" t="str">
        <f>IF(ISERROR((AG148/Y148-1)*100),"NA",IF(((AG148/Y148-1)*100)&gt;100,"NM",IF(((AG148/Y148-1)*100)&lt;-50,"NM",(AG148/Y148-1)*100)))</f>
        <v>NA</v>
      </c>
      <c r="AI148" s="74">
        <f>AI45+AI81+AI113</f>
        <v>1211.6999999999998</v>
      </c>
      <c r="AJ148" s="79" t="str">
        <f>IF(ISERROR((AI148/AA148-1)*100),"NA",IF(((AI148/AA148-1)*100)&gt;100,"NM",IF(((AI148/AA148-1)*100)&lt;-50,"NM",(AI148/AA148-1)*100)))</f>
        <v>NA</v>
      </c>
      <c r="AK148" s="74">
        <f>AK45+AK81+AK113</f>
        <v>1099.8999999999999</v>
      </c>
      <c r="AL148" s="79">
        <f>IF(ISERROR((AK148/AC148-1)*100),"NA",IF(((AK148/AC148-1)*100)&gt;100,"NM",IF(((AK148/AC148-1)*100)&lt;-50,"NM",(AK148/AC148-1)*100)))</f>
        <v>-3.2629727352682658</v>
      </c>
      <c r="AM148" s="74">
        <f>AM45+AM81+AM113</f>
        <v>1099.4000000000001</v>
      </c>
      <c r="AN148" s="79">
        <f>IF(ISERROR((AM148/AE148-1)*100),"NA",IF(((AM148/AE148-1)*100)&gt;100,"NM",IF(((AM148/AE148-1)*100)&lt;-50,"NM",(AM148/AE148-1)*100)))</f>
        <v>-3.1109544372961762</v>
      </c>
      <c r="AO148" s="74">
        <f>AO45+AO81+AO113</f>
        <v>1084.7</v>
      </c>
      <c r="AP148" s="79">
        <f>IF(ISERROR((AO148/AG148-1)*100),"NA",IF(((AO148/AG148-1)*100)&gt;100,"NM",IF(((AO148/AG148-1)*100)&lt;-50,"NM",(AO148/AG148-1)*100)))</f>
        <v>-4.0937223695844294</v>
      </c>
      <c r="AQ148" s="74">
        <f>AQ45+AQ81+AQ113</f>
        <v>1105.7</v>
      </c>
      <c r="AR148" s="79">
        <f>IF(ISERROR((AQ148/AI148-1)*100),"NA",IF(((AQ148/AI148-1)*100)&gt;100,"NM",IF(((AQ148/AI148-1)*100)&lt;-50,"NM",(AQ148/AI148-1)*100)))</f>
        <v>-8.7480399438804817</v>
      </c>
      <c r="AS148" s="74">
        <f>AS45+AS81+AS113</f>
        <v>1098.3000000000002</v>
      </c>
      <c r="AT148" s="81">
        <f>IF(ISERROR((AS148/AK148-1)*100),"NA",IF(((AS148/AK148-1)*100)&gt;100,"NM",IF(((AS148/AK148-1)*100)&lt;-50,"NM",(AS148/AK148-1)*100)))</f>
        <v>-0.14546776979722509</v>
      </c>
      <c r="AU148" s="74">
        <f>AU45+AU81+AU113</f>
        <v>1114.0999999999999</v>
      </c>
      <c r="AV148" s="81">
        <f>IF(ISERROR((AU148/AM148-1)*100),"NA",IF(((AU148/AM148-1)*100)&gt;100,"NM",IF(((AU148/AM148-1)*100)&lt;-50,"NM",(AU148/AM148-1)*100)))</f>
        <v>1.3370929597962267</v>
      </c>
      <c r="AW148" s="74">
        <f>AW45+AW81+AW113</f>
        <v>1068</v>
      </c>
      <c r="AX148" s="81">
        <f>IF(ISERROR((AW148/AO148-1)*100),"NA",IF(((AW148/AO148-1)*100)&gt;100,"NM",IF(((AW148/AO148-1)*100)&lt;-50,"NM",(AW148/AO148-1)*100)))</f>
        <v>-1.5395962017147657</v>
      </c>
      <c r="AY148" s="74">
        <f>AY45+AY81+AY113</f>
        <v>1107.5</v>
      </c>
      <c r="AZ148" s="81">
        <f>IF(ISERROR((AY148/AQ148-1)*100),"NA",IF(((AY148/AQ148-1)*100)&gt;100,"NM",IF(((AY148/AQ148-1)*100)&lt;-50,"NM",(AY148/AQ148-1)*100)))</f>
        <v>0.16279280094058102</v>
      </c>
      <c r="BA148" s="74">
        <f>BA45+BA81+BA113</f>
        <v>1046</v>
      </c>
      <c r="BB148" s="81">
        <f>IF(ISERROR((BA148/AS148-1)*100),"NA",IF(((BA148/AS148-1)*100)&gt;100,"NM",IF(((BA148/AS148-1)*100)&lt;-50,"NM",(BA148/AS148-1)*100)))</f>
        <v>-4.7619047619047787</v>
      </c>
      <c r="BC148" s="74">
        <f>BC45+BC81+BC113</f>
        <v>1072.4000000000001</v>
      </c>
      <c r="BD148" s="81">
        <f>IF(ISERROR((BC148/AU148-1)*100),"NA",IF(((BC148/AU148-1)*100)&gt;100,"NM",IF(((BC148/AU148-1)*100)&lt;-50,"NM",(BC148/AU148-1)*100)))</f>
        <v>-3.7429315142267106</v>
      </c>
      <c r="BE148" s="74">
        <f>BE45+BE81+BE113</f>
        <v>1042.8</v>
      </c>
      <c r="BF148" s="81">
        <f>IF(ISERROR((BE148/AW148-1)*100),"NA",IF(((BE148/AW148-1)*100)&gt;100,"NM",IF(((BE148/AW148-1)*100)&lt;-50,"NM",(BE148/AW148-1)*100)))</f>
        <v>-2.3595505617977519</v>
      </c>
      <c r="BG148" s="74">
        <f>BG45+BG81+BG113</f>
        <v>1019</v>
      </c>
      <c r="BH148" s="81">
        <f>IF(ISERROR((BG148/AY148-1)*100),"NA",IF(((BG148/AY148-1)*100)&gt;100,"NM",IF(((BG148/AY148-1)*100)&lt;-50,"NM",(BG148/AY148-1)*100)))</f>
        <v>-7.9909706546275387</v>
      </c>
      <c r="BI148" s="74">
        <f>BI45+BI81+BI113</f>
        <v>989.90000000000009</v>
      </c>
      <c r="BJ148" s="81">
        <f>IF(ISERROR((BI148/BA148-1)*100),"NA",IF(((BI148/BA148-1)*100)&gt;100,"NM",IF(((BI148/BA148-1)*100)&lt;-50,"NM",(BI148/BA148-1)*100)))</f>
        <v>-5.3632887189292493</v>
      </c>
      <c r="BK148" s="74">
        <f>BK45+BK81+BK113</f>
        <v>1006.8</v>
      </c>
      <c r="BL148" s="81">
        <f>IF(ISERROR((BK148/BC148-1)*100),"NA",IF(((BK148/BC148-1)*100)&gt;100,"NM",IF(((BK148/BC148-1)*100)&lt;-50,"NM",(BK148/BC148-1)*100)))</f>
        <v>-6.1171204774338017</v>
      </c>
      <c r="BM148" s="74">
        <f>BM45+BM81+BM113</f>
        <v>1000.7</v>
      </c>
      <c r="BN148" s="81">
        <f>IF(ISERROR((BM148/BE148-1)*100),"NA",IF(((BM148/BE148-1)*100)&gt;100,"NM",IF(((BM148/BE148-1)*100)&lt;-50,"NM",(BM148/BE148-1)*100)))</f>
        <v>-4.037207518220165</v>
      </c>
      <c r="BO148" s="74">
        <f>BO45+BO81+BO113</f>
        <v>1001</v>
      </c>
      <c r="BP148" s="81">
        <f>IF(ISERROR((BO148/BG148-1)*100),"NA",IF(((BO148/BG148-1)*100)&gt;100,"NM",IF(((BO148/BG148-1)*100)&lt;-50,"NM",(BO148/BG148-1)*100)))</f>
        <v>-1.7664376840039298</v>
      </c>
      <c r="BQ148" s="74">
        <f>BQ45+BQ81+BQ113</f>
        <v>972.6</v>
      </c>
      <c r="BR148" s="81">
        <f>IF(ISERROR((BQ148/BI148-1)*100),"NA",IF(((BQ148/BI148-1)*100)&gt;100,"NM",IF(((BQ148/BI148-1)*100)&lt;-50,"NM",(BQ148/BI148-1)*100)))</f>
        <v>-1.7476512779068698</v>
      </c>
      <c r="BS148" s="74">
        <f>BS45+BS81+BS113</f>
        <v>974.2</v>
      </c>
      <c r="BT148" s="81">
        <f>IF(ISERROR((BS148/BK148-1)*100),"NA",IF(((BS148/BK148-1)*100)&gt;100,"NM",IF(((BS148/BK148-1)*100)&lt;-50,"NM",(BS148/BK148-1)*100)))</f>
        <v>-3.2379817242749187</v>
      </c>
      <c r="BU148" s="74">
        <f>BU45+BU81+BU113</f>
        <v>964</v>
      </c>
      <c r="BV148" s="81">
        <f>IF(ISERROR((BU148/BM148-1)*100),"NA",IF(((BU148/BM148-1)*100)&gt;100,"NM",IF(((BU148/BM148-1)*100)&lt;-50,"NM",(BU148/BM148-1)*100)))</f>
        <v>-3.6674327970420695</v>
      </c>
      <c r="BW148" s="74">
        <f>BW45+BW81+BW113</f>
        <v>945.10000000000014</v>
      </c>
      <c r="BX148" s="81">
        <f>IF(ISERROR((BW148/BO148-1)*100),"NA",IF(((BW148/BO148-1)*100)&gt;100,"NM",IF(((BW148/BO148-1)*100)&lt;-50,"NM",(BW148/BO148-1)*100)))</f>
        <v>-5.5844155844155701</v>
      </c>
      <c r="BY148" s="74">
        <f>BY45+BY81+BY113</f>
        <v>778.4</v>
      </c>
      <c r="BZ148" s="81">
        <f>IF(ISERROR((BY148/BQ148-1)*100),"NA",IF(((BY148/BQ148-1)*100)&gt;100,"NM",IF(((BY148/BQ148-1)*100)&lt;-50,"NM",(BY148/BQ148-1)*100)))</f>
        <v>-19.967098498869017</v>
      </c>
      <c r="CA148" s="74">
        <f>CA45+CA81+CA113</f>
        <v>786.8</v>
      </c>
      <c r="CB148" s="81">
        <f>IF(ISERROR((CA148/BS148-1)*100),"NA",IF(((CA148/BS148-1)*100)&gt;100,"NM",IF(((CA148/BS148-1)*100)&lt;-50,"NM",(CA148/BS148-1)*100)))</f>
        <v>-19.236296448367895</v>
      </c>
      <c r="CC148" s="74">
        <f>CC45+CC81+CC113</f>
        <v>780.9</v>
      </c>
      <c r="CD148" s="81">
        <f>IF(ISERROR((CC148/BU148-1)*100),"NA",IF(((CC148/BU148-1)*100)&gt;100,"NM",IF(((CC148/BU148-1)*100)&lt;-50,"NM",(CC148/BU148-1)*100)))</f>
        <v>-18.993775933609957</v>
      </c>
      <c r="CE148" s="74">
        <f>CE45+CE81+CE113</f>
        <v>778.3</v>
      </c>
      <c r="CF148" s="81">
        <f>IF(ISERROR((CE148/BW148-1)*100),"NA",IF(((CE148/BW148-1)*100)&gt;100,"NM",IF(((CE148/BW148-1)*100)&lt;-50,"NM",(CE148/BW148-1)*100)))</f>
        <v>-17.648926039572544</v>
      </c>
      <c r="CG148" s="74">
        <f>CG45+CG81+CG113</f>
        <v>770.4</v>
      </c>
      <c r="CH148" s="81">
        <f>IF(ISERROR((CG148/BY148-1)*100),"NA",IF(((CG148/BY148-1)*100)&gt;100,"NM",IF(((CG148/BY148-1)*100)&lt;-50,"NM",(CG148/BY148-1)*100)))</f>
        <v>-1.0277492291880796</v>
      </c>
      <c r="CI148" s="74">
        <f>CI45+CI81+CI113</f>
        <v>773.1</v>
      </c>
      <c r="CJ148" s="81">
        <f>IF(ISERROR((CI148/CA148-1)*100),"NA",IF(((CI148/CA148-1)*100)&gt;100,"NM",IF(((CI148/CA148-1)*100)&lt;-50,"NM",(CI148/CA148-1)*100)))</f>
        <v>-1.741230299949148</v>
      </c>
      <c r="CK148" s="74">
        <f>CK45+CK81+CK113</f>
        <v>782.3</v>
      </c>
      <c r="CL148" s="81">
        <f>IF(ISERROR((CK148/CC148-1)*100),"NA",IF(((CK148/CC148-1)*100)&gt;100,"NM",IF(((CK148/CC148-1)*100)&lt;-50,"NM",(CK148/CC148-1)*100)))</f>
        <v>0.17928031758227547</v>
      </c>
      <c r="CM148" s="74">
        <f>CM45+CM81+CM113</f>
        <v>787.7</v>
      </c>
      <c r="CN148" s="81">
        <f>IF(ISERROR((CM148/CE148-1)*100),"NA",IF(((CM148/CE148-1)*100)&gt;100,"NM",IF(((CM148/CE148-1)*100)&lt;-50,"NM",(CM148/CE148-1)*100)))</f>
        <v>1.2077605036618477</v>
      </c>
      <c r="CO148" s="74">
        <f>CO45+CO81+CO113</f>
        <v>806.2</v>
      </c>
      <c r="CP148" s="81">
        <f>IF(ISERROR((CO148/CG148-1)*100),"NA",IF(((CO148/CG148-1)*100)&gt;100,"NM",IF(((CO148/CG148-1)*100)&lt;-50,"NM",(CO148/CG148-1)*100)))</f>
        <v>4.6469366562824632</v>
      </c>
      <c r="CQ148" s="74">
        <f>CQ45+CQ81+CQ113</f>
        <v>804.4</v>
      </c>
      <c r="CR148" s="81">
        <f>IF(ISERROR((CQ148/CI148-1)*100),"NA",IF(((CQ148/CI148-1)*100)&gt;100,"NM",IF(((CQ148/CI148-1)*100)&lt;-50,"NM",(CQ148/CI148-1)*100)))</f>
        <v>4.0486353641184802</v>
      </c>
      <c r="CS148" s="74">
        <f>CS45+CS81+CS113</f>
        <v>811.7</v>
      </c>
      <c r="CT148" s="81">
        <f>IF(ISERROR((CS148/CK148-1)*100),"NA",IF(((CS148/CK148-1)*100)&gt;100,"NM",IF(((CS148/CK148-1)*100)&lt;-50,"NM",(CS148/CK148-1)*100)))</f>
        <v>3.7581490476799262</v>
      </c>
      <c r="CU148" s="74">
        <f>CU45+CU81+CU113</f>
        <v>816.3</v>
      </c>
      <c r="CV148" s="81">
        <f>IF(ISERROR((CU148/CM148-1)*100),"NA",IF(((CU148/CM148-1)*100)&gt;100,"NM",IF(((CU148/CM148-1)*100)&lt;-50,"NM",(CU148/CM148-1)*100)))</f>
        <v>3.6308239177351709</v>
      </c>
      <c r="CW148" s="74">
        <f>CW45+CW81+CW113</f>
        <v>807.90000000000009</v>
      </c>
      <c r="CX148" s="81">
        <f>IF(ISERROR((CW148/CO148-1)*100),"NA",IF(((CW148/CO148-1)*100)&gt;100,"NM",IF(((CW148/CO148-1)*100)&lt;-50,"NM",(CW148/CO148-1)*100)))</f>
        <v>0.21086579012652429</v>
      </c>
      <c r="CY148" s="74">
        <f>CY45+CY81+CY113</f>
        <v>814.7</v>
      </c>
      <c r="CZ148" s="81">
        <f>IF(ISERROR((CY148/CQ148-1)*100),"NA",IF(((CY148/CQ148-1)*100)&gt;100,"NM",IF(((CY148/CQ148-1)*100)&lt;-50,"NM",(CY148/CQ148-1)*100)))</f>
        <v>1.2804574838388927</v>
      </c>
      <c r="DA148" s="74">
        <f>DA45+DA81+DA113</f>
        <v>810</v>
      </c>
      <c r="DB148" s="81">
        <f>IF(ISERROR((DA148/CS148-1)*100),"NA",IF(((DA148/CS148-1)*100)&gt;100,"NM",IF(((DA148/CS148-1)*100)&lt;-50,"NM",(DA148/CS148-1)*100)))</f>
        <v>-0.20943698410743616</v>
      </c>
      <c r="DC148" s="74">
        <f>DC45+DC81+DC113</f>
        <v>789.8</v>
      </c>
      <c r="DD148" s="81">
        <f>IF(ISERROR((DC148/CU148-1)*100),"NA",IF(((DC148/CU148-1)*100)&gt;100,"NM",IF(((DC148/CU148-1)*100)&lt;-50,"NM",(DC148/CU148-1)*100)))</f>
        <v>-3.2463555065539662</v>
      </c>
      <c r="DE148" s="74">
        <f>DE45+DE81+DE113</f>
        <v>809.5</v>
      </c>
      <c r="DF148" s="81">
        <f>IF(ISERROR((DE148/CW148-1)*100),"NA",IF(((DE148/CW148-1)*100)&gt;100,"NM",IF(((DE148/CW148-1)*100)&lt;-50,"NM",(DE148/CW148-1)*100)))</f>
        <v>0.19804431241490228</v>
      </c>
      <c r="DG148" s="74">
        <f>DG45+DG81+DG113</f>
        <v>814.8</v>
      </c>
      <c r="DH148" s="81">
        <f>IF(ISERROR((DG148/CY148-1)*100),"NA",IF(((DG148/CY148-1)*100)&gt;100,"NM",IF(((DG148/CY148-1)*100)&lt;-50,"NM",(DG148/CY148-1)*100)))</f>
        <v>1.2274456855276838E-2</v>
      </c>
      <c r="DI148" s="74">
        <f>DI45+DI81+DI113</f>
        <v>817.99999999999989</v>
      </c>
      <c r="DJ148" s="81">
        <f>IF(ISERROR((DI148/DA148-1)*100),"NA",IF(((DI148/DA148-1)*100)&gt;100,"NM",IF(((DI148/DA148-1)*100)&lt;-50,"NM",(DI148/DA148-1)*100)))</f>
        <v>0.98765432098764094</v>
      </c>
      <c r="DK148" s="74">
        <f>DK45+DK81+DK113</f>
        <v>845.80000000000007</v>
      </c>
      <c r="DL148" s="81">
        <f>IF(ISERROR((DK148/DC148-1)*100),"NA",IF(((DK148/DC148-1)*100)&gt;100,"NM",IF(((DK148/DC148-1)*100)&lt;-50,"NM",(DK148/DC148-1)*100)))</f>
        <v>7.0904026335781412</v>
      </c>
      <c r="DM148" s="74">
        <f>DM45+DM81+DM113</f>
        <v>839.9</v>
      </c>
      <c r="DN148" s="81">
        <f>IF(ISERROR((DM148/DE148-1)*100),"NA",IF(((DM148/DE148-1)*100)&gt;100,"NM",IF(((DM148/DE148-1)*100)&lt;-50,"NM",(DM148/DE148-1)*100)))</f>
        <v>3.7554045707226758</v>
      </c>
      <c r="DO148" s="74">
        <f>DO45+DO81+DO113</f>
        <v>879.80000000000007</v>
      </c>
      <c r="DP148" s="81">
        <f>IF(ISERROR((DO148/DG148-1)*100),"NA",IF(((DO148/DG148-1)*100)&gt;100,"NM",IF(((DO148/DG148-1)*100)&lt;-50,"NM",(DO148/DG148-1)*100)))</f>
        <v>7.9774177712322203</v>
      </c>
      <c r="DQ148" s="74">
        <f>DQ45+DQ81+DQ113</f>
        <v>866.60000000000014</v>
      </c>
      <c r="DR148" s="81">
        <f>IF(ISERROR((DQ148/DI148-1)*100),"NA",IF(((DQ148/DI148-1)*100)&gt;100,"NM",IF(((DQ148/DI148-1)*100)&lt;-50,"NM",(DQ148/DI148-1)*100)))</f>
        <v>5.9413202933985554</v>
      </c>
      <c r="DS148" s="74">
        <f>DS45+DS81+DS113</f>
        <v>890.40000000000009</v>
      </c>
      <c r="DT148" s="81">
        <f>IF(ISERROR((DS148/DK148-1)*100),"NA",IF(((DS148/DK148-1)*100)&gt;100,"NM",IF(((DS148/DK148-1)*100)&lt;-50,"NM",(DS148/DK148-1)*100)))</f>
        <v>5.2731142113974894</v>
      </c>
      <c r="DU148" s="74">
        <f>DU45+DU81+DU113</f>
        <v>902.2</v>
      </c>
      <c r="DV148" s="81">
        <f>IF(ISERROR((DU148/DM148-1)*100),"NA",IF(((DU148/DM148-1)*100)&gt;100,"NM",IF(((DU148/DM148-1)*100)&lt;-50,"NM",(DU148/DM148-1)*100)))</f>
        <v>7.4175497082986208</v>
      </c>
      <c r="DW148" s="74">
        <f>DW45+DW81+DW113</f>
        <v>898.39999999999986</v>
      </c>
      <c r="DX148" s="81">
        <f>IF(ISERROR((DW148/DO148-1)*100),"NA",IF(((DW148/DO148-1)*100)&gt;100,"NM",IF(((DW148/DO148-1)*100)&lt;-50,"NM",(DW148/DO148-1)*100)))</f>
        <v>2.1141168447374126</v>
      </c>
      <c r="DY148" s="74">
        <f>DY45+DY81+DY113</f>
        <v>912.1</v>
      </c>
      <c r="DZ148" s="81">
        <f>IF(ISERROR((DY148/DQ148-1)*100),"NA",IF(((DY148/DQ148-1)*100)&gt;100,"NM",IF(((DY148/DQ148-1)*100)&lt;-50,"NM",(DY148/DQ148-1)*100)))</f>
        <v>5.2504038772213102</v>
      </c>
      <c r="EA148" s="74">
        <f>EA45+EA81+EA113</f>
        <v>911.60000000000014</v>
      </c>
      <c r="EB148" s="81">
        <f>IF(ISERROR((EA148/DS148-1)*100),"NA",IF(((EA148/DS148-1)*100)&gt;100,"NM",IF(((EA148/DS148-1)*100)&lt;-50,"NM",(EA148/DS148-1)*100)))</f>
        <v>2.3809523809523947</v>
      </c>
      <c r="EC148" s="74">
        <f>EC45+EC81+EC113</f>
        <v>923.4</v>
      </c>
      <c r="ED148" s="81">
        <f t="shared" ref="ED148:ED152" si="501">IF(ISERROR((EC148/DU148-1)*100),"NA",IF(((EC148/DU148-1)*100)&gt;100,"NM",IF(((EC148/DU148-1)*100)&lt;-50,"NM",(EC148/DU148-1)*100)))</f>
        <v>2.3498115717135892</v>
      </c>
      <c r="EE148" s="74">
        <f>EE45+EE81+EE113</f>
        <v>915.7</v>
      </c>
      <c r="EF148" s="81">
        <f t="shared" ref="EF148:EF152" si="502">IF(ISERROR((EE148/DW148-1)*100),"NA",IF(((EE148/DW148-1)*100)&gt;100,"NM",IF(((EE148/DW148-1)*100)&lt;-50,"NM",(EE148/DW148-1)*100)))</f>
        <v>1.9256455921638604</v>
      </c>
      <c r="EG148" s="74">
        <f>EG45+EG81+EG113</f>
        <v>920.7</v>
      </c>
      <c r="EH148" s="81">
        <f t="shared" ref="EH148:EH152" si="503">IF(ISERROR((EG148/DY148-1)*100),"NA",IF(((EG148/DY148-1)*100)&gt;100,"NM",IF(((EG148/DY148-1)*100)&lt;-50,"NM",(EG148/DY148-1)*100)))</f>
        <v>0.94287907027739148</v>
      </c>
      <c r="EI148" s="74">
        <f>EI45+EI81+EI113</f>
        <v>933.59999999999991</v>
      </c>
      <c r="EJ148" s="81">
        <f t="shared" ref="EJ148:EJ152" si="504">IF(ISERROR((EI148/EA148-1)*100),"NA",IF(((EI148/EA148-1)*100)&gt;100,"NM",IF(((EI148/EA148-1)*100)&lt;-50,"NM",(EI148/EA148-1)*100)))</f>
        <v>2.4133391838525364</v>
      </c>
      <c r="EK148" s="74">
        <f t="shared" ref="EK148:EQ148" si="505">EK45+EK81+EK113</f>
        <v>952.02534378124994</v>
      </c>
      <c r="EL148" s="81">
        <f t="shared" ref="EL148:EL152" si="506">IF(ISERROR((EK148/EC148-1)*100),"NA",IF(((EK148/EC148-1)*100)&gt;100,"NM",IF(((EK148/EC148-1)*100)&lt;-50,"NM",(EK148/EC148-1)*100)))</f>
        <v>3.0999939117662967</v>
      </c>
      <c r="EM148" s="74">
        <f t="shared" si="505"/>
        <v>954.7569074404397</v>
      </c>
      <c r="EN148" s="81">
        <f t="shared" ref="EN148:EN152" si="507">IF(ISERROR((EM148/EE148-1)*100),"NA",IF(((EM148/EE148-1)*100)&gt;100,"NM",IF(((EM148/EE148-1)*100)&lt;-50,"NM",(EM148/EE148-1)*100)))</f>
        <v>4.2652514404760922</v>
      </c>
      <c r="EO148" s="74">
        <f t="shared" si="505"/>
        <v>961.36326191489468</v>
      </c>
      <c r="EP148" s="81">
        <f t="shared" ref="EP148:EP152" si="508">IF(ISERROR((EO148/EG148-1)*100),"NA",IF(((EO148/EG148-1)*100)&gt;100,"NM",IF(((EO148/EG148-1)*100)&lt;-50,"NM",(EO148/EG148-1)*100)))</f>
        <v>4.4165593477674125</v>
      </c>
      <c r="EQ148" s="74">
        <f t="shared" si="505"/>
        <v>958.60304183899143</v>
      </c>
      <c r="ER148" s="81">
        <f t="shared" ref="ER148:ER152" si="509">IF(ISERROR((EQ148/EI148-1)*100),"NA",IF(((EQ148/EI148-1)*100)&gt;100,"NM",IF(((EQ148/EI148-1)*100)&lt;-50,"NM",(EQ148/EI148-1)*100)))</f>
        <v>2.6781321592750151</v>
      </c>
      <c r="ES148" s="82"/>
      <c r="ET148" s="469"/>
      <c r="EU148" s="82"/>
      <c r="EV148" s="171"/>
      <c r="EW148" s="79"/>
      <c r="EX148" s="171"/>
      <c r="EY148" s="79"/>
      <c r="EZ148" s="171"/>
      <c r="FA148" s="79"/>
      <c r="FB148" s="217"/>
      <c r="FC148" s="79"/>
      <c r="FD148" s="74">
        <f>FD45+FD81+FD113</f>
        <v>4031.5</v>
      </c>
      <c r="FE148" s="79" t="str">
        <f>IF(ISERROR((FD148/FB148-1)*100),"NA",IF(((FD148/FB148-1)*100)&gt;100,"NM",IF(((FD148/FB148-1)*100)&lt;-50,"NM",(FD148/FB148-1)*100)))</f>
        <v>NA</v>
      </c>
      <c r="FF148" s="74">
        <f>FF45+FF81+FF113</f>
        <v>5437.5</v>
      </c>
      <c r="FG148" s="79">
        <f>IF(ISERROR((FF148/FD148-1)*100),"NA",IF(((FF148/FD148-1)*100)&gt;100,"NM",IF(((FF148/FD148-1)*100)&lt;-50,"NM",(FF148/FD148-1)*100)))</f>
        <v>34.875356567034601</v>
      </c>
      <c r="FH148" s="74">
        <f>FH45+FH81+FH113</f>
        <v>4614.3999999999996</v>
      </c>
      <c r="FI148" s="79">
        <f>IF(ISERROR((FH148/FF148-1)*100),"NA",IF(((FH148/FF148-1)*100)&gt;100,"NM",IF(((FH148/FF148-1)*100)&lt;-50,"NM",(FH148/FF148-1)*100)))</f>
        <v>-15.137471264367818</v>
      </c>
      <c r="FJ148" s="74">
        <f>FJ45+FJ81+FJ113</f>
        <v>4389.7</v>
      </c>
      <c r="FK148" s="79">
        <f>IF(ISERROR((FJ148/FH148-1)*100),"NA",IF(((FJ148/FH148-1)*100)&gt;100,"NM",IF(((FJ148/FH148-1)*100)&lt;-50,"NM",(FJ148/FH148-1)*100)))</f>
        <v>-4.8695388349514479</v>
      </c>
      <c r="FL148" s="74">
        <f>FL45+FL81+FL113</f>
        <v>4387.9000000000005</v>
      </c>
      <c r="FM148" s="79">
        <f>IF(ISERROR((FL148/FJ148-1)*100),"NA",IF(((FL148/FJ148-1)*100)&gt;100,"NM",IF(((FL148/FJ148-1)*100)&lt;-50,"NM",(FL148/FJ148-1)*100)))</f>
        <v>-4.1005080073797107E-2</v>
      </c>
      <c r="FN148" s="74">
        <f>FN45+FN81+FN113</f>
        <v>4180.2</v>
      </c>
      <c r="FO148" s="79">
        <f>IF(ISERROR((FN148/FL148-1)*100),"NA",IF(((FN148/FL148-1)*100)&gt;100,"NM",IF(((FN148/FL148-1)*100)&lt;-50,"NM",(FN148/FL148-1)*100)))</f>
        <v>-4.7334715923334825</v>
      </c>
      <c r="FP148" s="74">
        <f>FP45+FP81+FP113</f>
        <v>3998.4</v>
      </c>
      <c r="FQ148" s="79">
        <f>IF(ISERROR((FP148/FN148-1)*100),"NA",IF(((FP148/FN148-1)*100)&gt;100,"NM",IF(((FP148/FN148-1)*100)&lt;-50,"NM",(FP148/FN148-1)*100)))</f>
        <v>-4.3490742069757342</v>
      </c>
      <c r="FR148" s="74">
        <f>FR45+FR81+FR113</f>
        <v>3192.1000000000004</v>
      </c>
      <c r="FS148" s="79">
        <f>IF(ISERROR((FR148/FP148-1)*100),"NA",IF(((FR148/FP148-1)*100)&gt;100,"NM",IF(((FR148/FP148-1)*100)&lt;-50,"NM",(FR148/FP148-1)*100)))</f>
        <v>-20.165566226490593</v>
      </c>
      <c r="FT148" s="74">
        <f>FT45+FT81+FT113</f>
        <v>3124.4</v>
      </c>
      <c r="FU148" s="79">
        <f>IF(ISERROR((FT148/FR148-1)*100),"NA",IF(((FT148/FR148-1)*100)&gt;100,"NM",IF(((FT148/FR148-1)*100)&lt;-50,"NM",(FT148/FR148-1)*100)))</f>
        <v>-2.1208608752858682</v>
      </c>
      <c r="FV148" s="74">
        <f>FV45+FV81+FV113</f>
        <v>3113.5</v>
      </c>
      <c r="FW148" s="79">
        <f>IF(ISERROR((FV148/FT148-1)*100),"NA",IF(((FV148/FT148-1)*100)&gt;100,"NM",IF(((FV148/FT148-1)*100)&lt;-50,"NM",(FV148/FT148-1)*100)))</f>
        <v>-0.3488669824606383</v>
      </c>
      <c r="FX148" s="74">
        <f>FX45+FX81+FX113</f>
        <v>3238.6000000000004</v>
      </c>
      <c r="FY148" s="79">
        <f>IF(ISERROR((FX148/FV148-1)*100),"NA",IF(((FX148/FV148-1)*100)&gt;100,"NM",IF(((FX148/FV148-1)*100)&lt;-50,"NM",(FX148/FV148-1)*100)))</f>
        <v>4.0179861891761703</v>
      </c>
      <c r="FZ148" s="74">
        <f>FZ45+FZ81+FZ113</f>
        <v>3222.4</v>
      </c>
      <c r="GA148" s="79">
        <f>IF(ISERROR((FZ148/FX148-1)*100),"NA",IF(((FZ148/FX148-1)*100)&gt;100,"NM",IF(((FZ148/FX148-1)*100)&lt;-50,"NM",(FZ148/FX148-1)*100)))</f>
        <v>-0.50021614277775406</v>
      </c>
      <c r="GB148" s="74">
        <f>GB45+GB81+GB113</f>
        <v>3288.1</v>
      </c>
      <c r="GC148" s="79">
        <f>IF(ISERROR((GB148/FZ148-1)*100),"NA",IF(((GB148/FZ148-1)*100)&gt;100,"NM",IF(((GB148/FZ148-1)*100)&lt;-50,"NM",(GB148/FZ148-1)*100)))</f>
        <v>2.0388530287984041</v>
      </c>
      <c r="GD148" s="74">
        <f>GD45+GD81+GD113</f>
        <v>3476.7</v>
      </c>
      <c r="GE148" s="79">
        <f>IF(ISERROR((GD148/GB148-1)*100),"NA",IF(((GD148/GB148-1)*100)&gt;100,"NM",IF(((GD148/GB148-1)*100)&lt;-50,"NM",(GD148/GB148-1)*100)))</f>
        <v>5.7358352848149385</v>
      </c>
      <c r="GF148" s="74">
        <f>GF45+GF81+GF113</f>
        <v>3624.2999999999997</v>
      </c>
      <c r="GG148" s="79">
        <f>IF(ISERROR((GF148/GD148-1)*100),"NA",IF(((GF148/GD148-1)*100)&gt;100,"NM",IF(((GF148/GD148-1)*100)&lt;-50,"NM",(GF148/GD148-1)*100)))</f>
        <v>4.2454051255500946</v>
      </c>
      <c r="GH148" s="74">
        <f>GH45+GH81+GH113</f>
        <v>3693.4</v>
      </c>
      <c r="GI148" s="79">
        <f>IF(ISERROR((GH148/GF148-1)*100),"NA",IF(((GH148/GF148-1)*100)&gt;100,"NM",IF(((GH148/GF148-1)*100)&lt;-50,"NM",(GH148/GF148-1)*100)))</f>
        <v>1.9065750627707434</v>
      </c>
      <c r="GJ148" s="74">
        <f>GJ45+GJ81+GJ113</f>
        <v>3826.7485549755756</v>
      </c>
      <c r="GK148" s="79">
        <f>IF(ISERROR((GJ148/GH148-1)*100),"NA",IF(((GJ148/GH148-1)*100)&gt;100,"NM",IF(((GJ148/GH148-1)*100)&lt;-50,"NM",(GJ148/GH148-1)*100)))</f>
        <v>3.6104552709042004</v>
      </c>
      <c r="GL148" s="74">
        <f>GL45+GL81+GL113</f>
        <v>3973.5698760669393</v>
      </c>
      <c r="GM148" s="79">
        <f>IF(ISERROR((GL148/GJ148-1)*100),"NA",IF(((GL148/GJ148-1)*100)&gt;100,"NM",IF(((GL148/GJ148-1)*100)&lt;-50,"NM",(GL148/GJ148-1)*100)))</f>
        <v>3.8367120019021206</v>
      </c>
      <c r="GN148" s="74">
        <f>GN45+GN81+GN113</f>
        <v>4128.8998142218779</v>
      </c>
      <c r="GO148" s="79">
        <f>IF(ISERROR((GN148/GL148-1)*100),"NA",IF(((GN148/GL148-1)*100)&gt;100,"NM",IF(((GN148/GL148-1)*100)&lt;-50,"NM",(GN148/GL148-1)*100)))</f>
        <v>3.9090778065965504</v>
      </c>
      <c r="GP148" s="74">
        <f>GP45+GP81+GP113</f>
        <v>4291.0865456804904</v>
      </c>
      <c r="GQ148" s="79">
        <f>IF(ISERROR((GP148/GN148-1)*100),"NA",IF(((GP148/GN148-1)*100)&gt;100,"NM",IF(((GP148/GN148-1)*100)&lt;-50,"NM",(GP148/GN148-1)*100)))</f>
        <v>3.9280859007516877</v>
      </c>
      <c r="GR148" s="74">
        <f>GR45+GR81+GR113</f>
        <v>4465.7126488795238</v>
      </c>
      <c r="GS148" s="79">
        <f>IF(ISERROR((GR148/GP148-1)*100),"NA",IF(((GR148/GP148-1)*100)&gt;100,"NM",IF(((GR148/GP148-1)*100)&lt;-50,"NM",(GR148/GP148-1)*100)))</f>
        <v>4.0695078353713443</v>
      </c>
      <c r="GT148" s="79">
        <f>IF(ISERROR(((GR148/GH148)^0.2-1)*100),"NA",(IF(OR(((GR148/GH148)^0.2-1)*100&gt;99,((GR148/GH148)^0.2-1)*100&lt;-50),"NM",(((GR148/GH148)^0.2-1)*100))))</f>
        <v>3.8706587480485499</v>
      </c>
    </row>
    <row r="149" spans="1:286" ht="12.75" customHeight="1" x14ac:dyDescent="0.2">
      <c r="A149" s="1"/>
      <c r="B149" s="2" t="s">
        <v>114</v>
      </c>
      <c r="C149" s="171"/>
      <c r="D149" s="171"/>
      <c r="E149" s="171"/>
      <c r="F149" s="171"/>
      <c r="G149" s="171"/>
      <c r="H149" s="171"/>
      <c r="I149" s="171"/>
      <c r="J149" s="171"/>
      <c r="K149" s="171"/>
      <c r="L149" s="79"/>
      <c r="M149" s="171"/>
      <c r="N149" s="79"/>
      <c r="O149" s="171"/>
      <c r="P149" s="79"/>
      <c r="Q149" s="171"/>
      <c r="R149" s="79"/>
      <c r="S149" s="171"/>
      <c r="T149" s="79"/>
      <c r="U149" s="171"/>
      <c r="V149" s="79" t="str">
        <f>IF(ISERROR((U149/M149-1)*100),"NA",IF(((U149/M149-1)*100)&gt;100,"NM",IF(((U149/M149-1)*100)&lt;-50,"NM",(U149/M149-1)*100)))</f>
        <v>NA</v>
      </c>
      <c r="W149" s="171"/>
      <c r="X149" s="79" t="str">
        <f>IF(ISERROR((W149/O149-1)*100),"NA",IF(((W149/O149-1)*100)&gt;100,"NM",IF(((W149/O149-1)*100)&lt;-50,"NM",(W149/O149-1)*100)))</f>
        <v>NA</v>
      </c>
      <c r="Y149" s="171"/>
      <c r="Z149" s="79" t="str">
        <f>IF(ISERROR((Y149/Q149-1)*100),"NA",IF(((Y149/Q149-1)*100)&gt;100,"NM",IF(((Y149/Q149-1)*100)&lt;-50,"NM",(Y149/Q149-1)*100)))</f>
        <v>NA</v>
      </c>
      <c r="AA149" s="172"/>
      <c r="AB149" s="79" t="str">
        <f>IF(ISERROR((AA149/S149-1)*100),"NA",IF(((AA149/S149-1)*100)&gt;100,"NM",IF(((AA149/S149-1)*100)&lt;-50,"NM",(AA149/S149-1)*100)))</f>
        <v>NA</v>
      </c>
      <c r="AC149" s="74">
        <f>AC46+AC82+AC114</f>
        <v>142.30000000000001</v>
      </c>
      <c r="AD149" s="79" t="str">
        <f>IF(ISERROR((AC149/U149-1)*100),"NA",IF(((AC149/U149-1)*100)&gt;100,"NM",IF(((AC149/U149-1)*100)&lt;-50,"NM",(AC149/U149-1)*100)))</f>
        <v>NA</v>
      </c>
      <c r="AE149" s="74">
        <f>AE46+AE82+AE114</f>
        <v>136.1</v>
      </c>
      <c r="AF149" s="79" t="str">
        <f>IF(ISERROR((AE149/W149-1)*100),"NA",IF(((AE149/W149-1)*100)&gt;100,"NM",IF(((AE149/W149-1)*100)&lt;-50,"NM",(AE149/W149-1)*100)))</f>
        <v>NA</v>
      </c>
      <c r="AG149" s="74">
        <f>AG46+AG82+AG114</f>
        <v>131.30000000000001</v>
      </c>
      <c r="AH149" s="79" t="str">
        <f>IF(ISERROR((AG149/Y149-1)*100),"NA",IF(((AG149/Y149-1)*100)&gt;100,"NM",IF(((AG149/Y149-1)*100)&lt;-50,"NM",(AG149/Y149-1)*100)))</f>
        <v>NA</v>
      </c>
      <c r="AI149" s="74">
        <f>AI46+AI82+AI114</f>
        <v>128.6</v>
      </c>
      <c r="AJ149" s="79" t="str">
        <f>IF(ISERROR((AI149/AA149-1)*100),"NA",IF(((AI149/AA149-1)*100)&gt;100,"NM",IF(((AI149/AA149-1)*100)&lt;-50,"NM",(AI149/AA149-1)*100)))</f>
        <v>NA</v>
      </c>
      <c r="AK149" s="74">
        <f>AK46+AK82+AK114</f>
        <v>132.10000000000002</v>
      </c>
      <c r="AL149" s="79">
        <f>IF(ISERROR((AK149/AC149-1)*100),"NA",IF(((AK149/AC149-1)*100)&gt;100,"NM",IF(((AK149/AC149-1)*100)&lt;-50,"NM",(AK149/AC149-1)*100)))</f>
        <v>-7.1679550245959174</v>
      </c>
      <c r="AM149" s="74">
        <f>AM46+AM82+AM114</f>
        <v>138.5</v>
      </c>
      <c r="AN149" s="79">
        <f>IF(ISERROR((AM149/AE149-1)*100),"NA",IF(((AM149/AE149-1)*100)&gt;100,"NM",IF(((AM149/AE149-1)*100)&lt;-50,"NM",(AM149/AE149-1)*100)))</f>
        <v>1.7634092578986182</v>
      </c>
      <c r="AO149" s="74">
        <f>AO46+AO82+AO114</f>
        <v>115.2</v>
      </c>
      <c r="AP149" s="79">
        <f>IF(ISERROR((AO149/AG149-1)*100),"NA",IF(((AO149/AG149-1)*100)&gt;100,"NM",IF(((AO149/AG149-1)*100)&lt;-50,"NM",(AO149/AG149-1)*100)))</f>
        <v>-12.261995430312266</v>
      </c>
      <c r="AQ149" s="74">
        <f>AQ46+AQ82+AQ114</f>
        <v>115.8</v>
      </c>
      <c r="AR149" s="79">
        <f>IF(ISERROR((AQ149/AI149-1)*100),"NA",IF(((AQ149/AI149-1)*100)&gt;100,"NM",IF(((AQ149/AI149-1)*100)&lt;-50,"NM",(AQ149/AI149-1)*100)))</f>
        <v>-9.9533437013996853</v>
      </c>
      <c r="AS149" s="74">
        <f>AS46+AS82+AS114</f>
        <v>134.39999999999998</v>
      </c>
      <c r="AT149" s="81">
        <f>IF(ISERROR((AS149/AK149-1)*100),"NA",IF(((AS149/AK149-1)*100)&gt;100,"NM",IF(((AS149/AK149-1)*100)&lt;-50,"NM",(AS149/AK149-1)*100)))</f>
        <v>1.741105223315631</v>
      </c>
      <c r="AU149" s="74">
        <f>AU46+AU82+AU114</f>
        <v>124.2</v>
      </c>
      <c r="AV149" s="81">
        <f>IF(ISERROR((AU149/AM149-1)*100),"NA",IF(((AU149/AM149-1)*100)&gt;100,"NM",IF(((AU149/AM149-1)*100)&lt;-50,"NM",(AU149/AM149-1)*100)))</f>
        <v>-10.324909747292422</v>
      </c>
      <c r="AW149" s="74">
        <f>AW46+AW82+AW114</f>
        <v>121.4</v>
      </c>
      <c r="AX149" s="81">
        <f>IF(ISERROR((AW149/AO149-1)*100),"NA",IF(((AW149/AO149-1)*100)&gt;100,"NM",IF(((AW149/AO149-1)*100)&lt;-50,"NM",(AW149/AO149-1)*100)))</f>
        <v>5.381944444444442</v>
      </c>
      <c r="AY149" s="74">
        <f>AY46+AY82+AY114</f>
        <v>125.2</v>
      </c>
      <c r="AZ149" s="81">
        <f>IF(ISERROR((AY149/AQ149-1)*100),"NA",IF(((AY149/AQ149-1)*100)&gt;100,"NM",IF(((AY149/AQ149-1)*100)&lt;-50,"NM",(AY149/AQ149-1)*100)))</f>
        <v>8.1174438687392048</v>
      </c>
      <c r="BA149" s="74">
        <f>BA46+BA82+BA114</f>
        <v>129.5</v>
      </c>
      <c r="BB149" s="81">
        <f>IF(ISERROR((BA149/AS149-1)*100),"NA",IF(((BA149/AS149-1)*100)&gt;100,"NM",IF(((BA149/AS149-1)*100)&lt;-50,"NM",(BA149/AS149-1)*100)))</f>
        <v>-3.6458333333333148</v>
      </c>
      <c r="BC149" s="74">
        <f>BC46+BC82+BC114</f>
        <v>123.6</v>
      </c>
      <c r="BD149" s="81">
        <f>IF(ISERROR((BC149/AU149-1)*100),"NA",IF(((BC149/AU149-1)*100)&gt;100,"NM",IF(((BC149/AU149-1)*100)&lt;-50,"NM",(BC149/AU149-1)*100)))</f>
        <v>-0.48309178743961567</v>
      </c>
      <c r="BE149" s="74">
        <f>BE46+BE82+BE114</f>
        <v>124.30000000000001</v>
      </c>
      <c r="BF149" s="81">
        <f>IF(ISERROR((BE149/AW149-1)*100),"NA",IF(((BE149/AW149-1)*100)&gt;100,"NM",IF(((BE149/AW149-1)*100)&lt;-50,"NM",(BE149/AW149-1)*100)))</f>
        <v>2.3887973640856819</v>
      </c>
      <c r="BG149" s="74">
        <f>BG46+BG82+BG114</f>
        <v>124.1</v>
      </c>
      <c r="BH149" s="81">
        <f>IF(ISERROR((BG149/AY149-1)*100),"NA",IF(((BG149/AY149-1)*100)&gt;100,"NM",IF(((BG149/AY149-1)*100)&lt;-50,"NM",(BG149/AY149-1)*100)))</f>
        <v>-0.87859424920128104</v>
      </c>
      <c r="BI149" s="74">
        <f>BI46+BI82+BI114</f>
        <v>132.19999999999999</v>
      </c>
      <c r="BJ149" s="81">
        <f>IF(ISERROR((BI149/BA149-1)*100),"NA",IF(((BI149/BA149-1)*100)&gt;100,"NM",IF(((BI149/BA149-1)*100)&lt;-50,"NM",(BI149/BA149-1)*100)))</f>
        <v>2.0849420849420763</v>
      </c>
      <c r="BK149" s="74">
        <f>BK46+BK82+BK114</f>
        <v>130.30000000000001</v>
      </c>
      <c r="BL149" s="81">
        <f>IF(ISERROR((BK149/BC149-1)*100),"NA",IF(((BK149/BC149-1)*100)&gt;100,"NM",IF(((BK149/BC149-1)*100)&lt;-50,"NM",(BK149/BC149-1)*100)))</f>
        <v>5.4207119741100485</v>
      </c>
      <c r="BM149" s="74">
        <f>BM46+BM82+BM114</f>
        <v>128.60000000000002</v>
      </c>
      <c r="BN149" s="81">
        <f>IF(ISERROR((BM149/BE149-1)*100),"NA",IF(((BM149/BE149-1)*100)&gt;100,"NM",IF(((BM149/BE149-1)*100)&lt;-50,"NM",(BM149/BE149-1)*100)))</f>
        <v>3.4593724859211639</v>
      </c>
      <c r="BO149" s="74">
        <f>BO46+BO82+BO114</f>
        <v>127.5</v>
      </c>
      <c r="BP149" s="81">
        <f>IF(ISERROR((BO149/BG149-1)*100),"NA",IF(((BO149/BG149-1)*100)&gt;100,"NM",IF(((BO149/BG149-1)*100)&lt;-50,"NM",(BO149/BG149-1)*100)))</f>
        <v>2.7397260273972712</v>
      </c>
      <c r="BQ149" s="74">
        <f>BQ46+BQ82+BQ114</f>
        <v>135.80000000000001</v>
      </c>
      <c r="BR149" s="81">
        <f>IF(ISERROR((BQ149/BI149-1)*100),"NA",IF(((BQ149/BI149-1)*100)&gt;100,"NM",IF(((BQ149/BI149-1)*100)&lt;-50,"NM",(BQ149/BI149-1)*100)))</f>
        <v>2.7231467473525228</v>
      </c>
      <c r="BS149" s="74">
        <f>BS46+BS82+BS114</f>
        <v>132.60000000000002</v>
      </c>
      <c r="BT149" s="81">
        <f>IF(ISERROR((BS149/BK149-1)*100),"NA",IF(((BS149/BK149-1)*100)&gt;100,"NM",IF(((BS149/BK149-1)*100)&lt;-50,"NM",(BS149/BK149-1)*100)))</f>
        <v>1.7651573292402301</v>
      </c>
      <c r="BU149" s="74">
        <f>BU46+BU82+BU114</f>
        <v>124.9</v>
      </c>
      <c r="BV149" s="81">
        <f>IF(ISERROR((BU149/BM149-1)*100),"NA",IF(((BU149/BM149-1)*100)&gt;100,"NM",IF(((BU149/BM149-1)*100)&lt;-50,"NM",(BU149/BM149-1)*100)))</f>
        <v>-2.8771384136858646</v>
      </c>
      <c r="BW149" s="74">
        <f>BW46+BW82+BW114</f>
        <v>123.30000000000001</v>
      </c>
      <c r="BX149" s="81">
        <f>IF(ISERROR((BW149/BO149-1)*100),"NA",IF(((BW149/BO149-1)*100)&gt;100,"NM",IF(((BW149/BO149-1)*100)&lt;-50,"NM",(BW149/BO149-1)*100)))</f>
        <v>-3.294117647058814</v>
      </c>
      <c r="BY149" s="74">
        <f>BY46+BY82+BY114</f>
        <v>120.30000000000001</v>
      </c>
      <c r="BZ149" s="81">
        <f>IF(ISERROR((BY149/BQ149-1)*100),"NA",IF(((BY149/BQ149-1)*100)&gt;100,"NM",IF(((BY149/BQ149-1)*100)&lt;-50,"NM",(BY149/BQ149-1)*100)))</f>
        <v>-11.413843888070696</v>
      </c>
      <c r="CA149" s="74">
        <f>CA46+CA82+CA114</f>
        <v>114.2</v>
      </c>
      <c r="CB149" s="81">
        <f>IF(ISERROR((CA149/BS149-1)*100),"NA",IF(((CA149/BS149-1)*100)&gt;100,"NM",IF(((CA149/BS149-1)*100)&lt;-50,"NM",(CA149/BS149-1)*100)))</f>
        <v>-13.876319758672718</v>
      </c>
      <c r="CC149" s="74">
        <f>CC46+CC82+CC114</f>
        <v>113.30000000000001</v>
      </c>
      <c r="CD149" s="81">
        <f>IF(ISERROR((CC149/BU149-1)*100),"NA",IF(((CC149/BU149-1)*100)&gt;100,"NM",IF(((CC149/BU149-1)*100)&lt;-50,"NM",(CC149/BU149-1)*100)))</f>
        <v>-9.2874299439551606</v>
      </c>
      <c r="CE149" s="74">
        <f>CE46+CE82+CE114</f>
        <v>112.8</v>
      </c>
      <c r="CF149" s="81">
        <f>IF(ISERROR((CE149/BW149-1)*100),"NA",IF(((CE149/BW149-1)*100)&gt;100,"NM",IF(((CE149/BW149-1)*100)&lt;-50,"NM",(CE149/BW149-1)*100)))</f>
        <v>-8.5158150851581631</v>
      </c>
      <c r="CG149" s="74">
        <f>CG46+CG82+CG114</f>
        <v>123</v>
      </c>
      <c r="CH149" s="81">
        <f>IF(ISERROR((CG149/BY149-1)*100),"NA",IF(((CG149/BY149-1)*100)&gt;100,"NM",IF(((CG149/BY149-1)*100)&lt;-50,"NM",(CG149/BY149-1)*100)))</f>
        <v>2.2443890274314038</v>
      </c>
      <c r="CI149" s="74">
        <f>CI46+CI82+CI114</f>
        <v>118.19999999999999</v>
      </c>
      <c r="CJ149" s="81">
        <f>IF(ISERROR((CI149/CA149-1)*100),"NA",IF(((CI149/CA149-1)*100)&gt;100,"NM",IF(((CI149/CA149-1)*100)&lt;-50,"NM",(CI149/CA149-1)*100)))</f>
        <v>3.5026269702276513</v>
      </c>
      <c r="CK149" s="74">
        <f>CK46+CK82+CK114</f>
        <v>119.5</v>
      </c>
      <c r="CL149" s="81">
        <f>IF(ISERROR((CK149/CC149-1)*100),"NA",IF(((CK149/CC149-1)*100)&gt;100,"NM",IF(((CK149/CC149-1)*100)&lt;-50,"NM",(CK149/CC149-1)*100)))</f>
        <v>5.4721977052073933</v>
      </c>
      <c r="CM149" s="74">
        <f>CM46+CM82+CM114</f>
        <v>113.3</v>
      </c>
      <c r="CN149" s="81">
        <f>IF(ISERROR((CM149/CE149-1)*100),"NA",IF(((CM149/CE149-1)*100)&gt;100,"NM",IF(((CM149/CE149-1)*100)&lt;-50,"NM",(CM149/CE149-1)*100)))</f>
        <v>0.44326241134751143</v>
      </c>
      <c r="CO149" s="74">
        <f>CO46+CO82+CO114</f>
        <v>129.30000000000001</v>
      </c>
      <c r="CP149" s="81">
        <f>IF(ISERROR((CO149/CG149-1)*100),"NA",IF(((CO149/CG149-1)*100)&gt;100,"NM",IF(((CO149/CG149-1)*100)&lt;-50,"NM",(CO149/CG149-1)*100)))</f>
        <v>5.1219512195121997</v>
      </c>
      <c r="CQ149" s="74">
        <f>CQ46+CQ82+CQ114</f>
        <v>129.69999999999999</v>
      </c>
      <c r="CR149" s="81">
        <f>IF(ISERROR((CQ149/CI149-1)*100),"NA",IF(((CQ149/CI149-1)*100)&gt;100,"NM",IF(((CQ149/CI149-1)*100)&lt;-50,"NM",(CQ149/CI149-1)*100)))</f>
        <v>9.7292724196277547</v>
      </c>
      <c r="CS149" s="74">
        <f>CS46+CS82+CS114</f>
        <v>124.4</v>
      </c>
      <c r="CT149" s="81">
        <f>IF(ISERROR((CS149/CK149-1)*100),"NA",IF(((CS149/CK149-1)*100)&gt;100,"NM",IF(((CS149/CK149-1)*100)&lt;-50,"NM",(CS149/CK149-1)*100)))</f>
        <v>4.1004184100418506</v>
      </c>
      <c r="CU149" s="74">
        <f>CU46+CU82+CU114</f>
        <v>124.1</v>
      </c>
      <c r="CV149" s="81">
        <f>IF(ISERROR((CU149/CM149-1)*100),"NA",IF(((CU149/CM149-1)*100)&gt;100,"NM",IF(((CU149/CM149-1)*100)&lt;-50,"NM",(CU149/CM149-1)*100)))</f>
        <v>9.5322153574580746</v>
      </c>
      <c r="CW149" s="74">
        <f>CW46+CW82+CW114</f>
        <v>135.9</v>
      </c>
      <c r="CX149" s="81">
        <f>IF(ISERROR((CW149/CO149-1)*100),"NA",IF(((CW149/CO149-1)*100)&gt;100,"NM",IF(((CW149/CO149-1)*100)&lt;-50,"NM",(CW149/CO149-1)*100)))</f>
        <v>5.1044083526682105</v>
      </c>
      <c r="CY149" s="74">
        <f>CY46+CY82+CY114</f>
        <v>122.7</v>
      </c>
      <c r="CZ149" s="81">
        <f>IF(ISERROR((CY149/CQ149-1)*100),"NA",IF(((CY149/CQ149-1)*100)&gt;100,"NM",IF(((CY149/CQ149-1)*100)&lt;-50,"NM",(CY149/CQ149-1)*100)))</f>
        <v>-5.3970701619120991</v>
      </c>
      <c r="DA149" s="74">
        <f>DA46+DA82+DA114</f>
        <v>124.29999999999998</v>
      </c>
      <c r="DB149" s="81">
        <f>IF(ISERROR((DA149/CS149-1)*100),"NA",IF(((DA149/CS149-1)*100)&gt;100,"NM",IF(((DA149/CS149-1)*100)&lt;-50,"NM",(DA149/CS149-1)*100)))</f>
        <v>-8.0385852090048004E-2</v>
      </c>
      <c r="DC149" s="74">
        <f>DC46+DC82+DC114</f>
        <v>122.3</v>
      </c>
      <c r="DD149" s="81">
        <f>IF(ISERROR((DC149/CU149-1)*100),"NA",IF(((DC149/CU149-1)*100)&gt;100,"NM",IF(((DC149/CU149-1)*100)&lt;-50,"NM",(DC149/CU149-1)*100)))</f>
        <v>-1.4504431909750148</v>
      </c>
      <c r="DE149" s="74">
        <f>DE46+DE82+DE114</f>
        <v>136.5</v>
      </c>
      <c r="DF149" s="81">
        <f>IF(ISERROR((DE149/CW149-1)*100),"NA",IF(((DE149/CW149-1)*100)&gt;100,"NM",IF(((DE149/CW149-1)*100)&lt;-50,"NM",(DE149/CW149-1)*100)))</f>
        <v>0.44150110375276164</v>
      </c>
      <c r="DG149" s="74">
        <f>DG46+DG82+DG114</f>
        <v>129.69999999999999</v>
      </c>
      <c r="DH149" s="81">
        <f>IF(ISERROR((DG149/CY149-1)*100),"NA",IF(((DG149/CY149-1)*100)&gt;100,"NM",IF(((DG149/CY149-1)*100)&lt;-50,"NM",(DG149/CY149-1)*100)))</f>
        <v>5.7049714751426173</v>
      </c>
      <c r="DI149" s="74">
        <f>DI46+DI82+DI114</f>
        <v>130.30000000000001</v>
      </c>
      <c r="DJ149" s="81">
        <f>IF(ISERROR((DI149/DA149-1)*100),"NA",IF(((DI149/DA149-1)*100)&gt;100,"NM",IF(((DI149/DA149-1)*100)&lt;-50,"NM",(DI149/DA149-1)*100)))</f>
        <v>4.8270313757039718</v>
      </c>
      <c r="DK149" s="74">
        <f>DK46+DK82+DK114</f>
        <v>132.19999999999999</v>
      </c>
      <c r="DL149" s="81">
        <f>IF(ISERROR((DK149/DC149-1)*100),"NA",IF(((DK149/DC149-1)*100)&gt;100,"NM",IF(((DK149/DC149-1)*100)&lt;-50,"NM",(DK149/DC149-1)*100)))</f>
        <v>8.0948487326246941</v>
      </c>
      <c r="DM149" s="74">
        <f>DM46+DM82+DM114</f>
        <v>145.89999999999998</v>
      </c>
      <c r="DN149" s="81">
        <f>IF(ISERROR((DM149/DE149-1)*100),"NA",IF(((DM149/DE149-1)*100)&gt;100,"NM",IF(((DM149/DE149-1)*100)&lt;-50,"NM",(DM149/DE149-1)*100)))</f>
        <v>6.886446886446862</v>
      </c>
      <c r="DO149" s="74">
        <f>DO46+DO82+DO114</f>
        <v>138.5</v>
      </c>
      <c r="DP149" s="81">
        <f>IF(ISERROR((DO149/DG149-1)*100),"NA",IF(((DO149/DG149-1)*100)&gt;100,"NM",IF(((DO149/DG149-1)*100)&lt;-50,"NM",(DO149/DG149-1)*100)))</f>
        <v>6.7848882035466573</v>
      </c>
      <c r="DQ149" s="74">
        <f>DQ46+DQ82+DQ114</f>
        <v>137.4</v>
      </c>
      <c r="DR149" s="81">
        <f>IF(ISERROR((DQ149/DI149-1)*100),"NA",IF(((DQ149/DI149-1)*100)&gt;100,"NM",IF(((DQ149/DI149-1)*100)&lt;-50,"NM",(DQ149/DI149-1)*100)))</f>
        <v>5.4489639293936909</v>
      </c>
      <c r="DS149" s="74">
        <f>DS46+DS82+DS114</f>
        <v>140.4</v>
      </c>
      <c r="DT149" s="81">
        <f>IF(ISERROR((DS149/DK149-1)*100),"NA",IF(((DS149/DK149-1)*100)&gt;100,"NM",IF(((DS149/DK149-1)*100)&lt;-50,"NM",(DS149/DK149-1)*100)))</f>
        <v>6.2027231467473687</v>
      </c>
      <c r="DU149" s="74">
        <f>DU46+DU82+DU114</f>
        <v>149</v>
      </c>
      <c r="DV149" s="81">
        <f>IF(ISERROR((DU149/DM149-1)*100),"NA",IF(((DU149/DM149-1)*100)&gt;100,"NM",IF(((DU149/DM149-1)*100)&lt;-50,"NM",(DU149/DM149-1)*100)))</f>
        <v>2.1247429746401814</v>
      </c>
      <c r="DW149" s="74">
        <f>DW46+DW82+DW114</f>
        <v>145.4</v>
      </c>
      <c r="DX149" s="81">
        <f>IF(ISERROR((DW149/DO149-1)*100),"NA",IF(((DW149/DO149-1)*100)&gt;100,"NM",IF(((DW149/DO149-1)*100)&lt;-50,"NM",(DW149/DO149-1)*100)))</f>
        <v>4.9819494584837587</v>
      </c>
      <c r="DY149" s="74">
        <f>DY46+DY82+DY114</f>
        <v>145.4</v>
      </c>
      <c r="DZ149" s="81">
        <f>IF(ISERROR((DY149/DQ149-1)*100),"NA",IF(((DY149/DQ149-1)*100)&gt;100,"NM",IF(((DY149/DQ149-1)*100)&lt;-50,"NM",(DY149/DQ149-1)*100)))</f>
        <v>5.8224163027656539</v>
      </c>
      <c r="EA149" s="74">
        <f>EA46+EA82+EA114</f>
        <v>140.60000000000002</v>
      </c>
      <c r="EB149" s="81">
        <f>IF(ISERROR((EA149/DS149-1)*100),"NA",IF(((EA149/DS149-1)*100)&gt;100,"NM",IF(((EA149/DS149-1)*100)&lt;-50,"NM",(EA149/DS149-1)*100)))</f>
        <v>0.14245014245015675</v>
      </c>
      <c r="EC149" s="74">
        <f>EC46+EC82+EC114</f>
        <v>153.19999999999999</v>
      </c>
      <c r="ED149" s="81">
        <f t="shared" si="501"/>
        <v>2.8187919463087185</v>
      </c>
      <c r="EE149" s="74">
        <f>EE46+EE82+EE114</f>
        <v>144.69999999999999</v>
      </c>
      <c r="EF149" s="81">
        <f t="shared" si="502"/>
        <v>-0.48143053645117728</v>
      </c>
      <c r="EG149" s="74">
        <f>EG46+EG82+EG114</f>
        <v>144.1</v>
      </c>
      <c r="EH149" s="81">
        <f t="shared" si="503"/>
        <v>-0.89408528198074988</v>
      </c>
      <c r="EI149" s="74">
        <f>EI46+EI82+EI114</f>
        <v>148.80000000000001</v>
      </c>
      <c r="EJ149" s="81">
        <f t="shared" si="504"/>
        <v>5.8321479374110918</v>
      </c>
      <c r="EK149" s="74">
        <f t="shared" ref="EK149:EQ149" si="510">EK46+EK82+EK114</f>
        <v>149.91513564468718</v>
      </c>
      <c r="EL149" s="81">
        <f t="shared" si="506"/>
        <v>-2.1441673337550982</v>
      </c>
      <c r="EM149" s="74">
        <f t="shared" si="510"/>
        <v>151.30084693435509</v>
      </c>
      <c r="EN149" s="81">
        <f t="shared" si="507"/>
        <v>4.5617463264375324</v>
      </c>
      <c r="EO149" s="74">
        <f t="shared" si="510"/>
        <v>153.39620880336417</v>
      </c>
      <c r="EP149" s="81">
        <f t="shared" si="508"/>
        <v>6.4512205436253911</v>
      </c>
      <c r="EQ149" s="74">
        <f t="shared" si="510"/>
        <v>154.36005675243149</v>
      </c>
      <c r="ER149" s="81">
        <f t="shared" si="509"/>
        <v>3.7365972798598657</v>
      </c>
      <c r="ES149" s="82"/>
      <c r="ET149" s="469"/>
      <c r="EU149" s="82"/>
      <c r="EV149" s="171"/>
      <c r="EW149" s="79"/>
      <c r="EX149" s="171"/>
      <c r="EY149" s="79"/>
      <c r="EZ149" s="171"/>
      <c r="FA149" s="79"/>
      <c r="FB149" s="217"/>
      <c r="FC149" s="79"/>
      <c r="FD149" s="74">
        <f>FD46+FD82+FD114</f>
        <v>535.1</v>
      </c>
      <c r="FE149" s="79" t="str">
        <f>IF(ISERROR((FD149/FB149-1)*100),"NA",IF(((FD149/FB149-1)*100)&gt;100,"NM",IF(((FD149/FB149-1)*100)&lt;-50,"NM",(FD149/FB149-1)*100)))</f>
        <v>NA</v>
      </c>
      <c r="FF149" s="74">
        <f>FF46+FF82+FF114</f>
        <v>548.79999999999995</v>
      </c>
      <c r="FG149" s="79">
        <f>IF(ISERROR((FF149/FD149-1)*100),"NA",IF(((FF149/FD149-1)*100)&gt;100,"NM",IF(((FF149/FD149-1)*100)&lt;-50,"NM",(FF149/FD149-1)*100)))</f>
        <v>2.5602691085778284</v>
      </c>
      <c r="FH149" s="74">
        <f>FH46+FH82+FH114</f>
        <v>538.29999999999995</v>
      </c>
      <c r="FI149" s="79">
        <f>IF(ISERROR((FH149/FF149-1)*100),"NA",IF(((FH149/FF149-1)*100)&gt;100,"NM",IF(((FH149/FF149-1)*100)&lt;-50,"NM",(FH149/FF149-1)*100)))</f>
        <v>-1.9132653061224469</v>
      </c>
      <c r="FJ149" s="74">
        <f>FJ46+FJ82+FJ114</f>
        <v>501.59999999999997</v>
      </c>
      <c r="FK149" s="79">
        <f>IF(ISERROR((FJ149/FH149-1)*100),"NA",IF(((FJ149/FH149-1)*100)&gt;100,"NM",IF(((FJ149/FH149-1)*100)&lt;-50,"NM",(FJ149/FH149-1)*100)))</f>
        <v>-6.817759613598362</v>
      </c>
      <c r="FL149" s="74">
        <f>FL46+FL82+FL114</f>
        <v>505.2</v>
      </c>
      <c r="FM149" s="79">
        <f>IF(ISERROR((FL149/FJ149-1)*100),"NA",IF(((FL149/FJ149-1)*100)&gt;100,"NM",IF(((FL149/FJ149-1)*100)&lt;-50,"NM",(FL149/FJ149-1)*100)))</f>
        <v>0.71770334928229484</v>
      </c>
      <c r="FN149" s="74">
        <f>FN46+FN82+FN114</f>
        <v>501.5</v>
      </c>
      <c r="FO149" s="79">
        <f>IF(ISERROR((FN149/FL149-1)*100),"NA",IF(((FN149/FL149-1)*100)&gt;100,"NM",IF(((FN149/FL149-1)*100)&lt;-50,"NM",(FN149/FL149-1)*100)))</f>
        <v>-0.73238321456848832</v>
      </c>
      <c r="FP149" s="74">
        <f>FP46+FP82+FP114</f>
        <v>518.59999999999991</v>
      </c>
      <c r="FQ149" s="79">
        <f>IF(ISERROR((FP149/FN149-1)*100),"NA",IF(((FP149/FN149-1)*100)&gt;100,"NM",IF(((FP149/FN149-1)*100)&lt;-50,"NM",(FP149/FN149-1)*100)))</f>
        <v>3.4097706879361755</v>
      </c>
      <c r="FR149" s="74">
        <f>FR46+FR82+FR114</f>
        <v>448.29999999999995</v>
      </c>
      <c r="FS149" s="79">
        <f>IF(ISERROR((FR149/FP149-1)*100),"NA",IF(((FR149/FP149-1)*100)&gt;100,"NM",IF(((FR149/FP149-1)*100)&lt;-50,"NM",(FR149/FP149-1)*100)))</f>
        <v>-13.555726957192437</v>
      </c>
      <c r="FT149" s="74">
        <f>FT46+FT82+FT114</f>
        <v>460.6</v>
      </c>
      <c r="FU149" s="79">
        <f>IF(ISERROR((FT149/FR149-1)*100),"NA",IF(((FT149/FR149-1)*100)&gt;100,"NM",IF(((FT149/FR149-1)*100)&lt;-50,"NM",(FT149/FR149-1)*100)))</f>
        <v>2.7436984162391376</v>
      </c>
      <c r="FV149" s="74">
        <f>FV46+FV82+FV114</f>
        <v>474</v>
      </c>
      <c r="FW149" s="79">
        <f>IF(ISERROR((FV149/FT149-1)*100),"NA",IF(((FV149/FT149-1)*100)&gt;100,"NM",IF(((FV149/FT149-1)*100)&lt;-50,"NM",(FV149/FT149-1)*100)))</f>
        <v>2.909248805905329</v>
      </c>
      <c r="FX149" s="74">
        <f>FX46+FX82+FX114</f>
        <v>507.5</v>
      </c>
      <c r="FY149" s="79">
        <f>IF(ISERROR((FX149/FV149-1)*100),"NA",IF(((FX149/FV149-1)*100)&gt;100,"NM",IF(((FX149/FV149-1)*100)&lt;-50,"NM",(FX149/FV149-1)*100)))</f>
        <v>7.0675105485232148</v>
      </c>
      <c r="FZ149" s="74">
        <f>FZ46+FZ82+FZ114</f>
        <v>505.19999999999993</v>
      </c>
      <c r="GA149" s="79">
        <f>IF(ISERROR((FZ149/FX149-1)*100),"NA",IF(((FZ149/FX149-1)*100)&gt;100,"NM",IF(((FZ149/FX149-1)*100)&lt;-50,"NM",(FZ149/FX149-1)*100)))</f>
        <v>-0.45320197044336208</v>
      </c>
      <c r="GB149" s="74">
        <f>GB46+GB82+GB114</f>
        <v>528.70000000000005</v>
      </c>
      <c r="GC149" s="79">
        <f>IF(ISERROR((GB149/FZ149-1)*100),"NA",IF(((GB149/FZ149-1)*100)&gt;100,"NM",IF(((GB149/FZ149-1)*100)&lt;-50,"NM",(GB149/FZ149-1)*100)))</f>
        <v>4.6516231195566249</v>
      </c>
      <c r="GD149" s="74">
        <f>GD46+GD82+GD114</f>
        <v>562.19999999999993</v>
      </c>
      <c r="GE149" s="79">
        <f>IF(ISERROR((GD149/GB149-1)*100),"NA",IF(((GD149/GB149-1)*100)&gt;100,"NM",IF(((GD149/GB149-1)*100)&lt;-50,"NM",(GD149/GB149-1)*100)))</f>
        <v>6.3362965765084045</v>
      </c>
      <c r="GF149" s="74">
        <f>GF46+GF82+GF114</f>
        <v>580.4</v>
      </c>
      <c r="GG149" s="79">
        <f>IF(ISERROR((GF149/GD149-1)*100),"NA",IF(((GF149/GD149-1)*100)&gt;100,"NM",IF(((GF149/GD149-1)*100)&lt;-50,"NM",(GF149/GD149-1)*100)))</f>
        <v>3.2372821060121071</v>
      </c>
      <c r="GH149" s="74">
        <f>GH46+GH82+GH114</f>
        <v>590.79999999999995</v>
      </c>
      <c r="GI149" s="79">
        <f>IF(ISERROR((GH149/GF149-1)*100),"NA",IF(((GH149/GF149-1)*100)&gt;100,"NM",IF(((GH149/GF149-1)*100)&lt;-50,"NM",(GH149/GF149-1)*100)))</f>
        <v>1.7918676774638209</v>
      </c>
      <c r="GJ149" s="74">
        <f>GJ46+GJ82+GJ114</f>
        <v>608.97224813483797</v>
      </c>
      <c r="GK149" s="79">
        <f>IF(ISERROR((GJ149/GH149-1)*100),"NA",IF(((GJ149/GH149-1)*100)&gt;100,"NM",IF(((GJ149/GH149-1)*100)&lt;-50,"NM",(GJ149/GH149-1)*100)))</f>
        <v>3.0758713836895657</v>
      </c>
      <c r="GL149" s="74">
        <f>GL46+GL82+GL114</f>
        <v>632.30894912457165</v>
      </c>
      <c r="GM149" s="79">
        <f>IF(ISERROR((GL149/GJ149-1)*100),"NA",IF(((GL149/GJ149-1)*100)&gt;100,"NM",IF(((GL149/GJ149-1)*100)&lt;-50,"NM",(GL149/GJ149-1)*100)))</f>
        <v>3.8321452350594587</v>
      </c>
      <c r="GN149" s="74">
        <f>GN46+GN82+GN114</f>
        <v>656.61640582890436</v>
      </c>
      <c r="GO149" s="79">
        <f>IF(ISERROR((GN149/GL149-1)*100),"NA",IF(((GN149/GL149-1)*100)&gt;100,"NM",IF(((GN149/GL149-1)*100)&lt;-50,"NM",(GN149/GL149-1)*100)))</f>
        <v>3.8442373365087157</v>
      </c>
      <c r="GP149" s="74">
        <f>GP46+GP82+GP114</f>
        <v>681.9377056037099</v>
      </c>
      <c r="GQ149" s="79">
        <f>IF(ISERROR((GP149/GN149-1)*100),"NA",IF(((GP149/GN149-1)*100)&gt;100,"NM",IF(((GP149/GN149-1)*100)&lt;-50,"NM",(GP149/GN149-1)*100)))</f>
        <v>3.8563306597312774</v>
      </c>
      <c r="GR149" s="74">
        <f>GR46+GR82+GR114</f>
        <v>708.31793745851519</v>
      </c>
      <c r="GS149" s="79">
        <f>IF(ISERROR((GR149/GP149-1)*100),"NA",IF(((GR149/GP149-1)*100)&gt;100,"NM",IF(((GR149/GP149-1)*100)&lt;-50,"NM",(GR149/GP149-1)*100)))</f>
        <v>3.8684225315641196</v>
      </c>
      <c r="GT149" s="79">
        <f>IF(ISERROR(((GR149/GH149)^0.2-1)*100),"NA",(IF(OR(((GR149/GH149)^0.2-1)*100&gt;99,((GR149/GH149)^0.2-1)*100&lt;-50),"NM",(((GR149/GH149)^0.2-1)*100))))</f>
        <v>3.6949366643172166</v>
      </c>
    </row>
    <row r="150" spans="1:286" ht="12.75" customHeight="1" x14ac:dyDescent="0.2">
      <c r="A150" s="1"/>
      <c r="B150" s="2" t="s">
        <v>311</v>
      </c>
      <c r="C150" s="171"/>
      <c r="D150" s="171"/>
      <c r="E150" s="171"/>
      <c r="F150" s="171"/>
      <c r="G150" s="171"/>
      <c r="H150" s="171"/>
      <c r="I150" s="171"/>
      <c r="J150" s="171"/>
      <c r="K150" s="171"/>
      <c r="L150" s="79"/>
      <c r="M150" s="171"/>
      <c r="N150" s="79"/>
      <c r="O150" s="171"/>
      <c r="P150" s="79"/>
      <c r="Q150" s="171"/>
      <c r="R150" s="79"/>
      <c r="S150" s="171"/>
      <c r="T150" s="79"/>
      <c r="U150" s="171"/>
      <c r="V150" s="79" t="str">
        <f>IF(ISERROR((U150/M150-1)*100),"NA",IF(((U150/M150-1)*100)&gt;100,"NM",IF(((U150/M150-1)*100)&lt;-50,"NM",(U150/M150-1)*100)))</f>
        <v>NA</v>
      </c>
      <c r="W150" s="171"/>
      <c r="X150" s="79" t="str">
        <f>IF(ISERROR((W150/O150-1)*100),"NA",IF(((W150/O150-1)*100)&gt;100,"NM",IF(((W150/O150-1)*100)&lt;-50,"NM",(W150/O150-1)*100)))</f>
        <v>NA</v>
      </c>
      <c r="Y150" s="171"/>
      <c r="Z150" s="79" t="str">
        <f>IF(ISERROR((Y150/Q150-1)*100),"NA",IF(((Y150/Q150-1)*100)&gt;100,"NM",IF(((Y150/Q150-1)*100)&lt;-50,"NM",(Y150/Q150-1)*100)))</f>
        <v>NA</v>
      </c>
      <c r="AA150" s="172"/>
      <c r="AB150" s="79" t="str">
        <f>IF(ISERROR((AA150/S150-1)*100),"NA",IF(((AA150/S150-1)*100)&gt;100,"NM",IF(((AA150/S150-1)*100)&lt;-50,"NM",(AA150/S150-1)*100)))</f>
        <v>NA</v>
      </c>
      <c r="AC150" s="74">
        <f>AC47+AC83+AC115</f>
        <v>-24.700000000000003</v>
      </c>
      <c r="AD150" s="79" t="str">
        <f>IF(ISERROR((AC150/U150-1)*100),"NA",IF(((AC150/U150-1)*100)&gt;100,"NM",IF(((AC150/U150-1)*100)&lt;-50,"NM",(AC150/U150-1)*100)))</f>
        <v>NA</v>
      </c>
      <c r="AE150" s="74">
        <f>AE47+AE83+AE115</f>
        <v>-17.799999999999997</v>
      </c>
      <c r="AF150" s="79" t="str">
        <f>IF(ISERROR((AE150/W150-1)*100),"NA",IF(((AE150/W150-1)*100)&gt;100,"NM",IF(((AE150/W150-1)*100)&lt;-50,"NM",(AE150/W150-1)*100)))</f>
        <v>NA</v>
      </c>
      <c r="AG150" s="74">
        <f>AG47+AG83+AG115</f>
        <v>-14.129999999999997</v>
      </c>
      <c r="AH150" s="79" t="str">
        <f>IF(ISERROR((AG150/Y150-1)*100),"NA",IF(((AG150/Y150-1)*100)&gt;100,"NM",IF(((AG150/Y150-1)*100)&lt;-50,"NM",(AG150/Y150-1)*100)))</f>
        <v>NA</v>
      </c>
      <c r="AI150" s="74">
        <f>AI47+AI83+AI115</f>
        <v>-3.0700000000000056</v>
      </c>
      <c r="AJ150" s="79" t="str">
        <f>IF(ISERROR((AI150/AA150-1)*100),"NA",IF(((AI150/AA150-1)*100)&gt;100,"NM",IF(((AI150/AA150-1)*100)&lt;-50,"NM",(AI150/AA150-1)*100)))</f>
        <v>NA</v>
      </c>
      <c r="AK150" s="74">
        <f>AK47+AK83+AK115</f>
        <v>-7.5000000000000036</v>
      </c>
      <c r="AL150" s="79" t="str">
        <f>IF(ISERROR((AK150/AC150-1)*100),"NA",IF(((AK150/AC150-1)*100)&gt;100,"NM",IF(((AK150/AC150-1)*100)&lt;-50,"NM",(AK150/AC150-1)*100)))</f>
        <v>NM</v>
      </c>
      <c r="AM150" s="74">
        <f>AM47+AM83+AM115</f>
        <v>-9.4999999999999964</v>
      </c>
      <c r="AN150" s="79">
        <f>IF(ISERROR((AM150/AE150-1)*100),"NA",IF(((AM150/AE150-1)*100)&gt;100,"NM",IF(((AM150/AE150-1)*100)&lt;-50,"NM",(AM150/AE150-1)*100)))</f>
        <v>-46.629213483146081</v>
      </c>
      <c r="AO150" s="74">
        <f>AO47+AO83+AO115</f>
        <v>6.0000000000000036</v>
      </c>
      <c r="AP150" s="79" t="str">
        <f>IF(ISERROR((AO150/AG150-1)*100),"NA",IF(((AO150/AG150-1)*100)&gt;100,"NM",IF(((AO150/AG150-1)*100)&lt;-50,"NM",(AO150/AG150-1)*100)))</f>
        <v>NM</v>
      </c>
      <c r="AQ150" s="74">
        <f>AQ47+AQ83+AQ115</f>
        <v>6.0000000000000071</v>
      </c>
      <c r="AR150" s="79" t="str">
        <f>IF(ISERROR((AQ150/AI150-1)*100),"NA",IF(((AQ150/AI150-1)*100)&gt;100,"NM",IF(((AQ150/AI150-1)*100)&lt;-50,"NM",(AQ150/AI150-1)*100)))</f>
        <v>NM</v>
      </c>
      <c r="AS150" s="221">
        <f>AS47+AS83+AS115</f>
        <v>-2.6000000000000014</v>
      </c>
      <c r="AT150" s="81" t="str">
        <f>IF(ISERROR((AS150/AK150-1)*100),"NA",IF(((AS150/AK150-1)*100)&gt;100,"NM",IF(((AS150/AK150-1)*100)&lt;-50,"NM",(AS150/AK150-1)*100)))</f>
        <v>NM</v>
      </c>
      <c r="AU150" s="221">
        <f>AU47+AU83+AU115</f>
        <v>3.0999999999999961</v>
      </c>
      <c r="AV150" s="81" t="str">
        <f>IF(ISERROR((AU150/AM150-1)*100),"NA",IF(((AU150/AM150-1)*100)&gt;100,"NM",IF(((AU150/AM150-1)*100)&lt;-50,"NM",(AU150/AM150-1)*100)))</f>
        <v>NM</v>
      </c>
      <c r="AW150" s="221">
        <f>AW47+AW83+AW115</f>
        <v>1.6000000000000032</v>
      </c>
      <c r="AX150" s="81" t="str">
        <f>IF(ISERROR((AW150/AO150-1)*100),"NA",IF(((AW150/AO150-1)*100)&gt;100,"NM",IF(((AW150/AO150-1)*100)&lt;-50,"NM",(AW150/AO150-1)*100)))</f>
        <v>NM</v>
      </c>
      <c r="AY150" s="221">
        <f>AY47+AY83+AY115</f>
        <v>-6</v>
      </c>
      <c r="AZ150" s="81" t="str">
        <f>IF(ISERROR((AY150/AQ150-1)*100),"NA",IF(((AY150/AQ150-1)*100)&gt;100,"NM",IF(((AY150/AQ150-1)*100)&lt;-50,"NM",(AY150/AQ150-1)*100)))</f>
        <v>NM</v>
      </c>
      <c r="BA150" s="221">
        <f>BA47+BA83+BA115</f>
        <v>-10.099999999999996</v>
      </c>
      <c r="BB150" s="81" t="str">
        <f>IF(ISERROR((BA150/AS150-1)*100),"NA",IF(((BA150/AS150-1)*100)&gt;100,"NM",IF(((BA150/AS150-1)*100)&lt;-50,"NM",(BA150/AS150-1)*100)))</f>
        <v>NM</v>
      </c>
      <c r="BC150" s="221">
        <f>BC47+BC83+BC115</f>
        <v>-2.0999999999999925</v>
      </c>
      <c r="BD150" s="81" t="str">
        <f>IF(ISERROR((BC150/AU150-1)*100),"NA",IF(((BC150/AU150-1)*100)&gt;100,"NM",IF(((BC150/AU150-1)*100)&lt;-50,"NM",(BC150/AU150-1)*100)))</f>
        <v>NM</v>
      </c>
      <c r="BE150" s="221">
        <f>BE47+BE83+BE115</f>
        <v>-5.4999999999999982</v>
      </c>
      <c r="BF150" s="81" t="str">
        <f>IF(ISERROR((BE150/AW150-1)*100),"NA",IF(((BE150/AW150-1)*100)&gt;100,"NM",IF(((BE150/AW150-1)*100)&lt;-50,"NM",(BE150/AW150-1)*100)))</f>
        <v>NM</v>
      </c>
      <c r="BG150" s="221">
        <f>BG47+BG83+BG115</f>
        <v>-9.4000000000000021</v>
      </c>
      <c r="BH150" s="81">
        <f>IF(ISERROR((BG150/AY150-1)*100),"NA",IF(((BG150/AY150-1)*100)&gt;100,"NM",IF(((BG150/AY150-1)*100)&lt;-50,"NM",(BG150/AY150-1)*100)))</f>
        <v>56.666666666666707</v>
      </c>
      <c r="BI150" s="221">
        <f>BI47+BI83+BI115</f>
        <v>0.59999999999999787</v>
      </c>
      <c r="BJ150" s="81" t="str">
        <f>IF(ISERROR((BI150/BA150-1)*100),"NA",IF(((BI150/BA150-1)*100)&gt;100,"NM",IF(((BI150/BA150-1)*100)&lt;-50,"NM",(BI150/BA150-1)*100)))</f>
        <v>NM</v>
      </c>
      <c r="BK150" s="221">
        <f>BK47+BK83+BK115</f>
        <v>-6.6999999999999957</v>
      </c>
      <c r="BL150" s="81" t="str">
        <f>IF(ISERROR((BK150/BC150-1)*100),"NA",IF(((BK150/BC150-1)*100)&gt;100,"NM",IF(((BK150/BC150-1)*100)&lt;-50,"NM",(BK150/BC150-1)*100)))</f>
        <v>NM</v>
      </c>
      <c r="BM150" s="221">
        <f>BM47+BM83+BM115</f>
        <v>-1.7999999999999954</v>
      </c>
      <c r="BN150" s="81" t="str">
        <f>IF(ISERROR((BM150/BE150-1)*100),"NA",IF(((BM150/BE150-1)*100)&gt;100,"NM",IF(((BM150/BE150-1)*100)&lt;-50,"NM",(BM150/BE150-1)*100)))</f>
        <v>NM</v>
      </c>
      <c r="BO150" s="221">
        <f>BO47+BO83+BO115</f>
        <v>-1.5000000000000036</v>
      </c>
      <c r="BP150" s="81" t="str">
        <f>IF(ISERROR((BO150/BG150-1)*100),"NA",IF(((BO150/BG150-1)*100)&gt;100,"NM",IF(((BO150/BG150-1)*100)&lt;-50,"NM",(BO150/BG150-1)*100)))</f>
        <v>NM</v>
      </c>
      <c r="BQ150" s="221">
        <f>BQ47+BQ83+BQ115</f>
        <v>-11.400000000000006</v>
      </c>
      <c r="BR150" s="81" t="str">
        <f>IF(ISERROR((BQ150/BI150-1)*100),"NA",IF(((BQ150/BI150-1)*100)&gt;100,"NM",IF(((BQ150/BI150-1)*100)&lt;-50,"NM",(BQ150/BI150-1)*100)))</f>
        <v>NM</v>
      </c>
      <c r="BS150" s="221">
        <f>BS47+BS83+BS115</f>
        <v>-3.7999999999999989</v>
      </c>
      <c r="BT150" s="81">
        <f>IF(ISERROR((BS150/BK150-1)*100),"NA",IF(((BS150/BK150-1)*100)&gt;100,"NM",IF(((BS150/BK150-1)*100)&lt;-50,"NM",(BS150/BK150-1)*100)))</f>
        <v>-43.283582089552219</v>
      </c>
      <c r="BU150" s="221">
        <f>BU47+BU83+BU115</f>
        <v>-9.9999999999999645E-2</v>
      </c>
      <c r="BV150" s="81" t="str">
        <f>IF(ISERROR((BU150/BM150-1)*100),"NA",IF(((BU150/BM150-1)*100)&gt;100,"NM",IF(((BU150/BM150-1)*100)&lt;-50,"NM",(BU150/BM150-1)*100)))</f>
        <v>NM</v>
      </c>
      <c r="BW150" s="221">
        <f>BW47+BW83+BW115</f>
        <v>-2.9999999999999947</v>
      </c>
      <c r="BX150" s="81">
        <f>IF(ISERROR((BW150/BO150-1)*100),"NA",IF(((BW150/BO150-1)*100)&gt;100,"NM",IF(((BW150/BO150-1)*100)&lt;-50,"NM",(BW150/BO150-1)*100)))</f>
        <v>99.999999999999176</v>
      </c>
      <c r="BY150" s="221">
        <f>BY47+BY83+BY115</f>
        <v>-4.2000000000000011</v>
      </c>
      <c r="BZ150" s="81" t="str">
        <f>IF(ISERROR((BY150/BQ150-1)*100),"NA",IF(((BY150/BQ150-1)*100)&gt;100,"NM",IF(((BY150/BQ150-1)*100)&lt;-50,"NM",(BY150/BQ150-1)*100)))</f>
        <v>NM</v>
      </c>
      <c r="CA150" s="221">
        <f>CA47+CA83+CA115</f>
        <v>-4.9999999999999982</v>
      </c>
      <c r="CB150" s="81">
        <f>IF(ISERROR((CA150/BS150-1)*100),"NA",IF(((CA150/BS150-1)*100)&gt;100,"NM",IF(((CA150/BS150-1)*100)&lt;-50,"NM",(CA150/BS150-1)*100)))</f>
        <v>31.578947368421041</v>
      </c>
      <c r="CC150" s="221">
        <f>CC47+CC83+CC115</f>
        <v>-4.8999999999999986</v>
      </c>
      <c r="CD150" s="81" t="str">
        <f>IF(ISERROR((CC150/BU150-1)*100),"NA",IF(((CC150/BU150-1)*100)&gt;100,"NM",IF(((CC150/BU150-1)*100)&lt;-50,"NM",(CC150/BU150-1)*100)))</f>
        <v>NM</v>
      </c>
      <c r="CE150" s="221">
        <f>CE47+CE83+CE115</f>
        <v>-1.0999999999999992</v>
      </c>
      <c r="CF150" s="81" t="str">
        <f>IF(ISERROR((CE150/BW150-1)*100),"NA",IF(((CE150/BW150-1)*100)&gt;100,"NM",IF(((CE150/BW150-1)*100)&lt;-50,"NM",(CE150/BW150-1)*100)))</f>
        <v>NM</v>
      </c>
      <c r="CG150" s="221">
        <f>CG47+CG83+CG115</f>
        <v>-7</v>
      </c>
      <c r="CH150" s="81">
        <f>IF(ISERROR((CG150/BY150-1)*100),"NA",IF(((CG150/BY150-1)*100)&gt;100,"NM",IF(((CG150/BY150-1)*100)&lt;-50,"NM",(CG150/BY150-1)*100)))</f>
        <v>66.666666666666629</v>
      </c>
      <c r="CI150" s="221">
        <f>CI47+CI83+CI115</f>
        <v>-7.2000000000000028</v>
      </c>
      <c r="CJ150" s="81">
        <f>IF(ISERROR((CI150/CA150-1)*100),"NA",IF(((CI150/CA150-1)*100)&gt;100,"NM",IF(((CI150/CA150-1)*100)&lt;-50,"NM",(CI150/CA150-1)*100)))</f>
        <v>44.000000000000107</v>
      </c>
      <c r="CK150" s="221">
        <f>CK47+CK83+CK115</f>
        <v>-13.399999999999995</v>
      </c>
      <c r="CL150" s="81" t="str">
        <f>IF(ISERROR((CK150/CC150-1)*100),"NA",IF(((CK150/CC150-1)*100)&gt;100,"NM",IF(((CK150/CC150-1)*100)&lt;-50,"NM",(CK150/CC150-1)*100)))</f>
        <v>NM</v>
      </c>
      <c r="CM150" s="221">
        <f>CM47+CM83+CM115</f>
        <v>-4.5999999999999979</v>
      </c>
      <c r="CN150" s="81" t="str">
        <f>IF(ISERROR((CM150/CE150-1)*100),"NA",IF(((CM150/CE150-1)*100)&gt;100,"NM",IF(((CM150/CE150-1)*100)&lt;-50,"NM",(CM150/CE150-1)*100)))</f>
        <v>NM</v>
      </c>
      <c r="CO150" s="221">
        <f>CO47+CO83+CO115</f>
        <v>-8.3000000000000025</v>
      </c>
      <c r="CP150" s="81">
        <f>IF(ISERROR((CO150/CG150-1)*100),"NA",IF(((CO150/CG150-1)*100)&gt;100,"NM",IF(((CO150/CG150-1)*100)&lt;-50,"NM",(CO150/CG150-1)*100)))</f>
        <v>18.571428571428616</v>
      </c>
      <c r="CQ150" s="221">
        <f>CQ47+CQ83+CQ115</f>
        <v>-11.100000000000001</v>
      </c>
      <c r="CR150" s="81">
        <f>IF(ISERROR((CQ150/CI150-1)*100),"NA",IF(((CQ150/CI150-1)*100)&gt;100,"NM",IF(((CQ150/CI150-1)*100)&lt;-50,"NM",(CQ150/CI150-1)*100)))</f>
        <v>54.166666666666629</v>
      </c>
      <c r="CS150" s="221">
        <f>CS47+CS83+CS115</f>
        <v>-14.300000000000004</v>
      </c>
      <c r="CT150" s="81">
        <f>IF(ISERROR((CS150/CK150-1)*100),"NA",IF(((CS150/CK150-1)*100)&gt;100,"NM",IF(((CS150/CK150-1)*100)&lt;-50,"NM",(CS150/CK150-1)*100)))</f>
        <v>6.7164179104478361</v>
      </c>
      <c r="CU150" s="221">
        <f>CU47+CU83+CU115</f>
        <v>-19.000000000000007</v>
      </c>
      <c r="CV150" s="81" t="str">
        <f>IF(ISERROR((CU150/CM150-1)*100),"NA",IF(((CU150/CM150-1)*100)&gt;100,"NM",IF(((CU150/CM150-1)*100)&lt;-50,"NM",(CU150/CM150-1)*100)))</f>
        <v>NM</v>
      </c>
      <c r="CW150" s="221">
        <f>CW47+CW83+CW115</f>
        <v>12.700000000000003</v>
      </c>
      <c r="CX150" s="81" t="str">
        <f>IF(ISERROR((CW150/CO150-1)*100),"NA",IF(((CW150/CO150-1)*100)&gt;100,"NM",IF(((CW150/CO150-1)*100)&lt;-50,"NM",(CW150/CO150-1)*100)))</f>
        <v>NM</v>
      </c>
      <c r="CY150" s="221">
        <f>CY47+CY83+CY115</f>
        <v>-5.4000000000000021</v>
      </c>
      <c r="CZ150" s="81" t="str">
        <f>IF(ISERROR((CY150/CQ150-1)*100),"NA",IF(((CY150/CQ150-1)*100)&gt;100,"NM",IF(((CY150/CQ150-1)*100)&lt;-50,"NM",(CY150/CQ150-1)*100)))</f>
        <v>NM</v>
      </c>
      <c r="DA150" s="221">
        <f>DA47+DA83+DA115</f>
        <v>-15.600000000000001</v>
      </c>
      <c r="DB150" s="81">
        <f>IF(ISERROR((DA150/CS150-1)*100),"NA",IF(((DA150/CS150-1)*100)&gt;100,"NM",IF(((DA150/CS150-1)*100)&lt;-50,"NM",(DA150/CS150-1)*100)))</f>
        <v>9.0909090909090615</v>
      </c>
      <c r="DC150" s="221">
        <f>DC47+DC83+DC115</f>
        <v>-13.700000000000001</v>
      </c>
      <c r="DD150" s="81">
        <f>IF(ISERROR((DC150/CU150-1)*100),"NA",IF(((DC150/CU150-1)*100)&gt;100,"NM",IF(((DC150/CU150-1)*100)&lt;-50,"NM",(DC150/CU150-1)*100)))</f>
        <v>-27.894736842105281</v>
      </c>
      <c r="DE150" s="221">
        <f>DE47+DE83+DE115</f>
        <v>-3.4000000000000021</v>
      </c>
      <c r="DF150" s="81" t="str">
        <f>IF(ISERROR((DE150/CW150-1)*100),"NA",IF(((DE150/CW150-1)*100)&gt;100,"NM",IF(((DE150/CW150-1)*100)&lt;-50,"NM",(DE150/CW150-1)*100)))</f>
        <v>NM</v>
      </c>
      <c r="DG150" s="221">
        <f>DG47+DG83+DG115</f>
        <v>-10.199999999999999</v>
      </c>
      <c r="DH150" s="81">
        <f>IF(ISERROR((DG150/CY150-1)*100),"NA",IF(((DG150/CY150-1)*100)&gt;100,"NM",IF(((DG150/CY150-1)*100)&lt;-50,"NM",(DG150/CY150-1)*100)))</f>
        <v>88.8888888888888</v>
      </c>
      <c r="DI150" s="221">
        <f>DI47+DI83+DI115</f>
        <v>-12.100000000000003</v>
      </c>
      <c r="DJ150" s="81">
        <f>IF(ISERROR((DI150/DA150-1)*100),"NA",IF(((DI150/DA150-1)*100)&gt;100,"NM",IF(((DI150/DA150-1)*100)&lt;-50,"NM",(DI150/DA150-1)*100)))</f>
        <v>-22.435897435897424</v>
      </c>
      <c r="DK150" s="221">
        <f>DK47+DK83+DK115</f>
        <v>-18.900000000000002</v>
      </c>
      <c r="DL150" s="81">
        <f>IF(ISERROR((DK150/DC150-1)*100),"NA",IF(((DK150/DC150-1)*100)&gt;100,"NM",IF(((DK150/DC150-1)*100)&lt;-50,"NM",(DK150/DC150-1)*100)))</f>
        <v>37.956204379562038</v>
      </c>
      <c r="DM150" s="221">
        <f>DM47+DM83+DM115</f>
        <v>3.2999999999999972</v>
      </c>
      <c r="DN150" s="81" t="str">
        <f>IF(ISERROR((DM150/DE150-1)*100),"NA",IF(((DM150/DE150-1)*100)&gt;100,"NM",IF(((DM150/DE150-1)*100)&lt;-50,"NM",(DM150/DE150-1)*100)))</f>
        <v>NM</v>
      </c>
      <c r="DO150" s="221">
        <f>DO47+DO83+DO115</f>
        <v>-8.5000000000000018</v>
      </c>
      <c r="DP150" s="81">
        <f>IF(ISERROR((DO150/DG150-1)*100),"NA",IF(((DO150/DG150-1)*100)&gt;100,"NM",IF(((DO150/DG150-1)*100)&lt;-50,"NM",(DO150/DG150-1)*100)))</f>
        <v>-16.666666666666639</v>
      </c>
      <c r="DQ150" s="221">
        <f>DQ47+DQ83+DQ115</f>
        <v>-9.0999999999999979</v>
      </c>
      <c r="DR150" s="81">
        <f>IF(ISERROR((DQ150/DI150-1)*100),"NA",IF(((DQ150/DI150-1)*100)&gt;100,"NM",IF(((DQ150/DI150-1)*100)&lt;-50,"NM",(DQ150/DI150-1)*100)))</f>
        <v>-24.793388429752106</v>
      </c>
      <c r="DS150" s="221">
        <f>DS47+DS83+DS115</f>
        <v>-20.700000000000003</v>
      </c>
      <c r="DT150" s="81">
        <f>IF(ISERROR((DS150/DK150-1)*100),"NA",IF(((DS150/DK150-1)*100)&gt;100,"NM",IF(((DS150/DK150-1)*100)&lt;-50,"NM",(DS150/DK150-1)*100)))</f>
        <v>9.5238095238095344</v>
      </c>
      <c r="DU150" s="221">
        <f>DU47+DU83+DU115</f>
        <v>-6.4000000000000057</v>
      </c>
      <c r="DV150" s="81" t="str">
        <f>IF(ISERROR((DU150/DM150-1)*100),"NA",IF(((DU150/DM150-1)*100)&gt;100,"NM",IF(((DU150/DM150-1)*100)&lt;-50,"NM",(DU150/DM150-1)*100)))</f>
        <v>NM</v>
      </c>
      <c r="DW150" s="221">
        <f>DW47+DW83+DW115</f>
        <v>-7.5000000000000009</v>
      </c>
      <c r="DX150" s="81">
        <f>IF(ISERROR((DW150/DO150-1)*100),"NA",IF(((DW150/DO150-1)*100)&gt;100,"NM",IF(((DW150/DO150-1)*100)&lt;-50,"NM",(DW150/DO150-1)*100)))</f>
        <v>-11.764705882352944</v>
      </c>
      <c r="DY150" s="221">
        <f>DY47+DY83+DY115</f>
        <v>-11.900000000000002</v>
      </c>
      <c r="DZ150" s="81">
        <f>IF(ISERROR((DY150/DQ150-1)*100),"NA",IF(((DY150/DQ150-1)*100)&gt;100,"NM",IF(((DY150/DQ150-1)*100)&lt;-50,"NM",(DY150/DQ150-1)*100)))</f>
        <v>30.769230769230816</v>
      </c>
      <c r="EA150" s="221">
        <f>EA47+EA83+EA115</f>
        <v>-13.099999999999998</v>
      </c>
      <c r="EB150" s="81">
        <f>IF(ISERROR((EA150/DS150-1)*100),"NA",IF(((EA150/DS150-1)*100)&gt;100,"NM",IF(((EA150/DS150-1)*100)&lt;-50,"NM",(EA150/DS150-1)*100)))</f>
        <v>-36.714975845410649</v>
      </c>
      <c r="EC150" s="221">
        <f>EC47+EC83+EC115</f>
        <v>-3.8000000000000007</v>
      </c>
      <c r="ED150" s="81">
        <f t="shared" si="501"/>
        <v>-40.625000000000043</v>
      </c>
      <c r="EE150" s="221">
        <f>EE47+EE83+EE115</f>
        <v>1.100000000000005</v>
      </c>
      <c r="EF150" s="81" t="str">
        <f t="shared" si="502"/>
        <v>NM</v>
      </c>
      <c r="EG150" s="221">
        <f>EG47+EG83+EG115</f>
        <v>-13</v>
      </c>
      <c r="EH150" s="81">
        <f t="shared" si="503"/>
        <v>9.2436974789915851</v>
      </c>
      <c r="EI150" s="221">
        <f>EI47+EI83+EI115</f>
        <v>-16.2</v>
      </c>
      <c r="EJ150" s="81">
        <f t="shared" si="504"/>
        <v>23.664122137404586</v>
      </c>
      <c r="EK150" s="221">
        <f t="shared" ref="EK150:EQ150" si="511">EK47+EK83+EK115</f>
        <v>0.76252135054617742</v>
      </c>
      <c r="EL150" s="81" t="str">
        <f t="shared" si="506"/>
        <v>NM</v>
      </c>
      <c r="EM150" s="221">
        <f t="shared" si="511"/>
        <v>0.79479814299900742</v>
      </c>
      <c r="EN150" s="81">
        <f t="shared" si="507"/>
        <v>-27.745623363726924</v>
      </c>
      <c r="EO150" s="221">
        <f t="shared" si="511"/>
        <v>0.81523032120919359</v>
      </c>
      <c r="EP150" s="81" t="str">
        <f t="shared" si="508"/>
        <v>NM</v>
      </c>
      <c r="EQ150" s="221">
        <f t="shared" si="511"/>
        <v>0.85307949046396381</v>
      </c>
      <c r="ER150" s="81" t="str">
        <f t="shared" si="509"/>
        <v>NM</v>
      </c>
      <c r="ES150" s="222"/>
      <c r="ET150" s="476"/>
      <c r="EU150" s="222"/>
      <c r="EV150" s="221"/>
      <c r="EW150" s="208"/>
      <c r="EX150" s="221"/>
      <c r="EY150" s="208"/>
      <c r="EZ150" s="221"/>
      <c r="FA150" s="208"/>
      <c r="FB150" s="223"/>
      <c r="FC150" s="208"/>
      <c r="FD150" s="221">
        <f>FD47+FD83+FD115</f>
        <v>-238.9</v>
      </c>
      <c r="FE150" s="208" t="str">
        <f>IF(ISERROR((FD150/FB150-1)*100),"NA",IF(((FD150/FB150-1)*100)&gt;100,"NM",IF(((FD150/FB150-1)*100)&lt;-50,"NM",(FD150/FB150-1)*100)))</f>
        <v>NA</v>
      </c>
      <c r="FF150" s="221">
        <f>FF47+FF83+FF115</f>
        <v>-176.79999999999998</v>
      </c>
      <c r="FG150" s="208">
        <f>IF(ISERROR((FF150/FD150-1)*100),"NA",IF(((FF150/FD150-1)*100)&gt;100,"NM",IF(((FF150/FD150-1)*100)&lt;-50,"NM",(FF150/FD150-1)*100)))</f>
        <v>-25.994139807450821</v>
      </c>
      <c r="FH150" s="221">
        <f>FH47+FH83+FH115</f>
        <v>-59.7</v>
      </c>
      <c r="FI150" s="208" t="str">
        <f>IF(ISERROR((FH150/FF150-1)*100),"NA",IF(((FH150/FF150-1)*100)&gt;100,"NM",IF(((FH150/FF150-1)*100)&lt;-50,"NM",(FH150/FF150-1)*100)))</f>
        <v>NM</v>
      </c>
      <c r="FJ150" s="224">
        <f>FJ47+FJ83+FJ115</f>
        <v>-4.9999999999999858</v>
      </c>
      <c r="FK150" s="208" t="str">
        <f>IF(ISERROR((FJ150/FH150-1)*100),"NA",IF(((FJ150/FH150-1)*100)&gt;100,"NM",IF(((FJ150/FH150-1)*100)&lt;-50,"NM",(FJ150/FH150-1)*100)))</f>
        <v>NM</v>
      </c>
      <c r="FL150" s="74">
        <f>FL47+FL83+FL115</f>
        <v>-3.8999999999999986</v>
      </c>
      <c r="FM150" s="208">
        <f>IF(ISERROR((FL150/FJ150-1)*100),"NA",IF(((FL150/FJ150-1)*100)&gt;100,"NM",IF(((FL150/FJ150-1)*100)&lt;-50,"NM",(FL150/FJ150-1)*100)))</f>
        <v>-21.999999999999808</v>
      </c>
      <c r="FN150" s="74">
        <f>FN47+FN83+FN115</f>
        <v>-27.099999999999987</v>
      </c>
      <c r="FO150" s="208" t="str">
        <f>IF(ISERROR((FN150/FL150-1)*100),"NA",IF(((FN150/FL150-1)*100)&gt;100,"NM",IF(((FN150/FL150-1)*100)&lt;-50,"NM",(FN150/FL150-1)*100)))</f>
        <v>NM</v>
      </c>
      <c r="FP150" s="74">
        <f>FP47+FP83+FP115</f>
        <v>-9.3999999999999986</v>
      </c>
      <c r="FQ150" s="208" t="str">
        <f>IF(ISERROR((FP150/FN150-1)*100),"NA",IF(((FP150/FN150-1)*100)&gt;100,"NM",IF(((FP150/FN150-1)*100)&lt;-50,"NM",(FP150/FN150-1)*100)))</f>
        <v>NM</v>
      </c>
      <c r="FR150" s="221">
        <f>FR47+FR83+FR115</f>
        <v>-29.200000000000017</v>
      </c>
      <c r="FS150" s="208" t="str">
        <f>IF(ISERROR((FR150/FP150-1)*100),"NA",IF(((FR150/FP150-1)*100)&gt;100,"NM",IF(((FR150/FP150-1)*100)&lt;-50,"NM",(FR150/FP150-1)*100)))</f>
        <v>NM</v>
      </c>
      <c r="FT150" s="221">
        <f>FT47+FT83+FT115</f>
        <v>-15.199999999999996</v>
      </c>
      <c r="FU150" s="208">
        <f>IF(ISERROR((FT150/FR150-1)*100),"NA",IF(((FT150/FR150-1)*100)&gt;100,"NM",IF(((FT150/FR150-1)*100)&lt;-50,"NM",(FT150/FR150-1)*100)))</f>
        <v>-47.945205479452099</v>
      </c>
      <c r="FV150" s="221">
        <f>FV47+FV83+FV115</f>
        <v>-32.199999999999996</v>
      </c>
      <c r="FW150" s="208" t="str">
        <f>IF(ISERROR((FV150/FT150-1)*100),"NA",IF(((FV150/FT150-1)*100)&gt;100,"NM",IF(((FV150/FT150-1)*100)&lt;-50,"NM",(FV150/FT150-1)*100)))</f>
        <v>NM</v>
      </c>
      <c r="FX150" s="221">
        <f>FX47+FX83+FX115</f>
        <v>-52.700000000000017</v>
      </c>
      <c r="FY150" s="208">
        <f>IF(ISERROR((FX150/FV150-1)*100),"NA",IF(((FX150/FV150-1)*100)&gt;100,"NM",IF(((FX150/FV150-1)*100)&lt;-50,"NM",(FX150/FV150-1)*100)))</f>
        <v>63.664596273291998</v>
      </c>
      <c r="FZ150" s="221">
        <f>FZ47+FZ83+FZ115</f>
        <v>-22</v>
      </c>
      <c r="GA150" s="208" t="str">
        <f>IF(ISERROR((FZ150/FX150-1)*100),"NA",IF(((FZ150/FX150-1)*100)&gt;100,"NM",IF(((FZ150/FX150-1)*100)&lt;-50,"NM",(FZ150/FX150-1)*100)))</f>
        <v>NM</v>
      </c>
      <c r="GB150" s="221">
        <f>GB47+GB83+GB115</f>
        <v>-44.600000000000009</v>
      </c>
      <c r="GC150" s="208" t="str">
        <f>IF(ISERROR((GB150/FZ150-1)*100),"NA",IF(((GB150/FZ150-1)*100)&gt;100,"NM",IF(((GB150/FZ150-1)*100)&lt;-50,"NM",(GB150/FZ150-1)*100)))</f>
        <v>NM</v>
      </c>
      <c r="GD150" s="221">
        <f>GD47+GD83+GD115</f>
        <v>-35.000000000000007</v>
      </c>
      <c r="GE150" s="79">
        <f>IF(ISERROR((GD150/GB150-1)*100),"NA",IF(((GD150/GB150-1)*100)&gt;100,"NM",IF(((GD150/GB150-1)*100)&lt;-50,"NM",(GD150/GB150-1)*100)))</f>
        <v>-21.524663677130039</v>
      </c>
      <c r="GF150" s="221">
        <f>GF47+GF83+GF115</f>
        <v>-38.900000000000006</v>
      </c>
      <c r="GG150" s="79">
        <f>IF(ISERROR((GF150/GD150-1)*100),"NA",IF(((GF150/GD150-1)*100)&gt;100,"NM",IF(((GF150/GD150-1)*100)&lt;-50,"NM",(GF150/GD150-1)*100)))</f>
        <v>11.142857142857142</v>
      </c>
      <c r="GH150" s="221">
        <f>GH47+GH83+GH115</f>
        <v>-31.899999999999995</v>
      </c>
      <c r="GI150" s="79">
        <f>IF(ISERROR((GH150/GF150-1)*100),"NA",IF(((GH150/GF150-1)*100)&gt;100,"NM",IF(((GH150/GF150-1)*100)&lt;-50,"NM",(GH150/GF150-1)*100)))</f>
        <v>-17.994858611825215</v>
      </c>
      <c r="GJ150" s="221">
        <f>GJ47+GJ83+GJ115</f>
        <v>3.2256293052183418</v>
      </c>
      <c r="GK150" s="79" t="str">
        <f>IF(ISERROR((GJ150/GH150-1)*100),"NA",IF(((GJ150/GH150-1)*100)&gt;100,"NM",IF(((GJ150/GH150-1)*100)&lt;-50,"NM",(GJ150/GH150-1)*100)))</f>
        <v>NM</v>
      </c>
      <c r="GL150" s="221">
        <f>GL47+GL83+GL115</f>
        <v>3.5845070263412993</v>
      </c>
      <c r="GM150" s="79">
        <f>IF(ISERROR((GL150/GJ150-1)*100),"NA",IF(((GL150/GJ150-1)*100)&gt;100,"NM",IF(((GL150/GJ150-1)*100)&lt;-50,"NM",(GL150/GJ150-1)*100)))</f>
        <v>11.125820333488857</v>
      </c>
      <c r="GN150" s="221">
        <f>GN47+GN83+GN115</f>
        <v>3.9655918740903076</v>
      </c>
      <c r="GO150" s="208">
        <f>IF(ISERROR((GN150/GL150-1)*100),"NA",IF(((GN150/GL150-1)*100)&gt;100,"NM",IF(((GN150/GL150-1)*100)&lt;-50,"NM",(GN150/GL150-1)*100)))</f>
        <v>10.631443736852741</v>
      </c>
      <c r="GP150" s="221">
        <f>GP47+GP83+GP115</f>
        <v>4.370087252494379</v>
      </c>
      <c r="GQ150" s="208">
        <f>IF(ISERROR((GP150/GN150-1)*100),"NA",IF(((GP150/GN150-1)*100)&gt;100,"NM",IF(((GP150/GN150-1)*100)&lt;-50,"NM",(GP150/GN150-1)*100)))</f>
        <v>10.200126267327025</v>
      </c>
      <c r="GR150" s="221">
        <f>GR47+GR83+GR115</f>
        <v>4.7992587913100984</v>
      </c>
      <c r="GS150" s="208">
        <f>IF(ISERROR((GR150/GP150-1)*100),"NA",IF(((GR150/GP150-1)*100)&gt;100,"NM",IF(((GR150/GP150-1)*100)&lt;-50,"NM",(GR150/GP150-1)*100)))</f>
        <v>9.8206629300308546</v>
      </c>
      <c r="GT150" s="79" t="str">
        <f>IF(ISERROR(((GR150/GH150)^0.2-1)*100),"NA",(IF(OR(((GR150/GH150)^0.2-1)*100&gt;99,((GR150/GH150)^0.2-1)*100&lt;-50),"NM",(((GR150/GH150)^0.2-1)*100))))</f>
        <v>NM</v>
      </c>
    </row>
    <row r="151" spans="1:286" ht="12.75" customHeight="1" x14ac:dyDescent="0.2">
      <c r="A151" s="1"/>
      <c r="B151" s="2" t="s">
        <v>132</v>
      </c>
      <c r="C151" s="171"/>
      <c r="D151" s="171"/>
      <c r="E151" s="171"/>
      <c r="F151" s="171"/>
      <c r="G151" s="171"/>
      <c r="H151" s="171"/>
      <c r="I151" s="171"/>
      <c r="J151" s="171"/>
      <c r="K151" s="171"/>
      <c r="L151" s="79"/>
      <c r="M151" s="171"/>
      <c r="N151" s="79"/>
      <c r="O151" s="171"/>
      <c r="P151" s="79"/>
      <c r="Q151" s="171"/>
      <c r="R151" s="79"/>
      <c r="S151" s="171"/>
      <c r="T151" s="79"/>
      <c r="U151" s="171"/>
      <c r="V151" s="79" t="str">
        <f>IF(ISERROR((U151/M151-1)*100),"NA",IF(((U151/M151-1)*100)&gt;100,"NM",IF(((U151/M151-1)*100)&lt;-50,"NM",(U151/M151-1)*100)))</f>
        <v>NA</v>
      </c>
      <c r="W151" s="171"/>
      <c r="X151" s="79" t="str">
        <f>IF(ISERROR((W151/O151-1)*100),"NA",IF(((W151/O151-1)*100)&gt;100,"NM",IF(((W151/O151-1)*100)&lt;-50,"NM",(W151/O151-1)*100)))</f>
        <v>NA</v>
      </c>
      <c r="Y151" s="171"/>
      <c r="Z151" s="79" t="str">
        <f>IF(ISERROR((Y151/Q151-1)*100),"NA",IF(((Y151/Q151-1)*100)&gt;100,"NM",IF(((Y151/Q151-1)*100)&lt;-50,"NM",(Y151/Q151-1)*100)))</f>
        <v>NA</v>
      </c>
      <c r="AA151" s="172"/>
      <c r="AB151" s="79" t="str">
        <f>IF(ISERROR((AA151/S151-1)*100),"NA",IF(((AA151/S151-1)*100)&gt;100,"NM",IF(((AA151/S151-1)*100)&lt;-50,"NM",(AA151/S151-1)*100)))</f>
        <v>NA</v>
      </c>
      <c r="AC151" s="74">
        <f>AC48+AC84+AC116</f>
        <v>268.8</v>
      </c>
      <c r="AD151" s="79" t="str">
        <f>IF(ISERROR((AC151/U151-1)*100),"NA",IF(((AC151/U151-1)*100)&gt;100,"NM",IF(((AC151/U151-1)*100)&lt;-50,"NM",(AC151/U151-1)*100)))</f>
        <v>NA</v>
      </c>
      <c r="AE151" s="74">
        <f>AE48+AE84+AE116</f>
        <v>252.70000000000002</v>
      </c>
      <c r="AF151" s="79" t="str">
        <f>IF(ISERROR((AE151/W151-1)*100),"NA",IF(((AE151/W151-1)*100)&gt;100,"NM",IF(((AE151/W151-1)*100)&lt;-50,"NM",(AE151/W151-1)*100)))</f>
        <v>NA</v>
      </c>
      <c r="AG151" s="74">
        <f>AG48+AG84+AG116</f>
        <v>246</v>
      </c>
      <c r="AH151" s="79" t="str">
        <f>IF(ISERROR((AG151/Y151-1)*100),"NA",IF(((AG151/Y151-1)*100)&gt;100,"NM",IF(((AG151/Y151-1)*100)&lt;-50,"NM",(AG151/Y151-1)*100)))</f>
        <v>NA</v>
      </c>
      <c r="AI151" s="74">
        <f>AI48+AI84+AI116</f>
        <v>281.2</v>
      </c>
      <c r="AJ151" s="79" t="str">
        <f>IF(ISERROR((AI151/AA151-1)*100),"NA",IF(((AI151/AA151-1)*100)&gt;100,"NM",IF(((AI151/AA151-1)*100)&lt;-50,"NM",(AI151/AA151-1)*100)))</f>
        <v>NA</v>
      </c>
      <c r="AK151" s="74">
        <f>AK48+AK84+AK116</f>
        <v>255.2</v>
      </c>
      <c r="AL151" s="79">
        <f>IF(ISERROR((AK151/AC151-1)*100),"NA",IF(((AK151/AC151-1)*100)&gt;100,"NM",IF(((AK151/AC151-1)*100)&lt;-50,"NM",(AK151/AC151-1)*100)))</f>
        <v>-5.0595238095238138</v>
      </c>
      <c r="AM151" s="74">
        <f>AM48+AM84+AM116</f>
        <v>253.10000000000002</v>
      </c>
      <c r="AN151" s="79">
        <f>IF(ISERROR((AM151/AE151-1)*100),"NA",IF(((AM151/AE151-1)*100)&gt;100,"NM",IF(((AM151/AE151-1)*100)&lt;-50,"NM",(AM151/AE151-1)*100)))</f>
        <v>0.15829046299959959</v>
      </c>
      <c r="AO151" s="74">
        <f>AO48+AO84+AO116</f>
        <v>251.20000000000002</v>
      </c>
      <c r="AP151" s="79">
        <f>IF(ISERROR((AO151/AG151-1)*100),"NA",IF(((AO151/AG151-1)*100)&gt;100,"NM",IF(((AO151/AG151-1)*100)&lt;-50,"NM",(AO151/AG151-1)*100)))</f>
        <v>2.1138211382113914</v>
      </c>
      <c r="AQ151" s="74">
        <f>AQ48+AQ84+AQ116</f>
        <v>261.60000000000002</v>
      </c>
      <c r="AR151" s="79">
        <f>IF(ISERROR((AQ151/AI151-1)*100),"NA",IF(((AQ151/AI151-1)*100)&gt;100,"NM",IF(((AQ151/AI151-1)*100)&lt;-50,"NM",(AQ151/AI151-1)*100)))</f>
        <v>-6.9701280227595923</v>
      </c>
      <c r="AS151" s="74">
        <f>AS48+AS84+AS116</f>
        <v>255.5</v>
      </c>
      <c r="AT151" s="81">
        <f>IF(ISERROR((AS151/AK151-1)*100),"NA",IF(((AS151/AK151-1)*100)&gt;100,"NM",IF(((AS151/AK151-1)*100)&lt;-50,"NM",(AS151/AK151-1)*100)))</f>
        <v>0.11755485893416573</v>
      </c>
      <c r="AU151" s="74">
        <f>AU48+AU84+AU116</f>
        <v>252.70000000000002</v>
      </c>
      <c r="AV151" s="81">
        <f>IF(ISERROR((AU151/AM151-1)*100),"NA",IF(((AU151/AM151-1)*100)&gt;100,"NM",IF(((AU151/AM151-1)*100)&lt;-50,"NM",(AU151/AM151-1)*100)))</f>
        <v>-0.15804030027657401</v>
      </c>
      <c r="AW151" s="74">
        <f>AW48+AW84+AW116</f>
        <v>258.60000000000002</v>
      </c>
      <c r="AX151" s="81">
        <f>IF(ISERROR((AW151/AO151-1)*100),"NA",IF(((AW151/AO151-1)*100)&gt;100,"NM",IF(((AW151/AO151-1)*100)&lt;-50,"NM",(AW151/AO151-1)*100)))</f>
        <v>2.9458598726114671</v>
      </c>
      <c r="AY151" s="74">
        <f>AY48+AY84+AY116</f>
        <v>251.7</v>
      </c>
      <c r="AZ151" s="81">
        <f>IF(ISERROR((AY151/AQ151-1)*100),"NA",IF(((AY151/AQ151-1)*100)&gt;100,"NM",IF(((AY151/AQ151-1)*100)&lt;-50,"NM",(AY151/AQ151-1)*100)))</f>
        <v>-3.7844036697247785</v>
      </c>
      <c r="BA151" s="74">
        <f>BA48+BA84+BA116</f>
        <v>250.89999999999998</v>
      </c>
      <c r="BB151" s="81">
        <f>IF(ISERROR((BA151/AS151-1)*100),"NA",IF(((BA151/AS151-1)*100)&gt;100,"NM",IF(((BA151/AS151-1)*100)&lt;-50,"NM",(BA151/AS151-1)*100)))</f>
        <v>-1.8003913894324985</v>
      </c>
      <c r="BC151" s="74">
        <f>BC48+BC84+BC116</f>
        <v>236.40000000000003</v>
      </c>
      <c r="BD151" s="81">
        <f>IF(ISERROR((BC151/AU151-1)*100),"NA",IF(((BC151/AU151-1)*100)&gt;100,"NM",IF(((BC151/AU151-1)*100)&lt;-50,"NM",(BC151/AU151-1)*100)))</f>
        <v>-6.4503363672338665</v>
      </c>
      <c r="BE151" s="74">
        <f>BE48+BE84+BE116</f>
        <v>247.20000000000002</v>
      </c>
      <c r="BF151" s="81">
        <f>IF(ISERROR((BE151/AW151-1)*100),"NA",IF(((BE151/AW151-1)*100)&gt;100,"NM",IF(((BE151/AW151-1)*100)&lt;-50,"NM",(BE151/AW151-1)*100)))</f>
        <v>-4.4083526682134551</v>
      </c>
      <c r="BG151" s="74">
        <f>BG48+BG84+BG116</f>
        <v>266.20000000000005</v>
      </c>
      <c r="BH151" s="81">
        <f>IF(ISERROR((BG151/AY151-1)*100),"NA",IF(((BG151/AY151-1)*100)&gt;100,"NM",IF(((BG151/AY151-1)*100)&lt;-50,"NM",(BG151/AY151-1)*100)))</f>
        <v>5.7608263806118609</v>
      </c>
      <c r="BI151" s="74">
        <f>BI48+BI84+BI116</f>
        <v>258</v>
      </c>
      <c r="BJ151" s="81">
        <f>IF(ISERROR((BI151/BA151-1)*100),"NA",IF(((BI151/BA151-1)*100)&gt;100,"NM",IF(((BI151/BA151-1)*100)&lt;-50,"NM",(BI151/BA151-1)*100)))</f>
        <v>2.8298126743722785</v>
      </c>
      <c r="BK151" s="74">
        <f>BK48+BK84+BK116</f>
        <v>264.8</v>
      </c>
      <c r="BL151" s="81">
        <f>IF(ISERROR((BK151/BC151-1)*100),"NA",IF(((BK151/BC151-1)*100)&gt;100,"NM",IF(((BK151/BC151-1)*100)&lt;-50,"NM",(BK151/BC151-1)*100)))</f>
        <v>12.013536379018607</v>
      </c>
      <c r="BM151" s="74">
        <f>BM48+BM84+BM116</f>
        <v>257.8</v>
      </c>
      <c r="BN151" s="81">
        <f>IF(ISERROR((BM151/BE151-1)*100),"NA",IF(((BM151/BE151-1)*100)&gt;100,"NM",IF(((BM151/BE151-1)*100)&lt;-50,"NM",(BM151/BE151-1)*100)))</f>
        <v>4.2880258899676393</v>
      </c>
      <c r="BO151" s="74">
        <f>BO48+BO84+BO116</f>
        <v>259.8</v>
      </c>
      <c r="BP151" s="81">
        <f>IF(ISERROR((BO151/BG151-1)*100),"NA",IF(((BO151/BG151-1)*100)&gt;100,"NM",IF(((BO151/BG151-1)*100)&lt;-50,"NM",(BO151/BG151-1)*100)))</f>
        <v>-2.404207362885058</v>
      </c>
      <c r="BQ151" s="74">
        <f>BQ48+BQ84+BQ116</f>
        <v>268.60000000000002</v>
      </c>
      <c r="BR151" s="81">
        <f>IF(ISERROR((BQ151/BI151-1)*100),"NA",IF(((BQ151/BI151-1)*100)&gt;100,"NM",IF(((BQ151/BI151-1)*100)&lt;-50,"NM",(BQ151/BI151-1)*100)))</f>
        <v>4.1085271317829575</v>
      </c>
      <c r="BS151" s="74">
        <f>BS48+BS84+BS116</f>
        <v>263.5</v>
      </c>
      <c r="BT151" s="81">
        <f>IF(ISERROR((BS151/BK151-1)*100),"NA",IF(((BS151/BK151-1)*100)&gt;100,"NM",IF(((BS151/BK151-1)*100)&lt;-50,"NM",(BS151/BK151-1)*100)))</f>
        <v>-0.49093655589124152</v>
      </c>
      <c r="BU151" s="74">
        <f>BU48+BU84+BU116</f>
        <v>260.89999999999998</v>
      </c>
      <c r="BV151" s="81">
        <f>IF(ISERROR((BU151/BM151-1)*100),"NA",IF(((BU151/BM151-1)*100)&gt;100,"NM",IF(((BU151/BM151-1)*100)&lt;-50,"NM",(BU151/BM151-1)*100)))</f>
        <v>1.2024825446082188</v>
      </c>
      <c r="BW151" s="74">
        <f>BW48+BW84+BW116</f>
        <v>270.10000000000002</v>
      </c>
      <c r="BX151" s="81">
        <f>IF(ISERROR((BW151/BO151-1)*100),"NA",IF(((BW151/BO151-1)*100)&gt;100,"NM",IF(((BW151/BO151-1)*100)&lt;-50,"NM",(BW151/BO151-1)*100)))</f>
        <v>3.9645881447267106</v>
      </c>
      <c r="BY151" s="74">
        <f>BY48+BY84+BY116</f>
        <v>249.2</v>
      </c>
      <c r="BZ151" s="81">
        <f>IF(ISERROR((BY151/BQ151-1)*100),"NA",IF(((BY151/BQ151-1)*100)&gt;100,"NM",IF(((BY151/BQ151-1)*100)&lt;-50,"NM",(BY151/BQ151-1)*100)))</f>
        <v>-7.2226358897989673</v>
      </c>
      <c r="CA151" s="74">
        <f>CA48+CA84+CA116</f>
        <v>238.60000000000002</v>
      </c>
      <c r="CB151" s="81">
        <f>IF(ISERROR((CA151/BS151-1)*100),"NA",IF(((CA151/BS151-1)*100)&gt;100,"NM",IF(((CA151/BS151-1)*100)&lt;-50,"NM",(CA151/BS151-1)*100)))</f>
        <v>-9.4497153700189624</v>
      </c>
      <c r="CC151" s="74">
        <f>CC48+CC84+CC116</f>
        <v>242.6</v>
      </c>
      <c r="CD151" s="81">
        <f>IF(ISERROR((CC151/BU151-1)*100),"NA",IF(((CC151/BU151-1)*100)&gt;100,"NM",IF(((CC151/BU151-1)*100)&lt;-50,"NM",(CC151/BU151-1)*100)))</f>
        <v>-7.0141816788041318</v>
      </c>
      <c r="CE151" s="74">
        <f>CE48+CE84+CE116</f>
        <v>250.2</v>
      </c>
      <c r="CF151" s="81">
        <f>IF(ISERROR((CE151/BW151-1)*100),"NA",IF(((CE151/BW151-1)*100)&gt;100,"NM",IF(((CE151/BW151-1)*100)&lt;-50,"NM",(CE151/BW151-1)*100)))</f>
        <v>-7.3676416142169687</v>
      </c>
      <c r="CG151" s="74">
        <f>CG48+CG84+CG116</f>
        <v>252.4</v>
      </c>
      <c r="CH151" s="81">
        <f>IF(ISERROR((CG151/BY151-1)*100),"NA",IF(((CG151/BY151-1)*100)&gt;100,"NM",IF(((CG151/BY151-1)*100)&lt;-50,"NM",(CG151/BY151-1)*100)))</f>
        <v>1.2841091492777013</v>
      </c>
      <c r="CI151" s="74">
        <f>CI48+CI84+CI116</f>
        <v>248.49999999999997</v>
      </c>
      <c r="CJ151" s="81">
        <f>IF(ISERROR((CI151/CA151-1)*100),"NA",IF(((CI151/CA151-1)*100)&gt;100,"NM",IF(((CI151/CA151-1)*100)&lt;-50,"NM",(CI151/CA151-1)*100)))</f>
        <v>4.1492036881810357</v>
      </c>
      <c r="CK151" s="74">
        <f>CK48+CK84+CK116</f>
        <v>247.20000000000002</v>
      </c>
      <c r="CL151" s="81">
        <f>IF(ISERROR((CK151/CC151-1)*100),"NA",IF(((CK151/CC151-1)*100)&gt;100,"NM",IF(((CK151/CC151-1)*100)&lt;-50,"NM",(CK151/CC151-1)*100)))</f>
        <v>1.8961253091508645</v>
      </c>
      <c r="CM151" s="74">
        <f>CM48+CM84+CM116</f>
        <v>248.7</v>
      </c>
      <c r="CN151" s="81">
        <f>IF(ISERROR((CM151/CE151-1)*100),"NA",IF(((CM151/CE151-1)*100)&gt;100,"NM",IF(((CM151/CE151-1)*100)&lt;-50,"NM",(CM151/CE151-1)*100)))</f>
        <v>-0.59952038369304184</v>
      </c>
      <c r="CO151" s="74">
        <f>CO48+CO84+CO116</f>
        <v>248.60000000000002</v>
      </c>
      <c r="CP151" s="81">
        <f>IF(ISERROR((CO151/CG151-1)*100),"NA",IF(((CO151/CG151-1)*100)&gt;100,"NM",IF(((CO151/CG151-1)*100)&lt;-50,"NM",(CO151/CG151-1)*100)))</f>
        <v>-1.5055467511885801</v>
      </c>
      <c r="CQ151" s="74">
        <f>CQ48+CQ84+CQ116</f>
        <v>246.89999999999998</v>
      </c>
      <c r="CR151" s="81">
        <f>IF(ISERROR((CQ151/CI151-1)*100),"NA",IF(((CQ151/CI151-1)*100)&gt;100,"NM",IF(((CQ151/CI151-1)*100)&lt;-50,"NM",(CQ151/CI151-1)*100)))</f>
        <v>-0.64386317907444424</v>
      </c>
      <c r="CS151" s="74">
        <f>CS48+CS84+CS116</f>
        <v>241.39999999999998</v>
      </c>
      <c r="CT151" s="81">
        <f>IF(ISERROR((CS151/CK151-1)*100),"NA",IF(((CS151/CK151-1)*100)&gt;100,"NM",IF(((CS151/CK151-1)*100)&lt;-50,"NM",(CS151/CK151-1)*100)))</f>
        <v>-2.3462783171521173</v>
      </c>
      <c r="CU151" s="74">
        <f>CU48+CU84+CU116</f>
        <v>256</v>
      </c>
      <c r="CV151" s="81">
        <f>IF(ISERROR((CU151/CM151-1)*100),"NA",IF(((CU151/CM151-1)*100)&gt;100,"NM",IF(((CU151/CM151-1)*100)&lt;-50,"NM",(CU151/CM151-1)*100)))</f>
        <v>2.9352633695215236</v>
      </c>
      <c r="CW151" s="74">
        <f>CW48+CW84+CW116</f>
        <v>247.49999999999997</v>
      </c>
      <c r="CX151" s="81">
        <f>IF(ISERROR((CW151/CO151-1)*100),"NA",IF(((CW151/CO151-1)*100)&gt;100,"NM",IF(((CW151/CO151-1)*100)&lt;-50,"NM",(CW151/CO151-1)*100)))</f>
        <v>-0.44247787610621758</v>
      </c>
      <c r="CY151" s="74">
        <f>CY48+CY84+CY116</f>
        <v>248.7</v>
      </c>
      <c r="CZ151" s="81">
        <f>IF(ISERROR((CY151/CQ151-1)*100),"NA",IF(((CY151/CQ151-1)*100)&gt;100,"NM",IF(((CY151/CQ151-1)*100)&lt;-50,"NM",(CY151/CQ151-1)*100)))</f>
        <v>0.7290400972053579</v>
      </c>
      <c r="DA151" s="74">
        <f>DA48+DA84+DA116</f>
        <v>249.4</v>
      </c>
      <c r="DB151" s="81">
        <f>IF(ISERROR((DA151/CS151-1)*100),"NA",IF(((DA151/CS151-1)*100)&gt;100,"NM",IF(((DA151/CS151-1)*100)&lt;-50,"NM",(DA151/CS151-1)*100)))</f>
        <v>3.3140016570008424</v>
      </c>
      <c r="DC151" s="74">
        <f>DC48+DC84+DC116</f>
        <v>255.2</v>
      </c>
      <c r="DD151" s="81">
        <f>IF(ISERROR((DC151/CU151-1)*100),"NA",IF(((DC151/CU151-1)*100)&gt;100,"NM",IF(((DC151/CU151-1)*100)&lt;-50,"NM",(DC151/CU151-1)*100)))</f>
        <v>-0.31250000000000444</v>
      </c>
      <c r="DE151" s="74">
        <f>DE48+DE84+DE116</f>
        <v>256.39999999999998</v>
      </c>
      <c r="DF151" s="81">
        <f>IF(ISERROR((DE151/CW151-1)*100),"NA",IF(((DE151/CW151-1)*100)&gt;100,"NM",IF(((DE151/CW151-1)*100)&lt;-50,"NM",(DE151/CW151-1)*100)))</f>
        <v>3.5959595959595969</v>
      </c>
      <c r="DG151" s="74">
        <f>DG48+DG84+DG116</f>
        <v>256.10000000000002</v>
      </c>
      <c r="DH151" s="81">
        <f>IF(ISERROR((DG151/CY151-1)*100),"NA",IF(((DG151/CY151-1)*100)&gt;100,"NM",IF(((DG151/CY151-1)*100)&lt;-50,"NM",(DG151/CY151-1)*100)))</f>
        <v>2.9754724567752522</v>
      </c>
      <c r="DI151" s="74">
        <f>DI48+DI84+DI116</f>
        <v>259</v>
      </c>
      <c r="DJ151" s="81">
        <f>IF(ISERROR((DI151/DA151-1)*100),"NA",IF(((DI151/DA151-1)*100)&gt;100,"NM",IF(((DI151/DA151-1)*100)&lt;-50,"NM",(DI151/DA151-1)*100)))</f>
        <v>3.8492381716118684</v>
      </c>
      <c r="DK151" s="74">
        <f>DK48+DK84+DK116</f>
        <v>272.10000000000002</v>
      </c>
      <c r="DL151" s="81">
        <f>IF(ISERROR((DK151/DC151-1)*100),"NA",IF(((DK151/DC151-1)*100)&gt;100,"NM",IF(((DK151/DC151-1)*100)&lt;-50,"NM",(DK151/DC151-1)*100)))</f>
        <v>6.6222570532915581</v>
      </c>
      <c r="DM151" s="74">
        <f>DM48+DM84+DM116</f>
        <v>272.70000000000005</v>
      </c>
      <c r="DN151" s="81">
        <f>IF(ISERROR((DM151/DE151-1)*100),"NA",IF(((DM151/DE151-1)*100)&gt;100,"NM",IF(((DM151/DE151-1)*100)&lt;-50,"NM",(DM151/DE151-1)*100)))</f>
        <v>6.3572542901716433</v>
      </c>
      <c r="DO151" s="74">
        <f>DO48+DO84+DO116</f>
        <v>270.89999999999998</v>
      </c>
      <c r="DP151" s="81">
        <f>IF(ISERROR((DO151/DG151-1)*100),"NA",IF(((DO151/DG151-1)*100)&gt;100,"NM",IF(((DO151/DG151-1)*100)&lt;-50,"NM",(DO151/DG151-1)*100)))</f>
        <v>5.7789925810230125</v>
      </c>
      <c r="DQ151" s="74">
        <f>DQ48+DQ84+DQ116</f>
        <v>270.60000000000002</v>
      </c>
      <c r="DR151" s="81">
        <f>IF(ISERROR((DQ151/DI151-1)*100),"NA",IF(((DQ151/DI151-1)*100)&gt;100,"NM",IF(((DQ151/DI151-1)*100)&lt;-50,"NM",(DQ151/DI151-1)*100)))</f>
        <v>4.4787644787644965</v>
      </c>
      <c r="DS151" s="74">
        <f>DS48+DS84+DS116</f>
        <v>276.39999999999998</v>
      </c>
      <c r="DT151" s="81">
        <f>IF(ISERROR((DS151/DK151-1)*100),"NA",IF(((DS151/DK151-1)*100)&gt;100,"NM",IF(((DS151/DK151-1)*100)&lt;-50,"NM",(DS151/DK151-1)*100)))</f>
        <v>1.5803013597941673</v>
      </c>
      <c r="DU151" s="74">
        <f>DU48+DU84+DU116</f>
        <v>277</v>
      </c>
      <c r="DV151" s="81">
        <f>IF(ISERROR((DU151/DM151-1)*100),"NA",IF(((DU151/DM151-1)*100)&gt;100,"NM",IF(((DU151/DM151-1)*100)&lt;-50,"NM",(DU151/DM151-1)*100)))</f>
        <v>1.5768243491015577</v>
      </c>
      <c r="DW151" s="74">
        <f>DW48+DW84+DW116</f>
        <v>271.5</v>
      </c>
      <c r="DX151" s="81">
        <f>IF(ISERROR((DW151/DO151-1)*100),"NA",IF(((DW151/DO151-1)*100)&gt;100,"NM",IF(((DW151/DO151-1)*100)&lt;-50,"NM",(DW151/DO151-1)*100)))</f>
        <v>0.22148394241419123</v>
      </c>
      <c r="DY151" s="74">
        <f>DY48+DY84+DY116</f>
        <v>274.39999999999998</v>
      </c>
      <c r="DZ151" s="81">
        <f>IF(ISERROR((DY151/DQ151-1)*100),"NA",IF(((DY151/DQ151-1)*100)&gt;100,"NM",IF(((DY151/DQ151-1)*100)&lt;-50,"NM",(DY151/DQ151-1)*100)))</f>
        <v>1.4042867701404171</v>
      </c>
      <c r="EA151" s="74">
        <f>EA48+EA84+EA116</f>
        <v>280</v>
      </c>
      <c r="EB151" s="81">
        <f>IF(ISERROR((EA151/DS151-1)*100),"NA",IF(((EA151/DS151-1)*100)&gt;100,"NM",IF(((EA151/DS151-1)*100)&lt;-50,"NM",(EA151/DS151-1)*100)))</f>
        <v>1.3024602026049381</v>
      </c>
      <c r="EC151" s="74">
        <f>EC48+EC84+EC116</f>
        <v>279.7</v>
      </c>
      <c r="ED151" s="81">
        <f t="shared" si="501"/>
        <v>0.97472924187724796</v>
      </c>
      <c r="EE151" s="74">
        <f>EE48+EE84+EE116</f>
        <v>284.10000000000002</v>
      </c>
      <c r="EF151" s="81">
        <f t="shared" si="502"/>
        <v>4.6408839779005673</v>
      </c>
      <c r="EG151" s="74">
        <f>EG48+EG84+EG116</f>
        <v>278.20000000000005</v>
      </c>
      <c r="EH151" s="81">
        <f t="shared" si="503"/>
        <v>1.3848396501457971</v>
      </c>
      <c r="EI151" s="74">
        <f>EI48+EI84+EI116</f>
        <v>290.70000000000005</v>
      </c>
      <c r="EJ151" s="81">
        <f t="shared" si="504"/>
        <v>3.8214285714285978</v>
      </c>
      <c r="EK151" s="74">
        <f>EK48+EK84+EK116</f>
        <v>294.57012513497352</v>
      </c>
      <c r="EL151" s="81">
        <f t="shared" si="506"/>
        <v>5.3164551787534986</v>
      </c>
      <c r="EM151" s="74">
        <f t="shared" ref="EM151:EQ151" si="512">EM48+EM84+EM116</f>
        <v>296.55730416172992</v>
      </c>
      <c r="EN151" s="81">
        <f t="shared" si="507"/>
        <v>4.3848307503449035</v>
      </c>
      <c r="EO151" s="74">
        <f t="shared" si="512"/>
        <v>298.95241335978017</v>
      </c>
      <c r="EP151" s="81">
        <f t="shared" si="508"/>
        <v>7.4595303234292309</v>
      </c>
      <c r="EQ151" s="74">
        <f t="shared" si="512"/>
        <v>299.7604148987179</v>
      </c>
      <c r="ER151" s="81">
        <f t="shared" si="509"/>
        <v>3.1167577910966138</v>
      </c>
      <c r="ES151" s="82"/>
      <c r="ET151" s="469"/>
      <c r="EU151" s="82"/>
      <c r="EV151" s="171"/>
      <c r="EW151" s="79"/>
      <c r="EX151" s="171"/>
      <c r="EY151" s="79"/>
      <c r="EZ151" s="171"/>
      <c r="FA151" s="79"/>
      <c r="FB151" s="217"/>
      <c r="FC151" s="79"/>
      <c r="FD151" s="74">
        <f>FD48+FD84+FD116</f>
        <v>967.7</v>
      </c>
      <c r="FE151" s="79" t="str">
        <f>IF(ISERROR((FD151/FB151-1)*100),"NA",IF(((FD151/FB151-1)*100)&gt;100,"NM",IF(((FD151/FB151-1)*100)&lt;-50,"NM",(FD151/FB151-1)*100)))</f>
        <v>NA</v>
      </c>
      <c r="FF151" s="74">
        <f>FF48+FF84+FF116</f>
        <v>1048.7</v>
      </c>
      <c r="FG151" s="79">
        <f>IF(ISERROR((FF151/FD151-1)*100),"NA",IF(((FF151/FD151-1)*100)&gt;100,"NM",IF(((FF151/FD151-1)*100)&lt;-50,"NM",(FF151/FD151-1)*100)))</f>
        <v>8.3703627157176719</v>
      </c>
      <c r="FH151" s="74">
        <f>FH48+FH84+FH116</f>
        <v>1048.7</v>
      </c>
      <c r="FI151" s="79">
        <f>IF(ISERROR((FH151/FF151-1)*100),"NA",IF(((FH151/FF151-1)*100)&gt;100,"NM",IF(((FH151/FF151-1)*100)&lt;-50,"NM",(FH151/FF151-1)*100)))</f>
        <v>0</v>
      </c>
      <c r="FJ151" s="74">
        <f>FJ48+FJ84+FJ116</f>
        <v>1021.1</v>
      </c>
      <c r="FK151" s="79">
        <f>IF(ISERROR((FJ151/FH151-1)*100),"NA",IF(((FJ151/FH151-1)*100)&gt;100,"NM",IF(((FJ151/FH151-1)*100)&lt;-50,"NM",(FJ151/FH151-1)*100)))</f>
        <v>-2.6318298846190524</v>
      </c>
      <c r="FL151" s="74">
        <f>FL48+FL84+FL116</f>
        <v>1018.4999999999999</v>
      </c>
      <c r="FM151" s="79">
        <f>IF(ISERROR((FL151/FJ151-1)*100),"NA",IF(((FL151/FJ151-1)*100)&gt;100,"NM",IF(((FL151/FJ151-1)*100)&lt;-50,"NM",(FL151/FJ151-1)*100)))</f>
        <v>-0.25462736264814101</v>
      </c>
      <c r="FN151" s="74">
        <f>FN48+FN84+FN116</f>
        <v>1000.7</v>
      </c>
      <c r="FO151" s="79">
        <f>IF(ISERROR((FN151/FL151-1)*100),"NA",IF(((FN151/FL151-1)*100)&gt;100,"NM",IF(((FN151/FL151-1)*100)&lt;-50,"NM",(FN151/FL151-1)*100)))</f>
        <v>-1.7476681394206994</v>
      </c>
      <c r="FP151" s="74">
        <f>FP48+FP84+FP116</f>
        <v>1040.4000000000001</v>
      </c>
      <c r="FQ151" s="79">
        <f>IF(ISERROR((FP151/FN151-1)*100),"NA",IF(((FP151/FN151-1)*100)&gt;100,"NM",IF(((FP151/FN151-1)*100)&lt;-50,"NM",(FP151/FN151-1)*100)))</f>
        <v>3.9672229439392526</v>
      </c>
      <c r="FR151" s="74">
        <f>FR48+FR84+FR116</f>
        <v>1001.3000000000001</v>
      </c>
      <c r="FS151" s="79">
        <f>IF(ISERROR((FR151/FP151-1)*100),"NA",IF(((FR151/FP151-1)*100)&gt;100,"NM",IF(((FR151/FP151-1)*100)&lt;-50,"NM",(FR151/FP151-1)*100)))</f>
        <v>-3.7581699346405206</v>
      </c>
      <c r="FT151" s="74">
        <f>FT48+FT84+FT116</f>
        <v>980.60000000000014</v>
      </c>
      <c r="FU151" s="79">
        <f>IF(ISERROR((FT151/FR151-1)*100),"NA",IF(((FT151/FR151-1)*100)&gt;100,"NM",IF(((FT151/FR151-1)*100)&lt;-50,"NM",(FT151/FR151-1)*100)))</f>
        <v>-2.0673124937581111</v>
      </c>
      <c r="FV151" s="74">
        <f>FV48+FV84+FV116</f>
        <v>996.8</v>
      </c>
      <c r="FW151" s="79">
        <f>IF(ISERROR((FV151/FT151-1)*100),"NA",IF(((FV151/FT151-1)*100)&gt;100,"NM",IF(((FV151/FT151-1)*100)&lt;-50,"NM",(FV151/FT151-1)*100)))</f>
        <v>1.6520497654497035</v>
      </c>
      <c r="FX151" s="74">
        <f>FX48+FX84+FX116</f>
        <v>992.90000000000009</v>
      </c>
      <c r="FY151" s="79">
        <f>IF(ISERROR((FX151/FV151-1)*100),"NA",IF(((FX151/FV151-1)*100)&gt;100,"NM",IF(((FX151/FV151-1)*100)&lt;-50,"NM",(FX151/FV151-1)*100)))</f>
        <v>-0.39125200642052826</v>
      </c>
      <c r="FZ151" s="74">
        <f>FZ48+FZ84+FZ116</f>
        <v>1000.8</v>
      </c>
      <c r="GA151" s="79">
        <f>IF(ISERROR((FZ151/FX151-1)*100),"NA",IF(((FZ151/FX151-1)*100)&gt;100,"NM",IF(((FZ151/FX151-1)*100)&lt;-50,"NM",(FZ151/FX151-1)*100)))</f>
        <v>0.79564910867155891</v>
      </c>
      <c r="GB151" s="74">
        <f>GB48+GB84+GB116</f>
        <v>1043.5999999999999</v>
      </c>
      <c r="GC151" s="79">
        <f>IF(ISERROR((GB151/FZ151-1)*100),"NA",IF(((GB151/FZ151-1)*100)&gt;100,"NM",IF(((GB151/FZ151-1)*100)&lt;-50,"NM",(GB151/FZ151-1)*100)))</f>
        <v>4.2765787370103947</v>
      </c>
      <c r="GD151" s="74">
        <f>GD48+GD84+GD116</f>
        <v>1090.5999999999999</v>
      </c>
      <c r="GE151" s="79">
        <f>IF(ISERROR((GD151/GB151-1)*100),"NA",IF(((GD151/GB151-1)*100)&gt;100,"NM",IF(((GD151/GB151-1)*100)&lt;-50,"NM",(GD151/GB151-1)*100)))</f>
        <v>4.5036412418551164</v>
      </c>
      <c r="GF151" s="74">
        <f>GF48+GF84+GF116</f>
        <v>1102.9000000000001</v>
      </c>
      <c r="GG151" s="79">
        <f>IF(ISERROR((GF151/GD151-1)*100),"NA",IF(((GF151/GD151-1)*100)&gt;100,"NM",IF(((GF151/GD151-1)*100)&lt;-50,"NM",(GF151/GD151-1)*100)))</f>
        <v>1.1278195488721998</v>
      </c>
      <c r="GH151" s="74">
        <f>GH48+GH84+GH116</f>
        <v>1132.7</v>
      </c>
      <c r="GI151" s="79">
        <f>IF(ISERROR((GH151/GF151-1)*100),"NA",IF(((GH151/GF151-1)*100)&gt;100,"NM",IF(((GH151/GF151-1)*100)&lt;-50,"NM",(GH151/GF151-1)*100)))</f>
        <v>2.701967540121486</v>
      </c>
      <c r="GJ151" s="74">
        <f>GJ48+GJ84+GJ116</f>
        <v>1189.8402575552016</v>
      </c>
      <c r="GK151" s="79">
        <f>IF(ISERROR((GJ151/GH151-1)*100),"NA",IF(((GJ151/GH151-1)*100)&gt;100,"NM",IF(((GJ151/GH151-1)*100)&lt;-50,"NM",(GJ151/GH151-1)*100)))</f>
        <v>5.0446064761368037</v>
      </c>
      <c r="GL151" s="74">
        <f>GL48+GL84+GL116</f>
        <v>1237.0298663277993</v>
      </c>
      <c r="GM151" s="79">
        <f>IF(ISERROR((GL151/GJ151-1)*100),"NA",IF(((GL151/GJ151-1)*100)&gt;100,"NM",IF(((GL151/GJ151-1)*100)&lt;-50,"NM",(GL151/GJ151-1)*100)))</f>
        <v>3.9660457336986976</v>
      </c>
      <c r="GN151" s="74">
        <f>GN48+GN84+GN116</f>
        <v>1286.8808941384834</v>
      </c>
      <c r="GO151" s="79">
        <f>IF(ISERROR((GN151/GL151-1)*100),"NA",IF(((GN151/GL151-1)*100)&gt;100,"NM",IF(((GN151/GL151-1)*100)&lt;-50,"NM",(GN151/GL151-1)*100)))</f>
        <v>4.0298968656811818</v>
      </c>
      <c r="GP151" s="74">
        <f>GP48+GP84+GP116</f>
        <v>1339.4555984943172</v>
      </c>
      <c r="GQ151" s="79">
        <f>IF(ISERROR((GP151/GN151-1)*100),"NA",IF(((GP151/GN151-1)*100)&gt;100,"NM",IF(((GP151/GN151-1)*100)&lt;-50,"NM",(GP151/GN151-1)*100)))</f>
        <v>4.0854367016638804</v>
      </c>
      <c r="GR151" s="74">
        <f>GR48+GR84+GR116</f>
        <v>1396.6412036198799</v>
      </c>
      <c r="GS151" s="79">
        <f>IF(ISERROR((GR151/GP151-1)*100),"NA",IF(((GR151/GP151-1)*100)&gt;100,"NM",IF(((GR151/GP151-1)*100)&lt;-50,"NM",(GR151/GP151-1)*100)))</f>
        <v>4.2693169665231956</v>
      </c>
      <c r="GT151" s="79">
        <f>IF(ISERROR(((GR151/GH151)^0.2-1)*100),"NA",(IF(OR(((GR151/GH151)^0.2-1)*100&gt;99,((GR151/GH151)^0.2-1)*100&lt;-50),"NM",(((GR151/GH151)^0.2-1)*100))))</f>
        <v>4.2783114116099474</v>
      </c>
    </row>
    <row r="152" spans="1:286" s="83" customFormat="1" ht="12.75" customHeight="1" x14ac:dyDescent="0.2">
      <c r="A152" s="77"/>
      <c r="B152" s="83" t="s">
        <v>57</v>
      </c>
      <c r="C152" s="140"/>
      <c r="D152" s="140"/>
      <c r="E152" s="242"/>
      <c r="F152" s="242"/>
      <c r="G152" s="242"/>
      <c r="H152" s="243"/>
      <c r="I152" s="242"/>
      <c r="J152" s="242"/>
      <c r="K152" s="242"/>
      <c r="L152" s="79"/>
      <c r="M152" s="242"/>
      <c r="N152" s="79"/>
      <c r="O152" s="242"/>
      <c r="P152" s="79"/>
      <c r="Q152" s="242"/>
      <c r="R152" s="79"/>
      <c r="S152" s="242"/>
      <c r="T152" s="79"/>
      <c r="U152" s="242">
        <f>FF152-W152-Y152-AA152</f>
        <v>1905.9000000000005</v>
      </c>
      <c r="V152" s="79" t="str">
        <f>IF(ISERROR((U152/M152-1)*100),"NA",IF(((U152/M152-1)*100)&gt;100,"NM",IF(((U152/M152-1)*100)&lt;-50,"NM",(U152/M152-1)*100)))</f>
        <v>NA</v>
      </c>
      <c r="W152" s="242">
        <v>1482.6</v>
      </c>
      <c r="X152" s="79" t="str">
        <f>IF(ISERROR((W152/O152-1)*100),"NA",IF(((W152/O152-1)*100)&gt;100,"NM",IF(((W152/O152-1)*100)&lt;-50,"NM",(W152/O152-1)*100)))</f>
        <v>NA</v>
      </c>
      <c r="Y152" s="242">
        <v>1511.1</v>
      </c>
      <c r="Z152" s="79" t="str">
        <f>IF(ISERROR((Y152/Q152-1)*100),"NA",IF(((Y152/Q152-1)*100)&gt;100,"NM",IF(((Y152/Q152-1)*100)&lt;-50,"NM",(Y152/Q152-1)*100)))</f>
        <v>NA</v>
      </c>
      <c r="AA152" s="244">
        <v>1958.6</v>
      </c>
      <c r="AB152" s="79" t="str">
        <f>IF(ISERROR((AA152/S152-1)*100),"NA",IF(((AA152/S152-1)*100)&gt;100,"NM",IF(((AA152/S152-1)*100)&lt;-50,"NM",(AA152/S152-1)*100)))</f>
        <v>NA</v>
      </c>
      <c r="AC152" s="242">
        <f>SUM(AC148:AC151)</f>
        <v>1523.3999999999999</v>
      </c>
      <c r="AD152" s="79">
        <f>IF(ISERROR((AC152/U152-1)*100),"NA",IF(((AC152/U152-1)*100)&gt;100,"NM",IF(((AC152/U152-1)*100)&lt;-50,"NM",(AC152/U152-1)*100)))</f>
        <v>-20.069258617975795</v>
      </c>
      <c r="AE152" s="242">
        <f>SUM(AE148:AE151)</f>
        <v>1505.6999999999998</v>
      </c>
      <c r="AF152" s="79">
        <f>IF(ISERROR((AE152/W152-1)*100),"NA",IF(((AE152/W152-1)*100)&gt;100,"NM",IF(((AE152/W152-1)*100)&lt;-50,"NM",(AE152/W152-1)*100)))</f>
        <v>1.5580736543909346</v>
      </c>
      <c r="AG152" s="242">
        <f>SUM(AG148:AG151)</f>
        <v>1494.1699999999998</v>
      </c>
      <c r="AH152" s="79">
        <f>IF(ISERROR((AG152/Y152-1)*100),"NA",IF(((AG152/Y152-1)*100)&gt;100,"NM",IF(((AG152/Y152-1)*100)&lt;-50,"NM",(AG152/Y152-1)*100)))</f>
        <v>-1.1203758851168089</v>
      </c>
      <c r="AI152" s="242">
        <f>SUM(AI148:AI151)</f>
        <v>1618.4299999999998</v>
      </c>
      <c r="AJ152" s="79">
        <f>IF(ISERROR((AI152/AA152-1)*100),"NA",IF(((AI152/AA152-1)*100)&gt;100,"NM",IF(((AI152/AA152-1)*100)&lt;-50,"NM",(AI152/AA152-1)*100)))</f>
        <v>-17.368017972020834</v>
      </c>
      <c r="AK152" s="242">
        <f>SUM(AK148:AK151)</f>
        <v>1479.7</v>
      </c>
      <c r="AL152" s="79">
        <f>IF(ISERROR((AK152/AC152-1)*100),"NA",IF(((AK152/AC152-1)*100)&gt;100,"NM",IF(((AK152/AC152-1)*100)&lt;-50,"NM",(AK152/AC152-1)*100)))</f>
        <v>-2.8685834317972891</v>
      </c>
      <c r="AM152" s="242">
        <f>SUM(AM148:AM151)</f>
        <v>1481.5</v>
      </c>
      <c r="AN152" s="79">
        <f>IF(ISERROR((AM152/AE152-1)*100),"NA",IF(((AM152/AE152-1)*100)&gt;100,"NM",IF(((AM152/AE152-1)*100)&lt;-50,"NM",(AM152/AE152-1)*100)))</f>
        <v>-1.6072258750082891</v>
      </c>
      <c r="AO152" s="242">
        <f>SUM(AO148:AO151)</f>
        <v>1457.1000000000001</v>
      </c>
      <c r="AP152" s="79">
        <f>IF(ISERROR((AO152/AG152-1)*100),"NA",IF(((AO152/AG152-1)*100)&gt;100,"NM",IF(((AO152/AG152-1)*100)&lt;-50,"NM",(AO152/AG152-1)*100)))</f>
        <v>-2.4809760602876318</v>
      </c>
      <c r="AQ152" s="242">
        <f>SUM(AQ148:AQ151)</f>
        <v>1489.1</v>
      </c>
      <c r="AR152" s="79">
        <f>IF(ISERROR((AQ152/AI152-1)*100),"NA",IF(((AQ152/AI152-1)*100)&gt;100,"NM",IF(((AQ152/AI152-1)*100)&lt;-50,"NM",(AQ152/AI152-1)*100)))</f>
        <v>-7.9910777729033651</v>
      </c>
      <c r="AS152" s="242">
        <f>SUM(AS148:AS151)</f>
        <v>1485.6000000000004</v>
      </c>
      <c r="AT152" s="81">
        <f>IF(ISERROR((AS152/AK152-1)*100),"NA",IF(((AS152/AK152-1)*100)&gt;100,"NM",IF(((AS152/AK152-1)*100)&lt;-50,"NM",(AS152/AK152-1)*100)))</f>
        <v>0.39872947219032895</v>
      </c>
      <c r="AU152" s="242">
        <f>SUM(AU148:AU151)</f>
        <v>1494.1</v>
      </c>
      <c r="AV152" s="81">
        <f>IF(ISERROR((AU152/AM152-1)*100),"NA",IF(((AU152/AM152-1)*100)&gt;100,"NM",IF(((AU152/AM152-1)*100)&lt;-50,"NM",(AU152/AM152-1)*100)))</f>
        <v>0.85048936888287852</v>
      </c>
      <c r="AW152" s="242">
        <f>SUM(AW148:AW151)</f>
        <v>1449.6</v>
      </c>
      <c r="AX152" s="81">
        <f>IF(ISERROR((AW152/AO152-1)*100),"NA",IF(((AW152/AO152-1)*100)&gt;100,"NM",IF(((AW152/AO152-1)*100)&lt;-50,"NM",(AW152/AO152-1)*100)))</f>
        <v>-0.51472102120652119</v>
      </c>
      <c r="AY152" s="242">
        <f>SUM(AY148:AY151)</f>
        <v>1478.4</v>
      </c>
      <c r="AZ152" s="81">
        <f>IF(ISERROR((AY152/AQ152-1)*100),"NA",IF(((AY152/AQ152-1)*100)&gt;100,"NM",IF(((AY152/AQ152-1)*100)&lt;-50,"NM",(AY152/AQ152-1)*100)))</f>
        <v>-0.71855483177757362</v>
      </c>
      <c r="BA152" s="242">
        <f>SUM(BA148:BA151)</f>
        <v>1416.3000000000002</v>
      </c>
      <c r="BB152" s="81">
        <f>IF(ISERROR((BA152/AS152-1)*100),"NA",IF(((BA152/AS152-1)*100)&gt;100,"NM",IF(((BA152/AS152-1)*100)&lt;-50,"NM",(BA152/AS152-1)*100)))</f>
        <v>-4.6647819063004974</v>
      </c>
      <c r="BC152" s="242">
        <f>SUM(BC148:BC151)</f>
        <v>1430.3000000000002</v>
      </c>
      <c r="BD152" s="81">
        <f>IF(ISERROR((BC152/AU152-1)*100),"NA",IF(((BC152/AU152-1)*100)&gt;100,"NM",IF(((BC152/AU152-1)*100)&lt;-50,"NM",(BC152/AU152-1)*100)))</f>
        <v>-4.2701291747540111</v>
      </c>
      <c r="BE152" s="242">
        <f>SUM(BE148:BE151)</f>
        <v>1408.8</v>
      </c>
      <c r="BF152" s="81">
        <f>IF(ISERROR((BE152/AW152-1)*100),"NA",IF(((BE152/AW152-1)*100)&gt;100,"NM",IF(((BE152/AW152-1)*100)&lt;-50,"NM",(BE152/AW152-1)*100)))</f>
        <v>-2.8145695364238388</v>
      </c>
      <c r="BG152" s="242">
        <f>SUM(BG148:BG151)</f>
        <v>1399.8999999999999</v>
      </c>
      <c r="BH152" s="81">
        <f>IF(ISERROR((BG152/AY152-1)*100),"NA",IF(((BG152/AY152-1)*100)&gt;100,"NM",IF(((BG152/AY152-1)*100)&lt;-50,"NM",(BG152/AY152-1)*100)))</f>
        <v>-5.3097943722943857</v>
      </c>
      <c r="BI152" s="242">
        <f>SUM(BI148:BI151)</f>
        <v>1380.7</v>
      </c>
      <c r="BJ152" s="81">
        <f>IF(ISERROR((BI152/BA152-1)*100),"NA",IF(((BI152/BA152-1)*100)&gt;100,"NM",IF(((BI152/BA152-1)*100)&lt;-50,"NM",(BI152/BA152-1)*100)))</f>
        <v>-2.5135917531596497</v>
      </c>
      <c r="BK152" s="242">
        <f>SUM(BK148:BK151)</f>
        <v>1395.1999999999998</v>
      </c>
      <c r="BL152" s="81">
        <f>IF(ISERROR((BK152/BC152-1)*100),"NA",IF(((BK152/BC152-1)*100)&gt;100,"NM",IF(((BK152/BC152-1)*100)&lt;-50,"NM",(BK152/BC152-1)*100)))</f>
        <v>-2.4540306229462572</v>
      </c>
      <c r="BM152" s="242">
        <f>SUM(BM148:BM151)</f>
        <v>1385.3000000000002</v>
      </c>
      <c r="BN152" s="81">
        <f>IF(ISERROR((BM152/BE152-1)*100),"NA",IF(((BM152/BE152-1)*100)&gt;100,"NM",IF(((BM152/BE152-1)*100)&lt;-50,"NM",(BM152/BE152-1)*100)))</f>
        <v>-1.6680863145939639</v>
      </c>
      <c r="BO152" s="242">
        <f>SUM(BO148:BO151)</f>
        <v>1386.8</v>
      </c>
      <c r="BP152" s="81">
        <f>IF(ISERROR((BO152/BG152-1)*100),"NA",IF(((BO152/BG152-1)*100)&gt;100,"NM",IF(((BO152/BG152-1)*100)&lt;-50,"NM",(BO152/BG152-1)*100)))</f>
        <v>-0.93578112722336737</v>
      </c>
      <c r="BQ152" s="242">
        <f>SUM(BQ148:BQ151)</f>
        <v>1365.6</v>
      </c>
      <c r="BR152" s="81">
        <f>IF(ISERROR((BQ152/BI152-1)*100),"NA",IF(((BQ152/BI152-1)*100)&gt;100,"NM",IF(((BQ152/BI152-1)*100)&lt;-50,"NM",(BQ152/BI152-1)*100)))</f>
        <v>-1.0936481494894013</v>
      </c>
      <c r="BS152" s="242">
        <f>SUM(BS148:BS151)</f>
        <v>1366.5000000000002</v>
      </c>
      <c r="BT152" s="81">
        <f>IF(ISERROR((BS152/BK152-1)*100),"NA",IF(((BS152/BK152-1)*100)&gt;100,"NM",IF(((BS152/BK152-1)*100)&lt;-50,"NM",(BS152/BK152-1)*100)))</f>
        <v>-2.0570527522935533</v>
      </c>
      <c r="BU152" s="242">
        <f>SUM(BU148:BU151)</f>
        <v>1349.7000000000003</v>
      </c>
      <c r="BV152" s="81">
        <f>IF(ISERROR((BU152/BM152-1)*100),"NA",IF(((BU152/BM152-1)*100)&gt;100,"NM",IF(((BU152/BM152-1)*100)&lt;-50,"NM",(BU152/BM152-1)*100)))</f>
        <v>-2.5698404677687026</v>
      </c>
      <c r="BW152" s="242">
        <f>SUM(BW148:BW151)</f>
        <v>1335.5</v>
      </c>
      <c r="BX152" s="81">
        <f>IF(ISERROR((BW152/BO152-1)*100),"NA",IF(((BW152/BO152-1)*100)&gt;100,"NM",IF(((BW152/BO152-1)*100)&lt;-50,"NM",(BW152/BO152-1)*100)))</f>
        <v>-3.6991635419671098</v>
      </c>
      <c r="BY152" s="242">
        <f>SUM(BY148:BY151)</f>
        <v>1143.7</v>
      </c>
      <c r="BZ152" s="81">
        <f>IF(ISERROR((BY152/BQ152-1)*100),"NA",IF(((BY152/BQ152-1)*100)&gt;100,"NM",IF(((BY152/BQ152-1)*100)&lt;-50,"NM",(BY152/BQ152-1)*100)))</f>
        <v>-16.249267721148207</v>
      </c>
      <c r="CA152" s="242">
        <f>SUM(CA148:CA151)</f>
        <v>1134.5999999999999</v>
      </c>
      <c r="CB152" s="81">
        <f>IF(ISERROR((CA152/BS152-1)*100),"NA",IF(((CA152/BS152-1)*100)&gt;100,"NM",IF(((CA152/BS152-1)*100)&lt;-50,"NM",(CA152/BS152-1)*100)))</f>
        <v>-16.970362239297497</v>
      </c>
      <c r="CC152" s="242">
        <f>SUM(CC148:CC151)</f>
        <v>1131.9000000000001</v>
      </c>
      <c r="CD152" s="81">
        <f>IF(ISERROR((CC152/BU152-1)*100),"NA",IF(((CC152/BU152-1)*100)&gt;100,"NM",IF(((CC152/BU152-1)*100)&lt;-50,"NM",(CC152/BU152-1)*100)))</f>
        <v>-16.136919315403432</v>
      </c>
      <c r="CE152" s="242">
        <f>SUM(CE148:CE151)</f>
        <v>1140.1999999999998</v>
      </c>
      <c r="CF152" s="81">
        <f>IF(ISERROR((CE152/BW152-1)*100),"NA",IF(((CE152/BW152-1)*100)&gt;100,"NM",IF(((CE152/BW152-1)*100)&lt;-50,"NM",(CE152/BW152-1)*100)))</f>
        <v>-14.623736428304024</v>
      </c>
      <c r="CG152" s="242">
        <f>SUM(CG148:CG151)</f>
        <v>1138.8</v>
      </c>
      <c r="CH152" s="81">
        <f>IF(ISERROR((CG152/BY152-1)*100),"NA",IF(((CG152/BY152-1)*100)&gt;100,"NM",IF(((CG152/BY152-1)*100)&lt;-50,"NM",(CG152/BY152-1)*100)))</f>
        <v>-0.42843402990295765</v>
      </c>
      <c r="CI152" s="242">
        <f>SUM(CI148:CI151)</f>
        <v>1132.5999999999999</v>
      </c>
      <c r="CJ152" s="81">
        <f>IF(ISERROR((CI152/CA152-1)*100),"NA",IF(((CI152/CA152-1)*100)&gt;100,"NM",IF(((CI152/CA152-1)*100)&lt;-50,"NM",(CI152/CA152-1)*100)))</f>
        <v>-0.17627357659086851</v>
      </c>
      <c r="CK152" s="242">
        <f>SUM(CK148:CK151)</f>
        <v>1135.5999999999999</v>
      </c>
      <c r="CL152" s="81">
        <f>IF(ISERROR((CK152/CC152-1)*100),"NA",IF(((CK152/CC152-1)*100)&gt;100,"NM",IF(((CK152/CC152-1)*100)&lt;-50,"NM",(CK152/CC152-1)*100)))</f>
        <v>0.32688400035336684</v>
      </c>
      <c r="CM152" s="242">
        <f>SUM(CM148:CM151)</f>
        <v>1145.0999999999999</v>
      </c>
      <c r="CN152" s="81">
        <f>IF(ISERROR((CM152/CE152-1)*100),"NA",IF(((CM152/CE152-1)*100)&gt;100,"NM",IF(((CM152/CE152-1)*100)&lt;-50,"NM",(CM152/CE152-1)*100)))</f>
        <v>0.42974916681284281</v>
      </c>
      <c r="CO152" s="242">
        <f>SUM(CO148:CO151)</f>
        <v>1175.8000000000002</v>
      </c>
      <c r="CP152" s="81">
        <f>IF(ISERROR((CO152/CG152-1)*100),"NA",IF(((CO152/CG152-1)*100)&gt;100,"NM",IF(((CO152/CG152-1)*100)&lt;-50,"NM",(CO152/CG152-1)*100)))</f>
        <v>3.249034070951895</v>
      </c>
      <c r="CQ152" s="242">
        <f>SUM(CQ148:CQ151)</f>
        <v>1169.8999999999999</v>
      </c>
      <c r="CR152" s="81">
        <f>IF(ISERROR((CQ152/CI152-1)*100),"NA",IF(((CQ152/CI152-1)*100)&gt;100,"NM",IF(((CQ152/CI152-1)*100)&lt;-50,"NM",(CQ152/CI152-1)*100)))</f>
        <v>3.2933074342221369</v>
      </c>
      <c r="CS152" s="242">
        <f>SUM(CS148:CS151)</f>
        <v>1163.2</v>
      </c>
      <c r="CT152" s="81">
        <f>IF(ISERROR((CS152/CK152-1)*100),"NA",IF(((CS152/CK152-1)*100)&gt;100,"NM",IF(((CS152/CK152-1)*100)&lt;-50,"NM",(CS152/CK152-1)*100)))</f>
        <v>2.4304332511447813</v>
      </c>
      <c r="CU152" s="242">
        <f>SUM(CU148:CU151)</f>
        <v>1177.4000000000001</v>
      </c>
      <c r="CV152" s="81">
        <f>IF(ISERROR((CU152/CM152-1)*100),"NA",IF(((CU152/CM152-1)*100)&gt;100,"NM",IF(((CU152/CM152-1)*100)&lt;-50,"NM",(CU152/CM152-1)*100)))</f>
        <v>2.8207143480918795</v>
      </c>
      <c r="CW152" s="242">
        <f>SUM(CW148:CW151)</f>
        <v>1204</v>
      </c>
      <c r="CX152" s="81">
        <f>IF(ISERROR((CW152/CO152-1)*100),"NA",IF(((CW152/CO152-1)*100)&gt;100,"NM",IF(((CW152/CO152-1)*100)&lt;-50,"NM",(CW152/CO152-1)*100)))</f>
        <v>2.3983670692294456</v>
      </c>
      <c r="CY152" s="242">
        <f>SUM(CY148:CY151)</f>
        <v>1180.7</v>
      </c>
      <c r="CZ152" s="81">
        <f>IF(ISERROR((CY152/CQ152-1)*100),"NA",IF(((CY152/CQ152-1)*100)&gt;100,"NM",IF(((CY152/CQ152-1)*100)&lt;-50,"NM",(CY152/CQ152-1)*100)))</f>
        <v>0.92315582528423867</v>
      </c>
      <c r="DA152" s="242">
        <f>SUM(DA148:DA151)</f>
        <v>1168.0999999999999</v>
      </c>
      <c r="DB152" s="81">
        <f>IF(ISERROR((DA152/CS152-1)*100),"NA",IF(((DA152/CS152-1)*100)&gt;100,"NM",IF(((DA152/CS152-1)*100)&lt;-50,"NM",(DA152/CS152-1)*100)))</f>
        <v>0.42125171939475514</v>
      </c>
      <c r="DC152" s="242">
        <f>SUM(DC148:DC151)</f>
        <v>1153.5999999999999</v>
      </c>
      <c r="DD152" s="81">
        <f>IF(ISERROR((DC152/CU152-1)*100),"NA",IF(((DC152/CU152-1)*100)&gt;100,"NM",IF(((DC152/CU152-1)*100)&lt;-50,"NM",(DC152/CU152-1)*100)))</f>
        <v>-2.0214030915576831</v>
      </c>
      <c r="DE152" s="242">
        <f>SUM(DE148:DE151)</f>
        <v>1199</v>
      </c>
      <c r="DF152" s="81">
        <f>IF(ISERROR((DE152/CW152-1)*100),"NA",IF(((DE152/CW152-1)*100)&gt;100,"NM",IF(((DE152/CW152-1)*100)&lt;-50,"NM",(DE152/CW152-1)*100)))</f>
        <v>-0.41528239202658357</v>
      </c>
      <c r="DG152" s="242">
        <f>SUM(DG148:DG151)</f>
        <v>1190.4000000000001</v>
      </c>
      <c r="DH152" s="81">
        <f>IF(ISERROR((DG152/CY152-1)*100),"NA",IF(((DG152/CY152-1)*100)&gt;100,"NM",IF(((DG152/CY152-1)*100)&lt;-50,"NM",(DG152/CY152-1)*100)))</f>
        <v>0.82154654018802287</v>
      </c>
      <c r="DI152" s="242">
        <f>SUM(DI148:DI151)</f>
        <v>1195.1999999999998</v>
      </c>
      <c r="DJ152" s="81">
        <f>IF(ISERROR((DI152/DA152-1)*100),"NA",IF(((DI152/DA152-1)*100)&gt;100,"NM",IF(((DI152/DA152-1)*100)&lt;-50,"NM",(DI152/DA152-1)*100)))</f>
        <v>2.3200068487287062</v>
      </c>
      <c r="DK152" s="242">
        <f>SUM(DK148:DK151)</f>
        <v>1231.2</v>
      </c>
      <c r="DL152" s="81">
        <f>IF(ISERROR((DK152/DC152-1)*100),"NA",IF(((DK152/DC152-1)*100)&gt;100,"NM",IF(((DK152/DC152-1)*100)&lt;-50,"NM",(DK152/DC152-1)*100)))</f>
        <v>6.7267683772538334</v>
      </c>
      <c r="DM152" s="242">
        <f>SUM(DM148:DM151)</f>
        <v>1261.8</v>
      </c>
      <c r="DN152" s="81">
        <f>IF(ISERROR((DM152/DE152-1)*100),"NA",IF(((DM152/DE152-1)*100)&gt;100,"NM",IF(((DM152/DE152-1)*100)&lt;-50,"NM",(DM152/DE152-1)*100)))</f>
        <v>5.2376980817347762</v>
      </c>
      <c r="DO152" s="242">
        <f>SUM(DO148:DO151)</f>
        <v>1280.7</v>
      </c>
      <c r="DP152" s="81">
        <f>IF(ISERROR((DO152/DG152-1)*100),"NA",IF(((DO152/DG152-1)*100)&gt;100,"NM",IF(((DO152/DG152-1)*100)&lt;-50,"NM",(DO152/DG152-1)*100)))</f>
        <v>7.5856854838709742</v>
      </c>
      <c r="DQ152" s="242">
        <f>SUM(DQ148:DQ151)</f>
        <v>1265.5</v>
      </c>
      <c r="DR152" s="81">
        <f>IF(ISERROR((DQ152/DI152-1)*100),"NA",IF(((DQ152/DI152-1)*100)&gt;100,"NM",IF(((DQ152/DI152-1)*100)&lt;-50,"NM",(DQ152/DI152-1)*100)))</f>
        <v>5.8818607764391073</v>
      </c>
      <c r="DS152" s="242">
        <f>SUM(DS148:DS151)</f>
        <v>1286.5</v>
      </c>
      <c r="DT152" s="81">
        <f>IF(ISERROR((DS152/DK152-1)*100),"NA",IF(((DS152/DK152-1)*100)&gt;100,"NM",IF(((DS152/DK152-1)*100)&lt;-50,"NM",(DS152/DK152-1)*100)))</f>
        <v>4.491552956465239</v>
      </c>
      <c r="DU152" s="242">
        <f>SUM(DU148:DU151)</f>
        <v>1321.8</v>
      </c>
      <c r="DV152" s="81">
        <f>IF(ISERROR((DU152/DM152-1)*100),"NA",IF(((DU152/DM152-1)*100)&gt;100,"NM",IF(((DU152/DM152-1)*100)&lt;-50,"NM",(DU152/DM152-1)*100)))</f>
        <v>4.7551117451260172</v>
      </c>
      <c r="DW152" s="242">
        <f>SUM(DW148:DW151)</f>
        <v>1307.8</v>
      </c>
      <c r="DX152" s="81">
        <f>IF(ISERROR((DW152/DO152-1)*100),"NA",IF(((DW152/DO152-1)*100)&gt;100,"NM",IF(((DW152/DO152-1)*100)&lt;-50,"NM",(DW152/DO152-1)*100)))</f>
        <v>2.1160302959319033</v>
      </c>
      <c r="DY152" s="242">
        <f>SUM(DY148:DY151)</f>
        <v>1320</v>
      </c>
      <c r="DZ152" s="81">
        <f>IF(ISERROR((DY152/DQ152-1)*100),"NA",IF(((DY152/DQ152-1)*100)&gt;100,"NM",IF(((DY152/DQ152-1)*100)&lt;-50,"NM",(DY152/DQ152-1)*100)))</f>
        <v>4.3065981825365363</v>
      </c>
      <c r="EA152" s="242">
        <f>SUM(EA148:EA151)</f>
        <v>1319.1000000000004</v>
      </c>
      <c r="EB152" s="81">
        <f>IF(ISERROR((EA152/DS152-1)*100),"NA",IF(((EA152/DS152-1)*100)&gt;100,"NM",IF(((EA152/DS152-1)*100)&lt;-50,"NM",(EA152/DS152-1)*100)))</f>
        <v>2.5340069957248579</v>
      </c>
      <c r="EC152" s="242">
        <f>SUM(EC148:EC151)</f>
        <v>1352.5</v>
      </c>
      <c r="ED152" s="81">
        <f t="shared" si="501"/>
        <v>2.3225904070207415</v>
      </c>
      <c r="EE152" s="242">
        <f>SUM(EE148:EE151)</f>
        <v>1345.6</v>
      </c>
      <c r="EF152" s="81">
        <f t="shared" si="502"/>
        <v>2.8903502064535846</v>
      </c>
      <c r="EG152" s="242">
        <f>SUM(EG148:EG151)</f>
        <v>1330</v>
      </c>
      <c r="EH152" s="81">
        <f t="shared" si="503"/>
        <v>0.7575757575757569</v>
      </c>
      <c r="EI152" s="242">
        <f>SUM(EI148:EI151)</f>
        <v>1356.8999999999999</v>
      </c>
      <c r="EJ152" s="81">
        <f t="shared" si="504"/>
        <v>2.8655901751193591</v>
      </c>
      <c r="EK152" s="242">
        <f t="shared" ref="EK152:EQ152" si="513">SUM(EK148:EK151)</f>
        <v>1397.2731259114569</v>
      </c>
      <c r="EL152" s="81">
        <f t="shared" si="506"/>
        <v>3.3103974795901658</v>
      </c>
      <c r="EM152" s="242">
        <f t="shared" si="513"/>
        <v>1403.4098566795237</v>
      </c>
      <c r="EN152" s="81">
        <f t="shared" si="507"/>
        <v>4.2962140814152727</v>
      </c>
      <c r="EO152" s="242">
        <f t="shared" si="513"/>
        <v>1414.5271143992481</v>
      </c>
      <c r="EP152" s="81">
        <f t="shared" si="508"/>
        <v>6.3554221352818185</v>
      </c>
      <c r="EQ152" s="242">
        <f t="shared" si="513"/>
        <v>1413.5765929806048</v>
      </c>
      <c r="ER152" s="81">
        <f t="shared" si="509"/>
        <v>4.1769174574843415</v>
      </c>
      <c r="ES152" s="138"/>
      <c r="ET152" s="470"/>
      <c r="EU152" s="138"/>
      <c r="EV152" s="242"/>
      <c r="EW152" s="140"/>
      <c r="EX152" s="242"/>
      <c r="EY152" s="79"/>
      <c r="EZ152" s="242"/>
      <c r="FA152" s="79"/>
      <c r="FB152" s="242"/>
      <c r="FC152" s="79"/>
      <c r="FD152" s="242">
        <f>SUM(FD148:FD151)</f>
        <v>5295.4000000000005</v>
      </c>
      <c r="FE152" s="79" t="str">
        <f>IF(ISERROR((FD152/FB152-1)*100),"NA",IF(((FD152/FB152-1)*100)&gt;100,"NM",IF(((FD152/FB152-1)*100)&lt;-50,"NM",(FD152/FB152-1)*100)))</f>
        <v>NA</v>
      </c>
      <c r="FF152" s="242">
        <f>SUM(FF148:FF151)</f>
        <v>6858.2</v>
      </c>
      <c r="FG152" s="79">
        <f>IF(ISERROR((FF152/FD152-1)*100),"NA",IF(((FF152/FD152-1)*100)&gt;100,"NM",IF(((FF152/FD152-1)*100)&lt;-50,"NM",(FF152/FD152-1)*100)))</f>
        <v>29.512406994750151</v>
      </c>
      <c r="FH152" s="242">
        <f>SUM(FH148:FH151)</f>
        <v>6141.7</v>
      </c>
      <c r="FI152" s="79">
        <f>IF(ISERROR((FH152/FF152-1)*100),"NA",IF(((FH152/FF152-1)*100)&gt;100,"NM",IF(((FH152/FF152-1)*100)&lt;-50,"NM",(FH152/FF152-1)*100)))</f>
        <v>-10.447347700562826</v>
      </c>
      <c r="FJ152" s="242">
        <f>SUM(FJ148:FJ151)</f>
        <v>5907.4000000000005</v>
      </c>
      <c r="FK152" s="79">
        <f>IF(ISERROR((FJ152/FH152-1)*100),"NA",IF(((FJ152/FH152-1)*100)&gt;100,"NM",IF(((FJ152/FH152-1)*100)&lt;-50,"NM",(FJ152/FH152-1)*100)))</f>
        <v>-3.8149046680886256</v>
      </c>
      <c r="FL152" s="242">
        <f>SUM(FL148:FL151)</f>
        <v>5907.7000000000007</v>
      </c>
      <c r="FM152" s="79">
        <f>IF(ISERROR((FL152/FJ152-1)*100),"NA",IF(((FL152/FJ152-1)*100)&gt;100,"NM",IF(((FL152/FJ152-1)*100)&lt;-50,"NM",(FL152/FJ152-1)*100)))</f>
        <v>5.0783762738371152E-3</v>
      </c>
      <c r="FN152" s="242">
        <f>SUM(FN148:FN151)</f>
        <v>5655.2999999999993</v>
      </c>
      <c r="FO152" s="79">
        <f>IF(ISERROR((FN152/FL152-1)*100),"NA",IF(((FN152/FL152-1)*100)&gt;100,"NM",IF(((FN152/FL152-1)*100)&lt;-50,"NM",(FN152/FL152-1)*100)))</f>
        <v>-4.2723902703251877</v>
      </c>
      <c r="FP152" s="242">
        <f>SUM(FP148:FP151)</f>
        <v>5548</v>
      </c>
      <c r="FQ152" s="79">
        <f>IF(ISERROR((FP152/FN152-1)*100),"NA",IF(((FP152/FN152-1)*100)&gt;100,"NM",IF(((FP152/FN152-1)*100)&lt;-50,"NM",(FP152/FN152-1)*100)))</f>
        <v>-1.8973352430463386</v>
      </c>
      <c r="FR152" s="242">
        <f>SUM(FR148:FR151)</f>
        <v>4612.5000000000009</v>
      </c>
      <c r="FS152" s="79">
        <f>IF(ISERROR((FR152/FP152-1)*100),"NA",IF(((FR152/FP152-1)*100)&gt;100,"NM",IF(((FR152/FP152-1)*100)&lt;-50,"NM",(FR152/FP152-1)*100)))</f>
        <v>-16.861932227829833</v>
      </c>
      <c r="FT152" s="242">
        <f>SUM(FT148:FT151)</f>
        <v>4550.4000000000005</v>
      </c>
      <c r="FU152" s="79">
        <f>IF(ISERROR((FT152/FR152-1)*100),"NA",IF(((FT152/FR152-1)*100)&gt;100,"NM",IF(((FT152/FR152-1)*100)&lt;-50,"NM",(FT152/FR152-1)*100)))</f>
        <v>-1.3463414634146464</v>
      </c>
      <c r="FV152" s="242">
        <f>SUM(FV148:FV151)</f>
        <v>4552.1000000000004</v>
      </c>
      <c r="FW152" s="79">
        <f>IF(ISERROR((FV152/FT152-1)*100),"NA",IF(((FV152/FT152-1)*100)&gt;100,"NM",IF(((FV152/FT152-1)*100)&lt;-50,"NM",(FV152/FT152-1)*100)))</f>
        <v>3.7359353023913577E-2</v>
      </c>
      <c r="FX152" s="242">
        <f>SUM(FX148:FX151)</f>
        <v>4686.3000000000011</v>
      </c>
      <c r="FY152" s="79">
        <f>IF(ISERROR((FX152/FV152-1)*100),"NA",IF(((FX152/FV152-1)*100)&gt;100,"NM",IF(((FX152/FV152-1)*100)&lt;-50,"NM",(FX152/FV152-1)*100)))</f>
        <v>2.948089892577066</v>
      </c>
      <c r="FZ152" s="242">
        <f>SUM(FZ148:FZ151)</f>
        <v>4706.3999999999996</v>
      </c>
      <c r="GA152" s="79">
        <f>IF(ISERROR((FZ152/FX152-1)*100),"NA",IF(((FZ152/FX152-1)*100)&gt;100,"NM",IF(((FZ152/FX152-1)*100)&lt;-50,"NM",(FZ152/FX152-1)*100)))</f>
        <v>0.42890980090899422</v>
      </c>
      <c r="GB152" s="242">
        <f>SUM(GB148:GB151)</f>
        <v>4815.8</v>
      </c>
      <c r="GC152" s="79">
        <f>IF(ISERROR((GB152/FZ152-1)*100),"NA",IF(((GB152/FZ152-1)*100)&gt;100,"NM",IF(((GB152/FZ152-1)*100)&lt;-50,"NM",(GB152/FZ152-1)*100)))</f>
        <v>2.3244943056264011</v>
      </c>
      <c r="GD152" s="242">
        <f>SUM(GD148:GD151)</f>
        <v>5094.5</v>
      </c>
      <c r="GE152" s="79">
        <f>IF(ISERROR((GD152/GB152-1)*100),"NA",IF(((GD152/GB152-1)*100)&gt;100,"NM",IF(((GD152/GB152-1)*100)&lt;-50,"NM",(GD152/GB152-1)*100)))</f>
        <v>5.7872004651355891</v>
      </c>
      <c r="GF152" s="242">
        <f>SUM(GF148:GF151)</f>
        <v>5268.7000000000007</v>
      </c>
      <c r="GG152" s="79">
        <f>IF(ISERROR((GF152/GD152-1)*100),"NA",IF(((GF152/GD152-1)*100)&gt;100,"NM",IF(((GF152/GD152-1)*100)&lt;-50,"NM",(GF152/GD152-1)*100)))</f>
        <v>3.4193738345274394</v>
      </c>
      <c r="GH152" s="242">
        <f>SUM(GH148:GH151)</f>
        <v>5385</v>
      </c>
      <c r="GI152" s="79">
        <f>IF(ISERROR((GH152/GF152-1)*100),"NA",IF(((GH152/GF152-1)*100)&gt;100,"NM",IF(((GH152/GF152-1)*100)&lt;-50,"NM",(GH152/GF152-1)*100)))</f>
        <v>2.2073756334579642</v>
      </c>
      <c r="GJ152" s="242">
        <f>SUM(GJ148:GJ151)</f>
        <v>5628.7866899708342</v>
      </c>
      <c r="GK152" s="79">
        <f>IF(ISERROR((GJ152/GH152-1)*100),"NA",IF(((GJ152/GH152-1)*100)&gt;100,"NM",IF(((GJ152/GH152-1)*100)&lt;-50,"NM",(GJ152/GH152-1)*100)))</f>
        <v>4.5271437320489216</v>
      </c>
      <c r="GL152" s="242">
        <f>SUM(GL148:GL151)</f>
        <v>5846.4931985456515</v>
      </c>
      <c r="GM152" s="79">
        <f>IF(ISERROR((GL152/GJ152-1)*100),"NA",IF(((GL152/GJ152-1)*100)&gt;100,"NM",IF(((GL152/GJ152-1)*100)&lt;-50,"NM",(GL152/GJ152-1)*100)))</f>
        <v>3.8677342128227821</v>
      </c>
      <c r="GN152" s="242">
        <f>SUM(GN148:GN151)</f>
        <v>6076.3627060633553</v>
      </c>
      <c r="GO152" s="79">
        <f>IF(ISERROR((GN152/GL152-1)*100),"NA",IF(((GN152/GL152-1)*100)&gt;100,"NM",IF(((GN152/GL152-1)*100)&lt;-50,"NM",(GN152/GL152-1)*100)))</f>
        <v>3.9317501912921937</v>
      </c>
      <c r="GP152" s="242">
        <f>SUM(GP148:GP151)</f>
        <v>6316.8499370310119</v>
      </c>
      <c r="GQ152" s="79">
        <f>IF(ISERROR((GP152/GN152-1)*100),"NA",IF(((GP152/GN152-1)*100)&gt;100,"NM",IF(((GP152/GN152-1)*100)&lt;-50,"NM",(GP152/GN152-1)*100)))</f>
        <v>3.9577497690795216</v>
      </c>
      <c r="GR152" s="242">
        <f>SUM(GR148:GR151)</f>
        <v>6575.4710487492293</v>
      </c>
      <c r="GS152" s="79">
        <f>IF(ISERROR((GR152/GP152-1)*100),"NA",IF(((GR152/GP152-1)*100)&gt;100,"NM",IF(((GR152/GP152-1)*100)&lt;-50,"NM",(GR152/GP152-1)*100)))</f>
        <v>4.0941468342015508</v>
      </c>
      <c r="GT152" s="79">
        <f>IF(ISERROR(((GR152/GH152)^0.2-1)*100),"NA",(IF(OR(((GR152/GH152)^0.2-1)*100&gt;99,((GR152/GH152)^0.2-1)*100&lt;-50),"NM",(((GR152/GH152)^0.2-1)*100))))</f>
        <v>4.0754344478372229</v>
      </c>
      <c r="GU152" s="562"/>
      <c r="GV152" s="562"/>
      <c r="GW152"/>
      <c r="GX152"/>
      <c r="GY152"/>
      <c r="GZ152"/>
      <c r="HA152"/>
      <c r="HB152"/>
      <c r="HC152" s="562"/>
      <c r="HD152" s="562"/>
      <c r="HE152" s="562"/>
      <c r="HF152" s="562"/>
      <c r="HG152" s="562"/>
      <c r="HH152" s="562"/>
      <c r="HI152" s="562"/>
      <c r="HJ152" s="562"/>
      <c r="HK152" s="562"/>
      <c r="HL152" s="562"/>
      <c r="HM152" s="562"/>
      <c r="HN152" s="562"/>
      <c r="HO152" s="562"/>
      <c r="HP152" s="562"/>
      <c r="HQ152" s="562"/>
      <c r="HR152" s="562"/>
      <c r="HS152" s="562"/>
      <c r="HT152" s="562"/>
      <c r="HU152" s="562"/>
      <c r="HV152" s="562"/>
      <c r="HW152" s="562"/>
      <c r="HX152" s="562"/>
      <c r="HY152" s="562"/>
      <c r="HZ152" s="562"/>
      <c r="IA152" s="562"/>
      <c r="IB152" s="562"/>
      <c r="IC152" s="562"/>
      <c r="ID152" s="562"/>
      <c r="IE152" s="562"/>
      <c r="IF152" s="562"/>
      <c r="IG152" s="562"/>
      <c r="IH152" s="562"/>
      <c r="II152" s="562"/>
      <c r="IJ152" s="562"/>
      <c r="IK152" s="562"/>
      <c r="IL152" s="562"/>
      <c r="IM152" s="562"/>
      <c r="IN152" s="562"/>
      <c r="IO152" s="562"/>
      <c r="IP152" s="562"/>
      <c r="IQ152" s="562"/>
      <c r="IR152" s="562"/>
      <c r="IS152" s="562"/>
      <c r="IT152" s="562"/>
      <c r="IU152" s="562"/>
      <c r="IV152" s="562"/>
      <c r="IW152" s="562"/>
      <c r="IX152" s="562"/>
      <c r="IY152" s="562"/>
      <c r="IZ152" s="562"/>
      <c r="JA152" s="562"/>
      <c r="JB152" s="562"/>
      <c r="JC152" s="562"/>
      <c r="JD152" s="562"/>
      <c r="JE152" s="562"/>
      <c r="JF152" s="562"/>
      <c r="JG152" s="562"/>
      <c r="JH152" s="562"/>
      <c r="JI152" s="562"/>
      <c r="JJ152" s="562"/>
      <c r="JK152" s="562"/>
      <c r="JL152" s="562"/>
      <c r="JM152" s="562"/>
      <c r="JN152" s="562"/>
      <c r="JO152" s="562"/>
      <c r="JP152" s="562"/>
      <c r="JQ152" s="562"/>
      <c r="JR152" s="562"/>
      <c r="JS152" s="562"/>
      <c r="JT152" s="562"/>
      <c r="JU152" s="562"/>
      <c r="JV152" s="562"/>
      <c r="JW152" s="562"/>
      <c r="JX152" s="562"/>
      <c r="JY152" s="562"/>
      <c r="JZ152" s="562"/>
    </row>
    <row r="153" spans="1:286" ht="12.75" customHeight="1" x14ac:dyDescent="0.2">
      <c r="A153" s="1"/>
      <c r="B153" s="2"/>
      <c r="C153" s="171"/>
      <c r="D153" s="171"/>
      <c r="E153" s="171"/>
      <c r="F153" s="171"/>
      <c r="G153" s="171"/>
      <c r="H153" s="171"/>
      <c r="I153" s="171"/>
      <c r="J153" s="171"/>
      <c r="K153" s="171"/>
      <c r="L153" s="79"/>
      <c r="M153" s="171"/>
      <c r="N153" s="79"/>
      <c r="O153" s="171"/>
      <c r="P153" s="79"/>
      <c r="Q153" s="171"/>
      <c r="R153" s="79"/>
      <c r="S153" s="171"/>
      <c r="T153" s="79"/>
      <c r="U153" s="171"/>
      <c r="V153" s="79"/>
      <c r="W153" s="171"/>
      <c r="X153" s="79"/>
      <c r="Y153" s="171"/>
      <c r="Z153" s="79"/>
      <c r="AA153" s="172"/>
      <c r="AB153" s="79"/>
      <c r="AC153" s="171"/>
      <c r="AD153" s="79"/>
      <c r="AE153" s="171"/>
      <c r="AF153" s="79"/>
      <c r="AG153" s="171"/>
      <c r="AH153" s="79"/>
      <c r="AI153" s="171"/>
      <c r="AJ153" s="79"/>
      <c r="AK153" s="171"/>
      <c r="AL153" s="79"/>
      <c r="AM153" s="171"/>
      <c r="AN153" s="79"/>
      <c r="AO153" s="171"/>
      <c r="AP153" s="79"/>
      <c r="AQ153" s="171"/>
      <c r="AR153" s="79"/>
      <c r="AS153" s="171"/>
      <c r="AT153" s="81"/>
      <c r="AU153" s="171"/>
      <c r="AV153" s="81"/>
      <c r="AW153" s="171"/>
      <c r="AX153" s="81"/>
      <c r="AY153" s="171"/>
      <c r="AZ153" s="81"/>
      <c r="BA153" s="171"/>
      <c r="BB153" s="81"/>
      <c r="BC153" s="171"/>
      <c r="BD153" s="81"/>
      <c r="BE153" s="171"/>
      <c r="BF153" s="81"/>
      <c r="BG153" s="171"/>
      <c r="BH153" s="81"/>
      <c r="BI153" s="171"/>
      <c r="BJ153" s="81"/>
      <c r="BK153" s="171"/>
      <c r="BL153" s="81"/>
      <c r="BM153" s="171"/>
      <c r="BN153" s="81"/>
      <c r="BO153" s="171"/>
      <c r="BP153" s="81"/>
      <c r="BQ153" s="171"/>
      <c r="BR153" s="81"/>
      <c r="BS153" s="171"/>
      <c r="BT153" s="81"/>
      <c r="BU153" s="171"/>
      <c r="BV153" s="81"/>
      <c r="BW153" s="171"/>
      <c r="BX153" s="81"/>
      <c r="BY153" s="171"/>
      <c r="BZ153" s="81"/>
      <c r="CA153" s="171"/>
      <c r="CB153" s="81"/>
      <c r="CC153" s="171"/>
      <c r="CD153" s="81"/>
      <c r="CE153" s="171"/>
      <c r="CF153" s="81"/>
      <c r="CG153" s="171"/>
      <c r="CH153" s="81"/>
      <c r="CI153" s="171"/>
      <c r="CJ153" s="81"/>
      <c r="CK153" s="171"/>
      <c r="CL153" s="81"/>
      <c r="CM153" s="171"/>
      <c r="CN153" s="81"/>
      <c r="CO153" s="171"/>
      <c r="CP153" s="81"/>
      <c r="CQ153" s="171"/>
      <c r="CR153" s="81"/>
      <c r="CS153" s="171"/>
      <c r="CT153" s="81"/>
      <c r="CU153" s="171"/>
      <c r="CV153" s="81"/>
      <c r="CW153" s="171"/>
      <c r="CX153" s="81"/>
      <c r="CY153" s="171"/>
      <c r="CZ153" s="81"/>
      <c r="DA153" s="171"/>
      <c r="DB153" s="81"/>
      <c r="DC153" s="171"/>
      <c r="DD153" s="81"/>
      <c r="DE153" s="171"/>
      <c r="DF153" s="81"/>
      <c r="DG153" s="171"/>
      <c r="DH153" s="81"/>
      <c r="DI153" s="171"/>
      <c r="DJ153" s="81"/>
      <c r="DK153" s="171"/>
      <c r="DL153" s="81"/>
      <c r="DM153" s="171"/>
      <c r="DN153" s="81"/>
      <c r="DO153" s="171"/>
      <c r="DP153" s="81"/>
      <c r="DQ153" s="171"/>
      <c r="DR153" s="81"/>
      <c r="DS153" s="171"/>
      <c r="DT153" s="81"/>
      <c r="DU153" s="171"/>
      <c r="DV153" s="81"/>
      <c r="DW153" s="171"/>
      <c r="DX153" s="81"/>
      <c r="DY153" s="171"/>
      <c r="DZ153" s="81"/>
      <c r="EA153" s="171"/>
      <c r="EB153" s="81"/>
      <c r="EC153" s="171"/>
      <c r="ED153" s="81"/>
      <c r="EE153" s="171"/>
      <c r="EF153" s="81"/>
      <c r="EG153" s="171"/>
      <c r="EH153" s="81"/>
      <c r="EI153" s="171"/>
      <c r="EJ153" s="81"/>
      <c r="EK153" s="171"/>
      <c r="EL153" s="81"/>
      <c r="EM153" s="171"/>
      <c r="EN153" s="81"/>
      <c r="EO153" s="171"/>
      <c r="EP153" s="81"/>
      <c r="EQ153" s="171"/>
      <c r="ER153" s="81"/>
      <c r="ES153" s="82"/>
      <c r="ET153" s="469"/>
      <c r="EU153" s="82"/>
      <c r="EV153" s="171"/>
      <c r="EW153" s="79"/>
      <c r="EX153" s="171"/>
      <c r="EY153" s="79"/>
      <c r="EZ153" s="171"/>
      <c r="FA153" s="79"/>
      <c r="FB153" s="217"/>
      <c r="FC153" s="79"/>
      <c r="FD153" s="171"/>
      <c r="FE153" s="79"/>
      <c r="FF153" s="171"/>
      <c r="FG153" s="79"/>
      <c r="FH153" s="171"/>
      <c r="FI153" s="79"/>
      <c r="FJ153" s="171"/>
      <c r="FK153" s="79"/>
      <c r="FL153" s="171"/>
      <c r="FM153" s="79"/>
      <c r="FN153" s="171"/>
      <c r="FO153" s="79"/>
      <c r="FP153" s="171"/>
      <c r="FQ153" s="79"/>
      <c r="FR153" s="171"/>
      <c r="FS153" s="79"/>
      <c r="FT153" s="171"/>
      <c r="FU153" s="79"/>
      <c r="FV153" s="171"/>
      <c r="FW153" s="79"/>
      <c r="FX153" s="171"/>
      <c r="FY153" s="79"/>
      <c r="FZ153" s="171"/>
      <c r="GA153" s="79"/>
      <c r="GB153" s="171"/>
      <c r="GC153" s="79"/>
      <c r="GD153" s="171"/>
      <c r="GE153" s="79"/>
      <c r="GF153" s="171"/>
      <c r="GG153" s="79"/>
      <c r="GH153" s="171"/>
      <c r="GI153" s="79"/>
      <c r="GJ153" s="171"/>
      <c r="GK153" s="79"/>
      <c r="GL153" s="171"/>
      <c r="GM153" s="79"/>
      <c r="GN153" s="171"/>
      <c r="GO153" s="79"/>
      <c r="GP153" s="171"/>
      <c r="GQ153" s="79"/>
      <c r="GR153" s="171"/>
      <c r="GS153" s="79"/>
      <c r="GT153" s="79"/>
    </row>
    <row r="154" spans="1:286" ht="12.75" customHeight="1" x14ac:dyDescent="0.2">
      <c r="A154" s="1"/>
      <c r="B154" s="2" t="s">
        <v>92</v>
      </c>
      <c r="C154" s="171"/>
      <c r="D154" s="171"/>
      <c r="E154" s="171"/>
      <c r="F154" s="171"/>
      <c r="G154" s="171"/>
      <c r="H154" s="171"/>
      <c r="I154" s="171"/>
      <c r="J154" s="171"/>
      <c r="K154" s="171"/>
      <c r="L154" s="79"/>
      <c r="M154" s="171"/>
      <c r="N154" s="79"/>
      <c r="O154" s="171"/>
      <c r="P154" s="79"/>
      <c r="Q154" s="171"/>
      <c r="R154" s="79"/>
      <c r="S154" s="171"/>
      <c r="T154" s="79"/>
      <c r="U154" s="171"/>
      <c r="V154" s="79" t="str">
        <f>IF(ISERROR((U154/M154-1)*100),"NA",IF(((U154/M154-1)*100)&gt;100,"NM",IF(((U154/M154-1)*100)&lt;-50,"NM",(U154/M154-1)*100)))</f>
        <v>NA</v>
      </c>
      <c r="W154" s="171"/>
      <c r="X154" s="79" t="str">
        <f>IF(ISERROR((W154/O154-1)*100),"NA",IF(((W154/O154-1)*100)&gt;100,"NM",IF(((W154/O154-1)*100)&lt;-50,"NM",(W154/O154-1)*100)))</f>
        <v>NA</v>
      </c>
      <c r="Y154" s="171"/>
      <c r="Z154" s="79" t="str">
        <f>IF(ISERROR((Y154/Q154-1)*100),"NA",IF(((Y154/Q154-1)*100)&gt;100,"NM",IF(((Y154/Q154-1)*100)&lt;-50,"NM",(Y154/Q154-1)*100)))</f>
        <v>NA</v>
      </c>
      <c r="AA154" s="225"/>
      <c r="AB154" s="79" t="str">
        <f>IF(ISERROR((AA154/S154-1)*100),"NA",IF(((AA154/S154-1)*100)&gt;100,"NM",IF(((AA154/S154-1)*100)&lt;-50,"NM",(AA154/S154-1)*100)))</f>
        <v>NA</v>
      </c>
      <c r="AC154" s="171">
        <f>AC148/AC142*100</f>
        <v>83.333333333333343</v>
      </c>
      <c r="AD154" s="79" t="str">
        <f>IF(ISERROR((AC154/U154-1)*100),"NA",IF(((AC154/U154-1)*100)&gt;100,"NM",IF(((AC154/U154-1)*100)&lt;-50,"NM",(AC154/U154-1)*100)))</f>
        <v>NA</v>
      </c>
      <c r="AE154" s="171">
        <f>AE148/AE142*100</f>
        <v>83.46450901066568</v>
      </c>
      <c r="AF154" s="79" t="str">
        <f>IF(ISERROR((AE154/W154-1)*100),"NA",IF(((AE154/W154-1)*100)&gt;100,"NM",IF(((AE154/W154-1)*100)&lt;-50,"NM",(AE154/W154-1)*100)))</f>
        <v>NA</v>
      </c>
      <c r="AG154" s="171">
        <f>AG148/AG142*100</f>
        <v>83.87718777810737</v>
      </c>
      <c r="AH154" s="79" t="str">
        <f>IF(ISERROR((AG154/Y154-1)*100),"NA",IF(((AG154/Y154-1)*100)&gt;100,"NM",IF(((AG154/Y154-1)*100)&lt;-50,"NM",(AG154/Y154-1)*100)))</f>
        <v>NA</v>
      </c>
      <c r="AI154" s="171">
        <f>AI148/AI142*100</f>
        <v>89.802119617579478</v>
      </c>
      <c r="AJ154" s="79" t="str">
        <f>IF(ISERROR((AI154/AA154-1)*100),"NA",IF(((AI154/AA154-1)*100)&gt;100,"NM",IF(((AI154/AA154-1)*100)&lt;-50,"NM",(AI154/AA154-1)*100)))</f>
        <v>NA</v>
      </c>
      <c r="AK154" s="171">
        <f>AK148/AK142*100</f>
        <v>84.013137794072691</v>
      </c>
      <c r="AL154" s="79">
        <f>IF(ISERROR((AK154/AC154-1)*100),"NA",IF(((AK154/AC154-1)*100)&gt;100,"NM",IF(((AK154/AC154-1)*100)&lt;-50,"NM",(AK154/AC154-1)*100)))</f>
        <v>0.81576535288720997</v>
      </c>
      <c r="AM154" s="171">
        <f>AM148/AM142*100</f>
        <v>83.458589539208987</v>
      </c>
      <c r="AN154" s="79">
        <f>IF(ISERROR((AM154/AE154-1)*100),"NA",IF(((AM154/AE154-1)*100)&gt;100,"NM",IF(((AM154/AE154-1)*100)&lt;-50,"NM",(AM154/AE154-1)*100)))</f>
        <v>-7.092201855440905E-3</v>
      </c>
      <c r="AO154" s="171">
        <f>AO148/AO142*100</f>
        <v>83.857750289911095</v>
      </c>
      <c r="AP154" s="79">
        <f>IF(ISERROR((AO154/AG154-1)*100),"NA",IF(((AO154/AG154-1)*100)&gt;100,"NM",IF(((AO154/AG154-1)*100)&lt;-50,"NM",(AO154/AG154-1)*100)))</f>
        <v>-2.3173748084748258E-2</v>
      </c>
      <c r="AQ154" s="171">
        <f>AQ148/AQ142*100</f>
        <v>84.46906035141329</v>
      </c>
      <c r="AR154" s="79">
        <f>IF(ISERROR((AQ154/AI154-1)*100),"NA",IF(((AQ154/AI154-1)*100)&gt;100,"NM",IF(((AQ154/AI154-1)*100)&lt;-50,"NM",(AQ154/AI154-1)*100)))</f>
        <v>-5.9386786067822435</v>
      </c>
      <c r="AS154" s="171">
        <f>AS148/AS142*100</f>
        <v>84.238380119650273</v>
      </c>
      <c r="AT154" s="81">
        <f>IF(ISERROR((AS154/AK154-1)*100),"NA",IF(((AS154/AK154-1)*100)&gt;100,"NM",IF(((AS154/AK154-1)*100)&lt;-50,"NM",(AS154/AK154-1)*100)))</f>
        <v>0.26810369365048992</v>
      </c>
      <c r="AU154" s="171">
        <f>AU148/AU142*100</f>
        <v>84.942055504727051</v>
      </c>
      <c r="AV154" s="81">
        <f>IF(ISERROR((AU154/AM154-1)*100),"NA",IF(((AU154/AM154-1)*100)&gt;100,"NM",IF(((AU154/AM154-1)*100)&lt;-50,"NM",(AU154/AM154-1)*100)))</f>
        <v>1.7774874625950066</v>
      </c>
      <c r="AW154" s="171">
        <f>AW148/AW142*100</f>
        <v>83.528859690286239</v>
      </c>
      <c r="AX154" s="81">
        <f>IF(ISERROR((AW154/AO154-1)*100),"NA",IF(((AW154/AO154-1)*100)&gt;100,"NM",IF(((AW154/AO154-1)*100)&lt;-50,"NM",(AW154/AO154-1)*100)))</f>
        <v>-0.39220059981077693</v>
      </c>
      <c r="AY154" s="171">
        <f>AY148/AY142*100</f>
        <v>85.061443932411677</v>
      </c>
      <c r="AZ154" s="81">
        <f>IF(ISERROR((AY154/AQ154-1)*100),"NA",IF(((AY154/AQ154-1)*100)&gt;100,"NM",IF(((AY154/AQ154-1)*100)&lt;-50,"NM",(AY154/AQ154-1)*100)))</f>
        <v>0.7013024396553158</v>
      </c>
      <c r="BA154" s="171">
        <f>BA148/BA142*100</f>
        <v>84.022813077355607</v>
      </c>
      <c r="BB154" s="81">
        <f>IF(ISERROR((BA154/AS154-1)*100),"NA",IF(((BA154/AS154-1)*100)&gt;100,"NM",IF(((BA154/AS154-1)*100)&lt;-50,"NM",(BA154/AS154-1)*100)))</f>
        <v>-0.25590121983409819</v>
      </c>
      <c r="BC154" s="171">
        <f>BC148/BC142*100</f>
        <v>84.727818598404042</v>
      </c>
      <c r="BD154" s="81">
        <f>IF(ISERROR((BC154/AU154-1)*100),"NA",IF(((BC154/AU154-1)*100)&gt;100,"NM",IF(((BC154/AU154-1)*100)&lt;-50,"NM",(BC154/AU154-1)*100)))</f>
        <v>-0.25221535439660103</v>
      </c>
      <c r="BE154" s="171">
        <f>BE148/BE142*100</f>
        <v>83.071775671154299</v>
      </c>
      <c r="BF154" s="81">
        <f>IF(ISERROR((BE154/AW154-1)*100),"NA",IF(((BE154/AW154-1)*100)&gt;100,"NM",IF(((BE154/AW154-1)*100)&lt;-50,"NM",(BE154/AW154-1)*100)))</f>
        <v>-0.54721687908436678</v>
      </c>
      <c r="BG154" s="171">
        <f>BG148/BG142*100</f>
        <v>81.644099030526405</v>
      </c>
      <c r="BH154" s="81">
        <f>IF(ISERROR((BG154/AY154-1)*100),"NA",IF(((BG154/AY154-1)*100)&gt;100,"NM",IF(((BG154/AY154-1)*100)&lt;-50,"NM",(BG154/AY154-1)*100)))</f>
        <v>-4.0175016363472871</v>
      </c>
      <c r="BI154" s="171">
        <f>BI148/BI142*100</f>
        <v>80.453511053315992</v>
      </c>
      <c r="BJ154" s="81">
        <f>IF(ISERROR((BI154/BA154-1)*100),"NA",IF(((BI154/BA154-1)*100)&gt;100,"NM",IF(((BI154/BA154-1)*100)&lt;-50,"NM",(BI154/BA154-1)*100)))</f>
        <v>-4.2480153821481075</v>
      </c>
      <c r="BK154" s="171">
        <f>BK148/BK142*100</f>
        <v>80.744245729408931</v>
      </c>
      <c r="BL154" s="81">
        <f>IF(ISERROR((BK154/BC154-1)*100),"NA",IF(((BK154/BC154-1)*100)&gt;100,"NM",IF(((BK154/BC154-1)*100)&lt;-50,"NM",(BK154/BC154-1)*100)))</f>
        <v>-4.7016115071681348</v>
      </c>
      <c r="BM154" s="171">
        <f>BM148/BM142*100</f>
        <v>80.76022919861191</v>
      </c>
      <c r="BN154" s="81">
        <f>IF(ISERROR((BM154/BE154-1)*100),"NA",IF(((BM154/BE154-1)*100)&gt;100,"NM",IF(((BM154/BE154-1)*100)&lt;-50,"NM",(BM154/BE154-1)*100)))</f>
        <v>-2.7825894581726685</v>
      </c>
      <c r="BO154" s="171">
        <f>BO148/BO142*100</f>
        <v>80.298411679768961</v>
      </c>
      <c r="BP154" s="81">
        <f>IF(ISERROR((BO154/BG154-1)*100),"NA",IF(((BO154/BG154-1)*100)&gt;100,"NM",IF(((BO154/BG154-1)*100)&lt;-50,"NM",(BO154/BG154-1)*100)))</f>
        <v>-1.6482359003732738</v>
      </c>
      <c r="BQ154" s="171">
        <f>BQ148/BQ142*100</f>
        <v>79.311750795074616</v>
      </c>
      <c r="BR154" s="81">
        <f>IF(ISERROR((BQ154/BI154-1)*100),"NA",IF(((BQ154/BI154-1)*100)&gt;100,"NM",IF(((BQ154/BI154-1)*100)&lt;-50,"NM",(BQ154/BI154-1)*100)))</f>
        <v>-1.4191552901709148</v>
      </c>
      <c r="BS154" s="171">
        <f>BS148/BS142*100</f>
        <v>79.611015771839519</v>
      </c>
      <c r="BT154" s="81">
        <f>IF(ISERROR((BS154/BK154-1)*100),"NA",IF(((BS154/BK154-1)*100)&gt;100,"NM",IF(((BS154/BK154-1)*100)&lt;-50,"NM",(BS154/BK154-1)*100)))</f>
        <v>-1.4034807648920289</v>
      </c>
      <c r="BU154" s="171">
        <f>BU148/BU142*100</f>
        <v>79.328505595786709</v>
      </c>
      <c r="BV154" s="81">
        <f>IF(ISERROR((BU154/BM154-1)*100),"NA",IF(((BU154/BM154-1)*100)&gt;100,"NM",IF(((BU154/BM154-1)*100)&lt;-50,"NM",(BU154/BM154-1)*100)))</f>
        <v>-1.7728077508351259</v>
      </c>
      <c r="BW154" s="171">
        <f>BW148/BW142*100</f>
        <v>78.243232055633754</v>
      </c>
      <c r="BX154" s="81">
        <f>IF(ISERROR((BW154/BO154-1)*100),"NA",IF(((BW154/BO154-1)*100)&gt;100,"NM",IF(((BW154/BO154-1)*100)&lt;-50,"NM",(BW154/BO154-1)*100)))</f>
        <v>-2.5594274919549909</v>
      </c>
      <c r="BY154" s="171">
        <f>BY148/BY142*100</f>
        <v>72.959040209954068</v>
      </c>
      <c r="BZ154" s="81">
        <f>IF(ISERROR((BY154/BQ154-1)*100),"NA",IF(((BY154/BQ154-1)*100)&gt;100,"NM",IF(((BY154/BQ154-1)*100)&lt;-50,"NM",(BY154/BQ154-1)*100)))</f>
        <v>-8.0097974404002912</v>
      </c>
      <c r="CA154" s="171">
        <f>CA148/CA142*100</f>
        <v>73.739456419868787</v>
      </c>
      <c r="CB154" s="81">
        <f>IF(ISERROR((CA154/BS154-1)*100),"NA",IF(((CA154/BS154-1)*100)&gt;100,"NM",IF(((CA154/BS154-1)*100)&lt;-50,"NM",(CA154/BS154-1)*100)))</f>
        <v>-7.3753101816942941</v>
      </c>
      <c r="CC154" s="171">
        <f>CC148/CC142*100</f>
        <v>73.58650584244252</v>
      </c>
      <c r="CD154" s="81">
        <f>IF(ISERROR((CC154/BU154-1)*100),"NA",IF(((CC154/BU154-1)*100)&gt;100,"NM",IF(((CC154/BU154-1)*100)&lt;-50,"NM",(CC154/BU154-1)*100)))</f>
        <v>-7.2382552907301445</v>
      </c>
      <c r="CE154" s="171">
        <f>CE148/CE142*100</f>
        <v>73.40375365462603</v>
      </c>
      <c r="CF154" s="81">
        <f>IF(ISERROR((CE154/BW154-1)*100),"NA",IF(((CE154/BW154-1)*100)&gt;100,"NM",IF(((CE154/BW154-1)*100)&lt;-50,"NM",(CE154/BW154-1)*100)))</f>
        <v>-6.1851718977644961</v>
      </c>
      <c r="CG154" s="171">
        <f>CG148/CG142*100</f>
        <v>72.080838323353291</v>
      </c>
      <c r="CH154" s="81">
        <f>IF(ISERROR((CG154/BY154-1)*100),"NA",IF(((CG154/BY154-1)*100)&gt;100,"NM",IF(((CG154/BY154-1)*100)&lt;-50,"NM",(CG154/BY154-1)*100)))</f>
        <v>-1.2036916659999619</v>
      </c>
      <c r="CI154" s="171">
        <f>CI148/CI142*100</f>
        <v>72.265844083006172</v>
      </c>
      <c r="CJ154" s="81">
        <f>IF(ISERROR((CI154/CA154-1)*100),"NA",IF(((CI154/CA154-1)*100)&gt;100,"NM",IF(((CI154/CA154-1)*100)&lt;-50,"NM",(CI154/CA154-1)*100)))</f>
        <v>-1.9984041223086058</v>
      </c>
      <c r="CK154" s="171">
        <f>CK148/CK142*100</f>
        <v>72.812732688011906</v>
      </c>
      <c r="CL154" s="81">
        <f>IF(ISERROR((CK154/CC154-1)*100),"NA",IF(((CK154/CC154-1)*100)&gt;100,"NM",IF(((CK154/CC154-1)*100)&lt;-50,"NM",(CK154/CC154-1)*100)))</f>
        <v>-1.0515150102212378</v>
      </c>
      <c r="CM154" s="171">
        <f>CM148/CM142*100</f>
        <v>72.733148661126506</v>
      </c>
      <c r="CN154" s="81">
        <f>IF(ISERROR((CM154/CE154-1)*100),"NA",IF(((CM154/CE154-1)*100)&gt;100,"NM",IF(((CM154/CE154-1)*100)&lt;-50,"NM",(CM154/CE154-1)*100)))</f>
        <v>-0.91358406091166522</v>
      </c>
      <c r="CO154" s="171">
        <f>CO148/CO142*100</f>
        <v>72.500000000000014</v>
      </c>
      <c r="CP154" s="81">
        <f>IF(ISERROR((CO154/CG154-1)*100),"NA",IF(((CO154/CG154-1)*100)&gt;100,"NM",IF(((CO154/CG154-1)*100)&lt;-50,"NM",(CO154/CG154-1)*100)))</f>
        <v>0.58151609553480643</v>
      </c>
      <c r="CQ154" s="171">
        <f>CQ148/CQ142*100</f>
        <v>72.143497757847527</v>
      </c>
      <c r="CR154" s="81">
        <f>IF(ISERROR((CQ154/CI154-1)*100),"NA",IF(((CQ154/CI154-1)*100)&gt;100,"NM",IF(((CQ154/CI154-1)*100)&lt;-50,"NM",(CQ154/CI154-1)*100)))</f>
        <v>-0.16930034750319845</v>
      </c>
      <c r="CS154" s="171">
        <f>CS148/CS142*100</f>
        <v>73.00116916988938</v>
      </c>
      <c r="CT154" s="81">
        <f>IF(ISERROR((CS154/CK154-1)*100),"NA",IF(((CS154/CK154-1)*100)&gt;100,"NM",IF(((CS154/CK154-1)*100)&lt;-50,"NM",(CS154/CK154-1)*100)))</f>
        <v>0.25879605794345562</v>
      </c>
      <c r="CU154" s="171">
        <f>CU148/CU142*100</f>
        <v>73.040443808160347</v>
      </c>
      <c r="CV154" s="81">
        <f>IF(ISERROR((CU154/CM154-1)*100),"NA",IF(((CU154/CM154-1)*100)&gt;100,"NM",IF(((CU154/CM154-1)*100)&lt;-50,"NM",(CU154/CM154-1)*100)))</f>
        <v>0.42249669193556993</v>
      </c>
      <c r="CW154" s="171">
        <f>CW148/CW142*100</f>
        <v>70.887075546196371</v>
      </c>
      <c r="CX154" s="81">
        <f>IF(ISERROR((CW154/CO154-1)*100),"NA",IF(((CW154/CO154-1)*100)&gt;100,"NM",IF(((CW154/CO154-1)*100)&lt;-50,"NM",(CW154/CO154-1)*100)))</f>
        <v>-2.2247233845567482</v>
      </c>
      <c r="CY154" s="171">
        <f>CY148/CY142*100</f>
        <v>72.001767565178966</v>
      </c>
      <c r="CZ154" s="81">
        <f>IF(ISERROR((CY154/CQ154-1)*100),"NA",IF(((CY154/CQ154-1)*100)&gt;100,"NM",IF(((CY154/CQ154-1)*100)&lt;-50,"NM",(CY154/CQ154-1)*100)))</f>
        <v>-0.1964559483160655</v>
      </c>
      <c r="DA154" s="171">
        <f>DA148/DA142*100</f>
        <v>72.025609105459722</v>
      </c>
      <c r="DB154" s="81">
        <f>IF(ISERROR((DA154/CS154-1)*100),"NA",IF(((DA154/CS154-1)*100)&gt;100,"NM",IF(((DA154/CS154-1)*100)&lt;-50,"NM",(DA154/CS154-1)*100)))</f>
        <v>-1.3363622466913139</v>
      </c>
      <c r="DC154" s="171">
        <f>DC148/DC142*100</f>
        <v>70.436100954249525</v>
      </c>
      <c r="DD154" s="81">
        <f>IF(ISERROR((DC154/CU154-1)*100),"NA",IF(((DC154/CU154-1)*100)&gt;100,"NM",IF(((DC154/CU154-1)*100)&lt;-50,"NM",(DC154/CU154-1)*100)))</f>
        <v>-3.5656175101442256</v>
      </c>
      <c r="DE154" s="171">
        <f>DE148/DE142*100</f>
        <v>70.238611713665946</v>
      </c>
      <c r="DF154" s="81">
        <f>IF(ISERROR((DE154/CW154-1)*100),"NA",IF(((DE154/CW154-1)*100)&gt;100,"NM",IF(((DE154/CW154-1)*100)&lt;-50,"NM",(DE154/CW154-1)*100)))</f>
        <v>-0.91478429252992433</v>
      </c>
      <c r="DG154" s="171">
        <f>DG148/DG142*100</f>
        <v>70.380927701477063</v>
      </c>
      <c r="DH154" s="81">
        <f>IF(ISERROR((DG154/CY154-1)*100),"NA",IF(((DG154/CY154-1)*100)&gt;100,"NM",IF(((DG154/CY154-1)*100)&lt;-50,"NM",(DG154/CY154-1)*100)))</f>
        <v>-2.2511112136721523</v>
      </c>
      <c r="DI154" s="171">
        <f>DI148/DI142*100</f>
        <v>70.353487572030616</v>
      </c>
      <c r="DJ154" s="81">
        <f>IF(ISERROR((DI154/DA154-1)*100),"NA",IF(((DI154/DA154-1)*100)&gt;100,"NM",IF(((DI154/DA154-1)*100)&lt;-50,"NM",(DI154/DA154-1)*100)))</f>
        <v>-2.3215652796226838</v>
      </c>
      <c r="DK154" s="171">
        <f>DK148/DK142*100</f>
        <v>71.267273340074155</v>
      </c>
      <c r="DL154" s="81">
        <f>IF(ISERROR((DK154/DC154-1)*100),"NA",IF(((DK154/DC154-1)*100)&gt;100,"NM",IF(((DK154/DC154-1)*100)&lt;-50,"NM",(DK154/DC154-1)*100)))</f>
        <v>1.1800374730629892</v>
      </c>
      <c r="DM154" s="171">
        <f>DM148/DM142*100</f>
        <v>68.273451471305478</v>
      </c>
      <c r="DN154" s="81">
        <f>IF(ISERROR((DM154/DE154-1)*100),"NA",IF(((DM154/DE154-1)*100)&gt;100,"NM",IF(((DM154/DE154-1)*100)&lt;-50,"NM",(DM154/DE154-1)*100)))</f>
        <v>-2.7978346872395754</v>
      </c>
      <c r="DO154" s="171">
        <f>DO148/DO142*100</f>
        <v>71.158201229375607</v>
      </c>
      <c r="DP154" s="81">
        <f>IF(ISERROR((DO154/DG154-1)*100),"NA",IF(((DO154/DG154-1)*100)&gt;100,"NM",IF(((DO154/DG154-1)*100)&lt;-50,"NM",(DO154/DG154-1)*100)))</f>
        <v>1.1043809072755817</v>
      </c>
      <c r="DQ154" s="171">
        <f>DQ148/DQ142*100</f>
        <v>69.78579481397972</v>
      </c>
      <c r="DR154" s="81">
        <f>IF(ISERROR((DQ154/DI154-1)*100),"NA",IF(((DQ154/DI154-1)*100)&gt;100,"NM",IF(((DQ154/DI154-1)*100)&lt;-50,"NM",(DQ154/DI154-1)*100)))</f>
        <v>-0.80691487748872914</v>
      </c>
      <c r="DS154" s="171">
        <f>DS148/DS142*100</f>
        <v>71.140939597315452</v>
      </c>
      <c r="DT154" s="81">
        <f>IF(ISERROR((DS154/DK154-1)*100),"NA",IF(((DS154/DK154-1)*100)&gt;100,"NM",IF(((DS154/DK154-1)*100)&lt;-50,"NM",(DS154/DK154-1)*100)))</f>
        <v>-0.17726754067868278</v>
      </c>
      <c r="DU154" s="171">
        <f>DU148/DU142*100</f>
        <v>69.330669330669323</v>
      </c>
      <c r="DV154" s="81">
        <f>IF(ISERROR((DU154/DM154-1)*100),"NA",IF(((DU154/DM154-1)*100)&gt;100,"NM",IF(((DU154/DM154-1)*100)&lt;-50,"NM",(DU154/DM154-1)*100)))</f>
        <v>1.548505072734141</v>
      </c>
      <c r="DW154" s="171">
        <f>DW148/DW142*100</f>
        <v>69.1396028936432</v>
      </c>
      <c r="DX154" s="81">
        <f>IF(ISERROR((DW154/DO154-1)*100),"NA",IF(((DW154/DO154-1)*100)&gt;100,"NM",IF(((DW154/DO154-1)*100)&lt;-50,"NM",(DW154/DO154-1)*100)))</f>
        <v>-2.836775383382073</v>
      </c>
      <c r="DY154" s="171">
        <f>DY148/DY142*100</f>
        <v>69.361216730038024</v>
      </c>
      <c r="DZ154" s="81">
        <f>IF(ISERROR((DY154/DQ154-1)*100),"NA",IF(((DY154/DQ154-1)*100)&gt;100,"NM",IF(((DY154/DQ154-1)*100)&lt;-50,"NM",(DY154/DQ154-1)*100)))</f>
        <v>-0.60840187472743779</v>
      </c>
      <c r="EA154" s="171">
        <f>EA148/EA142*100</f>
        <v>68.789616661636003</v>
      </c>
      <c r="EB154" s="81">
        <f>IF(ISERROR((EA154/DS154-1)*100),"NA",IF(((EA154/DS154-1)*100)&gt;100,"NM",IF(((EA154/DS154-1)*100)&lt;-50,"NM",(EA154/DS154-1)*100)))</f>
        <v>-3.3051614850588495</v>
      </c>
      <c r="EC154" s="171">
        <f>EC148/EC142*100</f>
        <v>67.877094972067042</v>
      </c>
      <c r="ED154" s="81">
        <f t="shared" ref="ED154:ED156" si="514">IF(ISERROR((EC154/DU154-1)*100),"NA",IF(((EC154/DU154-1)*100)&gt;100,"NM",IF(((EC154/DU154-1)*100)&lt;-50,"NM",(EC154/DU154-1)*100)))</f>
        <v>-2.0965820359666876</v>
      </c>
      <c r="EE154" s="171">
        <f>EE148/EE142*100</f>
        <v>67.444943654710173</v>
      </c>
      <c r="EF154" s="81">
        <f t="shared" ref="EF154:EF156" si="515">IF(ISERROR((EE154/DW154-1)*100),"NA",IF(((EE154/DW154-1)*100)&gt;100,"NM",IF(((EE154/DW154-1)*100)&lt;-50,"NM",(EE154/DW154-1)*100)))</f>
        <v>-2.4510688057319374</v>
      </c>
      <c r="EG154" s="171">
        <f>EG148/EG142*100</f>
        <v>67.653758542141233</v>
      </c>
      <c r="EH154" s="81">
        <f t="shared" ref="EH154:EH156" si="516">IF(ISERROR((EG154/DY154-1)*100),"NA",IF(((EG154/DY154-1)*100)&gt;100,"NM",IF(((EG154/DY154-1)*100)&lt;-50,"NM",(EG154/DY154-1)*100)))</f>
        <v>-2.4616900746456283</v>
      </c>
      <c r="EI154" s="171">
        <f>EI148/EI142*100</f>
        <v>68.420666910956385</v>
      </c>
      <c r="EJ154" s="81">
        <f t="shared" ref="EJ154:EJ156" si="517">IF(ISERROR((EI154/EA154-1)*100),"NA",IF(((EI154/EA154-1)*100)&gt;100,"NM",IF(((EI154/EA154-1)*100)&lt;-50,"NM",(EI154/EA154-1)*100)))</f>
        <v>-0.53634511803491991</v>
      </c>
      <c r="EK154" s="171">
        <f t="shared" ref="EK154:EQ154" si="518">EK148/EK142*100</f>
        <v>67.381129715654225</v>
      </c>
      <c r="EL154" s="81">
        <f t="shared" ref="EL154:EL156" si="519">IF(ISERROR((EK154/EC154-1)*100),"NA",IF(((EK154/EC154-1)*100)&gt;100,"NM",IF(((EK154/EC154-1)*100)&lt;-50,"NM",(EK154/EC154-1)*100)))</f>
        <v>-0.73068132426250543</v>
      </c>
      <c r="EM154" s="171">
        <f t="shared" si="518"/>
        <v>67.299537932333735</v>
      </c>
      <c r="EN154" s="81">
        <f t="shared" ref="EN154:EN156" si="520">IF(ISERROR((EM154/EE154-1)*100),"NA",IF(((EM154/EE154-1)*100)&gt;100,"NM",IF(((EM154/EE154-1)*100)&lt;-50,"NM",(EM154/EE154-1)*100)))</f>
        <v>-0.21559173230368822</v>
      </c>
      <c r="EO154" s="171">
        <f t="shared" si="518"/>
        <v>67.214002991571249</v>
      </c>
      <c r="EP154" s="81">
        <f t="shared" ref="EP154:EP156" si="521">IF(ISERROR((EO154/EG154-1)*100),"NA",IF(((EO154/EG154-1)*100)&gt;100,"NM",IF(((EO154/EG154-1)*100)&lt;-50,"NM",(EO154/EG154-1)*100)))</f>
        <v>-0.6500090461286967</v>
      </c>
      <c r="EQ154" s="171">
        <f t="shared" si="518"/>
        <v>67.028195406260863</v>
      </c>
      <c r="ER154" s="81">
        <f t="shared" ref="ER154:ER156" si="522">IF(ISERROR((EQ154/EI154-1)*100),"NA",IF(((EQ154/EI154-1)*100)&gt;100,"NM",IF(((EQ154/EI154-1)*100)&lt;-50,"NM",(EQ154/EI154-1)*100)))</f>
        <v>-2.0351621338443038</v>
      </c>
      <c r="ES154" s="82"/>
      <c r="ET154" s="469"/>
      <c r="EU154" s="82"/>
      <c r="EV154" s="171"/>
      <c r="EW154" s="79"/>
      <c r="EX154" s="171"/>
      <c r="EY154" s="79"/>
      <c r="EZ154" s="171"/>
      <c r="FA154" s="79"/>
      <c r="FB154" s="217"/>
      <c r="FC154" s="79"/>
      <c r="FD154" s="171">
        <f>FD148/FD142*100</f>
        <v>79.725908201000635</v>
      </c>
      <c r="FE154" s="79" t="str">
        <f>IF(ISERROR((FD154/FB154-1)*100),"NA",IF(((FD154/FB154-1)*100)&gt;100,"NM",IF(((FD154/FB154-1)*100)&lt;-50,"NM",(FD154/FB154-1)*100)))</f>
        <v>NA</v>
      </c>
      <c r="FF154" s="171">
        <f>FF148/FF142*100</f>
        <v>101.02370689655173</v>
      </c>
      <c r="FG154" s="79">
        <f>IF(ISERROR((FF154/FD154-1)*100),"NA",IF(((FF154/FD154-1)*100)&gt;100,"NM",IF(((FF154/FD154-1)*100)&lt;-50,"NM",(FF154/FD154-1)*100)))</f>
        <v>26.713773698075972</v>
      </c>
      <c r="FH154" s="171">
        <f>FH148/FH142*100</f>
        <v>85.111406226944069</v>
      </c>
      <c r="FI154" s="79">
        <f>IF(ISERROR((FH154/FF154-1)*100),"NA",IF(((FH154/FF154-1)*100)&gt;100,"NM",IF(((FH154/FF154-1)*100)&lt;-50,"NM",(FH154/FF154-1)*100)))</f>
        <v>-15.751056022822297</v>
      </c>
      <c r="FJ154" s="171">
        <f>FJ148/FJ142*100</f>
        <v>83.949129852744306</v>
      </c>
      <c r="FK154" s="79">
        <f>IF(ISERROR((FJ154/FH154-1)*100),"NA",IF(((FJ154/FH154-1)*100)&gt;100,"NM",IF(((FJ154/FH154-1)*100)&lt;-50,"NM",(FJ154/FH154-1)*100)))</f>
        <v>-1.3655941379944192</v>
      </c>
      <c r="FL154" s="171">
        <f>FL148/FL142*100</f>
        <v>84.447652040030803</v>
      </c>
      <c r="FM154" s="79">
        <f>IF(ISERROR((FL154/FJ154-1)*100),"NA",IF(((FL154/FJ154-1)*100)&gt;100,"NM",IF(((FL154/FJ154-1)*100)&lt;-50,"NM",(FL154/FJ154-1)*100)))</f>
        <v>0.59383842114975049</v>
      </c>
      <c r="FN154" s="171">
        <f>FN148/FN142*100</f>
        <v>83.3705624252094</v>
      </c>
      <c r="FO154" s="79">
        <f>IF(ISERROR((FN154/FL154-1)*100),"NA",IF(((FN154/FL154-1)*100)&gt;100,"NM",IF(((FN154/FL154-1)*100)&lt;-50,"NM",(FN154/FL154-1)*100)))</f>
        <v>-1.2754524119993671</v>
      </c>
      <c r="FP154" s="171">
        <f>FP148/FP142*100</f>
        <v>80.564174894217217</v>
      </c>
      <c r="FQ154" s="79">
        <f>IF(ISERROR((FP154/FN154-1)*100),"NA",IF(((FP154/FN154-1)*100)&gt;100,"NM",IF(((FP154/FN154-1)*100)&lt;-50,"NM",(FP154/FN154-1)*100)))</f>
        <v>-3.3661612076921643</v>
      </c>
      <c r="FR154" s="171">
        <f>FR148/FR142*100</f>
        <v>74.609667165295463</v>
      </c>
      <c r="FS154" s="79">
        <f>IF(ISERROR((FR154/FP154-1)*100),"NA",IF(((FR154/FP154-1)*100)&gt;100,"NM",IF(((FR154/FP154-1)*100)&lt;-50,"NM",(FR154/FP154-1)*100)))</f>
        <v>-7.3910118694074267</v>
      </c>
      <c r="FT154" s="171">
        <f>FT148/FT142*100</f>
        <v>73.422004981905332</v>
      </c>
      <c r="FU154" s="79">
        <f>IF(ISERROR((FT154/FR154-1)*100),"NA",IF(((FT154/FR154-1)*100)&gt;100,"NM",IF(((FT154/FR154-1)*100)&lt;-50,"NM",(FT154/FR154-1)*100)))</f>
        <v>-1.5918341798240476</v>
      </c>
      <c r="FV154" s="171">
        <f>FV148/FV142*100</f>
        <v>72.474394785847295</v>
      </c>
      <c r="FW154" s="79">
        <f>IF(ISERROR((FV154/FT154-1)*100),"NA",IF(((FV154/FT154-1)*100)&gt;100,"NM",IF(((FV154/FT154-1)*100)&lt;-50,"NM",(FV154/FT154-1)*100)))</f>
        <v>-1.2906351390044035</v>
      </c>
      <c r="FX154" s="171">
        <f>FX148/FX142*100</f>
        <v>72.671378884775052</v>
      </c>
      <c r="FY154" s="79">
        <f>IF(ISERROR((FX154/FV154-1)*100),"NA",IF(((FX154/FV154-1)*100)&gt;100,"NM",IF(((FX154/FV154-1)*100)&lt;-50,"NM",(FX154/FV154-1)*100)))</f>
        <v>0.27179819784604042</v>
      </c>
      <c r="FZ154" s="171">
        <f>FZ148/FZ142*100</f>
        <v>71.337805229018613</v>
      </c>
      <c r="GA154" s="79">
        <f>IF(ISERROR((FZ154/FX154-1)*100),"NA",IF(((FZ154/FX154-1)*100)&gt;100,"NM",IF(((FZ154/FX154-1)*100)&lt;-50,"NM",(FZ154/FX154-1)*100)))</f>
        <v>-1.8350741051314068</v>
      </c>
      <c r="GB154" s="171">
        <f>GB148/GB142*100</f>
        <v>70.564628624160349</v>
      </c>
      <c r="GC154" s="79">
        <f>IF(ISERROR((GB154/FZ154-1)*100),"NA",IF(((GB154/FZ154-1)*100)&gt;100,"NM",IF(((GB154/FZ154-1)*100)&lt;-50,"NM",(GB154/FZ154-1)*100)))</f>
        <v>-1.0838244916227868</v>
      </c>
      <c r="GD154" s="171">
        <f>GD148/GD142*100</f>
        <v>70.094758064516128</v>
      </c>
      <c r="GE154" s="79">
        <f>IF(ISERROR((GD154/GB154-1)*100),"NA",IF(((GD154/GB154-1)*100)&gt;100,"NM",IF(((GD154/GB154-1)*100)&lt;-50,"NM",(GD154/GB154-1)*100)))</f>
        <v>-0.66587264583625183</v>
      </c>
      <c r="GF154" s="171">
        <f>GF148/GF142*100</f>
        <v>69.154152912667655</v>
      </c>
      <c r="GG154" s="79">
        <f>IF(ISERROR((GF154/GD154-1)*100),"NA",IF(((GF154/GD154-1)*100)&gt;100,"NM",IF(((GF154/GD154-1)*100)&lt;-50,"NM",(GF154/GD154-1)*100)))</f>
        <v>-1.3419051264614179</v>
      </c>
      <c r="GH154" s="171">
        <f>GH148/GH142*100</f>
        <v>67.849729034628453</v>
      </c>
      <c r="GI154" s="79">
        <f>IF(ISERROR((GH154/GF154-1)*100),"NA",IF(((GH154/GF154-1)*100)&gt;100,"NM",IF(((GH154/GF154-1)*100)&lt;-50,"NM",(GH154/GF154-1)*100)))</f>
        <v>-1.8862553051391062</v>
      </c>
      <c r="GJ154" s="171">
        <f>GJ148/GJ142*100</f>
        <v>67.230121332780215</v>
      </c>
      <c r="GK154" s="79">
        <f>IF(ISERROR((GJ154/GH154-1)*100),"NA",IF(((GJ154/GH154-1)*100)&gt;100,"NM",IF(((GJ154/GH154-1)*100)&lt;-50,"NM",(GJ154/GH154-1)*100)))</f>
        <v>-0.91320586045673391</v>
      </c>
      <c r="GL154" s="171">
        <f>GL148/GL142*100</f>
        <v>67.173219766694075</v>
      </c>
      <c r="GM154" s="79">
        <f>IF(ISERROR((GL154/GJ154-1)*100),"NA",IF(((GL154/GJ154-1)*100)&gt;100,"NM",IF(((GL154/GJ154-1)*100)&lt;-50,"NM",(GL154/GJ154-1)*100)))</f>
        <v>-8.463701233630827E-2</v>
      </c>
      <c r="GN154" s="171">
        <f>GN148/GN142*100</f>
        <v>67.120983024837628</v>
      </c>
      <c r="GO154" s="79">
        <f>IF(ISERROR((GN154/GL154-1)*100),"NA",IF(((GN154/GL154-1)*100)&gt;100,"NM",IF(((GN154/GL154-1)*100)&lt;-50,"NM",(GN154/GL154-1)*100)))</f>
        <v>-7.776423705440072E-2</v>
      </c>
      <c r="GP154" s="171">
        <f>GP148/GP142*100</f>
        <v>67.044485891476896</v>
      </c>
      <c r="GQ154" s="79">
        <f>IF(ISERROR((GP154/GN154-1)*100),"NA",IF(((GP154/GN154-1)*100)&gt;100,"NM",IF(((GP154/GN154-1)*100)&lt;-50,"NM",(GP154/GN154-1)*100)))</f>
        <v>-0.11396903012046433</v>
      </c>
      <c r="GR154" s="171">
        <f>GR148/GR142*100</f>
        <v>67.027330307330828</v>
      </c>
      <c r="GS154" s="79">
        <f>IF(ISERROR((GR154/GP154-1)*100),"NA",IF(((GR154/GP154-1)*100)&gt;100,"NM",IF(((GR154/GP154-1)*100)&lt;-50,"NM",(GR154/GP154-1)*100)))</f>
        <v>-2.5588359606243394E-2</v>
      </c>
      <c r="GT154" s="79">
        <f>IF(ISERROR(((GR154/GH154)^0.2-1)*100),"NA",(IF(OR(((GR154/GH154)^0.2-1)*100&gt;99,((GR154/GH154)^0.2-1)*100&lt;-50),"NM",(((GR154/GH154)^0.2-1)*100))))</f>
        <v>-0.24360163702369375</v>
      </c>
    </row>
    <row r="155" spans="1:286" ht="12.75" customHeight="1" x14ac:dyDescent="0.2">
      <c r="A155" s="1"/>
      <c r="B155" s="10" t="s">
        <v>45</v>
      </c>
      <c r="C155" s="171"/>
      <c r="D155" s="171"/>
      <c r="E155" s="171"/>
      <c r="F155" s="171"/>
      <c r="G155" s="171"/>
      <c r="H155" s="171"/>
      <c r="I155" s="171"/>
      <c r="J155" s="171"/>
      <c r="K155" s="171"/>
      <c r="L155" s="79"/>
      <c r="M155" s="171"/>
      <c r="N155" s="79"/>
      <c r="O155" s="171"/>
      <c r="P155" s="79"/>
      <c r="Q155" s="171"/>
      <c r="R155" s="79"/>
      <c r="S155" s="171"/>
      <c r="T155" s="79"/>
      <c r="U155" s="171"/>
      <c r="V155" s="79" t="str">
        <f>IF(ISERROR((U155/M155-1)*100),"NA",IF(((U155/M155-1)*100)&gt;100,"NM",IF(((U155/M155-1)*100)&lt;-50,"NM",(U155/M155-1)*100)))</f>
        <v>NA</v>
      </c>
      <c r="W155" s="171"/>
      <c r="X155" s="79" t="str">
        <f>IF(ISERROR((W155/O155-1)*100),"NA",IF(((W155/O155-1)*100)&gt;100,"NM",IF(((W155/O155-1)*100)&lt;-50,"NM",(W155/O155-1)*100)))</f>
        <v>NA</v>
      </c>
      <c r="Y155" s="171"/>
      <c r="Z155" s="79" t="str">
        <f>IF(ISERROR((Y155/Q155-1)*100),"NA",IF(((Y155/Q155-1)*100)&gt;100,"NM",IF(((Y155/Q155-1)*100)&lt;-50,"NM",(Y155/Q155-1)*100)))</f>
        <v>NA</v>
      </c>
      <c r="AA155" s="225"/>
      <c r="AB155" s="79" t="str">
        <f>IF(ISERROR((AA155/S155-1)*100),"NA",IF(((AA155/S155-1)*100)&gt;100,"NM",IF(((AA155/S155-1)*100)&lt;-50,"NM",(AA155/S155-1)*100)))</f>
        <v>NA</v>
      </c>
      <c r="AC155" s="171">
        <f>AC149/AC142*100</f>
        <v>10.429492817355616</v>
      </c>
      <c r="AD155" s="79" t="str">
        <f>IF(ISERROR((AC155/U155-1)*100),"NA",IF(((AC155/U155-1)*100)&gt;100,"NM",IF(((AC155/U155-1)*100)&lt;-50,"NM",(AC155/U155-1)*100)))</f>
        <v>NA</v>
      </c>
      <c r="AE155" s="171">
        <f>AE149/AE142*100</f>
        <v>10.011033468186833</v>
      </c>
      <c r="AF155" s="79" t="str">
        <f>IF(ISERROR((AE155/W155-1)*100),"NA",IF(((AE155/W155-1)*100)&gt;100,"NM",IF(((AE155/W155-1)*100)&lt;-50,"NM",(AE155/W155-1)*100)))</f>
        <v>NA</v>
      </c>
      <c r="AG155" s="171">
        <f>AG149/AG142*100</f>
        <v>9.7374666271136174</v>
      </c>
      <c r="AH155" s="79" t="str">
        <f>IF(ISERROR((AG155/Y155-1)*100),"NA",IF(((AG155/Y155-1)*100)&gt;100,"NM",IF(((AG155/Y155-1)*100)&lt;-50,"NM",(AG155/Y155-1)*100)))</f>
        <v>NA</v>
      </c>
      <c r="AI155" s="171">
        <f>AI149/AI142*100</f>
        <v>9.5308678574075447</v>
      </c>
      <c r="AJ155" s="79" t="str">
        <f>IF(ISERROR((AI155/AA155-1)*100),"NA",IF(((AI155/AA155-1)*100)&gt;100,"NM",IF(((AI155/AA155-1)*100)&lt;-50,"NM",(AI155/AA155-1)*100)))</f>
        <v>NA</v>
      </c>
      <c r="AK155" s="171">
        <f>AK149/AK142*100</f>
        <v>10.090131377940727</v>
      </c>
      <c r="AL155" s="79">
        <f>IF(ISERROR((AK155/AC155-1)*100),"NA",IF(((AK155/AC155-1)*100)&gt;100,"NM",IF(((AK155/AC155-1)*100)&lt;-50,"NM",(AK155/AC155-1)*100)))</f>
        <v>-3.2538633024432495</v>
      </c>
      <c r="AM155" s="171">
        <f>AM149/AM142*100</f>
        <v>10.513930008350414</v>
      </c>
      <c r="AN155" s="79">
        <f>IF(ISERROR((AM155/AE155-1)*100),"NA",IF(((AM155/AE155-1)*100)&gt;100,"NM",IF(((AM155/AE155-1)*100)&lt;-50,"NM",(AM155/AE155-1)*100)))</f>
        <v>5.0234228240439993</v>
      </c>
      <c r="AO155" s="171">
        <f>AO149/AO142*100</f>
        <v>8.906068805566294</v>
      </c>
      <c r="AP155" s="79">
        <f>IF(ISERROR((AO155/AG155-1)*100),"NA",IF(((AO155/AG155-1)*100)&gt;100,"NM",IF(((AO155/AG155-1)*100)&lt;-50,"NM",(AO155/AG155-1)*100)))</f>
        <v>-8.5381326928744112</v>
      </c>
      <c r="AQ155" s="171">
        <f>AQ149/AQ142*100</f>
        <v>8.8464476699770813</v>
      </c>
      <c r="AR155" s="79">
        <f>IF(ISERROR((AQ155/AI155-1)*100),"NA",IF(((AQ155/AI155-1)*100)&gt;100,"NM",IF(((AQ155/AI155-1)*100)&lt;-50,"NM",(AQ155/AI155-1)*100)))</f>
        <v>-7.1810898825810598</v>
      </c>
      <c r="AS155" s="171">
        <f>AS149/AS142*100</f>
        <v>10.308329498389321</v>
      </c>
      <c r="AT155" s="81">
        <f>IF(ISERROR((AS155/AK155-1)*100),"NA",IF(((AS155/AK155-1)*100)&gt;100,"NM",IF(((AS155/AK155-1)*100)&lt;-50,"NM",(AS155/AK155-1)*100)))</f>
        <v>2.1624903807062834</v>
      </c>
      <c r="AU155" s="171">
        <f>AU149/AU142*100</f>
        <v>9.4693504117108898</v>
      </c>
      <c r="AV155" s="81">
        <f>IF(ISERROR((AU155/AM155-1)*100),"NA",IF(((AU155/AM155-1)*100)&gt;100,"NM",IF(((AU155/AM155-1)*100)&lt;-50,"NM",(AU155/AM155-1)*100)))</f>
        <v>-9.9351964090486966</v>
      </c>
      <c r="AW155" s="171">
        <f>AW149/AW142*100</f>
        <v>9.4947598936336615</v>
      </c>
      <c r="AX155" s="81">
        <f>IF(ISERROR((AW155/AO155-1)*100),"NA",IF(((AW155/AO155-1)*100)&gt;100,"NM",IF(((AW155/AO155-1)*100)&lt;-50,"NM",(AW155/AO155-1)*100)))</f>
        <v>6.6099993265203105</v>
      </c>
      <c r="AY155" s="171">
        <f>AY149/AY142*100</f>
        <v>9.6159754224270344</v>
      </c>
      <c r="AZ155" s="81">
        <f>IF(ISERROR((AY155/AQ155-1)*100),"NA",IF(((AY155/AQ155-1)*100)&gt;100,"NM",IF(((AY155/AQ155-1)*100)&lt;-50,"NM",(AY155/AQ155-1)*100)))</f>
        <v>8.6987204486786531</v>
      </c>
      <c r="BA155" s="171">
        <f>BA149/BA142*100</f>
        <v>10.402441963209895</v>
      </c>
      <c r="BB155" s="81">
        <f>IF(ISERROR((BA155/AS155-1)*100),"NA",IF(((BA155/AS155-1)*100)&gt;100,"NM",IF(((BA155/AS155-1)*100)&lt;-50,"NM",(BA155/AS155-1)*100)))</f>
        <v>0.91297493774602501</v>
      </c>
      <c r="BC155" s="171">
        <f>BC149/BC142*100</f>
        <v>9.7653472386821516</v>
      </c>
      <c r="BD155" s="81">
        <f>IF(ISERROR((BC155/AU155-1)*100),"NA",IF(((BC155/AU155-1)*100)&gt;100,"NM",IF(((BC155/AU155-1)*100)&lt;-50,"NM",(BC155/AU155-1)*100)))</f>
        <v>3.1258408877254951</v>
      </c>
      <c r="BE155" s="171">
        <f>BE149/BE142*100</f>
        <v>9.9020154544730357</v>
      </c>
      <c r="BF155" s="81">
        <f>IF(ISERROR((BE155/AW155-1)*100),"NA",IF(((BE155/AW155-1)*100)&gt;100,"NM",IF(((BE155/AW155-1)*100)&lt;-50,"NM",(BE155/AW155-1)*100)))</f>
        <v>4.2892665575718691</v>
      </c>
      <c r="BG155" s="171">
        <f>BG149/BG142*100</f>
        <v>9.9431135325695053</v>
      </c>
      <c r="BH155" s="81">
        <f>IF(ISERROR((BG155/AY155-1)*100),"NA",IF(((BG155/AY155-1)*100)&gt;100,"NM",IF(((BG155/AY155-1)*100)&lt;-50,"NM",(BG155/AY155-1)*100)))</f>
        <v>3.402027311545508</v>
      </c>
      <c r="BI155" s="171">
        <f>BI149/BI142*100</f>
        <v>10.744473342002598</v>
      </c>
      <c r="BJ155" s="81">
        <f>IF(ISERROR((BI155/BA155-1)*100),"NA",IF(((BI155/BA155-1)*100)&gt;100,"NM",IF(((BI155/BA155-1)*100)&lt;-50,"NM",(BI155/BA155-1)*100)))</f>
        <v>3.2879912236218889</v>
      </c>
      <c r="BK155" s="171">
        <f>BK149/BK142*100</f>
        <v>10.449915791162082</v>
      </c>
      <c r="BL155" s="81">
        <f>IF(ISERROR((BK155/BC155-1)*100),"NA",IF(((BK155/BC155-1)*100)&gt;100,"NM",IF(((BK155/BC155-1)*100)&lt;-50,"NM",(BK155/BC155-1)*100)))</f>
        <v>7.0101813662932777</v>
      </c>
      <c r="BM155" s="171">
        <f>BM149/BM142*100</f>
        <v>10.378500524574291</v>
      </c>
      <c r="BN155" s="81">
        <f>IF(ISERROR((BM155/BE155-1)*100),"NA",IF(((BM155/BE155-1)*100)&gt;100,"NM",IF(((BM155/BE155-1)*100)&lt;-50,"NM",(BM155/BE155-1)*100)))</f>
        <v>4.8120008728729236</v>
      </c>
      <c r="BO155" s="171">
        <f>BO149/BO142*100</f>
        <v>10.227819669501041</v>
      </c>
      <c r="BP155" s="81">
        <f>IF(ISERROR((BO155/BG155-1)*100),"NA",IF(((BO155/BG155-1)*100)&gt;100,"NM",IF(((BO155/BG155-1)*100)&lt;-50,"NM",(BO155/BG155-1)*100)))</f>
        <v>2.8633499557151554</v>
      </c>
      <c r="BQ155" s="171">
        <f>BQ149/BQ142*100</f>
        <v>11.073962325695181</v>
      </c>
      <c r="BR155" s="81">
        <f>IF(ISERROR((BQ155/BI155-1)*100),"NA",IF(((BQ155/BI155-1)*100)&gt;100,"NM",IF(((BQ155/BI155-1)*100)&lt;-50,"NM",(BQ155/BI155-1)*100)))</f>
        <v>3.0665903595715083</v>
      </c>
      <c r="BS155" s="171">
        <f>BS149/BS142*100</f>
        <v>10.835989213042415</v>
      </c>
      <c r="BT155" s="81">
        <f>IF(ISERROR((BS155/BK155-1)*100),"NA",IF(((BS155/BK155-1)*100)&gt;100,"NM",IF(((BS155/BK155-1)*100)&lt;-50,"NM",(BS155/BK155-1)*100)))</f>
        <v>3.6945122773798023</v>
      </c>
      <c r="BU155" s="171">
        <f>BU149/BU142*100</f>
        <v>10.278143515470708</v>
      </c>
      <c r="BV155" s="81">
        <f>IF(ISERROR((BU155/BM155-1)*100),"NA",IF(((BU155/BM155-1)*100)&gt;100,"NM",IF(((BU155/BM155-1)*100)&lt;-50,"NM",(BU155/BM155-1)*100)))</f>
        <v>-0.96697021757581325</v>
      </c>
      <c r="BW155" s="171">
        <f>BW149/BW142*100</f>
        <v>10.207798658829374</v>
      </c>
      <c r="BX155" s="81">
        <f>IF(ISERROR((BW155/BO155-1)*100),"NA",IF(((BW155/BO155-1)*100)&gt;100,"NM",IF(((BW155/BO155-1)*100)&lt;-50,"NM",(BW155/BO155-1)*100)))</f>
        <v>-0.19575052473177479</v>
      </c>
      <c r="BY155" s="171">
        <f>BY149/BY142*100</f>
        <v>11.275658449714125</v>
      </c>
      <c r="BZ155" s="81">
        <f>IF(ISERROR((BY155/BQ155-1)*100),"NA",IF(((BY155/BQ155-1)*100)&gt;100,"NM",IF(((BY155/BQ155-1)*100)&lt;-50,"NM",(BY155/BQ155-1)*100)))</f>
        <v>1.8213546162329175</v>
      </c>
      <c r="CA155" s="171">
        <f>CA149/CA142*100</f>
        <v>10.7029053420806</v>
      </c>
      <c r="CB155" s="81">
        <f>IF(ISERROR((CA155/BS155-1)*100),"NA",IF(((CA155/BS155-1)*100)&gt;100,"NM",IF(((CA155/BS155-1)*100)&lt;-50,"NM",(CA155/BS155-1)*100)))</f>
        <v>-1.228165406455306</v>
      </c>
      <c r="CC155" s="171">
        <f>CC149/CC142*100</f>
        <v>10.676592536750849</v>
      </c>
      <c r="CD155" s="81">
        <f>IF(ISERROR((CC155/BU155-1)*100),"NA",IF(((CC155/BU155-1)*100)&gt;100,"NM",IF(((CC155/BU155-1)*100)&lt;-50,"NM",(CC155/BU155-1)*100)))</f>
        <v>3.8766633359457847</v>
      </c>
      <c r="CE155" s="171">
        <f>CE149/CE142*100</f>
        <v>10.638498538149578</v>
      </c>
      <c r="CF155" s="81">
        <f>IF(ISERROR((CE155/BW155-1)*100),"NA",IF(((CE155/BW155-1)*100)&gt;100,"NM",IF(((CE155/BW155-1)*100)&lt;-50,"NM",(CE155/BW155-1)*100)))</f>
        <v>4.2193218510208963</v>
      </c>
      <c r="CG155" s="171">
        <f>CG149/CG142*100</f>
        <v>11.508233532934133</v>
      </c>
      <c r="CH155" s="81">
        <f>IF(ISERROR((CG155/BY155-1)*100),"NA",IF(((CG155/BY155-1)*100)&gt;100,"NM",IF(((CG155/BY155-1)*100)&lt;-50,"NM",(CG155/BY155-1)*100)))</f>
        <v>2.0626297280750272</v>
      </c>
      <c r="CI155" s="171">
        <f>CI149/CI142*100</f>
        <v>11.048794167134043</v>
      </c>
      <c r="CJ155" s="81">
        <f>IF(ISERROR((CI155/CA155-1)*100),"NA",IF(((CI155/CA155-1)*100)&gt;100,"NM",IF(((CI155/CA155-1)*100)&lt;-50,"NM",(CI155/CA155-1)*100)))</f>
        <v>3.2317283391595675</v>
      </c>
      <c r="CK155" s="171">
        <f>CK149/CK142*100</f>
        <v>11.122486969471332</v>
      </c>
      <c r="CL155" s="81">
        <f>IF(ISERROR((CK155/CC155-1)*100),"NA",IF(((CK155/CC155-1)*100)&gt;100,"NM",IF(((CK155/CC155-1)*100)&lt;-50,"NM",(CK155/CC155-1)*100)))</f>
        <v>4.1763739806087941</v>
      </c>
      <c r="CM155" s="171">
        <f>CM149/CM142*100</f>
        <v>10.461680517082179</v>
      </c>
      <c r="CN155" s="81">
        <f>IF(ISERROR((CM155/CE155-1)*100),"NA",IF(((CM155/CE155-1)*100)&gt;100,"NM",IF(((CM155/CE155-1)*100)&lt;-50,"NM",(CM155/CE155-1)*100)))</f>
        <v>-1.6620580473206026</v>
      </c>
      <c r="CO155" s="171">
        <f>CO149/CO142*100</f>
        <v>11.62769784172662</v>
      </c>
      <c r="CP155" s="81">
        <f>IF(ISERROR((CO155/CG155-1)*100),"NA",IF(((CO155/CG155-1)*100)&gt;100,"NM",IF(((CO155/CG155-1)*100)&lt;-50,"NM",(CO155/CG155-1)*100)))</f>
        <v>1.0380768555886988</v>
      </c>
      <c r="CQ155" s="171">
        <f>CQ149/CQ142*100</f>
        <v>11.632286995515694</v>
      </c>
      <c r="CR155" s="81">
        <f>IF(ISERROR((CQ155/CI155-1)*100),"NA",IF(((CQ155/CI155-1)*100)&gt;100,"NM",IF(((CQ155/CI155-1)*100)&lt;-50,"NM",(CQ155/CI155-1)*100)))</f>
        <v>5.2810543807334298</v>
      </c>
      <c r="CS155" s="171">
        <f>CS149/CS142*100</f>
        <v>11.18805647989927</v>
      </c>
      <c r="CT155" s="81">
        <f>IF(ISERROR((CS155/CK155-1)*100),"NA",IF(((CS155/CK155-1)*100)&gt;100,"NM",IF(((CS155/CK155-1)*100)&lt;-50,"NM",(CS155/CK155-1)*100)))</f>
        <v>0.58952202513620211</v>
      </c>
      <c r="CU155" s="171">
        <f>CU149/CU142*100</f>
        <v>11.104151753758053</v>
      </c>
      <c r="CV155" s="81">
        <f>IF(ISERROR((CU155/CM155-1)*100),"NA",IF(((CU155/CM155-1)*100)&gt;100,"NM",IF(((CU155/CM155-1)*100)&lt;-50,"NM",(CU155/CM155-1)*100)))</f>
        <v>6.1411857839362094</v>
      </c>
      <c r="CW155" s="171">
        <f>CW149/CW142*100</f>
        <v>11.924190576467492</v>
      </c>
      <c r="CX155" s="81">
        <f>IF(ISERROR((CW155/CO155-1)*100),"NA",IF(((CW155/CO155-1)*100)&gt;100,"NM",IF(((CW155/CO155-1)*100)&lt;-50,"NM",(CW155/CO155-1)*100)))</f>
        <v>2.5498833799833642</v>
      </c>
      <c r="CY155" s="171">
        <f>CY149/CY142*100</f>
        <v>10.844012372956254</v>
      </c>
      <c r="CZ155" s="81">
        <f>IF(ISERROR((CY155/CQ155-1)*100),"NA",IF(((CY155/CQ155-1)*100)&gt;100,"NM",IF(((CY155/CQ155-1)*100)&lt;-50,"NM",(CY155/CQ155-1)*100)))</f>
        <v>-6.7766091299442994</v>
      </c>
      <c r="DA155" s="171">
        <f>DA149/DA142*100</f>
        <v>11.05281878001067</v>
      </c>
      <c r="DB155" s="81">
        <f>IF(ISERROR((DA155/CS155-1)*100),"NA",IF(((DA155/CS155-1)*100)&gt;100,"NM",IF(((DA155/CS155-1)*100)&lt;-50,"NM",(DA155/CS155-1)*100)))</f>
        <v>-1.2087684767374207</v>
      </c>
      <c r="DC155" s="171">
        <f>DC149/DC142*100</f>
        <v>10.906982966199946</v>
      </c>
      <c r="DD155" s="81">
        <f>IF(ISERROR((DC155/CU155-1)*100),"NA",IF(((DC155/CU155-1)*100)&gt;100,"NM",IF(((DC155/CU155-1)*100)&lt;-50,"NM",(DC155/CU155-1)*100)))</f>
        <v>-1.7756312407328001</v>
      </c>
      <c r="DE155" s="171">
        <f>DE149/DE142*100</f>
        <v>11.843817787418654</v>
      </c>
      <c r="DF155" s="81">
        <f>IF(ISERROR((DE155/CW155-1)*100),"NA",IF(((DE155/CW155-1)*100)&gt;100,"NM",IF(((DE155/CW155-1)*100)&lt;-50,"NM",(DE155/CW155-1)*100)))</f>
        <v>-0.67403140308285314</v>
      </c>
      <c r="DG155" s="171">
        <f>DG149/DG142*100</f>
        <v>11.20324781895137</v>
      </c>
      <c r="DH155" s="81">
        <f>IF(ISERROR((DG155/CY155-1)*100),"NA",IF(((DG155/CY155-1)*100)&gt;100,"NM",IF(((DG155/CY155-1)*100)&lt;-50,"NM",(DG155/CY155-1)*100)))</f>
        <v>3.3127539294496744</v>
      </c>
      <c r="DI155" s="171">
        <f>DI149/DI142*100</f>
        <v>11.206674120581409</v>
      </c>
      <c r="DJ155" s="81">
        <f>IF(ISERROR((DI155/DA155-1)*100),"NA",IF(((DI155/DA155-1)*100)&gt;100,"NM",IF(((DI155/DA155-1)*100)&lt;-50,"NM",(DI155/DA155-1)*100)))</f>
        <v>1.3920009332731631</v>
      </c>
      <c r="DK155" s="171">
        <f>DK149/DK142*100</f>
        <v>11.139197842938996</v>
      </c>
      <c r="DL155" s="81">
        <f>IF(ISERROR((DK155/DC155-1)*100),"NA",IF(((DK155/DC155-1)*100)&gt;100,"NM",IF(((DK155/DC155-1)*100)&lt;-50,"NM",(DK155/DC155-1)*100)))</f>
        <v>2.1290477619582804</v>
      </c>
      <c r="DM155" s="171">
        <f>DM149/DM142*100</f>
        <v>11.859860185335716</v>
      </c>
      <c r="DN155" s="81">
        <f>IF(ISERROR((DM155/DE155-1)*100),"NA",IF(((DM155/DE155-1)*100)&gt;100,"NM",IF(((DM155/DE155-1)*100)&lt;-50,"NM",(DM155/DE155-1)*100)))</f>
        <v>0.13544955017885663</v>
      </c>
      <c r="DO155" s="171">
        <f>DO149/DO142*100</f>
        <v>11.201876415399546</v>
      </c>
      <c r="DP155" s="81">
        <f>IF(ISERROR((DO155/DG155-1)*100),"NA",IF(((DO155/DG155-1)*100)&gt;100,"NM",IF(((DO155/DG155-1)*100)&lt;-50,"NM",(DO155/DG155-1)*100)))</f>
        <v>-1.2241124841527729E-2</v>
      </c>
      <c r="DQ155" s="171">
        <f>DQ149/DQ142*100</f>
        <v>11.064583668867774</v>
      </c>
      <c r="DR155" s="81">
        <f>IF(ISERROR((DQ155/DI155-1)*100),"NA",IF(((DQ155/DI155-1)*100)&gt;100,"NM",IF(((DQ155/DI155-1)*100)&lt;-50,"NM",(DQ155/DI155-1)*100)))</f>
        <v>-1.2679091957593536</v>
      </c>
      <c r="DS155" s="171">
        <f>DS149/DS142*100</f>
        <v>11.217641418983701</v>
      </c>
      <c r="DT155" s="81">
        <f>IF(ISERROR((DS155/DK155-1)*100),"NA",IF(((DS155/DK155-1)*100)&gt;100,"NM",IF(((DS155/DK155-1)*100)&lt;-50,"NM",(DS155/DK155-1)*100)))</f>
        <v>0.70421207299438127</v>
      </c>
      <c r="DU155" s="171">
        <f>DU149/DU142*100</f>
        <v>11.450088373165295</v>
      </c>
      <c r="DV155" s="81">
        <f>IF(ISERROR((DU155/DM155-1)*100),"NA",IF(((DU155/DM155-1)*100)&gt;100,"NM",IF(((DU155/DM155-1)*100)&lt;-50,"NM",(DU155/DM155-1)*100)))</f>
        <v>-3.4551150331189273</v>
      </c>
      <c r="DW155" s="171">
        <f>DW149/DW142*100</f>
        <v>11.189779898414653</v>
      </c>
      <c r="DX155" s="81">
        <f>IF(ISERROR((DW155/DO155-1)*100),"NA",IF(((DW155/DO155-1)*100)&gt;100,"NM",IF(((DW155/DO155-1)*100)&lt;-50,"NM",(DW155/DO155-1)*100)))</f>
        <v>-0.10798652418860799</v>
      </c>
      <c r="DY155" s="171">
        <f>DY149/DY142*100</f>
        <v>11.057034220532321</v>
      </c>
      <c r="DZ155" s="81">
        <f>IF(ISERROR((DY155/DQ155-1)*100),"NA",IF(((DY155/DQ155-1)*100)&gt;100,"NM",IF(((DY155/DQ155-1)*100)&lt;-50,"NM",(DY155/DQ155-1)*100)))</f>
        <v>-6.823074922099881E-2</v>
      </c>
      <c r="EA155" s="171">
        <f>EA149/EA142*100</f>
        <v>10.609719287654697</v>
      </c>
      <c r="EB155" s="81">
        <f>IF(ISERROR((EA155/DS155-1)*100),"NA",IF(((EA155/DS155-1)*100)&gt;100,"NM",IF(((EA155/DS155-1)*100)&lt;-50,"NM",(EA155/DS155-1)*100)))</f>
        <v>-5.419340025437192</v>
      </c>
      <c r="EC155" s="171">
        <f>EC149/EC142*100</f>
        <v>11.261393707733019</v>
      </c>
      <c r="ED155" s="81">
        <f t="shared" si="514"/>
        <v>-1.6479756250135646</v>
      </c>
      <c r="EE155" s="171">
        <f>EE149/EE142*100</f>
        <v>10.657729984532665</v>
      </c>
      <c r="EF155" s="81">
        <f t="shared" si="515"/>
        <v>-4.7547844435918529</v>
      </c>
      <c r="EG155" s="171">
        <f>EG149/EG142*100</f>
        <v>10.588581086045998</v>
      </c>
      <c r="EH155" s="81">
        <f t="shared" si="516"/>
        <v>-4.2366978806706594</v>
      </c>
      <c r="EI155" s="171">
        <f>EI149/EI142*100</f>
        <v>10.905093440820815</v>
      </c>
      <c r="EJ155" s="81">
        <f t="shared" si="517"/>
        <v>2.7839959301261707</v>
      </c>
      <c r="EK155" s="171">
        <f t="shared" ref="EK155:EQ155" si="523">EK149/EK142*100</f>
        <v>10.610485600198064</v>
      </c>
      <c r="EL155" s="81">
        <f t="shared" si="519"/>
        <v>-5.7799960149513829</v>
      </c>
      <c r="EM155" s="171">
        <f t="shared" si="523"/>
        <v>10.664994417008772</v>
      </c>
      <c r="EN155" s="81">
        <f t="shared" si="520"/>
        <v>6.8161160834900869E-2</v>
      </c>
      <c r="EO155" s="171">
        <f t="shared" si="523"/>
        <v>10.724742296546941</v>
      </c>
      <c r="EP155" s="81">
        <f t="shared" si="521"/>
        <v>1.285924992163312</v>
      </c>
      <c r="EQ155" s="171">
        <f t="shared" si="523"/>
        <v>10.793285223750944</v>
      </c>
      <c r="ER155" s="81">
        <f t="shared" si="522"/>
        <v>-1.0252843561279534</v>
      </c>
      <c r="ES155" s="82"/>
      <c r="ET155" s="469"/>
      <c r="EU155" s="82"/>
      <c r="EV155" s="171"/>
      <c r="EW155" s="79"/>
      <c r="EX155" s="171"/>
      <c r="EY155" s="79"/>
      <c r="EZ155" s="171"/>
      <c r="FA155" s="79"/>
      <c r="FB155" s="217"/>
      <c r="FC155" s="79"/>
      <c r="FD155" s="171">
        <f>FD149/FD142*100</f>
        <v>10.582000118654458</v>
      </c>
      <c r="FE155" s="79" t="str">
        <f>IF(ISERROR((FD155/FB155-1)*100),"NA",IF(((FD155/FB155-1)*100)&gt;100,"NM",IF(((FD155/FB155-1)*100)&lt;-50,"NM",(FD155/FB155-1)*100)))</f>
        <v>NA</v>
      </c>
      <c r="FF155" s="171">
        <f>FF149/FF142*100</f>
        <v>10.196195005945304</v>
      </c>
      <c r="FG155" s="79">
        <f>IF(ISERROR((FF155/FD155-1)*100),"NA",IF(((FF155/FD155-1)*100)&gt;100,"NM",IF(((FF155/FD155-1)*100)&lt;-50,"NM",(FF155/FD155-1)*100)))</f>
        <v>-3.6458619200829268</v>
      </c>
      <c r="FH155" s="171">
        <f>FH149/FH142*100</f>
        <v>9.9288033052973272</v>
      </c>
      <c r="FI155" s="79">
        <f>IF(ISERROR((FH155/FF155-1)*100),"NA",IF(((FH155/FF155-1)*100)&gt;100,"NM",IF(((FH155/FF155-1)*100)&lt;-50,"NM",(FH155/FF155-1)*100)))</f>
        <v>-2.6224655422151466</v>
      </c>
      <c r="FJ155" s="171">
        <f>FJ149/FJ142*100</f>
        <v>9.5926563396442912</v>
      </c>
      <c r="FK155" s="79">
        <f>IF(ISERROR((FJ155/FH155-1)*100),"NA",IF(((FJ155/FH155-1)*100)&gt;100,"NM",IF(((FJ155/FH155-1)*100)&lt;-50,"NM",(FJ155/FH155-1)*100)))</f>
        <v>-3.3855738231181487</v>
      </c>
      <c r="FL155" s="171">
        <f>FL149/FL142*100</f>
        <v>9.7228637413394914</v>
      </c>
      <c r="FM155" s="79">
        <f>IF(ISERROR((FL155/FJ155-1)*100),"NA",IF(((FL155/FJ155-1)*100)&gt;100,"NM",IF(((FL155/FJ155-1)*100)&lt;-50,"NM",(FL155/FJ155-1)*100)))</f>
        <v>1.3573654375283128</v>
      </c>
      <c r="FN155" s="171">
        <f>FN149/FN142*100</f>
        <v>10.001994415636219</v>
      </c>
      <c r="FO155" s="79">
        <f>IF(ISERROR((FN155/FL155-1)*100),"NA",IF(((FN155/FL155-1)*100)&gt;100,"NM",IF(((FN155/FL155-1)*100)&lt;-50,"NM",(FN155/FL155-1)*100)))</f>
        <v>2.8708689304152601</v>
      </c>
      <c r="FP155" s="171">
        <f>FP149/FP142*100</f>
        <v>10.449325005037274</v>
      </c>
      <c r="FQ155" s="79">
        <f>IF(ISERROR((FP155/FN155-1)*100),"NA",IF(((FP155/FN155-1)*100)&gt;100,"NM",IF(((FP155/FN155-1)*100)&lt;-50,"NM",(FP155/FN155-1)*100)))</f>
        <v>4.4724139087874093</v>
      </c>
      <c r="FR155" s="171">
        <f>FR149/FR142*100</f>
        <v>10.478216155572175</v>
      </c>
      <c r="FS155" s="79">
        <f>IF(ISERROR((FR155/FP155-1)*100),"NA",IF(((FR155/FP155-1)*100)&gt;100,"NM",IF(((FR155/FP155-1)*100)&lt;-50,"NM",(FR155/FP155-1)*100)))</f>
        <v>0.27648819919923184</v>
      </c>
      <c r="FT155" s="171">
        <f>FT149/FT142*100</f>
        <v>10.823894346007425</v>
      </c>
      <c r="FU155" s="79">
        <f>IF(ISERROR((FT155/FR155-1)*100),"NA",IF(((FT155/FR155-1)*100)&gt;100,"NM",IF(((FT155/FR155-1)*100)&lt;-50,"NM",(FT155/FR155-1)*100)))</f>
        <v>3.2990175551152578</v>
      </c>
      <c r="FV155" s="171">
        <f>FV149/FV142*100</f>
        <v>11.033519553072626</v>
      </c>
      <c r="FW155" s="79">
        <f>IF(ISERROR((FV155/FT155-1)*100),"NA",IF(((FV155/FT155-1)*100)&gt;100,"NM",IF(((FV155/FT155-1)*100)&lt;-50,"NM",(FV155/FT155-1)*100)))</f>
        <v>1.9366893316223655</v>
      </c>
      <c r="FX155" s="171">
        <f>FX149/FX142*100</f>
        <v>11.387860428587457</v>
      </c>
      <c r="FY155" s="79">
        <f>IF(ISERROR((FX155/FV155-1)*100),"NA",IF(((FX155/FV155-1)*100)&gt;100,"NM",IF(((FX155/FV155-1)*100)&lt;-50,"NM",(FX155/FV155-1)*100)))</f>
        <v>3.2114945173242981</v>
      </c>
      <c r="FZ155" s="171">
        <f>FZ149/FZ142*100</f>
        <v>11.184166832702395</v>
      </c>
      <c r="GA155" s="79">
        <f>IF(ISERROR((FZ155/FX155-1)*100),"NA",IF(((FZ155/FX155-1)*100)&gt;100,"NM",IF(((FZ155/FX155-1)*100)&lt;-50,"NM",(FZ155/FX155-1)*100)))</f>
        <v>-1.788690660220249</v>
      </c>
      <c r="GB155" s="171">
        <f>GB149/GB142*100</f>
        <v>11.346224005837287</v>
      </c>
      <c r="GC155" s="79">
        <f>IF(ISERROR((GB155/FZ155-1)*100),"NA",IF(((GB155/FZ155-1)*100)&gt;100,"NM",IF(((GB155/FZ155-1)*100)&lt;-50,"NM",(GB155/FZ155-1)*100)))</f>
        <v>1.4489874441164341</v>
      </c>
      <c r="GD155" s="171">
        <f>GD149/GD142*100</f>
        <v>11.334677419354836</v>
      </c>
      <c r="GE155" s="79">
        <f>IF(ISERROR((GD155/GB155-1)*100),"NA",IF(((GD155/GB155-1)*100)&gt;100,"NM",IF(((GD155/GB155-1)*100)&lt;-50,"NM",(GD155/GB155-1)*100)))</f>
        <v>-0.10176589565401573</v>
      </c>
      <c r="GF155" s="171">
        <f>GF149/GF142*100</f>
        <v>11.074433780457554</v>
      </c>
      <c r="GG155" s="79">
        <f>IF(ISERROR((GF155/GD155-1)*100),"NA",IF(((GF155/GD155-1)*100)&gt;100,"NM",IF(((GF155/GD155-1)*100)&lt;-50,"NM",(GF155/GD155-1)*100)))</f>
        <v>-2.2959951066000017</v>
      </c>
      <c r="GH155" s="171">
        <f>GH149/GH142*100</f>
        <v>10.853311288692936</v>
      </c>
      <c r="GI155" s="79">
        <f>IF(ISERROR((GH155/GF155-1)*100),"NA",IF(((GH155/GF155-1)*100)&gt;100,"NM",IF(((GH155/GF155-1)*100)&lt;-50,"NM",(GH155/GF155-1)*100)))</f>
        <v>-1.9966934305464923</v>
      </c>
      <c r="GJ155" s="171">
        <f>GJ149/GJ142*100</f>
        <v>10.698711332148763</v>
      </c>
      <c r="GK155" s="79">
        <f>IF(ISERROR((GJ155/GH155-1)*100),"NA",IF(((GJ155/GH155-1)*100)&gt;100,"NM",IF(((GJ155/GH155-1)*100)&lt;-50,"NM",(GJ155/GH155-1)*100)))</f>
        <v>-1.4244496673124663</v>
      </c>
      <c r="GL155" s="171">
        <f>GL149/GL142*100</f>
        <v>10.689186128528197</v>
      </c>
      <c r="GM155" s="79">
        <f>IF(ISERROR((GL155/GJ155-1)*100),"NA",IF(((GL155/GJ155-1)*100)&gt;100,"NM",IF(((GL155/GJ155-1)*100)&lt;-50,"NM",(GL155/GJ155-1)*100)))</f>
        <v>-8.903131718249746E-2</v>
      </c>
      <c r="GN155" s="171">
        <f>GN149/GN142*100</f>
        <v>10.674208775341191</v>
      </c>
      <c r="GO155" s="79">
        <f>IF(ISERROR((GN155/GL155-1)*100),"NA",IF(((GN155/GL155-1)*100)&gt;100,"NM",IF(((GN155/GL155-1)*100)&lt;-50,"NM",(GN155/GL155-1)*100)))</f>
        <v>-0.14011687145230045</v>
      </c>
      <c r="GP155" s="171">
        <f>GP149/GP142*100</f>
        <v>10.654682070730329</v>
      </c>
      <c r="GQ155" s="79">
        <f>IF(ISERROR((GP155/GN155-1)*100),"NA",IF(((GP155/GN155-1)*100)&gt;100,"NM",IF(((GP155/GN155-1)*100)&lt;-50,"NM",(GP155/GN155-1)*100)))</f>
        <v>-0.1829335084392425</v>
      </c>
      <c r="GR155" s="171">
        <f>GR149/GR142*100</f>
        <v>10.631373778281816</v>
      </c>
      <c r="GS155" s="79">
        <f>IF(ISERROR((GR155/GP155-1)*100),"NA",IF(((GR155/GP155-1)*100)&gt;100,"NM",IF(((GR155/GP155-1)*100)&lt;-50,"NM",(GR155/GP155-1)*100)))</f>
        <v>-0.21876103194616858</v>
      </c>
      <c r="GT155" s="79">
        <f>IF(ISERROR(((GR155/GH155)^0.2-1)*100),"NA",(IF(OR(((GR155/GH155)^0.2-1)*100&gt;99,((GR155/GH155)^0.2-1)*100&lt;-50),"NM",(((GR155/GH155)^0.2-1)*100))))</f>
        <v>-0.41236346444596395</v>
      </c>
    </row>
    <row r="156" spans="1:286" ht="12.75" customHeight="1" x14ac:dyDescent="0.2">
      <c r="A156" s="1"/>
      <c r="B156" s="2" t="s">
        <v>44</v>
      </c>
      <c r="C156" s="171"/>
      <c r="D156" s="171"/>
      <c r="E156" s="171"/>
      <c r="F156" s="171"/>
      <c r="G156" s="171"/>
      <c r="H156" s="171"/>
      <c r="I156" s="171"/>
      <c r="J156" s="171"/>
      <c r="K156" s="171"/>
      <c r="L156" s="79"/>
      <c r="M156" s="171"/>
      <c r="N156" s="79"/>
      <c r="O156" s="171"/>
      <c r="P156" s="79"/>
      <c r="Q156" s="171"/>
      <c r="R156" s="79"/>
      <c r="S156" s="171"/>
      <c r="T156" s="79"/>
      <c r="U156" s="171"/>
      <c r="V156" s="79" t="str">
        <f>IF(ISERROR((U156/M156-1)*100),"NA",IF(((U156/M156-1)*100)&gt;100,"NM",IF(((U156/M156-1)*100)&lt;-50,"NM",(U156/M156-1)*100)))</f>
        <v>NA</v>
      </c>
      <c r="W156" s="171"/>
      <c r="X156" s="79" t="str">
        <f>IF(ISERROR((W156/O156-1)*100),"NA",IF(((W156/O156-1)*100)&gt;100,"NM",IF(((W156/O156-1)*100)&lt;-50,"NM",(W156/O156-1)*100)))</f>
        <v>NA</v>
      </c>
      <c r="Y156" s="171"/>
      <c r="Z156" s="79" t="str">
        <f>IF(ISERROR((Y156/Q156-1)*100),"NA",IF(((Y156/Q156-1)*100)&gt;100,"NM",IF(((Y156/Q156-1)*100)&lt;-50,"NM",(Y156/Q156-1)*100)))</f>
        <v>NA</v>
      </c>
      <c r="AA156" s="225"/>
      <c r="AB156" s="79" t="str">
        <f>IF(ISERROR((AA156/S156-1)*100),"NA",IF(((AA156/S156-1)*100)&gt;100,"NM",IF(((AA156/S156-1)*100)&lt;-50,"NM",(AA156/S156-1)*100)))</f>
        <v>NA</v>
      </c>
      <c r="AC156" s="171">
        <f>AC151/AC142*100</f>
        <v>19.700967458223399</v>
      </c>
      <c r="AD156" s="79" t="str">
        <f>IF(ISERROR((AC156/U156-1)*100),"NA",IF(((AC156/U156-1)*100)&gt;100,"NM",IF(((AC156/U156-1)*100)&lt;-50,"NM",(AC156/U156-1)*100)))</f>
        <v>NA</v>
      </c>
      <c r="AE156" s="171">
        <f>AE151/AE142*100</f>
        <v>18.587716072085328</v>
      </c>
      <c r="AF156" s="79" t="str">
        <f>IF(ISERROR((AE156/W156-1)*100),"NA",IF(((AE156/W156-1)*100)&gt;100,"NM",IF(((AE156/W156-1)*100)&lt;-50,"NM",(AE156/W156-1)*100)))</f>
        <v>NA</v>
      </c>
      <c r="AG156" s="171">
        <f>AG151/AG142*100</f>
        <v>18.243844556511419</v>
      </c>
      <c r="AH156" s="79" t="str">
        <f>IF(ISERROR((AG156/Y156-1)*100),"NA",IF(((AG156/Y156-1)*100)&gt;100,"NM",IF(((AG156/Y156-1)*100)&lt;-50,"NM",(AG156/Y156-1)*100)))</f>
        <v>NA</v>
      </c>
      <c r="AI156" s="171">
        <f>AI151/AI142*100</f>
        <v>20.840435781516341</v>
      </c>
      <c r="AJ156" s="79" t="str">
        <f>IF(ISERROR((AI156/AA156-1)*100),"NA",IF(((AI156/AA156-1)*100)&gt;100,"NM",IF(((AI156/AA156-1)*100)&lt;-50,"NM",(AI156/AA156-1)*100)))</f>
        <v>NA</v>
      </c>
      <c r="AK156" s="171">
        <f>AK151/AK142*100</f>
        <v>19.492820042774209</v>
      </c>
      <c r="AL156" s="79">
        <f>IF(ISERROR((AK156/AC156-1)*100),"NA",IF(((AK156/AC156-1)*100)&gt;100,"NM",IF(((AK156/AC156-1)*100)&lt;-50,"NM",(AK156/AC156-1)*100)))</f>
        <v>-1.0565339793112916</v>
      </c>
      <c r="AM156" s="171">
        <f>AM151/AM142*100</f>
        <v>19.213542852804981</v>
      </c>
      <c r="AN156" s="79">
        <f>IF(ISERROR((AM156/AE156-1)*100),"NA",IF(((AM156/AE156-1)*100)&gt;100,"NM",IF(((AM156/AE156-1)*100)&lt;-50,"NM",(AM156/AE156-1)*100)))</f>
        <v>3.3668836897046583</v>
      </c>
      <c r="AO156" s="171">
        <f>AO151/AO142*100</f>
        <v>19.420177812137613</v>
      </c>
      <c r="AP156" s="79">
        <f>IF(ISERROR((AO156/AG156-1)*100),"NA",IF(((AO156/AG156-1)*100)&gt;100,"NM",IF(((AO156/AG156-1)*100)&lt;-50,"NM",(AO156/AG156-1)*100)))</f>
        <v>6.4478364304323632</v>
      </c>
      <c r="AQ156" s="171">
        <f>AQ151/AQ142*100</f>
        <v>19.98472116119175</v>
      </c>
      <c r="AR156" s="79">
        <f>IF(ISERROR((AQ156/AI156-1)*100),"NA",IF(((AQ156/AI156-1)*100)&gt;100,"NM",IF(((AQ156/AI156-1)*100)&lt;-50,"NM",(AQ156/AI156-1)*100)))</f>
        <v>-4.1060303599003252</v>
      </c>
      <c r="AS156" s="171">
        <f>AS151/AS142*100</f>
        <v>19.596563890167204</v>
      </c>
      <c r="AT156" s="81">
        <f>IF(ISERROR((AS156/AK156-1)*100),"NA",IF(((AS156/AK156-1)*100)&gt;100,"NM",IF(((AS156/AK156-1)*100)&lt;-50,"NM",(AS156/AK156-1)*100)))</f>
        <v>0.53221569360073495</v>
      </c>
      <c r="AU156" s="171">
        <f>AU151/AU142*100</f>
        <v>19.266544678255567</v>
      </c>
      <c r="AV156" s="81">
        <f>IF(ISERROR((AU156/AM156-1)*100),"NA",IF(((AU156/AM156-1)*100)&gt;100,"NM",IF(((AU156/AM156-1)*100)&lt;-50,"NM",(AU156/AM156-1)*100)))</f>
        <v>0.27585659686313324</v>
      </c>
      <c r="AW156" s="171">
        <f>AW151/AW142*100</f>
        <v>20.225246363209759</v>
      </c>
      <c r="AX156" s="81">
        <f>IF(ISERROR((AW156/AO156-1)*100),"NA",IF(((AW156/AO156-1)*100)&gt;100,"NM",IF(((AW156/AO156-1)*100)&lt;-50,"NM",(AW156/AO156-1)*100)))</f>
        <v>4.1455261576903712</v>
      </c>
      <c r="AY156" s="171">
        <f>AY151/AY142*100</f>
        <v>19.331797235023039</v>
      </c>
      <c r="AZ156" s="81">
        <f>IF(ISERROR((AY156/AQ156-1)*100),"NA",IF(((AY156/AQ156-1)*100)&gt;100,"NM",IF(((AY156/AQ156-1)*100)&lt;-50,"NM",(AY156/AQ156-1)*100)))</f>
        <v>-3.2671155174114785</v>
      </c>
      <c r="BA156" s="171">
        <f>BA151/BA142*100</f>
        <v>20.154229255361873</v>
      </c>
      <c r="BB156" s="81">
        <f>IF(ISERROR((BA156/AS156-1)*100),"NA",IF(((BA156/AS156-1)*100)&gt;100,"NM",IF(((BA156/AS156-1)*100)&lt;-50,"NM",(BA156/AS156-1)*100)))</f>
        <v>2.845730344973818</v>
      </c>
      <c r="BC156" s="171">
        <f>BC151/BC142*100</f>
        <v>18.677411708935768</v>
      </c>
      <c r="BD156" s="81">
        <f>IF(ISERROR((BC156/AU156-1)*100),"NA",IF(((BC156/AU156-1)*100)&gt;100,"NM",IF(((BC156/AU156-1)*100)&lt;-50,"NM",(BC156/AU156-1)*100)))</f>
        <v>-3.057802938503551</v>
      </c>
      <c r="BE156" s="171">
        <f>BE151/BE142*100</f>
        <v>19.692503783956028</v>
      </c>
      <c r="BF156" s="81">
        <f>IF(ISERROR((BE156/AW156-1)*100),"NA",IF(((BE156/AW156-1)*100)&gt;100,"NM",IF(((BE156/AW156-1)*100)&lt;-50,"NM",(BE156/AW156-1)*100)))</f>
        <v>-2.634047416217411</v>
      </c>
      <c r="BG156" s="171">
        <f>BG151/BG142*100</f>
        <v>21.32841919717972</v>
      </c>
      <c r="BH156" s="81">
        <f>IF(ISERROR((BG156/AY156-1)*100),"NA",IF(((BG156/AY156-1)*100)&gt;100,"NM",IF(((BG156/AY156-1)*100)&lt;-50,"NM",(BG156/AY156-1)*100)))</f>
        <v>10.32817558493444</v>
      </c>
      <c r="BI156" s="171">
        <f>BI151/BI142*100</f>
        <v>20.968790637191155</v>
      </c>
      <c r="BJ156" s="81">
        <f>IF(ISERROR((BI156/BA156-1)*100),"NA",IF(((BI156/BA156-1)*100)&gt;100,"NM",IF(((BI156/BA156-1)*100)&lt;-50,"NM",(BI156/BA156-1)*100)))</f>
        <v>4.0416399531258307</v>
      </c>
      <c r="BK156" s="171">
        <f>BK151/BK142*100</f>
        <v>21.236666933996311</v>
      </c>
      <c r="BL156" s="81">
        <f>IF(ISERROR((BK156/BC156-1)*100),"NA",IF(((BK156/BC156-1)*100)&gt;100,"NM",IF(((BK156/BC156-1)*100)&lt;-50,"NM",(BK156/BC156-1)*100)))</f>
        <v>13.70240836869343</v>
      </c>
      <c r="BM156" s="171">
        <f>BM151/BM142*100</f>
        <v>20.805423291098379</v>
      </c>
      <c r="BN156" s="81">
        <f>IF(ISERROR((BM156/BE156-1)*100),"NA",IF(((BM156/BE156-1)*100)&gt;100,"NM",IF(((BM156/BE156-1)*100)&lt;-50,"NM",(BM156/BE156-1)*100)))</f>
        <v>5.6514880959376734</v>
      </c>
      <c r="BO156" s="171">
        <f>BO151/BO142*100</f>
        <v>20.840686667736243</v>
      </c>
      <c r="BP156" s="81">
        <f>IF(ISERROR((BO156/BG156-1)*100),"NA",IF(((BO156/BG156-1)*100)&gt;100,"NM",IF(((BO156/BG156-1)*100)&lt;-50,"NM",(BO156/BG156-1)*100)))</f>
        <v>-2.2867729902269041</v>
      </c>
      <c r="BQ156" s="171">
        <f>BQ151/BQ142*100</f>
        <v>21.903286308407402</v>
      </c>
      <c r="BR156" s="81">
        <f>IF(ISERROR((BQ156/BI156-1)*100),"NA",IF(((BQ156/BI156-1)*100)&gt;100,"NM",IF(((BQ156/BI156-1)*100)&lt;-50,"NM",(BQ156/BI156-1)*100)))</f>
        <v>4.4566026118777913</v>
      </c>
      <c r="BS156" s="171">
        <f>BS151/BS142*100</f>
        <v>21.533055487456078</v>
      </c>
      <c r="BT156" s="81">
        <f>IF(ISERROR((BS156/BK156-1)*100),"NA",IF(((BS156/BK156-1)*100)&gt;100,"NM",IF(((BS156/BK156-1)*100)&lt;-50,"NM",(BS156/BK156-1)*100)))</f>
        <v>1.3956453448224382</v>
      </c>
      <c r="BU156" s="171">
        <f>BU151/BU142*100</f>
        <v>21.469716919025675</v>
      </c>
      <c r="BV156" s="81">
        <f>IF(ISERROR((BU156/BM156-1)*100),"NA",IF(((BU156/BM156-1)*100)&gt;100,"NM",IF(((BU156/BM156-1)*100)&lt;-50,"NM",(BU156/BM156-1)*100)))</f>
        <v>3.1928868672021382</v>
      </c>
      <c r="BW156" s="171">
        <f>BW151/BW142*100</f>
        <v>22.361122609487541</v>
      </c>
      <c r="BX156" s="81">
        <f>IF(ISERROR((BW156/BO156-1)*100),"NA",IF(((BW156/BO156-1)*100)&gt;100,"NM",IF(((BW156/BO156-1)*100)&lt;-50,"NM",(BW156/BO156-1)*100)))</f>
        <v>7.2955174941769396</v>
      </c>
      <c r="BY156" s="171">
        <f>BY151/BY142*100</f>
        <v>23.35739057081263</v>
      </c>
      <c r="BZ156" s="81">
        <f>IF(ISERROR((BY156/BQ156-1)*100),"NA",IF(((BY156/BQ156-1)*100)&gt;100,"NM",IF(((BY156/BQ156-1)*100)&lt;-50,"NM",(BY156/BQ156-1)*100)))</f>
        <v>6.6387492814129923</v>
      </c>
      <c r="CA156" s="171">
        <f>CA151/CA142*100</f>
        <v>22.361761949390818</v>
      </c>
      <c r="CB156" s="81">
        <f>IF(ISERROR((CA156/BS156-1)*100),"NA",IF(((CA156/BS156-1)*100)&gt;100,"NM",IF(((CA156/BS156-1)*100)&lt;-50,"NM",(CA156/BS156-1)*100)))</f>
        <v>3.8485316792012947</v>
      </c>
      <c r="CC156" s="171">
        <f>CC151/CC142*100</f>
        <v>22.860912174896342</v>
      </c>
      <c r="CD156" s="81">
        <f>IF(ISERROR((CC156/BU156-1)*100),"NA",IF(((CC156/BU156-1)*100)&gt;100,"NM",IF(((CC156/BU156-1)*100)&lt;-50,"NM",(CC156/BU156-1)*100)))</f>
        <v>6.4798025102875911</v>
      </c>
      <c r="CE156" s="171">
        <f>CE151/CE142*100</f>
        <v>23.597095161746669</v>
      </c>
      <c r="CF156" s="81">
        <f>IF(ISERROR((CE156/BW156-1)*100),"NA",IF(((CE156/BW156-1)*100)&gt;100,"NM",IF(((CE156/BW156-1)*100)&lt;-50,"NM",(CE156/BW156-1)*100)))</f>
        <v>5.5273278262636172</v>
      </c>
      <c r="CG156" s="171">
        <f>CG151/CG142*100</f>
        <v>23.615269461077844</v>
      </c>
      <c r="CH156" s="81">
        <f>IF(ISERROR((CG156/BY156-1)*100),"NA",IF(((CG156/BY156-1)*100)&gt;100,"NM",IF(((CG156/BY156-1)*100)&lt;-50,"NM",(CG156/BY156-1)*100)))</f>
        <v>1.1040569342855466</v>
      </c>
      <c r="CI156" s="171">
        <f>CI151/CI142*100</f>
        <v>23.228640867451858</v>
      </c>
      <c r="CJ156" s="81">
        <f>IF(ISERROR((CI156/CA156-1)*100),"NA",IF(((CI156/CA156-1)*100)&gt;100,"NM",IF(((CI156/CA156-1)*100)&lt;-50,"NM",(CI156/CA156-1)*100)))</f>
        <v>3.8766127643383497</v>
      </c>
      <c r="CK156" s="171">
        <f>CK151/CK142*100</f>
        <v>23.008190618019359</v>
      </c>
      <c r="CL156" s="81">
        <f>IF(ISERROR((CK156/CC156-1)*100),"NA",IF(((CK156/CC156-1)*100)&gt;100,"NM",IF(((CK156/CC156-1)*100)&lt;-50,"NM",(CK156/CC156-1)*100)))</f>
        <v>0.64423694906077245</v>
      </c>
      <c r="CM156" s="171">
        <f>CM151/CM142*100</f>
        <v>22.963988919667589</v>
      </c>
      <c r="CN156" s="81">
        <f>IF(ISERROR((CM156/CE156-1)*100),"NA",IF(((CM156/CE156-1)*100)&gt;100,"NM",IF(((CM156/CE156-1)*100)&lt;-50,"NM",(CM156/CE156-1)*100)))</f>
        <v>-2.6829838068603062</v>
      </c>
      <c r="CO156" s="171">
        <f>CO151/CO142*100</f>
        <v>22.35611510791367</v>
      </c>
      <c r="CP156" s="81">
        <f>IF(ISERROR((CO156/CG156-1)*100),"NA",IF(((CO156/CG156-1)*100)&gt;100,"NM",IF(((CO156/CG156-1)*100)&lt;-50,"NM",(CO156/CG156-1)*100)))</f>
        <v>-5.3319499709265861</v>
      </c>
      <c r="CQ156" s="171">
        <f>CQ151/CQ142*100</f>
        <v>22.143497757847534</v>
      </c>
      <c r="CR156" s="81">
        <f>IF(ISERROR((CQ156/CI156-1)*100),"NA",IF(((CQ156/CI156-1)*100)&gt;100,"NM",IF(((CQ156/CI156-1)*100)&lt;-50,"NM",(CQ156/CI156-1)*100)))</f>
        <v>-4.6715738376446936</v>
      </c>
      <c r="CS156" s="171">
        <f>CS151/CS142*100</f>
        <v>21.71058548430614</v>
      </c>
      <c r="CT156" s="81">
        <f>IF(ISERROR((CS156/CK156-1)*100),"NA",IF(((CS156/CK156-1)*100)&gt;100,"NM",IF(((CS156/CK156-1)*100)&lt;-50,"NM",(CS156/CK156-1)*100)))</f>
        <v>-5.6397530568830234</v>
      </c>
      <c r="CU156" s="171">
        <f>CU151/CU142*100</f>
        <v>22.906227630637083</v>
      </c>
      <c r="CV156" s="81">
        <f>IF(ISERROR((CU156/CM156-1)*100),"NA",IF(((CU156/CM156-1)*100)&gt;100,"NM",IF(((CU156/CM156-1)*100)&lt;-50,"NM",(CU156/CM156-1)*100)))</f>
        <v>-0.25152985934876471</v>
      </c>
      <c r="CW156" s="171">
        <f>CW151/CW142*100</f>
        <v>21.716241116083175</v>
      </c>
      <c r="CX156" s="81">
        <f>IF(ISERROR((CW156/CO156-1)*100),"NA",IF(((CW156/CO156-1)*100)&gt;100,"NM",IF(((CW156/CO156-1)*100)&lt;-50,"NM",(CW156/CO156-1)*100)))</f>
        <v>-2.8621877671581308</v>
      </c>
      <c r="CY156" s="171">
        <f>CY151/CY142*100</f>
        <v>21.979673000441892</v>
      </c>
      <c r="CZ156" s="81">
        <f>IF(ISERROR((CY156/CQ156-1)*100),"NA",IF(((CY156/CQ156-1)*100)&gt;100,"NM",IF(((CY156/CQ156-1)*100)&lt;-50,"NM",(CY156/CQ156-1)*100)))</f>
        <v>-0.73983233903317513</v>
      </c>
      <c r="DA156" s="171">
        <f>DA151/DA142*100</f>
        <v>22.176773964076119</v>
      </c>
      <c r="DB156" s="81">
        <f>IF(ISERROR((DA156/CS156-1)*100),"NA",IF(((DA156/CS156-1)*100)&gt;100,"NM",IF(((DA156/CS156-1)*100)&lt;-50,"NM",(DA156/CS156-1)*100)))</f>
        <v>2.1472865395867347</v>
      </c>
      <c r="DC156" s="171">
        <f>DC151/DC142*100</f>
        <v>22.759297244270044</v>
      </c>
      <c r="DD156" s="81">
        <f>IF(ISERROR((DC156/CU156-1)*100),"NA",IF(((DC156/CU156-1)*100)&gt;100,"NM",IF(((DC156/CU156-1)*100)&lt;-50,"NM",(DC156/CU156-1)*100)))</f>
        <v>-0.64144296798360756</v>
      </c>
      <c r="DE156" s="171">
        <f>DE151/DE142*100</f>
        <v>22.247288503253795</v>
      </c>
      <c r="DF156" s="81">
        <f>IF(ISERROR((DE156/CW156-1)*100),"NA",IF(((DE156/CW156-1)*100)&gt;100,"NM",IF(((DE156/CW156-1)*100)&lt;-50,"NM",(DE156/CW156-1)*100)))</f>
        <v>2.4453927561953748</v>
      </c>
      <c r="DG156" s="171">
        <f>DG151/DG142*100</f>
        <v>22.121447698021946</v>
      </c>
      <c r="DH156" s="81">
        <f>IF(ISERROR((DG156/CY156-1)*100),"NA",IF(((DG156/CY156-1)*100)&gt;100,"NM",IF(((DG156/CY156-1)*100)&lt;-50,"NM",(DG156/CY156-1)*100)))</f>
        <v>0.64502641862416166</v>
      </c>
      <c r="DI156" s="171">
        <f>DI151/DI142*100</f>
        <v>22.275737507525591</v>
      </c>
      <c r="DJ156" s="81">
        <f>IF(ISERROR((DI156/DA156-1)*100),"NA",IF(((DI156/DA156-1)*100)&gt;100,"NM",IF(((DI156/DA156-1)*100)&lt;-50,"NM",(DI156/DA156-1)*100)))</f>
        <v>0.44624860049429227</v>
      </c>
      <c r="DK156" s="171">
        <f>DK151/DK142*100</f>
        <v>22.927199191102126</v>
      </c>
      <c r="DL156" s="81">
        <f>IF(ISERROR((DK156/DC156-1)*100),"NA",IF(((DK156/DC156-1)*100)&gt;100,"NM",IF(((DK156/DC156-1)*100)&lt;-50,"NM",(DK156/DC156-1)*100)))</f>
        <v>0.73772904773830028</v>
      </c>
      <c r="DM156" s="171">
        <f>DM151/DM142*100</f>
        <v>22.167127296374574</v>
      </c>
      <c r="DN156" s="81">
        <f>IF(ISERROR((DM156/DE156-1)*100),"NA",IF(((DM156/DE156-1)*100)&gt;100,"NM",IF(((DM156/DE156-1)*100)&lt;-50,"NM",(DM156/DE156-1)*100)))</f>
        <v>-0.36031899738028228</v>
      </c>
      <c r="DO156" s="171">
        <f>DO151/DO142*100</f>
        <v>21.9103849886768</v>
      </c>
      <c r="DP156" s="81">
        <f>IF(ISERROR((DO156/DG156-1)*100),"NA",IF(((DO156/DG156-1)*100)&gt;100,"NM",IF(((DO156/DG156-1)*100)&lt;-50,"NM",(DO156/DG156-1)*100)))</f>
        <v>-0.95410893638764316</v>
      </c>
      <c r="DQ156" s="171">
        <f>DQ151/DQ142*100</f>
        <v>21.790948622966663</v>
      </c>
      <c r="DR156" s="81">
        <f>IF(ISERROR((DQ156/DI156-1)*100),"NA",IF(((DQ156/DI156-1)*100)&gt;100,"NM",IF(((DQ156/DI156-1)*100)&lt;-50,"NM",(DQ156/DI156-1)*100)))</f>
        <v>-2.1763090196010193</v>
      </c>
      <c r="DS156" s="171">
        <f>DS151/DS142*100</f>
        <v>22.083732821987855</v>
      </c>
      <c r="DT156" s="81">
        <f>IF(ISERROR((DS156/DK156-1)*100),"NA",IF(((DS156/DK156-1)*100)&gt;100,"NM",IF(((DS156/DK156-1)*100)&lt;-50,"NM",(DS156/DK156-1)*100)))</f>
        <v>-3.6788896981433949</v>
      </c>
      <c r="DU156" s="171">
        <f>DU151/DU142*100</f>
        <v>21.286405901790513</v>
      </c>
      <c r="DV156" s="81">
        <f>IF(ISERROR((DU156/DM156-1)*100),"NA",IF(((DU156/DM156-1)*100)&gt;100,"NM",IF(((DU156/DM156-1)*100)&lt;-50,"NM",(DU156/DM156-1)*100)))</f>
        <v>-3.9730966615962982</v>
      </c>
      <c r="DW156" s="171">
        <f>DW151/DW142*100</f>
        <v>20.894258888717868</v>
      </c>
      <c r="DX156" s="81">
        <f>IF(ISERROR((DW156/DO156-1)*100),"NA",IF(((DW156/DO156-1)*100)&gt;100,"NM",IF(((DW156/DO156-1)*100)&lt;-50,"NM",(DW156/DO156-1)*100)))</f>
        <v>-4.6376460317062556</v>
      </c>
      <c r="DY156" s="171">
        <f>DY151/DY142*100</f>
        <v>20.866920152091254</v>
      </c>
      <c r="DZ156" s="81">
        <f>IF(ISERROR((DY156/DQ156-1)*100),"NA",IF(((DY156/DQ156-1)*100)&gt;100,"NM",IF(((DY156/DQ156-1)*100)&lt;-50,"NM",(DY156/DQ156-1)*100)))</f>
        <v>-4.2404233375206379</v>
      </c>
      <c r="EA156" s="171">
        <f>EA151/EA142*100</f>
        <v>21.128886205855725</v>
      </c>
      <c r="EB156" s="81">
        <f>IF(ISERROR((EA156/DS156-1)*100),"NA",IF(((EA156/DS156-1)*100)&gt;100,"NM",IF(((EA156/DS156-1)*100)&lt;-50,"NM",(EA156/DS156-1)*100)))</f>
        <v>-4.3237555164651775</v>
      </c>
      <c r="EC156" s="171">
        <f>EC151/EC142*100</f>
        <v>20.560129373713615</v>
      </c>
      <c r="ED156" s="81">
        <f t="shared" si="514"/>
        <v>-3.4119265198067406</v>
      </c>
      <c r="EE156" s="171">
        <f>EE151/EE142*100</f>
        <v>20.925093908816379</v>
      </c>
      <c r="EF156" s="81">
        <f t="shared" si="515"/>
        <v>0.14757651976429198</v>
      </c>
      <c r="EG156" s="171">
        <f>EG151/EG142*100</f>
        <v>20.442354324344187</v>
      </c>
      <c r="EH156" s="81">
        <f t="shared" si="516"/>
        <v>-2.0346357998811682</v>
      </c>
      <c r="EI156" s="171">
        <f>EI151/EI142*100</f>
        <v>21.304507145474535</v>
      </c>
      <c r="EJ156" s="81">
        <f t="shared" si="517"/>
        <v>0.83118881851016457</v>
      </c>
      <c r="EK156" s="171">
        <f t="shared" ref="EK156:EQ156" si="524">EK151/EK142*100</f>
        <v>20.84867586953315</v>
      </c>
      <c r="EL156" s="81">
        <f t="shared" si="519"/>
        <v>1.4034274326524709</v>
      </c>
      <c r="EM156" s="171">
        <f t="shared" si="524"/>
        <v>20.903927884688301</v>
      </c>
      <c r="EN156" s="81">
        <f t="shared" si="520"/>
        <v>-0.10115139372999238</v>
      </c>
      <c r="EO156" s="171">
        <f t="shared" si="524"/>
        <v>20.90134832683103</v>
      </c>
      <c r="EP156" s="81">
        <f t="shared" si="521"/>
        <v>2.2453089072046906</v>
      </c>
      <c r="EQ156" s="171">
        <f t="shared" si="524"/>
        <v>20.960083358746367</v>
      </c>
      <c r="ER156" s="81">
        <f t="shared" si="522"/>
        <v>-1.6166709906796917</v>
      </c>
      <c r="ES156" s="82"/>
      <c r="ET156" s="469"/>
      <c r="EU156" s="82"/>
      <c r="EV156" s="171"/>
      <c r="EW156" s="79"/>
      <c r="EX156" s="171"/>
      <c r="EY156" s="79"/>
      <c r="EZ156" s="171"/>
      <c r="FA156" s="79"/>
      <c r="FB156" s="217"/>
      <c r="FC156" s="79"/>
      <c r="FD156" s="171">
        <f>FD151/FD142*100</f>
        <v>19.136986572270452</v>
      </c>
      <c r="FE156" s="79" t="str">
        <f>IF(ISERROR((FD156/FB156-1)*100),"NA",IF(((FD156/FB156-1)*100)&gt;100,"NM",IF(((FD156/FB156-1)*100)&lt;-50,"NM",(FD156/FB156-1)*100)))</f>
        <v>NA</v>
      </c>
      <c r="FF156" s="171">
        <f>FF151/FF142*100</f>
        <v>19.483873365041617</v>
      </c>
      <c r="FG156" s="79">
        <f>IF(ISERROR((FF156/FD156-1)*100),"NA",IF(((FF156/FD156-1)*100)&gt;100,"NM",IF(((FF156/FD156-1)*100)&lt;-50,"NM",(FF156/FD156-1)*100)))</f>
        <v>1.8126510747193958</v>
      </c>
      <c r="FH156" s="171">
        <f>FH151/FH142*100</f>
        <v>19.342998376862919</v>
      </c>
      <c r="FI156" s="79">
        <f>IF(ISERROR((FH156/FF156-1)*100),"NA",IF(((FH156/FF156-1)*100)&gt;100,"NM",IF(((FH156/FF156-1)*100)&lt;-50,"NM",(FH156/FF156-1)*100)))</f>
        <v>-0.72303379076287255</v>
      </c>
      <c r="FJ156" s="171">
        <f>FJ151/FJ142*100</f>
        <v>19.527634346911459</v>
      </c>
      <c r="FK156" s="79">
        <f>IF(ISERROR((FJ156/FH156-1)*100),"NA",IF(((FJ156/FH156-1)*100)&gt;100,"NM",IF(((FJ156/FH156-1)*100)&lt;-50,"NM",(FJ156/FH156-1)*100)))</f>
        <v>0.95453645009551114</v>
      </c>
      <c r="FL156" s="171">
        <f>FL151/FL142*100</f>
        <v>19.601616628175517</v>
      </c>
      <c r="FM156" s="79">
        <f>IF(ISERROR((FL156/FJ156-1)*100),"NA",IF(((FL156/FJ156-1)*100)&gt;100,"NM",IF(((FL156/FJ156-1)*100)&lt;-50,"NM",(FL156/FJ156-1)*100)))</f>
        <v>0.3788594150717417</v>
      </c>
      <c r="FN156" s="171">
        <f>FN151/FN142*100</f>
        <v>19.958117271639413</v>
      </c>
      <c r="FO156" s="79">
        <f>IF(ISERROR((FN156/FL156-1)*100),"NA",IF(((FN156/FL156-1)*100)&gt;100,"NM",IF(((FN156/FL156-1)*100)&lt;-50,"NM",(FN156/FL156-1)*100)))</f>
        <v>1.8187308232090471</v>
      </c>
      <c r="FP156" s="171">
        <f>FP151/FP142*100</f>
        <v>20.963127140842232</v>
      </c>
      <c r="FQ156" s="79">
        <f>IF(ISERROR((FP156/FN156-1)*100),"NA",IF(((FP156/FN156-1)*100)&gt;100,"NM",IF(((FP156/FN156-1)*100)&lt;-50,"NM",(FP156/FN156-1)*100)))</f>
        <v>5.0355945679853464</v>
      </c>
      <c r="FR156" s="171">
        <f>FR151/FR142*100</f>
        <v>23.403608825729247</v>
      </c>
      <c r="FS156" s="79">
        <f>IF(ISERROR((FR156/FP156-1)*100),"NA",IF(((FR156/FP156-1)*100)&gt;100,"NM",IF(((FR156/FP156-1)*100)&lt;-50,"NM",(FR156/FP156-1)*100)))</f>
        <v>11.641782585634619</v>
      </c>
      <c r="FT156" s="171">
        <f>FT151/FT142*100</f>
        <v>23.043662170418763</v>
      </c>
      <c r="FU156" s="79">
        <f>IF(ISERROR((FT156/FR156-1)*100),"NA",IF(((FT156/FR156-1)*100)&gt;100,"NM",IF(((FT156/FR156-1)*100)&lt;-50,"NM",(FT156/FR156-1)*100)))</f>
        <v>-1.537996374793138</v>
      </c>
      <c r="FV156" s="171">
        <f>FV151/FV142*100</f>
        <v>23.202979515828677</v>
      </c>
      <c r="FW156" s="79">
        <f>IF(ISERROR((FV156/FT156-1)*100),"NA",IF(((FV156/FT156-1)*100)&gt;100,"NM",IF(((FV156/FT156-1)*100)&lt;-50,"NM",(FV156/FT156-1)*100)))</f>
        <v>0.69137164150250285</v>
      </c>
      <c r="FX156" s="171">
        <f>FX151/FX142*100</f>
        <v>22.279815999102436</v>
      </c>
      <c r="FY156" s="79">
        <f>IF(ISERROR((FX156/FV156-1)*100),"NA",IF(((FX156/FV156-1)*100)&gt;100,"NM",IF(((FX156/FV156-1)*100)&lt;-50,"NM",(FX156/FV156-1)*100)))</f>
        <v>-3.9786421226484014</v>
      </c>
      <c r="FZ156" s="171">
        <f>FZ151/FZ142*100</f>
        <v>22.155807929866505</v>
      </c>
      <c r="GA156" s="79">
        <f>IF(ISERROR((FZ156/FX156-1)*100),"NA",IF(((FZ156/FX156-1)*100)&gt;100,"NM",IF(((FZ156/FX156-1)*100)&lt;-50,"NM",(FZ156/FX156-1)*100)))</f>
        <v>-0.55659377636209095</v>
      </c>
      <c r="GB156" s="171">
        <f>GB151/GB142*100</f>
        <v>22.396291606755799</v>
      </c>
      <c r="GC156" s="79">
        <f>IF(ISERROR((GB156/FZ156-1)*100),"NA",IF(((GB156/FZ156-1)*100)&gt;100,"NM",IF(((GB156/FZ156-1)*100)&lt;-50,"NM",(GB156/FZ156-1)*100)))</f>
        <v>1.0854204804922274</v>
      </c>
      <c r="GD156" s="171">
        <f>GD151/GD142*100</f>
        <v>21.987903225806448</v>
      </c>
      <c r="GE156" s="79">
        <f>IF(ISERROR((GD156/GB156-1)*100),"NA",IF(((GD156/GB156-1)*100)&gt;100,"NM",IF(((GD156/GB156-1)*100)&lt;-50,"NM",(GD156/GB156-1)*100)))</f>
        <v>-1.8234642954289892</v>
      </c>
      <c r="GF156" s="171">
        <f>GF151/GF142*100</f>
        <v>21.044095479784005</v>
      </c>
      <c r="GG156" s="79">
        <f>IF(ISERROR((GF156/GD156-1)*100),"NA",IF(((GF156/GD156-1)*100)&gt;100,"NM",IF(((GF156/GD156-1)*100)&lt;-50,"NM",(GF156/GD156-1)*100)))</f>
        <v>-4.2923953972779376</v>
      </c>
      <c r="GH156" s="171">
        <f>GH151/GH142*100</f>
        <v>20.808303481216132</v>
      </c>
      <c r="GI156" s="79">
        <f>IF(ISERROR((GH156/GF156-1)*100),"NA",IF(((GH156/GF156-1)*100)&gt;100,"NM",IF(((GH156/GF156-1)*100)&lt;-50,"NM",(GH156/GF156-1)*100)))</f>
        <v>-1.1204663027421957</v>
      </c>
      <c r="GJ156" s="171">
        <f>GJ151/GJ142*100</f>
        <v>20.903674159112139</v>
      </c>
      <c r="GK156" s="79">
        <f>IF(ISERROR((GJ156/GH156-1)*100),"NA",IF(((GJ156/GH156-1)*100)&gt;100,"NM",IF(((GJ156/GH156-1)*100)&lt;-50,"NM",(GJ156/GH156-1)*100)))</f>
        <v>0.45832990653034145</v>
      </c>
      <c r="GL156" s="171">
        <f>GL151/GL142*100</f>
        <v>20.91199643154372</v>
      </c>
      <c r="GM156" s="79">
        <f>IF(ISERROR((GL156/GJ156-1)*100),"NA",IF(((GL156/GJ156-1)*100)&gt;100,"NM",IF(((GL156/GJ156-1)*100)&lt;-50,"NM",(GL156/GJ156-1)*100)))</f>
        <v>3.9812486399437574E-2</v>
      </c>
      <c r="GN156" s="171">
        <f>GN151/GN142*100</f>
        <v>20.920030646647053</v>
      </c>
      <c r="GO156" s="79">
        <f>IF(ISERROR((GN156/GL156-1)*100),"NA",IF(((GN156/GL156-1)*100)&gt;100,"NM",IF(((GN156/GL156-1)*100)&lt;-50,"NM",(GN156/GL156-1)*100)))</f>
        <v>3.841916829716574E-2</v>
      </c>
      <c r="GP156" s="171">
        <f>GP151/GP142*100</f>
        <v>20.927825859375861</v>
      </c>
      <c r="GQ156" s="79">
        <f>IF(ISERROR((GP156/GN156-1)*100),"NA",IF(((GP156/GN156-1)*100)&gt;100,"NM",IF(((GP156/GN156-1)*100)&lt;-50,"NM",(GP156/GN156-1)*100)))</f>
        <v>3.7261956545253661E-2</v>
      </c>
      <c r="GR156" s="171">
        <f>GR151/GR142*100</f>
        <v>20.962641046630246</v>
      </c>
      <c r="GS156" s="79">
        <f>IF(ISERROR((GR156/GP156-1)*100),"NA",IF(((GR156/GP156-1)*100)&gt;100,"NM",IF(((GR156/GP156-1)*100)&lt;-50,"NM",(GR156/GP156-1)*100)))</f>
        <v>0.16635835699476687</v>
      </c>
      <c r="GT156" s="79">
        <f>IF(ISERROR(((GR156/GH156)^0.2-1)*100),"NA",(IF(OR(((GR156/GH156)^0.2-1)*100&gt;99,((GR156/GH156)^0.2-1)*100&lt;-50),"NM",(((GR156/GH156)^0.2-1)*100))))</f>
        <v>0.14790412591363378</v>
      </c>
    </row>
    <row r="157" spans="1:286" ht="12.75" customHeight="1" x14ac:dyDescent="0.2">
      <c r="A157" s="1"/>
      <c r="B157" s="68"/>
      <c r="C157" s="171"/>
      <c r="D157" s="171"/>
      <c r="E157" s="171"/>
      <c r="F157" s="171"/>
      <c r="G157" s="171"/>
      <c r="H157" s="171"/>
      <c r="I157" s="171"/>
      <c r="J157" s="171"/>
      <c r="K157" s="171"/>
      <c r="L157" s="79"/>
      <c r="M157" s="171"/>
      <c r="N157" s="79"/>
      <c r="O157" s="171"/>
      <c r="P157" s="79"/>
      <c r="Q157" s="171"/>
      <c r="R157" s="79"/>
      <c r="S157" s="171"/>
      <c r="T157" s="79"/>
      <c r="U157" s="171"/>
      <c r="V157" s="79"/>
      <c r="W157" s="171"/>
      <c r="X157" s="79"/>
      <c r="Y157" s="171"/>
      <c r="Z157" s="79"/>
      <c r="AA157" s="172"/>
      <c r="AB157" s="79"/>
      <c r="AC157" s="171"/>
      <c r="AD157" s="79"/>
      <c r="AE157" s="171"/>
      <c r="AF157" s="79"/>
      <c r="AG157" s="171"/>
      <c r="AH157" s="79"/>
      <c r="AI157" s="171"/>
      <c r="AJ157" s="79"/>
      <c r="AK157" s="171"/>
      <c r="AL157" s="79"/>
      <c r="AM157" s="171"/>
      <c r="AN157" s="79"/>
      <c r="AO157" s="171"/>
      <c r="AP157" s="79"/>
      <c r="AQ157" s="171"/>
      <c r="AR157" s="79"/>
      <c r="AS157" s="171"/>
      <c r="AT157" s="81"/>
      <c r="AU157" s="171"/>
      <c r="AV157" s="81"/>
      <c r="AW157" s="171"/>
      <c r="AX157" s="81"/>
      <c r="AY157" s="171"/>
      <c r="AZ157" s="81"/>
      <c r="BA157" s="171"/>
      <c r="BB157" s="81"/>
      <c r="BC157" s="171"/>
      <c r="BD157" s="81"/>
      <c r="BE157" s="171"/>
      <c r="BF157" s="81"/>
      <c r="BG157" s="171"/>
      <c r="BH157" s="81"/>
      <c r="BI157" s="171"/>
      <c r="BJ157" s="81"/>
      <c r="BK157" s="171"/>
      <c r="BL157" s="81"/>
      <c r="BM157" s="171"/>
      <c r="BN157" s="81"/>
      <c r="BO157" s="171"/>
      <c r="BP157" s="81"/>
      <c r="BQ157" s="171"/>
      <c r="BR157" s="81"/>
      <c r="BS157" s="171"/>
      <c r="BT157" s="81"/>
      <c r="BU157" s="171"/>
      <c r="BV157" s="81"/>
      <c r="BW157" s="171"/>
      <c r="BX157" s="81"/>
      <c r="BY157" s="171"/>
      <c r="BZ157" s="81"/>
      <c r="CA157" s="171"/>
      <c r="CB157" s="81"/>
      <c r="CC157" s="171"/>
      <c r="CD157" s="81"/>
      <c r="CE157" s="171"/>
      <c r="CF157" s="81"/>
      <c r="CG157" s="171"/>
      <c r="CH157" s="81"/>
      <c r="CI157" s="171"/>
      <c r="CJ157" s="81"/>
      <c r="CK157" s="171"/>
      <c r="CL157" s="81"/>
      <c r="CM157" s="171"/>
      <c r="CN157" s="81"/>
      <c r="CO157" s="171"/>
      <c r="CP157" s="81"/>
      <c r="CQ157" s="171"/>
      <c r="CR157" s="81"/>
      <c r="CS157" s="171"/>
      <c r="CT157" s="81"/>
      <c r="CU157" s="171"/>
      <c r="CV157" s="81"/>
      <c r="CW157" s="171"/>
      <c r="CX157" s="81"/>
      <c r="CY157" s="171"/>
      <c r="CZ157" s="81"/>
      <c r="DA157" s="171"/>
      <c r="DB157" s="81"/>
      <c r="DC157" s="171"/>
      <c r="DD157" s="81"/>
      <c r="DE157" s="171"/>
      <c r="DF157" s="81"/>
      <c r="DG157" s="171"/>
      <c r="DH157" s="81"/>
      <c r="DI157" s="171"/>
      <c r="DJ157" s="81"/>
      <c r="DK157" s="171"/>
      <c r="DL157" s="81"/>
      <c r="DM157" s="171"/>
      <c r="DN157" s="81"/>
      <c r="DO157" s="171"/>
      <c r="DP157" s="81"/>
      <c r="DQ157" s="171"/>
      <c r="DR157" s="81"/>
      <c r="DS157" s="171"/>
      <c r="DT157" s="81"/>
      <c r="DU157" s="171"/>
      <c r="DV157" s="81"/>
      <c r="DW157" s="171"/>
      <c r="DX157" s="81"/>
      <c r="DY157" s="171"/>
      <c r="DZ157" s="81"/>
      <c r="EA157" s="171"/>
      <c r="EB157" s="81"/>
      <c r="EC157" s="171"/>
      <c r="ED157" s="81"/>
      <c r="EE157" s="171"/>
      <c r="EF157" s="81"/>
      <c r="EG157" s="171"/>
      <c r="EH157" s="81"/>
      <c r="EI157" s="171"/>
      <c r="EJ157" s="81"/>
      <c r="EK157" s="171"/>
      <c r="EL157" s="81"/>
      <c r="EM157" s="171"/>
      <c r="EN157" s="81"/>
      <c r="EO157" s="171"/>
      <c r="EP157" s="81"/>
      <c r="EQ157" s="171"/>
      <c r="ER157" s="81"/>
      <c r="ES157" s="82"/>
      <c r="ET157" s="469"/>
      <c r="EU157" s="82"/>
      <c r="EV157" s="171"/>
      <c r="EW157" s="79"/>
      <c r="EX157" s="171"/>
      <c r="EY157" s="79"/>
      <c r="EZ157" s="171"/>
      <c r="FA157" s="79"/>
      <c r="FB157" s="217"/>
      <c r="FC157" s="79"/>
      <c r="FD157" s="171"/>
      <c r="FE157" s="79"/>
      <c r="FF157" s="171"/>
      <c r="FG157" s="79"/>
      <c r="FH157" s="171"/>
      <c r="FI157" s="79"/>
      <c r="FJ157" s="171"/>
      <c r="FK157" s="79"/>
      <c r="FL157" s="171"/>
      <c r="FM157" s="79"/>
      <c r="FN157" s="171"/>
      <c r="FO157" s="79"/>
      <c r="FP157" s="171"/>
      <c r="FQ157" s="79"/>
      <c r="FR157" s="171"/>
      <c r="FS157" s="79"/>
      <c r="FT157" s="171"/>
      <c r="FU157" s="79"/>
      <c r="FV157" s="171"/>
      <c r="FW157" s="79"/>
      <c r="FX157" s="171"/>
      <c r="FY157" s="79"/>
      <c r="FZ157" s="171"/>
      <c r="GA157" s="79"/>
      <c r="GB157" s="171"/>
      <c r="GC157" s="79"/>
      <c r="GD157" s="171"/>
      <c r="GE157" s="79"/>
      <c r="GF157" s="171"/>
      <c r="GG157" s="79"/>
      <c r="GH157" s="171"/>
      <c r="GI157" s="79"/>
      <c r="GJ157" s="171"/>
      <c r="GK157" s="79"/>
      <c r="GL157" s="171"/>
      <c r="GM157" s="79"/>
      <c r="GN157" s="171"/>
      <c r="GO157" s="79"/>
      <c r="GP157" s="171"/>
      <c r="GQ157" s="79"/>
      <c r="GR157" s="171"/>
      <c r="GS157" s="79"/>
      <c r="GT157" s="79"/>
    </row>
    <row r="158" spans="1:286" ht="12.75" customHeight="1" x14ac:dyDescent="0.2">
      <c r="A158" s="1"/>
      <c r="B158" s="2" t="s">
        <v>575</v>
      </c>
      <c r="C158" s="171"/>
      <c r="D158" s="171"/>
      <c r="E158" s="171"/>
      <c r="F158" s="171"/>
      <c r="G158" s="171"/>
      <c r="H158" s="171"/>
      <c r="I158" s="171"/>
      <c r="J158" s="171"/>
      <c r="K158" s="171"/>
      <c r="L158" s="79"/>
      <c r="M158" s="171"/>
      <c r="N158" s="79"/>
      <c r="O158" s="171"/>
      <c r="P158" s="79"/>
      <c r="Q158" s="171"/>
      <c r="R158" s="79"/>
      <c r="S158" s="171"/>
      <c r="T158" s="79"/>
      <c r="U158" s="171"/>
      <c r="V158" s="79"/>
      <c r="W158" s="171"/>
      <c r="X158" s="79"/>
      <c r="Y158" s="171"/>
      <c r="Z158" s="79"/>
      <c r="AA158" s="172"/>
      <c r="AB158" s="79"/>
      <c r="AC158" s="171"/>
      <c r="AD158" s="79"/>
      <c r="AE158" s="171"/>
      <c r="AF158" s="79"/>
      <c r="AG158" s="171"/>
      <c r="AH158" s="79"/>
      <c r="AI158" s="171"/>
      <c r="AJ158" s="79"/>
      <c r="AK158" s="171"/>
      <c r="AL158" s="79"/>
      <c r="AM158" s="171"/>
      <c r="AN158" s="79"/>
      <c r="AO158" s="171"/>
      <c r="AP158" s="79"/>
      <c r="AQ158" s="171"/>
      <c r="AR158" s="79"/>
      <c r="AS158" s="171"/>
      <c r="AT158" s="81"/>
      <c r="AU158" s="171"/>
      <c r="AV158" s="81"/>
      <c r="AW158" s="171"/>
      <c r="AX158" s="81"/>
      <c r="AY158" s="171"/>
      <c r="AZ158" s="81"/>
      <c r="BA158" s="171"/>
      <c r="BB158" s="81"/>
      <c r="BC158" s="171"/>
      <c r="BD158" s="81"/>
      <c r="BE158" s="171"/>
      <c r="BF158" s="81"/>
      <c r="BG158" s="171"/>
      <c r="BH158" s="81"/>
      <c r="BI158" s="171"/>
      <c r="BJ158" s="81"/>
      <c r="BK158" s="171"/>
      <c r="BL158" s="81"/>
      <c r="BM158" s="171"/>
      <c r="BN158" s="81"/>
      <c r="BO158" s="171"/>
      <c r="BP158" s="81"/>
      <c r="BQ158" s="171"/>
      <c r="BR158" s="81"/>
      <c r="BS158" s="171"/>
      <c r="BT158" s="81"/>
      <c r="BU158" s="171"/>
      <c r="BV158" s="81"/>
      <c r="BW158" s="171"/>
      <c r="BX158" s="81"/>
      <c r="BY158" s="171"/>
      <c r="BZ158" s="81"/>
      <c r="CA158" s="171"/>
      <c r="CB158" s="81"/>
      <c r="CC158" s="171"/>
      <c r="CD158" s="81"/>
      <c r="CE158" s="171"/>
      <c r="CF158" s="81"/>
      <c r="CG158" s="171"/>
      <c r="CH158" s="81"/>
      <c r="CI158" s="171"/>
      <c r="CJ158" s="81"/>
      <c r="CK158" s="171"/>
      <c r="CL158" s="81"/>
      <c r="CM158" s="171"/>
      <c r="CN158" s="81"/>
      <c r="CO158" s="171"/>
      <c r="CP158" s="81"/>
      <c r="CQ158" s="171"/>
      <c r="CR158" s="81"/>
      <c r="CS158" s="171"/>
      <c r="CT158" s="81"/>
      <c r="CU158" s="171"/>
      <c r="CV158" s="81"/>
      <c r="CW158" s="74">
        <f>CW92+CW124</f>
        <v>0</v>
      </c>
      <c r="CX158" s="81"/>
      <c r="CY158" s="74">
        <f>CY92+CY124</f>
        <v>0</v>
      </c>
      <c r="CZ158" s="81"/>
      <c r="DA158" s="74">
        <f>DA92+DA124</f>
        <v>0</v>
      </c>
      <c r="DB158" s="81"/>
      <c r="DC158" s="74">
        <f>DC92+DC124</f>
        <v>0</v>
      </c>
      <c r="DD158" s="81"/>
      <c r="DE158" s="74">
        <f>DE92+DE124</f>
        <v>0</v>
      </c>
      <c r="DF158" s="81"/>
      <c r="DG158" s="74">
        <f>DG92+DG124</f>
        <v>0</v>
      </c>
      <c r="DH158" s="81"/>
      <c r="DI158" s="74">
        <f>DI92+DI124</f>
        <v>0</v>
      </c>
      <c r="DJ158" s="81"/>
      <c r="DK158" s="74">
        <f>DK92+DK124</f>
        <v>0</v>
      </c>
      <c r="DL158" s="81"/>
      <c r="DM158" s="74">
        <f>DM92+DM124</f>
        <v>0</v>
      </c>
      <c r="DN158" s="81"/>
      <c r="DO158" s="74">
        <f>DO92+DO124</f>
        <v>0</v>
      </c>
      <c r="DP158" s="81"/>
      <c r="DQ158" s="74">
        <f>DQ92+DQ124</f>
        <v>0</v>
      </c>
      <c r="DR158" s="81"/>
      <c r="DS158" s="74">
        <f>DS92+DS124</f>
        <v>0</v>
      </c>
      <c r="DT158" s="81"/>
      <c r="DU158" s="74">
        <f>DU92+DU124</f>
        <v>0</v>
      </c>
      <c r="DV158" s="81"/>
      <c r="DW158" s="74">
        <f>DW92+DW124</f>
        <v>0</v>
      </c>
      <c r="DX158" s="81"/>
      <c r="DY158" s="74">
        <f>DY92+DY124</f>
        <v>0</v>
      </c>
      <c r="DZ158" s="81"/>
      <c r="EA158" s="74">
        <f>EA92+EA124</f>
        <v>0</v>
      </c>
      <c r="EB158" s="81"/>
      <c r="EC158" s="74">
        <f>EC92+EC124</f>
        <v>0</v>
      </c>
      <c r="ED158" s="81"/>
      <c r="EE158" s="74">
        <f>EE92+EE124</f>
        <v>0</v>
      </c>
      <c r="EF158" s="81"/>
      <c r="EG158" s="74">
        <f>EG92+EG124</f>
        <v>0</v>
      </c>
      <c r="EH158" s="81"/>
      <c r="EI158" s="74">
        <f>EI92+EI124</f>
        <v>26.6</v>
      </c>
      <c r="EJ158" s="81"/>
      <c r="EK158" s="74">
        <f t="shared" ref="EK158:EQ158" si="525">EK92+EK124</f>
        <v>0</v>
      </c>
      <c r="EL158" s="81"/>
      <c r="EM158" s="74">
        <f t="shared" si="525"/>
        <v>0</v>
      </c>
      <c r="EN158" s="81"/>
      <c r="EO158" s="74">
        <f t="shared" si="525"/>
        <v>0</v>
      </c>
      <c r="EP158" s="81"/>
      <c r="EQ158" s="74">
        <f t="shared" si="525"/>
        <v>0</v>
      </c>
      <c r="ER158" s="81"/>
      <c r="ES158" s="82"/>
      <c r="ET158" s="469"/>
      <c r="EU158" s="82"/>
      <c r="EV158" s="171"/>
      <c r="EW158" s="79"/>
      <c r="EX158" s="171"/>
      <c r="EY158" s="79"/>
      <c r="EZ158" s="171"/>
      <c r="FA158" s="79"/>
      <c r="FB158" s="217"/>
      <c r="FC158" s="79"/>
      <c r="FD158" s="171"/>
      <c r="FE158" s="79"/>
      <c r="FF158" s="171"/>
      <c r="FG158" s="79"/>
      <c r="FH158" s="171"/>
      <c r="FI158" s="79"/>
      <c r="FJ158" s="171"/>
      <c r="FK158" s="79"/>
      <c r="FL158" s="171"/>
      <c r="FM158" s="79"/>
      <c r="FN158" s="171"/>
      <c r="FO158" s="79"/>
      <c r="FP158" s="171"/>
      <c r="FQ158" s="79"/>
      <c r="FR158" s="171"/>
      <c r="FS158" s="79"/>
      <c r="FT158" s="171"/>
      <c r="FU158" s="79"/>
      <c r="FV158" s="171"/>
      <c r="FW158" s="79"/>
      <c r="FX158" s="74">
        <f>FX92+FX124</f>
        <v>0</v>
      </c>
      <c r="FY158" s="79"/>
      <c r="FZ158" s="74">
        <f>FZ92+FZ124</f>
        <v>0</v>
      </c>
      <c r="GA158" s="79"/>
      <c r="GB158" s="74">
        <f>GB92+GB124</f>
        <v>0</v>
      </c>
      <c r="GC158" s="79"/>
      <c r="GD158" s="74">
        <f>GD92+GD124</f>
        <v>0</v>
      </c>
      <c r="GE158" s="79"/>
      <c r="GF158" s="74">
        <f>GF92+GF124</f>
        <v>0</v>
      </c>
      <c r="GG158" s="79"/>
      <c r="GH158" s="74">
        <f>GH92+GH124</f>
        <v>26.6</v>
      </c>
      <c r="GI158" s="79"/>
      <c r="GJ158" s="74">
        <f>GJ92+GJ124</f>
        <v>0</v>
      </c>
      <c r="GK158" s="79"/>
      <c r="GL158" s="74">
        <f>GL92+GL124</f>
        <v>0</v>
      </c>
      <c r="GM158" s="79"/>
      <c r="GN158" s="74">
        <f>GN92+GN124</f>
        <v>0</v>
      </c>
      <c r="GO158" s="79"/>
      <c r="GP158" s="74">
        <f>GP92+GP124</f>
        <v>0</v>
      </c>
      <c r="GQ158" s="79"/>
      <c r="GR158" s="74">
        <f>GR92+GR124</f>
        <v>0</v>
      </c>
      <c r="GS158" s="79"/>
      <c r="GT158" s="79"/>
    </row>
    <row r="159" spans="1:286" s="83" customFormat="1" ht="12.75" customHeight="1" x14ac:dyDescent="0.2">
      <c r="A159" s="77"/>
      <c r="B159" s="83" t="s">
        <v>453</v>
      </c>
      <c r="C159" s="140"/>
      <c r="D159" s="140"/>
      <c r="E159" s="242"/>
      <c r="F159" s="242"/>
      <c r="G159" s="242"/>
      <c r="H159" s="243"/>
      <c r="I159" s="242"/>
      <c r="J159" s="242"/>
      <c r="K159" s="242"/>
      <c r="L159" s="79"/>
      <c r="M159" s="242"/>
      <c r="N159" s="79"/>
      <c r="O159" s="242"/>
      <c r="P159" s="79"/>
      <c r="Q159" s="242"/>
      <c r="R159" s="79"/>
      <c r="S159" s="242"/>
      <c r="T159" s="79"/>
      <c r="U159" s="242">
        <f>U145-U152</f>
        <v>-339.30000000000064</v>
      </c>
      <c r="V159" s="79" t="str">
        <f>IF(ISERROR((U159/M159-1)*100),"NA",IF(((U159/M159-1)*100)&gt;100,"NM",IF(((U159/M159-1)*100)&lt;-50,"NM",(U159/M159-1)*100)))</f>
        <v>NA</v>
      </c>
      <c r="W159" s="242">
        <f>W145-W152</f>
        <v>127.20000000000005</v>
      </c>
      <c r="X159" s="79" t="str">
        <f>IF(ISERROR((W159/O159-1)*100),"NA",IF(((W159/O159-1)*100)&gt;100,"NM",IF(((W159/O159-1)*100)&lt;-50,"NM",(W159/O159-1)*100)))</f>
        <v>NA</v>
      </c>
      <c r="Y159" s="242">
        <f>Y145-Y152</f>
        <v>122.50000000000023</v>
      </c>
      <c r="Z159" s="79" t="str">
        <f>IF(ISERROR((Y159/Q159-1)*100),"NA",IF(((Y159/Q159-1)*100)&gt;100,"NM",IF(((Y159/Q159-1)*100)&lt;-50,"NM",(Y159/Q159-1)*100)))</f>
        <v>NA</v>
      </c>
      <c r="AA159" s="244">
        <f>AA145-AA152</f>
        <v>-341.59999999999991</v>
      </c>
      <c r="AB159" s="79" t="str">
        <f>IF(ISERROR((AA159/S159-1)*100),"NA",IF(((AA159/S159-1)*100)&gt;100,"NM",IF(((AA159/S159-1)*100)&lt;-50,"NM",(AA159/S159-1)*100)))</f>
        <v>NA</v>
      </c>
      <c r="AC159" s="242">
        <f>AC145-AC152</f>
        <v>92.799999999999955</v>
      </c>
      <c r="AD159" s="79" t="str">
        <f>IF(ISERROR((AC159/U159-1)*100),"NA",IF(((AC159/U159-1)*100)&gt;100,"NM",IF(((AC159/U159-1)*100)&lt;-50,"NM",(AC159/U159-1)*100)))</f>
        <v>NM</v>
      </c>
      <c r="AE159" s="242">
        <f>AE145-AE152</f>
        <v>113.60000000000014</v>
      </c>
      <c r="AF159" s="79">
        <f>IF(ISERROR((AE159/W159-1)*100),"NA",IF(((AE159/W159-1)*100)&gt;100,"NM",IF(((AE159/W159-1)*100)&lt;-50,"NM",(AE159/W159-1)*100)))</f>
        <v>-10.69182389937099</v>
      </c>
      <c r="AG159" s="242">
        <f>AG145-AG152</f>
        <v>114.13000000000011</v>
      </c>
      <c r="AH159" s="79">
        <f>IF(ISERROR((AG159/Y159-1)*100),"NA",IF(((AG159/Y159-1)*100)&gt;100,"NM",IF(((AG159/Y159-1)*100)&lt;-50,"NM",(AG159/Y159-1)*100)))</f>
        <v>-6.8326530612245691</v>
      </c>
      <c r="AI159" s="242">
        <f>AI145-AI152</f>
        <v>14.970000000000027</v>
      </c>
      <c r="AJ159" s="79" t="str">
        <f>IF(ISERROR((AI159/AA159-1)*100),"NA",IF(((AI159/AA159-1)*100)&gt;100,"NM",IF(((AI159/AA159-1)*100)&lt;-50,"NM",(AI159/AA159-1)*100)))</f>
        <v>NM</v>
      </c>
      <c r="AK159" s="242">
        <f>AK145-AK152</f>
        <v>100.50000000000023</v>
      </c>
      <c r="AL159" s="79">
        <f>IF(ISERROR((AK159/AC159-1)*100),"NA",IF(((AK159/AC159-1)*100)&gt;100,"NM",IF(((AK159/AC159-1)*100)&lt;-50,"NM",(AK159/AC159-1)*100)))</f>
        <v>8.2974137931037362</v>
      </c>
      <c r="AM159" s="242">
        <f>AM145-AM152</f>
        <v>111.40000000000009</v>
      </c>
      <c r="AN159" s="79">
        <f>IF(ISERROR((AM159/AE159-1)*100),"NA",IF(((AM159/AE159-1)*100)&gt;100,"NM",IF(((AM159/AE159-1)*100)&lt;-50,"NM",(AM159/AE159-1)*100)))</f>
        <v>-1.9366197183098954</v>
      </c>
      <c r="AO159" s="242">
        <f>AO145-AO152</f>
        <v>112.59999999999991</v>
      </c>
      <c r="AP159" s="79">
        <f>IF(ISERROR((AO159/AG159-1)*100),"NA",IF(((AO159/AG159-1)*100)&gt;100,"NM",IF(((AO159/AG159-1)*100)&lt;-50,"NM",(AO159/AG159-1)*100)))</f>
        <v>-1.340576535529836</v>
      </c>
      <c r="AQ159" s="242">
        <f>AQ145-AQ152</f>
        <v>103.90000000000009</v>
      </c>
      <c r="AR159" s="79" t="str">
        <f>IF(ISERROR((AQ159/AI159-1)*100),"NA",IF(((AQ159/AI159-1)*100)&gt;100,"NM",IF(((AQ159/AI159-1)*100)&lt;-50,"NM",(AQ159/AI159-1)*100)))</f>
        <v>NM</v>
      </c>
      <c r="AS159" s="242">
        <f>AS145-AS152</f>
        <v>101.29999999999973</v>
      </c>
      <c r="AT159" s="81">
        <f>IF(ISERROR((AS159/AK159-1)*100),"NA",IF(((AS159/AK159-1)*100)&gt;100,"NM",IF(((AS159/AK159-1)*100)&lt;-50,"NM",(AS159/AK159-1)*100)))</f>
        <v>0.79601990049700255</v>
      </c>
      <c r="AU159" s="242">
        <f>AU145-AU152</f>
        <v>104.5</v>
      </c>
      <c r="AV159" s="81">
        <f>IF(ISERROR((AU159/AM159-1)*100),"NA",IF(((AU159/AM159-1)*100)&gt;100,"NM",IF(((AU159/AM159-1)*100)&lt;-50,"NM",(AU159/AM159-1)*100)))</f>
        <v>-6.1938958707361653</v>
      </c>
      <c r="AW159" s="242">
        <f>AW145-AW152</f>
        <v>118.20000000000005</v>
      </c>
      <c r="AX159" s="81">
        <f>IF(ISERROR((AW159/AO159-1)*100),"NA",IF(((AW159/AO159-1)*100)&gt;100,"NM",IF(((AW159/AO159-1)*100)&lt;-50,"NM",(AW159/AO159-1)*100)))</f>
        <v>4.9733570159859131</v>
      </c>
      <c r="AY159" s="242">
        <f>AY145-AY152</f>
        <v>135.89999999999986</v>
      </c>
      <c r="AZ159" s="81">
        <f>IF(ISERROR((AY159/AQ159-1)*100),"NA",IF(((AY159/AQ159-1)*100)&gt;100,"NM",IF(((AY159/AQ159-1)*100)&lt;-50,"NM",(AY159/AQ159-1)*100)))</f>
        <v>30.798845043310628</v>
      </c>
      <c r="BA159" s="242">
        <f>BA145-BA152</f>
        <v>136.89999999999986</v>
      </c>
      <c r="BB159" s="81">
        <f>IF(ISERROR((BA159/AS159-1)*100),"NA",IF(((BA159/AS159-1)*100)&gt;100,"NM",IF(((BA159/AS159-1)*100)&lt;-50,"NM",(BA159/AS159-1)*100)))</f>
        <v>35.143139190523428</v>
      </c>
      <c r="BC159" s="242">
        <f>BC145-BC152</f>
        <v>152.69999999999982</v>
      </c>
      <c r="BD159" s="81">
        <f>IF(ISERROR((BC159/AU159-1)*100),"NA",IF(((BC159/AU159-1)*100)&gt;100,"NM",IF(((BC159/AU159-1)*100)&lt;-50,"NM",(BC159/AU159-1)*100)))</f>
        <v>46.124401913875431</v>
      </c>
      <c r="BE159" s="242">
        <f>BE145-BE152</f>
        <v>157.79999999999995</v>
      </c>
      <c r="BF159" s="81">
        <f>IF(ISERROR((BE159/AW159-1)*100),"NA",IF(((BE159/AW159-1)*100)&gt;100,"NM",IF(((BE159/AW159-1)*100)&lt;-50,"NM",(BE159/AW159-1)*100)))</f>
        <v>33.502538071065892</v>
      </c>
      <c r="BG159" s="242">
        <f>BG145-BG152</f>
        <v>160.89999999999986</v>
      </c>
      <c r="BH159" s="81">
        <f>IF(ISERROR((BG159/AY159-1)*100),"NA",IF(((BG159/AY159-1)*100)&gt;100,"NM",IF(((BG159/AY159-1)*100)&lt;-50,"NM",(BG159/AY159-1)*100)))</f>
        <v>18.395879323031661</v>
      </c>
      <c r="BI159" s="242">
        <f>BI145-BI152</f>
        <v>158.29999999999995</v>
      </c>
      <c r="BJ159" s="81">
        <f>IF(ISERROR((BI159/BA159-1)*100),"NA",IF(((BI159/BA159-1)*100)&gt;100,"NM",IF(((BI159/BA159-1)*100)&lt;-50,"NM",(BI159/BA159-1)*100)))</f>
        <v>15.631848064280573</v>
      </c>
      <c r="BK159" s="242">
        <f>BK145-BK152</f>
        <v>171.60000000000036</v>
      </c>
      <c r="BL159" s="81">
        <f>IF(ISERROR((BK159/BC159-1)*100),"NA",IF(((BK159/BC159-1)*100)&gt;100,"NM",IF(((BK159/BC159-1)*100)&lt;-50,"NM",(BK159/BC159-1)*100)))</f>
        <v>12.377210216110402</v>
      </c>
      <c r="BM159" s="242">
        <f>BM145-BM152</f>
        <v>171.59999999999968</v>
      </c>
      <c r="BN159" s="81">
        <f>IF(ISERROR((BM159/BE159-1)*100),"NA",IF(((BM159/BE159-1)*100)&gt;100,"NM",IF(((BM159/BE159-1)*100)&lt;-50,"NM",(BM159/BE159-1)*100)))</f>
        <v>8.7452471482887937</v>
      </c>
      <c r="BO159" s="242">
        <f>BO145-BO152</f>
        <v>182.60000000000036</v>
      </c>
      <c r="BP159" s="81">
        <f>IF(ISERROR((BO159/BG159-1)*100),"NA",IF(((BO159/BG159-1)*100)&gt;100,"NM",IF(((BO159/BG159-1)*100)&lt;-50,"NM",(BO159/BG159-1)*100)))</f>
        <v>13.486637663145128</v>
      </c>
      <c r="BQ159" s="242">
        <f>BQ145-BQ152</f>
        <v>183.60000000000014</v>
      </c>
      <c r="BR159" s="81">
        <f>IF(ISERROR((BQ159/BI159-1)*100),"NA",IF(((BQ159/BI159-1)*100)&gt;100,"NM",IF(((BQ159/BI159-1)*100)&lt;-50,"NM",(BQ159/BI159-1)*100)))</f>
        <v>15.982312065698157</v>
      </c>
      <c r="BS159" s="242">
        <f>BS145-BS152</f>
        <v>191.2999999999995</v>
      </c>
      <c r="BT159" s="81">
        <f>IF(ISERROR((BS159/BK159-1)*100),"NA",IF(((BS159/BK159-1)*100)&gt;100,"NM",IF(((BS159/BK159-1)*100)&lt;-50,"NM",(BS159/BK159-1)*100)))</f>
        <v>11.48018648018596</v>
      </c>
      <c r="BU159" s="242">
        <f>BU145-BU152</f>
        <v>197.09999999999945</v>
      </c>
      <c r="BV159" s="81">
        <f>IF(ISERROR((BU159/BM159-1)*100),"NA",IF(((BU159/BM159-1)*100)&gt;100,"NM",IF(((BU159/BM159-1)*100)&lt;-50,"NM",(BU159/BM159-1)*100)))</f>
        <v>14.860139860139764</v>
      </c>
      <c r="BW159" s="242">
        <f>BW145-BW152</f>
        <v>203</v>
      </c>
      <c r="BX159" s="81">
        <f>IF(ISERROR((BW159/BO159-1)*100),"NA",IF(((BW159/BO159-1)*100)&gt;100,"NM",IF(((BW159/BO159-1)*100)&lt;-50,"NM",(BW159/BO159-1)*100)))</f>
        <v>11.171960569550698</v>
      </c>
      <c r="BY159" s="242">
        <f>BY145-BY152</f>
        <v>182.5</v>
      </c>
      <c r="BZ159" s="81">
        <f>IF(ISERROR((BY159/BQ159-1)*100),"NA",IF(((BY159/BQ159-1)*100)&gt;100,"NM",IF(((BY159/BQ159-1)*100)&lt;-50,"NM",(BY159/BQ159-1)*100)))</f>
        <v>-0.59912854030508278</v>
      </c>
      <c r="CA159" s="242">
        <f>CA145-CA152</f>
        <v>200.79999999999995</v>
      </c>
      <c r="CB159" s="81">
        <f>IF(ISERROR((CA159/BS159-1)*100),"NA",IF(((CA159/BS159-1)*100)&gt;100,"NM",IF(((CA159/BS159-1)*100)&lt;-50,"NM",(CA159/BS159-1)*100)))</f>
        <v>4.9660219550446749</v>
      </c>
      <c r="CC159" s="242">
        <f>CC145-CC152</f>
        <v>190.99999999999977</v>
      </c>
      <c r="CD159" s="81">
        <f>IF(ISERROR((CC159/BU159-1)*100),"NA",IF(((CC159/BU159-1)*100)&gt;100,"NM",IF(((CC159/BU159-1)*100)&lt;-50,"NM",(CC159/BU159-1)*100)))</f>
        <v>-3.0948756976152736</v>
      </c>
      <c r="CE159" s="242">
        <f>CE145-CE152</f>
        <v>195.00000000000023</v>
      </c>
      <c r="CF159" s="81">
        <f>IF(ISERROR((CE159/BW159-1)*100),"NA",IF(((CE159/BW159-1)*100)&gt;100,"NM",IF(((CE159/BW159-1)*100)&lt;-50,"NM",(CE159/BW159-1)*100)))</f>
        <v>-3.9408866995072733</v>
      </c>
      <c r="CG159" s="242">
        <f>CG145-CG152</f>
        <v>194.70000000000005</v>
      </c>
      <c r="CH159" s="81">
        <f>IF(ISERROR((CG159/BY159-1)*100),"NA",IF(((CG159/BY159-1)*100)&gt;100,"NM",IF(((CG159/BY159-1)*100)&lt;-50,"NM",(CG159/BY159-1)*100)))</f>
        <v>6.6849315068493453</v>
      </c>
      <c r="CI159" s="242">
        <f>CI145-CI152</f>
        <v>205.59999999999991</v>
      </c>
      <c r="CJ159" s="81">
        <f>IF(ISERROR((CI159/CA159-1)*100),"NA",IF(((CI159/CA159-1)*100)&gt;100,"NM",IF(((CI159/CA159-1)*100)&lt;-50,"NM",(CI159/CA159-1)*100)))</f>
        <v>2.3904382470119279</v>
      </c>
      <c r="CK159" s="242">
        <f>CK145-CK152</f>
        <v>209.20000000000027</v>
      </c>
      <c r="CL159" s="81">
        <f>IF(ISERROR((CK159/CC159-1)*100),"NA",IF(((CK159/CC159-1)*100)&gt;100,"NM",IF(((CK159/CC159-1)*100)&lt;-50,"NM",(CK159/CC159-1)*100)))</f>
        <v>9.5287958115185987</v>
      </c>
      <c r="CM159" s="242">
        <f>CM145-CM152</f>
        <v>207.40000000000009</v>
      </c>
      <c r="CN159" s="81">
        <f>IF(ISERROR((CM159/CE159-1)*100),"NA",IF(((CM159/CE159-1)*100)&gt;100,"NM",IF(((CM159/CE159-1)*100)&lt;-50,"NM",(CM159/CE159-1)*100)))</f>
        <v>6.3589743589742787</v>
      </c>
      <c r="CO159" s="242">
        <f>CO145-CO152</f>
        <v>205.89999999999964</v>
      </c>
      <c r="CP159" s="81">
        <f>IF(ISERROR((CO159/CG159-1)*100),"NA",IF(((CO159/CG159-1)*100)&gt;100,"NM",IF(((CO159/CG159-1)*100)&lt;-50,"NM",(CO159/CG159-1)*100)))</f>
        <v>5.752439650744523</v>
      </c>
      <c r="CQ159" s="242">
        <f>CQ145-CQ152</f>
        <v>212.70000000000027</v>
      </c>
      <c r="CR159" s="81">
        <f>IF(ISERROR((CQ159/CI159-1)*100),"NA",IF(((CQ159/CI159-1)*100)&gt;100,"NM",IF(((CQ159/CI159-1)*100)&lt;-50,"NM",(CQ159/CI159-1)*100)))</f>
        <v>3.4533073929962965</v>
      </c>
      <c r="CS159" s="242">
        <f>CS145-CS152</f>
        <v>216.29999999999995</v>
      </c>
      <c r="CT159" s="81">
        <f>IF(ISERROR((CS159/CK159-1)*100),"NA",IF(((CS159/CK159-1)*100)&gt;100,"NM",IF(((CS159/CK159-1)*100)&lt;-50,"NM",(CS159/CK159-1)*100)))</f>
        <v>3.3938814531547123</v>
      </c>
      <c r="CU159" s="242">
        <f>CU145-CU152</f>
        <v>212.19999999999982</v>
      </c>
      <c r="CV159" s="81">
        <f>IF(ISERROR((CU159/CM159-1)*100),"NA",IF(((CU159/CM159-1)*100)&gt;100,"NM",IF(((CU159/CM159-1)*100)&lt;-50,"NM",(CU159/CM159-1)*100)))</f>
        <v>2.3143683702988138</v>
      </c>
      <c r="CW159" s="242">
        <f>CW145-CW152+CW158</f>
        <v>205.20000000000005</v>
      </c>
      <c r="CX159" s="81">
        <f>IF(ISERROR((CW159/CO159-1)*100),"NA",IF(((CW159/CO159-1)*100)&gt;100,"NM",IF(((CW159/CO159-1)*100)&lt;-50,"NM",(CW159/CO159-1)*100)))</f>
        <v>-0.33997085964040386</v>
      </c>
      <c r="CY159" s="242">
        <f>CY145-CY152+CY158</f>
        <v>211.09999999999991</v>
      </c>
      <c r="CZ159" s="81">
        <f>IF(ISERROR((CY159/CQ159-1)*100),"NA",IF(((CY159/CQ159-1)*100)&gt;100,"NM",IF(((CY159/CQ159-1)*100)&lt;-50,"NM",(CY159/CQ159-1)*100)))</f>
        <v>-0.75223319228977514</v>
      </c>
      <c r="DA159" s="242">
        <f>DA145-DA152+DA158</f>
        <v>216.90000000000009</v>
      </c>
      <c r="DB159" s="81">
        <f>IF(ISERROR((DA159/CS159-1)*100),"NA",IF(((DA159/CS159-1)*100)&gt;100,"NM",IF(((DA159/CS159-1)*100)&lt;-50,"NM",(DA159/CS159-1)*100)))</f>
        <v>0.27739251040228563</v>
      </c>
      <c r="DC159" s="242">
        <f>DC145-DC152+DC158</f>
        <v>225.20000000000005</v>
      </c>
      <c r="DD159" s="81">
        <f>IF(ISERROR((DC159/CU159-1)*100),"NA",IF(((DC159/CU159-1)*100)&gt;100,"NM",IF(((DC159/CU159-1)*100)&lt;-50,"NM",(DC159/CU159-1)*100)))</f>
        <v>6.1262959472197176</v>
      </c>
      <c r="DE159" s="242">
        <f>DE145-DE152+DE158</f>
        <v>207.5</v>
      </c>
      <c r="DF159" s="81">
        <f>IF(ISERROR((DE159/CW159-1)*100),"NA",IF(((DE159/CW159-1)*100)&gt;100,"NM",IF(((DE159/CW159-1)*100)&lt;-50,"NM",(DE159/CW159-1)*100)))</f>
        <v>1.1208576998050557</v>
      </c>
      <c r="DG159" s="242">
        <f>DG145-DG152+DG158</f>
        <v>215.79999999999973</v>
      </c>
      <c r="DH159" s="81">
        <f>IF(ISERROR((DG159/CY159-1)*100),"NA",IF(((DG159/CY159-1)*100)&gt;100,"NM",IF(((DG159/CY159-1)*100)&lt;-50,"NM",(DG159/CY159-1)*100)))</f>
        <v>2.2264329701562335</v>
      </c>
      <c r="DI159" s="242">
        <f>DI145-DI152+DI158</f>
        <v>212.10000000000014</v>
      </c>
      <c r="DJ159" s="81">
        <f>IF(ISERROR((DI159/DA159-1)*100),"NA",IF(((DI159/DA159-1)*100)&gt;100,"NM",IF(((DI159/DA159-1)*100)&lt;-50,"NM",(DI159/DA159-1)*100)))</f>
        <v>-2.2130013831258455</v>
      </c>
      <c r="DK159" s="242">
        <f>DK145-DK152+DK158</f>
        <v>209.5</v>
      </c>
      <c r="DL159" s="81">
        <f>IF(ISERROR((DK159/DC159-1)*100),"NA",IF(((DK159/DC159-1)*100)&gt;100,"NM",IF(((DK159/DC159-1)*100)&lt;-50,"NM",(DK159/DC159-1)*100)))</f>
        <v>-6.9715808170515263</v>
      </c>
      <c r="DM159" s="242">
        <f>DM145-DM152+DM158</f>
        <v>214.30000000000018</v>
      </c>
      <c r="DN159" s="81">
        <f>IF(ISERROR((DM159/DE159-1)*100),"NA",IF(((DM159/DE159-1)*100)&gt;100,"NM",IF(((DM159/DE159-1)*100)&lt;-50,"NM",(DM159/DE159-1)*100)))</f>
        <v>3.277108433735032</v>
      </c>
      <c r="DO159" s="242">
        <f>DO145-DO152+DO158</f>
        <v>202.80000000000018</v>
      </c>
      <c r="DP159" s="81">
        <f>IF(ISERROR((DO159/DG159-1)*100),"NA",IF(((DO159/DG159-1)*100)&gt;100,"NM",IF(((DO159/DG159-1)*100)&lt;-50,"NM",(DO159/DG159-1)*100)))</f>
        <v>-6.0240963855419665</v>
      </c>
      <c r="DQ159" s="242">
        <f>DQ145-DQ152+DQ158</f>
        <v>218.69999999999982</v>
      </c>
      <c r="DR159" s="81">
        <f>IF(ISERROR((DQ159/DI159-1)*100),"NA",IF(((DQ159/DI159-1)*100)&gt;100,"NM",IF(((DQ159/DI159-1)*100)&lt;-50,"NM",(DQ159/DI159-1)*100)))</f>
        <v>3.1117397454029527</v>
      </c>
      <c r="DS159" s="242">
        <f>DS145-DS152+DS158</f>
        <v>214.19999999999982</v>
      </c>
      <c r="DT159" s="81">
        <f>IF(ISERROR((DS159/DK159-1)*100),"NA",IF(((DS159/DK159-1)*100)&gt;100,"NM",IF(((DS159/DK159-1)*100)&lt;-50,"NM",(DS159/DK159-1)*100)))</f>
        <v>2.243436754176531</v>
      </c>
      <c r="DU159" s="242">
        <f>DU145-DU152+DU158</f>
        <v>215.90000000000032</v>
      </c>
      <c r="DV159" s="81">
        <f>IF(ISERROR((DU159/DM159-1)*100),"NA",IF(((DU159/DM159-1)*100)&gt;100,"NM",IF(((DU159/DM159-1)*100)&lt;-50,"NM",(DU159/DM159-1)*100)))</f>
        <v>0.74661689220725247</v>
      </c>
      <c r="DW159" s="242">
        <f>DW145-DW152+DW158</f>
        <v>227.20000000000027</v>
      </c>
      <c r="DX159" s="81">
        <f>IF(ISERROR((DW159/DO159-1)*100),"NA",IF(((DW159/DO159-1)*100)&gt;100,"NM",IF(((DW159/DO159-1)*100)&lt;-50,"NM",(DW159/DO159-1)*100)))</f>
        <v>12.031558185404378</v>
      </c>
      <c r="DY159" s="242">
        <f>DY145-DY152+DY158</f>
        <v>231</v>
      </c>
      <c r="DZ159" s="81">
        <f>IF(ISERROR((DY159/DQ159-1)*100),"NA",IF(((DY159/DQ159-1)*100)&gt;100,"NM",IF(((DY159/DQ159-1)*100)&lt;-50,"NM",(DY159/DQ159-1)*100)))</f>
        <v>5.6241426611797873</v>
      </c>
      <c r="EA159" s="242">
        <f>EA145-EA152+EA158</f>
        <v>240.09999999999945</v>
      </c>
      <c r="EB159" s="81">
        <f>IF(ISERROR((EA159/DS159-1)*100),"NA",IF(((EA159/DS159-1)*100)&gt;100,"NM",IF(((EA159/DS159-1)*100)&lt;-50,"NM",(EA159/DS159-1)*100)))</f>
        <v>12.091503267973703</v>
      </c>
      <c r="EC159" s="242">
        <f>EC145-EC152+EC158</f>
        <v>239.09999999999991</v>
      </c>
      <c r="ED159" s="81">
        <f t="shared" ref="ED159:ED160" si="526">IF(ISERROR((EC159/DU159-1)*100),"NA",IF(((EC159/DU159-1)*100)&gt;100,"NM",IF(((EC159/DU159-1)*100)&lt;-50,"NM",(EC159/DU159-1)*100)))</f>
        <v>10.745715609078065</v>
      </c>
      <c r="EE159" s="242">
        <f>EE145-EE152+EE158</f>
        <v>247.80000000000018</v>
      </c>
      <c r="EF159" s="81">
        <f t="shared" ref="EF159:EF160" si="527">IF(ISERROR((EE159/DW159-1)*100),"NA",IF(((EE159/DW159-1)*100)&gt;100,"NM",IF(((EE159/DW159-1)*100)&lt;-50,"NM",(EE159/DW159-1)*100)))</f>
        <v>9.0669014084506561</v>
      </c>
      <c r="EG159" s="242">
        <f>EG145-EG152+EG158</f>
        <v>258.40000000000009</v>
      </c>
      <c r="EH159" s="81">
        <f t="shared" ref="EH159:EH160" si="528">IF(ISERROR((EG159/DY159-1)*100),"NA",IF(((EG159/DY159-1)*100)&gt;100,"NM",IF(((EG159/DY159-1)*100)&lt;-50,"NM",(EG159/DY159-1)*100)))</f>
        <v>11.861471861471905</v>
      </c>
      <c r="EI159" s="242">
        <f>EI145-EI152+EI158</f>
        <v>264.20000000000016</v>
      </c>
      <c r="EJ159" s="81">
        <f t="shared" ref="EJ159:EJ160" si="529">IF(ISERROR((EI159/EA159-1)*100),"NA",IF(((EI159/EA159-1)*100)&gt;100,"NM",IF(((EI159/EA159-1)*100)&lt;-50,"NM",(EI159/EA159-1)*100)))</f>
        <v>10.037484381508023</v>
      </c>
      <c r="EK159" s="242">
        <f t="shared" ref="EK159:EQ159" si="530">EK145-EK152+EK158</f>
        <v>247.75395908854307</v>
      </c>
      <c r="EL159" s="81">
        <f t="shared" ref="EL159:EL160" si="531">IF(ISERROR((EK159/EC159-1)*100),"NA",IF(((EK159/EC159-1)*100)&gt;100,"NM",IF(((EK159/EC159-1)*100)&lt;-50,"NM",(EK159/EC159-1)*100)))</f>
        <v>3.6193889956265934</v>
      </c>
      <c r="EM159" s="242">
        <f t="shared" si="530"/>
        <v>249.92341271997634</v>
      </c>
      <c r="EN159" s="81">
        <f t="shared" ref="EN159:EN160" si="532">IF(ISERROR((EM159/EE159-1)*100),"NA",IF(((EM159/EE159-1)*100)&gt;100,"NM",IF(((EM159/EE159-1)*100)&lt;-50,"NM",(EM159/EE159-1)*100)))</f>
        <v>0.85690585955453535</v>
      </c>
      <c r="EO159" s="242">
        <f t="shared" si="530"/>
        <v>253.27590306912748</v>
      </c>
      <c r="EP159" s="81">
        <f t="shared" ref="EP159:EP160" si="533">IF(ISERROR((EO159/EG159-1)*100),"NA",IF(((EO159/EG159-1)*100)&gt;100,"NM",IF(((EO159/EG159-1)*100)&lt;-50,"NM",(EO159/EG159-1)*100)))</f>
        <v>-1.9830096481705195</v>
      </c>
      <c r="EQ159" s="242">
        <f t="shared" si="530"/>
        <v>256.21326921042373</v>
      </c>
      <c r="ER159" s="81">
        <f t="shared" ref="ER159:ER160" si="534">IF(ISERROR((EQ159/EI159-1)*100),"NA",IF(((EQ159/EI159-1)*100)&gt;100,"NM",IF(((EQ159/EI159-1)*100)&lt;-50,"NM",(EQ159/EI159-1)*100)))</f>
        <v>-3.0229866728146981</v>
      </c>
      <c r="ES159" s="138"/>
      <c r="ET159" s="470"/>
      <c r="EU159" s="138"/>
      <c r="EV159" s="242"/>
      <c r="EW159" s="140"/>
      <c r="EX159" s="242"/>
      <c r="EY159" s="79"/>
      <c r="EZ159" s="242"/>
      <c r="FA159" s="79"/>
      <c r="FB159" s="242"/>
      <c r="FC159" s="79"/>
      <c r="FD159" s="242">
        <f>FD145-FD152</f>
        <v>703.00000000000091</v>
      </c>
      <c r="FE159" s="79" t="str">
        <f>IF(ISERROR((FD159/FB159-1)*100),"NA",IF(((FD159/FB159-1)*100)&gt;100,"NM",IF(((FD159/FB159-1)*100)&lt;-50,"NM",(FD159/FB159-1)*100)))</f>
        <v>NA</v>
      </c>
      <c r="FF159" s="242">
        <f>FF145-FF152</f>
        <v>-431.19999999999982</v>
      </c>
      <c r="FG159" s="79" t="str">
        <f>IF(ISERROR((FF159/FD159-1)*100),"NA",IF(((FF159/FD159-1)*100)&gt;100,"NM",IF(((FF159/FD159-1)*100)&lt;-50,"NM",(FF159/FD159-1)*100)))</f>
        <v>NM</v>
      </c>
      <c r="FH159" s="242">
        <f>FH145-FH152</f>
        <v>335.50000000000091</v>
      </c>
      <c r="FI159" s="79" t="str">
        <f>IF(ISERROR((FH159/FF159-1)*100),"NA",IF(((FH159/FF159-1)*100)&gt;100,"NM",IF(((FH159/FF159-1)*100)&lt;-50,"NM",(FH159/FF159-1)*100)))</f>
        <v>NM</v>
      </c>
      <c r="FJ159" s="242">
        <f>FJ145-FJ152</f>
        <v>428.39999999999964</v>
      </c>
      <c r="FK159" s="79">
        <f>IF(ISERROR((FJ159/FH159-1)*100),"NA",IF(((FJ159/FH159-1)*100)&gt;100,"NM",IF(((FJ159/FH159-1)*100)&lt;-50,"NM",(FJ159/FH159-1)*100)))</f>
        <v>27.69001490312921</v>
      </c>
      <c r="FL159" s="242">
        <f>FL145-FL152</f>
        <v>459.89999999999964</v>
      </c>
      <c r="FM159" s="79">
        <f>IF(ISERROR((FL159/FJ159-1)*100),"NA",IF(((FL159/FJ159-1)*100)&gt;100,"NM",IF(((FL159/FJ159-1)*100)&lt;-50,"NM",(FL159/FJ159-1)*100)))</f>
        <v>7.3529411764705843</v>
      </c>
      <c r="FN159" s="242">
        <f>FN145-FN152</f>
        <v>608.30000000000109</v>
      </c>
      <c r="FO159" s="79">
        <f>IF(ISERROR((FN159/FL159-1)*100),"NA",IF(((FN159/FL159-1)*100)&gt;100,"NM",IF(((FN159/FL159-1)*100)&lt;-50,"NM",(FN159/FL159-1)*100)))</f>
        <v>32.267884322679173</v>
      </c>
      <c r="FP159" s="242">
        <f>FP145-FP152</f>
        <v>684.09999999999945</v>
      </c>
      <c r="FQ159" s="79">
        <f>IF(ISERROR((FP159/FN159-1)*100),"NA",IF(((FP159/FN159-1)*100)&gt;100,"NM",IF(((FP159/FN159-1)*100)&lt;-50,"NM",(FP159/FN159-1)*100)))</f>
        <v>12.460956764753938</v>
      </c>
      <c r="FR159" s="242">
        <f>FR145-FR152</f>
        <v>718.99999999999909</v>
      </c>
      <c r="FS159" s="79">
        <f>IF(ISERROR((FR159/FP159-1)*100),"NA",IF(((FR159/FP159-1)*100)&gt;100,"NM",IF(((FR159/FP159-1)*100)&lt;-50,"NM",(FR159/FP159-1)*100)))</f>
        <v>5.1015933343077968</v>
      </c>
      <c r="FT159" s="242">
        <f>FT145-FT152</f>
        <v>769.30000000000018</v>
      </c>
      <c r="FU159" s="79">
        <f>IF(ISERROR((FT159/FR159-1)*100),"NA",IF(((FT159/FR159-1)*100)&gt;100,"NM",IF(((FT159/FR159-1)*100)&lt;-50,"NM",(FT159/FR159-1)*100)))</f>
        <v>6.9958275382477231</v>
      </c>
      <c r="FV159" s="242">
        <f>FV145-FV152</f>
        <v>816.89999999999964</v>
      </c>
      <c r="FW159" s="79">
        <f>IF(ISERROR((FV159/FT159-1)*100),"NA",IF(((FV159/FT159-1)*100)&gt;100,"NM",IF(((FV159/FT159-1)*100)&lt;-50,"NM",(FV159/FT159-1)*100)))</f>
        <v>6.1874431301182087</v>
      </c>
      <c r="FX159" s="242">
        <f>FX145-FX152+FX158</f>
        <v>842.79999999999927</v>
      </c>
      <c r="FY159" s="79">
        <f>IF(ISERROR((FX159/FV159-1)*100),"NA",IF(((FX159/FV159-1)*100)&gt;100,"NM",IF(((FX159/FV159-1)*100)&lt;-50,"NM",(FX159/FV159-1)*100)))</f>
        <v>3.1705227077977183</v>
      </c>
      <c r="FZ159" s="242">
        <f>FZ145-FZ152+FZ158</f>
        <v>858.40000000000055</v>
      </c>
      <c r="GA159" s="79">
        <f>IF(ISERROR((FZ159/FX159-1)*100),"NA",IF(((FZ159/FX159-1)*100)&gt;100,"NM",IF(((FZ159/FX159-1)*100)&lt;-50,"NM",(FZ159/FX159-1)*100)))</f>
        <v>1.8509729473186187</v>
      </c>
      <c r="GB159" s="242">
        <f>GB145-GB152+GB158</f>
        <v>844.90000000000055</v>
      </c>
      <c r="GC159" s="79">
        <f>IF(ISERROR((GB159/FZ159-1)*100),"NA",IF(((GB159/FZ159-1)*100)&gt;100,"NM",IF(((GB159/FZ159-1)*100)&lt;-50,"NM",(GB159/FZ159-1)*100)))</f>
        <v>-1.572693383038215</v>
      </c>
      <c r="GD159" s="242">
        <f>GD145-GD152+GD158</f>
        <v>850</v>
      </c>
      <c r="GE159" s="79">
        <f>IF(ISERROR((GD159/GB159-1)*100),"NA",IF(((GD159/GB159-1)*100)&gt;100,"NM",IF(((GD159/GB159-1)*100)&lt;-50,"NM",(GD159/GB159-1)*100)))</f>
        <v>0.60362173038222</v>
      </c>
      <c r="GF159" s="242">
        <f>GF145-GF152+GF158</f>
        <v>914.19999999999982</v>
      </c>
      <c r="GG159" s="79">
        <f>IF(ISERROR((GF159/GD159-1)*100),"NA",IF(((GF159/GD159-1)*100)&gt;100,"NM",IF(((GF159/GD159-1)*100)&lt;-50,"NM",(GF159/GD159-1)*100)))</f>
        <v>7.5529411764705623</v>
      </c>
      <c r="GH159" s="242">
        <f>GH145-GH152+GH158</f>
        <v>1009.4999999999997</v>
      </c>
      <c r="GI159" s="79">
        <f>IF(ISERROR((GH159/GF159-1)*100),"NA",IF(((GH159/GF159-1)*100)&gt;100,"NM",IF(((GH159/GF159-1)*100)&lt;-50,"NM",(GH159/GF159-1)*100)))</f>
        <v>10.424414788886448</v>
      </c>
      <c r="GJ159" s="242">
        <f>GJ145-GJ152+GJ158</f>
        <v>1007.1665440880697</v>
      </c>
      <c r="GK159" s="79">
        <f>IF(ISERROR((GJ159/GH159-1)*100),"NA",IF(((GJ159/GH159-1)*100)&gt;100,"NM",IF(((GJ159/GH159-1)*100)&lt;-50,"NM",(GJ159/GH159-1)*100)))</f>
        <v>-0.23114966933431846</v>
      </c>
      <c r="GL159" s="242">
        <f>GL145-GL152+GL158</f>
        <v>1038.8742678077633</v>
      </c>
      <c r="GM159" s="79">
        <f>IF(ISERROR((GL159/GJ159-1)*100),"NA",IF(((GL159/GJ159-1)*100)&gt;100,"NM",IF(((GL159/GJ159-1)*100)&lt;-50,"NM",(GL159/GJ159-1)*100)))</f>
        <v>3.1482105820346717</v>
      </c>
      <c r="GN159" s="242">
        <f>GN145-GN152+GN158</f>
        <v>1071.830784140473</v>
      </c>
      <c r="GO159" s="79">
        <f>IF(ISERROR((GN159/GL159-1)*100),"NA",IF(((GN159/GL159-1)*100)&gt;100,"NM",IF(((GN159/GL159-1)*100)&lt;-50,"NM",(GN159/GL159-1)*100)))</f>
        <v>3.1723296412235369</v>
      </c>
      <c r="GP159" s="242">
        <f>GP145-GP152+GP158</f>
        <v>1107.8845811916553</v>
      </c>
      <c r="GQ159" s="79">
        <f>IF(ISERROR((GP159/GN159-1)*100),"NA",IF(((GP159/GN159-1)*100)&gt;100,"NM",IF(((GP159/GN159-1)*100)&lt;-50,"NM",(GP159/GN159-1)*100)))</f>
        <v>3.3637583081824518</v>
      </c>
      <c r="GR159" s="242">
        <f>GR145-GR152+GR158</f>
        <v>1139.8795837842745</v>
      </c>
      <c r="GS159" s="79">
        <f>IF(ISERROR((GR159/GP159-1)*100),"NA",IF(((GR159/GP159-1)*100)&gt;100,"NM",IF(((GR159/GP159-1)*100)&lt;-50,"NM",(GR159/GP159-1)*100)))</f>
        <v>2.8879364453474832</v>
      </c>
      <c r="GT159" s="79">
        <f>IF(ISERROR(((GR159/GH159)^0.2-1)*100),"NA",(IF(OR(((GR159/GH159)^0.2-1)*100&gt;99,((GR159/GH159)^0.2-1)*100&lt;-50),"NM",(((GR159/GH159)^0.2-1)*100))))</f>
        <v>2.4590985031468504</v>
      </c>
      <c r="GU159" s="858"/>
      <c r="GV159" s="562"/>
      <c r="GW159"/>
      <c r="GX159"/>
      <c r="GY159"/>
      <c r="GZ159"/>
      <c r="HA159"/>
      <c r="HB159"/>
      <c r="HC159" s="562"/>
      <c r="HD159" s="562"/>
      <c r="HE159" s="562"/>
      <c r="HF159" s="562"/>
      <c r="HG159" s="562"/>
      <c r="HH159" s="562"/>
      <c r="HI159" s="562"/>
      <c r="HJ159" s="562"/>
      <c r="HK159" s="562"/>
      <c r="HL159" s="562"/>
      <c r="HM159" s="562"/>
      <c r="HN159" s="562"/>
      <c r="HO159" s="562"/>
      <c r="HP159" s="562"/>
      <c r="HQ159" s="562"/>
      <c r="HR159" s="562"/>
      <c r="HS159" s="562"/>
      <c r="HT159" s="562"/>
      <c r="HU159" s="562"/>
      <c r="HV159" s="562"/>
      <c r="HW159" s="562"/>
      <c r="HX159" s="562"/>
      <c r="HY159" s="562"/>
      <c r="HZ159" s="562"/>
      <c r="IA159" s="562"/>
      <c r="IB159" s="562"/>
      <c r="IC159" s="562"/>
      <c r="ID159" s="562"/>
      <c r="IE159" s="562"/>
      <c r="IF159" s="562"/>
      <c r="IG159" s="562"/>
      <c r="IH159" s="562"/>
      <c r="II159" s="562"/>
      <c r="IJ159" s="562"/>
      <c r="IK159" s="562"/>
      <c r="IL159" s="562"/>
      <c r="IM159" s="562"/>
      <c r="IN159" s="562"/>
      <c r="IO159" s="562"/>
      <c r="IP159" s="562"/>
      <c r="IQ159" s="562"/>
      <c r="IR159" s="562"/>
      <c r="IS159" s="562"/>
      <c r="IT159" s="562"/>
      <c r="IU159" s="562"/>
      <c r="IV159" s="562"/>
      <c r="IW159" s="562"/>
      <c r="IX159" s="562"/>
      <c r="IY159" s="562"/>
      <c r="IZ159" s="562"/>
      <c r="JA159" s="562"/>
      <c r="JB159" s="562"/>
      <c r="JC159" s="562"/>
      <c r="JD159" s="562"/>
      <c r="JE159" s="562"/>
      <c r="JF159" s="562"/>
      <c r="JG159" s="562"/>
      <c r="JH159" s="562"/>
      <c r="JI159" s="562"/>
      <c r="JJ159" s="562"/>
      <c r="JK159" s="562"/>
      <c r="JL159" s="562"/>
      <c r="JM159" s="562"/>
      <c r="JN159" s="562"/>
      <c r="JO159" s="562"/>
      <c r="JP159" s="562"/>
      <c r="JQ159" s="562"/>
      <c r="JR159" s="562"/>
      <c r="JS159" s="562"/>
      <c r="JT159" s="562"/>
      <c r="JU159" s="562"/>
      <c r="JV159" s="562"/>
      <c r="JW159" s="562"/>
      <c r="JX159" s="562"/>
      <c r="JY159" s="562"/>
      <c r="JZ159" s="562"/>
    </row>
    <row r="160" spans="1:286" ht="12.75" customHeight="1" x14ac:dyDescent="0.2">
      <c r="A160" s="1"/>
      <c r="B160" s="2" t="s">
        <v>55</v>
      </c>
      <c r="C160" s="171"/>
      <c r="D160" s="171"/>
      <c r="E160" s="171"/>
      <c r="F160" s="171"/>
      <c r="G160" s="171"/>
      <c r="H160" s="171"/>
      <c r="I160" s="171"/>
      <c r="J160" s="171"/>
      <c r="K160" s="171"/>
      <c r="L160" s="79"/>
      <c r="M160" s="171"/>
      <c r="N160" s="79"/>
      <c r="O160" s="171"/>
      <c r="P160" s="79"/>
      <c r="Q160" s="171"/>
      <c r="R160" s="79"/>
      <c r="S160" s="171"/>
      <c r="T160" s="79"/>
      <c r="U160" s="171">
        <f>U159/U145*100</f>
        <v>-21.658368441210307</v>
      </c>
      <c r="V160" s="79" t="str">
        <f>IF(ISERROR((U160/M160-1)*100),"NA",IF(((U160/M160-1)*100)&gt;100,"NM",IF(((U160/M160-1)*100)&lt;-50,"NM",(U160/M160-1)*100)))</f>
        <v>NA</v>
      </c>
      <c r="W160" s="171">
        <f>W159/W145*100</f>
        <v>7.901602683563179</v>
      </c>
      <c r="X160" s="79" t="str">
        <f>IF(ISERROR((W160/O160-1)*100),"NA",IF(((W160/O160-1)*100)&gt;100,"NM",IF(((W160/O160-1)*100)&lt;-50,"NM",(W160/O160-1)*100)))</f>
        <v>NA</v>
      </c>
      <c r="Y160" s="171">
        <f>Y159/Y145*100</f>
        <v>7.4987757100881627</v>
      </c>
      <c r="Z160" s="79" t="str">
        <f>IF(ISERROR((Y160/Q160-1)*100),"NA",IF(((Y160/Q160-1)*100)&gt;100,"NM",IF(((Y160/Q160-1)*100)&lt;-50,"NM",(Y160/Q160-1)*100)))</f>
        <v>NA</v>
      </c>
      <c r="AA160" s="225">
        <f>AA159/AA145*100</f>
        <v>-21.125541125541119</v>
      </c>
      <c r="AB160" s="79" t="str">
        <f>IF(ISERROR((AA160/S160-1)*100),"NA",IF(((AA160/S160-1)*100)&gt;100,"NM",IF(((AA160/S160-1)*100)&lt;-50,"NM",(AA160/S160-1)*100)))</f>
        <v>NA</v>
      </c>
      <c r="AC160" s="171">
        <f>AC159/AC145*100</f>
        <v>5.7418636307387683</v>
      </c>
      <c r="AD160" s="79" t="str">
        <f>IF(ISERROR((AC160/U160-1)*100),"NA",IF(((AC160/U160-1)*100)&gt;100,"NM",IF(((AC160/U160-1)*100)&lt;-50,"NM",(AC160/U160-1)*100)))</f>
        <v>NM</v>
      </c>
      <c r="AE160" s="171">
        <f>AE159/AE145*100</f>
        <v>7.0153770147594736</v>
      </c>
      <c r="AF160" s="79">
        <f>IF(ISERROR((AE160/W160-1)*100),"NA",IF(((AE160/W160-1)*100)&gt;100,"NM",IF(((AE160/W160-1)*100)&lt;-50,"NM",(AE160/W160-1)*100)))</f>
        <v>-11.215771082077076</v>
      </c>
      <c r="AG160" s="171">
        <f>AG159/AG145*100</f>
        <v>7.096312876950825</v>
      </c>
      <c r="AH160" s="79">
        <f>IF(ISERROR((AG160/Y160-1)*100),"NA",IF(((AG160/Y160-1)*100)&gt;100,"NM",IF(((AG160/Y160-1)*100)&lt;-50,"NM",(AG160/Y160-1)*100)))</f>
        <v>-5.3670472180665563</v>
      </c>
      <c r="AI160" s="171">
        <f>AI159/AI145*100</f>
        <v>0.9164932043590075</v>
      </c>
      <c r="AJ160" s="79" t="str">
        <f>IF(ISERROR((AI160/AA160-1)*100),"NA",IF(((AI160/AA160-1)*100)&gt;100,"NM",IF(((AI160/AA160-1)*100)&lt;-50,"NM",(AI160/AA160-1)*100)))</f>
        <v>NM</v>
      </c>
      <c r="AK160" s="171">
        <f>AK159/AK145*100</f>
        <v>6.3599544361473361</v>
      </c>
      <c r="AL160" s="79">
        <f>IF(ISERROR((AK160/AC160-1)*100),"NA",IF(((AK160/AC160-1)*100)&gt;100,"NM",IF(((AK160/AC160-1)*100)&lt;-50,"NM",(AK160/AC160-1)*100)))</f>
        <v>10.764637496781537</v>
      </c>
      <c r="AM160" s="171">
        <f>AM159/AM145*100</f>
        <v>6.9935338062653081</v>
      </c>
      <c r="AN160" s="79">
        <f>IF(ISERROR((AM160/AE160-1)*100),"NA",IF(((AM160/AE160-1)*100)&gt;100,"NM",IF(((AM160/AE160-1)*100)&lt;-50,"NM",(AM160/AE160-1)*100)))</f>
        <v>-0.31136186192431969</v>
      </c>
      <c r="AO160" s="171">
        <f>AO159/AO145*100</f>
        <v>7.1733452252022616</v>
      </c>
      <c r="AP160" s="79">
        <f>IF(ISERROR((AO160/AG160-1)*100),"NA",IF(((AO160/AG160-1)*100)&gt;100,"NM",IF(((AO160/AG160-1)*100)&lt;-50,"NM",(AO160/AG160-1)*100)))</f>
        <v>1.0855263795039427</v>
      </c>
      <c r="AQ160" s="171">
        <f>AQ159/AQ145*100</f>
        <v>6.5222849968612735</v>
      </c>
      <c r="AR160" s="79" t="str">
        <f>IF(ISERROR((AQ160/AI160-1)*100),"NA",IF(((AQ160/AI160-1)*100)&gt;100,"NM",IF(((AQ160/AI160-1)*100)&lt;-50,"NM",(AQ160/AI160-1)*100)))</f>
        <v>NM</v>
      </c>
      <c r="AS160" s="171">
        <f>AS159/AS145*100</f>
        <v>6.3835150293023961</v>
      </c>
      <c r="AT160" s="81">
        <f>IF(ISERROR((AS160/AK160-1)*100),"NA",IF(((AS160/AK160-1)*100)&gt;100,"NM",IF(((AS160/AK160-1)*100)&lt;-50,"NM",(AS160/AK160-1)*100)))</f>
        <v>0.37045223187688325</v>
      </c>
      <c r="AU160" s="171">
        <f>AU159/AU145*100</f>
        <v>6.5369698486175407</v>
      </c>
      <c r="AV160" s="81">
        <f>IF(ISERROR((AU160/AM160-1)*100),"NA",IF(((AU160/AM160-1)*100)&gt;100,"NM",IF(((AU160/AM160-1)*100)&lt;-50,"NM",(AU160/AM160-1)*100)))</f>
        <v>-6.5283727839957617</v>
      </c>
      <c r="AW160" s="171">
        <f>AW159/AW145*100</f>
        <v>7.5392269422120197</v>
      </c>
      <c r="AX160" s="81">
        <f>IF(ISERROR((AW160/AO160-1)*100),"NA",IF(((AW160/AO160-1)*100)&gt;100,"NM",IF(((AW160/AO160-1)*100)&lt;-50,"NM",(AW160/AO160-1)*100)))</f>
        <v>5.1005731011564581</v>
      </c>
      <c r="AY160" s="171">
        <f>AY159/AY145*100</f>
        <v>8.4185095707117554</v>
      </c>
      <c r="AZ160" s="81">
        <f>IF(ISERROR((AY160/AQ160-1)*100),"NA",IF(((AY160/AQ160-1)*100)&gt;100,"NM",IF(((AY160/AQ160-1)*100)&lt;-50,"NM",(AY160/AQ160-1)*100)))</f>
        <v>29.073010068756645</v>
      </c>
      <c r="BA160" s="171">
        <f>BA159/BA145*100</f>
        <v>8.8140612928148254</v>
      </c>
      <c r="BB160" s="81">
        <f>IF(ISERROR((BA160/AS160-1)*100),"NA",IF(((BA160/AS160-1)*100)&gt;100,"NM",IF(((BA160/AS160-1)*100)&lt;-50,"NM",(BA160/AS160-1)*100)))</f>
        <v>38.075358988824128</v>
      </c>
      <c r="BC160" s="171">
        <f>BC159/BC145*100</f>
        <v>9.6462413139608216</v>
      </c>
      <c r="BD160" s="81">
        <f>IF(ISERROR((BC160/AU160-1)*100),"NA",IF(((BC160/AU160-1)*100)&gt;100,"NM",IF(((BC160/AU160-1)*100)&lt;-50,"NM",(BC160/AU160-1)*100)))</f>
        <v>47.564414971270509</v>
      </c>
      <c r="BE160" s="171">
        <f>BE159/BE145*100</f>
        <v>10.072769054002295</v>
      </c>
      <c r="BF160" s="81">
        <f>IF(ISERROR((BE160/AW160-1)*100),"NA",IF(((BE160/AW160-1)*100)&gt;100,"NM",IF(((BE160/AW160-1)*100)&lt;-50,"NM",(BE160/AW160-1)*100)))</f>
        <v>33.604799685827345</v>
      </c>
      <c r="BG160" s="171">
        <f>BG159/BG145*100</f>
        <v>10.30881599179907</v>
      </c>
      <c r="BH160" s="81">
        <f>IF(ISERROR((BG160/AY160-1)*100),"NA",IF(((BG160/AY160-1)*100)&gt;100,"NM",IF(((BG160/AY160-1)*100)&lt;-50,"NM",(BG160/AY160-1)*100)))</f>
        <v>22.454169650929035</v>
      </c>
      <c r="BI160" s="171">
        <f>BI159/BI145*100</f>
        <v>10.285899935022739</v>
      </c>
      <c r="BJ160" s="81">
        <f>IF(ISERROR((BI160/BA160-1)*100),"NA",IF(((BI160/BA160-1)*100)&gt;100,"NM",IF(((BI160/BA160-1)*100)&lt;-50,"NM",(BI160/BA160-1)*100)))</f>
        <v>16.698756603925013</v>
      </c>
      <c r="BK160" s="171">
        <f>BK159/BK145*100</f>
        <v>10.952259382180261</v>
      </c>
      <c r="BL160" s="81">
        <f>IF(ISERROR((BK160/BC160-1)*100),"NA",IF(((BK160/BC160-1)*100)&gt;100,"NM",IF(((BK160/BC160-1)*100)&lt;-50,"NM",(BK160/BC160-1)*100)))</f>
        <v>13.539139502235598</v>
      </c>
      <c r="BM160" s="171">
        <f>BM159/BM145*100</f>
        <v>11.0219024985548</v>
      </c>
      <c r="BN160" s="81">
        <f>IF(ISERROR((BM160/BE160-1)*100),"NA",IF(((BM160/BE160-1)*100)&gt;100,"NM",IF(((BM160/BE160-1)*100)&lt;-50,"NM",(BM160/BE160-1)*100)))</f>
        <v>9.4227658696828485</v>
      </c>
      <c r="BO160" s="171">
        <f>BO159/BO145*100</f>
        <v>11.635019752771781</v>
      </c>
      <c r="BP160" s="81">
        <f>IF(ISERROR((BO160/BG160-1)*100),"NA",IF(((BO160/BG160-1)*100)&gt;100,"NM",IF(((BO160/BG160-1)*100)&lt;-50,"NM",(BO160/BG160-1)*100)))</f>
        <v>12.864753450131804</v>
      </c>
      <c r="BQ160" s="171">
        <f>BQ159/BQ145*100</f>
        <v>11.851278079008528</v>
      </c>
      <c r="BR160" s="81">
        <f>IF(ISERROR((BQ160/BI160-1)*100),"NA",IF(((BQ160/BI160-1)*100)&gt;100,"NM",IF(((BQ160/BI160-1)*100)&lt;-50,"NM",(BQ160/BI160-1)*100)))</f>
        <v>15.218679492066522</v>
      </c>
      <c r="BS160" s="171">
        <f>BS159/BS145*100</f>
        <v>12.280138657080467</v>
      </c>
      <c r="BT160" s="81">
        <f>IF(ISERROR((BS160/BK160-1)*100),"NA",IF(((BS160/BK160-1)*100)&gt;100,"NM",IF(((BS160/BK160-1)*100)&lt;-50,"NM",(BS160/BK160-1)*100)))</f>
        <v>12.124249696466439</v>
      </c>
      <c r="BU160" s="171">
        <f>BU159/BU145*100</f>
        <v>12.742435996896786</v>
      </c>
      <c r="BV160" s="81">
        <f>IF(ISERROR((BU160/BM160-1)*100),"NA",IF(((BU160/BM160-1)*100)&gt;100,"NM",IF(((BU160/BM160-1)*100)&lt;-50,"NM",(BU160/BM160-1)*100)))</f>
        <v>15.610131722428001</v>
      </c>
      <c r="BW160" s="171">
        <f>BW159/BW145*100</f>
        <v>13.194670133246669</v>
      </c>
      <c r="BX160" s="81">
        <f>IF(ISERROR((BW160/BO160-1)*100),"NA",IF(((BW160/BO160-1)*100)&gt;100,"NM",IF(((BW160/BO160-1)*100)&lt;-50,"NM",(BW160/BO160-1)*100)))</f>
        <v>13.404793576764984</v>
      </c>
      <c r="BY160" s="171">
        <f>BY159/BY145*100</f>
        <v>13.76112200271452</v>
      </c>
      <c r="BZ160" s="81">
        <f>IF(ISERROR((BY160/BQ160-1)*100),"NA",IF(((BY160/BQ160-1)*100)&gt;100,"NM",IF(((BY160/BQ160-1)*100)&lt;-50,"NM",(BY160/BQ160-1)*100)))</f>
        <v>16.115088271270817</v>
      </c>
      <c r="CA160" s="171">
        <f>CA159/CA145*100</f>
        <v>15.036693125655232</v>
      </c>
      <c r="CB160" s="81">
        <f>IF(ISERROR((CA160/BS160-1)*100),"NA",IF(((CA160/BS160-1)*100)&gt;100,"NM",IF(((CA160/BS160-1)*100)&lt;-50,"NM",(CA160/BS160-1)*100)))</f>
        <v>22.447258500500666</v>
      </c>
      <c r="CC160" s="171">
        <f>CC159/CC145*100</f>
        <v>14.437977171365922</v>
      </c>
      <c r="CD160" s="81">
        <f>IF(ISERROR((CC160/BU160-1)*100),"NA",IF(((CC160/BU160-1)*100)&gt;100,"NM",IF(((CC160/BU160-1)*100)&lt;-50,"NM",(CC160/BU160-1)*100)))</f>
        <v>13.306256157629971</v>
      </c>
      <c r="CE160" s="171">
        <f>CE159/CE145*100</f>
        <v>14.604553624925121</v>
      </c>
      <c r="CF160" s="81">
        <f>IF(ISERROR((CE160/BW160-1)*100),"NA",IF(((CE160/BW160-1)*100)&gt;100,"NM",IF(((CE160/BW160-1)*100)&lt;-50,"NM",(CE160/BW160-1)*100)))</f>
        <v>10.685250009592595</v>
      </c>
      <c r="CG160" s="171">
        <f>CG159/CG145*100</f>
        <v>14.600674915635551</v>
      </c>
      <c r="CH160" s="81">
        <f>IF(ISERROR((CG160/BY160-1)*100),"NA",IF(((CG160/BY160-1)*100)&gt;100,"NM",IF(((CG160/BY160-1)*100)&lt;-50,"NM",(CG160/BY160-1)*100)))</f>
        <v>6.100904510223959</v>
      </c>
      <c r="CI160" s="171">
        <f>CI159/CI145*100</f>
        <v>15.363921685846654</v>
      </c>
      <c r="CJ160" s="81">
        <f>IF(ISERROR((CI160/CA160-1)*100),"NA",IF(((CI160/CA160-1)*100)&gt;100,"NM",IF(((CI160/CA160-1)*100)&lt;-50,"NM",(CI160/CA160-1)*100)))</f>
        <v>2.1762002952172566</v>
      </c>
      <c r="CK160" s="171">
        <f>CK159/CK145*100</f>
        <v>15.556216537775153</v>
      </c>
      <c r="CL160" s="81">
        <f>IF(ISERROR((CK160/CC160-1)*100),"NA",IF(((CK160/CC160-1)*100)&gt;100,"NM",IF(((CK160/CC160-1)*100)&lt;-50,"NM",(CK160/CC160-1)*100)))</f>
        <v>7.7451249100668695</v>
      </c>
      <c r="CM160" s="171">
        <f>CM159/CM145*100</f>
        <v>15.334565619223667</v>
      </c>
      <c r="CN160" s="81">
        <f>IF(ISERROR((CM160/CE160-1)*100),"NA",IF(((CM160/CE160-1)*100)&gt;100,"NM",IF(((CM160/CE160-1)*100)&lt;-50,"NM",(CM160/CE160-1)*100)))</f>
        <v>4.9985231527559959</v>
      </c>
      <c r="CO160" s="171">
        <f>CO159/CO145*100</f>
        <v>14.901932402113314</v>
      </c>
      <c r="CP160" s="81">
        <f>IF(ISERROR((CO160/CG160-1)*100),"NA",IF(((CO160/CG160-1)*100)&gt;100,"NM",IF(((CO160/CG160-1)*100)&lt;-50,"NM",(CO160/CG160-1)*100)))</f>
        <v>2.0633120606990074</v>
      </c>
      <c r="CQ160" s="171">
        <f>CQ159/CQ145*100</f>
        <v>15.384059019239132</v>
      </c>
      <c r="CR160" s="81">
        <f>IF(ISERROR((CQ160/CI160-1)*100),"NA",IF(((CQ160/CI160-1)*100)&gt;100,"NM",IF(((CQ160/CI160-1)*100)&lt;-50,"NM",(CQ160/CI160-1)*100)))</f>
        <v>0.13106896666252865</v>
      </c>
      <c r="CS160" s="171">
        <f>CS159/CS145*100</f>
        <v>15.679594055817322</v>
      </c>
      <c r="CT160" s="81">
        <f>IF(ISERROR((CS160/CK160-1)*100),"NA",IF(((CS160/CK160-1)*100)&gt;100,"NM",IF(((CS160/CK160-1)*100)&lt;-50,"NM",(CS160/CK160-1)*100)))</f>
        <v>0.79310748691734378</v>
      </c>
      <c r="CU160" s="171">
        <f>CU159/CU145*100</f>
        <v>15.270581462291293</v>
      </c>
      <c r="CV160" s="81">
        <f>IF(ISERROR((CU160/CM160-1)*100),"NA",IF(((CU160/CM160-1)*100)&gt;100,"NM",IF(((CU160/CM160-1)*100)&lt;-50,"NM",(CU160/CM160-1)*100)))</f>
        <v>-0.41725444672631173</v>
      </c>
      <c r="CW160" s="171">
        <f>CW159/CW145*100</f>
        <v>14.561453306840763</v>
      </c>
      <c r="CX160" s="81">
        <f>IF(ISERROR((CW160/CO160-1)*100),"NA",IF(((CW160/CO160-1)*100)&gt;100,"NM",IF(((CW160/CO160-1)*100)&lt;-50,"NM",(CW160/CO160-1)*100)))</f>
        <v>-2.2847982804180877</v>
      </c>
      <c r="CY160" s="171">
        <f>CY159/CY145*100</f>
        <v>15.167409110504376</v>
      </c>
      <c r="CZ160" s="81">
        <f>IF(ISERROR((CY160/CQ160-1)*100),"NA",IF(((CY160/CQ160-1)*100)&gt;100,"NM",IF(((CY160/CQ160-1)*100)&lt;-50,"NM",(CY160/CQ160-1)*100)))</f>
        <v>-1.4082753352922972</v>
      </c>
      <c r="DA160" s="171">
        <f>DA159/DA145*100</f>
        <v>15.660649819494591</v>
      </c>
      <c r="DB160" s="81">
        <f>IF(ISERROR((DA160/CS160-1)*100),"NA",IF(((DA160/CS160-1)*100)&gt;100,"NM",IF(((DA160/CS160-1)*100)&lt;-50,"NM",(DA160/CS160-1)*100)))</f>
        <v>-0.12082096166069478</v>
      </c>
      <c r="DC160" s="171">
        <f>DC159/DC145*100</f>
        <v>16.33304322599362</v>
      </c>
      <c r="DD160" s="81">
        <f>IF(ISERROR((DC160/CU160-1)*100),"NA",IF(((DC160/CU160-1)*100)&gt;100,"NM",IF(((DC160/CU160-1)*100)&lt;-50,"NM",(DC160/CU160-1)*100)))</f>
        <v>6.9575724167801889</v>
      </c>
      <c r="DE160" s="171">
        <f>DE159/DE145*100</f>
        <v>14.752932811944545</v>
      </c>
      <c r="DF160" s="81">
        <f>IF(ISERROR((DE160/CW160-1)*100),"NA",IF(((DE160/CW160-1)*100)&gt;100,"NM",IF(((DE160/CW160-1)*100)&lt;-50,"NM",(DE160/CW160-1)*100)))</f>
        <v>1.3149752368043277</v>
      </c>
      <c r="DG160" s="171">
        <f>DG159/DG145*100</f>
        <v>15.346323424832867</v>
      </c>
      <c r="DH160" s="81">
        <f>IF(ISERROR((DG160/CY160-1)*100),"NA",IF(((DG160/CY160-1)*100)&gt;100,"NM",IF(((DG160/CY160-1)*100)&lt;-50,"NM",(DG160/CY160-1)*100)))</f>
        <v>1.1795970757100704</v>
      </c>
      <c r="DI160" s="171">
        <f>DI159/DI145*100</f>
        <v>15.071413344702634</v>
      </c>
      <c r="DJ160" s="81">
        <f>IF(ISERROR((DI160/DA160-1)*100),"NA",IF(((DI160/DA160-1)*100)&gt;100,"NM",IF(((DI160/DA160-1)*100)&lt;-50,"NM",(DI160/DA160-1)*100)))</f>
        <v>-3.7625288962049752</v>
      </c>
      <c r="DK160" s="171">
        <f>DK159/DK145*100</f>
        <v>14.541542305823556</v>
      </c>
      <c r="DL160" s="81">
        <f>IF(ISERROR((DK160/DC160-1)*100),"NA",IF(((DK160/DC160-1)*100)&gt;100,"NM",IF(((DK160/DC160-1)*100)&lt;-50,"NM",(DK160/DC160-1)*100)))</f>
        <v>-10.968567800757034</v>
      </c>
      <c r="DM160" s="171">
        <f>DM159/DM145*100</f>
        <v>14.517986586274652</v>
      </c>
      <c r="DN160" s="81">
        <f>IF(ISERROR((DM160/DE160-1)*100),"NA",IF(((DM160/DE160-1)*100)&gt;100,"NM",IF(((DM160/DE160-1)*100)&lt;-50,"NM",(DM160/DE160-1)*100)))</f>
        <v>-1.5925391152033952</v>
      </c>
      <c r="DO160" s="171">
        <f>DO159/DO145*100</f>
        <v>13.670374115267958</v>
      </c>
      <c r="DP160" s="81">
        <f>IF(ISERROR((DO160/DG160-1)*100),"NA",IF(((DO160/DG160-1)*100)&gt;100,"NM",IF(((DO160/DG160-1)*100)&lt;-50,"NM",(DO160/DG160-1)*100)))</f>
        <v>-10.920852266497583</v>
      </c>
      <c r="DQ160" s="171">
        <f>DQ159/DQ145*100</f>
        <v>14.735210888020472</v>
      </c>
      <c r="DR160" s="81">
        <f>IF(ISERROR((DQ160/DI160-1)*100),"NA",IF(((DQ160/DI160-1)*100)&gt;100,"NM",IF(((DQ160/DI160-1)*100)&lt;-50,"NM",(DQ160/DI160-1)*100)))</f>
        <v>-2.2307294544498202</v>
      </c>
      <c r="DS160" s="171">
        <f>DS159/DS145*100</f>
        <v>14.27333910841606</v>
      </c>
      <c r="DT160" s="81">
        <f>IF(ISERROR((DS160/DK160-1)*100),"NA",IF(((DS160/DK160-1)*100)&gt;100,"NM",IF(((DS160/DK160-1)*100)&lt;-50,"NM",(DS160/DK160-1)*100)))</f>
        <v>-1.8443930620762772</v>
      </c>
      <c r="DU160" s="171">
        <f>DU159/DU145*100</f>
        <v>14.040450022761286</v>
      </c>
      <c r="DV160" s="81">
        <f>IF(ISERROR((DU160/DM160-1)*100),"NA",IF(((DU160/DM160-1)*100)&gt;100,"NM",IF(((DU160/DM160-1)*100)&lt;-50,"NM",(DU160/DM160-1)*100)))</f>
        <v>-3.2892754148487136</v>
      </c>
      <c r="DW160" s="171">
        <f>DW159/DW145*100</f>
        <v>14.801302931596108</v>
      </c>
      <c r="DX160" s="81">
        <f>IF(ISERROR((DW160/DO160-1)*100),"NA",IF(((DW160/DO160-1)*100)&gt;100,"NM",IF(((DW160/DO160-1)*100)&lt;-50,"NM",(DW160/DO160-1)*100)))</f>
        <v>8.2728446697377223</v>
      </c>
      <c r="DY160" s="171">
        <f>DY159/DY145*100</f>
        <v>14.893617021276595</v>
      </c>
      <c r="DZ160" s="81">
        <f>IF(ISERROR((DY160/DQ160-1)*100),"NA",IF(((DY160/DQ160-1)*100)&gt;100,"NM",IF(((DY160/DQ160-1)*100)&lt;-50,"NM",(DY160/DQ160-1)*100)))</f>
        <v>1.0750177548181972</v>
      </c>
      <c r="EA160" s="171">
        <f>EA159/EA145*100</f>
        <v>15.398922524371439</v>
      </c>
      <c r="EB160" s="81">
        <f>IF(ISERROR((EA160/DS160-1)*100),"NA",IF(((EA160/DS160-1)*100)&gt;100,"NM",IF(((EA160/DS160-1)*100)&lt;-50,"NM",(EA160/DS160-1)*100)))</f>
        <v>7.8859151835865449</v>
      </c>
      <c r="EC160" s="171">
        <f>EC159/EC145*100</f>
        <v>15.022618748429247</v>
      </c>
      <c r="ED160" s="81">
        <f t="shared" si="526"/>
        <v>6.9952795250561417</v>
      </c>
      <c r="EE160" s="171">
        <f>EE159/EE145*100</f>
        <v>15.551650558554044</v>
      </c>
      <c r="EF160" s="81">
        <f t="shared" si="527"/>
        <v>5.0694701029068145</v>
      </c>
      <c r="EG160" s="171">
        <f>EG159/EG145*100</f>
        <v>16.267942583732061</v>
      </c>
      <c r="EH160" s="81">
        <f t="shared" si="528"/>
        <v>9.2276144907724067</v>
      </c>
      <c r="EI160" s="171">
        <f>EI159/EI145*100</f>
        <v>16.569457510191292</v>
      </c>
      <c r="EJ160" s="81">
        <f t="shared" si="529"/>
        <v>7.6014083710550517</v>
      </c>
      <c r="EK160" s="171">
        <f t="shared" ref="EK160:EQ160" si="535">EK159/EK145*100</f>
        <v>15.060782971153516</v>
      </c>
      <c r="EL160" s="81">
        <f t="shared" si="531"/>
        <v>0.25404507272248633</v>
      </c>
      <c r="EM160" s="171">
        <f t="shared" si="535"/>
        <v>15.116336031316296</v>
      </c>
      <c r="EN160" s="81">
        <f t="shared" si="532"/>
        <v>-2.7991532191308677</v>
      </c>
      <c r="EO160" s="171">
        <f t="shared" si="535"/>
        <v>15.186200073770403</v>
      </c>
      <c r="EP160" s="81">
        <f t="shared" si="533"/>
        <v>-6.6495348406466643</v>
      </c>
      <c r="EQ160" s="171">
        <f t="shared" si="535"/>
        <v>15.344042685361101</v>
      </c>
      <c r="ER160" s="81">
        <f t="shared" si="534"/>
        <v>-7.3956242929286038</v>
      </c>
      <c r="ES160" s="82"/>
      <c r="ET160" s="469"/>
      <c r="EU160" s="82"/>
      <c r="EV160" s="171"/>
      <c r="EW160" s="79"/>
      <c r="EX160" s="171"/>
      <c r="EY160" s="79"/>
      <c r="EZ160" s="171"/>
      <c r="FA160" s="79"/>
      <c r="FB160" s="217"/>
      <c r="FC160" s="79"/>
      <c r="FD160" s="171">
        <f>FD159/FD145*100</f>
        <v>11.719791944518551</v>
      </c>
      <c r="FE160" s="79" t="str">
        <f>IF(ISERROR((FD160/FB160-1)*100),"NA",IF(((FD160/FB160-1)*100)&gt;100,"NM",IF(((FD160/FB160-1)*100)&lt;-50,"NM",(FD160/FB160-1)*100)))</f>
        <v>NA</v>
      </c>
      <c r="FF160" s="171">
        <f>FF159/FF145*100</f>
        <v>-6.7091955811420538</v>
      </c>
      <c r="FG160" s="79" t="str">
        <f>IF(ISERROR((FF160/FD160-1)*100),"NA",IF(((FF160/FD160-1)*100)&gt;100,"NM",IF(((FF160/FD160-1)*100)&lt;-50,"NM",(FF160/FD160-1)*100)))</f>
        <v>NM</v>
      </c>
      <c r="FH160" s="171">
        <f>FH159/FH145*100</f>
        <v>5.1797072809238696</v>
      </c>
      <c r="FI160" s="79" t="str">
        <f>IF(ISERROR((FH160/FF160-1)*100),"NA",IF(((FH160/FF160-1)*100)&gt;100,"NM",IF(((FH160/FF160-1)*100)&lt;-50,"NM",(FH160/FF160-1)*100)))</f>
        <v>NM</v>
      </c>
      <c r="FJ160" s="171">
        <f>FJ159/FJ145*100</f>
        <v>6.7615770699832645</v>
      </c>
      <c r="FK160" s="79">
        <f>IF(ISERROR((FJ160/FH160-1)*100),"NA",IF(((FJ160/FH160-1)*100)&gt;100,"NM",IF(((FJ160/FH160-1)*100)&lt;-50,"NM",(FJ160/FH160-1)*100)))</f>
        <v>30.539752601178805</v>
      </c>
      <c r="FL160" s="171">
        <f>FL159/FL145*100</f>
        <v>7.2225014134053591</v>
      </c>
      <c r="FM160" s="79">
        <f>IF(ISERROR((FL160/FJ160-1)*100),"NA",IF(((FL160/FJ160-1)*100)&gt;100,"NM",IF(((FL160/FJ160-1)*100)&lt;-50,"NM",(FL160/FJ160-1)*100)))</f>
        <v>6.8168171219741058</v>
      </c>
      <c r="FN160" s="171">
        <f>FN159/FN145*100</f>
        <v>9.7116674117121313</v>
      </c>
      <c r="FO160" s="79">
        <f>IF(ISERROR((FN160/FL160-1)*100),"NA",IF(((FN160/FL160-1)*100)&gt;100,"NM",IF(((FN160/FL160-1)*100)&lt;-50,"NM",(FN160/FL160-1)*100)))</f>
        <v>34.464043076360554</v>
      </c>
      <c r="FP160" s="171">
        <f>FP159/FP145*100</f>
        <v>10.977038237512227</v>
      </c>
      <c r="FQ160" s="79">
        <f>IF(ISERROR((FP160/FN160-1)*100),"NA",IF(((FP160/FN160-1)*100)&gt;100,"NM",IF(((FP160/FN160-1)*100)&lt;-50,"NM",(FP160/FN160-1)*100)))</f>
        <v>13.029387973831108</v>
      </c>
      <c r="FR160" s="171">
        <f>FR159/FR145*100</f>
        <v>13.485885773234532</v>
      </c>
      <c r="FS160" s="79">
        <f>IF(ISERROR((FR160/FP160-1)*100),"NA",IF(((FR160/FP160-1)*100)&gt;100,"NM",IF(((FR160/FP160-1)*100)&lt;-50,"NM",(FR160/FP160-1)*100)))</f>
        <v>22.855414014581179</v>
      </c>
      <c r="FT160" s="171">
        <f>FT159/FT145*100</f>
        <v>14.461341804989006</v>
      </c>
      <c r="FU160" s="79">
        <f>IF(ISERROR((FT160/FR160-1)*100),"NA",IF(((FT160/FR160-1)*100)&gt;100,"NM",IF(((FT160/FR160-1)*100)&lt;-50,"NM",(FT160/FR160-1)*100)))</f>
        <v>7.2331624941571526</v>
      </c>
      <c r="FV160" s="171">
        <f>FV159/FV145*100</f>
        <v>15.215123859191648</v>
      </c>
      <c r="FW160" s="79">
        <f>IF(ISERROR((FV160/FT160-1)*100),"NA",IF(((FV160/FT160-1)*100)&gt;100,"NM",IF(((FV160/FT160-1)*100)&lt;-50,"NM",(FV160/FT160-1)*100)))</f>
        <v>5.2123935964406565</v>
      </c>
      <c r="FX160" s="171">
        <f>FX159/FX145*100</f>
        <v>15.242987104592054</v>
      </c>
      <c r="FY160" s="79">
        <f>IF(ISERROR((FX160/FV160-1)*100),"NA",IF(((FX160/FV160-1)*100)&gt;100,"NM",IF(((FX160/FV160-1)*100)&lt;-50,"NM",(FX160/FV160-1)*100)))</f>
        <v>0.18312861372846712</v>
      </c>
      <c r="FZ160" s="171">
        <f>FZ159/FZ145*100</f>
        <v>15.425531914893625</v>
      </c>
      <c r="GA160" s="79">
        <f>IF(ISERROR((FZ160/FX160-1)*100),"NA",IF(((FZ160/FX160-1)*100)&gt;100,"NM",IF(((FZ160/FX160-1)*100)&lt;-50,"NM",(FZ160/FX160-1)*100)))</f>
        <v>1.1975658645448695</v>
      </c>
      <c r="GB160" s="171">
        <f>GB159/GB145*100</f>
        <v>14.925715900860325</v>
      </c>
      <c r="GC160" s="79">
        <f>IF(ISERROR((GB160/FZ160-1)*100),"NA",IF(((GB160/FZ160-1)*100)&gt;100,"NM",IF(((GB160/FZ160-1)*100)&lt;-50,"NM",(GB160/FZ160-1)*100)))</f>
        <v>-3.240186573733117</v>
      </c>
      <c r="GD160" s="171">
        <f>GD159/GD145*100</f>
        <v>14.298931785684246</v>
      </c>
      <c r="GE160" s="79">
        <f>IF(ISERROR((GD160/GB160-1)*100),"NA",IF(((GD160/GB160-1)*100)&gt;100,"NM",IF(((GD160/GB160-1)*100)&lt;-50,"NM",(GD160/GB160-1)*100)))</f>
        <v>-4.1993571319413281</v>
      </c>
      <c r="GF160" s="171">
        <f>GF159/GF145*100</f>
        <v>14.785941871937114</v>
      </c>
      <c r="GG160" s="79">
        <f>IF(ISERROR((GF160/GD160-1)*100),"NA",IF(((GF160/GD160-1)*100)&gt;100,"NM",IF(((GF160/GD160-1)*100)&lt;-50,"NM",(GF160/GD160-1)*100)))</f>
        <v>3.4059193620354922</v>
      </c>
      <c r="GH160" s="171">
        <f>GH159/GH145*100</f>
        <v>15.852949952103515</v>
      </c>
      <c r="GI160" s="79">
        <f>IF(ISERROR((GH160/GF160-1)*100),"NA",IF(((GH160/GF160-1)*100)&gt;100,"NM",IF(((GH160/GF160-1)*100)&lt;-50,"NM",(GH160/GF160-1)*100)))</f>
        <v>7.2163686926939974</v>
      </c>
      <c r="GJ160" s="171">
        <f>GJ159/GJ145*100</f>
        <v>15.17742076479392</v>
      </c>
      <c r="GK160" s="79">
        <f>IF(ISERROR((GJ160/GH160-1)*100),"NA",IF(((GJ160/GH160-1)*100)&gt;100,"NM",IF(((GJ160/GH160-1)*100)&lt;-50,"NM",(GJ160/GH160-1)*100)))</f>
        <v>-4.2612207150755532</v>
      </c>
      <c r="GL160" s="171">
        <f>GL159/GL145*100</f>
        <v>15.088145591130889</v>
      </c>
      <c r="GM160" s="79">
        <f>IF(ISERROR((GL160/GJ160-1)*100),"NA",IF(((GL160/GJ160-1)*100)&gt;100,"NM",IF(((GL160/GJ160-1)*100)&lt;-50,"NM",(GL160/GJ160-1)*100)))</f>
        <v>-0.58821044132950639</v>
      </c>
      <c r="GN160" s="171">
        <f>GN159/GN145*100</f>
        <v>14.994428810710749</v>
      </c>
      <c r="GO160" s="79">
        <f>IF(ISERROR((GN160/GL160-1)*100),"NA",IF(((GN160/GL160-1)*100)&gt;100,"NM",IF(((GN160/GL160-1)*100)&lt;-50,"NM",(GN160/GL160-1)*100)))</f>
        <v>-0.62112855323471772</v>
      </c>
      <c r="GP160" s="171">
        <f>GP159/GP145*100</f>
        <v>14.921537981897576</v>
      </c>
      <c r="GQ160" s="79">
        <f>IF(ISERROR((GP160/GN160-1)*100),"NA",IF(((GP160/GN160-1)*100)&gt;100,"NM",IF(((GP160/GN160-1)*100)&lt;-50,"NM",(GP160/GN160-1)*100)))</f>
        <v>-0.48611940963770861</v>
      </c>
      <c r="GR160" s="171">
        <f>GR159/GR145*100</f>
        <v>14.774177326144025</v>
      </c>
      <c r="GS160" s="79">
        <f>IF(ISERROR((GR160/GP160-1)*100),"NA",IF(((GR160/GP160-1)*100)&gt;100,"NM",IF(((GR160/GP160-1)*100)&lt;-50,"NM",(GR160/GP160-1)*100)))</f>
        <v>-0.98757015484813859</v>
      </c>
      <c r="GT160" s="79">
        <f>IF(ISERROR(((GR160/GH160)^0.2-1)*100),"NA",(IF(OR(((GR160/GH160)^0.2-1)*100&gt;99,((GR160/GH160)^0.2-1)*100&lt;-50),"NM",(((GR160/GH160)^0.2-1)*100))))</f>
        <v>-1.3996074991184271</v>
      </c>
    </row>
    <row r="161" spans="1:286" ht="12.75" customHeight="1" x14ac:dyDescent="0.2">
      <c r="A161" s="1"/>
      <c r="B161" s="2"/>
      <c r="C161" s="171"/>
      <c r="D161" s="171"/>
      <c r="E161" s="171"/>
      <c r="F161" s="171"/>
      <c r="G161" s="171"/>
      <c r="H161" s="171"/>
      <c r="I161" s="171"/>
      <c r="J161" s="171"/>
      <c r="K161" s="171"/>
      <c r="L161" s="79"/>
      <c r="M161" s="171"/>
      <c r="N161" s="79"/>
      <c r="O161" s="171"/>
      <c r="P161" s="79"/>
      <c r="Q161" s="171"/>
      <c r="R161" s="79"/>
      <c r="S161" s="171"/>
      <c r="T161" s="79"/>
      <c r="U161" s="171"/>
      <c r="V161" s="79"/>
      <c r="W161" s="171"/>
      <c r="X161" s="79"/>
      <c r="Y161" s="171"/>
      <c r="Z161" s="79"/>
      <c r="AA161" s="225"/>
      <c r="AB161" s="79"/>
      <c r="AC161" s="171"/>
      <c r="AD161" s="79"/>
      <c r="AE161" s="171"/>
      <c r="AF161" s="79"/>
      <c r="AG161" s="171"/>
      <c r="AH161" s="79"/>
      <c r="AI161" s="171"/>
      <c r="AJ161" s="79"/>
      <c r="AK161" s="171"/>
      <c r="AL161" s="79"/>
      <c r="AM161" s="171"/>
      <c r="AN161" s="79"/>
      <c r="AO161" s="171"/>
      <c r="AP161" s="79"/>
      <c r="AQ161" s="171"/>
      <c r="AR161" s="79"/>
      <c r="AS161" s="171"/>
      <c r="AT161" s="81"/>
      <c r="AU161" s="171"/>
      <c r="AV161" s="81"/>
      <c r="AW161" s="171"/>
      <c r="AX161" s="81"/>
      <c r="AY161" s="171"/>
      <c r="AZ161" s="81"/>
      <c r="BA161" s="171"/>
      <c r="BB161" s="81"/>
      <c r="BC161" s="171"/>
      <c r="BD161" s="81"/>
      <c r="BE161" s="171"/>
      <c r="BF161" s="81"/>
      <c r="BG161" s="171"/>
      <c r="BH161" s="81"/>
      <c r="BI161" s="171"/>
      <c r="BJ161" s="81"/>
      <c r="BK161" s="171"/>
      <c r="BL161" s="81"/>
      <c r="BM161" s="171"/>
      <c r="BN161" s="81"/>
      <c r="BO161" s="171"/>
      <c r="BP161" s="81"/>
      <c r="BQ161" s="171"/>
      <c r="BR161" s="81"/>
      <c r="BS161" s="171"/>
      <c r="BT161" s="81"/>
      <c r="BU161" s="171"/>
      <c r="BV161" s="81"/>
      <c r="BW161" s="171"/>
      <c r="BX161" s="81"/>
      <c r="BY161" s="171"/>
      <c r="BZ161" s="81"/>
      <c r="CA161" s="171"/>
      <c r="CB161" s="81"/>
      <c r="CC161" s="171"/>
      <c r="CD161" s="81"/>
      <c r="CE161" s="171"/>
      <c r="CF161" s="81"/>
      <c r="CG161" s="171"/>
      <c r="CH161" s="81"/>
      <c r="CI161" s="171"/>
      <c r="CJ161" s="81"/>
      <c r="CK161" s="171"/>
      <c r="CL161" s="81"/>
      <c r="CM161" s="171"/>
      <c r="CN161" s="81"/>
      <c r="CO161" s="171"/>
      <c r="CP161" s="81"/>
      <c r="CQ161" s="171"/>
      <c r="CR161" s="81"/>
      <c r="CS161" s="171"/>
      <c r="CT161" s="81"/>
      <c r="CU161" s="171"/>
      <c r="CV161" s="81"/>
      <c r="CW161" s="171"/>
      <c r="CX161" s="81"/>
      <c r="CY161" s="171"/>
      <c r="CZ161" s="81"/>
      <c r="DA161" s="171"/>
      <c r="DB161" s="81"/>
      <c r="DC161" s="171"/>
      <c r="DD161" s="81"/>
      <c r="DE161" s="171"/>
      <c r="DF161" s="81"/>
      <c r="DG161" s="171"/>
      <c r="DH161" s="81"/>
      <c r="DI161" s="171"/>
      <c r="DJ161" s="81"/>
      <c r="DK161" s="171"/>
      <c r="DL161" s="81"/>
      <c r="DM161" s="171"/>
      <c r="DN161" s="81"/>
      <c r="DO161" s="171"/>
      <c r="DP161" s="81"/>
      <c r="DQ161" s="171"/>
      <c r="DR161" s="81"/>
      <c r="DS161" s="171"/>
      <c r="DT161" s="81"/>
      <c r="DU161" s="171"/>
      <c r="DV161" s="81"/>
      <c r="DW161" s="171"/>
      <c r="DX161" s="81"/>
      <c r="DY161" s="171"/>
      <c r="DZ161" s="81"/>
      <c r="EA161" s="171"/>
      <c r="EB161" s="81"/>
      <c r="EC161" s="171"/>
      <c r="ED161" s="81"/>
      <c r="EE161" s="171"/>
      <c r="EF161" s="81"/>
      <c r="EG161" s="171"/>
      <c r="EH161" s="81"/>
      <c r="EI161" s="171"/>
      <c r="EJ161" s="81"/>
      <c r="EK161" s="171"/>
      <c r="EL161" s="81"/>
      <c r="EM161" s="171"/>
      <c r="EN161" s="81"/>
      <c r="EO161" s="171"/>
      <c r="EP161" s="81"/>
      <c r="EQ161" s="171"/>
      <c r="ER161" s="81"/>
      <c r="ES161" s="82"/>
      <c r="ET161" s="469"/>
      <c r="EU161" s="82"/>
      <c r="EV161" s="171"/>
      <c r="EW161" s="79"/>
      <c r="EX161" s="171"/>
      <c r="EY161" s="79"/>
      <c r="EZ161" s="171"/>
      <c r="FA161" s="79"/>
      <c r="FB161" s="217"/>
      <c r="FC161" s="79"/>
      <c r="FD161" s="171"/>
      <c r="FE161" s="79"/>
      <c r="FF161" s="171"/>
      <c r="FG161" s="79"/>
      <c r="FH161" s="171"/>
      <c r="FI161" s="79"/>
      <c r="FJ161" s="171"/>
      <c r="FK161" s="79"/>
      <c r="FL161" s="171"/>
      <c r="FM161" s="79"/>
      <c r="FN161" s="171"/>
      <c r="FO161" s="79"/>
      <c r="FP161" s="171"/>
      <c r="FQ161" s="79"/>
      <c r="FR161" s="171"/>
      <c r="FS161" s="79"/>
      <c r="FT161" s="171"/>
      <c r="FU161" s="79"/>
      <c r="FV161" s="171"/>
      <c r="FW161" s="79"/>
      <c r="FX161" s="171"/>
      <c r="FY161" s="79"/>
      <c r="FZ161" s="171"/>
      <c r="GA161" s="79"/>
      <c r="GB161" s="171"/>
      <c r="GC161" s="79"/>
      <c r="GD161" s="171"/>
      <c r="GE161" s="79"/>
      <c r="GF161" s="171"/>
      <c r="GG161" s="79"/>
      <c r="GH161" s="171"/>
      <c r="GI161" s="79"/>
      <c r="GJ161" s="171"/>
      <c r="GK161" s="79"/>
      <c r="GL161" s="171"/>
      <c r="GM161" s="79"/>
      <c r="GN161" s="171"/>
      <c r="GO161" s="79"/>
      <c r="GP161" s="171"/>
      <c r="GQ161" s="79"/>
      <c r="GR161" s="171"/>
      <c r="GS161" s="79"/>
      <c r="GT161" s="79"/>
    </row>
    <row r="162" spans="1:286" ht="12.75" customHeight="1" x14ac:dyDescent="0.2">
      <c r="A162" s="1"/>
      <c r="B162" s="2" t="s">
        <v>256</v>
      </c>
      <c r="C162" s="79"/>
      <c r="D162" s="79"/>
      <c r="E162" s="171"/>
      <c r="F162" s="171"/>
      <c r="G162" s="171"/>
      <c r="H162" s="171"/>
      <c r="I162" s="171"/>
      <c r="J162" s="171"/>
      <c r="K162" s="171"/>
      <c r="L162" s="79"/>
      <c r="M162" s="171"/>
      <c r="N162" s="79"/>
      <c r="O162" s="171"/>
      <c r="P162" s="79"/>
      <c r="Q162" s="171"/>
      <c r="R162" s="79"/>
      <c r="S162" s="171"/>
      <c r="T162" s="79"/>
      <c r="U162" s="177">
        <f>U58+U96+U128</f>
        <v>0</v>
      </c>
      <c r="V162" s="79" t="str">
        <f>IF(ISERROR((U162/M162-1)*100),"NA",IF(((U162/M162-1)*100)&gt;100,"NM",IF(((U162/M162-1)*100)&lt;-50,"NM",(U162/M162-1)*100)))</f>
        <v>NA</v>
      </c>
      <c r="W162" s="177">
        <f>W58+W96+W128</f>
        <v>0</v>
      </c>
      <c r="X162" s="79" t="str">
        <f>IF(ISERROR((W162/O162-1)*100),"NA",IF(((W162/O162-1)*100)&gt;100,"NM",IF(((W162/O162-1)*100)&lt;-50,"NM",(W162/O162-1)*100)))</f>
        <v>NA</v>
      </c>
      <c r="Y162" s="177">
        <f>Y58+Y96+Y128</f>
        <v>0</v>
      </c>
      <c r="Z162" s="79" t="str">
        <f>IF(ISERROR((Y162/Q162-1)*100),"NA",IF(((Y162/Q162-1)*100)&gt;100,"NM",IF(((Y162/Q162-1)*100)&lt;-50,"NM",(Y162/Q162-1)*100)))</f>
        <v>NA</v>
      </c>
      <c r="AA162" s="226">
        <f>AA58+AA96+AA128</f>
        <v>0</v>
      </c>
      <c r="AB162" s="79" t="str">
        <f>IF(ISERROR((AA162/S162-1)*100),"NA",IF(((AA162/S162-1)*100)&gt;100,"NM",IF(((AA162/S162-1)*100)&lt;-50,"NM",(AA162/S162-1)*100)))</f>
        <v>NA</v>
      </c>
      <c r="AC162" s="177">
        <f>AC58+AC96+AC128</f>
        <v>0</v>
      </c>
      <c r="AD162" s="79" t="str">
        <f>IF(ISERROR((AC162/U162-1)*100),"NA",IF(((AC162/U162-1)*100)&gt;100,"NM",IF(((AC162/U162-1)*100)&lt;-50,"NM",(AC162/U162-1)*100)))</f>
        <v>NA</v>
      </c>
      <c r="AE162" s="177">
        <f>AE58+AE96+AE128</f>
        <v>0</v>
      </c>
      <c r="AF162" s="79" t="str">
        <f>IF(ISERROR((AE162/W162-1)*100),"NA",IF(((AE162/W162-1)*100)&gt;100,"NM",IF(((AE162/W162-1)*100)&lt;-50,"NM",(AE162/W162-1)*100)))</f>
        <v>NA</v>
      </c>
      <c r="AG162" s="177">
        <f>AG58+AG96+AG128</f>
        <v>0</v>
      </c>
      <c r="AH162" s="79" t="str">
        <f>IF(ISERROR((AG162/Y162-1)*100),"NA",IF(((AG162/Y162-1)*100)&gt;100,"NM",IF(((AG162/Y162-1)*100)&lt;-50,"NM",(AG162/Y162-1)*100)))</f>
        <v>NA</v>
      </c>
      <c r="AI162" s="177">
        <f>AI58+AI96+AI128</f>
        <v>0</v>
      </c>
      <c r="AJ162" s="79" t="str">
        <f>IF(ISERROR((AI162/AA162-1)*100),"NA",IF(((AI162/AA162-1)*100)&gt;100,"NM",IF(((AI162/AA162-1)*100)&lt;-50,"NM",(AI162/AA162-1)*100)))</f>
        <v>NA</v>
      </c>
      <c r="AK162" s="177">
        <f>AK58+AK96+AK128</f>
        <v>0</v>
      </c>
      <c r="AL162" s="79" t="str">
        <f>IF(ISERROR((AK162/AC162-1)*100),"NA",IF(((AK162/AC162-1)*100)&gt;100,"NM",IF(((AK162/AC162-1)*100)&lt;-50,"NM",(AK162/AC162-1)*100)))</f>
        <v>NA</v>
      </c>
      <c r="AM162" s="177">
        <f>AM58+AM96+AM128</f>
        <v>0</v>
      </c>
      <c r="AN162" s="79" t="str">
        <f>IF(ISERROR((AM162/AE162-1)*100),"NA",IF(((AM162/AE162-1)*100)&gt;100,"NM",IF(((AM162/AE162-1)*100)&lt;-50,"NM",(AM162/AE162-1)*100)))</f>
        <v>NA</v>
      </c>
      <c r="AO162" s="177">
        <f>AO58+AO96+AO128</f>
        <v>0</v>
      </c>
      <c r="AP162" s="79" t="str">
        <f>IF(ISERROR((AO162/AG162-1)*100),"NA",IF(((AO162/AG162-1)*100)&gt;100,"NM",IF(((AO162/AG162-1)*100)&lt;-50,"NM",(AO162/AG162-1)*100)))</f>
        <v>NA</v>
      </c>
      <c r="AQ162" s="177">
        <f>AQ58+AQ96+AQ128</f>
        <v>0</v>
      </c>
      <c r="AR162" s="79" t="str">
        <f>IF(ISERROR((AQ162/AI162-1)*100),"NA",IF(((AQ162/AI162-1)*100)&gt;100,"NM",IF(((AQ162/AI162-1)*100)&lt;-50,"NM",(AQ162/AI162-1)*100)))</f>
        <v>NA</v>
      </c>
      <c r="AS162" s="177">
        <f>AS58+AS96+AS128</f>
        <v>0</v>
      </c>
      <c r="AT162" s="81" t="str">
        <f>IF(ISERROR((AS162/AK162-1)*100),"NA",IF(((AS162/AK162-1)*100)&gt;100,"NM",IF(((AS162/AK162-1)*100)&lt;-50,"NM",(AS162/AK162-1)*100)))</f>
        <v>NA</v>
      </c>
      <c r="AU162" s="177">
        <f>AU58+AU96+AU128</f>
        <v>0</v>
      </c>
      <c r="AV162" s="81" t="str">
        <f>IF(ISERROR((AU162/AM162-1)*100),"NA",IF(((AU162/AM162-1)*100)&gt;100,"NM",IF(((AU162/AM162-1)*100)&lt;-50,"NM",(AU162/AM162-1)*100)))</f>
        <v>NA</v>
      </c>
      <c r="AW162" s="177">
        <f>AW58+AW96+AW128</f>
        <v>0</v>
      </c>
      <c r="AX162" s="81" t="str">
        <f>IF(ISERROR((AW162/AO162-1)*100),"NA",IF(((AW162/AO162-1)*100)&gt;100,"NM",IF(((AW162/AO162-1)*100)&lt;-50,"NM",(AW162/AO162-1)*100)))</f>
        <v>NA</v>
      </c>
      <c r="AY162" s="177">
        <f>AY58+AY96+AY128</f>
        <v>12</v>
      </c>
      <c r="AZ162" s="81" t="str">
        <f>IF(ISERROR((AY162/AQ162-1)*100),"NA",IF(((AY162/AQ162-1)*100)&gt;100,"NM",IF(((AY162/AQ162-1)*100)&lt;-50,"NM",(AY162/AQ162-1)*100)))</f>
        <v>NA</v>
      </c>
      <c r="BA162" s="177">
        <f>BA58+BA96+BA128</f>
        <v>0</v>
      </c>
      <c r="BB162" s="81" t="str">
        <f>IF(ISERROR((BA162/AS162-1)*100),"NA",IF(((BA162/AS162-1)*100)&gt;100,"NM",IF(((BA162/AS162-1)*100)&lt;-50,"NM",(BA162/AS162-1)*100)))</f>
        <v>NA</v>
      </c>
      <c r="BC162" s="177">
        <f>BC58+BC96+BC128</f>
        <v>0</v>
      </c>
      <c r="BD162" s="81" t="str">
        <f>IF(ISERROR((BC162/AU162-1)*100),"NA",IF(((BC162/AU162-1)*100)&gt;100,"NM",IF(((BC162/AU162-1)*100)&lt;-50,"NM",(BC162/AU162-1)*100)))</f>
        <v>NA</v>
      </c>
      <c r="BE162" s="177">
        <f>BE58+BE96+BE128</f>
        <v>0</v>
      </c>
      <c r="BF162" s="81" t="str">
        <f>IF(ISERROR((BE162/AW162-1)*100),"NA",IF(((BE162/AW162-1)*100)&gt;100,"NM",IF(((BE162/AW162-1)*100)&lt;-50,"NM",(BE162/AW162-1)*100)))</f>
        <v>NA</v>
      </c>
      <c r="BG162" s="177">
        <f>BG58+BG96+BG128</f>
        <v>-12.5</v>
      </c>
      <c r="BH162" s="81" t="str">
        <f>IF(ISERROR((BG162/AY162-1)*100),"NA",IF(((BG162/AY162-1)*100)&gt;100,"NM",IF(((BG162/AY162-1)*100)&lt;-50,"NM",(BG162/AY162-1)*100)))</f>
        <v>NM</v>
      </c>
      <c r="BI162" s="177">
        <f>BI58+BI96+BI128</f>
        <v>0</v>
      </c>
      <c r="BJ162" s="81" t="str">
        <f>IF(ISERROR((BI162/BA162-1)*100),"NA",IF(((BI162/BA162-1)*100)&gt;100,"NM",IF(((BI162/BA162-1)*100)&lt;-50,"NM",(BI162/BA162-1)*100)))</f>
        <v>NA</v>
      </c>
      <c r="BK162" s="177">
        <f>BK58+BK96+BK128</f>
        <v>-5</v>
      </c>
      <c r="BL162" s="81" t="str">
        <f>IF(ISERROR((BK162/BC162-1)*100),"NA",IF(((BK162/BC162-1)*100)&gt;100,"NM",IF(((BK162/BC162-1)*100)&lt;-50,"NM",(BK162/BC162-1)*100)))</f>
        <v>NA</v>
      </c>
      <c r="BM162" s="177">
        <f>BM58+BM96+BM128</f>
        <v>0</v>
      </c>
      <c r="BN162" s="81" t="str">
        <f>IF(ISERROR((BM162/BE162-1)*100),"NA",IF(((BM162/BE162-1)*100)&gt;100,"NM",IF(((BM162/BE162-1)*100)&lt;-50,"NM",(BM162/BE162-1)*100)))</f>
        <v>NA</v>
      </c>
      <c r="BO162" s="177">
        <f>BO58+BO96+BO128</f>
        <v>0</v>
      </c>
      <c r="BP162" s="81" t="str">
        <f>IF(ISERROR((BO162/BG162-1)*100),"NA",IF(((BO162/BG162-1)*100)&gt;100,"NM",IF(((BO162/BG162-1)*100)&lt;-50,"NM",(BO162/BG162-1)*100)))</f>
        <v>NM</v>
      </c>
      <c r="BQ162" s="177">
        <f>BQ58+BQ96+BQ128</f>
        <v>0</v>
      </c>
      <c r="BR162" s="81" t="str">
        <f>IF(ISERROR((BQ162/BI162-1)*100),"NA",IF(((BQ162/BI162-1)*100)&gt;100,"NM",IF(((BQ162/BI162-1)*100)&lt;-50,"NM",(BQ162/BI162-1)*100)))</f>
        <v>NA</v>
      </c>
      <c r="BS162" s="177">
        <f>BS58+BS96+BS128</f>
        <v>0</v>
      </c>
      <c r="BT162" s="81" t="str">
        <f>IF(ISERROR((BS162/BK162-1)*100),"NA",IF(((BS162/BK162-1)*100)&gt;100,"NM",IF(((BS162/BK162-1)*100)&lt;-50,"NM",(BS162/BK162-1)*100)))</f>
        <v>NM</v>
      </c>
      <c r="BU162" s="177">
        <f>BU58+BU96+BU128</f>
        <v>0</v>
      </c>
      <c r="BV162" s="81" t="str">
        <f>IF(ISERROR((BU162/BM162-1)*100),"NA",IF(((BU162/BM162-1)*100)&gt;100,"NM",IF(((BU162/BM162-1)*100)&lt;-50,"NM",(BU162/BM162-1)*100)))</f>
        <v>NA</v>
      </c>
      <c r="BW162" s="177">
        <f>BW58+BW96+BW128</f>
        <v>0</v>
      </c>
      <c r="BX162" s="81" t="str">
        <f>IF(ISERROR((BW162/BO162-1)*100),"NA",IF(((BW162/BO162-1)*100)&gt;100,"NM",IF(((BW162/BO162-1)*100)&lt;-50,"NM",(BW162/BO162-1)*100)))</f>
        <v>NA</v>
      </c>
      <c r="BY162" s="177">
        <f>BY58+BY96+BY128</f>
        <v>0</v>
      </c>
      <c r="BZ162" s="81" t="str">
        <f>IF(ISERROR((BY162/BQ162-1)*100),"NA",IF(((BY162/BQ162-1)*100)&gt;100,"NM",IF(((BY162/BQ162-1)*100)&lt;-50,"NM",(BY162/BQ162-1)*100)))</f>
        <v>NA</v>
      </c>
      <c r="CA162" s="177">
        <f>CA58+CA96+CA128</f>
        <v>0</v>
      </c>
      <c r="CB162" s="81" t="str">
        <f>IF(ISERROR((CA162/BS162-1)*100),"NA",IF(((CA162/BS162-1)*100)&gt;100,"NM",IF(((CA162/BS162-1)*100)&lt;-50,"NM",(CA162/BS162-1)*100)))</f>
        <v>NA</v>
      </c>
      <c r="CC162" s="177">
        <f>CC58+CC96+CC128</f>
        <v>0</v>
      </c>
      <c r="CD162" s="81" t="str">
        <f>IF(ISERROR((CC162/BU162-1)*100),"NA",IF(((CC162/BU162-1)*100)&gt;100,"NM",IF(((CC162/BU162-1)*100)&lt;-50,"NM",(CC162/BU162-1)*100)))</f>
        <v>NA</v>
      </c>
      <c r="CE162" s="177">
        <f>CE58+CE96+CE128</f>
        <v>0</v>
      </c>
      <c r="CF162" s="81" t="str">
        <f>IF(ISERROR((CE162/BW162-1)*100),"NA",IF(((CE162/BW162-1)*100)&gt;100,"NM",IF(((CE162/BW162-1)*100)&lt;-50,"NM",(CE162/BW162-1)*100)))</f>
        <v>NA</v>
      </c>
      <c r="CG162" s="177">
        <f>CG58+CG96+CG128</f>
        <v>0</v>
      </c>
      <c r="CH162" s="81" t="str">
        <f>IF(ISERROR((CG162/BY162-1)*100),"NA",IF(((CG162/BY162-1)*100)&gt;100,"NM",IF(((CG162/BY162-1)*100)&lt;-50,"NM",(CG162/BY162-1)*100)))</f>
        <v>NA</v>
      </c>
      <c r="CI162" s="177">
        <f>CI58+CI96+CI128</f>
        <v>0</v>
      </c>
      <c r="CJ162" s="81" t="str">
        <f>IF(ISERROR((CI162/CA162-1)*100),"NA",IF(((CI162/CA162-1)*100)&gt;100,"NM",IF(((CI162/CA162-1)*100)&lt;-50,"NM",(CI162/CA162-1)*100)))</f>
        <v>NA</v>
      </c>
      <c r="CK162" s="177">
        <f>CK58+CK96+CK128</f>
        <v>5.5</v>
      </c>
      <c r="CL162" s="81" t="str">
        <f>IF(ISERROR((CK162/CC162-1)*100),"NA",IF(((CK162/CC162-1)*100)&gt;100,"NM",IF(((CK162/CC162-1)*100)&lt;-50,"NM",(CK162/CC162-1)*100)))</f>
        <v>NA</v>
      </c>
      <c r="CM162" s="177">
        <f>CM58+CM96+CM128</f>
        <v>0</v>
      </c>
      <c r="CN162" s="81" t="str">
        <f>IF(ISERROR((CM162/CE162-1)*100),"NA",IF(((CM162/CE162-1)*100)&gt;100,"NM",IF(((CM162/CE162-1)*100)&lt;-50,"NM",(CM162/CE162-1)*100)))</f>
        <v>NA</v>
      </c>
      <c r="CO162" s="177">
        <f>CO58+CO96+CO128</f>
        <v>0</v>
      </c>
      <c r="CP162" s="81" t="str">
        <f>IF(ISERROR((CO162/CG162-1)*100),"NA",IF(((CO162/CG162-1)*100)&gt;100,"NM",IF(((CO162/CG162-1)*100)&lt;-50,"NM",(CO162/CG162-1)*100)))</f>
        <v>NA</v>
      </c>
      <c r="CQ162" s="177">
        <f>CQ58+CQ96+CQ128</f>
        <v>0</v>
      </c>
      <c r="CR162" s="81" t="str">
        <f>IF(ISERROR((CQ162/CI162-1)*100),"NA",IF(((CQ162/CI162-1)*100)&gt;100,"NM",IF(((CQ162/CI162-1)*100)&lt;-50,"NM",(CQ162/CI162-1)*100)))</f>
        <v>NA</v>
      </c>
      <c r="CS162" s="177">
        <f>CS58+CS96+CS128</f>
        <v>0</v>
      </c>
      <c r="CT162" s="81" t="str">
        <f>IF(ISERROR((CS162/CK162-1)*100),"NA",IF(((CS162/CK162-1)*100)&gt;100,"NM",IF(((CS162/CK162-1)*100)&lt;-50,"NM",(CS162/CK162-1)*100)))</f>
        <v>NM</v>
      </c>
      <c r="CU162" s="177">
        <f>CU58+CU96+CU128</f>
        <v>0</v>
      </c>
      <c r="CV162" s="81" t="str">
        <f>IF(ISERROR((CU162/CM162-1)*100),"NA",IF(((CU162/CM162-1)*100)&gt;100,"NM",IF(((CU162/CM162-1)*100)&lt;-50,"NM",(CU162/CM162-1)*100)))</f>
        <v>NA</v>
      </c>
      <c r="CW162" s="177">
        <f>CW58+CW96+CW128</f>
        <v>-6</v>
      </c>
      <c r="CX162" s="81" t="str">
        <f>IF(ISERROR((CW162/CO162-1)*100),"NA",IF(((CW162/CO162-1)*100)&gt;100,"NM",IF(((CW162/CO162-1)*100)&lt;-50,"NM",(CW162/CO162-1)*100)))</f>
        <v>NA</v>
      </c>
      <c r="CY162" s="177">
        <f>CY58+CY96+CY128</f>
        <v>0</v>
      </c>
      <c r="CZ162" s="81" t="str">
        <f>IF(ISERROR((CY162/CQ162-1)*100),"NA",IF(((CY162/CQ162-1)*100)&gt;100,"NM",IF(((CY162/CQ162-1)*100)&lt;-50,"NM",(CY162/CQ162-1)*100)))</f>
        <v>NA</v>
      </c>
      <c r="DA162" s="177">
        <f>DA58+DA96+DA128</f>
        <v>0</v>
      </c>
      <c r="DB162" s="81" t="str">
        <f>IF(ISERROR((DA162/CS162-1)*100),"NA",IF(((DA162/CS162-1)*100)&gt;100,"NM",IF(((DA162/CS162-1)*100)&lt;-50,"NM",(DA162/CS162-1)*100)))</f>
        <v>NA</v>
      </c>
      <c r="DC162" s="177">
        <f>DC58+DC96+DC128</f>
        <v>9.5999999999999979</v>
      </c>
      <c r="DD162" s="81" t="str">
        <f>IF(ISERROR((DC162/CU162-1)*100),"NA",IF(((DC162/CU162-1)*100)&gt;100,"NM",IF(((DC162/CU162-1)*100)&lt;-50,"NM",(DC162/CU162-1)*100)))</f>
        <v>NA</v>
      </c>
      <c r="DE162" s="177">
        <f>DE58+DE96+DE128</f>
        <v>0</v>
      </c>
      <c r="DF162" s="81" t="str">
        <f>IF(ISERROR((DE162/CW162-1)*100),"NA",IF(((DE162/CW162-1)*100)&gt;100,"NM",IF(((DE162/CW162-1)*100)&lt;-50,"NM",(DE162/CW162-1)*100)))</f>
        <v>NM</v>
      </c>
      <c r="DG162" s="177">
        <f>DG58+DG96+DG128</f>
        <v>0</v>
      </c>
      <c r="DH162" s="81" t="str">
        <f>IF(ISERROR((DG162/CY162-1)*100),"NA",IF(((DG162/CY162-1)*100)&gt;100,"NM",IF(((DG162/CY162-1)*100)&lt;-50,"NM",(DG162/CY162-1)*100)))</f>
        <v>NA</v>
      </c>
      <c r="DI162" s="177">
        <f>DI58+DI96+DI128</f>
        <v>0</v>
      </c>
      <c r="DJ162" s="81" t="str">
        <f>IF(ISERROR((DI162/DA162-1)*100),"NA",IF(((DI162/DA162-1)*100)&gt;100,"NM",IF(((DI162/DA162-1)*100)&lt;-50,"NM",(DI162/DA162-1)*100)))</f>
        <v>NA</v>
      </c>
      <c r="DK162" s="177">
        <f>DK58+DK96+DK128</f>
        <v>0</v>
      </c>
      <c r="DL162" s="81" t="str">
        <f>IF(ISERROR((DK162/DC162-1)*100),"NA",IF(((DK162/DC162-1)*100)&gt;100,"NM",IF(((DK162/DC162-1)*100)&lt;-50,"NM",(DK162/DC162-1)*100)))</f>
        <v>NM</v>
      </c>
      <c r="DM162" s="177">
        <f>DM58+DM96+DM128</f>
        <v>0</v>
      </c>
      <c r="DN162" s="81" t="str">
        <f>IF(ISERROR((DM162/DE162-1)*100),"NA",IF(((DM162/DE162-1)*100)&gt;100,"NM",IF(((DM162/DE162-1)*100)&lt;-50,"NM",(DM162/DE162-1)*100)))</f>
        <v>NA</v>
      </c>
      <c r="DO162" s="177">
        <f>DO58+DO96+DO128</f>
        <v>0</v>
      </c>
      <c r="DP162" s="81" t="str">
        <f>IF(ISERROR((DO162/DG162-1)*100),"NA",IF(((DO162/DG162-1)*100)&gt;100,"NM",IF(((DO162/DG162-1)*100)&lt;-50,"NM",(DO162/DG162-1)*100)))</f>
        <v>NA</v>
      </c>
      <c r="DQ162" s="177">
        <f>DQ58+DQ96+DQ128</f>
        <v>0</v>
      </c>
      <c r="DR162" s="81" t="str">
        <f>IF(ISERROR((DQ162/DI162-1)*100),"NA",IF(((DQ162/DI162-1)*100)&gt;100,"NM",IF(((DQ162/DI162-1)*100)&lt;-50,"NM",(DQ162/DI162-1)*100)))</f>
        <v>NA</v>
      </c>
      <c r="DS162" s="177">
        <f>DS58+DS96+DS128</f>
        <v>0</v>
      </c>
      <c r="DT162" s="81" t="str">
        <f>IF(ISERROR((DS162/DK162-1)*100),"NA",IF(((DS162/DK162-1)*100)&gt;100,"NM",IF(((DS162/DK162-1)*100)&lt;-50,"NM",(DS162/DK162-1)*100)))</f>
        <v>NA</v>
      </c>
      <c r="DU162" s="177">
        <f>DU58+DU96+DU128</f>
        <v>0</v>
      </c>
      <c r="DV162" s="81" t="str">
        <f>IF(ISERROR((DU162/DM162-1)*100),"NA",IF(((DU162/DM162-1)*100)&gt;100,"NM",IF(((DU162/DM162-1)*100)&lt;-50,"NM",(DU162/DM162-1)*100)))</f>
        <v>NA</v>
      </c>
      <c r="DW162" s="177">
        <f>DW58+DW96+DW128</f>
        <v>0</v>
      </c>
      <c r="DX162" s="81" t="str">
        <f>IF(ISERROR((DW162/DO162-1)*100),"NA",IF(((DW162/DO162-1)*100)&gt;100,"NM",IF(((DW162/DO162-1)*100)&lt;-50,"NM",(DW162/DO162-1)*100)))</f>
        <v>NA</v>
      </c>
      <c r="DY162" s="177">
        <f>DY58+DY96+DY128</f>
        <v>0</v>
      </c>
      <c r="DZ162" s="81" t="str">
        <f>IF(ISERROR((DY162/DQ162-1)*100),"NA",IF(((DY162/DQ162-1)*100)&gt;100,"NM",IF(((DY162/DQ162-1)*100)&lt;-50,"NM",(DY162/DQ162-1)*100)))</f>
        <v>NA</v>
      </c>
      <c r="EA162" s="177">
        <f>EA58+EA96+EA128</f>
        <v>0</v>
      </c>
      <c r="EB162" s="81" t="str">
        <f>IF(ISERROR((EA162/DS162-1)*100),"NA",IF(((EA162/DS162-1)*100)&gt;100,"NM",IF(((EA162/DS162-1)*100)&lt;-50,"NM",(EA162/DS162-1)*100)))</f>
        <v>NA</v>
      </c>
      <c r="EC162" s="177">
        <f>EC58+EC96+EC128</f>
        <v>0</v>
      </c>
      <c r="ED162" s="81" t="str">
        <f t="shared" ref="ED162:ED163" si="536">IF(ISERROR((EC162/DU162-1)*100),"NA",IF(((EC162/DU162-1)*100)&gt;100,"NM",IF(((EC162/DU162-1)*100)&lt;-50,"NM",(EC162/DU162-1)*100)))</f>
        <v>NA</v>
      </c>
      <c r="EE162" s="177">
        <f>EE58+EE96+EE128</f>
        <v>0</v>
      </c>
      <c r="EF162" s="81" t="str">
        <f t="shared" ref="EF162:EF163" si="537">IF(ISERROR((EE162/DW162-1)*100),"NA",IF(((EE162/DW162-1)*100)&gt;100,"NM",IF(((EE162/DW162-1)*100)&lt;-50,"NM",(EE162/DW162-1)*100)))</f>
        <v>NA</v>
      </c>
      <c r="EG162" s="177">
        <f>EG58+EG96+EG128</f>
        <v>0</v>
      </c>
      <c r="EH162" s="81" t="str">
        <f t="shared" ref="EH162:EH163" si="538">IF(ISERROR((EG162/DY162-1)*100),"NA",IF(((EG162/DY162-1)*100)&gt;100,"NM",IF(((EG162/DY162-1)*100)&lt;-50,"NM",(EG162/DY162-1)*100)))</f>
        <v>NA</v>
      </c>
      <c r="EI162" s="177">
        <f>EI58+EI96+EI128</f>
        <v>19.5</v>
      </c>
      <c r="EJ162" s="81" t="str">
        <f t="shared" ref="EJ162:EJ163" si="539">IF(ISERROR((EI162/EA162-1)*100),"NA",IF(((EI162/EA162-1)*100)&gt;100,"NM",IF(((EI162/EA162-1)*100)&lt;-50,"NM",(EI162/EA162-1)*100)))</f>
        <v>NA</v>
      </c>
      <c r="EK162" s="177">
        <f t="shared" ref="EK162:EQ162" si="540">EK58+EK96+EK128</f>
        <v>0</v>
      </c>
      <c r="EL162" s="81" t="str">
        <f t="shared" ref="EL162:EL163" si="541">IF(ISERROR((EK162/EC162-1)*100),"NA",IF(((EK162/EC162-1)*100)&gt;100,"NM",IF(((EK162/EC162-1)*100)&lt;-50,"NM",(EK162/EC162-1)*100)))</f>
        <v>NA</v>
      </c>
      <c r="EM162" s="177">
        <f t="shared" si="540"/>
        <v>0</v>
      </c>
      <c r="EN162" s="81" t="str">
        <f t="shared" ref="EN162:EN163" si="542">IF(ISERROR((EM162/EE162-1)*100),"NA",IF(((EM162/EE162-1)*100)&gt;100,"NM",IF(((EM162/EE162-1)*100)&lt;-50,"NM",(EM162/EE162-1)*100)))</f>
        <v>NA</v>
      </c>
      <c r="EO162" s="177">
        <f t="shared" si="540"/>
        <v>0</v>
      </c>
      <c r="EP162" s="81" t="str">
        <f t="shared" ref="EP162:EP163" si="543">IF(ISERROR((EO162/EG162-1)*100),"NA",IF(((EO162/EG162-1)*100)&gt;100,"NM",IF(((EO162/EG162-1)*100)&lt;-50,"NM",(EO162/EG162-1)*100)))</f>
        <v>NA</v>
      </c>
      <c r="EQ162" s="177">
        <f t="shared" si="540"/>
        <v>0</v>
      </c>
      <c r="ER162" s="81" t="str">
        <f t="shared" ref="ER162:ER163" si="544">IF(ISERROR((EQ162/EI162-1)*100),"NA",IF(((EQ162/EI162-1)*100)&gt;100,"NM",IF(((EQ162/EI162-1)*100)&lt;-50,"NM",(EQ162/EI162-1)*100)))</f>
        <v>NM</v>
      </c>
      <c r="ES162" s="174"/>
      <c r="ET162" s="473"/>
      <c r="EU162" s="174"/>
      <c r="EV162" s="175"/>
      <c r="EW162" s="176"/>
      <c r="EX162" s="175"/>
      <c r="EY162" s="176"/>
      <c r="EZ162" s="175"/>
      <c r="FA162" s="176"/>
      <c r="FB162" s="175"/>
      <c r="FC162" s="176"/>
      <c r="FD162" s="177">
        <f>FD58+FD96+FD128</f>
        <v>0</v>
      </c>
      <c r="FE162" s="176" t="str">
        <f>IF(ISERROR((FD162/FB162-1)*100),"NA",IF(((FD162/FB162-1)*100)&gt;100,"NM",IF(((FD162/FB162-1)*100)&lt;-50,"NM",(FD162/FB162-1)*100)))</f>
        <v>NA</v>
      </c>
      <c r="FF162" s="177">
        <f>FF58+FF96+FF128</f>
        <v>0</v>
      </c>
      <c r="FG162" s="176" t="str">
        <f>IF(ISERROR((FF162/FD162-1)*100),"NA",IF(((FF162/FD162-1)*100)&gt;100,"NM",IF(((FF162/FD162-1)*100)&lt;-50,"NM",(FF162/FD162-1)*100)))</f>
        <v>NA</v>
      </c>
      <c r="FH162" s="177">
        <f>FH58+FH96+FH128</f>
        <v>0</v>
      </c>
      <c r="FI162" s="176" t="str">
        <f>IF(ISERROR((FH162/FF162-1)*100),"NA",IF(((FH162/FF162-1)*100)&gt;100,"NM",IF(((FH162/FF162-1)*100)&lt;-50,"NM",(FH162/FF162-1)*100)))</f>
        <v>NA</v>
      </c>
      <c r="FJ162" s="175">
        <f>AK162+AM162+AO162+AQ162</f>
        <v>0</v>
      </c>
      <c r="FK162" s="176" t="str">
        <f>IF(ISERROR((FJ162/FH162-1)*100),"NA",IF(((FJ162/FH162-1)*100)&gt;100,"NM",IF(((FJ162/FH162-1)*100)&lt;-50,"NM",(FJ162/FH162-1)*100)))</f>
        <v>NA</v>
      </c>
      <c r="FL162" s="177">
        <f>FL58+FL96+FL128</f>
        <v>12</v>
      </c>
      <c r="FM162" s="176" t="str">
        <f>IF(ISERROR((FL162/FJ162-1)*100),"NA",IF(((FL162/FJ162-1)*100)&gt;100,"NM",IF(((FL162/FJ162-1)*100)&lt;-50,"NM",(FL162/FJ162-1)*100)))</f>
        <v>NA</v>
      </c>
      <c r="FN162" s="177">
        <f>FN58+FN96+FN128</f>
        <v>-12.5</v>
      </c>
      <c r="FO162" s="176" t="str">
        <f>IF(ISERROR((FN162/FL162-1)*100),"NA",IF(((FN162/FL162-1)*100)&gt;100,"NM",IF(((FN162/FL162-1)*100)&lt;-50,"NM",(FN162/FL162-1)*100)))</f>
        <v>NM</v>
      </c>
      <c r="FP162" s="177">
        <f>FP58+FP96+FP128</f>
        <v>-5</v>
      </c>
      <c r="FQ162" s="176" t="str">
        <f>IF(ISERROR((FP162/FN162-1)*100),"NA",IF(((FP162/FN162-1)*100)&gt;100,"NM",IF(((FP162/FN162-1)*100)&lt;-50,"NM",(FP162/FN162-1)*100)))</f>
        <v>NM</v>
      </c>
      <c r="FR162" s="177">
        <f>FR58+FR96+FR128</f>
        <v>0</v>
      </c>
      <c r="FS162" s="176" t="str">
        <f>IF(ISERROR((FR162/FP162-1)*100),"NA",IF(((FR162/FP162-1)*100)&gt;100,"NM",IF(((FR162/FP162-1)*100)&lt;-50,"NM",(FR162/FP162-1)*100)))</f>
        <v>NM</v>
      </c>
      <c r="FT162" s="177">
        <f>FT58+FT96+FT128</f>
        <v>0</v>
      </c>
      <c r="FU162" s="176" t="str">
        <f>IF(ISERROR((FT162/FR162-1)*100),"NA",IF(((FT162/FR162-1)*100)&gt;100,"NM",IF(((FT162/FR162-1)*100)&lt;-50,"NM",(FT162/FR162-1)*100)))</f>
        <v>NA</v>
      </c>
      <c r="FV162" s="177">
        <f>FV58+FV96+FV128</f>
        <v>5.5</v>
      </c>
      <c r="FW162" s="176" t="str">
        <f>IF(ISERROR((FV162/FT162-1)*100),"NA",IF(((FV162/FT162-1)*100)&gt;100,"NM",IF(((FV162/FT162-1)*100)&lt;-50,"NM",(FV162/FT162-1)*100)))</f>
        <v>NA</v>
      </c>
      <c r="FX162" s="177">
        <f>FX58+FX96+FX128</f>
        <v>0</v>
      </c>
      <c r="FY162" s="176" t="str">
        <f>IF(ISERROR((FX162/FV162-1)*100),"NA",IF(((FX162/FV162-1)*100)&gt;100,"NM",IF(((FX162/FV162-1)*100)&lt;-50,"NM",(FX162/FV162-1)*100)))</f>
        <v>NM</v>
      </c>
      <c r="FZ162" s="177">
        <f>FZ58+FZ96+FZ128</f>
        <v>3.6000000000000014</v>
      </c>
      <c r="GA162" s="176" t="str">
        <f>IF(ISERROR((FZ162/FX162-1)*100),"NA",IF(((FZ162/FX162-1)*100)&gt;100,"NM",IF(((FZ162/FX162-1)*100)&lt;-50,"NM",(FZ162/FX162-1)*100)))</f>
        <v>NA</v>
      </c>
      <c r="GB162" s="177">
        <f>GB58+GB96+GB128</f>
        <v>0</v>
      </c>
      <c r="GC162" s="176" t="str">
        <f>IF(ISERROR((GB162/FZ162-1)*100),"NA",IF(((GB162/FZ162-1)*100)&gt;100,"NM",IF(((GB162/FZ162-1)*100)&lt;-50,"NM",(GB162/FZ162-1)*100)))</f>
        <v>NM</v>
      </c>
      <c r="GD162" s="177">
        <f>GD58+GD96+GD128</f>
        <v>0</v>
      </c>
      <c r="GE162" s="176" t="str">
        <f>IF(ISERROR((GD162/GB162-1)*100),"NA",IF(((GD162/GB162-1)*100)&gt;100,"NM",IF(((GD162/GB162-1)*100)&lt;-50,"NM",(GD162/GB162-1)*100)))</f>
        <v>NA</v>
      </c>
      <c r="GF162" s="177">
        <f>GF58+GF96+GF128</f>
        <v>0</v>
      </c>
      <c r="GG162" s="176" t="str">
        <f>IF(ISERROR((GF162/GD162-1)*100),"NA",IF(((GF162/GD162-1)*100)&gt;100,"NM",IF(((GF162/GD162-1)*100)&lt;-50,"NM",(GF162/GD162-1)*100)))</f>
        <v>NA</v>
      </c>
      <c r="GH162" s="177">
        <f>GH58+GH96+GH128</f>
        <v>19.5</v>
      </c>
      <c r="GI162" s="176" t="str">
        <f>IF(ISERROR((GH162/GF162-1)*100),"NA",IF(((GH162/GF162-1)*100)&gt;100,"NM",IF(((GH162/GF162-1)*100)&lt;-50,"NM",(GH162/GF162-1)*100)))</f>
        <v>NA</v>
      </c>
      <c r="GJ162" s="177">
        <f>GJ58+GJ96+GJ128</f>
        <v>0</v>
      </c>
      <c r="GK162" s="176" t="str">
        <f>IF(ISERROR((GJ162/GH162-1)*100),"NA",IF(((GJ162/GH162-1)*100)&gt;100,"NM",IF(((GJ162/GH162-1)*100)&lt;-50,"NM",(GJ162/GH162-1)*100)))</f>
        <v>NM</v>
      </c>
      <c r="GL162" s="177">
        <f>GL58+GL96+GL128</f>
        <v>0</v>
      </c>
      <c r="GM162" s="176" t="str">
        <f>IF(ISERROR((GL162/GJ162-1)*100),"NA",IF(((GL162/GJ162-1)*100)&gt;100,"NM",IF(((GL162/GJ162-1)*100)&lt;-50,"NM",(GL162/GJ162-1)*100)))</f>
        <v>NA</v>
      </c>
      <c r="GN162" s="177">
        <f>GN58+GN96+GN128</f>
        <v>0</v>
      </c>
      <c r="GO162" s="176" t="str">
        <f>IF(ISERROR((GN162/GL162-1)*100),"NA",IF(((GN162/GL162-1)*100)&gt;100,"NM",IF(((GN162/GL162-1)*100)&lt;-50,"NM",(GN162/GL162-1)*100)))</f>
        <v>NA</v>
      </c>
      <c r="GP162" s="177">
        <f>GP58+GP96+GP128</f>
        <v>0</v>
      </c>
      <c r="GQ162" s="176" t="str">
        <f>IF(ISERROR((GP162/GN162-1)*100),"NA",IF(((GP162/GN162-1)*100)&gt;100,"NM",IF(((GP162/GN162-1)*100)&lt;-50,"NM",(GP162/GN162-1)*100)))</f>
        <v>NA</v>
      </c>
      <c r="GR162" s="177">
        <f>GR58+GR96+GR128</f>
        <v>0</v>
      </c>
      <c r="GS162" s="176" t="str">
        <f>IF(ISERROR((GR162/GP162-1)*100),"NA",IF(((GR162/GP162-1)*100)&gt;100,"NM",IF(((GR162/GP162-1)*100)&lt;-50,"NM",(GR162/GP162-1)*100)))</f>
        <v>NA</v>
      </c>
      <c r="GT162" s="79" t="str">
        <f>IF(ISERROR(((GR162/GH162)^0.2-1)*100),"NA",(IF(OR(((GR162/GH162)^0.2-1)*100&gt;99,((GR162/GH162)^0.2-1)*100&lt;-50),"NM",(((GR162/GH162)^0.2-1)*100))))</f>
        <v>NM</v>
      </c>
    </row>
    <row r="163" spans="1:286" ht="12.75" customHeight="1" x14ac:dyDescent="0.2">
      <c r="A163" s="1"/>
      <c r="B163" s="68" t="s">
        <v>474</v>
      </c>
      <c r="C163" s="79"/>
      <c r="D163" s="79"/>
      <c r="E163" s="171"/>
      <c r="F163" s="171"/>
      <c r="G163" s="171"/>
      <c r="H163" s="171"/>
      <c r="I163" s="171"/>
      <c r="J163" s="171"/>
      <c r="K163" s="171"/>
      <c r="L163" s="79"/>
      <c r="M163" s="171"/>
      <c r="N163" s="79"/>
      <c r="O163" s="171"/>
      <c r="P163" s="79"/>
      <c r="Q163" s="171"/>
      <c r="R163" s="79"/>
      <c r="S163" s="171"/>
      <c r="T163" s="79"/>
      <c r="U163" s="178">
        <f>U159-U162</f>
        <v>-339.30000000000064</v>
      </c>
      <c r="V163" s="79" t="str">
        <f>IF(ISERROR((U163/M163-1)*100),"NA",IF(((U163/M163-1)*100)&gt;100,"NM",IF(((U163/M163-1)*100)&lt;-50,"NM",(U163/M163-1)*100)))</f>
        <v>NA</v>
      </c>
      <c r="W163" s="178">
        <f>W159-W162</f>
        <v>127.20000000000005</v>
      </c>
      <c r="X163" s="79" t="str">
        <f>IF(ISERROR((W163/O163-1)*100),"NA",IF(((W163/O163-1)*100)&gt;100,"NM",IF(((W163/O163-1)*100)&lt;-50,"NM",(W163/O163-1)*100)))</f>
        <v>NA</v>
      </c>
      <c r="Y163" s="178">
        <f>Y159-Y162</f>
        <v>122.50000000000023</v>
      </c>
      <c r="Z163" s="79" t="str">
        <f>IF(ISERROR((Y163/Q163-1)*100),"NA",IF(((Y163/Q163-1)*100)&gt;100,"NM",IF(((Y163/Q163-1)*100)&lt;-50,"NM",(Y163/Q163-1)*100)))</f>
        <v>NA</v>
      </c>
      <c r="AA163" s="227">
        <f>AA159-AA162</f>
        <v>-341.59999999999991</v>
      </c>
      <c r="AB163" s="79" t="str">
        <f>IF(ISERROR((AA163/S163-1)*100),"NA",IF(((AA163/S163-1)*100)&gt;100,"NM",IF(((AA163/S163-1)*100)&lt;-50,"NM",(AA163/S163-1)*100)))</f>
        <v>NA</v>
      </c>
      <c r="AC163" s="178">
        <f>AC159-AC162</f>
        <v>92.799999999999955</v>
      </c>
      <c r="AD163" s="79" t="str">
        <f>IF(ISERROR((AC163/U163-1)*100),"NA",IF(((AC163/U163-1)*100)&gt;100,"NM",IF(((AC163/U163-1)*100)&lt;-50,"NM",(AC163/U163-1)*100)))</f>
        <v>NM</v>
      </c>
      <c r="AE163" s="178">
        <f>AE159-AE162</f>
        <v>113.60000000000014</v>
      </c>
      <c r="AF163" s="79">
        <f>IF(ISERROR((AE163/W163-1)*100),"NA",IF(((AE163/W163-1)*100)&gt;100,"NM",IF(((AE163/W163-1)*100)&lt;-50,"NM",(AE163/W163-1)*100)))</f>
        <v>-10.69182389937099</v>
      </c>
      <c r="AG163" s="178">
        <f>AG159-AG162</f>
        <v>114.13000000000011</v>
      </c>
      <c r="AH163" s="79">
        <f>IF(ISERROR((AG163/Y163-1)*100),"NA",IF(((AG163/Y163-1)*100)&gt;100,"NM",IF(((AG163/Y163-1)*100)&lt;-50,"NM",(AG163/Y163-1)*100)))</f>
        <v>-6.8326530612245691</v>
      </c>
      <c r="AI163" s="178">
        <f>AI159-AI162</f>
        <v>14.970000000000027</v>
      </c>
      <c r="AJ163" s="79" t="str">
        <f>IF(ISERROR((AI163/AA163-1)*100),"NA",IF(((AI163/AA163-1)*100)&gt;100,"NM",IF(((AI163/AA163-1)*100)&lt;-50,"NM",(AI163/AA163-1)*100)))</f>
        <v>NM</v>
      </c>
      <c r="AK163" s="178">
        <f>AK159-AK162</f>
        <v>100.50000000000023</v>
      </c>
      <c r="AL163" s="79">
        <f>IF(ISERROR((AK163/AC163-1)*100),"NA",IF(((AK163/AC163-1)*100)&gt;100,"NM",IF(((AK163/AC163-1)*100)&lt;-50,"NM",(AK163/AC163-1)*100)))</f>
        <v>8.2974137931037362</v>
      </c>
      <c r="AM163" s="178">
        <f>AM159-AM162</f>
        <v>111.40000000000009</v>
      </c>
      <c r="AN163" s="79">
        <f>IF(ISERROR((AM163/AE163-1)*100),"NA",IF(((AM163/AE163-1)*100)&gt;100,"NM",IF(((AM163/AE163-1)*100)&lt;-50,"NM",(AM163/AE163-1)*100)))</f>
        <v>-1.9366197183098954</v>
      </c>
      <c r="AO163" s="178">
        <f>AO159-AO162</f>
        <v>112.59999999999991</v>
      </c>
      <c r="AP163" s="79">
        <f>IF(ISERROR((AO163/AG163-1)*100),"NA",IF(((AO163/AG163-1)*100)&gt;100,"NM",IF(((AO163/AG163-1)*100)&lt;-50,"NM",(AO163/AG163-1)*100)))</f>
        <v>-1.340576535529836</v>
      </c>
      <c r="AQ163" s="178">
        <f>AQ159-AQ162</f>
        <v>103.90000000000009</v>
      </c>
      <c r="AR163" s="79" t="str">
        <f>IF(ISERROR((AQ163/AI163-1)*100),"NA",IF(((AQ163/AI163-1)*100)&gt;100,"NM",IF(((AQ163/AI163-1)*100)&lt;-50,"NM",(AQ163/AI163-1)*100)))</f>
        <v>NM</v>
      </c>
      <c r="AS163" s="178">
        <f>AS159-AS162</f>
        <v>101.29999999999973</v>
      </c>
      <c r="AT163" s="81">
        <f>IF(ISERROR((AS163/AK163-1)*100),"NA",IF(((AS163/AK163-1)*100)&gt;100,"NM",IF(((AS163/AK163-1)*100)&lt;-50,"NM",(AS163/AK163-1)*100)))</f>
        <v>0.79601990049700255</v>
      </c>
      <c r="AU163" s="178">
        <f>AU159-AU162</f>
        <v>104.5</v>
      </c>
      <c r="AV163" s="81">
        <f>IF(ISERROR((AU163/AM163-1)*100),"NA",IF(((AU163/AM163-1)*100)&gt;100,"NM",IF(((AU163/AM163-1)*100)&lt;-50,"NM",(AU163/AM163-1)*100)))</f>
        <v>-6.1938958707361653</v>
      </c>
      <c r="AW163" s="178">
        <f>AW159-AW162</f>
        <v>118.20000000000005</v>
      </c>
      <c r="AX163" s="81">
        <f>IF(ISERROR((AW163/AO163-1)*100),"NA",IF(((AW163/AO163-1)*100)&gt;100,"NM",IF(((AW163/AO163-1)*100)&lt;-50,"NM",(AW163/AO163-1)*100)))</f>
        <v>4.9733570159859131</v>
      </c>
      <c r="AY163" s="178">
        <f>AY159-AY162</f>
        <v>123.89999999999986</v>
      </c>
      <c r="AZ163" s="81">
        <f>IF(ISERROR((AY163/AQ163-1)*100),"NA",IF(((AY163/AQ163-1)*100)&gt;100,"NM",IF(((AY163/AQ163-1)*100)&lt;-50,"NM",(AY163/AQ163-1)*100)))</f>
        <v>19.249278152069071</v>
      </c>
      <c r="BA163" s="178">
        <f>BA159-BA162</f>
        <v>136.89999999999986</v>
      </c>
      <c r="BB163" s="81">
        <f>IF(ISERROR((BA163/AS163-1)*100),"NA",IF(((BA163/AS163-1)*100)&gt;100,"NM",IF(((BA163/AS163-1)*100)&lt;-50,"NM",(BA163/AS163-1)*100)))</f>
        <v>35.143139190523428</v>
      </c>
      <c r="BC163" s="178">
        <f>BC159-BC162</f>
        <v>152.69999999999982</v>
      </c>
      <c r="BD163" s="81">
        <f>IF(ISERROR((BC163/AU163-1)*100),"NA",IF(((BC163/AU163-1)*100)&gt;100,"NM",IF(((BC163/AU163-1)*100)&lt;-50,"NM",(BC163/AU163-1)*100)))</f>
        <v>46.124401913875431</v>
      </c>
      <c r="BE163" s="178">
        <f>BE159-BE162</f>
        <v>157.79999999999995</v>
      </c>
      <c r="BF163" s="81">
        <f>IF(ISERROR((BE163/AW163-1)*100),"NA",IF(((BE163/AW163-1)*100)&gt;100,"NM",IF(((BE163/AW163-1)*100)&lt;-50,"NM",(BE163/AW163-1)*100)))</f>
        <v>33.502538071065892</v>
      </c>
      <c r="BG163" s="178">
        <f>BG159-BG162</f>
        <v>173.39999999999986</v>
      </c>
      <c r="BH163" s="81">
        <f>IF(ISERROR((BG163/AY163-1)*100),"NA",IF(((BG163/AY163-1)*100)&gt;100,"NM",IF(((BG163/AY163-1)*100)&lt;-50,"NM",(BG163/AY163-1)*100)))</f>
        <v>39.951573849878976</v>
      </c>
      <c r="BI163" s="178">
        <f>BI159-BI162</f>
        <v>158.29999999999995</v>
      </c>
      <c r="BJ163" s="81">
        <f>IF(ISERROR((BI163/BA163-1)*100),"NA",IF(((BI163/BA163-1)*100)&gt;100,"NM",IF(((BI163/BA163-1)*100)&lt;-50,"NM",(BI163/BA163-1)*100)))</f>
        <v>15.631848064280573</v>
      </c>
      <c r="BK163" s="178">
        <f>BK159-BK162</f>
        <v>176.60000000000036</v>
      </c>
      <c r="BL163" s="81">
        <f t="shared" ref="BL163:BL181" si="545">IF(ISERROR((BK163/BC163-1)*100),"NA",IF(((BK163/BC163-1)*100)&gt;100,"NM",IF(((BK163/BC163-1)*100)&lt;-50,"NM",(BK163/BC163-1)*100)))</f>
        <v>15.651604453176549</v>
      </c>
      <c r="BM163" s="178">
        <f>BM159-BM162</f>
        <v>171.59999999999968</v>
      </c>
      <c r="BN163" s="81">
        <f>IF(ISERROR((BM163/BE163-1)*100),"NA",IF(((BM163/BE163-1)*100)&gt;100,"NM",IF(((BM163/BE163-1)*100)&lt;-50,"NM",(BM163/BE163-1)*100)))</f>
        <v>8.7452471482887937</v>
      </c>
      <c r="BO163" s="178">
        <f>BO159-BO162</f>
        <v>182.60000000000036</v>
      </c>
      <c r="BP163" s="81">
        <f>IF(ISERROR((BO163/BG163-1)*100),"NA",IF(((BO163/BG163-1)*100)&gt;100,"NM",IF(((BO163/BG163-1)*100)&lt;-50,"NM",(BO163/BG163-1)*100)))</f>
        <v>5.3056516724339753</v>
      </c>
      <c r="BQ163" s="178">
        <f>BQ159-BQ162</f>
        <v>183.60000000000014</v>
      </c>
      <c r="BR163" s="81">
        <f>IF(ISERROR((BQ163/BI163-1)*100),"NA",IF(((BQ163/BI163-1)*100)&gt;100,"NM",IF(((BQ163/BI163-1)*100)&lt;-50,"NM",(BQ163/BI163-1)*100)))</f>
        <v>15.982312065698157</v>
      </c>
      <c r="BS163" s="178">
        <f>BS159-BS162</f>
        <v>191.2999999999995</v>
      </c>
      <c r="BT163" s="81">
        <f>IF(ISERROR((BS163/BK163-1)*100),"NA",IF(((BS163/BK163-1)*100)&gt;100,"NM",IF(((BS163/BK163-1)*100)&lt;-50,"NM",(BS163/BK163-1)*100)))</f>
        <v>8.3238958097390245</v>
      </c>
      <c r="BU163" s="178">
        <f>BU159-BU162</f>
        <v>197.09999999999945</v>
      </c>
      <c r="BV163" s="81">
        <f>IF(ISERROR((BU163/BM163-1)*100),"NA",IF(((BU163/BM163-1)*100)&gt;100,"NM",IF(((BU163/BM163-1)*100)&lt;-50,"NM",(BU163/BM163-1)*100)))</f>
        <v>14.860139860139764</v>
      </c>
      <c r="BW163" s="178">
        <f>BW159-BW162</f>
        <v>203</v>
      </c>
      <c r="BX163" s="81">
        <f>IF(ISERROR((BW163/BO163-1)*100),"NA",IF(((BW163/BO163-1)*100)&gt;100,"NM",IF(((BW163/BO163-1)*100)&lt;-50,"NM",(BW163/BO163-1)*100)))</f>
        <v>11.171960569550698</v>
      </c>
      <c r="BY163" s="178">
        <f>BY159-BY162</f>
        <v>182.5</v>
      </c>
      <c r="BZ163" s="81">
        <f>IF(ISERROR((BY163/BQ163-1)*100),"NA",IF(((BY163/BQ163-1)*100)&gt;100,"NM",IF(((BY163/BQ163-1)*100)&lt;-50,"NM",(BY163/BQ163-1)*100)))</f>
        <v>-0.59912854030508278</v>
      </c>
      <c r="CA163" s="178">
        <f>CA159-CA162</f>
        <v>200.79999999999995</v>
      </c>
      <c r="CB163" s="81">
        <f>IF(ISERROR((CA163/BS163-1)*100),"NA",IF(((CA163/BS163-1)*100)&gt;100,"NM",IF(((CA163/BS163-1)*100)&lt;-50,"NM",(CA163/BS163-1)*100)))</f>
        <v>4.9660219550446749</v>
      </c>
      <c r="CC163" s="178">
        <f>CC159-CC162</f>
        <v>190.99999999999977</v>
      </c>
      <c r="CD163" s="81">
        <f>IF(ISERROR((CC163/BU163-1)*100),"NA",IF(((CC163/BU163-1)*100)&gt;100,"NM",IF(((CC163/BU163-1)*100)&lt;-50,"NM",(CC163/BU163-1)*100)))</f>
        <v>-3.0948756976152736</v>
      </c>
      <c r="CE163" s="178">
        <f>CE159-CE162</f>
        <v>195.00000000000023</v>
      </c>
      <c r="CF163" s="81">
        <f>IF(ISERROR((CE163/BW163-1)*100),"NA",IF(((CE163/BW163-1)*100)&gt;100,"NM",IF(((CE163/BW163-1)*100)&lt;-50,"NM",(CE163/BW163-1)*100)))</f>
        <v>-3.9408866995072733</v>
      </c>
      <c r="CG163" s="178">
        <f>CG159-CG162</f>
        <v>194.70000000000005</v>
      </c>
      <c r="CH163" s="81">
        <f>IF(ISERROR((CG163/BY163-1)*100),"NA",IF(((CG163/BY163-1)*100)&gt;100,"NM",IF(((CG163/BY163-1)*100)&lt;-50,"NM",(CG163/BY163-1)*100)))</f>
        <v>6.6849315068493453</v>
      </c>
      <c r="CI163" s="178">
        <f>CI159-CI162</f>
        <v>205.59999999999991</v>
      </c>
      <c r="CJ163" s="81">
        <f>IF(ISERROR((CI163/CA163-1)*100),"NA",IF(((CI163/CA163-1)*100)&gt;100,"NM",IF(((CI163/CA163-1)*100)&lt;-50,"NM",(CI163/CA163-1)*100)))</f>
        <v>2.3904382470119279</v>
      </c>
      <c r="CK163" s="178">
        <f>CK159-CK162</f>
        <v>203.70000000000027</v>
      </c>
      <c r="CL163" s="81">
        <f>IF(ISERROR((CK163/CC163-1)*100),"NA",IF(((CK163/CC163-1)*100)&gt;100,"NM",IF(((CK163/CC163-1)*100)&lt;-50,"NM",(CK163/CC163-1)*100)))</f>
        <v>6.6492146596861312</v>
      </c>
      <c r="CM163" s="178">
        <f>CM159-CM162</f>
        <v>207.40000000000009</v>
      </c>
      <c r="CN163" s="81">
        <f>IF(ISERROR((CM163/CE163-1)*100),"NA",IF(((CM163/CE163-1)*100)&gt;100,"NM",IF(((CM163/CE163-1)*100)&lt;-50,"NM",(CM163/CE163-1)*100)))</f>
        <v>6.3589743589742787</v>
      </c>
      <c r="CO163" s="178">
        <f>CO159-CO162</f>
        <v>205.89999999999964</v>
      </c>
      <c r="CP163" s="81">
        <f>IF(ISERROR((CO163/CG163-1)*100),"NA",IF(((CO163/CG163-1)*100)&gt;100,"NM",IF(((CO163/CG163-1)*100)&lt;-50,"NM",(CO163/CG163-1)*100)))</f>
        <v>5.752439650744523</v>
      </c>
      <c r="CQ163" s="178">
        <f>CQ159-CQ162</f>
        <v>212.70000000000027</v>
      </c>
      <c r="CR163" s="81">
        <f>IF(ISERROR((CQ163/CI163-1)*100),"NA",IF(((CQ163/CI163-1)*100)&gt;100,"NM",IF(((CQ163/CI163-1)*100)&lt;-50,"NM",(CQ163/CI163-1)*100)))</f>
        <v>3.4533073929962965</v>
      </c>
      <c r="CS163" s="178">
        <f>CS159-CS162</f>
        <v>216.29999999999995</v>
      </c>
      <c r="CT163" s="81">
        <f>IF(ISERROR((CS163/CK163-1)*100),"NA",IF(((CS163/CK163-1)*100)&gt;100,"NM",IF(((CS163/CK163-1)*100)&lt;-50,"NM",(CS163/CK163-1)*100)))</f>
        <v>6.1855670103091231</v>
      </c>
      <c r="CU163" s="178">
        <f>CU159-CU162</f>
        <v>212.19999999999982</v>
      </c>
      <c r="CV163" s="81">
        <f>IF(ISERROR((CU163/CM163-1)*100),"NA",IF(((CU163/CM163-1)*100)&gt;100,"NM",IF(((CU163/CM163-1)*100)&lt;-50,"NM",(CU163/CM163-1)*100)))</f>
        <v>2.3143683702988138</v>
      </c>
      <c r="CW163" s="178">
        <f>CW159-CW162</f>
        <v>211.20000000000005</v>
      </c>
      <c r="CX163" s="81">
        <f>IF(ISERROR((CW163/CO163-1)*100),"NA",IF(((CW163/CO163-1)*100)&gt;100,"NM",IF(((CW163/CO163-1)*100)&lt;-50,"NM",(CW163/CO163-1)*100)))</f>
        <v>2.5740650801362008</v>
      </c>
      <c r="CY163" s="178">
        <f>CY159-CY162</f>
        <v>211.09999999999991</v>
      </c>
      <c r="CZ163" s="81">
        <f>IF(ISERROR((CY163/CQ163-1)*100),"NA",IF(((CY163/CQ163-1)*100)&gt;100,"NM",IF(((CY163/CQ163-1)*100)&lt;-50,"NM",(CY163/CQ163-1)*100)))</f>
        <v>-0.75223319228977514</v>
      </c>
      <c r="DA163" s="178">
        <f>DA159-DA162</f>
        <v>216.90000000000009</v>
      </c>
      <c r="DB163" s="81">
        <f>IF(ISERROR((DA163/CS163-1)*100),"NA",IF(((DA163/CS163-1)*100)&gt;100,"NM",IF(((DA163/CS163-1)*100)&lt;-50,"NM",(DA163/CS163-1)*100)))</f>
        <v>0.27739251040228563</v>
      </c>
      <c r="DC163" s="178">
        <f>DC159-DC162</f>
        <v>215.60000000000005</v>
      </c>
      <c r="DD163" s="81">
        <f>IF(ISERROR((DC163/CU163-1)*100),"NA",IF(((DC163/CU163-1)*100)&gt;100,"NM",IF(((DC163/CU163-1)*100)&lt;-50,"NM",(DC163/CU163-1)*100)))</f>
        <v>1.602262016965228</v>
      </c>
      <c r="DE163" s="178">
        <f>DE159-DE162</f>
        <v>207.5</v>
      </c>
      <c r="DF163" s="81">
        <f>IF(ISERROR((DE163/CW163-1)*100),"NA",IF(((DE163/CW163-1)*100)&gt;100,"NM",IF(((DE163/CW163-1)*100)&lt;-50,"NM",(DE163/CW163-1)*100)))</f>
        <v>-1.7518939393939559</v>
      </c>
      <c r="DG163" s="178">
        <f>DG159-DG162</f>
        <v>215.79999999999973</v>
      </c>
      <c r="DH163" s="81">
        <f>IF(ISERROR((DG163/CY163-1)*100),"NA",IF(((DG163/CY163-1)*100)&gt;100,"NM",IF(((DG163/CY163-1)*100)&lt;-50,"NM",(DG163/CY163-1)*100)))</f>
        <v>2.2264329701562335</v>
      </c>
      <c r="DI163" s="178">
        <f>DI159-DI162</f>
        <v>212.10000000000014</v>
      </c>
      <c r="DJ163" s="81">
        <f>IF(ISERROR((DI163/DA163-1)*100),"NA",IF(((DI163/DA163-1)*100)&gt;100,"NM",IF(((DI163/DA163-1)*100)&lt;-50,"NM",(DI163/DA163-1)*100)))</f>
        <v>-2.2130013831258455</v>
      </c>
      <c r="DK163" s="178">
        <f>DK159-DK162</f>
        <v>209.5</v>
      </c>
      <c r="DL163" s="81">
        <f>IF(ISERROR((DK163/DC163-1)*100),"NA",IF(((DK163/DC163-1)*100)&gt;100,"NM",IF(((DK163/DC163-1)*100)&lt;-50,"NM",(DK163/DC163-1)*100)))</f>
        <v>-2.8293135435992767</v>
      </c>
      <c r="DM163" s="178">
        <f>DM159-DM162</f>
        <v>214.30000000000018</v>
      </c>
      <c r="DN163" s="81">
        <f>IF(ISERROR((DM163/DE163-1)*100),"NA",IF(((DM163/DE163-1)*100)&gt;100,"NM",IF(((DM163/DE163-1)*100)&lt;-50,"NM",(DM163/DE163-1)*100)))</f>
        <v>3.277108433735032</v>
      </c>
      <c r="DO163" s="178">
        <f>DO159-DO162</f>
        <v>202.80000000000018</v>
      </c>
      <c r="DP163" s="81">
        <f>IF(ISERROR((DO163/DG163-1)*100),"NA",IF(((DO163/DG163-1)*100)&gt;100,"NM",IF(((DO163/DG163-1)*100)&lt;-50,"NM",(DO163/DG163-1)*100)))</f>
        <v>-6.0240963855419665</v>
      </c>
      <c r="DQ163" s="178">
        <f>DQ159-DQ162</f>
        <v>218.69999999999982</v>
      </c>
      <c r="DR163" s="81">
        <f>IF(ISERROR((DQ163/DI163-1)*100),"NA",IF(((DQ163/DI163-1)*100)&gt;100,"NM",IF(((DQ163/DI163-1)*100)&lt;-50,"NM",(DQ163/DI163-1)*100)))</f>
        <v>3.1117397454029527</v>
      </c>
      <c r="DS163" s="178">
        <f>DS159-DS162</f>
        <v>214.19999999999982</v>
      </c>
      <c r="DT163" s="81">
        <f>IF(ISERROR((DS163/DK163-1)*100),"NA",IF(((DS163/DK163-1)*100)&gt;100,"NM",IF(((DS163/DK163-1)*100)&lt;-50,"NM",(DS163/DK163-1)*100)))</f>
        <v>2.243436754176531</v>
      </c>
      <c r="DU163" s="178">
        <f>DU159-DU162</f>
        <v>215.90000000000032</v>
      </c>
      <c r="DV163" s="81">
        <f>IF(ISERROR((DU163/DM163-1)*100),"NA",IF(((DU163/DM163-1)*100)&gt;100,"NM",IF(((DU163/DM163-1)*100)&lt;-50,"NM",(DU163/DM163-1)*100)))</f>
        <v>0.74661689220725247</v>
      </c>
      <c r="DW163" s="178">
        <f>DW159-DW162</f>
        <v>227.20000000000027</v>
      </c>
      <c r="DX163" s="81">
        <f>IF(ISERROR((DW163/DO163-1)*100),"NA",IF(((DW163/DO163-1)*100)&gt;100,"NM",IF(((DW163/DO163-1)*100)&lt;-50,"NM",(DW163/DO163-1)*100)))</f>
        <v>12.031558185404378</v>
      </c>
      <c r="DY163" s="178">
        <f>DY159-DY162</f>
        <v>231</v>
      </c>
      <c r="DZ163" s="81">
        <f>IF(ISERROR((DY163/DQ163-1)*100),"NA",IF(((DY163/DQ163-1)*100)&gt;100,"NM",IF(((DY163/DQ163-1)*100)&lt;-50,"NM",(DY163/DQ163-1)*100)))</f>
        <v>5.6241426611797873</v>
      </c>
      <c r="EA163" s="178">
        <f>EA159-EA162</f>
        <v>240.09999999999945</v>
      </c>
      <c r="EB163" s="81">
        <f>IF(ISERROR((EA163/DS163-1)*100),"NA",IF(((EA163/DS163-1)*100)&gt;100,"NM",IF(((EA163/DS163-1)*100)&lt;-50,"NM",(EA163/DS163-1)*100)))</f>
        <v>12.091503267973703</v>
      </c>
      <c r="EC163" s="178">
        <f>EC159-EC162</f>
        <v>239.09999999999991</v>
      </c>
      <c r="ED163" s="81">
        <f t="shared" si="536"/>
        <v>10.745715609078065</v>
      </c>
      <c r="EE163" s="178">
        <f>EE159-EE162</f>
        <v>247.80000000000018</v>
      </c>
      <c r="EF163" s="81">
        <f t="shared" si="537"/>
        <v>9.0669014084506561</v>
      </c>
      <c r="EG163" s="178">
        <f>EG159-EG162</f>
        <v>258.40000000000009</v>
      </c>
      <c r="EH163" s="81">
        <f t="shared" si="538"/>
        <v>11.861471861471905</v>
      </c>
      <c r="EI163" s="178">
        <f>EI159-EI162</f>
        <v>244.70000000000016</v>
      </c>
      <c r="EJ163" s="81">
        <f t="shared" si="539"/>
        <v>1.9158683881719041</v>
      </c>
      <c r="EK163" s="178">
        <f t="shared" ref="EK163:EQ163" si="546">EK159-EK162</f>
        <v>247.75395908854307</v>
      </c>
      <c r="EL163" s="81">
        <f t="shared" si="541"/>
        <v>3.6193889956265934</v>
      </c>
      <c r="EM163" s="178">
        <f t="shared" si="546"/>
        <v>249.92341271997634</v>
      </c>
      <c r="EN163" s="81">
        <f t="shared" si="542"/>
        <v>0.85690585955453535</v>
      </c>
      <c r="EO163" s="178">
        <f t="shared" si="546"/>
        <v>253.27590306912748</v>
      </c>
      <c r="EP163" s="81">
        <f t="shared" si="543"/>
        <v>-1.9830096481705195</v>
      </c>
      <c r="EQ163" s="178">
        <f t="shared" si="546"/>
        <v>256.21326921042373</v>
      </c>
      <c r="ER163" s="81">
        <f t="shared" si="544"/>
        <v>4.7050548469242282</v>
      </c>
      <c r="ES163" s="82"/>
      <c r="ET163" s="465"/>
      <c r="EU163" s="82"/>
      <c r="EV163" s="171"/>
      <c r="EW163" s="79"/>
      <c r="EX163" s="171"/>
      <c r="EY163" s="79"/>
      <c r="EZ163" s="171"/>
      <c r="FA163" s="79"/>
      <c r="FB163" s="171"/>
      <c r="FC163" s="79"/>
      <c r="FD163" s="178">
        <f>FD159-FD162</f>
        <v>703.00000000000091</v>
      </c>
      <c r="FE163" s="79" t="str">
        <f>IF(ISERROR((FD163/FB163-1)*100),"NA",IF(((FD163/FB163-1)*100)&gt;100,"NM",IF(((FD163/FB163-1)*100)&lt;-50,"NM",(FD163/FB163-1)*100)))</f>
        <v>NA</v>
      </c>
      <c r="FF163" s="178">
        <f>FF159-FF162</f>
        <v>-431.19999999999982</v>
      </c>
      <c r="FG163" s="79" t="str">
        <f>IF(ISERROR((FF163/FD163-1)*100),"NA",IF(((FF163/FD163-1)*100)&gt;100,"NM",IF(((FF163/FD163-1)*100)&lt;-50,"NM",(FF163/FD163-1)*100)))</f>
        <v>NM</v>
      </c>
      <c r="FH163" s="178">
        <f>FH159-FH162</f>
        <v>335.50000000000091</v>
      </c>
      <c r="FI163" s="79" t="str">
        <f>IF(ISERROR((FH163/FF163-1)*100),"NA",IF(((FH163/FF163-1)*100)&gt;100,"NM",IF(((FH163/FF163-1)*100)&lt;-50,"NM",(FH163/FF163-1)*100)))</f>
        <v>NM</v>
      </c>
      <c r="FJ163" s="178">
        <f>FJ159-FJ162</f>
        <v>428.39999999999964</v>
      </c>
      <c r="FK163" s="79">
        <f>IF(ISERROR((FJ163/FH163-1)*100),"NA",IF(((FJ163/FH163-1)*100)&gt;100,"NM",IF(((FJ163/FH163-1)*100)&lt;-50,"NM",(FJ163/FH163-1)*100)))</f>
        <v>27.69001490312921</v>
      </c>
      <c r="FL163" s="178">
        <f>FL159-FL162</f>
        <v>447.89999999999964</v>
      </c>
      <c r="FM163" s="79">
        <f>IF(ISERROR((FL163/FJ163-1)*100),"NA",IF(((FL163/FJ163-1)*100)&gt;100,"NM",IF(((FL163/FJ163-1)*100)&lt;-50,"NM",(FL163/FJ163-1)*100)))</f>
        <v>4.5518207282913226</v>
      </c>
      <c r="FN163" s="178">
        <f>FN159-FN162</f>
        <v>620.80000000000109</v>
      </c>
      <c r="FO163" s="79">
        <f>IF(ISERROR((FN163/FL163-1)*100),"NA",IF(((FN163/FL163-1)*100)&gt;100,"NM",IF(((FN163/FL163-1)*100)&lt;-50,"NM",(FN163/FL163-1)*100)))</f>
        <v>38.602366599687784</v>
      </c>
      <c r="FP163" s="178">
        <f>FP159-FP162</f>
        <v>689.09999999999945</v>
      </c>
      <c r="FQ163" s="79">
        <f>IF(ISERROR((FP163/FN163-1)*100),"NA",IF(((FP163/FN163-1)*100)&gt;100,"NM",IF(((FP163/FN163-1)*100)&lt;-50,"NM",(FP163/FN163-1)*100)))</f>
        <v>11.001932989690433</v>
      </c>
      <c r="FR163" s="178">
        <f>FR159-FR162</f>
        <v>718.99999999999909</v>
      </c>
      <c r="FS163" s="79">
        <f>IF(ISERROR((FR163/FP163-1)*100),"NA",IF(((FR163/FP163-1)*100)&gt;100,"NM",IF(((FR163/FP163-1)*100)&lt;-50,"NM",(FR163/FP163-1)*100)))</f>
        <v>4.3389928892758167</v>
      </c>
      <c r="FT163" s="178">
        <f>FT159-FT162</f>
        <v>769.30000000000018</v>
      </c>
      <c r="FU163" s="79">
        <f>IF(ISERROR((FT163/FR163-1)*100),"NA",IF(((FT163/FR163-1)*100)&gt;100,"NM",IF(((FT163/FR163-1)*100)&lt;-50,"NM",(FT163/FR163-1)*100)))</f>
        <v>6.9958275382477231</v>
      </c>
      <c r="FV163" s="178">
        <f>FV159-FV162</f>
        <v>811.39999999999964</v>
      </c>
      <c r="FW163" s="79">
        <f>IF(ISERROR((FV163/FT163-1)*100),"NA",IF(((FV163/FT163-1)*100)&gt;100,"NM",IF(((FV163/FT163-1)*100)&lt;-50,"NM",(FV163/FT163-1)*100)))</f>
        <v>5.4725074743272373</v>
      </c>
      <c r="FX163" s="178">
        <f>FX159-FX162</f>
        <v>842.79999999999927</v>
      </c>
      <c r="FY163" s="79">
        <f>IF(ISERROR((FX163/FV163-1)*100),"NA",IF(((FX163/FV163-1)*100)&gt;100,"NM",IF(((FX163/FV163-1)*100)&lt;-50,"NM",(FX163/FV163-1)*100)))</f>
        <v>3.8698545723440558</v>
      </c>
      <c r="FZ163" s="178">
        <f>FZ159-FZ162</f>
        <v>854.80000000000052</v>
      </c>
      <c r="GA163" s="79">
        <f>IF(ISERROR((FZ163/FX163-1)*100),"NA",IF(((FZ163/FX163-1)*100)&gt;100,"NM",IF(((FZ163/FX163-1)*100)&lt;-50,"NM",(FZ163/FX163-1)*100)))</f>
        <v>1.4238253440912674</v>
      </c>
      <c r="GB163" s="178">
        <f>GB159-GB162</f>
        <v>844.90000000000055</v>
      </c>
      <c r="GC163" s="79">
        <f>IF(ISERROR((GB163/FZ163-1)*100),"NA",IF(((GB163/FZ163-1)*100)&gt;100,"NM",IF(((GB163/FZ163-1)*100)&lt;-50,"NM",(GB163/FZ163-1)*100)))</f>
        <v>-1.158165652784271</v>
      </c>
      <c r="GD163" s="178">
        <f>GD159-GD162</f>
        <v>850</v>
      </c>
      <c r="GE163" s="79">
        <f>IF(ISERROR((GD163/GB163-1)*100),"NA",IF(((GD163/GB163-1)*100)&gt;100,"NM",IF(((GD163/GB163-1)*100)&lt;-50,"NM",(GD163/GB163-1)*100)))</f>
        <v>0.60362173038222</v>
      </c>
      <c r="GF163" s="178">
        <f>GF159-GF162</f>
        <v>914.19999999999982</v>
      </c>
      <c r="GG163" s="79">
        <f>IF(ISERROR((GF163/GD163-1)*100),"NA",IF(((GF163/GD163-1)*100)&gt;100,"NM",IF(((GF163/GD163-1)*100)&lt;-50,"NM",(GF163/GD163-1)*100)))</f>
        <v>7.5529411764705623</v>
      </c>
      <c r="GH163" s="178">
        <f>GH159-GH162</f>
        <v>989.99999999999966</v>
      </c>
      <c r="GI163" s="79">
        <f>IF(ISERROR((GH163/GF163-1)*100),"NA",IF(((GH163/GF163-1)*100)&gt;100,"NM",IF(((GH163/GF163-1)*100)&lt;-50,"NM",(GH163/GF163-1)*100)))</f>
        <v>8.2914023189673891</v>
      </c>
      <c r="GJ163" s="178">
        <f>GJ159-GJ162</f>
        <v>1007.1665440880697</v>
      </c>
      <c r="GK163" s="79">
        <f>IF(ISERROR((GJ163/GH163-1)*100),"NA",IF(((GJ163/GH163-1)*100)&gt;100,"NM",IF(((GJ163/GH163-1)*100)&lt;-50,"NM",(GJ163/GH163-1)*100)))</f>
        <v>1.7339943523303036</v>
      </c>
      <c r="GL163" s="178">
        <f>GL159-GL162</f>
        <v>1038.8742678077633</v>
      </c>
      <c r="GM163" s="79">
        <f>IF(ISERROR((GL163/GJ163-1)*100),"NA",IF(((GL163/GJ163-1)*100)&gt;100,"NM",IF(((GL163/GJ163-1)*100)&lt;-50,"NM",(GL163/GJ163-1)*100)))</f>
        <v>3.1482105820346717</v>
      </c>
      <c r="GN163" s="178">
        <f>GN159-GN162</f>
        <v>1071.830784140473</v>
      </c>
      <c r="GO163" s="79">
        <f>IF(ISERROR((GN163/GL163-1)*100),"NA",IF(((GN163/GL163-1)*100)&gt;100,"NM",IF(((GN163/GL163-1)*100)&lt;-50,"NM",(GN163/GL163-1)*100)))</f>
        <v>3.1723296412235369</v>
      </c>
      <c r="GP163" s="178">
        <f>GP159-GP162</f>
        <v>1107.8845811916553</v>
      </c>
      <c r="GQ163" s="79">
        <f>IF(ISERROR((GP163/GN163-1)*100),"NA",IF(((GP163/GN163-1)*100)&gt;100,"NM",IF(((GP163/GN163-1)*100)&lt;-50,"NM",(GP163/GN163-1)*100)))</f>
        <v>3.3637583081824518</v>
      </c>
      <c r="GR163" s="178">
        <f>GR159-GR162</f>
        <v>1139.8795837842745</v>
      </c>
      <c r="GS163" s="79">
        <f>IF(ISERROR((GR163/GP163-1)*100),"NA",IF(((GR163/GP163-1)*100)&gt;100,"NM",IF(((GR163/GP163-1)*100)&lt;-50,"NM",(GR163/GP163-1)*100)))</f>
        <v>2.8879364453474832</v>
      </c>
      <c r="GT163" s="79">
        <f>IF(ISERROR(((GR163/GH163)^0.2-1)*100),"NA",(IF(OR(((GR163/GH163)^0.2-1)*100&gt;99,((GR163/GH163)^0.2-1)*100&lt;-50),"NM",(((GR163/GH163)^0.2-1)*100))))</f>
        <v>2.8595822375925284</v>
      </c>
      <c r="GU163" s="858"/>
    </row>
    <row r="164" spans="1:286" ht="12.75" customHeight="1" x14ac:dyDescent="0.2">
      <c r="A164" s="1"/>
      <c r="B164" s="2"/>
      <c r="C164" s="171"/>
      <c r="D164" s="171"/>
      <c r="E164" s="171"/>
      <c r="F164" s="171"/>
      <c r="G164" s="171"/>
      <c r="H164" s="171"/>
      <c r="I164" s="171"/>
      <c r="J164" s="171"/>
      <c r="K164" s="171"/>
      <c r="L164" s="79"/>
      <c r="M164" s="171"/>
      <c r="N164" s="79"/>
      <c r="O164" s="171"/>
      <c r="P164" s="79"/>
      <c r="Q164" s="171"/>
      <c r="R164" s="79"/>
      <c r="S164" s="171"/>
      <c r="T164" s="79"/>
      <c r="U164" s="171"/>
      <c r="V164" s="79"/>
      <c r="W164" s="171"/>
      <c r="X164" s="79"/>
      <c r="Y164" s="171"/>
      <c r="Z164" s="79"/>
      <c r="AA164" s="172"/>
      <c r="AB164" s="79"/>
      <c r="AC164" s="171"/>
      <c r="AD164" s="79"/>
      <c r="AE164" s="171"/>
      <c r="AF164" s="79"/>
      <c r="AG164" s="171"/>
      <c r="AH164" s="79"/>
      <c r="AI164" s="171"/>
      <c r="AJ164" s="79"/>
      <c r="AK164" s="171"/>
      <c r="AL164" s="79"/>
      <c r="AM164" s="171"/>
      <c r="AN164" s="79"/>
      <c r="AO164" s="171"/>
      <c r="AP164" s="79"/>
      <c r="AQ164" s="171"/>
      <c r="AR164" s="79"/>
      <c r="AS164" s="171"/>
      <c r="AT164" s="81"/>
      <c r="AU164" s="171"/>
      <c r="AV164" s="81"/>
      <c r="AW164" s="171"/>
      <c r="AX164" s="81"/>
      <c r="AY164" s="171"/>
      <c r="AZ164" s="81"/>
      <c r="BA164" s="171"/>
      <c r="BB164" s="81"/>
      <c r="BC164" s="171"/>
      <c r="BD164" s="81"/>
      <c r="BE164" s="171"/>
      <c r="BF164" s="81"/>
      <c r="BG164" s="171"/>
      <c r="BH164" s="81"/>
      <c r="BI164" s="171"/>
      <c r="BJ164" s="81"/>
      <c r="BK164" s="171"/>
      <c r="BL164" s="81"/>
      <c r="BM164" s="171"/>
      <c r="BN164" s="81"/>
      <c r="BO164" s="171"/>
      <c r="BP164" s="81"/>
      <c r="BQ164" s="171"/>
      <c r="BR164" s="81"/>
      <c r="BS164" s="171"/>
      <c r="BT164" s="81"/>
      <c r="BU164" s="171"/>
      <c r="BV164" s="81"/>
      <c r="BW164" s="171"/>
      <c r="BX164" s="81"/>
      <c r="BY164" s="171"/>
      <c r="BZ164" s="81"/>
      <c r="CA164" s="171"/>
      <c r="CB164" s="81"/>
      <c r="CC164" s="171"/>
      <c r="CD164" s="81"/>
      <c r="CE164" s="171"/>
      <c r="CF164" s="81"/>
      <c r="CG164" s="171"/>
      <c r="CH164" s="81"/>
      <c r="CI164" s="171"/>
      <c r="CJ164" s="81"/>
      <c r="CK164" s="171"/>
      <c r="CL164" s="81"/>
      <c r="CM164" s="171"/>
      <c r="CN164" s="81"/>
      <c r="CO164" s="171"/>
      <c r="CP164" s="81"/>
      <c r="CQ164" s="171"/>
      <c r="CR164" s="81"/>
      <c r="CS164" s="171"/>
      <c r="CT164" s="81"/>
      <c r="CU164" s="171"/>
      <c r="CV164" s="81"/>
      <c r="CW164" s="171"/>
      <c r="CX164" s="81"/>
      <c r="CY164" s="171"/>
      <c r="CZ164" s="81"/>
      <c r="DA164" s="171"/>
      <c r="DB164" s="81"/>
      <c r="DC164" s="171"/>
      <c r="DD164" s="81"/>
      <c r="DE164" s="171"/>
      <c r="DF164" s="81"/>
      <c r="DG164" s="171"/>
      <c r="DH164" s="81"/>
      <c r="DI164" s="171"/>
      <c r="DJ164" s="81"/>
      <c r="DK164" s="171"/>
      <c r="DL164" s="81"/>
      <c r="DM164" s="171"/>
      <c r="DN164" s="81"/>
      <c r="DO164" s="171"/>
      <c r="DP164" s="81"/>
      <c r="DQ164" s="912">
        <f>(DQ163+DO163+DM163)/(DI163+DG163+DE163)-1</f>
        <v>6.2952470884525269E-4</v>
      </c>
      <c r="DR164" s="81"/>
      <c r="DS164" s="912">
        <f>(DS163+DQ163+DO163)/(DK163+DI163+DG163)-1</f>
        <v>-2.6670850329464368E-3</v>
      </c>
      <c r="DT164" s="81"/>
      <c r="DU164" s="912">
        <f>(DU163+DS163+DQ163)/(DM163+DK163+DI163)-1</f>
        <v>2.0286208523352167E-2</v>
      </c>
      <c r="DV164" s="81"/>
      <c r="DW164" s="912">
        <f>(DW163+DU163+DS163)/(DO163+DM163+DK163)-1</f>
        <v>4.8994573890839499E-2</v>
      </c>
      <c r="DX164" s="81"/>
      <c r="DY164" s="912">
        <f>(DY163+DW163+DU163)/(DQ163+DO163+DM163)-1</f>
        <v>6.0239068889588632E-2</v>
      </c>
      <c r="DZ164" s="81"/>
      <c r="EA164" s="912">
        <f>(EA163+DY163+DW163)/(DS163+DQ163+DO163)-1</f>
        <v>9.847412301400027E-2</v>
      </c>
      <c r="EB164" s="81"/>
      <c r="EC164" s="912">
        <f>(EC163+EA163+DY163)/(DU163+DS163+DQ163)-1</f>
        <v>9.4636251541306171E-2</v>
      </c>
      <c r="ED164" s="81"/>
      <c r="EE164" s="912">
        <f>(EE163+EC163+EA163)/(DW163+DU163+DS163)-1</f>
        <v>0.10603986003346888</v>
      </c>
      <c r="EF164" s="81"/>
      <c r="EG164" s="912">
        <f>(EG163+EE163+EC163)/(DY163+DW163+DU163)-1</f>
        <v>0.10562231122978716</v>
      </c>
      <c r="EH164" s="81"/>
      <c r="EI164" s="912">
        <f>(EI163+EG163+EE163)/(EA163+DY163+DW163)-1</f>
        <v>7.5325791207218495E-2</v>
      </c>
      <c r="EJ164" s="81"/>
      <c r="EK164" s="171"/>
      <c r="EL164" s="81"/>
      <c r="EM164" s="171"/>
      <c r="EN164" s="81"/>
      <c r="EO164" s="171"/>
      <c r="EP164" s="81"/>
      <c r="EQ164" s="171"/>
      <c r="ER164" s="81"/>
      <c r="ES164" s="82"/>
      <c r="ET164" s="469"/>
      <c r="EU164" s="82"/>
      <c r="EV164" s="171"/>
      <c r="EW164" s="79"/>
      <c r="EX164" s="171"/>
      <c r="EY164" s="79"/>
      <c r="EZ164" s="171"/>
      <c r="FA164" s="79"/>
      <c r="FB164" s="217"/>
      <c r="FC164" s="79"/>
      <c r="FD164" s="217"/>
      <c r="FE164" s="79"/>
      <c r="FF164" s="218"/>
      <c r="FG164" s="79"/>
      <c r="FH164" s="219"/>
      <c r="FI164" s="79"/>
      <c r="FJ164" s="171"/>
      <c r="FK164" s="79"/>
      <c r="FL164" s="171"/>
      <c r="FM164" s="79"/>
      <c r="FN164" s="171"/>
      <c r="FO164" s="79"/>
      <c r="FP164" s="171"/>
      <c r="FQ164" s="79"/>
      <c r="FR164" s="171"/>
      <c r="FS164" s="79"/>
      <c r="FT164" s="171"/>
      <c r="FU164" s="79"/>
      <c r="FV164" s="171"/>
      <c r="FW164" s="79"/>
      <c r="FX164" s="171"/>
      <c r="FY164" s="79"/>
      <c r="FZ164" s="171"/>
      <c r="GA164" s="79"/>
      <c r="GB164" s="171"/>
      <c r="GC164" s="79"/>
      <c r="GD164" s="171"/>
      <c r="GE164" s="79"/>
      <c r="GF164" s="171"/>
      <c r="GG164" s="79"/>
      <c r="GH164" s="171"/>
      <c r="GI164" s="79"/>
      <c r="GJ164" s="171"/>
      <c r="GK164" s="79"/>
      <c r="GL164" s="171"/>
      <c r="GM164" s="79"/>
      <c r="GN164" s="171"/>
      <c r="GO164" s="79"/>
      <c r="GP164" s="171"/>
      <c r="GQ164" s="79"/>
      <c r="GR164" s="171"/>
      <c r="GS164" s="79"/>
      <c r="GT164" s="79"/>
    </row>
    <row r="165" spans="1:286" ht="12.75" customHeight="1" x14ac:dyDescent="0.2">
      <c r="A165" s="1"/>
      <c r="B165" s="68" t="s">
        <v>389</v>
      </c>
      <c r="C165" s="171"/>
      <c r="D165" s="171"/>
      <c r="E165" s="171"/>
      <c r="F165" s="171"/>
      <c r="G165" s="171"/>
      <c r="H165" s="171"/>
      <c r="I165" s="171"/>
      <c r="J165" s="171"/>
      <c r="K165" s="171"/>
      <c r="L165" s="79"/>
      <c r="M165" s="171"/>
      <c r="N165" s="79"/>
      <c r="O165" s="171"/>
      <c r="P165" s="79"/>
      <c r="Q165" s="171"/>
      <c r="R165" s="79"/>
      <c r="S165" s="171"/>
      <c r="T165" s="79"/>
      <c r="U165" s="171"/>
      <c r="V165" s="79"/>
      <c r="W165" s="171"/>
      <c r="X165" s="79"/>
      <c r="Y165" s="171"/>
      <c r="Z165" s="79"/>
      <c r="AA165" s="172"/>
      <c r="AB165" s="79"/>
      <c r="AC165" s="171"/>
      <c r="AD165" s="79"/>
      <c r="AE165" s="171"/>
      <c r="AF165" s="79"/>
      <c r="AG165" s="171"/>
      <c r="AH165" s="79"/>
      <c r="AI165" s="171"/>
      <c r="AJ165" s="79"/>
      <c r="AK165" s="171"/>
      <c r="AL165" s="79"/>
      <c r="AM165" s="171"/>
      <c r="AN165" s="79"/>
      <c r="AO165" s="171"/>
      <c r="AP165" s="79"/>
      <c r="AQ165" s="171"/>
      <c r="AR165" s="79"/>
      <c r="AS165" s="171"/>
      <c r="AT165" s="81"/>
      <c r="AU165" s="171"/>
      <c r="AV165" s="81"/>
      <c r="AW165" s="171"/>
      <c r="AX165" s="81"/>
      <c r="AY165" s="171"/>
      <c r="AZ165" s="81"/>
      <c r="BA165" s="171"/>
      <c r="BB165" s="81"/>
      <c r="BC165" s="171"/>
      <c r="BD165" s="81"/>
      <c r="BE165" s="171"/>
      <c r="BF165" s="81"/>
      <c r="BG165" s="171"/>
      <c r="BH165" s="81"/>
      <c r="BI165" s="171"/>
      <c r="BJ165" s="81"/>
      <c r="BK165" s="171"/>
      <c r="BL165" s="81"/>
      <c r="BM165" s="171"/>
      <c r="BN165" s="81"/>
      <c r="BO165" s="171"/>
      <c r="BP165" s="81"/>
      <c r="BQ165" s="171"/>
      <c r="BR165" s="81"/>
      <c r="BS165" s="171"/>
      <c r="BT165" s="81"/>
      <c r="BU165" s="171"/>
      <c r="BV165" s="81"/>
      <c r="BW165" s="171"/>
      <c r="BX165" s="81"/>
      <c r="BY165" s="171"/>
      <c r="BZ165" s="81"/>
      <c r="CA165" s="171"/>
      <c r="CB165" s="81"/>
      <c r="CC165" s="171"/>
      <c r="CD165" s="81"/>
      <c r="CE165" s="171"/>
      <c r="CF165" s="81"/>
      <c r="CG165" s="171"/>
      <c r="CH165" s="81"/>
      <c r="CI165" s="171"/>
      <c r="CJ165" s="81"/>
      <c r="CK165" s="171"/>
      <c r="CL165" s="81"/>
      <c r="CM165" s="171"/>
      <c r="CN165" s="81"/>
      <c r="CO165" s="171"/>
      <c r="CP165" s="81"/>
      <c r="CQ165" s="171"/>
      <c r="CR165" s="81"/>
      <c r="CS165" s="171"/>
      <c r="CT165" s="81"/>
      <c r="CU165" s="171"/>
      <c r="CV165" s="81"/>
      <c r="CW165" s="171"/>
      <c r="CX165" s="81"/>
      <c r="CY165" s="171"/>
      <c r="CZ165" s="81"/>
      <c r="DA165" s="171"/>
      <c r="DB165" s="81"/>
      <c r="DC165" s="171"/>
      <c r="DD165" s="81"/>
      <c r="DE165" s="171"/>
      <c r="DF165" s="81"/>
      <c r="DG165" s="171"/>
      <c r="DH165" s="81"/>
      <c r="DI165" s="171"/>
      <c r="DJ165" s="81"/>
      <c r="DK165" s="171"/>
      <c r="DL165" s="81"/>
      <c r="DM165" s="171"/>
      <c r="DN165" s="81"/>
      <c r="DO165" s="171"/>
      <c r="DP165" s="81"/>
      <c r="DQ165" s="171"/>
      <c r="DR165" s="81"/>
      <c r="DS165" s="171"/>
      <c r="DT165" s="81"/>
      <c r="DU165" s="171"/>
      <c r="DV165" s="81"/>
      <c r="DW165" s="171"/>
      <c r="DX165" s="81"/>
      <c r="DY165" s="171"/>
      <c r="DZ165" s="81"/>
      <c r="EA165" s="171"/>
      <c r="EB165" s="81"/>
      <c r="EC165" s="171"/>
      <c r="ED165" s="81"/>
      <c r="EE165" s="171"/>
      <c r="EF165" s="81"/>
      <c r="EG165" s="171"/>
      <c r="EH165" s="81"/>
      <c r="EI165" s="171"/>
      <c r="EJ165" s="81"/>
      <c r="EK165" s="171"/>
      <c r="EL165" s="81"/>
      <c r="EM165" s="171"/>
      <c r="EN165" s="81"/>
      <c r="EO165" s="171"/>
      <c r="EP165" s="81"/>
      <c r="EQ165" s="171"/>
      <c r="ER165" s="81"/>
      <c r="ES165" s="82"/>
      <c r="ET165" s="469"/>
      <c r="EU165" s="82"/>
      <c r="EV165" s="171"/>
      <c r="EW165" s="79"/>
      <c r="EX165" s="171"/>
      <c r="EY165" s="79"/>
      <c r="EZ165" s="171"/>
      <c r="FA165" s="79"/>
      <c r="FB165" s="217"/>
      <c r="FC165" s="79"/>
      <c r="FD165" s="217"/>
      <c r="FE165" s="79"/>
      <c r="FF165" s="218"/>
      <c r="FG165" s="79"/>
      <c r="FH165" s="219"/>
      <c r="FI165" s="79"/>
      <c r="FJ165" s="171"/>
      <c r="FK165" s="79"/>
      <c r="FL165" s="171"/>
      <c r="FM165" s="79"/>
      <c r="FN165" s="171"/>
      <c r="FO165" s="79"/>
      <c r="FP165" s="171"/>
      <c r="FQ165" s="79"/>
      <c r="FR165" s="171"/>
      <c r="FS165" s="79"/>
      <c r="FT165" s="171"/>
      <c r="FU165" s="79"/>
      <c r="FV165" s="171"/>
      <c r="FW165" s="79"/>
      <c r="FX165" s="171"/>
      <c r="FY165" s="79"/>
      <c r="FZ165" s="171"/>
      <c r="GA165" s="79"/>
      <c r="GB165" s="171"/>
      <c r="GC165" s="79"/>
      <c r="GD165" s="171"/>
      <c r="GE165" s="79"/>
      <c r="GF165" s="171"/>
      <c r="GG165" s="79"/>
      <c r="GH165" s="171"/>
      <c r="GI165" s="79"/>
      <c r="GJ165" s="171"/>
      <c r="GK165" s="79"/>
      <c r="GL165" s="171"/>
      <c r="GM165" s="79"/>
      <c r="GN165" s="171"/>
      <c r="GO165" s="79"/>
      <c r="GP165" s="171"/>
      <c r="GQ165" s="79"/>
      <c r="GR165" s="171"/>
      <c r="GS165" s="79"/>
      <c r="GT165" s="79"/>
    </row>
    <row r="166" spans="1:286" ht="12.75" customHeight="1" x14ac:dyDescent="0.2">
      <c r="A166" s="1"/>
      <c r="B166" s="2" t="str">
        <f>B62</f>
        <v xml:space="preserve">  LTD Fully Insured</v>
      </c>
      <c r="C166" s="171"/>
      <c r="D166" s="171"/>
      <c r="E166" s="171"/>
      <c r="F166" s="171"/>
      <c r="G166" s="171"/>
      <c r="H166" s="171"/>
      <c r="I166" s="171"/>
      <c r="J166" s="171"/>
      <c r="K166" s="171"/>
      <c r="L166" s="79"/>
      <c r="M166" s="171"/>
      <c r="N166" s="79"/>
      <c r="O166" s="171"/>
      <c r="P166" s="79"/>
      <c r="Q166" s="171"/>
      <c r="R166" s="79"/>
      <c r="S166" s="171"/>
      <c r="T166" s="79"/>
      <c r="U166" s="171"/>
      <c r="V166" s="79"/>
      <c r="W166" s="171"/>
      <c r="X166" s="79"/>
      <c r="Y166" s="171"/>
      <c r="Z166" s="79"/>
      <c r="AA166" s="172"/>
      <c r="AB166" s="79"/>
      <c r="AC166" s="228">
        <f>AC62</f>
        <v>35.799999999999997</v>
      </c>
      <c r="AD166" s="79" t="str">
        <f>IF(ISERROR((AC166/U166-1)*100),"NA",IF(((AC166/U166-1)*100)&gt;100,"NM",IF(((AC166/U166-1)*100)&lt;-50,"NM",(AC166/U166-1)*100)))</f>
        <v>NA</v>
      </c>
      <c r="AE166" s="228">
        <f>AE62</f>
        <v>41</v>
      </c>
      <c r="AF166" s="79" t="str">
        <f>IF(ISERROR((AE166/W166-1)*100),"NA",IF(((AE166/W166-1)*100)&gt;100,"NM",IF(((AE166/W166-1)*100)&lt;-50,"NM",(AE166/W166-1)*100)))</f>
        <v>NA</v>
      </c>
      <c r="AG166" s="228">
        <f>AG62</f>
        <v>23.8</v>
      </c>
      <c r="AH166" s="79" t="str">
        <f>IF(ISERROR((AG166/Y166-1)*100),"NA",IF(((AG166/Y166-1)*100)&gt;100,"NM",IF(((AG166/Y166-1)*100)&lt;-50,"NM",(AG166/Y166-1)*100)))</f>
        <v>NA</v>
      </c>
      <c r="AI166" s="228">
        <f>AI62</f>
        <v>79.8</v>
      </c>
      <c r="AJ166" s="79" t="str">
        <f>IF(ISERROR((AI166/AA166-1)*100),"NA",IF(((AI166/AA166-1)*100)&gt;100,"NM",IF(((AI166/AA166-1)*100)&lt;-50,"NM",(AI166/AA166-1)*100)))</f>
        <v>NA</v>
      </c>
      <c r="AK166" s="228">
        <f>AK62</f>
        <v>37</v>
      </c>
      <c r="AL166" s="79">
        <f>IF(ISERROR((AK166/AC166-1)*100),"NA",IF(((AK166/AC166-1)*100)&gt;100,"NM",IF(((AK166/AC166-1)*100)&lt;-50,"NM",(AK166/AC166-1)*100)))</f>
        <v>3.3519553072625774</v>
      </c>
      <c r="AM166" s="228">
        <f>AM62</f>
        <v>47.7</v>
      </c>
      <c r="AN166" s="79">
        <f t="shared" ref="AN166:BD168" si="547">IF(ISERROR((AM166/AE166-1)*100),"NA",IF(((AM166/AE166-1)*100)&gt;100,"NM",IF(((AM166/AE166-1)*100)&lt;-50,"NM",(AM166/AE166-1)*100)))</f>
        <v>16.341463414634163</v>
      </c>
      <c r="AO166" s="228">
        <f>AO62</f>
        <v>27.6</v>
      </c>
      <c r="AP166" s="79">
        <f t="shared" si="547"/>
        <v>15.96638655462186</v>
      </c>
      <c r="AQ166" s="228">
        <f>AQ62</f>
        <v>68.099999999999994</v>
      </c>
      <c r="AR166" s="79">
        <f t="shared" si="547"/>
        <v>-14.661654135338352</v>
      </c>
      <c r="AS166" s="229">
        <f>AS62</f>
        <v>43.1</v>
      </c>
      <c r="AT166" s="81">
        <f t="shared" si="547"/>
        <v>16.486486486486495</v>
      </c>
      <c r="AU166" s="229">
        <f>AU62</f>
        <v>50.9</v>
      </c>
      <c r="AV166" s="81">
        <f t="shared" si="547"/>
        <v>6.7085953878406546</v>
      </c>
      <c r="AW166" s="229">
        <f>AW62</f>
        <v>25.4</v>
      </c>
      <c r="AX166" s="81">
        <f t="shared" si="547"/>
        <v>-7.9710144927536364</v>
      </c>
      <c r="AY166" s="229">
        <f>AY62</f>
        <v>89.1</v>
      </c>
      <c r="AZ166" s="81">
        <f t="shared" si="547"/>
        <v>30.83700440528634</v>
      </c>
      <c r="BA166" s="229">
        <f>BA62</f>
        <v>25.5</v>
      </c>
      <c r="BB166" s="81">
        <f t="shared" si="547"/>
        <v>-40.835266821345705</v>
      </c>
      <c r="BC166" s="229">
        <f>BC62</f>
        <v>53</v>
      </c>
      <c r="BD166" s="81">
        <f t="shared" si="547"/>
        <v>4.1257367387033339</v>
      </c>
      <c r="BE166" s="229">
        <f>BE62</f>
        <v>23.9</v>
      </c>
      <c r="BF166" s="81">
        <f>IF(ISERROR((BE166/AW166-1)*100),"NA",IF(((BE166/AW166-1)*100)&gt;100,"NM",IF(((BE166/AW166-1)*100)&lt;-50,"NM",(BE166/AW166-1)*100)))</f>
        <v>-5.9055118110236222</v>
      </c>
      <c r="BG166" s="229">
        <f>BG62</f>
        <v>75.3</v>
      </c>
      <c r="BH166" s="81">
        <f>IF(ISERROR((BG166/AY166-1)*100),"NA",IF(((BG166/AY166-1)*100)&gt;100,"NM",IF(((BG166/AY166-1)*100)&lt;-50,"NM",(BG166/AY166-1)*100)))</f>
        <v>-15.488215488215484</v>
      </c>
      <c r="BI166" s="229">
        <f>BI62</f>
        <v>36.1</v>
      </c>
      <c r="BJ166" s="81">
        <f>IF(ISERROR((BI166/BA166-1)*100),"NA",IF(((BI166/BA166-1)*100)&gt;100,"NM",IF(((BI166/BA166-1)*100)&lt;-50,"NM",(BI166/BA166-1)*100)))</f>
        <v>41.568627450980401</v>
      </c>
      <c r="BK166" s="229">
        <f>BK62</f>
        <v>45.4</v>
      </c>
      <c r="BL166" s="81">
        <f t="shared" si="545"/>
        <v>-14.339622641509441</v>
      </c>
      <c r="BM166" s="229">
        <f>BM62</f>
        <v>31.4</v>
      </c>
      <c r="BN166" s="81"/>
      <c r="BO166" s="229">
        <f>BO62</f>
        <v>77.400000000000006</v>
      </c>
      <c r="BP166" s="81"/>
      <c r="BQ166" s="229">
        <f>BQ62</f>
        <v>31.7</v>
      </c>
      <c r="BR166" s="81">
        <f>IF(ISERROR((BQ166/BI166-1)*100),"NA",IF(((BQ166/BI166-1)*100)&gt;100,"NM",IF(((BQ166/BI166-1)*100)&lt;-50,"NM",(BQ166/BI166-1)*100)))</f>
        <v>-12.188365650969535</v>
      </c>
      <c r="BS166" s="229">
        <f>BS62</f>
        <v>54.3</v>
      </c>
      <c r="BT166" s="81"/>
      <c r="BU166" s="229">
        <f>BU62</f>
        <v>20.7</v>
      </c>
      <c r="BV166" s="81"/>
      <c r="BW166" s="229">
        <f>BW62</f>
        <v>75.400000000000006</v>
      </c>
      <c r="BX166" s="81"/>
      <c r="BY166" s="229">
        <f>BY62</f>
        <v>27.6</v>
      </c>
      <c r="BZ166" s="81"/>
      <c r="CA166" s="229">
        <f>CA62</f>
        <v>32.200000000000003</v>
      </c>
      <c r="CB166" s="81"/>
      <c r="CC166" s="229">
        <f>CC62</f>
        <v>21.2</v>
      </c>
      <c r="CD166" s="81"/>
      <c r="CE166" s="229">
        <f>CE62</f>
        <v>67.3</v>
      </c>
      <c r="CF166" s="81"/>
      <c r="CG166" s="229">
        <f>CG62</f>
        <v>29.5</v>
      </c>
      <c r="CH166" s="81"/>
      <c r="CI166" s="229">
        <f>CI62</f>
        <v>38.299999999999997</v>
      </c>
      <c r="CJ166" s="81"/>
      <c r="CK166" s="229">
        <f>CK62</f>
        <v>22</v>
      </c>
      <c r="CL166" s="81"/>
      <c r="CM166" s="229">
        <f>CM62</f>
        <v>75.2</v>
      </c>
      <c r="CN166" s="81">
        <f>IF(ISERROR((CM166/CE166-1)*100),"NA",IF(((CM166/CE166-1)*100)&gt;100,"NM",IF(((CM166/CE166-1)*100)&lt;-50,"NM",(CM166/CE166-1)*100)))</f>
        <v>11.738484398216942</v>
      </c>
      <c r="CO166" s="229">
        <f>CO62</f>
        <v>35.799999999999997</v>
      </c>
      <c r="CP166" s="81">
        <f>IF(ISERROR((CO166/CG166-1)*100),"NA",IF(((CO166/CG166-1)*100)&gt;100,"NM",IF(((CO166/CG166-1)*100)&lt;-50,"NM",(CO166/CG166-1)*100)))</f>
        <v>21.355932203389827</v>
      </c>
      <c r="CQ166" s="229">
        <f>CQ62</f>
        <v>36</v>
      </c>
      <c r="CR166" s="81">
        <f>IF(ISERROR((CQ166/CI166-1)*100),"NA",IF(((CQ166/CI166-1)*100)&gt;100,"NM",IF(((CQ166/CI166-1)*100)&lt;-50,"NM",(CQ166/CI166-1)*100)))</f>
        <v>-6.0052219321148792</v>
      </c>
      <c r="CS166" s="229">
        <f>CS62</f>
        <v>23.6</v>
      </c>
      <c r="CT166" s="81">
        <f>IF(ISERROR((CS166/CK166-1)*100),"NA",IF(((CS166/CK166-1)*100)&gt;100,"NM",IF(((CS166/CK166-1)*100)&lt;-50,"NM",(CS166/CK166-1)*100)))</f>
        <v>7.2727272727272751</v>
      </c>
      <c r="CU166" s="229">
        <f>CU62</f>
        <v>86.8</v>
      </c>
      <c r="CV166" s="81">
        <f>IF(ISERROR((CU166/CM166-1)*100),"NA",IF(((CU166/CM166-1)*100)&gt;100,"NM",IF(((CU166/CM166-1)*100)&lt;-50,"NM",(CU166/CM166-1)*100)))</f>
        <v>15.42553191489362</v>
      </c>
      <c r="CW166" s="229">
        <f>CW62</f>
        <v>31.1</v>
      </c>
      <c r="CX166" s="81">
        <f>IF(ISERROR((CW166/CO166-1)*100),"NA",IF(((CW166/CO166-1)*100)&gt;100,"NM",IF(((CW166/CO166-1)*100)&lt;-50,"NM",(CW166/CO166-1)*100)))</f>
        <v>-13.128491620111726</v>
      </c>
      <c r="CY166" s="229">
        <f>CY62</f>
        <v>32.799999999999997</v>
      </c>
      <c r="CZ166" s="81">
        <f>IF(ISERROR((CY166/CQ166-1)*100),"NA",IF(((CY166/CQ166-1)*100)&gt;100,"NM",IF(((CY166/CQ166-1)*100)&lt;-50,"NM",(CY166/CQ166-1)*100)))</f>
        <v>-8.8888888888889017</v>
      </c>
      <c r="DA166" s="229">
        <f>DA62</f>
        <v>25.7</v>
      </c>
      <c r="DB166" s="81">
        <f>IF(ISERROR((DA166/CS166-1)*100),"NA",IF(((DA166/CS166-1)*100)&gt;100,"NM",IF(((DA166/CS166-1)*100)&lt;-50,"NM",(DA166/CS166-1)*100)))</f>
        <v>8.8983050847457612</v>
      </c>
      <c r="DC166" s="229">
        <f>DC62</f>
        <v>83.7</v>
      </c>
      <c r="DD166" s="81">
        <f>IF(ISERROR((DC166/CU166-1)*100),"NA",IF(((DC166/CU166-1)*100)&gt;100,"NM",IF(((DC166/CU166-1)*100)&lt;-50,"NM",(DC166/CU166-1)*100)))</f>
        <v>-3.5714285714285698</v>
      </c>
      <c r="DE166" s="229">
        <f>DE62</f>
        <v>32.700000000000003</v>
      </c>
      <c r="DF166" s="81">
        <f>IF(ISERROR((DE166/CW166-1)*100),"NA",IF(((DE166/CW166-1)*100)&gt;100,"NM",IF(((DE166/CW166-1)*100)&lt;-50,"NM",(DE166/CW166-1)*100)))</f>
        <v>5.1446945337620731</v>
      </c>
      <c r="DG166" s="229">
        <f>DG62</f>
        <v>46.8</v>
      </c>
      <c r="DH166" s="81">
        <f>IF(ISERROR((DG166/CY166-1)*100),"NA",IF(((DG166/CY166-1)*100)&gt;100,"NM",IF(((DG166/CY166-1)*100)&lt;-50,"NM",(DG166/CY166-1)*100)))</f>
        <v>42.682926829268283</v>
      </c>
      <c r="DI166" s="229">
        <f>DI62</f>
        <v>28</v>
      </c>
      <c r="DJ166" s="81">
        <f>IF(ISERROR((DI166/DA166-1)*100),"NA",IF(((DI166/DA166-1)*100)&gt;100,"NM",IF(((DI166/DA166-1)*100)&lt;-50,"NM",(DI166/DA166-1)*100)))</f>
        <v>8.949416342412464</v>
      </c>
      <c r="DK166" s="229">
        <f>DK62</f>
        <v>116.1</v>
      </c>
      <c r="DL166" s="81">
        <f>IF(ISERROR((DK166/DC166-1)*100),"NA",IF(((DK166/DC166-1)*100)&gt;100,"NM",IF(((DK166/DC166-1)*100)&lt;-50,"NM",(DK166/DC166-1)*100)))</f>
        <v>38.709677419354826</v>
      </c>
      <c r="DM166" s="229">
        <f>DM62</f>
        <v>37.299999999999997</v>
      </c>
      <c r="DN166" s="81">
        <f>IF(ISERROR((DM166/DE166-1)*100),"NA",IF(((DM166/DE166-1)*100)&gt;100,"NM",IF(((DM166/DE166-1)*100)&lt;-50,"NM",(DM166/DE166-1)*100)))</f>
        <v>14.067278287461749</v>
      </c>
      <c r="DO166" s="229">
        <f>DO62</f>
        <v>51.9</v>
      </c>
      <c r="DP166" s="81">
        <f>IF(ISERROR((DO166/DG166-1)*100),"NA",IF(((DO166/DG166-1)*100)&gt;100,"NM",IF(((DO166/DG166-1)*100)&lt;-50,"NM",(DO166/DG166-1)*100)))</f>
        <v>10.897435897435903</v>
      </c>
      <c r="DQ166" s="229">
        <f>DQ62</f>
        <v>34.299999999999997</v>
      </c>
      <c r="DR166" s="81">
        <f>IF(ISERROR((DQ166/DI166-1)*100),"NA",IF(((DQ166/DI166-1)*100)&gt;100,"NM",IF(((DQ166/DI166-1)*100)&lt;-50,"NM",(DQ166/DI166-1)*100)))</f>
        <v>22.499999999999986</v>
      </c>
      <c r="DS166" s="229">
        <f>DS62</f>
        <v>116.2</v>
      </c>
      <c r="DT166" s="81">
        <f>IF(ISERROR((DS166/DK166-1)*100),"NA",IF(((DS166/DK166-1)*100)&gt;100,"NM",IF(((DS166/DK166-1)*100)&lt;-50,"NM",(DS166/DK166-1)*100)))</f>
        <v>8.6132644272196579E-2</v>
      </c>
      <c r="DU166" s="229">
        <f>DU62</f>
        <v>37.5</v>
      </c>
      <c r="DV166" s="81">
        <f>IF(ISERROR((DU166/DM166-1)*100),"NA",IF(((DU166/DM166-1)*100)&gt;100,"NM",IF(((DU166/DM166-1)*100)&lt;-50,"NM",(DU166/DM166-1)*100)))</f>
        <v>0.53619302949061698</v>
      </c>
      <c r="DW166" s="229">
        <f>DW62</f>
        <v>48.3</v>
      </c>
      <c r="DX166" s="81">
        <f>IF(ISERROR((DW166/DO166-1)*100),"NA",IF(((DW166/DO166-1)*100)&gt;100,"NM",IF(((DW166/DO166-1)*100)&lt;-50,"NM",(DW166/DO166-1)*100)))</f>
        <v>-6.9364161849711063</v>
      </c>
      <c r="DY166" s="229">
        <f>DY62</f>
        <v>24.3</v>
      </c>
      <c r="DZ166" s="81">
        <f>IF(ISERROR((DY166/DQ166-1)*100),"NA",IF(((DY166/DQ166-1)*100)&gt;100,"NM",IF(((DY166/DQ166-1)*100)&lt;-50,"NM",(DY166/DQ166-1)*100)))</f>
        <v>-29.154518950437314</v>
      </c>
      <c r="EA166" s="229">
        <f>EA62</f>
        <v>107.7</v>
      </c>
      <c r="EB166" s="81">
        <f>IF(ISERROR((EA166/DS166-1)*100),"NA",IF(((EA166/DS166-1)*100)&gt;100,"NM",IF(((EA166/DS166-1)*100)&lt;-50,"NM",(EA166/DS166-1)*100)))</f>
        <v>-7.3149741824440673</v>
      </c>
      <c r="EC166" s="229">
        <f>EC62</f>
        <v>36</v>
      </c>
      <c r="ED166" s="81">
        <f t="shared" ref="ED166:ED168" si="548">IF(ISERROR((EC166/DU166-1)*100),"NA",IF(((EC166/DU166-1)*100)&gt;100,"NM",IF(((EC166/DU166-1)*100)&lt;-50,"NM",(EC166/DU166-1)*100)))</f>
        <v>-4.0000000000000036</v>
      </c>
      <c r="EE166" s="229">
        <f>EE62</f>
        <v>47.5</v>
      </c>
      <c r="EF166" s="81">
        <f t="shared" ref="EF166:EF168" si="549">IF(ISERROR((EE166/DW166-1)*100),"NA",IF(((EE166/DW166-1)*100)&gt;100,"NM",IF(((EE166/DW166-1)*100)&lt;-50,"NM",(EE166/DW166-1)*100)))</f>
        <v>-1.6563146997929601</v>
      </c>
      <c r="EG166" s="229">
        <f>EG62</f>
        <v>31.1</v>
      </c>
      <c r="EH166" s="81">
        <f t="shared" ref="EH166:EH168" si="550">IF(ISERROR((EG166/DY166-1)*100),"NA",IF(((EG166/DY166-1)*100)&gt;100,"NM",IF(((EG166/DY166-1)*100)&lt;-50,"NM",(EG166/DY166-1)*100)))</f>
        <v>27.983539094650212</v>
      </c>
      <c r="EI166" s="229">
        <f>EI62</f>
        <v>126.2</v>
      </c>
      <c r="EJ166" s="81">
        <f t="shared" ref="EJ166:EJ168" si="551">IF(ISERROR((EI166/EA166-1)*100),"NA",IF(((EI166/EA166-1)*100)&gt;100,"NM",IF(((EI166/EA166-1)*100)&lt;-50,"NM",(EI166/EA166-1)*100)))</f>
        <v>17.177344475394605</v>
      </c>
      <c r="EK166" s="228"/>
      <c r="EL166" s="81" t="str">
        <f t="shared" ref="EL166:EL168" si="552">IF(ISERROR((EK166/EC166-1)*100),"NA",IF(((EK166/EC166-1)*100)&gt;100,"NM",IF(((EK166/EC166-1)*100)&lt;-50,"NM",(EK166/EC166-1)*100)))</f>
        <v>NM</v>
      </c>
      <c r="EM166" s="228"/>
      <c r="EN166" s="81" t="str">
        <f t="shared" ref="EN166:EN168" si="553">IF(ISERROR((EM166/EE166-1)*100),"NA",IF(((EM166/EE166-1)*100)&gt;100,"NM",IF(((EM166/EE166-1)*100)&lt;-50,"NM",(EM166/EE166-1)*100)))</f>
        <v>NM</v>
      </c>
      <c r="EO166" s="228"/>
      <c r="EP166" s="81" t="str">
        <f t="shared" ref="EP166:EP168" si="554">IF(ISERROR((EO166/EG166-1)*100),"NA",IF(((EO166/EG166-1)*100)&gt;100,"NM",IF(((EO166/EG166-1)*100)&lt;-50,"NM",(EO166/EG166-1)*100)))</f>
        <v>NM</v>
      </c>
      <c r="EQ166" s="228"/>
      <c r="ER166" s="81" t="str">
        <f t="shared" ref="ER166:ER168" si="555">IF(ISERROR((EQ166/EI166-1)*100),"NA",IF(((EQ166/EI166-1)*100)&gt;100,"NM",IF(((EQ166/EI166-1)*100)&lt;-50,"NM",(EQ166/EI166-1)*100)))</f>
        <v>NM</v>
      </c>
      <c r="ES166" s="82"/>
      <c r="ET166" s="469"/>
      <c r="EU166" s="82"/>
      <c r="EV166" s="171"/>
      <c r="EW166" s="79"/>
      <c r="EX166" s="171"/>
      <c r="EY166" s="79"/>
      <c r="EZ166" s="171"/>
      <c r="FA166" s="79"/>
      <c r="FB166" s="185"/>
      <c r="FC166" s="79"/>
      <c r="FD166" s="228">
        <f>FD62</f>
        <v>325.2</v>
      </c>
      <c r="FE166" s="79" t="str">
        <f>IF(ISERROR((FD166/FB166-1)*100),"NA",IF(((FD166/FB166-1)*100)&gt;100,"NM",IF(((FD166/FB166-1)*100)&lt;-50,"NM",(FD166/FB166-1)*100)))</f>
        <v>NA</v>
      </c>
      <c r="FF166" s="228">
        <f>FF62</f>
        <v>299.10000000000002</v>
      </c>
      <c r="FG166" s="79">
        <f>IF(ISERROR((FF166/FD166-1)*100),"NA",IF(((FF166/FD166-1)*100)&gt;100,"NM",IF(((FF166/FD166-1)*100)&lt;-50,"NM",(FF166/FD166-1)*100)))</f>
        <v>-8.0258302583025696</v>
      </c>
      <c r="FH166" s="228">
        <f>FH62</f>
        <v>180.4</v>
      </c>
      <c r="FI166" s="79">
        <f>IF(ISERROR((FH166/FF166-1)*100),"NA",IF(((FH166/FF166-1)*100)&gt;100,"NM",IF(((FH166/FF166-1)*100)&lt;-50,"NM",(FH166/FF166-1)*100)))</f>
        <v>-39.685723838181211</v>
      </c>
      <c r="FJ166" s="171"/>
      <c r="FK166" s="79" t="str">
        <f>IF(ISERROR((FJ166/FH166-1)*100),"NA",IF(((FJ166/FH166-1)*100)&gt;100,"NM",IF(((FJ166/FH166-1)*100)&lt;-50,"NM",(FJ166/FH166-1)*100)))</f>
        <v>NM</v>
      </c>
      <c r="FL166" s="171"/>
      <c r="FM166" s="79" t="str">
        <f>IF(ISERROR((FL166/FJ166-1)*100),"NA",IF(((FL166/FJ166-1)*100)&gt;100,"NM",IF(((FL166/FJ166-1)*100)&lt;-50,"NM",(FL166/FJ166-1)*100)))</f>
        <v>NA</v>
      </c>
      <c r="FN166" s="171"/>
      <c r="FO166" s="79" t="str">
        <f>IF(ISERROR((FN166/FL166-1)*100),"NA",IF(((FN166/FL166-1)*100)&gt;100,"NM",IF(((FN166/FL166-1)*100)&lt;-50,"NM",(FN166/FL166-1)*100)))</f>
        <v>NA</v>
      </c>
      <c r="FP166" s="171"/>
      <c r="FQ166" s="79" t="str">
        <f>IF(ISERROR((FP166/FN166-1)*100),"NA",IF(((FP166/FN166-1)*100)&gt;100,"NM",IF(((FP166/FN166-1)*100)&lt;-50,"NM",(FP166/FN166-1)*100)))</f>
        <v>NA</v>
      </c>
      <c r="FR166" s="228">
        <f>FR62</f>
        <v>182.10000000000002</v>
      </c>
      <c r="FS166" s="79" t="str">
        <f>IF(ISERROR((FR166/FP166-1)*100),"NA",IF(((FR166/FP166-1)*100)&gt;100,"NM",IF(((FR166/FP166-1)*100)&lt;-50,"NM",(FR166/FP166-1)*100)))</f>
        <v>NA</v>
      </c>
      <c r="FT166" s="228">
        <f>FT62</f>
        <v>148.30000000000001</v>
      </c>
      <c r="FU166" s="79">
        <f>IF(ISERROR((FT166/FR166-1)*100),"NA",IF(((FT166/FR166-1)*100)&gt;100,"NM",IF(((FT166/FR166-1)*100)&lt;-50,"NM",(FT166/FR166-1)*100)))</f>
        <v>-18.561230093355306</v>
      </c>
      <c r="FV166" s="229">
        <f>FV62</f>
        <v>165</v>
      </c>
      <c r="FW166" s="79">
        <f>IF(ISERROR((FV166/FT166-1)*100),"NA",IF(((FV166/FT166-1)*100)&gt;100,"NM",IF(((FV166/FT166-1)*100)&lt;-50,"NM",(FV166/FT166-1)*100)))</f>
        <v>11.26095751854348</v>
      </c>
      <c r="FX166" s="229">
        <f>FX62</f>
        <v>182.2</v>
      </c>
      <c r="FY166" s="79">
        <f>IF(ISERROR((FX166/FV166-1)*100),"NA",IF(((FX166/FV166-1)*100)&gt;100,"NM",IF(((FX166/FV166-1)*100)&lt;-50,"NM",(FX166/FV166-1)*100)))</f>
        <v>10.424242424242426</v>
      </c>
      <c r="FZ166" s="229">
        <f>FZ62</f>
        <v>173.3</v>
      </c>
      <c r="GA166" s="79">
        <f>IF(ISERROR((FZ166/FX166-1)*100),"NA",IF(((FZ166/FX166-1)*100)&gt;100,"NM",IF(((FZ166/FX166-1)*100)&lt;-50,"NM",(FZ166/FX166-1)*100)))</f>
        <v>-4.8847420417123866</v>
      </c>
      <c r="GB166" s="229">
        <f>DE166+DG166+DI166+DK166</f>
        <v>223.6</v>
      </c>
      <c r="GC166" s="79">
        <f>IF(ISERROR((GB166/FZ166-1)*100),"NA",IF(((GB166/FZ166-1)*100)&gt;100,"NM",IF(((GB166/FZ166-1)*100)&lt;-50,"NM",(GB166/FZ166-1)*100)))</f>
        <v>29.024812463935355</v>
      </c>
      <c r="GD166" s="229">
        <f>DS166+DQ166+DO166+DM166</f>
        <v>239.7</v>
      </c>
      <c r="GE166" s="79">
        <f>IF(ISERROR((GD166/GB166-1)*100),"NA",IF(((GD166/GB166-1)*100)&gt;100,"NM",IF(((GD166/GB166-1)*100)&lt;-50,"NM",(GD166/GB166-1)*100)))</f>
        <v>7.2003577817531195</v>
      </c>
      <c r="GF166" s="229">
        <f>DU166+DW166+DY166+EA166</f>
        <v>217.8</v>
      </c>
      <c r="GG166" s="79">
        <f>IF(ISERROR((GF166/GD166-1)*100),"NA",IF(((GF166/GD166-1)*100)&gt;100,"NM",IF(((GF166/GD166-1)*100)&lt;-50,"NM",(GF166/GD166-1)*100)))</f>
        <v>-9.1364205256570621</v>
      </c>
      <c r="GH166" s="229">
        <f>EC166+EE166+EG166+EI166</f>
        <v>240.8</v>
      </c>
      <c r="GI166" s="79">
        <f>IF(ISERROR((GH166/GF166-1)*100),"NA",IF(((GH166/GF166-1)*100)&gt;100,"NM",IF(((GH166/GF166-1)*100)&lt;-50,"NM",(GH166/GF166-1)*100)))</f>
        <v>10.560146923783286</v>
      </c>
      <c r="GJ166" s="228"/>
      <c r="GK166" s="79" t="str">
        <f>IF(ISERROR((GJ166/GH166-1)*100),"NA",IF(((GJ166/GH166-1)*100)&gt;100,"NM",IF(((GJ166/GH166-1)*100)&lt;-50,"NM",(GJ166/GH166-1)*100)))</f>
        <v>NM</v>
      </c>
      <c r="GL166" s="228"/>
      <c r="GM166" s="79" t="str">
        <f>IF(ISERROR((GL166/GJ166-1)*100),"NA",IF(((GL166/GJ166-1)*100)&gt;100,"NM",IF(((GL166/GJ166-1)*100)&lt;-50,"NM",(GL166/GJ166-1)*100)))</f>
        <v>NA</v>
      </c>
      <c r="GN166" s="228"/>
      <c r="GO166" s="79" t="str">
        <f>IF(ISERROR((GN166/GL166-1)*100),"NA",IF(((GN166/GL166-1)*100)&gt;100,"NM",IF(((GN166/GL166-1)*100)&lt;-50,"NM",(GN166/GL166-1)*100)))</f>
        <v>NA</v>
      </c>
      <c r="GP166" s="228"/>
      <c r="GQ166" s="79" t="str">
        <f>IF(ISERROR((GP166/GN166-1)*100),"NA",IF(((GP166/GN166-1)*100)&gt;100,"NM",IF(((GP166/GN166-1)*100)&lt;-50,"NM",(GP166/GN166-1)*100)))</f>
        <v>NA</v>
      </c>
      <c r="GR166" s="228"/>
      <c r="GS166" s="79" t="str">
        <f>IF(ISERROR((GR166/GP166-1)*100),"NA",IF(((GR166/GP166-1)*100)&gt;100,"NM",IF(((GR166/GP166-1)*100)&lt;-50,"NM",(GR166/GP166-1)*100)))</f>
        <v>NA</v>
      </c>
      <c r="GT166" s="79"/>
    </row>
    <row r="167" spans="1:286" ht="12.75" customHeight="1" x14ac:dyDescent="0.2">
      <c r="A167" s="1"/>
      <c r="B167" s="2" t="str">
        <f>B63</f>
        <v xml:space="preserve">  LTD ASO Premium Equivalent</v>
      </c>
      <c r="C167" s="171"/>
      <c r="D167" s="171"/>
      <c r="E167" s="171"/>
      <c r="F167" s="171"/>
      <c r="G167" s="171"/>
      <c r="H167" s="171"/>
      <c r="I167" s="171"/>
      <c r="J167" s="171"/>
      <c r="K167" s="171"/>
      <c r="L167" s="79"/>
      <c r="M167" s="171"/>
      <c r="N167" s="79"/>
      <c r="O167" s="171"/>
      <c r="P167" s="79"/>
      <c r="Q167" s="171"/>
      <c r="R167" s="79"/>
      <c r="S167" s="171"/>
      <c r="T167" s="79"/>
      <c r="U167" s="171"/>
      <c r="V167" s="79"/>
      <c r="W167" s="171"/>
      <c r="X167" s="79"/>
      <c r="Y167" s="171"/>
      <c r="Z167" s="79"/>
      <c r="AA167" s="172"/>
      <c r="AB167" s="79"/>
      <c r="AC167" s="228">
        <f>AC63</f>
        <v>0.2</v>
      </c>
      <c r="AD167" s="79" t="str">
        <f>IF(ISERROR((AC167/U167-1)*100),"NA",IF(((AC167/U167-1)*100)&gt;100,"NM",IF(((AC167/U167-1)*100)&lt;-50,"NM",(AC167/U167-1)*100)))</f>
        <v>NA</v>
      </c>
      <c r="AE167" s="228">
        <f>AE63</f>
        <v>0.1</v>
      </c>
      <c r="AF167" s="79" t="str">
        <f>IF(ISERROR((AE167/W167-1)*100),"NA",IF(((AE167/W167-1)*100)&gt;100,"NM",IF(((AE167/W167-1)*100)&lt;-50,"NM",(AE167/W167-1)*100)))</f>
        <v>NA</v>
      </c>
      <c r="AG167" s="228">
        <f>AG63</f>
        <v>0.1</v>
      </c>
      <c r="AH167" s="79" t="str">
        <f>IF(ISERROR((AG167/Y167-1)*100),"NA",IF(((AG167/Y167-1)*100)&gt;100,"NM",IF(((AG167/Y167-1)*100)&lt;-50,"NM",(AG167/Y167-1)*100)))</f>
        <v>NA</v>
      </c>
      <c r="AI167" s="228">
        <f>AI63</f>
        <v>0.7</v>
      </c>
      <c r="AJ167" s="79" t="str">
        <f>IF(ISERROR((AI167/AA167-1)*100),"NA",IF(((AI167/AA167-1)*100)&gt;100,"NM",IF(((AI167/AA167-1)*100)&lt;-50,"NM",(AI167/AA167-1)*100)))</f>
        <v>NA</v>
      </c>
      <c r="AK167" s="228">
        <f>AK63</f>
        <v>0.1</v>
      </c>
      <c r="AL167" s="79">
        <f>IF(ISERROR((AK167/AC167-1)*100),"NA",IF(((AK167/AC167-1)*100)&gt;100,"NM",IF(((AK167/AC167-1)*100)&lt;-50,"NM",(AK167/AC167-1)*100)))</f>
        <v>-50</v>
      </c>
      <c r="AM167" s="228">
        <f>AM63</f>
        <v>0.5</v>
      </c>
      <c r="AN167" s="79" t="str">
        <f t="shared" si="547"/>
        <v>NM</v>
      </c>
      <c r="AO167" s="228">
        <f>AO63</f>
        <v>0.9</v>
      </c>
      <c r="AP167" s="79" t="str">
        <f t="shared" si="547"/>
        <v>NM</v>
      </c>
      <c r="AQ167" s="228">
        <f>AQ63</f>
        <v>0.3</v>
      </c>
      <c r="AR167" s="79" t="str">
        <f t="shared" si="547"/>
        <v>NM</v>
      </c>
      <c r="AS167" s="229">
        <f>AS63</f>
        <v>0</v>
      </c>
      <c r="AT167" s="81" t="str">
        <f t="shared" si="547"/>
        <v>NM</v>
      </c>
      <c r="AU167" s="229">
        <f>AU63</f>
        <v>0.5</v>
      </c>
      <c r="AV167" s="81">
        <f t="shared" si="547"/>
        <v>0</v>
      </c>
      <c r="AW167" s="229">
        <f>AW63</f>
        <v>0</v>
      </c>
      <c r="AX167" s="81" t="str">
        <f t="shared" si="547"/>
        <v>NM</v>
      </c>
      <c r="AY167" s="229">
        <f>AY63</f>
        <v>3.2</v>
      </c>
      <c r="AZ167" s="81" t="str">
        <f t="shared" si="547"/>
        <v>NM</v>
      </c>
      <c r="BA167" s="229">
        <f>BA63</f>
        <v>0</v>
      </c>
      <c r="BB167" s="81" t="str">
        <f t="shared" si="547"/>
        <v>NA</v>
      </c>
      <c r="BC167" s="229">
        <f>BC63</f>
        <v>1.6</v>
      </c>
      <c r="BD167" s="81" t="str">
        <f t="shared" si="547"/>
        <v>NM</v>
      </c>
      <c r="BE167" s="229">
        <f>BE63</f>
        <v>0</v>
      </c>
      <c r="BF167" s="81" t="str">
        <f>IF(ISERROR((BE167/AW167-1)*100),"NA",IF(((BE167/AW167-1)*100)&gt;100,"NM",IF(((BE167/AW167-1)*100)&lt;-50,"NM",(BE167/AW167-1)*100)))</f>
        <v>NA</v>
      </c>
      <c r="BG167" s="229">
        <f>BG63</f>
        <v>0</v>
      </c>
      <c r="BH167" s="81" t="str">
        <f t="shared" ref="BH167:BH181" si="556">IF(ISERROR((BG167/AY167-1)*100),"NA",IF(((BG167/AY167-1)*100)&gt;100,"NM",IF(((BG167/AY167-1)*100)&lt;-50,"NM",(BG167/AY167-1)*100)))</f>
        <v>NM</v>
      </c>
      <c r="BI167" s="229">
        <f>BI63</f>
        <v>1.2</v>
      </c>
      <c r="BJ167" s="81" t="str">
        <f t="shared" ref="BJ167:BJ181" si="557">IF(ISERROR((BI167/BA167-1)*100),"NA",IF(((BI167/BA167-1)*100)&gt;100,"NM",IF(((BI167/BA167-1)*100)&lt;-50,"NM",(BI167/BA167-1)*100)))</f>
        <v>NA</v>
      </c>
      <c r="BK167" s="229">
        <f>BK63</f>
        <v>0</v>
      </c>
      <c r="BL167" s="81" t="str">
        <f t="shared" si="545"/>
        <v>NM</v>
      </c>
      <c r="BM167" s="229">
        <f>BM63</f>
        <v>0.1</v>
      </c>
      <c r="BN167" s="81"/>
      <c r="BO167" s="229">
        <f>BO63</f>
        <v>0.1</v>
      </c>
      <c r="BP167" s="81"/>
      <c r="BQ167" s="229">
        <f>BQ63</f>
        <v>0</v>
      </c>
      <c r="BR167" s="81" t="str">
        <f>IF(ISERROR((BQ167/BI167-1)*100),"NA",IF(((BQ167/BI167-1)*100)&gt;100,"NM",IF(((BQ167/BI167-1)*100)&lt;-50,"NM",(BQ167/BI167-1)*100)))</f>
        <v>NM</v>
      </c>
      <c r="BS167" s="229">
        <f>BS63</f>
        <v>0</v>
      </c>
      <c r="BT167" s="81"/>
      <c r="BU167" s="229">
        <f>BU63</f>
        <v>0</v>
      </c>
      <c r="BV167" s="81"/>
      <c r="BW167" s="229">
        <f>BW63</f>
        <v>0</v>
      </c>
      <c r="BX167" s="81"/>
      <c r="BY167" s="229">
        <f>BY63</f>
        <v>0</v>
      </c>
      <c r="BZ167" s="81"/>
      <c r="CA167" s="229">
        <f>CA63</f>
        <v>0</v>
      </c>
      <c r="CB167" s="81"/>
      <c r="CC167" s="229">
        <f>CC63</f>
        <v>0</v>
      </c>
      <c r="CD167" s="81"/>
      <c r="CE167" s="229">
        <f>CE63</f>
        <v>0</v>
      </c>
      <c r="CF167" s="81"/>
      <c r="CG167" s="229">
        <f>CG63</f>
        <v>0</v>
      </c>
      <c r="CH167" s="81"/>
      <c r="CI167" s="229">
        <f>CI63</f>
        <v>0</v>
      </c>
      <c r="CJ167" s="81"/>
      <c r="CK167" s="229">
        <f>CK63</f>
        <v>0</v>
      </c>
      <c r="CL167" s="81"/>
      <c r="CM167" s="229">
        <f>CM63</f>
        <v>0</v>
      </c>
      <c r="CN167" s="81" t="str">
        <f>IF(ISERROR((CM167/CE167-1)*100),"NA",IF(((CM167/CE167-1)*100)&gt;100,"NM",IF(((CM167/CE167-1)*100)&lt;-50,"NM",(CM167/CE167-1)*100)))</f>
        <v>NA</v>
      </c>
      <c r="CO167" s="229">
        <f>CO63</f>
        <v>0</v>
      </c>
      <c r="CP167" s="81" t="str">
        <f>IF(ISERROR((CO167/CG167-1)*100),"NA",IF(((CO167/CG167-1)*100)&gt;100,"NM",IF(((CO167/CG167-1)*100)&lt;-50,"NM",(CO167/CG167-1)*100)))</f>
        <v>NA</v>
      </c>
      <c r="CQ167" s="229">
        <f>CQ63</f>
        <v>0</v>
      </c>
      <c r="CR167" s="81" t="str">
        <f>IF(ISERROR((CQ167/CI167-1)*100),"NA",IF(((CQ167/CI167-1)*100)&gt;100,"NM",IF(((CQ167/CI167-1)*100)&lt;-50,"NM",(CQ167/CI167-1)*100)))</f>
        <v>NA</v>
      </c>
      <c r="CS167" s="229">
        <f>CS63</f>
        <v>0</v>
      </c>
      <c r="CT167" s="81" t="str">
        <f>IF(ISERROR((CS167/CK167-1)*100),"NA",IF(((CS167/CK167-1)*100)&gt;100,"NM",IF(((CS167/CK167-1)*100)&lt;-50,"NM",(CS167/CK167-1)*100)))</f>
        <v>NA</v>
      </c>
      <c r="CU167" s="229">
        <f>CU63</f>
        <v>0</v>
      </c>
      <c r="CV167" s="81" t="str">
        <f>IF(ISERROR((CU167/CM167-1)*100),"NA",IF(((CU167/CM167-1)*100)&gt;100,"NM",IF(((CU167/CM167-1)*100)&lt;-50,"NM",(CU167/CM167-1)*100)))</f>
        <v>NA</v>
      </c>
      <c r="CW167" s="229">
        <f>CW63</f>
        <v>0</v>
      </c>
      <c r="CX167" s="81" t="str">
        <f>IF(ISERROR((CW167/CO167-1)*100),"NA",IF(((CW167/CO167-1)*100)&gt;100,"NM",IF(((CW167/CO167-1)*100)&lt;-50,"NM",(CW167/CO167-1)*100)))</f>
        <v>NA</v>
      </c>
      <c r="CY167" s="229">
        <f>CY63</f>
        <v>0</v>
      </c>
      <c r="CZ167" s="81" t="str">
        <f>IF(ISERROR((CY167/CQ167-1)*100),"NA",IF(((CY167/CQ167-1)*100)&gt;100,"NM",IF(((CY167/CQ167-1)*100)&lt;-50,"NM",(CY167/CQ167-1)*100)))</f>
        <v>NA</v>
      </c>
      <c r="DA167" s="229">
        <f>DA63</f>
        <v>0</v>
      </c>
      <c r="DB167" s="81" t="str">
        <f>IF(ISERROR((DA167/CS167-1)*100),"NA",IF(((DA167/CS167-1)*100)&gt;100,"NM",IF(((DA167/CS167-1)*100)&lt;-50,"NM",(DA167/CS167-1)*100)))</f>
        <v>NA</v>
      </c>
      <c r="DC167" s="229">
        <f>DC63</f>
        <v>0</v>
      </c>
      <c r="DD167" s="81" t="str">
        <f>IF(ISERROR((DC167/CU167-1)*100),"NA",IF(((DC167/CU167-1)*100)&gt;100,"NM",IF(((DC167/CU167-1)*100)&lt;-50,"NM",(DC167/CU167-1)*100)))</f>
        <v>NA</v>
      </c>
      <c r="DE167" s="229">
        <f>DE63</f>
        <v>0</v>
      </c>
      <c r="DF167" s="81" t="str">
        <f>IF(ISERROR((DE167/CW167-1)*100),"NA",IF(((DE167/CW167-1)*100)&gt;100,"NM",IF(((DE167/CW167-1)*100)&lt;-50,"NM",(DE167/CW167-1)*100)))</f>
        <v>NA</v>
      </c>
      <c r="DG167" s="229">
        <f>DG63</f>
        <v>0</v>
      </c>
      <c r="DH167" s="81" t="str">
        <f>IF(ISERROR((DG167/CY167-1)*100),"NA",IF(((DG167/CY167-1)*100)&gt;100,"NM",IF(((DG167/CY167-1)*100)&lt;-50,"NM",(DG167/CY167-1)*100)))</f>
        <v>NA</v>
      </c>
      <c r="DI167" s="229">
        <f>DI63</f>
        <v>0</v>
      </c>
      <c r="DJ167" s="81" t="str">
        <f>IF(ISERROR((DI167/DA167-1)*100),"NA",IF(((DI167/DA167-1)*100)&gt;100,"NM",IF(((DI167/DA167-1)*100)&lt;-50,"NM",(DI167/DA167-1)*100)))</f>
        <v>NA</v>
      </c>
      <c r="DK167" s="229">
        <f>DK63</f>
        <v>0</v>
      </c>
      <c r="DL167" s="81" t="str">
        <f>IF(ISERROR((DK167/DC167-1)*100),"NA",IF(((DK167/DC167-1)*100)&gt;100,"NM",IF(((DK167/DC167-1)*100)&lt;-50,"NM",(DK167/DC167-1)*100)))</f>
        <v>NA</v>
      </c>
      <c r="DM167" s="229">
        <f>DM63</f>
        <v>0</v>
      </c>
      <c r="DN167" s="81" t="str">
        <f>IF(ISERROR((DM167/DE167-1)*100),"NA",IF(((DM167/DE167-1)*100)&gt;100,"NM",IF(((DM167/DE167-1)*100)&lt;-50,"NM",(DM167/DE167-1)*100)))</f>
        <v>NA</v>
      </c>
      <c r="DO167" s="229">
        <f>DO63</f>
        <v>0</v>
      </c>
      <c r="DP167" s="81" t="str">
        <f>IF(ISERROR((DO167/DG167-1)*100),"NA",IF(((DO167/DG167-1)*100)&gt;100,"NM",IF(((DO167/DG167-1)*100)&lt;-50,"NM",(DO167/DG167-1)*100)))</f>
        <v>NA</v>
      </c>
      <c r="DQ167" s="229">
        <f>DQ63</f>
        <v>0</v>
      </c>
      <c r="DR167" s="81" t="str">
        <f>IF(ISERROR((DQ167/DI167-1)*100),"NA",IF(((DQ167/DI167-1)*100)&gt;100,"NM",IF(((DQ167/DI167-1)*100)&lt;-50,"NM",(DQ167/DI167-1)*100)))</f>
        <v>NA</v>
      </c>
      <c r="DS167" s="229">
        <f>DS63</f>
        <v>0</v>
      </c>
      <c r="DT167" s="81" t="str">
        <f>IF(ISERROR((DS167/DK167-1)*100),"NA",IF(((DS167/DK167-1)*100)&gt;100,"NM",IF(((DS167/DK167-1)*100)&lt;-50,"NM",(DS167/DK167-1)*100)))</f>
        <v>NA</v>
      </c>
      <c r="DU167" s="229">
        <f>DU63</f>
        <v>0</v>
      </c>
      <c r="DV167" s="81" t="str">
        <f>IF(ISERROR((DU167/DM167-1)*100),"NA",IF(((DU167/DM167-1)*100)&gt;100,"NM",IF(((DU167/DM167-1)*100)&lt;-50,"NM",(DU167/DM167-1)*100)))</f>
        <v>NA</v>
      </c>
      <c r="DW167" s="229">
        <f>DW63</f>
        <v>0</v>
      </c>
      <c r="DX167" s="81" t="str">
        <f>IF(ISERROR((DW167/DO167-1)*100),"NA",IF(((DW167/DO167-1)*100)&gt;100,"NM",IF(((DW167/DO167-1)*100)&lt;-50,"NM",(DW167/DO167-1)*100)))</f>
        <v>NA</v>
      </c>
      <c r="DY167" s="229">
        <f>DY63</f>
        <v>0</v>
      </c>
      <c r="DZ167" s="81" t="str">
        <f>IF(ISERROR((DY167/DQ167-1)*100),"NA",IF(((DY167/DQ167-1)*100)&gt;100,"NM",IF(((DY167/DQ167-1)*100)&lt;-50,"NM",(DY167/DQ167-1)*100)))</f>
        <v>NA</v>
      </c>
      <c r="EA167" s="229">
        <f>EA63</f>
        <v>0</v>
      </c>
      <c r="EB167" s="81" t="str">
        <f>IF(ISERROR((EA167/DS167-1)*100),"NA",IF(((EA167/DS167-1)*100)&gt;100,"NM",IF(((EA167/DS167-1)*100)&lt;-50,"NM",(EA167/DS167-1)*100)))</f>
        <v>NA</v>
      </c>
      <c r="EC167" s="229">
        <f>EC63</f>
        <v>0</v>
      </c>
      <c r="ED167" s="81" t="str">
        <f t="shared" si="548"/>
        <v>NA</v>
      </c>
      <c r="EE167" s="229">
        <f>EE63</f>
        <v>0</v>
      </c>
      <c r="EF167" s="81" t="str">
        <f t="shared" si="549"/>
        <v>NA</v>
      </c>
      <c r="EG167" s="229">
        <f>EG63</f>
        <v>0</v>
      </c>
      <c r="EH167" s="81" t="str">
        <f t="shared" si="550"/>
        <v>NA</v>
      </c>
      <c r="EI167" s="229">
        <f>EI63</f>
        <v>0</v>
      </c>
      <c r="EJ167" s="81" t="str">
        <f t="shared" si="551"/>
        <v>NA</v>
      </c>
      <c r="EK167" s="228"/>
      <c r="EL167" s="81" t="str">
        <f t="shared" si="552"/>
        <v>NA</v>
      </c>
      <c r="EM167" s="228"/>
      <c r="EN167" s="81" t="str">
        <f t="shared" si="553"/>
        <v>NA</v>
      </c>
      <c r="EO167" s="228"/>
      <c r="EP167" s="81" t="str">
        <f t="shared" si="554"/>
        <v>NA</v>
      </c>
      <c r="EQ167" s="228"/>
      <c r="ER167" s="81" t="str">
        <f t="shared" si="555"/>
        <v>NA</v>
      </c>
      <c r="ES167" s="230"/>
      <c r="ET167" s="477"/>
      <c r="EU167" s="230"/>
      <c r="EV167" s="231"/>
      <c r="EW167" s="128"/>
      <c r="EX167" s="231"/>
      <c r="EY167" s="128"/>
      <c r="EZ167" s="231"/>
      <c r="FA167" s="128"/>
      <c r="FB167" s="232"/>
      <c r="FC167" s="128"/>
      <c r="FD167" s="228">
        <f>FD63</f>
        <v>4.8</v>
      </c>
      <c r="FE167" s="128" t="str">
        <f>IF(ISERROR((FD167/FB167-1)*100),"NA",IF(((FD167/FB167-1)*100)&gt;100,"NM",IF(((FD167/FB167-1)*100)&lt;-50,"NM",(FD167/FB167-1)*100)))</f>
        <v>NA</v>
      </c>
      <c r="FF167" s="228">
        <f>FF63</f>
        <v>6.5</v>
      </c>
      <c r="FG167" s="128">
        <f>IF(ISERROR((FF167/FD167-1)*100),"NA",IF(((FF167/FD167-1)*100)&gt;100,"NM",IF(((FF167/FD167-1)*100)&lt;-50,"NM",(FF167/FD167-1)*100)))</f>
        <v>35.416666666666671</v>
      </c>
      <c r="FH167" s="228">
        <f>FH63</f>
        <v>1.1000000000000001</v>
      </c>
      <c r="FI167" s="128" t="str">
        <f>IF(ISERROR((FH167/FF167-1)*100),"NA",IF(((FH167/FF167-1)*100)&gt;100,"NM",IF(((FH167/FF167-1)*100)&lt;-50,"NM",(FH167/FF167-1)*100)))</f>
        <v>NM</v>
      </c>
      <c r="FJ167" s="231"/>
      <c r="FK167" s="128" t="str">
        <f>IF(ISERROR((FJ167/FH167-1)*100),"NA",IF(((FJ167/FH167-1)*100)&gt;100,"NM",IF(((FJ167/FH167-1)*100)&lt;-50,"NM",(FJ167/FH167-1)*100)))</f>
        <v>NM</v>
      </c>
      <c r="FL167" s="171"/>
      <c r="FM167" s="128" t="str">
        <f>IF(ISERROR((FL167/FJ167-1)*100),"NA",IF(((FL167/FJ167-1)*100)&gt;100,"NM",IF(((FL167/FJ167-1)*100)&lt;-50,"NM",(FL167/FJ167-1)*100)))</f>
        <v>NA</v>
      </c>
      <c r="FN167" s="171"/>
      <c r="FO167" s="128" t="str">
        <f>IF(ISERROR((FN167/FL167-1)*100),"NA",IF(((FN167/FL167-1)*100)&gt;100,"NM",IF(((FN167/FL167-1)*100)&lt;-50,"NM",(FN167/FL167-1)*100)))</f>
        <v>NA</v>
      </c>
      <c r="FP167" s="171"/>
      <c r="FQ167" s="128" t="str">
        <f>IF(ISERROR((FP167/FN167-1)*100),"NA",IF(((FP167/FN167-1)*100)&gt;100,"NM",IF(((FP167/FN167-1)*100)&lt;-50,"NM",(FP167/FN167-1)*100)))</f>
        <v>NA</v>
      </c>
      <c r="FR167" s="228">
        <f>FR63</f>
        <v>0</v>
      </c>
      <c r="FS167" s="128" t="str">
        <f>IF(ISERROR((FR167/FP167-1)*100),"NA",IF(((FR167/FP167-1)*100)&gt;100,"NM",IF(((FR167/FP167-1)*100)&lt;-50,"NM",(FR167/FP167-1)*100)))</f>
        <v>NA</v>
      </c>
      <c r="FT167" s="228">
        <f>FT63</f>
        <v>0</v>
      </c>
      <c r="FU167" s="128" t="str">
        <f>IF(ISERROR((FT167/FR167-1)*100),"NA",IF(((FT167/FR167-1)*100)&gt;100,"NM",IF(((FT167/FR167-1)*100)&lt;-50,"NM",(FT167/FR167-1)*100)))</f>
        <v>NA</v>
      </c>
      <c r="FV167" s="229">
        <f>FV63</f>
        <v>0</v>
      </c>
      <c r="FW167" s="128" t="str">
        <f>IF(ISERROR((FV167/FT167-1)*100),"NA",IF(((FV167/FT167-1)*100)&gt;100,"NM",IF(((FV167/FT167-1)*100)&lt;-50,"NM",(FV167/FT167-1)*100)))</f>
        <v>NA</v>
      </c>
      <c r="FX167" s="229">
        <f>FX63</f>
        <v>0</v>
      </c>
      <c r="FY167" s="128" t="str">
        <f>IF(ISERROR((FX167/FV167-1)*100),"NA",IF(((FX167/FV167-1)*100)&gt;100,"NM",IF(((FX167/FV167-1)*100)&lt;-50,"NM",(FX167/FV167-1)*100)))</f>
        <v>NA</v>
      </c>
      <c r="FZ167" s="229">
        <f>FZ63</f>
        <v>0</v>
      </c>
      <c r="GA167" s="128" t="str">
        <f>IF(ISERROR((FZ167/FX167-1)*100),"NA",IF(((FZ167/FX167-1)*100)&gt;100,"NM",IF(((FZ167/FX167-1)*100)&lt;-50,"NM",(FZ167/FX167-1)*100)))</f>
        <v>NA</v>
      </c>
      <c r="GB167" s="229">
        <f>DE167+DG167+DI167+DK167</f>
        <v>0</v>
      </c>
      <c r="GC167" s="128" t="str">
        <f>IF(ISERROR((GB167/FZ167-1)*100),"NA",IF(((GB167/FZ167-1)*100)&gt;100,"NM",IF(((GB167/FZ167-1)*100)&lt;-50,"NM",(GB167/FZ167-1)*100)))</f>
        <v>NA</v>
      </c>
      <c r="GD167" s="229">
        <f>DS167+DQ167+DO167+DM167</f>
        <v>0</v>
      </c>
      <c r="GE167" s="128" t="str">
        <f>IF(ISERROR((GD167/GB167-1)*100),"NA",IF(((GD167/GB167-1)*100)&gt;100,"NM",IF(((GD167/GB167-1)*100)&lt;-50,"NM",(GD167/GB167-1)*100)))</f>
        <v>NA</v>
      </c>
      <c r="GF167" s="229">
        <f>DU167+DW167+DY167+EA167</f>
        <v>0</v>
      </c>
      <c r="GG167" s="128" t="str">
        <f>IF(ISERROR((GF167/GD167-1)*100),"NA",IF(((GF167/GD167-1)*100)&gt;100,"NM",IF(((GF167/GD167-1)*100)&lt;-50,"NM",(GF167/GD167-1)*100)))</f>
        <v>NA</v>
      </c>
      <c r="GH167" s="229">
        <f>EC167+EE167+EG167+EI167</f>
        <v>0</v>
      </c>
      <c r="GI167" s="128" t="str">
        <f>IF(ISERROR((GH167/GF167-1)*100),"NA",IF(((GH167/GF167-1)*100)&gt;100,"NM",IF(((GH167/GF167-1)*100)&lt;-50,"NM",(GH167/GF167-1)*100)))</f>
        <v>NA</v>
      </c>
      <c r="GJ167" s="228"/>
      <c r="GK167" s="128" t="str">
        <f>IF(ISERROR((GJ167/GH167-1)*100),"NA",IF(((GJ167/GH167-1)*100)&gt;100,"NM",IF(((GJ167/GH167-1)*100)&lt;-50,"NM",(GJ167/GH167-1)*100)))</f>
        <v>NA</v>
      </c>
      <c r="GL167" s="228"/>
      <c r="GM167" s="128" t="str">
        <f>IF(ISERROR((GL167/GJ167-1)*100),"NA",IF(((GL167/GJ167-1)*100)&gt;100,"NM",IF(((GL167/GJ167-1)*100)&lt;-50,"NM",(GL167/GJ167-1)*100)))</f>
        <v>NA</v>
      </c>
      <c r="GN167" s="228"/>
      <c r="GO167" s="128" t="str">
        <f>IF(ISERROR((GN167/GL167-1)*100),"NA",IF(((GN167/GL167-1)*100)&gt;100,"NM",IF(((GN167/GL167-1)*100)&lt;-50,"NM",(GN167/GL167-1)*100)))</f>
        <v>NA</v>
      </c>
      <c r="GP167" s="228"/>
      <c r="GQ167" s="128" t="str">
        <f>IF(ISERROR((GP167/GN167-1)*100),"NA",IF(((GP167/GN167-1)*100)&gt;100,"NM",IF(((GP167/GN167-1)*100)&lt;-50,"NM",(GP167/GN167-1)*100)))</f>
        <v>NA</v>
      </c>
      <c r="GR167" s="228"/>
      <c r="GS167" s="128" t="str">
        <f>IF(ISERROR((GR167/GP167-1)*100),"NA",IF(((GR167/GP167-1)*100)&gt;100,"NM",IF(((GR167/GP167-1)*100)&lt;-50,"NM",(GR167/GP167-1)*100)))</f>
        <v>NA</v>
      </c>
      <c r="GT167" s="79"/>
    </row>
    <row r="168" spans="1:286" s="83" customFormat="1" ht="12.75" customHeight="1" x14ac:dyDescent="0.2">
      <c r="A168" s="77"/>
      <c r="B168" s="68" t="str">
        <f>B64</f>
        <v>Group Long Term Income Protection</v>
      </c>
      <c r="C168" s="219"/>
      <c r="D168" s="219"/>
      <c r="E168" s="219"/>
      <c r="F168" s="219"/>
      <c r="G168" s="219"/>
      <c r="H168" s="219"/>
      <c r="I168" s="219"/>
      <c r="J168" s="219"/>
      <c r="K168" s="219"/>
      <c r="L168" s="140"/>
      <c r="M168" s="219"/>
      <c r="N168" s="79"/>
      <c r="O168" s="219"/>
      <c r="P168" s="79"/>
      <c r="Q168" s="219"/>
      <c r="R168" s="79"/>
      <c r="S168" s="219"/>
      <c r="T168" s="79"/>
      <c r="U168" s="219"/>
      <c r="V168" s="79"/>
      <c r="W168" s="219"/>
      <c r="X168" s="79"/>
      <c r="Y168" s="219"/>
      <c r="Z168" s="79"/>
      <c r="AA168" s="233"/>
      <c r="AB168" s="79"/>
      <c r="AC168" s="234">
        <f>AC64</f>
        <v>36</v>
      </c>
      <c r="AD168" s="79" t="str">
        <f>IF(ISERROR((AC168/U168-1)*100),"NA",IF(((AC168/U168-1)*100)&gt;100,"NM",IF(((AC168/U168-1)*100)&lt;-50,"NM",(AC168/U168-1)*100)))</f>
        <v>NA</v>
      </c>
      <c r="AE168" s="234">
        <f>AE64</f>
        <v>41.1</v>
      </c>
      <c r="AF168" s="79" t="str">
        <f>IF(ISERROR((AE168/W168-1)*100),"NA",IF(((AE168/W168-1)*100)&gt;100,"NM",IF(((AE168/W168-1)*100)&lt;-50,"NM",(AE168/W168-1)*100)))</f>
        <v>NA</v>
      </c>
      <c r="AG168" s="234">
        <f>AG64</f>
        <v>23.900000000000002</v>
      </c>
      <c r="AH168" s="79" t="str">
        <f>IF(ISERROR((AG168/Y168-1)*100),"NA",IF(((AG168/Y168-1)*100)&gt;100,"NM",IF(((AG168/Y168-1)*100)&lt;-50,"NM",(AG168/Y168-1)*100)))</f>
        <v>NA</v>
      </c>
      <c r="AI168" s="234">
        <f>AI64</f>
        <v>80.5</v>
      </c>
      <c r="AJ168" s="79" t="str">
        <f>IF(ISERROR((AI168/AA168-1)*100),"NA",IF(((AI168/AA168-1)*100)&gt;100,"NM",IF(((AI168/AA168-1)*100)&lt;-50,"NM",(AI168/AA168-1)*100)))</f>
        <v>NA</v>
      </c>
      <c r="AK168" s="234">
        <f>AK64</f>
        <v>37.1</v>
      </c>
      <c r="AL168" s="79">
        <f>IF(ISERROR((AK168/AC168-1)*100),"NA",IF(((AK168/AC168-1)*100)&gt;100,"NM",IF(((AK168/AC168-1)*100)&lt;-50,"NM",(AK168/AC168-1)*100)))</f>
        <v>3.0555555555555669</v>
      </c>
      <c r="AM168" s="234">
        <f>AM64</f>
        <v>48.2</v>
      </c>
      <c r="AN168" s="79">
        <f t="shared" si="547"/>
        <v>17.274939172749406</v>
      </c>
      <c r="AO168" s="234">
        <f>AO64</f>
        <v>28.5</v>
      </c>
      <c r="AP168" s="79">
        <f t="shared" si="547"/>
        <v>19.246861924686186</v>
      </c>
      <c r="AQ168" s="234">
        <f>AQ64</f>
        <v>68.399999999999991</v>
      </c>
      <c r="AR168" s="79">
        <f t="shared" si="547"/>
        <v>-15.031055900621126</v>
      </c>
      <c r="AS168" s="235">
        <f>AS64</f>
        <v>43.1</v>
      </c>
      <c r="AT168" s="81">
        <f t="shared" si="547"/>
        <v>16.172506738544467</v>
      </c>
      <c r="AU168" s="235">
        <f>AU64</f>
        <v>51.4</v>
      </c>
      <c r="AV168" s="81">
        <f t="shared" si="547"/>
        <v>6.639004149377592</v>
      </c>
      <c r="AW168" s="235">
        <f>AW64</f>
        <v>25.4</v>
      </c>
      <c r="AX168" s="81">
        <f t="shared" si="547"/>
        <v>-10.87719298245614</v>
      </c>
      <c r="AY168" s="235">
        <f>AY64</f>
        <v>92.3</v>
      </c>
      <c r="AZ168" s="81">
        <f t="shared" si="547"/>
        <v>34.94152046783627</v>
      </c>
      <c r="BA168" s="235">
        <f>BA64</f>
        <v>25.5</v>
      </c>
      <c r="BB168" s="81">
        <f t="shared" si="547"/>
        <v>-40.835266821345705</v>
      </c>
      <c r="BC168" s="235">
        <f>BC64</f>
        <v>54.6</v>
      </c>
      <c r="BD168" s="81">
        <f t="shared" si="547"/>
        <v>6.2256809338521402</v>
      </c>
      <c r="BE168" s="235">
        <f>BE64</f>
        <v>23.9</v>
      </c>
      <c r="BF168" s="81">
        <f>IF(ISERROR((BE168/AW168-1)*100),"NA",IF(((BE168/AW168-1)*100)&gt;100,"NM",IF(((BE168/AW168-1)*100)&lt;-50,"NM",(BE168/AW168-1)*100)))</f>
        <v>-5.9055118110236222</v>
      </c>
      <c r="BG168" s="235">
        <f>BG64</f>
        <v>75.3</v>
      </c>
      <c r="BH168" s="81">
        <f t="shared" si="556"/>
        <v>-18.418201516793065</v>
      </c>
      <c r="BI168" s="235">
        <f>BI64</f>
        <v>37.300000000000004</v>
      </c>
      <c r="BJ168" s="81">
        <f t="shared" si="557"/>
        <v>46.274509803921582</v>
      </c>
      <c r="BK168" s="235">
        <f>BK64</f>
        <v>45.4</v>
      </c>
      <c r="BL168" s="81">
        <f t="shared" si="545"/>
        <v>-16.849816849816857</v>
      </c>
      <c r="BM168" s="235">
        <f>BM64</f>
        <v>31.5</v>
      </c>
      <c r="BN168" s="81"/>
      <c r="BO168" s="235">
        <f>BO64</f>
        <v>77.5</v>
      </c>
      <c r="BP168" s="81"/>
      <c r="BQ168" s="235">
        <f>BQ64</f>
        <v>31.7</v>
      </c>
      <c r="BR168" s="81">
        <f>IF(ISERROR((BQ168/BI168-1)*100),"NA",IF(((BQ168/BI168-1)*100)&gt;100,"NM",IF(((BQ168/BI168-1)*100)&lt;-50,"NM",(BQ168/BI168-1)*100)))</f>
        <v>-15.013404825737275</v>
      </c>
      <c r="BS168" s="235">
        <f>BS64</f>
        <v>54.3</v>
      </c>
      <c r="BT168" s="81"/>
      <c r="BU168" s="235">
        <f>BU64</f>
        <v>20.7</v>
      </c>
      <c r="BV168" s="81"/>
      <c r="BW168" s="235">
        <f>BW64</f>
        <v>75.400000000000006</v>
      </c>
      <c r="BX168" s="81"/>
      <c r="BY168" s="235">
        <f>BY64</f>
        <v>27.6</v>
      </c>
      <c r="BZ168" s="81"/>
      <c r="CA168" s="235">
        <f>CA64</f>
        <v>32.200000000000003</v>
      </c>
      <c r="CB168" s="81"/>
      <c r="CC168" s="235">
        <f>CC64</f>
        <v>21.2</v>
      </c>
      <c r="CD168" s="81"/>
      <c r="CE168" s="235">
        <f>CE64</f>
        <v>67.3</v>
      </c>
      <c r="CF168" s="81"/>
      <c r="CG168" s="235">
        <f>CG64</f>
        <v>29.5</v>
      </c>
      <c r="CH168" s="81"/>
      <c r="CI168" s="235">
        <f>CI64</f>
        <v>38.299999999999997</v>
      </c>
      <c r="CJ168" s="81"/>
      <c r="CK168" s="235">
        <f>CK64</f>
        <v>22</v>
      </c>
      <c r="CL168" s="81"/>
      <c r="CM168" s="235">
        <f>CM64</f>
        <v>75.2</v>
      </c>
      <c r="CN168" s="81">
        <f>IF(ISERROR((CM168/CE168-1)*100),"NA",IF(((CM168/CE168-1)*100)&gt;100,"NM",IF(((CM168/CE168-1)*100)&lt;-50,"NM",(CM168/CE168-1)*100)))</f>
        <v>11.738484398216942</v>
      </c>
      <c r="CO168" s="235">
        <f>CO64</f>
        <v>35.799999999999997</v>
      </c>
      <c r="CP168" s="81">
        <f>IF(ISERROR((CO168/CG168-1)*100),"NA",IF(((CO168/CG168-1)*100)&gt;100,"NM",IF(((CO168/CG168-1)*100)&lt;-50,"NM",(CO168/CG168-1)*100)))</f>
        <v>21.355932203389827</v>
      </c>
      <c r="CQ168" s="235">
        <f>CQ64</f>
        <v>36</v>
      </c>
      <c r="CR168" s="81">
        <f>IF(ISERROR((CQ168/CI168-1)*100),"NA",IF(((CQ168/CI168-1)*100)&gt;100,"NM",IF(((CQ168/CI168-1)*100)&lt;-50,"NM",(CQ168/CI168-1)*100)))</f>
        <v>-6.0052219321148792</v>
      </c>
      <c r="CS168" s="235">
        <f>CS64</f>
        <v>23.6</v>
      </c>
      <c r="CT168" s="81">
        <f>IF(ISERROR((CS168/CK168-1)*100),"NA",IF(((CS168/CK168-1)*100)&gt;100,"NM",IF(((CS168/CK168-1)*100)&lt;-50,"NM",(CS168/CK168-1)*100)))</f>
        <v>7.2727272727272751</v>
      </c>
      <c r="CU168" s="235">
        <f>CU64</f>
        <v>86.8</v>
      </c>
      <c r="CV168" s="81">
        <f>IF(ISERROR((CU168/CM168-1)*100),"NA",IF(((CU168/CM168-1)*100)&gt;100,"NM",IF(((CU168/CM168-1)*100)&lt;-50,"NM",(CU168/CM168-1)*100)))</f>
        <v>15.42553191489362</v>
      </c>
      <c r="CW168" s="235">
        <f>CW64</f>
        <v>31.1</v>
      </c>
      <c r="CX168" s="81">
        <f>IF(ISERROR((CW168/CO168-1)*100),"NA",IF(((CW168/CO168-1)*100)&gt;100,"NM",IF(((CW168/CO168-1)*100)&lt;-50,"NM",(CW168/CO168-1)*100)))</f>
        <v>-13.128491620111726</v>
      </c>
      <c r="CY168" s="235">
        <f>CY64</f>
        <v>32.799999999999997</v>
      </c>
      <c r="CZ168" s="81">
        <f>IF(ISERROR((CY168/CQ168-1)*100),"NA",IF(((CY168/CQ168-1)*100)&gt;100,"NM",IF(((CY168/CQ168-1)*100)&lt;-50,"NM",(CY168/CQ168-1)*100)))</f>
        <v>-8.8888888888889017</v>
      </c>
      <c r="DA168" s="235">
        <f>DA64</f>
        <v>25.7</v>
      </c>
      <c r="DB168" s="81">
        <f>IF(ISERROR((DA168/CS168-1)*100),"NA",IF(((DA168/CS168-1)*100)&gt;100,"NM",IF(((DA168/CS168-1)*100)&lt;-50,"NM",(DA168/CS168-1)*100)))</f>
        <v>8.8983050847457612</v>
      </c>
      <c r="DC168" s="235">
        <f>DC64</f>
        <v>83.7</v>
      </c>
      <c r="DD168" s="81">
        <f>IF(ISERROR((DC168/CU168-1)*100),"NA",IF(((DC168/CU168-1)*100)&gt;100,"NM",IF(((DC168/CU168-1)*100)&lt;-50,"NM",(DC168/CU168-1)*100)))</f>
        <v>-3.5714285714285698</v>
      </c>
      <c r="DE168" s="235">
        <f>DE64</f>
        <v>32.700000000000003</v>
      </c>
      <c r="DF168" s="81">
        <f>IF(ISERROR((DE168/CW168-1)*100),"NA",IF(((DE168/CW168-1)*100)&gt;100,"NM",IF(((DE168/CW168-1)*100)&lt;-50,"NM",(DE168/CW168-1)*100)))</f>
        <v>5.1446945337620731</v>
      </c>
      <c r="DG168" s="235">
        <f>DG64</f>
        <v>46.8</v>
      </c>
      <c r="DH168" s="81">
        <f>IF(ISERROR((DG168/CY168-1)*100),"NA",IF(((DG168/CY168-1)*100)&gt;100,"NM",IF(((DG168/CY168-1)*100)&lt;-50,"NM",(DG168/CY168-1)*100)))</f>
        <v>42.682926829268283</v>
      </c>
      <c r="DI168" s="235">
        <f>DI64</f>
        <v>28</v>
      </c>
      <c r="DJ168" s="81">
        <f>IF(ISERROR((DI168/DA168-1)*100),"NA",IF(((DI168/DA168-1)*100)&gt;100,"NM",IF(((DI168/DA168-1)*100)&lt;-50,"NM",(DI168/DA168-1)*100)))</f>
        <v>8.949416342412464</v>
      </c>
      <c r="DK168" s="235">
        <f>DK64</f>
        <v>116.1</v>
      </c>
      <c r="DL168" s="81">
        <f>IF(ISERROR((DK168/DC168-1)*100),"NA",IF(((DK168/DC168-1)*100)&gt;100,"NM",IF(((DK168/DC168-1)*100)&lt;-50,"NM",(DK168/DC168-1)*100)))</f>
        <v>38.709677419354826</v>
      </c>
      <c r="DM168" s="235">
        <f>DM64</f>
        <v>37.299999999999997</v>
      </c>
      <c r="DN168" s="81">
        <f>IF(ISERROR((DM168/DE168-1)*100),"NA",IF(((DM168/DE168-1)*100)&gt;100,"NM",IF(((DM168/DE168-1)*100)&lt;-50,"NM",(DM168/DE168-1)*100)))</f>
        <v>14.067278287461749</v>
      </c>
      <c r="DO168" s="235">
        <f>DO64</f>
        <v>51.9</v>
      </c>
      <c r="DP168" s="81">
        <f>IF(ISERROR((DO168/DG168-1)*100),"NA",IF(((DO168/DG168-1)*100)&gt;100,"NM",IF(((DO168/DG168-1)*100)&lt;-50,"NM",(DO168/DG168-1)*100)))</f>
        <v>10.897435897435903</v>
      </c>
      <c r="DQ168" s="235">
        <f>DQ64</f>
        <v>34.299999999999997</v>
      </c>
      <c r="DR168" s="81">
        <f>IF(ISERROR((DQ168/DI168-1)*100),"NA",IF(((DQ168/DI168-1)*100)&gt;100,"NM",IF(((DQ168/DI168-1)*100)&lt;-50,"NM",(DQ168/DI168-1)*100)))</f>
        <v>22.499999999999986</v>
      </c>
      <c r="DS168" s="235">
        <f>DS64</f>
        <v>116.2</v>
      </c>
      <c r="DT168" s="81">
        <f>IF(ISERROR((DS168/DK168-1)*100),"NA",IF(((DS168/DK168-1)*100)&gt;100,"NM",IF(((DS168/DK168-1)*100)&lt;-50,"NM",(DS168/DK168-1)*100)))</f>
        <v>8.6132644272196579E-2</v>
      </c>
      <c r="DU168" s="235">
        <f>DU64</f>
        <v>37.5</v>
      </c>
      <c r="DV168" s="81">
        <f>IF(ISERROR((DU168/DM168-1)*100),"NA",IF(((DU168/DM168-1)*100)&gt;100,"NM",IF(((DU168/DM168-1)*100)&lt;-50,"NM",(DU168/DM168-1)*100)))</f>
        <v>0.53619302949061698</v>
      </c>
      <c r="DW168" s="235">
        <f>DW64</f>
        <v>48.3</v>
      </c>
      <c r="DX168" s="81">
        <f>IF(ISERROR((DW168/DO168-1)*100),"NA",IF(((DW168/DO168-1)*100)&gt;100,"NM",IF(((DW168/DO168-1)*100)&lt;-50,"NM",(DW168/DO168-1)*100)))</f>
        <v>-6.9364161849711063</v>
      </c>
      <c r="DY168" s="235">
        <f>DY64</f>
        <v>24.3</v>
      </c>
      <c r="DZ168" s="81">
        <f>IF(ISERROR((DY168/DQ168-1)*100),"NA",IF(((DY168/DQ168-1)*100)&gt;100,"NM",IF(((DY168/DQ168-1)*100)&lt;-50,"NM",(DY168/DQ168-1)*100)))</f>
        <v>-29.154518950437314</v>
      </c>
      <c r="EA168" s="235">
        <f>EA64</f>
        <v>107.7</v>
      </c>
      <c r="EB168" s="81">
        <f>IF(ISERROR((EA168/DS168-1)*100),"NA",IF(((EA168/DS168-1)*100)&gt;100,"NM",IF(((EA168/DS168-1)*100)&lt;-50,"NM",(EA168/DS168-1)*100)))</f>
        <v>-7.3149741824440673</v>
      </c>
      <c r="EC168" s="235">
        <f>EC64</f>
        <v>36</v>
      </c>
      <c r="ED168" s="81">
        <f t="shared" si="548"/>
        <v>-4.0000000000000036</v>
      </c>
      <c r="EE168" s="235">
        <f>EE64</f>
        <v>47.5</v>
      </c>
      <c r="EF168" s="81">
        <f t="shared" si="549"/>
        <v>-1.6563146997929601</v>
      </c>
      <c r="EG168" s="235">
        <f>EG64</f>
        <v>31.1</v>
      </c>
      <c r="EH168" s="81">
        <f t="shared" si="550"/>
        <v>27.983539094650212</v>
      </c>
      <c r="EI168" s="235">
        <f>EI64</f>
        <v>126.2</v>
      </c>
      <c r="EJ168" s="81">
        <f t="shared" si="551"/>
        <v>17.177344475394605</v>
      </c>
      <c r="EK168" s="234"/>
      <c r="EL168" s="81" t="str">
        <f t="shared" si="552"/>
        <v>NM</v>
      </c>
      <c r="EM168" s="234"/>
      <c r="EN168" s="81" t="str">
        <f t="shared" si="553"/>
        <v>NM</v>
      </c>
      <c r="EO168" s="234"/>
      <c r="EP168" s="81" t="str">
        <f t="shared" si="554"/>
        <v>NM</v>
      </c>
      <c r="EQ168" s="234"/>
      <c r="ER168" s="81" t="str">
        <f t="shared" si="555"/>
        <v>NM</v>
      </c>
      <c r="ES168" s="236"/>
      <c r="ET168" s="470"/>
      <c r="EU168" s="236"/>
      <c r="EV168" s="219"/>
      <c r="EW168" s="140"/>
      <c r="EX168" s="219"/>
      <c r="EY168" s="79"/>
      <c r="EZ168" s="219"/>
      <c r="FA168" s="79"/>
      <c r="FB168" s="217"/>
      <c r="FC168" s="79"/>
      <c r="FD168" s="234">
        <f>FD64</f>
        <v>330</v>
      </c>
      <c r="FE168" s="79" t="str">
        <f>IF(ISERROR((FD168/FB168-1)*100),"NA",IF(((FD168/FB168-1)*100)&gt;100,"NM",IF(((FD168/FB168-1)*100)&lt;-50,"NM",(FD168/FB168-1)*100)))</f>
        <v>NA</v>
      </c>
      <c r="FF168" s="234">
        <f>FF64</f>
        <v>305.60000000000002</v>
      </c>
      <c r="FG168" s="79">
        <f>IF(ISERROR((FF168/FD168-1)*100),"NA",IF(((FF168/FD168-1)*100)&gt;100,"NM",IF(((FF168/FD168-1)*100)&lt;-50,"NM",(FF168/FD168-1)*100)))</f>
        <v>-7.3939393939393856</v>
      </c>
      <c r="FH168" s="234">
        <f>FH64</f>
        <v>181.5</v>
      </c>
      <c r="FI168" s="79">
        <f>IF(ISERROR((FH168/FF168-1)*100),"NA",IF(((FH168/FF168-1)*100)&gt;100,"NM",IF(((FH168/FF168-1)*100)&lt;-50,"NM",(FH168/FF168-1)*100)))</f>
        <v>-40.608638743455508</v>
      </c>
      <c r="FJ168" s="219"/>
      <c r="FK168" s="79" t="str">
        <f>IF(ISERROR((FJ168/FH168-1)*100),"NA",IF(((FJ168/FH168-1)*100)&gt;100,"NM",IF(((FJ168/FH168-1)*100)&lt;-50,"NM",(FJ168/FH168-1)*100)))</f>
        <v>NM</v>
      </c>
      <c r="FL168" s="219"/>
      <c r="FM168" s="79" t="str">
        <f>IF(ISERROR((FL168/FJ168-1)*100),"NA",IF(((FL168/FJ168-1)*100)&gt;100,"NM",IF(((FL168/FJ168-1)*100)&lt;-50,"NM",(FL168/FJ168-1)*100)))</f>
        <v>NA</v>
      </c>
      <c r="FN168" s="219"/>
      <c r="FO168" s="79" t="str">
        <f>IF(ISERROR((FN168/FL168-1)*100),"NA",IF(((FN168/FL168-1)*100)&gt;100,"NM",IF(((FN168/FL168-1)*100)&lt;-50,"NM",(FN168/FL168-1)*100)))</f>
        <v>NA</v>
      </c>
      <c r="FP168" s="219"/>
      <c r="FQ168" s="79" t="str">
        <f>IF(ISERROR((FP168/FN168-1)*100),"NA",IF(((FP168/FN168-1)*100)&gt;100,"NM",IF(((FP168/FN168-1)*100)&lt;-50,"NM",(FP168/FN168-1)*100)))</f>
        <v>NA</v>
      </c>
      <c r="FR168" s="234">
        <f>FR64</f>
        <v>182.10000000000002</v>
      </c>
      <c r="FS168" s="79" t="str">
        <f>IF(ISERROR((FR168/FP168-1)*100),"NA",IF(((FR168/FP168-1)*100)&gt;100,"NM",IF(((FR168/FP168-1)*100)&lt;-50,"NM",(FR168/FP168-1)*100)))</f>
        <v>NA</v>
      </c>
      <c r="FT168" s="234">
        <f>FT64</f>
        <v>148.30000000000001</v>
      </c>
      <c r="FU168" s="79">
        <f>IF(ISERROR((FT168/FR168-1)*100),"NA",IF(((FT168/FR168-1)*100)&gt;100,"NM",IF(((FT168/FR168-1)*100)&lt;-50,"NM",(FT168/FR168-1)*100)))</f>
        <v>-18.561230093355306</v>
      </c>
      <c r="FV168" s="235">
        <f>FV64</f>
        <v>165</v>
      </c>
      <c r="FW168" s="79">
        <f>IF(ISERROR((FV168/FT168-1)*100),"NA",IF(((FV168/FT168-1)*100)&gt;100,"NM",IF(((FV168/FT168-1)*100)&lt;-50,"NM",(FV168/FT168-1)*100)))</f>
        <v>11.26095751854348</v>
      </c>
      <c r="FX168" s="235">
        <f>FX64</f>
        <v>182.2</v>
      </c>
      <c r="FY168" s="79">
        <f>IF(ISERROR((FX168/FV168-1)*100),"NA",IF(((FX168/FV168-1)*100)&gt;100,"NM",IF(((FX168/FV168-1)*100)&lt;-50,"NM",(FX168/FV168-1)*100)))</f>
        <v>10.424242424242426</v>
      </c>
      <c r="FZ168" s="235">
        <f>FZ64</f>
        <v>173.3</v>
      </c>
      <c r="GA168" s="79">
        <f>IF(ISERROR((FZ168/FX168-1)*100),"NA",IF(((FZ168/FX168-1)*100)&gt;100,"NM",IF(((FZ168/FX168-1)*100)&lt;-50,"NM",(FZ168/FX168-1)*100)))</f>
        <v>-4.8847420417123866</v>
      </c>
      <c r="GB168" s="235">
        <f>DE168+DG168+DI168+DK168</f>
        <v>223.6</v>
      </c>
      <c r="GC168" s="79">
        <f>IF(ISERROR((GB168/FZ168-1)*100),"NA",IF(((GB168/FZ168-1)*100)&gt;100,"NM",IF(((GB168/FZ168-1)*100)&lt;-50,"NM",(GB168/FZ168-1)*100)))</f>
        <v>29.024812463935355</v>
      </c>
      <c r="GD168" s="235">
        <f>DS168+DQ168+DO168+DM168</f>
        <v>239.7</v>
      </c>
      <c r="GE168" s="79">
        <f>IF(ISERROR((GD168/GB168-1)*100),"NA",IF(((GD168/GB168-1)*100)&gt;100,"NM",IF(((GD168/GB168-1)*100)&lt;-50,"NM",(GD168/GB168-1)*100)))</f>
        <v>7.2003577817531195</v>
      </c>
      <c r="GF168" s="235">
        <f>DU168+DW168+DY168+EA168</f>
        <v>217.8</v>
      </c>
      <c r="GG168" s="79">
        <f>IF(ISERROR((GF168/GD168-1)*100),"NA",IF(((GF168/GD168-1)*100)&gt;100,"NM",IF(((GF168/GD168-1)*100)&lt;-50,"NM",(GF168/GD168-1)*100)))</f>
        <v>-9.1364205256570621</v>
      </c>
      <c r="GH168" s="235">
        <f>EC168+EE168+EG168+EI168</f>
        <v>240.8</v>
      </c>
      <c r="GI168" s="79">
        <f>IF(ISERROR((GH168/GF168-1)*100),"NA",IF(((GH168/GF168-1)*100)&gt;100,"NM",IF(((GH168/GF168-1)*100)&lt;-50,"NM",(GH168/GF168-1)*100)))</f>
        <v>10.560146923783286</v>
      </c>
      <c r="GJ168" s="234"/>
      <c r="GK168" s="79" t="str">
        <f>IF(ISERROR((GJ168/GH168-1)*100),"NA",IF(((GJ168/GH168-1)*100)&gt;100,"NM",IF(((GJ168/GH168-1)*100)&lt;-50,"NM",(GJ168/GH168-1)*100)))</f>
        <v>NM</v>
      </c>
      <c r="GL168" s="234"/>
      <c r="GM168" s="79" t="str">
        <f>IF(ISERROR((GL168/GJ168-1)*100),"NA",IF(((GL168/GJ168-1)*100)&gt;100,"NM",IF(((GL168/GJ168-1)*100)&lt;-50,"NM",(GL168/GJ168-1)*100)))</f>
        <v>NA</v>
      </c>
      <c r="GN168" s="234"/>
      <c r="GO168" s="79" t="str">
        <f>IF(ISERROR((GN168/GL168-1)*100),"NA",IF(((GN168/GL168-1)*100)&gt;100,"NM",IF(((GN168/GL168-1)*100)&lt;-50,"NM",(GN168/GL168-1)*100)))</f>
        <v>NA</v>
      </c>
      <c r="GP168" s="234"/>
      <c r="GQ168" s="79" t="str">
        <f>IF(ISERROR((GP168/GN168-1)*100),"NA",IF(((GP168/GN168-1)*100)&gt;100,"NM",IF(((GP168/GN168-1)*100)&lt;-50,"NM",(GP168/GN168-1)*100)))</f>
        <v>NA</v>
      </c>
      <c r="GR168" s="234"/>
      <c r="GS168" s="79" t="str">
        <f>IF(ISERROR((GR168/GP168-1)*100),"NA",IF(((GR168/GP168-1)*100)&gt;100,"NM",IF(((GR168/GP168-1)*100)&lt;-50,"NM",(GR168/GP168-1)*100)))</f>
        <v>NA</v>
      </c>
      <c r="GT168" s="79"/>
      <c r="GU168" s="562"/>
      <c r="GV168" s="562"/>
      <c r="GW168"/>
      <c r="GX168"/>
      <c r="GY168"/>
      <c r="GZ168"/>
      <c r="HA168"/>
      <c r="HB168"/>
      <c r="HC168" s="562"/>
      <c r="HD168" s="562"/>
      <c r="HE168" s="562"/>
      <c r="HF168" s="562"/>
      <c r="HG168" s="562"/>
      <c r="HH168" s="562"/>
      <c r="HI168" s="562"/>
      <c r="HJ168" s="562"/>
      <c r="HK168" s="562"/>
      <c r="HL168" s="562"/>
      <c r="HM168" s="562"/>
      <c r="HN168" s="562"/>
      <c r="HO168" s="562"/>
      <c r="HP168" s="562"/>
      <c r="HQ168" s="562"/>
      <c r="HR168" s="562"/>
      <c r="HS168" s="562"/>
      <c r="HT168" s="562"/>
      <c r="HU168" s="562"/>
      <c r="HV168" s="562"/>
      <c r="HW168" s="562"/>
      <c r="HX168" s="562"/>
      <c r="HY168" s="562"/>
      <c r="HZ168" s="562"/>
      <c r="IA168" s="562"/>
      <c r="IB168" s="562"/>
      <c r="IC168" s="562"/>
      <c r="ID168" s="562"/>
      <c r="IE168" s="562"/>
      <c r="IF168" s="562"/>
      <c r="IG168" s="562"/>
      <c r="IH168" s="562"/>
      <c r="II168" s="562"/>
      <c r="IJ168" s="562"/>
      <c r="IK168" s="562"/>
      <c r="IL168" s="562"/>
      <c r="IM168" s="562"/>
      <c r="IN168" s="562"/>
      <c r="IO168" s="562"/>
      <c r="IP168" s="562"/>
      <c r="IQ168" s="562"/>
      <c r="IR168" s="562"/>
      <c r="IS168" s="562"/>
      <c r="IT168" s="562"/>
      <c r="IU168" s="562"/>
      <c r="IV168" s="562"/>
      <c r="IW168" s="562"/>
      <c r="IX168" s="562"/>
      <c r="IY168" s="562"/>
      <c r="IZ168" s="562"/>
      <c r="JA168" s="562"/>
      <c r="JB168" s="562"/>
      <c r="JC168" s="562"/>
      <c r="JD168" s="562"/>
      <c r="JE168" s="562"/>
      <c r="JF168" s="562"/>
      <c r="JG168" s="562"/>
      <c r="JH168" s="562"/>
      <c r="JI168" s="562"/>
      <c r="JJ168" s="562"/>
      <c r="JK168" s="562"/>
      <c r="JL168" s="562"/>
      <c r="JM168" s="562"/>
      <c r="JN168" s="562"/>
      <c r="JO168" s="562"/>
      <c r="JP168" s="562"/>
      <c r="JQ168" s="562"/>
      <c r="JR168" s="562"/>
      <c r="JS168" s="562"/>
      <c r="JT168" s="562"/>
      <c r="JU168" s="562"/>
      <c r="JV168" s="562"/>
      <c r="JW168" s="562"/>
      <c r="JX168" s="562"/>
      <c r="JY168" s="562"/>
      <c r="JZ168" s="562"/>
    </row>
    <row r="169" spans="1:286" ht="12.75" customHeight="1" x14ac:dyDescent="0.2">
      <c r="A169" s="1"/>
      <c r="B169" s="2"/>
      <c r="C169" s="171"/>
      <c r="D169" s="171"/>
      <c r="E169" s="171"/>
      <c r="F169" s="171"/>
      <c r="G169" s="171"/>
      <c r="H169" s="171"/>
      <c r="I169" s="171"/>
      <c r="J169" s="171"/>
      <c r="K169" s="171"/>
      <c r="L169" s="79"/>
      <c r="M169" s="171"/>
      <c r="N169" s="79"/>
      <c r="O169" s="171"/>
      <c r="P169" s="79"/>
      <c r="Q169" s="171"/>
      <c r="R169" s="79"/>
      <c r="S169" s="171"/>
      <c r="T169" s="79"/>
      <c r="U169" s="171"/>
      <c r="V169" s="79"/>
      <c r="W169" s="171"/>
      <c r="X169" s="79"/>
      <c r="Y169" s="171"/>
      <c r="Z169" s="79"/>
      <c r="AA169" s="172"/>
      <c r="AB169" s="79"/>
      <c r="AC169" s="228"/>
      <c r="AD169" s="79"/>
      <c r="AE169" s="228"/>
      <c r="AF169" s="79"/>
      <c r="AG169" s="228"/>
      <c r="AH169" s="79"/>
      <c r="AI169" s="228"/>
      <c r="AJ169" s="79"/>
      <c r="AK169" s="228"/>
      <c r="AL169" s="79"/>
      <c r="AM169" s="228"/>
      <c r="AN169" s="79"/>
      <c r="AO169" s="228"/>
      <c r="AP169" s="79"/>
      <c r="AQ169" s="228"/>
      <c r="AR169" s="79"/>
      <c r="AS169" s="228"/>
      <c r="AT169" s="81"/>
      <c r="AU169" s="228"/>
      <c r="AV169" s="81"/>
      <c r="AW169" s="228"/>
      <c r="AX169" s="81"/>
      <c r="AY169" s="228"/>
      <c r="AZ169" s="81"/>
      <c r="BA169" s="228"/>
      <c r="BB169" s="81"/>
      <c r="BC169" s="228"/>
      <c r="BD169" s="81"/>
      <c r="BE169" s="228"/>
      <c r="BF169" s="81"/>
      <c r="BG169" s="228"/>
      <c r="BH169" s="81"/>
      <c r="BI169" s="228"/>
      <c r="BJ169" s="81"/>
      <c r="BK169" s="228"/>
      <c r="BL169" s="81"/>
      <c r="BM169" s="228"/>
      <c r="BN169" s="81"/>
      <c r="BO169" s="228"/>
      <c r="BP169" s="81"/>
      <c r="BQ169" s="228"/>
      <c r="BR169" s="81"/>
      <c r="BS169" s="228"/>
      <c r="BT169" s="81"/>
      <c r="BU169" s="228"/>
      <c r="BV169" s="81"/>
      <c r="BW169" s="228"/>
      <c r="BX169" s="81"/>
      <c r="BY169" s="228"/>
      <c r="BZ169" s="81"/>
      <c r="CA169" s="228"/>
      <c r="CB169" s="81"/>
      <c r="CC169" s="228"/>
      <c r="CD169" s="81"/>
      <c r="CE169" s="228"/>
      <c r="CF169" s="81"/>
      <c r="CG169" s="228"/>
      <c r="CH169" s="81"/>
      <c r="CI169" s="228"/>
      <c r="CJ169" s="81"/>
      <c r="CK169" s="229"/>
      <c r="CL169" s="81"/>
      <c r="CM169" s="228"/>
      <c r="CN169" s="81"/>
      <c r="CO169" s="228"/>
      <c r="CP169" s="81"/>
      <c r="CQ169" s="228"/>
      <c r="CR169" s="81"/>
      <c r="CS169" s="228"/>
      <c r="CT169" s="81"/>
      <c r="CU169" s="228"/>
      <c r="CV169" s="81"/>
      <c r="CW169" s="228"/>
      <c r="CX169" s="81"/>
      <c r="CY169" s="228"/>
      <c r="CZ169" s="81"/>
      <c r="DA169" s="228"/>
      <c r="DB169" s="81"/>
      <c r="DC169" s="228"/>
      <c r="DD169" s="81"/>
      <c r="DE169" s="228"/>
      <c r="DF169" s="81"/>
      <c r="DG169" s="228"/>
      <c r="DH169" s="81"/>
      <c r="DI169" s="228"/>
      <c r="DJ169" s="81"/>
      <c r="DK169" s="228"/>
      <c r="DL169" s="81"/>
      <c r="DM169" s="228"/>
      <c r="DN169" s="81"/>
      <c r="DO169" s="228"/>
      <c r="DP169" s="81"/>
      <c r="DQ169" s="228"/>
      <c r="DR169" s="81"/>
      <c r="DS169" s="228"/>
      <c r="DT169" s="81"/>
      <c r="DU169" s="228"/>
      <c r="DV169" s="81"/>
      <c r="DW169" s="228"/>
      <c r="DX169" s="81"/>
      <c r="DY169" s="228"/>
      <c r="DZ169" s="81"/>
      <c r="EA169" s="228"/>
      <c r="EB169" s="81"/>
      <c r="EC169" s="228"/>
      <c r="ED169" s="81"/>
      <c r="EE169" s="228"/>
      <c r="EF169" s="81"/>
      <c r="EG169" s="228"/>
      <c r="EH169" s="81"/>
      <c r="EI169" s="228"/>
      <c r="EJ169" s="81"/>
      <c r="EK169" s="228"/>
      <c r="EL169" s="81"/>
      <c r="EM169" s="228"/>
      <c r="EN169" s="81"/>
      <c r="EO169" s="228"/>
      <c r="EP169" s="81"/>
      <c r="EQ169" s="228"/>
      <c r="ER169" s="81"/>
      <c r="ES169" s="82"/>
      <c r="ET169" s="469"/>
      <c r="EU169" s="82"/>
      <c r="EV169" s="171"/>
      <c r="EW169" s="79"/>
      <c r="EX169" s="171"/>
      <c r="EY169" s="79"/>
      <c r="EZ169" s="171"/>
      <c r="FA169" s="79"/>
      <c r="FB169" s="185"/>
      <c r="FC169" s="79"/>
      <c r="FD169" s="228"/>
      <c r="FE169" s="79"/>
      <c r="FF169" s="228"/>
      <c r="FG169" s="79"/>
      <c r="FH169" s="228"/>
      <c r="FI169" s="79"/>
      <c r="FJ169" s="171"/>
      <c r="FK169" s="79"/>
      <c r="FL169" s="171"/>
      <c r="FM169" s="79"/>
      <c r="FN169" s="171"/>
      <c r="FO169" s="79"/>
      <c r="FP169" s="171"/>
      <c r="FQ169" s="79"/>
      <c r="FR169" s="228"/>
      <c r="FS169" s="79"/>
      <c r="FT169" s="228"/>
      <c r="FU169" s="79"/>
      <c r="FV169" s="229"/>
      <c r="FW169" s="79"/>
      <c r="FX169" s="229"/>
      <c r="FY169" s="79"/>
      <c r="FZ169" s="229"/>
      <c r="GA169" s="79"/>
      <c r="GB169" s="229"/>
      <c r="GC169" s="79"/>
      <c r="GD169" s="229"/>
      <c r="GE169" s="79"/>
      <c r="GF169" s="229"/>
      <c r="GG169" s="79"/>
      <c r="GH169" s="229"/>
      <c r="GI169" s="79"/>
      <c r="GJ169" s="228"/>
      <c r="GK169" s="79"/>
      <c r="GL169" s="228"/>
      <c r="GM169" s="79"/>
      <c r="GN169" s="228"/>
      <c r="GO169" s="79"/>
      <c r="GP169" s="228"/>
      <c r="GQ169" s="79"/>
      <c r="GR169" s="228"/>
      <c r="GS169" s="79"/>
      <c r="GT169" s="79"/>
    </row>
    <row r="170" spans="1:286" ht="12.75" customHeight="1" x14ac:dyDescent="0.2">
      <c r="A170" s="1"/>
      <c r="B170" s="2" t="str">
        <f>B66</f>
        <v xml:space="preserve">  STD Fully Insured</v>
      </c>
      <c r="C170" s="171"/>
      <c r="D170" s="171"/>
      <c r="E170" s="171"/>
      <c r="F170" s="171"/>
      <c r="G170" s="171"/>
      <c r="H170" s="171"/>
      <c r="I170" s="171"/>
      <c r="J170" s="171"/>
      <c r="K170" s="171"/>
      <c r="L170" s="79"/>
      <c r="M170" s="171"/>
      <c r="N170" s="79"/>
      <c r="O170" s="171"/>
      <c r="P170" s="79"/>
      <c r="Q170" s="171"/>
      <c r="R170" s="79"/>
      <c r="S170" s="171"/>
      <c r="T170" s="79"/>
      <c r="U170" s="171"/>
      <c r="V170" s="79"/>
      <c r="W170" s="171"/>
      <c r="X170" s="79"/>
      <c r="Y170" s="171"/>
      <c r="Z170" s="79"/>
      <c r="AA170" s="172"/>
      <c r="AB170" s="79"/>
      <c r="AC170" s="228">
        <f>AC66</f>
        <v>25.7</v>
      </c>
      <c r="AD170" s="79" t="str">
        <f>IF(ISERROR((AC170/U170-1)*100),"NA",IF(((AC170/U170-1)*100)&gt;100,"NM",IF(((AC170/U170-1)*100)&lt;-50,"NM",(AC170/U170-1)*100)))</f>
        <v>NA</v>
      </c>
      <c r="AE170" s="228">
        <f>AE66</f>
        <v>16.899999999999999</v>
      </c>
      <c r="AF170" s="79" t="str">
        <f>IF(ISERROR((AE170/W170-1)*100),"NA",IF(((AE170/W170-1)*100)&gt;100,"NM",IF(((AE170/W170-1)*100)&lt;-50,"NM",(AE170/W170-1)*100)))</f>
        <v>NA</v>
      </c>
      <c r="AG170" s="228">
        <f>AG66</f>
        <v>8.3000000000000007</v>
      </c>
      <c r="AH170" s="79" t="str">
        <f>IF(ISERROR((AG170/Y170-1)*100),"NA",IF(((AG170/Y170-1)*100)&gt;100,"NM",IF(((AG170/Y170-1)*100)&lt;-50,"NM",(AG170/Y170-1)*100)))</f>
        <v>NA</v>
      </c>
      <c r="AI170" s="228">
        <f>AI66</f>
        <v>28.600000000000005</v>
      </c>
      <c r="AJ170" s="79" t="str">
        <f>IF(ISERROR((AI170/AA170-1)*100),"NA",IF(((AI170/AA170-1)*100)&gt;100,"NM",IF(((AI170/AA170-1)*100)&lt;-50,"NM",(AI170/AA170-1)*100)))</f>
        <v>NA</v>
      </c>
      <c r="AK170" s="228">
        <f>AK66</f>
        <v>16</v>
      </c>
      <c r="AL170" s="79">
        <f>IF(ISERROR((AK170/AC170-1)*100),"NA",IF(((AK170/AC170-1)*100)&gt;100,"NM",IF(((AK170/AC170-1)*100)&lt;-50,"NM",(AK170/AC170-1)*100)))</f>
        <v>-37.7431906614786</v>
      </c>
      <c r="AM170" s="228">
        <f>AM66</f>
        <v>14.7</v>
      </c>
      <c r="AN170" s="79">
        <f t="shared" ref="AN170:BD172" si="558">IF(ISERROR((AM170/AE170-1)*100),"NA",IF(((AM170/AE170-1)*100)&gt;100,"NM",IF(((AM170/AE170-1)*100)&lt;-50,"NM",(AM170/AE170-1)*100)))</f>
        <v>-13.017751479289942</v>
      </c>
      <c r="AO170" s="228">
        <f>AO66</f>
        <v>11.5</v>
      </c>
      <c r="AP170" s="79">
        <f t="shared" si="558"/>
        <v>38.554216867469869</v>
      </c>
      <c r="AQ170" s="228">
        <f>AQ66</f>
        <v>32.6</v>
      </c>
      <c r="AR170" s="79">
        <f t="shared" si="558"/>
        <v>13.98601398601398</v>
      </c>
      <c r="AS170" s="229">
        <f>AS66</f>
        <v>12</v>
      </c>
      <c r="AT170" s="81">
        <f t="shared" si="558"/>
        <v>-25</v>
      </c>
      <c r="AU170" s="229">
        <f>AU66</f>
        <v>18.8</v>
      </c>
      <c r="AV170" s="81">
        <f t="shared" si="558"/>
        <v>27.891156462585045</v>
      </c>
      <c r="AW170" s="229">
        <f>AW66</f>
        <v>9.8000000000000007</v>
      </c>
      <c r="AX170" s="81">
        <f t="shared" si="558"/>
        <v>-14.782608695652167</v>
      </c>
      <c r="AY170" s="229">
        <f>AY66</f>
        <v>33.5</v>
      </c>
      <c r="AZ170" s="81">
        <f t="shared" si="558"/>
        <v>2.7607361963190247</v>
      </c>
      <c r="BA170" s="229">
        <f>BA66</f>
        <v>15.2</v>
      </c>
      <c r="BB170" s="81">
        <f t="shared" si="558"/>
        <v>26.666666666666661</v>
      </c>
      <c r="BC170" s="229">
        <f>BC66</f>
        <v>16.2</v>
      </c>
      <c r="BD170" s="81">
        <f t="shared" si="558"/>
        <v>-13.829787234042556</v>
      </c>
      <c r="BE170" s="229">
        <f>BE66</f>
        <v>8.5</v>
      </c>
      <c r="BF170" s="81">
        <f>IF(ISERROR((BE170/AW170-1)*100),"NA",IF(((BE170/AW170-1)*100)&gt;100,"NM",IF(((BE170/AW170-1)*100)&lt;-50,"NM",(BE170/AW170-1)*100)))</f>
        <v>-13.265306122448983</v>
      </c>
      <c r="BG170" s="229">
        <f>BG66</f>
        <v>24.8</v>
      </c>
      <c r="BH170" s="81">
        <f t="shared" si="556"/>
        <v>-25.970149253731346</v>
      </c>
      <c r="BI170" s="229">
        <f>BI66</f>
        <v>13.4</v>
      </c>
      <c r="BJ170" s="81">
        <f t="shared" si="557"/>
        <v>-11.842105263157887</v>
      </c>
      <c r="BK170" s="229">
        <f>BK66</f>
        <v>16.399999999999999</v>
      </c>
      <c r="BL170" s="81">
        <f t="shared" si="545"/>
        <v>1.2345679012345734</v>
      </c>
      <c r="BM170" s="229">
        <f>BM66</f>
        <v>10.7</v>
      </c>
      <c r="BN170" s="81"/>
      <c r="BO170" s="229">
        <f>BO66</f>
        <v>31</v>
      </c>
      <c r="BP170" s="81"/>
      <c r="BQ170" s="229">
        <f>BQ66</f>
        <v>15.9</v>
      </c>
      <c r="BR170" s="81">
        <f>IF(ISERROR((BQ170/BI170-1)*100),"NA",IF(((BQ170/BI170-1)*100)&gt;100,"NM",IF(((BQ170/BI170-1)*100)&lt;-50,"NM",(BQ170/BI170-1)*100)))</f>
        <v>18.656716417910445</v>
      </c>
      <c r="BS170" s="229">
        <f>BS66</f>
        <v>19.399999999999999</v>
      </c>
      <c r="BT170" s="81"/>
      <c r="BU170" s="229">
        <f>BU66</f>
        <v>13.8</v>
      </c>
      <c r="BV170" s="81"/>
      <c r="BW170" s="229">
        <f>BW66</f>
        <v>34.799999999999997</v>
      </c>
      <c r="BX170" s="81"/>
      <c r="BY170" s="229">
        <f>BY66</f>
        <v>14.3</v>
      </c>
      <c r="BZ170" s="81"/>
      <c r="CA170" s="229">
        <f>CA66</f>
        <v>17.100000000000001</v>
      </c>
      <c r="CB170" s="81"/>
      <c r="CC170" s="229">
        <f>CC66</f>
        <v>11.5</v>
      </c>
      <c r="CD170" s="81"/>
      <c r="CE170" s="229">
        <f>CE66</f>
        <v>37.4</v>
      </c>
      <c r="CF170" s="81"/>
      <c r="CG170" s="229">
        <f>CG66</f>
        <v>14</v>
      </c>
      <c r="CH170" s="81"/>
      <c r="CI170" s="229">
        <f>CI66</f>
        <v>17.7</v>
      </c>
      <c r="CJ170" s="81"/>
      <c r="CK170" s="229">
        <f>CK66</f>
        <v>12.4</v>
      </c>
      <c r="CL170" s="81"/>
      <c r="CM170" s="229">
        <f>CM66</f>
        <v>40.799999999999997</v>
      </c>
      <c r="CN170" s="81">
        <f>IF(ISERROR((CM170/CE170-1)*100),"NA",IF(((CM170/CE170-1)*100)&gt;100,"NM",IF(((CM170/CE170-1)*100)&lt;-50,"NM",(CM170/CE170-1)*100)))</f>
        <v>9.0909090909090828</v>
      </c>
      <c r="CO170" s="229">
        <f>CO66</f>
        <v>13.4</v>
      </c>
      <c r="CP170" s="81">
        <f>IF(ISERROR((CO170/CG170-1)*100),"NA",IF(((CO170/CG170-1)*100)&gt;100,"NM",IF(((CO170/CG170-1)*100)&lt;-50,"NM",(CO170/CG170-1)*100)))</f>
        <v>-4.2857142857142811</v>
      </c>
      <c r="CQ170" s="229">
        <f>CQ66</f>
        <v>23.6</v>
      </c>
      <c r="CR170" s="81">
        <f>IF(ISERROR((CQ170/CI170-1)*100),"NA",IF(((CQ170/CI170-1)*100)&gt;100,"NM",IF(((CQ170/CI170-1)*100)&lt;-50,"NM",(CQ170/CI170-1)*100)))</f>
        <v>33.33333333333335</v>
      </c>
      <c r="CS170" s="229">
        <f>CS66</f>
        <v>14.1</v>
      </c>
      <c r="CT170" s="81">
        <f>IF(ISERROR((CS170/CK170-1)*100),"NA",IF(((CS170/CK170-1)*100)&gt;100,"NM",IF(((CS170/CK170-1)*100)&lt;-50,"NM",(CS170/CK170-1)*100)))</f>
        <v>13.709677419354826</v>
      </c>
      <c r="CU170" s="229">
        <f>CU66</f>
        <v>46.3</v>
      </c>
      <c r="CV170" s="81">
        <f>IF(ISERROR((CU170/CM170-1)*100),"NA",IF(((CU170/CM170-1)*100)&gt;100,"NM",IF(((CU170/CM170-1)*100)&lt;-50,"NM",(CU170/CM170-1)*100)))</f>
        <v>13.480392156862742</v>
      </c>
      <c r="CW170" s="229">
        <f>CW66</f>
        <v>15.8</v>
      </c>
      <c r="CX170" s="81">
        <f>IF(ISERROR((CW170/CO170-1)*100),"NA",IF(((CW170/CO170-1)*100)&gt;100,"NM",IF(((CW170/CO170-1)*100)&lt;-50,"NM",(CW170/CO170-1)*100)))</f>
        <v>17.910447761194035</v>
      </c>
      <c r="CY170" s="229">
        <f>CY66</f>
        <v>18.7</v>
      </c>
      <c r="CZ170" s="81">
        <f>IF(ISERROR((CY170/CQ170-1)*100),"NA",IF(((CY170/CQ170-1)*100)&gt;100,"NM",IF(((CY170/CQ170-1)*100)&lt;-50,"NM",(CY170/CQ170-1)*100)))</f>
        <v>-20.762711864406789</v>
      </c>
      <c r="DA170" s="229">
        <f>DA66</f>
        <v>12.8</v>
      </c>
      <c r="DB170" s="81">
        <f>IF(ISERROR((DA170/CS170-1)*100),"NA",IF(((DA170/CS170-1)*100)&gt;100,"NM",IF(((DA170/CS170-1)*100)&lt;-50,"NM",(DA170/CS170-1)*100)))</f>
        <v>-9.2198581560283603</v>
      </c>
      <c r="DC170" s="229">
        <f>DC66</f>
        <v>54.6</v>
      </c>
      <c r="DD170" s="81">
        <f>IF(ISERROR((DC170/CU170-1)*100),"NA",IF(((DC170/CU170-1)*100)&gt;100,"NM",IF(((DC170/CU170-1)*100)&lt;-50,"NM",(DC170/CU170-1)*100)))</f>
        <v>17.926565874730027</v>
      </c>
      <c r="DE170" s="229">
        <f>DE66</f>
        <v>19.8</v>
      </c>
      <c r="DF170" s="81">
        <f>IF(ISERROR((DE170/CW170-1)*100),"NA",IF(((DE170/CW170-1)*100)&gt;100,"NM",IF(((DE170/CW170-1)*100)&lt;-50,"NM",(DE170/CW170-1)*100)))</f>
        <v>25.316455696202532</v>
      </c>
      <c r="DG170" s="229">
        <f>DG66</f>
        <v>23.3</v>
      </c>
      <c r="DH170" s="81">
        <f>IF(ISERROR((DG170/CY170-1)*100),"NA",IF(((DG170/CY170-1)*100)&gt;100,"NM",IF(((DG170/CY170-1)*100)&lt;-50,"NM",(DG170/CY170-1)*100)))</f>
        <v>24.598930481283432</v>
      </c>
      <c r="DI170" s="229">
        <f>DI66</f>
        <v>15.6</v>
      </c>
      <c r="DJ170" s="81">
        <f>IF(ISERROR((DI170/DA170-1)*100),"NA",IF(((DI170/DA170-1)*100)&gt;100,"NM",IF(((DI170/DA170-1)*100)&lt;-50,"NM",(DI170/DA170-1)*100)))</f>
        <v>21.875</v>
      </c>
      <c r="DK170" s="229">
        <f>DK66</f>
        <v>60.1</v>
      </c>
      <c r="DL170" s="81">
        <f>IF(ISERROR((DK170/DC170-1)*100),"NA",IF(((DK170/DC170-1)*100)&gt;100,"NM",IF(((DK170/DC170-1)*100)&lt;-50,"NM",(DK170/DC170-1)*100)))</f>
        <v>10.073260073260082</v>
      </c>
      <c r="DM170" s="229">
        <f>DM66</f>
        <v>24</v>
      </c>
      <c r="DN170" s="81">
        <f>IF(ISERROR((DM170/DE170-1)*100),"NA",IF(((DM170/DE170-1)*100)&gt;100,"NM",IF(((DM170/DE170-1)*100)&lt;-50,"NM",(DM170/DE170-1)*100)))</f>
        <v>21.212121212121215</v>
      </c>
      <c r="DO170" s="229">
        <f>DO66</f>
        <v>32.4</v>
      </c>
      <c r="DP170" s="81">
        <f>IF(ISERROR((DO170/DG170-1)*100),"NA",IF(((DO170/DG170-1)*100)&gt;100,"NM",IF(((DO170/DG170-1)*100)&lt;-50,"NM",(DO170/DG170-1)*100)))</f>
        <v>39.055793991416301</v>
      </c>
      <c r="DQ170" s="229">
        <f>DQ66</f>
        <v>15.2</v>
      </c>
      <c r="DR170" s="81">
        <f>IF(ISERROR((DQ170/DI170-1)*100),"NA",IF(((DQ170/DI170-1)*100)&gt;100,"NM",IF(((DQ170/DI170-1)*100)&lt;-50,"NM",(DQ170/DI170-1)*100)))</f>
        <v>-2.5641025641025661</v>
      </c>
      <c r="DS170" s="229">
        <f>DS66</f>
        <v>48.1</v>
      </c>
      <c r="DT170" s="81">
        <f>IF(ISERROR((DS170/DK170-1)*100),"NA",IF(((DS170/DK170-1)*100)&gt;100,"NM",IF(((DS170/DK170-1)*100)&lt;-50,"NM",(DS170/DK170-1)*100)))</f>
        <v>-19.966722129783697</v>
      </c>
      <c r="DU170" s="229">
        <f>DU66</f>
        <v>16.2</v>
      </c>
      <c r="DV170" s="81">
        <f>IF(ISERROR((DU170/DM170-1)*100),"NA",IF(((DU170/DM170-1)*100)&gt;100,"NM",IF(((DU170/DM170-1)*100)&lt;-50,"NM",(DU170/DM170-1)*100)))</f>
        <v>-32.500000000000007</v>
      </c>
      <c r="DW170" s="229">
        <f>DW66</f>
        <v>24.9</v>
      </c>
      <c r="DX170" s="81">
        <f>IF(ISERROR((DW170/DO170-1)*100),"NA",IF(((DW170/DO170-1)*100)&gt;100,"NM",IF(((DW170/DO170-1)*100)&lt;-50,"NM",(DW170/DO170-1)*100)))</f>
        <v>-23.148148148148152</v>
      </c>
      <c r="DY170" s="229">
        <f>DY66</f>
        <v>11.7</v>
      </c>
      <c r="DZ170" s="81">
        <f>IF(ISERROR((DY170/DQ170-1)*100),"NA",IF(((DY170/DQ170-1)*100)&gt;100,"NM",IF(((DY170/DQ170-1)*100)&lt;-50,"NM",(DY170/DQ170-1)*100)))</f>
        <v>-23.026315789473685</v>
      </c>
      <c r="EA170" s="229">
        <f>EA66</f>
        <v>61.8</v>
      </c>
      <c r="EB170" s="81">
        <f>IF(ISERROR((EA170/DS170-1)*100),"NA",IF(((EA170/DS170-1)*100)&gt;100,"NM",IF(((EA170/DS170-1)*100)&lt;-50,"NM",(EA170/DS170-1)*100)))</f>
        <v>28.482328482328477</v>
      </c>
      <c r="EC170" s="229">
        <f>EC66</f>
        <v>16.899999999999999</v>
      </c>
      <c r="ED170" s="81">
        <f t="shared" ref="ED170:ED172" si="559">IF(ISERROR((EC170/DU170-1)*100),"NA",IF(((EC170/DU170-1)*100)&gt;100,"NM",IF(((EC170/DU170-1)*100)&lt;-50,"NM",(EC170/DU170-1)*100)))</f>
        <v>4.3209876543209846</v>
      </c>
      <c r="EE170" s="229">
        <f>EE66</f>
        <v>27.4</v>
      </c>
      <c r="EF170" s="81">
        <f t="shared" ref="EF170:EF172" si="560">IF(ISERROR((EE170/DW170-1)*100),"NA",IF(((EE170/DW170-1)*100)&gt;100,"NM",IF(((EE170/DW170-1)*100)&lt;-50,"NM",(EE170/DW170-1)*100)))</f>
        <v>10.040160642570273</v>
      </c>
      <c r="EG170" s="229">
        <f>EG66</f>
        <v>20.7</v>
      </c>
      <c r="EH170" s="81">
        <f t="shared" ref="EH170:EH172" si="561">IF(ISERROR((EG170/DY170-1)*100),"NA",IF(((EG170/DY170-1)*100)&gt;100,"NM",IF(((EG170/DY170-1)*100)&lt;-50,"NM",(EG170/DY170-1)*100)))</f>
        <v>76.923076923076934</v>
      </c>
      <c r="EI170" s="229">
        <f>EI66</f>
        <v>97.5</v>
      </c>
      <c r="EJ170" s="81">
        <f t="shared" ref="EJ170:EJ172" si="562">IF(ISERROR((EI170/EA170-1)*100),"NA",IF(((EI170/EA170-1)*100)&gt;100,"NM",IF(((EI170/EA170-1)*100)&lt;-50,"NM",(EI170/EA170-1)*100)))</f>
        <v>57.766990291262132</v>
      </c>
      <c r="EK170" s="228"/>
      <c r="EL170" s="81" t="str">
        <f t="shared" ref="EL170:EL172" si="563">IF(ISERROR((EK170/EC170-1)*100),"NA",IF(((EK170/EC170-1)*100)&gt;100,"NM",IF(((EK170/EC170-1)*100)&lt;-50,"NM",(EK170/EC170-1)*100)))</f>
        <v>NM</v>
      </c>
      <c r="EM170" s="228"/>
      <c r="EN170" s="81" t="str">
        <f t="shared" ref="EN170:EN172" si="564">IF(ISERROR((EM170/EE170-1)*100),"NA",IF(((EM170/EE170-1)*100)&gt;100,"NM",IF(((EM170/EE170-1)*100)&lt;-50,"NM",(EM170/EE170-1)*100)))</f>
        <v>NM</v>
      </c>
      <c r="EO170" s="228"/>
      <c r="EP170" s="81" t="str">
        <f t="shared" ref="EP170:EP172" si="565">IF(ISERROR((EO170/EG170-1)*100),"NA",IF(((EO170/EG170-1)*100)&gt;100,"NM",IF(((EO170/EG170-1)*100)&lt;-50,"NM",(EO170/EG170-1)*100)))</f>
        <v>NM</v>
      </c>
      <c r="EQ170" s="228"/>
      <c r="ER170" s="81" t="str">
        <f t="shared" ref="ER170:ER172" si="566">IF(ISERROR((EQ170/EI170-1)*100),"NA",IF(((EQ170/EI170-1)*100)&gt;100,"NM",IF(((EQ170/EI170-1)*100)&lt;-50,"NM",(EQ170/EI170-1)*100)))</f>
        <v>NM</v>
      </c>
      <c r="ES170" s="82"/>
      <c r="ET170" s="469"/>
      <c r="EU170" s="82"/>
      <c r="EV170" s="171"/>
      <c r="EW170" s="79"/>
      <c r="EX170" s="171"/>
      <c r="EY170" s="79"/>
      <c r="EZ170" s="171"/>
      <c r="FA170" s="79"/>
      <c r="FB170" s="185"/>
      <c r="FC170" s="79"/>
      <c r="FD170" s="228">
        <f>FD66</f>
        <v>129.30000000000001</v>
      </c>
      <c r="FE170" s="79" t="str">
        <f>IF(ISERROR((FD170/FB170-1)*100),"NA",IF(((FD170/FB170-1)*100)&gt;100,"NM",IF(((FD170/FB170-1)*100)&lt;-50,"NM",(FD170/FB170-1)*100)))</f>
        <v>NA</v>
      </c>
      <c r="FF170" s="228">
        <f>FF66</f>
        <v>127.2</v>
      </c>
      <c r="FG170" s="79">
        <f>IF(ISERROR((FF170/FD170-1)*100),"NA",IF(((FF170/FD170-1)*100)&gt;100,"NM",IF(((FF170/FD170-1)*100)&lt;-50,"NM",(FF170/FD170-1)*100)))</f>
        <v>-1.6241299303944357</v>
      </c>
      <c r="FH170" s="228">
        <f>FH66</f>
        <v>79.5</v>
      </c>
      <c r="FI170" s="79">
        <f>IF(ISERROR((FH170/FF170-1)*100),"NA",IF(((FH170/FF170-1)*100)&gt;100,"NM",IF(((FH170/FF170-1)*100)&lt;-50,"NM",(FH170/FF170-1)*100)))</f>
        <v>-37.5</v>
      </c>
      <c r="FJ170" s="171"/>
      <c r="FK170" s="79" t="str">
        <f>IF(ISERROR((FJ170/FH170-1)*100),"NA",IF(((FJ170/FH170-1)*100)&gt;100,"NM",IF(((FJ170/FH170-1)*100)&lt;-50,"NM",(FJ170/FH170-1)*100)))</f>
        <v>NM</v>
      </c>
      <c r="FL170" s="171"/>
      <c r="FM170" s="79" t="str">
        <f>IF(ISERROR((FL170/FJ170-1)*100),"NA",IF(((FL170/FJ170-1)*100)&gt;100,"NM",IF(((FL170/FJ170-1)*100)&lt;-50,"NM",(FL170/FJ170-1)*100)))</f>
        <v>NA</v>
      </c>
      <c r="FN170" s="171"/>
      <c r="FO170" s="79" t="str">
        <f>IF(ISERROR((FN170/FL170-1)*100),"NA",IF(((FN170/FL170-1)*100)&gt;100,"NM",IF(((FN170/FL170-1)*100)&lt;-50,"NM",(FN170/FL170-1)*100)))</f>
        <v>NA</v>
      </c>
      <c r="FP170" s="171"/>
      <c r="FQ170" s="79" t="str">
        <f>IF(ISERROR((FP170/FN170-1)*100),"NA",IF(((FP170/FN170-1)*100)&gt;100,"NM",IF(((FP170/FN170-1)*100)&lt;-50,"NM",(FP170/FN170-1)*100)))</f>
        <v>NA</v>
      </c>
      <c r="FR170" s="228">
        <f>FR66</f>
        <v>83.899999999999991</v>
      </c>
      <c r="FS170" s="79" t="str">
        <f>IF(ISERROR((FR170/FP170-1)*100),"NA",IF(((FR170/FP170-1)*100)&gt;100,"NM",IF(((FR170/FP170-1)*100)&lt;-50,"NM",(FR170/FP170-1)*100)))</f>
        <v>NA</v>
      </c>
      <c r="FT170" s="228">
        <f>FT66</f>
        <v>80.300000000000011</v>
      </c>
      <c r="FU170" s="79">
        <f>IF(ISERROR((FT170/FR170-1)*100),"NA",IF(((FT170/FR170-1)*100)&gt;100,"NM",IF(((FT170/FR170-1)*100)&lt;-50,"NM",(FT170/FR170-1)*100)))</f>
        <v>-4.2908224076281032</v>
      </c>
      <c r="FV170" s="229">
        <f>FV66</f>
        <v>84.9</v>
      </c>
      <c r="FW170" s="79">
        <f>IF(ISERROR((FV170/FT170-1)*100),"NA",IF(((FV170/FT170-1)*100)&gt;100,"NM",IF(((FV170/FT170-1)*100)&lt;-50,"NM",(FV170/FT170-1)*100)))</f>
        <v>5.7285180572851813</v>
      </c>
      <c r="FX170" s="229">
        <f>FX66</f>
        <v>97.4</v>
      </c>
      <c r="FY170" s="79">
        <f>IF(ISERROR((FX170/FV170-1)*100),"NA",IF(((FX170/FV170-1)*100)&gt;100,"NM",IF(((FX170/FV170-1)*100)&lt;-50,"NM",(FX170/FV170-1)*100)))</f>
        <v>14.723203769140159</v>
      </c>
      <c r="FZ170" s="229">
        <f>FZ66</f>
        <v>101.9</v>
      </c>
      <c r="GA170" s="79">
        <f>IF(ISERROR((FZ170/FX170-1)*100),"NA",IF(((FZ170/FX170-1)*100)&gt;100,"NM",IF(((FZ170/FX170-1)*100)&lt;-50,"NM",(FZ170/FX170-1)*100)))</f>
        <v>4.62012320328542</v>
      </c>
      <c r="GB170" s="229">
        <f>DE170+DG170+DI170+DK170</f>
        <v>118.80000000000001</v>
      </c>
      <c r="GC170" s="79">
        <f>IF(ISERROR((GB170/FZ170-1)*100),"NA",IF(((GB170/FZ170-1)*100)&gt;100,"NM",IF(((GB170/FZ170-1)*100)&lt;-50,"NM",(GB170/FZ170-1)*100)))</f>
        <v>16.584887144259074</v>
      </c>
      <c r="GD170" s="229">
        <f>DS170+DQ170+DO170+DM170</f>
        <v>119.69999999999999</v>
      </c>
      <c r="GE170" s="79">
        <f>IF(ISERROR((GD170/GB170-1)*100),"NA",IF(((GD170/GB170-1)*100)&gt;100,"NM",IF(((GD170/GB170-1)*100)&lt;-50,"NM",(GD170/GB170-1)*100)))</f>
        <v>0.7575757575757347</v>
      </c>
      <c r="GF170" s="229">
        <f>DU170+DW170+DY170+EA170</f>
        <v>114.6</v>
      </c>
      <c r="GG170" s="79">
        <f>IF(ISERROR((GF170/GD170-1)*100),"NA",IF(((GF170/GD170-1)*100)&gt;100,"NM",IF(((GF170/GD170-1)*100)&lt;-50,"NM",(GF170/GD170-1)*100)))</f>
        <v>-4.2606516290726759</v>
      </c>
      <c r="GH170" s="229">
        <f>EC170+EE170+EG170+EI170</f>
        <v>162.5</v>
      </c>
      <c r="GI170" s="79">
        <f>IF(ISERROR((GH170/GF170-1)*100),"NA",IF(((GH170/GF170-1)*100)&gt;100,"NM",IF(((GH170/GF170-1)*100)&lt;-50,"NM",(GH170/GF170-1)*100)))</f>
        <v>41.797556719022701</v>
      </c>
      <c r="GJ170" s="228"/>
      <c r="GK170" s="79" t="str">
        <f>IF(ISERROR((GJ170/GH170-1)*100),"NA",IF(((GJ170/GH170-1)*100)&gt;100,"NM",IF(((GJ170/GH170-1)*100)&lt;-50,"NM",(GJ170/GH170-1)*100)))</f>
        <v>NM</v>
      </c>
      <c r="GL170" s="228"/>
      <c r="GM170" s="79" t="str">
        <f>IF(ISERROR((GL170/GJ170-1)*100),"NA",IF(((GL170/GJ170-1)*100)&gt;100,"NM",IF(((GL170/GJ170-1)*100)&lt;-50,"NM",(GL170/GJ170-1)*100)))</f>
        <v>NA</v>
      </c>
      <c r="GN170" s="228"/>
      <c r="GO170" s="79" t="str">
        <f>IF(ISERROR((GN170/GL170-1)*100),"NA",IF(((GN170/GL170-1)*100)&gt;100,"NM",IF(((GN170/GL170-1)*100)&lt;-50,"NM",(GN170/GL170-1)*100)))</f>
        <v>NA</v>
      </c>
      <c r="GP170" s="228"/>
      <c r="GQ170" s="79" t="str">
        <f>IF(ISERROR((GP170/GN170-1)*100),"NA",IF(((GP170/GN170-1)*100)&gt;100,"NM",IF(((GP170/GN170-1)*100)&lt;-50,"NM",(GP170/GN170-1)*100)))</f>
        <v>NA</v>
      </c>
      <c r="GR170" s="228"/>
      <c r="GS170" s="79" t="str">
        <f>IF(ISERROR((GR170/GP170-1)*100),"NA",IF(((GR170/GP170-1)*100)&gt;100,"NM",IF(((GR170/GP170-1)*100)&lt;-50,"NM",(GR170/GP170-1)*100)))</f>
        <v>NA</v>
      </c>
      <c r="GT170" s="79"/>
    </row>
    <row r="171" spans="1:286" ht="12.75" customHeight="1" x14ac:dyDescent="0.2">
      <c r="A171" s="1"/>
      <c r="B171" s="2" t="str">
        <f>B67</f>
        <v xml:space="preserve">  STD ASO Premium Equivalent</v>
      </c>
      <c r="C171" s="171"/>
      <c r="D171" s="171"/>
      <c r="E171" s="171"/>
      <c r="F171" s="171"/>
      <c r="G171" s="171"/>
      <c r="H171" s="171"/>
      <c r="I171" s="171"/>
      <c r="J171" s="171"/>
      <c r="K171" s="171"/>
      <c r="L171" s="79"/>
      <c r="M171" s="171"/>
      <c r="N171" s="79"/>
      <c r="O171" s="171"/>
      <c r="P171" s="79"/>
      <c r="Q171" s="171"/>
      <c r="R171" s="79"/>
      <c r="S171" s="171"/>
      <c r="T171" s="79"/>
      <c r="U171" s="171"/>
      <c r="V171" s="79"/>
      <c r="W171" s="171"/>
      <c r="X171" s="79"/>
      <c r="Y171" s="171"/>
      <c r="Z171" s="79"/>
      <c r="AA171" s="172"/>
      <c r="AB171" s="79"/>
      <c r="AC171" s="228">
        <f>AC67</f>
        <v>1.6</v>
      </c>
      <c r="AD171" s="79" t="str">
        <f>IF(ISERROR((AC171/U171-1)*100),"NA",IF(((AC171/U171-1)*100)&gt;100,"NM",IF(((AC171/U171-1)*100)&lt;-50,"NM",(AC171/U171-1)*100)))</f>
        <v>NA</v>
      </c>
      <c r="AE171" s="228">
        <f>AE67</f>
        <v>0.9</v>
      </c>
      <c r="AF171" s="79" t="str">
        <f>IF(ISERROR((AE171/W171-1)*100),"NA",IF(((AE171/W171-1)*100)&gt;100,"NM",IF(((AE171/W171-1)*100)&lt;-50,"NM",(AE171/W171-1)*100)))</f>
        <v>NA</v>
      </c>
      <c r="AG171" s="228">
        <f>AG67</f>
        <v>0.9</v>
      </c>
      <c r="AH171" s="79" t="str">
        <f>IF(ISERROR((AG171/Y171-1)*100),"NA",IF(((AG171/Y171-1)*100)&gt;100,"NM",IF(((AG171/Y171-1)*100)&lt;-50,"NM",(AG171/Y171-1)*100)))</f>
        <v>NA</v>
      </c>
      <c r="AI171" s="228">
        <f>AI67</f>
        <v>3.899999999999999</v>
      </c>
      <c r="AJ171" s="79" t="str">
        <f>IF(ISERROR((AI171/AA171-1)*100),"NA",IF(((AI171/AA171-1)*100)&gt;100,"NM",IF(((AI171/AA171-1)*100)&lt;-50,"NM",(AI171/AA171-1)*100)))</f>
        <v>NA</v>
      </c>
      <c r="AK171" s="228">
        <f>AK67</f>
        <v>0.7</v>
      </c>
      <c r="AL171" s="79" t="str">
        <f>IF(ISERROR((AK171/AC171-1)*100),"NA",IF(((AK171/AC171-1)*100)&gt;100,"NM",IF(((AK171/AC171-1)*100)&lt;-50,"NM",(AK171/AC171-1)*100)))</f>
        <v>NM</v>
      </c>
      <c r="AM171" s="228">
        <f>AM67</f>
        <v>0.7</v>
      </c>
      <c r="AN171" s="79">
        <f t="shared" si="558"/>
        <v>-22.222222222222232</v>
      </c>
      <c r="AO171" s="228">
        <f>AO67</f>
        <v>0.8</v>
      </c>
      <c r="AP171" s="79">
        <f t="shared" si="558"/>
        <v>-11.111111111111105</v>
      </c>
      <c r="AQ171" s="228">
        <f>AQ67</f>
        <v>3.6</v>
      </c>
      <c r="AR171" s="79">
        <f t="shared" si="558"/>
        <v>-7.692307692307665</v>
      </c>
      <c r="AS171" s="229">
        <f>AS67</f>
        <v>1.3</v>
      </c>
      <c r="AT171" s="81">
        <f t="shared" si="558"/>
        <v>85.714285714285737</v>
      </c>
      <c r="AU171" s="229">
        <f>AU67</f>
        <v>1.9</v>
      </c>
      <c r="AV171" s="81" t="str">
        <f t="shared" si="558"/>
        <v>NM</v>
      </c>
      <c r="AW171" s="229">
        <f>AW67</f>
        <v>0.4</v>
      </c>
      <c r="AX171" s="81">
        <f t="shared" si="558"/>
        <v>-50</v>
      </c>
      <c r="AY171" s="229">
        <f>AY67</f>
        <v>6.4</v>
      </c>
      <c r="AZ171" s="81">
        <f t="shared" si="558"/>
        <v>77.777777777777786</v>
      </c>
      <c r="BA171" s="229">
        <f>BA67</f>
        <v>0.7</v>
      </c>
      <c r="BB171" s="81">
        <f t="shared" si="558"/>
        <v>-46.153846153846153</v>
      </c>
      <c r="BC171" s="229">
        <f>BC67</f>
        <v>0.8</v>
      </c>
      <c r="BD171" s="81" t="str">
        <f t="shared" si="558"/>
        <v>NM</v>
      </c>
      <c r="BE171" s="229">
        <f>BE67</f>
        <v>1.5</v>
      </c>
      <c r="BF171" s="81" t="str">
        <f>IF(ISERROR((BE171/AW171-1)*100),"NA",IF(((BE171/AW171-1)*100)&gt;100,"NM",IF(((BE171/AW171-1)*100)&lt;-50,"NM",(BE171/AW171-1)*100)))</f>
        <v>NM</v>
      </c>
      <c r="BG171" s="229">
        <f>BG67</f>
        <v>2.6</v>
      </c>
      <c r="BH171" s="81" t="str">
        <f t="shared" si="556"/>
        <v>NM</v>
      </c>
      <c r="BI171" s="229">
        <f>BI67</f>
        <v>1.2</v>
      </c>
      <c r="BJ171" s="81">
        <f t="shared" si="557"/>
        <v>71.428571428571445</v>
      </c>
      <c r="BK171" s="229">
        <f>BK67</f>
        <v>1.7</v>
      </c>
      <c r="BL171" s="81" t="str">
        <f t="shared" si="545"/>
        <v>NM</v>
      </c>
      <c r="BM171" s="229">
        <f>BM67</f>
        <v>0.5</v>
      </c>
      <c r="BN171" s="81"/>
      <c r="BO171" s="229">
        <f>BO67</f>
        <v>3.7</v>
      </c>
      <c r="BP171" s="81"/>
      <c r="BQ171" s="229">
        <f>BQ67</f>
        <v>0.7</v>
      </c>
      <c r="BR171" s="81">
        <f>IF(ISERROR((BQ171/BI171-1)*100),"NA",IF(((BQ171/BI171-1)*100)&gt;100,"NM",IF(((BQ171/BI171-1)*100)&lt;-50,"NM",(BQ171/BI171-1)*100)))</f>
        <v>-41.666666666666664</v>
      </c>
      <c r="BS171" s="229">
        <f>BS67</f>
        <v>2.2000000000000002</v>
      </c>
      <c r="BT171" s="81"/>
      <c r="BU171" s="229">
        <f>BU67</f>
        <v>0.3</v>
      </c>
      <c r="BV171" s="81"/>
      <c r="BW171" s="229">
        <f>BW67</f>
        <v>4.5</v>
      </c>
      <c r="BX171" s="81"/>
      <c r="BY171" s="229">
        <f>BY67</f>
        <v>0.6</v>
      </c>
      <c r="BZ171" s="81"/>
      <c r="CA171" s="229">
        <f>CA67</f>
        <v>1.1000000000000001</v>
      </c>
      <c r="CB171" s="81"/>
      <c r="CC171" s="229">
        <f>CC67</f>
        <v>0.1</v>
      </c>
      <c r="CD171" s="81"/>
      <c r="CE171" s="229">
        <f>CE67</f>
        <v>4.5</v>
      </c>
      <c r="CF171" s="81"/>
      <c r="CG171" s="229">
        <f>CG67</f>
        <v>1.4</v>
      </c>
      <c r="CH171" s="81"/>
      <c r="CI171" s="229">
        <f>CI67</f>
        <v>1.2</v>
      </c>
      <c r="CJ171" s="81"/>
      <c r="CK171" s="229">
        <f>CK67</f>
        <v>0</v>
      </c>
      <c r="CL171" s="81"/>
      <c r="CM171" s="229">
        <f>CM67</f>
        <v>3.4</v>
      </c>
      <c r="CN171" s="81">
        <f>IF(ISERROR((CM171/CE171-1)*100),"NA",IF(((CM171/CE171-1)*100)&gt;100,"NM",IF(((CM171/CE171-1)*100)&lt;-50,"NM",(CM171/CE171-1)*100)))</f>
        <v>-24.444444444444446</v>
      </c>
      <c r="CO171" s="229">
        <f>CO67</f>
        <v>0.6</v>
      </c>
      <c r="CP171" s="81" t="str">
        <f>IF(ISERROR((CO171/CG171-1)*100),"NA",IF(((CO171/CG171-1)*100)&gt;100,"NM",IF(((CO171/CG171-1)*100)&lt;-50,"NM",(CO171/CG171-1)*100)))</f>
        <v>NM</v>
      </c>
      <c r="CQ171" s="229">
        <f>CQ67</f>
        <v>0</v>
      </c>
      <c r="CR171" s="81" t="str">
        <f>IF(ISERROR((CQ171/CI171-1)*100),"NA",IF(((CQ171/CI171-1)*100)&gt;100,"NM",IF(((CQ171/CI171-1)*100)&lt;-50,"NM",(CQ171/CI171-1)*100)))</f>
        <v>NM</v>
      </c>
      <c r="CS171" s="229">
        <f>CS67</f>
        <v>0</v>
      </c>
      <c r="CT171" s="81" t="str">
        <f>IF(ISERROR((CS171/CK171-1)*100),"NA",IF(((CS171/CK171-1)*100)&gt;100,"NM",IF(((CS171/CK171-1)*100)&lt;-50,"NM",(CS171/CK171-1)*100)))</f>
        <v>NA</v>
      </c>
      <c r="CU171" s="229">
        <f>CU67</f>
        <v>0</v>
      </c>
      <c r="CV171" s="81" t="str">
        <f>IF(ISERROR((CU171/CM171-1)*100),"NA",IF(((CU171/CM171-1)*100)&gt;100,"NM",IF(((CU171/CM171-1)*100)&lt;-50,"NM",(CU171/CM171-1)*100)))</f>
        <v>NM</v>
      </c>
      <c r="CW171" s="229">
        <f>CW67</f>
        <v>0</v>
      </c>
      <c r="CX171" s="81" t="str">
        <f>IF(ISERROR((CW171/CO171-1)*100),"NA",IF(((CW171/CO171-1)*100)&gt;100,"NM",IF(((CW171/CO171-1)*100)&lt;-50,"NM",(CW171/CO171-1)*100)))</f>
        <v>NM</v>
      </c>
      <c r="CY171" s="229">
        <f>CY67</f>
        <v>0</v>
      </c>
      <c r="CZ171" s="81" t="str">
        <f>IF(ISERROR((CY171/CQ171-1)*100),"NA",IF(((CY171/CQ171-1)*100)&gt;100,"NM",IF(((CY171/CQ171-1)*100)&lt;-50,"NM",(CY171/CQ171-1)*100)))</f>
        <v>NA</v>
      </c>
      <c r="DA171" s="229">
        <f>DA67</f>
        <v>0</v>
      </c>
      <c r="DB171" s="81" t="str">
        <f>IF(ISERROR((DA171/CS171-1)*100),"NA",IF(((DA171/CS171-1)*100)&gt;100,"NM",IF(((DA171/CS171-1)*100)&lt;-50,"NM",(DA171/CS171-1)*100)))</f>
        <v>NA</v>
      </c>
      <c r="DC171" s="229">
        <f>DC67</f>
        <v>0</v>
      </c>
      <c r="DD171" s="81" t="str">
        <f>IF(ISERROR((DC171/CU171-1)*100),"NA",IF(((DC171/CU171-1)*100)&gt;100,"NM",IF(((DC171/CU171-1)*100)&lt;-50,"NM",(DC171/CU171-1)*100)))</f>
        <v>NA</v>
      </c>
      <c r="DE171" s="229">
        <f>DE67</f>
        <v>0</v>
      </c>
      <c r="DF171" s="81" t="str">
        <f>IF(ISERROR((DE171/CW171-1)*100),"NA",IF(((DE171/CW171-1)*100)&gt;100,"NM",IF(((DE171/CW171-1)*100)&lt;-50,"NM",(DE171/CW171-1)*100)))</f>
        <v>NA</v>
      </c>
      <c r="DG171" s="229">
        <f>DG67</f>
        <v>0</v>
      </c>
      <c r="DH171" s="81" t="str">
        <f>IF(ISERROR((DG171/CY171-1)*100),"NA",IF(((DG171/CY171-1)*100)&gt;100,"NM",IF(((DG171/CY171-1)*100)&lt;-50,"NM",(DG171/CY171-1)*100)))</f>
        <v>NA</v>
      </c>
      <c r="DI171" s="229">
        <f>DI67</f>
        <v>0</v>
      </c>
      <c r="DJ171" s="81" t="str">
        <f>IF(ISERROR((DI171/DA171-1)*100),"NA",IF(((DI171/DA171-1)*100)&gt;100,"NM",IF(((DI171/DA171-1)*100)&lt;-50,"NM",(DI171/DA171-1)*100)))</f>
        <v>NA</v>
      </c>
      <c r="DK171" s="229">
        <f>DK67</f>
        <v>0</v>
      </c>
      <c r="DL171" s="81" t="str">
        <f>IF(ISERROR((DK171/DC171-1)*100),"NA",IF(((DK171/DC171-1)*100)&gt;100,"NM",IF(((DK171/DC171-1)*100)&lt;-50,"NM",(DK171/DC171-1)*100)))</f>
        <v>NA</v>
      </c>
      <c r="DM171" s="229">
        <f>DM67</f>
        <v>0</v>
      </c>
      <c r="DN171" s="81" t="str">
        <f>IF(ISERROR((DM171/DE171-1)*100),"NA",IF(((DM171/DE171-1)*100)&gt;100,"NM",IF(((DM171/DE171-1)*100)&lt;-50,"NM",(DM171/DE171-1)*100)))</f>
        <v>NA</v>
      </c>
      <c r="DO171" s="229">
        <f>DO67</f>
        <v>0</v>
      </c>
      <c r="DP171" s="81" t="str">
        <f>IF(ISERROR((DO171/DG171-1)*100),"NA",IF(((DO171/DG171-1)*100)&gt;100,"NM",IF(((DO171/DG171-1)*100)&lt;-50,"NM",(DO171/DG171-1)*100)))</f>
        <v>NA</v>
      </c>
      <c r="DQ171" s="229">
        <f>DQ67</f>
        <v>0</v>
      </c>
      <c r="DR171" s="81" t="str">
        <f>IF(ISERROR((DQ171/DI171-1)*100),"NA",IF(((DQ171/DI171-1)*100)&gt;100,"NM",IF(((DQ171/DI171-1)*100)&lt;-50,"NM",(DQ171/DI171-1)*100)))</f>
        <v>NA</v>
      </c>
      <c r="DS171" s="229">
        <f>DS67</f>
        <v>0</v>
      </c>
      <c r="DT171" s="81" t="str">
        <f>IF(ISERROR((DS171/DK171-1)*100),"NA",IF(((DS171/DK171-1)*100)&gt;100,"NM",IF(((DS171/DK171-1)*100)&lt;-50,"NM",(DS171/DK171-1)*100)))</f>
        <v>NA</v>
      </c>
      <c r="DU171" s="229">
        <f>DU67</f>
        <v>0</v>
      </c>
      <c r="DV171" s="81" t="str">
        <f>IF(ISERROR((DU171/DM171-1)*100),"NA",IF(((DU171/DM171-1)*100)&gt;100,"NM",IF(((DU171/DM171-1)*100)&lt;-50,"NM",(DU171/DM171-1)*100)))</f>
        <v>NA</v>
      </c>
      <c r="DW171" s="229">
        <f>DW67</f>
        <v>0</v>
      </c>
      <c r="DX171" s="81" t="str">
        <f>IF(ISERROR((DW171/DO171-1)*100),"NA",IF(((DW171/DO171-1)*100)&gt;100,"NM",IF(((DW171/DO171-1)*100)&lt;-50,"NM",(DW171/DO171-1)*100)))</f>
        <v>NA</v>
      </c>
      <c r="DY171" s="229">
        <f>DY67</f>
        <v>0</v>
      </c>
      <c r="DZ171" s="81" t="str">
        <f>IF(ISERROR((DY171/DQ171-1)*100),"NA",IF(((DY171/DQ171-1)*100)&gt;100,"NM",IF(((DY171/DQ171-1)*100)&lt;-50,"NM",(DY171/DQ171-1)*100)))</f>
        <v>NA</v>
      </c>
      <c r="EA171" s="229">
        <f>EA67</f>
        <v>0</v>
      </c>
      <c r="EB171" s="81" t="str">
        <f>IF(ISERROR((EA171/DS171-1)*100),"NA",IF(((EA171/DS171-1)*100)&gt;100,"NM",IF(((EA171/DS171-1)*100)&lt;-50,"NM",(EA171/DS171-1)*100)))</f>
        <v>NA</v>
      </c>
      <c r="EC171" s="229">
        <f>EC67</f>
        <v>0</v>
      </c>
      <c r="ED171" s="81" t="str">
        <f t="shared" si="559"/>
        <v>NA</v>
      </c>
      <c r="EE171" s="229">
        <f>EE67</f>
        <v>0</v>
      </c>
      <c r="EF171" s="81" t="str">
        <f t="shared" si="560"/>
        <v>NA</v>
      </c>
      <c r="EG171" s="229">
        <f>EG67</f>
        <v>0</v>
      </c>
      <c r="EH171" s="81" t="str">
        <f t="shared" si="561"/>
        <v>NA</v>
      </c>
      <c r="EI171" s="229">
        <f>EI67</f>
        <v>0</v>
      </c>
      <c r="EJ171" s="81" t="str">
        <f t="shared" si="562"/>
        <v>NA</v>
      </c>
      <c r="EK171" s="228"/>
      <c r="EL171" s="81" t="str">
        <f t="shared" si="563"/>
        <v>NA</v>
      </c>
      <c r="EM171" s="228"/>
      <c r="EN171" s="81" t="str">
        <f t="shared" si="564"/>
        <v>NA</v>
      </c>
      <c r="EO171" s="228"/>
      <c r="EP171" s="81" t="str">
        <f t="shared" si="565"/>
        <v>NA</v>
      </c>
      <c r="EQ171" s="228"/>
      <c r="ER171" s="81" t="str">
        <f t="shared" si="566"/>
        <v>NA</v>
      </c>
      <c r="ES171" s="82"/>
      <c r="ET171" s="469"/>
      <c r="EU171" s="82"/>
      <c r="EV171" s="171"/>
      <c r="EW171" s="79"/>
      <c r="EX171" s="171"/>
      <c r="EY171" s="79"/>
      <c r="EZ171" s="171"/>
      <c r="FA171" s="79"/>
      <c r="FB171" s="185"/>
      <c r="FC171" s="79"/>
      <c r="FD171" s="228">
        <f>FD67</f>
        <v>20.2</v>
      </c>
      <c r="FE171" s="79" t="str">
        <f>IF(ISERROR((FD171/FB171-1)*100),"NA",IF(((FD171/FB171-1)*100)&gt;100,"NM",IF(((FD171/FB171-1)*100)&lt;-50,"NM",(FD171/FB171-1)*100)))</f>
        <v>NA</v>
      </c>
      <c r="FF171" s="228">
        <f>FF67</f>
        <v>14.4</v>
      </c>
      <c r="FG171" s="79">
        <f>IF(ISERROR((FF171/FD171-1)*100),"NA",IF(((FF171/FD171-1)*100)&gt;100,"NM",IF(((FF171/FD171-1)*100)&lt;-50,"NM",(FF171/FD171-1)*100)))</f>
        <v>-28.712871287128706</v>
      </c>
      <c r="FH171" s="228">
        <f>FH67</f>
        <v>7.3</v>
      </c>
      <c r="FI171" s="79">
        <f>IF(ISERROR((FH171/FF171-1)*100),"NA",IF(((FH171/FF171-1)*100)&gt;100,"NM",IF(((FH171/FF171-1)*100)&lt;-50,"NM",(FH171/FF171-1)*100)))</f>
        <v>-49.305555555555557</v>
      </c>
      <c r="FJ171" s="171"/>
      <c r="FK171" s="79" t="str">
        <f>IF(ISERROR((FJ171/FH171-1)*100),"NA",IF(((FJ171/FH171-1)*100)&gt;100,"NM",IF(((FJ171/FH171-1)*100)&lt;-50,"NM",(FJ171/FH171-1)*100)))</f>
        <v>NM</v>
      </c>
      <c r="FL171" s="171"/>
      <c r="FM171" s="79" t="str">
        <f>IF(ISERROR((FL171/FJ171-1)*100),"NA",IF(((FL171/FJ171-1)*100)&gt;100,"NM",IF(((FL171/FJ171-1)*100)&lt;-50,"NM",(FL171/FJ171-1)*100)))</f>
        <v>NA</v>
      </c>
      <c r="FN171" s="171"/>
      <c r="FO171" s="79" t="str">
        <f>IF(ISERROR((FN171/FL171-1)*100),"NA",IF(((FN171/FL171-1)*100)&gt;100,"NM",IF(((FN171/FL171-1)*100)&lt;-50,"NM",(FN171/FL171-1)*100)))</f>
        <v>NA</v>
      </c>
      <c r="FP171" s="171"/>
      <c r="FQ171" s="79" t="str">
        <f>IF(ISERROR((FP171/FN171-1)*100),"NA",IF(((FP171/FN171-1)*100)&gt;100,"NM",IF(((FP171/FN171-1)*100)&lt;-50,"NM",(FP171/FN171-1)*100)))</f>
        <v>NA</v>
      </c>
      <c r="FR171" s="228">
        <f>FR67</f>
        <v>7.7</v>
      </c>
      <c r="FS171" s="79" t="str">
        <f>IF(ISERROR((FR171/FP171-1)*100),"NA",IF(((FR171/FP171-1)*100)&gt;100,"NM",IF(((FR171/FP171-1)*100)&lt;-50,"NM",(FR171/FP171-1)*100)))</f>
        <v>NA</v>
      </c>
      <c r="FT171" s="228">
        <f>FT67</f>
        <v>6.3000000000000007</v>
      </c>
      <c r="FU171" s="79">
        <f>IF(ISERROR((FT171/FR171-1)*100),"NA",IF(((FT171/FR171-1)*100)&gt;100,"NM",IF(((FT171/FR171-1)*100)&lt;-50,"NM",(FT171/FR171-1)*100)))</f>
        <v>-18.181818181818176</v>
      </c>
      <c r="FV171" s="229">
        <f>FV67</f>
        <v>6</v>
      </c>
      <c r="FW171" s="79">
        <f>IF(ISERROR((FV171/FT171-1)*100),"NA",IF(((FV171/FT171-1)*100)&gt;100,"NM",IF(((FV171/FT171-1)*100)&lt;-50,"NM",(FV171/FT171-1)*100)))</f>
        <v>-4.7619047619047672</v>
      </c>
      <c r="FX171" s="229">
        <f>FX67</f>
        <v>0.6</v>
      </c>
      <c r="FY171" s="79" t="str">
        <f>IF(ISERROR((FX171/FV171-1)*100),"NA",IF(((FX171/FV171-1)*100)&gt;100,"NM",IF(((FX171/FV171-1)*100)&lt;-50,"NM",(FX171/FV171-1)*100)))</f>
        <v>NM</v>
      </c>
      <c r="FZ171" s="229">
        <f>FZ67</f>
        <v>0</v>
      </c>
      <c r="GA171" s="79" t="str">
        <f>IF(ISERROR((FZ171/FX171-1)*100),"NA",IF(((FZ171/FX171-1)*100)&gt;100,"NM",IF(((FZ171/FX171-1)*100)&lt;-50,"NM",(FZ171/FX171-1)*100)))</f>
        <v>NM</v>
      </c>
      <c r="GB171" s="229">
        <f>DE171+DG171+DI171+DK171</f>
        <v>0</v>
      </c>
      <c r="GC171" s="79" t="str">
        <f>IF(ISERROR((GB171/FZ171-1)*100),"NA",IF(((GB171/FZ171-1)*100)&gt;100,"NM",IF(((GB171/FZ171-1)*100)&lt;-50,"NM",(GB171/FZ171-1)*100)))</f>
        <v>NA</v>
      </c>
      <c r="GD171" s="229">
        <f>DS171+DQ171+DO171+DM171</f>
        <v>0</v>
      </c>
      <c r="GE171" s="79" t="str">
        <f>IF(ISERROR((GD171/GB171-1)*100),"NA",IF(((GD171/GB171-1)*100)&gt;100,"NM",IF(((GD171/GB171-1)*100)&lt;-50,"NM",(GD171/GB171-1)*100)))</f>
        <v>NA</v>
      </c>
      <c r="GF171" s="229">
        <f>DU171+DW171+DY171+EA171</f>
        <v>0</v>
      </c>
      <c r="GG171" s="79" t="str">
        <f>IF(ISERROR((GF171/GD171-1)*100),"NA",IF(((GF171/GD171-1)*100)&gt;100,"NM",IF(((GF171/GD171-1)*100)&lt;-50,"NM",(GF171/GD171-1)*100)))</f>
        <v>NA</v>
      </c>
      <c r="GH171" s="229">
        <f>EC171+EE171+EG171+EI171</f>
        <v>0</v>
      </c>
      <c r="GI171" s="79" t="str">
        <f>IF(ISERROR((GH171/GF171-1)*100),"NA",IF(((GH171/GF171-1)*100)&gt;100,"NM",IF(((GH171/GF171-1)*100)&lt;-50,"NM",(GH171/GF171-1)*100)))</f>
        <v>NA</v>
      </c>
      <c r="GJ171" s="228"/>
      <c r="GK171" s="79" t="str">
        <f>IF(ISERROR((GJ171/GH171-1)*100),"NA",IF(((GJ171/GH171-1)*100)&gt;100,"NM",IF(((GJ171/GH171-1)*100)&lt;-50,"NM",(GJ171/GH171-1)*100)))</f>
        <v>NA</v>
      </c>
      <c r="GL171" s="228"/>
      <c r="GM171" s="79" t="str">
        <f>IF(ISERROR((GL171/GJ171-1)*100),"NA",IF(((GL171/GJ171-1)*100)&gt;100,"NM",IF(((GL171/GJ171-1)*100)&lt;-50,"NM",(GL171/GJ171-1)*100)))</f>
        <v>NA</v>
      </c>
      <c r="GN171" s="228"/>
      <c r="GO171" s="79" t="str">
        <f>IF(ISERROR((GN171/GL171-1)*100),"NA",IF(((GN171/GL171-1)*100)&gt;100,"NM",IF(((GN171/GL171-1)*100)&lt;-50,"NM",(GN171/GL171-1)*100)))</f>
        <v>NA</v>
      </c>
      <c r="GP171" s="228"/>
      <c r="GQ171" s="79" t="str">
        <f>IF(ISERROR((GP171/GN171-1)*100),"NA",IF(((GP171/GN171-1)*100)&gt;100,"NM",IF(((GP171/GN171-1)*100)&lt;-50,"NM",(GP171/GN171-1)*100)))</f>
        <v>NA</v>
      </c>
      <c r="GR171" s="228"/>
      <c r="GS171" s="79" t="str">
        <f>IF(ISERROR((GR171/GP171-1)*100),"NA",IF(((GR171/GP171-1)*100)&gt;100,"NM",IF(((GR171/GP171-1)*100)&lt;-50,"NM",(GR171/GP171-1)*100)))</f>
        <v>NA</v>
      </c>
      <c r="GT171" s="79"/>
    </row>
    <row r="172" spans="1:286" s="83" customFormat="1" ht="12.75" customHeight="1" x14ac:dyDescent="0.2">
      <c r="A172" s="77"/>
      <c r="B172" s="68" t="str">
        <f>B68</f>
        <v>Group Short Term Income Protection</v>
      </c>
      <c r="C172" s="219"/>
      <c r="D172" s="219"/>
      <c r="E172" s="219"/>
      <c r="F172" s="219"/>
      <c r="G172" s="219"/>
      <c r="H172" s="219"/>
      <c r="I172" s="219"/>
      <c r="J172" s="219"/>
      <c r="K172" s="219"/>
      <c r="L172" s="140"/>
      <c r="M172" s="219"/>
      <c r="N172" s="79"/>
      <c r="O172" s="219"/>
      <c r="P172" s="79"/>
      <c r="Q172" s="219"/>
      <c r="R172" s="79"/>
      <c r="S172" s="219"/>
      <c r="T172" s="79"/>
      <c r="U172" s="219"/>
      <c r="V172" s="79"/>
      <c r="W172" s="219"/>
      <c r="X172" s="79"/>
      <c r="Y172" s="219"/>
      <c r="Z172" s="79"/>
      <c r="AA172" s="233"/>
      <c r="AB172" s="79"/>
      <c r="AC172" s="234">
        <f>AC68</f>
        <v>27.3</v>
      </c>
      <c r="AD172" s="79" t="str">
        <f>IF(ISERROR((AC172/U172-1)*100),"NA",IF(((AC172/U172-1)*100)&gt;100,"NM",IF(((AC172/U172-1)*100)&lt;-50,"NM",(AC172/U172-1)*100)))</f>
        <v>NA</v>
      </c>
      <c r="AE172" s="234">
        <f>AE68</f>
        <v>17.799999999999997</v>
      </c>
      <c r="AF172" s="79" t="str">
        <f>IF(ISERROR((AE172/W172-1)*100),"NA",IF(((AE172/W172-1)*100)&gt;100,"NM",IF(((AE172/W172-1)*100)&lt;-50,"NM",(AE172/W172-1)*100)))</f>
        <v>NA</v>
      </c>
      <c r="AG172" s="234">
        <f>AG68</f>
        <v>9.2000000000000011</v>
      </c>
      <c r="AH172" s="79" t="str">
        <f>IF(ISERROR((AG172/Y172-1)*100),"NA",IF(((AG172/Y172-1)*100)&gt;100,"NM",IF(((AG172/Y172-1)*100)&lt;-50,"NM",(AG172/Y172-1)*100)))</f>
        <v>NA</v>
      </c>
      <c r="AI172" s="234">
        <f>AI68</f>
        <v>32.500000000000007</v>
      </c>
      <c r="AJ172" s="79" t="str">
        <f>IF(ISERROR((AI172/AA172-1)*100),"NA",IF(((AI172/AA172-1)*100)&gt;100,"NM",IF(((AI172/AA172-1)*100)&lt;-50,"NM",(AI172/AA172-1)*100)))</f>
        <v>NA</v>
      </c>
      <c r="AK172" s="234">
        <f>AK68</f>
        <v>16.7</v>
      </c>
      <c r="AL172" s="79">
        <f>IF(ISERROR((AK172/AC172-1)*100),"NA",IF(((AK172/AC172-1)*100)&gt;100,"NM",IF(((AK172/AC172-1)*100)&lt;-50,"NM",(AK172/AC172-1)*100)))</f>
        <v>-38.827838827838832</v>
      </c>
      <c r="AM172" s="234">
        <f>AM68</f>
        <v>15.399999999999999</v>
      </c>
      <c r="AN172" s="79">
        <f t="shared" si="558"/>
        <v>-13.48314606741573</v>
      </c>
      <c r="AO172" s="234">
        <f>AO68</f>
        <v>12.3</v>
      </c>
      <c r="AP172" s="79">
        <f t="shared" si="558"/>
        <v>33.695652173913039</v>
      </c>
      <c r="AQ172" s="234">
        <f>AQ68</f>
        <v>36.200000000000003</v>
      </c>
      <c r="AR172" s="79">
        <f t="shared" si="558"/>
        <v>11.384615384615371</v>
      </c>
      <c r="AS172" s="235">
        <f>AS68</f>
        <v>13.3</v>
      </c>
      <c r="AT172" s="81">
        <f t="shared" si="558"/>
        <v>-20.359281437125741</v>
      </c>
      <c r="AU172" s="235">
        <f>AU68</f>
        <v>20.7</v>
      </c>
      <c r="AV172" s="81">
        <f t="shared" si="558"/>
        <v>34.415584415584433</v>
      </c>
      <c r="AW172" s="235">
        <f>AW68</f>
        <v>10.200000000000001</v>
      </c>
      <c r="AX172" s="81">
        <f t="shared" si="558"/>
        <v>-17.073170731707311</v>
      </c>
      <c r="AY172" s="235">
        <f>AY68</f>
        <v>39.9</v>
      </c>
      <c r="AZ172" s="81">
        <f t="shared" si="558"/>
        <v>10.220994475138113</v>
      </c>
      <c r="BA172" s="235">
        <f>BA68</f>
        <v>15.899999999999999</v>
      </c>
      <c r="BB172" s="81">
        <f t="shared" si="558"/>
        <v>19.548872180451117</v>
      </c>
      <c r="BC172" s="235">
        <f>BC68</f>
        <v>17</v>
      </c>
      <c r="BD172" s="81">
        <f t="shared" si="558"/>
        <v>-17.874396135265702</v>
      </c>
      <c r="BE172" s="235">
        <f>BE68</f>
        <v>10</v>
      </c>
      <c r="BF172" s="81">
        <f>IF(ISERROR((BE172/AW172-1)*100),"NA",IF(((BE172/AW172-1)*100)&gt;100,"NM",IF(((BE172/AW172-1)*100)&lt;-50,"NM",(BE172/AW172-1)*100)))</f>
        <v>-1.9607843137255054</v>
      </c>
      <c r="BG172" s="235">
        <f>BG68</f>
        <v>27.400000000000002</v>
      </c>
      <c r="BH172" s="81">
        <f t="shared" si="556"/>
        <v>-31.328320802005006</v>
      </c>
      <c r="BI172" s="235">
        <f>BI68</f>
        <v>14.6</v>
      </c>
      <c r="BJ172" s="81">
        <f t="shared" si="557"/>
        <v>-8.1761006289308149</v>
      </c>
      <c r="BK172" s="235">
        <f>BK68</f>
        <v>18.099999999999998</v>
      </c>
      <c r="BL172" s="81">
        <f t="shared" si="545"/>
        <v>6.4705882352940947</v>
      </c>
      <c r="BM172" s="235">
        <f>BM68</f>
        <v>11.2</v>
      </c>
      <c r="BN172" s="81"/>
      <c r="BO172" s="235">
        <f>BO68</f>
        <v>34.700000000000003</v>
      </c>
      <c r="BP172" s="81"/>
      <c r="BQ172" s="235">
        <f>BQ68</f>
        <v>16.600000000000001</v>
      </c>
      <c r="BR172" s="81">
        <f>IF(ISERROR((BQ172/BI172-1)*100),"NA",IF(((BQ172/BI172-1)*100)&gt;100,"NM",IF(((BQ172/BI172-1)*100)&lt;-50,"NM",(BQ172/BI172-1)*100)))</f>
        <v>13.698630136986312</v>
      </c>
      <c r="BS172" s="235">
        <f>BS68</f>
        <v>21.599999999999998</v>
      </c>
      <c r="BT172" s="81"/>
      <c r="BU172" s="235">
        <f>BU68</f>
        <v>14.100000000000001</v>
      </c>
      <c r="BV172" s="81"/>
      <c r="BW172" s="235">
        <f>BW68</f>
        <v>39.299999999999997</v>
      </c>
      <c r="BX172" s="81"/>
      <c r="BY172" s="235">
        <f>BY68</f>
        <v>14.9</v>
      </c>
      <c r="BZ172" s="81"/>
      <c r="CA172" s="235">
        <f>CA68</f>
        <v>18.200000000000003</v>
      </c>
      <c r="CB172" s="81"/>
      <c r="CC172" s="235">
        <f>CC68</f>
        <v>11.6</v>
      </c>
      <c r="CD172" s="81"/>
      <c r="CE172" s="235">
        <f>CE68</f>
        <v>41.9</v>
      </c>
      <c r="CF172" s="81"/>
      <c r="CG172" s="235">
        <f>CG68</f>
        <v>15.4</v>
      </c>
      <c r="CH172" s="81"/>
      <c r="CI172" s="235">
        <f>CI68</f>
        <v>18.899999999999999</v>
      </c>
      <c r="CJ172" s="81"/>
      <c r="CK172" s="235">
        <f>CK68</f>
        <v>12.4</v>
      </c>
      <c r="CL172" s="81"/>
      <c r="CM172" s="235">
        <f>CM68</f>
        <v>44.199999999999996</v>
      </c>
      <c r="CN172" s="81">
        <f>IF(ISERROR((CM172/CE172-1)*100),"NA",IF(((CM172/CE172-1)*100)&gt;100,"NM",IF(((CM172/CE172-1)*100)&lt;-50,"NM",(CM172/CE172-1)*100)))</f>
        <v>5.4892601431980825</v>
      </c>
      <c r="CO172" s="235">
        <f>CO68</f>
        <v>14</v>
      </c>
      <c r="CP172" s="81">
        <f>IF(ISERROR((CO172/CG172-1)*100),"NA",IF(((CO172/CG172-1)*100)&gt;100,"NM",IF(((CO172/CG172-1)*100)&lt;-50,"NM",(CO172/CG172-1)*100)))</f>
        <v>-9.0909090909090935</v>
      </c>
      <c r="CQ172" s="235">
        <f>CQ68</f>
        <v>23.6</v>
      </c>
      <c r="CR172" s="81">
        <f>IF(ISERROR((CQ172/CI172-1)*100),"NA",IF(((CQ172/CI172-1)*100)&gt;100,"NM",IF(((CQ172/CI172-1)*100)&lt;-50,"NM",(CQ172/CI172-1)*100)))</f>
        <v>24.867724867724881</v>
      </c>
      <c r="CS172" s="235">
        <f>CS68</f>
        <v>14.1</v>
      </c>
      <c r="CT172" s="81">
        <f>IF(ISERROR((CS172/CK172-1)*100),"NA",IF(((CS172/CK172-1)*100)&gt;100,"NM",IF(((CS172/CK172-1)*100)&lt;-50,"NM",(CS172/CK172-1)*100)))</f>
        <v>13.709677419354826</v>
      </c>
      <c r="CU172" s="235">
        <f>CU68</f>
        <v>46.3</v>
      </c>
      <c r="CV172" s="81">
        <f>IF(ISERROR((CU172/CM172-1)*100),"NA",IF(((CU172/CM172-1)*100)&gt;100,"NM",IF(((CU172/CM172-1)*100)&lt;-50,"NM",(CU172/CM172-1)*100)))</f>
        <v>4.7511312217194623</v>
      </c>
      <c r="CW172" s="235">
        <f>CW68</f>
        <v>15.8</v>
      </c>
      <c r="CX172" s="81">
        <f>IF(ISERROR((CW172/CO172-1)*100),"NA",IF(((CW172/CO172-1)*100)&gt;100,"NM",IF(((CW172/CO172-1)*100)&lt;-50,"NM",(CW172/CO172-1)*100)))</f>
        <v>12.857142857142856</v>
      </c>
      <c r="CY172" s="235">
        <f>CY68</f>
        <v>18.7</v>
      </c>
      <c r="CZ172" s="81">
        <f>IF(ISERROR((CY172/CQ172-1)*100),"NA",IF(((CY172/CQ172-1)*100)&gt;100,"NM",IF(((CY172/CQ172-1)*100)&lt;-50,"NM",(CY172/CQ172-1)*100)))</f>
        <v>-20.762711864406789</v>
      </c>
      <c r="DA172" s="235">
        <f>DA68</f>
        <v>12.8</v>
      </c>
      <c r="DB172" s="81">
        <f>IF(ISERROR((DA172/CS172-1)*100),"NA",IF(((DA172/CS172-1)*100)&gt;100,"NM",IF(((DA172/CS172-1)*100)&lt;-50,"NM",(DA172/CS172-1)*100)))</f>
        <v>-9.2198581560283603</v>
      </c>
      <c r="DC172" s="235">
        <f>DC68</f>
        <v>54.6</v>
      </c>
      <c r="DD172" s="81">
        <f>IF(ISERROR((DC172/CU172-1)*100),"NA",IF(((DC172/CU172-1)*100)&gt;100,"NM",IF(((DC172/CU172-1)*100)&lt;-50,"NM",(DC172/CU172-1)*100)))</f>
        <v>17.926565874730027</v>
      </c>
      <c r="DE172" s="235">
        <f>DE68</f>
        <v>19.8</v>
      </c>
      <c r="DF172" s="81">
        <f>IF(ISERROR((DE172/CW172-1)*100),"NA",IF(((DE172/CW172-1)*100)&gt;100,"NM",IF(((DE172/CW172-1)*100)&lt;-50,"NM",(DE172/CW172-1)*100)))</f>
        <v>25.316455696202532</v>
      </c>
      <c r="DG172" s="235">
        <f>DG68</f>
        <v>23.3</v>
      </c>
      <c r="DH172" s="81">
        <f>IF(ISERROR((DG172/CY172-1)*100),"NA",IF(((DG172/CY172-1)*100)&gt;100,"NM",IF(((DG172/CY172-1)*100)&lt;-50,"NM",(DG172/CY172-1)*100)))</f>
        <v>24.598930481283432</v>
      </c>
      <c r="DI172" s="235">
        <f>DI68</f>
        <v>15.6</v>
      </c>
      <c r="DJ172" s="81">
        <f>IF(ISERROR((DI172/DA172-1)*100),"NA",IF(((DI172/DA172-1)*100)&gt;100,"NM",IF(((DI172/DA172-1)*100)&lt;-50,"NM",(DI172/DA172-1)*100)))</f>
        <v>21.875</v>
      </c>
      <c r="DK172" s="235">
        <f>DK68</f>
        <v>60.1</v>
      </c>
      <c r="DL172" s="81">
        <f>IF(ISERROR((DK172/DC172-1)*100),"NA",IF(((DK172/DC172-1)*100)&gt;100,"NM",IF(((DK172/DC172-1)*100)&lt;-50,"NM",(DK172/DC172-1)*100)))</f>
        <v>10.073260073260082</v>
      </c>
      <c r="DM172" s="235">
        <f>DM68</f>
        <v>24</v>
      </c>
      <c r="DN172" s="81">
        <f>IF(ISERROR((DM172/DE172-1)*100),"NA",IF(((DM172/DE172-1)*100)&gt;100,"NM",IF(((DM172/DE172-1)*100)&lt;-50,"NM",(DM172/DE172-1)*100)))</f>
        <v>21.212121212121215</v>
      </c>
      <c r="DO172" s="235">
        <f>DO68</f>
        <v>32.4</v>
      </c>
      <c r="DP172" s="81">
        <f>IF(ISERROR((DO172/DG172-1)*100),"NA",IF(((DO172/DG172-1)*100)&gt;100,"NM",IF(((DO172/DG172-1)*100)&lt;-50,"NM",(DO172/DG172-1)*100)))</f>
        <v>39.055793991416301</v>
      </c>
      <c r="DQ172" s="235">
        <f>DQ68</f>
        <v>15.2</v>
      </c>
      <c r="DR172" s="81">
        <f>IF(ISERROR((DQ172/DI172-1)*100),"NA",IF(((DQ172/DI172-1)*100)&gt;100,"NM",IF(((DQ172/DI172-1)*100)&lt;-50,"NM",(DQ172/DI172-1)*100)))</f>
        <v>-2.5641025641025661</v>
      </c>
      <c r="DS172" s="235">
        <f>DS68</f>
        <v>48.1</v>
      </c>
      <c r="DT172" s="81">
        <f>IF(ISERROR((DS172/DK172-1)*100),"NA",IF(((DS172/DK172-1)*100)&gt;100,"NM",IF(((DS172/DK172-1)*100)&lt;-50,"NM",(DS172/DK172-1)*100)))</f>
        <v>-19.966722129783697</v>
      </c>
      <c r="DU172" s="235">
        <f>DU68</f>
        <v>16.2</v>
      </c>
      <c r="DV172" s="81">
        <f>IF(ISERROR((DU172/DM172-1)*100),"NA",IF(((DU172/DM172-1)*100)&gt;100,"NM",IF(((DU172/DM172-1)*100)&lt;-50,"NM",(DU172/DM172-1)*100)))</f>
        <v>-32.500000000000007</v>
      </c>
      <c r="DW172" s="235">
        <f>DW68</f>
        <v>24.9</v>
      </c>
      <c r="DX172" s="81">
        <f>IF(ISERROR((DW172/DO172-1)*100),"NA",IF(((DW172/DO172-1)*100)&gt;100,"NM",IF(((DW172/DO172-1)*100)&lt;-50,"NM",(DW172/DO172-1)*100)))</f>
        <v>-23.148148148148152</v>
      </c>
      <c r="DY172" s="235">
        <f>DY68</f>
        <v>11.7</v>
      </c>
      <c r="DZ172" s="81">
        <f>IF(ISERROR((DY172/DQ172-1)*100),"NA",IF(((DY172/DQ172-1)*100)&gt;100,"NM",IF(((DY172/DQ172-1)*100)&lt;-50,"NM",(DY172/DQ172-1)*100)))</f>
        <v>-23.026315789473685</v>
      </c>
      <c r="EA172" s="235">
        <f>EA68</f>
        <v>61.8</v>
      </c>
      <c r="EB172" s="81">
        <f>IF(ISERROR((EA172/DS172-1)*100),"NA",IF(((EA172/DS172-1)*100)&gt;100,"NM",IF(((EA172/DS172-1)*100)&lt;-50,"NM",(EA172/DS172-1)*100)))</f>
        <v>28.482328482328477</v>
      </c>
      <c r="EC172" s="235">
        <f>EC68</f>
        <v>16.899999999999999</v>
      </c>
      <c r="ED172" s="81">
        <f t="shared" si="559"/>
        <v>4.3209876543209846</v>
      </c>
      <c r="EE172" s="235">
        <f>EE68</f>
        <v>27.4</v>
      </c>
      <c r="EF172" s="81">
        <f t="shared" si="560"/>
        <v>10.040160642570273</v>
      </c>
      <c r="EG172" s="235">
        <f>EG68</f>
        <v>20.7</v>
      </c>
      <c r="EH172" s="81">
        <f t="shared" si="561"/>
        <v>76.923076923076934</v>
      </c>
      <c r="EI172" s="235">
        <f>EI68</f>
        <v>97.5</v>
      </c>
      <c r="EJ172" s="81">
        <f t="shared" si="562"/>
        <v>57.766990291262132</v>
      </c>
      <c r="EK172" s="234"/>
      <c r="EL172" s="81" t="str">
        <f t="shared" si="563"/>
        <v>NM</v>
      </c>
      <c r="EM172" s="234"/>
      <c r="EN172" s="81" t="str">
        <f t="shared" si="564"/>
        <v>NM</v>
      </c>
      <c r="EO172" s="234"/>
      <c r="EP172" s="81" t="str">
        <f t="shared" si="565"/>
        <v>NM</v>
      </c>
      <c r="EQ172" s="234"/>
      <c r="ER172" s="81" t="str">
        <f t="shared" si="566"/>
        <v>NM</v>
      </c>
      <c r="ES172" s="236"/>
      <c r="ET172" s="470"/>
      <c r="EU172" s="236"/>
      <c r="EV172" s="219"/>
      <c r="EW172" s="140"/>
      <c r="EX172" s="219"/>
      <c r="EY172" s="79"/>
      <c r="EZ172" s="219"/>
      <c r="FA172" s="79"/>
      <c r="FB172" s="217"/>
      <c r="FC172" s="79"/>
      <c r="FD172" s="234">
        <f>FD68</f>
        <v>149.5</v>
      </c>
      <c r="FE172" s="79" t="str">
        <f>IF(ISERROR((FD172/FB172-1)*100),"NA",IF(((FD172/FB172-1)*100)&gt;100,"NM",IF(((FD172/FB172-1)*100)&lt;-50,"NM",(FD172/FB172-1)*100)))</f>
        <v>NA</v>
      </c>
      <c r="FF172" s="234">
        <f>FF68</f>
        <v>141.6</v>
      </c>
      <c r="FG172" s="79">
        <f>IF(ISERROR((FF172/FD172-1)*100),"NA",IF(((FF172/FD172-1)*100)&gt;100,"NM",IF(((FF172/FD172-1)*100)&lt;-50,"NM",(FF172/FD172-1)*100)))</f>
        <v>-5.2842809364548549</v>
      </c>
      <c r="FH172" s="234">
        <f>FH68</f>
        <v>86.8</v>
      </c>
      <c r="FI172" s="79">
        <f>IF(ISERROR((FH172/FF172-1)*100),"NA",IF(((FH172/FF172-1)*100)&gt;100,"NM",IF(((FH172/FF172-1)*100)&lt;-50,"NM",(FH172/FF172-1)*100)))</f>
        <v>-38.700564971751419</v>
      </c>
      <c r="FJ172" s="219"/>
      <c r="FK172" s="79" t="str">
        <f>IF(ISERROR((FJ172/FH172-1)*100),"NA",IF(((FJ172/FH172-1)*100)&gt;100,"NM",IF(((FJ172/FH172-1)*100)&lt;-50,"NM",(FJ172/FH172-1)*100)))</f>
        <v>NM</v>
      </c>
      <c r="FL172" s="219"/>
      <c r="FM172" s="79" t="str">
        <f>IF(ISERROR((FL172/FJ172-1)*100),"NA",IF(((FL172/FJ172-1)*100)&gt;100,"NM",IF(((FL172/FJ172-1)*100)&lt;-50,"NM",(FL172/FJ172-1)*100)))</f>
        <v>NA</v>
      </c>
      <c r="FN172" s="219"/>
      <c r="FO172" s="79" t="str">
        <f>IF(ISERROR((FN172/FL172-1)*100),"NA",IF(((FN172/FL172-1)*100)&gt;100,"NM",IF(((FN172/FL172-1)*100)&lt;-50,"NM",(FN172/FL172-1)*100)))</f>
        <v>NA</v>
      </c>
      <c r="FP172" s="219"/>
      <c r="FQ172" s="79" t="str">
        <f>IF(ISERROR((FP172/FN172-1)*100),"NA",IF(((FP172/FN172-1)*100)&gt;100,"NM",IF(((FP172/FN172-1)*100)&lt;-50,"NM",(FP172/FN172-1)*100)))</f>
        <v>NA</v>
      </c>
      <c r="FR172" s="234">
        <f>FR68</f>
        <v>91.6</v>
      </c>
      <c r="FS172" s="79" t="str">
        <f>IF(ISERROR((FR172/FP172-1)*100),"NA",IF(((FR172/FP172-1)*100)&gt;100,"NM",IF(((FR172/FP172-1)*100)&lt;-50,"NM",(FR172/FP172-1)*100)))</f>
        <v>NA</v>
      </c>
      <c r="FT172" s="234">
        <f>FT68</f>
        <v>86.600000000000009</v>
      </c>
      <c r="FU172" s="79">
        <f>IF(ISERROR((FT172/FR172-1)*100),"NA",IF(((FT172/FR172-1)*100)&gt;100,"NM",IF(((FT172/FR172-1)*100)&lt;-50,"NM",(FT172/FR172-1)*100)))</f>
        <v>-5.4585152838427797</v>
      </c>
      <c r="FV172" s="235">
        <f>FV68</f>
        <v>90.9</v>
      </c>
      <c r="FW172" s="79">
        <f>IF(ISERROR((FV172/FT172-1)*100),"NA",IF(((FV172/FT172-1)*100)&gt;100,"NM",IF(((FV172/FT172-1)*100)&lt;-50,"NM",(FV172/FT172-1)*100)))</f>
        <v>4.9653579676674386</v>
      </c>
      <c r="FX172" s="235">
        <f>FX68</f>
        <v>98</v>
      </c>
      <c r="FY172" s="79">
        <f>IF(ISERROR((FX172/FV172-1)*100),"NA",IF(((FX172/FV172-1)*100)&gt;100,"NM",IF(((FX172/FV172-1)*100)&lt;-50,"NM",(FX172/FV172-1)*100)))</f>
        <v>7.810781078107798</v>
      </c>
      <c r="FZ172" s="235">
        <f>FZ68</f>
        <v>101.9</v>
      </c>
      <c r="GA172" s="79">
        <f>IF(ISERROR((FZ172/FX172-1)*100),"NA",IF(((FZ172/FX172-1)*100)&gt;100,"NM",IF(((FZ172/FX172-1)*100)&lt;-50,"NM",(FZ172/FX172-1)*100)))</f>
        <v>3.9795918367347083</v>
      </c>
      <c r="GB172" s="235">
        <f>DE172+DG172+DI172+DK172</f>
        <v>118.80000000000001</v>
      </c>
      <c r="GC172" s="79">
        <f>IF(ISERROR((GB172/FZ172-1)*100),"NA",IF(((GB172/FZ172-1)*100)&gt;100,"NM",IF(((GB172/FZ172-1)*100)&lt;-50,"NM",(GB172/FZ172-1)*100)))</f>
        <v>16.584887144259074</v>
      </c>
      <c r="GD172" s="235">
        <f>DS172+DQ172+DO172+DM172</f>
        <v>119.69999999999999</v>
      </c>
      <c r="GE172" s="79">
        <f>IF(ISERROR((GD172/GB172-1)*100),"NA",IF(((GD172/GB172-1)*100)&gt;100,"NM",IF(((GD172/GB172-1)*100)&lt;-50,"NM",(GD172/GB172-1)*100)))</f>
        <v>0.7575757575757347</v>
      </c>
      <c r="GF172" s="235">
        <f>DU172+DW172+DY172+EA172</f>
        <v>114.6</v>
      </c>
      <c r="GG172" s="79">
        <f>IF(ISERROR((GF172/GD172-1)*100),"NA",IF(((GF172/GD172-1)*100)&gt;100,"NM",IF(((GF172/GD172-1)*100)&lt;-50,"NM",(GF172/GD172-1)*100)))</f>
        <v>-4.2606516290726759</v>
      </c>
      <c r="GH172" s="235">
        <f>EC172+EE172+EG172+EI172</f>
        <v>162.5</v>
      </c>
      <c r="GI172" s="79">
        <f>IF(ISERROR((GH172/GF172-1)*100),"NA",IF(((GH172/GF172-1)*100)&gt;100,"NM",IF(((GH172/GF172-1)*100)&lt;-50,"NM",(GH172/GF172-1)*100)))</f>
        <v>41.797556719022701</v>
      </c>
      <c r="GJ172" s="234"/>
      <c r="GK172" s="79" t="str">
        <f>IF(ISERROR((GJ172/GH172-1)*100),"NA",IF(((GJ172/GH172-1)*100)&gt;100,"NM",IF(((GJ172/GH172-1)*100)&lt;-50,"NM",(GJ172/GH172-1)*100)))</f>
        <v>NM</v>
      </c>
      <c r="GL172" s="234"/>
      <c r="GM172" s="79" t="str">
        <f>IF(ISERROR((GL172/GJ172-1)*100),"NA",IF(((GL172/GJ172-1)*100)&gt;100,"NM",IF(((GL172/GJ172-1)*100)&lt;-50,"NM",(GL172/GJ172-1)*100)))</f>
        <v>NA</v>
      </c>
      <c r="GN172" s="234"/>
      <c r="GO172" s="79" t="str">
        <f>IF(ISERROR((GN172/GL172-1)*100),"NA",IF(((GN172/GL172-1)*100)&gt;100,"NM",IF(((GN172/GL172-1)*100)&lt;-50,"NM",(GN172/GL172-1)*100)))</f>
        <v>NA</v>
      </c>
      <c r="GP172" s="234"/>
      <c r="GQ172" s="79" t="str">
        <f>IF(ISERROR((GP172/GN172-1)*100),"NA",IF(((GP172/GN172-1)*100)&gt;100,"NM",IF(((GP172/GN172-1)*100)&lt;-50,"NM",(GP172/GN172-1)*100)))</f>
        <v>NA</v>
      </c>
      <c r="GR172" s="234"/>
      <c r="GS172" s="79" t="str">
        <f>IF(ISERROR((GR172/GP172-1)*100),"NA",IF(((GR172/GP172-1)*100)&gt;100,"NM",IF(((GR172/GP172-1)*100)&lt;-50,"NM",(GR172/GP172-1)*100)))</f>
        <v>NA</v>
      </c>
      <c r="GT172" s="79"/>
      <c r="GU172" s="562"/>
      <c r="GV172" s="562"/>
      <c r="GW172"/>
      <c r="GX172"/>
      <c r="GY172"/>
      <c r="GZ172"/>
      <c r="HA172"/>
      <c r="HB172"/>
      <c r="HC172" s="562"/>
      <c r="HD172" s="562"/>
      <c r="HE172" s="562"/>
      <c r="HF172" s="562"/>
      <c r="HG172" s="562"/>
      <c r="HH172" s="562"/>
      <c r="HI172" s="562"/>
      <c r="HJ172" s="562"/>
      <c r="HK172" s="562"/>
      <c r="HL172" s="562"/>
      <c r="HM172" s="562"/>
      <c r="HN172" s="562"/>
      <c r="HO172" s="562"/>
      <c r="HP172" s="562"/>
      <c r="HQ172" s="562"/>
      <c r="HR172" s="562"/>
      <c r="HS172" s="562"/>
      <c r="HT172" s="562"/>
      <c r="HU172" s="562"/>
      <c r="HV172" s="562"/>
      <c r="HW172" s="562"/>
      <c r="HX172" s="562"/>
      <c r="HY172" s="562"/>
      <c r="HZ172" s="562"/>
      <c r="IA172" s="562"/>
      <c r="IB172" s="562"/>
      <c r="IC172" s="562"/>
      <c r="ID172" s="562"/>
      <c r="IE172" s="562"/>
      <c r="IF172" s="562"/>
      <c r="IG172" s="562"/>
      <c r="IH172" s="562"/>
      <c r="II172" s="562"/>
      <c r="IJ172" s="562"/>
      <c r="IK172" s="562"/>
      <c r="IL172" s="562"/>
      <c r="IM172" s="562"/>
      <c r="IN172" s="562"/>
      <c r="IO172" s="562"/>
      <c r="IP172" s="562"/>
      <c r="IQ172" s="562"/>
      <c r="IR172" s="562"/>
      <c r="IS172" s="562"/>
      <c r="IT172" s="562"/>
      <c r="IU172" s="562"/>
      <c r="IV172" s="562"/>
      <c r="IW172" s="562"/>
      <c r="IX172" s="562"/>
      <c r="IY172" s="562"/>
      <c r="IZ172" s="562"/>
      <c r="JA172" s="562"/>
      <c r="JB172" s="562"/>
      <c r="JC172" s="562"/>
      <c r="JD172" s="562"/>
      <c r="JE172" s="562"/>
      <c r="JF172" s="562"/>
      <c r="JG172" s="562"/>
      <c r="JH172" s="562"/>
      <c r="JI172" s="562"/>
      <c r="JJ172" s="562"/>
      <c r="JK172" s="562"/>
      <c r="JL172" s="562"/>
      <c r="JM172" s="562"/>
      <c r="JN172" s="562"/>
      <c r="JO172" s="562"/>
      <c r="JP172" s="562"/>
      <c r="JQ172" s="562"/>
      <c r="JR172" s="562"/>
      <c r="JS172" s="562"/>
      <c r="JT172" s="562"/>
      <c r="JU172" s="562"/>
      <c r="JV172" s="562"/>
      <c r="JW172" s="562"/>
      <c r="JX172" s="562"/>
      <c r="JY172" s="562"/>
      <c r="JZ172" s="562"/>
    </row>
    <row r="173" spans="1:286" ht="12.75" customHeight="1" x14ac:dyDescent="0.2">
      <c r="A173" s="1"/>
      <c r="B173" s="2"/>
      <c r="C173" s="171"/>
      <c r="D173" s="171"/>
      <c r="E173" s="171"/>
      <c r="F173" s="171"/>
      <c r="G173" s="171"/>
      <c r="H173" s="171"/>
      <c r="I173" s="171"/>
      <c r="J173" s="171"/>
      <c r="K173" s="171"/>
      <c r="L173" s="79"/>
      <c r="M173" s="171"/>
      <c r="N173" s="79"/>
      <c r="O173" s="171"/>
      <c r="P173" s="79"/>
      <c r="Q173" s="171"/>
      <c r="R173" s="79"/>
      <c r="S173" s="171"/>
      <c r="T173" s="79"/>
      <c r="U173" s="171"/>
      <c r="V173" s="79"/>
      <c r="W173" s="171"/>
      <c r="X173" s="79"/>
      <c r="Y173" s="171"/>
      <c r="Z173" s="79"/>
      <c r="AA173" s="172"/>
      <c r="AB173" s="79"/>
      <c r="AC173" s="228"/>
      <c r="AD173" s="79"/>
      <c r="AE173" s="228"/>
      <c r="AF173" s="79"/>
      <c r="AG173" s="228"/>
      <c r="AH173" s="79"/>
      <c r="AI173" s="228"/>
      <c r="AJ173" s="79"/>
      <c r="AK173" s="228"/>
      <c r="AL173" s="79"/>
      <c r="AM173" s="228"/>
      <c r="AN173" s="79"/>
      <c r="AO173" s="228"/>
      <c r="AP173" s="79"/>
      <c r="AQ173" s="228"/>
      <c r="AR173" s="79"/>
      <c r="AS173" s="228"/>
      <c r="AT173" s="81"/>
      <c r="AU173" s="228"/>
      <c r="AV173" s="81"/>
      <c r="AW173" s="228"/>
      <c r="AX173" s="81"/>
      <c r="AY173" s="228"/>
      <c r="AZ173" s="81"/>
      <c r="BA173" s="228"/>
      <c r="BB173" s="81"/>
      <c r="BC173" s="228"/>
      <c r="BD173" s="81"/>
      <c r="BE173" s="228"/>
      <c r="BF173" s="81"/>
      <c r="BG173" s="228"/>
      <c r="BH173" s="81"/>
      <c r="BI173" s="228"/>
      <c r="BJ173" s="81"/>
      <c r="BK173" s="228"/>
      <c r="BL173" s="81"/>
      <c r="BM173" s="228"/>
      <c r="BN173" s="81"/>
      <c r="BO173" s="228"/>
      <c r="BP173" s="81"/>
      <c r="BQ173" s="228"/>
      <c r="BR173" s="81"/>
      <c r="BS173" s="228"/>
      <c r="BT173" s="81"/>
      <c r="BU173" s="228"/>
      <c r="BV173" s="81"/>
      <c r="BW173" s="228"/>
      <c r="BX173" s="81"/>
      <c r="BY173" s="228"/>
      <c r="BZ173" s="81"/>
      <c r="CA173" s="228"/>
      <c r="CB173" s="81"/>
      <c r="CC173" s="228"/>
      <c r="CD173" s="81"/>
      <c r="CE173" s="228"/>
      <c r="CF173" s="81"/>
      <c r="CG173" s="228"/>
      <c r="CH173" s="81"/>
      <c r="CI173" s="228"/>
      <c r="CJ173" s="81"/>
      <c r="CK173" s="229"/>
      <c r="CL173" s="81"/>
      <c r="CM173" s="228"/>
      <c r="CN173" s="81"/>
      <c r="CO173" s="228"/>
      <c r="CP173" s="81"/>
      <c r="CQ173" s="228"/>
      <c r="CR173" s="81"/>
      <c r="CS173" s="228"/>
      <c r="CT173" s="81"/>
      <c r="CU173" s="228"/>
      <c r="CV173" s="81"/>
      <c r="CW173" s="228"/>
      <c r="CX173" s="81"/>
      <c r="CY173" s="228"/>
      <c r="CZ173" s="81"/>
      <c r="DA173" s="228"/>
      <c r="DB173" s="81"/>
      <c r="DC173" s="228"/>
      <c r="DD173" s="81"/>
      <c r="DE173" s="228"/>
      <c r="DF173" s="81"/>
      <c r="DG173" s="228"/>
      <c r="DH173" s="81"/>
      <c r="DI173" s="228"/>
      <c r="DJ173" s="81"/>
      <c r="DK173" s="228"/>
      <c r="DL173" s="81"/>
      <c r="DM173" s="228"/>
      <c r="DN173" s="81"/>
      <c r="DO173" s="228"/>
      <c r="DP173" s="81"/>
      <c r="DQ173" s="228"/>
      <c r="DR173" s="81"/>
      <c r="DS173" s="228"/>
      <c r="DT173" s="81"/>
      <c r="DU173" s="228"/>
      <c r="DV173" s="81"/>
      <c r="DW173" s="228"/>
      <c r="DX173" s="81"/>
      <c r="DY173" s="228"/>
      <c r="DZ173" s="81"/>
      <c r="EA173" s="228"/>
      <c r="EB173" s="81"/>
      <c r="EC173" s="228"/>
      <c r="ED173" s="81"/>
      <c r="EE173" s="228"/>
      <c r="EF173" s="81"/>
      <c r="EG173" s="228"/>
      <c r="EH173" s="81"/>
      <c r="EI173" s="228"/>
      <c r="EJ173" s="81"/>
      <c r="EK173" s="228"/>
      <c r="EL173" s="81"/>
      <c r="EM173" s="228"/>
      <c r="EN173" s="81"/>
      <c r="EO173" s="228"/>
      <c r="EP173" s="81"/>
      <c r="EQ173" s="228"/>
      <c r="ER173" s="81"/>
      <c r="ES173" s="82"/>
      <c r="ET173" s="469"/>
      <c r="EU173" s="82"/>
      <c r="EV173" s="171"/>
      <c r="EW173" s="79"/>
      <c r="EX173" s="171"/>
      <c r="EY173" s="79"/>
      <c r="EZ173" s="171"/>
      <c r="FA173" s="79"/>
      <c r="FB173" s="185"/>
      <c r="FC173" s="79"/>
      <c r="FD173" s="228"/>
      <c r="FE173" s="79"/>
      <c r="FF173" s="228"/>
      <c r="FG173" s="79"/>
      <c r="FH173" s="228"/>
      <c r="FI173" s="79"/>
      <c r="FJ173" s="171"/>
      <c r="FK173" s="79"/>
      <c r="FL173" s="171"/>
      <c r="FM173" s="79"/>
      <c r="FN173" s="171"/>
      <c r="FO173" s="79"/>
      <c r="FP173" s="171"/>
      <c r="FQ173" s="79"/>
      <c r="FR173" s="228"/>
      <c r="FS173" s="79"/>
      <c r="FT173" s="228"/>
      <c r="FU173" s="79"/>
      <c r="FV173" s="228"/>
      <c r="FW173" s="79"/>
      <c r="FX173" s="228"/>
      <c r="FY173" s="79"/>
      <c r="FZ173" s="228"/>
      <c r="GA173" s="79"/>
      <c r="GB173" s="228"/>
      <c r="GC173" s="79"/>
      <c r="GD173" s="228"/>
      <c r="GE173" s="79"/>
      <c r="GF173" s="228"/>
      <c r="GG173" s="79"/>
      <c r="GH173" s="228"/>
      <c r="GI173" s="79"/>
      <c r="GJ173" s="228"/>
      <c r="GK173" s="79"/>
      <c r="GL173" s="228"/>
      <c r="GM173" s="79"/>
      <c r="GN173" s="228"/>
      <c r="GO173" s="79"/>
      <c r="GP173" s="228"/>
      <c r="GQ173" s="79"/>
      <c r="GR173" s="228"/>
      <c r="GS173" s="79"/>
      <c r="GT173" s="79"/>
    </row>
    <row r="174" spans="1:286" ht="12.75" hidden="1" customHeight="1" outlineLevel="1" x14ac:dyDescent="0.2">
      <c r="A174" s="1"/>
      <c r="B174" s="2" t="str">
        <f>B100</f>
        <v xml:space="preserve">  Group Life</v>
      </c>
      <c r="C174" s="171"/>
      <c r="D174" s="171"/>
      <c r="E174" s="171"/>
      <c r="F174" s="171"/>
      <c r="G174" s="171"/>
      <c r="H174" s="171"/>
      <c r="I174" s="171"/>
      <c r="J174" s="171"/>
      <c r="K174" s="171"/>
      <c r="L174" s="79"/>
      <c r="M174" s="171"/>
      <c r="N174" s="79"/>
      <c r="O174" s="171"/>
      <c r="P174" s="79"/>
      <c r="Q174" s="171"/>
      <c r="R174" s="79"/>
      <c r="S174" s="171"/>
      <c r="T174" s="79"/>
      <c r="U174" s="171"/>
      <c r="V174" s="79"/>
      <c r="W174" s="171"/>
      <c r="X174" s="79"/>
      <c r="Y174" s="171"/>
      <c r="Z174" s="79"/>
      <c r="AA174" s="172"/>
      <c r="AB174" s="79"/>
      <c r="AC174" s="228">
        <f>AC100</f>
        <v>30.1</v>
      </c>
      <c r="AD174" s="79" t="str">
        <f t="shared" ref="AD174:AD181" si="567">IF(ISERROR((AC174/U174-1)*100),"NA",IF(((AC174/U174-1)*100)&gt;100,"NM",IF(((AC174/U174-1)*100)&lt;-50,"NM",(AC174/U174-1)*100)))</f>
        <v>NA</v>
      </c>
      <c r="AE174" s="228">
        <f>AE100</f>
        <v>39.1</v>
      </c>
      <c r="AF174" s="79" t="str">
        <f t="shared" ref="AF174:AF181" si="568">IF(ISERROR((AE174/W174-1)*100),"NA",IF(((AE174/W174-1)*100)&gt;100,"NM",IF(((AE174/W174-1)*100)&lt;-50,"NM",(AE174/W174-1)*100)))</f>
        <v>NA</v>
      </c>
      <c r="AG174" s="228">
        <f>AG100</f>
        <v>27.7</v>
      </c>
      <c r="AH174" s="79" t="str">
        <f t="shared" ref="AH174:AH181" si="569">IF(ISERROR((AG174/Y174-1)*100),"NA",IF(((AG174/Y174-1)*100)&gt;100,"NM",IF(((AG174/Y174-1)*100)&lt;-50,"NM",(AG174/Y174-1)*100)))</f>
        <v>NA</v>
      </c>
      <c r="AI174" s="228">
        <f>AI100</f>
        <v>69.600000000000023</v>
      </c>
      <c r="AJ174" s="79" t="str">
        <f t="shared" ref="AJ174:AJ181" si="570">IF(ISERROR((AI174/AA174-1)*100),"NA",IF(((AI174/AA174-1)*100)&gt;100,"NM",IF(((AI174/AA174-1)*100)&lt;-50,"NM",(AI174/AA174-1)*100)))</f>
        <v>NA</v>
      </c>
      <c r="AK174" s="228">
        <f>AK100</f>
        <v>31.700000000000003</v>
      </c>
      <c r="AL174" s="79">
        <f t="shared" ref="AL174:AL181" si="571">IF(ISERROR((AK174/AC174-1)*100),"NA",IF(((AK174/AC174-1)*100)&gt;100,"NM",IF(((AK174/AC174-1)*100)&lt;-50,"NM",(AK174/AC174-1)*100)))</f>
        <v>5.315614617940212</v>
      </c>
      <c r="AM174" s="228">
        <f>AM100</f>
        <v>38.5</v>
      </c>
      <c r="AN174" s="79">
        <f>IF(ISERROR((AM174/AE174-1)*100),"NA",IF(((AM174/AE174-1)*100)&gt;100,"NM",IF(((AM174/AE174-1)*100)&lt;-50,"NM",(AM174/AE174-1)*100)))</f>
        <v>-1.5345268542199531</v>
      </c>
      <c r="AO174" s="228">
        <f>AO100</f>
        <v>23.4</v>
      </c>
      <c r="AP174" s="79">
        <f>IF(ISERROR((AO174/AG174-1)*100),"NA",IF(((AO174/AG174-1)*100)&gt;100,"NM",IF(((AO174/AG174-1)*100)&lt;-50,"NM",(AO174/AG174-1)*100)))</f>
        <v>-15.523465703971118</v>
      </c>
      <c r="AQ174" s="228">
        <f>AQ100</f>
        <v>64.2</v>
      </c>
      <c r="AR174" s="79">
        <f>IF(ISERROR((AQ174/AI174-1)*100),"NA",IF(((AQ174/AI174-1)*100)&gt;100,"NM",IF(((AQ174/AI174-1)*100)&lt;-50,"NM",(AQ174/AI174-1)*100)))</f>
        <v>-7.7586206896551939</v>
      </c>
      <c r="AS174" s="229">
        <f>AS100</f>
        <v>33.200000000000003</v>
      </c>
      <c r="AT174" s="81">
        <f>IF(ISERROR((AS174/AK174-1)*100),"NA",IF(((AS174/AK174-1)*100)&gt;100,"NM",IF(((AS174/AK174-1)*100)&lt;-50,"NM",(AS174/AK174-1)*100)))</f>
        <v>4.7318611987381631</v>
      </c>
      <c r="AU174" s="229">
        <f>AU100</f>
        <v>43.5</v>
      </c>
      <c r="AV174" s="81">
        <f>IF(ISERROR((AU174/AM174-1)*100),"NA",IF(((AU174/AM174-1)*100)&gt;100,"NM",IF(((AU174/AM174-1)*100)&lt;-50,"NM",(AU174/AM174-1)*100)))</f>
        <v>12.987012987012992</v>
      </c>
      <c r="AW174" s="229">
        <f>AW100</f>
        <v>17.7</v>
      </c>
      <c r="AX174" s="81">
        <f>IF(ISERROR((AW174/AO174-1)*100),"NA",IF(((AW174/AO174-1)*100)&gt;100,"NM",IF(((AW174/AO174-1)*100)&lt;-50,"NM",(AW174/AO174-1)*100)))</f>
        <v>-24.358974358974361</v>
      </c>
      <c r="AY174" s="229">
        <f>AY100</f>
        <v>55.4</v>
      </c>
      <c r="AZ174" s="81">
        <f>IF(ISERROR((AY174/AQ174-1)*100),"NA",IF(((AY174/AQ174-1)*100)&gt;100,"NM",IF(((AY174/AQ174-1)*100)&lt;-50,"NM",(AY174/AQ174-1)*100)))</f>
        <v>-13.707165109034269</v>
      </c>
      <c r="BA174" s="229">
        <f>BA100</f>
        <v>20.100000000000001</v>
      </c>
      <c r="BB174" s="81">
        <f>IF(ISERROR((BA174/AS174-1)*100),"NA",IF(((BA174/AS174-1)*100)&gt;100,"NM",IF(((BA174/AS174-1)*100)&lt;-50,"NM",(BA174/AS174-1)*100)))</f>
        <v>-39.457831325301207</v>
      </c>
      <c r="BC174" s="229">
        <f>BC100</f>
        <v>35.299999999999997</v>
      </c>
      <c r="BD174" s="81">
        <f>IF(ISERROR((BC174/AU174-1)*100),"NA",IF(((BC174/AU174-1)*100)&gt;100,"NM",IF(((BC174/AU174-1)*100)&lt;-50,"NM",(BC174/AU174-1)*100)))</f>
        <v>-18.850574712643684</v>
      </c>
      <c r="BE174" s="229">
        <f>BE100</f>
        <v>17.3</v>
      </c>
      <c r="BF174" s="81">
        <f t="shared" ref="BF174:BF181" si="572">IF(ISERROR((BE174/AW174-1)*100),"NA",IF(((BE174/AW174-1)*100)&gt;100,"NM",IF(((BE174/AW174-1)*100)&lt;-50,"NM",(BE174/AW174-1)*100)))</f>
        <v>-2.2598870056497078</v>
      </c>
      <c r="BG174" s="229">
        <f>BG100</f>
        <v>61.3</v>
      </c>
      <c r="BH174" s="81">
        <f t="shared" si="556"/>
        <v>10.649819494584833</v>
      </c>
      <c r="BI174" s="229">
        <f>BI100</f>
        <v>27.1</v>
      </c>
      <c r="BJ174" s="81">
        <f t="shared" si="557"/>
        <v>34.825870646766163</v>
      </c>
      <c r="BK174" s="229">
        <f>BK100</f>
        <v>38.6</v>
      </c>
      <c r="BL174" s="81">
        <f t="shared" si="545"/>
        <v>9.3484419263456289</v>
      </c>
      <c r="BM174" s="229">
        <f>BM100</f>
        <v>17.100000000000001</v>
      </c>
      <c r="BN174" s="81"/>
      <c r="BO174" s="229">
        <f>BO100</f>
        <v>82.6</v>
      </c>
      <c r="BP174" s="81"/>
      <c r="BQ174" s="229">
        <f>BQ100</f>
        <v>31.8</v>
      </c>
      <c r="BR174" s="81">
        <f>IF(ISERROR((BQ174/BI174-1)*100),"NA",IF(((BQ174/BI174-1)*100)&gt;100,"NM",IF(((BQ174/BI174-1)*100)&lt;-50,"NM",(BQ174/BI174-1)*100)))</f>
        <v>17.343173431734304</v>
      </c>
      <c r="BS174" s="229">
        <f>BS100</f>
        <v>48.6</v>
      </c>
      <c r="BT174" s="81"/>
      <c r="BU174" s="229">
        <f>BU100</f>
        <v>28</v>
      </c>
      <c r="BV174" s="81"/>
      <c r="BW174" s="229">
        <f>BW100</f>
        <v>76.5</v>
      </c>
      <c r="BX174" s="81"/>
      <c r="BY174" s="229">
        <f>BY100</f>
        <v>28.5</v>
      </c>
      <c r="BZ174" s="81"/>
      <c r="CA174" s="229">
        <f>CA100</f>
        <v>36.299999999999997</v>
      </c>
      <c r="CB174" s="81"/>
      <c r="CC174" s="229">
        <f>CC100</f>
        <v>24.5</v>
      </c>
      <c r="CD174" s="81"/>
      <c r="CE174" s="229">
        <f>CE100</f>
        <v>77.599999999999994</v>
      </c>
      <c r="CF174" s="81"/>
      <c r="CG174" s="229">
        <f>CG100</f>
        <v>30.8</v>
      </c>
      <c r="CH174" s="81"/>
      <c r="CI174" s="229">
        <f>CI100</f>
        <v>40.9</v>
      </c>
      <c r="CJ174" s="81"/>
      <c r="CK174" s="229">
        <f>CK100</f>
        <v>25.2</v>
      </c>
      <c r="CL174" s="81"/>
      <c r="CM174" s="229">
        <f>CM100</f>
        <v>88.4</v>
      </c>
      <c r="CN174" s="81">
        <f>IF(ISERROR((CM174/CE174-1)*100),"NA",IF(((CM174/CE174-1)*100)&gt;100,"NM",IF(((CM174/CE174-1)*100)&lt;-50,"NM",(CM174/CE174-1)*100)))</f>
        <v>13.917525773195894</v>
      </c>
      <c r="CO174" s="229">
        <f>CO100</f>
        <v>33</v>
      </c>
      <c r="CP174" s="81">
        <f>IF(ISERROR((CO174/CG174-1)*100),"NA",IF(((CO174/CG174-1)*100)&gt;100,"NM",IF(((CO174/CG174-1)*100)&lt;-50,"NM",(CO174/CG174-1)*100)))</f>
        <v>7.1428571428571397</v>
      </c>
      <c r="CQ174" s="229">
        <f>CQ100</f>
        <v>45.2</v>
      </c>
      <c r="CR174" s="81">
        <f>IF(ISERROR((CQ174/CI174-1)*100),"NA",IF(((CQ174/CI174-1)*100)&gt;100,"NM",IF(((CQ174/CI174-1)*100)&lt;-50,"NM",(CQ174/CI174-1)*100)))</f>
        <v>10.513447432762856</v>
      </c>
      <c r="CS174" s="229">
        <f>CS100</f>
        <v>24.5</v>
      </c>
      <c r="CT174" s="81">
        <f>IF(ISERROR((CS174/CK174-1)*100),"NA",IF(((CS174/CK174-1)*100)&gt;100,"NM",IF(((CS174/CK174-1)*100)&lt;-50,"NM",(CS174/CK174-1)*100)))</f>
        <v>-2.777777777777779</v>
      </c>
      <c r="CU174" s="229">
        <f>CU100</f>
        <v>85.3</v>
      </c>
      <c r="CV174" s="81">
        <f>IF(ISERROR((CU174/CM174-1)*100),"NA",IF(((CU174/CM174-1)*100)&gt;100,"NM",IF(((CU174/CM174-1)*100)&lt;-50,"NM",(CU174/CM174-1)*100)))</f>
        <v>-3.5067873303167518</v>
      </c>
      <c r="CW174" s="229">
        <f>CW100</f>
        <v>33.700000000000003</v>
      </c>
      <c r="CX174" s="81">
        <f t="shared" ref="CX174:CX181" si="573">IF(ISERROR((CW174/CO174-1)*100),"NA",IF(((CW174/CO174-1)*100)&gt;100,"NM",IF(((CW174/CO174-1)*100)&lt;-50,"NM",(CW174/CO174-1)*100)))</f>
        <v>2.1212121212121238</v>
      </c>
      <c r="CY174" s="229">
        <f>CY100</f>
        <v>33.6</v>
      </c>
      <c r="CZ174" s="81">
        <f t="shared" ref="CZ174:CZ181" si="574">IF(ISERROR((CY174/CQ174-1)*100),"NA",IF(((CY174/CQ174-1)*100)&gt;100,"NM",IF(((CY174/CQ174-1)*100)&lt;-50,"NM",(CY174/CQ174-1)*100)))</f>
        <v>-25.663716814159297</v>
      </c>
      <c r="DA174" s="229">
        <f>DA100</f>
        <v>23.3</v>
      </c>
      <c r="DB174" s="81">
        <f t="shared" ref="DB174:DB181" si="575">IF(ISERROR((DA174/CS174-1)*100),"NA",IF(((DA174/CS174-1)*100)&gt;100,"NM",IF(((DA174/CS174-1)*100)&lt;-50,"NM",(DA174/CS174-1)*100)))</f>
        <v>-4.8979591836734615</v>
      </c>
      <c r="DC174" s="229">
        <f>DC100</f>
        <v>0</v>
      </c>
      <c r="DD174" s="81" t="str">
        <f t="shared" ref="DD174:DD181" si="576">IF(ISERROR((DC174/CU174-1)*100),"NA",IF(((DC174/CU174-1)*100)&gt;100,"NM",IF(((DC174/CU174-1)*100)&lt;-50,"NM",(DC174/CU174-1)*100)))</f>
        <v>NM</v>
      </c>
      <c r="DE174" s="229">
        <f>DE100</f>
        <v>0</v>
      </c>
      <c r="DF174" s="81" t="str">
        <f t="shared" ref="DF174:DF181" si="577">IF(ISERROR((DE174/CW174-1)*100),"NA",IF(((DE174/CW174-1)*100)&gt;100,"NM",IF(((DE174/CW174-1)*100)&lt;-50,"NM",(DE174/CW174-1)*100)))</f>
        <v>NM</v>
      </c>
      <c r="DG174" s="229">
        <f>DG100</f>
        <v>0</v>
      </c>
      <c r="DH174" s="81" t="str">
        <f t="shared" ref="DH174:DH181" si="578">IF(ISERROR((DG174/CY174-1)*100),"NA",IF(((DG174/CY174-1)*100)&gt;100,"NM",IF(((DG174/CY174-1)*100)&lt;-50,"NM",(DG174/CY174-1)*100)))</f>
        <v>NM</v>
      </c>
      <c r="DI174" s="229">
        <f>DI100</f>
        <v>0</v>
      </c>
      <c r="DJ174" s="81" t="str">
        <f t="shared" ref="DJ174:DJ181" si="579">IF(ISERROR((DI174/DA174-1)*100),"NA",IF(((DI174/DA174-1)*100)&gt;100,"NM",IF(((DI174/DA174-1)*100)&lt;-50,"NM",(DI174/DA174-1)*100)))</f>
        <v>NM</v>
      </c>
      <c r="DK174" s="229">
        <f>DK100</f>
        <v>0</v>
      </c>
      <c r="DL174" s="81" t="str">
        <f t="shared" ref="DL174:DL181" si="580">IF(ISERROR((DK174/DC174-1)*100),"NA",IF(((DK174/DC174-1)*100)&gt;100,"NM",IF(((DK174/DC174-1)*100)&lt;-50,"NM",(DK174/DC174-1)*100)))</f>
        <v>NA</v>
      </c>
      <c r="DM174" s="229">
        <f>DM100</f>
        <v>0</v>
      </c>
      <c r="DN174" s="81" t="str">
        <f>IF(ISERROR((DM174/DE174-1)*100),"NA",IF(((DM174/DE174-1)*100)&gt;100,"NM",IF(((DM174/DE174-1)*100)&lt;-50,"NM",(DM174/DE174-1)*100)))</f>
        <v>NA</v>
      </c>
      <c r="DO174" s="229">
        <f>DO100</f>
        <v>0</v>
      </c>
      <c r="DP174" s="81" t="str">
        <f>IF(ISERROR((DO174/DG174-1)*100),"NA",IF(((DO174/DG174-1)*100)&gt;100,"NM",IF(((DO174/DG174-1)*100)&lt;-50,"NM",(DO174/DG174-1)*100)))</f>
        <v>NA</v>
      </c>
      <c r="DQ174" s="229">
        <f>DQ100</f>
        <v>0</v>
      </c>
      <c r="DR174" s="81" t="str">
        <f>IF(ISERROR((DQ174/DI174-1)*100),"NA",IF(((DQ174/DI174-1)*100)&gt;100,"NM",IF(((DQ174/DI174-1)*100)&lt;-50,"NM",(DQ174/DI174-1)*100)))</f>
        <v>NA</v>
      </c>
      <c r="DS174" s="229">
        <f>DS100</f>
        <v>0</v>
      </c>
      <c r="DT174" s="81" t="str">
        <f>IF(ISERROR((DS174/DK174-1)*100),"NA",IF(((DS174/DK174-1)*100)&gt;100,"NM",IF(((DS174/DK174-1)*100)&lt;-50,"NM",(DS174/DK174-1)*100)))</f>
        <v>NA</v>
      </c>
      <c r="DU174" s="229">
        <f>DU100</f>
        <v>0</v>
      </c>
      <c r="DV174" s="81" t="str">
        <f>IF(ISERROR((DU174/DM174-1)*100),"NA",IF(((DU174/DM174-1)*100)&gt;100,"NM",IF(((DU174/DM174-1)*100)&lt;-50,"NM",(DU174/DM174-1)*100)))</f>
        <v>NA</v>
      </c>
      <c r="DW174" s="229">
        <f>DW100</f>
        <v>0</v>
      </c>
      <c r="DX174" s="81" t="str">
        <f>IF(ISERROR((DW174/DO174-1)*100),"NA",IF(((DW174/DO174-1)*100)&gt;100,"NM",IF(((DW174/DO174-1)*100)&lt;-50,"NM",(DW174/DO174-1)*100)))</f>
        <v>NA</v>
      </c>
      <c r="DY174" s="229">
        <f>DY100</f>
        <v>0</v>
      </c>
      <c r="DZ174" s="81" t="str">
        <f>IF(ISERROR((DY174/DQ174-1)*100),"NA",IF(((DY174/DQ174-1)*100)&gt;100,"NM",IF(((DY174/DQ174-1)*100)&lt;-50,"NM",(DY174/DQ174-1)*100)))</f>
        <v>NA</v>
      </c>
      <c r="EA174" s="229">
        <f>EA100</f>
        <v>0</v>
      </c>
      <c r="EB174" s="81" t="str">
        <f>IF(ISERROR((EA174/DS174-1)*100),"NA",IF(((EA174/DS174-1)*100)&gt;100,"NM",IF(((EA174/DS174-1)*100)&lt;-50,"NM",(EA174/DS174-1)*100)))</f>
        <v>NA</v>
      </c>
      <c r="EC174" s="229">
        <f>EC100</f>
        <v>0</v>
      </c>
      <c r="ED174" s="81" t="str">
        <f t="shared" ref="ED174:ED175" si="581">IF(ISERROR((EC174/DU174-1)*100),"NA",IF(((EC174/DU174-1)*100)&gt;100,"NM",IF(((EC174/DU174-1)*100)&lt;-50,"NM",(EC174/DU174-1)*100)))</f>
        <v>NA</v>
      </c>
      <c r="EE174" s="229">
        <f>EE100</f>
        <v>0</v>
      </c>
      <c r="EF174" s="81" t="str">
        <f t="shared" ref="EF174:EF175" si="582">IF(ISERROR((EE174/DW174-1)*100),"NA",IF(((EE174/DW174-1)*100)&gt;100,"NM",IF(((EE174/DW174-1)*100)&lt;-50,"NM",(EE174/DW174-1)*100)))</f>
        <v>NA</v>
      </c>
      <c r="EG174" s="229">
        <f>EG100</f>
        <v>0</v>
      </c>
      <c r="EH174" s="81" t="str">
        <f t="shared" ref="EH174:EH175" si="583">IF(ISERROR((EG174/DY174-1)*100),"NA",IF(((EG174/DY174-1)*100)&gt;100,"NM",IF(((EG174/DY174-1)*100)&lt;-50,"NM",(EG174/DY174-1)*100)))</f>
        <v>NA</v>
      </c>
      <c r="EI174" s="229">
        <f>EI100</f>
        <v>0</v>
      </c>
      <c r="EJ174" s="81" t="str">
        <f t="shared" ref="EJ174:EJ175" si="584">IF(ISERROR((EI174/EA174-1)*100),"NA",IF(((EI174/EA174-1)*100)&gt;100,"NM",IF(((EI174/EA174-1)*100)&lt;-50,"NM",(EI174/EA174-1)*100)))</f>
        <v>NA</v>
      </c>
      <c r="EK174" s="229"/>
      <c r="EL174" s="81" t="str">
        <f t="shared" ref="EL174:EL175" si="585">IF(ISERROR((EK174/EC174-1)*100),"NA",IF(((EK174/EC174-1)*100)&gt;100,"NM",IF(((EK174/EC174-1)*100)&lt;-50,"NM",(EK174/EC174-1)*100)))</f>
        <v>NA</v>
      </c>
      <c r="EM174" s="229"/>
      <c r="EN174" s="81" t="str">
        <f t="shared" ref="EN174:EN175" si="586">IF(ISERROR((EM174/EE174-1)*100),"NA",IF(((EM174/EE174-1)*100)&gt;100,"NM",IF(((EM174/EE174-1)*100)&lt;-50,"NM",(EM174/EE174-1)*100)))</f>
        <v>NA</v>
      </c>
      <c r="EO174" s="229"/>
      <c r="EP174" s="81" t="str">
        <f t="shared" ref="EP174:EP175" si="587">IF(ISERROR((EO174/EG174-1)*100),"NA",IF(((EO174/EG174-1)*100)&gt;100,"NM",IF(((EO174/EG174-1)*100)&lt;-50,"NM",(EO174/EG174-1)*100)))</f>
        <v>NA</v>
      </c>
      <c r="EQ174" s="229"/>
      <c r="ER174" s="81" t="str">
        <f t="shared" ref="ER174:ER175" si="588">IF(ISERROR((EQ174/EI174-1)*100),"NA",IF(((EQ174/EI174-1)*100)&gt;100,"NM",IF(((EQ174/EI174-1)*100)&lt;-50,"NM",(EQ174/EI174-1)*100)))</f>
        <v>NA</v>
      </c>
      <c r="ES174" s="82"/>
      <c r="ET174" s="469"/>
      <c r="EU174" s="82"/>
      <c r="EV174" s="171"/>
      <c r="EW174" s="79"/>
      <c r="EX174" s="171"/>
      <c r="EY174" s="79"/>
      <c r="EZ174" s="171"/>
      <c r="FA174" s="79"/>
      <c r="FB174" s="185"/>
      <c r="FC174" s="79"/>
      <c r="FD174" s="228">
        <f>FD100</f>
        <v>274.10000000000002</v>
      </c>
      <c r="FE174" s="79" t="str">
        <f t="shared" ref="FE174:FE181" si="589">IF(ISERROR((FD174/FB174-1)*100),"NA",IF(((FD174/FB174-1)*100)&gt;100,"NM",IF(((FD174/FB174-1)*100)&lt;-50,"NM",(FD174/FB174-1)*100)))</f>
        <v>NA</v>
      </c>
      <c r="FF174" s="228">
        <f>FF100</f>
        <v>241.6</v>
      </c>
      <c r="FG174" s="79">
        <f t="shared" ref="FG174:FG181" si="590">IF(ISERROR((FF174/FD174-1)*100),"NA",IF(((FF174/FD174-1)*100)&gt;100,"NM",IF(((FF174/FD174-1)*100)&lt;-50,"NM",(FF174/FD174-1)*100)))</f>
        <v>-11.856986501276911</v>
      </c>
      <c r="FH174" s="228">
        <f>FH100</f>
        <v>166.5</v>
      </c>
      <c r="FI174" s="79">
        <f t="shared" ref="FI174:FI181" si="591">IF(ISERROR((FH174/FF174-1)*100),"NA",IF(((FH174/FF174-1)*100)&gt;100,"NM",IF(((FH174/FF174-1)*100)&lt;-50,"NM",(FH174/FF174-1)*100)))</f>
        <v>-31.084437086092709</v>
      </c>
      <c r="FJ174" s="171"/>
      <c r="FK174" s="79" t="str">
        <f t="shared" ref="FK174:FK181" si="592">IF(ISERROR((FJ174/FH174-1)*100),"NA",IF(((FJ174/FH174-1)*100)&gt;100,"NM",IF(((FJ174/FH174-1)*100)&lt;-50,"NM",(FJ174/FH174-1)*100)))</f>
        <v>NM</v>
      </c>
      <c r="FL174" s="171"/>
      <c r="FM174" s="79" t="str">
        <f t="shared" ref="FM174:FM181" si="593">IF(ISERROR((FL174/FJ174-1)*100),"NA",IF(((FL174/FJ174-1)*100)&gt;100,"NM",IF(((FL174/FJ174-1)*100)&lt;-50,"NM",(FL174/FJ174-1)*100)))</f>
        <v>NA</v>
      </c>
      <c r="FN174" s="171"/>
      <c r="FO174" s="79" t="str">
        <f t="shared" ref="FO174:FO181" si="594">IF(ISERROR((FN174/FL174-1)*100),"NA",IF(((FN174/FL174-1)*100)&gt;100,"NM",IF(((FN174/FL174-1)*100)&lt;-50,"NM",(FN174/FL174-1)*100)))</f>
        <v>NA</v>
      </c>
      <c r="FP174" s="171"/>
      <c r="FQ174" s="79" t="str">
        <f t="shared" ref="FQ174:FQ181" si="595">IF(ISERROR((FP174/FN174-1)*100),"NA",IF(((FP174/FN174-1)*100)&gt;100,"NM",IF(((FP174/FN174-1)*100)&lt;-50,"NM",(FP174/FN174-1)*100)))</f>
        <v>NA</v>
      </c>
      <c r="FR174" s="229">
        <f>FR100</f>
        <v>184.9</v>
      </c>
      <c r="FS174" s="79" t="str">
        <f t="shared" ref="FS174:FS181" si="596">IF(ISERROR((FR174/FP174-1)*100),"NA",IF(((FR174/FP174-1)*100)&gt;100,"NM",IF(((FR174/FP174-1)*100)&lt;-50,"NM",(FR174/FP174-1)*100)))</f>
        <v>NA</v>
      </c>
      <c r="FT174" s="229">
        <f>FT100</f>
        <v>166.89999999999998</v>
      </c>
      <c r="FU174" s="79">
        <f t="shared" ref="FU174:FU181" si="597">IF(ISERROR((FT174/FR174-1)*100),"NA",IF(((FT174/FR174-1)*100)&gt;100,"NM",IF(((FT174/FR174-1)*100)&lt;-50,"NM",(FT174/FR174-1)*100)))</f>
        <v>-9.7349918875067729</v>
      </c>
      <c r="FV174" s="229">
        <f>FV100</f>
        <v>185.3</v>
      </c>
      <c r="FW174" s="79">
        <f t="shared" ref="FW174:FW181" si="598">IF(ISERROR((FV174/FT174-1)*100),"NA",IF(((FV174/FT174-1)*100)&gt;100,"NM",IF(((FV174/FT174-1)*100)&lt;-50,"NM",(FV174/FT174-1)*100)))</f>
        <v>11.024565608148617</v>
      </c>
      <c r="FX174" s="229">
        <f>FX100</f>
        <v>188</v>
      </c>
      <c r="FY174" s="79">
        <f t="shared" ref="FY174:FY181" si="599">IF(ISERROR((FX174/FV174-1)*100),"NA",IF(((FX174/FV174-1)*100)&gt;100,"NM",IF(((FX174/FV174-1)*100)&lt;-50,"NM",(FX174/FV174-1)*100)))</f>
        <v>1.4570966001079322</v>
      </c>
      <c r="FZ174" s="229">
        <f>FZ100</f>
        <v>90.600000000000009</v>
      </c>
      <c r="GA174" s="79" t="str">
        <f t="shared" ref="GA174:GQ182" si="600">IF(ISERROR((FZ174/FX174-1)*100),"NA",IF(((FZ174/FX174-1)*100)&gt;100,"NM",IF(((FZ174/FX174-1)*100)&lt;-50,"NM",(FZ174/FX174-1)*100)))</f>
        <v>NM</v>
      </c>
      <c r="GB174" s="229">
        <f t="shared" ref="GB174:GB181" si="601">DE174+DG174+DI174+DK174</f>
        <v>0</v>
      </c>
      <c r="GC174" s="79" t="str">
        <f t="shared" si="600"/>
        <v>NM</v>
      </c>
      <c r="GD174" s="229">
        <f>DG174+DI174+DK174+DM174</f>
        <v>0</v>
      </c>
      <c r="GE174" s="79" t="str">
        <f t="shared" si="600"/>
        <v>NA</v>
      </c>
      <c r="GF174" s="229"/>
      <c r="GG174" s="79" t="str">
        <f t="shared" si="600"/>
        <v>NA</v>
      </c>
      <c r="GH174" s="229"/>
      <c r="GI174" s="79" t="str">
        <f t="shared" si="600"/>
        <v>NA</v>
      </c>
      <c r="GJ174" s="229"/>
      <c r="GK174" s="79" t="str">
        <f t="shared" si="600"/>
        <v>NA</v>
      </c>
      <c r="GL174" s="229"/>
      <c r="GM174" s="79" t="str">
        <f t="shared" si="600"/>
        <v>NA</v>
      </c>
      <c r="GN174" s="229"/>
      <c r="GO174" s="79" t="str">
        <f t="shared" si="600"/>
        <v>NA</v>
      </c>
      <c r="GP174" s="229"/>
      <c r="GQ174" s="79" t="str">
        <f t="shared" si="600"/>
        <v>NA</v>
      </c>
      <c r="GR174" s="229"/>
      <c r="GS174" s="79" t="str">
        <f t="shared" ref="GS174:GS181" si="602">IF(ISERROR((GR174/GP174-1)*100),"NA",IF(((GR174/GP174-1)*100)&gt;100,"NM",IF(((GR174/GP174-1)*100)&lt;-50,"NM",(GR174/GP174-1)*100)))</f>
        <v>NA</v>
      </c>
      <c r="GT174" s="79"/>
    </row>
    <row r="175" spans="1:286" ht="12.75" hidden="1" customHeight="1" outlineLevel="1" x14ac:dyDescent="0.2">
      <c r="A175" s="1"/>
      <c r="B175" s="2" t="str">
        <f>B101</f>
        <v xml:space="preserve">  Accidental Death &amp; Dismemberment</v>
      </c>
      <c r="C175" s="171"/>
      <c r="D175" s="171"/>
      <c r="E175" s="171"/>
      <c r="F175" s="171"/>
      <c r="G175" s="171"/>
      <c r="H175" s="171"/>
      <c r="I175" s="171"/>
      <c r="J175" s="171"/>
      <c r="K175" s="171"/>
      <c r="L175" s="79"/>
      <c r="M175" s="171"/>
      <c r="N175" s="79"/>
      <c r="O175" s="171"/>
      <c r="P175" s="79"/>
      <c r="Q175" s="171"/>
      <c r="R175" s="79"/>
      <c r="S175" s="171"/>
      <c r="T175" s="79"/>
      <c r="U175" s="171"/>
      <c r="V175" s="79"/>
      <c r="W175" s="171"/>
      <c r="X175" s="79"/>
      <c r="Y175" s="171"/>
      <c r="Z175" s="79"/>
      <c r="AA175" s="172"/>
      <c r="AB175" s="79"/>
      <c r="AC175" s="228">
        <f>AC101</f>
        <v>2.4999999999999996</v>
      </c>
      <c r="AD175" s="79" t="str">
        <f t="shared" si="567"/>
        <v>NA</v>
      </c>
      <c r="AE175" s="228">
        <f>AE101</f>
        <v>3.6</v>
      </c>
      <c r="AF175" s="79" t="str">
        <f t="shared" si="568"/>
        <v>NA</v>
      </c>
      <c r="AG175" s="228">
        <f>AG101</f>
        <v>2.1</v>
      </c>
      <c r="AH175" s="79" t="str">
        <f t="shared" si="569"/>
        <v>NA</v>
      </c>
      <c r="AI175" s="228">
        <f>AI101</f>
        <v>4.6000000000000014</v>
      </c>
      <c r="AJ175" s="79" t="str">
        <f t="shared" si="570"/>
        <v>NA</v>
      </c>
      <c r="AK175" s="228">
        <f>AK101</f>
        <v>3.4000000000000004</v>
      </c>
      <c r="AL175" s="79">
        <f t="shared" si="571"/>
        <v>36.000000000000028</v>
      </c>
      <c r="AM175" s="228">
        <f>AM101</f>
        <v>3.3</v>
      </c>
      <c r="AN175" s="79">
        <f>IF(ISERROR((AM175/AE175-1)*100),"NA",IF(((AM175/AE175-1)*100)&gt;100,"NM",IF(((AM175/AE175-1)*100)&lt;-50,"NM",(AM175/AE175-1)*100)))</f>
        <v>-8.3333333333333375</v>
      </c>
      <c r="AO175" s="228">
        <f>AO101</f>
        <v>1.7</v>
      </c>
      <c r="AP175" s="79">
        <f>IF(ISERROR((AO175/AG175-1)*100),"NA",IF(((AO175/AG175-1)*100)&gt;100,"NM",IF(((AO175/AG175-1)*100)&lt;-50,"NM",(AO175/AG175-1)*100)))</f>
        <v>-19.047619047619058</v>
      </c>
      <c r="AQ175" s="228">
        <f>AQ101</f>
        <v>6.3</v>
      </c>
      <c r="AR175" s="79">
        <f>IF(ISERROR((AQ175/AI175-1)*100),"NA",IF(((AQ175/AI175-1)*100)&gt;100,"NM",IF(((AQ175/AI175-1)*100)&lt;-50,"NM",(AQ175/AI175-1)*100)))</f>
        <v>36.956521739130402</v>
      </c>
      <c r="AS175" s="229">
        <f>AS101</f>
        <v>2.8</v>
      </c>
      <c r="AT175" s="81">
        <f>IF(ISERROR((AS175/AK175-1)*100),"NA",IF(((AS175/AK175-1)*100)&gt;100,"NM",IF(((AS175/AK175-1)*100)&lt;-50,"NM",(AS175/AK175-1)*100)))</f>
        <v>-17.647058823529427</v>
      </c>
      <c r="AU175" s="229">
        <f>AU101</f>
        <v>3.1</v>
      </c>
      <c r="AV175" s="81">
        <f>IF(ISERROR((AU175/AM175-1)*100),"NA",IF(((AU175/AM175-1)*100)&gt;100,"NM",IF(((AU175/AM175-1)*100)&lt;-50,"NM",(AU175/AM175-1)*100)))</f>
        <v>-6.0606060606060552</v>
      </c>
      <c r="AW175" s="229">
        <f>AW101</f>
        <v>1.8</v>
      </c>
      <c r="AX175" s="81">
        <f>IF(ISERROR((AW175/AO175-1)*100),"NA",IF(((AW175/AO175-1)*100)&gt;100,"NM",IF(((AW175/AO175-1)*100)&lt;-50,"NM",(AW175/AO175-1)*100)))</f>
        <v>5.8823529411764719</v>
      </c>
      <c r="AY175" s="229">
        <f>AY101</f>
        <v>6</v>
      </c>
      <c r="AZ175" s="81">
        <f>IF(ISERROR((AY175/AQ175-1)*100),"NA",IF(((AY175/AQ175-1)*100)&gt;100,"NM",IF(((AY175/AQ175-1)*100)&lt;-50,"NM",(AY175/AQ175-1)*100)))</f>
        <v>-4.7619047619047556</v>
      </c>
      <c r="BA175" s="229">
        <f>BA101</f>
        <v>2</v>
      </c>
      <c r="BB175" s="81">
        <f>IF(ISERROR((BA175/AS175-1)*100),"NA",IF(((BA175/AS175-1)*100)&gt;100,"NM",IF(((BA175/AS175-1)*100)&lt;-50,"NM",(BA175/AS175-1)*100)))</f>
        <v>-28.571428571428569</v>
      </c>
      <c r="BC175" s="229">
        <f>BC101</f>
        <v>3.2</v>
      </c>
      <c r="BD175" s="81">
        <f>IF(ISERROR((BC175/AU175-1)*100),"NA",IF(((BC175/AU175-1)*100)&gt;100,"NM",IF(((BC175/AU175-1)*100)&lt;-50,"NM",(BC175/AU175-1)*100)))</f>
        <v>3.2258064516129004</v>
      </c>
      <c r="BE175" s="229">
        <f>BE101</f>
        <v>2.4</v>
      </c>
      <c r="BF175" s="81">
        <f t="shared" si="572"/>
        <v>33.333333333333329</v>
      </c>
      <c r="BG175" s="229">
        <f>BG101</f>
        <v>6.2</v>
      </c>
      <c r="BH175" s="81">
        <f t="shared" si="556"/>
        <v>3.3333333333333437</v>
      </c>
      <c r="BI175" s="229">
        <f>BI101</f>
        <v>2.9</v>
      </c>
      <c r="BJ175" s="81">
        <f t="shared" si="557"/>
        <v>44.999999999999993</v>
      </c>
      <c r="BK175" s="229">
        <f>BK101</f>
        <v>3.4</v>
      </c>
      <c r="BL175" s="81">
        <f t="shared" si="545"/>
        <v>6.25</v>
      </c>
      <c r="BM175" s="229">
        <f>BM101</f>
        <v>1.7</v>
      </c>
      <c r="BN175" s="81"/>
      <c r="BO175" s="229">
        <f>BO101</f>
        <v>9.1999999999999993</v>
      </c>
      <c r="BP175" s="81"/>
      <c r="BQ175" s="229">
        <f>BQ101</f>
        <v>2.9</v>
      </c>
      <c r="BR175" s="81">
        <f t="shared" ref="BR175:BR181" si="603">IF(ISERROR((BQ175/BI175-1)*100),"NA",IF(((BQ175/BI175-1)*100)&gt;100,"NM",IF(((BQ175/BI175-1)*100)&lt;-50,"NM",(BQ175/BI175-1)*100)))</f>
        <v>0</v>
      </c>
      <c r="BS175" s="229">
        <f>BS101</f>
        <v>5.0999999999999996</v>
      </c>
      <c r="BT175" s="81"/>
      <c r="BU175" s="229">
        <f>BU101</f>
        <v>2.9</v>
      </c>
      <c r="BV175" s="81"/>
      <c r="BW175" s="229">
        <f>BW101</f>
        <v>7.8</v>
      </c>
      <c r="BX175" s="81"/>
      <c r="BY175" s="229">
        <f>BY101</f>
        <v>3.5</v>
      </c>
      <c r="BZ175" s="81"/>
      <c r="CA175" s="229">
        <f>CA101</f>
        <v>3.7</v>
      </c>
      <c r="CB175" s="81"/>
      <c r="CC175" s="229">
        <f>CC101</f>
        <v>2.6</v>
      </c>
      <c r="CD175" s="81"/>
      <c r="CE175" s="229">
        <f>CE101</f>
        <v>8.3000000000000007</v>
      </c>
      <c r="CF175" s="81"/>
      <c r="CG175" s="229">
        <f>CG101</f>
        <v>2.5</v>
      </c>
      <c r="CH175" s="81"/>
      <c r="CI175" s="229">
        <f>CI101</f>
        <v>3.8</v>
      </c>
      <c r="CJ175" s="81"/>
      <c r="CK175" s="229">
        <f>CK101</f>
        <v>2.6</v>
      </c>
      <c r="CL175" s="81"/>
      <c r="CM175" s="229">
        <f>CM101</f>
        <v>8.6999999999999993</v>
      </c>
      <c r="CN175" s="81">
        <f>IF(ISERROR((CM175/CE175-1)*100),"NA",IF(((CM175/CE175-1)*100)&gt;100,"NM",IF(((CM175/CE175-1)*100)&lt;-50,"NM",(CM175/CE175-1)*100)))</f>
        <v>4.8192771084337283</v>
      </c>
      <c r="CO175" s="229">
        <f>CO101</f>
        <v>2.9</v>
      </c>
      <c r="CP175" s="81">
        <f>IF(ISERROR((CO175/CG175-1)*100),"NA",IF(((CO175/CG175-1)*100)&gt;100,"NM",IF(((CO175/CG175-1)*100)&lt;-50,"NM",(CO175/CG175-1)*100)))</f>
        <v>15.999999999999993</v>
      </c>
      <c r="CQ175" s="229">
        <f>CQ101</f>
        <v>4.9000000000000004</v>
      </c>
      <c r="CR175" s="81">
        <f>IF(ISERROR((CQ175/CI175-1)*100),"NA",IF(((CQ175/CI175-1)*100)&gt;100,"NM",IF(((CQ175/CI175-1)*100)&lt;-50,"NM",(CQ175/CI175-1)*100)))</f>
        <v>28.947368421052655</v>
      </c>
      <c r="CS175" s="229">
        <f>CS101</f>
        <v>2.2000000000000002</v>
      </c>
      <c r="CT175" s="81">
        <f>IF(ISERROR((CS175/CK175-1)*100),"NA",IF(((CS175/CK175-1)*100)&gt;100,"NM",IF(((CS175/CK175-1)*100)&lt;-50,"NM",(CS175/CK175-1)*100)))</f>
        <v>-15.384615384615385</v>
      </c>
      <c r="CU175" s="229">
        <f>CU101</f>
        <v>9.5</v>
      </c>
      <c r="CV175" s="81">
        <f>IF(ISERROR((CU175/CM175-1)*100),"NA",IF(((CU175/CM175-1)*100)&gt;100,"NM",IF(((CU175/CM175-1)*100)&lt;-50,"NM",(CU175/CM175-1)*100)))</f>
        <v>9.1954022988505848</v>
      </c>
      <c r="CW175" s="229">
        <f>CW101</f>
        <v>3.1</v>
      </c>
      <c r="CX175" s="81">
        <f t="shared" si="573"/>
        <v>6.8965517241379448</v>
      </c>
      <c r="CY175" s="229">
        <f>CY101</f>
        <v>2.9</v>
      </c>
      <c r="CZ175" s="81">
        <f t="shared" si="574"/>
        <v>-40.816326530612244</v>
      </c>
      <c r="DA175" s="229">
        <f>DA101</f>
        <v>2.2000000000000002</v>
      </c>
      <c r="DB175" s="81">
        <f t="shared" si="575"/>
        <v>0</v>
      </c>
      <c r="DC175" s="229">
        <f>DC101</f>
        <v>0</v>
      </c>
      <c r="DD175" s="81" t="str">
        <f t="shared" si="576"/>
        <v>NM</v>
      </c>
      <c r="DE175" s="229">
        <f>DE101</f>
        <v>0</v>
      </c>
      <c r="DF175" s="81" t="str">
        <f t="shared" si="577"/>
        <v>NM</v>
      </c>
      <c r="DG175" s="229">
        <f>DG101</f>
        <v>0</v>
      </c>
      <c r="DH175" s="81" t="str">
        <f t="shared" si="578"/>
        <v>NM</v>
      </c>
      <c r="DI175" s="229">
        <f>DI101</f>
        <v>0</v>
      </c>
      <c r="DJ175" s="81" t="str">
        <f t="shared" si="579"/>
        <v>NM</v>
      </c>
      <c r="DK175" s="229">
        <f>DK101</f>
        <v>0</v>
      </c>
      <c r="DL175" s="81" t="str">
        <f t="shared" si="580"/>
        <v>NA</v>
      </c>
      <c r="DM175" s="229">
        <f>DM101</f>
        <v>0</v>
      </c>
      <c r="DN175" s="81" t="str">
        <f>IF(ISERROR((DM175/DE175-1)*100),"NA",IF(((DM175/DE175-1)*100)&gt;100,"NM",IF(((DM175/DE175-1)*100)&lt;-50,"NM",(DM175/DE175-1)*100)))</f>
        <v>NA</v>
      </c>
      <c r="DO175" s="229">
        <f>DO101</f>
        <v>0</v>
      </c>
      <c r="DP175" s="81" t="str">
        <f>IF(ISERROR((DO175/DG175-1)*100),"NA",IF(((DO175/DG175-1)*100)&gt;100,"NM",IF(((DO175/DG175-1)*100)&lt;-50,"NM",(DO175/DG175-1)*100)))</f>
        <v>NA</v>
      </c>
      <c r="DQ175" s="229">
        <f>DQ101</f>
        <v>0</v>
      </c>
      <c r="DR175" s="81" t="str">
        <f>IF(ISERROR((DQ175/DI175-1)*100),"NA",IF(((DQ175/DI175-1)*100)&gt;100,"NM",IF(((DQ175/DI175-1)*100)&lt;-50,"NM",(DQ175/DI175-1)*100)))</f>
        <v>NA</v>
      </c>
      <c r="DS175" s="229">
        <f>DS101</f>
        <v>0</v>
      </c>
      <c r="DT175" s="81" t="str">
        <f>IF(ISERROR((DS175/DK175-1)*100),"NA",IF(((DS175/DK175-1)*100)&gt;100,"NM",IF(((DS175/DK175-1)*100)&lt;-50,"NM",(DS175/DK175-1)*100)))</f>
        <v>NA</v>
      </c>
      <c r="DU175" s="229">
        <f>DU101</f>
        <v>0</v>
      </c>
      <c r="DV175" s="81" t="str">
        <f>IF(ISERROR((DU175/DM175-1)*100),"NA",IF(((DU175/DM175-1)*100)&gt;100,"NM",IF(((DU175/DM175-1)*100)&lt;-50,"NM",(DU175/DM175-1)*100)))</f>
        <v>NA</v>
      </c>
      <c r="DW175" s="229">
        <f>DW101</f>
        <v>0</v>
      </c>
      <c r="DX175" s="81" t="str">
        <f>IF(ISERROR((DW175/DO175-1)*100),"NA",IF(((DW175/DO175-1)*100)&gt;100,"NM",IF(((DW175/DO175-1)*100)&lt;-50,"NM",(DW175/DO175-1)*100)))</f>
        <v>NA</v>
      </c>
      <c r="DY175" s="229">
        <f>DY101</f>
        <v>0</v>
      </c>
      <c r="DZ175" s="81" t="str">
        <f>IF(ISERROR((DY175/DQ175-1)*100),"NA",IF(((DY175/DQ175-1)*100)&gt;100,"NM",IF(((DY175/DQ175-1)*100)&lt;-50,"NM",(DY175/DQ175-1)*100)))</f>
        <v>NA</v>
      </c>
      <c r="EA175" s="229">
        <f>EA101</f>
        <v>0</v>
      </c>
      <c r="EB175" s="81" t="str">
        <f>IF(ISERROR((EA175/DS175-1)*100),"NA",IF(((EA175/DS175-1)*100)&gt;100,"NM",IF(((EA175/DS175-1)*100)&lt;-50,"NM",(EA175/DS175-1)*100)))</f>
        <v>NA</v>
      </c>
      <c r="EC175" s="229">
        <f>EC101</f>
        <v>0</v>
      </c>
      <c r="ED175" s="81" t="str">
        <f t="shared" si="581"/>
        <v>NA</v>
      </c>
      <c r="EE175" s="229">
        <f>EE101</f>
        <v>0</v>
      </c>
      <c r="EF175" s="81" t="str">
        <f t="shared" si="582"/>
        <v>NA</v>
      </c>
      <c r="EG175" s="229">
        <f>EG101</f>
        <v>0</v>
      </c>
      <c r="EH175" s="81" t="str">
        <f t="shared" si="583"/>
        <v>NA</v>
      </c>
      <c r="EI175" s="229">
        <f>EI101</f>
        <v>0</v>
      </c>
      <c r="EJ175" s="81" t="str">
        <f t="shared" si="584"/>
        <v>NA</v>
      </c>
      <c r="EK175" s="229"/>
      <c r="EL175" s="81" t="str">
        <f t="shared" si="585"/>
        <v>NA</v>
      </c>
      <c r="EM175" s="229"/>
      <c r="EN175" s="81" t="str">
        <f t="shared" si="586"/>
        <v>NA</v>
      </c>
      <c r="EO175" s="229"/>
      <c r="EP175" s="81" t="str">
        <f t="shared" si="587"/>
        <v>NA</v>
      </c>
      <c r="EQ175" s="229"/>
      <c r="ER175" s="81" t="str">
        <f t="shared" si="588"/>
        <v>NA</v>
      </c>
      <c r="ES175" s="82"/>
      <c r="ET175" s="469"/>
      <c r="EU175" s="82"/>
      <c r="EV175" s="171"/>
      <c r="EW175" s="79"/>
      <c r="EX175" s="171"/>
      <c r="EY175" s="79"/>
      <c r="EZ175" s="171"/>
      <c r="FA175" s="79"/>
      <c r="FB175" s="185"/>
      <c r="FC175" s="79"/>
      <c r="FD175" s="228">
        <f>FD101</f>
        <v>41.1</v>
      </c>
      <c r="FE175" s="79" t="str">
        <f t="shared" si="589"/>
        <v>NA</v>
      </c>
      <c r="FF175" s="228">
        <f>FF101</f>
        <v>26.6</v>
      </c>
      <c r="FG175" s="79">
        <f t="shared" si="590"/>
        <v>-35.279805352798057</v>
      </c>
      <c r="FH175" s="228">
        <f>FH101</f>
        <v>12.8</v>
      </c>
      <c r="FI175" s="79" t="str">
        <f t="shared" si="591"/>
        <v>NM</v>
      </c>
      <c r="FJ175" s="171"/>
      <c r="FK175" s="79" t="str">
        <f t="shared" si="592"/>
        <v>NM</v>
      </c>
      <c r="FL175" s="171"/>
      <c r="FM175" s="79" t="str">
        <f t="shared" si="593"/>
        <v>NA</v>
      </c>
      <c r="FN175" s="171"/>
      <c r="FO175" s="79" t="str">
        <f t="shared" si="594"/>
        <v>NA</v>
      </c>
      <c r="FP175" s="171"/>
      <c r="FQ175" s="79" t="str">
        <f t="shared" si="595"/>
        <v>NA</v>
      </c>
      <c r="FR175" s="229">
        <f>FR101</f>
        <v>18.7</v>
      </c>
      <c r="FS175" s="79" t="str">
        <f t="shared" si="596"/>
        <v>NA</v>
      </c>
      <c r="FT175" s="229">
        <f>FT101</f>
        <v>18.100000000000001</v>
      </c>
      <c r="FU175" s="79">
        <f t="shared" si="597"/>
        <v>-3.2085561497326109</v>
      </c>
      <c r="FV175" s="229">
        <f>FV101</f>
        <v>17.600000000000001</v>
      </c>
      <c r="FW175" s="79">
        <f t="shared" si="598"/>
        <v>-2.7624309392265234</v>
      </c>
      <c r="FX175" s="229">
        <f>FX101</f>
        <v>19.5</v>
      </c>
      <c r="FY175" s="79">
        <f t="shared" si="599"/>
        <v>10.795454545454541</v>
      </c>
      <c r="FZ175" s="229">
        <f>FZ101</f>
        <v>8.1999999999999993</v>
      </c>
      <c r="GA175" s="79" t="str">
        <f t="shared" si="600"/>
        <v>NM</v>
      </c>
      <c r="GB175" s="229">
        <f t="shared" si="601"/>
        <v>0</v>
      </c>
      <c r="GC175" s="79" t="str">
        <f t="shared" si="600"/>
        <v>NM</v>
      </c>
      <c r="GD175" s="229">
        <f>DG175+DI175+DK175+DM175</f>
        <v>0</v>
      </c>
      <c r="GE175" s="79" t="str">
        <f t="shared" si="600"/>
        <v>NA</v>
      </c>
      <c r="GF175" s="229"/>
      <c r="GG175" s="79" t="str">
        <f t="shared" si="600"/>
        <v>NA</v>
      </c>
      <c r="GH175" s="229"/>
      <c r="GI175" s="79" t="str">
        <f t="shared" si="600"/>
        <v>NA</v>
      </c>
      <c r="GJ175" s="229"/>
      <c r="GK175" s="79" t="str">
        <f t="shared" si="600"/>
        <v>NA</v>
      </c>
      <c r="GL175" s="229"/>
      <c r="GM175" s="79" t="str">
        <f t="shared" si="600"/>
        <v>NA</v>
      </c>
      <c r="GN175" s="229"/>
      <c r="GO175" s="79" t="str">
        <f t="shared" si="600"/>
        <v>NA</v>
      </c>
      <c r="GP175" s="229"/>
      <c r="GQ175" s="79" t="str">
        <f t="shared" si="600"/>
        <v>NA</v>
      </c>
      <c r="GR175" s="229"/>
      <c r="GS175" s="79" t="str">
        <f t="shared" si="602"/>
        <v>NA</v>
      </c>
      <c r="GT175" s="79"/>
    </row>
    <row r="176" spans="1:286" ht="12.75" customHeight="1" collapsed="1" x14ac:dyDescent="0.2">
      <c r="A176" s="1"/>
      <c r="B176" s="2" t="s">
        <v>81</v>
      </c>
      <c r="C176" s="171"/>
      <c r="D176" s="171"/>
      <c r="E176" s="171"/>
      <c r="F176" s="171"/>
      <c r="G176" s="171"/>
      <c r="H176" s="171"/>
      <c r="I176" s="171"/>
      <c r="J176" s="171"/>
      <c r="K176" s="171"/>
      <c r="L176" s="79"/>
      <c r="M176" s="171"/>
      <c r="N176" s="79"/>
      <c r="O176" s="171"/>
      <c r="P176" s="79"/>
      <c r="Q176" s="171"/>
      <c r="R176" s="79"/>
      <c r="S176" s="171"/>
      <c r="T176" s="79"/>
      <c r="U176" s="171"/>
      <c r="V176" s="79"/>
      <c r="W176" s="171"/>
      <c r="X176" s="79"/>
      <c r="Y176" s="171"/>
      <c r="Z176" s="79"/>
      <c r="AA176" s="172"/>
      <c r="AB176" s="79"/>
      <c r="AC176" s="228"/>
      <c r="AD176" s="79"/>
      <c r="AE176" s="228"/>
      <c r="AF176" s="79"/>
      <c r="AG176" s="228"/>
      <c r="AH176" s="79"/>
      <c r="AI176" s="228"/>
      <c r="AJ176" s="79"/>
      <c r="AK176" s="228"/>
      <c r="AL176" s="79"/>
      <c r="AM176" s="228"/>
      <c r="AN176" s="79"/>
      <c r="AO176" s="228"/>
      <c r="AP176" s="79"/>
      <c r="AQ176" s="228"/>
      <c r="AR176" s="79"/>
      <c r="AS176" s="229"/>
      <c r="AT176" s="81"/>
      <c r="AU176" s="229"/>
      <c r="AV176" s="81"/>
      <c r="AW176" s="229"/>
      <c r="AX176" s="81"/>
      <c r="AY176" s="229"/>
      <c r="AZ176" s="81"/>
      <c r="BA176" s="229"/>
      <c r="BB176" s="81"/>
      <c r="BC176" s="229"/>
      <c r="BD176" s="81"/>
      <c r="BE176" s="229"/>
      <c r="BF176" s="81"/>
      <c r="BG176" s="229"/>
      <c r="BH176" s="81"/>
      <c r="BI176" s="229"/>
      <c r="BJ176" s="81"/>
      <c r="BK176" s="229"/>
      <c r="BL176" s="81"/>
      <c r="BM176" s="229"/>
      <c r="BN176" s="81"/>
      <c r="BO176" s="229"/>
      <c r="BP176" s="81"/>
      <c r="BQ176" s="229"/>
      <c r="BR176" s="81"/>
      <c r="BS176" s="229"/>
      <c r="BT176" s="81"/>
      <c r="BU176" s="229"/>
      <c r="BV176" s="81"/>
      <c r="BW176" s="229"/>
      <c r="BX176" s="81"/>
      <c r="BY176" s="229"/>
      <c r="BZ176" s="81"/>
      <c r="CA176" s="229"/>
      <c r="CB176" s="81"/>
      <c r="CC176" s="229"/>
      <c r="CD176" s="81"/>
      <c r="CE176" s="229"/>
      <c r="CF176" s="81"/>
      <c r="CG176" s="229"/>
      <c r="CH176" s="81"/>
      <c r="CI176" s="229"/>
      <c r="CJ176" s="81"/>
      <c r="CK176" s="229"/>
      <c r="CL176" s="81"/>
      <c r="CM176" s="229"/>
      <c r="CN176" s="81"/>
      <c r="CO176" s="229">
        <f>CO174+CO175</f>
        <v>35.9</v>
      </c>
      <c r="CP176" s="81"/>
      <c r="CQ176" s="229">
        <f>CQ174+CQ175</f>
        <v>50.1</v>
      </c>
      <c r="CR176" s="81"/>
      <c r="CS176" s="229">
        <f>CS174+CS175</f>
        <v>26.7</v>
      </c>
      <c r="CT176" s="81"/>
      <c r="CU176" s="229">
        <f>CU174+CU175</f>
        <v>94.8</v>
      </c>
      <c r="CV176" s="81"/>
      <c r="CW176" s="229">
        <f>CW174+CW175</f>
        <v>36.800000000000004</v>
      </c>
      <c r="CX176" s="81"/>
      <c r="CY176" s="229">
        <f>CY174+CY175</f>
        <v>36.5</v>
      </c>
      <c r="CZ176" s="81">
        <f t="shared" si="574"/>
        <v>-27.145708582834338</v>
      </c>
      <c r="DA176" s="229">
        <f>DA174+DA175</f>
        <v>25.5</v>
      </c>
      <c r="DB176" s="81">
        <f t="shared" si="575"/>
        <v>-4.4943820224719104</v>
      </c>
      <c r="DC176" s="229">
        <f>DC102</f>
        <v>100.6</v>
      </c>
      <c r="DD176" s="81">
        <f t="shared" si="576"/>
        <v>6.1181434599156148</v>
      </c>
      <c r="DE176" s="229">
        <f>DE102</f>
        <v>41.3</v>
      </c>
      <c r="DF176" s="81">
        <f t="shared" si="577"/>
        <v>12.228260869565188</v>
      </c>
      <c r="DG176" s="229">
        <f>DG102</f>
        <v>62.3</v>
      </c>
      <c r="DH176" s="81"/>
      <c r="DI176" s="229">
        <f>DI102</f>
        <v>33.6</v>
      </c>
      <c r="DJ176" s="81"/>
      <c r="DK176" s="229">
        <f>DK102</f>
        <v>127.6</v>
      </c>
      <c r="DL176" s="81"/>
      <c r="DM176" s="229">
        <f>DM102</f>
        <v>42.9</v>
      </c>
      <c r="DN176" s="81"/>
      <c r="DO176" s="229">
        <f>DO102</f>
        <v>48.7</v>
      </c>
      <c r="DP176" s="81"/>
      <c r="DQ176" s="229">
        <f>DQ102</f>
        <v>34.1</v>
      </c>
      <c r="DR176" s="81"/>
      <c r="DS176" s="229">
        <f>DS102</f>
        <v>124.4</v>
      </c>
      <c r="DT176" s="81"/>
      <c r="DU176" s="229">
        <f>DU102</f>
        <v>40.799999999999997</v>
      </c>
      <c r="DV176" s="81"/>
      <c r="DW176" s="229">
        <f>DW102</f>
        <v>55.3</v>
      </c>
      <c r="DX176" s="81"/>
      <c r="DY176" s="229">
        <f>DY102</f>
        <v>31.1</v>
      </c>
      <c r="DZ176" s="81"/>
      <c r="EA176" s="229">
        <f>EA102</f>
        <v>142.9</v>
      </c>
      <c r="EB176" s="81"/>
      <c r="EC176" s="229">
        <f>EC102</f>
        <v>37.200000000000003</v>
      </c>
      <c r="ED176" s="81"/>
      <c r="EE176" s="229">
        <f>EE102</f>
        <v>59.5</v>
      </c>
      <c r="EF176" s="81"/>
      <c r="EG176" s="229">
        <f>EG102</f>
        <v>35.1</v>
      </c>
      <c r="EH176" s="81"/>
      <c r="EI176" s="229">
        <f>EI102</f>
        <v>178.7</v>
      </c>
      <c r="EJ176" s="81"/>
      <c r="EK176" s="229"/>
      <c r="EL176" s="81"/>
      <c r="EM176" s="229"/>
      <c r="EN176" s="81"/>
      <c r="EO176" s="229"/>
      <c r="EP176" s="81"/>
      <c r="EQ176" s="229"/>
      <c r="ER176" s="81"/>
      <c r="ES176" s="82"/>
      <c r="ET176" s="469"/>
      <c r="EU176" s="82"/>
      <c r="EV176" s="171"/>
      <c r="EW176" s="79"/>
      <c r="EX176" s="171"/>
      <c r="EY176" s="79"/>
      <c r="EZ176" s="171"/>
      <c r="FA176" s="79"/>
      <c r="FB176" s="185"/>
      <c r="FC176" s="79"/>
      <c r="FD176" s="228"/>
      <c r="FE176" s="79"/>
      <c r="FF176" s="228"/>
      <c r="FG176" s="79"/>
      <c r="FH176" s="228"/>
      <c r="FI176" s="79"/>
      <c r="FJ176" s="171"/>
      <c r="FK176" s="79"/>
      <c r="FL176" s="171"/>
      <c r="FM176" s="79"/>
      <c r="FN176" s="171"/>
      <c r="FO176" s="79"/>
      <c r="FP176" s="171"/>
      <c r="FQ176" s="79"/>
      <c r="FR176" s="229"/>
      <c r="FS176" s="79"/>
      <c r="FT176" s="229"/>
      <c r="FU176" s="79"/>
      <c r="FV176" s="229">
        <f>FV102</f>
        <v>202.9</v>
      </c>
      <c r="FW176" s="79"/>
      <c r="FX176" s="229">
        <f>FX102</f>
        <v>207.5</v>
      </c>
      <c r="FY176" s="79"/>
      <c r="FZ176" s="229">
        <f>FZ102</f>
        <v>199.4</v>
      </c>
      <c r="GA176" s="79">
        <f t="shared" si="600"/>
        <v>-3.9036144578313281</v>
      </c>
      <c r="GB176" s="229">
        <f t="shared" si="601"/>
        <v>264.79999999999995</v>
      </c>
      <c r="GC176" s="79">
        <f t="shared" si="600"/>
        <v>32.79839518555665</v>
      </c>
      <c r="GD176" s="229">
        <f>DS176+DQ176+DO176+DM176</f>
        <v>250.1</v>
      </c>
      <c r="GE176" s="79">
        <f t="shared" si="600"/>
        <v>-5.551359516616305</v>
      </c>
      <c r="GF176" s="229">
        <f>DU176+DW176+DY176+EA176</f>
        <v>270.10000000000002</v>
      </c>
      <c r="GG176" s="79">
        <f t="shared" si="600"/>
        <v>7.9968012794882082</v>
      </c>
      <c r="GH176" s="229">
        <f>EC176+EE176+EG176+EI176</f>
        <v>310.5</v>
      </c>
      <c r="GI176" s="79">
        <f t="shared" si="600"/>
        <v>14.957423176601248</v>
      </c>
      <c r="GJ176" s="229"/>
      <c r="GK176" s="79" t="str">
        <f t="shared" si="600"/>
        <v>NM</v>
      </c>
      <c r="GL176" s="229"/>
      <c r="GM176" s="79" t="str">
        <f t="shared" si="600"/>
        <v>NA</v>
      </c>
      <c r="GN176" s="229"/>
      <c r="GO176" s="79" t="str">
        <f t="shared" si="600"/>
        <v>NA</v>
      </c>
      <c r="GP176" s="229"/>
      <c r="GQ176" s="79" t="str">
        <f t="shared" si="600"/>
        <v>NA</v>
      </c>
      <c r="GR176" s="229"/>
      <c r="GS176" s="79" t="str">
        <f t="shared" si="602"/>
        <v>NA</v>
      </c>
      <c r="GT176" s="79"/>
    </row>
    <row r="177" spans="1:286" ht="12.75" customHeight="1" x14ac:dyDescent="0.2">
      <c r="A177" s="1"/>
      <c r="B177" s="2" t="str">
        <f>B132</f>
        <v xml:space="preserve">  Individual Income Protection - Recently Issued</v>
      </c>
      <c r="C177" s="171"/>
      <c r="D177" s="171"/>
      <c r="E177" s="171"/>
      <c r="F177" s="171"/>
      <c r="G177" s="171"/>
      <c r="H177" s="171"/>
      <c r="I177" s="171"/>
      <c r="J177" s="171"/>
      <c r="K177" s="171"/>
      <c r="L177" s="79"/>
      <c r="M177" s="171"/>
      <c r="N177" s="79"/>
      <c r="O177" s="171"/>
      <c r="P177" s="79"/>
      <c r="Q177" s="171"/>
      <c r="R177" s="79"/>
      <c r="S177" s="171"/>
      <c r="T177" s="79"/>
      <c r="U177" s="171"/>
      <c r="V177" s="79"/>
      <c r="W177" s="171"/>
      <c r="X177" s="79"/>
      <c r="Y177" s="171"/>
      <c r="Z177" s="79"/>
      <c r="AA177" s="172"/>
      <c r="AB177" s="79"/>
      <c r="AC177" s="228">
        <f>AC132</f>
        <v>16.7</v>
      </c>
      <c r="AD177" s="79" t="str">
        <f t="shared" si="567"/>
        <v>NA</v>
      </c>
      <c r="AE177" s="228">
        <f>AE132</f>
        <v>15.2</v>
      </c>
      <c r="AF177" s="79" t="str">
        <f t="shared" si="568"/>
        <v>NA</v>
      </c>
      <c r="AG177" s="228">
        <f>AG132</f>
        <v>15.4</v>
      </c>
      <c r="AH177" s="79" t="str">
        <f t="shared" si="569"/>
        <v>NA</v>
      </c>
      <c r="AI177" s="228">
        <f>AI132</f>
        <v>14.300000000000004</v>
      </c>
      <c r="AJ177" s="79" t="str">
        <f t="shared" si="570"/>
        <v>NA</v>
      </c>
      <c r="AK177" s="228">
        <f>AK132</f>
        <v>13.3</v>
      </c>
      <c r="AL177" s="79">
        <f t="shared" si="571"/>
        <v>-20.359281437125741</v>
      </c>
      <c r="AM177" s="228">
        <f>AM132</f>
        <v>12</v>
      </c>
      <c r="AN177" s="79">
        <f>IF(ISERROR((AM177/AE177-1)*100),"NA",IF(((AM177/AE177-1)*100)&gt;100,"NM",IF(((AM177/AE177-1)*100)&lt;-50,"NM",(AM177/AE177-1)*100)))</f>
        <v>-21.052631578947366</v>
      </c>
      <c r="AO177" s="228">
        <f>AO132</f>
        <v>13.4</v>
      </c>
      <c r="AP177" s="79">
        <f>IF(ISERROR((AO177/AG177-1)*100),"NA",IF(((AO177/AG177-1)*100)&gt;100,"NM",IF(((AO177/AG177-1)*100)&lt;-50,"NM",(AO177/AG177-1)*100)))</f>
        <v>-12.987012987012992</v>
      </c>
      <c r="AQ177" s="228">
        <f>AQ132</f>
        <v>15.1</v>
      </c>
      <c r="AR177" s="79">
        <f>IF(ISERROR((AQ177/AI177-1)*100),"NA",IF(((AQ177/AI177-1)*100)&gt;100,"NM",IF(((AQ177/AI177-1)*100)&lt;-50,"NM",(AQ177/AI177-1)*100)))</f>
        <v>5.5944055944055604</v>
      </c>
      <c r="AS177" s="229">
        <f>AS132</f>
        <v>12.3</v>
      </c>
      <c r="AT177" s="81">
        <f>IF(ISERROR((AS177/AK177-1)*100),"NA",IF(((AS177/AK177-1)*100)&gt;100,"NM",IF(((AS177/AK177-1)*100)&lt;-50,"NM",(AS177/AK177-1)*100)))</f>
        <v>-7.518796992481203</v>
      </c>
      <c r="AU177" s="229">
        <f>AU132</f>
        <v>12.6</v>
      </c>
      <c r="AV177" s="81">
        <f>IF(ISERROR((AU177/AM177-1)*100),"NA",IF(((AU177/AM177-1)*100)&gt;100,"NM",IF(((AU177/AM177-1)*100)&lt;-50,"NM",(AU177/AM177-1)*100)))</f>
        <v>5.0000000000000044</v>
      </c>
      <c r="AW177" s="229">
        <f>AW132</f>
        <v>14.1</v>
      </c>
      <c r="AX177" s="81">
        <f>IF(ISERROR((AW177/AO177-1)*100),"NA",IF(((AW177/AO177-1)*100)&gt;100,"NM",IF(((AW177/AO177-1)*100)&lt;-50,"NM",(AW177/AO177-1)*100)))</f>
        <v>5.2238805970149294</v>
      </c>
      <c r="AY177" s="229">
        <f>AY132</f>
        <v>16.399999999999999</v>
      </c>
      <c r="AZ177" s="81">
        <f>IF(ISERROR((AY177/AQ177-1)*100),"NA",IF(((AY177/AQ177-1)*100)&gt;100,"NM",IF(((AY177/AQ177-1)*100)&lt;-50,"NM",(AY177/AQ177-1)*100)))</f>
        <v>8.6092715231788084</v>
      </c>
      <c r="BA177" s="229">
        <f>BA132</f>
        <v>14.5</v>
      </c>
      <c r="BB177" s="81">
        <f>IF(ISERROR((BA177/AS177-1)*100),"NA",IF(((BA177/AS177-1)*100)&gt;100,"NM",IF(((BA177/AS177-1)*100)&lt;-50,"NM",(BA177/AS177-1)*100)))</f>
        <v>17.886178861788604</v>
      </c>
      <c r="BC177" s="229">
        <f>BC132</f>
        <v>14.5</v>
      </c>
      <c r="BD177" s="81">
        <f>IF(ISERROR((BC177/AU177-1)*100),"NA",IF(((BC177/AU177-1)*100)&gt;100,"NM",IF(((BC177/AU177-1)*100)&lt;-50,"NM",(BC177/AU177-1)*100)))</f>
        <v>15.079365079365093</v>
      </c>
      <c r="BE177" s="229">
        <f>BE132</f>
        <v>15.2</v>
      </c>
      <c r="BF177" s="81">
        <f t="shared" si="572"/>
        <v>7.8014184397163122</v>
      </c>
      <c r="BG177" s="229">
        <f>BG132</f>
        <v>15.5</v>
      </c>
      <c r="BH177" s="81">
        <f t="shared" si="556"/>
        <v>-5.4878048780487738</v>
      </c>
      <c r="BI177" s="229">
        <f>BI132</f>
        <v>16.5</v>
      </c>
      <c r="BJ177" s="81">
        <f t="shared" si="557"/>
        <v>13.793103448275868</v>
      </c>
      <c r="BK177" s="229">
        <f>BK132</f>
        <v>12.8</v>
      </c>
      <c r="BL177" s="81">
        <f t="shared" si="545"/>
        <v>-11.724137931034473</v>
      </c>
      <c r="BM177" s="229">
        <f>BM132</f>
        <v>15.1</v>
      </c>
      <c r="BN177" s="81"/>
      <c r="BO177" s="229">
        <f>BO132</f>
        <v>13.5</v>
      </c>
      <c r="BP177" s="81"/>
      <c r="BQ177" s="229">
        <f>BQ132</f>
        <v>15.7</v>
      </c>
      <c r="BR177" s="81">
        <f t="shared" si="603"/>
        <v>-4.8484848484848575</v>
      </c>
      <c r="BS177" s="229">
        <f>BS132</f>
        <v>11.6</v>
      </c>
      <c r="BT177" s="81"/>
      <c r="BU177" s="229">
        <f>BU132</f>
        <v>12.2</v>
      </c>
      <c r="BV177" s="81"/>
      <c r="BW177" s="229">
        <f>BW132</f>
        <v>12.1</v>
      </c>
      <c r="BX177" s="81"/>
      <c r="BY177" s="229">
        <f>BY132</f>
        <v>9.6</v>
      </c>
      <c r="BZ177" s="81"/>
      <c r="CA177" s="229">
        <f>CA132</f>
        <v>10.3</v>
      </c>
      <c r="CB177" s="81"/>
      <c r="CC177" s="229">
        <f>CC132</f>
        <v>11.6</v>
      </c>
      <c r="CD177" s="81"/>
      <c r="CE177" s="229">
        <f>CE132</f>
        <v>11.2</v>
      </c>
      <c r="CF177" s="81"/>
      <c r="CG177" s="229">
        <f>CG132</f>
        <v>14.2</v>
      </c>
      <c r="CH177" s="81"/>
      <c r="CI177" s="229">
        <f>CI132</f>
        <v>13.5</v>
      </c>
      <c r="CJ177" s="81"/>
      <c r="CK177" s="229">
        <f>CK132</f>
        <v>12.9</v>
      </c>
      <c r="CL177" s="81"/>
      <c r="CM177" s="229">
        <f>CM132</f>
        <v>15</v>
      </c>
      <c r="CN177" s="81">
        <f>IF(ISERROR((CM177/CE177-1)*100),"NA",IF(((CM177/CE177-1)*100)&gt;100,"NM",IF(((CM177/CE177-1)*100)&lt;-50,"NM",(CM177/CE177-1)*100)))</f>
        <v>33.928571428571445</v>
      </c>
      <c r="CO177" s="229">
        <f>CO132</f>
        <v>14.9</v>
      </c>
      <c r="CP177" s="81">
        <f>IF(ISERROR((CO177/CG177-1)*100),"NA",IF(((CO177/CG177-1)*100)&gt;100,"NM",IF(((CO177/CG177-1)*100)&lt;-50,"NM",(CO177/CG177-1)*100)))</f>
        <v>4.929577464788748</v>
      </c>
      <c r="CQ177" s="229">
        <f>CQ132</f>
        <v>15.3</v>
      </c>
      <c r="CR177" s="81">
        <f>IF(ISERROR((CQ177/CI177-1)*100),"NA",IF(((CQ177/CI177-1)*100)&gt;100,"NM",IF(((CQ177/CI177-1)*100)&lt;-50,"NM",(CQ177/CI177-1)*100)))</f>
        <v>13.33333333333333</v>
      </c>
      <c r="CS177" s="229">
        <f>CS132</f>
        <v>14.6</v>
      </c>
      <c r="CT177" s="81">
        <f>IF(ISERROR((CS177/CK177-1)*100),"NA",IF(((CS177/CK177-1)*100)&gt;100,"NM",IF(((CS177/CK177-1)*100)&lt;-50,"NM",(CS177/CK177-1)*100)))</f>
        <v>13.178294573643413</v>
      </c>
      <c r="CU177" s="229">
        <f>CU132</f>
        <v>12.2</v>
      </c>
      <c r="CV177" s="81">
        <f>IF(ISERROR((CU177/CM177-1)*100),"NA",IF(((CU177/CM177-1)*100)&gt;100,"NM",IF(((CU177/CM177-1)*100)&lt;-50,"NM",(CU177/CM177-1)*100)))</f>
        <v>-18.666666666666675</v>
      </c>
      <c r="CW177" s="229">
        <f>CW132</f>
        <v>15.2</v>
      </c>
      <c r="CX177" s="81">
        <f t="shared" si="573"/>
        <v>2.0134228187919323</v>
      </c>
      <c r="CY177" s="229">
        <f>CY132</f>
        <v>10.199999999999999</v>
      </c>
      <c r="CZ177" s="81">
        <f t="shared" si="574"/>
        <v>-33.333333333333336</v>
      </c>
      <c r="DA177" s="229">
        <f>DA132</f>
        <v>11.2</v>
      </c>
      <c r="DB177" s="81">
        <f t="shared" si="575"/>
        <v>-23.287671232876718</v>
      </c>
      <c r="DC177" s="229">
        <f>DC132</f>
        <v>15.6</v>
      </c>
      <c r="DD177" s="81">
        <f t="shared" si="576"/>
        <v>27.868852459016402</v>
      </c>
      <c r="DE177" s="229">
        <f>DE132</f>
        <v>14.6</v>
      </c>
      <c r="DF177" s="81">
        <f t="shared" si="577"/>
        <v>-3.9473684210526327</v>
      </c>
      <c r="DG177" s="229">
        <f>DG132</f>
        <v>11.7</v>
      </c>
      <c r="DH177" s="81">
        <f t="shared" si="578"/>
        <v>14.705882352941169</v>
      </c>
      <c r="DI177" s="229">
        <f>DI132</f>
        <v>14.4</v>
      </c>
      <c r="DJ177" s="81">
        <f t="shared" si="579"/>
        <v>28.57142857142858</v>
      </c>
      <c r="DK177" s="229">
        <f>DK132</f>
        <v>16.100000000000001</v>
      </c>
      <c r="DL177" s="81">
        <f t="shared" si="580"/>
        <v>3.2051282051282159</v>
      </c>
      <c r="DM177" s="229">
        <f>DM132</f>
        <v>12.3</v>
      </c>
      <c r="DN177" s="81">
        <f t="shared" ref="DN177:DP181" si="604">IF(ISERROR((DM177/DE177-1)*100),"NA",IF(((DM177/DE177-1)*100)&gt;100,"NM",IF(((DM177/DE177-1)*100)&lt;-50,"NM",(DM177/DE177-1)*100)))</f>
        <v>-15.753424657534243</v>
      </c>
      <c r="DO177" s="229">
        <f>DO132</f>
        <v>13</v>
      </c>
      <c r="DP177" s="81">
        <f t="shared" si="604"/>
        <v>11.111111111111116</v>
      </c>
      <c r="DQ177" s="229">
        <f>DQ132</f>
        <v>21.2</v>
      </c>
      <c r="DR177" s="81">
        <f t="shared" ref="DR177:DR181" si="605">IF(ISERROR((DQ177/DI177-1)*100),"NA",IF(((DQ177/DI177-1)*100)&gt;100,"NM",IF(((DQ177/DI177-1)*100)&lt;-50,"NM",(DQ177/DI177-1)*100)))</f>
        <v>47.222222222222207</v>
      </c>
      <c r="DS177" s="229">
        <f>DS132</f>
        <v>21</v>
      </c>
      <c r="DT177" s="81">
        <f t="shared" ref="DT177:DT181" si="606">IF(ISERROR((DS177/DK177-1)*100),"NA",IF(((DS177/DK177-1)*100)&gt;100,"NM",IF(((DS177/DK177-1)*100)&lt;-50,"NM",(DS177/DK177-1)*100)))</f>
        <v>30.434782608695631</v>
      </c>
      <c r="DU177" s="229">
        <f>DU132</f>
        <v>16.7</v>
      </c>
      <c r="DV177" s="81">
        <f t="shared" ref="DV177:DV181" si="607">IF(ISERROR((DU177/DM177-1)*100),"NA",IF(((DU177/DM177-1)*100)&gt;100,"NM",IF(((DU177/DM177-1)*100)&lt;-50,"NM",(DU177/DM177-1)*100)))</f>
        <v>35.77235772357723</v>
      </c>
      <c r="DW177" s="229">
        <f>DW132</f>
        <v>14.6</v>
      </c>
      <c r="DX177" s="81">
        <f t="shared" ref="DX177:DX181" si="608">IF(ISERROR((DW177/DO177-1)*100),"NA",IF(((DW177/DO177-1)*100)&gt;100,"NM",IF(((DW177/DO177-1)*100)&lt;-50,"NM",(DW177/DO177-1)*100)))</f>
        <v>12.307692307692308</v>
      </c>
      <c r="DY177" s="229">
        <f>DY132</f>
        <v>16.399999999999999</v>
      </c>
      <c r="DZ177" s="81">
        <f t="shared" ref="DZ177:DZ182" si="609">IF(ISERROR((DY177/DQ177-1)*100),"NA",IF(((DY177/DQ177-1)*100)&gt;100,"NM",IF(((DY177/DQ177-1)*100)&lt;-50,"NM",(DY177/DQ177-1)*100)))</f>
        <v>-22.64150943396227</v>
      </c>
      <c r="EA177" s="229">
        <f>EA132</f>
        <v>17.399999999999999</v>
      </c>
      <c r="EB177" s="81">
        <f t="shared" ref="EB177:EB182" si="610">IF(ISERROR((EA177/DS177-1)*100),"NA",IF(((EA177/DS177-1)*100)&gt;100,"NM",IF(((EA177/DS177-1)*100)&lt;-50,"NM",(EA177/DS177-1)*100)))</f>
        <v>-17.142857142857149</v>
      </c>
      <c r="EC177" s="229">
        <f>EC132</f>
        <v>16.2</v>
      </c>
      <c r="ED177" s="81">
        <f t="shared" ref="ED177:ED182" si="611">IF(ISERROR((EC177/DU177-1)*100),"NA",IF(((EC177/DU177-1)*100)&gt;100,"NM",IF(((EC177/DU177-1)*100)&lt;-50,"NM",(EC177/DU177-1)*100)))</f>
        <v>-2.9940119760479056</v>
      </c>
      <c r="EE177" s="229">
        <f>EE132</f>
        <v>13.6</v>
      </c>
      <c r="EF177" s="81">
        <f t="shared" ref="EF177:EF182" si="612">IF(ISERROR((EE177/DW177-1)*100),"NA",IF(((EE177/DW177-1)*100)&gt;100,"NM",IF(((EE177/DW177-1)*100)&lt;-50,"NM",(EE177/DW177-1)*100)))</f>
        <v>-6.8493150684931559</v>
      </c>
      <c r="EG177" s="229">
        <f>EG132</f>
        <v>20.399999999999999</v>
      </c>
      <c r="EH177" s="81">
        <f t="shared" ref="EH177:EH182" si="613">IF(ISERROR((EG177/DY177-1)*100),"NA",IF(((EG177/DY177-1)*100)&gt;100,"NM",IF(((EG177/DY177-1)*100)&lt;-50,"NM",(EG177/DY177-1)*100)))</f>
        <v>24.390243902439025</v>
      </c>
      <c r="EI177" s="229">
        <f>EI132</f>
        <v>17.7</v>
      </c>
      <c r="EJ177" s="81">
        <f t="shared" ref="EJ177:EJ182" si="614">IF(ISERROR((EI177/EA177-1)*100),"NA",IF(((EI177/EA177-1)*100)&gt;100,"NM",IF(((EI177/EA177-1)*100)&lt;-50,"NM",(EI177/EA177-1)*100)))</f>
        <v>1.7241379310344973</v>
      </c>
      <c r="EK177" s="229"/>
      <c r="EL177" s="81" t="str">
        <f t="shared" ref="EL177:EL182" si="615">IF(ISERROR((EK177/EC177-1)*100),"NA",IF(((EK177/EC177-1)*100)&gt;100,"NM",IF(((EK177/EC177-1)*100)&lt;-50,"NM",(EK177/EC177-1)*100)))</f>
        <v>NM</v>
      </c>
      <c r="EM177" s="229"/>
      <c r="EN177" s="81" t="str">
        <f t="shared" ref="EN177:EN182" si="616">IF(ISERROR((EM177/EE177-1)*100),"NA",IF(((EM177/EE177-1)*100)&gt;100,"NM",IF(((EM177/EE177-1)*100)&lt;-50,"NM",(EM177/EE177-1)*100)))</f>
        <v>NM</v>
      </c>
      <c r="EO177" s="229"/>
      <c r="EP177" s="81" t="str">
        <f t="shared" ref="EP177:EP182" si="617">IF(ISERROR((EO177/EG177-1)*100),"NA",IF(((EO177/EG177-1)*100)&gt;100,"NM",IF(((EO177/EG177-1)*100)&lt;-50,"NM",(EO177/EG177-1)*100)))</f>
        <v>NM</v>
      </c>
      <c r="EQ177" s="229"/>
      <c r="ER177" s="81" t="str">
        <f t="shared" ref="ER177:ER182" si="618">IF(ISERROR((EQ177/EI177-1)*100),"NA",IF(((EQ177/EI177-1)*100)&gt;100,"NM",IF(((EQ177/EI177-1)*100)&lt;-50,"NM",(EQ177/EI177-1)*100)))</f>
        <v>NM</v>
      </c>
      <c r="ES177" s="82"/>
      <c r="ET177" s="469"/>
      <c r="EU177" s="82"/>
      <c r="EV177" s="171"/>
      <c r="EW177" s="79"/>
      <c r="EX177" s="171"/>
      <c r="EY177" s="79"/>
      <c r="EZ177" s="171"/>
      <c r="FA177" s="79"/>
      <c r="FB177" s="185"/>
      <c r="FC177" s="79"/>
      <c r="FD177" s="228">
        <f>FD132</f>
        <v>83.9</v>
      </c>
      <c r="FE177" s="79" t="str">
        <f t="shared" si="589"/>
        <v>NA</v>
      </c>
      <c r="FF177" s="228">
        <f>FF132</f>
        <v>72.900000000000006</v>
      </c>
      <c r="FG177" s="79">
        <f t="shared" si="590"/>
        <v>-13.110846245530395</v>
      </c>
      <c r="FH177" s="228">
        <f>FH132</f>
        <v>61.6</v>
      </c>
      <c r="FI177" s="79">
        <f t="shared" si="591"/>
        <v>-15.500685871056241</v>
      </c>
      <c r="FJ177" s="171"/>
      <c r="FK177" s="79" t="str">
        <f t="shared" si="592"/>
        <v>NM</v>
      </c>
      <c r="FL177" s="171"/>
      <c r="FM177" s="79" t="str">
        <f t="shared" si="593"/>
        <v>NA</v>
      </c>
      <c r="FN177" s="171"/>
      <c r="FO177" s="79" t="str">
        <f t="shared" si="594"/>
        <v>NA</v>
      </c>
      <c r="FP177" s="171"/>
      <c r="FQ177" s="79" t="str">
        <f t="shared" si="595"/>
        <v>NA</v>
      </c>
      <c r="FR177" s="229">
        <f>FR132</f>
        <v>51.6</v>
      </c>
      <c r="FS177" s="79" t="str">
        <f t="shared" si="596"/>
        <v>NA</v>
      </c>
      <c r="FT177" s="229">
        <f>FT132</f>
        <v>42.7</v>
      </c>
      <c r="FU177" s="79">
        <f t="shared" si="597"/>
        <v>-17.248062015503873</v>
      </c>
      <c r="FV177" s="229">
        <f>FV132</f>
        <v>55.6</v>
      </c>
      <c r="FW177" s="79">
        <f t="shared" si="598"/>
        <v>30.210772833723642</v>
      </c>
      <c r="FX177" s="229">
        <f>FX132</f>
        <v>57</v>
      </c>
      <c r="FY177" s="79">
        <f t="shared" si="599"/>
        <v>2.5179856115107979</v>
      </c>
      <c r="FZ177" s="229">
        <f>FZ132</f>
        <v>52.199999999999996</v>
      </c>
      <c r="GA177" s="79">
        <f t="shared" si="600"/>
        <v>-8.4210526315789522</v>
      </c>
      <c r="GB177" s="229">
        <f t="shared" si="601"/>
        <v>56.8</v>
      </c>
      <c r="GC177" s="79">
        <f t="shared" si="600"/>
        <v>8.8122605363984761</v>
      </c>
      <c r="GD177" s="229">
        <f>DS177+DQ177+DO177+DM177</f>
        <v>67.5</v>
      </c>
      <c r="GE177" s="79">
        <f t="shared" si="600"/>
        <v>18.838028169014098</v>
      </c>
      <c r="GF177" s="229">
        <f>DU177+DW177+DY177+EA177</f>
        <v>65.099999999999994</v>
      </c>
      <c r="GG177" s="79">
        <f t="shared" si="600"/>
        <v>-3.5555555555555673</v>
      </c>
      <c r="GH177" s="229">
        <f>EC177+EE177+EG177+EI177</f>
        <v>67.899999999999991</v>
      </c>
      <c r="GI177" s="79">
        <f t="shared" si="600"/>
        <v>4.3010752688172005</v>
      </c>
      <c r="GJ177" s="229"/>
      <c r="GK177" s="79" t="str">
        <f t="shared" si="600"/>
        <v>NM</v>
      </c>
      <c r="GL177" s="229"/>
      <c r="GM177" s="79" t="str">
        <f t="shared" si="600"/>
        <v>NA</v>
      </c>
      <c r="GN177" s="229"/>
      <c r="GO177" s="79" t="str">
        <f t="shared" si="600"/>
        <v>NA</v>
      </c>
      <c r="GP177" s="229"/>
      <c r="GQ177" s="79" t="str">
        <f t="shared" si="600"/>
        <v>NA</v>
      </c>
      <c r="GR177" s="229"/>
      <c r="GS177" s="79" t="str">
        <f t="shared" si="602"/>
        <v>NA</v>
      </c>
      <c r="GT177" s="79"/>
    </row>
    <row r="178" spans="1:286" ht="12.75" hidden="1" customHeight="1" outlineLevel="1" x14ac:dyDescent="0.2">
      <c r="A178" s="1"/>
      <c r="B178" s="2" t="str">
        <f>B133</f>
        <v xml:space="preserve">  Group Long Term Care</v>
      </c>
      <c r="C178" s="171"/>
      <c r="D178" s="171"/>
      <c r="E178" s="171"/>
      <c r="F178" s="171"/>
      <c r="G178" s="171"/>
      <c r="H178" s="171"/>
      <c r="I178" s="171"/>
      <c r="J178" s="171"/>
      <c r="K178" s="171"/>
      <c r="L178" s="79"/>
      <c r="M178" s="171"/>
      <c r="N178" s="79"/>
      <c r="O178" s="171"/>
      <c r="P178" s="79"/>
      <c r="Q178" s="171"/>
      <c r="R178" s="79"/>
      <c r="S178" s="171"/>
      <c r="T178" s="79"/>
      <c r="U178" s="171"/>
      <c r="V178" s="79"/>
      <c r="W178" s="171"/>
      <c r="X178" s="79"/>
      <c r="Y178" s="171"/>
      <c r="Z178" s="79"/>
      <c r="AA178" s="172"/>
      <c r="AB178" s="79"/>
      <c r="AC178" s="228">
        <f>AC133</f>
        <v>3.3</v>
      </c>
      <c r="AD178" s="79" t="str">
        <f t="shared" si="567"/>
        <v>NA</v>
      </c>
      <c r="AE178" s="228">
        <f>AE133</f>
        <v>4.5</v>
      </c>
      <c r="AF178" s="79" t="str">
        <f t="shared" si="568"/>
        <v>NA</v>
      </c>
      <c r="AG178" s="228">
        <f>AG133</f>
        <v>3.6</v>
      </c>
      <c r="AH178" s="79" t="str">
        <f t="shared" si="569"/>
        <v>NA</v>
      </c>
      <c r="AI178" s="228">
        <f>AI133</f>
        <v>7.3</v>
      </c>
      <c r="AJ178" s="79" t="str">
        <f t="shared" si="570"/>
        <v>NA</v>
      </c>
      <c r="AK178" s="228">
        <f>AK133</f>
        <v>5</v>
      </c>
      <c r="AL178" s="79">
        <f t="shared" si="571"/>
        <v>51.515151515151516</v>
      </c>
      <c r="AM178" s="228">
        <f>AM133</f>
        <v>5.4</v>
      </c>
      <c r="AN178" s="79">
        <f>IF(ISERROR((AM178/AE178-1)*100),"NA",IF(((AM178/AE178-1)*100)&gt;100,"NM",IF(((AM178/AE178-1)*100)&lt;-50,"NM",(AM178/AE178-1)*100)))</f>
        <v>20.000000000000018</v>
      </c>
      <c r="AO178" s="228">
        <f>AO133</f>
        <v>4.3</v>
      </c>
      <c r="AP178" s="79">
        <f>IF(ISERROR((AO178/AG178-1)*100),"NA",IF(((AO178/AG178-1)*100)&gt;100,"NM",IF(((AO178/AG178-1)*100)&lt;-50,"NM",(AO178/AG178-1)*100)))</f>
        <v>19.444444444444443</v>
      </c>
      <c r="AQ178" s="228">
        <f>AQ133</f>
        <v>6.4</v>
      </c>
      <c r="AR178" s="79">
        <f>IF(ISERROR((AQ178/AI178-1)*100),"NA",IF(((AQ178/AI178-1)*100)&gt;100,"NM",IF(((AQ178/AI178-1)*100)&lt;-50,"NM",(AQ178/AI178-1)*100)))</f>
        <v>-12.328767123287665</v>
      </c>
      <c r="AS178" s="229">
        <f>AS133</f>
        <v>3.9</v>
      </c>
      <c r="AT178" s="81">
        <f>IF(ISERROR((AS178/AK178-1)*100),"NA",IF(((AS178/AK178-1)*100)&gt;100,"NM",IF(((AS178/AK178-1)*100)&lt;-50,"NM",(AS178/AK178-1)*100)))</f>
        <v>-21.999999999999996</v>
      </c>
      <c r="AU178" s="229">
        <f>AU133</f>
        <v>4.4000000000000004</v>
      </c>
      <c r="AV178" s="81">
        <f>IF(ISERROR((AU178/AM178-1)*100),"NA",IF(((AU178/AM178-1)*100)&gt;100,"NM",IF(((AU178/AM178-1)*100)&lt;-50,"NM",(AU178/AM178-1)*100)))</f>
        <v>-18.518518518518512</v>
      </c>
      <c r="AW178" s="229">
        <f>AW133</f>
        <v>5.5</v>
      </c>
      <c r="AX178" s="81">
        <f>IF(ISERROR((AW178/AO178-1)*100),"NA",IF(((AW178/AO178-1)*100)&gt;100,"NM",IF(((AW178/AO178-1)*100)&lt;-50,"NM",(AW178/AO178-1)*100)))</f>
        <v>27.906976744186053</v>
      </c>
      <c r="AY178" s="229">
        <f>AY133</f>
        <v>11.3</v>
      </c>
      <c r="AZ178" s="81">
        <f>IF(ISERROR((AY178/AQ178-1)*100),"NA",IF(((AY178/AQ178-1)*100)&gt;100,"NM",IF(((AY178/AQ178-1)*100)&lt;-50,"NM",(AY178/AQ178-1)*100)))</f>
        <v>76.5625</v>
      </c>
      <c r="BA178" s="229">
        <f>BA133</f>
        <v>6.1</v>
      </c>
      <c r="BB178" s="81">
        <f>IF(ISERROR((BA178/AS178-1)*100),"NA",IF(((BA178/AS178-1)*100)&gt;100,"NM",IF(((BA178/AS178-1)*100)&lt;-50,"NM",(BA178/AS178-1)*100)))</f>
        <v>56.410256410256409</v>
      </c>
      <c r="BC178" s="229">
        <f>BC133</f>
        <v>7.1</v>
      </c>
      <c r="BD178" s="81">
        <f>IF(ISERROR((BC178/AU178-1)*100),"NA",IF(((BC178/AU178-1)*100)&gt;100,"NM",IF(((BC178/AU178-1)*100)&lt;-50,"NM",(BC178/AU178-1)*100)))</f>
        <v>61.363636363636353</v>
      </c>
      <c r="BE178" s="229">
        <f>BE133</f>
        <v>8.1999999999999993</v>
      </c>
      <c r="BF178" s="81">
        <f t="shared" si="572"/>
        <v>49.090909090909072</v>
      </c>
      <c r="BG178" s="229">
        <f>BG133</f>
        <v>11.4</v>
      </c>
      <c r="BH178" s="81">
        <f t="shared" si="556"/>
        <v>0.88495575221239076</v>
      </c>
      <c r="BI178" s="229">
        <f>BI133</f>
        <v>8.8000000000000007</v>
      </c>
      <c r="BJ178" s="81">
        <f t="shared" si="557"/>
        <v>44.262295081967238</v>
      </c>
      <c r="BK178" s="229">
        <f>BK133</f>
        <v>7.9</v>
      </c>
      <c r="BL178" s="81">
        <f t="shared" si="545"/>
        <v>11.267605633802823</v>
      </c>
      <c r="BM178" s="229">
        <f>BM133</f>
        <v>5.5</v>
      </c>
      <c r="BN178" s="81"/>
      <c r="BO178" s="229">
        <f>BO133</f>
        <v>10</v>
      </c>
      <c r="BP178" s="81"/>
      <c r="BQ178" s="229">
        <f>BQ133</f>
        <v>7</v>
      </c>
      <c r="BR178" s="81">
        <f t="shared" si="603"/>
        <v>-20.45454545454546</v>
      </c>
      <c r="BS178" s="229">
        <f>BS133</f>
        <v>4.9000000000000004</v>
      </c>
      <c r="BT178" s="81"/>
      <c r="BU178" s="229">
        <f>BU133</f>
        <v>3.3</v>
      </c>
      <c r="BV178" s="81"/>
      <c r="BW178" s="229">
        <f>BW133</f>
        <v>7.2</v>
      </c>
      <c r="BX178" s="81"/>
      <c r="BY178" s="229">
        <f>BY133</f>
        <v>5.4</v>
      </c>
      <c r="BZ178" s="81"/>
      <c r="CA178" s="229">
        <f>CA133</f>
        <v>5.2</v>
      </c>
      <c r="CB178" s="81"/>
      <c r="CC178" s="229">
        <f>CC133</f>
        <v>5.7</v>
      </c>
      <c r="CD178" s="81"/>
      <c r="CE178" s="229">
        <f>CE133</f>
        <v>9.5</v>
      </c>
      <c r="CF178" s="81"/>
      <c r="CG178" s="229">
        <f>CG133</f>
        <v>7</v>
      </c>
      <c r="CH178" s="81"/>
      <c r="CI178" s="229">
        <f>CI133</f>
        <v>8.4</v>
      </c>
      <c r="CJ178" s="81"/>
      <c r="CK178" s="229">
        <f>CK133</f>
        <v>7.4</v>
      </c>
      <c r="CL178" s="81"/>
      <c r="CM178" s="229">
        <f>CM133</f>
        <v>0</v>
      </c>
      <c r="CN178" s="81" t="str">
        <f>IF(ISERROR((CM178/CE178-1)*100),"NA",IF(((CM178/CE178-1)*100)&gt;100,"NM",IF(((CM178/CE178-1)*100)&lt;-50,"NM",(CM178/CE178-1)*100)))</f>
        <v>NM</v>
      </c>
      <c r="CO178" s="229">
        <f>CO133</f>
        <v>0</v>
      </c>
      <c r="CP178" s="81" t="str">
        <f>IF(ISERROR((CO178/CG178-1)*100),"NA",IF(((CO178/CG178-1)*100)&gt;100,"NM",IF(((CO178/CG178-1)*100)&lt;-50,"NM",(CO178/CG178-1)*100)))</f>
        <v>NM</v>
      </c>
      <c r="CQ178" s="229">
        <f>CQ133</f>
        <v>0</v>
      </c>
      <c r="CR178" s="81" t="str">
        <f>IF(ISERROR((CQ178/CI178-1)*100),"NA",IF(((CQ178/CI178-1)*100)&gt;100,"NM",IF(((CQ178/CI178-1)*100)&lt;-50,"NM",(CQ178/CI178-1)*100)))</f>
        <v>NM</v>
      </c>
      <c r="CS178" s="229">
        <f>CS133</f>
        <v>0</v>
      </c>
      <c r="CT178" s="81" t="str">
        <f>IF(ISERROR((CS178/CK178-1)*100),"NA",IF(((CS178/CK178-1)*100)&gt;100,"NM",IF(((CS178/CK178-1)*100)&lt;-50,"NM",(CS178/CK178-1)*100)))</f>
        <v>NM</v>
      </c>
      <c r="CU178" s="229">
        <f>CU133</f>
        <v>0</v>
      </c>
      <c r="CV178" s="81" t="str">
        <f>IF(ISERROR((CU178/CM178-1)*100),"NA",IF(((CU178/CM178-1)*100)&gt;100,"NM",IF(((CU178/CM178-1)*100)&lt;-50,"NM",(CU178/CM178-1)*100)))</f>
        <v>NA</v>
      </c>
      <c r="CW178" s="229">
        <f>CW133</f>
        <v>0</v>
      </c>
      <c r="CX178" s="81" t="str">
        <f t="shared" si="573"/>
        <v>NA</v>
      </c>
      <c r="CY178" s="229">
        <f>CY133</f>
        <v>0</v>
      </c>
      <c r="CZ178" s="81" t="str">
        <f t="shared" si="574"/>
        <v>NA</v>
      </c>
      <c r="DA178" s="229">
        <f>DA133</f>
        <v>0</v>
      </c>
      <c r="DB178" s="81" t="str">
        <f t="shared" si="575"/>
        <v>NA</v>
      </c>
      <c r="DC178" s="229">
        <f>DC133</f>
        <v>0</v>
      </c>
      <c r="DD178" s="81" t="str">
        <f t="shared" si="576"/>
        <v>NA</v>
      </c>
      <c r="DE178" s="229">
        <f>DE133</f>
        <v>0</v>
      </c>
      <c r="DF178" s="81" t="str">
        <f t="shared" si="577"/>
        <v>NA</v>
      </c>
      <c r="DG178" s="229">
        <f>DG133</f>
        <v>0</v>
      </c>
      <c r="DH178" s="81" t="str">
        <f t="shared" si="578"/>
        <v>NA</v>
      </c>
      <c r="DI178" s="229">
        <f>DI133</f>
        <v>0</v>
      </c>
      <c r="DJ178" s="81" t="str">
        <f t="shared" si="579"/>
        <v>NA</v>
      </c>
      <c r="DK178" s="229">
        <f>DK133</f>
        <v>0</v>
      </c>
      <c r="DL178" s="81" t="str">
        <f t="shared" si="580"/>
        <v>NA</v>
      </c>
      <c r="DM178" s="229">
        <f>DM133</f>
        <v>0</v>
      </c>
      <c r="DN178" s="81" t="str">
        <f t="shared" si="604"/>
        <v>NA</v>
      </c>
      <c r="DO178" s="229">
        <f>DO133</f>
        <v>0</v>
      </c>
      <c r="DP178" s="81" t="str">
        <f t="shared" si="604"/>
        <v>NA</v>
      </c>
      <c r="DQ178" s="229">
        <f>DQ133</f>
        <v>0</v>
      </c>
      <c r="DR178" s="81" t="str">
        <f t="shared" si="605"/>
        <v>NA</v>
      </c>
      <c r="DS178" s="229">
        <f>DS133</f>
        <v>0</v>
      </c>
      <c r="DT178" s="81" t="str">
        <f t="shared" si="606"/>
        <v>NA</v>
      </c>
      <c r="DU178" s="229">
        <f>DU133</f>
        <v>0</v>
      </c>
      <c r="DV178" s="81" t="str">
        <f t="shared" si="607"/>
        <v>NA</v>
      </c>
      <c r="DW178" s="229">
        <f>DW133</f>
        <v>0</v>
      </c>
      <c r="DX178" s="81" t="str">
        <f t="shared" si="608"/>
        <v>NA</v>
      </c>
      <c r="DY178" s="229">
        <f>DY133</f>
        <v>0</v>
      </c>
      <c r="DZ178" s="81" t="str">
        <f t="shared" si="609"/>
        <v>NA</v>
      </c>
      <c r="EA178" s="229">
        <f>EA133</f>
        <v>0</v>
      </c>
      <c r="EB178" s="81" t="str">
        <f t="shared" si="610"/>
        <v>NA</v>
      </c>
      <c r="EC178" s="229">
        <f>EC133</f>
        <v>0</v>
      </c>
      <c r="ED178" s="81" t="str">
        <f t="shared" si="611"/>
        <v>NA</v>
      </c>
      <c r="EE178" s="229">
        <f>EE133</f>
        <v>0</v>
      </c>
      <c r="EF178" s="81" t="str">
        <f t="shared" si="612"/>
        <v>NA</v>
      </c>
      <c r="EG178" s="229">
        <f>EG133</f>
        <v>0</v>
      </c>
      <c r="EH178" s="81" t="str">
        <f t="shared" si="613"/>
        <v>NA</v>
      </c>
      <c r="EI178" s="229">
        <f>EI133</f>
        <v>0</v>
      </c>
      <c r="EJ178" s="81" t="str">
        <f t="shared" si="614"/>
        <v>NA</v>
      </c>
      <c r="EK178" s="229"/>
      <c r="EL178" s="81" t="str">
        <f t="shared" si="615"/>
        <v>NA</v>
      </c>
      <c r="EM178" s="229"/>
      <c r="EN178" s="81" t="str">
        <f t="shared" si="616"/>
        <v>NA</v>
      </c>
      <c r="EO178" s="229"/>
      <c r="EP178" s="81" t="str">
        <f t="shared" si="617"/>
        <v>NA</v>
      </c>
      <c r="EQ178" s="229"/>
      <c r="ER178" s="81" t="str">
        <f t="shared" si="618"/>
        <v>NA</v>
      </c>
      <c r="ES178" s="82"/>
      <c r="ET178" s="469"/>
      <c r="EU178" s="82"/>
      <c r="EV178" s="171"/>
      <c r="EW178" s="79"/>
      <c r="EX178" s="171"/>
      <c r="EY178" s="79"/>
      <c r="EZ178" s="171"/>
      <c r="FA178" s="79"/>
      <c r="FB178" s="185"/>
      <c r="FC178" s="79"/>
      <c r="FD178" s="228">
        <f>FD133</f>
        <v>23.484999999999999</v>
      </c>
      <c r="FE178" s="79" t="str">
        <f t="shared" si="589"/>
        <v>NA</v>
      </c>
      <c r="FF178" s="228">
        <f>FF133</f>
        <v>27</v>
      </c>
      <c r="FG178" s="79">
        <f t="shared" si="590"/>
        <v>14.967000212901848</v>
      </c>
      <c r="FH178" s="228">
        <f>FH133</f>
        <v>18.7</v>
      </c>
      <c r="FI178" s="79">
        <f t="shared" si="591"/>
        <v>-30.740740740740748</v>
      </c>
      <c r="FJ178" s="171"/>
      <c r="FK178" s="79" t="str">
        <f t="shared" si="592"/>
        <v>NM</v>
      </c>
      <c r="FL178" s="171"/>
      <c r="FM178" s="79" t="str">
        <f t="shared" si="593"/>
        <v>NA</v>
      </c>
      <c r="FN178" s="171"/>
      <c r="FO178" s="79" t="str">
        <f t="shared" si="594"/>
        <v>NA</v>
      </c>
      <c r="FP178" s="171"/>
      <c r="FQ178" s="79" t="str">
        <f t="shared" si="595"/>
        <v>NA</v>
      </c>
      <c r="FR178" s="229">
        <f>FR133</f>
        <v>22.4</v>
      </c>
      <c r="FS178" s="79" t="str">
        <f t="shared" si="596"/>
        <v>NA</v>
      </c>
      <c r="FT178" s="229">
        <f>FT133</f>
        <v>25.8</v>
      </c>
      <c r="FU178" s="79">
        <f t="shared" si="597"/>
        <v>15.178571428571441</v>
      </c>
      <c r="FV178" s="229">
        <f>FV133</f>
        <v>22.8</v>
      </c>
      <c r="FW178" s="79">
        <f t="shared" si="598"/>
        <v>-11.627906976744185</v>
      </c>
      <c r="FX178" s="229">
        <f>FX133</f>
        <v>0</v>
      </c>
      <c r="FY178" s="79" t="str">
        <f t="shared" si="599"/>
        <v>NM</v>
      </c>
      <c r="FZ178" s="229">
        <f>FZ133</f>
        <v>0</v>
      </c>
      <c r="GA178" s="79" t="str">
        <f t="shared" si="600"/>
        <v>NA</v>
      </c>
      <c r="GB178" s="229">
        <f t="shared" si="601"/>
        <v>0</v>
      </c>
      <c r="GC178" s="79" t="str">
        <f t="shared" si="600"/>
        <v>NA</v>
      </c>
      <c r="GD178" s="229">
        <f>DG178+DI178+DK178+DM178</f>
        <v>0</v>
      </c>
      <c r="GE178" s="79" t="str">
        <f t="shared" si="600"/>
        <v>NA</v>
      </c>
      <c r="GF178" s="229"/>
      <c r="GG178" s="79" t="str">
        <f t="shared" si="600"/>
        <v>NA</v>
      </c>
      <c r="GH178" s="229"/>
      <c r="GI178" s="79" t="str">
        <f t="shared" si="600"/>
        <v>NA</v>
      </c>
      <c r="GJ178" s="229"/>
      <c r="GK178" s="79" t="str">
        <f t="shared" si="600"/>
        <v>NA</v>
      </c>
      <c r="GL178" s="229"/>
      <c r="GM178" s="79" t="str">
        <f t="shared" si="600"/>
        <v>NA</v>
      </c>
      <c r="GN178" s="229"/>
      <c r="GO178" s="79" t="str">
        <f t="shared" si="600"/>
        <v>NA</v>
      </c>
      <c r="GP178" s="229"/>
      <c r="GQ178" s="79" t="str">
        <f t="shared" si="600"/>
        <v>NA</v>
      </c>
      <c r="GR178" s="229"/>
      <c r="GS178" s="79" t="str">
        <f t="shared" si="602"/>
        <v>NA</v>
      </c>
      <c r="GT178" s="79"/>
    </row>
    <row r="179" spans="1:286" ht="12.75" hidden="1" customHeight="1" outlineLevel="1" x14ac:dyDescent="0.2">
      <c r="A179" s="1"/>
      <c r="B179" s="2" t="str">
        <f>B134</f>
        <v xml:space="preserve">  Individual Long Term Care</v>
      </c>
      <c r="C179" s="171"/>
      <c r="D179" s="171"/>
      <c r="E179" s="171"/>
      <c r="F179" s="171"/>
      <c r="G179" s="171"/>
      <c r="H179" s="171"/>
      <c r="I179" s="171"/>
      <c r="J179" s="171"/>
      <c r="K179" s="171"/>
      <c r="L179" s="79"/>
      <c r="M179" s="171"/>
      <c r="N179" s="79"/>
      <c r="O179" s="171"/>
      <c r="P179" s="79"/>
      <c r="Q179" s="171"/>
      <c r="R179" s="79"/>
      <c r="S179" s="171"/>
      <c r="T179" s="79"/>
      <c r="U179" s="171"/>
      <c r="V179" s="79"/>
      <c r="W179" s="171"/>
      <c r="X179" s="79"/>
      <c r="Y179" s="171"/>
      <c r="Z179" s="79"/>
      <c r="AA179" s="172"/>
      <c r="AB179" s="79"/>
      <c r="AC179" s="228">
        <f>AC134</f>
        <v>5.4</v>
      </c>
      <c r="AD179" s="79" t="str">
        <f t="shared" si="567"/>
        <v>NA</v>
      </c>
      <c r="AE179" s="228">
        <f>AE134</f>
        <v>6</v>
      </c>
      <c r="AF179" s="79" t="str">
        <f t="shared" si="568"/>
        <v>NA</v>
      </c>
      <c r="AG179" s="228">
        <f>AG134</f>
        <v>4.2</v>
      </c>
      <c r="AH179" s="79" t="str">
        <f t="shared" si="569"/>
        <v>NA</v>
      </c>
      <c r="AI179" s="228">
        <f>AI134</f>
        <v>3.9</v>
      </c>
      <c r="AJ179" s="79" t="str">
        <f t="shared" si="570"/>
        <v>NA</v>
      </c>
      <c r="AK179" s="228">
        <f>AK134</f>
        <v>3.1</v>
      </c>
      <c r="AL179" s="79">
        <f t="shared" si="571"/>
        <v>-42.592592592592595</v>
      </c>
      <c r="AM179" s="228">
        <f>AM134</f>
        <v>3.3</v>
      </c>
      <c r="AN179" s="79">
        <f>IF(ISERROR((AM179/AE179-1)*100),"NA",IF(((AM179/AE179-1)*100)&gt;100,"NM",IF(((AM179/AE179-1)*100)&lt;-50,"NM",(AM179/AE179-1)*100)))</f>
        <v>-45.000000000000007</v>
      </c>
      <c r="AO179" s="228">
        <f>AO134</f>
        <v>3.5</v>
      </c>
      <c r="AP179" s="79">
        <f>IF(ISERROR((AO179/AG179-1)*100),"NA",IF(((AO179/AG179-1)*100)&gt;100,"NM",IF(((AO179/AG179-1)*100)&lt;-50,"NM",(AO179/AG179-1)*100)))</f>
        <v>-16.666666666666675</v>
      </c>
      <c r="AQ179" s="228">
        <f>AQ134</f>
        <v>3.1</v>
      </c>
      <c r="AR179" s="79">
        <f>IF(ISERROR((AQ179/AI179-1)*100),"NA",IF(((AQ179/AI179-1)*100)&gt;100,"NM",IF(((AQ179/AI179-1)*100)&lt;-50,"NM",(AQ179/AI179-1)*100)))</f>
        <v>-20.512820512820507</v>
      </c>
      <c r="AS179" s="229">
        <f>AS134</f>
        <v>2.7</v>
      </c>
      <c r="AT179" s="81">
        <f>IF(ISERROR((AS179/AK179-1)*100),"NA",IF(((AS179/AK179-1)*100)&gt;100,"NM",IF(((AS179/AK179-1)*100)&lt;-50,"NM",(AS179/AK179-1)*100)))</f>
        <v>-12.903225806451612</v>
      </c>
      <c r="AU179" s="229">
        <f>AU134</f>
        <v>2.8</v>
      </c>
      <c r="AV179" s="81">
        <f>IF(ISERROR((AU179/AM179-1)*100),"NA",IF(((AU179/AM179-1)*100)&gt;100,"NM",IF(((AU179/AM179-1)*100)&lt;-50,"NM",(AU179/AM179-1)*100)))</f>
        <v>-15.151515151515149</v>
      </c>
      <c r="AW179" s="229">
        <f>AW134</f>
        <v>2.9</v>
      </c>
      <c r="AX179" s="81">
        <f>IF(ISERROR((AW179/AO179-1)*100),"NA",IF(((AW179/AO179-1)*100)&gt;100,"NM",IF(((AW179/AO179-1)*100)&lt;-50,"NM",(AW179/AO179-1)*100)))</f>
        <v>-17.142857142857149</v>
      </c>
      <c r="AY179" s="229">
        <f>AY134</f>
        <v>2.6</v>
      </c>
      <c r="AZ179" s="81">
        <f>IF(ISERROR((AY179/AQ179-1)*100),"NA",IF(((AY179/AQ179-1)*100)&gt;100,"NM",IF(((AY179/AQ179-1)*100)&lt;-50,"NM",(AY179/AQ179-1)*100)))</f>
        <v>-16.129032258064512</v>
      </c>
      <c r="BA179" s="229">
        <f>BA134</f>
        <v>2.1</v>
      </c>
      <c r="BB179" s="81">
        <f>IF(ISERROR((BA179/AS179-1)*100),"NA",IF(((BA179/AS179-1)*100)&gt;100,"NM",IF(((BA179/AS179-1)*100)&lt;-50,"NM",(BA179/AS179-1)*100)))</f>
        <v>-22.222222222222221</v>
      </c>
      <c r="BC179" s="229">
        <f>BC134</f>
        <v>2.2999999999999998</v>
      </c>
      <c r="BD179" s="81">
        <f>IF(ISERROR((BC179/AU179-1)*100),"NA",IF(((BC179/AU179-1)*100)&gt;100,"NM",IF(((BC179/AU179-1)*100)&lt;-50,"NM",(BC179/AU179-1)*100)))</f>
        <v>-17.857142857142861</v>
      </c>
      <c r="BE179" s="229">
        <f>BE134</f>
        <v>2.2000000000000002</v>
      </c>
      <c r="BF179" s="81">
        <f t="shared" si="572"/>
        <v>-24.137931034482751</v>
      </c>
      <c r="BG179" s="229">
        <f>BG134</f>
        <v>3.3</v>
      </c>
      <c r="BH179" s="81">
        <f t="shared" si="556"/>
        <v>26.923076923076916</v>
      </c>
      <c r="BI179" s="229">
        <f>BI134</f>
        <v>2.7</v>
      </c>
      <c r="BJ179" s="81">
        <f t="shared" si="557"/>
        <v>28.57142857142858</v>
      </c>
      <c r="BK179" s="229">
        <f>BK134</f>
        <v>2.2000000000000002</v>
      </c>
      <c r="BL179" s="81">
        <f t="shared" si="545"/>
        <v>-4.3478260869565073</v>
      </c>
      <c r="BM179" s="229">
        <f>BM134</f>
        <v>1.6</v>
      </c>
      <c r="BN179" s="81"/>
      <c r="BO179" s="229">
        <f>BO134</f>
        <v>1.9</v>
      </c>
      <c r="BP179" s="81"/>
      <c r="BQ179" s="229">
        <f>BQ134</f>
        <v>1.5</v>
      </c>
      <c r="BR179" s="81">
        <f t="shared" si="603"/>
        <v>-44.44444444444445</v>
      </c>
      <c r="BS179" s="229">
        <f>BS134</f>
        <v>0.8</v>
      </c>
      <c r="BT179" s="81"/>
      <c r="BU179" s="229">
        <f>BU134</f>
        <v>0.4</v>
      </c>
      <c r="BV179" s="81"/>
      <c r="BW179" s="229">
        <f>BW134</f>
        <v>1</v>
      </c>
      <c r="BX179" s="81"/>
      <c r="BY179" s="229">
        <f>BY134</f>
        <v>0</v>
      </c>
      <c r="BZ179" s="81"/>
      <c r="CA179" s="229">
        <f>CA134</f>
        <v>0.1</v>
      </c>
      <c r="CB179" s="81"/>
      <c r="CC179" s="229">
        <f>CC134</f>
        <v>0</v>
      </c>
      <c r="CD179" s="81"/>
      <c r="CE179" s="229">
        <f>CE134</f>
        <v>0.1</v>
      </c>
      <c r="CF179" s="81"/>
      <c r="CG179" s="229">
        <f>CG134</f>
        <v>0</v>
      </c>
      <c r="CH179" s="81"/>
      <c r="CI179" s="229">
        <f>CI134</f>
        <v>0</v>
      </c>
      <c r="CJ179" s="81"/>
      <c r="CK179" s="229">
        <f>CK134</f>
        <v>0</v>
      </c>
      <c r="CL179" s="81"/>
      <c r="CM179" s="229">
        <f>CM134</f>
        <v>0</v>
      </c>
      <c r="CN179" s="81" t="str">
        <f>IF(ISERROR((CM179/CE179-1)*100),"NA",IF(((CM179/CE179-1)*100)&gt;100,"NM",IF(((CM179/CE179-1)*100)&lt;-50,"NM",(CM179/CE179-1)*100)))</f>
        <v>NM</v>
      </c>
      <c r="CO179" s="229">
        <f>CO134</f>
        <v>0</v>
      </c>
      <c r="CP179" s="81" t="str">
        <f>IF(ISERROR((CO179/CG179-1)*100),"NA",IF(((CO179/CG179-1)*100)&gt;100,"NM",IF(((CO179/CG179-1)*100)&lt;-50,"NM",(CO179/CG179-1)*100)))</f>
        <v>NA</v>
      </c>
      <c r="CQ179" s="229">
        <f>CQ134</f>
        <v>0</v>
      </c>
      <c r="CR179" s="81" t="str">
        <f>IF(ISERROR((CQ179/CI179-1)*100),"NA",IF(((CQ179/CI179-1)*100)&gt;100,"NM",IF(((CQ179/CI179-1)*100)&lt;-50,"NM",(CQ179/CI179-1)*100)))</f>
        <v>NA</v>
      </c>
      <c r="CS179" s="229">
        <f>CS134</f>
        <v>0</v>
      </c>
      <c r="CT179" s="81" t="str">
        <f>IF(ISERROR((CS179/CK179-1)*100),"NA",IF(((CS179/CK179-1)*100)&gt;100,"NM",IF(((CS179/CK179-1)*100)&lt;-50,"NM",(CS179/CK179-1)*100)))</f>
        <v>NA</v>
      </c>
      <c r="CU179" s="229">
        <f>CU134</f>
        <v>0</v>
      </c>
      <c r="CV179" s="81" t="str">
        <f>IF(ISERROR((CU179/CM179-1)*100),"NA",IF(((CU179/CM179-1)*100)&gt;100,"NM",IF(((CU179/CM179-1)*100)&lt;-50,"NM",(CU179/CM179-1)*100)))</f>
        <v>NA</v>
      </c>
      <c r="CW179" s="229">
        <f>CW134</f>
        <v>0</v>
      </c>
      <c r="CX179" s="81" t="str">
        <f t="shared" si="573"/>
        <v>NA</v>
      </c>
      <c r="CY179" s="229">
        <f>CY134</f>
        <v>0</v>
      </c>
      <c r="CZ179" s="81" t="str">
        <f t="shared" si="574"/>
        <v>NA</v>
      </c>
      <c r="DA179" s="229">
        <f>DA134</f>
        <v>0</v>
      </c>
      <c r="DB179" s="81" t="str">
        <f t="shared" si="575"/>
        <v>NA</v>
      </c>
      <c r="DC179" s="229">
        <f>DC134</f>
        <v>0</v>
      </c>
      <c r="DD179" s="81" t="str">
        <f t="shared" si="576"/>
        <v>NA</v>
      </c>
      <c r="DE179" s="229">
        <f>DE134</f>
        <v>0</v>
      </c>
      <c r="DF179" s="81" t="str">
        <f t="shared" si="577"/>
        <v>NA</v>
      </c>
      <c r="DG179" s="229">
        <f>DG134</f>
        <v>0</v>
      </c>
      <c r="DH179" s="81" t="str">
        <f t="shared" si="578"/>
        <v>NA</v>
      </c>
      <c r="DI179" s="229">
        <f>DI134</f>
        <v>0</v>
      </c>
      <c r="DJ179" s="81" t="str">
        <f t="shared" si="579"/>
        <v>NA</v>
      </c>
      <c r="DK179" s="229">
        <f>DK134</f>
        <v>0</v>
      </c>
      <c r="DL179" s="81" t="str">
        <f t="shared" si="580"/>
        <v>NA</v>
      </c>
      <c r="DM179" s="229">
        <f>DM134</f>
        <v>0</v>
      </c>
      <c r="DN179" s="81" t="str">
        <f t="shared" si="604"/>
        <v>NA</v>
      </c>
      <c r="DO179" s="229">
        <f>DO134</f>
        <v>0</v>
      </c>
      <c r="DP179" s="81" t="str">
        <f t="shared" si="604"/>
        <v>NA</v>
      </c>
      <c r="DQ179" s="229">
        <f>DQ134</f>
        <v>0</v>
      </c>
      <c r="DR179" s="81" t="str">
        <f t="shared" si="605"/>
        <v>NA</v>
      </c>
      <c r="DS179" s="229">
        <f>DS134</f>
        <v>0</v>
      </c>
      <c r="DT179" s="81" t="str">
        <f t="shared" si="606"/>
        <v>NA</v>
      </c>
      <c r="DU179" s="229">
        <f>DU134</f>
        <v>0</v>
      </c>
      <c r="DV179" s="81" t="str">
        <f t="shared" si="607"/>
        <v>NA</v>
      </c>
      <c r="DW179" s="229">
        <f>DW134</f>
        <v>0</v>
      </c>
      <c r="DX179" s="81" t="str">
        <f t="shared" si="608"/>
        <v>NA</v>
      </c>
      <c r="DY179" s="229">
        <f>DY134</f>
        <v>0</v>
      </c>
      <c r="DZ179" s="81" t="str">
        <f t="shared" si="609"/>
        <v>NA</v>
      </c>
      <c r="EA179" s="229">
        <f>EA134</f>
        <v>0</v>
      </c>
      <c r="EB179" s="81" t="str">
        <f t="shared" si="610"/>
        <v>NA</v>
      </c>
      <c r="EC179" s="229">
        <f>EC134</f>
        <v>0</v>
      </c>
      <c r="ED179" s="81" t="str">
        <f t="shared" si="611"/>
        <v>NA</v>
      </c>
      <c r="EE179" s="229">
        <f>EE134</f>
        <v>0</v>
      </c>
      <c r="EF179" s="81" t="str">
        <f t="shared" si="612"/>
        <v>NA</v>
      </c>
      <c r="EG179" s="229">
        <f>EG134</f>
        <v>0</v>
      </c>
      <c r="EH179" s="81" t="str">
        <f t="shared" si="613"/>
        <v>NA</v>
      </c>
      <c r="EI179" s="229">
        <f>EI134</f>
        <v>0</v>
      </c>
      <c r="EJ179" s="81" t="str">
        <f t="shared" si="614"/>
        <v>NA</v>
      </c>
      <c r="EK179" s="229"/>
      <c r="EL179" s="81" t="str">
        <f t="shared" si="615"/>
        <v>NA</v>
      </c>
      <c r="EM179" s="229"/>
      <c r="EN179" s="81" t="str">
        <f t="shared" si="616"/>
        <v>NA</v>
      </c>
      <c r="EO179" s="229"/>
      <c r="EP179" s="81" t="str">
        <f t="shared" si="617"/>
        <v>NA</v>
      </c>
      <c r="EQ179" s="229"/>
      <c r="ER179" s="81" t="str">
        <f t="shared" si="618"/>
        <v>NA</v>
      </c>
      <c r="ES179" s="82"/>
      <c r="ET179" s="469"/>
      <c r="EU179" s="82"/>
      <c r="EV179" s="171"/>
      <c r="EW179" s="79"/>
      <c r="EX179" s="171"/>
      <c r="EY179" s="79"/>
      <c r="EZ179" s="171"/>
      <c r="FA179" s="79"/>
      <c r="FB179" s="185"/>
      <c r="FC179" s="79"/>
      <c r="FD179" s="228">
        <f>FD134</f>
        <v>63.67</v>
      </c>
      <c r="FE179" s="79" t="str">
        <f t="shared" si="589"/>
        <v>NA</v>
      </c>
      <c r="FF179" s="228">
        <f>FF134</f>
        <v>43.900000000000006</v>
      </c>
      <c r="FG179" s="79">
        <f t="shared" si="590"/>
        <v>-31.05073032825506</v>
      </c>
      <c r="FH179" s="228">
        <f>FH134</f>
        <v>19.5</v>
      </c>
      <c r="FI179" s="79" t="str">
        <f t="shared" si="591"/>
        <v>NM</v>
      </c>
      <c r="FJ179" s="171"/>
      <c r="FK179" s="79" t="str">
        <f t="shared" si="592"/>
        <v>NM</v>
      </c>
      <c r="FL179" s="171"/>
      <c r="FM179" s="79" t="str">
        <f t="shared" si="593"/>
        <v>NA</v>
      </c>
      <c r="FN179" s="171"/>
      <c r="FO179" s="79" t="str">
        <f t="shared" si="594"/>
        <v>NA</v>
      </c>
      <c r="FP179" s="171"/>
      <c r="FQ179" s="79" t="str">
        <f t="shared" si="595"/>
        <v>NA</v>
      </c>
      <c r="FR179" s="229">
        <f>FR134</f>
        <v>3.6999999999999997</v>
      </c>
      <c r="FS179" s="79" t="str">
        <f t="shared" si="596"/>
        <v>NA</v>
      </c>
      <c r="FT179" s="229">
        <f>FT134</f>
        <v>0.2</v>
      </c>
      <c r="FU179" s="79" t="str">
        <f t="shared" si="597"/>
        <v>NM</v>
      </c>
      <c r="FV179" s="229">
        <f>FV134</f>
        <v>0</v>
      </c>
      <c r="FW179" s="79" t="str">
        <f t="shared" si="598"/>
        <v>NM</v>
      </c>
      <c r="FX179" s="229">
        <f>FX134</f>
        <v>0</v>
      </c>
      <c r="FY179" s="79" t="str">
        <f t="shared" si="599"/>
        <v>NA</v>
      </c>
      <c r="FZ179" s="229">
        <f>FZ134</f>
        <v>0</v>
      </c>
      <c r="GA179" s="79" t="str">
        <f t="shared" si="600"/>
        <v>NA</v>
      </c>
      <c r="GB179" s="229">
        <f t="shared" si="601"/>
        <v>0</v>
      </c>
      <c r="GC179" s="79" t="str">
        <f t="shared" si="600"/>
        <v>NA</v>
      </c>
      <c r="GD179" s="229">
        <f>DG179+DI179+DK179+DM179</f>
        <v>0</v>
      </c>
      <c r="GE179" s="79" t="str">
        <f t="shared" si="600"/>
        <v>NA</v>
      </c>
      <c r="GF179" s="229"/>
      <c r="GG179" s="79" t="str">
        <f t="shared" si="600"/>
        <v>NA</v>
      </c>
      <c r="GH179" s="229"/>
      <c r="GI179" s="79" t="str">
        <f t="shared" si="600"/>
        <v>NA</v>
      </c>
      <c r="GJ179" s="229"/>
      <c r="GK179" s="79" t="str">
        <f t="shared" si="600"/>
        <v>NA</v>
      </c>
      <c r="GL179" s="229"/>
      <c r="GM179" s="79" t="str">
        <f t="shared" si="600"/>
        <v>NA</v>
      </c>
      <c r="GN179" s="229"/>
      <c r="GO179" s="79" t="str">
        <f t="shared" si="600"/>
        <v>NA</v>
      </c>
      <c r="GP179" s="229"/>
      <c r="GQ179" s="79" t="str">
        <f t="shared" si="600"/>
        <v>NA</v>
      </c>
      <c r="GR179" s="229"/>
      <c r="GS179" s="79" t="str">
        <f t="shared" si="602"/>
        <v>NA</v>
      </c>
      <c r="GT179" s="79"/>
    </row>
    <row r="180" spans="1:286" ht="12.75" customHeight="1" collapsed="1" x14ac:dyDescent="0.2">
      <c r="A180" s="1"/>
      <c r="B180" s="2" t="str">
        <f>B136</f>
        <v xml:space="preserve">  Voluntary Workspace Benefits</v>
      </c>
      <c r="C180" s="171"/>
      <c r="D180" s="171"/>
      <c r="E180" s="171"/>
      <c r="F180" s="171"/>
      <c r="G180" s="171"/>
      <c r="H180" s="171"/>
      <c r="I180" s="171"/>
      <c r="J180" s="171"/>
      <c r="K180" s="171"/>
      <c r="L180" s="79"/>
      <c r="M180" s="171"/>
      <c r="N180" s="79"/>
      <c r="O180" s="171"/>
      <c r="P180" s="79"/>
      <c r="Q180" s="171"/>
      <c r="R180" s="79"/>
      <c r="S180" s="171"/>
      <c r="T180" s="79"/>
      <c r="U180" s="171"/>
      <c r="V180" s="79"/>
      <c r="W180" s="171"/>
      <c r="X180" s="79"/>
      <c r="Y180" s="171"/>
      <c r="Z180" s="79"/>
      <c r="AA180" s="172"/>
      <c r="AB180" s="79"/>
      <c r="AC180" s="228">
        <f>AC136</f>
        <v>45.899999999999991</v>
      </c>
      <c r="AD180" s="79" t="str">
        <f t="shared" si="567"/>
        <v>NA</v>
      </c>
      <c r="AE180" s="228">
        <f>AE136</f>
        <v>18.7</v>
      </c>
      <c r="AF180" s="79" t="str">
        <f t="shared" si="568"/>
        <v>NA</v>
      </c>
      <c r="AG180" s="228">
        <f>AG136</f>
        <v>23.1</v>
      </c>
      <c r="AH180" s="79" t="str">
        <f t="shared" si="569"/>
        <v>NA</v>
      </c>
      <c r="AI180" s="228">
        <f>AI136</f>
        <v>26.400000000000006</v>
      </c>
      <c r="AJ180" s="79" t="str">
        <f t="shared" si="570"/>
        <v>NA</v>
      </c>
      <c r="AK180" s="228">
        <f>AK136</f>
        <v>50.900000000000006</v>
      </c>
      <c r="AL180" s="79">
        <f t="shared" si="571"/>
        <v>10.89324618736387</v>
      </c>
      <c r="AM180" s="228">
        <f>AM136</f>
        <v>24.3</v>
      </c>
      <c r="AN180" s="79">
        <f>IF(ISERROR((AM180/AE180-1)*100),"NA",IF(((AM180/AE180-1)*100)&gt;100,"NM",IF(((AM180/AE180-1)*100)&lt;-50,"NM",(AM180/AE180-1)*100)))</f>
        <v>29.946524064171133</v>
      </c>
      <c r="AO180" s="228">
        <f>AO136</f>
        <v>27.5</v>
      </c>
      <c r="AP180" s="79">
        <f>IF(ISERROR((AO180/AG180-1)*100),"NA",IF(((AO180/AG180-1)*100)&gt;100,"NM",IF(((AO180/AG180-1)*100)&lt;-50,"NM",(AO180/AG180-1)*100)))</f>
        <v>19.047619047619047</v>
      </c>
      <c r="AQ180" s="228">
        <f>AQ136</f>
        <v>27.5</v>
      </c>
      <c r="AR180" s="79">
        <f>IF(ISERROR((AQ180/AI180-1)*100),"NA",IF(((AQ180/AI180-1)*100)&gt;100,"NM",IF(((AQ180/AI180-1)*100)&lt;-50,"NM",(AQ180/AI180-1)*100)))</f>
        <v>4.1666666666666519</v>
      </c>
      <c r="AS180" s="229">
        <f>AS136</f>
        <v>54.7</v>
      </c>
      <c r="AT180" s="81">
        <f>IF(ISERROR((AS180/AK180-1)*100),"NA",IF(((AS180/AK180-1)*100)&gt;100,"NM",IF(((AS180/AK180-1)*100)&lt;-50,"NM",(AS180/AK180-1)*100)))</f>
        <v>7.4656188605108031</v>
      </c>
      <c r="AU180" s="229">
        <f>AU136</f>
        <v>25.8</v>
      </c>
      <c r="AV180" s="81">
        <f>IF(ISERROR((AU180/AM180-1)*100),"NA",IF(((AU180/AM180-1)*100)&gt;100,"NM",IF(((AU180/AM180-1)*100)&lt;-50,"NM",(AU180/AM180-1)*100)))</f>
        <v>6.1728395061728447</v>
      </c>
      <c r="AW180" s="229">
        <f>AW136</f>
        <v>28.2</v>
      </c>
      <c r="AX180" s="81">
        <f>IF(ISERROR((AW180/AO180-1)*100),"NA",IF(((AW180/AO180-1)*100)&gt;100,"NM",IF(((AW180/AO180-1)*100)&lt;-50,"NM",(AW180/AO180-1)*100)))</f>
        <v>2.5454545454545396</v>
      </c>
      <c r="AY180" s="229">
        <f>AY136</f>
        <v>25.5</v>
      </c>
      <c r="AZ180" s="81">
        <f>IF(ISERROR((AY180/AQ180-1)*100),"NA",IF(((AY180/AQ180-1)*100)&gt;100,"NM",IF(((AY180/AQ180-1)*100)&lt;-50,"NM",(AY180/AQ180-1)*100)))</f>
        <v>-7.2727272727272751</v>
      </c>
      <c r="BA180" s="229">
        <f>BA136</f>
        <v>49.4</v>
      </c>
      <c r="BB180" s="81">
        <f>IF(ISERROR((BA180/AS180-1)*100),"NA",IF(((BA180/AS180-1)*100)&gt;100,"NM",IF(((BA180/AS180-1)*100)&lt;-50,"NM",(BA180/AS180-1)*100)))</f>
        <v>-9.6892138939670964</v>
      </c>
      <c r="BC180" s="229">
        <f>BC136</f>
        <v>28.6</v>
      </c>
      <c r="BD180" s="81">
        <f>IF(ISERROR((BC180/AU180-1)*100),"NA",IF(((BC180/AU180-1)*100)&gt;100,"NM",IF(((BC180/AU180-1)*100)&lt;-50,"NM",(BC180/AU180-1)*100)))</f>
        <v>10.852713178294572</v>
      </c>
      <c r="BE180" s="229">
        <f>BE136</f>
        <v>31.3</v>
      </c>
      <c r="BF180" s="81">
        <f t="shared" si="572"/>
        <v>10.99290780141844</v>
      </c>
      <c r="BG180" s="229">
        <f>BG136</f>
        <v>29.1</v>
      </c>
      <c r="BH180" s="81">
        <f t="shared" si="556"/>
        <v>14.117647058823547</v>
      </c>
      <c r="BI180" s="229">
        <f>BI136</f>
        <v>66.2</v>
      </c>
      <c r="BJ180" s="81">
        <f t="shared" si="557"/>
        <v>34.008097165991913</v>
      </c>
      <c r="BK180" s="229">
        <f>BK136</f>
        <v>27.7</v>
      </c>
      <c r="BL180" s="81">
        <f t="shared" si="545"/>
        <v>-3.1468531468531569</v>
      </c>
      <c r="BM180" s="229">
        <f>BM136</f>
        <v>35.4</v>
      </c>
      <c r="BN180" s="81"/>
      <c r="BO180" s="229">
        <f>BO136</f>
        <v>29.3</v>
      </c>
      <c r="BP180" s="81"/>
      <c r="BQ180" s="229">
        <f>BQ136</f>
        <v>73.8</v>
      </c>
      <c r="BR180" s="81">
        <f t="shared" si="603"/>
        <v>11.480362537764343</v>
      </c>
      <c r="BS180" s="229">
        <f>BS136</f>
        <v>26</v>
      </c>
      <c r="BT180" s="81"/>
      <c r="BU180" s="229">
        <f>BU136</f>
        <v>29.1</v>
      </c>
      <c r="BV180" s="81"/>
      <c r="BW180" s="229">
        <f>BW136</f>
        <v>33</v>
      </c>
      <c r="BX180" s="81"/>
      <c r="BY180" s="229">
        <f>BY136</f>
        <v>74.8</v>
      </c>
      <c r="BZ180" s="81"/>
      <c r="CA180" s="229">
        <f>CA136</f>
        <v>39.200000000000003</v>
      </c>
      <c r="CB180" s="81"/>
      <c r="CC180" s="229">
        <f>CC136</f>
        <v>36.9</v>
      </c>
      <c r="CD180" s="81"/>
      <c r="CE180" s="229">
        <f>CE136</f>
        <v>36.299999999999997</v>
      </c>
      <c r="CF180" s="81"/>
      <c r="CG180" s="229">
        <f>CG136</f>
        <v>82</v>
      </c>
      <c r="CH180" s="81"/>
      <c r="CI180" s="229">
        <f>CI136</f>
        <v>33.9</v>
      </c>
      <c r="CJ180" s="81"/>
      <c r="CK180" s="229">
        <f>CK136</f>
        <v>42.7</v>
      </c>
      <c r="CL180" s="81"/>
      <c r="CM180" s="229">
        <f>CM136</f>
        <v>40.299999999999997</v>
      </c>
      <c r="CN180" s="81">
        <f>IF(ISERROR((CM180/CE180-1)*100),"NA",IF(((CM180/CE180-1)*100)&gt;100,"NM",IF(((CM180/CE180-1)*100)&lt;-50,"NM",(CM180/CE180-1)*100)))</f>
        <v>11.019283746556475</v>
      </c>
      <c r="CO180" s="229">
        <f>CO136</f>
        <v>94.9</v>
      </c>
      <c r="CP180" s="81">
        <f>IF(ISERROR((CO180/CG180-1)*100),"NA",IF(((CO180/CG180-1)*100)&gt;100,"NM",IF(((CO180/CG180-1)*100)&lt;-50,"NM",(CO180/CG180-1)*100)))</f>
        <v>15.731707317073184</v>
      </c>
      <c r="CQ180" s="229">
        <f>CQ136</f>
        <v>36.6</v>
      </c>
      <c r="CR180" s="81">
        <f>IF(ISERROR((CQ180/CI180-1)*100),"NA",IF(((CQ180/CI180-1)*100)&gt;100,"NM",IF(((CQ180/CI180-1)*100)&lt;-50,"NM",(CQ180/CI180-1)*100)))</f>
        <v>7.9646017699115168</v>
      </c>
      <c r="CS180" s="229">
        <f>CS136</f>
        <v>43.8</v>
      </c>
      <c r="CT180" s="81">
        <f>IF(ISERROR((CS180/CK180-1)*100),"NA",IF(((CS180/CK180-1)*100)&gt;100,"NM",IF(((CS180/CK180-1)*100)&lt;-50,"NM",(CS180/CK180-1)*100)))</f>
        <v>2.5761124121779666</v>
      </c>
      <c r="CU180" s="229">
        <f>CU136</f>
        <v>41.1</v>
      </c>
      <c r="CV180" s="81">
        <f>IF(ISERROR((CU180/CM180-1)*100),"NA",IF(((CU180/CM180-1)*100)&gt;100,"NM",IF(((CU180/CM180-1)*100)&lt;-50,"NM",(CU180/CM180-1)*100)))</f>
        <v>1.9851116625310361</v>
      </c>
      <c r="CW180" s="229">
        <f>CW136</f>
        <v>98.6</v>
      </c>
      <c r="CX180" s="81">
        <f t="shared" si="573"/>
        <v>3.8988408851422518</v>
      </c>
      <c r="CY180" s="229">
        <f>CY136</f>
        <v>33.200000000000003</v>
      </c>
      <c r="CZ180" s="81">
        <f t="shared" si="574"/>
        <v>-9.2896174863387966</v>
      </c>
      <c r="DA180" s="229">
        <f>DA136</f>
        <v>46.6</v>
      </c>
      <c r="DB180" s="81">
        <f t="shared" si="575"/>
        <v>6.3926940639269514</v>
      </c>
      <c r="DC180" s="229">
        <f>DC136</f>
        <v>40.4</v>
      </c>
      <c r="DD180" s="81">
        <f t="shared" si="576"/>
        <v>-1.7031630170316392</v>
      </c>
      <c r="DE180" s="229">
        <f>DE136</f>
        <v>103.3</v>
      </c>
      <c r="DF180" s="81">
        <f t="shared" si="577"/>
        <v>4.7667342799188717</v>
      </c>
      <c r="DG180" s="229">
        <f>DG136</f>
        <v>39.9</v>
      </c>
      <c r="DH180" s="81">
        <f t="shared" si="578"/>
        <v>20.180722891566248</v>
      </c>
      <c r="DI180" s="229">
        <f>DI136</f>
        <v>46.1</v>
      </c>
      <c r="DJ180" s="81">
        <f t="shared" si="579"/>
        <v>-1.0729613733905574</v>
      </c>
      <c r="DK180" s="229">
        <f>DK136</f>
        <v>48.8</v>
      </c>
      <c r="DL180" s="81">
        <f t="shared" si="580"/>
        <v>20.792079207920789</v>
      </c>
      <c r="DM180" s="229">
        <f>DM136</f>
        <v>131.9</v>
      </c>
      <c r="DN180" s="81">
        <f t="shared" si="604"/>
        <v>27.686350435624398</v>
      </c>
      <c r="DO180" s="229">
        <f>DO136</f>
        <v>39.299999999999997</v>
      </c>
      <c r="DP180" s="81">
        <f t="shared" si="604"/>
        <v>-1.5037593984962405</v>
      </c>
      <c r="DQ180" s="229">
        <f>DQ136</f>
        <v>46.2</v>
      </c>
      <c r="DR180" s="81">
        <f t="shared" si="605"/>
        <v>0.21691973969630851</v>
      </c>
      <c r="DS180" s="229">
        <f>DS136</f>
        <v>45.2</v>
      </c>
      <c r="DT180" s="81">
        <f t="shared" si="606"/>
        <v>-7.3770491803278553</v>
      </c>
      <c r="DU180" s="229">
        <f>DU136</f>
        <v>125.9</v>
      </c>
      <c r="DV180" s="81">
        <f t="shared" si="607"/>
        <v>-4.5489006823351001</v>
      </c>
      <c r="DW180" s="229">
        <f>DW136</f>
        <v>44.8</v>
      </c>
      <c r="DX180" s="81">
        <f t="shared" si="608"/>
        <v>13.994910941475824</v>
      </c>
      <c r="DY180" s="229">
        <f>DY136</f>
        <v>50.1</v>
      </c>
      <c r="DZ180" s="81">
        <f t="shared" si="609"/>
        <v>8.4415584415584277</v>
      </c>
      <c r="EA180" s="229">
        <f>EA136</f>
        <v>45.4</v>
      </c>
      <c r="EB180" s="81">
        <f t="shared" si="610"/>
        <v>0.44247787610618428</v>
      </c>
      <c r="EC180" s="229">
        <f>EC136</f>
        <v>147.30000000000001</v>
      </c>
      <c r="ED180" s="81">
        <f t="shared" si="611"/>
        <v>16.997617156473389</v>
      </c>
      <c r="EE180" s="229">
        <f>EE136</f>
        <v>49.6</v>
      </c>
      <c r="EF180" s="81">
        <f t="shared" si="612"/>
        <v>10.714285714285721</v>
      </c>
      <c r="EG180" s="229">
        <f>EG136</f>
        <v>44.8</v>
      </c>
      <c r="EH180" s="81">
        <f t="shared" si="613"/>
        <v>-10.578842315369275</v>
      </c>
      <c r="EI180" s="229">
        <f>EI136</f>
        <v>50.8</v>
      </c>
      <c r="EJ180" s="81">
        <f t="shared" si="614"/>
        <v>11.894273127753308</v>
      </c>
      <c r="EK180" s="229"/>
      <c r="EL180" s="81" t="str">
        <f t="shared" si="615"/>
        <v>NM</v>
      </c>
      <c r="EM180" s="229"/>
      <c r="EN180" s="81" t="str">
        <f t="shared" si="616"/>
        <v>NM</v>
      </c>
      <c r="EO180" s="229"/>
      <c r="EP180" s="81" t="str">
        <f t="shared" si="617"/>
        <v>NM</v>
      </c>
      <c r="EQ180" s="229"/>
      <c r="ER180" s="81" t="str">
        <f t="shared" si="618"/>
        <v>NM</v>
      </c>
      <c r="ES180" s="82"/>
      <c r="ET180" s="469"/>
      <c r="EU180" s="82"/>
      <c r="EV180" s="171"/>
      <c r="EW180" s="79"/>
      <c r="EX180" s="171"/>
      <c r="EY180" s="79"/>
      <c r="EZ180" s="171"/>
      <c r="FA180" s="79"/>
      <c r="FB180" s="185"/>
      <c r="FC180" s="79"/>
      <c r="FD180" s="228">
        <f>FD136</f>
        <v>79.099999999999994</v>
      </c>
      <c r="FE180" s="79" t="str">
        <f t="shared" si="589"/>
        <v>NA</v>
      </c>
      <c r="FF180" s="228">
        <f>FF136</f>
        <v>105.8</v>
      </c>
      <c r="FG180" s="79">
        <f t="shared" si="590"/>
        <v>33.754740834386851</v>
      </c>
      <c r="FH180" s="228">
        <f>FH136</f>
        <v>114.1</v>
      </c>
      <c r="FI180" s="79">
        <f t="shared" si="591"/>
        <v>7.844990548204156</v>
      </c>
      <c r="FJ180" s="171"/>
      <c r="FK180" s="79" t="str">
        <f t="shared" si="592"/>
        <v>NM</v>
      </c>
      <c r="FL180" s="171"/>
      <c r="FM180" s="79" t="str">
        <f t="shared" si="593"/>
        <v>NA</v>
      </c>
      <c r="FN180" s="171"/>
      <c r="FO180" s="79" t="str">
        <f t="shared" si="594"/>
        <v>NA</v>
      </c>
      <c r="FP180" s="171"/>
      <c r="FQ180" s="79" t="str">
        <f t="shared" si="595"/>
        <v>NA</v>
      </c>
      <c r="FR180" s="229">
        <f>FR136</f>
        <v>161.9</v>
      </c>
      <c r="FS180" s="79" t="str">
        <f t="shared" si="596"/>
        <v>NA</v>
      </c>
      <c r="FT180" s="229">
        <f>FT136</f>
        <v>187.2</v>
      </c>
      <c r="FU180" s="79">
        <f t="shared" si="597"/>
        <v>15.626930203829502</v>
      </c>
      <c r="FV180" s="229">
        <f>FV136</f>
        <v>198.90000000000003</v>
      </c>
      <c r="FW180" s="79">
        <f t="shared" si="598"/>
        <v>6.2500000000000222</v>
      </c>
      <c r="FX180" s="229">
        <f>FX136</f>
        <v>216.4</v>
      </c>
      <c r="FY180" s="79">
        <f t="shared" si="599"/>
        <v>8.7983911513323179</v>
      </c>
      <c r="FZ180" s="229">
        <f>FZ136</f>
        <v>218.8</v>
      </c>
      <c r="GA180" s="79">
        <f t="shared" si="600"/>
        <v>1.109057301293892</v>
      </c>
      <c r="GB180" s="229">
        <f t="shared" si="601"/>
        <v>238.09999999999997</v>
      </c>
      <c r="GC180" s="79">
        <f t="shared" si="600"/>
        <v>8.8208409506398411</v>
      </c>
      <c r="GD180" s="229">
        <f>DS180+DQ180+DO180+DM180</f>
        <v>262.60000000000002</v>
      </c>
      <c r="GE180" s="79">
        <f t="shared" si="600"/>
        <v>10.289794204115953</v>
      </c>
      <c r="GF180" s="229">
        <f>DU180+DW180+DY180+EA180</f>
        <v>266.2</v>
      </c>
      <c r="GG180" s="79">
        <f t="shared" si="600"/>
        <v>1.370906321401355</v>
      </c>
      <c r="GH180" s="229">
        <f>EC180+EE180+EG180+EI180</f>
        <v>292.5</v>
      </c>
      <c r="GI180" s="79">
        <f t="shared" si="600"/>
        <v>9.8797896318557612</v>
      </c>
      <c r="GJ180" s="229"/>
      <c r="GK180" s="79" t="str">
        <f t="shared" si="600"/>
        <v>NM</v>
      </c>
      <c r="GL180" s="229"/>
      <c r="GM180" s="79" t="str">
        <f t="shared" si="600"/>
        <v>NA</v>
      </c>
      <c r="GN180" s="229"/>
      <c r="GO180" s="79" t="str">
        <f t="shared" si="600"/>
        <v>NA</v>
      </c>
      <c r="GP180" s="229"/>
      <c r="GQ180" s="79" t="str">
        <f t="shared" si="600"/>
        <v>NA</v>
      </c>
      <c r="GR180" s="229"/>
      <c r="GS180" s="79" t="str">
        <f t="shared" si="602"/>
        <v>NA</v>
      </c>
      <c r="GT180" s="79"/>
    </row>
    <row r="181" spans="1:286" s="132" customFormat="1" ht="12.75" customHeight="1" x14ac:dyDescent="0.2">
      <c r="A181" s="133"/>
      <c r="B181" s="83" t="s">
        <v>102</v>
      </c>
      <c r="C181" s="79"/>
      <c r="D181" s="79"/>
      <c r="E181" s="95"/>
      <c r="F181" s="95"/>
      <c r="G181" s="95"/>
      <c r="H181" s="95"/>
      <c r="I181" s="95"/>
      <c r="J181" s="95"/>
      <c r="K181" s="95"/>
      <c r="L181" s="211"/>
      <c r="M181" s="95"/>
      <c r="N181" s="211"/>
      <c r="O181" s="95"/>
      <c r="P181" s="211"/>
      <c r="Q181" s="95"/>
      <c r="R181" s="211"/>
      <c r="S181" s="95"/>
      <c r="T181" s="211"/>
      <c r="U181" s="95"/>
      <c r="V181" s="211"/>
      <c r="W181" s="95"/>
      <c r="X181" s="211"/>
      <c r="Y181" s="95"/>
      <c r="Z181" s="211"/>
      <c r="AA181" s="126"/>
      <c r="AB181" s="211"/>
      <c r="AC181" s="234">
        <f>SUM(AC174:AC180,AC172,AC168)</f>
        <v>167.2</v>
      </c>
      <c r="AD181" s="79" t="str">
        <f t="shared" si="567"/>
        <v>NA</v>
      </c>
      <c r="AE181" s="234">
        <f>SUM(AE174:AE180,AE172,AE168)</f>
        <v>146</v>
      </c>
      <c r="AF181" s="79" t="str">
        <f t="shared" si="568"/>
        <v>NA</v>
      </c>
      <c r="AG181" s="234">
        <f>SUM(AG174:AG180,AG172,AG168)</f>
        <v>109.20000000000002</v>
      </c>
      <c r="AH181" s="79" t="str">
        <f t="shared" si="569"/>
        <v>NA</v>
      </c>
      <c r="AI181" s="234">
        <f>SUM(AI174:AI180,AI172,AI168)</f>
        <v>239.10000000000005</v>
      </c>
      <c r="AJ181" s="79" t="str">
        <f t="shared" si="570"/>
        <v>NA</v>
      </c>
      <c r="AK181" s="234">
        <f>SUM(AK174:AK180,AK172,AK168)</f>
        <v>161.20000000000002</v>
      </c>
      <c r="AL181" s="79">
        <f t="shared" si="571"/>
        <v>-3.5885167464114631</v>
      </c>
      <c r="AM181" s="234">
        <f>SUM(AM174:AM180,AM172,AM168)</f>
        <v>150.39999999999998</v>
      </c>
      <c r="AN181" s="79">
        <f>IF(ISERROR((AM181/AE181-1)*100),"NA",IF(((AM181/AE181-1)*100)&gt;100,"NM",IF(((AM181/AE181-1)*100)&lt;-50,"NM",(AM181/AE181-1)*100)))</f>
        <v>3.0136986301369628</v>
      </c>
      <c r="AO181" s="234">
        <f>SUM(AO174:AO180,AO172,AO168)</f>
        <v>114.6</v>
      </c>
      <c r="AP181" s="79">
        <f>IF(ISERROR((AO181/AG181-1)*100),"NA",IF(((AO181/AG181-1)*100)&gt;100,"NM",IF(((AO181/AG181-1)*100)&lt;-50,"NM",(AO181/AG181-1)*100)))</f>
        <v>4.9450549450549275</v>
      </c>
      <c r="AQ181" s="234">
        <f>SUM(AQ174:AQ180,AQ172,AQ168)</f>
        <v>227.2</v>
      </c>
      <c r="AR181" s="79">
        <f>IF(ISERROR((AQ181/AI181-1)*100),"NA",IF(((AQ181/AI181-1)*100)&gt;100,"NM",IF(((AQ181/AI181-1)*100)&lt;-50,"NM",(AQ181/AI181-1)*100)))</f>
        <v>-4.976997072354683</v>
      </c>
      <c r="AS181" s="235">
        <f>SUM(AS174:AS180,AS172,AS168)</f>
        <v>166</v>
      </c>
      <c r="AT181" s="81">
        <f>IF(ISERROR((AS181/AK181-1)*100),"NA",IF(((AS181/AK181-1)*100)&gt;100,"NM",IF(((AS181/AK181-1)*100)&lt;-50,"NM",(AS181/AK181-1)*100)))</f>
        <v>2.9776674937965097</v>
      </c>
      <c r="AU181" s="235">
        <f>+AU180+AU177+AU175+AU174</f>
        <v>85</v>
      </c>
      <c r="AV181" s="81">
        <f>IF(ISERROR((AU181/AM181-1)*100),"NA",IF(((AU181/AM181-1)*100)&gt;100,"NM",IF(((AU181/AM181-1)*100)&lt;-50,"NM",(AU181/AM181-1)*100)))</f>
        <v>-43.484042553191479</v>
      </c>
      <c r="AW181" s="235">
        <f>+AW180+AW177+AW175+AW174</f>
        <v>61.8</v>
      </c>
      <c r="AX181" s="81">
        <f>IF(ISERROR((AW181/AO181-1)*100),"NA",IF(((AW181/AO181-1)*100)&gt;100,"NM",IF(((AW181/AO181-1)*100)&lt;-50,"NM",(AW181/AO181-1)*100)))</f>
        <v>-46.073298429319379</v>
      </c>
      <c r="AY181" s="235">
        <f>+AY180+AY177+AY175+AY174</f>
        <v>103.3</v>
      </c>
      <c r="AZ181" s="81" t="str">
        <f>IF(ISERROR((AY181/AQ181-1)*100),"NA",IF(((AY181/AQ181-1)*100)&gt;100,"NM",IF(((AY181/AQ181-1)*100)&lt;-50,"NM",(AY181/AQ181-1)*100)))</f>
        <v>NM</v>
      </c>
      <c r="BA181" s="235">
        <f>+BA180+BA177+BA175+BA174</f>
        <v>86</v>
      </c>
      <c r="BB181" s="81">
        <f>IF(ISERROR((BA181/AS181-1)*100),"NA",IF(((BA181/AS181-1)*100)&gt;100,"NM",IF(((BA181/AS181-1)*100)&lt;-50,"NM",(BA181/AS181-1)*100)))</f>
        <v>-48.192771084337352</v>
      </c>
      <c r="BC181" s="235">
        <f>+BC180+BC177+BC175+BC174</f>
        <v>81.599999999999994</v>
      </c>
      <c r="BD181" s="81">
        <f>IF(ISERROR((BC181/AU181-1)*100),"NA",IF(((BC181/AU181-1)*100)&gt;100,"NM",IF(((BC181/AU181-1)*100)&lt;-50,"NM",(BC181/AU181-1)*100)))</f>
        <v>-4.0000000000000036</v>
      </c>
      <c r="BE181" s="235">
        <f>+BE180+BE177+BE175+BE174</f>
        <v>66.2</v>
      </c>
      <c r="BF181" s="81">
        <f t="shared" si="572"/>
        <v>7.1197411003236288</v>
      </c>
      <c r="BG181" s="235">
        <f>+BG180+BG177+BG175+BG174</f>
        <v>112.1</v>
      </c>
      <c r="BH181" s="81">
        <f t="shared" si="556"/>
        <v>8.5188770571152048</v>
      </c>
      <c r="BI181" s="235">
        <f>+BI180+BI177+BI175+BI174</f>
        <v>112.70000000000002</v>
      </c>
      <c r="BJ181" s="81">
        <f t="shared" si="557"/>
        <v>31.046511627906991</v>
      </c>
      <c r="BK181" s="235">
        <f>+BK180+BK177+BK175+BK174</f>
        <v>82.5</v>
      </c>
      <c r="BL181" s="81">
        <f t="shared" si="545"/>
        <v>1.1029411764705843</v>
      </c>
      <c r="BM181" s="235">
        <f>+BM180+BM177+BM175+BM174</f>
        <v>69.300000000000011</v>
      </c>
      <c r="BN181" s="212"/>
      <c r="BO181" s="235">
        <f>+BO180+BO177+BO175+BO174</f>
        <v>134.6</v>
      </c>
      <c r="BP181" s="212"/>
      <c r="BQ181" s="235">
        <f>+BQ180+BQ177+BQ175+BQ174</f>
        <v>124.2</v>
      </c>
      <c r="BR181" s="81">
        <f t="shared" si="603"/>
        <v>10.20408163265305</v>
      </c>
      <c r="BS181" s="235">
        <f>+BS180+BS177+BS175+BS174</f>
        <v>91.300000000000011</v>
      </c>
      <c r="BT181" s="212"/>
      <c r="BU181" s="235">
        <f>+BU180+BU177+BU175+BU174</f>
        <v>72.199999999999989</v>
      </c>
      <c r="BV181" s="212"/>
      <c r="BW181" s="235">
        <f>+BW180+BW177+BW175+BW174</f>
        <v>129.4</v>
      </c>
      <c r="BX181" s="81"/>
      <c r="BY181" s="235">
        <f>+BY180+BY177+BY175+BY174+BY172+BY168</f>
        <v>158.89999999999998</v>
      </c>
      <c r="BZ181" s="212"/>
      <c r="CA181" s="235">
        <f>+CA180+CA177+CA175+CA174+CA172+CA168</f>
        <v>139.9</v>
      </c>
      <c r="CB181" s="212"/>
      <c r="CC181" s="235">
        <f>+CC180+CC177+CC175+CC174+CC172+CC168</f>
        <v>108.39999999999999</v>
      </c>
      <c r="CD181" s="212"/>
      <c r="CE181" s="235">
        <f>+CE180+CE177+CE175+CE174+CE172+CE168</f>
        <v>242.59999999999997</v>
      </c>
      <c r="CF181" s="212"/>
      <c r="CG181" s="235">
        <f>+CG180+CG177+CG175+CG174+CG172+CG168</f>
        <v>174.4</v>
      </c>
      <c r="CH181" s="81">
        <f>IF(ISERROR((CG181/BY181-1)*100),"NA",IF(((CG181/BY181-1)*100)&gt;100,"NM",IF(((CG181/BY181-1)*100)&lt;-50,"NM",(CG181/BY181-1)*100)))</f>
        <v>9.7545626179987632</v>
      </c>
      <c r="CI181" s="235">
        <f>+CI180+CI177+CI175+CI174+CI172+CI168</f>
        <v>149.30000000000001</v>
      </c>
      <c r="CJ181" s="212"/>
      <c r="CK181" s="235">
        <f>+CK180+CK177+CK175+CK174+CK172+CK168</f>
        <v>117.80000000000001</v>
      </c>
      <c r="CL181" s="212"/>
      <c r="CM181" s="235">
        <f>+CM180+CM177+CM175+CM174+CM172+CM168</f>
        <v>271.8</v>
      </c>
      <c r="CN181" s="81">
        <f>IF(ISERROR((CM181/CE181-1)*100),"NA",IF(((CM181/CE181-1)*100)&gt;100,"NM",IF(((CM181/CE181-1)*100)&lt;-50,"NM",(CM181/CE181-1)*100)))</f>
        <v>12.03627370156639</v>
      </c>
      <c r="CO181" s="235">
        <f>+CO180+CO177+CO175+CO174+CO172+CO168</f>
        <v>195.5</v>
      </c>
      <c r="CP181" s="81">
        <f>IF(ISERROR((CO181/CG181-1)*100),"NA",IF(((CO181/CG181-1)*100)&gt;100,"NM",IF(((CO181/CG181-1)*100)&lt;-50,"NM",(CO181/CG181-1)*100)))</f>
        <v>12.098623853211009</v>
      </c>
      <c r="CQ181" s="235">
        <f>+CQ180+CQ177+CQ176+CQ172+CQ168</f>
        <v>161.6</v>
      </c>
      <c r="CR181" s="81">
        <f>IF(ISERROR((CQ181/CI181-1)*100),"NA",IF(((CQ181/CI181-1)*100)&gt;100,"NM",IF(((CQ181/CI181-1)*100)&lt;-50,"NM",(CQ181/CI181-1)*100)))</f>
        <v>8.2384460817146454</v>
      </c>
      <c r="CS181" s="235">
        <f>+CS180+CS177+CS176+CS172+CS168</f>
        <v>122.79999999999998</v>
      </c>
      <c r="CT181" s="81">
        <f>IF(ISERROR((CS181/CK181-1)*100),"NA",IF(((CS181/CK181-1)*100)&gt;100,"NM",IF(((CS181/CK181-1)*100)&lt;-50,"NM",(CS181/CK181-1)*100)))</f>
        <v>4.2444821731748572</v>
      </c>
      <c r="CU181" s="235">
        <f>+CU180+CU177+CU176+CU172+CU168</f>
        <v>281.2</v>
      </c>
      <c r="CV181" s="81">
        <f>IF(ISERROR((CU181/CM181-1)*100),"NA",IF(((CU181/CM181-1)*100)&gt;100,"NM",IF(((CU181/CM181-1)*100)&lt;-50,"NM",(CU181/CM181-1)*100)))</f>
        <v>3.4584253127299291</v>
      </c>
      <c r="CW181" s="235">
        <f>+CW180+CW177+CW176+CW172+CW168</f>
        <v>197.5</v>
      </c>
      <c r="CX181" s="81">
        <f t="shared" si="573"/>
        <v>1.0230179028132946</v>
      </c>
      <c r="CY181" s="235">
        <f>+CY180+CY177+CY176+CY172+CY168</f>
        <v>131.4</v>
      </c>
      <c r="CZ181" s="81">
        <f t="shared" si="574"/>
        <v>-18.688118811881182</v>
      </c>
      <c r="DA181" s="235">
        <f>+DA180+DA177+DA176+DA172+DA168</f>
        <v>121.8</v>
      </c>
      <c r="DB181" s="81">
        <f t="shared" si="575"/>
        <v>-0.81433224755699252</v>
      </c>
      <c r="DC181" s="235">
        <f>+DC180+DC177+DC176+DC172+DC168</f>
        <v>294.89999999999998</v>
      </c>
      <c r="DD181" s="81">
        <f t="shared" si="576"/>
        <v>4.8719772403982953</v>
      </c>
      <c r="DE181" s="235">
        <f>+DE180+DE177+DE176+DE172+DE168</f>
        <v>211.7</v>
      </c>
      <c r="DF181" s="81">
        <f t="shared" si="577"/>
        <v>7.189873417721504</v>
      </c>
      <c r="DG181" s="235">
        <f>+DG180+DG177+DG176+DG172+DG168</f>
        <v>184</v>
      </c>
      <c r="DH181" s="81">
        <f t="shared" si="578"/>
        <v>40.030441400304404</v>
      </c>
      <c r="DI181" s="235">
        <f>+DI180+DI177+DI176+DI172+DI168</f>
        <v>137.69999999999999</v>
      </c>
      <c r="DJ181" s="81">
        <f t="shared" si="579"/>
        <v>13.054187192118217</v>
      </c>
      <c r="DK181" s="235">
        <f>+DK180+DK177+DK176+DK172+DK168</f>
        <v>368.7</v>
      </c>
      <c r="DL181" s="81">
        <f t="shared" si="580"/>
        <v>25.025432349949138</v>
      </c>
      <c r="DM181" s="235">
        <f>+DM180+DM177+DM176+DM172+DM168</f>
        <v>248.40000000000003</v>
      </c>
      <c r="DN181" s="81">
        <f t="shared" si="604"/>
        <v>17.335852621634416</v>
      </c>
      <c r="DO181" s="235">
        <f>+DO180+DO177+DO176+DO172+DO168</f>
        <v>185.3</v>
      </c>
      <c r="DP181" s="81">
        <f t="shared" si="604"/>
        <v>0.70652173913043903</v>
      </c>
      <c r="DQ181" s="235">
        <f>+DQ180+DQ177+DQ176+DQ172+DQ168</f>
        <v>151</v>
      </c>
      <c r="DR181" s="81">
        <f t="shared" si="605"/>
        <v>9.6586782861292733</v>
      </c>
      <c r="DS181" s="235">
        <f>+DS180+DS177+DS176+DS172+DS168</f>
        <v>354.90000000000003</v>
      </c>
      <c r="DT181" s="81">
        <f t="shared" si="606"/>
        <v>-3.7428803905614205</v>
      </c>
      <c r="DU181" s="235">
        <f>+DU180+DU177+DU176+DU172+DU168</f>
        <v>237.09999999999997</v>
      </c>
      <c r="DV181" s="81">
        <f t="shared" si="607"/>
        <v>-4.5491143317230591</v>
      </c>
      <c r="DW181" s="235">
        <f>+DW180+DW177+DW176+DW172+DW168</f>
        <v>187.89999999999998</v>
      </c>
      <c r="DX181" s="81">
        <f t="shared" si="608"/>
        <v>1.4031300593631668</v>
      </c>
      <c r="DY181" s="235">
        <f>+DY180+DY177+DY176+DY172+DY168</f>
        <v>133.6</v>
      </c>
      <c r="DZ181" s="81">
        <f t="shared" si="609"/>
        <v>-11.523178807947021</v>
      </c>
      <c r="EA181" s="235">
        <f>+EA180+EA177+EA176+EA172+EA168</f>
        <v>375.2</v>
      </c>
      <c r="EB181" s="81">
        <f t="shared" si="610"/>
        <v>5.719921104536474</v>
      </c>
      <c r="EC181" s="235">
        <f>+EC180+EC177+EC176+EC172+EC168</f>
        <v>253.6</v>
      </c>
      <c r="ED181" s="81">
        <f t="shared" si="611"/>
        <v>6.9590889919865173</v>
      </c>
      <c r="EE181" s="235">
        <f>+EE180+EE177+EE176+EE172+EE168</f>
        <v>197.6</v>
      </c>
      <c r="EF181" s="81">
        <f t="shared" si="612"/>
        <v>5.1623203831825615</v>
      </c>
      <c r="EG181" s="235">
        <f>+EG180+EG177+EG176+EG172+EG168</f>
        <v>152.1</v>
      </c>
      <c r="EH181" s="81">
        <f t="shared" si="613"/>
        <v>13.847305389221564</v>
      </c>
      <c r="EI181" s="235">
        <f>+EI180+EI177+EI176+EI172+EI168</f>
        <v>470.9</v>
      </c>
      <c r="EJ181" s="81">
        <f t="shared" si="614"/>
        <v>25.506396588486147</v>
      </c>
      <c r="EK181" s="235"/>
      <c r="EL181" s="81" t="str">
        <f t="shared" si="615"/>
        <v>NM</v>
      </c>
      <c r="EM181" s="235"/>
      <c r="EN181" s="81" t="str">
        <f t="shared" si="616"/>
        <v>NM</v>
      </c>
      <c r="EO181" s="235"/>
      <c r="EP181" s="81" t="str">
        <f t="shared" si="617"/>
        <v>NM</v>
      </c>
      <c r="EQ181" s="235"/>
      <c r="ER181" s="81" t="str">
        <f t="shared" si="618"/>
        <v>NM</v>
      </c>
      <c r="ES181" s="129"/>
      <c r="ET181" s="469"/>
      <c r="EU181" s="129"/>
      <c r="EV181" s="95"/>
      <c r="EW181" s="79"/>
      <c r="EX181" s="95"/>
      <c r="EY181" s="79"/>
      <c r="EZ181" s="131"/>
      <c r="FA181" s="79"/>
      <c r="FB181" s="145"/>
      <c r="FC181" s="211"/>
      <c r="FD181" s="234">
        <f>SUM(FD174:FD180,FD172,FD168)</f>
        <v>1044.855</v>
      </c>
      <c r="FE181" s="79" t="str">
        <f t="shared" si="589"/>
        <v>NA</v>
      </c>
      <c r="FF181" s="234">
        <f>SUM(FF174:FF180,FF172,FF168)</f>
        <v>965</v>
      </c>
      <c r="FG181" s="79">
        <f t="shared" si="590"/>
        <v>-7.6426872628259428</v>
      </c>
      <c r="FH181" s="234">
        <f>SUM(FH174:FH180,FH172,FH168)</f>
        <v>661.5</v>
      </c>
      <c r="FI181" s="79">
        <f t="shared" si="591"/>
        <v>-31.450777202072544</v>
      </c>
      <c r="FJ181" s="145"/>
      <c r="FK181" s="79" t="str">
        <f t="shared" si="592"/>
        <v>NM</v>
      </c>
      <c r="FL181" s="95"/>
      <c r="FM181" s="79" t="str">
        <f t="shared" si="593"/>
        <v>NA</v>
      </c>
      <c r="FN181" s="95"/>
      <c r="FO181" s="79" t="str">
        <f t="shared" si="594"/>
        <v>NA</v>
      </c>
      <c r="FP181" s="95"/>
      <c r="FQ181" s="79" t="str">
        <f t="shared" si="595"/>
        <v>NA</v>
      </c>
      <c r="FR181" s="235">
        <f>+FR180+FR177+FR175+FR174+FR172+FR168</f>
        <v>690.80000000000007</v>
      </c>
      <c r="FS181" s="79" t="str">
        <f t="shared" si="596"/>
        <v>NA</v>
      </c>
      <c r="FT181" s="235">
        <f>+FT180+FT177+FT175+FT174+FT172+FT168</f>
        <v>649.79999999999995</v>
      </c>
      <c r="FU181" s="79">
        <f t="shared" si="597"/>
        <v>-5.9351476548928916</v>
      </c>
      <c r="FV181" s="235">
        <f>+FV180+FV177+FV176+FV172+FV168</f>
        <v>713.30000000000007</v>
      </c>
      <c r="FW181" s="79">
        <f t="shared" si="598"/>
        <v>9.7722376115728196</v>
      </c>
      <c r="FX181" s="235">
        <f>+FX180+FX177+FX176+FX172+FX168</f>
        <v>761.09999999999991</v>
      </c>
      <c r="FY181" s="79">
        <f t="shared" si="599"/>
        <v>6.7012477218561406</v>
      </c>
      <c r="FZ181" s="235">
        <f>+FZ180+FZ177+FZ176+FZ172+FZ168</f>
        <v>745.59999999999991</v>
      </c>
      <c r="GA181" s="79">
        <f t="shared" si="600"/>
        <v>-2.036526080672707</v>
      </c>
      <c r="GB181" s="235">
        <f t="shared" si="601"/>
        <v>902.09999999999991</v>
      </c>
      <c r="GC181" s="79">
        <f t="shared" si="600"/>
        <v>20.989806866952797</v>
      </c>
      <c r="GD181" s="235">
        <f>DS181+DQ181+DO181+DM181</f>
        <v>939.60000000000014</v>
      </c>
      <c r="GE181" s="79">
        <f t="shared" si="600"/>
        <v>4.1569670768207834</v>
      </c>
      <c r="GF181" s="235">
        <f>DU181+DW181+DY181+EA181</f>
        <v>933.8</v>
      </c>
      <c r="GG181" s="79">
        <f t="shared" si="600"/>
        <v>-0.61728395061729779</v>
      </c>
      <c r="GH181" s="235">
        <f>EC181+EE181+EG181+EI181</f>
        <v>1074.1999999999998</v>
      </c>
      <c r="GI181" s="79">
        <f t="shared" si="600"/>
        <v>15.035339473120569</v>
      </c>
      <c r="GJ181" s="235"/>
      <c r="GK181" s="79" t="str">
        <f t="shared" si="600"/>
        <v>NM</v>
      </c>
      <c r="GL181" s="235"/>
      <c r="GM181" s="79" t="str">
        <f t="shared" si="600"/>
        <v>NA</v>
      </c>
      <c r="GN181" s="235"/>
      <c r="GO181" s="79" t="str">
        <f t="shared" si="600"/>
        <v>NA</v>
      </c>
      <c r="GP181" s="235"/>
      <c r="GQ181" s="79" t="str">
        <f t="shared" si="600"/>
        <v>NA</v>
      </c>
      <c r="GR181" s="235"/>
      <c r="GS181" s="79" t="str">
        <f t="shared" si="602"/>
        <v>NA</v>
      </c>
      <c r="GT181" s="211"/>
      <c r="GU181" s="562"/>
      <c r="GV181" s="562"/>
      <c r="GW181"/>
      <c r="GX181"/>
      <c r="GY181"/>
      <c r="GZ181"/>
      <c r="HA181"/>
      <c r="HB181"/>
      <c r="HC181" s="562"/>
      <c r="HD181" s="562"/>
      <c r="HE181" s="562"/>
      <c r="HF181" s="562"/>
      <c r="HG181" s="562"/>
      <c r="HH181" s="562"/>
      <c r="HI181" s="562"/>
      <c r="HJ181" s="562"/>
      <c r="HK181" s="562"/>
      <c r="HL181" s="562"/>
      <c r="HM181" s="562"/>
      <c r="HN181" s="562"/>
      <c r="HO181" s="562"/>
      <c r="HP181" s="562"/>
      <c r="HQ181" s="562"/>
      <c r="HR181" s="562"/>
      <c r="HS181" s="562"/>
      <c r="HT181" s="562"/>
      <c r="HU181" s="562"/>
      <c r="HV181" s="562"/>
      <c r="HW181" s="562"/>
      <c r="HX181" s="562"/>
      <c r="HY181" s="562"/>
      <c r="HZ181" s="562"/>
      <c r="IA181" s="562"/>
      <c r="IB181" s="562"/>
      <c r="IC181" s="562"/>
      <c r="ID181" s="562"/>
      <c r="IE181" s="562"/>
      <c r="IF181" s="562"/>
      <c r="IG181" s="562"/>
      <c r="IH181" s="562"/>
      <c r="II181" s="562"/>
      <c r="IJ181" s="562"/>
      <c r="IK181" s="562"/>
      <c r="IL181" s="562"/>
      <c r="IM181" s="562"/>
      <c r="IN181" s="562"/>
      <c r="IO181" s="562"/>
      <c r="IP181" s="562"/>
      <c r="IQ181" s="562"/>
      <c r="IR181" s="562"/>
      <c r="IS181" s="562"/>
      <c r="IT181" s="562"/>
      <c r="IU181" s="562"/>
      <c r="IV181" s="562"/>
      <c r="IW181" s="562"/>
      <c r="IX181" s="562"/>
      <c r="IY181" s="562"/>
      <c r="IZ181" s="562"/>
      <c r="JA181" s="562"/>
      <c r="JB181" s="562"/>
      <c r="JC181" s="562"/>
      <c r="JD181" s="562"/>
      <c r="JE181" s="562"/>
      <c r="JF181" s="562"/>
      <c r="JG181" s="562"/>
      <c r="JH181" s="562"/>
      <c r="JI181" s="562"/>
      <c r="JJ181" s="562"/>
      <c r="JK181" s="562"/>
      <c r="JL181" s="562"/>
      <c r="JM181" s="562"/>
      <c r="JN181" s="562"/>
      <c r="JO181" s="562"/>
      <c r="JP181" s="562"/>
      <c r="JQ181" s="562"/>
      <c r="JR181" s="562"/>
      <c r="JS181" s="562"/>
      <c r="JT181" s="562"/>
      <c r="JU181" s="562"/>
      <c r="JV181" s="562"/>
      <c r="JW181" s="562"/>
      <c r="JX181" s="562"/>
      <c r="JY181" s="562"/>
      <c r="JZ181" s="562"/>
    </row>
    <row r="182" spans="1:286" s="132" customFormat="1" ht="12.75" customHeight="1" x14ac:dyDescent="0.2">
      <c r="A182" s="133"/>
      <c r="B182" s="83"/>
      <c r="C182" s="79"/>
      <c r="D182" s="79"/>
      <c r="E182" s="95"/>
      <c r="F182" s="95"/>
      <c r="G182" s="95"/>
      <c r="H182" s="95"/>
      <c r="I182" s="95"/>
      <c r="J182" s="95"/>
      <c r="K182" s="95"/>
      <c r="L182" s="211"/>
      <c r="M182" s="95"/>
      <c r="N182" s="211"/>
      <c r="O182" s="95"/>
      <c r="P182" s="211"/>
      <c r="Q182" s="95"/>
      <c r="R182" s="211"/>
      <c r="S182" s="95"/>
      <c r="T182" s="211"/>
      <c r="U182" s="95"/>
      <c r="V182" s="211"/>
      <c r="W182" s="95"/>
      <c r="X182" s="211"/>
      <c r="Y182" s="95"/>
      <c r="Z182" s="211"/>
      <c r="AA182" s="126"/>
      <c r="AB182" s="211"/>
      <c r="AC182" s="104"/>
      <c r="AD182" s="201"/>
      <c r="AE182" s="104"/>
      <c r="AF182" s="201"/>
      <c r="AG182" s="104"/>
      <c r="AH182" s="201"/>
      <c r="AI182" s="104"/>
      <c r="AJ182" s="201"/>
      <c r="AK182" s="104"/>
      <c r="AL182" s="201"/>
      <c r="AM182" s="104"/>
      <c r="AN182" s="211"/>
      <c r="AO182" s="104"/>
      <c r="AP182" s="211"/>
      <c r="AQ182" s="104"/>
      <c r="AR182" s="211"/>
      <c r="AS182" s="104"/>
      <c r="AT182" s="212"/>
      <c r="AU182" s="104"/>
      <c r="AV182" s="212"/>
      <c r="AW182" s="104"/>
      <c r="AX182" s="212"/>
      <c r="AY182" s="104"/>
      <c r="AZ182" s="212"/>
      <c r="BA182" s="104"/>
      <c r="BB182" s="212"/>
      <c r="BC182" s="104"/>
      <c r="BD182" s="212"/>
      <c r="BE182" s="104"/>
      <c r="BF182" s="212"/>
      <c r="BG182" s="104"/>
      <c r="BH182" s="212"/>
      <c r="BI182" s="104"/>
      <c r="BJ182" s="212"/>
      <c r="BK182" s="104"/>
      <c r="BL182" s="212"/>
      <c r="BM182" s="104"/>
      <c r="BN182" s="212"/>
      <c r="BO182" s="104"/>
      <c r="BP182" s="212"/>
      <c r="BQ182" s="104"/>
      <c r="BR182" s="212"/>
      <c r="BS182" s="104"/>
      <c r="BT182" s="212"/>
      <c r="BU182" s="104"/>
      <c r="BV182" s="212"/>
      <c r="BW182" s="104"/>
      <c r="BX182" s="212"/>
      <c r="BY182" s="104"/>
      <c r="BZ182" s="212"/>
      <c r="CA182" s="104"/>
      <c r="CB182" s="212"/>
      <c r="CC182" s="104"/>
      <c r="CD182" s="212"/>
      <c r="CE182" s="104"/>
      <c r="CF182" s="212"/>
      <c r="CG182" s="104"/>
      <c r="CH182" s="212"/>
      <c r="CI182" s="104"/>
      <c r="CJ182" s="212"/>
      <c r="CK182" s="104"/>
      <c r="CL182" s="212"/>
      <c r="CM182" s="104"/>
      <c r="CN182" s="212"/>
      <c r="CO182" s="104"/>
      <c r="CP182" s="212"/>
      <c r="CQ182" s="104"/>
      <c r="CR182" s="212"/>
      <c r="CS182" s="104"/>
      <c r="CT182" s="212"/>
      <c r="CU182" s="104"/>
      <c r="CV182" s="212"/>
      <c r="CW182" s="104"/>
      <c r="CX182" s="212"/>
      <c r="CY182" s="104"/>
      <c r="CZ182" s="212"/>
      <c r="DA182" s="104"/>
      <c r="DB182" s="212"/>
      <c r="DC182" s="104"/>
      <c r="DD182" s="81"/>
      <c r="DE182" s="104"/>
      <c r="DF182" s="81"/>
      <c r="DG182" s="104"/>
      <c r="DH182" s="212"/>
      <c r="DI182" s="908"/>
      <c r="DJ182" s="212"/>
      <c r="DK182" s="908"/>
      <c r="DL182" s="212"/>
      <c r="DM182" s="104"/>
      <c r="DN182" s="212"/>
      <c r="DO182" s="104"/>
      <c r="DP182" s="212"/>
      <c r="DQ182" s="908"/>
      <c r="DR182" s="212"/>
      <c r="DS182" s="908"/>
      <c r="DT182" s="212"/>
      <c r="DU182" s="908"/>
      <c r="DV182" s="212"/>
      <c r="DW182" s="908"/>
      <c r="DX182" s="212"/>
      <c r="DY182" s="908"/>
      <c r="DZ182" s="212" t="str">
        <f t="shared" si="609"/>
        <v>NA</v>
      </c>
      <c r="EA182" s="908"/>
      <c r="EB182" s="212" t="str">
        <f t="shared" si="610"/>
        <v>NA</v>
      </c>
      <c r="EC182" s="908"/>
      <c r="ED182" s="212" t="str">
        <f t="shared" si="611"/>
        <v>NA</v>
      </c>
      <c r="EE182" s="908"/>
      <c r="EF182" s="212" t="str">
        <f t="shared" si="612"/>
        <v>NA</v>
      </c>
      <c r="EG182" s="908"/>
      <c r="EH182" s="212" t="str">
        <f t="shared" si="613"/>
        <v>NA</v>
      </c>
      <c r="EI182" s="908"/>
      <c r="EJ182" s="212" t="str">
        <f t="shared" si="614"/>
        <v>NA</v>
      </c>
      <c r="EK182" s="104"/>
      <c r="EL182" s="212" t="str">
        <f t="shared" si="615"/>
        <v>NA</v>
      </c>
      <c r="EM182" s="104"/>
      <c r="EN182" s="212" t="str">
        <f t="shared" si="616"/>
        <v>NA</v>
      </c>
      <c r="EO182" s="104"/>
      <c r="EP182" s="212" t="str">
        <f t="shared" si="617"/>
        <v>NA</v>
      </c>
      <c r="EQ182" s="104"/>
      <c r="ER182" s="212" t="str">
        <f t="shared" si="618"/>
        <v>NA</v>
      </c>
      <c r="ES182" s="129"/>
      <c r="ET182" s="469"/>
      <c r="EU182" s="129"/>
      <c r="EV182" s="95"/>
      <c r="EW182" s="79"/>
      <c r="EX182" s="95"/>
      <c r="EY182" s="79"/>
      <c r="EZ182" s="131"/>
      <c r="FA182" s="79"/>
      <c r="FB182" s="145"/>
      <c r="FC182" s="211"/>
      <c r="FD182" s="145"/>
      <c r="FE182" s="211"/>
      <c r="FF182" s="145"/>
      <c r="FG182" s="211"/>
      <c r="FH182" s="145"/>
      <c r="FI182" s="211"/>
      <c r="FJ182" s="145"/>
      <c r="FK182" s="211"/>
      <c r="FL182" s="95"/>
      <c r="FM182" s="211"/>
      <c r="FN182" s="95"/>
      <c r="FO182" s="211"/>
      <c r="FP182" s="95"/>
      <c r="FQ182" s="211"/>
      <c r="FR182" s="104"/>
      <c r="FS182" s="211"/>
      <c r="FT182" s="104"/>
      <c r="FU182" s="211"/>
      <c r="FV182" s="104"/>
      <c r="FW182" s="211"/>
      <c r="FX182" s="104"/>
      <c r="FY182" s="211"/>
      <c r="FZ182" s="104"/>
      <c r="GA182" s="211"/>
      <c r="GB182" s="910"/>
      <c r="GC182" s="211"/>
      <c r="GD182" s="104"/>
      <c r="GE182" s="211" t="str">
        <f t="shared" si="600"/>
        <v>NA</v>
      </c>
      <c r="GF182" s="104"/>
      <c r="GG182" s="211"/>
      <c r="GH182" s="104"/>
      <c r="GI182" s="211"/>
      <c r="GJ182" s="104"/>
      <c r="GK182" s="211"/>
      <c r="GL182" s="104"/>
      <c r="GM182" s="211"/>
      <c r="GN182" s="104"/>
      <c r="GO182" s="211"/>
      <c r="GP182" s="104"/>
      <c r="GQ182" s="211"/>
      <c r="GR182" s="104"/>
      <c r="GS182" s="211"/>
      <c r="GT182" s="211"/>
      <c r="GU182" s="562"/>
      <c r="GV182" s="562"/>
      <c r="GW182"/>
      <c r="GX182"/>
      <c r="GY182"/>
      <c r="GZ182"/>
      <c r="HA182"/>
      <c r="HB182"/>
      <c r="HC182" s="562"/>
      <c r="HD182" s="562"/>
      <c r="HE182" s="562"/>
      <c r="HF182" s="562"/>
      <c r="HG182" s="562"/>
      <c r="HH182" s="562"/>
      <c r="HI182" s="562"/>
      <c r="HJ182" s="562"/>
      <c r="HK182" s="562"/>
      <c r="HL182" s="562"/>
      <c r="HM182" s="562"/>
      <c r="HN182" s="562"/>
      <c r="HO182" s="562"/>
      <c r="HP182" s="562"/>
      <c r="HQ182" s="562"/>
      <c r="HR182" s="562"/>
      <c r="HS182" s="562"/>
      <c r="HT182" s="562"/>
      <c r="HU182" s="562"/>
      <c r="HV182" s="562"/>
      <c r="HW182" s="562"/>
      <c r="HX182" s="562"/>
      <c r="HY182" s="562"/>
      <c r="HZ182" s="562"/>
      <c r="IA182" s="562"/>
      <c r="IB182" s="562"/>
      <c r="IC182" s="562"/>
      <c r="ID182" s="562"/>
      <c r="IE182" s="562"/>
      <c r="IF182" s="562"/>
      <c r="IG182" s="562"/>
      <c r="IH182" s="562"/>
      <c r="II182" s="562"/>
      <c r="IJ182" s="562"/>
      <c r="IK182" s="562"/>
      <c r="IL182" s="562"/>
      <c r="IM182" s="562"/>
      <c r="IN182" s="562"/>
      <c r="IO182" s="562"/>
      <c r="IP182" s="562"/>
      <c r="IQ182" s="562"/>
      <c r="IR182" s="562"/>
      <c r="IS182" s="562"/>
      <c r="IT182" s="562"/>
      <c r="IU182" s="562"/>
      <c r="IV182" s="562"/>
      <c r="IW182" s="562"/>
      <c r="IX182" s="562"/>
      <c r="IY182" s="562"/>
      <c r="IZ182" s="562"/>
      <c r="JA182" s="562"/>
      <c r="JB182" s="562"/>
      <c r="JC182" s="562"/>
      <c r="JD182" s="562"/>
      <c r="JE182" s="562"/>
      <c r="JF182" s="562"/>
      <c r="JG182" s="562"/>
      <c r="JH182" s="562"/>
      <c r="JI182" s="562"/>
      <c r="JJ182" s="562"/>
      <c r="JK182" s="562"/>
      <c r="JL182" s="562"/>
      <c r="JM182" s="562"/>
      <c r="JN182" s="562"/>
      <c r="JO182" s="562"/>
      <c r="JP182" s="562"/>
      <c r="JQ182" s="562"/>
      <c r="JR182" s="562"/>
      <c r="JS182" s="562"/>
      <c r="JT182" s="562"/>
      <c r="JU182" s="562"/>
      <c r="JV182" s="562"/>
      <c r="JW182" s="562"/>
      <c r="JX182" s="562"/>
      <c r="JY182" s="562"/>
      <c r="JZ182" s="562"/>
    </row>
    <row r="183" spans="1:286" s="589" customFormat="1" ht="12.75" customHeight="1" collapsed="1" x14ac:dyDescent="0.2">
      <c r="A183" s="581"/>
      <c r="B183" s="582" t="s">
        <v>103</v>
      </c>
      <c r="C183" s="583"/>
      <c r="D183" s="583"/>
      <c r="E183" s="584"/>
      <c r="F183" s="584"/>
      <c r="G183" s="584"/>
      <c r="H183" s="584"/>
      <c r="I183" s="584"/>
      <c r="J183" s="584"/>
      <c r="K183" s="584"/>
      <c r="L183" s="584"/>
      <c r="M183" s="584"/>
      <c r="N183" s="585"/>
      <c r="O183" s="584"/>
      <c r="P183" s="583"/>
      <c r="Q183" s="584"/>
      <c r="R183" s="583"/>
      <c r="S183" s="584"/>
      <c r="T183" s="583"/>
      <c r="U183" s="584"/>
      <c r="V183" s="583"/>
      <c r="W183" s="584"/>
      <c r="X183" s="583"/>
      <c r="Y183" s="584"/>
      <c r="Z183" s="583"/>
      <c r="AA183" s="586"/>
      <c r="AB183" s="583"/>
      <c r="AC183" s="584"/>
      <c r="AD183" s="583"/>
      <c r="AE183" s="586"/>
      <c r="AF183" s="583"/>
      <c r="AG183" s="586"/>
      <c r="AH183" s="583"/>
      <c r="AI183" s="586"/>
      <c r="AJ183" s="583"/>
      <c r="AK183" s="586"/>
      <c r="AL183" s="583"/>
      <c r="AM183" s="586"/>
      <c r="AN183" s="583"/>
      <c r="AO183" s="586"/>
      <c r="AP183" s="583"/>
      <c r="AQ183" s="586"/>
      <c r="AR183" s="583"/>
      <c r="AS183" s="586"/>
      <c r="AT183" s="587"/>
      <c r="AU183" s="586"/>
      <c r="AV183" s="587"/>
      <c r="AW183" s="586"/>
      <c r="AX183" s="587"/>
      <c r="AY183" s="586"/>
      <c r="AZ183" s="587"/>
      <c r="BA183" s="586"/>
      <c r="BB183" s="587"/>
      <c r="BC183" s="586"/>
      <c r="BD183" s="587"/>
      <c r="BE183" s="586"/>
      <c r="BF183" s="587"/>
      <c r="BG183" s="586"/>
      <c r="BH183" s="587"/>
      <c r="BI183" s="586"/>
      <c r="BJ183" s="587"/>
      <c r="BK183" s="586"/>
      <c r="BL183" s="587"/>
      <c r="BM183" s="586"/>
      <c r="BN183" s="587"/>
      <c r="BO183" s="586"/>
      <c r="BP183" s="587"/>
      <c r="BQ183" s="586"/>
      <c r="BR183" s="587"/>
      <c r="BS183" s="586"/>
      <c r="BT183" s="587"/>
      <c r="BU183" s="586"/>
      <c r="BV183" s="587"/>
      <c r="BW183" s="586"/>
      <c r="BX183" s="587"/>
      <c r="BY183" s="586"/>
      <c r="BZ183" s="587"/>
      <c r="CA183" s="586"/>
      <c r="CB183" s="587"/>
      <c r="CC183" s="586"/>
      <c r="CD183" s="587"/>
      <c r="CE183" s="586"/>
      <c r="CF183" s="587"/>
      <c r="CG183" s="586"/>
      <c r="CH183" s="587"/>
      <c r="CI183" s="586"/>
      <c r="CJ183" s="587"/>
      <c r="CK183" s="586"/>
      <c r="CL183" s="587"/>
      <c r="CM183" s="586"/>
      <c r="CN183" s="587"/>
      <c r="CO183" s="586"/>
      <c r="CP183" s="587"/>
      <c r="CQ183" s="586"/>
      <c r="CR183" s="587"/>
      <c r="CS183" s="586"/>
      <c r="CT183" s="587"/>
      <c r="CU183" s="586"/>
      <c r="CV183" s="587"/>
      <c r="CW183" s="586"/>
      <c r="CX183" s="587"/>
      <c r="CY183" s="586"/>
      <c r="CZ183" s="587"/>
      <c r="DA183" s="586"/>
      <c r="DB183" s="587"/>
      <c r="DC183" s="586"/>
      <c r="DD183" s="587"/>
      <c r="DE183" s="586"/>
      <c r="DF183" s="587"/>
      <c r="DG183" s="586"/>
      <c r="DH183" s="587"/>
      <c r="DI183" s="586"/>
      <c r="DJ183" s="587"/>
      <c r="DK183" s="586"/>
      <c r="DL183" s="587"/>
      <c r="DM183" s="586"/>
      <c r="DN183" s="587"/>
      <c r="DO183" s="586"/>
      <c r="DP183" s="587"/>
      <c r="DQ183" s="586"/>
      <c r="DR183" s="587"/>
      <c r="DS183" s="586"/>
      <c r="DT183" s="587"/>
      <c r="DU183" s="586"/>
      <c r="DV183" s="587"/>
      <c r="DW183" s="586"/>
      <c r="DX183" s="587"/>
      <c r="DY183" s="586"/>
      <c r="DZ183" s="587"/>
      <c r="EA183" s="586"/>
      <c r="EB183" s="587"/>
      <c r="EC183" s="586"/>
      <c r="ED183" s="587"/>
      <c r="EE183" s="586"/>
      <c r="EF183" s="587"/>
      <c r="EG183" s="586"/>
      <c r="EH183" s="587"/>
      <c r="EI183" s="586"/>
      <c r="EJ183" s="587"/>
      <c r="EK183" s="586"/>
      <c r="EL183" s="587"/>
      <c r="EM183" s="586"/>
      <c r="EN183" s="587"/>
      <c r="EO183" s="586"/>
      <c r="EP183" s="587"/>
      <c r="EQ183" s="586"/>
      <c r="ER183" s="587"/>
      <c r="ES183" s="584"/>
      <c r="ET183" s="588"/>
      <c r="EU183" s="584"/>
      <c r="EV183" s="584"/>
      <c r="EW183" s="583"/>
      <c r="EX183" s="584"/>
      <c r="EY183" s="583"/>
      <c r="EZ183" s="584"/>
      <c r="FA183" s="583"/>
      <c r="FB183" s="584"/>
      <c r="FC183" s="583"/>
      <c r="FD183" s="584"/>
      <c r="FE183" s="583"/>
      <c r="FF183" s="584"/>
      <c r="FG183" s="583"/>
      <c r="FH183" s="584"/>
      <c r="FI183" s="583"/>
      <c r="FJ183" s="584"/>
      <c r="FK183" s="583"/>
      <c r="FL183" s="584"/>
      <c r="FM183" s="583"/>
      <c r="FN183" s="584"/>
      <c r="FO183" s="583"/>
      <c r="FP183" s="584"/>
      <c r="FQ183" s="583"/>
      <c r="FR183" s="584"/>
      <c r="FS183" s="583"/>
      <c r="FT183" s="584"/>
      <c r="FU183" s="583"/>
      <c r="FV183" s="584"/>
      <c r="FW183" s="583"/>
      <c r="FX183" s="584"/>
      <c r="FY183" s="583"/>
      <c r="FZ183" s="584"/>
      <c r="GA183" s="583"/>
      <c r="GB183" s="584"/>
      <c r="GC183" s="583"/>
      <c r="GD183" s="584"/>
      <c r="GE183" s="583"/>
      <c r="GF183" s="584"/>
      <c r="GG183" s="583"/>
      <c r="GH183" s="584"/>
      <c r="GI183" s="583"/>
      <c r="GJ183" s="584"/>
      <c r="GK183" s="583"/>
      <c r="GL183" s="584"/>
      <c r="GM183" s="583"/>
      <c r="GN183" s="584"/>
      <c r="GO183" s="583"/>
      <c r="GP183" s="584"/>
      <c r="GQ183" s="583"/>
      <c r="GR183" s="584"/>
      <c r="GS183" s="583"/>
      <c r="GT183" s="583"/>
      <c r="GU183" s="562"/>
      <c r="GV183" s="562"/>
      <c r="GW183"/>
      <c r="GX183"/>
      <c r="GY183"/>
      <c r="GZ183"/>
      <c r="HA183"/>
      <c r="HB183"/>
      <c r="HC183" s="562"/>
      <c r="HD183" s="562"/>
      <c r="HE183" s="562"/>
      <c r="HF183" s="562"/>
      <c r="HG183" s="562"/>
      <c r="HH183" s="562"/>
      <c r="HI183" s="562"/>
      <c r="HJ183" s="562"/>
      <c r="HK183" s="562"/>
      <c r="HL183" s="562"/>
      <c r="HM183" s="562"/>
      <c r="HN183" s="562"/>
      <c r="HO183" s="562"/>
      <c r="HP183" s="562"/>
      <c r="HQ183" s="562"/>
      <c r="HR183" s="562"/>
      <c r="HS183" s="562"/>
      <c r="HT183" s="562"/>
      <c r="HU183" s="562"/>
      <c r="HV183" s="562"/>
      <c r="HW183" s="562"/>
      <c r="HX183" s="562"/>
      <c r="HY183" s="562"/>
      <c r="HZ183" s="562"/>
      <c r="IA183" s="562"/>
      <c r="IB183" s="562"/>
      <c r="IC183" s="562"/>
      <c r="ID183" s="562"/>
      <c r="IE183" s="562"/>
      <c r="IF183" s="562"/>
      <c r="IG183" s="562"/>
      <c r="IH183" s="562"/>
      <c r="II183" s="562"/>
      <c r="IJ183" s="562"/>
      <c r="IK183" s="562"/>
      <c r="IL183" s="562"/>
      <c r="IM183" s="562"/>
      <c r="IN183" s="562"/>
      <c r="IO183" s="562"/>
      <c r="IP183" s="562"/>
      <c r="IQ183" s="562"/>
      <c r="IR183" s="562"/>
      <c r="IS183" s="562"/>
      <c r="IT183" s="562"/>
      <c r="IU183" s="562"/>
      <c r="IV183" s="562"/>
      <c r="IW183" s="562"/>
      <c r="IX183" s="562"/>
      <c r="IY183" s="562"/>
      <c r="IZ183" s="562"/>
      <c r="JA183" s="562"/>
      <c r="JB183" s="562"/>
      <c r="JC183" s="562"/>
      <c r="JD183" s="562"/>
      <c r="JE183" s="562"/>
      <c r="JF183" s="562"/>
      <c r="JG183" s="562"/>
      <c r="JH183" s="562"/>
      <c r="JI183" s="562"/>
      <c r="JJ183" s="562"/>
      <c r="JK183" s="562"/>
      <c r="JL183" s="562"/>
      <c r="JM183" s="562"/>
      <c r="JN183" s="562"/>
      <c r="JO183" s="562"/>
      <c r="JP183" s="562"/>
      <c r="JQ183" s="562"/>
      <c r="JR183" s="562"/>
      <c r="JS183" s="562"/>
      <c r="JT183" s="562"/>
      <c r="JU183" s="562"/>
      <c r="JV183" s="562"/>
      <c r="JW183" s="562"/>
      <c r="JX183" s="562"/>
      <c r="JY183" s="562"/>
      <c r="JZ183" s="562"/>
    </row>
    <row r="184" spans="1:286" s="83" customFormat="1" ht="12.75" customHeight="1" x14ac:dyDescent="0.2">
      <c r="A184" s="77"/>
      <c r="C184" s="20"/>
      <c r="D184" s="20"/>
      <c r="E184" s="129"/>
      <c r="F184" s="129"/>
      <c r="G184" s="129"/>
      <c r="H184" s="129"/>
      <c r="I184" s="129"/>
      <c r="J184" s="129"/>
      <c r="K184" s="129"/>
      <c r="L184" s="20"/>
      <c r="M184" s="129"/>
      <c r="N184" s="20"/>
      <c r="O184" s="129"/>
      <c r="P184" s="20"/>
      <c r="Q184" s="129"/>
      <c r="R184" s="20"/>
      <c r="S184" s="129"/>
      <c r="T184" s="20"/>
      <c r="U184" s="129"/>
      <c r="V184" s="20"/>
      <c r="W184" s="129"/>
      <c r="X184" s="20"/>
      <c r="Y184" s="129"/>
      <c r="Z184" s="20"/>
      <c r="AA184" s="130"/>
      <c r="AB184" s="20"/>
      <c r="AC184" s="129"/>
      <c r="AD184" s="20"/>
      <c r="AE184" s="129"/>
      <c r="AF184" s="20"/>
      <c r="AG184" s="129"/>
      <c r="AH184" s="20"/>
      <c r="AI184" s="129"/>
      <c r="AJ184" s="20"/>
      <c r="AK184" s="129"/>
      <c r="AL184" s="20"/>
      <c r="AM184" s="129"/>
      <c r="AN184" s="20"/>
      <c r="AO184" s="129"/>
      <c r="AP184" s="20"/>
      <c r="AQ184" s="129"/>
      <c r="AR184" s="20"/>
      <c r="AS184" s="129"/>
      <c r="AT184" s="238"/>
      <c r="AU184" s="129"/>
      <c r="AV184" s="238"/>
      <c r="AW184" s="129"/>
      <c r="AX184" s="238"/>
      <c r="AY184" s="129"/>
      <c r="AZ184" s="238"/>
      <c r="BA184" s="129"/>
      <c r="BB184" s="238"/>
      <c r="BC184" s="129"/>
      <c r="BD184" s="238"/>
      <c r="BE184" s="129"/>
      <c r="BF184" s="238"/>
      <c r="BG184" s="129"/>
      <c r="BH184" s="238"/>
      <c r="BI184" s="129"/>
      <c r="BJ184" s="238"/>
      <c r="BK184" s="129"/>
      <c r="BL184" s="238"/>
      <c r="BM184" s="129"/>
      <c r="BN184" s="238"/>
      <c r="BO184" s="129"/>
      <c r="BP184" s="238"/>
      <c r="BQ184" s="129"/>
      <c r="BR184" s="238"/>
      <c r="BS184" s="129"/>
      <c r="BT184" s="238"/>
      <c r="BU184" s="129"/>
      <c r="BV184" s="238"/>
      <c r="BW184" s="129"/>
      <c r="BX184" s="238"/>
      <c r="BY184" s="129"/>
      <c r="BZ184" s="238"/>
      <c r="CA184" s="129"/>
      <c r="CB184" s="238"/>
      <c r="CC184" s="129"/>
      <c r="CD184" s="238"/>
      <c r="CE184" s="129"/>
      <c r="CF184" s="238"/>
      <c r="CG184" s="129"/>
      <c r="CH184" s="238"/>
      <c r="CI184" s="129"/>
      <c r="CJ184" s="238"/>
      <c r="CK184" s="129"/>
      <c r="CL184" s="238"/>
      <c r="CM184" s="129"/>
      <c r="CN184" s="238"/>
      <c r="CO184" s="129"/>
      <c r="CP184" s="238"/>
      <c r="CQ184" s="129"/>
      <c r="CR184" s="238"/>
      <c r="CS184" s="129"/>
      <c r="CT184" s="238"/>
      <c r="CU184" s="129"/>
      <c r="CV184" s="238"/>
      <c r="CW184" s="129"/>
      <c r="CX184" s="238"/>
      <c r="CY184" s="129"/>
      <c r="CZ184" s="238"/>
      <c r="DA184" s="129"/>
      <c r="DB184" s="238"/>
      <c r="DC184" s="129"/>
      <c r="DD184" s="238"/>
      <c r="DE184" s="129"/>
      <c r="DF184" s="238"/>
      <c r="DG184" s="129"/>
      <c r="DH184" s="238"/>
      <c r="DI184" s="129"/>
      <c r="DJ184" s="238"/>
      <c r="DK184" s="129"/>
      <c r="DL184" s="238"/>
      <c r="DM184" s="129"/>
      <c r="DN184" s="238"/>
      <c r="DO184" s="129"/>
      <c r="DP184" s="238"/>
      <c r="DQ184" s="129"/>
      <c r="DR184" s="238"/>
      <c r="DS184" s="129"/>
      <c r="DT184" s="238"/>
      <c r="DU184" s="129"/>
      <c r="DV184" s="238"/>
      <c r="DW184" s="129"/>
      <c r="DX184" s="238"/>
      <c r="DY184" s="129"/>
      <c r="DZ184" s="238"/>
      <c r="EA184" s="129"/>
      <c r="EB184" s="238"/>
      <c r="EC184" s="129"/>
      <c r="ED184" s="238"/>
      <c r="EE184" s="129"/>
      <c r="EF184" s="238"/>
      <c r="EG184" s="129"/>
      <c r="EH184" s="238"/>
      <c r="EI184" s="129"/>
      <c r="EJ184" s="238"/>
      <c r="EK184" s="129"/>
      <c r="EL184" s="238"/>
      <c r="EM184" s="129"/>
      <c r="EN184" s="238"/>
      <c r="EO184" s="129"/>
      <c r="EP184" s="238"/>
      <c r="EQ184" s="129"/>
      <c r="ER184" s="238"/>
      <c r="ES184" s="129"/>
      <c r="ET184" s="469"/>
      <c r="EU184" s="129"/>
      <c r="EV184" s="129"/>
      <c r="EW184" s="20"/>
      <c r="EX184" s="129"/>
      <c r="EY184" s="20"/>
      <c r="EZ184" s="129"/>
      <c r="FA184" s="20"/>
      <c r="FB184" s="129"/>
      <c r="FC184" s="20"/>
      <c r="FD184" s="129"/>
      <c r="FE184" s="20"/>
      <c r="FF184" s="129"/>
      <c r="FG184" s="20"/>
      <c r="FH184" s="129"/>
      <c r="FI184" s="20"/>
      <c r="FJ184" s="129"/>
      <c r="FK184" s="20"/>
      <c r="FL184" s="129"/>
      <c r="FM184" s="20"/>
      <c r="FN184" s="129"/>
      <c r="FO184" s="20"/>
      <c r="FP184" s="129"/>
      <c r="FQ184" s="20"/>
      <c r="FR184" s="129"/>
      <c r="FS184" s="20"/>
      <c r="FT184" s="129"/>
      <c r="FU184" s="20"/>
      <c r="FV184" s="129"/>
      <c r="FW184" s="20"/>
      <c r="FX184" s="129"/>
      <c r="FY184" s="20"/>
      <c r="FZ184" s="129"/>
      <c r="GA184" s="20"/>
      <c r="GB184" s="187"/>
      <c r="GC184" s="20"/>
      <c r="GD184" s="187"/>
      <c r="GE184" s="20"/>
      <c r="GF184" s="187"/>
      <c r="GG184" s="20"/>
      <c r="GH184" s="187"/>
      <c r="GI184" s="20"/>
      <c r="GJ184" s="187"/>
      <c r="GK184" s="20"/>
      <c r="GL184" s="129"/>
      <c r="GM184" s="20"/>
      <c r="GN184" s="129"/>
      <c r="GO184" s="20"/>
      <c r="GP184" s="129"/>
      <c r="GQ184" s="20"/>
      <c r="GR184" s="129"/>
      <c r="GS184" s="20"/>
      <c r="GT184" s="20"/>
      <c r="GU184" s="562"/>
      <c r="GV184" s="562"/>
      <c r="GW184"/>
      <c r="GX184"/>
      <c r="GY184"/>
      <c r="GZ184"/>
      <c r="HA184"/>
      <c r="HB184"/>
      <c r="HC184" s="562"/>
      <c r="HD184" s="562"/>
      <c r="HE184" s="562"/>
      <c r="HF184" s="562"/>
      <c r="HG184" s="562"/>
      <c r="HH184" s="562"/>
      <c r="HI184" s="562"/>
      <c r="HJ184" s="562"/>
      <c r="HK184" s="562"/>
      <c r="HL184" s="562"/>
      <c r="HM184" s="562"/>
      <c r="HN184" s="562"/>
      <c r="HO184" s="562"/>
      <c r="HP184" s="562"/>
      <c r="HQ184" s="562"/>
      <c r="HR184" s="562"/>
      <c r="HS184" s="562"/>
      <c r="HT184" s="562"/>
      <c r="HU184" s="562"/>
      <c r="HV184" s="562"/>
      <c r="HW184" s="562"/>
      <c r="HX184" s="562"/>
      <c r="HY184" s="562"/>
      <c r="HZ184" s="562"/>
      <c r="IA184" s="562"/>
      <c r="IB184" s="562"/>
      <c r="IC184" s="562"/>
      <c r="ID184" s="562"/>
      <c r="IE184" s="562"/>
      <c r="IF184" s="562"/>
      <c r="IG184" s="562"/>
      <c r="IH184" s="562"/>
      <c r="II184" s="562"/>
      <c r="IJ184" s="562"/>
      <c r="IK184" s="562"/>
      <c r="IL184" s="562"/>
      <c r="IM184" s="562"/>
      <c r="IN184" s="562"/>
      <c r="IO184" s="562"/>
      <c r="IP184" s="562"/>
      <c r="IQ184" s="562"/>
      <c r="IR184" s="562"/>
      <c r="IS184" s="562"/>
      <c r="IT184" s="562"/>
      <c r="IU184" s="562"/>
      <c r="IV184" s="562"/>
      <c r="IW184" s="562"/>
      <c r="IX184" s="562"/>
      <c r="IY184" s="562"/>
      <c r="IZ184" s="562"/>
      <c r="JA184" s="562"/>
      <c r="JB184" s="562"/>
      <c r="JC184" s="562"/>
      <c r="JD184" s="562"/>
      <c r="JE184" s="562"/>
      <c r="JF184" s="562"/>
      <c r="JG184" s="562"/>
      <c r="JH184" s="562"/>
      <c r="JI184" s="562"/>
      <c r="JJ184" s="562"/>
      <c r="JK184" s="562"/>
      <c r="JL184" s="562"/>
      <c r="JM184" s="562"/>
      <c r="JN184" s="562"/>
      <c r="JO184" s="562"/>
      <c r="JP184" s="562"/>
      <c r="JQ184" s="562"/>
      <c r="JR184" s="562"/>
      <c r="JS184" s="562"/>
      <c r="JT184" s="562"/>
      <c r="JU184" s="562"/>
      <c r="JV184" s="562"/>
      <c r="JW184" s="562"/>
      <c r="JX184" s="562"/>
      <c r="JY184" s="562"/>
      <c r="JZ184" s="562"/>
    </row>
    <row r="185" spans="1:286" s="83" customFormat="1" ht="12.75" customHeight="1" x14ac:dyDescent="0.2">
      <c r="A185" s="77"/>
      <c r="B185" s="10" t="s">
        <v>577</v>
      </c>
      <c r="C185" s="20"/>
      <c r="D185" s="20"/>
      <c r="E185" s="129"/>
      <c r="F185" s="129"/>
      <c r="G185" s="129"/>
      <c r="H185" s="129"/>
      <c r="I185" s="129"/>
      <c r="J185" s="129"/>
      <c r="K185" s="129"/>
      <c r="L185" s="20"/>
      <c r="M185" s="129"/>
      <c r="N185" s="20"/>
      <c r="O185" s="129"/>
      <c r="P185" s="20"/>
      <c r="Q185" s="129"/>
      <c r="R185" s="20"/>
      <c r="S185" s="129"/>
      <c r="T185" s="20"/>
      <c r="U185" s="129"/>
      <c r="V185" s="20"/>
      <c r="W185" s="129"/>
      <c r="X185" s="20"/>
      <c r="Y185" s="129"/>
      <c r="Z185" s="20"/>
      <c r="AA185" s="130"/>
      <c r="AB185" s="20"/>
      <c r="AC185" s="129"/>
      <c r="AD185" s="20"/>
      <c r="AE185" s="129"/>
      <c r="AF185" s="20"/>
      <c r="AG185" s="129"/>
      <c r="AH185" s="20"/>
      <c r="AI185" s="129"/>
      <c r="AJ185" s="20"/>
      <c r="AK185" s="129"/>
      <c r="AL185" s="20"/>
      <c r="AM185" s="129"/>
      <c r="AN185" s="20"/>
      <c r="AO185" s="129"/>
      <c r="AP185" s="20"/>
      <c r="AQ185" s="129"/>
      <c r="AR185" s="20"/>
      <c r="AS185" s="129"/>
      <c r="AT185" s="238"/>
      <c r="AU185" s="129"/>
      <c r="AV185" s="238"/>
      <c r="AW185" s="129"/>
      <c r="AX185" s="238"/>
      <c r="AY185" s="129"/>
      <c r="AZ185" s="238"/>
      <c r="BA185" s="129"/>
      <c r="BB185" s="238"/>
      <c r="BC185" s="129"/>
      <c r="BD185" s="238"/>
      <c r="BE185" s="129"/>
      <c r="BF185" s="238"/>
      <c r="BG185" s="129"/>
      <c r="BH185" s="238"/>
      <c r="BI185" s="129"/>
      <c r="BJ185" s="238"/>
      <c r="BK185" s="129"/>
      <c r="BL185" s="238"/>
      <c r="BM185" s="129"/>
      <c r="BN185" s="238"/>
      <c r="BO185" s="129"/>
      <c r="BP185" s="238"/>
      <c r="BQ185" s="129"/>
      <c r="BR185" s="238"/>
      <c r="BS185" s="129"/>
      <c r="BT185" s="238"/>
      <c r="BU185" s="129"/>
      <c r="BV185" s="238"/>
      <c r="BW185" s="129"/>
      <c r="BX185" s="238"/>
      <c r="BY185" s="129"/>
      <c r="BZ185" s="238"/>
      <c r="CA185" s="129"/>
      <c r="CB185" s="238"/>
      <c r="CC185" s="129"/>
      <c r="CD185" s="238"/>
      <c r="CE185" s="129"/>
      <c r="CF185" s="238"/>
      <c r="CG185" s="129"/>
      <c r="CH185" s="238"/>
      <c r="CI185" s="129"/>
      <c r="CJ185" s="238"/>
      <c r="CK185" s="129"/>
      <c r="CL185" s="238"/>
      <c r="CM185" s="129"/>
      <c r="CN185" s="238"/>
      <c r="CO185" s="129"/>
      <c r="CP185" s="238"/>
      <c r="CQ185" s="129"/>
      <c r="CR185" s="238"/>
      <c r="CS185" s="129"/>
      <c r="CT185" s="238"/>
      <c r="CU185" s="129"/>
      <c r="CV185" s="238"/>
      <c r="CW185" s="893">
        <v>1.5514342888794892</v>
      </c>
      <c r="CX185" s="894"/>
      <c r="CY185" s="893">
        <v>1.5352478740359823</v>
      </c>
      <c r="CZ185" s="894"/>
      <c r="DA185" s="893">
        <v>1.5498222048663004</v>
      </c>
      <c r="DB185" s="894"/>
      <c r="DC185" s="893">
        <v>1.6190125053997748</v>
      </c>
      <c r="DD185" s="894"/>
      <c r="DE185" s="893">
        <v>1.6550511384941622</v>
      </c>
      <c r="DF185" s="894"/>
      <c r="DG185" s="893">
        <v>1.6831572923437059</v>
      </c>
      <c r="DH185" s="894"/>
      <c r="DI185" s="893">
        <v>1.6691104804458656</v>
      </c>
      <c r="DJ185" s="894"/>
      <c r="DK185" s="893">
        <v>1.585</v>
      </c>
      <c r="DL185" s="894"/>
      <c r="DM185" s="893">
        <f>1/0.6603846875</f>
        <v>1.5142689086048804</v>
      </c>
      <c r="DN185" s="238"/>
      <c r="DO185" s="893">
        <v>1.532</v>
      </c>
      <c r="DP185" s="238"/>
      <c r="DQ185" s="893">
        <v>1.55</v>
      </c>
      <c r="DR185" s="238"/>
      <c r="DS185" s="893">
        <v>1.516</v>
      </c>
      <c r="DT185" s="238"/>
      <c r="DU185" s="893">
        <v>1.43</v>
      </c>
      <c r="DV185" s="238"/>
      <c r="DW185" s="893">
        <v>1.4672007277315608</v>
      </c>
      <c r="DX185" s="238"/>
      <c r="DY185" s="893">
        <v>1.3126301070012305</v>
      </c>
      <c r="DZ185" s="238"/>
      <c r="EA185" s="893">
        <f>AVERAGE(1.1196,1.1548,1.1841)</f>
        <v>1.1528333333333334</v>
      </c>
      <c r="EB185" s="238"/>
      <c r="EC185" s="893">
        <v>1.2390768229536506</v>
      </c>
      <c r="ED185" s="238"/>
      <c r="EE185" s="893">
        <v>1.2791619613049241</v>
      </c>
      <c r="EF185" s="238"/>
      <c r="EG185" s="893">
        <v>1.3082435039671982</v>
      </c>
      <c r="EH185" s="238"/>
      <c r="EI185" s="893">
        <v>1.34</v>
      </c>
      <c r="EJ185" s="238"/>
      <c r="EK185" s="893">
        <v>1.4027999887775999</v>
      </c>
      <c r="EL185" s="238"/>
      <c r="EM185" s="895">
        <f t="shared" ref="EM185" si="619">EK185</f>
        <v>1.4027999887775999</v>
      </c>
      <c r="EN185" s="238"/>
      <c r="EO185" s="895">
        <f t="shared" ref="EO185" si="620">EM185</f>
        <v>1.4027999887775999</v>
      </c>
      <c r="EP185" s="238"/>
      <c r="EQ185" s="895">
        <f t="shared" ref="EQ185" si="621">EO185</f>
        <v>1.4027999887775999</v>
      </c>
      <c r="ER185" s="238"/>
      <c r="ES185" s="129"/>
      <c r="ET185" s="469"/>
      <c r="EU185" s="129"/>
      <c r="EV185" s="129"/>
      <c r="EW185" s="20"/>
      <c r="EX185" s="129"/>
      <c r="EY185" s="20"/>
      <c r="EZ185" s="129"/>
      <c r="FA185" s="20"/>
      <c r="FB185" s="129"/>
      <c r="FC185" s="20"/>
      <c r="FD185" s="129"/>
      <c r="FE185" s="20"/>
      <c r="FF185" s="129"/>
      <c r="FG185" s="20"/>
      <c r="FH185" s="129"/>
      <c r="FI185" s="20"/>
      <c r="FJ185" s="129"/>
      <c r="FK185" s="20"/>
      <c r="FL185" s="129"/>
      <c r="FM185" s="20"/>
      <c r="FN185" s="129"/>
      <c r="FO185" s="20"/>
      <c r="FP185" s="129"/>
      <c r="FQ185" s="20"/>
      <c r="FR185" s="129"/>
      <c r="FS185" s="20"/>
      <c r="FT185" s="129"/>
      <c r="FU185" s="20"/>
      <c r="FV185" s="129"/>
      <c r="FW185" s="20"/>
      <c r="FX185" s="129"/>
      <c r="FY185" s="20"/>
      <c r="FZ185" s="895">
        <f>AVERAGE(CW185,CY185,DA185,DC185)</f>
        <v>1.5638792182953867</v>
      </c>
      <c r="GA185" s="20"/>
      <c r="GB185" s="895">
        <f>AVERAGE(DE185,DG185,DI185,DK185)</f>
        <v>1.6480797278209336</v>
      </c>
      <c r="GC185" s="20"/>
      <c r="GD185" s="895">
        <f>AVERAGE(DM185,DO185,DQ185,DS185)</f>
        <v>1.5280672271512201</v>
      </c>
      <c r="GE185" s="20"/>
      <c r="GF185" s="895">
        <f>AVERAGE(DU185,DW185,DY185,EA185)</f>
        <v>1.3406660420165313</v>
      </c>
      <c r="GG185" s="20"/>
      <c r="GH185" s="895">
        <f>AVERAGE(EC185,EE185,EG185,EI185)</f>
        <v>1.2916205720564433</v>
      </c>
      <c r="GI185" s="20"/>
      <c r="GJ185" s="895">
        <f>AVERAGE(EK185,EM185,EO185,EQ185)</f>
        <v>1.4027999887775999</v>
      </c>
      <c r="GK185" s="20"/>
      <c r="GL185" s="895">
        <f>GJ185</f>
        <v>1.4027999887775999</v>
      </c>
      <c r="GM185" s="20"/>
      <c r="GN185" s="895">
        <f>GL185</f>
        <v>1.4027999887775999</v>
      </c>
      <c r="GO185" s="20"/>
      <c r="GP185" s="895">
        <f>GN185</f>
        <v>1.4027999887775999</v>
      </c>
      <c r="GQ185" s="20"/>
      <c r="GR185" s="895">
        <f>GP185</f>
        <v>1.4027999887775999</v>
      </c>
      <c r="GS185" s="20"/>
      <c r="GT185" s="20"/>
      <c r="GU185" s="562"/>
      <c r="GV185" s="562"/>
      <c r="GW185"/>
      <c r="GX185"/>
      <c r="GY185"/>
      <c r="GZ185"/>
      <c r="HA185"/>
      <c r="HB185"/>
      <c r="HC185" s="562"/>
      <c r="HD185" s="562"/>
      <c r="HE185" s="562"/>
      <c r="HF185" s="562"/>
      <c r="HG185" s="562"/>
      <c r="HH185" s="562"/>
      <c r="HI185" s="562"/>
      <c r="HJ185" s="562"/>
      <c r="HK185" s="562"/>
      <c r="HL185" s="562"/>
      <c r="HM185" s="562"/>
      <c r="HN185" s="562"/>
      <c r="HO185" s="562"/>
      <c r="HP185" s="562"/>
      <c r="HQ185" s="562"/>
      <c r="HR185" s="562"/>
      <c r="HS185" s="562"/>
      <c r="HT185" s="562"/>
      <c r="HU185" s="562"/>
      <c r="HV185" s="562"/>
      <c r="HW185" s="562"/>
      <c r="HX185" s="562"/>
      <c r="HY185" s="562"/>
      <c r="HZ185" s="562"/>
      <c r="IA185" s="562"/>
      <c r="IB185" s="562"/>
      <c r="IC185" s="562"/>
      <c r="ID185" s="562"/>
      <c r="IE185" s="562"/>
      <c r="IF185" s="562"/>
      <c r="IG185" s="562"/>
      <c r="IH185" s="562"/>
      <c r="II185" s="562"/>
      <c r="IJ185" s="562"/>
      <c r="IK185" s="562"/>
      <c r="IL185" s="562"/>
      <c r="IM185" s="562"/>
      <c r="IN185" s="562"/>
      <c r="IO185" s="562"/>
      <c r="IP185" s="562"/>
      <c r="IQ185" s="562"/>
      <c r="IR185" s="562"/>
      <c r="IS185" s="562"/>
      <c r="IT185" s="562"/>
      <c r="IU185" s="562"/>
      <c r="IV185" s="562"/>
      <c r="IW185" s="562"/>
      <c r="IX185" s="562"/>
      <c r="IY185" s="562"/>
      <c r="IZ185" s="562"/>
      <c r="JA185" s="562"/>
      <c r="JB185" s="562"/>
      <c r="JC185" s="562"/>
      <c r="JD185" s="562"/>
      <c r="JE185" s="562"/>
      <c r="JF185" s="562"/>
      <c r="JG185" s="562"/>
      <c r="JH185" s="562"/>
      <c r="JI185" s="562"/>
      <c r="JJ185" s="562"/>
      <c r="JK185" s="562"/>
      <c r="JL185" s="562"/>
      <c r="JM185" s="562"/>
      <c r="JN185" s="562"/>
      <c r="JO185" s="562"/>
      <c r="JP185" s="562"/>
      <c r="JQ185" s="562"/>
      <c r="JR185" s="562"/>
      <c r="JS185" s="562"/>
      <c r="JT185" s="562"/>
      <c r="JU185" s="562"/>
      <c r="JV185" s="562"/>
      <c r="JW185" s="562"/>
      <c r="JX185" s="562"/>
      <c r="JY185" s="562"/>
      <c r="JZ185" s="562"/>
    </row>
    <row r="186" spans="1:286" s="83" customFormat="1" ht="12.75" customHeight="1" x14ac:dyDescent="0.2">
      <c r="A186" s="77"/>
      <c r="C186" s="20"/>
      <c r="D186" s="20"/>
      <c r="E186" s="129"/>
      <c r="F186" s="129"/>
      <c r="G186" s="129"/>
      <c r="H186" s="129"/>
      <c r="I186" s="129"/>
      <c r="J186" s="129"/>
      <c r="K186" s="129"/>
      <c r="L186" s="20"/>
      <c r="M186" s="129"/>
      <c r="N186" s="20"/>
      <c r="O186" s="129"/>
      <c r="P186" s="20"/>
      <c r="Q186" s="129"/>
      <c r="R186" s="20"/>
      <c r="S186" s="129"/>
      <c r="T186" s="20"/>
      <c r="U186" s="129"/>
      <c r="V186" s="20"/>
      <c r="W186" s="129"/>
      <c r="X186" s="20"/>
      <c r="Y186" s="129"/>
      <c r="Z186" s="20"/>
      <c r="AA186" s="130"/>
      <c r="AB186" s="20"/>
      <c r="AC186" s="129"/>
      <c r="AD186" s="20"/>
      <c r="AE186" s="129"/>
      <c r="AF186" s="20"/>
      <c r="AG186" s="129"/>
      <c r="AH186" s="20"/>
      <c r="AI186" s="129"/>
      <c r="AJ186" s="20"/>
      <c r="AK186" s="129"/>
      <c r="AL186" s="20"/>
      <c r="AM186" s="129"/>
      <c r="AN186" s="20"/>
      <c r="AO186" s="129"/>
      <c r="AP186" s="20"/>
      <c r="AQ186" s="129"/>
      <c r="AR186" s="20"/>
      <c r="AS186" s="129"/>
      <c r="AT186" s="238"/>
      <c r="AU186" s="129"/>
      <c r="AV186" s="238"/>
      <c r="AW186" s="129"/>
      <c r="AX186" s="238"/>
      <c r="AY186" s="129"/>
      <c r="AZ186" s="238"/>
      <c r="BA186" s="129"/>
      <c r="BB186" s="238"/>
      <c r="BC186" s="129"/>
      <c r="BD186" s="238"/>
      <c r="BE186" s="129"/>
      <c r="BF186" s="238"/>
      <c r="BG186" s="129"/>
      <c r="BH186" s="238"/>
      <c r="BI186" s="129"/>
      <c r="BJ186" s="238"/>
      <c r="BK186" s="129"/>
      <c r="BL186" s="238"/>
      <c r="BM186" s="129"/>
      <c r="BN186" s="238"/>
      <c r="BO186" s="129"/>
      <c r="BP186" s="238"/>
      <c r="BQ186" s="129"/>
      <c r="BR186" s="238"/>
      <c r="BS186" s="129"/>
      <c r="BT186" s="238"/>
      <c r="BU186" s="129"/>
      <c r="BV186" s="238"/>
      <c r="BW186" s="129"/>
      <c r="BX186" s="238"/>
      <c r="BY186" s="129"/>
      <c r="BZ186" s="238"/>
      <c r="CA186" s="129"/>
      <c r="CB186" s="238"/>
      <c r="CC186" s="129"/>
      <c r="CD186" s="238"/>
      <c r="CE186" s="129"/>
      <c r="CF186" s="238"/>
      <c r="CG186" s="129"/>
      <c r="CH186" s="238"/>
      <c r="CI186" s="129"/>
      <c r="CJ186" s="238"/>
      <c r="CK186" s="129"/>
      <c r="CL186" s="238"/>
      <c r="CM186" s="129"/>
      <c r="CN186" s="238"/>
      <c r="CO186" s="129"/>
      <c r="CP186" s="238"/>
      <c r="CQ186" s="129"/>
      <c r="CR186" s="238"/>
      <c r="CS186" s="129"/>
      <c r="CT186" s="238"/>
      <c r="CU186" s="129"/>
      <c r="CV186" s="238"/>
      <c r="CW186" s="129"/>
      <c r="CX186" s="238"/>
      <c r="CY186" s="129"/>
      <c r="CZ186" s="238"/>
      <c r="DA186" s="129"/>
      <c r="DB186" s="238"/>
      <c r="DC186" s="129"/>
      <c r="DD186" s="238"/>
      <c r="DE186" s="129"/>
      <c r="DF186" s="238"/>
      <c r="DG186" s="129"/>
      <c r="DH186" s="238"/>
      <c r="DI186" s="129"/>
      <c r="DJ186" s="238"/>
      <c r="DK186" s="129"/>
      <c r="DL186" s="238"/>
      <c r="DM186" s="129"/>
      <c r="DN186" s="238"/>
      <c r="DO186" s="129"/>
      <c r="DP186" s="238"/>
      <c r="DQ186" s="129"/>
      <c r="DR186" s="238"/>
      <c r="DS186" s="129"/>
      <c r="DT186" s="238"/>
      <c r="DU186" s="129"/>
      <c r="DV186" s="238"/>
      <c r="DW186" s="129"/>
      <c r="DX186" s="238"/>
      <c r="DY186" s="129"/>
      <c r="DZ186" s="238"/>
      <c r="EA186" s="129"/>
      <c r="EB186" s="238"/>
      <c r="EC186" s="129"/>
      <c r="ED186" s="238"/>
      <c r="EE186" s="129"/>
      <c r="EF186" s="238"/>
      <c r="EG186" s="129"/>
      <c r="EH186" s="238"/>
      <c r="EI186" s="129"/>
      <c r="EJ186" s="238"/>
      <c r="EK186" s="129"/>
      <c r="EL186" s="238"/>
      <c r="EM186" s="129"/>
      <c r="EN186" s="238"/>
      <c r="EO186" s="129"/>
      <c r="EP186" s="238"/>
      <c r="EQ186" s="129"/>
      <c r="ER186" s="238"/>
      <c r="ES186" s="129"/>
      <c r="ET186" s="469"/>
      <c r="EU186" s="129"/>
      <c r="EV186" s="129"/>
      <c r="EW186" s="20"/>
      <c r="EX186" s="129"/>
      <c r="EY186" s="20"/>
      <c r="EZ186" s="129"/>
      <c r="FA186" s="20"/>
      <c r="FB186" s="129"/>
      <c r="FC186" s="20"/>
      <c r="FD186" s="129"/>
      <c r="FE186" s="20"/>
      <c r="FF186" s="129"/>
      <c r="FG186" s="20"/>
      <c r="FH186" s="129"/>
      <c r="FI186" s="20"/>
      <c r="FJ186" s="129"/>
      <c r="FK186" s="20"/>
      <c r="FL186" s="129"/>
      <c r="FM186" s="20"/>
      <c r="FN186" s="129"/>
      <c r="FO186" s="20"/>
      <c r="FP186" s="129"/>
      <c r="FQ186" s="20"/>
      <c r="FR186" s="129"/>
      <c r="FS186" s="20"/>
      <c r="FT186" s="129"/>
      <c r="FU186" s="20"/>
      <c r="FV186" s="129"/>
      <c r="FW186" s="20"/>
      <c r="FX186" s="129"/>
      <c r="FY186" s="20"/>
      <c r="FZ186" s="129"/>
      <c r="GA186" s="20"/>
      <c r="GB186" s="187"/>
      <c r="GC186" s="20"/>
      <c r="GD186" s="187"/>
      <c r="GE186" s="20"/>
      <c r="GF186" s="187"/>
      <c r="GG186" s="20"/>
      <c r="GH186" s="187"/>
      <c r="GI186" s="20"/>
      <c r="GJ186" s="187"/>
      <c r="GK186" s="20"/>
      <c r="GL186" s="129"/>
      <c r="GM186" s="20"/>
      <c r="GN186" s="129"/>
      <c r="GO186" s="20"/>
      <c r="GP186" s="129"/>
      <c r="GQ186" s="20"/>
      <c r="GR186" s="129"/>
      <c r="GS186" s="20"/>
      <c r="GT186" s="20"/>
      <c r="GU186" s="562"/>
      <c r="GV186" s="562"/>
      <c r="GW186"/>
      <c r="GX186"/>
      <c r="GY186"/>
      <c r="GZ186"/>
      <c r="HA186"/>
      <c r="HB186"/>
      <c r="HC186" s="562"/>
      <c r="HD186" s="562"/>
      <c r="HE186" s="562"/>
      <c r="HF186" s="562"/>
      <c r="HG186" s="562"/>
      <c r="HH186" s="562"/>
      <c r="HI186" s="562"/>
      <c r="HJ186" s="562"/>
      <c r="HK186" s="562"/>
      <c r="HL186" s="562"/>
      <c r="HM186" s="562"/>
      <c r="HN186" s="562"/>
      <c r="HO186" s="562"/>
      <c r="HP186" s="562"/>
      <c r="HQ186" s="562"/>
      <c r="HR186" s="562"/>
      <c r="HS186" s="562"/>
      <c r="HT186" s="562"/>
      <c r="HU186" s="562"/>
      <c r="HV186" s="562"/>
      <c r="HW186" s="562"/>
      <c r="HX186" s="562"/>
      <c r="HY186" s="562"/>
      <c r="HZ186" s="562"/>
      <c r="IA186" s="562"/>
      <c r="IB186" s="562"/>
      <c r="IC186" s="562"/>
      <c r="ID186" s="562"/>
      <c r="IE186" s="562"/>
      <c r="IF186" s="562"/>
      <c r="IG186" s="562"/>
      <c r="IH186" s="562"/>
      <c r="II186" s="562"/>
      <c r="IJ186" s="562"/>
      <c r="IK186" s="562"/>
      <c r="IL186" s="562"/>
      <c r="IM186" s="562"/>
      <c r="IN186" s="562"/>
      <c r="IO186" s="562"/>
      <c r="IP186" s="562"/>
      <c r="IQ186" s="562"/>
      <c r="IR186" s="562"/>
      <c r="IS186" s="562"/>
      <c r="IT186" s="562"/>
      <c r="IU186" s="562"/>
      <c r="IV186" s="562"/>
      <c r="IW186" s="562"/>
      <c r="IX186" s="562"/>
      <c r="IY186" s="562"/>
      <c r="IZ186" s="562"/>
      <c r="JA186" s="562"/>
      <c r="JB186" s="562"/>
      <c r="JC186" s="562"/>
      <c r="JD186" s="562"/>
      <c r="JE186" s="562"/>
      <c r="JF186" s="562"/>
      <c r="JG186" s="562"/>
      <c r="JH186" s="562"/>
      <c r="JI186" s="562"/>
      <c r="JJ186" s="562"/>
      <c r="JK186" s="562"/>
      <c r="JL186" s="562"/>
      <c r="JM186" s="562"/>
      <c r="JN186" s="562"/>
      <c r="JO186" s="562"/>
      <c r="JP186" s="562"/>
      <c r="JQ186" s="562"/>
      <c r="JR186" s="562"/>
      <c r="JS186" s="562"/>
      <c r="JT186" s="562"/>
      <c r="JU186" s="562"/>
      <c r="JV186" s="562"/>
      <c r="JW186" s="562"/>
      <c r="JX186" s="562"/>
      <c r="JY186" s="562"/>
      <c r="JZ186" s="562"/>
    </row>
    <row r="187" spans="1:286" s="83" customFormat="1" ht="12.75" customHeight="1" x14ac:dyDescent="0.2">
      <c r="A187" s="77"/>
      <c r="B187" s="83" t="s">
        <v>283</v>
      </c>
      <c r="C187" s="79"/>
      <c r="D187" s="79"/>
      <c r="E187" s="129"/>
      <c r="F187" s="129"/>
      <c r="G187" s="129"/>
      <c r="H187" s="129"/>
      <c r="I187" s="129"/>
      <c r="J187" s="129"/>
      <c r="K187" s="129"/>
      <c r="L187" s="79"/>
      <c r="M187" s="129"/>
      <c r="N187" s="79"/>
      <c r="O187" s="129"/>
      <c r="P187" s="79"/>
      <c r="Q187" s="129"/>
      <c r="R187" s="79"/>
      <c r="S187" s="129"/>
      <c r="T187" s="79"/>
      <c r="U187" s="129"/>
      <c r="V187" s="79"/>
      <c r="W187" s="129"/>
      <c r="X187" s="79"/>
      <c r="Y187" s="129"/>
      <c r="Z187" s="79"/>
      <c r="AA187" s="130"/>
      <c r="AB187" s="79"/>
      <c r="AC187" s="129"/>
      <c r="AD187" s="79"/>
      <c r="AE187" s="129"/>
      <c r="AF187" s="79"/>
      <c r="AG187" s="129"/>
      <c r="AH187" s="79"/>
      <c r="AI187" s="129"/>
      <c r="AJ187" s="79"/>
      <c r="AK187" s="129"/>
      <c r="AL187" s="79"/>
      <c r="AM187" s="129"/>
      <c r="AN187" s="79"/>
      <c r="AO187" s="129"/>
      <c r="AP187" s="79"/>
      <c r="AQ187" s="129"/>
      <c r="AR187" s="79"/>
      <c r="AS187" s="129"/>
      <c r="AT187" s="81"/>
      <c r="AU187" s="129"/>
      <c r="AV187" s="81"/>
      <c r="AW187" s="129"/>
      <c r="AX187" s="81"/>
      <c r="AY187" s="129"/>
      <c r="AZ187" s="81"/>
      <c r="BA187" s="129"/>
      <c r="BB187" s="81"/>
      <c r="BC187" s="129"/>
      <c r="BD187" s="81"/>
      <c r="BE187" s="129"/>
      <c r="BF187" s="81"/>
      <c r="BG187" s="129"/>
      <c r="BH187" s="81"/>
      <c r="BI187" s="129"/>
      <c r="BJ187" s="81"/>
      <c r="BK187" s="129"/>
      <c r="BL187" s="81"/>
      <c r="BM187" s="129"/>
      <c r="BN187" s="81"/>
      <c r="BO187" s="129"/>
      <c r="BP187" s="81"/>
      <c r="BQ187" s="129"/>
      <c r="BR187" s="81"/>
      <c r="BS187" s="129"/>
      <c r="BT187" s="81"/>
      <c r="BU187" s="129"/>
      <c r="BV187" s="81"/>
      <c r="BW187" s="129"/>
      <c r="BX187" s="81"/>
      <c r="BY187" s="129"/>
      <c r="BZ187" s="81"/>
      <c r="CA187" s="129"/>
      <c r="CB187" s="81"/>
      <c r="CC187" s="129"/>
      <c r="CD187" s="81"/>
      <c r="CE187" s="129"/>
      <c r="CF187" s="81"/>
      <c r="CG187" s="129"/>
      <c r="CH187" s="81"/>
      <c r="CI187" s="129"/>
      <c r="CJ187" s="81"/>
      <c r="CK187" s="129"/>
      <c r="CL187" s="81"/>
      <c r="CM187" s="129"/>
      <c r="CN187" s="81"/>
      <c r="CO187" s="129"/>
      <c r="CP187" s="81"/>
      <c r="CQ187" s="129"/>
      <c r="CR187" s="81"/>
      <c r="CS187" s="129"/>
      <c r="CT187" s="81"/>
      <c r="CU187" s="129"/>
      <c r="CV187" s="81"/>
      <c r="CW187" s="129"/>
      <c r="CX187" s="81"/>
      <c r="CY187" s="129"/>
      <c r="CZ187" s="81"/>
      <c r="DA187" s="129"/>
      <c r="DB187" s="81"/>
      <c r="DC187" s="129"/>
      <c r="DD187" s="81"/>
      <c r="DE187" s="129"/>
      <c r="DF187" s="81"/>
      <c r="DG187" s="129"/>
      <c r="DH187" s="81"/>
      <c r="DI187" s="129"/>
      <c r="DJ187" s="81"/>
      <c r="DK187" s="129"/>
      <c r="DL187" s="81"/>
      <c r="DM187" s="129"/>
      <c r="DN187" s="81"/>
      <c r="DO187" s="129"/>
      <c r="DP187" s="81"/>
      <c r="DQ187" s="912"/>
      <c r="DR187" s="81"/>
      <c r="DS187" s="912"/>
      <c r="DT187" s="81"/>
      <c r="DU187" s="912"/>
      <c r="DV187" s="81"/>
      <c r="DW187" s="912"/>
      <c r="DX187" s="81"/>
      <c r="DY187" s="912"/>
      <c r="DZ187" s="81"/>
      <c r="EA187" s="912"/>
      <c r="EB187" s="81"/>
      <c r="EC187" s="912"/>
      <c r="ED187" s="81"/>
      <c r="EE187" s="912"/>
      <c r="EF187" s="81"/>
      <c r="EG187" s="912"/>
      <c r="EH187" s="81"/>
      <c r="EI187" s="912"/>
      <c r="EJ187" s="81"/>
      <c r="EK187" s="129"/>
      <c r="EL187" s="81"/>
      <c r="EM187" s="129"/>
      <c r="EN187" s="81"/>
      <c r="EO187" s="129"/>
      <c r="EP187" s="81"/>
      <c r="EQ187" s="129"/>
      <c r="ER187" s="81"/>
      <c r="ES187" s="129"/>
      <c r="ET187" s="469"/>
      <c r="EU187" s="129"/>
      <c r="EV187" s="129"/>
      <c r="EW187" s="79"/>
      <c r="EX187" s="129"/>
      <c r="EY187" s="79"/>
      <c r="EZ187" s="129"/>
      <c r="FA187" s="79"/>
      <c r="FB187" s="129"/>
      <c r="FC187" s="79"/>
      <c r="FD187" s="129"/>
      <c r="FE187" s="79"/>
      <c r="FF187" s="129"/>
      <c r="FG187" s="79"/>
      <c r="FH187" s="129"/>
      <c r="FI187" s="79"/>
      <c r="FJ187" s="129"/>
      <c r="FK187" s="79"/>
      <c r="FL187" s="129"/>
      <c r="FM187" s="79"/>
      <c r="FN187" s="129"/>
      <c r="FO187" s="79"/>
      <c r="FP187" s="129"/>
      <c r="FQ187" s="79"/>
      <c r="FR187" s="129"/>
      <c r="FS187" s="79"/>
      <c r="FT187" s="129"/>
      <c r="FU187" s="79"/>
      <c r="FV187" s="129"/>
      <c r="FW187" s="79"/>
      <c r="FX187" s="129"/>
      <c r="FY187" s="79"/>
      <c r="FZ187" s="129"/>
      <c r="GA187" s="79"/>
      <c r="GB187" s="129"/>
      <c r="GC187" s="79"/>
      <c r="GD187" s="129"/>
      <c r="GE187" s="79"/>
      <c r="GF187" s="129"/>
      <c r="GG187" s="79"/>
      <c r="GH187" s="129"/>
      <c r="GI187" s="79"/>
      <c r="GJ187" s="129"/>
      <c r="GK187" s="79"/>
      <c r="GL187" s="129"/>
      <c r="GM187" s="79"/>
      <c r="GN187" s="129"/>
      <c r="GO187" s="79"/>
      <c r="GP187" s="129"/>
      <c r="GQ187" s="79"/>
      <c r="GR187" s="129"/>
      <c r="GS187" s="79"/>
      <c r="GT187" s="79"/>
      <c r="GU187" s="562"/>
      <c r="GV187" s="562"/>
      <c r="GW187"/>
      <c r="GX187"/>
      <c r="GY187"/>
      <c r="GZ187"/>
      <c r="HA187"/>
      <c r="HB187"/>
      <c r="HC187" s="562"/>
      <c r="HD187" s="562"/>
      <c r="HE187" s="562"/>
      <c r="HF187" s="562"/>
      <c r="HG187" s="562"/>
      <c r="HH187" s="562"/>
      <c r="HI187" s="562"/>
      <c r="HJ187" s="562"/>
      <c r="HK187" s="562"/>
      <c r="HL187" s="562"/>
      <c r="HM187" s="562"/>
      <c r="HN187" s="562"/>
      <c r="HO187" s="562"/>
      <c r="HP187" s="562"/>
      <c r="HQ187" s="562"/>
      <c r="HR187" s="562"/>
      <c r="HS187" s="562"/>
      <c r="HT187" s="562"/>
      <c r="HU187" s="562"/>
      <c r="HV187" s="562"/>
      <c r="HW187" s="562"/>
      <c r="HX187" s="562"/>
      <c r="HY187" s="562"/>
      <c r="HZ187" s="562"/>
      <c r="IA187" s="562"/>
      <c r="IB187" s="562"/>
      <c r="IC187" s="562"/>
      <c r="ID187" s="562"/>
      <c r="IE187" s="562"/>
      <c r="IF187" s="562"/>
      <c r="IG187" s="562"/>
      <c r="IH187" s="562"/>
      <c r="II187" s="562"/>
      <c r="IJ187" s="562"/>
      <c r="IK187" s="562"/>
      <c r="IL187" s="562"/>
      <c r="IM187" s="562"/>
      <c r="IN187" s="562"/>
      <c r="IO187" s="562"/>
      <c r="IP187" s="562"/>
      <c r="IQ187" s="562"/>
      <c r="IR187" s="562"/>
      <c r="IS187" s="562"/>
      <c r="IT187" s="562"/>
      <c r="IU187" s="562"/>
      <c r="IV187" s="562"/>
      <c r="IW187" s="562"/>
      <c r="IX187" s="562"/>
      <c r="IY187" s="562"/>
      <c r="IZ187" s="562"/>
      <c r="JA187" s="562"/>
      <c r="JB187" s="562"/>
      <c r="JC187" s="562"/>
      <c r="JD187" s="562"/>
      <c r="JE187" s="562"/>
      <c r="JF187" s="562"/>
      <c r="JG187" s="562"/>
      <c r="JH187" s="562"/>
      <c r="JI187" s="562"/>
      <c r="JJ187" s="562"/>
      <c r="JK187" s="562"/>
      <c r="JL187" s="562"/>
      <c r="JM187" s="562"/>
      <c r="JN187" s="562"/>
      <c r="JO187" s="562"/>
      <c r="JP187" s="562"/>
      <c r="JQ187" s="562"/>
      <c r="JR187" s="562"/>
      <c r="JS187" s="562"/>
      <c r="JT187" s="562"/>
      <c r="JU187" s="562"/>
      <c r="JV187" s="562"/>
      <c r="JW187" s="562"/>
      <c r="JX187" s="562"/>
      <c r="JY187" s="562"/>
      <c r="JZ187" s="562"/>
    </row>
    <row r="188" spans="1:286" s="83" customFormat="1" ht="12.75" customHeight="1" x14ac:dyDescent="0.2">
      <c r="A188" s="77"/>
      <c r="B188" s="10" t="s">
        <v>93</v>
      </c>
      <c r="C188" s="79"/>
      <c r="D188" s="79"/>
      <c r="E188" s="95"/>
      <c r="F188" s="95"/>
      <c r="G188" s="95"/>
      <c r="H188" s="95"/>
      <c r="I188" s="95"/>
      <c r="J188" s="95"/>
      <c r="K188" s="95"/>
      <c r="L188" s="79"/>
      <c r="M188" s="95"/>
      <c r="N188" s="79"/>
      <c r="O188" s="95"/>
      <c r="P188" s="79"/>
      <c r="Q188" s="95"/>
      <c r="R188" s="79"/>
      <c r="S188" s="95"/>
      <c r="T188" s="79"/>
      <c r="U188" s="75">
        <f>FF188-W188-Y188-AA188</f>
        <v>101.10000000000002</v>
      </c>
      <c r="V188" s="79" t="str">
        <f>IF(ISERROR((U188/M188-1)*100),"NA",IF(((U188/M188-1)*100)&gt;100,"NM",IF(((U188/M188-1)*100)&lt;-50,"NM",(U188/M188-1)*100)))</f>
        <v>NA</v>
      </c>
      <c r="W188" s="95">
        <v>121.9</v>
      </c>
      <c r="X188" s="79" t="str">
        <f>IF(ISERROR((W188/O188-1)*100),"NA",IF(((W188/O188-1)*100)&gt;100,"NM",IF(((W188/O188-1)*100)&lt;-50,"NM",(W188/O188-1)*100)))</f>
        <v>NA</v>
      </c>
      <c r="Y188" s="95">
        <v>119.9</v>
      </c>
      <c r="Z188" s="79" t="str">
        <f>IF(ISERROR((Y188/Q188-1)*100),"NA",IF(((Y188/Q188-1)*100)&gt;100,"NM",IF(((Y188/Q188-1)*100)&lt;-50,"NM",(Y188/Q188-1)*100)))</f>
        <v>NA</v>
      </c>
      <c r="AA188" s="126">
        <v>134.1</v>
      </c>
      <c r="AB188" s="79" t="str">
        <f>IF(ISERROR((AA188/S188-1)*100),"NA",IF(((AA188/S188-1)*100)&gt;100,"NM",IF(((AA188/S188-1)*100)&lt;-50,"NM",(AA188/S188-1)*100)))</f>
        <v>NA</v>
      </c>
      <c r="AC188" s="95">
        <f>312-AE188</f>
        <v>150.80000000000001</v>
      </c>
      <c r="AD188" s="79">
        <f>IF(ISERROR((AC188/U188-1)*100),"NA",IF(((AC188/U188-1)*100)&gt;100,"NM",IF(((AC188/U188-1)*100)&lt;-50,"NM",(AC188/U188-1)*100)))</f>
        <v>49.159248269040525</v>
      </c>
      <c r="AE188" s="95">
        <v>161.19999999999999</v>
      </c>
      <c r="AF188" s="79">
        <f>IF(ISERROR((AE188/W188-1)*100),"NA",IF(((AE188/W188-1)*100)&gt;100,"NM",IF(((AE188/W188-1)*100)&lt;-50,"NM",(AE188/W188-1)*100)))</f>
        <v>32.239540607054941</v>
      </c>
      <c r="AG188" s="95">
        <v>170.1</v>
      </c>
      <c r="AH188" s="79">
        <f>IF(ISERROR((AG188/Y188-1)*100),"NA",IF(((AG188/Y188-1)*100)&gt;100,"NM",IF(((AG188/Y188-1)*100)&lt;-50,"NM",(AG188/Y188-1)*100)))</f>
        <v>41.868223519599645</v>
      </c>
      <c r="AI188" s="75">
        <f>FH188-AG188-AE188-AC188</f>
        <v>177</v>
      </c>
      <c r="AJ188" s="79">
        <f>IF(ISERROR((AI188/AA188-1)*100),"NA",IF(((AI188/AA188-1)*100)&gt;100,"NM",IF(((AI188/AA188-1)*100)&lt;-50,"NM",(AI188/AA188-1)*100)))</f>
        <v>31.991051454138699</v>
      </c>
      <c r="AK188" s="95">
        <f>383.1-AM188</f>
        <v>190.00000000000003</v>
      </c>
      <c r="AL188" s="79">
        <f>IF(ISERROR((AK188/AC188-1)*100),"NA",IF(((AK188/AC188-1)*100)&gt;100,"NM",IF(((AK188/AC188-1)*100)&lt;-50,"NM",(AK188/AC188-1)*100)))</f>
        <v>25.994694960212207</v>
      </c>
      <c r="AM188" s="95">
        <v>193.1</v>
      </c>
      <c r="AN188" s="79">
        <f>IF(ISERROR((AM188/AE188-1)*100),"NA",IF(((AM188/AE188-1)*100)&gt;100,"NM",IF(((AM188/AE188-1)*100)&lt;-50,"NM",(AM188/AE188-1)*100)))</f>
        <v>19.789081885856085</v>
      </c>
      <c r="AO188" s="95">
        <v>204</v>
      </c>
      <c r="AP188" s="79">
        <f>IF(ISERROR((AO188/AG188-1)*100),"NA",IF(((AO188/AG188-1)*100)&gt;100,"NM",IF(((AO188/AG188-1)*100)&lt;-50,"NM",(AO188/AG188-1)*100)))</f>
        <v>19.929453262786588</v>
      </c>
      <c r="AQ188" s="95">
        <v>198.2</v>
      </c>
      <c r="AR188" s="79">
        <f>IF(ISERROR((AQ188/AI188-1)*100),"NA",IF(((AQ188/AI188-1)*100)&gt;100,"NM",IF(((AQ188/AI188-1)*100)&lt;-50,"NM",(AQ188/AI188-1)*100)))</f>
        <v>11.977401129943498</v>
      </c>
      <c r="AS188" s="95">
        <v>191.4</v>
      </c>
      <c r="AT188" s="81">
        <f>IF(ISERROR((AS188/AK188-1)*100),"NA",IF(((AS188/AK188-1)*100)&gt;100,"NM",IF(((AS188/AK188-1)*100)&lt;-50,"NM",(AS188/AK188-1)*100)))</f>
        <v>0.73684210526314686</v>
      </c>
      <c r="AU188" s="95">
        <v>200.7</v>
      </c>
      <c r="AV188" s="81">
        <f>IF(ISERROR((AU188/AM188-1)*100),"NA",IF(((AU188/AM188-1)*100)&gt;100,"NM",IF(((AU188/AM188-1)*100)&lt;-50,"NM",(AU188/AM188-1)*100)))</f>
        <v>3.9357845675815684</v>
      </c>
      <c r="AW188" s="95">
        <v>219.7</v>
      </c>
      <c r="AX188" s="81">
        <f>IF(ISERROR((AW188/AO188-1)*100),"NA",IF(((AW188/AO188-1)*100)&gt;100,"NM",IF(((AW188/AO188-1)*100)&lt;-50,"NM",(AW188/AO188-1)*100)))</f>
        <v>7.6960784313725439</v>
      </c>
      <c r="AY188" s="95">
        <v>231</v>
      </c>
      <c r="AZ188" s="81">
        <f>IF(ISERROR((AY188/AQ188-1)*100),"NA",IF(((AY188/AQ188-1)*100)&gt;100,"NM",IF(((AY188/AQ188-1)*100)&lt;-50,"NM",(AY188/AQ188-1)*100)))</f>
        <v>16.548940464177608</v>
      </c>
      <c r="BA188" s="95">
        <v>222.3</v>
      </c>
      <c r="BB188" s="81">
        <f>IF(ISERROR((BA188/AS188-1)*100),"NA",IF(((BA188/AS188-1)*100)&gt;100,"NM",IF(((BA188/AS188-1)*100)&lt;-50,"NM",(BA188/AS188-1)*100)))</f>
        <v>16.144200626959247</v>
      </c>
      <c r="BC188" s="95">
        <v>247</v>
      </c>
      <c r="BD188" s="81">
        <f>IF(ISERROR((BC188/AU188-1)*100),"NA",IF(((BC188/AU188-1)*100)&gt;100,"NM",IF(((BC188/AU188-1)*100)&lt;-50,"NM",(BC188/AU188-1)*100)))</f>
        <v>23.069257598405592</v>
      </c>
      <c r="BE188" s="95">
        <v>247.6</v>
      </c>
      <c r="BF188" s="81">
        <f>IF(ISERROR((BE188/AW188-1)*100),"NA",IF(((BE188/AW188-1)*100)&gt;100,"NM",IF(((BE188/AW188-1)*100)&lt;-50,"NM",(BE188/AW188-1)*100)))</f>
        <v>12.699135184342293</v>
      </c>
      <c r="BG188" s="95">
        <v>251.4</v>
      </c>
      <c r="BH188" s="81">
        <f>IF(ISERROR((BG188/AY188-1)*100),"NA",IF(((BG188/AY188-1)*100)&gt;100,"NM",IF(((BG188/AY188-1)*100)&lt;-50,"NM",(BG188/AY188-1)*100)))</f>
        <v>8.831168831168835</v>
      </c>
      <c r="BI188" s="95">
        <v>240.6</v>
      </c>
      <c r="BJ188" s="81">
        <f>IF(ISERROR((BI188/BA188-1)*100),"NA",IF(((BI188/BA188-1)*100)&gt;100,"NM",IF(((BI188/BA188-1)*100)&lt;-50,"NM",(BI188/BA188-1)*100)))</f>
        <v>8.2321187584345488</v>
      </c>
      <c r="BK188" s="95">
        <v>241.7</v>
      </c>
      <c r="BL188" s="81">
        <f>IF(ISERROR((BK188/BC188-1)*100),"NA",IF(((BK188/BC188-1)*100)&gt;100,"NM",IF(((BK188/BC188-1)*100)&lt;-50,"NM",(BK188/BC188-1)*100)))</f>
        <v>-2.1457489878542568</v>
      </c>
      <c r="BM188" s="95">
        <v>224.7</v>
      </c>
      <c r="BN188" s="81">
        <f>IF(ISERROR((BM188/BE188-1)*100),"NA",IF(((BM188/BE188-1)*100)&gt;100,"NM",IF(((BM188/BE188-1)*100)&lt;-50,"NM",(BM188/BE188-1)*100)))</f>
        <v>-9.2487883683360259</v>
      </c>
      <c r="BO188" s="95">
        <v>182.3</v>
      </c>
      <c r="BP188" s="81">
        <f>IF(ISERROR((BO188/BG188-1)*100),"NA",IF(((BO188/BG188-1)*100)&gt;100,"NM",IF(((BO188/BG188-1)*100)&lt;-50,"NM",(BO188/BG188-1)*100)))</f>
        <v>-27.486077963404931</v>
      </c>
      <c r="BQ188" s="95">
        <v>163</v>
      </c>
      <c r="BR188" s="81">
        <f>IF(ISERROR((BQ188/BI188-1)*100),"NA",IF(((BQ188/BI188-1)*100)&gt;100,"NM",IF(((BQ188/BI188-1)*100)&lt;-50,"NM",(BQ188/BI188-1)*100)))</f>
        <v>-32.252701579384869</v>
      </c>
      <c r="BS188" s="95">
        <v>173.4</v>
      </c>
      <c r="BT188" s="81">
        <f>IF(ISERROR((BS188/BK188-1)*100),"NA",IF(((BS188/BK188-1)*100)&gt;100,"NM",IF(((BS188/BK188-1)*100)&lt;-50,"NM",(BS188/BK188-1)*100)))</f>
        <v>-28.258171286719069</v>
      </c>
      <c r="BU188" s="95">
        <v>169.7</v>
      </c>
      <c r="BV188" s="81">
        <f>IF(ISERROR((BU188/BM188-1)*100),"NA",IF(((BU188/BM188-1)*100)&gt;100,"NM",IF(((BU188/BM188-1)*100)&lt;-50,"NM",(BU188/BM188-1)*100)))</f>
        <v>-24.477080551846907</v>
      </c>
      <c r="BW188" s="95">
        <v>180</v>
      </c>
      <c r="BX188" s="81">
        <f>IF(ISERROR((BW188/BO188-1)*100),"NA",IF(((BW188/BO188-1)*100)&gt;100,"NM",IF(((BW188/BO188-1)*100)&lt;-50,"NM",(BW188/BO188-1)*100)))</f>
        <v>-1.2616566099835524</v>
      </c>
      <c r="BY188" s="95">
        <v>165.8</v>
      </c>
      <c r="BZ188" s="81">
        <f>IF(ISERROR((BY188/BQ188-1)*100),"NA",IF(((BY188/BQ188-1)*100)&gt;100,"NM",IF(((BY188/BQ188-1)*100)&lt;-50,"NM",(BY188/BQ188-1)*100)))</f>
        <v>1.7177914110429571</v>
      </c>
      <c r="CA188" s="95">
        <v>152.9</v>
      </c>
      <c r="CB188" s="81">
        <f>IF(ISERROR((CA188/BS188-1)*100),"NA",IF(((CA188/BS188-1)*100)&gt;100,"NM",IF(((CA188/BS188-1)*100)&lt;-50,"NM",(CA188/BS188-1)*100)))</f>
        <v>-11.82237600922722</v>
      </c>
      <c r="CC188" s="95">
        <v>161.4</v>
      </c>
      <c r="CD188" s="81">
        <f>IF(ISERROR((CC188/BU188-1)*100),"NA",IF(((CC188/BU188-1)*100)&gt;100,"NM",IF(((CC188/BU188-1)*100)&lt;-50,"NM",(CC188/BU188-1)*100)))</f>
        <v>-4.890984089569816</v>
      </c>
      <c r="CE188" s="95">
        <v>170.5</v>
      </c>
      <c r="CF188" s="81">
        <f>IF(ISERROR((CE188/BW188-1)*100),"NA",IF(((CE188/BW188-1)*100)&gt;100,"NM",IF(((CE188/BW188-1)*100)&lt;-50,"NM",(CE188/BW188-1)*100)))</f>
        <v>-5.2777777777777812</v>
      </c>
      <c r="CG188" s="95">
        <v>167.1</v>
      </c>
      <c r="CH188" s="81">
        <f>IF(ISERROR((CG188/BY188-1)*100),"NA",IF(((CG188/BY188-1)*100)&gt;100,"NM",IF(((CG188/BY188-1)*100)&lt;-50,"NM",(CG188/BY188-1)*100)))</f>
        <v>0.78407720144750837</v>
      </c>
      <c r="CI188" s="95">
        <v>175.8</v>
      </c>
      <c r="CJ188" s="81">
        <f>IF(ISERROR((CI188/CA188-1)*100),"NA",IF(((CI188/CA188-1)*100)&gt;100,"NM",IF(((CI188/CA188-1)*100)&lt;-50,"NM",(CI188/CA188-1)*100)))</f>
        <v>14.977109221713537</v>
      </c>
      <c r="CK188" s="95">
        <v>175.5</v>
      </c>
      <c r="CL188" s="81">
        <f>IF(ISERROR((CK188/CC188-1)*100),"NA",IF(((CK188/CC188-1)*100)&gt;100,"NM",IF(((CK188/CC188-1)*100)&lt;-50,"NM",(CK188/CC188-1)*100)))</f>
        <v>8.7360594795538926</v>
      </c>
      <c r="CM188" s="95">
        <v>169.2</v>
      </c>
      <c r="CN188" s="81">
        <f>IF(ISERROR((CM188/CE188-1)*100),"NA",IF(((CM188/CE188-1)*100)&gt;100,"NM",IF(((CM188/CE188-1)*100)&lt;-50,"NM",(CM188/CE188-1)*100)))</f>
        <v>-0.76246334310851038</v>
      </c>
      <c r="CO188" s="95">
        <v>170.7</v>
      </c>
      <c r="CP188" s="81">
        <f>IF(ISERROR((CO188/CG188-1)*100),"NA",IF(((CO188/CG188-1)*100)&gt;100,"NM",IF(((CO188/CG188-1)*100)&lt;-50,"NM",(CO188/CG188-1)*100)))</f>
        <v>2.1543985637342944</v>
      </c>
      <c r="CQ188" s="95">
        <v>173.2</v>
      </c>
      <c r="CR188" s="81">
        <f>IF(ISERROR((CQ188/CI188-1)*100),"NA",IF(((CQ188/CI188-1)*100)&gt;100,"NM",IF(((CQ188/CI188-1)*100)&lt;-50,"NM",(CQ188/CI188-1)*100)))</f>
        <v>-1.4789533560864765</v>
      </c>
      <c r="CS188" s="95">
        <v>175.2</v>
      </c>
      <c r="CT188" s="81">
        <f>IF(ISERROR((CS188/CK188-1)*100),"NA",IF(((CS188/CK188-1)*100)&gt;100,"NM",IF(((CS188/CK188-1)*100)&lt;-50,"NM",(CS188/CK188-1)*100)))</f>
        <v>-0.17094017094018144</v>
      </c>
      <c r="CU188" s="95">
        <v>175.5</v>
      </c>
      <c r="CV188" s="81">
        <f>IF(ISERROR((CU188/CM188-1)*100),"NA",IF(((CU188/CM188-1)*100)&gt;100,"NM",IF(((CU188/CM188-1)*100)&lt;-50,"NM",(CU188/CM188-1)*100)))</f>
        <v>3.7234042553191626</v>
      </c>
      <c r="CW188" s="95">
        <v>143.80000000000001</v>
      </c>
      <c r="CX188" s="81">
        <f>IF(ISERROR((CW188/CO188-1)*100),"NA",IF(((CW188/CO188-1)*100)&gt;100,"NM",IF(((CW188/CO188-1)*100)&lt;-50,"NM",(CW188/CO188-1)*100)))</f>
        <v>-15.758640890451069</v>
      </c>
      <c r="CY188" s="95">
        <v>137.6</v>
      </c>
      <c r="CZ188" s="81">
        <f>IF(ISERROR((CY188/CQ188-1)*100),"NA",IF(((CY188/CQ188-1)*100)&gt;100,"NM",IF(((CY188/CQ188-1)*100)&lt;-50,"NM",(CY188/CQ188-1)*100)))</f>
        <v>-20.554272517321014</v>
      </c>
      <c r="DA188" s="95">
        <v>137.30000000000001</v>
      </c>
      <c r="DB188" s="81">
        <f>IF(ISERROR((DA188/CS188-1)*100),"NA",IF(((DA188/CS188-1)*100)&gt;100,"NM",IF(((DA188/CS188-1)*100)&lt;-50,"NM",(DA188/CS188-1)*100)))</f>
        <v>-21.632420091324189</v>
      </c>
      <c r="DC188" s="95">
        <v>137.9</v>
      </c>
      <c r="DD188" s="81">
        <f>IF(ISERROR((DC188/CU188-1)*100),"NA",IF(((DC188/CU188-1)*100)&gt;100,"NM",IF(((DC188/CU188-1)*100)&lt;-50,"NM",(DC188/CU188-1)*100)))</f>
        <v>-21.424501424501418</v>
      </c>
      <c r="DE188" s="95">
        <v>151.69999999999999</v>
      </c>
      <c r="DF188" s="81">
        <f>IF(ISERROR((DE188/CW188-1)*100),"NA",IF(((DE188/CW188-1)*100)&gt;100,"NM",IF(((DE188/CW188-1)*100)&lt;-50,"NM",(DE188/CW188-1)*100)))</f>
        <v>5.4937413073713248</v>
      </c>
      <c r="DG188" s="95">
        <v>154</v>
      </c>
      <c r="DH188" s="81">
        <f>IF(ISERROR((DG188/CY188-1)*100),"NA",IF(((DG188/CY188-1)*100)&gt;100,"NM",IF(((DG188/CY188-1)*100)&lt;-50,"NM",(DG188/CY188-1)*100)))</f>
        <v>11.91860465116279</v>
      </c>
      <c r="DI188" s="95">
        <v>152.6</v>
      </c>
      <c r="DJ188" s="81">
        <f>IF(ISERROR((DI188/DA188-1)*100),"NA",IF(((DI188/DA188-1)*100)&gt;100,"NM",IF(((DI188/DA188-1)*100)&lt;-50,"NM",(DI188/DA188-1)*100)))</f>
        <v>11.143481427530944</v>
      </c>
      <c r="DK188" s="95">
        <v>148.9</v>
      </c>
      <c r="DL188" s="81">
        <f>IF(ISERROR((DK188/DC188-1)*100),"NA",IF(((DK188/DC188-1)*100)&gt;100,"NM",IF(((DK188/DC188-1)*100)&lt;-50,"NM",(DK188/DC188-1)*100)))</f>
        <v>7.9767947788252247</v>
      </c>
      <c r="DM188" s="95">
        <v>139</v>
      </c>
      <c r="DN188" s="81">
        <f>IF(ISERROR((DM188/DE188-1)*100),"NA",IF(((DM188/DE188-1)*100)&gt;100,"NM",IF(((DM188/DE188-1)*100)&lt;-50,"NM",(DM188/DE188-1)*100)))</f>
        <v>-8.3717864205669059</v>
      </c>
      <c r="DO188" s="95">
        <v>142.19999999999999</v>
      </c>
      <c r="DP188" s="81">
        <f>IF(ISERROR((DO188/DG188-1)*100),"NA",IF(((DO188/DG188-1)*100)&gt;100,"NM",IF(((DO188/DG188-1)*100)&lt;-50,"NM",(DO188/DG188-1)*100)))</f>
        <v>-7.66233766233767</v>
      </c>
      <c r="DQ188" s="95">
        <v>144.6</v>
      </c>
      <c r="DR188" s="81">
        <f>IF(ISERROR((DQ188/DI188-1)*100),"NA",IF(((DQ188/DI188-1)*100)&gt;100,"NM",IF(((DQ188/DI188-1)*100)&lt;-50,"NM",(DQ188/DI188-1)*100)))</f>
        <v>-5.2424639580602843</v>
      </c>
      <c r="DS188" s="95">
        <v>150.4</v>
      </c>
      <c r="DT188" s="81">
        <f>IF(ISERROR((DS188/DK188-1)*100),"NA",IF(((DS188/DK188-1)*100)&gt;100,"NM",IF(((DS188/DK188-1)*100)&lt;-50,"NM",(DS188/DK188-1)*100)))</f>
        <v>1.0073875083948858</v>
      </c>
      <c r="DU188" s="95">
        <v>139.30000000000001</v>
      </c>
      <c r="DV188" s="81">
        <f>IF(ISERROR((DU188/DM188-1)*100),"NA",IF(((DU188/DM188-1)*100)&gt;100,"NM",IF(((DU188/DM188-1)*100)&lt;-50,"NM",(DU188/DM188-1)*100)))</f>
        <v>0.21582733812950394</v>
      </c>
      <c r="DW188" s="95">
        <v>140.80000000000001</v>
      </c>
      <c r="DX188" s="81">
        <f>IF(ISERROR((DW188/DO188-1)*100),"NA",IF(((DW188/DO188-1)*100)&gt;100,"NM",IF(((DW188/DO188-1)*100)&lt;-50,"NM",(DW188/DO188-1)*100)))</f>
        <v>-0.98452883263008273</v>
      </c>
      <c r="DY188" s="95">
        <v>127.3</v>
      </c>
      <c r="DZ188" s="81">
        <f>IF(ISERROR((DY188/DQ188-1)*100),"NA",IF(((DY188/DQ188-1)*100)&gt;100,"NM",IF(((DY188/DQ188-1)*100)&lt;-50,"NM",(DY188/DQ188-1)*100)))</f>
        <v>-11.964038727524207</v>
      </c>
      <c r="EA188" s="95">
        <v>121.9</v>
      </c>
      <c r="EB188" s="81">
        <f>IF(ISERROR((EA188/DS188-1)*100),"NA",IF(((EA188/DS188-1)*100)&gt;100,"NM",IF(((EA188/DS188-1)*100)&lt;-50,"NM",(EA188/DS188-1)*100)))</f>
        <v>-18.949468085106382</v>
      </c>
      <c r="EC188" s="95">
        <v>121.3</v>
      </c>
      <c r="ED188" s="81">
        <f t="shared" ref="ED188:ED191" si="622">IF(ISERROR((EC188/DU188-1)*100),"NA",IF(((EC188/DU188-1)*100)&gt;100,"NM",IF(((EC188/DU188-1)*100)&lt;-50,"NM",(EC188/DU188-1)*100)))</f>
        <v>-12.921751615218957</v>
      </c>
      <c r="EE188" s="95">
        <v>126.8</v>
      </c>
      <c r="EF188" s="81">
        <f t="shared" ref="EF188:EF191" si="623">IF(ISERROR((EE188/DW188-1)*100),"NA",IF(((EE188/DW188-1)*100)&gt;100,"NM",IF(((EE188/DW188-1)*100)&lt;-50,"NM",(EE188/DW188-1)*100)))</f>
        <v>-9.9431818181818237</v>
      </c>
      <c r="EG188" s="95">
        <v>131.5</v>
      </c>
      <c r="EH188" s="81">
        <f t="shared" ref="EH188:EH191" si="624">IF(ISERROR((EG188/DY188-1)*100),"NA",IF(((EG188/DY188-1)*100)&gt;100,"NM",IF(((EG188/DY188-1)*100)&lt;-50,"NM",(EG188/DY188-1)*100)))</f>
        <v>3.2992930086410022</v>
      </c>
      <c r="EI188" s="95">
        <v>133.4</v>
      </c>
      <c r="EJ188" s="81">
        <f t="shared" ref="EJ188:EJ191" si="625">IF(ISERROR((EI188/EA188-1)*100),"NA",IF(((EI188/EA188-1)*100)&gt;100,"NM",IF(((EI188/EA188-1)*100)&lt;-50,"NM",(EI188/EA188-1)*100)))</f>
        <v>9.4339622641509422</v>
      </c>
      <c r="EK188" s="95">
        <f>EC188*1.01/EC$185*EK$185</f>
        <v>138.70103277005515</v>
      </c>
      <c r="EL188" s="81">
        <f t="shared" ref="EL188:EL191" si="626">IF(ISERROR((EK188/EC188-1)*100),"NA",IF(((EK188/EC188-1)*100)&gt;100,"NM",IF(((EK188/EC188-1)*100)&lt;-50,"NM",(EK188/EC188-1)*100)))</f>
        <v>14.345451582897905</v>
      </c>
      <c r="EM188" s="95">
        <f>EE188*1.01/EE$185*EM$185</f>
        <v>140.44647542481462</v>
      </c>
      <c r="EN188" s="81">
        <f t="shared" ref="EN188:EN191" si="627">IF(ISERROR((EM188/EE188-1)*100),"NA",IF(((EM188/EE188-1)*100)&gt;100,"NM",IF(((EM188/EE188-1)*100)&lt;-50,"NM",(EM188/EE188-1)*100)))</f>
        <v>10.762204593702386</v>
      </c>
      <c r="EO188" s="95">
        <f>EG188*1.01/EG$185*EO$185</f>
        <v>142.41452752833112</v>
      </c>
      <c r="EP188" s="81">
        <f t="shared" ref="EP188:EP191" si="628">IF(ISERROR((EO188/EG188-1)*100),"NA",IF(((EO188/EG188-1)*100)&gt;100,"NM",IF(((EO188/EG188-1)*100)&lt;-50,"NM",(EO188/EG188-1)*100)))</f>
        <v>8.3000209340920996</v>
      </c>
      <c r="EQ188" s="95">
        <f>EI188*1.01/EI$185*EQ$185</f>
        <v>141.04839827459787</v>
      </c>
      <c r="ER188" s="81">
        <f t="shared" ref="ER188:ER191" si="629">IF(ISERROR((EQ188/EI188-1)*100),"NA",IF(((EQ188/EI188-1)*100)&gt;100,"NM",IF(((EQ188/EI188-1)*100)&lt;-50,"NM",(EQ188/EI188-1)*100)))</f>
        <v>5.7334319899534192</v>
      </c>
      <c r="ES188" s="129"/>
      <c r="ET188" s="469"/>
      <c r="EU188" s="129"/>
      <c r="EV188" s="75"/>
      <c r="EW188" s="79"/>
      <c r="EX188" s="75"/>
      <c r="EY188" s="79"/>
      <c r="EZ188" s="75"/>
      <c r="FA188" s="79"/>
      <c r="FB188" s="35"/>
      <c r="FC188" s="79"/>
      <c r="FD188" s="222">
        <v>313.8</v>
      </c>
      <c r="FE188" s="79" t="str">
        <f>IF(ISERROR((FD188/FB188-1)*100),"NA",IF(((FD188/FB188-1)*100)&gt;100,"NM",IF(((FD188/FB188-1)*100)&lt;-50,"NM",(FD188/FB188-1)*100)))</f>
        <v>NA</v>
      </c>
      <c r="FF188" s="222">
        <v>477</v>
      </c>
      <c r="FG188" s="79">
        <f>IF(ISERROR((FF188/FD188-1)*100),"NA",IF(((FF188/FD188-1)*100)&gt;100,"NM",IF(((FF188/FD188-1)*100)&lt;-50,"NM",(FF188/FD188-1)*100)))</f>
        <v>52.007648183556412</v>
      </c>
      <c r="FH188" s="222">
        <v>659.1</v>
      </c>
      <c r="FI188" s="79">
        <f>IF(ISERROR((FH188/FF188-1)*100),"NA",IF(((FH188/FF188-1)*100)&gt;100,"NM",IF(((FH188/FF188-1)*100)&lt;-50,"NM",(FH188/FF188-1)*100)))</f>
        <v>38.176100628930818</v>
      </c>
      <c r="FJ188" s="35">
        <f>+AQ188+AO188+AM188+AK188</f>
        <v>785.3</v>
      </c>
      <c r="FK188" s="79">
        <f>IF(ISERROR((FJ188/FH188-1)*100),"NA",IF(((FJ188/FH188-1)*100)&gt;100,"NM",IF(((FJ188/FH188-1)*100)&lt;-50,"NM",(FJ188/FH188-1)*100)))</f>
        <v>19.147322105901978</v>
      </c>
      <c r="FL188" s="78">
        <f>AS188+AU188+AW188+AY188</f>
        <v>842.8</v>
      </c>
      <c r="FM188" s="79">
        <f>IF(ISERROR((FL188/FJ188-1)*100),"NA",IF(((FL188/FJ188-1)*100)&gt;100,"NM",IF(((FL188/FJ188-1)*100)&lt;-50,"NM",(FL188/FJ188-1)*100)))</f>
        <v>7.322042531516626</v>
      </c>
      <c r="FN188" s="78">
        <f>BA188+BC188+BE188+BG188</f>
        <v>968.3</v>
      </c>
      <c r="FO188" s="79">
        <f>IF(ISERROR((FN188/FL188-1)*100),"NA",IF(((FN188/FL188-1)*100)&gt;100,"NM",IF(((FN188/FL188-1)*100)&lt;-50,"NM",(FN188/FL188-1)*100)))</f>
        <v>14.890840056953024</v>
      </c>
      <c r="FP188" s="78">
        <f>BI188+BK188+BM188+BO188</f>
        <v>889.3</v>
      </c>
      <c r="FQ188" s="79">
        <f>IF(ISERROR((FP188/FN188-1)*100),"NA",IF(((FP188/FN188-1)*100)&gt;100,"NM",IF(((FP188/FN188-1)*100)&lt;-50,"NM",(FP188/FN188-1)*100)))</f>
        <v>-8.1586285242177041</v>
      </c>
      <c r="FR188" s="93">
        <f>BQ188+BS188+BU188+BW188</f>
        <v>686.09999999999991</v>
      </c>
      <c r="FS188" s="79">
        <f>IF(ISERROR((FR188/FP188-1)*100),"NA",IF(((FR188/FP188-1)*100)&gt;100,"NM",IF(((FR188/FP188-1)*100)&lt;-50,"NM",(FR188/FP188-1)*100)))</f>
        <v>-22.849432137636349</v>
      </c>
      <c r="FT188" s="93">
        <f>BY188+CA188+CC188+CE188</f>
        <v>650.6</v>
      </c>
      <c r="FU188" s="79">
        <f>IF(ISERROR((FT188/FR188-1)*100),"NA",IF(((FT188/FR188-1)*100)&gt;100,"NM",IF(((FT188/FR188-1)*100)&lt;-50,"NM",(FT188/FR188-1)*100)))</f>
        <v>-5.1741728610989473</v>
      </c>
      <c r="FV188" s="93">
        <f>CG188+CI188+CK188+CM188</f>
        <v>687.59999999999991</v>
      </c>
      <c r="FW188" s="79">
        <f>IF(ISERROR((FV188/FT188-1)*100),"NA",IF(((FV188/FT188-1)*100)&gt;100,"NM",IF(((FV188/FT188-1)*100)&lt;-50,"NM",(FV188/FT188-1)*100)))</f>
        <v>5.6870581002151699</v>
      </c>
      <c r="FX188" s="93">
        <f>CO188+CQ188+CS188+CU188</f>
        <v>694.59999999999991</v>
      </c>
      <c r="FY188" s="79">
        <f>IF(ISERROR((FX188/FV188-1)*100),"NA",IF(((FX188/FV188-1)*100)&gt;100,"NM",IF(((FX188/FV188-1)*100)&lt;-50,"NM",(FX188/FV188-1)*100)))</f>
        <v>1.0180337405468309</v>
      </c>
      <c r="FZ188" s="93">
        <f>CW188+CY188+DA188+DC188</f>
        <v>556.6</v>
      </c>
      <c r="GA188" s="79">
        <f>IF(ISERROR((FZ188/FX188-1)*100),"NA",IF(((FZ188/FX188-1)*100)&gt;100,"NM",IF(((FZ188/FX188-1)*100)&lt;-50,"NM",(FZ188/FX188-1)*100)))</f>
        <v>-19.867549668874162</v>
      </c>
      <c r="GB188" s="93">
        <f>DE188+DG188+DI188+DK188</f>
        <v>607.19999999999993</v>
      </c>
      <c r="GC188" s="79">
        <f>IF(ISERROR((GB188/FZ188-1)*100),"NA",IF(((GB188/FZ188-1)*100)&gt;100,"NM",IF(((GB188/FZ188-1)*100)&lt;-50,"NM",(GB188/FZ188-1)*100)))</f>
        <v>9.0909090909090828</v>
      </c>
      <c r="GD188" s="93">
        <f>DM188+DO188+DQ188+DS188</f>
        <v>576.19999999999993</v>
      </c>
      <c r="GE188" s="79">
        <f>IF(ISERROR((GD188/GB188-1)*100),"NA",IF(((GD188/GB188-1)*100)&gt;100,"NM",IF(((GD188/GB188-1)*100)&lt;-50,"NM",(GD188/GB188-1)*100)))</f>
        <v>-5.1054018445322757</v>
      </c>
      <c r="GF188" s="93">
        <f>DU188+DW188+DY188+EA188</f>
        <v>529.30000000000007</v>
      </c>
      <c r="GG188" s="79">
        <f>IF(ISERROR((GF188/GD188-1)*100),"NA",IF(((GF188/GD188-1)*100)&gt;100,"NM",IF(((GF188/GD188-1)*100)&lt;-50,"NM",(GF188/GD188-1)*100)))</f>
        <v>-8.1395348837209109</v>
      </c>
      <c r="GH188" s="93">
        <f>EC188+EE188+EG188+EI188</f>
        <v>513</v>
      </c>
      <c r="GI188" s="79">
        <f>IF(ISERROR((GH188/GF188-1)*100),"NA",IF(((GH188/GF188-1)*100)&gt;100,"NM",IF(((GH188/GF188-1)*100)&lt;-50,"NM",(GH188/GF188-1)*100)))</f>
        <v>-3.0795390137918099</v>
      </c>
      <c r="GJ188" s="93">
        <f>EK188+EM188+EO188+EQ188</f>
        <v>562.61043399779874</v>
      </c>
      <c r="GK188" s="79">
        <f>IF(ISERROR((GJ188/GH188-1)*100),"NA",IF(((GJ188/GH188-1)*100)&gt;100,"NM",IF(((GJ188/GH188-1)*100)&lt;-50,"NM",(GJ188/GH188-1)*100)))</f>
        <v>9.6706499021050227</v>
      </c>
      <c r="GL188" s="95">
        <f>GJ188*1.04/GJ$185*GL$185</f>
        <v>585.11485135771068</v>
      </c>
      <c r="GM188" s="79">
        <f>IF(ISERROR((GL188/GJ188-1)*100),"NA",IF(((GL188/GJ188-1)*100)&gt;100,"NM",IF(((GL188/GJ188-1)*100)&lt;-50,"NM",(GL188/GJ188-1)*100)))</f>
        <v>4.0000000000000036</v>
      </c>
      <c r="GN188" s="95">
        <f>GL188*1.04/GL$185*GN$185</f>
        <v>608.51944541201908</v>
      </c>
      <c r="GO188" s="79">
        <f>IF(ISERROR((GN188/GL188-1)*100),"NA",IF(((GN188/GL188-1)*100)&gt;100,"NM",IF(((GN188/GL188-1)*100)&lt;-50,"NM",(GN188/GL188-1)*100)))</f>
        <v>4.0000000000000036</v>
      </c>
      <c r="GP188" s="95">
        <f>GN188*1.04/GN$185*GP$185</f>
        <v>632.86022322849988</v>
      </c>
      <c r="GQ188" s="79">
        <f>IF(ISERROR((GP188/GN188-1)*100),"NA",IF(((GP188/GN188-1)*100)&gt;100,"NM",IF(((GP188/GN188-1)*100)&lt;-50,"NM",(GP188/GN188-1)*100)))</f>
        <v>4.0000000000000036</v>
      </c>
      <c r="GR188" s="95">
        <f>GP188*1.04/GP$185*GR$185</f>
        <v>658.17463215763985</v>
      </c>
      <c r="GS188" s="79">
        <f>IF(ISERROR((GR188/GP188-1)*100),"NA",IF(((GR188/GP188-1)*100)&gt;100,"NM",IF(((GR188/GP188-1)*100)&lt;-50,"NM",(GR188/GP188-1)*100)))</f>
        <v>4.0000000000000036</v>
      </c>
      <c r="GT188" s="79">
        <f>IF(ISERROR(((GR188/GH188)^0.2-1)*100),"NA",(IF(OR(((GR188/GH188)^0.2-1)*100&gt;99,((GR188/GH188)^0.2-1)*100&lt;-50),"NM",(((GR188/GH188)^0.2-1)*100))))</f>
        <v>5.1101739597718021</v>
      </c>
      <c r="GU188" s="562"/>
      <c r="GV188" s="562"/>
      <c r="GW188"/>
      <c r="GX188"/>
      <c r="GY188"/>
      <c r="GZ188"/>
      <c r="HA188"/>
      <c r="HB188"/>
      <c r="HC188" s="562"/>
      <c r="HD188" s="562"/>
      <c r="HE188" s="562"/>
      <c r="HF188" s="562"/>
      <c r="HG188" s="562"/>
      <c r="HH188" s="562"/>
      <c r="HI188" s="562"/>
      <c r="HJ188" s="562"/>
      <c r="HK188" s="562"/>
      <c r="HL188" s="562"/>
      <c r="HM188" s="562"/>
      <c r="HN188" s="562"/>
      <c r="HO188" s="562"/>
      <c r="HP188" s="562"/>
      <c r="HQ188" s="562"/>
      <c r="HR188" s="562"/>
      <c r="HS188" s="562"/>
      <c r="HT188" s="562"/>
      <c r="HU188" s="562"/>
      <c r="HV188" s="562"/>
      <c r="HW188" s="562"/>
      <c r="HX188" s="562"/>
      <c r="HY188" s="562"/>
      <c r="HZ188" s="562"/>
      <c r="IA188" s="562"/>
      <c r="IB188" s="562"/>
      <c r="IC188" s="562"/>
      <c r="ID188" s="562"/>
      <c r="IE188" s="562"/>
      <c r="IF188" s="562"/>
      <c r="IG188" s="562"/>
      <c r="IH188" s="562"/>
      <c r="II188" s="562"/>
      <c r="IJ188" s="562"/>
      <c r="IK188" s="562"/>
      <c r="IL188" s="562"/>
      <c r="IM188" s="562"/>
      <c r="IN188" s="562"/>
      <c r="IO188" s="562"/>
      <c r="IP188" s="562"/>
      <c r="IQ188" s="562"/>
      <c r="IR188" s="562"/>
      <c r="IS188" s="562"/>
      <c r="IT188" s="562"/>
      <c r="IU188" s="562"/>
      <c r="IV188" s="562"/>
      <c r="IW188" s="562"/>
      <c r="IX188" s="562"/>
      <c r="IY188" s="562"/>
      <c r="IZ188" s="562"/>
      <c r="JA188" s="562"/>
      <c r="JB188" s="562"/>
      <c r="JC188" s="562"/>
      <c r="JD188" s="562"/>
      <c r="JE188" s="562"/>
      <c r="JF188" s="562"/>
      <c r="JG188" s="562"/>
      <c r="JH188" s="562"/>
      <c r="JI188" s="562"/>
      <c r="JJ188" s="562"/>
      <c r="JK188" s="562"/>
      <c r="JL188" s="562"/>
      <c r="JM188" s="562"/>
      <c r="JN188" s="562"/>
      <c r="JO188" s="562"/>
      <c r="JP188" s="562"/>
      <c r="JQ188" s="562"/>
      <c r="JR188" s="562"/>
      <c r="JS188" s="562"/>
      <c r="JT188" s="562"/>
      <c r="JU188" s="562"/>
      <c r="JV188" s="562"/>
      <c r="JW188" s="562"/>
      <c r="JX188" s="562"/>
      <c r="JY188" s="562"/>
      <c r="JZ188" s="562"/>
    </row>
    <row r="189" spans="1:286" s="239" customFormat="1" ht="12.75" customHeight="1" x14ac:dyDescent="0.2">
      <c r="A189" s="1"/>
      <c r="B189" s="10" t="s">
        <v>406</v>
      </c>
      <c r="C189" s="79"/>
      <c r="D189" s="79"/>
      <c r="E189" s="95"/>
      <c r="F189" s="95"/>
      <c r="G189" s="95"/>
      <c r="H189" s="95"/>
      <c r="I189" s="95"/>
      <c r="J189" s="95"/>
      <c r="K189" s="95"/>
      <c r="L189" s="79"/>
      <c r="M189" s="95"/>
      <c r="N189" s="79"/>
      <c r="O189" s="95"/>
      <c r="P189" s="79"/>
      <c r="Q189" s="95"/>
      <c r="R189" s="79"/>
      <c r="S189" s="95"/>
      <c r="T189" s="79"/>
      <c r="U189" s="75">
        <f>FF189-W189-Y189-AA189</f>
        <v>25.6</v>
      </c>
      <c r="V189" s="79" t="str">
        <f>IF(ISERROR((U189/M189-1)*100),"NA",IF(((U189/M189-1)*100)&gt;100,"NM",IF(((U189/M189-1)*100)&lt;-50,"NM",(U189/M189-1)*100)))</f>
        <v>NA</v>
      </c>
      <c r="W189" s="95">
        <v>25.7</v>
      </c>
      <c r="X189" s="79" t="str">
        <f>IF(ISERROR((W189/O189-1)*100),"NA",IF(((W189/O189-1)*100)&gt;100,"NM",IF(((W189/O189-1)*100)&lt;-50,"NM",(W189/O189-1)*100)))</f>
        <v>NA</v>
      </c>
      <c r="Y189" s="95">
        <v>26.3</v>
      </c>
      <c r="Z189" s="79" t="str">
        <f>IF(ISERROR((Y189/Q189-1)*100),"NA",IF(((Y189/Q189-1)*100)&gt;100,"NM",IF(((Y189/Q189-1)*100)&lt;-50,"NM",(Y189/Q189-1)*100)))</f>
        <v>NA</v>
      </c>
      <c r="AA189" s="126">
        <v>28.9</v>
      </c>
      <c r="AB189" s="79" t="str">
        <f>IF(ISERROR((AA189/S189-1)*100),"NA",IF(((AA189/S189-1)*100)&gt;100,"NM",IF(((AA189/S189-1)*100)&lt;-50,"NM",(AA189/S189-1)*100)))</f>
        <v>NA</v>
      </c>
      <c r="AC189" s="95">
        <f>66.9-AE189</f>
        <v>32.400000000000006</v>
      </c>
      <c r="AD189" s="79">
        <f>IF(ISERROR((AC189/U189-1)*100),"NA",IF(((AC189/U189-1)*100)&gt;100,"NM",IF(((AC189/U189-1)*100)&lt;-50,"NM",(AC189/U189-1)*100)))</f>
        <v>26.562500000000021</v>
      </c>
      <c r="AE189" s="95">
        <v>34.5</v>
      </c>
      <c r="AF189" s="79">
        <f>IF(ISERROR((AE189/W189-1)*100),"NA",IF(((AE189/W189-1)*100)&gt;100,"NM",IF(((AE189/W189-1)*100)&lt;-50,"NM",(AE189/W189-1)*100)))</f>
        <v>34.241245136186784</v>
      </c>
      <c r="AG189" s="95">
        <v>35.299999999999997</v>
      </c>
      <c r="AH189" s="79">
        <f>IF(ISERROR((AG189/Y189-1)*100),"NA",IF(((AG189/Y189-1)*100)&gt;100,"NM",IF(((AG189/Y189-1)*100)&lt;-50,"NM",(AG189/Y189-1)*100)))</f>
        <v>34.220532319391616</v>
      </c>
      <c r="AI189" s="75">
        <f>FH189-AG189-AE189-AC189</f>
        <v>37.399999999999991</v>
      </c>
      <c r="AJ189" s="79">
        <f>IF(ISERROR((AI189/AA189-1)*100),"NA",IF(((AI189/AA189-1)*100)&gt;100,"NM",IF(((AI189/AA189-1)*100)&lt;-50,"NM",(AI189/AA189-1)*100)))</f>
        <v>29.411764705882337</v>
      </c>
      <c r="AK189" s="95">
        <f>77.3-AM189</f>
        <v>37.699999999999996</v>
      </c>
      <c r="AL189" s="79">
        <f>IF(ISERROR((AK189/AC189-1)*100),"NA",IF(((AK189/AC189-1)*100)&gt;100,"NM",IF(((AK189/AC189-1)*100)&lt;-50,"NM",(AK189/AC189-1)*100)))</f>
        <v>16.358024691357986</v>
      </c>
      <c r="AM189" s="95">
        <v>39.6</v>
      </c>
      <c r="AN189" s="79">
        <f>IF(ISERROR((AM189/AE189-1)*100),"NA",IF(((AM189/AE189-1)*100)&gt;100,"NM",IF(((AM189/AE189-1)*100)&lt;-50,"NM",(AM189/AE189-1)*100)))</f>
        <v>14.782608695652177</v>
      </c>
      <c r="AO189" s="95">
        <v>39.200000000000003</v>
      </c>
      <c r="AP189" s="79">
        <f>IF(ISERROR((AO189/AG189-1)*100),"NA",IF(((AO189/AG189-1)*100)&gt;100,"NM",IF(((AO189/AG189-1)*100)&lt;-50,"NM",(AO189/AG189-1)*100)))</f>
        <v>11.048158640226635</v>
      </c>
      <c r="AQ189" s="95">
        <v>37.700000000000003</v>
      </c>
      <c r="AR189" s="79">
        <f>IF(ISERROR((AQ189/AI189-1)*100),"NA",IF(((AQ189/AI189-1)*100)&gt;100,"NM",IF(((AQ189/AI189-1)*100)&lt;-50,"NM",(AQ189/AI189-1)*100)))</f>
        <v>0.80213903743318049</v>
      </c>
      <c r="AS189" s="95">
        <v>38</v>
      </c>
      <c r="AT189" s="81">
        <f>IF(ISERROR((AS189/AK189-1)*100),"NA",IF(((AS189/AK189-1)*100)&gt;100,"NM",IF(((AS189/AK189-1)*100)&lt;-50,"NM",(AS189/AK189-1)*100)))</f>
        <v>0.79575596816976457</v>
      </c>
      <c r="AU189" s="95">
        <v>39.9</v>
      </c>
      <c r="AV189" s="81">
        <f>IF(ISERROR((AU189/AM189-1)*100),"NA",IF(((AU189/AM189-1)*100)&gt;100,"NM",IF(((AU189/AM189-1)*100)&lt;-50,"NM",(AU189/AM189-1)*100)))</f>
        <v>0.7575757575757569</v>
      </c>
      <c r="AW189" s="95">
        <v>45.8</v>
      </c>
      <c r="AX189" s="81">
        <f>IF(ISERROR((AW189/AO189-1)*100),"NA",IF(((AW189/AO189-1)*100)&gt;100,"NM",IF(((AW189/AO189-1)*100)&lt;-50,"NM",(AW189/AO189-1)*100)))</f>
        <v>16.836734693877542</v>
      </c>
      <c r="AY189" s="95">
        <v>50.9</v>
      </c>
      <c r="AZ189" s="81">
        <f>IF(ISERROR((AY189/AQ189-1)*100),"NA",IF(((AY189/AQ189-1)*100)&gt;100,"NM",IF(((AY189/AQ189-1)*100)&lt;-50,"NM",(AY189/AQ189-1)*100)))</f>
        <v>35.013262599469485</v>
      </c>
      <c r="BA189" s="95">
        <f>45.8-2.7</f>
        <v>43.099999999999994</v>
      </c>
      <c r="BB189" s="81">
        <f>IF(ISERROR((BA189/AS189-1)*100),"NA",IF(((BA189/AS189-1)*100)&gt;100,"NM",IF(((BA189/AS189-1)*100)&lt;-50,"NM",(BA189/AS189-1)*100)))</f>
        <v>13.421052631578934</v>
      </c>
      <c r="BC189" s="95">
        <f>49.9-3.6</f>
        <v>46.3</v>
      </c>
      <c r="BD189" s="81">
        <f>IF(ISERROR((BC189/AU189-1)*100),"NA",IF(((BC189/AU189-1)*100)&gt;100,"NM",IF(((BC189/AU189-1)*100)&lt;-50,"NM",(BC189/AU189-1)*100)))</f>
        <v>16.040100250626566</v>
      </c>
      <c r="BE189" s="95">
        <f>47.4-3.4</f>
        <v>44</v>
      </c>
      <c r="BF189" s="81">
        <f>IF(ISERROR((BE189/AW189-1)*100),"NA",IF(((BE189/AW189-1)*100)&gt;100,"NM",IF(((BE189/AW189-1)*100)&lt;-50,"NM",(BE189/AW189-1)*100)))</f>
        <v>-3.9301310043668103</v>
      </c>
      <c r="BG189" s="95">
        <f>57.3-3.3</f>
        <v>54</v>
      </c>
      <c r="BH189" s="81">
        <f>IF(ISERROR((BG189/AY189-1)*100),"NA",IF(((BG189/AY189-1)*100)&gt;100,"NM",IF(((BG189/AY189-1)*100)&lt;-50,"NM",(BG189/AY189-1)*100)))</f>
        <v>6.0903732809430178</v>
      </c>
      <c r="BI189" s="95">
        <f>45.3-2.8</f>
        <v>42.5</v>
      </c>
      <c r="BJ189" s="81">
        <f>IF(ISERROR((BI189/BA189-1)*100),"NA",IF(((BI189/BA189-1)*100)&gt;100,"NM",IF(((BI189/BA189-1)*100)&lt;-50,"NM",(BI189/BA189-1)*100)))</f>
        <v>-1.3921113689094988</v>
      </c>
      <c r="BK189" s="95">
        <v>54.9</v>
      </c>
      <c r="BL189" s="81">
        <f>IF(ISERROR((BK189/BC189-1)*100),"NA",IF(((BK189/BC189-1)*100)&gt;100,"NM",IF(((BK189/BC189-1)*100)&lt;-50,"NM",(BK189/BC189-1)*100)))</f>
        <v>18.574514038876888</v>
      </c>
      <c r="BM189" s="95">
        <f>49.4-3.6</f>
        <v>45.8</v>
      </c>
      <c r="BN189" s="81">
        <f>IF(ISERROR((BM189/BE189-1)*100),"NA",IF(((BM189/BE189-1)*100)&gt;100,"NM",IF(((BM189/BE189-1)*100)&lt;-50,"NM",(BM189/BE189-1)*100)))</f>
        <v>4.0909090909090784</v>
      </c>
      <c r="BO189" s="95">
        <v>42.1</v>
      </c>
      <c r="BP189" s="81">
        <f>IF(ISERROR((BO189/BG189-1)*100),"NA",IF(((BO189/BG189-1)*100)&gt;100,"NM",IF(((BO189/BG189-1)*100)&lt;-50,"NM",(BO189/BG189-1)*100)))</f>
        <v>-22.037037037037031</v>
      </c>
      <c r="BQ189" s="95">
        <v>26.9</v>
      </c>
      <c r="BR189" s="81">
        <f>IF(ISERROR((BQ189/BI189-1)*100),"NA",IF(((BQ189/BI189-1)*100)&gt;100,"NM",IF(((BQ189/BI189-1)*100)&lt;-50,"NM",(BQ189/BI189-1)*100)))</f>
        <v>-36.705882352941174</v>
      </c>
      <c r="BS189" s="95">
        <v>34.299999999999997</v>
      </c>
      <c r="BT189" s="81">
        <f>IF(ISERROR((BS189/BK189-1)*100),"NA",IF(((BS189/BK189-1)*100)&gt;100,"NM",IF(((BS189/BK189-1)*100)&lt;-50,"NM",(BS189/BK189-1)*100)))</f>
        <v>-37.522768670309659</v>
      </c>
      <c r="BU189" s="95">
        <v>22.5</v>
      </c>
      <c r="BV189" s="81" t="str">
        <f>IF(ISERROR((BU189/BM189-1)*100),"NA",IF(((BU189/BM189-1)*100)&gt;100,"NM",IF(((BU189/BM189-1)*100)&lt;-50,"NM",(BU189/BM189-1)*100)))</f>
        <v>NM</v>
      </c>
      <c r="BW189" s="95">
        <v>40.799999999999997</v>
      </c>
      <c r="BX189" s="81">
        <f>IF(ISERROR((BW189/BO189-1)*100),"NA",IF(((BW189/BO189-1)*100)&gt;100,"NM",IF(((BW189/BO189-1)*100)&lt;-50,"NM",(BW189/BO189-1)*100)))</f>
        <v>-3.0878859857482288</v>
      </c>
      <c r="BY189" s="95">
        <v>39.799999999999997</v>
      </c>
      <c r="BZ189" s="81">
        <f>IF(ISERROR((BY189/BQ189-1)*100),"NA",IF(((BY189/BQ189-1)*100)&gt;100,"NM",IF(((BY189/BQ189-1)*100)&lt;-50,"NM",(BY189/BQ189-1)*100)))</f>
        <v>47.955390334572478</v>
      </c>
      <c r="CA189" s="95">
        <v>43.1</v>
      </c>
      <c r="CB189" s="81">
        <f>IF(ISERROR((CA189/BS189-1)*100),"NA",IF(((CA189/BS189-1)*100)&gt;100,"NM",IF(((CA189/BS189-1)*100)&lt;-50,"NM",(CA189/BS189-1)*100)))</f>
        <v>25.65597667638486</v>
      </c>
      <c r="CC189" s="95">
        <v>39</v>
      </c>
      <c r="CD189" s="81">
        <f>IF(ISERROR((CC189/BU189-1)*100),"NA",IF(((CC189/BU189-1)*100)&gt;100,"NM",IF(((CC189/BU189-1)*100)&lt;-50,"NM",(CC189/BU189-1)*100)))</f>
        <v>73.333333333333343</v>
      </c>
      <c r="CE189" s="95">
        <v>48.6</v>
      </c>
      <c r="CF189" s="81">
        <f>IF(ISERROR((CE189/BW189-1)*100),"NA",IF(((CE189/BW189-1)*100)&gt;100,"NM",IF(((CE189/BW189-1)*100)&lt;-50,"NM",(CE189/BW189-1)*100)))</f>
        <v>19.11764705882355</v>
      </c>
      <c r="CG189" s="95">
        <v>44.9</v>
      </c>
      <c r="CH189" s="81">
        <f>IF(ISERROR((CG189/BY189-1)*100),"NA",IF(((CG189/BY189-1)*100)&gt;100,"NM",IF(((CG189/BY189-1)*100)&lt;-50,"NM",(CG189/BY189-1)*100)))</f>
        <v>12.814070351758788</v>
      </c>
      <c r="CI189" s="95">
        <v>51.1</v>
      </c>
      <c r="CJ189" s="81">
        <f>IF(ISERROR((CI189/CA189-1)*100),"NA",IF(((CI189/CA189-1)*100)&gt;100,"NM",IF(((CI189/CA189-1)*100)&lt;-50,"NM",(CI189/CA189-1)*100)))</f>
        <v>18.561484918793504</v>
      </c>
      <c r="CK189" s="95">
        <v>43.3</v>
      </c>
      <c r="CL189" s="81">
        <f>IF(ISERROR((CK189/CC189-1)*100),"NA",IF(((CK189/CC189-1)*100)&gt;100,"NM",IF(((CK189/CC189-1)*100)&lt;-50,"NM",(CK189/CC189-1)*100)))</f>
        <v>11.025641025641008</v>
      </c>
      <c r="CM189" s="95">
        <v>50.6</v>
      </c>
      <c r="CN189" s="81">
        <f>IF(ISERROR((CM189/CE189-1)*100),"NA",IF(((CM189/CE189-1)*100)&gt;100,"NM",IF(((CM189/CE189-1)*100)&lt;-50,"NM",(CM189/CE189-1)*100)))</f>
        <v>4.1152263374485631</v>
      </c>
      <c r="CO189" s="95">
        <v>36.5</v>
      </c>
      <c r="CP189" s="81">
        <f>IF(ISERROR((CO189/CG189-1)*100),"NA",IF(((CO189/CG189-1)*100)&gt;100,"NM",IF(((CO189/CG189-1)*100)&lt;-50,"NM",(CO189/CG189-1)*100)))</f>
        <v>-18.70824053452116</v>
      </c>
      <c r="CQ189" s="95">
        <v>49.2</v>
      </c>
      <c r="CR189" s="81">
        <f>IF(ISERROR((CQ189/CI189-1)*100),"NA",IF(((CQ189/CI189-1)*100)&gt;100,"NM",IF(((CQ189/CI189-1)*100)&lt;-50,"NM",(CQ189/CI189-1)*100)))</f>
        <v>-3.7181996086105618</v>
      </c>
      <c r="CS189" s="95">
        <v>34.799999999999997</v>
      </c>
      <c r="CT189" s="81">
        <f>IF(ISERROR((CS189/CK189-1)*100),"NA",IF(((CS189/CK189-1)*100)&gt;100,"NM",IF(((CS189/CK189-1)*100)&lt;-50,"NM",(CS189/CK189-1)*100)))</f>
        <v>-19.630484988452658</v>
      </c>
      <c r="CU189" s="95">
        <v>50.3</v>
      </c>
      <c r="CV189" s="81">
        <f>IF(ISERROR((CU189/CM189-1)*100),"NA",IF(((CU189/CM189-1)*100)&gt;100,"NM",IF(((CU189/CM189-1)*100)&lt;-50,"NM",(CU189/CM189-1)*100)))</f>
        <v>-0.59288537549407883</v>
      </c>
      <c r="CW189" s="95">
        <v>30.8</v>
      </c>
      <c r="CX189" s="81">
        <f>IF(ISERROR((CW189/CO189-1)*100),"NA",IF(((CW189/CO189-1)*100)&gt;100,"NM",IF(((CW189/CO189-1)*100)&lt;-50,"NM",(CW189/CO189-1)*100)))</f>
        <v>-15.616438356164386</v>
      </c>
      <c r="CY189" s="95">
        <v>45.4</v>
      </c>
      <c r="CZ189" s="81">
        <f>IF(ISERROR((CY189/CQ189-1)*100),"NA",IF(((CY189/CQ189-1)*100)&gt;100,"NM",IF(((CY189/CQ189-1)*100)&lt;-50,"NM",(CY189/CQ189-1)*100)))</f>
        <v>-7.7235772357723604</v>
      </c>
      <c r="DA189" s="95">
        <v>30.3</v>
      </c>
      <c r="DB189" s="81">
        <f>IF(ISERROR((DA189/CS189-1)*100),"NA",IF(((DA189/CS189-1)*100)&gt;100,"NM",IF(((DA189/CS189-1)*100)&lt;-50,"NM",(DA189/CS189-1)*100)))</f>
        <v>-12.931034482758609</v>
      </c>
      <c r="DC189" s="95">
        <v>42</v>
      </c>
      <c r="DD189" s="81">
        <f>IF(ISERROR((DC189/CU189-1)*100),"NA",IF(((DC189/CU189-1)*100)&gt;100,"NM",IF(((DC189/CU189-1)*100)&lt;-50,"NM",(DC189/CU189-1)*100)))</f>
        <v>-16.50099403578529</v>
      </c>
      <c r="DE189" s="95">
        <v>33.6</v>
      </c>
      <c r="DF189" s="81">
        <f>IF(ISERROR((DE189/CW189-1)*100),"NA",IF(((DE189/CW189-1)*100)&gt;100,"NM",IF(((DE189/CW189-1)*100)&lt;-50,"NM",(DE189/CW189-1)*100)))</f>
        <v>9.0909090909090828</v>
      </c>
      <c r="DG189" s="95">
        <v>44.3</v>
      </c>
      <c r="DH189" s="81">
        <f>IF(ISERROR((DG189/CY189-1)*100),"NA",IF(((DG189/CY189-1)*100)&gt;100,"NM",IF(((DG189/CY189-1)*100)&lt;-50,"NM",(DG189/CY189-1)*100)))</f>
        <v>-2.4229074889867919</v>
      </c>
      <c r="DI189" s="95">
        <v>34.4</v>
      </c>
      <c r="DJ189" s="81">
        <f>IF(ISERROR((DI189/DA189-1)*100),"NA",IF(((DI189/DA189-1)*100)&gt;100,"NM",IF(((DI189/DA189-1)*100)&lt;-50,"NM",(DI189/DA189-1)*100)))</f>
        <v>13.531353135313529</v>
      </c>
      <c r="DK189" s="95">
        <v>38.700000000000003</v>
      </c>
      <c r="DL189" s="81">
        <f>IF(ISERROR((DK189/DC189-1)*100),"NA",IF(((DK189/DC189-1)*100)&gt;100,"NM",IF(((DK189/DC189-1)*100)&lt;-50,"NM",(DK189/DC189-1)*100)))</f>
        <v>-7.8571428571428514</v>
      </c>
      <c r="DM189" s="95">
        <v>23.5</v>
      </c>
      <c r="DN189" s="81">
        <f>IF(ISERROR((DM189/DE189-1)*100),"NA",IF(((DM189/DE189-1)*100)&gt;100,"NM",IF(((DM189/DE189-1)*100)&lt;-50,"NM",(DM189/DE189-1)*100)))</f>
        <v>-30.059523809523814</v>
      </c>
      <c r="DO189" s="95">
        <v>38.6</v>
      </c>
      <c r="DP189" s="81">
        <f>IF(ISERROR((DO189/DG189-1)*100),"NA",IF(((DO189/DG189-1)*100)&gt;100,"NM",IF(((DO189/DG189-1)*100)&lt;-50,"NM",(DO189/DG189-1)*100)))</f>
        <v>-12.866817155756195</v>
      </c>
      <c r="DQ189" s="95">
        <v>28</v>
      </c>
      <c r="DR189" s="81">
        <f>IF(ISERROR((DQ189/DI189-1)*100),"NA",IF(((DQ189/DI189-1)*100)&gt;100,"NM",IF(((DQ189/DI189-1)*100)&lt;-50,"NM",(DQ189/DI189-1)*100)))</f>
        <v>-18.604651162790699</v>
      </c>
      <c r="DS189" s="95">
        <v>34.799999999999997</v>
      </c>
      <c r="DT189" s="81">
        <f>IF(ISERROR((DS189/DK189-1)*100),"NA",IF(((DS189/DK189-1)*100)&gt;100,"NM",IF(((DS189/DK189-1)*100)&lt;-50,"NM",(DS189/DK189-1)*100)))</f>
        <v>-10.077519379844979</v>
      </c>
      <c r="DU189" s="95">
        <v>26.8</v>
      </c>
      <c r="DV189" s="81">
        <f>IF(ISERROR((DU189/DM189-1)*100),"NA",IF(((DU189/DM189-1)*100)&gt;100,"NM",IF(((DU189/DM189-1)*100)&lt;-50,"NM",(DU189/DM189-1)*100)))</f>
        <v>14.042553191489372</v>
      </c>
      <c r="DW189" s="95">
        <v>34</v>
      </c>
      <c r="DX189" s="81">
        <f>IF(ISERROR((DW189/DO189-1)*100),"NA",IF(((DW189/DO189-1)*100)&gt;100,"NM",IF(((DW189/DO189-1)*100)&lt;-50,"NM",(DW189/DO189-1)*100)))</f>
        <v>-11.917098445595853</v>
      </c>
      <c r="DY189" s="95">
        <v>28.5</v>
      </c>
      <c r="DZ189" s="81">
        <f>IF(ISERROR((DY189/DQ189-1)*100),"NA",IF(((DY189/DQ189-1)*100)&gt;100,"NM",IF(((DY189/DQ189-1)*100)&lt;-50,"NM",(DY189/DQ189-1)*100)))</f>
        <v>1.7857142857142794</v>
      </c>
      <c r="EA189" s="95">
        <v>28.8</v>
      </c>
      <c r="EB189" s="81">
        <f>IF(ISERROR((EA189/DS189-1)*100),"NA",IF(((EA189/DS189-1)*100)&gt;100,"NM",IF(((EA189/DS189-1)*100)&lt;-50,"NM",(EA189/DS189-1)*100)))</f>
        <v>-17.241379310344819</v>
      </c>
      <c r="EC189" s="95">
        <v>26.6</v>
      </c>
      <c r="ED189" s="81">
        <f t="shared" si="622"/>
        <v>-0.74626865671642006</v>
      </c>
      <c r="EE189" s="95">
        <v>33.200000000000003</v>
      </c>
      <c r="EF189" s="81">
        <f t="shared" si="623"/>
        <v>-2.3529411764705799</v>
      </c>
      <c r="EG189" s="95">
        <v>28.5</v>
      </c>
      <c r="EH189" s="81">
        <f t="shared" si="624"/>
        <v>0</v>
      </c>
      <c r="EI189" s="95">
        <v>31.9</v>
      </c>
      <c r="EJ189" s="81">
        <f t="shared" si="625"/>
        <v>10.763888888888884</v>
      </c>
      <c r="EK189" s="95">
        <f t="shared" ref="EK189" si="630">EI189*0.995/EI$185*EK$185</f>
        <v>33.228039584921945</v>
      </c>
      <c r="EL189" s="81">
        <f t="shared" si="626"/>
        <v>24.917442048578732</v>
      </c>
      <c r="EM189" s="95">
        <f>EK189*1/EK$185*EM$185</f>
        <v>33.228039584921945</v>
      </c>
      <c r="EN189" s="81">
        <f t="shared" si="627"/>
        <v>8.4456581090175398E-2</v>
      </c>
      <c r="EO189" s="95">
        <f>EM189*1/EM$185*EO$185</f>
        <v>33.228039584921945</v>
      </c>
      <c r="EP189" s="81">
        <f t="shared" si="628"/>
        <v>16.589612578673485</v>
      </c>
      <c r="EQ189" s="95">
        <f>EO189*1/EO$185*EQ$185</f>
        <v>33.228039584921945</v>
      </c>
      <c r="ER189" s="81">
        <f t="shared" si="629"/>
        <v>4.1631334950531285</v>
      </c>
      <c r="ES189" s="129"/>
      <c r="ET189" s="469"/>
      <c r="EU189" s="129"/>
      <c r="EV189" s="95"/>
      <c r="EW189" s="79"/>
      <c r="EX189" s="95"/>
      <c r="EY189" s="79"/>
      <c r="EZ189" s="145"/>
      <c r="FA189" s="79"/>
      <c r="FB189" s="35"/>
      <c r="FC189" s="79"/>
      <c r="FD189" s="222">
        <v>80.599999999999994</v>
      </c>
      <c r="FE189" s="79" t="str">
        <f>IF(ISERROR((FD189/FB189-1)*100),"NA",IF(((FD189/FB189-1)*100)&gt;100,"NM",IF(((FD189/FB189-1)*100)&lt;-50,"NM",(FD189/FB189-1)*100)))</f>
        <v>NA</v>
      </c>
      <c r="FF189" s="222">
        <v>106.5</v>
      </c>
      <c r="FG189" s="79">
        <f>IF(ISERROR((FF189/FD189-1)*100),"NA",IF(((FF189/FD189-1)*100)&gt;100,"NM",IF(((FF189/FD189-1)*100)&lt;-50,"NM",(FF189/FD189-1)*100)))</f>
        <v>32.133995037220856</v>
      </c>
      <c r="FH189" s="222">
        <v>139.6</v>
      </c>
      <c r="FI189" s="79">
        <f>IF(ISERROR((FH189/FF189-1)*100),"NA",IF(((FH189/FF189-1)*100)&gt;100,"NM",IF(((FH189/FF189-1)*100)&lt;-50,"NM",(FH189/FF189-1)*100)))</f>
        <v>31.079812206572765</v>
      </c>
      <c r="FJ189" s="35">
        <f>+AQ189+AO189+AM189+AK189</f>
        <v>154.19999999999999</v>
      </c>
      <c r="FK189" s="79">
        <f>IF(ISERROR((FJ189/FH189-1)*100),"NA",IF(((FJ189/FH189-1)*100)&gt;100,"NM",IF(((FJ189/FH189-1)*100)&lt;-50,"NM",(FJ189/FH189-1)*100)))</f>
        <v>10.458452722063027</v>
      </c>
      <c r="FL189" s="78">
        <f>AS189+AU189+AW189+AY189</f>
        <v>174.6</v>
      </c>
      <c r="FM189" s="79">
        <f>IF(ISERROR((FL189/FJ189-1)*100),"NA",IF(((FL189/FJ189-1)*100)&gt;100,"NM",IF(((FL189/FJ189-1)*100)&lt;-50,"NM",(FL189/FJ189-1)*100)))</f>
        <v>13.229571984435795</v>
      </c>
      <c r="FN189" s="78">
        <f>BA189+BC189+BE189+BG189</f>
        <v>187.39999999999998</v>
      </c>
      <c r="FO189" s="79">
        <f>IF(ISERROR((FN189/FL189-1)*100),"NA",IF(((FN189/FL189-1)*100)&gt;100,"NM",IF(((FN189/FL189-1)*100)&lt;-50,"NM",(FN189/FL189-1)*100)))</f>
        <v>7.3310423825887705</v>
      </c>
      <c r="FP189" s="78">
        <f>BI189+BK189+BM189+BO189</f>
        <v>185.29999999999998</v>
      </c>
      <c r="FQ189" s="79">
        <f>IF(ISERROR((FP189/FN189-1)*100),"NA",IF(((FP189/FN189-1)*100)&gt;100,"NM",IF(((FP189/FN189-1)*100)&lt;-50,"NM",(FP189/FN189-1)*100)))</f>
        <v>-1.1205976520811123</v>
      </c>
      <c r="FR189" s="93">
        <f>BQ189+BS189+BU189+BW189</f>
        <v>124.49999999999999</v>
      </c>
      <c r="FS189" s="79">
        <f>IF(ISERROR((FR189/FP189-1)*100),"NA",IF(((FR189/FP189-1)*100)&gt;100,"NM",IF(((FR189/FP189-1)*100)&lt;-50,"NM",(FR189/FP189-1)*100)))</f>
        <v>-32.811656772800866</v>
      </c>
      <c r="FT189" s="93">
        <f>BY189+CA189+CC189+CE189</f>
        <v>170.5</v>
      </c>
      <c r="FU189" s="79">
        <f>IF(ISERROR((FT189/FR189-1)*100),"NA",IF(((FT189/FR189-1)*100)&gt;100,"NM",IF(((FT189/FR189-1)*100)&lt;-50,"NM",(FT189/FR189-1)*100)))</f>
        <v>36.947791164658653</v>
      </c>
      <c r="FV189" s="93">
        <f>CG189+CI189+CK189+CM189</f>
        <v>189.9</v>
      </c>
      <c r="FW189" s="79">
        <f>IF(ISERROR((FV189/FT189-1)*100),"NA",IF(((FV189/FT189-1)*100)&gt;100,"NM",IF(((FV189/FT189-1)*100)&lt;-50,"NM",(FV189/FT189-1)*100)))</f>
        <v>11.378299120234603</v>
      </c>
      <c r="FX189" s="93">
        <f>CO189+CQ189+CS189+CU189</f>
        <v>170.8</v>
      </c>
      <c r="FY189" s="79">
        <f>IF(ISERROR((FX189/FV189-1)*100),"NA",IF(((FX189/FV189-1)*100)&gt;100,"NM",IF(((FX189/FV189-1)*100)&lt;-50,"NM",(FX189/FV189-1)*100)))</f>
        <v>-10.057925223802</v>
      </c>
      <c r="FZ189" s="93">
        <f>CW189+CY189+DA189+DC189</f>
        <v>148.5</v>
      </c>
      <c r="GA189" s="79">
        <f>IF(ISERROR((FZ189/FX189-1)*100),"NA",IF(((FZ189/FX189-1)*100)&gt;100,"NM",IF(((FZ189/FX189-1)*100)&lt;-50,"NM",(FZ189/FX189-1)*100)))</f>
        <v>-13.056206088992983</v>
      </c>
      <c r="GB189" s="93">
        <f>DE189+DG189+DI189+DK189</f>
        <v>151</v>
      </c>
      <c r="GC189" s="79">
        <f>IF(ISERROR((GB189/FZ189-1)*100),"NA",IF(((GB189/FZ189-1)*100)&gt;100,"NM",IF(((GB189/FZ189-1)*100)&lt;-50,"NM",(GB189/FZ189-1)*100)))</f>
        <v>1.6835016835016869</v>
      </c>
      <c r="GD189" s="93">
        <f>DM189+DO189+DQ189+DS189</f>
        <v>124.89999999999999</v>
      </c>
      <c r="GE189" s="79">
        <f>IF(ISERROR((GD189/GB189-1)*100),"NA",IF(((GD189/GB189-1)*100)&gt;100,"NM",IF(((GD189/GB189-1)*100)&lt;-50,"NM",(GD189/GB189-1)*100)))</f>
        <v>-17.284768211920532</v>
      </c>
      <c r="GF189" s="93">
        <f>DU189+DW189+DY189+EA189</f>
        <v>118.1</v>
      </c>
      <c r="GG189" s="79">
        <f>IF(ISERROR((GF189/GD189-1)*100),"NA",IF(((GF189/GD189-1)*100)&gt;100,"NM",IF(((GF189/GD189-1)*100)&lt;-50,"NM",(GF189/GD189-1)*100)))</f>
        <v>-5.4443554843875086</v>
      </c>
      <c r="GH189" s="93">
        <f>EC189+EE189+EG189+EI189</f>
        <v>120.20000000000002</v>
      </c>
      <c r="GI189" s="79">
        <f>IF(ISERROR((GH189/GF189-1)*100),"NA",IF(((GH189/GF189-1)*100)&gt;100,"NM",IF(((GH189/GF189-1)*100)&lt;-50,"NM",(GH189/GF189-1)*100)))</f>
        <v>1.778154106689267</v>
      </c>
      <c r="GJ189" s="93">
        <f>EK189+EM189+EO189+EQ189</f>
        <v>132.91215833968778</v>
      </c>
      <c r="GK189" s="79">
        <f>IF(ISERROR((GJ189/GH189-1)*100),"NA",IF(((GJ189/GH189-1)*100)&gt;100,"NM",IF(((GJ189/GH189-1)*100)&lt;-50,"NM",(GJ189/GH189-1)*100)))</f>
        <v>10.575838884931589</v>
      </c>
      <c r="GL189" s="95">
        <f>GJ189*1.04/GJ$185*GL$185</f>
        <v>138.22864467327528</v>
      </c>
      <c r="GM189" s="79">
        <f>IF(ISERROR((GL189/GJ189-1)*100),"NA",IF(((GL189/GJ189-1)*100)&gt;100,"NM",IF(((GL189/GJ189-1)*100)&lt;-50,"NM",(GL189/GJ189-1)*100)))</f>
        <v>4.0000000000000036</v>
      </c>
      <c r="GN189" s="95">
        <f>GL189*1.04/GL$185*GN$185</f>
        <v>143.75779046020631</v>
      </c>
      <c r="GO189" s="79">
        <f>IF(ISERROR((GN189/GL189-1)*100),"NA",IF(((GN189/GL189-1)*100)&gt;100,"NM",IF(((GN189/GL189-1)*100)&lt;-50,"NM",(GN189/GL189-1)*100)))</f>
        <v>4.0000000000000036</v>
      </c>
      <c r="GP189" s="95">
        <f>GN189*1.04/GN$185*GP$185</f>
        <v>149.50810207861457</v>
      </c>
      <c r="GQ189" s="79">
        <f>IF(ISERROR((GP189/GN189-1)*100),"NA",IF(((GP189/GN189-1)*100)&gt;100,"NM",IF(((GP189/GN189-1)*100)&lt;-50,"NM",(GP189/GN189-1)*100)))</f>
        <v>4.0000000000000036</v>
      </c>
      <c r="GR189" s="95">
        <f>GP189*1.04/GP$185*GR$185</f>
        <v>155.48842616175915</v>
      </c>
      <c r="GS189" s="79">
        <f>IF(ISERROR((GR189/GP189-1)*100),"NA",IF(((GR189/GP189-1)*100)&gt;100,"NM",IF(((GR189/GP189-1)*100)&lt;-50,"NM",(GR189/GP189-1)*100)))</f>
        <v>4.0000000000000036</v>
      </c>
      <c r="GT189" s="79">
        <f>IF(ISERROR(((GR189/GH189)^0.2-1)*100),"NA",(IF(OR(((GR189/GH189)^0.2-1)*100&gt;99,((GR189/GH189)^0.2-1)*100&lt;-50),"NM",(((GR189/GH189)^0.2-1)*100))))</f>
        <v>5.2831135751911784</v>
      </c>
      <c r="GU189" s="562"/>
      <c r="GV189" s="562"/>
      <c r="GW189"/>
      <c r="GX189"/>
      <c r="GY189"/>
      <c r="GZ189"/>
      <c r="HA189"/>
      <c r="HB189"/>
      <c r="HC189" s="562"/>
      <c r="HD189" s="562"/>
      <c r="HE189" s="562"/>
      <c r="HF189" s="562"/>
      <c r="HG189" s="562"/>
      <c r="HH189" s="562"/>
      <c r="HI189" s="562"/>
      <c r="HJ189" s="562"/>
      <c r="HK189" s="562"/>
      <c r="HL189" s="562"/>
      <c r="HM189" s="562"/>
      <c r="HN189" s="562"/>
      <c r="HO189" s="562"/>
      <c r="HP189" s="562"/>
      <c r="HQ189" s="562"/>
      <c r="HR189" s="562"/>
      <c r="HS189" s="562"/>
      <c r="HT189" s="562"/>
      <c r="HU189" s="562"/>
      <c r="HV189" s="562"/>
      <c r="HW189" s="562"/>
      <c r="HX189" s="562"/>
      <c r="HY189" s="562"/>
      <c r="HZ189" s="562"/>
      <c r="IA189" s="562"/>
      <c r="IB189" s="562"/>
      <c r="IC189" s="562"/>
      <c r="ID189" s="562"/>
      <c r="IE189" s="562"/>
      <c r="IF189" s="562"/>
      <c r="IG189" s="562"/>
      <c r="IH189" s="562"/>
      <c r="II189" s="562"/>
      <c r="IJ189" s="562"/>
      <c r="IK189" s="562"/>
      <c r="IL189" s="562"/>
      <c r="IM189" s="562"/>
      <c r="IN189" s="562"/>
      <c r="IO189" s="562"/>
      <c r="IP189" s="562"/>
      <c r="IQ189" s="562"/>
      <c r="IR189" s="562"/>
      <c r="IS189" s="562"/>
      <c r="IT189" s="562"/>
      <c r="IU189" s="562"/>
      <c r="IV189" s="562"/>
      <c r="IW189" s="562"/>
      <c r="IX189" s="562"/>
      <c r="IY189" s="562"/>
      <c r="IZ189" s="562"/>
      <c r="JA189" s="562"/>
      <c r="JB189" s="562"/>
      <c r="JC189" s="562"/>
      <c r="JD189" s="562"/>
      <c r="JE189" s="562"/>
      <c r="JF189" s="562"/>
      <c r="JG189" s="562"/>
      <c r="JH189" s="562"/>
      <c r="JI189" s="562"/>
      <c r="JJ189" s="562"/>
      <c r="JK189" s="562"/>
      <c r="JL189" s="562"/>
      <c r="JM189" s="562"/>
      <c r="JN189" s="562"/>
      <c r="JO189" s="562"/>
      <c r="JP189" s="562"/>
      <c r="JQ189" s="562"/>
      <c r="JR189" s="562"/>
      <c r="JS189" s="562"/>
      <c r="JT189" s="562"/>
      <c r="JU189" s="562"/>
      <c r="JV189" s="562"/>
      <c r="JW189" s="562"/>
      <c r="JX189" s="562"/>
      <c r="JY189" s="562"/>
      <c r="JZ189" s="562"/>
    </row>
    <row r="190" spans="1:286" s="239" customFormat="1" ht="12.75" customHeight="1" x14ac:dyDescent="0.2">
      <c r="A190" s="240"/>
      <c r="B190" s="10" t="s">
        <v>407</v>
      </c>
      <c r="C190" s="79"/>
      <c r="D190" s="79"/>
      <c r="E190" s="95"/>
      <c r="F190" s="95"/>
      <c r="G190" s="95"/>
      <c r="H190" s="95"/>
      <c r="I190" s="95"/>
      <c r="J190" s="95"/>
      <c r="K190" s="95"/>
      <c r="L190" s="79"/>
      <c r="M190" s="95"/>
      <c r="N190" s="79"/>
      <c r="O190" s="95"/>
      <c r="P190" s="79"/>
      <c r="Q190" s="95"/>
      <c r="R190" s="79"/>
      <c r="S190" s="95"/>
      <c r="T190" s="79"/>
      <c r="U190" s="75">
        <f>FF190-W190-Y190-AA190</f>
        <v>2.5000000000000009</v>
      </c>
      <c r="V190" s="79" t="str">
        <f>IF(ISERROR((U190/M190-1)*100),"NA",IF(((U190/M190-1)*100)&gt;100,"NM",IF(((U190/M190-1)*100)&lt;-50,"NM",(U190/M190-1)*100)))</f>
        <v>NA</v>
      </c>
      <c r="W190" s="95">
        <v>3.3</v>
      </c>
      <c r="X190" s="79" t="str">
        <f>IF(ISERROR((W190/O190-1)*100),"NA",IF(((W190/O190-1)*100)&gt;100,"NM",IF(((W190/O190-1)*100)&lt;-50,"NM",(W190/O190-1)*100)))</f>
        <v>NA</v>
      </c>
      <c r="Y190" s="95">
        <v>2.4</v>
      </c>
      <c r="Z190" s="79" t="str">
        <f>IF(ISERROR((Y190/Q190-1)*100),"NA",IF(((Y190/Q190-1)*100)&gt;100,"NM",IF(((Y190/Q190-1)*100)&lt;-50,"NM",(Y190/Q190-1)*100)))</f>
        <v>NA</v>
      </c>
      <c r="AA190" s="126">
        <v>1.7</v>
      </c>
      <c r="AB190" s="79" t="str">
        <f>IF(ISERROR((AA190/S190-1)*100),"NA",IF(((AA190/S190-1)*100)&gt;100,"NM",IF(((AA190/S190-1)*100)&lt;-50,"NM",(AA190/S190-1)*100)))</f>
        <v>NA</v>
      </c>
      <c r="AC190" s="95">
        <f>2.1-AE190</f>
        <v>1.3</v>
      </c>
      <c r="AD190" s="79">
        <f>IF(ISERROR((AC190/U190-1)*100),"NA",IF(((AC190/U190-1)*100)&gt;100,"NM",IF(((AC190/U190-1)*100)&lt;-50,"NM",(AC190/U190-1)*100)))</f>
        <v>-48.000000000000021</v>
      </c>
      <c r="AE190" s="95">
        <v>0.8</v>
      </c>
      <c r="AF190" s="79" t="str">
        <f>IF(ISERROR((AE190/W190-1)*100),"NA",IF(((AE190/W190-1)*100)&gt;100,"NM",IF(((AE190/W190-1)*100)&lt;-50,"NM",(AE190/W190-1)*100)))</f>
        <v>NM</v>
      </c>
      <c r="AG190" s="95">
        <v>0.5</v>
      </c>
      <c r="AH190" s="79" t="str">
        <f>IF(ISERROR((AG190/Y190-1)*100),"NA",IF(((AG190/Y190-1)*100)&gt;100,"NM",IF(((AG190/Y190-1)*100)&lt;-50,"NM",(AG190/Y190-1)*100)))</f>
        <v>NM</v>
      </c>
      <c r="AI190" s="75">
        <f>FH190-AG190-AE190-AC190</f>
        <v>0.5</v>
      </c>
      <c r="AJ190" s="79" t="str">
        <f>IF(ISERROR((AI190/AA190-1)*100),"NA",IF(((AI190/AA190-1)*100)&gt;100,"NM",IF(((AI190/AA190-1)*100)&lt;-50,"NM",(AI190/AA190-1)*100)))</f>
        <v>NM</v>
      </c>
      <c r="AK190" s="95">
        <f>0.4-AM190</f>
        <v>0.5</v>
      </c>
      <c r="AL190" s="79" t="str">
        <f>IF(ISERROR((AK190/AC190-1)*100),"NA",IF(((AK190/AC190-1)*100)&gt;100,"NM",IF(((AK190/AC190-1)*100)&lt;-50,"NM",(AK190/AC190-1)*100)))</f>
        <v>NM</v>
      </c>
      <c r="AM190" s="95">
        <v>-0.1</v>
      </c>
      <c r="AN190" s="79" t="str">
        <f>IF(ISERROR((AM190/AE190-1)*100),"NA",IF(((AM190/AE190-1)*100)&gt;100,"NM",IF(((AM190/AE190-1)*100)&lt;-50,"NM",(AM190/AE190-1)*100)))</f>
        <v>NM</v>
      </c>
      <c r="AO190" s="95">
        <f>5.7-5.7</f>
        <v>0</v>
      </c>
      <c r="AP190" s="79" t="str">
        <f>IF(ISERROR((AO190/AG190-1)*100),"NA",IF(((AO190/AG190-1)*100)&gt;100,"NM",IF(((AO190/AG190-1)*100)&lt;-50,"NM",(AO190/AG190-1)*100)))</f>
        <v>NM</v>
      </c>
      <c r="AQ190" s="95">
        <v>0</v>
      </c>
      <c r="AR190" s="79" t="str">
        <f>IF(ISERROR((AQ190/AI190-1)*100),"NA",IF(((AQ190/AI190-1)*100)&gt;100,"NM",IF(((AQ190/AI190-1)*100)&lt;-50,"NM",(AQ190/AI190-1)*100)))</f>
        <v>NM</v>
      </c>
      <c r="AS190" s="95">
        <v>0.1</v>
      </c>
      <c r="AT190" s="81" t="str">
        <f>IF(ISERROR((AS190/AK190-1)*100),"NA",IF(((AS190/AK190-1)*100)&gt;100,"NM",IF(((AS190/AK190-1)*100)&lt;-50,"NM",(AS190/AK190-1)*100)))</f>
        <v>NM</v>
      </c>
      <c r="AU190" s="95">
        <v>-0.1</v>
      </c>
      <c r="AV190" s="81">
        <f>IF(ISERROR((AU190/AM190-1)*100),"NA",IF(((AU190/AM190-1)*100)&gt;100,"NM",IF(((AU190/AM190-1)*100)&lt;-50,"NM",(AU190/AM190-1)*100)))</f>
        <v>0</v>
      </c>
      <c r="AW190" s="95">
        <v>0</v>
      </c>
      <c r="AX190" s="81" t="str">
        <f>IF(ISERROR((AW190/AO190-1)*100),"NA",IF(((AW190/AO190-1)*100)&gt;100,"NM",IF(((AW190/AO190-1)*100)&lt;-50,"NM",(AW190/AO190-1)*100)))</f>
        <v>NA</v>
      </c>
      <c r="AY190" s="95">
        <v>0.1</v>
      </c>
      <c r="AZ190" s="81" t="str">
        <f>IF(ISERROR((AY190/AQ190-1)*100),"NA",IF(((AY190/AQ190-1)*100)&gt;100,"NM",IF(((AY190/AQ190-1)*100)&lt;-50,"NM",(AY190/AQ190-1)*100)))</f>
        <v>NA</v>
      </c>
      <c r="BA190" s="95">
        <v>1.7</v>
      </c>
      <c r="BB190" s="81" t="str">
        <f>IF(ISERROR((BA190/AS190-1)*100),"NA",IF(((BA190/AS190-1)*100)&gt;100,"NM",IF(((BA190/AS190-1)*100)&lt;-50,"NM",(BA190/AS190-1)*100)))</f>
        <v>NM</v>
      </c>
      <c r="BC190" s="95">
        <v>0.3</v>
      </c>
      <c r="BD190" s="81" t="str">
        <f>IF(ISERROR((BC190/AU190-1)*100),"NA",IF(((BC190/AU190-1)*100)&gt;100,"NM",IF(((BC190/AU190-1)*100)&lt;-50,"NM",(BC190/AU190-1)*100)))</f>
        <v>NM</v>
      </c>
      <c r="BE190" s="95">
        <v>0.7</v>
      </c>
      <c r="BF190" s="81" t="str">
        <f>IF(ISERROR((BE190/AW190-1)*100),"NA",IF(((BE190/AW190-1)*100)&gt;100,"NM",IF(((BE190/AW190-1)*100)&lt;-50,"NM",(BE190/AW190-1)*100)))</f>
        <v>NA</v>
      </c>
      <c r="BG190" s="95">
        <v>0.4</v>
      </c>
      <c r="BH190" s="81" t="str">
        <f>IF(ISERROR((BG190/AY190-1)*100),"NA",IF(((BG190/AY190-1)*100)&gt;100,"NM",IF(((BG190/AY190-1)*100)&lt;-50,"NM",(BG190/AY190-1)*100)))</f>
        <v>NM</v>
      </c>
      <c r="BI190" s="95">
        <v>0.2</v>
      </c>
      <c r="BJ190" s="81" t="str">
        <f>IF(ISERROR((BI190/BA190-1)*100),"NA",IF(((BI190/BA190-1)*100)&gt;100,"NM",IF(((BI190/BA190-1)*100)&lt;-50,"NM",(BI190/BA190-1)*100)))</f>
        <v>NM</v>
      </c>
      <c r="BK190" s="95">
        <f>0.2-3.4</f>
        <v>-3.1999999999999997</v>
      </c>
      <c r="BL190" s="81" t="str">
        <f>IF(ISERROR((BK190/BC190-1)*100),"NA",IF(((BK190/BC190-1)*100)&gt;100,"NM",IF(((BK190/BC190-1)*100)&lt;-50,"NM",(BK190/BC190-1)*100)))</f>
        <v>NM</v>
      </c>
      <c r="BM190" s="95">
        <v>0.9</v>
      </c>
      <c r="BN190" s="81">
        <f>IF(ISERROR((BM190/BE190-1)*100),"NA",IF(((BM190/BE190-1)*100)&gt;100,"NM",IF(((BM190/BE190-1)*100)&lt;-50,"NM",(BM190/BE190-1)*100)))</f>
        <v>28.57142857142858</v>
      </c>
      <c r="BO190" s="95">
        <v>0.7</v>
      </c>
      <c r="BP190" s="81">
        <f>IF(ISERROR((BO190/BG190-1)*100),"NA",IF(((BO190/BG190-1)*100)&gt;100,"NM",IF(((BO190/BG190-1)*100)&lt;-50,"NM",(BO190/BG190-1)*100)))</f>
        <v>74.999999999999972</v>
      </c>
      <c r="BQ190" s="95">
        <v>0.6</v>
      </c>
      <c r="BR190" s="81" t="str">
        <f>IF(ISERROR((BQ190/BI190-1)*100),"NA",IF(((BQ190/BI190-1)*100)&gt;100,"NM",IF(((BQ190/BI190-1)*100)&lt;-50,"NM",(BQ190/BI190-1)*100)))</f>
        <v>NM</v>
      </c>
      <c r="BS190" s="95">
        <v>0.6</v>
      </c>
      <c r="BT190" s="81" t="str">
        <f>IF(ISERROR((BS190/BK190-1)*100),"NA",IF(((BS190/BK190-1)*100)&gt;100,"NM",IF(((BS190/BK190-1)*100)&lt;-50,"NM",(BS190/BK190-1)*100)))</f>
        <v>NM</v>
      </c>
      <c r="BU190" s="95">
        <v>0.6</v>
      </c>
      <c r="BV190" s="81">
        <f>IF(ISERROR((BU190/BM190-1)*100),"NA",IF(((BU190/BM190-1)*100)&gt;100,"NM",IF(((BU190/BM190-1)*100)&lt;-50,"NM",(BU190/BM190-1)*100)))</f>
        <v>-33.333333333333336</v>
      </c>
      <c r="BW190" s="95">
        <v>0.6</v>
      </c>
      <c r="BX190" s="81">
        <f>IF(ISERROR((BW190/BO190-1)*100),"NA",IF(((BW190/BO190-1)*100)&gt;100,"NM",IF(((BW190/BO190-1)*100)&lt;-50,"NM",(BW190/BO190-1)*100)))</f>
        <v>-14.285714285714279</v>
      </c>
      <c r="BY190" s="95">
        <v>0.5</v>
      </c>
      <c r="BZ190" s="81">
        <f>IF(ISERROR((BY190/BQ190-1)*100),"NA",IF(((BY190/BQ190-1)*100)&gt;100,"NM",IF(((BY190/BQ190-1)*100)&lt;-50,"NM",(BY190/BQ190-1)*100)))</f>
        <v>-16.666666666666664</v>
      </c>
      <c r="CA190" s="95">
        <v>0.4</v>
      </c>
      <c r="CB190" s="81">
        <f>IF(ISERROR((CA190/BS190-1)*100),"NA",IF(((CA190/BS190-1)*100)&gt;100,"NM",IF(((CA190/BS190-1)*100)&lt;-50,"NM",(CA190/BS190-1)*100)))</f>
        <v>-33.333333333333329</v>
      </c>
      <c r="CC190" s="95">
        <v>0.2</v>
      </c>
      <c r="CD190" s="81" t="str">
        <f>IF(ISERROR((CC190/BU190-1)*100),"NA",IF(((CC190/BU190-1)*100)&gt;100,"NM",IF(((CC190/BU190-1)*100)&lt;-50,"NM",(CC190/BU190-1)*100)))</f>
        <v>NM</v>
      </c>
      <c r="CE190" s="95">
        <v>0.1</v>
      </c>
      <c r="CF190" s="81" t="str">
        <f>IF(ISERROR((CE190/BW190-1)*100),"NA",IF(((CE190/BW190-1)*100)&gt;100,"NM",IF(((CE190/BW190-1)*100)&lt;-50,"NM",(CE190/BW190-1)*100)))</f>
        <v>NM</v>
      </c>
      <c r="CG190" s="95">
        <v>0.1</v>
      </c>
      <c r="CH190" s="81" t="str">
        <f>IF(ISERROR((CG190/BY190-1)*100),"NA",IF(((CG190/BY190-1)*100)&gt;100,"NM",IF(((CG190/BY190-1)*100)&lt;-50,"NM",(CG190/BY190-1)*100)))</f>
        <v>NM</v>
      </c>
      <c r="CI190" s="95">
        <v>0</v>
      </c>
      <c r="CJ190" s="81" t="str">
        <f>IF(ISERROR((CI190/CA190-1)*100),"NA",IF(((CI190/CA190-1)*100)&gt;100,"NM",IF(((CI190/CA190-1)*100)&lt;-50,"NM",(CI190/CA190-1)*100)))</f>
        <v>NM</v>
      </c>
      <c r="CK190" s="95">
        <v>0</v>
      </c>
      <c r="CL190" s="81" t="str">
        <f>IF(ISERROR((CK190/CC190-1)*100),"NA",IF(((CK190/CC190-1)*100)&gt;100,"NM",IF(((CK190/CC190-1)*100)&lt;-50,"NM",(CK190/CC190-1)*100)))</f>
        <v>NM</v>
      </c>
      <c r="CM190" s="95">
        <v>0.2</v>
      </c>
      <c r="CN190" s="81">
        <f>IF(ISERROR((CM190/CE190-1)*100),"NA",IF(((CM190/CE190-1)*100)&gt;100,"NM",IF(((CM190/CE190-1)*100)&lt;-50,"NM",(CM190/CE190-1)*100)))</f>
        <v>100</v>
      </c>
      <c r="CO190" s="95">
        <v>0.1</v>
      </c>
      <c r="CP190" s="81">
        <f>IF(ISERROR((CO190/CG190-1)*100),"NA",IF(((CO190/CG190-1)*100)&gt;100,"NM",IF(((CO190/CG190-1)*100)&lt;-50,"NM",(CO190/CG190-1)*100)))</f>
        <v>0</v>
      </c>
      <c r="CQ190" s="95">
        <v>0</v>
      </c>
      <c r="CR190" s="81" t="str">
        <f>IF(ISERROR((CQ190/CI190-1)*100),"NA",IF(((CQ190/CI190-1)*100)&gt;100,"NM",IF(((CQ190/CI190-1)*100)&lt;-50,"NM",(CQ190/CI190-1)*100)))</f>
        <v>NA</v>
      </c>
      <c r="CS190" s="95">
        <v>0</v>
      </c>
      <c r="CT190" s="81" t="str">
        <f>IF(ISERROR((CS190/CK190-1)*100),"NA",IF(((CS190/CK190-1)*100)&gt;100,"NM",IF(((CS190/CK190-1)*100)&lt;-50,"NM",(CS190/CK190-1)*100)))</f>
        <v>NA</v>
      </c>
      <c r="CU190" s="95">
        <v>0</v>
      </c>
      <c r="CV190" s="81" t="str">
        <f>IF(ISERROR((CU190/CM190-1)*100),"NA",IF(((CU190/CM190-1)*100)&gt;100,"NM",IF(((CU190/CM190-1)*100)&lt;-50,"NM",(CU190/CM190-1)*100)))</f>
        <v>NM</v>
      </c>
      <c r="CW190" s="95">
        <v>0.1</v>
      </c>
      <c r="CX190" s="81">
        <f>IF(ISERROR((CW190/CO190-1)*100),"NA",IF(((CW190/CO190-1)*100)&gt;100,"NM",IF(((CW190/CO190-1)*100)&lt;-50,"NM",(CW190/CO190-1)*100)))</f>
        <v>0</v>
      </c>
      <c r="CY190" s="95">
        <v>-0.1</v>
      </c>
      <c r="CZ190" s="81" t="str">
        <f>IF(ISERROR((CY190/CQ190-1)*100),"NA",IF(((CY190/CQ190-1)*100)&gt;100,"NM",IF(((CY190/CQ190-1)*100)&lt;-50,"NM",(CY190/CQ190-1)*100)))</f>
        <v>NA</v>
      </c>
      <c r="DA190" s="95">
        <v>0.1</v>
      </c>
      <c r="DB190" s="81" t="str">
        <f>IF(ISERROR((DA190/CS190-1)*100),"NA",IF(((DA190/CS190-1)*100)&gt;100,"NM",IF(((DA190/CS190-1)*100)&lt;-50,"NM",(DA190/CS190-1)*100)))</f>
        <v>NA</v>
      </c>
      <c r="DC190" s="95">
        <v>0</v>
      </c>
      <c r="DD190" s="81" t="str">
        <f>IF(ISERROR((DC190/CU190-1)*100),"NA",IF(((DC190/CU190-1)*100)&gt;100,"NM",IF(((DC190/CU190-1)*100)&lt;-50,"NM",(DC190/CU190-1)*100)))</f>
        <v>NA</v>
      </c>
      <c r="DE190" s="95">
        <v>-0.1</v>
      </c>
      <c r="DF190" s="81" t="str">
        <f>IF(ISERROR((DE190/CW190-1)*100),"NA",IF(((DE190/CW190-1)*100)&gt;100,"NM",IF(((DE190/CW190-1)*100)&lt;-50,"NM",(DE190/CW190-1)*100)))</f>
        <v>NM</v>
      </c>
      <c r="DG190" s="95">
        <v>0.2</v>
      </c>
      <c r="DH190" s="81" t="str">
        <f>IF(ISERROR((DG190/CY190-1)*100),"NA",IF(((DG190/CY190-1)*100)&gt;100,"NM",IF(((DG190/CY190-1)*100)&lt;-50,"NM",(DG190/CY190-1)*100)))</f>
        <v>NM</v>
      </c>
      <c r="DI190" s="95">
        <v>0</v>
      </c>
      <c r="DJ190" s="81" t="str">
        <f>IF(ISERROR((DI190/DA190-1)*100),"NA",IF(((DI190/DA190-1)*100)&gt;100,"NM",IF(((DI190/DA190-1)*100)&lt;-50,"NM",(DI190/DA190-1)*100)))</f>
        <v>NM</v>
      </c>
      <c r="DK190" s="95">
        <v>-0.1</v>
      </c>
      <c r="DL190" s="81" t="str">
        <f>IF(ISERROR((DK190/DC190-1)*100),"NA",IF(((DK190/DC190-1)*100)&gt;100,"NM",IF(((DK190/DC190-1)*100)&lt;-50,"NM",(DK190/DC190-1)*100)))</f>
        <v>NA</v>
      </c>
      <c r="DM190" s="95">
        <v>0</v>
      </c>
      <c r="DN190" s="81" t="str">
        <f>IF(ISERROR((DM190/DE190-1)*100),"NA",IF(((DM190/DE190-1)*100)&gt;100,"NM",IF(((DM190/DE190-1)*100)&lt;-50,"NM",(DM190/DE190-1)*100)))</f>
        <v>NM</v>
      </c>
      <c r="DO190" s="95">
        <v>0</v>
      </c>
      <c r="DP190" s="81" t="str">
        <f>IF(ISERROR((DO190/DG190-1)*100),"NA",IF(((DO190/DG190-1)*100)&gt;100,"NM",IF(((DO190/DG190-1)*100)&lt;-50,"NM",(DO190/DG190-1)*100)))</f>
        <v>NM</v>
      </c>
      <c r="DQ190" s="95">
        <v>0</v>
      </c>
      <c r="DR190" s="81" t="str">
        <f>IF(ISERROR((DQ190/DI190-1)*100),"NA",IF(((DQ190/DI190-1)*100)&gt;100,"NM",IF(((DQ190/DI190-1)*100)&lt;-50,"NM",(DQ190/DI190-1)*100)))</f>
        <v>NA</v>
      </c>
      <c r="DS190" s="95">
        <v>0</v>
      </c>
      <c r="DT190" s="81" t="str">
        <f>IF(ISERROR((DS190/DK190-1)*100),"NA",IF(((DS190/DK190-1)*100)&gt;100,"NM",IF(((DS190/DK190-1)*100)&lt;-50,"NM",(DS190/DK190-1)*100)))</f>
        <v>NM</v>
      </c>
      <c r="DU190" s="95">
        <v>0</v>
      </c>
      <c r="DV190" s="81" t="str">
        <f>IF(ISERROR((DU190/DM190-1)*100),"NA",IF(((DU190/DM190-1)*100)&gt;100,"NM",IF(((DU190/DM190-1)*100)&lt;-50,"NM",(DU190/DM190-1)*100)))</f>
        <v>NA</v>
      </c>
      <c r="DW190" s="95">
        <v>0.2</v>
      </c>
      <c r="DX190" s="81" t="str">
        <f>IF(ISERROR((DW190/DO190-1)*100),"NA",IF(((DW190/DO190-1)*100)&gt;100,"NM",IF(((DW190/DO190-1)*100)&lt;-50,"NM",(DW190/DO190-1)*100)))</f>
        <v>NA</v>
      </c>
      <c r="DY190" s="95">
        <v>0</v>
      </c>
      <c r="DZ190" s="81" t="str">
        <f>IF(ISERROR((DY190/DQ190-1)*100),"NA",IF(((DY190/DQ190-1)*100)&gt;100,"NM",IF(((DY190/DQ190-1)*100)&lt;-50,"NM",(DY190/DQ190-1)*100)))</f>
        <v>NA</v>
      </c>
      <c r="EA190" s="95">
        <v>0</v>
      </c>
      <c r="EB190" s="81" t="str">
        <f>IF(ISERROR((EA190/DS190-1)*100),"NA",IF(((EA190/DS190-1)*100)&gt;100,"NM",IF(((EA190/DS190-1)*100)&lt;-50,"NM",(EA190/DS190-1)*100)))</f>
        <v>NA</v>
      </c>
      <c r="EC190" s="95">
        <v>0</v>
      </c>
      <c r="ED190" s="81" t="str">
        <f t="shared" si="622"/>
        <v>NA</v>
      </c>
      <c r="EE190" s="95">
        <v>0</v>
      </c>
      <c r="EF190" s="81" t="str">
        <f t="shared" si="623"/>
        <v>NM</v>
      </c>
      <c r="EG190" s="95">
        <v>0</v>
      </c>
      <c r="EH190" s="81" t="str">
        <f t="shared" si="624"/>
        <v>NA</v>
      </c>
      <c r="EI190" s="95">
        <v>0.1</v>
      </c>
      <c r="EJ190" s="81" t="str">
        <f t="shared" si="625"/>
        <v>NA</v>
      </c>
      <c r="EK190" s="95">
        <v>0</v>
      </c>
      <c r="EL190" s="81" t="str">
        <f t="shared" si="626"/>
        <v>NA</v>
      </c>
      <c r="EM190" s="95">
        <v>0</v>
      </c>
      <c r="EN190" s="81" t="str">
        <f t="shared" si="627"/>
        <v>NA</v>
      </c>
      <c r="EO190" s="95">
        <v>0</v>
      </c>
      <c r="EP190" s="81" t="str">
        <f t="shared" si="628"/>
        <v>NA</v>
      </c>
      <c r="EQ190" s="95">
        <v>0</v>
      </c>
      <c r="ER190" s="81" t="str">
        <f t="shared" si="629"/>
        <v>NM</v>
      </c>
      <c r="ES190" s="105"/>
      <c r="ET190" s="475"/>
      <c r="EU190" s="105"/>
      <c r="EV190" s="105"/>
      <c r="EW190" s="201"/>
      <c r="EX190" s="105"/>
      <c r="EY190" s="201"/>
      <c r="EZ190" s="241"/>
      <c r="FA190" s="201"/>
      <c r="FB190" s="103"/>
      <c r="FC190" s="201"/>
      <c r="FD190" s="202">
        <v>8.8000000000000007</v>
      </c>
      <c r="FE190" s="201" t="str">
        <f>IF(ISERROR((FD190/FB190-1)*100),"NA",IF(((FD190/FB190-1)*100)&gt;100,"NM",IF(((FD190/FB190-1)*100)&lt;-50,"NM",(FD190/FB190-1)*100)))</f>
        <v>NA</v>
      </c>
      <c r="FF190" s="202">
        <v>9.9</v>
      </c>
      <c r="FG190" s="201">
        <f>IF(ISERROR((FF190/FD190-1)*100),"NA",IF(((FF190/FD190-1)*100)&gt;100,"NM",IF(((FF190/FD190-1)*100)&lt;-50,"NM",(FF190/FD190-1)*100)))</f>
        <v>12.5</v>
      </c>
      <c r="FH190" s="202">
        <v>3.1</v>
      </c>
      <c r="FI190" s="201" t="str">
        <f>IF(ISERROR((FH190/FF190-1)*100),"NA",IF(((FH190/FF190-1)*100)&gt;100,"NM",IF(((FH190/FF190-1)*100)&lt;-50,"NM",(FH190/FF190-1)*100)))</f>
        <v>NM</v>
      </c>
      <c r="FJ190" s="103">
        <f>+AQ190+AO190+AM190+AK190</f>
        <v>0.4</v>
      </c>
      <c r="FK190" s="201" t="str">
        <f>IF(ISERROR((FJ190/FH190-1)*100),"NA",IF(((FJ190/FH190-1)*100)&gt;100,"NM",IF(((FJ190/FH190-1)*100)&lt;-50,"NM",(FJ190/FH190-1)*100)))</f>
        <v>NM</v>
      </c>
      <c r="FL190" s="78">
        <f>AS190+AU190+AW190+AY190</f>
        <v>0.1</v>
      </c>
      <c r="FM190" s="201" t="str">
        <f>IF(ISERROR((FL190/FJ190-1)*100),"NA",IF(((FL190/FJ190-1)*100)&gt;100,"NM",IF(((FL190/FJ190-1)*100)&lt;-50,"NM",(FL190/FJ190-1)*100)))</f>
        <v>NM</v>
      </c>
      <c r="FN190" s="78">
        <f>BA190+BC190+BE190+BG190</f>
        <v>3.1</v>
      </c>
      <c r="FO190" s="201" t="str">
        <f>IF(ISERROR((FN190/FL190-1)*100),"NA",IF(((FN190/FL190-1)*100)&gt;100,"NM",IF(((FN190/FL190-1)*100)&lt;-50,"NM",(FN190/FL190-1)*100)))</f>
        <v>NM</v>
      </c>
      <c r="FP190" s="78">
        <f>BI190+BK190+BM190+BO190</f>
        <v>-1.3999999999999997</v>
      </c>
      <c r="FQ190" s="201" t="str">
        <f>IF(ISERROR((FP190/FN190-1)*100),"NA",IF(((FP190/FN190-1)*100)&gt;100,"NM",IF(((FP190/FN190-1)*100)&lt;-50,"NM",(FP190/FN190-1)*100)))</f>
        <v>NM</v>
      </c>
      <c r="FR190" s="93">
        <f>BQ190+BS190+BU190+BW190</f>
        <v>2.4</v>
      </c>
      <c r="FS190" s="201" t="str">
        <f>IF(ISERROR((FR190/FP190-1)*100),"NA",IF(((FR190/FP190-1)*100)&gt;100,"NM",IF(((FR190/FP190-1)*100)&lt;-50,"NM",(FR190/FP190-1)*100)))</f>
        <v>NM</v>
      </c>
      <c r="FT190" s="93">
        <f>BY190+CA190+CC190+CE190</f>
        <v>1.2000000000000002</v>
      </c>
      <c r="FU190" s="201">
        <f>IF(ISERROR((FT190/FR190-1)*100),"NA",IF(((FT190/FR190-1)*100)&gt;100,"NM",IF(((FT190/FR190-1)*100)&lt;-50,"NM",(FT190/FR190-1)*100)))</f>
        <v>-49.999999999999986</v>
      </c>
      <c r="FV190" s="93">
        <f>CG190+CI190+CK190+CM190</f>
        <v>0.30000000000000004</v>
      </c>
      <c r="FW190" s="201" t="str">
        <f>IF(ISERROR((FV190/FT190-1)*100),"NA",IF(((FV190/FT190-1)*100)&gt;100,"NM",IF(((FV190/FT190-1)*100)&lt;-50,"NM",(FV190/FT190-1)*100)))</f>
        <v>NM</v>
      </c>
      <c r="FX190" s="93">
        <f>CO190+CQ190+CS190+CU190</f>
        <v>0.1</v>
      </c>
      <c r="FY190" s="201" t="str">
        <f>IF(ISERROR((FX190/FV190-1)*100),"NA",IF(((FX190/FV190-1)*100)&gt;100,"NM",IF(((FX190/FV190-1)*100)&lt;-50,"NM",(FX190/FV190-1)*100)))</f>
        <v>NM</v>
      </c>
      <c r="FZ190" s="93">
        <f>CW190+CY190+DA190+DC190</f>
        <v>0.1</v>
      </c>
      <c r="GA190" s="201">
        <f>IF(ISERROR((FZ190/FX190-1)*100),"NA",IF(((FZ190/FX190-1)*100)&gt;100,"NM",IF(((FZ190/FX190-1)*100)&lt;-50,"NM",(FZ190/FX190-1)*100)))</f>
        <v>0</v>
      </c>
      <c r="GB190" s="93">
        <f>DE190+DG190+DI190+DK190</f>
        <v>0</v>
      </c>
      <c r="GC190" s="201" t="str">
        <f>IF(ISERROR((GB190/FZ190-1)*100),"NA",IF(((GB190/FZ190-1)*100)&gt;100,"NM",IF(((GB190/FZ190-1)*100)&lt;-50,"NM",(GB190/FZ190-1)*100)))</f>
        <v>NM</v>
      </c>
      <c r="GD190" s="93">
        <f>DM190+DO190+DQ190+DS190</f>
        <v>0</v>
      </c>
      <c r="GE190" s="201" t="str">
        <f>IF(ISERROR((GD190/GB190-1)*100),"NA",IF(((GD190/GB190-1)*100)&gt;100,"NM",IF(((GD190/GB190-1)*100)&lt;-50,"NM",(GD190/GB190-1)*100)))</f>
        <v>NA</v>
      </c>
      <c r="GF190" s="93">
        <f>DU190+DW190+DY190+EA190</f>
        <v>0.2</v>
      </c>
      <c r="GG190" s="201" t="str">
        <f>IF(ISERROR((GF190/GD190-1)*100),"NA",IF(((GF190/GD190-1)*100)&gt;100,"NM",IF(((GF190/GD190-1)*100)&lt;-50,"NM",(GF190/GD190-1)*100)))</f>
        <v>NA</v>
      </c>
      <c r="GH190" s="93">
        <f>EC190+EE190+EG190+EI190</f>
        <v>0.1</v>
      </c>
      <c r="GI190" s="201">
        <f>IF(ISERROR((GH190/GF190-1)*100),"NA",IF(((GH190/GF190-1)*100)&gt;100,"NM",IF(((GH190/GF190-1)*100)&lt;-50,"NM",(GH190/GF190-1)*100)))</f>
        <v>-50</v>
      </c>
      <c r="GJ190" s="93">
        <f>EK190+EM190+EO190+EQ190</f>
        <v>0</v>
      </c>
      <c r="GK190" s="201" t="str">
        <f>IF(ISERROR((GJ190/GH190-1)*100),"NA",IF(((GJ190/GH190-1)*100)&gt;100,"NM",IF(((GJ190/GH190-1)*100)&lt;-50,"NM",(GJ190/GH190-1)*100)))</f>
        <v>NM</v>
      </c>
      <c r="GL190" s="95">
        <f>GJ190*1.04/GJ$185*GL$185</f>
        <v>0</v>
      </c>
      <c r="GM190" s="201" t="str">
        <f>IF(ISERROR((GL190/GJ190-1)*100),"NA",IF(((GL190/GJ190-1)*100)&gt;100,"NM",IF(((GL190/GJ190-1)*100)&lt;-50,"NM",(GL190/GJ190-1)*100)))</f>
        <v>NA</v>
      </c>
      <c r="GN190" s="95">
        <f>GL190*1.04/GL$185*GN$185</f>
        <v>0</v>
      </c>
      <c r="GO190" s="201" t="str">
        <f>IF(ISERROR((GN190/GL190-1)*100),"NA",IF(((GN190/GL190-1)*100)&gt;100,"NM",IF(((GN190/GL190-1)*100)&lt;-50,"NM",(GN190/GL190-1)*100)))</f>
        <v>NA</v>
      </c>
      <c r="GP190" s="95">
        <f>GN190*1.04/GN$185*GP$185</f>
        <v>0</v>
      </c>
      <c r="GQ190" s="201" t="str">
        <f>IF(ISERROR((GP190/GN190-1)*100),"NA",IF(((GP190/GN190-1)*100)&gt;100,"NM",IF(((GP190/GN190-1)*100)&lt;-50,"NM",(GP190/GN190-1)*100)))</f>
        <v>NA</v>
      </c>
      <c r="GR190" s="95">
        <f>GP190*1.04/GP$185*GR$185</f>
        <v>0</v>
      </c>
      <c r="GS190" s="201" t="str">
        <f>IF(ISERROR((GR190/GP190-1)*100),"NA",IF(((GR190/GP190-1)*100)&gt;100,"NM",IF(((GR190/GP190-1)*100)&lt;-50,"NM",(GR190/GP190-1)*100)))</f>
        <v>NA</v>
      </c>
      <c r="GT190" s="79" t="str">
        <f>IF(ISERROR(((GR190/GH190)^0.2-1)*100),"NA",(IF(OR(((GR190/GH190)^0.2-1)*100&gt;99,((GR190/GH190)^0.2-1)*100&lt;-50),"NM",(((GR190/GH190)^0.2-1)*100))))</f>
        <v>NM</v>
      </c>
      <c r="GU190" s="562"/>
      <c r="GV190" s="562"/>
      <c r="GW190"/>
      <c r="GX190"/>
      <c r="GY190"/>
      <c r="GZ190"/>
      <c r="HA190"/>
      <c r="HB190"/>
      <c r="HC190" s="562"/>
      <c r="HD190" s="562"/>
      <c r="HE190" s="562"/>
      <c r="HF190" s="562"/>
      <c r="HG190" s="562"/>
      <c r="HH190" s="562"/>
      <c r="HI190" s="562"/>
      <c r="HJ190" s="562"/>
      <c r="HK190" s="562"/>
      <c r="HL190" s="562"/>
      <c r="HM190" s="562"/>
      <c r="HN190" s="562"/>
      <c r="HO190" s="562"/>
      <c r="HP190" s="562"/>
      <c r="HQ190" s="562"/>
      <c r="HR190" s="562"/>
      <c r="HS190" s="562"/>
      <c r="HT190" s="562"/>
      <c r="HU190" s="562"/>
      <c r="HV190" s="562"/>
      <c r="HW190" s="562"/>
      <c r="HX190" s="562"/>
      <c r="HY190" s="562"/>
      <c r="HZ190" s="562"/>
      <c r="IA190" s="562"/>
      <c r="IB190" s="562"/>
      <c r="IC190" s="562"/>
      <c r="ID190" s="562"/>
      <c r="IE190" s="562"/>
      <c r="IF190" s="562"/>
      <c r="IG190" s="562"/>
      <c r="IH190" s="562"/>
      <c r="II190" s="562"/>
      <c r="IJ190" s="562"/>
      <c r="IK190" s="562"/>
      <c r="IL190" s="562"/>
      <c r="IM190" s="562"/>
      <c r="IN190" s="562"/>
      <c r="IO190" s="562"/>
      <c r="IP190" s="562"/>
      <c r="IQ190" s="562"/>
      <c r="IR190" s="562"/>
      <c r="IS190" s="562"/>
      <c r="IT190" s="562"/>
      <c r="IU190" s="562"/>
      <c r="IV190" s="562"/>
      <c r="IW190" s="562"/>
      <c r="IX190" s="562"/>
      <c r="IY190" s="562"/>
      <c r="IZ190" s="562"/>
      <c r="JA190" s="562"/>
      <c r="JB190" s="562"/>
      <c r="JC190" s="562"/>
      <c r="JD190" s="562"/>
      <c r="JE190" s="562"/>
      <c r="JF190" s="562"/>
      <c r="JG190" s="562"/>
      <c r="JH190" s="562"/>
      <c r="JI190" s="562"/>
      <c r="JJ190" s="562"/>
      <c r="JK190" s="562"/>
      <c r="JL190" s="562"/>
      <c r="JM190" s="562"/>
      <c r="JN190" s="562"/>
      <c r="JO190" s="562"/>
      <c r="JP190" s="562"/>
      <c r="JQ190" s="562"/>
      <c r="JR190" s="562"/>
      <c r="JS190" s="562"/>
      <c r="JT190" s="562"/>
      <c r="JU190" s="562"/>
      <c r="JV190" s="562"/>
      <c r="JW190" s="562"/>
      <c r="JX190" s="562"/>
      <c r="JY190" s="562"/>
      <c r="JZ190" s="562"/>
    </row>
    <row r="191" spans="1:286" s="83" customFormat="1" ht="12.75" customHeight="1" x14ac:dyDescent="0.2">
      <c r="A191" s="77"/>
      <c r="B191" s="83" t="s">
        <v>56</v>
      </c>
      <c r="C191" s="140"/>
      <c r="D191" s="140"/>
      <c r="E191" s="242"/>
      <c r="F191" s="242"/>
      <c r="G191" s="242"/>
      <c r="H191" s="243"/>
      <c r="I191" s="242"/>
      <c r="J191" s="242"/>
      <c r="K191" s="242"/>
      <c r="L191" s="79"/>
      <c r="M191" s="242"/>
      <c r="N191" s="79"/>
      <c r="O191" s="242"/>
      <c r="P191" s="79"/>
      <c r="Q191" s="242"/>
      <c r="R191" s="79"/>
      <c r="S191" s="242"/>
      <c r="T191" s="79"/>
      <c r="U191" s="242">
        <f>+U190+U189+U188</f>
        <v>129.20000000000002</v>
      </c>
      <c r="V191" s="79" t="str">
        <f>IF(ISERROR((U191/M191-1)*100),"NA",IF(((U191/M191-1)*100)&gt;100,"NM",IF(((U191/M191-1)*100)&lt;-50,"NM",(U191/M191-1)*100)))</f>
        <v>NA</v>
      </c>
      <c r="W191" s="242">
        <f>+W190+W189+W188</f>
        <v>150.9</v>
      </c>
      <c r="X191" s="79" t="str">
        <f>IF(ISERROR((W191/O191-1)*100),"NA",IF(((W191/O191-1)*100)&gt;100,"NM",IF(((W191/O191-1)*100)&lt;-50,"NM",(W191/O191-1)*100)))</f>
        <v>NA</v>
      </c>
      <c r="Y191" s="242">
        <f>+Y190+Y189+Y188</f>
        <v>148.6</v>
      </c>
      <c r="Z191" s="79" t="str">
        <f>IF(ISERROR((Y191/Q191-1)*100),"NA",IF(((Y191/Q191-1)*100)&gt;100,"NM",IF(((Y191/Q191-1)*100)&lt;-50,"NM",(Y191/Q191-1)*100)))</f>
        <v>NA</v>
      </c>
      <c r="AA191" s="244">
        <f>+AA190+AA189+AA188</f>
        <v>164.7</v>
      </c>
      <c r="AB191" s="79" t="str">
        <f>IF(ISERROR((AA191/S191-1)*100),"NA",IF(((AA191/S191-1)*100)&gt;100,"NM",IF(((AA191/S191-1)*100)&lt;-50,"NM",(AA191/S191-1)*100)))</f>
        <v>NA</v>
      </c>
      <c r="AC191" s="242">
        <f>+AC190+AC189+AC188</f>
        <v>184.5</v>
      </c>
      <c r="AD191" s="79">
        <f>IF(ISERROR((AC191/U191-1)*100),"NA",IF(((AC191/U191-1)*100)&gt;100,"NM",IF(((AC191/U191-1)*100)&lt;-50,"NM",(AC191/U191-1)*100)))</f>
        <v>42.801857585139302</v>
      </c>
      <c r="AE191" s="242">
        <f>+AE190+AE189+AE188</f>
        <v>196.5</v>
      </c>
      <c r="AF191" s="79">
        <f>IF(ISERROR((AE191/W191-1)*100),"NA",IF(((AE191/W191-1)*100)&gt;100,"NM",IF(((AE191/W191-1)*100)&lt;-50,"NM",(AE191/W191-1)*100)))</f>
        <v>30.218687872763404</v>
      </c>
      <c r="AG191" s="242">
        <f>+AG190+AG189+AG188</f>
        <v>205.89999999999998</v>
      </c>
      <c r="AH191" s="79">
        <f>IF(ISERROR((AG191/Y191-1)*100),"NA",IF(((AG191/Y191-1)*100)&gt;100,"NM",IF(((AG191/Y191-1)*100)&lt;-50,"NM",(AG191/Y191-1)*100)))</f>
        <v>38.559892328398384</v>
      </c>
      <c r="AI191" s="242">
        <f>+AI190+AI189+AI188</f>
        <v>214.89999999999998</v>
      </c>
      <c r="AJ191" s="79">
        <f>IF(ISERROR((AI191/AA191-1)*100),"NA",IF(((AI191/AA191-1)*100)&gt;100,"NM",IF(((AI191/AA191-1)*100)&lt;-50,"NM",(AI191/AA191-1)*100)))</f>
        <v>30.47965998785671</v>
      </c>
      <c r="AK191" s="242">
        <f>+AK190+AK189+AK188</f>
        <v>228.20000000000002</v>
      </c>
      <c r="AL191" s="79">
        <f>IF(ISERROR((AK191/AC191-1)*100),"NA",IF(((AK191/AC191-1)*100)&gt;100,"NM",IF(((AK191/AC191-1)*100)&lt;-50,"NM",(AK191/AC191-1)*100)))</f>
        <v>23.685636856368575</v>
      </c>
      <c r="AM191" s="242">
        <f>+AM190+AM189+AM188</f>
        <v>232.6</v>
      </c>
      <c r="AN191" s="79">
        <f>IF(ISERROR((AM191/AE191-1)*100),"NA",IF(((AM191/AE191-1)*100)&gt;100,"NM",IF(((AM191/AE191-1)*100)&lt;-50,"NM",(AM191/AE191-1)*100)))</f>
        <v>18.371501272264634</v>
      </c>
      <c r="AO191" s="242">
        <f>+AO190+AO189+AO188</f>
        <v>243.2</v>
      </c>
      <c r="AP191" s="79">
        <f>IF(ISERROR((AO191/AG191-1)*100),"NA",IF(((AO191/AG191-1)*100)&gt;100,"NM",IF(((AO191/AG191-1)*100)&lt;-50,"NM",(AO191/AG191-1)*100)))</f>
        <v>18.115590092277813</v>
      </c>
      <c r="AQ191" s="242">
        <f>+AQ190+AQ189+AQ188</f>
        <v>235.89999999999998</v>
      </c>
      <c r="AR191" s="79">
        <f>IF(ISERROR((AQ191/AI191-1)*100),"NA",IF(((AQ191/AI191-1)*100)&gt;100,"NM",IF(((AQ191/AI191-1)*100)&lt;-50,"NM",(AQ191/AI191-1)*100)))</f>
        <v>9.7719869706840434</v>
      </c>
      <c r="AS191" s="242">
        <f>+AS190+AS189+AS188</f>
        <v>229.5</v>
      </c>
      <c r="AT191" s="81">
        <f>IF(ISERROR((AS191/AK191-1)*100),"NA",IF(((AS191/AK191-1)*100)&gt;100,"NM",IF(((AS191/AK191-1)*100)&lt;-50,"NM",(AS191/AK191-1)*100)))</f>
        <v>0.56967572304995606</v>
      </c>
      <c r="AU191" s="242">
        <f>+AU190+AU189+AU188</f>
        <v>240.5</v>
      </c>
      <c r="AV191" s="81">
        <f>IF(ISERROR((AU191/AM191-1)*100),"NA",IF(((AU191/AM191-1)*100)&gt;100,"NM",IF(((AU191/AM191-1)*100)&lt;-50,"NM",(AU191/AM191-1)*100)))</f>
        <v>3.3963886500429918</v>
      </c>
      <c r="AW191" s="242">
        <f>+AW190+AW189+AW188</f>
        <v>265.5</v>
      </c>
      <c r="AX191" s="81">
        <f>IF(ISERROR((AW191/AO191-1)*100),"NA",IF(((AW191/AO191-1)*100)&gt;100,"NM",IF(((AW191/AO191-1)*100)&lt;-50,"NM",(AW191/AO191-1)*100)))</f>
        <v>9.1694078947368354</v>
      </c>
      <c r="AY191" s="242">
        <f>+AY190+AY189+AY188</f>
        <v>282</v>
      </c>
      <c r="AZ191" s="81">
        <f>IF(ISERROR((AY191/AQ191-1)*100),"NA",IF(((AY191/AQ191-1)*100)&gt;100,"NM",IF(((AY191/AQ191-1)*100)&lt;-50,"NM",(AY191/AQ191-1)*100)))</f>
        <v>19.542178889359917</v>
      </c>
      <c r="BA191" s="242">
        <f>+BA190+BA189+BA188</f>
        <v>267.10000000000002</v>
      </c>
      <c r="BB191" s="81">
        <f>IF(ISERROR((BA191/AS191-1)*100),"NA",IF(((BA191/AS191-1)*100)&gt;100,"NM",IF(((BA191/AS191-1)*100)&lt;-50,"NM",(BA191/AS191-1)*100)))</f>
        <v>16.383442265795225</v>
      </c>
      <c r="BC191" s="242">
        <f>+BC190+BC189+BC188</f>
        <v>293.60000000000002</v>
      </c>
      <c r="BD191" s="81">
        <f>IF(ISERROR((BC191/AU191-1)*100),"NA",IF(((BC191/AU191-1)*100)&gt;100,"NM",IF(((BC191/AU191-1)*100)&lt;-50,"NM",(BC191/AU191-1)*100)))</f>
        <v>22.079002079002088</v>
      </c>
      <c r="BE191" s="242">
        <f>+BE190+BE189+BE188</f>
        <v>292.3</v>
      </c>
      <c r="BF191" s="81">
        <f>IF(ISERROR((BE191/AW191-1)*100),"NA",IF(((BE191/AW191-1)*100)&gt;100,"NM",IF(((BE191/AW191-1)*100)&lt;-50,"NM",(BE191/AW191-1)*100)))</f>
        <v>10.094161958568737</v>
      </c>
      <c r="BG191" s="242">
        <f>+BG190+BG189+BG188</f>
        <v>305.8</v>
      </c>
      <c r="BH191" s="81">
        <f>IF(ISERROR((BG191/AY191-1)*100),"NA",IF(((BG191/AY191-1)*100)&gt;100,"NM",IF(((BG191/AY191-1)*100)&lt;-50,"NM",(BG191/AY191-1)*100)))</f>
        <v>8.4397163120567331</v>
      </c>
      <c r="BI191" s="242">
        <f>+BI190+BI189+BI188</f>
        <v>283.3</v>
      </c>
      <c r="BJ191" s="81">
        <f>IF(ISERROR((BI191/BA191-1)*100),"NA",IF(((BI191/BA191-1)*100)&gt;100,"NM",IF(((BI191/BA191-1)*100)&lt;-50,"NM",(BI191/BA191-1)*100)))</f>
        <v>6.0651441407712392</v>
      </c>
      <c r="BK191" s="242">
        <f>+BK190+BK189+BK188</f>
        <v>293.39999999999998</v>
      </c>
      <c r="BL191" s="81">
        <f>IF(ISERROR((BK191/BC191-1)*100),"NA",IF(((BK191/BC191-1)*100)&gt;100,"NM",IF(((BK191/BC191-1)*100)&lt;-50,"NM",(BK191/BC191-1)*100)))</f>
        <v>-6.8119891008189271E-2</v>
      </c>
      <c r="BM191" s="242">
        <f>+BM190+BM189+BM188</f>
        <v>271.39999999999998</v>
      </c>
      <c r="BN191" s="81">
        <f>IF(ISERROR((BM191/BE191-1)*100),"NA",IF(((BM191/BE191-1)*100)&gt;100,"NM",IF(((BM191/BE191-1)*100)&lt;-50,"NM",(BM191/BE191-1)*100)))</f>
        <v>-7.1501881628464048</v>
      </c>
      <c r="BO191" s="242">
        <f>+BO190+BO189+BO188</f>
        <v>225.10000000000002</v>
      </c>
      <c r="BP191" s="81">
        <f>IF(ISERROR((BO191/BG191-1)*100),"NA",IF(((BO191/BG191-1)*100)&gt;100,"NM",IF(((BO191/BG191-1)*100)&lt;-50,"NM",(BO191/BG191-1)*100)))</f>
        <v>-26.389797253106607</v>
      </c>
      <c r="BQ191" s="242">
        <f>+BQ190+BQ189+BQ188</f>
        <v>190.5</v>
      </c>
      <c r="BR191" s="81">
        <f>IF(ISERROR((BQ191/BI191-1)*100),"NA",IF(((BQ191/BI191-1)*100)&gt;100,"NM",IF(((BQ191/BI191-1)*100)&lt;-50,"NM",(BQ191/BI191-1)*100)))</f>
        <v>-32.756794917049071</v>
      </c>
      <c r="BS191" s="242">
        <f>+BS190+BS189+BS188</f>
        <v>208.3</v>
      </c>
      <c r="BT191" s="81">
        <f>IF(ISERROR((BS191/BK191-1)*100),"NA",IF(((BS191/BK191-1)*100)&gt;100,"NM",IF(((BS191/BK191-1)*100)&lt;-50,"NM",(BS191/BK191-1)*100)))</f>
        <v>-29.004771642808446</v>
      </c>
      <c r="BU191" s="242">
        <f>+BU190+BU189+BU188</f>
        <v>192.79999999999998</v>
      </c>
      <c r="BV191" s="81">
        <f>IF(ISERROR((BU191/BM191-1)*100),"NA",IF(((BU191/BM191-1)*100)&gt;100,"NM",IF(((BU191/BM191-1)*100)&lt;-50,"NM",(BU191/BM191-1)*100)))</f>
        <v>-28.960943257184969</v>
      </c>
      <c r="BW191" s="242">
        <f>+BW190+BW189+BW188</f>
        <v>221.4</v>
      </c>
      <c r="BX191" s="81">
        <f>IF(ISERROR((BW191/BO191-1)*100),"NA",IF(((BW191/BO191-1)*100)&gt;100,"NM",IF(((BW191/BO191-1)*100)&lt;-50,"NM",(BW191/BO191-1)*100)))</f>
        <v>-1.6437139049311544</v>
      </c>
      <c r="BY191" s="242">
        <f>+BY190+BY189+BY188</f>
        <v>206.10000000000002</v>
      </c>
      <c r="BZ191" s="81">
        <f>IF(ISERROR((BY191/BQ191-1)*100),"NA",IF(((BY191/BQ191-1)*100)&gt;100,"NM",IF(((BY191/BQ191-1)*100)&lt;-50,"NM",(BY191/BQ191-1)*100)))</f>
        <v>8.1889763779527733</v>
      </c>
      <c r="CA191" s="242">
        <f>+CA190+CA189+CA188</f>
        <v>196.4</v>
      </c>
      <c r="CB191" s="81">
        <f>IF(ISERROR((CA191/BS191-1)*100),"NA",IF(((CA191/BS191-1)*100)&gt;100,"NM",IF(((CA191/BS191-1)*100)&lt;-50,"NM",(CA191/BS191-1)*100)))</f>
        <v>-5.7129140662506073</v>
      </c>
      <c r="CC191" s="242">
        <f>+CC190+CC189+CC188</f>
        <v>200.60000000000002</v>
      </c>
      <c r="CD191" s="81">
        <f>IF(ISERROR((CC191/BU191-1)*100),"NA",IF(((CC191/BU191-1)*100)&gt;100,"NM",IF(((CC191/BU191-1)*100)&lt;-50,"NM",(CC191/BU191-1)*100)))</f>
        <v>4.045643153527001</v>
      </c>
      <c r="CE191" s="242">
        <f>+CE190+CE189+CE188</f>
        <v>219.2</v>
      </c>
      <c r="CF191" s="81">
        <f>IF(ISERROR((CE191/BW191-1)*100),"NA",IF(((CE191/BW191-1)*100)&gt;100,"NM",IF(((CE191/BW191-1)*100)&lt;-50,"NM",(CE191/BW191-1)*100)))</f>
        <v>-0.9936766034327138</v>
      </c>
      <c r="CG191" s="242">
        <f>+CG190+CG189+CG188</f>
        <v>212.1</v>
      </c>
      <c r="CH191" s="81">
        <f>IF(ISERROR((CG191/BY191-1)*100),"NA",IF(((CG191/BY191-1)*100)&gt;100,"NM",IF(((CG191/BY191-1)*100)&lt;-50,"NM",(CG191/BY191-1)*100)))</f>
        <v>2.9112081513828159</v>
      </c>
      <c r="CI191" s="242">
        <f>+CI190+CI189+CI188</f>
        <v>226.9</v>
      </c>
      <c r="CJ191" s="81">
        <f>IF(ISERROR((CI191/CA191-1)*100),"NA",IF(((CI191/CA191-1)*100)&gt;100,"NM",IF(((CI191/CA191-1)*100)&lt;-50,"NM",(CI191/CA191-1)*100)))</f>
        <v>15.529531568228116</v>
      </c>
      <c r="CK191" s="242">
        <f>+CK190+CK189+CK188</f>
        <v>218.8</v>
      </c>
      <c r="CL191" s="81">
        <f>IF(ISERROR((CK191/CC191-1)*100),"NA",IF(((CK191/CC191-1)*100)&gt;100,"NM",IF(((CK191/CC191-1)*100)&lt;-50,"NM",(CK191/CC191-1)*100)))</f>
        <v>9.0727816550348894</v>
      </c>
      <c r="CM191" s="242">
        <f>+CM190+CM189+CM188</f>
        <v>220</v>
      </c>
      <c r="CN191" s="81">
        <f>IF(ISERROR((CM191/CE191-1)*100),"NA",IF(((CM191/CE191-1)*100)&gt;100,"NM",IF(((CM191/CE191-1)*100)&lt;-50,"NM",(CM191/CE191-1)*100)))</f>
        <v>0.36496350364965124</v>
      </c>
      <c r="CO191" s="242">
        <f>+CO190+CO189+CO188</f>
        <v>207.29999999999998</v>
      </c>
      <c r="CP191" s="81">
        <f>IF(ISERROR((CO191/CG191-1)*100),"NA",IF(((CO191/CG191-1)*100)&gt;100,"NM",IF(((CO191/CG191-1)*100)&lt;-50,"NM",(CO191/CG191-1)*100)))</f>
        <v>-2.2630834512022635</v>
      </c>
      <c r="CQ191" s="242">
        <f>+CQ190+CQ189+CQ188</f>
        <v>222.39999999999998</v>
      </c>
      <c r="CR191" s="81">
        <f>IF(ISERROR((CQ191/CI191-1)*100),"NA",IF(((CQ191/CI191-1)*100)&gt;100,"NM",IF(((CQ191/CI191-1)*100)&lt;-50,"NM",(CQ191/CI191-1)*100)))</f>
        <v>-1.9832525341560325</v>
      </c>
      <c r="CS191" s="242">
        <f>+CS190+CS189+CS188</f>
        <v>210</v>
      </c>
      <c r="CT191" s="81">
        <f>IF(ISERROR((CS191/CK191-1)*100),"NA",IF(((CS191/CK191-1)*100)&gt;100,"NM",IF(((CS191/CK191-1)*100)&lt;-50,"NM",(CS191/CK191-1)*100)))</f>
        <v>-4.0219378427788</v>
      </c>
      <c r="CU191" s="242">
        <f>+CU190+CU189+CU188</f>
        <v>225.8</v>
      </c>
      <c r="CV191" s="81">
        <f>IF(ISERROR((CU191/CM191-1)*100),"NA",IF(((CU191/CM191-1)*100)&gt;100,"NM",IF(((CU191/CM191-1)*100)&lt;-50,"NM",(CU191/CM191-1)*100)))</f>
        <v>2.6363636363636367</v>
      </c>
      <c r="CW191" s="242">
        <f>+CW190+CW189+CW188</f>
        <v>174.70000000000002</v>
      </c>
      <c r="CX191" s="81">
        <f>IF(ISERROR((CW191/CO191-1)*100),"NA",IF(((CW191/CO191-1)*100)&gt;100,"NM",IF(((CW191/CO191-1)*100)&lt;-50,"NM",(CW191/CO191-1)*100)))</f>
        <v>-15.726000964785324</v>
      </c>
      <c r="CY191" s="242">
        <f>+CY190+CY189+CY188</f>
        <v>182.89999999999998</v>
      </c>
      <c r="CZ191" s="81">
        <f>IF(ISERROR((CY191/CQ191-1)*100),"NA",IF(((CY191/CQ191-1)*100)&gt;100,"NM",IF(((CY191/CQ191-1)*100)&lt;-50,"NM",(CY191/CQ191-1)*100)))</f>
        <v>-17.760791366906481</v>
      </c>
      <c r="DA191" s="242">
        <f>+DA190+DA189+DA188</f>
        <v>167.70000000000002</v>
      </c>
      <c r="DB191" s="81">
        <f>IF(ISERROR((DA191/CS191-1)*100),"NA",IF(((DA191/CS191-1)*100)&gt;100,"NM",IF(((DA191/CS191-1)*100)&lt;-50,"NM",(DA191/CS191-1)*100)))</f>
        <v>-20.142857142857139</v>
      </c>
      <c r="DC191" s="242">
        <f>+DC190+DC189+DC188</f>
        <v>179.9</v>
      </c>
      <c r="DD191" s="81">
        <f>IF(ISERROR((DC191/CU191-1)*100),"NA",IF(((DC191/CU191-1)*100)&gt;100,"NM",IF(((DC191/CU191-1)*100)&lt;-50,"NM",(DC191/CU191-1)*100)))</f>
        <v>-20.327723649247119</v>
      </c>
      <c r="DE191" s="242">
        <v>185.2</v>
      </c>
      <c r="DF191" s="81">
        <f>IF(ISERROR((DE191/CW191-1)*100),"NA",IF(((DE191/CW191-1)*100)&gt;100,"NM",IF(((DE191/CW191-1)*100)&lt;-50,"NM",(DE191/CW191-1)*100)))</f>
        <v>6.0103033772180625</v>
      </c>
      <c r="DG191" s="242">
        <f>+DG190+DG189+DG188</f>
        <v>198.5</v>
      </c>
      <c r="DH191" s="81">
        <f>IF(ISERROR((DG191/CY191-1)*100),"NA",IF(((DG191/CY191-1)*100)&gt;100,"NM",IF(((DG191/CY191-1)*100)&lt;-50,"NM",(DG191/CY191-1)*100)))</f>
        <v>8.5292509568070116</v>
      </c>
      <c r="DI191" s="242">
        <f>+DI190+DI189+DI188</f>
        <v>187</v>
      </c>
      <c r="DJ191" s="81">
        <f>IF(ISERROR((DI191/DA191-1)*100),"NA",IF(((DI191/DA191-1)*100)&gt;100,"NM",IF(((DI191/DA191-1)*100)&lt;-50,"NM",(DI191/DA191-1)*100)))</f>
        <v>11.508646392367305</v>
      </c>
      <c r="DK191" s="242">
        <f>+DK190+DK189+DK188</f>
        <v>187.5</v>
      </c>
      <c r="DL191" s="81">
        <f>IF(ISERROR((DK191/DC191-1)*100),"NA",IF(((DK191/DC191-1)*100)&gt;100,"NM",IF(((DK191/DC191-1)*100)&lt;-50,"NM",(DK191/DC191-1)*100)))</f>
        <v>4.2245692051139594</v>
      </c>
      <c r="DM191" s="242">
        <f>+DM190+DM189+DM188</f>
        <v>162.5</v>
      </c>
      <c r="DN191" s="81">
        <f>IF(ISERROR((DM191/DE191-1)*100),"NA",IF(((DM191/DE191-1)*100)&gt;100,"NM",IF(((DM191/DE191-1)*100)&lt;-50,"NM",(DM191/DE191-1)*100)))</f>
        <v>-12.257019438444916</v>
      </c>
      <c r="DO191" s="242">
        <f>+DO190+DO189+DO188</f>
        <v>180.79999999999998</v>
      </c>
      <c r="DP191" s="81">
        <f>IF(ISERROR((DO191/DG191-1)*100),"NA",IF(((DO191/DG191-1)*100)&gt;100,"NM",IF(((DO191/DG191-1)*100)&lt;-50,"NM",(DO191/DG191-1)*100)))</f>
        <v>-8.9168765743073095</v>
      </c>
      <c r="DQ191" s="242">
        <f>+DQ190+DQ189+DQ188</f>
        <v>172.6</v>
      </c>
      <c r="DR191" s="81">
        <f>IF(ISERROR((DQ191/DI191-1)*100),"NA",IF(((DQ191/DI191-1)*100)&gt;100,"NM",IF(((DQ191/DI191-1)*100)&lt;-50,"NM",(DQ191/DI191-1)*100)))</f>
        <v>-7.7005347593582911</v>
      </c>
      <c r="DS191" s="242">
        <f>+DS190+DS189+DS188</f>
        <v>185.2</v>
      </c>
      <c r="DT191" s="81">
        <f>IF(ISERROR((DS191/DK191-1)*100),"NA",IF(((DS191/DK191-1)*100)&gt;100,"NM",IF(((DS191/DK191-1)*100)&lt;-50,"NM",(DS191/DK191-1)*100)))</f>
        <v>-1.2266666666666759</v>
      </c>
      <c r="DU191" s="242">
        <f>+DU190+DU189+DU188</f>
        <v>166.10000000000002</v>
      </c>
      <c r="DV191" s="81">
        <f>IF(ISERROR((DU191/DM191-1)*100),"NA",IF(((DU191/DM191-1)*100)&gt;100,"NM",IF(((DU191/DM191-1)*100)&lt;-50,"NM",(DU191/DM191-1)*100)))</f>
        <v>2.2153846153846191</v>
      </c>
      <c r="DW191" s="242">
        <f>+DW190+DW189+DW188</f>
        <v>175</v>
      </c>
      <c r="DX191" s="81">
        <f>IF(ISERROR((DW191/DO191-1)*100),"NA",IF(((DW191/DO191-1)*100)&gt;100,"NM",IF(((DW191/DO191-1)*100)&lt;-50,"NM",(DW191/DO191-1)*100)))</f>
        <v>-3.2079646017698971</v>
      </c>
      <c r="DY191" s="242">
        <f>+DY190+DY189+DY188</f>
        <v>155.80000000000001</v>
      </c>
      <c r="DZ191" s="81">
        <f>IF(ISERROR((DY191/DQ191-1)*100),"NA",IF(((DY191/DQ191-1)*100)&gt;100,"NM",IF(((DY191/DQ191-1)*100)&lt;-50,"NM",(DY191/DQ191-1)*100)))</f>
        <v>-9.7334878331401971</v>
      </c>
      <c r="EA191" s="242">
        <f>+EA190+EA189+EA188</f>
        <v>150.70000000000002</v>
      </c>
      <c r="EB191" s="81">
        <f>IF(ISERROR((EA191/DS191-1)*100),"NA",IF(((EA191/DS191-1)*100)&gt;100,"NM",IF(((EA191/DS191-1)*100)&lt;-50,"NM",(EA191/DS191-1)*100)))</f>
        <v>-18.628509719222453</v>
      </c>
      <c r="EC191" s="242">
        <f>+EC190+EC189+EC188</f>
        <v>147.9</v>
      </c>
      <c r="ED191" s="81">
        <f t="shared" si="622"/>
        <v>-10.957254665863946</v>
      </c>
      <c r="EE191" s="242">
        <f t="shared" ref="EE191:EG191" si="631">+EE190+EE189+EE188</f>
        <v>160</v>
      </c>
      <c r="EF191" s="81">
        <f t="shared" si="623"/>
        <v>-8.5714285714285747</v>
      </c>
      <c r="EG191" s="242">
        <f t="shared" si="631"/>
        <v>160</v>
      </c>
      <c r="EH191" s="81">
        <f t="shared" si="624"/>
        <v>2.695763799743256</v>
      </c>
      <c r="EI191" s="242">
        <f t="shared" ref="EI191" si="632">+EI190+EI189+EI188</f>
        <v>165.4</v>
      </c>
      <c r="EJ191" s="81">
        <f t="shared" si="625"/>
        <v>9.7544790975447881</v>
      </c>
      <c r="EK191" s="242">
        <f t="shared" ref="EK191:EQ191" si="633">+EK190+EK189+EK188</f>
        <v>171.92907235497711</v>
      </c>
      <c r="EL191" s="81">
        <f t="shared" si="626"/>
        <v>16.246837292073767</v>
      </c>
      <c r="EM191" s="242">
        <f t="shared" si="633"/>
        <v>173.67451500973658</v>
      </c>
      <c r="EN191" s="81">
        <f t="shared" si="627"/>
        <v>8.546571881085363</v>
      </c>
      <c r="EO191" s="242">
        <f t="shared" si="633"/>
        <v>175.64256711325305</v>
      </c>
      <c r="EP191" s="81">
        <f t="shared" si="628"/>
        <v>9.7766044457831658</v>
      </c>
      <c r="EQ191" s="242">
        <f t="shared" si="633"/>
        <v>174.27643785951983</v>
      </c>
      <c r="ER191" s="81">
        <f t="shared" si="629"/>
        <v>5.3666492500119789</v>
      </c>
      <c r="ES191" s="138"/>
      <c r="ET191" s="470"/>
      <c r="EU191" s="138"/>
      <c r="EV191" s="242"/>
      <c r="EW191" s="140"/>
      <c r="EX191" s="242"/>
      <c r="EY191" s="79"/>
      <c r="EZ191" s="242"/>
      <c r="FA191" s="79"/>
      <c r="FB191" s="242"/>
      <c r="FC191" s="79"/>
      <c r="FD191" s="242">
        <f>+FD190+FD189+FD188</f>
        <v>403.2</v>
      </c>
      <c r="FE191" s="79" t="str">
        <f>IF(ISERROR((FD191/FB191-1)*100),"NA",IF(((FD191/FB191-1)*100)&gt;100,"NM",IF(((FD191/FB191-1)*100)&lt;-50,"NM",(FD191/FB191-1)*100)))</f>
        <v>NA</v>
      </c>
      <c r="FF191" s="242">
        <f>+FF190+FF189+FF188</f>
        <v>593.4</v>
      </c>
      <c r="FG191" s="79">
        <f>IF(ISERROR((FF191/FD191-1)*100),"NA",IF(((FF191/FD191-1)*100)&gt;100,"NM",IF(((FF191/FD191-1)*100)&lt;-50,"NM",(FF191/FD191-1)*100)))</f>
        <v>47.172619047619044</v>
      </c>
      <c r="FH191" s="242">
        <f>+FH190+FH189+FH188</f>
        <v>801.8</v>
      </c>
      <c r="FI191" s="79">
        <f>IF(ISERROR((FH191/FF191-1)*100),"NA",IF(((FH191/FF191-1)*100)&gt;100,"NM",IF(((FH191/FF191-1)*100)&lt;-50,"NM",(FH191/FF191-1)*100)))</f>
        <v>35.11964947758679</v>
      </c>
      <c r="FJ191" s="242">
        <f>+FJ190+FJ189+FJ188</f>
        <v>939.9</v>
      </c>
      <c r="FK191" s="79">
        <f>IF(ISERROR((FJ191/FH191-1)*100),"NA",IF(((FJ191/FH191-1)*100)&gt;100,"NM",IF(((FJ191/FH191-1)*100)&lt;-50,"NM",(FJ191/FH191-1)*100)))</f>
        <v>17.223746570217013</v>
      </c>
      <c r="FL191" s="242">
        <f>+FL190+FL189+FL188</f>
        <v>1017.5</v>
      </c>
      <c r="FM191" s="79">
        <f>IF(ISERROR((FL191/FJ191-1)*100),"NA",IF(((FL191/FJ191-1)*100)&gt;100,"NM",IF(((FL191/FJ191-1)*100)&lt;-50,"NM",(FL191/FJ191-1)*100)))</f>
        <v>8.2561974678157171</v>
      </c>
      <c r="FN191" s="242">
        <f>+FN190+FN189+FN188</f>
        <v>1158.8</v>
      </c>
      <c r="FO191" s="79">
        <f>IF(ISERROR((FN191/FL191-1)*100),"NA",IF(((FN191/FL191-1)*100)&gt;100,"NM",IF(((FN191/FL191-1)*100)&lt;-50,"NM",(FN191/FL191-1)*100)))</f>
        <v>13.886977886977881</v>
      </c>
      <c r="FP191" s="242">
        <f>+FP190+FP189+FP188</f>
        <v>1073.1999999999998</v>
      </c>
      <c r="FQ191" s="79">
        <f>IF(ISERROR((FP191/FN191-1)*100),"NA",IF(((FP191/FN191-1)*100)&gt;100,"NM",IF(((FP191/FN191-1)*100)&lt;-50,"NM",(FP191/FN191-1)*100)))</f>
        <v>-7.3869520193303506</v>
      </c>
      <c r="FR191" s="242">
        <f>+FR190+FR189+FR188</f>
        <v>812.99999999999989</v>
      </c>
      <c r="FS191" s="79">
        <f>IF(ISERROR((FR191/FP191-1)*100),"NA",IF(((FR191/FP191-1)*100)&gt;100,"NM",IF(((FR191/FP191-1)*100)&lt;-50,"NM",(FR191/FP191-1)*100)))</f>
        <v>-24.245247856876627</v>
      </c>
      <c r="FT191" s="242">
        <f>+FT190+FT189+FT188</f>
        <v>822.3</v>
      </c>
      <c r="FU191" s="79">
        <f>IF(ISERROR((FT191/FR191-1)*100),"NA",IF(((FT191/FR191-1)*100)&gt;100,"NM",IF(((FT191/FR191-1)*100)&lt;-50,"NM",(FT191/FR191-1)*100)))</f>
        <v>1.143911439114409</v>
      </c>
      <c r="FV191" s="242">
        <f>+FV190+FV189+FV188</f>
        <v>877.8</v>
      </c>
      <c r="FW191" s="79">
        <f>IF(ISERROR((FV191/FT191-1)*100),"NA",IF(((FV191/FT191-1)*100)&gt;100,"NM",IF(((FV191/FT191-1)*100)&lt;-50,"NM",(FV191/FT191-1)*100)))</f>
        <v>6.7493615468807056</v>
      </c>
      <c r="FX191" s="242">
        <f>+FX190+FX189+FX188</f>
        <v>865.49999999999989</v>
      </c>
      <c r="FY191" s="79">
        <f>IF(ISERROR((FX191/FV191-1)*100),"NA",IF(((FX191/FV191-1)*100)&gt;100,"NM",IF(((FX191/FV191-1)*100)&lt;-50,"NM",(FX191/FV191-1)*100)))</f>
        <v>-1.4012303485987809</v>
      </c>
      <c r="FZ191" s="242">
        <f>+FZ190+FZ189+FZ188</f>
        <v>705.2</v>
      </c>
      <c r="GA191" s="79">
        <f>IF(ISERROR((FZ191/FX191-1)*100),"NA",IF(((FZ191/FX191-1)*100)&gt;100,"NM",IF(((FZ191/FX191-1)*100)&lt;-50,"NM",(FZ191/FX191-1)*100)))</f>
        <v>-18.521086077411887</v>
      </c>
      <c r="GB191" s="242">
        <f>+GB190+GB189+GB188</f>
        <v>758.19999999999993</v>
      </c>
      <c r="GC191" s="79">
        <f>IF(ISERROR((GB191/FZ191-1)*100),"NA",IF(((GB191/FZ191-1)*100)&gt;100,"NM",IF(((GB191/FZ191-1)*100)&lt;-50,"NM",(GB191/FZ191-1)*100)))</f>
        <v>7.5155984117980523</v>
      </c>
      <c r="GD191" s="242">
        <f>+GD190+GD189+GD188</f>
        <v>701.09999999999991</v>
      </c>
      <c r="GE191" s="79">
        <f>IF(ISERROR((GD191/GB191-1)*100),"NA",IF(((GD191/GB191-1)*100)&gt;100,"NM",IF(((GD191/GB191-1)*100)&lt;-50,"NM",(GD191/GB191-1)*100)))</f>
        <v>-7.5309944605645001</v>
      </c>
      <c r="GF191" s="242">
        <f>+GF190+GF189+GF188</f>
        <v>647.6</v>
      </c>
      <c r="GG191" s="79">
        <f>IF(ISERROR((GF191/GD191-1)*100),"NA",IF(((GF191/GD191-1)*100)&gt;100,"NM",IF(((GF191/GD191-1)*100)&lt;-50,"NM",(GF191/GD191-1)*100)))</f>
        <v>-7.6308657823420223</v>
      </c>
      <c r="GH191" s="242">
        <f>+GH190+GH189+GH188</f>
        <v>633.29999999999995</v>
      </c>
      <c r="GI191" s="79">
        <f>IF(ISERROR((GH191/GF191-1)*100),"NA",IF(((GH191/GF191-1)*100)&gt;100,"NM",IF(((GH191/GF191-1)*100)&lt;-50,"NM",(GH191/GF191-1)*100)))</f>
        <v>-2.2081531809759247</v>
      </c>
      <c r="GJ191" s="242">
        <f>+GJ190+GJ189+GJ188</f>
        <v>695.52259233748646</v>
      </c>
      <c r="GK191" s="79">
        <f>IF(ISERROR((GJ191/GH191-1)*100),"NA",IF(((GJ191/GH191-1)*100)&gt;100,"NM",IF(((GJ191/GH191-1)*100)&lt;-50,"NM",(GJ191/GH191-1)*100)))</f>
        <v>9.8251369552323489</v>
      </c>
      <c r="GL191" s="242">
        <f>+GL190+GL189+GL188</f>
        <v>723.34349603098599</v>
      </c>
      <c r="GM191" s="79">
        <f>IF(ISERROR((GL191/GJ191-1)*100),"NA",IF(((GL191/GJ191-1)*100)&gt;100,"NM",IF(((GL191/GJ191-1)*100)&lt;-50,"NM",(GL191/GJ191-1)*100)))</f>
        <v>4.0000000000000036</v>
      </c>
      <c r="GN191" s="242">
        <f>+GN190+GN189+GN188</f>
        <v>752.27723587222545</v>
      </c>
      <c r="GO191" s="79">
        <f>IF(ISERROR((GN191/GL191-1)*100),"NA",IF(((GN191/GL191-1)*100)&gt;100,"NM",IF(((GN191/GL191-1)*100)&lt;-50,"NM",(GN191/GL191-1)*100)))</f>
        <v>4.0000000000000036</v>
      </c>
      <c r="GP191" s="242">
        <f>+GP190+GP189+GP188</f>
        <v>782.36832530711445</v>
      </c>
      <c r="GQ191" s="79">
        <f>IF(ISERROR((GP191/GN191-1)*100),"NA",IF(((GP191/GN191-1)*100)&gt;100,"NM",IF(((GP191/GN191-1)*100)&lt;-50,"NM",(GP191/GN191-1)*100)))</f>
        <v>4.0000000000000036</v>
      </c>
      <c r="GR191" s="242">
        <f>+GR190+GR189+GR188</f>
        <v>813.66305831939894</v>
      </c>
      <c r="GS191" s="79">
        <f>IF(ISERROR((GR191/GP191-1)*100),"NA",IF(((GR191/GP191-1)*100)&gt;100,"NM",IF(((GR191/GP191-1)*100)&lt;-50,"NM",(GR191/GP191-1)*100)))</f>
        <v>3.9999999999999813</v>
      </c>
      <c r="GT191" s="79">
        <f>IF(ISERROR(((GR191/GH191)^0.2-1)*100),"NA",(IF(OR(((GR191/GH191)^0.2-1)*100&gt;99,((GR191/GH191)^0.2-1)*100&lt;-50),"NM",(((GR191/GH191)^0.2-1)*100))))</f>
        <v>5.1397698803659519</v>
      </c>
      <c r="GU191" s="562"/>
      <c r="GV191" s="562"/>
      <c r="GW191"/>
      <c r="GX191"/>
      <c r="GY191"/>
      <c r="GZ191"/>
      <c r="HA191"/>
      <c r="HB191"/>
      <c r="HC191" s="562"/>
      <c r="HD191" s="562"/>
      <c r="HE191" s="562"/>
      <c r="HF191" s="562"/>
      <c r="HG191" s="562"/>
      <c r="HH191" s="562"/>
      <c r="HI191" s="562"/>
      <c r="HJ191" s="562"/>
      <c r="HK191" s="562"/>
      <c r="HL191" s="562"/>
      <c r="HM191" s="562"/>
      <c r="HN191" s="562"/>
      <c r="HO191" s="562"/>
      <c r="HP191" s="562"/>
      <c r="HQ191" s="562"/>
      <c r="HR191" s="562"/>
      <c r="HS191" s="562"/>
      <c r="HT191" s="562"/>
      <c r="HU191" s="562"/>
      <c r="HV191" s="562"/>
      <c r="HW191" s="562"/>
      <c r="HX191" s="562"/>
      <c r="HY191" s="562"/>
      <c r="HZ191" s="562"/>
      <c r="IA191" s="562"/>
      <c r="IB191" s="562"/>
      <c r="IC191" s="562"/>
      <c r="ID191" s="562"/>
      <c r="IE191" s="562"/>
      <c r="IF191" s="562"/>
      <c r="IG191" s="562"/>
      <c r="IH191" s="562"/>
      <c r="II191" s="562"/>
      <c r="IJ191" s="562"/>
      <c r="IK191" s="562"/>
      <c r="IL191" s="562"/>
      <c r="IM191" s="562"/>
      <c r="IN191" s="562"/>
      <c r="IO191" s="562"/>
      <c r="IP191" s="562"/>
      <c r="IQ191" s="562"/>
      <c r="IR191" s="562"/>
      <c r="IS191" s="562"/>
      <c r="IT191" s="562"/>
      <c r="IU191" s="562"/>
      <c r="IV191" s="562"/>
      <c r="IW191" s="562"/>
      <c r="IX191" s="562"/>
      <c r="IY191" s="562"/>
      <c r="IZ191" s="562"/>
      <c r="JA191" s="562"/>
      <c r="JB191" s="562"/>
      <c r="JC191" s="562"/>
      <c r="JD191" s="562"/>
      <c r="JE191" s="562"/>
      <c r="JF191" s="562"/>
      <c r="JG191" s="562"/>
      <c r="JH191" s="562"/>
      <c r="JI191" s="562"/>
      <c r="JJ191" s="562"/>
      <c r="JK191" s="562"/>
      <c r="JL191" s="562"/>
      <c r="JM191" s="562"/>
      <c r="JN191" s="562"/>
      <c r="JO191" s="562"/>
      <c r="JP191" s="562"/>
      <c r="JQ191" s="562"/>
      <c r="JR191" s="562"/>
      <c r="JS191" s="562"/>
      <c r="JT191" s="562"/>
      <c r="JU191" s="562"/>
      <c r="JV191" s="562"/>
      <c r="JW191" s="562"/>
      <c r="JX191" s="562"/>
      <c r="JY191" s="562"/>
      <c r="JZ191" s="562"/>
    </row>
    <row r="192" spans="1:286" s="247" customFormat="1" ht="12.75" customHeight="1" x14ac:dyDescent="0.2">
      <c r="A192" s="245"/>
      <c r="B192" s="10"/>
      <c r="C192" s="79"/>
      <c r="D192" s="79"/>
      <c r="E192" s="129"/>
      <c r="F192" s="129"/>
      <c r="G192" s="129"/>
      <c r="H192" s="129"/>
      <c r="I192" s="129"/>
      <c r="J192" s="129"/>
      <c r="K192" s="129"/>
      <c r="L192" s="79"/>
      <c r="M192" s="129"/>
      <c r="N192" s="79"/>
      <c r="O192" s="129"/>
      <c r="P192" s="79"/>
      <c r="Q192" s="129"/>
      <c r="R192" s="79"/>
      <c r="S192" s="129"/>
      <c r="T192" s="79"/>
      <c r="U192" s="129"/>
      <c r="V192" s="79"/>
      <c r="W192" s="129"/>
      <c r="X192" s="79"/>
      <c r="Y192" s="129"/>
      <c r="Z192" s="79"/>
      <c r="AA192" s="130"/>
      <c r="AB192" s="79"/>
      <c r="AC192" s="129"/>
      <c r="AD192" s="79"/>
      <c r="AE192" s="129"/>
      <c r="AF192" s="79"/>
      <c r="AG192" s="129"/>
      <c r="AH192" s="79"/>
      <c r="AI192" s="129"/>
      <c r="AJ192" s="79"/>
      <c r="AK192" s="129"/>
      <c r="AL192" s="79"/>
      <c r="AM192" s="129"/>
      <c r="AN192" s="79"/>
      <c r="AO192" s="129"/>
      <c r="AP192" s="79"/>
      <c r="AQ192" s="129"/>
      <c r="AR192" s="79"/>
      <c r="AS192" s="129"/>
      <c r="AT192" s="81"/>
      <c r="AU192" s="129"/>
      <c r="AV192" s="81"/>
      <c r="AW192" s="129"/>
      <c r="AX192" s="81"/>
      <c r="AY192" s="129"/>
      <c r="AZ192" s="81"/>
      <c r="BA192" s="129"/>
      <c r="BB192" s="81"/>
      <c r="BC192" s="129"/>
      <c r="BD192" s="81"/>
      <c r="BE192" s="129"/>
      <c r="BF192" s="81"/>
      <c r="BG192" s="129"/>
      <c r="BH192" s="81"/>
      <c r="BI192" s="129"/>
      <c r="BJ192" s="81"/>
      <c r="BK192" s="129"/>
      <c r="BL192" s="81"/>
      <c r="BM192" s="129"/>
      <c r="BN192" s="81"/>
      <c r="BO192" s="129"/>
      <c r="BP192" s="81"/>
      <c r="BQ192" s="129"/>
      <c r="BR192" s="81"/>
      <c r="BS192" s="129"/>
      <c r="BT192" s="81"/>
      <c r="BU192" s="129"/>
      <c r="BV192" s="81"/>
      <c r="BW192" s="129"/>
      <c r="BX192" s="81"/>
      <c r="BY192" s="129"/>
      <c r="BZ192" s="81"/>
      <c r="CA192" s="129"/>
      <c r="CB192" s="81"/>
      <c r="CC192" s="129"/>
      <c r="CD192" s="81"/>
      <c r="CE192" s="129"/>
      <c r="CF192" s="81"/>
      <c r="CG192" s="129"/>
      <c r="CH192" s="81"/>
      <c r="CI192" s="129"/>
      <c r="CJ192" s="81"/>
      <c r="CK192" s="129"/>
      <c r="CL192" s="81"/>
      <c r="CM192" s="129"/>
      <c r="CN192" s="81"/>
      <c r="CO192" s="129"/>
      <c r="CP192" s="81"/>
      <c r="CQ192" s="129"/>
      <c r="CR192" s="81"/>
      <c r="CS192" s="129"/>
      <c r="CT192" s="81"/>
      <c r="CU192" s="129"/>
      <c r="CV192" s="81"/>
      <c r="CW192" s="129"/>
      <c r="CX192" s="81"/>
      <c r="CY192" s="129"/>
      <c r="CZ192" s="81"/>
      <c r="DA192" s="129"/>
      <c r="DB192" s="81"/>
      <c r="DC192" s="129"/>
      <c r="DD192" s="81"/>
      <c r="DE192" s="129"/>
      <c r="DF192" s="81"/>
      <c r="DG192" s="129"/>
      <c r="DH192" s="81"/>
      <c r="DI192" s="129"/>
      <c r="DJ192" s="81"/>
      <c r="DK192" s="129"/>
      <c r="DL192" s="81"/>
      <c r="DM192" s="129"/>
      <c r="DN192" s="81"/>
      <c r="DO192" s="129"/>
      <c r="DP192" s="81"/>
      <c r="DQ192" s="129"/>
      <c r="DR192" s="81"/>
      <c r="DS192" s="129"/>
      <c r="DT192" s="81"/>
      <c r="DU192" s="129"/>
      <c r="DV192" s="81"/>
      <c r="DW192" s="129"/>
      <c r="DX192" s="81"/>
      <c r="DY192" s="129"/>
      <c r="DZ192" s="81"/>
      <c r="EA192" s="129"/>
      <c r="EB192" s="81"/>
      <c r="EC192" s="129"/>
      <c r="ED192" s="81"/>
      <c r="EE192" s="129"/>
      <c r="EF192" s="81"/>
      <c r="EG192" s="129"/>
      <c r="EH192" s="81"/>
      <c r="EI192" s="129"/>
      <c r="EJ192" s="81"/>
      <c r="EK192" s="129"/>
      <c r="EL192" s="81"/>
      <c r="EM192" s="129"/>
      <c r="EN192" s="81"/>
      <c r="EO192" s="129"/>
      <c r="EP192" s="81"/>
      <c r="EQ192" s="129"/>
      <c r="ER192" s="81"/>
      <c r="ES192" s="129"/>
      <c r="ET192" s="469"/>
      <c r="EU192" s="129"/>
      <c r="EV192" s="129"/>
      <c r="EW192" s="79"/>
      <c r="EX192" s="129"/>
      <c r="EY192" s="79"/>
      <c r="EZ192" s="129"/>
      <c r="FA192" s="79"/>
      <c r="FB192" s="129"/>
      <c r="FC192" s="79"/>
      <c r="FD192" s="129"/>
      <c r="FE192" s="79"/>
      <c r="FF192" s="129"/>
      <c r="FG192" s="79"/>
      <c r="FH192" s="129"/>
      <c r="FI192" s="79"/>
      <c r="FJ192" s="129"/>
      <c r="FK192" s="79"/>
      <c r="FL192" s="246"/>
      <c r="FM192" s="79"/>
      <c r="FN192" s="246"/>
      <c r="FO192" s="79"/>
      <c r="FP192" s="246"/>
      <c r="FQ192" s="79"/>
      <c r="FR192" s="129"/>
      <c r="FS192" s="79"/>
      <c r="FT192" s="129"/>
      <c r="FU192" s="79"/>
      <c r="FV192" s="129"/>
      <c r="FW192" s="79"/>
      <c r="FX192" s="129"/>
      <c r="FY192" s="79"/>
      <c r="FZ192" s="129"/>
      <c r="GA192" s="79"/>
      <c r="GB192" s="129"/>
      <c r="GC192" s="79"/>
      <c r="GD192" s="129"/>
      <c r="GE192" s="79"/>
      <c r="GF192" s="129"/>
      <c r="GG192" s="79"/>
      <c r="GH192" s="129"/>
      <c r="GI192" s="79"/>
      <c r="GJ192" s="129"/>
      <c r="GK192" s="79"/>
      <c r="GL192" s="129"/>
      <c r="GM192" s="79"/>
      <c r="GN192" s="129"/>
      <c r="GO192" s="79"/>
      <c r="GP192" s="129"/>
      <c r="GQ192" s="79"/>
      <c r="GR192" s="129"/>
      <c r="GS192" s="79"/>
      <c r="GT192" s="79"/>
      <c r="GU192" s="562"/>
      <c r="GV192" s="562"/>
      <c r="GW192"/>
      <c r="GX192"/>
      <c r="GY192"/>
      <c r="GZ192"/>
      <c r="HA192"/>
      <c r="HB192"/>
      <c r="HC192" s="562"/>
      <c r="HD192" s="562"/>
      <c r="HE192" s="562"/>
      <c r="HF192" s="562"/>
      <c r="HG192" s="562"/>
      <c r="HH192" s="562"/>
      <c r="HI192" s="562"/>
      <c r="HJ192" s="562"/>
      <c r="HK192" s="562"/>
      <c r="HL192" s="562"/>
      <c r="HM192" s="562"/>
      <c r="HN192" s="562"/>
      <c r="HO192" s="562"/>
      <c r="HP192" s="562"/>
      <c r="HQ192" s="562"/>
      <c r="HR192" s="562"/>
      <c r="HS192" s="562"/>
      <c r="HT192" s="562"/>
      <c r="HU192" s="562"/>
      <c r="HV192" s="562"/>
      <c r="HW192" s="562"/>
      <c r="HX192" s="562"/>
      <c r="HY192" s="562"/>
      <c r="HZ192" s="562"/>
      <c r="IA192" s="562"/>
      <c r="IB192" s="562"/>
      <c r="IC192" s="562"/>
      <c r="ID192" s="562"/>
      <c r="IE192" s="562"/>
      <c r="IF192" s="562"/>
      <c r="IG192" s="562"/>
      <c r="IH192" s="562"/>
      <c r="II192" s="562"/>
      <c r="IJ192" s="562"/>
      <c r="IK192" s="562"/>
      <c r="IL192" s="562"/>
      <c r="IM192" s="562"/>
      <c r="IN192" s="562"/>
      <c r="IO192" s="562"/>
      <c r="IP192" s="562"/>
      <c r="IQ192" s="562"/>
      <c r="IR192" s="562"/>
      <c r="IS192" s="562"/>
      <c r="IT192" s="562"/>
      <c r="IU192" s="562"/>
      <c r="IV192" s="562"/>
      <c r="IW192" s="562"/>
      <c r="IX192" s="562"/>
      <c r="IY192" s="562"/>
      <c r="IZ192" s="562"/>
      <c r="JA192" s="562"/>
      <c r="JB192" s="562"/>
      <c r="JC192" s="562"/>
      <c r="JD192" s="562"/>
      <c r="JE192" s="562"/>
      <c r="JF192" s="562"/>
      <c r="JG192" s="562"/>
      <c r="JH192" s="562"/>
      <c r="JI192" s="562"/>
      <c r="JJ192" s="562"/>
      <c r="JK192" s="562"/>
      <c r="JL192" s="562"/>
      <c r="JM192" s="562"/>
      <c r="JN192" s="562"/>
      <c r="JO192" s="562"/>
      <c r="JP192" s="562"/>
      <c r="JQ192" s="562"/>
      <c r="JR192" s="562"/>
      <c r="JS192" s="562"/>
      <c r="JT192" s="562"/>
      <c r="JU192" s="562"/>
      <c r="JV192" s="562"/>
      <c r="JW192" s="562"/>
      <c r="JX192" s="562"/>
      <c r="JY192" s="562"/>
      <c r="JZ192" s="562"/>
    </row>
    <row r="193" spans="1:286" s="247" customFormat="1" ht="12.75" customHeight="1" x14ac:dyDescent="0.2">
      <c r="A193" s="245"/>
      <c r="B193" s="83" t="s">
        <v>451</v>
      </c>
      <c r="C193" s="79"/>
      <c r="D193" s="79"/>
      <c r="E193" s="129"/>
      <c r="F193" s="129"/>
      <c r="G193" s="129"/>
      <c r="H193" s="129"/>
      <c r="I193" s="129"/>
      <c r="J193" s="129"/>
      <c r="K193" s="129"/>
      <c r="L193" s="79"/>
      <c r="M193" s="129"/>
      <c r="N193" s="79"/>
      <c r="O193" s="129"/>
      <c r="P193" s="79"/>
      <c r="Q193" s="129"/>
      <c r="R193" s="79"/>
      <c r="S193" s="129"/>
      <c r="T193" s="79"/>
      <c r="U193" s="129"/>
      <c r="V193" s="79"/>
      <c r="W193" s="129"/>
      <c r="X193" s="79"/>
      <c r="Y193" s="129"/>
      <c r="Z193" s="79"/>
      <c r="AA193" s="130"/>
      <c r="AB193" s="79"/>
      <c r="AC193" s="129"/>
      <c r="AD193" s="79"/>
      <c r="AE193" s="129"/>
      <c r="AF193" s="79"/>
      <c r="AG193" s="129"/>
      <c r="AH193" s="79"/>
      <c r="AI193" s="129"/>
      <c r="AJ193" s="79"/>
      <c r="AK193" s="129"/>
      <c r="AL193" s="79"/>
      <c r="AM193" s="129"/>
      <c r="AN193" s="79"/>
      <c r="AO193" s="129"/>
      <c r="AP193" s="79"/>
      <c r="AQ193" s="129"/>
      <c r="AR193" s="79"/>
      <c r="AS193" s="129"/>
      <c r="AT193" s="81"/>
      <c r="AU193" s="129"/>
      <c r="AV193" s="81"/>
      <c r="AW193" s="129"/>
      <c r="AX193" s="81"/>
      <c r="AY193" s="129"/>
      <c r="AZ193" s="81"/>
      <c r="BA193" s="129"/>
      <c r="BB193" s="81"/>
      <c r="BC193" s="129"/>
      <c r="BD193" s="81"/>
      <c r="BE193" s="129"/>
      <c r="BF193" s="81"/>
      <c r="BG193" s="129"/>
      <c r="BH193" s="81"/>
      <c r="BI193" s="129"/>
      <c r="BJ193" s="81"/>
      <c r="BK193" s="129"/>
      <c r="BL193" s="81"/>
      <c r="BM193" s="129"/>
      <c r="BN193" s="81"/>
      <c r="BO193" s="129"/>
      <c r="BP193" s="81"/>
      <c r="BQ193" s="129"/>
      <c r="BR193" s="81"/>
      <c r="BS193" s="129"/>
      <c r="BT193" s="81"/>
      <c r="BU193" s="129"/>
      <c r="BV193" s="81"/>
      <c r="BW193" s="129"/>
      <c r="BX193" s="81"/>
      <c r="BY193" s="129"/>
      <c r="BZ193" s="81"/>
      <c r="CA193" s="129"/>
      <c r="CB193" s="81"/>
      <c r="CC193" s="129"/>
      <c r="CD193" s="81"/>
      <c r="CE193" s="129"/>
      <c r="CF193" s="81"/>
      <c r="CG193" s="129"/>
      <c r="CH193" s="81"/>
      <c r="CI193" s="129"/>
      <c r="CJ193" s="81"/>
      <c r="CK193" s="129"/>
      <c r="CL193" s="81"/>
      <c r="CM193" s="129"/>
      <c r="CN193" s="81"/>
      <c r="CO193" s="129"/>
      <c r="CP193" s="81"/>
      <c r="CQ193" s="129"/>
      <c r="CR193" s="81"/>
      <c r="CS193" s="129"/>
      <c r="CT193" s="81"/>
      <c r="CU193" s="129"/>
      <c r="CV193" s="81"/>
      <c r="CW193" s="129"/>
      <c r="CX193" s="81"/>
      <c r="CY193" s="129"/>
      <c r="CZ193" s="81"/>
      <c r="DA193" s="129"/>
      <c r="DB193" s="81"/>
      <c r="DC193" s="129"/>
      <c r="DD193" s="81"/>
      <c r="DE193" s="129"/>
      <c r="DF193" s="81"/>
      <c r="DG193" s="129"/>
      <c r="DH193" s="81"/>
      <c r="DI193" s="129"/>
      <c r="DJ193" s="81"/>
      <c r="DK193" s="129"/>
      <c r="DL193" s="81"/>
      <c r="DM193" s="129"/>
      <c r="DN193" s="81"/>
      <c r="DO193" s="129"/>
      <c r="DP193" s="81"/>
      <c r="DQ193" s="129"/>
      <c r="DR193" s="81"/>
      <c r="DS193" s="129"/>
      <c r="DT193" s="81"/>
      <c r="DU193" s="129"/>
      <c r="DV193" s="81"/>
      <c r="DW193" s="129"/>
      <c r="DX193" s="81"/>
      <c r="DY193" s="129"/>
      <c r="DZ193" s="81"/>
      <c r="EA193" s="129"/>
      <c r="EB193" s="81"/>
      <c r="EC193" s="129"/>
      <c r="ED193" s="81"/>
      <c r="EE193" s="129"/>
      <c r="EF193" s="81"/>
      <c r="EG193" s="129"/>
      <c r="EH193" s="81"/>
      <c r="EI193" s="129"/>
      <c r="EJ193" s="81"/>
      <c r="EK193" s="129"/>
      <c r="EL193" s="81"/>
      <c r="EM193" s="129"/>
      <c r="EN193" s="81"/>
      <c r="EO193" s="129"/>
      <c r="EP193" s="81"/>
      <c r="EQ193" s="129"/>
      <c r="ER193" s="81"/>
      <c r="ES193" s="129"/>
      <c r="ET193" s="469"/>
      <c r="EU193" s="129"/>
      <c r="EV193" s="129"/>
      <c r="EW193" s="79"/>
      <c r="EX193" s="129"/>
      <c r="EY193" s="79"/>
      <c r="EZ193" s="129"/>
      <c r="FA193" s="79"/>
      <c r="FB193" s="129"/>
      <c r="FC193" s="79"/>
      <c r="FD193" s="129"/>
      <c r="FE193" s="79"/>
      <c r="FF193" s="129"/>
      <c r="FG193" s="79"/>
      <c r="FH193" s="129"/>
      <c r="FI193" s="79"/>
      <c r="FJ193" s="129"/>
      <c r="FK193" s="79"/>
      <c r="FL193" s="246"/>
      <c r="FM193" s="79"/>
      <c r="FN193" s="246"/>
      <c r="FO193" s="79"/>
      <c r="FP193" s="246"/>
      <c r="FQ193" s="79"/>
      <c r="FR193" s="129"/>
      <c r="FS193" s="79"/>
      <c r="FT193" s="129"/>
      <c r="FU193" s="79"/>
      <c r="FV193" s="129"/>
      <c r="FW193" s="79"/>
      <c r="FX193" s="129"/>
      <c r="FY193" s="79"/>
      <c r="FZ193" s="129"/>
      <c r="GA193" s="79"/>
      <c r="GB193" s="129"/>
      <c r="GC193" s="79"/>
      <c r="GD193" s="129"/>
      <c r="GE193" s="79"/>
      <c r="GF193" s="129"/>
      <c r="GG193" s="79"/>
      <c r="GH193" s="129"/>
      <c r="GI193" s="79"/>
      <c r="GJ193" s="129"/>
      <c r="GK193" s="79"/>
      <c r="GL193" s="129"/>
      <c r="GM193" s="79"/>
      <c r="GN193" s="129"/>
      <c r="GO193" s="79"/>
      <c r="GP193" s="129"/>
      <c r="GQ193" s="79"/>
      <c r="GR193" s="129"/>
      <c r="GS193" s="79"/>
      <c r="GT193" s="79"/>
      <c r="GU193" s="562"/>
      <c r="GV193" s="562"/>
      <c r="GW193"/>
      <c r="GX193"/>
      <c r="GY193"/>
      <c r="GZ193"/>
      <c r="HA193"/>
      <c r="HB193"/>
      <c r="HC193" s="562"/>
      <c r="HD193" s="562"/>
      <c r="HE193" s="562"/>
      <c r="HF193" s="562"/>
      <c r="HG193" s="562"/>
      <c r="HH193" s="562"/>
      <c r="HI193" s="562"/>
      <c r="HJ193" s="562"/>
      <c r="HK193" s="562"/>
      <c r="HL193" s="562"/>
      <c r="HM193" s="562"/>
      <c r="HN193" s="562"/>
      <c r="HO193" s="562"/>
      <c r="HP193" s="562"/>
      <c r="HQ193" s="562"/>
      <c r="HR193" s="562"/>
      <c r="HS193" s="562"/>
      <c r="HT193" s="562"/>
      <c r="HU193" s="562"/>
      <c r="HV193" s="562"/>
      <c r="HW193" s="562"/>
      <c r="HX193" s="562"/>
      <c r="HY193" s="562"/>
      <c r="HZ193" s="562"/>
      <c r="IA193" s="562"/>
      <c r="IB193" s="562"/>
      <c r="IC193" s="562"/>
      <c r="ID193" s="562"/>
      <c r="IE193" s="562"/>
      <c r="IF193" s="562"/>
      <c r="IG193" s="562"/>
      <c r="IH193" s="562"/>
      <c r="II193" s="562"/>
      <c r="IJ193" s="562"/>
      <c r="IK193" s="562"/>
      <c r="IL193" s="562"/>
      <c r="IM193" s="562"/>
      <c r="IN193" s="562"/>
      <c r="IO193" s="562"/>
      <c r="IP193" s="562"/>
      <c r="IQ193" s="562"/>
      <c r="IR193" s="562"/>
      <c r="IS193" s="562"/>
      <c r="IT193" s="562"/>
      <c r="IU193" s="562"/>
      <c r="IV193" s="562"/>
      <c r="IW193" s="562"/>
      <c r="IX193" s="562"/>
      <c r="IY193" s="562"/>
      <c r="IZ193" s="562"/>
      <c r="JA193" s="562"/>
      <c r="JB193" s="562"/>
      <c r="JC193" s="562"/>
      <c r="JD193" s="562"/>
      <c r="JE193" s="562"/>
      <c r="JF193" s="562"/>
      <c r="JG193" s="562"/>
      <c r="JH193" s="562"/>
      <c r="JI193" s="562"/>
      <c r="JJ193" s="562"/>
      <c r="JK193" s="562"/>
      <c r="JL193" s="562"/>
      <c r="JM193" s="562"/>
      <c r="JN193" s="562"/>
      <c r="JO193" s="562"/>
      <c r="JP193" s="562"/>
      <c r="JQ193" s="562"/>
      <c r="JR193" s="562"/>
      <c r="JS193" s="562"/>
      <c r="JT193" s="562"/>
      <c r="JU193" s="562"/>
      <c r="JV193" s="562"/>
      <c r="JW193" s="562"/>
      <c r="JX193" s="562"/>
      <c r="JY193" s="562"/>
      <c r="JZ193" s="562"/>
    </row>
    <row r="194" spans="1:286" s="249" customFormat="1" ht="12.75" customHeight="1" x14ac:dyDescent="0.2">
      <c r="A194" s="248"/>
      <c r="B194" s="10" t="s">
        <v>196</v>
      </c>
      <c r="C194" s="79"/>
      <c r="D194" s="79"/>
      <c r="E194" s="95"/>
      <c r="F194" s="95"/>
      <c r="G194" s="95"/>
      <c r="H194" s="95"/>
      <c r="I194" s="95"/>
      <c r="J194" s="95"/>
      <c r="K194" s="95"/>
      <c r="L194" s="79"/>
      <c r="M194" s="95"/>
      <c r="N194" s="79"/>
      <c r="O194" s="95"/>
      <c r="P194" s="79"/>
      <c r="Q194" s="95"/>
      <c r="R194" s="79"/>
      <c r="S194" s="95"/>
      <c r="T194" s="79"/>
      <c r="U194" s="95"/>
      <c r="V194" s="79"/>
      <c r="W194" s="95"/>
      <c r="X194" s="79"/>
      <c r="Y194" s="95"/>
      <c r="Z194" s="79"/>
      <c r="AA194" s="126"/>
      <c r="AB194" s="79"/>
      <c r="AC194" s="95">
        <f>226.8-AE194</f>
        <v>106.70000000000002</v>
      </c>
      <c r="AD194" s="79" t="str">
        <f>IF(ISERROR((AC194/U194-1)*100),"NA",IF(((AC194/U194-1)*100)&gt;100,"NM",IF(((AC194/U194-1)*100)&lt;-50,"NM",(AC194/U194-1)*100)))</f>
        <v>NA</v>
      </c>
      <c r="AE194" s="95">
        <v>120.1</v>
      </c>
      <c r="AF194" s="79" t="str">
        <f>IF(ISERROR((AE194/W194-1)*100),"NA",IF(((AE194/W194-1)*100)&gt;100,"NM",IF(((AE194/W194-1)*100)&lt;-50,"NM",(AE194/W194-1)*100)))</f>
        <v>NA</v>
      </c>
      <c r="AG194" s="95">
        <v>120.2</v>
      </c>
      <c r="AH194" s="79" t="str">
        <f>IF(ISERROR((AG194/Y194-1)*100),"NA",IF(((AG194/Y194-1)*100)&gt;100,"NM",IF(((AG194/Y194-1)*100)&lt;-50,"NM",(AG194/Y194-1)*100)))</f>
        <v>NA</v>
      </c>
      <c r="AI194" s="75">
        <f>FH194-AG194-AE194-AC194</f>
        <v>117.5</v>
      </c>
      <c r="AJ194" s="79" t="str">
        <f>IF(ISERROR((AI194/AA194-1)*100),"NA",IF(((AI194/AA194-1)*100)&gt;100,"NM",IF(((AI194/AA194-1)*100)&lt;-50,"NM",(AI194/AA194-1)*100)))</f>
        <v>NA</v>
      </c>
      <c r="AK194" s="95">
        <f>269.8-AM194</f>
        <v>129.4</v>
      </c>
      <c r="AL194" s="79">
        <f>IF(ISERROR((AK194/AC194-1)*100),"NA",IF(((AK194/AC194-1)*100)&gt;100,"NM",IF(((AK194/AC194-1)*100)&lt;-50,"NM",(AK194/AC194-1)*100)))</f>
        <v>21.274601686972815</v>
      </c>
      <c r="AM194" s="95">
        <v>140.4</v>
      </c>
      <c r="AN194" s="79">
        <f>IF(ISERROR((AM194/AE194-1)*100),"NA",IF(((AM194/AE194-1)*100)&gt;100,"NM",IF(((AM194/AE194-1)*100)&lt;-50,"NM",(AM194/AE194-1)*100)))</f>
        <v>16.902581182348065</v>
      </c>
      <c r="AO194" s="95">
        <v>146.1</v>
      </c>
      <c r="AP194" s="79">
        <f>IF(ISERROR((AO194/AG194-1)*100),"NA",IF(((AO194/AG194-1)*100)&gt;100,"NM",IF(((AO194/AG194-1)*100)&lt;-50,"NM",(AO194/AG194-1)*100)))</f>
        <v>21.54742096505824</v>
      </c>
      <c r="AQ194" s="95">
        <v>129.9</v>
      </c>
      <c r="AR194" s="79">
        <f>IF(ISERROR((AQ194/AI194-1)*100),"NA",IF(((AQ194/AI194-1)*100)&gt;100,"NM",IF(((AQ194/AI194-1)*100)&lt;-50,"NM",(AQ194/AI194-1)*100)))</f>
        <v>10.553191489361712</v>
      </c>
      <c r="AS194" s="95">
        <v>129.1</v>
      </c>
      <c r="AT194" s="81">
        <f>IF(ISERROR((AS194/AK194-1)*100),"NA",IF(((AS194/AK194-1)*100)&gt;100,"NM",IF(((AS194/AK194-1)*100)&lt;-50,"NM",(AS194/AK194-1)*100)))</f>
        <v>-0.23183925811438577</v>
      </c>
      <c r="AU194" s="95">
        <v>137.80000000000001</v>
      </c>
      <c r="AV194" s="81">
        <f>IF(ISERROR((AU194/AM194-1)*100),"NA",IF(((AU194/AM194-1)*100)&gt;100,"NM",IF(((AU194/AM194-1)*100)&lt;-50,"NM",(AU194/AM194-1)*100)))</f>
        <v>-1.851851851851849</v>
      </c>
      <c r="AW194" s="95">
        <v>147.6</v>
      </c>
      <c r="AX194" s="81">
        <f>IF(ISERROR((AW194/AO194-1)*100),"NA",IF(((AW194/AO194-1)*100)&gt;100,"NM",IF(((AW194/AO194-1)*100)&lt;-50,"NM",(AW194/AO194-1)*100)))</f>
        <v>1.0266940451745477</v>
      </c>
      <c r="AY194" s="95">
        <v>139</v>
      </c>
      <c r="AZ194" s="81">
        <f>IF(ISERROR((AY194/AQ194-1)*100),"NA",IF(((AY194/AQ194-1)*100)&gt;100,"NM",IF(((AY194/AQ194-1)*100)&lt;-50,"NM",(AY194/AQ194-1)*100)))</f>
        <v>7.0053887605850518</v>
      </c>
      <c r="BA194" s="95">
        <v>135.80000000000001</v>
      </c>
      <c r="BB194" s="81">
        <f>IF(ISERROR((BA194/AS194-1)*100),"NA",IF(((BA194/AS194-1)*100)&gt;100,"NM",IF(((BA194/AS194-1)*100)&lt;-50,"NM",(BA194/AS194-1)*100)))</f>
        <v>5.1897753679318592</v>
      </c>
      <c r="BC194" s="95">
        <v>153.6</v>
      </c>
      <c r="BD194" s="81">
        <f>IF(ISERROR((BC194/AU194-1)*100),"NA",IF(((BC194/AU194-1)*100)&gt;100,"NM",IF(((BC194/AU194-1)*100)&lt;-50,"NM",(BC194/AU194-1)*100)))</f>
        <v>11.465892597968065</v>
      </c>
      <c r="BE194" s="95">
        <v>132</v>
      </c>
      <c r="BF194" s="81">
        <f>IF(ISERROR((BE194/AW194-1)*100),"NA",IF(((BE194/AW194-1)*100)&gt;100,"NM",IF(((BE194/AW194-1)*100)&lt;-50,"NM",(BE194/AW194-1)*100)))</f>
        <v>-10.569105691056912</v>
      </c>
      <c r="BG194" s="95">
        <v>152.9</v>
      </c>
      <c r="BH194" s="81">
        <f>IF(ISERROR((BG194/AY194-1)*100),"NA",IF(((BG194/AY194-1)*100)&gt;100,"NM",IF(((BG194/AY194-1)*100)&lt;-50,"NM",(BG194/AY194-1)*100)))</f>
        <v>10.000000000000009</v>
      </c>
      <c r="BI194" s="95">
        <v>137.80000000000001</v>
      </c>
      <c r="BJ194" s="81">
        <f>IF(ISERROR((BI194/BA194-1)*100),"NA",IF(((BI194/BA194-1)*100)&gt;100,"NM",IF(((BI194/BA194-1)*100)&lt;-50,"NM",(BI194/BA194-1)*100)))</f>
        <v>1.4727540500736325</v>
      </c>
      <c r="BK194" s="95">
        <v>141</v>
      </c>
      <c r="BL194" s="81">
        <f>IF(ISERROR((BK194/BC194-1)*100),"NA",IF(((BK194/BC194-1)*100)&gt;100,"NM",IF(((BK194/BC194-1)*100)&lt;-50,"NM",(BK194/BC194-1)*100)))</f>
        <v>-8.203125</v>
      </c>
      <c r="BM194" s="95">
        <v>117.8</v>
      </c>
      <c r="BN194" s="81">
        <f>IF(ISERROR((BM194/BE194-1)*100),"NA",IF(((BM194/BE194-1)*100)&gt;100,"NM",IF(((BM194/BE194-1)*100)&lt;-50,"NM",(BM194/BE194-1)*100)))</f>
        <v>-10.757575757575754</v>
      </c>
      <c r="BO194" s="95">
        <v>114.8</v>
      </c>
      <c r="BP194" s="81">
        <f>IF(ISERROR((BO194/BG194-1)*100),"NA",IF(((BO194/BG194-1)*100)&gt;100,"NM",IF(((BO194/BG194-1)*100)&lt;-50,"NM",(BO194/BG194-1)*100)))</f>
        <v>-24.918247220405497</v>
      </c>
      <c r="BQ194" s="95">
        <v>86.8</v>
      </c>
      <c r="BR194" s="81">
        <f>IF(ISERROR((BQ194/BI194-1)*100),"NA",IF(((BQ194/BI194-1)*100)&gt;100,"NM",IF(((BQ194/BI194-1)*100)&lt;-50,"NM",(BQ194/BI194-1)*100)))</f>
        <v>-37.010159651669092</v>
      </c>
      <c r="BS194" s="95">
        <v>94.3</v>
      </c>
      <c r="BT194" s="81">
        <f>IF(ISERROR((BS194/BK194-1)*100),"NA",IF(((BS194/BK194-1)*100)&gt;100,"NM",IF(((BS194/BK194-1)*100)&lt;-50,"NM",(BS194/BK194-1)*100)))</f>
        <v>-33.120567375886523</v>
      </c>
      <c r="BU194" s="95">
        <v>85.2</v>
      </c>
      <c r="BV194" s="81">
        <f>IF(ISERROR((BU194/BM194-1)*100),"NA",IF(((BU194/BM194-1)*100)&gt;100,"NM",IF(((BU194/BM194-1)*100)&lt;-50,"NM",(BU194/BM194-1)*100)))</f>
        <v>-27.674023769100163</v>
      </c>
      <c r="BW194" s="95">
        <v>107.3</v>
      </c>
      <c r="BX194" s="81">
        <f>IF(ISERROR((BW194/BO194-1)*100),"NA",IF(((BW194/BO194-1)*100)&gt;100,"NM",IF(((BW194/BO194-1)*100)&lt;-50,"NM",(BW194/BO194-1)*100)))</f>
        <v>-6.5331010452961635</v>
      </c>
      <c r="BY194" s="95">
        <v>104.6</v>
      </c>
      <c r="BZ194" s="81">
        <f>IF(ISERROR((BY194/BQ194-1)*100),"NA",IF(((BY194/BQ194-1)*100)&gt;100,"NM",IF(((BY194/BQ194-1)*100)&lt;-50,"NM",(BY194/BQ194-1)*100)))</f>
        <v>20.506912442396306</v>
      </c>
      <c r="CA194" s="95">
        <v>100.9</v>
      </c>
      <c r="CB194" s="81">
        <f>IF(ISERROR((CA194/BS194-1)*100),"NA",IF(((CA194/BS194-1)*100)&gt;100,"NM",IF(((CA194/BS194-1)*100)&lt;-50,"NM",(CA194/BS194-1)*100)))</f>
        <v>6.9989395546129485</v>
      </c>
      <c r="CC194" s="95">
        <v>108</v>
      </c>
      <c r="CD194" s="81">
        <f>IF(ISERROR((CC194/BU194-1)*100),"NA",IF(((CC194/BU194-1)*100)&gt;100,"NM",IF(((CC194/BU194-1)*100)&lt;-50,"NM",(CC194/BU194-1)*100)))</f>
        <v>26.760563380281678</v>
      </c>
      <c r="CE194" s="95">
        <v>122.3</v>
      </c>
      <c r="CF194" s="81">
        <f>IF(ISERROR((CE194/BW194-1)*100),"NA",IF(((CE194/BW194-1)*100)&gt;100,"NM",IF(((CE194/BW194-1)*100)&lt;-50,"NM",(CE194/BW194-1)*100)))</f>
        <v>13.979496738117426</v>
      </c>
      <c r="CG194" s="95">
        <v>115.8</v>
      </c>
      <c r="CH194" s="81">
        <f>IF(ISERROR((CG194/BY194-1)*100),"NA",IF(((CG194/BY194-1)*100)&gt;100,"NM",IF(((CG194/BY194-1)*100)&lt;-50,"NM",(CG194/BY194-1)*100)))</f>
        <v>10.707456978967489</v>
      </c>
      <c r="CI194" s="95">
        <v>122.7</v>
      </c>
      <c r="CJ194" s="81">
        <f>IF(ISERROR((CI194/CA194-1)*100),"NA",IF(((CI194/CA194-1)*100)&gt;100,"NM",IF(((CI194/CA194-1)*100)&lt;-50,"NM",(CI194/CA194-1)*100)))</f>
        <v>21.605550049554001</v>
      </c>
      <c r="CK194" s="95">
        <v>138.30000000000001</v>
      </c>
      <c r="CL194" s="81">
        <f>IF(ISERROR((CK194/CC194-1)*100),"NA",IF(((CK194/CC194-1)*100)&gt;100,"NM",IF(((CK194/CC194-1)*100)&lt;-50,"NM",(CK194/CC194-1)*100)))</f>
        <v>28.055555555555568</v>
      </c>
      <c r="CM194" s="95">
        <v>117</v>
      </c>
      <c r="CN194" s="81">
        <f>IF(ISERROR((CM194/CE194-1)*100),"NA",IF(((CM194/CE194-1)*100)&gt;100,"NM",IF(((CM194/CE194-1)*100)&lt;-50,"NM",(CM194/CE194-1)*100)))</f>
        <v>-4.333605887162717</v>
      </c>
      <c r="CO194" s="95">
        <v>123.6</v>
      </c>
      <c r="CP194" s="81">
        <f>IF(ISERROR((CO194/CG194-1)*100),"NA",IF(((CO194/CG194-1)*100)&gt;100,"NM",IF(((CO194/CG194-1)*100)&lt;-50,"NM",(CO194/CG194-1)*100)))</f>
        <v>6.7357512953367893</v>
      </c>
      <c r="CQ194" s="95">
        <v>147.9</v>
      </c>
      <c r="CR194" s="81">
        <f>IF(ISERROR((CQ194/CI194-1)*100),"NA",IF(((CQ194/CI194-1)*100)&gt;100,"NM",IF(((CQ194/CI194-1)*100)&lt;-50,"NM",(CQ194/CI194-1)*100)))</f>
        <v>20.537897310513454</v>
      </c>
      <c r="CS194" s="95">
        <v>136.19999999999999</v>
      </c>
      <c r="CT194" s="81">
        <f>IF(ISERROR((CS194/CK194-1)*100),"NA",IF(((CS194/CK194-1)*100)&gt;100,"NM",IF(((CS194/CK194-1)*100)&lt;-50,"NM",(CS194/CK194-1)*100)))</f>
        <v>-1.518438177874204</v>
      </c>
      <c r="CU194" s="95">
        <v>133.69999999999999</v>
      </c>
      <c r="CV194" s="81">
        <f>IF(ISERROR((CU194/CM194-1)*100),"NA",IF(((CU194/CM194-1)*100)&gt;100,"NM",IF(((CU194/CM194-1)*100)&lt;-50,"NM",(CU194/CM194-1)*100)))</f>
        <v>14.273504273504267</v>
      </c>
      <c r="CW194" s="95">
        <v>100</v>
      </c>
      <c r="CX194" s="81">
        <f>IF(ISERROR((CW194/CO194-1)*100),"NA",IF(((CW194/CO194-1)*100)&gt;100,"NM",IF(((CW194/CO194-1)*100)&lt;-50,"NM",(CW194/CO194-1)*100)))</f>
        <v>-19.09385113268608</v>
      </c>
      <c r="CY194" s="95">
        <v>115.8</v>
      </c>
      <c r="CZ194" s="81">
        <f>IF(ISERROR((CY194/CQ194-1)*100),"NA",IF(((CY194/CQ194-1)*100)&gt;100,"NM",IF(((CY194/CQ194-1)*100)&lt;-50,"NM",(CY194/CQ194-1)*100)))</f>
        <v>-21.703853955375262</v>
      </c>
      <c r="DA194" s="95">
        <v>96.9</v>
      </c>
      <c r="DB194" s="81">
        <f>IF(ISERROR((DA194/CS194-1)*100),"NA",IF(((DA194/CS194-1)*100)&gt;100,"NM",IF(((DA194/CS194-1)*100)&lt;-50,"NM",(DA194/CS194-1)*100)))</f>
        <v>-28.854625550660785</v>
      </c>
      <c r="DC194" s="95">
        <v>100.6</v>
      </c>
      <c r="DD194" s="81">
        <f>IF(ISERROR((DC194/CU194-1)*100),"NA",IF(((DC194/CU194-1)*100)&gt;100,"NM",IF(((DC194/CU194-1)*100)&lt;-50,"NM",(DC194/CU194-1)*100)))</f>
        <v>-24.756918474195956</v>
      </c>
      <c r="DE194" s="95">
        <v>106.4</v>
      </c>
      <c r="DF194" s="81">
        <f>IF(ISERROR((DE194/CW194-1)*100),"NA",IF(((DE194/CW194-1)*100)&gt;100,"NM",IF(((DE194/CW194-1)*100)&lt;-50,"NM",(DE194/CW194-1)*100)))</f>
        <v>6.4000000000000057</v>
      </c>
      <c r="DG194" s="95">
        <v>114</v>
      </c>
      <c r="DH194" s="81">
        <f>IF(ISERROR((DG194/CY194-1)*100),"NA",IF(((DG194/CY194-1)*100)&gt;100,"NM",IF(((DG194/CY194-1)*100)&lt;-50,"NM",(DG194/CY194-1)*100)))</f>
        <v>-1.5544041450777146</v>
      </c>
      <c r="DI194" s="95">
        <v>108</v>
      </c>
      <c r="DJ194" s="81">
        <f>IF(ISERROR((DI194/DA194-1)*100),"NA",IF(((DI194/DA194-1)*100)&gt;100,"NM",IF(((DI194/DA194-1)*100)&lt;-50,"NM",(DI194/DA194-1)*100)))</f>
        <v>11.455108359133126</v>
      </c>
      <c r="DK194" s="95">
        <v>102.6</v>
      </c>
      <c r="DL194" s="81">
        <f>IF(ISERROR((DK194/DC194-1)*100),"NA",IF(((DK194/DC194-1)*100)&gt;100,"NM",IF(((DK194/DC194-1)*100)&lt;-50,"NM",(DK194/DC194-1)*100)))</f>
        <v>1.9880715705765439</v>
      </c>
      <c r="DM194" s="95">
        <v>90.9</v>
      </c>
      <c r="DN194" s="81">
        <f>IF(ISERROR((DM194/DE194-1)*100),"NA",IF(((DM194/DE194-1)*100)&gt;100,"NM",IF(((DM194/DE194-1)*100)&lt;-50,"NM",(DM194/DE194-1)*100)))</f>
        <v>-14.56766917293233</v>
      </c>
      <c r="DO194" s="95">
        <v>100.6</v>
      </c>
      <c r="DP194" s="81">
        <f>IF(ISERROR((DO194/DG194-1)*100),"NA",IF(((DO194/DG194-1)*100)&gt;100,"NM",IF(((DO194/DG194-1)*100)&lt;-50,"NM",(DO194/DG194-1)*100)))</f>
        <v>-11.754385964912284</v>
      </c>
      <c r="DQ194" s="95">
        <v>98</v>
      </c>
      <c r="DR194" s="81">
        <f>IF(ISERROR((DQ194/DI194-1)*100),"NA",IF(((DQ194/DI194-1)*100)&gt;100,"NM",IF(((DQ194/DI194-1)*100)&lt;-50,"NM",(DQ194/DI194-1)*100)))</f>
        <v>-9.259259259259256</v>
      </c>
      <c r="DS194" s="95">
        <v>105.3</v>
      </c>
      <c r="DT194" s="81">
        <f>IF(ISERROR((DS194/DK194-1)*100),"NA",IF(((DS194/DK194-1)*100)&gt;100,"NM",IF(((DS194/DK194-1)*100)&lt;-50,"NM",(DS194/DK194-1)*100)))</f>
        <v>2.6315789473684292</v>
      </c>
      <c r="DU194" s="95">
        <v>94.7</v>
      </c>
      <c r="DV194" s="81">
        <f>IF(ISERROR((DU194/DM194-1)*100),"NA",IF(((DU194/DM194-1)*100)&gt;100,"NM",IF(((DU194/DM194-1)*100)&lt;-50,"NM",(DU194/DM194-1)*100)))</f>
        <v>4.1804180418041792</v>
      </c>
      <c r="DW194" s="95">
        <v>98.8</v>
      </c>
      <c r="DX194" s="81">
        <f>IF(ISERROR((DW194/DO194-1)*100),"NA",IF(((DW194/DO194-1)*100)&gt;100,"NM",IF(((DW194/DO194-1)*100)&lt;-50,"NM",(DW194/DO194-1)*100)))</f>
        <v>-1.7892644135188873</v>
      </c>
      <c r="DY194" s="95">
        <v>91.3</v>
      </c>
      <c r="DZ194" s="81">
        <f>IF(ISERROR((DY194/DQ194-1)*100),"NA",IF(((DY194/DQ194-1)*100)&gt;100,"NM",IF(((DY194/DQ194-1)*100)&lt;-50,"NM",(DY194/DQ194-1)*100)))</f>
        <v>-6.8367346938775553</v>
      </c>
      <c r="EA194" s="95">
        <v>82.6</v>
      </c>
      <c r="EB194" s="81">
        <f>IF(ISERROR((EA194/DS194-1)*100),"NA",IF(((EA194/DS194-1)*100)&gt;100,"NM",IF(((EA194/DS194-1)*100)&lt;-50,"NM",(EA194/DS194-1)*100)))</f>
        <v>-21.557454890788229</v>
      </c>
      <c r="EC194" s="95">
        <v>86.7</v>
      </c>
      <c r="ED194" s="81">
        <f t="shared" ref="ED194:ED198" si="634">IF(ISERROR((EC194/DU194-1)*100),"NA",IF(((EC194/DU194-1)*100)&gt;100,"NM",IF(((EC194/DU194-1)*100)&lt;-50,"NM",(EC194/DU194-1)*100)))</f>
        <v>-8.4477296726504729</v>
      </c>
      <c r="EE194" s="95">
        <v>95.8</v>
      </c>
      <c r="EF194" s="81">
        <f t="shared" ref="EF194:EF198" si="635">IF(ISERROR((EE194/DW194-1)*100),"NA",IF(((EE194/DW194-1)*100)&gt;100,"NM",IF(((EE194/DW194-1)*100)&lt;-50,"NM",(EE194/DW194-1)*100)))</f>
        <v>-3.0364372469635637</v>
      </c>
      <c r="EG194" s="95">
        <v>98.4</v>
      </c>
      <c r="EH194" s="81">
        <f t="shared" ref="EH194:EH198" si="636">IF(ISERROR((EG194/DY194-1)*100),"NA",IF(((EG194/DY194-1)*100)&gt;100,"NM",IF(((EG194/DY194-1)*100)&lt;-50,"NM",(EG194/DY194-1)*100)))</f>
        <v>7.7765607886089994</v>
      </c>
      <c r="EI194" s="95">
        <v>101</v>
      </c>
      <c r="EJ194" s="81">
        <f t="shared" ref="EJ194:EJ198" si="637">IF(ISERROR((EI194/EA194-1)*100),"NA",IF(((EI194/EA194-1)*100)&gt;100,"NM",IF(((EI194/EA194-1)*100)&lt;-50,"NM",(EI194/EA194-1)*100)))</f>
        <v>22.276029055690081</v>
      </c>
      <c r="EK194" s="93">
        <f t="shared" ref="EK194:EO194" si="638">+EK188*(EK201/100)</f>
        <v>104.02577457754137</v>
      </c>
      <c r="EL194" s="81">
        <f t="shared" ref="EL194:EL198" si="639">IF(ISERROR((EK194/EC194-1)*100),"NA",IF(((EK194/EC194-1)*100)&gt;100,"NM",IF(((EK194/EC194-1)*100)&lt;-50,"NM",(EK194/EC194-1)*100)))</f>
        <v>19.983592361639403</v>
      </c>
      <c r="EM194" s="93">
        <f t="shared" si="638"/>
        <v>105.33485656861097</v>
      </c>
      <c r="EN194" s="81">
        <f t="shared" ref="EN194:EN198" si="640">IF(ISERROR((EM194/EE194-1)*100),"NA",IF(((EM194/EE194-1)*100)&gt;100,"NM",IF(((EM194/EE194-1)*100)&lt;-50,"NM",(EM194/EE194-1)*100)))</f>
        <v>9.9528774202619843</v>
      </c>
      <c r="EO194" s="93">
        <f t="shared" si="638"/>
        <v>106.81089564624834</v>
      </c>
      <c r="EP194" s="81">
        <f t="shared" ref="EP194:EP198" si="641">IF(ISERROR((EO194/EG194-1)*100),"NA",IF(((EO194/EG194-1)*100)&gt;100,"NM",IF(((EO194/EG194-1)*100)&lt;-50,"NM",(EO194/EG194-1)*100)))</f>
        <v>8.5476581770816296</v>
      </c>
      <c r="EQ194" s="93">
        <f>+EQ188*(EQ201/100)*1.007</f>
        <v>106.52680279689004</v>
      </c>
      <c r="ER194" s="81">
        <f t="shared" ref="ER194:ER198" si="642">IF(ISERROR((EQ194/EI194-1)*100),"NA",IF(((EQ194/EI194-1)*100)&gt;100,"NM",IF(((EQ194/EI194-1)*100)&lt;-50,"NM",(EQ194/EI194-1)*100)))</f>
        <v>5.4720819771188589</v>
      </c>
      <c r="ES194" s="129"/>
      <c r="ET194" s="469"/>
      <c r="EU194" s="129"/>
      <c r="EV194" s="95"/>
      <c r="EW194" s="79"/>
      <c r="EX194" s="95"/>
      <c r="EY194" s="79"/>
      <c r="EZ194" s="145"/>
      <c r="FA194" s="79"/>
      <c r="FB194" s="35"/>
      <c r="FC194" s="79"/>
      <c r="FD194" s="222">
        <v>230.8</v>
      </c>
      <c r="FE194" s="79" t="str">
        <f>IF(ISERROR((FD194/FB194-1)*100),"NA",IF(((FD194/FB194-1)*100)&gt;100,"NM",IF(((FD194/FB194-1)*100)&lt;-50,"NM",(FD194/FB194-1)*100)))</f>
        <v>NA</v>
      </c>
      <c r="FF194" s="222">
        <v>344.5</v>
      </c>
      <c r="FG194" s="79">
        <f>IF(ISERROR((FF194/FD194-1)*100),"NA",IF(((FF194/FD194-1)*100)&gt;100,"NM",IF(((FF194/FD194-1)*100)&lt;-50,"NM",(FF194/FD194-1)*100)))</f>
        <v>49.263431542460999</v>
      </c>
      <c r="FH194" s="222">
        <v>464.5</v>
      </c>
      <c r="FI194" s="79">
        <f>IF(ISERROR((FH194/FF194-1)*100),"NA",IF(((FH194/FF194-1)*100)&gt;100,"NM",IF(((FH194/FF194-1)*100)&lt;-50,"NM",(FH194/FF194-1)*100)))</f>
        <v>34.833091436865018</v>
      </c>
      <c r="FJ194" s="35">
        <f>+AQ194+AO194+AM194+AK194</f>
        <v>545.79999999999995</v>
      </c>
      <c r="FK194" s="79">
        <f>IF(ISERROR((FJ194/FH194-1)*100),"NA",IF(((FJ194/FH194-1)*100)&gt;100,"NM",IF(((FJ194/FH194-1)*100)&lt;-50,"NM",(FJ194/FH194-1)*100)))</f>
        <v>17.502691065662003</v>
      </c>
      <c r="FL194" s="78">
        <f>AS194+AU194+AW194+AY194</f>
        <v>553.5</v>
      </c>
      <c r="FM194" s="79">
        <f>IF(ISERROR((FL194/FJ194-1)*100),"NA",IF(((FL194/FJ194-1)*100)&gt;100,"NM",IF(((FL194/FJ194-1)*100)&lt;-50,"NM",(FL194/FJ194-1)*100)))</f>
        <v>1.4107731769879228</v>
      </c>
      <c r="FN194" s="78">
        <f>BA194+BC194+BE194+BG194</f>
        <v>574.29999999999995</v>
      </c>
      <c r="FO194" s="79">
        <f>IF(ISERROR((FN194/FL194-1)*100),"NA",IF(((FN194/FL194-1)*100)&gt;100,"NM",IF(((FN194/FL194-1)*100)&lt;-50,"NM",(FN194/FL194-1)*100)))</f>
        <v>3.7579042457091205</v>
      </c>
      <c r="FP194" s="78">
        <f>BI194+BK194+BM194+BO194</f>
        <v>511.40000000000003</v>
      </c>
      <c r="FQ194" s="79">
        <f>IF(ISERROR((FP194/FN194-1)*100),"NA",IF(((FP194/FN194-1)*100)&gt;100,"NM",IF(((FP194/FN194-1)*100)&lt;-50,"NM",(FP194/FN194-1)*100)))</f>
        <v>-10.952463869057972</v>
      </c>
      <c r="FR194" s="93">
        <f>BQ194+BS194+BU194+BW194</f>
        <v>373.6</v>
      </c>
      <c r="FS194" s="79">
        <f>IF(ISERROR((FR194/FP194-1)*100),"NA",IF(((FR194/FP194-1)*100)&gt;100,"NM",IF(((FR194/FP194-1)*100)&lt;-50,"NM",(FR194/FP194-1)*100)))</f>
        <v>-26.945639421196709</v>
      </c>
      <c r="FT194" s="93">
        <f>BY194+CA194+CC194+CE194</f>
        <v>435.8</v>
      </c>
      <c r="FU194" s="79">
        <f>IF(ISERROR((FT194/FR194-1)*100),"NA",IF(((FT194/FR194-1)*100)&gt;100,"NM",IF(((FT194/FR194-1)*100)&lt;-50,"NM",(FT194/FR194-1)*100)))</f>
        <v>16.648822269807283</v>
      </c>
      <c r="FV194" s="93">
        <f>CG194+CI194+CK194+CM194</f>
        <v>493.8</v>
      </c>
      <c r="FW194" s="79">
        <f>IF(ISERROR((FV194/FT194-1)*100),"NA",IF(((FV194/FT194-1)*100)&gt;100,"NM",IF(((FV194/FT194-1)*100)&lt;-50,"NM",(FV194/FT194-1)*100)))</f>
        <v>13.30885727397888</v>
      </c>
      <c r="FX194" s="93">
        <f>CO194+CQ194+CS194+CU194</f>
        <v>541.4</v>
      </c>
      <c r="FY194" s="79">
        <f>IF(ISERROR((FX194/FV194-1)*100),"NA",IF(((FX194/FV194-1)*100)&gt;100,"NM",IF(((FX194/FV194-1)*100)&lt;-50,"NM",(FX194/FV194-1)*100)))</f>
        <v>9.6395301741595709</v>
      </c>
      <c r="FZ194" s="93">
        <f>CW194+CY194+DA194+DC194</f>
        <v>413.30000000000007</v>
      </c>
      <c r="GA194" s="79">
        <f>IF(ISERROR((FZ194/FX194-1)*100),"NA",IF(((FZ194/FX194-1)*100)&gt;100,"NM",IF(((FZ194/FX194-1)*100)&lt;-50,"NM",(FZ194/FX194-1)*100)))</f>
        <v>-23.660879202068696</v>
      </c>
      <c r="GB194" s="93">
        <f>DE194+DG194+DI194+DK194</f>
        <v>431</v>
      </c>
      <c r="GC194" s="79">
        <f>IF(ISERROR((GB194/FZ194-1)*100),"NA",IF(((GB194/FZ194-1)*100)&gt;100,"NM",IF(((GB194/FZ194-1)*100)&lt;-50,"NM",(GB194/FZ194-1)*100)))</f>
        <v>4.2826034357609233</v>
      </c>
      <c r="GD194" s="93">
        <f>DM194+DO194+DQ194+DS194</f>
        <v>394.8</v>
      </c>
      <c r="GE194" s="79">
        <f>IF(ISERROR((GD194/GB194-1)*100),"NA",IF(((GD194/GB194-1)*100)&gt;100,"NM",IF(((GD194/GB194-1)*100)&lt;-50,"NM",(GD194/GB194-1)*100)))</f>
        <v>-8.399071925754054</v>
      </c>
      <c r="GF194" s="93">
        <f>DU194+DW194+DY194+EA194</f>
        <v>367.4</v>
      </c>
      <c r="GG194" s="79">
        <f>IF(ISERROR((GF194/GD194-1)*100),"NA",IF(((GF194/GD194-1)*100)&gt;100,"NM",IF(((GF194/GD194-1)*100)&lt;-50,"NM",(GF194/GD194-1)*100)))</f>
        <v>-6.9402228976697122</v>
      </c>
      <c r="GH194" s="93">
        <f>EC194+EE194+EG194+EI194</f>
        <v>381.9</v>
      </c>
      <c r="GI194" s="79">
        <f>IF(ISERROR((GH194/GF194-1)*100),"NA",IF(((GH194/GF194-1)*100)&gt;100,"NM",IF(((GH194/GF194-1)*100)&lt;-50,"NM",(GH194/GF194-1)*100)))</f>
        <v>3.946652150244967</v>
      </c>
      <c r="GJ194" s="93">
        <f>EK194+EM194+EO194+EQ194</f>
        <v>422.69832958929072</v>
      </c>
      <c r="GK194" s="79">
        <f>IF(ISERROR((GJ194/GH194-1)*100),"NA",IF(((GJ194/GH194-1)*100)&gt;100,"NM",IF(((GJ194/GH194-1)*100)&lt;-50,"NM",(GJ194/GH194-1)*100)))</f>
        <v>10.682987585569714</v>
      </c>
      <c r="GL194" s="93">
        <f>+GL188*(GL201/100)</f>
        <v>439.02114792150462</v>
      </c>
      <c r="GM194" s="79">
        <f>IF(ISERROR((GL194/GJ194-1)*100),"NA",IF(((GL194/GJ194-1)*100)&gt;100,"NM",IF(((GL194/GJ194-1)*100)&lt;-50,"NM",(GL194/GJ194-1)*100)))</f>
        <v>3.861576256540622</v>
      </c>
      <c r="GN194" s="93">
        <f>+GN188*(GN201/100)</f>
        <v>455.97347439295277</v>
      </c>
      <c r="GO194" s="79">
        <f>IF(ISERROR((GN194/GL194-1)*100),"NA",IF(((GN194/GL194-1)*100)&gt;100,"NM",IF(((GN194/GL194-1)*100)&lt;-50,"NM",(GN194/GL194-1)*100)))</f>
        <v>3.8613917693275157</v>
      </c>
      <c r="GP194" s="93">
        <f>+GP188*(GP201/100)</f>
        <v>473.57955314544245</v>
      </c>
      <c r="GQ194" s="79">
        <f>IF(ISERROR((GP194/GN194-1)*100),"NA",IF(((GP194/GN194-1)*100)&gt;100,"NM",IF(((GP194/GN194-1)*100)&lt;-50,"NM",(GP194/GN194-1)*100)))</f>
        <v>3.8612067896995672</v>
      </c>
      <c r="GR194" s="93">
        <f>+GR188*(GR201/100)</f>
        <v>492.52273527126016</v>
      </c>
      <c r="GS194" s="79">
        <f>IF(ISERROR((GR194/GP194-1)*100),"NA",IF(((GR194/GP194-1)*100)&gt;100,"NM",IF(((GR194/GP194-1)*100)&lt;-50,"NM",(GR194/GP194-1)*100)))</f>
        <v>4.0000000000000036</v>
      </c>
      <c r="GT194" s="79">
        <f>IF(ISERROR(((GR194/GH194)^0.2-1)*100),"NA",(IF(OR(((GR194/GH194)^0.2-1)*100&gt;99,((GR194/GH194)^0.2-1)*100&lt;-50),"NM",(((GR194/GH194)^0.2-1)*100))))</f>
        <v>5.219279807964039</v>
      </c>
      <c r="GU194" s="562"/>
      <c r="GV194" s="562"/>
      <c r="GW194"/>
      <c r="GX194"/>
      <c r="GY194"/>
      <c r="GZ194"/>
      <c r="HA194"/>
      <c r="HB194"/>
      <c r="HC194" s="562"/>
      <c r="HD194" s="562"/>
      <c r="HE194" s="562"/>
      <c r="HF194" s="562"/>
      <c r="HG194" s="562"/>
      <c r="HH194" s="562"/>
      <c r="HI194" s="562"/>
      <c r="HJ194" s="562"/>
      <c r="HK194" s="562"/>
      <c r="HL194" s="562"/>
      <c r="HM194" s="562"/>
      <c r="HN194" s="562"/>
      <c r="HO194" s="562"/>
      <c r="HP194" s="562"/>
      <c r="HQ194" s="562"/>
      <c r="HR194" s="562"/>
      <c r="HS194" s="562"/>
      <c r="HT194" s="562"/>
      <c r="HU194" s="562"/>
      <c r="HV194" s="562"/>
      <c r="HW194" s="562"/>
      <c r="HX194" s="562"/>
      <c r="HY194" s="562"/>
      <c r="HZ194" s="562"/>
      <c r="IA194" s="562"/>
      <c r="IB194" s="562"/>
      <c r="IC194" s="562"/>
      <c r="ID194" s="562"/>
      <c r="IE194" s="562"/>
      <c r="IF194" s="562"/>
      <c r="IG194" s="562"/>
      <c r="IH194" s="562"/>
      <c r="II194" s="562"/>
      <c r="IJ194" s="562"/>
      <c r="IK194" s="562"/>
      <c r="IL194" s="562"/>
      <c r="IM194" s="562"/>
      <c r="IN194" s="562"/>
      <c r="IO194" s="562"/>
      <c r="IP194" s="562"/>
      <c r="IQ194" s="562"/>
      <c r="IR194" s="562"/>
      <c r="IS194" s="562"/>
      <c r="IT194" s="562"/>
      <c r="IU194" s="562"/>
      <c r="IV194" s="562"/>
      <c r="IW194" s="562"/>
      <c r="IX194" s="562"/>
      <c r="IY194" s="562"/>
      <c r="IZ194" s="562"/>
      <c r="JA194" s="562"/>
      <c r="JB194" s="562"/>
      <c r="JC194" s="562"/>
      <c r="JD194" s="562"/>
      <c r="JE194" s="562"/>
      <c r="JF194" s="562"/>
      <c r="JG194" s="562"/>
      <c r="JH194" s="562"/>
      <c r="JI194" s="562"/>
      <c r="JJ194" s="562"/>
      <c r="JK194" s="562"/>
      <c r="JL194" s="562"/>
      <c r="JM194" s="562"/>
      <c r="JN194" s="562"/>
      <c r="JO194" s="562"/>
      <c r="JP194" s="562"/>
      <c r="JQ194" s="562"/>
      <c r="JR194" s="562"/>
      <c r="JS194" s="562"/>
      <c r="JT194" s="562"/>
      <c r="JU194" s="562"/>
      <c r="JV194" s="562"/>
      <c r="JW194" s="562"/>
      <c r="JX194" s="562"/>
      <c r="JY194" s="562"/>
      <c r="JZ194" s="562"/>
    </row>
    <row r="195" spans="1:286" s="249" customFormat="1" ht="12.75" customHeight="1" x14ac:dyDescent="0.2">
      <c r="A195" s="248"/>
      <c r="B195" s="10" t="s">
        <v>114</v>
      </c>
      <c r="C195" s="79"/>
      <c r="D195" s="79"/>
      <c r="E195" s="95"/>
      <c r="F195" s="95"/>
      <c r="G195" s="95"/>
      <c r="H195" s="95"/>
      <c r="I195" s="95"/>
      <c r="J195" s="95"/>
      <c r="K195" s="95"/>
      <c r="L195" s="79"/>
      <c r="M195" s="95"/>
      <c r="N195" s="79"/>
      <c r="O195" s="95"/>
      <c r="P195" s="79"/>
      <c r="Q195" s="95"/>
      <c r="R195" s="79"/>
      <c r="S195" s="95"/>
      <c r="T195" s="79"/>
      <c r="U195" s="95"/>
      <c r="V195" s="79"/>
      <c r="W195" s="95"/>
      <c r="X195" s="79"/>
      <c r="Y195" s="95"/>
      <c r="Z195" s="79"/>
      <c r="AA195" s="126"/>
      <c r="AB195" s="79"/>
      <c r="AC195" s="95">
        <f>22.5-AE195</f>
        <v>11</v>
      </c>
      <c r="AD195" s="79" t="str">
        <f>IF(ISERROR((AC195/U195-1)*100),"NA",IF(((AC195/U195-1)*100)&gt;100,"NM",IF(((AC195/U195-1)*100)&lt;-50,"NM",(AC195/U195-1)*100)))</f>
        <v>NA</v>
      </c>
      <c r="AE195" s="95">
        <v>11.5</v>
      </c>
      <c r="AF195" s="79" t="str">
        <f>IF(ISERROR((AE195/W195-1)*100),"NA",IF(((AE195/W195-1)*100)&gt;100,"NM",IF(((AE195/W195-1)*100)&lt;-50,"NM",(AE195/W195-1)*100)))</f>
        <v>NA</v>
      </c>
      <c r="AG195" s="95">
        <v>13.1</v>
      </c>
      <c r="AH195" s="79" t="str">
        <f>IF(ISERROR((AG195/Y195-1)*100),"NA",IF(((AG195/Y195-1)*100)&gt;100,"NM",IF(((AG195/Y195-1)*100)&lt;-50,"NM",(AG195/Y195-1)*100)))</f>
        <v>NA</v>
      </c>
      <c r="AI195" s="75">
        <f>FH195-AG195-AE195-AC195</f>
        <v>13.299999999999997</v>
      </c>
      <c r="AJ195" s="79" t="str">
        <f>IF(ISERROR((AI195/AA195-1)*100),"NA",IF(((AI195/AA195-1)*100)&gt;100,"NM",IF(((AI195/AA195-1)*100)&lt;-50,"NM",(AI195/AA195-1)*100)))</f>
        <v>NA</v>
      </c>
      <c r="AK195" s="95">
        <f>26.5-AM195</f>
        <v>14.6</v>
      </c>
      <c r="AL195" s="79">
        <f>IF(ISERROR((AK195/AC195-1)*100),"NA",IF(((AK195/AC195-1)*100)&gt;100,"NM",IF(((AK195/AC195-1)*100)&lt;-50,"NM",(AK195/AC195-1)*100)))</f>
        <v>32.72727272727272</v>
      </c>
      <c r="AM195" s="95">
        <v>11.9</v>
      </c>
      <c r="AN195" s="79">
        <f>IF(ISERROR((AM195/AE195-1)*100),"NA",IF(((AM195/AE195-1)*100)&gt;100,"NM",IF(((AM195/AE195-1)*100)&lt;-50,"NM",(AM195/AE195-1)*100)))</f>
        <v>3.4782608695652195</v>
      </c>
      <c r="AO195" s="95">
        <v>14.5</v>
      </c>
      <c r="AP195" s="79">
        <f>IF(ISERROR((AO195/AG195-1)*100),"NA",IF(((AO195/AG195-1)*100)&gt;100,"NM",IF(((AO195/AG195-1)*100)&lt;-50,"NM",(AO195/AG195-1)*100)))</f>
        <v>10.687022900763354</v>
      </c>
      <c r="AQ195" s="95">
        <v>15.4</v>
      </c>
      <c r="AR195" s="79">
        <f>IF(ISERROR((AQ195/AI195-1)*100),"NA",IF(((AQ195/AI195-1)*100)&gt;100,"NM",IF(((AQ195/AI195-1)*100)&lt;-50,"NM",(AQ195/AI195-1)*100)))</f>
        <v>15.789473684210552</v>
      </c>
      <c r="AS195" s="95">
        <v>11.9</v>
      </c>
      <c r="AT195" s="81">
        <f>IF(ISERROR((AS195/AK195-1)*100),"NA",IF(((AS195/AK195-1)*100)&gt;100,"NM",IF(((AS195/AK195-1)*100)&lt;-50,"NM",(AS195/AK195-1)*100)))</f>
        <v>-18.493150684931503</v>
      </c>
      <c r="AU195" s="95">
        <v>11.2</v>
      </c>
      <c r="AV195" s="81">
        <f>IF(ISERROR((AU195/AM195-1)*100),"NA",IF(((AU195/AM195-1)*100)&gt;100,"NM",IF(((AU195/AM195-1)*100)&lt;-50,"NM",(AU195/AM195-1)*100)))</f>
        <v>-5.8823529411764834</v>
      </c>
      <c r="AW195" s="95">
        <v>13.8</v>
      </c>
      <c r="AX195" s="81">
        <f>IF(ISERROR((AW195/AO195-1)*100),"NA",IF(((AW195/AO195-1)*100)&gt;100,"NM",IF(((AW195/AO195-1)*100)&lt;-50,"NM",(AW195/AO195-1)*100)))</f>
        <v>-4.8275862068965498</v>
      </c>
      <c r="AY195" s="95">
        <v>12.8</v>
      </c>
      <c r="AZ195" s="81">
        <f>IF(ISERROR((AY195/AQ195-1)*100),"NA",IF(((AY195/AQ195-1)*100)&gt;100,"NM",IF(((AY195/AQ195-1)*100)&lt;-50,"NM",(AY195/AQ195-1)*100)))</f>
        <v>-16.883116883116877</v>
      </c>
      <c r="BA195" s="95">
        <v>15.4</v>
      </c>
      <c r="BB195" s="81">
        <f>IF(ISERROR((BA195/AS195-1)*100),"NA",IF(((BA195/AS195-1)*100)&gt;100,"NM",IF(((BA195/AS195-1)*100)&lt;-50,"NM",(BA195/AS195-1)*100)))</f>
        <v>29.411764705882359</v>
      </c>
      <c r="BC195" s="95">
        <v>17.899999999999999</v>
      </c>
      <c r="BD195" s="81">
        <f>IF(ISERROR((BC195/AU195-1)*100),"NA",IF(((BC195/AU195-1)*100)&gt;100,"NM",IF(((BC195/AU195-1)*100)&lt;-50,"NM",(BC195/AU195-1)*100)))</f>
        <v>59.821428571428555</v>
      </c>
      <c r="BE195" s="95">
        <v>16</v>
      </c>
      <c r="BF195" s="81">
        <f>IF(ISERROR((BE195/AW195-1)*100),"NA",IF(((BE195/AW195-1)*100)&gt;100,"NM",IF(((BE195/AW195-1)*100)&lt;-50,"NM",(BE195/AW195-1)*100)))</f>
        <v>15.94202898550725</v>
      </c>
      <c r="BG195" s="95">
        <v>17.7</v>
      </c>
      <c r="BH195" s="81">
        <f>IF(ISERROR((BG195/AY195-1)*100),"NA",IF(((BG195/AY195-1)*100)&gt;100,"NM",IF(((BG195/AY195-1)*100)&lt;-50,"NM",(BG195/AY195-1)*100)))</f>
        <v>38.281249999999979</v>
      </c>
      <c r="BI195" s="95">
        <v>17.100000000000001</v>
      </c>
      <c r="BJ195" s="81">
        <f>IF(ISERROR((BI195/BA195-1)*100),"NA",IF(((BI195/BA195-1)*100)&gt;100,"NM",IF(((BI195/BA195-1)*100)&lt;-50,"NM",(BI195/BA195-1)*100)))</f>
        <v>11.038961038961048</v>
      </c>
      <c r="BK195" s="95">
        <v>13.7</v>
      </c>
      <c r="BL195" s="81">
        <f>IF(ISERROR((BK195/BC195-1)*100),"NA",IF(((BK195/BC195-1)*100)&gt;100,"NM",IF(((BK195/BC195-1)*100)&lt;-50,"NM",(BK195/BC195-1)*100)))</f>
        <v>-23.463687150837988</v>
      </c>
      <c r="BM195" s="95">
        <v>15.9</v>
      </c>
      <c r="BN195" s="81">
        <f>IF(ISERROR((BM195/BE195-1)*100),"NA",IF(((BM195/BE195-1)*100)&gt;100,"NM",IF(((BM195/BE195-1)*100)&lt;-50,"NM",(BM195/BE195-1)*100)))</f>
        <v>-0.62499999999999778</v>
      </c>
      <c r="BO195" s="95">
        <v>12.3</v>
      </c>
      <c r="BP195" s="81">
        <f>IF(ISERROR((BO195/BG195-1)*100),"NA",IF(((BO195/BG195-1)*100)&gt;100,"NM",IF(((BO195/BG195-1)*100)&lt;-50,"NM",(BO195/BG195-1)*100)))</f>
        <v>-30.508474576271183</v>
      </c>
      <c r="BQ195" s="95">
        <v>10.6</v>
      </c>
      <c r="BR195" s="81">
        <f>IF(ISERROR((BQ195/BI195-1)*100),"NA",IF(((BQ195/BI195-1)*100)&gt;100,"NM",IF(((BQ195/BI195-1)*100)&lt;-50,"NM",(BQ195/BI195-1)*100)))</f>
        <v>-38.011695906432749</v>
      </c>
      <c r="BS195" s="95">
        <v>11.6</v>
      </c>
      <c r="BT195" s="81">
        <f>IF(ISERROR((BS195/BK195-1)*100),"NA",IF(((BS195/BK195-1)*100)&gt;100,"NM",IF(((BS195/BK195-1)*100)&lt;-50,"NM",(BS195/BK195-1)*100)))</f>
        <v>-15.328467153284675</v>
      </c>
      <c r="BU195" s="95">
        <v>11.1</v>
      </c>
      <c r="BV195" s="81">
        <f>IF(ISERROR((BU195/BM195-1)*100),"NA",IF(((BU195/BM195-1)*100)&gt;100,"NM",IF(((BU195/BM195-1)*100)&lt;-50,"NM",(BU195/BM195-1)*100)))</f>
        <v>-30.188679245283023</v>
      </c>
      <c r="BW195" s="95">
        <v>13.4</v>
      </c>
      <c r="BX195" s="81">
        <f>IF(ISERROR((BW195/BO195-1)*100),"NA",IF(((BW195/BO195-1)*100)&gt;100,"NM",IF(((BW195/BO195-1)*100)&lt;-50,"NM",(BW195/BO195-1)*100)))</f>
        <v>8.9430894308943021</v>
      </c>
      <c r="BY195" s="95">
        <v>10.3</v>
      </c>
      <c r="BZ195" s="81">
        <f>IF(ISERROR((BY195/BQ195-1)*100),"NA",IF(((BY195/BQ195-1)*100)&gt;100,"NM",IF(((BY195/BQ195-1)*100)&lt;-50,"NM",(BY195/BQ195-1)*100)))</f>
        <v>-2.8301886792452713</v>
      </c>
      <c r="CA195" s="95">
        <v>9.9</v>
      </c>
      <c r="CB195" s="81">
        <f>IF(ISERROR((CA195/BS195-1)*100),"NA",IF(((CA195/BS195-1)*100)&gt;100,"NM",IF(((CA195/BS195-1)*100)&lt;-50,"NM",(CA195/BS195-1)*100)))</f>
        <v>-14.655172413793094</v>
      </c>
      <c r="CC195" s="95">
        <v>11.7</v>
      </c>
      <c r="CD195" s="81">
        <f>IF(ISERROR((CC195/BU195-1)*100),"NA",IF(((CC195/BU195-1)*100)&gt;100,"NM",IF(((CC195/BU195-1)*100)&lt;-50,"NM",(CC195/BU195-1)*100)))</f>
        <v>5.4054054054053946</v>
      </c>
      <c r="CE195" s="95">
        <v>12.2</v>
      </c>
      <c r="CF195" s="81">
        <f>IF(ISERROR((CE195/BW195-1)*100),"NA",IF(((CE195/BW195-1)*100)&gt;100,"NM",IF(((CE195/BW195-1)*100)&lt;-50,"NM",(CE195/BW195-1)*100)))</f>
        <v>-8.9552238805970177</v>
      </c>
      <c r="CG195" s="95">
        <v>10.9</v>
      </c>
      <c r="CH195" s="81">
        <f>IF(ISERROR((CG195/BY195-1)*100),"NA",IF(((CG195/BY195-1)*100)&gt;100,"NM",IF(((CG195/BY195-1)*100)&lt;-50,"NM",(CG195/BY195-1)*100)))</f>
        <v>5.8252427184465994</v>
      </c>
      <c r="CI195" s="95">
        <v>11.4</v>
      </c>
      <c r="CJ195" s="81">
        <f>IF(ISERROR((CI195/CA195-1)*100),"NA",IF(((CI195/CA195-1)*100)&gt;100,"NM",IF(((CI195/CA195-1)*100)&lt;-50,"NM",(CI195/CA195-1)*100)))</f>
        <v>15.151515151515159</v>
      </c>
      <c r="CK195" s="95">
        <v>11</v>
      </c>
      <c r="CL195" s="81">
        <f>IF(ISERROR((CK195/CC195-1)*100),"NA",IF(((CK195/CC195-1)*100)&gt;100,"NM",IF(((CK195/CC195-1)*100)&lt;-50,"NM",(CK195/CC195-1)*100)))</f>
        <v>-5.9829059829059723</v>
      </c>
      <c r="CM195" s="95">
        <v>12.4</v>
      </c>
      <c r="CN195" s="81">
        <f>IF(ISERROR((CM195/CE195-1)*100),"NA",IF(((CM195/CE195-1)*100)&gt;100,"NM",IF(((CM195/CE195-1)*100)&lt;-50,"NM",(CM195/CE195-1)*100)))</f>
        <v>1.6393442622950838</v>
      </c>
      <c r="CO195" s="95">
        <v>10.6</v>
      </c>
      <c r="CP195" s="81">
        <f>IF(ISERROR((CO195/CG195-1)*100),"NA",IF(((CO195/CG195-1)*100)&gt;100,"NM",IF(((CO195/CG195-1)*100)&lt;-50,"NM",(CO195/CG195-1)*100)))</f>
        <v>-2.7522935779816571</v>
      </c>
      <c r="CQ195" s="95">
        <v>10</v>
      </c>
      <c r="CR195" s="81">
        <f>IF(ISERROR((CQ195/CI195-1)*100),"NA",IF(((CQ195/CI195-1)*100)&gt;100,"NM",IF(((CQ195/CI195-1)*100)&lt;-50,"NM",(CQ195/CI195-1)*100)))</f>
        <v>-12.280701754385969</v>
      </c>
      <c r="CS195" s="95">
        <v>11.1</v>
      </c>
      <c r="CT195" s="81">
        <f>IF(ISERROR((CS195/CK195-1)*100),"NA",IF(((CS195/CK195-1)*100)&gt;100,"NM",IF(((CS195/CK195-1)*100)&lt;-50,"NM",(CS195/CK195-1)*100)))</f>
        <v>0.90909090909090384</v>
      </c>
      <c r="CU195" s="95">
        <v>10.9</v>
      </c>
      <c r="CV195" s="81">
        <f>IF(ISERROR((CU195/CM195-1)*100),"NA",IF(((CU195/CM195-1)*100)&gt;100,"NM",IF(((CU195/CM195-1)*100)&lt;-50,"NM",(CU195/CM195-1)*100)))</f>
        <v>-12.096774193548388</v>
      </c>
      <c r="CW195" s="95">
        <v>10.3</v>
      </c>
      <c r="CX195" s="81">
        <f>IF(ISERROR((CW195/CO195-1)*100),"NA",IF(((CW195/CO195-1)*100)&gt;100,"NM",IF(((CW195/CO195-1)*100)&lt;-50,"NM",(CW195/CO195-1)*100)))</f>
        <v>-2.8301886792452713</v>
      </c>
      <c r="CY195" s="95">
        <v>8.5</v>
      </c>
      <c r="CZ195" s="81">
        <f>IF(ISERROR((CY195/CQ195-1)*100),"NA",IF(((CY195/CQ195-1)*100)&gt;100,"NM",IF(((CY195/CQ195-1)*100)&lt;-50,"NM",(CY195/CQ195-1)*100)))</f>
        <v>-15.000000000000002</v>
      </c>
      <c r="DA195" s="95">
        <v>9.6</v>
      </c>
      <c r="DB195" s="81">
        <f>IF(ISERROR((DA195/CS195-1)*100),"NA",IF(((DA195/CS195-1)*100)&gt;100,"NM",IF(((DA195/CS195-1)*100)&lt;-50,"NM",(DA195/CS195-1)*100)))</f>
        <v>-13.513513513513509</v>
      </c>
      <c r="DC195" s="95">
        <v>9.6</v>
      </c>
      <c r="DD195" s="81">
        <f>IF(ISERROR((DC195/CU195-1)*100),"NA",IF(((DC195/CU195-1)*100)&gt;100,"NM",IF(((DC195/CU195-1)*100)&lt;-50,"NM",(DC195/CU195-1)*100)))</f>
        <v>-11.926605504587162</v>
      </c>
      <c r="DE195" s="95">
        <v>9.9</v>
      </c>
      <c r="DF195" s="81">
        <f>IF(ISERROR((DE195/CW195-1)*100),"NA",IF(((DE195/CW195-1)*100)&gt;100,"NM",IF(((DE195/CW195-1)*100)&lt;-50,"NM",(DE195/CW195-1)*100)))</f>
        <v>-3.8834951456310662</v>
      </c>
      <c r="DG195" s="95">
        <v>10.6</v>
      </c>
      <c r="DH195" s="81">
        <f>IF(ISERROR((DG195/CY195-1)*100),"NA",IF(((DG195/CY195-1)*100)&gt;100,"NM",IF(((DG195/CY195-1)*100)&lt;-50,"NM",(DG195/CY195-1)*100)))</f>
        <v>24.705882352941178</v>
      </c>
      <c r="DI195" s="95">
        <v>11.5</v>
      </c>
      <c r="DJ195" s="81">
        <f>IF(ISERROR((DI195/DA195-1)*100),"NA",IF(((DI195/DA195-1)*100)&gt;100,"NM",IF(((DI195/DA195-1)*100)&lt;-50,"NM",(DI195/DA195-1)*100)))</f>
        <v>19.791666666666675</v>
      </c>
      <c r="DK195" s="95">
        <v>10.8</v>
      </c>
      <c r="DL195" s="81">
        <f>IF(ISERROR((DK195/DC195-1)*100),"NA",IF(((DK195/DC195-1)*100)&gt;100,"NM",IF(((DK195/DC195-1)*100)&lt;-50,"NM",(DK195/DC195-1)*100)))</f>
        <v>12.500000000000021</v>
      </c>
      <c r="DM195" s="95">
        <v>12</v>
      </c>
      <c r="DN195" s="81">
        <f>IF(ISERROR((DM195/DE195-1)*100),"NA",IF(((DM195/DE195-1)*100)&gt;100,"NM",IF(((DM195/DE195-1)*100)&lt;-50,"NM",(DM195/DE195-1)*100)))</f>
        <v>21.212121212121215</v>
      </c>
      <c r="DO195" s="95">
        <v>10.3</v>
      </c>
      <c r="DP195" s="81">
        <f>IF(ISERROR((DO195/DG195-1)*100),"NA",IF(((DO195/DG195-1)*100)&gt;100,"NM",IF(((DO195/DG195-1)*100)&lt;-50,"NM",(DO195/DG195-1)*100)))</f>
        <v>-2.8301886792452713</v>
      </c>
      <c r="DQ195" s="95">
        <v>11.3</v>
      </c>
      <c r="DR195" s="81">
        <f>IF(ISERROR((DQ195/DI195-1)*100),"NA",IF(((DQ195/DI195-1)*100)&gt;100,"NM",IF(((DQ195/DI195-1)*100)&lt;-50,"NM",(DQ195/DI195-1)*100)))</f>
        <v>-1.7391304347825987</v>
      </c>
      <c r="DS195" s="95">
        <v>8.1999999999999993</v>
      </c>
      <c r="DT195" s="81">
        <f>IF(ISERROR((DS195/DK195-1)*100),"NA",IF(((DS195/DK195-1)*100)&gt;100,"NM",IF(((DS195/DK195-1)*100)&lt;-50,"NM",(DS195/DK195-1)*100)))</f>
        <v>-24.07407407407408</v>
      </c>
      <c r="DU195" s="95">
        <v>9</v>
      </c>
      <c r="DV195" s="81">
        <f>IF(ISERROR((DU195/DM195-1)*100),"NA",IF(((DU195/DM195-1)*100)&gt;100,"NM",IF(((DU195/DM195-1)*100)&lt;-50,"NM",(DU195/DM195-1)*100)))</f>
        <v>-25</v>
      </c>
      <c r="DW195" s="95">
        <v>9.6999999999999993</v>
      </c>
      <c r="DX195" s="81">
        <f>IF(ISERROR((DW195/DO195-1)*100),"NA",IF(((DW195/DO195-1)*100)&gt;100,"NM",IF(((DW195/DO195-1)*100)&lt;-50,"NM",(DW195/DO195-1)*100)))</f>
        <v>-5.82524271844661</v>
      </c>
      <c r="DY195" s="95">
        <v>9.1999999999999993</v>
      </c>
      <c r="DZ195" s="81">
        <f>IF(ISERROR((DY195/DQ195-1)*100),"NA",IF(((DY195/DQ195-1)*100)&gt;100,"NM",IF(((DY195/DQ195-1)*100)&lt;-50,"NM",(DY195/DQ195-1)*100)))</f>
        <v>-18.584070796460182</v>
      </c>
      <c r="EA195" s="95">
        <v>11</v>
      </c>
      <c r="EB195" s="81">
        <f>IF(ISERROR((EA195/DS195-1)*100),"NA",IF(((EA195/DS195-1)*100)&gt;100,"NM",IF(((EA195/DS195-1)*100)&lt;-50,"NM",(EA195/DS195-1)*100)))</f>
        <v>34.146341463414643</v>
      </c>
      <c r="EC195" s="95">
        <v>8.8000000000000007</v>
      </c>
      <c r="ED195" s="81">
        <f t="shared" si="634"/>
        <v>-2.2222222222222143</v>
      </c>
      <c r="EE195" s="95">
        <v>9</v>
      </c>
      <c r="EF195" s="81">
        <f t="shared" si="635"/>
        <v>-7.2164948453608213</v>
      </c>
      <c r="EG195" s="95">
        <v>9.1999999999999993</v>
      </c>
      <c r="EH195" s="81">
        <f t="shared" si="636"/>
        <v>0</v>
      </c>
      <c r="EI195" s="95">
        <v>8.5</v>
      </c>
      <c r="EJ195" s="81">
        <f t="shared" si="637"/>
        <v>-22.72727272727273</v>
      </c>
      <c r="EK195" s="93">
        <f t="shared" ref="EK195:EQ195" si="643">+EK188*EK202/100</f>
        <v>9.7090722939038603</v>
      </c>
      <c r="EL195" s="81">
        <f t="shared" si="639"/>
        <v>10.330366976180215</v>
      </c>
      <c r="EM195" s="93">
        <f t="shared" si="643"/>
        <v>9.8312532797370231</v>
      </c>
      <c r="EN195" s="81">
        <f t="shared" si="640"/>
        <v>9.2361475526336001</v>
      </c>
      <c r="EO195" s="93">
        <f t="shared" si="643"/>
        <v>9.9690169269831799</v>
      </c>
      <c r="EP195" s="81">
        <f t="shared" si="641"/>
        <v>8.3588796411215185</v>
      </c>
      <c r="EQ195" s="93">
        <f t="shared" si="643"/>
        <v>9.8733878792218519</v>
      </c>
      <c r="ER195" s="81">
        <f t="shared" si="642"/>
        <v>16.157504461433557</v>
      </c>
      <c r="ES195" s="129"/>
      <c r="ET195" s="469"/>
      <c r="EU195" s="129"/>
      <c r="EV195" s="95"/>
      <c r="EW195" s="79"/>
      <c r="EX195" s="95"/>
      <c r="EY195" s="79"/>
      <c r="EZ195" s="145"/>
      <c r="FA195" s="79"/>
      <c r="FB195" s="35"/>
      <c r="FC195" s="79"/>
      <c r="FD195" s="222">
        <v>28.9</v>
      </c>
      <c r="FE195" s="79" t="str">
        <f>IF(ISERROR((FD195/FB195-1)*100),"NA",IF(((FD195/FB195-1)*100)&gt;100,"NM",IF(((FD195/FB195-1)*100)&lt;-50,"NM",(FD195/FB195-1)*100)))</f>
        <v>NA</v>
      </c>
      <c r="FF195" s="222">
        <v>34.1</v>
      </c>
      <c r="FG195" s="79">
        <f>IF(ISERROR((FF195/FD195-1)*100),"NA",IF(((FF195/FD195-1)*100)&gt;100,"NM",IF(((FF195/FD195-1)*100)&lt;-50,"NM",(FF195/FD195-1)*100)))</f>
        <v>17.993079584775096</v>
      </c>
      <c r="FH195" s="222">
        <v>48.9</v>
      </c>
      <c r="FI195" s="79">
        <f>IF(ISERROR((FH195/FF195-1)*100),"NA",IF(((FH195/FF195-1)*100)&gt;100,"NM",IF(((FH195/FF195-1)*100)&lt;-50,"NM",(FH195/FF195-1)*100)))</f>
        <v>43.401759530791772</v>
      </c>
      <c r="FJ195" s="35">
        <f>+AQ195+AO195+AM195+AK195</f>
        <v>56.4</v>
      </c>
      <c r="FK195" s="79">
        <f>IF(ISERROR((FJ195/FH195-1)*100),"NA",IF(((FJ195/FH195-1)*100)&gt;100,"NM",IF(((FJ195/FH195-1)*100)&lt;-50,"NM",(FJ195/FH195-1)*100)))</f>
        <v>15.337423312883436</v>
      </c>
      <c r="FL195" s="78">
        <f>AS195+AU195+AW195+AY195</f>
        <v>49.7</v>
      </c>
      <c r="FM195" s="79">
        <f>IF(ISERROR((FL195/FJ195-1)*100),"NA",IF(((FL195/FJ195-1)*100)&gt;100,"NM",IF(((FL195/FJ195-1)*100)&lt;-50,"NM",(FL195/FJ195-1)*100)))</f>
        <v>-11.879432624113473</v>
      </c>
      <c r="FN195" s="78">
        <f>BA195+BC195+BE195+BG195</f>
        <v>67</v>
      </c>
      <c r="FO195" s="79">
        <f>IF(ISERROR((FN195/FL195-1)*100),"NA",IF(((FN195/FL195-1)*100)&gt;100,"NM",IF(((FN195/FL195-1)*100)&lt;-50,"NM",(FN195/FL195-1)*100)))</f>
        <v>34.808853118712271</v>
      </c>
      <c r="FP195" s="78">
        <f>BI195+BK195+BM195+BO195</f>
        <v>59</v>
      </c>
      <c r="FQ195" s="79">
        <f>IF(ISERROR((FP195/FN195-1)*100),"NA",IF(((FP195/FN195-1)*100)&gt;100,"NM",IF(((FP195/FN195-1)*100)&lt;-50,"NM",(FP195/FN195-1)*100)))</f>
        <v>-11.940298507462687</v>
      </c>
      <c r="FR195" s="93">
        <f>BQ195+BS195+BU195+BW195</f>
        <v>46.699999999999996</v>
      </c>
      <c r="FS195" s="79">
        <f>IF(ISERROR((FR195/FP195-1)*100),"NA",IF(((FR195/FP195-1)*100)&gt;100,"NM",IF(((FR195/FP195-1)*100)&lt;-50,"NM",(FR195/FP195-1)*100)))</f>
        <v>-20.847457627118647</v>
      </c>
      <c r="FT195" s="93">
        <f>BY195+CA195+CC195+CE195</f>
        <v>44.1</v>
      </c>
      <c r="FU195" s="79">
        <f>IF(ISERROR((FT195/FR195-1)*100),"NA",IF(((FT195/FR195-1)*100)&gt;100,"NM",IF(((FT195/FR195-1)*100)&lt;-50,"NM",(FT195/FR195-1)*100)))</f>
        <v>-5.5674518201284666</v>
      </c>
      <c r="FV195" s="93">
        <f>CG195+CI195+CK195+CM195</f>
        <v>45.699999999999996</v>
      </c>
      <c r="FW195" s="79">
        <f>IF(ISERROR((FV195/FT195-1)*100),"NA",IF(((FV195/FT195-1)*100)&gt;100,"NM",IF(((FV195/FT195-1)*100)&lt;-50,"NM",(FV195/FT195-1)*100)))</f>
        <v>3.6281179138321962</v>
      </c>
      <c r="FX195" s="93">
        <f>CO195+CQ195+CS195+CU195</f>
        <v>42.6</v>
      </c>
      <c r="FY195" s="79">
        <f>IF(ISERROR((FX195/FV195-1)*100),"NA",IF(((FX195/FV195-1)*100)&gt;100,"NM",IF(((FX195/FV195-1)*100)&lt;-50,"NM",(FX195/FV195-1)*100)))</f>
        <v>-6.7833698030634437</v>
      </c>
      <c r="FZ195" s="93">
        <f>CW195+CY195+DA195+DC195</f>
        <v>38</v>
      </c>
      <c r="GA195" s="79">
        <f>IF(ISERROR((FZ195/FX195-1)*100),"NA",IF(((FZ195/FX195-1)*100)&gt;100,"NM",IF(((FZ195/FX195-1)*100)&lt;-50,"NM",(FZ195/FX195-1)*100)))</f>
        <v>-10.7981220657277</v>
      </c>
      <c r="GB195" s="93">
        <f>DE195+DG195+DI195+DK195</f>
        <v>42.8</v>
      </c>
      <c r="GC195" s="79">
        <f>IF(ISERROR((GB195/FZ195-1)*100),"NA",IF(((GB195/FZ195-1)*100)&gt;100,"NM",IF(((GB195/FZ195-1)*100)&lt;-50,"NM",(GB195/FZ195-1)*100)))</f>
        <v>12.631578947368416</v>
      </c>
      <c r="GD195" s="93">
        <f>DM195+DO195+DQ195+DS195</f>
        <v>41.8</v>
      </c>
      <c r="GE195" s="79">
        <f>IF(ISERROR((GD195/GB195-1)*100),"NA",IF(((GD195/GB195-1)*100)&gt;100,"NM",IF(((GD195/GB195-1)*100)&lt;-50,"NM",(GD195/GB195-1)*100)))</f>
        <v>-2.3364485981308358</v>
      </c>
      <c r="GF195" s="93">
        <f>DU195+DW195+DY195+EA195</f>
        <v>38.9</v>
      </c>
      <c r="GG195" s="79">
        <f>IF(ISERROR((GF195/GD195-1)*100),"NA",IF(((GF195/GD195-1)*100)&gt;100,"NM",IF(((GF195/GD195-1)*100)&lt;-50,"NM",(GF195/GD195-1)*100)))</f>
        <v>-6.9377990430621983</v>
      </c>
      <c r="GH195" s="93">
        <f>EC195+EE195+EG195+EI195</f>
        <v>35.5</v>
      </c>
      <c r="GI195" s="79">
        <f>IF(ISERROR((GH195/GF195-1)*100),"NA",IF(((GH195/GF195-1)*100)&gt;100,"NM",IF(((GH195/GF195-1)*100)&lt;-50,"NM",(GH195/GF195-1)*100)))</f>
        <v>-8.7403598971722332</v>
      </c>
      <c r="GJ195" s="93">
        <f>EK195+EM195+EO195+EQ195</f>
        <v>39.382730379845917</v>
      </c>
      <c r="GK195" s="79">
        <f>IF(ISERROR((GJ195/GH195-1)*100),"NA",IF(((GJ195/GH195-1)*100)&gt;100,"NM",IF(((GJ195/GH195-1)*100)&lt;-50,"NM",(GJ195/GH195-1)*100)))</f>
        <v>10.937268675622303</v>
      </c>
      <c r="GL195" s="93">
        <f>+GL188*GL202/100</f>
        <v>40.958039595039757</v>
      </c>
      <c r="GM195" s="79">
        <f>IF(ISERROR((GL195/GJ195-1)*100),"NA",IF(((GL195/GJ195-1)*100)&gt;100,"NM",IF(((GL195/GJ195-1)*100)&lt;-50,"NM",(GL195/GJ195-1)*100)))</f>
        <v>4.0000000000000036</v>
      </c>
      <c r="GN195" s="93">
        <f>+GN188*GN202/100</f>
        <v>42.596361178841342</v>
      </c>
      <c r="GO195" s="79">
        <f>IF(ISERROR((GN195/GL195-1)*100),"NA",IF(((GN195/GL195-1)*100)&gt;100,"NM",IF(((GN195/GL195-1)*100)&lt;-50,"NM",(GN195/GL195-1)*100)))</f>
        <v>3.9999999999999813</v>
      </c>
      <c r="GP195" s="93">
        <f>+GP188*GP202/100</f>
        <v>44.300215625994994</v>
      </c>
      <c r="GQ195" s="79">
        <f>IF(ISERROR((GP195/GN195-1)*100),"NA",IF(((GP195/GN195-1)*100)&gt;100,"NM",IF(((GP195/GN195-1)*100)&lt;-50,"NM",(GP195/GN195-1)*100)))</f>
        <v>4.0000000000000036</v>
      </c>
      <c r="GR195" s="93">
        <f>+GR188*GR202/100</f>
        <v>46.072224251034797</v>
      </c>
      <c r="GS195" s="79">
        <f>IF(ISERROR((GR195/GP195-1)*100),"NA",IF(((GR195/GP195-1)*100)&gt;100,"NM",IF(((GR195/GP195-1)*100)&lt;-50,"NM",(GR195/GP195-1)*100)))</f>
        <v>4.0000000000000036</v>
      </c>
      <c r="GT195" s="79">
        <f>IF(ISERROR(((GR195/GH195)^0.2-1)*100),"NA",(IF(OR(((GR195/GH195)^0.2-1)*100&gt;99,((GR195/GH195)^0.2-1)*100&lt;-50),"NM",(((GR195/GH195)^0.2-1)*100))))</f>
        <v>5.3518497474211779</v>
      </c>
      <c r="GU195" s="562"/>
      <c r="GV195" s="562"/>
      <c r="GW195"/>
      <c r="GX195"/>
      <c r="GY195"/>
      <c r="GZ195"/>
      <c r="HA195"/>
      <c r="HB195"/>
      <c r="HC195" s="562"/>
      <c r="HD195" s="562"/>
      <c r="HE195" s="562"/>
      <c r="HF195" s="562"/>
      <c r="HG195" s="562"/>
      <c r="HH195" s="562"/>
      <c r="HI195" s="562"/>
      <c r="HJ195" s="562"/>
      <c r="HK195" s="562"/>
      <c r="HL195" s="562"/>
      <c r="HM195" s="562"/>
      <c r="HN195" s="562"/>
      <c r="HO195" s="562"/>
      <c r="HP195" s="562"/>
      <c r="HQ195" s="562"/>
      <c r="HR195" s="562"/>
      <c r="HS195" s="562"/>
      <c r="HT195" s="562"/>
      <c r="HU195" s="562"/>
      <c r="HV195" s="562"/>
      <c r="HW195" s="562"/>
      <c r="HX195" s="562"/>
      <c r="HY195" s="562"/>
      <c r="HZ195" s="562"/>
      <c r="IA195" s="562"/>
      <c r="IB195" s="562"/>
      <c r="IC195" s="562"/>
      <c r="ID195" s="562"/>
      <c r="IE195" s="562"/>
      <c r="IF195" s="562"/>
      <c r="IG195" s="562"/>
      <c r="IH195" s="562"/>
      <c r="II195" s="562"/>
      <c r="IJ195" s="562"/>
      <c r="IK195" s="562"/>
      <c r="IL195" s="562"/>
      <c r="IM195" s="562"/>
      <c r="IN195" s="562"/>
      <c r="IO195" s="562"/>
      <c r="IP195" s="562"/>
      <c r="IQ195" s="562"/>
      <c r="IR195" s="562"/>
      <c r="IS195" s="562"/>
      <c r="IT195" s="562"/>
      <c r="IU195" s="562"/>
      <c r="IV195" s="562"/>
      <c r="IW195" s="562"/>
      <c r="IX195" s="562"/>
      <c r="IY195" s="562"/>
      <c r="IZ195" s="562"/>
      <c r="JA195" s="562"/>
      <c r="JB195" s="562"/>
      <c r="JC195" s="562"/>
      <c r="JD195" s="562"/>
      <c r="JE195" s="562"/>
      <c r="JF195" s="562"/>
      <c r="JG195" s="562"/>
      <c r="JH195" s="562"/>
      <c r="JI195" s="562"/>
      <c r="JJ195" s="562"/>
      <c r="JK195" s="562"/>
      <c r="JL195" s="562"/>
      <c r="JM195" s="562"/>
      <c r="JN195" s="562"/>
      <c r="JO195" s="562"/>
      <c r="JP195" s="562"/>
      <c r="JQ195" s="562"/>
      <c r="JR195" s="562"/>
      <c r="JS195" s="562"/>
      <c r="JT195" s="562"/>
      <c r="JU195" s="562"/>
      <c r="JV195" s="562"/>
      <c r="JW195" s="562"/>
      <c r="JX195" s="562"/>
      <c r="JY195" s="562"/>
      <c r="JZ195" s="562"/>
    </row>
    <row r="196" spans="1:286" s="249" customFormat="1" ht="12.75" customHeight="1" x14ac:dyDescent="0.2">
      <c r="A196" s="248"/>
      <c r="B196" s="10" t="s">
        <v>311</v>
      </c>
      <c r="C196" s="79"/>
      <c r="D196" s="79"/>
      <c r="E196" s="95"/>
      <c r="F196" s="95"/>
      <c r="G196" s="95"/>
      <c r="H196" s="95"/>
      <c r="I196" s="95"/>
      <c r="J196" s="95"/>
      <c r="K196" s="95"/>
      <c r="L196" s="79"/>
      <c r="M196" s="95"/>
      <c r="N196" s="79"/>
      <c r="O196" s="95"/>
      <c r="P196" s="79"/>
      <c r="Q196" s="95"/>
      <c r="R196" s="79"/>
      <c r="S196" s="95"/>
      <c r="T196" s="79"/>
      <c r="U196" s="95"/>
      <c r="V196" s="79"/>
      <c r="W196" s="95"/>
      <c r="X196" s="79"/>
      <c r="Y196" s="95"/>
      <c r="Z196" s="79"/>
      <c r="AA196" s="126"/>
      <c r="AB196" s="79"/>
      <c r="AC196" s="95">
        <f>9.1-18.6-AE196</f>
        <v>-2.8000000000000016</v>
      </c>
      <c r="AD196" s="79" t="str">
        <f>IF(ISERROR((AC196/U196-1)*100),"NA",IF(((AC196/U196-1)*100)&gt;100,"NM",IF(((AC196/U196-1)*100)&lt;-50,"NM",(AC196/U196-1)*100)))</f>
        <v>NA</v>
      </c>
      <c r="AE196" s="95">
        <f>-10.9+4.2</f>
        <v>-6.7</v>
      </c>
      <c r="AF196" s="79" t="str">
        <f>IF(ISERROR((AE196/W196-1)*100),"NA",IF(((AE196/W196-1)*100)&gt;100,"NM",IF(((AE196/W196-1)*100)&lt;-50,"NM",(AE196/W196-1)*100)))</f>
        <v>NA</v>
      </c>
      <c r="AG196" s="95">
        <f>-10.5+5.1</f>
        <v>-5.4</v>
      </c>
      <c r="AH196" s="79" t="str">
        <f>IF(ISERROR((AG196/Y196-1)*100),"NA",IF(((AG196/Y196-1)*100)&gt;100,"NM",IF(((AG196/Y196-1)*100)&lt;-50,"NM",(AG196/Y196-1)*100)))</f>
        <v>NA</v>
      </c>
      <c r="AI196" s="75">
        <f>FH196-AG196-AE196-AC196</f>
        <v>-3.6000000000000014</v>
      </c>
      <c r="AJ196" s="79" t="str">
        <f>IF(ISERROR((AI196/AA196-1)*100),"NA",IF(((AI196/AA196-1)*100)&gt;100,"NM",IF(((AI196/AA196-1)*100)&lt;-50,"NM",(AI196/AA196-1)*100)))</f>
        <v>NA</v>
      </c>
      <c r="AK196" s="95">
        <f>10.8-18.8-AM196</f>
        <v>-3.4000000000000004</v>
      </c>
      <c r="AL196" s="79">
        <f>IF(ISERROR((AK196/AC196-1)*100),"NA",IF(((AK196/AC196-1)*100)&gt;100,"NM",IF(((AK196/AC196-1)*100)&lt;-50,"NM",(AK196/AC196-1)*100)))</f>
        <v>21.428571428571374</v>
      </c>
      <c r="AM196" s="95">
        <f>5.4-10</f>
        <v>-4.5999999999999996</v>
      </c>
      <c r="AN196" s="79">
        <f>IF(ISERROR((AM196/AE196-1)*100),"NA",IF(((AM196/AE196-1)*100)&gt;100,"NM",IF(((AM196/AE196-1)*100)&lt;-50,"NM",(AM196/AE196-1)*100)))</f>
        <v>-31.343283582089555</v>
      </c>
      <c r="AO196" s="95">
        <f>5.2-8</f>
        <v>-2.8</v>
      </c>
      <c r="AP196" s="79">
        <f>IF(ISERROR((AO196/AG196-1)*100),"NA",IF(((AO196/AG196-1)*100)&gt;100,"NM",IF(((AO196/AG196-1)*100)&lt;-50,"NM",(AO196/AG196-1)*100)))</f>
        <v>-48.148148148148152</v>
      </c>
      <c r="AQ196" s="95">
        <f>5.6-7.3</f>
        <v>-1.7000000000000002</v>
      </c>
      <c r="AR196" s="79" t="str">
        <f>IF(ISERROR((AQ196/AI196-1)*100),"NA",IF(((AQ196/AI196-1)*100)&gt;100,"NM",IF(((AQ196/AI196-1)*100)&lt;-50,"NM",(AQ196/AI196-1)*100)))</f>
        <v>NM</v>
      </c>
      <c r="AS196" s="95">
        <f>-8.2+5.3</f>
        <v>-2.8999999999999995</v>
      </c>
      <c r="AT196" s="81">
        <f>IF(ISERROR((AS196/AK196-1)*100),"NA",IF(((AS196/AK196-1)*100)&gt;100,"NM",IF(((AS196/AK196-1)*100)&lt;-50,"NM",(AS196/AK196-1)*100)))</f>
        <v>-14.705882352941202</v>
      </c>
      <c r="AU196" s="95">
        <f>-9+5.7</f>
        <v>-3.3</v>
      </c>
      <c r="AV196" s="81">
        <f>IF(ISERROR((AU196/AM196-1)*100),"NA",IF(((AU196/AM196-1)*100)&gt;100,"NM",IF(((AU196/AM196-1)*100)&lt;-50,"NM",(AU196/AM196-1)*100)))</f>
        <v>-28.260869565217394</v>
      </c>
      <c r="AW196" s="95">
        <f>-8.4+6+1.7</f>
        <v>-0.7000000000000004</v>
      </c>
      <c r="AX196" s="81" t="str">
        <f>IF(ISERROR((AW196/AO196-1)*100),"NA",IF(((AW196/AO196-1)*100)&gt;100,"NM",IF(((AW196/AO196-1)*100)&lt;-50,"NM",(AW196/AO196-1)*100)))</f>
        <v>NM</v>
      </c>
      <c r="AY196" s="95">
        <f>-8.8+15+1.6</f>
        <v>7.7999999999999989</v>
      </c>
      <c r="AZ196" s="81" t="str">
        <f>IF(ISERROR((AY196/AQ196-1)*100),"NA",IF(((AY196/AQ196-1)*100)&gt;100,"NM",IF(((AY196/AQ196-1)*100)&lt;-50,"NM",(AY196/AQ196-1)*100)))</f>
        <v>NM</v>
      </c>
      <c r="BA196" s="95">
        <f>-9.3+11.9</f>
        <v>2.5999999999999996</v>
      </c>
      <c r="BB196" s="81" t="str">
        <f>IF(ISERROR((BA196/AS196-1)*100),"NA",IF(((BA196/AS196-1)*100)&gt;100,"NM",IF(((BA196/AS196-1)*100)&lt;-50,"NM",(BA196/AS196-1)*100)))</f>
        <v>NM</v>
      </c>
      <c r="BC196" s="95">
        <f>-10.4+12.3</f>
        <v>1.9000000000000004</v>
      </c>
      <c r="BD196" s="81" t="str">
        <f>IF(ISERROR((BC196/AU196-1)*100),"NA",IF(((BC196/AU196-1)*100)&gt;100,"NM",IF(((BC196/AU196-1)*100)&lt;-50,"NM",(BC196/AU196-1)*100)))</f>
        <v>NM</v>
      </c>
      <c r="BE196" s="95">
        <f>-10.5+12.4</f>
        <v>1.9000000000000004</v>
      </c>
      <c r="BF196" s="81" t="str">
        <f>IF(ISERROR((BE196/AW196-1)*100),"NA",IF(((BE196/AW196-1)*100)&gt;100,"NM",IF(((BE196/AW196-1)*100)&lt;-50,"NM",(BE196/AW196-1)*100)))</f>
        <v>NM</v>
      </c>
      <c r="BG196" s="95">
        <f>-11+12.8</f>
        <v>1.8000000000000007</v>
      </c>
      <c r="BH196" s="81" t="str">
        <f>IF(ISERROR((BG196/AY196-1)*100),"NA",IF(((BG196/AY196-1)*100)&gt;100,"NM",IF(((BG196/AY196-1)*100)&lt;-50,"NM",(BG196/AY196-1)*100)))</f>
        <v>NM</v>
      </c>
      <c r="BI196" s="95">
        <f>-8.6+7.4</f>
        <v>-1.1999999999999993</v>
      </c>
      <c r="BJ196" s="81" t="str">
        <f>IF(ISERROR((BI196/BA196-1)*100),"NA",IF(((BI196/BA196-1)*100)&gt;100,"NM",IF(((BI196/BA196-1)*100)&lt;-50,"NM",(BI196/BA196-1)*100)))</f>
        <v>NM</v>
      </c>
      <c r="BK196" s="95">
        <f>-11.9+8.3</f>
        <v>-3.5999999999999996</v>
      </c>
      <c r="BL196" s="81" t="str">
        <f>IF(ISERROR((BK196/BC196-1)*100),"NA",IF(((BK196/BC196-1)*100)&gt;100,"NM",IF(((BK196/BC196-1)*100)&lt;-50,"NM",(BK196/BC196-1)*100)))</f>
        <v>NM</v>
      </c>
      <c r="BM196" s="95">
        <f>-8.9+7.4</f>
        <v>-1.5</v>
      </c>
      <c r="BN196" s="81" t="str">
        <f>IF(ISERROR((BM196/BE196-1)*100),"NA",IF(((BM196/BE196-1)*100)&gt;100,"NM",IF(((BM196/BE196-1)*100)&lt;-50,"NM",(BM196/BE196-1)*100)))</f>
        <v>NM</v>
      </c>
      <c r="BO196" s="95">
        <f>-8+9.3</f>
        <v>1.3000000000000007</v>
      </c>
      <c r="BP196" s="81">
        <f>IF(ISERROR((BO196/BG196-1)*100),"NA",IF(((BO196/BG196-1)*100)&gt;100,"NM",IF(((BO196/BG196-1)*100)&lt;-50,"NM",(BO196/BG196-1)*100)))</f>
        <v>-27.777777777777768</v>
      </c>
      <c r="BQ196" s="95">
        <f>-6.1+7.1</f>
        <v>1</v>
      </c>
      <c r="BR196" s="81" t="str">
        <f>IF(ISERROR((BQ196/BI196-1)*100),"NA",IF(((BQ196/BI196-1)*100)&gt;100,"NM",IF(((BQ196/BI196-1)*100)&lt;-50,"NM",(BQ196/BI196-1)*100)))</f>
        <v>NM</v>
      </c>
      <c r="BS196" s="95">
        <f>-7+7.7</f>
        <v>0.70000000000000018</v>
      </c>
      <c r="BT196" s="81" t="str">
        <f>IF(ISERROR((BS196/BK196-1)*100),"NA",IF(((BS196/BK196-1)*100)&gt;100,"NM",IF(((BS196/BK196-1)*100)&lt;-50,"NM",(BS196/BK196-1)*100)))</f>
        <v>NM</v>
      </c>
      <c r="BU196" s="95">
        <f>-7.9+7.7</f>
        <v>-0.20000000000000018</v>
      </c>
      <c r="BV196" s="81" t="str">
        <f>IF(ISERROR((BU196/BM196-1)*100),"NA",IF(((BU196/BM196-1)*100)&gt;100,"NM",IF(((BU196/BM196-1)*100)&lt;-50,"NM",(BU196/BM196-1)*100)))</f>
        <v>NM</v>
      </c>
      <c r="BW196" s="95">
        <f>-8.1+8</f>
        <v>-9.9999999999999645E-2</v>
      </c>
      <c r="BX196" s="81" t="str">
        <f>IF(ISERROR((BW196/BO196-1)*100),"NA",IF(((BW196/BO196-1)*100)&gt;100,"NM",IF(((BW196/BO196-1)*100)&lt;-50,"NM",(BW196/BO196-1)*100)))</f>
        <v>NM</v>
      </c>
      <c r="BY196" s="95">
        <f>-3.4+3.6</f>
        <v>0.20000000000000018</v>
      </c>
      <c r="BZ196" s="81" t="str">
        <f>IF(ISERROR((BY196/BQ196-1)*100),"NA",IF(((BY196/BQ196-1)*100)&gt;100,"NM",IF(((BY196/BQ196-1)*100)&lt;-50,"NM",(BY196/BQ196-1)*100)))</f>
        <v>NM</v>
      </c>
      <c r="CA196" s="95">
        <f>-3.8+3.3</f>
        <v>-0.5</v>
      </c>
      <c r="CB196" s="81" t="str">
        <f>IF(ISERROR((CA196/BS196-1)*100),"NA",IF(((CA196/BS196-1)*100)&gt;100,"NM",IF(((CA196/BS196-1)*100)&lt;-50,"NM",(CA196/BS196-1)*100)))</f>
        <v>NM</v>
      </c>
      <c r="CC196" s="95">
        <f>-3.7+3.3</f>
        <v>-0.40000000000000036</v>
      </c>
      <c r="CD196" s="81">
        <f>IF(ISERROR((CC196/BU196-1)*100),"NA",IF(((CC196/BU196-1)*100)&gt;100,"NM",IF(((CC196/BU196-1)*100)&lt;-50,"NM",(CC196/BU196-1)*100)))</f>
        <v>100</v>
      </c>
      <c r="CE196" s="95">
        <f>-4.2+3.4</f>
        <v>-0.80000000000000027</v>
      </c>
      <c r="CF196" s="81" t="str">
        <f>IF(ISERROR((CE196/BW196-1)*100),"NA",IF(((CE196/BW196-1)*100)&gt;100,"NM",IF(((CE196/BW196-1)*100)&lt;-50,"NM",(CE196/BW196-1)*100)))</f>
        <v>NM</v>
      </c>
      <c r="CG196" s="95">
        <f>-3.5+3.8</f>
        <v>0.29999999999999982</v>
      </c>
      <c r="CH196" s="81">
        <f>IF(ISERROR((CG196/BY196-1)*100),"NA",IF(((CG196/BY196-1)*100)&gt;100,"NM",IF(((CG196/BY196-1)*100)&lt;-50,"NM",(CG196/BY196-1)*100)))</f>
        <v>49.99999999999978</v>
      </c>
      <c r="CI196" s="95">
        <f>-4.1+3.8</f>
        <v>-0.29999999999999982</v>
      </c>
      <c r="CJ196" s="81">
        <f>IF(ISERROR((CI196/CA196-1)*100),"NA",IF(((CI196/CA196-1)*100)&gt;100,"NM",IF(((CI196/CA196-1)*100)&lt;-50,"NM",(CI196/CA196-1)*100)))</f>
        <v>-40.000000000000036</v>
      </c>
      <c r="CK196" s="95">
        <f>-3.6+3.9</f>
        <v>0.29999999999999982</v>
      </c>
      <c r="CL196" s="81" t="str">
        <f>IF(ISERROR((CK196/CC196-1)*100),"NA",IF(((CK196/CC196-1)*100)&gt;100,"NM",IF(((CK196/CC196-1)*100)&lt;-50,"NM",(CK196/CC196-1)*100)))</f>
        <v>NM</v>
      </c>
      <c r="CM196" s="95">
        <f>-4.2+3.8</f>
        <v>-0.40000000000000036</v>
      </c>
      <c r="CN196" s="81">
        <f>IF(ISERROR((CM196/CE196-1)*100),"NA",IF(((CM196/CE196-1)*100)&gt;100,"NM",IF(((CM196/CE196-1)*100)&lt;-50,"NM",(CM196/CE196-1)*100)))</f>
        <v>-49.999999999999979</v>
      </c>
      <c r="CO196" s="95">
        <f>-3.6+3.9</f>
        <v>0.29999999999999982</v>
      </c>
      <c r="CP196" s="81">
        <f>IF(ISERROR((CO196/CG196-1)*100),"NA",IF(((CO196/CG196-1)*100)&gt;100,"NM",IF(((CO196/CG196-1)*100)&lt;-50,"NM",(CO196/CG196-1)*100)))</f>
        <v>0</v>
      </c>
      <c r="CQ196" s="95">
        <f>-3.5+4.1</f>
        <v>0.59999999999999964</v>
      </c>
      <c r="CR196" s="81" t="str">
        <f>IF(ISERROR((CQ196/CI196-1)*100),"NA",IF(((CQ196/CI196-1)*100)&gt;100,"NM",IF(((CQ196/CI196-1)*100)&lt;-50,"NM",(CQ196/CI196-1)*100)))</f>
        <v>NM</v>
      </c>
      <c r="CS196" s="95">
        <f>-2.8+3.8</f>
        <v>1</v>
      </c>
      <c r="CT196" s="81" t="str">
        <f>IF(ISERROR((CS196/CK196-1)*100),"NA",IF(((CS196/CK196-1)*100)&gt;100,"NM",IF(((CS196/CK196-1)*100)&lt;-50,"NM",(CS196/CK196-1)*100)))</f>
        <v>NM</v>
      </c>
      <c r="CU196" s="95">
        <f>-1.9+3.9</f>
        <v>2</v>
      </c>
      <c r="CV196" s="81" t="str">
        <f>IF(ISERROR((CU196/CM196-1)*100),"NA",IF(((CU196/CM196-1)*100)&gt;100,"NM",IF(((CU196/CM196-1)*100)&lt;-50,"NM",(CU196/CM196-1)*100)))</f>
        <v>NM</v>
      </c>
      <c r="CW196" s="95">
        <f>-2.3+4.1</f>
        <v>1.7999999999999998</v>
      </c>
      <c r="CX196" s="81" t="str">
        <f>IF(ISERROR((CW196/CO196-1)*100),"NA",IF(((CW196/CO196-1)*100)&gt;100,"NM",IF(((CW196/CO196-1)*100)&lt;-50,"NM",(CW196/CO196-1)*100)))</f>
        <v>NM</v>
      </c>
      <c r="CY196" s="95">
        <f>-2.4+3.5</f>
        <v>1.1000000000000001</v>
      </c>
      <c r="CZ196" s="81">
        <f>IF(ISERROR((CY196/CQ196-1)*100),"NA",IF(((CY196/CQ196-1)*100)&gt;100,"NM",IF(((CY196/CQ196-1)*100)&lt;-50,"NM",(CY196/CQ196-1)*100)))</f>
        <v>83.333333333333456</v>
      </c>
      <c r="DA196" s="95">
        <f>-2.4+3.6</f>
        <v>1.2000000000000002</v>
      </c>
      <c r="DB196" s="81">
        <f>IF(ISERROR((DA196/CS196-1)*100),"NA",IF(((DA196/CS196-1)*100)&gt;100,"NM",IF(((DA196/CS196-1)*100)&lt;-50,"NM",(DA196/CS196-1)*100)))</f>
        <v>20.000000000000018</v>
      </c>
      <c r="DC196" s="95">
        <f>-2.7+3.5</f>
        <v>0.79999999999999982</v>
      </c>
      <c r="DD196" s="81" t="str">
        <f>IF(ISERROR((DC196/CU196-1)*100),"NA",IF(((DC196/CU196-1)*100)&gt;100,"NM",IF(((DC196/CU196-1)*100)&lt;-50,"NM",(DC196/CU196-1)*100)))</f>
        <v>NM</v>
      </c>
      <c r="DE196" s="95">
        <f>-2.2+3.2</f>
        <v>1</v>
      </c>
      <c r="DF196" s="81">
        <f>IF(ISERROR((DE196/CW196-1)*100),"NA",IF(((DE196/CW196-1)*100)&gt;100,"NM",IF(((DE196/CW196-1)*100)&lt;-50,"NM",(DE196/CW196-1)*100)))</f>
        <v>-44.444444444444443</v>
      </c>
      <c r="DG196" s="95">
        <f>-2.5+3.2</f>
        <v>0.70000000000000018</v>
      </c>
      <c r="DH196" s="81">
        <f>IF(ISERROR((DG196/CY196-1)*100),"NA",IF(((DG196/CY196-1)*100)&gt;100,"NM",IF(((DG196/CY196-1)*100)&lt;-50,"NM",(DG196/CY196-1)*100)))</f>
        <v>-36.363636363636353</v>
      </c>
      <c r="DI196" s="95">
        <f>-2.9+3.2</f>
        <v>0.30000000000000027</v>
      </c>
      <c r="DJ196" s="81" t="str">
        <f>IF(ISERROR((DI196/DA196-1)*100),"NA",IF(((DI196/DA196-1)*100)&gt;100,"NM",IF(((DI196/DA196-1)*100)&lt;-50,"NM",(DI196/DA196-1)*100)))</f>
        <v>NM</v>
      </c>
      <c r="DK196" s="95">
        <f>-2.9+2.9</f>
        <v>0</v>
      </c>
      <c r="DL196" s="81" t="str">
        <f>IF(ISERROR((DK196/DC196-1)*100),"NA",IF(((DK196/DC196-1)*100)&gt;100,"NM",IF(((DK196/DC196-1)*100)&lt;-50,"NM",(DK196/DC196-1)*100)))</f>
        <v>NM</v>
      </c>
      <c r="DM196" s="95">
        <f>-2+2.8</f>
        <v>0.79999999999999982</v>
      </c>
      <c r="DN196" s="81">
        <f>IF(ISERROR((DM196/DE196-1)*100),"NA",IF(((DM196/DE196-1)*100)&gt;100,"NM",IF(((DM196/DE196-1)*100)&lt;-50,"NM",(DM196/DE196-1)*100)))</f>
        <v>-20.000000000000018</v>
      </c>
      <c r="DO196" s="95">
        <f>-2.6+2.8</f>
        <v>0.19999999999999973</v>
      </c>
      <c r="DP196" s="81" t="str">
        <f>IF(ISERROR((DO196/DG196-1)*100),"NA",IF(((DO196/DG196-1)*100)&gt;100,"NM",IF(((DO196/DG196-1)*100)&lt;-50,"NM",(DO196/DG196-1)*100)))</f>
        <v>NM</v>
      </c>
      <c r="DQ196" s="95">
        <f>-2.6+3.2</f>
        <v>0.60000000000000009</v>
      </c>
      <c r="DR196" s="81">
        <f>IF(ISERROR((DQ196/DI196-1)*100),"NA",IF(((DQ196/DI196-1)*100)&gt;100,"NM",IF(((DQ196/DI196-1)*100)&lt;-50,"NM",(DQ196/DI196-1)*100)))</f>
        <v>99.999999999999844</v>
      </c>
      <c r="DS196" s="95">
        <f>-2.4+2.5</f>
        <v>0.10000000000000009</v>
      </c>
      <c r="DT196" s="81" t="str">
        <f>IF(ISERROR((DS196/DK196-1)*100),"NA",IF(((DS196/DK196-1)*100)&gt;100,"NM",IF(((DS196/DK196-1)*100)&lt;-50,"NM",(DS196/DK196-1)*100)))</f>
        <v>NA</v>
      </c>
      <c r="DU196" s="95">
        <f>-2+2.7</f>
        <v>0.70000000000000018</v>
      </c>
      <c r="DV196" s="81">
        <f>IF(ISERROR((DU196/DM196-1)*100),"NA",IF(((DU196/DM196-1)*100)&gt;100,"NM",IF(((DU196/DM196-1)*100)&lt;-50,"NM",(DU196/DM196-1)*100)))</f>
        <v>-12.499999999999956</v>
      </c>
      <c r="DW196" s="95">
        <f>-2+2.4</f>
        <v>0.39999999999999991</v>
      </c>
      <c r="DX196" s="81">
        <f>IF(ISERROR((DW196/DO196-1)*100),"NA",IF(((DW196/DO196-1)*100)&gt;100,"NM",IF(((DW196/DO196-1)*100)&lt;-50,"NM",(DW196/DO196-1)*100)))</f>
        <v>100.00000000000023</v>
      </c>
      <c r="DY196" s="95">
        <f>-2.1+2.3</f>
        <v>0.19999999999999973</v>
      </c>
      <c r="DZ196" s="81" t="str">
        <f>IF(ISERROR((DY196/DQ196-1)*100),"NA",IF(((DY196/DQ196-1)*100)&gt;100,"NM",IF(((DY196/DQ196-1)*100)&lt;-50,"NM",(DY196/DQ196-1)*100)))</f>
        <v>NM</v>
      </c>
      <c r="EA196" s="95">
        <f>-2.1+2.3</f>
        <v>0.19999999999999973</v>
      </c>
      <c r="EB196" s="81">
        <f>IF(ISERROR((EA196/DS196-1)*100),"NA",IF(((EA196/DS196-1)*100)&gt;100,"NM",IF(((EA196/DS196-1)*100)&lt;-50,"NM",(EA196/DS196-1)*100)))</f>
        <v>99.999999999999559</v>
      </c>
      <c r="EC196" s="95">
        <f>-1.8+2.2</f>
        <v>0.40000000000000013</v>
      </c>
      <c r="ED196" s="81">
        <f t="shared" si="634"/>
        <v>-42.857142857142847</v>
      </c>
      <c r="EE196" s="95">
        <f>-2+2.3</f>
        <v>0.29999999999999982</v>
      </c>
      <c r="EF196" s="81">
        <f t="shared" si="635"/>
        <v>-25.000000000000021</v>
      </c>
      <c r="EG196" s="95">
        <f>-1.6+2.3</f>
        <v>0.69999999999999973</v>
      </c>
      <c r="EH196" s="81" t="str">
        <f t="shared" si="636"/>
        <v>NM</v>
      </c>
      <c r="EI196" s="95">
        <f>-1.6+2.3</f>
        <v>0.69999999999999973</v>
      </c>
      <c r="EJ196" s="81" t="str">
        <f t="shared" si="637"/>
        <v>NM</v>
      </c>
      <c r="EK196" s="95">
        <f t="shared" ref="EK196" si="644">EC196*1.005/EC$185*EK$185</f>
        <v>0.45511753996361343</v>
      </c>
      <c r="EL196" s="81">
        <f t="shared" si="639"/>
        <v>13.779384990903321</v>
      </c>
      <c r="EM196" s="95">
        <f t="shared" ref="EM196" si="645">EE196*1.005/EE$185*EM$185</f>
        <v>0.33064163054456669</v>
      </c>
      <c r="EN196" s="81">
        <f t="shared" si="640"/>
        <v>10.213876848188953</v>
      </c>
      <c r="EO196" s="95">
        <f t="shared" ref="EO196" si="646">EG196*1.005/EG$185*EO$185</f>
        <v>0.75434717551617592</v>
      </c>
      <c r="EP196" s="81">
        <f t="shared" si="641"/>
        <v>7.763882216596607</v>
      </c>
      <c r="EQ196" s="95">
        <f t="shared" ref="EQ196" si="647">EI196*1.005/EI$185*EQ$185</f>
        <v>0.73646999410823955</v>
      </c>
      <c r="ER196" s="81">
        <f t="shared" si="642"/>
        <v>5.2099991583199667</v>
      </c>
      <c r="ES196" s="105"/>
      <c r="ET196" s="475"/>
      <c r="EU196" s="105"/>
      <c r="EV196" s="105"/>
      <c r="EW196" s="201"/>
      <c r="EX196" s="105"/>
      <c r="EY196" s="201"/>
      <c r="EZ196" s="241"/>
      <c r="FA196" s="201"/>
      <c r="FB196" s="105"/>
      <c r="FC196" s="201"/>
      <c r="FD196" s="202">
        <f>12.8-28.6</f>
        <v>-15.8</v>
      </c>
      <c r="FE196" s="201" t="str">
        <f>IF(ISERROR((FD196/FB196-1)*100),"NA",IF(((FD196/FB196-1)*100)&gt;100,"NM",IF(((FD196/FB196-1)*100)&lt;-50,"NM",(FD196/FB196-1)*100)))</f>
        <v>NA</v>
      </c>
      <c r="FF196" s="202">
        <f>17-33.6</f>
        <v>-16.600000000000001</v>
      </c>
      <c r="FG196" s="201">
        <f>IF(ISERROR((FF196/FD196-1)*100),"NA",IF(((FF196/FD196-1)*100)&gt;100,"NM",IF(((FF196/FD196-1)*100)&lt;-50,"NM",(FF196/FD196-1)*100)))</f>
        <v>5.0632911392405111</v>
      </c>
      <c r="FH196" s="202">
        <f>19.2-37.7</f>
        <v>-18.500000000000004</v>
      </c>
      <c r="FI196" s="201">
        <f>IF(ISERROR((FH196/FF196-1)*100),"NA",IF(((FH196/FF196-1)*100)&gt;100,"NM",IF(((FH196/FF196-1)*100)&lt;-50,"NM",(FH196/FF196-1)*100)))</f>
        <v>11.44578313253013</v>
      </c>
      <c r="FJ196" s="104">
        <f>+AQ196+AO196+AM196+AK196</f>
        <v>-12.5</v>
      </c>
      <c r="FK196" s="201">
        <f>IF(ISERROR((FJ196/FH196-1)*100),"NA",IF(((FJ196/FH196-1)*100)&gt;100,"NM",IF(((FJ196/FH196-1)*100)&lt;-50,"NM",(FJ196/FH196-1)*100)))</f>
        <v>-32.432432432432442</v>
      </c>
      <c r="FL196" s="75">
        <f>AS196+AU196+AW196+AY196</f>
        <v>0.89999999999999947</v>
      </c>
      <c r="FM196" s="201" t="str">
        <f>IF(ISERROR((FL196/FJ196-1)*100),"NA",IF(((FL196/FJ196-1)*100)&gt;100,"NM",IF(((FL196/FJ196-1)*100)&lt;-50,"NM",(FL196/FJ196-1)*100)))</f>
        <v>NM</v>
      </c>
      <c r="FN196" s="75">
        <f>BA196+BC196+BE196+BG196</f>
        <v>8.2000000000000011</v>
      </c>
      <c r="FO196" s="201" t="str">
        <f>IF(ISERROR((FN196/FL196-1)*100),"NA",IF(((FN196/FL196-1)*100)&gt;100,"NM",IF(((FN196/FL196-1)*100)&lt;-50,"NM",(FN196/FL196-1)*100)))</f>
        <v>NM</v>
      </c>
      <c r="FP196" s="75">
        <f>BI196+BK196+BM196+BO196</f>
        <v>-4.9999999999999982</v>
      </c>
      <c r="FQ196" s="201" t="str">
        <f>IF(ISERROR((FP196/FN196-1)*100),"NA",IF(((FP196/FN196-1)*100)&gt;100,"NM",IF(((FP196/FN196-1)*100)&lt;-50,"NM",(FP196/FN196-1)*100)))</f>
        <v>NM</v>
      </c>
      <c r="FR196" s="95">
        <f>-13.7+12.7</f>
        <v>-1</v>
      </c>
      <c r="FS196" s="201" t="str">
        <f>IF(ISERROR((FR196/FP196-1)*100),"NA",IF(((FR196/FP196-1)*100)&gt;100,"NM",IF(((FR196/FP196-1)*100)&lt;-50,"NM",(FR196/FP196-1)*100)))</f>
        <v>NM</v>
      </c>
      <c r="FT196" s="93">
        <f>BY196+CA196+CC196+CE196</f>
        <v>-1.5000000000000004</v>
      </c>
      <c r="FU196" s="201">
        <f>IF(ISERROR((FT196/FR196-1)*100),"NA",IF(((FT196/FR196-1)*100)&gt;100,"NM",IF(((FT196/FR196-1)*100)&lt;-50,"NM",(FT196/FR196-1)*100)))</f>
        <v>50.000000000000043</v>
      </c>
      <c r="FV196" s="93">
        <f>CG196+CI196+CK196+CM196</f>
        <v>-0.10000000000000053</v>
      </c>
      <c r="FW196" s="201" t="str">
        <f>IF(ISERROR((FV196/FT196-1)*100),"NA",IF(((FV196/FT196-1)*100)&gt;100,"NM",IF(((FV196/FT196-1)*100)&lt;-50,"NM",(FV196/FT196-1)*100)))</f>
        <v>NM</v>
      </c>
      <c r="FX196" s="93">
        <f>CO196+CQ196+CS196+CU196</f>
        <v>3.8999999999999995</v>
      </c>
      <c r="FY196" s="201" t="str">
        <f>IF(ISERROR((FX196/FV196-1)*100),"NA",IF(((FX196/FV196-1)*100)&gt;100,"NM",IF(((FX196/FV196-1)*100)&lt;-50,"NM",(FX196/FV196-1)*100)))</f>
        <v>NM</v>
      </c>
      <c r="FZ196" s="93">
        <f>CW196+CY196+DA196+DC196</f>
        <v>4.8999999999999995</v>
      </c>
      <c r="GA196" s="79">
        <f>IF(ISERROR((FZ196/FX196-1)*100),"NA",IF(((FZ196/FX196-1)*100)&gt;100,"NM",IF(((FZ196/FX196-1)*100)&lt;-50,"NM",(FZ196/FX196-1)*100)))</f>
        <v>25.641025641025639</v>
      </c>
      <c r="GB196" s="93">
        <f>DE196+DG196+DI196+DK196</f>
        <v>2.0000000000000004</v>
      </c>
      <c r="GC196" s="79" t="str">
        <f>IF(ISERROR((GB196/FZ196-1)*100),"NA",IF(((GB196/FZ196-1)*100)&gt;100,"NM",IF(((GB196/FZ196-1)*100)&lt;-50,"NM",(GB196/FZ196-1)*100)))</f>
        <v>NM</v>
      </c>
      <c r="GD196" s="93">
        <f>DM196+DO196+DQ196+DS196</f>
        <v>1.6999999999999997</v>
      </c>
      <c r="GE196" s="79">
        <f>IF(ISERROR((GD196/GB196-1)*100),"NA",IF(((GD196/GB196-1)*100)&gt;100,"NM",IF(((GD196/GB196-1)*100)&lt;-50,"NM",(GD196/GB196-1)*100)))</f>
        <v>-15.000000000000036</v>
      </c>
      <c r="GF196" s="93">
        <f>DU196+DW196+DY196+EA196</f>
        <v>1.4999999999999996</v>
      </c>
      <c r="GG196" s="79">
        <f>IF(ISERROR((GF196/GD196-1)*100),"NA",IF(((GF196/GD196-1)*100)&gt;100,"NM",IF(((GF196/GD196-1)*100)&lt;-50,"NM",(GF196/GD196-1)*100)))</f>
        <v>-11.764705882352954</v>
      </c>
      <c r="GH196" s="93">
        <f>EC196+EE196+EG196+EI196</f>
        <v>2.0999999999999996</v>
      </c>
      <c r="GI196" s="79">
        <f>IF(ISERROR((GH196/GF196-1)*100),"NA",IF(((GH196/GF196-1)*100)&gt;100,"NM",IF(((GH196/GF196-1)*100)&lt;-50,"NM",(GH196/GF196-1)*100)))</f>
        <v>40.000000000000014</v>
      </c>
      <c r="GJ196" s="93">
        <f>EK196+EM196+EO196+EQ196</f>
        <v>2.2765763401325954</v>
      </c>
      <c r="GK196" s="79">
        <f>IF(ISERROR((GJ196/GH196-1)*100),"NA",IF(((GJ196/GH196-1)*100)&gt;100,"NM",IF(((GJ196/GH196-1)*100)&lt;-50,"NM",(GJ196/GH196-1)*100)))</f>
        <v>8.4083971491712326</v>
      </c>
      <c r="GL196" s="886">
        <f>GJ196*1/GJ$185*GL$185</f>
        <v>2.2765763401325954</v>
      </c>
      <c r="GM196" s="79">
        <f>IF(ISERROR((GL196/GJ196-1)*100),"NA",IF(((GL196/GJ196-1)*100)&gt;100,"NM",IF(((GL196/GJ196-1)*100)&lt;-50,"NM",(GL196/GJ196-1)*100)))</f>
        <v>0</v>
      </c>
      <c r="GN196" s="886">
        <f>GL196*1/GL$185*GN$185</f>
        <v>2.2765763401325954</v>
      </c>
      <c r="GO196" s="79">
        <f>IF(ISERROR((GN196/GL196-1)*100),"NA",IF(((GN196/GL196-1)*100)&gt;100,"NM",IF(((GN196/GL196-1)*100)&lt;-50,"NM",(GN196/GL196-1)*100)))</f>
        <v>0</v>
      </c>
      <c r="GP196" s="886">
        <f>GN196*1/GN$185*GP$185</f>
        <v>2.2765763401325954</v>
      </c>
      <c r="GQ196" s="79">
        <f>IF(ISERROR((GP196/GN196-1)*100),"NA",IF(((GP196/GN196-1)*100)&gt;100,"NM",IF(((GP196/GN196-1)*100)&lt;-50,"NM",(GP196/GN196-1)*100)))</f>
        <v>0</v>
      </c>
      <c r="GR196" s="886">
        <f>GP196*1/GP$185*GR$185</f>
        <v>2.2765763401325954</v>
      </c>
      <c r="GS196" s="79">
        <f>IF(ISERROR((GR196/GP196-1)*100),"NA",IF(((GR196/GP196-1)*100)&gt;100,"NM",IF(((GR196/GP196-1)*100)&lt;-50,"NM",(GR196/GP196-1)*100)))</f>
        <v>0</v>
      </c>
      <c r="GT196" s="79">
        <f>IF(ISERROR(((GR196/GH196)^0.2-1)*100),"NA",(IF(OR(((GR196/GH196)^0.2-1)*100&gt;99,((GR196/GH196)^0.2-1)*100&lt;-50),"NM",(((GR196/GH196)^0.2-1)*100))))</f>
        <v>1.6278141387398026</v>
      </c>
      <c r="GU196" s="562"/>
      <c r="GV196" s="562"/>
      <c r="GW196"/>
      <c r="GX196"/>
      <c r="GY196"/>
      <c r="GZ196"/>
      <c r="HA196"/>
      <c r="HB196"/>
      <c r="HC196" s="562"/>
      <c r="HD196" s="562"/>
      <c r="HE196" s="562"/>
      <c r="HF196" s="562"/>
      <c r="HG196" s="562"/>
      <c r="HH196" s="562"/>
      <c r="HI196" s="562"/>
      <c r="HJ196" s="562"/>
      <c r="HK196" s="562"/>
      <c r="HL196" s="562"/>
      <c r="HM196" s="562"/>
      <c r="HN196" s="562"/>
      <c r="HO196" s="562"/>
      <c r="HP196" s="562"/>
      <c r="HQ196" s="562"/>
      <c r="HR196" s="562"/>
      <c r="HS196" s="562"/>
      <c r="HT196" s="562"/>
      <c r="HU196" s="562"/>
      <c r="HV196" s="562"/>
      <c r="HW196" s="562"/>
      <c r="HX196" s="562"/>
      <c r="HY196" s="562"/>
      <c r="HZ196" s="562"/>
      <c r="IA196" s="562"/>
      <c r="IB196" s="562"/>
      <c r="IC196" s="562"/>
      <c r="ID196" s="562"/>
      <c r="IE196" s="562"/>
      <c r="IF196" s="562"/>
      <c r="IG196" s="562"/>
      <c r="IH196" s="562"/>
      <c r="II196" s="562"/>
      <c r="IJ196" s="562"/>
      <c r="IK196" s="562"/>
      <c r="IL196" s="562"/>
      <c r="IM196" s="562"/>
      <c r="IN196" s="562"/>
      <c r="IO196" s="562"/>
      <c r="IP196" s="562"/>
      <c r="IQ196" s="562"/>
      <c r="IR196" s="562"/>
      <c r="IS196" s="562"/>
      <c r="IT196" s="562"/>
      <c r="IU196" s="562"/>
      <c r="IV196" s="562"/>
      <c r="IW196" s="562"/>
      <c r="IX196" s="562"/>
      <c r="IY196" s="562"/>
      <c r="IZ196" s="562"/>
      <c r="JA196" s="562"/>
      <c r="JB196" s="562"/>
      <c r="JC196" s="562"/>
      <c r="JD196" s="562"/>
      <c r="JE196" s="562"/>
      <c r="JF196" s="562"/>
      <c r="JG196" s="562"/>
      <c r="JH196" s="562"/>
      <c r="JI196" s="562"/>
      <c r="JJ196" s="562"/>
      <c r="JK196" s="562"/>
      <c r="JL196" s="562"/>
      <c r="JM196" s="562"/>
      <c r="JN196" s="562"/>
      <c r="JO196" s="562"/>
      <c r="JP196" s="562"/>
      <c r="JQ196" s="562"/>
      <c r="JR196" s="562"/>
      <c r="JS196" s="562"/>
      <c r="JT196" s="562"/>
      <c r="JU196" s="562"/>
      <c r="JV196" s="562"/>
      <c r="JW196" s="562"/>
      <c r="JX196" s="562"/>
      <c r="JY196" s="562"/>
      <c r="JZ196" s="562"/>
    </row>
    <row r="197" spans="1:286" s="249" customFormat="1" ht="12.75" customHeight="1" x14ac:dyDescent="0.2">
      <c r="A197" s="248"/>
      <c r="B197" s="10" t="s">
        <v>132</v>
      </c>
      <c r="C197" s="79"/>
      <c r="D197" s="79"/>
      <c r="E197" s="95"/>
      <c r="F197" s="95"/>
      <c r="G197" s="95"/>
      <c r="H197" s="95"/>
      <c r="I197" s="95"/>
      <c r="J197" s="95"/>
      <c r="K197" s="95"/>
      <c r="L197" s="79"/>
      <c r="M197" s="95"/>
      <c r="N197" s="79"/>
      <c r="O197" s="95"/>
      <c r="P197" s="79"/>
      <c r="Q197" s="95"/>
      <c r="R197" s="79"/>
      <c r="S197" s="95"/>
      <c r="T197" s="79"/>
      <c r="U197" s="95"/>
      <c r="V197" s="79"/>
      <c r="W197" s="95"/>
      <c r="X197" s="79"/>
      <c r="Y197" s="95"/>
      <c r="Z197" s="79"/>
      <c r="AA197" s="126"/>
      <c r="AB197" s="79"/>
      <c r="AC197" s="95">
        <f>8.4+66.3-AE197</f>
        <v>34.800000000000004</v>
      </c>
      <c r="AD197" s="79" t="str">
        <f>IF(ISERROR((AC197/U197-1)*100),"NA",IF(((AC197/U197-1)*100)&gt;100,"NM",IF(((AC197/U197-1)*100)&lt;-50,"NM",(AC197/U197-1)*100)))</f>
        <v>NA</v>
      </c>
      <c r="AE197" s="95">
        <f>4.8+35.1</f>
        <v>39.9</v>
      </c>
      <c r="AF197" s="79" t="str">
        <f>IF(ISERROR((AE197/W197-1)*100),"NA",IF(((AE197/W197-1)*100)&gt;100,"NM",IF(((AE197/W197-1)*100)&lt;-50,"NM",(AE197/W197-1)*100)))</f>
        <v>NA</v>
      </c>
      <c r="AG197" s="95">
        <f>4.2+35.7</f>
        <v>39.900000000000006</v>
      </c>
      <c r="AH197" s="79" t="str">
        <f>IF(ISERROR((AG197/Y197-1)*100),"NA",IF(((AG197/Y197-1)*100)&gt;100,"NM",IF(((AG197/Y197-1)*100)&lt;-50,"NM",(AG197/Y197-1)*100)))</f>
        <v>NA</v>
      </c>
      <c r="AI197" s="75">
        <f>FH197-AG197-AE197-AC197</f>
        <v>40.999999999999979</v>
      </c>
      <c r="AJ197" s="79" t="str">
        <f>IF(ISERROR((AI197/AA197-1)*100),"NA",IF(((AI197/AA197-1)*100)&gt;100,"NM",IF(((AI197/AA197-1)*100)&lt;-50,"NM",(AI197/AA197-1)*100)))</f>
        <v>NA</v>
      </c>
      <c r="AK197" s="95">
        <f>7.3+76.6-AM197</f>
        <v>40.29999999999999</v>
      </c>
      <c r="AL197" s="79">
        <f>IF(ISERROR((AK197/AC197-1)*100),"NA",IF(((AK197/AC197-1)*100)&gt;100,"NM",IF(((AK197/AC197-1)*100)&lt;-50,"NM",(AK197/AC197-1)*100)))</f>
        <v>15.804597701149392</v>
      </c>
      <c r="AM197" s="95">
        <f>40+3.6</f>
        <v>43.6</v>
      </c>
      <c r="AN197" s="79">
        <f>IF(ISERROR((AM197/AE197-1)*100),"NA",IF(((AM197/AE197-1)*100)&gt;100,"NM",IF(((AM197/AE197-1)*100)&lt;-50,"NM",(AM197/AE197-1)*100)))</f>
        <v>9.2731829573934998</v>
      </c>
      <c r="AO197" s="95">
        <f>3.5+37.8</f>
        <v>41.3</v>
      </c>
      <c r="AP197" s="79">
        <f>IF(ISERROR((AO197/AG197-1)*100),"NA",IF(((AO197/AG197-1)*100)&gt;100,"NM",IF(((AO197/AG197-1)*100)&lt;-50,"NM",(AO197/AG197-1)*100)))</f>
        <v>3.5087719298245501</v>
      </c>
      <c r="AQ197" s="95">
        <f>39.6+3.4</f>
        <v>43</v>
      </c>
      <c r="AR197" s="79">
        <f>IF(ISERROR((AQ197/AI197-1)*100),"NA",IF(((AQ197/AI197-1)*100)&gt;100,"NM",IF(((AQ197/AI197-1)*100)&lt;-50,"NM",(AQ197/AI197-1)*100)))</f>
        <v>4.8780487804878536</v>
      </c>
      <c r="AS197" s="95">
        <f>1.5+35.5</f>
        <v>37</v>
      </c>
      <c r="AT197" s="81">
        <f>IF(ISERROR((AS197/AK197-1)*100),"NA",IF(((AS197/AK197-1)*100)&gt;100,"NM",IF(((AS197/AK197-1)*100)&lt;-50,"NM",(AS197/AK197-1)*100)))</f>
        <v>-8.1885856079404249</v>
      </c>
      <c r="AU197" s="95">
        <f>36.9+1.8</f>
        <v>38.699999999999996</v>
      </c>
      <c r="AV197" s="81">
        <f>IF(ISERROR((AU197/AM197-1)*100),"NA",IF(((AU197/AM197-1)*100)&gt;100,"NM",IF(((AU197/AM197-1)*100)&lt;-50,"NM",(AU197/AM197-1)*100)))</f>
        <v>-11.238532110091759</v>
      </c>
      <c r="AW197" s="95">
        <v>39.299999999999997</v>
      </c>
      <c r="AX197" s="81">
        <f>IF(ISERROR((AW197/AO197-1)*100),"NA",IF(((AW197/AO197-1)*100)&gt;100,"NM",IF(((AW197/AO197-1)*100)&lt;-50,"NM",(AW197/AO197-1)*100)))</f>
        <v>-4.842615012106533</v>
      </c>
      <c r="AY197" s="95">
        <v>40.6</v>
      </c>
      <c r="AZ197" s="81">
        <f>IF(ISERROR((AY197/AQ197-1)*100),"NA",IF(((AY197/AQ197-1)*100)&gt;100,"NM",IF(((AY197/AQ197-1)*100)&lt;-50,"NM",(AY197/AQ197-1)*100)))</f>
        <v>-5.5813953488372032</v>
      </c>
      <c r="BA197" s="95">
        <v>40.9</v>
      </c>
      <c r="BB197" s="81">
        <f>IF(ISERROR((BA197/AS197-1)*100),"NA",IF(((BA197/AS197-1)*100)&gt;100,"NM",IF(((BA197/AS197-1)*100)&lt;-50,"NM",(BA197/AS197-1)*100)))</f>
        <v>10.540540540540544</v>
      </c>
      <c r="BC197" s="95">
        <v>46.1</v>
      </c>
      <c r="BD197" s="81">
        <f>IF(ISERROR((BC197/AU197-1)*100),"NA",IF(((BC197/AU197-1)*100)&gt;100,"NM",IF(((BC197/AU197-1)*100)&lt;-50,"NM",(BC197/AU197-1)*100)))</f>
        <v>19.121447028423798</v>
      </c>
      <c r="BE197" s="95">
        <v>44.8</v>
      </c>
      <c r="BF197" s="81">
        <f>IF(ISERROR((BE197/AW197-1)*100),"NA",IF(((BE197/AW197-1)*100)&gt;100,"NM",IF(((BE197/AW197-1)*100)&lt;-50,"NM",(BE197/AW197-1)*100)))</f>
        <v>13.994910941475824</v>
      </c>
      <c r="BG197" s="95">
        <v>51.7</v>
      </c>
      <c r="BH197" s="81">
        <f>IF(ISERROR((BG197/AY197-1)*100),"NA",IF(((BG197/AY197-1)*100)&gt;100,"NM",IF(((BG197/AY197-1)*100)&lt;-50,"NM",(BG197/AY197-1)*100)))</f>
        <v>27.33990147783252</v>
      </c>
      <c r="BI197" s="95">
        <v>45.3</v>
      </c>
      <c r="BJ197" s="81">
        <f>IF(ISERROR((BI197/BA197-1)*100),"NA",IF(((BI197/BA197-1)*100)&gt;100,"NM",IF(((BI197/BA197-1)*100)&lt;-50,"NM",(BI197/BA197-1)*100)))</f>
        <v>10.757946210268955</v>
      </c>
      <c r="BK197" s="95">
        <v>49.7</v>
      </c>
      <c r="BL197" s="81">
        <f>IF(ISERROR((BK197/BC197-1)*100),"NA",IF(((BK197/BC197-1)*100)&gt;100,"NM",IF(((BK197/BC197-1)*100)&lt;-50,"NM",(BK197/BC197-1)*100)))</f>
        <v>7.8091106290672396</v>
      </c>
      <c r="BM197" s="95">
        <v>46.7</v>
      </c>
      <c r="BN197" s="81">
        <f>IF(ISERROR((BM197/BE197-1)*100),"NA",IF(((BM197/BE197-1)*100)&gt;100,"NM",IF(((BM197/BE197-1)*100)&lt;-50,"NM",(BM197/BE197-1)*100)))</f>
        <v>4.2410714285714413</v>
      </c>
      <c r="BO197" s="95">
        <v>42.1</v>
      </c>
      <c r="BP197" s="81">
        <f>IF(ISERROR((BO197/BG197-1)*100),"NA",IF(((BO197/BG197-1)*100)&gt;100,"NM",IF(((BO197/BG197-1)*100)&lt;-50,"NM",(BO197/BG197-1)*100)))</f>
        <v>-18.568665377176018</v>
      </c>
      <c r="BQ197" s="95">
        <v>29.8</v>
      </c>
      <c r="BR197" s="81">
        <f>IF(ISERROR((BQ197/BI197-1)*100),"NA",IF(((BQ197/BI197-1)*100)&gt;100,"NM",IF(((BQ197/BI197-1)*100)&lt;-50,"NM",(BQ197/BI197-1)*100)))</f>
        <v>-34.216335540838848</v>
      </c>
      <c r="BS197" s="95">
        <v>34.4</v>
      </c>
      <c r="BT197" s="81">
        <f>IF(ISERROR((BS197/BK197-1)*100),"NA",IF(((BS197/BK197-1)*100)&gt;100,"NM",IF(((BS197/BK197-1)*100)&lt;-50,"NM",(BS197/BK197-1)*100)))</f>
        <v>-30.784708249496983</v>
      </c>
      <c r="BU197" s="95">
        <v>38</v>
      </c>
      <c r="BV197" s="81">
        <f>IF(ISERROR((BU197/BM197-1)*100),"NA",IF(((BU197/BM197-1)*100)&gt;100,"NM",IF(((BU197/BM197-1)*100)&lt;-50,"NM",(BU197/BM197-1)*100)))</f>
        <v>-18.629550321199151</v>
      </c>
      <c r="BW197" s="95">
        <v>39.5</v>
      </c>
      <c r="BX197" s="81">
        <f>IF(ISERROR((BW197/BO197-1)*100),"NA",IF(((BW197/BO197-1)*100)&gt;100,"NM",IF(((BW197/BO197-1)*100)&lt;-50,"NM",(BW197/BO197-1)*100)))</f>
        <v>-6.1757719714964354</v>
      </c>
      <c r="BY197" s="95">
        <v>30.4</v>
      </c>
      <c r="BZ197" s="81">
        <f>IF(ISERROR((BY197/BQ197-1)*100),"NA",IF(((BY197/BQ197-1)*100)&gt;100,"NM",IF(((BY197/BQ197-1)*100)&lt;-50,"NM",(BY197/BQ197-1)*100)))</f>
        <v>2.0134228187919323</v>
      </c>
      <c r="CA197" s="95">
        <v>33.299999999999997</v>
      </c>
      <c r="CB197" s="81">
        <f>IF(ISERROR((CA197/BS197-1)*100),"NA",IF(((CA197/BS197-1)*100)&gt;100,"NM",IF(((CA197/BS197-1)*100)&lt;-50,"NM",(CA197/BS197-1)*100)))</f>
        <v>-3.1976744186046568</v>
      </c>
      <c r="CC197" s="95">
        <v>33.5</v>
      </c>
      <c r="CD197" s="81">
        <f>IF(ISERROR((CC197/BU197-1)*100),"NA",IF(((CC197/BU197-1)*100)&gt;100,"NM",IF(((CC197/BU197-1)*100)&lt;-50,"NM",(CC197/BU197-1)*100)))</f>
        <v>-11.842105263157897</v>
      </c>
      <c r="CE197" s="95">
        <v>37.700000000000003</v>
      </c>
      <c r="CF197" s="81">
        <f>IF(ISERROR((CE197/BW197-1)*100),"NA",IF(((CE197/BW197-1)*100)&gt;100,"NM",IF(((CE197/BW197-1)*100)&lt;-50,"NM",(CE197/BW197-1)*100)))</f>
        <v>-4.5569620253164462</v>
      </c>
      <c r="CG197" s="95">
        <v>36.200000000000003</v>
      </c>
      <c r="CH197" s="81">
        <f>IF(ISERROR((CG197/BY197-1)*100),"NA",IF(((CG197/BY197-1)*100)&gt;100,"NM",IF(((CG197/BY197-1)*100)&lt;-50,"NM",(CG197/BY197-1)*100)))</f>
        <v>19.078947368421062</v>
      </c>
      <c r="CI197" s="95">
        <v>37.9</v>
      </c>
      <c r="CJ197" s="81">
        <f>IF(ISERROR((CI197/CA197-1)*100),"NA",IF(((CI197/CA197-1)*100)&gt;100,"NM",IF(((CI197/CA197-1)*100)&lt;-50,"NM",(CI197/CA197-1)*100)))</f>
        <v>13.813813813813812</v>
      </c>
      <c r="CK197" s="95">
        <v>34.5</v>
      </c>
      <c r="CL197" s="81">
        <f>IF(ISERROR((CK197/CC197-1)*100),"NA",IF(((CK197/CC197-1)*100)&gt;100,"NM",IF(((CK197/CC197-1)*100)&lt;-50,"NM",(CK197/CC197-1)*100)))</f>
        <v>2.9850746268656803</v>
      </c>
      <c r="CM197" s="95">
        <v>39.1</v>
      </c>
      <c r="CN197" s="81">
        <f>IF(ISERROR((CM197/CE197-1)*100),"NA",IF(((CM197/CE197-1)*100)&gt;100,"NM",IF(((CM197/CE197-1)*100)&lt;-50,"NM",(CM197/CE197-1)*100)))</f>
        <v>3.7135278514588865</v>
      </c>
      <c r="CO197" s="95">
        <v>34</v>
      </c>
      <c r="CP197" s="81">
        <f>IF(ISERROR((CO197/CG197-1)*100),"NA",IF(((CO197/CG197-1)*100)&gt;100,"NM",IF(((CO197/CG197-1)*100)&lt;-50,"NM",(CO197/CG197-1)*100)))</f>
        <v>-6.0773480662983488</v>
      </c>
      <c r="CQ197" s="95">
        <v>33.9</v>
      </c>
      <c r="CR197" s="81">
        <f>IF(ISERROR((CQ197/CI197-1)*100),"NA",IF(((CQ197/CI197-1)*100)&gt;100,"NM",IF(((CQ197/CI197-1)*100)&lt;-50,"NM",(CQ197/CI197-1)*100)))</f>
        <v>-10.554089709762538</v>
      </c>
      <c r="CS197" s="95">
        <v>34.200000000000003</v>
      </c>
      <c r="CT197" s="81">
        <f>IF(ISERROR((CS197/CK197-1)*100),"NA",IF(((CS197/CK197-1)*100)&gt;100,"NM",IF(((CS197/CK197-1)*100)&lt;-50,"NM",(CS197/CK197-1)*100)))</f>
        <v>-0.86956521739129933</v>
      </c>
      <c r="CU197" s="95">
        <v>44.2</v>
      </c>
      <c r="CV197" s="81">
        <f>IF(ISERROR((CU197/CM197-1)*100),"NA",IF(((CU197/CM197-1)*100)&gt;100,"NM",IF(((CU197/CM197-1)*100)&lt;-50,"NM",(CU197/CM197-1)*100)))</f>
        <v>13.043478260869579</v>
      </c>
      <c r="CW197" s="95">
        <v>31.3</v>
      </c>
      <c r="CX197" s="81">
        <f>IF(ISERROR((CW197/CO197-1)*100),"NA",IF(((CW197/CO197-1)*100)&gt;100,"NM",IF(((CW197/CO197-1)*100)&lt;-50,"NM",(CW197/CO197-1)*100)))</f>
        <v>-7.9411764705882293</v>
      </c>
      <c r="CY197" s="95">
        <v>24</v>
      </c>
      <c r="CZ197" s="81">
        <f>IF(ISERROR((CY197/CQ197-1)*100),"NA",IF(((CY197/CQ197-1)*100)&gt;100,"NM",IF(((CY197/CQ197-1)*100)&lt;-50,"NM",(CY197/CQ197-1)*100)))</f>
        <v>-29.20353982300885</v>
      </c>
      <c r="DA197" s="95">
        <v>28.7</v>
      </c>
      <c r="DB197" s="81">
        <f>IF(ISERROR((DA197/CS197-1)*100),"NA",IF(((DA197/CS197-1)*100)&gt;100,"NM",IF(((DA197/CS197-1)*100)&lt;-50,"NM",(DA197/CS197-1)*100)))</f>
        <v>-16.081871345029253</v>
      </c>
      <c r="DC197" s="95">
        <v>33</v>
      </c>
      <c r="DD197" s="81">
        <f>IF(ISERROR((DC197/CU197-1)*100),"NA",IF(((DC197/CU197-1)*100)&gt;100,"NM",IF(((DC197/CU197-1)*100)&lt;-50,"NM",(DC197/CU197-1)*100)))</f>
        <v>-25.339366515837114</v>
      </c>
      <c r="DE197" s="95">
        <v>31.4</v>
      </c>
      <c r="DF197" s="81">
        <f>IF(ISERROR((DE197/CW197-1)*100),"NA",IF(((DE197/CW197-1)*100)&gt;100,"NM",IF(((DE197/CW197-1)*100)&lt;-50,"NM",(DE197/CW197-1)*100)))</f>
        <v>0.31948881789136685</v>
      </c>
      <c r="DG197" s="95">
        <v>33.6</v>
      </c>
      <c r="DH197" s="81">
        <f>IF(ISERROR((DG197/CY197-1)*100),"NA",IF(((DG197/CY197-1)*100)&gt;100,"NM",IF(((DG197/CY197-1)*100)&lt;-50,"NM",(DG197/CY197-1)*100)))</f>
        <v>40.000000000000014</v>
      </c>
      <c r="DI197" s="95">
        <v>33.700000000000003</v>
      </c>
      <c r="DJ197" s="81">
        <f>IF(ISERROR((DI197/DA197-1)*100),"NA",IF(((DI197/DA197-1)*100)&gt;100,"NM",IF(((DI197/DA197-1)*100)&lt;-50,"NM",(DI197/DA197-1)*100)))</f>
        <v>17.421602787456457</v>
      </c>
      <c r="DK197" s="95">
        <v>35.9</v>
      </c>
      <c r="DL197" s="81">
        <f>IF(ISERROR((DK197/DC197-1)*100),"NA",IF(((DK197/DC197-1)*100)&gt;100,"NM",IF(((DK197/DC197-1)*100)&lt;-50,"NM",(DK197/DC197-1)*100)))</f>
        <v>8.787878787878789</v>
      </c>
      <c r="DM197" s="95">
        <v>26.2</v>
      </c>
      <c r="DN197" s="81">
        <f>IF(ISERROR((DM197/DE197-1)*100),"NA",IF(((DM197/DE197-1)*100)&gt;100,"NM",IF(((DM197/DE197-1)*100)&lt;-50,"NM",(DM197/DE197-1)*100)))</f>
        <v>-16.560509554140125</v>
      </c>
      <c r="DO197" s="95">
        <v>31.4</v>
      </c>
      <c r="DP197" s="81">
        <f>IF(ISERROR((DO197/DG197-1)*100),"NA",IF(((DO197/DG197-1)*100)&gt;100,"NM",IF(((DO197/DG197-1)*100)&lt;-50,"NM",(DO197/DG197-1)*100)))</f>
        <v>-6.5476190476190581</v>
      </c>
      <c r="DQ197" s="95">
        <v>30</v>
      </c>
      <c r="DR197" s="81">
        <f>IF(ISERROR((DQ197/DI197-1)*100),"NA",IF(((DQ197/DI197-1)*100)&gt;100,"NM",IF(((DQ197/DI197-1)*100)&lt;-50,"NM",(DQ197/DI197-1)*100)))</f>
        <v>-10.979228486646896</v>
      </c>
      <c r="DS197" s="95">
        <v>34.6</v>
      </c>
      <c r="DT197" s="81">
        <f>IF(ISERROR((DS197/DK197-1)*100),"NA",IF(((DS197/DK197-1)*100)&gt;100,"NM",IF(((DS197/DK197-1)*100)&lt;-50,"NM",(DS197/DK197-1)*100)))</f>
        <v>-3.6211699164345301</v>
      </c>
      <c r="DU197" s="95">
        <v>28.1</v>
      </c>
      <c r="DV197" s="81">
        <f>IF(ISERROR((DU197/DM197-1)*100),"NA",IF(((DU197/DM197-1)*100)&gt;100,"NM",IF(((DU197/DM197-1)*100)&lt;-50,"NM",(DU197/DM197-1)*100)))</f>
        <v>7.2519083969465825</v>
      </c>
      <c r="DW197" s="95">
        <v>29.2</v>
      </c>
      <c r="DX197" s="81">
        <f>IF(ISERROR((DW197/DO197-1)*100),"NA",IF(((DW197/DO197-1)*100)&gt;100,"NM",IF(((DW197/DO197-1)*100)&lt;-50,"NM",(DW197/DO197-1)*100)))</f>
        <v>-7.0063694267515908</v>
      </c>
      <c r="DY197" s="95">
        <v>26.9</v>
      </c>
      <c r="DZ197" s="81">
        <f>IF(ISERROR((DY197/DQ197-1)*100),"NA",IF(((DY197/DQ197-1)*100)&gt;100,"NM",IF(((DY197/DQ197-1)*100)&lt;-50,"NM",(DY197/DQ197-1)*100)))</f>
        <v>-10.333333333333339</v>
      </c>
      <c r="EA197" s="95">
        <v>27</v>
      </c>
      <c r="EB197" s="81">
        <f>IF(ISERROR((EA197/DS197-1)*100),"NA",IF(((EA197/DS197-1)*100)&gt;100,"NM",IF(((EA197/DS197-1)*100)&lt;-50,"NM",(EA197/DS197-1)*100)))</f>
        <v>-21.965317919075144</v>
      </c>
      <c r="EC197" s="95">
        <v>25.4</v>
      </c>
      <c r="ED197" s="81">
        <f t="shared" si="634"/>
        <v>-9.6085409252669169</v>
      </c>
      <c r="EE197" s="95">
        <v>26</v>
      </c>
      <c r="EF197" s="81">
        <f t="shared" si="635"/>
        <v>-10.95890410958904</v>
      </c>
      <c r="EG197" s="95">
        <v>25.8</v>
      </c>
      <c r="EH197" s="81">
        <f t="shared" si="636"/>
        <v>-4.0892193308550091</v>
      </c>
      <c r="EI197" s="95">
        <v>25.5</v>
      </c>
      <c r="EJ197" s="81">
        <f t="shared" si="637"/>
        <v>-5.555555555555558</v>
      </c>
      <c r="EK197" s="93">
        <f t="shared" ref="EK197:EQ197" si="648">EK203/100*EK191</f>
        <v>27.508651576796339</v>
      </c>
      <c r="EL197" s="81">
        <f t="shared" si="639"/>
        <v>8.3017778614029147</v>
      </c>
      <c r="EM197" s="93">
        <f t="shared" si="648"/>
        <v>27.787922401557854</v>
      </c>
      <c r="EN197" s="81">
        <f t="shared" si="640"/>
        <v>6.8766246213763704</v>
      </c>
      <c r="EO197" s="93">
        <f t="shared" si="648"/>
        <v>28.102810738120489</v>
      </c>
      <c r="EP197" s="81">
        <f t="shared" si="641"/>
        <v>8.9256230159708849</v>
      </c>
      <c r="EQ197" s="93">
        <f t="shared" si="648"/>
        <v>27.884230057523173</v>
      </c>
      <c r="ER197" s="81">
        <f t="shared" si="642"/>
        <v>9.3499217942085266</v>
      </c>
      <c r="ES197" s="129"/>
      <c r="ET197" s="469"/>
      <c r="EU197" s="129"/>
      <c r="EV197" s="95"/>
      <c r="EW197" s="79"/>
      <c r="EX197" s="95"/>
      <c r="EY197" s="79"/>
      <c r="EZ197" s="145"/>
      <c r="FA197" s="79"/>
      <c r="FB197" s="95"/>
      <c r="FC197" s="79"/>
      <c r="FD197" s="222">
        <f>2.3+87.5</f>
        <v>89.8</v>
      </c>
      <c r="FE197" s="79" t="str">
        <f>IF(ISERROR((FD197/FB197-1)*100),"NA",IF(((FD197/FB197-1)*100)&gt;100,"NM",IF(((FD197/FB197-1)*100)&lt;-50,"NM",(FD197/FB197-1)*100)))</f>
        <v>NA</v>
      </c>
      <c r="FF197" s="222">
        <f>5.4+114</f>
        <v>119.4</v>
      </c>
      <c r="FG197" s="79">
        <f>IF(ISERROR((FF197/FD197-1)*100),"NA",IF(((FF197/FD197-1)*100)&gt;100,"NM",IF(((FF197/FD197-1)*100)&lt;-50,"NM",(FF197/FD197-1)*100)))</f>
        <v>32.962138084632528</v>
      </c>
      <c r="FH197" s="222">
        <f>14.4+141.2</f>
        <v>155.6</v>
      </c>
      <c r="FI197" s="79">
        <f>IF(ISERROR((FH197/FF197-1)*100),"NA",IF(((FH197/FF197-1)*100)&gt;100,"NM",IF(((FH197/FF197-1)*100)&lt;-50,"NM",(FH197/FF197-1)*100)))</f>
        <v>30.318257956448889</v>
      </c>
      <c r="FJ197" s="35">
        <f>+AQ197+AO197+AM197+AK197</f>
        <v>168.2</v>
      </c>
      <c r="FK197" s="79">
        <f>IF(ISERROR((FJ197/FH197-1)*100),"NA",IF(((FJ197/FH197-1)*100)&gt;100,"NM",IF(((FJ197/FH197-1)*100)&lt;-50,"NM",(FJ197/FH197-1)*100)))</f>
        <v>8.0976863753213344</v>
      </c>
      <c r="FL197" s="78">
        <f>AS197+AU197+AW197+AY197</f>
        <v>155.6</v>
      </c>
      <c r="FM197" s="79">
        <f>IF(ISERROR((FL197/FJ197-1)*100),"NA",IF(((FL197/FJ197-1)*100)&gt;100,"NM",IF(((FL197/FJ197-1)*100)&lt;-50,"NM",(FL197/FJ197-1)*100)))</f>
        <v>-7.4910820451843048</v>
      </c>
      <c r="FN197" s="78">
        <f>BA197+BC197+BE197+BG197</f>
        <v>183.5</v>
      </c>
      <c r="FO197" s="79">
        <f>IF(ISERROR((FN197/FL197-1)*100),"NA",IF(((FN197/FL197-1)*100)&gt;100,"NM",IF(((FN197/FL197-1)*100)&lt;-50,"NM",(FN197/FL197-1)*100)))</f>
        <v>17.930591259640117</v>
      </c>
      <c r="FP197" s="78">
        <f>BI197+BK197+BM197+BO197</f>
        <v>183.79999999999998</v>
      </c>
      <c r="FQ197" s="79">
        <f>IF(ISERROR((FP197/FN197-1)*100),"NA",IF(((FP197/FN197-1)*100)&gt;100,"NM",IF(((FP197/FN197-1)*100)&lt;-50,"NM",(FP197/FN197-1)*100)))</f>
        <v>0.16348773841960984</v>
      </c>
      <c r="FR197" s="93">
        <f>BQ197+BS197+BU197+BW197</f>
        <v>141.69999999999999</v>
      </c>
      <c r="FS197" s="79">
        <f>IF(ISERROR((FR197/FP197-1)*100),"NA",IF(((FR197/FP197-1)*100)&gt;100,"NM",IF(((FR197/FP197-1)*100)&lt;-50,"NM",(FR197/FP197-1)*100)))</f>
        <v>-22.905331882480962</v>
      </c>
      <c r="FT197" s="93">
        <f>BY197+CA197+CC197+CE197</f>
        <v>134.89999999999998</v>
      </c>
      <c r="FU197" s="79">
        <f>IF(ISERROR((FT197/FR197-1)*100),"NA",IF(((FT197/FR197-1)*100)&gt;100,"NM",IF(((FT197/FR197-1)*100)&lt;-50,"NM",(FT197/FR197-1)*100)))</f>
        <v>-4.7988708539167373</v>
      </c>
      <c r="FV197" s="93">
        <f>CG197+CI197+CK197+CM197</f>
        <v>147.69999999999999</v>
      </c>
      <c r="FW197" s="79">
        <f>IF(ISERROR((FV197/FT197-1)*100),"NA",IF(((FV197/FT197-1)*100)&gt;100,"NM",IF(((FV197/FT197-1)*100)&lt;-50,"NM",(FV197/FT197-1)*100)))</f>
        <v>9.4885100074129092</v>
      </c>
      <c r="FX197" s="93">
        <f>CO197+CQ197+CS197+CU197</f>
        <v>146.30000000000001</v>
      </c>
      <c r="FY197" s="79">
        <f>IF(ISERROR((FX197/FV197-1)*100),"NA",IF(((FX197/FV197-1)*100)&gt;100,"NM",IF(((FX197/FV197-1)*100)&lt;-50,"NM",(FX197/FV197-1)*100)))</f>
        <v>-0.94786729857818663</v>
      </c>
      <c r="FZ197" s="93">
        <f>CW197+CY197+DA197+DC197</f>
        <v>117</v>
      </c>
      <c r="GA197" s="79">
        <f>IF(ISERROR((FZ197/FX197-1)*100),"NA",IF(((FZ197/FX197-1)*100)&gt;100,"NM",IF(((FZ197/FX197-1)*100)&lt;-50,"NM",(FZ197/FX197-1)*100)))</f>
        <v>-20.027341079972661</v>
      </c>
      <c r="GB197" s="93">
        <f>DE197+DG197+DI197+DK197</f>
        <v>134.6</v>
      </c>
      <c r="GC197" s="79">
        <f>IF(ISERROR((GB197/FZ197-1)*100),"NA",IF(((GB197/FZ197-1)*100)&gt;100,"NM",IF(((GB197/FZ197-1)*100)&lt;-50,"NM",(GB197/FZ197-1)*100)))</f>
        <v>15.042735042735034</v>
      </c>
      <c r="GD197" s="93">
        <f>DM197+DO197+DQ197+DS197</f>
        <v>122.19999999999999</v>
      </c>
      <c r="GE197" s="79">
        <f>IF(ISERROR((GD197/GB197-1)*100),"NA",IF(((GD197/GB197-1)*100)&gt;100,"NM",IF(((GD197/GB197-1)*100)&lt;-50,"NM",(GD197/GB197-1)*100)))</f>
        <v>-9.212481426448738</v>
      </c>
      <c r="GF197" s="93">
        <f>DU197+DW197+DY197+EA197</f>
        <v>111.19999999999999</v>
      </c>
      <c r="GG197" s="79">
        <f>IF(ISERROR((GF197/GD197-1)*100),"NA",IF(((GF197/GD197-1)*100)&gt;100,"NM",IF(((GF197/GD197-1)*100)&lt;-50,"NM",(GF197/GD197-1)*100)))</f>
        <v>-9.0016366612111316</v>
      </c>
      <c r="GH197" s="93">
        <f>EC197+EE197+EG197+EI197</f>
        <v>102.7</v>
      </c>
      <c r="GI197" s="79">
        <f>IF(ISERROR((GH197/GF197-1)*100),"NA",IF(((GH197/GF197-1)*100)&gt;100,"NM",IF(((GH197/GF197-1)*100)&lt;-50,"NM",(GH197/GF197-1)*100)))</f>
        <v>-7.6438848920863167</v>
      </c>
      <c r="GJ197" s="93">
        <f>EK197+EM197+EO197+EQ197</f>
        <v>111.28361477399785</v>
      </c>
      <c r="GK197" s="79">
        <f>IF(ISERROR((GJ197/GH197-1)*100),"NA",IF(((GJ197/GH197-1)*100)&gt;100,"NM",IF(((GJ197/GH197-1)*100)&lt;-50,"NM",(GJ197/GH197-1)*100)))</f>
        <v>8.3579501207379217</v>
      </c>
      <c r="GL197" s="93">
        <f>GL203/100*GL191</f>
        <v>115.73495936495777</v>
      </c>
      <c r="GM197" s="79">
        <f>IF(ISERROR((GL197/GJ197-1)*100),"NA",IF(((GL197/GJ197-1)*100)&gt;100,"NM",IF(((GL197/GJ197-1)*100)&lt;-50,"NM",(GL197/GJ197-1)*100)))</f>
        <v>4.0000000000000036</v>
      </c>
      <c r="GN197" s="93">
        <f>GN203/100*GN191</f>
        <v>120.3643577395561</v>
      </c>
      <c r="GO197" s="79">
        <f>IF(ISERROR((GN197/GL197-1)*100),"NA",IF(((GN197/GL197-1)*100)&gt;100,"NM",IF(((GN197/GL197-1)*100)&lt;-50,"NM",(GN197/GL197-1)*100)))</f>
        <v>4.0000000000000036</v>
      </c>
      <c r="GP197" s="93">
        <f>GP203/100*GP191</f>
        <v>125.17893204913834</v>
      </c>
      <c r="GQ197" s="79">
        <f>IF(ISERROR((GP197/GN197-1)*100),"NA",IF(((GP197/GN197-1)*100)&gt;100,"NM",IF(((GP197/GN197-1)*100)&lt;-50,"NM",(GP197/GN197-1)*100)))</f>
        <v>4.0000000000000036</v>
      </c>
      <c r="GR197" s="93">
        <f>GR203/100*GR191</f>
        <v>130.18608933110386</v>
      </c>
      <c r="GS197" s="79">
        <f>IF(ISERROR((GR197/GP197-1)*100),"NA",IF(((GR197/GP197-1)*100)&gt;100,"NM",IF(((GR197/GP197-1)*100)&lt;-50,"NM",(GR197/GP197-1)*100)))</f>
        <v>3.9999999999999813</v>
      </c>
      <c r="GT197" s="79">
        <f>IF(ISERROR(((GR197/GH197)^0.2-1)*100),"NA",(IF(OR(((GR197/GH197)^0.2-1)*100&gt;99,((GR197/GH197)^0.2-1)*100&lt;-50),"NM",(((GR197/GH197)^0.2-1)*100))))</f>
        <v>4.8573378601860506</v>
      </c>
      <c r="GU197" s="562"/>
      <c r="GV197" s="562"/>
      <c r="GW197"/>
      <c r="GX197"/>
      <c r="GY197"/>
      <c r="GZ197"/>
      <c r="HA197"/>
      <c r="HB197"/>
      <c r="HC197" s="562"/>
      <c r="HD197" s="562"/>
      <c r="HE197" s="562"/>
      <c r="HF197" s="562"/>
      <c r="HG197" s="562"/>
      <c r="HH197" s="562"/>
      <c r="HI197" s="562"/>
      <c r="HJ197" s="562"/>
      <c r="HK197" s="562"/>
      <c r="HL197" s="562"/>
      <c r="HM197" s="562"/>
      <c r="HN197" s="562"/>
      <c r="HO197" s="562"/>
      <c r="HP197" s="562"/>
      <c r="HQ197" s="562"/>
      <c r="HR197" s="562"/>
      <c r="HS197" s="562"/>
      <c r="HT197" s="562"/>
      <c r="HU197" s="562"/>
      <c r="HV197" s="562"/>
      <c r="HW197" s="562"/>
      <c r="HX197" s="562"/>
      <c r="HY197" s="562"/>
      <c r="HZ197" s="562"/>
      <c r="IA197" s="562"/>
      <c r="IB197" s="562"/>
      <c r="IC197" s="562"/>
      <c r="ID197" s="562"/>
      <c r="IE197" s="562"/>
      <c r="IF197" s="562"/>
      <c r="IG197" s="562"/>
      <c r="IH197" s="562"/>
      <c r="II197" s="562"/>
      <c r="IJ197" s="562"/>
      <c r="IK197" s="562"/>
      <c r="IL197" s="562"/>
      <c r="IM197" s="562"/>
      <c r="IN197" s="562"/>
      <c r="IO197" s="562"/>
      <c r="IP197" s="562"/>
      <c r="IQ197" s="562"/>
      <c r="IR197" s="562"/>
      <c r="IS197" s="562"/>
      <c r="IT197" s="562"/>
      <c r="IU197" s="562"/>
      <c r="IV197" s="562"/>
      <c r="IW197" s="562"/>
      <c r="IX197" s="562"/>
      <c r="IY197" s="562"/>
      <c r="IZ197" s="562"/>
      <c r="JA197" s="562"/>
      <c r="JB197" s="562"/>
      <c r="JC197" s="562"/>
      <c r="JD197" s="562"/>
      <c r="JE197" s="562"/>
      <c r="JF197" s="562"/>
      <c r="JG197" s="562"/>
      <c r="JH197" s="562"/>
      <c r="JI197" s="562"/>
      <c r="JJ197" s="562"/>
      <c r="JK197" s="562"/>
      <c r="JL197" s="562"/>
      <c r="JM197" s="562"/>
      <c r="JN197" s="562"/>
      <c r="JO197" s="562"/>
      <c r="JP197" s="562"/>
      <c r="JQ197" s="562"/>
      <c r="JR197" s="562"/>
      <c r="JS197" s="562"/>
      <c r="JT197" s="562"/>
      <c r="JU197" s="562"/>
      <c r="JV197" s="562"/>
      <c r="JW197" s="562"/>
      <c r="JX197" s="562"/>
      <c r="JY197" s="562"/>
      <c r="JZ197" s="562"/>
    </row>
    <row r="198" spans="1:286" s="239" customFormat="1" ht="12.75" customHeight="1" x14ac:dyDescent="0.2">
      <c r="A198" s="240"/>
      <c r="B198" s="68" t="s">
        <v>57</v>
      </c>
      <c r="C198" s="140"/>
      <c r="D198" s="140"/>
      <c r="E198" s="242"/>
      <c r="F198" s="139"/>
      <c r="G198" s="242"/>
      <c r="H198" s="139"/>
      <c r="I198" s="242"/>
      <c r="J198" s="139"/>
      <c r="K198" s="242"/>
      <c r="L198" s="79"/>
      <c r="M198" s="242"/>
      <c r="N198" s="79"/>
      <c r="O198" s="242"/>
      <c r="P198" s="79"/>
      <c r="Q198" s="242"/>
      <c r="R198" s="79"/>
      <c r="S198" s="242"/>
      <c r="T198" s="79"/>
      <c r="U198" s="242">
        <f>FF198-W198-Y198-AA198</f>
        <v>106.49999999999997</v>
      </c>
      <c r="V198" s="79" t="str">
        <f>IF(ISERROR((U198/M198-1)*100),"NA",IF(((U198/M198-1)*100)&gt;100,"NM",IF(((U198/M198-1)*100)&lt;-50,"NM",(U198/M198-1)*100)))</f>
        <v>NA</v>
      </c>
      <c r="W198" s="139">
        <v>121.3</v>
      </c>
      <c r="X198" s="79" t="str">
        <f>IF(ISERROR((W198/O198-1)*100),"NA",IF(((W198/O198-1)*100)&gt;100,"NM",IF(((W198/O198-1)*100)&lt;-50,"NM",(W198/O198-1)*100)))</f>
        <v>NA</v>
      </c>
      <c r="Y198" s="139">
        <v>121</v>
      </c>
      <c r="Z198" s="79" t="str">
        <f>IF(ISERROR((Y198/Q198-1)*100),"NA",IF(((Y198/Q198-1)*100)&gt;100,"NM",IF(((Y198/Q198-1)*100)&lt;-50,"NM",(Y198/Q198-1)*100)))</f>
        <v>NA</v>
      </c>
      <c r="AA198" s="250">
        <v>132.6</v>
      </c>
      <c r="AB198" s="79" t="str">
        <f>IF(ISERROR((AA198/S198-1)*100),"NA",IF(((AA198/S198-1)*100)&gt;100,"NM",IF(((AA198/S198-1)*100)&lt;-50,"NM",(AA198/S198-1)*100)))</f>
        <v>NA</v>
      </c>
      <c r="AC198" s="242">
        <f>SUM(AC194:AC197)</f>
        <v>149.70000000000002</v>
      </c>
      <c r="AD198" s="79">
        <f>IF(ISERROR((AC198/U198-1)*100),"NA",IF(((AC198/U198-1)*100)&gt;100,"NM",IF(((AC198/U198-1)*100)&lt;-50,"NM",(AC198/U198-1)*100)))</f>
        <v>40.5633802816902</v>
      </c>
      <c r="AE198" s="242">
        <f>SUM(AE194:AE197)</f>
        <v>164.79999999999998</v>
      </c>
      <c r="AF198" s="79">
        <f>IF(ISERROR((AE198/W198-1)*100),"NA",IF(((AE198/W198-1)*100)&gt;100,"NM",IF(((AE198/W198-1)*100)&lt;-50,"NM",(AE198/W198-1)*100)))</f>
        <v>35.861500412201153</v>
      </c>
      <c r="AG198" s="242">
        <f>SUM(AG194:AG197)</f>
        <v>167.8</v>
      </c>
      <c r="AH198" s="79">
        <f>IF(ISERROR((AG198/Y198-1)*100),"NA",IF(((AG198/Y198-1)*100)&gt;100,"NM",IF(((AG198/Y198-1)*100)&lt;-50,"NM",(AG198/Y198-1)*100)))</f>
        <v>38.677685950413235</v>
      </c>
      <c r="AI198" s="242">
        <f>SUM(AI194:AI197)</f>
        <v>168.2</v>
      </c>
      <c r="AJ198" s="79">
        <f>IF(ISERROR((AI198/AA198-1)*100),"NA",IF(((AI198/AA198-1)*100)&gt;100,"NM",IF(((AI198/AA198-1)*100)&lt;-50,"NM",(AI198/AA198-1)*100)))</f>
        <v>26.847662141779782</v>
      </c>
      <c r="AK198" s="242">
        <f>SUM(AK194:AK197)</f>
        <v>180.89999999999998</v>
      </c>
      <c r="AL198" s="79">
        <f>IF(ISERROR((AK198/AC198-1)*100),"NA",IF(((AK198/AC198-1)*100)&gt;100,"NM",IF(((AK198/AC198-1)*100)&lt;-50,"NM",(AK198/AC198-1)*100)))</f>
        <v>20.841683366733442</v>
      </c>
      <c r="AM198" s="242">
        <f>SUM(AM194:AM197)</f>
        <v>191.3</v>
      </c>
      <c r="AN198" s="79">
        <f>IF(ISERROR((AM198/AE198-1)*100),"NA",IF(((AM198/AE198-1)*100)&gt;100,"NM",IF(((AM198/AE198-1)*100)&lt;-50,"NM",(AM198/AE198-1)*100)))</f>
        <v>16.080097087378654</v>
      </c>
      <c r="AO198" s="242">
        <f>SUM(AO194:AO197)</f>
        <v>199.09999999999997</v>
      </c>
      <c r="AP198" s="79">
        <f>IF(ISERROR((AO198/AG198-1)*100),"NA",IF(((AO198/AG198-1)*100)&gt;100,"NM",IF(((AO198/AG198-1)*100)&lt;-50,"NM",(AO198/AG198-1)*100)))</f>
        <v>18.653158522050028</v>
      </c>
      <c r="AQ198" s="242">
        <f>SUM(AQ194:AQ197)</f>
        <v>186.60000000000002</v>
      </c>
      <c r="AR198" s="79">
        <f>IF(ISERROR((AQ198/AI198-1)*100),"NA",IF(((AQ198/AI198-1)*100)&gt;100,"NM",IF(((AQ198/AI198-1)*100)&lt;-50,"NM",(AQ198/AI198-1)*100)))</f>
        <v>10.939357907253289</v>
      </c>
      <c r="AS198" s="242">
        <f>SUM(AS194:AS197)</f>
        <v>175.1</v>
      </c>
      <c r="AT198" s="81">
        <f>IF(ISERROR((AS198/AK198-1)*100),"NA",IF(((AS198/AK198-1)*100)&gt;100,"NM",IF(((AS198/AK198-1)*100)&lt;-50,"NM",(AS198/AK198-1)*100)))</f>
        <v>-3.2061912658927549</v>
      </c>
      <c r="AU198" s="242">
        <f>SUM(AU194:AU197)</f>
        <v>184.39999999999998</v>
      </c>
      <c r="AV198" s="81">
        <f>IF(ISERROR((AU198/AM198-1)*100),"NA",IF(((AU198/AM198-1)*100)&gt;100,"NM",IF(((AU198/AM198-1)*100)&lt;-50,"NM",(AU198/AM198-1)*100)))</f>
        <v>-3.6069001568217685</v>
      </c>
      <c r="AW198" s="242">
        <f>SUM(AW194:AW197)</f>
        <v>200</v>
      </c>
      <c r="AX198" s="81">
        <f>IF(ISERROR((AW198/AO198-1)*100),"NA",IF(((AW198/AO198-1)*100)&gt;100,"NM",IF(((AW198/AO198-1)*100)&lt;-50,"NM",(AW198/AO198-1)*100)))</f>
        <v>0.45203415369163835</v>
      </c>
      <c r="AY198" s="242">
        <f>SUM(AY194:AY197)</f>
        <v>200.20000000000002</v>
      </c>
      <c r="AZ198" s="81">
        <f>IF(ISERROR((AY198/AQ198-1)*100),"NA",IF(((AY198/AQ198-1)*100)&gt;100,"NM",IF(((AY198/AQ198-1)*100)&lt;-50,"NM",(AY198/AQ198-1)*100)))</f>
        <v>7.2883172561629017</v>
      </c>
      <c r="BA198" s="242">
        <f>SUM(BA194:BA197)</f>
        <v>194.70000000000002</v>
      </c>
      <c r="BB198" s="81">
        <f>IF(ISERROR((BA198/AS198-1)*100),"NA",IF(((BA198/AS198-1)*100)&gt;100,"NM",IF(((BA198/AS198-1)*100)&lt;-50,"NM",(BA198/AS198-1)*100)))</f>
        <v>11.193603655054263</v>
      </c>
      <c r="BC198" s="242">
        <f>SUM(BC194:BC197)</f>
        <v>219.5</v>
      </c>
      <c r="BD198" s="81">
        <f>IF(ISERROR((BC198/AU198-1)*100),"NA",IF(((BC198/AU198-1)*100)&gt;100,"NM",IF(((BC198/AU198-1)*100)&lt;-50,"NM",(BC198/AU198-1)*100)))</f>
        <v>19.034707158351427</v>
      </c>
      <c r="BE198" s="242">
        <f>SUM(BE194:BE197)</f>
        <v>194.7</v>
      </c>
      <c r="BF198" s="81">
        <f>IF(ISERROR((BE198/AW198-1)*100),"NA",IF(((BE198/AW198-1)*100)&gt;100,"NM",IF(((BE198/AW198-1)*100)&lt;-50,"NM",(BE198/AW198-1)*100)))</f>
        <v>-2.6500000000000079</v>
      </c>
      <c r="BG198" s="242">
        <f>SUM(BG194:BG197)</f>
        <v>224.10000000000002</v>
      </c>
      <c r="BH198" s="81">
        <f>IF(ISERROR((BG198/AY198-1)*100),"NA",IF(((BG198/AY198-1)*100)&gt;100,"NM",IF(((BG198/AY198-1)*100)&lt;-50,"NM",(BG198/AY198-1)*100)))</f>
        <v>11.938061938061949</v>
      </c>
      <c r="BI198" s="242">
        <f>SUM(BI194:BI197)</f>
        <v>199</v>
      </c>
      <c r="BJ198" s="81">
        <f>IF(ISERROR((BI198/BA198-1)*100),"NA",IF(((BI198/BA198-1)*100)&gt;100,"NM",IF(((BI198/BA198-1)*100)&lt;-50,"NM",(BI198/BA198-1)*100)))</f>
        <v>2.2085259373394894</v>
      </c>
      <c r="BK198" s="242">
        <f>SUM(BK194:BK197)</f>
        <v>200.8</v>
      </c>
      <c r="BL198" s="81">
        <f>IF(ISERROR((BK198/BC198-1)*100),"NA",IF(((BK198/BC198-1)*100)&gt;100,"NM",IF(((BK198/BC198-1)*100)&lt;-50,"NM",(BK198/BC198-1)*100)))</f>
        <v>-8.5193621867881486</v>
      </c>
      <c r="BM198" s="242">
        <f>SUM(BM194:BM197)</f>
        <v>178.89999999999998</v>
      </c>
      <c r="BN198" s="81">
        <f>IF(ISERROR((BM198/BE198-1)*100),"NA",IF(((BM198/BE198-1)*100)&gt;100,"NM",IF(((BM198/BE198-1)*100)&lt;-50,"NM",(BM198/BE198-1)*100)))</f>
        <v>-8.1150487930148998</v>
      </c>
      <c r="BO198" s="242">
        <f>SUM(BO194:BO197)</f>
        <v>170.5</v>
      </c>
      <c r="BP198" s="81">
        <f>IF(ISERROR((BO198/BG198-1)*100),"NA",IF(((BO198/BG198-1)*100)&gt;100,"NM",IF(((BO198/BG198-1)*100)&lt;-50,"NM",(BO198/BG198-1)*100)))</f>
        <v>-23.917893797411882</v>
      </c>
      <c r="BQ198" s="242">
        <f>SUM(BQ194:BQ197)</f>
        <v>128.19999999999999</v>
      </c>
      <c r="BR198" s="81">
        <f>IF(ISERROR((BQ198/BI198-1)*100),"NA",IF(((BQ198/BI198-1)*100)&gt;100,"NM",IF(((BQ198/BI198-1)*100)&lt;-50,"NM",(BQ198/BI198-1)*100)))</f>
        <v>-35.577889447236188</v>
      </c>
      <c r="BS198" s="242">
        <f>SUM(BS194:BS197)</f>
        <v>141</v>
      </c>
      <c r="BT198" s="81">
        <f>IF(ISERROR((BS198/BK198-1)*100),"NA",IF(((BS198/BK198-1)*100)&gt;100,"NM",IF(((BS198/BK198-1)*100)&lt;-50,"NM",(BS198/BK198-1)*100)))</f>
        <v>-29.780876494023911</v>
      </c>
      <c r="BU198" s="242">
        <f>SUM(BU194:BU197)</f>
        <v>134.1</v>
      </c>
      <c r="BV198" s="81">
        <f>IF(ISERROR((BU198/BM198-1)*100),"NA",IF(((BU198/BM198-1)*100)&gt;100,"NM",IF(((BU198/BM198-1)*100)&lt;-50,"NM",(BU198/BM198-1)*100)))</f>
        <v>-25.041922861934029</v>
      </c>
      <c r="BW198" s="242">
        <f>SUM(BW194:BW197)</f>
        <v>160.10000000000002</v>
      </c>
      <c r="BX198" s="81">
        <f>IF(ISERROR((BW198/BO198-1)*100),"NA",IF(((BW198/BO198-1)*100)&gt;100,"NM",IF(((BW198/BO198-1)*100)&lt;-50,"NM",(BW198/BO198-1)*100)))</f>
        <v>-6.0997067448680165</v>
      </c>
      <c r="BY198" s="242">
        <f>SUM(BY194:BY197)</f>
        <v>145.5</v>
      </c>
      <c r="BZ198" s="81">
        <f>IF(ISERROR((BY198/BQ198-1)*100),"NA",IF(((BY198/BQ198-1)*100)&gt;100,"NM",IF(((BY198/BQ198-1)*100)&lt;-50,"NM",(BY198/BQ198-1)*100)))</f>
        <v>13.494539781591275</v>
      </c>
      <c r="CA198" s="242">
        <f>SUM(CA194:CA197)</f>
        <v>143.60000000000002</v>
      </c>
      <c r="CB198" s="81">
        <f>IF(ISERROR((CA198/BS198-1)*100),"NA",IF(((CA198/BS198-1)*100)&gt;100,"NM",IF(((CA198/BS198-1)*100)&lt;-50,"NM",(CA198/BS198-1)*100)))</f>
        <v>1.8439716312056875</v>
      </c>
      <c r="CC198" s="242">
        <f>SUM(CC194:CC197)</f>
        <v>152.80000000000001</v>
      </c>
      <c r="CD198" s="81">
        <f>IF(ISERROR((CC198/BU198-1)*100),"NA",IF(((CC198/BU198-1)*100)&gt;100,"NM",IF(((CC198/BU198-1)*100)&lt;-50,"NM",(CC198/BU198-1)*100)))</f>
        <v>13.944817300522017</v>
      </c>
      <c r="CE198" s="242">
        <f>SUM(CE194:CE197)</f>
        <v>171.39999999999998</v>
      </c>
      <c r="CF198" s="81">
        <f>IF(ISERROR((CE198/BW198-1)*100),"NA",IF(((CE198/BW198-1)*100)&gt;100,"NM",IF(((CE198/BW198-1)*100)&lt;-50,"NM",(CE198/BW198-1)*100)))</f>
        <v>7.0580886945658561</v>
      </c>
      <c r="CG198" s="242">
        <f>SUM(CG194:CG197)</f>
        <v>163.19999999999999</v>
      </c>
      <c r="CH198" s="81">
        <f>IF(ISERROR((CG198/BY198-1)*100),"NA",IF(((CG198/BY198-1)*100)&gt;100,"NM",IF(((CG198/BY198-1)*100)&lt;-50,"NM",(CG198/BY198-1)*100)))</f>
        <v>12.164948453608249</v>
      </c>
      <c r="CI198" s="242">
        <f>SUM(CI194:CI197)</f>
        <v>171.7</v>
      </c>
      <c r="CJ198" s="81">
        <f>IF(ISERROR((CI198/CA198-1)*100),"NA",IF(((CI198/CA198-1)*100)&gt;100,"NM",IF(((CI198/CA198-1)*100)&lt;-50,"NM",(CI198/CA198-1)*100)))</f>
        <v>19.56824512534816</v>
      </c>
      <c r="CK198" s="242">
        <f>SUM(CK194:CK197)</f>
        <v>184.10000000000002</v>
      </c>
      <c r="CL198" s="81">
        <f>IF(ISERROR((CK198/CC198-1)*100),"NA",IF(((CK198/CC198-1)*100)&gt;100,"NM",IF(((CK198/CC198-1)*100)&lt;-50,"NM",(CK198/CC198-1)*100)))</f>
        <v>20.484293193717274</v>
      </c>
      <c r="CM198" s="242">
        <f>SUM(CM194:CM197)</f>
        <v>168.1</v>
      </c>
      <c r="CN198" s="81">
        <f>IF(ISERROR((CM198/CE198-1)*100),"NA",IF(((CM198/CE198-1)*100)&gt;100,"NM",IF(((CM198/CE198-1)*100)&lt;-50,"NM",(CM198/CE198-1)*100)))</f>
        <v>-1.9253208868144633</v>
      </c>
      <c r="CO198" s="242">
        <f>SUM(CO194:CO197)</f>
        <v>168.5</v>
      </c>
      <c r="CP198" s="81">
        <f>IF(ISERROR((CO198/CG198-1)*100),"NA",IF(((CO198/CG198-1)*100)&gt;100,"NM",IF(((CO198/CG198-1)*100)&lt;-50,"NM",(CO198/CG198-1)*100)))</f>
        <v>3.2475490196078427</v>
      </c>
      <c r="CQ198" s="242">
        <f>SUM(CQ194:CQ197)</f>
        <v>192.4</v>
      </c>
      <c r="CR198" s="81">
        <f>IF(ISERROR((CQ198/CI198-1)*100),"NA",IF(((CQ198/CI198-1)*100)&gt;100,"NM",IF(((CQ198/CI198-1)*100)&lt;-50,"NM",(CQ198/CI198-1)*100)))</f>
        <v>12.055911473500291</v>
      </c>
      <c r="CS198" s="242">
        <f>SUM(CS194:CS197)</f>
        <v>182.5</v>
      </c>
      <c r="CT198" s="81">
        <f>IF(ISERROR((CS198/CK198-1)*100),"NA",IF(((CS198/CK198-1)*100)&gt;100,"NM",IF(((CS198/CK198-1)*100)&lt;-50,"NM",(CS198/CK198-1)*100)))</f>
        <v>-0.86909288430202514</v>
      </c>
      <c r="CU198" s="242">
        <f>SUM(CU194:CU197)</f>
        <v>190.8</v>
      </c>
      <c r="CV198" s="81">
        <f>IF(ISERROR((CU198/CM198-1)*100),"NA",IF(((CU198/CM198-1)*100)&gt;100,"NM",IF(((CU198/CM198-1)*100)&lt;-50,"NM",(CU198/CM198-1)*100)))</f>
        <v>13.503866745984539</v>
      </c>
      <c r="CW198" s="242">
        <f>SUM(CW194:CW197)</f>
        <v>143.4</v>
      </c>
      <c r="CX198" s="81">
        <f>IF(ISERROR((CW198/CO198-1)*100),"NA",IF(((CW198/CO198-1)*100)&gt;100,"NM",IF(((CW198/CO198-1)*100)&lt;-50,"NM",(CW198/CO198-1)*100)))</f>
        <v>-14.896142433234417</v>
      </c>
      <c r="CY198" s="242">
        <f>SUM(CY194:CY197)</f>
        <v>149.39999999999998</v>
      </c>
      <c r="CZ198" s="81">
        <f>IF(ISERROR((CY198/CQ198-1)*100),"NA",IF(((CY198/CQ198-1)*100)&gt;100,"NM",IF(((CY198/CQ198-1)*100)&lt;-50,"NM",(CY198/CQ198-1)*100)))</f>
        <v>-22.349272349272365</v>
      </c>
      <c r="DA198" s="242">
        <f>SUM(DA194:DA197)</f>
        <v>136.4</v>
      </c>
      <c r="DB198" s="81">
        <f>IF(ISERROR((DA198/CS198-1)*100),"NA",IF(((DA198/CS198-1)*100)&gt;100,"NM",IF(((DA198/CS198-1)*100)&lt;-50,"NM",(DA198/CS198-1)*100)))</f>
        <v>-25.260273972602732</v>
      </c>
      <c r="DC198" s="242">
        <f>SUM(DC194:DC197)</f>
        <v>144</v>
      </c>
      <c r="DD198" s="81">
        <f>IF(ISERROR((DC198/CU198-1)*100),"NA",IF(((DC198/CU198-1)*100)&gt;100,"NM",IF(((DC198/CU198-1)*100)&lt;-50,"NM",(DC198/CU198-1)*100)))</f>
        <v>-24.528301886792459</v>
      </c>
      <c r="DE198" s="242">
        <f>SUM(DE194:DE197)</f>
        <v>148.70000000000002</v>
      </c>
      <c r="DF198" s="81">
        <f>IF(ISERROR((DE198/CW198-1)*100),"NA",IF(((DE198/CW198-1)*100)&gt;100,"NM",IF(((DE198/CW198-1)*100)&lt;-50,"NM",(DE198/CW198-1)*100)))</f>
        <v>3.6959553695955494</v>
      </c>
      <c r="DG198" s="242">
        <f>SUM(DG194:DG197)</f>
        <v>158.9</v>
      </c>
      <c r="DH198" s="81">
        <f>IF(ISERROR((DG198/CY198-1)*100),"NA",IF(((DG198/CY198-1)*100)&gt;100,"NM",IF(((DG198/CY198-1)*100)&lt;-50,"NM",(DG198/CY198-1)*100)))</f>
        <v>6.3587684069611905</v>
      </c>
      <c r="DI198" s="242">
        <f>SUM(DI194:DI197)</f>
        <v>153.5</v>
      </c>
      <c r="DJ198" s="81">
        <f>IF(ISERROR((DI198/DA198-1)*100),"NA",IF(((DI198/DA198-1)*100)&gt;100,"NM",IF(((DI198/DA198-1)*100)&lt;-50,"NM",(DI198/DA198-1)*100)))</f>
        <v>12.536656891495589</v>
      </c>
      <c r="DK198" s="242">
        <f>SUM(DK194:DK197)</f>
        <v>149.29999999999998</v>
      </c>
      <c r="DL198" s="81">
        <f>IF(ISERROR((DK198/DC198-1)*100),"NA",IF(((DK198/DC198-1)*100)&gt;100,"NM",IF(((DK198/DC198-1)*100)&lt;-50,"NM",(DK198/DC198-1)*100)))</f>
        <v>3.6805555555555536</v>
      </c>
      <c r="DM198" s="242">
        <f>SUM(DM194:DM197)</f>
        <v>129.9</v>
      </c>
      <c r="DN198" s="81">
        <f>IF(ISERROR((DM198/DE198-1)*100),"NA",IF(((DM198/DE198-1)*100)&gt;100,"NM",IF(((DM198/DE198-1)*100)&lt;-50,"NM",(DM198/DE198-1)*100)))</f>
        <v>-12.642905178211173</v>
      </c>
      <c r="DO198" s="242">
        <f>SUM(DO194:DO197)</f>
        <v>142.5</v>
      </c>
      <c r="DP198" s="81">
        <f>IF(ISERROR((DO198/DG198-1)*100),"NA",IF(((DO198/DG198-1)*100)&gt;100,"NM",IF(((DO198/DG198-1)*100)&lt;-50,"NM",(DO198/DG198-1)*100)))</f>
        <v>-10.320956576463193</v>
      </c>
      <c r="DQ198" s="242">
        <f>SUM(DQ194:DQ197)</f>
        <v>139.89999999999998</v>
      </c>
      <c r="DR198" s="81">
        <f>IF(ISERROR((DQ198/DI198-1)*100),"NA",IF(((DQ198/DI198-1)*100)&gt;100,"NM",IF(((DQ198/DI198-1)*100)&lt;-50,"NM",(DQ198/DI198-1)*100)))</f>
        <v>-8.8599348534202154</v>
      </c>
      <c r="DS198" s="242">
        <f>SUM(DS194:DS197)</f>
        <v>148.19999999999999</v>
      </c>
      <c r="DT198" s="81">
        <f>IF(ISERROR((DS198/DK198-1)*100),"NA",IF(((DS198/DK198-1)*100)&gt;100,"NM",IF(((DS198/DK198-1)*100)&lt;-50,"NM",(DS198/DK198-1)*100)))</f>
        <v>-0.73677160080374282</v>
      </c>
      <c r="DU198" s="242">
        <f>SUM(DU194:DU197)</f>
        <v>132.5</v>
      </c>
      <c r="DV198" s="81">
        <f>IF(ISERROR((DU198/DM198-1)*100),"NA",IF(((DU198/DM198-1)*100)&gt;100,"NM",IF(((DU198/DM198-1)*100)&lt;-50,"NM",(DU198/DM198-1)*100)))</f>
        <v>2.0015396458814338</v>
      </c>
      <c r="DW198" s="242">
        <f>SUM(DW194:DW197)</f>
        <v>138.1</v>
      </c>
      <c r="DX198" s="81">
        <f>IF(ISERROR((DW198/DO198-1)*100),"NA",IF(((DW198/DO198-1)*100)&gt;100,"NM",IF(((DW198/DO198-1)*100)&lt;-50,"NM",(DW198/DO198-1)*100)))</f>
        <v>-3.087719298245617</v>
      </c>
      <c r="DY198" s="242">
        <f>SUM(DY194:DY197)</f>
        <v>127.6</v>
      </c>
      <c r="DZ198" s="81">
        <f>IF(ISERROR((DY198/DQ198-1)*100),"NA",IF(((DY198/DQ198-1)*100)&gt;100,"NM",IF(((DY198/DQ198-1)*100)&lt;-50,"NM",(DY198/DQ198-1)*100)))</f>
        <v>-8.791994281629723</v>
      </c>
      <c r="EA198" s="242">
        <f>SUM(EA194:EA197)</f>
        <v>120.8</v>
      </c>
      <c r="EB198" s="81">
        <f>IF(ISERROR((EA198/DS198-1)*100),"NA",IF(((EA198/DS198-1)*100)&gt;100,"NM",IF(((EA198/DS198-1)*100)&lt;-50,"NM",(EA198/DS198-1)*100)))</f>
        <v>-18.488529014844801</v>
      </c>
      <c r="EC198" s="242">
        <f>SUM(EC194:EC197)</f>
        <v>121.30000000000001</v>
      </c>
      <c r="ED198" s="81">
        <f t="shared" si="634"/>
        <v>-8.4528301886792399</v>
      </c>
      <c r="EE198" s="242">
        <f>SUM(EE194:EE197)</f>
        <v>131.1</v>
      </c>
      <c r="EF198" s="81">
        <f t="shared" si="635"/>
        <v>-5.0687907313540892</v>
      </c>
      <c r="EG198" s="242">
        <f>SUM(EG194:EG197)</f>
        <v>134.10000000000002</v>
      </c>
      <c r="EH198" s="81">
        <f t="shared" si="636"/>
        <v>5.0940438871473592</v>
      </c>
      <c r="EI198" s="242">
        <f>SUM(EI194:EI197)</f>
        <v>135.69999999999999</v>
      </c>
      <c r="EJ198" s="81">
        <f t="shared" si="637"/>
        <v>12.334437086092699</v>
      </c>
      <c r="EK198" s="242">
        <f t="shared" ref="EK198:EQ198" si="649">SUM(EK194:EK197)</f>
        <v>141.69861598820518</v>
      </c>
      <c r="EL198" s="81">
        <f t="shared" si="639"/>
        <v>16.816666107341426</v>
      </c>
      <c r="EM198" s="242">
        <f t="shared" si="649"/>
        <v>143.28467388045041</v>
      </c>
      <c r="EN198" s="81">
        <f t="shared" si="640"/>
        <v>9.2941829751719496</v>
      </c>
      <c r="EO198" s="242">
        <f t="shared" si="649"/>
        <v>145.63707048686817</v>
      </c>
      <c r="EP198" s="81">
        <f t="shared" si="641"/>
        <v>8.603333696396831</v>
      </c>
      <c r="EQ198" s="242">
        <f t="shared" si="649"/>
        <v>145.02089072774331</v>
      </c>
      <c r="ER198" s="81">
        <f t="shared" si="642"/>
        <v>6.8687477728395896</v>
      </c>
      <c r="ES198" s="138"/>
      <c r="ET198" s="470"/>
      <c r="EU198" s="138"/>
      <c r="EV198" s="139"/>
      <c r="EW198" s="140"/>
      <c r="EX198" s="139"/>
      <c r="EY198" s="79"/>
      <c r="EZ198" s="142"/>
      <c r="FA198" s="79"/>
      <c r="FB198" s="242"/>
      <c r="FC198" s="79"/>
      <c r="FD198" s="242">
        <f>SUM(FD194:FD197)</f>
        <v>333.7</v>
      </c>
      <c r="FE198" s="79" t="str">
        <f>IF(ISERROR((FD198/FB198-1)*100),"NA",IF(((FD198/FB198-1)*100)&gt;100,"NM",IF(((FD198/FB198-1)*100)&lt;-50,"NM",(FD198/FB198-1)*100)))</f>
        <v>NA</v>
      </c>
      <c r="FF198" s="242">
        <f>SUM(FF194:FF197)</f>
        <v>481.4</v>
      </c>
      <c r="FG198" s="79">
        <f>IF(ISERROR((FF198/FD198-1)*100),"NA",IF(((FF198/FD198-1)*100)&gt;100,"NM",IF(((FF198/FD198-1)*100)&lt;-50,"NM",(FF198/FD198-1)*100)))</f>
        <v>44.261312556188194</v>
      </c>
      <c r="FH198" s="242">
        <f>SUM(FH194:FH197)</f>
        <v>650.5</v>
      </c>
      <c r="FI198" s="79">
        <f>IF(ISERROR((FH198/FF198-1)*100),"NA",IF(((FH198/FF198-1)*100)&gt;100,"NM",IF(((FH198/FF198-1)*100)&lt;-50,"NM",(FH198/FF198-1)*100)))</f>
        <v>35.126713751557958</v>
      </c>
      <c r="FJ198" s="242">
        <f>SUM(FJ194:FJ197)</f>
        <v>757.89999999999986</v>
      </c>
      <c r="FK198" s="79">
        <f>IF(ISERROR((FJ198/FH198-1)*100),"NA",IF(((FJ198/FH198-1)*100)&gt;100,"NM",IF(((FJ198/FH198-1)*100)&lt;-50,"NM",(FJ198/FH198-1)*100)))</f>
        <v>16.510376633358923</v>
      </c>
      <c r="FL198" s="242">
        <f>SUM(FL194:FL197)</f>
        <v>759.7</v>
      </c>
      <c r="FM198" s="79">
        <f>IF(ISERROR((FL198/FJ198-1)*100),"NA",IF(((FL198/FJ198-1)*100)&gt;100,"NM",IF(((FL198/FJ198-1)*100)&lt;-50,"NM",(FL198/FJ198-1)*100)))</f>
        <v>0.23749835070592251</v>
      </c>
      <c r="FN198" s="242">
        <f>SUM(FN194:FN197)</f>
        <v>833</v>
      </c>
      <c r="FO198" s="79">
        <f>IF(ISERROR((FN198/FL198-1)*100),"NA",IF(((FN198/FL198-1)*100)&gt;100,"NM",IF(((FN198/FL198-1)*100)&lt;-50,"NM",(FN198/FL198-1)*100)))</f>
        <v>9.6485454784783329</v>
      </c>
      <c r="FP198" s="242">
        <f>SUM(FP194:FP197)</f>
        <v>749.2</v>
      </c>
      <c r="FQ198" s="79">
        <f>IF(ISERROR((FP198/FN198-1)*100),"NA",IF(((FP198/FN198-1)*100)&gt;100,"NM",IF(((FP198/FN198-1)*100)&lt;-50,"NM",(FP198/FN198-1)*100)))</f>
        <v>-10.06002400960384</v>
      </c>
      <c r="FR198" s="242">
        <f>SUM(FR194:FR197)</f>
        <v>561</v>
      </c>
      <c r="FS198" s="79">
        <f>IF(ISERROR((FR198/FP198-1)*100),"NA",IF(((FR198/FP198-1)*100)&gt;100,"NM",IF(((FR198/FP198-1)*100)&lt;-50,"NM",(FR198/FP198-1)*100)))</f>
        <v>-25.120128136679131</v>
      </c>
      <c r="FT198" s="242">
        <f>SUM(FT194:FT197)</f>
        <v>613.29999999999995</v>
      </c>
      <c r="FU198" s="79">
        <f>IF(ISERROR((FT198/FR198-1)*100),"NA",IF(((FT198/FR198-1)*100)&gt;100,"NM",IF(((FT198/FR198-1)*100)&lt;-50,"NM",(FT198/FR198-1)*100)))</f>
        <v>9.3226381461675381</v>
      </c>
      <c r="FV198" s="242">
        <f>SUM(FV194:FV197)</f>
        <v>687.09999999999991</v>
      </c>
      <c r="FW198" s="79">
        <f>IF(ISERROR((FV198/FT198-1)*100),"NA",IF(((FV198/FT198-1)*100)&gt;100,"NM",IF(((FV198/FT198-1)*100)&lt;-50,"NM",(FV198/FT198-1)*100)))</f>
        <v>12.033262677319412</v>
      </c>
      <c r="FX198" s="242">
        <f>SUM(FX194:FX197)</f>
        <v>734.2</v>
      </c>
      <c r="FY198" s="79">
        <f>IF(ISERROR((FX198/FV198-1)*100),"NA",IF(((FX198/FV198-1)*100)&gt;100,"NM",IF(((FX198/FV198-1)*100)&lt;-50,"NM",(FX198/FV198-1)*100)))</f>
        <v>6.8548973948479253</v>
      </c>
      <c r="FZ198" s="242">
        <f>SUM(FZ194:FZ197)</f>
        <v>573.20000000000005</v>
      </c>
      <c r="GA198" s="79">
        <f>IF(ISERROR((FZ198/FX198-1)*100),"NA",IF(((FZ198/FX198-1)*100)&gt;100,"NM",IF(((FZ198/FX198-1)*100)&lt;-50,"NM",(FZ198/FX198-1)*100)))</f>
        <v>-21.928629801144105</v>
      </c>
      <c r="GB198" s="242">
        <f>SUM(GB194:GB197)</f>
        <v>610.4</v>
      </c>
      <c r="GC198" s="79">
        <f>IF(ISERROR((GB198/FZ198-1)*100),"NA",IF(((GB198/FZ198-1)*100)&gt;100,"NM",IF(((GB198/FZ198-1)*100)&lt;-50,"NM",(GB198/FZ198-1)*100)))</f>
        <v>6.4898813677599421</v>
      </c>
      <c r="GD198" s="242">
        <f>SUM(GD194:GD197)</f>
        <v>560.5</v>
      </c>
      <c r="GE198" s="79">
        <f>IF(ISERROR((GD198/GB198-1)*100),"NA",IF(((GD198/GB198-1)*100)&gt;100,"NM",IF(((GD198/GB198-1)*100)&lt;-50,"NM",(GD198/GB198-1)*100)))</f>
        <v>-8.1749672346002615</v>
      </c>
      <c r="GF198" s="242">
        <f>SUM(GF194:GF197)</f>
        <v>519</v>
      </c>
      <c r="GG198" s="79">
        <f>IF(ISERROR((GF198/GD198-1)*100),"NA",IF(((GF198/GD198-1)*100)&gt;100,"NM",IF(((GF198/GD198-1)*100)&lt;-50,"NM",(GF198/GD198-1)*100)))</f>
        <v>-7.4041034790365723</v>
      </c>
      <c r="GH198" s="242">
        <f>SUM(GH194:GH197)</f>
        <v>522.20000000000005</v>
      </c>
      <c r="GI198" s="79">
        <f>IF(ISERROR((GH198/GF198-1)*100),"NA",IF(((GH198/GF198-1)*100)&gt;100,"NM",IF(((GH198/GF198-1)*100)&lt;-50,"NM",(GH198/GF198-1)*100)))</f>
        <v>0.61657032755300101</v>
      </c>
      <c r="GJ198" s="242">
        <f>SUM(GJ194:GJ197)</f>
        <v>575.64125108326709</v>
      </c>
      <c r="GK198" s="79">
        <f>IF(ISERROR((GJ198/GH198-1)*100),"NA",IF(((GJ198/GH198-1)*100)&gt;100,"NM",IF(((GJ198/GH198-1)*100)&lt;-50,"NM",(GJ198/GH198-1)*100)))</f>
        <v>10.233866542180593</v>
      </c>
      <c r="GL198" s="242">
        <f>SUM(GL194:GL197)</f>
        <v>597.99072322163465</v>
      </c>
      <c r="GM198" s="79">
        <f>IF(ISERROR((GL198/GJ198-1)*100),"NA",IF(((GL198/GJ198-1)*100)&gt;100,"NM",IF(((GL198/GJ198-1)*100)&lt;-50,"NM",(GL198/GJ198-1)*100)))</f>
        <v>3.8825348420234551</v>
      </c>
      <c r="GN198" s="242">
        <f>SUM(GN194:GN197)</f>
        <v>621.21076965148279</v>
      </c>
      <c r="GO198" s="79">
        <f>IF(ISERROR((GN198/GL198-1)*100),"NA",IF(((GN198/GL198-1)*100)&gt;100,"NM",IF(((GN198/GL198-1)*100)&lt;-50,"NM",(GN198/GL198-1)*100)))</f>
        <v>3.8830111451815918</v>
      </c>
      <c r="GP198" s="242">
        <f>SUM(GP194:GP197)</f>
        <v>645.3352771607083</v>
      </c>
      <c r="GQ198" s="79">
        <f>IF(ISERROR((GP198/GN198-1)*100),"NA",IF(((GP198/GN198-1)*100)&gt;100,"NM",IF(((GP198/GN198-1)*100)&lt;-50,"NM",(GP198/GN198-1)*100)))</f>
        <v>3.8834657555534724</v>
      </c>
      <c r="GR198" s="242">
        <f>SUM(GR194:GR197)</f>
        <v>671.05762519353141</v>
      </c>
      <c r="GS198" s="79">
        <f>IF(ISERROR((GR198/GP198-1)*100),"NA",IF(((GR198/GP198-1)*100)&gt;100,"NM",IF(((GR198/GP198-1)*100)&lt;-50,"NM",(GR198/GP198-1)*100)))</f>
        <v>3.9858890321313512</v>
      </c>
      <c r="GT198" s="79">
        <f>IF(ISERROR(((GR198/GH198)^0.2-1)*100),"NA",(IF(OR(((GR198/GH198)^0.2-1)*100&gt;99,((GR198/GH198)^0.2-1)*100&lt;-50),"NM",(((GR198/GH198)^0.2-1)*100))))</f>
        <v>5.1440229347311295</v>
      </c>
      <c r="GU198" s="562"/>
      <c r="GV198" s="562"/>
      <c r="GW198"/>
      <c r="GX198"/>
      <c r="GY198"/>
      <c r="GZ198"/>
      <c r="HA198"/>
      <c r="HB198"/>
      <c r="HC198" s="562"/>
      <c r="HD198" s="562"/>
      <c r="HE198" s="562"/>
      <c r="HF198" s="562"/>
      <c r="HG198" s="562"/>
      <c r="HH198" s="562"/>
      <c r="HI198" s="562"/>
      <c r="HJ198" s="562"/>
      <c r="HK198" s="562"/>
      <c r="HL198" s="562"/>
      <c r="HM198" s="562"/>
      <c r="HN198" s="562"/>
      <c r="HO198" s="562"/>
      <c r="HP198" s="562"/>
      <c r="HQ198" s="562"/>
      <c r="HR198" s="562"/>
      <c r="HS198" s="562"/>
      <c r="HT198" s="562"/>
      <c r="HU198" s="562"/>
      <c r="HV198" s="562"/>
      <c r="HW198" s="562"/>
      <c r="HX198" s="562"/>
      <c r="HY198" s="562"/>
      <c r="HZ198" s="562"/>
      <c r="IA198" s="562"/>
      <c r="IB198" s="562"/>
      <c r="IC198" s="562"/>
      <c r="ID198" s="562"/>
      <c r="IE198" s="562"/>
      <c r="IF198" s="562"/>
      <c r="IG198" s="562"/>
      <c r="IH198" s="562"/>
      <c r="II198" s="562"/>
      <c r="IJ198" s="562"/>
      <c r="IK198" s="562"/>
      <c r="IL198" s="562"/>
      <c r="IM198" s="562"/>
      <c r="IN198" s="562"/>
      <c r="IO198" s="562"/>
      <c r="IP198" s="562"/>
      <c r="IQ198" s="562"/>
      <c r="IR198" s="562"/>
      <c r="IS198" s="562"/>
      <c r="IT198" s="562"/>
      <c r="IU198" s="562"/>
      <c r="IV198" s="562"/>
      <c r="IW198" s="562"/>
      <c r="IX198" s="562"/>
      <c r="IY198" s="562"/>
      <c r="IZ198" s="562"/>
      <c r="JA198" s="562"/>
      <c r="JB198" s="562"/>
      <c r="JC198" s="562"/>
      <c r="JD198" s="562"/>
      <c r="JE198" s="562"/>
      <c r="JF198" s="562"/>
      <c r="JG198" s="562"/>
      <c r="JH198" s="562"/>
      <c r="JI198" s="562"/>
      <c r="JJ198" s="562"/>
      <c r="JK198" s="562"/>
      <c r="JL198" s="562"/>
      <c r="JM198" s="562"/>
      <c r="JN198" s="562"/>
      <c r="JO198" s="562"/>
      <c r="JP198" s="562"/>
      <c r="JQ198" s="562"/>
      <c r="JR198" s="562"/>
      <c r="JS198" s="562"/>
      <c r="JT198" s="562"/>
      <c r="JU198" s="562"/>
      <c r="JV198" s="562"/>
      <c r="JW198" s="562"/>
      <c r="JX198" s="562"/>
      <c r="JY198" s="562"/>
      <c r="JZ198" s="562"/>
    </row>
    <row r="199" spans="1:286" s="249" customFormat="1" ht="12.75" customHeight="1" x14ac:dyDescent="0.2">
      <c r="A199" s="248"/>
      <c r="B199" s="10"/>
      <c r="C199" s="79"/>
      <c r="D199" s="79"/>
      <c r="E199" s="95"/>
      <c r="F199" s="95"/>
      <c r="G199" s="95"/>
      <c r="H199" s="95"/>
      <c r="I199" s="95"/>
      <c r="J199" s="95"/>
      <c r="K199" s="95"/>
      <c r="L199" s="79"/>
      <c r="M199" s="95"/>
      <c r="N199" s="79"/>
      <c r="O199" s="95"/>
      <c r="P199" s="79"/>
      <c r="Q199" s="95"/>
      <c r="R199" s="79"/>
      <c r="S199" s="95"/>
      <c r="T199" s="79"/>
      <c r="U199" s="95"/>
      <c r="V199" s="79"/>
      <c r="W199" s="95"/>
      <c r="X199" s="79"/>
      <c r="Y199" s="95"/>
      <c r="Z199" s="79"/>
      <c r="AA199" s="126"/>
      <c r="AB199" s="79"/>
      <c r="AC199" s="95"/>
      <c r="AD199" s="79"/>
      <c r="AE199" s="95"/>
      <c r="AF199" s="79"/>
      <c r="AG199" s="95"/>
      <c r="AH199" s="79"/>
      <c r="AI199" s="95"/>
      <c r="AJ199" s="79"/>
      <c r="AK199" s="95"/>
      <c r="AL199" s="79"/>
      <c r="AM199" s="95"/>
      <c r="AN199" s="79"/>
      <c r="AO199" s="95"/>
      <c r="AP199" s="79"/>
      <c r="AQ199" s="95"/>
      <c r="AR199" s="79"/>
      <c r="AS199" s="95"/>
      <c r="AT199" s="81"/>
      <c r="AU199" s="95"/>
      <c r="AV199" s="81"/>
      <c r="AW199" s="95"/>
      <c r="AX199" s="81"/>
      <c r="AY199" s="95"/>
      <c r="AZ199" s="81"/>
      <c r="BA199" s="95"/>
      <c r="BB199" s="81"/>
      <c r="BC199" s="95"/>
      <c r="BD199" s="81"/>
      <c r="BE199" s="95"/>
      <c r="BF199" s="81"/>
      <c r="BG199" s="95"/>
      <c r="BH199" s="81"/>
      <c r="BI199" s="95"/>
      <c r="BJ199" s="81"/>
      <c r="BK199" s="95"/>
      <c r="BL199" s="81"/>
      <c r="BM199" s="95"/>
      <c r="BN199" s="81"/>
      <c r="BO199" s="95"/>
      <c r="BP199" s="81"/>
      <c r="BQ199" s="95"/>
      <c r="BR199" s="81"/>
      <c r="BS199" s="95"/>
      <c r="BT199" s="81"/>
      <c r="BU199" s="95"/>
      <c r="BV199" s="81"/>
      <c r="BW199" s="95"/>
      <c r="BX199" s="81"/>
      <c r="BY199" s="95"/>
      <c r="BZ199" s="81"/>
      <c r="CA199" s="95"/>
      <c r="CB199" s="81"/>
      <c r="CC199" s="95"/>
      <c r="CD199" s="81"/>
      <c r="CE199" s="95"/>
      <c r="CF199" s="81"/>
      <c r="CG199" s="95"/>
      <c r="CH199" s="81"/>
      <c r="CI199" s="95"/>
      <c r="CJ199" s="81"/>
      <c r="CK199" s="95"/>
      <c r="CL199" s="81"/>
      <c r="CM199" s="95"/>
      <c r="CN199" s="81"/>
      <c r="CO199" s="95"/>
      <c r="CP199" s="81"/>
      <c r="CQ199" s="95"/>
      <c r="CR199" s="81"/>
      <c r="CS199" s="95"/>
      <c r="CT199" s="81"/>
      <c r="CU199" s="95"/>
      <c r="CV199" s="81"/>
      <c r="CW199" s="95"/>
      <c r="CX199" s="81"/>
      <c r="CY199" s="95"/>
      <c r="CZ199" s="81"/>
      <c r="DA199" s="95"/>
      <c r="DB199" s="81"/>
      <c r="DC199" s="95"/>
      <c r="DD199" s="81"/>
      <c r="DE199" s="95"/>
      <c r="DF199" s="81"/>
      <c r="DG199" s="95"/>
      <c r="DH199" s="81"/>
      <c r="DI199" s="95"/>
      <c r="DJ199" s="81"/>
      <c r="DK199" s="95"/>
      <c r="DL199" s="81"/>
      <c r="DM199" s="95"/>
      <c r="DN199" s="81"/>
      <c r="DO199" s="95"/>
      <c r="DP199" s="81"/>
      <c r="DQ199" s="95"/>
      <c r="DR199" s="81"/>
      <c r="DS199" s="95"/>
      <c r="DT199" s="81"/>
      <c r="DU199" s="95"/>
      <c r="DV199" s="81"/>
      <c r="DW199" s="95"/>
      <c r="DX199" s="81"/>
      <c r="DY199" s="95"/>
      <c r="DZ199" s="81"/>
      <c r="EA199" s="95"/>
      <c r="EB199" s="81"/>
      <c r="EC199" s="95"/>
      <c r="ED199" s="81"/>
      <c r="EE199" s="95"/>
      <c r="EF199" s="81"/>
      <c r="EG199" s="95"/>
      <c r="EH199" s="81"/>
      <c r="EI199" s="95"/>
      <c r="EJ199" s="81"/>
      <c r="EK199" s="95"/>
      <c r="EL199" s="81"/>
      <c r="EM199" s="95"/>
      <c r="EN199" s="81"/>
      <c r="EO199" s="95"/>
      <c r="EP199" s="81"/>
      <c r="EQ199" s="95"/>
      <c r="ER199" s="81"/>
      <c r="ES199" s="129"/>
      <c r="ET199" s="469"/>
      <c r="EU199" s="129"/>
      <c r="EV199" s="95"/>
      <c r="EW199" s="79"/>
      <c r="EX199" s="95"/>
      <c r="EY199" s="79"/>
      <c r="EZ199" s="145"/>
      <c r="FA199" s="79"/>
      <c r="FB199" s="35"/>
      <c r="FC199" s="79"/>
      <c r="FD199" s="251"/>
      <c r="FE199" s="79"/>
      <c r="FF199" s="251"/>
      <c r="FG199" s="79"/>
      <c r="FH199" s="251"/>
      <c r="FI199" s="79"/>
      <c r="FJ199" s="251"/>
      <c r="FK199" s="79"/>
      <c r="FL199" s="93"/>
      <c r="FM199" s="79"/>
      <c r="FN199" s="93"/>
      <c r="FO199" s="79"/>
      <c r="FP199" s="93"/>
      <c r="FQ199" s="79"/>
      <c r="FR199" s="95"/>
      <c r="FS199" s="79"/>
      <c r="FT199" s="95"/>
      <c r="FU199" s="79"/>
      <c r="FV199" s="95"/>
      <c r="FW199" s="79"/>
      <c r="FX199" s="95"/>
      <c r="FY199" s="79"/>
      <c r="FZ199" s="95"/>
      <c r="GA199" s="79"/>
      <c r="GB199" s="95"/>
      <c r="GC199" s="79"/>
      <c r="GD199" s="95"/>
      <c r="GE199" s="79"/>
      <c r="GF199" s="95"/>
      <c r="GG199" s="79"/>
      <c r="GH199" s="95"/>
      <c r="GI199" s="79"/>
      <c r="GJ199" s="95"/>
      <c r="GK199" s="79"/>
      <c r="GL199" s="95"/>
      <c r="GM199" s="79"/>
      <c r="GN199" s="95"/>
      <c r="GO199" s="79"/>
      <c r="GP199" s="95"/>
      <c r="GQ199" s="79"/>
      <c r="GR199" s="95"/>
      <c r="GS199" s="79"/>
      <c r="GT199" s="79"/>
      <c r="GU199" s="562"/>
      <c r="GV199" s="562"/>
      <c r="GW199"/>
      <c r="GX199"/>
      <c r="GY199"/>
      <c r="GZ199"/>
      <c r="HA199"/>
      <c r="HB199"/>
      <c r="HC199" s="562"/>
      <c r="HD199" s="562"/>
      <c r="HE199" s="562"/>
      <c r="HF199" s="562"/>
      <c r="HG199" s="562"/>
      <c r="HH199" s="562"/>
      <c r="HI199" s="562"/>
      <c r="HJ199" s="562"/>
      <c r="HK199" s="562"/>
      <c r="HL199" s="562"/>
      <c r="HM199" s="562"/>
      <c r="HN199" s="562"/>
      <c r="HO199" s="562"/>
      <c r="HP199" s="562"/>
      <c r="HQ199" s="562"/>
      <c r="HR199" s="562"/>
      <c r="HS199" s="562"/>
      <c r="HT199" s="562"/>
      <c r="HU199" s="562"/>
      <c r="HV199" s="562"/>
      <c r="HW199" s="562"/>
      <c r="HX199" s="562"/>
      <c r="HY199" s="562"/>
      <c r="HZ199" s="562"/>
      <c r="IA199" s="562"/>
      <c r="IB199" s="562"/>
      <c r="IC199" s="562"/>
      <c r="ID199" s="562"/>
      <c r="IE199" s="562"/>
      <c r="IF199" s="562"/>
      <c r="IG199" s="562"/>
      <c r="IH199" s="562"/>
      <c r="II199" s="562"/>
      <c r="IJ199" s="562"/>
      <c r="IK199" s="562"/>
      <c r="IL199" s="562"/>
      <c r="IM199" s="562"/>
      <c r="IN199" s="562"/>
      <c r="IO199" s="562"/>
      <c r="IP199" s="562"/>
      <c r="IQ199" s="562"/>
      <c r="IR199" s="562"/>
      <c r="IS199" s="562"/>
      <c r="IT199" s="562"/>
      <c r="IU199" s="562"/>
      <c r="IV199" s="562"/>
      <c r="IW199" s="562"/>
      <c r="IX199" s="562"/>
      <c r="IY199" s="562"/>
      <c r="IZ199" s="562"/>
      <c r="JA199" s="562"/>
      <c r="JB199" s="562"/>
      <c r="JC199" s="562"/>
      <c r="JD199" s="562"/>
      <c r="JE199" s="562"/>
      <c r="JF199" s="562"/>
      <c r="JG199" s="562"/>
      <c r="JH199" s="562"/>
      <c r="JI199" s="562"/>
      <c r="JJ199" s="562"/>
      <c r="JK199" s="562"/>
      <c r="JL199" s="562"/>
      <c r="JM199" s="562"/>
      <c r="JN199" s="562"/>
      <c r="JO199" s="562"/>
      <c r="JP199" s="562"/>
      <c r="JQ199" s="562"/>
      <c r="JR199" s="562"/>
      <c r="JS199" s="562"/>
      <c r="JT199" s="562"/>
      <c r="JU199" s="562"/>
      <c r="JV199" s="562"/>
      <c r="JW199" s="562"/>
      <c r="JX199" s="562"/>
      <c r="JY199" s="562"/>
      <c r="JZ199" s="562"/>
    </row>
    <row r="200" spans="1:286" ht="12.75" customHeight="1" x14ac:dyDescent="0.2">
      <c r="A200" s="1"/>
      <c r="B200" s="10" t="s">
        <v>92</v>
      </c>
      <c r="C200" s="79"/>
      <c r="D200" s="79"/>
      <c r="E200" s="185"/>
      <c r="F200" s="185"/>
      <c r="G200" s="185"/>
      <c r="H200" s="185"/>
      <c r="I200" s="185"/>
      <c r="J200" s="185"/>
      <c r="K200" s="185"/>
      <c r="L200" s="79"/>
      <c r="M200" s="185"/>
      <c r="N200" s="79"/>
      <c r="O200" s="185"/>
      <c r="P200" s="79"/>
      <c r="Q200" s="185"/>
      <c r="R200" s="79"/>
      <c r="S200" s="185"/>
      <c r="T200" s="79"/>
      <c r="U200" s="185"/>
      <c r="V200" s="79"/>
      <c r="W200" s="185"/>
      <c r="X200" s="79"/>
      <c r="Y200" s="185"/>
      <c r="Z200" s="79"/>
      <c r="AA200" s="252"/>
      <c r="AB200" s="79"/>
      <c r="AC200" s="185">
        <f>+AC194/AC188*100</f>
        <v>70.755968169761275</v>
      </c>
      <c r="AD200" s="79" t="str">
        <f>IF(ISERROR((AC200/U200-1)*100),"NA",IF(((AC200/U200-1)*100)&gt;100,"NM",IF(((AC200/U200-1)*100)&lt;-50,"NM",(AC200/U200-1)*100)))</f>
        <v>NA</v>
      </c>
      <c r="AE200" s="185">
        <f>+AE194/AE188*100</f>
        <v>74.503722084367254</v>
      </c>
      <c r="AF200" s="79" t="str">
        <f>IF(ISERROR((AE200/W200-1)*100),"NA",IF(((AE200/W200-1)*100)&gt;100,"NM",IF(((AE200/W200-1)*100)&lt;-50,"NM",(AE200/W200-1)*100)))</f>
        <v>NA</v>
      </c>
      <c r="AG200" s="185">
        <f>+AG194/AG188*100</f>
        <v>70.664315108759553</v>
      </c>
      <c r="AH200" s="79" t="str">
        <f>IF(ISERROR((AG200/Y200-1)*100),"NA",IF(((AG200/Y200-1)*100)&gt;100,"NM",IF(((AG200/Y200-1)*100)&lt;-50,"NM",(AG200/Y200-1)*100)))</f>
        <v>NA</v>
      </c>
      <c r="AI200" s="185">
        <f>+AI194/AI188*100</f>
        <v>66.384180790960457</v>
      </c>
      <c r="AJ200" s="79" t="str">
        <f>IF(ISERROR((AI200/AA200-1)*100),"NA",IF(((AI200/AA200-1)*100)&gt;100,"NM",IF(((AI200/AA200-1)*100)&lt;-50,"NM",(AI200/AA200-1)*100)))</f>
        <v>NA</v>
      </c>
      <c r="AK200" s="185">
        <f>+AK194/AK188*100</f>
        <v>68.105263157894726</v>
      </c>
      <c r="AL200" s="79">
        <f>IF(ISERROR((AK200/AC200-1)*100),"NA",IF(((AK200/AC200-1)*100)&gt;100,"NM",IF(((AK200/AC200-1)*100)&lt;-50,"NM",(AK200/AC200-1)*100)))</f>
        <v>-3.7462635031815905</v>
      </c>
      <c r="AM200" s="185">
        <f>+AM194/AM188*100</f>
        <v>72.708441222164694</v>
      </c>
      <c r="AN200" s="79">
        <f>IF(ISERROR((AM200/AE200-1)*100),"NA",IF(((AM200/AE200-1)*100)&gt;100,"NM",IF(((AM200/AE200-1)*100)&lt;-50,"NM",(AM200/AE200-1)*100)))</f>
        <v>-2.4096525810745395</v>
      </c>
      <c r="AO200" s="185">
        <f>+AO194/AO188*100</f>
        <v>71.617647058823536</v>
      </c>
      <c r="AP200" s="79">
        <f>IF(ISERROR((AO200/AG200-1)*100),"NA",IF(((AO200/AG200-1)*100)&gt;100,"NM",IF(((AO200/AG200-1)*100)&lt;-50,"NM",(AO200/AG200-1)*100)))</f>
        <v>1.3490995399823902</v>
      </c>
      <c r="AQ200" s="185">
        <f>+AQ194/AQ188*100</f>
        <v>65.539858728557022</v>
      </c>
      <c r="AR200" s="79">
        <f>IF(ISERROR((AQ200/AI200-1)*100),"NA",IF(((AQ200/AI200-1)*100)&gt;100,"NM",IF(((AQ200/AI200-1)*100)&lt;-50,"NM",(AQ200/AI200-1)*100)))</f>
        <v>-1.2718723833651802</v>
      </c>
      <c r="AS200" s="185">
        <f>+AS194/AS188*100</f>
        <v>67.450365726227787</v>
      </c>
      <c r="AT200" s="81">
        <f>IF(ISERROR((AS200/AK200-1)*100),"NA",IF(((AS200/AK200-1)*100)&gt;100,"NM",IF(((AS200/AK200-1)*100)&lt;-50,"NM",(AS200/AK200-1)*100)))</f>
        <v>-0.96159591975825132</v>
      </c>
      <c r="AU200" s="185">
        <f>+AU194/AU188*100</f>
        <v>68.659691081215755</v>
      </c>
      <c r="AV200" s="81">
        <f>IF(ISERROR((AU200/AM200-1)*100),"NA",IF(((AU200/AM200-1)*100)&gt;100,"NM",IF(((AU200/AM200-1)*100)&lt;-50,"NM",(AU200/AM200-1)*100)))</f>
        <v>-5.5684733063905973</v>
      </c>
      <c r="AW200" s="185">
        <f>+AW194/AW188*100</f>
        <v>67.182521620391441</v>
      </c>
      <c r="AX200" s="81">
        <f>IF(ISERROR((AW200/AO200-1)*100),"NA",IF(((AW200/AO200-1)*100)&gt;100,"NM",IF(((AW200/AO200-1)*100)&lt;-50,"NM",(AW200/AO200-1)*100)))</f>
        <v>-6.192782953046871</v>
      </c>
      <c r="AY200" s="185">
        <f>+AY194/AY188*100</f>
        <v>60.173160173160177</v>
      </c>
      <c r="AZ200" s="81">
        <f>IF(ISERROR((AY200/AQ200-1)*100),"NA",IF(((AY200/AQ200-1)*100)&gt;100,"NM",IF(((AY200/AQ200-1)*100)&lt;-50,"NM",(AY200/AQ200-1)*100)))</f>
        <v>-8.1884499898356786</v>
      </c>
      <c r="BA200" s="185">
        <f>+BA194/BA188*100</f>
        <v>61.088618983355822</v>
      </c>
      <c r="BB200" s="81">
        <f>IF(ISERROR((BA200/AS200-1)*100),"NA",IF(((BA200/AS200-1)*100)&gt;100,"NM",IF(((BA200/AS200-1)*100)&lt;-50,"NM",(BA200/AS200-1)*100)))</f>
        <v>-9.431745364722655</v>
      </c>
      <c r="BC200" s="185">
        <f>+BC194/BC188*100</f>
        <v>62.186234817813769</v>
      </c>
      <c r="BD200" s="81">
        <f>IF(ISERROR((BC200/AU200-1)*100),"NA",IF(((BC200/AU200-1)*100)&gt;100,"NM",IF(((BC200/AU200-1)*100)&lt;-50,"NM",(BC200/AU200-1)*100)))</f>
        <v>-9.4283212776834375</v>
      </c>
      <c r="BE200" s="185">
        <f>+BE194/BE188*100</f>
        <v>53.311793214862682</v>
      </c>
      <c r="BF200" s="81">
        <f>IF(ISERROR((BE200/AW200-1)*100),"NA",IF(((BE200/AW200-1)*100)&gt;100,"NM",IF(((BE200/AW200-1)*100)&lt;-50,"NM",(BE200/AW200-1)*100)))</f>
        <v>-20.646334896305341</v>
      </c>
      <c r="BG200" s="185">
        <f>+BG194/BG188*100</f>
        <v>60.819411296738267</v>
      </c>
      <c r="BH200" s="81">
        <f>IF(ISERROR((BG200/AY200-1)*100),"NA",IF(((BG200/AY200-1)*100)&gt;100,"NM",IF(((BG200/AY200-1)*100)&lt;-50,"NM",(BG200/AY200-1)*100)))</f>
        <v>1.0739856801909253</v>
      </c>
      <c r="BI200" s="185">
        <f>+BI194/BI188*100</f>
        <v>57.273482959268506</v>
      </c>
      <c r="BJ200" s="128">
        <f>IF(ISERROR((BI200/BA200-1)*100),"NA",IF(((BI200/BA200-1)*100)&gt;100,"NM",IF(((BI200/BA200-1)*100)&lt;-50,"NM",(BI200/BA200-1)*100)))</f>
        <v>-6.2452484400192247</v>
      </c>
      <c r="BK200" s="185">
        <f>+BK194/BK188*100</f>
        <v>58.336781133636741</v>
      </c>
      <c r="BL200" s="81">
        <f>IF(ISERROR((BK200/BC200-1)*100),"NA",IF(((BK200/BC200-1)*100)&gt;100,"NM",IF(((BK200/BC200-1)*100)&lt;-50,"NM",(BK200/BC200-1)*100)))</f>
        <v>-6.1902022134877939</v>
      </c>
      <c r="BM200" s="185">
        <f>+BM194/BM188*100</f>
        <v>52.425456163773923</v>
      </c>
      <c r="BN200" s="81">
        <f>IF(ISERROR((BM200/BE200-1)*100),"NA",IF(((BM200/BE200-1)*100)&gt;100,"NM",IF(((BM200/BE200-1)*100)&lt;-50,"NM",(BM200/BE200-1)*100)))</f>
        <v>-1.6625534382543661</v>
      </c>
      <c r="BO200" s="185">
        <f>+BO194/BO188*100</f>
        <v>62.973121228743821</v>
      </c>
      <c r="BP200" s="81">
        <f>IF(ISERROR((BO200/BG200-1)*100),"NA",IF(((BO200/BG200-1)*100)&gt;100,"NM",IF(((BO200/BG200-1)*100)&lt;-50,"NM",(BO200/BG200-1)*100)))</f>
        <v>3.5411555062537348</v>
      </c>
      <c r="BQ200" s="185">
        <f>+BQ194/BQ188*100</f>
        <v>53.25153374233129</v>
      </c>
      <c r="BR200" s="81">
        <f>IF(ISERROR((BQ200/BI200-1)*100),"NA",IF(((BQ200/BI200-1)*100)&gt;100,"NM",IF(((BQ200/BI200-1)*100)&lt;-50,"NM",(BQ200/BI200-1)*100)))</f>
        <v>-7.0223583570035881</v>
      </c>
      <c r="BS200" s="185">
        <f>+BS194/BS188*100</f>
        <v>54.382929642445212</v>
      </c>
      <c r="BT200" s="81">
        <f>IF(ISERROR((BS200/BK200-1)*100),"NA",IF(((BS200/BK200-1)*100)&gt;100,"NM",IF(((BS200/BK200-1)*100)&lt;-50,"NM",(BS200/BK200-1)*100)))</f>
        <v>-6.7776305349006583</v>
      </c>
      <c r="BU200" s="185">
        <f>+BU194/BU188*100</f>
        <v>50.206246317030057</v>
      </c>
      <c r="BV200" s="81">
        <f>IF(ISERROR((BU200/BM200-1)*100),"NA",IF(((BU200/BM200-1)*100)&gt;100,"NM",IF(((BU200/BM200-1)*100)&lt;-50,"NM",(BU200/BM200-1)*100)))</f>
        <v>-4.2330768468874957</v>
      </c>
      <c r="BW200" s="185">
        <f>+BW194/BW188*100</f>
        <v>59.611111111111114</v>
      </c>
      <c r="BX200" s="81">
        <f>IF(ISERROR((BW200/BO200-1)*100),"NA",IF(((BW200/BO200-1)*100)&gt;100,"NM",IF(((BW200/BO200-1)*100)&lt;-50,"NM",(BW200/BO200-1)*100)))</f>
        <v>-5.3388017808749355</v>
      </c>
      <c r="BY200" s="185">
        <f>+BY194/BY188*100</f>
        <v>63.088057901085634</v>
      </c>
      <c r="BZ200" s="81">
        <f>IF(ISERROR((BY200/BQ200-1)*100),"NA",IF(((BY200/BQ200-1)*100)&gt;100,"NM",IF(((BY200/BQ200-1)*100)&lt;-50,"NM",(BY200/BQ200-1)*100)))</f>
        <v>18.471813800425775</v>
      </c>
      <c r="CA200" s="185">
        <f>+CA194/CA188*100</f>
        <v>65.990843688685416</v>
      </c>
      <c r="CB200" s="81">
        <f>IF(ISERROR((CA200/BS200-1)*100),"NA",IF(((CA200/BS200-1)*100)&gt;100,"NM",IF(((CA200/BS200-1)*100)&lt;-50,"NM",(CA200/BS200-1)*100)))</f>
        <v>21.344775139109771</v>
      </c>
      <c r="CC200" s="185">
        <f>+CC194/CC188*100</f>
        <v>66.914498141263934</v>
      </c>
      <c r="CD200" s="81">
        <f>IF(ISERROR((CC200/BU200-1)*100),"NA",IF(((CC200/BU200-1)*100)&gt;100,"NM",IF(((CC200/BU200-1)*100)&lt;-50,"NM",(CC200/BU200-1)*100)))</f>
        <v>33.27922927901983</v>
      </c>
      <c r="CE200" s="185">
        <f>+CE194/CE188*100</f>
        <v>71.730205278592379</v>
      </c>
      <c r="CF200" s="81">
        <f>IF(ISERROR((CE200/BW200-1)*100),"NA",IF(((CE200/BW200-1)*100)&gt;100,"NM",IF(((CE200/BW200-1)*100)&lt;-50,"NM",(CE200/BW200-1)*100)))</f>
        <v>20.330260485989072</v>
      </c>
      <c r="CG200" s="185">
        <f>+CG194/CG188*100</f>
        <v>69.299820466786358</v>
      </c>
      <c r="CH200" s="81">
        <f>IF(ISERROR((CG200/BY200-1)*100),"NA",IF(((CG200/BY200-1)*100)&gt;100,"NM",IF(((CG200/BY200-1)*100)&lt;-50,"NM",(CG200/BY200-1)*100)))</f>
        <v>9.8461781395141621</v>
      </c>
      <c r="CI200" s="185">
        <f>+CI194/CI188*100</f>
        <v>69.795221843003404</v>
      </c>
      <c r="CJ200" s="81">
        <f>IF(ISERROR((CI200/CA200-1)*100),"NA",IF(((CI200/CA200-1)*100)&gt;100,"NM",IF(((CI200/CA200-1)*100)&lt;-50,"NM",(CI200/CA200-1)*100)))</f>
        <v>5.7650091159090255</v>
      </c>
      <c r="CK200" s="185">
        <f>+CK194/CK188*100</f>
        <v>78.803418803418808</v>
      </c>
      <c r="CL200" s="81">
        <f>IF(ISERROR((CK200/CC200-1)*100),"NA",IF(((CK200/CC200-1)*100)&gt;100,"NM",IF(((CK200/CC200-1)*100)&lt;-50,"NM",(CK200/CC200-1)*100)))</f>
        <v>17.767331433998113</v>
      </c>
      <c r="CM200" s="185">
        <f>+CM194/CM188*100</f>
        <v>69.148936170212778</v>
      </c>
      <c r="CN200" s="81">
        <f>IF(ISERROR((CM200/CE200-1)*100),"NA",IF(((CM200/CE200-1)*100)&gt;100,"NM",IF(((CM200/CE200-1)*100)&lt;-50,"NM",(CM200/CE200-1)*100)))</f>
        <v>-3.5985804004801447</v>
      </c>
      <c r="CO200" s="185">
        <f>+CO194/CO188*100</f>
        <v>72.40773286467487</v>
      </c>
      <c r="CP200" s="81">
        <f>IF(ISERROR((CO200/CG200-1)*100),"NA",IF(((CO200/CG200-1)*100)&gt;100,"NM",IF(((CO200/CG200-1)*100)&lt;-50,"NM",(CO200/CG200-1)*100)))</f>
        <v>4.4847336933261595</v>
      </c>
      <c r="CQ200" s="185">
        <f>+CQ194/CQ188*100</f>
        <v>85.392609699769068</v>
      </c>
      <c r="CR200" s="81">
        <f>IF(ISERROR((CQ200/CI200-1)*100),"NA",IF(((CQ200/CI200-1)*100)&gt;100,"NM",IF(((CQ200/CI200-1)*100)&lt;-50,"NM",(CQ200/CI200-1)*100)))</f>
        <v>22.347357662749822</v>
      </c>
      <c r="CS200" s="185">
        <f>+CS194/CS188*100</f>
        <v>77.739726027397253</v>
      </c>
      <c r="CT200" s="81">
        <f>IF(ISERROR((CS200/CK200-1)*100),"NA",IF(((CS200/CK200-1)*100)&gt;100,"NM",IF(((CS200/CK200-1)*100)&lt;-50,"NM",(CS200/CK200-1)*100)))</f>
        <v>-1.3498053665349397</v>
      </c>
      <c r="CU200" s="185">
        <f>+CU194/CU188*100</f>
        <v>76.182336182336172</v>
      </c>
      <c r="CV200" s="81">
        <f>IF(ISERROR((CU200/CM200-1)*100),"NA",IF(((CU200/CM200-1)*100)&gt;100,"NM",IF(((CU200/CM200-1)*100)&lt;-50,"NM",(CU200/CM200-1)*100)))</f>
        <v>10.171378479070746</v>
      </c>
      <c r="CW200" s="185">
        <f>+CW194/CW188*100</f>
        <v>69.54102920723227</v>
      </c>
      <c r="CX200" s="81">
        <f>IF(ISERROR((CW200/CO200-1)*100),"NA",IF(((CW200/CO200-1)*100)&gt;100,"NM",IF(((CW200/CO200-1)*100)&lt;-50,"NM",(CW200/CO200-1)*100)))</f>
        <v>-3.9591125754486423</v>
      </c>
      <c r="CY200" s="185">
        <f>+CY194/CY188*100</f>
        <v>84.156976744186053</v>
      </c>
      <c r="CZ200" s="81">
        <f>IF(ISERROR((CY200/CQ200-1)*100),"NA",IF(((CY200/CQ200-1)*100)&gt;100,"NM",IF(((CY200/CQ200-1)*100)&lt;-50,"NM",(CY200/CQ200-1)*100)))</f>
        <v>-1.4470022170857244</v>
      </c>
      <c r="DA200" s="185">
        <f>+DA194/DA188*100</f>
        <v>70.575382374362704</v>
      </c>
      <c r="DB200" s="81">
        <f>IF(ISERROR((DA200/CS200-1)*100),"NA",IF(((DA200/CS200-1)*100)&gt;100,"NM",IF(((DA200/CS200-1)*100)&lt;-50,"NM",(DA200/CS200-1)*100)))</f>
        <v>-9.2158076946523781</v>
      </c>
      <c r="DC200" s="185">
        <f>+DC194/DC188*100</f>
        <v>72.951414068165334</v>
      </c>
      <c r="DD200" s="81">
        <f>IF(ISERROR((DC200/CU200-1)*100),"NA",IF(((DC200/CU200-1)*100)&gt;100,"NM",IF(((DC200/CU200-1)*100)&lt;-50,"NM",(DC200/CU200-1)*100)))</f>
        <v>-4.241038377239958</v>
      </c>
      <c r="DE200" s="185">
        <f>+DE194/DE188*100</f>
        <v>70.138431114040884</v>
      </c>
      <c r="DF200" s="81">
        <f>IF(ISERROR((DE200/CW200-1)*100),"NA",IF(((DE200/CW200-1)*100)&gt;100,"NM",IF(((DE200/CW200-1)*100)&lt;-50,"NM",(DE200/CW200-1)*100)))</f>
        <v>0.85906394199077862</v>
      </c>
      <c r="DG200" s="185">
        <f>+DG194/DG188*100</f>
        <v>74.025974025974023</v>
      </c>
      <c r="DH200" s="81">
        <f>IF(ISERROR((DG200/CY200-1)*100),"NA",IF(((DG200/CY200-1)*100)&gt;100,"NM",IF(((DG200/CY200-1)*100)&lt;-50,"NM",(DG200/CY200-1)*100)))</f>
        <v>-12.038220846511017</v>
      </c>
      <c r="DI200" s="185">
        <f>+DI194/DI188*100</f>
        <v>70.773263433813895</v>
      </c>
      <c r="DJ200" s="81">
        <f>IF(ISERROR((DI200/DA200-1)*100),"NA",IF(((DI200/DA200-1)*100)&gt;100,"NM",IF(((DI200/DA200-1)*100)&lt;-50,"NM",(DI200/DA200-1)*100)))</f>
        <v>0.28038255379410071</v>
      </c>
      <c r="DK200" s="185">
        <f>+DK194/DK188*100</f>
        <v>68.905305574210871</v>
      </c>
      <c r="DL200" s="81">
        <f>IF(ISERROR((DK200/DC200-1)*100),"NA",IF(((DK200/DC200-1)*100)&gt;100,"NM",IF(((DK200/DC200-1)*100)&lt;-50,"NM",(DK200/DC200-1)*100)))</f>
        <v>-5.5463057784922558</v>
      </c>
      <c r="DM200" s="185">
        <f>+DM194/DM188*100</f>
        <v>65.395683453237424</v>
      </c>
      <c r="DN200" s="81">
        <f>IF(ISERROR((DM200/DE200-1)*100),"NA",IF(((DM200/DE200-1)*100)&gt;100,"NM",IF(((DM200/DE200-1)*100)&lt;-50,"NM",(DM200/DE200-1)*100)))</f>
        <v>-6.7619813923297407</v>
      </c>
      <c r="DO200" s="185">
        <f>+DO194/DO188*100</f>
        <v>70.745428973277086</v>
      </c>
      <c r="DP200" s="81">
        <f>IF(ISERROR((DO200/DG200-1)*100),"NA",IF(((DO200/DG200-1)*100)&gt;100,"NM",IF(((DO200/DG200-1)*100)&lt;-50,"NM",(DO200/DG200-1)*100)))</f>
        <v>-4.4316134922397161</v>
      </c>
      <c r="DQ200" s="185">
        <f>+DQ194/DQ188*100</f>
        <v>67.7731673582296</v>
      </c>
      <c r="DR200" s="81">
        <f>IF(ISERROR((DQ200/DI200-1)*100),"NA",IF(((DQ200/DI200-1)*100)&gt;100,"NM",IF(((DQ200/DI200-1)*100)&lt;-50,"NM",(DQ200/DI200-1)*100)))</f>
        <v>-4.2390246401311398</v>
      </c>
      <c r="DS200" s="185">
        <f>+DS194/DS188*100</f>
        <v>70.013297872340416</v>
      </c>
      <c r="DT200" s="81">
        <f>IF(ISERROR((DS200/DK200-1)*100),"NA",IF(((DS200/DK200-1)*100)&gt;100,"NM",IF(((DS200/DK200-1)*100)&lt;-50,"NM",(DS200/DK200-1)*100)))</f>
        <v>1.6079927211646083</v>
      </c>
      <c r="DU200" s="185">
        <f>+DU194/DU188*100</f>
        <v>67.982770997846373</v>
      </c>
      <c r="DV200" s="81">
        <f>IF(ISERROR((DU200/DM200-1)*100),"NA",IF(((DU200/DM200-1)*100)&gt;100,"NM",IF(((DU200/DM200-1)*100)&lt;-50,"NM",(DU200/DM200-1)*100)))</f>
        <v>3.9560524609531855</v>
      </c>
      <c r="DW200" s="185">
        <f>+DW194/DW188*100</f>
        <v>70.170454545454547</v>
      </c>
      <c r="DX200" s="81">
        <f>IF(ISERROR((DW200/DO200-1)*100),"NA",IF(((DW200/DO200-1)*100)&gt;100,"NM",IF(((DW200/DO200-1)*100)&lt;-50,"NM",(DW200/DO200-1)*100)))</f>
        <v>-0.81273721308513514</v>
      </c>
      <c r="DY200" s="185">
        <f>+DY194/DY188*100</f>
        <v>71.720345640219946</v>
      </c>
      <c r="DZ200" s="81">
        <f>IF(ISERROR((DY200/DQ200-1)*100),"NA",IF(((DY200/DQ200-1)*100)&gt;100,"NM",IF(((DY200/DQ200-1)*100)&lt;-50,"NM",(DY200/DQ200-1)*100)))</f>
        <v>5.8241018324061589</v>
      </c>
      <c r="EA200" s="185">
        <f>+EA194/EA188*100</f>
        <v>67.760459392945023</v>
      </c>
      <c r="EB200" s="81">
        <f>IF(ISERROR((EA200/DS200-1)*100),"NA",IF(((EA200/DS200-1)*100)&gt;100,"NM",IF(((EA200/DS200-1)*100)&lt;-50,"NM",(EA200/DS200-1)*100)))</f>
        <v>-3.217729414065218</v>
      </c>
      <c r="EC200" s="185">
        <f>+EC194/EC188*100</f>
        <v>71.475680131904369</v>
      </c>
      <c r="ED200" s="81">
        <f t="shared" ref="ED200" si="650">IF(ISERROR((EC200/DU200-1)*100),"NA",IF(((EC200/DU200-1)*100)&gt;100,"NM",IF(((EC200/DU200-1)*100)&lt;-50,"NM",(EC200/DU200-1)*100)))</f>
        <v>5.1379328656206757</v>
      </c>
      <c r="EE200" s="185">
        <f>+EE194/EE188*100</f>
        <v>75.552050473186114</v>
      </c>
      <c r="EF200" s="81">
        <f t="shared" ref="EF200" si="651">IF(ISERROR((EE200/DW200-1)*100),"NA",IF(((EE200/DW200-1)*100)&gt;100,"NM",IF(((EE200/DW200-1)*100)&lt;-50,"NM",(EE200/DW200-1)*100)))</f>
        <v>7.6693188929615852</v>
      </c>
      <c r="EG200" s="185">
        <f>+EG194/EG188*100</f>
        <v>74.828897338403038</v>
      </c>
      <c r="EH200" s="81">
        <f t="shared" ref="EH200" si="652">IF(ISERROR((EG200/DY200-1)*100),"NA",IF(((EG200/DY200-1)*100)&gt;100,"NM",IF(((EG200/DY200-1)*100)&lt;-50,"NM",(EG200/DY200-1)*100)))</f>
        <v>4.3342675923188079</v>
      </c>
      <c r="EI200" s="185">
        <f>+EI194/EI188*100</f>
        <v>75.712143928035985</v>
      </c>
      <c r="EJ200" s="81">
        <f t="shared" ref="EJ200" si="653">IF(ISERROR((EI200/EA200-1)*100),"NA",IF(((EI200/EA200-1)*100)&gt;100,"NM",IF(((EI200/EA200-1)*100)&lt;-50,"NM",(EI200/EA200-1)*100)))</f>
        <v>11.734992068130602</v>
      </c>
      <c r="EK200" s="186">
        <v>75</v>
      </c>
      <c r="EL200" s="81">
        <f t="shared" ref="EL200" si="654">IF(ISERROR((EK200/EC200-1)*100),"NA",IF(((EK200/EC200-1)*100)&gt;100,"NM",IF(((EK200/EC200-1)*100)&lt;-50,"NM",(EK200/EC200-1)*100)))</f>
        <v>4.9307958477508684</v>
      </c>
      <c r="EM200" s="186">
        <f t="shared" ref="EM200" si="655">EK200</f>
        <v>75</v>
      </c>
      <c r="EN200" s="81">
        <f t="shared" ref="EN200" si="656">IF(ISERROR((EM200/EE200-1)*100),"NA",IF(((EM200/EE200-1)*100)&gt;100,"NM",IF(((EM200/EE200-1)*100)&lt;-50,"NM",(EM200/EE200-1)*100)))</f>
        <v>-0.73068893528183132</v>
      </c>
      <c r="EO200" s="186">
        <f t="shared" ref="EO200" si="657">EM200</f>
        <v>75</v>
      </c>
      <c r="EP200" s="81">
        <f t="shared" ref="EP200" si="658">IF(ISERROR((EO200/EG200-1)*100),"NA",IF(((EO200/EG200-1)*100)&gt;100,"NM",IF(((EO200/EG200-1)*100)&lt;-50,"NM",(EO200/EG200-1)*100)))</f>
        <v>0.22865853658537993</v>
      </c>
      <c r="EQ200" s="186">
        <f t="shared" ref="EQ200" si="659">EO200</f>
        <v>75</v>
      </c>
      <c r="ER200" s="81">
        <f t="shared" ref="ER200" si="660">IF(ISERROR((EQ200/EI200-1)*100),"NA",IF(((EQ200/EI200-1)*100)&gt;100,"NM",IF(((EQ200/EI200-1)*100)&lt;-50,"NM",(EQ200/EI200-1)*100)))</f>
        <v>-0.94059405940594143</v>
      </c>
      <c r="ES200" s="129"/>
      <c r="ET200" s="469"/>
      <c r="EU200" s="129"/>
      <c r="EV200" s="184"/>
      <c r="EW200" s="79"/>
      <c r="EX200" s="185"/>
      <c r="EY200" s="79"/>
      <c r="EZ200" s="185"/>
      <c r="FA200" s="79"/>
      <c r="FB200" s="185"/>
      <c r="FC200" s="79"/>
      <c r="FD200" s="185">
        <f>+FD194/FD188*100</f>
        <v>73.550031867431485</v>
      </c>
      <c r="FE200" s="79" t="str">
        <f>IF(ISERROR((FD200/FB200-1)*100),"NA",IF(((FD200/FB200-1)*100)&gt;100,"NM",IF(((FD200/FB200-1)*100)&lt;-50,"NM",(FD200/FB200-1)*100)))</f>
        <v>NA</v>
      </c>
      <c r="FF200" s="185">
        <f>+FF194/FF188*100</f>
        <v>72.222222222222214</v>
      </c>
      <c r="FG200" s="79">
        <f>IF(ISERROR((FF200/FD200-1)*100),"NA",IF(((FF200/FD200-1)*100)&gt;100,"NM",IF(((FF200/FD200-1)*100)&lt;-50,"NM",(FF200/FD200-1)*100)))</f>
        <v>-1.8053148469093117</v>
      </c>
      <c r="FH200" s="185">
        <f>+FH194/FH188*100</f>
        <v>70.474890001517224</v>
      </c>
      <c r="FI200" s="79">
        <f>IF(ISERROR((FH200/FF200-1)*100),"NA",IF(((FH200/FF200-1)*100)&gt;100,"NM",IF(((FH200/FF200-1)*100)&lt;-50,"NM",(FH200/FF200-1)*100)))</f>
        <v>-2.41938307482229</v>
      </c>
      <c r="FJ200" s="185">
        <f>+FJ194/FJ188*100</f>
        <v>69.502101107856873</v>
      </c>
      <c r="FK200" s="79">
        <f>IF(ISERROR((FJ200/FH200-1)*100),"NA",IF(((FJ200/FH200-1)*100)&gt;100,"NM",IF(((FJ200/FH200-1)*100)&lt;-50,"NM",(FJ200/FH200-1)*100)))</f>
        <v>-1.3803340361927652</v>
      </c>
      <c r="FL200" s="185">
        <f>+FL194/FL188*100</f>
        <v>65.673943996203135</v>
      </c>
      <c r="FM200" s="79">
        <f>IF(ISERROR((FL200/FJ200-1)*100),"NA",IF(((FL200/FJ200-1)*100)&gt;100,"NM",IF(((FL200/FJ200-1)*100)&lt;-50,"NM",(FL200/FJ200-1)*100)))</f>
        <v>-5.5079732132313648</v>
      </c>
      <c r="FN200" s="185">
        <f>+FN194/FN188*100</f>
        <v>59.310131157699054</v>
      </c>
      <c r="FO200" s="79">
        <f>IF(ISERROR((FN200/FL200-1)*100),"NA",IF(((FN200/FL200-1)*100)&gt;100,"NM",IF(((FN200/FL200-1)*100)&lt;-50,"NM",(FN200/FL200-1)*100)))</f>
        <v>-9.6900116717095521</v>
      </c>
      <c r="FP200" s="253">
        <f>+FP194/FP188*100</f>
        <v>57.50590351962218</v>
      </c>
      <c r="FQ200" s="79">
        <f>IF(ISERROR((FP200/FN200-1)*100),"NA",IF(((FP200/FN200-1)*100)&gt;100,"NM",IF(((FP200/FN200-1)*100)&lt;-50,"NM",(FP200/FN200-1)*100)))</f>
        <v>-3.0420226744729884</v>
      </c>
      <c r="FR200" s="253">
        <f>+FR194/FR188*100</f>
        <v>54.452703687509121</v>
      </c>
      <c r="FS200" s="79">
        <f>IF(ISERROR((FR200/FP200-1)*100),"NA",IF(((FR200/FP200-1)*100)&gt;100,"NM",IF(((FR200/FP200-1)*100)&lt;-50,"NM",(FR200/FP200-1)*100)))</f>
        <v>-5.309367639222029</v>
      </c>
      <c r="FT200" s="253">
        <f>+FT194/FT188*100</f>
        <v>66.984322164156168</v>
      </c>
      <c r="FU200" s="79">
        <f>IF(ISERROR((FT200/FR200-1)*100),"NA",IF(((FT200/FR200-1)*100)&gt;100,"NM",IF(((FT200/FR200-1)*100)&lt;-50,"NM",(FT200/FR200-1)*100)))</f>
        <v>23.013767229195771</v>
      </c>
      <c r="FV200" s="253">
        <f>+FV194/FV188*100</f>
        <v>71.815008726003498</v>
      </c>
      <c r="FW200" s="79">
        <f>IF(ISERROR((FV200/FT200-1)*100),"NA",IF(((FV200/FT200-1)*100)&gt;100,"NM",IF(((FV200/FT200-1)*100)&lt;-50,"NM",(FV200/FT200-1)*100)))</f>
        <v>7.2116674555710691</v>
      </c>
      <c r="FX200" s="253">
        <f>+FX194/FX188*100</f>
        <v>77.944140512525209</v>
      </c>
      <c r="FY200" s="79">
        <f>IF(ISERROR((FX200/FV200-1)*100),"NA",IF(((FX200/FV200-1)*100)&gt;100,"NM",IF(((FX200/FV200-1)*100)&lt;-50,"NM",(FX200/FV200-1)*100)))</f>
        <v>8.5346112118516171</v>
      </c>
      <c r="FZ200" s="253">
        <f>+FZ194/FZ188*100</f>
        <v>74.254401724757471</v>
      </c>
      <c r="GA200" s="79">
        <f>IF(ISERROR((FZ200/FX200-1)*100),"NA",IF(((FZ200/FX200-1)*100)&gt;100,"NM",IF(((FZ200/FX200-1)*100)&lt;-50,"NM",(FZ200/FX200-1)*100)))</f>
        <v>-4.7338244587799565</v>
      </c>
      <c r="GB200" s="253">
        <f>+GB194/GB188*100</f>
        <v>70.981554677206859</v>
      </c>
      <c r="GC200" s="79">
        <f>IF(ISERROR((GB200/FZ200-1)*100),"NA",IF(((GB200/FZ200-1)*100)&gt;100,"NM",IF(((GB200/FZ200-1)*100)&lt;-50,"NM",(GB200/FZ200-1)*100)))</f>
        <v>-4.4076135172191444</v>
      </c>
      <c r="GD200" s="253">
        <f>+GD194/GD188*100</f>
        <v>68.517875737591126</v>
      </c>
      <c r="GE200" s="79">
        <f>IF(ISERROR((GD200/GB200-1)*100),"NA",IF(((GD200/GB200-1)*100)&gt;100,"NM",IF(((GD200/GB200-1)*100)&lt;-50,"NM",(GD200/GB200-1)*100)))</f>
        <v>-3.470872046716178</v>
      </c>
      <c r="GF200" s="253">
        <f>+GF194/GF188*100</f>
        <v>69.412431513319461</v>
      </c>
      <c r="GG200" s="79">
        <f>IF(ISERROR((GF200/GD200-1)*100),"NA",IF(((GF200/GD200-1)*100)&gt;100,"NM",IF(((GF200/GD200-1)*100)&lt;-50,"NM",(GF200/GD200-1)*100)))</f>
        <v>1.3055801367139575</v>
      </c>
      <c r="GH200" s="253">
        <f>+GH194/GH188*100</f>
        <v>74.444444444444429</v>
      </c>
      <c r="GI200" s="79">
        <f>IF(ISERROR((GH200/GF200-1)*100),"NA",IF(((GH200/GF200-1)*100)&gt;100,"NM",IF(((GH200/GF200-1)*100)&lt;-50,"NM",(GH200/GF200-1)*100)))</f>
        <v>7.2494405129135631</v>
      </c>
      <c r="GJ200" s="253">
        <f>+GJ194/GJ188*100</f>
        <v>75.13161933128039</v>
      </c>
      <c r="GK200" s="79">
        <f>IF(ISERROR((GJ200/GH200-1)*100),"NA",IF(((GJ200/GH200-1)*100)&gt;100,"NM",IF(((GJ200/GH200-1)*100)&lt;-50,"NM",(GJ200/GH200-1)*100)))</f>
        <v>0.92307074351098972</v>
      </c>
      <c r="GL200" s="186">
        <f>GJ200-0.1</f>
        <v>75.031619331280396</v>
      </c>
      <c r="GM200" s="79">
        <f>IF(ISERROR((GL200/GJ200-1)*100),"NA",IF(((GL200/GJ200-1)*100)&gt;100,"NM",IF(((GL200/GJ200-1)*100)&lt;-50,"NM",(GL200/GJ200-1)*100)))</f>
        <v>-0.13309975332630453</v>
      </c>
      <c r="GN200" s="186">
        <f>GL200-0.1</f>
        <v>74.931619331280402</v>
      </c>
      <c r="GO200" s="79">
        <f>IF(ISERROR((GN200/GL200-1)*100),"NA",IF(((GN200/GL200-1)*100)&gt;100,"NM",IF(((GN200/GL200-1)*100)&lt;-50,"NM",(GN200/GL200-1)*100)))</f>
        <v>-0.13327714487737508</v>
      </c>
      <c r="GP200" s="186">
        <f>GN200-0.1</f>
        <v>74.831619331280407</v>
      </c>
      <c r="GQ200" s="79">
        <f>IF(ISERROR((GP200/GN200-1)*100),"NA",IF(((GP200/GN200-1)*100)&gt;100,"NM",IF(((GP200/GN200-1)*100)&lt;-50,"NM",(GP200/GN200-1)*100)))</f>
        <v>-0.13345500990427084</v>
      </c>
      <c r="GR200" s="186">
        <f>GP200</f>
        <v>74.831619331280407</v>
      </c>
      <c r="GS200" s="79">
        <f>IF(ISERROR((GR200/GP200-1)*100),"NA",IF(((GR200/GP200-1)*100)&gt;100,"NM",IF(((GR200/GP200-1)*100)&lt;-50,"NM",(GR200/GP200-1)*100)))</f>
        <v>0</v>
      </c>
      <c r="GT200" s="79">
        <f>IF(ISERROR(((GR200/GH200)^0.2-1)*100),"NA",(IF(OR(((GR200/GH200)^0.2-1)*100&gt;99,((GR200/GH200)^0.2-1)*100&lt;-50),"NM",(((GR200/GH200)^0.2-1)*100))))</f>
        <v>0.10380141529782172</v>
      </c>
    </row>
    <row r="201" spans="1:286" s="165" customFormat="1" ht="12.75" hidden="1" customHeight="1" outlineLevel="1" x14ac:dyDescent="0.2">
      <c r="A201" s="157"/>
      <c r="B201" s="165" t="s">
        <v>449</v>
      </c>
      <c r="C201" s="87"/>
      <c r="D201" s="87"/>
      <c r="E201" s="254"/>
      <c r="F201" s="254"/>
      <c r="G201" s="254"/>
      <c r="H201" s="254"/>
      <c r="I201" s="254"/>
      <c r="J201" s="254"/>
      <c r="K201" s="254"/>
      <c r="L201" s="87"/>
      <c r="M201" s="254"/>
      <c r="N201" s="87"/>
      <c r="O201" s="254"/>
      <c r="P201" s="87"/>
      <c r="Q201" s="254"/>
      <c r="R201" s="87"/>
      <c r="S201" s="254"/>
      <c r="T201" s="87"/>
      <c r="U201" s="254"/>
      <c r="V201" s="87"/>
      <c r="W201" s="254"/>
      <c r="X201" s="87"/>
      <c r="Y201" s="254"/>
      <c r="Z201" s="87"/>
      <c r="AA201" s="255"/>
      <c r="AB201" s="87"/>
      <c r="AC201" s="254"/>
      <c r="AD201" s="87"/>
      <c r="AE201" s="254"/>
      <c r="AF201" s="87"/>
      <c r="AG201" s="254"/>
      <c r="AH201" s="87"/>
      <c r="AI201" s="254"/>
      <c r="AJ201" s="87"/>
      <c r="AK201" s="254"/>
      <c r="AL201" s="87"/>
      <c r="AM201" s="254"/>
      <c r="AN201" s="87"/>
      <c r="AO201" s="254"/>
      <c r="AP201" s="87"/>
      <c r="AQ201" s="254"/>
      <c r="AR201" s="87"/>
      <c r="AS201" s="254"/>
      <c r="AT201" s="89"/>
      <c r="AU201" s="254"/>
      <c r="AV201" s="89"/>
      <c r="AW201" s="254"/>
      <c r="AX201" s="89"/>
      <c r="AY201" s="254"/>
      <c r="AZ201" s="89"/>
      <c r="BA201" s="254"/>
      <c r="BB201" s="89"/>
      <c r="BC201" s="254"/>
      <c r="BD201" s="89"/>
      <c r="BE201" s="254"/>
      <c r="BF201" s="89"/>
      <c r="BG201" s="254"/>
      <c r="BH201" s="89"/>
      <c r="BI201" s="254"/>
      <c r="BJ201" s="89"/>
      <c r="BK201" s="254"/>
      <c r="BL201" s="89"/>
      <c r="BM201" s="254"/>
      <c r="BN201" s="89"/>
      <c r="BO201" s="254"/>
      <c r="BP201" s="89"/>
      <c r="BQ201" s="254"/>
      <c r="BR201" s="89"/>
      <c r="BS201" s="254"/>
      <c r="BT201" s="89"/>
      <c r="BU201" s="254"/>
      <c r="BV201" s="89"/>
      <c r="BW201" s="254"/>
      <c r="BX201" s="89"/>
      <c r="BY201" s="254"/>
      <c r="BZ201" s="89"/>
      <c r="CA201" s="254"/>
      <c r="CB201" s="89"/>
      <c r="CC201" s="254"/>
      <c r="CD201" s="89"/>
      <c r="CE201" s="254"/>
      <c r="CF201" s="89"/>
      <c r="CG201" s="254"/>
      <c r="CH201" s="89"/>
      <c r="CI201" s="254"/>
      <c r="CJ201" s="89"/>
      <c r="CK201" s="254"/>
      <c r="CL201" s="89"/>
      <c r="CM201" s="254"/>
      <c r="CN201" s="89"/>
      <c r="CO201" s="254"/>
      <c r="CP201" s="89"/>
      <c r="CQ201" s="254"/>
      <c r="CR201" s="89"/>
      <c r="CS201" s="254"/>
      <c r="CT201" s="89"/>
      <c r="CU201" s="254"/>
      <c r="CV201" s="89"/>
      <c r="CW201" s="254"/>
      <c r="CX201" s="89"/>
      <c r="CY201" s="254"/>
      <c r="CZ201" s="89"/>
      <c r="DA201" s="254"/>
      <c r="DB201" s="89"/>
      <c r="DC201" s="254"/>
      <c r="DD201" s="89"/>
      <c r="DE201" s="254"/>
      <c r="DF201" s="89"/>
      <c r="DG201" s="254"/>
      <c r="DH201" s="89"/>
      <c r="DI201" s="254"/>
      <c r="DJ201" s="89"/>
      <c r="DK201" s="254"/>
      <c r="DL201" s="89"/>
      <c r="DM201" s="254"/>
      <c r="DN201" s="89"/>
      <c r="DO201" s="254"/>
      <c r="DP201" s="89"/>
      <c r="DQ201" s="254"/>
      <c r="DR201" s="89"/>
      <c r="DS201" s="254"/>
      <c r="DT201" s="89"/>
      <c r="DU201" s="254"/>
      <c r="DV201" s="89"/>
      <c r="DW201" s="254"/>
      <c r="DX201" s="89"/>
      <c r="DY201" s="254"/>
      <c r="DZ201" s="89"/>
      <c r="EA201" s="254"/>
      <c r="EB201" s="89"/>
      <c r="EC201" s="254"/>
      <c r="ED201" s="89"/>
      <c r="EE201" s="254"/>
      <c r="EF201" s="89"/>
      <c r="EG201" s="254"/>
      <c r="EH201" s="89"/>
      <c r="EI201" s="254"/>
      <c r="EJ201" s="89"/>
      <c r="EK201" s="254">
        <f t="shared" ref="EK201:EQ201" si="661">IF($B$6=1,EK200,IF($B$6=2,EK200+EK620,IF($B$6=3,EK200+EK621)))</f>
        <v>75</v>
      </c>
      <c r="EL201" s="89"/>
      <c r="EM201" s="254">
        <f t="shared" si="661"/>
        <v>75</v>
      </c>
      <c r="EN201" s="89"/>
      <c r="EO201" s="254">
        <f t="shared" si="661"/>
        <v>75</v>
      </c>
      <c r="EP201" s="89"/>
      <c r="EQ201" s="254">
        <f t="shared" si="661"/>
        <v>75</v>
      </c>
      <c r="ER201" s="89"/>
      <c r="ES201" s="162"/>
      <c r="ET201" s="466"/>
      <c r="EU201" s="162"/>
      <c r="EV201" s="256"/>
      <c r="EW201" s="87"/>
      <c r="EX201" s="254"/>
      <c r="EY201" s="87"/>
      <c r="EZ201" s="254"/>
      <c r="FA201" s="87"/>
      <c r="FB201" s="254"/>
      <c r="FC201" s="87"/>
      <c r="FD201" s="254"/>
      <c r="FE201" s="87"/>
      <c r="FF201" s="254"/>
      <c r="FG201" s="87"/>
      <c r="FH201" s="254"/>
      <c r="FI201" s="87"/>
      <c r="FJ201" s="254"/>
      <c r="FK201" s="87"/>
      <c r="FL201" s="254"/>
      <c r="FM201" s="87"/>
      <c r="FN201" s="254"/>
      <c r="FO201" s="87"/>
      <c r="FP201" s="254"/>
      <c r="FQ201" s="87"/>
      <c r="FR201" s="254"/>
      <c r="FS201" s="87"/>
      <c r="FT201" s="254"/>
      <c r="FU201" s="87"/>
      <c r="FV201" s="254"/>
      <c r="FW201" s="87"/>
      <c r="FX201" s="254"/>
      <c r="FY201" s="87"/>
      <c r="FZ201" s="254"/>
      <c r="GA201" s="79" t="str">
        <f>IF(ISERROR((FZ201/FX201-1)*100),"NA",IF(((FZ201/FX201-1)*100)&gt;100,"NM",IF(((FZ201/FX201-1)*100)&lt;-50,"NM",(FZ201/FX201-1)*100)))</f>
        <v>NA</v>
      </c>
      <c r="GB201" s="254"/>
      <c r="GC201" s="79" t="str">
        <f>IF(ISERROR((GB201/FZ201-1)*100),"NA",IF(((GB201/FZ201-1)*100)&gt;100,"NM",IF(((GB201/FZ201-1)*100)&lt;-50,"NM",(GB201/FZ201-1)*100)))</f>
        <v>NA</v>
      </c>
      <c r="GD201" s="254"/>
      <c r="GE201" s="79" t="str">
        <f>IF(ISERROR((GD201/GB201-1)*100),"NA",IF(((GD201/GB201-1)*100)&gt;100,"NM",IF(((GD201/GB201-1)*100)&lt;-50,"NM",(GD201/GB201-1)*100)))</f>
        <v>NA</v>
      </c>
      <c r="GF201" s="254"/>
      <c r="GG201" s="79" t="str">
        <f>IF(ISERROR((GF201/GD201-1)*100),"NA",IF(((GF201/GD201-1)*100)&gt;100,"NM",IF(((GF201/GD201-1)*100)&lt;-50,"NM",(GF201/GD201-1)*100)))</f>
        <v>NA</v>
      </c>
      <c r="GH201" s="254"/>
      <c r="GI201" s="79" t="str">
        <f>IF(ISERROR((GH201/GF201-1)*100),"NA",IF(((GH201/GF201-1)*100)&gt;100,"NM",IF(((GH201/GF201-1)*100)&lt;-50,"NM",(GH201/GF201-1)*100)))</f>
        <v>NA</v>
      </c>
      <c r="GJ201" s="254"/>
      <c r="GK201" s="79" t="str">
        <f>IF(ISERROR((GJ201/GH201-1)*100),"NA",IF(((GJ201/GH201-1)*100)&gt;100,"NM",IF(((GJ201/GH201-1)*100)&lt;-50,"NM",(GJ201/GH201-1)*100)))</f>
        <v>NA</v>
      </c>
      <c r="GL201" s="254">
        <f>IF($B$6=1,GL200,IF($B$6=2,GL200+GL620,IF($B$6=3,GL200+GL621)))</f>
        <v>75.031619331280396</v>
      </c>
      <c r="GM201" s="79" t="str">
        <f>IF(ISERROR((GL201/GJ201-1)*100),"NA",IF(((GL201/GJ201-1)*100)&gt;100,"NM",IF(((GL201/GJ201-1)*100)&lt;-50,"NM",(GL201/GJ201-1)*100)))</f>
        <v>NA</v>
      </c>
      <c r="GN201" s="254">
        <f>IF($B$6=1,GN200,IF($B$6=2,GN200+GN620,IF($B$6=3,GN200+GN621)))</f>
        <v>74.931619331280402</v>
      </c>
      <c r="GO201" s="79">
        <f>IF(ISERROR((GN201/GL201-1)*100),"NA",IF(((GN201/GL201-1)*100)&gt;100,"NM",IF(((GN201/GL201-1)*100)&lt;-50,"NM",(GN201/GL201-1)*100)))</f>
        <v>-0.13327714487737508</v>
      </c>
      <c r="GP201" s="254">
        <f>IF($B$6=1,GP200,IF($B$6=2,GP200+GP620,IF($B$6=3,GP200+GP621)))</f>
        <v>74.831619331280407</v>
      </c>
      <c r="GQ201" s="79">
        <f>IF(ISERROR((GP201/GN201-1)*100),"NA",IF(((GP201/GN201-1)*100)&gt;100,"NM",IF(((GP201/GN201-1)*100)&lt;-50,"NM",(GP201/GN201-1)*100)))</f>
        <v>-0.13345500990427084</v>
      </c>
      <c r="GR201" s="254">
        <f>IF($B$6=1,GR200,IF($B$6=2,GR200+GR620,IF($B$6=3,GR200+GR621)))</f>
        <v>74.831619331280407</v>
      </c>
      <c r="GS201" s="79">
        <f>IF(ISERROR((GR201/GP201-1)*100),"NA",IF(((GR201/GP201-1)*100)&gt;100,"NM",IF(((GR201/GP201-1)*100)&lt;-50,"NM",(GR201/GP201-1)*100)))</f>
        <v>0</v>
      </c>
      <c r="GT201" s="87"/>
      <c r="GU201" s="562"/>
      <c r="GV201" s="562"/>
      <c r="GW201"/>
      <c r="GX201"/>
      <c r="GY201"/>
      <c r="GZ201"/>
      <c r="HA201"/>
      <c r="HB201"/>
      <c r="HC201" s="562"/>
      <c r="HD201" s="562"/>
      <c r="HE201" s="562"/>
      <c r="HF201" s="562"/>
      <c r="HG201" s="562"/>
      <c r="HH201" s="562"/>
      <c r="HI201" s="562"/>
      <c r="HJ201" s="562"/>
      <c r="HK201" s="562"/>
      <c r="HL201" s="562"/>
      <c r="HM201" s="562"/>
      <c r="HN201" s="562"/>
      <c r="HO201" s="562"/>
      <c r="HP201" s="562"/>
      <c r="HQ201" s="562"/>
      <c r="HR201" s="562"/>
      <c r="HS201" s="562"/>
      <c r="HT201" s="562"/>
      <c r="HU201" s="562"/>
      <c r="HV201" s="562"/>
      <c r="HW201" s="562"/>
      <c r="HX201" s="562"/>
      <c r="HY201" s="562"/>
      <c r="HZ201" s="562"/>
      <c r="IA201" s="562"/>
      <c r="IB201" s="562"/>
      <c r="IC201" s="562"/>
      <c r="ID201" s="562"/>
      <c r="IE201" s="562"/>
      <c r="IF201" s="562"/>
      <c r="IG201" s="562"/>
      <c r="IH201" s="562"/>
      <c r="II201" s="562"/>
      <c r="IJ201" s="562"/>
      <c r="IK201" s="562"/>
      <c r="IL201" s="562"/>
      <c r="IM201" s="562"/>
      <c r="IN201" s="562"/>
      <c r="IO201" s="562"/>
      <c r="IP201" s="562"/>
      <c r="IQ201" s="562"/>
      <c r="IR201" s="562"/>
      <c r="IS201" s="562"/>
      <c r="IT201" s="562"/>
      <c r="IU201" s="562"/>
      <c r="IV201" s="562"/>
      <c r="IW201" s="562"/>
      <c r="IX201" s="562"/>
      <c r="IY201" s="562"/>
      <c r="IZ201" s="562"/>
      <c r="JA201" s="562"/>
      <c r="JB201" s="562"/>
      <c r="JC201" s="562"/>
      <c r="JD201" s="562"/>
      <c r="JE201" s="562"/>
      <c r="JF201" s="562"/>
      <c r="JG201" s="562"/>
      <c r="JH201" s="562"/>
      <c r="JI201" s="562"/>
      <c r="JJ201" s="562"/>
      <c r="JK201" s="562"/>
      <c r="JL201" s="562"/>
      <c r="JM201" s="562"/>
      <c r="JN201" s="562"/>
      <c r="JO201" s="562"/>
      <c r="JP201" s="562"/>
      <c r="JQ201" s="562"/>
      <c r="JR201" s="562"/>
      <c r="JS201" s="562"/>
      <c r="JT201" s="562"/>
      <c r="JU201" s="562"/>
      <c r="JV201" s="562"/>
      <c r="JW201" s="562"/>
      <c r="JX201" s="562"/>
      <c r="JY201" s="562"/>
      <c r="JZ201" s="562"/>
    </row>
    <row r="202" spans="1:286" ht="12.75" customHeight="1" collapsed="1" x14ac:dyDescent="0.2">
      <c r="A202" s="1"/>
      <c r="B202" s="10" t="s">
        <v>45</v>
      </c>
      <c r="C202" s="3"/>
      <c r="D202" s="3"/>
      <c r="E202" s="253"/>
      <c r="F202" s="253"/>
      <c r="G202" s="253"/>
      <c r="H202" s="253"/>
      <c r="I202" s="253"/>
      <c r="J202" s="253"/>
      <c r="K202" s="253"/>
      <c r="L202" s="79"/>
      <c r="M202" s="253"/>
      <c r="N202" s="79"/>
      <c r="O202" s="253"/>
      <c r="P202" s="79"/>
      <c r="Q202" s="253"/>
      <c r="R202" s="79"/>
      <c r="S202" s="253"/>
      <c r="T202" s="79"/>
      <c r="U202" s="253"/>
      <c r="V202" s="79"/>
      <c r="W202" s="253"/>
      <c r="X202" s="79"/>
      <c r="Y202" s="253"/>
      <c r="Z202" s="79"/>
      <c r="AA202" s="257"/>
      <c r="AB202" s="79"/>
      <c r="AC202" s="253">
        <f>+AC195/AC188*100</f>
        <v>7.2944297082228102</v>
      </c>
      <c r="AD202" s="79" t="str">
        <f>IF(ISERROR((AC202/U202-1)*100),"NA",IF(((AC202/U202-1)*100)&gt;100,"NM",IF(((AC202/U202-1)*100)&lt;-50,"NM",(AC202/U202-1)*100)))</f>
        <v>NA</v>
      </c>
      <c r="AE202" s="253">
        <f>+AE195/AE188*100</f>
        <v>7.1339950372208447</v>
      </c>
      <c r="AF202" s="79" t="str">
        <f>IF(ISERROR((AE202/W202-1)*100),"NA",IF(((AE202/W202-1)*100)&gt;100,"NM",IF(((AE202/W202-1)*100)&lt;-50,"NM",(AE202/W202-1)*100)))</f>
        <v>NA</v>
      </c>
      <c r="AG202" s="253">
        <f>+AG195/AG188*100</f>
        <v>7.7013521457965899</v>
      </c>
      <c r="AH202" s="79" t="str">
        <f>IF(ISERROR((AG202/Y202-1)*100),"NA",IF(((AG202/Y202-1)*100)&gt;100,"NM",IF(((AG202/Y202-1)*100)&lt;-50,"NM",(AG202/Y202-1)*100)))</f>
        <v>NA</v>
      </c>
      <c r="AI202" s="253">
        <f>+AI195/AI188*100</f>
        <v>7.5141242937853097</v>
      </c>
      <c r="AJ202" s="79" t="str">
        <f>IF(ISERROR((AI202/AA202-1)*100),"NA",IF(((AI202/AA202-1)*100)&gt;100,"NM",IF(((AI202/AA202-1)*100)&lt;-50,"NM",(AI202/AA202-1)*100)))</f>
        <v>NA</v>
      </c>
      <c r="AK202" s="253">
        <f>+AK195/AK188*100</f>
        <v>7.6842105263157876</v>
      </c>
      <c r="AL202" s="79">
        <f>IF(ISERROR((AK202/AC202-1)*100),"NA",IF(((AK202/AC202-1)*100)&gt;100,"NM",IF(((AK202/AC202-1)*100)&lt;-50,"NM",(AK202/AC202-1)*100)))</f>
        <v>5.3435406698564503</v>
      </c>
      <c r="AM202" s="253">
        <f>+AM195/AM188*100</f>
        <v>6.1626100466079752</v>
      </c>
      <c r="AN202" s="79">
        <f>IF(ISERROR((AM202/AE202-1)*100),"NA",IF(((AM202/AE202-1)*100)&gt;100,"NM",IF(((AM202/AE202-1)*100)&lt;-50,"NM",(AM202/AE202-1)*100)))</f>
        <v>-13.616283520590834</v>
      </c>
      <c r="AO202" s="253">
        <f>+AO195/AO188*100</f>
        <v>7.1078431372549016</v>
      </c>
      <c r="AP202" s="79">
        <f>IF(ISERROR((AO202/AG202-1)*100),"NA",IF(((AO202/AG202-1)*100)&gt;100,"NM",IF(((AO202/AG202-1)*100)&lt;-50,"NM",(AO202/AG202-1)*100)))</f>
        <v>-7.7065559048046683</v>
      </c>
      <c r="AQ202" s="253">
        <f>+AQ195/AQ188*100</f>
        <v>7.7699293642785081</v>
      </c>
      <c r="AR202" s="79">
        <f>IF(ISERROR((AQ202/AI202-1)*100),"NA",IF(((AQ202/AI202-1)*100)&gt;100,"NM",IF(((AQ202/AI202-1)*100)&lt;-50,"NM",(AQ202/AI202-1)*100)))</f>
        <v>3.4043231185936884</v>
      </c>
      <c r="AS202" s="253">
        <f>+AS195/AS188*100</f>
        <v>6.2173458725182869</v>
      </c>
      <c r="AT202" s="81">
        <f>IF(ISERROR((AS202/AK202-1)*100),"NA",IF(((AS202/AK202-1)*100)&gt;100,"NM",IF(((AS202/AK202-1)*100)&lt;-50,"NM",(AS202/AK202-1)*100)))</f>
        <v>-19.089334535720901</v>
      </c>
      <c r="AU202" s="253">
        <f>+AU195/AU188*100</f>
        <v>5.5804683607374193</v>
      </c>
      <c r="AV202" s="81">
        <f>IF(ISERROR((AU202/AM202-1)*100),"NA",IF(((AU202/AM202-1)*100)&gt;100,"NM",IF(((AU202/AM202-1)*100)&lt;-50,"NM",(AU202/AM202-1)*100)))</f>
        <v>-9.4463495413112941</v>
      </c>
      <c r="AW202" s="253">
        <f>+AW195/AW188*100</f>
        <v>6.2812926718252173</v>
      </c>
      <c r="AX202" s="81">
        <f>IF(ISERROR((AW202/AO202-1)*100),"NA",IF(((AW202/AO202-1)*100)&gt;100,"NM",IF(((AW202/AO202-1)*100)&lt;-50,"NM",(AW202/AO202-1)*100)))</f>
        <v>-11.628709996390041</v>
      </c>
      <c r="AY202" s="253">
        <f>+AY195/AY188*100</f>
        <v>5.5411255411255409</v>
      </c>
      <c r="AZ202" s="81">
        <f>IF(ISERROR((AY202/AQ202-1)*100),"NA",IF(((AY202/AQ202-1)*100)&gt;100,"NM",IF(((AY202/AQ202-1)*100)&lt;-50,"NM",(AY202/AQ202-1)*100)))</f>
        <v>-28.684994659020646</v>
      </c>
      <c r="BA202" s="253">
        <f>+BA195/BA188*100</f>
        <v>6.9275753486279807</v>
      </c>
      <c r="BB202" s="81">
        <f>IF(ISERROR((BA202/AS202-1)*100),"NA",IF(((BA202/AS202-1)*100)&gt;100,"NM",IF(((BA202/AS202-1)*100)&lt;-50,"NM",(BA202/AS202-1)*100)))</f>
        <v>11.423354767008021</v>
      </c>
      <c r="BC202" s="253">
        <f>+BC195/BC188*100</f>
        <v>7.2469635627530362</v>
      </c>
      <c r="BD202" s="81">
        <f>IF(ISERROR((BC202/AU202-1)*100),"NA",IF(((BC202/AU202-1)*100)&gt;100,"NM",IF(((BC202/AU202-1)*100)&lt;-50,"NM",(BC202/AU202-1)*100)))</f>
        <v>29.862998843262002</v>
      </c>
      <c r="BE202" s="253">
        <f>+BE195/BE188*100</f>
        <v>6.4620355411954762</v>
      </c>
      <c r="BF202" s="81">
        <f>IF(ISERROR((BE202/AW202-1)*100),"NA",IF(((BE202/AW202-1)*100)&gt;100,"NM",IF(((BE202/AW202-1)*100)&lt;-50,"NM",(BE202/AW202-1)*100)))</f>
        <v>2.8774788696120268</v>
      </c>
      <c r="BG202" s="253">
        <f>+BG195/BG188*100</f>
        <v>7.0405727923627675</v>
      </c>
      <c r="BH202" s="81">
        <f>IF(ISERROR((BG202/AY202-1)*100),"NA",IF(((BG202/AY202-1)*100)&gt;100,"NM",IF(((BG202/AY202-1)*100)&lt;-50,"NM",(BG202/AY202-1)*100)))</f>
        <v>27.060337112171815</v>
      </c>
      <c r="BI202" s="253">
        <f>+BI195/BI188*100</f>
        <v>7.1072319201995029</v>
      </c>
      <c r="BJ202" s="81">
        <f>IF(ISERROR((BI202/BA202-1)*100),"NA",IF(((BI202/BA202-1)*100)&gt;100,"NM",IF(((BI202/BA202-1)*100)&lt;-50,"NM",(BI202/BA202-1)*100)))</f>
        <v>2.5933542766460649</v>
      </c>
      <c r="BK202" s="253">
        <f>+BK195/BK188*100</f>
        <v>5.6681836988001653</v>
      </c>
      <c r="BL202" s="81">
        <f>IF(ISERROR((BK202/BC202-1)*100),"NA",IF(((BK202/BC202-1)*100)&gt;100,"NM",IF(((BK202/BC202-1)*100)&lt;-50,"NM",(BK202/BC202-1)*100)))</f>
        <v>-21.785398122701626</v>
      </c>
      <c r="BM202" s="253">
        <f>+BM195/BM188*100</f>
        <v>7.0761014686248336</v>
      </c>
      <c r="BN202" s="81">
        <f>IF(ISERROR((BM202/BE202-1)*100),"NA",IF(((BM202/BE202-1)*100)&gt;100,"NM",IF(((BM202/BE202-1)*100)&lt;-50,"NM",(BM202/BE202-1)*100)))</f>
        <v>9.5026702269693111</v>
      </c>
      <c r="BO202" s="253">
        <f>+BO195/BO188*100</f>
        <v>6.7471201316511245</v>
      </c>
      <c r="BP202" s="81">
        <f>IF(ISERROR((BO202/BG202-1)*100),"NA",IF(((BO202/BG202-1)*100)&gt;100,"NM",IF(((BO202/BG202-1)*100)&lt;-50,"NM",(BO202/BG202-1)*100)))</f>
        <v>-4.1680225368874062</v>
      </c>
      <c r="BQ202" s="253">
        <f>+BQ195/BQ188*100</f>
        <v>6.5030674846625764</v>
      </c>
      <c r="BR202" s="81">
        <f>IF(ISERROR((BQ202/BI202-1)*100),"NA",IF(((BQ202/BI202-1)*100)&gt;100,"NM",IF(((BQ202/BI202-1)*100)&lt;-50,"NM",(BQ202/BI202-1)*100)))</f>
        <v>-8.5006996017651719</v>
      </c>
      <c r="BS202" s="253">
        <f>+BS195/BS188*100</f>
        <v>6.6897347174163775</v>
      </c>
      <c r="BT202" s="81">
        <f>IF(ISERROR((BS202/BK202-1)*100),"NA",IF(((BS202/BK202-1)*100)&gt;100,"NM",IF(((BS202/BK202-1)*100)&lt;-50,"NM",(BS202/BK202-1)*100)))</f>
        <v>18.02254607295901</v>
      </c>
      <c r="BU202" s="253">
        <f>+BU195/BU188*100</f>
        <v>6.5409546258102536</v>
      </c>
      <c r="BV202" s="81">
        <f>IF(ISERROR((BU202/BM202-1)*100),"NA",IF(((BU202/BM202-1)*100)&gt;100,"NM",IF(((BU202/BM202-1)*100)&lt;-50,"NM",(BU202/BM202-1)*100)))</f>
        <v>-7.5627355710966127</v>
      </c>
      <c r="BW202" s="253">
        <f>+BW195/BW188*100</f>
        <v>7.4444444444444455</v>
      </c>
      <c r="BX202" s="81">
        <f>IF(ISERROR((BW202/BO202-1)*100),"NA",IF(((BW202/BO202-1)*100)&gt;100,"NM",IF(((BW202/BO202-1)*100)&lt;-50,"NM",(BW202/BO202-1)*100)))</f>
        <v>10.335140018066857</v>
      </c>
      <c r="BY202" s="253">
        <f>+BY195/BY188*100</f>
        <v>6.2123039806996383</v>
      </c>
      <c r="BZ202" s="81">
        <f>IF(ISERROR((BY202/BQ202-1)*100),"NA",IF(((BY202/BQ202-1)*100)&gt;100,"NM",IF(((BY202/BQ202-1)*100)&lt;-50,"NM",(BY202/BQ202-1)*100)))</f>
        <v>-4.4711746364112237</v>
      </c>
      <c r="CA202" s="253">
        <f>+CA195/CA188*100</f>
        <v>6.4748201438848918</v>
      </c>
      <c r="CB202" s="81">
        <f>IF(ISERROR((CA202/BS202-1)*100),"NA",IF(((CA202/BS202-1)*100)&gt;100,"NM",IF(((CA202/BS202-1)*100)&lt;-50,"NM",(CA202/BS202-1)*100)))</f>
        <v>-3.2126023319275498</v>
      </c>
      <c r="CC202" s="253">
        <f>+CC195/CC188*100</f>
        <v>7.2490706319702598</v>
      </c>
      <c r="CD202" s="81">
        <f>IF(ISERROR((CC202/BU202-1)*100),"NA",IF(((CC202/BU202-1)*100)&gt;100,"NM",IF(((CC202/BU202-1)*100)&lt;-50,"NM",(CC202/BU202-1)*100)))</f>
        <v>10.825881643725509</v>
      </c>
      <c r="CE202" s="253">
        <f>+CE195/CE188*100</f>
        <v>7.1554252199413488</v>
      </c>
      <c r="CF202" s="81">
        <f>IF(ISERROR((CE202/BW202-1)*100),"NA",IF(((CE202/BW202-1)*100)&gt;100,"NM",IF(((CE202/BW202-1)*100)&lt;-50,"NM",(CE202/BW202-1)*100)))</f>
        <v>-3.882347791832641</v>
      </c>
      <c r="CG202" s="253">
        <f>+CG195/CG188*100</f>
        <v>6.5230400957510479</v>
      </c>
      <c r="CH202" s="81">
        <f>IF(ISERROR((CG202/BY202-1)*100),"NA",IF(((CG202/BY202-1)*100)&gt;100,"NM",IF(((CG202/BY202-1)*100)&lt;-50,"NM",(CG202/BY202-1)*100)))</f>
        <v>5.0019463956819221</v>
      </c>
      <c r="CI202" s="253">
        <f>+CI195/CI188*100</f>
        <v>6.4846416382252556</v>
      </c>
      <c r="CJ202" s="81">
        <f>IF(ISERROR((CI202/CA202-1)*100),"NA",IF(((CI202/CA202-1)*100)&gt;100,"NM",IF(((CI202/CA202-1)*100)&lt;-50,"NM",(CI202/CA202-1)*100)))</f>
        <v>0.15168752370118277</v>
      </c>
      <c r="CK202" s="253">
        <f>+CK195/CK188*100</f>
        <v>6.267806267806268</v>
      </c>
      <c r="CL202" s="81">
        <f>IF(ISERROR((CK202/CC202-1)*100),"NA",IF(((CK202/CC202-1)*100)&gt;100,"NM",IF(((CK202/CC202-1)*100)&lt;-50,"NM",(CK202/CC202-1)*100)))</f>
        <v>-13.536416100518656</v>
      </c>
      <c r="CM202" s="253">
        <f>+CM195/CM188*100</f>
        <v>7.3286052009456277</v>
      </c>
      <c r="CN202" s="81">
        <f>IF(ISERROR((CM202/CE202-1)*100),"NA",IF(((CM202/CE202-1)*100)&gt;100,"NM",IF(((CM202/CE202-1)*100)&lt;-50,"NM",(CM202/CE202-1)*100)))</f>
        <v>2.4202612099368581</v>
      </c>
      <c r="CO202" s="253">
        <f>+CO195/CO188*100</f>
        <v>6.2097246631517287</v>
      </c>
      <c r="CP202" s="81">
        <f>IF(ISERROR((CO202/CG202-1)*100),"NA",IF(((CO202/CG202-1)*100)&gt;100,"NM",IF(((CO202/CG202-1)*100)&lt;-50,"NM",(CO202/CG202-1)*100)))</f>
        <v>-4.8032118153528707</v>
      </c>
      <c r="CQ202" s="253">
        <f>+CQ195/CQ188*100</f>
        <v>5.7736720554272525</v>
      </c>
      <c r="CR202" s="81">
        <f>IF(ISERROR((CQ202/CI202-1)*100),"NA",IF(((CQ202/CI202-1)*100)&gt;100,"NM",IF(((CQ202/CI202-1)*100)&lt;-50,"NM",(CQ202/CI202-1)*100)))</f>
        <v>-10.963899355779738</v>
      </c>
      <c r="CS202" s="253">
        <f>+CS195/CS188*100</f>
        <v>6.3356164383561646</v>
      </c>
      <c r="CT202" s="81">
        <f>IF(ISERROR((CS202/CK202-1)*100),"NA",IF(((CS202/CK202-1)*100)&gt;100,"NM",IF(((CS202/CK202-1)*100)&lt;-50,"NM",(CS202/CK202-1)*100)))</f>
        <v>1.081880448318806</v>
      </c>
      <c r="CU202" s="253">
        <f>+CU195/CU188*100</f>
        <v>6.2108262108262116</v>
      </c>
      <c r="CV202" s="81">
        <f>IF(ISERROR((CU202/CM202-1)*100),"NA",IF(((CU202/CM202-1)*100)&gt;100,"NM",IF(((CU202/CM202-1)*100)&lt;-50,"NM",(CU202/CM202-1)*100)))</f>
        <v>-15.252274607113325</v>
      </c>
      <c r="CW202" s="253">
        <f>+CW195/CW188*100</f>
        <v>7.1627260083449231</v>
      </c>
      <c r="CX202" s="81">
        <f>IF(ISERROR((CW202/CO202-1)*100),"NA",IF(((CW202/CO202-1)*100)&gt;100,"NM",IF(((CW202/CO202-1)*100)&lt;-50,"NM",(CW202/CO202-1)*100)))</f>
        <v>15.346917889101718</v>
      </c>
      <c r="CY202" s="253">
        <f>+CY195/CY188*100</f>
        <v>6.1773255813953494</v>
      </c>
      <c r="CZ202" s="81">
        <f>IF(ISERROR((CY202/CQ202-1)*100),"NA",IF(((CY202/CQ202-1)*100)&gt;100,"NM",IF(((CY202/CQ202-1)*100)&lt;-50,"NM",(CY202/CQ202-1)*100)))</f>
        <v>6.9912790697674421</v>
      </c>
      <c r="DA202" s="253">
        <f>+DA195/DA188*100</f>
        <v>6.9919883466860888</v>
      </c>
      <c r="DB202" s="81">
        <f>IF(ISERROR((DA202/CS202-1)*100),"NA",IF(((DA202/CS202-1)*100)&gt;100,"NM",IF(((DA202/CS202-1)*100)&lt;-50,"NM",(DA202/CS202-1)*100)))</f>
        <v>10.360032282829067</v>
      </c>
      <c r="DC202" s="253">
        <f>+DC195/DC188*100</f>
        <v>6.9615663524292968</v>
      </c>
      <c r="DD202" s="81">
        <f>IF(ISERROR((DC202/CU202-1)*100),"NA",IF(((DC202/CU202-1)*100)&gt;100,"NM",IF(((DC202/CU202-1)*100)&lt;-50,"NM",(DC202/CU202-1)*100)))</f>
        <v>12.087605032233162</v>
      </c>
      <c r="DE202" s="253">
        <f>+DE195/DE188*100</f>
        <v>6.5260382333553064</v>
      </c>
      <c r="DF202" s="81">
        <f>IF(ISERROR((DE202/CW202-1)*100),"NA",IF(((DE202/CW202-1)*100)&gt;100,"NM",IF(((DE202/CW202-1)*100)&lt;-50,"NM",(DE202/CW202-1)*100)))</f>
        <v>-8.8889031110200847</v>
      </c>
      <c r="DG202" s="253">
        <f>+DG195/DG188*100</f>
        <v>6.883116883116883</v>
      </c>
      <c r="DH202" s="81">
        <f>IF(ISERROR((DG202/CY202-1)*100),"NA",IF(((DG202/CY202-1)*100)&gt;100,"NM",IF(((DG202/CY202-1)*100)&lt;-50,"NM",(DG202/CY202-1)*100)))</f>
        <v>11.42551566080976</v>
      </c>
      <c r="DI202" s="253">
        <f>+DI195/DI188*100</f>
        <v>7.536041939711664</v>
      </c>
      <c r="DJ202" s="81">
        <f>IF(ISERROR((DI202/DA202-1)*100),"NA",IF(((DI202/DA202-1)*100)&gt;100,"NM",IF(((DI202/DA202-1)*100)&lt;-50,"NM",(DI202/DA202-1)*100)))</f>
        <v>7.781099825251192</v>
      </c>
      <c r="DK202" s="253">
        <f>+DK195/DK188*100</f>
        <v>7.2531900604432504</v>
      </c>
      <c r="DL202" s="81">
        <f>IF(ISERROR((DK202/DC202-1)*100),"NA",IF(((DK202/DC202-1)*100)&gt;100,"NM",IF(((DK202/DC202-1)*100)&lt;-50,"NM",(DK202/DC202-1)*100)))</f>
        <v>4.1890530557421091</v>
      </c>
      <c r="DM202" s="253">
        <f>+DM195/DM188*100</f>
        <v>8.6330935251798557</v>
      </c>
      <c r="DN202" s="81">
        <f>IF(ISERROR((DM202/DE202-1)*100),"NA",IF(((DM202/DE202-1)*100)&gt;100,"NM",IF(((DM202/DE202-1)*100)&lt;-50,"NM",(DM202/DE202-1)*100)))</f>
        <v>32.28689775452365</v>
      </c>
      <c r="DO202" s="253">
        <f>+DO195/DO188*100</f>
        <v>7.2433192686357257</v>
      </c>
      <c r="DP202" s="81">
        <f>IF(ISERROR((DO202/DG202-1)*100),"NA",IF(((DO202/DG202-1)*100)&gt;100,"NM",IF(((DO202/DG202-1)*100)&lt;-50,"NM",(DO202/DG202-1)*100)))</f>
        <v>5.2331289971605521</v>
      </c>
      <c r="DQ202" s="253">
        <f>+DQ195/DQ188*100</f>
        <v>7.8146611341632104</v>
      </c>
      <c r="DR202" s="81">
        <f>IF(ISERROR((DQ202/DI202-1)*100),"NA",IF(((DQ202/DI202-1)*100)&gt;100,"NM",IF(((DQ202/DI202-1)*100)&lt;-50,"NM",(DQ202/DI202-1)*100)))</f>
        <v>3.6971555715918258</v>
      </c>
      <c r="DS202" s="253">
        <f>+DS195/DS188*100</f>
        <v>5.4521276595744679</v>
      </c>
      <c r="DT202" s="81">
        <f>IF(ISERROR((DS202/DK202-1)*100),"NA",IF(((DS202/DK202-1)*100)&gt;100,"NM",IF(((DS202/DK202-1)*100)&lt;-50,"NM",(DS202/DK202-1)*100)))</f>
        <v>-24.83131402679275</v>
      </c>
      <c r="DU202" s="253">
        <f>+DU195/DU188*100</f>
        <v>6.4608758076094759</v>
      </c>
      <c r="DV202" s="81">
        <f>IF(ISERROR((DU202/DM202-1)*100),"NA",IF(((DU202/DM202-1)*100)&gt;100,"NM",IF(((DU202/DM202-1)*100)&lt;-50,"NM",(DU202/DM202-1)*100)))</f>
        <v>-25.16152189519023</v>
      </c>
      <c r="DW202" s="253">
        <f>+DW195/DW188*100</f>
        <v>6.8892045454545441</v>
      </c>
      <c r="DX202" s="81">
        <f>IF(ISERROR((DW202/DO202-1)*100),"NA",IF(((DW202/DO202-1)*100)&gt;100,"NM",IF(((DW202/DO202-1)*100)&lt;-50,"NM",(DW202/DO202-1)*100)))</f>
        <v>-4.8888459841130105</v>
      </c>
      <c r="DY202" s="253">
        <f>+DY195/DY188*100</f>
        <v>7.2270227808326784</v>
      </c>
      <c r="DZ202" s="81">
        <f>IF(ISERROR((DY202/DQ202-1)*100),"NA",IF(((DY202/DQ202-1)*100)&gt;100,"NM",IF(((DY202/DQ202-1)*100)&lt;-50,"NM",(DY202/DQ202-1)*100)))</f>
        <v>-7.5196907868668061</v>
      </c>
      <c r="EA202" s="253">
        <f>+EA195/EA188*100</f>
        <v>9.0237899917965549</v>
      </c>
      <c r="EB202" s="81">
        <f>IF(ISERROR((EA202/DS202-1)*100),"NA",IF(((EA202/DS202-1)*100)&gt;100,"NM",IF(((EA202/DS202-1)*100)&lt;-50,"NM",(EA202/DS202-1)*100)))</f>
        <v>65.50951399587828</v>
      </c>
      <c r="EC202" s="253">
        <f>+EC195/EC188*100</f>
        <v>7.2547403132728778</v>
      </c>
      <c r="ED202" s="81">
        <f t="shared" ref="ED202:ED203" si="662">IF(ISERROR((EC202/DU202-1)*100),"NA",IF(((EC202/DU202-1)*100)&gt;100,"NM",IF(((EC202/DU202-1)*100)&lt;-50,"NM",(EC202/DU202-1)*100)))</f>
        <v>12.287258404323541</v>
      </c>
      <c r="EE202" s="253">
        <f>+EE195/EE188*100</f>
        <v>7.0977917981072558</v>
      </c>
      <c r="EF202" s="81">
        <f t="shared" ref="EF202:EF203" si="663">IF(ISERROR((EE202/DW202-1)*100),"NA",IF(((EE202/DW202-1)*100)&gt;100,"NM",IF(((EE202/DW202-1)*100)&lt;-50,"NM",(EE202/DW202-1)*100)))</f>
        <v>3.0277407395362665</v>
      </c>
      <c r="EG202" s="253">
        <f>+EG195/EG188*100</f>
        <v>6.9961977186311781</v>
      </c>
      <c r="EH202" s="81">
        <f t="shared" ref="EH202:EH203" si="664">IF(ISERROR((EG202/DY202-1)*100),"NA",IF(((EG202/DY202-1)*100)&gt;100,"NM",IF(((EG202/DY202-1)*100)&lt;-50,"NM",(EG202/DY202-1)*100)))</f>
        <v>-3.1939163498098888</v>
      </c>
      <c r="EI202" s="253">
        <f>+EI195/EI188*100</f>
        <v>6.3718140929535236</v>
      </c>
      <c r="EJ202" s="81">
        <f t="shared" ref="EJ202:EJ203" si="665">IF(ISERROR((EI202/EA202-1)*100),"NA",IF(((EI202/EA202-1)*100)&gt;100,"NM",IF(((EI202/EA202-1)*100)&lt;-50,"NM",(EI202/EA202-1)*100)))</f>
        <v>-29.388714733542322</v>
      </c>
      <c r="EK202" s="186">
        <v>7</v>
      </c>
      <c r="EL202" s="81">
        <f t="shared" ref="EL202:EL203" si="666">IF(ISERROR((EK202/EC202-1)*100),"NA",IF(((EK202/EC202-1)*100)&gt;100,"NM",IF(((EK202/EC202-1)*100)&lt;-50,"NM",(EK202/EC202-1)*100)))</f>
        <v>-3.5113636363636402</v>
      </c>
      <c r="EM202" s="186">
        <f t="shared" ref="EM202:EM203" si="667">EK202</f>
        <v>7</v>
      </c>
      <c r="EN202" s="81">
        <f t="shared" ref="EN202:EN203" si="668">IF(ISERROR((EM202/EE202-1)*100),"NA",IF(((EM202/EE202-1)*100)&gt;100,"NM",IF(((EM202/EE202-1)*100)&lt;-50,"NM",(EM202/EE202-1)*100)))</f>
        <v>-1.3777777777777778</v>
      </c>
      <c r="EO202" s="186">
        <f t="shared" ref="EO202:EO203" si="669">EM202</f>
        <v>7</v>
      </c>
      <c r="EP202" s="81">
        <f t="shared" ref="EP202:EP203" si="670">IF(ISERROR((EO202/EG202-1)*100),"NA",IF(((EO202/EG202-1)*100)&gt;100,"NM",IF(((EO202/EG202-1)*100)&lt;-50,"NM",(EO202/EG202-1)*100)))</f>
        <v>5.4347826086975637E-2</v>
      </c>
      <c r="EQ202" s="186">
        <f t="shared" ref="EQ202:EQ203" si="671">EO202</f>
        <v>7</v>
      </c>
      <c r="ER202" s="81">
        <f t="shared" ref="ER202:ER203" si="672">IF(ISERROR((EQ202/EI202-1)*100),"NA",IF(((EQ202/EI202-1)*100)&gt;100,"NM",IF(((EQ202/EI202-1)*100)&lt;-50,"NM",(EQ202/EI202-1)*100)))</f>
        <v>9.8588235294117652</v>
      </c>
      <c r="ES202" s="186"/>
      <c r="ET202" s="478"/>
      <c r="EU202" s="186"/>
      <c r="EV202" s="185"/>
      <c r="EW202" s="258"/>
      <c r="EX202" s="185"/>
      <c r="EY202" s="258"/>
      <c r="EZ202" s="185"/>
      <c r="FA202" s="258"/>
      <c r="FB202" s="253"/>
      <c r="FC202" s="258"/>
      <c r="FD202" s="253">
        <f>+FD195/FD188*100</f>
        <v>9.2096876991714449</v>
      </c>
      <c r="FE202" s="258" t="str">
        <f>IF(ISERROR((FD202/FB202-1)*100),"NA",IF(((FD202/FB202-1)*100)&gt;100,"NM",IF(((FD202/FB202-1)*100)&lt;-50,"NM",(FD202/FB202-1)*100)))</f>
        <v>NA</v>
      </c>
      <c r="FF202" s="253">
        <f>+FF195/FF188*100</f>
        <v>7.1488469601677149</v>
      </c>
      <c r="FG202" s="258">
        <f>IF(ISERROR((FF202/FD202-1)*100),"NA",IF(((FF202/FD202-1)*100)&gt;100,"NM",IF(((FF202/FD202-1)*100)&lt;-50,"NM",(FF202/FD202-1)*100)))</f>
        <v>-22.376879719701403</v>
      </c>
      <c r="FH202" s="253">
        <f>+FH195/FH188*100</f>
        <v>7.4192080109239873</v>
      </c>
      <c r="FI202" s="258">
        <f>IF(ISERROR((FH202/FF202-1)*100),"NA",IF(((FH202/FF202-1)*100)&gt;100,"NM",IF(((FH202/FF202-1)*100)&lt;-50,"NM",(FH202/FF202-1)*100)))</f>
        <v>3.7818833199630975</v>
      </c>
      <c r="FJ202" s="253">
        <f>+FJ195/FJ188*100</f>
        <v>7.1819686743919515</v>
      </c>
      <c r="FK202" s="258">
        <f>IF(ISERROR((FJ202/FH202-1)*100),"NA",IF(((FJ202/FH202-1)*100)&gt;100,"NM",IF(((FJ202/FH202-1)*100)&lt;-50,"NM",(FJ202/FH202-1)*100)))</f>
        <v>-3.1976369469992827</v>
      </c>
      <c r="FL202" s="253">
        <f>+FL195/FL188*100</f>
        <v>5.897009966777409</v>
      </c>
      <c r="FM202" s="258">
        <f>IF(ISERROR((FL202/FJ202-1)*100),"NA",IF(((FL202/FJ202-1)*100)&gt;100,"NM",IF(((FL202/FJ202-1)*100)&lt;-50,"NM",(FL202/FJ202-1)*100)))</f>
        <v>-17.891455196625895</v>
      </c>
      <c r="FN202" s="253">
        <f>+FN195/FN188*100</f>
        <v>6.9193431787669111</v>
      </c>
      <c r="FO202" s="258">
        <f>IF(ISERROR((FN202/FL202-1)*100),"NA",IF(((FN202/FL202-1)*100)&gt;100,"NM",IF(((FN202/FL202-1)*100)&lt;-50,"NM",(FN202/FL202-1)*100)))</f>
        <v>17.336467425850156</v>
      </c>
      <c r="FP202" s="253">
        <f>+FP195/FP188*100</f>
        <v>6.6344315753963796</v>
      </c>
      <c r="FQ202" s="258">
        <f>IF(ISERROR((FP202/FN202-1)*100),"NA",IF(((FP202/FN202-1)*100)&gt;100,"NM",IF(((FP202/FN202-1)*100)&lt;-50,"NM",(FP202/FN202-1)*100)))</f>
        <v>-4.1176105305027688</v>
      </c>
      <c r="FR202" s="253">
        <f>+FR195/FR188*100</f>
        <v>6.8065879609386384</v>
      </c>
      <c r="FS202" s="258">
        <f>IF(ISERROR((FR202/FP202-1)*100),"NA",IF(((FR202/FP202-1)*100)&gt;100,"NM",IF(((FR202/FP202-1)*100)&lt;-50,"NM",(FR202/FP202-1)*100)))</f>
        <v>2.5948927739445793</v>
      </c>
      <c r="FT202" s="253">
        <f>+FT195/FT188*100</f>
        <v>6.7783584383645863</v>
      </c>
      <c r="FU202" s="258">
        <f>IF(ISERROR((FT202/FR202-1)*100),"NA",IF(((FT202/FR202-1)*100)&gt;100,"NM",IF(((FT202/FR202-1)*100)&lt;-50,"NM",(FT202/FR202-1)*100)))</f>
        <v>-0.41473823207831551</v>
      </c>
      <c r="FV202" s="253">
        <f>+FV195/FV188*100</f>
        <v>6.6463059918557308</v>
      </c>
      <c r="FW202" s="258">
        <f>IF(ISERROR((FV202/FT202-1)*100),"NA",IF(((FV202/FT202-1)*100)&gt;100,"NM",IF(((FV202/FT202-1)*100)&lt;-50,"NM",(FV202/FT202-1)*100)))</f>
        <v>-1.9481478843233924</v>
      </c>
      <c r="FX202" s="253">
        <f>+FX195/FX188*100</f>
        <v>6.1330262021307238</v>
      </c>
      <c r="FY202" s="258">
        <f>IF(ISERROR((FX202/FV202-1)*100),"NA",IF(((FX202/FV202-1)*100)&gt;100,"NM",IF(((FX202/FV202-1)*100)&lt;-50,"NM",(FX202/FV202-1)*100)))</f>
        <v>-7.7227830068909098</v>
      </c>
      <c r="FZ202" s="253">
        <f>+FZ195/FZ188*100</f>
        <v>6.8271649299317279</v>
      </c>
      <c r="GA202" s="79">
        <f>IF(ISERROR((FZ202/FX202-1)*100),"NA",IF(((FZ202/FX202-1)*100)&gt;100,"NM",IF(((FZ202/FX202-1)*100)&lt;-50,"NM",(FZ202/FX202-1)*100)))</f>
        <v>11.318046017149697</v>
      </c>
      <c r="GB202" s="253">
        <f>+GB195/GB188*100</f>
        <v>7.0487483530961796</v>
      </c>
      <c r="GC202" s="79">
        <f>IF(ISERROR((GB202/FZ202-1)*100),"NA",IF(((GB202/FZ202-1)*100)&gt;100,"NM",IF(((GB202/FZ202-1)*100)&lt;-50,"NM",(GB202/FZ202-1)*100)))</f>
        <v>3.2456140350877405</v>
      </c>
      <c r="GD202" s="253">
        <f>+GD195/GD188*100</f>
        <v>7.2544255466851792</v>
      </c>
      <c r="GE202" s="79">
        <f>IF(ISERROR((GD202/GB202-1)*100),"NA",IF(((GD202/GB202-1)*100)&gt;100,"NM",IF(((GD202/GB202-1)*100)&lt;-50,"NM",(GD202/GB202-1)*100)))</f>
        <v>2.9179250454962835</v>
      </c>
      <c r="GF202" s="253">
        <f>+GF195/GF188*100</f>
        <v>7.3493293028528237</v>
      </c>
      <c r="GG202" s="79">
        <f>IF(ISERROR((GF202/GD202-1)*100),"NA",IF(((GF202/GD202-1)*100)&gt;100,"NM",IF(((GF202/GD202-1)*100)&lt;-50,"NM",(GF202/GD202-1)*100)))</f>
        <v>1.3082187632487363</v>
      </c>
      <c r="GH202" s="253">
        <f>+GH195/GH188*100</f>
        <v>6.9200779727095512</v>
      </c>
      <c r="GI202" s="79">
        <f>IF(ISERROR((GH202/GF202-1)*100),"NA",IF(((GH202/GF202-1)*100)&gt;100,"NM",IF(((GH202/GF202-1)*100)&lt;-50,"NM",(GH202/GF202-1)*100)))</f>
        <v>-5.8406871219751739</v>
      </c>
      <c r="GJ202" s="253">
        <f>+GJ195/GJ188*100</f>
        <v>7.0000000000000009</v>
      </c>
      <c r="GK202" s="79">
        <f>IF(ISERROR((GJ202/GH202-1)*100),"NA",IF(((GJ202/GH202-1)*100)&gt;100,"NM",IF(((GJ202/GH202-1)*100)&lt;-50,"NM",(GJ202/GH202-1)*100)))</f>
        <v>1.1549295774648138</v>
      </c>
      <c r="GL202" s="186">
        <f>GJ202</f>
        <v>7.0000000000000009</v>
      </c>
      <c r="GM202" s="79">
        <f>IF(ISERROR((GL202/GJ202-1)*100),"NA",IF(((GL202/GJ202-1)*100)&gt;100,"NM",IF(((GL202/GJ202-1)*100)&lt;-50,"NM",(GL202/GJ202-1)*100)))</f>
        <v>0</v>
      </c>
      <c r="GN202" s="186">
        <f>GL202</f>
        <v>7.0000000000000009</v>
      </c>
      <c r="GO202" s="79">
        <f>IF(ISERROR((GN202/GL202-1)*100),"NA",IF(((GN202/GL202-1)*100)&gt;100,"NM",IF(((GN202/GL202-1)*100)&lt;-50,"NM",(GN202/GL202-1)*100)))</f>
        <v>0</v>
      </c>
      <c r="GP202" s="186">
        <f>GN202</f>
        <v>7.0000000000000009</v>
      </c>
      <c r="GQ202" s="79">
        <f>IF(ISERROR((GP202/GN202-1)*100),"NA",IF(((GP202/GN202-1)*100)&gt;100,"NM",IF(((GP202/GN202-1)*100)&lt;-50,"NM",(GP202/GN202-1)*100)))</f>
        <v>0</v>
      </c>
      <c r="GR202" s="186">
        <f>GP202</f>
        <v>7.0000000000000009</v>
      </c>
      <c r="GS202" s="79">
        <f>IF(ISERROR((GR202/GP202-1)*100),"NA",IF(((GR202/GP202-1)*100)&gt;100,"NM",IF(((GR202/GP202-1)*100)&lt;-50,"NM",(GR202/GP202-1)*100)))</f>
        <v>0</v>
      </c>
      <c r="GT202" s="79">
        <f>IF(ISERROR(((GR202/GH202)^0.2-1)*100),"NA",(IF(OR(((GR202/GH202)^0.2-1)*100&gt;99,((GR202/GH202)^0.2-1)*100&lt;-50),"NM",(((GR202/GH202)^0.2-1)*100))))</f>
        <v>0.22992616085089068</v>
      </c>
    </row>
    <row r="203" spans="1:286" ht="12.75" customHeight="1" x14ac:dyDescent="0.2">
      <c r="A203" s="1"/>
      <c r="B203" s="10" t="s">
        <v>502</v>
      </c>
      <c r="C203" s="79"/>
      <c r="D203" s="79"/>
      <c r="E203" s="185"/>
      <c r="F203" s="185"/>
      <c r="G203" s="185"/>
      <c r="H203" s="185"/>
      <c r="I203" s="185"/>
      <c r="J203" s="185"/>
      <c r="K203" s="185"/>
      <c r="L203" s="79"/>
      <c r="M203" s="185"/>
      <c r="N203" s="79"/>
      <c r="O203" s="185"/>
      <c r="P203" s="79"/>
      <c r="Q203" s="185"/>
      <c r="R203" s="79"/>
      <c r="S203" s="185"/>
      <c r="T203" s="79"/>
      <c r="U203" s="185"/>
      <c r="V203" s="79"/>
      <c r="W203" s="185"/>
      <c r="X203" s="79"/>
      <c r="Y203" s="185"/>
      <c r="Z203" s="79"/>
      <c r="AA203" s="252"/>
      <c r="AB203" s="79"/>
      <c r="AC203" s="185">
        <f>AC197/AC191*100</f>
        <v>18.86178861788618</v>
      </c>
      <c r="AD203" s="79" t="str">
        <f>IF(ISERROR((AC203/U203-1)*100),"NA",IF(((AC203/U203-1)*100)&gt;100,"NM",IF(((AC203/U203-1)*100)&lt;-50,"NM",(AC203/U203-1)*100)))</f>
        <v>NA</v>
      </c>
      <c r="AE203" s="185">
        <f>AE197/AE191*100</f>
        <v>20.305343511450381</v>
      </c>
      <c r="AF203" s="79" t="str">
        <f>IF(ISERROR((AE203/W203-1)*100),"NA",IF(((AE203/W203-1)*100)&gt;100,"NM",IF(((AE203/W203-1)*100)&lt;-50,"NM",(AE203/W203-1)*100)))</f>
        <v>NA</v>
      </c>
      <c r="AG203" s="185">
        <f>AG197/AG191*100</f>
        <v>19.378338999514334</v>
      </c>
      <c r="AH203" s="79" t="str">
        <f>IF(ISERROR((AG203/Y203-1)*100),"NA",IF(((AG203/Y203-1)*100)&gt;100,"NM",IF(((AG203/Y203-1)*100)&lt;-50,"NM",(AG203/Y203-1)*100)))</f>
        <v>NA</v>
      </c>
      <c r="AI203" s="185">
        <f>AI197/AI191*100</f>
        <v>19.078641228478354</v>
      </c>
      <c r="AJ203" s="79" t="str">
        <f>IF(ISERROR((AI203/AA203-1)*100),"NA",IF(((AI203/AA203-1)*100)&gt;100,"NM",IF(((AI203/AA203-1)*100)&lt;-50,"NM",(AI203/AA203-1)*100)))</f>
        <v>NA</v>
      </c>
      <c r="AK203" s="185">
        <f>AK197/AK191*100</f>
        <v>17.659947414548636</v>
      </c>
      <c r="AL203" s="79">
        <f>IF(ISERROR((AK203/AC203-1)*100),"NA",IF(((AK203/AC203-1)*100)&gt;100,"NM",IF(((AK203/AC203-1)*100)&lt;-50,"NM",(AK203/AC203-1)*100)))</f>
        <v>-6.3718305176947325</v>
      </c>
      <c r="AM203" s="185">
        <f>AM197/AM191*100</f>
        <v>18.744625967325881</v>
      </c>
      <c r="AN203" s="79">
        <f>IF(ISERROR((AM203/AE203-1)*100),"NA",IF(((AM203/AE203-1)*100)&gt;100,"NM",IF(((AM203/AE203-1)*100)&lt;-50,"NM",(AM203/AE203-1)*100)))</f>
        <v>-7.686240536853739</v>
      </c>
      <c r="AO203" s="185">
        <f>AO197/AO191*100</f>
        <v>16.981907894736842</v>
      </c>
      <c r="AP203" s="79">
        <f>IF(ISERROR((AO203/AG203-1)*100),"NA",IF(((AO203/AG203-1)*100)&gt;100,"NM",IF(((AO203/AG203-1)*100)&lt;-50,"NM",(AO203/AG203-1)*100)))</f>
        <v>-12.366545475530955</v>
      </c>
      <c r="AQ203" s="185">
        <f>AQ197/AQ191*100</f>
        <v>18.228062738448497</v>
      </c>
      <c r="AR203" s="79">
        <f>IF(ISERROR((AQ203/AI203-1)*100),"NA",IF(((AQ203/AI203-1)*100)&gt;100,"NM",IF(((AQ203/AI203-1)*100)&lt;-50,"NM",(AQ203/AI203-1)*100)))</f>
        <v>-4.4582760367662511</v>
      </c>
      <c r="AS203" s="185">
        <f>AS197/AS191*100</f>
        <v>16.122004357298476</v>
      </c>
      <c r="AT203" s="81">
        <f>IF(ISERROR((AS203/AK203-1)*100),"NA",IF(((AS203/AK203-1)*100)&gt;100,"NM",IF(((AS203/AK203-1)*100)&lt;-50,"NM",(AS203/AK203-1)*100)))</f>
        <v>-8.7086502646274599</v>
      </c>
      <c r="AU203" s="185">
        <f>AU197/AU191*100</f>
        <v>16.091476091476089</v>
      </c>
      <c r="AV203" s="81">
        <f>IF(ISERROR((AU203/AM203-1)*100),"NA",IF(((AU203/AM203-1)*100)&gt;100,"NM",IF(((AU203/AM203-1)*100)&lt;-50,"NM",(AU203/AM203-1)*100)))</f>
        <v>-14.154189475290401</v>
      </c>
      <c r="AW203" s="185">
        <f>AW197/AW191*100</f>
        <v>14.802259887005647</v>
      </c>
      <c r="AX203" s="81">
        <f>IF(ISERROR((AW203/AO203-1)*100),"NA",IF(((AW203/AO203-1)*100)&gt;100,"NM",IF(((AW203/AO203-1)*100)&lt;-50,"NM",(AW203/AO203-1)*100)))</f>
        <v>-12.835118534630185</v>
      </c>
      <c r="AY203" s="185">
        <f>AY197/AY191*100</f>
        <v>14.397163120567377</v>
      </c>
      <c r="AZ203" s="81">
        <f>IF(ISERROR((AY203/AQ203-1)*100),"NA",IF(((AY203/AQ203-1)*100)&gt;100,"NM",IF(((AY203/AQ203-1)*100)&lt;-50,"NM",(AY203/AQ203-1)*100)))</f>
        <v>-21.016493485073397</v>
      </c>
      <c r="BA203" s="185">
        <f>BA197/BA191*100</f>
        <v>15.312616997379259</v>
      </c>
      <c r="BB203" s="81">
        <f>IF(ISERROR((BA203/AS203-1)*100),"NA",IF(((BA203/AS203-1)*100)&gt;100,"NM",IF(((BA203/AS203-1)*100)&lt;-50,"NM",(BA203/AS203-1)*100)))</f>
        <v>-5.0203891649043371</v>
      </c>
      <c r="BC203" s="185">
        <f>BC197/BC191*100</f>
        <v>15.701634877384196</v>
      </c>
      <c r="BD203" s="81">
        <f>IF(ISERROR((BC203/AU203-1)*100),"NA",IF(((BC203/AU203-1)*100)&gt;100,"NM",IF(((BC203/AU203-1)*100)&lt;-50,"NM",(BC203/AU203-1)*100)))</f>
        <v>-2.4226566405452288</v>
      </c>
      <c r="BE203" s="185">
        <f>BE197/BE191*100</f>
        <v>15.326719124187477</v>
      </c>
      <c r="BF203" s="81">
        <f>IF(ISERROR((BE203/AW203-1)*100),"NA",IF(((BE203/AW203-1)*100)&gt;100,"NM",IF(((BE203/AW203-1)*100)&lt;-50,"NM",(BE203/AW203-1)*100)))</f>
        <v>3.5431024801978683</v>
      </c>
      <c r="BG203" s="185">
        <f>BG197/BG191*100</f>
        <v>16.906474820143885</v>
      </c>
      <c r="BH203" s="81">
        <f>IF(ISERROR((BG203/AY203-1)*100),"NA",IF(((BG203/AY203-1)*100)&gt;100,"NM",IF(((BG203/AY203-1)*100)&lt;-50,"NM",(BG203/AY203-1)*100)))</f>
        <v>17.429209341886075</v>
      </c>
      <c r="BI203" s="185">
        <f>BI197/BI191*100</f>
        <v>15.990116484292269</v>
      </c>
      <c r="BJ203" s="81">
        <f>IF(ISERROR((BI203/BA203-1)*100),"NA",IF(((BI203/BA203-1)*100)&gt;100,"NM",IF(((BI203/BA203-1)*100)&lt;-50,"NM",(BI203/BA203-1)*100)))</f>
        <v>4.424452639473464</v>
      </c>
      <c r="BK203" s="185">
        <f>BK197/BK191*100</f>
        <v>16.939331970006819</v>
      </c>
      <c r="BL203" s="81">
        <f>IF(ISERROR((BK203/BC203-1)*100),"NA",IF(((BK203/BC203-1)*100)&gt;100,"NM",IF(((BK203/BC203-1)*100)&lt;-50,"NM",(BK203/BC203-1)*100)))</f>
        <v>7.8826001386985256</v>
      </c>
      <c r="BM203" s="185">
        <f>BM197/BM191*100</f>
        <v>17.207074428887253</v>
      </c>
      <c r="BN203" s="81">
        <f>IF(ISERROR((BM203/BE203-1)*100),"NA",IF(((BM203/BE203-1)*100)&gt;100,"NM",IF(((BM203/BE203-1)*100)&lt;-50,"NM",(BM203/BE203-1)*100)))</f>
        <v>12.26847891883358</v>
      </c>
      <c r="BO203" s="185">
        <f>BO197/BO191*100</f>
        <v>18.702798756108397</v>
      </c>
      <c r="BP203" s="81">
        <f>IF(ISERROR((BO203/BG203-1)*100),"NA",IF(((BO203/BG203-1)*100)&gt;100,"NM",IF(((BO203/BG203-1)*100)&lt;-50,"NM",(BO203/BG203-1)*100)))</f>
        <v>10.625064982939026</v>
      </c>
      <c r="BQ203" s="185">
        <f>BQ197/BQ191*100</f>
        <v>15.643044619422572</v>
      </c>
      <c r="BR203" s="81">
        <f>IF(ISERROR((BQ203/BI203-1)*100),"NA",IF(((BQ203/BI203-1)*100)&gt;100,"NM",IF(((BQ203/BI203-1)*100)&lt;-50,"NM",(BQ203/BI203-1)*100)))</f>
        <v>-2.170539940785543</v>
      </c>
      <c r="BS203" s="185">
        <f>BS197/BS191*100</f>
        <v>16.514642342774842</v>
      </c>
      <c r="BT203" s="81">
        <f>IF(ISERROR((BS203/BK203-1)*100),"NA",IF(((BS203/BK203-1)*100)&gt;100,"NM",IF(((BS203/BK203-1)*100)&lt;-50,"NM",(BS203/BK203-1)*100)))</f>
        <v>-2.5071214613654358</v>
      </c>
      <c r="BU203" s="185">
        <f>BU197/BU191*100</f>
        <v>19.709543568464731</v>
      </c>
      <c r="BV203" s="81">
        <f>IF(ISERROR((BU203/BM203-1)*100),"NA",IF(((BU203/BM203-1)*100)&gt;100,"NM",IF(((BU203/BM203-1)*100)&lt;-50,"NM",(BU203/BM203-1)*100)))</f>
        <v>14.543257483540195</v>
      </c>
      <c r="BW203" s="185">
        <f>BW197/BW191*100</f>
        <v>17.841011743450768</v>
      </c>
      <c r="BX203" s="81">
        <f>IF(ISERROR((BW203/BO203-1)*100),"NA",IF(((BW203/BO203-1)*100)&gt;100,"NM",IF(((BW203/BO203-1)*100)&lt;-50,"NM",(BW203/BO203-1)*100)))</f>
        <v>-4.6077970676777324</v>
      </c>
      <c r="BY203" s="185">
        <f>BY197/BY191*100</f>
        <v>14.750121300339639</v>
      </c>
      <c r="BZ203" s="81">
        <f>IF(ISERROR((BY203/BQ203-1)*100),"NA",IF(((BY203/BQ203-1)*100)&gt;100,"NM",IF(((BY203/BQ203-1)*100)&lt;-50,"NM",(BY203/BQ203-1)*100)))</f>
        <v>-5.7081171907818362</v>
      </c>
      <c r="CA203" s="185">
        <f>CA197/CA191*100</f>
        <v>16.955193482688387</v>
      </c>
      <c r="CB203" s="81">
        <f>IF(ISERROR((CA203/BS203-1)*100),"NA",IF(((CA203/BS203-1)*100)&gt;100,"NM",IF(((CA203/BS203-1)*100)&lt;-50,"NM",(CA203/BS203-1)*100)))</f>
        <v>2.6676396059299723</v>
      </c>
      <c r="CC203" s="185">
        <f>CC197/CC191*100</f>
        <v>16.699900299102691</v>
      </c>
      <c r="CD203" s="81">
        <f>IF(ISERROR((CC203/BU203-1)*100),"NA",IF(((CC203/BU203-1)*100)&gt;100,"NM",IF(((CC203/BU203-1)*100)&lt;-50,"NM",(CC203/BU203-1)*100)))</f>
        <v>-15.269979535078981</v>
      </c>
      <c r="CE203" s="185">
        <f>CE197/CE191*100</f>
        <v>17.198905109489054</v>
      </c>
      <c r="CF203" s="81">
        <f>IF(ISERROR((CE203/BW203-1)*100),"NA",IF(((CE203/BW203-1)*100)&gt;100,"NM",IF(((CE203/BW203-1)*100)&lt;-50,"NM",(CE203/BW203-1)*100)))</f>
        <v>-3.5990483230157855</v>
      </c>
      <c r="CG203" s="185">
        <f>CG197/CG191*100</f>
        <v>17.067421027817069</v>
      </c>
      <c r="CH203" s="81">
        <f>IF(ISERROR((CG203/BY203-1)*100),"NA",IF(((CG203/BY203-1)*100)&gt;100,"NM",IF(((CG203/BY203-1)*100)&lt;-50,"NM",(CG203/BY203-1)*100)))</f>
        <v>15.710377428720346</v>
      </c>
      <c r="CI203" s="185">
        <f>CI197/CI191*100</f>
        <v>16.703393565447332</v>
      </c>
      <c r="CJ203" s="81">
        <f>IF(ISERROR((CI203/CA203-1)*100),"NA",IF(((CI203/CA203-1)*100)&gt;100,"NM",IF(((CI203/CA203-1)*100)&lt;-50,"NM",(CI203/CA203-1)*100)))</f>
        <v>-1.4850902025868806</v>
      </c>
      <c r="CK203" s="185">
        <f>CK197/CK191*100</f>
        <v>15.767824497257768</v>
      </c>
      <c r="CL203" s="81">
        <f>IF(ISERROR((CK203/CC203-1)*100),"NA",IF(((CK203/CC203-1)*100)&gt;100,"NM",IF(((CK203/CC203-1)*100)&lt;-50,"NM",(CK203/CC203-1)*100)))</f>
        <v>-5.5813255477639263</v>
      </c>
      <c r="CM203" s="185">
        <f>CM197/CM191*100</f>
        <v>17.772727272727273</v>
      </c>
      <c r="CN203" s="81">
        <f>IF(ISERROR((CM203/CE203-1)*100),"NA",IF(((CM203/CE203-1)*100)&gt;100,"NM",IF(((CM203/CE203-1)*100)&lt;-50,"NM",(CM203/CE203-1)*100)))</f>
        <v>3.3363877501808359</v>
      </c>
      <c r="CO203" s="185">
        <f>CO197/CO191*100</f>
        <v>16.401350699469369</v>
      </c>
      <c r="CP203" s="81">
        <f>IF(ISERROR((CO203/CG203-1)*100),"NA",IF(((CO203/CG203-1)*100)&gt;100,"NM",IF(((CO203/CG203-1)*100)&lt;-50,"NM",(CO203/CG203-1)*100)))</f>
        <v>-3.9025833326670534</v>
      </c>
      <c r="CQ203" s="185">
        <f>CQ197/CQ191*100</f>
        <v>15.242805755395683</v>
      </c>
      <c r="CR203" s="81">
        <f>IF(ISERROR((CQ203/CI203-1)*100),"NA",IF(((CQ203/CI203-1)*100)&gt;100,"NM",IF(((CQ203/CI203-1)*100)&lt;-50,"NM",(CQ203/CI203-1)*100)))</f>
        <v>-8.7442578918395579</v>
      </c>
      <c r="CS203" s="185">
        <f>CS197/CS191*100</f>
        <v>16.285714285714288</v>
      </c>
      <c r="CT203" s="81">
        <f>IF(ISERROR((CS203/CK203-1)*100),"NA",IF(((CS203/CK203-1)*100)&gt;100,"NM",IF(((CS203/CK203-1)*100)&lt;-50,"NM",(CS203/CK203-1)*100)))</f>
        <v>3.2844720496894686</v>
      </c>
      <c r="CU203" s="185">
        <f>CU197/CU191*100</f>
        <v>19.574844995571304</v>
      </c>
      <c r="CV203" s="81">
        <f>IF(ISERROR((CU203/CM203-1)*100),"NA",IF(((CU203/CM203-1)*100)&gt;100,"NM",IF(((CU203/CM203-1)*100)&lt;-50,"NM",(CU203/CM203-1)*100)))</f>
        <v>10.139792813956184</v>
      </c>
      <c r="CW203" s="185">
        <f>CW197/CW191*100</f>
        <v>17.916428162564394</v>
      </c>
      <c r="CX203" s="81">
        <f>IF(ISERROR((CW203/CO203-1)*100),"NA",IF(((CW203/CO203-1)*100)&gt;100,"NM",IF(((CW203/CO203-1)*100)&lt;-50,"NM",(CW203/CO203-1)*100)))</f>
        <v>9.2375164146940811</v>
      </c>
      <c r="CY203" s="185">
        <f>CY197/CY191*100</f>
        <v>13.121924548933844</v>
      </c>
      <c r="CZ203" s="81">
        <f>IF(ISERROR((CY203/CQ203-1)*100),"NA",IF(((CY203/CQ203-1)*100)&gt;100,"NM",IF(((CY203/CQ203-1)*100)&lt;-50,"NM",(CY203/CQ203-1)*100)))</f>
        <v>-13.91398172026882</v>
      </c>
      <c r="DA203" s="185">
        <f>DA197/DA191*100</f>
        <v>17.113893858079901</v>
      </c>
      <c r="DB203" s="81">
        <f>IF(ISERROR((DA203/CS203-1)*100),"NA",IF(((DA203/CS203-1)*100)&gt;100,"NM",IF(((DA203/CS203-1)*100)&lt;-50,"NM",(DA203/CS203-1)*100)))</f>
        <v>5.0853131636485083</v>
      </c>
      <c r="DC203" s="185">
        <f>DC197/DC191*100</f>
        <v>18.343524180100054</v>
      </c>
      <c r="DD203" s="81">
        <f>IF(ISERROR((DC203/CU203-1)*100),"NA",IF(((DC203/CU203-1)*100)&gt;100,"NM",IF(((DC203/CU203-1)*100)&lt;-50,"NM",(DC203/CU203-1)*100)))</f>
        <v>-6.2903221749639915</v>
      </c>
      <c r="DE203" s="185">
        <f>DE197/DE191*100</f>
        <v>16.954643628509718</v>
      </c>
      <c r="DF203" s="81">
        <f>IF(ISERROR((DE203/CW203-1)*100),"NA",IF(((DE203/CW203-1)*100)&gt;100,"NM",IF(((DE203/CW203-1)*100)&lt;-50,"NM",(DE203/CW203-1)*100)))</f>
        <v>-5.3681711852828107</v>
      </c>
      <c r="DG203" s="185">
        <f>DG197/DG191*100</f>
        <v>16.926952141057935</v>
      </c>
      <c r="DH203" s="81">
        <f>IF(ISERROR((DG203/CY203-1)*100),"NA",IF(((DG203/CY203-1)*100)&gt;100,"NM",IF(((DG203/CY203-1)*100)&lt;-50,"NM",(DG203/CY203-1)*100)))</f>
        <v>28.99748110831235</v>
      </c>
      <c r="DI203" s="185">
        <f>DI197/DI191*100</f>
        <v>18.021390374331553</v>
      </c>
      <c r="DJ203" s="81">
        <f>IF(ISERROR((DI203/DA203-1)*100),"NA",IF(((DI203/DA203-1)*100)&gt;100,"NM",IF(((DI203/DA203-1)*100)&lt;-50,"NM",(DI203/DA203-1)*100)))</f>
        <v>5.3026887029756775</v>
      </c>
      <c r="DK203" s="185">
        <f>DK197/DK191*100</f>
        <v>19.146666666666665</v>
      </c>
      <c r="DL203" s="81">
        <f>IF(ISERROR((DK203/DC203-1)*100),"NA",IF(((DK203/DC203-1)*100)&gt;100,"NM",IF(((DK203/DC203-1)*100)&lt;-50,"NM",(DK203/DC203-1)*100)))</f>
        <v>4.3783434343434235</v>
      </c>
      <c r="DM203" s="185">
        <f>DM197/DM191*100</f>
        <v>16.123076923076923</v>
      </c>
      <c r="DN203" s="81">
        <f>IF(ISERROR((DM203/DE203-1)*100),"NA",IF(((DM203/DE203-1)*100)&gt;100,"NM",IF(((DM203/DE203-1)*100)&lt;-50,"NM",(DM203/DE203-1)*100)))</f>
        <v>-4.9046545810876978</v>
      </c>
      <c r="DO203" s="185">
        <f>DO197/DO191*100</f>
        <v>17.367256637168143</v>
      </c>
      <c r="DP203" s="81">
        <f>IF(ISERROR((DO203/DG203-1)*100),"NA",IF(((DO203/DG203-1)*100)&gt;100,"NM",IF(((DO203/DG203-1)*100)&lt;-50,"NM",(DO203/DG203-1)*100)))</f>
        <v>2.6012036451748877</v>
      </c>
      <c r="DQ203" s="185">
        <f>DQ197/DQ191*100</f>
        <v>17.381228273464657</v>
      </c>
      <c r="DR203" s="81">
        <f>IF(ISERROR((DQ203/DI203-1)*100),"NA",IF(((DQ203/DI203-1)*100)&gt;100,"NM",IF(((DQ203/DI203-1)*100)&lt;-50,"NM",(DQ203/DI203-1)*100)))</f>
        <v>-3.5522348030299522</v>
      </c>
      <c r="DS203" s="185">
        <f>DS197/DS191*100</f>
        <v>18.682505399568036</v>
      </c>
      <c r="DT203" s="81">
        <f>IF(ISERROR((DS203/DK203-1)*100),"NA",IF(((DS203/DK203-1)*100)&gt;100,"NM",IF(((DS203/DK203-1)*100)&lt;-50,"NM",(DS203/DK203-1)*100)))</f>
        <v>-2.4242406011418582</v>
      </c>
      <c r="DU203" s="185">
        <f>DU197/DU191*100</f>
        <v>16.917519566526188</v>
      </c>
      <c r="DV203" s="81">
        <f>IF(ISERROR((DU203/DM203-1)*100),"NA",IF(((DU203/DM203-1)*100)&gt;100,"NM",IF(((DU203/DM203-1)*100)&lt;-50,"NM",(DU203/DM203-1)*100)))</f>
        <v>4.9273637236834311</v>
      </c>
      <c r="DW203" s="185">
        <f>DW197/DW191*100</f>
        <v>16.685714285714283</v>
      </c>
      <c r="DX203" s="81">
        <f>IF(ISERROR((DW203/DO203-1)*100),"NA",IF(((DW203/DO203-1)*100)&gt;100,"NM",IF(((DW203/DO203-1)*100)&lt;-50,"NM",(DW203/DO203-1)*100)))</f>
        <v>-3.924294813466811</v>
      </c>
      <c r="DY203" s="185">
        <f>DY197/DY191*100</f>
        <v>17.265725288831835</v>
      </c>
      <c r="DZ203" s="81">
        <f>IF(ISERROR((DY203/DQ203-1)*100),"NA",IF(((DY203/DQ203-1)*100)&gt;100,"NM",IF(((DY203/DQ203-1)*100)&lt;-50,"NM",(DY203/DQ203-1)*100)))</f>
        <v>-0.66452717158750341</v>
      </c>
      <c r="EA203" s="185">
        <f>EA197/EA191*100</f>
        <v>17.916390179163898</v>
      </c>
      <c r="EB203" s="81">
        <f>IF(ISERROR((EA203/DS203-1)*100),"NA",IF(((EA203/DS203-1)*100)&gt;100,"NM",IF(((EA203/DS203-1)*100)&lt;-50,"NM",(EA203/DS203-1)*100)))</f>
        <v>-4.100709214417531</v>
      </c>
      <c r="EC203" s="185">
        <f>EC197/EC191*100</f>
        <v>17.173766058147397</v>
      </c>
      <c r="ED203" s="81">
        <f t="shared" si="662"/>
        <v>1.5146812191559667</v>
      </c>
      <c r="EE203" s="185">
        <f>EE197/EE191*100</f>
        <v>16.25</v>
      </c>
      <c r="EF203" s="81">
        <f t="shared" si="663"/>
        <v>-2.611301369862995</v>
      </c>
      <c r="EG203" s="185">
        <f>EG197/EG191*100</f>
        <v>16.125</v>
      </c>
      <c r="EH203" s="81">
        <f t="shared" si="664"/>
        <v>-6.6068773234200684</v>
      </c>
      <c r="EI203" s="185">
        <f>EI197/EI191*100</f>
        <v>15.417170495767834</v>
      </c>
      <c r="EJ203" s="81">
        <f t="shared" si="665"/>
        <v>-13.949348381029147</v>
      </c>
      <c r="EK203" s="186">
        <v>16</v>
      </c>
      <c r="EL203" s="81">
        <f t="shared" si="666"/>
        <v>-6.8346456692913389</v>
      </c>
      <c r="EM203" s="186">
        <f t="shared" si="667"/>
        <v>16</v>
      </c>
      <c r="EN203" s="81">
        <f t="shared" si="668"/>
        <v>-1.538461538461533</v>
      </c>
      <c r="EO203" s="186">
        <f t="shared" si="669"/>
        <v>16</v>
      </c>
      <c r="EP203" s="81">
        <f t="shared" si="670"/>
        <v>-0.77519379844961378</v>
      </c>
      <c r="EQ203" s="186">
        <f t="shared" si="671"/>
        <v>16</v>
      </c>
      <c r="ER203" s="81">
        <f t="shared" si="672"/>
        <v>3.7803921568627441</v>
      </c>
      <c r="ES203" s="129"/>
      <c r="ET203" s="469"/>
      <c r="EU203" s="129"/>
      <c r="EV203" s="185"/>
      <c r="EW203" s="79"/>
      <c r="EX203" s="185"/>
      <c r="EY203" s="79"/>
      <c r="EZ203" s="185"/>
      <c r="FA203" s="79"/>
      <c r="FB203" s="185"/>
      <c r="FC203" s="79"/>
      <c r="FD203" s="185">
        <f>FD197/FD191*100</f>
        <v>22.271825396825395</v>
      </c>
      <c r="FE203" s="79" t="str">
        <f>IF(ISERROR((FD203/FB203-1)*100),"NA",IF(((FD203/FB203-1)*100)&gt;100,"NM",IF(((FD203/FB203-1)*100)&lt;-50,"NM",(FD203/FB203-1)*100)))</f>
        <v>NA</v>
      </c>
      <c r="FF203" s="185">
        <f>FF197/FF191*100</f>
        <v>20.121334681496464</v>
      </c>
      <c r="FG203" s="79">
        <f>IF(ISERROR((FF203/FD203-1)*100),"NA",IF(((FF203/FD203-1)*100)&gt;100,"NM",IF(((FF203/FD203-1)*100)&lt;-50,"NM",(FF203/FD203-1)*100)))</f>
        <v>-9.6556554167107507</v>
      </c>
      <c r="FH203" s="185">
        <f>FH197/FH191*100</f>
        <v>19.406335744574708</v>
      </c>
      <c r="FI203" s="79">
        <f>IF(ISERROR((FH203/FF203-1)*100),"NA",IF(((FH203/FF203-1)*100)&gt;100,"NM",IF(((FH203/FF203-1)*100)&lt;-50,"NM",(FH203/FF203-1)*100)))</f>
        <v>-3.5534369277166689</v>
      </c>
      <c r="FJ203" s="185">
        <f>FJ197/FJ191*100</f>
        <v>17.895520800085116</v>
      </c>
      <c r="FK203" s="79">
        <f>IF(ISERROR((FJ203/FH203-1)*100),"NA",IF(((FJ203/FH203-1)*100)&gt;100,"NM",IF(((FJ203/FH203-1)*100)&lt;-50,"NM",(FJ203/FH203-1)*100)))</f>
        <v>-7.7851633836231056</v>
      </c>
      <c r="FL203" s="185">
        <f>FL197/FL191*100</f>
        <v>15.29238329238329</v>
      </c>
      <c r="FM203" s="79">
        <f>IF(ISERROR((FL203/FJ203-1)*100),"NA",IF(((FL203/FJ203-1)*100)&gt;100,"NM",IF(((FL203/FJ203-1)*100)&lt;-50,"NM",(FL203/FJ203-1)*100)))</f>
        <v>-14.546307630730947</v>
      </c>
      <c r="FN203" s="185">
        <f>FN197/FN191*100</f>
        <v>15.83534691059717</v>
      </c>
      <c r="FO203" s="79">
        <f>IF(ISERROR((FN203/FL203-1)*100),"NA",IF(((FN203/FL203-1)*100)&gt;100,"NM",IF(((FN203/FL203-1)*100)&lt;-50,"NM",(FN203/FL203-1)*100)))</f>
        <v>3.5505493671762478</v>
      </c>
      <c r="FP203" s="253">
        <f>FP197/FP191*100</f>
        <v>17.126351099515468</v>
      </c>
      <c r="FQ203" s="79">
        <f>IF(ISERROR((FP203/FN203-1)*100),"NA",IF(((FP203/FN203-1)*100)&gt;100,"NM",IF(((FP203/FN203-1)*100)&lt;-50,"NM",(FP203/FN203-1)*100)))</f>
        <v>8.1526738644061236</v>
      </c>
      <c r="FR203" s="253">
        <f>FR197/FR191*100</f>
        <v>17.429274292742928</v>
      </c>
      <c r="FS203" s="79">
        <f>IF(ISERROR((FR203/FP203-1)*100),"NA",IF(((FR203/FP203-1)*100)&gt;100,"NM",IF(((FR203/FP203-1)*100)&lt;-50,"NM",(FR203/FP203-1)*100)))</f>
        <v>1.7687550107274852</v>
      </c>
      <c r="FT203" s="253">
        <f>FT197/FT191*100</f>
        <v>16.405204913048763</v>
      </c>
      <c r="FU203" s="79">
        <f>IF(ISERROR((FT203/FR203-1)*100),"NA",IF(((FT203/FR203-1)*100)&gt;100,"NM",IF(((FT203/FR203-1)*100)&lt;-50,"NM",(FT203/FR203-1)*100)))</f>
        <v>-5.8755709646531873</v>
      </c>
      <c r="FV203" s="253">
        <f>FV197/FV191*100</f>
        <v>16.826156299840513</v>
      </c>
      <c r="FW203" s="79">
        <f>IF(ISERROR((FV203/FT203-1)*100),"NA",IF(((FV203/FT203-1)*100)&gt;100,"NM",IF(((FV203/FT203-1)*100)&lt;-50,"NM",(FV203/FT203-1)*100)))</f>
        <v>2.5659623822005706</v>
      </c>
      <c r="FX203" s="253">
        <f>FX197/FX191*100</f>
        <v>16.903523974581169</v>
      </c>
      <c r="FY203" s="79">
        <f>IF(ISERROR((FX203/FV203-1)*100),"NA",IF(((FX203/FV203-1)*100)&gt;100,"NM",IF(((FX203/FV203-1)*100)&lt;-50,"NM",(FX203/FV203-1)*100)))</f>
        <v>0.45980599111272724</v>
      </c>
      <c r="FZ203" s="253">
        <f>FZ197/FZ191*100</f>
        <v>16.591038003403288</v>
      </c>
      <c r="GA203" s="79">
        <f>IF(ISERROR((FZ203/FX203-1)*100),"NA",IF(((FZ203/FX203-1)*100)&gt;100,"NM",IF(((FZ203/FX203-1)*100)&lt;-50,"NM",(FZ203/FX203-1)*100)))</f>
        <v>-1.8486439374877373</v>
      </c>
      <c r="GB203" s="253">
        <f>GB197/GB191*100</f>
        <v>17.752571880770248</v>
      </c>
      <c r="GC203" s="79">
        <f>IF(ISERROR((GB203/FZ203-1)*100),"NA",IF(((GB203/FZ203-1)*100)&gt;100,"NM",IF(((GB203/FZ203-1)*100)&lt;-50,"NM",(GB203/FZ203-1)*100)))</f>
        <v>7.0009717121297443</v>
      </c>
      <c r="GD203" s="253">
        <f>GD197/GD191*100</f>
        <v>17.429753244900869</v>
      </c>
      <c r="GE203" s="79">
        <f>IF(ISERROR((GD203/GB203-1)*100),"NA",IF(((GD203/GB203-1)*100)&gt;100,"NM",IF(((GD203/GB203-1)*100)&lt;-50,"NM",(GD203/GB203-1)*100)))</f>
        <v>-1.8184330588124964</v>
      </c>
      <c r="GF203" s="253">
        <f>GF197/GF191*100</f>
        <v>17.171093267449038</v>
      </c>
      <c r="GG203" s="79">
        <f>IF(ISERROR((GF203/GD203-1)*100),"NA",IF(((GF203/GD203-1)*100)&gt;100,"NM",IF(((GF203/GD203-1)*100)&lt;-50,"NM",(GF203/GD203-1)*100)))</f>
        <v>-1.4840139950202835</v>
      </c>
      <c r="GH203" s="253">
        <f>GH197/GH191*100</f>
        <v>16.216642981209539</v>
      </c>
      <c r="GI203" s="79">
        <f>IF(ISERROR((GH203/GF203-1)*100),"NA",IF(((GH203/GF203-1)*100)&gt;100,"NM",IF(((GH203/GF203-1)*100)&lt;-50,"NM",(GH203/GF203-1)*100)))</f>
        <v>-5.5584712713012578</v>
      </c>
      <c r="GJ203" s="253">
        <f>GJ197/GJ191*100</f>
        <v>16.000000000000004</v>
      </c>
      <c r="GK203" s="79">
        <f>IF(ISERROR((GJ203/GH203-1)*100),"NA",IF(((GJ203/GH203-1)*100)&gt;100,"NM",IF(((GJ203/GH203-1)*100)&lt;-50,"NM",(GJ203/GH203-1)*100)))</f>
        <v>-1.3359298928919072</v>
      </c>
      <c r="GL203" s="186">
        <f>GJ203</f>
        <v>16.000000000000004</v>
      </c>
      <c r="GM203" s="79">
        <f>IF(ISERROR((GL203/GJ203-1)*100),"NA",IF(((GL203/GJ203-1)*100)&gt;100,"NM",IF(((GL203/GJ203-1)*100)&lt;-50,"NM",(GL203/GJ203-1)*100)))</f>
        <v>0</v>
      </c>
      <c r="GN203" s="186">
        <f>GL203</f>
        <v>16.000000000000004</v>
      </c>
      <c r="GO203" s="79">
        <f>IF(ISERROR((GN203/GL203-1)*100),"NA",IF(((GN203/GL203-1)*100)&gt;100,"NM",IF(((GN203/GL203-1)*100)&lt;-50,"NM",(GN203/GL203-1)*100)))</f>
        <v>0</v>
      </c>
      <c r="GP203" s="186">
        <f>GN203</f>
        <v>16.000000000000004</v>
      </c>
      <c r="GQ203" s="79">
        <f>IF(ISERROR((GP203/GN203-1)*100),"NA",IF(((GP203/GN203-1)*100)&gt;100,"NM",IF(((GP203/GN203-1)*100)&lt;-50,"NM",(GP203/GN203-1)*100)))</f>
        <v>0</v>
      </c>
      <c r="GR203" s="186">
        <f>GP203</f>
        <v>16.000000000000004</v>
      </c>
      <c r="GS203" s="79">
        <f>IF(ISERROR((GR203/GP203-1)*100),"NA",IF(((GR203/GP203-1)*100)&gt;100,"NM",IF(((GR203/GP203-1)*100)&lt;-50,"NM",(GR203/GP203-1)*100)))</f>
        <v>0</v>
      </c>
      <c r="GT203" s="79">
        <f>IF(ISERROR(((GR203/GH203)^0.2-1)*100),"NA",(IF(OR(((GR203/GH203)^0.2-1)*100&gt;99,((GR203/GH203)^0.2-1)*100&lt;-50),"NM",(((GR203/GH203)^0.2-1)*100))))</f>
        <v>-0.26862529802116342</v>
      </c>
    </row>
    <row r="204" spans="1:286" s="249" customFormat="1" ht="12.75" customHeight="1" x14ac:dyDescent="0.2">
      <c r="A204" s="248"/>
      <c r="B204" s="10"/>
      <c r="C204" s="79"/>
      <c r="D204" s="79"/>
      <c r="E204" s="95"/>
      <c r="F204" s="95"/>
      <c r="G204" s="95"/>
      <c r="H204" s="95"/>
      <c r="I204" s="95"/>
      <c r="J204" s="95"/>
      <c r="K204" s="95"/>
      <c r="L204" s="79"/>
      <c r="M204" s="95"/>
      <c r="N204" s="79"/>
      <c r="O204" s="95"/>
      <c r="P204" s="79"/>
      <c r="Q204" s="95"/>
      <c r="R204" s="79"/>
      <c r="S204" s="95"/>
      <c r="T204" s="79"/>
      <c r="U204" s="95"/>
      <c r="V204" s="79"/>
      <c r="W204" s="95"/>
      <c r="X204" s="79"/>
      <c r="Y204" s="95"/>
      <c r="Z204" s="79"/>
      <c r="AA204" s="126"/>
      <c r="AB204" s="79"/>
      <c r="AC204" s="95"/>
      <c r="AD204" s="79"/>
      <c r="AE204" s="95"/>
      <c r="AF204" s="79"/>
      <c r="AG204" s="95"/>
      <c r="AH204" s="79"/>
      <c r="AI204" s="95"/>
      <c r="AJ204" s="79"/>
      <c r="AK204" s="95"/>
      <c r="AL204" s="79"/>
      <c r="AM204" s="95"/>
      <c r="AN204" s="79"/>
      <c r="AO204" s="95"/>
      <c r="AP204" s="79"/>
      <c r="AQ204" s="95"/>
      <c r="AR204" s="79"/>
      <c r="AS204" s="95"/>
      <c r="AT204" s="81"/>
      <c r="AU204" s="95"/>
      <c r="AV204" s="81"/>
      <c r="AW204" s="95"/>
      <c r="AX204" s="81"/>
      <c r="AY204" s="95"/>
      <c r="AZ204" s="81"/>
      <c r="BA204" s="95"/>
      <c r="BB204" s="81"/>
      <c r="BC204" s="95"/>
      <c r="BD204" s="81"/>
      <c r="BE204" s="95"/>
      <c r="BF204" s="81"/>
      <c r="BG204" s="95"/>
      <c r="BH204" s="81"/>
      <c r="BI204" s="95"/>
      <c r="BJ204" s="81"/>
      <c r="BK204" s="95"/>
      <c r="BL204" s="81"/>
      <c r="BM204" s="95"/>
      <c r="BN204" s="81"/>
      <c r="BO204" s="95"/>
      <c r="BP204" s="81"/>
      <c r="BQ204" s="95"/>
      <c r="BR204" s="81"/>
      <c r="BS204" s="95"/>
      <c r="BT204" s="81"/>
      <c r="BU204" s="95"/>
      <c r="BV204" s="81"/>
      <c r="BW204" s="95"/>
      <c r="BX204" s="81"/>
      <c r="BY204" s="95"/>
      <c r="BZ204" s="81"/>
      <c r="CA204" s="95"/>
      <c r="CB204" s="81"/>
      <c r="CC204" s="95"/>
      <c r="CD204" s="81"/>
      <c r="CE204" s="95"/>
      <c r="CF204" s="81"/>
      <c r="CG204" s="95"/>
      <c r="CH204" s="81"/>
      <c r="CI204" s="95"/>
      <c r="CJ204" s="81"/>
      <c r="CK204" s="95"/>
      <c r="CL204" s="81"/>
      <c r="CM204" s="95"/>
      <c r="CN204" s="81"/>
      <c r="CO204" s="95"/>
      <c r="CP204" s="81"/>
      <c r="CQ204" s="95"/>
      <c r="CR204" s="81"/>
      <c r="CS204" s="95"/>
      <c r="CT204" s="81"/>
      <c r="CU204" s="95"/>
      <c r="CV204" s="81"/>
      <c r="CW204" s="95"/>
      <c r="CX204" s="81"/>
      <c r="CY204" s="95"/>
      <c r="CZ204" s="81"/>
      <c r="DA204" s="95"/>
      <c r="DB204" s="81"/>
      <c r="DC204" s="95"/>
      <c r="DD204" s="81"/>
      <c r="DE204" s="95"/>
      <c r="DF204" s="81"/>
      <c r="DG204" s="95"/>
      <c r="DH204" s="81"/>
      <c r="DI204" s="95"/>
      <c r="DJ204" s="81"/>
      <c r="DK204" s="95"/>
      <c r="DL204" s="81"/>
      <c r="DM204" s="95"/>
      <c r="DN204" s="81"/>
      <c r="DO204" s="95"/>
      <c r="DP204" s="81"/>
      <c r="DQ204" s="95"/>
      <c r="DR204" s="81"/>
      <c r="DS204" s="95"/>
      <c r="DT204" s="81"/>
      <c r="DU204" s="95"/>
      <c r="DV204" s="81"/>
      <c r="DW204" s="95"/>
      <c r="DX204" s="81"/>
      <c r="DY204" s="95"/>
      <c r="DZ204" s="81"/>
      <c r="EA204" s="95"/>
      <c r="EB204" s="81"/>
      <c r="EC204" s="95"/>
      <c r="ED204" s="81"/>
      <c r="EE204" s="95"/>
      <c r="EF204" s="81"/>
      <c r="EG204" s="95"/>
      <c r="EH204" s="81"/>
      <c r="EI204" s="95"/>
      <c r="EJ204" s="81"/>
      <c r="EK204" s="95"/>
      <c r="EL204" s="81"/>
      <c r="EM204" s="95"/>
      <c r="EN204" s="81"/>
      <c r="EO204" s="95"/>
      <c r="EP204" s="81"/>
      <c r="EQ204" s="95"/>
      <c r="ER204" s="81"/>
      <c r="ES204" s="129"/>
      <c r="ET204" s="469"/>
      <c r="EU204" s="129"/>
      <c r="EV204" s="95"/>
      <c r="EW204" s="79"/>
      <c r="EX204" s="95"/>
      <c r="EY204" s="79"/>
      <c r="EZ204" s="145"/>
      <c r="FA204" s="79"/>
      <c r="FB204" s="35"/>
      <c r="FC204" s="79"/>
      <c r="FD204" s="251"/>
      <c r="FE204" s="79"/>
      <c r="FF204" s="251"/>
      <c r="FG204" s="79"/>
      <c r="FH204" s="251"/>
      <c r="FI204" s="79"/>
      <c r="FJ204" s="251"/>
      <c r="FK204" s="79"/>
      <c r="FL204" s="93"/>
      <c r="FM204" s="79"/>
      <c r="FN204" s="93"/>
      <c r="FO204" s="79"/>
      <c r="FP204" s="93"/>
      <c r="FQ204" s="79"/>
      <c r="FR204" s="95"/>
      <c r="FS204" s="79"/>
      <c r="FT204" s="95"/>
      <c r="FU204" s="79"/>
      <c r="FV204" s="95"/>
      <c r="FW204" s="79"/>
      <c r="FX204" s="95"/>
      <c r="FY204" s="79"/>
      <c r="FZ204" s="95"/>
      <c r="GA204" s="79"/>
      <c r="GB204" s="95"/>
      <c r="GC204" s="79"/>
      <c r="GD204" s="95"/>
      <c r="GE204" s="79"/>
      <c r="GF204" s="95"/>
      <c r="GG204" s="79"/>
      <c r="GH204" s="95"/>
      <c r="GI204" s="79"/>
      <c r="GJ204" s="95"/>
      <c r="GK204" s="79"/>
      <c r="GL204" s="95"/>
      <c r="GM204" s="79"/>
      <c r="GN204" s="95"/>
      <c r="GO204" s="79"/>
      <c r="GP204" s="95"/>
      <c r="GQ204" s="79"/>
      <c r="GR204" s="95"/>
      <c r="GS204" s="79"/>
      <c r="GT204" s="79"/>
      <c r="GU204" s="562"/>
      <c r="GV204" s="562"/>
      <c r="GW204"/>
      <c r="GX204"/>
      <c r="GY204"/>
      <c r="GZ204"/>
      <c r="HA204"/>
      <c r="HB204"/>
      <c r="HC204" s="562"/>
      <c r="HD204" s="562"/>
      <c r="HE204" s="562"/>
      <c r="HF204" s="562"/>
      <c r="HG204" s="562"/>
      <c r="HH204" s="562"/>
      <c r="HI204" s="562"/>
      <c r="HJ204" s="562"/>
      <c r="HK204" s="562"/>
      <c r="HL204" s="562"/>
      <c r="HM204" s="562"/>
      <c r="HN204" s="562"/>
      <c r="HO204" s="562"/>
      <c r="HP204" s="562"/>
      <c r="HQ204" s="562"/>
      <c r="HR204" s="562"/>
      <c r="HS204" s="562"/>
      <c r="HT204" s="562"/>
      <c r="HU204" s="562"/>
      <c r="HV204" s="562"/>
      <c r="HW204" s="562"/>
      <c r="HX204" s="562"/>
      <c r="HY204" s="562"/>
      <c r="HZ204" s="562"/>
      <c r="IA204" s="562"/>
      <c r="IB204" s="562"/>
      <c r="IC204" s="562"/>
      <c r="ID204" s="562"/>
      <c r="IE204" s="562"/>
      <c r="IF204" s="562"/>
      <c r="IG204" s="562"/>
      <c r="IH204" s="562"/>
      <c r="II204" s="562"/>
      <c r="IJ204" s="562"/>
      <c r="IK204" s="562"/>
      <c r="IL204" s="562"/>
      <c r="IM204" s="562"/>
      <c r="IN204" s="562"/>
      <c r="IO204" s="562"/>
      <c r="IP204" s="562"/>
      <c r="IQ204" s="562"/>
      <c r="IR204" s="562"/>
      <c r="IS204" s="562"/>
      <c r="IT204" s="562"/>
      <c r="IU204" s="562"/>
      <c r="IV204" s="562"/>
      <c r="IW204" s="562"/>
      <c r="IX204" s="562"/>
      <c r="IY204" s="562"/>
      <c r="IZ204" s="562"/>
      <c r="JA204" s="562"/>
      <c r="JB204" s="562"/>
      <c r="JC204" s="562"/>
      <c r="JD204" s="562"/>
      <c r="JE204" s="562"/>
      <c r="JF204" s="562"/>
      <c r="JG204" s="562"/>
      <c r="JH204" s="562"/>
      <c r="JI204" s="562"/>
      <c r="JJ204" s="562"/>
      <c r="JK204" s="562"/>
      <c r="JL204" s="562"/>
      <c r="JM204" s="562"/>
      <c r="JN204" s="562"/>
      <c r="JO204" s="562"/>
      <c r="JP204" s="562"/>
      <c r="JQ204" s="562"/>
      <c r="JR204" s="562"/>
      <c r="JS204" s="562"/>
      <c r="JT204" s="562"/>
      <c r="JU204" s="562"/>
      <c r="JV204" s="562"/>
      <c r="JW204" s="562"/>
      <c r="JX204" s="562"/>
      <c r="JY204" s="562"/>
      <c r="JZ204" s="562"/>
    </row>
    <row r="205" spans="1:286" s="83" customFormat="1" ht="12.75" customHeight="1" x14ac:dyDescent="0.2">
      <c r="A205" s="77" t="s">
        <v>374</v>
      </c>
      <c r="B205" s="83" t="s">
        <v>453</v>
      </c>
      <c r="C205" s="79"/>
      <c r="D205" s="79"/>
      <c r="E205" s="242"/>
      <c r="F205" s="242"/>
      <c r="G205" s="242"/>
      <c r="H205" s="242"/>
      <c r="I205" s="242"/>
      <c r="J205" s="243"/>
      <c r="K205" s="242"/>
      <c r="L205" s="79"/>
      <c r="M205" s="242"/>
      <c r="N205" s="79"/>
      <c r="O205" s="242"/>
      <c r="P205" s="79"/>
      <c r="Q205" s="242"/>
      <c r="R205" s="79"/>
      <c r="S205" s="242"/>
      <c r="T205" s="79"/>
      <c r="U205" s="242">
        <f>FF205-W205-Y205-AA205</f>
        <v>22.700000000000003</v>
      </c>
      <c r="V205" s="79" t="str">
        <f>IF(ISERROR((U205/M205-1)*100),"NA",IF(((U205/M205-1)*100)&gt;100,"NM",IF(((U205/M205-1)*100)&lt;-50,"NM",(U205/M205-1)*100)))</f>
        <v>NA</v>
      </c>
      <c r="W205" s="242">
        <f>W191-W198</f>
        <v>29.600000000000009</v>
      </c>
      <c r="X205" s="79" t="str">
        <f>IF(ISERROR((W205/O205-1)*100),"NA",IF(((W205/O205-1)*100)&gt;100,"NM",IF(((W205/O205-1)*100)&lt;-50,"NM",(W205/O205-1)*100)))</f>
        <v>NA</v>
      </c>
      <c r="Y205" s="242">
        <f>Y191-Y198</f>
        <v>27.599999999999994</v>
      </c>
      <c r="Z205" s="79" t="str">
        <f>IF(ISERROR((Y205/Q205-1)*100),"NA",IF(((Y205/Q205-1)*100)&gt;100,"NM",IF(((Y205/Q205-1)*100)&lt;-50,"NM",(Y205/Q205-1)*100)))</f>
        <v>NA</v>
      </c>
      <c r="AA205" s="244">
        <f>AA191-AA198</f>
        <v>32.099999999999994</v>
      </c>
      <c r="AB205" s="79" t="str">
        <f>IF(ISERROR((AA205/S205-1)*100),"NA",IF(((AA205/S205-1)*100)&gt;100,"NM",IF(((AA205/S205-1)*100)&lt;-50,"NM",(AA205/S205-1)*100)))</f>
        <v>NA</v>
      </c>
      <c r="AC205" s="242">
        <f>AC191-AC198</f>
        <v>34.799999999999983</v>
      </c>
      <c r="AD205" s="79">
        <f>IF(ISERROR((AC205/U205-1)*100),"NA",IF(((AC205/U205-1)*100)&gt;100,"NM",IF(((AC205/U205-1)*100)&lt;-50,"NM",(AC205/U205-1)*100)))</f>
        <v>53.303964757709153</v>
      </c>
      <c r="AE205" s="242">
        <f>AE191-AE198</f>
        <v>31.700000000000017</v>
      </c>
      <c r="AF205" s="79">
        <f>IF(ISERROR((AE205/W205-1)*100),"NA",IF(((AE205/W205-1)*100)&gt;100,"NM",IF(((AE205/W205-1)*100)&lt;-50,"NM",(AE205/W205-1)*100)))</f>
        <v>7.0945945945946276</v>
      </c>
      <c r="AG205" s="242">
        <f>AG191-AG198</f>
        <v>38.099999999999966</v>
      </c>
      <c r="AH205" s="79">
        <f>IF(ISERROR((AG205/Y205-1)*100),"NA",IF(((AG205/Y205-1)*100)&gt;100,"NM",IF(((AG205/Y205-1)*100)&lt;-50,"NM",(AG205/Y205-1)*100)))</f>
        <v>38.04347826086947</v>
      </c>
      <c r="AI205" s="242">
        <f>AI191-AI198</f>
        <v>46.699999999999989</v>
      </c>
      <c r="AJ205" s="79">
        <f>IF(ISERROR((AI205/AA205-1)*100),"NA",IF(((AI205/AA205-1)*100)&gt;100,"NM",IF(((AI205/AA205-1)*100)&lt;-50,"NM",(AI205/AA205-1)*100)))</f>
        <v>45.48286604361369</v>
      </c>
      <c r="AK205" s="242">
        <f>AK191-AK198</f>
        <v>47.30000000000004</v>
      </c>
      <c r="AL205" s="79">
        <f>IF(ISERROR((AK205/AC205-1)*100),"NA",IF(((AK205/AC205-1)*100)&gt;100,"NM",IF(((AK205/AC205-1)*100)&lt;-50,"NM",(AK205/AC205-1)*100)))</f>
        <v>35.919540229885236</v>
      </c>
      <c r="AM205" s="242">
        <f>AM191-AM198</f>
        <v>41.299999999999983</v>
      </c>
      <c r="AN205" s="79">
        <f>IF(ISERROR((AM205/AE205-1)*100),"NA",IF(((AM205/AE205-1)*100)&gt;100,"NM",IF(((AM205/AE205-1)*100)&lt;-50,"NM",(AM205/AE205-1)*100)))</f>
        <v>30.283911671924169</v>
      </c>
      <c r="AO205" s="242">
        <f>AO191-AO198</f>
        <v>44.100000000000023</v>
      </c>
      <c r="AP205" s="79">
        <f>IF(ISERROR((AO205/AG205-1)*100),"NA",IF(((AO205/AG205-1)*100)&gt;100,"NM",IF(((AO205/AG205-1)*100)&lt;-50,"NM",(AO205/AG205-1)*100)))</f>
        <v>15.748031496063163</v>
      </c>
      <c r="AQ205" s="242">
        <f>AQ191-AQ198</f>
        <v>49.299999999999955</v>
      </c>
      <c r="AR205" s="79">
        <f>IF(ISERROR((AQ205/AI205-1)*100),"NA",IF(((AQ205/AI205-1)*100)&gt;100,"NM",IF(((AQ205/AI205-1)*100)&lt;-50,"NM",(AQ205/AI205-1)*100)))</f>
        <v>5.5674518201284107</v>
      </c>
      <c r="AS205" s="242">
        <f>AS191-AS198</f>
        <v>54.400000000000006</v>
      </c>
      <c r="AT205" s="81">
        <f>IF(ISERROR((AS205/AK205-1)*100),"NA",IF(((AS205/AK205-1)*100)&gt;100,"NM",IF(((AS205/AK205-1)*100)&lt;-50,"NM",(AS205/AK205-1)*100)))</f>
        <v>15.010570824524239</v>
      </c>
      <c r="AU205" s="242">
        <f>AU191-AU198</f>
        <v>56.100000000000023</v>
      </c>
      <c r="AV205" s="81">
        <f>IF(ISERROR((AU205/AM205-1)*100),"NA",IF(((AU205/AM205-1)*100)&gt;100,"NM",IF(((AU205/AM205-1)*100)&lt;-50,"NM",(AU205/AM205-1)*100)))</f>
        <v>35.835351089588485</v>
      </c>
      <c r="AW205" s="242">
        <f>AW191-AW198</f>
        <v>65.5</v>
      </c>
      <c r="AX205" s="81">
        <f>IF(ISERROR((AW205/AO205-1)*100),"NA",IF(((AW205/AO205-1)*100)&gt;100,"NM",IF(((AW205/AO205-1)*100)&lt;-50,"NM",(AW205/AO205-1)*100)))</f>
        <v>48.526077097505585</v>
      </c>
      <c r="AY205" s="242">
        <f>AY191-AY198</f>
        <v>81.799999999999983</v>
      </c>
      <c r="AZ205" s="81">
        <f>IF(ISERROR((AY205/AQ205-1)*100),"NA",IF(((AY205/AQ205-1)*100)&gt;100,"NM",IF(((AY205/AQ205-1)*100)&lt;-50,"NM",(AY205/AQ205-1)*100)))</f>
        <v>65.922920892495057</v>
      </c>
      <c r="BA205" s="242">
        <f>BA191-BA198</f>
        <v>72.400000000000006</v>
      </c>
      <c r="BB205" s="81">
        <f>IF(ISERROR((BA205/AS205-1)*100),"NA",IF(((BA205/AS205-1)*100)&gt;100,"NM",IF(((BA205/AS205-1)*100)&lt;-50,"NM",(BA205/AS205-1)*100)))</f>
        <v>33.088235294117638</v>
      </c>
      <c r="BC205" s="242">
        <f>BC191-BC198</f>
        <v>74.100000000000023</v>
      </c>
      <c r="BD205" s="81">
        <f>IF(ISERROR((BC205/AU205-1)*100),"NA",IF(((BC205/AU205-1)*100)&gt;100,"NM",IF(((BC205/AU205-1)*100)&lt;-50,"NM",(BC205/AU205-1)*100)))</f>
        <v>32.085561497326196</v>
      </c>
      <c r="BE205" s="242">
        <f>BE191-BE198</f>
        <v>97.600000000000023</v>
      </c>
      <c r="BF205" s="81">
        <f>IF(ISERROR((BE205/AW205-1)*100),"NA",IF(((BE205/AW205-1)*100)&gt;100,"NM",IF(((BE205/AW205-1)*100)&lt;-50,"NM",(BE205/AW205-1)*100)))</f>
        <v>49.007633587786302</v>
      </c>
      <c r="BG205" s="242">
        <f>BG191-BG198</f>
        <v>81.699999999999989</v>
      </c>
      <c r="BH205" s="81">
        <f>IF(ISERROR((BG205/AY205-1)*100),"NA",IF(((BG205/AY205-1)*100)&gt;100,"NM",IF(((BG205/AY205-1)*100)&lt;-50,"NM",(BG205/AY205-1)*100)))</f>
        <v>-0.12224938875304847</v>
      </c>
      <c r="BI205" s="242">
        <f>BI191-BI198</f>
        <v>84.300000000000011</v>
      </c>
      <c r="BJ205" s="81">
        <f>IF(ISERROR((BI205/BA205-1)*100),"NA",IF(((BI205/BA205-1)*100)&gt;100,"NM",IF(((BI205/BA205-1)*100)&lt;-50,"NM",(BI205/BA205-1)*100)))</f>
        <v>16.436464088397805</v>
      </c>
      <c r="BK205" s="242">
        <f>BK191-BK198</f>
        <v>92.599999999999966</v>
      </c>
      <c r="BL205" s="81">
        <f>IF(ISERROR((BK205/BC205-1)*100),"NA",IF(((BK205/BC205-1)*100)&gt;100,"NM",IF(((BK205/BC205-1)*100)&lt;-50,"NM",(BK205/BC205-1)*100)))</f>
        <v>24.966261808366987</v>
      </c>
      <c r="BM205" s="242">
        <f>BM191-BM198</f>
        <v>92.5</v>
      </c>
      <c r="BN205" s="81">
        <f>IF(ISERROR((BM205/BE205-1)*100),"NA",IF(((BM205/BE205-1)*100)&gt;100,"NM",IF(((BM205/BE205-1)*100)&lt;-50,"NM",(BM205/BE205-1)*100)))</f>
        <v>-5.2254098360655981</v>
      </c>
      <c r="BO205" s="242">
        <f>BO191-BO198</f>
        <v>54.600000000000023</v>
      </c>
      <c r="BP205" s="81">
        <f>IF(ISERROR((BO205/BG205-1)*100),"NA",IF(((BO205/BG205-1)*100)&gt;100,"NM",IF(((BO205/BG205-1)*100)&lt;-50,"NM",(BO205/BG205-1)*100)))</f>
        <v>-33.170134638922853</v>
      </c>
      <c r="BQ205" s="242">
        <f>BQ191-BQ198</f>
        <v>62.300000000000011</v>
      </c>
      <c r="BR205" s="81">
        <f>IF(ISERROR((BQ205/BI205-1)*100),"NA",IF(((BQ205/BI205-1)*100)&gt;100,"NM",IF(((BQ205/BI205-1)*100)&lt;-50,"NM",(BQ205/BI205-1)*100)))</f>
        <v>-26.097271648873065</v>
      </c>
      <c r="BS205" s="242">
        <f>BS191-BS198</f>
        <v>67.300000000000011</v>
      </c>
      <c r="BT205" s="81">
        <f>IF(ISERROR((BS205/BK205-1)*100),"NA",IF(((BS205/BK205-1)*100)&gt;100,"NM",IF(((BS205/BK205-1)*100)&lt;-50,"NM",(BS205/BK205-1)*100)))</f>
        <v>-27.321814254859579</v>
      </c>
      <c r="BU205" s="242">
        <f>BU191-BU198</f>
        <v>58.699999999999989</v>
      </c>
      <c r="BV205" s="81">
        <f>IF(ISERROR((BU205/BM205-1)*100),"NA",IF(((BU205/BM205-1)*100)&gt;100,"NM",IF(((BU205/BM205-1)*100)&lt;-50,"NM",(BU205/BM205-1)*100)))</f>
        <v>-36.540540540540555</v>
      </c>
      <c r="BW205" s="242">
        <f>BW191-BW198</f>
        <v>61.299999999999983</v>
      </c>
      <c r="BX205" s="81">
        <f>IF(ISERROR((BW205/BO205-1)*100),"NA",IF(((BW205/BO205-1)*100)&gt;100,"NM",IF(((BW205/BO205-1)*100)&lt;-50,"NM",(BW205/BO205-1)*100)))</f>
        <v>12.271062271062183</v>
      </c>
      <c r="BY205" s="242">
        <f>BY191-BY198</f>
        <v>60.600000000000023</v>
      </c>
      <c r="BZ205" s="81">
        <f>IF(ISERROR((BY205/BQ205-1)*100),"NA",IF(((BY205/BQ205-1)*100)&gt;100,"NM",IF(((BY205/BQ205-1)*100)&lt;-50,"NM",(BY205/BQ205-1)*100)))</f>
        <v>-2.728731942215068</v>
      </c>
      <c r="CA205" s="242">
        <f>CA191-CA198</f>
        <v>52.799999999999983</v>
      </c>
      <c r="CB205" s="81">
        <f>IF(ISERROR((CA205/BS205-1)*100),"NA",IF(((CA205/BS205-1)*100)&gt;100,"NM",IF(((CA205/BS205-1)*100)&lt;-50,"NM",(CA205/BS205-1)*100)))</f>
        <v>-21.545319465081757</v>
      </c>
      <c r="CC205" s="242">
        <f>CC191-CC198</f>
        <v>47.800000000000011</v>
      </c>
      <c r="CD205" s="81">
        <f>IF(ISERROR((CC205/BU205-1)*100),"NA",IF(((CC205/BU205-1)*100)&gt;100,"NM",IF(((CC205/BU205-1)*100)&lt;-50,"NM",(CC205/BU205-1)*100)))</f>
        <v>-18.568994889267433</v>
      </c>
      <c r="CE205" s="242">
        <f>CE191-CE198</f>
        <v>47.800000000000011</v>
      </c>
      <c r="CF205" s="81">
        <f>IF(ISERROR((CE205/BW205-1)*100),"NA",IF(((CE205/BW205-1)*100)&gt;100,"NM",IF(((CE205/BW205-1)*100)&lt;-50,"NM",(CE205/BW205-1)*100)))</f>
        <v>-22.022838499184296</v>
      </c>
      <c r="CG205" s="242">
        <f>CG191-CG198</f>
        <v>48.900000000000006</v>
      </c>
      <c r="CH205" s="81">
        <f>IF(ISERROR((CG205/BY205-1)*100),"NA",IF(((CG205/BY205-1)*100)&gt;100,"NM",IF(((CG205/BY205-1)*100)&lt;-50,"NM",(CG205/BY205-1)*100)))</f>
        <v>-19.306930693069326</v>
      </c>
      <c r="CI205" s="242">
        <f>CI191-CI198</f>
        <v>55.200000000000017</v>
      </c>
      <c r="CJ205" s="81">
        <f>IF(ISERROR((CI205/CA205-1)*100),"NA",IF(((CI205/CA205-1)*100)&gt;100,"NM",IF(((CI205/CA205-1)*100)&lt;-50,"NM",(CI205/CA205-1)*100)))</f>
        <v>4.545454545454608</v>
      </c>
      <c r="CK205" s="242">
        <f>CK191-CK198</f>
        <v>34.699999999999989</v>
      </c>
      <c r="CL205" s="81">
        <f>IF(ISERROR((CK205/CC205-1)*100),"NA",IF(((CK205/CC205-1)*100)&gt;100,"NM",IF(((CK205/CC205-1)*100)&lt;-50,"NM",(CK205/CC205-1)*100)))</f>
        <v>-27.405857740585816</v>
      </c>
      <c r="CM205" s="242">
        <f>CM191-CM198</f>
        <v>51.900000000000006</v>
      </c>
      <c r="CN205" s="81">
        <f>IF(ISERROR((CM205/CE205-1)*100),"NA",IF(((CM205/CE205-1)*100)&gt;100,"NM",IF(((CM205/CE205-1)*100)&lt;-50,"NM",(CM205/CE205-1)*100)))</f>
        <v>8.5774058577405619</v>
      </c>
      <c r="CO205" s="242">
        <f>CO191-CO198</f>
        <v>38.799999999999983</v>
      </c>
      <c r="CP205" s="81">
        <f>IF(ISERROR((CO205/CG205-1)*100),"NA",IF(((CO205/CG205-1)*100)&gt;100,"NM",IF(((CO205/CG205-1)*100)&lt;-50,"NM",(CO205/CG205-1)*100)))</f>
        <v>-20.654396728016401</v>
      </c>
      <c r="CQ205" s="242">
        <f>CQ191-CQ198</f>
        <v>29.999999999999972</v>
      </c>
      <c r="CR205" s="81">
        <f>IF(ISERROR((CQ205/CI205-1)*100),"NA",IF(((CQ205/CI205-1)*100)&gt;100,"NM",IF(((CQ205/CI205-1)*100)&lt;-50,"NM",(CQ205/CI205-1)*100)))</f>
        <v>-45.652173913043548</v>
      </c>
      <c r="CS205" s="242">
        <f>CS191-CS198</f>
        <v>27.5</v>
      </c>
      <c r="CT205" s="81">
        <f>IF(ISERROR((CS205/CK205-1)*100),"NA",IF(((CS205/CK205-1)*100)&gt;100,"NM",IF(((CS205/CK205-1)*100)&lt;-50,"NM",(CS205/CK205-1)*100)))</f>
        <v>-20.749279538904876</v>
      </c>
      <c r="CU205" s="242">
        <f>CU191-CU198</f>
        <v>35</v>
      </c>
      <c r="CV205" s="81">
        <f>IF(ISERROR((CU205/CM205-1)*100),"NA",IF(((CU205/CM205-1)*100)&gt;100,"NM",IF(((CU205/CM205-1)*100)&lt;-50,"NM",(CU205/CM205-1)*100)))</f>
        <v>-32.562620423892106</v>
      </c>
      <c r="CW205" s="242">
        <f>CW191-CW198</f>
        <v>31.300000000000011</v>
      </c>
      <c r="CX205" s="81">
        <f>IF(ISERROR((CW205/CO205-1)*100),"NA",IF(((CW205/CO205-1)*100)&gt;100,"NM",IF(((CW205/CO205-1)*100)&lt;-50,"NM",(CW205/CO205-1)*100)))</f>
        <v>-19.329896907216426</v>
      </c>
      <c r="CY205" s="242">
        <f>CY191-CY198</f>
        <v>33.5</v>
      </c>
      <c r="CZ205" s="81">
        <f>IF(ISERROR((CY205/CQ205-1)*100),"NA",IF(((CY205/CQ205-1)*100)&gt;100,"NM",IF(((CY205/CQ205-1)*100)&lt;-50,"NM",(CY205/CQ205-1)*100)))</f>
        <v>11.666666666666782</v>
      </c>
      <c r="DA205" s="242">
        <f>DA191-DA198</f>
        <v>31.300000000000011</v>
      </c>
      <c r="DB205" s="81">
        <f>IF(ISERROR((DA205/CS205-1)*100),"NA",IF(((DA205/CS205-1)*100)&gt;100,"NM",IF(((DA205/CS205-1)*100)&lt;-50,"NM",(DA205/CS205-1)*100)))</f>
        <v>13.818181818181863</v>
      </c>
      <c r="DC205" s="242">
        <f>DC191-DC198</f>
        <v>35.900000000000006</v>
      </c>
      <c r="DD205" s="81">
        <f>IF(ISERROR((DC205/CU205-1)*100),"NA",IF(((DC205/CU205-1)*100)&gt;100,"NM",IF(((DC205/CU205-1)*100)&lt;-50,"NM",(DC205/CU205-1)*100)))</f>
        <v>2.5714285714285801</v>
      </c>
      <c r="DE205" s="242">
        <f>DE191-DE198</f>
        <v>36.499999999999972</v>
      </c>
      <c r="DF205" s="81">
        <f>IF(ISERROR((DE205/CW205-1)*100),"NA",IF(((DE205/CW205-1)*100)&gt;100,"NM",IF(((DE205/CW205-1)*100)&lt;-50,"NM",(DE205/CW205-1)*100)))</f>
        <v>16.613418530351296</v>
      </c>
      <c r="DG205" s="242">
        <f>DG191-DG198</f>
        <v>39.599999999999994</v>
      </c>
      <c r="DH205" s="81">
        <f>IF(ISERROR((DG205/CY205-1)*100),"NA",IF(((DG205/CY205-1)*100)&gt;100,"NM",IF(((DG205/CY205-1)*100)&lt;-50,"NM",(DG205/CY205-1)*100)))</f>
        <v>18.208955223880572</v>
      </c>
      <c r="DI205" s="242">
        <f>DI191-DI198</f>
        <v>33.5</v>
      </c>
      <c r="DJ205" s="81">
        <f>IF(ISERROR((DI205/DA205-1)*100),"NA",IF(((DI205/DA205-1)*100)&gt;100,"NM",IF(((DI205/DA205-1)*100)&lt;-50,"NM",(DI205/DA205-1)*100)))</f>
        <v>7.0287539936101817</v>
      </c>
      <c r="DK205" s="242">
        <f>DK191-DK198</f>
        <v>38.200000000000017</v>
      </c>
      <c r="DL205" s="81">
        <f>IF(ISERROR((DK205/DC205-1)*100),"NA",IF(((DK205/DC205-1)*100)&gt;100,"NM",IF(((DK205/DC205-1)*100)&lt;-50,"NM",(DK205/DC205-1)*100)))</f>
        <v>6.4066852367688387</v>
      </c>
      <c r="DM205" s="242">
        <f>DM191-DM198</f>
        <v>32.599999999999994</v>
      </c>
      <c r="DN205" s="81">
        <f>IF(ISERROR((DM205/DE205-1)*100),"NA",IF(((DM205/DE205-1)*100)&gt;100,"NM",IF(((DM205/DE205-1)*100)&lt;-50,"NM",(DM205/DE205-1)*100)))</f>
        <v>-10.68493150684926</v>
      </c>
      <c r="DO205" s="242">
        <f>DO191-DO198</f>
        <v>38.299999999999983</v>
      </c>
      <c r="DP205" s="81">
        <f>IF(ISERROR((DO205/DG205-1)*100),"NA",IF(((DO205/DG205-1)*100)&gt;100,"NM",IF(((DO205/DG205-1)*100)&lt;-50,"NM",(DO205/DG205-1)*100)))</f>
        <v>-3.2828282828283095</v>
      </c>
      <c r="DQ205" s="242">
        <f>DQ191-DQ198</f>
        <v>32.700000000000017</v>
      </c>
      <c r="DR205" s="81">
        <f>IF(ISERROR((DQ205/DI205-1)*100),"NA",IF(((DQ205/DI205-1)*100)&gt;100,"NM",IF(((DQ205/DI205-1)*100)&lt;-50,"NM",(DQ205/DI205-1)*100)))</f>
        <v>-2.3880597014924843</v>
      </c>
      <c r="DS205" s="242">
        <f>DS191-DS198</f>
        <v>37</v>
      </c>
      <c r="DT205" s="81">
        <f>IF(ISERROR((DS205/DK205-1)*100),"NA",IF(((DS205/DK205-1)*100)&gt;100,"NM",IF(((DS205/DK205-1)*100)&lt;-50,"NM",(DS205/DK205-1)*100)))</f>
        <v>-3.1413612565445503</v>
      </c>
      <c r="DU205" s="242">
        <f>DU191-DU198</f>
        <v>33.600000000000023</v>
      </c>
      <c r="DV205" s="81">
        <f>IF(ISERROR((DU205/DM205-1)*100),"NA",IF(((DU205/DM205-1)*100)&gt;100,"NM",IF(((DU205/DM205-1)*100)&lt;-50,"NM",(DU205/DM205-1)*100)))</f>
        <v>3.0674846625767804</v>
      </c>
      <c r="DW205" s="242">
        <f>DW191-DW198</f>
        <v>36.900000000000006</v>
      </c>
      <c r="DX205" s="81">
        <f>IF(ISERROR((DW205/DO205-1)*100),"NA",IF(((DW205/DO205-1)*100)&gt;100,"NM",IF(((DW205/DO205-1)*100)&lt;-50,"NM",(DW205/DO205-1)*100)))</f>
        <v>-3.6553524804176951</v>
      </c>
      <c r="DY205" s="242">
        <f>DY191-DY198</f>
        <v>28.200000000000017</v>
      </c>
      <c r="DZ205" s="81">
        <f>IF(ISERROR((DY205/DQ205-1)*100),"NA",IF(((DY205/DQ205-1)*100)&gt;100,"NM",IF(((DY205/DQ205-1)*100)&lt;-50,"NM",(DY205/DQ205-1)*100)))</f>
        <v>-13.761467889908252</v>
      </c>
      <c r="EA205" s="242">
        <f>EA191-EA198</f>
        <v>29.90000000000002</v>
      </c>
      <c r="EB205" s="81">
        <f>IF(ISERROR((EA205/DS205-1)*100),"NA",IF(((EA205/DS205-1)*100)&gt;100,"NM",IF(((EA205/DS205-1)*100)&lt;-50,"NM",(EA205/DS205-1)*100)))</f>
        <v>-19.189189189189136</v>
      </c>
      <c r="EC205" s="242">
        <f>EC191-EC198</f>
        <v>26.599999999999994</v>
      </c>
      <c r="ED205" s="81">
        <f t="shared" ref="ED205:ED206" si="673">IF(ISERROR((EC205/DU205-1)*100),"NA",IF(((EC205/DU205-1)*100)&gt;100,"NM",IF(((EC205/DU205-1)*100)&lt;-50,"NM",(EC205/DU205-1)*100)))</f>
        <v>-20.833333333333403</v>
      </c>
      <c r="EE205" s="242">
        <f>EE191-EE198</f>
        <v>28.900000000000006</v>
      </c>
      <c r="EF205" s="81">
        <f t="shared" ref="EF205:EF206" si="674">IF(ISERROR((EE205/DW205-1)*100),"NA",IF(((EE205/DW205-1)*100)&gt;100,"NM",IF(((EE205/DW205-1)*100)&lt;-50,"NM",(EE205/DW205-1)*100)))</f>
        <v>-21.680216802168019</v>
      </c>
      <c r="EG205" s="242">
        <f>EG191-EG198</f>
        <v>25.899999999999977</v>
      </c>
      <c r="EH205" s="81">
        <f t="shared" ref="EH205:EH206" si="675">IF(ISERROR((EG205/DY205-1)*100),"NA",IF(((EG205/DY205-1)*100)&gt;100,"NM",IF(((EG205/DY205-1)*100)&lt;-50,"NM",(EG205/DY205-1)*100)))</f>
        <v>-8.1560283687944661</v>
      </c>
      <c r="EI205" s="242">
        <f>EI191-EI198</f>
        <v>29.700000000000017</v>
      </c>
      <c r="EJ205" s="81">
        <f t="shared" ref="EJ205:EJ206" si="676">IF(ISERROR((EI205/EA205-1)*100),"NA",IF(((EI205/EA205-1)*100)&gt;100,"NM",IF(((EI205/EA205-1)*100)&lt;-50,"NM",(EI205/EA205-1)*100)))</f>
        <v>-0.66889632107024477</v>
      </c>
      <c r="EK205" s="242">
        <f t="shared" ref="EK205:EQ205" si="677">EK191-EK198</f>
        <v>30.230456366771932</v>
      </c>
      <c r="EL205" s="81">
        <f t="shared" ref="EL205:EL206" si="678">IF(ISERROR((EK205/EC205-1)*100),"NA",IF(((EK205/EC205-1)*100)&gt;100,"NM",IF(((EK205/EC205-1)*100)&lt;-50,"NM",(EK205/EC205-1)*100)))</f>
        <v>13.648332205909552</v>
      </c>
      <c r="EM205" s="242">
        <f t="shared" si="677"/>
        <v>30.389841129286168</v>
      </c>
      <c r="EN205" s="81">
        <f t="shared" ref="EN205:EN206" si="679">IF(ISERROR((EM205/EE205-1)*100),"NA",IF(((EM205/EE205-1)*100)&gt;100,"NM",IF(((EM205/EE205-1)*100)&lt;-50,"NM",(EM205/EE205-1)*100)))</f>
        <v>5.1551596169071345</v>
      </c>
      <c r="EO205" s="242">
        <f t="shared" si="677"/>
        <v>30.005496626384883</v>
      </c>
      <c r="EP205" s="81">
        <f t="shared" ref="EP205:EP206" si="680">IF(ISERROR((EO205/EG205-1)*100),"NA",IF(((EO205/EG205-1)*100)&gt;100,"NM",IF(((EO205/EG205-1)*100)&lt;-50,"NM",(EO205/EG205-1)*100)))</f>
        <v>15.851338325810449</v>
      </c>
      <c r="EQ205" s="242">
        <f t="shared" si="677"/>
        <v>29.255547131776524</v>
      </c>
      <c r="ER205" s="81">
        <f t="shared" ref="ER205:ER206" si="681">IF(ISERROR((EQ205/EI205-1)*100),"NA",IF(((EQ205/EI205-1)*100)&gt;100,"NM",IF(((EQ205/EI205-1)*100)&lt;-50,"NM",(EQ205/EI205-1)*100)))</f>
        <v>-1.4964743037828021</v>
      </c>
      <c r="ES205" s="129"/>
      <c r="ET205" s="469"/>
      <c r="EU205" s="129"/>
      <c r="EV205" s="242"/>
      <c r="EW205" s="79"/>
      <c r="EX205" s="242"/>
      <c r="EY205" s="79"/>
      <c r="EZ205" s="242"/>
      <c r="FA205" s="79"/>
      <c r="FB205" s="242"/>
      <c r="FC205" s="79"/>
      <c r="FD205" s="242">
        <f>FD191-FD198</f>
        <v>69.5</v>
      </c>
      <c r="FE205" s="79" t="str">
        <f>IF(ISERROR((FD205/FB205-1)*100),"NA",IF(((FD205/FB205-1)*100)&gt;100,"NM",IF(((FD205/FB205-1)*100)&lt;-50,"NM",(FD205/FB205-1)*100)))</f>
        <v>NA</v>
      </c>
      <c r="FF205" s="242">
        <f>FF191-FF198</f>
        <v>112</v>
      </c>
      <c r="FG205" s="79">
        <f>IF(ISERROR((FF205/FD205-1)*100),"NA",IF(((FF205/FD205-1)*100)&gt;100,"NM",IF(((FF205/FD205-1)*100)&lt;-50,"NM",(FF205/FD205-1)*100)))</f>
        <v>61.151079136690647</v>
      </c>
      <c r="FH205" s="242">
        <f>FH191-FH198</f>
        <v>151.29999999999995</v>
      </c>
      <c r="FI205" s="79">
        <f>IF(ISERROR((FH205/FF205-1)*100),"NA",IF(((FH205/FF205-1)*100)&gt;100,"NM",IF(((FH205/FF205-1)*100)&lt;-50,"NM",(FH205/FF205-1)*100)))</f>
        <v>35.089285714285666</v>
      </c>
      <c r="FJ205" s="242">
        <f>FJ191-FJ198</f>
        <v>182.00000000000011</v>
      </c>
      <c r="FK205" s="79">
        <f>IF(ISERROR((FJ205/FH205-1)*100),"NA",IF(((FJ205/FH205-1)*100)&gt;100,"NM",IF(((FJ205/FH205-1)*100)&lt;-50,"NM",(FJ205/FH205-1)*100)))</f>
        <v>20.290812954395342</v>
      </c>
      <c r="FL205" s="242">
        <f>FL191-FL198</f>
        <v>257.79999999999995</v>
      </c>
      <c r="FM205" s="79">
        <f>IF(ISERROR((FL205/FJ205-1)*100),"NA",IF(((FL205/FJ205-1)*100)&gt;100,"NM",IF(((FL205/FJ205-1)*100)&lt;-50,"NM",(FL205/FJ205-1)*100)))</f>
        <v>41.648351648351543</v>
      </c>
      <c r="FN205" s="242">
        <f>FN191-FN198</f>
        <v>325.79999999999995</v>
      </c>
      <c r="FO205" s="79">
        <f>IF(ISERROR((FN205/FL205-1)*100),"NA",IF(((FN205/FL205-1)*100)&gt;100,"NM",IF(((FN205/FL205-1)*100)&lt;-50,"NM",(FN205/FL205-1)*100)))</f>
        <v>26.377036462373948</v>
      </c>
      <c r="FP205" s="242">
        <f>FP191-FP198</f>
        <v>323.99999999999977</v>
      </c>
      <c r="FQ205" s="79">
        <f>IF(ISERROR((FP205/FN205-1)*100),"NA",IF(((FP205/FN205-1)*100)&gt;100,"NM",IF(((FP205/FN205-1)*100)&lt;-50,"NM",(FP205/FN205-1)*100)))</f>
        <v>-0.55248618784535797</v>
      </c>
      <c r="FR205" s="242">
        <f>FR191-FR198</f>
        <v>251.99999999999989</v>
      </c>
      <c r="FS205" s="79">
        <f>IF(ISERROR((FR205/FP205-1)*100),"NA",IF(((FR205/FP205-1)*100)&gt;100,"NM",IF(((FR205/FP205-1)*100)&lt;-50,"NM",(FR205/FP205-1)*100)))</f>
        <v>-22.2222222222222</v>
      </c>
      <c r="FT205" s="242">
        <f>FT191-FT198</f>
        <v>209</v>
      </c>
      <c r="FU205" s="79">
        <f>IF(ISERROR((FT205/FR205-1)*100),"NA",IF(((FT205/FR205-1)*100)&gt;100,"NM",IF(((FT205/FR205-1)*100)&lt;-50,"NM",(FT205/FR205-1)*100)))</f>
        <v>-17.063492063492024</v>
      </c>
      <c r="FV205" s="242">
        <f>FV191-FV198</f>
        <v>190.70000000000005</v>
      </c>
      <c r="FW205" s="79">
        <f>IF(ISERROR((FV205/FT205-1)*100),"NA",IF(((FV205/FT205-1)*100)&gt;100,"NM",IF(((FV205/FT205-1)*100)&lt;-50,"NM",(FV205/FT205-1)*100)))</f>
        <v>-8.7559808612439944</v>
      </c>
      <c r="FX205" s="242">
        <f>FX191-FX198</f>
        <v>131.29999999999984</v>
      </c>
      <c r="FY205" s="79">
        <f>IF(ISERROR((FX205/FV205-1)*100),"NA",IF(((FX205/FV205-1)*100)&gt;100,"NM",IF(((FX205/FV205-1)*100)&lt;-50,"NM",(FX205/FV205-1)*100)))</f>
        <v>-31.148400629260721</v>
      </c>
      <c r="FZ205" s="242">
        <f>FZ191-FZ198</f>
        <v>132</v>
      </c>
      <c r="GA205" s="79">
        <f>IF(ISERROR((FZ205/FX205-1)*100),"NA",IF(((FZ205/FX205-1)*100)&gt;100,"NM",IF(((FZ205/FX205-1)*100)&lt;-50,"NM",(FZ205/FX205-1)*100)))</f>
        <v>0.53313023610066512</v>
      </c>
      <c r="GB205" s="242">
        <f>GB191-GB198</f>
        <v>147.79999999999995</v>
      </c>
      <c r="GC205" s="79">
        <f>IF(ISERROR((GB205/FZ205-1)*100),"NA",IF(((GB205/FZ205-1)*100)&gt;100,"NM",IF(((GB205/FZ205-1)*100)&lt;-50,"NM",(GB205/FZ205-1)*100)))</f>
        <v>11.96969696969694</v>
      </c>
      <c r="GD205" s="242">
        <f>GD191-GD198</f>
        <v>140.59999999999991</v>
      </c>
      <c r="GE205" s="79">
        <f>IF(ISERROR((GD205/GB205-1)*100),"NA",IF(((GD205/GB205-1)*100)&gt;100,"NM",IF(((GD205/GB205-1)*100)&lt;-50,"NM",(GD205/GB205-1)*100)))</f>
        <v>-4.8714479025710684</v>
      </c>
      <c r="GF205" s="242">
        <f>GF191-GF198</f>
        <v>128.60000000000002</v>
      </c>
      <c r="GG205" s="79">
        <f>IF(ISERROR((GF205/GD205-1)*100),"NA",IF(((GF205/GD205-1)*100)&gt;100,"NM",IF(((GF205/GD205-1)*100)&lt;-50,"NM",(GF205/GD205-1)*100)))</f>
        <v>-8.5348506401137225</v>
      </c>
      <c r="GH205" s="242">
        <f>GH191-GH198</f>
        <v>111.09999999999991</v>
      </c>
      <c r="GI205" s="79">
        <f>IF(ISERROR((GH205/GF205-1)*100),"NA",IF(((GH205/GF205-1)*100)&gt;100,"NM",IF(((GH205/GF205-1)*100)&lt;-50,"NM",(GH205/GF205-1)*100)))</f>
        <v>-13.60808709175747</v>
      </c>
      <c r="GJ205" s="242">
        <f>GJ191-GJ198</f>
        <v>119.88134125421936</v>
      </c>
      <c r="GK205" s="79">
        <f>IF(ISERROR((GJ205/GH205-1)*100),"NA",IF(((GJ205/GH205-1)*100)&gt;100,"NM",IF(((GJ205/GH205-1)*100)&lt;-50,"NM",(GJ205/GH205-1)*100)))</f>
        <v>7.9039975285503772</v>
      </c>
      <c r="GL205" s="242">
        <f>GL191-GL198</f>
        <v>125.35277280935134</v>
      </c>
      <c r="GM205" s="79">
        <f>IF(ISERROR((GL205/GJ205-1)*100),"NA",IF(((GL205/GJ205-1)*100)&gt;100,"NM",IF(((GL205/GJ205-1)*100)&lt;-50,"NM",(GL205/GJ205-1)*100)))</f>
        <v>4.564039322457436</v>
      </c>
      <c r="GN205" s="242">
        <f>GN191-GN198</f>
        <v>131.06646622074265</v>
      </c>
      <c r="GO205" s="79">
        <f>IF(ISERROR((GN205/GL205-1)*100),"NA",IF(((GN205/GL205-1)*100)&gt;100,"NM",IF(((GN205/GL205-1)*100)&lt;-50,"NM",(GN205/GL205-1)*100)))</f>
        <v>4.5580909646739665</v>
      </c>
      <c r="GP205" s="242">
        <f>GP191-GP198</f>
        <v>137.03304814640614</v>
      </c>
      <c r="GQ205" s="79">
        <f>IF(ISERROR((GP205/GN205-1)*100),"NA",IF(((GP205/GN205-1)*100)&gt;100,"NM",IF(((GP205/GN205-1)*100)&lt;-50,"NM",(GP205/GN205-1)*100)))</f>
        <v>4.5523329480895214</v>
      </c>
      <c r="GR205" s="242">
        <f>GR191-GR198</f>
        <v>142.60543312586753</v>
      </c>
      <c r="GS205" s="79">
        <f>IF(ISERROR((GR205/GP205-1)*100),"NA",IF(((GR205/GP205-1)*100)&gt;100,"NM",IF(((GR205/GP205-1)*100)&lt;-50,"NM",(GR205/GP205-1)*100)))</f>
        <v>4.0664533518278478</v>
      </c>
      <c r="GT205" s="79">
        <f>IF(ISERROR(((GR205/GH205)^0.2-1)*100),"NA",(IF(OR(((GR205/GH205)^0.2-1)*100&gt;99,((GR205/GH205)^0.2-1)*100&lt;-50),"NM",(((GR205/GH205)^0.2-1)*100))))</f>
        <v>5.119770151790215</v>
      </c>
      <c r="GU205" s="562"/>
      <c r="GV205" s="562"/>
      <c r="GW205"/>
      <c r="GX205"/>
      <c r="GY205"/>
      <c r="GZ205"/>
      <c r="HA205"/>
      <c r="HB205"/>
      <c r="HC205" s="562"/>
      <c r="HD205" s="562"/>
      <c r="HE205" s="562"/>
      <c r="HF205" s="562"/>
      <c r="HG205" s="562"/>
      <c r="HH205" s="562"/>
      <c r="HI205" s="562"/>
      <c r="HJ205" s="562"/>
      <c r="HK205" s="562"/>
      <c r="HL205" s="562"/>
      <c r="HM205" s="562"/>
      <c r="HN205" s="562"/>
      <c r="HO205" s="562"/>
      <c r="HP205" s="562"/>
      <c r="HQ205" s="562"/>
      <c r="HR205" s="562"/>
      <c r="HS205" s="562"/>
      <c r="HT205" s="562"/>
      <c r="HU205" s="562"/>
      <c r="HV205" s="562"/>
      <c r="HW205" s="562"/>
      <c r="HX205" s="562"/>
      <c r="HY205" s="562"/>
      <c r="HZ205" s="562"/>
      <c r="IA205" s="562"/>
      <c r="IB205" s="562"/>
      <c r="IC205" s="562"/>
      <c r="ID205" s="562"/>
      <c r="IE205" s="562"/>
      <c r="IF205" s="562"/>
      <c r="IG205" s="562"/>
      <c r="IH205" s="562"/>
      <c r="II205" s="562"/>
      <c r="IJ205" s="562"/>
      <c r="IK205" s="562"/>
      <c r="IL205" s="562"/>
      <c r="IM205" s="562"/>
      <c r="IN205" s="562"/>
      <c r="IO205" s="562"/>
      <c r="IP205" s="562"/>
      <c r="IQ205" s="562"/>
      <c r="IR205" s="562"/>
      <c r="IS205" s="562"/>
      <c r="IT205" s="562"/>
      <c r="IU205" s="562"/>
      <c r="IV205" s="562"/>
      <c r="IW205" s="562"/>
      <c r="IX205" s="562"/>
      <c r="IY205" s="562"/>
      <c r="IZ205" s="562"/>
      <c r="JA205" s="562"/>
      <c r="JB205" s="562"/>
      <c r="JC205" s="562"/>
      <c r="JD205" s="562"/>
      <c r="JE205" s="562"/>
      <c r="JF205" s="562"/>
      <c r="JG205" s="562"/>
      <c r="JH205" s="562"/>
      <c r="JI205" s="562"/>
      <c r="JJ205" s="562"/>
      <c r="JK205" s="562"/>
      <c r="JL205" s="562"/>
      <c r="JM205" s="562"/>
      <c r="JN205" s="562"/>
      <c r="JO205" s="562"/>
      <c r="JP205" s="562"/>
      <c r="JQ205" s="562"/>
      <c r="JR205" s="562"/>
      <c r="JS205" s="562"/>
      <c r="JT205" s="562"/>
      <c r="JU205" s="562"/>
      <c r="JV205" s="562"/>
      <c r="JW205" s="562"/>
      <c r="JX205" s="562"/>
      <c r="JY205" s="562"/>
      <c r="JZ205" s="562"/>
    </row>
    <row r="206" spans="1:286" ht="12.75" customHeight="1" x14ac:dyDescent="0.2">
      <c r="A206" s="1"/>
      <c r="B206" s="10" t="s">
        <v>55</v>
      </c>
      <c r="C206" s="79"/>
      <c r="D206" s="79"/>
      <c r="E206" s="185"/>
      <c r="F206" s="185"/>
      <c r="G206" s="185"/>
      <c r="H206" s="185"/>
      <c r="I206" s="185"/>
      <c r="J206" s="185"/>
      <c r="K206" s="185"/>
      <c r="L206" s="79"/>
      <c r="M206" s="185"/>
      <c r="N206" s="79"/>
      <c r="O206" s="185"/>
      <c r="P206" s="79"/>
      <c r="Q206" s="185"/>
      <c r="R206" s="79"/>
      <c r="S206" s="185"/>
      <c r="T206" s="79"/>
      <c r="U206" s="185">
        <f>+U205/U191*100</f>
        <v>17.569659442724458</v>
      </c>
      <c r="V206" s="79" t="str">
        <f>IF(ISERROR((U206/M206-1)*100),"NA",IF(((U206/M206-1)*100)&gt;100,"NM",IF(((U206/M206-1)*100)&lt;-50,"NM",(U206/M206-1)*100)))</f>
        <v>NA</v>
      </c>
      <c r="W206" s="185">
        <f>+W205/W191*100</f>
        <v>19.615639496355207</v>
      </c>
      <c r="X206" s="79" t="str">
        <f>IF(ISERROR((W206/O206-1)*100),"NA",IF(((W206/O206-1)*100)&gt;100,"NM",IF(((W206/O206-1)*100)&lt;-50,"NM",(W206/O206-1)*100)))</f>
        <v>NA</v>
      </c>
      <c r="Y206" s="185">
        <f>+Y205/Y191*100</f>
        <v>18.573351278600267</v>
      </c>
      <c r="Z206" s="79" t="str">
        <f>IF(ISERROR((Y206/Q206-1)*100),"NA",IF(((Y206/Q206-1)*100)&gt;100,"NM",IF(((Y206/Q206-1)*100)&lt;-50,"NM",(Y206/Q206-1)*100)))</f>
        <v>NA</v>
      </c>
      <c r="AA206" s="252">
        <f>+AA205/AA191*100</f>
        <v>19.489981785063751</v>
      </c>
      <c r="AB206" s="79" t="str">
        <f>IF(ISERROR((AA206/S206-1)*100),"NA",IF(((AA206/S206-1)*100)&gt;100,"NM",IF(((AA206/S206-1)*100)&lt;-50,"NM",(AA206/S206-1)*100)))</f>
        <v>NA</v>
      </c>
      <c r="AC206" s="185">
        <f>+AC205/AC191*100</f>
        <v>18.86178861788617</v>
      </c>
      <c r="AD206" s="79">
        <f>IF(ISERROR((AC206/U206-1)*100),"NA",IF(((AC206/U206-1)*100)&gt;100,"NM",IF(((AC206/U206-1)*100)&lt;-50,"NM",(AC206/U206-1)*100)))</f>
        <v>7.3543211203036751</v>
      </c>
      <c r="AE206" s="185">
        <f>+AE205/AE191*100</f>
        <v>16.132315521628506</v>
      </c>
      <c r="AF206" s="79">
        <f>IF(ISERROR((AE206/W206-1)*100),"NA",IF(((AE206/W206-1)*100)&gt;100,"NM",IF(((AE206/W206-1)*100)&lt;-50,"NM",(AE206/W206-1)*100)))</f>
        <v>-17.75789147926551</v>
      </c>
      <c r="AG206" s="185">
        <f>+AG205/AG191*100</f>
        <v>18.504128217581336</v>
      </c>
      <c r="AH206" s="79">
        <f>IF(ISERROR((AG206/Y206-1)*100),"NA",IF(((AG206/Y206-1)*100)&gt;100,"NM",IF(((AG206/Y206-1)*100)&lt;-50,"NM",(AG206/Y206-1)*100)))</f>
        <v>-0.37270097345699638</v>
      </c>
      <c r="AI206" s="185">
        <f>+AI205/AI191*100</f>
        <v>21.731037691949741</v>
      </c>
      <c r="AJ206" s="79">
        <f>IF(ISERROR((AI206/AA206-1)*100),"NA",IF(((AI206/AA206-1)*100)&gt;100,"NM",IF(((AI206/AA206-1)*100)&lt;-50,"NM",(AI206/AA206-1)*100)))</f>
        <v>11.498501802620641</v>
      </c>
      <c r="AK206" s="185">
        <f>+AK205/AK191*100</f>
        <v>20.727432077125343</v>
      </c>
      <c r="AL206" s="79">
        <f>IF(ISERROR((AK206/AC206-1)*100),"NA",IF(((AK206/AC206-1)*100)&gt;100,"NM",IF(((AK206/AC206-1)*100)&lt;-50,"NM",(AK206/AC206-1)*100)))</f>
        <v>9.891126960621488</v>
      </c>
      <c r="AM206" s="185">
        <f>+AM205/AM191*100</f>
        <v>17.755803955288041</v>
      </c>
      <c r="AN206" s="79">
        <f>IF(ISERROR((AM206/AE206-1)*100),"NA",IF(((AM206/AE206-1)*100)&gt;100,"NM",IF(((AM206/AE206-1)*100)&lt;-50,"NM",(AM206/AE206-1)*100)))</f>
        <v>10.063579722842221</v>
      </c>
      <c r="AO206" s="185">
        <f>+AO205/AO191*100</f>
        <v>18.133223684210538</v>
      </c>
      <c r="AP206" s="79">
        <f>IF(ISERROR((AO206/AG206-1)*100),"NA",IF(((AO206/AG206-1)*100)&gt;100,"NM",IF(((AO206/AG206-1)*100)&lt;-50,"NM",(AO206/AG206-1)*100)))</f>
        <v>-2.0044420845419242</v>
      </c>
      <c r="AQ206" s="185">
        <f>+AQ205/AQ191*100</f>
        <v>20.898685883849073</v>
      </c>
      <c r="AR206" s="79">
        <f>IF(ISERROR((AQ206/AI206-1)*100),"NA",IF(((AQ206/AI206-1)*100)&gt;100,"NM",IF(((AQ206/AI206-1)*100)&lt;-50,"NM",(AQ206/AI206-1)*100)))</f>
        <v>-3.830244187598153</v>
      </c>
      <c r="AS206" s="185">
        <f>+AS205/AS191*100</f>
        <v>23.703703703703706</v>
      </c>
      <c r="AT206" s="81">
        <f>IF(ISERROR((AS206/AK206-1)*100),"NA",IF(((AS206/AK206-1)*100)&gt;100,"NM",IF(((AS206/AK206-1)*100)&lt;-50,"NM",(AS206/AK206-1)*100)))</f>
        <v>14.359094824211027</v>
      </c>
      <c r="AU206" s="185">
        <f>+AU205/AU191*100</f>
        <v>23.326403326403337</v>
      </c>
      <c r="AV206" s="81">
        <f>IF(ISERROR((AU206/AM206-1)*100),"NA",IF(((AU206/AM206-1)*100)&gt;100,"NM",IF(((AU206/AM206-1)*100)&lt;-50,"NM",(AU206/AM206-1)*100)))</f>
        <v>31.373399847976223</v>
      </c>
      <c r="AW206" s="185">
        <f>+AW205/AW191*100</f>
        <v>24.670433145009415</v>
      </c>
      <c r="AX206" s="81">
        <f>IF(ISERROR((AW206/AO206-1)*100),"NA",IF(((AW206/AO206-1)*100)&gt;100,"NM",IF(((AW206/AO206-1)*100)&lt;-50,"NM",(AW206/AO206-1)*100)))</f>
        <v>36.051005461820537</v>
      </c>
      <c r="AY206" s="185">
        <f>+AY205/AY191*100</f>
        <v>29.007092198581553</v>
      </c>
      <c r="AZ206" s="81">
        <f>IF(ISERROR((AY206/AQ206-1)*100),"NA",IF(((AY206/AQ206-1)*100)&gt;100,"NM",IF(((AY206/AQ206-1)*100)&lt;-50,"NM",(AY206/AQ206-1)*100)))</f>
        <v>38.798641980636781</v>
      </c>
      <c r="BA206" s="185">
        <f>+BA205/BA191*100</f>
        <v>27.105952826656683</v>
      </c>
      <c r="BB206" s="81">
        <f>IF(ISERROR((BA206/AS206-1)*100),"NA",IF(((BA206/AS206-1)*100)&gt;100,"NM",IF(((BA206/AS206-1)*100)&lt;-50,"NM",(BA206/AS206-1)*100)))</f>
        <v>14.353238487457865</v>
      </c>
      <c r="BC206" s="185">
        <f>+BC205/BC191*100</f>
        <v>25.238419618528617</v>
      </c>
      <c r="BD206" s="81">
        <f>IF(ISERROR((BC206/AU206-1)*100),"NA",IF(((BC206/AU206-1)*100)&gt;100,"NM",IF(((BC206/AU206-1)*100)&lt;-50,"NM",(BC206/AU206-1)*100)))</f>
        <v>8.1967899867402707</v>
      </c>
      <c r="BE206" s="185">
        <f>+BE205/BE191*100</f>
        <v>33.390352377694157</v>
      </c>
      <c r="BF206" s="81">
        <f>IF(ISERROR((BE206/AW206-1)*100),"NA",IF(((BE206/AW206-1)*100)&gt;100,"NM",IF(((BE206/AW206-1)*100)&lt;-50,"NM",(BE206/AW206-1)*100)))</f>
        <v>35.345626813401523</v>
      </c>
      <c r="BG206" s="185">
        <f>+BG205/BG191*100</f>
        <v>26.716808371484625</v>
      </c>
      <c r="BH206" s="81">
        <f>IF(ISERROR((BG206/AY206-1)*100),"NA",IF(((BG206/AY206-1)*100)&gt;100,"NM",IF(((BG206/AY206-1)*100)&lt;-50,"NM",(BG206/AY206-1)*100)))</f>
        <v>-7.8955995017278013</v>
      </c>
      <c r="BI206" s="185">
        <f>+BI205/BI191*100</f>
        <v>29.756441934345219</v>
      </c>
      <c r="BJ206" s="81">
        <f>IF(ISERROR((BI206/BA206-1)*100),"NA",IF(((BI206/BA206-1)*100)&gt;100,"NM",IF(((BI206/BA206-1)*100)&lt;-50,"NM",(BI206/BA206-1)*100)))</f>
        <v>9.7782547052984512</v>
      </c>
      <c r="BK206" s="185">
        <f>+BK205/BK191*100</f>
        <v>31.561008861622348</v>
      </c>
      <c r="BL206" s="81">
        <f>IF(ISERROR((BK206/BC206-1)*100),"NA",IF(((BK206/BC206-1)*100)&gt;100,"NM",IF(((BK206/BC206-1)*100)&lt;-50,"NM",(BK206/BC206-1)*100)))</f>
        <v>25.051446717575153</v>
      </c>
      <c r="BM206" s="185">
        <f>+BM205/BM191*100</f>
        <v>34.082535003684598</v>
      </c>
      <c r="BN206" s="81">
        <f>IF(ISERROR((BM206/BE206-1)*100),"NA",IF(((BM206/BE206-1)*100)&gt;100,"NM",IF(((BM206/BE206-1)*100)&lt;-50,"NM",(BM206/BE206-1)*100)))</f>
        <v>2.0730018604201428</v>
      </c>
      <c r="BO206" s="185">
        <f>+BO205/BO191*100</f>
        <v>24.255886272767665</v>
      </c>
      <c r="BP206" s="81">
        <f>IF(ISERROR((BO206/BG206-1)*100),"NA",IF(((BO206/BG206-1)*100)&gt;100,"NM",IF(((BO206/BG206-1)*100)&lt;-50,"NM",(BO206/BG206-1)*100)))</f>
        <v>-9.2111380390164861</v>
      </c>
      <c r="BQ206" s="185">
        <f>+BQ205/BQ191*100</f>
        <v>32.703412073490817</v>
      </c>
      <c r="BR206" s="81">
        <f>IF(ISERROR((BQ206/BI206-1)*100),"NA",IF(((BQ206/BI206-1)*100)&gt;100,"NM",IF(((BQ206/BI206-1)*100)&lt;-50,"NM",(BQ206/BI206-1)*100)))</f>
        <v>9.903637490153594</v>
      </c>
      <c r="BS206" s="185">
        <f>+BS205/BS191*100</f>
        <v>32.309169467114742</v>
      </c>
      <c r="BT206" s="81">
        <f>IF(ISERROR((BS206/BK206-1)*100),"NA",IF(((BS206/BK206-1)*100)&gt;100,"NM",IF(((BS206/BK206-1)*100)&lt;-50,"NM",(BS206/BK206-1)*100)))</f>
        <v>2.3705218320893007</v>
      </c>
      <c r="BU206" s="185">
        <f>+BU205/BU191*100</f>
        <v>30.446058091286304</v>
      </c>
      <c r="BV206" s="81">
        <f>IF(ISERROR((BU206/BM206-1)*100),"NA",IF(((BU206/BM206-1)*100)&gt;100,"NM",IF(((BU206/BM206-1)*100)&lt;-50,"NM",(BU206/BM206-1)*100)))</f>
        <v>-10.669619827296184</v>
      </c>
      <c r="BW206" s="185">
        <f>+BW205/BW191*100</f>
        <v>27.68744354110207</v>
      </c>
      <c r="BX206" s="81">
        <f>IF(ISERROR((BW206/BO206-1)*100),"NA",IF(((BW206/BO206-1)*100)&gt;100,"NM",IF(((BW206/BO206-1)*100)&lt;-50,"NM",(BW206/BO206-1)*100)))</f>
        <v>14.147317602602104</v>
      </c>
      <c r="BY206" s="185">
        <f>+BY205/BY191*100</f>
        <v>29.403202328966525</v>
      </c>
      <c r="BZ206" s="81">
        <f>IF(ISERROR((BY206/BQ206-1)*100),"NA",IF(((BY206/BQ206-1)*100)&gt;100,"NM",IF(((BY206/BQ206-1)*100)&lt;-50,"NM",(BY206/BQ206-1)*100)))</f>
        <v>-10.091331562309435</v>
      </c>
      <c r="CA206" s="185">
        <f>+CA205/CA191*100</f>
        <v>26.883910386965365</v>
      </c>
      <c r="CB206" s="81">
        <f>IF(ISERROR((CA206/BS206-1)*100),"NA",IF(((CA206/BS206-1)*100)&gt;100,"NM",IF(((CA206/BS206-1)*100)&lt;-50,"NM",(CA206/BS206-1)*100)))</f>
        <v>-16.791700837966051</v>
      </c>
      <c r="CC206" s="185">
        <f>+CC205/CC191*100</f>
        <v>23.828514456630113</v>
      </c>
      <c r="CD206" s="81">
        <f>IF(ISERROR((CC206/BU206-1)*100),"NA",IF(((CC206/BU206-1)*100)&gt;100,"NM",IF(((CC206/BU206-1)*100)&lt;-50,"NM",(CC206/BU206-1)*100)))</f>
        <v>-21.73530515778047</v>
      </c>
      <c r="CE206" s="185">
        <f>+CE205/CE191*100</f>
        <v>21.8065693430657</v>
      </c>
      <c r="CF206" s="81">
        <f>IF(ISERROR((CE206/BW206-1)*100),"NA",IF(((CE206/BW206-1)*100)&gt;100,"NM",IF(((CE206/BW206-1)*100)&lt;-50,"NM",(CE206/BW206-1)*100)))</f>
        <v>-21.240221002369541</v>
      </c>
      <c r="CG206" s="185">
        <f>+CG205/CG191*100</f>
        <v>23.055162659123056</v>
      </c>
      <c r="CH206" s="81">
        <f>IF(ISERROR((CG206/BY206-1)*100),"NA",IF(((CG206/BY206-1)*100)&gt;100,"NM",IF(((CG206/BY206-1)*100)&lt;-50,"NM",(CG206/BY206-1)*100)))</f>
        <v>-21.589620065259719</v>
      </c>
      <c r="CI206" s="185">
        <f>+CI205/CI191*100</f>
        <v>24.327897752313802</v>
      </c>
      <c r="CJ206" s="81">
        <f>IF(ISERROR((CI206/CA206-1)*100),"NA",IF(((CI206/CA206-1)*100)&gt;100,"NM",IF(((CI206/CA206-1)*100)&lt;-50,"NM",(CI206/CA206-1)*100)))</f>
        <v>-9.5075924516205834</v>
      </c>
      <c r="CK206" s="185">
        <f>+CK205/CK191*100</f>
        <v>15.859232175502736</v>
      </c>
      <c r="CL206" s="81">
        <f>IF(ISERROR((CK206/CC206-1)*100),"NA",IF(((CK206/CC206-1)*100)&gt;100,"NM",IF(((CK206/CC206-1)*100)&lt;-50,"NM",(CK206/CC206-1)*100)))</f>
        <v>-33.444310158873471</v>
      </c>
      <c r="CM206" s="185">
        <f>+CM205/CM191*100</f>
        <v>23.590909090909093</v>
      </c>
      <c r="CN206" s="81">
        <f>IF(ISERROR((CM206/CE206-1)*100),"NA",IF(((CM206/CE206-1)*100)&gt;100,"NM",IF(((CM206/CE206-1)*100)&lt;-50,"NM",(CM206/CE206-1)*100)))</f>
        <v>8.1825789273487715</v>
      </c>
      <c r="CO206" s="185">
        <f>+CO205/CO191*100</f>
        <v>18.716835504100331</v>
      </c>
      <c r="CP206" s="81">
        <f>IF(ISERROR((CO206/CG206-1)*100),"NA",IF(((CO206/CG206-1)*100)&gt;100,"NM",IF(((CO206/CG206-1)*100)&lt;-50,"NM",(CO206/CG206-1)*100)))</f>
        <v>-18.817161341110832</v>
      </c>
      <c r="CQ206" s="185">
        <f>+CQ205/CQ191*100</f>
        <v>13.489208633093513</v>
      </c>
      <c r="CR206" s="81">
        <f>IF(ISERROR((CQ206/CI206-1)*100),"NA",IF(((CQ206/CI206-1)*100)&gt;100,"NM",IF(((CQ206/CI206-1)*100)&lt;-50,"NM",(CQ206/CI206-1)*100)))</f>
        <v>-44.55251016578049</v>
      </c>
      <c r="CS206" s="185">
        <f>+CS205/CS191*100</f>
        <v>13.095238095238097</v>
      </c>
      <c r="CT206" s="81">
        <f>IF(ISERROR((CS206/CK206-1)*100),"NA",IF(((CS206/CK206-1)*100)&gt;100,"NM",IF(((CS206/CK206-1)*100)&lt;-50,"NM",(CS206/CK206-1)*100)))</f>
        <v>-17.428296967201828</v>
      </c>
      <c r="CU206" s="185">
        <f>+CU205/CU191*100</f>
        <v>15.500442869796279</v>
      </c>
      <c r="CV206" s="81">
        <f>IF(ISERROR((CU206/CM206-1)*100),"NA",IF(((CU206/CM206-1)*100)&gt;100,"NM",IF(((CU206/CM206-1)*100)&lt;-50,"NM",(CU206/CM206-1)*100)))</f>
        <v>-34.294847180054312</v>
      </c>
      <c r="CW206" s="185">
        <f>+CW205/CW191*100</f>
        <v>17.916428162564401</v>
      </c>
      <c r="CX206" s="81">
        <f>IF(ISERROR((CW206/CO206-1)*100),"NA",IF(((CW206/CO206-1)*100)&gt;100,"NM",IF(((CW206/CO206-1)*100)&lt;-50,"NM",(CW206/CO206-1)*100)))</f>
        <v>-4.2764031417628416</v>
      </c>
      <c r="CY206" s="185">
        <f>+CY205/CY191*100</f>
        <v>18.316019682886825</v>
      </c>
      <c r="CZ206" s="81">
        <f>IF(ISERROR((CY206/CQ206-1)*100),"NA",IF(((CY206/CQ206-1)*100)&gt;100,"NM",IF(((CY206/CQ206-1)*100)&lt;-50,"NM",(CY206/CQ206-1)*100)))</f>
        <v>35.782759249134457</v>
      </c>
      <c r="DA206" s="185">
        <f>+DA205/DA191*100</f>
        <v>18.664281454979132</v>
      </c>
      <c r="DB206" s="81">
        <f>IF(ISERROR((DA206/CS206-1)*100),"NA",IF(((DA206/CS206-1)*100)&gt;100,"NM",IF(((DA206/CS206-1)*100)&lt;-50,"NM",(DA206/CS206-1)*100)))</f>
        <v>42.527240201658813</v>
      </c>
      <c r="DC206" s="185">
        <f>+DC205/DC191*100</f>
        <v>19.955530850472485</v>
      </c>
      <c r="DD206" s="81">
        <f>IF(ISERROR((DC206/CU206-1)*100),"NA",IF(((DC206/CU206-1)*100)&gt;100,"NM",IF(((DC206/CU206-1)*100)&lt;-50,"NM",(DC206/CU206-1)*100)))</f>
        <v>28.741681886762493</v>
      </c>
      <c r="DE206" s="185">
        <f>+DE205/DE191*100</f>
        <v>19.708423326133897</v>
      </c>
      <c r="DF206" s="81">
        <f>IF(ISERROR((DE206/CW206-1)*100),"NA",IF(((DE206/CW206-1)*100)&gt;100,"NM",IF(((DE206/CW206-1)*100)&lt;-50,"NM",(DE206/CW206-1)*100)))</f>
        <v>10.001966615833568</v>
      </c>
      <c r="DG206" s="185">
        <f>+DG205/DG191*100</f>
        <v>19.949622166246851</v>
      </c>
      <c r="DH206" s="81">
        <f>IF(ISERROR((DG206/CY206-1)*100),"NA",IF(((DG206/CY206-1)*100)&gt;100,"NM",IF(((DG206/CY206-1)*100)&lt;-50,"NM",(DG206/CY206-1)*100)))</f>
        <v>8.9189819166134008</v>
      </c>
      <c r="DI206" s="185">
        <f>+DI205/DI191*100</f>
        <v>17.914438502673796</v>
      </c>
      <c r="DJ206" s="81">
        <f>IF(ISERROR((DI206/DA206-1)*100),"NA",IF(((DI206/DA206-1)*100)&gt;100,"NM",IF(((DI206/DA206-1)*100)&lt;-50,"NM",(DI206/DA206-1)*100)))</f>
        <v>-4.0175291725752293</v>
      </c>
      <c r="DK206" s="185">
        <f>+DK205/DK191*100</f>
        <v>20.373333333333342</v>
      </c>
      <c r="DL206" s="81">
        <f>IF(ISERROR((DK206/DC206-1)*100),"NA",IF(((DK206/DC206-1)*100)&gt;100,"NM",IF(((DK206/DC206-1)*100)&lt;-50,"NM",(DK206/DC206-1)*100)))</f>
        <v>2.093667595171822</v>
      </c>
      <c r="DM206" s="185">
        <f>+DM205/DM191*100</f>
        <v>20.061538461538458</v>
      </c>
      <c r="DN206" s="81">
        <f>IF(ISERROR((DM206/DE206-1)*100),"NA",IF(((DM206/DE206-1)*100)&gt;100,"NM",IF(((DM206/DE206-1)*100)&lt;-50,"NM",(DM206/DE206-1)*100)))</f>
        <v>1.7916965226554726</v>
      </c>
      <c r="DO206" s="185">
        <f>+DO205/DO191*100</f>
        <v>21.183628318584063</v>
      </c>
      <c r="DP206" s="81">
        <f>IF(ISERROR((DO206/DG206-1)*100),"NA",IF(((DO206/DG206-1)*100)&gt;100,"NM",IF(((DO206/DG206-1)*100)&lt;-50,"NM",(DO206/DG206-1)*100)))</f>
        <v>6.1856116474478862</v>
      </c>
      <c r="DQ206" s="185">
        <f>+DQ205/DQ191*100</f>
        <v>18.945538818076489</v>
      </c>
      <c r="DR206" s="81">
        <f>IF(ISERROR((DQ206/DI206-1)*100),"NA",IF(((DQ206/DI206-1)*100)&gt;100,"NM",IF(((DQ206/DI206-1)*100)&lt;-50,"NM",(DQ206/DI206-1)*100)))</f>
        <v>5.7556942979195114</v>
      </c>
      <c r="DS206" s="185">
        <f>+DS205/DS191*100</f>
        <v>19.978401727861772</v>
      </c>
      <c r="DT206" s="81">
        <f>IF(ISERROR((DS206/DK206-1)*100),"NA",IF(((DS206/DK206-1)*100)&gt;100,"NM",IF(((DS206/DK206-1)*100)&lt;-50,"NM",(DS206/DK206-1)*100)))</f>
        <v>-1.9384731943957956</v>
      </c>
      <c r="DU206" s="185">
        <f>+DU205/DU191*100</f>
        <v>20.228777844671892</v>
      </c>
      <c r="DV206" s="81">
        <f>IF(ISERROR((DU206/DM206-1)*100),"NA",IF(((DU206/DM206-1)*100)&gt;100,"NM",IF(((DU206/DM206-1)*100)&lt;-50,"NM",(DU206/DM206-1)*100)))</f>
        <v>0.83363189445346819</v>
      </c>
      <c r="DW206" s="185">
        <f>+DW205/DW191*100</f>
        <v>21.085714285714289</v>
      </c>
      <c r="DX206" s="81">
        <f>IF(ISERROR((DW206/DO206-1)*100),"NA",IF(((DW206/DO206-1)*100)&gt;100,"NM",IF(((DW206/DO206-1)*100)&lt;-50,"NM",(DW206/DO206-1)*100)))</f>
        <v>-0.46221559119725697</v>
      </c>
      <c r="DY206" s="185">
        <f>+DY205/DY191*100</f>
        <v>18.100128369704759</v>
      </c>
      <c r="DZ206" s="81">
        <f>IF(ISERROR((DY206/DQ206-1)*100),"NA",IF(((DY206/DQ206-1)*100)&gt;100,"NM",IF(((DY206/DQ206-1)*100)&lt;-50,"NM",(DY206/DQ206-1)*100)))</f>
        <v>-4.4623193696929793</v>
      </c>
      <c r="EA206" s="185">
        <f>+EA205/EA191*100</f>
        <v>19.840743198407441</v>
      </c>
      <c r="EB206" s="81">
        <f>IF(ISERROR((EA206/DS206-1)*100),"NA",IF(((EA206/DS206-1)*100)&gt;100,"NM",IF(((EA206/DS206-1)*100)&lt;-50,"NM",(EA206/DS206-1)*100)))</f>
        <v>-0.68903674743087118</v>
      </c>
      <c r="EC206" s="185">
        <f>+EC205/EC191*100</f>
        <v>17.985125084516561</v>
      </c>
      <c r="ED206" s="81">
        <f t="shared" si="673"/>
        <v>-11.091390579220251</v>
      </c>
      <c r="EE206" s="185">
        <f>+EE205/EE191*100</f>
        <v>18.062500000000004</v>
      </c>
      <c r="EF206" s="81">
        <f t="shared" si="674"/>
        <v>-14.337737127371275</v>
      </c>
      <c r="EG206" s="185">
        <f>+EG205/EG191*100</f>
        <v>16.187499999999986</v>
      </c>
      <c r="EH206" s="81">
        <f t="shared" si="675"/>
        <v>-10.566932624113601</v>
      </c>
      <c r="EI206" s="185">
        <f>+EI205/EI191*100</f>
        <v>17.956469165659016</v>
      </c>
      <c r="EJ206" s="81">
        <f t="shared" si="676"/>
        <v>-9.4969932018457381</v>
      </c>
      <c r="EK206" s="185">
        <f t="shared" ref="EK206:EQ206" si="682">+EK205/EK191*100</f>
        <v>17.583097467283462</v>
      </c>
      <c r="EL206" s="81">
        <f t="shared" si="678"/>
        <v>-2.235334007096812</v>
      </c>
      <c r="EM206" s="185">
        <f t="shared" si="682"/>
        <v>17.498158050179352</v>
      </c>
      <c r="EN206" s="81">
        <f t="shared" si="679"/>
        <v>-3.1243844972769663</v>
      </c>
      <c r="EO206" s="185">
        <f t="shared" si="682"/>
        <v>17.083271509597989</v>
      </c>
      <c r="EP206" s="81">
        <f t="shared" si="680"/>
        <v>5.5337236114162414</v>
      </c>
      <c r="EQ206" s="185">
        <f t="shared" si="682"/>
        <v>16.786863153215663</v>
      </c>
      <c r="ER206" s="81">
        <f t="shared" si="681"/>
        <v>-6.5135634497687001</v>
      </c>
      <c r="ES206" s="129"/>
      <c r="ET206" s="469"/>
      <c r="EU206" s="129"/>
      <c r="EV206" s="185"/>
      <c r="EW206" s="79"/>
      <c r="EX206" s="185"/>
      <c r="EY206" s="79"/>
      <c r="EZ206" s="185"/>
      <c r="FA206" s="79"/>
      <c r="FB206" s="185"/>
      <c r="FC206" s="79"/>
      <c r="FD206" s="185">
        <f>+FD205/FD191*100</f>
        <v>17.237103174603174</v>
      </c>
      <c r="FE206" s="79" t="str">
        <f>IF(ISERROR((FD206/FB206-1)*100),"NA",IF(((FD206/FB206-1)*100)&gt;100,"NM",IF(((FD206/FB206-1)*100)&lt;-50,"NM",(FD206/FB206-1)*100)))</f>
        <v>NA</v>
      </c>
      <c r="FF206" s="185">
        <f>+FF205/FF191*100</f>
        <v>18.874283788338388</v>
      </c>
      <c r="FG206" s="79">
        <f>IF(ISERROR((FF206/FD206-1)*100),"NA",IF(((FF206/FD206-1)*100)&gt;100,"NM",IF(((FF206/FD206-1)*100)&lt;-50,"NM",(FF206/FD206-1)*100)))</f>
        <v>9.4980032152235836</v>
      </c>
      <c r="FH206" s="185">
        <f>+FH205/FH191*100</f>
        <v>18.870042404589668</v>
      </c>
      <c r="FI206" s="79">
        <f>IF(ISERROR((FH206/FF206-1)*100),"NA",IF(((FH206/FF206-1)*100)&gt;100,"NM",IF(((FH206/FF206-1)*100)&lt;-50,"NM",(FH206/FF206-1)*100)))</f>
        <v>-2.247175996866746E-2</v>
      </c>
      <c r="FJ206" s="185">
        <f>+FJ205/FJ191*100</f>
        <v>19.363762102351327</v>
      </c>
      <c r="FK206" s="79">
        <f>IF(ISERROR((FJ206/FH206-1)*100),"NA",IF(((FJ206/FH206-1)*100)&gt;100,"NM",IF(((FJ206/FH206-1)*100)&lt;-50,"NM",(FJ206/FH206-1)*100)))</f>
        <v>2.6164207116014415</v>
      </c>
      <c r="FL206" s="185">
        <f>+FL205/FL191*100</f>
        <v>25.336609336609335</v>
      </c>
      <c r="FM206" s="79">
        <f>IF(ISERROR((FL206/FJ206-1)*100),"NA",IF(((FL206/FJ206-1)*100)&gt;100,"NM",IF(((FL206/FJ206-1)*100)&lt;-50,"NM",(FL206/FJ206-1)*100)))</f>
        <v>30.845489645489543</v>
      </c>
      <c r="FN206" s="185">
        <f>+FN205/FN191*100</f>
        <v>28.11529168104936</v>
      </c>
      <c r="FO206" s="79">
        <f>IF(ISERROR((FN206/FL206-1)*100),"NA",IF(((FN206/FL206-1)*100)&gt;100,"NM",IF(((FN206/FL206-1)*100)&lt;-50,"NM",(FN206/FL206-1)*100)))</f>
        <v>10.967064722528018</v>
      </c>
      <c r="FP206" s="185">
        <f>+FP205/FP191*100</f>
        <v>30.190085724934757</v>
      </c>
      <c r="FQ206" s="79">
        <f>IF(ISERROR((FP206/FN206-1)*100),"NA",IF(((FP206/FN206-1)*100)&gt;100,"NM",IF(((FP206/FN206-1)*100)&lt;-50,"NM",(FP206/FN206-1)*100)))</f>
        <v>7.3795928117077914</v>
      </c>
      <c r="FR206" s="185">
        <f>+FR205/FR191*100</f>
        <v>30.996309963099623</v>
      </c>
      <c r="FS206" s="79">
        <f>IF(ISERROR((FR206/FP206-1)*100),"NA",IF(((FR206/FP206-1)*100)&gt;100,"NM",IF(((FR206/FP206-1)*100)&lt;-50,"NM",(FR206/FP206-1)*100)))</f>
        <v>2.6704933716004131</v>
      </c>
      <c r="FT206" s="185">
        <f>+FT205/FT191*100</f>
        <v>25.416514654019217</v>
      </c>
      <c r="FU206" s="79">
        <f>IF(ISERROR((FT206/FR206-1)*100),"NA",IF(((FT206/FR206-1)*100)&gt;100,"NM",IF(((FT206/FR206-1)*100)&lt;-50,"NM",(FT206/FR206-1)*100)))</f>
        <v>-18.001482485247511</v>
      </c>
      <c r="FV206" s="185">
        <f>+FV205/FV191*100</f>
        <v>21.724766461608574</v>
      </c>
      <c r="FW206" s="79">
        <f>IF(ISERROR((FV206/FT206-1)*100),"NA",IF(((FV206/FT206-1)*100)&gt;100,"NM",IF(((FV206/FT206-1)*100)&lt;-50,"NM",(FV206/FT206-1)*100)))</f>
        <v>-14.5249977924367</v>
      </c>
      <c r="FX206" s="185">
        <f>+FX205/FX191*100</f>
        <v>15.170421721548221</v>
      </c>
      <c r="FY206" s="79">
        <f>IF(ISERROR((FX206/FV206-1)*100),"NA",IF(((FX206/FV206-1)*100)&gt;100,"NM",IF(((FX206/FV206-1)*100)&lt;-50,"NM",(FX206/FV206-1)*100)))</f>
        <v>-30.169920360907053</v>
      </c>
      <c r="FZ206" s="185">
        <f>+FZ205/FZ191*100</f>
        <v>18.718094157685762</v>
      </c>
      <c r="GA206" s="79">
        <f>IF(ISERROR((FZ206/FX206-1)*100),"NA",IF(((FZ206/FX206-1)*100)&gt;100,"NM",IF(((FZ206/FX206-1)*100)&lt;-50,"NM",(FZ206/FX206-1)*100)))</f>
        <v>23.385456919094018</v>
      </c>
      <c r="GB206" s="185">
        <f>+GB205/GB191*100</f>
        <v>19.493537325243995</v>
      </c>
      <c r="GC206" s="79">
        <f>IF(ISERROR((GB206/FZ206-1)*100),"NA",IF(((GB206/FZ206-1)*100)&gt;100,"NM",IF(((GB206/FZ206-1)*100)&lt;-50,"NM",(GB206/FZ206-1)*100)))</f>
        <v>4.1427463769853512</v>
      </c>
      <c r="GD206" s="185">
        <f>+GD205/GD191*100</f>
        <v>20.054200542005411</v>
      </c>
      <c r="GE206" s="79">
        <f>IF(ISERROR((GD206/GB206-1)*100),"NA",IF(((GD206/GB206-1)*100)&gt;100,"NM",IF(((GD206/GB206-1)*100)&lt;-50,"NM",(GD206/GB206-1)*100)))</f>
        <v>2.8761491945095141</v>
      </c>
      <c r="GF206" s="185">
        <f>+GF205/GF191*100</f>
        <v>19.857936998147007</v>
      </c>
      <c r="GG206" s="79">
        <f>IF(ISERROR((GF206/GD206-1)*100),"NA",IF(((GF206/GD206-1)*100)&gt;100,"NM",IF(((GF206/GD206-1)*100)&lt;-50,"NM",(GF206/GD206-1)*100)))</f>
        <v>-0.97866550923987328</v>
      </c>
      <c r="GH206" s="185">
        <f>+GH205/GH191*100</f>
        <v>17.54302858045159</v>
      </c>
      <c r="GI206" s="79">
        <f>IF(ISERROR((GH206/GF206-1)*100),"NA",IF(((GH206/GF206-1)*100)&gt;100,"NM",IF(((GH206/GF206-1)*100)&lt;-50,"NM",(GH206/GF206-1)*100)))</f>
        <v>-11.657345966559497</v>
      </c>
      <c r="GJ206" s="185">
        <f>+GJ205/GJ191*100</f>
        <v>17.236153444178804</v>
      </c>
      <c r="GK206" s="79">
        <f>IF(ISERROR((GJ206/GH206-1)*100),"NA",IF(((GJ206/GH206-1)*100)&gt;100,"NM",IF(((GJ206/GH206-1)*100)&lt;-50,"NM",(GJ206/GH206-1)*100)))</f>
        <v>-1.7492711413281348</v>
      </c>
      <c r="GL206" s="185">
        <f>+GL205/GL191*100</f>
        <v>17.329632947163677</v>
      </c>
      <c r="GM206" s="79">
        <f>IF(ISERROR((GL206/GJ206-1)*100),"NA",IF(((GL206/GJ206-1)*100)&gt;100,"NM",IF(((GL206/GJ206-1)*100)&lt;-50,"NM",(GL206/GJ206-1)*100)))</f>
        <v>0.54234550236291756</v>
      </c>
      <c r="GN206" s="185">
        <f>+GN205/GN191*100</f>
        <v>17.422628250711064</v>
      </c>
      <c r="GO206" s="79">
        <f>IF(ISERROR((GN206/GL206-1)*100),"NA",IF(((GN206/GL206-1)*100)&gt;100,"NM",IF(((GN206/GL206-1)*100)&lt;-50,"NM",(GN206/GL206-1)*100)))</f>
        <v>0.53662592757111049</v>
      </c>
      <c r="GP206" s="185">
        <f>+GP205/GP191*100</f>
        <v>17.515157977876285</v>
      </c>
      <c r="GQ206" s="79">
        <f>IF(ISERROR((GP206/GN206-1)*100),"NA",IF(((GP206/GN206-1)*100)&gt;100,"NM",IF(((GP206/GN206-1)*100)&lt;-50,"NM",(GP206/GN206-1)*100)))</f>
        <v>0.5310893731629962</v>
      </c>
      <c r="GR206" s="185">
        <f>+GR205/GR191*100</f>
        <v>17.526349717832286</v>
      </c>
      <c r="GS206" s="79">
        <f>IF(ISERROR((GR206/GP206-1)*100),"NA",IF(((GR206/GP206-1)*100)&gt;100,"NM",IF(((GR206/GP206-1)*100)&lt;-50,"NM",(GR206/GP206-1)*100)))</f>
        <v>6.3897453680628047E-2</v>
      </c>
      <c r="GT206" s="79">
        <f>IF(ISERROR(((GR206/GH206)^0.2-1)*100),"NA",(IF(OR(((GR206/GH206)^0.2-1)*100&gt;99,((GR206/GH206)^0.2-1)*100&lt;-50),"NM",(((GR206/GH206)^0.2-1)*100))))</f>
        <v>-1.9022039517957445E-2</v>
      </c>
    </row>
    <row r="207" spans="1:286" ht="12.75" customHeight="1" x14ac:dyDescent="0.2">
      <c r="A207" s="1"/>
      <c r="C207" s="79"/>
      <c r="D207" s="79"/>
      <c r="E207" s="185"/>
      <c r="F207" s="185"/>
      <c r="G207" s="185"/>
      <c r="H207" s="185"/>
      <c r="I207" s="185"/>
      <c r="J207" s="185"/>
      <c r="K207" s="185"/>
      <c r="L207" s="79"/>
      <c r="M207" s="185"/>
      <c r="N207" s="79"/>
      <c r="O207" s="185"/>
      <c r="P207" s="79"/>
      <c r="Q207" s="185"/>
      <c r="R207" s="79"/>
      <c r="S207" s="185"/>
      <c r="T207" s="79"/>
      <c r="U207" s="185"/>
      <c r="V207" s="79"/>
      <c r="W207" s="185"/>
      <c r="X207" s="79"/>
      <c r="Y207" s="185"/>
      <c r="Z207" s="79"/>
      <c r="AA207" s="252"/>
      <c r="AB207" s="79"/>
      <c r="AC207" s="185"/>
      <c r="AD207" s="79"/>
      <c r="AE207" s="185"/>
      <c r="AF207" s="79"/>
      <c r="AG207" s="185"/>
      <c r="AH207" s="79"/>
      <c r="AI207" s="185"/>
      <c r="AJ207" s="79"/>
      <c r="AK207" s="185"/>
      <c r="AL207" s="79"/>
      <c r="AM207" s="185"/>
      <c r="AN207" s="79"/>
      <c r="AO207" s="185"/>
      <c r="AP207" s="79"/>
      <c r="AQ207" s="185"/>
      <c r="AR207" s="79"/>
      <c r="AS207" s="185"/>
      <c r="AT207" s="81"/>
      <c r="AU207" s="185"/>
      <c r="AV207" s="81"/>
      <c r="AW207" s="185"/>
      <c r="AX207" s="81"/>
      <c r="AY207" s="185"/>
      <c r="AZ207" s="81"/>
      <c r="BA207" s="185"/>
      <c r="BB207" s="81"/>
      <c r="BC207" s="185"/>
      <c r="BD207" s="81"/>
      <c r="BE207" s="185"/>
      <c r="BF207" s="81"/>
      <c r="BG207" s="185"/>
      <c r="BH207" s="81"/>
      <c r="BI207" s="185"/>
      <c r="BJ207" s="81"/>
      <c r="BK207" s="185"/>
      <c r="BL207" s="81"/>
      <c r="BM207" s="185"/>
      <c r="BN207" s="81"/>
      <c r="BO207" s="185"/>
      <c r="BP207" s="81"/>
      <c r="BQ207" s="185"/>
      <c r="BR207" s="81"/>
      <c r="BS207" s="185"/>
      <c r="BT207" s="81"/>
      <c r="BU207" s="185"/>
      <c r="BV207" s="81"/>
      <c r="BW207" s="185"/>
      <c r="BX207" s="81"/>
      <c r="BY207" s="185"/>
      <c r="BZ207" s="81"/>
      <c r="CA207" s="185"/>
      <c r="CB207" s="81"/>
      <c r="CC207" s="185"/>
      <c r="CD207" s="81"/>
      <c r="CE207" s="185"/>
      <c r="CF207" s="81"/>
      <c r="CG207" s="185"/>
      <c r="CH207" s="81"/>
      <c r="CI207" s="185"/>
      <c r="CJ207" s="81"/>
      <c r="CK207" s="185"/>
      <c r="CL207" s="81"/>
      <c r="CM207" s="185"/>
      <c r="CN207" s="81"/>
      <c r="CO207" s="185"/>
      <c r="CP207" s="81"/>
      <c r="CQ207" s="185"/>
      <c r="CR207" s="81"/>
      <c r="CS207" s="185"/>
      <c r="CT207" s="81"/>
      <c r="CU207" s="185"/>
      <c r="CV207" s="81"/>
      <c r="CW207" s="185"/>
      <c r="CX207" s="81"/>
      <c r="CY207" s="185"/>
      <c r="CZ207" s="81"/>
      <c r="DA207" s="185"/>
      <c r="DB207" s="81"/>
      <c r="DC207" s="185"/>
      <c r="DD207" s="81"/>
      <c r="DE207" s="185"/>
      <c r="DF207" s="81"/>
      <c r="DG207" s="185"/>
      <c r="DH207" s="81"/>
      <c r="DI207" s="185"/>
      <c r="DJ207" s="81"/>
      <c r="DK207" s="185"/>
      <c r="DL207" s="81"/>
      <c r="DM207" s="185"/>
      <c r="DN207" s="81"/>
      <c r="DO207" s="185"/>
      <c r="DP207" s="81"/>
      <c r="DQ207" s="185"/>
      <c r="DR207" s="81"/>
      <c r="DS207" s="185"/>
      <c r="DT207" s="81"/>
      <c r="DU207" s="185"/>
      <c r="DV207" s="81"/>
      <c r="DW207" s="185"/>
      <c r="DX207" s="81"/>
      <c r="DY207" s="185"/>
      <c r="DZ207" s="81"/>
      <c r="EA207" s="185"/>
      <c r="EB207" s="81"/>
      <c r="EC207" s="185"/>
      <c r="ED207" s="81"/>
      <c r="EE207" s="185"/>
      <c r="EF207" s="81"/>
      <c r="EG207" s="185"/>
      <c r="EH207" s="81"/>
      <c r="EI207" s="185"/>
      <c r="EJ207" s="81"/>
      <c r="EK207" s="185"/>
      <c r="EL207" s="81"/>
      <c r="EM207" s="185"/>
      <c r="EN207" s="81"/>
      <c r="EO207" s="185"/>
      <c r="EP207" s="81"/>
      <c r="EQ207" s="185"/>
      <c r="ER207" s="81"/>
      <c r="ES207" s="129"/>
      <c r="ET207" s="469"/>
      <c r="EU207" s="129"/>
      <c r="EV207" s="185"/>
      <c r="EW207" s="79"/>
      <c r="EX207" s="185"/>
      <c r="EY207" s="79"/>
      <c r="EZ207" s="185"/>
      <c r="FA207" s="79"/>
      <c r="FB207" s="185"/>
      <c r="FC207" s="79"/>
      <c r="FD207" s="185"/>
      <c r="FE207" s="79"/>
      <c r="FF207" s="185"/>
      <c r="FG207" s="79"/>
      <c r="FH207" s="185"/>
      <c r="FI207" s="79"/>
      <c r="FJ207" s="185"/>
      <c r="FK207" s="79"/>
      <c r="FL207" s="185"/>
      <c r="FM207" s="79"/>
      <c r="FN207" s="185"/>
      <c r="FO207" s="79"/>
      <c r="FP207" s="185"/>
      <c r="FQ207" s="79"/>
      <c r="FR207" s="185"/>
      <c r="FS207" s="79"/>
      <c r="FT207" s="185"/>
      <c r="FU207" s="79"/>
      <c r="FV207" s="185"/>
      <c r="FW207" s="79"/>
      <c r="FX207" s="185"/>
      <c r="FY207" s="79"/>
      <c r="FZ207" s="185"/>
      <c r="GA207" s="79"/>
      <c r="GB207" s="185"/>
      <c r="GC207" s="79"/>
      <c r="GD207" s="185"/>
      <c r="GE207" s="79"/>
      <c r="GF207" s="185"/>
      <c r="GG207" s="79"/>
      <c r="GH207" s="185"/>
      <c r="GI207" s="79"/>
      <c r="GJ207" s="185"/>
      <c r="GK207" s="79"/>
      <c r="GL207" s="185"/>
      <c r="GM207" s="79"/>
      <c r="GN207" s="185"/>
      <c r="GO207" s="79"/>
      <c r="GP207" s="185"/>
      <c r="GQ207" s="79"/>
      <c r="GR207" s="185"/>
      <c r="GS207" s="79"/>
      <c r="GT207" s="79"/>
    </row>
    <row r="208" spans="1:286" ht="12.75" customHeight="1" x14ac:dyDescent="0.2">
      <c r="A208" s="1"/>
      <c r="B208" s="2" t="s">
        <v>256</v>
      </c>
      <c r="C208" s="79"/>
      <c r="D208" s="79"/>
      <c r="E208" s="171"/>
      <c r="F208" s="171"/>
      <c r="G208" s="171"/>
      <c r="H208" s="171"/>
      <c r="I208" s="171"/>
      <c r="J208" s="171"/>
      <c r="K208" s="171"/>
      <c r="L208" s="79"/>
      <c r="M208" s="171"/>
      <c r="N208" s="79"/>
      <c r="O208" s="171"/>
      <c r="P208" s="79"/>
      <c r="Q208" s="171"/>
      <c r="R208" s="79"/>
      <c r="S208" s="171"/>
      <c r="T208" s="79"/>
      <c r="U208" s="174">
        <v>0</v>
      </c>
      <c r="V208" s="79" t="str">
        <f>IF(ISERROR((U208/M208-1)*100),"NA",IF(((U208/M208-1)*100)&gt;100,"NM",IF(((U208/M208-1)*100)&lt;-50,"NM",(U208/M208-1)*100)))</f>
        <v>NA</v>
      </c>
      <c r="W208" s="174">
        <v>0</v>
      </c>
      <c r="X208" s="79" t="str">
        <f>IF(ISERROR((W208/O208-1)*100),"NA",IF(((W208/O208-1)*100)&gt;100,"NM",IF(((W208/O208-1)*100)&lt;-50,"NM",(W208/O208-1)*100)))</f>
        <v>NA</v>
      </c>
      <c r="Y208" s="174">
        <v>0</v>
      </c>
      <c r="Z208" s="79" t="str">
        <f>IF(ISERROR((Y208/Q208-1)*100),"NA",IF(((Y208/Q208-1)*100)&gt;100,"NM",IF(((Y208/Q208-1)*100)&lt;-50,"NM",(Y208/Q208-1)*100)))</f>
        <v>NA</v>
      </c>
      <c r="AA208" s="259">
        <v>0</v>
      </c>
      <c r="AB208" s="79" t="str">
        <f>IF(ISERROR((AA208/S208-1)*100),"NA",IF(((AA208/S208-1)*100)&gt;100,"NM",IF(((AA208/S208-1)*100)&lt;-50,"NM",(AA208/S208-1)*100)))</f>
        <v>NA</v>
      </c>
      <c r="AC208" s="174">
        <v>0</v>
      </c>
      <c r="AD208" s="79" t="str">
        <f>IF(ISERROR((AC208/U208-1)*100),"NA",IF(((AC208/U208-1)*100)&gt;100,"NM",IF(((AC208/U208-1)*100)&lt;-50,"NM",(AC208/U208-1)*100)))</f>
        <v>NA</v>
      </c>
      <c r="AE208" s="174">
        <v>0</v>
      </c>
      <c r="AF208" s="79" t="str">
        <f>IF(ISERROR((AE208/W208-1)*100),"NA",IF(((AE208/W208-1)*100)&gt;100,"NM",IF(((AE208/W208-1)*100)&lt;-50,"NM",(AE208/W208-1)*100)))</f>
        <v>NA</v>
      </c>
      <c r="AG208" s="174">
        <v>0</v>
      </c>
      <c r="AH208" s="79" t="str">
        <f>IF(ISERROR((AG208/Y208-1)*100),"NA",IF(((AG208/Y208-1)*100)&gt;100,"NM",IF(((AG208/Y208-1)*100)&lt;-50,"NM",(AG208/Y208-1)*100)))</f>
        <v>NA</v>
      </c>
      <c r="AI208" s="174">
        <v>0</v>
      </c>
      <c r="AJ208" s="79" t="str">
        <f>IF(ISERROR((AI208/AA208-1)*100),"NA",IF(((AI208/AA208-1)*100)&gt;100,"NM",IF(((AI208/AA208-1)*100)&lt;-50,"NM",(AI208/AA208-1)*100)))</f>
        <v>NA</v>
      </c>
      <c r="AK208" s="174">
        <v>0</v>
      </c>
      <c r="AL208" s="79" t="str">
        <f>IF(ISERROR((AK208/AC208-1)*100),"NA",IF(((AK208/AC208-1)*100)&gt;100,"NM",IF(((AK208/AC208-1)*100)&lt;-50,"NM",(AK208/AC208-1)*100)))</f>
        <v>NA</v>
      </c>
      <c r="AM208" s="174">
        <v>0</v>
      </c>
      <c r="AN208" s="79" t="str">
        <f>IF(ISERROR((AM208/AE208-1)*100),"NA",IF(((AM208/AE208-1)*100)&gt;100,"NM",IF(((AM208/AE208-1)*100)&lt;-50,"NM",(AM208/AE208-1)*100)))</f>
        <v>NA</v>
      </c>
      <c r="AO208" s="174">
        <v>0</v>
      </c>
      <c r="AP208" s="79" t="str">
        <f>IF(ISERROR((AO208/AG208-1)*100),"NA",IF(((AO208/AG208-1)*100)&gt;100,"NM",IF(((AO208/AG208-1)*100)&lt;-50,"NM",(AO208/AG208-1)*100)))</f>
        <v>NA</v>
      </c>
      <c r="AQ208" s="174">
        <v>0</v>
      </c>
      <c r="AR208" s="79" t="str">
        <f>IF(ISERROR((AQ208/AI208-1)*100),"NA",IF(((AQ208/AI208-1)*100)&gt;100,"NM",IF(((AQ208/AI208-1)*100)&lt;-50,"NM",(AQ208/AI208-1)*100)))</f>
        <v>NA</v>
      </c>
      <c r="AS208" s="174">
        <v>0</v>
      </c>
      <c r="AT208" s="81" t="str">
        <f>IF(ISERROR((AS208/AK208-1)*100),"NA",IF(((AS208/AK208-1)*100)&gt;100,"NM",IF(((AS208/AK208-1)*100)&lt;-50,"NM",(AS208/AK208-1)*100)))</f>
        <v>NA</v>
      </c>
      <c r="AU208" s="174">
        <v>0</v>
      </c>
      <c r="AV208" s="81" t="str">
        <f>IF(ISERROR((AU208/AM208-1)*100),"NA",IF(((AU208/AM208-1)*100)&gt;100,"NM",IF(((AU208/AM208-1)*100)&lt;-50,"NM",(AU208/AM208-1)*100)))</f>
        <v>NA</v>
      </c>
      <c r="AW208" s="174">
        <v>0</v>
      </c>
      <c r="AX208" s="81" t="str">
        <f>IF(ISERROR((AW208/AO208-1)*100),"NA",IF(((AW208/AO208-1)*100)&gt;100,"NM",IF(((AW208/AO208-1)*100)&lt;-50,"NM",(AW208/AO208-1)*100)))</f>
        <v>NA</v>
      </c>
      <c r="AY208" s="174">
        <v>11</v>
      </c>
      <c r="AZ208" s="81" t="str">
        <f>IF(ISERROR((AY208/AQ208-1)*100),"NA",IF(((AY208/AQ208-1)*100)&gt;100,"NM",IF(((AY208/AQ208-1)*100)&lt;-50,"NM",(AY208/AQ208-1)*100)))</f>
        <v>NA</v>
      </c>
      <c r="BA208" s="174">
        <v>0</v>
      </c>
      <c r="BB208" s="81" t="str">
        <f>IF(ISERROR((BA208/AS208-1)*100),"NA",IF(((BA208/AS208-1)*100)&gt;100,"NM",IF(((BA208/AS208-1)*100)&lt;-50,"NM",(BA208/AS208-1)*100)))</f>
        <v>NA</v>
      </c>
      <c r="BC208" s="174">
        <v>0</v>
      </c>
      <c r="BD208" s="81" t="str">
        <f>IF(ISERROR((BC208/AU208-1)*100),"NA",IF(((BC208/AU208-1)*100)&gt;100,"NM",IF(((BC208/AU208-1)*100)&lt;-50,"NM",(BC208/AU208-1)*100)))</f>
        <v>NA</v>
      </c>
      <c r="BE208" s="174">
        <v>0</v>
      </c>
      <c r="BF208" s="81" t="str">
        <f>IF(ISERROR((BE208/AW208-1)*100),"NA",IF(((BE208/AW208-1)*100)&gt;100,"NM",IF(((BE208/AW208-1)*100)&lt;-50,"NM",(BE208/AW208-1)*100)))</f>
        <v>NA</v>
      </c>
      <c r="BG208" s="174">
        <f>5-4</f>
        <v>1</v>
      </c>
      <c r="BH208" s="81" t="str">
        <f>IF(ISERROR((BG208/AY208-1)*100),"NA",IF(((BG208/AY208-1)*100)&gt;100,"NM",IF(((BG208/AY208-1)*100)&lt;-50,"NM",(BG208/AY208-1)*100)))</f>
        <v>NM</v>
      </c>
      <c r="BI208" s="174">
        <v>0</v>
      </c>
      <c r="BJ208" s="81" t="str">
        <f>IF(ISERROR((BI208/BA208-1)*100),"NA",IF(((BI208/BA208-1)*100)&gt;100,"NM",IF(((BI208/BA208-1)*100)&lt;-50,"NM",(BI208/BA208-1)*100)))</f>
        <v>NA</v>
      </c>
      <c r="BK208" s="174">
        <v>6</v>
      </c>
      <c r="BL208" s="81" t="str">
        <f>IF(ISERROR((BK208/BC208-1)*100),"NA",IF(((BK208/BC208-1)*100)&gt;100,"NM",IF(((BK208/BC208-1)*100)&lt;-50,"NM",(BK208/BC208-1)*100)))</f>
        <v>NA</v>
      </c>
      <c r="BM208" s="174">
        <v>10.4</v>
      </c>
      <c r="BN208" s="81" t="str">
        <f>IF(ISERROR((BM208/BE208-1)*100),"NA",IF(((BM208/BE208-1)*100)&gt;100,"NM",IF(((BM208/BE208-1)*100)&lt;-50,"NM",(BM208/BE208-1)*100)))</f>
        <v>NA</v>
      </c>
      <c r="BO208" s="174">
        <v>0</v>
      </c>
      <c r="BP208" s="81" t="str">
        <f>IF(ISERROR((BO208/BG208-1)*100),"NA",IF(((BO208/BG208-1)*100)&gt;100,"NM",IF(((BO208/BG208-1)*100)&lt;-50,"NM",(BO208/BG208-1)*100)))</f>
        <v>NM</v>
      </c>
      <c r="BQ208" s="174">
        <v>0</v>
      </c>
      <c r="BR208" s="81" t="str">
        <f>IF(ISERROR((BQ208/BI208-1)*100),"NA",IF(((BQ208/BI208-1)*100)&gt;100,"NM",IF(((BQ208/BI208-1)*100)&lt;-50,"NM",(BQ208/BI208-1)*100)))</f>
        <v>NA</v>
      </c>
      <c r="BS208" s="174">
        <v>0</v>
      </c>
      <c r="BT208" s="81" t="str">
        <f>IF(ISERROR((BS208/BK208-1)*100),"NA",IF(((BS208/BK208-1)*100)&gt;100,"NM",IF(((BS208/BK208-1)*100)&lt;-50,"NM",(BS208/BK208-1)*100)))</f>
        <v>NM</v>
      </c>
      <c r="BU208" s="174">
        <v>0</v>
      </c>
      <c r="BV208" s="81" t="str">
        <f>IF(ISERROR((BU208/BM208-1)*100),"NA",IF(((BU208/BM208-1)*100)&gt;100,"NM",IF(((BU208/BM208-1)*100)&lt;-50,"NM",(BU208/BM208-1)*100)))</f>
        <v>NM</v>
      </c>
      <c r="BW208" s="174">
        <v>0</v>
      </c>
      <c r="BX208" s="81" t="str">
        <f>IF(ISERROR((BW208/BO208-1)*100),"NA",IF(((BW208/BO208-1)*100)&gt;100,"NM",IF(((BW208/BO208-1)*100)&lt;-50,"NM",(BW208/BO208-1)*100)))</f>
        <v>NA</v>
      </c>
      <c r="BY208" s="174">
        <v>0</v>
      </c>
      <c r="BZ208" s="81" t="str">
        <f>IF(ISERROR((BY208/BQ208-1)*100),"NA",IF(((BY208/BQ208-1)*100)&gt;100,"NM",IF(((BY208/BQ208-1)*100)&lt;-50,"NM",(BY208/BQ208-1)*100)))</f>
        <v>NA</v>
      </c>
      <c r="CA208" s="174">
        <v>0</v>
      </c>
      <c r="CB208" s="81" t="str">
        <f>IF(ISERROR((CA208/BS208-1)*100),"NA",IF(((CA208/BS208-1)*100)&gt;100,"NM",IF(((CA208/BS208-1)*100)&lt;-50,"NM",(CA208/BS208-1)*100)))</f>
        <v>NA</v>
      </c>
      <c r="CC208" s="174">
        <v>0</v>
      </c>
      <c r="CD208" s="81" t="str">
        <f>IF(ISERROR((CC208/BU208-1)*100),"NA",IF(((CC208/BU208-1)*100)&gt;100,"NM",IF(((CC208/BU208-1)*100)&lt;-50,"NM",(CC208/BU208-1)*100)))</f>
        <v>NA</v>
      </c>
      <c r="CE208" s="174">
        <v>0</v>
      </c>
      <c r="CF208" s="81" t="str">
        <f>IF(ISERROR((CE208/BW208-1)*100),"NA",IF(((CE208/BW208-1)*100)&gt;100,"NM",IF(((CE208/BW208-1)*100)&lt;-50,"NM",(CE208/BW208-1)*100)))</f>
        <v>NA</v>
      </c>
      <c r="CG208" s="174">
        <v>0</v>
      </c>
      <c r="CH208" s="81" t="str">
        <f>IF(ISERROR((CG208/BY208-1)*100),"NA",IF(((CG208/BY208-1)*100)&gt;100,"NM",IF(((CG208/BY208-1)*100)&lt;-50,"NM",(CG208/BY208-1)*100)))</f>
        <v>NA</v>
      </c>
      <c r="CI208" s="174">
        <v>0</v>
      </c>
      <c r="CJ208" s="81" t="str">
        <f>IF(ISERROR((CI242/CA208-1)*100),"NA",IF(((CI242/CA208-1)*100)&gt;100,"NM",IF(((CI242/CA208-1)*100)&lt;-50,"NM",(CI242/CA208-1)*100)))</f>
        <v>NA</v>
      </c>
      <c r="CK208" s="174">
        <v>0</v>
      </c>
      <c r="CL208" s="81" t="str">
        <f>IF(ISERROR((CK208/CC208-1)*100),"NA",IF(((CK208/CC208-1)*100)&gt;100,"NM",IF(((CK208/CC208-1)*100)&lt;-50,"NM",(CK208/CC208-1)*100)))</f>
        <v>NA</v>
      </c>
      <c r="CM208" s="174">
        <v>0</v>
      </c>
      <c r="CN208" s="81" t="str">
        <f>IF(ISERROR((CM208/CE208-1)*100),"NA",IF(((CM208/CE208-1)*100)&gt;100,"NM",IF(((CM208/CE208-1)*100)&lt;-50,"NM",(CM208/CE208-1)*100)))</f>
        <v>NA</v>
      </c>
      <c r="CO208" s="174">
        <v>0</v>
      </c>
      <c r="CP208" s="81" t="str">
        <f>IF(ISERROR((CO208/CG208-1)*100),"NA",IF(((CO208/CG208-1)*100)&gt;100,"NM",IF(((CO208/CG208-1)*100)&lt;-50,"NM",(CO208/CG208-1)*100)))</f>
        <v>NA</v>
      </c>
      <c r="CQ208" s="174">
        <v>0</v>
      </c>
      <c r="CR208" s="81" t="str">
        <f>IF(ISERROR((CQ208/CI208-1)*100),"NA",IF(((CQ208/CI208-1)*100)&gt;100,"NM",IF(((CQ208/CI208-1)*100)&lt;-50,"NM",(CQ208/CI208-1)*100)))</f>
        <v>NA</v>
      </c>
      <c r="CS208" s="174">
        <v>0</v>
      </c>
      <c r="CT208" s="81" t="str">
        <f>IF(ISERROR((CS208/CK208-1)*100),"NA",IF(((CS208/CK208-1)*100)&gt;100,"NM",IF(((CS208/CK208-1)*100)&lt;-50,"NM",(CS208/CK208-1)*100)))</f>
        <v>NA</v>
      </c>
      <c r="CU208" s="174">
        <v>0</v>
      </c>
      <c r="CV208" s="81" t="str">
        <f>IF(ISERROR((CU208/CM208-1)*100),"NA",IF(((CU208/CM208-1)*100)&gt;100,"NM",IF(((CU208/CM208-1)*100)&lt;-50,"NM",(CU208/CM208-1)*100)))</f>
        <v>NA</v>
      </c>
      <c r="CW208" s="174">
        <v>0</v>
      </c>
      <c r="CX208" s="81" t="str">
        <f>IF(ISERROR((CW208/CO208-1)*100),"NA",IF(((CW208/CO208-1)*100)&gt;100,"NM",IF(((CW208/CO208-1)*100)&lt;-50,"NM",(CW208/CO208-1)*100)))</f>
        <v>NA</v>
      </c>
      <c r="CY208" s="174">
        <v>0</v>
      </c>
      <c r="CZ208" s="81" t="str">
        <f>IF(ISERROR((CY208/CQ208-1)*100),"NA",IF(((CY208/CQ208-1)*100)&gt;100,"NM",IF(((CY208/CQ208-1)*100)&lt;-50,"NM",(CY208/CQ208-1)*100)))</f>
        <v>NA</v>
      </c>
      <c r="DA208" s="174">
        <v>0</v>
      </c>
      <c r="DB208" s="81" t="str">
        <f>IF(ISERROR((DA208/CS208-1)*100),"NA",IF(((DA208/CS208-1)*100)&gt;100,"NM",IF(((DA208/CS208-1)*100)&lt;-50,"NM",(DA208/CS208-1)*100)))</f>
        <v>NA</v>
      </c>
      <c r="DC208" s="174">
        <v>0</v>
      </c>
      <c r="DD208" s="81" t="str">
        <f>IF(ISERROR((DC208/CU208-1)*100),"NA",IF(((DC208/CU208-1)*100)&gt;100,"NM",IF(((DC208/CU208-1)*100)&lt;-50,"NM",(DC208/CU208-1)*100)))</f>
        <v>NA</v>
      </c>
      <c r="DE208" s="174">
        <v>0</v>
      </c>
      <c r="DF208" s="81" t="str">
        <f>IF(ISERROR((DE208/CW208-1)*100),"NA",IF(((DE208/CW208-1)*100)&gt;100,"NM",IF(((DE208/CW208-1)*100)&lt;-50,"NM",(DE208/CW208-1)*100)))</f>
        <v>NA</v>
      </c>
      <c r="DG208" s="174">
        <v>0</v>
      </c>
      <c r="DH208" s="81" t="str">
        <f>IF(ISERROR((DG208/CY208-1)*100),"NA",IF(((DG208/CY208-1)*100)&gt;100,"NM",IF(((DG208/CY208-1)*100)&lt;-50,"NM",(DG208/CY208-1)*100)))</f>
        <v>NA</v>
      </c>
      <c r="DI208" s="174">
        <v>0</v>
      </c>
      <c r="DJ208" s="81" t="str">
        <f>IF(ISERROR((DI208/DA208-1)*100),"NA",IF(((DI208/DA208-1)*100)&gt;100,"NM",IF(((DI208/DA208-1)*100)&lt;-50,"NM",(DI208/DA208-1)*100)))</f>
        <v>NA</v>
      </c>
      <c r="DK208" s="174">
        <v>0</v>
      </c>
      <c r="DL208" s="81" t="str">
        <f>IF(ISERROR((DK208/DC208-1)*100),"NA",IF(((DK208/DC208-1)*100)&gt;100,"NM",IF(((DK208/DC208-1)*100)&lt;-50,"NM",(DK208/DC208-1)*100)))</f>
        <v>NA</v>
      </c>
      <c r="DM208" s="174">
        <v>0</v>
      </c>
      <c r="DN208" s="81" t="str">
        <f>IF(ISERROR((DM208/DE208-1)*100),"NA",IF(((DM208/DE208-1)*100)&gt;100,"NM",IF(((DM208/DE208-1)*100)&lt;-50,"NM",(DM208/DE208-1)*100)))</f>
        <v>NA</v>
      </c>
      <c r="DO208" s="174">
        <v>0</v>
      </c>
      <c r="DP208" s="81" t="str">
        <f>IF(ISERROR((DO208/DG208-1)*100),"NA",IF(((DO208/DG208-1)*100)&gt;100,"NM",IF(((DO208/DG208-1)*100)&lt;-50,"NM",(DO208/DG208-1)*100)))</f>
        <v>NA</v>
      </c>
      <c r="DQ208" s="174">
        <v>0</v>
      </c>
      <c r="DR208" s="81" t="str">
        <f>IF(ISERROR((DQ208/DI208-1)*100),"NA",IF(((DQ208/DI208-1)*100)&gt;100,"NM",IF(((DQ208/DI208-1)*100)&lt;-50,"NM",(DQ208/DI208-1)*100)))</f>
        <v>NA</v>
      </c>
      <c r="DS208" s="174">
        <v>0</v>
      </c>
      <c r="DT208" s="81" t="str">
        <f>IF(ISERROR((DS208/DK208-1)*100),"NA",IF(((DS208/DK208-1)*100)&gt;100,"NM",IF(((DS208/DK208-1)*100)&lt;-50,"NM",(DS208/DK208-1)*100)))</f>
        <v>NA</v>
      </c>
      <c r="DU208" s="174">
        <v>0</v>
      </c>
      <c r="DV208" s="81" t="str">
        <f>IF(ISERROR((DU208/DM208-1)*100),"NA",IF(((DU208/DM208-1)*100)&gt;100,"NM",IF(((DU208/DM208-1)*100)&lt;-50,"NM",(DU208/DM208-1)*100)))</f>
        <v>NA</v>
      </c>
      <c r="DW208" s="174">
        <v>0</v>
      </c>
      <c r="DX208" s="81" t="str">
        <f>IF(ISERROR((DW208/DO208-1)*100),"NA",IF(((DW208/DO208-1)*100)&gt;100,"NM",IF(((DW208/DO208-1)*100)&lt;-50,"NM",(DW208/DO208-1)*100)))</f>
        <v>NA</v>
      </c>
      <c r="DY208" s="174">
        <v>0</v>
      </c>
      <c r="DZ208" s="81" t="str">
        <f>IF(ISERROR((DY208/DQ208-1)*100),"NA",IF(((DY208/DQ208-1)*100)&gt;100,"NM",IF(((DY208/DQ208-1)*100)&lt;-50,"NM",(DY208/DQ208-1)*100)))</f>
        <v>NA</v>
      </c>
      <c r="EA208" s="174">
        <v>0</v>
      </c>
      <c r="EB208" s="81" t="str">
        <f>IF(ISERROR((EA208/DS208-1)*100),"NA",IF(((EA208/DS208-1)*100)&gt;100,"NM",IF(((EA208/DS208-1)*100)&lt;-50,"NM",(EA208/DS208-1)*100)))</f>
        <v>NA</v>
      </c>
      <c r="EC208" s="174">
        <v>0</v>
      </c>
      <c r="ED208" s="81" t="str">
        <f t="shared" ref="ED208:ED210" si="683">IF(ISERROR((EC208/DU208-1)*100),"NA",IF(((EC208/DU208-1)*100)&gt;100,"NM",IF(((EC208/DU208-1)*100)&lt;-50,"NM",(EC208/DU208-1)*100)))</f>
        <v>NA</v>
      </c>
      <c r="EE208" s="174">
        <v>0</v>
      </c>
      <c r="EF208" s="81" t="str">
        <f t="shared" ref="EF208:EF210" si="684">IF(ISERROR((EE208/DW208-1)*100),"NA",IF(((EE208/DW208-1)*100)&gt;100,"NM",IF(((EE208/DW208-1)*100)&lt;-50,"NM",(EE208/DW208-1)*100)))</f>
        <v>NA</v>
      </c>
      <c r="EG208" s="174">
        <v>0</v>
      </c>
      <c r="EH208" s="81" t="str">
        <f t="shared" ref="EH208:EH210" si="685">IF(ISERROR((EG208/DY208-1)*100),"NA",IF(((EG208/DY208-1)*100)&gt;100,"NM",IF(((EG208/DY208-1)*100)&lt;-50,"NM",(EG208/DY208-1)*100)))</f>
        <v>NA</v>
      </c>
      <c r="EI208" s="174">
        <v>0</v>
      </c>
      <c r="EJ208" s="81" t="str">
        <f t="shared" ref="EJ208:EJ210" si="686">IF(ISERROR((EI208/EA208-1)*100),"NA",IF(((EI208/EA208-1)*100)&gt;100,"NM",IF(((EI208/EA208-1)*100)&lt;-50,"NM",(EI208/EA208-1)*100)))</f>
        <v>NA</v>
      </c>
      <c r="EK208" s="174">
        <v>0</v>
      </c>
      <c r="EL208" s="81" t="str">
        <f t="shared" ref="EL208:EL210" si="687">IF(ISERROR((EK208/EC208-1)*100),"NA",IF(((EK208/EC208-1)*100)&gt;100,"NM",IF(((EK208/EC208-1)*100)&lt;-50,"NM",(EK208/EC208-1)*100)))</f>
        <v>NA</v>
      </c>
      <c r="EM208" s="174">
        <v>0</v>
      </c>
      <c r="EN208" s="81" t="str">
        <f t="shared" ref="EN208:EN210" si="688">IF(ISERROR((EM208/EE208-1)*100),"NA",IF(((EM208/EE208-1)*100)&gt;100,"NM",IF(((EM208/EE208-1)*100)&lt;-50,"NM",(EM208/EE208-1)*100)))</f>
        <v>NA</v>
      </c>
      <c r="EO208" s="174">
        <v>0</v>
      </c>
      <c r="EP208" s="81" t="str">
        <f t="shared" ref="EP208:EP210" si="689">IF(ISERROR((EO208/EG208-1)*100),"NA",IF(((EO208/EG208-1)*100)&gt;100,"NM",IF(((EO208/EG208-1)*100)&lt;-50,"NM",(EO208/EG208-1)*100)))</f>
        <v>NA</v>
      </c>
      <c r="EQ208" s="174">
        <v>0</v>
      </c>
      <c r="ER208" s="81" t="str">
        <f t="shared" ref="ER208:ER210" si="690">IF(ISERROR((EQ208/EI208-1)*100),"NA",IF(((EQ208/EI208-1)*100)&gt;100,"NM",IF(((EQ208/EI208-1)*100)&lt;-50,"NM",(EQ208/EI208-1)*100)))</f>
        <v>NA</v>
      </c>
      <c r="ES208" s="82"/>
      <c r="ET208" s="465"/>
      <c r="EU208" s="82"/>
      <c r="EV208" s="171"/>
      <c r="EW208" s="79"/>
      <c r="EX208" s="171"/>
      <c r="EY208" s="79"/>
      <c r="EZ208" s="171"/>
      <c r="FA208" s="79"/>
      <c r="FB208" s="171"/>
      <c r="FC208" s="79"/>
      <c r="FD208" s="175">
        <f>O208+Q208+S208+M208</f>
        <v>0</v>
      </c>
      <c r="FE208" s="79" t="str">
        <f>IF(ISERROR((FD208/FB208-1)*100),"NA",IF(((FD208/FB208-1)*100)&gt;100,"NM",IF(((FD208/FB208-1)*100)&lt;-50,"NM",(FD208/FB208-1)*100)))</f>
        <v>NA</v>
      </c>
      <c r="FF208" s="175">
        <f>U208+W208+Y208+AA208</f>
        <v>0</v>
      </c>
      <c r="FG208" s="79" t="str">
        <f>IF(ISERROR((FF208/FD208-1)*100),"NA",IF(((FF208/FD208-1)*100)&gt;100,"NM",IF(((FF208/FD208-1)*100)&lt;-50,"NM",(FF208/FD208-1)*100)))</f>
        <v>NA</v>
      </c>
      <c r="FH208" s="175">
        <f>AC208+AE208+AG208+AI208</f>
        <v>0</v>
      </c>
      <c r="FI208" s="79" t="str">
        <f>IF(ISERROR((FH208/FF208-1)*100),"NA",IF(((FH208/FF208-1)*100)&gt;100,"NM",IF(((FH208/FF208-1)*100)&lt;-50,"NM",(FH208/FF208-1)*100)))</f>
        <v>NA</v>
      </c>
      <c r="FJ208" s="175">
        <f>AK208+AM208+AO208+AQ208</f>
        <v>0</v>
      </c>
      <c r="FK208" s="79" t="str">
        <f>IF(ISERROR((FJ208/FH208-1)*100),"NA",IF(((FJ208/FH208-1)*100)&gt;100,"NM",IF(((FJ208/FH208-1)*100)&lt;-50,"NM",(FJ208/FH208-1)*100)))</f>
        <v>NA</v>
      </c>
      <c r="FL208" s="175">
        <f>AS208+AU208+AW208+AY208</f>
        <v>11</v>
      </c>
      <c r="FM208" s="79" t="str">
        <f>IF(ISERROR((FL208/FJ208-1)*100),"NA",IF(((FL208/FJ208-1)*100)&gt;100,"NM",IF(((FL208/FJ208-1)*100)&lt;-50,"NM",(FL208/FJ208-1)*100)))</f>
        <v>NA</v>
      </c>
      <c r="FN208" s="175">
        <f>BA208+BC208+BE208+BG208</f>
        <v>1</v>
      </c>
      <c r="FO208" s="79" t="str">
        <f>IF(ISERROR((FN208/FL208-1)*100),"NA",IF(((FN208/FL208-1)*100)&gt;100,"NM",IF(((FN208/FL208-1)*100)&lt;-50,"NM",(FN208/FL208-1)*100)))</f>
        <v>NM</v>
      </c>
      <c r="FP208" s="175">
        <f>BI208+BK208+BM208+BO208</f>
        <v>16.399999999999999</v>
      </c>
      <c r="FQ208" s="79" t="str">
        <f>IF(ISERROR((FP208/FN208-1)*100),"NA",IF(((FP208/FN208-1)*100)&gt;100,"NM",IF(((FP208/FN208-1)*100)&lt;-50,"NM",(FP208/FN208-1)*100)))</f>
        <v>NM</v>
      </c>
      <c r="FR208" s="177">
        <f>BQ208+BS208+BU208+BW208</f>
        <v>0</v>
      </c>
      <c r="FS208" s="79" t="str">
        <f>IF(ISERROR((FR208/FP208-1)*100),"NA",IF(((FR208/FP208-1)*100)&gt;100,"NM",IF(((FR208/FP208-1)*100)&lt;-50,"NM",(FR208/FP208-1)*100)))</f>
        <v>NM</v>
      </c>
      <c r="FT208" s="177">
        <f>BY208+CA208+CC208+CE208</f>
        <v>0</v>
      </c>
      <c r="FU208" s="79" t="str">
        <f>IF(ISERROR((FT208/FR208-1)*100),"NA",IF(((FT208/FR208-1)*100)&gt;100,"NM",IF(((FT208/FR208-1)*100)&lt;-50,"NM",(FT208/FR208-1)*100)))</f>
        <v>NA</v>
      </c>
      <c r="FV208" s="177">
        <f>CG208+CI208+CK208+CM208</f>
        <v>0</v>
      </c>
      <c r="FW208" s="79" t="str">
        <f>IF(ISERROR((FV208/FT208-1)*100),"NA",IF(((FV208/FT208-1)*100)&gt;100,"NM",IF(((FV208/FT208-1)*100)&lt;-50,"NM",(FV208/FT208-1)*100)))</f>
        <v>NA</v>
      </c>
      <c r="FX208" s="177">
        <f>CO208+CQ208+CS208+CU208</f>
        <v>0</v>
      </c>
      <c r="FY208" s="79" t="str">
        <f>IF(ISERROR((FX208/FV208-1)*100),"NA",IF(((FX208/FV208-1)*100)&gt;100,"NM",IF(((FX208/FV208-1)*100)&lt;-50,"NM",(FX208/FV208-1)*100)))</f>
        <v>NA</v>
      </c>
      <c r="FZ208" s="177">
        <f>CW208+CY208+DA208+DC208</f>
        <v>0</v>
      </c>
      <c r="GA208" s="79" t="str">
        <f>IF(ISERROR((FZ208/FX208-1)*100),"NA",IF(((FZ208/FX208-1)*100)&gt;100,"NM",IF(((FZ208/FX208-1)*100)&lt;-50,"NM",(FZ208/FX208-1)*100)))</f>
        <v>NA</v>
      </c>
      <c r="GB208" s="177">
        <f>DE208+DG208+DI208+DK208</f>
        <v>0</v>
      </c>
      <c r="GC208" s="79" t="str">
        <f>IF(ISERROR((GB208/FZ208-1)*100),"NA",IF(((GB208/FZ208-1)*100)&gt;100,"NM",IF(((GB208/FZ208-1)*100)&lt;-50,"NM",(GB208/FZ208-1)*100)))</f>
        <v>NA</v>
      </c>
      <c r="GD208" s="177">
        <f>DM208+DO208+DQ208+DS208</f>
        <v>0</v>
      </c>
      <c r="GE208" s="79" t="str">
        <f>IF(ISERROR((GD208/GB208-1)*100),"NA",IF(((GD208/GB208-1)*100)&gt;100,"NM",IF(((GD208/GB208-1)*100)&lt;-50,"NM",(GD208/GB208-1)*100)))</f>
        <v>NA</v>
      </c>
      <c r="GF208" s="177">
        <f>DU208+DW208+DY208+EA208</f>
        <v>0</v>
      </c>
      <c r="GG208" s="79" t="str">
        <f>IF(ISERROR((GF208/GD208-1)*100),"NA",IF(((GF208/GD208-1)*100)&gt;100,"NM",IF(((GF208/GD208-1)*100)&lt;-50,"NM",(GF208/GD208-1)*100)))</f>
        <v>NA</v>
      </c>
      <c r="GH208" s="177">
        <f>EC208+EE208+EG208+EI208</f>
        <v>0</v>
      </c>
      <c r="GI208" s="79" t="str">
        <f>IF(ISERROR((GH208/GF208-1)*100),"NA",IF(((GH208/GF208-1)*100)&gt;100,"NM",IF(((GH208/GF208-1)*100)&lt;-50,"NM",(GH208/GF208-1)*100)))</f>
        <v>NA</v>
      </c>
      <c r="GJ208" s="177">
        <f>EK208+EM208+EO208+EQ208</f>
        <v>0</v>
      </c>
      <c r="GK208" s="79" t="str">
        <f>IF(ISERROR((GJ208/GH208-1)*100),"NA",IF(((GJ208/GH208-1)*100)&gt;100,"NM",IF(((GJ208/GH208-1)*100)&lt;-50,"NM",(GJ208/GH208-1)*100)))</f>
        <v>NA</v>
      </c>
      <c r="GL208" s="174">
        <v>0</v>
      </c>
      <c r="GM208" s="79" t="str">
        <f>IF(ISERROR((GL208/GJ208-1)*100),"NA",IF(((GL208/GJ208-1)*100)&gt;100,"NM",IF(((GL208/GJ208-1)*100)&lt;-50,"NM",(GL208/GJ208-1)*100)))</f>
        <v>NA</v>
      </c>
      <c r="GN208" s="174">
        <v>0</v>
      </c>
      <c r="GO208" s="79" t="str">
        <f>IF(ISERROR((GN208/GL208-1)*100),"NA",IF(((GN208/GL208-1)*100)&gt;100,"NM",IF(((GN208/GL208-1)*100)&lt;-50,"NM",(GN208/GL208-1)*100)))</f>
        <v>NA</v>
      </c>
      <c r="GP208" s="174">
        <v>0</v>
      </c>
      <c r="GQ208" s="79" t="str">
        <f>IF(ISERROR((GP208/GN208-1)*100),"NA",IF(((GP208/GN208-1)*100)&gt;100,"NM",IF(((GP208/GN208-1)*100)&lt;-50,"NM",(GP208/GN208-1)*100)))</f>
        <v>NA</v>
      </c>
      <c r="GR208" s="174">
        <v>0</v>
      </c>
      <c r="GS208" s="79" t="str">
        <f>IF(ISERROR((GR208/GP208-1)*100),"NA",IF(((GR208/GP208-1)*100)&gt;100,"NM",IF(((GR208/GP208-1)*100)&lt;-50,"NM",(GR208/GP208-1)*100)))</f>
        <v>NA</v>
      </c>
      <c r="GT208" s="79" t="str">
        <f>IF(ISERROR(((GR208/GH208)^0.2-1)*100),"NA",(IF(OR(((GR208/GH208)^0.2-1)*100&gt;99,((GR208/GH208)^0.2-1)*100&lt;-50),"NM",(((GR208/GH208)^0.2-1)*100))))</f>
        <v>NA</v>
      </c>
    </row>
    <row r="209" spans="1:286" ht="12.75" customHeight="1" x14ac:dyDescent="0.2">
      <c r="A209" s="1"/>
      <c r="B209" s="68" t="s">
        <v>474</v>
      </c>
      <c r="C209" s="79"/>
      <c r="D209" s="79"/>
      <c r="E209" s="171"/>
      <c r="F209" s="171"/>
      <c r="G209" s="171"/>
      <c r="H209" s="171"/>
      <c r="I209" s="171"/>
      <c r="J209" s="171"/>
      <c r="K209" s="171"/>
      <c r="L209" s="79"/>
      <c r="M209" s="171"/>
      <c r="N209" s="79"/>
      <c r="O209" s="171"/>
      <c r="P209" s="79"/>
      <c r="Q209" s="171"/>
      <c r="R209" s="79"/>
      <c r="S209" s="171"/>
      <c r="T209" s="79"/>
      <c r="U209" s="178">
        <f>U205-U208</f>
        <v>22.700000000000003</v>
      </c>
      <c r="V209" s="79" t="str">
        <f>IF(ISERROR((U209/M209-1)*100),"NA",IF(((U209/M209-1)*100)&gt;100,"NM",IF(((U209/M209-1)*100)&lt;-50,"NM",(U209/M209-1)*100)))</f>
        <v>NA</v>
      </c>
      <c r="W209" s="178">
        <f>W205-W208</f>
        <v>29.600000000000009</v>
      </c>
      <c r="X209" s="79" t="str">
        <f>IF(ISERROR((W209/O209-1)*100),"NA",IF(((W209/O209-1)*100)&gt;100,"NM",IF(((W209/O209-1)*100)&lt;-50,"NM",(W209/O209-1)*100)))</f>
        <v>NA</v>
      </c>
      <c r="Y209" s="178">
        <f>Y205-Y208</f>
        <v>27.599999999999994</v>
      </c>
      <c r="Z209" s="79" t="str">
        <f>IF(ISERROR((Y209/Q209-1)*100),"NA",IF(((Y209/Q209-1)*100)&gt;100,"NM",IF(((Y209/Q209-1)*100)&lt;-50,"NM",(Y209/Q209-1)*100)))</f>
        <v>NA</v>
      </c>
      <c r="AA209" s="227">
        <f>AA205-AA208</f>
        <v>32.099999999999994</v>
      </c>
      <c r="AB209" s="79" t="str">
        <f>IF(ISERROR((AA209/S209-1)*100),"NA",IF(((AA209/S209-1)*100)&gt;100,"NM",IF(((AA209/S209-1)*100)&lt;-50,"NM",(AA209/S209-1)*100)))</f>
        <v>NA</v>
      </c>
      <c r="AC209" s="178">
        <f>AC205-AC208</f>
        <v>34.799999999999983</v>
      </c>
      <c r="AD209" s="79">
        <f>IF(ISERROR((AC209/U209-1)*100),"NA",IF(((AC209/U209-1)*100)&gt;100,"NM",IF(((AC209/U209-1)*100)&lt;-50,"NM",(AC209/U209-1)*100)))</f>
        <v>53.303964757709153</v>
      </c>
      <c r="AE209" s="178">
        <f>AE205-AE208</f>
        <v>31.700000000000017</v>
      </c>
      <c r="AF209" s="79">
        <f>IF(ISERROR((AE209/W209-1)*100),"NA",IF(((AE209/W209-1)*100)&gt;100,"NM",IF(((AE209/W209-1)*100)&lt;-50,"NM",(AE209/W209-1)*100)))</f>
        <v>7.0945945945946276</v>
      </c>
      <c r="AG209" s="178">
        <f>AG205-AG208</f>
        <v>38.099999999999966</v>
      </c>
      <c r="AH209" s="79">
        <f>IF(ISERROR((AG209/Y209-1)*100),"NA",IF(((AG209/Y209-1)*100)&gt;100,"NM",IF(((AG209/Y209-1)*100)&lt;-50,"NM",(AG209/Y209-1)*100)))</f>
        <v>38.04347826086947</v>
      </c>
      <c r="AI209" s="178">
        <f>AI205-AI208</f>
        <v>46.699999999999989</v>
      </c>
      <c r="AJ209" s="79">
        <f>IF(ISERROR((AI209/AA209-1)*100),"NA",IF(((AI209/AA209-1)*100)&gt;100,"NM",IF(((AI209/AA209-1)*100)&lt;-50,"NM",(AI209/AA209-1)*100)))</f>
        <v>45.48286604361369</v>
      </c>
      <c r="AK209" s="178">
        <f>AK205-AK208</f>
        <v>47.30000000000004</v>
      </c>
      <c r="AL209" s="79">
        <f>IF(ISERROR((AK209/AC209-1)*100),"NA",IF(((AK209/AC209-1)*100)&gt;100,"NM",IF(((AK209/AC209-1)*100)&lt;-50,"NM",(AK209/AC209-1)*100)))</f>
        <v>35.919540229885236</v>
      </c>
      <c r="AM209" s="178">
        <f>AM205-AM208</f>
        <v>41.299999999999983</v>
      </c>
      <c r="AN209" s="79">
        <f>IF(ISERROR((AM209/AE209-1)*100),"NA",IF(((AM209/AE209-1)*100)&gt;100,"NM",IF(((AM209/AE209-1)*100)&lt;-50,"NM",(AM209/AE209-1)*100)))</f>
        <v>30.283911671924169</v>
      </c>
      <c r="AO209" s="178">
        <f>AO205-AO208</f>
        <v>44.100000000000023</v>
      </c>
      <c r="AP209" s="79">
        <f>IF(ISERROR((AO209/AG209-1)*100),"NA",IF(((AO209/AG209-1)*100)&gt;100,"NM",IF(((AO209/AG209-1)*100)&lt;-50,"NM",(AO209/AG209-1)*100)))</f>
        <v>15.748031496063163</v>
      </c>
      <c r="AQ209" s="178">
        <f>AQ205-AQ208</f>
        <v>49.299999999999955</v>
      </c>
      <c r="AR209" s="79">
        <f>IF(ISERROR((AQ209/AI209-1)*100),"NA",IF(((AQ209/AI209-1)*100)&gt;100,"NM",IF(((AQ209/AI209-1)*100)&lt;-50,"NM",(AQ209/AI209-1)*100)))</f>
        <v>5.5674518201284107</v>
      </c>
      <c r="AS209" s="178">
        <f>AS205-AS208</f>
        <v>54.400000000000006</v>
      </c>
      <c r="AT209" s="81">
        <f>IF(ISERROR((AS209/AK209-1)*100),"NA",IF(((AS209/AK209-1)*100)&gt;100,"NM",IF(((AS209/AK209-1)*100)&lt;-50,"NM",(AS209/AK209-1)*100)))</f>
        <v>15.010570824524239</v>
      </c>
      <c r="AU209" s="178">
        <f>AU205-AU208</f>
        <v>56.100000000000023</v>
      </c>
      <c r="AV209" s="81">
        <f>IF(ISERROR((AU209/AM209-1)*100),"NA",IF(((AU209/AM209-1)*100)&gt;100,"NM",IF(((AU209/AM209-1)*100)&lt;-50,"NM",(AU209/AM209-1)*100)))</f>
        <v>35.835351089588485</v>
      </c>
      <c r="AW209" s="178">
        <f>AW205-AW208</f>
        <v>65.5</v>
      </c>
      <c r="AX209" s="81">
        <f>IF(ISERROR((AW209/AO209-1)*100),"NA",IF(((AW209/AO209-1)*100)&gt;100,"NM",IF(((AW209/AO209-1)*100)&lt;-50,"NM",(AW209/AO209-1)*100)))</f>
        <v>48.526077097505585</v>
      </c>
      <c r="AY209" s="178">
        <f>AY205-AY208</f>
        <v>70.799999999999983</v>
      </c>
      <c r="AZ209" s="81">
        <f>IF(ISERROR((AY209/AQ209-1)*100),"NA",IF(((AY209/AQ209-1)*100)&gt;100,"NM",IF(((AY209/AQ209-1)*100)&lt;-50,"NM",(AY209/AQ209-1)*100)))</f>
        <v>43.610547667342892</v>
      </c>
      <c r="BA209" s="178">
        <f>BA205-BA208</f>
        <v>72.400000000000006</v>
      </c>
      <c r="BB209" s="81">
        <f>IF(ISERROR((BA209/AS209-1)*100),"NA",IF(((BA209/AS209-1)*100)&gt;100,"NM",IF(((BA209/AS209-1)*100)&lt;-50,"NM",(BA209/AS209-1)*100)))</f>
        <v>33.088235294117638</v>
      </c>
      <c r="BC209" s="178">
        <f>BC205-BC208</f>
        <v>74.100000000000023</v>
      </c>
      <c r="BD209" s="81">
        <f>IF(ISERROR((BC209/AU209-1)*100),"NA",IF(((BC209/AU209-1)*100)&gt;100,"NM",IF(((BC209/AU209-1)*100)&lt;-50,"NM",(BC209/AU209-1)*100)))</f>
        <v>32.085561497326196</v>
      </c>
      <c r="BE209" s="178">
        <f>BE205-BE208</f>
        <v>97.600000000000023</v>
      </c>
      <c r="BF209" s="81">
        <f>IF(ISERROR((BE209/AW209-1)*100),"NA",IF(((BE209/AW209-1)*100)&gt;100,"NM",IF(((BE209/AW209-1)*100)&lt;-50,"NM",(BE209/AW209-1)*100)))</f>
        <v>49.007633587786302</v>
      </c>
      <c r="BG209" s="178">
        <f>BG205-BG208</f>
        <v>80.699999999999989</v>
      </c>
      <c r="BH209" s="81">
        <f>IF(ISERROR((BG209/AY209-1)*100),"NA",IF(((BG209/AY209-1)*100)&gt;100,"NM",IF(((BG209/AY209-1)*100)&lt;-50,"NM",(BG209/AY209-1)*100)))</f>
        <v>13.983050847457633</v>
      </c>
      <c r="BI209" s="178">
        <f>BI205-BI208</f>
        <v>84.300000000000011</v>
      </c>
      <c r="BJ209" s="81">
        <f>IF(ISERROR((BI209/BA209-1)*100),"NA",IF(((BI209/BA209-1)*100)&gt;100,"NM",IF(((BI209/BA209-1)*100)&lt;-50,"NM",(BI209/BA209-1)*100)))</f>
        <v>16.436464088397805</v>
      </c>
      <c r="BK209" s="178">
        <f>BK205-BK208</f>
        <v>86.599999999999966</v>
      </c>
      <c r="BL209" s="81">
        <f>IF(ISERROR((BK209/BC209-1)*100),"NA",IF(((BK209/BC209-1)*100)&gt;100,"NM",IF(((BK209/BC209-1)*100)&lt;-50,"NM",(BK209/BC209-1)*100)))</f>
        <v>16.869095816464164</v>
      </c>
      <c r="BM209" s="178">
        <f>BM205-BM208</f>
        <v>82.1</v>
      </c>
      <c r="BN209" s="81">
        <f>IF(ISERROR((BM209/BE209-1)*100),"NA",IF(((BM209/BE209-1)*100)&gt;100,"NM",IF(((BM209/BE209-1)*100)&lt;-50,"NM",(BM209/BE209-1)*100)))</f>
        <v>-15.881147540983632</v>
      </c>
      <c r="BO209" s="178">
        <f>BO205-BO208</f>
        <v>54.600000000000023</v>
      </c>
      <c r="BP209" s="81">
        <f>IF(ISERROR((BO209/BG209-1)*100),"NA",IF(((BO209/BG209-1)*100)&gt;100,"NM",IF(((BO209/BG209-1)*100)&lt;-50,"NM",(BO209/BG209-1)*100)))</f>
        <v>-32.3420074349442</v>
      </c>
      <c r="BQ209" s="178">
        <f>BQ205-BQ208</f>
        <v>62.300000000000011</v>
      </c>
      <c r="BR209" s="81">
        <f>IF(ISERROR((BQ209/BI209-1)*100),"NA",IF(((BQ209/BI209-1)*100)&gt;100,"NM",IF(((BQ209/BI209-1)*100)&lt;-50,"NM",(BQ209/BI209-1)*100)))</f>
        <v>-26.097271648873065</v>
      </c>
      <c r="BS209" s="178">
        <f>BS205-BS208</f>
        <v>67.300000000000011</v>
      </c>
      <c r="BT209" s="81">
        <f>IF(ISERROR((BS209/BK209-1)*100),"NA",IF(((BS209/BK209-1)*100)&gt;100,"NM",IF(((BS209/BK209-1)*100)&lt;-50,"NM",(BS209/BK209-1)*100)))</f>
        <v>-22.286374133949149</v>
      </c>
      <c r="BU209" s="178">
        <f>BU205-BU208</f>
        <v>58.699999999999989</v>
      </c>
      <c r="BV209" s="81">
        <f>IF(ISERROR((BU209/BM209-1)*100),"NA",IF(((BU209/BM209-1)*100)&gt;100,"NM",IF(((BU209/BM209-1)*100)&lt;-50,"NM",(BU209/BM209-1)*100)))</f>
        <v>-28.501827040194893</v>
      </c>
      <c r="BW209" s="178">
        <f>BW205-BW208</f>
        <v>61.299999999999983</v>
      </c>
      <c r="BX209" s="81">
        <f>IF(ISERROR((BW209/BO209-1)*100),"NA",IF(((BW209/BO209-1)*100)&gt;100,"NM",IF(((BW209/BO209-1)*100)&lt;-50,"NM",(BW209/BO209-1)*100)))</f>
        <v>12.271062271062183</v>
      </c>
      <c r="BY209" s="178">
        <f>BY205-BY208</f>
        <v>60.600000000000023</v>
      </c>
      <c r="BZ209" s="81">
        <f>IF(ISERROR((BY209/BQ209-1)*100),"NA",IF(((BY209/BQ209-1)*100)&gt;100,"NM",IF(((BY209/BQ209-1)*100)&lt;-50,"NM",(BY209/BQ209-1)*100)))</f>
        <v>-2.728731942215068</v>
      </c>
      <c r="CA209" s="178">
        <f>CA205-CA208</f>
        <v>52.799999999999983</v>
      </c>
      <c r="CB209" s="81">
        <f>IF(ISERROR((CA209/BS209-1)*100),"NA",IF(((CA209/BS209-1)*100)&gt;100,"NM",IF(((CA209/BS209-1)*100)&lt;-50,"NM",(CA209/BS209-1)*100)))</f>
        <v>-21.545319465081757</v>
      </c>
      <c r="CC209" s="178">
        <f>CC205-CC208</f>
        <v>47.800000000000011</v>
      </c>
      <c r="CD209" s="81">
        <f>IF(ISERROR((CC209/BU209-1)*100),"NA",IF(((CC209/BU209-1)*100)&gt;100,"NM",IF(((CC209/BU209-1)*100)&lt;-50,"NM",(CC209/BU209-1)*100)))</f>
        <v>-18.568994889267433</v>
      </c>
      <c r="CE209" s="178">
        <f>CE205-CE208</f>
        <v>47.800000000000011</v>
      </c>
      <c r="CF209" s="81">
        <f t="shared" ref="CF209:CF216" si="691">IF(ISERROR((CE209/BW209-1)*100),"NA",IF(((CE209/BW209-1)*100)&gt;100,"NM",IF(((CE209/BW209-1)*100)&lt;-50,"NM",(CE209/BW209-1)*100)))</f>
        <v>-22.022838499184296</v>
      </c>
      <c r="CG209" s="178">
        <f>CG205-CG208</f>
        <v>48.900000000000006</v>
      </c>
      <c r="CH209" s="81">
        <f>IF(ISERROR((CG209/BY209-1)*100),"NA",IF(((CG209/BY209-1)*100)&gt;100,"NM",IF(((CG209/BY209-1)*100)&lt;-50,"NM",(CG209/BY209-1)*100)))</f>
        <v>-19.306930693069326</v>
      </c>
      <c r="CI209" s="178">
        <f>CI205-CI208</f>
        <v>55.200000000000017</v>
      </c>
      <c r="CJ209" s="81">
        <f>IF(ISERROR((CI209/CA209-1)*100),"NA",IF(((CI209/CA209-1)*100)&gt;100,"NM",IF(((CI209/CA209-1)*100)&lt;-50,"NM",(CI209/CA209-1)*100)))</f>
        <v>4.545454545454608</v>
      </c>
      <c r="CK209" s="178">
        <f>CK205-CK208</f>
        <v>34.699999999999989</v>
      </c>
      <c r="CL209" s="81">
        <f>IF(ISERROR((CK209/CC209-1)*100),"NA",IF(((CK209/CC209-1)*100)&gt;100,"NM",IF(((CK209/CC209-1)*100)&lt;-50,"NM",(CK209/CC209-1)*100)))</f>
        <v>-27.405857740585816</v>
      </c>
      <c r="CM209" s="178">
        <f>CM205-CM208</f>
        <v>51.900000000000006</v>
      </c>
      <c r="CN209" s="81">
        <f>IF(ISERROR((CM209/CE209-1)*100),"NA",IF(((CM209/CE209-1)*100)&gt;100,"NM",IF(((CM209/CE209-1)*100)&lt;-50,"NM",(CM209/CE209-1)*100)))</f>
        <v>8.5774058577405619</v>
      </c>
      <c r="CO209" s="178">
        <f>CO205-CO208</f>
        <v>38.799999999999983</v>
      </c>
      <c r="CP209" s="81">
        <f>IF(ISERROR((CO209/CG209-1)*100),"NA",IF(((CO209/CG209-1)*100)&gt;100,"NM",IF(((CO209/CG209-1)*100)&lt;-50,"NM",(CO209/CG209-1)*100)))</f>
        <v>-20.654396728016401</v>
      </c>
      <c r="CQ209" s="178">
        <f>CQ205-CQ208</f>
        <v>29.999999999999972</v>
      </c>
      <c r="CR209" s="81">
        <f>IF(ISERROR((CQ209/CI209-1)*100),"NA",IF(((CQ209/CI209-1)*100)&gt;100,"NM",IF(((CQ209/CI209-1)*100)&lt;-50,"NM",(CQ209/CI209-1)*100)))</f>
        <v>-45.652173913043548</v>
      </c>
      <c r="CS209" s="178">
        <f>CS205-CS208</f>
        <v>27.5</v>
      </c>
      <c r="CT209" s="81">
        <f>IF(ISERROR((CS209/CK209-1)*100),"NA",IF(((CS209/CK209-1)*100)&gt;100,"NM",IF(((CS209/CK209-1)*100)&lt;-50,"NM",(CS209/CK209-1)*100)))</f>
        <v>-20.749279538904876</v>
      </c>
      <c r="CU209" s="178">
        <f>CU205-CU208</f>
        <v>35</v>
      </c>
      <c r="CV209" s="81">
        <f>IF(ISERROR((CU209/CM209-1)*100),"NA",IF(((CU209/CM209-1)*100)&gt;100,"NM",IF(((CU209/CM209-1)*100)&lt;-50,"NM",(CU209/CM209-1)*100)))</f>
        <v>-32.562620423892106</v>
      </c>
      <c r="CW209" s="178">
        <f>CW205-CW208</f>
        <v>31.300000000000011</v>
      </c>
      <c r="CX209" s="195">
        <f>IF(ISERROR((CW209/CO209-1)*100),"NA",IF(((CW209/CO209-1)*100)&gt;100,"NM",IF(((CW209/CO209-1)*100)&lt;-50,"NM",(CW209/CO209-1)*100)))</f>
        <v>-19.329896907216426</v>
      </c>
      <c r="CY209" s="178">
        <f>CY205-CY208</f>
        <v>33.5</v>
      </c>
      <c r="CZ209" s="195">
        <f>IF(ISERROR((CY209/CQ209-1)*100),"NA",IF(((CY209/CQ209-1)*100)&gt;100,"NM",IF(((CY209/CQ209-1)*100)&lt;-50,"NM",(CY209/CQ209-1)*100)))</f>
        <v>11.666666666666782</v>
      </c>
      <c r="DA209" s="178">
        <f>DA205-DA208</f>
        <v>31.300000000000011</v>
      </c>
      <c r="DB209" s="195">
        <f>IF(ISERROR((DA209/CS209-1)*100),"NA",IF(((DA209/CS209-1)*100)&gt;100,"NM",IF(((DA209/CS209-1)*100)&lt;-50,"NM",(DA209/CS209-1)*100)))</f>
        <v>13.818181818181863</v>
      </c>
      <c r="DC209" s="178">
        <f>DC205-DC208</f>
        <v>35.900000000000006</v>
      </c>
      <c r="DD209" s="195">
        <f>IF(ISERROR((DC209/CU209-1)*100),"NA",IF(((DC209/CU209-1)*100)&gt;100,"NM",IF(((DC209/CU209-1)*100)&lt;-50,"NM",(DC209/CU209-1)*100)))</f>
        <v>2.5714285714285801</v>
      </c>
      <c r="DE209" s="178">
        <f>DE205-DE208</f>
        <v>36.499999999999972</v>
      </c>
      <c r="DF209" s="195">
        <f>IF(ISERROR((DE209/CW209-1)*100),"NA",IF(((DE209/CW209-1)*100)&gt;100,"NM",IF(((DE209/CW209-1)*100)&lt;-50,"NM",(DE209/CW209-1)*100)))</f>
        <v>16.613418530351296</v>
      </c>
      <c r="DG209" s="178">
        <f>DG205-DG208</f>
        <v>39.599999999999994</v>
      </c>
      <c r="DH209" s="195">
        <f>IF(ISERROR((DG209/CY209-1)*100),"NA",IF(((DG209/CY209-1)*100)&gt;100,"NM",IF(((DG209/CY209-1)*100)&lt;-50,"NM",(DG209/CY209-1)*100)))</f>
        <v>18.208955223880572</v>
      </c>
      <c r="DI209" s="178">
        <f>DI205-DI208</f>
        <v>33.5</v>
      </c>
      <c r="DJ209" s="195">
        <f>IF(ISERROR((DI209/DA209-1)*100),"NA",IF(((DI209/DA209-1)*100)&gt;100,"NM",IF(((DI209/DA209-1)*100)&lt;-50,"NM",(DI209/DA209-1)*100)))</f>
        <v>7.0287539936101817</v>
      </c>
      <c r="DK209" s="178">
        <f>DK205-DK208</f>
        <v>38.200000000000017</v>
      </c>
      <c r="DL209" s="81">
        <f>IF(ISERROR((DK209/DC209-1)*100),"NA",IF(((DK209/DC209-1)*100)&gt;100,"NM",IF(((DK209/DC209-1)*100)&lt;-50,"NM",(DK209/DC209-1)*100)))</f>
        <v>6.4066852367688387</v>
      </c>
      <c r="DM209" s="178">
        <f>DM205-DM208</f>
        <v>32.599999999999994</v>
      </c>
      <c r="DN209" s="81">
        <f>IF(ISERROR((DM209/DE209-1)*100),"NA",IF(((DM209/DE209-1)*100)&gt;100,"NM",IF(((DM209/DE209-1)*100)&lt;-50,"NM",(DM209/DE209-1)*100)))</f>
        <v>-10.68493150684926</v>
      </c>
      <c r="DO209" s="178">
        <f>DO205-DO208</f>
        <v>38.299999999999983</v>
      </c>
      <c r="DP209" s="81">
        <f>IF(ISERROR((DO209/DG209-1)*100),"NA",IF(((DO209/DG209-1)*100)&gt;100,"NM",IF(((DO209/DG209-1)*100)&lt;-50,"NM",(DO209/DG209-1)*100)))</f>
        <v>-3.2828282828283095</v>
      </c>
      <c r="DQ209" s="178">
        <f>DQ205-DQ208</f>
        <v>32.700000000000017</v>
      </c>
      <c r="DR209" s="81">
        <f>IF(ISERROR((DQ209/DI209-1)*100),"NA",IF(((DQ209/DI209-1)*100)&gt;100,"NM",IF(((DQ209/DI209-1)*100)&lt;-50,"NM",(DQ209/DI209-1)*100)))</f>
        <v>-2.3880597014924843</v>
      </c>
      <c r="DS209" s="178">
        <f>DS205-DS208</f>
        <v>37</v>
      </c>
      <c r="DT209" s="81">
        <f>IF(ISERROR((DS209/DK209-1)*100),"NA",IF(((DS209/DK209-1)*100)&gt;100,"NM",IF(((DS209/DK209-1)*100)&lt;-50,"NM",(DS209/DK209-1)*100)))</f>
        <v>-3.1413612565445503</v>
      </c>
      <c r="DU209" s="178">
        <f>DU205-DU208</f>
        <v>33.600000000000023</v>
      </c>
      <c r="DV209" s="81">
        <f>IF(ISERROR((DU209/DM209-1)*100),"NA",IF(((DU209/DM209-1)*100)&gt;100,"NM",IF(((DU209/DM209-1)*100)&lt;-50,"NM",(DU209/DM209-1)*100)))</f>
        <v>3.0674846625767804</v>
      </c>
      <c r="DW209" s="178">
        <f>DW205-DW208</f>
        <v>36.900000000000006</v>
      </c>
      <c r="DX209" s="81">
        <f>IF(ISERROR((DW209/DO209-1)*100),"NA",IF(((DW209/DO209-1)*100)&gt;100,"NM",IF(((DW209/DO209-1)*100)&lt;-50,"NM",(DW209/DO209-1)*100)))</f>
        <v>-3.6553524804176951</v>
      </c>
      <c r="DY209" s="178">
        <f>DY205-DY208</f>
        <v>28.200000000000017</v>
      </c>
      <c r="DZ209" s="81">
        <f>IF(ISERROR((DY209/DQ209-1)*100),"NA",IF(((DY209/DQ209-1)*100)&gt;100,"NM",IF(((DY209/DQ209-1)*100)&lt;-50,"NM",(DY209/DQ209-1)*100)))</f>
        <v>-13.761467889908252</v>
      </c>
      <c r="EA209" s="178">
        <f>EA205-EA208</f>
        <v>29.90000000000002</v>
      </c>
      <c r="EB209" s="81">
        <f>IF(ISERROR((EA209/DS209-1)*100),"NA",IF(((EA209/DS209-1)*100)&gt;100,"NM",IF(((EA209/DS209-1)*100)&lt;-50,"NM",(EA209/DS209-1)*100)))</f>
        <v>-19.189189189189136</v>
      </c>
      <c r="EC209" s="178">
        <f>EC205-EC208</f>
        <v>26.599999999999994</v>
      </c>
      <c r="ED209" s="81">
        <f t="shared" si="683"/>
        <v>-20.833333333333403</v>
      </c>
      <c r="EE209" s="178">
        <f>EE205-EE208</f>
        <v>28.900000000000006</v>
      </c>
      <c r="EF209" s="81">
        <f t="shared" si="684"/>
        <v>-21.680216802168019</v>
      </c>
      <c r="EG209" s="178">
        <f>EG205-EG208</f>
        <v>25.899999999999977</v>
      </c>
      <c r="EH209" s="81">
        <f t="shared" si="685"/>
        <v>-8.1560283687944661</v>
      </c>
      <c r="EI209" s="178">
        <f>EI205-EI208</f>
        <v>29.700000000000017</v>
      </c>
      <c r="EJ209" s="81">
        <f t="shared" si="686"/>
        <v>-0.66889632107024477</v>
      </c>
      <c r="EK209" s="178">
        <f t="shared" ref="EK209:EQ209" si="692">EK205-EK208</f>
        <v>30.230456366771932</v>
      </c>
      <c r="EL209" s="81">
        <f t="shared" si="687"/>
        <v>13.648332205909552</v>
      </c>
      <c r="EM209" s="178">
        <f t="shared" si="692"/>
        <v>30.389841129286168</v>
      </c>
      <c r="EN209" s="81">
        <f t="shared" si="688"/>
        <v>5.1551596169071345</v>
      </c>
      <c r="EO209" s="178">
        <f t="shared" si="692"/>
        <v>30.005496626384883</v>
      </c>
      <c r="EP209" s="81">
        <f t="shared" si="689"/>
        <v>15.851338325810449</v>
      </c>
      <c r="EQ209" s="178">
        <f t="shared" si="692"/>
        <v>29.255547131776524</v>
      </c>
      <c r="ER209" s="81">
        <f t="shared" si="690"/>
        <v>-1.4964743037828021</v>
      </c>
      <c r="ES209" s="82"/>
      <c r="ET209" s="465"/>
      <c r="EU209" s="82"/>
      <c r="EV209" s="171"/>
      <c r="EW209" s="79"/>
      <c r="EX209" s="171"/>
      <c r="EY209" s="79"/>
      <c r="EZ209" s="171"/>
      <c r="FA209" s="79"/>
      <c r="FB209" s="171"/>
      <c r="FC209" s="79"/>
      <c r="FD209" s="178">
        <f>FD205-FD208</f>
        <v>69.5</v>
      </c>
      <c r="FE209" s="79" t="str">
        <f>IF(ISERROR((FD209/FB209-1)*100),"NA",IF(((FD209/FB209-1)*100)&gt;100,"NM",IF(((FD209/FB209-1)*100)&lt;-50,"NM",(FD209/FB209-1)*100)))</f>
        <v>NA</v>
      </c>
      <c r="FF209" s="178">
        <f>FF205-FF208</f>
        <v>112</v>
      </c>
      <c r="FG209" s="79">
        <f>IF(ISERROR((FF209/FD209-1)*100),"NA",IF(((FF209/FD209-1)*100)&gt;100,"NM",IF(((FF209/FD209-1)*100)&lt;-50,"NM",(FF209/FD209-1)*100)))</f>
        <v>61.151079136690647</v>
      </c>
      <c r="FH209" s="178">
        <f>FH205-FH208</f>
        <v>151.29999999999995</v>
      </c>
      <c r="FI209" s="79">
        <f>IF(ISERROR((FH209/FF209-1)*100),"NA",IF(((FH209/FF209-1)*100)&gt;100,"NM",IF(((FH209/FF209-1)*100)&lt;-50,"NM",(FH209/FF209-1)*100)))</f>
        <v>35.089285714285666</v>
      </c>
      <c r="FJ209" s="178">
        <f>FJ205-FJ208</f>
        <v>182.00000000000011</v>
      </c>
      <c r="FK209" s="79">
        <f>IF(ISERROR((FJ209/FH209-1)*100),"NA",IF(((FJ209/FH209-1)*100)&gt;100,"NM",IF(((FJ209/FH209-1)*100)&lt;-50,"NM",(FJ209/FH209-1)*100)))</f>
        <v>20.290812954395342</v>
      </c>
      <c r="FL209" s="178">
        <f>FL205-FL208</f>
        <v>246.79999999999995</v>
      </c>
      <c r="FM209" s="79">
        <f>IF(ISERROR((FL209/FJ209-1)*100),"NA",IF(((FL209/FJ209-1)*100)&gt;100,"NM",IF(((FL209/FJ209-1)*100)&lt;-50,"NM",(FL209/FJ209-1)*100)))</f>
        <v>35.604395604395499</v>
      </c>
      <c r="FN209" s="178">
        <f>FN205-FN208</f>
        <v>324.79999999999995</v>
      </c>
      <c r="FO209" s="79">
        <f>IF(ISERROR((FN209/FL209-1)*100),"NA",IF(((FN209/FL209-1)*100)&gt;100,"NM",IF(((FN209/FL209-1)*100)&lt;-50,"NM",(FN209/FL209-1)*100)))</f>
        <v>31.604538087520261</v>
      </c>
      <c r="FP209" s="178">
        <f>FP205-FP208</f>
        <v>307.5999999999998</v>
      </c>
      <c r="FQ209" s="79">
        <f>IF(ISERROR((FP209/FN209-1)*100),"NA",IF(((FP209/FN209-1)*100)&gt;100,"NM",IF(((FP209/FN209-1)*100)&lt;-50,"NM",(FP209/FN209-1)*100)))</f>
        <v>-5.2955665024631005</v>
      </c>
      <c r="FR209" s="178">
        <f>FR205-FR208</f>
        <v>251.99999999999989</v>
      </c>
      <c r="FS209" s="79">
        <f>IF(ISERROR((FR209/FP209-1)*100),"NA",IF(((FR209/FP209-1)*100)&gt;100,"NM",IF(((FR209/FP209-1)*100)&lt;-50,"NM",(FR209/FP209-1)*100)))</f>
        <v>-18.075422626788018</v>
      </c>
      <c r="FT209" s="178">
        <f>FT205-FT208</f>
        <v>209</v>
      </c>
      <c r="FU209" s="79">
        <f>IF(ISERROR((FT209/FR209-1)*100),"NA",IF(((FT209/FR209-1)*100)&gt;100,"NM",IF(((FT209/FR209-1)*100)&lt;-50,"NM",(FT209/FR209-1)*100)))</f>
        <v>-17.063492063492024</v>
      </c>
      <c r="FV209" s="178">
        <f>FV205-FV208</f>
        <v>190.70000000000005</v>
      </c>
      <c r="FW209" s="79">
        <f>IF(ISERROR((FV209/FT209-1)*100),"NA",IF(((FV209/FT209-1)*100)&gt;100,"NM",IF(((FV209/FT209-1)*100)&lt;-50,"NM",(FV209/FT209-1)*100)))</f>
        <v>-8.7559808612439944</v>
      </c>
      <c r="FX209" s="178">
        <f>FX205-FX208</f>
        <v>131.29999999999984</v>
      </c>
      <c r="FY209" s="79">
        <f>IF(ISERROR((FX209/FV209-1)*100),"NA",IF(((FX209/FV209-1)*100)&gt;100,"NM",IF(((FX209/FV209-1)*100)&lt;-50,"NM",(FX209/FV209-1)*100)))</f>
        <v>-31.148400629260721</v>
      </c>
      <c r="FZ209" s="178">
        <f>FZ205-FZ208</f>
        <v>132</v>
      </c>
      <c r="GA209" s="79">
        <f>IF(ISERROR((FZ209/FX209-1)*100),"NA",IF(((FZ209/FX209-1)*100)&gt;100,"NM",IF(((FZ209/FX209-1)*100)&lt;-50,"NM",(FZ209/FX209-1)*100)))</f>
        <v>0.53313023610066512</v>
      </c>
      <c r="GB209" s="178">
        <f>GB205-GB208</f>
        <v>147.79999999999995</v>
      </c>
      <c r="GC209" s="79">
        <f>IF(ISERROR((GB209/FZ209-1)*100),"NA",IF(((GB209/FZ209-1)*100)&gt;100,"NM",IF(((GB209/FZ209-1)*100)&lt;-50,"NM",(GB209/FZ209-1)*100)))</f>
        <v>11.96969696969694</v>
      </c>
      <c r="GD209" s="178">
        <f>GD205-GD208</f>
        <v>140.59999999999991</v>
      </c>
      <c r="GE209" s="79">
        <f>IF(ISERROR((GD209/GB209-1)*100),"NA",IF(((GD209/GB209-1)*100)&gt;100,"NM",IF(((GD209/GB209-1)*100)&lt;-50,"NM",(GD209/GB209-1)*100)))</f>
        <v>-4.8714479025710684</v>
      </c>
      <c r="GF209" s="178">
        <f>GF205-GF208</f>
        <v>128.60000000000002</v>
      </c>
      <c r="GG209" s="79">
        <f>IF(ISERROR((GF209/GD209-1)*100),"NA",IF(((GF209/GD209-1)*100)&gt;100,"NM",IF(((GF209/GD209-1)*100)&lt;-50,"NM",(GF209/GD209-1)*100)))</f>
        <v>-8.5348506401137225</v>
      </c>
      <c r="GH209" s="178">
        <f>GH205-GH208</f>
        <v>111.09999999999991</v>
      </c>
      <c r="GI209" s="79">
        <f>IF(ISERROR((GH209/GF209-1)*100),"NA",IF(((GH209/GF209-1)*100)&gt;100,"NM",IF(((GH209/GF209-1)*100)&lt;-50,"NM",(GH209/GF209-1)*100)))</f>
        <v>-13.60808709175747</v>
      </c>
      <c r="GJ209" s="178">
        <f>GJ205-GJ208</f>
        <v>119.88134125421936</v>
      </c>
      <c r="GK209" s="79">
        <f>IF(ISERROR((GJ209/GH209-1)*100),"NA",IF(((GJ209/GH209-1)*100)&gt;100,"NM",IF(((GJ209/GH209-1)*100)&lt;-50,"NM",(GJ209/GH209-1)*100)))</f>
        <v>7.9039975285503772</v>
      </c>
      <c r="GL209" s="178">
        <f>GL205-GL208</f>
        <v>125.35277280935134</v>
      </c>
      <c r="GM209" s="79">
        <f>IF(ISERROR((GL209/GJ209-1)*100),"NA",IF(((GL209/GJ209-1)*100)&gt;100,"NM",IF(((GL209/GJ209-1)*100)&lt;-50,"NM",(GL209/GJ209-1)*100)))</f>
        <v>4.564039322457436</v>
      </c>
      <c r="GN209" s="178">
        <f>GN205-GN208</f>
        <v>131.06646622074265</v>
      </c>
      <c r="GO209" s="79">
        <f>IF(ISERROR((GN209/GL209-1)*100),"NA",IF(((GN209/GL209-1)*100)&gt;100,"NM",IF(((GN209/GL209-1)*100)&lt;-50,"NM",(GN209/GL209-1)*100)))</f>
        <v>4.5580909646739665</v>
      </c>
      <c r="GP209" s="178">
        <f>GP205-GP208</f>
        <v>137.03304814640614</v>
      </c>
      <c r="GQ209" s="79">
        <f>IF(ISERROR((GP209/GN209-1)*100),"NA",IF(((GP209/GN209-1)*100)&gt;100,"NM",IF(((GP209/GN209-1)*100)&lt;-50,"NM",(GP209/GN209-1)*100)))</f>
        <v>4.5523329480895214</v>
      </c>
      <c r="GR209" s="178">
        <f>GR205-GR208</f>
        <v>142.60543312586753</v>
      </c>
      <c r="GS209" s="79">
        <f>IF(ISERROR((GR209/GP209-1)*100),"NA",IF(((GR209/GP209-1)*100)&gt;100,"NM",IF(((GR209/GP209-1)*100)&lt;-50,"NM",(GR209/GP209-1)*100)))</f>
        <v>4.0664533518278478</v>
      </c>
      <c r="GT209" s="79">
        <f>IF(ISERROR(((GR209/GH209)^0.2-1)*100),"NA",(IF(OR(((GR209/GH209)^0.2-1)*100&gt;99,((GR209/GH209)^0.2-1)*100&lt;-50),"NM",(((GR209/GH209)^0.2-1)*100))))</f>
        <v>5.119770151790215</v>
      </c>
    </row>
    <row r="210" spans="1:286" ht="12.75" customHeight="1" x14ac:dyDescent="0.2">
      <c r="B210" s="2" t="s">
        <v>236</v>
      </c>
      <c r="U210" s="156">
        <f>+U209/U191*100</f>
        <v>17.569659442724458</v>
      </c>
      <c r="V210" s="81" t="str">
        <f>IF(ISERROR((U210/M210-1)*100),"NA",IF(((U210/M210-1)*100)&gt;100,"NM",IF(((U210/M210-1)*100)&lt;-50,"NM",(U210/M210-1)*100)))</f>
        <v>NA</v>
      </c>
      <c r="W210" s="156">
        <f>+W209/W191*100</f>
        <v>19.615639496355207</v>
      </c>
      <c r="X210" s="81" t="str">
        <f>IF(ISERROR((W210/O210-1)*100),"NA",IF(((W210/O210-1)*100)&gt;100,"NM",IF(((W210/O210-1)*100)&lt;-50,"NM",(W210/O210-1)*100)))</f>
        <v>NA</v>
      </c>
      <c r="Y210" s="156">
        <f>+Y209/Y191*100</f>
        <v>18.573351278600267</v>
      </c>
      <c r="Z210" s="81" t="str">
        <f>IF(ISERROR((Y210/Q210-1)*100),"NA",IF(((Y210/Q210-1)*100)&gt;100,"NM",IF(((Y210/Q210-1)*100)&lt;-50,"NM",(Y210/Q210-1)*100)))</f>
        <v>NA</v>
      </c>
      <c r="AA210" s="156">
        <f>+AA209/AA191*100</f>
        <v>19.489981785063751</v>
      </c>
      <c r="AB210" s="81" t="str">
        <f>IF(ISERROR((AA210/S210-1)*100),"NA",IF(((AA210/S210-1)*100)&gt;100,"NM",IF(((AA210/S210-1)*100)&lt;-50,"NM",(AA210/S210-1)*100)))</f>
        <v>NA</v>
      </c>
      <c r="AC210" s="156">
        <f>+AC209/AC191*100</f>
        <v>18.86178861788617</v>
      </c>
      <c r="AD210" s="81">
        <f>IF(ISERROR((AC210/U210-1)*100),"NA",IF(((AC210/U210-1)*100)&gt;100,"NM",IF(((AC210/U210-1)*100)&lt;-50,"NM",(AC210/U210-1)*100)))</f>
        <v>7.3543211203036751</v>
      </c>
      <c r="AE210" s="156">
        <f>+AE209/AE191*100</f>
        <v>16.132315521628506</v>
      </c>
      <c r="AF210" s="81">
        <f>IF(ISERROR((AE210/W210-1)*100),"NA",IF(((AE210/W210-1)*100)&gt;100,"NM",IF(((AE210/W210-1)*100)&lt;-50,"NM",(AE210/W210-1)*100)))</f>
        <v>-17.75789147926551</v>
      </c>
      <c r="AG210" s="156">
        <f>+AG209/AG191*100</f>
        <v>18.504128217581336</v>
      </c>
      <c r="AH210" s="81">
        <f>IF(ISERROR((AG210/Y210-1)*100),"NA",IF(((AG210/Y210-1)*100)&gt;100,"NM",IF(((AG210/Y210-1)*100)&lt;-50,"NM",(AG210/Y210-1)*100)))</f>
        <v>-0.37270097345699638</v>
      </c>
      <c r="AI210" s="156">
        <f>+AI209/AI191*100</f>
        <v>21.731037691949741</v>
      </c>
      <c r="AJ210" s="81">
        <f>IF(ISERROR((AI210/AA210-1)*100),"NA",IF(((AI210/AA210-1)*100)&gt;100,"NM",IF(((AI210/AA210-1)*100)&lt;-50,"NM",(AI210/AA210-1)*100)))</f>
        <v>11.498501802620641</v>
      </c>
      <c r="AK210" s="156">
        <f>+AK209/AK191*100</f>
        <v>20.727432077125343</v>
      </c>
      <c r="AL210" s="81">
        <f>IF(ISERROR((AK210/AC210-1)*100),"NA",IF(((AK210/AC210-1)*100)&gt;100,"NM",IF(((AK210/AC210-1)*100)&lt;-50,"NM",(AK210/AC210-1)*100)))</f>
        <v>9.891126960621488</v>
      </c>
      <c r="AM210" s="156">
        <f>+AM209/AM191*100</f>
        <v>17.755803955288041</v>
      </c>
      <c r="AN210" s="81">
        <f>IF(ISERROR((AM210/AE210-1)*100),"NA",IF(((AM210/AE210-1)*100)&gt;100,"NM",IF(((AM210/AE210-1)*100)&lt;-50,"NM",(AM210/AE210-1)*100)))</f>
        <v>10.063579722842221</v>
      </c>
      <c r="AO210" s="156">
        <f>+AO209/AO191*100</f>
        <v>18.133223684210538</v>
      </c>
      <c r="AP210" s="81">
        <f>IF(ISERROR((AO210/AG210-1)*100),"NA",IF(((AO210/AG210-1)*100)&gt;100,"NM",IF(((AO210/AG210-1)*100)&lt;-50,"NM",(AO210/AG210-1)*100)))</f>
        <v>-2.0044420845419242</v>
      </c>
      <c r="AQ210" s="156">
        <f>+AQ209/AQ191*100</f>
        <v>20.898685883849073</v>
      </c>
      <c r="AR210" s="81">
        <f>IF(ISERROR((AQ210/AI210-1)*100),"NA",IF(((AQ210/AI210-1)*100)&gt;100,"NM",IF(((AQ210/AI210-1)*100)&lt;-50,"NM",(AQ210/AI210-1)*100)))</f>
        <v>-3.830244187598153</v>
      </c>
      <c r="AS210" s="156">
        <f>+AS209/AS191*100</f>
        <v>23.703703703703706</v>
      </c>
      <c r="AT210" s="81">
        <f>IF(ISERROR((AS210/AK210-1)*100),"NA",IF(((AS210/AK210-1)*100)&gt;100,"NM",IF(((AS210/AK210-1)*100)&lt;-50,"NM",(AS210/AK210-1)*100)))</f>
        <v>14.359094824211027</v>
      </c>
      <c r="AU210" s="156">
        <f>+AU209/AU191*100</f>
        <v>23.326403326403337</v>
      </c>
      <c r="AV210" s="81">
        <f>IF(ISERROR((AU210/AM210-1)*100),"NA",IF(((AU210/AM210-1)*100)&gt;100,"NM",IF(((AU210/AM210-1)*100)&lt;-50,"NM",(AU210/AM210-1)*100)))</f>
        <v>31.373399847976223</v>
      </c>
      <c r="AW210" s="156">
        <f>+AW209/AW191*100</f>
        <v>24.670433145009415</v>
      </c>
      <c r="AX210" s="81">
        <f>IF(ISERROR((AW210/AO210-1)*100),"NA",IF(((AW210/AO210-1)*100)&gt;100,"NM",IF(((AW210/AO210-1)*100)&lt;-50,"NM",(AW210/AO210-1)*100)))</f>
        <v>36.051005461820537</v>
      </c>
      <c r="AY210" s="156">
        <f>+AY209/AY191*100</f>
        <v>25.106382978723396</v>
      </c>
      <c r="AZ210" s="81">
        <f>IF(ISERROR((AY210/AQ210-1)*100),"NA",IF(((AY210/AQ210-1)*100)&gt;100,"NM",IF(((AY210/AQ210-1)*100)&lt;-50,"NM",(AY210/AQ210-1)*100)))</f>
        <v>20.133787924560931</v>
      </c>
      <c r="BA210" s="156">
        <f>+BA209/BA191*100</f>
        <v>27.105952826656683</v>
      </c>
      <c r="BB210" s="81">
        <f>IF(ISERROR((BA210/AS210-1)*100),"NA",IF(((BA210/AS210-1)*100)&gt;100,"NM",IF(((BA210/AS210-1)*100)&lt;-50,"NM",(BA210/AS210-1)*100)))</f>
        <v>14.353238487457865</v>
      </c>
      <c r="BC210" s="156">
        <f>+BC209/BC191*100</f>
        <v>25.238419618528617</v>
      </c>
      <c r="BD210" s="81">
        <f>IF(ISERROR((BC210/AU210-1)*100),"NA",IF(((BC210/AU210-1)*100)&gt;100,"NM",IF(((BC210/AU210-1)*100)&lt;-50,"NM",(BC210/AU210-1)*100)))</f>
        <v>8.1967899867402707</v>
      </c>
      <c r="BE210" s="156">
        <f>+BE209/BE191*100</f>
        <v>33.390352377694157</v>
      </c>
      <c r="BF210" s="81">
        <f>IF(ISERROR((BE210/AW210-1)*100),"NA",IF(((BE210/AW210-1)*100)&gt;100,"NM",IF(((BE210/AW210-1)*100)&lt;-50,"NM",(BE210/AW210-1)*100)))</f>
        <v>35.345626813401523</v>
      </c>
      <c r="BG210" s="156">
        <f>+BG209/BG191*100</f>
        <v>26.3897972531066</v>
      </c>
      <c r="BH210" s="81">
        <f>IF(ISERROR((BG210/AY210-1)*100),"NA",IF(((BG210/AY210-1)*100)&gt;100,"NM",IF(((BG210/AY210-1)*100)&lt;-50,"NM",(BG210/AY210-1)*100)))</f>
        <v>5.1119043132212383</v>
      </c>
      <c r="BI210" s="156">
        <f>+BI209/BI191*100</f>
        <v>29.756441934345219</v>
      </c>
      <c r="BJ210" s="81">
        <f>IF(ISERROR((BI210/BA210-1)*100),"NA",IF(((BI210/BA210-1)*100)&gt;100,"NM",IF(((BI210/BA210-1)*100)&lt;-50,"NM",(BI210/BA210-1)*100)))</f>
        <v>9.7782547052984512</v>
      </c>
      <c r="BK210" s="156">
        <f>+BK209/BK191*100</f>
        <v>29.516019086571227</v>
      </c>
      <c r="BL210" s="81">
        <f>IF(ISERROR((BK210/BC210-1)*100),"NA",IF(((BK210/BC210-1)*100)&gt;100,"NM",IF(((BK210/BC210-1)*100)&lt;-50,"NM",(BK210/BC210-1)*100)))</f>
        <v>16.948761185118897</v>
      </c>
      <c r="BM210" s="156">
        <f>+BM209/BM191*100</f>
        <v>30.250552689756816</v>
      </c>
      <c r="BN210" s="81">
        <f>IF(ISERROR((BM210/BE210-1)*100),"NA",IF(((BM210/BE210-1)*100)&gt;100,"NM",IF(((BM210/BE210-1)*100)&lt;-50,"NM",(BM210/BE210-1)*100)))</f>
        <v>-9.4033140244271003</v>
      </c>
      <c r="BO210" s="156">
        <f>+BO209/BO191*100</f>
        <v>24.255886272767665</v>
      </c>
      <c r="BP210" s="81">
        <f>IF(ISERROR((BO210/BG210-1)*100),"NA",IF(((BO210/BG210-1)*100)&gt;100,"NM",IF(((BO210/BG210-1)*100)&lt;-50,"NM",(BO210/BG210-1)*100)))</f>
        <v>-8.086121162176541</v>
      </c>
      <c r="BQ210" s="156">
        <f>+BQ209/BQ191*100</f>
        <v>32.703412073490817</v>
      </c>
      <c r="BR210" s="81">
        <f>IF(ISERROR((BQ210/BI210-1)*100),"NA",IF(((BQ210/BI210-1)*100)&gt;100,"NM",IF(((BQ210/BI210-1)*100)&lt;-50,"NM",(BQ210/BI210-1)*100)))</f>
        <v>9.903637490153594</v>
      </c>
      <c r="BS210" s="156">
        <f>+BS209/BS191*100</f>
        <v>32.309169467114742</v>
      </c>
      <c r="BT210" s="81">
        <f>IF(ISERROR((BS210/BK210-1)*100),"NA",IF(((BS210/BK210-1)*100)&gt;100,"NM",IF(((BS210/BK210-1)*100)&lt;-50,"NM",(BS210/BK210-1)*100)))</f>
        <v>9.4631676865065462</v>
      </c>
      <c r="BU210" s="156">
        <f>+BU209/BU191*100</f>
        <v>30.446058091286304</v>
      </c>
      <c r="BV210" s="81">
        <f>IF(ISERROR((BU210/BM210-1)*100),"NA",IF(((BU210/BM210-1)*100)&gt;100,"NM",IF(((BU210/BM210-1)*100)&lt;-50,"NM",(BU210/BM210-1)*100)))</f>
        <v>0.64628703989162428</v>
      </c>
      <c r="BW210" s="156">
        <f>+BW209/BW191*100</f>
        <v>27.68744354110207</v>
      </c>
      <c r="BX210" s="81">
        <f>IF(ISERROR((BW210/BO210-1)*100),"NA",IF(((BW210/BO210-1)*100)&gt;100,"NM",IF(((BW210/BO210-1)*100)&lt;-50,"NM",(BW210/BO210-1)*100)))</f>
        <v>14.147317602602104</v>
      </c>
      <c r="BY210" s="156">
        <f>+BY209/BY191*100</f>
        <v>29.403202328966525</v>
      </c>
      <c r="BZ210" s="81">
        <f>IF(ISERROR((BY210/BQ210-1)*100),"NA",IF(((BY210/BQ210-1)*100)&gt;100,"NM",IF(((BY210/BQ210-1)*100)&lt;-50,"NM",(BY210/BQ210-1)*100)))</f>
        <v>-10.091331562309435</v>
      </c>
      <c r="CA210" s="156">
        <f>+CA209/CA191*100</f>
        <v>26.883910386965365</v>
      </c>
      <c r="CB210" s="81">
        <f>IF(ISERROR((CA210/BS210-1)*100),"NA",IF(((CA210/BS210-1)*100)&gt;100,"NM",IF(((CA210/BS210-1)*100)&lt;-50,"NM",(CA210/BS210-1)*100)))</f>
        <v>-16.791700837966051</v>
      </c>
      <c r="CC210" s="156">
        <f>+CC209/CC191*100</f>
        <v>23.828514456630113</v>
      </c>
      <c r="CD210" s="81">
        <f>IF(ISERROR((CC210/BU210-1)*100),"NA",IF(((CC210/BU210-1)*100)&gt;100,"NM",IF(((CC210/BU210-1)*100)&lt;-50,"NM",(CC210/BU210-1)*100)))</f>
        <v>-21.73530515778047</v>
      </c>
      <c r="CE210" s="156">
        <f>+CE209/CE191*100</f>
        <v>21.8065693430657</v>
      </c>
      <c r="CF210" s="81">
        <f t="shared" si="691"/>
        <v>-21.240221002369541</v>
      </c>
      <c r="CG210" s="156">
        <f>+CG209/CG191*100</f>
        <v>23.055162659123056</v>
      </c>
      <c r="CH210" s="81">
        <f>IF(ISERROR((CG210/BY210-1)*100),"NA",IF(((CG210/BY210-1)*100)&gt;100,"NM",IF(((CG210/BY210-1)*100)&lt;-50,"NM",(CG210/BY210-1)*100)))</f>
        <v>-21.589620065259719</v>
      </c>
      <c r="CI210" s="156">
        <f>+CI209/CI191*100</f>
        <v>24.327897752313802</v>
      </c>
      <c r="CJ210" s="81">
        <f>IF(ISERROR((CI210/CA210-1)*100),"NA",IF(((CI210/CA210-1)*100)&gt;100,"NM",IF(((CI210/CA210-1)*100)&lt;-50,"NM",(CI210/CA210-1)*100)))</f>
        <v>-9.5075924516205834</v>
      </c>
      <c r="CK210" s="156">
        <f>+CK209/CK191*100</f>
        <v>15.859232175502736</v>
      </c>
      <c r="CL210" s="81">
        <f>IF(ISERROR((CK210/CC210-1)*100),"NA",IF(((CK210/CC210-1)*100)&gt;100,"NM",IF(((CK210/CC210-1)*100)&lt;-50,"NM",(CK210/CC210-1)*100)))</f>
        <v>-33.444310158873471</v>
      </c>
      <c r="CM210" s="156">
        <f>+CM209/CM191*100</f>
        <v>23.590909090909093</v>
      </c>
      <c r="CN210" s="81">
        <f>IF(ISERROR((CM210/CE210-1)*100),"NA",IF(((CM210/CE210-1)*100)&gt;100,"NM",IF(((CM210/CE210-1)*100)&lt;-50,"NM",(CM210/CE210-1)*100)))</f>
        <v>8.1825789273487715</v>
      </c>
      <c r="CO210" s="156">
        <f>+CO209/CO191*100</f>
        <v>18.716835504100331</v>
      </c>
      <c r="CP210" s="81">
        <f>IF(ISERROR((CO210/CG210-1)*100),"NA",IF(((CO210/CG210-1)*100)&gt;100,"NM",IF(((CO210/CG210-1)*100)&lt;-50,"NM",(CO210/CG210-1)*100)))</f>
        <v>-18.817161341110832</v>
      </c>
      <c r="CQ210" s="156">
        <f>+CQ209/CQ191*100</f>
        <v>13.489208633093513</v>
      </c>
      <c r="CR210" s="81">
        <f>IF(ISERROR((CQ210/CI210-1)*100),"NA",IF(((CQ210/CI210-1)*100)&gt;100,"NM",IF(((CQ210/CI210-1)*100)&lt;-50,"NM",(CQ210/CI210-1)*100)))</f>
        <v>-44.55251016578049</v>
      </c>
      <c r="CS210" s="156">
        <f>+CS209/CS191*100</f>
        <v>13.095238095238097</v>
      </c>
      <c r="CT210" s="81">
        <f>IF(ISERROR((CS210/CK210-1)*100),"NA",IF(((CS210/CK210-1)*100)&gt;100,"NM",IF(((CS210/CK210-1)*100)&lt;-50,"NM",(CS210/CK210-1)*100)))</f>
        <v>-17.428296967201828</v>
      </c>
      <c r="CU210" s="156">
        <f>+CU209/CU191*100</f>
        <v>15.500442869796279</v>
      </c>
      <c r="CV210" s="81">
        <f>IF(ISERROR((CU210/CM210-1)*100),"NA",IF(((CU210/CM210-1)*100)&gt;100,"NM",IF(((CU210/CM210-1)*100)&lt;-50,"NM",(CU210/CM210-1)*100)))</f>
        <v>-34.294847180054312</v>
      </c>
      <c r="CW210" s="156">
        <f>+CW209/CW191*100</f>
        <v>17.916428162564401</v>
      </c>
      <c r="CX210" s="81">
        <f>IF(ISERROR((CW210/CO210-1)*100),"NA",IF(((CW210/CO210-1)*100)&gt;100,"NM",IF(((CW210/CO210-1)*100)&lt;-50,"NM",(CW210/CO210-1)*100)))</f>
        <v>-4.2764031417628416</v>
      </c>
      <c r="CY210" s="156">
        <f>+CY209/CY191*100</f>
        <v>18.316019682886825</v>
      </c>
      <c r="CZ210" s="81">
        <f>IF(ISERROR((CY210/CQ210-1)*100),"NA",IF(((CY210/CQ210-1)*100)&gt;100,"NM",IF(((CY210/CQ210-1)*100)&lt;-50,"NM",(CY210/CQ210-1)*100)))</f>
        <v>35.782759249134457</v>
      </c>
      <c r="DA210" s="156">
        <f>+DA209/DA191*100</f>
        <v>18.664281454979132</v>
      </c>
      <c r="DB210" s="81">
        <f>IF(ISERROR((DA210/CS210-1)*100),"NA",IF(((DA210/CS210-1)*100)&gt;100,"NM",IF(((DA210/CS210-1)*100)&lt;-50,"NM",(DA210/CS210-1)*100)))</f>
        <v>42.527240201658813</v>
      </c>
      <c r="DC210" s="156">
        <f>+DC209/DC191*100</f>
        <v>19.955530850472485</v>
      </c>
      <c r="DD210" s="81">
        <f>IF(ISERROR((DC210/CU210-1)*100),"NA",IF(((DC210/CU210-1)*100)&gt;100,"NM",IF(((DC210/CU210-1)*100)&lt;-50,"NM",(DC210/CU210-1)*100)))</f>
        <v>28.741681886762493</v>
      </c>
      <c r="DE210" s="156">
        <f>+DE209/DE191*100</f>
        <v>19.708423326133897</v>
      </c>
      <c r="DF210" s="81">
        <f>IF(ISERROR((DE210/CW210-1)*100),"NA",IF(((DE210/CW210-1)*100)&gt;100,"NM",IF(((DE210/CW210-1)*100)&lt;-50,"NM",(DE210/CW210-1)*100)))</f>
        <v>10.001966615833568</v>
      </c>
      <c r="DG210" s="156">
        <f>+DG209/DG191*100</f>
        <v>19.949622166246851</v>
      </c>
      <c r="DH210" s="81">
        <f>IF(ISERROR((DG210/CY210-1)*100),"NA",IF(((DG210/CY210-1)*100)&gt;100,"NM",IF(((DG210/CY210-1)*100)&lt;-50,"NM",(DG210/CY210-1)*100)))</f>
        <v>8.9189819166134008</v>
      </c>
      <c r="DI210" s="156">
        <f>+DI209/DI191*100</f>
        <v>17.914438502673796</v>
      </c>
      <c r="DJ210" s="81">
        <f>IF(ISERROR((DI210/DA210-1)*100),"NA",IF(((DI210/DA210-1)*100)&gt;100,"NM",IF(((DI210/DA210-1)*100)&lt;-50,"NM",(DI210/DA210-1)*100)))</f>
        <v>-4.0175291725752293</v>
      </c>
      <c r="DK210" s="156">
        <f>+DK209/DK191*100</f>
        <v>20.373333333333342</v>
      </c>
      <c r="DL210" s="81">
        <f>IF(ISERROR((DK210/DC210-1)*100),"NA",IF(((DK210/DC210-1)*100)&gt;100,"NM",IF(((DK210/DC210-1)*100)&lt;-50,"NM",(DK210/DC210-1)*100)))</f>
        <v>2.093667595171822</v>
      </c>
      <c r="DM210" s="156">
        <f>+DM209/DM191*100</f>
        <v>20.061538461538458</v>
      </c>
      <c r="DN210" s="81">
        <f>IF(ISERROR((DM210/DE210-1)*100),"NA",IF(((DM210/DE210-1)*100)&gt;100,"NM",IF(((DM210/DE210-1)*100)&lt;-50,"NM",(DM210/DE210-1)*100)))</f>
        <v>1.7916965226554726</v>
      </c>
      <c r="DO210" s="156">
        <f>+DO209/DO191*100</f>
        <v>21.183628318584063</v>
      </c>
      <c r="DP210" s="81">
        <f>IF(ISERROR((DO210/DG210-1)*100),"NA",IF(((DO210/DG210-1)*100)&gt;100,"NM",IF(((DO210/DG210-1)*100)&lt;-50,"NM",(DO210/DG210-1)*100)))</f>
        <v>6.1856116474478862</v>
      </c>
      <c r="DQ210" s="156">
        <f>+DQ209/DQ191*100</f>
        <v>18.945538818076489</v>
      </c>
      <c r="DR210" s="81">
        <f>IF(ISERROR((DQ210/DI210-1)*100),"NA",IF(((DQ210/DI210-1)*100)&gt;100,"NM",IF(((DQ210/DI210-1)*100)&lt;-50,"NM",(DQ210/DI210-1)*100)))</f>
        <v>5.7556942979195114</v>
      </c>
      <c r="DS210" s="156">
        <f>+DS209/DS191*100</f>
        <v>19.978401727861772</v>
      </c>
      <c r="DT210" s="81">
        <f>IF(ISERROR((DS210/DK210-1)*100),"NA",IF(((DS210/DK210-1)*100)&gt;100,"NM",IF(((DS210/DK210-1)*100)&lt;-50,"NM",(DS210/DK210-1)*100)))</f>
        <v>-1.9384731943957956</v>
      </c>
      <c r="DU210" s="156">
        <f>+DU209/DU191*100</f>
        <v>20.228777844671892</v>
      </c>
      <c r="DV210" s="81">
        <f>IF(ISERROR((DU210/DM210-1)*100),"NA",IF(((DU210/DM210-1)*100)&gt;100,"NM",IF(((DU210/DM210-1)*100)&lt;-50,"NM",(DU210/DM210-1)*100)))</f>
        <v>0.83363189445346819</v>
      </c>
      <c r="DW210" s="156">
        <f>+DW209/DW191*100</f>
        <v>21.085714285714289</v>
      </c>
      <c r="DX210" s="81">
        <f>IF(ISERROR((DW210/DO210-1)*100),"NA",IF(((DW210/DO210-1)*100)&gt;100,"NM",IF(((DW210/DO210-1)*100)&lt;-50,"NM",(DW210/DO210-1)*100)))</f>
        <v>-0.46221559119725697</v>
      </c>
      <c r="DY210" s="156">
        <f>+DY209/DY191*100</f>
        <v>18.100128369704759</v>
      </c>
      <c r="DZ210" s="81">
        <f>IF(ISERROR((DY210/DQ210-1)*100),"NA",IF(((DY210/DQ210-1)*100)&gt;100,"NM",IF(((DY210/DQ210-1)*100)&lt;-50,"NM",(DY210/DQ210-1)*100)))</f>
        <v>-4.4623193696929793</v>
      </c>
      <c r="EA210" s="156">
        <f>+EA209/EA191*100</f>
        <v>19.840743198407441</v>
      </c>
      <c r="EB210" s="81">
        <f>IF(ISERROR((EA210/DS210-1)*100),"NA",IF(((EA210/DS210-1)*100)&gt;100,"NM",IF(((EA210/DS210-1)*100)&lt;-50,"NM",(EA210/DS210-1)*100)))</f>
        <v>-0.68903674743087118</v>
      </c>
      <c r="EC210" s="156">
        <f>+EC209/EC191*100</f>
        <v>17.985125084516561</v>
      </c>
      <c r="ED210" s="81">
        <f t="shared" si="683"/>
        <v>-11.091390579220251</v>
      </c>
      <c r="EE210" s="156">
        <f>+EE209/EE191*100</f>
        <v>18.062500000000004</v>
      </c>
      <c r="EF210" s="81">
        <f t="shared" si="684"/>
        <v>-14.337737127371275</v>
      </c>
      <c r="EG210" s="156">
        <f>+EG209/EG191*100</f>
        <v>16.187499999999986</v>
      </c>
      <c r="EH210" s="81">
        <f t="shared" si="685"/>
        <v>-10.566932624113601</v>
      </c>
      <c r="EI210" s="156">
        <f>+EI209/EI191*100</f>
        <v>17.956469165659016</v>
      </c>
      <c r="EJ210" s="81">
        <f t="shared" si="686"/>
        <v>-9.4969932018457381</v>
      </c>
      <c r="EK210" s="156">
        <f t="shared" ref="EK210:EQ210" si="693">+EK209/EK191*100</f>
        <v>17.583097467283462</v>
      </c>
      <c r="EL210" s="81">
        <f t="shared" si="687"/>
        <v>-2.235334007096812</v>
      </c>
      <c r="EM210" s="156">
        <f t="shared" si="693"/>
        <v>17.498158050179352</v>
      </c>
      <c r="EN210" s="81">
        <f t="shared" si="688"/>
        <v>-3.1243844972769663</v>
      </c>
      <c r="EO210" s="156">
        <f t="shared" si="693"/>
        <v>17.083271509597989</v>
      </c>
      <c r="EP210" s="81">
        <f t="shared" si="689"/>
        <v>5.5337236114162414</v>
      </c>
      <c r="EQ210" s="156">
        <f t="shared" si="693"/>
        <v>16.786863153215663</v>
      </c>
      <c r="ER210" s="81">
        <f t="shared" si="690"/>
        <v>-6.5135634497687001</v>
      </c>
      <c r="ET210" s="490"/>
      <c r="FD210" s="156">
        <f>+FD209/FD191*100</f>
        <v>17.237103174603174</v>
      </c>
      <c r="FE210" s="81" t="str">
        <f>IF(ISERROR((FD210/EV210-1)*100),"NA",IF(((FD210/EV210-1)*100)&gt;100,"NM",IF(((FD210/EV210-1)*100)&lt;-50,"NM",(FD210/EV210-1)*100)))</f>
        <v>NA</v>
      </c>
      <c r="FF210" s="156">
        <f>+FF209/FF191*100</f>
        <v>18.874283788338388</v>
      </c>
      <c r="FG210" s="81" t="str">
        <f>IF(ISERROR((FF210/EX210-1)*100),"NA",IF(((FF210/EX210-1)*100)&gt;100,"NM",IF(((FF210/EX210-1)*100)&lt;-50,"NM",(FF210/EX210-1)*100)))</f>
        <v>NA</v>
      </c>
      <c r="FH210" s="156">
        <f>+FH209/FH191*100</f>
        <v>18.870042404589668</v>
      </c>
      <c r="FI210" s="81" t="str">
        <f>IF(ISERROR((FH210/EZ210-1)*100),"NA",IF(((FH210/EZ210-1)*100)&gt;100,"NM",IF(((FH210/EZ210-1)*100)&lt;-50,"NM",(FH210/EZ210-1)*100)))</f>
        <v>NA</v>
      </c>
      <c r="FJ210" s="156">
        <f>+FJ209/FJ191*100</f>
        <v>19.363762102351327</v>
      </c>
      <c r="FK210" s="81" t="str">
        <f>IF(ISERROR((FJ210/FB210-1)*100),"NA",IF(((FJ210/FB210-1)*100)&gt;100,"NM",IF(((FJ210/FB210-1)*100)&lt;-50,"NM",(FJ210/FB210-1)*100)))</f>
        <v>NA</v>
      </c>
      <c r="FL210" s="156">
        <f>+FL209/FL191*100</f>
        <v>24.255528255528251</v>
      </c>
      <c r="FM210" s="81">
        <f>IF(ISERROR((FL210/FD210-1)*100),"NA",IF(((FL210/FD210-1)*100)&gt;100,"NM",IF(((FL210/FD210-1)*100)&lt;-50,"NM",(FL210/FD210-1)*100)))</f>
        <v>40.716963922719309</v>
      </c>
      <c r="FN210" s="156">
        <f>+FN209/FN191*100</f>
        <v>28.028995512599238</v>
      </c>
      <c r="FO210" s="81">
        <f>IF(ISERROR((FN210/FF210-1)*100),"NA",IF(((FN210/FF210-1)*100)&gt;100,"NM",IF(((FN210/FF210-1)*100)&lt;-50,"NM",(FN210/FF210-1)*100)))</f>
        <v>48.503624439074898</v>
      </c>
      <c r="FP210" s="156">
        <f>+FP209/FP191*100</f>
        <v>28.661945583302263</v>
      </c>
      <c r="FQ210" s="81">
        <f>IF(ISERROR((FP210/FH210-1)*100),"NA",IF(((FP210/FH210-1)*100)&gt;100,"NM",IF(((FP210/FH210-1)*100)&lt;-50,"NM",(FP210/FH210-1)*100)))</f>
        <v>51.891262185669262</v>
      </c>
      <c r="FR210" s="156">
        <f>+FR209/FR191*100</f>
        <v>30.996309963099623</v>
      </c>
      <c r="FS210" s="81">
        <f>IF(ISERROR((FR210/FJ210-1)*100),"NA",IF(((FR210/FJ210-1)*100)&gt;100,"NM",IF(((FR210/FJ210-1)*100)&lt;-50,"NM",(FR210/FJ210-1)*100)))</f>
        <v>60.073800738007236</v>
      </c>
      <c r="FT210" s="156">
        <f>+FT209/FT191*100</f>
        <v>25.416514654019217</v>
      </c>
      <c r="FU210" s="81">
        <f>IF(ISERROR((FT210/FL210-1)*100),"NA",IF(((FT210/FL210-1)*100)&gt;100,"NM",IF(((FT210/FL210-1)*100)&lt;-50,"NM",(FT210/FL210-1)*100)))</f>
        <v>4.7864816064204119</v>
      </c>
      <c r="FV210" s="156">
        <f>+FV209/FV191*100</f>
        <v>21.724766461608574</v>
      </c>
      <c r="FW210" s="81">
        <f>IF(ISERROR((FV210/FN210-1)*100),"NA",IF(((FV210/FN210-1)*100)&gt;100,"NM",IF(((FV210/FN210-1)*100)&lt;-50,"NM",(FV210/FN210-1)*100)))</f>
        <v>-22.491812266896495</v>
      </c>
      <c r="FX210" s="156">
        <f>+FX209/FX191*100</f>
        <v>15.170421721548221</v>
      </c>
      <c r="FY210" s="81">
        <f>IF(ISERROR((FX210/FP210-1)*100),"NA",IF(((FX210/FP210-1)*100)&gt;100,"NM",IF(((FX210/FP210-1)*100)&lt;-50,"NM",(FX210/FP210-1)*100)))</f>
        <v>-47.071207439643835</v>
      </c>
      <c r="FZ210" s="156">
        <f>+FZ209/FZ191*100</f>
        <v>18.718094157685762</v>
      </c>
      <c r="GA210" s="81">
        <f>IF(ISERROR((FZ210/FR210-1)*100),"NA",IF(((FZ210/FR210-1)*100)&gt;100,"NM",IF(((FZ210/FR210-1)*100)&lt;-50,"NM",(FZ210/FR210-1)*100)))</f>
        <v>-39.611862896037586</v>
      </c>
      <c r="GB210" s="156">
        <f>+GB209/GB191*100</f>
        <v>19.493537325243995</v>
      </c>
      <c r="GC210" s="81">
        <f>IF(ISERROR((GB210/FT210-1)*100),"NA",IF(((GB210/FT210-1)*100)&gt;100,"NM",IF(((GB210/FT210-1)*100)&lt;-50,"NM",(GB210/FT210-1)*100)))</f>
        <v>-23.303656734219448</v>
      </c>
      <c r="GD210" s="156">
        <f>+GD209/GD191*100</f>
        <v>20.054200542005411</v>
      </c>
      <c r="GE210" s="81">
        <f>IF(ISERROR((GD210/FV210-1)*100),"NA",IF(((GD210/FV210-1)*100)&gt;100,"NM",IF(((GD210/FV210-1)*100)&lt;-50,"NM",(GD210/FV210-1)*100)))</f>
        <v>-7.6896841333385257</v>
      </c>
      <c r="GF210" s="156">
        <f>+GF209/GF191*100</f>
        <v>19.857936998147007</v>
      </c>
      <c r="GG210" s="81">
        <f>IF(ISERROR((GF210/FX210-1)*100),"NA",IF(((GF210/FX210-1)*100)&gt;100,"NM",IF(((GF210/FX210-1)*100)&lt;-50,"NM",(GF210/FX210-1)*100)))</f>
        <v>30.899043959605898</v>
      </c>
      <c r="GH210" s="156">
        <f>+GH209/GH191*100</f>
        <v>17.54302858045159</v>
      </c>
      <c r="GI210" s="81">
        <f>IF(ISERROR((GH210/FZ210-1)*100),"NA",IF(((GH210/FZ210-1)*100)&gt;100,"NM",IF(((GH210/FZ210-1)*100)&lt;-50,"NM",(GH210/FZ210-1)*100)))</f>
        <v>-6.277698826254074</v>
      </c>
      <c r="GJ210" s="156">
        <f>+GJ209/GJ191*100</f>
        <v>17.236153444178804</v>
      </c>
      <c r="GK210" s="81">
        <f>IF(ISERROR((GJ210/GB210-1)*100),"NA",IF(((GJ210/GB210-1)*100)&gt;100,"NM",IF(((GJ210/GB210-1)*100)&lt;-50,"NM",(GJ210/GB210-1)*100)))</f>
        <v>-11.580165484598293</v>
      </c>
      <c r="GL210" s="156">
        <f>+GL209/GL191*100</f>
        <v>17.329632947163677</v>
      </c>
      <c r="GM210" s="81">
        <f>IF(ISERROR((GL210/GD210-1)*100),"NA",IF(((GL210/GD210-1)*100)&gt;100,"NM",IF(((GL210/GD210-1)*100)&lt;-50,"NM",(GL210/GD210-1)*100)))</f>
        <v>-13.586019493197298</v>
      </c>
      <c r="GN210" s="156">
        <f>+GN209/GN191*100</f>
        <v>17.422628250711064</v>
      </c>
      <c r="GO210" s="81">
        <f>IF(ISERROR((GN210/GF210-1)*100),"NA",IF(((GN210/GF210-1)*100)&gt;100,"NM",IF(((GN210/GF210-1)*100)&lt;-50,"NM",(GN210/GF210-1)*100)))</f>
        <v>-12.263654314459693</v>
      </c>
      <c r="GP210" s="156">
        <f>+GP209/GP191*100</f>
        <v>17.515157977876285</v>
      </c>
      <c r="GQ210" s="81">
        <f>IF(ISERROR((GP210/GH210-1)*100),"NA",IF(((GP210/GH210-1)*100)&gt;100,"NM",IF(((GP210/GH210-1)*100)&lt;-50,"NM",(GP210/GH210-1)*100)))</f>
        <v>-0.15886996049451207</v>
      </c>
      <c r="GR210" s="156">
        <f>+GR209/GR191*100</f>
        <v>17.526349717832286</v>
      </c>
      <c r="GS210" s="81" t="str">
        <f>IF(ISERROR((GR210/#REF!-1)*100),"NA",IF(((GR210/#REF!-1)*100)&gt;100,"NM",IF(((GR210/#REF!-1)*100)&lt;-50,"NM",(GR210/#REF!-1)*100)))</f>
        <v>NA</v>
      </c>
      <c r="GT210" s="79">
        <f>IF(ISERROR(((GR210/GH210)^0.2-1)*100),"NA",(IF(OR(((GR210/GH210)^0.2-1)*100&gt;99,((GR210/GH210)^0.2-1)*100&lt;-50),"NM",(((GR210/GH210)^0.2-1)*100))))</f>
        <v>-1.9022039517957445E-2</v>
      </c>
    </row>
    <row r="211" spans="1:286" ht="12.75" customHeight="1" x14ac:dyDescent="0.2">
      <c r="A211" s="1"/>
      <c r="C211" s="79"/>
      <c r="D211" s="79"/>
      <c r="E211" s="185"/>
      <c r="F211" s="185"/>
      <c r="G211" s="185"/>
      <c r="H211" s="185"/>
      <c r="I211" s="185"/>
      <c r="J211" s="185"/>
      <c r="K211" s="185"/>
      <c r="L211" s="79"/>
      <c r="M211" s="185"/>
      <c r="N211" s="79"/>
      <c r="O211" s="185"/>
      <c r="P211" s="79"/>
      <c r="Q211" s="185"/>
      <c r="R211" s="79"/>
      <c r="S211" s="185"/>
      <c r="T211" s="79"/>
      <c r="U211" s="185"/>
      <c r="V211" s="79"/>
      <c r="W211" s="185"/>
      <c r="X211" s="79"/>
      <c r="Y211" s="185"/>
      <c r="Z211" s="79"/>
      <c r="AA211" s="252"/>
      <c r="AB211" s="79"/>
      <c r="AC211" s="185"/>
      <c r="AD211" s="79"/>
      <c r="AE211" s="185"/>
      <c r="AF211" s="79"/>
      <c r="AG211" s="185"/>
      <c r="AH211" s="79"/>
      <c r="AI211" s="185"/>
      <c r="AJ211" s="79"/>
      <c r="AK211" s="185"/>
      <c r="AL211" s="79"/>
      <c r="AM211" s="185"/>
      <c r="AN211" s="79"/>
      <c r="AO211" s="185"/>
      <c r="AP211" s="79"/>
      <c r="AQ211" s="185"/>
      <c r="AR211" s="79"/>
      <c r="AS211" s="185"/>
      <c r="AT211" s="81"/>
      <c r="AU211" s="185"/>
      <c r="AV211" s="81"/>
      <c r="AW211" s="185"/>
      <c r="AX211" s="81"/>
      <c r="AY211" s="185"/>
      <c r="AZ211" s="81"/>
      <c r="BA211" s="185"/>
      <c r="BB211" s="81"/>
      <c r="BC211" s="185"/>
      <c r="BD211" s="81"/>
      <c r="BE211" s="185"/>
      <c r="BF211" s="81"/>
      <c r="BG211" s="185"/>
      <c r="BH211" s="81"/>
      <c r="BI211" s="185"/>
      <c r="BJ211" s="81"/>
      <c r="BK211" s="185"/>
      <c r="BL211" s="81"/>
      <c r="BM211" s="185"/>
      <c r="BN211" s="81"/>
      <c r="BO211" s="185"/>
      <c r="BP211" s="81"/>
      <c r="BQ211" s="185"/>
      <c r="BR211" s="81"/>
      <c r="BS211" s="185"/>
      <c r="BT211" s="81"/>
      <c r="BU211" s="185"/>
      <c r="BV211" s="81"/>
      <c r="BW211" s="185"/>
      <c r="BX211" s="81"/>
      <c r="BY211" s="185"/>
      <c r="BZ211" s="81"/>
      <c r="CA211" s="185"/>
      <c r="CB211" s="81"/>
      <c r="CC211" s="185"/>
      <c r="CD211" s="81"/>
      <c r="CE211" s="185"/>
      <c r="CF211" s="81"/>
      <c r="CG211" s="185"/>
      <c r="CH211" s="81"/>
      <c r="CI211" s="185"/>
      <c r="CJ211" s="81"/>
      <c r="CK211" s="185"/>
      <c r="CL211" s="81"/>
      <c r="CM211" s="185"/>
      <c r="CN211" s="81"/>
      <c r="CO211" s="185"/>
      <c r="CP211" s="81"/>
      <c r="CQ211" s="185"/>
      <c r="CR211" s="81"/>
      <c r="CS211" s="185"/>
      <c r="CT211" s="81"/>
      <c r="CU211" s="185"/>
      <c r="CV211" s="81"/>
      <c r="CW211" s="185"/>
      <c r="CX211" s="81"/>
      <c r="CY211" s="185"/>
      <c r="CZ211" s="81"/>
      <c r="DA211" s="185"/>
      <c r="DB211" s="81"/>
      <c r="DC211" s="185"/>
      <c r="DD211" s="81"/>
      <c r="DE211" s="185"/>
      <c r="DF211" s="81"/>
      <c r="DG211" s="185"/>
      <c r="DH211" s="81"/>
      <c r="DI211" s="185"/>
      <c r="DJ211" s="81"/>
      <c r="DK211" s="185"/>
      <c r="DL211" s="81"/>
      <c r="DM211" s="185"/>
      <c r="DN211" s="81"/>
      <c r="DO211" s="185"/>
      <c r="DP211" s="81"/>
      <c r="DQ211" s="913"/>
      <c r="DR211" s="81"/>
      <c r="DS211" s="913"/>
      <c r="DT211" s="81"/>
      <c r="DU211" s="913"/>
      <c r="DV211" s="81"/>
      <c r="DW211" s="913"/>
      <c r="DX211" s="81"/>
      <c r="DY211" s="913"/>
      <c r="DZ211" s="81"/>
      <c r="EA211" s="913"/>
      <c r="EB211" s="81"/>
      <c r="EC211" s="913"/>
      <c r="ED211" s="81"/>
      <c r="EE211" s="913"/>
      <c r="EF211" s="81"/>
      <c r="EG211" s="913"/>
      <c r="EH211" s="81"/>
      <c r="EI211" s="913"/>
      <c r="EJ211" s="81"/>
      <c r="EK211" s="185"/>
      <c r="EL211" s="81"/>
      <c r="EM211" s="185"/>
      <c r="EN211" s="81"/>
      <c r="EO211" s="185"/>
      <c r="EP211" s="81"/>
      <c r="EQ211" s="185"/>
      <c r="ER211" s="81"/>
      <c r="ES211" s="129"/>
      <c r="ET211" s="469"/>
      <c r="EU211" s="129"/>
      <c r="EV211" s="185"/>
      <c r="EW211" s="79"/>
      <c r="EX211" s="185"/>
      <c r="EY211" s="79"/>
      <c r="EZ211" s="185"/>
      <c r="FA211" s="79"/>
      <c r="FB211" s="185"/>
      <c r="FC211" s="79"/>
      <c r="FD211" s="185"/>
      <c r="FE211" s="79"/>
      <c r="FF211" s="185"/>
      <c r="FG211" s="79"/>
      <c r="FH211" s="185"/>
      <c r="FI211" s="79"/>
      <c r="FJ211" s="185"/>
      <c r="FK211" s="79"/>
      <c r="FL211" s="185"/>
      <c r="FM211" s="79"/>
      <c r="FN211" s="185"/>
      <c r="FO211" s="79"/>
      <c r="FP211" s="185"/>
      <c r="FQ211" s="79"/>
      <c r="FR211" s="185"/>
      <c r="FS211" s="79"/>
      <c r="FT211" s="185"/>
      <c r="FU211" s="79"/>
      <c r="FV211" s="185"/>
      <c r="FW211" s="79"/>
      <c r="FX211" s="185"/>
      <c r="FY211" s="79"/>
      <c r="FZ211" s="185"/>
      <c r="GA211" s="79"/>
      <c r="GB211" s="185"/>
      <c r="GC211" s="79"/>
      <c r="GD211" s="185"/>
      <c r="GE211" s="79"/>
      <c r="GF211" s="185"/>
      <c r="GG211" s="79"/>
      <c r="GH211" s="185"/>
      <c r="GI211" s="79"/>
      <c r="GJ211" s="185"/>
      <c r="GK211" s="79"/>
      <c r="GL211" s="185"/>
      <c r="GM211" s="79"/>
      <c r="GN211" s="185"/>
      <c r="GO211" s="79"/>
      <c r="GP211" s="185"/>
      <c r="GQ211" s="79"/>
      <c r="GR211" s="185"/>
      <c r="GS211" s="79"/>
      <c r="GT211" s="79"/>
    </row>
    <row r="212" spans="1:286" ht="12.75" customHeight="1" x14ac:dyDescent="0.2">
      <c r="A212" s="1"/>
      <c r="B212" s="83" t="s">
        <v>389</v>
      </c>
      <c r="C212" s="79"/>
      <c r="D212" s="79"/>
      <c r="E212" s="185"/>
      <c r="F212" s="185"/>
      <c r="G212" s="185"/>
      <c r="H212" s="185"/>
      <c r="I212" s="185"/>
      <c r="J212" s="185"/>
      <c r="K212" s="185"/>
      <c r="L212" s="79"/>
      <c r="M212" s="185"/>
      <c r="N212" s="79"/>
      <c r="O212" s="185"/>
      <c r="P212" s="79"/>
      <c r="Q212" s="185"/>
      <c r="R212" s="79"/>
      <c r="S212" s="185"/>
      <c r="T212" s="79"/>
      <c r="U212" s="185"/>
      <c r="V212" s="79"/>
      <c r="W212" s="185"/>
      <c r="X212" s="79"/>
      <c r="Y212" s="185"/>
      <c r="Z212" s="79"/>
      <c r="AA212" s="252"/>
      <c r="AB212" s="79"/>
      <c r="AC212" s="185"/>
      <c r="AD212" s="79"/>
      <c r="AE212" s="185"/>
      <c r="AF212" s="79"/>
      <c r="AG212" s="185"/>
      <c r="AH212" s="79"/>
      <c r="AI212" s="185"/>
      <c r="AJ212" s="79"/>
      <c r="AK212" s="185"/>
      <c r="AL212" s="79"/>
      <c r="AM212" s="185"/>
      <c r="AN212" s="79"/>
      <c r="AO212" s="185"/>
      <c r="AP212" s="79"/>
      <c r="AQ212" s="185"/>
      <c r="AR212" s="79"/>
      <c r="AS212" s="185"/>
      <c r="AT212" s="81"/>
      <c r="AU212" s="185"/>
      <c r="AV212" s="81"/>
      <c r="AW212" s="185"/>
      <c r="AX212" s="81"/>
      <c r="AY212" s="185"/>
      <c r="AZ212" s="81"/>
      <c r="BA212" s="185"/>
      <c r="BB212" s="81"/>
      <c r="BC212" s="185"/>
      <c r="BD212" s="81"/>
      <c r="BE212" s="185"/>
      <c r="BF212" s="81"/>
      <c r="BG212" s="185"/>
      <c r="BH212" s="81"/>
      <c r="BI212" s="185"/>
      <c r="BJ212" s="81"/>
      <c r="BK212" s="185"/>
      <c r="BL212" s="81"/>
      <c r="BM212" s="185"/>
      <c r="BN212" s="81"/>
      <c r="BO212" s="185"/>
      <c r="BP212" s="81"/>
      <c r="BQ212" s="185"/>
      <c r="BR212" s="81"/>
      <c r="BS212" s="185"/>
      <c r="BT212" s="81"/>
      <c r="BU212" s="185"/>
      <c r="BV212" s="81"/>
      <c r="BW212" s="185"/>
      <c r="BX212" s="81"/>
      <c r="BY212" s="185"/>
      <c r="BZ212" s="81"/>
      <c r="CA212" s="185"/>
      <c r="CB212" s="81"/>
      <c r="CC212" s="185"/>
      <c r="CD212" s="81"/>
      <c r="CE212" s="185"/>
      <c r="CF212" s="81"/>
      <c r="CG212" s="185"/>
      <c r="CH212" s="81"/>
      <c r="CI212" s="185"/>
      <c r="CJ212" s="81"/>
      <c r="CK212" s="185"/>
      <c r="CL212" s="81"/>
      <c r="CM212" s="185"/>
      <c r="CN212" s="81"/>
      <c r="CO212" s="185"/>
      <c r="CP212" s="81"/>
      <c r="CQ212" s="185"/>
      <c r="CR212" s="81"/>
      <c r="CS212" s="185"/>
      <c r="CT212" s="81"/>
      <c r="CU212" s="185"/>
      <c r="CV212" s="81"/>
      <c r="CW212" s="185"/>
      <c r="CX212" s="81"/>
      <c r="CY212" s="185"/>
      <c r="CZ212" s="81"/>
      <c r="DA212" s="185"/>
      <c r="DB212" s="81"/>
      <c r="DC212" s="185"/>
      <c r="DD212" s="81"/>
      <c r="DE212" s="185"/>
      <c r="DF212" s="81"/>
      <c r="DG212" s="185"/>
      <c r="DH212" s="81"/>
      <c r="DI212" s="185"/>
      <c r="DJ212" s="81"/>
      <c r="DK212" s="185"/>
      <c r="DL212" s="81"/>
      <c r="DM212" s="185"/>
      <c r="DN212" s="81"/>
      <c r="DO212" s="185"/>
      <c r="DP212" s="81"/>
      <c r="DQ212" s="185"/>
      <c r="DR212" s="81"/>
      <c r="DS212" s="185"/>
      <c r="DT212" s="81"/>
      <c r="DU212" s="185"/>
      <c r="DV212" s="81"/>
      <c r="DW212" s="185"/>
      <c r="DX212" s="81"/>
      <c r="DY212" s="185"/>
      <c r="DZ212" s="81"/>
      <c r="EA212" s="185"/>
      <c r="EB212" s="81"/>
      <c r="EC212" s="185"/>
      <c r="ED212" s="81"/>
      <c r="EE212" s="185"/>
      <c r="EF212" s="81"/>
      <c r="EG212" s="185"/>
      <c r="EH212" s="81"/>
      <c r="EI212" s="185"/>
      <c r="EJ212" s="81"/>
      <c r="EK212" s="185"/>
      <c r="EL212" s="81"/>
      <c r="EM212" s="185"/>
      <c r="EN212" s="81"/>
      <c r="EO212" s="185"/>
      <c r="EP212" s="81"/>
      <c r="EQ212" s="185"/>
      <c r="ER212" s="81"/>
      <c r="ES212" s="129"/>
      <c r="ET212" s="469"/>
      <c r="EU212" s="129"/>
      <c r="EV212" s="185"/>
      <c r="EW212" s="79"/>
      <c r="EX212" s="185"/>
      <c r="EY212" s="79"/>
      <c r="EZ212" s="185"/>
      <c r="FA212" s="79"/>
      <c r="FB212" s="185"/>
      <c r="FC212" s="79"/>
      <c r="FD212" s="185"/>
      <c r="FE212" s="79"/>
      <c r="FF212" s="185"/>
      <c r="FG212" s="79"/>
      <c r="FH212" s="185"/>
      <c r="FI212" s="79"/>
      <c r="FJ212" s="185"/>
      <c r="FK212" s="79"/>
      <c r="FL212" s="185"/>
      <c r="FM212" s="79"/>
      <c r="FN212" s="185"/>
      <c r="FO212" s="79"/>
      <c r="FP212" s="185"/>
      <c r="FQ212" s="79"/>
      <c r="FR212" s="185"/>
      <c r="FS212" s="79"/>
      <c r="FT212" s="185"/>
      <c r="FU212" s="79"/>
      <c r="FV212" s="185"/>
      <c r="FW212" s="79"/>
      <c r="FX212" s="185"/>
      <c r="FY212" s="79"/>
      <c r="FZ212" s="185"/>
      <c r="GA212" s="79"/>
      <c r="GB212" s="185"/>
      <c r="GC212" s="79"/>
      <c r="GD212" s="185"/>
      <c r="GE212" s="79"/>
      <c r="GF212" s="185"/>
      <c r="GG212" s="79"/>
      <c r="GH212" s="185"/>
      <c r="GI212" s="79"/>
      <c r="GJ212" s="185"/>
      <c r="GK212" s="79"/>
      <c r="GL212" s="185"/>
      <c r="GM212" s="79"/>
      <c r="GN212" s="185"/>
      <c r="GO212" s="79"/>
      <c r="GP212" s="185"/>
      <c r="GQ212" s="79"/>
      <c r="GR212" s="185"/>
      <c r="GS212" s="79"/>
      <c r="GT212" s="79"/>
    </row>
    <row r="213" spans="1:286" ht="12.75" customHeight="1" x14ac:dyDescent="0.2">
      <c r="A213" s="1"/>
      <c r="B213" s="10" t="s">
        <v>390</v>
      </c>
      <c r="C213" s="79"/>
      <c r="D213" s="79"/>
      <c r="E213" s="185"/>
      <c r="F213" s="185"/>
      <c r="G213" s="185"/>
      <c r="H213" s="185"/>
      <c r="I213" s="185"/>
      <c r="J213" s="185"/>
      <c r="K213" s="185"/>
      <c r="L213" s="79"/>
      <c r="M213" s="185"/>
      <c r="N213" s="79"/>
      <c r="O213" s="185"/>
      <c r="P213" s="79"/>
      <c r="Q213" s="185"/>
      <c r="R213" s="79"/>
      <c r="S213" s="185"/>
      <c r="T213" s="79"/>
      <c r="U213" s="185"/>
      <c r="V213" s="79"/>
      <c r="W213" s="185"/>
      <c r="X213" s="79"/>
      <c r="Y213" s="185"/>
      <c r="Z213" s="79"/>
      <c r="AA213" s="252"/>
      <c r="AB213" s="79"/>
      <c r="AC213" s="186">
        <f>61.6-AE213</f>
        <v>29.300000000000004</v>
      </c>
      <c r="AD213" s="79" t="str">
        <f>IF(ISERROR((AC213/U213-1)*100),"NA",IF(((AC213/U213-1)*100)&gt;100,"NM",IF(((AC213/U213-1)*100)&lt;-50,"NM",(AC213/U213-1)*100)))</f>
        <v>NA</v>
      </c>
      <c r="AE213" s="186">
        <v>32.299999999999997</v>
      </c>
      <c r="AF213" s="79" t="str">
        <f>IF(ISERROR((AE213/W213-1)*100),"NA",IF(((AE213/W213-1)*100)&gt;100,"NM",IF(((AE213/W213-1)*100)&lt;-50,"NM",(AE213/W213-1)*100)))</f>
        <v>NA</v>
      </c>
      <c r="AG213" s="186">
        <v>17.3</v>
      </c>
      <c r="AH213" s="79" t="str">
        <f>IF(ISERROR((AG213/Y213-1)*100),"NA",IF(((AG213/Y213-1)*100)&gt;100,"NM",IF(((AG213/Y213-1)*100)&lt;-50,"NM",(AG213/Y213-1)*100)))</f>
        <v>NA</v>
      </c>
      <c r="AI213" s="104">
        <f>FH213-AG213-AE213-AC213</f>
        <v>24.4</v>
      </c>
      <c r="AJ213" s="79" t="str">
        <f>IF(ISERROR((AI213/AA213-1)*100),"NA",IF(((AI213/AA213-1)*100)&gt;100,"NM",IF(((AI213/AA213-1)*100)&lt;-50,"NM",(AI213/AA213-1)*100)))</f>
        <v>NA</v>
      </c>
      <c r="AK213" s="186">
        <f>56.6-AM213</f>
        <v>17.800000000000004</v>
      </c>
      <c r="AL213" s="79">
        <f>IF(ISERROR((AK213/AC213-1)*100),"NA",IF(((AK213/AC213-1)*100)&gt;100,"NM",IF(((AK213/AC213-1)*100)&lt;-50,"NM",(AK213/AC213-1)*100)))</f>
        <v>-39.249146757679178</v>
      </c>
      <c r="AM213" s="186">
        <v>38.799999999999997</v>
      </c>
      <c r="AN213" s="79">
        <f>IF(ISERROR((AM213/AE213-1)*100),"NA",IF(((AM213/AE213-1)*100)&gt;100,"NM",IF(((AM213/AE213-1)*100)&lt;-50,"NM",(AM213/AE213-1)*100)))</f>
        <v>20.123839009287934</v>
      </c>
      <c r="AO213" s="186">
        <v>17.100000000000001</v>
      </c>
      <c r="AP213" s="79">
        <f>IF(ISERROR((AO213/AG213-1)*100),"NA",IF(((AO213/AG213-1)*100)&gt;100,"NM",IF(((AO213/AG213-1)*100)&lt;-50,"NM",(AO213/AG213-1)*100)))</f>
        <v>-1.1560693641618491</v>
      </c>
      <c r="AQ213" s="186">
        <v>17.100000000000001</v>
      </c>
      <c r="AR213" s="79">
        <f>IF(ISERROR((AQ213/AI213-1)*100),"NA",IF(((AQ213/AI213-1)*100)&gt;100,"NM",IF(((AQ213/AI213-1)*100)&lt;-50,"NM",(AQ213/AI213-1)*100)))</f>
        <v>-29.918032786885242</v>
      </c>
      <c r="AS213" s="186">
        <v>7.2</v>
      </c>
      <c r="AT213" s="81" t="str">
        <f>IF(ISERROR((AS213/AK213-1)*100),"NA",IF(((AS213/AK213-1)*100)&gt;100,"NM",IF(((AS213/AK213-1)*100)&lt;-50,"NM",(AS213/AK213-1)*100)))</f>
        <v>NM</v>
      </c>
      <c r="AU213" s="186">
        <v>14.1</v>
      </c>
      <c r="AV213" s="81" t="str">
        <f>IF(ISERROR((AU213/AM213-1)*100),"NA",IF(((AU213/AM213-1)*100)&gt;100,"NM",IF(((AU213/AM213-1)*100)&lt;-50,"NM",(AU213/AM213-1)*100)))</f>
        <v>NM</v>
      </c>
      <c r="AW213" s="186">
        <v>18</v>
      </c>
      <c r="AX213" s="81">
        <f>IF(ISERROR((AW213/AO213-1)*100),"NA",IF(((AW213/AO213-1)*100)&gt;100,"NM",IF(((AW213/AO213-1)*100)&lt;-50,"NM",(AW213/AO213-1)*100)))</f>
        <v>5.2631578947368363</v>
      </c>
      <c r="AY213" s="186">
        <v>39.799999999999997</v>
      </c>
      <c r="AZ213" s="81" t="str">
        <f>IF(ISERROR((AY213/AQ213-1)*100),"NA",IF(((AY213/AQ213-1)*100)&gt;100,"NM",IF(((AY213/AQ213-1)*100)&lt;-50,"NM",(AY213/AQ213-1)*100)))</f>
        <v>NM</v>
      </c>
      <c r="BA213" s="186">
        <v>16.3</v>
      </c>
      <c r="BB213" s="81" t="str">
        <f>IF(ISERROR((BA213/AS213-1)*100),"NA",IF(((BA213/AS213-1)*100)&gt;100,"NM",IF(((BA213/AS213-1)*100)&lt;-50,"NM",(BA213/AS213-1)*100)))</f>
        <v>NM</v>
      </c>
      <c r="BC213" s="186">
        <v>22.2</v>
      </c>
      <c r="BD213" s="81">
        <f>IF(ISERROR((BC213/AU213-1)*100),"NA",IF(((BC213/AU213-1)*100)&gt;100,"NM",IF(((BC213/AU213-1)*100)&lt;-50,"NM",(BC213/AU213-1)*100)))</f>
        <v>57.446808510638306</v>
      </c>
      <c r="BE213" s="186">
        <v>16.600000000000001</v>
      </c>
      <c r="BF213" s="81">
        <f>IF(ISERROR((BE213/AW213-1)*100),"NA",IF(((BE213/AW213-1)*100)&gt;100,"NM",IF(((BE213/AW213-1)*100)&lt;-50,"NM",(BE213/AW213-1)*100)))</f>
        <v>-7.7777777777777724</v>
      </c>
      <c r="BG213" s="186">
        <v>29.3</v>
      </c>
      <c r="BH213" s="81">
        <f>IF(ISERROR((BG213/AY213-1)*100),"NA",IF(((BG213/AY213-1)*100)&gt;100,"NM",IF(((BG213/AY213-1)*100)&lt;-50,"NM",(BG213/AY213-1)*100)))</f>
        <v>-26.38190954773869</v>
      </c>
      <c r="BI213" s="186">
        <v>14.8</v>
      </c>
      <c r="BJ213" s="81">
        <f>IF(ISERROR((BI213/BA213-1)*100),"NA",IF(((BI213/BA213-1)*100)&gt;100,"NM",IF(((BI213/BA213-1)*100)&lt;-50,"NM",(BI213/BA213-1)*100)))</f>
        <v>-9.2024539877300633</v>
      </c>
      <c r="BK213" s="186">
        <v>23.2</v>
      </c>
      <c r="BL213" s="81">
        <f>IF(ISERROR((BK213/BC213-1)*100),"NA",IF(((BK213/BC213-1)*100)&gt;100,"NM",IF(((BK213/BC213-1)*100)&lt;-50,"NM",(BK213/BC213-1)*100)))</f>
        <v>4.5045045045045029</v>
      </c>
      <c r="BM213" s="186">
        <v>16.2</v>
      </c>
      <c r="BN213" s="81"/>
      <c r="BO213" s="186">
        <v>18.5</v>
      </c>
      <c r="BP213" s="81"/>
      <c r="BQ213" s="186">
        <v>16.3</v>
      </c>
      <c r="BR213" s="81"/>
      <c r="BS213" s="186">
        <v>15.5</v>
      </c>
      <c r="BT213" s="81"/>
      <c r="BU213" s="186">
        <v>13.5</v>
      </c>
      <c r="BV213" s="81"/>
      <c r="BW213" s="186">
        <v>18.5</v>
      </c>
      <c r="BX213" s="81"/>
      <c r="BY213" s="186">
        <v>11.7</v>
      </c>
      <c r="BZ213" s="81"/>
      <c r="CA213" s="186">
        <v>13.7</v>
      </c>
      <c r="CB213" s="81"/>
      <c r="CC213" s="186">
        <v>14.5</v>
      </c>
      <c r="CD213" s="81"/>
      <c r="CE213" s="186">
        <v>14.1</v>
      </c>
      <c r="CF213" s="81">
        <f t="shared" si="691"/>
        <v>-23.783783783783786</v>
      </c>
      <c r="CG213" s="186">
        <v>8.1999999999999993</v>
      </c>
      <c r="CH213" s="81">
        <f>IF(ISERROR((CG213/BY213-1)*100),"NA",IF(((CG213/BY213-1)*100)&gt;100,"NM",IF(((CG213/BY213-1)*100)&lt;-50,"NM",(CG213/BY213-1)*100)))</f>
        <v>-29.914529914529918</v>
      </c>
      <c r="CI213" s="186">
        <v>12.6</v>
      </c>
      <c r="CJ213" s="81">
        <f>IF(ISERROR((CI213/CA213-1)*100),"NA",IF(((CI213/CA213-1)*100)&gt;100,"NM",IF(((CI213/CA213-1)*100)&lt;-50,"NM",(CI213/CA213-1)*100)))</f>
        <v>-8.0291970802919721</v>
      </c>
      <c r="CK213" s="186">
        <v>9.9</v>
      </c>
      <c r="CL213" s="81">
        <f>IF(ISERROR((CK213/CC213-1)*100),"NA",IF(((CK213/CC213-1)*100)&gt;100,"NM",IF(((CK213/CC213-1)*100)&lt;-50,"NM",(CK213/CC213-1)*100)))</f>
        <v>-31.72413793103448</v>
      </c>
      <c r="CM213" s="186">
        <v>17.100000000000001</v>
      </c>
      <c r="CN213" s="81">
        <f>IF(ISERROR((CM213/CE213-1)*100),"NA",IF(((CM213/CE213-1)*100)&gt;100,"NM",IF(((CM213/CE213-1)*100)&lt;-50,"NM",(CM213/CE213-1)*100)))</f>
        <v>21.276595744680861</v>
      </c>
      <c r="CO213" s="186">
        <v>11.2</v>
      </c>
      <c r="CP213" s="81">
        <f>IF(ISERROR((CO213/CG213-1)*100),"NA",IF(((CO213/CG213-1)*100)&gt;100,"NM",IF(((CO213/CG213-1)*100)&lt;-50,"NM",(CO213/CG213-1)*100)))</f>
        <v>36.585365853658544</v>
      </c>
      <c r="CQ213" s="186">
        <v>13.5</v>
      </c>
      <c r="CR213" s="81">
        <f>IF(ISERROR((CQ213/CI213-1)*100),"NA",IF(((CQ213/CI213-1)*100)&gt;100,"NM",IF(((CQ213/CI213-1)*100)&lt;-50,"NM",(CQ213/CI213-1)*100)))</f>
        <v>7.1428571428571397</v>
      </c>
      <c r="CS213" s="186">
        <v>10.4</v>
      </c>
      <c r="CT213" s="81">
        <f>IF(ISERROR((CS213/CK213-1)*100),"NA",IF(((CS213/CK213-1)*100)&gt;100,"NM",IF(((CS213/CK213-1)*100)&lt;-50,"NM",(CS213/CK213-1)*100)))</f>
        <v>5.0505050505050608</v>
      </c>
      <c r="CU213" s="186">
        <v>16.100000000000001</v>
      </c>
      <c r="CV213" s="81">
        <f>IF(ISERROR((CU213/CM213-1)*100),"NA",IF(((CU213/CM213-1)*100)&gt;100,"NM",IF(((CU213/CM213-1)*100)&lt;-50,"NM",(CU213/CM213-1)*100)))</f>
        <v>-5.8479532163742682</v>
      </c>
      <c r="CW213" s="186">
        <v>10.9</v>
      </c>
      <c r="CX213" s="81">
        <f>IF(ISERROR((CW213/CO213-1)*100),"NA",IF(((CW213/CO213-1)*100)&gt;100,"NM",IF(((CW213/CO213-1)*100)&lt;-50,"NM",(CW213/CO213-1)*100)))</f>
        <v>-2.6785714285714191</v>
      </c>
      <c r="CY213" s="186">
        <v>13.8</v>
      </c>
      <c r="CZ213" s="81">
        <f>IF(ISERROR((CY213/CQ213-1)*100),"NA",IF(((CY213/CQ213-1)*100)&gt;100,"NM",IF(((CY213/CQ213-1)*100)&lt;-50,"NM",(CY213/CQ213-1)*100)))</f>
        <v>2.2222222222222365</v>
      </c>
      <c r="DA213" s="186">
        <v>10.3</v>
      </c>
      <c r="DB213" s="81">
        <f>IF(ISERROR((DA213/CS213-1)*100),"NA",IF(((DA213/CS213-1)*100)&gt;100,"NM",IF(((DA213/CS213-1)*100)&lt;-50,"NM",(DA213/CS213-1)*100)))</f>
        <v>-0.96153846153845812</v>
      </c>
      <c r="DC213" s="186">
        <v>15.5</v>
      </c>
      <c r="DD213" s="81">
        <f>IF(ISERROR((DC213/CU213-1)*100),"NA",IF(((DC213/CU213-1)*100)&gt;100,"NM",IF(((DC213/CU213-1)*100)&lt;-50,"NM",(DC213/CU213-1)*100)))</f>
        <v>-3.7267080745341685</v>
      </c>
      <c r="DE213" s="186">
        <v>12.3</v>
      </c>
      <c r="DF213" s="81">
        <f>IF(ISERROR((DE213/CW213-1)*100),"NA",IF(((DE213/CW213-1)*100)&gt;100,"NM",IF(((DE213/CW213-1)*100)&lt;-50,"NM",(DE213/CW213-1)*100)))</f>
        <v>12.844036697247718</v>
      </c>
      <c r="DG213" s="186">
        <v>14.8</v>
      </c>
      <c r="DH213" s="81">
        <f>IF(ISERROR((DG213/CY213-1)*100),"NA",IF(((DG213/CY213-1)*100)&gt;100,"NM",IF(((DG213/CY213-1)*100)&lt;-50,"NM",(DG213/CY213-1)*100)))</f>
        <v>7.2463768115942129</v>
      </c>
      <c r="DI213" s="186">
        <v>12</v>
      </c>
      <c r="DJ213" s="81">
        <f>IF(ISERROR((DI213/DA213-1)*100),"NA",IF(((DI213/DA213-1)*100)&gt;100,"NM",IF(((DI213/DA213-1)*100)&lt;-50,"NM",(DI213/DA213-1)*100)))</f>
        <v>16.50485436893203</v>
      </c>
      <c r="DK213" s="186">
        <v>18.3</v>
      </c>
      <c r="DL213" s="81">
        <f>IF(ISERROR((DK213/DC213-1)*100),"NA",IF(((DK213/DC213-1)*100)&gt;100,"NM",IF(((DK213/DC213-1)*100)&lt;-50,"NM",(DK213/DC213-1)*100)))</f>
        <v>18.06451612903226</v>
      </c>
      <c r="DM213" s="186">
        <v>10.6</v>
      </c>
      <c r="DN213" s="81">
        <f>IF(ISERROR((DM213/DE213-1)*100),"NA",IF(((DM213/DE213-1)*100)&gt;100,"NM",IF(((DM213/DE213-1)*100)&lt;-50,"NM",(DM213/DE213-1)*100)))</f>
        <v>-13.821138211382122</v>
      </c>
      <c r="DO213" s="186">
        <v>14.4</v>
      </c>
      <c r="DP213" s="81">
        <f>IF(ISERROR((DO213/DG213-1)*100),"NA",IF(((DO213/DG213-1)*100)&gt;100,"NM",IF(((DO213/DG213-1)*100)&lt;-50,"NM",(DO213/DG213-1)*100)))</f>
        <v>-2.7027027027027084</v>
      </c>
      <c r="DQ213" s="186">
        <v>11.8</v>
      </c>
      <c r="DR213" s="81">
        <f>IF(ISERROR((DQ213/DI213-1)*100),"NA",IF(((DQ213/DI213-1)*100)&gt;100,"NM",IF(((DQ213/DI213-1)*100)&lt;-50,"NM",(DQ213/DI213-1)*100)))</f>
        <v>-1.6666666666666607</v>
      </c>
      <c r="DS213" s="186">
        <v>16.600000000000001</v>
      </c>
      <c r="DT213" s="81">
        <f>IF(ISERROR((DS213/DK213-1)*100),"NA",IF(((DS213/DK213-1)*100)&gt;100,"NM",IF(((DS213/DK213-1)*100)&lt;-50,"NM",(DS213/DK213-1)*100)))</f>
        <v>-9.2896174863387966</v>
      </c>
      <c r="DU213" s="186">
        <v>10.199999999999999</v>
      </c>
      <c r="DV213" s="81">
        <f>IF(ISERROR((DU213/DM213-1)*100),"NA",IF(((DU213/DM213-1)*100)&gt;100,"NM",IF(((DU213/DM213-1)*100)&lt;-50,"NM",(DU213/DM213-1)*100)))</f>
        <v>-3.7735849056603765</v>
      </c>
      <c r="DW213" s="186">
        <v>14.6</v>
      </c>
      <c r="DX213" s="81">
        <f>IF(ISERROR((DW213/DO213-1)*100),"NA",IF(((DW213/DO213-1)*100)&gt;100,"NM",IF(((DW213/DO213-1)*100)&lt;-50,"NM",(DW213/DO213-1)*100)))</f>
        <v>1.388888888888884</v>
      </c>
      <c r="DY213" s="186">
        <v>11.6</v>
      </c>
      <c r="DZ213" s="81">
        <f>IF(ISERROR((DY213/DQ213-1)*100),"NA",IF(((DY213/DQ213-1)*100)&gt;100,"NM",IF(((DY213/DQ213-1)*100)&lt;-50,"NM",(DY213/DQ213-1)*100)))</f>
        <v>-1.6949152542372947</v>
      </c>
      <c r="EA213" s="186">
        <v>13.8</v>
      </c>
      <c r="EB213" s="81">
        <f>IF(ISERROR((EA213/DS213-1)*100),"NA",IF(((EA213/DS213-1)*100)&gt;100,"NM",IF(((EA213/DS213-1)*100)&lt;-50,"NM",(EA213/DS213-1)*100)))</f>
        <v>-16.867469879518072</v>
      </c>
      <c r="EC213" s="186">
        <v>13.5</v>
      </c>
      <c r="ED213" s="81">
        <f t="shared" ref="ED213:ED217" si="694">IF(ISERROR((EC213/DU213-1)*100),"NA",IF(((EC213/DU213-1)*100)&gt;100,"NM",IF(((EC213/DU213-1)*100)&lt;-50,"NM",(EC213/DU213-1)*100)))</f>
        <v>32.352941176470608</v>
      </c>
      <c r="EE213" s="186">
        <v>11.5</v>
      </c>
      <c r="EF213" s="81">
        <f t="shared" ref="EF213:EF217" si="695">IF(ISERROR((EE213/DW213-1)*100),"NA",IF(((EE213/DW213-1)*100)&gt;100,"NM",IF(((EE213/DW213-1)*100)&lt;-50,"NM",(EE213/DW213-1)*100)))</f>
        <v>-21.232876712328764</v>
      </c>
      <c r="EG213" s="186">
        <v>6.5</v>
      </c>
      <c r="EH213" s="81">
        <f t="shared" ref="EH213:EH217" si="696">IF(ISERROR((EG213/DY213-1)*100),"NA",IF(((EG213/DY213-1)*100)&gt;100,"NM",IF(((EG213/DY213-1)*100)&lt;-50,"NM",(EG213/DY213-1)*100)))</f>
        <v>-43.965517241379303</v>
      </c>
      <c r="EI213" s="186">
        <v>15.6</v>
      </c>
      <c r="EJ213" s="81">
        <f t="shared" ref="EJ213:EJ217" si="697">IF(ISERROR((EI213/EA213-1)*100),"NA",IF(((EI213/EA213-1)*100)&gt;100,"NM",IF(((EI213/EA213-1)*100)&lt;-50,"NM",(EI213/EA213-1)*100)))</f>
        <v>13.043478260869556</v>
      </c>
      <c r="EK213" s="186"/>
      <c r="EL213" s="81" t="str">
        <f t="shared" ref="EL213:EL217" si="698">IF(ISERROR((EK213/EC213-1)*100),"NA",IF(((EK213/EC213-1)*100)&gt;100,"NM",IF(((EK213/EC213-1)*100)&lt;-50,"NM",(EK213/EC213-1)*100)))</f>
        <v>NM</v>
      </c>
      <c r="EM213" s="186"/>
      <c r="EN213" s="81" t="str">
        <f t="shared" ref="EN213:EN217" si="699">IF(ISERROR((EM213/EE213-1)*100),"NA",IF(((EM213/EE213-1)*100)&gt;100,"NM",IF(((EM213/EE213-1)*100)&lt;-50,"NM",(EM213/EE213-1)*100)))</f>
        <v>NM</v>
      </c>
      <c r="EO213" s="186"/>
      <c r="EP213" s="81" t="str">
        <f t="shared" ref="EP213:EP217" si="700">IF(ISERROR((EO213/EG213-1)*100),"NA",IF(((EO213/EG213-1)*100)&gt;100,"NM",IF(((EO213/EG213-1)*100)&lt;-50,"NM",(EO213/EG213-1)*100)))</f>
        <v>NM</v>
      </c>
      <c r="EQ213" s="186"/>
      <c r="ER213" s="81" t="str">
        <f t="shared" ref="ER213:ER217" si="701">IF(ISERROR((EQ213/EI213-1)*100),"NA",IF(((EQ213/EI213-1)*100)&gt;100,"NM",IF(((EQ213/EI213-1)*100)&lt;-50,"NM",(EQ213/EI213-1)*100)))</f>
        <v>NM</v>
      </c>
      <c r="ES213" s="129"/>
      <c r="ET213" s="469"/>
      <c r="EU213" s="129"/>
      <c r="EV213" s="185"/>
      <c r="EW213" s="79"/>
      <c r="EX213" s="185"/>
      <c r="EY213" s="79"/>
      <c r="EZ213" s="185"/>
      <c r="FA213" s="79"/>
      <c r="FB213" s="185"/>
      <c r="FC213" s="79"/>
      <c r="FD213" s="186">
        <v>57</v>
      </c>
      <c r="FE213" s="79" t="str">
        <f t="shared" ref="FE213:GQ216" si="702">IF(ISERROR((FD213/FB213-1)*100),"NA",IF(((FD213/FB213-1)*100)&gt;100,"NM",IF(((FD213/FB213-1)*100)&lt;-50,"NM",(FD213/FB213-1)*100)))</f>
        <v>NA</v>
      </c>
      <c r="FF213" s="186">
        <v>81.5</v>
      </c>
      <c r="FG213" s="79">
        <f t="shared" si="702"/>
        <v>42.982456140350877</v>
      </c>
      <c r="FH213" s="186">
        <v>103.3</v>
      </c>
      <c r="FI213" s="79">
        <f t="shared" si="702"/>
        <v>26.748466257668714</v>
      </c>
      <c r="FJ213" s="185"/>
      <c r="FK213" s="79" t="str">
        <f t="shared" si="702"/>
        <v>NM</v>
      </c>
      <c r="FL213" s="185"/>
      <c r="FM213" s="79" t="str">
        <f t="shared" si="702"/>
        <v>NA</v>
      </c>
      <c r="FN213" s="185"/>
      <c r="FO213" s="79" t="str">
        <f t="shared" si="702"/>
        <v>NA</v>
      </c>
      <c r="FP213" s="78">
        <f>BI213+BK213+BM213+BO213</f>
        <v>72.7</v>
      </c>
      <c r="FQ213" s="79" t="str">
        <f t="shared" si="702"/>
        <v>NA</v>
      </c>
      <c r="FR213" s="93">
        <f>BQ213+BS213+BU213+BW213</f>
        <v>63.8</v>
      </c>
      <c r="FS213" s="79">
        <f t="shared" si="702"/>
        <v>-12.242090784044024</v>
      </c>
      <c r="FT213" s="93">
        <f>BY213+CA213+CC213+CE213</f>
        <v>54</v>
      </c>
      <c r="FU213" s="79">
        <f t="shared" si="702"/>
        <v>-15.36050156739811</v>
      </c>
      <c r="FV213" s="93">
        <f>CG213+CI213+CK213+CM213</f>
        <v>47.8</v>
      </c>
      <c r="FW213" s="79">
        <f t="shared" si="702"/>
        <v>-11.481481481481481</v>
      </c>
      <c r="FX213" s="93">
        <f>CO213+CQ213+CS213+CU213</f>
        <v>51.2</v>
      </c>
      <c r="FY213" s="79">
        <f t="shared" si="702"/>
        <v>7.1129707112970841</v>
      </c>
      <c r="FZ213" s="78">
        <f>CW213+CY213+DA213+DC213</f>
        <v>50.5</v>
      </c>
      <c r="GA213" s="79">
        <f t="shared" si="702"/>
        <v>-1.3671875</v>
      </c>
      <c r="GB213" s="177">
        <f>DE213+DG213+DI213+DK213</f>
        <v>57.400000000000006</v>
      </c>
      <c r="GC213" s="79">
        <f t="shared" si="702"/>
        <v>13.663366336633676</v>
      </c>
      <c r="GD213" s="177">
        <f>DG213+DI213+DK213+DM213</f>
        <v>55.7</v>
      </c>
      <c r="GE213" s="79">
        <f t="shared" si="702"/>
        <v>-2.9616724738676048</v>
      </c>
      <c r="GF213" s="177">
        <f>DU213+DW213+DY213+EA213</f>
        <v>50.2</v>
      </c>
      <c r="GG213" s="79">
        <f t="shared" ref="GG213" si="703">IF(ISERROR((GF213/GD213-1)*100),"NA",IF(((GF213/GD213-1)*100)&gt;100,"NM",IF(((GF213/GD213-1)*100)&lt;-50,"NM",(GF213/GD213-1)*100)))</f>
        <v>-9.8743267504488372</v>
      </c>
      <c r="GH213" s="177">
        <f>EC213+EE213+EG213+EI213</f>
        <v>47.1</v>
      </c>
      <c r="GI213" s="79">
        <f t="shared" si="702"/>
        <v>-6.1752988047808817</v>
      </c>
      <c r="GJ213" s="93"/>
      <c r="GK213" s="79" t="str">
        <f t="shared" si="702"/>
        <v>NM</v>
      </c>
      <c r="GL213" s="186"/>
      <c r="GM213" s="79" t="str">
        <f t="shared" si="702"/>
        <v>NA</v>
      </c>
      <c r="GN213" s="186"/>
      <c r="GO213" s="79" t="str">
        <f t="shared" si="702"/>
        <v>NA</v>
      </c>
      <c r="GP213" s="186"/>
      <c r="GQ213" s="79" t="str">
        <f t="shared" si="702"/>
        <v>NA</v>
      </c>
      <c r="GR213" s="186"/>
      <c r="GS213" s="79" t="str">
        <f t="shared" ref="GS213:GS216" si="704">IF(ISERROR((GR213/GP213-1)*100),"NA",IF(((GR213/GP213-1)*100)&gt;100,"NM",IF(((GR213/GP213-1)*100)&lt;-50,"NM",(GR213/GP213-1)*100)))</f>
        <v>NA</v>
      </c>
      <c r="GT213" s="79"/>
    </row>
    <row r="214" spans="1:286" ht="12.75" customHeight="1" x14ac:dyDescent="0.2">
      <c r="A214" s="1"/>
      <c r="B214" s="10" t="s">
        <v>431</v>
      </c>
      <c r="C214" s="79"/>
      <c r="D214" s="79"/>
      <c r="E214" s="185"/>
      <c r="F214" s="185"/>
      <c r="G214" s="185"/>
      <c r="H214" s="185"/>
      <c r="I214" s="185"/>
      <c r="J214" s="185"/>
      <c r="K214" s="185"/>
      <c r="L214" s="79"/>
      <c r="M214" s="185"/>
      <c r="N214" s="79"/>
      <c r="O214" s="185"/>
      <c r="P214" s="79"/>
      <c r="Q214" s="185"/>
      <c r="R214" s="79"/>
      <c r="S214" s="185"/>
      <c r="T214" s="79"/>
      <c r="U214" s="185"/>
      <c r="V214" s="79"/>
      <c r="W214" s="185"/>
      <c r="X214" s="79"/>
      <c r="Y214" s="185"/>
      <c r="Z214" s="79"/>
      <c r="AA214" s="252"/>
      <c r="AB214" s="79"/>
      <c r="AC214" s="186">
        <f>38.2-AE214</f>
        <v>9.5000000000000036</v>
      </c>
      <c r="AD214" s="79" t="str">
        <f>IF(ISERROR((AC214/U214-1)*100),"NA",IF(((AC214/U214-1)*100)&gt;100,"NM",IF(((AC214/U214-1)*100)&lt;-50,"NM",(AC214/U214-1)*100)))</f>
        <v>NA</v>
      </c>
      <c r="AE214" s="186">
        <v>28.7</v>
      </c>
      <c r="AF214" s="79" t="str">
        <f>IF(ISERROR((AE214/W214-1)*100),"NA",IF(((AE214/W214-1)*100)&gt;100,"NM",IF(((AE214/W214-1)*100)&lt;-50,"NM",(AE214/W214-1)*100)))</f>
        <v>NA</v>
      </c>
      <c r="AG214" s="186">
        <v>19.2</v>
      </c>
      <c r="AH214" s="79" t="str">
        <f>IF(ISERROR((AG214/Y214-1)*100),"NA",IF(((AG214/Y214-1)*100)&gt;100,"NM",IF(((AG214/Y214-1)*100)&lt;-50,"NM",(AG214/Y214-1)*100)))</f>
        <v>NA</v>
      </c>
      <c r="AI214" s="104">
        <f>FH214-AG214-AE214-AC214</f>
        <v>10.699999999999989</v>
      </c>
      <c r="AJ214" s="79" t="str">
        <f>IF(ISERROR((AI214/AA214-1)*100),"NA",IF(((AI214/AA214-1)*100)&gt;100,"NM",IF(((AI214/AA214-1)*100)&lt;-50,"NM",(AI214/AA214-1)*100)))</f>
        <v>NA</v>
      </c>
      <c r="AK214" s="186">
        <f>20.8-AM214</f>
        <v>15.8</v>
      </c>
      <c r="AL214" s="79">
        <f>IF(ISERROR((AK214/AC214-1)*100),"NA",IF(((AK214/AC214-1)*100)&gt;100,"NM",IF(((AK214/AC214-1)*100)&lt;-50,"NM",(AK214/AC214-1)*100)))</f>
        <v>66.315789473684148</v>
      </c>
      <c r="AM214" s="186">
        <v>5</v>
      </c>
      <c r="AN214" s="79" t="str">
        <f>IF(ISERROR((AM214/AE214-1)*100),"NA",IF(((AM214/AE214-1)*100)&gt;100,"NM",IF(((AM214/AE214-1)*100)&lt;-50,"NM",(AM214/AE214-1)*100)))</f>
        <v>NM</v>
      </c>
      <c r="AO214" s="186">
        <v>6.4</v>
      </c>
      <c r="AP214" s="79" t="str">
        <f>IF(ISERROR((AO214/AG214-1)*100),"NA",IF(((AO214/AG214-1)*100)&gt;100,"NM",IF(((AO214/AG214-1)*100)&lt;-50,"NM",(AO214/AG214-1)*100)))</f>
        <v>NM</v>
      </c>
      <c r="AQ214" s="186">
        <v>6.4</v>
      </c>
      <c r="AR214" s="79">
        <f>IF(ISERROR((AQ214/AI214-1)*100),"NA",IF(((AQ214/AI214-1)*100)&gt;100,"NM",IF(((AQ214/AI214-1)*100)&lt;-50,"NM",(AQ214/AI214-1)*100)))</f>
        <v>-40.186915887850404</v>
      </c>
      <c r="AS214" s="186">
        <v>3.1</v>
      </c>
      <c r="AT214" s="81" t="str">
        <f>IF(ISERROR((AS214/AK214-1)*100),"NA",IF(((AS214/AK214-1)*100)&gt;100,"NM",IF(((AS214/AK214-1)*100)&lt;-50,"NM",(AS214/AK214-1)*100)))</f>
        <v>NM</v>
      </c>
      <c r="AU214" s="186">
        <v>4.5999999999999996</v>
      </c>
      <c r="AV214" s="81">
        <f>IF(ISERROR((AU214/AM214-1)*100),"NA",IF(((AU214/AM214-1)*100)&gt;100,"NM",IF(((AU214/AM214-1)*100)&lt;-50,"NM",(AU214/AM214-1)*100)))</f>
        <v>-8.0000000000000071</v>
      </c>
      <c r="AW214" s="186">
        <v>6</v>
      </c>
      <c r="AX214" s="81">
        <f>IF(ISERROR((AW214/AO214-1)*100),"NA",IF(((AW214/AO214-1)*100)&gt;100,"NM",IF(((AW214/AO214-1)*100)&lt;-50,"NM",(AW214/AO214-1)*100)))</f>
        <v>-6.25</v>
      </c>
      <c r="AY214" s="186">
        <v>2.8</v>
      </c>
      <c r="AZ214" s="81" t="str">
        <f>IF(ISERROR((AY214/AQ214-1)*100),"NA",IF(((AY214/AQ214-1)*100)&gt;100,"NM",IF(((AY214/AQ214-1)*100)&lt;-50,"NM",(AY214/AQ214-1)*100)))</f>
        <v>NM</v>
      </c>
      <c r="BA214" s="186">
        <v>2.8</v>
      </c>
      <c r="BB214" s="81">
        <f>IF(ISERROR((BA214/AS214-1)*100),"NA",IF(((BA214/AS214-1)*100)&gt;100,"NM",IF(((BA214/AS214-1)*100)&lt;-50,"NM",(BA214/AS214-1)*100)))</f>
        <v>-9.6774193548387224</v>
      </c>
      <c r="BC214" s="186">
        <v>4</v>
      </c>
      <c r="BD214" s="81">
        <f>IF(ISERROR((BC214/AU214-1)*100),"NA",IF(((BC214/AU214-1)*100)&gt;100,"NM",IF(((BC214/AU214-1)*100)&lt;-50,"NM",(BC214/AU214-1)*100)))</f>
        <v>-13.043478260869556</v>
      </c>
      <c r="BE214" s="186">
        <v>3.4</v>
      </c>
      <c r="BF214" s="81">
        <f>IF(ISERROR((BE214/AW214-1)*100),"NA",IF(((BE214/AW214-1)*100)&gt;100,"NM",IF(((BE214/AW214-1)*100)&lt;-50,"NM",(BE214/AW214-1)*100)))</f>
        <v>-43.333333333333336</v>
      </c>
      <c r="BG214" s="186">
        <v>3</v>
      </c>
      <c r="BH214" s="81">
        <f>IF(ISERROR((BG214/AY214-1)*100),"NA",IF(((BG214/AY214-1)*100)&gt;100,"NM",IF(((BG214/AY214-1)*100)&lt;-50,"NM",(BG214/AY214-1)*100)))</f>
        <v>7.1428571428571397</v>
      </c>
      <c r="BI214" s="186">
        <v>2.1</v>
      </c>
      <c r="BJ214" s="81">
        <f>IF(ISERROR((BI214/BA214-1)*100),"NA",IF(((BI214/BA214-1)*100)&gt;100,"NM",IF(((BI214/BA214-1)*100)&lt;-50,"NM",(BI214/BA214-1)*100)))</f>
        <v>-24.999999999999989</v>
      </c>
      <c r="BK214" s="186">
        <v>5.8</v>
      </c>
      <c r="BL214" s="81">
        <f>IF(ISERROR((BK214/BC214-1)*100),"NA",IF(((BK214/BC214-1)*100)&gt;100,"NM",IF(((BK214/BC214-1)*100)&lt;-50,"NM",(BK214/BC214-1)*100)))</f>
        <v>44.999999999999993</v>
      </c>
      <c r="BM214" s="186">
        <v>4.8</v>
      </c>
      <c r="BN214" s="81"/>
      <c r="BO214" s="186">
        <v>6.9</v>
      </c>
      <c r="BP214" s="81"/>
      <c r="BQ214" s="186">
        <v>2.1</v>
      </c>
      <c r="BR214" s="81"/>
      <c r="BS214" s="186">
        <v>12.6</v>
      </c>
      <c r="BT214" s="81"/>
      <c r="BU214" s="186">
        <v>17.100000000000001</v>
      </c>
      <c r="BV214" s="81"/>
      <c r="BW214" s="186">
        <v>22</v>
      </c>
      <c r="BX214" s="81"/>
      <c r="BY214" s="186">
        <v>10.9</v>
      </c>
      <c r="BZ214" s="81"/>
      <c r="CA214" s="186">
        <v>16.100000000000001</v>
      </c>
      <c r="CB214" s="81"/>
      <c r="CC214" s="186">
        <v>14</v>
      </c>
      <c r="CD214" s="81"/>
      <c r="CE214" s="186">
        <v>16.3</v>
      </c>
      <c r="CF214" s="81">
        <f t="shared" si="691"/>
        <v>-25.909090909090903</v>
      </c>
      <c r="CG214" s="186">
        <v>6.8</v>
      </c>
      <c r="CH214" s="81">
        <f>IF(ISERROR((CG214/BY214-1)*100),"NA",IF(((CG214/BY214-1)*100)&gt;100,"NM",IF(((CG214/BY214-1)*100)&lt;-50,"NM",(CG214/BY214-1)*100)))</f>
        <v>-37.614678899082577</v>
      </c>
      <c r="CI214" s="186">
        <v>9.6999999999999993</v>
      </c>
      <c r="CJ214" s="81">
        <f>IF(ISERROR((CI214/CA214-1)*100),"NA",IF(((CI214/CA214-1)*100)&gt;100,"NM",IF(((CI214/CA214-1)*100)&lt;-50,"NM",(CI214/CA214-1)*100)))</f>
        <v>-39.751552795031067</v>
      </c>
      <c r="CK214" s="186">
        <v>9</v>
      </c>
      <c r="CL214" s="81">
        <f>IF(ISERROR((CK214/CC214-1)*100),"NA",IF(((CK214/CC214-1)*100)&gt;100,"NM",IF(((CK214/CC214-1)*100)&lt;-50,"NM",(CK214/CC214-1)*100)))</f>
        <v>-35.714285714285708</v>
      </c>
      <c r="CM214" s="186">
        <v>8.3000000000000007</v>
      </c>
      <c r="CN214" s="81">
        <f>IF(ISERROR((CM214/CE214-1)*100),"NA",IF(((CM214/CE214-1)*100)&gt;100,"NM",IF(((CM214/CE214-1)*100)&lt;-50,"NM",(CM214/CE214-1)*100)))</f>
        <v>-49.079754601226988</v>
      </c>
      <c r="CO214" s="186">
        <v>18</v>
      </c>
      <c r="CP214" s="81" t="str">
        <f>IF(ISERROR((CO214/CG214-1)*100),"NA",IF(((CO214/CG214-1)*100)&gt;100,"NM",IF(((CO214/CG214-1)*100)&lt;-50,"NM",(CO214/CG214-1)*100)))</f>
        <v>NM</v>
      </c>
      <c r="CQ214" s="186">
        <v>9.1</v>
      </c>
      <c r="CR214" s="81">
        <f>IF(ISERROR((CQ214/CI214-1)*100),"NA",IF(((CQ214/CI214-1)*100)&gt;100,"NM",IF(((CQ214/CI214-1)*100)&lt;-50,"NM",(CQ214/CI214-1)*100)))</f>
        <v>-6.1855670103092786</v>
      </c>
      <c r="CS214" s="186">
        <v>5.6</v>
      </c>
      <c r="CT214" s="81">
        <f>IF(ISERROR((CS214/CK214-1)*100),"NA",IF(((CS214/CK214-1)*100)&gt;100,"NM",IF(((CS214/CK214-1)*100)&lt;-50,"NM",(CS214/CK214-1)*100)))</f>
        <v>-37.777777777777779</v>
      </c>
      <c r="CU214" s="186">
        <v>5.3</v>
      </c>
      <c r="CV214" s="81">
        <f>IF(ISERROR((CU214/CM214-1)*100),"NA",IF(((CU214/CM214-1)*100)&gt;100,"NM",IF(((CU214/CM214-1)*100)&lt;-50,"NM",(CU214/CM214-1)*100)))</f>
        <v>-36.144578313253021</v>
      </c>
      <c r="CW214" s="186">
        <v>4.5</v>
      </c>
      <c r="CX214" s="81" t="str">
        <f>IF(ISERROR((CW214/CO214-1)*100),"NA",IF(((CW214/CO214-1)*100)&gt;100,"NM",IF(((CW214/CO214-1)*100)&lt;-50,"NM",(CW214/CO214-1)*100)))</f>
        <v>NM</v>
      </c>
      <c r="CY214" s="186">
        <v>6.8</v>
      </c>
      <c r="CZ214" s="81">
        <f>IF(ISERROR((CY214/CQ214-1)*100),"NA",IF(((CY214/CQ214-1)*100)&gt;100,"NM",IF(((CY214/CQ214-1)*100)&lt;-50,"NM",(CY214/CQ214-1)*100)))</f>
        <v>-25.274725274725274</v>
      </c>
      <c r="DA214" s="186">
        <v>6.1</v>
      </c>
      <c r="DB214" s="81">
        <f>IF(ISERROR((DA214/CS214-1)*100),"NA",IF(((DA214/CS214-1)*100)&gt;100,"NM",IF(((DA214/CS214-1)*100)&lt;-50,"NM",(DA214/CS214-1)*100)))</f>
        <v>8.9285714285714199</v>
      </c>
      <c r="DC214" s="186">
        <v>4</v>
      </c>
      <c r="DD214" s="81">
        <f>IF(ISERROR((DC214/CU214-1)*100),"NA",IF(((DC214/CU214-1)*100)&gt;100,"NM",IF(((DC214/CU214-1)*100)&lt;-50,"NM",(DC214/CU214-1)*100)))</f>
        <v>-24.528301886792448</v>
      </c>
      <c r="DE214" s="186">
        <v>4</v>
      </c>
      <c r="DF214" s="81">
        <f>IF(ISERROR((DE214/CW214-1)*100),"NA",IF(((DE214/CW214-1)*100)&gt;100,"NM",IF(((DE214/CW214-1)*100)&lt;-50,"NM",(DE214/CW214-1)*100)))</f>
        <v>-11.111111111111116</v>
      </c>
      <c r="DG214" s="186">
        <v>5.4</v>
      </c>
      <c r="DH214" s="81">
        <f>IF(ISERROR((DG214/CY214-1)*100),"NA",IF(((DG214/CY214-1)*100)&gt;100,"NM",IF(((DG214/CY214-1)*100)&lt;-50,"NM",(DG214/CY214-1)*100)))</f>
        <v>-20.588235294117641</v>
      </c>
      <c r="DI214" s="186">
        <v>8.4</v>
      </c>
      <c r="DJ214" s="81">
        <f>IF(ISERROR((DI214/DA214-1)*100),"NA",IF(((DI214/DA214-1)*100)&gt;100,"NM",IF(((DI214/DA214-1)*100)&lt;-50,"NM",(DI214/DA214-1)*100)))</f>
        <v>37.704918032786907</v>
      </c>
      <c r="DK214" s="186">
        <v>6</v>
      </c>
      <c r="DL214" s="81">
        <f>IF(ISERROR((DK214/DC214-1)*100),"NA",IF(((DK214/DC214-1)*100)&gt;100,"NM",IF(((DK214/DC214-1)*100)&lt;-50,"NM",(DK214/DC214-1)*100)))</f>
        <v>50</v>
      </c>
      <c r="DM214" s="186">
        <v>5.5</v>
      </c>
      <c r="DN214" s="81">
        <f>IF(ISERROR((DM214/DE214-1)*100),"NA",IF(((DM214/DE214-1)*100)&gt;100,"NM",IF(((DM214/DE214-1)*100)&lt;-50,"NM",(DM214/DE214-1)*100)))</f>
        <v>37.5</v>
      </c>
      <c r="DO214" s="186">
        <v>4.7</v>
      </c>
      <c r="DP214" s="81">
        <f>IF(ISERROR((DO214/DG214-1)*100),"NA",IF(((DO214/DG214-1)*100)&gt;100,"NM",IF(((DO214/DG214-1)*100)&lt;-50,"NM",(DO214/DG214-1)*100)))</f>
        <v>-12.962962962962965</v>
      </c>
      <c r="DQ214" s="186">
        <v>6.7</v>
      </c>
      <c r="DR214" s="81">
        <f>IF(ISERROR((DQ214/DI214-1)*100),"NA",IF(((DQ214/DI214-1)*100)&gt;100,"NM",IF(((DQ214/DI214-1)*100)&lt;-50,"NM",(DQ214/DI214-1)*100)))</f>
        <v>-20.238095238095244</v>
      </c>
      <c r="DS214" s="186">
        <v>8.8000000000000007</v>
      </c>
      <c r="DT214" s="81">
        <f>IF(ISERROR((DS214/DK214-1)*100),"NA",IF(((DS214/DK214-1)*100)&gt;100,"NM",IF(((DS214/DK214-1)*100)&lt;-50,"NM",(DS214/DK214-1)*100)))</f>
        <v>46.666666666666679</v>
      </c>
      <c r="DU214" s="186">
        <v>4.7</v>
      </c>
      <c r="DV214" s="81">
        <f>IF(ISERROR((DU214/DM214-1)*100),"NA",IF(((DU214/DM214-1)*100)&gt;100,"NM",IF(((DU214/DM214-1)*100)&lt;-50,"NM",(DU214/DM214-1)*100)))</f>
        <v>-14.54545454545454</v>
      </c>
      <c r="DW214" s="186">
        <v>5.4</v>
      </c>
      <c r="DX214" s="81">
        <f>IF(ISERROR((DW214/DO214-1)*100),"NA",IF(((DW214/DO214-1)*100)&gt;100,"NM",IF(((DW214/DO214-1)*100)&lt;-50,"NM",(DW214/DO214-1)*100)))</f>
        <v>14.893617021276606</v>
      </c>
      <c r="DY214" s="186">
        <v>6.1</v>
      </c>
      <c r="DZ214" s="81">
        <f>IF(ISERROR((DY214/DQ214-1)*100),"NA",IF(((DY214/DQ214-1)*100)&gt;100,"NM",IF(((DY214/DQ214-1)*100)&lt;-50,"NM",(DY214/DQ214-1)*100)))</f>
        <v>-8.9552238805970177</v>
      </c>
      <c r="EA214" s="186">
        <v>7.6</v>
      </c>
      <c r="EB214" s="81">
        <f>IF(ISERROR((EA214/DS214-1)*100),"NA",IF(((EA214/DS214-1)*100)&gt;100,"NM",IF(((EA214/DS214-1)*100)&lt;-50,"NM",(EA214/DS214-1)*100)))</f>
        <v>-13.636363636363647</v>
      </c>
      <c r="EC214" s="186">
        <v>3.9</v>
      </c>
      <c r="ED214" s="81">
        <f t="shared" si="694"/>
        <v>-17.021276595744684</v>
      </c>
      <c r="EE214" s="186">
        <v>6</v>
      </c>
      <c r="EF214" s="81">
        <f t="shared" si="695"/>
        <v>11.111111111111093</v>
      </c>
      <c r="EG214" s="186">
        <v>7.8</v>
      </c>
      <c r="EH214" s="81">
        <f t="shared" si="696"/>
        <v>27.868852459016402</v>
      </c>
      <c r="EI214" s="186">
        <v>6.7</v>
      </c>
      <c r="EJ214" s="81">
        <f t="shared" si="697"/>
        <v>-11.842105263157887</v>
      </c>
      <c r="EK214" s="186"/>
      <c r="EL214" s="81" t="str">
        <f t="shared" si="698"/>
        <v>NM</v>
      </c>
      <c r="EM214" s="186"/>
      <c r="EN214" s="81" t="str">
        <f t="shared" si="699"/>
        <v>NM</v>
      </c>
      <c r="EO214" s="186"/>
      <c r="EP214" s="81" t="str">
        <f t="shared" si="700"/>
        <v>NM</v>
      </c>
      <c r="EQ214" s="186"/>
      <c r="ER214" s="81" t="str">
        <f t="shared" si="701"/>
        <v>NM</v>
      </c>
      <c r="ES214" s="129"/>
      <c r="ET214" s="469"/>
      <c r="EU214" s="129"/>
      <c r="EV214" s="185"/>
      <c r="EW214" s="79"/>
      <c r="EX214" s="185"/>
      <c r="EY214" s="79"/>
      <c r="EZ214" s="185"/>
      <c r="FA214" s="79"/>
      <c r="FB214" s="185"/>
      <c r="FC214" s="79"/>
      <c r="FD214" s="186">
        <v>14.5</v>
      </c>
      <c r="FE214" s="79" t="str">
        <f t="shared" si="702"/>
        <v>NA</v>
      </c>
      <c r="FF214" s="186">
        <v>27.7</v>
      </c>
      <c r="FG214" s="79">
        <f t="shared" si="702"/>
        <v>91.034482758620697</v>
      </c>
      <c r="FH214" s="186">
        <v>68.099999999999994</v>
      </c>
      <c r="FI214" s="79" t="str">
        <f t="shared" si="702"/>
        <v>NM</v>
      </c>
      <c r="FJ214" s="185"/>
      <c r="FK214" s="79" t="str">
        <f t="shared" si="702"/>
        <v>NM</v>
      </c>
      <c r="FL214" s="185"/>
      <c r="FM214" s="79" t="str">
        <f t="shared" si="702"/>
        <v>NA</v>
      </c>
      <c r="FN214" s="185"/>
      <c r="FO214" s="79" t="str">
        <f t="shared" si="702"/>
        <v>NA</v>
      </c>
      <c r="FP214" s="78">
        <f>BI214+BK214+BM214+BO214</f>
        <v>19.600000000000001</v>
      </c>
      <c r="FQ214" s="79" t="str">
        <f t="shared" si="702"/>
        <v>NA</v>
      </c>
      <c r="FR214" s="93">
        <f>BQ214+BS214+BU214+BW214</f>
        <v>53.8</v>
      </c>
      <c r="FS214" s="79" t="str">
        <f t="shared" si="702"/>
        <v>NM</v>
      </c>
      <c r="FT214" s="93">
        <f>BY214+CA214+CC214+CE214</f>
        <v>57.3</v>
      </c>
      <c r="FU214" s="79">
        <f t="shared" si="702"/>
        <v>6.505576208178443</v>
      </c>
      <c r="FV214" s="93">
        <f>CG214+CI214+CK214+CM214</f>
        <v>33.799999999999997</v>
      </c>
      <c r="FW214" s="79">
        <f t="shared" si="702"/>
        <v>-41.012216404886559</v>
      </c>
      <c r="FX214" s="93">
        <f>CO214+CQ214+CS214+CU214</f>
        <v>38</v>
      </c>
      <c r="FY214" s="79">
        <f t="shared" si="702"/>
        <v>12.426035502958598</v>
      </c>
      <c r="FZ214" s="78">
        <f>CW214+CY214+DA214+DC214</f>
        <v>21.4</v>
      </c>
      <c r="GA214" s="79">
        <f t="shared" si="702"/>
        <v>-43.684210526315795</v>
      </c>
      <c r="GB214" s="177">
        <f>DE214+DG214+DI214+DK214</f>
        <v>23.8</v>
      </c>
      <c r="GC214" s="79">
        <f t="shared" si="702"/>
        <v>11.214953271028039</v>
      </c>
      <c r="GD214" s="177">
        <f>DG214+DI214+DK214+DM214</f>
        <v>25.3</v>
      </c>
      <c r="GE214" s="79">
        <f t="shared" si="702"/>
        <v>6.3025210084033612</v>
      </c>
      <c r="GF214" s="177">
        <f t="shared" ref="GF214:GF215" si="705">DU214+DW214+DY214+EA214</f>
        <v>23.800000000000004</v>
      </c>
      <c r="GG214" s="79">
        <f t="shared" si="702"/>
        <v>-5.9288537549406994</v>
      </c>
      <c r="GH214" s="177">
        <f t="shared" ref="GH214:GH215" si="706">EC214+EE214+EG214+EI214</f>
        <v>24.4</v>
      </c>
      <c r="GI214" s="79">
        <f t="shared" si="702"/>
        <v>2.5210084033613134</v>
      </c>
      <c r="GJ214" s="93"/>
      <c r="GK214" s="79" t="str">
        <f t="shared" si="702"/>
        <v>NM</v>
      </c>
      <c r="GL214" s="186"/>
      <c r="GM214" s="79" t="str">
        <f t="shared" si="702"/>
        <v>NA</v>
      </c>
      <c r="GN214" s="186"/>
      <c r="GO214" s="79" t="str">
        <f t="shared" si="702"/>
        <v>NA</v>
      </c>
      <c r="GP214" s="186"/>
      <c r="GQ214" s="79" t="str">
        <f t="shared" si="702"/>
        <v>NA</v>
      </c>
      <c r="GR214" s="186"/>
      <c r="GS214" s="79" t="str">
        <f t="shared" si="704"/>
        <v>NA</v>
      </c>
      <c r="GT214" s="79"/>
    </row>
    <row r="215" spans="1:286" ht="12.75" customHeight="1" x14ac:dyDescent="0.2">
      <c r="A215" s="1"/>
      <c r="B215" s="10" t="s">
        <v>405</v>
      </c>
      <c r="C215" s="79"/>
      <c r="D215" s="79"/>
      <c r="E215" s="185"/>
      <c r="F215" s="185"/>
      <c r="G215" s="185"/>
      <c r="H215" s="185"/>
      <c r="I215" s="185"/>
      <c r="J215" s="185"/>
      <c r="K215" s="185"/>
      <c r="L215" s="79"/>
      <c r="M215" s="185"/>
      <c r="N215" s="79"/>
      <c r="O215" s="185"/>
      <c r="P215" s="79"/>
      <c r="Q215" s="185"/>
      <c r="R215" s="79"/>
      <c r="S215" s="185"/>
      <c r="T215" s="79"/>
      <c r="U215" s="185"/>
      <c r="V215" s="79"/>
      <c r="W215" s="185"/>
      <c r="X215" s="79"/>
      <c r="Y215" s="185"/>
      <c r="Z215" s="79"/>
      <c r="AA215" s="252"/>
      <c r="AB215" s="79"/>
      <c r="AC215" s="186">
        <f>4.9-AE215</f>
        <v>2.4000000000000004</v>
      </c>
      <c r="AD215" s="79" t="str">
        <f>IF(ISERROR((AC215/U215-1)*100),"NA",IF(((AC215/U215-1)*100)&gt;100,"NM",IF(((AC215/U215-1)*100)&lt;-50,"NM",(AC215/U215-1)*100)))</f>
        <v>NA</v>
      </c>
      <c r="AE215" s="186">
        <v>2.5</v>
      </c>
      <c r="AF215" s="79" t="str">
        <f>IF(ISERROR((AE215/W215-1)*100),"NA",IF(((AE215/W215-1)*100)&gt;100,"NM",IF(((AE215/W215-1)*100)&lt;-50,"NM",(AE215/W215-1)*100)))</f>
        <v>NA</v>
      </c>
      <c r="AG215" s="186">
        <v>3</v>
      </c>
      <c r="AH215" s="79" t="str">
        <f>IF(ISERROR((AG215/Y215-1)*100),"NA",IF(((AG215/Y215-1)*100)&gt;100,"NM",IF(((AG215/Y215-1)*100)&lt;-50,"NM",(AG215/Y215-1)*100)))</f>
        <v>NA</v>
      </c>
      <c r="AI215" s="104">
        <f>FH215-AG215-AE215-AC215</f>
        <v>3.1999999999999993</v>
      </c>
      <c r="AJ215" s="79" t="str">
        <f>IF(ISERROR((AI215/AA215-1)*100),"NA",IF(((AI215/AA215-1)*100)&gt;100,"NM",IF(((AI215/AA215-1)*100)&lt;-50,"NM",(AI215/AA215-1)*100)))</f>
        <v>NA</v>
      </c>
      <c r="AK215" s="186">
        <f>5.3-AM215</f>
        <v>3.0999999999999996</v>
      </c>
      <c r="AL215" s="79">
        <f>IF(ISERROR((AK215/AC215-1)*100),"NA",IF(((AK215/AC215-1)*100)&gt;100,"NM",IF(((AK215/AC215-1)*100)&lt;-50,"NM",(AK215/AC215-1)*100)))</f>
        <v>29.166666666666629</v>
      </c>
      <c r="AM215" s="186">
        <v>2.2000000000000002</v>
      </c>
      <c r="AN215" s="79">
        <f>IF(ISERROR((AM215/AE215-1)*100),"NA",IF(((AM215/AE215-1)*100)&gt;100,"NM",IF(((AM215/AE215-1)*100)&lt;-50,"NM",(AM215/AE215-1)*100)))</f>
        <v>-11.999999999999989</v>
      </c>
      <c r="AO215" s="186">
        <v>1.2</v>
      </c>
      <c r="AP215" s="79" t="str">
        <f>IF(ISERROR((AO215/AG215-1)*100),"NA",IF(((AO215/AG215-1)*100)&gt;100,"NM",IF(((AO215/AG215-1)*100)&lt;-50,"NM",(AO215/AG215-1)*100)))</f>
        <v>NM</v>
      </c>
      <c r="AQ215" s="186">
        <v>1.2</v>
      </c>
      <c r="AR215" s="79" t="str">
        <f>IF(ISERROR((AQ215/AI215-1)*100),"NA",IF(((AQ215/AI215-1)*100)&gt;100,"NM",IF(((AQ215/AI215-1)*100)&lt;-50,"NM",(AQ215/AI215-1)*100)))</f>
        <v>NM</v>
      </c>
      <c r="AS215" s="186">
        <v>1.4</v>
      </c>
      <c r="AT215" s="81" t="str">
        <f>IF(ISERROR((AS215/AK215-1)*100),"NA",IF(((AS215/AK215-1)*100)&gt;100,"NM",IF(((AS215/AK215-1)*100)&lt;-50,"NM",(AS215/AK215-1)*100)))</f>
        <v>NM</v>
      </c>
      <c r="AU215" s="186">
        <v>1.3</v>
      </c>
      <c r="AV215" s="81">
        <f>IF(ISERROR((AU215/AM215-1)*100),"NA",IF(((AU215/AM215-1)*100)&gt;100,"NM",IF(((AU215/AM215-1)*100)&lt;-50,"NM",(AU215/AM215-1)*100)))</f>
        <v>-40.909090909090921</v>
      </c>
      <c r="AW215" s="186">
        <v>1.4</v>
      </c>
      <c r="AX215" s="81">
        <f>IF(ISERROR((AW215/AO215-1)*100),"NA",IF(((AW215/AO215-1)*100)&gt;100,"NM",IF(((AW215/AO215-1)*100)&lt;-50,"NM",(AW215/AO215-1)*100)))</f>
        <v>16.666666666666675</v>
      </c>
      <c r="AY215" s="186">
        <v>1.4</v>
      </c>
      <c r="AZ215" s="81">
        <f>IF(ISERROR((AY215/AQ215-1)*100),"NA",IF(((AY215/AQ215-1)*100)&gt;100,"NM",IF(((AY215/AQ215-1)*100)&lt;-50,"NM",(AY215/AQ215-1)*100)))</f>
        <v>16.666666666666675</v>
      </c>
      <c r="BA215" s="186">
        <v>1.7</v>
      </c>
      <c r="BB215" s="81">
        <f>IF(ISERROR((BA215/AS215-1)*100),"NA",IF(((BA215/AS215-1)*100)&gt;100,"NM",IF(((BA215/AS215-1)*100)&lt;-50,"NM",(BA215/AS215-1)*100)))</f>
        <v>21.428571428571441</v>
      </c>
      <c r="BC215" s="186">
        <v>1.6</v>
      </c>
      <c r="BD215" s="81">
        <f>IF(ISERROR((BC215/AU215-1)*100),"NA",IF(((BC215/AU215-1)*100)&gt;100,"NM",IF(((BC215/AU215-1)*100)&lt;-50,"NM",(BC215/AU215-1)*100)))</f>
        <v>23.076923076923084</v>
      </c>
      <c r="BE215" s="186">
        <v>2.2000000000000002</v>
      </c>
      <c r="BF215" s="81">
        <f>IF(ISERROR((BE215/AW215-1)*100),"NA",IF(((BE215/AW215-1)*100)&gt;100,"NM",IF(((BE215/AW215-1)*100)&lt;-50,"NM",(BE215/AW215-1)*100)))</f>
        <v>57.14285714285716</v>
      </c>
      <c r="BG215" s="186">
        <v>2.2999999999999998</v>
      </c>
      <c r="BH215" s="81">
        <f>IF(ISERROR((BG215/AY215-1)*100),"NA",IF(((BG215/AY215-1)*100)&gt;100,"NM",IF(((BG215/AY215-1)*100)&lt;-50,"NM",(BG215/AY215-1)*100)))</f>
        <v>64.285714285714278</v>
      </c>
      <c r="BI215" s="186">
        <v>1.8</v>
      </c>
      <c r="BJ215" s="81">
        <f>IF(ISERROR((BI215/BA215-1)*100),"NA",IF(((BI215/BA215-1)*100)&gt;100,"NM",IF(((BI215/BA215-1)*100)&lt;-50,"NM",(BI215/BA215-1)*100)))</f>
        <v>5.8823529411764719</v>
      </c>
      <c r="BK215" s="186">
        <v>1.9</v>
      </c>
      <c r="BL215" s="81">
        <f>IF(ISERROR((BK215/BC215-1)*100),"NA",IF(((BK215/BC215-1)*100)&gt;100,"NM",IF(((BK215/BC215-1)*100)&lt;-50,"NM",(BK215/BC215-1)*100)))</f>
        <v>18.749999999999979</v>
      </c>
      <c r="BM215" s="186">
        <v>1.9</v>
      </c>
      <c r="BN215" s="81"/>
      <c r="BO215" s="186">
        <v>1.6</v>
      </c>
      <c r="BP215" s="81"/>
      <c r="BQ215" s="186">
        <v>1.2</v>
      </c>
      <c r="BR215" s="81"/>
      <c r="BS215" s="186">
        <v>1.4</v>
      </c>
      <c r="BT215" s="81"/>
      <c r="BU215" s="186">
        <v>1.5</v>
      </c>
      <c r="BV215" s="81"/>
      <c r="BW215" s="186">
        <v>1.5</v>
      </c>
      <c r="BX215" s="81"/>
      <c r="BY215" s="186">
        <v>1.6</v>
      </c>
      <c r="BZ215" s="81"/>
      <c r="CA215" s="186">
        <v>3</v>
      </c>
      <c r="CB215" s="81"/>
      <c r="CC215" s="186">
        <v>1.1000000000000001</v>
      </c>
      <c r="CD215" s="81"/>
      <c r="CE215" s="186">
        <v>2.2000000000000002</v>
      </c>
      <c r="CF215" s="81">
        <f t="shared" si="691"/>
        <v>46.666666666666679</v>
      </c>
      <c r="CG215" s="186">
        <v>2.6</v>
      </c>
      <c r="CH215" s="81">
        <f>IF(ISERROR((CG215/BY215-1)*100),"NA",IF(((CG215/BY215-1)*100)&gt;100,"NM",IF(((CG215/BY215-1)*100)&lt;-50,"NM",(CG215/BY215-1)*100)))</f>
        <v>62.5</v>
      </c>
      <c r="CI215" s="186">
        <v>1.4</v>
      </c>
      <c r="CJ215" s="81" t="str">
        <f>IF(ISERROR((CI215/CA215-1)*100),"NA",IF(((CI215/CA215-1)*100)&gt;100,"NM",IF(((CI215/CA215-1)*100)&lt;-50,"NM",(CI215/CA215-1)*100)))</f>
        <v>NM</v>
      </c>
      <c r="CK215" s="186">
        <v>2.4</v>
      </c>
      <c r="CL215" s="81" t="str">
        <f>IF(ISERROR((CK215/CC215-1)*100),"NA",IF(((CK215/CC215-1)*100)&gt;100,"NM",IF(((CK215/CC215-1)*100)&lt;-50,"NM",(CK215/CC215-1)*100)))</f>
        <v>NM</v>
      </c>
      <c r="CM215" s="186">
        <v>2.2000000000000002</v>
      </c>
      <c r="CN215" s="81">
        <f>IF(ISERROR((CM215/CE215-1)*100),"NA",IF(((CM215/CE215-1)*100)&gt;100,"NM",IF(((CM215/CE215-1)*100)&lt;-50,"NM",(CM215/CE215-1)*100)))</f>
        <v>0</v>
      </c>
      <c r="CO215" s="186">
        <v>1.6</v>
      </c>
      <c r="CP215" s="81">
        <f>IF(ISERROR((CO215/CG215-1)*100),"NA",IF(((CO215/CG215-1)*100)&gt;100,"NM",IF(((CO215/CG215-1)*100)&lt;-50,"NM",(CO215/CG215-1)*100)))</f>
        <v>-38.46153846153846</v>
      </c>
      <c r="CQ215" s="186">
        <v>1.4</v>
      </c>
      <c r="CR215" s="81">
        <f>IF(ISERROR((CQ215/CI215-1)*100),"NA",IF(((CQ215/CI215-1)*100)&gt;100,"NM",IF(((CQ215/CI215-1)*100)&lt;-50,"NM",(CQ215/CI215-1)*100)))</f>
        <v>0</v>
      </c>
      <c r="CS215" s="186">
        <v>1</v>
      </c>
      <c r="CT215" s="81" t="str">
        <f>IF(ISERROR((CS215/CK215-1)*100),"NA",IF(((CS215/CK215-1)*100)&gt;100,"NM",IF(((CS215/CK215-1)*100)&lt;-50,"NM",(CS215/CK215-1)*100)))</f>
        <v>NM</v>
      </c>
      <c r="CU215" s="186">
        <v>0.9</v>
      </c>
      <c r="CV215" s="81" t="str">
        <f>IF(ISERROR((CU215/CM215-1)*100),"NA",IF(((CU215/CM215-1)*100)&gt;100,"NM",IF(((CU215/CM215-1)*100)&lt;-50,"NM",(CU215/CM215-1)*100)))</f>
        <v>NM</v>
      </c>
      <c r="CW215" s="186">
        <v>1</v>
      </c>
      <c r="CX215" s="81">
        <f>IF(ISERROR((CW215/CO215-1)*100),"NA",IF(((CW215/CO215-1)*100)&gt;100,"NM",IF(((CW215/CO215-1)*100)&lt;-50,"NM",(CW215/CO215-1)*100)))</f>
        <v>-37.5</v>
      </c>
      <c r="CY215" s="186">
        <v>1.1000000000000001</v>
      </c>
      <c r="CZ215" s="81">
        <f>IF(ISERROR((CY215/CQ215-1)*100),"NA",IF(((CY215/CQ215-1)*100)&gt;100,"NM",IF(((CY215/CQ215-1)*100)&lt;-50,"NM",(CY215/CQ215-1)*100)))</f>
        <v>-21.42857142857142</v>
      </c>
      <c r="DA215" s="186">
        <v>0.9</v>
      </c>
      <c r="DB215" s="81">
        <f>IF(ISERROR((DA215/CS215-1)*100),"NA",IF(((DA215/CS215-1)*100)&gt;100,"NM",IF(((DA215/CS215-1)*100)&lt;-50,"NM",(DA215/CS215-1)*100)))</f>
        <v>-9.9999999999999982</v>
      </c>
      <c r="DC215" s="186">
        <v>0.9</v>
      </c>
      <c r="DD215" s="81">
        <f>IF(ISERROR((DC215/CU215-1)*100),"NA",IF(((DC215/CU215-1)*100)&gt;100,"NM",IF(((DC215/CU215-1)*100)&lt;-50,"NM",(DC215/CU215-1)*100)))</f>
        <v>0</v>
      </c>
      <c r="DE215" s="186">
        <v>1</v>
      </c>
      <c r="DF215" s="81">
        <f>IF(ISERROR((DE215/CW215-1)*100),"NA",IF(((DE215/CW215-1)*100)&gt;100,"NM",IF(((DE215/CW215-1)*100)&lt;-50,"NM",(DE215/CW215-1)*100)))</f>
        <v>0</v>
      </c>
      <c r="DG215" s="186">
        <v>0.9</v>
      </c>
      <c r="DH215" s="81">
        <f>IF(ISERROR((DG215/CY215-1)*100),"NA",IF(((DG215/CY215-1)*100)&gt;100,"NM",IF(((DG215/CY215-1)*100)&lt;-50,"NM",(DG215/CY215-1)*100)))</f>
        <v>-18.181818181818187</v>
      </c>
      <c r="DI215" s="186">
        <v>1</v>
      </c>
      <c r="DJ215" s="81">
        <f>IF(ISERROR((DI215/DA215-1)*100),"NA",IF(((DI215/DA215-1)*100)&gt;100,"NM",IF(((DI215/DA215-1)*100)&lt;-50,"NM",(DI215/DA215-1)*100)))</f>
        <v>11.111111111111116</v>
      </c>
      <c r="DK215" s="186">
        <v>1</v>
      </c>
      <c r="DL215" s="81">
        <f>IF(ISERROR((DK215/DC215-1)*100),"NA",IF(((DK215/DC215-1)*100)&gt;100,"NM",IF(((DK215/DC215-1)*100)&lt;-50,"NM",(DK215/DC215-1)*100)))</f>
        <v>11.111111111111116</v>
      </c>
      <c r="DM215" s="186">
        <v>0.6</v>
      </c>
      <c r="DN215" s="81">
        <f>IF(ISERROR((DM215/DE215-1)*100),"NA",IF(((DM215/DE215-1)*100)&gt;100,"NM",IF(((DM215/DE215-1)*100)&lt;-50,"NM",(DM215/DE215-1)*100)))</f>
        <v>-40</v>
      </c>
      <c r="DO215" s="186">
        <v>1.4</v>
      </c>
      <c r="DP215" s="81">
        <f>IF(ISERROR((DO215/DG215-1)*100),"NA",IF(((DO215/DG215-1)*100)&gt;100,"NM",IF(((DO215/DG215-1)*100)&lt;-50,"NM",(DO215/DG215-1)*100)))</f>
        <v>55.555555555555536</v>
      </c>
      <c r="DQ215" s="186">
        <v>1.2</v>
      </c>
      <c r="DR215" s="81">
        <f>IF(ISERROR((DQ215/DI215-1)*100),"NA",IF(((DQ215/DI215-1)*100)&gt;100,"NM",IF(((DQ215/DI215-1)*100)&lt;-50,"NM",(DQ215/DI215-1)*100)))</f>
        <v>19.999999999999996</v>
      </c>
      <c r="DS215" s="186">
        <v>1.8</v>
      </c>
      <c r="DT215" s="81">
        <f>IF(ISERROR((DS215/DK215-1)*100),"NA",IF(((DS215/DK215-1)*100)&gt;100,"NM",IF(((DS215/DK215-1)*100)&lt;-50,"NM",(DS215/DK215-1)*100)))</f>
        <v>80</v>
      </c>
      <c r="DU215" s="186">
        <v>3.5</v>
      </c>
      <c r="DV215" s="81" t="str">
        <f>IF(ISERROR((DU215/DM215-1)*100),"NA",IF(((DU215/DM215-1)*100)&gt;100,"NM",IF(((DU215/DM215-1)*100)&lt;-50,"NM",(DU215/DM215-1)*100)))</f>
        <v>NM</v>
      </c>
      <c r="DW215" s="186">
        <v>3</v>
      </c>
      <c r="DX215" s="81" t="str">
        <f>IF(ISERROR((DW215/DO215-1)*100),"NA",IF(((DW215/DO215-1)*100)&gt;100,"NM",IF(((DW215/DO215-1)*100)&lt;-50,"NM",(DW215/DO215-1)*100)))</f>
        <v>NM</v>
      </c>
      <c r="DY215" s="186">
        <v>1.7</v>
      </c>
      <c r="DZ215" s="81">
        <f>IF(ISERROR((DY215/DQ215-1)*100),"NA",IF(((DY215/DQ215-1)*100)&gt;100,"NM",IF(((DY215/DQ215-1)*100)&lt;-50,"NM",(DY215/DQ215-1)*100)))</f>
        <v>41.666666666666671</v>
      </c>
      <c r="EA215" s="186">
        <v>2.2999999999999998</v>
      </c>
      <c r="EB215" s="81">
        <f>IF(ISERROR((EA215/DS215-1)*100),"NA",IF(((EA215/DS215-1)*100)&gt;100,"NM",IF(((EA215/DS215-1)*100)&lt;-50,"NM",(EA215/DS215-1)*100)))</f>
        <v>27.777777777777768</v>
      </c>
      <c r="EC215" s="186">
        <v>2.2999999999999998</v>
      </c>
      <c r="ED215" s="81">
        <f t="shared" si="694"/>
        <v>-34.285714285714285</v>
      </c>
      <c r="EE215" s="186">
        <v>7.7</v>
      </c>
      <c r="EF215" s="81" t="str">
        <f t="shared" si="695"/>
        <v>NM</v>
      </c>
      <c r="EG215" s="186">
        <v>2.2000000000000002</v>
      </c>
      <c r="EH215" s="81">
        <f t="shared" si="696"/>
        <v>29.411764705882359</v>
      </c>
      <c r="EI215" s="186">
        <v>2.2000000000000002</v>
      </c>
      <c r="EJ215" s="81">
        <f t="shared" si="697"/>
        <v>-4.3478260869565073</v>
      </c>
      <c r="EK215" s="186"/>
      <c r="EL215" s="81" t="str">
        <f t="shared" si="698"/>
        <v>NM</v>
      </c>
      <c r="EM215" s="186"/>
      <c r="EN215" s="81" t="str">
        <f t="shared" si="699"/>
        <v>NM</v>
      </c>
      <c r="EO215" s="186"/>
      <c r="EP215" s="81" t="str">
        <f t="shared" si="700"/>
        <v>NM</v>
      </c>
      <c r="EQ215" s="186"/>
      <c r="ER215" s="81" t="str">
        <f t="shared" si="701"/>
        <v>NM</v>
      </c>
      <c r="ES215" s="129"/>
      <c r="ET215" s="469"/>
      <c r="EU215" s="129"/>
      <c r="EV215" s="185"/>
      <c r="EW215" s="79"/>
      <c r="EX215" s="185"/>
      <c r="EY215" s="79"/>
      <c r="EZ215" s="185"/>
      <c r="FA215" s="79"/>
      <c r="FB215" s="185"/>
      <c r="FC215" s="79"/>
      <c r="FD215" s="186">
        <v>22.7</v>
      </c>
      <c r="FE215" s="79" t="str">
        <f t="shared" si="702"/>
        <v>NA</v>
      </c>
      <c r="FF215" s="186">
        <v>19.399999999999999</v>
      </c>
      <c r="FG215" s="79">
        <f t="shared" si="702"/>
        <v>-14.537444933920707</v>
      </c>
      <c r="FH215" s="186">
        <v>11.1</v>
      </c>
      <c r="FI215" s="79">
        <f t="shared" si="702"/>
        <v>-42.783505154639165</v>
      </c>
      <c r="FJ215" s="185"/>
      <c r="FK215" s="79" t="str">
        <f t="shared" si="702"/>
        <v>NM</v>
      </c>
      <c r="FL215" s="185"/>
      <c r="FM215" s="79" t="str">
        <f t="shared" si="702"/>
        <v>NA</v>
      </c>
      <c r="FN215" s="185"/>
      <c r="FO215" s="79" t="str">
        <f t="shared" si="702"/>
        <v>NA</v>
      </c>
      <c r="FP215" s="78">
        <f>BI215+BK215+BM215+BO215</f>
        <v>7.1999999999999993</v>
      </c>
      <c r="FQ215" s="79" t="str">
        <f t="shared" si="702"/>
        <v>NA</v>
      </c>
      <c r="FR215" s="93">
        <f>BQ215+BS215+BU215+BW215</f>
        <v>5.6</v>
      </c>
      <c r="FS215" s="79">
        <f t="shared" si="702"/>
        <v>-22.222222222222221</v>
      </c>
      <c r="FT215" s="93">
        <f>BY215+CA215+CC215+CE215</f>
        <v>7.8999999999999995</v>
      </c>
      <c r="FU215" s="79">
        <f t="shared" si="702"/>
        <v>41.071428571428584</v>
      </c>
      <c r="FV215" s="93">
        <f>CG215+CI215+CK215+CM215</f>
        <v>8.6000000000000014</v>
      </c>
      <c r="FW215" s="79">
        <f t="shared" si="702"/>
        <v>8.860759493670912</v>
      </c>
      <c r="FX215" s="93">
        <f>CO215+CQ215+CS215+CU215</f>
        <v>4.9000000000000004</v>
      </c>
      <c r="FY215" s="79">
        <f t="shared" si="702"/>
        <v>-43.023255813953497</v>
      </c>
      <c r="FZ215" s="78">
        <f>CW215+CY215+DA215+DC215</f>
        <v>3.9</v>
      </c>
      <c r="GA215" s="79">
        <f t="shared" si="702"/>
        <v>-20.408163265306133</v>
      </c>
      <c r="GB215" s="177">
        <f>DE215+DG215+DI215+DK215</f>
        <v>3.9</v>
      </c>
      <c r="GC215" s="79">
        <f t="shared" si="702"/>
        <v>0</v>
      </c>
      <c r="GD215" s="177">
        <f>DM215+DO215+DQ215+DS215</f>
        <v>5</v>
      </c>
      <c r="GE215" s="79">
        <f t="shared" si="702"/>
        <v>28.205128205128215</v>
      </c>
      <c r="GF215" s="177">
        <f t="shared" si="705"/>
        <v>10.5</v>
      </c>
      <c r="GG215" s="79" t="str">
        <f t="shared" si="702"/>
        <v>NM</v>
      </c>
      <c r="GH215" s="177">
        <f t="shared" si="706"/>
        <v>14.399999999999999</v>
      </c>
      <c r="GI215" s="79">
        <f t="shared" si="702"/>
        <v>37.142857142857125</v>
      </c>
      <c r="GJ215" s="93"/>
      <c r="GK215" s="79" t="str">
        <f t="shared" si="702"/>
        <v>NM</v>
      </c>
      <c r="GL215" s="186"/>
      <c r="GM215" s="79" t="str">
        <f t="shared" si="702"/>
        <v>NA</v>
      </c>
      <c r="GN215" s="186"/>
      <c r="GO215" s="79" t="str">
        <f t="shared" si="702"/>
        <v>NA</v>
      </c>
      <c r="GP215" s="186"/>
      <c r="GQ215" s="79" t="str">
        <f t="shared" si="702"/>
        <v>NA</v>
      </c>
      <c r="GR215" s="186"/>
      <c r="GS215" s="79" t="str">
        <f t="shared" si="704"/>
        <v>NA</v>
      </c>
      <c r="GT215" s="79"/>
    </row>
    <row r="216" spans="1:286" ht="12.75" customHeight="1" x14ac:dyDescent="0.2">
      <c r="A216" s="1"/>
      <c r="B216" s="68" t="s">
        <v>386</v>
      </c>
      <c r="C216" s="79"/>
      <c r="D216" s="79"/>
      <c r="E216" s="171"/>
      <c r="F216" s="171"/>
      <c r="G216" s="171"/>
      <c r="H216" s="171"/>
      <c r="I216" s="171"/>
      <c r="J216" s="171"/>
      <c r="K216" s="171"/>
      <c r="L216" s="79"/>
      <c r="M216" s="171"/>
      <c r="N216" s="79"/>
      <c r="O216" s="171"/>
      <c r="P216" s="79"/>
      <c r="Q216" s="171"/>
      <c r="R216" s="79"/>
      <c r="S216" s="171"/>
      <c r="T216" s="79"/>
      <c r="U216" s="178"/>
      <c r="V216" s="79"/>
      <c r="W216" s="178"/>
      <c r="X216" s="79"/>
      <c r="Y216" s="178"/>
      <c r="Z216" s="79"/>
      <c r="AA216" s="227"/>
      <c r="AB216" s="79"/>
      <c r="AC216" s="178">
        <f>SUM(AC213:AC215)</f>
        <v>41.20000000000001</v>
      </c>
      <c r="AD216" s="79" t="str">
        <f>IF(ISERROR((AC216/U216-1)*100),"NA",IF(((AC216/U216-1)*100)&gt;100,"NM",IF(((AC216/U216-1)*100)&lt;-50,"NM",(AC216/U216-1)*100)))</f>
        <v>NA</v>
      </c>
      <c r="AE216" s="178">
        <f>SUM(AE213:AE215)</f>
        <v>63.5</v>
      </c>
      <c r="AF216" s="79" t="str">
        <f>IF(ISERROR((AE216/W216-1)*100),"NA",IF(((AE216/W216-1)*100)&gt;100,"NM",IF(((AE216/W216-1)*100)&lt;-50,"NM",(AE216/W216-1)*100)))</f>
        <v>NA</v>
      </c>
      <c r="AG216" s="178">
        <f>SUM(AG213:AG215)</f>
        <v>39.5</v>
      </c>
      <c r="AH216" s="79" t="str">
        <f>IF(ISERROR((AG216/Y216-1)*100),"NA",IF(((AG216/Y216-1)*100)&gt;100,"NM",IF(((AG216/Y216-1)*100)&lt;-50,"NM",(AG216/Y216-1)*100)))</f>
        <v>NA</v>
      </c>
      <c r="AI216" s="178">
        <f>SUM(AI213:AI215)</f>
        <v>38.299999999999983</v>
      </c>
      <c r="AJ216" s="79" t="str">
        <f>IF(ISERROR((AI216/AA216-1)*100),"NA",IF(((AI216/AA216-1)*100)&gt;100,"NM",IF(((AI216/AA216-1)*100)&lt;-50,"NM",(AI216/AA216-1)*100)))</f>
        <v>NA</v>
      </c>
      <c r="AK216" s="178">
        <f>SUM(AK213:AK215)</f>
        <v>36.70000000000001</v>
      </c>
      <c r="AL216" s="79">
        <f>IF(ISERROR((AK216/AC216-1)*100),"NA",IF(((AK216/AC216-1)*100)&gt;100,"NM",IF(((AK216/AC216-1)*100)&lt;-50,"NM",(AK216/AC216-1)*100)))</f>
        <v>-10.922330097087373</v>
      </c>
      <c r="AM216" s="178">
        <f>SUM(AM213:AM215)</f>
        <v>46</v>
      </c>
      <c r="AN216" s="79">
        <f>IF(ISERROR((AM216/AE216-1)*100),"NA",IF(((AM216/AE216-1)*100)&gt;100,"NM",IF(((AM216/AE216-1)*100)&lt;-50,"NM",(AM216/AE216-1)*100)))</f>
        <v>-27.55905511811023</v>
      </c>
      <c r="AO216" s="178">
        <f>SUM(AO213:AO215)</f>
        <v>24.7</v>
      </c>
      <c r="AP216" s="79">
        <f>IF(ISERROR((AO216/AG216-1)*100),"NA",IF(((AO216/AG216-1)*100)&gt;100,"NM",IF(((AO216/AG216-1)*100)&lt;-50,"NM",(AO216/AG216-1)*100)))</f>
        <v>-37.468354430379748</v>
      </c>
      <c r="AQ216" s="178">
        <f>SUM(AQ213:AQ215)</f>
        <v>24.7</v>
      </c>
      <c r="AR216" s="79">
        <f>IF(ISERROR((AQ216/AI216-1)*100),"NA",IF(((AQ216/AI216-1)*100)&gt;100,"NM",IF(((AQ216/AI216-1)*100)&lt;-50,"NM",(AQ216/AI216-1)*100)))</f>
        <v>-35.509138381201019</v>
      </c>
      <c r="AS216" s="178">
        <f>SUM(AS213:AS215)</f>
        <v>11.700000000000001</v>
      </c>
      <c r="AT216" s="81" t="str">
        <f>IF(ISERROR((AS216/AK216-1)*100),"NA",IF(((AS216/AK216-1)*100)&gt;100,"NM",IF(((AS216/AK216-1)*100)&lt;-50,"NM",(AS216/AK216-1)*100)))</f>
        <v>NM</v>
      </c>
      <c r="AU216" s="178">
        <f>SUM(AU213:AU215)</f>
        <v>20</v>
      </c>
      <c r="AV216" s="81" t="str">
        <f>IF(ISERROR((AU216/AM216-1)*100),"NA",IF(((AU216/AM216-1)*100)&gt;100,"NM",IF(((AU216/AM216-1)*100)&lt;-50,"NM",(AU216/AM216-1)*100)))</f>
        <v>NM</v>
      </c>
      <c r="AW216" s="178">
        <f>SUM(AW213:AW215)</f>
        <v>25.4</v>
      </c>
      <c r="AX216" s="81">
        <f>IF(ISERROR((AW216/AO216-1)*100),"NA",IF(((AW216/AO216-1)*100)&gt;100,"NM",IF(((AW216/AO216-1)*100)&lt;-50,"NM",(AW216/AO216-1)*100)))</f>
        <v>2.8340080971659853</v>
      </c>
      <c r="AY216" s="178">
        <f>SUM(AY213:AY215)</f>
        <v>43.999999999999993</v>
      </c>
      <c r="AZ216" s="81">
        <f>IF(ISERROR((AY216/AQ216-1)*100),"NA",IF(((AY216/AQ216-1)*100)&gt;100,"NM",IF(((AY216/AQ216-1)*100)&lt;-50,"NM",(AY216/AQ216-1)*100)))</f>
        <v>78.13765182186232</v>
      </c>
      <c r="BA216" s="178">
        <f>SUM(BA213:BA215)</f>
        <v>20.8</v>
      </c>
      <c r="BB216" s="81">
        <f>IF(ISERROR((BA216/AS216-1)*100),"NA",IF(((BA216/AS216-1)*100)&gt;100,"NM",IF(((BA216/AS216-1)*100)&lt;-50,"NM",(BA216/AS216-1)*100)))</f>
        <v>77.777777777777771</v>
      </c>
      <c r="BC216" s="178">
        <f>SUM(BC213:BC215)</f>
        <v>27.8</v>
      </c>
      <c r="BD216" s="81">
        <f>IF(ISERROR((BC216/AU216-1)*100),"NA",IF(((BC216/AU216-1)*100)&gt;100,"NM",IF(((BC216/AU216-1)*100)&lt;-50,"NM",(BC216/AU216-1)*100)))</f>
        <v>39.000000000000014</v>
      </c>
      <c r="BE216" s="178">
        <f>SUM(BE213:BE215)</f>
        <v>22.2</v>
      </c>
      <c r="BF216" s="81">
        <f>IF(ISERROR((BE216/AW216-1)*100),"NA",IF(((BE216/AW216-1)*100)&gt;100,"NM",IF(((BE216/AW216-1)*100)&lt;-50,"NM",(BE216/AW216-1)*100)))</f>
        <v>-12.598425196850393</v>
      </c>
      <c r="BG216" s="178">
        <f>SUM(BG213:BG215)</f>
        <v>34.599999999999994</v>
      </c>
      <c r="BH216" s="81">
        <f>IF(ISERROR((BG216/AY216-1)*100),"NA",IF(((BG216/AY216-1)*100)&gt;100,"NM",IF(((BG216/AY216-1)*100)&lt;-50,"NM",(BG216/AY216-1)*100)))</f>
        <v>-21.363636363636363</v>
      </c>
      <c r="BI216" s="178">
        <f>SUM(BI213:BI215)</f>
        <v>18.700000000000003</v>
      </c>
      <c r="BJ216" s="81">
        <f>IF(ISERROR((BI216/BA216-1)*100),"NA",IF(((BI216/BA216-1)*100)&gt;100,"NM",IF(((BI216/BA216-1)*100)&lt;-50,"NM",(BI216/BA216-1)*100)))</f>
        <v>-10.096153846153832</v>
      </c>
      <c r="BK216" s="178">
        <f>SUM(BK213:BK215)</f>
        <v>30.9</v>
      </c>
      <c r="BL216" s="81">
        <f>IF(ISERROR((BK216/BC216-1)*100),"NA",IF(((BK216/BC216-1)*100)&gt;100,"NM",IF(((BK216/BC216-1)*100)&lt;-50,"NM",(BK216/BC216-1)*100)))</f>
        <v>11.151079136690644</v>
      </c>
      <c r="BM216" s="178">
        <f>SUM(BM213:BM215)</f>
        <v>22.9</v>
      </c>
      <c r="BN216" s="81"/>
      <c r="BO216" s="178">
        <f>SUM(BO213:BO215)</f>
        <v>27</v>
      </c>
      <c r="BP216" s="81"/>
      <c r="BQ216" s="178">
        <f>SUM(BQ213:BQ215)</f>
        <v>19.600000000000001</v>
      </c>
      <c r="BR216" s="81"/>
      <c r="BS216" s="178">
        <f>SUM(BS213:BS215)</f>
        <v>29.5</v>
      </c>
      <c r="BT216" s="81"/>
      <c r="BU216" s="178">
        <f>SUM(BU213:BU215)</f>
        <v>32.1</v>
      </c>
      <c r="BV216" s="81"/>
      <c r="BW216" s="178">
        <f>SUM(BW213:BW215)</f>
        <v>42</v>
      </c>
      <c r="BX216" s="81"/>
      <c r="BY216" s="178">
        <f>SUM(BY213:BY215)</f>
        <v>24.200000000000003</v>
      </c>
      <c r="BZ216" s="81"/>
      <c r="CA216" s="178">
        <f>SUM(CA213:CA215)</f>
        <v>32.799999999999997</v>
      </c>
      <c r="CB216" s="81"/>
      <c r="CC216" s="178">
        <f>SUM(CC213:CC215)</f>
        <v>29.6</v>
      </c>
      <c r="CD216" s="81"/>
      <c r="CE216" s="178">
        <f>SUM(CE213:CE215)</f>
        <v>32.6</v>
      </c>
      <c r="CF216" s="81">
        <f t="shared" si="691"/>
        <v>-22.38095238095238</v>
      </c>
      <c r="CG216" s="178">
        <f>SUM(CG213:CG215)</f>
        <v>17.600000000000001</v>
      </c>
      <c r="CH216" s="81">
        <f>IF(ISERROR((CG216/BY216-1)*100),"NA",IF(((CG216/BY216-1)*100)&gt;100,"NM",IF(((CG216/BY216-1)*100)&lt;-50,"NM",(CG216/BY216-1)*100)))</f>
        <v>-27.27272727272727</v>
      </c>
      <c r="CI216" s="178">
        <f>SUM(CI213:CI215)</f>
        <v>23.699999999999996</v>
      </c>
      <c r="CJ216" s="81">
        <f>IF(ISERROR((CI216/CA216-1)*100),"NA",IF(((CI216/CA216-1)*100)&gt;100,"NM",IF(((CI216/CA216-1)*100)&lt;-50,"NM",(CI216/CA216-1)*100)))</f>
        <v>-27.743902439024392</v>
      </c>
      <c r="CK216" s="178">
        <f>SUM(CK213:CK215)</f>
        <v>21.299999999999997</v>
      </c>
      <c r="CL216" s="81">
        <f>IF(ISERROR((CK216/CC216-1)*100),"NA",IF(((CK216/CC216-1)*100)&gt;100,"NM",IF(((CK216/CC216-1)*100)&lt;-50,"NM",(CK216/CC216-1)*100)))</f>
        <v>-28.040540540540547</v>
      </c>
      <c r="CM216" s="178">
        <f>SUM(CM213:CM215)</f>
        <v>27.6</v>
      </c>
      <c r="CN216" s="81">
        <f>IF(ISERROR((CM216/CE216-1)*100),"NA",IF(((CM216/CE216-1)*100)&gt;100,"NM",IF(((CM216/CE216-1)*100)&lt;-50,"NM",(CM216/CE216-1)*100)))</f>
        <v>-15.337423312883436</v>
      </c>
      <c r="CO216" s="178">
        <f>SUM(CO213:CO215)</f>
        <v>30.8</v>
      </c>
      <c r="CP216" s="81">
        <f>IF(ISERROR((CO216/CG216-1)*100),"NA",IF(((CO216/CG216-1)*100)&gt;100,"NM",IF(((CO216/CG216-1)*100)&lt;-50,"NM",(CO216/CG216-1)*100)))</f>
        <v>75</v>
      </c>
      <c r="CQ216" s="178">
        <f>SUM(CQ213:CQ215)</f>
        <v>24</v>
      </c>
      <c r="CR216" s="81">
        <f>IF(ISERROR((CQ216/CI216-1)*100),"NA",IF(((CQ216/CI216-1)*100)&gt;100,"NM",IF(((CQ216/CI216-1)*100)&lt;-50,"NM",(CQ216/CI216-1)*100)))</f>
        <v>1.2658227848101555</v>
      </c>
      <c r="CS216" s="178">
        <f>SUM(CS213:CS215)</f>
        <v>17</v>
      </c>
      <c r="CT216" s="81">
        <f>IF(ISERROR((CS216/CK216-1)*100),"NA",IF(((CS216/CK216-1)*100)&gt;100,"NM",IF(((CS216/CK216-1)*100)&lt;-50,"NM",(CS216/CK216-1)*100)))</f>
        <v>-20.187793427230037</v>
      </c>
      <c r="CU216" s="178">
        <f>SUM(CU213:CU215)</f>
        <v>22.3</v>
      </c>
      <c r="CV216" s="81">
        <f>IF(ISERROR((CU216/CM216-1)*100),"NA",IF(((CU216/CM216-1)*100)&gt;100,"NM",IF(((CU216/CM216-1)*100)&lt;-50,"NM",(CU216/CM216-1)*100)))</f>
        <v>-19.202898550724633</v>
      </c>
      <c r="CW216" s="178">
        <f>SUM(CW213:CW215)</f>
        <v>16.399999999999999</v>
      </c>
      <c r="CX216" s="81">
        <f>IF(ISERROR((CW216/CO216-1)*100),"NA",IF(((CW216/CO216-1)*100)&gt;100,"NM",IF(((CW216/CO216-1)*100)&lt;-50,"NM",(CW216/CO216-1)*100)))</f>
        <v>-46.753246753246756</v>
      </c>
      <c r="CY216" s="178">
        <f>SUM(CY213:CY215)</f>
        <v>21.700000000000003</v>
      </c>
      <c r="CZ216" s="81">
        <f>IF(ISERROR((CY216/CQ216-1)*100),"NA",IF(((CY216/CQ216-1)*100)&gt;100,"NM",IF(((CY216/CQ216-1)*100)&lt;-50,"NM",(CY216/CQ216-1)*100)))</f>
        <v>-9.5833333333333215</v>
      </c>
      <c r="DA216" s="178">
        <f>SUM(DA213:DA215)</f>
        <v>17.299999999999997</v>
      </c>
      <c r="DB216" s="81">
        <f>IF(ISERROR((DA216/CS216-1)*100),"NA",IF(((DA216/CS216-1)*100)&gt;100,"NM",IF(((DA216/CS216-1)*100)&lt;-50,"NM",(DA216/CS216-1)*100)))</f>
        <v>1.7647058823529349</v>
      </c>
      <c r="DC216" s="178">
        <f>SUM(DC213:DC215)</f>
        <v>20.399999999999999</v>
      </c>
      <c r="DD216" s="81">
        <f>IF(ISERROR((DC216/CU216-1)*100),"NA",IF(((DC216/CU216-1)*100)&gt;100,"NM",IF(((DC216/CU216-1)*100)&lt;-50,"NM",(DC216/CU216-1)*100)))</f>
        <v>-8.5201793721973225</v>
      </c>
      <c r="DE216" s="178">
        <f>SUM(DE213:DE215)</f>
        <v>17.3</v>
      </c>
      <c r="DF216" s="81">
        <f>IF(ISERROR((DE216/CW216-1)*100),"NA",IF(((DE216/CW216-1)*100)&gt;100,"NM",IF(((DE216/CW216-1)*100)&lt;-50,"NM",(DE216/CW216-1)*100)))</f>
        <v>5.4878048780487854</v>
      </c>
      <c r="DG216" s="178">
        <f>SUM(DG213:DG215)</f>
        <v>21.1</v>
      </c>
      <c r="DH216" s="81">
        <f>IF(ISERROR((DG216/CY216-1)*100),"NA",IF(((DG216/CY216-1)*100)&gt;100,"NM",IF(((DG216/CY216-1)*100)&lt;-50,"NM",(DG216/CY216-1)*100)))</f>
        <v>-2.7649769585253559</v>
      </c>
      <c r="DI216" s="178">
        <f>SUM(DI213:DI215)</f>
        <v>21.4</v>
      </c>
      <c r="DJ216" s="81">
        <f>IF(ISERROR((DI216/DA216-1)*100),"NA",IF(((DI216/DA216-1)*100)&gt;100,"NM",IF(((DI216/DA216-1)*100)&lt;-50,"NM",(DI216/DA216-1)*100)))</f>
        <v>23.699421965317935</v>
      </c>
      <c r="DK216" s="178">
        <f>SUM(DK213:DK215)</f>
        <v>25.3</v>
      </c>
      <c r="DL216" s="81">
        <f>IF(ISERROR((DK216/DC216-1)*100),"NA",IF(((DK216/DC216-1)*100)&gt;100,"NM",IF(((DK216/DC216-1)*100)&lt;-50,"NM",(DK216/DC216-1)*100)))</f>
        <v>24.019607843137258</v>
      </c>
      <c r="DM216" s="178">
        <f>SUM(DM213:DM215)</f>
        <v>16.700000000000003</v>
      </c>
      <c r="DN216" s="81">
        <f>IF(ISERROR((DM216/DE216-1)*100),"NA",IF(((DM216/DE216-1)*100)&gt;100,"NM",IF(((DM216/DE216-1)*100)&lt;-50,"NM",(DM216/DE216-1)*100)))</f>
        <v>-3.4682080924855363</v>
      </c>
      <c r="DO216" s="178">
        <f>SUM(DO213:DO215)</f>
        <v>20.5</v>
      </c>
      <c r="DP216" s="81">
        <f>IF(ISERROR((DO216/DG216-1)*100),"NA",IF(((DO216/DG216-1)*100)&gt;100,"NM",IF(((DO216/DG216-1)*100)&lt;-50,"NM",(DO216/DG216-1)*100)))</f>
        <v>-2.8436018957346043</v>
      </c>
      <c r="DQ216" s="178">
        <f>SUM(DQ213:DQ215)</f>
        <v>19.7</v>
      </c>
      <c r="DR216" s="81">
        <f>IF(ISERROR((DQ216/DI216-1)*100),"NA",IF(((DQ216/DI216-1)*100)&gt;100,"NM",IF(((DQ216/DI216-1)*100)&lt;-50,"NM",(DQ216/DI216-1)*100)))</f>
        <v>-7.9439252336448547</v>
      </c>
      <c r="DS216" s="178">
        <f>SUM(DS213:DS215)</f>
        <v>27.200000000000003</v>
      </c>
      <c r="DT216" s="81">
        <f>IF(ISERROR((DS216/DK216-1)*100),"NA",IF(((DS216/DK216-1)*100)&gt;100,"NM",IF(((DS216/DK216-1)*100)&lt;-50,"NM",(DS216/DK216-1)*100)))</f>
        <v>7.5098814229249022</v>
      </c>
      <c r="DU216" s="178">
        <f>SUM(DU213:DU215)</f>
        <v>18.399999999999999</v>
      </c>
      <c r="DV216" s="81">
        <f>IF(ISERROR((DU216/DM216-1)*100),"NA",IF(((DU216/DM216-1)*100)&gt;100,"NM",IF(((DU216/DM216-1)*100)&lt;-50,"NM",(DU216/DM216-1)*100)))</f>
        <v>10.179640718562855</v>
      </c>
      <c r="DW216" s="178">
        <f>SUM(DW213:DW215)</f>
        <v>23</v>
      </c>
      <c r="DX216" s="81">
        <f>IF(ISERROR((DW216/DO216-1)*100),"NA",IF(((DW216/DO216-1)*100)&gt;100,"NM",IF(((DW216/DO216-1)*100)&lt;-50,"NM",(DW216/DO216-1)*100)))</f>
        <v>12.195121951219523</v>
      </c>
      <c r="DY216" s="178">
        <f>SUM(DY213:DY215)</f>
        <v>19.399999999999999</v>
      </c>
      <c r="DZ216" s="81">
        <f>IF(ISERROR((DY216/DQ216-1)*100),"NA",IF(((DY216/DQ216-1)*100)&gt;100,"NM",IF(((DY216/DQ216-1)*100)&lt;-50,"NM",(DY216/DQ216-1)*100)))</f>
        <v>-1.5228426395939132</v>
      </c>
      <c r="EA216" s="178">
        <f>SUM(EA213:EA215)</f>
        <v>23.7</v>
      </c>
      <c r="EB216" s="81">
        <f>IF(ISERROR((EA216/DS216-1)*100),"NA",IF(((EA216/DS216-1)*100)&gt;100,"NM",IF(((EA216/DS216-1)*100)&lt;-50,"NM",(EA216/DS216-1)*100)))</f>
        <v>-12.86764705882354</v>
      </c>
      <c r="EC216" s="178">
        <f>SUM(EC213:EC215)</f>
        <v>19.7</v>
      </c>
      <c r="ED216" s="81">
        <f t="shared" si="694"/>
        <v>7.0652173913043459</v>
      </c>
      <c r="EE216" s="178">
        <f>SUM(EE213:EE215)</f>
        <v>25.2</v>
      </c>
      <c r="EF216" s="81">
        <f t="shared" si="695"/>
        <v>9.565217391304337</v>
      </c>
      <c r="EG216" s="178">
        <f>SUM(EG213:EG215)</f>
        <v>16.5</v>
      </c>
      <c r="EH216" s="81">
        <f t="shared" si="696"/>
        <v>-14.948453608247414</v>
      </c>
      <c r="EI216" s="178">
        <f>SUM(EI213:EI215)</f>
        <v>24.5</v>
      </c>
      <c r="EJ216" s="81">
        <f t="shared" si="697"/>
        <v>3.3755274261603407</v>
      </c>
      <c r="EK216" s="178"/>
      <c r="EL216" s="81" t="str">
        <f t="shared" si="698"/>
        <v>NM</v>
      </c>
      <c r="EM216" s="178"/>
      <c r="EN216" s="81" t="str">
        <f t="shared" si="699"/>
        <v>NM</v>
      </c>
      <c r="EO216" s="178"/>
      <c r="EP216" s="81" t="str">
        <f t="shared" si="700"/>
        <v>NM</v>
      </c>
      <c r="EQ216" s="178"/>
      <c r="ER216" s="81" t="str">
        <f t="shared" si="701"/>
        <v>NM</v>
      </c>
      <c r="ES216" s="82"/>
      <c r="ET216" s="465"/>
      <c r="EU216" s="82"/>
      <c r="EV216" s="171"/>
      <c r="EW216" s="79"/>
      <c r="EX216" s="171"/>
      <c r="EY216" s="79"/>
      <c r="EZ216" s="171"/>
      <c r="FA216" s="79"/>
      <c r="FB216" s="171"/>
      <c r="FC216" s="79"/>
      <c r="FD216" s="178">
        <f>SUM(FD213:FD215)</f>
        <v>94.2</v>
      </c>
      <c r="FE216" s="79" t="str">
        <f t="shared" si="702"/>
        <v>NA</v>
      </c>
      <c r="FF216" s="178">
        <f>SUM(FF213:FF215)</f>
        <v>128.6</v>
      </c>
      <c r="FG216" s="79">
        <f t="shared" si="702"/>
        <v>36.518046709129507</v>
      </c>
      <c r="FH216" s="178">
        <f>SUM(FH213:FH215)</f>
        <v>182.49999999999997</v>
      </c>
      <c r="FI216" s="79">
        <f t="shared" si="702"/>
        <v>41.912908242612737</v>
      </c>
      <c r="FJ216" s="178"/>
      <c r="FK216" s="79" t="str">
        <f t="shared" si="702"/>
        <v>NM</v>
      </c>
      <c r="FL216" s="178"/>
      <c r="FM216" s="79" t="str">
        <f t="shared" si="702"/>
        <v>NA</v>
      </c>
      <c r="FN216" s="178"/>
      <c r="FO216" s="79" t="str">
        <f t="shared" si="702"/>
        <v>NA</v>
      </c>
      <c r="FP216" s="178">
        <f>BI216+BK216+BM216+BO216</f>
        <v>99.5</v>
      </c>
      <c r="FQ216" s="79" t="str">
        <f t="shared" si="702"/>
        <v>NA</v>
      </c>
      <c r="FR216" s="178">
        <f>BQ216+BS216+BU216+BW216</f>
        <v>123.2</v>
      </c>
      <c r="FS216" s="79">
        <f t="shared" si="702"/>
        <v>23.819095477386941</v>
      </c>
      <c r="FT216" s="178">
        <f>BY216+CA216+CC216+CE216</f>
        <v>119.19999999999999</v>
      </c>
      <c r="FU216" s="79">
        <f t="shared" si="702"/>
        <v>-3.2467532467532534</v>
      </c>
      <c r="FV216" s="178">
        <f>CG216+CI216+CK216+CM216</f>
        <v>90.199999999999989</v>
      </c>
      <c r="FW216" s="79">
        <f t="shared" si="702"/>
        <v>-24.328859060402685</v>
      </c>
      <c r="FX216" s="178">
        <f>CO216+CQ216+CS216+CU216</f>
        <v>94.1</v>
      </c>
      <c r="FY216" s="79">
        <f t="shared" si="702"/>
        <v>4.3237250554323703</v>
      </c>
      <c r="FZ216" s="897">
        <f>FZ213+FZ214+FZ215</f>
        <v>75.800000000000011</v>
      </c>
      <c r="GA216" s="79">
        <f t="shared" si="702"/>
        <v>-19.447396386822511</v>
      </c>
      <c r="GB216" s="897">
        <f>GB213+GB214+GB215</f>
        <v>85.100000000000009</v>
      </c>
      <c r="GC216" s="79">
        <f t="shared" si="702"/>
        <v>12.269129287598934</v>
      </c>
      <c r="GD216" s="897">
        <f>GD213+GD214+GD215</f>
        <v>86</v>
      </c>
      <c r="GE216" s="79">
        <f t="shared" si="702"/>
        <v>1.0575793184488758</v>
      </c>
      <c r="GF216" s="897">
        <f>GF213+GF214+GF215</f>
        <v>84.5</v>
      </c>
      <c r="GG216" s="79">
        <f t="shared" si="702"/>
        <v>-1.744186046511631</v>
      </c>
      <c r="GH216" s="897">
        <f>GH213+GH214+GH215</f>
        <v>85.9</v>
      </c>
      <c r="GI216" s="79">
        <f t="shared" si="702"/>
        <v>1.6568047337278236</v>
      </c>
      <c r="GJ216" s="178"/>
      <c r="GK216" s="79" t="str">
        <f t="shared" si="702"/>
        <v>NM</v>
      </c>
      <c r="GL216" s="178"/>
      <c r="GM216" s="79" t="str">
        <f t="shared" si="702"/>
        <v>NA</v>
      </c>
      <c r="GN216" s="178"/>
      <c r="GO216" s="79" t="str">
        <f t="shared" si="702"/>
        <v>NA</v>
      </c>
      <c r="GP216" s="178"/>
      <c r="GQ216" s="79" t="str">
        <f t="shared" si="702"/>
        <v>NA</v>
      </c>
      <c r="GR216" s="178"/>
      <c r="GS216" s="79" t="str">
        <f t="shared" si="704"/>
        <v>NA</v>
      </c>
      <c r="GT216" s="79"/>
    </row>
    <row r="217" spans="1:286" ht="12.75" customHeight="1" x14ac:dyDescent="0.2">
      <c r="A217" s="1"/>
      <c r="C217" s="79"/>
      <c r="D217" s="79"/>
      <c r="E217" s="129"/>
      <c r="F217" s="129"/>
      <c r="G217" s="129"/>
      <c r="H217" s="129"/>
      <c r="I217" s="129"/>
      <c r="J217" s="129"/>
      <c r="K217" s="129"/>
      <c r="L217" s="79"/>
      <c r="M217" s="129"/>
      <c r="N217" s="79"/>
      <c r="O217" s="129"/>
      <c r="P217" s="79"/>
      <c r="Q217" s="129"/>
      <c r="R217" s="79"/>
      <c r="S217" s="129"/>
      <c r="T217" s="79"/>
      <c r="U217" s="129"/>
      <c r="V217" s="79"/>
      <c r="W217" s="129"/>
      <c r="X217" s="79"/>
      <c r="Y217" s="129"/>
      <c r="Z217" s="79"/>
      <c r="AA217" s="130"/>
      <c r="AB217" s="79"/>
      <c r="AC217" s="129"/>
      <c r="AD217" s="79"/>
      <c r="AE217" s="129"/>
      <c r="AF217" s="79"/>
      <c r="AG217" s="129"/>
      <c r="AH217" s="79"/>
      <c r="AI217" s="129"/>
      <c r="AJ217" s="79"/>
      <c r="AK217" s="129"/>
      <c r="AL217" s="79"/>
      <c r="AM217" s="129"/>
      <c r="AN217" s="79"/>
      <c r="AO217" s="129"/>
      <c r="AP217" s="79"/>
      <c r="AQ217" s="129"/>
      <c r="AR217" s="79"/>
      <c r="AS217" s="129"/>
      <c r="AT217" s="81"/>
      <c r="AU217" s="129"/>
      <c r="AV217" s="81"/>
      <c r="AW217" s="129"/>
      <c r="AX217" s="81"/>
      <c r="AY217" s="129"/>
      <c r="AZ217" s="81"/>
      <c r="BA217" s="129"/>
      <c r="BB217" s="81"/>
      <c r="BC217" s="129"/>
      <c r="BD217" s="81"/>
      <c r="BE217" s="129"/>
      <c r="BF217" s="81"/>
      <c r="BG217" s="129"/>
      <c r="BH217" s="81"/>
      <c r="BI217" s="129"/>
      <c r="BJ217" s="81"/>
      <c r="BK217" s="129"/>
      <c r="BL217" s="81"/>
      <c r="BM217" s="129"/>
      <c r="BN217" s="81"/>
      <c r="BO217" s="129"/>
      <c r="BP217" s="81"/>
      <c r="BQ217" s="129"/>
      <c r="BR217" s="81"/>
      <c r="BS217" s="129"/>
      <c r="BT217" s="81"/>
      <c r="BU217" s="129"/>
      <c r="BV217" s="81"/>
      <c r="BW217" s="129"/>
      <c r="BX217" s="81"/>
      <c r="BY217" s="129"/>
      <c r="BZ217" s="81"/>
      <c r="CA217" s="129"/>
      <c r="CB217" s="81"/>
      <c r="CC217" s="129"/>
      <c r="CD217" s="81"/>
      <c r="CE217" s="129"/>
      <c r="CF217" s="81"/>
      <c r="CG217" s="129"/>
      <c r="CH217" s="81"/>
      <c r="CI217" s="129"/>
      <c r="CJ217" s="81"/>
      <c r="CK217" s="129"/>
      <c r="CL217" s="81"/>
      <c r="CM217" s="129"/>
      <c r="CN217" s="81"/>
      <c r="CO217" s="129"/>
      <c r="CP217" s="81"/>
      <c r="CQ217" s="129"/>
      <c r="CR217" s="81"/>
      <c r="CS217" s="129"/>
      <c r="CT217" s="81"/>
      <c r="CU217" s="454"/>
      <c r="CV217" s="81"/>
      <c r="CW217" s="454"/>
      <c r="CX217" s="81"/>
      <c r="CY217" s="454"/>
      <c r="CZ217" s="81"/>
      <c r="DA217" s="454"/>
      <c r="DB217" s="81"/>
      <c r="DC217" s="454"/>
      <c r="DD217" s="81"/>
      <c r="DE217" s="454"/>
      <c r="DF217" s="81"/>
      <c r="DG217" s="129"/>
      <c r="DH217" s="81"/>
      <c r="DI217" s="911"/>
      <c r="DJ217" s="81"/>
      <c r="DK217" s="911"/>
      <c r="DL217" s="81"/>
      <c r="DM217" s="129"/>
      <c r="DN217" s="81"/>
      <c r="DO217" s="129"/>
      <c r="DP217" s="81"/>
      <c r="DQ217" s="911"/>
      <c r="DR217" s="81"/>
      <c r="DS217" s="911"/>
      <c r="DT217" s="81"/>
      <c r="DU217" s="911"/>
      <c r="DV217" s="81"/>
      <c r="DW217" s="911"/>
      <c r="DX217" s="81"/>
      <c r="DY217" s="911"/>
      <c r="DZ217" s="81" t="str">
        <f>IF(ISERROR((DY217/DQ217-1)*100),"NA",IF(((DY217/DQ217-1)*100)&gt;100,"NM",IF(((DY217/DQ217-1)*100)&lt;-50,"NM",(DY217/DQ217-1)*100)))</f>
        <v>NA</v>
      </c>
      <c r="EA217" s="911"/>
      <c r="EB217" s="81" t="str">
        <f>IF(ISERROR((EA217/DS217-1)*100),"NA",IF(((EA217/DS217-1)*100)&gt;100,"NM",IF(((EA217/DS217-1)*100)&lt;-50,"NM",(EA217/DS217-1)*100)))</f>
        <v>NA</v>
      </c>
      <c r="EC217" s="911"/>
      <c r="ED217" s="81" t="str">
        <f t="shared" si="694"/>
        <v>NA</v>
      </c>
      <c r="EE217" s="911"/>
      <c r="EF217" s="81" t="str">
        <f t="shared" si="695"/>
        <v>NA</v>
      </c>
      <c r="EG217" s="911"/>
      <c r="EH217" s="81" t="str">
        <f t="shared" si="696"/>
        <v>NA</v>
      </c>
      <c r="EI217" s="911"/>
      <c r="EJ217" s="81" t="str">
        <f t="shared" si="697"/>
        <v>NA</v>
      </c>
      <c r="EK217" s="129"/>
      <c r="EL217" s="81" t="str">
        <f t="shared" si="698"/>
        <v>NA</v>
      </c>
      <c r="EM217" s="129"/>
      <c r="EN217" s="81" t="str">
        <f t="shared" si="699"/>
        <v>NA</v>
      </c>
      <c r="EO217" s="129"/>
      <c r="EP217" s="81" t="str">
        <f t="shared" si="700"/>
        <v>NA</v>
      </c>
      <c r="EQ217" s="129"/>
      <c r="ER217" s="81" t="str">
        <f t="shared" si="701"/>
        <v>NA</v>
      </c>
      <c r="ES217" s="129"/>
      <c r="ET217" s="469"/>
      <c r="EU217" s="129"/>
      <c r="EV217" s="129"/>
      <c r="EW217" s="79"/>
      <c r="EX217" s="129"/>
      <c r="EY217" s="79"/>
      <c r="EZ217" s="129"/>
      <c r="FA217" s="79"/>
      <c r="FB217" s="129"/>
      <c r="FC217" s="79"/>
      <c r="FD217" s="129"/>
      <c r="FE217" s="79"/>
      <c r="FF217" s="129"/>
      <c r="FG217" s="79"/>
      <c r="FH217" s="129"/>
      <c r="FI217" s="79"/>
      <c r="FJ217" s="129"/>
      <c r="FK217" s="79"/>
      <c r="FL217" s="129"/>
      <c r="FM217" s="79"/>
      <c r="FN217" s="129"/>
      <c r="FO217" s="79"/>
      <c r="FP217" s="129"/>
      <c r="FQ217" s="79"/>
      <c r="FR217" s="129"/>
      <c r="FS217" s="79"/>
      <c r="FT217" s="129"/>
      <c r="FU217" s="79"/>
      <c r="FV217" s="129"/>
      <c r="FW217" s="79"/>
      <c r="FX217" s="129"/>
      <c r="FY217" s="79"/>
      <c r="FZ217" s="129"/>
      <c r="GA217" s="79"/>
      <c r="GB217" s="129"/>
      <c r="GC217" s="79"/>
      <c r="GD217" s="129"/>
      <c r="GE217" s="79"/>
      <c r="GF217" s="129"/>
      <c r="GG217" s="79"/>
      <c r="GH217" s="129"/>
      <c r="GI217" s="79"/>
      <c r="GJ217" s="129"/>
      <c r="GK217" s="79"/>
      <c r="GL217" s="129"/>
      <c r="GM217" s="79"/>
      <c r="GN217" s="129"/>
      <c r="GO217" s="79"/>
      <c r="GP217" s="129"/>
      <c r="GQ217" s="79"/>
      <c r="GR217" s="129"/>
      <c r="GS217" s="79"/>
      <c r="GT217" s="79"/>
    </row>
    <row r="218" spans="1:286" s="589" customFormat="1" ht="12.75" customHeight="1" collapsed="1" x14ac:dyDescent="0.2">
      <c r="A218" s="581"/>
      <c r="B218" s="582" t="s">
        <v>133</v>
      </c>
      <c r="C218" s="583"/>
      <c r="D218" s="583"/>
      <c r="E218" s="584"/>
      <c r="F218" s="584"/>
      <c r="G218" s="584"/>
      <c r="H218" s="584"/>
      <c r="I218" s="584"/>
      <c r="J218" s="584"/>
      <c r="K218" s="584"/>
      <c r="L218" s="584"/>
      <c r="M218" s="584"/>
      <c r="N218" s="585"/>
      <c r="O218" s="584"/>
      <c r="P218" s="583"/>
      <c r="Q218" s="584"/>
      <c r="R218" s="583"/>
      <c r="S218" s="584"/>
      <c r="T218" s="583"/>
      <c r="U218" s="584"/>
      <c r="V218" s="583"/>
      <c r="W218" s="584"/>
      <c r="X218" s="583"/>
      <c r="Y218" s="584"/>
      <c r="Z218" s="583"/>
      <c r="AA218" s="586"/>
      <c r="AB218" s="583"/>
      <c r="AC218" s="584"/>
      <c r="AD218" s="583"/>
      <c r="AE218" s="586"/>
      <c r="AF218" s="583"/>
      <c r="AG218" s="586"/>
      <c r="AH218" s="583"/>
      <c r="AI218" s="586"/>
      <c r="AJ218" s="583"/>
      <c r="AK218" s="586"/>
      <c r="AL218" s="583"/>
      <c r="AM218" s="586"/>
      <c r="AN218" s="583"/>
      <c r="AO218" s="586"/>
      <c r="AP218" s="583"/>
      <c r="AQ218" s="586"/>
      <c r="AR218" s="583"/>
      <c r="AS218" s="586"/>
      <c r="AT218" s="587"/>
      <c r="AU218" s="586"/>
      <c r="AV218" s="587"/>
      <c r="AW218" s="586"/>
      <c r="AX218" s="587"/>
      <c r="AY218" s="586"/>
      <c r="AZ218" s="587"/>
      <c r="BA218" s="586"/>
      <c r="BB218" s="587"/>
      <c r="BC218" s="586"/>
      <c r="BD218" s="587"/>
      <c r="BE218" s="586"/>
      <c r="BF218" s="587"/>
      <c r="BG218" s="586"/>
      <c r="BH218" s="587"/>
      <c r="BI218" s="586"/>
      <c r="BJ218" s="587"/>
      <c r="BK218" s="586"/>
      <c r="BL218" s="587"/>
      <c r="BM218" s="586"/>
      <c r="BN218" s="587"/>
      <c r="BO218" s="586"/>
      <c r="BP218" s="587"/>
      <c r="BQ218" s="586"/>
      <c r="BR218" s="587"/>
      <c r="BS218" s="586"/>
      <c r="BT218" s="587"/>
      <c r="BU218" s="586"/>
      <c r="BV218" s="587"/>
      <c r="BW218" s="586"/>
      <c r="BX218" s="587"/>
      <c r="BY218" s="586"/>
      <c r="BZ218" s="587"/>
      <c r="CA218" s="586"/>
      <c r="CB218" s="587"/>
      <c r="CC218" s="586"/>
      <c r="CD218" s="587"/>
      <c r="CE218" s="586"/>
      <c r="CF218" s="587"/>
      <c r="CG218" s="586"/>
      <c r="CH218" s="587"/>
      <c r="CI218" s="586"/>
      <c r="CJ218" s="587"/>
      <c r="CK218" s="586"/>
      <c r="CL218" s="587"/>
      <c r="CM218" s="586"/>
      <c r="CN218" s="587"/>
      <c r="CO218" s="586"/>
      <c r="CP218" s="587"/>
      <c r="CQ218" s="586"/>
      <c r="CR218" s="587"/>
      <c r="CS218" s="586"/>
      <c r="CT218" s="587"/>
      <c r="CU218" s="586"/>
      <c r="CV218" s="587"/>
      <c r="CW218" s="586"/>
      <c r="CX218" s="587"/>
      <c r="CY218" s="586"/>
      <c r="CZ218" s="587"/>
      <c r="DA218" s="586"/>
      <c r="DB218" s="587"/>
      <c r="DC218" s="586"/>
      <c r="DD218" s="587"/>
      <c r="DE218" s="586"/>
      <c r="DF218" s="587"/>
      <c r="DG218" s="586"/>
      <c r="DH218" s="587"/>
      <c r="DI218" s="586"/>
      <c r="DJ218" s="587"/>
      <c r="DK218" s="586"/>
      <c r="DL218" s="587"/>
      <c r="DM218" s="586"/>
      <c r="DN218" s="587"/>
      <c r="DO218" s="586"/>
      <c r="DP218" s="587"/>
      <c r="DQ218" s="586"/>
      <c r="DR218" s="587"/>
      <c r="DS218" s="586"/>
      <c r="DT218" s="587"/>
      <c r="DU218" s="586"/>
      <c r="DV218" s="587"/>
      <c r="DW218" s="586"/>
      <c r="DX218" s="587"/>
      <c r="DY218" s="586"/>
      <c r="DZ218" s="587"/>
      <c r="EA218" s="586"/>
      <c r="EB218" s="587"/>
      <c r="EC218" s="586"/>
      <c r="ED218" s="587"/>
      <c r="EE218" s="586"/>
      <c r="EF218" s="587"/>
      <c r="EG218" s="586"/>
      <c r="EH218" s="587"/>
      <c r="EI218" s="586"/>
      <c r="EJ218" s="587"/>
      <c r="EK218" s="586"/>
      <c r="EL218" s="587"/>
      <c r="EM218" s="586"/>
      <c r="EN218" s="587"/>
      <c r="EO218" s="586"/>
      <c r="EP218" s="587"/>
      <c r="EQ218" s="586"/>
      <c r="ER218" s="587"/>
      <c r="ES218" s="584"/>
      <c r="ET218" s="588"/>
      <c r="EU218" s="584"/>
      <c r="EV218" s="584"/>
      <c r="EW218" s="583"/>
      <c r="EX218" s="584"/>
      <c r="EY218" s="583"/>
      <c r="EZ218" s="584"/>
      <c r="FA218" s="583"/>
      <c r="FB218" s="584"/>
      <c r="FC218" s="583"/>
      <c r="FD218" s="584"/>
      <c r="FE218" s="583"/>
      <c r="FF218" s="584"/>
      <c r="FG218" s="583"/>
      <c r="FH218" s="584"/>
      <c r="FI218" s="583"/>
      <c r="FJ218" s="584"/>
      <c r="FK218" s="583"/>
      <c r="FL218" s="584"/>
      <c r="FM218" s="583"/>
      <c r="FN218" s="584"/>
      <c r="FO218" s="583"/>
      <c r="FP218" s="584"/>
      <c r="FQ218" s="583"/>
      <c r="FR218" s="584"/>
      <c r="FS218" s="583"/>
      <c r="FT218" s="584"/>
      <c r="FU218" s="583"/>
      <c r="FV218" s="584"/>
      <c r="FW218" s="583"/>
      <c r="FX218" s="584"/>
      <c r="FY218" s="583"/>
      <c r="FZ218" s="584"/>
      <c r="GA218" s="583"/>
      <c r="GB218" s="584"/>
      <c r="GC218" s="583"/>
      <c r="GD218" s="584"/>
      <c r="GE218" s="583"/>
      <c r="GF218" s="584"/>
      <c r="GG218" s="583"/>
      <c r="GH218" s="584"/>
      <c r="GI218" s="583"/>
      <c r="GJ218" s="584"/>
      <c r="GK218" s="583"/>
      <c r="GL218" s="584"/>
      <c r="GM218" s="583"/>
      <c r="GN218" s="584"/>
      <c r="GO218" s="583"/>
      <c r="GP218" s="584"/>
      <c r="GQ218" s="583"/>
      <c r="GR218" s="584"/>
      <c r="GS218" s="583"/>
      <c r="GT218" s="583"/>
      <c r="GU218" s="562"/>
      <c r="GV218" s="562"/>
      <c r="GW218"/>
      <c r="GX218"/>
      <c r="GY218"/>
      <c r="GZ218"/>
      <c r="HA218"/>
      <c r="HB218"/>
      <c r="HC218" s="562"/>
      <c r="HD218" s="562"/>
      <c r="HE218" s="562"/>
      <c r="HF218" s="562"/>
      <c r="HG218" s="562"/>
      <c r="HH218" s="562"/>
      <c r="HI218" s="562"/>
      <c r="HJ218" s="562"/>
      <c r="HK218" s="562"/>
      <c r="HL218" s="562"/>
      <c r="HM218" s="562"/>
      <c r="HN218" s="562"/>
      <c r="HO218" s="562"/>
      <c r="HP218" s="562"/>
      <c r="HQ218" s="562"/>
      <c r="HR218" s="562"/>
      <c r="HS218" s="562"/>
      <c r="HT218" s="562"/>
      <c r="HU218" s="562"/>
      <c r="HV218" s="562"/>
      <c r="HW218" s="562"/>
      <c r="HX218" s="562"/>
      <c r="HY218" s="562"/>
      <c r="HZ218" s="562"/>
      <c r="IA218" s="562"/>
      <c r="IB218" s="562"/>
      <c r="IC218" s="562"/>
      <c r="ID218" s="562"/>
      <c r="IE218" s="562"/>
      <c r="IF218" s="562"/>
      <c r="IG218" s="562"/>
      <c r="IH218" s="562"/>
      <c r="II218" s="562"/>
      <c r="IJ218" s="562"/>
      <c r="IK218" s="562"/>
      <c r="IL218" s="562"/>
      <c r="IM218" s="562"/>
      <c r="IN218" s="562"/>
      <c r="IO218" s="562"/>
      <c r="IP218" s="562"/>
      <c r="IQ218" s="562"/>
      <c r="IR218" s="562"/>
      <c r="IS218" s="562"/>
      <c r="IT218" s="562"/>
      <c r="IU218" s="562"/>
      <c r="IV218" s="562"/>
      <c r="IW218" s="562"/>
      <c r="IX218" s="562"/>
      <c r="IY218" s="562"/>
      <c r="IZ218" s="562"/>
      <c r="JA218" s="562"/>
      <c r="JB218" s="562"/>
      <c r="JC218" s="562"/>
      <c r="JD218" s="562"/>
      <c r="JE218" s="562"/>
      <c r="JF218" s="562"/>
      <c r="JG218" s="562"/>
      <c r="JH218" s="562"/>
      <c r="JI218" s="562"/>
      <c r="JJ218" s="562"/>
      <c r="JK218" s="562"/>
      <c r="JL218" s="562"/>
      <c r="JM218" s="562"/>
      <c r="JN218" s="562"/>
      <c r="JO218" s="562"/>
      <c r="JP218" s="562"/>
      <c r="JQ218" s="562"/>
      <c r="JR218" s="562"/>
      <c r="JS218" s="562"/>
      <c r="JT218" s="562"/>
      <c r="JU218" s="562"/>
      <c r="JV218" s="562"/>
      <c r="JW218" s="562"/>
      <c r="JX218" s="562"/>
      <c r="JY218" s="562"/>
      <c r="JZ218" s="562"/>
    </row>
    <row r="219" spans="1:286" s="83" customFormat="1" ht="12.75" customHeight="1" x14ac:dyDescent="0.2">
      <c r="A219" s="77"/>
      <c r="C219" s="20"/>
      <c r="D219" s="20"/>
      <c r="E219" s="129"/>
      <c r="F219" s="129"/>
      <c r="G219" s="129"/>
      <c r="H219" s="129"/>
      <c r="I219" s="129"/>
      <c r="J219" s="129"/>
      <c r="K219" s="129"/>
      <c r="L219" s="20"/>
      <c r="M219" s="129"/>
      <c r="N219" s="20"/>
      <c r="O219" s="129"/>
      <c r="P219" s="20"/>
      <c r="Q219" s="129"/>
      <c r="R219" s="20"/>
      <c r="S219" s="129"/>
      <c r="T219" s="20"/>
      <c r="U219" s="129"/>
      <c r="V219" s="20"/>
      <c r="W219" s="129"/>
      <c r="X219" s="20"/>
      <c r="Y219" s="129"/>
      <c r="Z219" s="20"/>
      <c r="AA219" s="130"/>
      <c r="AB219" s="20"/>
      <c r="AC219" s="129"/>
      <c r="AD219" s="20"/>
      <c r="AE219" s="129"/>
      <c r="AF219" s="20"/>
      <c r="AG219" s="129"/>
      <c r="AH219" s="20"/>
      <c r="AI219" s="129"/>
      <c r="AJ219" s="20"/>
      <c r="AK219" s="129"/>
      <c r="AL219" s="20"/>
      <c r="AM219" s="129"/>
      <c r="AN219" s="20"/>
      <c r="AO219" s="129"/>
      <c r="AP219" s="20"/>
      <c r="AQ219" s="129"/>
      <c r="AR219" s="20"/>
      <c r="AS219" s="129"/>
      <c r="AT219" s="238"/>
      <c r="AU219" s="129"/>
      <c r="AV219" s="238"/>
      <c r="AW219" s="129"/>
      <c r="AX219" s="238"/>
      <c r="AY219" s="129"/>
      <c r="AZ219" s="238"/>
      <c r="BA219" s="129"/>
      <c r="BB219" s="238"/>
      <c r="BC219" s="129"/>
      <c r="BD219" s="238"/>
      <c r="BE219" s="129"/>
      <c r="BF219" s="238"/>
      <c r="BG219" s="129"/>
      <c r="BH219" s="238"/>
      <c r="BI219" s="129"/>
      <c r="BJ219" s="238"/>
      <c r="BK219" s="129"/>
      <c r="BL219" s="238"/>
      <c r="BM219" s="129"/>
      <c r="BN219" s="238"/>
      <c r="BO219" s="129"/>
      <c r="BP219" s="238"/>
      <c r="BQ219" s="129"/>
      <c r="BR219" s="238"/>
      <c r="BS219" s="129"/>
      <c r="BT219" s="238"/>
      <c r="BU219" s="129"/>
      <c r="BV219" s="238"/>
      <c r="BW219" s="129"/>
      <c r="BX219" s="238"/>
      <c r="BY219" s="129"/>
      <c r="BZ219" s="238"/>
      <c r="CA219" s="129"/>
      <c r="CB219" s="238"/>
      <c r="CC219" s="129"/>
      <c r="CD219" s="238"/>
      <c r="CE219" s="129"/>
      <c r="CF219" s="238"/>
      <c r="CG219" s="129"/>
      <c r="CH219" s="238"/>
      <c r="CI219" s="129"/>
      <c r="CJ219" s="238"/>
      <c r="CK219" s="129"/>
      <c r="CL219" s="238"/>
      <c r="CM219" s="129"/>
      <c r="CN219" s="238"/>
      <c r="CO219" s="129"/>
      <c r="CP219" s="238"/>
      <c r="CQ219" s="129"/>
      <c r="CR219" s="238"/>
      <c r="CS219" s="129"/>
      <c r="CT219" s="238"/>
      <c r="CU219" s="129"/>
      <c r="CV219" s="238"/>
      <c r="CW219" s="129"/>
      <c r="CX219" s="238"/>
      <c r="CY219" s="129"/>
      <c r="CZ219" s="238"/>
      <c r="DA219" s="129"/>
      <c r="DB219" s="238"/>
      <c r="DC219" s="129"/>
      <c r="DD219" s="238"/>
      <c r="DE219" s="129"/>
      <c r="DF219" s="238"/>
      <c r="DG219" s="129"/>
      <c r="DH219" s="238"/>
      <c r="DI219" s="129"/>
      <c r="DJ219" s="238"/>
      <c r="DK219" s="129"/>
      <c r="DL219" s="238"/>
      <c r="DM219" s="129"/>
      <c r="DN219" s="238"/>
      <c r="DO219" s="129"/>
      <c r="DP219" s="238"/>
      <c r="DQ219" s="129"/>
      <c r="DR219" s="238"/>
      <c r="DS219" s="129"/>
      <c r="DT219" s="238"/>
      <c r="DU219" s="129"/>
      <c r="DV219" s="238"/>
      <c r="DW219" s="129"/>
      <c r="DX219" s="238"/>
      <c r="DY219" s="129"/>
      <c r="DZ219" s="238"/>
      <c r="EA219" s="129"/>
      <c r="EB219" s="238"/>
      <c r="EC219" s="129"/>
      <c r="ED219" s="238"/>
      <c r="EE219" s="129"/>
      <c r="EF219" s="238"/>
      <c r="EG219" s="129"/>
      <c r="EH219" s="238"/>
      <c r="EI219" s="129"/>
      <c r="EJ219" s="238"/>
      <c r="EK219" s="129"/>
      <c r="EL219" s="238"/>
      <c r="EM219" s="129"/>
      <c r="EN219" s="238"/>
      <c r="EO219" s="129"/>
      <c r="EP219" s="238"/>
      <c r="EQ219" s="129"/>
      <c r="ER219" s="238"/>
      <c r="ES219" s="129"/>
      <c r="ET219" s="469"/>
      <c r="EU219" s="129"/>
      <c r="EV219" s="129"/>
      <c r="EW219" s="20"/>
      <c r="EX219" s="129"/>
      <c r="EY219" s="20"/>
      <c r="EZ219" s="129"/>
      <c r="FA219" s="20"/>
      <c r="FB219" s="129"/>
      <c r="FC219" s="20"/>
      <c r="FD219" s="129"/>
      <c r="FE219" s="20"/>
      <c r="FF219" s="129"/>
      <c r="FG219" s="20"/>
      <c r="FH219" s="129"/>
      <c r="FI219" s="20"/>
      <c r="FJ219" s="129"/>
      <c r="FK219" s="20"/>
      <c r="FL219" s="129"/>
      <c r="FM219" s="20"/>
      <c r="FN219" s="129"/>
      <c r="FO219" s="20"/>
      <c r="FP219" s="129"/>
      <c r="FQ219" s="20"/>
      <c r="FR219" s="129"/>
      <c r="FS219" s="20"/>
      <c r="FT219" s="129"/>
      <c r="FU219" s="20"/>
      <c r="FV219" s="129"/>
      <c r="FW219" s="20"/>
      <c r="FX219" s="129"/>
      <c r="FY219" s="20"/>
      <c r="FZ219" s="129"/>
      <c r="GA219" s="20"/>
      <c r="GB219" s="129"/>
      <c r="GC219" s="20"/>
      <c r="GD219" s="129"/>
      <c r="GE219" s="20"/>
      <c r="GF219" s="129"/>
      <c r="GG219" s="20"/>
      <c r="GH219" s="129"/>
      <c r="GI219" s="20"/>
      <c r="GJ219" s="129"/>
      <c r="GK219" s="20"/>
      <c r="GL219" s="129"/>
      <c r="GM219" s="20"/>
      <c r="GN219" s="129"/>
      <c r="GO219" s="20"/>
      <c r="GP219" s="129"/>
      <c r="GQ219" s="20"/>
      <c r="GR219" s="129"/>
      <c r="GS219" s="20"/>
      <c r="GT219" s="20"/>
      <c r="GU219" s="562"/>
      <c r="GV219" s="562"/>
      <c r="GW219"/>
      <c r="GX219"/>
      <c r="GY219"/>
      <c r="GZ219"/>
      <c r="HA219"/>
      <c r="HB219"/>
      <c r="HC219" s="562"/>
      <c r="HD219" s="562"/>
      <c r="HE219" s="562"/>
      <c r="HF219" s="562"/>
      <c r="HG219" s="562"/>
      <c r="HH219" s="562"/>
      <c r="HI219" s="562"/>
      <c r="HJ219" s="562"/>
      <c r="HK219" s="562"/>
      <c r="HL219" s="562"/>
      <c r="HM219" s="562"/>
      <c r="HN219" s="562"/>
      <c r="HO219" s="562"/>
      <c r="HP219" s="562"/>
      <c r="HQ219" s="562"/>
      <c r="HR219" s="562"/>
      <c r="HS219" s="562"/>
      <c r="HT219" s="562"/>
      <c r="HU219" s="562"/>
      <c r="HV219" s="562"/>
      <c r="HW219" s="562"/>
      <c r="HX219" s="562"/>
      <c r="HY219" s="562"/>
      <c r="HZ219" s="562"/>
      <c r="IA219" s="562"/>
      <c r="IB219" s="562"/>
      <c r="IC219" s="562"/>
      <c r="ID219" s="562"/>
      <c r="IE219" s="562"/>
      <c r="IF219" s="562"/>
      <c r="IG219" s="562"/>
      <c r="IH219" s="562"/>
      <c r="II219" s="562"/>
      <c r="IJ219" s="562"/>
      <c r="IK219" s="562"/>
      <c r="IL219" s="562"/>
      <c r="IM219" s="562"/>
      <c r="IN219" s="562"/>
      <c r="IO219" s="562"/>
      <c r="IP219" s="562"/>
      <c r="IQ219" s="562"/>
      <c r="IR219" s="562"/>
      <c r="IS219" s="562"/>
      <c r="IT219" s="562"/>
      <c r="IU219" s="562"/>
      <c r="IV219" s="562"/>
      <c r="IW219" s="562"/>
      <c r="IX219" s="562"/>
      <c r="IY219" s="562"/>
      <c r="IZ219" s="562"/>
      <c r="JA219" s="562"/>
      <c r="JB219" s="562"/>
      <c r="JC219" s="562"/>
      <c r="JD219" s="562"/>
      <c r="JE219" s="562"/>
      <c r="JF219" s="562"/>
      <c r="JG219" s="562"/>
      <c r="JH219" s="562"/>
      <c r="JI219" s="562"/>
      <c r="JJ219" s="562"/>
      <c r="JK219" s="562"/>
      <c r="JL219" s="562"/>
      <c r="JM219" s="562"/>
      <c r="JN219" s="562"/>
      <c r="JO219" s="562"/>
      <c r="JP219" s="562"/>
      <c r="JQ219" s="562"/>
      <c r="JR219" s="562"/>
      <c r="JS219" s="562"/>
      <c r="JT219" s="562"/>
      <c r="JU219" s="562"/>
      <c r="JV219" s="562"/>
      <c r="JW219" s="562"/>
      <c r="JX219" s="562"/>
      <c r="JY219" s="562"/>
      <c r="JZ219" s="562"/>
    </row>
    <row r="220" spans="1:286" s="83" customFormat="1" ht="12.75" customHeight="1" x14ac:dyDescent="0.2">
      <c r="A220" s="77"/>
      <c r="B220" s="83" t="s">
        <v>283</v>
      </c>
      <c r="C220" s="79"/>
      <c r="D220" s="79"/>
      <c r="E220" s="129"/>
      <c r="F220" s="129"/>
      <c r="G220" s="129"/>
      <c r="H220" s="129"/>
      <c r="I220" s="129"/>
      <c r="J220" s="129"/>
      <c r="K220" s="129"/>
      <c r="L220" s="79"/>
      <c r="M220" s="129"/>
      <c r="N220" s="79"/>
      <c r="O220" s="129"/>
      <c r="P220" s="79"/>
      <c r="Q220" s="129"/>
      <c r="R220" s="79"/>
      <c r="S220" s="129"/>
      <c r="T220" s="79"/>
      <c r="U220" s="129"/>
      <c r="V220" s="79"/>
      <c r="W220" s="129"/>
      <c r="X220" s="79"/>
      <c r="Y220" s="129"/>
      <c r="Z220" s="79"/>
      <c r="AA220" s="130"/>
      <c r="AB220" s="79"/>
      <c r="AC220" s="129"/>
      <c r="AD220" s="79"/>
      <c r="AE220" s="129"/>
      <c r="AF220" s="79"/>
      <c r="AG220" s="129"/>
      <c r="AH220" s="79"/>
      <c r="AI220" s="129"/>
      <c r="AJ220" s="79"/>
      <c r="AK220" s="129"/>
      <c r="AL220" s="79"/>
      <c r="AM220" s="129"/>
      <c r="AN220" s="79"/>
      <c r="AO220" s="129"/>
      <c r="AP220" s="79"/>
      <c r="AQ220" s="129"/>
      <c r="AR220" s="79"/>
      <c r="AS220" s="129"/>
      <c r="AT220" s="81"/>
      <c r="AU220" s="129"/>
      <c r="AV220" s="81"/>
      <c r="AW220" s="129"/>
      <c r="AX220" s="81"/>
      <c r="AY220" s="129"/>
      <c r="AZ220" s="81"/>
      <c r="BA220" s="129"/>
      <c r="BB220" s="81"/>
      <c r="BC220" s="129"/>
      <c r="BD220" s="81"/>
      <c r="BE220" s="129"/>
      <c r="BF220" s="81"/>
      <c r="BG220" s="129"/>
      <c r="BH220" s="81"/>
      <c r="BI220" s="129"/>
      <c r="BJ220" s="81"/>
      <c r="BK220" s="129"/>
      <c r="BL220" s="81"/>
      <c r="BM220" s="129"/>
      <c r="BN220" s="81"/>
      <c r="BO220" s="129"/>
      <c r="BP220" s="81"/>
      <c r="BQ220" s="129"/>
      <c r="BR220" s="81"/>
      <c r="BS220" s="129"/>
      <c r="BT220" s="81"/>
      <c r="BU220" s="129"/>
      <c r="BV220" s="81"/>
      <c r="BW220" s="129"/>
      <c r="BX220" s="81"/>
      <c r="BY220" s="129"/>
      <c r="BZ220" s="81"/>
      <c r="CA220" s="129"/>
      <c r="CB220" s="81"/>
      <c r="CC220" s="129"/>
      <c r="CD220" s="81"/>
      <c r="CE220" s="129"/>
      <c r="CF220" s="81"/>
      <c r="CG220" s="129"/>
      <c r="CH220" s="81"/>
      <c r="CI220" s="129"/>
      <c r="CJ220" s="81"/>
      <c r="CK220" s="129"/>
      <c r="CL220" s="81"/>
      <c r="CM220" s="129"/>
      <c r="CN220" s="81"/>
      <c r="CO220" s="129"/>
      <c r="CP220" s="81"/>
      <c r="CQ220" s="129"/>
      <c r="CR220" s="81"/>
      <c r="CS220" s="129"/>
      <c r="CT220" s="81"/>
      <c r="CU220" s="129"/>
      <c r="CV220" s="81"/>
      <c r="CW220" s="129"/>
      <c r="CX220" s="81"/>
      <c r="CY220" s="129"/>
      <c r="CZ220" s="81"/>
      <c r="DA220" s="129"/>
      <c r="DB220" s="81"/>
      <c r="DC220" s="129"/>
      <c r="DD220" s="81"/>
      <c r="DE220" s="129"/>
      <c r="DF220" s="81"/>
      <c r="DG220" s="129"/>
      <c r="DH220" s="81"/>
      <c r="DI220" s="129"/>
      <c r="DJ220" s="81"/>
      <c r="DK220" s="129"/>
      <c r="DL220" s="81"/>
      <c r="DM220" s="129"/>
      <c r="DN220" s="81"/>
      <c r="DO220" s="129"/>
      <c r="DP220" s="81"/>
      <c r="DQ220" s="912"/>
      <c r="DR220" s="81"/>
      <c r="DS220" s="912"/>
      <c r="DT220" s="81"/>
      <c r="DU220" s="912"/>
      <c r="DV220" s="81"/>
      <c r="DW220" s="912"/>
      <c r="DX220" s="81"/>
      <c r="DY220" s="912"/>
      <c r="DZ220" s="81"/>
      <c r="EA220" s="912"/>
      <c r="EB220" s="81"/>
      <c r="EC220" s="912"/>
      <c r="ED220" s="81"/>
      <c r="EE220" s="912"/>
      <c r="EF220" s="81"/>
      <c r="EG220" s="912"/>
      <c r="EH220" s="81"/>
      <c r="EI220" s="912"/>
      <c r="EJ220" s="81"/>
      <c r="EK220" s="129"/>
      <c r="EL220" s="81"/>
      <c r="EM220" s="129"/>
      <c r="EN220" s="81"/>
      <c r="EO220" s="129"/>
      <c r="EP220" s="81"/>
      <c r="EQ220" s="129"/>
      <c r="ER220" s="81"/>
      <c r="ES220" s="129"/>
      <c r="ET220" s="469"/>
      <c r="EU220" s="129"/>
      <c r="EV220" s="129"/>
      <c r="EW220" s="79"/>
      <c r="EX220" s="129"/>
      <c r="EY220" s="79"/>
      <c r="EZ220" s="129"/>
      <c r="FA220" s="79"/>
      <c r="FB220" s="129"/>
      <c r="FC220" s="79"/>
      <c r="FD220" s="129"/>
      <c r="FE220" s="79"/>
      <c r="FF220" s="129"/>
      <c r="FG220" s="79"/>
      <c r="FH220" s="129"/>
      <c r="FI220" s="79"/>
      <c r="FJ220" s="129"/>
      <c r="FK220" s="79"/>
      <c r="FL220" s="129"/>
      <c r="FM220" s="79"/>
      <c r="FN220" s="129"/>
      <c r="FO220" s="79"/>
      <c r="FP220" s="129"/>
      <c r="FQ220" s="79"/>
      <c r="FR220" s="129"/>
      <c r="FS220" s="79"/>
      <c r="FT220" s="129"/>
      <c r="FU220" s="79"/>
      <c r="FV220" s="129"/>
      <c r="FW220" s="79"/>
      <c r="FX220" s="129"/>
      <c r="FY220" s="79"/>
      <c r="FZ220" s="129"/>
      <c r="GA220" s="79"/>
      <c r="GB220" s="129"/>
      <c r="GC220" s="79"/>
      <c r="GD220" s="129"/>
      <c r="GE220" s="79"/>
      <c r="GF220" s="129"/>
      <c r="GG220" s="79"/>
      <c r="GH220" s="129"/>
      <c r="GI220" s="79"/>
      <c r="GJ220" s="129"/>
      <c r="GK220" s="79"/>
      <c r="GL220" s="129"/>
      <c r="GM220" s="79"/>
      <c r="GN220" s="129"/>
      <c r="GO220" s="79"/>
      <c r="GP220" s="129"/>
      <c r="GQ220" s="79"/>
      <c r="GR220" s="129"/>
      <c r="GS220" s="79"/>
      <c r="GT220" s="79"/>
      <c r="GU220" s="562"/>
      <c r="GV220" s="562"/>
      <c r="GW220"/>
      <c r="GX220"/>
      <c r="GY220"/>
      <c r="GZ220"/>
      <c r="HA220"/>
      <c r="HB220"/>
      <c r="HC220" s="562"/>
      <c r="HD220" s="562"/>
      <c r="HE220" s="562"/>
      <c r="HF220" s="562"/>
      <c r="HG220" s="562"/>
      <c r="HH220" s="562"/>
      <c r="HI220" s="562"/>
      <c r="HJ220" s="562"/>
      <c r="HK220" s="562"/>
      <c r="HL220" s="562"/>
      <c r="HM220" s="562"/>
      <c r="HN220" s="562"/>
      <c r="HO220" s="562"/>
      <c r="HP220" s="562"/>
      <c r="HQ220" s="562"/>
      <c r="HR220" s="562"/>
      <c r="HS220" s="562"/>
      <c r="HT220" s="562"/>
      <c r="HU220" s="562"/>
      <c r="HV220" s="562"/>
      <c r="HW220" s="562"/>
      <c r="HX220" s="562"/>
      <c r="HY220" s="562"/>
      <c r="HZ220" s="562"/>
      <c r="IA220" s="562"/>
      <c r="IB220" s="562"/>
      <c r="IC220" s="562"/>
      <c r="ID220" s="562"/>
      <c r="IE220" s="562"/>
      <c r="IF220" s="562"/>
      <c r="IG220" s="562"/>
      <c r="IH220" s="562"/>
      <c r="II220" s="562"/>
      <c r="IJ220" s="562"/>
      <c r="IK220" s="562"/>
      <c r="IL220" s="562"/>
      <c r="IM220" s="562"/>
      <c r="IN220" s="562"/>
      <c r="IO220" s="562"/>
      <c r="IP220" s="562"/>
      <c r="IQ220" s="562"/>
      <c r="IR220" s="562"/>
      <c r="IS220" s="562"/>
      <c r="IT220" s="562"/>
      <c r="IU220" s="562"/>
      <c r="IV220" s="562"/>
      <c r="IW220" s="562"/>
      <c r="IX220" s="562"/>
      <c r="IY220" s="562"/>
      <c r="IZ220" s="562"/>
      <c r="JA220" s="562"/>
      <c r="JB220" s="562"/>
      <c r="JC220" s="562"/>
      <c r="JD220" s="562"/>
      <c r="JE220" s="562"/>
      <c r="JF220" s="562"/>
      <c r="JG220" s="562"/>
      <c r="JH220" s="562"/>
      <c r="JI220" s="562"/>
      <c r="JJ220" s="562"/>
      <c r="JK220" s="562"/>
      <c r="JL220" s="562"/>
      <c r="JM220" s="562"/>
      <c r="JN220" s="562"/>
      <c r="JO220" s="562"/>
      <c r="JP220" s="562"/>
      <c r="JQ220" s="562"/>
      <c r="JR220" s="562"/>
      <c r="JS220" s="562"/>
      <c r="JT220" s="562"/>
      <c r="JU220" s="562"/>
      <c r="JV220" s="562"/>
      <c r="JW220" s="562"/>
      <c r="JX220" s="562"/>
      <c r="JY220" s="562"/>
      <c r="JZ220" s="562"/>
    </row>
    <row r="221" spans="1:286" s="83" customFormat="1" ht="12.75" customHeight="1" x14ac:dyDescent="0.2">
      <c r="A221" s="77"/>
      <c r="B221" s="10" t="s">
        <v>93</v>
      </c>
      <c r="C221" s="79"/>
      <c r="D221" s="79"/>
      <c r="E221" s="95">
        <v>152.5</v>
      </c>
      <c r="F221" s="95"/>
      <c r="G221" s="95">
        <v>153.6</v>
      </c>
      <c r="H221" s="95"/>
      <c r="I221" s="95">
        <v>155.4</v>
      </c>
      <c r="J221" s="95"/>
      <c r="K221" s="95">
        <v>150.4</v>
      </c>
      <c r="L221" s="79"/>
      <c r="M221" s="95">
        <v>156.30000000000001</v>
      </c>
      <c r="N221" s="79">
        <f>IF(ISERROR((M221/E221-1)*100),"NA",IF(((M221/E221-1)*100)&gt;100,"NM",IF(((M221/E221-1)*100)&lt;-50,"NM",(M221/E221-1)*100)))</f>
        <v>2.4918032786885425</v>
      </c>
      <c r="O221" s="95">
        <v>156.5</v>
      </c>
      <c r="P221" s="79">
        <f>IF(ISERROR((O221/G221-1)*100),"NA",IF(((O221/G221-1)*100)&gt;100,"NM",IF(((O221/G221-1)*100)&lt;-50,"NM",(O221/G221-1)*100)))</f>
        <v>1.8880208333333481</v>
      </c>
      <c r="Q221" s="95">
        <v>160.9</v>
      </c>
      <c r="R221" s="79">
        <f>IF(ISERROR((Q221/I221-1)*100),"NA",IF(((Q221/I221-1)*100)&gt;100,"NM",IF(((Q221/I221-1)*100)&lt;-50,"NM",(Q221/I221-1)*100)))</f>
        <v>3.5392535392535285</v>
      </c>
      <c r="S221" s="95">
        <v>163</v>
      </c>
      <c r="T221" s="79">
        <f>IF(ISERROR((S221/K221-1)*100),"NA",IF(((S221/K221-1)*100)&gt;100,"NM",IF(((S221/K221-1)*100)&lt;-50,"NM",(S221/K221-1)*100)))</f>
        <v>8.3776595744680762</v>
      </c>
      <c r="U221" s="95">
        <v>170.6</v>
      </c>
      <c r="V221" s="79">
        <f>IF(ISERROR((U221/M221-1)*100),"NA",IF(((U221/M221-1)*100)&gt;100,"NM",IF(((U221/M221-1)*100)&lt;-50,"NM",(U221/M221-1)*100)))</f>
        <v>9.1490722968649898</v>
      </c>
      <c r="W221" s="95">
        <v>171.7</v>
      </c>
      <c r="X221" s="79">
        <f>IF(ISERROR((W221/O221-1)*100),"NA",IF(((W221/O221-1)*100)&gt;100,"NM",IF(((W221/O221-1)*100)&lt;-50,"NM",(W221/O221-1)*100)))</f>
        <v>9.7124600638977654</v>
      </c>
      <c r="Y221" s="95">
        <v>174</v>
      </c>
      <c r="Z221" s="79">
        <f>IF(ISERROR((Y221/Q221-1)*100),"NA",IF(((Y221/Q221-1)*100)&gt;100,"NM",IF(((Y221/Q221-1)*100)&lt;-50,"NM",(Y221/Q221-1)*100)))</f>
        <v>8.141702921068994</v>
      </c>
      <c r="AA221" s="126">
        <v>177.2</v>
      </c>
      <c r="AB221" s="79">
        <f>IF(ISERROR((AA221/S221-1)*100),"NA",IF(((AA221/S221-1)*100)&gt;100,"NM",IF(((AA221/S221-1)*100)&lt;-50,"NM",(AA221/S221-1)*100)))</f>
        <v>8.7116564417177855</v>
      </c>
      <c r="AC221" s="95">
        <v>181.1</v>
      </c>
      <c r="AD221" s="79">
        <f>IF(ISERROR((AC221/U221-1)*100),"NA",IF(((AC221/U221-1)*100)&gt;100,"NM",IF(((AC221/U221-1)*100)&lt;-50,"NM",(AC221/U221-1)*100)))</f>
        <v>6.1547479484173495</v>
      </c>
      <c r="AE221" s="95">
        <v>184</v>
      </c>
      <c r="AF221" s="79">
        <f>IF(ISERROR((AE221/W221-1)*100),"NA",IF(((AE221/W221-1)*100)&gt;100,"NM",IF(((AE221/W221-1)*100)&lt;-50,"NM",(AE221/W221-1)*100)))</f>
        <v>7.1636575422248105</v>
      </c>
      <c r="AG221" s="95">
        <v>186.4</v>
      </c>
      <c r="AH221" s="79">
        <f>IF(ISERROR((AG221/Y221-1)*100),"NA",IF(((AG221/Y221-1)*100)&gt;100,"NM",IF(((AG221/Y221-1)*100)&lt;-50,"NM",(AG221/Y221-1)*100)))</f>
        <v>7.1264367816092022</v>
      </c>
      <c r="AI221" s="95">
        <v>189.5</v>
      </c>
      <c r="AJ221" s="79">
        <f>IF(ISERROR((AI221/AA221-1)*100),"NA",IF(((AI221/AA221-1)*100)&gt;100,"NM",IF(((AI221/AA221-1)*100)&lt;-50,"NM",(AI221/AA221-1)*100)))</f>
        <v>6.941309255079009</v>
      </c>
      <c r="AK221" s="95">
        <v>193.5</v>
      </c>
      <c r="AL221" s="79">
        <f>IF(ISERROR((AK221/AC221-1)*100),"NA",IF(((AK221/AC221-1)*100)&gt;100,"NM",IF(((AK221/AC221-1)*100)&lt;-50,"NM",(AK221/AC221-1)*100)))</f>
        <v>6.8470458310325721</v>
      </c>
      <c r="AM221" s="95">
        <v>195.6</v>
      </c>
      <c r="AN221" s="79">
        <f>IF(ISERROR((AM221/AE221-1)*100),"NA",IF(((AM221/AE221-1)*100)&gt;100,"NM",IF(((AM221/AE221-1)*100)&lt;-50,"NM",(AM221/AE221-1)*100)))</f>
        <v>6.3043478260869534</v>
      </c>
      <c r="AO221" s="95">
        <v>197.4</v>
      </c>
      <c r="AP221" s="79">
        <f>IF(ISERROR((AO221/AG221-1)*100),"NA",IF(((AO221/AG221-1)*100)&gt;100,"NM",IF(((AO221/AG221-1)*100)&lt;-50,"NM",(AO221/AG221-1)*100)))</f>
        <v>5.9012875536480713</v>
      </c>
      <c r="AQ221" s="95">
        <v>200.5</v>
      </c>
      <c r="AR221" s="79">
        <f>IF(ISERROR((AQ221/AI221-1)*100),"NA",IF(((AQ221/AI221-1)*100)&gt;100,"NM",IF(((AQ221/AI221-1)*100)&lt;-50,"NM",(AQ221/AI221-1)*100)))</f>
        <v>5.8047493403693862</v>
      </c>
      <c r="AS221" s="95">
        <v>202.6</v>
      </c>
      <c r="AT221" s="81">
        <f>IF(ISERROR((AS221/AK221-1)*100),"NA",IF(((AS221/AK221-1)*100)&gt;100,"NM",IF(((AS221/AK221-1)*100)&lt;-50,"NM",(AS221/AK221-1)*100)))</f>
        <v>4.702842377260974</v>
      </c>
      <c r="AU221" s="95">
        <v>209.5</v>
      </c>
      <c r="AV221" s="81">
        <f>IF(ISERROR((AU221/AM221-1)*100),"NA",IF(((AU221/AM221-1)*100)&gt;100,"NM",IF(((AU221/AM221-1)*100)&lt;-50,"NM",(AU221/AM221-1)*100)))</f>
        <v>7.1063394683026582</v>
      </c>
      <c r="AW221" s="95">
        <v>212.8</v>
      </c>
      <c r="AX221" s="81">
        <f>IF(ISERROR((AW221/AO221-1)*100),"NA",IF(((AW221/AO221-1)*100)&gt;100,"NM",IF(((AW221/AO221-1)*100)&lt;-50,"NM",(AW221/AO221-1)*100)))</f>
        <v>7.8014184397163122</v>
      </c>
      <c r="AY221" s="95">
        <v>217.2</v>
      </c>
      <c r="AZ221" s="81">
        <f>IF(ISERROR((AY221/AQ221-1)*100),"NA",IF(((AY221/AQ221-1)*100)&gt;100,"NM",IF(((AY221/AQ221-1)*100)&lt;-50,"NM",(AY221/AQ221-1)*100)))</f>
        <v>8.3291770573566062</v>
      </c>
      <c r="BA221" s="95">
        <v>223.4</v>
      </c>
      <c r="BB221" s="81">
        <f>IF(ISERROR((BA221/AS221-1)*100),"NA",IF(((BA221/AS221-1)*100)&gt;100,"NM",IF(((BA221/AS221-1)*100)&lt;-50,"NM",(BA221/AS221-1)*100)))</f>
        <v>10.26653504442252</v>
      </c>
      <c r="BC221" s="95">
        <v>224.8</v>
      </c>
      <c r="BD221" s="81">
        <f>IF(ISERROR((BC221/AU221-1)*100),"NA",IF(((BC221/AU221-1)*100)&gt;100,"NM",IF(((BC221/AU221-1)*100)&lt;-50,"NM",(BC221/AU221-1)*100)))</f>
        <v>7.3031026252983411</v>
      </c>
      <c r="BE221" s="95">
        <v>227</v>
      </c>
      <c r="BF221" s="81">
        <f>IF(ISERROR((BE221/AW221-1)*100),"NA",IF(((BE221/AW221-1)*100)&gt;100,"NM",IF(((BE221/AW221-1)*100)&lt;-50,"NM",(BE221/AW221-1)*100)))</f>
        <v>6.6729323308270638</v>
      </c>
      <c r="BG221" s="95">
        <v>232</v>
      </c>
      <c r="BH221" s="81">
        <f>IF(ISERROR((BG221/AY221-1)*100),"NA",IF(((BG221/AY221-1)*100)&gt;100,"NM",IF(((BG221/AY221-1)*100)&lt;-50,"NM",(BG221/AY221-1)*100)))</f>
        <v>6.8139963167587636</v>
      </c>
      <c r="BI221" s="95">
        <v>240.4</v>
      </c>
      <c r="BJ221" s="81">
        <f>IF(ISERROR((BI221/BA221-1)*100),"NA",IF(((BI221/BA221-1)*100)&gt;100,"NM",IF(((BI221/BA221-1)*100)&lt;-50,"NM",(BI221/BA221-1)*100)))</f>
        <v>7.6096687555953446</v>
      </c>
      <c r="BK221" s="95">
        <v>242.6</v>
      </c>
      <c r="BL221" s="81">
        <f>IF(ISERROR((BK221/BC221-1)*100),"NA",IF(((BK221/BC221-1)*100)&gt;100,"NM",IF(((BK221/BC221-1)*100)&lt;-50,"NM",(BK221/BC221-1)*100)))</f>
        <v>7.9181494661921592</v>
      </c>
      <c r="BM221" s="95">
        <v>245.2</v>
      </c>
      <c r="BN221" s="81">
        <f>IF(ISERROR((BM221/BE221-1)*100),"NA",IF(((BM221/BE221-1)*100)&gt;100,"NM",IF(((BM221/BE221-1)*100)&lt;-50,"NM",(BM221/BE221-1)*100)))</f>
        <v>8.0176211453744539</v>
      </c>
      <c r="BO221" s="95">
        <v>249.1</v>
      </c>
      <c r="BP221" s="81">
        <f>IF(ISERROR((BO221/BG221-1)*100),"NA",IF(((BO221/BG221-1)*100)&gt;100,"NM",IF(((BO221/BG221-1)*100)&lt;-50,"NM",(BO221/BG221-1)*100)))</f>
        <v>7.3706896551724022</v>
      </c>
      <c r="BQ221" s="95">
        <v>253.4</v>
      </c>
      <c r="BR221" s="81">
        <f>IF(ISERROR((BQ221/BI221-1)*100),"NA",IF(((BQ221/BI221-1)*100)&gt;100,"NM",IF(((BQ221/BI221-1)*100)&lt;-50,"NM",(BQ221/BI221-1)*100)))</f>
        <v>5.4076539101497456</v>
      </c>
      <c r="BS221" s="95">
        <v>250.8</v>
      </c>
      <c r="BT221" s="81">
        <f>IF(ISERROR((BS221/BK221-1)*100),"NA",IF(((BS221/BK221-1)*100)&gt;100,"NM",IF(((BS221/BK221-1)*100)&lt;-50,"NM",(BS221/BK221-1)*100)))</f>
        <v>3.3800494641385015</v>
      </c>
      <c r="BU221" s="95">
        <v>253.5</v>
      </c>
      <c r="BV221" s="81">
        <f>IF(ISERROR((BU221/BM221-1)*100),"NA",IF(((BU221/BM221-1)*100)&gt;100,"NM",IF(((BU221/BM221-1)*100)&lt;-50,"NM",(BU221/BM221-1)*100)))</f>
        <v>3.3849918433931592</v>
      </c>
      <c r="BW221" s="95">
        <v>257.39999999999998</v>
      </c>
      <c r="BX221" s="81">
        <f>IF(ISERROR((BW221/BO221-1)*100),"NA",IF(((BW221/BO221-1)*100)&gt;100,"NM",IF(((BW221/BO221-1)*100)&lt;-50,"NM",(BW221/BO221-1)*100)))</f>
        <v>3.3319951826575656</v>
      </c>
      <c r="BY221" s="95">
        <v>265.10000000000002</v>
      </c>
      <c r="BZ221" s="81">
        <f>IF(ISERROR((BY221/BQ221-1)*100),"NA",IF(((BY221/BQ221-1)*100)&gt;100,"NM",IF(((BY221/BQ221-1)*100)&lt;-50,"NM",(BY221/BQ221-1)*100)))</f>
        <v>4.6172059984214808</v>
      </c>
      <c r="CA221" s="95">
        <v>267.7</v>
      </c>
      <c r="CB221" s="81">
        <f>IF(ISERROR((CA221/BS221-1)*100),"NA",IF(((CA221/BS221-1)*100)&gt;100,"NM",IF(((CA221/BS221-1)*100)&lt;-50,"NM",(CA221/BS221-1)*100)))</f>
        <v>6.738437001594888</v>
      </c>
      <c r="CC221" s="95">
        <v>269.3</v>
      </c>
      <c r="CD221" s="81">
        <f>IF(ISERROR((CC221/BU221-1)*100),"NA",IF(((CC221/BU221-1)*100)&gt;100,"NM",IF(((CC221/BU221-1)*100)&lt;-50,"NM",(CC221/BU221-1)*100)))</f>
        <v>6.2327416173570072</v>
      </c>
      <c r="CE221" s="95">
        <v>273.60000000000002</v>
      </c>
      <c r="CF221" s="81">
        <f>IF(ISERROR((CE221/BW221-1)*100),"NA",IF(((CE221/BW221-1)*100)&gt;100,"NM",IF(((CE221/BW221-1)*100)&lt;-50,"NM",(CE221/BW221-1)*100)))</f>
        <v>6.2937062937063137</v>
      </c>
      <c r="CG221" s="95">
        <v>280.39999999999998</v>
      </c>
      <c r="CH221" s="81">
        <f>IF(ISERROR((CG221/BY221-1)*100),"NA",IF(((CG221/BY221-1)*100)&gt;100,"NM",IF(((CG221/BY221-1)*100)&lt;-50,"NM",(CG221/BY221-1)*100)))</f>
        <v>5.7714070162202757</v>
      </c>
      <c r="CI221" s="95">
        <v>282</v>
      </c>
      <c r="CJ221" s="81">
        <f>IF(ISERROR((CI221/CA221-1)*100),"NA",IF(((CI221/CA221-1)*100)&gt;100,"NM",IF(((CI221/CA221-1)*100)&lt;-50,"NM",(CI221/CA221-1)*100)))</f>
        <v>5.3418005229734833</v>
      </c>
      <c r="CK221" s="95">
        <v>283.7</v>
      </c>
      <c r="CL221" s="81">
        <f>IF(ISERROR((CK221/CC221-1)*100),"NA",IF(((CK221/CC221-1)*100)&gt;100,"NM",IF(((CK221/CC221-1)*100)&lt;-50,"NM",(CK221/CC221-1)*100)))</f>
        <v>5.3471964352023615</v>
      </c>
      <c r="CM221" s="95">
        <v>289.2</v>
      </c>
      <c r="CN221" s="81">
        <f>IF(ISERROR((CM221/CE221-1)*100),"NA",IF(((CM221/CE221-1)*100)&gt;100,"NM",IF(((CM221/CE221-1)*100)&lt;-50,"NM",(CM221/CE221-1)*100)))</f>
        <v>5.7017543859648967</v>
      </c>
      <c r="CO221" s="95">
        <v>296.3</v>
      </c>
      <c r="CP221" s="81">
        <f>IF(ISERROR((CO221/CG221-1)*100),"NA",IF(((CO221/CG221-1)*100)&gt;100,"NM",IF(((CO221/CG221-1)*100)&lt;-50,"NM",(CO221/CG221-1)*100)))</f>
        <v>5.6704707560627732</v>
      </c>
      <c r="CQ221" s="95">
        <v>296.89999999999998</v>
      </c>
      <c r="CR221" s="81">
        <f>IF(ISERROR((CQ221/CI221-1)*100),"NA",IF(((CQ221/CI221-1)*100)&gt;100,"NM",IF(((CQ221/CI221-1)*100)&lt;-50,"NM",(CQ221/CI221-1)*100)))</f>
        <v>5.283687943262394</v>
      </c>
      <c r="CS221" s="95">
        <v>299.39999999999998</v>
      </c>
      <c r="CT221" s="81">
        <f>IF(ISERROR((CS221/CK221-1)*100),"NA",IF(((CS221/CK221-1)*100)&gt;100,"NM",IF(((CS221/CK221-1)*100)&lt;-50,"NM",(CS221/CK221-1)*100)))</f>
        <v>5.5340148043708126</v>
      </c>
      <c r="CU221" s="95">
        <v>301.89999999999998</v>
      </c>
      <c r="CV221" s="81">
        <f>IF(ISERROR((CU221/CM221-1)*100),"NA",IF(((CU221/CM221-1)*100)&gt;100,"NM",IF(((CU221/CM221-1)*100)&lt;-50,"NM",(CU221/CM221-1)*100)))</f>
        <v>4.3914246196403939</v>
      </c>
      <c r="CW221" s="95">
        <v>307.10000000000002</v>
      </c>
      <c r="CX221" s="81">
        <f>IF(ISERROR((CW221/CO221-1)*100),"NA",IF(((CW221/CO221-1)*100)&gt;100,"NM",IF(((CW221/CO221-1)*100)&lt;-50,"NM",(CW221/CO221-1)*100)))</f>
        <v>3.6449544380695365</v>
      </c>
      <c r="CY221" s="95">
        <v>307.89999999999998</v>
      </c>
      <c r="CZ221" s="81">
        <f>IF(ISERROR((CY221/CQ221-1)*100),"NA",IF(((CY221/CQ221-1)*100)&gt;100,"NM",IF(((CY221/CQ221-1)*100)&lt;-50,"NM",(CY221/CQ221-1)*100)))</f>
        <v>3.7049511620074194</v>
      </c>
      <c r="DA221" s="95">
        <v>309.10000000000002</v>
      </c>
      <c r="DB221" s="81">
        <f>IF(ISERROR((DA221/CS221-1)*100),"NA",IF(((DA221/CS221-1)*100)&gt;100,"NM",IF(((DA221/CS221-1)*100)&lt;-50,"NM",(DA221/CS221-1)*100)))</f>
        <v>3.2398129592518421</v>
      </c>
      <c r="DC221" s="95">
        <v>308.10000000000002</v>
      </c>
      <c r="DD221" s="81">
        <f>IF(ISERROR((DC221/CU221-1)*100),"NA",IF(((DC221/CU221-1)*100)&gt;100,"NM",IF(((DC221/CU221-1)*100)&lt;-50,"NM",(DC221/CU221-1)*100)))</f>
        <v>2.0536601523683418</v>
      </c>
      <c r="DE221" s="95">
        <v>316.39999999999998</v>
      </c>
      <c r="DF221" s="81">
        <f>IF(ISERROR((DE221/CW221-1)*100),"NA",IF(((DE221/CW221-1)*100)&gt;100,"NM",IF(((DE221/CW221-1)*100)&lt;-50,"NM",(DE221/CW221-1)*100)))</f>
        <v>3.0283295343536132</v>
      </c>
      <c r="DG221" s="95">
        <v>316.8</v>
      </c>
      <c r="DH221" s="81">
        <f>IF(ISERROR((DG221/CY221-1)*100),"NA",IF(((DG221/CY221-1)*100)&gt;100,"NM",IF(((DG221/CY221-1)*100)&lt;-50,"NM",(DG221/CY221-1)*100)))</f>
        <v>2.8905488795063494</v>
      </c>
      <c r="DI221" s="95">
        <v>319.39999999999998</v>
      </c>
      <c r="DJ221" s="81">
        <f>IF(ISERROR((DI221/DA221-1)*100),"NA",IF(((DI221/DA221-1)*100)&gt;100,"NM",IF(((DI221/DA221-1)*100)&lt;-50,"NM",(DI221/DA221-1)*100)))</f>
        <v>3.3322549336784135</v>
      </c>
      <c r="DK221" s="95">
        <v>321.10000000000002</v>
      </c>
      <c r="DL221" s="81">
        <f>IF(ISERROR((DK221/DC221-1)*100),"NA",IF(((DK221/DC221-1)*100)&gt;100,"NM",IF(((DK221/DC221-1)*100)&lt;-50,"NM",(DK221/DC221-1)*100)))</f>
        <v>4.2194092827004148</v>
      </c>
      <c r="DM221" s="95">
        <v>332.2</v>
      </c>
      <c r="DN221" s="81">
        <f>IF(ISERROR((DM221/DE221-1)*100),"NA",IF(((DM221/DE221-1)*100)&gt;100,"NM",IF(((DM221/DE221-1)*100)&lt;-50,"NM",(DM221/DE221-1)*100)))</f>
        <v>4.9936788874842097</v>
      </c>
      <c r="DO221" s="95">
        <v>335.9</v>
      </c>
      <c r="DP221" s="81">
        <f>IF(ISERROR((DO221/DG221-1)*100),"NA",IF(((DO221/DG221-1)*100)&gt;100,"NM",IF(((DO221/DG221-1)*100)&lt;-50,"NM",(DO221/DG221-1)*100)))</f>
        <v>6.0290404040403978</v>
      </c>
      <c r="DQ221" s="95">
        <v>333.1</v>
      </c>
      <c r="DR221" s="81">
        <f>IF(ISERROR((DQ221/DI221-1)*100),"NA",IF(((DQ221/DI221-1)*100)&gt;100,"NM",IF(((DQ221/DI221-1)*100)&lt;-50,"NM",(DQ221/DI221-1)*100)))</f>
        <v>4.2892924232937002</v>
      </c>
      <c r="DS221" s="95">
        <v>337.4</v>
      </c>
      <c r="DT221" s="81">
        <f>IF(ISERROR((DS221/DK221-1)*100),"NA",IF(((DS221/DK221-1)*100)&gt;100,"NM",IF(((DS221/DK221-1)*100)&lt;-50,"NM",(DS221/DK221-1)*100)))</f>
        <v>5.0763002180006067</v>
      </c>
      <c r="DU221" s="95">
        <v>351.2</v>
      </c>
      <c r="DV221" s="81">
        <f>IF(ISERROR((DU221/DM221-1)*100),"NA",IF(((DU221/DM221-1)*100)&gt;100,"NM",IF(((DU221/DM221-1)*100)&lt;-50,"NM",(DU221/DM221-1)*100)))</f>
        <v>5.7194461167971111</v>
      </c>
      <c r="DW221" s="95">
        <v>351.4</v>
      </c>
      <c r="DX221" s="81">
        <f>IF(ISERROR((DW221/DO221-1)*100),"NA",IF(((DW221/DO221-1)*100)&gt;100,"NM",IF(((DW221/DO221-1)*100)&lt;-50,"NM",(DW221/DO221-1)*100)))</f>
        <v>4.6144685918428019</v>
      </c>
      <c r="DY221" s="95">
        <v>354.1</v>
      </c>
      <c r="DZ221" s="81">
        <f>IF(ISERROR((DY221/DQ221-1)*100),"NA",IF(((DY221/DQ221-1)*100)&gt;100,"NM",IF(((DY221/DQ221-1)*100)&lt;-50,"NM",(DY221/DQ221-1)*100)))</f>
        <v>6.3044130891624084</v>
      </c>
      <c r="EA221" s="95">
        <v>360.4</v>
      </c>
      <c r="EB221" s="81">
        <f>IF(ISERROR((EA221/DS221-1)*100),"NA",IF(((EA221/DS221-1)*100)&gt;100,"NM",IF(((EA221/DS221-1)*100)&lt;-50,"NM",(EA221/DS221-1)*100)))</f>
        <v>6.8168346176644912</v>
      </c>
      <c r="EC221" s="95">
        <v>374.3</v>
      </c>
      <c r="ED221" s="81">
        <f t="shared" ref="ED221:ED224" si="707">IF(ISERROR((EC221/DU221-1)*100),"NA",IF(((EC221/DU221-1)*100)&gt;100,"NM",IF(((EC221/DU221-1)*100)&lt;-50,"NM",(EC221/DU221-1)*100)))</f>
        <v>6.5774487471526255</v>
      </c>
      <c r="EE221" s="95">
        <v>376.3</v>
      </c>
      <c r="EF221" s="81">
        <f t="shared" ref="EF221:EF224" si="708">IF(ISERROR((EE221/DW221-1)*100),"NA",IF(((EE221/DW221-1)*100)&gt;100,"NM",IF(((EE221/DW221-1)*100)&lt;-50,"NM",(EE221/DW221-1)*100)))</f>
        <v>7.0859419464997186</v>
      </c>
      <c r="EG221" s="95">
        <v>378.7</v>
      </c>
      <c r="EH221" s="81">
        <f t="shared" ref="EH221:EH224" si="709">IF(ISERROR((EG221/DY221-1)*100),"NA",IF(((EG221/DY221-1)*100)&gt;100,"NM",IF(((EG221/DY221-1)*100)&lt;-50,"NM",(EG221/DY221-1)*100)))</f>
        <v>6.9471900593052638</v>
      </c>
      <c r="EI221" s="95">
        <v>382.1</v>
      </c>
      <c r="EJ221" s="81">
        <f t="shared" ref="EJ221:EJ224" si="710">IF(ISERROR((EI221/EA221-1)*100),"NA",IF(((EI221/EA221-1)*100)&gt;100,"NM",IF(((EI221/EA221-1)*100)&lt;-50,"NM",(EI221/EA221-1)*100)))</f>
        <v>6.0210876803551638</v>
      </c>
      <c r="EK221" s="95">
        <f>EI221*1.02</f>
        <v>389.74200000000002</v>
      </c>
      <c r="EL221" s="81">
        <f t="shared" ref="EL221:EL224" si="711">IF(ISERROR((EK221/EC221-1)*100),"NA",IF(((EK221/EC221-1)*100)&gt;100,"NM",IF(((EK221/EC221-1)*100)&lt;-50,"NM",(EK221/EC221-1)*100)))</f>
        <v>4.125567726422652</v>
      </c>
      <c r="EM221" s="95">
        <f>EK221*1.02</f>
        <v>397.53684000000004</v>
      </c>
      <c r="EN221" s="81">
        <f t="shared" ref="EN221:EN224" si="712">IF(ISERROR((EM221/EE221-1)*100),"NA",IF(((EM221/EE221-1)*100)&gt;100,"NM",IF(((EM221/EE221-1)*100)&lt;-50,"NM",(EM221/EE221-1)*100)))</f>
        <v>5.6435928780228517</v>
      </c>
      <c r="EO221" s="95">
        <f>EM221*1.02</f>
        <v>405.48757680000006</v>
      </c>
      <c r="EP221" s="81">
        <f t="shared" ref="EP221:EP224" si="713">IF(ISERROR((EO221/EG221-1)*100),"NA",IF(((EO221/EG221-1)*100)&gt;100,"NM",IF(((EO221/EG221-1)*100)&lt;-50,"NM",(EO221/EG221-1)*100)))</f>
        <v>7.0735613414312226</v>
      </c>
      <c r="EQ221" s="95">
        <f>EO221*1.02</f>
        <v>413.59732833600009</v>
      </c>
      <c r="ER221" s="81">
        <f t="shared" ref="ER221:ER224" si="714">IF(ISERROR((EQ221/EI221-1)*100),"NA",IF(((EQ221/EI221-1)*100)&gt;100,"NM",IF(((EQ221/EI221-1)*100)&lt;-50,"NM",(EQ221/EI221-1)*100)))</f>
        <v>8.2432160000000199</v>
      </c>
      <c r="ES221" s="129"/>
      <c r="ET221" s="469"/>
      <c r="EU221" s="129"/>
      <c r="EV221" s="75"/>
      <c r="EW221" s="79"/>
      <c r="EX221" s="75"/>
      <c r="EY221" s="79"/>
      <c r="EZ221" s="75"/>
      <c r="FA221" s="79"/>
      <c r="FB221" s="35">
        <f>+E221+G221+I221+K221</f>
        <v>611.9</v>
      </c>
      <c r="FC221" s="79" t="str">
        <f>IF(ISERROR((FB221/EZ221-1)*100),"NA",IF(((FB221/EZ221-1)*100)&gt;100,"NM",IF(((FB221/EZ221-1)*100)&lt;-50,"NM",(FB221/EZ221-1)*100)))</f>
        <v>NA</v>
      </c>
      <c r="FD221" s="75">
        <f>+S221+Q221+O221+M221</f>
        <v>636.70000000000005</v>
      </c>
      <c r="FE221" s="79">
        <f>IF(ISERROR((FD221/FB221-1)*100),"NA",IF(((FD221/FB221-1)*100)&gt;100,"NM",IF(((FD221/FB221-1)*100)&lt;-50,"NM",(FD221/FB221-1)*100)))</f>
        <v>4.0529498284033405</v>
      </c>
      <c r="FF221" s="251">
        <f>+AA221+Y221+W221+U221</f>
        <v>693.5</v>
      </c>
      <c r="FG221" s="79">
        <f>IF(ISERROR((FF221/FD221-1)*100),"NA",IF(((FF221/FD221-1)*100)&gt;100,"NM",IF(((FF221/FD221-1)*100)&lt;-50,"NM",(FF221/FD221-1)*100)))</f>
        <v>8.920998900581111</v>
      </c>
      <c r="FH221" s="251">
        <f>+AI221+AG221+AE221+AC221</f>
        <v>741</v>
      </c>
      <c r="FI221" s="79">
        <f>IF(ISERROR((FH221/FF221-1)*100),"NA",IF(((FH221/FF221-1)*100)&gt;100,"NM",IF(((FH221/FF221-1)*100)&lt;-50,"NM",(FH221/FF221-1)*100)))</f>
        <v>6.8493150684931559</v>
      </c>
      <c r="FJ221" s="35">
        <f>+AQ221+AO221+AM221+AK221</f>
        <v>787</v>
      </c>
      <c r="FK221" s="79">
        <f>IF(ISERROR((FJ221/FH221-1)*100),"NA",IF(((FJ221/FH221-1)*100)&gt;100,"NM",IF(((FJ221/FH221-1)*100)&lt;-50,"NM",(FJ221/FH221-1)*100)))</f>
        <v>6.2078272604588314</v>
      </c>
      <c r="FL221" s="78">
        <f>AS221+AU221+AW221+AY221</f>
        <v>842.10000000000014</v>
      </c>
      <c r="FM221" s="79">
        <f>IF(ISERROR((FL221/FJ221-1)*100),"NA",IF(((FL221/FJ221-1)*100)&gt;100,"NM",IF(((FL221/FJ221-1)*100)&lt;-50,"NM",(FL221/FJ221-1)*100)))</f>
        <v>7.0012706480305109</v>
      </c>
      <c r="FN221" s="78">
        <f>BA221+BC221+BE221+BG221</f>
        <v>907.2</v>
      </c>
      <c r="FO221" s="79">
        <f>IF(ISERROR((FN221/FL221-1)*100),"NA",IF(((FN221/FL221-1)*100)&gt;100,"NM",IF(((FN221/FL221-1)*100)&lt;-50,"NM",(FN221/FL221-1)*100)))</f>
        <v>7.7306733167082253</v>
      </c>
      <c r="FP221" s="78">
        <f>BI221+BK221+BM221+BO221</f>
        <v>977.30000000000007</v>
      </c>
      <c r="FQ221" s="79">
        <f>IF(ISERROR((FP221/FN221-1)*100),"NA",IF(((FP221/FN221-1)*100)&gt;100,"NM",IF(((FP221/FN221-1)*100)&lt;-50,"NM",(FP221/FN221-1)*100)))</f>
        <v>7.727072310405636</v>
      </c>
      <c r="FR221" s="93">
        <f>BQ221+BS221+BU221+BW221</f>
        <v>1015.1</v>
      </c>
      <c r="FS221" s="79">
        <f>IF(ISERROR((FR221/FP221-1)*100),"NA",IF(((FR221/FP221-1)*100)&gt;100,"NM",IF(((FR221/FP221-1)*100)&lt;-50,"NM",(FR221/FP221-1)*100)))</f>
        <v>3.8677990381663641</v>
      </c>
      <c r="FT221" s="93">
        <f>BY221+CA221+CC221+CE221</f>
        <v>1075.6999999999998</v>
      </c>
      <c r="FU221" s="79">
        <f>IF(ISERROR((FT221/FR221-1)*100),"NA",IF(((FT221/FR221-1)*100)&gt;100,"NM",IF(((FT221/FR221-1)*100)&lt;-50,"NM",(FT221/FR221-1)*100)))</f>
        <v>5.9698551866810945</v>
      </c>
      <c r="FV221" s="93">
        <f>CG221+CI221+CK221+CM221</f>
        <v>1135.3</v>
      </c>
      <c r="FW221" s="79">
        <f>IF(ISERROR((FV221/FT221-1)*100),"NA",IF(((FV221/FT221-1)*100)&gt;100,"NM",IF(((FV221/FT221-1)*100)&lt;-50,"NM",(FV221/FT221-1)*100)))</f>
        <v>5.5405782281305438</v>
      </c>
      <c r="FX221" s="93">
        <f>CO221+CQ221+CS221+CU221</f>
        <v>1194.5</v>
      </c>
      <c r="FY221" s="79">
        <f>IF(ISERROR((FX221/FV221-1)*100),"NA",IF(((FX221/FV221-1)*100)&gt;100,"NM",IF(((FX221/FV221-1)*100)&lt;-50,"NM",(FX221/FV221-1)*100)))</f>
        <v>5.2144807539857396</v>
      </c>
      <c r="FZ221" s="93">
        <f>CW221+CY221+DA221+DC221</f>
        <v>1232.2</v>
      </c>
      <c r="GA221" s="79">
        <f>IF(ISERROR((FZ221/FX221-1)*100),"NA",IF(((FZ221/FX221-1)*100)&gt;100,"NM",IF(((FZ221/FX221-1)*100)&lt;-50,"NM",(FZ221/FX221-1)*100)))</f>
        <v>3.1561322729175334</v>
      </c>
      <c r="GB221" s="93">
        <f>DE221+DG221+DI221+DK221</f>
        <v>1273.7</v>
      </c>
      <c r="GC221" s="79">
        <f>IF(ISERROR((GB221/FZ221-1)*100),"NA",IF(((GB221/FZ221-1)*100)&gt;100,"NM",IF(((GB221/FZ221-1)*100)&lt;-50,"NM",(GB221/FZ221-1)*100)))</f>
        <v>3.3679597467943578</v>
      </c>
      <c r="GD221" s="93">
        <f>DM221+DO221+DQ221+DS221</f>
        <v>1338.6</v>
      </c>
      <c r="GE221" s="79">
        <f>IF(ISERROR((GD221/GB221-1)*100),"NA",IF(((GD221/GB221-1)*100)&gt;100,"NM",IF(((GD221/GB221-1)*100)&lt;-50,"NM",(GD221/GB221-1)*100)))</f>
        <v>5.0953913794457018</v>
      </c>
      <c r="GF221" s="93">
        <f>DU221+DW221+DY221+EA221</f>
        <v>1417.1</v>
      </c>
      <c r="GG221" s="79">
        <f>IF(ISERROR((GF221/GD221-1)*100),"NA",IF(((GF221/GD221-1)*100)&gt;100,"NM",IF(((GF221/GD221-1)*100)&lt;-50,"NM",(GF221/GD221-1)*100)))</f>
        <v>5.8643358733004636</v>
      </c>
      <c r="GH221" s="93">
        <f>EC221+EE221+EG221+EI221</f>
        <v>1511.4</v>
      </c>
      <c r="GI221" s="79">
        <f>IF(ISERROR((GH221/GF221-1)*100),"NA",IF(((GH221/GF221-1)*100)&gt;100,"NM",IF(((GH221/GF221-1)*100)&lt;-50,"NM",(GH221/GF221-1)*100)))</f>
        <v>6.6544351139651514</v>
      </c>
      <c r="GJ221" s="93">
        <f>EK221+EM221+EO221+EQ221</f>
        <v>1606.3637451360003</v>
      </c>
      <c r="GK221" s="79">
        <f>IF(ISERROR((GJ221/GH221-1)*100),"NA",IF(((GJ221/GH221-1)*100)&gt;100,"NM",IF(((GJ221/GH221-1)*100)&lt;-50,"NM",(GJ221/GH221-1)*100)))</f>
        <v>6.2831642937673848</v>
      </c>
      <c r="GL221" s="95">
        <f>GJ221*1.02</f>
        <v>1638.4910200387203</v>
      </c>
      <c r="GM221" s="79">
        <f>IF(ISERROR((GL221/GJ221-1)*100),"NA",IF(((GL221/GJ221-1)*100)&gt;100,"NM",IF(((GL221/GJ221-1)*100)&lt;-50,"NM",(GL221/GJ221-1)*100)))</f>
        <v>2.0000000000000018</v>
      </c>
      <c r="GN221" s="95">
        <f>GL221*1.02</f>
        <v>1671.2608404394948</v>
      </c>
      <c r="GO221" s="79">
        <f>IF(ISERROR((GN221/GL221-1)*100),"NA",IF(((GN221/GL221-1)*100)&gt;100,"NM",IF(((GN221/GL221-1)*100)&lt;-50,"NM",(GN221/GL221-1)*100)))</f>
        <v>2.0000000000000018</v>
      </c>
      <c r="GP221" s="95">
        <f>GN221*1.02</f>
        <v>1704.6860572482847</v>
      </c>
      <c r="GQ221" s="79">
        <f>IF(ISERROR((GP221/GN221-1)*100),"NA",IF(((GP221/GN221-1)*100)&gt;100,"NM",IF(((GP221/GN221-1)*100)&lt;-50,"NM",(GP221/GN221-1)*100)))</f>
        <v>2.0000000000000018</v>
      </c>
      <c r="GR221" s="95">
        <f>GP221*1.02</f>
        <v>1738.7797783932504</v>
      </c>
      <c r="GS221" s="79">
        <f>IF(ISERROR((GR221/GP221-1)*100),"NA",IF(((GR221/GP221-1)*100)&gt;100,"NM",IF(((GR221/GP221-1)*100)&lt;-50,"NM",(GR221/GP221-1)*100)))</f>
        <v>2.0000000000000018</v>
      </c>
      <c r="GT221" s="79">
        <f>IF(ISERROR(((GR221/GH221)^0.2-1)*100),"NA",(IF(OR(((GR221/GH221)^0.2-1)*100&gt;99,((GR221/GH221)^0.2-1)*100&lt;-50),"NM",(((GR221/GH221)^0.2-1)*100))))</f>
        <v>2.8425964297081441</v>
      </c>
      <c r="GU221" s="562"/>
      <c r="GV221" s="562"/>
      <c r="GW221"/>
      <c r="GX221"/>
      <c r="GY221"/>
      <c r="GZ221"/>
      <c r="HA221"/>
      <c r="HB221"/>
      <c r="HC221" s="562"/>
      <c r="HD221" s="562"/>
      <c r="HE221" s="562"/>
      <c r="HF221" s="562"/>
      <c r="HG221" s="562"/>
      <c r="HH221" s="562"/>
      <c r="HI221" s="562"/>
      <c r="HJ221" s="562"/>
      <c r="HK221" s="562"/>
      <c r="HL221" s="562"/>
      <c r="HM221" s="562"/>
      <c r="HN221" s="562"/>
      <c r="HO221" s="562"/>
      <c r="HP221" s="562"/>
      <c r="HQ221" s="562"/>
      <c r="HR221" s="562"/>
      <c r="HS221" s="562"/>
      <c r="HT221" s="562"/>
      <c r="HU221" s="562"/>
      <c r="HV221" s="562"/>
      <c r="HW221" s="562"/>
      <c r="HX221" s="562"/>
      <c r="HY221" s="562"/>
      <c r="HZ221" s="562"/>
      <c r="IA221" s="562"/>
      <c r="IB221" s="562"/>
      <c r="IC221" s="562"/>
      <c r="ID221" s="562"/>
      <c r="IE221" s="562"/>
      <c r="IF221" s="562"/>
      <c r="IG221" s="562"/>
      <c r="IH221" s="562"/>
      <c r="II221" s="562"/>
      <c r="IJ221" s="562"/>
      <c r="IK221" s="562"/>
      <c r="IL221" s="562"/>
      <c r="IM221" s="562"/>
      <c r="IN221" s="562"/>
      <c r="IO221" s="562"/>
      <c r="IP221" s="562"/>
      <c r="IQ221" s="562"/>
      <c r="IR221" s="562"/>
      <c r="IS221" s="562"/>
      <c r="IT221" s="562"/>
      <c r="IU221" s="562"/>
      <c r="IV221" s="562"/>
      <c r="IW221" s="562"/>
      <c r="IX221" s="562"/>
      <c r="IY221" s="562"/>
      <c r="IZ221" s="562"/>
      <c r="JA221" s="562"/>
      <c r="JB221" s="562"/>
      <c r="JC221" s="562"/>
      <c r="JD221" s="562"/>
      <c r="JE221" s="562"/>
      <c r="JF221" s="562"/>
      <c r="JG221" s="562"/>
      <c r="JH221" s="562"/>
      <c r="JI221" s="562"/>
      <c r="JJ221" s="562"/>
      <c r="JK221" s="562"/>
      <c r="JL221" s="562"/>
      <c r="JM221" s="562"/>
      <c r="JN221" s="562"/>
      <c r="JO221" s="562"/>
      <c r="JP221" s="562"/>
      <c r="JQ221" s="562"/>
      <c r="JR221" s="562"/>
      <c r="JS221" s="562"/>
      <c r="JT221" s="562"/>
      <c r="JU221" s="562"/>
      <c r="JV221" s="562"/>
      <c r="JW221" s="562"/>
      <c r="JX221" s="562"/>
      <c r="JY221" s="562"/>
      <c r="JZ221" s="562"/>
    </row>
    <row r="222" spans="1:286" s="239" customFormat="1" ht="12.75" customHeight="1" x14ac:dyDescent="0.2">
      <c r="A222" s="1" t="s">
        <v>69</v>
      </c>
      <c r="B222" s="10" t="s">
        <v>406</v>
      </c>
      <c r="C222" s="79"/>
      <c r="D222" s="79"/>
      <c r="E222" s="95">
        <v>19.7</v>
      </c>
      <c r="F222" s="95"/>
      <c r="G222" s="95">
        <v>20.5</v>
      </c>
      <c r="H222" s="95"/>
      <c r="I222" s="95">
        <v>21.7</v>
      </c>
      <c r="J222" s="95"/>
      <c r="K222" s="95">
        <v>20.9</v>
      </c>
      <c r="L222" s="79"/>
      <c r="M222" s="95">
        <v>19.2</v>
      </c>
      <c r="N222" s="79">
        <f>IF(ISERROR((M222/E222-1)*100),"NA",IF(((M222/E222-1)*100)&gt;100,"NM",IF(((M222/E222-1)*100)&lt;-50,"NM",(M222/E222-1)*100)))</f>
        <v>-2.5380710659898442</v>
      </c>
      <c r="O222" s="95">
        <v>19.3</v>
      </c>
      <c r="P222" s="79">
        <f>IF(ISERROR((O222/G222-1)*100),"NA",IF(((O222/G222-1)*100)&gt;100,"NM",IF(((O222/G222-1)*100)&lt;-50,"NM",(O222/G222-1)*100)))</f>
        <v>-5.8536585365853604</v>
      </c>
      <c r="Q222" s="95">
        <v>20.7</v>
      </c>
      <c r="R222" s="79">
        <f>IF(ISERROR((Q222/I222-1)*100),"NA",IF(((Q222/I222-1)*100)&gt;100,"NM",IF(((Q222/I222-1)*100)&lt;-50,"NM",(Q222/I222-1)*100)))</f>
        <v>-4.6082949308755783</v>
      </c>
      <c r="S222" s="95">
        <v>20.399999999999999</v>
      </c>
      <c r="T222" s="79">
        <f>IF(ISERROR((S222/K222-1)*100),"NA",IF(((S222/K222-1)*100)&gt;100,"NM",IF(((S222/K222-1)*100)&lt;-50,"NM",(S222/K222-1)*100)))</f>
        <v>-2.3923444976076569</v>
      </c>
      <c r="U222" s="95">
        <v>20.8</v>
      </c>
      <c r="V222" s="79">
        <f>IF(ISERROR((U222/M222-1)*100),"NA",IF(((U222/M222-1)*100)&gt;100,"NM",IF(((U222/M222-1)*100)&lt;-50,"NM",(U222/M222-1)*100)))</f>
        <v>8.3333333333333481</v>
      </c>
      <c r="W222" s="95">
        <v>21.1</v>
      </c>
      <c r="X222" s="79">
        <f>IF(ISERROR((W222/O222-1)*100),"NA",IF(((W222/O222-1)*100)&gt;100,"NM",IF(((W222/O222-1)*100)&lt;-50,"NM",(W222/O222-1)*100)))</f>
        <v>9.3264248704663331</v>
      </c>
      <c r="Y222" s="95">
        <v>22.9</v>
      </c>
      <c r="Z222" s="79">
        <f>IF(ISERROR((Y222/Q222-1)*100),"NA",IF(((Y222/Q222-1)*100)&gt;100,"NM",IF(((Y222/Q222-1)*100)&lt;-50,"NM",(Y222/Q222-1)*100)))</f>
        <v>10.6280193236715</v>
      </c>
      <c r="AA222" s="126">
        <v>25.2</v>
      </c>
      <c r="AB222" s="79">
        <f>IF(ISERROR((AA222/S222-1)*100),"NA",IF(((AA222/S222-1)*100)&gt;100,"NM",IF(((AA222/S222-1)*100)&lt;-50,"NM",(AA222/S222-1)*100)))</f>
        <v>23.529411764705888</v>
      </c>
      <c r="AC222" s="95">
        <v>22.8</v>
      </c>
      <c r="AD222" s="79">
        <f>IF(ISERROR((AC222/U222-1)*100),"NA",IF(((AC222/U222-1)*100)&gt;100,"NM",IF(((AC222/U222-1)*100)&lt;-50,"NM",(AC222/U222-1)*100)))</f>
        <v>9.6153846153846256</v>
      </c>
      <c r="AE222" s="95">
        <v>23.7</v>
      </c>
      <c r="AF222" s="79">
        <f>IF(ISERROR((AE222/W222-1)*100),"NA",IF(((AE222/W222-1)*100)&gt;100,"NM",IF(((AE222/W222-1)*100)&lt;-50,"NM",(AE222/W222-1)*100)))</f>
        <v>12.322274881516581</v>
      </c>
      <c r="AG222" s="95">
        <v>23.5</v>
      </c>
      <c r="AH222" s="79">
        <f>IF(ISERROR((AG222/Y222-1)*100),"NA",IF(((AG222/Y222-1)*100)&gt;100,"NM",IF(((AG222/Y222-1)*100)&lt;-50,"NM",(AG222/Y222-1)*100)))</f>
        <v>2.6200873362445476</v>
      </c>
      <c r="AI222" s="95">
        <v>24.5</v>
      </c>
      <c r="AJ222" s="79">
        <f>IF(ISERROR((AI222/AA222-1)*100),"NA",IF(((AI222/AA222-1)*100)&gt;100,"NM",IF(((AI222/AA222-1)*100)&lt;-50,"NM",(AI222/AA222-1)*100)))</f>
        <v>-2.777777777777779</v>
      </c>
      <c r="AK222" s="95">
        <v>25</v>
      </c>
      <c r="AL222" s="79">
        <f>IF(ISERROR((AK222/AC222-1)*100),"NA",IF(((AK222/AC222-1)*100)&gt;100,"NM",IF(((AK222/AC222-1)*100)&lt;-50,"NM",(AK222/AC222-1)*100)))</f>
        <v>9.6491228070175303</v>
      </c>
      <c r="AM222" s="95">
        <v>23.3</v>
      </c>
      <c r="AN222" s="79">
        <f>IF(ISERROR((AM222/AE222-1)*100),"NA",IF(((AM222/AE222-1)*100)&gt;100,"NM",IF(((AM222/AE222-1)*100)&lt;-50,"NM",(AM222/AE222-1)*100)))</f>
        <v>-1.6877637130801593</v>
      </c>
      <c r="AO222" s="95">
        <v>23.4</v>
      </c>
      <c r="AP222" s="79">
        <f>IF(ISERROR((AO222/AG222-1)*100),"NA",IF(((AO222/AG222-1)*100)&gt;100,"NM",IF(((AO222/AG222-1)*100)&lt;-50,"NM",(AO222/AG222-1)*100)))</f>
        <v>-0.42553191489361764</v>
      </c>
      <c r="AQ222" s="95">
        <v>24.3</v>
      </c>
      <c r="AR222" s="79">
        <f>IF(ISERROR((AQ222/AI222-1)*100),"NA",IF(((AQ222/AI222-1)*100)&gt;100,"NM",IF(((AQ222/AI222-1)*100)&lt;-50,"NM",(AQ222/AI222-1)*100)))</f>
        <v>-0.81632653061224358</v>
      </c>
      <c r="AS222" s="95">
        <v>22.6</v>
      </c>
      <c r="AT222" s="81">
        <f>IF(ISERROR((AS222/AK222-1)*100),"NA",IF(((AS222/AK222-1)*100)&gt;100,"NM",IF(((AS222/AK222-1)*100)&lt;-50,"NM",(AS222/AK222-1)*100)))</f>
        <v>-9.5999999999999979</v>
      </c>
      <c r="AU222" s="95">
        <v>23.4</v>
      </c>
      <c r="AV222" s="81">
        <f>IF(ISERROR((AU222/AM222-1)*100),"NA",IF(((AU222/AM222-1)*100)&gt;100,"NM",IF(((AU222/AM222-1)*100)&lt;-50,"NM",(AU222/AM222-1)*100)))</f>
        <v>0.42918454935620964</v>
      </c>
      <c r="AW222" s="95">
        <v>23.6</v>
      </c>
      <c r="AX222" s="81">
        <f>IF(ISERROR((AW222/AO222-1)*100),"NA",IF(((AW222/AO222-1)*100)&gt;100,"NM",IF(((AW222/AO222-1)*100)&lt;-50,"NM",(AW222/AO222-1)*100)))</f>
        <v>0.85470085470087387</v>
      </c>
      <c r="AY222" s="95">
        <v>24</v>
      </c>
      <c r="AZ222" s="81">
        <f>IF(ISERROR((AY222/AQ222-1)*100),"NA",IF(((AY222/AQ222-1)*100)&gt;100,"NM",IF(((AY222/AQ222-1)*100)&lt;-50,"NM",(AY222/AQ222-1)*100)))</f>
        <v>-1.2345679012345734</v>
      </c>
      <c r="BA222" s="95">
        <v>24.4</v>
      </c>
      <c r="BB222" s="81">
        <f>IF(ISERROR((BA222/AS222-1)*100),"NA",IF(((BA222/AS222-1)*100)&gt;100,"NM",IF(((BA222/AS222-1)*100)&lt;-50,"NM",(BA222/AS222-1)*100)))</f>
        <v>7.9646017699114946</v>
      </c>
      <c r="BC222" s="95">
        <v>24.9</v>
      </c>
      <c r="BD222" s="81">
        <f>IF(ISERROR((BC222/AU222-1)*100),"NA",IF(((BC222/AU222-1)*100)&gt;100,"NM",IF(((BC222/AU222-1)*100)&lt;-50,"NM",(BC222/AU222-1)*100)))</f>
        <v>6.4102564102564097</v>
      </c>
      <c r="BE222" s="95">
        <v>24.9</v>
      </c>
      <c r="BF222" s="81">
        <f>IF(ISERROR((BE222/AW222-1)*100),"NA",IF(((BE222/AW222-1)*100)&gt;100,"NM",IF(((BE222/AW222-1)*100)&lt;-50,"NM",(BE222/AW222-1)*100)))</f>
        <v>5.5084745762711718</v>
      </c>
      <c r="BG222" s="95">
        <v>25.6</v>
      </c>
      <c r="BH222" s="81">
        <f>IF(ISERROR((BG222/AY222-1)*100),"NA",IF(((BG222/AY222-1)*100)&gt;100,"NM",IF(((BG222/AY222-1)*100)&lt;-50,"NM",(BG222/AY222-1)*100)))</f>
        <v>6.6666666666666652</v>
      </c>
      <c r="BI222" s="95">
        <v>25.9</v>
      </c>
      <c r="BJ222" s="81">
        <f>IF(ISERROR((BI222/BA222-1)*100),"NA",IF(((BI222/BA222-1)*100)&gt;100,"NM",IF(((BI222/BA222-1)*100)&lt;-50,"NM",(BI222/BA222-1)*100)))</f>
        <v>6.1475409836065475</v>
      </c>
      <c r="BK222" s="95">
        <v>26.4</v>
      </c>
      <c r="BL222" s="81">
        <f>IF(ISERROR((BK222/BC222-1)*100),"NA",IF(((BK222/BC222-1)*100)&gt;100,"NM",IF(((BK222/BC222-1)*100)&lt;-50,"NM",(BK222/BC222-1)*100)))</f>
        <v>6.024096385542177</v>
      </c>
      <c r="BM222" s="95">
        <v>26.5</v>
      </c>
      <c r="BN222" s="81">
        <f>IF(ISERROR((BM222/BE222-1)*100),"NA",IF(((BM222/BE222-1)*100)&gt;100,"NM",IF(((BM222/BE222-1)*100)&lt;-50,"NM",(BM222/BE222-1)*100)))</f>
        <v>6.4257028112449932</v>
      </c>
      <c r="BO222" s="95">
        <v>26.9</v>
      </c>
      <c r="BP222" s="81">
        <f>IF(ISERROR((BO222/BG222-1)*100),"NA",IF(((BO222/BG222-1)*100)&gt;100,"NM",IF(((BO222/BG222-1)*100)&lt;-50,"NM",(BO222/BG222-1)*100)))</f>
        <v>5.0781249999999778</v>
      </c>
      <c r="BQ222" s="95">
        <v>27.6</v>
      </c>
      <c r="BR222" s="81">
        <f>IF(ISERROR((BQ222/BI222-1)*100),"NA",IF(((BQ222/BI222-1)*100)&gt;100,"NM",IF(((BQ222/BI222-1)*100)&lt;-50,"NM",(BQ222/BI222-1)*100)))</f>
        <v>6.5637065637065728</v>
      </c>
      <c r="BS222" s="95">
        <v>28.4</v>
      </c>
      <c r="BT222" s="81">
        <f>IF(ISERROR((BS222/BK222-1)*100),"NA",IF(((BS222/BK222-1)*100)&gt;100,"NM",IF(((BS222/BK222-1)*100)&lt;-50,"NM",(BS222/BK222-1)*100)))</f>
        <v>7.575757575757569</v>
      </c>
      <c r="BU222" s="95">
        <v>29.4</v>
      </c>
      <c r="BV222" s="81">
        <f>IF(ISERROR((BU222/BM222-1)*100),"NA",IF(((BU222/BM222-1)*100)&gt;100,"NM",IF(((BU222/BM222-1)*100)&lt;-50,"NM",(BU222/BM222-1)*100)))</f>
        <v>10.943396226415093</v>
      </c>
      <c r="BW222" s="95">
        <v>28.9</v>
      </c>
      <c r="BX222" s="81">
        <f>IF(ISERROR((BW222/BO222-1)*100),"NA",IF(((BW222/BO222-1)*100)&gt;100,"NM",IF(((BW222/BO222-1)*100)&lt;-50,"NM",(BW222/BO222-1)*100)))</f>
        <v>7.4349442379182173</v>
      </c>
      <c r="BY222" s="95">
        <v>29.9</v>
      </c>
      <c r="BZ222" s="81">
        <f>IF(ISERROR((BY222/BQ222-1)*100),"NA",IF(((BY222/BQ222-1)*100)&gt;100,"NM",IF(((BY222/BQ222-1)*100)&lt;-50,"NM",(BY222/BQ222-1)*100)))</f>
        <v>8.333333333333325</v>
      </c>
      <c r="CA222" s="95">
        <v>29.3</v>
      </c>
      <c r="CB222" s="81">
        <f>IF(ISERROR((CA222/BS222-1)*100),"NA",IF(((CA222/BS222-1)*100)&gt;100,"NM",IF(((CA222/BS222-1)*100)&lt;-50,"NM",(CA222/BS222-1)*100)))</f>
        <v>3.1690140845070491</v>
      </c>
      <c r="CC222" s="95">
        <v>31.9</v>
      </c>
      <c r="CD222" s="81">
        <f>IF(ISERROR((CC222/BU222-1)*100),"NA",IF(((CC222/BU222-1)*100)&gt;100,"NM",IF(((CC222/BU222-1)*100)&lt;-50,"NM",(CC222/BU222-1)*100)))</f>
        <v>8.5034013605442169</v>
      </c>
      <c r="CE222" s="95">
        <v>31.4</v>
      </c>
      <c r="CF222" s="81">
        <f>IF(ISERROR((CE222/BW222-1)*100),"NA",IF(((CE222/BW222-1)*100)&gt;100,"NM",IF(((CE222/BW222-1)*100)&lt;-50,"NM",(CE222/BW222-1)*100)))</f>
        <v>8.6505190311418687</v>
      </c>
      <c r="CG222" s="95">
        <v>31.3</v>
      </c>
      <c r="CH222" s="81">
        <f>IF(ISERROR((CG222/BY222-1)*100),"NA",IF(((CG222/BY222-1)*100)&gt;100,"NM",IF(((CG222/BY222-1)*100)&lt;-50,"NM",(CG222/BY222-1)*100)))</f>
        <v>4.6822742474916357</v>
      </c>
      <c r="CI222" s="95">
        <v>35.799999999999997</v>
      </c>
      <c r="CJ222" s="81">
        <f>IF(ISERROR((CI222/CA222-1)*100),"NA",IF(((CI222/CA222-1)*100)&gt;100,"NM",IF(((CI222/CA222-1)*100)&lt;-50,"NM",(CI222/CA222-1)*100)))</f>
        <v>22.184300341296925</v>
      </c>
      <c r="CK222" s="95">
        <v>32.5</v>
      </c>
      <c r="CL222" s="81">
        <f>IF(ISERROR((CK222/CC222-1)*100),"NA",IF(((CK222/CC222-1)*100)&gt;100,"NM",IF(((CK222/CC222-1)*100)&lt;-50,"NM",(CK222/CC222-1)*100)))</f>
        <v>1.8808777429467183</v>
      </c>
      <c r="CM222" s="95">
        <v>32.799999999999997</v>
      </c>
      <c r="CN222" s="81">
        <f>IF(ISERROR((CM222/CE222-1)*100),"NA",IF(((CM222/CE222-1)*100)&gt;100,"NM",IF(((CM222/CE222-1)*100)&lt;-50,"NM",(CM222/CE222-1)*100)))</f>
        <v>4.4585987261146487</v>
      </c>
      <c r="CO222" s="95">
        <v>35.6</v>
      </c>
      <c r="CP222" s="81">
        <f>IF(ISERROR((CO222/CG222-1)*100),"NA",IF(((CO222/CG222-1)*100)&gt;100,"NM",IF(((CO222/CG222-1)*100)&lt;-50,"NM",(CO222/CG222-1)*100)))</f>
        <v>13.738019169329085</v>
      </c>
      <c r="CQ222" s="95">
        <v>34</v>
      </c>
      <c r="CR222" s="81">
        <f>IF(ISERROR((CQ222/CI222-1)*100),"NA",IF(((CQ222/CI222-1)*100)&gt;100,"NM",IF(((CQ222/CI222-1)*100)&lt;-50,"NM",(CQ222/CI222-1)*100)))</f>
        <v>-5.0279329608938443</v>
      </c>
      <c r="CS222" s="95">
        <v>33.9</v>
      </c>
      <c r="CT222" s="81">
        <f>IF(ISERROR((CS222/CK222-1)*100),"NA",IF(((CS222/CK222-1)*100)&gt;100,"NM",IF(((CS222/CK222-1)*100)&lt;-50,"NM",(CS222/CK222-1)*100)))</f>
        <v>4.3076923076923013</v>
      </c>
      <c r="CU222" s="95">
        <v>35.1</v>
      </c>
      <c r="CV222" s="81">
        <f>IF(ISERROR((CU222/CM222-1)*100),"NA",IF(((CU222/CM222-1)*100)&gt;100,"NM",IF(((CU222/CM222-1)*100)&lt;-50,"NM",(CU222/CM222-1)*100)))</f>
        <v>7.0121951219512368</v>
      </c>
      <c r="CW222" s="95">
        <v>39.4</v>
      </c>
      <c r="CX222" s="81">
        <f>IF(ISERROR((CW222/CO222-1)*100),"NA",IF(((CW222/CO222-1)*100)&gt;100,"NM",IF(((CW222/CO222-1)*100)&lt;-50,"NM",(CW222/CO222-1)*100)))</f>
        <v>10.67415730337078</v>
      </c>
      <c r="CY222" s="95">
        <v>34</v>
      </c>
      <c r="CZ222" s="81">
        <f>IF(ISERROR((CY222/CQ222-1)*100),"NA",IF(((CY222/CQ222-1)*100)&gt;100,"NM",IF(((CY222/CQ222-1)*100)&lt;-50,"NM",(CY222/CQ222-1)*100)))</f>
        <v>0</v>
      </c>
      <c r="DA222" s="95">
        <v>35.9</v>
      </c>
      <c r="DB222" s="81">
        <f>IF(ISERROR((DA222/CS222-1)*100),"NA",IF(((DA222/CS222-1)*100)&gt;100,"NM",IF(((DA222/CS222-1)*100)&lt;-50,"NM",(DA222/CS222-1)*100)))</f>
        <v>5.8997050147492569</v>
      </c>
      <c r="DC222" s="95">
        <v>34.799999999999997</v>
      </c>
      <c r="DD222" s="81">
        <f>IF(ISERROR((DC222/CU222-1)*100),"NA",IF(((DC222/CU222-1)*100)&gt;100,"NM",IF(((DC222/CU222-1)*100)&lt;-50,"NM",(DC222/CU222-1)*100)))</f>
        <v>-0.85470085470086277</v>
      </c>
      <c r="DE222" s="95">
        <v>36.6</v>
      </c>
      <c r="DF222" s="81">
        <f>IF(ISERROR((DE222/CW222-1)*100),"NA",IF(((DE222/CW222-1)*100)&gt;100,"NM",IF(((DE222/CW222-1)*100)&lt;-50,"NM",(DE222/CW222-1)*100)))</f>
        <v>-7.106598984771562</v>
      </c>
      <c r="DG222" s="95">
        <v>35.799999999999997</v>
      </c>
      <c r="DH222" s="81">
        <f>IF(ISERROR((DG222/CY222-1)*100),"NA",IF(((DG222/CY222-1)*100)&gt;100,"NM",IF(((DG222/CY222-1)*100)&lt;-50,"NM",(DG222/CY222-1)*100)))</f>
        <v>5.2941176470588047</v>
      </c>
      <c r="DI222" s="95">
        <v>35.5</v>
      </c>
      <c r="DJ222" s="81">
        <f>IF(ISERROR((DI222/DA222-1)*100),"NA",IF(((DI222/DA222-1)*100)&gt;100,"NM",IF(((DI222/DA222-1)*100)&lt;-50,"NM",(DI222/DA222-1)*100)))</f>
        <v>-1.114206128133699</v>
      </c>
      <c r="DK222" s="95">
        <v>37.6</v>
      </c>
      <c r="DL222" s="81">
        <f>IF(ISERROR((DK222/DC222-1)*100),"NA",IF(((DK222/DC222-1)*100)&gt;100,"NM",IF(((DK222/DC222-1)*100)&lt;-50,"NM",(DK222/DC222-1)*100)))</f>
        <v>8.0459770114942764</v>
      </c>
      <c r="DM222" s="95">
        <v>37</v>
      </c>
      <c r="DN222" s="81">
        <f>IF(ISERROR((DM222/DE222-1)*100),"NA",IF(((DM222/DE222-1)*100)&gt;100,"NM",IF(((DM222/DE222-1)*100)&lt;-50,"NM",(DM222/DE222-1)*100)))</f>
        <v>1.0928961748633892</v>
      </c>
      <c r="DO222" s="95">
        <v>36.9</v>
      </c>
      <c r="DP222" s="81">
        <f>IF(ISERROR((DO222/DG222-1)*100),"NA",IF(((DO222/DG222-1)*100)&gt;100,"NM",IF(((DO222/DG222-1)*100)&lt;-50,"NM",(DO222/DG222-1)*100)))</f>
        <v>3.0726256983240274</v>
      </c>
      <c r="DQ222" s="95">
        <v>35.9</v>
      </c>
      <c r="DR222" s="81">
        <f>IF(ISERROR((DQ222/DI222-1)*100),"NA",IF(((DQ222/DI222-1)*100)&gt;100,"NM",IF(((DQ222/DI222-1)*100)&lt;-50,"NM",(DQ222/DI222-1)*100)))</f>
        <v>1.1267605633802802</v>
      </c>
      <c r="DS222" s="95">
        <v>35.6</v>
      </c>
      <c r="DT222" s="81">
        <f>IF(ISERROR((DS222/DK222-1)*100),"NA",IF(((DS222/DK222-1)*100)&gt;100,"NM",IF(((DS222/DK222-1)*100)&lt;-50,"NM",(DS222/DK222-1)*100)))</f>
        <v>-5.3191489361702153</v>
      </c>
      <c r="DU222" s="95">
        <v>34</v>
      </c>
      <c r="DV222" s="81">
        <f>IF(ISERROR((DU222/DM222-1)*100),"NA",IF(((DU222/DM222-1)*100)&gt;100,"NM",IF(((DU222/DM222-1)*100)&lt;-50,"NM",(DU222/DM222-1)*100)))</f>
        <v>-8.1081081081081035</v>
      </c>
      <c r="DW222" s="95">
        <v>35.6</v>
      </c>
      <c r="DX222" s="81">
        <f>IF(ISERROR((DW222/DO222-1)*100),"NA",IF(((DW222/DO222-1)*100)&gt;100,"NM",IF(((DW222/DO222-1)*100)&lt;-50,"NM",(DW222/DO222-1)*100)))</f>
        <v>-3.5230352303523005</v>
      </c>
      <c r="DY222" s="95">
        <v>36.1</v>
      </c>
      <c r="DZ222" s="81">
        <f>IF(ISERROR((DY222/DQ222-1)*100),"NA",IF(((DY222/DQ222-1)*100)&gt;100,"NM",IF(((DY222/DQ222-1)*100)&lt;-50,"NM",(DY222/DQ222-1)*100)))</f>
        <v>0.55710306406686616</v>
      </c>
      <c r="EA222" s="95">
        <v>35.799999999999997</v>
      </c>
      <c r="EB222" s="81">
        <f>IF(ISERROR((EA222/DS222-1)*100),"NA",IF(((EA222/DS222-1)*100)&gt;100,"NM",IF(((EA222/DS222-1)*100)&lt;-50,"NM",(EA222/DS222-1)*100)))</f>
        <v>0.56179775280897903</v>
      </c>
      <c r="EC222" s="95">
        <v>35.1</v>
      </c>
      <c r="ED222" s="81">
        <f t="shared" si="707"/>
        <v>3.2352941176470695</v>
      </c>
      <c r="EE222" s="95">
        <v>36.700000000000003</v>
      </c>
      <c r="EF222" s="81">
        <f t="shared" si="708"/>
        <v>3.0898876404494402</v>
      </c>
      <c r="EG222" s="95">
        <v>36</v>
      </c>
      <c r="EH222" s="81">
        <f t="shared" si="709"/>
        <v>-0.27700831024931594</v>
      </c>
      <c r="EI222" s="95">
        <v>37.1</v>
      </c>
      <c r="EJ222" s="81">
        <f t="shared" si="710"/>
        <v>3.6312849162011274</v>
      </c>
      <c r="EK222" s="95">
        <f t="shared" ref="EK222" si="715">EI222*1.005</f>
        <v>37.285499999999999</v>
      </c>
      <c r="EL222" s="81">
        <f t="shared" si="711"/>
        <v>6.2264957264957177</v>
      </c>
      <c r="EM222" s="95">
        <f t="shared" ref="EM222" si="716">EK222*1.005</f>
        <v>37.471927499999993</v>
      </c>
      <c r="EN222" s="81">
        <f t="shared" si="712"/>
        <v>2.1033446866484784</v>
      </c>
      <c r="EO222" s="95">
        <f t="shared" ref="EO222" si="717">EM222*1.005</f>
        <v>37.659287137499987</v>
      </c>
      <c r="EP222" s="81">
        <f t="shared" si="713"/>
        <v>4.6091309374999723</v>
      </c>
      <c r="EQ222" s="95">
        <f t="shared" ref="EQ222" si="718">EO222*1.005</f>
        <v>37.847583573187485</v>
      </c>
      <c r="ER222" s="81">
        <f t="shared" si="714"/>
        <v>2.0150500624999568</v>
      </c>
      <c r="ES222" s="129"/>
      <c r="ET222" s="469"/>
      <c r="EU222" s="129"/>
      <c r="EV222" s="95"/>
      <c r="EW222" s="79"/>
      <c r="EX222" s="95"/>
      <c r="EY222" s="79"/>
      <c r="EZ222" s="145"/>
      <c r="FA222" s="79"/>
      <c r="FB222" s="35">
        <f>+E222+G222+I222+K222</f>
        <v>82.800000000000011</v>
      </c>
      <c r="FC222" s="79" t="str">
        <f>IF(ISERROR((FB222/EZ222-1)*100),"NA",IF(((FB222/EZ222-1)*100)&gt;100,"NM",IF(((FB222/EZ222-1)*100)&lt;-50,"NM",(FB222/EZ222-1)*100)))</f>
        <v>NA</v>
      </c>
      <c r="FD222" s="75">
        <f>+S222+Q222+O222+M222</f>
        <v>79.599999999999994</v>
      </c>
      <c r="FE222" s="79">
        <f>IF(ISERROR((FD222/FB222-1)*100),"NA",IF(((FD222/FB222-1)*100)&gt;100,"NM",IF(((FD222/FB222-1)*100)&lt;-50,"NM",(FD222/FB222-1)*100)))</f>
        <v>-3.8647342995169254</v>
      </c>
      <c r="FF222" s="251">
        <f>+AA222+Y222+W222+U222</f>
        <v>89.999999999999986</v>
      </c>
      <c r="FG222" s="79">
        <f>IF(ISERROR((FF222/FD222-1)*100),"NA",IF(((FF222/FD222-1)*100)&gt;100,"NM",IF(((FF222/FD222-1)*100)&lt;-50,"NM",(FF222/FD222-1)*100)))</f>
        <v>13.065326633165819</v>
      </c>
      <c r="FH222" s="251">
        <f>+AI222+AG222+AE222+AC222</f>
        <v>94.5</v>
      </c>
      <c r="FI222" s="79">
        <f>IF(ISERROR((FH222/FF222-1)*100),"NA",IF(((FH222/FF222-1)*100)&gt;100,"NM",IF(((FH222/FF222-1)*100)&lt;-50,"NM",(FH222/FF222-1)*100)))</f>
        <v>5.0000000000000266</v>
      </c>
      <c r="FJ222" s="35">
        <f>+AQ222+AO222+AM222+AK222</f>
        <v>96</v>
      </c>
      <c r="FK222" s="79">
        <f>IF(ISERROR((FJ222/FH222-1)*100),"NA",IF(((FJ222/FH222-1)*100)&gt;100,"NM",IF(((FJ222/FH222-1)*100)&lt;-50,"NM",(FJ222/FH222-1)*100)))</f>
        <v>1.5873015873015817</v>
      </c>
      <c r="FL222" s="78">
        <f>AS222+AU222+AW222+AY222</f>
        <v>93.6</v>
      </c>
      <c r="FM222" s="79">
        <f>IF(ISERROR((FL222/FJ222-1)*100),"NA",IF(((FL222/FJ222-1)*100)&gt;100,"NM",IF(((FL222/FJ222-1)*100)&lt;-50,"NM",(FL222/FJ222-1)*100)))</f>
        <v>-2.5000000000000022</v>
      </c>
      <c r="FN222" s="78">
        <f>BA222+BC222+BE222+BG222</f>
        <v>99.799999999999983</v>
      </c>
      <c r="FO222" s="79">
        <f>IF(ISERROR((FN222/FL222-1)*100),"NA",IF(((FN222/FL222-1)*100)&gt;100,"NM",IF(((FN222/FL222-1)*100)&lt;-50,"NM",(FN222/FL222-1)*100)))</f>
        <v>6.6239316239316226</v>
      </c>
      <c r="FP222" s="78">
        <f>BI222+BK222+BM222+BO222</f>
        <v>105.69999999999999</v>
      </c>
      <c r="FQ222" s="79">
        <f>IF(ISERROR((FP222/FN222-1)*100),"NA",IF(((FP222/FN222-1)*100)&gt;100,"NM",IF(((FP222/FN222-1)*100)&lt;-50,"NM",(FP222/FN222-1)*100)))</f>
        <v>5.9118236472945895</v>
      </c>
      <c r="FR222" s="93">
        <f>BQ222+BS222+BU222+BW222</f>
        <v>114.30000000000001</v>
      </c>
      <c r="FS222" s="79">
        <f>IF(ISERROR((FR222/FP222-1)*100),"NA",IF(((FR222/FP222-1)*100)&gt;100,"NM",IF(((FR222/FP222-1)*100)&lt;-50,"NM",(FR222/FP222-1)*100)))</f>
        <v>8.1362346263008654</v>
      </c>
      <c r="FT222" s="93">
        <f>BY222+CA222+CC222+CE222</f>
        <v>122.5</v>
      </c>
      <c r="FU222" s="79">
        <f>IF(ISERROR((FT222/FR222-1)*100),"NA",IF(((FT222/FR222-1)*100)&gt;100,"NM",IF(((FT222/FR222-1)*100)&lt;-50,"NM",(FT222/FR222-1)*100)))</f>
        <v>7.1741032370953528</v>
      </c>
      <c r="FV222" s="93">
        <f>CG222+CI222+CK222+CM222</f>
        <v>132.39999999999998</v>
      </c>
      <c r="FW222" s="79">
        <f>IF(ISERROR((FV222/FT222-1)*100),"NA",IF(((FV222/FT222-1)*100)&gt;100,"NM",IF(((FV222/FT222-1)*100)&lt;-50,"NM",(FV222/FT222-1)*100)))</f>
        <v>8.0816326530612095</v>
      </c>
      <c r="FX222" s="886">
        <v>137.69999999999999</v>
      </c>
      <c r="FY222" s="79">
        <f>IF(ISERROR((FX222/FV222-1)*100),"NA",IF(((FX222/FV222-1)*100)&gt;100,"NM",IF(((FX222/FV222-1)*100)&lt;-50,"NM",(FX222/FV222-1)*100)))</f>
        <v>4.0030211480362565</v>
      </c>
      <c r="FZ222" s="93">
        <f>CW222+CY222+DA222+DC222</f>
        <v>144.10000000000002</v>
      </c>
      <c r="GA222" s="79">
        <f>IF(ISERROR((FZ222/FX222-1)*100),"NA",IF(((FZ222/FX222-1)*100)&gt;100,"NM",IF(((FZ222/FX222-1)*100)&lt;-50,"NM",(FZ222/FX222-1)*100)))</f>
        <v>4.6477850399419207</v>
      </c>
      <c r="GB222" s="93">
        <f>DE222+DG222+DI222+DK222</f>
        <v>145.5</v>
      </c>
      <c r="GC222" s="79">
        <f>IF(ISERROR((GB222/FZ222-1)*100),"NA",IF(((GB222/FZ222-1)*100)&gt;100,"NM",IF(((GB222/FZ222-1)*100)&lt;-50,"NM",(GB222/FZ222-1)*100)))</f>
        <v>0.97154753643302616</v>
      </c>
      <c r="GD222" s="93">
        <f>DM222+DO222+DQ222+DS222</f>
        <v>145.4</v>
      </c>
      <c r="GE222" s="79">
        <f>IF(ISERROR((GD222/GB222-1)*100),"NA",IF(((GD222/GB222-1)*100)&gt;100,"NM",IF(((GD222/GB222-1)*100)&lt;-50,"NM",(GD222/GB222-1)*100)))</f>
        <v>-6.8728522336769515E-2</v>
      </c>
      <c r="GF222" s="93">
        <f>DU222+DW222+DY222+EA222</f>
        <v>141.5</v>
      </c>
      <c r="GG222" s="79">
        <f>IF(ISERROR((GF222/GD222-1)*100),"NA",IF(((GF222/GD222-1)*100)&gt;100,"NM",IF(((GF222/GD222-1)*100)&lt;-50,"NM",(GF222/GD222-1)*100)))</f>
        <v>-2.6822558459422274</v>
      </c>
      <c r="GH222" s="93">
        <f>EC222+EE222+EG222+EI222</f>
        <v>144.9</v>
      </c>
      <c r="GI222" s="79">
        <f>IF(ISERROR((GH222/GF222-1)*100),"NA",IF(((GH222/GF222-1)*100)&gt;100,"NM",IF(((GH222/GF222-1)*100)&lt;-50,"NM",(GH222/GF222-1)*100)))</f>
        <v>2.4028268551236742</v>
      </c>
      <c r="GJ222" s="93">
        <f>EK222+EM222+EO222+EQ222</f>
        <v>150.26429821068746</v>
      </c>
      <c r="GK222" s="79">
        <f>IF(ISERROR((GJ222/GH222-1)*100),"NA",IF(((GJ222/GH222-1)*100)&gt;100,"NM",IF(((GJ222/GH222-1)*100)&lt;-50,"NM",(GJ222/GH222-1)*100)))</f>
        <v>3.7020691585144538</v>
      </c>
      <c r="GL222" s="95">
        <f>GJ222*1.02</f>
        <v>153.26958417490121</v>
      </c>
      <c r="GM222" s="79">
        <f>IF(ISERROR((GL222/GJ222-1)*100),"NA",IF(((GL222/GJ222-1)*100)&gt;100,"NM",IF(((GL222/GJ222-1)*100)&lt;-50,"NM",(GL222/GJ222-1)*100)))</f>
        <v>2.0000000000000018</v>
      </c>
      <c r="GN222" s="95">
        <f>GL222*1.02</f>
        <v>156.33497585839925</v>
      </c>
      <c r="GO222" s="79">
        <f>IF(ISERROR((GN222/GL222-1)*100),"NA",IF(((GN222/GL222-1)*100)&gt;100,"NM",IF(((GN222/GL222-1)*100)&lt;-50,"NM",(GN222/GL222-1)*100)))</f>
        <v>2.0000000000000018</v>
      </c>
      <c r="GP222" s="95">
        <f>GN222*1.02</f>
        <v>159.46167537556724</v>
      </c>
      <c r="GQ222" s="79">
        <f>IF(ISERROR((GP222/GN222-1)*100),"NA",IF(((GP222/GN222-1)*100)&gt;100,"NM",IF(((GP222/GN222-1)*100)&lt;-50,"NM",(GP222/GN222-1)*100)))</f>
        <v>2.0000000000000018</v>
      </c>
      <c r="GR222" s="95">
        <f>GP222*1.02</f>
        <v>162.65090888307859</v>
      </c>
      <c r="GS222" s="79">
        <f>IF(ISERROR((GR222/GP222-1)*100),"NA",IF(((GR222/GP222-1)*100)&gt;100,"NM",IF(((GR222/GP222-1)*100)&lt;-50,"NM",(GR222/GP222-1)*100)))</f>
        <v>2.0000000000000018</v>
      </c>
      <c r="GT222" s="79">
        <f>IF(ISERROR(((GR222/GH222)^0.2-1)*100),"NA",(IF(OR(((GR222/GH222)^0.2-1)*100&gt;99,((GR222/GH222)^0.2-1)*100&lt;-50),"NM",(((GR222/GH222)^0.2-1)*100))))</f>
        <v>2.3381641310474155</v>
      </c>
      <c r="GU222" s="562"/>
      <c r="GV222" s="562"/>
      <c r="GW222"/>
      <c r="GX222"/>
      <c r="GY222"/>
      <c r="GZ222"/>
      <c r="HA222"/>
      <c r="HB222"/>
      <c r="HC222" s="562"/>
      <c r="HD222" s="562"/>
      <c r="HE222" s="562"/>
      <c r="HF222" s="562"/>
      <c r="HG222" s="562"/>
      <c r="HH222" s="562"/>
      <c r="HI222" s="562"/>
      <c r="HJ222" s="562"/>
      <c r="HK222" s="562"/>
      <c r="HL222" s="562"/>
      <c r="HM222" s="562"/>
      <c r="HN222" s="562"/>
      <c r="HO222" s="562"/>
      <c r="HP222" s="562"/>
      <c r="HQ222" s="562"/>
      <c r="HR222" s="562"/>
      <c r="HS222" s="562"/>
      <c r="HT222" s="562"/>
      <c r="HU222" s="562"/>
      <c r="HV222" s="562"/>
      <c r="HW222" s="562"/>
      <c r="HX222" s="562"/>
      <c r="HY222" s="562"/>
      <c r="HZ222" s="562"/>
      <c r="IA222" s="562"/>
      <c r="IB222" s="562"/>
      <c r="IC222" s="562"/>
      <c r="ID222" s="562"/>
      <c r="IE222" s="562"/>
      <c r="IF222" s="562"/>
      <c r="IG222" s="562"/>
      <c r="IH222" s="562"/>
      <c r="II222" s="562"/>
      <c r="IJ222" s="562"/>
      <c r="IK222" s="562"/>
      <c r="IL222" s="562"/>
      <c r="IM222" s="562"/>
      <c r="IN222" s="562"/>
      <c r="IO222" s="562"/>
      <c r="IP222" s="562"/>
      <c r="IQ222" s="562"/>
      <c r="IR222" s="562"/>
      <c r="IS222" s="562"/>
      <c r="IT222" s="562"/>
      <c r="IU222" s="562"/>
      <c r="IV222" s="562"/>
      <c r="IW222" s="562"/>
      <c r="IX222" s="562"/>
      <c r="IY222" s="562"/>
      <c r="IZ222" s="562"/>
      <c r="JA222" s="562"/>
      <c r="JB222" s="562"/>
      <c r="JC222" s="562"/>
      <c r="JD222" s="562"/>
      <c r="JE222" s="562"/>
      <c r="JF222" s="562"/>
      <c r="JG222" s="562"/>
      <c r="JH222" s="562"/>
      <c r="JI222" s="562"/>
      <c r="JJ222" s="562"/>
      <c r="JK222" s="562"/>
      <c r="JL222" s="562"/>
      <c r="JM222" s="562"/>
      <c r="JN222" s="562"/>
      <c r="JO222" s="562"/>
      <c r="JP222" s="562"/>
      <c r="JQ222" s="562"/>
      <c r="JR222" s="562"/>
      <c r="JS222" s="562"/>
      <c r="JT222" s="562"/>
      <c r="JU222" s="562"/>
      <c r="JV222" s="562"/>
      <c r="JW222" s="562"/>
      <c r="JX222" s="562"/>
      <c r="JY222" s="562"/>
      <c r="JZ222" s="562"/>
    </row>
    <row r="223" spans="1:286" s="239" customFormat="1" ht="12.75" customHeight="1" x14ac:dyDescent="0.2">
      <c r="A223" s="240"/>
      <c r="B223" s="10" t="s">
        <v>407</v>
      </c>
      <c r="C223" s="79"/>
      <c r="D223" s="79"/>
      <c r="E223" s="95">
        <v>2.9</v>
      </c>
      <c r="F223" s="95"/>
      <c r="G223" s="95">
        <v>0.4</v>
      </c>
      <c r="H223" s="95"/>
      <c r="I223" s="95">
        <v>0.1</v>
      </c>
      <c r="J223" s="95"/>
      <c r="K223" s="95">
        <v>0.4</v>
      </c>
      <c r="L223" s="79"/>
      <c r="M223" s="95">
        <v>0.5</v>
      </c>
      <c r="N223" s="79" t="str">
        <f>IF(ISERROR((M223/E223-1)*100),"NA",IF(((M223/E223-1)*100)&gt;100,"NM",IF(((M223/E223-1)*100)&lt;-50,"NM",(M223/E223-1)*100)))</f>
        <v>NM</v>
      </c>
      <c r="O223" s="95">
        <v>1.4</v>
      </c>
      <c r="P223" s="79" t="str">
        <f>IF(ISERROR((O223/G223-1)*100),"NA",IF(((O223/G223-1)*100)&gt;100,"NM",IF(((O223/G223-1)*100)&lt;-50,"NM",(O223/G223-1)*100)))</f>
        <v>NM</v>
      </c>
      <c r="Q223" s="95">
        <v>1.4</v>
      </c>
      <c r="R223" s="79" t="str">
        <f>IF(ISERROR((Q223/I223-1)*100),"NA",IF(((Q223/I223-1)*100)&gt;100,"NM",IF(((Q223/I223-1)*100)&lt;-50,"NM",(Q223/I223-1)*100)))</f>
        <v>NM</v>
      </c>
      <c r="S223" s="95">
        <v>0.4</v>
      </c>
      <c r="T223" s="79">
        <f>IF(ISERROR((S223/K223-1)*100),"NA",IF(((S223/K223-1)*100)&gt;100,"NM",IF(((S223/K223-1)*100)&lt;-50,"NM",(S223/K223-1)*100)))</f>
        <v>0</v>
      </c>
      <c r="U223" s="95">
        <v>0.4</v>
      </c>
      <c r="V223" s="79">
        <f>IF(ISERROR((U223/M223-1)*100),"NA",IF(((U223/M223-1)*100)&gt;100,"NM",IF(((U223/M223-1)*100)&lt;-50,"NM",(U223/M223-1)*100)))</f>
        <v>-19.999999999999996</v>
      </c>
      <c r="W223" s="95">
        <v>1.3</v>
      </c>
      <c r="X223" s="79">
        <f>IF(ISERROR((W223/O223-1)*100),"NA",IF(((W223/O223-1)*100)&gt;100,"NM",IF(((W223/O223-1)*100)&lt;-50,"NM",(W223/O223-1)*100)))</f>
        <v>-7.1428571428571281</v>
      </c>
      <c r="Y223" s="95">
        <v>0.4</v>
      </c>
      <c r="Z223" s="79" t="str">
        <f>IF(ISERROR((Y223/Q223-1)*100),"NA",IF(((Y223/Q223-1)*100)&gt;100,"NM",IF(((Y223/Q223-1)*100)&lt;-50,"NM",(Y223/Q223-1)*100)))</f>
        <v>NM</v>
      </c>
      <c r="AA223" s="126">
        <v>0.4</v>
      </c>
      <c r="AB223" s="79">
        <f>IF(ISERROR((AA223/S223-1)*100),"NA",IF(((AA223/S223-1)*100)&gt;100,"NM",IF(((AA223/S223-1)*100)&lt;-50,"NM",(AA223/S223-1)*100)))</f>
        <v>0</v>
      </c>
      <c r="AC223" s="95">
        <v>0.3</v>
      </c>
      <c r="AD223" s="79">
        <f>IF(ISERROR((AC223/U223-1)*100),"NA",IF(((AC223/U223-1)*100)&gt;100,"NM",IF(((AC223/U223-1)*100)&lt;-50,"NM",(AC223/U223-1)*100)))</f>
        <v>-25.000000000000011</v>
      </c>
      <c r="AE223" s="95">
        <v>0.7</v>
      </c>
      <c r="AF223" s="79">
        <f>IF(ISERROR((AE223/W223-1)*100),"NA",IF(((AE223/W223-1)*100)&gt;100,"NM",IF(((AE223/W223-1)*100)&lt;-50,"NM",(AE223/W223-1)*100)))</f>
        <v>-46.153846153846153</v>
      </c>
      <c r="AG223" s="95">
        <v>0.7</v>
      </c>
      <c r="AH223" s="79">
        <f>IF(ISERROR((AG223/Y223-1)*100),"NA",IF(((AG223/Y223-1)*100)&gt;100,"NM",IF(((AG223/Y223-1)*100)&lt;-50,"NM",(AG223/Y223-1)*100)))</f>
        <v>74.999999999999972</v>
      </c>
      <c r="AI223" s="95">
        <v>0.6</v>
      </c>
      <c r="AJ223" s="79">
        <f>IF(ISERROR((AI223/AA223-1)*100),"NA",IF(((AI223/AA223-1)*100)&gt;100,"NM",IF(((AI223/AA223-1)*100)&lt;-50,"NM",(AI223/AA223-1)*100)))</f>
        <v>49.999999999999979</v>
      </c>
      <c r="AK223" s="95">
        <v>1.2</v>
      </c>
      <c r="AL223" s="79" t="str">
        <f>IF(ISERROR((AK223/AC223-1)*100),"NA",IF(((AK223/AC223-1)*100)&gt;100,"NM",IF(((AK223/AC223-1)*100)&lt;-50,"NM",(AK223/AC223-1)*100)))</f>
        <v>NM</v>
      </c>
      <c r="AM223" s="95">
        <v>1</v>
      </c>
      <c r="AN223" s="79">
        <f>IF(ISERROR((AM223/AE223-1)*100),"NA",IF(((AM223/AE223-1)*100)&gt;100,"NM",IF(((AM223/AE223-1)*100)&lt;-50,"NM",(AM223/AE223-1)*100)))</f>
        <v>42.857142857142861</v>
      </c>
      <c r="AO223" s="95">
        <v>1.3</v>
      </c>
      <c r="AP223" s="79">
        <f>IF(ISERROR((AO223/AG223-1)*100),"NA",IF(((AO223/AG223-1)*100)&gt;100,"NM",IF(((AO223/AG223-1)*100)&lt;-50,"NM",(AO223/AG223-1)*100)))</f>
        <v>85.714285714285737</v>
      </c>
      <c r="AQ223" s="95">
        <v>0.9</v>
      </c>
      <c r="AR223" s="79">
        <f>IF(ISERROR((AQ223/AI223-1)*100),"NA",IF(((AQ223/AI223-1)*100)&gt;100,"NM",IF(((AQ223/AI223-1)*100)&lt;-50,"NM",(AQ223/AI223-1)*100)))</f>
        <v>50</v>
      </c>
      <c r="AS223" s="95">
        <v>0.3</v>
      </c>
      <c r="AT223" s="81" t="str">
        <f>IF(ISERROR((AS223/AK223-1)*100),"NA",IF(((AS223/AK223-1)*100)&gt;100,"NM",IF(((AS223/AK223-1)*100)&lt;-50,"NM",(AS223/AK223-1)*100)))</f>
        <v>NM</v>
      </c>
      <c r="AU223" s="95">
        <v>0.4</v>
      </c>
      <c r="AV223" s="81" t="str">
        <f>IF(ISERROR((AU223/AM223-1)*100),"NA",IF(((AU223/AM223-1)*100)&gt;100,"NM",IF(((AU223/AM223-1)*100)&lt;-50,"NM",(AU223/AM223-1)*100)))</f>
        <v>NM</v>
      </c>
      <c r="AW223" s="95">
        <v>0.2</v>
      </c>
      <c r="AX223" s="81" t="str">
        <f>IF(ISERROR((AW223/AO223-1)*100),"NA",IF(((AW223/AO223-1)*100)&gt;100,"NM",IF(((AW223/AO223-1)*100)&lt;-50,"NM",(AW223/AO223-1)*100)))</f>
        <v>NM</v>
      </c>
      <c r="AY223" s="95">
        <v>0.2</v>
      </c>
      <c r="AZ223" s="81" t="str">
        <f>IF(ISERROR((AY223/AQ223-1)*100),"NA",IF(((AY223/AQ223-1)*100)&gt;100,"NM",IF(((AY223/AQ223-1)*100)&lt;-50,"NM",(AY223/AQ223-1)*100)))</f>
        <v>NM</v>
      </c>
      <c r="BA223" s="95">
        <v>0.3</v>
      </c>
      <c r="BB223" s="81">
        <f>IF(ISERROR((BA223/AS223-1)*100),"NA",IF(((BA223/AS223-1)*100)&gt;100,"NM",IF(((BA223/AS223-1)*100)&lt;-50,"NM",(BA223/AS223-1)*100)))</f>
        <v>0</v>
      </c>
      <c r="BC223" s="95">
        <v>0.3</v>
      </c>
      <c r="BD223" s="81">
        <f>IF(ISERROR((BC223/AU223-1)*100),"NA",IF(((BC223/AU223-1)*100)&gt;100,"NM",IF(((BC223/AU223-1)*100)&lt;-50,"NM",(BC223/AU223-1)*100)))</f>
        <v>-25.000000000000011</v>
      </c>
      <c r="BE223" s="95">
        <v>0.3</v>
      </c>
      <c r="BF223" s="81">
        <f>IF(ISERROR((BE223/AW223-1)*100),"NA",IF(((BE223/AW223-1)*100)&gt;100,"NM",IF(((BE223/AW223-1)*100)&lt;-50,"NM",(BE223/AW223-1)*100)))</f>
        <v>49.999999999999979</v>
      </c>
      <c r="BG223" s="188">
        <v>0</v>
      </c>
      <c r="BH223" s="81" t="str">
        <f>IF(ISERROR((BG223/AY223-1)*100),"NA",IF(((BG223/AY223-1)*100)&gt;100,"NM",IF(((BG223/AY223-1)*100)&lt;-50,"NM",(BG223/AY223-1)*100)))</f>
        <v>NM</v>
      </c>
      <c r="BI223" s="188">
        <v>0.1</v>
      </c>
      <c r="BJ223" s="81" t="str">
        <f>IF(ISERROR((BI223/BA223-1)*100),"NA",IF(((BI223/BA223-1)*100)&gt;100,"NM",IF(((BI223/BA223-1)*100)&lt;-50,"NM",(BI223/BA223-1)*100)))</f>
        <v>NM</v>
      </c>
      <c r="BK223" s="188">
        <v>0.1</v>
      </c>
      <c r="BL223" s="81" t="str">
        <f>IF(ISERROR((BK223/BC223-1)*100),"NA",IF(((BK223/BC223-1)*100)&gt;100,"NM",IF(((BK223/BC223-1)*100)&lt;-50,"NM",(BK223/BC223-1)*100)))</f>
        <v>NM</v>
      </c>
      <c r="BM223" s="188">
        <v>0.1</v>
      </c>
      <c r="BN223" s="81" t="str">
        <f>IF(ISERROR((BM223/BE223-1)*100),"NA",IF(((BM223/BE223-1)*100)&gt;100,"NM",IF(((BM223/BE223-1)*100)&lt;-50,"NM",(BM223/BE223-1)*100)))</f>
        <v>NM</v>
      </c>
      <c r="BO223" s="188">
        <v>0.1</v>
      </c>
      <c r="BP223" s="81" t="str">
        <f>IF(ISERROR((BO223/BG223-1)*100),"NA",IF(((BO223/BG223-1)*100)&gt;100,"NM",IF(((BO223/BG223-1)*100)&lt;-50,"NM",(BO223/BG223-1)*100)))</f>
        <v>NA</v>
      </c>
      <c r="BQ223" s="188">
        <v>0.1</v>
      </c>
      <c r="BR223" s="81">
        <f>IF(ISERROR((BQ223/BI223-1)*100),"NA",IF(((BQ223/BI223-1)*100)&gt;100,"NM",IF(((BQ223/BI223-1)*100)&lt;-50,"NM",(BQ223/BI223-1)*100)))</f>
        <v>0</v>
      </c>
      <c r="BS223" s="188">
        <v>0.2</v>
      </c>
      <c r="BT223" s="81">
        <f>IF(ISERROR((BS223/BK223-1)*100),"NA",IF(((BS223/BK223-1)*100)&gt;100,"NM",IF(((BS223/BK223-1)*100)&lt;-50,"NM",(BS223/BK223-1)*100)))</f>
        <v>100</v>
      </c>
      <c r="BU223" s="188">
        <v>0.1</v>
      </c>
      <c r="BV223" s="81">
        <f>IF(ISERROR((BU223/BM223-1)*100),"NA",IF(((BU223/BM223-1)*100)&gt;100,"NM",IF(((BU223/BM223-1)*100)&lt;-50,"NM",(BU223/BM223-1)*100)))</f>
        <v>0</v>
      </c>
      <c r="BW223" s="188">
        <v>0.1</v>
      </c>
      <c r="BX223" s="81">
        <f>IF(ISERROR((BW223/BO223-1)*100),"NA",IF(((BW223/BO223-1)*100)&gt;100,"NM",IF(((BW223/BO223-1)*100)&lt;-50,"NM",(BW223/BO223-1)*100)))</f>
        <v>0</v>
      </c>
      <c r="BY223" s="188">
        <v>0.2</v>
      </c>
      <c r="BZ223" s="81">
        <f>IF(ISERROR((BY223/BQ223-1)*100),"NA",IF(((BY223/BQ223-1)*100)&gt;100,"NM",IF(((BY223/BQ223-1)*100)&lt;-50,"NM",(BY223/BQ223-1)*100)))</f>
        <v>100</v>
      </c>
      <c r="CA223" s="188">
        <v>0.1</v>
      </c>
      <c r="CB223" s="81">
        <f>IF(ISERROR((CA223/BS223-1)*100),"NA",IF(((CA223/BS223-1)*100)&gt;100,"NM",IF(((CA223/BS223-1)*100)&lt;-50,"NM",(CA223/BS223-1)*100)))</f>
        <v>-50</v>
      </c>
      <c r="CC223" s="188">
        <v>0.2</v>
      </c>
      <c r="CD223" s="81">
        <f>IF(ISERROR((CC223/BU223-1)*100),"NA",IF(((CC223/BU223-1)*100)&gt;100,"NM",IF(((CC223/BU223-1)*100)&lt;-50,"NM",(CC223/BU223-1)*100)))</f>
        <v>100</v>
      </c>
      <c r="CE223" s="188">
        <v>0.2</v>
      </c>
      <c r="CF223" s="81">
        <f>IF(ISERROR((CE223/BW223-1)*100),"NA",IF(((CE223/BW223-1)*100)&gt;100,"NM",IF(((CE223/BW223-1)*100)&lt;-50,"NM",(CE223/BW223-1)*100)))</f>
        <v>100</v>
      </c>
      <c r="CG223" s="188">
        <v>0.1</v>
      </c>
      <c r="CH223" s="81">
        <f>IF(ISERROR((CG223/BY223-1)*100),"NA",IF(((CG223/BY223-1)*100)&gt;100,"NM",IF(((CG223/BY223-1)*100)&lt;-50,"NM",(CG223/BY223-1)*100)))</f>
        <v>-50</v>
      </c>
      <c r="CI223" s="188">
        <v>0.2</v>
      </c>
      <c r="CJ223" s="81">
        <f>IF(ISERROR((CI223/CA223-1)*100),"NA",IF(((CI223/CA223-1)*100)&gt;100,"NM",IF(((CI223/CA223-1)*100)&lt;-50,"NM",(CI223/CA223-1)*100)))</f>
        <v>100</v>
      </c>
      <c r="CK223" s="188">
        <v>0.1</v>
      </c>
      <c r="CL223" s="81">
        <f>IF(ISERROR((CK223/CC223-1)*100),"NA",IF(((CK223/CC223-1)*100)&gt;100,"NM",IF(((CK223/CC223-1)*100)&lt;-50,"NM",(CK223/CC223-1)*100)))</f>
        <v>-50</v>
      </c>
      <c r="CM223" s="188">
        <v>0.1</v>
      </c>
      <c r="CN223" s="81">
        <f>IF(ISERROR((CM223/CE223-1)*100),"NA",IF(((CM223/CE223-1)*100)&gt;100,"NM",IF(((CM223/CE223-1)*100)&lt;-50,"NM",(CM223/CE223-1)*100)))</f>
        <v>-50</v>
      </c>
      <c r="CO223" s="188">
        <v>0.1</v>
      </c>
      <c r="CP223" s="81">
        <f>IF(ISERROR((CO223/CG223-1)*100),"NA",IF(((CO223/CG223-1)*100)&gt;100,"NM",IF(((CO223/CG223-1)*100)&lt;-50,"NM",(CO223/CG223-1)*100)))</f>
        <v>0</v>
      </c>
      <c r="CQ223" s="188">
        <v>0.1</v>
      </c>
      <c r="CR223" s="81">
        <f>IF(ISERROR((CQ223/CI223-1)*100),"NA",IF(((CQ223/CI223-1)*100)&gt;100,"NM",IF(((CQ223/CI223-1)*100)&lt;-50,"NM",(CQ223/CI223-1)*100)))</f>
        <v>-50</v>
      </c>
      <c r="CS223" s="188">
        <v>0</v>
      </c>
      <c r="CT223" s="81" t="str">
        <f>IF(ISERROR((CS223/CK223-1)*100),"NA",IF(((CS223/CK223-1)*100)&gt;100,"NM",IF(((CS223/CK223-1)*100)&lt;-50,"NM",(CS223/CK223-1)*100)))</f>
        <v>NM</v>
      </c>
      <c r="CU223" s="188">
        <v>0.1</v>
      </c>
      <c r="CV223" s="81">
        <f>IF(ISERROR((CU223/CM223-1)*100),"NA",IF(((CU223/CM223-1)*100)&gt;100,"NM",IF(((CU223/CM223-1)*100)&lt;-50,"NM",(CU223/CM223-1)*100)))</f>
        <v>0</v>
      </c>
      <c r="CW223" s="188">
        <v>0</v>
      </c>
      <c r="CX223" s="81" t="str">
        <f>IF(ISERROR((CW223/CO223-1)*100),"NA",IF(((CW223/CO223-1)*100)&gt;100,"NM",IF(((CW223/CO223-1)*100)&lt;-50,"NM",(CW223/CO223-1)*100)))</f>
        <v>NM</v>
      </c>
      <c r="CY223" s="188">
        <v>0.1</v>
      </c>
      <c r="CZ223" s="81">
        <f>IF(ISERROR((CY223/CQ223-1)*100),"NA",IF(((CY223/CQ223-1)*100)&gt;100,"NM",IF(((CY223/CQ223-1)*100)&lt;-50,"NM",(CY223/CQ223-1)*100)))</f>
        <v>0</v>
      </c>
      <c r="DA223" s="188">
        <v>0</v>
      </c>
      <c r="DB223" s="81" t="str">
        <f>IF(ISERROR((DA223/CS223-1)*100),"NA",IF(((DA223/CS223-1)*100)&gt;100,"NM",IF(((DA223/CS223-1)*100)&lt;-50,"NM",(DA223/CS223-1)*100)))</f>
        <v>NA</v>
      </c>
      <c r="DC223" s="188">
        <v>0.1</v>
      </c>
      <c r="DD223" s="81">
        <f>IF(ISERROR((DC223/CU223-1)*100),"NA",IF(((DC223/CU223-1)*100)&gt;100,"NM",IF(((DC223/CU223-1)*100)&lt;-50,"NM",(DC223/CU223-1)*100)))</f>
        <v>0</v>
      </c>
      <c r="DE223" s="188">
        <v>-0.1</v>
      </c>
      <c r="DF223" s="81" t="str">
        <f>IF(ISERROR((DE223/CW223-1)*100),"NA",IF(((DE223/CW223-1)*100)&gt;100,"NM",IF(((DE223/CW223-1)*100)&lt;-50,"NM",(DE223/CW223-1)*100)))</f>
        <v>NA</v>
      </c>
      <c r="DG223" s="188">
        <v>0.1</v>
      </c>
      <c r="DH223" s="81">
        <f>IF(ISERROR((DG223/CY223-1)*100),"NA",IF(((DG223/CY223-1)*100)&gt;100,"NM",IF(((DG223/CY223-1)*100)&lt;-50,"NM",(DG223/CY223-1)*100)))</f>
        <v>0</v>
      </c>
      <c r="DI223" s="188">
        <v>0.1</v>
      </c>
      <c r="DJ223" s="81" t="str">
        <f>IF(ISERROR((DI223/DA223-1)*100),"NA",IF(((DI223/DA223-1)*100)&gt;100,"NM",IF(((DI223/DA223-1)*100)&lt;-50,"NM",(DI223/DA223-1)*100)))</f>
        <v>NA</v>
      </c>
      <c r="DK223" s="188">
        <v>0</v>
      </c>
      <c r="DL223" s="81" t="str">
        <f>IF(ISERROR((DK223/DC223-1)*100),"NA",IF(((DK223/DC223-1)*100)&gt;100,"NM",IF(((DK223/DC223-1)*100)&lt;-50,"NM",(DK223/DC223-1)*100)))</f>
        <v>NM</v>
      </c>
      <c r="DM223" s="188">
        <v>0</v>
      </c>
      <c r="DN223" s="81" t="str">
        <f>IF(ISERROR((DM223/DE223-1)*100),"NA",IF(((DM223/DE223-1)*100)&gt;100,"NM",IF(((DM223/DE223-1)*100)&lt;-50,"NM",(DM223/DE223-1)*100)))</f>
        <v>NM</v>
      </c>
      <c r="DO223" s="188">
        <v>0</v>
      </c>
      <c r="DP223" s="81" t="str">
        <f>IF(ISERROR((DO223/DG223-1)*100),"NA",IF(((DO223/DG223-1)*100)&gt;100,"NM",IF(((DO223/DG223-1)*100)&lt;-50,"NM",(DO223/DG223-1)*100)))</f>
        <v>NM</v>
      </c>
      <c r="DQ223" s="188">
        <v>0.1</v>
      </c>
      <c r="DR223" s="81">
        <f>IF(ISERROR((DQ223/DI223-1)*100),"NA",IF(((DQ223/DI223-1)*100)&gt;100,"NM",IF(((DQ223/DI223-1)*100)&lt;-50,"NM",(DQ223/DI223-1)*100)))</f>
        <v>0</v>
      </c>
      <c r="DS223" s="188">
        <v>0</v>
      </c>
      <c r="DT223" s="81" t="str">
        <f>IF(ISERROR((DS223/DK223-1)*100),"NA",IF(((DS223/DK223-1)*100)&gt;100,"NM",IF(((DS223/DK223-1)*100)&lt;-50,"NM",(DS223/DK223-1)*100)))</f>
        <v>NA</v>
      </c>
      <c r="DU223" s="188">
        <v>0.3</v>
      </c>
      <c r="DV223" s="81" t="str">
        <f>IF(ISERROR((DU223/DM223-1)*100),"NA",IF(((DU223/DM223-1)*100)&gt;100,"NM",IF(((DU223/DM223-1)*100)&lt;-50,"NM",(DU223/DM223-1)*100)))</f>
        <v>NA</v>
      </c>
      <c r="DW223" s="188">
        <v>0.3</v>
      </c>
      <c r="DX223" s="81" t="str">
        <f>IF(ISERROR((DW223/DO223-1)*100),"NA",IF(((DW223/DO223-1)*100)&gt;100,"NM",IF(((DW223/DO223-1)*100)&lt;-50,"NM",(DW223/DO223-1)*100)))</f>
        <v>NA</v>
      </c>
      <c r="DY223" s="188">
        <v>0.4</v>
      </c>
      <c r="DZ223" s="81" t="str">
        <f>IF(ISERROR((DY223/DQ223-1)*100),"NA",IF(((DY223/DQ223-1)*100)&gt;100,"NM",IF(((DY223/DQ223-1)*100)&lt;-50,"NM",(DY223/DQ223-1)*100)))</f>
        <v>NM</v>
      </c>
      <c r="EA223" s="188">
        <v>0.2</v>
      </c>
      <c r="EB223" s="81" t="str">
        <f>IF(ISERROR((EA223/DS223-1)*100),"NA",IF(((EA223/DS223-1)*100)&gt;100,"NM",IF(((EA223/DS223-1)*100)&lt;-50,"NM",(EA223/DS223-1)*100)))</f>
        <v>NA</v>
      </c>
      <c r="EC223" s="188">
        <v>0.3</v>
      </c>
      <c r="ED223" s="81">
        <f t="shared" si="707"/>
        <v>0</v>
      </c>
      <c r="EE223" s="188">
        <v>0.2</v>
      </c>
      <c r="EF223" s="81">
        <f t="shared" si="708"/>
        <v>-33.333333333333329</v>
      </c>
      <c r="EG223" s="188">
        <v>0.3</v>
      </c>
      <c r="EH223" s="81">
        <f t="shared" si="709"/>
        <v>-25.000000000000011</v>
      </c>
      <c r="EI223" s="188">
        <v>0.3</v>
      </c>
      <c r="EJ223" s="81">
        <f t="shared" si="710"/>
        <v>49.999999999999979</v>
      </c>
      <c r="EK223" s="95">
        <f t="shared" ref="EK223" si="719">EC223*1.07</f>
        <v>0.32100000000000001</v>
      </c>
      <c r="EL223" s="81">
        <f t="shared" si="711"/>
        <v>7.0000000000000062</v>
      </c>
      <c r="EM223" s="95">
        <f t="shared" ref="EM223" si="720">EE223*1.07</f>
        <v>0.21400000000000002</v>
      </c>
      <c r="EN223" s="81">
        <f t="shared" si="712"/>
        <v>7.0000000000000062</v>
      </c>
      <c r="EO223" s="95">
        <f t="shared" ref="EO223" si="721">EG223*1.07</f>
        <v>0.32100000000000001</v>
      </c>
      <c r="EP223" s="81">
        <f t="shared" si="713"/>
        <v>7.0000000000000062</v>
      </c>
      <c r="EQ223" s="95">
        <f t="shared" ref="EQ223" si="722">EI223*1.07</f>
        <v>0.32100000000000001</v>
      </c>
      <c r="ER223" s="81">
        <f t="shared" si="714"/>
        <v>7.0000000000000062</v>
      </c>
      <c r="ES223" s="129"/>
      <c r="ET223" s="469"/>
      <c r="EU223" s="129"/>
      <c r="EV223" s="95"/>
      <c r="EW223" s="79"/>
      <c r="EX223" s="95"/>
      <c r="EY223" s="79"/>
      <c r="EZ223" s="145"/>
      <c r="FA223" s="79"/>
      <c r="FB223" s="35">
        <f>+E223+G223+I223+K223</f>
        <v>3.8</v>
      </c>
      <c r="FC223" s="79" t="str">
        <f>IF(ISERROR((FB223/EZ223-1)*100),"NA",IF(((FB223/EZ223-1)*100)&gt;100,"NM",IF(((FB223/EZ223-1)*100)&lt;-50,"NM",(FB223/EZ223-1)*100)))</f>
        <v>NA</v>
      </c>
      <c r="FD223" s="75">
        <f>+S223+Q223+O223+M223</f>
        <v>3.6999999999999997</v>
      </c>
      <c r="FE223" s="79">
        <f>IF(ISERROR((FD223/FB223-1)*100),"NA",IF(((FD223/FB223-1)*100)&gt;100,"NM",IF(((FD223/FB223-1)*100)&lt;-50,"NM",(FD223/FB223-1)*100)))</f>
        <v>-2.6315789473684181</v>
      </c>
      <c r="FF223" s="251">
        <f>+AA223+Y223+W223+U223</f>
        <v>2.5</v>
      </c>
      <c r="FG223" s="79">
        <f>IF(ISERROR((FF223/FD223-1)*100),"NA",IF(((FF223/FD223-1)*100)&gt;100,"NM",IF(((FF223/FD223-1)*100)&lt;-50,"NM",(FF223/FD223-1)*100)))</f>
        <v>-32.432432432432421</v>
      </c>
      <c r="FH223" s="251">
        <f>+AI223+AG223+AE223+AC223</f>
        <v>2.2999999999999998</v>
      </c>
      <c r="FI223" s="79">
        <f>IF(ISERROR((FH223/FF223-1)*100),"NA",IF(((FH223/FF223-1)*100)&gt;100,"NM",IF(((FH223/FF223-1)*100)&lt;-50,"NM",(FH223/FF223-1)*100)))</f>
        <v>-8.0000000000000071</v>
      </c>
      <c r="FJ223" s="35">
        <f>+AQ223+AO223+AM223+AK223</f>
        <v>4.4000000000000004</v>
      </c>
      <c r="FK223" s="79">
        <f>IF(ISERROR((FJ223/FH223-1)*100),"NA",IF(((FJ223/FH223-1)*100)&gt;100,"NM",IF(((FJ223/FH223-1)*100)&lt;-50,"NM",(FJ223/FH223-1)*100)))</f>
        <v>91.304347826086982</v>
      </c>
      <c r="FL223" s="78">
        <f>AS223+AU223+AW223+AY223</f>
        <v>1.0999999999999999</v>
      </c>
      <c r="FM223" s="79" t="str">
        <f>IF(ISERROR((FL223/FJ223-1)*100),"NA",IF(((FL223/FJ223-1)*100)&gt;100,"NM",IF(((FL223/FJ223-1)*100)&lt;-50,"NM",(FL223/FJ223-1)*100)))</f>
        <v>NM</v>
      </c>
      <c r="FN223" s="78">
        <f>BA223+BC223+BE223+BG223</f>
        <v>0.89999999999999991</v>
      </c>
      <c r="FO223" s="79">
        <f>IF(ISERROR((FN223/FL223-1)*100),"NA",IF(((FN223/FL223-1)*100)&gt;100,"NM",IF(((FN223/FL223-1)*100)&lt;-50,"NM",(FN223/FL223-1)*100)))</f>
        <v>-18.181818181818176</v>
      </c>
      <c r="FP223" s="78">
        <f>BI223+BK223+BM223+BO223</f>
        <v>0.4</v>
      </c>
      <c r="FQ223" s="79" t="str">
        <f>IF(ISERROR((FP223/FN223-1)*100),"NA",IF(((FP223/FN223-1)*100)&gt;100,"NM",IF(((FP223/FN223-1)*100)&lt;-50,"NM",(FP223/FN223-1)*100)))</f>
        <v>NM</v>
      </c>
      <c r="FR223" s="96">
        <f>BQ223+BS223+BU223+BW223</f>
        <v>0.5</v>
      </c>
      <c r="FS223" s="79">
        <f>IF(ISERROR((FR223/FP223-1)*100),"NA",IF(((FR223/FP223-1)*100)&gt;100,"NM",IF(((FR223/FP223-1)*100)&lt;-50,"NM",(FR223/FP223-1)*100)))</f>
        <v>25</v>
      </c>
      <c r="FT223" s="96">
        <f>BY223+CA223+CC223+CE223</f>
        <v>0.7</v>
      </c>
      <c r="FU223" s="79">
        <f>IF(ISERROR((FT223/FR223-1)*100),"NA",IF(((FT223/FR223-1)*100)&gt;100,"NM",IF(((FT223/FR223-1)*100)&lt;-50,"NM",(FT223/FR223-1)*100)))</f>
        <v>39.999999999999993</v>
      </c>
      <c r="FV223" s="96">
        <f>CG223+CI223+CK223+CM223</f>
        <v>0.5</v>
      </c>
      <c r="FW223" s="79">
        <f>IF(ISERROR((FV223/FT223-1)*100),"NA",IF(((FV223/FT223-1)*100)&gt;100,"NM",IF(((FV223/FT223-1)*100)&lt;-50,"NM",(FV223/FT223-1)*100)))</f>
        <v>-28.571428571428569</v>
      </c>
      <c r="FX223" s="96">
        <f>CO223+CQ223+CS223+CU223</f>
        <v>0.30000000000000004</v>
      </c>
      <c r="FY223" s="79">
        <f>IF(ISERROR((FX223/FV223-1)*100),"NA",IF(((FX223/FV223-1)*100)&gt;100,"NM",IF(((FX223/FV223-1)*100)&lt;-50,"NM",(FX223/FV223-1)*100)))</f>
        <v>-39.999999999999993</v>
      </c>
      <c r="FZ223" s="96">
        <f>CW223+CY223+DA223+DC223</f>
        <v>0.2</v>
      </c>
      <c r="GA223" s="79">
        <f>IF(ISERROR((FZ223/FX223-1)*100),"NA",IF(((FZ223/FX223-1)*100)&gt;100,"NM",IF(((FZ223/FX223-1)*100)&lt;-50,"NM",(FZ223/FX223-1)*100)))</f>
        <v>-33.333333333333336</v>
      </c>
      <c r="GB223" s="96">
        <f>DE223+DG223+DI223+DK223</f>
        <v>0.1</v>
      </c>
      <c r="GC223" s="79">
        <f>IF(ISERROR((GB223/FZ223-1)*100),"NA",IF(((GB223/FZ223-1)*100)&gt;100,"NM",IF(((GB223/FZ223-1)*100)&lt;-50,"NM",(GB223/FZ223-1)*100)))</f>
        <v>-50</v>
      </c>
      <c r="GD223" s="96">
        <f>DM223+DO223+DQ223+DS223</f>
        <v>0.1</v>
      </c>
      <c r="GE223" s="79">
        <f>IF(ISERROR((GD223/GB223-1)*100),"NA",IF(((GD223/GB223-1)*100)&gt;100,"NM",IF(((GD223/GB223-1)*100)&lt;-50,"NM",(GD223/GB223-1)*100)))</f>
        <v>0</v>
      </c>
      <c r="GF223" s="96">
        <f>DU223+DW223+DY223+EA223</f>
        <v>1.2</v>
      </c>
      <c r="GG223" s="79" t="str">
        <f>IF(ISERROR((GF223/GD223-1)*100),"NA",IF(((GF223/GD223-1)*100)&gt;100,"NM",IF(((GF223/GD223-1)*100)&lt;-50,"NM",(GF223/GD223-1)*100)))</f>
        <v>NM</v>
      </c>
      <c r="GH223" s="96">
        <f>EC223+EE223+EG223+EI223</f>
        <v>1.1000000000000001</v>
      </c>
      <c r="GI223" s="79">
        <f>IF(ISERROR((GH223/GF223-1)*100),"NA",IF(((GH223/GF223-1)*100)&gt;100,"NM",IF(((GH223/GF223-1)*100)&lt;-50,"NM",(GH223/GF223-1)*100)))</f>
        <v>-8.333333333333325</v>
      </c>
      <c r="GJ223" s="96">
        <f>EK223+EM223+EO223+EQ223</f>
        <v>1.177</v>
      </c>
      <c r="GK223" s="79">
        <f>IF(ISERROR((GJ223/GH223-1)*100),"NA",IF(((GJ223/GH223-1)*100)&gt;100,"NM",IF(((GJ223/GH223-1)*100)&lt;-50,"NM",(GJ223/GH223-1)*100)))</f>
        <v>7.0000000000000062</v>
      </c>
      <c r="GL223" s="95">
        <f>GJ223*1.07</f>
        <v>1.2593900000000002</v>
      </c>
      <c r="GM223" s="79">
        <f>IF(ISERROR((GL223/GJ223-1)*100),"NA",IF(((GL223/GJ223-1)*100)&gt;100,"NM",IF(((GL223/GJ223-1)*100)&lt;-50,"NM",(GL223/GJ223-1)*100)))</f>
        <v>7.0000000000000062</v>
      </c>
      <c r="GN223" s="95">
        <f>GL223*1.07</f>
        <v>1.3475473000000002</v>
      </c>
      <c r="GO223" s="79">
        <f>IF(ISERROR((GN223/GL223-1)*100),"NA",IF(((GN223/GL223-1)*100)&gt;100,"NM",IF(((GN223/GL223-1)*100)&lt;-50,"NM",(GN223/GL223-1)*100)))</f>
        <v>7.0000000000000062</v>
      </c>
      <c r="GP223" s="95">
        <f>GN223*1.07</f>
        <v>1.4418756110000004</v>
      </c>
      <c r="GQ223" s="79">
        <f>IF(ISERROR((GP223/GN223-1)*100),"NA",IF(((GP223/GN223-1)*100)&gt;100,"NM",IF(((GP223/GN223-1)*100)&lt;-50,"NM",(GP223/GN223-1)*100)))</f>
        <v>7.0000000000000062</v>
      </c>
      <c r="GR223" s="95">
        <f>GP223*1.07</f>
        <v>1.5428069037700005</v>
      </c>
      <c r="GS223" s="79">
        <f>IF(ISERROR((GR223/GP223-1)*100),"NA",IF(((GR223/GP223-1)*100)&gt;100,"NM",IF(((GR223/GP223-1)*100)&lt;-50,"NM",(GR223/GP223-1)*100)))</f>
        <v>7.0000000000000062</v>
      </c>
      <c r="GT223" s="79">
        <f>IF(ISERROR(((GR223/GH223)^0.2-1)*100),"NA",(IF(OR(((GR223/GH223)^0.2-1)*100&gt;99,((GR223/GH223)^0.2-1)*100&lt;-50),"NM",(((GR223/GH223)^0.2-1)*100))))</f>
        <v>7.0000000000000062</v>
      </c>
      <c r="GU223" s="562"/>
      <c r="GV223" s="562"/>
      <c r="GW223"/>
      <c r="GX223"/>
      <c r="GY223"/>
      <c r="GZ223"/>
      <c r="HA223"/>
      <c r="HB223"/>
      <c r="HC223" s="562"/>
      <c r="HD223" s="562"/>
      <c r="HE223" s="562"/>
      <c r="HF223" s="562"/>
      <c r="HG223" s="562"/>
      <c r="HH223" s="562"/>
      <c r="HI223" s="562"/>
      <c r="HJ223" s="562"/>
      <c r="HK223" s="562"/>
      <c r="HL223" s="562"/>
      <c r="HM223" s="562"/>
      <c r="HN223" s="562"/>
      <c r="HO223" s="562"/>
      <c r="HP223" s="562"/>
      <c r="HQ223" s="562"/>
      <c r="HR223" s="562"/>
      <c r="HS223" s="562"/>
      <c r="HT223" s="562"/>
      <c r="HU223" s="562"/>
      <c r="HV223" s="562"/>
      <c r="HW223" s="562"/>
      <c r="HX223" s="562"/>
      <c r="HY223" s="562"/>
      <c r="HZ223" s="562"/>
      <c r="IA223" s="562"/>
      <c r="IB223" s="562"/>
      <c r="IC223" s="562"/>
      <c r="ID223" s="562"/>
      <c r="IE223" s="562"/>
      <c r="IF223" s="562"/>
      <c r="IG223" s="562"/>
      <c r="IH223" s="562"/>
      <c r="II223" s="562"/>
      <c r="IJ223" s="562"/>
      <c r="IK223" s="562"/>
      <c r="IL223" s="562"/>
      <c r="IM223" s="562"/>
      <c r="IN223" s="562"/>
      <c r="IO223" s="562"/>
      <c r="IP223" s="562"/>
      <c r="IQ223" s="562"/>
      <c r="IR223" s="562"/>
      <c r="IS223" s="562"/>
      <c r="IT223" s="562"/>
      <c r="IU223" s="562"/>
      <c r="IV223" s="562"/>
      <c r="IW223" s="562"/>
      <c r="IX223" s="562"/>
      <c r="IY223" s="562"/>
      <c r="IZ223" s="562"/>
      <c r="JA223" s="562"/>
      <c r="JB223" s="562"/>
      <c r="JC223" s="562"/>
      <c r="JD223" s="562"/>
      <c r="JE223" s="562"/>
      <c r="JF223" s="562"/>
      <c r="JG223" s="562"/>
      <c r="JH223" s="562"/>
      <c r="JI223" s="562"/>
      <c r="JJ223" s="562"/>
      <c r="JK223" s="562"/>
      <c r="JL223" s="562"/>
      <c r="JM223" s="562"/>
      <c r="JN223" s="562"/>
      <c r="JO223" s="562"/>
      <c r="JP223" s="562"/>
      <c r="JQ223" s="562"/>
      <c r="JR223" s="562"/>
      <c r="JS223" s="562"/>
      <c r="JT223" s="562"/>
      <c r="JU223" s="562"/>
      <c r="JV223" s="562"/>
      <c r="JW223" s="562"/>
      <c r="JX223" s="562"/>
      <c r="JY223" s="562"/>
      <c r="JZ223" s="562"/>
    </row>
    <row r="224" spans="1:286" s="83" customFormat="1" ht="12.75" customHeight="1" x14ac:dyDescent="0.2">
      <c r="A224" s="77"/>
      <c r="B224" s="83" t="s">
        <v>56</v>
      </c>
      <c r="C224" s="140"/>
      <c r="D224" s="140"/>
      <c r="E224" s="242">
        <f>+E223+E222+E221</f>
        <v>175.1</v>
      </c>
      <c r="F224" s="242"/>
      <c r="G224" s="242">
        <f>+G223+G222+G221</f>
        <v>174.5</v>
      </c>
      <c r="H224" s="243"/>
      <c r="I224" s="242">
        <f>+I223+I222+I221</f>
        <v>177.20000000000002</v>
      </c>
      <c r="J224" s="242"/>
      <c r="K224" s="242">
        <f>+K223+K222+K221</f>
        <v>171.7</v>
      </c>
      <c r="L224" s="79"/>
      <c r="M224" s="242">
        <f>+M223+M222+M221</f>
        <v>176</v>
      </c>
      <c r="N224" s="79">
        <f>IF(ISERROR((M224/E224-1)*100),"NA",IF(((M224/E224-1)*100)&gt;100,"NM",IF(((M224/E224-1)*100)&lt;-50,"NM",(M224/E224-1)*100)))</f>
        <v>0.51399200456883065</v>
      </c>
      <c r="O224" s="242">
        <f>+O223+O222+O221</f>
        <v>177.2</v>
      </c>
      <c r="P224" s="79">
        <f>IF(ISERROR((O224/G224-1)*100),"NA",IF(((O224/G224-1)*100)&gt;100,"NM",IF(((O224/G224-1)*100)&lt;-50,"NM",(O224/G224-1)*100)))</f>
        <v>1.5472779369627432</v>
      </c>
      <c r="Q224" s="242">
        <f>+Q223+Q222+Q221</f>
        <v>183</v>
      </c>
      <c r="R224" s="79">
        <f>IF(ISERROR((Q224/I224-1)*100),"NA",IF(((Q224/I224-1)*100)&gt;100,"NM",IF(((Q224/I224-1)*100)&lt;-50,"NM",(Q224/I224-1)*100)))</f>
        <v>3.2731376975169146</v>
      </c>
      <c r="S224" s="242">
        <f>+S223+S222+S221</f>
        <v>183.8</v>
      </c>
      <c r="T224" s="79">
        <f>IF(ISERROR((S224/K224-1)*100),"NA",IF(((S224/K224-1)*100)&gt;100,"NM",IF(((S224/K224-1)*100)&lt;-50,"NM",(S224/K224-1)*100)))</f>
        <v>7.0471753057658848</v>
      </c>
      <c r="U224" s="242">
        <f>+U223+U222+U221</f>
        <v>191.79999999999998</v>
      </c>
      <c r="V224" s="79">
        <f>IF(ISERROR((U224/M224-1)*100),"NA",IF(((U224/M224-1)*100)&gt;100,"NM",IF(((U224/M224-1)*100)&lt;-50,"NM",(U224/M224-1)*100)))</f>
        <v>8.9772727272727124</v>
      </c>
      <c r="W224" s="242">
        <f>+W223+W222+W221</f>
        <v>194.1</v>
      </c>
      <c r="X224" s="79">
        <f>IF(ISERROR((W224/O224-1)*100),"NA",IF(((W224/O224-1)*100)&gt;100,"NM",IF(((W224/O224-1)*100)&lt;-50,"NM",(W224/O224-1)*100)))</f>
        <v>9.5372460496613964</v>
      </c>
      <c r="Y224" s="242">
        <f>+Y223+Y222+Y221</f>
        <v>197.3</v>
      </c>
      <c r="Z224" s="79">
        <f>IF(ISERROR((Y224/Q224-1)*100),"NA",IF(((Y224/Q224-1)*100)&gt;100,"NM",IF(((Y224/Q224-1)*100)&lt;-50,"NM",(Y224/Q224-1)*100)))</f>
        <v>7.8142076502732305</v>
      </c>
      <c r="AA224" s="244">
        <f>+AA223+AA222+AA221</f>
        <v>202.79999999999998</v>
      </c>
      <c r="AB224" s="79">
        <f>IF(ISERROR((AA224/S224-1)*100),"NA",IF(((AA224/S224-1)*100)&gt;100,"NM",IF(((AA224/S224-1)*100)&lt;-50,"NM",(AA224/S224-1)*100)))</f>
        <v>10.337323177366686</v>
      </c>
      <c r="AC224" s="242">
        <f>+AC223+AC222+AC221</f>
        <v>204.2</v>
      </c>
      <c r="AD224" s="79">
        <f>IF(ISERROR((AC224/U224-1)*100),"NA",IF(((AC224/U224-1)*100)&gt;100,"NM",IF(((AC224/U224-1)*100)&lt;-50,"NM",(AC224/U224-1)*100)))</f>
        <v>6.4650677789364064</v>
      </c>
      <c r="AE224" s="242">
        <f>+AE223+AE222+AE221</f>
        <v>208.4</v>
      </c>
      <c r="AF224" s="79">
        <f>IF(ISERROR((AE224/W224-1)*100),"NA",IF(((AE224/W224-1)*100)&gt;100,"NM",IF(((AE224/W224-1)*100)&lt;-50,"NM",(AE224/W224-1)*100)))</f>
        <v>7.3673364245234518</v>
      </c>
      <c r="AG224" s="242">
        <f>+AG223+AG222+AG221</f>
        <v>210.6</v>
      </c>
      <c r="AH224" s="79">
        <f>IF(ISERROR((AG224/Y224-1)*100),"NA",IF(((AG224/Y224-1)*100)&gt;100,"NM",IF(((AG224/Y224-1)*100)&lt;-50,"NM",(AG224/Y224-1)*100)))</f>
        <v>6.7410035478965957</v>
      </c>
      <c r="AI224" s="242">
        <f>+AI223+AI222+AI221</f>
        <v>214.6</v>
      </c>
      <c r="AJ224" s="79">
        <f>IF(ISERROR((AI224/AA224-1)*100),"NA",IF(((AI224/AA224-1)*100)&gt;100,"NM",IF(((AI224/AA224-1)*100)&lt;-50,"NM",(AI224/AA224-1)*100)))</f>
        <v>5.8185404339250457</v>
      </c>
      <c r="AK224" s="242">
        <f>+AK223+AK222+AK221</f>
        <v>219.7</v>
      </c>
      <c r="AL224" s="79">
        <f>IF(ISERROR((AK224/AC224-1)*100),"NA",IF(((AK224/AC224-1)*100)&gt;100,"NM",IF(((AK224/AC224-1)*100)&lt;-50,"NM",(AK224/AC224-1)*100)))</f>
        <v>7.5905974534769882</v>
      </c>
      <c r="AM224" s="242">
        <f>+AM223+AM222+AM221</f>
        <v>219.9</v>
      </c>
      <c r="AN224" s="79">
        <f>IF(ISERROR((AM224/AE224-1)*100),"NA",IF(((AM224/AE224-1)*100)&gt;100,"NM",IF(((AM224/AE224-1)*100)&lt;-50,"NM",(AM224/AE224-1)*100)))</f>
        <v>5.5182341650671818</v>
      </c>
      <c r="AO224" s="242">
        <f>+AO223+AO222+AO221</f>
        <v>222.1</v>
      </c>
      <c r="AP224" s="79">
        <f>IF(ISERROR((AO224/AG224-1)*100),"NA",IF(((AO224/AG224-1)*100)&gt;100,"NM",IF(((AO224/AG224-1)*100)&lt;-50,"NM",(AO224/AG224-1)*100)))</f>
        <v>5.4605887939221276</v>
      </c>
      <c r="AQ224" s="242">
        <f>+AQ223+AQ222+AQ221</f>
        <v>225.7</v>
      </c>
      <c r="AR224" s="79">
        <f>IF(ISERROR((AQ224/AI224-1)*100),"NA",IF(((AQ224/AI224-1)*100)&gt;100,"NM",IF(((AQ224/AI224-1)*100)&lt;-50,"NM",(AQ224/AI224-1)*100)))</f>
        <v>5.1724137931034475</v>
      </c>
      <c r="AS224" s="242">
        <f>+AS223+AS222+AS221</f>
        <v>225.5</v>
      </c>
      <c r="AT224" s="81">
        <f>IF(ISERROR((AS224/AK224-1)*100),"NA",IF(((AS224/AK224-1)*100)&gt;100,"NM",IF(((AS224/AK224-1)*100)&lt;-50,"NM",(AS224/AK224-1)*100)))</f>
        <v>2.6399635867091487</v>
      </c>
      <c r="AU224" s="242">
        <f>+AU223+AU222+AU221</f>
        <v>233.3</v>
      </c>
      <c r="AV224" s="81">
        <f>IF(ISERROR((AU224/AM224-1)*100),"NA",IF(((AU224/AM224-1)*100)&gt;100,"NM",IF(((AU224/AM224-1)*100)&lt;-50,"NM",(AU224/AM224-1)*100)))</f>
        <v>6.0936789449749895</v>
      </c>
      <c r="AW224" s="242">
        <f>+AW223+AW222+AW221</f>
        <v>236.60000000000002</v>
      </c>
      <c r="AX224" s="81">
        <f>IF(ISERROR((AW224/AO224-1)*100),"NA",IF(((AW224/AO224-1)*100)&gt;100,"NM",IF(((AW224/AO224-1)*100)&lt;-50,"NM",(AW224/AO224-1)*100)))</f>
        <v>6.5285907248987085</v>
      </c>
      <c r="AY224" s="242">
        <f>+AY223+AY222+AY221</f>
        <v>241.39999999999998</v>
      </c>
      <c r="AZ224" s="81">
        <f>IF(ISERROR((AY224/AQ224-1)*100),"NA",IF(((AY224/AQ224-1)*100)&gt;100,"NM",IF(((AY224/AQ224-1)*100)&lt;-50,"NM",(AY224/AQ224-1)*100)))</f>
        <v>6.9561364643331736</v>
      </c>
      <c r="BA224" s="242">
        <f>+BA223+BA222+BA221</f>
        <v>248.1</v>
      </c>
      <c r="BB224" s="81">
        <f>IF(ISERROR((BA224/AS224-1)*100),"NA",IF(((BA224/AS224-1)*100)&gt;100,"NM",IF(((BA224/AS224-1)*100)&lt;-50,"NM",(BA224/AS224-1)*100)))</f>
        <v>10.022172949002206</v>
      </c>
      <c r="BC224" s="242">
        <f>+BC223+BC222+BC221</f>
        <v>250</v>
      </c>
      <c r="BD224" s="81">
        <f>IF(ISERROR((BC224/AU224-1)*100),"NA",IF(((BC224/AU224-1)*100)&gt;100,"NM",IF(((BC224/AU224-1)*100)&lt;-50,"NM",(BC224/AU224-1)*100)))</f>
        <v>7.1581654522074434</v>
      </c>
      <c r="BE224" s="242">
        <f>+BE223+BE222+BE221</f>
        <v>252.2</v>
      </c>
      <c r="BF224" s="81">
        <f>IF(ISERROR((BE224/AW224-1)*100),"NA",IF(((BE224/AW224-1)*100)&gt;100,"NM",IF(((BE224/AW224-1)*100)&lt;-50,"NM",(BE224/AW224-1)*100)))</f>
        <v>6.59340659340657</v>
      </c>
      <c r="BG224" s="242">
        <f>+BG223+BG222+BG221</f>
        <v>257.60000000000002</v>
      </c>
      <c r="BH224" s="81">
        <f>IF(ISERROR((BG224/AY224-1)*100),"NA",IF(((BG224/AY224-1)*100)&gt;100,"NM",IF(((BG224/AY224-1)*100)&lt;-50,"NM",(BG224/AY224-1)*100)))</f>
        <v>6.7108533554266936</v>
      </c>
      <c r="BI224" s="242">
        <f>+BI223+BI222+BI221</f>
        <v>266.39999999999998</v>
      </c>
      <c r="BJ224" s="81">
        <f>IF(ISERROR((BI224/BA224-1)*100),"NA",IF(((BI224/BA224-1)*100)&gt;100,"NM",IF(((BI224/BA224-1)*100)&lt;-50,"NM",(BI224/BA224-1)*100)))</f>
        <v>7.3760580411124543</v>
      </c>
      <c r="BK224" s="242">
        <f>+BK223+BK222+BK221</f>
        <v>269.10000000000002</v>
      </c>
      <c r="BL224" s="81">
        <f>IF(ISERROR((BK224/BC224-1)*100),"NA",IF(((BK224/BC224-1)*100)&gt;100,"NM",IF(((BK224/BC224-1)*100)&lt;-50,"NM",(BK224/BC224-1)*100)))</f>
        <v>7.6400000000000023</v>
      </c>
      <c r="BM224" s="242">
        <f>+BM223+BM222+BM221</f>
        <v>271.8</v>
      </c>
      <c r="BN224" s="81">
        <f>IF(ISERROR((BM224/BE224-1)*100),"NA",IF(((BM224/BE224-1)*100)&gt;100,"NM",IF(((BM224/BE224-1)*100)&lt;-50,"NM",(BM224/BE224-1)*100)))</f>
        <v>7.7716098334655204</v>
      </c>
      <c r="BO224" s="242">
        <f>+BO223+BO222+BO221</f>
        <v>276.10000000000002</v>
      </c>
      <c r="BP224" s="81">
        <f>IF(ISERROR((BO224/BG224-1)*100),"NA",IF(((BO224/BG224-1)*100)&gt;100,"NM",IF(((BO224/BG224-1)*100)&lt;-50,"NM",(BO224/BG224-1)*100)))</f>
        <v>7.1816770186335477</v>
      </c>
      <c r="BQ224" s="242">
        <f>+BQ223+BQ222+BQ221</f>
        <v>281.10000000000002</v>
      </c>
      <c r="BR224" s="81">
        <f>IF(ISERROR((BQ224/BI224-1)*100),"NA",IF(((BQ224/BI224-1)*100)&gt;100,"NM",IF(((BQ224/BI224-1)*100)&lt;-50,"NM",(BQ224/BI224-1)*100)))</f>
        <v>5.5180180180180338</v>
      </c>
      <c r="BS224" s="242">
        <f>+BS223+BS222+BS221</f>
        <v>279.40000000000003</v>
      </c>
      <c r="BT224" s="81">
        <f>IF(ISERROR((BS224/BK224-1)*100),"NA",IF(((BS224/BK224-1)*100)&gt;100,"NM",IF(((BS224/BK224-1)*100)&lt;-50,"NM",(BS224/BK224-1)*100)))</f>
        <v>3.827573392790784</v>
      </c>
      <c r="BU224" s="242">
        <f>+BU223+BU222+BU221</f>
        <v>283</v>
      </c>
      <c r="BV224" s="81">
        <f>IF(ISERROR((BU224/BM224-1)*100),"NA",IF(((BU224/BM224-1)*100)&gt;100,"NM",IF(((BU224/BM224-1)*100)&lt;-50,"NM",(BU224/BM224-1)*100)))</f>
        <v>4.1206769683590938</v>
      </c>
      <c r="BW224" s="242">
        <f>+BW223+BW222+BW221</f>
        <v>286.39999999999998</v>
      </c>
      <c r="BX224" s="81">
        <f>IF(ISERROR((BW224/BO224-1)*100),"NA",IF(((BW224/BO224-1)*100)&gt;100,"NM",IF(((BW224/BO224-1)*100)&lt;-50,"NM",(BW224/BO224-1)*100)))</f>
        <v>3.7305324157913544</v>
      </c>
      <c r="BY224" s="242">
        <f>+BY223+BY222+BY221</f>
        <v>295.20000000000005</v>
      </c>
      <c r="BZ224" s="81">
        <f>IF(ISERROR((BY224/BQ224-1)*100),"NA",IF(((BY224/BQ224-1)*100)&gt;100,"NM",IF(((BY224/BQ224-1)*100)&lt;-50,"NM",(BY224/BQ224-1)*100)))</f>
        <v>5.0160085378868846</v>
      </c>
      <c r="CA224" s="242">
        <f>+CA223+CA222+CA221</f>
        <v>297.09999999999997</v>
      </c>
      <c r="CB224" s="81">
        <f>IF(ISERROR((CA224/BS224-1)*100),"NA",IF(((CA224/BS224-1)*100)&gt;100,"NM",IF(((CA224/BS224-1)*100)&lt;-50,"NM",(CA224/BS224-1)*100)))</f>
        <v>6.3350035790980419</v>
      </c>
      <c r="CC224" s="242">
        <f>+CC223+CC222+CC221</f>
        <v>301.40000000000003</v>
      </c>
      <c r="CD224" s="81">
        <f>IF(ISERROR((CC224/BU224-1)*100),"NA",IF(((CC224/BU224-1)*100)&gt;100,"NM",IF(((CC224/BU224-1)*100)&lt;-50,"NM",(CC224/BU224-1)*100)))</f>
        <v>6.5017667844523119</v>
      </c>
      <c r="CE224" s="242">
        <f>+CE223+CE222+CE221</f>
        <v>305.20000000000005</v>
      </c>
      <c r="CF224" s="81">
        <f>IF(ISERROR((CE224/BW224-1)*100),"NA",IF(((CE224/BW224-1)*100)&gt;100,"NM",IF(((CE224/BW224-1)*100)&lt;-50,"NM",(CE224/BW224-1)*100)))</f>
        <v>6.5642458100558798</v>
      </c>
      <c r="CG224" s="242">
        <f>+CG223+CG222+CG221</f>
        <v>311.79999999999995</v>
      </c>
      <c r="CH224" s="81">
        <f>IF(ISERROR((CG224/BY224-1)*100),"NA",IF(((CG224/BY224-1)*100)&gt;100,"NM",IF(((CG224/BY224-1)*100)&lt;-50,"NM",(CG224/BY224-1)*100)))</f>
        <v>5.6233062330623085</v>
      </c>
      <c r="CI224" s="242">
        <f>+CI223+CI222+CI221</f>
        <v>318</v>
      </c>
      <c r="CJ224" s="81">
        <f>IF(ISERROR((CI224/CA224-1)*100),"NA",IF(((CI224/CA224-1)*100)&gt;100,"NM",IF(((CI224/CA224-1)*100)&lt;-50,"NM",(CI224/CA224-1)*100)))</f>
        <v>7.0346684617973887</v>
      </c>
      <c r="CK224" s="242">
        <f>+CK223+CK222+CK221</f>
        <v>316.3</v>
      </c>
      <c r="CL224" s="81">
        <f>IF(ISERROR((CK224/CC224-1)*100),"NA",IF(((CK224/CC224-1)*100)&gt;100,"NM",IF(((CK224/CC224-1)*100)&lt;-50,"NM",(CK224/CC224-1)*100)))</f>
        <v>4.9435965494359468</v>
      </c>
      <c r="CM224" s="242">
        <f>+CM223+CM222+CM221</f>
        <v>322.09999999999997</v>
      </c>
      <c r="CN224" s="81">
        <f>IF(ISERROR((CM224/CE224-1)*100),"NA",IF(((CM224/CE224-1)*100)&gt;100,"NM",IF(((CM224/CE224-1)*100)&lt;-50,"NM",(CM224/CE224-1)*100)))</f>
        <v>5.5373525557011583</v>
      </c>
      <c r="CO224" s="242">
        <f>+CO223+CO222+CO221</f>
        <v>332</v>
      </c>
      <c r="CP224" s="81">
        <f>IF(ISERROR((CO224/CG224-1)*100),"NA",IF(((CO224/CG224-1)*100)&gt;100,"NM",IF(((CO224/CG224-1)*100)&lt;-50,"NM",(CO224/CG224-1)*100)))</f>
        <v>6.4785118665811492</v>
      </c>
      <c r="CQ224" s="242">
        <f>+CQ223+CQ222+CQ221</f>
        <v>331</v>
      </c>
      <c r="CR224" s="81">
        <f>IF(ISERROR((CQ224/CI224-1)*100),"NA",IF(((CQ224/CI224-1)*100)&gt;100,"NM",IF(((CQ224/CI224-1)*100)&lt;-50,"NM",(CQ224/CI224-1)*100)))</f>
        <v>4.088050314465419</v>
      </c>
      <c r="CS224" s="242">
        <f>+CS223+CS222+CS221</f>
        <v>333.29999999999995</v>
      </c>
      <c r="CT224" s="81">
        <f>IF(ISERROR((CS224/CK224-1)*100),"NA",IF(((CS224/CK224-1)*100)&gt;100,"NM",IF(((CS224/CK224-1)*100)&lt;-50,"NM",(CS224/CK224-1)*100)))</f>
        <v>5.3746443250078935</v>
      </c>
      <c r="CU224" s="242">
        <f>+CU223+CU222+CU221</f>
        <v>337.09999999999997</v>
      </c>
      <c r="CV224" s="81">
        <f>IF(ISERROR((CU224/CM224-1)*100),"NA",IF(((CU224/CM224-1)*100)&gt;100,"NM",IF(((CU224/CM224-1)*100)&lt;-50,"NM",(CU224/CM224-1)*100)))</f>
        <v>4.6569388388699062</v>
      </c>
      <c r="CW224" s="242">
        <f>+CW223+CW222+CW221</f>
        <v>346.5</v>
      </c>
      <c r="CX224" s="81">
        <f>IF(ISERROR((CW224/CO224-1)*100),"NA",IF(((CW224/CO224-1)*100)&gt;100,"NM",IF(((CW224/CO224-1)*100)&lt;-50,"NM",(CW224/CO224-1)*100)))</f>
        <v>4.3674698795180822</v>
      </c>
      <c r="CY224" s="242">
        <f>+CY223+CY222+CY221</f>
        <v>342</v>
      </c>
      <c r="CZ224" s="81">
        <f>IF(ISERROR((CY224/CQ224-1)*100),"NA",IF(((CY224/CQ224-1)*100)&gt;100,"NM",IF(((CY224/CQ224-1)*100)&lt;-50,"NM",(CY224/CQ224-1)*100)))</f>
        <v>3.3232628398791597</v>
      </c>
      <c r="DA224" s="242">
        <f>+DA223+DA222+DA221</f>
        <v>345</v>
      </c>
      <c r="DB224" s="81">
        <f>IF(ISERROR((DA224/CS224-1)*100),"NA",IF(((DA224/CS224-1)*100)&gt;100,"NM",IF(((DA224/CS224-1)*100)&lt;-50,"NM",(DA224/CS224-1)*100)))</f>
        <v>3.5103510351035316</v>
      </c>
      <c r="DC224" s="242">
        <f>+DC223+DC222+DC221</f>
        <v>343</v>
      </c>
      <c r="DD224" s="81">
        <f>IF(ISERROR((DC224/CU224-1)*100),"NA",IF(((DC224/CU224-1)*100)&gt;100,"NM",IF(((DC224/CU224-1)*100)&lt;-50,"NM",(DC224/CU224-1)*100)))</f>
        <v>1.7502224859092363</v>
      </c>
      <c r="DE224" s="242">
        <f>+DE223+DE222+DE221</f>
        <v>352.9</v>
      </c>
      <c r="DF224" s="81">
        <f>IF(ISERROR((DE224/CW224-1)*100),"NA",IF(((DE224/CW224-1)*100)&gt;100,"NM",IF(((DE224/CW224-1)*100)&lt;-50,"NM",(DE224/CW224-1)*100)))</f>
        <v>1.8470418470418304</v>
      </c>
      <c r="DG224" s="242">
        <f>+DG223+DG222+DG221</f>
        <v>352.7</v>
      </c>
      <c r="DH224" s="81">
        <f>IF(ISERROR((DG224/CY224-1)*100),"NA",IF(((DG224/CY224-1)*100)&gt;100,"NM",IF(((DG224/CY224-1)*100)&lt;-50,"NM",(DG224/CY224-1)*100)))</f>
        <v>3.1286549707602251</v>
      </c>
      <c r="DI224" s="242">
        <f>+DI223+DI222+DI221</f>
        <v>355</v>
      </c>
      <c r="DJ224" s="81">
        <f>IF(ISERROR((DI224/DA224-1)*100),"NA",IF(((DI224/DA224-1)*100)&gt;100,"NM",IF(((DI224/DA224-1)*100)&lt;-50,"NM",(DI224/DA224-1)*100)))</f>
        <v>2.8985507246376718</v>
      </c>
      <c r="DK224" s="242">
        <f>+DK223+DK222+DK221</f>
        <v>358.70000000000005</v>
      </c>
      <c r="DL224" s="81">
        <f>IF(ISERROR((DK224/DC224-1)*100),"NA",IF(((DK224/DC224-1)*100)&gt;100,"NM",IF(((DK224/DC224-1)*100)&lt;-50,"NM",(DK224/DC224-1)*100)))</f>
        <v>4.5772594752186757</v>
      </c>
      <c r="DM224" s="242">
        <f>+DM223+DM222+DM221</f>
        <v>369.2</v>
      </c>
      <c r="DN224" s="81">
        <f>IF(ISERROR((DM224/DE224-1)*100),"NA",IF(((DM224/DE224-1)*100)&gt;100,"NM",IF(((DM224/DE224-1)*100)&lt;-50,"NM",(DM224/DE224-1)*100)))</f>
        <v>4.618872201756874</v>
      </c>
      <c r="DO224" s="242">
        <f>+DO223+DO222+DO221</f>
        <v>372.79999999999995</v>
      </c>
      <c r="DP224" s="81">
        <f>IF(ISERROR((DO224/DG224-1)*100),"NA",IF(((DO224/DG224-1)*100)&gt;100,"NM",IF(((DO224/DG224-1)*100)&lt;-50,"NM",(DO224/DG224-1)*100)))</f>
        <v>5.6988942444003321</v>
      </c>
      <c r="DQ224" s="242">
        <f>+DQ223+DQ222+DQ221</f>
        <v>369.1</v>
      </c>
      <c r="DR224" s="81">
        <f>IF(ISERROR((DQ224/DI224-1)*100),"NA",IF(((DQ224/DI224-1)*100)&gt;100,"NM",IF(((DQ224/DI224-1)*100)&lt;-50,"NM",(DQ224/DI224-1)*100)))</f>
        <v>3.9718309859154921</v>
      </c>
      <c r="DS224" s="242">
        <f>+DS223+DS222+DS221</f>
        <v>373</v>
      </c>
      <c r="DT224" s="81">
        <f>IF(ISERROR((DS224/DK224-1)*100),"NA",IF(((DS224/DK224-1)*100)&gt;100,"NM",IF(((DS224/DK224-1)*100)&lt;-50,"NM",(DS224/DK224-1)*100)))</f>
        <v>3.9866183440200542</v>
      </c>
      <c r="DU224" s="242">
        <f>+DU223+DU222+DU221</f>
        <v>385.5</v>
      </c>
      <c r="DV224" s="81">
        <f>IF(ISERROR((DU224/DM224-1)*100),"NA",IF(((DU224/DM224-1)*100)&gt;100,"NM",IF(((DU224/DM224-1)*100)&lt;-50,"NM",(DU224/DM224-1)*100)))</f>
        <v>4.4149512459371598</v>
      </c>
      <c r="DW224" s="242">
        <f>+DW223+DW222+DW221</f>
        <v>387.29999999999995</v>
      </c>
      <c r="DX224" s="81">
        <f>IF(ISERROR((DW224/DO224-1)*100),"NA",IF(((DW224/DO224-1)*100)&gt;100,"NM",IF(((DW224/DO224-1)*100)&lt;-50,"NM",(DW224/DO224-1)*100)))</f>
        <v>3.8894849785407803</v>
      </c>
      <c r="DY224" s="242">
        <f>+DY223+DY222+DY221</f>
        <v>390.6</v>
      </c>
      <c r="DZ224" s="81">
        <f>IF(ISERROR((DY224/DQ224-1)*100),"NA",IF(((DY224/DQ224-1)*100)&gt;100,"NM",IF(((DY224/DQ224-1)*100)&lt;-50,"NM",(DY224/DQ224-1)*100)))</f>
        <v>5.8249796803034437</v>
      </c>
      <c r="EA224" s="242">
        <f>+EA223+EA222+EA221</f>
        <v>396.4</v>
      </c>
      <c r="EB224" s="81">
        <f>IF(ISERROR((EA224/DS224-1)*100),"NA",IF(((EA224/DS224-1)*100)&gt;100,"NM",IF(((EA224/DS224-1)*100)&lt;-50,"NM",(EA224/DS224-1)*100)))</f>
        <v>6.2734584450402142</v>
      </c>
      <c r="EC224" s="242">
        <f>+EC223+EC222+EC221</f>
        <v>409.7</v>
      </c>
      <c r="ED224" s="81">
        <f t="shared" si="707"/>
        <v>6.2775616083009078</v>
      </c>
      <c r="EE224" s="242">
        <f t="shared" ref="EE224:EG224" si="723">+EE223+EE222+EE221</f>
        <v>413.20000000000005</v>
      </c>
      <c r="EF224" s="81">
        <f t="shared" si="708"/>
        <v>6.6873224890266147</v>
      </c>
      <c r="EG224" s="242">
        <f t="shared" si="723"/>
        <v>415</v>
      </c>
      <c r="EH224" s="81">
        <f t="shared" si="709"/>
        <v>6.2467997951868748</v>
      </c>
      <c r="EI224" s="242">
        <f t="shared" ref="EI224" si="724">+EI223+EI222+EI221</f>
        <v>419.5</v>
      </c>
      <c r="EJ224" s="81">
        <f t="shared" si="710"/>
        <v>5.827447023208876</v>
      </c>
      <c r="EK224" s="242">
        <f t="shared" ref="EK224:EQ224" si="725">+EK223+EK222+EK221</f>
        <v>427.3485</v>
      </c>
      <c r="EL224" s="81">
        <f t="shared" si="711"/>
        <v>4.3076641444959707</v>
      </c>
      <c r="EM224" s="242">
        <f t="shared" si="725"/>
        <v>435.22276750000003</v>
      </c>
      <c r="EN224" s="81">
        <f t="shared" si="712"/>
        <v>5.3298082042594341</v>
      </c>
      <c r="EO224" s="242">
        <f t="shared" si="725"/>
        <v>443.46786393750006</v>
      </c>
      <c r="EP224" s="81">
        <f t="shared" si="713"/>
        <v>6.85972625000002</v>
      </c>
      <c r="EQ224" s="242">
        <f t="shared" si="725"/>
        <v>451.76591190918759</v>
      </c>
      <c r="ER224" s="81">
        <f t="shared" si="714"/>
        <v>7.6915165456943102</v>
      </c>
      <c r="ES224" s="138"/>
      <c r="ET224" s="470"/>
      <c r="EU224" s="138"/>
      <c r="EV224" s="242"/>
      <c r="EW224" s="140"/>
      <c r="EX224" s="242"/>
      <c r="EY224" s="79"/>
      <c r="EZ224" s="242"/>
      <c r="FA224" s="79"/>
      <c r="FB224" s="242">
        <f>SUM(FB221:FB223)</f>
        <v>698.5</v>
      </c>
      <c r="FC224" s="79" t="str">
        <f>IF(ISERROR((FB224/EZ224-1)*100),"NA",IF(((FB224/EZ224-1)*100)&gt;100,"NM",IF(((FB224/EZ224-1)*100)&lt;-50,"NM",(FB224/EZ224-1)*100)))</f>
        <v>NA</v>
      </c>
      <c r="FD224" s="242">
        <f>SUM(FD221:FD223)</f>
        <v>720.00000000000011</v>
      </c>
      <c r="FE224" s="79">
        <f>IF(ISERROR((FD224/FB224-1)*100),"NA",IF(((FD224/FB224-1)*100)&gt;100,"NM",IF(((FD224/FB224-1)*100)&lt;-50,"NM",(FD224/FB224-1)*100)))</f>
        <v>3.0780243378668803</v>
      </c>
      <c r="FF224" s="242">
        <f>+FF223+FF222+FF221</f>
        <v>786</v>
      </c>
      <c r="FG224" s="79">
        <f>IF(ISERROR((FF224/FD224-1)*100),"NA",IF(((FF224/FD224-1)*100)&gt;100,"NM",IF(((FF224/FD224-1)*100)&lt;-50,"NM",(FF224/FD224-1)*100)))</f>
        <v>9.1666666666666572</v>
      </c>
      <c r="FH224" s="242">
        <f>+FH223+FH222+FH221</f>
        <v>837.8</v>
      </c>
      <c r="FI224" s="79">
        <f>IF(ISERROR((FH224/FF224-1)*100),"NA",IF(((FH224/FF224-1)*100)&gt;100,"NM",IF(((FH224/FF224-1)*100)&lt;-50,"NM",(FH224/FF224-1)*100)))</f>
        <v>6.5903307888040663</v>
      </c>
      <c r="FJ224" s="242">
        <f>+FJ223+FJ222+FJ221</f>
        <v>887.4</v>
      </c>
      <c r="FK224" s="79">
        <f>IF(ISERROR((FJ224/FH224-1)*100),"NA",IF(((FJ224/FH224-1)*100)&gt;100,"NM",IF(((FJ224/FH224-1)*100)&lt;-50,"NM",(FJ224/FH224-1)*100)))</f>
        <v>5.9202673669133565</v>
      </c>
      <c r="FL224" s="242">
        <f>+FL223+FL222+FL221</f>
        <v>936.80000000000018</v>
      </c>
      <c r="FM224" s="79">
        <f>IF(ISERROR((FL224/FJ224-1)*100),"NA",IF(((FL224/FJ224-1)*100)&gt;100,"NM",IF(((FL224/FJ224-1)*100)&lt;-50,"NM",(FL224/FJ224-1)*100)))</f>
        <v>5.566824430921824</v>
      </c>
      <c r="FN224" s="242">
        <f>+FN223+FN222+FN221</f>
        <v>1007.9000000000001</v>
      </c>
      <c r="FO224" s="79">
        <f>IF(ISERROR((FN224/FL224-1)*100),"NA",IF(((FN224/FL224-1)*100)&gt;100,"NM",IF(((FN224/FL224-1)*100)&lt;-50,"NM",(FN224/FL224-1)*100)))</f>
        <v>7.589666951323637</v>
      </c>
      <c r="FP224" s="242">
        <f>+FP223+FP222+FP221</f>
        <v>1083.4000000000001</v>
      </c>
      <c r="FQ224" s="79">
        <f>IF(ISERROR((FP224/FN224-1)*100),"NA",IF(((FP224/FN224-1)*100)&gt;100,"NM",IF(((FP224/FN224-1)*100)&lt;-50,"NM",(FP224/FN224-1)*100)))</f>
        <v>7.4908225022323638</v>
      </c>
      <c r="FR224" s="242">
        <f>+FR223+FR222+FR221</f>
        <v>1129.9000000000001</v>
      </c>
      <c r="FS224" s="79">
        <f>IF(ISERROR((FR224/FP224-1)*100),"NA",IF(((FR224/FP224-1)*100)&gt;100,"NM",IF(((FR224/FP224-1)*100)&lt;-50,"NM",(FR224/FP224-1)*100)))</f>
        <v>4.2920435665497525</v>
      </c>
      <c r="FT224" s="242">
        <f>+FT223+FT222+FT221</f>
        <v>1198.8999999999999</v>
      </c>
      <c r="FU224" s="79">
        <f>IF(ISERROR((FT224/FR224-1)*100),"NA",IF(((FT224/FR224-1)*100)&gt;100,"NM",IF(((FT224/FR224-1)*100)&lt;-50,"NM",(FT224/FR224-1)*100)))</f>
        <v>6.1067351093016864</v>
      </c>
      <c r="FV224" s="242">
        <f>+FV223+FV222+FV221</f>
        <v>1268.1999999999998</v>
      </c>
      <c r="FW224" s="79">
        <f>IF(ISERROR((FV224/FT224-1)*100),"NA",IF(((FV224/FT224-1)*100)&gt;100,"NM",IF(((FV224/FT224-1)*100)&lt;-50,"NM",(FV224/FT224-1)*100)))</f>
        <v>5.7802986070564666</v>
      </c>
      <c r="FX224" s="242">
        <f>+FX223+FX222+FX221</f>
        <v>1332.5</v>
      </c>
      <c r="FY224" s="79">
        <f>IF(ISERROR((FX224/FV224-1)*100),"NA",IF(((FX224/FV224-1)*100)&gt;100,"NM",IF(((FX224/FV224-1)*100)&lt;-50,"NM",(FX224/FV224-1)*100)))</f>
        <v>5.0701782053304001</v>
      </c>
      <c r="FZ224" s="242">
        <f>+FZ223+FZ222+FZ221</f>
        <v>1376.5</v>
      </c>
      <c r="GA224" s="79">
        <f>IF(ISERROR((FZ224/FX224-1)*100),"NA",IF(((FZ224/FX224-1)*100)&gt;100,"NM",IF(((FZ224/FX224-1)*100)&lt;-50,"NM",(FZ224/FX224-1)*100)))</f>
        <v>3.3020637898686589</v>
      </c>
      <c r="GB224" s="242">
        <f>+GB223+GB222+GB221</f>
        <v>1419.3</v>
      </c>
      <c r="GC224" s="79">
        <f>IF(ISERROR((GB224/FZ224-1)*100),"NA",IF(((GB224/FZ224-1)*100)&gt;100,"NM",IF(((GB224/FZ224-1)*100)&lt;-50,"NM",(GB224/FZ224-1)*100)))</f>
        <v>3.1093352706138777</v>
      </c>
      <c r="GD224" s="242">
        <f>+GD223+GD222+GD221</f>
        <v>1484.1</v>
      </c>
      <c r="GE224" s="79">
        <f>IF(ISERROR((GD224/GB224-1)*100),"NA",IF(((GD224/GB224-1)*100)&gt;100,"NM",IF(((GD224/GB224-1)*100)&lt;-50,"NM",(GD224/GB224-1)*100)))</f>
        <v>4.5656309448319554</v>
      </c>
      <c r="GF224" s="242">
        <f>+GF223+GF222+GF221</f>
        <v>1559.8</v>
      </c>
      <c r="GG224" s="79">
        <f>IF(ISERROR((GF224/GD224-1)*100),"NA",IF(((GF224/GD224-1)*100)&gt;100,"NM",IF(((GF224/GD224-1)*100)&lt;-50,"NM",(GF224/GD224-1)*100)))</f>
        <v>5.100734451856348</v>
      </c>
      <c r="GH224" s="242">
        <f>+GH223+GH222+GH221</f>
        <v>1657.4</v>
      </c>
      <c r="GI224" s="79">
        <f>IF(ISERROR((GH224/GF224-1)*100),"NA",IF(((GH224/GF224-1)*100)&gt;100,"NM",IF(((GH224/GF224-1)*100)&lt;-50,"NM",(GH224/GF224-1)*100)))</f>
        <v>6.257212463136308</v>
      </c>
      <c r="GJ224" s="242">
        <f>+GJ223+GJ222+GJ221</f>
        <v>1757.8050433466876</v>
      </c>
      <c r="GK224" s="79">
        <f>IF(ISERROR((GJ224/GH224-1)*100),"NA",IF(((GJ224/GH224-1)*100)&gt;100,"NM",IF(((GJ224/GH224-1)*100)&lt;-50,"NM",(GJ224/GH224-1)*100)))</f>
        <v>6.0579849973867228</v>
      </c>
      <c r="GL224" s="242">
        <f>+GL223+GL222+GL221</f>
        <v>1793.0199942136214</v>
      </c>
      <c r="GM224" s="79">
        <f>IF(ISERROR((GL224/GJ224-1)*100),"NA",IF(((GL224/GJ224-1)*100)&gt;100,"NM",IF(((GL224/GJ224-1)*100)&lt;-50,"NM",(GL224/GJ224-1)*100)))</f>
        <v>2.0033479253130482</v>
      </c>
      <c r="GN224" s="242">
        <f>+GN223+GN222+GN221</f>
        <v>1828.9433635978939</v>
      </c>
      <c r="GO224" s="79">
        <f>IF(ISERROR((GN224/GL224-1)*100),"NA",IF(((GN224/GL224-1)*100)&gt;100,"NM",IF(((GN224/GL224-1)*100)&lt;-50,"NM",(GN224/GL224-1)*100)))</f>
        <v>2.0035119240278121</v>
      </c>
      <c r="GP224" s="242">
        <f>+GP223+GP222+GP221</f>
        <v>1865.589608234852</v>
      </c>
      <c r="GQ224" s="79">
        <f>IF(ISERROR((GP224/GN224-1)*100),"NA",IF(((GP224/GN224-1)*100)&gt;100,"NM",IF(((GP224/GN224-1)*100)&lt;-50,"NM",(GP224/GN224-1)*100)))</f>
        <v>2.0036839503257076</v>
      </c>
      <c r="GR224" s="242">
        <f>+GR223+GR222+GR221</f>
        <v>1902.9734941800989</v>
      </c>
      <c r="GS224" s="79">
        <f>IF(ISERROR((GR224/GP224-1)*100),"NA",IF(((GR224/GP224-1)*100)&gt;100,"NM",IF(((GR224/GP224-1)*100)&lt;-50,"NM",(GR224/GP224-1)*100)))</f>
        <v>2.003864396554933</v>
      </c>
      <c r="GT224" s="79">
        <f>IF(ISERROR(((GR224/GH224)^0.2-1)*100),"NA",(IF(OR(((GR224/GH224)^0.2-1)*100&gt;99,((GR224/GH224)^0.2-1)*100&lt;-50),"NM",(((GR224/GH224)^0.2-1)*100))))</f>
        <v>2.8018856813970539</v>
      </c>
      <c r="GU224" s="562"/>
      <c r="GV224" s="562"/>
      <c r="GW224"/>
      <c r="GX224"/>
      <c r="GY224"/>
      <c r="GZ224"/>
      <c r="HA224"/>
      <c r="HB224"/>
      <c r="HC224" s="562"/>
      <c r="HD224" s="562"/>
      <c r="HE224" s="562"/>
      <c r="HF224" s="562"/>
      <c r="HG224" s="562"/>
      <c r="HH224" s="562"/>
      <c r="HI224" s="562"/>
      <c r="HJ224" s="562"/>
      <c r="HK224" s="562"/>
      <c r="HL224" s="562"/>
      <c r="HM224" s="562"/>
      <c r="HN224" s="562"/>
      <c r="HO224" s="562"/>
      <c r="HP224" s="562"/>
      <c r="HQ224" s="562"/>
      <c r="HR224" s="562"/>
      <c r="HS224" s="562"/>
      <c r="HT224" s="562"/>
      <c r="HU224" s="562"/>
      <c r="HV224" s="562"/>
      <c r="HW224" s="562"/>
      <c r="HX224" s="562"/>
      <c r="HY224" s="562"/>
      <c r="HZ224" s="562"/>
      <c r="IA224" s="562"/>
      <c r="IB224" s="562"/>
      <c r="IC224" s="562"/>
      <c r="ID224" s="562"/>
      <c r="IE224" s="562"/>
      <c r="IF224" s="562"/>
      <c r="IG224" s="562"/>
      <c r="IH224" s="562"/>
      <c r="II224" s="562"/>
      <c r="IJ224" s="562"/>
      <c r="IK224" s="562"/>
      <c r="IL224" s="562"/>
      <c r="IM224" s="562"/>
      <c r="IN224" s="562"/>
      <c r="IO224" s="562"/>
      <c r="IP224" s="562"/>
      <c r="IQ224" s="562"/>
      <c r="IR224" s="562"/>
      <c r="IS224" s="562"/>
      <c r="IT224" s="562"/>
      <c r="IU224" s="562"/>
      <c r="IV224" s="562"/>
      <c r="IW224" s="562"/>
      <c r="IX224" s="562"/>
      <c r="IY224" s="562"/>
      <c r="IZ224" s="562"/>
      <c r="JA224" s="562"/>
      <c r="JB224" s="562"/>
      <c r="JC224" s="562"/>
      <c r="JD224" s="562"/>
      <c r="JE224" s="562"/>
      <c r="JF224" s="562"/>
      <c r="JG224" s="562"/>
      <c r="JH224" s="562"/>
      <c r="JI224" s="562"/>
      <c r="JJ224" s="562"/>
      <c r="JK224" s="562"/>
      <c r="JL224" s="562"/>
      <c r="JM224" s="562"/>
      <c r="JN224" s="562"/>
      <c r="JO224" s="562"/>
      <c r="JP224" s="562"/>
      <c r="JQ224" s="562"/>
      <c r="JR224" s="562"/>
      <c r="JS224" s="562"/>
      <c r="JT224" s="562"/>
      <c r="JU224" s="562"/>
      <c r="JV224" s="562"/>
      <c r="JW224" s="562"/>
      <c r="JX224" s="562"/>
      <c r="JY224" s="562"/>
      <c r="JZ224" s="562"/>
    </row>
    <row r="225" spans="1:286" s="247" customFormat="1" ht="12.75" customHeight="1" x14ac:dyDescent="0.2">
      <c r="A225" s="245"/>
      <c r="B225" s="10"/>
      <c r="C225" s="79"/>
      <c r="D225" s="79"/>
      <c r="E225" s="129"/>
      <c r="F225" s="129"/>
      <c r="G225" s="129"/>
      <c r="H225" s="129"/>
      <c r="I225" s="129"/>
      <c r="J225" s="129"/>
      <c r="K225" s="129"/>
      <c r="L225" s="79"/>
      <c r="M225" s="129"/>
      <c r="N225" s="79"/>
      <c r="O225" s="129"/>
      <c r="P225" s="79"/>
      <c r="Q225" s="129"/>
      <c r="R225" s="79"/>
      <c r="S225" s="129"/>
      <c r="T225" s="79"/>
      <c r="U225" s="129"/>
      <c r="V225" s="79"/>
      <c r="W225" s="129"/>
      <c r="X225" s="79"/>
      <c r="Y225" s="129"/>
      <c r="Z225" s="79"/>
      <c r="AA225" s="130"/>
      <c r="AB225" s="79"/>
      <c r="AC225" s="129"/>
      <c r="AD225" s="79"/>
      <c r="AE225" s="129"/>
      <c r="AF225" s="79"/>
      <c r="AG225" s="129"/>
      <c r="AH225" s="79"/>
      <c r="AI225" s="129"/>
      <c r="AJ225" s="79"/>
      <c r="AK225" s="129"/>
      <c r="AL225" s="79"/>
      <c r="AM225" s="129"/>
      <c r="AN225" s="79"/>
      <c r="AO225" s="129"/>
      <c r="AP225" s="79"/>
      <c r="AQ225" s="129"/>
      <c r="AR225" s="79"/>
      <c r="AS225" s="129"/>
      <c r="AT225" s="81"/>
      <c r="AU225" s="129"/>
      <c r="AV225" s="81"/>
      <c r="AW225" s="129"/>
      <c r="AX225" s="81"/>
      <c r="AY225" s="129"/>
      <c r="AZ225" s="81"/>
      <c r="BA225" s="129"/>
      <c r="BB225" s="81"/>
      <c r="BC225" s="129"/>
      <c r="BD225" s="81"/>
      <c r="BE225" s="129"/>
      <c r="BF225" s="81"/>
      <c r="BG225" s="129"/>
      <c r="BH225" s="81"/>
      <c r="BI225" s="129"/>
      <c r="BJ225" s="81"/>
      <c r="BK225" s="129"/>
      <c r="BL225" s="81"/>
      <c r="BM225" s="129"/>
      <c r="BN225" s="81"/>
      <c r="BO225" s="129"/>
      <c r="BP225" s="81"/>
      <c r="BQ225" s="129"/>
      <c r="BR225" s="81"/>
      <c r="BS225" s="129"/>
      <c r="BT225" s="81"/>
      <c r="BU225" s="129"/>
      <c r="BV225" s="81"/>
      <c r="BW225" s="129"/>
      <c r="BX225" s="81"/>
      <c r="BY225" s="129"/>
      <c r="BZ225" s="81"/>
      <c r="CA225" s="129"/>
      <c r="CB225" s="81"/>
      <c r="CC225" s="129"/>
      <c r="CD225" s="81"/>
      <c r="CE225" s="129"/>
      <c r="CF225" s="81"/>
      <c r="CG225" s="129"/>
      <c r="CH225" s="81"/>
      <c r="CI225" s="129"/>
      <c r="CJ225" s="81"/>
      <c r="CK225" s="129"/>
      <c r="CL225" s="81"/>
      <c r="CM225" s="129"/>
      <c r="CN225" s="81"/>
      <c r="CO225" s="129"/>
      <c r="CP225" s="81"/>
      <c r="CQ225" s="129"/>
      <c r="CR225" s="81"/>
      <c r="CS225" s="129"/>
      <c r="CT225" s="81"/>
      <c r="CU225" s="129"/>
      <c r="CV225" s="81"/>
      <c r="CW225" s="129"/>
      <c r="CX225" s="81"/>
      <c r="CY225" s="129"/>
      <c r="CZ225" s="81"/>
      <c r="DA225" s="129"/>
      <c r="DB225" s="81"/>
      <c r="DC225" s="129"/>
      <c r="DD225" s="81"/>
      <c r="DE225" s="129"/>
      <c r="DF225" s="81"/>
      <c r="DG225" s="129"/>
      <c r="DH225" s="81"/>
      <c r="DI225" s="129"/>
      <c r="DJ225" s="81"/>
      <c r="DK225" s="129"/>
      <c r="DL225" s="81"/>
      <c r="DM225" s="129"/>
      <c r="DN225" s="81"/>
      <c r="DO225" s="129"/>
      <c r="DP225" s="81"/>
      <c r="DQ225" s="129"/>
      <c r="DR225" s="81"/>
      <c r="DS225" s="129"/>
      <c r="DT225" s="81"/>
      <c r="DU225" s="129"/>
      <c r="DV225" s="81"/>
      <c r="DW225" s="129"/>
      <c r="DX225" s="81"/>
      <c r="DY225" s="129"/>
      <c r="DZ225" s="81"/>
      <c r="EA225" s="129"/>
      <c r="EB225" s="81"/>
      <c r="EC225" s="129"/>
      <c r="ED225" s="81"/>
      <c r="EE225" s="129"/>
      <c r="EF225" s="81"/>
      <c r="EG225" s="129"/>
      <c r="EH225" s="81"/>
      <c r="EI225" s="129"/>
      <c r="EJ225" s="81"/>
      <c r="EK225" s="129"/>
      <c r="EL225" s="81"/>
      <c r="EM225" s="129"/>
      <c r="EN225" s="81"/>
      <c r="EO225" s="129"/>
      <c r="EP225" s="81"/>
      <c r="EQ225" s="129"/>
      <c r="ER225" s="81"/>
      <c r="ES225" s="129"/>
      <c r="ET225" s="469"/>
      <c r="EU225" s="129"/>
      <c r="EV225" s="129"/>
      <c r="EW225" s="79"/>
      <c r="EX225" s="129"/>
      <c r="EY225" s="79"/>
      <c r="EZ225" s="129"/>
      <c r="FA225" s="79"/>
      <c r="FB225" s="129"/>
      <c r="FC225" s="79"/>
      <c r="FD225" s="129"/>
      <c r="FE225" s="79"/>
      <c r="FF225" s="129"/>
      <c r="FG225" s="79"/>
      <c r="FH225" s="129"/>
      <c r="FI225" s="79"/>
      <c r="FJ225" s="129"/>
      <c r="FK225" s="79"/>
      <c r="FL225" s="246"/>
      <c r="FM225" s="79"/>
      <c r="FN225" s="246"/>
      <c r="FO225" s="79"/>
      <c r="FP225" s="246"/>
      <c r="FQ225" s="79"/>
      <c r="FR225" s="129"/>
      <c r="FS225" s="79"/>
      <c r="FT225" s="129"/>
      <c r="FU225" s="79"/>
      <c r="FV225" s="129"/>
      <c r="FW225" s="79"/>
      <c r="FX225" s="129"/>
      <c r="FY225" s="79"/>
      <c r="FZ225" s="129"/>
      <c r="GA225" s="79"/>
      <c r="GB225" s="129"/>
      <c r="GC225" s="79"/>
      <c r="GD225" s="129">
        <f>(GD224-GB224)/GB224</f>
        <v>4.5656309448319561E-2</v>
      </c>
      <c r="GE225" s="79"/>
      <c r="GF225" s="129"/>
      <c r="GG225" s="79"/>
      <c r="GH225" s="129"/>
      <c r="GI225" s="79"/>
      <c r="GJ225" s="129"/>
      <c r="GK225" s="79"/>
      <c r="GL225" s="129"/>
      <c r="GM225" s="79"/>
      <c r="GN225" s="129"/>
      <c r="GO225" s="79"/>
      <c r="GP225" s="129"/>
      <c r="GQ225" s="79"/>
      <c r="GR225" s="129"/>
      <c r="GS225" s="79"/>
      <c r="GT225" s="79"/>
      <c r="GU225" s="562"/>
      <c r="GV225" s="562"/>
      <c r="GW225"/>
      <c r="GX225"/>
      <c r="GY225"/>
      <c r="GZ225"/>
      <c r="HA225"/>
      <c r="HB225"/>
      <c r="HC225" s="562"/>
      <c r="HD225" s="562"/>
      <c r="HE225" s="562"/>
      <c r="HF225" s="562"/>
      <c r="HG225" s="562"/>
      <c r="HH225" s="562"/>
      <c r="HI225" s="562"/>
      <c r="HJ225" s="562"/>
      <c r="HK225" s="562"/>
      <c r="HL225" s="562"/>
      <c r="HM225" s="562"/>
      <c r="HN225" s="562"/>
      <c r="HO225" s="562"/>
      <c r="HP225" s="562"/>
      <c r="HQ225" s="562"/>
      <c r="HR225" s="562"/>
      <c r="HS225" s="562"/>
      <c r="HT225" s="562"/>
      <c r="HU225" s="562"/>
      <c r="HV225" s="562"/>
      <c r="HW225" s="562"/>
      <c r="HX225" s="562"/>
      <c r="HY225" s="562"/>
      <c r="HZ225" s="562"/>
      <c r="IA225" s="562"/>
      <c r="IB225" s="562"/>
      <c r="IC225" s="562"/>
      <c r="ID225" s="562"/>
      <c r="IE225" s="562"/>
      <c r="IF225" s="562"/>
      <c r="IG225" s="562"/>
      <c r="IH225" s="562"/>
      <c r="II225" s="562"/>
      <c r="IJ225" s="562"/>
      <c r="IK225" s="562"/>
      <c r="IL225" s="562"/>
      <c r="IM225" s="562"/>
      <c r="IN225" s="562"/>
      <c r="IO225" s="562"/>
      <c r="IP225" s="562"/>
      <c r="IQ225" s="562"/>
      <c r="IR225" s="562"/>
      <c r="IS225" s="562"/>
      <c r="IT225" s="562"/>
      <c r="IU225" s="562"/>
      <c r="IV225" s="562"/>
      <c r="IW225" s="562"/>
      <c r="IX225" s="562"/>
      <c r="IY225" s="562"/>
      <c r="IZ225" s="562"/>
      <c r="JA225" s="562"/>
      <c r="JB225" s="562"/>
      <c r="JC225" s="562"/>
      <c r="JD225" s="562"/>
      <c r="JE225" s="562"/>
      <c r="JF225" s="562"/>
      <c r="JG225" s="562"/>
      <c r="JH225" s="562"/>
      <c r="JI225" s="562"/>
      <c r="JJ225" s="562"/>
      <c r="JK225" s="562"/>
      <c r="JL225" s="562"/>
      <c r="JM225" s="562"/>
      <c r="JN225" s="562"/>
      <c r="JO225" s="562"/>
      <c r="JP225" s="562"/>
      <c r="JQ225" s="562"/>
      <c r="JR225" s="562"/>
      <c r="JS225" s="562"/>
      <c r="JT225" s="562"/>
      <c r="JU225" s="562"/>
      <c r="JV225" s="562"/>
      <c r="JW225" s="562"/>
      <c r="JX225" s="562"/>
      <c r="JY225" s="562"/>
      <c r="JZ225" s="562"/>
    </row>
    <row r="226" spans="1:286" s="247" customFormat="1" ht="12.75" customHeight="1" x14ac:dyDescent="0.2">
      <c r="A226" s="245"/>
      <c r="B226" s="83" t="s">
        <v>451</v>
      </c>
      <c r="C226" s="79"/>
      <c r="D226" s="79"/>
      <c r="E226" s="129"/>
      <c r="F226" s="129"/>
      <c r="G226" s="129"/>
      <c r="H226" s="129"/>
      <c r="I226" s="129"/>
      <c r="J226" s="129"/>
      <c r="K226" s="129"/>
      <c r="L226" s="79"/>
      <c r="M226" s="129"/>
      <c r="N226" s="79"/>
      <c r="O226" s="129"/>
      <c r="P226" s="79"/>
      <c r="Q226" s="129"/>
      <c r="R226" s="79"/>
      <c r="S226" s="129"/>
      <c r="T226" s="79"/>
      <c r="U226" s="129"/>
      <c r="V226" s="79"/>
      <c r="W226" s="129"/>
      <c r="X226" s="79"/>
      <c r="Y226" s="129"/>
      <c r="Z226" s="79"/>
      <c r="AA226" s="130"/>
      <c r="AB226" s="79"/>
      <c r="AC226" s="129"/>
      <c r="AD226" s="79"/>
      <c r="AE226" s="129"/>
      <c r="AF226" s="79"/>
      <c r="AG226" s="129"/>
      <c r="AH226" s="79"/>
      <c r="AI226" s="129"/>
      <c r="AJ226" s="79"/>
      <c r="AK226" s="129"/>
      <c r="AL226" s="79"/>
      <c r="AM226" s="129"/>
      <c r="AN226" s="79"/>
      <c r="AO226" s="129"/>
      <c r="AP226" s="79"/>
      <c r="AQ226" s="129"/>
      <c r="AR226" s="79"/>
      <c r="AS226" s="129"/>
      <c r="AT226" s="81"/>
      <c r="AU226" s="129"/>
      <c r="AV226" s="81"/>
      <c r="AW226" s="129"/>
      <c r="AX226" s="81"/>
      <c r="AY226" s="129"/>
      <c r="AZ226" s="81"/>
      <c r="BA226" s="129"/>
      <c r="BB226" s="81"/>
      <c r="BC226" s="129"/>
      <c r="BD226" s="81"/>
      <c r="BE226" s="129"/>
      <c r="BF226" s="81"/>
      <c r="BG226" s="129"/>
      <c r="BH226" s="81"/>
      <c r="BI226" s="129"/>
      <c r="BJ226" s="81"/>
      <c r="BK226" s="129"/>
      <c r="BL226" s="81"/>
      <c r="BM226" s="129"/>
      <c r="BN226" s="81"/>
      <c r="BO226" s="129"/>
      <c r="BP226" s="81"/>
      <c r="BQ226" s="129"/>
      <c r="BR226" s="81"/>
      <c r="BS226" s="129"/>
      <c r="BT226" s="81"/>
      <c r="BU226" s="129"/>
      <c r="BV226" s="81"/>
      <c r="BW226" s="129"/>
      <c r="BX226" s="81"/>
      <c r="BY226" s="129"/>
      <c r="BZ226" s="81"/>
      <c r="CA226" s="129"/>
      <c r="CB226" s="81"/>
      <c r="CC226" s="129"/>
      <c r="CD226" s="81"/>
      <c r="CE226" s="129"/>
      <c r="CF226" s="81"/>
      <c r="CG226" s="129"/>
      <c r="CH226" s="81"/>
      <c r="CI226" s="129"/>
      <c r="CJ226" s="81"/>
      <c r="CK226" s="129"/>
      <c r="CL226" s="81"/>
      <c r="CM226" s="129"/>
      <c r="CN226" s="81"/>
      <c r="CO226" s="129"/>
      <c r="CP226" s="81"/>
      <c r="CQ226" s="129"/>
      <c r="CR226" s="81"/>
      <c r="CS226" s="129"/>
      <c r="CT226" s="81"/>
      <c r="CU226" s="129"/>
      <c r="CV226" s="81"/>
      <c r="CW226" s="129"/>
      <c r="CX226" s="81"/>
      <c r="CY226" s="129"/>
      <c r="CZ226" s="81"/>
      <c r="DA226" s="129"/>
      <c r="DB226" s="81"/>
      <c r="DC226" s="129"/>
      <c r="DD226" s="81"/>
      <c r="DE226" s="129"/>
      <c r="DF226" s="81"/>
      <c r="DG226" s="129"/>
      <c r="DH226" s="81"/>
      <c r="DI226" s="129"/>
      <c r="DJ226" s="81"/>
      <c r="DK226" s="129"/>
      <c r="DL226" s="81"/>
      <c r="DM226" s="129"/>
      <c r="DN226" s="81"/>
      <c r="DO226" s="129"/>
      <c r="DP226" s="81"/>
      <c r="DQ226" s="129"/>
      <c r="DR226" s="81"/>
      <c r="DS226" s="129"/>
      <c r="DT226" s="81"/>
      <c r="DU226" s="129"/>
      <c r="DV226" s="81"/>
      <c r="DW226" s="129"/>
      <c r="DX226" s="81"/>
      <c r="DY226" s="129"/>
      <c r="DZ226" s="81"/>
      <c r="EA226" s="129"/>
      <c r="EB226" s="81"/>
      <c r="EC226" s="129"/>
      <c r="ED226" s="81"/>
      <c r="EE226" s="129"/>
      <c r="EF226" s="81"/>
      <c r="EG226" s="129"/>
      <c r="EH226" s="81"/>
      <c r="EI226" s="129"/>
      <c r="EJ226" s="81"/>
      <c r="EK226" s="129"/>
      <c r="EL226" s="81"/>
      <c r="EM226" s="129"/>
      <c r="EN226" s="81"/>
      <c r="EO226" s="129"/>
      <c r="EP226" s="81"/>
      <c r="EQ226" s="129"/>
      <c r="ER226" s="81"/>
      <c r="ES226" s="129"/>
      <c r="ET226" s="469"/>
      <c r="EU226" s="129"/>
      <c r="EV226" s="129"/>
      <c r="EW226" s="79"/>
      <c r="EX226" s="129"/>
      <c r="EY226" s="79"/>
      <c r="EZ226" s="129"/>
      <c r="FA226" s="79"/>
      <c r="FB226" s="129"/>
      <c r="FC226" s="79"/>
      <c r="FD226" s="129"/>
      <c r="FE226" s="79"/>
      <c r="FF226" s="129"/>
      <c r="FG226" s="79"/>
      <c r="FH226" s="129"/>
      <c r="FI226" s="79"/>
      <c r="FJ226" s="129"/>
      <c r="FK226" s="79"/>
      <c r="FL226" s="246"/>
      <c r="FM226" s="79"/>
      <c r="FN226" s="246"/>
      <c r="FO226" s="79"/>
      <c r="FP226" s="246"/>
      <c r="FQ226" s="79"/>
      <c r="FR226" s="129"/>
      <c r="FS226" s="79"/>
      <c r="FT226" s="129"/>
      <c r="FU226" s="79"/>
      <c r="FV226" s="129"/>
      <c r="FW226" s="79"/>
      <c r="FX226" s="129"/>
      <c r="FY226" s="79"/>
      <c r="FZ226" s="129"/>
      <c r="GA226" s="79"/>
      <c r="GB226" s="129"/>
      <c r="GC226" s="79"/>
      <c r="GD226" s="129"/>
      <c r="GE226" s="79"/>
      <c r="GF226" s="129"/>
      <c r="GG226" s="79"/>
      <c r="GH226" s="129"/>
      <c r="GI226" s="79"/>
      <c r="GJ226" s="129"/>
      <c r="GK226" s="79"/>
      <c r="GL226" s="129"/>
      <c r="GM226" s="79"/>
      <c r="GN226" s="129"/>
      <c r="GO226" s="79"/>
      <c r="GP226" s="129"/>
      <c r="GQ226" s="79"/>
      <c r="GR226" s="129"/>
      <c r="GS226" s="79"/>
      <c r="GT226" s="79"/>
      <c r="GU226" s="562"/>
      <c r="GV226" s="562"/>
      <c r="GW226"/>
      <c r="GX226"/>
      <c r="GY226"/>
      <c r="GZ226"/>
      <c r="HA226"/>
      <c r="HB226"/>
      <c r="HC226" s="562"/>
      <c r="HD226" s="562"/>
      <c r="HE226" s="562"/>
      <c r="HF226" s="562"/>
      <c r="HG226" s="562"/>
      <c r="HH226" s="562"/>
      <c r="HI226" s="562"/>
      <c r="HJ226" s="562"/>
      <c r="HK226" s="562"/>
      <c r="HL226" s="562"/>
      <c r="HM226" s="562"/>
      <c r="HN226" s="562"/>
      <c r="HO226" s="562"/>
      <c r="HP226" s="562"/>
      <c r="HQ226" s="562"/>
      <c r="HR226" s="562"/>
      <c r="HS226" s="562"/>
      <c r="HT226" s="562"/>
      <c r="HU226" s="562"/>
      <c r="HV226" s="562"/>
      <c r="HW226" s="562"/>
      <c r="HX226" s="562"/>
      <c r="HY226" s="562"/>
      <c r="HZ226" s="562"/>
      <c r="IA226" s="562"/>
      <c r="IB226" s="562"/>
      <c r="IC226" s="562"/>
      <c r="ID226" s="562"/>
      <c r="IE226" s="562"/>
      <c r="IF226" s="562"/>
      <c r="IG226" s="562"/>
      <c r="IH226" s="562"/>
      <c r="II226" s="562"/>
      <c r="IJ226" s="562"/>
      <c r="IK226" s="562"/>
      <c r="IL226" s="562"/>
      <c r="IM226" s="562"/>
      <c r="IN226" s="562"/>
      <c r="IO226" s="562"/>
      <c r="IP226" s="562"/>
      <c r="IQ226" s="562"/>
      <c r="IR226" s="562"/>
      <c r="IS226" s="562"/>
      <c r="IT226" s="562"/>
      <c r="IU226" s="562"/>
      <c r="IV226" s="562"/>
      <c r="IW226" s="562"/>
      <c r="IX226" s="562"/>
      <c r="IY226" s="562"/>
      <c r="IZ226" s="562"/>
      <c r="JA226" s="562"/>
      <c r="JB226" s="562"/>
      <c r="JC226" s="562"/>
      <c r="JD226" s="562"/>
      <c r="JE226" s="562"/>
      <c r="JF226" s="562"/>
      <c r="JG226" s="562"/>
      <c r="JH226" s="562"/>
      <c r="JI226" s="562"/>
      <c r="JJ226" s="562"/>
      <c r="JK226" s="562"/>
      <c r="JL226" s="562"/>
      <c r="JM226" s="562"/>
      <c r="JN226" s="562"/>
      <c r="JO226" s="562"/>
      <c r="JP226" s="562"/>
      <c r="JQ226" s="562"/>
      <c r="JR226" s="562"/>
      <c r="JS226" s="562"/>
      <c r="JT226" s="562"/>
      <c r="JU226" s="562"/>
      <c r="JV226" s="562"/>
      <c r="JW226" s="562"/>
      <c r="JX226" s="562"/>
      <c r="JY226" s="562"/>
      <c r="JZ226" s="562"/>
    </row>
    <row r="227" spans="1:286" s="249" customFormat="1" ht="12.75" customHeight="1" x14ac:dyDescent="0.2">
      <c r="A227" s="248"/>
      <c r="B227" s="10" t="s">
        <v>196</v>
      </c>
      <c r="C227" s="79"/>
      <c r="D227" s="79"/>
      <c r="E227" s="95">
        <v>86.5</v>
      </c>
      <c r="F227" s="95"/>
      <c r="G227" s="95">
        <v>87.5</v>
      </c>
      <c r="H227" s="95"/>
      <c r="I227" s="95">
        <v>88.2</v>
      </c>
      <c r="J227" s="95"/>
      <c r="K227" s="95">
        <v>84.2</v>
      </c>
      <c r="L227" s="79"/>
      <c r="M227" s="95">
        <v>86.4</v>
      </c>
      <c r="N227" s="79">
        <f>IF(ISERROR((M227/E227-1)*100),"NA",IF(((M227/E227-1)*100)&gt;100,"NM",IF(((M227/E227-1)*100)&lt;-50,"NM",(M227/E227-1)*100)))</f>
        <v>-0.11560693641617936</v>
      </c>
      <c r="O227" s="95">
        <v>87</v>
      </c>
      <c r="P227" s="79">
        <f>IF(ISERROR((O227/G227-1)*100),"NA",IF(((O227/G227-1)*100)&gt;100,"NM",IF(((O227/G227-1)*100)&lt;-50,"NM",(O227/G227-1)*100)))</f>
        <v>-0.57142857142856718</v>
      </c>
      <c r="Q227" s="95">
        <v>91.6</v>
      </c>
      <c r="R227" s="79">
        <f>IF(ISERROR((Q227/I227-1)*100),"NA",IF(((Q227/I227-1)*100)&gt;100,"NM",IF(((Q227/I227-1)*100)&lt;-50,"NM",(Q227/I227-1)*100)))</f>
        <v>3.8548752834467015</v>
      </c>
      <c r="S227" s="95">
        <v>92.2</v>
      </c>
      <c r="T227" s="79">
        <f>IF(ISERROR((S227/K227-1)*100),"NA",IF(((S227/K227-1)*100)&gt;100,"NM",IF(((S227/K227-1)*100)&lt;-50,"NM",(S227/K227-1)*100)))</f>
        <v>9.5011876484560673</v>
      </c>
      <c r="U227" s="95">
        <v>96.1</v>
      </c>
      <c r="V227" s="79">
        <f>IF(ISERROR((U227/M227-1)*100),"NA",IF(((U227/M227-1)*100)&gt;100,"NM",IF(((U227/M227-1)*100)&lt;-50,"NM",(U227/M227-1)*100)))</f>
        <v>11.226851851851837</v>
      </c>
      <c r="W227" s="95">
        <v>97.6</v>
      </c>
      <c r="X227" s="79">
        <f>IF(ISERROR((W227/O227-1)*100),"NA",IF(((W227/O227-1)*100)&gt;100,"NM",IF(((W227/O227-1)*100)&lt;-50,"NM",(W227/O227-1)*100)))</f>
        <v>12.183908045976999</v>
      </c>
      <c r="Y227" s="95">
        <v>98</v>
      </c>
      <c r="Z227" s="79">
        <f>IF(ISERROR((Y227/Q227-1)*100),"NA",IF(((Y227/Q227-1)*100)&gt;100,"NM",IF(((Y227/Q227-1)*100)&lt;-50,"NM",(Y227/Q227-1)*100)))</f>
        <v>6.9868995633187936</v>
      </c>
      <c r="AA227" s="126">
        <v>103.7</v>
      </c>
      <c r="AB227" s="79">
        <f>IF(ISERROR((AA227/S227-1)*100),"NA",IF(((AA227/S227-1)*100)&gt;100,"NM",IF(((AA227/S227-1)*100)&lt;-50,"NM",(AA227/S227-1)*100)))</f>
        <v>12.472885032537961</v>
      </c>
      <c r="AC227" s="95">
        <v>100.5</v>
      </c>
      <c r="AD227" s="79">
        <f>IF(ISERROR((AC227/U227-1)*100),"NA",IF(((AC227/U227-1)*100)&gt;100,"NM",IF(((AC227/U227-1)*100)&lt;-50,"NM",(AC227/U227-1)*100)))</f>
        <v>4.57856399583767</v>
      </c>
      <c r="AE227" s="95">
        <v>101.6</v>
      </c>
      <c r="AF227" s="79">
        <f>IF(ISERROR((AE227/W227-1)*100),"NA",IF(((AE227/W227-1)*100)&gt;100,"NM",IF(((AE227/W227-1)*100)&lt;-50,"NM",(AE227/W227-1)*100)))</f>
        <v>4.0983606557376984</v>
      </c>
      <c r="AG227" s="95">
        <v>102.7</v>
      </c>
      <c r="AH227" s="79">
        <f>IF(ISERROR((AG227/Y227-1)*100),"NA",IF(((AG227/Y227-1)*100)&gt;100,"NM",IF(((AG227/Y227-1)*100)&lt;-50,"NM",(AG227/Y227-1)*100)))</f>
        <v>4.7959183673469408</v>
      </c>
      <c r="AI227" s="95">
        <v>103.5</v>
      </c>
      <c r="AJ227" s="79">
        <f>IF(ISERROR((AI227/AA227-1)*100),"NA",IF(((AI227/AA227-1)*100)&gt;100,"NM",IF(((AI227/AA227-1)*100)&lt;-50,"NM",(AI227/AA227-1)*100)))</f>
        <v>-0.19286403085825299</v>
      </c>
      <c r="AK227" s="95">
        <v>104.1</v>
      </c>
      <c r="AL227" s="79">
        <f>IF(ISERROR((AK227/AC227-1)*100),"NA",IF(((AK227/AC227-1)*100)&gt;100,"NM",IF(((AK227/AC227-1)*100)&lt;-50,"NM",(AK227/AC227-1)*100)))</f>
        <v>3.5820895522387985</v>
      </c>
      <c r="AM227" s="95">
        <v>105.2</v>
      </c>
      <c r="AN227" s="79">
        <f>IF(ISERROR((AM227/AE227-1)*100),"NA",IF(((AM227/AE227-1)*100)&gt;100,"NM",IF(((AM227/AE227-1)*100)&lt;-50,"NM",(AM227/AE227-1)*100)))</f>
        <v>3.5433070866141891</v>
      </c>
      <c r="AO227" s="95">
        <v>110.4</v>
      </c>
      <c r="AP227" s="79">
        <f>IF(ISERROR((AO227/AG227-1)*100),"NA",IF(((AO227/AG227-1)*100)&gt;100,"NM",IF(((AO227/AG227-1)*100)&lt;-50,"NM",(AO227/AG227-1)*100)))</f>
        <v>7.4975657254138239</v>
      </c>
      <c r="AQ227" s="95">
        <v>113.5</v>
      </c>
      <c r="AR227" s="79">
        <f>IF(ISERROR((AQ227/AI227-1)*100),"NA",IF(((AQ227/AI227-1)*100)&gt;100,"NM",IF(((AQ227/AI227-1)*100)&lt;-50,"NM",(AQ227/AI227-1)*100)))</f>
        <v>9.661835748792269</v>
      </c>
      <c r="AS227" s="95">
        <v>105.5</v>
      </c>
      <c r="AT227" s="81">
        <f>IF(ISERROR((AS227/AK227-1)*100),"NA",IF(((AS227/AK227-1)*100)&gt;100,"NM",IF(((AS227/AK227-1)*100)&lt;-50,"NM",(AS227/AK227-1)*100)))</f>
        <v>1.344860710854956</v>
      </c>
      <c r="AU227" s="95">
        <v>110.4</v>
      </c>
      <c r="AV227" s="81">
        <f>IF(ISERROR((AU227/AM227-1)*100),"NA",IF(((AU227/AM227-1)*100)&gt;100,"NM",IF(((AU227/AM227-1)*100)&lt;-50,"NM",(AU227/AM227-1)*100)))</f>
        <v>4.9429657794676896</v>
      </c>
      <c r="AW227" s="95">
        <v>112</v>
      </c>
      <c r="AX227" s="81">
        <f>IF(ISERROR((AW227/AO227-1)*100),"NA",IF(((AW227/AO227-1)*100)&gt;100,"NM",IF(((AW227/AO227-1)*100)&lt;-50,"NM",(AW227/AO227-1)*100)))</f>
        <v>1.4492753623188248</v>
      </c>
      <c r="AY227" s="95">
        <v>113.5</v>
      </c>
      <c r="AZ227" s="81">
        <f>IF(ISERROR((AY227/AQ227-1)*100),"NA",IF(((AY227/AQ227-1)*100)&gt;100,"NM",IF(((AY227/AQ227-1)*100)&lt;-50,"NM",(AY227/AQ227-1)*100)))</f>
        <v>0</v>
      </c>
      <c r="BA227" s="95">
        <v>110</v>
      </c>
      <c r="BB227" s="81">
        <f>IF(ISERROR((BA227/AS227-1)*100),"NA",IF(((BA227/AS227-1)*100)&gt;100,"NM",IF(((BA227/AS227-1)*100)&lt;-50,"NM",(BA227/AS227-1)*100)))</f>
        <v>4.2654028436019065</v>
      </c>
      <c r="BC227" s="95">
        <v>106</v>
      </c>
      <c r="BD227" s="81">
        <f>IF(ISERROR((BC227/AU227-1)*100),"NA",IF(((BC227/AU227-1)*100)&gt;100,"NM",IF(((BC227/AU227-1)*100)&lt;-50,"NM",(BC227/AU227-1)*100)))</f>
        <v>-3.9855072463768182</v>
      </c>
      <c r="BE227" s="95">
        <v>110.4</v>
      </c>
      <c r="BF227" s="81">
        <f>IF(ISERROR((BE227/AW227-1)*100),"NA",IF(((BE227/AW227-1)*100)&gt;100,"NM",IF(((BE227/AW227-1)*100)&lt;-50,"NM",(BE227/AW227-1)*100)))</f>
        <v>-1.4285714285714235</v>
      </c>
      <c r="BG227" s="95">
        <v>111.4</v>
      </c>
      <c r="BH227" s="81">
        <f>IF(ISERROR((BG227/AY227-1)*100),"NA",IF(((BG227/AY227-1)*100)&gt;100,"NM",IF(((BG227/AY227-1)*100)&lt;-50,"NM",(BG227/AY227-1)*100)))</f>
        <v>-1.8502202643171706</v>
      </c>
      <c r="BI227" s="95">
        <v>113.5</v>
      </c>
      <c r="BJ227" s="81">
        <f>IF(ISERROR((BI227/BA227-1)*100),"NA",IF(((BI227/BA227-1)*100)&gt;100,"NM",IF(((BI227/BA227-1)*100)&lt;-50,"NM",(BI227/BA227-1)*100)))</f>
        <v>3.1818181818181746</v>
      </c>
      <c r="BK227" s="95">
        <v>113.8</v>
      </c>
      <c r="BL227" s="7">
        <f>IF(ISERROR((BK227/BC227-1)*100),"NA",IF(((BK227/BC227-1)*100)&gt;100,"NM",IF(((BK227/BC227-1)*100)&lt;-50,"NM",(BK227/BC227-1)*100)))</f>
        <v>7.3584905660377231</v>
      </c>
      <c r="BM227" s="95">
        <v>116.5</v>
      </c>
      <c r="BN227" s="7">
        <f>IF(ISERROR((BM227/BE227-1)*100),"NA",IF(((BM227/BE227-1)*100)&gt;100,"NM",IF(((BM227/BE227-1)*100)&lt;-50,"NM",(BM227/BE227-1)*100)))</f>
        <v>5.5253623188405765</v>
      </c>
      <c r="BO227" s="95">
        <v>120.2</v>
      </c>
      <c r="BP227" s="7">
        <f>IF(ISERROR((BO227/BG227-1)*100),"NA",IF(((BO227/BG227-1)*100)&gt;100,"NM",IF(((BO227/BG227-1)*100)&lt;-50,"NM",(BO227/BG227-1)*100)))</f>
        <v>7.8994614003590646</v>
      </c>
      <c r="BQ227" s="95">
        <v>117.3</v>
      </c>
      <c r="BR227" s="81">
        <f>IF(ISERROR((BQ227/BI227-1)*100),"NA",IF(((BQ227/BI227-1)*100)&gt;100,"NM",IF(((BQ227/BI227-1)*100)&lt;-50,"NM",(BQ227/BI227-1)*100)))</f>
        <v>3.3480176211453827</v>
      </c>
      <c r="BS227" s="95">
        <v>116.4</v>
      </c>
      <c r="BT227" s="81">
        <f>IF(ISERROR((BS227/BK227-1)*100),"NA",IF(((BS227/BK227-1)*100)&gt;100,"NM",IF(((BS227/BK227-1)*100)&lt;-50,"NM",(BS227/BK227-1)*100)))</f>
        <v>2.2847100175747093</v>
      </c>
      <c r="BU227" s="95">
        <v>122.1</v>
      </c>
      <c r="BV227" s="81">
        <f>IF(ISERROR((BU227/BM227-1)*100),"NA",IF(((BU227/BM227-1)*100)&gt;100,"NM",IF(((BU227/BM227-1)*100)&lt;-50,"NM",(BU227/BM227-1)*100)))</f>
        <v>4.8068669527896901</v>
      </c>
      <c r="BW227" s="95">
        <v>124.8</v>
      </c>
      <c r="BX227" s="81">
        <f>IF(ISERROR((BW227/BO227-1)*100),"NA",IF(((BW227/BO227-1)*100)&gt;100,"NM",IF(((BW227/BO227-1)*100)&lt;-50,"NM",(BW227/BO227-1)*100)))</f>
        <v>3.8269550748752046</v>
      </c>
      <c r="BY227" s="95">
        <v>124.8</v>
      </c>
      <c r="BZ227" s="81">
        <f>IF(ISERROR((BY227/BQ227-1)*100),"NA",IF(((BY227/BQ227-1)*100)&gt;100,"NM",IF(((BY227/BQ227-1)*100)&lt;-50,"NM",(BY227/BQ227-1)*100)))</f>
        <v>6.3938618925831303</v>
      </c>
      <c r="CA227" s="95">
        <v>129.4</v>
      </c>
      <c r="CB227" s="81">
        <f>IF(ISERROR((CA227/BS227-1)*100),"NA",IF(((CA227/BS227-1)*100)&gt;100,"NM",IF(((CA227/BS227-1)*100)&lt;-50,"NM",(CA227/BS227-1)*100)))</f>
        <v>11.168384879725091</v>
      </c>
      <c r="CC227" s="95">
        <v>134.30000000000001</v>
      </c>
      <c r="CD227" s="81">
        <f>IF(ISERROR((CC227/BU227-1)*100),"NA",IF(((CC227/BU227-1)*100)&gt;100,"NM",IF(((CC227/BU227-1)*100)&lt;-50,"NM",(CC227/BU227-1)*100)))</f>
        <v>9.9918099918099976</v>
      </c>
      <c r="CE227" s="95">
        <v>146.19999999999999</v>
      </c>
      <c r="CF227" s="81">
        <f>IF(ISERROR((CE227/BW227-1)*100),"NA",IF(((CE227/BW227-1)*100)&gt;100,"NM",IF(((CE227/BW227-1)*100)&lt;-50,"NM",(CE227/BW227-1)*100)))</f>
        <v>17.14743589743588</v>
      </c>
      <c r="CG227" s="95">
        <v>144.1</v>
      </c>
      <c r="CH227" s="81">
        <f>IF(ISERROR((CG227/BY227-1)*100),"NA",IF(((CG227/BY227-1)*100)&gt;100,"NM",IF(((CG227/BY227-1)*100)&lt;-50,"NM",(CG227/BY227-1)*100)))</f>
        <v>15.464743589743591</v>
      </c>
      <c r="CI227" s="95">
        <v>144.30000000000001</v>
      </c>
      <c r="CJ227" s="81">
        <f>IF(ISERROR((CI227/CA227-1)*100),"NA",IF(((CI227/CA227-1)*100)&gt;100,"NM",IF(((CI227/CA227-1)*100)&lt;-50,"NM",(CI227/CA227-1)*100)))</f>
        <v>11.514683153013916</v>
      </c>
      <c r="CK227" s="95">
        <v>149.1</v>
      </c>
      <c r="CL227" s="81">
        <f>IF(ISERROR((CK227/CC227-1)*100),"NA",IF(((CK227/CC227-1)*100)&gt;100,"NM",IF(((CK227/CC227-1)*100)&lt;-50,"NM",(CK227/CC227-1)*100)))</f>
        <v>11.020104244229323</v>
      </c>
      <c r="CM227" s="95">
        <v>151.9</v>
      </c>
      <c r="CN227" s="81">
        <f>IF(ISERROR((CM227/CE227-1)*100),"NA",IF(((CM227/CE227-1)*100)&gt;100,"NM",IF(((CM227/CE227-1)*100)&lt;-50,"NM",(CM227/CE227-1)*100)))</f>
        <v>3.8987688098495399</v>
      </c>
      <c r="CO227" s="95">
        <v>154.4</v>
      </c>
      <c r="CP227" s="81">
        <f>IF(ISERROR((CO227/CG227-1)*100),"NA",IF(((CO227/CG227-1)*100)&gt;100,"NM",IF(((CO227/CG227-1)*100)&lt;-50,"NM",(CO227/CG227-1)*100)))</f>
        <v>7.1478140180430305</v>
      </c>
      <c r="CQ227" s="95">
        <v>155.80000000000001</v>
      </c>
      <c r="CR227" s="81">
        <f>IF(ISERROR((CQ227/CI227-1)*100),"NA",IF(((CQ227/CI227-1)*100)&gt;100,"NM",IF(((CQ227/CI227-1)*100)&lt;-50,"NM",(CQ227/CI227-1)*100)))</f>
        <v>7.9695079695079718</v>
      </c>
      <c r="CS227" s="95">
        <v>158.5</v>
      </c>
      <c r="CT227" s="81">
        <f>IF(ISERROR((CS227/CK227-1)*100),"NA",IF(((CS227/CK227-1)*100)&gt;100,"NM",IF(((CS227/CK227-1)*100)&lt;-50,"NM",(CS227/CK227-1)*100)))</f>
        <v>6.3044936284373021</v>
      </c>
      <c r="CU227" s="95">
        <v>158.6</v>
      </c>
      <c r="CV227" s="81">
        <f>IF(ISERROR((CU227/CM227-1)*100),"NA",IF(((CU227/CM227-1)*100)&gt;100,"NM",IF(((CU227/CM227-1)*100)&lt;-50,"NM",(CU227/CM227-1)*100)))</f>
        <v>4.4107965766951862</v>
      </c>
      <c r="CW227" s="95">
        <v>161.30000000000001</v>
      </c>
      <c r="CX227" s="81">
        <f>IF(ISERROR((CW227/CO227-1)*100),"NA",IF(((CW227/CO227-1)*100)&gt;100,"NM",IF(((CW227/CO227-1)*100)&lt;-50,"NM",(CW227/CO227-1)*100)))</f>
        <v>4.4689119170984393</v>
      </c>
      <c r="CY227" s="95">
        <v>160.30000000000001</v>
      </c>
      <c r="CZ227" s="81">
        <f>IF(ISERROR((CY227/CQ227-1)*100),"NA",IF(((CY227/CQ227-1)*100)&gt;100,"NM",IF(((CY227/CQ227-1)*100)&lt;-50,"NM",(CY227/CQ227-1)*100)))</f>
        <v>2.8883183568677806</v>
      </c>
      <c r="DA227" s="95">
        <v>164</v>
      </c>
      <c r="DB227" s="81">
        <f>IF(ISERROR((DA227/CS227-1)*100),"NA",IF(((DA227/CS227-1)*100)&gt;100,"NM",IF(((DA227/CS227-1)*100)&lt;-50,"NM",(DA227/CS227-1)*100)))</f>
        <v>3.4700315457413256</v>
      </c>
      <c r="DC227" s="95">
        <v>181.4</v>
      </c>
      <c r="DD227" s="81">
        <f>IF(ISERROR((DC227/CU227-1)*100),"NA",IF(((DC227/CU227-1)*100)&gt;100,"NM",IF(((DC227/CU227-1)*100)&lt;-50,"NM",(DC227/CU227-1)*100)))</f>
        <v>14.375788146279955</v>
      </c>
      <c r="DE227" s="95">
        <v>159.80000000000001</v>
      </c>
      <c r="DF227" s="81">
        <f>IF(ISERROR((DE227/CW227-1)*100),"NA",IF(((DE227/CW227-1)*100)&gt;100,"NM",IF(((DE227/CW227-1)*100)&lt;-50,"NM",(DE227/CW227-1)*100)))</f>
        <v>-0.92994420334779893</v>
      </c>
      <c r="DG227" s="95">
        <v>164.6</v>
      </c>
      <c r="DH227" s="81">
        <f>IF(ISERROR((DG227/CY227-1)*100),"NA",IF(((DG227/CY227-1)*100)&gt;100,"NM",IF(((DG227/CY227-1)*100)&lt;-50,"NM",(DG227/CY227-1)*100)))</f>
        <v>2.682470368059886</v>
      </c>
      <c r="DI227" s="95">
        <v>168.3</v>
      </c>
      <c r="DJ227" s="81">
        <f>IF(ISERROR((DI227/DA227-1)*100),"NA",IF(((DI227/DA227-1)*100)&gt;100,"NM",IF(((DI227/DA227-1)*100)&lt;-50,"NM",(DI227/DA227-1)*100)))</f>
        <v>2.6219512195122086</v>
      </c>
      <c r="DK227" s="95">
        <v>167.9</v>
      </c>
      <c r="DL227" s="81">
        <f>IF(ISERROR((DK227/DC227-1)*100),"NA",IF(((DK227/DC227-1)*100)&gt;100,"NM",IF(((DK227/DC227-1)*100)&lt;-50,"NM",(DK227/DC227-1)*100)))</f>
        <v>-7.442116868798232</v>
      </c>
      <c r="DM227" s="95">
        <v>170.4</v>
      </c>
      <c r="DN227" s="81">
        <f>IF(ISERROR((DM227/DE227-1)*100),"NA",IF(((DM227/DE227-1)*100)&gt;100,"NM",IF(((DM227/DE227-1)*100)&lt;-50,"NM",(DM227/DE227-1)*100)))</f>
        <v>6.6332916145181331</v>
      </c>
      <c r="DO227" s="95">
        <v>169.3</v>
      </c>
      <c r="DP227" s="81">
        <f>IF(ISERROR((DO227/DG227-1)*100),"NA",IF(((DO227/DG227-1)*100)&gt;100,"NM",IF(((DO227/DG227-1)*100)&lt;-50,"NM",(DO227/DG227-1)*100)))</f>
        <v>2.8554070473876259</v>
      </c>
      <c r="DQ227" s="95">
        <v>170.5</v>
      </c>
      <c r="DR227" s="81">
        <f>IF(ISERROR((DQ227/DI227-1)*100),"NA",IF(((DQ227/DI227-1)*100)&gt;100,"NM",IF(((DQ227/DI227-1)*100)&lt;-50,"NM",(DQ227/DI227-1)*100)))</f>
        <v>1.3071895424836555</v>
      </c>
      <c r="DS227" s="95">
        <v>172.8</v>
      </c>
      <c r="DT227" s="81">
        <f>IF(ISERROR((DS227/DK227-1)*100),"NA",IF(((DS227/DK227-1)*100)&gt;100,"NM",IF(((DS227/DK227-1)*100)&lt;-50,"NM",(DS227/DK227-1)*100)))</f>
        <v>2.9184038117927358</v>
      </c>
      <c r="DU227" s="95">
        <v>178.9</v>
      </c>
      <c r="DV227" s="81">
        <f>IF(ISERROR((DU227/DM227-1)*100),"NA",IF(((DU227/DM227-1)*100)&gt;100,"NM",IF(((DU227/DM227-1)*100)&lt;-50,"NM",(DU227/DM227-1)*100)))</f>
        <v>4.9882629107981247</v>
      </c>
      <c r="DW227" s="95">
        <v>179.7</v>
      </c>
      <c r="DX227" s="81">
        <f>IF(ISERROR((DW227/DO227-1)*100),"NA",IF(((DW227/DO227-1)*100)&gt;100,"NM",IF(((DW227/DO227-1)*100)&lt;-50,"NM",(DW227/DO227-1)*100)))</f>
        <v>6.1429415239220075</v>
      </c>
      <c r="DY227" s="95">
        <v>182.6</v>
      </c>
      <c r="DZ227" s="81">
        <f>IF(ISERROR((DY227/DQ227-1)*100),"NA",IF(((DY227/DQ227-1)*100)&gt;100,"NM",IF(((DY227/DQ227-1)*100)&lt;-50,"NM",(DY227/DQ227-1)*100)))</f>
        <v>7.0967741935483941</v>
      </c>
      <c r="EA227" s="95">
        <v>185.2</v>
      </c>
      <c r="EB227" s="81">
        <f>IF(ISERROR((EA227/DS227-1)*100),"NA",IF(((EA227/DS227-1)*100)&gt;100,"NM",IF(((EA227/DS227-1)*100)&lt;-50,"NM",(EA227/DS227-1)*100)))</f>
        <v>7.1759259259259078</v>
      </c>
      <c r="EC227" s="95">
        <v>190.2</v>
      </c>
      <c r="ED227" s="81">
        <f t="shared" ref="ED227:ED231" si="726">IF(ISERROR((EC227/DU227-1)*100),"NA",IF(((EC227/DU227-1)*100)&gt;100,"NM",IF(((EC227/DU227-1)*100)&lt;-50,"NM",(EC227/DU227-1)*100)))</f>
        <v>6.3163778647288948</v>
      </c>
      <c r="EE227" s="95">
        <v>192.9</v>
      </c>
      <c r="EF227" s="81">
        <f t="shared" ref="EF227:EF231" si="727">IF(ISERROR((EE227/DW227-1)*100),"NA",IF(((EE227/DW227-1)*100)&gt;100,"NM",IF(((EE227/DW227-1)*100)&lt;-50,"NM",(EE227/DW227-1)*100)))</f>
        <v>7.3455759599332371</v>
      </c>
      <c r="EG227" s="95">
        <v>196.1</v>
      </c>
      <c r="EH227" s="81">
        <f t="shared" ref="EH227:EH231" si="728">IF(ISERROR((EG227/DY227-1)*100),"NA",IF(((EG227/DY227-1)*100)&gt;100,"NM",IF(((EG227/DY227-1)*100)&lt;-50,"NM",(EG227/DY227-1)*100)))</f>
        <v>7.3932092004381111</v>
      </c>
      <c r="EI227" s="95">
        <v>209.4</v>
      </c>
      <c r="EJ227" s="81">
        <f t="shared" ref="EJ227:EJ231" si="729">IF(ISERROR((EI227/EA227-1)*100),"NA",IF(((EI227/EA227-1)*100)&gt;100,"NM",IF(((EI227/EA227-1)*100)&lt;-50,"NM",(EI227/EA227-1)*100)))</f>
        <v>13.066954643628526</v>
      </c>
      <c r="EK227" s="93">
        <f t="shared" ref="EK227:EQ227" si="730">+EK221*(EK234/100)</f>
        <v>202.66584</v>
      </c>
      <c r="EL227" s="81">
        <f t="shared" ref="EL227:EL231" si="731">IF(ISERROR((EK227/EC227-1)*100),"NA",IF(((EK227/EC227-1)*100)&gt;100,"NM",IF(((EK227/EC227-1)*100)&lt;-50,"NM",(EK227/EC227-1)*100)))</f>
        <v>6.5540694006309241</v>
      </c>
      <c r="EM227" s="93">
        <f t="shared" si="730"/>
        <v>206.71915680000004</v>
      </c>
      <c r="EN227" s="81">
        <f t="shared" ref="EN227:EN231" si="732">IF(ISERROR((EM227/EE227-1)*100),"NA",IF(((EM227/EE227-1)*100)&gt;100,"NM",IF(((EM227/EE227-1)*100)&lt;-50,"NM",(EM227/EE227-1)*100)))</f>
        <v>7.1638967340591053</v>
      </c>
      <c r="EO227" s="93">
        <f t="shared" si="730"/>
        <v>210.85353993600003</v>
      </c>
      <c r="EP227" s="81">
        <f t="shared" ref="EP227:EP231" si="733">IF(ISERROR((EO227/EG227-1)*100),"NA",IF(((EO227/EG227-1)*100)&gt;100,"NM",IF(((EO227/EG227-1)*100)&lt;-50,"NM",(EO227/EG227-1)*100)))</f>
        <v>7.5234777848036893</v>
      </c>
      <c r="EQ227" s="93">
        <f t="shared" si="730"/>
        <v>215.07061073472005</v>
      </c>
      <c r="ER227" s="81">
        <f t="shared" ref="ER227:ER231" si="734">IF(ISERROR((EQ227/EI227-1)*100),"NA",IF(((EQ227/EI227-1)*100)&gt;100,"NM",IF(((EQ227/EI227-1)*100)&lt;-50,"NM",(EQ227/EI227-1)*100)))</f>
        <v>2.7080280490544562</v>
      </c>
      <c r="ES227" s="129"/>
      <c r="ET227" s="469"/>
      <c r="EU227" s="129"/>
      <c r="EV227" s="95"/>
      <c r="EW227" s="79"/>
      <c r="EX227" s="95"/>
      <c r="EY227" s="79"/>
      <c r="EZ227" s="145"/>
      <c r="FA227" s="79"/>
      <c r="FB227" s="35">
        <f>+E227+G227+I227+K227</f>
        <v>346.4</v>
      </c>
      <c r="FC227" s="79" t="str">
        <f>IF(ISERROR((FB227/EZ227-1)*100),"NA",IF(((FB227/EZ227-1)*100)&gt;100,"NM",IF(((FB227/EZ227-1)*100)&lt;-50,"NM",(FB227/EZ227-1)*100)))</f>
        <v>NA</v>
      </c>
      <c r="FD227" s="75">
        <f>+S227+Q227+O227+M227</f>
        <v>357.20000000000005</v>
      </c>
      <c r="FE227" s="79">
        <f>IF(ISERROR((FD227/FB227-1)*100),"NA",IF(((FD227/FB227-1)*100)&gt;100,"NM",IF(((FD227/FB227-1)*100)&lt;-50,"NM",(FD227/FB227-1)*100)))</f>
        <v>3.1177829099307441</v>
      </c>
      <c r="FF227" s="251">
        <f>+AA227+Y227+W227+U227</f>
        <v>395.4</v>
      </c>
      <c r="FG227" s="79">
        <f>IF(ISERROR((FF227/FD227-1)*100),"NA",IF(((FF227/FD227-1)*100)&gt;100,"NM",IF(((FF227/FD227-1)*100)&lt;-50,"NM",(FF227/FD227-1)*100)))</f>
        <v>10.694288913773775</v>
      </c>
      <c r="FH227" s="251">
        <f>+AI227+AG227+AE227+AC227</f>
        <v>408.29999999999995</v>
      </c>
      <c r="FI227" s="79">
        <f>IF(ISERROR((FH227/FF227-1)*100),"NA",IF(((FH227/FF227-1)*100)&gt;100,"NM",IF(((FH227/FF227-1)*100)&lt;-50,"NM",(FH227/FF227-1)*100)))</f>
        <v>3.2625189681335209</v>
      </c>
      <c r="FJ227" s="35">
        <f>+AQ227+AO227+AM227+AK227</f>
        <v>433.20000000000005</v>
      </c>
      <c r="FK227" s="79">
        <f>IF(ISERROR((FJ227/FH227-1)*100),"NA",IF(((FJ227/FH227-1)*100)&gt;100,"NM",IF(((FJ227/FH227-1)*100)&lt;-50,"NM",(FJ227/FH227-1)*100)))</f>
        <v>6.0984570168993724</v>
      </c>
      <c r="FL227" s="78">
        <f>AS227+AU227+AW227+AY227</f>
        <v>441.4</v>
      </c>
      <c r="FM227" s="79">
        <f>IF(ISERROR((FL227/FJ227-1)*100),"NA",IF(((FL227/FJ227-1)*100)&gt;100,"NM",IF(((FL227/FJ227-1)*100)&lt;-50,"NM",(FL227/FJ227-1)*100)))</f>
        <v>1.8928901200369275</v>
      </c>
      <c r="FN227" s="78">
        <f>BA227+BC227+BE227+BG227</f>
        <v>437.79999999999995</v>
      </c>
      <c r="FO227" s="79">
        <f>IF(ISERROR((FN227/FL227-1)*100),"NA",IF(((FN227/FL227-1)*100)&gt;100,"NM",IF(((FN227/FL227-1)*100)&lt;-50,"NM",(FN227/FL227-1)*100)))</f>
        <v>-0.81558676937019126</v>
      </c>
      <c r="FP227" s="78">
        <f>BI227+BK227+BM227+BO227</f>
        <v>464</v>
      </c>
      <c r="FQ227" s="79">
        <f>IF(ISERROR((FP227/FN227-1)*100),"NA",IF(((FP227/FN227-1)*100)&gt;100,"NM",IF(((FP227/FN227-1)*100)&lt;-50,"NM",(FP227/FN227-1)*100)))</f>
        <v>5.9844677935130264</v>
      </c>
      <c r="FR227" s="93">
        <f>BQ227+BS227+BU227+BW227</f>
        <v>480.59999999999997</v>
      </c>
      <c r="FS227" s="79">
        <f>IF(ISERROR((FR227/FP227-1)*100),"NA",IF(((FR227/FP227-1)*100)&gt;100,"NM",IF(((FR227/FP227-1)*100)&lt;-50,"NM",(FR227/FP227-1)*100)))</f>
        <v>3.5775862068965436</v>
      </c>
      <c r="FT227" s="93">
        <f>BY227+CA227+CC227+CE227</f>
        <v>534.70000000000005</v>
      </c>
      <c r="FU227" s="79">
        <f>IF(ISERROR((FT227/FR227-1)*100),"NA",IF(((FT227/FR227-1)*100)&gt;100,"NM",IF(((FT227/FR227-1)*100)&lt;-50,"NM",(FT227/FR227-1)*100)))</f>
        <v>11.256762380357909</v>
      </c>
      <c r="FV227" s="93">
        <f>CG227+CI227+CK227+CM227</f>
        <v>589.4</v>
      </c>
      <c r="FW227" s="79">
        <f>IF(ISERROR((FV227/FT227-1)*100),"NA",IF(((FV227/FT227-1)*100)&gt;100,"NM",IF(((FV227/FT227-1)*100)&lt;-50,"NM",(FV227/FT227-1)*100)))</f>
        <v>10.23003553394426</v>
      </c>
      <c r="FX227" s="93">
        <f>CO227+CQ227+CS227+CU227</f>
        <v>627.30000000000007</v>
      </c>
      <c r="FY227" s="79">
        <f>IF(ISERROR((FX227/FV227-1)*100),"NA",IF(((FX227/FV227-1)*100)&gt;100,"NM",IF(((FX227/FV227-1)*100)&lt;-50,"NM",(FX227/FV227-1)*100)))</f>
        <v>6.4302680692229552</v>
      </c>
      <c r="FZ227" s="93">
        <f>CW227+CY227+DA227+DC227</f>
        <v>667</v>
      </c>
      <c r="GA227" s="79">
        <f>IF(ISERROR((FZ227/FX227-1)*100),"NA",IF(((FZ227/FX227-1)*100)&gt;100,"NM",IF(((FZ227/FX227-1)*100)&lt;-50,"NM",(FZ227/FX227-1)*100)))</f>
        <v>6.3287103459269689</v>
      </c>
      <c r="GB227" s="93">
        <f>DE227+DG227+DI227+DK227</f>
        <v>660.6</v>
      </c>
      <c r="GC227" s="79">
        <f>IF(ISERROR((GB227/FZ227-1)*100),"NA",IF(((GB227/FZ227-1)*100)&gt;100,"NM",IF(((GB227/FZ227-1)*100)&lt;-50,"NM",(GB227/FZ227-1)*100)))</f>
        <v>-0.95952023988005175</v>
      </c>
      <c r="GD227" s="93">
        <f>DM227+DO227+DQ227+DS227</f>
        <v>683</v>
      </c>
      <c r="GE227" s="79">
        <f>IF(ISERROR((GD227/GB227-1)*100),"NA",IF(((GD227/GB227-1)*100)&gt;100,"NM",IF(((GD227/GB227-1)*100)&lt;-50,"NM",(GD227/GB227-1)*100)))</f>
        <v>3.3908567968513381</v>
      </c>
      <c r="GF227" s="93">
        <f>DU227+DW227+DY227+EA227</f>
        <v>726.40000000000009</v>
      </c>
      <c r="GG227" s="79">
        <f>IF(ISERROR((GF227/GD227-1)*100),"NA",IF(((GF227/GD227-1)*100)&gt;100,"NM",IF(((GF227/GD227-1)*100)&lt;-50,"NM",(GF227/GD227-1)*100)))</f>
        <v>6.354319180087864</v>
      </c>
      <c r="GH227" s="93">
        <f>EC227+EE227+EG227+EI227</f>
        <v>788.6</v>
      </c>
      <c r="GI227" s="79">
        <f>IF(ISERROR((GH227/GF227-1)*100),"NA",IF(((GH227/GF227-1)*100)&gt;100,"NM",IF(((GH227/GF227-1)*100)&lt;-50,"NM",(GH227/GF227-1)*100)))</f>
        <v>8.562775330396466</v>
      </c>
      <c r="GJ227" s="93">
        <f>EK227+EM227+EO227+EQ227</f>
        <v>835.30914747072018</v>
      </c>
      <c r="GK227" s="79">
        <f>IF(ISERROR((GJ227/GH227-1)*100),"NA",IF(((GJ227/GH227-1)*100)&gt;100,"NM",IF(((GJ227/GH227-1)*100)&lt;-50,"NM",(GJ227/GH227-1)*100)))</f>
        <v>5.9230468514735124</v>
      </c>
      <c r="GL227" s="93">
        <f>+GL221*(GL234/100)</f>
        <v>855.29231246021209</v>
      </c>
      <c r="GM227" s="79">
        <f>IF(ISERROR((GL227/GJ227-1)*100),"NA",IF(((GL227/GJ227-1)*100)&gt;100,"NM",IF(((GL227/GJ227-1)*100)&lt;-50,"NM",(GL227/GJ227-1)*100)))</f>
        <v>2.3923076923076936</v>
      </c>
      <c r="GN227" s="93">
        <f>+GN221*(GN234/100)</f>
        <v>872.39815870941629</v>
      </c>
      <c r="GO227" s="79">
        <f>IF(ISERROR((GN227/GL227-1)*100),"NA",IF(((GN227/GL227-1)*100)&gt;100,"NM",IF(((GN227/GL227-1)*100)&lt;-50,"NM",(GN227/GL227-1)*100)))</f>
        <v>2.0000000000000018</v>
      </c>
      <c r="GP227" s="93">
        <f>+GP221*(GP234/100)</f>
        <v>888.14143582635631</v>
      </c>
      <c r="GQ227" s="79">
        <f>IF(ISERROR((GP227/GN227-1)*100),"NA",IF(((GP227/GN227-1)*100)&gt;100,"NM",IF(((GP227/GN227-1)*100)&lt;-50,"NM",(GP227/GN227-1)*100)))</f>
        <v>1.8045977011494241</v>
      </c>
      <c r="GR227" s="93">
        <f>+GR221*(GR234/100)</f>
        <v>905.90426454288342</v>
      </c>
      <c r="GS227" s="79">
        <f>IF(ISERROR((GR227/GP227-1)*100),"NA",IF(((GR227/GP227-1)*100)&gt;100,"NM",IF(((GR227/GP227-1)*100)&lt;-50,"NM",(GR227/GP227-1)*100)))</f>
        <v>2.0000000000000018</v>
      </c>
      <c r="GT227" s="79">
        <f>IF(ISERROR(((GR227/GH227)^0.2-1)*100),"NA",(IF(OR(((GR227/GH227)^0.2-1)*100&gt;99,((GR227/GH227)^0.2-1)*100&lt;-50),"NM",(((GR227/GH227)^0.2-1)*100))))</f>
        <v>2.8123074505287171</v>
      </c>
      <c r="GU227" s="562"/>
      <c r="GV227" s="562"/>
      <c r="GW227"/>
      <c r="GX227"/>
      <c r="GY227"/>
      <c r="GZ227"/>
      <c r="HA227"/>
      <c r="HB227"/>
      <c r="HC227" s="562"/>
      <c r="HD227" s="562"/>
      <c r="HE227" s="562"/>
      <c r="HF227" s="562"/>
      <c r="HG227" s="562"/>
      <c r="HH227" s="562"/>
      <c r="HI227" s="562"/>
      <c r="HJ227" s="562"/>
      <c r="HK227" s="562"/>
      <c r="HL227" s="562"/>
      <c r="HM227" s="562"/>
      <c r="HN227" s="562"/>
      <c r="HO227" s="562"/>
      <c r="HP227" s="562"/>
      <c r="HQ227" s="562"/>
      <c r="HR227" s="562"/>
      <c r="HS227" s="562"/>
      <c r="HT227" s="562"/>
      <c r="HU227" s="562"/>
      <c r="HV227" s="562"/>
      <c r="HW227" s="562"/>
      <c r="HX227" s="562"/>
      <c r="HY227" s="562"/>
      <c r="HZ227" s="562"/>
      <c r="IA227" s="562"/>
      <c r="IB227" s="562"/>
      <c r="IC227" s="562"/>
      <c r="ID227" s="562"/>
      <c r="IE227" s="562"/>
      <c r="IF227" s="562"/>
      <c r="IG227" s="562"/>
      <c r="IH227" s="562"/>
      <c r="II227" s="562"/>
      <c r="IJ227" s="562"/>
      <c r="IK227" s="562"/>
      <c r="IL227" s="562"/>
      <c r="IM227" s="562"/>
      <c r="IN227" s="562"/>
      <c r="IO227" s="562"/>
      <c r="IP227" s="562"/>
      <c r="IQ227" s="562"/>
      <c r="IR227" s="562"/>
      <c r="IS227" s="562"/>
      <c r="IT227" s="562"/>
      <c r="IU227" s="562"/>
      <c r="IV227" s="562"/>
      <c r="IW227" s="562"/>
      <c r="IX227" s="562"/>
      <c r="IY227" s="562"/>
      <c r="IZ227" s="562"/>
      <c r="JA227" s="562"/>
      <c r="JB227" s="562"/>
      <c r="JC227" s="562"/>
      <c r="JD227" s="562"/>
      <c r="JE227" s="562"/>
      <c r="JF227" s="562"/>
      <c r="JG227" s="562"/>
      <c r="JH227" s="562"/>
      <c r="JI227" s="562"/>
      <c r="JJ227" s="562"/>
      <c r="JK227" s="562"/>
      <c r="JL227" s="562"/>
      <c r="JM227" s="562"/>
      <c r="JN227" s="562"/>
      <c r="JO227" s="562"/>
      <c r="JP227" s="562"/>
      <c r="JQ227" s="562"/>
      <c r="JR227" s="562"/>
      <c r="JS227" s="562"/>
      <c r="JT227" s="562"/>
      <c r="JU227" s="562"/>
      <c r="JV227" s="562"/>
      <c r="JW227" s="562"/>
      <c r="JX227" s="562"/>
      <c r="JY227" s="562"/>
      <c r="JZ227" s="562"/>
    </row>
    <row r="228" spans="1:286" s="249" customFormat="1" ht="12.75" customHeight="1" x14ac:dyDescent="0.2">
      <c r="A228" s="248"/>
      <c r="B228" s="10" t="s">
        <v>114</v>
      </c>
      <c r="C228" s="79"/>
      <c r="D228" s="79"/>
      <c r="E228" s="95">
        <v>36.1</v>
      </c>
      <c r="F228" s="95"/>
      <c r="G228" s="95">
        <v>34.200000000000003</v>
      </c>
      <c r="H228" s="95"/>
      <c r="I228" s="95">
        <v>33.9</v>
      </c>
      <c r="J228" s="95"/>
      <c r="K228" s="95">
        <v>31.5</v>
      </c>
      <c r="L228" s="79"/>
      <c r="M228" s="95">
        <v>34.799999999999997</v>
      </c>
      <c r="N228" s="79">
        <f>IF(ISERROR((M228/E228-1)*100),"NA",IF(((M228/E228-1)*100)&gt;100,"NM",IF(((M228/E228-1)*100)&lt;-50,"NM",(M228/E228-1)*100)))</f>
        <v>-3.6011080332410073</v>
      </c>
      <c r="O228" s="95">
        <v>36.299999999999997</v>
      </c>
      <c r="P228" s="79">
        <f>IF(ISERROR((O228/G228-1)*100),"NA",IF(((O228/G228-1)*100)&gt;100,"NM",IF(((O228/G228-1)*100)&lt;-50,"NM",(O228/G228-1)*100)))</f>
        <v>6.1403508771929571</v>
      </c>
      <c r="Q228" s="95">
        <v>36.4</v>
      </c>
      <c r="R228" s="79">
        <f>IF(ISERROR((Q228/I228-1)*100),"NA",IF(((Q228/I228-1)*100)&gt;100,"NM",IF(((Q228/I228-1)*100)&lt;-50,"NM",(Q228/I228-1)*100)))</f>
        <v>7.3746312684365822</v>
      </c>
      <c r="S228" s="95">
        <v>36.4</v>
      </c>
      <c r="T228" s="79">
        <f>IF(ISERROR((S228/K228-1)*100),"NA",IF(((S228/K228-1)*100)&gt;100,"NM",IF(((S228/K228-1)*100)&lt;-50,"NM",(S228/K228-1)*100)))</f>
        <v>15.555555555555545</v>
      </c>
      <c r="U228" s="95">
        <v>40.4</v>
      </c>
      <c r="V228" s="79">
        <f>IF(ISERROR((U228/M228-1)*100),"NA",IF(((U228/M228-1)*100)&gt;100,"NM",IF(((U228/M228-1)*100)&lt;-50,"NM",(U228/M228-1)*100)))</f>
        <v>16.09195402298851</v>
      </c>
      <c r="W228" s="95">
        <v>41.2</v>
      </c>
      <c r="X228" s="79">
        <f>IF(ISERROR((W228/O228-1)*100),"NA",IF(((W228/O228-1)*100)&gt;100,"NM",IF(((W228/O228-1)*100)&lt;-50,"NM",(W228/O228-1)*100)))</f>
        <v>13.498622589531696</v>
      </c>
      <c r="Y228" s="95">
        <v>42.1</v>
      </c>
      <c r="Z228" s="79">
        <f>IF(ISERROR((Y228/Q228-1)*100),"NA",IF(((Y228/Q228-1)*100)&gt;100,"NM",IF(((Y228/Q228-1)*100)&lt;-50,"NM",(Y228/Q228-1)*100)))</f>
        <v>15.659340659340671</v>
      </c>
      <c r="AA228" s="126">
        <v>41.2</v>
      </c>
      <c r="AB228" s="79">
        <f>IF(ISERROR((AA228/S228-1)*100),"NA",IF(((AA228/S228-1)*100)&gt;100,"NM",IF(((AA228/S228-1)*100)&lt;-50,"NM",(AA228/S228-1)*100)))</f>
        <v>13.186813186813207</v>
      </c>
      <c r="AC228" s="95">
        <v>44.3</v>
      </c>
      <c r="AD228" s="79">
        <f>IF(ISERROR((AC228/U228-1)*100),"NA",IF(((AC228/U228-1)*100)&gt;100,"NM",IF(((AC228/U228-1)*100)&lt;-50,"NM",(AC228/U228-1)*100)))</f>
        <v>9.6534653465346398</v>
      </c>
      <c r="AE228" s="95">
        <v>44.6</v>
      </c>
      <c r="AF228" s="79">
        <f>IF(ISERROR((AE228/W228-1)*100),"NA",IF(((AE228/W228-1)*100)&gt;100,"NM",IF(((AE228/W228-1)*100)&lt;-50,"NM",(AE228/W228-1)*100)))</f>
        <v>8.2524271844660149</v>
      </c>
      <c r="AG228" s="95">
        <v>43.2</v>
      </c>
      <c r="AH228" s="79">
        <f>IF(ISERROR((AG228/Y228-1)*100),"NA",IF(((AG228/Y228-1)*100)&gt;100,"NM",IF(((AG228/Y228-1)*100)&lt;-50,"NM",(AG228/Y228-1)*100)))</f>
        <v>2.6128266033254244</v>
      </c>
      <c r="AI228" s="95">
        <v>41.8</v>
      </c>
      <c r="AJ228" s="79">
        <f>IF(ISERROR((AI228/AA228-1)*100),"NA",IF(((AI228/AA228-1)*100)&gt;100,"NM",IF(((AI228/AA228-1)*100)&lt;-50,"NM",(AI228/AA228-1)*100)))</f>
        <v>1.4563106796116276</v>
      </c>
      <c r="AK228" s="95">
        <v>42.6</v>
      </c>
      <c r="AL228" s="79">
        <f>IF(ISERROR((AK228/AC228-1)*100),"NA",IF(((AK228/AC228-1)*100)&gt;100,"NM",IF(((AK228/AC228-1)*100)&lt;-50,"NM",(AK228/AC228-1)*100)))</f>
        <v>-3.8374717832956984</v>
      </c>
      <c r="AM228" s="95">
        <v>42.3</v>
      </c>
      <c r="AN228" s="79">
        <f>IF(ISERROR((AM228/AE228-1)*100),"NA",IF(((AM228/AE228-1)*100)&gt;100,"NM",IF(((AM228/AE228-1)*100)&lt;-50,"NM",(AM228/AE228-1)*100)))</f>
        <v>-5.1569506726457544</v>
      </c>
      <c r="AO228" s="95">
        <v>42.8</v>
      </c>
      <c r="AP228" s="79">
        <f>IF(ISERROR((AO228/AG228-1)*100),"NA",IF(((AO228/AG228-1)*100)&gt;100,"NM",IF(((AO228/AG228-1)*100)&lt;-50,"NM",(AO228/AG228-1)*100)))</f>
        <v>-0.92592592592594114</v>
      </c>
      <c r="AQ228" s="95">
        <v>43</v>
      </c>
      <c r="AR228" s="79">
        <f>IF(ISERROR((AQ228/AI228-1)*100),"NA",IF(((AQ228/AI228-1)*100)&gt;100,"NM",IF(((AQ228/AI228-1)*100)&lt;-50,"NM",(AQ228/AI228-1)*100)))</f>
        <v>2.8708133971292016</v>
      </c>
      <c r="AS228" s="95">
        <v>43.7</v>
      </c>
      <c r="AT228" s="81">
        <f>IF(ISERROR((AS228/AK228-1)*100),"NA",IF(((AS228/AK228-1)*100)&gt;100,"NM",IF(((AS228/AK228-1)*100)&lt;-50,"NM",(AS228/AK228-1)*100)))</f>
        <v>2.5821596244131495</v>
      </c>
      <c r="AU228" s="95">
        <v>49.1</v>
      </c>
      <c r="AV228" s="81">
        <f>IF(ISERROR((AU228/AM228-1)*100),"NA",IF(((AU228/AM228-1)*100)&gt;100,"NM",IF(((AU228/AM228-1)*100)&lt;-50,"NM",(AU228/AM228-1)*100)))</f>
        <v>16.07565011820331</v>
      </c>
      <c r="AW228" s="95">
        <v>45</v>
      </c>
      <c r="AX228" s="81">
        <f>IF(ISERROR((AW228/AO228-1)*100),"NA",IF(((AW228/AO228-1)*100)&gt;100,"NM",IF(((AW228/AO228-1)*100)&lt;-50,"NM",(AW228/AO228-1)*100)))</f>
        <v>5.1401869158878677</v>
      </c>
      <c r="AY228" s="95">
        <v>47.1</v>
      </c>
      <c r="AZ228" s="81">
        <f>IF(ISERROR((AY228/AQ228-1)*100),"NA",IF(((AY228/AQ228-1)*100)&gt;100,"NM",IF(((AY228/AQ228-1)*100)&lt;-50,"NM",(AY228/AQ228-1)*100)))</f>
        <v>9.5348837209302317</v>
      </c>
      <c r="BA228" s="95">
        <v>49.4</v>
      </c>
      <c r="BB228" s="81">
        <f>IF(ISERROR((BA228/AS228-1)*100),"NA",IF(((BA228/AS228-1)*100)&gt;100,"NM",IF(((BA228/AS228-1)*100)&lt;-50,"NM",(BA228/AS228-1)*100)))</f>
        <v>13.043478260869556</v>
      </c>
      <c r="BC228" s="95">
        <v>49.7</v>
      </c>
      <c r="BD228" s="81">
        <f>IF(ISERROR((BC228/AU228-1)*100),"NA",IF(((BC228/AU228-1)*100)&gt;100,"NM",IF(((BC228/AU228-1)*100)&lt;-50,"NM",(BC228/AU228-1)*100)))</f>
        <v>1.2219959266802416</v>
      </c>
      <c r="BE228" s="95">
        <v>50.7</v>
      </c>
      <c r="BF228" s="81">
        <f>IF(ISERROR((BE228/AW228-1)*100),"NA",IF(((BE228/AW228-1)*100)&gt;100,"NM",IF(((BE228/AW228-1)*100)&lt;-50,"NM",(BE228/AW228-1)*100)))</f>
        <v>12.666666666666671</v>
      </c>
      <c r="BG228" s="95">
        <v>51.8</v>
      </c>
      <c r="BH228" s="81">
        <f>IF(ISERROR((BG228/AY228-1)*100),"NA",IF(((BG228/AY228-1)*100)&gt;100,"NM",IF(((BG228/AY228-1)*100)&lt;-50,"NM",(BG228/AY228-1)*100)))</f>
        <v>9.9787685774946908</v>
      </c>
      <c r="BI228" s="95">
        <v>53.1</v>
      </c>
      <c r="BJ228" s="81">
        <f>IF(ISERROR((BI228/BA228-1)*100),"NA",IF(((BI228/BA228-1)*100)&gt;100,"NM",IF(((BI228/BA228-1)*100)&lt;-50,"NM",(BI228/BA228-1)*100)))</f>
        <v>7.4898785425101311</v>
      </c>
      <c r="BK228" s="95">
        <v>53.4</v>
      </c>
      <c r="BL228" s="7">
        <f>IF(ISERROR((BK228/BC228-1)*100),"NA",IF(((BK228/BC228-1)*100)&gt;100,"NM",IF(((BK228/BC228-1)*100)&lt;-50,"NM",(BK228/BC228-1)*100)))</f>
        <v>7.444668008048283</v>
      </c>
      <c r="BM228" s="95">
        <v>52.6</v>
      </c>
      <c r="BN228" s="7">
        <f>IF(ISERROR((BM228/BE228-1)*100),"NA",IF(((BM228/BE228-1)*100)&gt;100,"NM",IF(((BM228/BE228-1)*100)&lt;-50,"NM",(BM228/BE228-1)*100)))</f>
        <v>3.7475345167652829</v>
      </c>
      <c r="BO228" s="95">
        <v>52.7</v>
      </c>
      <c r="BP228" s="7">
        <f>IF(ISERROR((BO228/BG228-1)*100),"NA",IF(((BO228/BG228-1)*100)&gt;100,"NM",IF(((BO228/BG228-1)*100)&lt;-50,"NM",(BO228/BG228-1)*100)))</f>
        <v>1.7374517374517451</v>
      </c>
      <c r="BQ228" s="95">
        <v>54.3</v>
      </c>
      <c r="BR228" s="81">
        <f>IF(ISERROR((BQ228/BI228-1)*100),"NA",IF(((BQ228/BI228-1)*100)&gt;100,"NM",IF(((BQ228/BI228-1)*100)&lt;-50,"NM",(BQ228/BI228-1)*100)))</f>
        <v>2.2598870056497189</v>
      </c>
      <c r="BS228" s="95">
        <v>53.1</v>
      </c>
      <c r="BT228" s="81">
        <f>IF(ISERROR((BS228/BK228-1)*100),"NA",IF(((BS228/BK228-1)*100)&gt;100,"NM",IF(((BS228/BK228-1)*100)&lt;-50,"NM",(BS228/BK228-1)*100)))</f>
        <v>-0.56179775280897903</v>
      </c>
      <c r="BU228" s="95">
        <v>53.4</v>
      </c>
      <c r="BV228" s="81">
        <f>IF(ISERROR((BU228/BM228-1)*100),"NA",IF(((BU228/BM228-1)*100)&gt;100,"NM",IF(((BU228/BM228-1)*100)&lt;-50,"NM",(BU228/BM228-1)*100)))</f>
        <v>1.5209125475285079</v>
      </c>
      <c r="BW228" s="95">
        <v>54.5</v>
      </c>
      <c r="BX228" s="81">
        <f>IF(ISERROR((BW228/BO228-1)*100),"NA",IF(((BW228/BO228-1)*100)&gt;100,"NM",IF(((BW228/BO228-1)*100)&lt;-50,"NM",(BW228/BO228-1)*100)))</f>
        <v>3.4155597722960174</v>
      </c>
      <c r="BY228" s="95">
        <v>57.7</v>
      </c>
      <c r="BZ228" s="81">
        <f>IF(ISERROR((BY228/BQ228-1)*100),"NA",IF(((BY228/BQ228-1)*100)&gt;100,"NM",IF(((BY228/BQ228-1)*100)&lt;-50,"NM",(BY228/BQ228-1)*100)))</f>
        <v>6.26151012891345</v>
      </c>
      <c r="CA228" s="95">
        <v>54.5</v>
      </c>
      <c r="CB228" s="81">
        <f>IF(ISERROR((CA228/BS228-1)*100),"NA",IF(((CA228/BS228-1)*100)&gt;100,"NM",IF(((CA228/BS228-1)*100)&lt;-50,"NM",(CA228/BS228-1)*100)))</f>
        <v>2.6365348399246757</v>
      </c>
      <c r="CC228" s="95">
        <v>59.5</v>
      </c>
      <c r="CD228" s="81">
        <f>IF(ISERROR((CC228/BU228-1)*100),"NA",IF(((CC228/BU228-1)*100)&gt;100,"NM",IF(((CC228/BU228-1)*100)&lt;-50,"NM",(CC228/BU228-1)*100)))</f>
        <v>11.423220973782765</v>
      </c>
      <c r="CE228" s="95">
        <v>60.9</v>
      </c>
      <c r="CF228" s="81">
        <f>IF(ISERROR((CE228/BW228-1)*100),"NA",IF(((CE228/BW228-1)*100)&gt;100,"NM",IF(((CE228/BW228-1)*100)&lt;-50,"NM",(CE228/BW228-1)*100)))</f>
        <v>11.743119266055047</v>
      </c>
      <c r="CG228" s="95">
        <v>61.2</v>
      </c>
      <c r="CH228" s="81">
        <f>IF(ISERROR((CG228/BY228-1)*100),"NA",IF(((CG228/BY228-1)*100)&gt;100,"NM",IF(((CG228/BY228-1)*100)&lt;-50,"NM",(CG228/BY228-1)*100)))</f>
        <v>6.0658578856152445</v>
      </c>
      <c r="CI228" s="95">
        <v>60.5</v>
      </c>
      <c r="CJ228" s="81">
        <f>IF(ISERROR((CI228/CA228-1)*100),"NA",IF(((CI228/CA228-1)*100)&gt;100,"NM",IF(((CI228/CA228-1)*100)&lt;-50,"NM",(CI228/CA228-1)*100)))</f>
        <v>11.009174311926607</v>
      </c>
      <c r="CK228" s="95">
        <v>61.8</v>
      </c>
      <c r="CL228" s="81">
        <f>IF(ISERROR((CK228/CC228-1)*100),"NA",IF(((CK228/CC228-1)*100)&gt;100,"NM",IF(((CK228/CC228-1)*100)&lt;-50,"NM",(CK228/CC228-1)*100)))</f>
        <v>3.8655462184873812</v>
      </c>
      <c r="CM228" s="95">
        <v>62.4</v>
      </c>
      <c r="CN228" s="81">
        <f>IF(ISERROR((CM228/CE228-1)*100),"NA",IF(((CM228/CE228-1)*100)&gt;100,"NM",IF(((CM228/CE228-1)*100)&lt;-50,"NM",(CM228/CE228-1)*100)))</f>
        <v>2.4630541871921263</v>
      </c>
      <c r="CO228" s="95">
        <v>63.9</v>
      </c>
      <c r="CP228" s="81">
        <f>IF(ISERROR((CO228/CG228-1)*100),"NA",IF(((CO228/CG228-1)*100)&gt;100,"NM",IF(((CO228/CG228-1)*100)&lt;-50,"NM",(CO228/CG228-1)*100)))</f>
        <v>4.4117647058823373</v>
      </c>
      <c r="CQ228" s="95">
        <v>63.3</v>
      </c>
      <c r="CR228" s="81">
        <f>IF(ISERROR((CQ228/CI228-1)*100),"NA",IF(((CQ228/CI228-1)*100)&gt;100,"NM",IF(((CQ228/CI228-1)*100)&lt;-50,"NM",(CQ228/CI228-1)*100)))</f>
        <v>4.6280991735537125</v>
      </c>
      <c r="CS228" s="95">
        <v>64</v>
      </c>
      <c r="CT228" s="81">
        <f>IF(ISERROR((CS228/CK228-1)*100),"NA",IF(((CS228/CK228-1)*100)&gt;100,"NM",IF(((CS228/CK228-1)*100)&lt;-50,"NM",(CS228/CK228-1)*100)))</f>
        <v>3.5598705501618255</v>
      </c>
      <c r="CU228" s="95">
        <v>63.3</v>
      </c>
      <c r="CV228" s="81">
        <f>IF(ISERROR((CU228/CM228-1)*100),"NA",IF(((CU228/CM228-1)*100)&gt;100,"NM",IF(((CU228/CM228-1)*100)&lt;-50,"NM",(CU228/CM228-1)*100)))</f>
        <v>1.4423076923076872</v>
      </c>
      <c r="CW228" s="95">
        <v>64</v>
      </c>
      <c r="CX228" s="81">
        <f>IF(ISERROR((CW228/CO228-1)*100),"NA",IF(((CW228/CO228-1)*100)&gt;100,"NM",IF(((CW228/CO228-1)*100)&lt;-50,"NM",(CW228/CO228-1)*100)))</f>
        <v>0.15649452269170805</v>
      </c>
      <c r="CY228" s="95">
        <v>62.5</v>
      </c>
      <c r="CZ228" s="81">
        <f>IF(ISERROR((CY228/CQ228-1)*100),"NA",IF(((CY228/CQ228-1)*100)&gt;100,"NM",IF(((CY228/CQ228-1)*100)&lt;-50,"NM",(CY228/CQ228-1)*100)))</f>
        <v>-1.2638230647709303</v>
      </c>
      <c r="DA228" s="95">
        <v>61.9</v>
      </c>
      <c r="DB228" s="81">
        <f>IF(ISERROR((DA228/CS228-1)*100),"NA",IF(((DA228/CS228-1)*100)&gt;100,"NM",IF(((DA228/CS228-1)*100)&lt;-50,"NM",(DA228/CS228-1)*100)))</f>
        <v>-3.2812500000000022</v>
      </c>
      <c r="DC228" s="95">
        <v>64.099999999999994</v>
      </c>
      <c r="DD228" s="81">
        <f>IF(ISERROR((DC228/CU228-1)*100),"NA",IF(((DC228/CU228-1)*100)&gt;100,"NM",IF(((DC228/CU228-1)*100)&lt;-50,"NM",(DC228/CU228-1)*100)))</f>
        <v>1.2638230647709303</v>
      </c>
      <c r="DE228" s="95">
        <v>63.5</v>
      </c>
      <c r="DF228" s="81">
        <f>IF(ISERROR((DE228/CW228-1)*100),"NA",IF(((DE228/CW228-1)*100)&gt;100,"NM",IF(((DE228/CW228-1)*100)&lt;-50,"NM",(DE228/CW228-1)*100)))</f>
        <v>-0.78125</v>
      </c>
      <c r="DG228" s="95">
        <v>63.5</v>
      </c>
      <c r="DH228" s="81">
        <f>IF(ISERROR((DG228/CY228-1)*100),"NA",IF(((DG228/CY228-1)*100)&gt;100,"NM",IF(((DG228/CY228-1)*100)&lt;-50,"NM",(DG228/CY228-1)*100)))</f>
        <v>1.6000000000000014</v>
      </c>
      <c r="DI228" s="95">
        <v>64.599999999999994</v>
      </c>
      <c r="DJ228" s="81">
        <f>IF(ISERROR((DI228/DA228-1)*100),"NA",IF(((DI228/DA228-1)*100)&gt;100,"NM",IF(((DI228/DA228-1)*100)&lt;-50,"NM",(DI228/DA228-1)*100)))</f>
        <v>4.3618739903069415</v>
      </c>
      <c r="DK228" s="95">
        <v>70.7</v>
      </c>
      <c r="DL228" s="81">
        <f>IF(ISERROR((DK228/DC228-1)*100),"NA",IF(((DK228/DC228-1)*100)&gt;100,"NM",IF(((DK228/DC228-1)*100)&lt;-50,"NM",(DK228/DC228-1)*100)))</f>
        <v>10.296411856474275</v>
      </c>
      <c r="DM228" s="95">
        <v>73.400000000000006</v>
      </c>
      <c r="DN228" s="81">
        <f>IF(ISERROR((DM228/DE228-1)*100),"NA",IF(((DM228/DE228-1)*100)&gt;100,"NM",IF(((DM228/DE228-1)*100)&lt;-50,"NM",(DM228/DE228-1)*100)))</f>
        <v>15.590551181102374</v>
      </c>
      <c r="DO228" s="95">
        <v>71.7</v>
      </c>
      <c r="DP228" s="81">
        <f>IF(ISERROR((DO228/DG228-1)*100),"NA",IF(((DO228/DG228-1)*100)&gt;100,"NM",IF(((DO228/DG228-1)*100)&lt;-50,"NM",(DO228/DG228-1)*100)))</f>
        <v>12.913385826771663</v>
      </c>
      <c r="DQ228" s="95">
        <v>72.7</v>
      </c>
      <c r="DR228" s="81">
        <f>IF(ISERROR((DQ228/DI228-1)*100),"NA",IF(((DQ228/DI228-1)*100)&gt;100,"NM",IF(((DQ228/DI228-1)*100)&lt;-50,"NM",(DQ228/DI228-1)*100)))</f>
        <v>12.538699690402488</v>
      </c>
      <c r="DS228" s="95">
        <v>75.7</v>
      </c>
      <c r="DT228" s="81">
        <f>IF(ISERROR((DS228/DK228-1)*100),"NA",IF(((DS228/DK228-1)*100)&gt;100,"NM",IF(((DS228/DK228-1)*100)&lt;-50,"NM",(DS228/DK228-1)*100)))</f>
        <v>7.0721357850070721</v>
      </c>
      <c r="DU228" s="95">
        <v>77.8</v>
      </c>
      <c r="DV228" s="81">
        <f>IF(ISERROR((DU228/DM228-1)*100),"NA",IF(((DU228/DM228-1)*100)&gt;100,"NM",IF(((DU228/DM228-1)*100)&lt;-50,"NM",(DU228/DM228-1)*100)))</f>
        <v>5.9945504087193235</v>
      </c>
      <c r="DW228" s="95">
        <v>76.8</v>
      </c>
      <c r="DX228" s="81">
        <f>IF(ISERROR((DW228/DO228-1)*100),"NA",IF(((DW228/DO228-1)*100)&gt;100,"NM",IF(((DW228/DO228-1)*100)&lt;-50,"NM",(DW228/DO228-1)*100)))</f>
        <v>7.1129707112970619</v>
      </c>
      <c r="DY228" s="95">
        <v>78.7</v>
      </c>
      <c r="DZ228" s="81">
        <f>IF(ISERROR((DY228/DQ228-1)*100),"NA",IF(((DY228/DQ228-1)*100)&gt;100,"NM",IF(((DY228/DQ228-1)*100)&lt;-50,"NM",(DY228/DQ228-1)*100)))</f>
        <v>8.253094910591475</v>
      </c>
      <c r="EA228" s="95">
        <v>80.3</v>
      </c>
      <c r="EB228" s="81">
        <f>IF(ISERROR((EA228/DS228-1)*100),"NA",IF(((EA228/DS228-1)*100)&gt;100,"NM",IF(((EA228/DS228-1)*100)&lt;-50,"NM",(EA228/DS228-1)*100)))</f>
        <v>6.07661822985468</v>
      </c>
      <c r="EC228" s="95">
        <v>85.2</v>
      </c>
      <c r="ED228" s="81">
        <f t="shared" si="726"/>
        <v>9.5115681233933316</v>
      </c>
      <c r="EE228" s="95">
        <v>85.2</v>
      </c>
      <c r="EF228" s="81">
        <f t="shared" si="727"/>
        <v>10.9375</v>
      </c>
      <c r="EG228" s="95">
        <v>86.4</v>
      </c>
      <c r="EH228" s="81">
        <f t="shared" si="728"/>
        <v>9.783989834815765</v>
      </c>
      <c r="EI228" s="95">
        <v>87.7</v>
      </c>
      <c r="EJ228" s="81">
        <f t="shared" si="729"/>
        <v>9.2154420921544364</v>
      </c>
      <c r="EK228" s="93">
        <f t="shared" ref="EK228:EQ228" si="735">+EK221*EK235/100</f>
        <v>89.453999999999994</v>
      </c>
      <c r="EL228" s="81">
        <f t="shared" si="731"/>
        <v>4.9929577464788544</v>
      </c>
      <c r="EM228" s="93">
        <f t="shared" si="735"/>
        <v>91.243080000000006</v>
      </c>
      <c r="EN228" s="81">
        <f t="shared" si="732"/>
        <v>7.0928169014084608</v>
      </c>
      <c r="EO228" s="93">
        <f t="shared" si="735"/>
        <v>93.067941600000012</v>
      </c>
      <c r="EP228" s="81">
        <f t="shared" si="733"/>
        <v>7.7175250000000029</v>
      </c>
      <c r="EQ228" s="93">
        <f t="shared" si="735"/>
        <v>94.929300432000019</v>
      </c>
      <c r="ER228" s="81">
        <f t="shared" si="734"/>
        <v>8.2432160000000199</v>
      </c>
      <c r="ES228" s="129"/>
      <c r="ET228" s="469"/>
      <c r="EU228" s="129"/>
      <c r="EV228" s="95"/>
      <c r="EW228" s="79"/>
      <c r="EX228" s="95"/>
      <c r="EY228" s="79"/>
      <c r="EZ228" s="145"/>
      <c r="FA228" s="79"/>
      <c r="FB228" s="35">
        <f>+E228+G228+I228+K228</f>
        <v>135.70000000000002</v>
      </c>
      <c r="FC228" s="79" t="str">
        <f>IF(ISERROR((FB228/EZ228-1)*100),"NA",IF(((FB228/EZ228-1)*100)&gt;100,"NM",IF(((FB228/EZ228-1)*100)&lt;-50,"NM",(FB228/EZ228-1)*100)))</f>
        <v>NA</v>
      </c>
      <c r="FD228" s="145">
        <f>+S228+Q228+O228+M228</f>
        <v>143.89999999999998</v>
      </c>
      <c r="FE228" s="79">
        <f>IF(ISERROR((FD228/FB228-1)*100),"NA",IF(((FD228/FB228-1)*100)&gt;100,"NM",IF(((FD228/FB228-1)*100)&lt;-50,"NM",(FD228/FB228-1)*100)))</f>
        <v>6.0427413411937803</v>
      </c>
      <c r="FF228" s="251">
        <f>+AA228+Y228+W228+U228</f>
        <v>164.9</v>
      </c>
      <c r="FG228" s="79">
        <f>IF(ISERROR((FF228/FD228-1)*100),"NA",IF(((FF228/FD228-1)*100)&gt;100,"NM",IF(((FF228/FD228-1)*100)&lt;-50,"NM",(FF228/FD228-1)*100)))</f>
        <v>14.593467685893003</v>
      </c>
      <c r="FH228" s="251">
        <f>+AI228+AG228+AE228+AC228</f>
        <v>173.89999999999998</v>
      </c>
      <c r="FI228" s="79">
        <f>IF(ISERROR((FH228/FF228-1)*100),"NA",IF(((FH228/FF228-1)*100)&gt;100,"NM",IF(((FH228/FF228-1)*100)&lt;-50,"NM",(FH228/FF228-1)*100)))</f>
        <v>5.4578532443905203</v>
      </c>
      <c r="FJ228" s="35">
        <f>+AQ228+AO228+AM228+AK228</f>
        <v>170.7</v>
      </c>
      <c r="FK228" s="79">
        <f>IF(ISERROR((FJ228/FH228-1)*100),"NA",IF(((FJ228/FH228-1)*100)&gt;100,"NM",IF(((FJ228/FH228-1)*100)&lt;-50,"NM",(FJ228/FH228-1)*100)))</f>
        <v>-1.840138010350767</v>
      </c>
      <c r="FL228" s="78">
        <f>AS228+AU228+AW228+AY228</f>
        <v>184.9</v>
      </c>
      <c r="FM228" s="79">
        <f>IF(ISERROR((FL228/FJ228-1)*100),"NA",IF(((FL228/FJ228-1)*100)&gt;100,"NM",IF(((FL228/FJ228-1)*100)&lt;-50,"NM",(FL228/FJ228-1)*100)))</f>
        <v>8.3186877562976047</v>
      </c>
      <c r="FN228" s="78">
        <f>BA228+BC228+BE228+BG228</f>
        <v>201.60000000000002</v>
      </c>
      <c r="FO228" s="79">
        <f>IF(ISERROR((FN228/FL228-1)*100),"NA",IF(((FN228/FL228-1)*100)&gt;100,"NM",IF(((FN228/FL228-1)*100)&lt;-50,"NM",(FN228/FL228-1)*100)))</f>
        <v>9.0319091400757223</v>
      </c>
      <c r="FP228" s="78">
        <f>BI228+BK228+BM228+BO228</f>
        <v>211.8</v>
      </c>
      <c r="FQ228" s="79">
        <f>IF(ISERROR((FP228/FN228-1)*100),"NA",IF(((FP228/FN228-1)*100)&gt;100,"NM",IF(((FP228/FN228-1)*100)&lt;-50,"NM",(FP228/FN228-1)*100)))</f>
        <v>5.0595238095238138</v>
      </c>
      <c r="FR228" s="93">
        <f>BQ228+BS228+BU228+BW228</f>
        <v>215.3</v>
      </c>
      <c r="FS228" s="79">
        <f>IF(ISERROR((FR228/FP228-1)*100),"NA",IF(((FR228/FP228-1)*100)&gt;100,"NM",IF(((FR228/FP228-1)*100)&lt;-50,"NM",(FR228/FP228-1)*100)))</f>
        <v>1.6525023607176559</v>
      </c>
      <c r="FT228" s="93">
        <f>BY228+CA228+CC228+CE228</f>
        <v>232.6</v>
      </c>
      <c r="FU228" s="79">
        <f>IF(ISERROR((FT228/FR228-1)*100),"NA",IF(((FT228/FR228-1)*100)&gt;100,"NM",IF(((FT228/FR228-1)*100)&lt;-50,"NM",(FT228/FR228-1)*100)))</f>
        <v>8.0352995819786166</v>
      </c>
      <c r="FV228" s="93">
        <f>CG228+CI228+CK228+CM228</f>
        <v>245.9</v>
      </c>
      <c r="FW228" s="79">
        <f>IF(ISERROR((FV228/FT228-1)*100),"NA",IF(((FV228/FT228-1)*100)&gt;100,"NM",IF(((FV228/FT228-1)*100)&lt;-50,"NM",(FV228/FT228-1)*100)))</f>
        <v>5.7179707652622591</v>
      </c>
      <c r="FX228" s="93">
        <f>CO228+CQ228+CS228+CU228</f>
        <v>254.5</v>
      </c>
      <c r="FY228" s="79">
        <f>IF(ISERROR((FX228/FV228-1)*100),"NA",IF(((FX228/FV228-1)*100)&gt;100,"NM",IF(((FX228/FV228-1)*100)&lt;-50,"NM",(FX228/FV228-1)*100)))</f>
        <v>3.4973566490443142</v>
      </c>
      <c r="FZ228" s="93">
        <f>CW228+CY228+DA228+DC228</f>
        <v>252.5</v>
      </c>
      <c r="GA228" s="79">
        <f>IF(ISERROR((FZ228/FX228-1)*100),"NA",IF(((FZ228/FX228-1)*100)&gt;100,"NM",IF(((FZ228/FX228-1)*100)&lt;-50,"NM",(FZ228/FX228-1)*100)))</f>
        <v>-0.78585461689587577</v>
      </c>
      <c r="GB228" s="93">
        <f>DE228+DG228+DI228+DK228</f>
        <v>262.3</v>
      </c>
      <c r="GC228" s="79">
        <f>IF(ISERROR((GB228/FZ228-1)*100),"NA",IF(((GB228/FZ228-1)*100)&gt;100,"NM",IF(((GB228/FZ228-1)*100)&lt;-50,"NM",(GB228/FZ228-1)*100)))</f>
        <v>3.8811881188118846</v>
      </c>
      <c r="GD228" s="93">
        <f>DM228+DO228+DQ228+DS228</f>
        <v>293.5</v>
      </c>
      <c r="GE228" s="79">
        <f>IF(ISERROR((GD228/GB228-1)*100),"NA",IF(((GD228/GB228-1)*100)&gt;100,"NM",IF(((GD228/GB228-1)*100)&lt;-50,"NM",(GD228/GB228-1)*100)))</f>
        <v>11.894776972931753</v>
      </c>
      <c r="GF228" s="93">
        <f>DU228+DW228+DY228+EA228</f>
        <v>313.60000000000002</v>
      </c>
      <c r="GG228" s="79">
        <f>IF(ISERROR((GF228/GD228-1)*100),"NA",IF(((GF228/GD228-1)*100)&gt;100,"NM",IF(((GF228/GD228-1)*100)&lt;-50,"NM",(GF228/GD228-1)*100)))</f>
        <v>6.848381601362874</v>
      </c>
      <c r="GH228" s="93">
        <f>EC228+EE228+EG228+EI228</f>
        <v>344.5</v>
      </c>
      <c r="GI228" s="79">
        <f>IF(ISERROR((GH228/GF228-1)*100),"NA",IF(((GH228/GF228-1)*100)&gt;100,"NM",IF(((GH228/GF228-1)*100)&lt;-50,"NM",(GH228/GF228-1)*100)))</f>
        <v>9.8533163265306136</v>
      </c>
      <c r="GJ228" s="93">
        <f>EK228+EM228+EO228+EQ228</f>
        <v>368.69432203200006</v>
      </c>
      <c r="GK228" s="79">
        <f>IF(ISERROR((GJ228/GH228-1)*100),"NA",IF(((GJ228/GH228-1)*100)&gt;100,"NM",IF(((GJ228/GH228-1)*100)&lt;-50,"NM",(GJ228/GH228-1)*100)))</f>
        <v>7.023025263280136</v>
      </c>
      <c r="GL228" s="93">
        <f>+GL221*GL235/100</f>
        <v>376.06820847264004</v>
      </c>
      <c r="GM228" s="79">
        <f>IF(ISERROR((GL228/GJ228-1)*100),"NA",IF(((GL228/GJ228-1)*100)&gt;100,"NM",IF(((GL228/GJ228-1)*100)&lt;-50,"NM",(GL228/GJ228-1)*100)))</f>
        <v>2.0000000000000018</v>
      </c>
      <c r="GN228" s="93">
        <f>+GN221*GN235/100</f>
        <v>383.58957264209289</v>
      </c>
      <c r="GO228" s="79">
        <f>IF(ISERROR((GN228/GL228-1)*100),"NA",IF(((GN228/GL228-1)*100)&gt;100,"NM",IF(((GN228/GL228-1)*100)&lt;-50,"NM",(GN228/GL228-1)*100)))</f>
        <v>2.000000000000024</v>
      </c>
      <c r="GP228" s="93">
        <f>+GP221*GP235/100</f>
        <v>391.26136409493478</v>
      </c>
      <c r="GQ228" s="79">
        <f>IF(ISERROR((GP228/GN228-1)*100),"NA",IF(((GP228/GN228-1)*100)&gt;100,"NM",IF(((GP228/GN228-1)*100)&lt;-50,"NM",(GP228/GN228-1)*100)))</f>
        <v>2.0000000000000018</v>
      </c>
      <c r="GR228" s="93">
        <f>+GR221*GR235/100</f>
        <v>399.08659137683338</v>
      </c>
      <c r="GS228" s="79">
        <f>IF(ISERROR((GR228/GP228-1)*100),"NA",IF(((GR228/GP228-1)*100)&gt;100,"NM",IF(((GR228/GP228-1)*100)&lt;-50,"NM",(GR228/GP228-1)*100)))</f>
        <v>1.9999999999999796</v>
      </c>
      <c r="GT228" s="79">
        <f>IF(ISERROR(((GR228/GH228)^0.2-1)*100),"NA",(IF(OR(((GR228/GH228)^0.2-1)*100&gt;99,((GR228/GH228)^0.2-1)*100&lt;-50),"NM",(((GR228/GH228)^0.2-1)*100))))</f>
        <v>2.9853814786358512</v>
      </c>
      <c r="GU228" s="562"/>
      <c r="GV228" s="562"/>
      <c r="GW228"/>
      <c r="GX228"/>
      <c r="GY228"/>
      <c r="GZ228"/>
      <c r="HA228"/>
      <c r="HB228"/>
      <c r="HC228" s="562"/>
      <c r="HD228" s="562"/>
      <c r="HE228" s="562"/>
      <c r="HF228" s="562"/>
      <c r="HG228" s="562"/>
      <c r="HH228" s="562"/>
      <c r="HI228" s="562"/>
      <c r="HJ228" s="562"/>
      <c r="HK228" s="562"/>
      <c r="HL228" s="562"/>
      <c r="HM228" s="562"/>
      <c r="HN228" s="562"/>
      <c r="HO228" s="562"/>
      <c r="HP228" s="562"/>
      <c r="HQ228" s="562"/>
      <c r="HR228" s="562"/>
      <c r="HS228" s="562"/>
      <c r="HT228" s="562"/>
      <c r="HU228" s="562"/>
      <c r="HV228" s="562"/>
      <c r="HW228" s="562"/>
      <c r="HX228" s="562"/>
      <c r="HY228" s="562"/>
      <c r="HZ228" s="562"/>
      <c r="IA228" s="562"/>
      <c r="IB228" s="562"/>
      <c r="IC228" s="562"/>
      <c r="ID228" s="562"/>
      <c r="IE228" s="562"/>
      <c r="IF228" s="562"/>
      <c r="IG228" s="562"/>
      <c r="IH228" s="562"/>
      <c r="II228" s="562"/>
      <c r="IJ228" s="562"/>
      <c r="IK228" s="562"/>
      <c r="IL228" s="562"/>
      <c r="IM228" s="562"/>
      <c r="IN228" s="562"/>
      <c r="IO228" s="562"/>
      <c r="IP228" s="562"/>
      <c r="IQ228" s="562"/>
      <c r="IR228" s="562"/>
      <c r="IS228" s="562"/>
      <c r="IT228" s="562"/>
      <c r="IU228" s="562"/>
      <c r="IV228" s="562"/>
      <c r="IW228" s="562"/>
      <c r="IX228" s="562"/>
      <c r="IY228" s="562"/>
      <c r="IZ228" s="562"/>
      <c r="JA228" s="562"/>
      <c r="JB228" s="562"/>
      <c r="JC228" s="562"/>
      <c r="JD228" s="562"/>
      <c r="JE228" s="562"/>
      <c r="JF228" s="562"/>
      <c r="JG228" s="562"/>
      <c r="JH228" s="562"/>
      <c r="JI228" s="562"/>
      <c r="JJ228" s="562"/>
      <c r="JK228" s="562"/>
      <c r="JL228" s="562"/>
      <c r="JM228" s="562"/>
      <c r="JN228" s="562"/>
      <c r="JO228" s="562"/>
      <c r="JP228" s="562"/>
      <c r="JQ228" s="562"/>
      <c r="JR228" s="562"/>
      <c r="JS228" s="562"/>
      <c r="JT228" s="562"/>
      <c r="JU228" s="562"/>
      <c r="JV228" s="562"/>
      <c r="JW228" s="562"/>
      <c r="JX228" s="562"/>
      <c r="JY228" s="562"/>
      <c r="JZ228" s="562"/>
    </row>
    <row r="229" spans="1:286" s="249" customFormat="1" ht="12.75" customHeight="1" x14ac:dyDescent="0.2">
      <c r="A229" s="248"/>
      <c r="B229" s="10" t="s">
        <v>311</v>
      </c>
      <c r="C229" s="79"/>
      <c r="D229" s="79"/>
      <c r="E229" s="95">
        <v>-9.3000000000000007</v>
      </c>
      <c r="F229" s="95"/>
      <c r="G229" s="95">
        <v>-10.3</v>
      </c>
      <c r="H229" s="95"/>
      <c r="I229" s="95">
        <v>-7.3</v>
      </c>
      <c r="J229" s="95"/>
      <c r="K229" s="95">
        <v>-8</v>
      </c>
      <c r="L229" s="79"/>
      <c r="M229" s="95">
        <v>-8.8000000000000007</v>
      </c>
      <c r="N229" s="79">
        <f>IF(ISERROR((M229/E229-1)*100),"NA",IF(((M229/E229-1)*100)&gt;100,"NM",IF(((M229/E229-1)*100)&lt;-50,"NM",(M229/E229-1)*100)))</f>
        <v>-5.3763440860215006</v>
      </c>
      <c r="O229" s="95">
        <v>-10.4</v>
      </c>
      <c r="P229" s="79">
        <f>IF(ISERROR((O229/G229-1)*100),"NA",IF(((O229/G229-1)*100)&gt;100,"NM",IF(((O229/G229-1)*100)&lt;-50,"NM",(O229/G229-1)*100)))</f>
        <v>0.97087378640776656</v>
      </c>
      <c r="Q229" s="95">
        <v>-10.199999999999999</v>
      </c>
      <c r="R229" s="79">
        <f>IF(ISERROR((Q229/I229-1)*100),"NA",IF(((Q229/I229-1)*100)&gt;100,"NM",IF(((Q229/I229-1)*100)&lt;-50,"NM",(Q229/I229-1)*100)))</f>
        <v>39.726027397260275</v>
      </c>
      <c r="S229" s="95">
        <v>-11.3</v>
      </c>
      <c r="T229" s="79">
        <f>IF(ISERROR((S229/K229-1)*100),"NA",IF(((S229/K229-1)*100)&gt;100,"NM",IF(((S229/K229-1)*100)&lt;-50,"NM",(S229/K229-1)*100)))</f>
        <v>41.250000000000007</v>
      </c>
      <c r="U229" s="95">
        <v>-12.1</v>
      </c>
      <c r="V229" s="79">
        <f>IF(ISERROR((U229/M229-1)*100),"NA",IF(((U229/M229-1)*100)&gt;100,"NM",IF(((U229/M229-1)*100)&lt;-50,"NM",(U229/M229-1)*100)))</f>
        <v>37.499999999999979</v>
      </c>
      <c r="W229" s="95">
        <v>-12.6</v>
      </c>
      <c r="X229" s="79">
        <f>IF(ISERROR((W229/O229-1)*100),"NA",IF(((W229/O229-1)*100)&gt;100,"NM",IF(((W229/O229-1)*100)&lt;-50,"NM",(W229/O229-1)*100)))</f>
        <v>21.153846153846146</v>
      </c>
      <c r="Y229" s="95">
        <v>-12.3</v>
      </c>
      <c r="Z229" s="79">
        <f>IF(ISERROR((Y229/Q229-1)*100),"NA",IF(((Y229/Q229-1)*100)&gt;100,"NM",IF(((Y229/Q229-1)*100)&lt;-50,"NM",(Y229/Q229-1)*100)))</f>
        <v>20.588235294117663</v>
      </c>
      <c r="AA229" s="126">
        <v>-10.8</v>
      </c>
      <c r="AB229" s="79">
        <f>IF(ISERROR((AA229/S229-1)*100),"NA",IF(((AA229/S229-1)*100)&gt;100,"NM",IF(((AA229/S229-1)*100)&lt;-50,"NM",(AA229/S229-1)*100)))</f>
        <v>-4.4247787610619422</v>
      </c>
      <c r="AC229" s="95">
        <v>-12.2</v>
      </c>
      <c r="AD229" s="79">
        <f>IF(ISERROR((AC229/U229-1)*100),"NA",IF(((AC229/U229-1)*100)&gt;100,"NM",IF(((AC229/U229-1)*100)&lt;-50,"NM",(AC229/U229-1)*100)))</f>
        <v>0.82644628099173278</v>
      </c>
      <c r="AE229" s="95">
        <f>32.5-44.5</f>
        <v>-12</v>
      </c>
      <c r="AF229" s="79">
        <f>IF(ISERROR((AE229/W229-1)*100),"NA",IF(((AE229/W229-1)*100)&gt;100,"NM",IF(((AE229/W229-1)*100)&lt;-50,"NM",(AE229/W229-1)*100)))</f>
        <v>-4.7619047619047556</v>
      </c>
      <c r="AG229" s="95">
        <f>32.2-43.1</f>
        <v>-10.899999999999999</v>
      </c>
      <c r="AH229" s="79">
        <f>IF(ISERROR((AG229/Y229-1)*100),"NA",IF(((AG229/Y229-1)*100)&gt;100,"NM",IF(((AG229/Y229-1)*100)&lt;-50,"NM",(AG229/Y229-1)*100)))</f>
        <v>-11.38211382113823</v>
      </c>
      <c r="AI229" s="95">
        <f>-41.3+33.9</f>
        <v>-7.3999999999999986</v>
      </c>
      <c r="AJ229" s="79">
        <f>IF(ISERROR((AI229/AA229-1)*100),"NA",IF(((AI229/AA229-1)*100)&gt;100,"NM",IF(((AI229/AA229-1)*100)&lt;-50,"NM",(AI229/AA229-1)*100)))</f>
        <v>-31.481481481481499</v>
      </c>
      <c r="AK229" s="95">
        <f>34.4-45.3</f>
        <v>-10.899999999999999</v>
      </c>
      <c r="AL229" s="79">
        <f>IF(ISERROR((AK229/AC229-1)*100),"NA",IF(((AK229/AC229-1)*100)&gt;100,"NM",IF(((AK229/AC229-1)*100)&lt;-50,"NM",(AK229/AC229-1)*100)))</f>
        <v>-10.655737704918044</v>
      </c>
      <c r="AM229" s="95">
        <f>34-43.9</f>
        <v>-9.8999999999999986</v>
      </c>
      <c r="AN229" s="79">
        <f>IF(ISERROR((AM229/AE229-1)*100),"NA",IF(((AM229/AE229-1)*100)&gt;100,"NM",IF(((AM229/AE229-1)*100)&lt;-50,"NM",(AM229/AE229-1)*100)))</f>
        <v>-17.500000000000014</v>
      </c>
      <c r="AO229" s="95">
        <f>31.8-41.9</f>
        <v>-10.099999999999998</v>
      </c>
      <c r="AP229" s="79">
        <f>IF(ISERROR((AO229/AG229-1)*100),"NA",IF(((AO229/AG229-1)*100)&gt;100,"NM",IF(((AO229/AG229-1)*100)&lt;-50,"NM",(AO229/AG229-1)*100)))</f>
        <v>-7.3394495412844147</v>
      </c>
      <c r="AQ229" s="95">
        <f>34.5-42.3</f>
        <v>-7.7999999999999972</v>
      </c>
      <c r="AR229" s="79">
        <f>IF(ISERROR((AQ229/AI229-1)*100),"NA",IF(((AQ229/AI229-1)*100)&gt;100,"NM",IF(((AQ229/AI229-1)*100)&lt;-50,"NM",(AQ229/AI229-1)*100)))</f>
        <v>5.4054054054053946</v>
      </c>
      <c r="AS229" s="95">
        <f>-46.1+35.5</f>
        <v>-10.600000000000001</v>
      </c>
      <c r="AT229" s="81">
        <f>IF(ISERROR((AS229/AK229-1)*100),"NA",IF(((AS229/AK229-1)*100)&gt;100,"NM",IF(((AS229/AK229-1)*100)&lt;-50,"NM",(AS229/AK229-1)*100)))</f>
        <v>-2.7522935779816238</v>
      </c>
      <c r="AU229" s="95">
        <f>-45.6+34.4</f>
        <v>-11.200000000000003</v>
      </c>
      <c r="AV229" s="81">
        <f>IF(ISERROR((AU229/AM229-1)*100),"NA",IF(((AU229/AM229-1)*100)&gt;100,"NM",IF(((AU229/AM229-1)*100)&lt;-50,"NM",(AU229/AM229-1)*100)))</f>
        <v>13.131313131313171</v>
      </c>
      <c r="AW229" s="95">
        <f>-47.3+36.5+0.3</f>
        <v>-10.499999999999996</v>
      </c>
      <c r="AX229" s="81">
        <f>IF(ISERROR((AW229/AO229-1)*100),"NA",IF(((AW229/AO229-1)*100)&gt;100,"NM",IF(((AW229/AO229-1)*100)&lt;-50,"NM",(AW229/AO229-1)*100)))</f>
        <v>3.9603960396039417</v>
      </c>
      <c r="AY229" s="95">
        <f>-48.6+38+0.3</f>
        <v>-10.3</v>
      </c>
      <c r="AZ229" s="81">
        <f>IF(ISERROR((AY229/AQ229-1)*100),"NA",IF(((AY229/AQ229-1)*100)&gt;100,"NM",IF(((AY229/AQ229-1)*100)&lt;-50,"NM",(AY229/AQ229-1)*100)))</f>
        <v>32.051282051282115</v>
      </c>
      <c r="BA229" s="95">
        <f>-52.3+38.3</f>
        <v>-14</v>
      </c>
      <c r="BB229" s="81">
        <f>IF(ISERROR((BA229/AS229-1)*100),"NA",IF(((BA229/AS229-1)*100)&gt;100,"NM",IF(((BA229/AS229-1)*100)&lt;-50,"NM",(BA229/AS229-1)*100)))</f>
        <v>32.075471698113198</v>
      </c>
      <c r="BC229" s="95">
        <f>-52.6+38.8</f>
        <v>-13.800000000000004</v>
      </c>
      <c r="BD229" s="81">
        <f>IF(ISERROR((BC229/AU229-1)*100),"NA",IF(((BC229/AU229-1)*100)&gt;100,"NM",IF(((BC229/AU229-1)*100)&lt;-50,"NM",(BC229/AU229-1)*100)))</f>
        <v>23.214285714285722</v>
      </c>
      <c r="BE229" s="95">
        <f>-52.5+38.1</f>
        <v>-14.399999999999999</v>
      </c>
      <c r="BF229" s="81">
        <f>IF(ISERROR((BE229/AW229-1)*100),"NA",IF(((BE229/AW229-1)*100)&gt;100,"NM",IF(((BE229/AW229-1)*100)&lt;-50,"NM",(BE229/AW229-1)*100)))</f>
        <v>37.142857142857167</v>
      </c>
      <c r="BG229" s="95">
        <f>-53.5+38.7</f>
        <v>-14.799999999999997</v>
      </c>
      <c r="BH229" s="81">
        <f>IF(ISERROR((BG229/AY229-1)*100),"NA",IF(((BG229/AY229-1)*100)&gt;100,"NM",IF(((BG229/AY229-1)*100)&lt;-50,"NM",(BG229/AY229-1)*100)))</f>
        <v>43.689320388349472</v>
      </c>
      <c r="BI229" s="95">
        <f>-55.9+40.9</f>
        <v>-15</v>
      </c>
      <c r="BJ229" s="81">
        <f>IF(ISERROR((BI229/BA229-1)*100),"NA",IF(((BI229/BA229-1)*100)&gt;100,"NM",IF(((BI229/BA229-1)*100)&lt;-50,"NM",(BI229/BA229-1)*100)))</f>
        <v>7.1428571428571397</v>
      </c>
      <c r="BK229" s="95">
        <f>-57.2+41.2</f>
        <v>-16</v>
      </c>
      <c r="BL229" s="7">
        <f>IF(ISERROR((BK229/BC229-1)*100),"NA",IF(((BK229/BC229-1)*100)&gt;100,"NM",IF(((BK229/BC229-1)*100)&lt;-50,"NM",(BK229/BC229-1)*100)))</f>
        <v>15.942028985507207</v>
      </c>
      <c r="BM229" s="95">
        <f>-55.2+42.4</f>
        <v>-12.800000000000004</v>
      </c>
      <c r="BN229" s="7">
        <f>IF(ISERROR((BM229/BE229-1)*100),"NA",IF(((BM229/BE229-1)*100)&gt;100,"NM",IF(((BM229/BE229-1)*100)&lt;-50,"NM",(BM229/BE229-1)*100)))</f>
        <v>-11.111111111111072</v>
      </c>
      <c r="BO229" s="95">
        <f>-55.5+41.9</f>
        <v>-13.600000000000001</v>
      </c>
      <c r="BP229" s="7">
        <f>IF(ISERROR((BO229/BG229-1)*100),"NA",IF(((BO229/BG229-1)*100)&gt;100,"NM",IF(((BO229/BG229-1)*100)&lt;-50,"NM",(BO229/BG229-1)*100)))</f>
        <v>-8.1081081081080804</v>
      </c>
      <c r="BQ229" s="95">
        <f>-57.3+45.9</f>
        <v>-11.399999999999999</v>
      </c>
      <c r="BR229" s="81">
        <f>IF(ISERROR((BQ229/BI229-1)*100),"NA",IF(((BQ229/BI229-1)*100)&gt;100,"NM",IF(((BQ229/BI229-1)*100)&lt;-50,"NM",(BQ229/BI229-1)*100)))</f>
        <v>-24.000000000000011</v>
      </c>
      <c r="BS229" s="95">
        <f>-56.6+43.8</f>
        <v>-12.800000000000004</v>
      </c>
      <c r="BT229" s="81">
        <f>IF(ISERROR((BS229/BK229-1)*100),"NA",IF(((BS229/BK229-1)*100)&gt;100,"NM",IF(((BS229/BK229-1)*100)&lt;-50,"NM",(BS229/BK229-1)*100)))</f>
        <v>-19.999999999999972</v>
      </c>
      <c r="BU229" s="95">
        <f>-57.1+44.3</f>
        <v>-12.800000000000004</v>
      </c>
      <c r="BV229" s="81">
        <f>IF(ISERROR((BU229/BM229-1)*100),"NA",IF(((BU229/BM229-1)*100)&gt;100,"NM",IF(((BU229/BM229-1)*100)&lt;-50,"NM",(BU229/BM229-1)*100)))</f>
        <v>0</v>
      </c>
      <c r="BW229" s="95">
        <f>-58+44.5</f>
        <v>-13.5</v>
      </c>
      <c r="BX229" s="81">
        <f>IF(ISERROR((BW229/BO229-1)*100),"NA",IF(((BW229/BO229-1)*100)&gt;100,"NM",IF(((BW229/BO229-1)*100)&lt;-50,"NM",(BW229/BO229-1)*100)))</f>
        <v>-0.73529411764706731</v>
      </c>
      <c r="BY229" s="95">
        <f>-48.3+38.5</f>
        <v>-9.7999999999999972</v>
      </c>
      <c r="BZ229" s="81">
        <f>IF(ISERROR((BY229/BQ229-1)*100),"NA",IF(((BY229/BQ229-1)*100)&gt;100,"NM",IF(((BY229/BQ229-1)*100)&lt;-50,"NM",(BY229/BQ229-1)*100)))</f>
        <v>-14.035087719298255</v>
      </c>
      <c r="CA229" s="95">
        <f>-47+37.2</f>
        <v>-9.7999999999999972</v>
      </c>
      <c r="CB229" s="81">
        <f>IF(ISERROR((CA229/BS229-1)*100),"NA",IF(((CA229/BS229-1)*100)&gt;100,"NM",IF(((CA229/BS229-1)*100)&lt;-50,"NM",(CA229/BS229-1)*100)))</f>
        <v>-23.437500000000043</v>
      </c>
      <c r="CC229" s="95">
        <f>-50.2+34.7</f>
        <v>-15.5</v>
      </c>
      <c r="CD229" s="81">
        <f>IF(ISERROR((CC229/BU229-1)*100),"NA",IF(((CC229/BU229-1)*100)&gt;100,"NM",IF(((CC229/BU229-1)*100)&lt;-50,"NM",(CC229/BU229-1)*100)))</f>
        <v>21.093749999999957</v>
      </c>
      <c r="CE229" s="95">
        <f>-51.3+39.7</f>
        <v>-11.599999999999994</v>
      </c>
      <c r="CF229" s="81">
        <f>IF(ISERROR((CE229/BW229-1)*100),"NA",IF(((CE229/BW229-1)*100)&gt;100,"NM",IF(((CE229/BW229-1)*100)&lt;-50,"NM",(CE229/BW229-1)*100)))</f>
        <v>-14.074074074074117</v>
      </c>
      <c r="CG229" s="95">
        <f>-51.3+38.1</f>
        <v>-13.199999999999996</v>
      </c>
      <c r="CH229" s="81">
        <f>IF(ISERROR((CG229/BY229-1)*100),"NA",IF(((CG229/BY229-1)*100)&gt;100,"NM",IF(((CG229/BY229-1)*100)&lt;-50,"NM",(CG229/BY229-1)*100)))</f>
        <v>34.6938775510204</v>
      </c>
      <c r="CI229" s="95">
        <f>-50.8+37.7</f>
        <v>-13.099999999999994</v>
      </c>
      <c r="CJ229" s="81">
        <f>IF(ISERROR((CI229/CA229-1)*100),"NA",IF(((CI229/CA229-1)*100)&gt;100,"NM",IF(((CI229/CA229-1)*100)&lt;-50,"NM",(CI229/CA229-1)*100)))</f>
        <v>33.673469387755084</v>
      </c>
      <c r="CK229" s="95">
        <f>-50.6+35.7</f>
        <v>-14.899999999999999</v>
      </c>
      <c r="CL229" s="81">
        <f>IF(ISERROR((CK229/CC229-1)*100),"NA",IF(((CK229/CC229-1)*100)&gt;100,"NM",IF(((CK229/CC229-1)*100)&lt;-50,"NM",(CK229/CC229-1)*100)))</f>
        <v>-3.8709677419354938</v>
      </c>
      <c r="CM229" s="95">
        <f>-50.4+39.7</f>
        <v>-10.699999999999996</v>
      </c>
      <c r="CN229" s="81">
        <f>IF(ISERROR((CM229/CE229-1)*100),"NA",IF(((CM229/CE229-1)*100)&gt;100,"NM",IF(((CM229/CE229-1)*100)&lt;-50,"NM",(CM229/CE229-1)*100)))</f>
        <v>-7.7586206896551602</v>
      </c>
      <c r="CO229" s="95">
        <f>-51.9+41.9</f>
        <v>-10</v>
      </c>
      <c r="CP229" s="81">
        <f>IF(ISERROR((CO229/CG229-1)*100),"NA",IF(((CO229/CG229-1)*100)&gt;100,"NM",IF(((CO229/CG229-1)*100)&lt;-50,"NM",(CO229/CG229-1)*100)))</f>
        <v>-24.242424242424221</v>
      </c>
      <c r="CQ229" s="95">
        <f>-51.4+41.9</f>
        <v>-9.5</v>
      </c>
      <c r="CR229" s="81">
        <f>IF(ISERROR((CQ229/CI229-1)*100),"NA",IF(((CQ229/CI229-1)*100)&gt;100,"NM",IF(((CQ229/CI229-1)*100)&lt;-50,"NM",(CQ229/CI229-1)*100)))</f>
        <v>-27.480916030534321</v>
      </c>
      <c r="CS229" s="95">
        <f>-51.6+40.9</f>
        <v>-10.700000000000003</v>
      </c>
      <c r="CT229" s="81">
        <f>IF(ISERROR((CS229/CK229-1)*100),"NA",IF(((CS229/CK229-1)*100)&gt;100,"NM",IF(((CS229/CK229-1)*100)&lt;-50,"NM",(CS229/CK229-1)*100)))</f>
        <v>-28.187919463087219</v>
      </c>
      <c r="CU229" s="95">
        <f>-51.4+41.8</f>
        <v>-9.6000000000000014</v>
      </c>
      <c r="CV229" s="81">
        <f>IF(ISERROR((CU229/CM229-1)*100),"NA",IF(((CU229/CM229-1)*100)&gt;100,"NM",IF(((CU229/CM229-1)*100)&lt;-50,"NM",(CU229/CM229-1)*100)))</f>
        <v>-10.280373831775647</v>
      </c>
      <c r="CW229" s="95">
        <f>-51.9+43</f>
        <v>-8.8999999999999986</v>
      </c>
      <c r="CX229" s="81">
        <f>IF(ISERROR((CW229/CO229-1)*100),"NA",IF(((CW229/CO229-1)*100)&gt;100,"NM",IF(((CW229/CO229-1)*100)&lt;-50,"NM",(CW229/CO229-1)*100)))</f>
        <v>-11.000000000000011</v>
      </c>
      <c r="CY229" s="95">
        <f>-50.7+43</f>
        <v>-7.7000000000000028</v>
      </c>
      <c r="CZ229" s="81">
        <f>IF(ISERROR((CY229/CQ229-1)*100),"NA",IF(((CY229/CQ229-1)*100)&gt;100,"NM",IF(((CY229/CQ229-1)*100)&lt;-50,"NM",(CY229/CQ229-1)*100)))</f>
        <v>-18.947368421052602</v>
      </c>
      <c r="DA229" s="95">
        <f>-50.1+45.3</f>
        <v>-4.8000000000000043</v>
      </c>
      <c r="DB229" s="81" t="str">
        <f>IF(ISERROR((DA229/CS229-1)*100),"NA",IF(((DA229/CS229-1)*100)&gt;100,"NM",IF(((DA229/CS229-1)*100)&lt;-50,"NM",(DA229/CS229-1)*100)))</f>
        <v>NM</v>
      </c>
      <c r="DC229" s="95">
        <f>-52.3+42.9</f>
        <v>-9.3999999999999986</v>
      </c>
      <c r="DD229" s="81">
        <f>IF(ISERROR((DC229/CU229-1)*100),"NA",IF(((DC229/CU229-1)*100)&gt;100,"NM",IF(((DC229/CU229-1)*100)&lt;-50,"NM",(DC229/CU229-1)*100)))</f>
        <v>-2.0833333333333592</v>
      </c>
      <c r="DE229" s="95">
        <f>-52.5+44.5</f>
        <v>-8</v>
      </c>
      <c r="DF229" s="81">
        <f>IF(ISERROR((DE229/CW229-1)*100),"NA",IF(((DE229/CW229-1)*100)&gt;100,"NM",IF(((DE229/CW229-1)*100)&lt;-50,"NM",(DE229/CW229-1)*100)))</f>
        <v>-10.112359550561777</v>
      </c>
      <c r="DG229" s="95">
        <f>-52.7+43.8</f>
        <v>-8.9000000000000057</v>
      </c>
      <c r="DH229" s="81">
        <f>IF(ISERROR((DG229/CY229-1)*100),"NA",IF(((DG229/CY229-1)*100)&gt;100,"NM",IF(((DG229/CY229-1)*100)&lt;-50,"NM",(DG229/CY229-1)*100)))</f>
        <v>15.584415584415613</v>
      </c>
      <c r="DI229" s="95">
        <f>-54.3+46.2</f>
        <v>-8.0999999999999943</v>
      </c>
      <c r="DJ229" s="81">
        <f>IF(ISERROR((DI229/DA229-1)*100),"NA",IF(((DI229/DA229-1)*100)&gt;100,"NM",IF(((DI229/DA229-1)*100)&lt;-50,"NM",(DI229/DA229-1)*100)))</f>
        <v>68.74999999999973</v>
      </c>
      <c r="DK229" s="95">
        <f>-61.3+45.7</f>
        <v>-15.599999999999994</v>
      </c>
      <c r="DL229" s="81">
        <f>IF(ISERROR((DK229/DC229-1)*100),"NA",IF(((DK229/DC229-1)*100)&gt;100,"NM",IF(((DK229/DC229-1)*100)&lt;-50,"NM",(DK229/DC229-1)*100)))</f>
        <v>65.95744680851061</v>
      </c>
      <c r="DM229" s="95">
        <f>-62.9+48.1</f>
        <v>-14.799999999999997</v>
      </c>
      <c r="DN229" s="81">
        <f>IF(ISERROR((DM229/DE229-1)*100),"NA",IF(((DM229/DE229-1)*100)&gt;100,"NM",IF(((DM229/DE229-1)*100)&lt;-50,"NM",(DM229/DE229-1)*100)))</f>
        <v>84.999999999999972</v>
      </c>
      <c r="DO229" s="95">
        <f>-61.6+53.3</f>
        <v>-8.3000000000000043</v>
      </c>
      <c r="DP229" s="81">
        <f>IF(ISERROR((DO229/DG229-1)*100),"NA",IF(((DO229/DG229-1)*100)&gt;100,"NM",IF(((DO229/DG229-1)*100)&lt;-50,"NM",(DO229/DG229-1)*100)))</f>
        <v>-6.7415730337078816</v>
      </c>
      <c r="DQ229" s="95">
        <f>-62.7+48.8</f>
        <v>-13.900000000000006</v>
      </c>
      <c r="DR229" s="81">
        <f>IF(ISERROR((DQ229/DI229-1)*100),"NA",IF(((DQ229/DI229-1)*100)&gt;100,"NM",IF(((DQ229/DI229-1)*100)&lt;-50,"NM",(DQ229/DI229-1)*100)))</f>
        <v>71.604938271605121</v>
      </c>
      <c r="DS229" s="95">
        <f>-65.6+48.5</f>
        <v>-17.099999999999994</v>
      </c>
      <c r="DT229" s="81">
        <f>IF(ISERROR((DS229/DK229-1)*100),"NA",IF(((DS229/DK229-1)*100)&gt;100,"NM",IF(((DS229/DK229-1)*100)&lt;-50,"NM",(DS229/DK229-1)*100)))</f>
        <v>9.6153846153846256</v>
      </c>
      <c r="DU229" s="95">
        <f>-65.6+51</f>
        <v>-14.599999999999994</v>
      </c>
      <c r="DV229" s="81">
        <f>IF(ISERROR((DU229/DM229-1)*100),"NA",IF(((DU229/DM229-1)*100)&gt;100,"NM",IF(((DU229/DM229-1)*100)&lt;-50,"NM",(DU229/DM229-1)*100)))</f>
        <v>-1.3513513513513709</v>
      </c>
      <c r="DW229" s="95">
        <f>-66+52.6</f>
        <v>-13.399999999999999</v>
      </c>
      <c r="DX229" s="81">
        <f>IF(ISERROR((DW229/DO229-1)*100),"NA",IF(((DW229/DO229-1)*100)&gt;100,"NM",IF(((DW229/DO229-1)*100)&lt;-50,"NM",(DW229/DO229-1)*100)))</f>
        <v>61.445783132530018</v>
      </c>
      <c r="DY229" s="95">
        <f>-69.5+52.2</f>
        <v>-17.299999999999997</v>
      </c>
      <c r="DZ229" s="81">
        <f>IF(ISERROR((DY229/DQ229-1)*100),"NA",IF(((DY229/DQ229-1)*100)&gt;100,"NM",IF(((DY229/DQ229-1)*100)&lt;-50,"NM",(DY229/DQ229-1)*100)))</f>
        <v>24.460431654676196</v>
      </c>
      <c r="EA229" s="95">
        <f>-69+52.3</f>
        <v>-16.700000000000003</v>
      </c>
      <c r="EB229" s="81">
        <f>IF(ISERROR((EA229/DS229-1)*100),"NA",IF(((EA229/DS229-1)*100)&gt;100,"NM",IF(((EA229/DS229-1)*100)&lt;-50,"NM",(EA229/DS229-1)*100)))</f>
        <v>-2.3391812865496631</v>
      </c>
      <c r="EC229" s="95">
        <f>-73+55.8</f>
        <v>-17.200000000000003</v>
      </c>
      <c r="ED229" s="81">
        <f t="shared" si="726"/>
        <v>17.808219178082261</v>
      </c>
      <c r="EE229" s="95">
        <f>-72.7+56.4</f>
        <v>-16.300000000000004</v>
      </c>
      <c r="EF229" s="81">
        <f t="shared" si="727"/>
        <v>21.64179104477617</v>
      </c>
      <c r="EG229" s="95">
        <f>-75+56.2</f>
        <v>-18.799999999999997</v>
      </c>
      <c r="EH229" s="81">
        <f t="shared" si="728"/>
        <v>8.6705202312138852</v>
      </c>
      <c r="EI229" s="95">
        <f>-74.8+56</f>
        <v>-18.799999999999997</v>
      </c>
      <c r="EJ229" s="81">
        <f t="shared" si="729"/>
        <v>12.574850299401152</v>
      </c>
      <c r="EK229" s="308">
        <f t="shared" ref="EK229" si="736">EI229</f>
        <v>-18.799999999999997</v>
      </c>
      <c r="EL229" s="81">
        <f t="shared" si="731"/>
        <v>9.302325581395321</v>
      </c>
      <c r="EM229" s="308">
        <f t="shared" ref="EM229" si="737">EK229</f>
        <v>-18.799999999999997</v>
      </c>
      <c r="EN229" s="81">
        <f t="shared" si="732"/>
        <v>15.337423312883391</v>
      </c>
      <c r="EO229" s="308">
        <f t="shared" ref="EO229" si="738">EM229</f>
        <v>-18.799999999999997</v>
      </c>
      <c r="EP229" s="81">
        <f t="shared" si="733"/>
        <v>0</v>
      </c>
      <c r="EQ229" s="308">
        <f t="shared" ref="EQ229" si="739">EO229</f>
        <v>-18.799999999999997</v>
      </c>
      <c r="ER229" s="81">
        <f t="shared" si="734"/>
        <v>0</v>
      </c>
      <c r="ES229" s="95"/>
      <c r="ET229" s="471"/>
      <c r="EU229" s="95"/>
      <c r="EV229" s="95"/>
      <c r="EW229" s="146"/>
      <c r="EX229" s="95"/>
      <c r="EY229" s="146"/>
      <c r="EZ229" s="145"/>
      <c r="FA229" s="146"/>
      <c r="FB229" s="95">
        <v>-34.9</v>
      </c>
      <c r="FC229" s="146" t="str">
        <f>IF(ISERROR((FB229/EZ229-1)*100),"NA",IF(((FB229/EZ229-1)*100)&gt;100,"NM",IF(((FB229/EZ229-1)*100)&lt;-50,"NM",(FB229/EZ229-1)*100)))</f>
        <v>NA</v>
      </c>
      <c r="FD229" s="95">
        <v>-40.700000000000003</v>
      </c>
      <c r="FE229" s="146">
        <f>IF(ISERROR((FD229/FB229-1)*100),"NA",IF(((FD229/FB229-1)*100)&gt;100,"NM",IF(((FD229/FB229-1)*100)&lt;-50,"NM",(FD229/FB229-1)*100)))</f>
        <v>16.618911174785111</v>
      </c>
      <c r="FF229" s="192">
        <f>+AA229+Y229+W229+U229</f>
        <v>-47.800000000000004</v>
      </c>
      <c r="FG229" s="146">
        <f>IF(ISERROR((FF229/FD229-1)*100),"NA",IF(((FF229/FD229-1)*100)&gt;100,"NM",IF(((FF229/FD229-1)*100)&lt;-50,"NM",(FF229/FD229-1)*100)))</f>
        <v>17.444717444717451</v>
      </c>
      <c r="FH229" s="192">
        <f>+AI229+AG229+AE229+AC229</f>
        <v>-42.5</v>
      </c>
      <c r="FI229" s="146">
        <f>IF(ISERROR((FH229/FF229-1)*100),"NA",IF(((FH229/FF229-1)*100)&gt;100,"NM",IF(((FH229/FF229-1)*100)&lt;-50,"NM",(FH229/FF229-1)*100)))</f>
        <v>-11.087866108786615</v>
      </c>
      <c r="FJ229" s="75">
        <f>+AQ229+AO229+AM229+AK229</f>
        <v>-38.699999999999989</v>
      </c>
      <c r="FK229" s="146">
        <f>IF(ISERROR((FJ229/FH229-1)*100),"NA",IF(((FJ229/FH229-1)*100)&gt;100,"NM",IF(((FJ229/FH229-1)*100)&lt;-50,"NM",(FJ229/FH229-1)*100)))</f>
        <v>-8.9411764705882639</v>
      </c>
      <c r="FL229" s="75">
        <f>AS229+AU229+AW229+AY229</f>
        <v>-42.599999999999994</v>
      </c>
      <c r="FM229" s="146">
        <f>IF(ISERROR((FL229/FJ229-1)*100),"NA",IF(((FL229/FJ229-1)*100)&gt;100,"NM",IF(((FL229/FJ229-1)*100)&lt;-50,"NM",(FL229/FJ229-1)*100)))</f>
        <v>10.077519379844979</v>
      </c>
      <c r="FN229" s="75">
        <f>BA229+BC229+BE229+BG229</f>
        <v>-57</v>
      </c>
      <c r="FO229" s="146">
        <f>IF(ISERROR((FN229/FL229-1)*100),"NA",IF(((FN229/FL229-1)*100)&gt;100,"NM",IF(((FN229/FL229-1)*100)&lt;-50,"NM",(FN229/FL229-1)*100)))</f>
        <v>33.80281690140847</v>
      </c>
      <c r="FP229" s="75">
        <f>BI229+BK229+BM229+BO229</f>
        <v>-57.400000000000006</v>
      </c>
      <c r="FQ229" s="146">
        <f>IF(ISERROR((FP229/FN229-1)*100),"NA",IF(((FP229/FN229-1)*100)&gt;100,"NM",IF(((FP229/FN229-1)*100)&lt;-50,"NM",(FP229/FN229-1)*100)))</f>
        <v>0.70175438596491446</v>
      </c>
      <c r="FR229" s="95">
        <f>-182.3+143.6</f>
        <v>-38.700000000000017</v>
      </c>
      <c r="FS229" s="146">
        <f>IF(ISERROR((FR229/FP229-1)*100),"NA",IF(((FR229/FP229-1)*100)&gt;100,"NM",IF(((FR229/FP229-1)*100)&lt;-50,"NM",(FR229/FP229-1)*100)))</f>
        <v>-32.578397212543528</v>
      </c>
      <c r="FT229" s="93">
        <f>BY229+CA229+CC229+CE229</f>
        <v>-46.699999999999989</v>
      </c>
      <c r="FU229" s="146">
        <f>IF(ISERROR((FT229/FR229-1)*100),"NA",IF(((FT229/FR229-1)*100)&gt;100,"NM",IF(((FT229/FR229-1)*100)&lt;-50,"NM",(FT229/FR229-1)*100)))</f>
        <v>20.671834625322916</v>
      </c>
      <c r="FV229" s="93">
        <f>CG229+CI229+CK229+CM229</f>
        <v>-51.899999999999984</v>
      </c>
      <c r="FW229" s="146">
        <f>IF(ISERROR((FV229/FT229-1)*100),"NA",IF(((FV229/FT229-1)*100)&gt;100,"NM",IF(((FV229/FT229-1)*100)&lt;-50,"NM",(FV229/FT229-1)*100)))</f>
        <v>11.134903640256955</v>
      </c>
      <c r="FX229" s="93">
        <f>CO229+CQ229+CS229+CU229</f>
        <v>-39.800000000000004</v>
      </c>
      <c r="FY229" s="146">
        <f>IF(ISERROR((FX229/FV229-1)*100),"NA",IF(((FX229/FV229-1)*100)&gt;100,"NM",IF(((FX229/FV229-1)*100)&lt;-50,"NM",(FX229/FV229-1)*100)))</f>
        <v>-23.314065510597271</v>
      </c>
      <c r="FZ229" s="93">
        <f>CW229+CY229+DA229+DC229</f>
        <v>-30.800000000000004</v>
      </c>
      <c r="GA229" s="79">
        <f>IF(ISERROR((FZ229/FX229-1)*100),"NA",IF(((FZ229/FX229-1)*100)&gt;100,"NM",IF(((FZ229/FX229-1)*100)&lt;-50,"NM",(FZ229/FX229-1)*100)))</f>
        <v>-22.613065326633162</v>
      </c>
      <c r="GB229" s="93">
        <f>DE229+DG229+DI229+DK229</f>
        <v>-40.599999999999994</v>
      </c>
      <c r="GC229" s="79">
        <f>IF(ISERROR((GB229/FZ229-1)*100),"NA",IF(((GB229/FZ229-1)*100)&gt;100,"NM",IF(((GB229/FZ229-1)*100)&lt;-50,"NM",(GB229/FZ229-1)*100)))</f>
        <v>31.818181818181792</v>
      </c>
      <c r="GD229" s="93">
        <f>DM229+DO229+DQ229+DS229</f>
        <v>-54.1</v>
      </c>
      <c r="GE229" s="79">
        <f>IF(ISERROR((GD229/GB229-1)*100),"NA",IF(((GD229/GB229-1)*100)&gt;100,"NM",IF(((GD229/GB229-1)*100)&lt;-50,"NM",(GD229/GB229-1)*100)))</f>
        <v>33.251231527093616</v>
      </c>
      <c r="GF229" s="93">
        <f>DU229+DW229+DY229+EA229</f>
        <v>-61.999999999999993</v>
      </c>
      <c r="GG229" s="79">
        <f>IF(ISERROR((GF229/GD229-1)*100),"NA",IF(((GF229/GD229-1)*100)&gt;100,"NM",IF(((GF229/GD229-1)*100)&lt;-50,"NM",(GF229/GD229-1)*100)))</f>
        <v>14.602587800369671</v>
      </c>
      <c r="GH229" s="93">
        <f>EC229+EE229+EG229+EI229</f>
        <v>-71.099999999999994</v>
      </c>
      <c r="GI229" s="79">
        <f>IF(ISERROR((GH229/GF229-1)*100),"NA",IF(((GH229/GF229-1)*100)&gt;100,"NM",IF(((GH229/GF229-1)*100)&lt;-50,"NM",(GH229/GF229-1)*100)))</f>
        <v>14.677419354838705</v>
      </c>
      <c r="GJ229" s="93">
        <f>EK229+EM229+EO229+EQ229</f>
        <v>-75.199999999999989</v>
      </c>
      <c r="GK229" s="79">
        <f>IF(ISERROR((GJ229/GH229-1)*100),"NA",IF(((GJ229/GH229-1)*100)&gt;100,"NM",IF(((GJ229/GH229-1)*100)&lt;-50,"NM",(GJ229/GH229-1)*100)))</f>
        <v>5.7665260196905654</v>
      </c>
      <c r="GL229" s="93">
        <f>GL228/GJ228*GJ229</f>
        <v>-76.703999999999994</v>
      </c>
      <c r="GM229" s="79">
        <f>IF(ISERROR((GL229/GJ229-1)*100),"NA",IF(((GL229/GJ229-1)*100)&gt;100,"NM",IF(((GL229/GJ229-1)*100)&lt;-50,"NM",(GL229/GJ229-1)*100)))</f>
        <v>2.0000000000000018</v>
      </c>
      <c r="GN229" s="93">
        <f>GN228/GL228*GL229</f>
        <v>-78.238080000000011</v>
      </c>
      <c r="GO229" s="79">
        <f>IF(ISERROR((GN229/GL229-1)*100),"NA",IF(((GN229/GL229-1)*100)&gt;100,"NM",IF(((GN229/GL229-1)*100)&lt;-50,"NM",(GN229/GL229-1)*100)))</f>
        <v>2.000000000000024</v>
      </c>
      <c r="GP229" s="93">
        <f>GP228/GN228*GN229</f>
        <v>-79.802841600000008</v>
      </c>
      <c r="GQ229" s="79">
        <f>IF(ISERROR((GP229/GN229-1)*100),"NA",IF(((GP229/GN229-1)*100)&gt;100,"NM",IF(((GP229/GN229-1)*100)&lt;-50,"NM",(GP229/GN229-1)*100)))</f>
        <v>2.0000000000000018</v>
      </c>
      <c r="GR229" s="93">
        <f>GR228/GP228*GP229</f>
        <v>-81.398898431999996</v>
      </c>
      <c r="GS229" s="79">
        <f>IF(ISERROR((GR229/GP229-1)*100),"NA",IF(((GR229/GP229-1)*100)&gt;100,"NM",IF(((GR229/GP229-1)*100)&lt;-50,"NM",(GR229/GP229-1)*100)))</f>
        <v>1.9999999999999796</v>
      </c>
      <c r="GT229" s="79">
        <f>IF(ISERROR(((GR229/GH229)^0.2-1)*100),"NA",(IF(OR(((GR229/GH229)^0.2-1)*100&gt;99,((GR229/GH229)^0.2-1)*100&lt;-50),"NM",(((GR229/GH229)^0.2-1)*100))))</f>
        <v>2.7424186940189221</v>
      </c>
      <c r="GU229" s="562"/>
      <c r="GV229" s="562"/>
      <c r="GW229"/>
      <c r="GX229"/>
      <c r="GY229"/>
      <c r="GZ229"/>
      <c r="HA229"/>
      <c r="HB229"/>
      <c r="HC229" s="562"/>
      <c r="HD229" s="562"/>
      <c r="HE229" s="562"/>
      <c r="HF229" s="562"/>
      <c r="HG229" s="562"/>
      <c r="HH229" s="562"/>
      <c r="HI229" s="562"/>
      <c r="HJ229" s="562"/>
      <c r="HK229" s="562"/>
      <c r="HL229" s="562"/>
      <c r="HM229" s="562"/>
      <c r="HN229" s="562"/>
      <c r="HO229" s="562"/>
      <c r="HP229" s="562"/>
      <c r="HQ229" s="562"/>
      <c r="HR229" s="562"/>
      <c r="HS229" s="562"/>
      <c r="HT229" s="562"/>
      <c r="HU229" s="562"/>
      <c r="HV229" s="562"/>
      <c r="HW229" s="562"/>
      <c r="HX229" s="562"/>
      <c r="HY229" s="562"/>
      <c r="HZ229" s="562"/>
      <c r="IA229" s="562"/>
      <c r="IB229" s="562"/>
      <c r="IC229" s="562"/>
      <c r="ID229" s="562"/>
      <c r="IE229" s="562"/>
      <c r="IF229" s="562"/>
      <c r="IG229" s="562"/>
      <c r="IH229" s="562"/>
      <c r="II229" s="562"/>
      <c r="IJ229" s="562"/>
      <c r="IK229" s="562"/>
      <c r="IL229" s="562"/>
      <c r="IM229" s="562"/>
      <c r="IN229" s="562"/>
      <c r="IO229" s="562"/>
      <c r="IP229" s="562"/>
      <c r="IQ229" s="562"/>
      <c r="IR229" s="562"/>
      <c r="IS229" s="562"/>
      <c r="IT229" s="562"/>
      <c r="IU229" s="562"/>
      <c r="IV229" s="562"/>
      <c r="IW229" s="562"/>
      <c r="IX229" s="562"/>
      <c r="IY229" s="562"/>
      <c r="IZ229" s="562"/>
      <c r="JA229" s="562"/>
      <c r="JB229" s="562"/>
      <c r="JC229" s="562"/>
      <c r="JD229" s="562"/>
      <c r="JE229" s="562"/>
      <c r="JF229" s="562"/>
      <c r="JG229" s="562"/>
      <c r="JH229" s="562"/>
      <c r="JI229" s="562"/>
      <c r="JJ229" s="562"/>
      <c r="JK229" s="562"/>
      <c r="JL229" s="562"/>
      <c r="JM229" s="562"/>
      <c r="JN229" s="562"/>
      <c r="JO229" s="562"/>
      <c r="JP229" s="562"/>
      <c r="JQ229" s="562"/>
      <c r="JR229" s="562"/>
      <c r="JS229" s="562"/>
      <c r="JT229" s="562"/>
      <c r="JU229" s="562"/>
      <c r="JV229" s="562"/>
      <c r="JW229" s="562"/>
      <c r="JX229" s="562"/>
      <c r="JY229" s="562"/>
      <c r="JZ229" s="562"/>
    </row>
    <row r="230" spans="1:286" s="249" customFormat="1" ht="12.75" customHeight="1" x14ac:dyDescent="0.2">
      <c r="A230" s="248"/>
      <c r="B230" s="10" t="s">
        <v>132</v>
      </c>
      <c r="C230" s="79"/>
      <c r="D230" s="79"/>
      <c r="E230" s="95">
        <v>30.1</v>
      </c>
      <c r="F230" s="95"/>
      <c r="G230" s="95">
        <v>28</v>
      </c>
      <c r="H230" s="95"/>
      <c r="I230" s="95">
        <v>27.9</v>
      </c>
      <c r="J230" s="95"/>
      <c r="K230" s="95">
        <v>27.3</v>
      </c>
      <c r="L230" s="79"/>
      <c r="M230" s="95">
        <v>30.6</v>
      </c>
      <c r="N230" s="79">
        <f>IF(ISERROR((M230/E230-1)*100),"NA",IF(((M230/E230-1)*100)&gt;100,"NM",IF(((M230/E230-1)*100)&lt;-50,"NM",(M230/E230-1)*100)))</f>
        <v>1.6611295681063121</v>
      </c>
      <c r="O230" s="95">
        <v>30.4</v>
      </c>
      <c r="P230" s="79">
        <f>IF(ISERROR((O230/G230-1)*100),"NA",IF(((O230/G230-1)*100)&gt;100,"NM",IF(((O230/G230-1)*100)&lt;-50,"NM",(O230/G230-1)*100)))</f>
        <v>8.5714285714285623</v>
      </c>
      <c r="Q230" s="95">
        <v>30.8</v>
      </c>
      <c r="R230" s="79">
        <f>IF(ISERROR((Q230/I230-1)*100),"NA",IF(((Q230/I230-1)*100)&gt;100,"NM",IF(((Q230/I230-1)*100)&lt;-50,"NM",(Q230/I230-1)*100)))</f>
        <v>10.394265232974909</v>
      </c>
      <c r="S230" s="95">
        <v>30.3</v>
      </c>
      <c r="T230" s="79">
        <f>IF(ISERROR((S230/K230-1)*100),"NA",IF(((S230/K230-1)*100)&gt;100,"NM",IF(((S230/K230-1)*100)&lt;-50,"NM",(S230/K230-1)*100)))</f>
        <v>10.989010989010994</v>
      </c>
      <c r="U230" s="95">
        <v>32.200000000000003</v>
      </c>
      <c r="V230" s="79">
        <f>IF(ISERROR((U230/M230-1)*100),"NA",IF(((U230/M230-1)*100)&gt;100,"NM",IF(((U230/M230-1)*100)&lt;-50,"NM",(U230/M230-1)*100)))</f>
        <v>5.2287581699346442</v>
      </c>
      <c r="W230" s="95">
        <v>32.5</v>
      </c>
      <c r="X230" s="79">
        <f>IF(ISERROR((W230/O230-1)*100),"NA",IF(((W230/O230-1)*100)&gt;100,"NM",IF(((W230/O230-1)*100)&lt;-50,"NM",(W230/O230-1)*100)))</f>
        <v>6.9078947368421018</v>
      </c>
      <c r="Y230" s="95">
        <v>31</v>
      </c>
      <c r="Z230" s="79">
        <f>IF(ISERROR((Y230/Q230-1)*100),"NA",IF(((Y230/Q230-1)*100)&gt;100,"NM",IF(((Y230/Q230-1)*100)&lt;-50,"NM",(Y230/Q230-1)*100)))</f>
        <v>0.64935064935065512</v>
      </c>
      <c r="AA230" s="126">
        <v>31.1</v>
      </c>
      <c r="AB230" s="79">
        <f>IF(ISERROR((AA230/S230-1)*100),"NA",IF(((AA230/S230-1)*100)&gt;100,"NM",IF(((AA230/S230-1)*100)&lt;-50,"NM",(AA230/S230-1)*100)))</f>
        <v>2.64026402640265</v>
      </c>
      <c r="AC230" s="95">
        <v>35</v>
      </c>
      <c r="AD230" s="79">
        <f>IF(ISERROR((AC230/U230-1)*100),"NA",IF(((AC230/U230-1)*100)&gt;100,"NM",IF(((AC230/U230-1)*100)&lt;-50,"NM",(AC230/U230-1)*100)))</f>
        <v>8.6956521739130377</v>
      </c>
      <c r="AE230" s="95">
        <f>34.5+0.3</f>
        <v>34.799999999999997</v>
      </c>
      <c r="AF230" s="79">
        <f>IF(ISERROR((AE230/W230-1)*100),"NA",IF(((AE230/W230-1)*100)&gt;100,"NM",IF(((AE230/W230-1)*100)&lt;-50,"NM",(AE230/W230-1)*100)))</f>
        <v>7.0769230769230695</v>
      </c>
      <c r="AG230" s="95">
        <f>35.7+0.3</f>
        <v>36</v>
      </c>
      <c r="AH230" s="79">
        <f>IF(ISERROR((AG230/Y230-1)*100),"NA",IF(((AG230/Y230-1)*100)&gt;100,"NM",IF(((AG230/Y230-1)*100)&lt;-50,"NM",(AG230/Y230-1)*100)))</f>
        <v>16.129032258064523</v>
      </c>
      <c r="AI230" s="95">
        <f>0.3+36.4</f>
        <v>36.699999999999996</v>
      </c>
      <c r="AJ230" s="79">
        <f>IF(ISERROR((AI230/AA230-1)*100),"NA",IF(((AI230/AA230-1)*100)&gt;100,"NM",IF(((AI230/AA230-1)*100)&lt;-50,"NM",(AI230/AA230-1)*100)))</f>
        <v>18.006430868167179</v>
      </c>
      <c r="AK230" s="95">
        <f>39.8+0.3</f>
        <v>40.099999999999994</v>
      </c>
      <c r="AL230" s="79">
        <f>IF(ISERROR((AK230/AC230-1)*100),"NA",IF(((AK230/AC230-1)*100)&gt;100,"NM",IF(((AK230/AC230-1)*100)&lt;-50,"NM",(AK230/AC230-1)*100)))</f>
        <v>14.571428571428546</v>
      </c>
      <c r="AM230" s="95">
        <f>38.4+0.3</f>
        <v>38.699999999999996</v>
      </c>
      <c r="AN230" s="79">
        <f>IF(ISERROR((AM230/AE230-1)*100),"NA",IF(((AM230/AE230-1)*100)&gt;100,"NM",IF(((AM230/AE230-1)*100)&lt;-50,"NM",(AM230/AE230-1)*100)))</f>
        <v>11.206896551724132</v>
      </c>
      <c r="AO230" s="95">
        <f>36.7+0.3</f>
        <v>37</v>
      </c>
      <c r="AP230" s="79">
        <f>IF(ISERROR((AO230/AG230-1)*100),"NA",IF(((AO230/AG230-1)*100)&gt;100,"NM",IF(((AO230/AG230-1)*100)&lt;-50,"NM",(AO230/AG230-1)*100)))</f>
        <v>2.7777777777777679</v>
      </c>
      <c r="AQ230" s="95">
        <f>38.6-0.3</f>
        <v>38.300000000000004</v>
      </c>
      <c r="AR230" s="79">
        <f>IF(ISERROR((AQ230/AI230-1)*100),"NA",IF(((AQ230/AI230-1)*100)&gt;100,"NM",IF(((AQ230/AI230-1)*100)&lt;-50,"NM",(AQ230/AI230-1)*100)))</f>
        <v>4.3596730245231807</v>
      </c>
      <c r="AS230" s="95">
        <f>0.3+40.4</f>
        <v>40.699999999999996</v>
      </c>
      <c r="AT230" s="81">
        <f>IF(ISERROR((AS230/AK230-1)*100),"NA",IF(((AS230/AK230-1)*100)&gt;100,"NM",IF(((AS230/AK230-1)*100)&lt;-50,"NM",(AS230/AK230-1)*100)))</f>
        <v>1.4962593516209433</v>
      </c>
      <c r="AU230" s="95">
        <f>0.2+34.9</f>
        <v>35.1</v>
      </c>
      <c r="AV230" s="81">
        <f>IF(ISERROR((AU230/AM230-1)*100),"NA",IF(((AU230/AM230-1)*100)&gt;100,"NM",IF(((AU230/AM230-1)*100)&lt;-50,"NM",(AU230/AM230-1)*100)))</f>
        <v>-9.3023255813953316</v>
      </c>
      <c r="AW230" s="95">
        <v>38</v>
      </c>
      <c r="AX230" s="81">
        <f>IF(ISERROR((AW230/AO230-1)*100),"NA",IF(((AW230/AO230-1)*100)&gt;100,"NM",IF(((AW230/AO230-1)*100)&lt;-50,"NM",(AW230/AO230-1)*100)))</f>
        <v>2.7027027027026973</v>
      </c>
      <c r="AY230" s="95">
        <v>40.6</v>
      </c>
      <c r="AZ230" s="81">
        <f>IF(ISERROR((AY230/AQ230-1)*100),"NA",IF(((AY230/AQ230-1)*100)&gt;100,"NM",IF(((AY230/AQ230-1)*100)&lt;-50,"NM",(AY230/AQ230-1)*100)))</f>
        <v>6.0052219321148792</v>
      </c>
      <c r="BA230" s="95">
        <v>43.1</v>
      </c>
      <c r="BB230" s="81">
        <f>IF(ISERROR((BA230/AS230-1)*100),"NA",IF(((BA230/AS230-1)*100)&gt;100,"NM",IF(((BA230/AS230-1)*100)&lt;-50,"NM",(BA230/AS230-1)*100)))</f>
        <v>5.8968058968059012</v>
      </c>
      <c r="BC230" s="95">
        <v>43.2</v>
      </c>
      <c r="BD230" s="81">
        <f>IF(ISERROR((BC230/AU230-1)*100),"NA",IF(((BC230/AU230-1)*100)&gt;100,"NM",IF(((BC230/AU230-1)*100)&lt;-50,"NM",(BC230/AU230-1)*100)))</f>
        <v>23.076923076923084</v>
      </c>
      <c r="BE230" s="95">
        <v>43.1</v>
      </c>
      <c r="BF230" s="81">
        <f>IF(ISERROR((BE230/AW230-1)*100),"NA",IF(((BE230/AW230-1)*100)&gt;100,"NM",IF(((BE230/AW230-1)*100)&lt;-50,"NM",(BE230/AW230-1)*100)))</f>
        <v>13.421052631578956</v>
      </c>
      <c r="BG230" s="95">
        <v>50.4</v>
      </c>
      <c r="BH230" s="81">
        <f>IF(ISERROR((BG230/AY230-1)*100),"NA",IF(((BG230/AY230-1)*100)&gt;100,"NM",IF(((BG230/AY230-1)*100)&lt;-50,"NM",(BG230/AY230-1)*100)))</f>
        <v>24.13793103448274</v>
      </c>
      <c r="BI230" s="95">
        <v>47.4</v>
      </c>
      <c r="BJ230" s="81">
        <f>IF(ISERROR((BI230/BA230-1)*100),"NA",IF(((BI230/BA230-1)*100)&gt;100,"NM",IF(((BI230/BA230-1)*100)&lt;-50,"NM",(BI230/BA230-1)*100)))</f>
        <v>9.9767981438515072</v>
      </c>
      <c r="BK230" s="95">
        <v>49.7</v>
      </c>
      <c r="BL230" s="7">
        <f>IF(ISERROR((BK230/BC230-1)*100),"NA",IF(((BK230/BC230-1)*100)&gt;100,"NM",IF(((BK230/BC230-1)*100)&lt;-50,"NM",(BK230/BC230-1)*100)))</f>
        <v>15.046296296296301</v>
      </c>
      <c r="BM230" s="95">
        <v>49.3</v>
      </c>
      <c r="BN230" s="7">
        <f>IF(ISERROR((BM230/BE230-1)*100),"NA",IF(((BM230/BE230-1)*100)&gt;100,"NM",IF(((BM230/BE230-1)*100)&lt;-50,"NM",(BM230/BE230-1)*100)))</f>
        <v>14.38515081206495</v>
      </c>
      <c r="BO230" s="95">
        <v>50.5</v>
      </c>
      <c r="BP230" s="7">
        <f>IF(ISERROR((BO230/BG230-1)*100),"NA",IF(((BO230/BG230-1)*100)&gt;100,"NM",IF(((BO230/BG230-1)*100)&lt;-50,"NM",(BO230/BG230-1)*100)))</f>
        <v>0.19841269841269771</v>
      </c>
      <c r="BQ230" s="95">
        <v>50</v>
      </c>
      <c r="BR230" s="81">
        <f>IF(ISERROR((BQ230/BI230-1)*100),"NA",IF(((BQ230/BI230-1)*100)&gt;100,"NM",IF(((BQ230/BI230-1)*100)&lt;-50,"NM",(BQ230/BI230-1)*100)))</f>
        <v>5.4852320675105481</v>
      </c>
      <c r="BS230" s="95">
        <v>51.4</v>
      </c>
      <c r="BT230" s="81">
        <f>IF(ISERROR((BS230/BK230-1)*100),"NA",IF(((BS230/BK230-1)*100)&gt;100,"NM",IF(((BS230/BK230-1)*100)&lt;-50,"NM",(BS230/BK230-1)*100)))</f>
        <v>3.4205231388329871</v>
      </c>
      <c r="BU230" s="95">
        <v>49.9</v>
      </c>
      <c r="BV230" s="81">
        <f>IF(ISERROR((BU230/BM230-1)*100),"NA",IF(((BU230/BM230-1)*100)&gt;100,"NM",IF(((BU230/BM230-1)*100)&lt;-50,"NM",(BU230/BM230-1)*100)))</f>
        <v>1.2170385395537497</v>
      </c>
      <c r="BW230" s="95">
        <v>52.3</v>
      </c>
      <c r="BX230" s="81">
        <f>IF(ISERROR((BW230/BO230-1)*100),"NA",IF(((BW230/BO230-1)*100)&gt;100,"NM",IF(((BW230/BO230-1)*100)&lt;-50,"NM",(BW230/BO230-1)*100)))</f>
        <v>3.5643564356435675</v>
      </c>
      <c r="BY230" s="95">
        <v>52.3</v>
      </c>
      <c r="BZ230" s="81">
        <f>IF(ISERROR((BY230/BQ230-1)*100),"NA",IF(((BY230/BQ230-1)*100)&gt;100,"NM",IF(((BY230/BQ230-1)*100)&lt;-50,"NM",(BY230/BQ230-1)*100)))</f>
        <v>4.6000000000000041</v>
      </c>
      <c r="CA230" s="95">
        <v>51.9</v>
      </c>
      <c r="CB230" s="81">
        <f>IF(ISERROR((CA230/BS230-1)*100),"NA",IF(((CA230/BS230-1)*100)&gt;100,"NM",IF(((CA230/BS230-1)*100)&lt;-50,"NM",(CA230/BS230-1)*100)))</f>
        <v>0.97276264591439343</v>
      </c>
      <c r="CC230" s="95">
        <v>52.1</v>
      </c>
      <c r="CD230" s="81">
        <f>IF(ISERROR((CC230/BU230-1)*100),"NA",IF(((CC230/BU230-1)*100)&gt;100,"NM",IF(((CC230/BU230-1)*100)&lt;-50,"NM",(CC230/BU230-1)*100)))</f>
        <v>4.4088176352705455</v>
      </c>
      <c r="CE230" s="95">
        <v>52.3</v>
      </c>
      <c r="CF230" s="81">
        <f>IF(ISERROR((CE230/BW230-1)*100),"NA",IF(((CE230/BW230-1)*100)&gt;100,"NM",IF(((CE230/BW230-1)*100)&lt;-50,"NM",(CE230/BW230-1)*100)))</f>
        <v>0</v>
      </c>
      <c r="CG230" s="95">
        <v>53.2</v>
      </c>
      <c r="CH230" s="81">
        <f>IF(ISERROR((CG230/BY230-1)*100),"NA",IF(((CG230/BY230-1)*100)&gt;100,"NM",IF(((CG230/BY230-1)*100)&lt;-50,"NM",(CG230/BY230-1)*100)))</f>
        <v>1.7208413001912115</v>
      </c>
      <c r="CI230" s="95">
        <v>54.4</v>
      </c>
      <c r="CJ230" s="81">
        <f>IF(ISERROR((CI230/CA230-1)*100),"NA",IF(((CI230/CA230-1)*100)&gt;100,"NM",IF(((CI230/CA230-1)*100)&lt;-50,"NM",(CI230/CA230-1)*100)))</f>
        <v>4.8169556840077066</v>
      </c>
      <c r="CK230" s="95">
        <v>53.6</v>
      </c>
      <c r="CL230" s="81">
        <f>IF(ISERROR((CK230/CC230-1)*100),"NA",IF(((CK230/CC230-1)*100)&gt;100,"NM",IF(((CK230/CC230-1)*100)&lt;-50,"NM",(CK230/CC230-1)*100)))</f>
        <v>2.8790786948176494</v>
      </c>
      <c r="CM230" s="95">
        <v>53.5</v>
      </c>
      <c r="CN230" s="81">
        <f>IF(ISERROR((CM230/CE230-1)*100),"NA",IF(((CM230/CE230-1)*100)&gt;100,"NM",IF(((CM230/CE230-1)*100)&lt;-50,"NM",(CM230/CE230-1)*100)))</f>
        <v>2.2944550669216079</v>
      </c>
      <c r="CO230" s="95">
        <v>54</v>
      </c>
      <c r="CP230" s="81">
        <f>IF(ISERROR((CO230/CG230-1)*100),"NA",IF(((CO230/CG230-1)*100)&gt;100,"NM",IF(((CO230/CG230-1)*100)&lt;-50,"NM",(CO230/CG230-1)*100)))</f>
        <v>1.5037593984962294</v>
      </c>
      <c r="CQ230" s="95">
        <v>53.8</v>
      </c>
      <c r="CR230" s="81">
        <f>IF(ISERROR((CQ230/CI230-1)*100),"NA",IF(((CQ230/CI230-1)*100)&gt;100,"NM",IF(((CQ230/CI230-1)*100)&lt;-50,"NM",(CQ230/CI230-1)*100)))</f>
        <v>-1.1029411764705954</v>
      </c>
      <c r="CS230" s="95">
        <v>52.8</v>
      </c>
      <c r="CT230" s="81">
        <f>IF(ISERROR((CS230/CK230-1)*100),"NA",IF(((CS230/CK230-1)*100)&gt;100,"NM",IF(((CS230/CK230-1)*100)&lt;-50,"NM",(CS230/CK230-1)*100)))</f>
        <v>-1.4925373134328401</v>
      </c>
      <c r="CU230" s="95">
        <v>56.5</v>
      </c>
      <c r="CV230" s="81">
        <f>IF(ISERROR((CU230/CM230-1)*100),"NA",IF(((CU230/CM230-1)*100)&gt;100,"NM",IF(((CU230/CM230-1)*100)&lt;-50,"NM",(CU230/CM230-1)*100)))</f>
        <v>5.6074766355140193</v>
      </c>
      <c r="CW230" s="95">
        <v>55</v>
      </c>
      <c r="CX230" s="81">
        <f>IF(ISERROR((CW230/CO230-1)*100),"NA",IF(((CW230/CO230-1)*100)&gt;100,"NM",IF(((CW230/CO230-1)*100)&lt;-50,"NM",(CW230/CO230-1)*100)))</f>
        <v>1.8518518518518601</v>
      </c>
      <c r="CY230" s="95">
        <v>56.1</v>
      </c>
      <c r="CZ230" s="81">
        <f>IF(ISERROR((CY230/CQ230-1)*100),"NA",IF(((CY230/CQ230-1)*100)&gt;100,"NM",IF(((CY230/CQ230-1)*100)&lt;-50,"NM",(CY230/CQ230-1)*100)))</f>
        <v>4.2750929368029711</v>
      </c>
      <c r="DA230" s="95">
        <v>55.3</v>
      </c>
      <c r="DB230" s="81">
        <f>IF(ISERROR((DA230/CS230-1)*100),"NA",IF(((DA230/CS230-1)*100)&gt;100,"NM",IF(((DA230/CS230-1)*100)&lt;-50,"NM",(DA230/CS230-1)*100)))</f>
        <v>4.7348484848484862</v>
      </c>
      <c r="DC230" s="95">
        <v>57.9</v>
      </c>
      <c r="DD230" s="81">
        <f>IF(ISERROR((DC230/CU230-1)*100),"NA",IF(((DC230/CU230-1)*100)&gt;100,"NM",IF(((DC230/CU230-1)*100)&lt;-50,"NM",(DC230/CU230-1)*100)))</f>
        <v>2.4778761061946986</v>
      </c>
      <c r="DE230" s="95">
        <v>58.5</v>
      </c>
      <c r="DF230" s="81">
        <f>IF(ISERROR((DE230/CW230-1)*100),"NA",IF(((DE230/CW230-1)*100)&gt;100,"NM",IF(((DE230/CW230-1)*100)&lt;-50,"NM",(DE230/CW230-1)*100)))</f>
        <v>6.3636363636363713</v>
      </c>
      <c r="DG230" s="95">
        <v>58.6</v>
      </c>
      <c r="DH230" s="81">
        <f>IF(ISERROR((DG230/CY230-1)*100),"NA",IF(((DG230/CY230-1)*100)&gt;100,"NM",IF(((DG230/CY230-1)*100)&lt;-50,"NM",(DG230/CY230-1)*100)))</f>
        <v>4.4563279857397609</v>
      </c>
      <c r="DI230" s="95">
        <v>59.2</v>
      </c>
      <c r="DJ230" s="81">
        <f>IF(ISERROR((DI230/DA230-1)*100),"NA",IF(((DI230/DA230-1)*100)&gt;100,"NM",IF(((DI230/DA230-1)*100)&lt;-50,"NM",(DI230/DA230-1)*100)))</f>
        <v>7.0524412296564254</v>
      </c>
      <c r="DK230" s="95">
        <v>61.7</v>
      </c>
      <c r="DL230" s="81">
        <f>IF(ISERROR((DK230/DC230-1)*100),"NA",IF(((DK230/DC230-1)*100)&gt;100,"NM",IF(((DK230/DC230-1)*100)&lt;-50,"NM",(DK230/DC230-1)*100)))</f>
        <v>6.5630397236615012</v>
      </c>
      <c r="DM230" s="95">
        <v>62.6</v>
      </c>
      <c r="DN230" s="81">
        <f>IF(ISERROR((DM230/DE230-1)*100),"NA",IF(((DM230/DE230-1)*100)&gt;100,"NM",IF(((DM230/DE230-1)*100)&lt;-50,"NM",(DM230/DE230-1)*100)))</f>
        <v>7.0085470085470059</v>
      </c>
      <c r="DO230" s="95">
        <v>62.5</v>
      </c>
      <c r="DP230" s="81">
        <f>IF(ISERROR((DO230/DG230-1)*100),"NA",IF(((DO230/DG230-1)*100)&gt;100,"NM",IF(((DO230/DG230-1)*100)&lt;-50,"NM",(DO230/DG230-1)*100)))</f>
        <v>6.6552901023890776</v>
      </c>
      <c r="DQ230" s="95">
        <v>63.5</v>
      </c>
      <c r="DR230" s="81">
        <f>IF(ISERROR((DQ230/DI230-1)*100),"NA",IF(((DQ230/DI230-1)*100)&gt;100,"NM",IF(((DQ230/DI230-1)*100)&lt;-50,"NM",(DQ230/DI230-1)*100)))</f>
        <v>7.2635135135135087</v>
      </c>
      <c r="DS230" s="95">
        <v>64</v>
      </c>
      <c r="DT230" s="81">
        <f>IF(ISERROR((DS230/DK230-1)*100),"NA",IF(((DS230/DK230-1)*100)&gt;100,"NM",IF(((DS230/DK230-1)*100)&lt;-50,"NM",(DS230/DK230-1)*100)))</f>
        <v>3.7277147487844386</v>
      </c>
      <c r="DU230" s="95">
        <v>66</v>
      </c>
      <c r="DV230" s="81">
        <f>IF(ISERROR((DU230/DM230-1)*100),"NA",IF(((DU230/DM230-1)*100)&gt;100,"NM",IF(((DU230/DM230-1)*100)&lt;-50,"NM",(DU230/DM230-1)*100)))</f>
        <v>5.4313099041533475</v>
      </c>
      <c r="DW230" s="95">
        <v>66.3</v>
      </c>
      <c r="DX230" s="81">
        <f>IF(ISERROR((DW230/DO230-1)*100),"NA",IF(((DW230/DO230-1)*100)&gt;100,"NM",IF(((DW230/DO230-1)*100)&lt;-50,"NM",(DW230/DO230-1)*100)))</f>
        <v>6.0799999999999965</v>
      </c>
      <c r="DY230" s="95">
        <v>67.599999999999994</v>
      </c>
      <c r="DZ230" s="81">
        <f>IF(ISERROR((DY230/DQ230-1)*100),"NA",IF(((DY230/DQ230-1)*100)&gt;100,"NM",IF(((DY230/DQ230-1)*100)&lt;-50,"NM",(DY230/DQ230-1)*100)))</f>
        <v>6.4566929133858197</v>
      </c>
      <c r="EA230" s="95">
        <v>67.7</v>
      </c>
      <c r="EB230" s="81">
        <f>IF(ISERROR((EA230/DS230-1)*100),"NA",IF(((EA230/DS230-1)*100)&gt;100,"NM",IF(((EA230/DS230-1)*100)&lt;-50,"NM",(EA230/DS230-1)*100)))</f>
        <v>5.7812500000000044</v>
      </c>
      <c r="EC230" s="95">
        <v>69.099999999999994</v>
      </c>
      <c r="ED230" s="81">
        <f t="shared" si="726"/>
        <v>4.6969696969696884</v>
      </c>
      <c r="EE230" s="95">
        <v>69.599999999999994</v>
      </c>
      <c r="EF230" s="81">
        <f t="shared" si="727"/>
        <v>4.9773755656108642</v>
      </c>
      <c r="EG230" s="95">
        <v>69.599999999999994</v>
      </c>
      <c r="EH230" s="81">
        <f t="shared" si="728"/>
        <v>2.9585798816567976</v>
      </c>
      <c r="EI230" s="95">
        <v>74.5</v>
      </c>
      <c r="EJ230" s="81">
        <f t="shared" si="729"/>
        <v>10.044313146233375</v>
      </c>
      <c r="EK230" s="93">
        <f t="shared" ref="EK230:EQ230" si="740">EK236/100*EK224</f>
        <v>76.068033000000014</v>
      </c>
      <c r="EL230" s="81">
        <f t="shared" si="731"/>
        <v>10.083984081042008</v>
      </c>
      <c r="EM230" s="93">
        <f t="shared" si="740"/>
        <v>77.469652615000015</v>
      </c>
      <c r="EN230" s="81">
        <f t="shared" si="732"/>
        <v>11.306972147988548</v>
      </c>
      <c r="EO230" s="93">
        <f t="shared" si="740"/>
        <v>78.937279780875016</v>
      </c>
      <c r="EP230" s="81">
        <f t="shared" si="733"/>
        <v>13.415631869073309</v>
      </c>
      <c r="EQ230" s="93">
        <f t="shared" si="740"/>
        <v>80.414332319835395</v>
      </c>
      <c r="ER230" s="81">
        <f t="shared" si="734"/>
        <v>7.9387011004501851</v>
      </c>
      <c r="ES230" s="129"/>
      <c r="ET230" s="469"/>
      <c r="EU230" s="129"/>
      <c r="EV230" s="95"/>
      <c r="EW230" s="79"/>
      <c r="EX230" s="95"/>
      <c r="EY230" s="79"/>
      <c r="EZ230" s="145"/>
      <c r="FA230" s="79"/>
      <c r="FB230" s="95">
        <v>113.3</v>
      </c>
      <c r="FC230" s="79" t="str">
        <f>IF(ISERROR((FB230/EZ230-1)*100),"NA",IF(((FB230/EZ230-1)*100)&gt;100,"NM",IF(((FB230/EZ230-1)*100)&lt;-50,"NM",(FB230/EZ230-1)*100)))</f>
        <v>NA</v>
      </c>
      <c r="FD230" s="95">
        <v>122.1</v>
      </c>
      <c r="FE230" s="79">
        <f>IF(ISERROR((FD230/FB230-1)*100),"NA",IF(((FD230/FB230-1)*100)&gt;100,"NM",IF(((FD230/FB230-1)*100)&lt;-50,"NM",(FD230/FB230-1)*100)))</f>
        <v>7.7669902912621325</v>
      </c>
      <c r="FF230" s="251">
        <f>+AA230+Y230+W230+U230</f>
        <v>126.8</v>
      </c>
      <c r="FG230" s="79">
        <f>IF(ISERROR((FF230/FD230-1)*100),"NA",IF(((FF230/FD230-1)*100)&gt;100,"NM",IF(((FF230/FD230-1)*100)&lt;-50,"NM",(FF230/FD230-1)*100)))</f>
        <v>3.8493038493038423</v>
      </c>
      <c r="FH230" s="251">
        <f>+AI230+AG230+AE230+AC230</f>
        <v>142.5</v>
      </c>
      <c r="FI230" s="79">
        <f>IF(ISERROR((FH230/FF230-1)*100),"NA",IF(((FH230/FF230-1)*100)&gt;100,"NM",IF(((FH230/FF230-1)*100)&lt;-50,"NM",(FH230/FF230-1)*100)))</f>
        <v>12.381703470031557</v>
      </c>
      <c r="FJ230" s="35">
        <f>+AQ230+AO230+AM230+AK230</f>
        <v>154.1</v>
      </c>
      <c r="FK230" s="79">
        <f>IF(ISERROR((FJ230/FH230-1)*100),"NA",IF(((FJ230/FH230-1)*100)&gt;100,"NM",IF(((FJ230/FH230-1)*100)&lt;-50,"NM",(FJ230/FH230-1)*100)))</f>
        <v>8.1403508771929811</v>
      </c>
      <c r="FL230" s="78">
        <f>AS230+AU230+AW230+AY230</f>
        <v>154.4</v>
      </c>
      <c r="FM230" s="79">
        <f>IF(ISERROR((FL230/FJ230-1)*100),"NA",IF(((FL230/FJ230-1)*100)&gt;100,"NM",IF(((FL230/FJ230-1)*100)&lt;-50,"NM",(FL230/FJ230-1)*100)))</f>
        <v>0.19467878001298011</v>
      </c>
      <c r="FN230" s="78">
        <f>BA230+BC230+BE230+BG230</f>
        <v>179.8</v>
      </c>
      <c r="FO230" s="79">
        <f>IF(ISERROR((FN230/FL230-1)*100),"NA",IF(((FN230/FL230-1)*100)&gt;100,"NM",IF(((FN230/FL230-1)*100)&lt;-50,"NM",(FN230/FL230-1)*100)))</f>
        <v>16.450777202072551</v>
      </c>
      <c r="FP230" s="78">
        <f>BI230+BK230+BM230+BO230</f>
        <v>196.89999999999998</v>
      </c>
      <c r="FQ230" s="79">
        <f>IF(ISERROR((FP230/FN230-1)*100),"NA",IF(((FP230/FN230-1)*100)&gt;100,"NM",IF(((FP230/FN230-1)*100)&lt;-50,"NM",(FP230/FN230-1)*100)))</f>
        <v>9.5105672969966406</v>
      </c>
      <c r="FR230" s="93">
        <f>BQ230+BS230+BU230+BW230</f>
        <v>203.60000000000002</v>
      </c>
      <c r="FS230" s="79">
        <f>IF(ISERROR((FR230/FP230-1)*100),"NA",IF(((FR230/FP230-1)*100)&gt;100,"NM",IF(((FR230/FP230-1)*100)&lt;-50,"NM",(FR230/FP230-1)*100)))</f>
        <v>3.4027425088877905</v>
      </c>
      <c r="FT230" s="93">
        <f>BY230+CA230+CC230+CE230</f>
        <v>208.59999999999997</v>
      </c>
      <c r="FU230" s="79">
        <f>IF(ISERROR((FT230/FR230-1)*100),"NA",IF(((FT230/FR230-1)*100)&gt;100,"NM",IF(((FT230/FR230-1)*100)&lt;-50,"NM",(FT230/FR230-1)*100)))</f>
        <v>2.4557956777995882</v>
      </c>
      <c r="FV230" s="93">
        <f>CG230+CI230+CK230+CM230</f>
        <v>214.7</v>
      </c>
      <c r="FW230" s="79">
        <f>IF(ISERROR((FV230/FT230-1)*100),"NA",IF(((FV230/FT230-1)*100)&gt;100,"NM",IF(((FV230/FT230-1)*100)&lt;-50,"NM",(FV230/FT230-1)*100)))</f>
        <v>2.9242569511026106</v>
      </c>
      <c r="FX230" s="93">
        <f>CO230+CQ230+CS230+CU230</f>
        <v>217.1</v>
      </c>
      <c r="FY230" s="79">
        <f>IF(ISERROR((FX230/FV230-1)*100),"NA",IF(((FX230/FV230-1)*100)&gt;100,"NM",IF(((FX230/FV230-1)*100)&lt;-50,"NM",(FX230/FV230-1)*100)))</f>
        <v>1.1178388448998655</v>
      </c>
      <c r="FZ230" s="93">
        <f>CW230+CY230+DA230+DC230</f>
        <v>224.29999999999998</v>
      </c>
      <c r="GA230" s="79">
        <f>IF(ISERROR((FZ230/FX230-1)*100),"NA",IF(((FZ230/FX230-1)*100)&gt;100,"NM",IF(((FZ230/FX230-1)*100)&lt;-50,"NM",(FZ230/FX230-1)*100)))</f>
        <v>3.3164440350069047</v>
      </c>
      <c r="GB230" s="93">
        <f>DE230+DG230+DI230+DK230</f>
        <v>238</v>
      </c>
      <c r="GC230" s="79">
        <f>IF(ISERROR((GB230/FZ230-1)*100),"NA",IF(((GB230/FZ230-1)*100)&gt;100,"NM",IF(((GB230/FZ230-1)*100)&lt;-50,"NM",(GB230/FZ230-1)*100)))</f>
        <v>6.1078912171199429</v>
      </c>
      <c r="GD230" s="93">
        <f>DM230+DO230+DQ230+DS230</f>
        <v>252.6</v>
      </c>
      <c r="GE230" s="79">
        <f>IF(ISERROR((GD230/GB230-1)*100),"NA",IF(((GD230/GB230-1)*100)&gt;100,"NM",IF(((GD230/GB230-1)*100)&lt;-50,"NM",(GD230/GB230-1)*100)))</f>
        <v>6.1344537815126055</v>
      </c>
      <c r="GF230" s="93">
        <f>DU230+DW230+DY230+EA230</f>
        <v>267.60000000000002</v>
      </c>
      <c r="GG230" s="79">
        <f>IF(ISERROR((GF230/GD230-1)*100),"NA",IF(((GF230/GD230-1)*100)&gt;100,"NM",IF(((GF230/GD230-1)*100)&lt;-50,"NM",(GF230/GD230-1)*100)))</f>
        <v>5.9382422802850554</v>
      </c>
      <c r="GH230" s="93">
        <f>EC230+EE230+EG230+EI230</f>
        <v>282.79999999999995</v>
      </c>
      <c r="GI230" s="79">
        <f>IF(ISERROR((GH230/GF230-1)*100),"NA",IF(((GH230/GF230-1)*100)&gt;100,"NM",IF(((GH230/GF230-1)*100)&lt;-50,"NM",(GH230/GF230-1)*100)))</f>
        <v>5.6801195814648375</v>
      </c>
      <c r="GJ230" s="93">
        <f>EK230+EM230+EO230+EQ230</f>
        <v>312.88929771571048</v>
      </c>
      <c r="GK230" s="79">
        <f>IF(ISERROR((GJ230/GH230-1)*100),"NA",IF(((GJ230/GH230-1)*100)&gt;100,"NM",IF(((GJ230/GH230-1)*100)&lt;-50,"NM",(GJ230/GH230-1)*100)))</f>
        <v>10.639779956050411</v>
      </c>
      <c r="GL230" s="93">
        <f>GL236/100*GL224</f>
        <v>319.1575589700247</v>
      </c>
      <c r="GM230" s="79">
        <f>IF(ISERROR((GL230/GJ230-1)*100),"NA",IF(((GL230/GJ230-1)*100)&gt;100,"NM",IF(((GL230/GJ230-1)*100)&lt;-50,"NM",(GL230/GJ230-1)*100)))</f>
        <v>2.003347925313026</v>
      </c>
      <c r="GN230" s="93">
        <f>GN236/100*GN224</f>
        <v>325.55191872042519</v>
      </c>
      <c r="GO230" s="79">
        <f>IF(ISERROR((GN230/GL230-1)*100),"NA",IF(((GN230/GL230-1)*100)&gt;100,"NM",IF(((GN230/GL230-1)*100)&lt;-50,"NM",(GN230/GL230-1)*100)))</f>
        <v>2.0035119240277899</v>
      </c>
      <c r="GP230" s="93">
        <f>GP236/100*GP224</f>
        <v>332.07495026580375</v>
      </c>
      <c r="GQ230" s="79">
        <f>IF(ISERROR((GP230/GN230-1)*100),"NA",IF(((GP230/GN230-1)*100)&gt;100,"NM",IF(((GP230/GN230-1)*100)&lt;-50,"NM",(GP230/GN230-1)*100)))</f>
        <v>2.0036839503257076</v>
      </c>
      <c r="GR230" s="93">
        <f>GR236/100*GR224</f>
        <v>338.72928196405769</v>
      </c>
      <c r="GS230" s="79">
        <f>IF(ISERROR((GR230/GP230-1)*100),"NA",IF(((GR230/GP230-1)*100)&gt;100,"NM",IF(((GR230/GP230-1)*100)&lt;-50,"NM",(GR230/GP230-1)*100)))</f>
        <v>2.003864396554933</v>
      </c>
      <c r="GT230" s="79">
        <f>IF(ISERROR(((GR230/GH230)^0.2-1)*100),"NA",(IF(OR(((GR230/GH230)^0.2-1)*100&gt;99,((GR230/GH230)^0.2-1)*100&lt;-50),"NM",(((GR230/GH230)^0.2-1)*100))))</f>
        <v>3.6751487804842276</v>
      </c>
      <c r="GU230" s="562"/>
      <c r="GV230" s="562"/>
      <c r="GW230"/>
      <c r="GX230"/>
      <c r="GY230"/>
      <c r="GZ230"/>
      <c r="HA230"/>
      <c r="HB230"/>
      <c r="HC230" s="562"/>
      <c r="HD230" s="562"/>
      <c r="HE230" s="562"/>
      <c r="HF230" s="562"/>
      <c r="HG230" s="562"/>
      <c r="HH230" s="562"/>
      <c r="HI230" s="562"/>
      <c r="HJ230" s="562"/>
      <c r="HK230" s="562"/>
      <c r="HL230" s="562"/>
      <c r="HM230" s="562"/>
      <c r="HN230" s="562"/>
      <c r="HO230" s="562"/>
      <c r="HP230" s="562"/>
      <c r="HQ230" s="562"/>
      <c r="HR230" s="562"/>
      <c r="HS230" s="562"/>
      <c r="HT230" s="562"/>
      <c r="HU230" s="562"/>
      <c r="HV230" s="562"/>
      <c r="HW230" s="562"/>
      <c r="HX230" s="562"/>
      <c r="HY230" s="562"/>
      <c r="HZ230" s="562"/>
      <c r="IA230" s="562"/>
      <c r="IB230" s="562"/>
      <c r="IC230" s="562"/>
      <c r="ID230" s="562"/>
      <c r="IE230" s="562"/>
      <c r="IF230" s="562"/>
      <c r="IG230" s="562"/>
      <c r="IH230" s="562"/>
      <c r="II230" s="562"/>
      <c r="IJ230" s="562"/>
      <c r="IK230" s="562"/>
      <c r="IL230" s="562"/>
      <c r="IM230" s="562"/>
      <c r="IN230" s="562"/>
      <c r="IO230" s="562"/>
      <c r="IP230" s="562"/>
      <c r="IQ230" s="562"/>
      <c r="IR230" s="562"/>
      <c r="IS230" s="562"/>
      <c r="IT230" s="562"/>
      <c r="IU230" s="562"/>
      <c r="IV230" s="562"/>
      <c r="IW230" s="562"/>
      <c r="IX230" s="562"/>
      <c r="IY230" s="562"/>
      <c r="IZ230" s="562"/>
      <c r="JA230" s="562"/>
      <c r="JB230" s="562"/>
      <c r="JC230" s="562"/>
      <c r="JD230" s="562"/>
      <c r="JE230" s="562"/>
      <c r="JF230" s="562"/>
      <c r="JG230" s="562"/>
      <c r="JH230" s="562"/>
      <c r="JI230" s="562"/>
      <c r="JJ230" s="562"/>
      <c r="JK230" s="562"/>
      <c r="JL230" s="562"/>
      <c r="JM230" s="562"/>
      <c r="JN230" s="562"/>
      <c r="JO230" s="562"/>
      <c r="JP230" s="562"/>
      <c r="JQ230" s="562"/>
      <c r="JR230" s="562"/>
      <c r="JS230" s="562"/>
      <c r="JT230" s="562"/>
      <c r="JU230" s="562"/>
      <c r="JV230" s="562"/>
      <c r="JW230" s="562"/>
      <c r="JX230" s="562"/>
      <c r="JY230" s="562"/>
      <c r="JZ230" s="562"/>
    </row>
    <row r="231" spans="1:286" s="239" customFormat="1" ht="12.75" customHeight="1" x14ac:dyDescent="0.2">
      <c r="A231" s="240"/>
      <c r="B231" s="68" t="s">
        <v>57</v>
      </c>
      <c r="C231" s="140"/>
      <c r="D231" s="140"/>
      <c r="E231" s="242">
        <f>SUM(E227:E230)</f>
        <v>143.4</v>
      </c>
      <c r="F231" s="139"/>
      <c r="G231" s="242">
        <f>SUM(G227:G230)</f>
        <v>139.4</v>
      </c>
      <c r="H231" s="139"/>
      <c r="I231" s="242">
        <f>SUM(I227:I230)</f>
        <v>142.69999999999999</v>
      </c>
      <c r="J231" s="139"/>
      <c r="K231" s="242">
        <f>SUM(K227:K230)</f>
        <v>135</v>
      </c>
      <c r="L231" s="79"/>
      <c r="M231" s="242">
        <f>SUM(M227:M230)</f>
        <v>143</v>
      </c>
      <c r="N231" s="79">
        <f>IF(ISERROR((M231/E231-1)*100),"NA",IF(((M231/E231-1)*100)&gt;100,"NM",IF(((M231/E231-1)*100)&lt;-50,"NM",(M231/E231-1)*100)))</f>
        <v>-0.27894002789400352</v>
      </c>
      <c r="O231" s="242">
        <f>SUM(O227:O230)</f>
        <v>143.29999999999998</v>
      </c>
      <c r="P231" s="79">
        <f>IF(ISERROR((O231/G231-1)*100),"NA",IF(((O231/G231-1)*100)&gt;100,"NM",IF(((O231/G231-1)*100)&lt;-50,"NM",(O231/G231-1)*100)))</f>
        <v>2.7977044476326984</v>
      </c>
      <c r="Q231" s="242">
        <f>SUM(Q227:Q230)</f>
        <v>148.6</v>
      </c>
      <c r="R231" s="79">
        <f>IF(ISERROR((Q231/I231-1)*100),"NA",IF(((Q231/I231-1)*100)&gt;100,"NM",IF(((Q231/I231-1)*100)&lt;-50,"NM",(Q231/I231-1)*100)))</f>
        <v>4.1345480028030845</v>
      </c>
      <c r="S231" s="242">
        <f>SUM(S227:S230)</f>
        <v>147.6</v>
      </c>
      <c r="T231" s="79">
        <f>IF(ISERROR((S231/K231-1)*100),"NA",IF(((S231/K231-1)*100)&gt;100,"NM",IF(((S231/K231-1)*100)&lt;-50,"NM",(S231/K231-1)*100)))</f>
        <v>9.3333333333333268</v>
      </c>
      <c r="U231" s="242">
        <f>SUM(U227:U230)</f>
        <v>156.60000000000002</v>
      </c>
      <c r="V231" s="79">
        <f>IF(ISERROR((U231/M231-1)*100),"NA",IF(((U231/M231-1)*100)&gt;100,"NM",IF(((U231/M231-1)*100)&lt;-50,"NM",(U231/M231-1)*100)))</f>
        <v>9.5104895104895171</v>
      </c>
      <c r="W231" s="242">
        <f>SUM(W227:W230)</f>
        <v>158.70000000000002</v>
      </c>
      <c r="X231" s="79">
        <f>IF(ISERROR((W231/O231-1)*100),"NA",IF(((W231/O231-1)*100)&gt;100,"NM",IF(((W231/O231-1)*100)&lt;-50,"NM",(W231/O231-1)*100)))</f>
        <v>10.746685275645529</v>
      </c>
      <c r="Y231" s="242">
        <f>SUM(Y227:Y230)</f>
        <v>158.80000000000001</v>
      </c>
      <c r="Z231" s="79">
        <f>IF(ISERROR((Y231/Q231-1)*100),"NA",IF(((Y231/Q231-1)*100)&gt;100,"NM",IF(((Y231/Q231-1)*100)&lt;-50,"NM",(Y231/Q231-1)*100)))</f>
        <v>6.8640646029609842</v>
      </c>
      <c r="AA231" s="244">
        <f>SUM(AA227:AA230)</f>
        <v>165.2</v>
      </c>
      <c r="AB231" s="79">
        <f>IF(ISERROR((AA231/S231-1)*100),"NA",IF(((AA231/S231-1)*100)&gt;100,"NM",IF(((AA231/S231-1)*100)&lt;-50,"NM",(AA231/S231-1)*100)))</f>
        <v>11.924119241192411</v>
      </c>
      <c r="AC231" s="242">
        <f>SUM(AC227:AC230)</f>
        <v>167.60000000000002</v>
      </c>
      <c r="AD231" s="79">
        <f>IF(ISERROR((AC231/U231-1)*100),"NA",IF(((AC231/U231-1)*100)&gt;100,"NM",IF(((AC231/U231-1)*100)&lt;-50,"NM",(AC231/U231-1)*100)))</f>
        <v>7.0242656449553076</v>
      </c>
      <c r="AE231" s="242">
        <f>SUM(AE227:AE230)</f>
        <v>169</v>
      </c>
      <c r="AF231" s="79">
        <f>IF(ISERROR((AE231/W231-1)*100),"NA",IF(((AE231/W231-1)*100)&gt;100,"NM",IF(((AE231/W231-1)*100)&lt;-50,"NM",(AE231/W231-1)*100)))</f>
        <v>6.4902331442973971</v>
      </c>
      <c r="AG231" s="242">
        <f>SUM(AG227:AG230)</f>
        <v>171</v>
      </c>
      <c r="AH231" s="79">
        <f>IF(ISERROR((AG231/Y231-1)*100),"NA",IF(((AG231/Y231-1)*100)&gt;100,"NM",IF(((AG231/Y231-1)*100)&lt;-50,"NM",(AG231/Y231-1)*100)))</f>
        <v>7.6826196473551489</v>
      </c>
      <c r="AI231" s="242">
        <f>SUM(AI227:AI230)</f>
        <v>174.6</v>
      </c>
      <c r="AJ231" s="79">
        <f>IF(ISERROR((AI231/AA231-1)*100),"NA",IF(((AI231/AA231-1)*100)&gt;100,"NM",IF(((AI231/AA231-1)*100)&lt;-50,"NM",(AI231/AA231-1)*100)))</f>
        <v>5.6900726392251855</v>
      </c>
      <c r="AK231" s="242">
        <f>SUM(AK227:AK230)</f>
        <v>175.89999999999998</v>
      </c>
      <c r="AL231" s="79">
        <f>IF(ISERROR((AK231/AC231-1)*100),"NA",IF(((AK231/AC231-1)*100)&gt;100,"NM",IF(((AK231/AC231-1)*100)&lt;-50,"NM",(AK231/AC231-1)*100)))</f>
        <v>4.9522673031025866</v>
      </c>
      <c r="AM231" s="242">
        <f>SUM(AM227:AM230)</f>
        <v>176.29999999999998</v>
      </c>
      <c r="AN231" s="79">
        <f>IF(ISERROR((AM231/AE231-1)*100),"NA",IF(((AM231/AE231-1)*100)&gt;100,"NM",IF(((AM231/AE231-1)*100)&lt;-50,"NM",(AM231/AE231-1)*100)))</f>
        <v>4.3195266272189281</v>
      </c>
      <c r="AO231" s="242">
        <f>SUM(AO227:AO230)</f>
        <v>180.1</v>
      </c>
      <c r="AP231" s="79">
        <f>IF(ISERROR((AO231/AG231-1)*100),"NA",IF(((AO231/AG231-1)*100)&gt;100,"NM",IF(((AO231/AG231-1)*100)&lt;-50,"NM",(AO231/AG231-1)*100)))</f>
        <v>5.3216374269005717</v>
      </c>
      <c r="AQ231" s="242">
        <f>SUM(AQ227:AQ230)</f>
        <v>187</v>
      </c>
      <c r="AR231" s="79">
        <f>IF(ISERROR((AQ231/AI231-1)*100),"NA",IF(((AQ231/AI231-1)*100)&gt;100,"NM",IF(((AQ231/AI231-1)*100)&lt;-50,"NM",(AQ231/AI231-1)*100)))</f>
        <v>7.1019473081328721</v>
      </c>
      <c r="AS231" s="242">
        <f>SUM(AS227:AS230)</f>
        <v>179.29999999999998</v>
      </c>
      <c r="AT231" s="81">
        <f>IF(ISERROR((AS231/AK231-1)*100),"NA",IF(((AS231/AK231-1)*100)&gt;100,"NM",IF(((AS231/AK231-1)*100)&lt;-50,"NM",(AS231/AK231-1)*100)))</f>
        <v>1.9329164297896551</v>
      </c>
      <c r="AU231" s="242">
        <f>SUM(AU227:AU230)</f>
        <v>183.4</v>
      </c>
      <c r="AV231" s="81">
        <f>IF(ISERROR((AU231/AM231-1)*100),"NA",IF(((AU231/AM231-1)*100)&gt;100,"NM",IF(((AU231/AM231-1)*100)&lt;-50,"NM",(AU231/AM231-1)*100)))</f>
        <v>4.0272263187748347</v>
      </c>
      <c r="AW231" s="242">
        <f>SUM(AW227:AW230)</f>
        <v>184.5</v>
      </c>
      <c r="AX231" s="81">
        <f>IF(ISERROR((AW231/AO231-1)*100),"NA",IF(((AW231/AO231-1)*100)&gt;100,"NM",IF(((AW231/AO231-1)*100)&lt;-50,"NM",(AW231/AO231-1)*100)))</f>
        <v>2.4430871737923354</v>
      </c>
      <c r="AY231" s="242">
        <f>SUM(AY227:AY230)</f>
        <v>190.89999999999998</v>
      </c>
      <c r="AZ231" s="81">
        <f>IF(ISERROR((AY231/AQ231-1)*100),"NA",IF(((AY231/AQ231-1)*100)&gt;100,"NM",IF(((AY231/AQ231-1)*100)&lt;-50,"NM",(AY231/AQ231-1)*100)))</f>
        <v>2.0855614973261938</v>
      </c>
      <c r="BA231" s="242">
        <f>SUM(BA227:BA230)</f>
        <v>188.5</v>
      </c>
      <c r="BB231" s="81">
        <f>IF(ISERROR((BA231/AS231-1)*100),"NA",IF(((BA231/AS231-1)*100)&gt;100,"NM",IF(((BA231/AS231-1)*100)&lt;-50,"NM",(BA231/AS231-1)*100)))</f>
        <v>5.1310652537646551</v>
      </c>
      <c r="BC231" s="242">
        <f>SUM(BC227:BC230)</f>
        <v>185.09999999999997</v>
      </c>
      <c r="BD231" s="81">
        <f>IF(ISERROR((BC231/AU231-1)*100),"NA",IF(((BC231/AU231-1)*100)&gt;100,"NM",IF(((BC231/AU231-1)*100)&lt;-50,"NM",(BC231/AU231-1)*100)))</f>
        <v>0.9269356597600753</v>
      </c>
      <c r="BE231" s="242">
        <f>SUM(BE227:BE230)</f>
        <v>189.8</v>
      </c>
      <c r="BF231" s="81">
        <f>IF(ISERROR((BE231/AW231-1)*100),"NA",IF(((BE231/AW231-1)*100)&gt;100,"NM",IF(((BE231/AW231-1)*100)&lt;-50,"NM",(BE231/AW231-1)*100)))</f>
        <v>2.872628726287263</v>
      </c>
      <c r="BG231" s="242">
        <f>SUM(BG227:BG230)</f>
        <v>198.79999999999998</v>
      </c>
      <c r="BH231" s="81">
        <f>IF(ISERROR((BG231/AY231-1)*100),"NA",IF(((BG231/AY231-1)*100)&gt;100,"NM",IF(((BG231/AY231-1)*100)&lt;-50,"NM",(BG231/AY231-1)*100)))</f>
        <v>4.1382922996333171</v>
      </c>
      <c r="BI231" s="242">
        <f>SUM(BI227:BI230)</f>
        <v>199</v>
      </c>
      <c r="BJ231" s="81">
        <f>IF(ISERROR((BI231/BA231-1)*100),"NA",IF(((BI231/BA231-1)*100)&gt;100,"NM",IF(((BI231/BA231-1)*100)&lt;-50,"NM",(BI231/BA231-1)*100)))</f>
        <v>5.5702917771883298</v>
      </c>
      <c r="BK231" s="242">
        <f>SUM(BK227:BK230)</f>
        <v>200.89999999999998</v>
      </c>
      <c r="BL231" s="81">
        <f>IF(ISERROR((BK231/BC231-1)*100),"NA",IF(((BK231/BC231-1)*100)&gt;100,"NM",IF(((BK231/BC231-1)*100)&lt;-50,"NM",(BK231/BC231-1)*100)))</f>
        <v>8.5359265262020543</v>
      </c>
      <c r="BM231" s="242">
        <f>SUM(BM227:BM230)</f>
        <v>205.59999999999997</v>
      </c>
      <c r="BN231" s="81">
        <f>IF(ISERROR((BM231/BE231-1)*100),"NA",IF(((BM231/BE231-1)*100)&gt;100,"NM",IF(((BM231/BE231-1)*100)&lt;-50,"NM",(BM231/BE231-1)*100)))</f>
        <v>8.3245521601685635</v>
      </c>
      <c r="BO231" s="242">
        <f>SUM(BO227:BO230)</f>
        <v>209.8</v>
      </c>
      <c r="BP231" s="81">
        <f>IF(ISERROR((BO231/BG231-1)*100),"NA",IF(((BO231/BG231-1)*100)&gt;100,"NM",IF(((BO231/BG231-1)*100)&lt;-50,"NM",(BO231/BG231-1)*100)))</f>
        <v>5.5331991951710346</v>
      </c>
      <c r="BQ231" s="242">
        <f>SUM(BQ227:BQ230)</f>
        <v>210.2</v>
      </c>
      <c r="BR231" s="81">
        <f>IF(ISERROR((BQ231/BI231-1)*100),"NA",IF(((BQ231/BI231-1)*100)&gt;100,"NM",IF(((BQ231/BI231-1)*100)&lt;-50,"NM",(BQ231/BI231-1)*100)))</f>
        <v>5.6281407035175812</v>
      </c>
      <c r="BS231" s="242">
        <f>SUM(BS227:BS230)</f>
        <v>208.1</v>
      </c>
      <c r="BT231" s="81">
        <f>IF(ISERROR((BS231/BK231-1)*100),"NA",IF(((BS231/BK231-1)*100)&gt;100,"NM",IF(((BS231/BK231-1)*100)&lt;-50,"NM",(BS231/BK231-1)*100)))</f>
        <v>3.5838725734196109</v>
      </c>
      <c r="BU231" s="242">
        <f>SUM(BU227:BU230)</f>
        <v>212.6</v>
      </c>
      <c r="BV231" s="81">
        <f>IF(ISERROR((BU231/BM231-1)*100),"NA",IF(((BU231/BM231-1)*100)&gt;100,"NM",IF(((BU231/BM231-1)*100)&lt;-50,"NM",(BU231/BM231-1)*100)))</f>
        <v>3.4046692607003992</v>
      </c>
      <c r="BW231" s="242">
        <f>SUM(BW227:BW230)</f>
        <v>218.10000000000002</v>
      </c>
      <c r="BX231" s="81">
        <f>IF(ISERROR((BW231/BO231-1)*100),"NA",IF(((BW231/BO231-1)*100)&gt;100,"NM",IF(((BW231/BO231-1)*100)&lt;-50,"NM",(BW231/BO231-1)*100)))</f>
        <v>3.9561487130600703</v>
      </c>
      <c r="BY231" s="242">
        <f>SUM(BY227:BY230)</f>
        <v>225</v>
      </c>
      <c r="BZ231" s="81">
        <f>IF(ISERROR((BY231/BQ231-1)*100),"NA",IF(((BY231/BQ231-1)*100)&gt;100,"NM",IF(((BY231/BQ231-1)*100)&lt;-50,"NM",(BY231/BQ231-1)*100)))</f>
        <v>7.0409134157944919</v>
      </c>
      <c r="CA231" s="242">
        <f>SUM(CA227:CA230)</f>
        <v>226.00000000000003</v>
      </c>
      <c r="CB231" s="81">
        <f>IF(ISERROR((CA231/BS231-1)*100),"NA",IF(((CA231/BS231-1)*100)&gt;100,"NM",IF(((CA231/BS231-1)*100)&lt;-50,"NM",(CA231/BS231-1)*100)))</f>
        <v>8.601633829889499</v>
      </c>
      <c r="CC231" s="242">
        <f>SUM(CC227:CC230)</f>
        <v>230.4</v>
      </c>
      <c r="CD231" s="81">
        <f>IF(ISERROR((CC231/BU231-1)*100),"NA",IF(((CC231/BU231-1)*100)&gt;100,"NM",IF(((CC231/BU231-1)*100)&lt;-50,"NM",(CC231/BU231-1)*100)))</f>
        <v>8.3725305738476141</v>
      </c>
      <c r="CE231" s="242">
        <f>SUM(CE227:CE230)</f>
        <v>247.8</v>
      </c>
      <c r="CF231" s="81">
        <f>IF(ISERROR((CE231/BW231-1)*100),"NA",IF(((CE231/BW231-1)*100)&gt;100,"NM",IF(((CE231/BW231-1)*100)&lt;-50,"NM",(CE231/BW231-1)*100)))</f>
        <v>13.617606602475929</v>
      </c>
      <c r="CG231" s="242">
        <f>SUM(CG227:CG230)</f>
        <v>245.3</v>
      </c>
      <c r="CH231" s="81">
        <f>IF(ISERROR((CG231/BY231-1)*100),"NA",IF(((CG231/BY231-1)*100)&gt;100,"NM",IF(((CG231/BY231-1)*100)&lt;-50,"NM",(CG231/BY231-1)*100)))</f>
        <v>9.0222222222222204</v>
      </c>
      <c r="CI231" s="242">
        <f>SUM(CI227:CI230)</f>
        <v>246.10000000000002</v>
      </c>
      <c r="CJ231" s="81">
        <f>IF(ISERROR((CI231/CA231-1)*100),"NA",IF(((CI231/CA231-1)*100)&gt;100,"NM",IF(((CI231/CA231-1)*100)&lt;-50,"NM",(CI231/CA231-1)*100)))</f>
        <v>8.893805309734514</v>
      </c>
      <c r="CK231" s="242">
        <f>SUM(CK227:CK230)</f>
        <v>249.59999999999997</v>
      </c>
      <c r="CL231" s="81">
        <f>IF(ISERROR((CK231/CC231-1)*100),"NA",IF(((CK231/CC231-1)*100)&gt;100,"NM",IF(((CK231/CC231-1)*100)&lt;-50,"NM",(CK231/CC231-1)*100)))</f>
        <v>8.333333333333325</v>
      </c>
      <c r="CM231" s="242">
        <f>SUM(CM227:CM230)</f>
        <v>257.10000000000002</v>
      </c>
      <c r="CN231" s="81">
        <f>IF(ISERROR((CM231/CE231-1)*100),"NA",IF(((CM231/CE231-1)*100)&gt;100,"NM",IF(((CM231/CE231-1)*100)&lt;-50,"NM",(CM231/CE231-1)*100)))</f>
        <v>3.7530266343825724</v>
      </c>
      <c r="CO231" s="242">
        <f>SUM(CO227:CO230)</f>
        <v>262.3</v>
      </c>
      <c r="CP231" s="81">
        <f>IF(ISERROR((CO231/CG231-1)*100),"NA",IF(((CO231/CG231-1)*100)&gt;100,"NM",IF(((CO231/CG231-1)*100)&lt;-50,"NM",(CO231/CG231-1)*100)))</f>
        <v>6.9302894415002037</v>
      </c>
      <c r="CQ231" s="242">
        <f>SUM(CQ227:CQ230)</f>
        <v>263.40000000000003</v>
      </c>
      <c r="CR231" s="81">
        <f>IF(ISERROR((CQ231/CI231-1)*100),"NA",IF(((CQ231/CI231-1)*100)&gt;100,"NM",IF(((CQ231/CI231-1)*100)&lt;-50,"NM",(CQ231/CI231-1)*100)))</f>
        <v>7.0296627387240962</v>
      </c>
      <c r="CS231" s="242">
        <f>SUM(CS227:CS230)</f>
        <v>264.60000000000002</v>
      </c>
      <c r="CT231" s="81">
        <f>IF(ISERROR((CS231/CK231-1)*100),"NA",IF(((CS231/CK231-1)*100)&gt;100,"NM",IF(((CS231/CK231-1)*100)&lt;-50,"NM",(CS231/CK231-1)*100)))</f>
        <v>6.0096153846154188</v>
      </c>
      <c r="CU231" s="242">
        <f>SUM(CU227:CU230)</f>
        <v>268.79999999999995</v>
      </c>
      <c r="CV231" s="81">
        <f>IF(ISERROR((CU231/CM231-1)*100),"NA",IF(((CU231/CM231-1)*100)&gt;100,"NM",IF(((CU231/CM231-1)*100)&lt;-50,"NM",(CU231/CM231-1)*100)))</f>
        <v>4.5507584597432649</v>
      </c>
      <c r="CW231" s="242">
        <f>SUM(CW227:CW230)</f>
        <v>271.39999999999998</v>
      </c>
      <c r="CX231" s="81">
        <f>IF(ISERROR((CW231/CO231-1)*100),"NA",IF(((CW231/CO231-1)*100)&gt;100,"NM",IF(((CW231/CO231-1)*100)&lt;-50,"NM",(CW231/CO231-1)*100)))</f>
        <v>3.4693099504384151</v>
      </c>
      <c r="CY231" s="242">
        <f>SUM(CY227:CY230)</f>
        <v>271.20000000000005</v>
      </c>
      <c r="CZ231" s="81">
        <f>IF(ISERROR((CY231/CQ231-1)*100),"NA",IF(((CY231/CQ231-1)*100)&gt;100,"NM",IF(((CY231/CQ231-1)*100)&lt;-50,"NM",(CY231/CQ231-1)*100)))</f>
        <v>2.9612756264236983</v>
      </c>
      <c r="DA231" s="242">
        <f>SUM(DA227:DA230)</f>
        <v>276.39999999999998</v>
      </c>
      <c r="DB231" s="81">
        <f>IF(ISERROR((DA231/CS231-1)*100),"NA",IF(((DA231/CS231-1)*100)&gt;100,"NM",IF(((DA231/CS231-1)*100)&lt;-50,"NM",(DA231/CS231-1)*100)))</f>
        <v>4.4595616024187379</v>
      </c>
      <c r="DC231" s="242">
        <f>SUM(DC227:DC230)</f>
        <v>294</v>
      </c>
      <c r="DD231" s="81">
        <f>IF(ISERROR((DC231/CU231-1)*100),"NA",IF(((DC231/CU231-1)*100)&gt;100,"NM",IF(((DC231/CU231-1)*100)&lt;-50,"NM",(DC231/CU231-1)*100)))</f>
        <v>9.3750000000000213</v>
      </c>
      <c r="DE231" s="242">
        <f>SUM(DE227:DE230)</f>
        <v>273.8</v>
      </c>
      <c r="DF231" s="81">
        <f>IF(ISERROR((DE231/CW231-1)*100),"NA",IF(((DE231/CW231-1)*100)&gt;100,"NM",IF(((DE231/CW231-1)*100)&lt;-50,"NM",(DE231/CW231-1)*100)))</f>
        <v>0.88430361090643395</v>
      </c>
      <c r="DG231" s="242">
        <f>SUM(DG227:DG230)</f>
        <v>277.8</v>
      </c>
      <c r="DH231" s="81">
        <f>IF(ISERROR((DG231/CY231-1)*100),"NA",IF(((DG231/CY231-1)*100)&gt;100,"NM",IF(((DG231/CY231-1)*100)&lt;-50,"NM",(DG231/CY231-1)*100)))</f>
        <v>2.4336283185840468</v>
      </c>
      <c r="DI231" s="242">
        <f>SUM(DI227:DI230)</f>
        <v>284</v>
      </c>
      <c r="DJ231" s="81">
        <f>IF(ISERROR((DI231/DA231-1)*100),"NA",IF(((DI231/DA231-1)*100)&gt;100,"NM",IF(((DI231/DA231-1)*100)&lt;-50,"NM",(DI231/DA231-1)*100)))</f>
        <v>2.7496382054992941</v>
      </c>
      <c r="DK231" s="242">
        <f>SUM(DK227:DK230)</f>
        <v>284.70000000000005</v>
      </c>
      <c r="DL231" s="81">
        <f>IF(ISERROR((DK231/DC231-1)*100),"NA",IF(((DK231/DC231-1)*100)&gt;100,"NM",IF(((DK231/DC231-1)*100)&lt;-50,"NM",(DK231/DC231-1)*100)))</f>
        <v>-3.1632653061224314</v>
      </c>
      <c r="DM231" s="242">
        <f>SUM(DM227:DM230)</f>
        <v>291.60000000000002</v>
      </c>
      <c r="DN231" s="81">
        <f>IF(ISERROR((DM231/DE231-1)*100),"NA",IF(((DM231/DE231-1)*100)&gt;100,"NM",IF(((DM231/DE231-1)*100)&lt;-50,"NM",(DM231/DE231-1)*100)))</f>
        <v>6.5010956902848749</v>
      </c>
      <c r="DO231" s="242">
        <f>SUM(DO227:DO230)</f>
        <v>295.2</v>
      </c>
      <c r="DP231" s="81">
        <f>IF(ISERROR((DO231/DG231-1)*100),"NA",IF(((DO231/DG231-1)*100)&gt;100,"NM",IF(((DO231/DG231-1)*100)&lt;-50,"NM",(DO231/DG231-1)*100)))</f>
        <v>6.2634989200863744</v>
      </c>
      <c r="DQ231" s="242">
        <f>SUM(DQ227:DQ230)</f>
        <v>292.79999999999995</v>
      </c>
      <c r="DR231" s="81">
        <f>IF(ISERROR((DQ231/DI231-1)*100),"NA",IF(((DQ231/DI231-1)*100)&gt;100,"NM",IF(((DQ231/DI231-1)*100)&lt;-50,"NM",(DQ231/DI231-1)*100)))</f>
        <v>3.0985915492957483</v>
      </c>
      <c r="DS231" s="242">
        <f>SUM(DS227:DS230)</f>
        <v>295.39999999999998</v>
      </c>
      <c r="DT231" s="81">
        <f>IF(ISERROR((DS231/DK231-1)*100),"NA",IF(((DS231/DK231-1)*100)&gt;100,"NM",IF(((DS231/DK231-1)*100)&lt;-50,"NM",(DS231/DK231-1)*100)))</f>
        <v>3.7583421145064744</v>
      </c>
      <c r="DU231" s="242">
        <f>SUM(DU227:DU230)</f>
        <v>308.10000000000002</v>
      </c>
      <c r="DV231" s="81">
        <f>IF(ISERROR((DU231/DM231-1)*100),"NA",IF(((DU231/DM231-1)*100)&gt;100,"NM",IF(((DU231/DM231-1)*100)&lt;-50,"NM",(DU231/DM231-1)*100)))</f>
        <v>5.6584362139917799</v>
      </c>
      <c r="DW231" s="242">
        <f>SUM(DW227:DW230)</f>
        <v>309.39999999999998</v>
      </c>
      <c r="DX231" s="81">
        <f>IF(ISERROR((DW231/DO231-1)*100),"NA",IF(((DW231/DO231-1)*100)&gt;100,"NM",IF(((DW231/DO231-1)*100)&lt;-50,"NM",(DW231/DO231-1)*100)))</f>
        <v>4.8102981029810365</v>
      </c>
      <c r="DY231" s="242">
        <f>SUM(DY227:DY230)</f>
        <v>311.60000000000002</v>
      </c>
      <c r="DZ231" s="81">
        <f>IF(ISERROR((DY231/DQ231-1)*100),"NA",IF(((DY231/DQ231-1)*100)&gt;100,"NM",IF(((DY231/DQ231-1)*100)&lt;-50,"NM",(DY231/DQ231-1)*100)))</f>
        <v>6.4207650273224282</v>
      </c>
      <c r="EA231" s="242">
        <f>SUM(EA227:EA230)</f>
        <v>316.5</v>
      </c>
      <c r="EB231" s="81">
        <f>IF(ISERROR((EA231/DS231-1)*100),"NA",IF(((EA231/DS231-1)*100)&gt;100,"NM",IF(((EA231/DS231-1)*100)&lt;-50,"NM",(EA231/DS231-1)*100)))</f>
        <v>7.1428571428571619</v>
      </c>
      <c r="EC231" s="242">
        <f>SUM(EC227:EC230)</f>
        <v>327.29999999999995</v>
      </c>
      <c r="ED231" s="81">
        <f t="shared" si="726"/>
        <v>6.2317429406036684</v>
      </c>
      <c r="EE231" s="242">
        <f t="shared" ref="EE231:EG231" si="741">SUM(EE227:EE230)</f>
        <v>331.4</v>
      </c>
      <c r="EF231" s="81">
        <f t="shared" si="727"/>
        <v>7.1105365223012251</v>
      </c>
      <c r="EG231" s="242">
        <f t="shared" si="741"/>
        <v>333.29999999999995</v>
      </c>
      <c r="EH231" s="81">
        <f t="shared" si="728"/>
        <v>6.9640564826700668</v>
      </c>
      <c r="EI231" s="242">
        <f t="shared" ref="EI231" si="742">SUM(EI227:EI230)</f>
        <v>352.8</v>
      </c>
      <c r="EJ231" s="81">
        <f t="shared" si="729"/>
        <v>11.469194312796205</v>
      </c>
      <c r="EK231" s="242">
        <f t="shared" ref="EK231:EQ231" si="743">SUM(EK227:EK230)</f>
        <v>349.38787300000001</v>
      </c>
      <c r="EL231" s="81">
        <f t="shared" si="731"/>
        <v>6.7485099297281081</v>
      </c>
      <c r="EM231" s="242">
        <f t="shared" si="743"/>
        <v>356.63188941500005</v>
      </c>
      <c r="EN231" s="81">
        <f t="shared" si="732"/>
        <v>7.6137264378394853</v>
      </c>
      <c r="EO231" s="242">
        <f t="shared" si="743"/>
        <v>364.05876131687506</v>
      </c>
      <c r="EP231" s="81">
        <f t="shared" si="733"/>
        <v>9.2285512501875555</v>
      </c>
      <c r="EQ231" s="242">
        <f t="shared" si="743"/>
        <v>371.61424348655544</v>
      </c>
      <c r="ER231" s="81">
        <f t="shared" si="734"/>
        <v>5.3328354553728641</v>
      </c>
      <c r="ES231" s="138"/>
      <c r="ET231" s="470"/>
      <c r="EU231" s="138"/>
      <c r="EV231" s="139"/>
      <c r="EW231" s="140"/>
      <c r="EX231" s="139"/>
      <c r="EY231" s="79"/>
      <c r="EZ231" s="142"/>
      <c r="FA231" s="79"/>
      <c r="FB231" s="242">
        <f>SUM(FB227:FB230)</f>
        <v>560.5</v>
      </c>
      <c r="FC231" s="79" t="str">
        <f>IF(ISERROR((FB231/EZ231-1)*100),"NA",IF(((FB231/EZ231-1)*100)&gt;100,"NM",IF(((FB231/EZ231-1)*100)&lt;-50,"NM",(FB231/EZ231-1)*100)))</f>
        <v>NA</v>
      </c>
      <c r="FD231" s="242">
        <f>SUM(FD227:FD230)</f>
        <v>582.5</v>
      </c>
      <c r="FE231" s="79">
        <f>IF(ISERROR((FD231/FB231-1)*100),"NA",IF(((FD231/FB231-1)*100)&gt;100,"NM",IF(((FD231/FB231-1)*100)&lt;-50,"NM",(FD231/FB231-1)*100)))</f>
        <v>3.9250669045495012</v>
      </c>
      <c r="FF231" s="242">
        <f>SUM(FF227:FF230)</f>
        <v>639.29999999999995</v>
      </c>
      <c r="FG231" s="79">
        <f>IF(ISERROR((FF231/FD231-1)*100),"NA",IF(((FF231/FD231-1)*100)&gt;100,"NM",IF(((FF231/FD231-1)*100)&lt;-50,"NM",(FF231/FD231-1)*100)))</f>
        <v>9.7510729613733851</v>
      </c>
      <c r="FH231" s="242">
        <f>SUM(FH227:FH230)</f>
        <v>682.19999999999993</v>
      </c>
      <c r="FI231" s="79">
        <f>IF(ISERROR((FH231/FF231-1)*100),"NA",IF(((FH231/FF231-1)*100)&gt;100,"NM",IF(((FH231/FF231-1)*100)&lt;-50,"NM",(FH231/FF231-1)*100)))</f>
        <v>6.7104645706241195</v>
      </c>
      <c r="FJ231" s="242">
        <f>SUM(FJ227:FJ230)</f>
        <v>719.30000000000007</v>
      </c>
      <c r="FK231" s="79">
        <f>IF(ISERROR((FJ231/FH231-1)*100),"NA",IF(((FJ231/FH231-1)*100)&gt;100,"NM",IF(((FJ231/FH231-1)*100)&lt;-50,"NM",(FJ231/FH231-1)*100)))</f>
        <v>5.4382878921137801</v>
      </c>
      <c r="FL231" s="242">
        <f>SUM(FL227:FL230)</f>
        <v>738.09999999999991</v>
      </c>
      <c r="FM231" s="79">
        <f>IF(ISERROR((FL231/FJ231-1)*100),"NA",IF(((FL231/FJ231-1)*100)&gt;100,"NM",IF(((FL231/FJ231-1)*100)&lt;-50,"NM",(FL231/FJ231-1)*100)))</f>
        <v>2.613652161823965</v>
      </c>
      <c r="FN231" s="242">
        <f>SUM(FN227:FN230)</f>
        <v>762.2</v>
      </c>
      <c r="FO231" s="79">
        <f>IF(ISERROR((FN231/FL231-1)*100),"NA",IF(((FN231/FL231-1)*100)&gt;100,"NM",IF(((FN231/FL231-1)*100)&lt;-50,"NM",(FN231/FL231-1)*100)))</f>
        <v>3.2651402249017858</v>
      </c>
      <c r="FP231" s="242">
        <f>SUM(FP227:FP230)</f>
        <v>815.3</v>
      </c>
      <c r="FQ231" s="79">
        <f>IF(ISERROR((FP231/FN231-1)*100),"NA",IF(((FP231/FN231-1)*100)&gt;100,"NM",IF(((FP231/FN231-1)*100)&lt;-50,"NM",(FP231/FN231-1)*100)))</f>
        <v>6.9666754132773345</v>
      </c>
      <c r="FR231" s="242">
        <f>SUM(FR227:FR230)</f>
        <v>860.8</v>
      </c>
      <c r="FS231" s="79">
        <f>IF(ISERROR((FR231/FP231-1)*100),"NA",IF(((FR231/FP231-1)*100)&gt;100,"NM",IF(((FR231/FP231-1)*100)&lt;-50,"NM",(FR231/FP231-1)*100)))</f>
        <v>5.5807678155280316</v>
      </c>
      <c r="FT231" s="242">
        <f>SUM(FT227:FT230)</f>
        <v>929.2</v>
      </c>
      <c r="FU231" s="79">
        <f>IF(ISERROR((FT231/FR231-1)*100),"NA",IF(((FT231/FR231-1)*100)&gt;100,"NM",IF(((FT231/FR231-1)*100)&lt;-50,"NM",(FT231/FR231-1)*100)))</f>
        <v>7.9460966542751033</v>
      </c>
      <c r="FV231" s="242">
        <f>SUM(FV227:FV230)</f>
        <v>998.09999999999991</v>
      </c>
      <c r="FW231" s="79">
        <f>IF(ISERROR((FV231/FT231-1)*100),"NA",IF(((FV231/FT231-1)*100)&gt;100,"NM",IF(((FV231/FT231-1)*100)&lt;-50,"NM",(FV231/FT231-1)*100)))</f>
        <v>7.4149806284976139</v>
      </c>
      <c r="FX231" s="242">
        <f>SUM(FX227:FX230)</f>
        <v>1059.1000000000001</v>
      </c>
      <c r="FY231" s="79">
        <f>IF(ISERROR((FX231/FV231-1)*100),"NA",IF(((FX231/FV231-1)*100)&gt;100,"NM",IF(((FX231/FV231-1)*100)&lt;-50,"NM",(FX231/FV231-1)*100)))</f>
        <v>6.1116120629195692</v>
      </c>
      <c r="FZ231" s="242">
        <f>SUM(FZ227:FZ230)</f>
        <v>1113</v>
      </c>
      <c r="GA231" s="79">
        <f>IF(ISERROR((FZ231/FX231-1)*100),"NA",IF(((FZ231/FX231-1)*100)&gt;100,"NM",IF(((FZ231/FX231-1)*100)&lt;-50,"NM",(FZ231/FX231-1)*100)))</f>
        <v>5.0892267019167159</v>
      </c>
      <c r="GB231" s="242">
        <f>SUM(GB227:GB230)</f>
        <v>1120.3000000000002</v>
      </c>
      <c r="GC231" s="79">
        <f>IF(ISERROR((GB231/FZ231-1)*100),"NA",IF(((GB231/FZ231-1)*100)&gt;100,"NM",IF(((GB231/FZ231-1)*100)&lt;-50,"NM",(GB231/FZ231-1)*100)))</f>
        <v>0.65588499550766066</v>
      </c>
      <c r="GD231" s="242">
        <f>SUM(GD227:GD230)</f>
        <v>1175</v>
      </c>
      <c r="GE231" s="79">
        <f>IF(ISERROR((GD231/GB231-1)*100),"NA",IF(((GD231/GB231-1)*100)&gt;100,"NM",IF(((GD231/GB231-1)*100)&lt;-50,"NM",(GD231/GB231-1)*100)))</f>
        <v>4.8826207265910693</v>
      </c>
      <c r="GF231" s="242">
        <f>SUM(GF227:GF230)</f>
        <v>1245.5999999999999</v>
      </c>
      <c r="GG231" s="79">
        <f>IF(ISERROR((GF231/GD231-1)*100),"NA",IF(((GF231/GD231-1)*100)&gt;100,"NM",IF(((GF231/GD231-1)*100)&lt;-50,"NM",(GF231/GD231-1)*100)))</f>
        <v>6.0085106382978593</v>
      </c>
      <c r="GH231" s="242">
        <f>SUM(GH227:GH230)</f>
        <v>1344.8</v>
      </c>
      <c r="GI231" s="79">
        <f>IF(ISERROR((GH231/GF231-1)*100),"NA",IF(((GH231/GF231-1)*100)&gt;100,"NM",IF(((GH231/GF231-1)*100)&lt;-50,"NM",(GH231/GF231-1)*100)))</f>
        <v>7.9640333975594224</v>
      </c>
      <c r="GJ231" s="242">
        <f>SUM(GJ227:GJ230)</f>
        <v>1441.6927672184306</v>
      </c>
      <c r="GK231" s="79">
        <f>IF(ISERROR((GJ231/GH231-1)*100),"NA",IF(((GJ231/GH231-1)*100)&gt;100,"NM",IF(((GJ231/GH231-1)*100)&lt;-50,"NM",(GJ231/GH231-1)*100)))</f>
        <v>7.204994587926139</v>
      </c>
      <c r="GL231" s="242">
        <f>SUM(GL227:GL230)</f>
        <v>1473.8140799028768</v>
      </c>
      <c r="GM231" s="79">
        <f>IF(ISERROR((GL231/GJ231-1)*100),"NA",IF(((GL231/GJ231-1)*100)&gt;100,"NM",IF(((GL231/GJ231-1)*100)&lt;-50,"NM",(GL231/GJ231-1)*100)))</f>
        <v>2.2280275947017758</v>
      </c>
      <c r="GN231" s="242">
        <f>SUM(GN227:GN230)</f>
        <v>1503.3015700719343</v>
      </c>
      <c r="GO231" s="79">
        <f>IF(ISERROR((GN231/GL231-1)*100),"NA",IF(((GN231/GL231-1)*100)&gt;100,"NM",IF(((GN231/GL231-1)*100)&lt;-50,"NM",(GN231/GL231-1)*100)))</f>
        <v>2.0007605145827334</v>
      </c>
      <c r="GP231" s="242">
        <f>SUM(GP227:GP230)</f>
        <v>1531.6749085870947</v>
      </c>
      <c r="GQ231" s="79">
        <f>IF(ISERROR((GP231/GN231-1)*100),"NA",IF(((GP231/GN231-1)*100)&gt;100,"NM",IF(((GP231/GN231-1)*100)&lt;-50,"NM",(GP231/GN231-1)*100)))</f>
        <v>1.8874016418277684</v>
      </c>
      <c r="GR231" s="242">
        <f>SUM(GR227:GR230)</f>
        <v>1562.3212394517745</v>
      </c>
      <c r="GS231" s="79">
        <f>IF(ISERROR((GR231/GP231-1)*100),"NA",IF(((GR231/GP231-1)*100)&gt;100,"NM",IF(((GR231/GP231-1)*100)&lt;-50,"NM",(GR231/GP231-1)*100)))</f>
        <v>2.0008378209283251</v>
      </c>
      <c r="GT231" s="79">
        <f>IF(ISERROR(((GR231/GH231)^0.2-1)*100),"NA",(IF(OR(((GR231/GH231)^0.2-1)*100&gt;99,((GR231/GH231)^0.2-1)*100&lt;-50),"NM",(((GR231/GH231)^0.2-1)*100))))</f>
        <v>3.0439569022486568</v>
      </c>
      <c r="GU231" s="562"/>
      <c r="GV231" s="562"/>
      <c r="GW231"/>
      <c r="GX231"/>
      <c r="GY231"/>
      <c r="GZ231"/>
      <c r="HA231"/>
      <c r="HB231"/>
      <c r="HC231" s="562"/>
      <c r="HD231" s="562"/>
      <c r="HE231" s="562"/>
      <c r="HF231" s="562"/>
      <c r="HG231" s="562"/>
      <c r="HH231" s="562"/>
      <c r="HI231" s="562"/>
      <c r="HJ231" s="562"/>
      <c r="HK231" s="562"/>
      <c r="HL231" s="562"/>
      <c r="HM231" s="562"/>
      <c r="HN231" s="562"/>
      <c r="HO231" s="562"/>
      <c r="HP231" s="562"/>
      <c r="HQ231" s="562"/>
      <c r="HR231" s="562"/>
      <c r="HS231" s="562"/>
      <c r="HT231" s="562"/>
      <c r="HU231" s="562"/>
      <c r="HV231" s="562"/>
      <c r="HW231" s="562"/>
      <c r="HX231" s="562"/>
      <c r="HY231" s="562"/>
      <c r="HZ231" s="562"/>
      <c r="IA231" s="562"/>
      <c r="IB231" s="562"/>
      <c r="IC231" s="562"/>
      <c r="ID231" s="562"/>
      <c r="IE231" s="562"/>
      <c r="IF231" s="562"/>
      <c r="IG231" s="562"/>
      <c r="IH231" s="562"/>
      <c r="II231" s="562"/>
      <c r="IJ231" s="562"/>
      <c r="IK231" s="562"/>
      <c r="IL231" s="562"/>
      <c r="IM231" s="562"/>
      <c r="IN231" s="562"/>
      <c r="IO231" s="562"/>
      <c r="IP231" s="562"/>
      <c r="IQ231" s="562"/>
      <c r="IR231" s="562"/>
      <c r="IS231" s="562"/>
      <c r="IT231" s="562"/>
      <c r="IU231" s="562"/>
      <c r="IV231" s="562"/>
      <c r="IW231" s="562"/>
      <c r="IX231" s="562"/>
      <c r="IY231" s="562"/>
      <c r="IZ231" s="562"/>
      <c r="JA231" s="562"/>
      <c r="JB231" s="562"/>
      <c r="JC231" s="562"/>
      <c r="JD231" s="562"/>
      <c r="JE231" s="562"/>
      <c r="JF231" s="562"/>
      <c r="JG231" s="562"/>
      <c r="JH231" s="562"/>
      <c r="JI231" s="562"/>
      <c r="JJ231" s="562"/>
      <c r="JK231" s="562"/>
      <c r="JL231" s="562"/>
      <c r="JM231" s="562"/>
      <c r="JN231" s="562"/>
      <c r="JO231" s="562"/>
      <c r="JP231" s="562"/>
      <c r="JQ231" s="562"/>
      <c r="JR231" s="562"/>
      <c r="JS231" s="562"/>
      <c r="JT231" s="562"/>
      <c r="JU231" s="562"/>
      <c r="JV231" s="562"/>
      <c r="JW231" s="562"/>
      <c r="JX231" s="562"/>
      <c r="JY231" s="562"/>
      <c r="JZ231" s="562"/>
    </row>
    <row r="232" spans="1:286" s="249" customFormat="1" ht="12.75" customHeight="1" x14ac:dyDescent="0.2">
      <c r="A232" s="248"/>
      <c r="B232" s="10"/>
      <c r="C232" s="79"/>
      <c r="D232" s="79"/>
      <c r="E232" s="95"/>
      <c r="F232" s="95"/>
      <c r="G232" s="95"/>
      <c r="H232" s="95"/>
      <c r="I232" s="95"/>
      <c r="J232" s="95"/>
      <c r="K232" s="95"/>
      <c r="L232" s="79"/>
      <c r="M232" s="95"/>
      <c r="N232" s="79"/>
      <c r="O232" s="95"/>
      <c r="P232" s="79"/>
      <c r="Q232" s="95"/>
      <c r="R232" s="79"/>
      <c r="S232" s="95"/>
      <c r="T232" s="79"/>
      <c r="U232" s="95"/>
      <c r="V232" s="79"/>
      <c r="W232" s="95"/>
      <c r="X232" s="79"/>
      <c r="Y232" s="95"/>
      <c r="Z232" s="79"/>
      <c r="AA232" s="126"/>
      <c r="AB232" s="79"/>
      <c r="AC232" s="95"/>
      <c r="AD232" s="79"/>
      <c r="AE232" s="95"/>
      <c r="AF232" s="79"/>
      <c r="AG232" s="95"/>
      <c r="AH232" s="79"/>
      <c r="AI232" s="95"/>
      <c r="AJ232" s="79"/>
      <c r="AK232" s="95"/>
      <c r="AL232" s="79"/>
      <c r="AM232" s="95"/>
      <c r="AN232" s="79"/>
      <c r="AO232" s="95"/>
      <c r="AP232" s="79"/>
      <c r="AQ232" s="95"/>
      <c r="AR232" s="79"/>
      <c r="AS232" s="95"/>
      <c r="AT232" s="81"/>
      <c r="AU232" s="95"/>
      <c r="AV232" s="81"/>
      <c r="AW232" s="95"/>
      <c r="AX232" s="81"/>
      <c r="AY232" s="95"/>
      <c r="AZ232" s="81"/>
      <c r="BA232" s="95"/>
      <c r="BB232" s="81"/>
      <c r="BC232" s="95"/>
      <c r="BD232" s="81"/>
      <c r="BE232" s="95"/>
      <c r="BF232" s="81"/>
      <c r="BG232" s="95"/>
      <c r="BH232" s="81"/>
      <c r="BI232" s="95"/>
      <c r="BJ232" s="81"/>
      <c r="BK232" s="95"/>
      <c r="BL232" s="81"/>
      <c r="BM232" s="95"/>
      <c r="BN232" s="81"/>
      <c r="BO232" s="95"/>
      <c r="BP232" s="81"/>
      <c r="BQ232" s="95"/>
      <c r="BR232" s="81"/>
      <c r="BS232" s="95"/>
      <c r="BT232" s="81"/>
      <c r="BU232" s="95"/>
      <c r="BV232" s="81"/>
      <c r="BW232" s="95"/>
      <c r="BX232" s="81"/>
      <c r="BY232" s="95"/>
      <c r="BZ232" s="81"/>
      <c r="CA232" s="95"/>
      <c r="CB232" s="81"/>
      <c r="CC232" s="95"/>
      <c r="CD232" s="81"/>
      <c r="CE232" s="95"/>
      <c r="CF232" s="81"/>
      <c r="CG232" s="95"/>
      <c r="CH232" s="81"/>
      <c r="CI232" s="95"/>
      <c r="CJ232" s="81"/>
      <c r="CK232" s="95"/>
      <c r="CL232" s="81"/>
      <c r="CM232" s="95"/>
      <c r="CN232" s="81"/>
      <c r="CO232" s="95"/>
      <c r="CP232" s="81"/>
      <c r="CQ232" s="95"/>
      <c r="CR232" s="81"/>
      <c r="CS232" s="95"/>
      <c r="CT232" s="81"/>
      <c r="CU232" s="95"/>
      <c r="CV232" s="81"/>
      <c r="CW232" s="95"/>
      <c r="CX232" s="81"/>
      <c r="CY232" s="95"/>
      <c r="CZ232" s="81"/>
      <c r="DA232" s="95"/>
      <c r="DB232" s="81"/>
      <c r="DC232" s="95"/>
      <c r="DD232" s="81"/>
      <c r="DE232" s="95"/>
      <c r="DF232" s="81"/>
      <c r="DG232" s="95"/>
      <c r="DH232" s="81"/>
      <c r="DI232" s="95"/>
      <c r="DJ232" s="81"/>
      <c r="DK232" s="95"/>
      <c r="DL232" s="81"/>
      <c r="DM232" s="95"/>
      <c r="DN232" s="81"/>
      <c r="DO232" s="95"/>
      <c r="DP232" s="81"/>
      <c r="DQ232" s="95"/>
      <c r="DR232" s="81"/>
      <c r="DS232" s="95"/>
      <c r="DT232" s="81"/>
      <c r="DU232" s="95"/>
      <c r="DV232" s="81"/>
      <c r="DW232" s="95"/>
      <c r="DX232" s="81"/>
      <c r="DY232" s="95"/>
      <c r="DZ232" s="81"/>
      <c r="EA232" s="95"/>
      <c r="EB232" s="81"/>
      <c r="EC232" s="95"/>
      <c r="ED232" s="81"/>
      <c r="EE232" s="95"/>
      <c r="EF232" s="81"/>
      <c r="EG232" s="95"/>
      <c r="EH232" s="81"/>
      <c r="EI232" s="95"/>
      <c r="EJ232" s="81"/>
      <c r="EK232" s="95"/>
      <c r="EL232" s="81"/>
      <c r="EM232" s="95"/>
      <c r="EN232" s="81"/>
      <c r="EO232" s="95"/>
      <c r="EP232" s="81"/>
      <c r="EQ232" s="95"/>
      <c r="ER232" s="81"/>
      <c r="ES232" s="129"/>
      <c r="ET232" s="469"/>
      <c r="EU232" s="129"/>
      <c r="EV232" s="95"/>
      <c r="EW232" s="79"/>
      <c r="EX232" s="95"/>
      <c r="EY232" s="79"/>
      <c r="EZ232" s="145"/>
      <c r="FA232" s="79"/>
      <c r="FB232" s="35"/>
      <c r="FC232" s="79"/>
      <c r="FD232" s="75"/>
      <c r="FE232" s="79"/>
      <c r="FF232" s="251"/>
      <c r="FG232" s="79"/>
      <c r="FH232" s="251"/>
      <c r="FI232" s="79"/>
      <c r="FJ232" s="251"/>
      <c r="FK232" s="79"/>
      <c r="FL232" s="93"/>
      <c r="FM232" s="79"/>
      <c r="FN232" s="93"/>
      <c r="FO232" s="79"/>
      <c r="FP232" s="93"/>
      <c r="FQ232" s="79"/>
      <c r="FR232" s="95"/>
      <c r="FS232" s="79"/>
      <c r="FT232" s="95"/>
      <c r="FU232" s="79"/>
      <c r="FV232" s="95"/>
      <c r="FW232" s="79"/>
      <c r="FX232" s="95"/>
      <c r="FY232" s="79"/>
      <c r="FZ232" s="95"/>
      <c r="GA232" s="79"/>
      <c r="GB232" s="95"/>
      <c r="GC232" s="79"/>
      <c r="GD232" s="95"/>
      <c r="GE232" s="79"/>
      <c r="GF232" s="95"/>
      <c r="GG232" s="79"/>
      <c r="GH232" s="95"/>
      <c r="GI232" s="79"/>
      <c r="GJ232" s="95"/>
      <c r="GK232" s="79"/>
      <c r="GL232" s="95"/>
      <c r="GM232" s="79"/>
      <c r="GN232" s="95"/>
      <c r="GO232" s="79"/>
      <c r="GP232" s="95"/>
      <c r="GQ232" s="79"/>
      <c r="GR232" s="95"/>
      <c r="GS232" s="79"/>
      <c r="GT232" s="79"/>
      <c r="GU232" s="562"/>
      <c r="GV232" s="562"/>
      <c r="GW232"/>
      <c r="GX232"/>
      <c r="GY232"/>
      <c r="GZ232"/>
      <c r="HA232"/>
      <c r="HB232"/>
      <c r="HC232" s="562"/>
      <c r="HD232" s="562"/>
      <c r="HE232" s="562"/>
      <c r="HF232" s="562"/>
      <c r="HG232" s="562"/>
      <c r="HH232" s="562"/>
      <c r="HI232" s="562"/>
      <c r="HJ232" s="562"/>
      <c r="HK232" s="562"/>
      <c r="HL232" s="562"/>
      <c r="HM232" s="562"/>
      <c r="HN232" s="562"/>
      <c r="HO232" s="562"/>
      <c r="HP232" s="562"/>
      <c r="HQ232" s="562"/>
      <c r="HR232" s="562"/>
      <c r="HS232" s="562"/>
      <c r="HT232" s="562"/>
      <c r="HU232" s="562"/>
      <c r="HV232" s="562"/>
      <c r="HW232" s="562"/>
      <c r="HX232" s="562"/>
      <c r="HY232" s="562"/>
      <c r="HZ232" s="562"/>
      <c r="IA232" s="562"/>
      <c r="IB232" s="562"/>
      <c r="IC232" s="562"/>
      <c r="ID232" s="562"/>
      <c r="IE232" s="562"/>
      <c r="IF232" s="562"/>
      <c r="IG232" s="562"/>
      <c r="IH232" s="562"/>
      <c r="II232" s="562"/>
      <c r="IJ232" s="562"/>
      <c r="IK232" s="562"/>
      <c r="IL232" s="562"/>
      <c r="IM232" s="562"/>
      <c r="IN232" s="562"/>
      <c r="IO232" s="562"/>
      <c r="IP232" s="562"/>
      <c r="IQ232" s="562"/>
      <c r="IR232" s="562"/>
      <c r="IS232" s="562"/>
      <c r="IT232" s="562"/>
      <c r="IU232" s="562"/>
      <c r="IV232" s="562"/>
      <c r="IW232" s="562"/>
      <c r="IX232" s="562"/>
      <c r="IY232" s="562"/>
      <c r="IZ232" s="562"/>
      <c r="JA232" s="562"/>
      <c r="JB232" s="562"/>
      <c r="JC232" s="562"/>
      <c r="JD232" s="562"/>
      <c r="JE232" s="562"/>
      <c r="JF232" s="562"/>
      <c r="JG232" s="562"/>
      <c r="JH232" s="562"/>
      <c r="JI232" s="562"/>
      <c r="JJ232" s="562"/>
      <c r="JK232" s="562"/>
      <c r="JL232" s="562"/>
      <c r="JM232" s="562"/>
      <c r="JN232" s="562"/>
      <c r="JO232" s="562"/>
      <c r="JP232" s="562"/>
      <c r="JQ232" s="562"/>
      <c r="JR232" s="562"/>
      <c r="JS232" s="562"/>
      <c r="JT232" s="562"/>
      <c r="JU232" s="562"/>
      <c r="JV232" s="562"/>
      <c r="JW232" s="562"/>
      <c r="JX232" s="562"/>
      <c r="JY232" s="562"/>
      <c r="JZ232" s="562"/>
    </row>
    <row r="233" spans="1:286" ht="12.75" customHeight="1" x14ac:dyDescent="0.2">
      <c r="A233" s="1"/>
      <c r="B233" s="10" t="s">
        <v>92</v>
      </c>
      <c r="C233" s="79"/>
      <c r="D233" s="79"/>
      <c r="E233" s="185">
        <f>+E227/E221*100</f>
        <v>56.721311475409841</v>
      </c>
      <c r="F233" s="185"/>
      <c r="G233" s="185">
        <f>+G227/G221*100</f>
        <v>56.966145833333336</v>
      </c>
      <c r="H233" s="185"/>
      <c r="I233" s="185">
        <f>+I227/I221*100</f>
        <v>56.756756756756758</v>
      </c>
      <c r="J233" s="185"/>
      <c r="K233" s="185">
        <f>+K227/K221*100</f>
        <v>55.984042553191493</v>
      </c>
      <c r="L233" s="79"/>
      <c r="M233" s="185">
        <f>+M227/M221*100</f>
        <v>55.27831094049904</v>
      </c>
      <c r="N233" s="79">
        <f>IF(ISERROR((M233/E233-1)*100),"NA",IF(((M233/E233-1)*100)&gt;100,"NM",IF(((M233/E233-1)*100)&lt;-50,"NM",(M233/E233-1)*100)))</f>
        <v>-2.5440182840912984</v>
      </c>
      <c r="O233" s="185">
        <f>+O227/O221*100</f>
        <v>55.591054313099043</v>
      </c>
      <c r="P233" s="79">
        <f>IF(ISERROR((O233/G233-1)*100),"NA",IF(((O233/G233-1)*100)&gt;100,"NM",IF(((O233/G233-1)*100)&lt;-50,"NM",(O233/G233-1)*100)))</f>
        <v>-2.4138749429484241</v>
      </c>
      <c r="Q233" s="185">
        <f>+Q227/Q221*100</f>
        <v>56.929770043505279</v>
      </c>
      <c r="R233" s="79">
        <f>IF(ISERROR((Q233/I233-1)*100),"NA",IF(((Q233/I233-1)*100)&gt;100,"NM",IF(((Q233/I233-1)*100)&lt;-50,"NM",(Q233/I233-1)*100)))</f>
        <v>0.30483293379501841</v>
      </c>
      <c r="S233" s="185">
        <f>+S227/S221*100</f>
        <v>56.564417177914116</v>
      </c>
      <c r="T233" s="79">
        <f>IF(ISERROR((S233/K233-1)*100),"NA",IF(((S233/K233-1)*100)&gt;100,"NM",IF(((S233/K233-1)*100)&lt;-50,"NM",(S233/K233-1)*100)))</f>
        <v>1.0366786645876758</v>
      </c>
      <c r="U233" s="185">
        <f>+U227/U221*100</f>
        <v>56.330597889800707</v>
      </c>
      <c r="V233" s="79">
        <f>IF(ISERROR((U233/M233-1)*100),"NA",IF(((U233/M233-1)*100)&gt;100,"NM",IF(((U233/M233-1)*100)&lt;-50,"NM",(U233/M233-1)*100)))</f>
        <v>1.9036163214797508</v>
      </c>
      <c r="W233" s="185">
        <f>+W227/W221*100</f>
        <v>56.843331391962728</v>
      </c>
      <c r="X233" s="79">
        <f>IF(ISERROR((W233/O233-1)*100),"NA",IF(((W233/O233-1)*100)&gt;100,"NM",IF(((W233/O233-1)*100)&lt;-50,"NM",(W233/O233-1)*100)))</f>
        <v>2.252659343013419</v>
      </c>
      <c r="Y233" s="185">
        <f>+Y227/Y221*100</f>
        <v>56.321839080459768</v>
      </c>
      <c r="Z233" s="79">
        <f>IF(ISERROR((Y233/Q233-1)*100),"NA",IF(((Y233/Q233-1)*100)&gt;100,"NM",IF(((Y233/Q233-1)*100)&lt;-50,"NM",(Y233/Q233-1)*100)))</f>
        <v>-1.0678612658736153</v>
      </c>
      <c r="AA233" s="252">
        <f>+AA227/AA221*100</f>
        <v>58.521444695259596</v>
      </c>
      <c r="AB233" s="79">
        <f>IF(ISERROR((AA233/S233-1)*100),"NA",IF(((AA233/S233-1)*100)&gt;100,"NM",IF(((AA233/S233-1)*100)&lt;-50,"NM",(AA233/S233-1)*100)))</f>
        <v>3.459820882074971</v>
      </c>
      <c r="AC233" s="185">
        <f>+AC227/AC221*100</f>
        <v>55.494202098288234</v>
      </c>
      <c r="AD233" s="79">
        <f>IF(ISERROR((AC233/U233-1)*100),"NA",IF(((AC233/U233-1)*100)&gt;100,"NM",IF(((AC233/U233-1)*100)&lt;-50,"NM",(AC233/U233-1)*100)))</f>
        <v>-1.4847983562125688</v>
      </c>
      <c r="AE233" s="185">
        <f>+AE227/AE221*100</f>
        <v>55.217391304347821</v>
      </c>
      <c r="AF233" s="79">
        <f>IF(ISERROR((AE233/W233-1)*100),"NA",IF(((AE233/W233-1)*100)&gt;100,"NM",IF(((AE233/W233-1)*100)&lt;-50,"NM",(AE233/W233-1)*100)))</f>
        <v>-2.8603884533143442</v>
      </c>
      <c r="AG233" s="185">
        <f>+AG227/AG221*100</f>
        <v>55.096566523605148</v>
      </c>
      <c r="AH233" s="79">
        <f>IF(ISERROR((AG233/Y233-1)*100),"NA",IF(((AG233/Y233-1)*100)&gt;100,"NM",IF(((AG233/Y233-1)*100)&lt;-50,"NM",(AG233/Y233-1)*100)))</f>
        <v>-2.1754839274765736</v>
      </c>
      <c r="AI233" s="185">
        <f>+AI227/AI221*100</f>
        <v>54.617414248021113</v>
      </c>
      <c r="AJ233" s="79">
        <f>IF(ISERROR((AI233/AA233-1)*100),"NA",IF(((AI233/AA233-1)*100)&gt;100,"NM",IF(((AI233/AA233-1)*100)&lt;-50,"NM",(AI233/AA233-1)*100)))</f>
        <v>-6.6711108510188915</v>
      </c>
      <c r="AK233" s="185">
        <f>+AK227/AK221*100</f>
        <v>53.798449612403097</v>
      </c>
      <c r="AL233" s="79">
        <f>IF(ISERROR((AK233/AC233-1)*100),"NA",IF(((AK233/AC233-1)*100)&gt;100,"NM",IF(((AK233/AC233-1)*100)&lt;-50,"NM",(AK233/AC233-1)*100)))</f>
        <v>-3.0557291064059577</v>
      </c>
      <c r="AM233" s="185">
        <f>+AM227/AM221*100</f>
        <v>53.783231083844584</v>
      </c>
      <c r="AN233" s="79">
        <f>IF(ISERROR((AM233/AE233-1)*100),"NA",IF(((AM233/AE233-1)*100)&gt;100,"NM",IF(((AM233/AE233-1)*100)&lt;-50,"NM",(AM233/AE233-1)*100)))</f>
        <v>-2.5972980371318455</v>
      </c>
      <c r="AO233" s="185">
        <f>+AO227/AO221*100</f>
        <v>55.927051671732521</v>
      </c>
      <c r="AP233" s="79">
        <f>IF(ISERROR((AO233/AG233-1)*100),"NA",IF(((AO233/AG233-1)*100)&gt;100,"NM",IF(((AO233/AG233-1)*100)&lt;-50,"NM",(AO233/AG233-1)*100)))</f>
        <v>1.5073265005933978</v>
      </c>
      <c r="AQ233" s="185">
        <f>+AQ227/AQ221*100</f>
        <v>56.608478802992522</v>
      </c>
      <c r="AR233" s="79">
        <f>IF(ISERROR((AQ233/AI233-1)*100),"NA",IF(((AQ233/AI233-1)*100)&gt;100,"NM",IF(((AQ233/AI233-1)*100)&lt;-50,"NM",(AQ233/AI233-1)*100)))</f>
        <v>3.6454756827737356</v>
      </c>
      <c r="AS233" s="185">
        <f>+AS227/AS221*100</f>
        <v>52.073050345508385</v>
      </c>
      <c r="AT233" s="81">
        <f>IF(ISERROR((AS233/AK233-1)*100),"NA",IF(((AS233/AK233-1)*100)&gt;100,"NM",IF(((AS233/AK233-1)*100)&lt;-50,"NM",(AS233/AK233-1)*100)))</f>
        <v>-3.2071542569080402</v>
      </c>
      <c r="AU233" s="185">
        <f>+AU227/AU221*100</f>
        <v>52.696897374701678</v>
      </c>
      <c r="AV233" s="81">
        <f>IF(ISERROR((AU233/AM233-1)*100),"NA",IF(((AU233/AM233-1)*100)&gt;100,"NM",IF(((AU233/AM233-1)*100)&lt;-50,"NM",(AU233/AM233-1)*100)))</f>
        <v>-2.0198372006497323</v>
      </c>
      <c r="AW233" s="185">
        <f>+AW227/AW221*100</f>
        <v>52.631578947368418</v>
      </c>
      <c r="AX233" s="81">
        <f>IF(ISERROR((AW233/AO233-1)*100),"NA",IF(((AW233/AO233-1)*100)&gt;100,"NM",IF(((AW233/AO233-1)*100)&lt;-50,"NM",(AW233/AO233-1)*100)))</f>
        <v>-5.8924485125858128</v>
      </c>
      <c r="AY233" s="185">
        <f>+AY227/AY221*100</f>
        <v>52.255985267035001</v>
      </c>
      <c r="AZ233" s="81">
        <f>IF(ISERROR((AY233/AQ233-1)*100),"NA",IF(((AY233/AQ233-1)*100)&gt;100,"NM",IF(((AY233/AQ233-1)*100)&lt;-50,"NM",(AY233/AQ233-1)*100)))</f>
        <v>-7.6887661141804671</v>
      </c>
      <c r="BA233" s="185">
        <f>+BA227/BA221*100</f>
        <v>49.239033124440461</v>
      </c>
      <c r="BB233" s="81">
        <f>IF(ISERROR((BA233/AS233-1)*100),"NA",IF(((BA233/AS233-1)*100)&gt;100,"NM",IF(((BA233/AS233-1)*100)&lt;-50,"NM",(BA233/AS233-1)*100)))</f>
        <v>-5.4423875733493947</v>
      </c>
      <c r="BC233" s="185">
        <f>+BC227/BC221*100</f>
        <v>47.153024911032027</v>
      </c>
      <c r="BD233" s="81">
        <f>IF(ISERROR((BC233/AU233-1)*100),"NA",IF(((BC233/AU233-1)*100)&gt;100,"NM",IF(((BC233/AU233-1)*100)&lt;-50,"NM",(BC233/AU233-1)*100)))</f>
        <v>-10.52030145959051</v>
      </c>
      <c r="BE233" s="185">
        <f>+BE227/BE221*100</f>
        <v>48.634361233480178</v>
      </c>
      <c r="BF233" s="81">
        <f>IF(ISERROR((BE233/AW233-1)*100),"NA",IF(((BE233/AW233-1)*100)&gt;100,"NM",IF(((BE233/AW233-1)*100)&lt;-50,"NM",(BE233/AW233-1)*100)))</f>
        <v>-7.5947136563876523</v>
      </c>
      <c r="BG233" s="185">
        <f>+BG227/BG221*100</f>
        <v>48.017241379310349</v>
      </c>
      <c r="BH233" s="81">
        <f>IF(ISERROR((BG233/AY233-1)*100),"NA",IF(((BG233/AY233-1)*100)&gt;100,"NM",IF(((BG233/AY233-1)*100)&lt;-50,"NM",(BG233/AY233-1)*100)))</f>
        <v>-8.1114993164210993</v>
      </c>
      <c r="BI233" s="185">
        <f>+BI227/BI221*100</f>
        <v>47.212978369384359</v>
      </c>
      <c r="BJ233" s="81">
        <f>IF(ISERROR((BI233/BA233-1)*100),"NA",IF(((BI233/BA233-1)*100)&gt;100,"NM",IF(((BI233/BA233-1)*100)&lt;-50,"NM",(BI233/BA233-1)*100)))</f>
        <v>-4.114733020723027</v>
      </c>
      <c r="BK233" s="185">
        <f>+BK227/BK221*100</f>
        <v>46.908491343775758</v>
      </c>
      <c r="BL233" s="81">
        <f>IF(ISERROR((BK233/BC233-1)*100),"NA",IF(((BK233/BC233-1)*100)&gt;100,"NM",IF(((BK233/BC233-1)*100)&lt;-50,"NM",(BK233/BC233-1)*100)))</f>
        <v>-0.51859571621895029</v>
      </c>
      <c r="BM233" s="185">
        <f>+BM227/BM221*100</f>
        <v>47.512234910277328</v>
      </c>
      <c r="BN233" s="81">
        <f>IF(ISERROR((BM233/BE233-1)*100),"NA",IF(((BM233/BE233-1)*100)&gt;100,"NM",IF(((BM233/BE233-1)*100)&lt;-50,"NM",(BM233/BE233-1)*100)))</f>
        <v>-2.3072706102087559</v>
      </c>
      <c r="BO233" s="185">
        <f>+BO227/BO221*100</f>
        <v>48.253713368125247</v>
      </c>
      <c r="BP233" s="81">
        <f>IF(ISERROR((BO233/BG233-1)*100),"NA",IF(((BO233/BG233-1)*100)&gt;100,"NM",IF(((BO233/BG233-1)*100)&lt;-50,"NM",(BO233/BG233-1)*100)))</f>
        <v>0.49247308263067335</v>
      </c>
      <c r="BQ233" s="185">
        <f>+BQ227/BQ221*100</f>
        <v>46.290449881610101</v>
      </c>
      <c r="BR233" s="81">
        <f>IF(ISERROR((BQ233/BI233-1)*100),"NA",IF(((BQ233/BI233-1)*100)&gt;100,"NM",IF(((BQ233/BI233-1)*100)&lt;-50,"NM",(BQ233/BI233-1)*100)))</f>
        <v>-1.9539722331359588</v>
      </c>
      <c r="BS233" s="185">
        <f>+BS227/BS221*100</f>
        <v>46.411483253588514</v>
      </c>
      <c r="BT233" s="81">
        <f>IF(ISERROR((BS233/BK233-1)*100),"NA",IF(((BS233/BK233-1)*100)&gt;100,"NM",IF(((BS233/BK233-1)*100)&lt;-50,"NM",(BS233/BK233-1)*100)))</f>
        <v>-1.0595269128244711</v>
      </c>
      <c r="BU233" s="185">
        <f>+BU227/BU221*100</f>
        <v>48.165680473372781</v>
      </c>
      <c r="BV233" s="81">
        <f>IF(ISERROR((BU233/BM233-1)*100),"NA",IF(((BU233/BM233-1)*100)&gt;100,"NM",IF(((BU233/BM233-1)*100)&lt;-50,"NM",(BU233/BM233-1)*100)))</f>
        <v>1.375320618635234</v>
      </c>
      <c r="BW233" s="185">
        <f>+BW227/BW221*100</f>
        <v>48.484848484848484</v>
      </c>
      <c r="BX233" s="81">
        <f>IF(ISERROR((BW233/BO233-1)*100),"NA",IF(((BW233/BO233-1)*100)&gt;100,"NM",IF(((BW233/BO233-1)*100)&lt;-50,"NM",(BW233/BO233-1)*100)))</f>
        <v>0.47899964705289122</v>
      </c>
      <c r="BY233" s="185">
        <f>+BY227/BY221*100</f>
        <v>47.076574877404745</v>
      </c>
      <c r="BZ233" s="81">
        <f>IF(ISERROR((BY233/BQ233-1)*100),"NA",IF(((BY233/BQ233-1)*100)&gt;100,"NM",IF(((BY233/BQ233-1)*100)&lt;-50,"NM",(BY233/BQ233-1)*100)))</f>
        <v>1.6982444495683202</v>
      </c>
      <c r="CA233" s="185">
        <f>+CA227/CA221*100</f>
        <v>48.337691445648119</v>
      </c>
      <c r="CB233" s="81">
        <f>IF(ISERROR((CA233/BS233-1)*100),"NA",IF(((CA233/BS233-1)*100)&gt;100,"NM",IF(((CA233/BS233-1)*100)&lt;-50,"NM",(CA233/BS233-1)*100)))</f>
        <v>4.150283630314</v>
      </c>
      <c r="CC233" s="185">
        <f>+CC227/CC221*100</f>
        <v>49.870033419977723</v>
      </c>
      <c r="CD233" s="81">
        <f>IF(ISERROR((CC233/BU233-1)*100),"NA",IF(((CC233/BU233-1)*100)&gt;100,"NM",IF(((CC233/BU233-1)*100)&lt;-50,"NM",(CC233/BU233-1)*100)))</f>
        <v>3.5385214739095172</v>
      </c>
      <c r="CE233" s="185">
        <f>+CE227/CE221*100</f>
        <v>53.435672514619867</v>
      </c>
      <c r="CF233" s="81">
        <f>IF(ISERROR((CE233/BW233-1)*100),"NA",IF(((CE233/BW233-1)*100)&gt;100,"NM",IF(((CE233/BW233-1)*100)&lt;-50,"NM",(CE233/BW233-1)*100)))</f>
        <v>10.211074561403466</v>
      </c>
      <c r="CG233" s="185">
        <f>+CG227/CG221*100</f>
        <v>51.390870185449359</v>
      </c>
      <c r="CH233" s="81">
        <f>IF(ISERROR((CG233/BY233-1)*100),"NA",IF(((CG233/BY233-1)*100)&gt;100,"NM",IF(((CG233/BY233-1)*100)&lt;-50,"NM",(CG233/BY233-1)*100)))</f>
        <v>9.1644205622005472</v>
      </c>
      <c r="CI233" s="185">
        <f>+CI227/CI221*100</f>
        <v>51.170212765957444</v>
      </c>
      <c r="CJ233" s="81">
        <f>IF(ISERROR((CI233/CA233-1)*100),"NA",IF(((CI233/CA233-1)*100)&gt;100,"NM",IF(((CI233/CA233-1)*100)&lt;-50,"NM",(CI233/CA233-1)*100)))</f>
        <v>5.8598605675951099</v>
      </c>
      <c r="CK233" s="185">
        <f>+CK227/CK221*100</f>
        <v>52.5555163905534</v>
      </c>
      <c r="CL233" s="81">
        <f>IF(ISERROR((CK233/CC233-1)*100),"NA",IF(((CK233/CC233-1)*100)&gt;100,"NM",IF(((CK233/CC233-1)*100)&lt;-50,"NM",(CK233/CC233-1)*100)))</f>
        <v>5.3849632462846575</v>
      </c>
      <c r="CM233" s="185">
        <f>+CM227/CM221*100</f>
        <v>52.524204702627941</v>
      </c>
      <c r="CN233" s="81">
        <f>IF(ISERROR((CM233/CE233-1)*100),"NA",IF(((CM233/CE233-1)*100)&gt;100,"NM",IF(((CM233/CE233-1)*100)&lt;-50,"NM",(CM233/CE233-1)*100)))</f>
        <v>-1.7057290927564361</v>
      </c>
      <c r="CO233" s="185">
        <f>+CO227/CO221*100</f>
        <v>52.109348633142083</v>
      </c>
      <c r="CP233" s="81">
        <f>IF(ISERROR((CO233/CG233-1)*100),"NA",IF(((CO233/CG233-1)*100)&gt;100,"NM",IF(((CO233/CG233-1)*100)&lt;-50,"NM",(CO233/CG233-1)*100)))</f>
        <v>1.3980663201460075</v>
      </c>
      <c r="CQ233" s="185">
        <f>+CQ227/CQ221*100</f>
        <v>52.47558100370496</v>
      </c>
      <c r="CR233" s="81">
        <f>IF(ISERROR((CQ233/CI233-1)*100),"NA",IF(((CQ233/CI233-1)*100)&gt;100,"NM",IF(((CQ233/CI233-1)*100)&lt;-50,"NM",(CQ233/CI233-1)*100)))</f>
        <v>2.5510314833319336</v>
      </c>
      <c r="CS233" s="185">
        <f>+CS227/CS221*100</f>
        <v>52.93921175684703</v>
      </c>
      <c r="CT233" s="81">
        <f>IF(ISERROR((CS233/CK233-1)*100),"NA",IF(((CS233/CK233-1)*100)&gt;100,"NM",IF(((CS233/CK233-1)*100)&lt;-50,"NM",(CS233/CK233-1)*100)))</f>
        <v>0.73007629387995543</v>
      </c>
      <c r="CU233" s="185">
        <f>+CU227/CU221*100</f>
        <v>52.533951639615772</v>
      </c>
      <c r="CV233" s="81">
        <f>IF(ISERROR((CU233/CM233-1)*100),"NA",IF(((CU233/CM233-1)*100)&gt;100,"NM",IF(((CU233/CM233-1)*100)&lt;-50,"NM",(CU233/CM233-1)*100)))</f>
        <v>1.8557038689137606E-2</v>
      </c>
      <c r="CW233" s="185">
        <f>+CW227/CW221*100</f>
        <v>52.523607945294692</v>
      </c>
      <c r="CX233" s="81">
        <f>IF(ISERROR((CW233/CO233-1)*100),"NA",IF(((CW233/CO233-1)*100)&gt;100,"NM",IF(((CW233/CO233-1)*100)&lt;-50,"NM",(CW233/CO233-1)*100)))</f>
        <v>0.79498079139130873</v>
      </c>
      <c r="CY233" s="185">
        <f>+CY227/CY221*100</f>
        <v>52.062357908411826</v>
      </c>
      <c r="CZ233" s="81">
        <f>IF(ISERROR((CY233/CQ233-1)*100),"NA",IF(((CY233/CQ233-1)*100)&gt;100,"NM",IF(((CY233/CQ233-1)*100)&lt;-50,"NM",(CY233/CQ233-1)*100)))</f>
        <v>-0.78745787543345047</v>
      </c>
      <c r="DA233" s="185">
        <f>+DA227/DA221*100</f>
        <v>53.05726302167583</v>
      </c>
      <c r="DB233" s="81">
        <f>IF(ISERROR((DA233/CS233-1)*100),"NA",IF(((DA233/CS233-1)*100)&gt;100,"NM",IF(((DA233/CS233-1)*100)&lt;-50,"NM",(DA233/CS233-1)*100)))</f>
        <v>0.22299399804253106</v>
      </c>
      <c r="DC233" s="185">
        <f>+DC227/DC221*100</f>
        <v>58.876987990912042</v>
      </c>
      <c r="DD233" s="81">
        <f>IF(ISERROR((DC233/CU233-1)*100),"NA",IF(((DC233/CU233-1)*100)&gt;100,"NM",IF(((DC233/CU233-1)*100)&lt;-50,"NM",(DC233/CU233-1)*100)))</f>
        <v>12.074165664920189</v>
      </c>
      <c r="DE233" s="185">
        <f>+DE227/DE221*100</f>
        <v>50.50568900126423</v>
      </c>
      <c r="DF233" s="81">
        <f>IF(ISERROR((DE233/CW233-1)*100),"NA",IF(((DE233/CW233-1)*100)&gt;100,"NM",IF(((DE233/CW233-1)*100)&lt;-50,"NM",(DE233/CW233-1)*100)))</f>
        <v>-3.8419275121621466</v>
      </c>
      <c r="DG233" s="185">
        <f>+DG227/DG221*100</f>
        <v>51.957070707070706</v>
      </c>
      <c r="DH233" s="81">
        <f>IF(ISERROR((DG233/CY233-1)*100),"NA",IF(((DG233/CY233-1)*100)&gt;100,"NM",IF(((DG233/CY233-1)*100)&lt;-50,"NM",(DG233/CY233-1)*100)))</f>
        <v>-0.2022328714468502</v>
      </c>
      <c r="DI233" s="185">
        <f>+DI227/DI221*100</f>
        <v>52.692548528490924</v>
      </c>
      <c r="DJ233" s="81">
        <f>IF(ISERROR((DI233/DA233-1)*100),"NA",IF(((DI233/DA233-1)*100)&gt;100,"NM",IF(((DI233/DA233-1)*100)&lt;-50,"NM",(DI233/DA233-1)*100)))</f>
        <v>-0.68739786489910859</v>
      </c>
      <c r="DK233" s="185">
        <f>+DK227/DK221*100</f>
        <v>52.289006540018676</v>
      </c>
      <c r="DL233" s="81">
        <f>IF(ISERROR((DK233/DC233-1)*100),"NA",IF(((DK233/DC233-1)*100)&gt;100,"NM",IF(((DK233/DC233-1)*100)&lt;-50,"NM",(DK233/DC233-1)*100)))</f>
        <v>-11.189399586660675</v>
      </c>
      <c r="DM233" s="185">
        <f>+DM227/DM221*100</f>
        <v>51.294400963275145</v>
      </c>
      <c r="DN233" s="81">
        <f>IF(ISERROR((DM233/DE233-1)*100),"NA",IF(((DM233/DE233-1)*100)&gt;100,"NM",IF(((DM233/DE233-1)*100)&lt;-50,"NM",(DM233/DE233-1)*100)))</f>
        <v>1.5616299423044655</v>
      </c>
      <c r="DO233" s="185">
        <f>+DO227/DO221*100</f>
        <v>50.401905328966954</v>
      </c>
      <c r="DP233" s="81">
        <f>IF(ISERROR((DO233/DG233-1)*100),"NA",IF(((DO233/DG233-1)*100)&gt;100,"NM",IF(((DO233/DG233-1)*100)&lt;-50,"NM",(DO233/DG233-1)*100)))</f>
        <v>-2.9931737046371087</v>
      </c>
      <c r="DQ233" s="185">
        <f>+DQ227/DQ221*100</f>
        <v>51.185830081056736</v>
      </c>
      <c r="DR233" s="81">
        <f>IF(ISERROR((DQ233/DI233-1)*100),"NA",IF(((DQ233/DI233-1)*100)&gt;100,"NM",IF(((DQ233/DI233-1)*100)&lt;-50,"NM",(DQ233/DI233-1)*100)))</f>
        <v>-2.8594525972102214</v>
      </c>
      <c r="DS233" s="185">
        <f>+DS227/DS221*100</f>
        <v>51.215174866627159</v>
      </c>
      <c r="DT233" s="81">
        <f>IF(ISERROR((DS233/DK233-1)*100),"NA",IF(((DS233/DK233-1)*100)&gt;100,"NM",IF(((DS233/DK233-1)*100)&lt;-50,"NM",(DS233/DK233-1)*100)))</f>
        <v>-2.0536471133175471</v>
      </c>
      <c r="DU233" s="185">
        <f>+DU227/DU221*100</f>
        <v>50.939635535307524</v>
      </c>
      <c r="DV233" s="81">
        <f>IF(ISERROR((DU233/DM233-1)*100),"NA",IF(((DU233/DM233-1)*100)&gt;100,"NM",IF(((DU233/DM233-1)*100)&lt;-50,"NM",(DU233/DM233-1)*100)))</f>
        <v>-0.69162602799790474</v>
      </c>
      <c r="DW233" s="185">
        <f>+DW227/DW221*100</f>
        <v>51.138303927148556</v>
      </c>
      <c r="DX233" s="81">
        <f>IF(ISERROR((DW233/DO233-1)*100),"NA",IF(((DW233/DO233-1)*100)&gt;100,"NM",IF(((DW233/DO233-1)*100)&lt;-50,"NM",(DW233/DO233-1)*100)))</f>
        <v>1.4610530958605983</v>
      </c>
      <c r="DY233" s="185">
        <f>+DY227/DY221*100</f>
        <v>51.567353854843255</v>
      </c>
      <c r="DZ233" s="81">
        <f>IF(ISERROR((DY233/DQ233-1)*100),"NA",IF(((DY233/DQ233-1)*100)&gt;100,"NM",IF(((DY233/DQ233-1)*100)&lt;-50,"NM",(DY233/DQ233-1)*100)))</f>
        <v>0.74536990644158418</v>
      </c>
      <c r="EA233" s="185">
        <f>+EA227/EA221*100</f>
        <v>51.387347391786911</v>
      </c>
      <c r="EB233" s="81">
        <f>IF(ISERROR((EA233/DS233-1)*100),"NA",IF(((EA233/DS233-1)*100)&gt;100,"NM",IF(((EA233/DS233-1)*100)&lt;-50,"NM",(EA233/DS233-1)*100)))</f>
        <v>0.33617482632466444</v>
      </c>
      <c r="EC233" s="185">
        <f>+EC227/EC221*100</f>
        <v>50.814854394870423</v>
      </c>
      <c r="ED233" s="81">
        <f t="shared" ref="ED233" si="744">IF(ISERROR((EC233/DU233-1)*100),"NA",IF(((EC233/DU233-1)*100)&gt;100,"NM",IF(((EC233/DU233-1)*100)&lt;-50,"NM",(EC233/DU233-1)*100)))</f>
        <v>-0.24495884025438341</v>
      </c>
      <c r="EE233" s="185">
        <f>+EE227/EE221*100</f>
        <v>51.262290725484981</v>
      </c>
      <c r="EF233" s="81">
        <f t="shared" ref="EF233" si="745">IF(ISERROR((EE233/DW233-1)*100),"NA",IF(((EE233/DW233-1)*100)&gt;100,"NM",IF(((EE233/DW233-1)*100)&lt;-50,"NM",(EE233/DW233-1)*100)))</f>
        <v>0.24245387276249364</v>
      </c>
      <c r="EG233" s="185">
        <f>+EG227/EG221*100</f>
        <v>51.782413519936618</v>
      </c>
      <c r="EH233" s="81">
        <f t="shared" ref="EH233" si="746">IF(ISERROR((EG233/DY233-1)*100),"NA",IF(((EG233/DY233-1)*100)&gt;100,"NM",IF(((EG233/DY233-1)*100)&lt;-50,"NM",(EG233/DY233-1)*100)))</f>
        <v>0.41704615229769537</v>
      </c>
      <c r="EI233" s="185">
        <f>+EI227/EI221*100</f>
        <v>54.802407746663171</v>
      </c>
      <c r="EJ233" s="81">
        <f t="shared" ref="EJ233" si="747">IF(ISERROR((EI233/EA233-1)*100),"NA",IF(((EI233/EA233-1)*100)&gt;100,"NM",IF(((EI233/EA233-1)*100)&lt;-50,"NM",(EI233/EA233-1)*100)))</f>
        <v>6.6457222024697948</v>
      </c>
      <c r="EK233" s="186">
        <v>52</v>
      </c>
      <c r="EL233" s="81">
        <f t="shared" ref="EL233" si="748">IF(ISERROR((EK233/EC233-1)*100),"NA",IF(((EK233/EC233-1)*100)&gt;100,"NM",IF(((EK233/EC233-1)*100)&lt;-50,"NM",(EK233/EC233-1)*100)))</f>
        <v>2.332281808622505</v>
      </c>
      <c r="EM233" s="186">
        <f t="shared" ref="EM233" si="749">EK233</f>
        <v>52</v>
      </c>
      <c r="EN233" s="81">
        <f t="shared" ref="EN233" si="750">IF(ISERROR((EM233/EE233-1)*100),"NA",IF(((EM233/EE233-1)*100)&gt;100,"NM",IF(((EM233/EE233-1)*100)&lt;-50,"NM",(EM233/EE233-1)*100)))</f>
        <v>1.4390876101607164</v>
      </c>
      <c r="EO233" s="186">
        <f t="shared" ref="EO233" si="751">EM233</f>
        <v>52</v>
      </c>
      <c r="EP233" s="81">
        <f t="shared" ref="EP233" si="752">IF(ISERROR((EO233/EG233-1)*100),"NA",IF(((EO233/EG233-1)*100)&gt;100,"NM",IF(((EO233/EG233-1)*100)&lt;-50,"NM",(EO233/EG233-1)*100)))</f>
        <v>0.42019377868436347</v>
      </c>
      <c r="EQ233" s="186">
        <f t="shared" ref="EQ233" si="753">EO233</f>
        <v>52</v>
      </c>
      <c r="ER233" s="81">
        <f t="shared" ref="ER233" si="754">IF(ISERROR((EQ233/EI233-1)*100),"NA",IF(((EQ233/EI233-1)*100)&gt;100,"NM",IF(((EQ233/EI233-1)*100)&lt;-50,"NM",(EQ233/EI233-1)*100)))</f>
        <v>-5.1136580706781176</v>
      </c>
      <c r="ES233" s="129"/>
      <c r="ET233" s="469"/>
      <c r="EU233" s="129"/>
      <c r="EV233" s="184"/>
      <c r="EW233" s="79"/>
      <c r="EX233" s="185"/>
      <c r="EY233" s="79"/>
      <c r="EZ233" s="185"/>
      <c r="FA233" s="79"/>
      <c r="FB233" s="185">
        <f>+FB227/FB221*100</f>
        <v>56.610557280601405</v>
      </c>
      <c r="FC233" s="79" t="str">
        <f>IF(ISERROR((FB233/EZ233-1)*100),"NA",IF(((FB233/EZ233-1)*100)&gt;100,"NM",IF(((FB233/EZ233-1)*100)&lt;-50,"NM",(FB233/EZ233-1)*100)))</f>
        <v>NA</v>
      </c>
      <c r="FD233" s="185">
        <f>+FD227/FD221*100</f>
        <v>56.101774776189728</v>
      </c>
      <c r="FE233" s="79">
        <f>IF(ISERROR((FD233/FB233-1)*100),"NA",IF(((FD233/FB233-1)*100)&gt;100,"NM",IF(((FD233/FB233-1)*100)&lt;-50,"NM",(FD233/FB233-1)*100)))</f>
        <v>-0.89874138120527025</v>
      </c>
      <c r="FF233" s="185">
        <f>+FF227/FF221*100</f>
        <v>57.015140591204037</v>
      </c>
      <c r="FG233" s="79">
        <f>IF(ISERROR((FF233/FD233-1)*100),"NA",IF(((FF233/FD233-1)*100)&gt;100,"NM",IF(((FF233/FD233-1)*100)&lt;-50,"NM",(FF233/FD233-1)*100)))</f>
        <v>1.6280515521265748</v>
      </c>
      <c r="FH233" s="185">
        <f>+FH227/FH221*100</f>
        <v>55.101214574898783</v>
      </c>
      <c r="FI233" s="79">
        <f>IF(ISERROR((FH233/FF233-1)*100),"NA",IF(((FH233/FF233-1)*100)&gt;100,"NM",IF(((FH233/FF233-1)*100)&lt;-50,"NM",(FH233/FF233-1)*100)))</f>
        <v>-3.3568732734134854</v>
      </c>
      <c r="FJ233" s="185">
        <f>+FJ227/FJ221*100</f>
        <v>55.044472681067347</v>
      </c>
      <c r="FK233" s="79">
        <f>IF(ISERROR((FJ233/FH233-1)*100),"NA",IF(((FJ233/FH233-1)*100)&gt;100,"NM",IF(((FJ233/FH233-1)*100)&lt;-50,"NM",(FJ233/FH233-1)*100)))</f>
        <v>-0.1029775736691052</v>
      </c>
      <c r="FL233" s="185">
        <f>+FL227/FL221*100</f>
        <v>52.416577603610016</v>
      </c>
      <c r="FM233" s="79">
        <f>IF(ISERROR((FL233/FJ233-1)*100),"NA",IF(((FL233/FJ233-1)*100)&gt;100,"NM",IF(((FL233/FJ233-1)*100)&lt;-50,"NM",(FL233/FJ233-1)*100)))</f>
        <v>-4.7741307155099726</v>
      </c>
      <c r="FN233" s="185">
        <f>+FN227/FN221*100</f>
        <v>48.258377425044088</v>
      </c>
      <c r="FO233" s="79">
        <f>IF(ISERROR((FN233/FL233-1)*100),"NA",IF(((FN233/FL233-1)*100)&gt;100,"NM",IF(((FN233/FL233-1)*100)&lt;-50,"NM",(FN233/FL233-1)*100)))</f>
        <v>-7.9329867928644493</v>
      </c>
      <c r="FP233" s="253">
        <f>+FP227/FP221*100</f>
        <v>47.47774480712166</v>
      </c>
      <c r="FQ233" s="79">
        <f>IF(ISERROR((FP233/FN233-1)*100),"NA",IF(((FP233/FN233-1)*100)&gt;100,"NM",IF(((FP233/FN233-1)*100)&lt;-50,"NM",(FP233/FN233-1)*100)))</f>
        <v>-1.6176105778419991</v>
      </c>
      <c r="FR233" s="253">
        <f>+FR227/FR221*100</f>
        <v>47.345089153777948</v>
      </c>
      <c r="FS233" s="79">
        <f>IF(ISERROR((FR233/FP233-1)*100),"NA",IF(((FR233/FP233-1)*100)&gt;100,"NM",IF(((FR233/FP233-1)*100)&lt;-50,"NM",(FR233/FP233-1)*100)))</f>
        <v>-0.27940596985519539</v>
      </c>
      <c r="FT233" s="253">
        <f>+FT227/FT221*100</f>
        <v>49.707167425862245</v>
      </c>
      <c r="FU233" s="79">
        <f>IF(ISERROR((FT233/FR233-1)*100),"NA",IF(((FT233/FR233-1)*100)&gt;100,"NM",IF(((FT233/FR233-1)*100)&lt;-50,"NM",(FT233/FR233-1)*100)))</f>
        <v>4.9890671119283692</v>
      </c>
      <c r="FV233" s="253">
        <f>+FV227/FV221*100</f>
        <v>51.915793182418746</v>
      </c>
      <c r="FW233" s="79">
        <f>IF(ISERROR((FV233/FT233-1)*100),"NA",IF(((FV233/FT233-1)*100)&gt;100,"NM",IF(((FV233/FT233-1)*100)&lt;-50,"NM",(FV233/FT233-1)*100)))</f>
        <v>4.4432742216716337</v>
      </c>
      <c r="FX233" s="253">
        <f>+FX227/FX221*100</f>
        <v>52.51569694432817</v>
      </c>
      <c r="FY233" s="79">
        <f>IF(ISERROR((FX233/FV233-1)*100),"NA",IF(((FX233/FV233-1)*100)&gt;100,"NM",IF(((FX233/FV233-1)*100)&lt;-50,"NM",(FX233/FV233-1)*100)))</f>
        <v>1.1555323055578048</v>
      </c>
      <c r="FZ233" s="253">
        <f>+FZ227/FZ221*100</f>
        <v>54.13082291835741</v>
      </c>
      <c r="GA233" s="79">
        <f>IF(ISERROR((FZ233/FX233-1)*100),"NA",IF(((FZ233/FX233-1)*100)&gt;100,"NM",IF(((FZ233/FX233-1)*100)&lt;-50,"NM",(FZ233/FX233-1)*100)))</f>
        <v>3.0755108815206933</v>
      </c>
      <c r="GB233" s="253">
        <f>+GB227/GB221*100</f>
        <v>51.864646306037528</v>
      </c>
      <c r="GC233" s="79">
        <f>IF(ISERROR((GB233/FZ233-1)*100),"NA",IF(((GB233/FZ233-1)*100)&gt;100,"NM",IF(((GB233/FZ233-1)*100)&lt;-50,"NM",(GB233/FZ233-1)*100)))</f>
        <v>-4.1864809920548085</v>
      </c>
      <c r="GD233" s="253">
        <f>+GD227/GD221*100</f>
        <v>51.023457343493206</v>
      </c>
      <c r="GE233" s="79">
        <f>IF(ISERROR((GD233/GB233-1)*100),"NA",IF(((GD233/GB233-1)*100)&gt;100,"NM",IF(((GD233/GB233-1)*100)&lt;-50,"NM",(GD233/GB233-1)*100)))</f>
        <v>-1.6218927968402963</v>
      </c>
      <c r="GF233" s="253">
        <f>+GF227/GF221*100</f>
        <v>51.259614706089906</v>
      </c>
      <c r="GG233" s="79">
        <f>IF(ISERROR((GF233/GD233-1)*100),"NA",IF(((GF233/GD233-1)*100)&gt;100,"NM",IF(((GF233/GD233-1)*100)&lt;-50,"NM",(GF233/GD233-1)*100)))</f>
        <v>0.46284076950504627</v>
      </c>
      <c r="GH233" s="253">
        <f>+GH227/GH221*100</f>
        <v>52.176789731374882</v>
      </c>
      <c r="GI233" s="79">
        <f>IF(ISERROR((GH233/GF233-1)*100),"NA",IF(((GH233/GF233-1)*100)&gt;100,"NM",IF(((GH233/GF233-1)*100)&lt;-50,"NM",(GH233/GF233-1)*100)))</f>
        <v>1.7892741304120774</v>
      </c>
      <c r="GJ233" s="253">
        <f>+GJ227/GJ221*100</f>
        <v>52</v>
      </c>
      <c r="GK233" s="79">
        <f>IF(ISERROR((GJ233/GH233-1)*100),"NA",IF(((GJ233/GH233-1)*100)&gt;100,"NM",IF(((GJ233/GH233-1)*100)&lt;-50,"NM",(GJ233/GH233-1)*100)))</f>
        <v>-0.33882830332233604</v>
      </c>
      <c r="GL233" s="186">
        <f>GJ233+0.2</f>
        <v>52.2</v>
      </c>
      <c r="GM233" s="79">
        <f>IF(ISERROR((GL233/GJ233-1)*100),"NA",IF(((GL233/GJ233-1)*100)&gt;100,"NM",IF(((GL233/GJ233-1)*100)&lt;-50,"NM",(GL233/GJ233-1)*100)))</f>
        <v>0.38461538461538325</v>
      </c>
      <c r="GN233" s="186">
        <f>GL233</f>
        <v>52.2</v>
      </c>
      <c r="GO233" s="79">
        <f>IF(ISERROR((GN233/GL233-1)*100),"NA",IF(((GN233/GL233-1)*100)&gt;100,"NM",IF(((GN233/GL233-1)*100)&lt;-50,"NM",(GN233/GL233-1)*100)))</f>
        <v>0</v>
      </c>
      <c r="GP233" s="186">
        <f>GN233-0.1</f>
        <v>52.1</v>
      </c>
      <c r="GQ233" s="79">
        <f>IF(ISERROR((GP233/GN233-1)*100),"NA",IF(((GP233/GN233-1)*100)&gt;100,"NM",IF(((GP233/GN233-1)*100)&lt;-50,"NM",(GP233/GN233-1)*100)))</f>
        <v>-0.19157088122605526</v>
      </c>
      <c r="GR233" s="186">
        <f>GP233</f>
        <v>52.1</v>
      </c>
      <c r="GS233" s="79">
        <f>IF(ISERROR((GR233/GP233-1)*100),"NA",IF(((GR233/GP233-1)*100)&gt;100,"NM",IF(((GR233/GP233-1)*100)&lt;-50,"NM",(GR233/GP233-1)*100)))</f>
        <v>0</v>
      </c>
      <c r="GT233" s="79">
        <f>IF(ISERROR(((GR233/GH233)^0.2-1)*100),"NA",(IF(OR(((GR233/GH233)^0.2-1)*100&gt;99,((GR233/GH233)^0.2-1)*100&lt;-50),"NM",(((GR233/GH233)^0.2-1)*100))))</f>
        <v>-2.9451783823952749E-2</v>
      </c>
    </row>
    <row r="234" spans="1:286" s="165" customFormat="1" ht="12.75" hidden="1" customHeight="1" outlineLevel="1" x14ac:dyDescent="0.2">
      <c r="A234" s="157"/>
      <c r="B234" s="165" t="s">
        <v>449</v>
      </c>
      <c r="C234" s="87"/>
      <c r="D234" s="87"/>
      <c r="E234" s="254"/>
      <c r="F234" s="254"/>
      <c r="G234" s="254"/>
      <c r="H234" s="254"/>
      <c r="I234" s="254"/>
      <c r="J234" s="254"/>
      <c r="K234" s="254"/>
      <c r="L234" s="87"/>
      <c r="M234" s="254"/>
      <c r="N234" s="87"/>
      <c r="O234" s="254"/>
      <c r="P234" s="87"/>
      <c r="Q234" s="254"/>
      <c r="R234" s="87"/>
      <c r="S234" s="254"/>
      <c r="T234" s="87"/>
      <c r="U234" s="254"/>
      <c r="V234" s="87"/>
      <c r="W234" s="254"/>
      <c r="X234" s="87"/>
      <c r="Y234" s="254"/>
      <c r="Z234" s="87"/>
      <c r="AA234" s="255"/>
      <c r="AB234" s="87"/>
      <c r="AC234" s="254"/>
      <c r="AD234" s="87"/>
      <c r="AE234" s="254"/>
      <c r="AF234" s="87"/>
      <c r="AG234" s="254"/>
      <c r="AH234" s="87"/>
      <c r="AI234" s="254"/>
      <c r="AJ234" s="87"/>
      <c r="AK234" s="254"/>
      <c r="AL234" s="87"/>
      <c r="AM234" s="254"/>
      <c r="AN234" s="87"/>
      <c r="AO234" s="254"/>
      <c r="AP234" s="87"/>
      <c r="AQ234" s="254"/>
      <c r="AR234" s="87"/>
      <c r="AS234" s="254"/>
      <c r="AT234" s="89"/>
      <c r="AU234" s="254"/>
      <c r="AV234" s="89"/>
      <c r="AW234" s="254"/>
      <c r="AX234" s="89"/>
      <c r="AY234" s="254"/>
      <c r="AZ234" s="89"/>
      <c r="BA234" s="254"/>
      <c r="BB234" s="89"/>
      <c r="BC234" s="254"/>
      <c r="BD234" s="89"/>
      <c r="BE234" s="254"/>
      <c r="BF234" s="89"/>
      <c r="BG234" s="254"/>
      <c r="BH234" s="89"/>
      <c r="BI234" s="254"/>
      <c r="BJ234" s="89"/>
      <c r="BK234" s="254"/>
      <c r="BL234" s="89"/>
      <c r="BM234" s="254"/>
      <c r="BN234" s="89"/>
      <c r="BO234" s="254"/>
      <c r="BP234" s="89"/>
      <c r="BQ234" s="254"/>
      <c r="BR234" s="89"/>
      <c r="BS234" s="254"/>
      <c r="BT234" s="89"/>
      <c r="BU234" s="254"/>
      <c r="BV234" s="89"/>
      <c r="BW234" s="254"/>
      <c r="BX234" s="89"/>
      <c r="BY234" s="254"/>
      <c r="BZ234" s="89"/>
      <c r="CA234" s="254"/>
      <c r="CB234" s="89"/>
      <c r="CC234" s="254"/>
      <c r="CD234" s="89"/>
      <c r="CE234" s="254"/>
      <c r="CF234" s="89"/>
      <c r="CG234" s="254"/>
      <c r="CH234" s="89"/>
      <c r="CI234" s="254"/>
      <c r="CJ234" s="89"/>
      <c r="CK234" s="254"/>
      <c r="CL234" s="89"/>
      <c r="CM234" s="254"/>
      <c r="CN234" s="89"/>
      <c r="CO234" s="254"/>
      <c r="CP234" s="89"/>
      <c r="CQ234" s="254"/>
      <c r="CR234" s="89"/>
      <c r="CS234" s="254"/>
      <c r="CT234" s="89"/>
      <c r="CU234" s="254"/>
      <c r="CV234" s="89"/>
      <c r="CW234" s="254"/>
      <c r="CX234" s="89"/>
      <c r="CY234" s="254"/>
      <c r="CZ234" s="89"/>
      <c r="DA234" s="254"/>
      <c r="DB234" s="89"/>
      <c r="DC234" s="254"/>
      <c r="DD234" s="89"/>
      <c r="DE234" s="254"/>
      <c r="DF234" s="89"/>
      <c r="DG234" s="254"/>
      <c r="DH234" s="89"/>
      <c r="DI234" s="254"/>
      <c r="DJ234" s="89"/>
      <c r="DK234" s="254"/>
      <c r="DL234" s="89"/>
      <c r="DM234" s="254"/>
      <c r="DN234" s="89"/>
      <c r="DO234" s="254"/>
      <c r="DP234" s="89"/>
      <c r="DQ234" s="254"/>
      <c r="DR234" s="89"/>
      <c r="DS234" s="254"/>
      <c r="DT234" s="89"/>
      <c r="DU234" s="254"/>
      <c r="DV234" s="89"/>
      <c r="DW234" s="254"/>
      <c r="DX234" s="89"/>
      <c r="DY234" s="254"/>
      <c r="DZ234" s="89"/>
      <c r="EA234" s="254"/>
      <c r="EB234" s="89"/>
      <c r="EC234" s="254"/>
      <c r="ED234" s="89"/>
      <c r="EE234" s="254"/>
      <c r="EF234" s="89"/>
      <c r="EG234" s="254"/>
      <c r="EH234" s="89"/>
      <c r="EI234" s="254"/>
      <c r="EJ234" s="89"/>
      <c r="EK234" s="254">
        <f t="shared" ref="EK234:EQ234" si="755">IF($B$6=1,EK233,IF($B$6=2,EK233+EK626,IF($B$6=3,EK233+EK627)))</f>
        <v>52</v>
      </c>
      <c r="EL234" s="89"/>
      <c r="EM234" s="254">
        <f t="shared" si="755"/>
        <v>52</v>
      </c>
      <c r="EN234" s="89"/>
      <c r="EO234" s="254">
        <f t="shared" si="755"/>
        <v>52</v>
      </c>
      <c r="EP234" s="89"/>
      <c r="EQ234" s="254">
        <f t="shared" si="755"/>
        <v>52</v>
      </c>
      <c r="ER234" s="89"/>
      <c r="ES234" s="162"/>
      <c r="ET234" s="466"/>
      <c r="EU234" s="162"/>
      <c r="EV234" s="256"/>
      <c r="EW234" s="87"/>
      <c r="EX234" s="254"/>
      <c r="EY234" s="87"/>
      <c r="EZ234" s="254"/>
      <c r="FA234" s="87"/>
      <c r="FB234" s="254"/>
      <c r="FC234" s="87"/>
      <c r="FD234" s="254"/>
      <c r="FE234" s="87"/>
      <c r="FF234" s="254"/>
      <c r="FG234" s="87"/>
      <c r="FH234" s="254"/>
      <c r="FI234" s="87"/>
      <c r="FJ234" s="254"/>
      <c r="FK234" s="87"/>
      <c r="FL234" s="254"/>
      <c r="FM234" s="87"/>
      <c r="FN234" s="254"/>
      <c r="FO234" s="87"/>
      <c r="FP234" s="254"/>
      <c r="FQ234" s="87"/>
      <c r="FR234" s="254"/>
      <c r="FS234" s="87"/>
      <c r="FT234" s="254"/>
      <c r="FU234" s="87"/>
      <c r="FV234" s="254"/>
      <c r="FW234" s="87"/>
      <c r="FX234" s="254"/>
      <c r="FY234" s="87"/>
      <c r="FZ234" s="254"/>
      <c r="GA234" s="87"/>
      <c r="GB234" s="254"/>
      <c r="GC234" s="87"/>
      <c r="GD234" s="254"/>
      <c r="GE234" s="87"/>
      <c r="GF234" s="254"/>
      <c r="GG234" s="87"/>
      <c r="GH234" s="254"/>
      <c r="GI234" s="87"/>
      <c r="GJ234" s="254"/>
      <c r="GK234" s="87"/>
      <c r="GL234" s="254">
        <f>IF($B$6=1,GL233,IF($B$6=2,GL233+GL626,IF($B$6=3,GL233+GL627)))</f>
        <v>52.2</v>
      </c>
      <c r="GM234" s="87"/>
      <c r="GN234" s="254">
        <f>IF($B$6=1,GN233,IF($B$6=2,GN233+GN626,IF($B$6=3,GN233+GN627)))</f>
        <v>52.2</v>
      </c>
      <c r="GO234" s="87"/>
      <c r="GP234" s="254">
        <f>IF($B$6=1,GP233,IF($B$6=2,GP233+GP626,IF($B$6=3,GP233+GP627)))</f>
        <v>52.1</v>
      </c>
      <c r="GQ234" s="87"/>
      <c r="GR234" s="254">
        <f>IF($B$6=1,GR233,IF($B$6=2,GR233+GR626,IF($B$6=3,GR233+GR627)))</f>
        <v>52.1</v>
      </c>
      <c r="GS234" s="87"/>
      <c r="GT234" s="87"/>
      <c r="GU234" s="562"/>
      <c r="GV234" s="562"/>
      <c r="GW234"/>
      <c r="GX234"/>
      <c r="GY234"/>
      <c r="GZ234"/>
      <c r="HA234"/>
      <c r="HB234"/>
      <c r="HC234" s="562"/>
      <c r="HD234" s="562"/>
      <c r="HE234" s="562"/>
      <c r="HF234" s="562"/>
      <c r="HG234" s="562"/>
      <c r="HH234" s="562"/>
      <c r="HI234" s="562"/>
      <c r="HJ234" s="562"/>
      <c r="HK234" s="562"/>
      <c r="HL234" s="562"/>
      <c r="HM234" s="562"/>
      <c r="HN234" s="562"/>
      <c r="HO234" s="562"/>
      <c r="HP234" s="562"/>
      <c r="HQ234" s="562"/>
      <c r="HR234" s="562"/>
      <c r="HS234" s="562"/>
      <c r="HT234" s="562"/>
      <c r="HU234" s="562"/>
      <c r="HV234" s="562"/>
      <c r="HW234" s="562"/>
      <c r="HX234" s="562"/>
      <c r="HY234" s="562"/>
      <c r="HZ234" s="562"/>
      <c r="IA234" s="562"/>
      <c r="IB234" s="562"/>
      <c r="IC234" s="562"/>
      <c r="ID234" s="562"/>
      <c r="IE234" s="562"/>
      <c r="IF234" s="562"/>
      <c r="IG234" s="562"/>
      <c r="IH234" s="562"/>
      <c r="II234" s="562"/>
      <c r="IJ234" s="562"/>
      <c r="IK234" s="562"/>
      <c r="IL234" s="562"/>
      <c r="IM234" s="562"/>
      <c r="IN234" s="562"/>
      <c r="IO234" s="562"/>
      <c r="IP234" s="562"/>
      <c r="IQ234" s="562"/>
      <c r="IR234" s="562"/>
      <c r="IS234" s="562"/>
      <c r="IT234" s="562"/>
      <c r="IU234" s="562"/>
      <c r="IV234" s="562"/>
      <c r="IW234" s="562"/>
      <c r="IX234" s="562"/>
      <c r="IY234" s="562"/>
      <c r="IZ234" s="562"/>
      <c r="JA234" s="562"/>
      <c r="JB234" s="562"/>
      <c r="JC234" s="562"/>
      <c r="JD234" s="562"/>
      <c r="JE234" s="562"/>
      <c r="JF234" s="562"/>
      <c r="JG234" s="562"/>
      <c r="JH234" s="562"/>
      <c r="JI234" s="562"/>
      <c r="JJ234" s="562"/>
      <c r="JK234" s="562"/>
      <c r="JL234" s="562"/>
      <c r="JM234" s="562"/>
      <c r="JN234" s="562"/>
      <c r="JO234" s="562"/>
      <c r="JP234" s="562"/>
      <c r="JQ234" s="562"/>
      <c r="JR234" s="562"/>
      <c r="JS234" s="562"/>
      <c r="JT234" s="562"/>
      <c r="JU234" s="562"/>
      <c r="JV234" s="562"/>
      <c r="JW234" s="562"/>
      <c r="JX234" s="562"/>
      <c r="JY234" s="562"/>
      <c r="JZ234" s="562"/>
    </row>
    <row r="235" spans="1:286" ht="12.75" customHeight="1" collapsed="1" x14ac:dyDescent="0.2">
      <c r="A235" s="1"/>
      <c r="B235" s="10" t="s">
        <v>45</v>
      </c>
      <c r="C235" s="3"/>
      <c r="D235" s="3"/>
      <c r="E235" s="253">
        <f>+E228/E221*100</f>
        <v>23.672131147540984</v>
      </c>
      <c r="F235" s="253"/>
      <c r="G235" s="253">
        <f>+G228/G221*100</f>
        <v>22.265625000000004</v>
      </c>
      <c r="H235" s="253"/>
      <c r="I235" s="253">
        <f>+I228/I221*100</f>
        <v>21.814671814671811</v>
      </c>
      <c r="J235" s="253"/>
      <c r="K235" s="253">
        <f>+K228/K221*100</f>
        <v>20.944148936170212</v>
      </c>
      <c r="L235" s="79"/>
      <c r="M235" s="253">
        <f>+M228/M221*100</f>
        <v>22.264875239923221</v>
      </c>
      <c r="N235" s="79">
        <f>IF(ISERROR((M235/E235-1)*100),"NA",IF(((M235/E235-1)*100)&gt;100,"NM",IF(((M235/E235-1)*100)&lt;-50,"NM",(M235/E235-1)*100)))</f>
        <v>-5.9447791111276738</v>
      </c>
      <c r="O235" s="253">
        <f>+O228/O221*100</f>
        <v>23.194888178913736</v>
      </c>
      <c r="P235" s="79">
        <f>IF(ISERROR((O235/G235-1)*100),"NA",IF(((O235/G235-1)*100)&gt;100,"NM",IF(((O235/G235-1)*100)&lt;-50,"NM",(O235/G235-1)*100)))</f>
        <v>4.1735328737178223</v>
      </c>
      <c r="Q235" s="253">
        <f>+Q228/Q221*100</f>
        <v>22.62274704785581</v>
      </c>
      <c r="R235" s="79">
        <f>IF(ISERROR((Q235/I235-1)*100),"NA",IF(((Q235/I235-1)*100)&gt;100,"NM",IF(((Q235/I235-1)*100)&lt;-50,"NM",(Q235/I235-1)*100)))</f>
        <v>3.7042740777815109</v>
      </c>
      <c r="S235" s="253">
        <f>+S228/S221*100</f>
        <v>22.331288343558281</v>
      </c>
      <c r="T235" s="79">
        <f>IF(ISERROR((S235/K235-1)*100),"NA",IF(((S235/K235-1)*100)&gt;100,"NM",IF(((S235/K235-1)*100)&lt;-50,"NM",(S235/K235-1)*100)))</f>
        <v>6.6230402181322479</v>
      </c>
      <c r="U235" s="253">
        <f>+U228/U221*100</f>
        <v>23.681125439624854</v>
      </c>
      <c r="V235" s="79">
        <f>IF(ISERROR((U235/M235-1)*100),"NA",IF(((U235/M235-1)*100)&gt;100,"NM",IF(((U235/M235-1)*100)&lt;-50,"NM",(U235/M235-1)*100)))</f>
        <v>6.3609168452116505</v>
      </c>
      <c r="W235" s="253">
        <f>+W228/W221*100</f>
        <v>23.995340710541647</v>
      </c>
      <c r="X235" s="79">
        <f>IF(ISERROR((W235/O235-1)*100),"NA",IF(((W235/O235-1)*100)&gt;100,"NM",IF(((W235/O235-1)*100)&lt;-50,"NM",(W235/O235-1)*100)))</f>
        <v>3.4509868099109609</v>
      </c>
      <c r="Y235" s="253">
        <f>+Y228/Y221*100</f>
        <v>24.195402298850578</v>
      </c>
      <c r="Z235" s="79">
        <f>IF(ISERROR((Y235/Q235-1)*100),"NA",IF(((Y235/Q235-1)*100)&gt;100,"NM",IF(((Y235/Q235-1)*100)&lt;-50,"NM",(Y235/Q235-1)*100)))</f>
        <v>6.9516546671719359</v>
      </c>
      <c r="AA235" s="257">
        <f>+AA228/AA221*100</f>
        <v>23.250564334085784</v>
      </c>
      <c r="AB235" s="79">
        <f>IF(ISERROR((AA235/S235-1)*100),"NA",IF(((AA235/S235-1)*100)&gt;100,"NM",IF(((AA235/S235-1)*100)&lt;-50,"NM",(AA235/S235-1)*100)))</f>
        <v>4.1165380894500725</v>
      </c>
      <c r="AC235" s="253">
        <f>+AC228/AC221*100</f>
        <v>24.461623412479291</v>
      </c>
      <c r="AD235" s="79">
        <f>IF(ISERROR((AC235/U235-1)*100),"NA",IF(((AC235/U235-1)*100)&gt;100,"NM",IF(((AC235/U235-1)*100)&lt;-50,"NM",(AC235/U235-1)*100)))</f>
        <v>3.2958652022021528</v>
      </c>
      <c r="AE235" s="253">
        <f>+AE228/AE221*100</f>
        <v>24.239130434782609</v>
      </c>
      <c r="AF235" s="79">
        <f>IF(ISERROR((AE235/W235-1)*100),"NA",IF(((AE235/W235-1)*100)&gt;100,"NM",IF(((AE235/W235-1)*100)&lt;-50,"NM",(AE235/W235-1)*100)))</f>
        <v>1.0159877585478982</v>
      </c>
      <c r="AG235" s="253">
        <f>+AG228/AG221*100</f>
        <v>23.175965665236053</v>
      </c>
      <c r="AH235" s="79">
        <f>IF(ISERROR((AG235/Y235-1)*100),"NA",IF(((AG235/Y235-1)*100)&gt;100,"NM",IF(((AG235/Y235-1)*100)&lt;-50,"NM",(AG235/Y235-1)*100)))</f>
        <v>-4.2133485569816447</v>
      </c>
      <c r="AI235" s="253">
        <f>+AI228/AI221*100</f>
        <v>22.058047493403691</v>
      </c>
      <c r="AJ235" s="79">
        <f>IF(ISERROR((AI235/AA235-1)*100),"NA",IF(((AI235/AA235-1)*100)&gt;100,"NM",IF(((AI235/AA235-1)*100)&lt;-50,"NM",(AI235/AA235-1)*100)))</f>
        <v>-5.1289801982734584</v>
      </c>
      <c r="AK235" s="253">
        <f>+AK228/AK221*100</f>
        <v>22.015503875968992</v>
      </c>
      <c r="AL235" s="79">
        <f>IF(ISERROR((AK235/AC235-1)*100),"NA",IF(((AK235/AC235-1)*100)&gt;100,"NM",IF(((AK235/AC235-1)*100)&lt;-50,"NM",(AK235/AC235-1)*100)))</f>
        <v>-9.9998250126865695</v>
      </c>
      <c r="AM235" s="253">
        <f>+AM228/AM221*100</f>
        <v>21.625766871165645</v>
      </c>
      <c r="AN235" s="79">
        <f>IF(ISERROR((AM235/AE235-1)*100),"NA",IF(((AM235/AE235-1)*100)&gt;100,"NM",IF(((AM235/AE235-1)*100)&lt;-50,"NM",(AM235/AE235-1)*100)))</f>
        <v>-10.781589589809892</v>
      </c>
      <c r="AO235" s="253">
        <f>+AO228/AO221*100</f>
        <v>21.681864235055723</v>
      </c>
      <c r="AP235" s="79">
        <f>IF(ISERROR((AO235/AG235-1)*100),"NA",IF(((AO235/AG235-1)*100)&gt;100,"NM",IF(((AO235/AG235-1)*100)&lt;-50,"NM",(AO235/AG235-1)*100)))</f>
        <v>-6.4467709857780831</v>
      </c>
      <c r="AQ235" s="253">
        <f>+AQ228/AQ221*100</f>
        <v>21.446384039900249</v>
      </c>
      <c r="AR235" s="79">
        <f>IF(ISERROR((AQ235/AI235-1)*100),"NA",IF(((AQ235/AI235-1)*100)&gt;100,"NM",IF(((AQ235/AI235-1)*100)&lt;-50,"NM",(AQ235/AI235-1)*100)))</f>
        <v>-2.7729718765287625</v>
      </c>
      <c r="AS235" s="253">
        <f>+AS228/AS221*100</f>
        <v>21.569595261599211</v>
      </c>
      <c r="AT235" s="81">
        <f>IF(ISERROR((AS235/AK235-1)*100),"NA",IF(((AS235/AK235-1)*100)&gt;100,"NM",IF(((AS235/AK235-1)*100)&lt;-50,"NM",(AS235/AK235-1)*100)))</f>
        <v>-2.0254299737218928</v>
      </c>
      <c r="AU235" s="253">
        <f>+AU228/AU221*100</f>
        <v>23.436754176610979</v>
      </c>
      <c r="AV235" s="81">
        <f>IF(ISERROR((AU235/AM235-1)*100),"NA",IF(((AU235/AM235-1)*100)&gt;100,"NM",IF(((AU235/AM235-1)*100)&lt;-50,"NM",(AU235/AM235-1)*100)))</f>
        <v>8.3742108024848161</v>
      </c>
      <c r="AW235" s="253">
        <f>+AW228/AW221*100</f>
        <v>21.146616541353382</v>
      </c>
      <c r="AX235" s="81">
        <f>IF(ISERROR((AW235/AO235-1)*100),"NA",IF(((AW235/AO235-1)*100)&gt;100,"NM",IF(((AW235/AO235-1)*100)&lt;-50,"NM",(AW235/AO235-1)*100)))</f>
        <v>-2.4686424003935059</v>
      </c>
      <c r="AY235" s="253">
        <f>+AY228/AY221*100</f>
        <v>21.685082872928181</v>
      </c>
      <c r="AZ235" s="81">
        <f>IF(ISERROR((AY235/AQ235-1)*100),"NA",IF(((AY235/AQ235-1)*100)&gt;100,"NM",IF(((AY235/AQ235-1)*100)&lt;-50,"NM",(AY235/AQ235-1)*100)))</f>
        <v>1.1130026981883923</v>
      </c>
      <c r="BA235" s="253">
        <f>+BA228/BA221*100</f>
        <v>22.112802148612353</v>
      </c>
      <c r="BB235" s="81">
        <f>IF(ISERROR((BA235/AS235-1)*100),"NA",IF(((BA235/AS235-1)*100)&gt;100,"NM",IF(((BA235/AS235-1)*100)&lt;-50,"NM",(BA235/AS235-1)*100)))</f>
        <v>2.5183916546650531</v>
      </c>
      <c r="BC235" s="253">
        <f>+BC228/BC221*100</f>
        <v>22.108540925266905</v>
      </c>
      <c r="BD235" s="81">
        <f>IF(ISERROR((BC235/AU235-1)*100),"NA",IF(((BC235/AU235-1)*100)&gt;100,"NM",IF(((BC235/AU235-1)*100)&lt;-50,"NM",(BC235/AU235-1)*100)))</f>
        <v>-5.6672235469772625</v>
      </c>
      <c r="BE235" s="253">
        <f>+BE228/BE221*100</f>
        <v>22.334801762114541</v>
      </c>
      <c r="BF235" s="81">
        <f>IF(ISERROR((BE235/AW235-1)*100),"NA",IF(((BE235/AW235-1)*100)&gt;100,"NM",IF(((BE235/AW235-1)*100)&lt;-50,"NM",(BE235/AW235-1)*100)))</f>
        <v>5.6187958883994416</v>
      </c>
      <c r="BG235" s="253">
        <f>+BG228/BG221*100</f>
        <v>22.327586206896548</v>
      </c>
      <c r="BH235" s="81">
        <f>IF(ISERROR((BG235/AY235-1)*100),"NA",IF(((BG235/AY235-1)*100)&gt;100,"NM",IF(((BG235/AY235-1)*100)&lt;-50,"NM",(BG235/AY235-1)*100)))</f>
        <v>2.9628816165165439</v>
      </c>
      <c r="BI235" s="253">
        <f>+BI228/BI221*100</f>
        <v>22.088186356073212</v>
      </c>
      <c r="BJ235" s="81">
        <f>IF(ISERROR((BI235/BA235-1)*100),"NA",IF(((BI235/BA235-1)*100)&gt;100,"NM",IF(((BI235/BA235-1)*100)&lt;-50,"NM",(BI235/BA235-1)*100)))</f>
        <v>-0.11131919136121438</v>
      </c>
      <c r="BK235" s="253">
        <f>+BK228/BK221*100</f>
        <v>22.011541632316568</v>
      </c>
      <c r="BL235" s="81">
        <f>IF(ISERROR((BK235/BC235-1)*100),"NA",IF(((BK235/BC235-1)*100)&gt;100,"NM",IF(((BK235/BC235-1)*100)&lt;-50,"NM",(BK235/BC235-1)*100)))</f>
        <v>-0.43874126871701336</v>
      </c>
      <c r="BM235" s="253">
        <f>+BM228/BM221*100</f>
        <v>21.45187601957586</v>
      </c>
      <c r="BN235" s="81">
        <f>IF(ISERROR((BM235/BE235-1)*100),"NA",IF(((BM235/BE235-1)*100)&gt;100,"NM",IF(((BM235/BE235-1)*100)&lt;-50,"NM",(BM235/BE235-1)*100)))</f>
        <v>-3.953138926159383</v>
      </c>
      <c r="BO235" s="253">
        <f>+BO228/BO221*100</f>
        <v>21.156162183861905</v>
      </c>
      <c r="BP235" s="81">
        <f>IF(ISERROR((BO235/BG235-1)*100),"NA",IF(((BO235/BG235-1)*100)&gt;100,"NM",IF(((BO235/BG235-1)*100)&lt;-50,"NM",(BO235/BG235-1)*100)))</f>
        <v>-5.2465323039389444</v>
      </c>
      <c r="BQ235" s="253">
        <f>+BQ228/BQ221*100</f>
        <v>21.428571428571427</v>
      </c>
      <c r="BR235" s="81">
        <f>IF(ISERROR((BQ235/BI235-1)*100),"NA",IF(((BQ235/BI235-1)*100)&gt;100,"NM",IF(((BQ235/BI235-1)*100)&lt;-50,"NM",(BQ235/BI235-1)*100)))</f>
        <v>-2.9862792574657071</v>
      </c>
      <c r="BS235" s="253">
        <f>+BS228/BS221*100</f>
        <v>21.172248803827749</v>
      </c>
      <c r="BT235" s="81">
        <f>IF(ISERROR((BS235/BK235-1)*100),"NA",IF(((BS235/BK235-1)*100)&gt;100,"NM",IF(((BS235/BK235-1)*100)&lt;-50,"NM",(BS235/BK235-1)*100)))</f>
        <v>-3.8129670447825337</v>
      </c>
      <c r="BU235" s="253">
        <f>+BU228/BU221*100</f>
        <v>21.065088757396449</v>
      </c>
      <c r="BV235" s="81">
        <f>IF(ISERROR((BU235/BM235-1)*100),"NA",IF(((BU235/BM235-1)*100)&gt;100,"NM",IF(((BU235/BM235-1)*100)&lt;-50,"NM",(BU235/BM235-1)*100)))</f>
        <v>-1.8030463248363438</v>
      </c>
      <c r="BW235" s="253">
        <f>+BW228/BW221*100</f>
        <v>21.173271173271175</v>
      </c>
      <c r="BX235" s="81">
        <f>IF(ISERROR((BW235/BO235-1)*100),"NA",IF(((BW235/BO235-1)*100)&gt;100,"NM",IF(((BW235/BO235-1)*100)&lt;-50,"NM",(BW235/BO235-1)*100)))</f>
        <v>8.0870004968680576E-2</v>
      </c>
      <c r="BY235" s="253">
        <f>+BY228/BY221*100</f>
        <v>21.765371557902675</v>
      </c>
      <c r="BZ235" s="81">
        <f>IF(ISERROR((BY235/BQ235-1)*100),"NA",IF(((BY235/BQ235-1)*100)&gt;100,"NM",IF(((BY235/BQ235-1)*100)&lt;-50,"NM",(BY235/BQ235-1)*100)))</f>
        <v>1.5717339368791494</v>
      </c>
      <c r="CA235" s="253">
        <f>+CA228/CA221*100</f>
        <v>20.358610384759061</v>
      </c>
      <c r="CB235" s="81">
        <f>IF(ISERROR((CA235/BS235-1)*100),"NA",IF(((CA235/BS235-1)*100)&gt;100,"NM",IF(((CA235/BS235-1)*100)&lt;-50,"NM",(CA235/BS235-1)*100)))</f>
        <v>-3.8429475612509756</v>
      </c>
      <c r="CC235" s="253">
        <f>+CC228/CC221*100</f>
        <v>22.094318603787595</v>
      </c>
      <c r="CD235" s="81">
        <f>IF(ISERROR((CC235/BU235-1)*100),"NA",IF(((CC235/BU235-1)*100)&gt;100,"NM",IF(((CC235/BU235-1)*100)&lt;-50,"NM",(CC235/BU235-1)*100)))</f>
        <v>4.8859506752838122</v>
      </c>
      <c r="CE235" s="253">
        <f>+CE228/CE221*100</f>
        <v>22.258771929824558</v>
      </c>
      <c r="CF235" s="81">
        <f>IF(ISERROR((CE235/BW235-1)*100),"NA",IF(((CE235/BW235-1)*100)&gt;100,"NM",IF(((CE235/BW235-1)*100)&lt;-50,"NM",(CE235/BW235-1)*100)))</f>
        <v>5.1267503621438726</v>
      </c>
      <c r="CG235" s="253">
        <f>+CG228/CG221*100</f>
        <v>21.825962910128389</v>
      </c>
      <c r="CH235" s="81">
        <f>IF(ISERROR((CG235/BY235-1)*100),"NA",IF(((CG235/BY235-1)*100)&gt;100,"NM",IF(((CG235/BY235-1)*100)&lt;-50,"NM",(CG235/BY235-1)*100)))</f>
        <v>0.27838418500929496</v>
      </c>
      <c r="CI235" s="253">
        <f>+CI228/CI221*100</f>
        <v>21.453900709219859</v>
      </c>
      <c r="CJ235" s="81">
        <f>IF(ISERROR((CI235/CA235-1)*100),"NA",IF(((CI235/CA235-1)*100)&gt;100,"NM",IF(((CI235/CA235-1)*100)&lt;-50,"NM",(CI235/CA235-1)*100)))</f>
        <v>5.3799856854707562</v>
      </c>
      <c r="CK235" s="253">
        <f>+CK228/CK221*100</f>
        <v>21.783574198096581</v>
      </c>
      <c r="CL235" s="81">
        <f>IF(ISERROR((CK235/CC235-1)*100),"NA",IF(((CK235/CC235-1)*100)&gt;100,"NM",IF(((CK235/CC235-1)*100)&lt;-50,"NM",(CK235/CC235-1)*100)))</f>
        <v>-1.4064448479426894</v>
      </c>
      <c r="CM235" s="253">
        <f>+CM228/CM221*100</f>
        <v>21.57676348547718</v>
      </c>
      <c r="CN235" s="81">
        <f>IF(ISERROR((CM235/CE235-1)*100),"NA",IF(((CM235/CE235-1)*100)&gt;100,"NM",IF(((CM235/CE235-1)*100)&lt;-50,"NM",(CM235/CE235-1)*100)))</f>
        <v>-3.0639985282995497</v>
      </c>
      <c r="CO235" s="253">
        <f>+CO228/CO221*100</f>
        <v>21.565980425244682</v>
      </c>
      <c r="CP235" s="81">
        <f>IF(ISERROR((CO235/CG235-1)*100),"NA",IF(((CO235/CG235-1)*100)&gt;100,"NM",IF(((CO235/CG235-1)*100)&lt;-50,"NM",(CO235/CG235-1)*100)))</f>
        <v>-1.1911615810684895</v>
      </c>
      <c r="CQ235" s="253">
        <f>+CQ228/CQ221*100</f>
        <v>21.320309868642642</v>
      </c>
      <c r="CR235" s="81">
        <f>IF(ISERROR((CQ235/CI235-1)*100),"NA",IF(((CQ235/CI235-1)*100)&gt;100,"NM",IF(((CQ235/CI235-1)*100)&lt;-50,"NM",(CQ235/CI235-1)*100)))</f>
        <v>-0.62268788500454697</v>
      </c>
      <c r="CS235" s="253">
        <f>+CS228/CS221*100</f>
        <v>21.376085504342019</v>
      </c>
      <c r="CT235" s="81">
        <f>IF(ISERROR((CS235/CK235-1)*100),"NA",IF(((CS235/CK235-1)*100)&gt;100,"NM",IF(((CS235/CK235-1)*100)&lt;-50,"NM",(CS235/CK235-1)*100)))</f>
        <v>-1.8706236637244245</v>
      </c>
      <c r="CU235" s="253">
        <f>+CU228/CU221*100</f>
        <v>20.967207684663798</v>
      </c>
      <c r="CV235" s="81">
        <f>IF(ISERROR((CU235/CM235-1)*100),"NA",IF(((CU235/CM235-1)*100)&gt;100,"NM",IF(((CU235/CM235-1)*100)&lt;-50,"NM",(CU235/CM235-1)*100)))</f>
        <v>-2.8250566922312537</v>
      </c>
      <c r="CW235" s="253">
        <f>+CW228/CW221*100</f>
        <v>20.840117225659395</v>
      </c>
      <c r="CX235" s="81">
        <f>IF(ISERROR((CW235/CO235-1)*100),"NA",IF(((CW235/CO235-1)*100)&gt;100,"NM",IF(((CW235/CO235-1)*100)&lt;-50,"NM",(CW235/CO235-1)*100)))</f>
        <v>-3.3657788112225417</v>
      </c>
      <c r="CY235" s="253">
        <f>+CY228/CY221*100</f>
        <v>20.298798311139983</v>
      </c>
      <c r="CZ235" s="81">
        <f>IF(ISERROR((CY235/CQ235-1)*100),"NA",IF(((CY235/CQ235-1)*100)&gt;100,"NM",IF(((CY235/CQ235-1)*100)&lt;-50,"NM",(CY235/CQ235-1)*100)))</f>
        <v>-4.7912603700243199</v>
      </c>
      <c r="DA235" s="253">
        <f>+DA228/DA221*100</f>
        <v>20.025881591717891</v>
      </c>
      <c r="DB235" s="81">
        <f>IF(ISERROR((DA235/CS235-1)*100),"NA",IF(((DA235/CS235-1)*100)&gt;100,"NM",IF(((DA235/CS235-1)*100)&lt;-50,"NM",(DA235/CS235-1)*100)))</f>
        <v>-6.3164226787447486</v>
      </c>
      <c r="DC235" s="253">
        <f>+DC228/DC221*100</f>
        <v>20.804933463161309</v>
      </c>
      <c r="DD235" s="81">
        <f>IF(ISERROR((DC235/CU235-1)*100),"NA",IF(((DC235/CU235-1)*100)&gt;100,"NM",IF(((DC235/CU235-1)*100)&lt;-50,"NM",(DC235/CU235-1)*100)))</f>
        <v>-0.77394293004109382</v>
      </c>
      <c r="DE235" s="253">
        <f>+DE228/DE221*100</f>
        <v>20.069532237673833</v>
      </c>
      <c r="DF235" s="81">
        <f>IF(ISERROR((DE235/CW235-1)*100),"NA",IF(((DE235/CW235-1)*100)&gt;100,"NM",IF(((DE235/CW235-1)*100)&lt;-50,"NM",(DE235/CW235-1)*100)))</f>
        <v>-3.6976039032869723</v>
      </c>
      <c r="DG235" s="253">
        <f>+DG228/DG221*100</f>
        <v>20.044191919191917</v>
      </c>
      <c r="DH235" s="81">
        <f>IF(ISERROR((DG235/CY235-1)*100),"NA",IF(((DG235/CY235-1)*100)&gt;100,"NM",IF(((DG235/CY235-1)*100)&lt;-50,"NM",(DG235/CY235-1)*100)))</f>
        <v>-1.254292929292955</v>
      </c>
      <c r="DI235" s="253">
        <f>+DI228/DI221*100</f>
        <v>20.225422667501565</v>
      </c>
      <c r="DJ235" s="81">
        <f>IF(ISERROR((DI235/DA235-1)*100),"NA",IF(((DI235/DA235-1)*100)&gt;100,"NM",IF(((DI235/DA235-1)*100)&lt;-50,"NM",(DI235/DA235-1)*100)))</f>
        <v>0.99641593739472345</v>
      </c>
      <c r="DK235" s="253">
        <f>+DK228/DK221*100</f>
        <v>22.018062908751169</v>
      </c>
      <c r="DL235" s="81">
        <f>IF(ISERROR((DK235/DC235-1)*100),"NA",IF(((DK235/DC235-1)*100)&gt;100,"NM",IF(((DK235/DC235-1)*100)&lt;-50,"NM",(DK235/DC235-1)*100)))</f>
        <v>5.8309700809085152</v>
      </c>
      <c r="DM235" s="253">
        <f>+DM228/DM221*100</f>
        <v>22.095123419626734</v>
      </c>
      <c r="DN235" s="81">
        <f>IF(ISERROR((DM235/DE235-1)*100),"NA",IF(((DM235/DE235-1)*100)&gt;100,"NM",IF(((DM235/DE235-1)*100)&lt;-50,"NM",(DM235/DE235-1)*100)))</f>
        <v>10.092866928659806</v>
      </c>
      <c r="DO235" s="253">
        <f>+DO228/DO221*100</f>
        <v>21.345638582911583</v>
      </c>
      <c r="DP235" s="81">
        <f>IF(ISERROR((DO235/DG235-1)*100),"NA",IF(((DO235/DG235-1)*100)&gt;100,"NM",IF(((DO235/DG235-1)*100)&lt;-50,"NM",(DO235/DG235-1)*100)))</f>
        <v>6.4928866624628379</v>
      </c>
      <c r="DQ235" s="253">
        <f>+DQ228/DQ221*100</f>
        <v>21.82527769438607</v>
      </c>
      <c r="DR235" s="81">
        <f>IF(ISERROR((DQ235/DI235-1)*100),"NA",IF(((DQ235/DI235-1)*100)&gt;100,"NM",IF(((DQ235/DI235-1)*100)&lt;-50,"NM",(DQ235/DI235-1)*100)))</f>
        <v>7.9101191267323623</v>
      </c>
      <c r="DS235" s="253">
        <f>+DS228/DS221*100</f>
        <v>22.43627741553053</v>
      </c>
      <c r="DT235" s="81">
        <f>IF(ISERROR((DS235/DK235-1)*100),"NA",IF(((DS235/DK235-1)*100)&gt;100,"NM",IF(((DS235/DK235-1)*100)&lt;-50,"NM",(DS235/DK235-1)*100)))</f>
        <v>1.8994155322044293</v>
      </c>
      <c r="DU235" s="253">
        <f>+DU228/DU221*100</f>
        <v>22.15261958997722</v>
      </c>
      <c r="DV235" s="81">
        <f>IF(ISERROR((DU235/DM235-1)*100),"NA",IF(((DU235/DM235-1)*100)&gt;100,"NM",IF(((DU235/DM235-1)*100)&lt;-50,"NM",(DU235/DM235-1)*100)))</f>
        <v>0.26022108706309499</v>
      </c>
      <c r="DW235" s="253">
        <f>+DW228/DW221*100</f>
        <v>21.855435401252134</v>
      </c>
      <c r="DX235" s="81">
        <f>IF(ISERROR((DW235/DO235-1)*100),"NA",IF(((DW235/DO235-1)*100)&gt;100,"NM",IF(((DW235/DO235-1)*100)&lt;-50,"NM",(DW235/DO235-1)*100)))</f>
        <v>2.3882949969399103</v>
      </c>
      <c r="DY235" s="253">
        <f>+DY228/DY221*100</f>
        <v>22.225360067777462</v>
      </c>
      <c r="DZ235" s="81">
        <f>IF(ISERROR((DY235/DQ235-1)*100),"NA",IF(((DY235/DQ235-1)*100)&gt;100,"NM",IF(((DY235/DQ235-1)*100)&lt;-50,"NM",(DY235/DQ235-1)*100)))</f>
        <v>1.8331146984411628</v>
      </c>
      <c r="EA235" s="253">
        <f>+EA228/EA221*100</f>
        <v>22.280799112097672</v>
      </c>
      <c r="EB235" s="81">
        <f>IF(ISERROR((EA235/DS235-1)*100),"NA",IF(((EA235/DS235-1)*100)&gt;100,"NM",IF(((EA235/DS235-1)*100)&lt;-50,"NM",(EA235/DS235-1)*100)))</f>
        <v>-0.69297727316045554</v>
      </c>
      <c r="EC235" s="253">
        <f>+EC228/EC221*100</f>
        <v>22.762489981298422</v>
      </c>
      <c r="ED235" s="81">
        <f t="shared" ref="ED235:ED236" si="756">IF(ISERROR((EC235/DU235-1)*100),"NA",IF(((EC235/DU235-1)*100)&gt;100,"NM",IF(((EC235/DU235-1)*100)&lt;-50,"NM",(EC235/DU235-1)*100)))</f>
        <v>2.7530396070951868</v>
      </c>
      <c r="EE235" s="253">
        <f>+EE228/EE221*100</f>
        <v>22.641509433962266</v>
      </c>
      <c r="EF235" s="81">
        <f t="shared" ref="EF235:EF236" si="757">IF(ISERROR((EE235/DW235-1)*100),"NA",IF(((EE235/DW235-1)*100)&gt;100,"NM",IF(((EE235/DW235-1)*100)&lt;-50,"NM",(EE235/DW235-1)*100)))</f>
        <v>3.5966981132075526</v>
      </c>
      <c r="EG235" s="253">
        <f>+EG228/EG221*100</f>
        <v>22.814893055188808</v>
      </c>
      <c r="EH235" s="81">
        <f t="shared" ref="EH235:EH236" si="758">IF(ISERROR((EG235/DY235-1)*100),"NA",IF(((EG235/DY235-1)*100)&gt;100,"NM",IF(((EG235/DY235-1)*100)&lt;-50,"NM",(EG235/DY235-1)*100)))</f>
        <v>2.652523898886372</v>
      </c>
      <c r="EI235" s="253">
        <f>+EI228/EI221*100</f>
        <v>22.952106778330279</v>
      </c>
      <c r="EJ235" s="81">
        <f t="shared" ref="EJ235:EJ236" si="759">IF(ISERROR((EI235/EA235-1)*100),"NA",IF(((EI235/EA235-1)*100)&gt;100,"NM",IF(((EI235/EA235-1)*100)&lt;-50,"NM",(EI235/EA235-1)*100)))</f>
        <v>3.0129425019954192</v>
      </c>
      <c r="EK235" s="186">
        <f t="shared" ref="EK235" si="760">EI235</f>
        <v>22.952106778330279</v>
      </c>
      <c r="EL235" s="81">
        <f t="shared" ref="EL235:EL236" si="761">IF(ISERROR((EK235/EC235-1)*100),"NA",IF(((EK235/EC235-1)*100)&gt;100,"NM",IF(((EK235/EC235-1)*100)&lt;-50,"NM",(EK235/EC235-1)*100)))</f>
        <v>0.83302308836883387</v>
      </c>
      <c r="EM235" s="186">
        <f t="shared" ref="EM235:EM236" si="762">EK235</f>
        <v>22.952106778330279</v>
      </c>
      <c r="EN235" s="81">
        <f t="shared" ref="EN235:EN236" si="763">IF(ISERROR((EM235/EE235-1)*100),"NA",IF(((EM235/EE235-1)*100)&gt;100,"NM",IF(((EM235/EE235-1)*100)&lt;-50,"NM",(EM235/EE235-1)*100)))</f>
        <v>1.3718049376253871</v>
      </c>
      <c r="EO235" s="186">
        <f t="shared" ref="EO235:EO236" si="764">EM235</f>
        <v>22.952106778330279</v>
      </c>
      <c r="EP235" s="81">
        <f t="shared" ref="EP235:EP236" si="765">IF(ISERROR((EO235/EG235-1)*100),"NA",IF(((EO235/EG235-1)*100)&gt;100,"NM",IF(((EO235/EG235-1)*100)&lt;-50,"NM",(EO235/EG235-1)*100)))</f>
        <v>0.60142172400086125</v>
      </c>
      <c r="EQ235" s="186">
        <f t="shared" ref="EQ235:EQ236" si="766">EO235</f>
        <v>22.952106778330279</v>
      </c>
      <c r="ER235" s="81">
        <f t="shared" ref="ER235:ER236" si="767">IF(ISERROR((EQ235/EI235-1)*100),"NA",IF(((EQ235/EI235-1)*100)&gt;100,"NM",IF(((EQ235/EI235-1)*100)&lt;-50,"NM",(EQ235/EI235-1)*100)))</f>
        <v>0</v>
      </c>
      <c r="ES235" s="129"/>
      <c r="ET235" s="469"/>
      <c r="EU235" s="129"/>
      <c r="EV235" s="185"/>
      <c r="EW235" s="79"/>
      <c r="EX235" s="185"/>
      <c r="EY235" s="79"/>
      <c r="EZ235" s="185"/>
      <c r="FA235" s="79"/>
      <c r="FB235" s="253">
        <f>+FB228/FB221*100</f>
        <v>22.17682627880373</v>
      </c>
      <c r="FC235" s="79" t="str">
        <f>IF(ISERROR((FB235/EZ235-1)*100),"NA",IF(((FB235/EZ235-1)*100)&gt;100,"NM",IF(((FB235/EZ235-1)*100)&lt;-50,"NM",(FB235/EZ235-1)*100)))</f>
        <v>NA</v>
      </c>
      <c r="FD235" s="253">
        <f>+FD228/FD221*100</f>
        <v>22.60091094707083</v>
      </c>
      <c r="FE235" s="79">
        <f>IF(ISERROR((FD235/FB235-1)*100),"NA",IF(((FD235/FB235-1)*100)&gt;100,"NM",IF(((FD235/FB235-1)*100)&lt;-50,"NM",(FD235/FB235-1)*100)))</f>
        <v>1.912287461404838</v>
      </c>
      <c r="FF235" s="253">
        <f>+FF228/FF221*100</f>
        <v>23.777937995674119</v>
      </c>
      <c r="FG235" s="79">
        <f>IF(ISERROR((FF235/FD235-1)*100),"NA",IF(((FF235/FD235-1)*100)&gt;100,"NM",IF(((FF235/FD235-1)*100)&lt;-50,"NM",(FF235/FD235-1)*100)))</f>
        <v>5.2078743700188612</v>
      </c>
      <c r="FH235" s="253">
        <f>+FH228/FH221*100</f>
        <v>23.468286099865043</v>
      </c>
      <c r="FI235" s="79">
        <f>IF(ISERROR((FH235/FF235-1)*100),"NA",IF(((FH235/FF235-1)*100)&gt;100,"NM",IF(((FH235/FF235-1)*100)&lt;-50,"NM",(FH235/FF235-1)*100)))</f>
        <v>-1.3022655533268312</v>
      </c>
      <c r="FJ235" s="253">
        <f>+FJ228/FJ221*100</f>
        <v>21.689961880559082</v>
      </c>
      <c r="FK235" s="79">
        <f>IF(ISERROR((FJ235/FH235-1)*100),"NA",IF(((FJ235/FH235-1)*100)&gt;100,"NM",IF(((FJ235/FH235-1)*100)&lt;-50,"NM",(FJ235/FH235-1)*100)))</f>
        <v>-7.5775632346504747</v>
      </c>
      <c r="FL235" s="253">
        <f>+FL228/FL221*100</f>
        <v>21.957012231326441</v>
      </c>
      <c r="FM235" s="79">
        <f>IF(ISERROR((FL235/FJ235-1)*100),"NA",IF(((FL235/FJ235-1)*100)&gt;100,"NM",IF(((FL235/FJ235-1)*100)&lt;-50,"NM",(FL235/FJ235-1)*100)))</f>
        <v>1.2312163213468841</v>
      </c>
      <c r="FN235" s="253">
        <f>+FN228/FN221*100</f>
        <v>22.222222222222225</v>
      </c>
      <c r="FO235" s="79">
        <f>IF(ISERROR((FN235/FL235-1)*100),"NA",IF(((FN235/FL235-1)*100)&gt;100,"NM",IF(((FN235/FL235-1)*100)&lt;-50,"NM",(FN235/FL235-1)*100)))</f>
        <v>1.2078601045610649</v>
      </c>
      <c r="FP235" s="253">
        <f>+FP228/FP221*100</f>
        <v>21.671953340837</v>
      </c>
      <c r="FQ235" s="79">
        <f>IF(ISERROR((FP235/FN235-1)*100),"NA",IF(((FP235/FN235-1)*100)&gt;100,"NM",IF(((FP235/FN235-1)*100)&lt;-50,"NM",(FP235/FN235-1)*100)))</f>
        <v>-2.4762099662335113</v>
      </c>
      <c r="FR235" s="253">
        <f>+FR228/FR221*100</f>
        <v>21.209733031228449</v>
      </c>
      <c r="FS235" s="79">
        <f>IF(ISERROR((FR235/FP235-1)*100),"NA",IF(((FR235/FP235-1)*100)&gt;100,"NM",IF(((FR235/FP235-1)*100)&lt;-50,"NM",(FR235/FP235-1)*100)))</f>
        <v>-2.1328041009463505</v>
      </c>
      <c r="FT235" s="253">
        <f>+FT228/FT221*100</f>
        <v>21.623129125220789</v>
      </c>
      <c r="FU235" s="79">
        <f>IF(ISERROR((FT235/FR235-1)*100),"NA",IF(((FT235/FR235-1)*100)&gt;100,"NM",IF(((FT235/FR235-1)*100)&lt;-50,"NM",(FT235/FR235-1)*100)))</f>
        <v>1.949086739487349</v>
      </c>
      <c r="FV235" s="253">
        <f>+FV228/FV221*100</f>
        <v>21.659473266977894</v>
      </c>
      <c r="FW235" s="79">
        <f>IF(ISERROR((FV235/FT235-1)*100),"NA",IF(((FV235/FT235-1)*100)&gt;100,"NM",IF(((FV235/FT235-1)*100)&lt;-50,"NM",(FV235/FT235-1)*100)))</f>
        <v>0.16807993675029831</v>
      </c>
      <c r="FX235" s="253">
        <f>+FX228/FX221*100</f>
        <v>21.30598576810381</v>
      </c>
      <c r="FY235" s="79">
        <f>IF(ISERROR((FX235/FV235-1)*100),"NA",IF(((FX235/FV235-1)*100)&gt;100,"NM",IF(((FX235/FV235-1)*100)&lt;-50,"NM",(FX235/FV235-1)*100)))</f>
        <v>-1.6320226005357763</v>
      </c>
      <c r="FZ235" s="253">
        <f>+FZ228/FZ221*100</f>
        <v>20.491803278688526</v>
      </c>
      <c r="GA235" s="79">
        <f>IF(ISERROR((FZ235/FX235-1)*100),"NA",IF(((FZ235/FX235-1)*100)&gt;100,"NM",IF(((FZ235/FX235-1)*100)&lt;-50,"NM",(FZ235/FX235-1)*100)))</f>
        <v>-3.8213791104383388</v>
      </c>
      <c r="GB235" s="253">
        <f>+GB228/GB221*100</f>
        <v>20.593546360995525</v>
      </c>
      <c r="GC235" s="79">
        <f>IF(ISERROR((GB235/FZ235-1)*100),"NA",IF(((GB235/FZ235-1)*100)&gt;100,"NM",IF(((GB235/FZ235-1)*100)&lt;-50,"NM",(GB235/FZ235-1)*100)))</f>
        <v>0.49650624165815671</v>
      </c>
      <c r="GD235" s="253">
        <f>+GD228/GD221*100</f>
        <v>21.925892723741224</v>
      </c>
      <c r="GE235" s="79">
        <f>IF(ISERROR((GD235/GB235-1)*100),"NA",IF(((GD235/GB235-1)*100)&gt;100,"NM",IF(((GD235/GB235-1)*100)&lt;-50,"NM",(GD235/GB235-1)*100)))</f>
        <v>6.4697276486054056</v>
      </c>
      <c r="GF235" s="253">
        <f>+GF228/GF221*100</f>
        <v>22.129701503069651</v>
      </c>
      <c r="GG235" s="79">
        <f>IF(ISERROR((GF235/GD235-1)*100),"NA",IF(((GF235/GD235-1)*100)&gt;100,"NM",IF(((GF235/GD235-1)*100)&lt;-50,"NM",(GF235/GD235-1)*100)))</f>
        <v>0.92953469168324254</v>
      </c>
      <c r="GH235" s="253">
        <f>+GH228/GH221*100</f>
        <v>22.793436548895063</v>
      </c>
      <c r="GI235" s="79">
        <f>IF(ISERROR((GH235/GF235-1)*100),"NA",IF(((GH235/GF235-1)*100)&gt;100,"NM",IF(((GH235/GF235-1)*100)&lt;-50,"NM",(GH235/GF235-1)*100)))</f>
        <v>2.9992950683647601</v>
      </c>
      <c r="GJ235" s="253">
        <f>+GJ228/GJ221*100</f>
        <v>22.952106778330279</v>
      </c>
      <c r="GK235" s="79">
        <f>IF(ISERROR((GJ235/GH235-1)*100),"NA",IF(((GJ235/GH235-1)*100)&gt;100,"NM",IF(((GJ235/GH235-1)*100)&lt;-50,"NM",(GJ235/GH235-1)*100)))</f>
        <v>0.69612245215786572</v>
      </c>
      <c r="GL235" s="186">
        <f>GJ235</f>
        <v>22.952106778330279</v>
      </c>
      <c r="GM235" s="79">
        <f>IF(ISERROR((GL235/GJ235-1)*100),"NA",IF(((GL235/GJ235-1)*100)&gt;100,"NM",IF(((GL235/GJ235-1)*100)&lt;-50,"NM",(GL235/GJ235-1)*100)))</f>
        <v>0</v>
      </c>
      <c r="GN235" s="186">
        <f>GL235</f>
        <v>22.952106778330279</v>
      </c>
      <c r="GO235" s="79">
        <f>IF(ISERROR((GN235/GL235-1)*100),"NA",IF(((GN235/GL235-1)*100)&gt;100,"NM",IF(((GN235/GL235-1)*100)&lt;-50,"NM",(GN235/GL235-1)*100)))</f>
        <v>0</v>
      </c>
      <c r="GP235" s="186">
        <f>GN235</f>
        <v>22.952106778330279</v>
      </c>
      <c r="GQ235" s="79">
        <f>IF(ISERROR((GP235/GN235-1)*100),"NA",IF(((GP235/GN235-1)*100)&gt;100,"NM",IF(((GP235/GN235-1)*100)&lt;-50,"NM",(GP235/GN235-1)*100)))</f>
        <v>0</v>
      </c>
      <c r="GR235" s="186">
        <f>GP235</f>
        <v>22.952106778330279</v>
      </c>
      <c r="GS235" s="79">
        <f>IF(ISERROR((GR235/GP235-1)*100),"NA",IF(((GR235/GP235-1)*100)&gt;100,"NM",IF(((GR235/GP235-1)*100)&lt;-50,"NM",(GR235/GP235-1)*100)))</f>
        <v>0</v>
      </c>
      <c r="GT235" s="79">
        <f>IF(ISERROR(((GR235/GH235)^0.2-1)*100),"NA",(IF(OR(((GR235/GH235)^0.2-1)*100&gt;99,((GR235/GH235)^0.2-1)*100&lt;-50),"NM",(((GR235/GH235)^0.2-1)*100))))</f>
        <v>0.13883843259958617</v>
      </c>
    </row>
    <row r="236" spans="1:286" ht="12.75" customHeight="1" x14ac:dyDescent="0.2">
      <c r="A236" s="1"/>
      <c r="B236" s="10" t="s">
        <v>502</v>
      </c>
      <c r="C236" s="79"/>
      <c r="D236" s="79"/>
      <c r="E236" s="185">
        <f>E230/E224*100</f>
        <v>17.190177041690465</v>
      </c>
      <c r="F236" s="185"/>
      <c r="G236" s="185">
        <f>G230/G224*100</f>
        <v>16.045845272206304</v>
      </c>
      <c r="H236" s="185"/>
      <c r="I236" s="185">
        <f>I230/I224*100</f>
        <v>15.744920993227989</v>
      </c>
      <c r="J236" s="185"/>
      <c r="K236" s="185">
        <f>K230/K224*100</f>
        <v>15.899825276645313</v>
      </c>
      <c r="L236" s="79"/>
      <c r="M236" s="185">
        <f>M230/M224*100</f>
        <v>17.386363636363637</v>
      </c>
      <c r="N236" s="79">
        <f>IF(ISERROR((M236/E236-1)*100),"NA",IF(((M236/E236-1)*100)&gt;100,"NM",IF(((M236/E236-1)*100)&lt;-50,"NM",(M236/E236-1)*100)))</f>
        <v>1.1412715191784883</v>
      </c>
      <c r="O236" s="185">
        <f>O230/O224*100</f>
        <v>17.155756207674944</v>
      </c>
      <c r="P236" s="79">
        <f>IF(ISERROR((O236/G236-1)*100),"NA",IF(((O236/G236-1)*100)&gt;100,"NM",IF(((O236/G236-1)*100)&lt;-50,"NM",(O236/G236-1)*100)))</f>
        <v>6.9171235085456306</v>
      </c>
      <c r="Q236" s="185">
        <f>Q230/Q224*100</f>
        <v>16.830601092896174</v>
      </c>
      <c r="R236" s="79">
        <f>IF(ISERROR((Q236/I236-1)*100),"NA",IF(((Q236/I236-1)*100)&gt;100,"NM",IF(((Q236/I236-1)*100)&lt;-50,"NM",(Q236/I236-1)*100)))</f>
        <v>6.8954305971757224</v>
      </c>
      <c r="S236" s="185">
        <f>S230/S224*100</f>
        <v>16.48531011969532</v>
      </c>
      <c r="T236" s="79">
        <f>IF(ISERROR((S236/K236-1)*100),"NA",IF(((S236/K236-1)*100)&gt;100,"NM",IF(((S236/K236-1)*100)&lt;-50,"NM",(S236/K236-1)*100)))</f>
        <v>3.6823350751533424</v>
      </c>
      <c r="U236" s="185">
        <f>U230/U224*100</f>
        <v>16.788321167883215</v>
      </c>
      <c r="V236" s="79">
        <f>IF(ISERROR((U236/M236-1)*100),"NA",IF(((U236/M236-1)*100)&gt;100,"NM",IF(((U236/M236-1)*100)&lt;-50,"NM",(U236/M236-1)*100)))</f>
        <v>-3.4397213873383792</v>
      </c>
      <c r="W236" s="185">
        <f>W230/W224*100</f>
        <v>16.743946419371458</v>
      </c>
      <c r="X236" s="79">
        <f>IF(ISERROR((W236/O236-1)*100),"NA",IF(((W236/O236-1)*100)&gt;100,"NM",IF(((W236/O236-1)*100)&lt;-50,"NM",(W236/O236-1)*100)))</f>
        <v>-2.4004175818216344</v>
      </c>
      <c r="Y236" s="185">
        <f>Y230/Y224*100</f>
        <v>15.712113532691333</v>
      </c>
      <c r="Z236" s="79">
        <f>IF(ISERROR((Y236/Q236-1)*100),"NA",IF(((Y236/Q236-1)*100)&gt;100,"NM",IF(((Y236/Q236-1)*100)&lt;-50,"NM",(Y236/Q236-1)*100)))</f>
        <v>-6.6455592051131829</v>
      </c>
      <c r="AA236" s="252">
        <f>AA230/AA224*100</f>
        <v>15.335305719921106</v>
      </c>
      <c r="AB236" s="79">
        <f>IF(ISERROR((AA236/S236-1)*100),"NA",IF(((AA236/S236-1)*100)&gt;100,"NM",IF(((AA236/S236-1)*100)&lt;-50,"NM",(AA236/S236-1)*100)))</f>
        <v>-6.9759342798185076</v>
      </c>
      <c r="AC236" s="185">
        <f>AC230/AC224*100</f>
        <v>17.140058765915768</v>
      </c>
      <c r="AD236" s="79">
        <f>IF(ISERROR((AC236/U236-1)*100),"NA",IF(((AC236/U236-1)*100)&gt;100,"NM",IF(((AC236/U236-1)*100)&lt;-50,"NM",(AC236/U236-1)*100)))</f>
        <v>2.0951326491504219</v>
      </c>
      <c r="AE236" s="185">
        <f>AE230/AE224*100</f>
        <v>16.698656429942417</v>
      </c>
      <c r="AF236" s="79">
        <f>IF(ISERROR((AE236/W236-1)*100),"NA",IF(((AE236/W236-1)*100)&gt;100,"NM",IF(((AE236/W236-1)*100)&lt;-50,"NM",(AE236/W236-1)*100)))</f>
        <v>-0.27048575225159244</v>
      </c>
      <c r="AG236" s="185">
        <f>AG230/AG224*100</f>
        <v>17.094017094017094</v>
      </c>
      <c r="AH236" s="79">
        <f>IF(ISERROR((AG236/Y236-1)*100),"NA",IF(((AG236/Y236-1)*100)&gt;100,"NM",IF(((AG236/Y236-1)*100)&lt;-50,"NM",(AG236/Y236-1)*100)))</f>
        <v>8.7951475048249286</v>
      </c>
      <c r="AI236" s="185">
        <f>AI230/AI224*100</f>
        <v>17.101584342963651</v>
      </c>
      <c r="AJ236" s="79">
        <f>IF(ISERROR((AI236/AA236-1)*100),"NA",IF(((AI236/AA236-1)*100)&gt;100,"NM",IF(((AI236/AA236-1)*100)&lt;-50,"NM",(AI236/AA236-1)*100)))</f>
        <v>11.517726840933374</v>
      </c>
      <c r="AK236" s="185">
        <f>AK230/AK224*100</f>
        <v>18.252162039144288</v>
      </c>
      <c r="AL236" s="79">
        <f>IF(ISERROR((AK236/AC236-1)*100),"NA",IF(((AK236/AC236-1)*100)&gt;100,"NM",IF(((AK236/AC236-1)*100)&lt;-50,"NM",(AK236/AC236-1)*100)))</f>
        <v>6.4883282398075393</v>
      </c>
      <c r="AM236" s="185">
        <f>AM230/AM224*100</f>
        <v>17.598908594815825</v>
      </c>
      <c r="AN236" s="79">
        <f>IF(ISERROR((AM236/AE236-1)*100),"NA",IF(((AM236/AE236-1)*100)&gt;100,"NM",IF(((AM236/AE236-1)*100)&lt;-50,"NM",(AM236/AE236-1)*100)))</f>
        <v>5.3911652632074203</v>
      </c>
      <c r="AO236" s="185">
        <f>AO230/AO224*100</f>
        <v>16.659162539396668</v>
      </c>
      <c r="AP236" s="79">
        <f>IF(ISERROR((AO236/AG236-1)*100),"NA",IF(((AO236/AG236-1)*100)&gt;100,"NM",IF(((AO236/AG236-1)*100)&lt;-50,"NM",(AO236/AG236-1)*100)))</f>
        <v>-2.5438991445294934</v>
      </c>
      <c r="AQ236" s="185">
        <f>AQ230/AQ224*100</f>
        <v>16.969428444838282</v>
      </c>
      <c r="AR236" s="79">
        <f>IF(ISERROR((AQ236/AI236-1)*100),"NA",IF(((AQ236/AI236-1)*100)&gt;100,"NM",IF(((AQ236/AI236-1)*100)&lt;-50,"NM",(AQ236/AI236-1)*100)))</f>
        <v>-0.77276991110910576</v>
      </c>
      <c r="AS236" s="185">
        <f>AS230/AS224*100</f>
        <v>18.048780487804876</v>
      </c>
      <c r="AT236" s="81">
        <f>IF(ISERROR((AS236/AK236-1)*100),"NA",IF(((AS236/AK236-1)*100)&gt;100,"NM",IF(((AS236/AK236-1)*100)&lt;-50,"NM",(AS236/AK236-1)*100)))</f>
        <v>-1.1142874521014701</v>
      </c>
      <c r="AU236" s="185">
        <f>AU230/AU224*100</f>
        <v>15.045006429489927</v>
      </c>
      <c r="AV236" s="81">
        <f>IF(ISERROR((AU236/AM236-1)*100),"NA",IF(((AU236/AM236-1)*100)&gt;100,"NM",IF(((AU236/AM236-1)*100)&lt;-50,"NM",(AU236/AM236-1)*100)))</f>
        <v>-14.511707652588246</v>
      </c>
      <c r="AW236" s="185">
        <f>AW230/AW224*100</f>
        <v>16.060862214708365</v>
      </c>
      <c r="AX236" s="81">
        <f>IF(ISERROR((AW236/AO236-1)*100),"NA",IF(((AW236/AO236-1)*100)&gt;100,"NM",IF(((AW236/AO236-1)*100)&lt;-50,"NM",(AW236/AO236-1)*100)))</f>
        <v>-3.5914189760343773</v>
      </c>
      <c r="AY236" s="185">
        <f>AY230/AY224*100</f>
        <v>16.818558409279209</v>
      </c>
      <c r="AZ236" s="81">
        <f>IF(ISERROR((AY236/AQ236-1)*100),"NA",IF(((AY236/AQ236-1)*100)&gt;100,"NM",IF(((AY236/AQ236-1)*100)&lt;-50,"NM",(AY236/AQ236-1)*100)))</f>
        <v>-0.88906963513532</v>
      </c>
      <c r="BA236" s="185">
        <f>BA230/BA224*100</f>
        <v>17.372027408303104</v>
      </c>
      <c r="BB236" s="81">
        <f>IF(ISERROR((BA236/AS236-1)*100),"NA",IF(((BA236/AS236-1)*100)&gt;100,"NM",IF(((BA236/AS236-1)*100)&lt;-50,"NM",(BA236/AS236-1)*100)))</f>
        <v>-3.7495778729152218</v>
      </c>
      <c r="BC236" s="185">
        <f>BC230/BC224*100</f>
        <v>17.28</v>
      </c>
      <c r="BD236" s="81">
        <f>IF(ISERROR((BC236/AU236-1)*100),"NA",IF(((BC236/AU236-1)*100)&gt;100,"NM",IF(((BC236/AU236-1)*100)&lt;-50,"NM",(BC236/AU236-1)*100)))</f>
        <v>14.855384615384626</v>
      </c>
      <c r="BE236" s="185">
        <f>BE230/BE224*100</f>
        <v>17.089611419508326</v>
      </c>
      <c r="BF236" s="81">
        <f>IF(ISERROR((BE236/AW236-1)*100),"NA",IF(((BE236/AW236-1)*100)&gt;100,"NM",IF(((BE236/AW236-1)*100)&lt;-50,"NM",(BE236/AW236-1)*100)))</f>
        <v>6.4053174172544969</v>
      </c>
      <c r="BG236" s="185">
        <f>BG230/BG224*100</f>
        <v>19.565217391304344</v>
      </c>
      <c r="BH236" s="81">
        <f>IF(ISERROR((BG236/AY236-1)*100),"NA",IF(((BG236/AY236-1)*100)&gt;100,"NM",IF(((BG236/AY236-1)*100)&lt;-50,"NM",(BG236/AY236-1)*100)))</f>
        <v>16.331120154208566</v>
      </c>
      <c r="BI236" s="185">
        <f>BI230/BI224*100</f>
        <v>17.792792792792795</v>
      </c>
      <c r="BJ236" s="81">
        <f>IF(ISERROR((BI236/BA236-1)*100),"NA",IF(((BI236/BA236-1)*100)&gt;100,"NM",IF(((BI236/BA236-1)*100)&lt;-50,"NM",(BI236/BA236-1)*100)))</f>
        <v>2.4220856587445994</v>
      </c>
      <c r="BK236" s="185">
        <f>BK230/BK224*100</f>
        <v>18.468970642883686</v>
      </c>
      <c r="BL236" s="81">
        <f>IF(ISERROR((BK236/BC236-1)*100),"NA",IF(((BK236/BC236-1)*100)&gt;100,"NM",IF(((BK236/BC236-1)*100)&lt;-50,"NM",(BK236/BC236-1)*100)))</f>
        <v>6.8806171463176247</v>
      </c>
      <c r="BM236" s="185">
        <f>BM230/BM224*100</f>
        <v>18.138337012509194</v>
      </c>
      <c r="BN236" s="81">
        <f>IF(ISERROR((BM236/BE236-1)*100),"NA",IF(((BM236/BE236-1)*100)&gt;100,"NM",IF(((BM236/BE236-1)*100)&lt;-50,"NM",(BM236/BE236-1)*100)))</f>
        <v>6.1366263237776941</v>
      </c>
      <c r="BO236" s="185">
        <f>BO230/BO224*100</f>
        <v>18.290474465773269</v>
      </c>
      <c r="BP236" s="81">
        <f>IF(ISERROR((BO236/BG236-1)*100),"NA",IF(((BO236/BG236-1)*100)&gt;100,"NM",IF(((BO236/BG236-1)*100)&lt;-50,"NM",(BO236/BG236-1)*100)))</f>
        <v>-6.5153527304921628</v>
      </c>
      <c r="BQ236" s="185">
        <f>BQ230/BQ224*100</f>
        <v>17.787264318747773</v>
      </c>
      <c r="BR236" s="81">
        <f>IF(ISERROR((BQ236/BI236-1)*100),"NA",IF(((BQ236/BI236-1)*100)&gt;100,"NM",IF(((BQ236/BI236-1)*100)&lt;-50,"NM",(BQ236/BI236-1)*100)))</f>
        <v>-3.1071423746709126E-2</v>
      </c>
      <c r="BS236" s="185">
        <f>BS230/BS224*100</f>
        <v>18.396564065855404</v>
      </c>
      <c r="BT236" s="81">
        <f>IF(ISERROR((BS236/BK236-1)*100),"NA",IF(((BS236/BK236-1)*100)&gt;100,"NM",IF(((BS236/BK236-1)*100)&lt;-50,"NM",(BS236/BK236-1)*100)))</f>
        <v>-0.39204446435232576</v>
      </c>
      <c r="BU236" s="185">
        <f>BU230/BU224*100</f>
        <v>17.632508833922262</v>
      </c>
      <c r="BV236" s="81">
        <f>IF(ISERROR((BU236/BM236-1)*100),"NA",IF(((BU236/BM236-1)*100)&gt;100,"NM",IF(((BU236/BM236-1)*100)&lt;-50,"NM",(BU236/BM236-1)*100)))</f>
        <v>-2.7887241164285537</v>
      </c>
      <c r="BW236" s="185">
        <f>BW230/BW224*100</f>
        <v>18.261173184357542</v>
      </c>
      <c r="BX236" s="81">
        <f>IF(ISERROR((BW236/BO236-1)*100),"NA",IF(((BW236/BO236-1)*100)&gt;100,"NM",IF(((BW236/BO236-1)*100)&lt;-50,"NM",(BW236/BO236-1)*100)))</f>
        <v>-0.1601996791857796</v>
      </c>
      <c r="BY236" s="185">
        <f>BY230/BY224*100</f>
        <v>17.716802168021676</v>
      </c>
      <c r="BZ236" s="81">
        <f>IF(ISERROR((BY236/BQ236-1)*100),"NA",IF(((BY236/BQ236-1)*100)&gt;100,"NM",IF(((BY236/BQ236-1)*100)&lt;-50,"NM",(BY236/BQ236-1)*100)))</f>
        <v>-0.39613821138212435</v>
      </c>
      <c r="CA236" s="185">
        <f>CA230/CA224*100</f>
        <v>17.468865701783912</v>
      </c>
      <c r="CB236" s="81">
        <f>IF(ISERROR((CA236/BS236-1)*100),"NA",IF(((CA236/BS236-1)*100)&gt;100,"NM",IF(((CA236/BS236-1)*100)&lt;-50,"NM",(CA236/BS236-1)*100)))</f>
        <v>-5.0427806015870598</v>
      </c>
      <c r="CC236" s="185">
        <f>CC230/CC224*100</f>
        <v>17.285998672859986</v>
      </c>
      <c r="CD236" s="81">
        <f>IF(ISERROR((CC236/BU236-1)*100),"NA",IF(((CC236/BU236-1)*100)&gt;100,"NM",IF(((CC236/BU236-1)*100)&lt;-50,"NM",(CC236/BU236-1)*100)))</f>
        <v>-1.9651778673471787</v>
      </c>
      <c r="CE236" s="185">
        <f>CE230/CE224*100</f>
        <v>17.136304062909563</v>
      </c>
      <c r="CF236" s="81">
        <f>IF(ISERROR((CE236/BW236-1)*100),"NA",IF(((CE236/BW236-1)*100)&gt;100,"NM",IF(((CE236/BW236-1)*100)&lt;-50,"NM",(CE236/BW236-1)*100)))</f>
        <v>-6.1598951507208621</v>
      </c>
      <c r="CG236" s="185">
        <f>CG230/CG224*100</f>
        <v>17.062219371391922</v>
      </c>
      <c r="CH236" s="81">
        <f>IF(ISERROR((CG236/BY236-1)*100),"NA",IF(((CG236/BY236-1)*100)&gt;100,"NM",IF(((CG236/BY236-1)*100)&lt;-50,"NM",(CG236/BY236-1)*100)))</f>
        <v>-3.6947006035392582</v>
      </c>
      <c r="CI236" s="185">
        <f>CI230/CI224*100</f>
        <v>17.10691823899371</v>
      </c>
      <c r="CJ236" s="81">
        <f>IF(ISERROR((CI236/CA236-1)*100),"NA",IF(((CI236/CA236-1)*100)&gt;100,"NM",IF(((CI236/CA236-1)*100)&lt;-50,"NM",(CI236/CA236-1)*100)))</f>
        <v>-2.0719574411361963</v>
      </c>
      <c r="CK236" s="185">
        <f>CK230/CK224*100</f>
        <v>16.945937401201391</v>
      </c>
      <c r="CL236" s="81">
        <f>IF(ISERROR((CK236/CC236-1)*100),"NA",IF(((CK236/CC236-1)*100)&gt;100,"NM",IF(((CK236/CC236-1)*100)&lt;-50,"NM",(CK236/CC236-1)*100)))</f>
        <v>-1.9672642471765922</v>
      </c>
      <c r="CM236" s="185">
        <f>CM230/CM224*100</f>
        <v>16.609748525302702</v>
      </c>
      <c r="CN236" s="81">
        <f>IF(ISERROR((CM236/CE236-1)*100),"NA",IF(((CM236/CE236-1)*100)&gt;100,"NM",IF(((CM236/CE236-1)*100)&lt;-50,"NM",(CM236/CE236-1)*100)))</f>
        <v>-3.0727485674495902</v>
      </c>
      <c r="CO236" s="185">
        <f>CO230/CO224*100</f>
        <v>16.265060240963855</v>
      </c>
      <c r="CP236" s="81">
        <f>IF(ISERROR((CO236/CG236-1)*100),"NA",IF(((CO236/CG236-1)*100)&gt;100,"NM",IF(((CO236/CG236-1)*100)&lt;-50,"NM",(CO236/CG236-1)*100)))</f>
        <v>-4.6720717456291583</v>
      </c>
      <c r="CQ236" s="185">
        <f>CQ230/CQ224*100</f>
        <v>16.253776435045317</v>
      </c>
      <c r="CR236" s="81">
        <f>IF(ISERROR((CQ236/CI236-1)*100),"NA",IF(((CQ236/CI236-1)*100)&gt;100,"NM",IF(((CQ236/CI236-1)*100)&lt;-50,"NM",(CQ236/CI236-1)*100)))</f>
        <v>-4.98711569219833</v>
      </c>
      <c r="CS236" s="185">
        <f>CS230/CS224*100</f>
        <v>15.841584158415841</v>
      </c>
      <c r="CT236" s="81">
        <f>IF(ISERROR((CS236/CK236-1)*100),"NA",IF(((CS236/CK236-1)*100)&gt;100,"NM",IF(((CS236/CK236-1)*100)&lt;-50,"NM",(CS236/CK236-1)*100)))</f>
        <v>-6.5169203487512988</v>
      </c>
      <c r="CU236" s="185">
        <f>CU230/CU224*100</f>
        <v>16.760605161673094</v>
      </c>
      <c r="CV236" s="81">
        <f>IF(ISERROR((CU236/CM236-1)*100),"NA",IF(((CU236/CM236-1)*100)&gt;100,"NM",IF(((CU236/CM236-1)*100)&lt;-50,"NM",(CU236/CM236-1)*100)))</f>
        <v>0.90824154345614527</v>
      </c>
      <c r="CW236" s="185">
        <f>CW230/CW224*100</f>
        <v>15.873015873015872</v>
      </c>
      <c r="CX236" s="81">
        <f>IF(ISERROR((CW236/CO236-1)*100),"NA",IF(((CW236/CO236-1)*100)&gt;100,"NM",IF(((CW236/CO236-1)*100)&lt;-50,"NM",(CW236/CO236-1)*100)))</f>
        <v>-2.410346854791301</v>
      </c>
      <c r="CY236" s="185">
        <f>CY230/CY224*100</f>
        <v>16.403508771929825</v>
      </c>
      <c r="CZ236" s="81">
        <f>IF(ISERROR((CY236/CQ236-1)*100),"NA",IF(((CY236/CQ236-1)*100)&gt;100,"NM",IF(((CY236/CQ236-1)*100)&lt;-50,"NM",(CY236/CQ236-1)*100)))</f>
        <v>0.92121567860170561</v>
      </c>
      <c r="DA236" s="185">
        <f>DA230/DA224*100</f>
        <v>16.028985507246375</v>
      </c>
      <c r="DB236" s="81">
        <f>IF(ISERROR((DA236/CS236-1)*100),"NA",IF(((DA236/CS236-1)*100)&gt;100,"NM",IF(((DA236/CS236-1)*100)&lt;-50,"NM",(DA236/CS236-1)*100)))</f>
        <v>1.1829710144927397</v>
      </c>
      <c r="DC236" s="185">
        <f>DC230/DC224*100</f>
        <v>16.880466472303208</v>
      </c>
      <c r="DD236" s="81">
        <f>IF(ISERROR((DC236/CU236-1)*100),"NA",IF(((DC236/CU236-1)*100)&gt;100,"NM",IF(((DC236/CU236-1)*100)&lt;-50,"NM",(DC236/CU236-1)*100)))</f>
        <v>0.71513712944091257</v>
      </c>
      <c r="DE236" s="185">
        <f>DE230/DE224*100</f>
        <v>16.576933975630492</v>
      </c>
      <c r="DF236" s="81">
        <f>IF(ISERROR((DE236/CW236-1)*100),"NA",IF(((DE236/CW236-1)*100)&gt;100,"NM",IF(((DE236/CW236-1)*100)&lt;-50,"NM",(DE236/CW236-1)*100)))</f>
        <v>4.4346840464721149</v>
      </c>
      <c r="DG236" s="185">
        <f>DG230/DG224*100</f>
        <v>16.614686702580098</v>
      </c>
      <c r="DH236" s="81">
        <f>IF(ISERROR((DG236/CY236-1)*100),"NA",IF(((DG236/CY236-1)*100)&gt;100,"NM",IF(((DG236/CY236-1)*100)&lt;-50,"NM",(DG236/CY236-1)*100)))</f>
        <v>1.2873948713439054</v>
      </c>
      <c r="DI236" s="185">
        <f>DI230/DI224*100</f>
        <v>16.676056338028168</v>
      </c>
      <c r="DJ236" s="81">
        <f>IF(ISERROR((DI236/DA236-1)*100),"NA",IF(((DI236/DA236-1)*100)&gt;100,"NM",IF(((DI236/DA236-1)*100)&lt;-50,"NM",(DI236/DA236-1)*100)))</f>
        <v>4.0368795048773665</v>
      </c>
      <c r="DK236" s="185">
        <f>DK230/DK224*100</f>
        <v>17.201003624198492</v>
      </c>
      <c r="DL236" s="81">
        <f>IF(ISERROR((DK236/DC236-1)*100),"NA",IF(((DK236/DC236-1)*100)&gt;100,"NM",IF(((DK236/DC236-1)*100)&lt;-50,"NM",(DK236/DC236-1)*100)))</f>
        <v>1.8988643022466611</v>
      </c>
      <c r="DM236" s="185">
        <f>DM230/DM224*100</f>
        <v>16.95557963163597</v>
      </c>
      <c r="DN236" s="81">
        <f>IF(ISERROR((DM236/DE236-1)*100),"NA",IF(((DM236/DE236-1)*100)&gt;100,"NM",IF(((DM236/DE236-1)*100)&lt;-50,"NM",(DM236/DE236-1)*100)))</f>
        <v>2.2841718291338964</v>
      </c>
      <c r="DO236" s="185">
        <f>DO230/DO224*100</f>
        <v>16.765021459227469</v>
      </c>
      <c r="DP236" s="81">
        <f>IF(ISERROR((DO236/DG236-1)*100),"NA",IF(((DO236/DG236-1)*100)&gt;100,"NM",IF(((DO236/DG236-1)*100)&lt;-50,"NM",(DO236/DG236-1)*100)))</f>
        <v>0.90483052337078096</v>
      </c>
      <c r="DQ236" s="185">
        <f>DQ230/DQ224*100</f>
        <v>17.204009753454347</v>
      </c>
      <c r="DR236" s="81">
        <f>IF(ISERROR((DQ236/DI236-1)*100),"NA",IF(((DQ236/DI236-1)*100)&gt;100,"NM",IF(((DQ236/DI236-1)*100)&lt;-50,"NM",(DQ236/DI236-1)*100)))</f>
        <v>3.1659368661536069</v>
      </c>
      <c r="DS236" s="185">
        <f>DS230/DS224*100</f>
        <v>17.158176943699733</v>
      </c>
      <c r="DT236" s="81">
        <f>IF(ISERROR((DS236/DK236-1)*100),"NA",IF(((DS236/DK236-1)*100)&gt;100,"NM",IF(((DS236/DK236-1)*100)&lt;-50,"NM",(DS236/DK236-1)*100)))</f>
        <v>-0.2489778005657195</v>
      </c>
      <c r="DU236" s="185">
        <f>DU230/DU224*100</f>
        <v>17.120622568093385</v>
      </c>
      <c r="DV236" s="81">
        <f>IF(ISERROR((DU236/DM236-1)*100),"NA",IF(((DU236/DM236-1)*100)&gt;100,"NM",IF(((DU236/DM236-1)*100)&lt;-50,"NM",(DU236/DM236-1)*100)))</f>
        <v>0.97338421949004772</v>
      </c>
      <c r="DW236" s="185">
        <f>DW230/DW224*100</f>
        <v>17.118512780790088</v>
      </c>
      <c r="DX236" s="81">
        <f>IF(ISERROR((DW236/DO236-1)*100),"NA",IF(((DW236/DO236-1)*100)&gt;100,"NM",IF(((DW236/DO236-1)*100)&lt;-50,"NM",(DW236/DO236-1)*100)))</f>
        <v>2.1085050348567114</v>
      </c>
      <c r="DY236" s="185">
        <f>DY230/DY224*100</f>
        <v>17.306707629288272</v>
      </c>
      <c r="DZ236" s="81">
        <f>IF(ISERROR((DY236/DQ236-1)*100),"NA",IF(((DY236/DQ236-1)*100)&gt;100,"NM",IF(((DY236/DQ236-1)*100)&lt;-50,"NM",(DY236/DQ236-1)*100)))</f>
        <v>0.59694151134332962</v>
      </c>
      <c r="EA236" s="185">
        <f>EA230/EA224*100</f>
        <v>17.078708375378408</v>
      </c>
      <c r="EB236" s="81">
        <f>IF(ISERROR((EA236/DS236-1)*100),"NA",IF(((EA236/DS236-1)*100)&gt;100,"NM",IF(((EA236/DS236-1)*100)&lt;-50,"NM",(EA236/DS236-1)*100)))</f>
        <v>-0.46315274974771947</v>
      </c>
      <c r="EC236" s="185">
        <f>EC230/EC224*100</f>
        <v>16.865999511837927</v>
      </c>
      <c r="ED236" s="81">
        <f t="shared" si="756"/>
        <v>-1.487230124037564</v>
      </c>
      <c r="EE236" s="185">
        <f>EE230/EE224*100</f>
        <v>16.844143272023228</v>
      </c>
      <c r="EF236" s="81">
        <f t="shared" si="757"/>
        <v>-1.6027648679548201</v>
      </c>
      <c r="EG236" s="185">
        <f>EG230/EG224*100</f>
        <v>16.771084337349397</v>
      </c>
      <c r="EH236" s="81">
        <f t="shared" si="758"/>
        <v>-3.0948884294574652</v>
      </c>
      <c r="EI236" s="185">
        <f>EI230/EI224*100</f>
        <v>17.759237187127532</v>
      </c>
      <c r="EJ236" s="81">
        <f t="shared" si="759"/>
        <v>3.984662052841248</v>
      </c>
      <c r="EK236" s="186">
        <v>17.8</v>
      </c>
      <c r="EL236" s="81">
        <f t="shared" si="761"/>
        <v>5.537771345875564</v>
      </c>
      <c r="EM236" s="186">
        <f t="shared" si="762"/>
        <v>17.8</v>
      </c>
      <c r="EN236" s="81">
        <f t="shared" si="763"/>
        <v>5.6747126436782036</v>
      </c>
      <c r="EO236" s="186">
        <f t="shared" si="764"/>
        <v>17.8</v>
      </c>
      <c r="EP236" s="81">
        <f t="shared" si="765"/>
        <v>6.1350574712643713</v>
      </c>
      <c r="EQ236" s="186">
        <f t="shared" si="766"/>
        <v>17.8</v>
      </c>
      <c r="ER236" s="81">
        <f t="shared" si="767"/>
        <v>0.2295302013422873</v>
      </c>
      <c r="ES236" s="129"/>
      <c r="ET236" s="469"/>
      <c r="EU236" s="129"/>
      <c r="EV236" s="185"/>
      <c r="EW236" s="79"/>
      <c r="EX236" s="185"/>
      <c r="EY236" s="79"/>
      <c r="EZ236" s="185"/>
      <c r="FA236" s="79"/>
      <c r="FB236" s="185">
        <f>FB230/FB224*100</f>
        <v>16.220472440944881</v>
      </c>
      <c r="FC236" s="79" t="str">
        <f>IF(ISERROR((FB236/EZ236-1)*100),"NA",IF(((FB236/EZ236-1)*100)&gt;100,"NM",IF(((FB236/EZ236-1)*100)&lt;-50,"NM",(FB236/EZ236-1)*100)))</f>
        <v>NA</v>
      </c>
      <c r="FD236" s="185">
        <f>FD230/FD224*100</f>
        <v>16.958333333333332</v>
      </c>
      <c r="FE236" s="79">
        <f>IF(ISERROR((FD236/FB236-1)*100),"NA",IF(((FD236/FB236-1)*100)&gt;100,"NM",IF(((FD236/FB236-1)*100)&lt;-50,"NM",(FD236/FB236-1)*100)))</f>
        <v>4.5489482200647302</v>
      </c>
      <c r="FF236" s="185">
        <f>FF230/FF224*100</f>
        <v>16.132315521628499</v>
      </c>
      <c r="FG236" s="79">
        <f>IF(ISERROR((FF236/FD236-1)*100),"NA",IF(((FF236/FD236-1)*100)&gt;100,"NM",IF(((FF236/FD236-1)*100)&lt;-50,"NM",(FF236/FD236-1)*100)))</f>
        <v>-4.870866702927767</v>
      </c>
      <c r="FH236" s="185">
        <f>FH230/FH224*100</f>
        <v>17.008832656958703</v>
      </c>
      <c r="FI236" s="79">
        <f>IF(ISERROR((FH236/FF236-1)*100),"NA",IF(((FH236/FF236-1)*100)&gt;100,"NM",IF(((FH236/FF236-1)*100)&lt;-50,"NM",(FH236/FF236-1)*100)))</f>
        <v>5.4333002237345385</v>
      </c>
      <c r="FJ236" s="185">
        <f>FJ230/FJ224*100</f>
        <v>17.365336939373449</v>
      </c>
      <c r="FK236" s="79">
        <f>IF(ISERROR((FJ236/FH236-1)*100),"NA",IF(((FJ236/FH236-1)*100)&gt;100,"NM",IF(((FJ236/FH236-1)*100)&lt;-50,"NM",(FJ236/FH236-1)*100)))</f>
        <v>2.0959950021549156</v>
      </c>
      <c r="FL236" s="185">
        <f>FL230/FL224*100</f>
        <v>16.481639624252772</v>
      </c>
      <c r="FM236" s="79">
        <f>IF(ISERROR((FL236/FJ236-1)*100),"NA",IF(((FL236/FJ236-1)*100)&gt;100,"NM",IF(((FL236/FJ236-1)*100)&lt;-50,"NM",(FL236/FJ236-1)*100)))</f>
        <v>-5.0888578678656042</v>
      </c>
      <c r="FN236" s="185">
        <f>FN230/FN224*100</f>
        <v>17.839071336442107</v>
      </c>
      <c r="FO236" s="79">
        <f>IF(ISERROR((FN236/FL236-1)*100),"NA",IF(((FN236/FL236-1)*100)&gt;100,"NM",IF(((FN236/FL236-1)*100)&lt;-50,"NM",(FN236/FL236-1)*100)))</f>
        <v>8.236023497273127</v>
      </c>
      <c r="FP236" s="253">
        <f>FP230/FP224*100</f>
        <v>18.174266199003135</v>
      </c>
      <c r="FQ236" s="79">
        <f>IF(ISERROR((FP236/FN236-1)*100),"NA",IF(((FP236/FN236-1)*100)&gt;100,"NM",IF(((FP236/FN236-1)*100)&lt;-50,"NM",(FP236/FN236-1)*100)))</f>
        <v>1.8789927807300266</v>
      </c>
      <c r="FR236" s="253">
        <f>FR230/FR224*100</f>
        <v>18.019293742809097</v>
      </c>
      <c r="FS236" s="79">
        <f>IF(ISERROR((FR236/FP236-1)*100),"NA",IF(((FR236/FP236-1)*100)&gt;100,"NM",IF(((FR236/FP236-1)*100)&lt;-50,"NM",(FR236/FP236-1)*100)))</f>
        <v>-0.85270268684927153</v>
      </c>
      <c r="FT236" s="253">
        <f>FT230/FT224*100</f>
        <v>17.399282675786136</v>
      </c>
      <c r="FU236" s="79">
        <f>IF(ISERROR((FT236/FR236-1)*100),"NA",IF(((FT236/FR236-1)*100)&gt;100,"NM",IF(((FT236/FR236-1)*100)&lt;-50,"NM",(FT236/FR236-1)*100)))</f>
        <v>-3.4408178026976599</v>
      </c>
      <c r="FV236" s="253">
        <f>FV230/FV224*100</f>
        <v>16.929506387005205</v>
      </c>
      <c r="FW236" s="79">
        <f>IF(ISERROR((FV236/FT236-1)*100),"NA",IF(((FV236/FT236-1)*100)&gt;100,"NM",IF(((FV236/FT236-1)*100)&lt;-50,"NM",(FV236/FT236-1)*100)))</f>
        <v>-2.6999750365266473</v>
      </c>
      <c r="FX236" s="253">
        <f>FX230/FX224*100</f>
        <v>16.292682926829269</v>
      </c>
      <c r="FY236" s="79">
        <f>IF(ISERROR((FX236/FV236-1)*100),"NA",IF(((FX236/FV236-1)*100)&gt;100,"NM",IF(((FX236/FV236-1)*100)&lt;-50,"NM",(FX236/FV236-1)*100)))</f>
        <v>-3.7616185942949354</v>
      </c>
      <c r="FZ236" s="253">
        <f>FZ230/FZ224*100</f>
        <v>16.29495096258627</v>
      </c>
      <c r="GA236" s="79">
        <f>IF(ISERROR((FZ236/FX236-1)*100),"NA",IF(((FZ236/FX236-1)*100)&gt;100,"NM",IF(((FZ236/FX236-1)*100)&lt;-50,"NM",(FZ236/FX236-1)*100)))</f>
        <v>1.3920578748072288E-2</v>
      </c>
      <c r="GB236" s="253">
        <f>GB230/GB224*100</f>
        <v>16.76882970478405</v>
      </c>
      <c r="GC236" s="79">
        <f>IF(ISERROR((GB236/FZ236-1)*100),"NA",IF(((GB236/FZ236-1)*100)&gt;100,"NM",IF(((GB236/FZ236-1)*100)&lt;-50,"NM",(GB236/FZ236-1)*100)))</f>
        <v>2.9081323612806242</v>
      </c>
      <c r="GD236" s="253">
        <f>GD230/GD224*100</f>
        <v>17.020416413988276</v>
      </c>
      <c r="GE236" s="79">
        <f>IF(ISERROR((GD236/GB236-1)*100),"NA",IF(((GD236/GB236-1)*100)&gt;100,"NM",IF(((GD236/GB236-1)*100)&lt;-50,"NM",(GD236/GB236-1)*100)))</f>
        <v>1.5003235982082197</v>
      </c>
      <c r="GF236" s="253">
        <f>GF230/GF224*100</f>
        <v>17.156045646877807</v>
      </c>
      <c r="GG236" s="79">
        <f>IF(ISERROR((GF236/GD236-1)*100),"NA",IF(((GF236/GD236-1)*100)&gt;100,"NM",IF(((GF236/GD236-1)*100)&lt;-50,"NM",(GF236/GD236-1)*100)))</f>
        <v>0.79686201318824867</v>
      </c>
      <c r="GH236" s="253">
        <f>GH230/GH224*100</f>
        <v>17.062869554724262</v>
      </c>
      <c r="GI236" s="79">
        <f>IF(ISERROR((GH236/GF236-1)*100),"NA",IF(((GH236/GF236-1)*100)&gt;100,"NM",IF(((GH236/GF236-1)*100)&lt;-50,"NM",(GH236/GF236-1)*100)))</f>
        <v>-0.54310937421935268</v>
      </c>
      <c r="GJ236" s="253">
        <f>GJ230/GJ224*100</f>
        <v>17.800000000000004</v>
      </c>
      <c r="GK236" s="79">
        <f>IF(ISERROR((GJ236/GH236-1)*100),"NA",IF(((GJ236/GH236-1)*100)&gt;100,"NM",IF(((GJ236/GH236-1)*100)&lt;-50,"NM",(GJ236/GH236-1)*100)))</f>
        <v>4.3200848656294699</v>
      </c>
      <c r="GL236" s="186">
        <f>GJ236</f>
        <v>17.800000000000004</v>
      </c>
      <c r="GM236" s="79">
        <f>IF(ISERROR((GL236/GJ236-1)*100),"NA",IF(((GL236/GJ236-1)*100)&gt;100,"NM",IF(((GL236/GJ236-1)*100)&lt;-50,"NM",(GL236/GJ236-1)*100)))</f>
        <v>0</v>
      </c>
      <c r="GN236" s="186">
        <f>GL236</f>
        <v>17.800000000000004</v>
      </c>
      <c r="GO236" s="79">
        <f>IF(ISERROR((GN236/GL236-1)*100),"NA",IF(((GN236/GL236-1)*100)&gt;100,"NM",IF(((GN236/GL236-1)*100)&lt;-50,"NM",(GN236/GL236-1)*100)))</f>
        <v>0</v>
      </c>
      <c r="GP236" s="186">
        <f>GN236</f>
        <v>17.800000000000004</v>
      </c>
      <c r="GQ236" s="79">
        <f>IF(ISERROR((GP236/GN236-1)*100),"NA",IF(((GP236/GN236-1)*100)&gt;100,"NM",IF(((GP236/GN236-1)*100)&lt;-50,"NM",(GP236/GN236-1)*100)))</f>
        <v>0</v>
      </c>
      <c r="GR236" s="186">
        <f>GP236</f>
        <v>17.800000000000004</v>
      </c>
      <c r="GS236" s="79">
        <f>IF(ISERROR((GR236/GP236-1)*100),"NA",IF(((GR236/GP236-1)*100)&gt;100,"NM",IF(((GR236/GP236-1)*100)&lt;-50,"NM",(GR236/GP236-1)*100)))</f>
        <v>0</v>
      </c>
      <c r="GT236" s="79">
        <f>IF(ISERROR(((GR236/GH236)^0.2-1)*100),"NA",(IF(OR(((GR236/GH236)^0.2-1)*100&gt;99,((GR236/GH236)^0.2-1)*100&lt;-50),"NM",(((GR236/GH236)^0.2-1)*100))))</f>
        <v>0.84946214098990946</v>
      </c>
    </row>
    <row r="237" spans="1:286" s="249" customFormat="1" ht="12.75" customHeight="1" x14ac:dyDescent="0.2">
      <c r="A237" s="248"/>
      <c r="B237" s="10"/>
      <c r="C237" s="79"/>
      <c r="D237" s="79"/>
      <c r="E237" s="95"/>
      <c r="F237" s="95"/>
      <c r="G237" s="95"/>
      <c r="H237" s="95"/>
      <c r="I237" s="95"/>
      <c r="J237" s="95"/>
      <c r="K237" s="95"/>
      <c r="L237" s="79"/>
      <c r="M237" s="95"/>
      <c r="N237" s="79"/>
      <c r="O237" s="95"/>
      <c r="P237" s="79"/>
      <c r="Q237" s="95"/>
      <c r="R237" s="79"/>
      <c r="S237" s="95"/>
      <c r="T237" s="79"/>
      <c r="U237" s="95"/>
      <c r="V237" s="79"/>
      <c r="W237" s="95"/>
      <c r="X237" s="79"/>
      <c r="Y237" s="95"/>
      <c r="Z237" s="79"/>
      <c r="AA237" s="126"/>
      <c r="AB237" s="79"/>
      <c r="AC237" s="95"/>
      <c r="AD237" s="79"/>
      <c r="AE237" s="95"/>
      <c r="AF237" s="79"/>
      <c r="AG237" s="95"/>
      <c r="AH237" s="79"/>
      <c r="AI237" s="95"/>
      <c r="AJ237" s="79"/>
      <c r="AK237" s="95"/>
      <c r="AL237" s="79"/>
      <c r="AM237" s="95"/>
      <c r="AN237" s="79"/>
      <c r="AO237" s="95"/>
      <c r="AP237" s="79"/>
      <c r="AQ237" s="95"/>
      <c r="AR237" s="79"/>
      <c r="AS237" s="95"/>
      <c r="AT237" s="81"/>
      <c r="AU237" s="95"/>
      <c r="AV237" s="81"/>
      <c r="AW237" s="95"/>
      <c r="AX237" s="81"/>
      <c r="AY237" s="95"/>
      <c r="AZ237" s="81"/>
      <c r="BA237" s="95"/>
      <c r="BB237" s="81"/>
      <c r="BC237" s="95"/>
      <c r="BD237" s="81"/>
      <c r="BE237" s="95"/>
      <c r="BF237" s="81"/>
      <c r="BG237" s="95"/>
      <c r="BH237" s="81"/>
      <c r="BI237" s="95"/>
      <c r="BJ237" s="81"/>
      <c r="BK237" s="95"/>
      <c r="BL237" s="81"/>
      <c r="BM237" s="95"/>
      <c r="BN237" s="81"/>
      <c r="BO237" s="95"/>
      <c r="BP237" s="81"/>
      <c r="BQ237" s="95"/>
      <c r="BR237" s="81"/>
      <c r="BS237" s="95"/>
      <c r="BT237" s="81"/>
      <c r="BU237" s="95"/>
      <c r="BV237" s="81"/>
      <c r="BW237" s="95"/>
      <c r="BX237" s="81"/>
      <c r="BY237" s="95"/>
      <c r="BZ237" s="81"/>
      <c r="CA237" s="95"/>
      <c r="CB237" s="81"/>
      <c r="CC237" s="95"/>
      <c r="CD237" s="81"/>
      <c r="CE237" s="95"/>
      <c r="CF237" s="81"/>
      <c r="CG237" s="95"/>
      <c r="CH237" s="81"/>
      <c r="CI237" s="95"/>
      <c r="CJ237" s="81"/>
      <c r="CK237" s="95"/>
      <c r="CL237" s="81"/>
      <c r="CM237" s="95"/>
      <c r="CN237" s="81"/>
      <c r="CO237" s="95"/>
      <c r="CP237" s="81"/>
      <c r="CQ237" s="95"/>
      <c r="CR237" s="81"/>
      <c r="CS237" s="95"/>
      <c r="CT237" s="81"/>
      <c r="CU237" s="95"/>
      <c r="CV237" s="81"/>
      <c r="CW237" s="95"/>
      <c r="CX237" s="81"/>
      <c r="CY237" s="95"/>
      <c r="CZ237" s="81"/>
      <c r="DA237" s="95"/>
      <c r="DB237" s="81"/>
      <c r="DC237" s="95"/>
      <c r="DD237" s="81"/>
      <c r="DE237" s="95"/>
      <c r="DF237" s="81"/>
      <c r="DG237" s="95"/>
      <c r="DH237" s="81"/>
      <c r="DI237" s="95"/>
      <c r="DJ237" s="81"/>
      <c r="DK237" s="95"/>
      <c r="DL237" s="81"/>
      <c r="DM237" s="95"/>
      <c r="DN237" s="81"/>
      <c r="DO237" s="95"/>
      <c r="DP237" s="81"/>
      <c r="DQ237" s="95"/>
      <c r="DR237" s="81"/>
      <c r="DS237" s="95"/>
      <c r="DT237" s="81"/>
      <c r="DU237" s="95"/>
      <c r="DV237" s="81"/>
      <c r="DW237" s="95"/>
      <c r="DX237" s="81"/>
      <c r="DY237" s="95"/>
      <c r="DZ237" s="81"/>
      <c r="EA237" s="95"/>
      <c r="EB237" s="81"/>
      <c r="EC237" s="95"/>
      <c r="ED237" s="81"/>
      <c r="EE237" s="95"/>
      <c r="EF237" s="81"/>
      <c r="EG237" s="95"/>
      <c r="EH237" s="81"/>
      <c r="EI237" s="95"/>
      <c r="EJ237" s="81"/>
      <c r="EK237" s="95"/>
      <c r="EL237" s="81"/>
      <c r="EM237" s="95"/>
      <c r="EN237" s="81"/>
      <c r="EO237" s="95"/>
      <c r="EP237" s="81"/>
      <c r="EQ237" s="95"/>
      <c r="ER237" s="81"/>
      <c r="ES237" s="129"/>
      <c r="ET237" s="469"/>
      <c r="EU237" s="129"/>
      <c r="EV237" s="95"/>
      <c r="EW237" s="79"/>
      <c r="EX237" s="95"/>
      <c r="EY237" s="79"/>
      <c r="EZ237" s="145"/>
      <c r="FA237" s="79"/>
      <c r="FB237" s="35"/>
      <c r="FC237" s="79"/>
      <c r="FD237" s="75"/>
      <c r="FE237" s="79"/>
      <c r="FF237" s="251"/>
      <c r="FG237" s="79"/>
      <c r="FH237" s="251"/>
      <c r="FI237" s="79"/>
      <c r="FJ237" s="251"/>
      <c r="FK237" s="79"/>
      <c r="FL237" s="93"/>
      <c r="FM237" s="79"/>
      <c r="FN237" s="93"/>
      <c r="FO237" s="79"/>
      <c r="FP237" s="93"/>
      <c r="FQ237" s="79"/>
      <c r="FR237" s="95"/>
      <c r="FS237" s="79"/>
      <c r="FT237" s="95"/>
      <c r="FU237" s="79"/>
      <c r="FV237" s="95"/>
      <c r="FW237" s="79"/>
      <c r="FX237" s="95"/>
      <c r="FY237" s="79"/>
      <c r="FZ237" s="95"/>
      <c r="GA237" s="79"/>
      <c r="GB237" s="95"/>
      <c r="GC237" s="79"/>
      <c r="GD237" s="95"/>
      <c r="GE237" s="79"/>
      <c r="GF237" s="95"/>
      <c r="GG237" s="79"/>
      <c r="GH237" s="95"/>
      <c r="GI237" s="79"/>
      <c r="GJ237" s="95"/>
      <c r="GK237" s="79"/>
      <c r="GL237" s="95"/>
      <c r="GM237" s="79"/>
      <c r="GN237" s="95"/>
      <c r="GO237" s="79"/>
      <c r="GP237" s="95"/>
      <c r="GQ237" s="79"/>
      <c r="GR237" s="95"/>
      <c r="GS237" s="79"/>
      <c r="GT237" s="79"/>
      <c r="GU237" s="562"/>
      <c r="GV237" s="562"/>
      <c r="GW237"/>
      <c r="GX237"/>
      <c r="GY237"/>
      <c r="GZ237"/>
      <c r="HA237"/>
      <c r="HB237"/>
      <c r="HC237" s="562"/>
      <c r="HD237" s="562"/>
      <c r="HE237" s="562"/>
      <c r="HF237" s="562"/>
      <c r="HG237" s="562"/>
      <c r="HH237" s="562"/>
      <c r="HI237" s="562"/>
      <c r="HJ237" s="562"/>
      <c r="HK237" s="562"/>
      <c r="HL237" s="562"/>
      <c r="HM237" s="562"/>
      <c r="HN237" s="562"/>
      <c r="HO237" s="562"/>
      <c r="HP237" s="562"/>
      <c r="HQ237" s="562"/>
      <c r="HR237" s="562"/>
      <c r="HS237" s="562"/>
      <c r="HT237" s="562"/>
      <c r="HU237" s="562"/>
      <c r="HV237" s="562"/>
      <c r="HW237" s="562"/>
      <c r="HX237" s="562"/>
      <c r="HY237" s="562"/>
      <c r="HZ237" s="562"/>
      <c r="IA237" s="562"/>
      <c r="IB237" s="562"/>
      <c r="IC237" s="562"/>
      <c r="ID237" s="562"/>
      <c r="IE237" s="562"/>
      <c r="IF237" s="562"/>
      <c r="IG237" s="562"/>
      <c r="IH237" s="562"/>
      <c r="II237" s="562"/>
      <c r="IJ237" s="562"/>
      <c r="IK237" s="562"/>
      <c r="IL237" s="562"/>
      <c r="IM237" s="562"/>
      <c r="IN237" s="562"/>
      <c r="IO237" s="562"/>
      <c r="IP237" s="562"/>
      <c r="IQ237" s="562"/>
      <c r="IR237" s="562"/>
      <c r="IS237" s="562"/>
      <c r="IT237" s="562"/>
      <c r="IU237" s="562"/>
      <c r="IV237" s="562"/>
      <c r="IW237" s="562"/>
      <c r="IX237" s="562"/>
      <c r="IY237" s="562"/>
      <c r="IZ237" s="562"/>
      <c r="JA237" s="562"/>
      <c r="JB237" s="562"/>
      <c r="JC237" s="562"/>
      <c r="JD237" s="562"/>
      <c r="JE237" s="562"/>
      <c r="JF237" s="562"/>
      <c r="JG237" s="562"/>
      <c r="JH237" s="562"/>
      <c r="JI237" s="562"/>
      <c r="JJ237" s="562"/>
      <c r="JK237" s="562"/>
      <c r="JL237" s="562"/>
      <c r="JM237" s="562"/>
      <c r="JN237" s="562"/>
      <c r="JO237" s="562"/>
      <c r="JP237" s="562"/>
      <c r="JQ237" s="562"/>
      <c r="JR237" s="562"/>
      <c r="JS237" s="562"/>
      <c r="JT237" s="562"/>
      <c r="JU237" s="562"/>
      <c r="JV237" s="562"/>
      <c r="JW237" s="562"/>
      <c r="JX237" s="562"/>
      <c r="JY237" s="562"/>
      <c r="JZ237" s="562"/>
    </row>
    <row r="238" spans="1:286" s="249" customFormat="1" ht="12.75" customHeight="1" x14ac:dyDescent="0.2">
      <c r="A238" s="248"/>
      <c r="B238" s="2" t="s">
        <v>575</v>
      </c>
      <c r="C238" s="79"/>
      <c r="D238" s="79"/>
      <c r="E238" s="95"/>
      <c r="F238" s="95"/>
      <c r="G238" s="95"/>
      <c r="H238" s="95"/>
      <c r="I238" s="95"/>
      <c r="J238" s="95"/>
      <c r="K238" s="95"/>
      <c r="L238" s="79"/>
      <c r="M238" s="95"/>
      <c r="N238" s="79"/>
      <c r="O238" s="95"/>
      <c r="P238" s="79"/>
      <c r="Q238" s="95"/>
      <c r="R238" s="79"/>
      <c r="S238" s="95"/>
      <c r="T238" s="79"/>
      <c r="U238" s="95"/>
      <c r="V238" s="79"/>
      <c r="W238" s="95"/>
      <c r="X238" s="79"/>
      <c r="Y238" s="95"/>
      <c r="Z238" s="79"/>
      <c r="AA238" s="126"/>
      <c r="AB238" s="79"/>
      <c r="AC238" s="95"/>
      <c r="AD238" s="79"/>
      <c r="AE238" s="95"/>
      <c r="AF238" s="79"/>
      <c r="AG238" s="95"/>
      <c r="AH238" s="79"/>
      <c r="AI238" s="95"/>
      <c r="AJ238" s="79"/>
      <c r="AK238" s="95"/>
      <c r="AL238" s="79"/>
      <c r="AM238" s="95"/>
      <c r="AN238" s="79"/>
      <c r="AO238" s="95"/>
      <c r="AP238" s="79"/>
      <c r="AQ238" s="95"/>
      <c r="AR238" s="79"/>
      <c r="AS238" s="95"/>
      <c r="AT238" s="81"/>
      <c r="AU238" s="95"/>
      <c r="AV238" s="81"/>
      <c r="AW238" s="95"/>
      <c r="AX238" s="81"/>
      <c r="AY238" s="95"/>
      <c r="AZ238" s="81"/>
      <c r="BA238" s="95"/>
      <c r="BB238" s="81"/>
      <c r="BC238" s="95"/>
      <c r="BD238" s="81"/>
      <c r="BE238" s="95"/>
      <c r="BF238" s="81"/>
      <c r="BG238" s="95"/>
      <c r="BH238" s="81"/>
      <c r="BI238" s="95"/>
      <c r="BJ238" s="81"/>
      <c r="BK238" s="95"/>
      <c r="BL238" s="81"/>
      <c r="BM238" s="95"/>
      <c r="BN238" s="81"/>
      <c r="BO238" s="95"/>
      <c r="BP238" s="81"/>
      <c r="BQ238" s="95"/>
      <c r="BR238" s="81"/>
      <c r="BS238" s="95"/>
      <c r="BT238" s="81"/>
      <c r="BU238" s="95"/>
      <c r="BV238" s="81"/>
      <c r="BW238" s="95"/>
      <c r="BX238" s="81"/>
      <c r="BY238" s="95"/>
      <c r="BZ238" s="81"/>
      <c r="CA238" s="95"/>
      <c r="CB238" s="81"/>
      <c r="CC238" s="95"/>
      <c r="CD238" s="81"/>
      <c r="CE238" s="95"/>
      <c r="CF238" s="81"/>
      <c r="CG238" s="95"/>
      <c r="CH238" s="81"/>
      <c r="CI238" s="95"/>
      <c r="CJ238" s="81"/>
      <c r="CK238" s="95"/>
      <c r="CL238" s="81"/>
      <c r="CM238" s="95"/>
      <c r="CN238" s="81"/>
      <c r="CO238" s="95"/>
      <c r="CP238" s="81"/>
      <c r="CQ238" s="95"/>
      <c r="CR238" s="81"/>
      <c r="CS238" s="95"/>
      <c r="CT238" s="81"/>
      <c r="CU238" s="95"/>
      <c r="CV238" s="81"/>
      <c r="CW238" s="174">
        <v>0</v>
      </c>
      <c r="CX238" s="81"/>
      <c r="CY238" s="174">
        <v>0</v>
      </c>
      <c r="CZ238" s="81"/>
      <c r="DA238" s="174">
        <v>0</v>
      </c>
      <c r="DB238" s="81"/>
      <c r="DC238" s="174">
        <v>0</v>
      </c>
      <c r="DD238" s="81"/>
      <c r="DE238" s="174">
        <v>0</v>
      </c>
      <c r="DF238" s="81"/>
      <c r="DG238" s="174">
        <v>0</v>
      </c>
      <c r="DH238" s="81"/>
      <c r="DI238" s="174">
        <v>0</v>
      </c>
      <c r="DJ238" s="81"/>
      <c r="DK238" s="174">
        <v>0</v>
      </c>
      <c r="DL238" s="81"/>
      <c r="DM238" s="174">
        <v>0</v>
      </c>
      <c r="DN238" s="81"/>
      <c r="DO238" s="174">
        <v>0</v>
      </c>
      <c r="DP238" s="81"/>
      <c r="DQ238" s="174">
        <v>0</v>
      </c>
      <c r="DR238" s="81"/>
      <c r="DS238" s="174">
        <v>0</v>
      </c>
      <c r="DT238" s="81"/>
      <c r="DU238" s="174">
        <v>0</v>
      </c>
      <c r="DV238" s="81"/>
      <c r="DW238" s="174">
        <v>0</v>
      </c>
      <c r="DX238" s="81"/>
      <c r="DY238" s="174">
        <v>0</v>
      </c>
      <c r="DZ238" s="81"/>
      <c r="EA238" s="174">
        <v>0</v>
      </c>
      <c r="EB238" s="81"/>
      <c r="EC238" s="174">
        <v>0</v>
      </c>
      <c r="ED238" s="81"/>
      <c r="EE238" s="174">
        <v>0</v>
      </c>
      <c r="EF238" s="81"/>
      <c r="EG238" s="174">
        <v>0</v>
      </c>
      <c r="EH238" s="81"/>
      <c r="EI238" s="174">
        <v>12.4</v>
      </c>
      <c r="EJ238" s="81"/>
      <c r="EK238" s="174">
        <v>0</v>
      </c>
      <c r="EL238" s="81"/>
      <c r="EM238" s="174">
        <v>0</v>
      </c>
      <c r="EN238" s="81"/>
      <c r="EO238" s="174">
        <v>0</v>
      </c>
      <c r="EP238" s="81"/>
      <c r="EQ238" s="174">
        <v>0</v>
      </c>
      <c r="ER238" s="81"/>
      <c r="ES238" s="129"/>
      <c r="ET238" s="469"/>
      <c r="EU238" s="129"/>
      <c r="EV238" s="95"/>
      <c r="EW238" s="79"/>
      <c r="EX238" s="95"/>
      <c r="EY238" s="79"/>
      <c r="EZ238" s="145"/>
      <c r="FA238" s="79"/>
      <c r="FB238" s="35"/>
      <c r="FC238" s="79"/>
      <c r="FD238" s="75"/>
      <c r="FE238" s="79"/>
      <c r="FF238" s="251"/>
      <c r="FG238" s="79"/>
      <c r="FH238" s="251"/>
      <c r="FI238" s="79"/>
      <c r="FJ238" s="251"/>
      <c r="FK238" s="79"/>
      <c r="FL238" s="93"/>
      <c r="FM238" s="79"/>
      <c r="FN238" s="93"/>
      <c r="FO238" s="79"/>
      <c r="FP238" s="93"/>
      <c r="FQ238" s="79"/>
      <c r="FR238" s="95"/>
      <c r="FS238" s="79"/>
      <c r="FT238" s="95"/>
      <c r="FU238" s="79"/>
      <c r="FV238" s="95"/>
      <c r="FW238" s="79"/>
      <c r="FX238" s="93">
        <v>0</v>
      </c>
      <c r="FY238" s="146"/>
      <c r="FZ238" s="93">
        <f>CW238+CY238+DA238+DC238</f>
        <v>0</v>
      </c>
      <c r="GA238" s="146"/>
      <c r="GB238" s="93">
        <f>DE238+DG238+DI238+DK238</f>
        <v>0</v>
      </c>
      <c r="GC238" s="146"/>
      <c r="GD238" s="93">
        <f>DM238+DO238+DQ238+DS238</f>
        <v>0</v>
      </c>
      <c r="GE238" s="79"/>
      <c r="GF238" s="93">
        <f>DU238+DW238+DY238+EA238</f>
        <v>0</v>
      </c>
      <c r="GG238" s="79"/>
      <c r="GH238" s="93">
        <f>EC238+EE238+EG238+EI238</f>
        <v>12.4</v>
      </c>
      <c r="GI238" s="79"/>
      <c r="GJ238" s="93">
        <f>EK238+EM238+EO238+EQ238</f>
        <v>0</v>
      </c>
      <c r="GK238" s="79"/>
      <c r="GL238" s="174">
        <v>0</v>
      </c>
      <c r="GM238" s="79"/>
      <c r="GN238" s="174">
        <v>0</v>
      </c>
      <c r="GO238" s="79"/>
      <c r="GP238" s="174">
        <v>0</v>
      </c>
      <c r="GQ238" s="79"/>
      <c r="GR238" s="174">
        <v>0</v>
      </c>
      <c r="GS238" s="79"/>
      <c r="GT238" s="79"/>
      <c r="GU238" s="562"/>
      <c r="GV238" s="562"/>
      <c r="GW238"/>
      <c r="GX238"/>
      <c r="GY238"/>
      <c r="GZ238"/>
      <c r="HA238"/>
      <c r="HB238"/>
      <c r="HC238" s="562"/>
      <c r="HD238" s="562"/>
      <c r="HE238" s="562"/>
      <c r="HF238" s="562"/>
      <c r="HG238" s="562"/>
      <c r="HH238" s="562"/>
      <c r="HI238" s="562"/>
      <c r="HJ238" s="562"/>
      <c r="HK238" s="562"/>
      <c r="HL238" s="562"/>
      <c r="HM238" s="562"/>
      <c r="HN238" s="562"/>
      <c r="HO238" s="562"/>
      <c r="HP238" s="562"/>
      <c r="HQ238" s="562"/>
      <c r="HR238" s="562"/>
      <c r="HS238" s="562"/>
      <c r="HT238" s="562"/>
      <c r="HU238" s="562"/>
      <c r="HV238" s="562"/>
      <c r="HW238" s="562"/>
      <c r="HX238" s="562"/>
      <c r="HY238" s="562"/>
      <c r="HZ238" s="562"/>
      <c r="IA238" s="562"/>
      <c r="IB238" s="562"/>
      <c r="IC238" s="562"/>
      <c r="ID238" s="562"/>
      <c r="IE238" s="562"/>
      <c r="IF238" s="562"/>
      <c r="IG238" s="562"/>
      <c r="IH238" s="562"/>
      <c r="II238" s="562"/>
      <c r="IJ238" s="562"/>
      <c r="IK238" s="562"/>
      <c r="IL238" s="562"/>
      <c r="IM238" s="562"/>
      <c r="IN238" s="562"/>
      <c r="IO238" s="562"/>
      <c r="IP238" s="562"/>
      <c r="IQ238" s="562"/>
      <c r="IR238" s="562"/>
      <c r="IS238" s="562"/>
      <c r="IT238" s="562"/>
      <c r="IU238" s="562"/>
      <c r="IV238" s="562"/>
      <c r="IW238" s="562"/>
      <c r="IX238" s="562"/>
      <c r="IY238" s="562"/>
      <c r="IZ238" s="562"/>
      <c r="JA238" s="562"/>
      <c r="JB238" s="562"/>
      <c r="JC238" s="562"/>
      <c r="JD238" s="562"/>
      <c r="JE238" s="562"/>
      <c r="JF238" s="562"/>
      <c r="JG238" s="562"/>
      <c r="JH238" s="562"/>
      <c r="JI238" s="562"/>
      <c r="JJ238" s="562"/>
      <c r="JK238" s="562"/>
      <c r="JL238" s="562"/>
      <c r="JM238" s="562"/>
      <c r="JN238" s="562"/>
      <c r="JO238" s="562"/>
      <c r="JP238" s="562"/>
      <c r="JQ238" s="562"/>
      <c r="JR238" s="562"/>
      <c r="JS238" s="562"/>
      <c r="JT238" s="562"/>
      <c r="JU238" s="562"/>
      <c r="JV238" s="562"/>
      <c r="JW238" s="562"/>
      <c r="JX238" s="562"/>
      <c r="JY238" s="562"/>
      <c r="JZ238" s="562"/>
    </row>
    <row r="239" spans="1:286" s="83" customFormat="1" ht="12.75" customHeight="1" x14ac:dyDescent="0.2">
      <c r="A239" s="77" t="s">
        <v>373</v>
      </c>
      <c r="B239" s="83" t="s">
        <v>453</v>
      </c>
      <c r="C239" s="79"/>
      <c r="D239" s="79"/>
      <c r="E239" s="242">
        <f>E224-E231</f>
        <v>31.699999999999989</v>
      </c>
      <c r="F239" s="242"/>
      <c r="G239" s="242">
        <f>G224-G231</f>
        <v>35.099999999999994</v>
      </c>
      <c r="H239" s="242"/>
      <c r="I239" s="242">
        <f>I224-I231</f>
        <v>34.500000000000028</v>
      </c>
      <c r="J239" s="243"/>
      <c r="K239" s="242">
        <f>K224-K231</f>
        <v>36.699999999999989</v>
      </c>
      <c r="L239" s="79"/>
      <c r="M239" s="242">
        <f>M224-M231</f>
        <v>33</v>
      </c>
      <c r="N239" s="79">
        <f>IF(ISERROR((M239/E239-1)*100),"NA",IF(((M239/E239-1)*100)&gt;100,"NM",IF(((M239/E239-1)*100)&lt;-50,"NM",(M239/E239-1)*100)))</f>
        <v>4.1009463722397888</v>
      </c>
      <c r="O239" s="242">
        <f>O224-O231</f>
        <v>33.900000000000006</v>
      </c>
      <c r="P239" s="79">
        <f>IF(ISERROR((O239/G239-1)*100),"NA",IF(((O239/G239-1)*100)&gt;100,"NM",IF(((O239/G239-1)*100)&lt;-50,"NM",(O239/G239-1)*100)))</f>
        <v>-3.4188034188033845</v>
      </c>
      <c r="Q239" s="242">
        <f>Q224-Q231</f>
        <v>34.400000000000006</v>
      </c>
      <c r="R239" s="79">
        <f>IF(ISERROR((Q239/I239-1)*100),"NA",IF(((Q239/I239-1)*100)&gt;100,"NM",IF(((Q239/I239-1)*100)&lt;-50,"NM",(Q239/I239-1)*100)))</f>
        <v>-0.28985507246382936</v>
      </c>
      <c r="S239" s="242">
        <f>S224-S231</f>
        <v>36.200000000000017</v>
      </c>
      <c r="T239" s="79">
        <f>IF(ISERROR((S239/K239-1)*100),"NA",IF(((S239/K239-1)*100)&gt;100,"NM",IF(((S239/K239-1)*100)&lt;-50,"NM",(S239/K239-1)*100)))</f>
        <v>-1.3623978201634079</v>
      </c>
      <c r="U239" s="242">
        <f>U224-U231</f>
        <v>35.19999999999996</v>
      </c>
      <c r="V239" s="79">
        <f>IF(ISERROR((U239/M239-1)*100),"NA",IF(((U239/M239-1)*100)&gt;100,"NM",IF(((U239/M239-1)*100)&lt;-50,"NM",(U239/M239-1)*100)))</f>
        <v>6.6666666666665542</v>
      </c>
      <c r="W239" s="242">
        <f>W224-W231</f>
        <v>35.399999999999977</v>
      </c>
      <c r="X239" s="79">
        <f>IF(ISERROR((W239/O239-1)*100),"NA",IF(((W239/O239-1)*100)&gt;100,"NM",IF(((W239/O239-1)*100)&lt;-50,"NM",(W239/O239-1)*100)))</f>
        <v>4.424778761061865</v>
      </c>
      <c r="Y239" s="242">
        <f>Y224-Y231</f>
        <v>38.5</v>
      </c>
      <c r="Z239" s="79">
        <f>IF(ISERROR((Y239/Q239-1)*100),"NA",IF(((Y239/Q239-1)*100)&gt;100,"NM",IF(((Y239/Q239-1)*100)&lt;-50,"NM",(Y239/Q239-1)*100)))</f>
        <v>11.918604651162767</v>
      </c>
      <c r="AA239" s="244">
        <f>AA224-AA231</f>
        <v>37.599999999999994</v>
      </c>
      <c r="AB239" s="79">
        <f>IF(ISERROR((AA239/S239-1)*100),"NA",IF(((AA239/S239-1)*100)&gt;100,"NM",IF(((AA239/S239-1)*100)&lt;-50,"NM",(AA239/S239-1)*100)))</f>
        <v>3.8674033149170617</v>
      </c>
      <c r="AC239" s="242">
        <f>AC224-AC231</f>
        <v>36.599999999999966</v>
      </c>
      <c r="AD239" s="79">
        <f>IF(ISERROR((AC239/U239-1)*100),"NA",IF(((AC239/U239-1)*100)&gt;100,"NM",IF(((AC239/U239-1)*100)&lt;-50,"NM",(AC239/U239-1)*100)))</f>
        <v>3.9772727272727515</v>
      </c>
      <c r="AE239" s="242">
        <f>AE224-AE231</f>
        <v>39.400000000000006</v>
      </c>
      <c r="AF239" s="79">
        <f>IF(ISERROR((AE239/W239-1)*100),"NA",IF(((AE239/W239-1)*100)&gt;100,"NM",IF(((AE239/W239-1)*100)&lt;-50,"NM",(AE239/W239-1)*100)))</f>
        <v>11.299435028248684</v>
      </c>
      <c r="AG239" s="242">
        <f>AG224-AG231</f>
        <v>39.599999999999994</v>
      </c>
      <c r="AH239" s="79">
        <f>IF(ISERROR((AG239/Y239-1)*100),"NA",IF(((AG239/Y239-1)*100)&gt;100,"NM",IF(((AG239/Y239-1)*100)&lt;-50,"NM",(AG239/Y239-1)*100)))</f>
        <v>2.857142857142847</v>
      </c>
      <c r="AI239" s="242">
        <f>AI224-AI231</f>
        <v>40</v>
      </c>
      <c r="AJ239" s="79">
        <f>IF(ISERROR((AI239/AA239-1)*100),"NA",IF(((AI239/AA239-1)*100)&gt;100,"NM",IF(((AI239/AA239-1)*100)&lt;-50,"NM",(AI239/AA239-1)*100)))</f>
        <v>6.3829787234042756</v>
      </c>
      <c r="AK239" s="242">
        <f>AK224-AK231</f>
        <v>43.800000000000011</v>
      </c>
      <c r="AL239" s="79">
        <f>IF(ISERROR((AK239/AC239-1)*100),"NA",IF(((AK239/AC239-1)*100)&gt;100,"NM",IF(((AK239/AC239-1)*100)&lt;-50,"NM",(AK239/AC239-1)*100)))</f>
        <v>19.672131147541116</v>
      </c>
      <c r="AM239" s="242">
        <f>AM224-AM231</f>
        <v>43.600000000000023</v>
      </c>
      <c r="AN239" s="79">
        <f>IF(ISERROR((AM239/AE239-1)*100),"NA",IF(((AM239/AE239-1)*100)&gt;100,"NM",IF(((AM239/AE239-1)*100)&lt;-50,"NM",(AM239/AE239-1)*100)))</f>
        <v>10.659898477157403</v>
      </c>
      <c r="AO239" s="242">
        <f>AO224-AO231</f>
        <v>42</v>
      </c>
      <c r="AP239" s="79">
        <f>IF(ISERROR((AO239/AG239-1)*100),"NA",IF(((AO239/AG239-1)*100)&gt;100,"NM",IF(((AO239/AG239-1)*100)&lt;-50,"NM",(AO239/AG239-1)*100)))</f>
        <v>6.0606060606060774</v>
      </c>
      <c r="AQ239" s="242">
        <f>AQ224-AQ231</f>
        <v>38.699999999999989</v>
      </c>
      <c r="AR239" s="79">
        <f>IF(ISERROR((AQ239/AI239-1)*100),"NA",IF(((AQ239/AI239-1)*100)&gt;100,"NM",IF(((AQ239/AI239-1)*100)&lt;-50,"NM",(AQ239/AI239-1)*100)))</f>
        <v>-3.2500000000000306</v>
      </c>
      <c r="AS239" s="242">
        <f>AS224-AS231</f>
        <v>46.200000000000017</v>
      </c>
      <c r="AT239" s="81">
        <f>IF(ISERROR((AS239/AK239-1)*100),"NA",IF(((AS239/AK239-1)*100)&gt;100,"NM",IF(((AS239/AK239-1)*100)&lt;-50,"NM",(AS239/AK239-1)*100)))</f>
        <v>5.4794520547945424</v>
      </c>
      <c r="AU239" s="242">
        <f>AU224-AU231</f>
        <v>49.900000000000006</v>
      </c>
      <c r="AV239" s="81">
        <f>IF(ISERROR((AU239/AM239-1)*100),"NA",IF(((AU239/AM239-1)*100)&gt;100,"NM",IF(((AU239/AM239-1)*100)&lt;-50,"NM",(AU239/AM239-1)*100)))</f>
        <v>14.449541284403633</v>
      </c>
      <c r="AW239" s="242">
        <f>AW224-AW231</f>
        <v>52.100000000000023</v>
      </c>
      <c r="AX239" s="81">
        <f>IF(ISERROR((AW239/AO239-1)*100),"NA",IF(((AW239/AO239-1)*100)&gt;100,"NM",IF(((AW239/AO239-1)*100)&lt;-50,"NM",(AW239/AO239-1)*100)))</f>
        <v>24.047619047619094</v>
      </c>
      <c r="AY239" s="242">
        <f>AY224-AY231</f>
        <v>50.5</v>
      </c>
      <c r="AZ239" s="81">
        <f>IF(ISERROR((AY239/AQ239-1)*100),"NA",IF(((AY239/AQ239-1)*100)&gt;100,"NM",IF(((AY239/AQ239-1)*100)&lt;-50,"NM",(AY239/AQ239-1)*100)))</f>
        <v>30.490956072351459</v>
      </c>
      <c r="BA239" s="242">
        <f>BA224-BA231</f>
        <v>59.599999999999994</v>
      </c>
      <c r="BB239" s="81">
        <f>IF(ISERROR((BA239/AS239-1)*100),"NA",IF(((BA239/AS239-1)*100)&gt;100,"NM",IF(((BA239/AS239-1)*100)&lt;-50,"NM",(BA239/AS239-1)*100)))</f>
        <v>29.004329004328945</v>
      </c>
      <c r="BC239" s="242">
        <f>BC224-BC231</f>
        <v>64.900000000000034</v>
      </c>
      <c r="BD239" s="81">
        <f>IF(ISERROR((BC239/AU239-1)*100),"NA",IF(((BC239/AU239-1)*100)&gt;100,"NM",IF(((BC239/AU239-1)*100)&lt;-50,"NM",(BC239/AU239-1)*100)))</f>
        <v>30.060120240481012</v>
      </c>
      <c r="BE239" s="242">
        <f>BE224-BE231</f>
        <v>62.399999999999977</v>
      </c>
      <c r="BF239" s="81">
        <f>IF(ISERROR((BE239/AW239-1)*100),"NA",IF(((BE239/AW239-1)*100)&gt;100,"NM",IF(((BE239/AW239-1)*100)&lt;-50,"NM",(BE239/AW239-1)*100)))</f>
        <v>19.769673704414494</v>
      </c>
      <c r="BG239" s="242">
        <f>BG224-BG231</f>
        <v>58.80000000000004</v>
      </c>
      <c r="BH239" s="81">
        <f>IF(ISERROR((BG239/AY239-1)*100),"NA",IF(((BG239/AY239-1)*100)&gt;100,"NM",IF(((BG239/AY239-1)*100)&lt;-50,"NM",(BG239/AY239-1)*100)))</f>
        <v>16.435643564356518</v>
      </c>
      <c r="BI239" s="242">
        <f>BI224-BI231</f>
        <v>67.399999999999977</v>
      </c>
      <c r="BJ239" s="81">
        <f>IF(ISERROR((BI239/BA239-1)*100),"NA",IF(((BI239/BA239-1)*100)&gt;100,"NM",IF(((BI239/BA239-1)*100)&lt;-50,"NM",(BI239/BA239-1)*100)))</f>
        <v>13.087248322147627</v>
      </c>
      <c r="BK239" s="242">
        <f>BK224-BK231</f>
        <v>68.200000000000045</v>
      </c>
      <c r="BL239" s="81">
        <f>IF(ISERROR((BK239/BC239-1)*100),"NA",IF(((BK239/BC239-1)*100)&gt;100,"NM",IF(((BK239/BC239-1)*100)&lt;-50,"NM",(BK239/BC239-1)*100)))</f>
        <v>5.0847457627118731</v>
      </c>
      <c r="BM239" s="242">
        <f>BM224-BM231</f>
        <v>66.200000000000045</v>
      </c>
      <c r="BN239" s="81">
        <f>IF(ISERROR((BM239/BE239-1)*100),"NA",IF(((BM239/BE239-1)*100)&gt;100,"NM",IF(((BM239/BE239-1)*100)&lt;-50,"NM",(BM239/BE239-1)*100)))</f>
        <v>6.0897435897437013</v>
      </c>
      <c r="BO239" s="242">
        <f>BO224-BO231</f>
        <v>66.300000000000011</v>
      </c>
      <c r="BP239" s="81">
        <f>IF(ISERROR((BO239/BG239-1)*100),"NA",IF(((BO239/BG239-1)*100)&gt;100,"NM",IF(((BO239/BG239-1)*100)&lt;-50,"NM",(BO239/BG239-1)*100)))</f>
        <v>12.755102040816269</v>
      </c>
      <c r="BQ239" s="242">
        <f>BQ224-BQ231</f>
        <v>70.900000000000034</v>
      </c>
      <c r="BR239" s="81">
        <f>IF(ISERROR((BQ239/BI239-1)*100),"NA",IF(((BQ239/BI239-1)*100)&gt;100,"NM",IF(((BQ239/BI239-1)*100)&lt;-50,"NM",(BQ239/BI239-1)*100)))</f>
        <v>5.1928783382790167</v>
      </c>
      <c r="BS239" s="242">
        <f>BS224-BS231</f>
        <v>71.30000000000004</v>
      </c>
      <c r="BT239" s="81">
        <f>IF(ISERROR((BS239/BK239-1)*100),"NA",IF(((BS239/BK239-1)*100)&gt;100,"NM",IF(((BS239/BK239-1)*100)&lt;-50,"NM",(BS239/BK239-1)*100)))</f>
        <v>4.5454545454545414</v>
      </c>
      <c r="BU239" s="242">
        <f>BU224-BU231</f>
        <v>70.400000000000006</v>
      </c>
      <c r="BV239" s="81">
        <f>IF(ISERROR((BU239/BM239-1)*100),"NA",IF(((BU239/BM239-1)*100)&gt;100,"NM",IF(((BU239/BM239-1)*100)&lt;-50,"NM",(BU239/BM239-1)*100)))</f>
        <v>6.3444108761328666</v>
      </c>
      <c r="BW239" s="242">
        <f>BW224-BW231</f>
        <v>68.299999999999955</v>
      </c>
      <c r="BX239" s="81">
        <f>IF(ISERROR((BW239/BO239-1)*100),"NA",IF(((BW239/BO239-1)*100)&gt;100,"NM",IF(((BW239/BO239-1)*100)&lt;-50,"NM",(BW239/BO239-1)*100)))</f>
        <v>3.0165912518852922</v>
      </c>
      <c r="BY239" s="242">
        <f>BY224-BY231</f>
        <v>70.200000000000045</v>
      </c>
      <c r="BZ239" s="81">
        <f>IF(ISERROR((BY239/BQ239-1)*100),"NA",IF(((BY239/BQ239-1)*100)&gt;100,"NM",IF(((BY239/BQ239-1)*100)&lt;-50,"NM",(BY239/BQ239-1)*100)))</f>
        <v>-0.9873060648801002</v>
      </c>
      <c r="CA239" s="242">
        <f>CA224-CA231</f>
        <v>71.099999999999937</v>
      </c>
      <c r="CB239" s="81">
        <f>IF(ISERROR((CA239/BS239-1)*100),"NA",IF(((CA239/BS239-1)*100)&gt;100,"NM",IF(((CA239/BS239-1)*100)&lt;-50,"NM",(CA239/BS239-1)*100)))</f>
        <v>-0.2805049088360434</v>
      </c>
      <c r="CC239" s="242">
        <f>CC224-CC231</f>
        <v>71.000000000000028</v>
      </c>
      <c r="CD239" s="81">
        <f>IF(ISERROR((CC239/BU239-1)*100),"NA",IF(((CC239/BU239-1)*100)&gt;100,"NM",IF(((CC239/BU239-1)*100)&lt;-50,"NM",(CC239/BU239-1)*100)))</f>
        <v>0.8522727272727515</v>
      </c>
      <c r="CE239" s="242">
        <f>CE224-CE231</f>
        <v>57.400000000000034</v>
      </c>
      <c r="CF239" s="81">
        <f>IF(ISERROR((CE239/BW239-1)*100),"NA",IF(((CE239/BW239-1)*100)&gt;100,"NM",IF(((CE239/BW239-1)*100)&lt;-50,"NM",(CE239/BW239-1)*100)))</f>
        <v>-15.959004392386422</v>
      </c>
      <c r="CG239" s="242">
        <f>CG224-CG231</f>
        <v>66.499999999999943</v>
      </c>
      <c r="CH239" s="81">
        <f>IF(ISERROR((CG239/BY239-1)*100),"NA",IF(((CG239/BY239-1)*100)&gt;100,"NM",IF(((CG239/BY239-1)*100)&lt;-50,"NM",(CG239/BY239-1)*100)))</f>
        <v>-5.2706552706554106</v>
      </c>
      <c r="CI239" s="242">
        <f>CI224-CI231</f>
        <v>71.899999999999977</v>
      </c>
      <c r="CJ239" s="81">
        <f>IF(ISERROR((CI239/CA239-1)*100),"NA",IF(((CI239/CA239-1)*100)&gt;100,"NM",IF(((CI239/CA239-1)*100)&lt;-50,"NM",(CI239/CA239-1)*100)))</f>
        <v>1.1251758087201802</v>
      </c>
      <c r="CK239" s="242">
        <f>CK224-CK231</f>
        <v>66.700000000000045</v>
      </c>
      <c r="CL239" s="81">
        <f>IF(ISERROR((CK239/CC239-1)*100),"NA",IF(((CK239/CC239-1)*100)&gt;100,"NM",IF(((CK239/CC239-1)*100)&lt;-50,"NM",(CK239/CC239-1)*100)))</f>
        <v>-6.0563380281689838</v>
      </c>
      <c r="CM239" s="242">
        <f>CM224-CM231</f>
        <v>64.999999999999943</v>
      </c>
      <c r="CN239" s="81">
        <f>IF(ISERROR((CM239/CE239-1)*100),"NA",IF(((CM239/CE239-1)*100)&gt;100,"NM",IF(((CM239/CE239-1)*100)&lt;-50,"NM",(CM239/CE239-1)*100)))</f>
        <v>13.240418118466724</v>
      </c>
      <c r="CO239" s="242">
        <f>CO224-CO231</f>
        <v>69.699999999999989</v>
      </c>
      <c r="CP239" s="81">
        <f>IF(ISERROR((CO239/CG239-1)*100),"NA",IF(((CO239/CG239-1)*100)&gt;100,"NM",IF(((CO239/CG239-1)*100)&lt;-50,"NM",(CO239/CG239-1)*100)))</f>
        <v>4.8120300751880452</v>
      </c>
      <c r="CQ239" s="242">
        <f>CQ224-CQ231</f>
        <v>67.599999999999966</v>
      </c>
      <c r="CR239" s="81">
        <f>IF(ISERROR((CQ239/CI239-1)*100),"NA",IF(((CQ239/CI239-1)*100)&gt;100,"NM",IF(((CQ239/CI239-1)*100)&lt;-50,"NM",(CQ239/CI239-1)*100)))</f>
        <v>-5.9805285118219924</v>
      </c>
      <c r="CS239" s="242">
        <f>CS224-CS231</f>
        <v>68.699999999999932</v>
      </c>
      <c r="CT239" s="81">
        <f>IF(ISERROR((CS239/CK239-1)*100),"NA",IF(((CS239/CK239-1)*100)&gt;100,"NM",IF(((CS239/CK239-1)*100)&lt;-50,"NM",(CS239/CK239-1)*100)))</f>
        <v>2.9985007496250216</v>
      </c>
      <c r="CU239" s="242">
        <f>CU224-CU231</f>
        <v>68.300000000000011</v>
      </c>
      <c r="CV239" s="81">
        <f>IF(ISERROR((CU239/CM239-1)*100),"NA",IF(((CU239/CM239-1)*100)&gt;100,"NM",IF(((CU239/CM239-1)*100)&lt;-50,"NM",(CU239/CM239-1)*100)))</f>
        <v>5.0769230769231788</v>
      </c>
      <c r="CW239" s="197">
        <f>CW224-CW231+CW238</f>
        <v>75.100000000000023</v>
      </c>
      <c r="CX239" s="195">
        <f>IF(ISERROR((CW239/CO239-1)*100),"NA",IF(((CW239/CO239-1)*100)&gt;100,"NM",IF(((CW239/CO239-1)*100)&lt;-50,"NM",(CW239/CO239-1)*100)))</f>
        <v>7.7474892395983375</v>
      </c>
      <c r="CY239" s="197">
        <f>CY224-CY231+CY238</f>
        <v>70.799999999999955</v>
      </c>
      <c r="CZ239" s="195">
        <f>IF(ISERROR((CY239/CQ239-1)*100),"NA",IF(((CY239/CQ239-1)*100)&gt;100,"NM",IF(((CY239/CQ239-1)*100)&lt;-50,"NM",(CY239/CQ239-1)*100)))</f>
        <v>4.7337278106508673</v>
      </c>
      <c r="DA239" s="197">
        <f>DA224-DA231+DA238</f>
        <v>68.600000000000023</v>
      </c>
      <c r="DB239" s="195">
        <f>IF(ISERROR((DA239/CS239-1)*100),"NA",IF(((DA239/CS239-1)*100)&gt;100,"NM",IF(((DA239/CS239-1)*100)&lt;-50,"NM",(DA239/CS239-1)*100)))</f>
        <v>-0.14556040756901201</v>
      </c>
      <c r="DC239" s="197">
        <f>DC224-DC231+DC238</f>
        <v>49</v>
      </c>
      <c r="DD239" s="195">
        <f>IF(ISERROR((DC239/CU239-1)*100),"NA",IF(((DC239/CU239-1)*100)&gt;100,"NM",IF(((DC239/CU239-1)*100)&lt;-50,"NM",(DC239/CU239-1)*100)))</f>
        <v>-28.257686676427539</v>
      </c>
      <c r="DE239" s="197">
        <f>DE224-DE231+DE238</f>
        <v>79.099999999999966</v>
      </c>
      <c r="DF239" s="195">
        <f>IF(ISERROR((DE239/CW239-1)*100),"NA",IF(((DE239/CW239-1)*100)&gt;100,"NM",IF(((DE239/CW239-1)*100)&lt;-50,"NM",(DE239/CW239-1)*100)))</f>
        <v>5.3262316910784868</v>
      </c>
      <c r="DG239" s="197">
        <f>DG224-DG231+DG238</f>
        <v>74.899999999999977</v>
      </c>
      <c r="DH239" s="195">
        <f>IF(ISERROR((DG239/CY239-1)*100),"NA",IF(((DG239/CY239-1)*100)&gt;100,"NM",IF(((DG239/CY239-1)*100)&lt;-50,"NM",(DG239/CY239-1)*100)))</f>
        <v>5.7909604519774449</v>
      </c>
      <c r="DI239" s="197">
        <f>DI224-DI231+DI238</f>
        <v>71</v>
      </c>
      <c r="DJ239" s="195">
        <f>IF(ISERROR((DI239/DA239-1)*100),"NA",IF(((DI239/DA239-1)*100)&gt;100,"NM",IF(((DI239/DA239-1)*100)&lt;-50,"NM",(DI239/DA239-1)*100)))</f>
        <v>3.4985422740524408</v>
      </c>
      <c r="DK239" s="197">
        <f>DK224-DK231+DK238</f>
        <v>74</v>
      </c>
      <c r="DL239" s="81">
        <f>IF(ISERROR((DK239/DC239-1)*100),"NA",IF(((DK239/DC239-1)*100)&gt;100,"NM",IF(((DK239/DC239-1)*100)&lt;-50,"NM",(DK239/DC239-1)*100)))</f>
        <v>51.020408163265294</v>
      </c>
      <c r="DM239" s="197">
        <f>DM224-DM231+DM238</f>
        <v>77.599999999999966</v>
      </c>
      <c r="DN239" s="81">
        <f>IF(ISERROR((DM239/DE239-1)*100),"NA",IF(((DM239/DE239-1)*100)&gt;100,"NM",IF(((DM239/DE239-1)*100)&lt;-50,"NM",(DM239/DE239-1)*100)))</f>
        <v>-1.896333754740831</v>
      </c>
      <c r="DO239" s="197">
        <f>DO224-DO231+DO238</f>
        <v>77.599999999999966</v>
      </c>
      <c r="DP239" s="81">
        <f>IF(ISERROR((DO239/DG239-1)*100),"NA",IF(((DO239/DG239-1)*100)&gt;100,"NM",IF(((DO239/DG239-1)*100)&lt;-50,"NM",(DO239/DG239-1)*100)))</f>
        <v>3.6048064085447029</v>
      </c>
      <c r="DQ239" s="197">
        <f>DQ224-DQ231+DQ238</f>
        <v>76.300000000000068</v>
      </c>
      <c r="DR239" s="81">
        <f>IF(ISERROR((DQ239/DI239-1)*100),"NA",IF(((DQ239/DI239-1)*100)&gt;100,"NM",IF(((DQ239/DI239-1)*100)&lt;-50,"NM",(DQ239/DI239-1)*100)))</f>
        <v>7.4647887323944673</v>
      </c>
      <c r="DS239" s="197">
        <f>DS224-DS231+DS238</f>
        <v>77.600000000000023</v>
      </c>
      <c r="DT239" s="81">
        <f>IF(ISERROR((DS239/DK239-1)*100),"NA",IF(((DS239/DK239-1)*100)&gt;100,"NM",IF(((DS239/DK239-1)*100)&lt;-50,"NM",(DS239/DK239-1)*100)))</f>
        <v>4.864864864864904</v>
      </c>
      <c r="DU239" s="197">
        <f>DU224-DU231+DU238</f>
        <v>77.399999999999977</v>
      </c>
      <c r="DV239" s="81">
        <f>IF(ISERROR((DU239/DM239-1)*100),"NA",IF(((DU239/DM239-1)*100)&gt;100,"NM",IF(((DU239/DM239-1)*100)&lt;-50,"NM",(DU239/DM239-1)*100)))</f>
        <v>-0.25773195876287458</v>
      </c>
      <c r="DW239" s="197">
        <f>DW224-DW231+DW238</f>
        <v>77.899999999999977</v>
      </c>
      <c r="DX239" s="81">
        <f>IF(ISERROR((DW239/DO239-1)*100),"NA",IF(((DW239/DO239-1)*100)&gt;100,"NM",IF(((DW239/DO239-1)*100)&lt;-50,"NM",(DW239/DO239-1)*100)))</f>
        <v>0.38659793814435073</v>
      </c>
      <c r="DY239" s="197">
        <f>DY224-DY231+DY238</f>
        <v>79</v>
      </c>
      <c r="DZ239" s="81">
        <f>IF(ISERROR((DY239/DQ239-1)*100),"NA",IF(((DY239/DQ239-1)*100)&gt;100,"NM",IF(((DY239/DQ239-1)*100)&lt;-50,"NM",(DY239/DQ239-1)*100)))</f>
        <v>3.5386631716906036</v>
      </c>
      <c r="EA239" s="197">
        <f>EA224-EA231+EA238</f>
        <v>79.899999999999977</v>
      </c>
      <c r="EB239" s="81">
        <f>IF(ISERROR((EA239/DS239-1)*100),"NA",IF(((EA239/DS239-1)*100)&gt;100,"NM",IF(((EA239/DS239-1)*100)&lt;-50,"NM",(EA239/DS239-1)*100)))</f>
        <v>2.9639175257731409</v>
      </c>
      <c r="EC239" s="197">
        <f>EC224-EC231+EC238</f>
        <v>82.400000000000034</v>
      </c>
      <c r="ED239" s="81">
        <f t="shared" ref="ED239:ED240" si="768">IF(ISERROR((EC239/DU239-1)*100),"NA",IF(((EC239/DU239-1)*100)&gt;100,"NM",IF(((EC239/DU239-1)*100)&lt;-50,"NM",(EC239/DU239-1)*100)))</f>
        <v>6.4599483204135222</v>
      </c>
      <c r="EE239" s="197">
        <f>EE224-EE231+EE238</f>
        <v>81.800000000000068</v>
      </c>
      <c r="EF239" s="81">
        <f t="shared" ref="EF239:EF240" si="769">IF(ISERROR((EE239/DW239-1)*100),"NA",IF(((EE239/DW239-1)*100)&gt;100,"NM",IF(((EE239/DW239-1)*100)&lt;-50,"NM",(EE239/DW239-1)*100)))</f>
        <v>5.0064184852375959</v>
      </c>
      <c r="EG239" s="197">
        <f>EG224-EG231+EG238</f>
        <v>81.700000000000045</v>
      </c>
      <c r="EH239" s="81">
        <f t="shared" ref="EH239:EH240" si="770">IF(ISERROR((EG239/DY239-1)*100),"NA",IF(((EG239/DY239-1)*100)&gt;100,"NM",IF(((EG239/DY239-1)*100)&lt;-50,"NM",(EG239/DY239-1)*100)))</f>
        <v>3.4177215189874044</v>
      </c>
      <c r="EI239" s="197">
        <f>EI224-EI231+EI238</f>
        <v>79.099999999999994</v>
      </c>
      <c r="EJ239" s="81">
        <f t="shared" ref="EJ239:EJ240" si="771">IF(ISERROR((EI239/EA239-1)*100),"NA",IF(((EI239/EA239-1)*100)&gt;100,"NM",IF(((EI239/EA239-1)*100)&lt;-50,"NM",(EI239/EA239-1)*100)))</f>
        <v>-1.001251564455552</v>
      </c>
      <c r="EK239" s="197">
        <f t="shared" ref="EK239:EQ239" si="772">EK224-EK231+EK238</f>
        <v>77.960626999999988</v>
      </c>
      <c r="EL239" s="81">
        <f t="shared" ref="EL239:EL240" si="773">IF(ISERROR((EK239/EC239-1)*100),"NA",IF(((EK239/EC239-1)*100)&gt;100,"NM",IF(((EK239/EC239-1)*100)&lt;-50,"NM",(EK239/EC239-1)*100)))</f>
        <v>-5.3875885922330617</v>
      </c>
      <c r="EM239" s="197">
        <f t="shared" si="772"/>
        <v>78.590878084999986</v>
      </c>
      <c r="EN239" s="81">
        <f t="shared" ref="EN239:EN240" si="774">IF(ISERROR((EM239/EE239-1)*100),"NA",IF(((EM239/EE239-1)*100)&gt;100,"NM",IF(((EM239/EE239-1)*100)&lt;-50,"NM",(EM239/EE239-1)*100)))</f>
        <v>-3.9231319254279695</v>
      </c>
      <c r="EO239" s="197">
        <f t="shared" si="772"/>
        <v>79.409102620624992</v>
      </c>
      <c r="EP239" s="81">
        <f t="shared" ref="EP239:EP240" si="775">IF(ISERROR((EO239/EG239-1)*100),"NA",IF(((EO239/EG239-1)*100)&gt;100,"NM",IF(((EO239/EG239-1)*100)&lt;-50,"NM",(EO239/EG239-1)*100)))</f>
        <v>-2.8040359600673859</v>
      </c>
      <c r="EQ239" s="197">
        <f t="shared" si="772"/>
        <v>80.151668422632156</v>
      </c>
      <c r="ER239" s="81">
        <f t="shared" ref="ER239:ER240" si="776">IF(ISERROR((EQ239/EI239-1)*100),"NA",IF(((EQ239/EI239-1)*100)&gt;100,"NM",IF(((EQ239/EI239-1)*100)&lt;-50,"NM",(EQ239/EI239-1)*100)))</f>
        <v>1.3295428857549529</v>
      </c>
      <c r="ES239" s="129"/>
      <c r="ET239" s="469"/>
      <c r="EU239" s="129"/>
      <c r="EV239" s="242"/>
      <c r="EW239" s="79"/>
      <c r="EX239" s="242"/>
      <c r="EY239" s="79"/>
      <c r="EZ239" s="242"/>
      <c r="FA239" s="79"/>
      <c r="FB239" s="242">
        <f>FB224-FB231</f>
        <v>138</v>
      </c>
      <c r="FC239" s="79" t="str">
        <f>IF(ISERROR((FB239/EZ239-1)*100),"NA",IF(((FB239/EZ239-1)*100)&gt;100,"NM",IF(((FB239/EZ239-1)*100)&lt;-50,"NM",(FB239/EZ239-1)*100)))</f>
        <v>NA</v>
      </c>
      <c r="FD239" s="242">
        <f>FD224-FD231</f>
        <v>137.50000000000011</v>
      </c>
      <c r="FE239" s="79">
        <f>IF(ISERROR((FD239/FB239-1)*100),"NA",IF(((FD239/FB239-1)*100)&gt;100,"NM",IF(((FD239/FB239-1)*100)&lt;-50,"NM",(FD239/FB239-1)*100)))</f>
        <v>-0.36231884057962294</v>
      </c>
      <c r="FF239" s="242">
        <f>FF224-FF231</f>
        <v>146.70000000000005</v>
      </c>
      <c r="FG239" s="79">
        <f>IF(ISERROR((FF239/FD239-1)*100),"NA",IF(((FF239/FD239-1)*100)&gt;100,"NM",IF(((FF239/FD239-1)*100)&lt;-50,"NM",(FF239/FD239-1)*100)))</f>
        <v>6.6909090909090363</v>
      </c>
      <c r="FH239" s="242">
        <f>FH224-FH231</f>
        <v>155.60000000000002</v>
      </c>
      <c r="FI239" s="79">
        <f>IF(ISERROR((FH239/FF239-1)*100),"NA",IF(((FH239/FF239-1)*100)&gt;100,"NM",IF(((FH239/FF239-1)*100)&lt;-50,"NM",(FH239/FF239-1)*100)))</f>
        <v>6.0668029993183215</v>
      </c>
      <c r="FJ239" s="242">
        <f>FJ224-FJ231</f>
        <v>168.09999999999991</v>
      </c>
      <c r="FK239" s="79">
        <f>IF(ISERROR((FJ239/FH239-1)*100),"NA",IF(((FJ239/FH239-1)*100)&gt;100,"NM",IF(((FJ239/FH239-1)*100)&lt;-50,"NM",(FJ239/FH239-1)*100)))</f>
        <v>8.0334190231361688</v>
      </c>
      <c r="FL239" s="242">
        <f>FL224-FL231</f>
        <v>198.70000000000027</v>
      </c>
      <c r="FM239" s="79">
        <f>IF(ISERROR((FL239/FJ239-1)*100),"NA",IF(((FL239/FJ239-1)*100)&gt;100,"NM",IF(((FL239/FJ239-1)*100)&lt;-50,"NM",(FL239/FJ239-1)*100)))</f>
        <v>18.20345032718642</v>
      </c>
      <c r="FN239" s="242">
        <f>FN224-FN231</f>
        <v>245.70000000000005</v>
      </c>
      <c r="FO239" s="79">
        <f>IF(ISERROR((FN239/FL239-1)*100),"NA",IF(((FN239/FL239-1)*100)&gt;100,"NM",IF(((FN239/FL239-1)*100)&lt;-50,"NM",(FN239/FL239-1)*100)))</f>
        <v>23.653749370910781</v>
      </c>
      <c r="FP239" s="242">
        <f>FP224-FP231</f>
        <v>268.10000000000014</v>
      </c>
      <c r="FQ239" s="79">
        <f>IF(ISERROR((FP239/FN239-1)*100),"NA",IF(((FP239/FN239-1)*100)&gt;100,"NM",IF(((FP239/FN239-1)*100)&lt;-50,"NM",(FP239/FN239-1)*100)))</f>
        <v>9.1168091168091436</v>
      </c>
      <c r="FR239" s="242">
        <f>FR224-FR231</f>
        <v>269.10000000000014</v>
      </c>
      <c r="FS239" s="79">
        <f>IF(ISERROR((FR239/FP239-1)*100),"NA",IF(((FR239/FP239-1)*100)&gt;100,"NM",IF(((FR239/FP239-1)*100)&lt;-50,"NM",(FR239/FP239-1)*100)))</f>
        <v>0.37299515106303804</v>
      </c>
      <c r="FT239" s="242">
        <f>FT224-FT231</f>
        <v>269.69999999999982</v>
      </c>
      <c r="FU239" s="79">
        <f>IF(ISERROR((FT239/FR239-1)*100),"NA",IF(((FT239/FR239-1)*100)&gt;100,"NM",IF(((FT239/FR239-1)*100)&lt;-50,"NM",(FT239/FR239-1)*100)))</f>
        <v>0.22296544035662613</v>
      </c>
      <c r="FV239" s="242">
        <f>FV224-FV231</f>
        <v>270.09999999999991</v>
      </c>
      <c r="FW239" s="79">
        <f>IF(ISERROR((FV239/FT239-1)*100),"NA",IF(((FV239/FT239-1)*100)&gt;100,"NM",IF(((FV239/FT239-1)*100)&lt;-50,"NM",(FV239/FT239-1)*100)))</f>
        <v>0.14831294030408504</v>
      </c>
      <c r="FX239" s="242">
        <f>FX224-FX231+FX238</f>
        <v>273.39999999999986</v>
      </c>
      <c r="FY239" s="79">
        <f>IF(ISERROR((FX239/FV239-1)*100),"NA",IF(((FX239/FV239-1)*100)&gt;100,"NM",IF(((FX239/FV239-1)*100)&lt;-50,"NM",(FX239/FV239-1)*100)))</f>
        <v>1.2217697149203843</v>
      </c>
      <c r="FZ239" s="242">
        <f>FZ224-FZ231+FZ238</f>
        <v>263.5</v>
      </c>
      <c r="GA239" s="79">
        <f>IF(ISERROR((FZ239/FX239-1)*100),"NA",IF(((FZ239/FX239-1)*100)&gt;100,"NM",IF(((FZ239/FX239-1)*100)&lt;-50,"NM",(FZ239/FX239-1)*100)))</f>
        <v>-3.6210680321872246</v>
      </c>
      <c r="GB239" s="242">
        <f>GB224-GB231+GB238</f>
        <v>298.99999999999977</v>
      </c>
      <c r="GC239" s="79">
        <f>IF(ISERROR((GB239/FZ239-1)*100),"NA",IF(((GB239/FZ239-1)*100)&gt;100,"NM",IF(((GB239/FZ239-1)*100)&lt;-50,"NM",(GB239/FZ239-1)*100)))</f>
        <v>13.472485768500864</v>
      </c>
      <c r="GD239" s="242">
        <f>GD224-GD231+GD238</f>
        <v>309.09999999999991</v>
      </c>
      <c r="GE239" s="79">
        <f>IF(ISERROR((GD239/GB239-1)*100),"NA",IF(((GD239/GB239-1)*100)&gt;100,"NM",IF(((GD239/GB239-1)*100)&lt;-50,"NM",(GD239/GB239-1)*100)))</f>
        <v>3.3779264214047311</v>
      </c>
      <c r="GF239" s="242">
        <f>GF224-GF231+GF238</f>
        <v>314.20000000000005</v>
      </c>
      <c r="GG239" s="79">
        <f>IF(ISERROR((GF239/GD239-1)*100),"NA",IF(((GF239/GD239-1)*100)&gt;100,"NM",IF(((GF239/GD239-1)*100)&lt;-50,"NM",(GF239/GD239-1)*100)))</f>
        <v>1.649951472015565</v>
      </c>
      <c r="GH239" s="242">
        <f>GH224-GH231+GH238</f>
        <v>325.00000000000011</v>
      </c>
      <c r="GI239" s="79">
        <f>IF(ISERROR((GH239/GF239-1)*100),"NA",IF(((GH239/GF239-1)*100)&gt;100,"NM",IF(((GH239/GF239-1)*100)&lt;-50,"NM",(GH239/GF239-1)*100)))</f>
        <v>3.437301082113331</v>
      </c>
      <c r="GJ239" s="242">
        <f>GJ224-GJ231+GJ238</f>
        <v>316.11227612825701</v>
      </c>
      <c r="GK239" s="79">
        <f>IF(ISERROR((GJ239/GH239-1)*100),"NA",IF(((GJ239/GH239-1)*100)&gt;100,"NM",IF(((GJ239/GH239-1)*100)&lt;-50,"NM",(GJ239/GH239-1)*100)))</f>
        <v>-2.7346842682286487</v>
      </c>
      <c r="GL239" s="242">
        <f>GL224-GL231+GL238</f>
        <v>319.20591431074467</v>
      </c>
      <c r="GM239" s="79">
        <f>IF(ISERROR((GL239/GJ239-1)*100),"NA",IF(((GL239/GJ239-1)*100)&gt;100,"NM",IF(((GL239/GJ239-1)*100)&lt;-50,"NM",(GL239/GJ239-1)*100)))</f>
        <v>0.9786517057732036</v>
      </c>
      <c r="GN239" s="242">
        <f>GN224-GN231+GN238</f>
        <v>325.64179352595966</v>
      </c>
      <c r="GO239" s="79">
        <f>IF(ISERROR((GN239/GL239-1)*100),"NA",IF(((GN239/GL239-1)*100)&gt;100,"NM",IF(((GN239/GL239-1)*100)&lt;-50,"NM",(GN239/GL239-1)*100)))</f>
        <v>2.0162155294371154</v>
      </c>
      <c r="GP239" s="242">
        <f>GP224-GP231+GP238</f>
        <v>333.91469964775729</v>
      </c>
      <c r="GQ239" s="79">
        <f>IF(ISERROR((GP239/GN239-1)*100),"NA",IF(((GP239/GN239-1)*100)&gt;100,"NM",IF(((GP239/GN239-1)*100)&lt;-50,"NM",(GP239/GN239-1)*100)))</f>
        <v>2.540492739651401</v>
      </c>
      <c r="GR239" s="242">
        <f>GR224-GR231+GR238</f>
        <v>340.65225472832435</v>
      </c>
      <c r="GS239" s="79">
        <f>IF(ISERROR((GR239/GP239-1)*100),"NA",IF(((GR239/GP239-1)*100)&gt;100,"NM",IF(((GR239/GP239-1)*100)&lt;-50,"NM",(GR239/GP239-1)*100)))</f>
        <v>2.0177473731088913</v>
      </c>
      <c r="GT239" s="79">
        <f>IF(ISERROR(((GR239/GH239)^0.2-1)*100),"NA",(IF(OR(((GR239/GH239)^0.2-1)*100&gt;99,((GR239/GH239)^0.2-1)*100&lt;-50),"NM",(((GR239/GH239)^0.2-1)*100))))</f>
        <v>0.94517874140382929</v>
      </c>
      <c r="GU239" s="562"/>
      <c r="GV239" s="562"/>
      <c r="GW239"/>
      <c r="GX239"/>
      <c r="GY239"/>
      <c r="GZ239"/>
      <c r="HA239"/>
      <c r="HB239"/>
      <c r="HC239" s="562"/>
      <c r="HD239" s="562"/>
      <c r="HE239" s="562"/>
      <c r="HF239" s="562"/>
      <c r="HG239" s="562"/>
      <c r="HH239" s="562"/>
      <c r="HI239" s="562"/>
      <c r="HJ239" s="562"/>
      <c r="HK239" s="562"/>
      <c r="HL239" s="562"/>
      <c r="HM239" s="562"/>
      <c r="HN239" s="562"/>
      <c r="HO239" s="562"/>
      <c r="HP239" s="562"/>
      <c r="HQ239" s="562"/>
      <c r="HR239" s="562"/>
      <c r="HS239" s="562"/>
      <c r="HT239" s="562"/>
      <c r="HU239" s="562"/>
      <c r="HV239" s="562"/>
      <c r="HW239" s="562"/>
      <c r="HX239" s="562"/>
      <c r="HY239" s="562"/>
      <c r="HZ239" s="562"/>
      <c r="IA239" s="562"/>
      <c r="IB239" s="562"/>
      <c r="IC239" s="562"/>
      <c r="ID239" s="562"/>
      <c r="IE239" s="562"/>
      <c r="IF239" s="562"/>
      <c r="IG239" s="562"/>
      <c r="IH239" s="562"/>
      <c r="II239" s="562"/>
      <c r="IJ239" s="562"/>
      <c r="IK239" s="562"/>
      <c r="IL239" s="562"/>
      <c r="IM239" s="562"/>
      <c r="IN239" s="562"/>
      <c r="IO239" s="562"/>
      <c r="IP239" s="562"/>
      <c r="IQ239" s="562"/>
      <c r="IR239" s="562"/>
      <c r="IS239" s="562"/>
      <c r="IT239" s="562"/>
      <c r="IU239" s="562"/>
      <c r="IV239" s="562"/>
      <c r="IW239" s="562"/>
      <c r="IX239" s="562"/>
      <c r="IY239" s="562"/>
      <c r="IZ239" s="562"/>
      <c r="JA239" s="562"/>
      <c r="JB239" s="562"/>
      <c r="JC239" s="562"/>
      <c r="JD239" s="562"/>
      <c r="JE239" s="562"/>
      <c r="JF239" s="562"/>
      <c r="JG239" s="562"/>
      <c r="JH239" s="562"/>
      <c r="JI239" s="562"/>
      <c r="JJ239" s="562"/>
      <c r="JK239" s="562"/>
      <c r="JL239" s="562"/>
      <c r="JM239" s="562"/>
      <c r="JN239" s="562"/>
      <c r="JO239" s="562"/>
      <c r="JP239" s="562"/>
      <c r="JQ239" s="562"/>
      <c r="JR239" s="562"/>
      <c r="JS239" s="562"/>
      <c r="JT239" s="562"/>
      <c r="JU239" s="562"/>
      <c r="JV239" s="562"/>
      <c r="JW239" s="562"/>
      <c r="JX239" s="562"/>
      <c r="JY239" s="562"/>
      <c r="JZ239" s="562"/>
    </row>
    <row r="240" spans="1:286" ht="12.75" customHeight="1" x14ac:dyDescent="0.2">
      <c r="A240" s="1"/>
      <c r="B240" s="10" t="s">
        <v>55</v>
      </c>
      <c r="C240" s="79"/>
      <c r="D240" s="79"/>
      <c r="E240" s="185">
        <f>+E239/E224*100</f>
        <v>18.103940605368354</v>
      </c>
      <c r="F240" s="185"/>
      <c r="G240" s="185">
        <f>+G239/G224*100</f>
        <v>20.114613180515757</v>
      </c>
      <c r="H240" s="185"/>
      <c r="I240" s="185">
        <f>+I239/I224*100</f>
        <v>19.46952595936796</v>
      </c>
      <c r="J240" s="185"/>
      <c r="K240" s="185">
        <f>+K239/K224*100</f>
        <v>21.374490390215488</v>
      </c>
      <c r="L240" s="79"/>
      <c r="M240" s="185">
        <f>+M239/M224*100</f>
        <v>18.75</v>
      </c>
      <c r="N240" s="79">
        <f>IF(ISERROR((M240/E240-1)*100),"NA",IF(((M240/E240-1)*100)&gt;100,"NM",IF(((M240/E240-1)*100)&lt;-50,"NM",(M240/E240-1)*100)))</f>
        <v>3.5686119873817423</v>
      </c>
      <c r="O240" s="185">
        <f>+O239/O224*100</f>
        <v>19.130925507900681</v>
      </c>
      <c r="P240" s="79">
        <f>IF(ISERROR((O240/G240-1)*100),"NA",IF(((O240/G240-1)*100)&gt;100,"NM",IF(((O240/G240-1)*100)&lt;-50,"NM",(O240/G240-1)*100)))</f>
        <v>-4.8904130732572941</v>
      </c>
      <c r="Q240" s="185">
        <f>+Q239/Q224*100</f>
        <v>18.797814207650276</v>
      </c>
      <c r="R240" s="79">
        <f>IF(ISERROR((Q240/I240-1)*100),"NA",IF(((Q240/I240-1)*100)&gt;100,"NM",IF(((Q240/I240-1)*100)&lt;-50,"NM",(Q240/I240-1)*100)))</f>
        <v>-3.4500673160687945</v>
      </c>
      <c r="S240" s="185">
        <f>+S239/S224*100</f>
        <v>19.695321001088146</v>
      </c>
      <c r="T240" s="79">
        <f>IF(ISERROR((S240/K240-1)*100),"NA",IF(((S240/K240-1)*100)&gt;100,"NM",IF(((S240/K240-1)*100)&lt;-50,"NM",(S240/K240-1)*100)))</f>
        <v>-7.8559505207946749</v>
      </c>
      <c r="U240" s="185">
        <f>+U239/U224*100</f>
        <v>18.352450469238772</v>
      </c>
      <c r="V240" s="79">
        <f>IF(ISERROR((U240/M240-1)*100),"NA",IF(((U240/M240-1)*100)&gt;100,"NM",IF(((U240/M240-1)*100)&lt;-50,"NM",(U240/M240-1)*100)))</f>
        <v>-2.1202641640598818</v>
      </c>
      <c r="W240" s="185">
        <f>+W239/W224*100</f>
        <v>18.238021638330746</v>
      </c>
      <c r="X240" s="79">
        <f>IF(ISERROR((W240/O240-1)*100),"NA",IF(((W240/O240-1)*100)&gt;100,"NM",IF(((W240/O240-1)*100)&lt;-50,"NM",(W240/O240-1)*100)))</f>
        <v>-4.6673323211738227</v>
      </c>
      <c r="Y240" s="185">
        <f>+Y239/Y224*100</f>
        <v>19.51343132285859</v>
      </c>
      <c r="Z240" s="79">
        <f>IF(ISERROR((Y240/Q240-1)*100),"NA",IF(((Y240/Q240-1)*100)&gt;100,"NM",IF(((Y240/Q240-1)*100)&lt;-50,"NM",(Y240/Q240-1)*100)))</f>
        <v>3.8069166303232871</v>
      </c>
      <c r="AA240" s="252">
        <f>+AA239/AA224*100</f>
        <v>18.540433925049307</v>
      </c>
      <c r="AB240" s="79">
        <f>IF(ISERROR((AA240/S240-1)*100),"NA",IF(((AA240/S240-1)*100)&gt;100,"NM",IF(((AA240/S240-1)*100)&lt;-50,"NM",(AA240/S240-1)*100)))</f>
        <v>-5.8637636623187444</v>
      </c>
      <c r="AC240" s="185">
        <f>+AC239/AC224*100</f>
        <v>17.923604309500472</v>
      </c>
      <c r="AD240" s="79">
        <f>IF(ISERROR((AC240/U240-1)*100),"NA",IF(((AC240/U240-1)*100)&gt;100,"NM",IF(((AC240/U240-1)*100)&lt;-50,"NM",(AC240/U240-1)*100)))</f>
        <v>-2.3367242453922077</v>
      </c>
      <c r="AE240" s="185">
        <f>+AE239/AE224*100</f>
        <v>18.905950095969292</v>
      </c>
      <c r="AF240" s="79">
        <f>IF(ISERROR((AE240/W240-1)*100),"NA",IF(((AE240/W240-1)*100)&gt;100,"NM",IF(((AE240/W240-1)*100)&lt;-50,"NM",(AE240/W240-1)*100)))</f>
        <v>3.6622856956960881</v>
      </c>
      <c r="AG240" s="185">
        <f>+AG239/AG224*100</f>
        <v>18.803418803418801</v>
      </c>
      <c r="AH240" s="79">
        <f>IF(ISERROR((AG240/Y240-1)*100),"NA",IF(((AG240/Y240-1)*100)&gt;100,"NM",IF(((AG240/Y240-1)*100)&lt;-50,"NM",(AG240/Y240-1)*100)))</f>
        <v>-3.6385836385836479</v>
      </c>
      <c r="AI240" s="185">
        <f>+AI239/AI224*100</f>
        <v>18.63932898415657</v>
      </c>
      <c r="AJ240" s="79">
        <f>IF(ISERROR((AI240/AA240-1)*100),"NA",IF(((AI240/AA240-1)*100)&gt;100,"NM",IF(((AI240/AA240-1)*100)&lt;-50,"NM",(AI240/AA240-1)*100)))</f>
        <v>0.53340207412109208</v>
      </c>
      <c r="AK240" s="185">
        <f>+AK239/AK224*100</f>
        <v>19.936276741010474</v>
      </c>
      <c r="AL240" s="79">
        <f>IF(ISERROR((AK240/AC240-1)*100),"NA",IF(((AK240/AC240-1)*100)&gt;100,"NM",IF(((AK240/AC240-1)*100)&lt;-50,"NM",(AK240/AC240-1)*100)))</f>
        <v>11.229172418424671</v>
      </c>
      <c r="AM240" s="185">
        <f>+AM239/AM224*100</f>
        <v>19.827194179172363</v>
      </c>
      <c r="AN240" s="79">
        <f>IF(ISERROR((AM240/AE240-1)*100),"NA",IF(((AM240/AE240-1)*100)&gt;100,"NM",IF(((AM240/AE240-1)*100)&lt;-50,"NM",(AM240/AE240-1)*100)))</f>
        <v>4.8727732725766471</v>
      </c>
      <c r="AO240" s="185">
        <f>+AO239/AO224*100</f>
        <v>18.910400720396218</v>
      </c>
      <c r="AP240" s="79">
        <f>IF(ISERROR((AO240/AG240-1)*100),"NA",IF(((AO240/AG240-1)*100)&gt;100,"NM",IF(((AO240/AG240-1)*100)&lt;-50,"NM",(AO240/AG240-1)*100)))</f>
        <v>0.56894928574353631</v>
      </c>
      <c r="AQ240" s="185">
        <f>+AQ239/AQ224*100</f>
        <v>17.14665485157288</v>
      </c>
      <c r="AR240" s="79">
        <f>IF(ISERROR((AQ240/AI240-1)*100),"NA",IF(((AQ240/AI240-1)*100)&gt;100,"NM",IF(((AQ240/AI240-1)*100)&lt;-50,"NM",(AQ240/AI240-1)*100)))</f>
        <v>-8.0081967213114993</v>
      </c>
      <c r="AS240" s="185">
        <f>+AS239/AS224*100</f>
        <v>20.487804878048788</v>
      </c>
      <c r="AT240" s="81">
        <f>IF(ISERROR((AS240/AK240-1)*100),"NA",IF(((AS240/AK240-1)*100)&gt;100,"NM",IF(((AS240/AK240-1)*100)&lt;-50,"NM",(AS240/AK240-1)*100)))</f>
        <v>2.7664550618109018</v>
      </c>
      <c r="AU240" s="185">
        <f>+AU239/AU224*100</f>
        <v>21.38876982426061</v>
      </c>
      <c r="AV240" s="81">
        <f>IF(ISERROR((AU240/AM240-1)*100),"NA",IF(((AU240/AM240-1)*100)&gt;100,"NM",IF(((AU240/AM240-1)*100)&lt;-50,"NM",(AU240/AM240-1)*100)))</f>
        <v>7.8759285402501211</v>
      </c>
      <c r="AW240" s="185">
        <f>+AW239/AW224*100</f>
        <v>22.020287404902795</v>
      </c>
      <c r="AX240" s="81">
        <f>IF(ISERROR((AW240/AO240-1)*100),"NA",IF(((AW240/AO240-1)*100)&gt;100,"NM",IF(((AW240/AO240-1)*100)&lt;-50,"NM",(AW240/AO240-1)*100)))</f>
        <v>16.445376967355017</v>
      </c>
      <c r="AY240" s="185">
        <f>+AY239/AY224*100</f>
        <v>20.91963545981773</v>
      </c>
      <c r="AZ240" s="81">
        <f>IF(ISERROR((AY240/AQ240-1)*100),"NA",IF(((AY240/AQ240-1)*100)&gt;100,"NM",IF(((AY240/AQ240-1)*100)&lt;-50,"NM",(AY240/AQ240-1)*100)))</f>
        <v>22.004178896146321</v>
      </c>
      <c r="BA240" s="185">
        <f>+BA239/BA224*100</f>
        <v>24.022571543732365</v>
      </c>
      <c r="BB240" s="81">
        <f>IF(ISERROR((BA240/AS240-1)*100),"NA",IF(((BA240/AS240-1)*100)&gt;100,"NM",IF(((BA240/AS240-1)*100)&lt;-50,"NM",(BA240/AS240-1)*100)))</f>
        <v>17.253027772979369</v>
      </c>
      <c r="BC240" s="185">
        <f>+BC239/BC224*100</f>
        <v>25.960000000000015</v>
      </c>
      <c r="BD240" s="81">
        <f>IF(ISERROR((BC240/AU240-1)*100),"NA",IF(((BC240/AU240-1)*100)&gt;100,"NM",IF(((BC240/AU240-1)*100)&lt;-50,"NM",(BC240/AU240-1)*100)))</f>
        <v>21.372104208416886</v>
      </c>
      <c r="BE240" s="185">
        <f>+BE239/BE224*100</f>
        <v>24.742268041237107</v>
      </c>
      <c r="BF240" s="81">
        <f>IF(ISERROR((BE240/AW240-1)*100),"NA",IF(((BE240/AW240-1)*100)&gt;100,"NM",IF(((BE240/AW240-1)*100)&lt;-50,"NM",(BE240/AW240-1)*100)))</f>
        <v>12.361240279399199</v>
      </c>
      <c r="BG240" s="185">
        <f>+BG239/BG224*100</f>
        <v>22.826086956521753</v>
      </c>
      <c r="BH240" s="81">
        <f>IF(ISERROR((BG240/AY240-1)*100),"NA",IF(((BG240/AY240-1)*100)&gt;100,"NM",IF(((BG240/AY240-1)*100)&lt;-50,"NM",(BG240/AY240-1)*100)))</f>
        <v>9.1132156693930924</v>
      </c>
      <c r="BI240" s="185">
        <f>+BI239/BI224*100</f>
        <v>25.300300300300293</v>
      </c>
      <c r="BJ240" s="81">
        <f>IF(ISERROR((BI240/BA240-1)*100),"NA",IF(((BI240/BA240-1)*100)&gt;100,"NM",IF(((BI240/BA240-1)*100)&lt;-50,"NM",(BI240/BA240-1)*100)))</f>
        <v>5.3188675252433315</v>
      </c>
      <c r="BK240" s="185">
        <f>+BK239/BK224*100</f>
        <v>25.343738387216664</v>
      </c>
      <c r="BL240" s="81">
        <f>IF(ISERROR((BK240/BC240-1)*100),"NA",IF(((BK240/BC240-1)*100)&gt;100,"NM",IF(((BK240/BC240-1)*100)&lt;-50,"NM",(BK240/BC240-1)*100)))</f>
        <v>-2.3738891093349368</v>
      </c>
      <c r="BM240" s="185">
        <f>+BM239/BM224*100</f>
        <v>24.35614422369391</v>
      </c>
      <c r="BN240" s="81">
        <f>IF(ISERROR((BM240/BE240-1)*100),"NA",IF(((BM240/BE240-1)*100)&gt;100,"NM",IF(((BM240/BE240-1)*100)&lt;-50,"NM",(BM240/BE240-1)*100)))</f>
        <v>-1.5605837625704222</v>
      </c>
      <c r="BO240" s="185">
        <f>+BO239/BO224*100</f>
        <v>24.013038754074611</v>
      </c>
      <c r="BP240" s="81">
        <f>IF(ISERROR((BO240/BG240-1)*100),"NA",IF(((BO240/BG240-1)*100)&gt;100,"NM",IF(((BO240/BG240-1)*100)&lt;-50,"NM",(BO240/BG240-1)*100)))</f>
        <v>5.1999793035649056</v>
      </c>
      <c r="BQ240" s="185">
        <f>+BQ239/BQ224*100</f>
        <v>25.222340803984356</v>
      </c>
      <c r="BR240" s="81">
        <f>IF(ISERROR((BQ240/BI240-1)*100),"NA",IF(((BQ240/BI240-1)*100)&gt;100,"NM",IF(((BQ240/BI240-1)*100)&lt;-50,"NM",(BQ240/BI240-1)*100)))</f>
        <v>-0.30813664419236941</v>
      </c>
      <c r="BS240" s="185">
        <f>+BS239/BS224*100</f>
        <v>25.518969219756631</v>
      </c>
      <c r="BT240" s="81">
        <f>IF(ISERROR((BS240/BK240-1)*100),"NA",IF(((BS240/BK240-1)*100)&gt;100,"NM",IF(((BS240/BK240-1)*100)&lt;-50,"NM",(BS240/BK240-1)*100)))</f>
        <v>0.69141667208951763</v>
      </c>
      <c r="BU240" s="185">
        <f>+BU239/BU224*100</f>
        <v>24.876325088339225</v>
      </c>
      <c r="BV240" s="81">
        <f>IF(ISERROR((BU240/BM240-1)*100),"NA",IF(((BU240/BM240-1)*100)&gt;100,"NM",IF(((BU240/BM240-1)*100)&lt;-50,"NM",(BU240/BM240-1)*100)))</f>
        <v>2.135727477501459</v>
      </c>
      <c r="BW240" s="185">
        <f>+BW239/BW224*100</f>
        <v>23.847765363128477</v>
      </c>
      <c r="BX240" s="81">
        <f>IF(ISERROR((BW240/BO240-1)*100),"NA",IF(((BW240/BO240-1)*100)&gt;100,"NM",IF(((BW240/BO240-1)*100)&lt;-50,"NM",(BW240/BO240-1)*100)))</f>
        <v>-0.6882652072432438</v>
      </c>
      <c r="BY240" s="185">
        <f>+BY239/BY224*100</f>
        <v>23.78048780487806</v>
      </c>
      <c r="BZ240" s="81">
        <f>IF(ISERROR((BY240/BQ240-1)*100),"NA",IF(((BY240/BQ240-1)*100)&gt;100,"NM",IF(((BY240/BQ240-1)*100)&lt;-50,"NM",(BY240/BQ240-1)*100)))</f>
        <v>-5.7165709174722075</v>
      </c>
      <c r="CA240" s="185">
        <f>+CA239/CA224*100</f>
        <v>23.931336250420713</v>
      </c>
      <c r="CB240" s="81">
        <f>IF(ISERROR((CA240/BS240-1)*100),"NA",IF(((CA240/BS240-1)*100)&gt;100,"NM",IF(((CA240/BS240-1)*100)&lt;-50,"NM",(CA240/BS240-1)*100)))</f>
        <v>-6.2213836133584222</v>
      </c>
      <c r="CC240" s="185">
        <f>+CC239/CC224*100</f>
        <v>23.556735235567359</v>
      </c>
      <c r="CD240" s="81">
        <f>IF(ISERROR((CC240/BU240-1)*100),"NA",IF(((CC240/BU240-1)*100)&gt;100,"NM",IF(((CC240/BU240-1)*100)&lt;-50,"NM",(CC240/BU240-1)*100)))</f>
        <v>-5.3046012547505406</v>
      </c>
      <c r="CE240" s="185">
        <f>+CE239/CE224*100</f>
        <v>18.807339449541296</v>
      </c>
      <c r="CF240" s="81">
        <f>IF(ISERROR((CE240/BW240-1)*100),"NA",IF(((CE240/BW240-1)*100)&gt;100,"NM",IF(((CE240/BW240-1)*100)&lt;-50,"NM",(CE240/BW240-1)*100)))</f>
        <v>-21.135841605437335</v>
      </c>
      <c r="CG240" s="185">
        <f>+CG239/CG224*100</f>
        <v>21.327774214239884</v>
      </c>
      <c r="CH240" s="81">
        <f>IF(ISERROR((CG240/BY240-1)*100),"NA",IF(((CG240/BY240-1)*100)&gt;100,"NM",IF(((CG240/BY240-1)*100)&lt;-50,"NM",(CG240/BY240-1)*100)))</f>
        <v>-10.313975099093863</v>
      </c>
      <c r="CI240" s="185">
        <f>+CI239/CI224*100</f>
        <v>22.610062893081754</v>
      </c>
      <c r="CJ240" s="81">
        <f>IF(ISERROR((CI240/CA240-1)*100),"NA",IF(((CI240/CA240-1)*100)&gt;100,"NM",IF(((CI240/CA240-1)*100)&lt;-50,"NM",(CI240/CA240-1)*100)))</f>
        <v>-5.5211014692743365</v>
      </c>
      <c r="CK240" s="185">
        <f>+CK239/CK224*100</f>
        <v>21.087575086942788</v>
      </c>
      <c r="CL240" s="81">
        <f>IF(ISERROR((CK240/CC240-1)*100),"NA",IF(((CK240/CC240-1)*100)&gt;100,"NM",IF(((CK240/CC240-1)*100)&lt;-50,"NM",(CK240/CC240-1)*100)))</f>
        <v>-10.481758715428812</v>
      </c>
      <c r="CM240" s="185">
        <f>+CM239/CM224*100</f>
        <v>20.180068301769623</v>
      </c>
      <c r="CN240" s="81">
        <f>IF(ISERROR((CM240/CE240-1)*100),"NA",IF(((CM240/CE240-1)*100)&gt;100,"NM",IF(((CM240/CE240-1)*100)&lt;-50,"NM",(CM240/CE240-1)*100)))</f>
        <v>7.2988997508725673</v>
      </c>
      <c r="CO240" s="185">
        <f>+CO239/CO224*100</f>
        <v>20.993975903614455</v>
      </c>
      <c r="CP240" s="81">
        <f>IF(ISERROR((CO240/CG240-1)*100),"NA",IF(((CO240/CG240-1)*100)&gt;100,"NM",IF(((CO240/CG240-1)*100)&lt;-50,"NM",(CO240/CG240-1)*100)))</f>
        <v>-1.5650874173384843</v>
      </c>
      <c r="CQ240" s="185">
        <f>+CQ239/CQ224*100</f>
        <v>20.422960725075516</v>
      </c>
      <c r="CR240" s="81">
        <f>IF(ISERROR((CQ240/CI240-1)*100),"NA",IF(((CQ240/CI240-1)*100)&gt;100,"NM",IF(((CQ240/CI240-1)*100)&lt;-50,"NM",(CQ240/CI240-1)*100)))</f>
        <v>-9.673136153351658</v>
      </c>
      <c r="CS240" s="185">
        <f>+CS239/CS224*100</f>
        <v>20.612061206120593</v>
      </c>
      <c r="CT240" s="81">
        <f>IF(ISERROR((CS240/CK240-1)*100),"NA",IF(((CS240/CK240-1)*100)&gt;100,"NM",IF(((CS240/CK240-1)*100)&lt;-50,"NM",(CS240/CK240-1)*100)))</f>
        <v>-2.2549481334941612</v>
      </c>
      <c r="CU240" s="185">
        <f>+CU239/CU224*100</f>
        <v>20.261050133491551</v>
      </c>
      <c r="CV240" s="81">
        <f>IF(ISERROR((CU240/CM240-1)*100),"NA",IF(((CU240/CM240-1)*100)&gt;100,"NM",IF(((CU240/CM240-1)*100)&lt;-50,"NM",(CU240/CM240-1)*100)))</f>
        <v>0.40129612304051765</v>
      </c>
      <c r="CW240" s="185">
        <f>+CW239/CW224*100</f>
        <v>21.673881673881681</v>
      </c>
      <c r="CX240" s="81">
        <f>IF(ISERROR((CW240/CO240-1)*100),"NA",IF(((CW240/CO240-1)*100)&gt;100,"NM",IF(((CW240/CO240-1)*100)&lt;-50,"NM",(CW240/CO240-1)*100)))</f>
        <v>3.2385755484751755</v>
      </c>
      <c r="CY240" s="185">
        <f>+CY239/CY224*100</f>
        <v>20.7017543859649</v>
      </c>
      <c r="CZ240" s="81">
        <f>IF(ISERROR((CY240/CQ240-1)*100),"NA",IF(((CY240/CQ240-1)*100)&gt;100,"NM",IF(((CY240/CQ240-1)*100)&lt;-50,"NM",(CY240/CQ240-1)*100)))</f>
        <v>1.3650991383785005</v>
      </c>
      <c r="DA240" s="185">
        <f>+DA239/DA224*100</f>
        <v>19.884057971014499</v>
      </c>
      <c r="DB240" s="81">
        <f>IF(ISERROR((DA240/CS240-1)*100),"NA",IF(((DA240/CS240-1)*100)&gt;100,"NM",IF(((DA240/CS240-1)*100)&lt;-50,"NM",(DA240/CS240-1)*100)))</f>
        <v>-3.5319283589644979</v>
      </c>
      <c r="DC240" s="185">
        <f>+DC239/DC224*100</f>
        <v>14.285714285714285</v>
      </c>
      <c r="DD240" s="81">
        <f>IF(ISERROR((DC240/CU240-1)*100),"NA",IF(((DC240/CU240-1)*100)&gt;100,"NM",IF(((DC240/CU240-1)*100)&lt;-50,"NM",(DC240/CU240-1)*100)))</f>
        <v>-29.491738130098334</v>
      </c>
      <c r="DE240" s="185">
        <f>+DE239/DE224*100</f>
        <v>22.41428166619438</v>
      </c>
      <c r="DF240" s="81">
        <f>IF(ISERROR((DE240/CW240-1)*100),"NA",IF(((DE240/CW240-1)*100)&gt;100,"NM",IF(((DE240/CW240-1)*100)&lt;-50,"NM",(DE240/CW240-1)*100)))</f>
        <v>3.4160931735865541</v>
      </c>
      <c r="DG240" s="185">
        <f>+DG239/DG224*100</f>
        <v>21.236178055004249</v>
      </c>
      <c r="DH240" s="81">
        <f>IF(ISERROR((DG240/CY240-1)*100),"NA",IF(((DG240/CY240-1)*100)&gt;100,"NM",IF(((DG240/CY240-1)*100)&lt;-50,"NM",(DG240/CY240-1)*100)))</f>
        <v>2.5815380623087192</v>
      </c>
      <c r="DI240" s="185">
        <f>+DI239/DI224*100</f>
        <v>20</v>
      </c>
      <c r="DJ240" s="81">
        <f>IF(ISERROR((DI240/DA240-1)*100),"NA",IF(((DI240/DA240-1)*100)&gt;100,"NM",IF(((DI240/DA240-1)*100)&lt;-50,"NM",(DI240/DA240-1)*100)))</f>
        <v>0.58309037900872163</v>
      </c>
      <c r="DK240" s="185">
        <f>+DK239/DK224*100</f>
        <v>20.630052969054919</v>
      </c>
      <c r="DL240" s="81">
        <f>IF(ISERROR((DK240/DC240-1)*100),"NA",IF(((DK240/DC240-1)*100)&gt;100,"NM",IF(((DK240/DC240-1)*100)&lt;-50,"NM",(DK240/DC240-1)*100)))</f>
        <v>44.410370783384437</v>
      </c>
      <c r="DM240" s="185">
        <f>+DM239/DM224*100</f>
        <v>21.018418201516784</v>
      </c>
      <c r="DN240" s="81">
        <f>IF(ISERROR((DM240/DE240-1)*100),"NA",IF(((DM240/DE240-1)*100)&gt;100,"NM",IF(((DM240/DE240-1)*100)&lt;-50,"NM",(DM240/DE240-1)*100)))</f>
        <v>-6.2275627899459396</v>
      </c>
      <c r="DO240" s="185">
        <f>+DO239/DO224*100</f>
        <v>20.815450643776817</v>
      </c>
      <c r="DP240" s="81">
        <f>IF(ISERROR((DO240/DG240-1)*100),"NA",IF(((DO240/DG240-1)*100)&gt;100,"NM",IF(((DO240/DG240-1)*100)&lt;-50,"NM",(DO240/DG240-1)*100)))</f>
        <v>-1.9811823489975344</v>
      </c>
      <c r="DQ240" s="185">
        <f>+DQ239/DQ224*100</f>
        <v>20.671904632890833</v>
      </c>
      <c r="DR240" s="81">
        <f>IF(ISERROR((DQ240/DI240-1)*100),"NA",IF(((DQ240/DI240-1)*100)&gt;100,"NM",IF(((DQ240/DI240-1)*100)&lt;-50,"NM",(DQ240/DI240-1)*100)))</f>
        <v>3.359523164454159</v>
      </c>
      <c r="DS240" s="185">
        <f>+DS239/DS224*100</f>
        <v>20.804289544235932</v>
      </c>
      <c r="DT240" s="81">
        <f>IF(ISERROR((DS240/DK240-1)*100),"NA",IF(((DS240/DK240-1)*100)&gt;100,"NM",IF(((DS240/DK240-1)*100)&lt;-50,"NM",(DS240/DK240-1)*100)))</f>
        <v>0.84457647996525331</v>
      </c>
      <c r="DU240" s="185">
        <f>+DU239/DU224*100</f>
        <v>20.077821011673148</v>
      </c>
      <c r="DV240" s="81">
        <f>IF(ISERROR((DU240/DM240-1)*100),"NA",IF(((DU240/DM240-1)*100)&gt;100,"NM",IF(((DU240/DM240-1)*100)&lt;-50,"NM",(DU240/DM240-1)*100)))</f>
        <v>-4.4751093104416277</v>
      </c>
      <c r="DW240" s="185">
        <f>+DW239/DW224*100</f>
        <v>20.1136070229796</v>
      </c>
      <c r="DX240" s="81">
        <f>IF(ISERROR((DW240/DO240-1)*100),"NA",IF(((DW240/DO240-1)*100)&gt;100,"NM",IF(((DW240/DO240-1)*100)&lt;-50,"NM",(DW240/DO240-1)*100)))</f>
        <v>-3.3717435803247708</v>
      </c>
      <c r="DY240" s="185">
        <f>+DY239/DY224*100</f>
        <v>20.225294418842804</v>
      </c>
      <c r="DZ240" s="81">
        <f>IF(ISERROR((DY240/DQ240-1)*100),"NA",IF(((DY240/DQ240-1)*100)&gt;100,"NM",IF(((DY240/DQ240-1)*100)&lt;-50,"NM",(DY240/DQ240-1)*100)))</f>
        <v>-2.1604695937762375</v>
      </c>
      <c r="EA240" s="185">
        <f>+EA239/EA224*100</f>
        <v>20.156407669021188</v>
      </c>
      <c r="EB240" s="81">
        <f>IF(ISERROR((EA240/DS240-1)*100),"NA",IF(((EA240/DS240-1)*100)&gt;100,"NM",IF(((EA240/DS240-1)*100)&lt;-50,"NM",(EA240/DS240-1)*100)))</f>
        <v>-3.1141744775141644</v>
      </c>
      <c r="EC240" s="185">
        <f>+EC239/EC224*100</f>
        <v>20.112277276055661</v>
      </c>
      <c r="ED240" s="81">
        <f t="shared" si="768"/>
        <v>0.17161356485089208</v>
      </c>
      <c r="EE240" s="185">
        <f>+EE239/EE224*100</f>
        <v>19.796708615682494</v>
      </c>
      <c r="EF240" s="81">
        <f t="shared" si="769"/>
        <v>-1.5755424023898512</v>
      </c>
      <c r="EG240" s="185">
        <f>+EG239/EG224*100</f>
        <v>19.686746987951818</v>
      </c>
      <c r="EH240" s="81">
        <f t="shared" si="770"/>
        <v>-2.6627421076711344</v>
      </c>
      <c r="EI240" s="185">
        <f>+EI239/EI224*100</f>
        <v>18.855780691299167</v>
      </c>
      <c r="EJ240" s="81">
        <f t="shared" si="771"/>
        <v>-6.4526725152566851</v>
      </c>
      <c r="EK240" s="185">
        <f t="shared" ref="EK240:EQ240" si="777">+EK239/EK224*100</f>
        <v>18.242868993339158</v>
      </c>
      <c r="EL240" s="81">
        <f t="shared" si="773"/>
        <v>-9.2948613280212413</v>
      </c>
      <c r="EM240" s="185">
        <f t="shared" si="777"/>
        <v>18.05762105149979</v>
      </c>
      <c r="EN240" s="81">
        <f t="shared" si="774"/>
        <v>-8.7847308254314527</v>
      </c>
      <c r="EO240" s="185">
        <f t="shared" si="777"/>
        <v>17.906393918955192</v>
      </c>
      <c r="EP240" s="81">
        <f t="shared" si="775"/>
        <v>-9.0434091020024319</v>
      </c>
      <c r="EQ240" s="185">
        <f t="shared" si="777"/>
        <v>17.74185840713541</v>
      </c>
      <c r="ER240" s="81">
        <f t="shared" si="776"/>
        <v>-5.9075903692376137</v>
      </c>
      <c r="ES240" s="129"/>
      <c r="ET240" s="469"/>
      <c r="EU240" s="129"/>
      <c r="EV240" s="185"/>
      <c r="EW240" s="79"/>
      <c r="EX240" s="185"/>
      <c r="EY240" s="79"/>
      <c r="EZ240" s="185"/>
      <c r="FA240" s="79"/>
      <c r="FB240" s="185">
        <f>+FB239/FB224*100</f>
        <v>19.75662133142448</v>
      </c>
      <c r="FC240" s="79" t="str">
        <f>IF(ISERROR((FB240/EZ240-1)*100),"NA",IF(((FB240/EZ240-1)*100)&gt;100,"NM",IF(((FB240/EZ240-1)*100)&lt;-50,"NM",(FB240/EZ240-1)*100)))</f>
        <v>NA</v>
      </c>
      <c r="FD240" s="185">
        <f>+FD239/FD224*100</f>
        <v>19.097222222222236</v>
      </c>
      <c r="FE240" s="79">
        <f>IF(ISERROR((FD240/FB240-1)*100),"NA",IF(((FD240/FB240-1)*100)&gt;100,"NM",IF(((FD240/FB240-1)*100)&lt;-50,"NM",(FD240/FB240-1)*100)))</f>
        <v>-3.3376107085345441</v>
      </c>
      <c r="FF240" s="185">
        <f>+FF239/FF224*100</f>
        <v>18.664122137404586</v>
      </c>
      <c r="FG240" s="79">
        <f>IF(ISERROR((FF240/FD240-1)*100),"NA",IF(((FF240/FD240-1)*100)&gt;100,"NM",IF(((FF240/FD240-1)*100)&lt;-50,"NM",(FF240/FD240-1)*100)))</f>
        <v>-2.2678695350451417</v>
      </c>
      <c r="FH240" s="185">
        <f>+FH239/FH224*100</f>
        <v>18.572451659107188</v>
      </c>
      <c r="FI240" s="79">
        <f>IF(ISERROR((FH240/FF240-1)*100),"NA",IF(((FH240/FF240-1)*100)&gt;100,"NM",IF(((FH240/FF240-1)*100)&lt;-50,"NM",(FH240/FF240-1)*100)))</f>
        <v>-0.49115879987563504</v>
      </c>
      <c r="FJ240" s="185">
        <f>+FJ239/FJ224*100</f>
        <v>18.942979490646824</v>
      </c>
      <c r="FK240" s="79">
        <f>IF(ISERROR((FJ240/FH240-1)*100),"NA",IF(((FJ240/FH240-1)*100)&gt;100,"NM",IF(((FJ240/FH240-1)*100)&lt;-50,"NM",(FJ240/FH240-1)*100)))</f>
        <v>1.9950399567089105</v>
      </c>
      <c r="FL240" s="185">
        <f>+FL239/FL224*100</f>
        <v>21.210503842869368</v>
      </c>
      <c r="FM240" s="79">
        <f>IF(ISERROR((FL240/FJ240-1)*100),"NA",IF(((FL240/FJ240-1)*100)&gt;100,"NM",IF(((FL240/FJ240-1)*100)&lt;-50,"NM",(FL240/FJ240-1)*100)))</f>
        <v>11.970262404296772</v>
      </c>
      <c r="FN240" s="185">
        <f>+FN239/FN224*100</f>
        <v>24.377418394682017</v>
      </c>
      <c r="FO240" s="79">
        <f>IF(ISERROR((FN240/FL240-1)*100),"NA",IF(((FN240/FL240-1)*100)&gt;100,"NM",IF(((FN240/FL240-1)*100)&lt;-50,"NM",(FN240/FL240-1)*100)))</f>
        <v>14.930878470750297</v>
      </c>
      <c r="FP240" s="185">
        <f>+FP239/FP224*100</f>
        <v>24.746169466494379</v>
      </c>
      <c r="FQ240" s="79">
        <f>IF(ISERROR((FP240/FN240-1)*100),"NA",IF(((FP240/FN240-1)*100)&gt;100,"NM",IF(((FP240/FN240-1)*100)&lt;-50,"NM",(FP240/FN240-1)*100)))</f>
        <v>1.5126748281631297</v>
      </c>
      <c r="FR240" s="185">
        <f>+FR239/FR224*100</f>
        <v>23.816266926276672</v>
      </c>
      <c r="FS240" s="79">
        <f>IF(ISERROR((FR240/FP240-1)*100),"NA",IF(((FR240/FP240-1)*100)&gt;100,"NM",IF(((FR240/FP240-1)*100)&lt;-50,"NM",(FR240/FP240-1)*100)))</f>
        <v>-3.7577635661016906</v>
      </c>
      <c r="FT240" s="185">
        <f>+FT239/FT224*100</f>
        <v>22.495620985903734</v>
      </c>
      <c r="FU240" s="79">
        <f>IF(ISERROR((FT240/FR240-1)*100),"NA",IF(((FT240/FR240-1)*100)&gt;100,"NM",IF(((FT240/FR240-1)*100)&lt;-50,"NM",(FT240/FR240-1)*100)))</f>
        <v>-5.5451425047468694</v>
      </c>
      <c r="FV240" s="185">
        <f>+FV239/FV224*100</f>
        <v>21.297902539031693</v>
      </c>
      <c r="FW240" s="79">
        <f>IF(ISERROR((FV240/FT240-1)*100),"NA",IF(((FV240/FT240-1)*100)&gt;100,"NM",IF(((FV240/FT240-1)*100)&lt;-50,"NM",(FV240/FT240-1)*100)))</f>
        <v>-5.3242293138853984</v>
      </c>
      <c r="FX240" s="185">
        <f>+FX239/FX224*100</f>
        <v>20.51782363977485</v>
      </c>
      <c r="FY240" s="79">
        <f>IF(ISERROR((FX240/FV240-1)*100),"NA",IF(((FX240/FV240-1)*100)&gt;100,"NM",IF(((FX240/FV240-1)*100)&lt;-50,"NM",(FX240/FV240-1)*100)))</f>
        <v>-3.6627029249815979</v>
      </c>
      <c r="FZ240" s="185">
        <f>+FZ239/FZ224*100</f>
        <v>19.142753359970939</v>
      </c>
      <c r="GA240" s="79">
        <f>IF(ISERROR((FZ240/FX240-1)*100),"NA",IF(((FZ240/FX240-1)*100)&gt;100,"NM",IF(((FZ240/FX240-1)*100)&lt;-50,"NM",(FZ240/FX240-1)*100)))</f>
        <v>-6.7018330206244041</v>
      </c>
      <c r="GB240" s="185">
        <f>+GB239/GB224*100</f>
        <v>21.066723032480787</v>
      </c>
      <c r="GC240" s="79">
        <f>IF(ISERROR((GB240/FZ240-1)*100),"NA",IF(((GB240/FZ240-1)*100)&gt;100,"NM",IF(((GB240/FZ240-1)*100)&lt;-50,"NM",(GB240/FZ240-1)*100)))</f>
        <v>10.050642330966998</v>
      </c>
      <c r="GD240" s="185">
        <f>+GD239/GD224*100</f>
        <v>20.827437504211304</v>
      </c>
      <c r="GE240" s="79">
        <f>IF(ISERROR((GD240/GB240-1)*100),"NA",IF(((GD240/GB240-1)*100)&gt;100,"NM",IF(((GD240/GB240-1)*100)&lt;-50,"NM",(GD240/GB240-1)*100)))</f>
        <v>-1.1358459875347116</v>
      </c>
      <c r="GF240" s="185">
        <f>+GF239/GF224*100</f>
        <v>20.143608154891655</v>
      </c>
      <c r="GG240" s="79">
        <f>IF(ISERROR((GF240/GD240-1)*100),"NA",IF(((GF240/GD240-1)*100)&gt;100,"NM",IF(((GF240/GD240-1)*100)&lt;-50,"NM",(GF240/GD240-1)*100)))</f>
        <v>-3.2833100528155579</v>
      </c>
      <c r="GH240" s="185">
        <f>+GH239/GH224*100</f>
        <v>19.609026185591897</v>
      </c>
      <c r="GI240" s="79">
        <f>IF(ISERROR((GH240/GF240-1)*100),"NA",IF(((GH240/GF240-1)*100)&gt;100,"NM",IF(((GH240/GF240-1)*100)&lt;-50,"NM",(GH240/GF240-1)*100)))</f>
        <v>-2.6538540920234333</v>
      </c>
      <c r="GJ240" s="185">
        <f>+GJ239/GJ224*100</f>
        <v>17.983352438585023</v>
      </c>
      <c r="GK240" s="79">
        <f>IF(ISERROR((GJ240/GH240-1)*100),"NA",IF(((GJ240/GH240-1)*100)&gt;100,"NM",IF(((GJ240/GH240-1)*100)&lt;-50,"NM",(GJ240/GH240-1)*100)))</f>
        <v>-8.2904359024282837</v>
      </c>
      <c r="GL240" s="185">
        <f>+GL239/GL224*100</f>
        <v>17.802696865672225</v>
      </c>
      <c r="GM240" s="79">
        <f>IF(ISERROR((GL240/GJ240-1)*100),"NA",IF(((GL240/GJ240-1)*100)&gt;100,"NM",IF(((GL240/GJ240-1)*100)&lt;-50,"NM",(GL240/GJ240-1)*100)))</f>
        <v>-1.0045711639682042</v>
      </c>
      <c r="GN240" s="185">
        <f>+GN239/GN224*100</f>
        <v>17.804914028904523</v>
      </c>
      <c r="GO240" s="79">
        <f>IF(ISERROR((GN240/GL240-1)*100),"NA",IF(((GN240/GL240-1)*100)&gt;100,"NM",IF(((GN240/GL240-1)*100)&lt;-50,"NM",(GN240/GL240-1)*100)))</f>
        <v>1.2454086305169199E-2</v>
      </c>
      <c r="GP240" s="185">
        <f>+GP239/GP224*100</f>
        <v>17.898614902968628</v>
      </c>
      <c r="GQ240" s="79">
        <f>IF(ISERROR((GP240/GN240-1)*100),"NA",IF(((GP240/GN240-1)*100)&gt;100,"NM",IF(((GP240/GN240-1)*100)&lt;-50,"NM",(GP240/GN240-1)*100)))</f>
        <v>0.52626411962444219</v>
      </c>
      <c r="GR240" s="185">
        <f>+GR239/GR224*100</f>
        <v>17.901050948431379</v>
      </c>
      <c r="GS240" s="79">
        <f>IF(ISERROR((GR240/GP240-1)*100),"NA",IF(((GR240/GP240-1)*100)&gt;100,"NM",IF(((GR240/GP240-1)*100)&lt;-50,"NM",(GR240/GP240-1)*100)))</f>
        <v>1.3610245686379585E-2</v>
      </c>
      <c r="GT240" s="79">
        <f>IF(ISERROR(((GR240/GH240)^0.2-1)*100),"NA",(IF(OR(((GR240/GH240)^0.2-1)*100&gt;99,((GR240/GH240)^0.2-1)*100&lt;-50),"NM",(((GR240/GH240)^0.2-1)*100))))</f>
        <v>-1.8061020259370619</v>
      </c>
    </row>
    <row r="241" spans="1:286" ht="12.75" customHeight="1" x14ac:dyDescent="0.2">
      <c r="A241" s="1"/>
      <c r="C241" s="79"/>
      <c r="D241" s="79"/>
      <c r="E241" s="185"/>
      <c r="F241" s="185"/>
      <c r="G241" s="185"/>
      <c r="H241" s="185"/>
      <c r="I241" s="185"/>
      <c r="J241" s="185"/>
      <c r="K241" s="185"/>
      <c r="L241" s="79"/>
      <c r="M241" s="185"/>
      <c r="N241" s="79"/>
      <c r="O241" s="185"/>
      <c r="P241" s="79"/>
      <c r="Q241" s="185"/>
      <c r="R241" s="79"/>
      <c r="S241" s="185"/>
      <c r="T241" s="79"/>
      <c r="U241" s="185"/>
      <c r="V241" s="79"/>
      <c r="W241" s="185"/>
      <c r="X241" s="79"/>
      <c r="Y241" s="185"/>
      <c r="Z241" s="79"/>
      <c r="AA241" s="252"/>
      <c r="AB241" s="79"/>
      <c r="AC241" s="185"/>
      <c r="AD241" s="79"/>
      <c r="AE241" s="185"/>
      <c r="AF241" s="79"/>
      <c r="AG241" s="185"/>
      <c r="AH241" s="79"/>
      <c r="AI241" s="185"/>
      <c r="AJ241" s="79"/>
      <c r="AK241" s="185"/>
      <c r="AL241" s="79"/>
      <c r="AM241" s="185"/>
      <c r="AN241" s="79"/>
      <c r="AO241" s="185"/>
      <c r="AP241" s="79"/>
      <c r="AQ241" s="185"/>
      <c r="AR241" s="79"/>
      <c r="AS241" s="185"/>
      <c r="AT241" s="81"/>
      <c r="AU241" s="185"/>
      <c r="AV241" s="81"/>
      <c r="AW241" s="185"/>
      <c r="AX241" s="81"/>
      <c r="AY241" s="185"/>
      <c r="AZ241" s="81"/>
      <c r="BA241" s="185"/>
      <c r="BB241" s="81"/>
      <c r="BC241" s="185"/>
      <c r="BD241" s="81"/>
      <c r="BE241" s="185"/>
      <c r="BF241" s="81"/>
      <c r="BG241" s="185"/>
      <c r="BH241" s="81"/>
      <c r="BI241" s="185"/>
      <c r="BJ241" s="81"/>
      <c r="BK241" s="185"/>
      <c r="BL241" s="81"/>
      <c r="BM241" s="185"/>
      <c r="BN241" s="81"/>
      <c r="BO241" s="185"/>
      <c r="BP241" s="81"/>
      <c r="BQ241" s="185"/>
      <c r="BR241" s="81"/>
      <c r="BS241" s="185"/>
      <c r="BT241" s="81"/>
      <c r="BU241" s="185"/>
      <c r="BV241" s="81"/>
      <c r="BW241" s="185"/>
      <c r="BX241" s="81"/>
      <c r="BY241" s="185"/>
      <c r="BZ241" s="81"/>
      <c r="CA241" s="185"/>
      <c r="CB241" s="81"/>
      <c r="CC241" s="185"/>
      <c r="CD241" s="81"/>
      <c r="CE241" s="185"/>
      <c r="CF241" s="81"/>
      <c r="CG241" s="185"/>
      <c r="CH241" s="81"/>
      <c r="CI241" s="185"/>
      <c r="CJ241" s="81"/>
      <c r="CK241" s="185"/>
      <c r="CL241" s="81"/>
      <c r="CM241" s="185"/>
      <c r="CN241" s="81"/>
      <c r="CO241" s="185"/>
      <c r="CP241" s="81"/>
      <c r="CQ241" s="185"/>
      <c r="CR241" s="81"/>
      <c r="CS241" s="185"/>
      <c r="CT241" s="81"/>
      <c r="CU241" s="185"/>
      <c r="CV241" s="81"/>
      <c r="CW241" s="185"/>
      <c r="CX241" s="81"/>
      <c r="CY241" s="185"/>
      <c r="CZ241" s="81"/>
      <c r="DA241" s="185"/>
      <c r="DB241" s="81"/>
      <c r="DC241" s="185"/>
      <c r="DD241" s="81"/>
      <c r="DE241" s="185"/>
      <c r="DF241" s="81"/>
      <c r="DG241" s="185"/>
      <c r="DH241" s="81"/>
      <c r="DI241" s="185"/>
      <c r="DJ241" s="81"/>
      <c r="DK241" s="185"/>
      <c r="DL241" s="81"/>
      <c r="DM241" s="185"/>
      <c r="DN241" s="81"/>
      <c r="DO241" s="185"/>
      <c r="DP241" s="81"/>
      <c r="DQ241" s="185"/>
      <c r="DR241" s="81"/>
      <c r="DS241" s="185"/>
      <c r="DT241" s="81"/>
      <c r="DU241" s="185"/>
      <c r="DV241" s="81"/>
      <c r="DW241" s="185"/>
      <c r="DX241" s="81"/>
      <c r="DY241" s="185"/>
      <c r="DZ241" s="81"/>
      <c r="EA241" s="185"/>
      <c r="EB241" s="81"/>
      <c r="EC241" s="185"/>
      <c r="ED241" s="81"/>
      <c r="EE241" s="185"/>
      <c r="EF241" s="81"/>
      <c r="EG241" s="185"/>
      <c r="EH241" s="81"/>
      <c r="EI241" s="185"/>
      <c r="EJ241" s="81"/>
      <c r="EK241" s="185"/>
      <c r="EL241" s="81"/>
      <c r="EM241" s="185"/>
      <c r="EN241" s="81"/>
      <c r="EO241" s="185"/>
      <c r="EP241" s="81"/>
      <c r="EQ241" s="185"/>
      <c r="ER241" s="81"/>
      <c r="ES241" s="129"/>
      <c r="ET241" s="469"/>
      <c r="EU241" s="129"/>
      <c r="EV241" s="185"/>
      <c r="EW241" s="79"/>
      <c r="EX241" s="185"/>
      <c r="EY241" s="79"/>
      <c r="EZ241" s="185"/>
      <c r="FA241" s="79"/>
      <c r="FB241" s="185"/>
      <c r="FC241" s="79"/>
      <c r="FD241" s="185"/>
      <c r="FE241" s="79"/>
      <c r="FF241" s="185"/>
      <c r="FG241" s="79"/>
      <c r="FH241" s="185"/>
      <c r="FI241" s="79"/>
      <c r="FJ241" s="185"/>
      <c r="FK241" s="79"/>
      <c r="FL241" s="185"/>
      <c r="FM241" s="79"/>
      <c r="FN241" s="185"/>
      <c r="FO241" s="79"/>
      <c r="FP241" s="185"/>
      <c r="FQ241" s="79"/>
      <c r="FR241" s="185"/>
      <c r="FS241" s="79"/>
      <c r="FT241" s="185"/>
      <c r="FU241" s="79"/>
      <c r="FV241" s="185"/>
      <c r="FW241" s="79"/>
      <c r="FX241" s="185"/>
      <c r="FY241" s="79"/>
      <c r="FZ241" s="185"/>
      <c r="GA241" s="79"/>
      <c r="GB241" s="185"/>
      <c r="GC241" s="79"/>
      <c r="GD241" s="185"/>
      <c r="GE241" s="79"/>
      <c r="GF241" s="185"/>
      <c r="GG241" s="79"/>
      <c r="GH241" s="185"/>
      <c r="GI241" s="79"/>
      <c r="GJ241" s="185"/>
      <c r="GK241" s="79"/>
      <c r="GL241" s="185"/>
      <c r="GM241" s="79"/>
      <c r="GN241" s="185"/>
      <c r="GO241" s="79"/>
      <c r="GP241" s="185"/>
      <c r="GQ241" s="79"/>
      <c r="GR241" s="185"/>
      <c r="GS241" s="79"/>
      <c r="GT241" s="79"/>
    </row>
    <row r="242" spans="1:286" ht="12.75" customHeight="1" x14ac:dyDescent="0.2">
      <c r="A242" s="1"/>
      <c r="B242" s="2" t="s">
        <v>256</v>
      </c>
      <c r="C242" s="176"/>
      <c r="D242" s="79"/>
      <c r="E242" s="174">
        <v>0</v>
      </c>
      <c r="F242" s="171"/>
      <c r="G242" s="174">
        <v>0</v>
      </c>
      <c r="H242" s="171"/>
      <c r="I242" s="174">
        <v>0</v>
      </c>
      <c r="J242" s="171"/>
      <c r="K242" s="174">
        <v>0</v>
      </c>
      <c r="L242" s="79"/>
      <c r="M242" s="174">
        <v>0</v>
      </c>
      <c r="N242" s="79" t="str">
        <f>IF(ISERROR((M242/E242-1)*100),"NA",IF(((M242/E242-1)*100)&gt;100,"NM",IF(((M242/E242-1)*100)&lt;-50,"NM",(M242/E242-1)*100)))</f>
        <v>NA</v>
      </c>
      <c r="O242" s="174">
        <v>0</v>
      </c>
      <c r="P242" s="79" t="str">
        <f>IF(ISERROR((O242/G242-1)*100),"NA",IF(((O242/G242-1)*100)&gt;100,"NM",IF(((O242/G242-1)*100)&lt;-50,"NM",(O242/G242-1)*100)))</f>
        <v>NA</v>
      </c>
      <c r="Q242" s="174">
        <v>0</v>
      </c>
      <c r="R242" s="79" t="str">
        <f>IF(ISERROR((Q242/I242-1)*100),"NA",IF(((Q242/I242-1)*100)&gt;100,"NM",IF(((Q242/I242-1)*100)&lt;-50,"NM",(Q242/I242-1)*100)))</f>
        <v>NA</v>
      </c>
      <c r="S242" s="174">
        <v>0</v>
      </c>
      <c r="T242" s="79" t="str">
        <f>IF(ISERROR((S242/K242-1)*100),"NA",IF(((S242/K242-1)*100)&gt;100,"NM",IF(((S242/K242-1)*100)&lt;-50,"NM",(S242/K242-1)*100)))</f>
        <v>NA</v>
      </c>
      <c r="U242" s="174">
        <v>0</v>
      </c>
      <c r="V242" s="79" t="str">
        <f>IF(ISERROR((U242/M242-1)*100),"NA",IF(((U242/M242-1)*100)&gt;100,"NM",IF(((U242/M242-1)*100)&lt;-50,"NM",(U242/M242-1)*100)))</f>
        <v>NA</v>
      </c>
      <c r="W242" s="174">
        <v>0</v>
      </c>
      <c r="X242" s="79" t="str">
        <f>IF(ISERROR((W242/O242-1)*100),"NA",IF(((W242/O242-1)*100)&gt;100,"NM",IF(((W242/O242-1)*100)&lt;-50,"NM",(W242/O242-1)*100)))</f>
        <v>NA</v>
      </c>
      <c r="Y242" s="174">
        <v>0</v>
      </c>
      <c r="Z242" s="79" t="str">
        <f>IF(ISERROR((Y242/Q242-1)*100),"NA",IF(((Y242/Q242-1)*100)&gt;100,"NM",IF(((Y242/Q242-1)*100)&lt;-50,"NM",(Y242/Q242-1)*100)))</f>
        <v>NA</v>
      </c>
      <c r="AA242" s="259">
        <v>0</v>
      </c>
      <c r="AB242" s="79" t="str">
        <f>IF(ISERROR((AA242/S242-1)*100),"NA",IF(((AA242/S242-1)*100)&gt;100,"NM",IF(((AA242/S242-1)*100)&lt;-50,"NM",(AA242/S242-1)*100)))</f>
        <v>NA</v>
      </c>
      <c r="AC242" s="174">
        <v>0</v>
      </c>
      <c r="AD242" s="79" t="str">
        <f>IF(ISERROR((AC242/U242-1)*100),"NA",IF(((AC242/U242-1)*100)&gt;100,"NM",IF(((AC242/U242-1)*100)&lt;-50,"NM",(AC242/U242-1)*100)))</f>
        <v>NA</v>
      </c>
      <c r="AE242" s="174">
        <v>0</v>
      </c>
      <c r="AF242" s="79" t="str">
        <f>IF(ISERROR((AE242/W242-1)*100),"NA",IF(((AE242/W242-1)*100)&gt;100,"NM",IF(((AE242/W242-1)*100)&lt;-50,"NM",(AE242/W242-1)*100)))</f>
        <v>NA</v>
      </c>
      <c r="AG242" s="174">
        <v>0</v>
      </c>
      <c r="AH242" s="79" t="str">
        <f>IF(ISERROR((AG242/Y242-1)*100),"NA",IF(((AG242/Y242-1)*100)&gt;100,"NM",IF(((AG242/Y242-1)*100)&lt;-50,"NM",(AG242/Y242-1)*100)))</f>
        <v>NA</v>
      </c>
      <c r="AI242" s="174">
        <v>0</v>
      </c>
      <c r="AJ242" s="79" t="str">
        <f>IF(ISERROR((AI242/AA242-1)*100),"NA",IF(((AI242/AA242-1)*100)&gt;100,"NM",IF(((AI242/AA242-1)*100)&lt;-50,"NM",(AI242/AA242-1)*100)))</f>
        <v>NA</v>
      </c>
      <c r="AK242" s="174">
        <v>0</v>
      </c>
      <c r="AL242" s="79" t="str">
        <f>IF(ISERROR((AK242/AC242-1)*100),"NA",IF(((AK242/AC242-1)*100)&gt;100,"NM",IF(((AK242/AC242-1)*100)&lt;-50,"NM",(AK242/AC242-1)*100)))</f>
        <v>NA</v>
      </c>
      <c r="AM242" s="174">
        <v>0</v>
      </c>
      <c r="AN242" s="79" t="str">
        <f>IF(ISERROR((AM242/AE242-1)*100),"NA",IF(((AM242/AE242-1)*100)&gt;100,"NM",IF(((AM242/AE242-1)*100)&lt;-50,"NM",(AM242/AE242-1)*100)))</f>
        <v>NA</v>
      </c>
      <c r="AO242" s="174">
        <v>0</v>
      </c>
      <c r="AP242" s="79" t="str">
        <f>IF(ISERROR((AO242/AG242-1)*100),"NA",IF(((AO242/AG242-1)*100)&gt;100,"NM",IF(((AO242/AG242-1)*100)&lt;-50,"NM",(AO242/AG242-1)*100)))</f>
        <v>NA</v>
      </c>
      <c r="AQ242" s="174">
        <v>-10.46</v>
      </c>
      <c r="AR242" s="79" t="str">
        <f>IF(ISERROR((AQ242/AI242-1)*100),"NA",IF(((AQ242/AI242-1)*100)&gt;100,"NM",IF(((AQ242/AI242-1)*100)&lt;-50,"NM",(AQ242/AI242-1)*100)))</f>
        <v>NA</v>
      </c>
      <c r="AS242" s="260">
        <v>0</v>
      </c>
      <c r="AT242" s="81" t="str">
        <f>IF(ISERROR((AS242/AK242-1)*100),"NA",IF(((AS242/AK242-1)*100)&gt;100,"NM",IF(((AS242/AK242-1)*100)&lt;-50,"NM",(AS242/AK242-1)*100)))</f>
        <v>NA</v>
      </c>
      <c r="AU242" s="260">
        <v>0</v>
      </c>
      <c r="AV242" s="81" t="str">
        <f>IF(ISERROR((AU242/AM242-1)*100),"NA",IF(((AU242/AM242-1)*100)&gt;100,"NM",IF(((AU242/AM242-1)*100)&lt;-50,"NM",(AU242/AM242-1)*100)))</f>
        <v>NA</v>
      </c>
      <c r="AW242" s="260">
        <v>0</v>
      </c>
      <c r="AX242" s="81" t="str">
        <f>IF(ISERROR((AW242/AO242-1)*100),"NA",IF(((AW242/AO242-1)*100)&gt;100,"NM",IF(((AW242/AO242-1)*100)&lt;-50,"NM",(AW242/AO242-1)*100)))</f>
        <v>NA</v>
      </c>
      <c r="AY242" s="260">
        <v>0</v>
      </c>
      <c r="AZ242" s="81" t="str">
        <f>IF(ISERROR((AY242/AQ242-1)*100),"NA",IF(((AY242/AQ242-1)*100)&gt;100,"NM",IF(((AY242/AQ242-1)*100)&lt;-50,"NM",(AY242/AQ242-1)*100)))</f>
        <v>NM</v>
      </c>
      <c r="BA242" s="260">
        <v>0</v>
      </c>
      <c r="BB242" s="81" t="str">
        <f>IF(ISERROR((BA242/AS242-1)*100),"NA",IF(((BA242/AS242-1)*100)&gt;100,"NM",IF(((BA242/AS242-1)*100)&lt;-50,"NM",(BA242/AS242-1)*100)))</f>
        <v>NA</v>
      </c>
      <c r="BC242" s="260">
        <v>0</v>
      </c>
      <c r="BD242" s="81" t="str">
        <f>IF(ISERROR((BC242/AU242-1)*100),"NA",IF(((BC242/AU242-1)*100)&gt;100,"NM",IF(((BC242/AU242-1)*100)&lt;-50,"NM",(BC242/AU242-1)*100)))</f>
        <v>NA</v>
      </c>
      <c r="BE242" s="260">
        <v>0</v>
      </c>
      <c r="BF242" s="81" t="str">
        <f>IF(ISERROR((BE242/AW242-1)*100),"NA",IF(((BE242/AW242-1)*100)&gt;100,"NM",IF(((BE242/AW242-1)*100)&lt;-50,"NM",(BE242/AW242-1)*100)))</f>
        <v>NA</v>
      </c>
      <c r="BG242" s="260">
        <v>0</v>
      </c>
      <c r="BH242" s="81" t="str">
        <f>IF(ISERROR((BG242/AY242-1)*100),"NA",IF(((BG242/AY242-1)*100)&gt;100,"NM",IF(((BG242/AY242-1)*100)&lt;-50,"NM",(BG242/AY242-1)*100)))</f>
        <v>NA</v>
      </c>
      <c r="BI242" s="260">
        <v>0</v>
      </c>
      <c r="BJ242" s="81" t="str">
        <f>IF(ISERROR((BI242/BA242-1)*100),"NA",IF(((BI242/BA242-1)*100)&gt;100,"NM",IF(((BI242/BA242-1)*100)&lt;-50,"NM",(BI242/BA242-1)*100)))</f>
        <v>NA</v>
      </c>
      <c r="BK242" s="260">
        <v>0</v>
      </c>
      <c r="BL242" s="81" t="str">
        <f>IF(ISERROR((BK242/BC242-1)*100),"NA",IF(((BK242/BC242-1)*100)&gt;100,"NM",IF(((BK242/BC242-1)*100)&lt;-50,"NM",(BK242/BC242-1)*100)))</f>
        <v>NA</v>
      </c>
      <c r="BM242" s="260">
        <v>0</v>
      </c>
      <c r="BN242" s="81" t="str">
        <f>IF(ISERROR((BM242/BE242-1)*100),"NA",IF(((BM242/BE242-1)*100)&gt;100,"NM",IF(((BM242/BE242-1)*100)&lt;-50,"NM",(BM242/BE242-1)*100)))</f>
        <v>NA</v>
      </c>
      <c r="BO242" s="260">
        <v>0</v>
      </c>
      <c r="BP242" s="81" t="str">
        <f>IF(ISERROR((BO242/BG242-1)*100),"NA",IF(((BO242/BG242-1)*100)&gt;100,"NM",IF(((BO242/BG242-1)*100)&lt;-50,"NM",(BO242/BG242-1)*100)))</f>
        <v>NA</v>
      </c>
      <c r="BQ242" s="260">
        <v>0</v>
      </c>
      <c r="BR242" s="81" t="str">
        <f>IF(ISERROR((BQ242/BI242-1)*100),"NA",IF(((BQ242/BI242-1)*100)&gt;100,"NM",IF(((BQ242/BI242-1)*100)&lt;-50,"NM",(BQ242/BI242-1)*100)))</f>
        <v>NA</v>
      </c>
      <c r="BS242" s="260">
        <v>0</v>
      </c>
      <c r="BT242" s="81" t="str">
        <f>IF(ISERROR((BS242/BK242-1)*100),"NA",IF(((BS242/BK242-1)*100)&gt;100,"NM",IF(((BS242/BK242-1)*100)&lt;-50,"NM",(BS242/BK242-1)*100)))</f>
        <v>NA</v>
      </c>
      <c r="BU242" s="260">
        <v>0</v>
      </c>
      <c r="BV242" s="81" t="str">
        <f>IF(ISERROR((BU242/BM242-1)*100),"NA",IF(((BU242/BM242-1)*100)&gt;100,"NM",IF(((BU242/BM242-1)*100)&lt;-50,"NM",(BU242/BM242-1)*100)))</f>
        <v>NA</v>
      </c>
      <c r="BW242" s="260">
        <v>0</v>
      </c>
      <c r="BX242" s="81" t="str">
        <f>IF(ISERROR((BW242/BO242-1)*100),"NA",IF(((BW242/BO242-1)*100)&gt;100,"NM",IF(((BW242/BO242-1)*100)&lt;-50,"NM",(BW242/BO242-1)*100)))</f>
        <v>NA</v>
      </c>
      <c r="BY242" s="174">
        <v>0</v>
      </c>
      <c r="BZ242" s="81" t="str">
        <f>IF(ISERROR((BY242/BQ242-1)*100),"NA",IF(((BY242/BQ242-1)*100)&gt;100,"NM",IF(((BY242/BQ242-1)*100)&lt;-50,"NM",(BY242/BQ242-1)*100)))</f>
        <v>NA</v>
      </c>
      <c r="CA242" s="174">
        <v>0</v>
      </c>
      <c r="CB242" s="81" t="str">
        <f>IF(ISERROR((CA242/BS242-1)*100),"NA",IF(((CA242/BS242-1)*100)&gt;100,"NM",IF(((CA242/BS242-1)*100)&lt;-50,"NM",(CA242/BS242-1)*100)))</f>
        <v>NA</v>
      </c>
      <c r="CC242" s="174">
        <v>0</v>
      </c>
      <c r="CD242" s="81" t="str">
        <f>IF(ISERROR((CC242/BU242-1)*100),"NA",IF(((CC242/BU242-1)*100)&gt;100,"NM",IF(((CC242/BU242-1)*100)&lt;-50,"NM",(CC242/BU242-1)*100)))</f>
        <v>NA</v>
      </c>
      <c r="CE242" s="174">
        <v>0</v>
      </c>
      <c r="CF242" s="81" t="str">
        <f>IF(ISERROR((CE242/BW242-1)*100),"NA",IF(((CE242/BW242-1)*100)&gt;100,"NM",IF(((CE242/BW242-1)*100)&lt;-50,"NM",(CE242/BW242-1)*100)))</f>
        <v>NA</v>
      </c>
      <c r="CG242" s="174">
        <v>0</v>
      </c>
      <c r="CH242" s="81" t="str">
        <f>IF(ISERROR((CG242/BY242-1)*100),"NA",IF(((CG242/BY242-1)*100)&gt;100,"NM",IF(((CG242/BY242-1)*100)&lt;-50,"NM",(CG242/BY242-1)*100)))</f>
        <v>NA</v>
      </c>
      <c r="CI242" s="174">
        <v>4</v>
      </c>
      <c r="CJ242" s="81" t="str">
        <f>IF(ISERROR((CI242/CA242-1)*100),"NA",IF(((CI242/CA242-1)*100)&gt;100,"NM",IF(((CI242/CA242-1)*100)&lt;-50,"NM",(CI242/CA242-1)*100)))</f>
        <v>NA</v>
      </c>
      <c r="CK242" s="174">
        <v>0</v>
      </c>
      <c r="CL242" s="81" t="str">
        <f>IF(ISERROR((CK242/CC242-1)*100),"NA",IF(((CK242/CC242-1)*100)&gt;100,"NM",IF(((CK242/CC242-1)*100)&lt;-50,"NM",(CK242/CC242-1)*100)))</f>
        <v>NA</v>
      </c>
      <c r="CM242" s="174">
        <v>0</v>
      </c>
      <c r="CN242" s="81" t="str">
        <f>IF(ISERROR((CM242/CE242-1)*100),"NA",IF(((CM242/CE242-1)*100)&gt;100,"NM",IF(((CM242/CE242-1)*100)&lt;-50,"NM",(CM242/CE242-1)*100)))</f>
        <v>NA</v>
      </c>
      <c r="CO242" s="174">
        <v>0</v>
      </c>
      <c r="CP242" s="81" t="str">
        <f>IF(ISERROR((CO242/CG242-1)*100),"NA",IF(((CO242/CG242-1)*100)&gt;100,"NM",IF(((CO242/CG242-1)*100)&lt;-50,"NM",(CO242/CG242-1)*100)))</f>
        <v>NA</v>
      </c>
      <c r="CQ242" s="174">
        <v>0</v>
      </c>
      <c r="CR242" s="81" t="str">
        <f>IF(ISERROR((CQ242/CI242-1)*100),"NA",IF(((CQ242/CI242-1)*100)&gt;100,"NM",IF(((CQ242/CI242-1)*100)&lt;-50,"NM",(CQ242/CI242-1)*100)))</f>
        <v>NM</v>
      </c>
      <c r="CS242" s="174">
        <v>0</v>
      </c>
      <c r="CT242" s="81" t="str">
        <f>IF(ISERROR((CS242/CK242-1)*100),"NA",IF(((CS242/CK242-1)*100)&gt;100,"NM",IF(((CS242/CK242-1)*100)&lt;-50,"NM",(CS242/CK242-1)*100)))</f>
        <v>NA</v>
      </c>
      <c r="CU242" s="174">
        <v>0</v>
      </c>
      <c r="CV242" s="81" t="str">
        <f>IF(ISERROR((CU242/CM242-1)*100),"NA",IF(((CU242/CM242-1)*100)&gt;100,"NM",IF(((CU242/CM242-1)*100)&lt;-50,"NM",(CU242/CM242-1)*100)))</f>
        <v>NA</v>
      </c>
      <c r="CW242" s="174">
        <v>5</v>
      </c>
      <c r="CX242" s="81" t="str">
        <f>IF(ISERROR((CW242/CO242-1)*100),"NA",IF(((CW242/CO242-1)*100)&gt;100,"NM",IF(((CW242/CO242-1)*100)&lt;-50,"NM",(CW242/CO242-1)*100)))</f>
        <v>NA</v>
      </c>
      <c r="CY242" s="174">
        <v>0</v>
      </c>
      <c r="CZ242" s="81" t="str">
        <f>IF(ISERROR((CY242/CQ242-1)*100),"NA",IF(((CY242/CQ242-1)*100)&gt;100,"NM",IF(((CY242/CQ242-1)*100)&lt;-50,"NM",(CY242/CQ242-1)*100)))</f>
        <v>NA</v>
      </c>
      <c r="DA242" s="174">
        <v>0</v>
      </c>
      <c r="DB242" s="81" t="str">
        <f>IF(ISERROR((DA242/CS242-1)*100),"NA",IF(((DA242/CS242-1)*100)&gt;100,"NM",IF(((DA242/CS242-1)*100)&lt;-50,"NM",(DA242/CS242-1)*100)))</f>
        <v>NA</v>
      </c>
      <c r="DC242" s="95">
        <v>-20.100000000000001</v>
      </c>
      <c r="DD242" s="81" t="str">
        <f>IF(ISERROR((DC242/CU242-1)*100),"NA",IF(((DC242/CU242-1)*100)&gt;100,"NM",IF(((DC242/CU242-1)*100)&lt;-50,"NM",(DC242/CU242-1)*100)))</f>
        <v>NA</v>
      </c>
      <c r="DE242" s="174">
        <v>0</v>
      </c>
      <c r="DF242" s="81" t="str">
        <f>IF(ISERROR((DE242/CW242-1)*100),"NA",IF(((DE242/CW242-1)*100)&gt;100,"NM",IF(((DE242/CW242-1)*100)&lt;-50,"NM",(DE242/CW242-1)*100)))</f>
        <v>NM</v>
      </c>
      <c r="DG242" s="174">
        <v>0</v>
      </c>
      <c r="DH242" s="81" t="str">
        <f>IF(ISERROR((DG242/CY242-1)*100),"NA",IF(((DG242/CY242-1)*100)&gt;100,"NM",IF(((DG242/CY242-1)*100)&lt;-50,"NM",(DG242/CY242-1)*100)))</f>
        <v>NA</v>
      </c>
      <c r="DI242" s="174">
        <v>0</v>
      </c>
      <c r="DJ242" s="81" t="str">
        <f>IF(ISERROR((DI242/DA242-1)*100),"NA",IF(((DI242/DA242-1)*100)&gt;100,"NM",IF(((DI242/DA242-1)*100)&lt;-50,"NM",(DI242/DA242-1)*100)))</f>
        <v>NA</v>
      </c>
      <c r="DK242" s="174">
        <v>0</v>
      </c>
      <c r="DL242" s="81" t="str">
        <f>IF(ISERROR((DK242/DC242-1)*100),"NA",IF(((DK242/DC242-1)*100)&gt;100,"NM",IF(((DK242/DC242-1)*100)&lt;-50,"NM",(DK242/DC242-1)*100)))</f>
        <v>NM</v>
      </c>
      <c r="DM242" s="174">
        <v>0</v>
      </c>
      <c r="DN242" s="81" t="str">
        <f>IF(ISERROR((DM242/DE242-1)*100),"NA",IF(((DM242/DE242-1)*100)&gt;100,"NM",IF(((DM242/DE242-1)*100)&lt;-50,"NM",(DM242/DE242-1)*100)))</f>
        <v>NA</v>
      </c>
      <c r="DO242" s="174">
        <v>0</v>
      </c>
      <c r="DP242" s="81" t="str">
        <f>IF(ISERROR((DO242/DG242-1)*100),"NA",IF(((DO242/DG242-1)*100)&gt;100,"NM",IF(((DO242/DG242-1)*100)&lt;-50,"NM",(DO242/DG242-1)*100)))</f>
        <v>NA</v>
      </c>
      <c r="DQ242" s="174">
        <v>0</v>
      </c>
      <c r="DR242" s="81" t="str">
        <f>IF(ISERROR((DQ242/DI242-1)*100),"NA",IF(((DQ242/DI242-1)*100)&gt;100,"NM",IF(((DQ242/DI242-1)*100)&lt;-50,"NM",(DQ242/DI242-1)*100)))</f>
        <v>NA</v>
      </c>
      <c r="DS242" s="174">
        <v>0</v>
      </c>
      <c r="DT242" s="81" t="str">
        <f>IF(ISERROR((DS242/DK242-1)*100),"NA",IF(((DS242/DK242-1)*100)&gt;100,"NM",IF(((DS242/DK242-1)*100)&lt;-50,"NM",(DS242/DK242-1)*100)))</f>
        <v>NA</v>
      </c>
      <c r="DU242" s="174">
        <v>0</v>
      </c>
      <c r="DV242" s="81" t="str">
        <f>IF(ISERROR((DU242/DM242-1)*100),"NA",IF(((DU242/DM242-1)*100)&gt;100,"NM",IF(((DU242/DM242-1)*100)&lt;-50,"NM",(DU242/DM242-1)*100)))</f>
        <v>NA</v>
      </c>
      <c r="DW242" s="174">
        <v>0</v>
      </c>
      <c r="DX242" s="81" t="str">
        <f>IF(ISERROR((DW242/DO242-1)*100),"NA",IF(((DW242/DO242-1)*100)&gt;100,"NM",IF(((DW242/DO242-1)*100)&lt;-50,"NM",(DW242/DO242-1)*100)))</f>
        <v>NA</v>
      </c>
      <c r="DY242" s="174">
        <v>0</v>
      </c>
      <c r="DZ242" s="81" t="str">
        <f>IF(ISERROR((DY242/DQ242-1)*100),"NA",IF(((DY242/DQ242-1)*100)&gt;100,"NM",IF(((DY242/DQ242-1)*100)&lt;-50,"NM",(DY242/DQ242-1)*100)))</f>
        <v>NA</v>
      </c>
      <c r="EA242" s="174">
        <v>0</v>
      </c>
      <c r="EB242" s="81" t="str">
        <f>IF(ISERROR((EA242/DS242-1)*100),"NA",IF(((EA242/DS242-1)*100)&gt;100,"NM",IF(((EA242/DS242-1)*100)&lt;-50,"NM",(EA242/DS242-1)*100)))</f>
        <v>NA</v>
      </c>
      <c r="EC242" s="174">
        <v>0</v>
      </c>
      <c r="ED242" s="81" t="str">
        <f t="shared" ref="ED242:ED243" si="778">IF(ISERROR((EC242/DU242-1)*100),"NA",IF(((EC242/DU242-1)*100)&gt;100,"NM",IF(((EC242/DU242-1)*100)&lt;-50,"NM",(EC242/DU242-1)*100)))</f>
        <v>NA</v>
      </c>
      <c r="EE242" s="174">
        <v>0</v>
      </c>
      <c r="EF242" s="81" t="str">
        <f t="shared" ref="EF242:EF243" si="779">IF(ISERROR((EE242/DW242-1)*100),"NA",IF(((EE242/DW242-1)*100)&gt;100,"NM",IF(((EE242/DW242-1)*100)&lt;-50,"NM",(EE242/DW242-1)*100)))</f>
        <v>NA</v>
      </c>
      <c r="EG242" s="174">
        <v>0</v>
      </c>
      <c r="EH242" s="81" t="str">
        <f t="shared" ref="EH242:EH243" si="780">IF(ISERROR((EG242/DY242-1)*100),"NA",IF(((EG242/DY242-1)*100)&gt;100,"NM",IF(((EG242/DY242-1)*100)&lt;-50,"NM",(EG242/DY242-1)*100)))</f>
        <v>NA</v>
      </c>
      <c r="EI242" s="174">
        <v>0</v>
      </c>
      <c r="EJ242" s="81" t="str">
        <f t="shared" ref="EJ242:EJ243" si="781">IF(ISERROR((EI242/EA242-1)*100),"NA",IF(((EI242/EA242-1)*100)&gt;100,"NM",IF(((EI242/EA242-1)*100)&lt;-50,"NM",(EI242/EA242-1)*100)))</f>
        <v>NA</v>
      </c>
      <c r="EK242" s="174">
        <v>0</v>
      </c>
      <c r="EL242" s="81" t="str">
        <f t="shared" ref="EL242:EL243" si="782">IF(ISERROR((EK242/EC242-1)*100),"NA",IF(((EK242/EC242-1)*100)&gt;100,"NM",IF(((EK242/EC242-1)*100)&lt;-50,"NM",(EK242/EC242-1)*100)))</f>
        <v>NA</v>
      </c>
      <c r="EM242" s="174">
        <v>0</v>
      </c>
      <c r="EN242" s="81" t="str">
        <f t="shared" ref="EN242:EN243" si="783">IF(ISERROR((EM242/EE242-1)*100),"NA",IF(((EM242/EE242-1)*100)&gt;100,"NM",IF(((EM242/EE242-1)*100)&lt;-50,"NM",(EM242/EE242-1)*100)))</f>
        <v>NA</v>
      </c>
      <c r="EO242" s="174">
        <v>0</v>
      </c>
      <c r="EP242" s="81" t="str">
        <f t="shared" ref="EP242:EP243" si="784">IF(ISERROR((EO242/EG242-1)*100),"NA",IF(((EO242/EG242-1)*100)&gt;100,"NM",IF(((EO242/EG242-1)*100)&lt;-50,"NM",(EO242/EG242-1)*100)))</f>
        <v>NA</v>
      </c>
      <c r="EQ242" s="174">
        <v>0</v>
      </c>
      <c r="ER242" s="81" t="str">
        <f t="shared" ref="ER242:ER243" si="785">IF(ISERROR((EQ242/EI242-1)*100),"NA",IF(((EQ242/EI242-1)*100)&gt;100,"NM",IF(((EQ242/EI242-1)*100)&lt;-50,"NM",(EQ242/EI242-1)*100)))</f>
        <v>NA</v>
      </c>
      <c r="ES242" s="260"/>
      <c r="ET242" s="479"/>
      <c r="EU242" s="260"/>
      <c r="EV242" s="261"/>
      <c r="EW242" s="262"/>
      <c r="EX242" s="261"/>
      <c r="EY242" s="262"/>
      <c r="EZ242" s="261"/>
      <c r="FA242" s="262"/>
      <c r="FB242" s="261"/>
      <c r="FC242" s="262"/>
      <c r="FD242" s="261">
        <f>O242+Q242+S242+M242</f>
        <v>0</v>
      </c>
      <c r="FE242" s="262" t="str">
        <f>IF(ISERROR((FD242/FB242-1)*100),"NA",IF(((FD242/FB242-1)*100)&gt;100,"NM",IF(((FD242/FB242-1)*100)&lt;-50,"NM",(FD242/FB242-1)*100)))</f>
        <v>NA</v>
      </c>
      <c r="FF242" s="261">
        <f>U242+W242+Y242+AA242</f>
        <v>0</v>
      </c>
      <c r="FG242" s="262" t="str">
        <f>IF(ISERROR((FF242/FD242-1)*100),"NA",IF(((FF242/FD242-1)*100)&gt;100,"NM",IF(((FF242/FD242-1)*100)&lt;-50,"NM",(FF242/FD242-1)*100)))</f>
        <v>NA</v>
      </c>
      <c r="FH242" s="261">
        <f>AC242+AE242+AG242+AI242</f>
        <v>0</v>
      </c>
      <c r="FI242" s="262" t="str">
        <f>IF(ISERROR((FH242/FF242-1)*100),"NA",IF(((FH242/FF242-1)*100)&gt;100,"NM",IF(((FH242/FF242-1)*100)&lt;-50,"NM",(FH242/FF242-1)*100)))</f>
        <v>NA</v>
      </c>
      <c r="FJ242" s="261">
        <f>AK242+AM242+AO242+AQ242</f>
        <v>-10.46</v>
      </c>
      <c r="FK242" s="262" t="str">
        <f>IF(ISERROR((FJ242/FH242-1)*100),"NA",IF(((FJ242/FH242-1)*100)&gt;100,"NM",IF(((FJ242/FH242-1)*100)&lt;-50,"NM",(FJ242/FH242-1)*100)))</f>
        <v>NA</v>
      </c>
      <c r="FL242" s="175">
        <f>AS242+AU242+AW242+AY242</f>
        <v>0</v>
      </c>
      <c r="FM242" s="262" t="str">
        <f>IF(ISERROR((FL242/FJ242-1)*100),"NA",IF(((FL242/FJ242-1)*100)&gt;100,"NM",IF(((FL242/FJ242-1)*100)&lt;-50,"NM",(FL242/FJ242-1)*100)))</f>
        <v>NM</v>
      </c>
      <c r="FN242" s="175">
        <f>BA242+BC242+BE242+BG242</f>
        <v>0</v>
      </c>
      <c r="FO242" s="262" t="str">
        <f>IF(ISERROR((FN242/FL242-1)*100),"NA",IF(((FN242/FL242-1)*100)&gt;100,"NM",IF(((FN242/FL242-1)*100)&lt;-50,"NM",(FN242/FL242-1)*100)))</f>
        <v>NA</v>
      </c>
      <c r="FP242" s="175">
        <f>BI242+BK242+BM242+BO242</f>
        <v>0</v>
      </c>
      <c r="FQ242" s="262" t="str">
        <f>IF(ISERROR((FP242/FN242-1)*100),"NA",IF(((FP242/FN242-1)*100)&gt;100,"NM",IF(((FP242/FN242-1)*100)&lt;-50,"NM",(FP242/FN242-1)*100)))</f>
        <v>NA</v>
      </c>
      <c r="FR242" s="177">
        <f>BQ242+BS242+BU242+BW242</f>
        <v>0</v>
      </c>
      <c r="FS242" s="262" t="str">
        <f>IF(ISERROR((FR242/FP242-1)*100),"NA",IF(((FR242/FP242-1)*100)&gt;100,"NM",IF(((FR242/FP242-1)*100)&lt;-50,"NM",(FR242/FP242-1)*100)))</f>
        <v>NA</v>
      </c>
      <c r="FT242" s="177">
        <f>BY242+CA242+CC242+CE242</f>
        <v>0</v>
      </c>
      <c r="FU242" s="262" t="str">
        <f>IF(ISERROR((FT242/FR242-1)*100),"NA",IF(((FT242/FR242-1)*100)&gt;100,"NM",IF(((FT242/FR242-1)*100)&lt;-50,"NM",(FT242/FR242-1)*100)))</f>
        <v>NA</v>
      </c>
      <c r="FV242" s="177">
        <f>CG242+CI242+CK242+CM242</f>
        <v>4</v>
      </c>
      <c r="FW242" s="262" t="str">
        <f>IF(ISERROR((FV242/FT242-1)*100),"NA",IF(((FV242/FT242-1)*100)&gt;100,"NM",IF(((FV242/FT242-1)*100)&lt;-50,"NM",(FV242/FT242-1)*100)))</f>
        <v>NA</v>
      </c>
      <c r="FX242" s="177">
        <f>+CO242+CQ242+CS242+CU242</f>
        <v>0</v>
      </c>
      <c r="FY242" s="262" t="str">
        <f>IF(ISERROR((FX242/FV242-1)*100),"NA",IF(((FX242/FV242-1)*100)&gt;100,"NM",IF(((FX242/FV242-1)*100)&lt;-50,"NM",(FX242/FV242-1)*100)))</f>
        <v>NM</v>
      </c>
      <c r="FZ242" s="177">
        <f>+CW242+CY242+DA242+DC242</f>
        <v>-15.100000000000001</v>
      </c>
      <c r="GA242" s="262" t="str">
        <f>IF(ISERROR((FZ242/FX242-1)*100),"NA",IF(((FZ242/FX242-1)*100)&gt;100,"NM",IF(((FZ242/FX242-1)*100)&lt;-50,"NM",(FZ242/FX242-1)*100)))</f>
        <v>NA</v>
      </c>
      <c r="GB242" s="177">
        <f>+DE242+DG242+DI242+DK242</f>
        <v>0</v>
      </c>
      <c r="GC242" s="262" t="str">
        <f>IF(ISERROR((GB242/FZ242-1)*100),"NA",IF(((GB242/FZ242-1)*100)&gt;100,"NM",IF(((GB242/FZ242-1)*100)&lt;-50,"NM",(GB242/FZ242-1)*100)))</f>
        <v>NM</v>
      </c>
      <c r="GD242" s="177">
        <f>+DM242+DO242+DQ242+DS242</f>
        <v>0</v>
      </c>
      <c r="GE242" s="262" t="str">
        <f>IF(ISERROR((GD242/GB242-1)*100),"NA",IF(((GD242/GB242-1)*100)&gt;100,"NM",IF(((GD242/GB242-1)*100)&lt;-50,"NM",(GD242/GB242-1)*100)))</f>
        <v>NA</v>
      </c>
      <c r="GF242" s="177">
        <f>+DU242+DW242+DY242+EA242</f>
        <v>0</v>
      </c>
      <c r="GG242" s="262" t="str">
        <f>IF(ISERROR((GF242/GD242-1)*100),"NA",IF(((GF242/GD242-1)*100)&gt;100,"NM",IF(((GF242/GD242-1)*100)&lt;-50,"NM",(GF242/GD242-1)*100)))</f>
        <v>NA</v>
      </c>
      <c r="GH242" s="177">
        <f>+EC242+EE242+EG242+EI242</f>
        <v>0</v>
      </c>
      <c r="GI242" s="262" t="str">
        <f>IF(ISERROR((GH242/GF242-1)*100),"NA",IF(((GH242/GF242-1)*100)&gt;100,"NM",IF(((GH242/GF242-1)*100)&lt;-50,"NM",(GH242/GF242-1)*100)))</f>
        <v>NA</v>
      </c>
      <c r="GJ242" s="177">
        <f>+EK242+EM242+EO242+EQ242</f>
        <v>0</v>
      </c>
      <c r="GK242" s="262" t="str">
        <f>IF(ISERROR((GJ242/GH242-1)*100),"NA",IF(((GJ242/GH242-1)*100)&gt;100,"NM",IF(((GJ242/GH242-1)*100)&lt;-50,"NM",(GJ242/GH242-1)*100)))</f>
        <v>NA</v>
      </c>
      <c r="GL242" s="174">
        <v>0</v>
      </c>
      <c r="GM242" s="262" t="str">
        <f>IF(ISERROR((GL242/GJ242-1)*100),"NA",IF(((GL242/GJ242-1)*100)&gt;100,"NM",IF(((GL242/GJ242-1)*100)&lt;-50,"NM",(GL242/GJ242-1)*100)))</f>
        <v>NA</v>
      </c>
      <c r="GN242" s="174">
        <v>0</v>
      </c>
      <c r="GO242" s="262" t="str">
        <f>IF(ISERROR((GN242/GL242-1)*100),"NA",IF(((GN242/GL242-1)*100)&gt;100,"NM",IF(((GN242/GL242-1)*100)&lt;-50,"NM",(GN242/GL242-1)*100)))</f>
        <v>NA</v>
      </c>
      <c r="GP242" s="174">
        <v>0</v>
      </c>
      <c r="GQ242" s="262" t="str">
        <f>IF(ISERROR((GP242/GN242-1)*100),"NA",IF(((GP242/GN242-1)*100)&gt;100,"NM",IF(((GP242/GN242-1)*100)&lt;-50,"NM",(GP242/GN242-1)*100)))</f>
        <v>NA</v>
      </c>
      <c r="GR242" s="174">
        <v>0</v>
      </c>
      <c r="GS242" s="262" t="str">
        <f>IF(ISERROR((GR242/GP242-1)*100),"NA",IF(((GR242/GP242-1)*100)&gt;100,"NM",IF(((GR242/GP242-1)*100)&lt;-50,"NM",(GR242/GP242-1)*100)))</f>
        <v>NA</v>
      </c>
      <c r="GT242" s="79" t="str">
        <f>IF(ISERROR(((GR242/GH242)^0.2-1)*100),"NA",(IF(OR(((GR242/GH242)^0.2-1)*100&gt;99,((GR242/GH242)^0.2-1)*100&lt;-50),"NM",(((GR242/GH242)^0.2-1)*100))))</f>
        <v>NA</v>
      </c>
    </row>
    <row r="243" spans="1:286" ht="12.75" customHeight="1" x14ac:dyDescent="0.2">
      <c r="A243" s="1"/>
      <c r="B243" s="68" t="s">
        <v>474</v>
      </c>
      <c r="C243" s="79"/>
      <c r="D243" s="79"/>
      <c r="E243" s="178">
        <f>E239-E242</f>
        <v>31.699999999999989</v>
      </c>
      <c r="F243" s="171"/>
      <c r="G243" s="178">
        <f>G239-G242</f>
        <v>35.099999999999994</v>
      </c>
      <c r="H243" s="171"/>
      <c r="I243" s="178">
        <f>I239-I242</f>
        <v>34.500000000000028</v>
      </c>
      <c r="J243" s="171"/>
      <c r="K243" s="178">
        <f>K239-K242</f>
        <v>36.699999999999989</v>
      </c>
      <c r="L243" s="140"/>
      <c r="M243" s="178">
        <f>M239-M242</f>
        <v>33</v>
      </c>
      <c r="N243" s="79">
        <f>IF(ISERROR((M243/E243-1)*100),"NA",IF(((M243/E243-1)*100)&gt;100,"NM",IF(((M243/E243-1)*100)&lt;-50,"NM",(M243/E243-1)*100)))</f>
        <v>4.1009463722397888</v>
      </c>
      <c r="O243" s="178">
        <f>O239-O242</f>
        <v>33.900000000000006</v>
      </c>
      <c r="P243" s="79">
        <f>IF(ISERROR((O243/G243-1)*100),"NA",IF(((O243/G243-1)*100)&gt;100,"NM",IF(((O243/G243-1)*100)&lt;-50,"NM",(O243/G243-1)*100)))</f>
        <v>-3.4188034188033845</v>
      </c>
      <c r="Q243" s="178">
        <f>Q239-Q242</f>
        <v>34.400000000000006</v>
      </c>
      <c r="R243" s="79">
        <f>IF(ISERROR((Q243/I243-1)*100),"NA",IF(((Q243/I243-1)*100)&gt;100,"NM",IF(((Q243/I243-1)*100)&lt;-50,"NM",(Q243/I243-1)*100)))</f>
        <v>-0.28985507246382936</v>
      </c>
      <c r="S243" s="178">
        <f>S239-S242</f>
        <v>36.200000000000017</v>
      </c>
      <c r="T243" s="79">
        <f>IF(ISERROR((S243/K243-1)*100),"NA",IF(((S243/K243-1)*100)&gt;100,"NM",IF(((S243/K243-1)*100)&lt;-50,"NM",(S243/K243-1)*100)))</f>
        <v>-1.3623978201634079</v>
      </c>
      <c r="U243" s="178">
        <f>U239-U242</f>
        <v>35.19999999999996</v>
      </c>
      <c r="V243" s="79">
        <f>IF(ISERROR((U243/M243-1)*100),"NA",IF(((U243/M243-1)*100)&gt;100,"NM",IF(((U243/M243-1)*100)&lt;-50,"NM",(U243/M243-1)*100)))</f>
        <v>6.6666666666665542</v>
      </c>
      <c r="W243" s="178">
        <f>W239-W242</f>
        <v>35.399999999999977</v>
      </c>
      <c r="X243" s="79">
        <f>IF(ISERROR((W243/O243-1)*100),"NA",IF(((W243/O243-1)*100)&gt;100,"NM",IF(((W243/O243-1)*100)&lt;-50,"NM",(W243/O243-1)*100)))</f>
        <v>4.424778761061865</v>
      </c>
      <c r="Y243" s="178">
        <f>Y239-Y242</f>
        <v>38.5</v>
      </c>
      <c r="Z243" s="79">
        <f>IF(ISERROR((Y243/Q243-1)*100),"NA",IF(((Y243/Q243-1)*100)&gt;100,"NM",IF(((Y243/Q243-1)*100)&lt;-50,"NM",(Y243/Q243-1)*100)))</f>
        <v>11.918604651162767</v>
      </c>
      <c r="AA243" s="227">
        <f>AA239-AA242</f>
        <v>37.599999999999994</v>
      </c>
      <c r="AB243" s="79">
        <f>IF(ISERROR((AA243/S243-1)*100),"NA",IF(((AA243/S243-1)*100)&gt;100,"NM",IF(((AA243/S243-1)*100)&lt;-50,"NM",(AA243/S243-1)*100)))</f>
        <v>3.8674033149170617</v>
      </c>
      <c r="AC243" s="178">
        <f>AC239-AC242</f>
        <v>36.599999999999966</v>
      </c>
      <c r="AD243" s="79">
        <f>IF(ISERROR((AC243/U243-1)*100),"NA",IF(((AC243/U243-1)*100)&gt;100,"NM",IF(((AC243/U243-1)*100)&lt;-50,"NM",(AC243/U243-1)*100)))</f>
        <v>3.9772727272727515</v>
      </c>
      <c r="AE243" s="178">
        <f>AE239-AE242</f>
        <v>39.400000000000006</v>
      </c>
      <c r="AF243" s="79">
        <f>IF(ISERROR((AE243/W243-1)*100),"NA",IF(((AE243/W243-1)*100)&gt;100,"NM",IF(((AE243/W243-1)*100)&lt;-50,"NM",(AE243/W243-1)*100)))</f>
        <v>11.299435028248684</v>
      </c>
      <c r="AG243" s="178">
        <f>AG239-AG242</f>
        <v>39.599999999999994</v>
      </c>
      <c r="AH243" s="79">
        <f>IF(ISERROR((AG243/Y243-1)*100),"NA",IF(((AG243/Y243-1)*100)&gt;100,"NM",IF(((AG243/Y243-1)*100)&lt;-50,"NM",(AG243/Y243-1)*100)))</f>
        <v>2.857142857142847</v>
      </c>
      <c r="AI243" s="178">
        <f>AI239-AI242</f>
        <v>40</v>
      </c>
      <c r="AJ243" s="79">
        <f>IF(ISERROR((AI243/AA243-1)*100),"NA",IF(((AI243/AA243-1)*100)&gt;100,"NM",IF(((AI243/AA243-1)*100)&lt;-50,"NM",(AI243/AA243-1)*100)))</f>
        <v>6.3829787234042756</v>
      </c>
      <c r="AK243" s="178">
        <f>AK239-AK242</f>
        <v>43.800000000000011</v>
      </c>
      <c r="AL243" s="79">
        <f>IF(ISERROR((AK243/AC243-1)*100),"NA",IF(((AK243/AC243-1)*100)&gt;100,"NM",IF(((AK243/AC243-1)*100)&lt;-50,"NM",(AK243/AC243-1)*100)))</f>
        <v>19.672131147541116</v>
      </c>
      <c r="AM243" s="178">
        <f>AM239-AM242</f>
        <v>43.600000000000023</v>
      </c>
      <c r="AN243" s="79">
        <f>IF(ISERROR((AM243/AE243-1)*100),"NA",IF(((AM243/AE243-1)*100)&gt;100,"NM",IF(((AM243/AE243-1)*100)&lt;-50,"NM",(AM243/AE243-1)*100)))</f>
        <v>10.659898477157403</v>
      </c>
      <c r="AO243" s="178">
        <f>AO239-AO242</f>
        <v>42</v>
      </c>
      <c r="AP243" s="79">
        <f>IF(ISERROR((AO243/AG243-1)*100),"NA",IF(((AO243/AG243-1)*100)&gt;100,"NM",IF(((AO243/AG243-1)*100)&lt;-50,"NM",(AO243/AG243-1)*100)))</f>
        <v>6.0606060606060774</v>
      </c>
      <c r="AQ243" s="178">
        <f>AQ239-AQ242</f>
        <v>49.159999999999989</v>
      </c>
      <c r="AR243" s="79">
        <f>IF(ISERROR((AQ243/AI243-1)*100),"NA",IF(((AQ243/AI243-1)*100)&gt;100,"NM",IF(((AQ243/AI243-1)*100)&lt;-50,"NM",(AQ243/AI243-1)*100)))</f>
        <v>22.899999999999963</v>
      </c>
      <c r="AS243" s="178">
        <f>AS239-AS242</f>
        <v>46.200000000000017</v>
      </c>
      <c r="AT243" s="81">
        <f>IF(ISERROR((AS243/AK243-1)*100),"NA",IF(((AS243/AK243-1)*100)&gt;100,"NM",IF(((AS243/AK243-1)*100)&lt;-50,"NM",(AS243/AK243-1)*100)))</f>
        <v>5.4794520547945424</v>
      </c>
      <c r="AU243" s="178">
        <f>AU239-AU242</f>
        <v>49.900000000000006</v>
      </c>
      <c r="AV243" s="81">
        <f>IF(ISERROR((AU243/AM243-1)*100),"NA",IF(((AU243/AM243-1)*100)&gt;100,"NM",IF(((AU243/AM243-1)*100)&lt;-50,"NM",(AU243/AM243-1)*100)))</f>
        <v>14.449541284403633</v>
      </c>
      <c r="AW243" s="178">
        <f>AW239-AW242</f>
        <v>52.100000000000023</v>
      </c>
      <c r="AX243" s="81">
        <f>IF(ISERROR((AW243/AO243-1)*100),"NA",IF(((AW243/AO243-1)*100)&gt;100,"NM",IF(((AW243/AO243-1)*100)&lt;-50,"NM",(AW243/AO243-1)*100)))</f>
        <v>24.047619047619094</v>
      </c>
      <c r="AY243" s="178">
        <f>AY239-AY242</f>
        <v>50.5</v>
      </c>
      <c r="AZ243" s="81">
        <f>IF(ISERROR((AY243/AQ243-1)*100),"NA",IF(((AY243/AQ243-1)*100)&gt;100,"NM",IF(((AY243/AQ243-1)*100)&lt;-50,"NM",(AY243/AQ243-1)*100)))</f>
        <v>2.7257933279088986</v>
      </c>
      <c r="BA243" s="178">
        <f>BA239-BA242</f>
        <v>59.599999999999994</v>
      </c>
      <c r="BB243" s="81">
        <f>IF(ISERROR((BA243/AS243-1)*100),"NA",IF(((BA243/AS243-1)*100)&gt;100,"NM",IF(((BA243/AS243-1)*100)&lt;-50,"NM",(BA243/AS243-1)*100)))</f>
        <v>29.004329004328945</v>
      </c>
      <c r="BC243" s="178">
        <f>BC239-BC242</f>
        <v>64.900000000000034</v>
      </c>
      <c r="BD243" s="81">
        <f>IF(ISERROR((BC243/AU243-1)*100),"NA",IF(((BC243/AU243-1)*100)&gt;100,"NM",IF(((BC243/AU243-1)*100)&lt;-50,"NM",(BC243/AU243-1)*100)))</f>
        <v>30.060120240481012</v>
      </c>
      <c r="BE243" s="178">
        <f>BE239-BE242</f>
        <v>62.399999999999977</v>
      </c>
      <c r="BF243" s="81">
        <f>IF(ISERROR((BE243/AW243-1)*100),"NA",IF(((BE243/AW243-1)*100)&gt;100,"NM",IF(((BE243/AW243-1)*100)&lt;-50,"NM",(BE243/AW243-1)*100)))</f>
        <v>19.769673704414494</v>
      </c>
      <c r="BG243" s="178">
        <f>BG239-BG242</f>
        <v>58.80000000000004</v>
      </c>
      <c r="BH243" s="81">
        <f>IF(ISERROR((BG243/AY243-1)*100),"NA",IF(((BG243/AY243-1)*100)&gt;100,"NM",IF(((BG243/AY243-1)*100)&lt;-50,"NM",(BG243/AY243-1)*100)))</f>
        <v>16.435643564356518</v>
      </c>
      <c r="BI243" s="178">
        <f>BI239-BI242</f>
        <v>67.399999999999977</v>
      </c>
      <c r="BJ243" s="81">
        <f>IF(ISERROR((BI243/BA243-1)*100),"NA",IF(((BI243/BA243-1)*100)&gt;100,"NM",IF(((BI243/BA243-1)*100)&lt;-50,"NM",(BI243/BA243-1)*100)))</f>
        <v>13.087248322147627</v>
      </c>
      <c r="BK243" s="178">
        <f>BK239-BK242</f>
        <v>68.200000000000045</v>
      </c>
      <c r="BL243" s="81">
        <f>IF(ISERROR((BK243/BC243-1)*100),"NA",IF(((BK243/BC243-1)*100)&gt;100,"NM",IF(((BK243/BC243-1)*100)&lt;-50,"NM",(BK243/BC243-1)*100)))</f>
        <v>5.0847457627118731</v>
      </c>
      <c r="BM243" s="178">
        <f>BM239-BM242</f>
        <v>66.200000000000045</v>
      </c>
      <c r="BN243" s="81">
        <f>IF(ISERROR((BM243/BE243-1)*100),"NA",IF(((BM243/BE243-1)*100)&gt;100,"NM",IF(((BM243/BE243-1)*100)&lt;-50,"NM",(BM243/BE243-1)*100)))</f>
        <v>6.0897435897437013</v>
      </c>
      <c r="BO243" s="178">
        <f>BO239-BO242</f>
        <v>66.300000000000011</v>
      </c>
      <c r="BP243" s="81">
        <f>IF(ISERROR((BO243/BG243-1)*100),"NA",IF(((BO243/BG243-1)*100)&gt;100,"NM",IF(((BO243/BG243-1)*100)&lt;-50,"NM",(BO243/BG243-1)*100)))</f>
        <v>12.755102040816269</v>
      </c>
      <c r="BQ243" s="178">
        <f>BQ239-BQ242</f>
        <v>70.900000000000034</v>
      </c>
      <c r="BR243" s="81">
        <f>IF(ISERROR((BQ243/BI243-1)*100),"NA",IF(((BQ243/BI243-1)*100)&gt;100,"NM",IF(((BQ243/BI243-1)*100)&lt;-50,"NM",(BQ243/BI243-1)*100)))</f>
        <v>5.1928783382790167</v>
      </c>
      <c r="BS243" s="178">
        <f>BS239-BS242</f>
        <v>71.30000000000004</v>
      </c>
      <c r="BT243" s="81">
        <f>IF(ISERROR((BS243/BK243-1)*100),"NA",IF(((BS243/BK243-1)*100)&gt;100,"NM",IF(((BS243/BK243-1)*100)&lt;-50,"NM",(BS243/BK243-1)*100)))</f>
        <v>4.5454545454545414</v>
      </c>
      <c r="BU243" s="178">
        <f>BU239-BU242</f>
        <v>70.400000000000006</v>
      </c>
      <c r="BV243" s="81">
        <f>IF(ISERROR((BU243/BM243-1)*100),"NA",IF(((BU243/BM243-1)*100)&gt;100,"NM",IF(((BU243/BM243-1)*100)&lt;-50,"NM",(BU243/BM243-1)*100)))</f>
        <v>6.3444108761328666</v>
      </c>
      <c r="BW243" s="178">
        <f>BW239-BW242</f>
        <v>68.299999999999955</v>
      </c>
      <c r="BX243" s="81">
        <f>IF(ISERROR((BW243/BO243-1)*100),"NA",IF(((BW243/BO243-1)*100)&gt;100,"NM",IF(((BW243/BO243-1)*100)&lt;-50,"NM",(BW243/BO243-1)*100)))</f>
        <v>3.0165912518852922</v>
      </c>
      <c r="BY243" s="178">
        <f>BY239-BY242</f>
        <v>70.200000000000045</v>
      </c>
      <c r="BZ243" s="81">
        <f>IF(ISERROR((BY243/BQ243-1)*100),"NA",IF(((BY243/BQ243-1)*100)&gt;100,"NM",IF(((BY243/BQ243-1)*100)&lt;-50,"NM",(BY243/BQ243-1)*100)))</f>
        <v>-0.9873060648801002</v>
      </c>
      <c r="CA243" s="178">
        <f>CA239-CA242</f>
        <v>71.099999999999937</v>
      </c>
      <c r="CB243" s="81">
        <f>IF(ISERROR((CA243/BS243-1)*100),"NA",IF(((CA243/BS243-1)*100)&gt;100,"NM",IF(((CA243/BS243-1)*100)&lt;-50,"NM",(CA243/BS243-1)*100)))</f>
        <v>-0.2805049088360434</v>
      </c>
      <c r="CC243" s="178">
        <f>CC239-CC242</f>
        <v>71.000000000000028</v>
      </c>
      <c r="CD243" s="81">
        <f>IF(ISERROR((CC243/BU243-1)*100),"NA",IF(((CC243/BU243-1)*100)&gt;100,"NM",IF(((CC243/BU243-1)*100)&lt;-50,"NM",(CC243/BU243-1)*100)))</f>
        <v>0.8522727272727515</v>
      </c>
      <c r="CE243" s="178">
        <f>CE239-CE242</f>
        <v>57.400000000000034</v>
      </c>
      <c r="CF243" s="81">
        <f>IF(ISERROR((CE243/BW243-1)*100),"NA",IF(((CE243/BW243-1)*100)&gt;100,"NM",IF(((CE243/BW243-1)*100)&lt;-50,"NM",(CE243/BW243-1)*100)))</f>
        <v>-15.959004392386422</v>
      </c>
      <c r="CG243" s="178">
        <f>CG239-CG242</f>
        <v>66.499999999999943</v>
      </c>
      <c r="CH243" s="81">
        <f>IF(ISERROR((CG243/BY243-1)*100),"NA",IF(((CG243/BY243-1)*100)&gt;100,"NM",IF(((CG243/BY243-1)*100)&lt;-50,"NM",(CG243/BY243-1)*100)))</f>
        <v>-5.2706552706554106</v>
      </c>
      <c r="CI243" s="178">
        <f>CI239-CI242</f>
        <v>67.899999999999977</v>
      </c>
      <c r="CJ243" s="81">
        <f>IF(ISERROR((CI243/CA243-1)*100),"NA",IF(((CI243/CA243-1)*100)&gt;100,"NM",IF(((CI243/CA243-1)*100)&lt;-50,"NM",(CI243/CA243-1)*100)))</f>
        <v>-4.5007032348803993</v>
      </c>
      <c r="CK243" s="178">
        <f>CK239-CK242</f>
        <v>66.700000000000045</v>
      </c>
      <c r="CL243" s="81">
        <f>IF(ISERROR((CK243/CC243-1)*100),"NA",IF(((CK243/CC243-1)*100)&gt;100,"NM",IF(((CK243/CC243-1)*100)&lt;-50,"NM",(CK243/CC243-1)*100)))</f>
        <v>-6.0563380281689838</v>
      </c>
      <c r="CM243" s="178">
        <f>CM239-CM242</f>
        <v>64.999999999999943</v>
      </c>
      <c r="CN243" s="81">
        <f>IF(ISERROR((CM243/CE243-1)*100),"NA",IF(((CM243/CE243-1)*100)&gt;100,"NM",IF(((CM243/CE243-1)*100)&lt;-50,"NM",(CM243/CE243-1)*100)))</f>
        <v>13.240418118466724</v>
      </c>
      <c r="CO243" s="178">
        <f>CO239-CO242</f>
        <v>69.699999999999989</v>
      </c>
      <c r="CP243" s="81">
        <f>IF(ISERROR((CO243/CG243-1)*100),"NA",IF(((CO243/CG243-1)*100)&gt;100,"NM",IF(((CO243/CG243-1)*100)&lt;-50,"NM",(CO243/CG243-1)*100)))</f>
        <v>4.8120300751880452</v>
      </c>
      <c r="CQ243" s="178">
        <f>CQ239-CQ242</f>
        <v>67.599999999999966</v>
      </c>
      <c r="CR243" s="81">
        <f>IF(ISERROR((CQ243/CI243-1)*100),"NA",IF(((CQ243/CI243-1)*100)&gt;100,"NM",IF(((CQ243/CI243-1)*100)&lt;-50,"NM",(CQ243/CI243-1)*100)))</f>
        <v>-0.44182621502211195</v>
      </c>
      <c r="CS243" s="178">
        <f>CS239-CS242</f>
        <v>68.699999999999932</v>
      </c>
      <c r="CT243" s="81">
        <f>IF(ISERROR((CS243/CK243-1)*100),"NA",IF(((CS243/CK243-1)*100)&gt;100,"NM",IF(((CS243/CK243-1)*100)&lt;-50,"NM",(CS243/CK243-1)*100)))</f>
        <v>2.9985007496250216</v>
      </c>
      <c r="CU243" s="178">
        <f>CU239-CU242</f>
        <v>68.300000000000011</v>
      </c>
      <c r="CV243" s="81">
        <f>IF(ISERROR((CU243/CM243-1)*100),"NA",IF(((CU243/CM243-1)*100)&gt;100,"NM",IF(((CU243/CM243-1)*100)&lt;-50,"NM",(CU243/CM243-1)*100)))</f>
        <v>5.0769230769231788</v>
      </c>
      <c r="CW243" s="501">
        <f>CW239-CW242</f>
        <v>70.100000000000023</v>
      </c>
      <c r="CX243" s="195">
        <f>IF(ISERROR((CW243/CO243-1)*100),"NA",IF(((CW243/CO243-1)*100)&gt;100,"NM",IF(((CW243/CO243-1)*100)&lt;-50,"NM",(CW243/CO243-1)*100)))</f>
        <v>0.57388809182215006</v>
      </c>
      <c r="CY243" s="501">
        <f>CY239-CY242</f>
        <v>70.799999999999955</v>
      </c>
      <c r="CZ243" s="195">
        <f>IF(ISERROR((CY243/CQ243-1)*100),"NA",IF(((CY243/CQ243-1)*100)&gt;100,"NM",IF(((CY243/CQ243-1)*100)&lt;-50,"NM",(CY243/CQ243-1)*100)))</f>
        <v>4.7337278106508673</v>
      </c>
      <c r="DA243" s="501">
        <f>DA239-DA242</f>
        <v>68.600000000000023</v>
      </c>
      <c r="DB243" s="195">
        <f>IF(ISERROR((DA243/CS243-1)*100),"NA",IF(((DA243/CS243-1)*100)&gt;100,"NM",IF(((DA243/CS243-1)*100)&lt;-50,"NM",(DA243/CS243-1)*100)))</f>
        <v>-0.14556040756901201</v>
      </c>
      <c r="DC243" s="501">
        <f>DC239-DC242</f>
        <v>69.099999999999994</v>
      </c>
      <c r="DD243" s="195">
        <f>IF(ISERROR((DC243/CU243-1)*100),"NA",IF(((DC243/CU243-1)*100)&gt;100,"NM",IF(((DC243/CU243-1)*100)&lt;-50,"NM",(DC243/CU243-1)*100)))</f>
        <v>1.1713030746705488</v>
      </c>
      <c r="DE243" s="501">
        <f>DE239-DE242</f>
        <v>79.099999999999966</v>
      </c>
      <c r="DF243" s="195">
        <f>IF(ISERROR((DE243/CW243-1)*100),"NA",IF(((DE243/CW243-1)*100)&gt;100,"NM",IF(((DE243/CW243-1)*100)&lt;-50,"NM",(DE243/CW243-1)*100)))</f>
        <v>12.838801711840153</v>
      </c>
      <c r="DG243" s="501">
        <f>DG239-DG242</f>
        <v>74.899999999999977</v>
      </c>
      <c r="DH243" s="195">
        <f>IF(ISERROR((DG243/CY243-1)*100),"NA",IF(((DG243/CY243-1)*100)&gt;100,"NM",IF(((DG243/CY243-1)*100)&lt;-50,"NM",(DG243/CY243-1)*100)))</f>
        <v>5.7909604519774449</v>
      </c>
      <c r="DI243" s="501">
        <f>DI239-DI242</f>
        <v>71</v>
      </c>
      <c r="DJ243" s="195">
        <f>IF(ISERROR((DI243/DA243-1)*100),"NA",IF(((DI243/DA243-1)*100)&gt;100,"NM",IF(((DI243/DA243-1)*100)&lt;-50,"NM",(DI243/DA243-1)*100)))</f>
        <v>3.4985422740524408</v>
      </c>
      <c r="DK243" s="501">
        <f>DK239-DK242</f>
        <v>74</v>
      </c>
      <c r="DL243" s="81">
        <f>IF(ISERROR((DK243/DC243-1)*100),"NA",IF(((DK243/DC243-1)*100)&gt;100,"NM",IF(((DK243/DC243-1)*100)&lt;-50,"NM",(DK243/DC243-1)*100)))</f>
        <v>7.0911722141823619</v>
      </c>
      <c r="DM243" s="501">
        <f>DM239-DM242</f>
        <v>77.599999999999966</v>
      </c>
      <c r="DN243" s="81">
        <f>IF(ISERROR((DM243/DE243-1)*100),"NA",IF(((DM243/DE243-1)*100)&gt;100,"NM",IF(((DM243/DE243-1)*100)&lt;-50,"NM",(DM243/DE243-1)*100)))</f>
        <v>-1.896333754740831</v>
      </c>
      <c r="DO243" s="501">
        <f>DO239-DO242</f>
        <v>77.599999999999966</v>
      </c>
      <c r="DP243" s="81">
        <f>IF(ISERROR((DO243/DG243-1)*100),"NA",IF(((DO243/DG243-1)*100)&gt;100,"NM",IF(((DO243/DG243-1)*100)&lt;-50,"NM",(DO243/DG243-1)*100)))</f>
        <v>3.6048064085447029</v>
      </c>
      <c r="DQ243" s="501">
        <f>DQ239-DQ242</f>
        <v>76.300000000000068</v>
      </c>
      <c r="DR243" s="81">
        <f>IF(ISERROR((DQ243/DI243-1)*100),"NA",IF(((DQ243/DI243-1)*100)&gt;100,"NM",IF(((DQ243/DI243-1)*100)&lt;-50,"NM",(DQ243/DI243-1)*100)))</f>
        <v>7.4647887323944673</v>
      </c>
      <c r="DS243" s="501">
        <f>DS239-DS242</f>
        <v>77.600000000000023</v>
      </c>
      <c r="DT243" s="81">
        <f>IF(ISERROR((DS243/DK243-1)*100),"NA",IF(((DS243/DK243-1)*100)&gt;100,"NM",IF(((DS243/DK243-1)*100)&lt;-50,"NM",(DS243/DK243-1)*100)))</f>
        <v>4.864864864864904</v>
      </c>
      <c r="DU243" s="501">
        <f>DU239-DU242</f>
        <v>77.399999999999977</v>
      </c>
      <c r="DV243" s="81">
        <f>IF(ISERROR((DU243/DM243-1)*100),"NA",IF(((DU243/DM243-1)*100)&gt;100,"NM",IF(((DU243/DM243-1)*100)&lt;-50,"NM",(DU243/DM243-1)*100)))</f>
        <v>-0.25773195876287458</v>
      </c>
      <c r="DW243" s="501">
        <f>DW239-DW242</f>
        <v>77.899999999999977</v>
      </c>
      <c r="DX243" s="81">
        <f>IF(ISERROR((DW243/DO243-1)*100),"NA",IF(((DW243/DO243-1)*100)&gt;100,"NM",IF(((DW243/DO243-1)*100)&lt;-50,"NM",(DW243/DO243-1)*100)))</f>
        <v>0.38659793814435073</v>
      </c>
      <c r="DY243" s="501">
        <f>DY239-DY242</f>
        <v>79</v>
      </c>
      <c r="DZ243" s="81">
        <f>IF(ISERROR((DY243/DQ243-1)*100),"NA",IF(((DY243/DQ243-1)*100)&gt;100,"NM",IF(((DY243/DQ243-1)*100)&lt;-50,"NM",(DY243/DQ243-1)*100)))</f>
        <v>3.5386631716906036</v>
      </c>
      <c r="EA243" s="501">
        <f>EA239-EA242</f>
        <v>79.899999999999977</v>
      </c>
      <c r="EB243" s="81">
        <f>IF(ISERROR((EA243/DS243-1)*100),"NA",IF(((EA243/DS243-1)*100)&gt;100,"NM",IF(((EA243/DS243-1)*100)&lt;-50,"NM",(EA243/DS243-1)*100)))</f>
        <v>2.9639175257731409</v>
      </c>
      <c r="EC243" s="501">
        <f>EC239-EC242</f>
        <v>82.400000000000034</v>
      </c>
      <c r="ED243" s="81">
        <f t="shared" si="778"/>
        <v>6.4599483204135222</v>
      </c>
      <c r="EE243" s="501">
        <f>EE239-EE242</f>
        <v>81.800000000000068</v>
      </c>
      <c r="EF243" s="81">
        <f t="shared" si="779"/>
        <v>5.0064184852375959</v>
      </c>
      <c r="EG243" s="501">
        <f>EG239-EG242</f>
        <v>81.700000000000045</v>
      </c>
      <c r="EH243" s="81">
        <f t="shared" si="780"/>
        <v>3.4177215189874044</v>
      </c>
      <c r="EI243" s="501">
        <f>EI239-EI242</f>
        <v>79.099999999999994</v>
      </c>
      <c r="EJ243" s="81">
        <f t="shared" si="781"/>
        <v>-1.001251564455552</v>
      </c>
      <c r="EK243" s="178">
        <f t="shared" ref="EK243:EQ243" si="786">EK239-EK242</f>
        <v>77.960626999999988</v>
      </c>
      <c r="EL243" s="81">
        <f t="shared" si="782"/>
        <v>-5.3875885922330617</v>
      </c>
      <c r="EM243" s="178">
        <f t="shared" si="786"/>
        <v>78.590878084999986</v>
      </c>
      <c r="EN243" s="81">
        <f t="shared" si="783"/>
        <v>-3.9231319254279695</v>
      </c>
      <c r="EO243" s="178">
        <f t="shared" si="786"/>
        <v>79.409102620624992</v>
      </c>
      <c r="EP243" s="81">
        <f t="shared" si="784"/>
        <v>-2.8040359600673859</v>
      </c>
      <c r="EQ243" s="178">
        <f t="shared" si="786"/>
        <v>80.151668422632156</v>
      </c>
      <c r="ER243" s="81">
        <f t="shared" si="785"/>
        <v>1.3295428857549529</v>
      </c>
      <c r="ES243" s="82"/>
      <c r="ET243" s="465"/>
      <c r="EU243" s="82"/>
      <c r="EV243" s="171"/>
      <c r="EW243" s="79"/>
      <c r="EX243" s="171"/>
      <c r="EY243" s="79"/>
      <c r="EZ243" s="171"/>
      <c r="FA243" s="79"/>
      <c r="FB243" s="171"/>
      <c r="FC243" s="79"/>
      <c r="FD243" s="178">
        <f>FD239-FD242</f>
        <v>137.50000000000011</v>
      </c>
      <c r="FE243" s="79" t="str">
        <f>IF(ISERROR((FD243/FB243-1)*100),"NA",IF(((FD243/FB243-1)*100)&gt;100,"NM",IF(((FD243/FB243-1)*100)&lt;-50,"NM",(FD243/FB243-1)*100)))</f>
        <v>NA</v>
      </c>
      <c r="FF243" s="178">
        <f>FF239-FF242</f>
        <v>146.70000000000005</v>
      </c>
      <c r="FG243" s="79">
        <f>IF(ISERROR((FF243/FD243-1)*100),"NA",IF(((FF243/FD243-1)*100)&gt;100,"NM",IF(((FF243/FD243-1)*100)&lt;-50,"NM",(FF243/FD243-1)*100)))</f>
        <v>6.6909090909090363</v>
      </c>
      <c r="FH243" s="178">
        <f>FH239-FH242</f>
        <v>155.60000000000002</v>
      </c>
      <c r="FI243" s="79">
        <f>IF(ISERROR((FH243/FF243-1)*100),"NA",IF(((FH243/FF243-1)*100)&gt;100,"NM",IF(((FH243/FF243-1)*100)&lt;-50,"NM",(FH243/FF243-1)*100)))</f>
        <v>6.0668029993183215</v>
      </c>
      <c r="FJ243" s="178">
        <f>FJ239-FJ242</f>
        <v>178.55999999999992</v>
      </c>
      <c r="FK243" s="79">
        <f>IF(ISERROR((FJ243/FH243-1)*100),"NA",IF(((FJ243/FH243-1)*100)&gt;100,"NM",IF(((FJ243/FH243-1)*100)&lt;-50,"NM",(FJ243/FH243-1)*100)))</f>
        <v>14.755784061696598</v>
      </c>
      <c r="FL243" s="178">
        <f>FL239-FL242</f>
        <v>198.70000000000027</v>
      </c>
      <c r="FM243" s="79">
        <f>IF(ISERROR((FL243/FJ243-1)*100),"NA",IF(((FL243/FJ243-1)*100)&gt;100,"NM",IF(((FL243/FJ243-1)*100)&lt;-50,"NM",(FL243/FJ243-1)*100)))</f>
        <v>11.279121863799491</v>
      </c>
      <c r="FN243" s="178">
        <f>FN239-FN242</f>
        <v>245.70000000000005</v>
      </c>
      <c r="FO243" s="79">
        <f>IF(ISERROR((FN243/FL243-1)*100),"NA",IF(((FN243/FL243-1)*100)&gt;100,"NM",IF(((FN243/FL243-1)*100)&lt;-50,"NM",(FN243/FL243-1)*100)))</f>
        <v>23.653749370910781</v>
      </c>
      <c r="FP243" s="178">
        <f>FP239-FP242</f>
        <v>268.10000000000014</v>
      </c>
      <c r="FQ243" s="79">
        <f>IF(ISERROR((FP243/FN243-1)*100),"NA",IF(((FP243/FN243-1)*100)&gt;100,"NM",IF(((FP243/FN243-1)*100)&lt;-50,"NM",(FP243/FN243-1)*100)))</f>
        <v>9.1168091168091436</v>
      </c>
      <c r="FR243" s="178">
        <f>FR239-FR242</f>
        <v>269.10000000000014</v>
      </c>
      <c r="FS243" s="79">
        <f>IF(ISERROR((FR243/FP243-1)*100),"NA",IF(((FR243/FP243-1)*100)&gt;100,"NM",IF(((FR243/FP243-1)*100)&lt;-50,"NM",(FR243/FP243-1)*100)))</f>
        <v>0.37299515106303804</v>
      </c>
      <c r="FT243" s="178">
        <f>FT239-FT242</f>
        <v>269.69999999999982</v>
      </c>
      <c r="FU243" s="79">
        <f>IF(ISERROR((FT243/FR243-1)*100),"NA",IF(((FT243/FR243-1)*100)&gt;100,"NM",IF(((FT243/FR243-1)*100)&lt;-50,"NM",(FT243/FR243-1)*100)))</f>
        <v>0.22296544035662613</v>
      </c>
      <c r="FV243" s="178">
        <f>FV239-FV242</f>
        <v>266.09999999999991</v>
      </c>
      <c r="FW243" s="79">
        <f>IF(ISERROR((FV243/FT243-1)*100),"NA",IF(((FV243/FT243-1)*100)&gt;100,"NM",IF(((FV243/FT243-1)*100)&lt;-50,"NM",(FV243/FT243-1)*100)))</f>
        <v>-1.3348164627363435</v>
      </c>
      <c r="FX243" s="178">
        <f>FX239-FX242</f>
        <v>273.39999999999986</v>
      </c>
      <c r="FY243" s="79">
        <f>IF(ISERROR((FX243/FV243-1)*100),"NA",IF(((FX243/FV243-1)*100)&gt;100,"NM",IF(((FX243/FV243-1)*100)&lt;-50,"NM",(FX243/FV243-1)*100)))</f>
        <v>2.7433295753475972</v>
      </c>
      <c r="FZ243" s="178">
        <f>FZ239-FZ242</f>
        <v>278.60000000000002</v>
      </c>
      <c r="GA243" s="79">
        <f>IF(ISERROR((FZ243/FX243-1)*100),"NA",IF(((FZ243/FX243-1)*100)&gt;100,"NM",IF(((FZ243/FX243-1)*100)&lt;-50,"NM",(FZ243/FX243-1)*100)))</f>
        <v>1.9019751280176189</v>
      </c>
      <c r="GB243" s="178">
        <f>GB239-GB242</f>
        <v>298.99999999999977</v>
      </c>
      <c r="GC243" s="79">
        <f>IF(ISERROR((GB243/FZ243-1)*100),"NA",IF(((GB243/FZ243-1)*100)&gt;100,"NM",IF(((GB243/FZ243-1)*100)&lt;-50,"NM",(GB243/FZ243-1)*100)))</f>
        <v>7.3223259152906506</v>
      </c>
      <c r="GD243" s="178">
        <f>GD239-GD242</f>
        <v>309.09999999999991</v>
      </c>
      <c r="GE243" s="79">
        <f>IF(ISERROR((GD243/GB243-1)*100),"NA",IF(((GD243/GB243-1)*100)&gt;100,"NM",IF(((GD243/GB243-1)*100)&lt;-50,"NM",(GD243/GB243-1)*100)))</f>
        <v>3.3779264214047311</v>
      </c>
      <c r="GF243" s="178">
        <f>GF239-GF242</f>
        <v>314.20000000000005</v>
      </c>
      <c r="GG243" s="79">
        <f>IF(ISERROR((GF243/GD243-1)*100),"NA",IF(((GF243/GD243-1)*100)&gt;100,"NM",IF(((GF243/GD243-1)*100)&lt;-50,"NM",(GF243/GD243-1)*100)))</f>
        <v>1.649951472015565</v>
      </c>
      <c r="GH243" s="178">
        <f>GH239-GH242</f>
        <v>325.00000000000011</v>
      </c>
      <c r="GI243" s="79">
        <f>IF(ISERROR((GH243/GF243-1)*100),"NA",IF(((GH243/GF243-1)*100)&gt;100,"NM",IF(((GH243/GF243-1)*100)&lt;-50,"NM",(GH243/GF243-1)*100)))</f>
        <v>3.437301082113331</v>
      </c>
      <c r="GJ243" s="178">
        <f>GJ239-GJ242</f>
        <v>316.11227612825701</v>
      </c>
      <c r="GK243" s="79">
        <f>IF(ISERROR((GJ243/GH243-1)*100),"NA",IF(((GJ243/GH243-1)*100)&gt;100,"NM",IF(((GJ243/GH243-1)*100)&lt;-50,"NM",(GJ243/GH243-1)*100)))</f>
        <v>-2.7346842682286487</v>
      </c>
      <c r="GL243" s="178">
        <f>GL239-GL242</f>
        <v>319.20591431074467</v>
      </c>
      <c r="GM243" s="79">
        <f>IF(ISERROR((GL243/GJ243-1)*100),"NA",IF(((GL243/GJ243-1)*100)&gt;100,"NM",IF(((GL243/GJ243-1)*100)&lt;-50,"NM",(GL243/GJ243-1)*100)))</f>
        <v>0.9786517057732036</v>
      </c>
      <c r="GN243" s="178">
        <f>GN239-GN242</f>
        <v>325.64179352595966</v>
      </c>
      <c r="GO243" s="79">
        <f>IF(ISERROR((GN243/GL243-1)*100),"NA",IF(((GN243/GL243-1)*100)&gt;100,"NM",IF(((GN243/GL243-1)*100)&lt;-50,"NM",(GN243/GL243-1)*100)))</f>
        <v>2.0162155294371154</v>
      </c>
      <c r="GP243" s="178">
        <f>GP239-GP242</f>
        <v>333.91469964775729</v>
      </c>
      <c r="GQ243" s="79">
        <f>IF(ISERROR((GP243/GN243-1)*100),"NA",IF(((GP243/GN243-1)*100)&gt;100,"NM",IF(((GP243/GN243-1)*100)&lt;-50,"NM",(GP243/GN243-1)*100)))</f>
        <v>2.540492739651401</v>
      </c>
      <c r="GR243" s="178">
        <f>GR239-GR242</f>
        <v>340.65225472832435</v>
      </c>
      <c r="GS243" s="79">
        <f>IF(ISERROR((GR243/GP243-1)*100),"NA",IF(((GR243/GP243-1)*100)&gt;100,"NM",IF(((GR243/GP243-1)*100)&lt;-50,"NM",(GR243/GP243-1)*100)))</f>
        <v>2.0177473731088913</v>
      </c>
      <c r="GT243" s="79">
        <f>IF(ISERROR(((GR243/GH243)^0.2-1)*100),"NA",(IF(OR(((GR243/GH243)^0.2-1)*100&gt;99,((GR243/GH243)^0.2-1)*100&lt;-50),"NM",(((GR243/GH243)^0.2-1)*100))))</f>
        <v>0.94517874140382929</v>
      </c>
    </row>
    <row r="244" spans="1:286" ht="12.75" customHeight="1" x14ac:dyDescent="0.2">
      <c r="A244" s="1"/>
      <c r="B244" s="2" t="s">
        <v>236</v>
      </c>
      <c r="C244" s="79"/>
      <c r="D244" s="79"/>
      <c r="E244" s="156">
        <f>+E243/E224*100</f>
        <v>18.103940605368354</v>
      </c>
      <c r="F244" s="171"/>
      <c r="G244" s="156">
        <f>+G243/G224*100</f>
        <v>20.114613180515757</v>
      </c>
      <c r="H244" s="171"/>
      <c r="I244" s="156">
        <f>+I243/I224*100</f>
        <v>19.46952595936796</v>
      </c>
      <c r="J244" s="171"/>
      <c r="K244" s="156">
        <f>+K243/K224*100</f>
        <v>21.374490390215488</v>
      </c>
      <c r="L244" s="140"/>
      <c r="M244" s="156">
        <f>+M243/M224*100</f>
        <v>18.75</v>
      </c>
      <c r="N244" s="79"/>
      <c r="O244" s="156">
        <f>+O243/O224*100</f>
        <v>19.130925507900681</v>
      </c>
      <c r="P244" s="79"/>
      <c r="Q244" s="156">
        <f>+Q243/Q224*100</f>
        <v>18.797814207650276</v>
      </c>
      <c r="R244" s="79"/>
      <c r="S244" s="156">
        <f>+S243/S224*100</f>
        <v>19.695321001088146</v>
      </c>
      <c r="T244" s="79"/>
      <c r="U244" s="156">
        <f>+U243/U224*100</f>
        <v>18.352450469238772</v>
      </c>
      <c r="V244" s="79"/>
      <c r="W244" s="156">
        <f>+W243/W224*100</f>
        <v>18.238021638330746</v>
      </c>
      <c r="X244" s="79"/>
      <c r="Y244" s="156">
        <f>+Y243/Y224*100</f>
        <v>19.51343132285859</v>
      </c>
      <c r="Z244" s="79"/>
      <c r="AA244" s="252">
        <f>+AA243/AA224*100</f>
        <v>18.540433925049307</v>
      </c>
      <c r="AB244" s="79"/>
      <c r="AC244" s="156">
        <f>+AC243/AC224*100</f>
        <v>17.923604309500472</v>
      </c>
      <c r="AD244" s="79"/>
      <c r="AE244" s="156">
        <f>+AE243/AE224*100</f>
        <v>18.905950095969292</v>
      </c>
      <c r="AF244" s="79"/>
      <c r="AG244" s="156">
        <f>+AG243/AG224*100</f>
        <v>18.803418803418801</v>
      </c>
      <c r="AH244" s="79"/>
      <c r="AI244" s="156">
        <f>+AI243/AI224*100</f>
        <v>18.63932898415657</v>
      </c>
      <c r="AJ244" s="79"/>
      <c r="AK244" s="156">
        <f>+AK243/AK224*100</f>
        <v>19.936276741010474</v>
      </c>
      <c r="AL244" s="79"/>
      <c r="AM244" s="156">
        <f>+AM243/AM224*100</f>
        <v>19.827194179172363</v>
      </c>
      <c r="AN244" s="79"/>
      <c r="AO244" s="156">
        <f>+AO243/AO224*100</f>
        <v>18.910400720396218</v>
      </c>
      <c r="AP244" s="79"/>
      <c r="AQ244" s="156">
        <f>+AQ243/AQ224*100</f>
        <v>21.781125387682764</v>
      </c>
      <c r="AR244" s="79"/>
      <c r="AS244" s="156">
        <f>+AS243/AS224*100</f>
        <v>20.487804878048788</v>
      </c>
      <c r="AT244" s="81"/>
      <c r="AU244" s="156">
        <f>+AU243/AU224*100</f>
        <v>21.38876982426061</v>
      </c>
      <c r="AV244" s="81"/>
      <c r="AW244" s="156">
        <f>+AW243/AW224*100</f>
        <v>22.020287404902795</v>
      </c>
      <c r="AX244" s="81"/>
      <c r="AY244" s="156">
        <f>+AY243/AY224*100</f>
        <v>20.91963545981773</v>
      </c>
      <c r="AZ244" s="81"/>
      <c r="BA244" s="156">
        <f>+BA243/BA224*100</f>
        <v>24.022571543732365</v>
      </c>
      <c r="BB244" s="81"/>
      <c r="BC244" s="156">
        <f>+BC243/BC224*100</f>
        <v>25.960000000000015</v>
      </c>
      <c r="BD244" s="81"/>
      <c r="BE244" s="156">
        <f>+BE243/BE224*100</f>
        <v>24.742268041237107</v>
      </c>
      <c r="BF244" s="81"/>
      <c r="BG244" s="156">
        <f>+BG243/BG224*100</f>
        <v>22.826086956521753</v>
      </c>
      <c r="BH244" s="81"/>
      <c r="BI244" s="156">
        <f>+BI243/BI224*100</f>
        <v>25.300300300300293</v>
      </c>
      <c r="BJ244" s="81"/>
      <c r="BK244" s="156">
        <f>+BK243/BK224*100</f>
        <v>25.343738387216664</v>
      </c>
      <c r="BL244" s="81"/>
      <c r="BM244" s="156">
        <f>+BM243/BM224*100</f>
        <v>24.35614422369391</v>
      </c>
      <c r="BN244" s="81"/>
      <c r="BO244" s="156">
        <f>+BO243/BO224*100</f>
        <v>24.013038754074611</v>
      </c>
      <c r="BP244" s="81"/>
      <c r="BQ244" s="156">
        <f>+BQ243/BQ224*100</f>
        <v>25.222340803984356</v>
      </c>
      <c r="BR244" s="81"/>
      <c r="BS244" s="156">
        <f>+BS243/BS224*100</f>
        <v>25.518969219756631</v>
      </c>
      <c r="BT244" s="81"/>
      <c r="BU244" s="156">
        <f>+BU243/BU224*100</f>
        <v>24.876325088339225</v>
      </c>
      <c r="BV244" s="81"/>
      <c r="BW244" s="156">
        <f>+BW243/BW224*100</f>
        <v>23.847765363128477</v>
      </c>
      <c r="BX244" s="81"/>
      <c r="BY244" s="156">
        <f>+BY243/BY224*100</f>
        <v>23.78048780487806</v>
      </c>
      <c r="BZ244" s="81"/>
      <c r="CA244" s="156">
        <f>+CA243/CA224*100</f>
        <v>23.931336250420713</v>
      </c>
      <c r="CB244" s="81"/>
      <c r="CC244" s="156">
        <f>+CC243/CC224*100</f>
        <v>23.556735235567359</v>
      </c>
      <c r="CD244" s="81"/>
      <c r="CE244" s="156">
        <f>+CE243/CE224*100</f>
        <v>18.807339449541296</v>
      </c>
      <c r="CF244" s="81"/>
      <c r="CG244" s="156">
        <f>+CG243/CG224*100</f>
        <v>21.327774214239884</v>
      </c>
      <c r="CH244" s="81"/>
      <c r="CI244" s="156">
        <f>+CI243/CI224*100</f>
        <v>21.352201257861626</v>
      </c>
      <c r="CJ244" s="81"/>
      <c r="CK244" s="156">
        <f>+CK243/CK224*100</f>
        <v>21.087575086942788</v>
      </c>
      <c r="CL244" s="81"/>
      <c r="CM244" s="156">
        <f>+CM243/CM224*100</f>
        <v>20.180068301769623</v>
      </c>
      <c r="CN244" s="81"/>
      <c r="CO244" s="156">
        <f>+CO243/CO224*100</f>
        <v>20.993975903614455</v>
      </c>
      <c r="CP244" s="81"/>
      <c r="CQ244" s="156">
        <f>+CQ243/CQ224*100</f>
        <v>20.422960725075516</v>
      </c>
      <c r="CR244" s="81"/>
      <c r="CS244" s="156">
        <f>+CS243/CS224*100</f>
        <v>20.612061206120593</v>
      </c>
      <c r="CT244" s="81"/>
      <c r="CU244" s="156">
        <f>+CU243/CU224*100</f>
        <v>20.261050133491551</v>
      </c>
      <c r="CV244" s="81"/>
      <c r="CW244" s="156">
        <f>+CW243/CW224*100</f>
        <v>20.230880230880238</v>
      </c>
      <c r="CX244" s="81"/>
      <c r="CY244" s="156">
        <f>+CY243/CY224*100</f>
        <v>20.7017543859649</v>
      </c>
      <c r="CZ244" s="81"/>
      <c r="DA244" s="156">
        <f>+DA243/DA224*100</f>
        <v>19.884057971014499</v>
      </c>
      <c r="DB244" s="81"/>
      <c r="DC244" s="156">
        <f>+DC243/DC224*100</f>
        <v>20.145772594752184</v>
      </c>
      <c r="DD244" s="81"/>
      <c r="DE244" s="156">
        <f>+DE243/DE224*100</f>
        <v>22.41428166619438</v>
      </c>
      <c r="DF244" s="81"/>
      <c r="DG244" s="156">
        <f>+DG243/DG224*100</f>
        <v>21.236178055004249</v>
      </c>
      <c r="DH244" s="81"/>
      <c r="DI244" s="156">
        <f>+DI243/DI224*100</f>
        <v>20</v>
      </c>
      <c r="DJ244" s="81"/>
      <c r="DK244" s="156">
        <f>+DK243/DK224*100</f>
        <v>20.630052969054919</v>
      </c>
      <c r="DL244" s="81"/>
      <c r="DM244" s="156">
        <f>+DM243/DM224*100</f>
        <v>21.018418201516784</v>
      </c>
      <c r="DN244" s="81"/>
      <c r="DO244" s="156">
        <f>+DO243/DO224*100</f>
        <v>20.815450643776817</v>
      </c>
      <c r="DP244" s="81"/>
      <c r="DQ244" s="156">
        <f>+DQ243/DQ224*100</f>
        <v>20.671904632890833</v>
      </c>
      <c r="DR244" s="81"/>
      <c r="DS244" s="156">
        <f>+DS243/DS224*100</f>
        <v>20.804289544235932</v>
      </c>
      <c r="DT244" s="81"/>
      <c r="DU244" s="156">
        <f>+DU243/DU224*100</f>
        <v>20.077821011673148</v>
      </c>
      <c r="DV244" s="81"/>
      <c r="DW244" s="156">
        <f>+DW243/DW224*100</f>
        <v>20.1136070229796</v>
      </c>
      <c r="DX244" s="81"/>
      <c r="DY244" s="156">
        <f>+DY243/DY224*100</f>
        <v>20.225294418842804</v>
      </c>
      <c r="DZ244" s="81"/>
      <c r="EA244" s="156">
        <f>+EA243/EA224*100</f>
        <v>20.156407669021188</v>
      </c>
      <c r="EB244" s="81"/>
      <c r="EC244" s="156">
        <f>+EC243/EC224*100</f>
        <v>20.112277276055661</v>
      </c>
      <c r="ED244" s="81"/>
      <c r="EE244" s="156">
        <f>+EE243/EE224*100</f>
        <v>19.796708615682494</v>
      </c>
      <c r="EF244" s="81"/>
      <c r="EG244" s="156">
        <f>+EG243/EG224*100</f>
        <v>19.686746987951818</v>
      </c>
      <c r="EH244" s="81"/>
      <c r="EI244" s="156">
        <f>+EI243/EI224*100</f>
        <v>18.855780691299167</v>
      </c>
      <c r="EJ244" s="81"/>
      <c r="EK244" s="156">
        <f t="shared" ref="EK244:EQ244" si="787">+EK243/EK224*100</f>
        <v>18.242868993339158</v>
      </c>
      <c r="EL244" s="81"/>
      <c r="EM244" s="156">
        <f t="shared" si="787"/>
        <v>18.05762105149979</v>
      </c>
      <c r="EN244" s="81"/>
      <c r="EO244" s="156">
        <f t="shared" si="787"/>
        <v>17.906393918955192</v>
      </c>
      <c r="EP244" s="81"/>
      <c r="EQ244" s="156">
        <f t="shared" si="787"/>
        <v>17.74185840713541</v>
      </c>
      <c r="ER244" s="81"/>
      <c r="ES244" s="82"/>
      <c r="ET244" s="465"/>
      <c r="EU244" s="82"/>
      <c r="EV244" s="171"/>
      <c r="EW244" s="79"/>
      <c r="EX244" s="171"/>
      <c r="EY244" s="79"/>
      <c r="EZ244" s="171"/>
      <c r="FA244" s="79"/>
      <c r="FB244" s="171"/>
      <c r="FC244" s="79"/>
      <c r="FD244" s="178"/>
      <c r="FE244" s="79"/>
      <c r="FF244" s="178"/>
      <c r="FG244" s="79"/>
      <c r="FH244" s="178"/>
      <c r="FI244" s="79"/>
      <c r="FJ244" s="178"/>
      <c r="FK244" s="79"/>
      <c r="FL244" s="178"/>
      <c r="FM244" s="79"/>
      <c r="FN244" s="178"/>
      <c r="FO244" s="79"/>
      <c r="FP244" s="178"/>
      <c r="FQ244" s="79"/>
      <c r="FR244" s="178"/>
      <c r="FS244" s="79"/>
      <c r="FT244" s="178"/>
      <c r="FU244" s="79"/>
      <c r="FV244" s="178"/>
      <c r="FW244" s="79"/>
      <c r="FX244" s="178"/>
      <c r="FY244" s="79"/>
      <c r="FZ244" s="178"/>
      <c r="GA244" s="79"/>
      <c r="GB244" s="178"/>
      <c r="GC244" s="79"/>
      <c r="GD244" s="178"/>
      <c r="GE244" s="79"/>
      <c r="GF244" s="178"/>
      <c r="GG244" s="79"/>
      <c r="GH244" s="178"/>
      <c r="GI244" s="79"/>
      <c r="GJ244" s="178"/>
      <c r="GK244" s="79"/>
      <c r="GL244" s="178"/>
      <c r="GM244" s="79"/>
      <c r="GN244" s="178"/>
      <c r="GO244" s="79"/>
      <c r="GP244" s="178"/>
      <c r="GQ244" s="79"/>
      <c r="GR244" s="178"/>
      <c r="GS244" s="79"/>
      <c r="GT244" s="79"/>
    </row>
    <row r="245" spans="1:286" ht="12.75" customHeight="1" x14ac:dyDescent="0.2">
      <c r="A245" s="1"/>
      <c r="C245" s="79"/>
      <c r="D245" s="79"/>
      <c r="E245" s="185"/>
      <c r="F245" s="185"/>
      <c r="G245" s="185"/>
      <c r="H245" s="185"/>
      <c r="I245" s="185"/>
      <c r="J245" s="185"/>
      <c r="K245" s="185"/>
      <c r="L245" s="79"/>
      <c r="M245" s="185"/>
      <c r="N245" s="79"/>
      <c r="O245" s="185"/>
      <c r="P245" s="79"/>
      <c r="Q245" s="185"/>
      <c r="R245" s="79"/>
      <c r="S245" s="185"/>
      <c r="T245" s="79"/>
      <c r="U245" s="185"/>
      <c r="V245" s="79"/>
      <c r="W245" s="185"/>
      <c r="X245" s="79"/>
      <c r="Y245" s="185"/>
      <c r="Z245" s="79"/>
      <c r="AA245" s="252"/>
      <c r="AB245" s="79"/>
      <c r="AC245" s="185"/>
      <c r="AD245" s="79"/>
      <c r="AE245" s="185"/>
      <c r="AF245" s="79"/>
      <c r="AG245" s="185"/>
      <c r="AH245" s="79"/>
      <c r="AI245" s="185"/>
      <c r="AJ245" s="79"/>
      <c r="AK245" s="185"/>
      <c r="AL245" s="79"/>
      <c r="AM245" s="185"/>
      <c r="AN245" s="79"/>
      <c r="AO245" s="185"/>
      <c r="AP245" s="79"/>
      <c r="AQ245" s="185"/>
      <c r="AR245" s="79"/>
      <c r="AS245" s="185"/>
      <c r="AT245" s="81"/>
      <c r="AU245" s="185"/>
      <c r="AV245" s="81"/>
      <c r="AW245" s="185"/>
      <c r="AX245" s="81"/>
      <c r="AY245" s="185"/>
      <c r="AZ245" s="81"/>
      <c r="BA245" s="185"/>
      <c r="BB245" s="81"/>
      <c r="BC245" s="185"/>
      <c r="BD245" s="81"/>
      <c r="BE245" s="185"/>
      <c r="BF245" s="81"/>
      <c r="BG245" s="185"/>
      <c r="BH245" s="81"/>
      <c r="BI245" s="185"/>
      <c r="BJ245" s="81"/>
      <c r="BK245" s="185"/>
      <c r="BL245" s="81"/>
      <c r="BM245" s="185"/>
      <c r="BN245" s="81"/>
      <c r="BO245" s="185"/>
      <c r="BP245" s="81"/>
      <c r="BQ245" s="185"/>
      <c r="BR245" s="81"/>
      <c r="BS245" s="185"/>
      <c r="BT245" s="81"/>
      <c r="BU245" s="185"/>
      <c r="BV245" s="81"/>
      <c r="BW245" s="185"/>
      <c r="BX245" s="81"/>
      <c r="BY245" s="185"/>
      <c r="BZ245" s="81"/>
      <c r="CA245" s="185"/>
      <c r="CB245" s="81"/>
      <c r="CC245" s="185"/>
      <c r="CD245" s="81"/>
      <c r="CE245" s="185"/>
      <c r="CF245" s="81"/>
      <c r="CG245" s="185"/>
      <c r="CH245" s="81"/>
      <c r="CI245" s="185"/>
      <c r="CJ245" s="81"/>
      <c r="CK245" s="185"/>
      <c r="CL245" s="81"/>
      <c r="CM245" s="185"/>
      <c r="CN245" s="81"/>
      <c r="CO245" s="185"/>
      <c r="CP245" s="81"/>
      <c r="CQ245" s="185"/>
      <c r="CR245" s="81"/>
      <c r="CS245" s="185"/>
      <c r="CT245" s="81"/>
      <c r="CU245" s="185"/>
      <c r="CV245" s="81"/>
      <c r="CW245" s="185"/>
      <c r="CX245" s="81"/>
      <c r="CY245" s="185"/>
      <c r="CZ245" s="81"/>
      <c r="DA245" s="185"/>
      <c r="DB245" s="81"/>
      <c r="DC245" s="185"/>
      <c r="DD245" s="81"/>
      <c r="DE245" s="185"/>
      <c r="DF245" s="81"/>
      <c r="DG245" s="185"/>
      <c r="DH245" s="81"/>
      <c r="DI245" s="185"/>
      <c r="DJ245" s="81"/>
      <c r="DK245" s="185"/>
      <c r="DL245" s="81"/>
      <c r="DM245" s="185"/>
      <c r="DN245" s="81"/>
      <c r="DO245" s="185"/>
      <c r="DP245" s="81"/>
      <c r="DQ245" s="913"/>
      <c r="DR245" s="81"/>
      <c r="DS245" s="913"/>
      <c r="DT245" s="81"/>
      <c r="DU245" s="913"/>
      <c r="DV245" s="81"/>
      <c r="DW245" s="913"/>
      <c r="DX245" s="81"/>
      <c r="DY245" s="913"/>
      <c r="DZ245" s="81"/>
      <c r="EA245" s="913"/>
      <c r="EB245" s="81"/>
      <c r="EC245" s="913"/>
      <c r="ED245" s="81"/>
      <c r="EE245" s="913"/>
      <c r="EF245" s="81"/>
      <c r="EG245" s="913"/>
      <c r="EH245" s="81"/>
      <c r="EI245" s="913"/>
      <c r="EJ245" s="81"/>
      <c r="EK245" s="185"/>
      <c r="EL245" s="81"/>
      <c r="EM245" s="185"/>
      <c r="EN245" s="81"/>
      <c r="EO245" s="185"/>
      <c r="EP245" s="81"/>
      <c r="EQ245" s="185"/>
      <c r="ER245" s="81"/>
      <c r="ES245" s="129"/>
      <c r="ET245" s="469"/>
      <c r="EU245" s="129"/>
      <c r="EV245" s="185"/>
      <c r="EW245" s="79"/>
      <c r="EX245" s="185"/>
      <c r="EY245" s="79"/>
      <c r="EZ245" s="185"/>
      <c r="FA245" s="79"/>
      <c r="FB245" s="185"/>
      <c r="FC245" s="79"/>
      <c r="FD245" s="185"/>
      <c r="FE245" s="79"/>
      <c r="FF245" s="185"/>
      <c r="FG245" s="79"/>
      <c r="FH245" s="185"/>
      <c r="FI245" s="79"/>
      <c r="FJ245" s="185"/>
      <c r="FK245" s="79"/>
      <c r="FL245" s="185"/>
      <c r="FM245" s="79"/>
      <c r="FN245" s="185"/>
      <c r="FO245" s="79"/>
      <c r="FP245" s="185"/>
      <c r="FQ245" s="79"/>
      <c r="FR245" s="185"/>
      <c r="FS245" s="79"/>
      <c r="FT245" s="185"/>
      <c r="FU245" s="79"/>
      <c r="FV245" s="185"/>
      <c r="FW245" s="79"/>
      <c r="FX245" s="185"/>
      <c r="FY245" s="79"/>
      <c r="FZ245" s="185"/>
      <c r="GA245" s="79"/>
      <c r="GB245" s="185"/>
      <c r="GC245" s="79"/>
      <c r="GD245" s="185"/>
      <c r="GE245" s="79"/>
      <c r="GF245" s="185"/>
      <c r="GG245" s="79"/>
      <c r="GH245" s="185"/>
      <c r="GI245" s="79"/>
      <c r="GJ245" s="185"/>
      <c r="GK245" s="79"/>
      <c r="GL245" s="185"/>
      <c r="GM245" s="79"/>
      <c r="GN245" s="185"/>
      <c r="GO245" s="79"/>
      <c r="GP245" s="185"/>
      <c r="GQ245" s="79"/>
      <c r="GR245" s="185"/>
      <c r="GS245" s="79"/>
      <c r="GT245" s="79"/>
    </row>
    <row r="246" spans="1:286" ht="12.75" customHeight="1" x14ac:dyDescent="0.2">
      <c r="A246" s="1"/>
      <c r="B246" s="83" t="s">
        <v>389</v>
      </c>
      <c r="C246" s="79"/>
      <c r="D246" s="79"/>
      <c r="E246" s="185"/>
      <c r="F246" s="185"/>
      <c r="G246" s="185"/>
      <c r="H246" s="185"/>
      <c r="I246" s="185"/>
      <c r="J246" s="185"/>
      <c r="K246" s="185"/>
      <c r="L246" s="79"/>
      <c r="M246" s="185"/>
      <c r="N246" s="79"/>
      <c r="O246" s="185"/>
      <c r="P246" s="79"/>
      <c r="Q246" s="185"/>
      <c r="R246" s="79"/>
      <c r="S246" s="185"/>
      <c r="T246" s="79"/>
      <c r="U246" s="185"/>
      <c r="V246" s="79"/>
      <c r="W246" s="185"/>
      <c r="X246" s="79"/>
      <c r="Y246" s="185"/>
      <c r="Z246" s="79"/>
      <c r="AA246" s="252"/>
      <c r="AB246" s="79"/>
      <c r="AC246" s="185"/>
      <c r="AD246" s="79"/>
      <c r="AE246" s="185"/>
      <c r="AF246" s="79"/>
      <c r="AG246" s="185"/>
      <c r="AH246" s="79"/>
      <c r="AI246" s="185"/>
      <c r="AJ246" s="79"/>
      <c r="AK246" s="185"/>
      <c r="AL246" s="79"/>
      <c r="AM246" s="185"/>
      <c r="AN246" s="79"/>
      <c r="AO246" s="185"/>
      <c r="AP246" s="79"/>
      <c r="AQ246" s="185"/>
      <c r="AR246" s="79"/>
      <c r="AS246" s="185"/>
      <c r="AT246" s="81"/>
      <c r="AU246" s="185"/>
      <c r="AV246" s="81"/>
      <c r="AW246" s="185"/>
      <c r="AX246" s="81"/>
      <c r="AY246" s="185"/>
      <c r="AZ246" s="81"/>
      <c r="BA246" s="185"/>
      <c r="BB246" s="81"/>
      <c r="BC246" s="185"/>
      <c r="BD246" s="81"/>
      <c r="BE246" s="185"/>
      <c r="BF246" s="81"/>
      <c r="BG246" s="185"/>
      <c r="BH246" s="81"/>
      <c r="BI246" s="185"/>
      <c r="BJ246" s="81"/>
      <c r="BK246" s="185"/>
      <c r="BL246" s="81"/>
      <c r="BM246" s="185"/>
      <c r="BN246" s="81"/>
      <c r="BO246" s="185"/>
      <c r="BP246" s="81"/>
      <c r="BQ246" s="185"/>
      <c r="BR246" s="81"/>
      <c r="BS246" s="185"/>
      <c r="BT246" s="81"/>
      <c r="BU246" s="185"/>
      <c r="BV246" s="81"/>
      <c r="BW246" s="185"/>
      <c r="BX246" s="81"/>
      <c r="BY246" s="185"/>
      <c r="BZ246" s="81"/>
      <c r="CA246" s="185"/>
      <c r="CB246" s="81"/>
      <c r="CC246" s="185"/>
      <c r="CD246" s="81"/>
      <c r="CE246" s="185"/>
      <c r="CF246" s="81"/>
      <c r="CG246" s="185"/>
      <c r="CH246" s="81"/>
      <c r="CI246" s="185"/>
      <c r="CJ246" s="81"/>
      <c r="CK246" s="185"/>
      <c r="CL246" s="81"/>
      <c r="CM246" s="185"/>
      <c r="CN246" s="81"/>
      <c r="CO246" s="185"/>
      <c r="CP246" s="81"/>
      <c r="CQ246" s="185"/>
      <c r="CR246" s="81"/>
      <c r="CS246" s="185"/>
      <c r="CT246" s="81"/>
      <c r="CU246" s="185"/>
      <c r="CV246" s="81"/>
      <c r="CW246" s="185"/>
      <c r="CX246" s="81"/>
      <c r="CY246" s="185"/>
      <c r="CZ246" s="81"/>
      <c r="DA246" s="185"/>
      <c r="DB246" s="81"/>
      <c r="DC246" s="185"/>
      <c r="DD246" s="81"/>
      <c r="DE246" s="185"/>
      <c r="DF246" s="81"/>
      <c r="DG246" s="185"/>
      <c r="DH246" s="81"/>
      <c r="DI246" s="185"/>
      <c r="DJ246" s="81"/>
      <c r="DK246" s="185"/>
      <c r="DL246" s="81"/>
      <c r="DM246" s="185"/>
      <c r="DN246" s="81"/>
      <c r="DO246" s="185"/>
      <c r="DP246" s="81"/>
      <c r="DQ246" s="185"/>
      <c r="DR246" s="81"/>
      <c r="DS246" s="185"/>
      <c r="DT246" s="81"/>
      <c r="DU246" s="185"/>
      <c r="DV246" s="81"/>
      <c r="DW246" s="185"/>
      <c r="DX246" s="81"/>
      <c r="DY246" s="185"/>
      <c r="DZ246" s="81"/>
      <c r="EA246" s="185"/>
      <c r="EB246" s="81"/>
      <c r="EC246" s="185"/>
      <c r="ED246" s="81"/>
      <c r="EE246" s="185"/>
      <c r="EF246" s="81"/>
      <c r="EG246" s="185"/>
      <c r="EH246" s="81"/>
      <c r="EI246" s="185"/>
      <c r="EJ246" s="81"/>
      <c r="EK246" s="185"/>
      <c r="EL246" s="81"/>
      <c r="EM246" s="185"/>
      <c r="EN246" s="81"/>
      <c r="EO246" s="185"/>
      <c r="EP246" s="81"/>
      <c r="EQ246" s="185"/>
      <c r="ER246" s="81"/>
      <c r="ES246" s="129"/>
      <c r="ET246" s="469"/>
      <c r="EU246" s="129"/>
      <c r="EV246" s="185"/>
      <c r="EW246" s="79"/>
      <c r="EX246" s="185"/>
      <c r="EY246" s="79"/>
      <c r="EZ246" s="185"/>
      <c r="FA246" s="79"/>
      <c r="FB246" s="185"/>
      <c r="FC246" s="79"/>
      <c r="FD246" s="185"/>
      <c r="FE246" s="79"/>
      <c r="FF246" s="185"/>
      <c r="FG246" s="79"/>
      <c r="FH246" s="185"/>
      <c r="FI246" s="79"/>
      <c r="FJ246" s="185"/>
      <c r="FK246" s="79"/>
      <c r="FL246" s="185"/>
      <c r="FM246" s="79"/>
      <c r="FN246" s="185"/>
      <c r="FO246" s="79"/>
      <c r="FP246" s="185"/>
      <c r="FQ246" s="79"/>
      <c r="FR246" s="185"/>
      <c r="FS246" s="79"/>
      <c r="FT246" s="185"/>
      <c r="FU246" s="79"/>
      <c r="FV246" s="185"/>
      <c r="FW246" s="79"/>
      <c r="FX246" s="185"/>
      <c r="FY246" s="79"/>
      <c r="FZ246" s="185"/>
      <c r="GA246" s="79"/>
      <c r="GB246" s="185"/>
      <c r="GC246" s="79"/>
      <c r="GD246" s="185"/>
      <c r="GE246" s="79"/>
      <c r="GF246" s="185"/>
      <c r="GG246" s="79"/>
      <c r="GH246" s="185"/>
      <c r="GI246" s="79"/>
      <c r="GJ246" s="185"/>
      <c r="GK246" s="79"/>
      <c r="GL246" s="185"/>
      <c r="GM246" s="79"/>
      <c r="GN246" s="185"/>
      <c r="GO246" s="79"/>
      <c r="GP246" s="185"/>
      <c r="GQ246" s="79"/>
      <c r="GR246" s="185"/>
      <c r="GS246" s="79"/>
      <c r="GT246" s="79"/>
    </row>
    <row r="247" spans="1:286" ht="12.75" customHeight="1" x14ac:dyDescent="0.2">
      <c r="A247" s="1"/>
      <c r="B247" s="10" t="s">
        <v>261</v>
      </c>
      <c r="C247" s="79"/>
      <c r="D247" s="79"/>
      <c r="E247" s="186">
        <v>50.576999999999998</v>
      </c>
      <c r="F247" s="185"/>
      <c r="G247" s="186">
        <v>58.09</v>
      </c>
      <c r="H247" s="185"/>
      <c r="I247" s="186">
        <v>55.707000000000001</v>
      </c>
      <c r="J247" s="185"/>
      <c r="K247" s="186">
        <v>78.63</v>
      </c>
      <c r="L247" s="79"/>
      <c r="M247" s="186">
        <v>54.811</v>
      </c>
      <c r="N247" s="79">
        <f>IF(ISERROR((M247/E247-1)*100),"NA",IF(((M247/E247-1)*100)&gt;100,"NM",IF(((M247/E247-1)*100)&lt;-50,"NM",(M247/E247-1)*100)))</f>
        <v>8.371394111948117</v>
      </c>
      <c r="O247" s="186">
        <v>60.777000000000001</v>
      </c>
      <c r="P247" s="79">
        <f>IF(ISERROR((O247/G247-1)*100),"NA",IF(((O247/G247-1)*100)&gt;100,"NM",IF(((O247/G247-1)*100)&lt;-50,"NM",(O247/G247-1)*100)))</f>
        <v>4.6255809950077387</v>
      </c>
      <c r="Q247" s="186">
        <v>57.54</v>
      </c>
      <c r="R247" s="79">
        <f>IF(ISERROR((Q247/I247-1)*100),"NA",IF(((Q247/I247-1)*100)&gt;100,"NM",IF(((Q247/I247-1)*100)&lt;-50,"NM",(Q247/I247-1)*100)))</f>
        <v>3.2904302870375268</v>
      </c>
      <c r="S247" s="186">
        <v>84.402000000000001</v>
      </c>
      <c r="T247" s="79">
        <f>IF(ISERROR((S247/K247-1)*100),"NA",IF(((S247/K247-1)*100)&gt;100,"NM",IF(((S247/K247-1)*100)&lt;-50,"NM",(S247/K247-1)*100)))</f>
        <v>7.3407096528042892</v>
      </c>
      <c r="U247" s="186">
        <v>59.6</v>
      </c>
      <c r="V247" s="79">
        <f>IF(ISERROR((U247/M247-1)*100),"NA",IF(((U247/M247-1)*100)&gt;100,"NM",IF(((U247/M247-1)*100)&lt;-50,"NM",(U247/M247-1)*100)))</f>
        <v>8.7372972578497077</v>
      </c>
      <c r="W247" s="186">
        <v>65.599999999999994</v>
      </c>
      <c r="X247" s="79">
        <f>IF(ISERROR((W247/O247-1)*100),"NA",IF(((W247/O247-1)*100)&gt;100,"NM",IF(((W247/O247-1)*100)&lt;-50,"NM",(W247/O247-1)*100)))</f>
        <v>7.9355677312141104</v>
      </c>
      <c r="Y247" s="186">
        <v>61.8</v>
      </c>
      <c r="Z247" s="79">
        <f>IF(ISERROR((Y247/Q247-1)*100),"NA",IF(((Y247/Q247-1)*100)&gt;100,"NM",IF(((Y247/Q247-1)*100)&lt;-50,"NM",(Y247/Q247-1)*100)))</f>
        <v>7.4035453597497414</v>
      </c>
      <c r="AA247" s="263">
        <v>98.2</v>
      </c>
      <c r="AB247" s="79">
        <f>IF(ISERROR((AA247/S247-1)*100),"NA",IF(((AA247/S247-1)*100)&gt;100,"NM",IF(((AA247/S247-1)*100)&lt;-50,"NM",(AA247/S247-1)*100)))</f>
        <v>16.347953839956396</v>
      </c>
      <c r="AC247" s="186">
        <v>61.7</v>
      </c>
      <c r="AD247" s="79">
        <f>IF(ISERROR((AC247/U247-1)*100),"NA",IF(((AC247/U247-1)*100)&gt;100,"NM",IF(((AC247/U247-1)*100)&lt;-50,"NM",(AC247/U247-1)*100)))</f>
        <v>3.5234899328859148</v>
      </c>
      <c r="AE247" s="186">
        <v>63.2</v>
      </c>
      <c r="AF247" s="79">
        <f>IF(ISERROR((AE247/W247-1)*100),"NA",IF(((AE247/W247-1)*100)&gt;100,"NM",IF(((AE247/W247-1)*100)&lt;-50,"NM",(AE247/W247-1)*100)))</f>
        <v>-3.6585365853658458</v>
      </c>
      <c r="AG247" s="186">
        <v>61.2</v>
      </c>
      <c r="AH247" s="79">
        <f>IF(ISERROR((AG247/Y247-1)*100),"NA",IF(((AG247/Y247-1)*100)&gt;100,"NM",IF(((AG247/Y247-1)*100)&lt;-50,"NM",(AG247/Y247-1)*100)))</f>
        <v>-0.97087378640775546</v>
      </c>
      <c r="AI247" s="186">
        <v>92.4</v>
      </c>
      <c r="AJ247" s="79">
        <f>IF(ISERROR((AI247/AA247-1)*100),"NA",IF(((AI247/AA247-1)*100)&gt;100,"NM",IF(((AI247/AA247-1)*100)&lt;-50,"NM",(AI247/AA247-1)*100)))</f>
        <v>-5.9063136456211751</v>
      </c>
      <c r="AK247" s="186">
        <v>61.3</v>
      </c>
      <c r="AL247" s="79">
        <f>IF(ISERROR((AK247/AC247-1)*100),"NA",IF(((AK247/AC247-1)*100)&gt;100,"NM",IF(((AK247/AC247-1)*100)&lt;-50,"NM",(AK247/AC247-1)*100)))</f>
        <v>-0.6482982171799101</v>
      </c>
      <c r="AM247" s="186">
        <v>65.900000000000006</v>
      </c>
      <c r="AN247" s="79">
        <f>IF(ISERROR((AM247/AE247-1)*100),"NA",IF(((AM247/AE247-1)*100)&gt;100,"NM",IF(((AM247/AE247-1)*100)&lt;-50,"NM",(AM247/AE247-1)*100)))</f>
        <v>4.2721518987341778</v>
      </c>
      <c r="AO247" s="186">
        <v>61.9</v>
      </c>
      <c r="AP247" s="79">
        <f>IF(ISERROR((AO247/AG247-1)*100),"NA",IF(((AO247/AG247-1)*100)&gt;100,"NM",IF(((AO247/AG247-1)*100)&lt;-50,"NM",(AO247/AG247-1)*100)))</f>
        <v>1.1437908496731986</v>
      </c>
      <c r="AQ247" s="186">
        <v>97.3</v>
      </c>
      <c r="AR247" s="79">
        <f>IF(ISERROR((AQ247/AI247-1)*100),"NA",IF(((AQ247/AI247-1)*100)&gt;100,"NM",IF(((AQ247/AI247-1)*100)&lt;-50,"NM",(AQ247/AI247-1)*100)))</f>
        <v>5.3030303030302983</v>
      </c>
      <c r="AS247" s="186">
        <v>67.2</v>
      </c>
      <c r="AT247" s="81">
        <f>IF(ISERROR((AS247/AK247-1)*100),"NA",IF(((AS247/AK247-1)*100)&gt;100,"NM",IF(((AS247/AK247-1)*100)&lt;-50,"NM",(AS247/AK247-1)*100)))</f>
        <v>9.6247960848287128</v>
      </c>
      <c r="AU247" s="186">
        <v>73.099999999999994</v>
      </c>
      <c r="AV247" s="81">
        <f>IF(ISERROR((AU247/AM247-1)*100),"NA",IF(((AU247/AM247-1)*100)&gt;100,"NM",IF(((AU247/AM247-1)*100)&lt;-50,"NM",(AU247/AM247-1)*100)))</f>
        <v>10.9256449165402</v>
      </c>
      <c r="AW247" s="186">
        <v>72.900000000000006</v>
      </c>
      <c r="AX247" s="81">
        <f>IF(ISERROR((AW247/AO247-1)*100),"NA",IF(((AW247/AO247-1)*100)&gt;100,"NM",IF(((AW247/AO247-1)*100)&lt;-50,"NM",(AW247/AO247-1)*100)))</f>
        <v>17.770597738287574</v>
      </c>
      <c r="AY247" s="186">
        <v>101.9</v>
      </c>
      <c r="AZ247" s="81">
        <f>IF(ISERROR((AY247/AQ247-1)*100),"NA",IF(((AY247/AQ247-1)*100)&gt;100,"NM",IF(((AY247/AQ247-1)*100)&lt;-50,"NM",(AY247/AQ247-1)*100)))</f>
        <v>4.7276464542651775</v>
      </c>
      <c r="BA247" s="186">
        <v>67.599999999999994</v>
      </c>
      <c r="BB247" s="81">
        <f>IF(ISERROR((BA247/AS247-1)*100),"NA",IF(((BA247/AS247-1)*100)&gt;100,"NM",IF(((BA247/AS247-1)*100)&lt;-50,"NM",(BA247/AS247-1)*100)))</f>
        <v>0.59523809523809312</v>
      </c>
      <c r="BC247" s="186">
        <v>78.599999999999994</v>
      </c>
      <c r="BD247" s="81">
        <f>IF(ISERROR((BC247/AU247-1)*100),"NA",IF(((BC247/AU247-1)*100)&gt;100,"NM",IF(((BC247/AU247-1)*100)&lt;-50,"NM",(BC247/AU247-1)*100)))</f>
        <v>7.523939808481539</v>
      </c>
      <c r="BE247" s="186">
        <v>74.5</v>
      </c>
      <c r="BF247" s="81">
        <f>IF(ISERROR((BE247/AW247-1)*100),"NA",IF(((BE247/AW247-1)*100)&gt;100,"NM",IF(((BE247/AW247-1)*100)&lt;-50,"NM",(BE247/AW247-1)*100)))</f>
        <v>2.1947873799725626</v>
      </c>
      <c r="BG247" s="186">
        <v>114.2</v>
      </c>
      <c r="BH247" s="81"/>
      <c r="BI247" s="186">
        <v>67.7</v>
      </c>
      <c r="BJ247" s="81">
        <f>IF(ISERROR((BI247/BA247-1)*100),"NA",IF(((BI247/BA247-1)*100)&gt;100,"NM",IF(((BI247/BA247-1)*100)&lt;-50,"NM",(BI247/BA247-1)*100)))</f>
        <v>0.14792899408284654</v>
      </c>
      <c r="BK247" s="186">
        <v>81.2</v>
      </c>
      <c r="BL247" s="81">
        <f>IF(ISERROR((BK247/BC247-1)*100),"NA",IF(((BK247/BC247-1)*100)&gt;100,"NM",IF(((BK247/BC247-1)*100)&lt;-50,"NM",(BK247/BC247-1)*100)))</f>
        <v>3.30788804071247</v>
      </c>
      <c r="BM247" s="186">
        <v>75.900000000000006</v>
      </c>
      <c r="BN247" s="81">
        <f>IF(ISERROR((BM247/BE247-1)*100),"NA",IF(((BM247/BE247-1)*100)&gt;100,"NM",IF(((BM247/BE247-1)*100)&lt;-50,"NM",(BM247/BE247-1)*100)))</f>
        <v>1.8791946308724938</v>
      </c>
      <c r="BO247" s="186">
        <v>115.4</v>
      </c>
      <c r="BP247" s="81">
        <f>IF(ISERROR((BO247/BG247-1)*100),"NA",IF(((BO247/BG247-1)*100)&gt;100,"NM",IF(((BO247/BG247-1)*100)&lt;-50,"NM",(BO247/BG247-1)*100)))</f>
        <v>1.0507880910683109</v>
      </c>
      <c r="BQ247" s="186">
        <v>67.599999999999994</v>
      </c>
      <c r="BR247" s="81">
        <f>IF(ISERROR((BQ247/BI247-1)*100),"NA",IF(((BQ247/BI247-1)*100)&gt;100,"NM",IF(((BQ247/BI247-1)*100)&lt;-50,"NM",(BQ247/BI247-1)*100)))</f>
        <v>-0.1477104874446189</v>
      </c>
      <c r="BS247" s="186">
        <v>78</v>
      </c>
      <c r="BT247" s="81">
        <f>IF(ISERROR((BS247/BK247-1)*100),"NA",IF(((BS247/BK247-1)*100)&gt;100,"NM",IF(((BS247/BK247-1)*100)&lt;-50,"NM",(BS247/BK247-1)*100)))</f>
        <v>-3.9408866995073955</v>
      </c>
      <c r="BU247" s="186">
        <v>78.5</v>
      </c>
      <c r="BV247" s="81"/>
      <c r="BW247" s="186">
        <v>119.7</v>
      </c>
      <c r="BX247" s="81"/>
      <c r="BY247" s="186">
        <v>73.3</v>
      </c>
      <c r="BZ247" s="81"/>
      <c r="CA247" s="186">
        <v>83.9</v>
      </c>
      <c r="CB247" s="81">
        <f>IF(ISERROR((CA247/BS247-1)*100),"NA",IF(((CA247/BS247-1)*100)&gt;100,"NM",IF(((CA247/BS247-1)*100)&lt;-50,"NM",(CA247/BS247-1)*100)))</f>
        <v>7.5641025641025816</v>
      </c>
      <c r="CC247" s="186">
        <v>80.3</v>
      </c>
      <c r="CD247" s="81">
        <f>IF(ISERROR((CC247/BU247-1)*100),"NA",IF(((CC247/BU247-1)*100)&gt;100,"NM",IF(((CC247/BU247-1)*100)&lt;-50,"NM",(CC247/BU247-1)*100)))</f>
        <v>2.2929936305732479</v>
      </c>
      <c r="CE247" s="186">
        <v>121.3</v>
      </c>
      <c r="CF247" s="81">
        <f>IF(ISERROR((CE247/BW247-1)*100),"NA",IF(((CE247/BW247-1)*100)&gt;100,"NM",IF(((CE247/BW247-1)*100)&lt;-50,"NM",(CE247/BW247-1)*100)))</f>
        <v>1.3366750208855471</v>
      </c>
      <c r="CG247" s="186">
        <v>70.599999999999994</v>
      </c>
      <c r="CH247" s="81">
        <f>IF(ISERROR((CG247/BY247-1)*100),"NA",IF(((CG247/BY247-1)*100)&gt;100,"NM",IF(((CG247/BY247-1)*100)&lt;-50,"NM",(CG247/BY247-1)*100)))</f>
        <v>-3.6834924965893578</v>
      </c>
      <c r="CI247" s="186">
        <v>85.7</v>
      </c>
      <c r="CJ247" s="81"/>
      <c r="CK247" s="186">
        <v>83.2</v>
      </c>
      <c r="CL247" s="81"/>
      <c r="CM247" s="186">
        <v>126.4</v>
      </c>
      <c r="CN247" s="81">
        <f>IF(ISERROR((CM247/CE247-1)*100),"NA",IF(((CM247/CE247-1)*100)&gt;100,"NM",IF(((CM247/CE247-1)*100)&lt;-50,"NM",(CM247/CE247-1)*100)))</f>
        <v>4.2044517724649788</v>
      </c>
      <c r="CO247" s="186">
        <v>71.099999999999994</v>
      </c>
      <c r="CP247" s="81">
        <f>IF(ISERROR((CO247/CG247-1)*100),"NA",IF(((CO247/CG247-1)*100)&gt;100,"NM",IF(((CO247/CG247-1)*100)&lt;-50,"NM",(CO247/CG247-1)*100)))</f>
        <v>0.70821529745042078</v>
      </c>
      <c r="CQ247" s="186">
        <v>85.8</v>
      </c>
      <c r="CR247" s="81">
        <f>IF(ISERROR((CQ247/CI247-1)*100),"NA",IF(((CQ247/CI247-1)*100)&gt;100,"NM",IF(((CQ247/CI247-1)*100)&lt;-50,"NM",(CQ247/CI247-1)*100)))</f>
        <v>0.1166861143523823</v>
      </c>
      <c r="CS247" s="186">
        <v>78.400000000000006</v>
      </c>
      <c r="CT247" s="81">
        <f>IF(ISERROR((CS247/CK247-1)*100),"NA",IF(((CS247/CK247-1)*100)&gt;100,"NM",IF(((CS247/CK247-1)*100)&lt;-50,"NM",(CS247/CK247-1)*100)))</f>
        <v>-5.7692307692307709</v>
      </c>
      <c r="CU247" s="186">
        <v>126.6</v>
      </c>
      <c r="CV247" s="81">
        <f>IF(ISERROR((CU247/CM247-1)*100),"NA",IF(((CU247/CM247-1)*100)&gt;100,"NM",IF(((CU247/CM247-1)*100)&lt;-50,"NM",(CU247/CM247-1)*100)))</f>
        <v>0.15822784810126667</v>
      </c>
      <c r="CW247" s="186">
        <v>67.599999999999994</v>
      </c>
      <c r="CX247" s="81">
        <f>IF(ISERROR((CW247/CO247-1)*100),"NA",IF(((CW247/CO247-1)*100)&gt;100,"NM",IF(((CW247/CO247-1)*100)&lt;-50,"NM",(CW247/CO247-1)*100)))</f>
        <v>-4.9226441631504914</v>
      </c>
      <c r="CY247" s="186">
        <v>84.1</v>
      </c>
      <c r="CZ247" s="81">
        <f>IF(ISERROR((CY247/CQ247-1)*100),"NA",IF(((CY247/CQ247-1)*100)&gt;100,"NM",IF(((CY247/CQ247-1)*100)&lt;-50,"NM",(CY247/CQ247-1)*100)))</f>
        <v>-1.9813519813519864</v>
      </c>
      <c r="DA247" s="186">
        <v>76.099999999999994</v>
      </c>
      <c r="DB247" s="81">
        <f>IF(ISERROR((DA247/CS247-1)*100),"NA",IF(((DA247/CS247-1)*100)&gt;100,"NM",IF(((DA247/CS247-1)*100)&lt;-50,"NM",(DA247/CS247-1)*100)))</f>
        <v>-2.9336734693877653</v>
      </c>
      <c r="DC247" s="186">
        <v>139.80000000000001</v>
      </c>
      <c r="DD247" s="81">
        <f>IF(ISERROR((DC247/CU247-1)*100),"NA",IF(((DC247/CU247-1)*100)&gt;100,"NM",IF(((DC247/CU247-1)*100)&lt;-50,"NM",(DC247/CU247-1)*100)))</f>
        <v>10.426540284360208</v>
      </c>
      <c r="DE247" s="186">
        <v>72</v>
      </c>
      <c r="DF247" s="81">
        <f>IF(ISERROR((DE247/CW247-1)*100),"NA",IF(((DE247/CW247-1)*100)&gt;100,"NM",IF(((DE247/CW247-1)*100)&lt;-50,"NM",(DE247/CW247-1)*100)))</f>
        <v>6.5088757396449815</v>
      </c>
      <c r="DG247" s="186">
        <v>90.6</v>
      </c>
      <c r="DH247" s="81">
        <f>IF(ISERROR((DG247/CY247-1)*100),"NA",IF(((DG247/CY247-1)*100)&gt;100,"NM",IF(((DG247/CY247-1)*100)&lt;-50,"NM",(DG247/CY247-1)*100)))</f>
        <v>7.7288941736028516</v>
      </c>
      <c r="DI247" s="186">
        <v>85.8</v>
      </c>
      <c r="DJ247" s="81">
        <f>IF(ISERROR((DI247/DA247-1)*100),"NA",IF(((DI247/DA247-1)*100)&gt;100,"NM",IF(((DI247/DA247-1)*100)&lt;-50,"NM",(DI247/DA247-1)*100)))</f>
        <v>12.746386333771365</v>
      </c>
      <c r="DK247" s="186">
        <v>161.69999999999999</v>
      </c>
      <c r="DL247" s="81">
        <f>IF(ISERROR((DK247/DC247-1)*100),"NA",IF(((DK247/DC247-1)*100)&gt;100,"NM",IF(((DK247/DC247-1)*100)&lt;-50,"NM",(DK247/DC247-1)*100)))</f>
        <v>15.665236051502118</v>
      </c>
      <c r="DM247" s="186">
        <v>77.5</v>
      </c>
      <c r="DN247" s="81">
        <f>IF(ISERROR((DM247/DE247-1)*100),"NA",IF(((DM247/DE247-1)*100)&gt;100,"NM",IF(((DM247/DE247-1)*100)&lt;-50,"NM",(DM247/DE247-1)*100)))</f>
        <v>7.638888888888884</v>
      </c>
      <c r="DO247" s="186">
        <v>95.8</v>
      </c>
      <c r="DP247" s="81">
        <f>IF(ISERROR((DO247/DG247-1)*100),"NA",IF(((DO247/DG247-1)*100)&gt;100,"NM",IF(((DO247/DG247-1)*100)&lt;-50,"NM",(DO247/DG247-1)*100)))</f>
        <v>5.7395143487858791</v>
      </c>
      <c r="DQ247" s="186">
        <v>95.3</v>
      </c>
      <c r="DR247" s="81">
        <f>IF(ISERROR((DQ247/DI247-1)*100),"NA",IF(((DQ247/DI247-1)*100)&gt;100,"NM",IF(((DQ247/DI247-1)*100)&lt;-50,"NM",(DQ247/DI247-1)*100)))</f>
        <v>11.072261072261069</v>
      </c>
      <c r="DS247" s="186">
        <v>169.9</v>
      </c>
      <c r="DT247" s="81">
        <f>IF(ISERROR((DS247/DK247-1)*100),"NA",IF(((DS247/DK247-1)*100)&gt;100,"NM",IF(((DS247/DK247-1)*100)&lt;-50,"NM",(DS247/DK247-1)*100)))</f>
        <v>5.0711193568336643</v>
      </c>
      <c r="DU247" s="186">
        <v>89.9</v>
      </c>
      <c r="DV247" s="81">
        <f>IF(ISERROR((DU247/DM247-1)*100),"NA",IF(((DU247/DM247-1)*100)&gt;100,"NM",IF(((DU247/DM247-1)*100)&lt;-50,"NM",(DU247/DM247-1)*100)))</f>
        <v>16.000000000000014</v>
      </c>
      <c r="DW247" s="186">
        <v>108.5</v>
      </c>
      <c r="DX247" s="81">
        <f>IF(ISERROR((DW247/DO247-1)*100),"NA",IF(((DW247/DO247-1)*100)&gt;100,"NM",IF(((DW247/DO247-1)*100)&lt;-50,"NM",(DW247/DO247-1)*100)))</f>
        <v>13.256784968684766</v>
      </c>
      <c r="DY247" s="186">
        <v>104.2</v>
      </c>
      <c r="DZ247" s="81">
        <f>IF(ISERROR((DY247/DQ247-1)*100),"NA",IF(((DY247/DQ247-1)*100)&gt;100,"NM",IF(((DY247/DQ247-1)*100)&lt;-50,"NM",(DY247/DQ247-1)*100)))</f>
        <v>9.3389296956978072</v>
      </c>
      <c r="EA247" s="186">
        <v>181</v>
      </c>
      <c r="EB247" s="81">
        <f>IF(ISERROR((EA247/DS247-1)*100),"NA",IF(((EA247/DS247-1)*100)&gt;100,"NM",IF(((EA247/DS247-1)*100)&lt;-50,"NM",(EA247/DS247-1)*100)))</f>
        <v>6.5332548557975212</v>
      </c>
      <c r="EC247" s="186">
        <v>96.4</v>
      </c>
      <c r="ED247" s="81">
        <f t="shared" ref="ED247" si="788">IF(ISERROR((EC247/DU247-1)*100),"NA",IF(((EC247/DU247-1)*100)&gt;100,"NM",IF(((EC247/DU247-1)*100)&lt;-50,"NM",(EC247/DU247-1)*100)))</f>
        <v>7.2302558398220196</v>
      </c>
      <c r="EE247" s="186">
        <v>116.6</v>
      </c>
      <c r="EF247" s="81">
        <f t="shared" ref="EF247" si="789">IF(ISERROR((EE247/DW247-1)*100),"NA",IF(((EE247/DW247-1)*100)&gt;100,"NM",IF(((EE247/DW247-1)*100)&lt;-50,"NM",(EE247/DW247-1)*100)))</f>
        <v>7.4654377880184253</v>
      </c>
      <c r="EG247" s="186">
        <v>106.9</v>
      </c>
      <c r="EH247" s="81">
        <f t="shared" ref="EH247" si="790">IF(ISERROR((EG247/DY247-1)*100),"NA",IF(((EG247/DY247-1)*100)&gt;100,"NM",IF(((EG247/DY247-1)*100)&lt;-50,"NM",(EG247/DY247-1)*100)))</f>
        <v>2.5911708253358867</v>
      </c>
      <c r="EI247" s="186">
        <v>199.8</v>
      </c>
      <c r="EJ247" s="81">
        <f t="shared" ref="EJ247" si="791">IF(ISERROR((EI247/EA247-1)*100),"NA",IF(((EI247/EA247-1)*100)&gt;100,"NM",IF(((EI247/EA247-1)*100)&lt;-50,"NM",(EI247/EA247-1)*100)))</f>
        <v>10.386740331491717</v>
      </c>
      <c r="EK247" s="186"/>
      <c r="EL247" s="81" t="str">
        <f t="shared" ref="EL247" si="792">IF(ISERROR((EK247/EC247-1)*100),"NA",IF(((EK247/EC247-1)*100)&gt;100,"NM",IF(((EK247/EC247-1)*100)&lt;-50,"NM",(EK247/EC247-1)*100)))</f>
        <v>NM</v>
      </c>
      <c r="EM247" s="186"/>
      <c r="EN247" s="81" t="str">
        <f t="shared" ref="EN247" si="793">IF(ISERROR((EM247/EE247-1)*100),"NA",IF(((EM247/EE247-1)*100)&gt;100,"NM",IF(((EM247/EE247-1)*100)&lt;-50,"NM",(EM247/EE247-1)*100)))</f>
        <v>NM</v>
      </c>
      <c r="EO247" s="186"/>
      <c r="EP247" s="81" t="str">
        <f t="shared" ref="EP247" si="794">IF(ISERROR((EO247/EG247-1)*100),"NA",IF(((EO247/EG247-1)*100)&gt;100,"NM",IF(((EO247/EG247-1)*100)&lt;-50,"NM",(EO247/EG247-1)*100)))</f>
        <v>NM</v>
      </c>
      <c r="EQ247" s="186"/>
      <c r="ER247" s="81" t="str">
        <f t="shared" ref="ER247" si="795">IF(ISERROR((EQ247/EI247-1)*100),"NA",IF(((EQ247/EI247-1)*100)&gt;100,"NM",IF(((EQ247/EI247-1)*100)&lt;-50,"NM",(EQ247/EI247-1)*100)))</f>
        <v>NM</v>
      </c>
      <c r="ES247" s="129"/>
      <c r="ET247" s="469"/>
      <c r="EU247" s="129"/>
      <c r="EV247" s="185"/>
      <c r="EW247" s="79"/>
      <c r="EX247" s="185"/>
      <c r="EY247" s="79"/>
      <c r="EZ247" s="185"/>
      <c r="FA247" s="79"/>
      <c r="FB247" s="185">
        <f>+E247+G247+I247+K247</f>
        <v>243.00399999999999</v>
      </c>
      <c r="FC247" s="79" t="str">
        <f>IF(ISERROR((FB247/EZ247-1)*100),"NA",IF(((FB247/EZ247-1)*100)&gt;100,"NM",IF(((FB247/EZ247-1)*100)&lt;-50,"NM",(FB247/EZ247-1)*100)))</f>
        <v>NA</v>
      </c>
      <c r="FD247" s="185">
        <f>+M247+O247+Q247+S247</f>
        <v>257.52999999999997</v>
      </c>
      <c r="FE247" s="79">
        <f>IF(ISERROR((FD247/FB247-1)*100),"NA",IF(((FD247/FB247-1)*100)&gt;100,"NM",IF(((FD247/FB247-1)*100)&lt;-50,"NM",(FD247/FB247-1)*100)))</f>
        <v>5.9776793797632788</v>
      </c>
      <c r="FF247" s="185">
        <f>U247+Y247+AA247</f>
        <v>219.60000000000002</v>
      </c>
      <c r="FG247" s="79">
        <f>IF(ISERROR((FF247/FD247-1)*100),"NA",IF(((FF247/FD247-1)*100)&gt;100,"NM",IF(((FF247/FD247-1)*100)&lt;-50,"NM",(FF247/FD247-1)*100)))</f>
        <v>-14.728381159476545</v>
      </c>
      <c r="FH247" s="264">
        <f>+AI247+AG247+AE247+AC247</f>
        <v>278.5</v>
      </c>
      <c r="FI247" s="79">
        <f>IF(ISERROR((FH247/FF247-1)*100),"NA",IF(((FH247/FF247-1)*100)&gt;100,"NM",IF(((FH247/FF247-1)*100)&lt;-50,"NM",(FH247/FF247-1)*100)))</f>
        <v>26.821493624772309</v>
      </c>
      <c r="FJ247" s="185"/>
      <c r="FK247" s="79" t="str">
        <f>IF(ISERROR((FJ247/FH247-1)*100),"NA",IF(((FJ247/FH247-1)*100)&gt;100,"NM",IF(((FJ247/FH247-1)*100)&lt;-50,"NM",(FJ247/FH247-1)*100)))</f>
        <v>NM</v>
      </c>
      <c r="FL247" s="185"/>
      <c r="FM247" s="79" t="str">
        <f>IF(ISERROR((FL247/FJ247-1)*100),"NA",IF(((FL247/FJ247-1)*100)&gt;100,"NM",IF(((FL247/FJ247-1)*100)&lt;-50,"NM",(FL247/FJ247-1)*100)))</f>
        <v>NA</v>
      </c>
      <c r="FN247" s="185"/>
      <c r="FO247" s="79" t="str">
        <f>IF(ISERROR((FN247/FL247-1)*100),"NA",IF(((FN247/FL247-1)*100)&gt;100,"NM",IF(((FN247/FL247-1)*100)&lt;-50,"NM",(FN247/FL247-1)*100)))</f>
        <v>NA</v>
      </c>
      <c r="FP247" s="185"/>
      <c r="FQ247" s="79" t="str">
        <f>IF(ISERROR((FP247/FN247-1)*100),"NA",IF(((FP247/FN247-1)*100)&gt;100,"NM",IF(((FP247/FN247-1)*100)&lt;-50,"NM",(FP247/FN247-1)*100)))</f>
        <v>NA</v>
      </c>
      <c r="FR247" s="93">
        <f>BQ247+BS247+BU247+BW247</f>
        <v>343.8</v>
      </c>
      <c r="FS247" s="79" t="str">
        <f>IF(ISERROR((FR247/FP247-1)*100),"NA",IF(((FR247/FP247-1)*100)&gt;100,"NM",IF(((FR247/FP247-1)*100)&lt;-50,"NM",(FR247/FP247-1)*100)))</f>
        <v>NA</v>
      </c>
      <c r="FT247" s="93">
        <f>BY247+CA247+CC247+CE247</f>
        <v>358.8</v>
      </c>
      <c r="FU247" s="79">
        <f>IF(ISERROR((FT247/FR247-1)*100),"NA",IF(((FT247/FR247-1)*100)&gt;100,"NM",IF(((FT247/FR247-1)*100)&lt;-50,"NM",(FT247/FR247-1)*100)))</f>
        <v>4.3630017452007008</v>
      </c>
      <c r="FV247" s="93">
        <f>CG247+CI247+CK247+CM247</f>
        <v>365.9</v>
      </c>
      <c r="FW247" s="79">
        <f>IF(ISERROR((FV247/FT247-1)*100),"NA",IF(((FV247/FT247-1)*100)&gt;100,"NM",IF(((FV247/FT247-1)*100)&lt;-50,"NM",(FV247/FT247-1)*100)))</f>
        <v>1.9788182831661061</v>
      </c>
      <c r="FX247" s="93">
        <f>CO247+CQ247+CS247+CU247</f>
        <v>361.9</v>
      </c>
      <c r="FY247" s="79">
        <f>IF(ISERROR((FX247/FV247-1)*100),"NA",IF(((FX247/FV247-1)*100)&gt;100,"NM",IF(((FX247/FV247-1)*100)&lt;-50,"NM",(FX247/FV247-1)*100)))</f>
        <v>-1.0931948619841481</v>
      </c>
      <c r="FZ247" s="78">
        <f>CW247+CY247+DA247+DC247</f>
        <v>367.6</v>
      </c>
      <c r="GA247" s="79">
        <f>IF(ISERROR((FZ247/FX247-1)*100),"NA",IF(((FZ247/FX247-1)*100)&gt;100,"NM",IF(((FZ247/FX247-1)*100)&lt;-50,"NM",(FZ247/FX247-1)*100)))</f>
        <v>1.5750207239568992</v>
      </c>
      <c r="GB247" s="177">
        <f>+DE247+DG247+DI247+DK247</f>
        <v>410.09999999999997</v>
      </c>
      <c r="GC247" s="79">
        <f>IF(ISERROR((GB247/FZ247-1)*100),"NA",IF(((GB247/FZ247-1)*100)&gt;100,"NM",IF(((GB247/FZ247-1)*100)&lt;-50,"NM",(GB247/FZ247-1)*100)))</f>
        <v>11.561479869423263</v>
      </c>
      <c r="GD247" s="177">
        <f>+DM247+DO247+DQ247+DS247</f>
        <v>438.5</v>
      </c>
      <c r="GE247" s="79">
        <f>IF(ISERROR((GD247/GB247-1)*100),"NA",IF(((GD247/GB247-1)*100)&gt;100,"NM",IF(((GD247/GB247-1)*100)&lt;-50,"NM",(GD247/GB247-1)*100)))</f>
        <v>6.9251402097049608</v>
      </c>
      <c r="GF247" s="177">
        <f t="shared" ref="GF247" si="796">DU247+DW247+DY247+EA247</f>
        <v>483.6</v>
      </c>
      <c r="GG247" s="79">
        <f>IF(ISERROR((GF247/GD247-1)*100),"NA",IF(((GF247/GD247-1)*100)&gt;100,"NM",IF(((GF247/GD247-1)*100)&lt;-50,"NM",(GF247/GD247-1)*100)))</f>
        <v>10.285062713797032</v>
      </c>
      <c r="GH247" s="177">
        <f>EC247+EE247+EG247+EI247</f>
        <v>519.70000000000005</v>
      </c>
      <c r="GI247" s="79">
        <f>IF(ISERROR((GH247/GF247-1)*100),"NA",IF(((GH247/GF247-1)*100)&gt;100,"NM",IF(((GH247/GF247-1)*100)&lt;-50,"NM",(GH247/GF247-1)*100)))</f>
        <v>7.4648469809760254</v>
      </c>
      <c r="GJ247" s="186"/>
      <c r="GK247" s="79" t="str">
        <f>IF(ISERROR((GJ247/GH247-1)*100),"NA",IF(((GJ247/GH247-1)*100)&gt;100,"NM",IF(((GJ247/GH247-1)*100)&lt;-50,"NM",(GJ247/GH247-1)*100)))</f>
        <v>NM</v>
      </c>
      <c r="GL247" s="186"/>
      <c r="GM247" s="79" t="str">
        <f>IF(ISERROR((GL247/GJ247-1)*100),"NA",IF(((GL247/GJ247-1)*100)&gt;100,"NM",IF(((GL247/GJ247-1)*100)&lt;-50,"NM",(GL247/GJ247-1)*100)))</f>
        <v>NA</v>
      </c>
      <c r="GN247" s="186"/>
      <c r="GO247" s="79" t="str">
        <f>IF(ISERROR((GN247/GL247-1)*100),"NA",IF(((GN247/GL247-1)*100)&gt;100,"NM",IF(((GN247/GL247-1)*100)&lt;-50,"NM",(GN247/GL247-1)*100)))</f>
        <v>NA</v>
      </c>
      <c r="GP247" s="186"/>
      <c r="GQ247" s="79" t="str">
        <f>IF(ISERROR((GP247/GN247-1)*100),"NA",IF(((GP247/GN247-1)*100)&gt;100,"NM",IF(((GP247/GN247-1)*100)&lt;-50,"NM",(GP247/GN247-1)*100)))</f>
        <v>NA</v>
      </c>
      <c r="GR247" s="186"/>
      <c r="GS247" s="79" t="str">
        <f>IF(ISERROR((GR247/GP247-1)*100),"NA",IF(((GR247/GP247-1)*100)&gt;100,"NM",IF(((GR247/GP247-1)*100)&lt;-50,"NM",(GR247/GP247-1)*100)))</f>
        <v>NA</v>
      </c>
      <c r="GT247" s="79"/>
    </row>
    <row r="248" spans="1:286" ht="12.75" customHeight="1" x14ac:dyDescent="0.2">
      <c r="A248" s="1"/>
      <c r="C248" s="79"/>
      <c r="D248" s="79"/>
      <c r="E248" s="129"/>
      <c r="F248" s="129"/>
      <c r="G248" s="129"/>
      <c r="H248" s="129"/>
      <c r="I248" s="129"/>
      <c r="J248" s="129"/>
      <c r="K248" s="129"/>
      <c r="L248" s="79"/>
      <c r="M248" s="129"/>
      <c r="N248" s="79"/>
      <c r="O248" s="129"/>
      <c r="P248" s="79"/>
      <c r="Q248" s="129"/>
      <c r="R248" s="79"/>
      <c r="S248" s="129"/>
      <c r="T248" s="79"/>
      <c r="U248" s="129"/>
      <c r="V248" s="79"/>
      <c r="W248" s="129"/>
      <c r="X248" s="79"/>
      <c r="Y248" s="129"/>
      <c r="Z248" s="79"/>
      <c r="AA248" s="130"/>
      <c r="AB248" s="79"/>
      <c r="AC248" s="129"/>
      <c r="AD248" s="79"/>
      <c r="AE248" s="129"/>
      <c r="AF248" s="79"/>
      <c r="AG248" s="129"/>
      <c r="AH248" s="79"/>
      <c r="AI248" s="129"/>
      <c r="AJ248" s="79"/>
      <c r="AK248" s="129"/>
      <c r="AL248" s="79"/>
      <c r="AM248" s="129"/>
      <c r="AN248" s="79"/>
      <c r="AO248" s="129"/>
      <c r="AP248" s="79"/>
      <c r="AQ248" s="129"/>
      <c r="AR248" s="79"/>
      <c r="AS248" s="129"/>
      <c r="AT248" s="81"/>
      <c r="AU248" s="129"/>
      <c r="AV248" s="81"/>
      <c r="AW248" s="129"/>
      <c r="AX248" s="81"/>
      <c r="AY248" s="129"/>
      <c r="AZ248" s="81"/>
      <c r="BA248" s="129"/>
      <c r="BB248" s="81"/>
      <c r="BC248" s="129"/>
      <c r="BD248" s="81"/>
      <c r="BE248" s="129"/>
      <c r="BF248" s="81"/>
      <c r="BG248" s="129"/>
      <c r="BH248" s="81"/>
      <c r="BI248" s="129"/>
      <c r="BJ248" s="81"/>
      <c r="BK248" s="129"/>
      <c r="BL248" s="81"/>
      <c r="BM248" s="129"/>
      <c r="BN248" s="81"/>
      <c r="BO248" s="129"/>
      <c r="BP248" s="81"/>
      <c r="BQ248" s="129"/>
      <c r="BR248" s="81"/>
      <c r="BS248" s="129"/>
      <c r="BT248" s="81"/>
      <c r="BU248" s="129"/>
      <c r="BV248" s="81"/>
      <c r="BW248" s="129"/>
      <c r="BX248" s="81"/>
      <c r="BY248" s="129"/>
      <c r="BZ248" s="81"/>
      <c r="CA248" s="129"/>
      <c r="CB248" s="81"/>
      <c r="CC248" s="129"/>
      <c r="CD248" s="81"/>
      <c r="CE248" s="129"/>
      <c r="CF248" s="81"/>
      <c r="CG248" s="129"/>
      <c r="CH248" s="81"/>
      <c r="CI248" s="129"/>
      <c r="CJ248" s="81"/>
      <c r="CK248" s="129"/>
      <c r="CL248" s="81"/>
      <c r="CM248" s="129"/>
      <c r="CN248" s="81"/>
      <c r="CO248" s="129"/>
      <c r="CP248" s="81"/>
      <c r="CQ248" s="129"/>
      <c r="CR248" s="81"/>
      <c r="CS248" s="129"/>
      <c r="CT248" s="81"/>
      <c r="CU248" s="129"/>
      <c r="CV248" s="81"/>
      <c r="CW248" s="129"/>
      <c r="CX248" s="81"/>
      <c r="CY248" s="129"/>
      <c r="CZ248" s="81"/>
      <c r="DA248" s="129"/>
      <c r="DB248" s="81"/>
      <c r="DC248" s="129"/>
      <c r="DD248" s="81"/>
      <c r="DE248" s="129"/>
      <c r="DF248" s="81"/>
      <c r="DG248" s="129"/>
      <c r="DH248" s="81"/>
      <c r="DI248" s="911"/>
      <c r="DJ248" s="81"/>
      <c r="DK248" s="911"/>
      <c r="DL248" s="81"/>
      <c r="DM248" s="129"/>
      <c r="DN248" s="81"/>
      <c r="DO248" s="129"/>
      <c r="DP248" s="81"/>
      <c r="DQ248" s="911"/>
      <c r="DR248" s="81"/>
      <c r="DS248" s="911"/>
      <c r="DT248" s="81"/>
      <c r="DU248" s="911"/>
      <c r="DV248" s="81"/>
      <c r="DW248" s="911"/>
      <c r="DX248" s="81"/>
      <c r="DY248" s="911"/>
      <c r="DZ248" s="81"/>
      <c r="EA248" s="911"/>
      <c r="EB248" s="81"/>
      <c r="EC248" s="911"/>
      <c r="ED248" s="81"/>
      <c r="EE248" s="911"/>
      <c r="EF248" s="81"/>
      <c r="EG248" s="911"/>
      <c r="EH248" s="81"/>
      <c r="EI248" s="911"/>
      <c r="EJ248" s="81"/>
      <c r="EK248" s="129"/>
      <c r="EL248" s="81"/>
      <c r="EM248" s="129"/>
      <c r="EN248" s="81"/>
      <c r="EO248" s="129"/>
      <c r="EP248" s="81"/>
      <c r="EQ248" s="129"/>
      <c r="ER248" s="81"/>
      <c r="ES248" s="129"/>
      <c r="ET248" s="469"/>
      <c r="EU248" s="129"/>
      <c r="EV248" s="129"/>
      <c r="EW248" s="79"/>
      <c r="EX248" s="129"/>
      <c r="EY248" s="79"/>
      <c r="EZ248" s="129"/>
      <c r="FA248" s="79"/>
      <c r="FB248" s="129"/>
      <c r="FC248" s="79"/>
      <c r="FD248" s="129"/>
      <c r="FE248" s="79"/>
      <c r="FF248" s="129"/>
      <c r="FG248" s="79"/>
      <c r="FH248" s="129"/>
      <c r="FI248" s="79"/>
      <c r="FJ248" s="129"/>
      <c r="FK248" s="79"/>
      <c r="FL248" s="129"/>
      <c r="FM248" s="79"/>
      <c r="FN248" s="129"/>
      <c r="FO248" s="79"/>
      <c r="FP248" s="129"/>
      <c r="FQ248" s="79"/>
      <c r="FR248" s="129"/>
      <c r="FS248" s="79"/>
      <c r="FT248" s="129"/>
      <c r="FU248" s="79"/>
      <c r="FV248" s="129"/>
      <c r="FW248" s="79"/>
      <c r="FX248" s="129"/>
      <c r="FY248" s="79"/>
      <c r="FZ248" s="129"/>
      <c r="GA248" s="79"/>
      <c r="GB248" s="129"/>
      <c r="GC248" s="79"/>
      <c r="GD248" s="129"/>
      <c r="GE248" s="79"/>
      <c r="GF248" s="129"/>
      <c r="GG248" s="79"/>
      <c r="GH248" s="129"/>
      <c r="GI248" s="79"/>
      <c r="GJ248" s="129"/>
      <c r="GK248" s="79"/>
      <c r="GL248" s="129"/>
      <c r="GM248" s="79"/>
      <c r="GN248" s="129"/>
      <c r="GO248" s="79"/>
      <c r="GP248" s="129"/>
      <c r="GQ248" s="79"/>
      <c r="GR248" s="129"/>
      <c r="GS248" s="79"/>
      <c r="GT248" s="79"/>
    </row>
    <row r="249" spans="1:286" s="589" customFormat="1" ht="12.75" customHeight="1" collapsed="1" x14ac:dyDescent="0.2">
      <c r="A249" s="581"/>
      <c r="B249" s="582" t="s">
        <v>532</v>
      </c>
      <c r="C249" s="583"/>
      <c r="D249" s="583"/>
      <c r="E249" s="584"/>
      <c r="F249" s="584"/>
      <c r="G249" s="584"/>
      <c r="H249" s="584"/>
      <c r="I249" s="584"/>
      <c r="J249" s="584"/>
      <c r="K249" s="584"/>
      <c r="L249" s="584"/>
      <c r="M249" s="584"/>
      <c r="N249" s="585"/>
      <c r="O249" s="584"/>
      <c r="P249" s="583"/>
      <c r="Q249" s="584"/>
      <c r="R249" s="583"/>
      <c r="S249" s="584"/>
      <c r="T249" s="583"/>
      <c r="U249" s="584"/>
      <c r="V249" s="583"/>
      <c r="W249" s="584"/>
      <c r="X249" s="583"/>
      <c r="Y249" s="584"/>
      <c r="Z249" s="583"/>
      <c r="AA249" s="586"/>
      <c r="AB249" s="583"/>
      <c r="AC249" s="584"/>
      <c r="AD249" s="583"/>
      <c r="AE249" s="586"/>
      <c r="AF249" s="583"/>
      <c r="AG249" s="586"/>
      <c r="AH249" s="583"/>
      <c r="AI249" s="586"/>
      <c r="AJ249" s="583"/>
      <c r="AK249" s="586"/>
      <c r="AL249" s="583"/>
      <c r="AM249" s="586"/>
      <c r="AN249" s="583"/>
      <c r="AO249" s="586"/>
      <c r="AP249" s="583"/>
      <c r="AQ249" s="586"/>
      <c r="AR249" s="583"/>
      <c r="AS249" s="586"/>
      <c r="AT249" s="587"/>
      <c r="AU249" s="586"/>
      <c r="AV249" s="587"/>
      <c r="AW249" s="586"/>
      <c r="AX249" s="587"/>
      <c r="AY249" s="586"/>
      <c r="AZ249" s="587"/>
      <c r="BA249" s="586"/>
      <c r="BB249" s="587"/>
      <c r="BC249" s="586"/>
      <c r="BD249" s="587"/>
      <c r="BE249" s="586"/>
      <c r="BF249" s="587"/>
      <c r="BG249" s="586"/>
      <c r="BH249" s="587"/>
      <c r="BI249" s="586"/>
      <c r="BJ249" s="587"/>
      <c r="BK249" s="586"/>
      <c r="BL249" s="587"/>
      <c r="BM249" s="586"/>
      <c r="BN249" s="587"/>
      <c r="BO249" s="586"/>
      <c r="BP249" s="587"/>
      <c r="BQ249" s="586"/>
      <c r="BR249" s="587"/>
      <c r="BS249" s="586"/>
      <c r="BT249" s="587"/>
      <c r="BU249" s="586"/>
      <c r="BV249" s="587"/>
      <c r="BW249" s="586"/>
      <c r="BX249" s="587"/>
      <c r="BY249" s="586"/>
      <c r="BZ249" s="587"/>
      <c r="CA249" s="586"/>
      <c r="CB249" s="587"/>
      <c r="CC249" s="586"/>
      <c r="CD249" s="587"/>
      <c r="CE249" s="586"/>
      <c r="CF249" s="587"/>
      <c r="CG249" s="586"/>
      <c r="CH249" s="587"/>
      <c r="CI249" s="586"/>
      <c r="CJ249" s="587"/>
      <c r="CK249" s="586"/>
      <c r="CL249" s="587"/>
      <c r="CM249" s="586"/>
      <c r="CN249" s="587"/>
      <c r="CO249" s="586"/>
      <c r="CP249" s="587"/>
      <c r="CQ249" s="586"/>
      <c r="CR249" s="587"/>
      <c r="CS249" s="586"/>
      <c r="CT249" s="587"/>
      <c r="CU249" s="586"/>
      <c r="CV249" s="587"/>
      <c r="CW249" s="586"/>
      <c r="CX249" s="587"/>
      <c r="CY249" s="586"/>
      <c r="CZ249" s="587"/>
      <c r="DA249" s="586"/>
      <c r="DB249" s="587"/>
      <c r="DC249" s="586"/>
      <c r="DD249" s="587"/>
      <c r="DE249" s="586"/>
      <c r="DF249" s="587"/>
      <c r="DG249" s="586"/>
      <c r="DH249" s="587"/>
      <c r="DI249" s="586"/>
      <c r="DJ249" s="587"/>
      <c r="DK249" s="586"/>
      <c r="DL249" s="587"/>
      <c r="DM249" s="586"/>
      <c r="DN249" s="587"/>
      <c r="DO249" s="586"/>
      <c r="DP249" s="587"/>
      <c r="DQ249" s="586"/>
      <c r="DR249" s="587"/>
      <c r="DS249" s="586"/>
      <c r="DT249" s="587"/>
      <c r="DU249" s="586"/>
      <c r="DV249" s="587"/>
      <c r="DW249" s="586"/>
      <c r="DX249" s="587"/>
      <c r="DY249" s="586"/>
      <c r="DZ249" s="587"/>
      <c r="EA249" s="586"/>
      <c r="EB249" s="587"/>
      <c r="EC249" s="586"/>
      <c r="ED249" s="587"/>
      <c r="EE249" s="586"/>
      <c r="EF249" s="587"/>
      <c r="EG249" s="586"/>
      <c r="EH249" s="587"/>
      <c r="EI249" s="586"/>
      <c r="EJ249" s="587"/>
      <c r="EK249" s="586"/>
      <c r="EL249" s="587"/>
      <c r="EM249" s="586"/>
      <c r="EN249" s="587"/>
      <c r="EO249" s="586"/>
      <c r="EP249" s="587"/>
      <c r="EQ249" s="586"/>
      <c r="ER249" s="587"/>
      <c r="ES249" s="584"/>
      <c r="ET249" s="588"/>
      <c r="EU249" s="584"/>
      <c r="EV249" s="584"/>
      <c r="EW249" s="583"/>
      <c r="EX249" s="584"/>
      <c r="EY249" s="583"/>
      <c r="EZ249" s="584"/>
      <c r="FA249" s="583"/>
      <c r="FB249" s="584"/>
      <c r="FC249" s="583"/>
      <c r="FD249" s="584"/>
      <c r="FE249" s="583"/>
      <c r="FF249" s="584"/>
      <c r="FG249" s="583"/>
      <c r="FH249" s="584"/>
      <c r="FI249" s="583"/>
      <c r="FJ249" s="584"/>
      <c r="FK249" s="583"/>
      <c r="FL249" s="584"/>
      <c r="FM249" s="583"/>
      <c r="FN249" s="584"/>
      <c r="FO249" s="583"/>
      <c r="FP249" s="584"/>
      <c r="FQ249" s="583"/>
      <c r="FR249" s="584"/>
      <c r="FS249" s="583"/>
      <c r="FT249" s="584"/>
      <c r="FU249" s="583"/>
      <c r="FV249" s="584"/>
      <c r="FW249" s="583"/>
      <c r="FX249" s="584"/>
      <c r="FY249" s="583"/>
      <c r="FZ249" s="584"/>
      <c r="GA249" s="583"/>
      <c r="GB249" s="584"/>
      <c r="GC249" s="583"/>
      <c r="GD249" s="584"/>
      <c r="GE249" s="583"/>
      <c r="GF249" s="584"/>
      <c r="GG249" s="583"/>
      <c r="GH249" s="584"/>
      <c r="GI249" s="583"/>
      <c r="GJ249" s="584"/>
      <c r="GK249" s="583"/>
      <c r="GL249" s="584"/>
      <c r="GM249" s="583"/>
      <c r="GN249" s="584"/>
      <c r="GO249" s="583"/>
      <c r="GP249" s="584"/>
      <c r="GQ249" s="583"/>
      <c r="GR249" s="584"/>
      <c r="GS249" s="583"/>
      <c r="GT249" s="583"/>
      <c r="GU249" s="562"/>
      <c r="GV249" s="562"/>
      <c r="GW249"/>
      <c r="GX249"/>
      <c r="GY249"/>
      <c r="GZ249"/>
      <c r="HA249"/>
      <c r="HB249"/>
      <c r="HC249" s="562"/>
      <c r="HD249" s="562"/>
      <c r="HE249" s="562"/>
      <c r="HF249" s="562"/>
      <c r="HG249" s="562"/>
      <c r="HH249" s="562"/>
      <c r="HI249" s="562"/>
      <c r="HJ249" s="562"/>
      <c r="HK249" s="562"/>
      <c r="HL249" s="562"/>
      <c r="HM249" s="562"/>
      <c r="HN249" s="562"/>
      <c r="HO249" s="562"/>
      <c r="HP249" s="562"/>
      <c r="HQ249" s="562"/>
      <c r="HR249" s="562"/>
      <c r="HS249" s="562"/>
      <c r="HT249" s="562"/>
      <c r="HU249" s="562"/>
      <c r="HV249" s="562"/>
      <c r="HW249" s="562"/>
      <c r="HX249" s="562"/>
      <c r="HY249" s="562"/>
      <c r="HZ249" s="562"/>
      <c r="IA249" s="562"/>
      <c r="IB249" s="562"/>
      <c r="IC249" s="562"/>
      <c r="ID249" s="562"/>
      <c r="IE249" s="562"/>
      <c r="IF249" s="562"/>
      <c r="IG249" s="562"/>
      <c r="IH249" s="562"/>
      <c r="II249" s="562"/>
      <c r="IJ249" s="562"/>
      <c r="IK249" s="562"/>
      <c r="IL249" s="562"/>
      <c r="IM249" s="562"/>
      <c r="IN249" s="562"/>
      <c r="IO249" s="562"/>
      <c r="IP249" s="562"/>
      <c r="IQ249" s="562"/>
      <c r="IR249" s="562"/>
      <c r="IS249" s="562"/>
      <c r="IT249" s="562"/>
      <c r="IU249" s="562"/>
      <c r="IV249" s="562"/>
      <c r="IW249" s="562"/>
      <c r="IX249" s="562"/>
      <c r="IY249" s="562"/>
      <c r="IZ249" s="562"/>
      <c r="JA249" s="562"/>
      <c r="JB249" s="562"/>
      <c r="JC249" s="562"/>
      <c r="JD249" s="562"/>
      <c r="JE249" s="562"/>
      <c r="JF249" s="562"/>
      <c r="JG249" s="562"/>
      <c r="JH249" s="562"/>
      <c r="JI249" s="562"/>
      <c r="JJ249" s="562"/>
      <c r="JK249" s="562"/>
      <c r="JL249" s="562"/>
      <c r="JM249" s="562"/>
      <c r="JN249" s="562"/>
      <c r="JO249" s="562"/>
      <c r="JP249" s="562"/>
      <c r="JQ249" s="562"/>
      <c r="JR249" s="562"/>
      <c r="JS249" s="562"/>
      <c r="JT249" s="562"/>
      <c r="JU249" s="562"/>
      <c r="JV249" s="562"/>
      <c r="JW249" s="562"/>
      <c r="JX249" s="562"/>
      <c r="JY249" s="562"/>
      <c r="JZ249" s="562"/>
    </row>
    <row r="250" spans="1:286" s="76" customFormat="1" ht="12.75" customHeight="1" x14ac:dyDescent="0.2">
      <c r="A250" s="67"/>
      <c r="B250" s="68"/>
      <c r="C250" s="69"/>
      <c r="D250" s="69"/>
      <c r="E250" s="73"/>
      <c r="F250" s="73"/>
      <c r="G250" s="73"/>
      <c r="H250" s="73"/>
      <c r="I250" s="73"/>
      <c r="J250" s="73"/>
      <c r="K250" s="73"/>
      <c r="L250" s="69"/>
      <c r="M250" s="73"/>
      <c r="N250" s="69"/>
      <c r="O250" s="73"/>
      <c r="P250" s="69"/>
      <c r="Q250" s="73"/>
      <c r="R250" s="69"/>
      <c r="S250" s="73"/>
      <c r="T250" s="69"/>
      <c r="U250" s="73"/>
      <c r="V250" s="69"/>
      <c r="W250" s="73"/>
      <c r="X250" s="69"/>
      <c r="Y250" s="73"/>
      <c r="Z250" s="69"/>
      <c r="AA250" s="200"/>
      <c r="AB250" s="69"/>
      <c r="AC250" s="73"/>
      <c r="AD250" s="69"/>
      <c r="AE250" s="73"/>
      <c r="AF250" s="69"/>
      <c r="AG250" s="73"/>
      <c r="AH250" s="69"/>
      <c r="AI250" s="73"/>
      <c r="AJ250" s="69"/>
      <c r="AK250" s="73"/>
      <c r="AL250" s="69"/>
      <c r="AM250" s="73"/>
      <c r="AN250" s="69"/>
      <c r="AO250" s="73"/>
      <c r="AP250" s="69"/>
      <c r="AQ250" s="73"/>
      <c r="AR250" s="69"/>
      <c r="AS250" s="73"/>
      <c r="AT250" s="71"/>
      <c r="AU250" s="73"/>
      <c r="AV250" s="71"/>
      <c r="AW250" s="73"/>
      <c r="AX250" s="71"/>
      <c r="AY250" s="73"/>
      <c r="AZ250" s="71"/>
      <c r="BA250" s="73"/>
      <c r="BB250" s="71"/>
      <c r="BC250" s="73"/>
      <c r="BD250" s="71"/>
      <c r="BE250" s="73"/>
      <c r="BF250" s="71"/>
      <c r="BG250" s="73"/>
      <c r="BH250" s="71"/>
      <c r="BI250" s="73"/>
      <c r="BJ250" s="71"/>
      <c r="BK250" s="73"/>
      <c r="BL250" s="71"/>
      <c r="BM250" s="73"/>
      <c r="BN250" s="71"/>
      <c r="BO250" s="73"/>
      <c r="BP250" s="71"/>
      <c r="BQ250" s="73"/>
      <c r="BR250" s="71"/>
      <c r="BS250" s="73"/>
      <c r="BT250" s="71"/>
      <c r="BU250" s="73"/>
      <c r="BV250" s="71"/>
      <c r="BW250" s="73"/>
      <c r="BX250" s="71"/>
      <c r="BY250" s="73"/>
      <c r="BZ250" s="71"/>
      <c r="CA250" s="73"/>
      <c r="CB250" s="71"/>
      <c r="CC250" s="73"/>
      <c r="CD250" s="71"/>
      <c r="CE250" s="73"/>
      <c r="CF250" s="71"/>
      <c r="CG250" s="73"/>
      <c r="CH250" s="71"/>
      <c r="CI250" s="73"/>
      <c r="CJ250" s="71"/>
      <c r="CK250" s="73"/>
      <c r="CL250" s="71"/>
      <c r="CM250" s="73"/>
      <c r="CN250" s="71"/>
      <c r="CO250" s="73"/>
      <c r="CP250" s="71"/>
      <c r="CQ250" s="73"/>
      <c r="CR250" s="71"/>
      <c r="CS250" s="73"/>
      <c r="CT250" s="71"/>
      <c r="CU250" s="73"/>
      <c r="CV250" s="71"/>
      <c r="CW250" s="73"/>
      <c r="CX250" s="71"/>
      <c r="CY250" s="73"/>
      <c r="CZ250" s="71"/>
      <c r="DA250" s="73"/>
      <c r="DB250" s="71"/>
      <c r="DC250" s="73"/>
      <c r="DD250" s="71"/>
      <c r="DE250" s="73"/>
      <c r="DF250" s="71"/>
      <c r="DG250" s="73"/>
      <c r="DH250" s="71"/>
      <c r="DI250" s="73"/>
      <c r="DJ250" s="71"/>
      <c r="DK250" s="73"/>
      <c r="DL250" s="71"/>
      <c r="DM250" s="73"/>
      <c r="DN250" s="71"/>
      <c r="DO250" s="73"/>
      <c r="DP250" s="71"/>
      <c r="DQ250" s="73"/>
      <c r="DR250" s="71"/>
      <c r="DS250" s="73"/>
      <c r="DT250" s="71"/>
      <c r="DU250" s="73"/>
      <c r="DV250" s="71"/>
      <c r="DW250" s="73"/>
      <c r="DX250" s="71"/>
      <c r="DY250" s="73"/>
      <c r="DZ250" s="71"/>
      <c r="EA250" s="73"/>
      <c r="EB250" s="71"/>
      <c r="EC250" s="73"/>
      <c r="ED250" s="71"/>
      <c r="EE250" s="73"/>
      <c r="EF250" s="71"/>
      <c r="EG250" s="73"/>
      <c r="EH250" s="71"/>
      <c r="EI250" s="73"/>
      <c r="EJ250" s="71"/>
      <c r="EK250" s="73"/>
      <c r="EL250" s="71"/>
      <c r="EM250" s="73"/>
      <c r="EN250" s="71"/>
      <c r="EO250" s="73"/>
      <c r="EP250" s="71"/>
      <c r="EQ250" s="73"/>
      <c r="ER250" s="71"/>
      <c r="ES250" s="73"/>
      <c r="ET250" s="464"/>
      <c r="EU250" s="73"/>
      <c r="EV250" s="73"/>
      <c r="EW250" s="69"/>
      <c r="EX250" s="73"/>
      <c r="EY250" s="69"/>
      <c r="EZ250" s="74"/>
      <c r="FA250" s="69"/>
      <c r="FB250" s="74"/>
      <c r="FC250" s="69"/>
      <c r="FD250" s="74"/>
      <c r="FE250" s="69"/>
      <c r="FF250" s="74"/>
      <c r="FG250" s="69"/>
      <c r="FH250" s="74"/>
      <c r="FI250" s="69"/>
      <c r="FJ250" s="74"/>
      <c r="FK250" s="69"/>
      <c r="FL250" s="73"/>
      <c r="FM250" s="69"/>
      <c r="FN250" s="73"/>
      <c r="FO250" s="69"/>
      <c r="FP250" s="73"/>
      <c r="FQ250" s="69"/>
      <c r="FR250" s="73"/>
      <c r="FS250" s="69"/>
      <c r="FT250" s="73"/>
      <c r="FU250" s="69"/>
      <c r="FV250" s="73"/>
      <c r="FW250" s="69"/>
      <c r="FX250" s="73"/>
      <c r="FY250" s="69"/>
      <c r="FZ250" s="73"/>
      <c r="GA250" s="69"/>
      <c r="GB250" s="73"/>
      <c r="GC250" s="69"/>
      <c r="GD250" s="73"/>
      <c r="GE250" s="69"/>
      <c r="GF250" s="73"/>
      <c r="GG250" s="69"/>
      <c r="GH250" s="73"/>
      <c r="GI250" s="69"/>
      <c r="GJ250" s="73"/>
      <c r="GK250" s="69"/>
      <c r="GL250" s="73"/>
      <c r="GM250" s="69"/>
      <c r="GN250" s="73"/>
      <c r="GO250" s="69"/>
      <c r="GP250" s="73"/>
      <c r="GQ250" s="69"/>
      <c r="GR250" s="73"/>
      <c r="GS250" s="69"/>
      <c r="GT250" s="69"/>
      <c r="GU250" s="562"/>
      <c r="GV250" s="562"/>
      <c r="GW250"/>
      <c r="GX250"/>
      <c r="GY250"/>
      <c r="GZ250"/>
      <c r="HA250"/>
      <c r="HB250"/>
      <c r="HC250" s="562"/>
      <c r="HD250" s="562"/>
      <c r="HE250" s="562"/>
      <c r="HF250" s="562"/>
      <c r="HG250" s="562"/>
      <c r="HH250" s="562"/>
      <c r="HI250" s="562"/>
      <c r="HJ250" s="562"/>
      <c r="HK250" s="562"/>
      <c r="HL250" s="562"/>
      <c r="HM250" s="562"/>
      <c r="HN250" s="562"/>
      <c r="HO250" s="562"/>
      <c r="HP250" s="562"/>
      <c r="HQ250" s="562"/>
      <c r="HR250" s="562"/>
      <c r="HS250" s="562"/>
      <c r="HT250" s="562"/>
      <c r="HU250" s="562"/>
      <c r="HV250" s="562"/>
      <c r="HW250" s="562"/>
      <c r="HX250" s="562"/>
      <c r="HY250" s="562"/>
      <c r="HZ250" s="562"/>
      <c r="IA250" s="562"/>
      <c r="IB250" s="562"/>
      <c r="IC250" s="562"/>
      <c r="ID250" s="562"/>
      <c r="IE250" s="562"/>
      <c r="IF250" s="562"/>
      <c r="IG250" s="562"/>
      <c r="IH250" s="562"/>
      <c r="II250" s="562"/>
      <c r="IJ250" s="562"/>
      <c r="IK250" s="562"/>
      <c r="IL250" s="562"/>
      <c r="IM250" s="562"/>
      <c r="IN250" s="562"/>
      <c r="IO250" s="562"/>
      <c r="IP250" s="562"/>
      <c r="IQ250" s="562"/>
      <c r="IR250" s="562"/>
      <c r="IS250" s="562"/>
      <c r="IT250" s="562"/>
      <c r="IU250" s="562"/>
      <c r="IV250" s="562"/>
      <c r="IW250" s="562"/>
      <c r="IX250" s="562"/>
      <c r="IY250" s="562"/>
      <c r="IZ250" s="562"/>
      <c r="JA250" s="562"/>
      <c r="JB250" s="562"/>
      <c r="JC250" s="562"/>
      <c r="JD250" s="562"/>
      <c r="JE250" s="562"/>
      <c r="JF250" s="562"/>
      <c r="JG250" s="562"/>
      <c r="JH250" s="562"/>
      <c r="JI250" s="562"/>
      <c r="JJ250" s="562"/>
      <c r="JK250" s="562"/>
      <c r="JL250" s="562"/>
      <c r="JM250" s="562"/>
      <c r="JN250" s="562"/>
      <c r="JO250" s="562"/>
      <c r="JP250" s="562"/>
      <c r="JQ250" s="562"/>
      <c r="JR250" s="562"/>
      <c r="JS250" s="562"/>
      <c r="JT250" s="562"/>
      <c r="JU250" s="562"/>
      <c r="JV250" s="562"/>
      <c r="JW250" s="562"/>
      <c r="JX250" s="562"/>
      <c r="JY250" s="562"/>
      <c r="JZ250" s="562"/>
    </row>
    <row r="251" spans="1:286" s="76" customFormat="1" ht="12.75" customHeight="1" x14ac:dyDescent="0.2">
      <c r="A251" s="67"/>
      <c r="B251" s="68" t="s">
        <v>283</v>
      </c>
      <c r="C251" s="79"/>
      <c r="D251" s="79"/>
      <c r="E251" s="82"/>
      <c r="F251" s="82"/>
      <c r="G251" s="82"/>
      <c r="H251" s="82"/>
      <c r="I251" s="82"/>
      <c r="J251" s="82"/>
      <c r="K251" s="82"/>
      <c r="L251" s="79"/>
      <c r="M251" s="82"/>
      <c r="N251" s="79"/>
      <c r="O251" s="82"/>
      <c r="P251" s="79"/>
      <c r="Q251" s="82"/>
      <c r="R251" s="79"/>
      <c r="S251" s="82"/>
      <c r="T251" s="79"/>
      <c r="U251" s="82"/>
      <c r="V251" s="79"/>
      <c r="W251" s="82"/>
      <c r="X251" s="79"/>
      <c r="Y251" s="82"/>
      <c r="Z251" s="79"/>
      <c r="AA251" s="130"/>
      <c r="AB251" s="79"/>
      <c r="AC251" s="82"/>
      <c r="AD251" s="79"/>
      <c r="AE251" s="82"/>
      <c r="AF251" s="79"/>
      <c r="AG251" s="82"/>
      <c r="AH251" s="79"/>
      <c r="AI251" s="82"/>
      <c r="AJ251" s="79"/>
      <c r="AK251" s="82"/>
      <c r="AL251" s="79"/>
      <c r="AM251" s="82"/>
      <c r="AN251" s="79"/>
      <c r="AO251" s="82"/>
      <c r="AP251" s="79"/>
      <c r="AQ251" s="82"/>
      <c r="AR251" s="79"/>
      <c r="AS251" s="82"/>
      <c r="AT251" s="81"/>
      <c r="AU251" s="82"/>
      <c r="AV251" s="81"/>
      <c r="AW251" s="82"/>
      <c r="AX251" s="81"/>
      <c r="AY251" s="82"/>
      <c r="AZ251" s="81"/>
      <c r="BA251" s="82"/>
      <c r="BB251" s="81"/>
      <c r="BC251" s="82"/>
      <c r="BD251" s="81"/>
      <c r="BE251" s="82"/>
      <c r="BF251" s="81"/>
      <c r="BG251" s="82"/>
      <c r="BH251" s="81"/>
      <c r="BI251" s="82"/>
      <c r="BJ251" s="81"/>
      <c r="BK251" s="82"/>
      <c r="BL251" s="81"/>
      <c r="BM251" s="82"/>
      <c r="BN251" s="81"/>
      <c r="BO251" s="82"/>
      <c r="BP251" s="81"/>
      <c r="BQ251" s="82"/>
      <c r="BR251" s="81"/>
      <c r="BS251" s="82"/>
      <c r="BT251" s="81"/>
      <c r="BU251" s="82"/>
      <c r="BV251" s="81"/>
      <c r="BW251" s="82"/>
      <c r="BX251" s="81"/>
      <c r="BY251" s="82"/>
      <c r="BZ251" s="81"/>
      <c r="CA251" s="82"/>
      <c r="CB251" s="81"/>
      <c r="CC251" s="82"/>
      <c r="CD251" s="81"/>
      <c r="CE251" s="82"/>
      <c r="CF251" s="81"/>
      <c r="CG251" s="82"/>
      <c r="CH251" s="81"/>
      <c r="CI251" s="82"/>
      <c r="CJ251" s="81"/>
      <c r="CK251" s="82"/>
      <c r="CL251" s="81"/>
      <c r="CM251" s="82"/>
      <c r="CN251" s="81"/>
      <c r="CO251" s="82"/>
      <c r="CP251" s="81"/>
      <c r="CQ251" s="82"/>
      <c r="CR251" s="81"/>
      <c r="CS251" s="82"/>
      <c r="CT251" s="81"/>
      <c r="CU251" s="82"/>
      <c r="CV251" s="81"/>
      <c r="CW251" s="82"/>
      <c r="CX251" s="81"/>
      <c r="CY251" s="82"/>
      <c r="CZ251" s="81"/>
      <c r="DA251" s="82"/>
      <c r="DB251" s="81"/>
      <c r="DC251" s="82"/>
      <c r="DD251" s="81"/>
      <c r="DE251" s="82"/>
      <c r="DF251" s="81"/>
      <c r="DG251" s="82"/>
      <c r="DH251" s="81"/>
      <c r="DI251" s="82"/>
      <c r="DJ251" s="81"/>
      <c r="DK251" s="82"/>
      <c r="DL251" s="81"/>
      <c r="DM251" s="82"/>
      <c r="DN251" s="81"/>
      <c r="DO251" s="82"/>
      <c r="DP251" s="81"/>
      <c r="DQ251" s="912"/>
      <c r="DR251" s="81"/>
      <c r="DS251" s="912"/>
      <c r="DT251" s="81"/>
      <c r="DU251" s="912"/>
      <c r="DV251" s="81"/>
      <c r="DW251" s="912"/>
      <c r="DX251" s="81"/>
      <c r="DY251" s="912"/>
      <c r="DZ251" s="81"/>
      <c r="EA251" s="912"/>
      <c r="EB251" s="81"/>
      <c r="EC251" s="912"/>
      <c r="ED251" s="81"/>
      <c r="EE251" s="912"/>
      <c r="EF251" s="81"/>
      <c r="EG251" s="912"/>
      <c r="EH251" s="81"/>
      <c r="EI251" s="912"/>
      <c r="EJ251" s="81"/>
      <c r="EK251" s="82"/>
      <c r="EL251" s="81"/>
      <c r="EM251" s="82"/>
      <c r="EN251" s="81"/>
      <c r="EO251" s="82"/>
      <c r="EP251" s="81"/>
      <c r="EQ251" s="82"/>
      <c r="ER251" s="81"/>
      <c r="ES251" s="82"/>
      <c r="ET251" s="469"/>
      <c r="EU251" s="82"/>
      <c r="EV251" s="82"/>
      <c r="EW251" s="79"/>
      <c r="EX251" s="82"/>
      <c r="EY251" s="79"/>
      <c r="EZ251" s="82"/>
      <c r="FA251" s="79"/>
      <c r="FB251" s="82"/>
      <c r="FC251" s="79"/>
      <c r="FD251" s="82"/>
      <c r="FE251" s="79"/>
      <c r="FF251" s="82"/>
      <c r="FG251" s="79"/>
      <c r="FH251" s="82"/>
      <c r="FI251" s="79"/>
      <c r="FJ251" s="82"/>
      <c r="FK251" s="79"/>
      <c r="FL251" s="82"/>
      <c r="FM251" s="79"/>
      <c r="FN251" s="82"/>
      <c r="FO251" s="79"/>
      <c r="FP251" s="82"/>
      <c r="FQ251" s="79"/>
      <c r="FR251" s="82"/>
      <c r="FS251" s="79"/>
      <c r="FT251" s="82"/>
      <c r="FU251" s="79"/>
      <c r="FV251" s="82"/>
      <c r="FW251" s="79"/>
      <c r="FX251" s="82"/>
      <c r="FY251" s="79"/>
      <c r="FZ251" s="82"/>
      <c r="GA251" s="79"/>
      <c r="GB251" s="82"/>
      <c r="GC251" s="79"/>
      <c r="GD251" s="82"/>
      <c r="GE251" s="79"/>
      <c r="GF251" s="82"/>
      <c r="GG251" s="79"/>
      <c r="GH251" s="82"/>
      <c r="GI251" s="79"/>
      <c r="GJ251" s="82"/>
      <c r="GK251" s="79"/>
      <c r="GL251" s="82"/>
      <c r="GM251" s="79"/>
      <c r="GN251" s="82"/>
      <c r="GO251" s="79"/>
      <c r="GP251" s="82"/>
      <c r="GQ251" s="79"/>
      <c r="GR251" s="82"/>
      <c r="GS251" s="79"/>
      <c r="GT251" s="79"/>
      <c r="GU251" s="562"/>
      <c r="GV251" s="562"/>
      <c r="GW251"/>
      <c r="GX251"/>
      <c r="GY251"/>
      <c r="GZ251"/>
      <c r="HA251"/>
      <c r="HB251"/>
      <c r="HC251" s="562"/>
      <c r="HD251" s="562"/>
      <c r="HE251" s="562"/>
      <c r="HF251" s="562"/>
      <c r="HG251" s="562"/>
      <c r="HH251" s="562"/>
      <c r="HI251" s="562"/>
      <c r="HJ251" s="562"/>
      <c r="HK251" s="562"/>
      <c r="HL251" s="562"/>
      <c r="HM251" s="562"/>
      <c r="HN251" s="562"/>
      <c r="HO251" s="562"/>
      <c r="HP251" s="562"/>
      <c r="HQ251" s="562"/>
      <c r="HR251" s="562"/>
      <c r="HS251" s="562"/>
      <c r="HT251" s="562"/>
      <c r="HU251" s="562"/>
      <c r="HV251" s="562"/>
      <c r="HW251" s="562"/>
      <c r="HX251" s="562"/>
      <c r="HY251" s="562"/>
      <c r="HZ251" s="562"/>
      <c r="IA251" s="562"/>
      <c r="IB251" s="562"/>
      <c r="IC251" s="562"/>
      <c r="ID251" s="562"/>
      <c r="IE251" s="562"/>
      <c r="IF251" s="562"/>
      <c r="IG251" s="562"/>
      <c r="IH251" s="562"/>
      <c r="II251" s="562"/>
      <c r="IJ251" s="562"/>
      <c r="IK251" s="562"/>
      <c r="IL251" s="562"/>
      <c r="IM251" s="562"/>
      <c r="IN251" s="562"/>
      <c r="IO251" s="562"/>
      <c r="IP251" s="562"/>
      <c r="IQ251" s="562"/>
      <c r="IR251" s="562"/>
      <c r="IS251" s="562"/>
      <c r="IT251" s="562"/>
      <c r="IU251" s="562"/>
      <c r="IV251" s="562"/>
      <c r="IW251" s="562"/>
      <c r="IX251" s="562"/>
      <c r="IY251" s="562"/>
      <c r="IZ251" s="562"/>
      <c r="JA251" s="562"/>
      <c r="JB251" s="562"/>
      <c r="JC251" s="562"/>
      <c r="JD251" s="562"/>
      <c r="JE251" s="562"/>
      <c r="JF251" s="562"/>
      <c r="JG251" s="562"/>
      <c r="JH251" s="562"/>
      <c r="JI251" s="562"/>
      <c r="JJ251" s="562"/>
      <c r="JK251" s="562"/>
      <c r="JL251" s="562"/>
      <c r="JM251" s="562"/>
      <c r="JN251" s="562"/>
      <c r="JO251" s="562"/>
      <c r="JP251" s="562"/>
      <c r="JQ251" s="562"/>
      <c r="JR251" s="562"/>
      <c r="JS251" s="562"/>
      <c r="JT251" s="562"/>
      <c r="JU251" s="562"/>
      <c r="JV251" s="562"/>
      <c r="JW251" s="562"/>
      <c r="JX251" s="562"/>
      <c r="JY251" s="562"/>
      <c r="JZ251" s="562"/>
    </row>
    <row r="252" spans="1:286" s="132" customFormat="1" ht="12.75" customHeight="1" x14ac:dyDescent="0.2">
      <c r="A252" s="133"/>
      <c r="B252" s="10" t="s">
        <v>269</v>
      </c>
      <c r="C252" s="79"/>
      <c r="D252" s="79"/>
      <c r="E252" s="95"/>
      <c r="F252" s="95"/>
      <c r="G252" s="95"/>
      <c r="H252" s="95"/>
      <c r="I252" s="95"/>
      <c r="J252" s="95"/>
      <c r="K252" s="95"/>
      <c r="L252" s="79"/>
      <c r="M252" s="95">
        <v>279.7</v>
      </c>
      <c r="N252" s="79" t="str">
        <f>IF(ISERROR((M252/E252-1)*100),"NA",IF(((M252/E252-1)*100)&gt;100,"NM",IF(((M252/E252-1)*100)&lt;-50,"NM",(M252/E252-1)*100)))</f>
        <v>NA</v>
      </c>
      <c r="O252" s="95">
        <v>273.7</v>
      </c>
      <c r="P252" s="79" t="str">
        <f>IF(ISERROR((O252/G252-1)*100),"NA",IF(((O252/G252-1)*100)&gt;100,"NM",IF(((O252/G252-1)*100)&lt;-50,"NM",(O252/G252-1)*100)))</f>
        <v>NA</v>
      </c>
      <c r="Q252" s="95">
        <v>272.7</v>
      </c>
      <c r="R252" s="79" t="str">
        <f>IF(ISERROR((Q252/I252-1)*100),"NA",IF(((Q252/I252-1)*100)&gt;100,"NM",IF(((Q252/I252-1)*100)&lt;-50,"NM",(Q252/I252-1)*100)))</f>
        <v>NA</v>
      </c>
      <c r="S252" s="95">
        <v>280.2</v>
      </c>
      <c r="T252" s="79" t="str">
        <f>IF(ISERROR((S252/K252-1)*100),"NA",IF(((S252/K252-1)*100)&gt;100,"NM",IF(((S252/K252-1)*100)&lt;-50,"NM",(S252/K252-1)*100)))</f>
        <v>NA</v>
      </c>
      <c r="U252" s="95">
        <v>268.60000000000002</v>
      </c>
      <c r="V252" s="79">
        <f>IF(ISERROR((U252/M252-1)*100),"NA",IF(((U252/M252-1)*100)&gt;100,"NM",IF(((U252/M252-1)*100)&lt;-50,"NM",(U252/M252-1)*100)))</f>
        <v>-3.9685377189846105</v>
      </c>
      <c r="W252" s="95">
        <v>260.39999999999998</v>
      </c>
      <c r="X252" s="79">
        <f>IF(ISERROR((W252/O252-1)*100),"NA",IF(((W252/O252-1)*100)&gt;100,"NM",IF(((W252/O252-1)*100)&lt;-50,"NM",(W252/O252-1)*100)))</f>
        <v>-4.8593350383631773</v>
      </c>
      <c r="Y252" s="95">
        <v>262.10000000000002</v>
      </c>
      <c r="Z252" s="79">
        <f>IF(ISERROR((Y252/Q252-1)*100),"NA",IF(((Y252/Q252-1)*100)&gt;100,"NM",IF(((Y252/Q252-1)*100)&lt;-50,"NM",(Y252/Q252-1)*100)))</f>
        <v>-3.8870553722038736</v>
      </c>
      <c r="AA252" s="126">
        <v>237.4</v>
      </c>
      <c r="AB252" s="79">
        <f>IF(ISERROR((AA252/S252-1)*100),"NA",IF(((AA252/S252-1)*100)&gt;100,"NM",IF(((AA252/S252-1)*100)&lt;-50,"NM",(AA252/S252-1)*100)))</f>
        <v>-15.274803711634544</v>
      </c>
      <c r="AC252" s="95">
        <v>251.3</v>
      </c>
      <c r="AD252" s="79">
        <f>IF(ISERROR((AC252/U252-1)*100),"NA",IF(((AC252/U252-1)*100)&gt;100,"NM",IF(((AC252/U252-1)*100)&lt;-50,"NM",(AC252/U252-1)*100)))</f>
        <v>-6.4408041697691765</v>
      </c>
      <c r="AE252" s="95">
        <v>249.2</v>
      </c>
      <c r="AF252" s="79">
        <f>IF(ISERROR((AE252/W252-1)*100),"NA",IF(((AE252/W252-1)*100)&gt;100,"NM",IF(((AE252/W252-1)*100)&lt;-50,"NM",(AE252/W252-1)*100)))</f>
        <v>-4.3010752688172005</v>
      </c>
      <c r="AG252" s="95">
        <v>246.8</v>
      </c>
      <c r="AH252" s="79">
        <f>IF(ISERROR((AG252/Y252-1)*100),"NA",IF(((AG252/Y252-1)*100)&gt;100,"NM",IF(((AG252/Y252-1)*100)&lt;-50,"NM",(AG252/Y252-1)*100)))</f>
        <v>-5.8374666157955062</v>
      </c>
      <c r="AI252" s="95">
        <v>239.3</v>
      </c>
      <c r="AJ252" s="79">
        <f>IF(ISERROR((AI252/AA252-1)*100),"NA",IF(((AI252/AA252-1)*100)&gt;100,"NM",IF(((AI252/AA252-1)*100)&lt;-50,"NM",(AI252/AA252-1)*100)))</f>
        <v>0.80033698399326614</v>
      </c>
      <c r="AK252" s="95">
        <v>242</v>
      </c>
      <c r="AL252" s="79">
        <f>IF(ISERROR((AK252/AC252-1)*100),"NA",IF(((AK252/AC252-1)*100)&gt;100,"NM",IF(((AK252/AC252-1)*100)&lt;-50,"NM",(AK252/AC252-1)*100)))</f>
        <v>-3.7007560684440999</v>
      </c>
      <c r="AM252" s="95">
        <v>232.8</v>
      </c>
      <c r="AN252" s="79">
        <f>IF(ISERROR((AM252/AE252-1)*100),"NA",IF(((AM252/AE252-1)*100)&gt;100,"NM",IF(((AM252/AE252-1)*100)&lt;-50,"NM",(AM252/AE252-1)*100)))</f>
        <v>-6.58105939004815</v>
      </c>
      <c r="AO252" s="95">
        <v>257.60000000000002</v>
      </c>
      <c r="AP252" s="79">
        <f>IF(ISERROR((AO252/AG252-1)*100),"NA",IF(((AO252/AG252-1)*100)&gt;100,"NM",IF(((AO252/AG252-1)*100)&lt;-50,"NM",(AO252/AG252-1)*100)))</f>
        <v>4.3760129659643487</v>
      </c>
      <c r="AQ252" s="95">
        <v>279.3</v>
      </c>
      <c r="AR252" s="79">
        <f>IF(ISERROR((AQ252/AI252-1)*100),"NA",IF(((AQ252/AI252-1)*100)&gt;100,"NM",IF(((AQ252/AI252-1)*100)&lt;-50,"NM",(AQ252/AI252-1)*100)))</f>
        <v>16.715419974926871</v>
      </c>
      <c r="AS252" s="95">
        <v>271</v>
      </c>
      <c r="AT252" s="81">
        <f>IF(ISERROR((AS252/AK252-1)*100),"NA",IF(((AS252/AK252-1)*100)&gt;100,"NM",IF(((AS252/AK252-1)*100)&lt;-50,"NM",(AS252/AK252-1)*100)))</f>
        <v>11.983471074380159</v>
      </c>
      <c r="AU252" s="95">
        <v>264.2</v>
      </c>
      <c r="AV252" s="81">
        <f>IF(ISERROR((AU252/AM252-1)*100),"NA",IF(((AU252/AM252-1)*100)&gt;100,"NM",IF(((AU252/AM252-1)*100)&lt;-50,"NM",(AU252/AM252-1)*100)))</f>
        <v>13.487972508591062</v>
      </c>
      <c r="AW252" s="95">
        <v>257.8</v>
      </c>
      <c r="AX252" s="81">
        <f>IF(ISERROR((AW252/AO252-1)*100),"NA",IF(((AW252/AO252-1)*100)&gt;100,"NM",IF(((AW252/AO252-1)*100)&lt;-50,"NM",(AW252/AO252-1)*100)))</f>
        <v>7.763975155279379E-2</v>
      </c>
      <c r="AY252" s="95">
        <v>269.8</v>
      </c>
      <c r="AZ252" s="81">
        <f>IF(ISERROR((AY252/AQ252-1)*100),"NA",IF(((AY252/AQ252-1)*100)&gt;100,"NM",IF(((AY252/AQ252-1)*100)&lt;-50,"NM",(AY252/AQ252-1)*100)))</f>
        <v>-3.4013605442176909</v>
      </c>
      <c r="BA252" s="95">
        <v>252.3</v>
      </c>
      <c r="BB252" s="81">
        <f>IF(ISERROR((BA252/AS252-1)*100),"NA",IF(((BA252/AS252-1)*100)&gt;100,"NM",IF(((BA252/AS252-1)*100)&lt;-50,"NM",(BA252/AS252-1)*100)))</f>
        <v>-6.9003690036900327</v>
      </c>
      <c r="BC252" s="95">
        <v>249.4</v>
      </c>
      <c r="BD252" s="81">
        <f>IF(ISERROR((BC252/AU252-1)*100),"NA",IF(((BC252/AU252-1)*100)&gt;100,"NM",IF(((BC252/AU252-1)*100)&lt;-50,"NM",(BC252/AU252-1)*100)))</f>
        <v>-5.6018168054504098</v>
      </c>
      <c r="BE252" s="95">
        <v>256</v>
      </c>
      <c r="BF252" s="81">
        <f>IF(ISERROR((BE252/AW252-1)*100),"NA",IF(((BE252/AW252-1)*100)&gt;100,"NM",IF(((BE252/AW252-1)*100)&lt;-50,"NM",(BE252/AW252-1)*100)))</f>
        <v>-0.69821567106284066</v>
      </c>
      <c r="BG252" s="95">
        <v>252.2</v>
      </c>
      <c r="BH252" s="81">
        <f>IF(ISERROR((BG252/AY252-1)*100),"NA",IF(((BG252/AY252-1)*100)&gt;100,"NM",IF(((BG252/AY252-1)*100)&lt;-50,"NM",(BG252/AY252-1)*100)))</f>
        <v>-6.5233506300963811</v>
      </c>
      <c r="BI252" s="95">
        <v>238.4</v>
      </c>
      <c r="BJ252" s="81">
        <f>IF(ISERROR((BI252/BA252-1)*100),"NA",IF(((BI252/BA252-1)*100)&gt;100,"NM",IF(((BI252/BA252-1)*100)&lt;-50,"NM",(BI252/BA252-1)*100)))</f>
        <v>-5.5093143083630665</v>
      </c>
      <c r="BK252" s="95">
        <v>237.2</v>
      </c>
      <c r="BL252" s="81">
        <f>IF(ISERROR((BK252/BC252-1)*100),"NA",IF(((BK252/BC252-1)*100)&gt;100,"NM",IF(((BK252/BC252-1)*100)&lt;-50,"NM",(BK252/BC252-1)*100)))</f>
        <v>-4.8917401764234203</v>
      </c>
      <c r="BM252" s="95">
        <v>237.5</v>
      </c>
      <c r="BN252" s="81">
        <f>IF(ISERROR((BM252/BE252-1)*100),"NA",IF(((BM252/BE252-1)*100)&gt;100,"NM",IF(((BM252/BE252-1)*100)&lt;-50,"NM",(BM252/BE252-1)*100)))</f>
        <v>-7.2265625</v>
      </c>
      <c r="BO252" s="95">
        <v>239.2</v>
      </c>
      <c r="BP252" s="81">
        <f>IF(ISERROR((BO252/BG252-1)*100),"NA",IF(((BO252/BG252-1)*100)&gt;100,"NM",IF(((BO252/BG252-1)*100)&lt;-50,"NM",(BO252/BG252-1)*100)))</f>
        <v>-5.1546391752577359</v>
      </c>
      <c r="BQ252" s="95">
        <v>229.6</v>
      </c>
      <c r="BR252" s="81">
        <f>IF(ISERROR((BQ252/BI252-1)*100),"NA",IF(((BQ252/BI252-1)*100)&gt;100,"NM",IF(((BQ252/BI252-1)*100)&lt;-50,"NM",(BQ252/BI252-1)*100)))</f>
        <v>-3.6912751677852351</v>
      </c>
      <c r="BS252" s="95">
        <v>228</v>
      </c>
      <c r="BT252" s="81">
        <f>IF(ISERROR((BS252/BK252-1)*100),"NA",IF(((BS252/BK252-1)*100)&gt;100,"NM",IF(((BS252/BK252-1)*100)&lt;-50,"NM",(BS252/BK252-1)*100)))</f>
        <v>-3.8785834738617186</v>
      </c>
      <c r="BU252" s="95">
        <v>221.5</v>
      </c>
      <c r="BV252" s="81">
        <f>IF(ISERROR((BU252/BM252-1)*100),"NA",IF(((BU252/BM252-1)*100)&gt;100,"NM",IF(((BU252/BM252-1)*100)&lt;-50,"NM",(BU252/BM252-1)*100)))</f>
        <v>-6.7368421052631628</v>
      </c>
      <c r="BW252" s="95">
        <v>219.4</v>
      </c>
      <c r="BX252" s="81">
        <f>IF(ISERROR((BW252/BO252-1)*100),"NA",IF(((BW252/BO252-1)*100)&gt;100,"NM",IF(((BW252/BO252-1)*100)&lt;-50,"NM",(BW252/BO252-1)*100)))</f>
        <v>-8.2775919732441352</v>
      </c>
      <c r="BY252" s="95">
        <f>365.4</f>
        <v>365.4</v>
      </c>
      <c r="BZ252" s="81">
        <f>IF(ISERROR((BY252/BQ252-1)*100),"NA",IF(((BY252/BQ252-1)*100)&gt;100,"NM",IF(((BY252/BQ252-1)*100)&lt;-50,"NM",(BY252/BQ252-1)*100)))</f>
        <v>59.146341463414622</v>
      </c>
      <c r="CA252" s="95">
        <v>362.2</v>
      </c>
      <c r="CB252" s="81">
        <f>IF(ISERROR((CA252/BS252-1)*100),"NA",IF(((CA252/BS252-1)*100)&gt;100,"NM",IF(((CA252/BS252-1)*100)&lt;-50,"NM",(CA252/BS252-1)*100)))</f>
        <v>58.859649122807014</v>
      </c>
      <c r="CC252" s="95">
        <v>358.3</v>
      </c>
      <c r="CD252" s="81">
        <f>IF(ISERROR((CC252/BU252-1)*100),"NA",IF(((CC252/BU252-1)*100)&gt;100,"NM",IF(((CC252/BU252-1)*100)&lt;-50,"NM",(CC252/BU252-1)*100)))</f>
        <v>61.760722347629795</v>
      </c>
      <c r="CE252" s="95">
        <v>363.8</v>
      </c>
      <c r="CF252" s="81">
        <f>IF(ISERROR((CE252/BW252-1)*100),"NA",IF(((CE252/BW252-1)*100)&gt;100,"NM",IF(((CE252/BW252-1)*100)&lt;-50,"NM",(CE252/BW252-1)*100)))</f>
        <v>65.815861440291698</v>
      </c>
      <c r="CG252" s="95">
        <v>353.2</v>
      </c>
      <c r="CH252" s="81">
        <f>IF(ISERROR((CG252/BY252-1)*100),"NA",IF(((CG252/BY252-1)*100)&gt;100,"NM",IF(((CG252/BY252-1)*100)&lt;-50,"NM",(CG252/BY252-1)*100)))</f>
        <v>-3.3388067870826488</v>
      </c>
      <c r="CI252" s="95">
        <v>347.4</v>
      </c>
      <c r="CJ252" s="81">
        <f>IF(ISERROR((CI252/CA252-1)*100),"NA",IF(((CI252/CA252-1)*100)&gt;100,"NM",IF(((CI252/CA252-1)*100)&lt;-50,"NM",(CI252/CA252-1)*100)))</f>
        <v>-4.086140254003312</v>
      </c>
      <c r="CK252" s="95">
        <v>347.6</v>
      </c>
      <c r="CL252" s="81">
        <f>IF(ISERROR((CK252/CC252-1)*100),"NA",IF(((CK252/CC252-1)*100)&gt;100,"NM",IF(((CK252/CC252-1)*100)&lt;-50,"NM",(CK252/CC252-1)*100)))</f>
        <v>-2.9863243092380642</v>
      </c>
      <c r="CM252" s="95">
        <v>347.1</v>
      </c>
      <c r="CN252" s="81">
        <f>IF(ISERROR((CM252/CE252-1)*100),"NA",IF(((CM252/CE252-1)*100)&gt;100,"NM",IF(((CM252/CE252-1)*100)&lt;-50,"NM",(CM252/CE252-1)*100)))</f>
        <v>-4.5904343045629403</v>
      </c>
      <c r="CO252" s="95">
        <v>342.9</v>
      </c>
      <c r="CP252" s="81">
        <f>IF(ISERROR((CO252/CG252-1)*100),"NA",IF(((CO252/CG252-1)*100)&gt;100,"NM",IF(((CO252/CG252-1)*100)&lt;-50,"NM",(CO252/CG252-1)*100)))</f>
        <v>-2.9161947904869812</v>
      </c>
      <c r="CQ252" s="95">
        <v>342.5</v>
      </c>
      <c r="CR252" s="81">
        <f>IF(ISERROR((CQ252/CI252-1)*100),"NA",IF(((CQ252/CI252-1)*100)&gt;100,"NM",IF(((CQ252/CI252-1)*100)&lt;-50,"NM",(CQ252/CI252-1)*100)))</f>
        <v>-1.4104778353483005</v>
      </c>
      <c r="CS252" s="95">
        <v>342.9</v>
      </c>
      <c r="CT252" s="81">
        <f>IF(ISERROR((CS252/CK252-1)*100),"NA",IF(((CS252/CK252-1)*100)&gt;100,"NM",IF(((CS252/CK252-1)*100)&lt;-50,"NM",(CS252/CK252-1)*100)))</f>
        <v>-1.3521288837744616</v>
      </c>
      <c r="CU252" s="95">
        <v>342.2</v>
      </c>
      <c r="CV252" s="81">
        <f>IF(ISERROR((CU252/CM252-1)*100),"NA",IF(((CU252/CM252-1)*100)&gt;100,"NM",IF(((CU252/CM252-1)*100)&lt;-50,"NM",(CU252/CM252-1)*100)))</f>
        <v>-1.4116969173149085</v>
      </c>
      <c r="CW252" s="95">
        <v>340.3</v>
      </c>
      <c r="CX252" s="81">
        <f>IF(ISERROR((CW252/CO252-1)*100),"NA",IF(((CW252/CO252-1)*100)&gt;100,"NM",IF(((CW252/CO252-1)*100)&lt;-50,"NM",(CW252/CO252-1)*100)))</f>
        <v>-0.75823855351413449</v>
      </c>
      <c r="CY252" s="95">
        <v>328.8</v>
      </c>
      <c r="CZ252" s="81">
        <f>IF(ISERROR((CY252/CQ252-1)*100),"NA",IF(((CY252/CQ252-1)*100)&gt;100,"NM",IF(((CY252/CQ252-1)*100)&lt;-50,"NM",(CY252/CQ252-1)*100)))</f>
        <v>-3.9999999999999925</v>
      </c>
      <c r="DA252" s="95">
        <v>326.3</v>
      </c>
      <c r="DB252" s="81">
        <f>IF(ISERROR((DA252/CS252-1)*100),"NA",IF(((DA252/CS252-1)*100)&gt;100,"NM",IF(((DA252/CS252-1)*100)&lt;-50,"NM",(DA252/CS252-1)*100)))</f>
        <v>-4.8410615339749103</v>
      </c>
      <c r="DC252" s="95">
        <v>323.39999999999998</v>
      </c>
      <c r="DD252" s="81">
        <f>IF(ISERROR((DC252/CU252-1)*100),"NA",IF(((DC252/CU252-1)*100)&gt;100,"NM",IF(((DC252/CU252-1)*100)&lt;-50,"NM",(DC252/CU252-1)*100)))</f>
        <v>-5.4938632378725867</v>
      </c>
      <c r="DE252" s="95">
        <v>317.89999999999998</v>
      </c>
      <c r="DF252" s="81">
        <f>IF(ISERROR((DE252/CW252-1)*100),"NA",IF(((DE252/CW252-1)*100)&gt;100,"NM",IF(((DE252/CW252-1)*100)&lt;-50,"NM",(DE252/CW252-1)*100)))</f>
        <v>-6.5824272700558462</v>
      </c>
      <c r="DG252" s="95">
        <v>315.10000000000002</v>
      </c>
      <c r="DH252" s="81">
        <f>IF(ISERROR((DG252/CY252-1)*100),"NA",IF(((DG252/CY252-1)*100)&gt;100,"NM",IF(((DG252/CY252-1)*100)&lt;-50,"NM",(DG252/CY252-1)*100)))</f>
        <v>-4.1666666666666625</v>
      </c>
      <c r="DI252" s="95">
        <v>312.5</v>
      </c>
      <c r="DJ252" s="81">
        <f>IF(ISERROR((DI252/DA252-1)*100),"NA",IF(((DI252/DA252-1)*100)&gt;100,"NM",IF(((DI252/DA252-1)*100)&lt;-50,"NM",(DI252/DA252-1)*100)))</f>
        <v>-4.2292368985596074</v>
      </c>
      <c r="DK252" s="95">
        <v>311.10000000000002</v>
      </c>
      <c r="DL252" s="81">
        <f>IF(ISERROR((DK252/DC252-1)*100),"NA",IF(((DK252/DC252-1)*100)&gt;100,"NM",IF(((DK252/DC252-1)*100)&lt;-50,"NM",(DK252/DC252-1)*100)))</f>
        <v>-3.8033395176252149</v>
      </c>
      <c r="DM252" s="95">
        <v>304.89999999999998</v>
      </c>
      <c r="DN252" s="81">
        <f>IF(ISERROR((DM252/DE252-1)*100),"NA",IF(((DM252/DE252-1)*100)&gt;100,"NM",IF(((DM252/DE252-1)*100)&lt;-50,"NM",(DM252/DE252-1)*100)))</f>
        <v>-4.0893362692670632</v>
      </c>
      <c r="DO252" s="95">
        <v>303</v>
      </c>
      <c r="DP252" s="81">
        <f>IF(ISERROR((DO252/DG252-1)*100),"NA",IF(((DO252/DG252-1)*100)&gt;100,"NM",IF(((DO252/DG252-1)*100)&lt;-50,"NM",(DO252/DG252-1)*100)))</f>
        <v>-3.8400507775309456</v>
      </c>
      <c r="DQ252" s="95">
        <v>301.3</v>
      </c>
      <c r="DR252" s="81">
        <f>IF(ISERROR((DQ252/DI252-1)*100),"NA",IF(((DQ252/DI252-1)*100)&gt;100,"NM",IF(((DQ252/DI252-1)*100)&lt;-50,"NM",(DQ252/DI252-1)*100)))</f>
        <v>-3.5839999999999983</v>
      </c>
      <c r="DS252" s="95">
        <v>298.39999999999998</v>
      </c>
      <c r="DT252" s="81">
        <f>IF(ISERROR((DS252/DK252-1)*100),"NA",IF(((DS252/DK252-1)*100)&gt;100,"NM",IF(((DS252/DK252-1)*100)&lt;-50,"NM",(DS252/DK252-1)*100)))</f>
        <v>-4.0822886531661995</v>
      </c>
      <c r="DU252" s="95">
        <v>295.7</v>
      </c>
      <c r="DV252" s="81">
        <f>IF(ISERROR((DU252/DM252-1)*100),"NA",IF(((DU252/DM252-1)*100)&gt;100,"NM",IF(((DU252/DM252-1)*100)&lt;-50,"NM",(DU252/DM252-1)*100)))</f>
        <v>-3.0173827484421101</v>
      </c>
      <c r="DW252" s="95">
        <v>290</v>
      </c>
      <c r="DX252" s="81">
        <f>IF(ISERROR((DW252/DO252-1)*100),"NA",IF(((DW252/DO252-1)*100)&gt;100,"NM",IF(((DW252/DO252-1)*100)&lt;-50,"NM",(DW252/DO252-1)*100)))</f>
        <v>-4.2904290429042868</v>
      </c>
      <c r="DY252" s="95">
        <v>293</v>
      </c>
      <c r="DZ252" s="81">
        <f>IF(ISERROR((DY252/DQ252-1)*100),"NA",IF(((DY252/DQ252-1)*100)&gt;100,"NM",IF(((DY252/DQ252-1)*100)&lt;-50,"NM",(DY252/DQ252-1)*100)))</f>
        <v>-2.7547295054762722</v>
      </c>
      <c r="EA252" s="95">
        <v>291.7</v>
      </c>
      <c r="EB252" s="81">
        <f>IF(ISERROR((EA252/DS252-1)*100),"NA",IF(((EA252/DS252-1)*100)&gt;100,"NM",IF(((EA252/DS252-1)*100)&lt;-50,"NM",(EA252/DS252-1)*100)))</f>
        <v>-2.2453083109919558</v>
      </c>
      <c r="EC252" s="95">
        <v>286.89999999999998</v>
      </c>
      <c r="ED252" s="81">
        <f t="shared" ref="ED252:ED254" si="797">IF(ISERROR((EC252/DU252-1)*100),"NA",IF(((EC252/DU252-1)*100)&gt;100,"NM",IF(((EC252/DU252-1)*100)&lt;-50,"NM",(EC252/DU252-1)*100)))</f>
        <v>-2.9759891782211723</v>
      </c>
      <c r="EE252" s="95">
        <v>281.39999999999998</v>
      </c>
      <c r="EF252" s="81">
        <f t="shared" ref="EF252:EF254" si="798">IF(ISERROR((EE252/DW252-1)*100),"NA",IF(((EE252/DW252-1)*100)&gt;100,"NM",IF(((EE252/DW252-1)*100)&lt;-50,"NM",(EE252/DW252-1)*100)))</f>
        <v>-2.9655172413793229</v>
      </c>
      <c r="EG252" s="95">
        <v>282.5</v>
      </c>
      <c r="EH252" s="81">
        <f t="shared" ref="EH252:EH254" si="799">IF(ISERROR((EG252/DY252-1)*100),"NA",IF(((EG252/DY252-1)*100)&gt;100,"NM",IF(((EG252/DY252-1)*100)&lt;-50,"NM",(EG252/DY252-1)*100)))</f>
        <v>-3.5836177474402708</v>
      </c>
      <c r="EI252" s="95">
        <v>278.39999999999998</v>
      </c>
      <c r="EJ252" s="81">
        <f t="shared" ref="EJ252:EJ254" si="800">IF(ISERROR((EI252/EA252-1)*100),"NA",IF(((EI252/EA252-1)*100)&gt;100,"NM",IF(((EI252/EA252-1)*100)&lt;-50,"NM",(EI252/EA252-1)*100)))</f>
        <v>-4.5594789166952365</v>
      </c>
      <c r="EK252" s="95">
        <f>EI252*0.99</f>
        <v>275.61599999999999</v>
      </c>
      <c r="EL252" s="81">
        <f t="shared" ref="EL252:EL254" si="801">IF(ISERROR((EK252/EC252-1)*100),"NA",IF(((EK252/EC252-1)*100)&gt;100,"NM",IF(((EK252/EC252-1)*100)&lt;-50,"NM",(EK252/EC252-1)*100)))</f>
        <v>-3.9330777274311557</v>
      </c>
      <c r="EM252" s="95">
        <f>EK252*0.994</f>
        <v>273.96230399999996</v>
      </c>
      <c r="EN252" s="81">
        <f t="shared" ref="EN252:EN254" si="802">IF(ISERROR((EM252/EE252-1)*100),"NA",IF(((EM252/EE252-1)*100)&gt;100,"NM",IF(((EM252/EE252-1)*100)&lt;-50,"NM",(EM252/EE252-1)*100)))</f>
        <v>-2.6431044776119461</v>
      </c>
      <c r="EO252" s="95">
        <f>EM252*0.994</f>
        <v>272.31853017599997</v>
      </c>
      <c r="EP252" s="81">
        <f t="shared" ref="EP252:EP254" si="803">IF(ISERROR((EO252/EG252-1)*100),"NA",IF(((EO252/EG252-1)*100)&gt;100,"NM",IF(((EO252/EG252-1)*100)&lt;-50,"NM",(EO252/EG252-1)*100)))</f>
        <v>-3.6040601146902773</v>
      </c>
      <c r="EQ252" s="95">
        <f>EO252*0.994</f>
        <v>270.68461899494395</v>
      </c>
      <c r="ER252" s="81">
        <f t="shared" ref="ER252:ER254" si="804">IF(ISERROR((EQ252/EI252-1)*100),"NA",IF(((EQ252/EI252-1)*100)&gt;100,"NM",IF(((EQ252/EI252-1)*100)&lt;-50,"NM",(EQ252/EI252-1)*100)))</f>
        <v>-2.7713293840000097</v>
      </c>
      <c r="ES252" s="129"/>
      <c r="ET252" s="469"/>
      <c r="EU252" s="129"/>
      <c r="EV252" s="95"/>
      <c r="EW252" s="79"/>
      <c r="EX252" s="95"/>
      <c r="EY252" s="79"/>
      <c r="EZ252" s="131"/>
      <c r="FA252" s="79"/>
      <c r="FB252" s="35"/>
      <c r="FC252" s="79"/>
      <c r="FD252" s="35">
        <f>+S252+Q252+O252+M252</f>
        <v>1106.3</v>
      </c>
      <c r="FE252" s="79" t="str">
        <f>IF(ISERROR((FD252/FB252-1)*100),"NA",IF(((FD252/FB252-1)*100)&gt;100,"NM",IF(((FD252/FB252-1)*100)&lt;-50,"NM",(FD252/FB252-1)*100)))</f>
        <v>NA</v>
      </c>
      <c r="FF252" s="35">
        <f>+AA252+Y252+W252+U252</f>
        <v>1028.5</v>
      </c>
      <c r="FG252" s="79">
        <f>IF(ISERROR((FF252/FD252-1)*100),"NA",IF(((FF252/FD252-1)*100)&gt;100,"NM",IF(((FF252/FD252-1)*100)&lt;-50,"NM",(FF252/FD252-1)*100)))</f>
        <v>-7.0324505107113744</v>
      </c>
      <c r="FH252" s="35">
        <f>+AI252+AG252+AE252+AC252</f>
        <v>986.59999999999991</v>
      </c>
      <c r="FI252" s="79">
        <f>IF(ISERROR((FH252/FF252-1)*100),"NA",IF(((FH252/FF252-1)*100)&gt;100,"NM",IF(((FH252/FF252-1)*100)&lt;-50,"NM",(FH252/FF252-1)*100)))</f>
        <v>-4.0738940204180896</v>
      </c>
      <c r="FJ252" s="35">
        <f>+AQ252+AO252+AM252+AK252</f>
        <v>1011.7</v>
      </c>
      <c r="FK252" s="79">
        <f>IF(ISERROR((FJ252/FH252-1)*100),"NA",IF(((FJ252/FH252-1)*100)&gt;100,"NM",IF(((FJ252/FH252-1)*100)&lt;-50,"NM",(FJ252/FH252-1)*100)))</f>
        <v>2.5440908169471088</v>
      </c>
      <c r="FL252" s="78">
        <f>AS252+AU252+AW252+AY252</f>
        <v>1062.8</v>
      </c>
      <c r="FM252" s="79">
        <f>IF(ISERROR((FL252/FJ252-1)*100),"NA",IF(((FL252/FJ252-1)*100)&gt;100,"NM",IF(((FL252/FJ252-1)*100)&lt;-50,"NM",(FL252/FJ252-1)*100)))</f>
        <v>5.0509044183058016</v>
      </c>
      <c r="FN252" s="78">
        <f>BA252+BC252+BE252+BG252</f>
        <v>1009.9000000000001</v>
      </c>
      <c r="FO252" s="79">
        <f>IF(ISERROR((FN252/FL252-1)*100),"NA",IF(((FN252/FL252-1)*100)&gt;100,"NM",IF(((FN252/FL252-1)*100)&lt;-50,"NM",(FN252/FL252-1)*100)))</f>
        <v>-4.977418140760248</v>
      </c>
      <c r="FP252" s="78">
        <f>BI252+BK252+BM252+BO252</f>
        <v>952.3</v>
      </c>
      <c r="FQ252" s="79">
        <f>IF(ISERROR((FP252/FN252-1)*100),"NA",IF(((FP252/FN252-1)*100)&gt;100,"NM",IF(((FP252/FN252-1)*100)&lt;-50,"NM",(FP252/FN252-1)*100)))</f>
        <v>-5.7035350034656984</v>
      </c>
      <c r="FR252" s="95">
        <v>1495.9</v>
      </c>
      <c r="FS252" s="79">
        <f>IF(ISERROR((FR252/FP252-1)*100),"NA",IF(((FR252/FP252-1)*100)&gt;100,"NM",IF(((FR252/FP252-1)*100)&lt;-50,"NM",(FR252/FP252-1)*100)))</f>
        <v>57.082852042423625</v>
      </c>
      <c r="FT252" s="93">
        <f>BY252+CA252+CC252+CE252</f>
        <v>1449.6999999999998</v>
      </c>
      <c r="FU252" s="79">
        <f>IF(ISERROR((FT252/FR252-1)*100),"NA",IF(((FT252/FR252-1)*100)&gt;100,"NM",IF(((FT252/FR252-1)*100)&lt;-50,"NM",(FT252/FR252-1)*100)))</f>
        <v>-3.0884417407580855</v>
      </c>
      <c r="FV252" s="93">
        <f>CG252+CI252+CK252+CM252</f>
        <v>1395.2999999999997</v>
      </c>
      <c r="FW252" s="79">
        <f>IF(ISERROR((FV252/FT252-1)*100),"NA",IF(((FV252/FT252-1)*100)&gt;100,"NM",IF(((FV252/FT252-1)*100)&lt;-50,"NM",(FV252/FT252-1)*100)))</f>
        <v>-3.7525005173484227</v>
      </c>
      <c r="FX252" s="93">
        <f>CO252+CQ252+CS252+CU252</f>
        <v>1370.5</v>
      </c>
      <c r="FY252" s="79">
        <f>IF(ISERROR((FX252/FV252-1)*100),"NA",IF(((FX252/FV252-1)*100)&gt;100,"NM",IF(((FX252/FV252-1)*100)&lt;-50,"NM",(FX252/FV252-1)*100)))</f>
        <v>-1.7773955421772958</v>
      </c>
      <c r="FZ252" s="93">
        <f>CW252+CY252+DA252+DC252</f>
        <v>1318.8000000000002</v>
      </c>
      <c r="GA252" s="79">
        <f>IF(ISERROR((FZ252/FX252-1)*100),"NA",IF(((FZ252/FX252-1)*100)&gt;100,"NM",IF(((FZ252/FX252-1)*100)&lt;-50,"NM",(FZ252/FX252-1)*100)))</f>
        <v>-3.7723458591754744</v>
      </c>
      <c r="GB252" s="93">
        <f>DE252+DG252+DI252+DK252</f>
        <v>1256.5999999999999</v>
      </c>
      <c r="GC252" s="79">
        <f>IF(ISERROR((GB252/FZ252-1)*100),"NA",IF(((GB252/FZ252-1)*100)&gt;100,"NM",IF(((GB252/FZ252-1)*100)&lt;-50,"NM",(GB252/FZ252-1)*100)))</f>
        <v>-4.716408856536269</v>
      </c>
      <c r="GD252" s="93">
        <f>DM252+DO252+DQ252+DS252</f>
        <v>1207.5999999999999</v>
      </c>
      <c r="GE252" s="79">
        <f>IF(ISERROR((GD252/GB252-1)*100),"NA",IF(((GD252/GB252-1)*100)&gt;100,"NM",IF(((GD252/GB252-1)*100)&lt;-50,"NM",(GD252/GB252-1)*100)))</f>
        <v>-3.8994111093426764</v>
      </c>
      <c r="GF252" s="93">
        <f>DU252+DW252+DY252+EA252</f>
        <v>1170.4000000000001</v>
      </c>
      <c r="GG252" s="79">
        <f>IF(ISERROR((GF252/GD252-1)*100),"NA",IF(((GF252/GD252-1)*100)&gt;100,"NM",IF(((GF252/GD252-1)*100)&lt;-50,"NM",(GF252/GD252-1)*100)))</f>
        <v>-3.0804902285524904</v>
      </c>
      <c r="GH252" s="93">
        <f>EC252+EE252+EG252+EI252</f>
        <v>1129.1999999999998</v>
      </c>
      <c r="GI252" s="79">
        <f>IF(ISERROR((GH252/GF252-1)*100),"NA",IF(((GH252/GF252-1)*100)&gt;100,"NM",IF(((GH252/GF252-1)*100)&lt;-50,"NM",(GH252/GF252-1)*100)))</f>
        <v>-3.5201640464798567</v>
      </c>
      <c r="GJ252" s="93">
        <f>EK252+EM252+EO252+EQ252</f>
        <v>1092.5814531709439</v>
      </c>
      <c r="GK252" s="79">
        <f>IF(ISERROR((GJ252/GH252-1)*100),"NA",IF(((GJ252/GH252-1)*100)&gt;100,"NM",IF(((GJ252/GH252-1)*100)&lt;-50,"NM",(GJ252/GH252-1)*100)))</f>
        <v>-3.2428752062571675</v>
      </c>
      <c r="GL252" s="95">
        <f>+GJ252*0.97</f>
        <v>1059.8040095758156</v>
      </c>
      <c r="GM252" s="79">
        <f>IF(ISERROR((GL252/GJ252-1)*100),"NA",IF(((GL252/GJ252-1)*100)&gt;100,"NM",IF(((GL252/GJ252-1)*100)&lt;-50,"NM",(GL252/GJ252-1)*100)))</f>
        <v>-2.9999999999999916</v>
      </c>
      <c r="GN252" s="95">
        <f>+GL252*0.97</f>
        <v>1028.009889288541</v>
      </c>
      <c r="GO252" s="79">
        <f>IF(ISERROR((GN252/GL252-1)*100),"NA",IF(((GN252/GL252-1)*100)&gt;100,"NM",IF(((GN252/GL252-1)*100)&lt;-50,"NM",(GN252/GL252-1)*100)))</f>
        <v>-3.0000000000000138</v>
      </c>
      <c r="GP252" s="95">
        <f>+GN252*0.97</f>
        <v>997.16959260988472</v>
      </c>
      <c r="GQ252" s="79">
        <f>IF(ISERROR((GP252/GN252-1)*100),"NA",IF(((GP252/GN252-1)*100)&gt;100,"NM",IF(((GP252/GN252-1)*100)&lt;-50,"NM",(GP252/GN252-1)*100)))</f>
        <v>-3.0000000000000027</v>
      </c>
      <c r="GR252" s="95">
        <f>+GP252*0.97</f>
        <v>967.25450483158818</v>
      </c>
      <c r="GS252" s="79">
        <f>IF(ISERROR((GR252/GP252-1)*100),"NA",IF(((GR252/GP252-1)*100)&gt;100,"NM",IF(((GR252/GP252-1)*100)&lt;-50,"NM",(GR252/GP252-1)*100)))</f>
        <v>-3.0000000000000027</v>
      </c>
      <c r="GT252" s="79">
        <f>IF(ISERROR(((GR252/GH252)^0.2-1)*100),"NA",(IF(OR(((GR252/GH252)^0.2-1)*100&gt;99,((GR252/GH252)^0.2-1)*100&lt;-50),"NM",(((GR252/GH252)^0.2-1)*100))))</f>
        <v>-3.0486237646666026</v>
      </c>
      <c r="GU252" s="562"/>
      <c r="GV252" s="562"/>
      <c r="GW252"/>
      <c r="GX252"/>
      <c r="GY252"/>
      <c r="GZ252"/>
      <c r="HA252"/>
      <c r="HB252"/>
      <c r="HC252" s="562"/>
      <c r="HD252" s="562"/>
      <c r="HE252" s="562"/>
      <c r="HF252" s="562"/>
      <c r="HG252" s="562"/>
      <c r="HH252" s="562"/>
      <c r="HI252" s="562"/>
      <c r="HJ252" s="562"/>
      <c r="HK252" s="562"/>
      <c r="HL252" s="562"/>
      <c r="HM252" s="562"/>
      <c r="HN252" s="562"/>
      <c r="HO252" s="562"/>
      <c r="HP252" s="562"/>
      <c r="HQ252" s="562"/>
      <c r="HR252" s="562"/>
      <c r="HS252" s="562"/>
      <c r="HT252" s="562"/>
      <c r="HU252" s="562"/>
      <c r="HV252" s="562"/>
      <c r="HW252" s="562"/>
      <c r="HX252" s="562"/>
      <c r="HY252" s="562"/>
      <c r="HZ252" s="562"/>
      <c r="IA252" s="562"/>
      <c r="IB252" s="562"/>
      <c r="IC252" s="562"/>
      <c r="ID252" s="562"/>
      <c r="IE252" s="562"/>
      <c r="IF252" s="562"/>
      <c r="IG252" s="562"/>
      <c r="IH252" s="562"/>
      <c r="II252" s="562"/>
      <c r="IJ252" s="562"/>
      <c r="IK252" s="562"/>
      <c r="IL252" s="562"/>
      <c r="IM252" s="562"/>
      <c r="IN252" s="562"/>
      <c r="IO252" s="562"/>
      <c r="IP252" s="562"/>
      <c r="IQ252" s="562"/>
      <c r="IR252" s="562"/>
      <c r="IS252" s="562"/>
      <c r="IT252" s="562"/>
      <c r="IU252" s="562"/>
      <c r="IV252" s="562"/>
      <c r="IW252" s="562"/>
      <c r="IX252" s="562"/>
      <c r="IY252" s="562"/>
      <c r="IZ252" s="562"/>
      <c r="JA252" s="562"/>
      <c r="JB252" s="562"/>
      <c r="JC252" s="562"/>
      <c r="JD252" s="562"/>
      <c r="JE252" s="562"/>
      <c r="JF252" s="562"/>
      <c r="JG252" s="562"/>
      <c r="JH252" s="562"/>
      <c r="JI252" s="562"/>
      <c r="JJ252" s="562"/>
      <c r="JK252" s="562"/>
      <c r="JL252" s="562"/>
      <c r="JM252" s="562"/>
      <c r="JN252" s="562"/>
      <c r="JO252" s="562"/>
      <c r="JP252" s="562"/>
      <c r="JQ252" s="562"/>
      <c r="JR252" s="562"/>
      <c r="JS252" s="562"/>
      <c r="JT252" s="562"/>
      <c r="JU252" s="562"/>
      <c r="JV252" s="562"/>
      <c r="JW252" s="562"/>
      <c r="JX252" s="562"/>
      <c r="JY252" s="562"/>
      <c r="JZ252" s="562"/>
    </row>
    <row r="253" spans="1:286" s="132" customFormat="1" ht="12.75" customHeight="1" x14ac:dyDescent="0.2">
      <c r="A253" s="1" t="s">
        <v>80</v>
      </c>
      <c r="B253" s="10" t="s">
        <v>406</v>
      </c>
      <c r="C253" s="79"/>
      <c r="D253" s="79"/>
      <c r="E253" s="129"/>
      <c r="F253" s="129"/>
      <c r="G253" s="95"/>
      <c r="H253" s="95"/>
      <c r="I253" s="95"/>
      <c r="J253" s="95"/>
      <c r="K253" s="95"/>
      <c r="L253" s="79"/>
      <c r="M253" s="129">
        <v>191.8</v>
      </c>
      <c r="N253" s="79" t="str">
        <f>IF(ISERROR((M253/E253-1)*100),"NA",IF(((M253/E253-1)*100)&gt;100,"NM",IF(((M253/E253-1)*100)&lt;-50,"NM",(M253/E253-1)*100)))</f>
        <v>NA</v>
      </c>
      <c r="O253" s="129">
        <v>201.4</v>
      </c>
      <c r="P253" s="79" t="str">
        <f>IF(ISERROR((O253/G253-1)*100),"NA",IF(((O253/G253-1)*100)&gt;100,"NM",IF(((O253/G253-1)*100)&lt;-50,"NM",(O253/G253-1)*100)))</f>
        <v>NA</v>
      </c>
      <c r="Q253" s="129">
        <v>210.2</v>
      </c>
      <c r="R253" s="79" t="str">
        <f>IF(ISERROR((Q253/I253-1)*100),"NA",IF(((Q253/I253-1)*100)&gt;100,"NM",IF(((Q253/I253-1)*100)&lt;-50,"NM",(Q253/I253-1)*100)))</f>
        <v>NA</v>
      </c>
      <c r="S253" s="95">
        <v>211.1</v>
      </c>
      <c r="T253" s="79" t="str">
        <f>IF(ISERROR((S253/K253-1)*100),"NA",IF(((S253/K253-1)*100)&gt;100,"NM",IF(((S253/K253-1)*100)&lt;-50,"NM",(S253/K253-1)*100)))</f>
        <v>NA</v>
      </c>
      <c r="U253" s="129">
        <v>204.3</v>
      </c>
      <c r="V253" s="79">
        <f>IF(ISERROR((U253/M253-1)*100),"NA",IF(((U253/M253-1)*100)&gt;100,"NM",IF(((U253/M253-1)*100)&lt;-50,"NM",(U253/M253-1)*100)))</f>
        <v>6.517205422314909</v>
      </c>
      <c r="W253" s="129">
        <v>200.9</v>
      </c>
      <c r="X253" s="79">
        <f>IF(ISERROR((W253/O253-1)*100),"NA",IF(((W253/O253-1)*100)&gt;100,"NM",IF(((W253/O253-1)*100)&lt;-50,"NM",(W253/O253-1)*100)))</f>
        <v>-0.24826216484608032</v>
      </c>
      <c r="Y253" s="95">
        <v>208</v>
      </c>
      <c r="Z253" s="79">
        <f>IF(ISERROR((Y253/Q253-1)*100),"NA",IF(((Y253/Q253-1)*100)&gt;100,"NM",IF(((Y253/Q253-1)*100)&lt;-50,"NM",(Y253/Q253-1)*100)))</f>
        <v>-1.0466222645099887</v>
      </c>
      <c r="AA253" s="126">
        <v>211</v>
      </c>
      <c r="AB253" s="79">
        <f>IF(ISERROR((AA253/S253-1)*100),"NA",IF(((AA253/S253-1)*100)&gt;100,"NM",IF(((AA253/S253-1)*100)&lt;-50,"NM",(AA253/S253-1)*100)))</f>
        <v>-4.7370914258637598E-2</v>
      </c>
      <c r="AC253" s="129">
        <v>213</v>
      </c>
      <c r="AD253" s="79">
        <f>IF(ISERROR((AC253/U253-1)*100),"NA",IF(((AC253/U253-1)*100)&gt;100,"NM",IF(((AC253/U253-1)*100)&lt;-50,"NM",(AC253/U253-1)*100)))</f>
        <v>4.2584434654919123</v>
      </c>
      <c r="AE253" s="129">
        <v>189.9</v>
      </c>
      <c r="AF253" s="79">
        <f>IF(ISERROR((AE253/W253-1)*100),"NA",IF(((AE253/W253-1)*100)&gt;100,"NM",IF(((AE253/W253-1)*100)&lt;-50,"NM",(AE253/W253-1)*100)))</f>
        <v>-5.4753608760577439</v>
      </c>
      <c r="AG253" s="95">
        <v>192.6</v>
      </c>
      <c r="AH253" s="79">
        <f>IF(ISERROR((AG253/Y253-1)*100),"NA",IF(((AG253/Y253-1)*100)&gt;100,"NM",IF(((AG253/Y253-1)*100)&lt;-50,"NM",(AG253/Y253-1)*100)))</f>
        <v>-7.4038461538461604</v>
      </c>
      <c r="AI253" s="95">
        <v>203.6</v>
      </c>
      <c r="AJ253" s="79">
        <f>IF(ISERROR((AI253/AA253-1)*100),"NA",IF(((AI253/AA253-1)*100)&gt;100,"NM",IF(((AI253/AA253-1)*100)&lt;-50,"NM",(AI253/AA253-1)*100)))</f>
        <v>-3.5071090047393394</v>
      </c>
      <c r="AK253" s="95">
        <v>179.9</v>
      </c>
      <c r="AL253" s="79">
        <f>IF(ISERROR((AK253/AC253-1)*100),"NA",IF(((AK253/AC253-1)*100)&gt;100,"NM",IF(((AK253/AC253-1)*100)&lt;-50,"NM",(AK253/AC253-1)*100)))</f>
        <v>-15.539906103286382</v>
      </c>
      <c r="AM253" s="95">
        <v>189.7</v>
      </c>
      <c r="AN253" s="79">
        <f>IF(ISERROR((AM253/AE253-1)*100),"NA",IF(((AM253/AE253-1)*100)&gt;100,"NM",IF(((AM253/AE253-1)*100)&lt;-50,"NM",(AM253/AE253-1)*100)))</f>
        <v>-0.10531858873091826</v>
      </c>
      <c r="AO253" s="95">
        <v>192.9</v>
      </c>
      <c r="AP253" s="79">
        <f>IF(ISERROR((AO253/AG253-1)*100),"NA",IF(((AO253/AG253-1)*100)&gt;100,"NM",IF(((AO253/AG253-1)*100)&lt;-50,"NM",(AO253/AG253-1)*100)))</f>
        <v>0.15576323987540608</v>
      </c>
      <c r="AQ253" s="95">
        <v>207.5</v>
      </c>
      <c r="AR253" s="79">
        <f>IF(ISERROR((AQ253/AI253-1)*100),"NA",IF(((AQ253/AI253-1)*100)&gt;100,"NM",IF(((AQ253/AI253-1)*100)&lt;-50,"NM",(AQ253/AI253-1)*100)))</f>
        <v>1.9155206286836979</v>
      </c>
      <c r="AS253" s="95">
        <v>202.2</v>
      </c>
      <c r="AT253" s="81">
        <f>IF(ISERROR((AS253/AK253-1)*100),"NA",IF(((AS253/AK253-1)*100)&gt;100,"NM",IF(((AS253/AK253-1)*100)&lt;-50,"NM",(AS253/AK253-1)*100)))</f>
        <v>12.395775430794886</v>
      </c>
      <c r="AU253" s="95">
        <v>214</v>
      </c>
      <c r="AV253" s="81">
        <f>IF(ISERROR((AU253/AM253-1)*100),"NA",IF(((AU253/AM253-1)*100)&gt;100,"NM",IF(((AU253/AM253-1)*100)&lt;-50,"NM",(AU253/AM253-1)*100)))</f>
        <v>12.809699525566698</v>
      </c>
      <c r="AW253" s="95">
        <v>207</v>
      </c>
      <c r="AX253" s="81">
        <f>IF(ISERROR((AW253/AO253-1)*100),"NA",IF(((AW253/AO253-1)*100)&gt;100,"NM",IF(((AW253/AO253-1)*100)&lt;-50,"NM",(AW253/AO253-1)*100)))</f>
        <v>7.3094867807153907</v>
      </c>
      <c r="AY253" s="95">
        <v>205.5</v>
      </c>
      <c r="AZ253" s="81">
        <f>IF(ISERROR((AY253/AQ253-1)*100),"NA",IF(((AY253/AQ253-1)*100)&gt;100,"NM",IF(((AY253/AQ253-1)*100)&lt;-50,"NM",(AY253/AQ253-1)*100)))</f>
        <v>-0.96385542168674343</v>
      </c>
      <c r="BA253" s="95">
        <v>204.6</v>
      </c>
      <c r="BB253" s="81">
        <f>IF(ISERROR((BA253/AS253-1)*100),"NA",IF(((BA253/AS253-1)*100)&gt;100,"NM",IF(((BA253/AS253-1)*100)&lt;-50,"NM",(BA253/AS253-1)*100)))</f>
        <v>1.1869436201780381</v>
      </c>
      <c r="BC253" s="95">
        <v>203.4</v>
      </c>
      <c r="BD253" s="81">
        <f>IF(ISERROR((BC253/AU253-1)*100),"NA",IF(((BC253/AU253-1)*100)&gt;100,"NM",IF(((BC253/AU253-1)*100)&lt;-50,"NM",(BC253/AU253-1)*100)))</f>
        <v>-4.953271028037376</v>
      </c>
      <c r="BE253" s="95">
        <v>213.6</v>
      </c>
      <c r="BF253" s="81">
        <f>IF(ISERROR((BE253/AW253-1)*100),"NA",IF(((BE253/AW253-1)*100)&gt;100,"NM",IF(((BE253/AW253-1)*100)&lt;-50,"NM",(BE253/AW253-1)*100)))</f>
        <v>3.1884057971014457</v>
      </c>
      <c r="BG253" s="95">
        <f>205.6+0.4</f>
        <v>206</v>
      </c>
      <c r="BH253" s="81">
        <f>IF(ISERROR((BG253/AY253-1)*100),"NA",IF(((BG253/AY253-1)*100)&gt;100,"NM",IF(((BG253/AY253-1)*100)&lt;-50,"NM",(BG253/AY253-1)*100)))</f>
        <v>0.24330900243310083</v>
      </c>
      <c r="BI253" s="95">
        <f>190.7+0.2</f>
        <v>190.89999999999998</v>
      </c>
      <c r="BJ253" s="81">
        <f>IF(ISERROR((BI253/BA253-1)*100),"NA",IF(((BI253/BA253-1)*100)&gt;100,"NM",IF(((BI253/BA253-1)*100)&lt;-50,"NM",(BI253/BA253-1)*100)))</f>
        <v>-6.6959921798631523</v>
      </c>
      <c r="BK253" s="95">
        <f>201.8-3.4</f>
        <v>198.4</v>
      </c>
      <c r="BL253" s="81">
        <f>IF(ISERROR((BK253/BC253-1)*100),"NA",IF(((BK253/BC253-1)*100)&gt;100,"NM",IF(((BK253/BC253-1)*100)&lt;-50,"NM",(BK253/BC253-1)*100)))</f>
        <v>-2.4582104228121904</v>
      </c>
      <c r="BM253" s="95">
        <f>192.7-3.4</f>
        <v>189.29999999999998</v>
      </c>
      <c r="BN253" s="81">
        <f>IF(ISERROR((BM253/BE253-1)*100),"NA",IF(((BM253/BE253-1)*100)&gt;100,"NM",IF(((BM253/BE253-1)*100)&lt;-50,"NM",(BM253/BE253-1)*100)))</f>
        <v>-11.376404494382031</v>
      </c>
      <c r="BO253" s="95">
        <v>188.9</v>
      </c>
      <c r="BP253" s="81">
        <f>IF(ISERROR((BO253/BG253-1)*100),"NA",IF(((BO253/BG253-1)*100)&gt;100,"NM",IF(((BO253/BG253-1)*100)&lt;-50,"NM",(BO253/BG253-1)*100)))</f>
        <v>-8.3009708737864063</v>
      </c>
      <c r="BQ253" s="95">
        <v>186.4</v>
      </c>
      <c r="BR253" s="81">
        <f>IF(ISERROR((BQ253/BI253-1)*100),"NA",IF(((BQ253/BI253-1)*100)&gt;100,"NM",IF(((BQ253/BI253-1)*100)&lt;-50,"NM",(BQ253/BI253-1)*100)))</f>
        <v>-2.357255107386047</v>
      </c>
      <c r="BS253" s="95">
        <v>187.4</v>
      </c>
      <c r="BT253" s="81">
        <f>IF(ISERROR((BU253/BK253-1)*100),"NA",IF(((BU253/BK253-1)*100)&gt;100,"NM",IF(((BU253/BK253-1)*100)&lt;-50,"NM",(BU253/BK253-1)*100)))</f>
        <v>-7.0564516129032251</v>
      </c>
      <c r="BU253" s="95">
        <v>184.4</v>
      </c>
      <c r="BV253" s="81">
        <f>IF(ISERROR((BU253/BM253-1)*100),"NA",IF(((BU253/BM253-1)*100)&gt;100,"NM",IF(((BU253/BM253-1)*100)&lt;-50,"NM",(BU253/BM253-1)*100)))</f>
        <v>-2.5884838880084415</v>
      </c>
      <c r="BW253" s="95">
        <v>182.4</v>
      </c>
      <c r="BX253" s="81">
        <f>IF(ISERROR((BW253/BO253-1)*100),"NA",IF(((BW253/BO253-1)*100)&gt;100,"NM",IF(((BW253/BO253-1)*100)&lt;-50,"NM",(BW253/BO253-1)*100)))</f>
        <v>-3.4409740603493888</v>
      </c>
      <c r="BY253" s="95">
        <v>290.8</v>
      </c>
      <c r="BZ253" s="81">
        <f>IF(ISERROR((BY253/BQ253-1)*100),"NA",IF(((BY253/BQ253-1)*100)&gt;100,"NM",IF(((BY253/BQ253-1)*100)&lt;-50,"NM",(BY253/BQ253-1)*100)))</f>
        <v>56.008583690987138</v>
      </c>
      <c r="CA253" s="95">
        <v>293</v>
      </c>
      <c r="CB253" s="81">
        <f>IF(ISERROR((CC253/BS253-1)*100),"NA",IF(((CC253/BS253-1)*100)&gt;100,"NM",IF(((CC253/BS253-1)*100)&lt;-50,"NM",(CC253/BS253-1)*100)))</f>
        <v>55.176093916755597</v>
      </c>
      <c r="CC253" s="95">
        <v>290.8</v>
      </c>
      <c r="CD253" s="81">
        <f>IF(ISERROR((CC253/BU253-1)*100),"NA",IF(((CC253/BU253-1)*100)&gt;100,"NM",IF(((CC253/BU253-1)*100)&lt;-50,"NM",(CC253/BU253-1)*100)))</f>
        <v>57.700650759219087</v>
      </c>
      <c r="CE253" s="95">
        <v>291.8</v>
      </c>
      <c r="CF253" s="81">
        <f>IF(ISERROR((CE253/BW253-1)*100),"NA",IF(((CE253/BW253-1)*100)&gt;100,"NM",IF(((CE253/BW253-1)*100)&lt;-50,"NM",(CE253/BW253-1)*100)))</f>
        <v>59.978070175438589</v>
      </c>
      <c r="CG253" s="95">
        <v>294.3</v>
      </c>
      <c r="CH253" s="81">
        <f>IF(ISERROR((CG253/BY253-1)*100),"NA",IF(((CG253/BY253-1)*100)&gt;100,"NM",IF(((CG253/BY253-1)*100)&lt;-50,"NM",(CG253/BY253-1)*100)))</f>
        <v>1.2035763411279321</v>
      </c>
      <c r="CI253" s="95">
        <v>294.5</v>
      </c>
      <c r="CJ253" s="81">
        <f>IF(ISERROR((CI253/CA253-1)*100),"NA",IF(((CI253/CA253-1)*100)&gt;100,"NM",IF(((CI253/CA253-1)*100)&lt;-50,"NM",(CI253/CA253-1)*100)))</f>
        <v>0.51194539249146409</v>
      </c>
      <c r="CK253" s="95">
        <v>300.10000000000002</v>
      </c>
      <c r="CL253" s="81">
        <f>IF(ISERROR((CK253/CC253-1)*100),"NA",IF(((CK253/CC253-1)*100)&gt;100,"NM",IF(((CK253/CC253-1)*100)&lt;-50,"NM",(CK253/CC253-1)*100)))</f>
        <v>3.1980742778541904</v>
      </c>
      <c r="CM253" s="95">
        <v>300.8</v>
      </c>
      <c r="CN253" s="81">
        <f>IF(ISERROR((CM253/CE253-1)*100),"NA",IF(((CM253/CE253-1)*100)&gt;100,"NM",IF(((CM253/CE253-1)*100)&lt;-50,"NM",(CM253/CE253-1)*100)))</f>
        <v>3.0843043180260432</v>
      </c>
      <c r="CO253" s="95">
        <v>301.60000000000002</v>
      </c>
      <c r="CP253" s="81">
        <f>IF(ISERROR((CO253/CG253-1)*100),"NA",IF(((CO253/CG253-1)*100)&gt;100,"NM",IF(((CO253/CG253-1)*100)&lt;-50,"NM",(CO253/CG253-1)*100)))</f>
        <v>2.4804621134896454</v>
      </c>
      <c r="CQ253" s="95">
        <v>304.5</v>
      </c>
      <c r="CR253" s="81">
        <f>IF(ISERROR((CQ253/CI253-1)*100),"NA",IF(((CQ253/CI253-1)*100)&gt;100,"NM",IF(((CQ253/CI253-1)*100)&lt;-50,"NM",(CQ253/CI253-1)*100)))</f>
        <v>3.395585738539908</v>
      </c>
      <c r="CS253" s="95">
        <v>307.3</v>
      </c>
      <c r="CT253" s="81">
        <f>IF(ISERROR((CS253/CK253-1)*100),"NA",IF(((CS253/CK253-1)*100)&gt;100,"NM",IF(((CS253/CK253-1)*100)&lt;-50,"NM",(CS253/CK253-1)*100)))</f>
        <v>2.3992002665778056</v>
      </c>
      <c r="CU253" s="95">
        <v>317.10000000000002</v>
      </c>
      <c r="CV253" s="81">
        <f>IF(ISERROR((CU253/CM253-1)*100),"NA",IF(((CU253/CM253-1)*100)&gt;100,"NM",IF(((CU253/CM253-1)*100)&lt;-50,"NM",(CU253/CM253-1)*100)))</f>
        <v>5.4188829787234161</v>
      </c>
      <c r="CW253" s="95">
        <v>312.39999999999998</v>
      </c>
      <c r="CX253" s="81">
        <f>IF(ISERROR((CW253/CO253-1)*100),"NA",IF(((CW253/CO253-1)*100)&gt;100,"NM",IF(((CW253/CO253-1)*100)&lt;-50,"NM",(CW253/CO253-1)*100)))</f>
        <v>3.5809018567639184</v>
      </c>
      <c r="CY253" s="95">
        <v>315.60000000000002</v>
      </c>
      <c r="CZ253" s="81">
        <f>IF(ISERROR((CY253/CQ253-1)*100),"NA",IF(((CY253/CQ253-1)*100)&gt;100,"NM",IF(((CY253/CQ253-1)*100)&lt;-50,"NM",(CY253/CQ253-1)*100)))</f>
        <v>3.6453201970443327</v>
      </c>
      <c r="DA253" s="95">
        <v>314.7</v>
      </c>
      <c r="DB253" s="81">
        <f>IF(ISERROR((DA253/CS253-1)*100),"NA",IF(((DA253/CS253-1)*100)&gt;100,"NM",IF(((DA253/CS253-1)*100)&lt;-50,"NM",(DA253/CS253-1)*100)))</f>
        <v>2.4080702896192463</v>
      </c>
      <c r="DC253" s="95">
        <v>327.5</v>
      </c>
      <c r="DD253" s="81">
        <f>IF(ISERROR((DC253/CU253-1)*100),"NA",IF(((DC253/CU253-1)*100)&gt;100,"NM",IF(((DC253/CU253-1)*100)&lt;-50,"NM",(DC253/CU253-1)*100)))</f>
        <v>3.2797224850204865</v>
      </c>
      <c r="DE253" s="95">
        <v>315.5</v>
      </c>
      <c r="DF253" s="81">
        <f>IF(ISERROR((DE253/CW253-1)*100),"NA",IF(((DE253/CW253-1)*100)&gt;100,"NM",IF(((DE253/CW253-1)*100)&lt;-50,"NM",(DE253/CW253-1)*100)))</f>
        <v>0.99231754161333008</v>
      </c>
      <c r="DG253" s="95">
        <v>325.8</v>
      </c>
      <c r="DH253" s="81">
        <f>IF(ISERROR((DG253/CY253-1)*100),"NA",IF(((DG253/CY253-1)*100)&gt;100,"NM",IF(((DG253/CY253-1)*100)&lt;-50,"NM",(DG253/CY253-1)*100)))</f>
        <v>3.2319391634980876</v>
      </c>
      <c r="DI253" s="95">
        <v>317.2</v>
      </c>
      <c r="DJ253" s="81">
        <f>IF(ISERROR((DI253/DA253-1)*100),"NA",IF(((DI253/DA253-1)*100)&gt;100,"NM",IF(((DI253/DA253-1)*100)&lt;-50,"NM",(DI253/DA253-1)*100)))</f>
        <v>0.79440737210041412</v>
      </c>
      <c r="DK253" s="95">
        <v>323</v>
      </c>
      <c r="DL253" s="81">
        <f>IF(ISERROR((DK253/DC253-1)*100),"NA",IF(((DK253/DC253-1)*100)&gt;100,"NM",IF(((DK253/DC253-1)*100)&lt;-50,"NM",(DK253/DC253-1)*100)))</f>
        <v>-1.3740458015267132</v>
      </c>
      <c r="DM253" s="95">
        <v>320.39999999999998</v>
      </c>
      <c r="DN253" s="81">
        <f>IF(ISERROR((DM253/DE253-1)*100),"NA",IF(((DM253/DE253-1)*100)&gt;100,"NM",IF(((DM253/DE253-1)*100)&lt;-50,"NM",(DM253/DE253-1)*100)))</f>
        <v>1.5530903328050627</v>
      </c>
      <c r="DO253" s="95">
        <v>331.7</v>
      </c>
      <c r="DP253" s="81">
        <f>IF(ISERROR((DO253/DG253-1)*100),"NA",IF(((DO253/DG253-1)*100)&gt;100,"NM",IF(((DO253/DG253-1)*100)&lt;-50,"NM",(DO253/DG253-1)*100)))</f>
        <v>1.8109269490484969</v>
      </c>
      <c r="DQ253" s="95">
        <v>327.5</v>
      </c>
      <c r="DR253" s="81">
        <f>IF(ISERROR((DQ253/DI253-1)*100),"NA",IF(((DQ253/DI253-1)*100)&gt;100,"NM",IF(((DQ253/DI253-1)*100)&lt;-50,"NM",(DQ253/DI253-1)*100)))</f>
        <v>3.2471626733921788</v>
      </c>
      <c r="DS253" s="95">
        <v>340.4</v>
      </c>
      <c r="DT253" s="81">
        <f>IF(ISERROR((DS253/DK253-1)*100),"NA",IF(((DS253/DK253-1)*100)&gt;100,"NM",IF(((DS253/DK253-1)*100)&lt;-50,"NM",(DS253/DK253-1)*100)))</f>
        <v>5.3869969040247545</v>
      </c>
      <c r="DU253" s="95">
        <v>333.4</v>
      </c>
      <c r="DV253" s="81">
        <f>IF(ISERROR((DU253/DM253-1)*100),"NA",IF(((DU253/DM253-1)*100)&gt;100,"NM",IF(((DU253/DM253-1)*100)&lt;-50,"NM",(DU253/DM253-1)*100)))</f>
        <v>4.0574282147315843</v>
      </c>
      <c r="DW253" s="95">
        <v>341.1</v>
      </c>
      <c r="DX253" s="81">
        <f>IF(ISERROR((DW253/DO253-1)*100),"NA",IF(((DW253/DO253-1)*100)&gt;100,"NM",IF(((DW253/DO253-1)*100)&lt;-50,"NM",(DW253/DO253-1)*100)))</f>
        <v>2.8338860416038614</v>
      </c>
      <c r="DY253" s="95">
        <v>334.1</v>
      </c>
      <c r="DZ253" s="81">
        <f>IF(ISERROR((DY253/DQ253-1)*100),"NA",IF(((DY253/DQ253-1)*100)&gt;100,"NM",IF(((DY253/DQ253-1)*100)&lt;-50,"NM",(DY253/DQ253-1)*100)))</f>
        <v>2.0152671755725216</v>
      </c>
      <c r="EA253" s="95">
        <v>343.6</v>
      </c>
      <c r="EB253" s="81">
        <f>IF(ISERROR((EA253/DS253-1)*100),"NA",IF(((EA253/DS253-1)*100)&gt;100,"NM",IF(((EA253/DS253-1)*100)&lt;-50,"NM",(EA253/DS253-1)*100)))</f>
        <v>0.94007050528790437</v>
      </c>
      <c r="EC253" s="95">
        <v>335.3</v>
      </c>
      <c r="ED253" s="81">
        <f t="shared" si="797"/>
        <v>0.56988602279544054</v>
      </c>
      <c r="EE253" s="95">
        <v>340</v>
      </c>
      <c r="EF253" s="81">
        <f t="shared" si="798"/>
        <v>-0.32248607446497823</v>
      </c>
      <c r="EG253" s="95">
        <v>337.2</v>
      </c>
      <c r="EH253" s="81">
        <f t="shared" si="799"/>
        <v>0.9278659084106522</v>
      </c>
      <c r="EI253" s="95">
        <v>341.5</v>
      </c>
      <c r="EJ253" s="81">
        <f t="shared" si="800"/>
        <v>-0.61117578579744647</v>
      </c>
      <c r="EK253" s="95">
        <f>EI253*0.9925</f>
        <v>338.93875000000003</v>
      </c>
      <c r="EL253" s="81">
        <f t="shared" ref="EL253" si="805">IF(ISERROR((EK253/EC253-1)*100),"NA",IF(((EK253/EC253-1)*100)&gt;100,"NM",IF(((EK253/EC253-1)*100)&lt;-50,"NM",(EK253/EC253-1)*100)))</f>
        <v>1.0852221890844005</v>
      </c>
      <c r="EM253" s="95">
        <f>EK253*0.9925</f>
        <v>336.39670937500006</v>
      </c>
      <c r="EN253" s="81">
        <f t="shared" ref="EN253" si="806">IF(ISERROR((EM253/EE253-1)*100),"NA",IF(((EM253/EE253-1)*100)&gt;100,"NM",IF(((EM253/EE253-1)*100)&lt;-50,"NM",(EM253/EE253-1)*100)))</f>
        <v>-1.0597913602941045</v>
      </c>
      <c r="EO253" s="95">
        <f>EM253*0.9925</f>
        <v>333.87373405468759</v>
      </c>
      <c r="EP253" s="81">
        <f t="shared" ref="EP253" si="807">IF(ISERROR((EO253/EG253-1)*100),"NA",IF(((EO253/EG253-1)*100)&gt;100,"NM",IF(((EO253/EG253-1)*100)&lt;-50,"NM",(EO253/EG253-1)*100)))</f>
        <v>-0.98643711308197268</v>
      </c>
      <c r="EQ253" s="95">
        <f>EO253*0.9925</f>
        <v>331.36968104927746</v>
      </c>
      <c r="ER253" s="81">
        <f t="shared" si="804"/>
        <v>-2.9664184335937205</v>
      </c>
      <c r="ES253" s="129"/>
      <c r="ET253" s="469"/>
      <c r="EU253" s="129"/>
      <c r="EV253" s="95"/>
      <c r="EW253" s="79"/>
      <c r="EX253" s="95"/>
      <c r="EY253" s="79"/>
      <c r="EZ253" s="131"/>
      <c r="FA253" s="79"/>
      <c r="FB253" s="35"/>
      <c r="FC253" s="79"/>
      <c r="FD253" s="35">
        <f>+S253+Q253+O253+M253</f>
        <v>814.5</v>
      </c>
      <c r="FE253" s="79" t="str">
        <f>IF(ISERROR((FD253/FB253-1)*100),"NA",IF(((FD253/FB253-1)*100)&gt;100,"NM",IF(((FD253/FB253-1)*100)&lt;-50,"NM",(FD253/FB253-1)*100)))</f>
        <v>NA</v>
      </c>
      <c r="FF253" s="35">
        <f>+AA253+Y253+W253+U253</f>
        <v>824.2</v>
      </c>
      <c r="FG253" s="79">
        <f>IF(ISERROR((FF253/FD253-1)*100),"NA",IF(((FF253/FD253-1)*100)&gt;100,"NM",IF(((FF253/FD253-1)*100)&lt;-50,"NM",(FF253/FD253-1)*100)))</f>
        <v>1.1909146715776586</v>
      </c>
      <c r="FH253" s="35">
        <f>+AI253+AG253+AE253+AC253</f>
        <v>799.1</v>
      </c>
      <c r="FI253" s="79">
        <f>IF(ISERROR((FH253/FF253-1)*100),"NA",IF(((FH253/FF253-1)*100)&gt;100,"NM",IF(((FH253/FF253-1)*100)&lt;-50,"NM",(FH253/FF253-1)*100)))</f>
        <v>-3.0453773355981539</v>
      </c>
      <c r="FJ253" s="35">
        <f>+AQ253+AO253+AM253+AK253</f>
        <v>769.99999999999989</v>
      </c>
      <c r="FK253" s="79">
        <f>IF(ISERROR((FJ253/FH253-1)*100),"NA",IF(((FJ253/FH253-1)*100)&gt;100,"NM",IF(((FJ253/FH253-1)*100)&lt;-50,"NM",(FJ253/FH253-1)*100)))</f>
        <v>-3.6415967963959628</v>
      </c>
      <c r="FL253" s="78">
        <f>AS253+AU253+AW253+AY253</f>
        <v>828.7</v>
      </c>
      <c r="FM253" s="79">
        <f>IF(ISERROR((FL253/FJ253-1)*100),"NA",IF(((FL253/FJ253-1)*100)&gt;100,"NM",IF(((FL253/FJ253-1)*100)&lt;-50,"NM",(FL253/FJ253-1)*100)))</f>
        <v>7.6233766233766431</v>
      </c>
      <c r="FN253" s="78">
        <f>BA253+BC253+BE253+BG253</f>
        <v>827.6</v>
      </c>
      <c r="FO253" s="79">
        <f>IF(ISERROR((FN253/FL253-1)*100),"NA",IF(((FN253/FL253-1)*100)&gt;100,"NM",IF(((FN253/FL253-1)*100)&lt;-50,"NM",(FN253/FL253-1)*100)))</f>
        <v>-0.13273802341016161</v>
      </c>
      <c r="FP253" s="78">
        <f>BI253+BK253+BM253+BO253</f>
        <v>767.49999999999989</v>
      </c>
      <c r="FQ253" s="79">
        <f>IF(ISERROR((FP253/FN253-1)*100),"NA",IF(((FP253/FN253-1)*100)&gt;100,"NM",IF(((FP253/FN253-1)*100)&lt;-50,"NM",(FP253/FN253-1)*100)))</f>
        <v>-7.261962300628344</v>
      </c>
      <c r="FR253" s="95">
        <v>1106.8</v>
      </c>
      <c r="FS253" s="79">
        <f>IF(ISERROR((FR253/FP253-1)*100),"NA",IF(((FR253/FP253-1)*100)&gt;100,"NM",IF(((FR253/FP253-1)*100)&lt;-50,"NM",(FR253/FP253-1)*100)))</f>
        <v>44.208469055374607</v>
      </c>
      <c r="FT253" s="93">
        <f>BY253+CA253+CC253+CE253</f>
        <v>1166.3999999999999</v>
      </c>
      <c r="FU253" s="79">
        <f>IF(ISERROR((FT253/FR253-1)*100),"NA",IF(((FT253/FR253-1)*100)&gt;100,"NM",IF(((FT253/FR253-1)*100)&lt;-50,"NM",(FT253/FR253-1)*100)))</f>
        <v>5.3848933863389847</v>
      </c>
      <c r="FV253" s="93">
        <f>CG253+CI253+CK253+CM253</f>
        <v>1189.7</v>
      </c>
      <c r="FW253" s="79">
        <f>IF(ISERROR((FV253/FT253-1)*100),"NA",IF(((FV253/FT253-1)*100)&gt;100,"NM",IF(((FV253/FT253-1)*100)&lt;-50,"NM",(FV253/FT253-1)*100)))</f>
        <v>1.9975994513031781</v>
      </c>
      <c r="FX253" s="886">
        <v>1229.7</v>
      </c>
      <c r="FY253" s="79">
        <f>IF(ISERROR((FX253/FV253-1)*100),"NA",IF(((FX253/FV253-1)*100)&gt;100,"NM",IF(((FX253/FV253-1)*100)&lt;-50,"NM",(FX253/FV253-1)*100)))</f>
        <v>3.3621921492813289</v>
      </c>
      <c r="FZ253" s="93">
        <f>CW253+CY253+DA253+DC253</f>
        <v>1270.2</v>
      </c>
      <c r="GA253" s="79">
        <f>IF(ISERROR((FZ253/FX253-1)*100),"NA",IF(((FZ253/FX253-1)*100)&gt;100,"NM",IF(((FZ253/FX253-1)*100)&lt;-50,"NM",(FZ253/FX253-1)*100)))</f>
        <v>3.2934862161502876</v>
      </c>
      <c r="GB253" s="93">
        <f>DE253+DG253+DI253+DK253</f>
        <v>1281.5</v>
      </c>
      <c r="GC253" s="79">
        <f>IF(ISERROR((GB253/FZ253-1)*100),"NA",IF(((GB253/FZ253-1)*100)&gt;100,"NM",IF(((GB253/FZ253-1)*100)&lt;-50,"NM",(GB253/FZ253-1)*100)))</f>
        <v>0.88962368131002556</v>
      </c>
      <c r="GD253" s="93">
        <f>DM253+DO253+DQ253+DS253</f>
        <v>1320</v>
      </c>
      <c r="GE253" s="79">
        <f>IF(ISERROR((GD253/GB253-1)*100),"NA",IF(((GD253/GB253-1)*100)&gt;100,"NM",IF(((GD253/GB253-1)*100)&lt;-50,"NM",(GD253/GB253-1)*100)))</f>
        <v>3.0042918454935563</v>
      </c>
      <c r="GF253" s="93">
        <f>DU253+DW253+DY253+EA253</f>
        <v>1352.2</v>
      </c>
      <c r="GG253" s="79">
        <f>IF(ISERROR((GF253/GD253-1)*100),"NA",IF(((GF253/GD253-1)*100)&gt;100,"NM",IF(((GF253/GD253-1)*100)&lt;-50,"NM",(GF253/GD253-1)*100)))</f>
        <v>2.4393939393939412</v>
      </c>
      <c r="GH253" s="93">
        <f>EC253+EE253+EG253+EI253</f>
        <v>1354</v>
      </c>
      <c r="GI253" s="79">
        <f>IF(ISERROR((GH253/GF253-1)*100),"NA",IF(((GH253/GF253-1)*100)&gt;100,"NM",IF(((GH253/GF253-1)*100)&lt;-50,"NM",(GH253/GF253-1)*100)))</f>
        <v>0.13311640289896953</v>
      </c>
      <c r="GJ253" s="93">
        <f>EK253+EM253+EO253+EQ253</f>
        <v>1340.5788744789652</v>
      </c>
      <c r="GK253" s="79">
        <f>IF(ISERROR((GJ253/GH253-1)*100),"NA",IF(((GJ253/GH253-1)*100)&gt;100,"NM",IF(((GJ253/GH253-1)*100)&lt;-50,"NM",(GJ253/GH253-1)*100)))</f>
        <v>-0.99122049638366017</v>
      </c>
      <c r="GL253" s="95">
        <f>+GJ253*0.97</f>
        <v>1300.3615082445963</v>
      </c>
      <c r="GM253" s="79">
        <f>IF(ISERROR((GL253/GJ253-1)*100),"NA",IF(((GL253/GJ253-1)*100)&gt;100,"NM",IF(((GL253/GJ253-1)*100)&lt;-50,"NM",(GL253/GJ253-1)*100)))</f>
        <v>-2.9999999999999916</v>
      </c>
      <c r="GN253" s="95">
        <f>+GL253*0.97</f>
        <v>1261.3506629972583</v>
      </c>
      <c r="GO253" s="79">
        <f>IF(ISERROR((GN253/GL253-1)*100),"NA",IF(((GN253/GL253-1)*100)&gt;100,"NM",IF(((GN253/GL253-1)*100)&lt;-50,"NM",(GN253/GL253-1)*100)))</f>
        <v>-3.0000000000000138</v>
      </c>
      <c r="GP253" s="95">
        <f>+GN253*0.97</f>
        <v>1223.5101431073406</v>
      </c>
      <c r="GQ253" s="79">
        <f>IF(ISERROR((GP253/GN253-1)*100),"NA",IF(((GP253/GN253-1)*100)&gt;100,"NM",IF(((GP253/GN253-1)*100)&lt;-50,"NM",(GP253/GN253-1)*100)))</f>
        <v>-2.9999999999999916</v>
      </c>
      <c r="GR253" s="95">
        <f>+GP253*0.97</f>
        <v>1186.8048388141203</v>
      </c>
      <c r="GS253" s="79">
        <f>IF(ISERROR((GR253/GP253-1)*100),"NA",IF(((GR253/GP253-1)*100)&gt;100,"NM",IF(((GR253/GP253-1)*100)&lt;-50,"NM",(GR253/GP253-1)*100)))</f>
        <v>-3.0000000000000027</v>
      </c>
      <c r="GT253" s="79">
        <f>IF(ISERROR(((GR253/GH253)^0.2-1)*100),"NA",(IF(OR(((GR253/GH253)^0.2-1)*100&gt;99,((GR253/GH253)^0.2-1)*100&lt;-50),"NM",(((GR253/GH253)^0.2-1)*100))))</f>
        <v>-2.6015313335851054</v>
      </c>
      <c r="GU253" s="562"/>
      <c r="GV253" s="562"/>
      <c r="GW253"/>
      <c r="GX253"/>
      <c r="GY253"/>
      <c r="GZ253"/>
      <c r="HA253"/>
      <c r="HB253"/>
      <c r="HC253" s="562"/>
      <c r="HD253" s="562"/>
      <c r="HE253" s="562"/>
      <c r="HF253" s="562"/>
      <c r="HG253" s="562"/>
      <c r="HH253" s="562"/>
      <c r="HI253" s="562"/>
      <c r="HJ253" s="562"/>
      <c r="HK253" s="562"/>
      <c r="HL253" s="562"/>
      <c r="HM253" s="562"/>
      <c r="HN253" s="562"/>
      <c r="HO253" s="562"/>
      <c r="HP253" s="562"/>
      <c r="HQ253" s="562"/>
      <c r="HR253" s="562"/>
      <c r="HS253" s="562"/>
      <c r="HT253" s="562"/>
      <c r="HU253" s="562"/>
      <c r="HV253" s="562"/>
      <c r="HW253" s="562"/>
      <c r="HX253" s="562"/>
      <c r="HY253" s="562"/>
      <c r="HZ253" s="562"/>
      <c r="IA253" s="562"/>
      <c r="IB253" s="562"/>
      <c r="IC253" s="562"/>
      <c r="ID253" s="562"/>
      <c r="IE253" s="562"/>
      <c r="IF253" s="562"/>
      <c r="IG253" s="562"/>
      <c r="IH253" s="562"/>
      <c r="II253" s="562"/>
      <c r="IJ253" s="562"/>
      <c r="IK253" s="562"/>
      <c r="IL253" s="562"/>
      <c r="IM253" s="562"/>
      <c r="IN253" s="562"/>
      <c r="IO253" s="562"/>
      <c r="IP253" s="562"/>
      <c r="IQ253" s="562"/>
      <c r="IR253" s="562"/>
      <c r="IS253" s="562"/>
      <c r="IT253" s="562"/>
      <c r="IU253" s="562"/>
      <c r="IV253" s="562"/>
      <c r="IW253" s="562"/>
      <c r="IX253" s="562"/>
      <c r="IY253" s="562"/>
      <c r="IZ253" s="562"/>
      <c r="JA253" s="562"/>
      <c r="JB253" s="562"/>
      <c r="JC253" s="562"/>
      <c r="JD253" s="562"/>
      <c r="JE253" s="562"/>
      <c r="JF253" s="562"/>
      <c r="JG253" s="562"/>
      <c r="JH253" s="562"/>
      <c r="JI253" s="562"/>
      <c r="JJ253" s="562"/>
      <c r="JK253" s="562"/>
      <c r="JL253" s="562"/>
      <c r="JM253" s="562"/>
      <c r="JN253" s="562"/>
      <c r="JO253" s="562"/>
      <c r="JP253" s="562"/>
      <c r="JQ253" s="562"/>
      <c r="JR253" s="562"/>
      <c r="JS253" s="562"/>
      <c r="JT253" s="562"/>
      <c r="JU253" s="562"/>
      <c r="JV253" s="562"/>
      <c r="JW253" s="562"/>
      <c r="JX253" s="562"/>
      <c r="JY253" s="562"/>
      <c r="JZ253" s="562"/>
    </row>
    <row r="254" spans="1:286" s="132" customFormat="1" ht="12.75" customHeight="1" x14ac:dyDescent="0.2">
      <c r="A254" s="133"/>
      <c r="B254" s="10" t="s">
        <v>407</v>
      </c>
      <c r="C254" s="79"/>
      <c r="D254" s="79"/>
      <c r="E254" s="129"/>
      <c r="F254" s="129"/>
      <c r="G254" s="95"/>
      <c r="H254" s="95"/>
      <c r="I254" s="95"/>
      <c r="J254" s="95"/>
      <c r="K254" s="95"/>
      <c r="L254" s="79"/>
      <c r="M254" s="129">
        <v>11.8</v>
      </c>
      <c r="N254" s="79" t="str">
        <f>IF(ISERROR((M254/E254-1)*100),"NA",IF(((M254/E254-1)*100)&gt;100,"NM",IF(((M254/E254-1)*100)&lt;-50,"NM",(M254/E254-1)*100)))</f>
        <v>NA</v>
      </c>
      <c r="O254" s="129">
        <v>34</v>
      </c>
      <c r="P254" s="79" t="str">
        <f>IF(ISERROR((O254/G254-1)*100),"NA",IF(((O254/G254-1)*100)&gt;100,"NM",IF(((O254/G254-1)*100)&lt;-50,"NM",(O254/G254-1)*100)))</f>
        <v>NA</v>
      </c>
      <c r="Q254" s="129">
        <v>22.6</v>
      </c>
      <c r="R254" s="79" t="str">
        <f>IF(ISERROR((Q254/I254-1)*100),"NA",IF(((Q254/I254-1)*100)&gt;100,"NM",IF(((Q254/I254-1)*100)&lt;-50,"NM",(Q254/I254-1)*100)))</f>
        <v>NA</v>
      </c>
      <c r="S254" s="95">
        <v>17.3</v>
      </c>
      <c r="T254" s="79" t="str">
        <f>IF(ISERROR((S254/K254-1)*100),"NA",IF(((S254/K254-1)*100)&gt;100,"NM",IF(((S254/K254-1)*100)&lt;-50,"NM",(S254/K254-1)*100)))</f>
        <v>NA</v>
      </c>
      <c r="U254" s="129">
        <v>13.5</v>
      </c>
      <c r="V254" s="79">
        <f>IF(ISERROR((U254/M254-1)*100),"NA",IF(((U254/M254-1)*100)&gt;100,"NM",IF(((U254/M254-1)*100)&lt;-50,"NM",(U254/M254-1)*100)))</f>
        <v>14.406779661016934</v>
      </c>
      <c r="W254" s="129">
        <v>33.4</v>
      </c>
      <c r="X254" s="79">
        <f>IF(ISERROR((W254/O254-1)*100),"NA",IF(((W254/O254-1)*100)&gt;100,"NM",IF(((W254/O254-1)*100)&lt;-50,"NM",(W254/O254-1)*100)))</f>
        <v>-1.764705882352946</v>
      </c>
      <c r="Y254" s="95">
        <v>30.2</v>
      </c>
      <c r="Z254" s="79">
        <f>IF(ISERROR((Y254/Q254-1)*100),"NA",IF(((Y254/Q254-1)*100)&gt;100,"NM",IF(((Y254/Q254-1)*100)&lt;-50,"NM",(Y254/Q254-1)*100)))</f>
        <v>33.628318584070783</v>
      </c>
      <c r="AA254" s="126">
        <v>18.8</v>
      </c>
      <c r="AB254" s="79">
        <f>IF(ISERROR((AA254/S254-1)*100),"NA",IF(((AA254/S254-1)*100)&gt;100,"NM",IF(((AA254/S254-1)*100)&lt;-50,"NM",(AA254/S254-1)*100)))</f>
        <v>8.6705202312138638</v>
      </c>
      <c r="AC254" s="129">
        <v>27.8</v>
      </c>
      <c r="AD254" s="79" t="str">
        <f>IF(ISERROR((AC254/U254-1)*100),"NA",IF(((AC254/U254-1)*100)&gt;100,"NM",IF(((AC254/U254-1)*100)&lt;-50,"NM",(AC254/U254-1)*100)))</f>
        <v>NM</v>
      </c>
      <c r="AE254" s="129">
        <v>20.2</v>
      </c>
      <c r="AF254" s="79">
        <f>IF(ISERROR((AE254/W254-1)*100),"NA",IF(((AE254/W254-1)*100)&gt;100,"NM",IF(((AE254/W254-1)*100)&lt;-50,"NM",(AE254/W254-1)*100)))</f>
        <v>-39.520958083832333</v>
      </c>
      <c r="AG254" s="95">
        <v>21.1</v>
      </c>
      <c r="AH254" s="79">
        <f>IF(ISERROR((AG254/Y254-1)*100),"NA",IF(((AG254/Y254-1)*100)&gt;100,"NM",IF(((AG254/Y254-1)*100)&lt;-50,"NM",(AG254/Y254-1)*100)))</f>
        <v>-30.132450331125828</v>
      </c>
      <c r="AI254" s="95">
        <v>31.2</v>
      </c>
      <c r="AJ254" s="79">
        <f>IF(ISERROR((AI254/AA254-1)*100),"NA",IF(((AI254/AA254-1)*100)&gt;100,"NM",IF(((AI254/AA254-1)*100)&lt;-50,"NM",(AI254/AA254-1)*100)))</f>
        <v>65.957446808510639</v>
      </c>
      <c r="AK254" s="95">
        <v>24.7</v>
      </c>
      <c r="AL254" s="79">
        <f>IF(ISERROR((AK254/AC254-1)*100),"NA",IF(((AK254/AC254-1)*100)&gt;100,"NM",IF(((AK254/AC254-1)*100)&lt;-50,"NM",(AK254/AC254-1)*100)))</f>
        <v>-11.151079136690656</v>
      </c>
      <c r="AM254" s="95">
        <v>19.8</v>
      </c>
      <c r="AN254" s="79">
        <f>IF(ISERROR((AM254/AE254-1)*100),"NA",IF(((AM254/AE254-1)*100)&gt;100,"NM",IF(((AM254/AE254-1)*100)&lt;-50,"NM",(AM254/AE254-1)*100)))</f>
        <v>-1.9801980198019709</v>
      </c>
      <c r="AO254" s="95">
        <f>25.7</f>
        <v>25.7</v>
      </c>
      <c r="AP254" s="79">
        <f>IF(ISERROR((AO254/AG254-1)*100),"NA",IF(((AO254/AG254-1)*100)&gt;100,"NM",IF(((AO254/AG254-1)*100)&lt;-50,"NM",(AO254/AG254-1)*100)))</f>
        <v>21.800947867298561</v>
      </c>
      <c r="AQ254" s="95">
        <v>25</v>
      </c>
      <c r="AR254" s="79">
        <f>IF(ISERROR((AQ254/AI254-1)*100),"NA",IF(((AQ254/AI254-1)*100)&gt;100,"NM",IF(((AQ254/AI254-1)*100)&lt;-50,"NM",(AQ254/AI254-1)*100)))</f>
        <v>-19.871794871794869</v>
      </c>
      <c r="AS254" s="95">
        <v>26.3</v>
      </c>
      <c r="AT254" s="81">
        <f>IF(ISERROR((AS254/AK254-1)*100),"NA",IF(((AS254/AK254-1)*100)&gt;100,"NM",IF(((AS254/AK254-1)*100)&lt;-50,"NM",(AS254/AK254-1)*100)))</f>
        <v>6.4777327935222839</v>
      </c>
      <c r="AU254" s="95">
        <v>23.9</v>
      </c>
      <c r="AV254" s="81">
        <f>IF(ISERROR((AU254/AM254-1)*100),"NA",IF(((AU254/AM254-1)*100)&gt;100,"NM",IF(((AU254/AM254-1)*100)&lt;-50,"NM",(AU254/AM254-1)*100)))</f>
        <v>20.707070707070695</v>
      </c>
      <c r="AW254" s="95">
        <v>25.5</v>
      </c>
      <c r="AX254" s="81">
        <f>IF(ISERROR((AW254/AO254-1)*100),"NA",IF(((AW254/AO254-1)*100)&gt;100,"NM",IF(((AW254/AO254-1)*100)&lt;-50,"NM",(AW254/AO254-1)*100)))</f>
        <v>-0.77821011673151474</v>
      </c>
      <c r="AY254" s="95">
        <v>29.4</v>
      </c>
      <c r="AZ254" s="81">
        <f>IF(ISERROR((AY254/AQ254-1)*100),"NA",IF(((AY254/AQ254-1)*100)&gt;100,"NM",IF(((AY254/AQ254-1)*100)&lt;-50,"NM",(AY254/AQ254-1)*100)))</f>
        <v>17.599999999999994</v>
      </c>
      <c r="BA254" s="95">
        <v>25.3</v>
      </c>
      <c r="BB254" s="81">
        <f>IF(ISERROR((BA254/AS254-1)*100),"NA",IF(((BA254/AS254-1)*100)&gt;100,"NM",IF(((BA254/AS254-1)*100)&lt;-50,"NM",(BA254/AS254-1)*100)))</f>
        <v>-3.802281368821292</v>
      </c>
      <c r="BC254" s="95">
        <v>25.8</v>
      </c>
      <c r="BD254" s="81">
        <f>IF(ISERROR((BC254/AU254-1)*100),"NA",IF(((BC254/AU254-1)*100)&gt;100,"NM",IF(((BC254/AU254-1)*100)&lt;-50,"NM",(BC254/AU254-1)*100)))</f>
        <v>7.9497907949790836</v>
      </c>
      <c r="BE254" s="95">
        <v>27.5</v>
      </c>
      <c r="BF254" s="81">
        <f>IF(ISERROR((BE254/AW254-1)*100),"NA",IF(((BE254/AW254-1)*100)&gt;100,"NM",IF(((BE254/AW254-1)*100)&lt;-50,"NM",(BE254/AW254-1)*100)))</f>
        <v>7.8431372549019551</v>
      </c>
      <c r="BG254" s="95">
        <f>25.1</f>
        <v>25.1</v>
      </c>
      <c r="BH254" s="81">
        <f>IF(ISERROR((BG254/AY254-1)*100),"NA",IF(((BG254/AY254-1)*100)&gt;100,"NM",IF(((BG254/AY254-1)*100)&lt;-50,"NM",(BG254/AY254-1)*100)))</f>
        <v>-14.625850340136049</v>
      </c>
      <c r="BI254" s="95">
        <v>24.1</v>
      </c>
      <c r="BJ254" s="81">
        <f>IF(ISERROR((BI254/BA254-1)*100),"NA",IF(((BI254/BA254-1)*100)&gt;100,"NM",IF(((BI254/BA254-1)*100)&lt;-50,"NM",(BI254/BA254-1)*100)))</f>
        <v>-4.743083003952564</v>
      </c>
      <c r="BK254" s="95">
        <v>25.4</v>
      </c>
      <c r="BL254" s="81">
        <f>IF(ISERROR((BK254/BC254-1)*100),"NA",IF(((BK254/BC254-1)*100)&gt;100,"NM",IF(((BK254/BC254-1)*100)&lt;-50,"NM",(BK254/BC254-1)*100)))</f>
        <v>-1.5503875968992276</v>
      </c>
      <c r="BM254" s="95">
        <f>23.9-0.1</f>
        <v>23.799999999999997</v>
      </c>
      <c r="BN254" s="81">
        <f>IF(ISERROR((BM254/BE254-1)*100),"NA",IF(((BM254/BE254-1)*100)&gt;100,"NM",IF(((BM254/BE254-1)*100)&lt;-50,"NM",(BM254/BE254-1)*100)))</f>
        <v>-13.454545454545464</v>
      </c>
      <c r="BO254" s="95">
        <v>25.3</v>
      </c>
      <c r="BP254" s="81">
        <f>IF(ISERROR((BO254/BG254-1)*100),"NA",IF(((BO254/BG254-1)*100)&gt;100,"NM",IF(((BO254/BG254-1)*100)&lt;-50,"NM",(BO254/BG254-1)*100)))</f>
        <v>0.79681274900398336</v>
      </c>
      <c r="BQ254" s="95">
        <v>26.9</v>
      </c>
      <c r="BR254" s="81">
        <f>IF(ISERROR((BQ254/BI254-1)*100),"NA",IF(((BQ254/BI254-1)*100)&gt;100,"NM",IF(((BQ254/BI254-1)*100)&lt;-50,"NM",(BQ254/BI254-1)*100)))</f>
        <v>11.618257261410768</v>
      </c>
      <c r="BS254" s="95">
        <v>25.8</v>
      </c>
      <c r="BT254" s="81">
        <f>IF(ISERROR((BS254/BK254-1)*100),"NA",IF(((BS254/BK254-1)*100)&gt;100,"NM",IF(((BS254/BK254-1)*100)&lt;-50,"NM",(BS254/BK254-1)*100)))</f>
        <v>1.5748031496063186</v>
      </c>
      <c r="BU254" s="95">
        <v>24.3</v>
      </c>
      <c r="BV254" s="81">
        <f>IF(ISERROR((BU254/BM254-1)*100),"NA",IF(((BU254/BM254-1)*100)&gt;100,"NM",IF(((BU254/BM254-1)*100)&lt;-50,"NM",(BU254/BM254-1)*100)))</f>
        <v>2.1008403361344685</v>
      </c>
      <c r="BW254" s="95">
        <v>23.8</v>
      </c>
      <c r="BX254" s="81">
        <f>IF(ISERROR((BW254/BO254-1)*100),"NA",IF(((BW254/BO254-1)*100)&gt;100,"NM",IF(((BW254/BO254-1)*100)&lt;-50,"NM",(BW254/BO254-1)*100)))</f>
        <v>-5.928853754940711</v>
      </c>
      <c r="BY254" s="95">
        <v>28.6</v>
      </c>
      <c r="BZ254" s="81">
        <f>IF(ISERROR((BY254/BQ254-1)*100),"NA",IF(((BY254/BQ254-1)*100)&gt;100,"NM",IF(((BY254/BQ254-1)*100)&lt;-50,"NM",(BY254/BQ254-1)*100)))</f>
        <v>6.3197026022304925</v>
      </c>
      <c r="CA254" s="95">
        <v>28.6</v>
      </c>
      <c r="CB254" s="81">
        <f>IF(ISERROR((CA254/BS254-1)*100),"NA",IF(((CA254/BS254-1)*100)&gt;100,"NM",IF(((CA254/BS254-1)*100)&lt;-50,"NM",(CA254/BS254-1)*100)))</f>
        <v>10.852713178294572</v>
      </c>
      <c r="CC254" s="95">
        <v>27.8</v>
      </c>
      <c r="CD254" s="81">
        <f>IF(ISERROR((CC254/BU254-1)*100),"NA",IF(((CC254/BU254-1)*100)&gt;100,"NM",IF(((CC254/BU254-1)*100)&lt;-50,"NM",(CC254/BU254-1)*100)))</f>
        <v>14.403292181069949</v>
      </c>
      <c r="CE254" s="95">
        <v>28.6</v>
      </c>
      <c r="CF254" s="81">
        <f>IF(ISERROR((CE254/BW254-1)*100),"NA",IF(((CE254/BW254-1)*100)&gt;100,"NM",IF(((CE254/BW254-1)*100)&lt;-50,"NM",(CE254/BW254-1)*100)))</f>
        <v>20.168067226890752</v>
      </c>
      <c r="CG254" s="95">
        <v>27.5</v>
      </c>
      <c r="CH254" s="81">
        <f>IF(ISERROR((CG254/BY254-1)*100),"NA",IF(((CG254/BY254-1)*100)&gt;100,"NM",IF(((CG254/BY254-1)*100)&lt;-50,"NM",(CG254/BY254-1)*100)))</f>
        <v>-3.8461538461538547</v>
      </c>
      <c r="CI254" s="95">
        <v>26.7</v>
      </c>
      <c r="CJ254" s="81">
        <f>IF(ISERROR((CI254/CA254-1)*100),"NA",IF(((CI254/CA254-1)*100)&gt;100,"NM",IF(((CI254/CA254-1)*100)&lt;-50,"NM",(CI254/CA254-1)*100)))</f>
        <v>-6.643356643356646</v>
      </c>
      <c r="CK254" s="95">
        <v>26.4</v>
      </c>
      <c r="CL254" s="81">
        <f>IF(ISERROR((CK254/CC254-1)*100),"NA",IF(((CK254/CC254-1)*100)&gt;100,"NM",IF(((CK254/CC254-1)*100)&lt;-50,"NM",(CK254/CC254-1)*100)))</f>
        <v>-5.0359712230215852</v>
      </c>
      <c r="CM254" s="95">
        <v>25.5</v>
      </c>
      <c r="CN254" s="81">
        <f>IF(ISERROR((CM254/CE254-1)*100),"NA",IF(((CM254/CE254-1)*100)&gt;100,"NM",IF(((CM254/CE254-1)*100)&lt;-50,"NM",(CM254/CE254-1)*100)))</f>
        <v>-10.839160839160844</v>
      </c>
      <c r="CO254" s="95">
        <v>25.9</v>
      </c>
      <c r="CP254" s="81">
        <f>IF(ISERROR((CO254/CG254-1)*100),"NA",IF(((CO254/CG254-1)*100)&gt;100,"NM",IF(((CO254/CG254-1)*100)&lt;-50,"NM",(CO254/CG254-1)*100)))</f>
        <v>-5.8181818181818219</v>
      </c>
      <c r="CQ254" s="95">
        <v>26.6</v>
      </c>
      <c r="CR254" s="81">
        <f>IF(ISERROR((CQ254/CI254-1)*100),"NA",IF(((CQ254/CI254-1)*100)&gt;100,"NM",IF(((CQ254/CI254-1)*100)&lt;-50,"NM",(CQ254/CI254-1)*100)))</f>
        <v>-0.37453183520598232</v>
      </c>
      <c r="CS254" s="95">
        <v>26.4</v>
      </c>
      <c r="CT254" s="81">
        <f>IF(ISERROR((CS254/CK254-1)*100),"NA",IF(((CS254/CK254-1)*100)&gt;100,"NM",IF(((CS254/CK254-1)*100)&lt;-50,"NM",(CS254/CK254-1)*100)))</f>
        <v>0</v>
      </c>
      <c r="CU254" s="95">
        <v>21.2</v>
      </c>
      <c r="CV254" s="81">
        <f>IF(ISERROR((CU254/CM254-1)*100),"NA",IF(((CU254/CM254-1)*100)&gt;100,"NM",IF(((CU254/CM254-1)*100)&lt;-50,"NM",(CU254/CM254-1)*100)))</f>
        <v>-16.862745098039223</v>
      </c>
      <c r="CW254" s="95">
        <v>24.1</v>
      </c>
      <c r="CX254" s="81">
        <f>IF(ISERROR((CW254/CO254-1)*100),"NA",IF(((CW254/CO254-1)*100)&gt;100,"NM",IF(((CW254/CO254-1)*100)&lt;-50,"NM",(CW254/CO254-1)*100)))</f>
        <v>-6.9498069498069359</v>
      </c>
      <c r="CY254" s="95">
        <v>23.8</v>
      </c>
      <c r="CZ254" s="81">
        <f>IF(ISERROR((CY254/CQ254-1)*100),"NA",IF(((CY254/CQ254-1)*100)&gt;100,"NM",IF(((CY254/CQ254-1)*100)&lt;-50,"NM",(CY254/CQ254-1)*100)))</f>
        <v>-10.526315789473683</v>
      </c>
      <c r="DA254" s="95">
        <v>23.6</v>
      </c>
      <c r="DB254" s="81">
        <f>IF(ISERROR((DA254/CS254-1)*100),"NA",IF(((DA254/CS254-1)*100)&gt;100,"NM",IF(((DA254/CS254-1)*100)&lt;-50,"NM",(DA254/CS254-1)*100)))</f>
        <v>-10.606060606060597</v>
      </c>
      <c r="DC254" s="95">
        <v>22.4</v>
      </c>
      <c r="DD254" s="81">
        <f>IF(ISERROR((DC254/CU254-1)*100),"NA",IF(((DC254/CU254-1)*100)&gt;100,"NM",IF(((DC254/CU254-1)*100)&lt;-50,"NM",(DC254/CU254-1)*100)))</f>
        <v>5.6603773584905648</v>
      </c>
      <c r="DE254" s="95">
        <v>21.6</v>
      </c>
      <c r="DF254" s="81">
        <f>IF(ISERROR((DE254/CW254-1)*100),"NA",IF(((DE254/CW254-1)*100)&gt;100,"NM",IF(((DE254/CW254-1)*100)&lt;-50,"NM",(DE254/CW254-1)*100)))</f>
        <v>-10.373443983402487</v>
      </c>
      <c r="DG254" s="95">
        <v>24.5</v>
      </c>
      <c r="DH254" s="81">
        <f>IF(ISERROR((DG254/CY254-1)*100),"NA",IF(((DG254/CY254-1)*100)&gt;100,"NM",IF(((DG254/CY254-1)*100)&lt;-50,"NM",(DG254/CY254-1)*100)))</f>
        <v>2.9411764705882248</v>
      </c>
      <c r="DI254" s="95">
        <v>23.4</v>
      </c>
      <c r="DJ254" s="81">
        <f>IF(ISERROR((DI254/DA254-1)*100),"NA",IF(((DI254/DA254-1)*100)&gt;100,"NM",IF(((DI254/DA254-1)*100)&lt;-50,"NM",(DI254/DA254-1)*100)))</f>
        <v>-0.84745762711865291</v>
      </c>
      <c r="DK254" s="95">
        <v>22.3</v>
      </c>
      <c r="DL254" s="81">
        <f>IF(ISERROR((DK254/DC254-1)*100),"NA",IF(((DK254/DC254-1)*100)&gt;100,"NM",IF(((DK254/DC254-1)*100)&lt;-50,"NM",(DK254/DC254-1)*100)))</f>
        <v>-0.44642857142855874</v>
      </c>
      <c r="DM254" s="95">
        <v>23.2</v>
      </c>
      <c r="DN254" s="81">
        <f>IF(ISERROR((DM254/DE254-1)*100),"NA",IF(((DM254/DE254-1)*100)&gt;100,"NM",IF(((DM254/DE254-1)*100)&lt;-50,"NM",(DM254/DE254-1)*100)))</f>
        <v>7.4074074074073959</v>
      </c>
      <c r="DO254" s="95">
        <v>22.8</v>
      </c>
      <c r="DP254" s="81">
        <f>IF(ISERROR((DO254/DG254-1)*100),"NA",IF(((DO254/DG254-1)*100)&gt;100,"NM",IF(((DO254/DG254-1)*100)&lt;-50,"NM",(DO254/DG254-1)*100)))</f>
        <v>-6.938775510204076</v>
      </c>
      <c r="DQ254" s="95">
        <v>21.5</v>
      </c>
      <c r="DR254" s="81">
        <f>IF(ISERROR((DQ254/DI254-1)*100),"NA",IF(((DQ254/DI254-1)*100)&gt;100,"NM",IF(((DQ254/DI254-1)*100)&lt;-50,"NM",(DQ254/DI254-1)*100)))</f>
        <v>-8.1196581196581121</v>
      </c>
      <c r="DS254" s="95">
        <v>21.8</v>
      </c>
      <c r="DT254" s="81">
        <f>IF(ISERROR((DS254/DK254-1)*100),"NA",IF(((DS254/DK254-1)*100)&gt;100,"NM",IF(((DS254/DK254-1)*100)&lt;-50,"NM",(DS254/DK254-1)*100)))</f>
        <v>-2.2421524663677084</v>
      </c>
      <c r="DU254" s="95">
        <v>22.4</v>
      </c>
      <c r="DV254" s="81">
        <f>IF(ISERROR((DU254/DM254-1)*100),"NA",IF(((DU254/DM254-1)*100)&gt;100,"NM",IF(((DU254/DM254-1)*100)&lt;-50,"NM",(DU254/DM254-1)*100)))</f>
        <v>-3.4482758620689724</v>
      </c>
      <c r="DW254" s="95">
        <v>21.4</v>
      </c>
      <c r="DX254" s="81">
        <f>IF(ISERROR((DW254/DO254-1)*100),"NA",IF(((DW254/DO254-1)*100)&gt;100,"NM",IF(((DW254/DO254-1)*100)&lt;-50,"NM",(DW254/DO254-1)*100)))</f>
        <v>-6.14035087719299</v>
      </c>
      <c r="DY254" s="95">
        <v>21.5</v>
      </c>
      <c r="DZ254" s="81">
        <f>IF(ISERROR((DY254/DQ254-1)*100),"NA",IF(((DY254/DQ254-1)*100)&gt;100,"NM",IF(((DY254/DQ254-1)*100)&lt;-50,"NM",(DY254/DQ254-1)*100)))</f>
        <v>0</v>
      </c>
      <c r="EA254" s="95">
        <v>20.7</v>
      </c>
      <c r="EB254" s="81">
        <f>IF(ISERROR((EA254/DS254-1)*100),"NA",IF(((EA254/DS254-1)*100)&gt;100,"NM",IF(((EA254/DS254-1)*100)&lt;-50,"NM",(EA254/DS254-1)*100)))</f>
        <v>-5.0458715596330306</v>
      </c>
      <c r="EC254" s="95">
        <v>20.8</v>
      </c>
      <c r="ED254" s="81">
        <f t="shared" si="797"/>
        <v>-7.1428571428571281</v>
      </c>
      <c r="EE254" s="95">
        <v>20.2</v>
      </c>
      <c r="EF254" s="81">
        <f t="shared" si="798"/>
        <v>-5.6074766355140193</v>
      </c>
      <c r="EG254" s="95">
        <v>18.899999999999999</v>
      </c>
      <c r="EH254" s="81">
        <f t="shared" si="799"/>
        <v>-12.093023255813961</v>
      </c>
      <c r="EI254" s="95">
        <v>19.899999999999999</v>
      </c>
      <c r="EJ254" s="81">
        <f t="shared" si="800"/>
        <v>-3.8647342995169143</v>
      </c>
      <c r="EK254" s="95">
        <f t="shared" ref="EK254" si="808">EI254*0.995</f>
        <v>19.8005</v>
      </c>
      <c r="EL254" s="81">
        <f t="shared" si="801"/>
        <v>-4.8052884615384706</v>
      </c>
      <c r="EM254" s="95">
        <f t="shared" ref="EM254" si="809">EK254*0.995</f>
        <v>19.701497499999999</v>
      </c>
      <c r="EN254" s="81">
        <f t="shared" si="802"/>
        <v>-2.4678341584158492</v>
      </c>
      <c r="EO254" s="95">
        <f t="shared" ref="EO254" si="810">EM254*0.995</f>
        <v>19.602990012499998</v>
      </c>
      <c r="EP254" s="81">
        <f t="shared" si="803"/>
        <v>3.719523875661368</v>
      </c>
      <c r="EQ254" s="95">
        <f t="shared" ref="EQ254" si="811">EO254*0.995</f>
        <v>19.504975062437499</v>
      </c>
      <c r="ER254" s="81">
        <f t="shared" si="804"/>
        <v>-1.9850499374999941</v>
      </c>
      <c r="ES254" s="95"/>
      <c r="ET254" s="471"/>
      <c r="EU254" s="95"/>
      <c r="EV254" s="95"/>
      <c r="EW254" s="146"/>
      <c r="EX254" s="95"/>
      <c r="EY254" s="146"/>
      <c r="EZ254" s="131"/>
      <c r="FA254" s="146"/>
      <c r="FB254" s="93"/>
      <c r="FC254" s="146"/>
      <c r="FD254" s="93">
        <f>+S254+Q254+O254+M254</f>
        <v>85.7</v>
      </c>
      <c r="FE254" s="146" t="str">
        <f>IF(ISERROR((FD254/FB254-1)*100),"NA",IF(((FD254/FB254-1)*100)&gt;100,"NM",IF(((FD254/FB254-1)*100)&lt;-50,"NM",(FD254/FB254-1)*100)))</f>
        <v>NA</v>
      </c>
      <c r="FF254" s="93">
        <f>+AA254+Y254+W254+U254</f>
        <v>95.9</v>
      </c>
      <c r="FG254" s="146">
        <f>IF(ISERROR((FF254/FD254-1)*100),"NA",IF(((FF254/FD254-1)*100)&gt;100,"NM",IF(((FF254/FD254-1)*100)&lt;-50,"NM",(FF254/FD254-1)*100)))</f>
        <v>11.901983663943994</v>
      </c>
      <c r="FH254" s="93">
        <f>+AI254+AG254+AE254+AC254</f>
        <v>100.3</v>
      </c>
      <c r="FI254" s="146">
        <f>IF(ISERROR((FH254/FF254-1)*100),"NA",IF(((FH254/FF254-1)*100)&gt;100,"NM",IF(((FH254/FF254-1)*100)&lt;-50,"NM",(FH254/FF254-1)*100)))</f>
        <v>4.588112617309692</v>
      </c>
      <c r="FJ254" s="93">
        <f>+AQ254+AO254+AM254+AK254</f>
        <v>95.2</v>
      </c>
      <c r="FK254" s="146">
        <f>IF(ISERROR((FJ254/FH254-1)*100),"NA",IF(((FJ254/FH254-1)*100)&gt;100,"NM",IF(((FJ254/FH254-1)*100)&lt;-50,"NM",(FJ254/FH254-1)*100)))</f>
        <v>-5.0847457627118615</v>
      </c>
      <c r="FL254" s="78">
        <f>AS254+AU254+AW254+AY254</f>
        <v>105.1</v>
      </c>
      <c r="FM254" s="146">
        <f>IF(ISERROR((FL254/FJ254-1)*100),"NA",IF(((FL254/FJ254-1)*100)&gt;100,"NM",IF(((FL254/FJ254-1)*100)&lt;-50,"NM",(FL254/FJ254-1)*100)))</f>
        <v>10.399159663865532</v>
      </c>
      <c r="FN254" s="78">
        <f>BA254+BC254+BE254+BG254</f>
        <v>103.69999999999999</v>
      </c>
      <c r="FO254" s="146">
        <f>IF(ISERROR((FN254/FL254-1)*100),"NA",IF(((FN254/FL254-1)*100)&gt;100,"NM",IF(((FN254/FL254-1)*100)&lt;-50,"NM",(FN254/FL254-1)*100)))</f>
        <v>-1.3320647002854513</v>
      </c>
      <c r="FP254" s="78">
        <f>BI254+BK254+BM254+BO254</f>
        <v>98.6</v>
      </c>
      <c r="FQ254" s="146">
        <f>IF(ISERROR((FP254/FN254-1)*100),"NA",IF(((FP254/FN254-1)*100)&gt;100,"NM",IF(((FP254/FN254-1)*100)&lt;-50,"NM",(FP254/FN254-1)*100)))</f>
        <v>-4.9180327868852398</v>
      </c>
      <c r="FR254" s="95">
        <v>131.1</v>
      </c>
      <c r="FS254" s="146">
        <f>IF(ISERROR((FR254/FP254-1)*100),"NA",IF(((FR254/FP254-1)*100)&gt;100,"NM",IF(((FR254/FP254-1)*100)&lt;-50,"NM",(FR254/FP254-1)*100)))</f>
        <v>32.961460446247457</v>
      </c>
      <c r="FT254" s="93">
        <f>BY254+CA254+CC254+CE254</f>
        <v>113.6</v>
      </c>
      <c r="FU254" s="146">
        <f>IF(ISERROR((FT254/FR254-1)*100),"NA",IF(((FT254/FR254-1)*100)&gt;100,"NM",IF(((FT254/FR254-1)*100)&lt;-50,"NM",(FT254/FR254-1)*100)))</f>
        <v>-13.348588863463007</v>
      </c>
      <c r="FV254" s="93">
        <f>CG254+CI254+CK254+CM254</f>
        <v>106.1</v>
      </c>
      <c r="FW254" s="146">
        <f>IF(ISERROR((FV254/FT254-1)*100),"NA",IF(((FV254/FT254-1)*100)&gt;100,"NM",IF(((FV254/FT254-1)*100)&lt;-50,"NM",(FV254/FT254-1)*100)))</f>
        <v>-6.602112676056338</v>
      </c>
      <c r="FX254" s="93">
        <f>CO254+CQ254+CS254+CU254</f>
        <v>100.10000000000001</v>
      </c>
      <c r="FY254" s="146">
        <f>IF(ISERROR((FX254/FV254-1)*100),"NA",IF(((FX254/FV254-1)*100)&gt;100,"NM",IF(((FX254/FV254-1)*100)&lt;-50,"NM",(FX254/FV254-1)*100)))</f>
        <v>-5.6550424128180783</v>
      </c>
      <c r="FZ254" s="93">
        <f>CW254+CY254+DA254+DC254</f>
        <v>93.9</v>
      </c>
      <c r="GA254" s="79">
        <f>IF(ISERROR((FZ254/FX254-1)*100),"NA",IF(((FZ254/FX254-1)*100)&gt;100,"NM",IF(((FZ254/FX254-1)*100)&lt;-50,"NM",(FZ254/FX254-1)*100)))</f>
        <v>-6.1938061938061946</v>
      </c>
      <c r="GB254" s="93">
        <f>DE254+DG254+DI254+DK254</f>
        <v>91.8</v>
      </c>
      <c r="GC254" s="79">
        <f>IF(ISERROR((GB254/FZ254-1)*100),"NA",IF(((GB254/FZ254-1)*100)&gt;100,"NM",IF(((GB254/FZ254-1)*100)&lt;-50,"NM",(GB254/FZ254-1)*100)))</f>
        <v>-2.2364217252396235</v>
      </c>
      <c r="GD254" s="93">
        <f>DM254+DO254+DQ254+DS254</f>
        <v>89.3</v>
      </c>
      <c r="GE254" s="79">
        <f>IF(ISERROR((GD254/GB254-1)*100),"NA",IF(((GD254/GB254-1)*100)&gt;100,"NM",IF(((GD254/GB254-1)*100)&lt;-50,"NM",(GD254/GB254-1)*100)))</f>
        <v>-2.7233115468409563</v>
      </c>
      <c r="GF254" s="93">
        <f>DU254+DW254+DY254+EA254</f>
        <v>86</v>
      </c>
      <c r="GG254" s="79">
        <f>IF(ISERROR((GF254/GD254-1)*100),"NA",IF(((GF254/GD254-1)*100)&gt;100,"NM",IF(((GF254/GD254-1)*100)&lt;-50,"NM",(GF254/GD254-1)*100)))</f>
        <v>-3.6954087346024567</v>
      </c>
      <c r="GH254" s="93">
        <f>EC254+EE254+EG254+EI254</f>
        <v>79.8</v>
      </c>
      <c r="GI254" s="79">
        <f>IF(ISERROR((GH254/GF254-1)*100),"NA",IF(((GH254/GF254-1)*100)&gt;100,"NM",IF(((GH254/GF254-1)*100)&lt;-50,"NM",(GH254/GF254-1)*100)))</f>
        <v>-7.209302325581401</v>
      </c>
      <c r="GJ254" s="93">
        <f>EK254+EM254+EO254+EQ254</f>
        <v>78.609962574937498</v>
      </c>
      <c r="GK254" s="79">
        <f>IF(ISERROR((GJ254/GH254-1)*100),"NA",IF(((GJ254/GH254-1)*100)&gt;100,"NM",IF(((GJ254/GH254-1)*100)&lt;-50,"NM",(GJ254/GH254-1)*100)))</f>
        <v>-1.4912749687500004</v>
      </c>
      <c r="GL254" s="95">
        <f>GJ254*0.98</f>
        <v>77.037763323438753</v>
      </c>
      <c r="GM254" s="79">
        <f>IF(ISERROR((GL254/GJ254-1)*100),"NA",IF(((GL254/GJ254-1)*100)&gt;100,"NM",IF(((GL254/GJ254-1)*100)&lt;-50,"NM",(GL254/GJ254-1)*100)))</f>
        <v>-1.9999999999999907</v>
      </c>
      <c r="GN254" s="95">
        <f>GL254*0.98</f>
        <v>75.497008056969975</v>
      </c>
      <c r="GO254" s="79">
        <f>IF(ISERROR((GN254/GL254-1)*100),"NA",IF(((GN254/GL254-1)*100)&gt;100,"NM",IF(((GN254/GL254-1)*100)&lt;-50,"NM",(GN254/GL254-1)*100)))</f>
        <v>-2.0000000000000018</v>
      </c>
      <c r="GP254" s="95">
        <f>GN254*0.98</f>
        <v>73.987067895830577</v>
      </c>
      <c r="GQ254" s="79">
        <f>IF(ISERROR((GP254/GN254-1)*100),"NA",IF(((GP254/GN254-1)*100)&gt;100,"NM",IF(((GP254/GN254-1)*100)&lt;-50,"NM",(GP254/GN254-1)*100)))</f>
        <v>-2.0000000000000018</v>
      </c>
      <c r="GR254" s="95">
        <f>GP254*0.98</f>
        <v>72.507326537913968</v>
      </c>
      <c r="GS254" s="79">
        <f>IF(ISERROR((GR254/GP254-1)*100),"NA",IF(((GR254/GP254-1)*100)&gt;100,"NM",IF(((GR254/GP254-1)*100)&lt;-50,"NM",(GR254/GP254-1)*100)))</f>
        <v>-2.0000000000000018</v>
      </c>
      <c r="GT254" s="79">
        <f>IF(ISERROR(((GR254/GH254)^0.2-1)*100),"NA",(IF(OR(((GR254/GH254)^0.2-1)*100&gt;99,((GR254/GH254)^0.2-1)*100&lt;-50),"NM",(((GR254/GH254)^0.2-1)*100))))</f>
        <v>-1.898465604363675</v>
      </c>
      <c r="GU254" s="562"/>
      <c r="GV254" s="562"/>
      <c r="GW254"/>
      <c r="GX254"/>
      <c r="GY254"/>
      <c r="GZ254"/>
      <c r="HA254"/>
      <c r="HB254"/>
      <c r="HC254" s="562"/>
      <c r="HD254" s="562"/>
      <c r="HE254" s="562"/>
      <c r="HF254" s="562"/>
      <c r="HG254" s="562"/>
      <c r="HH254" s="562"/>
      <c r="HI254" s="562"/>
      <c r="HJ254" s="562"/>
      <c r="HK254" s="562"/>
      <c r="HL254" s="562"/>
      <c r="HM254" s="562"/>
      <c r="HN254" s="562"/>
      <c r="HO254" s="562"/>
      <c r="HP254" s="562"/>
      <c r="HQ254" s="562"/>
      <c r="HR254" s="562"/>
      <c r="HS254" s="562"/>
      <c r="HT254" s="562"/>
      <c r="HU254" s="562"/>
      <c r="HV254" s="562"/>
      <c r="HW254" s="562"/>
      <c r="HX254" s="562"/>
      <c r="HY254" s="562"/>
      <c r="HZ254" s="562"/>
      <c r="IA254" s="562"/>
      <c r="IB254" s="562"/>
      <c r="IC254" s="562"/>
      <c r="ID254" s="562"/>
      <c r="IE254" s="562"/>
      <c r="IF254" s="562"/>
      <c r="IG254" s="562"/>
      <c r="IH254" s="562"/>
      <c r="II254" s="562"/>
      <c r="IJ254" s="562"/>
      <c r="IK254" s="562"/>
      <c r="IL254" s="562"/>
      <c r="IM254" s="562"/>
      <c r="IN254" s="562"/>
      <c r="IO254" s="562"/>
      <c r="IP254" s="562"/>
      <c r="IQ254" s="562"/>
      <c r="IR254" s="562"/>
      <c r="IS254" s="562"/>
      <c r="IT254" s="562"/>
      <c r="IU254" s="562"/>
      <c r="IV254" s="562"/>
      <c r="IW254" s="562"/>
      <c r="IX254" s="562"/>
      <c r="IY254" s="562"/>
      <c r="IZ254" s="562"/>
      <c r="JA254" s="562"/>
      <c r="JB254" s="562"/>
      <c r="JC254" s="562"/>
      <c r="JD254" s="562"/>
      <c r="JE254" s="562"/>
      <c r="JF254" s="562"/>
      <c r="JG254" s="562"/>
      <c r="JH254" s="562"/>
      <c r="JI254" s="562"/>
      <c r="JJ254" s="562"/>
      <c r="JK254" s="562"/>
      <c r="JL254" s="562"/>
      <c r="JM254" s="562"/>
      <c r="JN254" s="562"/>
      <c r="JO254" s="562"/>
      <c r="JP254" s="562"/>
      <c r="JQ254" s="562"/>
      <c r="JR254" s="562"/>
      <c r="JS254" s="562"/>
      <c r="JT254" s="562"/>
      <c r="JU254" s="562"/>
      <c r="JV254" s="562"/>
      <c r="JW254" s="562"/>
      <c r="JX254" s="562"/>
      <c r="JY254" s="562"/>
      <c r="JZ254" s="562"/>
    </row>
    <row r="255" spans="1:286" s="132" customFormat="1" ht="12.75" customHeight="1" x14ac:dyDescent="0.2">
      <c r="A255" s="133"/>
      <c r="B255" s="10" t="s">
        <v>416</v>
      </c>
      <c r="C255" s="79"/>
      <c r="D255" s="79"/>
      <c r="E255" s="129"/>
      <c r="F255" s="129"/>
      <c r="G255" s="95"/>
      <c r="H255" s="95"/>
      <c r="I255" s="95"/>
      <c r="J255" s="95"/>
      <c r="K255" s="95"/>
      <c r="L255" s="79"/>
      <c r="M255" s="129"/>
      <c r="N255" s="79"/>
      <c r="O255" s="129"/>
      <c r="P255" s="79"/>
      <c r="Q255" s="129"/>
      <c r="R255" s="79"/>
      <c r="S255" s="95"/>
      <c r="T255" s="79"/>
      <c r="U255" s="129"/>
      <c r="V255" s="79"/>
      <c r="W255" s="129"/>
      <c r="X255" s="79"/>
      <c r="Y255" s="95"/>
      <c r="Z255" s="79"/>
      <c r="AA255" s="126"/>
      <c r="AB255" s="79"/>
      <c r="AC255" s="129"/>
      <c r="AD255" s="79"/>
      <c r="AE255" s="129"/>
      <c r="AF255" s="79"/>
      <c r="AG255" s="95"/>
      <c r="AH255" s="79"/>
      <c r="AI255" s="95"/>
      <c r="AJ255" s="79"/>
      <c r="AK255" s="95"/>
      <c r="AL255" s="79"/>
      <c r="AM255" s="95"/>
      <c r="AN255" s="79"/>
      <c r="AO255" s="95"/>
      <c r="AP255" s="79"/>
      <c r="AQ255" s="95"/>
      <c r="AR255" s="79"/>
      <c r="AS255" s="95"/>
      <c r="AT255" s="81"/>
      <c r="AU255" s="95"/>
      <c r="AV255" s="81"/>
      <c r="AW255" s="95"/>
      <c r="AX255" s="81"/>
      <c r="AY255" s="95"/>
      <c r="AZ255" s="81"/>
      <c r="BA255" s="95"/>
      <c r="BB255" s="81"/>
      <c r="BC255" s="95"/>
      <c r="BD255" s="81"/>
      <c r="BE255" s="95"/>
      <c r="BF255" s="81"/>
      <c r="BG255" s="95"/>
      <c r="BH255" s="81"/>
      <c r="BI255" s="95"/>
      <c r="BJ255" s="81"/>
      <c r="BK255" s="95"/>
      <c r="BL255" s="81"/>
      <c r="BM255" s="95"/>
      <c r="BN255" s="81"/>
      <c r="BO255" s="95"/>
      <c r="BP255" s="81"/>
      <c r="BQ255" s="95"/>
      <c r="BR255" s="81"/>
      <c r="BS255" s="95"/>
      <c r="BT255" s="81"/>
      <c r="BU255" s="95"/>
      <c r="BV255" s="81"/>
      <c r="BW255" s="95"/>
      <c r="BX255" s="81"/>
      <c r="BY255" s="95"/>
      <c r="BZ255" s="81"/>
      <c r="CA255" s="95"/>
      <c r="CB255" s="81"/>
      <c r="CC255" s="95"/>
      <c r="CD255" s="81"/>
      <c r="CE255" s="95"/>
      <c r="CF255" s="81"/>
      <c r="CG255" s="95"/>
      <c r="CH255" s="81"/>
      <c r="CI255" s="95"/>
      <c r="CJ255" s="81"/>
      <c r="CK255" s="95"/>
      <c r="CL255" s="81"/>
      <c r="CM255" s="95"/>
      <c r="CN255" s="81"/>
      <c r="CO255" s="95"/>
      <c r="CP255" s="81"/>
      <c r="CQ255" s="95"/>
      <c r="CR255" s="81"/>
      <c r="CS255" s="95"/>
      <c r="CT255" s="81"/>
      <c r="CU255" s="95"/>
      <c r="CV255" s="81"/>
      <c r="CW255" s="95"/>
      <c r="CX255" s="81"/>
      <c r="CY255" s="95"/>
      <c r="CZ255" s="81"/>
      <c r="DA255" s="95"/>
      <c r="DB255" s="81"/>
      <c r="DC255" s="95"/>
      <c r="DD255" s="81"/>
      <c r="DE255" s="95"/>
      <c r="DF255" s="81"/>
      <c r="DG255" s="95"/>
      <c r="DH255" s="81"/>
      <c r="DI255" s="95"/>
      <c r="DJ255" s="81"/>
      <c r="DK255" s="95"/>
      <c r="DL255" s="81"/>
      <c r="DM255" s="95"/>
      <c r="DN255" s="81"/>
      <c r="DO255" s="95"/>
      <c r="DP255" s="81"/>
      <c r="DQ255" s="95"/>
      <c r="DR255" s="81"/>
      <c r="DS255" s="95"/>
      <c r="DT255" s="81"/>
      <c r="DU255" s="95"/>
      <c r="DV255" s="81"/>
      <c r="DW255" s="95"/>
      <c r="DX255" s="81"/>
      <c r="DY255" s="95"/>
      <c r="DZ255" s="81"/>
      <c r="EA255" s="95">
        <f>DS255</f>
        <v>0</v>
      </c>
      <c r="EB255" s="81"/>
      <c r="EC255" s="95"/>
      <c r="ED255" s="81"/>
      <c r="EE255" s="95"/>
      <c r="EF255" s="81"/>
      <c r="EG255" s="95"/>
      <c r="EH255" s="81"/>
      <c r="EI255" s="95"/>
      <c r="EJ255" s="81"/>
      <c r="EK255" s="188">
        <f t="shared" ref="EK255" si="812">EC255</f>
        <v>0</v>
      </c>
      <c r="EL255" s="81"/>
      <c r="EM255" s="188">
        <f t="shared" ref="EM255" si="813">EE255</f>
        <v>0</v>
      </c>
      <c r="EN255" s="81"/>
      <c r="EO255" s="188">
        <f t="shared" ref="EO255" si="814">EG255</f>
        <v>0</v>
      </c>
      <c r="EP255" s="81"/>
      <c r="EQ255" s="188">
        <f t="shared" ref="EQ255" si="815">EI255</f>
        <v>0</v>
      </c>
      <c r="ER255" s="81"/>
      <c r="ES255" s="129"/>
      <c r="ET255" s="469"/>
      <c r="EU255" s="129"/>
      <c r="EV255" s="95"/>
      <c r="EW255" s="79"/>
      <c r="EX255" s="95"/>
      <c r="EY255" s="79"/>
      <c r="EZ255" s="131"/>
      <c r="FA255" s="79"/>
      <c r="FB255" s="35"/>
      <c r="FC255" s="79"/>
      <c r="FD255" s="35"/>
      <c r="FE255" s="79"/>
      <c r="FF255" s="35"/>
      <c r="FG255" s="79"/>
      <c r="FH255" s="35"/>
      <c r="FI255" s="79"/>
      <c r="FJ255" s="35"/>
      <c r="FK255" s="79"/>
      <c r="FL255" s="78"/>
      <c r="FM255" s="79"/>
      <c r="FN255" s="78"/>
      <c r="FO255" s="79"/>
      <c r="FP255" s="95">
        <f>SUM(BI255,BK255,BM255,BO255)</f>
        <v>0</v>
      </c>
      <c r="FQ255" s="79"/>
      <c r="FR255" s="188">
        <f>BQ255+BS255+BU255+BW255</f>
        <v>0</v>
      </c>
      <c r="FS255" s="79"/>
      <c r="FT255" s="96">
        <f>BY255+CA255+CC255+CE255</f>
        <v>0</v>
      </c>
      <c r="FU255" s="79"/>
      <c r="FV255" s="96">
        <f>CG255+CI255+CK255+CM255</f>
        <v>0</v>
      </c>
      <c r="FW255" s="79"/>
      <c r="FX255" s="96">
        <f>CO255+CQ255+CS255+CU255</f>
        <v>0</v>
      </c>
      <c r="FY255" s="79"/>
      <c r="FZ255" s="96">
        <f>CW255+CY255+DA255+DC255</f>
        <v>0</v>
      </c>
      <c r="GA255" s="79" t="str">
        <f>IF(ISERROR((FZ255/FX255-1)*100),"NA",IF(((FZ255/FX255-1)*100)&gt;100,"NM",IF(((FZ255/FX255-1)*100)&lt;-50,"NM",(FZ255/FX255-1)*100)))</f>
        <v>NA</v>
      </c>
      <c r="GB255" s="96">
        <f>DE255+DG255+DI255+DK255</f>
        <v>0</v>
      </c>
      <c r="GC255" s="79" t="str">
        <f>IF(ISERROR((GB255/FZ255-1)*100),"NA",IF(((GB255/FZ255-1)*100)&gt;100,"NM",IF(((GB255/FZ255-1)*100)&lt;-50,"NM",(GB255/FZ255-1)*100)))</f>
        <v>NA</v>
      </c>
      <c r="GD255" s="96">
        <f>DM255+DO255+DQ255+DS255</f>
        <v>0</v>
      </c>
      <c r="GE255" s="79" t="str">
        <f>IF(ISERROR((GD255/GB255-1)*100),"NA",IF(((GD255/GB255-1)*100)&gt;100,"NM",IF(((GD255/GB255-1)*100)&lt;-50,"NM",(GD255/GB255-1)*100)))</f>
        <v>NA</v>
      </c>
      <c r="GF255" s="96">
        <f>DU255+DW255+DY255+EA255</f>
        <v>0</v>
      </c>
      <c r="GG255" s="79" t="str">
        <f>IF(ISERROR((GF255/GD255-1)*100),"NA",IF(((GF255/GD255-1)*100)&gt;100,"NM",IF(((GF255/GD255-1)*100)&lt;-50,"NM",(GF255/GD255-1)*100)))</f>
        <v>NA</v>
      </c>
      <c r="GH255" s="96">
        <f>EC255+EE255+EG255+EI255</f>
        <v>0</v>
      </c>
      <c r="GI255" s="79" t="str">
        <f>IF(ISERROR((GH255/GF255-1)*100),"NA",IF(((GH255/GF255-1)*100)&gt;100,"NM",IF(((GH255/GF255-1)*100)&lt;-50,"NM",(GH255/GF255-1)*100)))</f>
        <v>NA</v>
      </c>
      <c r="GJ255" s="96">
        <f>EK255+EM255+EO255+EQ255</f>
        <v>0</v>
      </c>
      <c r="GK255" s="79" t="str">
        <f>IF(ISERROR((GJ255/GH255-1)*100),"NA",IF(((GJ255/GH255-1)*100)&gt;100,"NM",IF(((GJ255/GH255-1)*100)&lt;-50,"NM",(GJ255/GH255-1)*100)))</f>
        <v>NA</v>
      </c>
      <c r="GL255" s="188">
        <f>GJ255</f>
        <v>0</v>
      </c>
      <c r="GM255" s="79" t="str">
        <f>IF(ISERROR((GL255/GJ255-1)*100),"NA",IF(((GL255/GJ255-1)*100)&gt;100,"NM",IF(((GL255/GJ255-1)*100)&lt;-50,"NM",(GL255/GJ255-1)*100)))</f>
        <v>NA</v>
      </c>
      <c r="GN255" s="188">
        <f>GL255</f>
        <v>0</v>
      </c>
      <c r="GO255" s="79" t="str">
        <f>IF(ISERROR((GN255/GL255-1)*100),"NA",IF(((GN255/GL255-1)*100)&gt;100,"NM",IF(((GN255/GL255-1)*100)&lt;-50,"NM",(GN255/GL255-1)*100)))</f>
        <v>NA</v>
      </c>
      <c r="GP255" s="188">
        <f>GN255</f>
        <v>0</v>
      </c>
      <c r="GQ255" s="79" t="str">
        <f>IF(ISERROR((GP255/GN255-1)*100),"NA",IF(((GP255/GN255-1)*100)&gt;100,"NM",IF(((GP255/GN255-1)*100)&lt;-50,"NM",(GP255/GN255-1)*100)))</f>
        <v>NA</v>
      </c>
      <c r="GR255" s="188">
        <f>GP255</f>
        <v>0</v>
      </c>
      <c r="GS255" s="79" t="str">
        <f>IF(ISERROR((GR255/GP255-1)*100),"NA",IF(((GR255/GP255-1)*100)&gt;100,"NM",IF(((GR255/GP255-1)*100)&lt;-50,"NM",(GR255/GP255-1)*100)))</f>
        <v>NA</v>
      </c>
      <c r="GT255" s="79"/>
      <c r="GU255" s="562"/>
      <c r="GV255" s="562"/>
      <c r="GW255"/>
      <c r="GX255"/>
      <c r="GY255"/>
      <c r="GZ255"/>
      <c r="HA255"/>
      <c r="HB255"/>
      <c r="HC255" s="562"/>
      <c r="HD255" s="562"/>
      <c r="HE255" s="562"/>
      <c r="HF255" s="562"/>
      <c r="HG255" s="562"/>
      <c r="HH255" s="562"/>
      <c r="HI255" s="562"/>
      <c r="HJ255" s="562"/>
      <c r="HK255" s="562"/>
      <c r="HL255" s="562"/>
      <c r="HM255" s="562"/>
      <c r="HN255" s="562"/>
      <c r="HO255" s="562"/>
      <c r="HP255" s="562"/>
      <c r="HQ255" s="562"/>
      <c r="HR255" s="562"/>
      <c r="HS255" s="562"/>
      <c r="HT255" s="562"/>
      <c r="HU255" s="562"/>
      <c r="HV255" s="562"/>
      <c r="HW255" s="562"/>
      <c r="HX255" s="562"/>
      <c r="HY255" s="562"/>
      <c r="HZ255" s="562"/>
      <c r="IA255" s="562"/>
      <c r="IB255" s="562"/>
      <c r="IC255" s="562"/>
      <c r="ID255" s="562"/>
      <c r="IE255" s="562"/>
      <c r="IF255" s="562"/>
      <c r="IG255" s="562"/>
      <c r="IH255" s="562"/>
      <c r="II255" s="562"/>
      <c r="IJ255" s="562"/>
      <c r="IK255" s="562"/>
      <c r="IL255" s="562"/>
      <c r="IM255" s="562"/>
      <c r="IN255" s="562"/>
      <c r="IO255" s="562"/>
      <c r="IP255" s="562"/>
      <c r="IQ255" s="562"/>
      <c r="IR255" s="562"/>
      <c r="IS255" s="562"/>
      <c r="IT255" s="562"/>
      <c r="IU255" s="562"/>
      <c r="IV255" s="562"/>
      <c r="IW255" s="562"/>
      <c r="IX255" s="562"/>
      <c r="IY255" s="562"/>
      <c r="IZ255" s="562"/>
      <c r="JA255" s="562"/>
      <c r="JB255" s="562"/>
      <c r="JC255" s="562"/>
      <c r="JD255" s="562"/>
      <c r="JE255" s="562"/>
      <c r="JF255" s="562"/>
      <c r="JG255" s="562"/>
      <c r="JH255" s="562"/>
      <c r="JI255" s="562"/>
      <c r="JJ255" s="562"/>
      <c r="JK255" s="562"/>
      <c r="JL255" s="562"/>
      <c r="JM255" s="562"/>
      <c r="JN255" s="562"/>
      <c r="JO255" s="562"/>
      <c r="JP255" s="562"/>
      <c r="JQ255" s="562"/>
      <c r="JR255" s="562"/>
      <c r="JS255" s="562"/>
      <c r="JT255" s="562"/>
      <c r="JU255" s="562"/>
      <c r="JV255" s="562"/>
      <c r="JW255" s="562"/>
      <c r="JX255" s="562"/>
      <c r="JY255" s="562"/>
      <c r="JZ255" s="562"/>
    </row>
    <row r="256" spans="1:286" s="132" customFormat="1" ht="12.75" customHeight="1" x14ac:dyDescent="0.2">
      <c r="A256" s="133"/>
      <c r="B256" s="83" t="s">
        <v>56</v>
      </c>
      <c r="C256" s="139"/>
      <c r="D256" s="139"/>
      <c r="E256" s="199"/>
      <c r="F256" s="139"/>
      <c r="G256" s="199"/>
      <c r="H256" s="139"/>
      <c r="I256" s="199"/>
      <c r="J256" s="139"/>
      <c r="K256" s="199"/>
      <c r="L256" s="79"/>
      <c r="M256" s="199">
        <f>SUM(M252:M254)</f>
        <v>483.3</v>
      </c>
      <c r="N256" s="79" t="str">
        <f>IF(ISERROR((M256/E256-1)*100),"NA",IF(((M256/E256-1)*100)&gt;100,"NM",IF(((M256/E256-1)*100)&lt;-50,"NM",(M256/E256-1)*100)))</f>
        <v>NA</v>
      </c>
      <c r="O256" s="199">
        <f>SUM(O252:O254)</f>
        <v>509.1</v>
      </c>
      <c r="P256" s="79" t="str">
        <f>IF(ISERROR((O256/G256-1)*100),"NA",IF(((O256/G256-1)*100)&gt;100,"NM",IF(((O256/G256-1)*100)&lt;-50,"NM",(O256/G256-1)*100)))</f>
        <v>NA</v>
      </c>
      <c r="Q256" s="199">
        <f>SUM(Q252:Q254)</f>
        <v>505.5</v>
      </c>
      <c r="R256" s="79" t="str">
        <f>IF(ISERROR((Q256/I256-1)*100),"NA",IF(((Q256/I256-1)*100)&gt;100,"NM",IF(((Q256/I256-1)*100)&lt;-50,"NM",(Q256/I256-1)*100)))</f>
        <v>NA</v>
      </c>
      <c r="S256" s="199">
        <f>SUM(S252:S254)</f>
        <v>508.59999999999997</v>
      </c>
      <c r="T256" s="79" t="str">
        <f>IF(ISERROR((S256/K256-1)*100),"NA",IF(((S256/K256-1)*100)&gt;100,"NM",IF(((S256/K256-1)*100)&lt;-50,"NM",(S256/K256-1)*100)))</f>
        <v>NA</v>
      </c>
      <c r="U256" s="199">
        <f>SUM(U252:U254)</f>
        <v>486.40000000000003</v>
      </c>
      <c r="V256" s="79">
        <f>IF(ISERROR((U256/M256-1)*100),"NA",IF(((U256/M256-1)*100)&gt;100,"NM",IF(((U256/M256-1)*100)&lt;-50,"NM",(U256/M256-1)*100)))</f>
        <v>0.64142354645149169</v>
      </c>
      <c r="W256" s="199">
        <f>SUM(W252:W254)</f>
        <v>494.69999999999993</v>
      </c>
      <c r="X256" s="79">
        <f>IF(ISERROR((W256/O256-1)*100),"NA",IF(((W256/O256-1)*100)&gt;100,"NM",IF(((W256/O256-1)*100)&lt;-50,"NM",(W256/O256-1)*100)))</f>
        <v>-2.8285209192693173</v>
      </c>
      <c r="Y256" s="199">
        <f>SUM(Y252:Y254)</f>
        <v>500.3</v>
      </c>
      <c r="Z256" s="79">
        <f>IF(ISERROR((Y256/Q256-1)*100),"NA",IF(((Y256/Q256-1)*100)&gt;100,"NM",IF(((Y256/Q256-1)*100)&lt;-50,"NM",(Y256/Q256-1)*100)))</f>
        <v>-1.0286844708209619</v>
      </c>
      <c r="AA256" s="203">
        <f>SUM(AA252:AA254)</f>
        <v>467.2</v>
      </c>
      <c r="AB256" s="79">
        <f>IF(ISERROR((AA256/S256-1)*100),"NA",IF(((AA256/S256-1)*100)&gt;100,"NM",IF(((AA256/S256-1)*100)&lt;-50,"NM",(AA256/S256-1)*100)))</f>
        <v>-8.1399921352732996</v>
      </c>
      <c r="AC256" s="199">
        <f>SUM(AC252:AC254)</f>
        <v>492.1</v>
      </c>
      <c r="AD256" s="79">
        <f>IF(ISERROR((AC256/U256-1)*100),"NA",IF(((AC256/U256-1)*100)&gt;100,"NM",IF(((AC256/U256-1)*100)&lt;-50,"NM",(AC256/U256-1)*100)))</f>
        <v>1.171875</v>
      </c>
      <c r="AE256" s="199">
        <f>SUM(AE252:AE254)</f>
        <v>459.3</v>
      </c>
      <c r="AF256" s="79">
        <f>IF(ISERROR((AE256/W256-1)*100),"NA",IF(((AE256/W256-1)*100)&gt;100,"NM",IF(((AE256/W256-1)*100)&lt;-50,"NM",(AE256/W256-1)*100)))</f>
        <v>-7.1558520315342484</v>
      </c>
      <c r="AG256" s="199">
        <f>SUM(AG252:AG254)</f>
        <v>460.5</v>
      </c>
      <c r="AH256" s="79">
        <f>IF(ISERROR((AG256/Y256-1)*100),"NA",IF(((AG256/Y256-1)*100)&gt;100,"NM",IF(((AG256/Y256-1)*100)&lt;-50,"NM",(AG256/Y256-1)*100)))</f>
        <v>-7.9552268638816699</v>
      </c>
      <c r="AI256" s="199">
        <f>SUM(AI252:AI254)</f>
        <v>474.09999999999997</v>
      </c>
      <c r="AJ256" s="79">
        <f>IF(ISERROR((AI256/AA256-1)*100),"NA",IF(((AI256/AA256-1)*100)&gt;100,"NM",IF(((AI256/AA256-1)*100)&lt;-50,"NM",(AI256/AA256-1)*100)))</f>
        <v>1.476883561643838</v>
      </c>
      <c r="AK256" s="199">
        <f>SUM(AK252:AK254)</f>
        <v>446.59999999999997</v>
      </c>
      <c r="AL256" s="79">
        <f>IF(ISERROR((AK256/AC256-1)*100),"NA",IF(((AK256/AC256-1)*100)&gt;100,"NM",IF(((AK256/AC256-1)*100)&lt;-50,"NM",(AK256/AC256-1)*100)))</f>
        <v>-9.2460881934566252</v>
      </c>
      <c r="AM256" s="199">
        <f>SUM(AM252:AM254)</f>
        <v>442.3</v>
      </c>
      <c r="AN256" s="79">
        <f>IF(ISERROR((AM256/AE256-1)*100),"NA",IF(((AM256/AE256-1)*100)&gt;100,"NM",IF(((AM256/AE256-1)*100)&lt;-50,"NM",(AM256/AE256-1)*100)))</f>
        <v>-3.7012845634661451</v>
      </c>
      <c r="AO256" s="199">
        <f>SUM(AO252:AO254)</f>
        <v>476.2</v>
      </c>
      <c r="AP256" s="79">
        <f>IF(ISERROR((AO256/AG256-1)*100),"NA",IF(((AO256/AG256-1)*100)&gt;100,"NM",IF(((AO256/AG256-1)*100)&lt;-50,"NM",(AO256/AG256-1)*100)))</f>
        <v>3.4093376764386507</v>
      </c>
      <c r="AQ256" s="199">
        <f>SUM(AQ252:AQ254)</f>
        <v>511.8</v>
      </c>
      <c r="AR256" s="79">
        <f>IF(ISERROR((AQ256/AI256-1)*100),"NA",IF(((AQ256/AI256-1)*100)&gt;100,"NM",IF(((AQ256/AI256-1)*100)&lt;-50,"NM",(AQ256/AI256-1)*100)))</f>
        <v>7.9519088799831383</v>
      </c>
      <c r="AS256" s="199">
        <f>SUM(AS252:AS254)</f>
        <v>499.5</v>
      </c>
      <c r="AT256" s="81">
        <f>IF(ISERROR((AS256/AK256-1)*100),"NA",IF(((AS256/AK256-1)*100)&gt;100,"NM",IF(((AS256/AK256-1)*100)&lt;-50,"NM",(AS256/AK256-1)*100)))</f>
        <v>11.845051500223924</v>
      </c>
      <c r="AU256" s="199">
        <f>SUM(AU252:AU254)</f>
        <v>502.09999999999997</v>
      </c>
      <c r="AV256" s="81">
        <f>IF(ISERROR((AU256/AM256-1)*100),"NA",IF(((AU256/AM256-1)*100)&gt;100,"NM",IF(((AU256/AM256-1)*100)&lt;-50,"NM",(AU256/AM256-1)*100)))</f>
        <v>13.520235134524071</v>
      </c>
      <c r="AW256" s="199">
        <f>SUM(AW252:AW254)</f>
        <v>490.3</v>
      </c>
      <c r="AX256" s="81">
        <f>IF(ISERROR((AW256/AO256-1)*100),"NA",IF(((AW256/AO256-1)*100)&gt;100,"NM",IF(((AW256/AO256-1)*100)&lt;-50,"NM",(AW256/AO256-1)*100)))</f>
        <v>2.9609407811843846</v>
      </c>
      <c r="AY256" s="199">
        <f>SUM(AY252:AY254)</f>
        <v>504.7</v>
      </c>
      <c r="AZ256" s="81">
        <f>IF(ISERROR((AY256/AQ256-1)*100),"NA",IF(((AY256/AQ256-1)*100)&gt;100,"NM",IF(((AY256/AQ256-1)*100)&lt;-50,"NM",(AY256/AQ256-1)*100)))</f>
        <v>-1.3872606486909023</v>
      </c>
      <c r="BA256" s="199">
        <f>SUM(BA252:BA254)</f>
        <v>482.2</v>
      </c>
      <c r="BB256" s="81">
        <f>IF(ISERROR((BA256/AS256-1)*100),"NA",IF(((BA256/AS256-1)*100)&gt;100,"NM",IF(((BA256/AS256-1)*100)&lt;-50,"NM",(BA256/AS256-1)*100)))</f>
        <v>-3.4634634634634676</v>
      </c>
      <c r="BC256" s="199">
        <f>SUM(BC252:BC254)</f>
        <v>478.6</v>
      </c>
      <c r="BD256" s="81">
        <f>IF(ISERROR((BC256/AU256-1)*100),"NA",IF(((BC256/AU256-1)*100)&gt;100,"NM",IF(((BC256/AU256-1)*100)&lt;-50,"NM",(BC256/AU256-1)*100)))</f>
        <v>-4.6803425612427674</v>
      </c>
      <c r="BE256" s="199">
        <f>SUM(BE252:BE254)</f>
        <v>497.1</v>
      </c>
      <c r="BF256" s="81">
        <f>IF(ISERROR((BE256/AW256-1)*100),"NA",IF(((BE256/AW256-1)*100)&gt;100,"NM",IF(((BE256/AW256-1)*100)&lt;-50,"NM",(BE256/AW256-1)*100)))</f>
        <v>1.3869059759330948</v>
      </c>
      <c r="BG256" s="199">
        <f>SUM(BG252:BG254)</f>
        <v>483.3</v>
      </c>
      <c r="BH256" s="81">
        <f>IF(ISERROR((BG256/AY256-1)*100),"NA",IF(((BG256/AY256-1)*100)&gt;100,"NM",IF(((BG256/AY256-1)*100)&lt;-50,"NM",(BG256/AY256-1)*100)))</f>
        <v>-4.2401426590053415</v>
      </c>
      <c r="BI256" s="199">
        <f>SUM(BI252:BI254)</f>
        <v>453.4</v>
      </c>
      <c r="BJ256" s="81">
        <f>IF(ISERROR((BI256/BA256-1)*100),"NA",IF(((BI256/BA256-1)*100)&gt;100,"NM",IF(((BI256/BA256-1)*100)&lt;-50,"NM",(BI256/BA256-1)*100)))</f>
        <v>-5.9726254666113698</v>
      </c>
      <c r="BK256" s="199">
        <f>SUM(BK252:BK254)</f>
        <v>461</v>
      </c>
      <c r="BL256" s="81">
        <f>IF(ISERROR((BK256/BC256-1)*100),"NA",IF(((BK256/BC256-1)*100)&gt;100,"NM",IF(((BK256/BC256-1)*100)&lt;-50,"NM",(BK256/BC256-1)*100)))</f>
        <v>-3.6773923944839138</v>
      </c>
      <c r="BM256" s="199">
        <f>SUM(BM252:BM254)</f>
        <v>450.59999999999997</v>
      </c>
      <c r="BN256" s="81">
        <f>IF(ISERROR((BM256/BE256-1)*100),"NA",IF(((BM256/BE256-1)*100)&gt;100,"NM",IF(((BM256/BE256-1)*100)&lt;-50,"NM",(BM256/BE256-1)*100)))</f>
        <v>-9.3542546771273489</v>
      </c>
      <c r="BO256" s="199">
        <f>SUM(BO252:BO254)</f>
        <v>453.40000000000003</v>
      </c>
      <c r="BP256" s="81">
        <f>IF(ISERROR((BO256/BG256-1)*100),"NA",IF(((BO256/BG256-1)*100)&gt;100,"NM",IF(((BO256/BG256-1)*100)&lt;-50,"NM",(BO256/BG256-1)*100)))</f>
        <v>-6.1866335609352285</v>
      </c>
      <c r="BQ256" s="199">
        <f>SUM(BQ252:BQ254)</f>
        <v>442.9</v>
      </c>
      <c r="BR256" s="81">
        <f>IF(ISERROR((BQ256/BI256-1)*100),"NA",IF(((BQ256/BI256-1)*100)&gt;100,"NM",IF(((BQ256/BI256-1)*100)&lt;-50,"NM",(BQ256/BI256-1)*100)))</f>
        <v>-2.3158359064843426</v>
      </c>
      <c r="BS256" s="199">
        <f>SUM(BS252:BS254)</f>
        <v>441.2</v>
      </c>
      <c r="BT256" s="81">
        <f>IF(ISERROR((BS256/BK256-1)*100),"NA",IF(((BS256/BK256-1)*100)&gt;100,"NM",IF(((BS256/BK256-1)*100)&lt;-50,"NM",(BS256/BK256-1)*100)))</f>
        <v>-4.2950108459869902</v>
      </c>
      <c r="BU256" s="199">
        <f>SUM(BU252:BU254)</f>
        <v>430.2</v>
      </c>
      <c r="BV256" s="81">
        <f>IF(ISERROR((BU256/BM256-1)*100),"NA",IF(((BU256/BM256-1)*100)&gt;100,"NM",IF(((BU256/BM256-1)*100)&lt;-50,"NM",(BU256/BM256-1)*100)))</f>
        <v>-4.5272969374167698</v>
      </c>
      <c r="BW256" s="199">
        <f>SUM(BW252:BW254)</f>
        <v>425.6</v>
      </c>
      <c r="BX256" s="81">
        <f>IF(ISERROR((BW256/BO256-1)*100),"NA",IF(((BW256/BO256-1)*100)&gt;100,"NM",IF(((BW256/BO256-1)*100)&lt;-50,"NM",(BW256/BO256-1)*100)))</f>
        <v>-6.1314512571680631</v>
      </c>
      <c r="BY256" s="199">
        <f>SUM(BY252:BY254)</f>
        <v>684.80000000000007</v>
      </c>
      <c r="BZ256" s="81">
        <f>IF(ISERROR((BY256/BQ256-1)*100),"NA",IF(((BY256/BQ256-1)*100)&gt;100,"NM",IF(((BY256/BQ256-1)*100)&lt;-50,"NM",(BY256/BQ256-1)*100)))</f>
        <v>54.617295100474173</v>
      </c>
      <c r="CA256" s="199">
        <f>SUM(CA252:CA254)</f>
        <v>683.80000000000007</v>
      </c>
      <c r="CB256" s="81">
        <f>IF(ISERROR((CA256/BS256-1)*100),"NA",IF(((CA256/BS256-1)*100)&gt;100,"NM",IF(((CA256/BS256-1)*100)&lt;-50,"NM",(CA256/BS256-1)*100)))</f>
        <v>54.986400725294658</v>
      </c>
      <c r="CC256" s="199">
        <f>SUM(CC252:CC254)</f>
        <v>676.9</v>
      </c>
      <c r="CD256" s="81">
        <f>IF(ISERROR((CC256/BU256-1)*100),"NA",IF(((CC256/BU256-1)*100)&gt;100,"NM",IF(((CC256/BU256-1)*100)&lt;-50,"NM",(CC256/BU256-1)*100)))</f>
        <v>57.345420734542074</v>
      </c>
      <c r="CE256" s="199">
        <f>SUM(CE252:CE254)</f>
        <v>684.2</v>
      </c>
      <c r="CF256" s="81">
        <f>IF(ISERROR((CE256/BW256-1)*100),"NA",IF(((CE256/BW256-1)*100)&gt;100,"NM",IF(((CE256/BW256-1)*100)&lt;-50,"NM",(CE256/BW256-1)*100)))</f>
        <v>60.761278195488735</v>
      </c>
      <c r="CG256" s="199">
        <f>SUM(CG252:CG254)</f>
        <v>675</v>
      </c>
      <c r="CH256" s="81">
        <f>IF(ISERROR((CG256/BY256-1)*100),"NA",IF(((CG256/BY256-1)*100)&gt;100,"NM",IF(((CG256/BY256-1)*100)&lt;-50,"NM",(CG256/BY256-1)*100)))</f>
        <v>-1.4310747663551449</v>
      </c>
      <c r="CI256" s="199">
        <f>SUM(CI252:CI254)</f>
        <v>668.6</v>
      </c>
      <c r="CJ256" s="81">
        <f>IF(ISERROR((CI256/CA256-1)*100),"NA",IF(((CI256/CA256-1)*100)&gt;100,"NM",IF(((CI256/CA256-1)*100)&lt;-50,"NM",(CI256/CA256-1)*100)))</f>
        <v>-2.2228721848493782</v>
      </c>
      <c r="CK256" s="199">
        <f>SUM(CK252:CK254)</f>
        <v>674.1</v>
      </c>
      <c r="CL256" s="81">
        <f>IF(ISERROR((CK256/CC256-1)*100),"NA",IF(((CK256/CC256-1)*100)&gt;100,"NM",IF(((CK256/CC256-1)*100)&lt;-50,"NM",(CK256/CC256-1)*100)))</f>
        <v>-0.41365046535676298</v>
      </c>
      <c r="CM256" s="199">
        <f>SUM(CM252:CM254)</f>
        <v>673.40000000000009</v>
      </c>
      <c r="CN256" s="81">
        <f>IF(ISERROR((CM256/CE256-1)*100),"NA",IF(((CM256/CE256-1)*100)&gt;100,"NM",IF(((CM256/CE256-1)*100)&lt;-50,"NM",(CM256/CE256-1)*100)))</f>
        <v>-1.5784858228588106</v>
      </c>
      <c r="CO256" s="199">
        <f>SUM(CO252:CO254)</f>
        <v>670.4</v>
      </c>
      <c r="CP256" s="81">
        <f>IF(ISERROR((CO256/CG256-1)*100),"NA",IF(((CO256/CG256-1)*100)&gt;100,"NM",IF(((CO256/CG256-1)*100)&lt;-50,"NM",(CO256/CG256-1)*100)))</f>
        <v>-0.68148148148148291</v>
      </c>
      <c r="CQ256" s="199">
        <f>SUM(CQ252:CQ254)</f>
        <v>673.6</v>
      </c>
      <c r="CR256" s="81">
        <f>IF(ISERROR((CQ256/CI256-1)*100),"NA",IF(((CQ256/CI256-1)*100)&gt;100,"NM",IF(((CQ256/CI256-1)*100)&lt;-50,"NM",(CQ256/CI256-1)*100)))</f>
        <v>0.74783128926114717</v>
      </c>
      <c r="CS256" s="199">
        <f>SUM(CS252:CS254)</f>
        <v>676.6</v>
      </c>
      <c r="CT256" s="81">
        <f>IF(ISERROR((CS256/CK256-1)*100),"NA",IF(((CS256/CK256-1)*100)&gt;100,"NM",IF(((CS256/CK256-1)*100)&lt;-50,"NM",(CS256/CK256-1)*100)))</f>
        <v>0.37086485684616477</v>
      </c>
      <c r="CU256" s="199">
        <f>SUM(CU252:CU254)</f>
        <v>680.5</v>
      </c>
      <c r="CV256" s="81">
        <f>IF(ISERROR((CU256/CM256-1)*100),"NA",IF(((CU256/CM256-1)*100)&gt;100,"NM",IF(((CU256/CM256-1)*100)&lt;-50,"NM",(CU256/CM256-1)*100)))</f>
        <v>1.0543510543510326</v>
      </c>
      <c r="CW256" s="199">
        <f>SUM(CW252:CW254)</f>
        <v>676.80000000000007</v>
      </c>
      <c r="CX256" s="81">
        <f>IF(ISERROR((CW256/CO256-1)*100),"NA",IF(((CW256/CO256-1)*100)&gt;100,"NM",IF(((CW256/CO256-1)*100)&lt;-50,"NM",(CW256/CO256-1)*100)))</f>
        <v>0.95465393794751385</v>
      </c>
      <c r="CY256" s="199">
        <f>SUM(CY252:CY254)</f>
        <v>668.2</v>
      </c>
      <c r="CZ256" s="81">
        <f>IF(ISERROR((CY256/CQ256-1)*100),"NA",IF(((CY256/CQ256-1)*100)&gt;100,"NM",IF(((CY256/CQ256-1)*100)&lt;-50,"NM",(CY256/CQ256-1)*100)))</f>
        <v>-0.8016627078384797</v>
      </c>
      <c r="DA256" s="199">
        <f>SUM(DA252:DA254)</f>
        <v>664.6</v>
      </c>
      <c r="DB256" s="81">
        <f>IF(ISERROR((DA256/CS256-1)*100),"NA",IF(((DA256/CS256-1)*100)&gt;100,"NM",IF(((DA256/CS256-1)*100)&lt;-50,"NM",(DA256/CS256-1)*100)))</f>
        <v>-1.7735737511084815</v>
      </c>
      <c r="DC256" s="199">
        <f>SUM(DC252:DC254)</f>
        <v>673.3</v>
      </c>
      <c r="DD256" s="81">
        <f>IF(ISERROR((DC256/CU256-1)*100),"NA",IF(((DC256/CU256-1)*100)&gt;100,"NM",IF(((DC256/CU256-1)*100)&lt;-50,"NM",(DC256/CU256-1)*100)))</f>
        <v>-1.0580455547391732</v>
      </c>
      <c r="DE256" s="199">
        <f>SUM(DE252:DE254)</f>
        <v>655</v>
      </c>
      <c r="DF256" s="81">
        <f>IF(ISERROR((DE256/CW256-1)*100),"NA",IF(((DE256/CW256-1)*100)&gt;100,"NM",IF(((DE256/CW256-1)*100)&lt;-50,"NM",(DE256/CW256-1)*100)))</f>
        <v>-3.2210401891253015</v>
      </c>
      <c r="DG256" s="199">
        <f>SUM(DG252:DG254)</f>
        <v>665.40000000000009</v>
      </c>
      <c r="DH256" s="81">
        <f>IF(ISERROR((DG256/CY256-1)*100),"NA",IF(((DG256/CY256-1)*100)&gt;100,"NM",IF(((DG256/CY256-1)*100)&lt;-50,"NM",(DG256/CY256-1)*100)))</f>
        <v>-0.41903621670158486</v>
      </c>
      <c r="DI256" s="199">
        <f>SUM(DI252:DI254)</f>
        <v>653.1</v>
      </c>
      <c r="DJ256" s="81">
        <f>IF(ISERROR((DI256/DA256-1)*100),"NA",IF(((DI256/DA256-1)*100)&gt;100,"NM",IF(((DI256/DA256-1)*100)&lt;-50,"NM",(DI256/DA256-1)*100)))</f>
        <v>-1.7303641287992777</v>
      </c>
      <c r="DK256" s="199">
        <f>SUM(DK252:DK254)</f>
        <v>656.4</v>
      </c>
      <c r="DL256" s="81">
        <f>IF(ISERROR((DK256/DC256-1)*100),"NA",IF(((DK256/DC256-1)*100)&gt;100,"NM",IF(((DK256/DC256-1)*100)&lt;-50,"NM",(DK256/DC256-1)*100)))</f>
        <v>-2.5100252487746832</v>
      </c>
      <c r="DM256" s="199">
        <f>SUM(DM252:DM254)</f>
        <v>648.5</v>
      </c>
      <c r="DN256" s="81">
        <f>IF(ISERROR((DM256/DE256-1)*100),"NA",IF(((DM256/DE256-1)*100)&gt;100,"NM",IF(((DM256/DE256-1)*100)&lt;-50,"NM",(DM256/DE256-1)*100)))</f>
        <v>-0.992366412213741</v>
      </c>
      <c r="DO256" s="199">
        <f>SUM(DO252:DO254)</f>
        <v>657.5</v>
      </c>
      <c r="DP256" s="81">
        <f>IF(ISERROR((DO256/DG256-1)*100),"NA",IF(((DO256/DG256-1)*100)&gt;100,"NM",IF(((DO256/DG256-1)*100)&lt;-50,"NM",(DO256/DG256-1)*100)))</f>
        <v>-1.1872557859934019</v>
      </c>
      <c r="DQ256" s="199">
        <f>SUM(DQ252:DQ254)</f>
        <v>650.29999999999995</v>
      </c>
      <c r="DR256" s="81">
        <f>IF(ISERROR((DQ256/DI256-1)*100),"NA",IF(((DQ256/DI256-1)*100)&gt;100,"NM",IF(((DQ256/DI256-1)*100)&lt;-50,"NM",(DQ256/DI256-1)*100)))</f>
        <v>-0.42872454448018571</v>
      </c>
      <c r="DS256" s="199">
        <f>SUM(DS252:DS254)</f>
        <v>660.59999999999991</v>
      </c>
      <c r="DT256" s="81">
        <f>IF(ISERROR((DS256/DK256-1)*100),"NA",IF(((DS256/DK256-1)*100)&gt;100,"NM",IF(((DS256/DK256-1)*100)&lt;-50,"NM",(DS256/DK256-1)*100)))</f>
        <v>0.63985374771480252</v>
      </c>
      <c r="DU256" s="199">
        <f>SUM(DU252:DU254)</f>
        <v>651.49999999999989</v>
      </c>
      <c r="DV256" s="81">
        <f>IF(ISERROR((DU256/DM256-1)*100),"NA",IF(((DU256/DM256-1)*100)&gt;100,"NM",IF(((DU256/DM256-1)*100)&lt;-50,"NM",(DU256/DM256-1)*100)))</f>
        <v>0.46260601387815292</v>
      </c>
      <c r="DW256" s="199">
        <f>SUM(DW252:DW254)</f>
        <v>652.5</v>
      </c>
      <c r="DX256" s="81">
        <f>IF(ISERROR((DW256/DO256-1)*100),"NA",IF(((DW256/DO256-1)*100)&gt;100,"NM",IF(((DW256/DO256-1)*100)&lt;-50,"NM",(DW256/DO256-1)*100)))</f>
        <v>-0.76045627376425395</v>
      </c>
      <c r="DY256" s="199">
        <f>SUM(DY252:DY254)</f>
        <v>648.6</v>
      </c>
      <c r="DZ256" s="81">
        <f>IF(ISERROR((DY256/DQ256-1)*100),"NA",IF(((DY256/DQ256-1)*100)&gt;100,"NM",IF(((DY256/DQ256-1)*100)&lt;-50,"NM",(DY256/DQ256-1)*100)))</f>
        <v>-0.26141780716590901</v>
      </c>
      <c r="EA256" s="199">
        <f>SUM(EA252:EA255)</f>
        <v>656</v>
      </c>
      <c r="EB256" s="81">
        <f>IF(ISERROR((EA256/DS256-1)*100),"NA",IF(((EA256/DS256-1)*100)&gt;100,"NM",IF(((EA256/DS256-1)*100)&lt;-50,"NM",(EA256/DS256-1)*100)))</f>
        <v>-0.69633666363910773</v>
      </c>
      <c r="EC256" s="199">
        <f>SUM(EC252:EC254)</f>
        <v>643</v>
      </c>
      <c r="ED256" s="81">
        <f t="shared" ref="ED256" si="816">IF(ISERROR((EC256/DU256-1)*100),"NA",IF(((EC256/DU256-1)*100)&gt;100,"NM",IF(((EC256/DU256-1)*100)&lt;-50,"NM",(EC256/DU256-1)*100)))</f>
        <v>-1.3046815042210058</v>
      </c>
      <c r="EE256" s="199">
        <f t="shared" ref="EE256:EG256" si="817">SUM(EE252:EE255)</f>
        <v>641.6</v>
      </c>
      <c r="EF256" s="81">
        <f t="shared" ref="EF256" si="818">IF(ISERROR((EE256/DW256-1)*100),"NA",IF(((EE256/DW256-1)*100)&gt;100,"NM",IF(((EE256/DW256-1)*100)&lt;-50,"NM",(EE256/DW256-1)*100)))</f>
        <v>-1.6704980842911832</v>
      </c>
      <c r="EG256" s="199">
        <f t="shared" si="817"/>
        <v>638.6</v>
      </c>
      <c r="EH256" s="81">
        <f t="shared" ref="EH256" si="819">IF(ISERROR((EG256/DY256-1)*100),"NA",IF(((EG256/DY256-1)*100)&gt;100,"NM",IF(((EG256/DY256-1)*100)&lt;-50,"NM",(EG256/DY256-1)*100)))</f>
        <v>-1.5417823003391895</v>
      </c>
      <c r="EI256" s="199">
        <f t="shared" ref="EI256" si="820">SUM(EI252:EI255)</f>
        <v>639.79999999999995</v>
      </c>
      <c r="EJ256" s="81">
        <f t="shared" ref="EJ256" si="821">IF(ISERROR((EI256/EA256-1)*100),"NA",IF(((EI256/EA256-1)*100)&gt;100,"NM",IF(((EI256/EA256-1)*100)&lt;-50,"NM",(EI256/EA256-1)*100)))</f>
        <v>-2.469512195121959</v>
      </c>
      <c r="EK256" s="199">
        <f t="shared" ref="EK256:EQ256" si="822">SUM(EK252:EK255)</f>
        <v>634.35525000000007</v>
      </c>
      <c r="EL256" s="81">
        <f t="shared" ref="EL256" si="823">IF(ISERROR((EK256/EC256-1)*100),"NA",IF(((EK256/EC256-1)*100)&gt;100,"NM",IF(((EK256/EC256-1)*100)&lt;-50,"NM",(EK256/EC256-1)*100)))</f>
        <v>-1.3444401244167903</v>
      </c>
      <c r="EM256" s="199">
        <f t="shared" si="822"/>
        <v>630.06051087499998</v>
      </c>
      <c r="EN256" s="81">
        <f t="shared" ref="EN256" si="824">IF(ISERROR((EM256/EE256-1)*100),"NA",IF(((EM256/EE256-1)*100)&gt;100,"NM",IF(((EM256/EE256-1)*100)&lt;-50,"NM",(EM256/EE256-1)*100)))</f>
        <v>-1.7985488037718267</v>
      </c>
      <c r="EO256" s="199">
        <f t="shared" si="822"/>
        <v>625.79525424318751</v>
      </c>
      <c r="EP256" s="81">
        <f t="shared" ref="EP256" si="825">IF(ISERROR((EO256/EG256-1)*100),"NA",IF(((EO256/EG256-1)*100)&gt;100,"NM",IF(((EO256/EG256-1)*100)&lt;-50,"NM",(EO256/EG256-1)*100)))</f>
        <v>-2.0051277414363411</v>
      </c>
      <c r="EQ256" s="199">
        <f t="shared" si="822"/>
        <v>621.55927510665902</v>
      </c>
      <c r="ER256" s="81">
        <f t="shared" ref="ER256" si="826">IF(ISERROR((EQ256/EI256-1)*100),"NA",IF(((EQ256/EI256-1)*100)&gt;100,"NM",IF(((EQ256/EI256-1)*100)&lt;-50,"NM",(EQ256/EI256-1)*100)))</f>
        <v>-2.8510042033980887</v>
      </c>
      <c r="ES256" s="138"/>
      <c r="ET256" s="470"/>
      <c r="EU256" s="138"/>
      <c r="EV256" s="139"/>
      <c r="EW256" s="140"/>
      <c r="EX256" s="139"/>
      <c r="EY256" s="79"/>
      <c r="EZ256" s="141"/>
      <c r="FA256" s="79"/>
      <c r="FB256" s="142"/>
      <c r="FC256" s="79"/>
      <c r="FD256" s="142">
        <f>SUM(FD252:FD254)</f>
        <v>2006.5</v>
      </c>
      <c r="FE256" s="79" t="str">
        <f>IF(ISERROR((FD256/FB256-1)*100),"NA",IF(((FD256/FB256-1)*100)&gt;100,"NM",IF(((FD256/FB256-1)*100)&lt;-50,"NM",(FD256/FB256-1)*100)))</f>
        <v>NA</v>
      </c>
      <c r="FF256" s="142">
        <f>SUM(FF252:FF254)</f>
        <v>1948.6000000000001</v>
      </c>
      <c r="FG256" s="79">
        <f>IF(ISERROR((FF256/FD256-1)*100),"NA",IF(((FF256/FD256-1)*100)&gt;100,"NM",IF(((FF256/FD256-1)*100)&lt;-50,"NM",(FF256/FD256-1)*100)))</f>
        <v>-2.8856217293795061</v>
      </c>
      <c r="FH256" s="142">
        <f>SUM(FH252:FH254)</f>
        <v>1885.9999999999998</v>
      </c>
      <c r="FI256" s="79">
        <f>IF(ISERROR((FH256/FF256-1)*100),"NA",IF(((FH256/FF256-1)*100)&gt;100,"NM",IF(((FH256/FF256-1)*100)&lt;-50,"NM",(FH256/FF256-1)*100)))</f>
        <v>-3.2125628656471505</v>
      </c>
      <c r="FJ256" s="142">
        <f>SUM(FJ252:FJ254)</f>
        <v>1876.8999999999999</v>
      </c>
      <c r="FK256" s="79">
        <f>IF(ISERROR((FJ256/FH256-1)*100),"NA",IF(((FJ256/FH256-1)*100)&gt;100,"NM",IF(((FJ256/FH256-1)*100)&lt;-50,"NM",(FJ256/FH256-1)*100)))</f>
        <v>-0.48250265111345891</v>
      </c>
      <c r="FL256" s="199">
        <f>SUM(FL252:FL254)</f>
        <v>1996.6</v>
      </c>
      <c r="FM256" s="79">
        <f>IF(ISERROR((FL256/FJ256-1)*100),"NA",IF(((FL256/FJ256-1)*100)&gt;100,"NM",IF(((FL256/FJ256-1)*100)&lt;-50,"NM",(FL256/FJ256-1)*100)))</f>
        <v>6.3775374287388775</v>
      </c>
      <c r="FN256" s="199">
        <f>SUM(FN252:FN254)</f>
        <v>1941.2</v>
      </c>
      <c r="FO256" s="79">
        <f>IF(ISERROR((FN256/FL256-1)*100),"NA",IF(((FN256/FL256-1)*100)&gt;100,"NM",IF(((FN256/FL256-1)*100)&lt;-50,"NM",(FN256/FL256-1)*100)))</f>
        <v>-2.7747170189321824</v>
      </c>
      <c r="FP256" s="199">
        <f>SUM(FP252:FP255)</f>
        <v>1818.3999999999996</v>
      </c>
      <c r="FQ256" s="79">
        <f>IF(ISERROR((FP256/FN256-1)*100),"NA",IF(((FP256/FN256-1)*100)&gt;100,"NM",IF(((FP256/FN256-1)*100)&lt;-50,"NM",(FP256/FN256-1)*100)))</f>
        <v>-6.3259839274675711</v>
      </c>
      <c r="FR256" s="199">
        <f>SUM(FR252:FR255)</f>
        <v>2733.7999999999997</v>
      </c>
      <c r="FS256" s="79">
        <f>IF(ISERROR((FR256/FP256-1)*100),"NA",IF(((FR256/FP256-1)*100)&gt;100,"NM",IF(((FR256/FP256-1)*100)&lt;-50,"NM",(FR256/FP256-1)*100)))</f>
        <v>50.340959084909834</v>
      </c>
      <c r="FT256" s="199">
        <f>SUM(FT252:FT255)</f>
        <v>2729.6999999999994</v>
      </c>
      <c r="FU256" s="79">
        <f>IF(ISERROR((FT256/FR256-1)*100),"NA",IF(((FT256/FR256-1)*100)&gt;100,"NM",IF(((FT256/FR256-1)*100)&lt;-50,"NM",(FT256/FR256-1)*100)))</f>
        <v>-0.14997439461557072</v>
      </c>
      <c r="FV256" s="199">
        <f>SUM(FV252:FV255)</f>
        <v>2691.1</v>
      </c>
      <c r="FW256" s="79">
        <f>IF(ISERROR((FV256/FT256-1)*100),"NA",IF(((FV256/FT256-1)*100)&gt;100,"NM",IF(((FV256/FT256-1)*100)&lt;-50,"NM",(FV256/FT256-1)*100)))</f>
        <v>-1.4140748067553055</v>
      </c>
      <c r="FX256" s="199">
        <f>SUM(FX252:FX255)</f>
        <v>2700.2999999999997</v>
      </c>
      <c r="FY256" s="79">
        <f>IF(ISERROR((FX256/FV256-1)*100),"NA",IF(((FX256/FV256-1)*100)&gt;100,"NM",IF(((FX256/FV256-1)*100)&lt;-50,"NM",(FX256/FV256-1)*100)))</f>
        <v>0.34186763776893336</v>
      </c>
      <c r="FZ256" s="199">
        <f>SUM(FZ252:FZ255)</f>
        <v>2682.9</v>
      </c>
      <c r="GA256" s="79">
        <f>IF(ISERROR((FZ256/FX256-1)*100),"NA",IF(((FZ256/FX256-1)*100)&gt;100,"NM",IF(((FZ256/FX256-1)*100)&lt;-50,"NM",(FZ256/FX256-1)*100)))</f>
        <v>-0.64437284746138301</v>
      </c>
      <c r="GB256" s="199">
        <f>SUM(GB252:GB255)</f>
        <v>2629.9</v>
      </c>
      <c r="GC256" s="79">
        <f>IF(ISERROR((GB256/FZ256-1)*100),"NA",IF(((GB256/FZ256-1)*100)&gt;100,"NM",IF(((GB256/FZ256-1)*100)&lt;-50,"NM",(GB256/FZ256-1)*100)))</f>
        <v>-1.9754743001975439</v>
      </c>
      <c r="GD256" s="199">
        <f>SUM(GD252:GD255)</f>
        <v>2616.9</v>
      </c>
      <c r="GE256" s="79">
        <f>IF(ISERROR((GD256/GB256-1)*100),"NA",IF(((GD256/GB256-1)*100)&gt;100,"NM",IF(((GD256/GB256-1)*100)&lt;-50,"NM",(GD256/GB256-1)*100)))</f>
        <v>-0.49431537320810959</v>
      </c>
      <c r="GF256" s="199">
        <f>SUM(GF252:GF255)</f>
        <v>2608.6000000000004</v>
      </c>
      <c r="GG256" s="79">
        <f>IF(ISERROR((GF256/GD256-1)*100),"NA",IF(((GF256/GD256-1)*100)&gt;100,"NM",IF(((GF256/GD256-1)*100)&lt;-50,"NM",(GF256/GD256-1)*100)))</f>
        <v>-0.3171691696281731</v>
      </c>
      <c r="GH256" s="199">
        <f>SUM(GH252:GH255)</f>
        <v>2563</v>
      </c>
      <c r="GI256" s="79">
        <f>IF(ISERROR((GH256/GF256-1)*100),"NA",IF(((GH256/GF256-1)*100)&gt;100,"NM",IF(((GH256/GF256-1)*100)&lt;-50,"NM",(GH256/GF256-1)*100)))</f>
        <v>-1.7480640956835214</v>
      </c>
      <c r="GJ256" s="199">
        <f>SUM(GJ252:GJ255)</f>
        <v>2511.7702902248466</v>
      </c>
      <c r="GK256" s="79">
        <f>IF(ISERROR((GJ256/GH256-1)*100),"NA",IF(((GJ256/GH256-1)*100)&gt;100,"NM",IF(((GJ256/GH256-1)*100)&lt;-50,"NM",(GJ256/GH256-1)*100)))</f>
        <v>-1.9988181730453913</v>
      </c>
      <c r="GL256" s="199">
        <f>SUM(GL252:GL255)</f>
        <v>2437.2032811438507</v>
      </c>
      <c r="GM256" s="79">
        <f>IF(ISERROR((GL256/GJ256-1)*100),"NA",IF(((GL256/GJ256-1)*100)&gt;100,"NM",IF(((GL256/GJ256-1)*100)&lt;-50,"NM",(GL256/GJ256-1)*100)))</f>
        <v>-2.9687033631694448</v>
      </c>
      <c r="GN256" s="199">
        <f>SUM(GN252:GN255)</f>
        <v>2364.8575603427694</v>
      </c>
      <c r="GO256" s="79">
        <f>IF(ISERROR((GN256/GL256-1)*100),"NA",IF(((GN256/GL256-1)*100)&gt;100,"NM",IF(((GN256/GL256-1)*100)&lt;-50,"NM",(GN256/GL256-1)*100)))</f>
        <v>-2.9683909159652577</v>
      </c>
      <c r="GP256" s="199">
        <f>SUM(GP252:GP255)</f>
        <v>2294.6668036130559</v>
      </c>
      <c r="GQ256" s="79">
        <f>IF(ISERROR((GP256/GN256-1)*100),"NA",IF(((GP256/GN256-1)*100)&gt;100,"NM",IF(((GP256/GN256-1)*100)&lt;-50,"NM",(GP256/GN256-1)*100)))</f>
        <v>-2.9680754522712016</v>
      </c>
      <c r="GR256" s="199">
        <f>SUM(GR252:GR255)</f>
        <v>2226.5666701836226</v>
      </c>
      <c r="GS256" s="79">
        <f>IF(ISERROR((GR256/GP256-1)*100),"NA",IF(((GR256/GP256-1)*100)&gt;100,"NM",IF(((GR256/GP256-1)*100)&lt;-50,"NM",(GR256/GP256-1)*100)))</f>
        <v>-2.9677569450260344</v>
      </c>
      <c r="GT256" s="79">
        <f>IF(ISERROR(((GR256/GH256)^0.2-1)*100),"NA",(IF(OR(((GR256/GH256)^0.2-1)*100&gt;99,((GR256/GH256)^0.2-1)*100&lt;-50),"NM",(((GR256/GH256)^0.2-1)*100))))</f>
        <v>-2.7751191662503727</v>
      </c>
      <c r="GU256" s="562"/>
      <c r="GV256" s="562"/>
      <c r="GW256"/>
      <c r="GX256"/>
      <c r="GY256"/>
      <c r="GZ256"/>
      <c r="HA256"/>
      <c r="HB256"/>
      <c r="HC256" s="562"/>
      <c r="HD256" s="562"/>
      <c r="HE256" s="562"/>
      <c r="HF256" s="562"/>
      <c r="HG256" s="562"/>
      <c r="HH256" s="562"/>
      <c r="HI256" s="562"/>
      <c r="HJ256" s="562"/>
      <c r="HK256" s="562"/>
      <c r="HL256" s="562"/>
      <c r="HM256" s="562"/>
      <c r="HN256" s="562"/>
      <c r="HO256" s="562"/>
      <c r="HP256" s="562"/>
      <c r="HQ256" s="562"/>
      <c r="HR256" s="562"/>
      <c r="HS256" s="562"/>
      <c r="HT256" s="562"/>
      <c r="HU256" s="562"/>
      <c r="HV256" s="562"/>
      <c r="HW256" s="562"/>
      <c r="HX256" s="562"/>
      <c r="HY256" s="562"/>
      <c r="HZ256" s="562"/>
      <c r="IA256" s="562"/>
      <c r="IB256" s="562"/>
      <c r="IC256" s="562"/>
      <c r="ID256" s="562"/>
      <c r="IE256" s="562"/>
      <c r="IF256" s="562"/>
      <c r="IG256" s="562"/>
      <c r="IH256" s="562"/>
      <c r="II256" s="562"/>
      <c r="IJ256" s="562"/>
      <c r="IK256" s="562"/>
      <c r="IL256" s="562"/>
      <c r="IM256" s="562"/>
      <c r="IN256" s="562"/>
      <c r="IO256" s="562"/>
      <c r="IP256" s="562"/>
      <c r="IQ256" s="562"/>
      <c r="IR256" s="562"/>
      <c r="IS256" s="562"/>
      <c r="IT256" s="562"/>
      <c r="IU256" s="562"/>
      <c r="IV256" s="562"/>
      <c r="IW256" s="562"/>
      <c r="IX256" s="562"/>
      <c r="IY256" s="562"/>
      <c r="IZ256" s="562"/>
      <c r="JA256" s="562"/>
      <c r="JB256" s="562"/>
      <c r="JC256" s="562"/>
      <c r="JD256" s="562"/>
      <c r="JE256" s="562"/>
      <c r="JF256" s="562"/>
      <c r="JG256" s="562"/>
      <c r="JH256" s="562"/>
      <c r="JI256" s="562"/>
      <c r="JJ256" s="562"/>
      <c r="JK256" s="562"/>
      <c r="JL256" s="562"/>
      <c r="JM256" s="562"/>
      <c r="JN256" s="562"/>
      <c r="JO256" s="562"/>
      <c r="JP256" s="562"/>
      <c r="JQ256" s="562"/>
      <c r="JR256" s="562"/>
      <c r="JS256" s="562"/>
      <c r="JT256" s="562"/>
      <c r="JU256" s="562"/>
      <c r="JV256" s="562"/>
      <c r="JW256" s="562"/>
      <c r="JX256" s="562"/>
      <c r="JY256" s="562"/>
      <c r="JZ256" s="562"/>
    </row>
    <row r="257" spans="1:286" s="132" customFormat="1" ht="12.75" customHeight="1" x14ac:dyDescent="0.2">
      <c r="A257" s="133"/>
      <c r="B257" s="10"/>
      <c r="C257" s="79"/>
      <c r="D257" s="79"/>
      <c r="E257" s="95"/>
      <c r="F257" s="95"/>
      <c r="G257" s="95"/>
      <c r="H257" s="95"/>
      <c r="I257" s="95"/>
      <c r="J257" s="95"/>
      <c r="K257" s="95"/>
      <c r="L257" s="79"/>
      <c r="M257" s="95"/>
      <c r="N257" s="79"/>
      <c r="O257" s="95"/>
      <c r="P257" s="79"/>
      <c r="Q257" s="95"/>
      <c r="R257" s="79"/>
      <c r="S257" s="95"/>
      <c r="T257" s="79"/>
      <c r="U257" s="95"/>
      <c r="V257" s="79"/>
      <c r="W257" s="95"/>
      <c r="X257" s="79"/>
      <c r="Y257" s="95"/>
      <c r="Z257" s="79"/>
      <c r="AA257" s="126"/>
      <c r="AB257" s="79"/>
      <c r="AC257" s="95"/>
      <c r="AD257" s="79"/>
      <c r="AE257" s="95"/>
      <c r="AF257" s="79"/>
      <c r="AG257" s="95"/>
      <c r="AH257" s="79"/>
      <c r="AI257" s="95"/>
      <c r="AJ257" s="79"/>
      <c r="AK257" s="95"/>
      <c r="AL257" s="79"/>
      <c r="AM257" s="95"/>
      <c r="AN257" s="79"/>
      <c r="AO257" s="95"/>
      <c r="AP257" s="79"/>
      <c r="AQ257" s="95"/>
      <c r="AR257" s="79"/>
      <c r="AS257" s="95"/>
      <c r="AT257" s="81"/>
      <c r="AU257" s="95"/>
      <c r="AV257" s="81"/>
      <c r="AW257" s="95"/>
      <c r="AX257" s="81"/>
      <c r="AY257" s="95"/>
      <c r="AZ257" s="81"/>
      <c r="BA257" s="95"/>
      <c r="BB257" s="81"/>
      <c r="BC257" s="95"/>
      <c r="BD257" s="81"/>
      <c r="BE257" s="95"/>
      <c r="BF257" s="81"/>
      <c r="BG257" s="95"/>
      <c r="BH257" s="81"/>
      <c r="BI257" s="95"/>
      <c r="BJ257" s="81"/>
      <c r="BK257" s="95"/>
      <c r="BL257" s="81"/>
      <c r="BM257" s="95"/>
      <c r="BN257" s="81"/>
      <c r="BO257" s="95"/>
      <c r="BP257" s="81"/>
      <c r="BQ257" s="95"/>
      <c r="BR257" s="81"/>
      <c r="BS257" s="95"/>
      <c r="BT257" s="81"/>
      <c r="BU257" s="95"/>
      <c r="BV257" s="81"/>
      <c r="BW257" s="95"/>
      <c r="BX257" s="81"/>
      <c r="BY257" s="95"/>
      <c r="BZ257" s="81"/>
      <c r="CA257" s="95"/>
      <c r="CB257" s="81"/>
      <c r="CC257" s="95"/>
      <c r="CD257" s="81"/>
      <c r="CE257" s="95"/>
      <c r="CF257" s="81"/>
      <c r="CG257" s="95"/>
      <c r="CH257" s="81"/>
      <c r="CI257" s="95"/>
      <c r="CJ257" s="81"/>
      <c r="CK257" s="95"/>
      <c r="CL257" s="81"/>
      <c r="CM257" s="95"/>
      <c r="CN257" s="81"/>
      <c r="CO257" s="95"/>
      <c r="CP257" s="81"/>
      <c r="CQ257" s="95"/>
      <c r="CR257" s="81"/>
      <c r="CS257" s="95"/>
      <c r="CT257" s="81"/>
      <c r="CU257" s="95"/>
      <c r="CV257" s="81"/>
      <c r="CW257" s="95"/>
      <c r="CX257" s="81"/>
      <c r="CY257" s="95"/>
      <c r="CZ257" s="81"/>
      <c r="DA257" s="95"/>
      <c r="DB257" s="81"/>
      <c r="DC257" s="95"/>
      <c r="DD257" s="81"/>
      <c r="DE257" s="95"/>
      <c r="DF257" s="81"/>
      <c r="DG257" s="95"/>
      <c r="DH257" s="81"/>
      <c r="DI257" s="95"/>
      <c r="DJ257" s="81"/>
      <c r="DK257" s="95"/>
      <c r="DL257" s="81"/>
      <c r="DM257" s="95"/>
      <c r="DN257" s="81"/>
      <c r="DO257" s="95"/>
      <c r="DP257" s="81"/>
      <c r="DQ257" s="95"/>
      <c r="DR257" s="81"/>
      <c r="DS257" s="95"/>
      <c r="DT257" s="81"/>
      <c r="DU257" s="95"/>
      <c r="DV257" s="81"/>
      <c r="DW257" s="95"/>
      <c r="DX257" s="81"/>
      <c r="DY257" s="95"/>
      <c r="DZ257" s="81"/>
      <c r="EA257" s="95"/>
      <c r="EB257" s="81"/>
      <c r="EC257" s="95"/>
      <c r="ED257" s="81"/>
      <c r="EE257" s="95"/>
      <c r="EF257" s="81"/>
      <c r="EG257" s="95"/>
      <c r="EH257" s="81"/>
      <c r="EI257" s="95"/>
      <c r="EJ257" s="81"/>
      <c r="EK257" s="95"/>
      <c r="EL257" s="81"/>
      <c r="EM257" s="95"/>
      <c r="EN257" s="81"/>
      <c r="EO257" s="95"/>
      <c r="EP257" s="81"/>
      <c r="EQ257" s="95"/>
      <c r="ER257" s="81"/>
      <c r="ES257" s="129"/>
      <c r="ET257" s="469"/>
      <c r="EU257" s="129"/>
      <c r="EV257" s="95"/>
      <c r="EW257" s="79"/>
      <c r="EX257" s="95"/>
      <c r="EY257" s="79"/>
      <c r="EZ257" s="131"/>
      <c r="FA257" s="79"/>
      <c r="FB257" s="145"/>
      <c r="FC257" s="79"/>
      <c r="FD257" s="145"/>
      <c r="FE257" s="79"/>
      <c r="FF257" s="145"/>
      <c r="FG257" s="79"/>
      <c r="FH257" s="145"/>
      <c r="FI257" s="79"/>
      <c r="FJ257" s="145"/>
      <c r="FK257" s="79"/>
      <c r="FL257" s="95"/>
      <c r="FM257" s="79"/>
      <c r="FN257" s="95"/>
      <c r="FO257" s="79"/>
      <c r="FP257" s="95"/>
      <c r="FQ257" s="79"/>
      <c r="FR257" s="95"/>
      <c r="FS257" s="79"/>
      <c r="FT257" s="95"/>
      <c r="FU257" s="79"/>
      <c r="FV257" s="95"/>
      <c r="FW257" s="79"/>
      <c r="FX257" s="95"/>
      <c r="FY257" s="79"/>
      <c r="FZ257" s="95"/>
      <c r="GA257" s="79"/>
      <c r="GB257" s="95"/>
      <c r="GC257" s="79"/>
      <c r="GD257" s="95"/>
      <c r="GE257" s="79"/>
      <c r="GF257" s="95"/>
      <c r="GG257" s="79"/>
      <c r="GH257" s="95"/>
      <c r="GI257" s="79"/>
      <c r="GJ257" s="95"/>
      <c r="GK257" s="79"/>
      <c r="GL257" s="95"/>
      <c r="GM257" s="79"/>
      <c r="GN257" s="95"/>
      <c r="GO257" s="79"/>
      <c r="GP257" s="95"/>
      <c r="GQ257" s="79"/>
      <c r="GR257" s="95"/>
      <c r="GS257" s="79"/>
      <c r="GT257" s="79"/>
      <c r="GU257" s="562"/>
      <c r="GV257" s="562"/>
      <c r="GW257"/>
      <c r="GX257"/>
      <c r="GY257"/>
      <c r="GZ257"/>
      <c r="HA257"/>
      <c r="HB257"/>
      <c r="HC257" s="562"/>
      <c r="HD257" s="562"/>
      <c r="HE257" s="562"/>
      <c r="HF257" s="562"/>
      <c r="HG257" s="562"/>
      <c r="HH257" s="562"/>
      <c r="HI257" s="562"/>
      <c r="HJ257" s="562"/>
      <c r="HK257" s="562"/>
      <c r="HL257" s="562"/>
      <c r="HM257" s="562"/>
      <c r="HN257" s="562"/>
      <c r="HO257" s="562"/>
      <c r="HP257" s="562"/>
      <c r="HQ257" s="562"/>
      <c r="HR257" s="562"/>
      <c r="HS257" s="562"/>
      <c r="HT257" s="562"/>
      <c r="HU257" s="562"/>
      <c r="HV257" s="562"/>
      <c r="HW257" s="562"/>
      <c r="HX257" s="562"/>
      <c r="HY257" s="562"/>
      <c r="HZ257" s="562"/>
      <c r="IA257" s="562"/>
      <c r="IB257" s="562"/>
      <c r="IC257" s="562"/>
      <c r="ID257" s="562"/>
      <c r="IE257" s="562"/>
      <c r="IF257" s="562"/>
      <c r="IG257" s="562"/>
      <c r="IH257" s="562"/>
      <c r="II257" s="562"/>
      <c r="IJ257" s="562"/>
      <c r="IK257" s="562"/>
      <c r="IL257" s="562"/>
      <c r="IM257" s="562"/>
      <c r="IN257" s="562"/>
      <c r="IO257" s="562"/>
      <c r="IP257" s="562"/>
      <c r="IQ257" s="562"/>
      <c r="IR257" s="562"/>
      <c r="IS257" s="562"/>
      <c r="IT257" s="562"/>
      <c r="IU257" s="562"/>
      <c r="IV257" s="562"/>
      <c r="IW257" s="562"/>
      <c r="IX257" s="562"/>
      <c r="IY257" s="562"/>
      <c r="IZ257" s="562"/>
      <c r="JA257" s="562"/>
      <c r="JB257" s="562"/>
      <c r="JC257" s="562"/>
      <c r="JD257" s="562"/>
      <c r="JE257" s="562"/>
      <c r="JF257" s="562"/>
      <c r="JG257" s="562"/>
      <c r="JH257" s="562"/>
      <c r="JI257" s="562"/>
      <c r="JJ257" s="562"/>
      <c r="JK257" s="562"/>
      <c r="JL257" s="562"/>
      <c r="JM257" s="562"/>
      <c r="JN257" s="562"/>
      <c r="JO257" s="562"/>
      <c r="JP257" s="562"/>
      <c r="JQ257" s="562"/>
      <c r="JR257" s="562"/>
      <c r="JS257" s="562"/>
      <c r="JT257" s="562"/>
      <c r="JU257" s="562"/>
      <c r="JV257" s="562"/>
      <c r="JW257" s="562"/>
      <c r="JX257" s="562"/>
      <c r="JY257" s="562"/>
      <c r="JZ257" s="562"/>
    </row>
    <row r="258" spans="1:286" s="132" customFormat="1" ht="12.75" customHeight="1" x14ac:dyDescent="0.2">
      <c r="A258" s="133"/>
      <c r="B258" s="68" t="s">
        <v>451</v>
      </c>
      <c r="C258" s="79"/>
      <c r="D258" s="79"/>
      <c r="E258" s="95"/>
      <c r="F258" s="95"/>
      <c r="G258" s="95"/>
      <c r="H258" s="95"/>
      <c r="I258" s="95"/>
      <c r="J258" s="95"/>
      <c r="K258" s="95"/>
      <c r="L258" s="79"/>
      <c r="M258" s="95"/>
      <c r="N258" s="79"/>
      <c r="O258" s="95"/>
      <c r="P258" s="79"/>
      <c r="Q258" s="95"/>
      <c r="R258" s="79"/>
      <c r="S258" s="95"/>
      <c r="T258" s="79"/>
      <c r="U258" s="95"/>
      <c r="V258" s="79"/>
      <c r="W258" s="95"/>
      <c r="X258" s="79"/>
      <c r="Y258" s="95"/>
      <c r="Z258" s="79"/>
      <c r="AA258" s="126"/>
      <c r="AB258" s="79"/>
      <c r="AC258" s="95"/>
      <c r="AD258" s="79"/>
      <c r="AE258" s="95"/>
      <c r="AF258" s="79"/>
      <c r="AG258" s="95"/>
      <c r="AH258" s="79"/>
      <c r="AI258" s="95"/>
      <c r="AJ258" s="79"/>
      <c r="AK258" s="95"/>
      <c r="AL258" s="79"/>
      <c r="AM258" s="95"/>
      <c r="AN258" s="79"/>
      <c r="AO258" s="95"/>
      <c r="AP258" s="79"/>
      <c r="AQ258" s="95"/>
      <c r="AR258" s="79"/>
      <c r="AS258" s="95"/>
      <c r="AT258" s="81"/>
      <c r="AU258" s="95"/>
      <c r="AV258" s="81"/>
      <c r="AW258" s="95"/>
      <c r="AX258" s="81"/>
      <c r="AY258" s="95"/>
      <c r="AZ258" s="81"/>
      <c r="BA258" s="95"/>
      <c r="BB258" s="81"/>
      <c r="BC258" s="95"/>
      <c r="BD258" s="81"/>
      <c r="BE258" s="95"/>
      <c r="BF258" s="81"/>
      <c r="BG258" s="95"/>
      <c r="BH258" s="81"/>
      <c r="BI258" s="95"/>
      <c r="BJ258" s="81"/>
      <c r="BK258" s="95"/>
      <c r="BL258" s="81"/>
      <c r="BM258" s="95"/>
      <c r="BN258" s="81"/>
      <c r="BO258" s="95"/>
      <c r="BP258" s="81"/>
      <c r="BQ258" s="95"/>
      <c r="BR258" s="81"/>
      <c r="BS258" s="95"/>
      <c r="BT258" s="81"/>
      <c r="BU258" s="95"/>
      <c r="BV258" s="81"/>
      <c r="BW258" s="95"/>
      <c r="BX258" s="81"/>
      <c r="BY258" s="95"/>
      <c r="BZ258" s="81"/>
      <c r="CA258" s="95"/>
      <c r="CB258" s="81"/>
      <c r="CC258" s="95"/>
      <c r="CD258" s="81"/>
      <c r="CE258" s="95"/>
      <c r="CF258" s="81"/>
      <c r="CG258" s="95"/>
      <c r="CH258" s="81"/>
      <c r="CI258" s="95"/>
      <c r="CJ258" s="81"/>
      <c r="CK258" s="95"/>
      <c r="CL258" s="81"/>
      <c r="CM258" s="95"/>
      <c r="CN258" s="81"/>
      <c r="CO258" s="95"/>
      <c r="CP258" s="81"/>
      <c r="CQ258" s="95"/>
      <c r="CR258" s="81"/>
      <c r="CS258" s="95"/>
      <c r="CT258" s="81"/>
      <c r="CU258" s="95"/>
      <c r="CV258" s="81"/>
      <c r="CW258" s="95"/>
      <c r="CX258" s="81"/>
      <c r="CY258" s="95"/>
      <c r="CZ258" s="81"/>
      <c r="DA258" s="95"/>
      <c r="DB258" s="81"/>
      <c r="DC258" s="95"/>
      <c r="DD258" s="81"/>
      <c r="DE258" s="95"/>
      <c r="DF258" s="81"/>
      <c r="DG258" s="95"/>
      <c r="DH258" s="81"/>
      <c r="DI258" s="95"/>
      <c r="DJ258" s="81"/>
      <c r="DK258" s="95"/>
      <c r="DL258" s="81"/>
      <c r="DM258" s="95"/>
      <c r="DN258" s="81"/>
      <c r="DO258" s="95"/>
      <c r="DP258" s="81"/>
      <c r="DQ258" s="95"/>
      <c r="DR258" s="81"/>
      <c r="DS258" s="95"/>
      <c r="DT258" s="81"/>
      <c r="DU258" s="95"/>
      <c r="DV258" s="81"/>
      <c r="DW258" s="95"/>
      <c r="DX258" s="81"/>
      <c r="DY258" s="95"/>
      <c r="DZ258" s="81"/>
      <c r="EA258" s="95"/>
      <c r="EB258" s="81"/>
      <c r="EC258" s="95"/>
      <c r="ED258" s="81"/>
      <c r="EE258" s="95"/>
      <c r="EF258" s="81"/>
      <c r="EG258" s="95"/>
      <c r="EH258" s="81"/>
      <c r="EI258" s="95"/>
      <c r="EJ258" s="81"/>
      <c r="EK258" s="95"/>
      <c r="EL258" s="81"/>
      <c r="EM258" s="95"/>
      <c r="EN258" s="81"/>
      <c r="EO258" s="95"/>
      <c r="EP258" s="81"/>
      <c r="EQ258" s="95"/>
      <c r="ER258" s="81"/>
      <c r="ES258" s="129"/>
      <c r="ET258" s="469"/>
      <c r="EU258" s="129"/>
      <c r="EV258" s="95"/>
      <c r="EW258" s="79"/>
      <c r="EX258" s="95"/>
      <c r="EY258" s="79"/>
      <c r="EZ258" s="131"/>
      <c r="FA258" s="79"/>
      <c r="FB258" s="145"/>
      <c r="FC258" s="79"/>
      <c r="FD258" s="145"/>
      <c r="FE258" s="79"/>
      <c r="FF258" s="145"/>
      <c r="FG258" s="79"/>
      <c r="FH258" s="145"/>
      <c r="FI258" s="79"/>
      <c r="FJ258" s="145"/>
      <c r="FK258" s="79"/>
      <c r="FL258" s="95"/>
      <c r="FM258" s="79"/>
      <c r="FN258" s="95"/>
      <c r="FO258" s="79"/>
      <c r="FP258" s="95"/>
      <c r="FQ258" s="79"/>
      <c r="FR258" s="95"/>
      <c r="FS258" s="79"/>
      <c r="FT258" s="95"/>
      <c r="FU258" s="79"/>
      <c r="FV258" s="95"/>
      <c r="FW258" s="79"/>
      <c r="FX258" s="95"/>
      <c r="FY258" s="79"/>
      <c r="FZ258" s="95"/>
      <c r="GA258" s="79"/>
      <c r="GB258" s="95"/>
      <c r="GC258" s="79"/>
      <c r="GD258" s="95"/>
      <c r="GE258" s="79"/>
      <c r="GF258" s="95"/>
      <c r="GG258" s="79"/>
      <c r="GH258" s="95"/>
      <c r="GI258" s="79"/>
      <c r="GJ258" s="95"/>
      <c r="GK258" s="79"/>
      <c r="GL258" s="95"/>
      <c r="GM258" s="79"/>
      <c r="GN258" s="95"/>
      <c r="GO258" s="79"/>
      <c r="GP258" s="95"/>
      <c r="GQ258" s="79"/>
      <c r="GR258" s="95"/>
      <c r="GS258" s="79"/>
      <c r="GT258" s="79"/>
      <c r="GU258" s="562"/>
      <c r="GV258" s="562"/>
      <c r="GW258"/>
      <c r="GX258"/>
      <c r="GY258"/>
      <c r="GZ258"/>
      <c r="HA258"/>
      <c r="HB258"/>
      <c r="HC258" s="562"/>
      <c r="HD258" s="562"/>
      <c r="HE258" s="562"/>
      <c r="HF258" s="562"/>
      <c r="HG258" s="562"/>
      <c r="HH258" s="562"/>
      <c r="HI258" s="562"/>
      <c r="HJ258" s="562"/>
      <c r="HK258" s="562"/>
      <c r="HL258" s="562"/>
      <c r="HM258" s="562"/>
      <c r="HN258" s="562"/>
      <c r="HO258" s="562"/>
      <c r="HP258" s="562"/>
      <c r="HQ258" s="562"/>
      <c r="HR258" s="562"/>
      <c r="HS258" s="562"/>
      <c r="HT258" s="562"/>
      <c r="HU258" s="562"/>
      <c r="HV258" s="562"/>
      <c r="HW258" s="562"/>
      <c r="HX258" s="562"/>
      <c r="HY258" s="562"/>
      <c r="HZ258" s="562"/>
      <c r="IA258" s="562"/>
      <c r="IB258" s="562"/>
      <c r="IC258" s="562"/>
      <c r="ID258" s="562"/>
      <c r="IE258" s="562"/>
      <c r="IF258" s="562"/>
      <c r="IG258" s="562"/>
      <c r="IH258" s="562"/>
      <c r="II258" s="562"/>
      <c r="IJ258" s="562"/>
      <c r="IK258" s="562"/>
      <c r="IL258" s="562"/>
      <c r="IM258" s="562"/>
      <c r="IN258" s="562"/>
      <c r="IO258" s="562"/>
      <c r="IP258" s="562"/>
      <c r="IQ258" s="562"/>
      <c r="IR258" s="562"/>
      <c r="IS258" s="562"/>
      <c r="IT258" s="562"/>
      <c r="IU258" s="562"/>
      <c r="IV258" s="562"/>
      <c r="IW258" s="562"/>
      <c r="IX258" s="562"/>
      <c r="IY258" s="562"/>
      <c r="IZ258" s="562"/>
      <c r="JA258" s="562"/>
      <c r="JB258" s="562"/>
      <c r="JC258" s="562"/>
      <c r="JD258" s="562"/>
      <c r="JE258" s="562"/>
      <c r="JF258" s="562"/>
      <c r="JG258" s="562"/>
      <c r="JH258" s="562"/>
      <c r="JI258" s="562"/>
      <c r="JJ258" s="562"/>
      <c r="JK258" s="562"/>
      <c r="JL258" s="562"/>
      <c r="JM258" s="562"/>
      <c r="JN258" s="562"/>
      <c r="JO258" s="562"/>
      <c r="JP258" s="562"/>
      <c r="JQ258" s="562"/>
      <c r="JR258" s="562"/>
      <c r="JS258" s="562"/>
      <c r="JT258" s="562"/>
      <c r="JU258" s="562"/>
      <c r="JV258" s="562"/>
      <c r="JW258" s="562"/>
      <c r="JX258" s="562"/>
      <c r="JY258" s="562"/>
      <c r="JZ258" s="562"/>
    </row>
    <row r="259" spans="1:286" s="132" customFormat="1" ht="12.75" customHeight="1" x14ac:dyDescent="0.2">
      <c r="A259" s="133"/>
      <c r="B259" s="2" t="s">
        <v>452</v>
      </c>
      <c r="C259" s="79"/>
      <c r="D259" s="79"/>
      <c r="E259" s="95"/>
      <c r="F259" s="95"/>
      <c r="G259" s="95"/>
      <c r="H259" s="95"/>
      <c r="I259" s="95"/>
      <c r="J259" s="95"/>
      <c r="K259" s="95"/>
      <c r="L259" s="79"/>
      <c r="M259" s="95">
        <v>353</v>
      </c>
      <c r="N259" s="79" t="str">
        <f t="shared" ref="N259:N264" si="827">IF(ISERROR((M259/E259-1)*100),"NA",IF(((M259/E259-1)*100)&gt;100,"NM",IF(((M259/E259-1)*100)&lt;-50,"NM",(M259/E259-1)*100)))</f>
        <v>NA</v>
      </c>
      <c r="O259" s="95">
        <v>396.9</v>
      </c>
      <c r="P259" s="79" t="str">
        <f t="shared" ref="P259:P264" si="828">IF(ISERROR((O259/G259-1)*100),"NA",IF(((O259/G259-1)*100)&gt;100,"NM",IF(((O259/G259-1)*100)&lt;-50,"NM",(O259/G259-1)*100)))</f>
        <v>NA</v>
      </c>
      <c r="Q259" s="95">
        <v>393.1</v>
      </c>
      <c r="R259" s="79" t="str">
        <f t="shared" ref="R259:R264" si="829">IF(ISERROR((Q259/I259-1)*100),"NA",IF(((Q259/I259-1)*100)&gt;100,"NM",IF(((Q259/I259-1)*100)&lt;-50,"NM",(Q259/I259-1)*100)))</f>
        <v>NA</v>
      </c>
      <c r="S259" s="95">
        <v>401.2</v>
      </c>
      <c r="T259" s="79" t="str">
        <f t="shared" ref="T259:T264" si="830">IF(ISERROR((S259/K259-1)*100),"NA",IF(((S259/K259-1)*100)&gt;100,"NM",IF(((S259/K259-1)*100)&lt;-50,"NM",(S259/K259-1)*100)))</f>
        <v>NA</v>
      </c>
      <c r="U259" s="95">
        <v>375.5</v>
      </c>
      <c r="V259" s="79">
        <f t="shared" ref="V259:V264" si="831">IF(ISERROR((U259/M259-1)*100),"NA",IF(((U259/M259-1)*100)&gt;100,"NM",IF(((U259/M259-1)*100)&lt;-50,"NM",(U259/M259-1)*100)))</f>
        <v>6.3739376770538314</v>
      </c>
      <c r="W259" s="95">
        <v>397.3</v>
      </c>
      <c r="X259" s="79">
        <f t="shared" ref="X259:X264" si="832">IF(ISERROR((W259/O259-1)*100),"NA",IF(((W259/O259-1)*100)&gt;100,"NM",IF(((W259/O259-1)*100)&lt;-50,"NM",(W259/O259-1)*100)))</f>
        <v>0.10078105316202457</v>
      </c>
      <c r="Y259" s="95">
        <v>392.7</v>
      </c>
      <c r="Z259" s="79">
        <f t="shared" ref="Z259:Z264" si="833">IF(ISERROR((Y259/Q259-1)*100),"NA",IF(((Y259/Q259-1)*100)&gt;100,"NM",IF(((Y259/Q259-1)*100)&lt;-50,"NM",(Y259/Q259-1)*100)))</f>
        <v>-0.10175527855508237</v>
      </c>
      <c r="AA259" s="126">
        <v>368.1</v>
      </c>
      <c r="AB259" s="79">
        <f t="shared" ref="AB259:AB264" si="834">IF(ISERROR((AA259/S259-1)*100),"NA",IF(((AA259/S259-1)*100)&gt;100,"NM",IF(((AA259/S259-1)*100)&lt;-50,"NM",(AA259/S259-1)*100)))</f>
        <v>-8.2502492522432576</v>
      </c>
      <c r="AC259" s="95">
        <v>498.5</v>
      </c>
      <c r="AD259" s="79">
        <f t="shared" ref="AD259:AD264" si="835">IF(ISERROR((AC259/U259-1)*100),"NA",IF(((AC259/U259-1)*100)&gt;100,"NM",IF(((AC259/U259-1)*100)&lt;-50,"NM",(AC259/U259-1)*100)))</f>
        <v>32.756324900133158</v>
      </c>
      <c r="AE259" s="95">
        <v>371.4</v>
      </c>
      <c r="AF259" s="79">
        <f t="shared" ref="AF259:AF264" si="836">IF(ISERROR((AE259/W259-1)*100),"NA",IF(((AE259/W259-1)*100)&gt;100,"NM",IF(((AE259/W259-1)*100)&lt;-50,"NM",(AE259/W259-1)*100)))</f>
        <v>-6.5190032720865876</v>
      </c>
      <c r="AG259" s="95">
        <v>370.6</v>
      </c>
      <c r="AH259" s="79">
        <f t="shared" ref="AH259:AH264" si="837">IF(ISERROR((AG259/Y259-1)*100),"NA",IF(((AG259/Y259-1)*100)&gt;100,"NM",IF(((AG259/Y259-1)*100)&lt;-50,"NM",(AG259/Y259-1)*100)))</f>
        <v>-5.6277056277056143</v>
      </c>
      <c r="AI259" s="95">
        <v>378.4</v>
      </c>
      <c r="AJ259" s="79">
        <f t="shared" ref="AJ259:AJ264" si="838">IF(ISERROR((AI259/AA259-1)*100),"NA",IF(((AI259/AA259-1)*100)&gt;100,"NM",IF(((AI259/AA259-1)*100)&lt;-50,"NM",(AI259/AA259-1)*100)))</f>
        <v>2.7981526759032649</v>
      </c>
      <c r="AK259" s="95">
        <v>371.5</v>
      </c>
      <c r="AL259" s="79">
        <f t="shared" ref="AL259:AL264" si="839">IF(ISERROR((AK259/AC259-1)*100),"NA",IF(((AK259/AC259-1)*100)&gt;100,"NM",IF(((AK259/AC259-1)*100)&lt;-50,"NM",(AK259/AC259-1)*100)))</f>
        <v>-25.476429287863589</v>
      </c>
      <c r="AM259" s="95">
        <v>356.2</v>
      </c>
      <c r="AN259" s="79">
        <f t="shared" ref="AN259:AN264" si="840">IF(ISERROR((AM259/AE259-1)*100),"NA",IF(((AM259/AE259-1)*100)&gt;100,"NM",IF(((AM259/AE259-1)*100)&lt;-50,"NM",(AM259/AE259-1)*100)))</f>
        <v>-4.0926225094238049</v>
      </c>
      <c r="AO259" s="95">
        <f>414.6-23.1</f>
        <v>391.5</v>
      </c>
      <c r="AP259" s="79">
        <f t="shared" ref="AP259:AP264" si="841">IF(ISERROR((AO259/AG259-1)*100),"NA",IF(((AO259/AG259-1)*100)&gt;100,"NM",IF(((AO259/AG259-1)*100)&lt;-50,"NM",(AO259/AG259-1)*100)))</f>
        <v>5.6395035078251388</v>
      </c>
      <c r="AQ259" s="95">
        <v>420.4</v>
      </c>
      <c r="AR259" s="79">
        <f t="shared" ref="AR259:AR264" si="842">IF(ISERROR((AQ259/AI259-1)*100),"NA",IF(((AQ259/AI259-1)*100)&gt;100,"NM",IF(((AQ259/AI259-1)*100)&lt;-50,"NM",(AQ259/AI259-1)*100)))</f>
        <v>11.099365750528545</v>
      </c>
      <c r="AS259" s="95">
        <f>430.4-13.2</f>
        <v>417.2</v>
      </c>
      <c r="AT259" s="81">
        <f t="shared" ref="AT259:AT264" si="843">IF(ISERROR((AS259/AK259-1)*100),"NA",IF(((AS259/AK259-1)*100)&gt;100,"NM",IF(((AS259/AK259-1)*100)&lt;-50,"NM",(AS259/AK259-1)*100)))</f>
        <v>12.301480484522198</v>
      </c>
      <c r="AU259" s="95">
        <v>415</v>
      </c>
      <c r="AV259" s="81">
        <f t="shared" ref="AV259:AV264" si="844">IF(ISERROR((AU259/AM259-1)*100),"NA",IF(((AU259/AM259-1)*100)&gt;100,"NM",IF(((AU259/AM259-1)*100)&lt;-50,"NM",(AU259/AM259-1)*100)))</f>
        <v>16.507580011229649</v>
      </c>
      <c r="AW259" s="95">
        <f>442.6-34</f>
        <v>408.6</v>
      </c>
      <c r="AX259" s="81">
        <f t="shared" ref="AX259:AX264" si="845">IF(ISERROR((AW259/AO259-1)*100),"NA",IF(((AW259/AO259-1)*100)&gt;100,"NM",IF(((AW259/AO259-1)*100)&lt;-50,"NM",(AW259/AO259-1)*100)))</f>
        <v>4.3678160919540243</v>
      </c>
      <c r="AY259" s="95">
        <v>421.7</v>
      </c>
      <c r="AZ259" s="81">
        <f t="shared" ref="AZ259:AZ264" si="846">IF(ISERROR((AY259/AQ259-1)*100),"NA",IF(((AY259/AQ259-1)*100)&gt;100,"NM",IF(((AY259/AQ259-1)*100)&lt;-50,"NM",(AY259/AQ259-1)*100)))</f>
        <v>0.30922930542340854</v>
      </c>
      <c r="BA259" s="95">
        <v>405.9</v>
      </c>
      <c r="BB259" s="81">
        <f t="shared" ref="BB259:BB264" si="847">IF(ISERROR((BA259/AS259-1)*100),"NA",IF(((BA259/AS259-1)*100)&gt;100,"NM",IF(((BA259/AS259-1)*100)&lt;-50,"NM",(BA259/AS259-1)*100)))</f>
        <v>-2.708533077660602</v>
      </c>
      <c r="BC259" s="95">
        <f>388.1+13.2</f>
        <v>401.3</v>
      </c>
      <c r="BD259" s="81">
        <f t="shared" ref="BD259:BD264" si="848">IF(ISERROR((BC259/AU259-1)*100),"NA",IF(((BC259/AU259-1)*100)&gt;100,"NM",IF(((BC259/AU259-1)*100)&lt;-50,"NM",(BC259/AU259-1)*100)))</f>
        <v>-3.3012048192771037</v>
      </c>
      <c r="BE259" s="95">
        <v>415.6</v>
      </c>
      <c r="BF259" s="81">
        <f t="shared" ref="BF259:BF264" si="849">IF(ISERROR((BE259/AW259-1)*100),"NA",IF(((BE259/AW259-1)*100)&gt;100,"NM",IF(((BE259/AW259-1)*100)&lt;-50,"NM",(BE259/AW259-1)*100)))</f>
        <v>1.7131669114047954</v>
      </c>
      <c r="BG259" s="95">
        <v>404.9</v>
      </c>
      <c r="BH259" s="81">
        <f t="shared" ref="BH259:BH264" si="850">IF(ISERROR((BG259/AY259-1)*100),"NA",IF(((BG259/AY259-1)*100)&gt;100,"NM",IF(((BG259/AY259-1)*100)&lt;-50,"NM",(BG259/AY259-1)*100)))</f>
        <v>-3.9838747925065254</v>
      </c>
      <c r="BI259" s="95">
        <v>387.5</v>
      </c>
      <c r="BJ259" s="81">
        <f t="shared" ref="BJ259:BJ264" si="851">IF(ISERROR((BI259/BA259-1)*100),"NA",IF(((BI259/BA259-1)*100)&gt;100,"NM",IF(((BI259/BA259-1)*100)&lt;-50,"NM",(BI259/BA259-1)*100)))</f>
        <v>-4.533136240453306</v>
      </c>
      <c r="BK259" s="95">
        <v>385.1</v>
      </c>
      <c r="BL259" s="81">
        <f t="shared" ref="BL259:BL264" si="852">IF(ISERROR((BK259/BC259-1)*100),"NA",IF(((BK259/BC259-1)*100)&gt;100,"NM",IF(((BK259/BC259-1)*100)&lt;-50,"NM",(BK259/BC259-1)*100)))</f>
        <v>-4.0368801395464722</v>
      </c>
      <c r="BM259" s="95">
        <v>384.2</v>
      </c>
      <c r="BN259" s="81">
        <f t="shared" ref="BN259:BN264" si="853">IF(ISERROR((BM259/BE259-1)*100),"NA",IF(((BM259/BE259-1)*100)&gt;100,"NM",IF(((BM259/BE259-1)*100)&lt;-50,"NM",(BM259/BE259-1)*100)))</f>
        <v>-7.5553416746872104</v>
      </c>
      <c r="BO259" s="95">
        <v>388</v>
      </c>
      <c r="BP259" s="81">
        <f t="shared" ref="BP259:BP264" si="854">IF(ISERROR((BO259/BG259-1)*100),"NA",IF(((BO259/BG259-1)*100)&gt;100,"NM",IF(((BO259/BG259-1)*100)&lt;-50,"NM",(BO259/BG259-1)*100)))</f>
        <v>-4.1738700913805822</v>
      </c>
      <c r="BQ259" s="95">
        <v>376.2</v>
      </c>
      <c r="BR259" s="81">
        <f t="shared" ref="BR259:BR264" si="855">IF(ISERROR((BQ259/BI259-1)*100),"NA",IF(((BQ259/BI259-1)*100)&gt;100,"NM",IF(((BQ259/BI259-1)*100)&lt;-50,"NM",(BQ259/BI259-1)*100)))</f>
        <v>-2.9161290322580635</v>
      </c>
      <c r="BS259" s="95">
        <v>376.3</v>
      </c>
      <c r="BT259" s="81">
        <f t="shared" ref="BT259:BT264" si="856">IF(ISERROR((BS259/BK259-1)*100),"NA",IF(((BS259/BK259-1)*100)&gt;100,"NM",IF(((BS259/BK259-1)*100)&lt;-50,"NM",(BS259/BK259-1)*100)))</f>
        <v>-2.2851207478577051</v>
      </c>
      <c r="BU259" s="95">
        <v>369.7</v>
      </c>
      <c r="BV259" s="81">
        <f t="shared" ref="BV259:BV264" si="857">IF(ISERROR((BU259/BM259-1)*100),"NA",IF(((BU259/BM259-1)*100)&gt;100,"NM",IF(((BU259/BM259-1)*100)&lt;-50,"NM",(BU259/BM259-1)*100)))</f>
        <v>-3.7740760020822495</v>
      </c>
      <c r="BW259" s="95">
        <v>367.4</v>
      </c>
      <c r="BX259" s="81">
        <f t="shared" ref="BX259:BX264" si="858">IF(ISERROR((BW259/BO259-1)*100),"NA",IF(((BW259/BO259-1)*100)&gt;100,"NM",IF(((BW259/BO259-1)*100)&lt;-50,"NM",(BW259/BO259-1)*100)))</f>
        <v>-5.3092783505154673</v>
      </c>
      <c r="BY259" s="95">
        <v>561.1</v>
      </c>
      <c r="BZ259" s="81">
        <f t="shared" ref="BZ259:BZ264" si="859">IF(ISERROR((BY259/BQ259-1)*100),"NA",IF(((BY259/BQ259-1)*100)&gt;100,"NM",IF(((BY259/BQ259-1)*100)&lt;-50,"NM",(BY259/BQ259-1)*100)))</f>
        <v>49.149388623072852</v>
      </c>
      <c r="CA259" s="95">
        <v>562.5</v>
      </c>
      <c r="CB259" s="81">
        <f t="shared" ref="CB259:CB264" si="860">IF(ISERROR((CA259/BS259-1)*100),"NA",IF(((CA259/BS259-1)*100)&gt;100,"NM",IF(((CA259/BS259-1)*100)&lt;-50,"NM",(CA259/BS259-1)*100)))</f>
        <v>49.481796439011426</v>
      </c>
      <c r="CC259" s="95">
        <v>564.29999999999995</v>
      </c>
      <c r="CD259" s="81">
        <f t="shared" ref="CD259:CD264" si="861">IF(ISERROR((CC259/BU259-1)*100),"NA",IF(((CC259/BU259-1)*100)&gt;100,"NM",IF(((CC259/BU259-1)*100)&lt;-50,"NM",(CC259/BU259-1)*100)))</f>
        <v>52.637273464971599</v>
      </c>
      <c r="CE259" s="95">
        <v>571.29999999999995</v>
      </c>
      <c r="CF259" s="81">
        <f t="shared" ref="CF259:CF264" si="862">IF(ISERROR((CE259/BW259-1)*100),"NA",IF(((CE259/BW259-1)*100)&gt;100,"NM",IF(((CE259/BW259-1)*100)&lt;-50,"NM",(CE259/BW259-1)*100)))</f>
        <v>55.498094719651611</v>
      </c>
      <c r="CG259" s="95">
        <v>562.70000000000005</v>
      </c>
      <c r="CH259" s="81">
        <f t="shared" ref="CH259:CH264" si="863">IF(ISERROR((CG259/BY259-1)*100),"NA",IF(((CG259/BY259-1)*100)&gt;100,"NM",IF(((CG259/BY259-1)*100)&lt;-50,"NM",(CG259/BY259-1)*100)))</f>
        <v>0.28515416146854822</v>
      </c>
      <c r="CI259" s="95">
        <v>559.29999999999995</v>
      </c>
      <c r="CJ259" s="81">
        <f t="shared" ref="CJ259:CJ264" si="864">IF(ISERROR((CI259/CA259-1)*100),"NA",IF(((CI259/CA259-1)*100)&gt;100,"NM",IF(((CI259/CA259-1)*100)&lt;-50,"NM",(CI259/CA259-1)*100)))</f>
        <v>-0.56888888888889655</v>
      </c>
      <c r="CK259" s="95">
        <v>565.9</v>
      </c>
      <c r="CL259" s="81">
        <f t="shared" ref="CL259:CL264" si="865">IF(ISERROR((CK259/CC259-1)*100),"NA",IF(((CK259/CC259-1)*100)&gt;100,"NM",IF(((CK259/CC259-1)*100)&lt;-50,"NM",(CK259/CC259-1)*100)))</f>
        <v>0.28353712564239686</v>
      </c>
      <c r="CM259" s="95">
        <v>1324.9</v>
      </c>
      <c r="CN259" s="81" t="str">
        <f t="shared" ref="CN259:CN264" si="866">IF(ISERROR((CM259/CE259-1)*100),"NA",IF(((CM259/CE259-1)*100)&gt;100,"NM",IF(((CM259/CE259-1)*100)&lt;-50,"NM",(CM259/CE259-1)*100)))</f>
        <v>NM</v>
      </c>
      <c r="CO259" s="95">
        <v>578.70000000000005</v>
      </c>
      <c r="CP259" s="81">
        <f t="shared" ref="CP259:CP264" si="867">IF(ISERROR((CO259/CG259-1)*100),"NA",IF(((CO259/CG259-1)*100)&gt;100,"NM",IF(((CO259/CG259-1)*100)&lt;-50,"NM",(CO259/CG259-1)*100)))</f>
        <v>2.8434334458859123</v>
      </c>
      <c r="CQ259" s="95">
        <v>575.1</v>
      </c>
      <c r="CR259" s="81">
        <f t="shared" ref="CR259:CR264" si="868">IF(ISERROR((CQ259/CI259-1)*100),"NA",IF(((CQ259/CI259-1)*100)&gt;100,"NM",IF(((CQ259/CI259-1)*100)&lt;-50,"NM",(CQ259/CI259-1)*100)))</f>
        <v>2.8249597711425212</v>
      </c>
      <c r="CS259" s="95">
        <v>580.5</v>
      </c>
      <c r="CT259" s="81">
        <f t="shared" ref="CT259:CT264" si="869">IF(ISERROR((CS259/CK259-1)*100),"NA",IF(((CS259/CK259-1)*100)&gt;100,"NM",IF(((CS259/CK259-1)*100)&lt;-50,"NM",(CS259/CK259-1)*100)))</f>
        <v>2.5799611238734865</v>
      </c>
      <c r="CU259" s="95">
        <v>580.6</v>
      </c>
      <c r="CV259" s="81" t="str">
        <f t="shared" ref="CV259:CV264" si="870">IF(ISERROR((CU259/CM259-1)*100),"NA",IF(((CU259/CM259-1)*100)&gt;100,"NM",IF(((CU259/CM259-1)*100)&lt;-50,"NM",(CU259/CM259-1)*100)))</f>
        <v>NM</v>
      </c>
      <c r="CW259" s="95">
        <v>579.29999999999995</v>
      </c>
      <c r="CX259" s="81">
        <f t="shared" ref="CX259:CX264" si="871">IF(ISERROR((CW259/CO259-1)*100),"NA",IF(((CW259/CO259-1)*100)&gt;100,"NM",IF(((CW259/CO259-1)*100)&lt;-50,"NM",(CW259/CO259-1)*100)))</f>
        <v>0.10368066355623817</v>
      </c>
      <c r="CY259" s="95">
        <v>571</v>
      </c>
      <c r="CZ259" s="81">
        <f t="shared" ref="CZ259:CZ264" si="872">IF(ISERROR((CY259/CQ259-1)*100),"NA",IF(((CY259/CQ259-1)*100)&gt;100,"NM",IF(((CY259/CQ259-1)*100)&lt;-50,"NM",(CY259/CQ259-1)*100)))</f>
        <v>-0.71291949226222062</v>
      </c>
      <c r="DA259" s="95">
        <v>570.70000000000005</v>
      </c>
      <c r="DB259" s="81">
        <f t="shared" ref="DB259:DB264" si="873">IF(ISERROR((DA259/CS259-1)*100),"NA",IF(((DA259/CS259-1)*100)&gt;100,"NM",IF(((DA259/CS259-1)*100)&lt;-50,"NM",(DA259/CS259-1)*100)))</f>
        <v>-1.6881998277347043</v>
      </c>
      <c r="DC259" s="95">
        <v>572</v>
      </c>
      <c r="DD259" s="81">
        <f t="shared" ref="DD259:DD264" si="874">IF(ISERROR((DC259/CU259-1)*100),"NA",IF(((DC259/CU259-1)*100)&gt;100,"NM",IF(((DC259/CU259-1)*100)&lt;-50,"NM",(DC259/CU259-1)*100)))</f>
        <v>-1.4812263176024798</v>
      </c>
      <c r="DE259" s="95">
        <v>555.6</v>
      </c>
      <c r="DF259" s="81">
        <f t="shared" ref="DF259:DF264" si="875">IF(ISERROR((DE259/CW259-1)*100),"NA",IF(((DE259/CW259-1)*100)&gt;100,"NM",IF(((DE259/CW259-1)*100)&lt;-50,"NM",(DE259/CW259-1)*100)))</f>
        <v>-4.0911444847229301</v>
      </c>
      <c r="DG259" s="95">
        <v>560</v>
      </c>
      <c r="DH259" s="81">
        <f t="shared" ref="DH259:DH264" si="876">IF(ISERROR((DG259/CY259-1)*100),"NA",IF(((DG259/CY259-1)*100)&gt;100,"NM",IF(((DG259/CY259-1)*100)&lt;-50,"NM",(DG259/CY259-1)*100)))</f>
        <v>-1.9264448336252182</v>
      </c>
      <c r="DI259" s="95">
        <v>559.29999999999995</v>
      </c>
      <c r="DJ259" s="81">
        <f t="shared" ref="DJ259:DJ264" si="877">IF(ISERROR((DI259/DA259-1)*100),"NA",IF(((DI259/DA259-1)*100)&gt;100,"NM",IF(((DI259/DA259-1)*100)&lt;-50,"NM",(DI259/DA259-1)*100)))</f>
        <v>-1.9975468722621459</v>
      </c>
      <c r="DK259" s="95">
        <v>1256.2</v>
      </c>
      <c r="DL259" s="81" t="str">
        <f t="shared" ref="DL259:DL264" si="878">IF(ISERROR((DK259/DC259-1)*100),"NA",IF(((DK259/DC259-1)*100)&gt;100,"NM",IF(((DK259/DC259-1)*100)&lt;-50,"NM",(DK259/DC259-1)*100)))</f>
        <v>NM</v>
      </c>
      <c r="DM259" s="95">
        <v>552.70000000000005</v>
      </c>
      <c r="DN259" s="81">
        <f t="shared" ref="DN259:DP264" si="879">IF(ISERROR((DM259/DE259-1)*100),"NA",IF(((DM259/DE259-1)*100)&gt;100,"NM",IF(((DM259/DE259-1)*100)&lt;-50,"NM",(DM259/DE259-1)*100)))</f>
        <v>-0.52195824334052565</v>
      </c>
      <c r="DO259" s="95">
        <v>553.1</v>
      </c>
      <c r="DP259" s="81">
        <f t="shared" si="879"/>
        <v>-1.2321428571428483</v>
      </c>
      <c r="DQ259" s="95">
        <v>555.79999999999995</v>
      </c>
      <c r="DR259" s="81">
        <f t="shared" ref="DR259:DR264" si="880">IF(ISERROR((DQ259/DI259-1)*100),"NA",IF(((DQ259/DI259-1)*100)&gt;100,"NM",IF(((DQ259/DI259-1)*100)&lt;-50,"NM",(DQ259/DI259-1)*100)))</f>
        <v>-0.62578222778473247</v>
      </c>
      <c r="DS259" s="95">
        <v>566.70000000000005</v>
      </c>
      <c r="DT259" s="81" t="str">
        <f t="shared" ref="DT259:DT264" si="881">IF(ISERROR((DS259/DK259-1)*100),"NA",IF(((DS259/DK259-1)*100)&gt;100,"NM",IF(((DS259/DK259-1)*100)&lt;-50,"NM",(DS259/DK259-1)*100)))</f>
        <v>NM</v>
      </c>
      <c r="DU259" s="95">
        <v>554</v>
      </c>
      <c r="DV259" s="81">
        <f t="shared" ref="DV259:DV264" si="882">IF(ISERROR((DU259/DM259-1)*100),"NA",IF(((DU259/DM259-1)*100)&gt;100,"NM",IF(((DU259/DM259-1)*100)&lt;-50,"NM",(DU259/DM259-1)*100)))</f>
        <v>0.23520897412701025</v>
      </c>
      <c r="DW259" s="95">
        <v>556.6</v>
      </c>
      <c r="DX259" s="81">
        <f t="shared" ref="DX259:DX264" si="883">IF(ISERROR((DW259/DO259-1)*100),"NA",IF(((DW259/DO259-1)*100)&gt;100,"NM",IF(((DW259/DO259-1)*100)&lt;-50,"NM",(DW259/DO259-1)*100)))</f>
        <v>0.63279696257458884</v>
      </c>
      <c r="DY259" s="95">
        <v>556.6</v>
      </c>
      <c r="DZ259" s="81">
        <f t="shared" ref="DZ259:DZ264" si="884">IF(ISERROR((DY259/DQ259-1)*100),"NA",IF(((DY259/DQ259-1)*100)&gt;100,"NM",IF(((DY259/DQ259-1)*100)&lt;-50,"NM",(DY259/DQ259-1)*100)))</f>
        <v>0.14393666786614023</v>
      </c>
      <c r="EA259" s="95">
        <v>556.5</v>
      </c>
      <c r="EB259" s="81">
        <f t="shared" ref="EB259:EB264" si="885">IF(ISERROR((EA259/DS259-1)*100),"NA",IF(((EA259/DS259-1)*100)&gt;100,"NM",IF(((EA259/DS259-1)*100)&lt;-50,"NM",(EA259/DS259-1)*100)))</f>
        <v>-1.7998941238750787</v>
      </c>
      <c r="EC259" s="95">
        <v>548.70000000000005</v>
      </c>
      <c r="ED259" s="81">
        <f t="shared" ref="ED259:ED264" si="886">IF(ISERROR((EC259/DU259-1)*100),"NA",IF(((EC259/DU259-1)*100)&gt;100,"NM",IF(((EC259/DU259-1)*100)&lt;-50,"NM",(EC259/DU259-1)*100)))</f>
        <v>-0.95667870036100222</v>
      </c>
      <c r="EE259" s="95">
        <v>547.6</v>
      </c>
      <c r="EF259" s="81">
        <f t="shared" ref="EF259:EF264" si="887">IF(ISERROR((EE259/DW259-1)*100),"NA",IF(((EE259/DW259-1)*100)&gt;100,"NM",IF(((EE259/DW259-1)*100)&lt;-50,"NM",(EE259/DW259-1)*100)))</f>
        <v>-1.6169601149838342</v>
      </c>
      <c r="EG259" s="95">
        <v>550.4</v>
      </c>
      <c r="EH259" s="81">
        <f t="shared" ref="EH259:EH264" si="888">IF(ISERROR((EG259/DY259-1)*100),"NA",IF(((EG259/DY259-1)*100)&gt;100,"NM",IF(((EG259/DY259-1)*100)&lt;-50,"NM",(EG259/DY259-1)*100)))</f>
        <v>-1.1139058569888727</v>
      </c>
      <c r="EI259" s="95">
        <v>545.1</v>
      </c>
      <c r="EJ259" s="81">
        <f t="shared" ref="EJ259:EJ264" si="889">IF(ISERROR((EI259/EA259-1)*100),"NA",IF(((EI259/EA259-1)*100)&gt;100,"NM",IF(((EI259/EA259-1)*100)&lt;-50,"NM",(EI259/EA259-1)*100)))</f>
        <v>-2.0485175202156314</v>
      </c>
      <c r="EK259" s="93">
        <f t="shared" ref="EK259:EQ259" si="890">EK270/100*EK252</f>
        <v>542.95639199999994</v>
      </c>
      <c r="EL259" s="81">
        <f t="shared" ref="EL259:EL264" si="891">IF(ISERROR((EK259/EC259-1)*100),"NA",IF(((EK259/EC259-1)*100)&gt;100,"NM",IF(((EK259/EC259-1)*100)&lt;-50,"NM",(EK259/EC259-1)*100)))</f>
        <v>-1.0467665390924252</v>
      </c>
      <c r="EM259" s="93">
        <f t="shared" si="890"/>
        <v>539.69865364799989</v>
      </c>
      <c r="EN259" s="81">
        <f t="shared" ref="EN259:EN264" si="892">IF(ISERROR((EM259/EE259-1)*100),"NA",IF(((EM259/EE259-1)*100)&gt;100,"NM",IF(((EM259/EE259-1)*100)&lt;-50,"NM",(EM259/EE259-1)*100)))</f>
        <v>-1.4429047392257366</v>
      </c>
      <c r="EO259" s="93">
        <f t="shared" si="890"/>
        <v>536.46046172611193</v>
      </c>
      <c r="EP259" s="81">
        <f t="shared" ref="EP259:EP264" si="893">IF(ISERROR((EO259/EG259-1)*100),"NA",IF(((EO259/EG259-1)*100)&gt;100,"NM",IF(((EO259/EG259-1)*100)&lt;-50,"NM",(EO259/EG259-1)*100)))</f>
        <v>-2.5326195991802414</v>
      </c>
      <c r="EQ259" s="93">
        <f t="shared" si="890"/>
        <v>533.24169895575517</v>
      </c>
      <c r="ER259" s="81">
        <f t="shared" ref="ER259:ER264" si="894">IF(ISERROR((EQ259/EI259-1)*100),"NA",IF(((EQ259/EI259-1)*100)&gt;100,"NM",IF(((EQ259/EI259-1)*100)&lt;-50,"NM",(EQ259/EI259-1)*100)))</f>
        <v>-2.175435891440991</v>
      </c>
      <c r="ES259" s="129"/>
      <c r="ET259" s="469"/>
      <c r="EU259" s="129"/>
      <c r="EV259" s="95"/>
      <c r="EW259" s="79"/>
      <c r="EX259" s="95"/>
      <c r="EY259" s="79"/>
      <c r="EZ259" s="131"/>
      <c r="FA259" s="79"/>
      <c r="FB259" s="35"/>
      <c r="FC259" s="79"/>
      <c r="FD259" s="35">
        <f>+S259+Q259+O259+M259</f>
        <v>1544.1999999999998</v>
      </c>
      <c r="FE259" s="79" t="str">
        <f t="shared" ref="FE259:FE264" si="895">IF(ISERROR((FD259/FB259-1)*100),"NA",IF(((FD259/FB259-1)*100)&gt;100,"NM",IF(((FD259/FB259-1)*100)&lt;-50,"NM",(FD259/FB259-1)*100)))</f>
        <v>NA</v>
      </c>
      <c r="FF259" s="35">
        <f>+AA259+Y259+W259+U259</f>
        <v>1533.6</v>
      </c>
      <c r="FG259" s="79">
        <f t="shared" ref="FG259:FG264" si="896">IF(ISERROR((FF259/FD259-1)*100),"NA",IF(((FF259/FD259-1)*100)&gt;100,"NM",IF(((FF259/FD259-1)*100)&lt;-50,"NM",(FF259/FD259-1)*100)))</f>
        <v>-0.6864395803652279</v>
      </c>
      <c r="FH259" s="35">
        <f t="shared" ref="FH259:FH264" si="897">+AI259+AG259+AE259+AC259</f>
        <v>1618.9</v>
      </c>
      <c r="FI259" s="79">
        <f t="shared" ref="FI259:FI264" si="898">IF(ISERROR((FH259/FF259-1)*100),"NA",IF(((FH259/FF259-1)*100)&gt;100,"NM",IF(((FH259/FF259-1)*100)&lt;-50,"NM",(FH259/FF259-1)*100)))</f>
        <v>5.5620761606677283</v>
      </c>
      <c r="FJ259" s="35">
        <f t="shared" ref="FJ259:FJ264" si="899">+AQ259+AO259+AM259+AK259</f>
        <v>1539.6</v>
      </c>
      <c r="FK259" s="79">
        <f t="shared" ref="FK259:FK264" si="900">IF(ISERROR((FJ259/FH259-1)*100),"NA",IF(((FJ259/FH259-1)*100)&gt;100,"NM",IF(((FJ259/FH259-1)*100)&lt;-50,"NM",(FJ259/FH259-1)*100)))</f>
        <v>-4.8983877941812466</v>
      </c>
      <c r="FL259" s="78">
        <f>AS259+AU259+AW259+AY259</f>
        <v>1662.5000000000002</v>
      </c>
      <c r="FM259" s="79">
        <f t="shared" ref="FM259:FM264" si="901">IF(ISERROR((FL259/FJ259-1)*100),"NA",IF(((FL259/FJ259-1)*100)&gt;100,"NM",IF(((FL259/FJ259-1)*100)&lt;-50,"NM",(FL259/FJ259-1)*100)))</f>
        <v>7.9825928812678804</v>
      </c>
      <c r="FN259" s="78">
        <f>BA259+BC259+BE259+BG259</f>
        <v>1627.7000000000003</v>
      </c>
      <c r="FO259" s="79">
        <f t="shared" ref="FO259:FO264" si="902">IF(ISERROR((FN259/FL259-1)*100),"NA",IF(((FN259/FL259-1)*100)&gt;100,"NM",IF(((FN259/FL259-1)*100)&lt;-50,"NM",(FN259/FL259-1)*100)))</f>
        <v>-2.0932330827067691</v>
      </c>
      <c r="FP259" s="78">
        <f>BI259+BK259+BM259+BO259</f>
        <v>1544.8</v>
      </c>
      <c r="FQ259" s="79">
        <f t="shared" ref="FQ259:FQ264" si="903">IF(ISERROR((FP259/FN259-1)*100),"NA",IF(((FP259/FN259-1)*100)&gt;100,"NM",IF(((FP259/FN259-1)*100)&lt;-50,"NM",(FP259/FN259-1)*100)))</f>
        <v>-5.0930761196780967</v>
      </c>
      <c r="FR259" s="95">
        <v>2245.3000000000002</v>
      </c>
      <c r="FS259" s="79">
        <f t="shared" ref="FS259:FS264" si="904">IF(ISERROR((FR259/FP259-1)*100),"NA",IF(((FR259/FP259-1)*100)&gt;100,"NM",IF(((FR259/FP259-1)*100)&lt;-50,"NM",(FR259/FP259-1)*100)))</f>
        <v>45.345675815639574</v>
      </c>
      <c r="FT259" s="93">
        <f>BY259+CA259+CC259+CE259</f>
        <v>2259.1999999999998</v>
      </c>
      <c r="FU259" s="79">
        <f t="shared" ref="FU259:FU264" si="905">IF(ISERROR((FT259/FR259-1)*100),"NA",IF(((FT259/FR259-1)*100)&gt;100,"NM",IF(((FT259/FR259-1)*100)&lt;-50,"NM",(FT259/FR259-1)*100)))</f>
        <v>0.61907094820290443</v>
      </c>
      <c r="FV259" s="93">
        <f>CG259+CI259+CK259+CM259</f>
        <v>3012.8</v>
      </c>
      <c r="FW259" s="79">
        <f t="shared" ref="FW259:FW264" si="906">IF(ISERROR((FV259/FT259-1)*100),"NA",IF(((FV259/FT259-1)*100)&gt;100,"NM",IF(((FV259/FT259-1)*100)&lt;-50,"NM",(FV259/FT259-1)*100)))</f>
        <v>33.35694050991502</v>
      </c>
      <c r="FX259" s="93">
        <f>CO259+CQ259+CS259+CU259</f>
        <v>2314.9</v>
      </c>
      <c r="FY259" s="79">
        <f t="shared" ref="FY259:FY264" si="907">IF(ISERROR((FX259/FV259-1)*100),"NA",IF(((FX259/FV259-1)*100)&gt;100,"NM",IF(((FX259/FV259-1)*100)&lt;-50,"NM",(FX259/FV259-1)*100)))</f>
        <v>-23.164498141263945</v>
      </c>
      <c r="FZ259" s="93">
        <f>CW259+CY259+DA259+DC259</f>
        <v>2293</v>
      </c>
      <c r="GA259" s="79">
        <f t="shared" ref="GA259:GQ264" si="908">IF(ISERROR((FZ259/FX259-1)*100),"NA",IF(((FZ259/FX259-1)*100)&gt;100,"NM",IF(((FZ259/FX259-1)*100)&lt;-50,"NM",(FZ259/FX259-1)*100)))</f>
        <v>-0.94604518553718098</v>
      </c>
      <c r="GB259" s="93">
        <f>DE259+DG259+DI259+DK259</f>
        <v>2931.1</v>
      </c>
      <c r="GC259" s="79">
        <f t="shared" si="908"/>
        <v>27.82817269952027</v>
      </c>
      <c r="GD259" s="93">
        <f>DM259+DO259+DQ259+DS259</f>
        <v>2228.3000000000002</v>
      </c>
      <c r="GE259" s="79">
        <f t="shared" si="908"/>
        <v>-23.977346388727771</v>
      </c>
      <c r="GF259" s="93">
        <f>DU259+DW259+DY259+EA259</f>
        <v>2223.6999999999998</v>
      </c>
      <c r="GG259" s="79">
        <f t="shared" si="908"/>
        <v>-0.20643539918324683</v>
      </c>
      <c r="GH259" s="93">
        <f>EC259+EE259+EG259+EI259</f>
        <v>2191.8000000000002</v>
      </c>
      <c r="GI259" s="79">
        <f t="shared" si="908"/>
        <v>-1.4345460268921029</v>
      </c>
      <c r="GJ259" s="93">
        <f>EK259+EM259+EO259+EQ259</f>
        <v>2152.357206329867</v>
      </c>
      <c r="GK259" s="79">
        <f t="shared" si="908"/>
        <v>-1.7995617150348142</v>
      </c>
      <c r="GL259" s="93">
        <f>GL270/100*GL252</f>
        <v>2087.7864901399712</v>
      </c>
      <c r="GM259" s="79">
        <f t="shared" si="908"/>
        <v>-2.9999999999999916</v>
      </c>
      <c r="GN259" s="93">
        <f>GN270/100*GN252</f>
        <v>2025.1528954357718</v>
      </c>
      <c r="GO259" s="79">
        <f t="shared" si="908"/>
        <v>-3.0000000000000138</v>
      </c>
      <c r="GP259" s="93">
        <f>GP270/100*GP252</f>
        <v>1964.3983085726984</v>
      </c>
      <c r="GQ259" s="79">
        <f t="shared" si="908"/>
        <v>-3.0000000000000138</v>
      </c>
      <c r="GR259" s="93">
        <f>GR270/100*GR252</f>
        <v>1905.4663593155176</v>
      </c>
      <c r="GS259" s="79">
        <f t="shared" ref="GS259:GS264" si="909">IF(ISERROR((GR259/GP259-1)*100),"NA",IF(((GR259/GP259-1)*100)&gt;100,"NM",IF(((GR259/GP259-1)*100)&lt;-50,"NM",(GR259/GP259-1)*100)))</f>
        <v>-2.9999999999999916</v>
      </c>
      <c r="GT259" s="79">
        <f t="shared" ref="GT259:GT264" si="910">IF(ISERROR(((GR259/GH259)^0.2-1)*100),"NA",(IF(OR(((GR259/GH259)^0.2-1)*100&gt;99,((GR259/GH259)^0.2-1)*100&lt;-50),"NM",(((GR259/GH259)^0.2-1)*100))))</f>
        <v>-2.7610920902513492</v>
      </c>
      <c r="GU259" s="562"/>
      <c r="GV259" s="562"/>
      <c r="GW259"/>
      <c r="GX259"/>
      <c r="GY259"/>
      <c r="GZ259"/>
      <c r="HA259"/>
      <c r="HB259"/>
      <c r="HC259" s="562"/>
      <c r="HD259" s="562"/>
      <c r="HE259" s="562"/>
      <c r="HF259" s="562"/>
      <c r="HG259" s="562"/>
      <c r="HH259" s="562"/>
      <c r="HI259" s="562"/>
      <c r="HJ259" s="562"/>
      <c r="HK259" s="562"/>
      <c r="HL259" s="562"/>
      <c r="HM259" s="562"/>
      <c r="HN259" s="562"/>
      <c r="HO259" s="562"/>
      <c r="HP259" s="562"/>
      <c r="HQ259" s="562"/>
      <c r="HR259" s="562"/>
      <c r="HS259" s="562"/>
      <c r="HT259" s="562"/>
      <c r="HU259" s="562"/>
      <c r="HV259" s="562"/>
      <c r="HW259" s="562"/>
      <c r="HX259" s="562"/>
      <c r="HY259" s="562"/>
      <c r="HZ259" s="562"/>
      <c r="IA259" s="562"/>
      <c r="IB259" s="562"/>
      <c r="IC259" s="562"/>
      <c r="ID259" s="562"/>
      <c r="IE259" s="562"/>
      <c r="IF259" s="562"/>
      <c r="IG259" s="562"/>
      <c r="IH259" s="562"/>
      <c r="II259" s="562"/>
      <c r="IJ259" s="562"/>
      <c r="IK259" s="562"/>
      <c r="IL259" s="562"/>
      <c r="IM259" s="562"/>
      <c r="IN259" s="562"/>
      <c r="IO259" s="562"/>
      <c r="IP259" s="562"/>
      <c r="IQ259" s="562"/>
      <c r="IR259" s="562"/>
      <c r="IS259" s="562"/>
      <c r="IT259" s="562"/>
      <c r="IU259" s="562"/>
      <c r="IV259" s="562"/>
      <c r="IW259" s="562"/>
      <c r="IX259" s="562"/>
      <c r="IY259" s="562"/>
      <c r="IZ259" s="562"/>
      <c r="JA259" s="562"/>
      <c r="JB259" s="562"/>
      <c r="JC259" s="562"/>
      <c r="JD259" s="562"/>
      <c r="JE259" s="562"/>
      <c r="JF259" s="562"/>
      <c r="JG259" s="562"/>
      <c r="JH259" s="562"/>
      <c r="JI259" s="562"/>
      <c r="JJ259" s="562"/>
      <c r="JK259" s="562"/>
      <c r="JL259" s="562"/>
      <c r="JM259" s="562"/>
      <c r="JN259" s="562"/>
      <c r="JO259" s="562"/>
      <c r="JP259" s="562"/>
      <c r="JQ259" s="562"/>
      <c r="JR259" s="562"/>
      <c r="JS259" s="562"/>
      <c r="JT259" s="562"/>
      <c r="JU259" s="562"/>
      <c r="JV259" s="562"/>
      <c r="JW259" s="562"/>
      <c r="JX259" s="562"/>
      <c r="JY259" s="562"/>
      <c r="JZ259" s="562"/>
    </row>
    <row r="260" spans="1:286" s="132" customFormat="1" ht="12.75" customHeight="1" x14ac:dyDescent="0.2">
      <c r="A260" s="133"/>
      <c r="B260" s="2" t="s">
        <v>114</v>
      </c>
      <c r="C260" s="79"/>
      <c r="D260" s="79"/>
      <c r="E260" s="129"/>
      <c r="F260" s="129"/>
      <c r="G260" s="129"/>
      <c r="H260" s="129"/>
      <c r="I260" s="129"/>
      <c r="J260" s="129"/>
      <c r="K260" s="129"/>
      <c r="L260" s="79"/>
      <c r="M260" s="129">
        <v>30.2</v>
      </c>
      <c r="N260" s="79" t="str">
        <f t="shared" si="827"/>
        <v>NA</v>
      </c>
      <c r="O260" s="129">
        <v>27.1</v>
      </c>
      <c r="P260" s="79" t="str">
        <f t="shared" si="828"/>
        <v>NA</v>
      </c>
      <c r="Q260" s="129">
        <v>26.2</v>
      </c>
      <c r="R260" s="79" t="str">
        <f t="shared" si="829"/>
        <v>NA</v>
      </c>
      <c r="S260" s="129">
        <v>25.7</v>
      </c>
      <c r="T260" s="79" t="str">
        <f t="shared" si="830"/>
        <v>NA</v>
      </c>
      <c r="U260" s="129">
        <v>25.5</v>
      </c>
      <c r="V260" s="79">
        <f t="shared" si="831"/>
        <v>-15.56291390728477</v>
      </c>
      <c r="W260" s="129">
        <v>22.8</v>
      </c>
      <c r="X260" s="79">
        <f t="shared" si="832"/>
        <v>-15.867158671586722</v>
      </c>
      <c r="Y260" s="129">
        <v>20.5</v>
      </c>
      <c r="Z260" s="79">
        <f t="shared" si="833"/>
        <v>-21.755725190839691</v>
      </c>
      <c r="AA260" s="130">
        <v>16.7</v>
      </c>
      <c r="AB260" s="79">
        <f t="shared" si="834"/>
        <v>-35.019455252918284</v>
      </c>
      <c r="AC260" s="129">
        <v>20.100000000000001</v>
      </c>
      <c r="AD260" s="79">
        <f t="shared" si="835"/>
        <v>-21.176470588235286</v>
      </c>
      <c r="AE260" s="129">
        <v>18.399999999999999</v>
      </c>
      <c r="AF260" s="79">
        <f t="shared" si="836"/>
        <v>-19.298245614035093</v>
      </c>
      <c r="AG260" s="129">
        <v>20</v>
      </c>
      <c r="AH260" s="79">
        <f t="shared" si="837"/>
        <v>-2.4390243902439046</v>
      </c>
      <c r="AI260" s="129">
        <v>17.8</v>
      </c>
      <c r="AJ260" s="79">
        <f t="shared" si="838"/>
        <v>6.5868263473054078</v>
      </c>
      <c r="AK260" s="129">
        <v>18.5</v>
      </c>
      <c r="AL260" s="79">
        <f t="shared" si="839"/>
        <v>-7.9601990049751326</v>
      </c>
      <c r="AM260" s="129">
        <v>17.100000000000001</v>
      </c>
      <c r="AN260" s="79">
        <f t="shared" si="840"/>
        <v>-7.0652173913043352</v>
      </c>
      <c r="AO260" s="129">
        <v>19</v>
      </c>
      <c r="AP260" s="79">
        <f t="shared" si="841"/>
        <v>-5.0000000000000044</v>
      </c>
      <c r="AQ260" s="129">
        <v>20.3</v>
      </c>
      <c r="AR260" s="79">
        <f t="shared" si="842"/>
        <v>14.04494382022472</v>
      </c>
      <c r="AS260" s="95">
        <v>20.5</v>
      </c>
      <c r="AT260" s="81">
        <f t="shared" si="843"/>
        <v>10.810810810810811</v>
      </c>
      <c r="AU260" s="95">
        <v>18.899999999999999</v>
      </c>
      <c r="AV260" s="81">
        <f t="shared" si="844"/>
        <v>10.526315789473673</v>
      </c>
      <c r="AW260" s="95">
        <v>18.3</v>
      </c>
      <c r="AX260" s="81">
        <f t="shared" si="845"/>
        <v>-3.6842105263157898</v>
      </c>
      <c r="AY260" s="95">
        <v>18.5</v>
      </c>
      <c r="AZ260" s="81">
        <f t="shared" si="846"/>
        <v>-8.8669950738916263</v>
      </c>
      <c r="BA260" s="95">
        <v>18</v>
      </c>
      <c r="BB260" s="81">
        <f t="shared" si="847"/>
        <v>-12.195121951219512</v>
      </c>
      <c r="BC260" s="95">
        <v>16.7</v>
      </c>
      <c r="BD260" s="81">
        <f t="shared" si="848"/>
        <v>-11.640211640211639</v>
      </c>
      <c r="BE260" s="95">
        <v>17.8</v>
      </c>
      <c r="BF260" s="81">
        <f t="shared" si="849"/>
        <v>-2.732240437158473</v>
      </c>
      <c r="BG260" s="95">
        <v>16.600000000000001</v>
      </c>
      <c r="BH260" s="81">
        <f t="shared" si="850"/>
        <v>-10.270270270270265</v>
      </c>
      <c r="BI260" s="95">
        <v>16.100000000000001</v>
      </c>
      <c r="BJ260" s="81">
        <f t="shared" si="851"/>
        <v>-10.555555555555552</v>
      </c>
      <c r="BK260" s="95">
        <v>15.2</v>
      </c>
      <c r="BL260" s="81">
        <f t="shared" si="852"/>
        <v>-8.9820359281437163</v>
      </c>
      <c r="BM260" s="95">
        <v>15.6</v>
      </c>
      <c r="BN260" s="81">
        <f t="shared" si="853"/>
        <v>-12.359550561797761</v>
      </c>
      <c r="BO260" s="95">
        <v>15.8</v>
      </c>
      <c r="BP260" s="81">
        <f t="shared" si="854"/>
        <v>-4.8192771084337398</v>
      </c>
      <c r="BQ260" s="95">
        <v>15.3</v>
      </c>
      <c r="BR260" s="81">
        <f t="shared" si="855"/>
        <v>-4.9689440993788914</v>
      </c>
      <c r="BS260" s="95">
        <v>14.8</v>
      </c>
      <c r="BT260" s="81">
        <f t="shared" si="856"/>
        <v>-2.631578947368407</v>
      </c>
      <c r="BU260" s="95">
        <v>14.2</v>
      </c>
      <c r="BV260" s="81">
        <f t="shared" si="857"/>
        <v>-8.9743589743589762</v>
      </c>
      <c r="BW260" s="95">
        <v>13.8</v>
      </c>
      <c r="BX260" s="81">
        <f t="shared" si="858"/>
        <v>-12.658227848101266</v>
      </c>
      <c r="BY260" s="95">
        <v>30</v>
      </c>
      <c r="BZ260" s="81">
        <f t="shared" si="859"/>
        <v>96.078431372549005</v>
      </c>
      <c r="CA260" s="95">
        <v>29.2</v>
      </c>
      <c r="CB260" s="81">
        <f t="shared" si="860"/>
        <v>97.297297297297277</v>
      </c>
      <c r="CC260" s="95">
        <v>29.5</v>
      </c>
      <c r="CD260" s="81" t="str">
        <f t="shared" si="861"/>
        <v>NM</v>
      </c>
      <c r="CE260" s="95">
        <v>29.4</v>
      </c>
      <c r="CF260" s="81" t="str">
        <f t="shared" si="862"/>
        <v>NM</v>
      </c>
      <c r="CG260" s="95">
        <v>29.2</v>
      </c>
      <c r="CH260" s="81">
        <f t="shared" si="863"/>
        <v>-2.6666666666666727</v>
      </c>
      <c r="CI260" s="95">
        <v>27.8</v>
      </c>
      <c r="CJ260" s="81">
        <f t="shared" si="864"/>
        <v>-4.7945205479452024</v>
      </c>
      <c r="CK260" s="95">
        <v>28.2</v>
      </c>
      <c r="CL260" s="81">
        <f t="shared" si="865"/>
        <v>-4.4067796610169463</v>
      </c>
      <c r="CM260" s="95">
        <v>28.4</v>
      </c>
      <c r="CN260" s="81">
        <f t="shared" si="866"/>
        <v>-3.4013605442176909</v>
      </c>
      <c r="CO260" s="95">
        <v>28.5</v>
      </c>
      <c r="CP260" s="81">
        <f t="shared" si="867"/>
        <v>-2.3972602739726012</v>
      </c>
      <c r="CQ260" s="95">
        <v>27.8</v>
      </c>
      <c r="CR260" s="81">
        <f t="shared" si="868"/>
        <v>0</v>
      </c>
      <c r="CS260" s="95">
        <v>28.2</v>
      </c>
      <c r="CT260" s="81">
        <f t="shared" si="869"/>
        <v>0</v>
      </c>
      <c r="CU260" s="95">
        <v>28.1</v>
      </c>
      <c r="CV260" s="81">
        <f t="shared" si="870"/>
        <v>-1.0563380281690016</v>
      </c>
      <c r="CW260" s="95">
        <v>28</v>
      </c>
      <c r="CX260" s="81">
        <f t="shared" si="871"/>
        <v>-1.7543859649122862</v>
      </c>
      <c r="CY260" s="95">
        <v>27.1</v>
      </c>
      <c r="CZ260" s="81">
        <f t="shared" si="872"/>
        <v>-2.5179856115107868</v>
      </c>
      <c r="DA260" s="95">
        <v>26.8</v>
      </c>
      <c r="DB260" s="81">
        <f t="shared" si="873"/>
        <v>-4.9645390070921946</v>
      </c>
      <c r="DC260" s="95">
        <v>31.9</v>
      </c>
      <c r="DD260" s="81">
        <f t="shared" si="874"/>
        <v>13.523131672597843</v>
      </c>
      <c r="DE260" s="95">
        <v>26.1</v>
      </c>
      <c r="DF260" s="81">
        <f t="shared" si="875"/>
        <v>-6.7857142857142838</v>
      </c>
      <c r="DG260" s="95">
        <v>25.4</v>
      </c>
      <c r="DH260" s="81">
        <f t="shared" si="876"/>
        <v>-6.2730627306273217</v>
      </c>
      <c r="DI260" s="95">
        <v>25.6</v>
      </c>
      <c r="DJ260" s="81">
        <f t="shared" si="877"/>
        <v>-4.4776119402985088</v>
      </c>
      <c r="DK260" s="95">
        <v>24.4</v>
      </c>
      <c r="DL260" s="81">
        <f t="shared" si="878"/>
        <v>-23.510971786833856</v>
      </c>
      <c r="DM260" s="95">
        <v>25.6</v>
      </c>
      <c r="DN260" s="81">
        <f t="shared" si="879"/>
        <v>-1.9157088122605415</v>
      </c>
      <c r="DO260" s="95">
        <v>24.1</v>
      </c>
      <c r="DP260" s="81">
        <f t="shared" si="879"/>
        <v>-5.1181102362204633</v>
      </c>
      <c r="DQ260" s="95">
        <v>24.9</v>
      </c>
      <c r="DR260" s="81">
        <f t="shared" si="880"/>
        <v>-2.7343750000000111</v>
      </c>
      <c r="DS260" s="95">
        <v>24.2</v>
      </c>
      <c r="DT260" s="81">
        <f t="shared" si="881"/>
        <v>-0.81967213114754189</v>
      </c>
      <c r="DU260" s="95">
        <v>24.1</v>
      </c>
      <c r="DV260" s="81">
        <f t="shared" si="882"/>
        <v>-5.859375</v>
      </c>
      <c r="DW260" s="95">
        <v>23.1</v>
      </c>
      <c r="DX260" s="81">
        <f t="shared" si="883"/>
        <v>-4.1493775933609918</v>
      </c>
      <c r="DY260" s="95">
        <v>23.5</v>
      </c>
      <c r="DZ260" s="81">
        <f t="shared" si="884"/>
        <v>-5.6224899598393492</v>
      </c>
      <c r="EA260" s="95">
        <v>23.1</v>
      </c>
      <c r="EB260" s="81">
        <f t="shared" si="885"/>
        <v>-4.5454545454545414</v>
      </c>
      <c r="EC260" s="95">
        <v>23</v>
      </c>
      <c r="ED260" s="81">
        <f t="shared" si="886"/>
        <v>-4.5643153526971014</v>
      </c>
      <c r="EE260" s="95">
        <v>22.4</v>
      </c>
      <c r="EF260" s="81">
        <f t="shared" si="887"/>
        <v>-3.0303030303030387</v>
      </c>
      <c r="EG260" s="95">
        <v>22.7</v>
      </c>
      <c r="EH260" s="81">
        <f t="shared" si="888"/>
        <v>-3.4042553191489411</v>
      </c>
      <c r="EI260" s="95">
        <v>21.9</v>
      </c>
      <c r="EJ260" s="81">
        <f t="shared" si="889"/>
        <v>-5.1948051948052072</v>
      </c>
      <c r="EK260" s="93">
        <f t="shared" ref="EK260:EQ260" si="911">EK272/100*EK252</f>
        <v>21.956615999999997</v>
      </c>
      <c r="EL260" s="81">
        <f t="shared" si="891"/>
        <v>-4.5364521739130526</v>
      </c>
      <c r="EM260" s="93">
        <f t="shared" si="911"/>
        <v>21.824876303999996</v>
      </c>
      <c r="EN260" s="81">
        <f t="shared" si="892"/>
        <v>-2.5675165000000111</v>
      </c>
      <c r="EO260" s="93">
        <f t="shared" si="911"/>
        <v>21.693927046175997</v>
      </c>
      <c r="EP260" s="81">
        <f t="shared" si="893"/>
        <v>-4.4320394441585975</v>
      </c>
      <c r="EQ260" s="93">
        <f t="shared" si="911"/>
        <v>21.563763483898938</v>
      </c>
      <c r="ER260" s="81">
        <f t="shared" si="894"/>
        <v>-1.5353265575390851</v>
      </c>
      <c r="ES260" s="95"/>
      <c r="ET260" s="471"/>
      <c r="EU260" s="95"/>
      <c r="EV260" s="95"/>
      <c r="EW260" s="146"/>
      <c r="EX260" s="95"/>
      <c r="EY260" s="146"/>
      <c r="EZ260" s="131"/>
      <c r="FA260" s="146"/>
      <c r="FB260" s="93"/>
      <c r="FC260" s="146"/>
      <c r="FD260" s="93">
        <f>+S260+Q260+O260+M260</f>
        <v>109.2</v>
      </c>
      <c r="FE260" s="146" t="str">
        <f t="shared" si="895"/>
        <v>NA</v>
      </c>
      <c r="FF260" s="93">
        <f>+AA260+Y260+W260+U260</f>
        <v>85.5</v>
      </c>
      <c r="FG260" s="146">
        <f t="shared" si="896"/>
        <v>-21.703296703296704</v>
      </c>
      <c r="FH260" s="93">
        <f t="shared" si="897"/>
        <v>76.3</v>
      </c>
      <c r="FI260" s="146">
        <f t="shared" si="898"/>
        <v>-10.760233918128659</v>
      </c>
      <c r="FJ260" s="93">
        <f t="shared" si="899"/>
        <v>74.900000000000006</v>
      </c>
      <c r="FK260" s="146">
        <f t="shared" si="900"/>
        <v>-1.8348623853210899</v>
      </c>
      <c r="FL260" s="78">
        <f>AS260+AU260+AW260+AY260</f>
        <v>76.2</v>
      </c>
      <c r="FM260" s="146">
        <f t="shared" si="901"/>
        <v>1.735647530040052</v>
      </c>
      <c r="FN260" s="78">
        <f>BA260+BC260+BE260+BG260</f>
        <v>69.099999999999994</v>
      </c>
      <c r="FO260" s="146">
        <f t="shared" si="902"/>
        <v>-9.3175853018372834</v>
      </c>
      <c r="FP260" s="78">
        <f>BI260+BK260+BM260+BO260</f>
        <v>62.7</v>
      </c>
      <c r="FQ260" s="146">
        <f t="shared" si="903"/>
        <v>-9.261939218523862</v>
      </c>
      <c r="FR260" s="95">
        <v>126.8</v>
      </c>
      <c r="FS260" s="146" t="str">
        <f t="shared" si="904"/>
        <v>NM</v>
      </c>
      <c r="FT260" s="93">
        <f>BY260+CA260+CC260+CE260</f>
        <v>118.1</v>
      </c>
      <c r="FU260" s="146">
        <f t="shared" si="905"/>
        <v>-6.8611987381703488</v>
      </c>
      <c r="FV260" s="93">
        <f>CG260+CI260+CK260+CM260</f>
        <v>113.6</v>
      </c>
      <c r="FW260" s="146">
        <f t="shared" si="906"/>
        <v>-3.8103302286198182</v>
      </c>
      <c r="FX260" s="93">
        <f>CO260+CQ260+CS260+CU260</f>
        <v>112.6</v>
      </c>
      <c r="FY260" s="146">
        <f t="shared" si="907"/>
        <v>-0.88028169014084945</v>
      </c>
      <c r="FZ260" s="93">
        <f>CW260+CY260+DA260+DC260</f>
        <v>113.80000000000001</v>
      </c>
      <c r="GA260" s="79">
        <f t="shared" si="908"/>
        <v>1.0657193605684068</v>
      </c>
      <c r="GB260" s="93">
        <f>DE260+DG260+DI260+DK260</f>
        <v>101.5</v>
      </c>
      <c r="GC260" s="79">
        <f t="shared" si="908"/>
        <v>-10.80843585237259</v>
      </c>
      <c r="GD260" s="93">
        <f>DM260+DO260+DQ260+DS260</f>
        <v>98.8</v>
      </c>
      <c r="GE260" s="79">
        <f t="shared" si="908"/>
        <v>-2.6600985221674867</v>
      </c>
      <c r="GF260" s="93">
        <f>DU260+DW260+DY260+EA260</f>
        <v>93.800000000000011</v>
      </c>
      <c r="GG260" s="79">
        <f t="shared" si="908"/>
        <v>-5.060728744939258</v>
      </c>
      <c r="GH260" s="93">
        <f>EC260+EE260+EG260+EI260</f>
        <v>90</v>
      </c>
      <c r="GI260" s="79">
        <f t="shared" si="908"/>
        <v>-4.0511727078891386</v>
      </c>
      <c r="GJ260" s="93">
        <f>EK260+EM260+EO260+EQ260</f>
        <v>87.039182834074936</v>
      </c>
      <c r="GK260" s="79">
        <f t="shared" si="908"/>
        <v>-3.2897968510278486</v>
      </c>
      <c r="GL260" s="93">
        <f>GL272/100*GL252</f>
        <v>84.428007349052692</v>
      </c>
      <c r="GM260" s="79">
        <f t="shared" si="908"/>
        <v>-2.9999999999999916</v>
      </c>
      <c r="GN260" s="93">
        <f>GN272/100*GN252</f>
        <v>81.895167128581093</v>
      </c>
      <c r="GO260" s="79">
        <f t="shared" si="908"/>
        <v>-3.0000000000000249</v>
      </c>
      <c r="GP260" s="93">
        <f>GP272/100*GP252</f>
        <v>79.438312114723658</v>
      </c>
      <c r="GQ260" s="79">
        <f t="shared" si="908"/>
        <v>-3.0000000000000027</v>
      </c>
      <c r="GR260" s="93">
        <f>GR272/100*GR252</f>
        <v>77.055162751281955</v>
      </c>
      <c r="GS260" s="79">
        <f t="shared" si="909"/>
        <v>-2.9999999999999916</v>
      </c>
      <c r="GT260" s="79">
        <f t="shared" si="910"/>
        <v>-3.0580287583073407</v>
      </c>
      <c r="GU260" s="562"/>
      <c r="GV260" s="562"/>
      <c r="GW260"/>
      <c r="GX260"/>
      <c r="GY260"/>
      <c r="GZ260"/>
      <c r="HA260"/>
      <c r="HB260"/>
      <c r="HC260" s="562"/>
      <c r="HD260" s="562"/>
      <c r="HE260" s="562"/>
      <c r="HF260" s="562"/>
      <c r="HG260" s="562"/>
      <c r="HH260" s="562"/>
      <c r="HI260" s="562"/>
      <c r="HJ260" s="562"/>
      <c r="HK260" s="562"/>
      <c r="HL260" s="562"/>
      <c r="HM260" s="562"/>
      <c r="HN260" s="562"/>
      <c r="HO260" s="562"/>
      <c r="HP260" s="562"/>
      <c r="HQ260" s="562"/>
      <c r="HR260" s="562"/>
      <c r="HS260" s="562"/>
      <c r="HT260" s="562"/>
      <c r="HU260" s="562"/>
      <c r="HV260" s="562"/>
      <c r="HW260" s="562"/>
      <c r="HX260" s="562"/>
      <c r="HY260" s="562"/>
      <c r="HZ260" s="562"/>
      <c r="IA260" s="562"/>
      <c r="IB260" s="562"/>
      <c r="IC260" s="562"/>
      <c r="ID260" s="562"/>
      <c r="IE260" s="562"/>
      <c r="IF260" s="562"/>
      <c r="IG260" s="562"/>
      <c r="IH260" s="562"/>
      <c r="II260" s="562"/>
      <c r="IJ260" s="562"/>
      <c r="IK260" s="562"/>
      <c r="IL260" s="562"/>
      <c r="IM260" s="562"/>
      <c r="IN260" s="562"/>
      <c r="IO260" s="562"/>
      <c r="IP260" s="562"/>
      <c r="IQ260" s="562"/>
      <c r="IR260" s="562"/>
      <c r="IS260" s="562"/>
      <c r="IT260" s="562"/>
      <c r="IU260" s="562"/>
      <c r="IV260" s="562"/>
      <c r="IW260" s="562"/>
      <c r="IX260" s="562"/>
      <c r="IY260" s="562"/>
      <c r="IZ260" s="562"/>
      <c r="JA260" s="562"/>
      <c r="JB260" s="562"/>
      <c r="JC260" s="562"/>
      <c r="JD260" s="562"/>
      <c r="JE260" s="562"/>
      <c r="JF260" s="562"/>
      <c r="JG260" s="562"/>
      <c r="JH260" s="562"/>
      <c r="JI260" s="562"/>
      <c r="JJ260" s="562"/>
      <c r="JK260" s="562"/>
      <c r="JL260" s="562"/>
      <c r="JM260" s="562"/>
      <c r="JN260" s="562"/>
      <c r="JO260" s="562"/>
      <c r="JP260" s="562"/>
      <c r="JQ260" s="562"/>
      <c r="JR260" s="562"/>
      <c r="JS260" s="562"/>
      <c r="JT260" s="562"/>
      <c r="JU260" s="562"/>
      <c r="JV260" s="562"/>
      <c r="JW260" s="562"/>
      <c r="JX260" s="562"/>
      <c r="JY260" s="562"/>
      <c r="JZ260" s="562"/>
    </row>
    <row r="261" spans="1:286" s="132" customFormat="1" ht="12.75" customHeight="1" x14ac:dyDescent="0.2">
      <c r="A261" s="133"/>
      <c r="B261" s="2" t="s">
        <v>311</v>
      </c>
      <c r="C261" s="79"/>
      <c r="D261" s="79"/>
      <c r="E261" s="129"/>
      <c r="F261" s="129"/>
      <c r="G261" s="129"/>
      <c r="H261" s="129"/>
      <c r="I261" s="129"/>
      <c r="J261" s="129"/>
      <c r="K261" s="129"/>
      <c r="L261" s="79"/>
      <c r="M261" s="129">
        <v>6.5</v>
      </c>
      <c r="N261" s="79" t="str">
        <f t="shared" si="827"/>
        <v>NA</v>
      </c>
      <c r="O261" s="129">
        <v>5</v>
      </c>
      <c r="P261" s="79" t="str">
        <f t="shared" si="828"/>
        <v>NA</v>
      </c>
      <c r="Q261" s="129">
        <v>5.3</v>
      </c>
      <c r="R261" s="79" t="str">
        <f t="shared" si="829"/>
        <v>NA</v>
      </c>
      <c r="S261" s="129">
        <v>6</v>
      </c>
      <c r="T261" s="79" t="str">
        <f t="shared" si="830"/>
        <v>NA</v>
      </c>
      <c r="U261" s="129">
        <v>8.1999999999999993</v>
      </c>
      <c r="V261" s="79">
        <f t="shared" si="831"/>
        <v>26.15384615384615</v>
      </c>
      <c r="W261" s="129">
        <v>8.1</v>
      </c>
      <c r="X261" s="79">
        <f t="shared" si="832"/>
        <v>61.999999999999986</v>
      </c>
      <c r="Y261" s="129">
        <v>8.9</v>
      </c>
      <c r="Z261" s="79">
        <f t="shared" si="833"/>
        <v>67.924528301886795</v>
      </c>
      <c r="AA261" s="130">
        <v>8.6</v>
      </c>
      <c r="AB261" s="79">
        <f t="shared" si="834"/>
        <v>43.333333333333336</v>
      </c>
      <c r="AC261" s="129">
        <v>0</v>
      </c>
      <c r="AD261" s="79" t="str">
        <f t="shared" si="835"/>
        <v>NM</v>
      </c>
      <c r="AE261" s="129">
        <v>0</v>
      </c>
      <c r="AF261" s="79" t="str">
        <f t="shared" si="836"/>
        <v>NM</v>
      </c>
      <c r="AG261" s="129">
        <v>0</v>
      </c>
      <c r="AH261" s="79" t="str">
        <f t="shared" si="837"/>
        <v>NM</v>
      </c>
      <c r="AI261" s="129">
        <v>0</v>
      </c>
      <c r="AJ261" s="79" t="str">
        <f t="shared" si="838"/>
        <v>NM</v>
      </c>
      <c r="AK261" s="129">
        <v>0</v>
      </c>
      <c r="AL261" s="79" t="str">
        <f t="shared" si="839"/>
        <v>NA</v>
      </c>
      <c r="AM261" s="129">
        <v>0</v>
      </c>
      <c r="AN261" s="79" t="str">
        <f t="shared" si="840"/>
        <v>NA</v>
      </c>
      <c r="AO261" s="129">
        <v>0</v>
      </c>
      <c r="AP261" s="79" t="str">
        <f t="shared" si="841"/>
        <v>NA</v>
      </c>
      <c r="AQ261" s="129">
        <v>0</v>
      </c>
      <c r="AR261" s="79" t="str">
        <f t="shared" si="842"/>
        <v>NA</v>
      </c>
      <c r="AS261" s="129">
        <v>0</v>
      </c>
      <c r="AT261" s="81" t="str">
        <f t="shared" si="843"/>
        <v>NA</v>
      </c>
      <c r="AU261" s="129">
        <v>0</v>
      </c>
      <c r="AV261" s="81" t="str">
        <f t="shared" si="844"/>
        <v>NA</v>
      </c>
      <c r="AW261" s="129">
        <v>0</v>
      </c>
      <c r="AX261" s="81" t="str">
        <f t="shared" si="845"/>
        <v>NA</v>
      </c>
      <c r="AY261" s="129">
        <v>0</v>
      </c>
      <c r="AZ261" s="81" t="str">
        <f t="shared" si="846"/>
        <v>NA</v>
      </c>
      <c r="BA261" s="129">
        <v>0</v>
      </c>
      <c r="BB261" s="81" t="str">
        <f t="shared" si="847"/>
        <v>NA</v>
      </c>
      <c r="BC261" s="129">
        <v>0</v>
      </c>
      <c r="BD261" s="81" t="str">
        <f t="shared" si="848"/>
        <v>NA</v>
      </c>
      <c r="BE261" s="129">
        <v>0</v>
      </c>
      <c r="BF261" s="81" t="str">
        <f t="shared" si="849"/>
        <v>NA</v>
      </c>
      <c r="BG261" s="129">
        <v>0</v>
      </c>
      <c r="BH261" s="81" t="str">
        <f t="shared" si="850"/>
        <v>NA</v>
      </c>
      <c r="BI261" s="129">
        <v>0</v>
      </c>
      <c r="BJ261" s="81" t="str">
        <f t="shared" si="851"/>
        <v>NA</v>
      </c>
      <c r="BK261" s="129">
        <v>0</v>
      </c>
      <c r="BL261" s="81" t="str">
        <f t="shared" si="852"/>
        <v>NA</v>
      </c>
      <c r="BM261" s="129">
        <v>0</v>
      </c>
      <c r="BN261" s="81" t="str">
        <f t="shared" si="853"/>
        <v>NA</v>
      </c>
      <c r="BO261" s="129">
        <v>0</v>
      </c>
      <c r="BP261" s="81" t="str">
        <f t="shared" si="854"/>
        <v>NA</v>
      </c>
      <c r="BQ261" s="129">
        <v>0</v>
      </c>
      <c r="BR261" s="81" t="str">
        <f t="shared" si="855"/>
        <v>NA</v>
      </c>
      <c r="BS261" s="129">
        <v>0</v>
      </c>
      <c r="BT261" s="81" t="str">
        <f t="shared" si="856"/>
        <v>NA</v>
      </c>
      <c r="BU261" s="129">
        <v>0</v>
      </c>
      <c r="BV261" s="81" t="str">
        <f t="shared" si="857"/>
        <v>NA</v>
      </c>
      <c r="BW261" s="129">
        <v>0</v>
      </c>
      <c r="BX261" s="81" t="str">
        <f t="shared" si="858"/>
        <v>NA</v>
      </c>
      <c r="BY261" s="129">
        <f>-0.7+4.3</f>
        <v>3.5999999999999996</v>
      </c>
      <c r="BZ261" s="81" t="str">
        <f t="shared" si="859"/>
        <v>NA</v>
      </c>
      <c r="CA261" s="129">
        <f>-0.7+4.3</f>
        <v>3.5999999999999996</v>
      </c>
      <c r="CB261" s="81" t="str">
        <f t="shared" si="860"/>
        <v>NA</v>
      </c>
      <c r="CC261" s="129">
        <f>-0.7+4.2</f>
        <v>3.5</v>
      </c>
      <c r="CD261" s="81" t="str">
        <f t="shared" si="861"/>
        <v>NA</v>
      </c>
      <c r="CE261" s="129">
        <f>-0.7+4.2</f>
        <v>3.5</v>
      </c>
      <c r="CF261" s="81" t="str">
        <f t="shared" si="862"/>
        <v>NA</v>
      </c>
      <c r="CG261" s="129">
        <f>-0.8+3.5</f>
        <v>2.7</v>
      </c>
      <c r="CH261" s="81">
        <f t="shared" si="863"/>
        <v>-24.999999999999989</v>
      </c>
      <c r="CI261" s="129">
        <f>-0.9+3.7</f>
        <v>2.8000000000000003</v>
      </c>
      <c r="CJ261" s="81">
        <f t="shared" si="864"/>
        <v>-22.222222222222211</v>
      </c>
      <c r="CK261" s="129">
        <f>-0.9+3.1</f>
        <v>2.2000000000000002</v>
      </c>
      <c r="CL261" s="81">
        <f t="shared" si="865"/>
        <v>-37.142857142857132</v>
      </c>
      <c r="CM261" s="129">
        <f>-1.1+0.8+196</f>
        <v>195.7</v>
      </c>
      <c r="CN261" s="81" t="str">
        <f t="shared" si="866"/>
        <v>NM</v>
      </c>
      <c r="CO261" s="129">
        <v>0</v>
      </c>
      <c r="CP261" s="81" t="str">
        <f t="shared" si="867"/>
        <v>NM</v>
      </c>
      <c r="CQ261" s="129">
        <v>0</v>
      </c>
      <c r="CR261" s="81" t="str">
        <f t="shared" si="868"/>
        <v>NM</v>
      </c>
      <c r="CS261" s="129">
        <v>0</v>
      </c>
      <c r="CT261" s="81" t="str">
        <f t="shared" si="869"/>
        <v>NM</v>
      </c>
      <c r="CU261" s="129">
        <v>0</v>
      </c>
      <c r="CV261" s="81" t="str">
        <f t="shared" si="870"/>
        <v>NM</v>
      </c>
      <c r="CW261" s="129">
        <v>0</v>
      </c>
      <c r="CX261" s="81" t="str">
        <f t="shared" si="871"/>
        <v>NA</v>
      </c>
      <c r="CY261" s="129">
        <v>0</v>
      </c>
      <c r="CZ261" s="81" t="str">
        <f t="shared" si="872"/>
        <v>NA</v>
      </c>
      <c r="DA261" s="129">
        <v>0</v>
      </c>
      <c r="DB261" s="81" t="str">
        <f t="shared" si="873"/>
        <v>NA</v>
      </c>
      <c r="DC261" s="129">
        <v>0</v>
      </c>
      <c r="DD261" s="81" t="str">
        <f t="shared" si="874"/>
        <v>NA</v>
      </c>
      <c r="DE261" s="129">
        <v>0</v>
      </c>
      <c r="DF261" s="81" t="str">
        <f t="shared" si="875"/>
        <v>NA</v>
      </c>
      <c r="DG261" s="129">
        <v>0</v>
      </c>
      <c r="DH261" s="81" t="str">
        <f t="shared" si="876"/>
        <v>NA</v>
      </c>
      <c r="DI261" s="129">
        <v>0</v>
      </c>
      <c r="DJ261" s="81" t="str">
        <f t="shared" si="877"/>
        <v>NA</v>
      </c>
      <c r="DK261" s="129">
        <v>0</v>
      </c>
      <c r="DL261" s="81" t="str">
        <f t="shared" si="878"/>
        <v>NA</v>
      </c>
      <c r="DM261" s="129">
        <v>0</v>
      </c>
      <c r="DN261" s="81" t="str">
        <f t="shared" si="879"/>
        <v>NA</v>
      </c>
      <c r="DO261" s="129">
        <v>0</v>
      </c>
      <c r="DP261" s="81" t="str">
        <f t="shared" si="879"/>
        <v>NA</v>
      </c>
      <c r="DQ261" s="129">
        <v>0</v>
      </c>
      <c r="DR261" s="81" t="str">
        <f t="shared" si="880"/>
        <v>NA</v>
      </c>
      <c r="DS261" s="129">
        <v>0</v>
      </c>
      <c r="DT261" s="81" t="str">
        <f t="shared" si="881"/>
        <v>NA</v>
      </c>
      <c r="DU261" s="129">
        <v>0</v>
      </c>
      <c r="DV261" s="81" t="str">
        <f t="shared" si="882"/>
        <v>NA</v>
      </c>
      <c r="DW261" s="129">
        <v>0</v>
      </c>
      <c r="DX261" s="81" t="str">
        <f t="shared" si="883"/>
        <v>NA</v>
      </c>
      <c r="DY261" s="129">
        <v>0</v>
      </c>
      <c r="DZ261" s="81" t="str">
        <f t="shared" si="884"/>
        <v>NA</v>
      </c>
      <c r="EA261" s="129">
        <v>0</v>
      </c>
      <c r="EB261" s="81" t="str">
        <f t="shared" si="885"/>
        <v>NA</v>
      </c>
      <c r="EC261" s="129">
        <v>0</v>
      </c>
      <c r="ED261" s="81" t="str">
        <f t="shared" si="886"/>
        <v>NA</v>
      </c>
      <c r="EE261" s="129">
        <v>0</v>
      </c>
      <c r="EF261" s="81" t="str">
        <f t="shared" si="887"/>
        <v>NA</v>
      </c>
      <c r="EG261" s="129">
        <v>0</v>
      </c>
      <c r="EH261" s="81" t="str">
        <f t="shared" si="888"/>
        <v>NA</v>
      </c>
      <c r="EI261" s="129">
        <v>0</v>
      </c>
      <c r="EJ261" s="81" t="str">
        <f t="shared" si="889"/>
        <v>NA</v>
      </c>
      <c r="EK261" s="129">
        <v>0</v>
      </c>
      <c r="EL261" s="81" t="str">
        <f t="shared" si="891"/>
        <v>NA</v>
      </c>
      <c r="EM261" s="129">
        <v>0</v>
      </c>
      <c r="EN261" s="81" t="str">
        <f t="shared" si="892"/>
        <v>NA</v>
      </c>
      <c r="EO261" s="129">
        <v>0</v>
      </c>
      <c r="EP261" s="81" t="str">
        <f t="shared" si="893"/>
        <v>NA</v>
      </c>
      <c r="EQ261" s="129">
        <v>0</v>
      </c>
      <c r="ER261" s="81" t="str">
        <f t="shared" si="894"/>
        <v>NA</v>
      </c>
      <c r="ES261" s="129"/>
      <c r="ET261" s="469"/>
      <c r="EU261" s="129"/>
      <c r="EV261" s="129"/>
      <c r="EW261" s="265"/>
      <c r="EX261" s="129"/>
      <c r="EY261" s="265"/>
      <c r="EZ261" s="82"/>
      <c r="FA261" s="265"/>
      <c r="FB261" s="35"/>
      <c r="FC261" s="265"/>
      <c r="FD261" s="129">
        <v>22.8</v>
      </c>
      <c r="FE261" s="265" t="str">
        <f t="shared" si="895"/>
        <v>NA</v>
      </c>
      <c r="FF261" s="35">
        <f>+AA261+Y261+W261+U261</f>
        <v>33.799999999999997</v>
      </c>
      <c r="FG261" s="265">
        <f t="shared" si="896"/>
        <v>48.245614035087691</v>
      </c>
      <c r="FH261" s="35">
        <f t="shared" si="897"/>
        <v>0</v>
      </c>
      <c r="FI261" s="265" t="str">
        <f t="shared" si="898"/>
        <v>NM</v>
      </c>
      <c r="FJ261" s="35">
        <f t="shared" si="899"/>
        <v>0</v>
      </c>
      <c r="FK261" s="265" t="str">
        <f t="shared" si="900"/>
        <v>NA</v>
      </c>
      <c r="FL261" s="78">
        <f>AS261+AU261+AW261+AY261</f>
        <v>0</v>
      </c>
      <c r="FM261" s="265" t="str">
        <f t="shared" si="901"/>
        <v>NA</v>
      </c>
      <c r="FN261" s="78">
        <f>BA261+BC261+BE261+BG261</f>
        <v>0</v>
      </c>
      <c r="FO261" s="265" t="str">
        <f t="shared" si="902"/>
        <v>NA</v>
      </c>
      <c r="FP261" s="78">
        <f>BI261+BK261+BM261+BO261</f>
        <v>0</v>
      </c>
      <c r="FQ261" s="265" t="str">
        <f t="shared" si="903"/>
        <v>NA</v>
      </c>
      <c r="FR261" s="129">
        <f>-5.6+15.5</f>
        <v>9.9</v>
      </c>
      <c r="FS261" s="265" t="str">
        <f t="shared" si="904"/>
        <v>NA</v>
      </c>
      <c r="FT261" s="35">
        <f>BY261+CA261+CC261+CE261</f>
        <v>14.2</v>
      </c>
      <c r="FU261" s="265">
        <f t="shared" si="905"/>
        <v>43.434343434343425</v>
      </c>
      <c r="FV261" s="35">
        <f>CG261+CI261+CK261+CM261</f>
        <v>203.39999999999998</v>
      </c>
      <c r="FW261" s="265" t="str">
        <f t="shared" si="906"/>
        <v>NM</v>
      </c>
      <c r="FX261" s="35">
        <f>CO261+CQ261+CS261+CU261</f>
        <v>0</v>
      </c>
      <c r="FY261" s="265" t="str">
        <f t="shared" si="907"/>
        <v>NM</v>
      </c>
      <c r="FZ261" s="35">
        <f>CW261+CY261+DA261+DC261</f>
        <v>0</v>
      </c>
      <c r="GA261" s="79" t="str">
        <f t="shared" si="908"/>
        <v>NA</v>
      </c>
      <c r="GB261" s="35">
        <f>DE261+DG261+DI261+DK261</f>
        <v>0</v>
      </c>
      <c r="GC261" s="79" t="str">
        <f t="shared" si="908"/>
        <v>NA</v>
      </c>
      <c r="GD261" s="35">
        <f>DM261+DO261+DQ261+DS261</f>
        <v>0</v>
      </c>
      <c r="GE261" s="79" t="str">
        <f t="shared" si="908"/>
        <v>NA</v>
      </c>
      <c r="GF261" s="35">
        <f>DU261+DW261+DY261+EA261</f>
        <v>0</v>
      </c>
      <c r="GG261" s="79" t="str">
        <f t="shared" si="908"/>
        <v>NA</v>
      </c>
      <c r="GH261" s="35">
        <f>EC261+EE261+EG261+EI261</f>
        <v>0</v>
      </c>
      <c r="GI261" s="79" t="str">
        <f t="shared" si="908"/>
        <v>NA</v>
      </c>
      <c r="GJ261" s="35">
        <f>EK261+EM261+EO261+EQ261</f>
        <v>0</v>
      </c>
      <c r="GK261" s="79" t="str">
        <f t="shared" si="908"/>
        <v>NA</v>
      </c>
      <c r="GL261" s="129">
        <v>0</v>
      </c>
      <c r="GM261" s="79" t="str">
        <f t="shared" si="908"/>
        <v>NA</v>
      </c>
      <c r="GN261" s="129">
        <v>0</v>
      </c>
      <c r="GO261" s="79" t="str">
        <f t="shared" si="908"/>
        <v>NA</v>
      </c>
      <c r="GP261" s="129">
        <v>0</v>
      </c>
      <c r="GQ261" s="79" t="str">
        <f t="shared" si="908"/>
        <v>NA</v>
      </c>
      <c r="GR261" s="129">
        <v>0</v>
      </c>
      <c r="GS261" s="79" t="str">
        <f t="shared" si="909"/>
        <v>NA</v>
      </c>
      <c r="GT261" s="79" t="str">
        <f t="shared" si="910"/>
        <v>NA</v>
      </c>
      <c r="GU261" s="562"/>
      <c r="GV261" s="562"/>
      <c r="GW261"/>
      <c r="GX261"/>
      <c r="GY261"/>
      <c r="GZ261"/>
      <c r="HA261"/>
      <c r="HB261"/>
      <c r="HC261" s="562"/>
      <c r="HD261" s="562"/>
      <c r="HE261" s="562"/>
      <c r="HF261" s="562"/>
      <c r="HG261" s="562"/>
      <c r="HH261" s="562"/>
      <c r="HI261" s="562"/>
      <c r="HJ261" s="562"/>
      <c r="HK261" s="562"/>
      <c r="HL261" s="562"/>
      <c r="HM261" s="562"/>
      <c r="HN261" s="562"/>
      <c r="HO261" s="562"/>
      <c r="HP261" s="562"/>
      <c r="HQ261" s="562"/>
      <c r="HR261" s="562"/>
      <c r="HS261" s="562"/>
      <c r="HT261" s="562"/>
      <c r="HU261" s="562"/>
      <c r="HV261" s="562"/>
      <c r="HW261" s="562"/>
      <c r="HX261" s="562"/>
      <c r="HY261" s="562"/>
      <c r="HZ261" s="562"/>
      <c r="IA261" s="562"/>
      <c r="IB261" s="562"/>
      <c r="IC261" s="562"/>
      <c r="ID261" s="562"/>
      <c r="IE261" s="562"/>
      <c r="IF261" s="562"/>
      <c r="IG261" s="562"/>
      <c r="IH261" s="562"/>
      <c r="II261" s="562"/>
      <c r="IJ261" s="562"/>
      <c r="IK261" s="562"/>
      <c r="IL261" s="562"/>
      <c r="IM261" s="562"/>
      <c r="IN261" s="562"/>
      <c r="IO261" s="562"/>
      <c r="IP261" s="562"/>
      <c r="IQ261" s="562"/>
      <c r="IR261" s="562"/>
      <c r="IS261" s="562"/>
      <c r="IT261" s="562"/>
      <c r="IU261" s="562"/>
      <c r="IV261" s="562"/>
      <c r="IW261" s="562"/>
      <c r="IX261" s="562"/>
      <c r="IY261" s="562"/>
      <c r="IZ261" s="562"/>
      <c r="JA261" s="562"/>
      <c r="JB261" s="562"/>
      <c r="JC261" s="562"/>
      <c r="JD261" s="562"/>
      <c r="JE261" s="562"/>
      <c r="JF261" s="562"/>
      <c r="JG261" s="562"/>
      <c r="JH261" s="562"/>
      <c r="JI261" s="562"/>
      <c r="JJ261" s="562"/>
      <c r="JK261" s="562"/>
      <c r="JL261" s="562"/>
      <c r="JM261" s="562"/>
      <c r="JN261" s="562"/>
      <c r="JO261" s="562"/>
      <c r="JP261" s="562"/>
      <c r="JQ261" s="562"/>
      <c r="JR261" s="562"/>
      <c r="JS261" s="562"/>
      <c r="JT261" s="562"/>
      <c r="JU261" s="562"/>
      <c r="JV261" s="562"/>
      <c r="JW261" s="562"/>
      <c r="JX261" s="562"/>
      <c r="JY261" s="562"/>
      <c r="JZ261" s="562"/>
    </row>
    <row r="262" spans="1:286" s="132" customFormat="1" ht="12.75" customHeight="1" x14ac:dyDescent="0.2">
      <c r="A262" s="133"/>
      <c r="B262" s="2" t="s">
        <v>281</v>
      </c>
      <c r="C262" s="79"/>
      <c r="D262" s="79"/>
      <c r="E262" s="129"/>
      <c r="F262" s="129"/>
      <c r="G262" s="129"/>
      <c r="H262" s="129"/>
      <c r="I262" s="129"/>
      <c r="J262" s="129"/>
      <c r="K262" s="129"/>
      <c r="L262" s="79"/>
      <c r="M262" s="129">
        <v>8.6999999999999993</v>
      </c>
      <c r="N262" s="79" t="str">
        <f t="shared" si="827"/>
        <v>NA</v>
      </c>
      <c r="O262" s="129">
        <v>9.4</v>
      </c>
      <c r="P262" s="79" t="str">
        <f t="shared" si="828"/>
        <v>NA</v>
      </c>
      <c r="Q262" s="129">
        <v>9.1</v>
      </c>
      <c r="R262" s="79" t="str">
        <f t="shared" si="829"/>
        <v>NA</v>
      </c>
      <c r="S262" s="129">
        <v>7.7</v>
      </c>
      <c r="T262" s="79" t="str">
        <f t="shared" si="830"/>
        <v>NA</v>
      </c>
      <c r="U262" s="129">
        <v>8.4</v>
      </c>
      <c r="V262" s="79">
        <f t="shared" si="831"/>
        <v>-3.4482758620689502</v>
      </c>
      <c r="W262" s="129">
        <v>8.9</v>
      </c>
      <c r="X262" s="79">
        <f t="shared" si="832"/>
        <v>-5.3191489361702153</v>
      </c>
      <c r="Y262" s="129">
        <v>8.4</v>
      </c>
      <c r="Z262" s="79">
        <f t="shared" si="833"/>
        <v>-7.6923076923076872</v>
      </c>
      <c r="AA262" s="130">
        <v>7</v>
      </c>
      <c r="AB262" s="79">
        <f t="shared" si="834"/>
        <v>-9.0909090909090935</v>
      </c>
      <c r="AC262" s="129">
        <v>856.4</v>
      </c>
      <c r="AD262" s="79" t="str">
        <f t="shared" si="835"/>
        <v>NM</v>
      </c>
      <c r="AE262" s="129">
        <v>0</v>
      </c>
      <c r="AF262" s="79" t="str">
        <f t="shared" si="836"/>
        <v>NM</v>
      </c>
      <c r="AG262" s="129">
        <v>0</v>
      </c>
      <c r="AH262" s="79" t="str">
        <f t="shared" si="837"/>
        <v>NM</v>
      </c>
      <c r="AI262" s="129">
        <v>0</v>
      </c>
      <c r="AJ262" s="79" t="str">
        <f t="shared" si="838"/>
        <v>NM</v>
      </c>
      <c r="AK262" s="129">
        <v>0</v>
      </c>
      <c r="AL262" s="79" t="str">
        <f t="shared" si="839"/>
        <v>NM</v>
      </c>
      <c r="AM262" s="129">
        <v>0</v>
      </c>
      <c r="AN262" s="79" t="str">
        <f t="shared" si="840"/>
        <v>NA</v>
      </c>
      <c r="AO262" s="129">
        <v>0</v>
      </c>
      <c r="AP262" s="79" t="str">
        <f t="shared" si="841"/>
        <v>NA</v>
      </c>
      <c r="AQ262" s="129">
        <v>0</v>
      </c>
      <c r="AR262" s="79" t="str">
        <f t="shared" si="842"/>
        <v>NA</v>
      </c>
      <c r="AS262" s="129">
        <v>0</v>
      </c>
      <c r="AT262" s="81" t="str">
        <f t="shared" si="843"/>
        <v>NA</v>
      </c>
      <c r="AU262" s="129">
        <v>0</v>
      </c>
      <c r="AV262" s="81" t="str">
        <f t="shared" si="844"/>
        <v>NA</v>
      </c>
      <c r="AW262" s="129">
        <v>0</v>
      </c>
      <c r="AX262" s="81" t="str">
        <f t="shared" si="845"/>
        <v>NA</v>
      </c>
      <c r="AY262" s="129">
        <v>0</v>
      </c>
      <c r="AZ262" s="81" t="str">
        <f t="shared" si="846"/>
        <v>NA</v>
      </c>
      <c r="BA262" s="129">
        <v>0</v>
      </c>
      <c r="BB262" s="81" t="str">
        <f t="shared" si="847"/>
        <v>NA</v>
      </c>
      <c r="BC262" s="129">
        <v>0</v>
      </c>
      <c r="BD262" s="81" t="str">
        <f t="shared" si="848"/>
        <v>NA</v>
      </c>
      <c r="BE262" s="129">
        <v>0</v>
      </c>
      <c r="BF262" s="81" t="str">
        <f t="shared" si="849"/>
        <v>NA</v>
      </c>
      <c r="BG262" s="129">
        <v>0</v>
      </c>
      <c r="BH262" s="81" t="str">
        <f t="shared" si="850"/>
        <v>NA</v>
      </c>
      <c r="BI262" s="129">
        <v>0</v>
      </c>
      <c r="BJ262" s="81" t="str">
        <f t="shared" si="851"/>
        <v>NA</v>
      </c>
      <c r="BK262" s="129">
        <v>0</v>
      </c>
      <c r="BL262" s="81" t="str">
        <f t="shared" si="852"/>
        <v>NA</v>
      </c>
      <c r="BM262" s="129">
        <v>0</v>
      </c>
      <c r="BN262" s="81" t="str">
        <f t="shared" si="853"/>
        <v>NA</v>
      </c>
      <c r="BO262" s="129">
        <v>0</v>
      </c>
      <c r="BP262" s="81" t="str">
        <f t="shared" si="854"/>
        <v>NA</v>
      </c>
      <c r="BQ262" s="129">
        <v>0</v>
      </c>
      <c r="BR262" s="81" t="str">
        <f t="shared" si="855"/>
        <v>NA</v>
      </c>
      <c r="BS262" s="129">
        <v>0</v>
      </c>
      <c r="BT262" s="81" t="str">
        <f t="shared" si="856"/>
        <v>NA</v>
      </c>
      <c r="BU262" s="129">
        <v>0</v>
      </c>
      <c r="BV262" s="81" t="str">
        <f t="shared" si="857"/>
        <v>NA</v>
      </c>
      <c r="BW262" s="129">
        <v>0</v>
      </c>
      <c r="BX262" s="81" t="str">
        <f t="shared" si="858"/>
        <v>NA</v>
      </c>
      <c r="BY262" s="129">
        <v>0</v>
      </c>
      <c r="BZ262" s="81" t="str">
        <f t="shared" si="859"/>
        <v>NA</v>
      </c>
      <c r="CA262" s="129">
        <v>0</v>
      </c>
      <c r="CB262" s="81" t="str">
        <f t="shared" si="860"/>
        <v>NA</v>
      </c>
      <c r="CC262" s="129">
        <v>0</v>
      </c>
      <c r="CD262" s="81" t="str">
        <f t="shared" si="861"/>
        <v>NA</v>
      </c>
      <c r="CE262" s="129">
        <v>0</v>
      </c>
      <c r="CF262" s="81" t="str">
        <f t="shared" si="862"/>
        <v>NA</v>
      </c>
      <c r="CG262" s="129">
        <v>0</v>
      </c>
      <c r="CH262" s="81" t="str">
        <f t="shared" si="863"/>
        <v>NA</v>
      </c>
      <c r="CI262" s="129">
        <v>0</v>
      </c>
      <c r="CJ262" s="81" t="str">
        <f t="shared" si="864"/>
        <v>NA</v>
      </c>
      <c r="CK262" s="129">
        <v>0</v>
      </c>
      <c r="CL262" s="81" t="str">
        <f t="shared" si="865"/>
        <v>NA</v>
      </c>
      <c r="CM262" s="129">
        <v>0</v>
      </c>
      <c r="CN262" s="81" t="str">
        <f t="shared" si="866"/>
        <v>NA</v>
      </c>
      <c r="CO262" s="129">
        <v>0</v>
      </c>
      <c r="CP262" s="81" t="str">
        <f t="shared" si="867"/>
        <v>NA</v>
      </c>
      <c r="CQ262" s="129">
        <v>0</v>
      </c>
      <c r="CR262" s="81" t="str">
        <f t="shared" si="868"/>
        <v>NA</v>
      </c>
      <c r="CS262" s="129">
        <v>0</v>
      </c>
      <c r="CT262" s="81" t="str">
        <f t="shared" si="869"/>
        <v>NA</v>
      </c>
      <c r="CU262" s="129">
        <v>0</v>
      </c>
      <c r="CV262" s="81" t="str">
        <f t="shared" si="870"/>
        <v>NA</v>
      </c>
      <c r="CW262" s="129">
        <v>0</v>
      </c>
      <c r="CX262" s="81" t="str">
        <f t="shared" si="871"/>
        <v>NA</v>
      </c>
      <c r="CY262" s="129">
        <v>0</v>
      </c>
      <c r="CZ262" s="81" t="str">
        <f t="shared" si="872"/>
        <v>NA</v>
      </c>
      <c r="DA262" s="129">
        <v>0</v>
      </c>
      <c r="DB262" s="81" t="str">
        <f t="shared" si="873"/>
        <v>NA</v>
      </c>
      <c r="DC262" s="129">
        <v>0</v>
      </c>
      <c r="DD262" s="81" t="str">
        <f t="shared" si="874"/>
        <v>NA</v>
      </c>
      <c r="DE262" s="129">
        <v>0</v>
      </c>
      <c r="DF262" s="81" t="str">
        <f t="shared" si="875"/>
        <v>NA</v>
      </c>
      <c r="DG262" s="129">
        <v>0</v>
      </c>
      <c r="DH262" s="81" t="str">
        <f t="shared" si="876"/>
        <v>NA</v>
      </c>
      <c r="DI262" s="129">
        <v>0</v>
      </c>
      <c r="DJ262" s="81" t="str">
        <f t="shared" si="877"/>
        <v>NA</v>
      </c>
      <c r="DK262" s="129">
        <v>0</v>
      </c>
      <c r="DL262" s="81" t="str">
        <f t="shared" si="878"/>
        <v>NA</v>
      </c>
      <c r="DM262" s="129">
        <v>0</v>
      </c>
      <c r="DN262" s="81" t="str">
        <f t="shared" si="879"/>
        <v>NA</v>
      </c>
      <c r="DO262" s="129">
        <v>0</v>
      </c>
      <c r="DP262" s="81" t="str">
        <f t="shared" si="879"/>
        <v>NA</v>
      </c>
      <c r="DQ262" s="129">
        <v>0</v>
      </c>
      <c r="DR262" s="81" t="str">
        <f t="shared" si="880"/>
        <v>NA</v>
      </c>
      <c r="DS262" s="129">
        <v>0</v>
      </c>
      <c r="DT262" s="81" t="str">
        <f t="shared" si="881"/>
        <v>NA</v>
      </c>
      <c r="DU262" s="129">
        <v>0</v>
      </c>
      <c r="DV262" s="81" t="str">
        <f t="shared" si="882"/>
        <v>NA</v>
      </c>
      <c r="DW262" s="129">
        <v>0</v>
      </c>
      <c r="DX262" s="81" t="str">
        <f t="shared" si="883"/>
        <v>NA</v>
      </c>
      <c r="DY262" s="129">
        <v>0</v>
      </c>
      <c r="DZ262" s="81" t="str">
        <f t="shared" si="884"/>
        <v>NA</v>
      </c>
      <c r="EA262" s="129">
        <v>0</v>
      </c>
      <c r="EB262" s="81" t="str">
        <f t="shared" si="885"/>
        <v>NA</v>
      </c>
      <c r="EC262" s="129">
        <v>0</v>
      </c>
      <c r="ED262" s="81" t="str">
        <f t="shared" si="886"/>
        <v>NA</v>
      </c>
      <c r="EE262" s="129">
        <v>0</v>
      </c>
      <c r="EF262" s="81" t="str">
        <f t="shared" si="887"/>
        <v>NA</v>
      </c>
      <c r="EG262" s="129">
        <v>0</v>
      </c>
      <c r="EH262" s="81" t="str">
        <f t="shared" si="888"/>
        <v>NA</v>
      </c>
      <c r="EI262" s="129">
        <v>0</v>
      </c>
      <c r="EJ262" s="81" t="str">
        <f t="shared" si="889"/>
        <v>NA</v>
      </c>
      <c r="EK262" s="129">
        <v>0</v>
      </c>
      <c r="EL262" s="81" t="str">
        <f t="shared" si="891"/>
        <v>NA</v>
      </c>
      <c r="EM262" s="129">
        <v>0</v>
      </c>
      <c r="EN262" s="81" t="str">
        <f t="shared" si="892"/>
        <v>NA</v>
      </c>
      <c r="EO262" s="129">
        <v>0</v>
      </c>
      <c r="EP262" s="81" t="str">
        <f t="shared" si="893"/>
        <v>NA</v>
      </c>
      <c r="EQ262" s="129">
        <v>0</v>
      </c>
      <c r="ER262" s="81" t="str">
        <f t="shared" si="894"/>
        <v>NA</v>
      </c>
      <c r="ES262" s="129"/>
      <c r="ET262" s="469"/>
      <c r="EU262" s="129"/>
      <c r="EV262" s="129"/>
      <c r="EW262" s="265"/>
      <c r="EX262" s="129"/>
      <c r="EY262" s="265"/>
      <c r="EZ262" s="82"/>
      <c r="FA262" s="265"/>
      <c r="FB262" s="35"/>
      <c r="FC262" s="265"/>
      <c r="FD262" s="35">
        <f>+S262+Q262+O262+M262</f>
        <v>34.900000000000006</v>
      </c>
      <c r="FE262" s="265" t="str">
        <f t="shared" si="895"/>
        <v>NA</v>
      </c>
      <c r="FF262" s="35">
        <f>+AA262+Y262+W262+U262</f>
        <v>32.700000000000003</v>
      </c>
      <c r="FG262" s="265">
        <f t="shared" si="896"/>
        <v>-6.3037249283667718</v>
      </c>
      <c r="FH262" s="35">
        <f t="shared" si="897"/>
        <v>856.4</v>
      </c>
      <c r="FI262" s="265" t="str">
        <f t="shared" si="898"/>
        <v>NM</v>
      </c>
      <c r="FJ262" s="35">
        <f t="shared" si="899"/>
        <v>0</v>
      </c>
      <c r="FK262" s="265" t="str">
        <f t="shared" si="900"/>
        <v>NM</v>
      </c>
      <c r="FL262" s="78">
        <f>AS262+AU262+AW262+AY262</f>
        <v>0</v>
      </c>
      <c r="FM262" s="265" t="str">
        <f t="shared" si="901"/>
        <v>NA</v>
      </c>
      <c r="FN262" s="78">
        <f>BA262+BC262+BE262+BG262</f>
        <v>0</v>
      </c>
      <c r="FO262" s="265" t="str">
        <f t="shared" si="902"/>
        <v>NA</v>
      </c>
      <c r="FP262" s="78">
        <f>BI262+BK262+BM262+BO262</f>
        <v>0</v>
      </c>
      <c r="FQ262" s="265" t="str">
        <f t="shared" si="903"/>
        <v>NA</v>
      </c>
      <c r="FR262" s="129">
        <f>BQ262+BS262+BU262+BW262</f>
        <v>0</v>
      </c>
      <c r="FS262" s="265" t="str">
        <f t="shared" si="904"/>
        <v>NA</v>
      </c>
      <c r="FT262" s="35">
        <f>BY262+CA262+CC262+CE262</f>
        <v>0</v>
      </c>
      <c r="FU262" s="265" t="str">
        <f t="shared" si="905"/>
        <v>NA</v>
      </c>
      <c r="FV262" s="35">
        <f>CG262+CI262+CK262+CM262</f>
        <v>0</v>
      </c>
      <c r="FW262" s="265" t="str">
        <f t="shared" si="906"/>
        <v>NA</v>
      </c>
      <c r="FX262" s="35">
        <f>CO262+CQ262+CS262+CU262</f>
        <v>0</v>
      </c>
      <c r="FY262" s="265" t="str">
        <f t="shared" si="907"/>
        <v>NA</v>
      </c>
      <c r="FZ262" s="35">
        <f>CW262+CY262+DA262+DC262</f>
        <v>0</v>
      </c>
      <c r="GA262" s="79" t="str">
        <f t="shared" si="908"/>
        <v>NA</v>
      </c>
      <c r="GB262" s="35">
        <f>DE262+DG262+DI262+DK262</f>
        <v>0</v>
      </c>
      <c r="GC262" s="79" t="str">
        <f t="shared" si="908"/>
        <v>NA</v>
      </c>
      <c r="GD262" s="35">
        <f>DM262+DO262+DQ262+DS262</f>
        <v>0</v>
      </c>
      <c r="GE262" s="79" t="str">
        <f t="shared" si="908"/>
        <v>NA</v>
      </c>
      <c r="GF262" s="35">
        <f>DU262+DW262+DY262+EA262</f>
        <v>0</v>
      </c>
      <c r="GG262" s="79" t="str">
        <f t="shared" si="908"/>
        <v>NA</v>
      </c>
      <c r="GH262" s="35">
        <f>EC262+EE262+EG262+EI262</f>
        <v>0</v>
      </c>
      <c r="GI262" s="79" t="str">
        <f t="shared" si="908"/>
        <v>NA</v>
      </c>
      <c r="GJ262" s="35">
        <f>EK262+EM262+EO262+EQ262</f>
        <v>0</v>
      </c>
      <c r="GK262" s="79" t="str">
        <f t="shared" si="908"/>
        <v>NA</v>
      </c>
      <c r="GL262" s="129">
        <v>0</v>
      </c>
      <c r="GM262" s="79" t="str">
        <f t="shared" si="908"/>
        <v>NA</v>
      </c>
      <c r="GN262" s="129">
        <v>0</v>
      </c>
      <c r="GO262" s="79" t="str">
        <f t="shared" si="908"/>
        <v>NA</v>
      </c>
      <c r="GP262" s="129">
        <v>0</v>
      </c>
      <c r="GQ262" s="79" t="str">
        <f t="shared" si="908"/>
        <v>NA</v>
      </c>
      <c r="GR262" s="129">
        <v>0</v>
      </c>
      <c r="GS262" s="79" t="str">
        <f t="shared" si="909"/>
        <v>NA</v>
      </c>
      <c r="GT262" s="79" t="str">
        <f t="shared" si="910"/>
        <v>NA</v>
      </c>
      <c r="GU262" s="562"/>
      <c r="GV262" s="562"/>
      <c r="GW262"/>
      <c r="GX262"/>
      <c r="GY262"/>
      <c r="GZ262"/>
      <c r="HA262"/>
      <c r="HB262"/>
      <c r="HC262" s="562"/>
      <c r="HD262" s="562"/>
      <c r="HE262" s="562"/>
      <c r="HF262" s="562"/>
      <c r="HG262" s="562"/>
      <c r="HH262" s="562"/>
      <c r="HI262" s="562"/>
      <c r="HJ262" s="562"/>
      <c r="HK262" s="562"/>
      <c r="HL262" s="562"/>
      <c r="HM262" s="562"/>
      <c r="HN262" s="562"/>
      <c r="HO262" s="562"/>
      <c r="HP262" s="562"/>
      <c r="HQ262" s="562"/>
      <c r="HR262" s="562"/>
      <c r="HS262" s="562"/>
      <c r="HT262" s="562"/>
      <c r="HU262" s="562"/>
      <c r="HV262" s="562"/>
      <c r="HW262" s="562"/>
      <c r="HX262" s="562"/>
      <c r="HY262" s="562"/>
      <c r="HZ262" s="562"/>
      <c r="IA262" s="562"/>
      <c r="IB262" s="562"/>
      <c r="IC262" s="562"/>
      <c r="ID262" s="562"/>
      <c r="IE262" s="562"/>
      <c r="IF262" s="562"/>
      <c r="IG262" s="562"/>
      <c r="IH262" s="562"/>
      <c r="II262" s="562"/>
      <c r="IJ262" s="562"/>
      <c r="IK262" s="562"/>
      <c r="IL262" s="562"/>
      <c r="IM262" s="562"/>
      <c r="IN262" s="562"/>
      <c r="IO262" s="562"/>
      <c r="IP262" s="562"/>
      <c r="IQ262" s="562"/>
      <c r="IR262" s="562"/>
      <c r="IS262" s="562"/>
      <c r="IT262" s="562"/>
      <c r="IU262" s="562"/>
      <c r="IV262" s="562"/>
      <c r="IW262" s="562"/>
      <c r="IX262" s="562"/>
      <c r="IY262" s="562"/>
      <c r="IZ262" s="562"/>
      <c r="JA262" s="562"/>
      <c r="JB262" s="562"/>
      <c r="JC262" s="562"/>
      <c r="JD262" s="562"/>
      <c r="JE262" s="562"/>
      <c r="JF262" s="562"/>
      <c r="JG262" s="562"/>
      <c r="JH262" s="562"/>
      <c r="JI262" s="562"/>
      <c r="JJ262" s="562"/>
      <c r="JK262" s="562"/>
      <c r="JL262" s="562"/>
      <c r="JM262" s="562"/>
      <c r="JN262" s="562"/>
      <c r="JO262" s="562"/>
      <c r="JP262" s="562"/>
      <c r="JQ262" s="562"/>
      <c r="JR262" s="562"/>
      <c r="JS262" s="562"/>
      <c r="JT262" s="562"/>
      <c r="JU262" s="562"/>
      <c r="JV262" s="562"/>
      <c r="JW262" s="562"/>
      <c r="JX262" s="562"/>
      <c r="JY262" s="562"/>
      <c r="JZ262" s="562"/>
    </row>
    <row r="263" spans="1:286" s="132" customFormat="1" ht="12.75" customHeight="1" x14ac:dyDescent="0.2">
      <c r="A263" s="133"/>
      <c r="B263" s="2" t="s">
        <v>132</v>
      </c>
      <c r="C263" s="79"/>
      <c r="D263" s="79"/>
      <c r="E263" s="129"/>
      <c r="F263" s="129"/>
      <c r="L263" s="79"/>
      <c r="M263" s="129">
        <v>59</v>
      </c>
      <c r="N263" s="79" t="str">
        <f t="shared" si="827"/>
        <v>NA</v>
      </c>
      <c r="O263" s="129">
        <v>51.1</v>
      </c>
      <c r="P263" s="79" t="str">
        <f t="shared" si="828"/>
        <v>NA</v>
      </c>
      <c r="Q263" s="129">
        <v>52.7</v>
      </c>
      <c r="R263" s="79" t="str">
        <f t="shared" si="829"/>
        <v>NA</v>
      </c>
      <c r="S263" s="129">
        <v>49.6</v>
      </c>
      <c r="T263" s="79" t="str">
        <f t="shared" si="830"/>
        <v>NA</v>
      </c>
      <c r="U263" s="129">
        <v>53</v>
      </c>
      <c r="V263" s="79">
        <f t="shared" si="831"/>
        <v>-10.169491525423723</v>
      </c>
      <c r="W263" s="129">
        <v>52.3</v>
      </c>
      <c r="X263" s="79">
        <f t="shared" si="832"/>
        <v>2.3483365949119372</v>
      </c>
      <c r="Y263" s="129">
        <v>50.6</v>
      </c>
      <c r="Z263" s="79">
        <f t="shared" si="833"/>
        <v>-3.9848197343453573</v>
      </c>
      <c r="AA263" s="130">
        <v>44.6</v>
      </c>
      <c r="AB263" s="79">
        <f t="shared" si="834"/>
        <v>-10.080645161290324</v>
      </c>
      <c r="AC263" s="129">
        <v>40.9</v>
      </c>
      <c r="AD263" s="79">
        <f t="shared" si="835"/>
        <v>-22.830188679245289</v>
      </c>
      <c r="AE263" s="129">
        <v>39.5</v>
      </c>
      <c r="AF263" s="79">
        <f t="shared" si="836"/>
        <v>-24.474187380497124</v>
      </c>
      <c r="AG263" s="129">
        <v>36.700000000000003</v>
      </c>
      <c r="AH263" s="79">
        <f t="shared" si="837"/>
        <v>-27.470355731225293</v>
      </c>
      <c r="AI263" s="129">
        <v>40.1</v>
      </c>
      <c r="AJ263" s="79">
        <f t="shared" si="838"/>
        <v>-10.089686098654704</v>
      </c>
      <c r="AK263" s="129">
        <v>33.5</v>
      </c>
      <c r="AL263" s="79">
        <f t="shared" si="839"/>
        <v>-18.092909535452318</v>
      </c>
      <c r="AM263" s="129">
        <v>41.3</v>
      </c>
      <c r="AN263" s="79">
        <f t="shared" si="840"/>
        <v>4.5569620253164578</v>
      </c>
      <c r="AO263" s="129">
        <f>47.2-11.2</f>
        <v>36</v>
      </c>
      <c r="AP263" s="79">
        <f t="shared" si="841"/>
        <v>-1.9073569482288888</v>
      </c>
      <c r="AQ263" s="129">
        <v>37.4</v>
      </c>
      <c r="AR263" s="79">
        <f t="shared" si="842"/>
        <v>-6.7331670822942673</v>
      </c>
      <c r="AS263" s="129">
        <v>33.9</v>
      </c>
      <c r="AT263" s="81">
        <f t="shared" si="843"/>
        <v>1.1940298507462588</v>
      </c>
      <c r="AU263" s="129">
        <v>35</v>
      </c>
      <c r="AV263" s="81">
        <f t="shared" si="844"/>
        <v>-15.254237288135586</v>
      </c>
      <c r="AW263" s="129">
        <v>34.700000000000003</v>
      </c>
      <c r="AX263" s="81">
        <f t="shared" si="845"/>
        <v>-3.6111111111110983</v>
      </c>
      <c r="AY263" s="129">
        <v>35.799999999999997</v>
      </c>
      <c r="AZ263" s="81">
        <f t="shared" si="846"/>
        <v>-4.2780748663101669</v>
      </c>
      <c r="BA263" s="129">
        <v>35.799999999999997</v>
      </c>
      <c r="BB263" s="81">
        <f t="shared" si="847"/>
        <v>5.6047197640118007</v>
      </c>
      <c r="BC263" s="129">
        <v>31.2</v>
      </c>
      <c r="BD263" s="81">
        <f t="shared" si="848"/>
        <v>-10.857142857142854</v>
      </c>
      <c r="BE263" s="129">
        <v>34.299999999999997</v>
      </c>
      <c r="BF263" s="81">
        <f t="shared" si="849"/>
        <v>-1.1527377521614035</v>
      </c>
      <c r="BG263" s="129">
        <f>38+8.3+0.5</f>
        <v>46.8</v>
      </c>
      <c r="BH263" s="81">
        <f t="shared" si="850"/>
        <v>30.72625698324023</v>
      </c>
      <c r="BI263" s="129">
        <f>35.9+10.9+0.1</f>
        <v>46.9</v>
      </c>
      <c r="BJ263" s="81">
        <f t="shared" si="851"/>
        <v>31.00558659217878</v>
      </c>
      <c r="BK263" s="129">
        <f>36.2+9.2+0.1</f>
        <v>45.500000000000007</v>
      </c>
      <c r="BL263" s="81">
        <f t="shared" si="852"/>
        <v>45.833333333333371</v>
      </c>
      <c r="BM263" s="129">
        <f>40.1+8+0.2</f>
        <v>48.300000000000004</v>
      </c>
      <c r="BN263" s="81">
        <f t="shared" si="853"/>
        <v>40.816326530612265</v>
      </c>
      <c r="BO263" s="129">
        <f>35.5+7</f>
        <v>42.5</v>
      </c>
      <c r="BP263" s="81">
        <f t="shared" si="854"/>
        <v>-9.1880341880341767</v>
      </c>
      <c r="BQ263" s="129">
        <f>34.3+5.8</f>
        <v>40.099999999999994</v>
      </c>
      <c r="BR263" s="81">
        <f t="shared" si="855"/>
        <v>-14.498933901918987</v>
      </c>
      <c r="BS263" s="129">
        <f>35.8+4.3</f>
        <v>40.099999999999994</v>
      </c>
      <c r="BT263" s="81">
        <f t="shared" si="856"/>
        <v>-11.868131868131893</v>
      </c>
      <c r="BU263" s="129">
        <f>3.4+35.7</f>
        <v>39.1</v>
      </c>
      <c r="BV263" s="81">
        <f t="shared" si="857"/>
        <v>-19.047619047619047</v>
      </c>
      <c r="BW263" s="129">
        <f>35.5+3.1</f>
        <v>38.6</v>
      </c>
      <c r="BX263" s="81">
        <f t="shared" si="858"/>
        <v>-9.1764705882352864</v>
      </c>
      <c r="BY263" s="129">
        <f>51.4+2.8</f>
        <v>54.199999999999996</v>
      </c>
      <c r="BZ263" s="81">
        <f t="shared" si="859"/>
        <v>35.162094763092291</v>
      </c>
      <c r="CA263" s="129">
        <f>61.7+3</f>
        <v>64.7</v>
      </c>
      <c r="CB263" s="81">
        <f t="shared" si="860"/>
        <v>61.346633416458872</v>
      </c>
      <c r="CC263" s="129">
        <f>46.8+3.1</f>
        <v>49.9</v>
      </c>
      <c r="CD263" s="81">
        <f t="shared" si="861"/>
        <v>27.621483375959066</v>
      </c>
      <c r="CE263" s="129">
        <f>48+2.8</f>
        <v>50.8</v>
      </c>
      <c r="CF263" s="81">
        <f t="shared" si="862"/>
        <v>31.606217616580288</v>
      </c>
      <c r="CG263" s="129">
        <f>45.8+2.7</f>
        <v>48.5</v>
      </c>
      <c r="CH263" s="81">
        <f t="shared" si="863"/>
        <v>-10.516605166051651</v>
      </c>
      <c r="CI263" s="129">
        <f>2.6+45.7</f>
        <v>48.300000000000004</v>
      </c>
      <c r="CJ263" s="81">
        <f t="shared" si="864"/>
        <v>-25.347758887171558</v>
      </c>
      <c r="CK263" s="129">
        <f>2.6+44.4</f>
        <v>47</v>
      </c>
      <c r="CL263" s="81">
        <f t="shared" si="865"/>
        <v>-5.8116232464929807</v>
      </c>
      <c r="CM263" s="129">
        <f>2.6+44.1</f>
        <v>46.7</v>
      </c>
      <c r="CN263" s="81">
        <f t="shared" si="866"/>
        <v>-8.0708661417322691</v>
      </c>
      <c r="CO263" s="129">
        <f>2.7+45.1</f>
        <v>47.800000000000004</v>
      </c>
      <c r="CP263" s="81">
        <f t="shared" si="867"/>
        <v>-1.4432989690721598</v>
      </c>
      <c r="CQ263" s="129">
        <f>2.7+42.3</f>
        <v>45</v>
      </c>
      <c r="CR263" s="81">
        <f t="shared" si="868"/>
        <v>-6.8322981366459761</v>
      </c>
      <c r="CS263" s="129">
        <f>2.5+39.8</f>
        <v>42.3</v>
      </c>
      <c r="CT263" s="81">
        <f t="shared" si="869"/>
        <v>-10.000000000000009</v>
      </c>
      <c r="CU263" s="129">
        <f>40.5+2.5</f>
        <v>43</v>
      </c>
      <c r="CV263" s="81">
        <f t="shared" si="870"/>
        <v>-7.9229122055674566</v>
      </c>
      <c r="CW263" s="129">
        <f>40.7+2.2</f>
        <v>42.900000000000006</v>
      </c>
      <c r="CX263" s="81">
        <f t="shared" si="871"/>
        <v>-10.251046025104593</v>
      </c>
      <c r="CY263" s="129">
        <f>2.1+38.9</f>
        <v>41</v>
      </c>
      <c r="CZ263" s="81">
        <f t="shared" si="872"/>
        <v>-8.8888888888888911</v>
      </c>
      <c r="DA263" s="129">
        <f>40+2.1</f>
        <v>42.1</v>
      </c>
      <c r="DB263" s="81">
        <f t="shared" si="873"/>
        <v>-0.47281323877067516</v>
      </c>
      <c r="DC263" s="129">
        <f>40.8+2</f>
        <v>42.8</v>
      </c>
      <c r="DD263" s="81">
        <f t="shared" si="874"/>
        <v>-0.46511627906977715</v>
      </c>
      <c r="DE263" s="129">
        <f>1.9+43.1</f>
        <v>45</v>
      </c>
      <c r="DF263" s="81">
        <f t="shared" si="875"/>
        <v>4.8951048951048737</v>
      </c>
      <c r="DG263" s="129">
        <f>1.8+41.6</f>
        <v>43.4</v>
      </c>
      <c r="DH263" s="81">
        <f t="shared" si="876"/>
        <v>5.8536585365853711</v>
      </c>
      <c r="DI263" s="129">
        <f>1.8+40.7</f>
        <v>42.5</v>
      </c>
      <c r="DJ263" s="81">
        <f t="shared" si="877"/>
        <v>0.95011876484560887</v>
      </c>
      <c r="DK263" s="129">
        <f>1.8+42.8</f>
        <v>44.599999999999994</v>
      </c>
      <c r="DL263" s="81">
        <f t="shared" si="878"/>
        <v>4.2056074766354978</v>
      </c>
      <c r="DM263" s="129">
        <f>1.7+41.8</f>
        <v>43.5</v>
      </c>
      <c r="DN263" s="81">
        <f t="shared" si="879"/>
        <v>-3.3333333333333326</v>
      </c>
      <c r="DO263" s="129">
        <f>1.7+42</f>
        <v>43.7</v>
      </c>
      <c r="DP263" s="81">
        <f t="shared" si="879"/>
        <v>0.69124423963133896</v>
      </c>
      <c r="DQ263" s="129">
        <f>1.6+40.3</f>
        <v>41.9</v>
      </c>
      <c r="DR263" s="81">
        <f t="shared" si="880"/>
        <v>-1.4117647058823568</v>
      </c>
      <c r="DS263" s="129">
        <f>1.6+40</f>
        <v>41.6</v>
      </c>
      <c r="DT263" s="81">
        <f t="shared" si="881"/>
        <v>-6.7264573991031256</v>
      </c>
      <c r="DU263" s="129">
        <f>1.7+38</f>
        <v>39.700000000000003</v>
      </c>
      <c r="DV263" s="81">
        <f t="shared" si="882"/>
        <v>-8.735632183908038</v>
      </c>
      <c r="DW263" s="129">
        <f>1.7+38.5</f>
        <v>40.200000000000003</v>
      </c>
      <c r="DX263" s="81">
        <f t="shared" si="883"/>
        <v>-8.0091533180778001</v>
      </c>
      <c r="DY263" s="129">
        <f>1.7+38.2</f>
        <v>39.900000000000006</v>
      </c>
      <c r="DZ263" s="81">
        <f t="shared" si="884"/>
        <v>-4.7732696897374582</v>
      </c>
      <c r="EA263" s="129">
        <f>1.8+40</f>
        <v>41.8</v>
      </c>
      <c r="EB263" s="81">
        <f t="shared" si="885"/>
        <v>0.48076923076922906</v>
      </c>
      <c r="EC263" s="129">
        <f>1.7+38</f>
        <v>39.700000000000003</v>
      </c>
      <c r="ED263" s="81">
        <f t="shared" si="886"/>
        <v>0</v>
      </c>
      <c r="EE263" s="129">
        <f>1.7+37.3</f>
        <v>39</v>
      </c>
      <c r="EF263" s="81">
        <f t="shared" si="887"/>
        <v>-2.9850746268656803</v>
      </c>
      <c r="EG263" s="129">
        <f>1.7+37.2</f>
        <v>38.900000000000006</v>
      </c>
      <c r="EH263" s="81">
        <f t="shared" si="888"/>
        <v>-2.5062656641604009</v>
      </c>
      <c r="EI263" s="129">
        <f>1.6+38.1</f>
        <v>39.700000000000003</v>
      </c>
      <c r="EJ263" s="81">
        <f t="shared" si="889"/>
        <v>-5.0239234449760639</v>
      </c>
      <c r="EK263" s="35">
        <f t="shared" ref="EK263:EQ263" si="912">EK273/100*EK256</f>
        <v>39.362149773366689</v>
      </c>
      <c r="EL263" s="81">
        <f t="shared" si="891"/>
        <v>-0.85100812753983179</v>
      </c>
      <c r="EM263" s="35">
        <f t="shared" si="912"/>
        <v>39.095658458483122</v>
      </c>
      <c r="EN263" s="81">
        <f t="shared" si="892"/>
        <v>0.24527809867467276</v>
      </c>
      <c r="EO263" s="35">
        <f t="shared" si="912"/>
        <v>38.830996551194978</v>
      </c>
      <c r="EP263" s="81">
        <f t="shared" si="893"/>
        <v>-0.17738675785353708</v>
      </c>
      <c r="EQ263" s="35">
        <f t="shared" si="912"/>
        <v>38.568151331250959</v>
      </c>
      <c r="ER263" s="81">
        <f t="shared" si="894"/>
        <v>-2.8510042033980887</v>
      </c>
      <c r="ES263" s="129"/>
      <c r="ET263" s="469"/>
      <c r="EU263" s="129"/>
      <c r="EV263" s="95"/>
      <c r="EW263" s="79"/>
      <c r="EX263" s="95"/>
      <c r="EY263" s="79"/>
      <c r="EZ263" s="131"/>
      <c r="FA263" s="79"/>
      <c r="FB263" s="35"/>
      <c r="FC263" s="79"/>
      <c r="FD263" s="35">
        <f>+S263+Q263+O263+M263</f>
        <v>212.4</v>
      </c>
      <c r="FE263" s="79" t="str">
        <f t="shared" si="895"/>
        <v>NA</v>
      </c>
      <c r="FF263" s="35">
        <f>+AA263+Y263+W263+U263</f>
        <v>200.5</v>
      </c>
      <c r="FG263" s="79">
        <f t="shared" si="896"/>
        <v>-5.6026365348399221</v>
      </c>
      <c r="FH263" s="35">
        <f t="shared" si="897"/>
        <v>157.20000000000002</v>
      </c>
      <c r="FI263" s="79">
        <f t="shared" si="898"/>
        <v>-21.596009975062337</v>
      </c>
      <c r="FJ263" s="35">
        <f t="shared" si="899"/>
        <v>148.19999999999999</v>
      </c>
      <c r="FK263" s="79">
        <f t="shared" si="900"/>
        <v>-5.7251908396946716</v>
      </c>
      <c r="FL263" s="78">
        <f>AS263+AU263+AW263+AY263</f>
        <v>139.4</v>
      </c>
      <c r="FM263" s="79">
        <f t="shared" si="901"/>
        <v>-5.937921727395401</v>
      </c>
      <c r="FN263" s="78">
        <f>BA263+BC263+BE263+BG263</f>
        <v>148.1</v>
      </c>
      <c r="FO263" s="79">
        <f t="shared" si="902"/>
        <v>6.2410329985652657</v>
      </c>
      <c r="FP263" s="78">
        <f>BI263+BK263+BM263+BO263</f>
        <v>183.20000000000002</v>
      </c>
      <c r="FQ263" s="79">
        <f t="shared" si="903"/>
        <v>23.700202565833916</v>
      </c>
      <c r="FR263" s="129">
        <f>16.6+211.2</f>
        <v>227.79999999999998</v>
      </c>
      <c r="FS263" s="79">
        <f t="shared" si="904"/>
        <v>24.344978165938834</v>
      </c>
      <c r="FT263" s="35">
        <f>BY263+CA263+CC263+CE263</f>
        <v>219.60000000000002</v>
      </c>
      <c r="FU263" s="79">
        <f t="shared" si="905"/>
        <v>-3.5996488147497674</v>
      </c>
      <c r="FV263" s="35">
        <f>CG263+CI263+CK263+CM263</f>
        <v>190.5</v>
      </c>
      <c r="FW263" s="79">
        <f t="shared" si="906"/>
        <v>-13.251366120218588</v>
      </c>
      <c r="FX263" s="35">
        <f>CO263+CQ263+CS263+CU263</f>
        <v>178.10000000000002</v>
      </c>
      <c r="FY263" s="79">
        <f t="shared" si="907"/>
        <v>-6.5091863517060204</v>
      </c>
      <c r="FZ263" s="35">
        <f>CW263+CY263+DA263+DC263</f>
        <v>168.8</v>
      </c>
      <c r="GA263" s="79">
        <f t="shared" si="908"/>
        <v>-5.2217855137563269</v>
      </c>
      <c r="GB263" s="35">
        <f>DE263+DG263+DI263+DK263</f>
        <v>175.5</v>
      </c>
      <c r="GC263" s="79">
        <f t="shared" si="908"/>
        <v>3.9691943127962093</v>
      </c>
      <c r="GD263" s="35">
        <f>DM263+DO263+DQ263+DS263</f>
        <v>170.7</v>
      </c>
      <c r="GE263" s="79">
        <f t="shared" si="908"/>
        <v>-2.7350427350427364</v>
      </c>
      <c r="GF263" s="35">
        <f>DU263+DW263+DY263+EA263</f>
        <v>161.60000000000002</v>
      </c>
      <c r="GG263" s="79">
        <f t="shared" si="908"/>
        <v>-5.330990041007599</v>
      </c>
      <c r="GH263" s="35">
        <f>EC263+EE263+EG263+EI263</f>
        <v>157.30000000000001</v>
      </c>
      <c r="GI263" s="79">
        <f t="shared" si="908"/>
        <v>-2.6608910891089188</v>
      </c>
      <c r="GJ263" s="35">
        <f>EK263+EM263+EO263+EQ263</f>
        <v>155.85695611429574</v>
      </c>
      <c r="GK263" s="79">
        <f t="shared" si="908"/>
        <v>-0.91738327126781316</v>
      </c>
      <c r="GL263" s="35">
        <f>GL273/100*GL256</f>
        <v>151.2300254163971</v>
      </c>
      <c r="GM263" s="79">
        <f t="shared" si="908"/>
        <v>-2.9687033631694559</v>
      </c>
      <c r="GN263" s="35">
        <f>GN273/100*GN256</f>
        <v>146.7409270797248</v>
      </c>
      <c r="GO263" s="79">
        <f t="shared" si="908"/>
        <v>-2.9683909159652688</v>
      </c>
      <c r="GP263" s="35">
        <f>GP273/100*GP256</f>
        <v>142.3855456446363</v>
      </c>
      <c r="GQ263" s="79">
        <f t="shared" si="908"/>
        <v>-2.9680754522712016</v>
      </c>
      <c r="GR263" s="35">
        <f>GR273/100*GR256</f>
        <v>138.1598887250544</v>
      </c>
      <c r="GS263" s="79">
        <f t="shared" si="909"/>
        <v>-2.9677569450260233</v>
      </c>
      <c r="GT263" s="79">
        <f t="shared" si="910"/>
        <v>-2.5614863676550637</v>
      </c>
      <c r="GU263" s="562"/>
      <c r="GV263" s="562"/>
      <c r="GW263"/>
      <c r="GX263"/>
      <c r="GY263"/>
      <c r="GZ263"/>
      <c r="HA263"/>
      <c r="HB263"/>
      <c r="HC263" s="562"/>
      <c r="HD263" s="562"/>
      <c r="HE263" s="562"/>
      <c r="HF263" s="562"/>
      <c r="HG263" s="562"/>
      <c r="HH263" s="562"/>
      <c r="HI263" s="562"/>
      <c r="HJ263" s="562"/>
      <c r="HK263" s="562"/>
      <c r="HL263" s="562"/>
      <c r="HM263" s="562"/>
      <c r="HN263" s="562"/>
      <c r="HO263" s="562"/>
      <c r="HP263" s="562"/>
      <c r="HQ263" s="562"/>
      <c r="HR263" s="562"/>
      <c r="HS263" s="562"/>
      <c r="HT263" s="562"/>
      <c r="HU263" s="562"/>
      <c r="HV263" s="562"/>
      <c r="HW263" s="562"/>
      <c r="HX263" s="562"/>
      <c r="HY263" s="562"/>
      <c r="HZ263" s="562"/>
      <c r="IA263" s="562"/>
      <c r="IB263" s="562"/>
      <c r="IC263" s="562"/>
      <c r="ID263" s="562"/>
      <c r="IE263" s="562"/>
      <c r="IF263" s="562"/>
      <c r="IG263" s="562"/>
      <c r="IH263" s="562"/>
      <c r="II263" s="562"/>
      <c r="IJ263" s="562"/>
      <c r="IK263" s="562"/>
      <c r="IL263" s="562"/>
      <c r="IM263" s="562"/>
      <c r="IN263" s="562"/>
      <c r="IO263" s="562"/>
      <c r="IP263" s="562"/>
      <c r="IQ263" s="562"/>
      <c r="IR263" s="562"/>
      <c r="IS263" s="562"/>
      <c r="IT263" s="562"/>
      <c r="IU263" s="562"/>
      <c r="IV263" s="562"/>
      <c r="IW263" s="562"/>
      <c r="IX263" s="562"/>
      <c r="IY263" s="562"/>
      <c r="IZ263" s="562"/>
      <c r="JA263" s="562"/>
      <c r="JB263" s="562"/>
      <c r="JC263" s="562"/>
      <c r="JD263" s="562"/>
      <c r="JE263" s="562"/>
      <c r="JF263" s="562"/>
      <c r="JG263" s="562"/>
      <c r="JH263" s="562"/>
      <c r="JI263" s="562"/>
      <c r="JJ263" s="562"/>
      <c r="JK263" s="562"/>
      <c r="JL263" s="562"/>
      <c r="JM263" s="562"/>
      <c r="JN263" s="562"/>
      <c r="JO263" s="562"/>
      <c r="JP263" s="562"/>
      <c r="JQ263" s="562"/>
      <c r="JR263" s="562"/>
      <c r="JS263" s="562"/>
      <c r="JT263" s="562"/>
      <c r="JU263" s="562"/>
      <c r="JV263" s="562"/>
      <c r="JW263" s="562"/>
      <c r="JX263" s="562"/>
      <c r="JY263" s="562"/>
      <c r="JZ263" s="562"/>
    </row>
    <row r="264" spans="1:286" s="143" customFormat="1" ht="12.75" customHeight="1" x14ac:dyDescent="0.2">
      <c r="A264" s="134"/>
      <c r="B264" s="68" t="s">
        <v>57</v>
      </c>
      <c r="C264" s="140"/>
      <c r="D264" s="140"/>
      <c r="E264" s="139"/>
      <c r="F264" s="139"/>
      <c r="G264" s="139"/>
      <c r="H264" s="139"/>
      <c r="I264" s="139"/>
      <c r="J264" s="139"/>
      <c r="K264" s="139"/>
      <c r="L264" s="79"/>
      <c r="M264" s="242">
        <f>SUM(M259:M263)</f>
        <v>457.4</v>
      </c>
      <c r="N264" s="79" t="str">
        <f t="shared" si="827"/>
        <v>NA</v>
      </c>
      <c r="O264" s="242">
        <f>SUM(O259:O263)</f>
        <v>489.5</v>
      </c>
      <c r="P264" s="79" t="str">
        <f t="shared" si="828"/>
        <v>NA</v>
      </c>
      <c r="Q264" s="242">
        <f>SUM(Q259:Q263)</f>
        <v>486.40000000000003</v>
      </c>
      <c r="R264" s="79" t="str">
        <f t="shared" si="829"/>
        <v>NA</v>
      </c>
      <c r="S264" s="242">
        <f>SUM(S259:S263)</f>
        <v>490.2</v>
      </c>
      <c r="T264" s="79" t="str">
        <f t="shared" si="830"/>
        <v>NA</v>
      </c>
      <c r="U264" s="242">
        <f>SUM(U259:U263)</f>
        <v>470.59999999999997</v>
      </c>
      <c r="V264" s="79">
        <f t="shared" si="831"/>
        <v>2.8858766943594238</v>
      </c>
      <c r="W264" s="242">
        <f>SUM(W259:W263)</f>
        <v>489.40000000000003</v>
      </c>
      <c r="X264" s="79">
        <f t="shared" si="832"/>
        <v>-2.0429009193045911E-2</v>
      </c>
      <c r="Y264" s="242">
        <f>SUM(Y259:Y263)</f>
        <v>481.09999999999997</v>
      </c>
      <c r="Z264" s="79">
        <f t="shared" si="833"/>
        <v>-1.0896381578947456</v>
      </c>
      <c r="AA264" s="244">
        <f>SUM(AA259:AA263)</f>
        <v>445.00000000000006</v>
      </c>
      <c r="AB264" s="79">
        <f t="shared" si="834"/>
        <v>-9.2207262341901135</v>
      </c>
      <c r="AC264" s="242">
        <f>SUM(AC259:AC263)</f>
        <v>1415.9</v>
      </c>
      <c r="AD264" s="79" t="str">
        <f t="shared" si="835"/>
        <v>NM</v>
      </c>
      <c r="AE264" s="242">
        <f>SUM(AE259:AE263)</f>
        <v>429.29999999999995</v>
      </c>
      <c r="AF264" s="79">
        <f t="shared" si="836"/>
        <v>-12.280343277482652</v>
      </c>
      <c r="AG264" s="242">
        <f>SUM(AG259:AG263)</f>
        <v>427.3</v>
      </c>
      <c r="AH264" s="79">
        <f t="shared" si="837"/>
        <v>-11.182706298066925</v>
      </c>
      <c r="AI264" s="242">
        <f>SUM(AI259:AI263)</f>
        <v>436.3</v>
      </c>
      <c r="AJ264" s="79">
        <f t="shared" si="838"/>
        <v>-1.9550561797752941</v>
      </c>
      <c r="AK264" s="242">
        <f>SUM(AK259:AK263)</f>
        <v>423.5</v>
      </c>
      <c r="AL264" s="79" t="str">
        <f t="shared" si="839"/>
        <v>NM</v>
      </c>
      <c r="AM264" s="242">
        <f>SUM(AM259:AM263)</f>
        <v>414.6</v>
      </c>
      <c r="AN264" s="79">
        <f t="shared" si="840"/>
        <v>-3.4241788958769948</v>
      </c>
      <c r="AO264" s="242">
        <f>SUM(AO259:AO263)</f>
        <v>446.5</v>
      </c>
      <c r="AP264" s="79">
        <f t="shared" si="841"/>
        <v>4.4933302129651187</v>
      </c>
      <c r="AQ264" s="242">
        <f>SUM(AQ259:AQ263)</f>
        <v>478.09999999999997</v>
      </c>
      <c r="AR264" s="79">
        <f t="shared" si="842"/>
        <v>9.5805638322255184</v>
      </c>
      <c r="AS264" s="242">
        <f>SUM(AS259:AS263)</f>
        <v>471.59999999999997</v>
      </c>
      <c r="AT264" s="81">
        <f t="shared" si="843"/>
        <v>11.357733175914998</v>
      </c>
      <c r="AU264" s="242">
        <f>SUM(AU259:AU263)</f>
        <v>468.9</v>
      </c>
      <c r="AV264" s="81">
        <f t="shared" si="844"/>
        <v>13.096960926193901</v>
      </c>
      <c r="AW264" s="242">
        <f>SUM(AW259:AW263)</f>
        <v>461.6</v>
      </c>
      <c r="AX264" s="81">
        <f t="shared" si="845"/>
        <v>3.3818589025755852</v>
      </c>
      <c r="AY264" s="242">
        <f>SUM(AY259:AY263)</f>
        <v>476</v>
      </c>
      <c r="AZ264" s="81">
        <f t="shared" si="846"/>
        <v>-0.43923865300146137</v>
      </c>
      <c r="BA264" s="242">
        <f>SUM(BA259:BA263)</f>
        <v>459.7</v>
      </c>
      <c r="BB264" s="81">
        <f t="shared" si="847"/>
        <v>-2.5233248515691198</v>
      </c>
      <c r="BC264" s="242">
        <f>SUM(BC259:BC263)</f>
        <v>449.2</v>
      </c>
      <c r="BD264" s="81">
        <f t="shared" si="848"/>
        <v>-4.2013222435487325</v>
      </c>
      <c r="BE264" s="242">
        <f>SUM(BE259:BE263)</f>
        <v>467.70000000000005</v>
      </c>
      <c r="BF264" s="81">
        <f t="shared" si="849"/>
        <v>1.3214904679376138</v>
      </c>
      <c r="BG264" s="242">
        <f>SUM(BG259:BG263)</f>
        <v>468.3</v>
      </c>
      <c r="BH264" s="81">
        <f t="shared" si="850"/>
        <v>-1.6176470588235237</v>
      </c>
      <c r="BI264" s="242">
        <f>SUM(BI259:BI263)</f>
        <v>450.5</v>
      </c>
      <c r="BJ264" s="81">
        <f t="shared" si="851"/>
        <v>-2.0013051990428465</v>
      </c>
      <c r="BK264" s="242">
        <f>SUM(BK259:BK263)</f>
        <v>445.8</v>
      </c>
      <c r="BL264" s="81">
        <f t="shared" si="852"/>
        <v>-0.75690115761353205</v>
      </c>
      <c r="BM264" s="242">
        <f>SUM(BM259:BM263)</f>
        <v>448.1</v>
      </c>
      <c r="BN264" s="81">
        <f t="shared" si="853"/>
        <v>-4.1907205473594278</v>
      </c>
      <c r="BO264" s="242">
        <f>SUM(BO259:BO263)</f>
        <v>446.3</v>
      </c>
      <c r="BP264" s="81">
        <f t="shared" si="854"/>
        <v>-4.6978432628656863</v>
      </c>
      <c r="BQ264" s="242">
        <f>SUM(BQ259:BQ263)</f>
        <v>431.6</v>
      </c>
      <c r="BR264" s="81">
        <f t="shared" si="855"/>
        <v>-4.1953385127635912</v>
      </c>
      <c r="BS264" s="242">
        <f>SUM(BS259:BS263)</f>
        <v>431.20000000000005</v>
      </c>
      <c r="BT264" s="81">
        <f t="shared" si="856"/>
        <v>-3.2750112157918232</v>
      </c>
      <c r="BU264" s="242">
        <f>SUM(BU259:BU263)</f>
        <v>423</v>
      </c>
      <c r="BV264" s="81">
        <f t="shared" si="857"/>
        <v>-5.6014282526221866</v>
      </c>
      <c r="BW264" s="242">
        <f>SUM(BW259:BW263)</f>
        <v>419.8</v>
      </c>
      <c r="BX264" s="81">
        <f t="shared" si="858"/>
        <v>-5.9377100604974249</v>
      </c>
      <c r="BY264" s="242">
        <f>SUM(BY259:BY263)</f>
        <v>648.90000000000009</v>
      </c>
      <c r="BZ264" s="81">
        <f t="shared" si="859"/>
        <v>50.347544022242843</v>
      </c>
      <c r="CA264" s="242">
        <f>SUM(CA259:CA263)</f>
        <v>660.00000000000011</v>
      </c>
      <c r="CB264" s="81">
        <f t="shared" si="860"/>
        <v>53.061224489795933</v>
      </c>
      <c r="CC264" s="242">
        <f>SUM(CC259:CC263)</f>
        <v>647.19999999999993</v>
      </c>
      <c r="CD264" s="81">
        <f t="shared" si="861"/>
        <v>53.002364066193827</v>
      </c>
      <c r="CE264" s="242">
        <f>SUM(CE259:CE263)</f>
        <v>654.99999999999989</v>
      </c>
      <c r="CF264" s="81">
        <f t="shared" si="862"/>
        <v>56.026679371129084</v>
      </c>
      <c r="CG264" s="242">
        <f>SUM(CG259:CG263)</f>
        <v>643.10000000000014</v>
      </c>
      <c r="CH264" s="81">
        <f t="shared" si="863"/>
        <v>-0.89382031129603412</v>
      </c>
      <c r="CI264" s="242">
        <f>SUM(CI259:CI263)</f>
        <v>638.19999999999982</v>
      </c>
      <c r="CJ264" s="81">
        <f t="shared" si="864"/>
        <v>-3.3030303030303521</v>
      </c>
      <c r="CK264" s="242">
        <f>SUM(CK259:CK263)</f>
        <v>643.30000000000007</v>
      </c>
      <c r="CL264" s="81">
        <f t="shared" si="865"/>
        <v>-0.60259579728056956</v>
      </c>
      <c r="CM264" s="242">
        <f>SUM(CM259:CM263)</f>
        <v>1595.7000000000003</v>
      </c>
      <c r="CN264" s="81" t="str">
        <f t="shared" si="866"/>
        <v>NM</v>
      </c>
      <c r="CO264" s="242">
        <f>SUM(CO259:CO263)</f>
        <v>655</v>
      </c>
      <c r="CP264" s="81">
        <f t="shared" si="867"/>
        <v>1.8504120665526091</v>
      </c>
      <c r="CQ264" s="242">
        <f>SUM(CQ259:CQ263)</f>
        <v>647.9</v>
      </c>
      <c r="CR264" s="81">
        <f t="shared" si="868"/>
        <v>1.5198997179567852</v>
      </c>
      <c r="CS264" s="242">
        <f>SUM(CS259:CS263)</f>
        <v>651</v>
      </c>
      <c r="CT264" s="81">
        <f t="shared" si="869"/>
        <v>1.196953210010876</v>
      </c>
      <c r="CU264" s="242">
        <f>SUM(CU259:CU263)</f>
        <v>651.70000000000005</v>
      </c>
      <c r="CV264" s="81" t="str">
        <f t="shared" si="870"/>
        <v>NM</v>
      </c>
      <c r="CW264" s="242">
        <f>SUM(CW259:CW263)</f>
        <v>650.19999999999993</v>
      </c>
      <c r="CX264" s="81">
        <f t="shared" si="871"/>
        <v>-0.73282442748092702</v>
      </c>
      <c r="CY264" s="242">
        <f>SUM(CY259:CY263)</f>
        <v>639.1</v>
      </c>
      <c r="CZ264" s="81">
        <f t="shared" si="872"/>
        <v>-1.3582342954159499</v>
      </c>
      <c r="DA264" s="242">
        <f>SUM(DA259:DA263)</f>
        <v>639.6</v>
      </c>
      <c r="DB264" s="81">
        <f t="shared" si="873"/>
        <v>-1.7511520737327202</v>
      </c>
      <c r="DC264" s="242">
        <f>SUM(DC259:DC263)</f>
        <v>646.69999999999993</v>
      </c>
      <c r="DD264" s="81">
        <f t="shared" si="874"/>
        <v>-0.76722418290626759</v>
      </c>
      <c r="DE264" s="242">
        <f>SUM(DE259:DE263)</f>
        <v>626.70000000000005</v>
      </c>
      <c r="DF264" s="81">
        <f t="shared" si="875"/>
        <v>-3.6142725315287394</v>
      </c>
      <c r="DG264" s="242">
        <f>SUM(DG259:DG263)</f>
        <v>628.79999999999995</v>
      </c>
      <c r="DH264" s="81">
        <f t="shared" si="876"/>
        <v>-1.6116413706775301</v>
      </c>
      <c r="DI264" s="242">
        <f>SUM(DI259:DI263)</f>
        <v>627.4</v>
      </c>
      <c r="DJ264" s="81">
        <f t="shared" si="877"/>
        <v>-1.907442151344596</v>
      </c>
      <c r="DK264" s="242">
        <f>SUM(DK259:DK263)</f>
        <v>1325.2</v>
      </c>
      <c r="DL264" s="81" t="str">
        <f t="shared" si="878"/>
        <v>NM</v>
      </c>
      <c r="DM264" s="242">
        <f>SUM(DM259:DM263)</f>
        <v>621.80000000000007</v>
      </c>
      <c r="DN264" s="81">
        <f t="shared" si="879"/>
        <v>-0.78187330461145788</v>
      </c>
      <c r="DO264" s="242">
        <f>SUM(DO259:DO263)</f>
        <v>620.90000000000009</v>
      </c>
      <c r="DP264" s="81">
        <f t="shared" si="879"/>
        <v>-1.2563613231551973</v>
      </c>
      <c r="DQ264" s="242">
        <f>SUM(DQ259:DQ263)</f>
        <v>622.59999999999991</v>
      </c>
      <c r="DR264" s="81">
        <f t="shared" si="880"/>
        <v>-0.76506216130061144</v>
      </c>
      <c r="DS264" s="242">
        <f>SUM(DS259:DS263)</f>
        <v>632.50000000000011</v>
      </c>
      <c r="DT264" s="81" t="str">
        <f t="shared" si="881"/>
        <v>NM</v>
      </c>
      <c r="DU264" s="242">
        <f>SUM(DU259:DU263)</f>
        <v>617.80000000000007</v>
      </c>
      <c r="DV264" s="81">
        <f t="shared" si="882"/>
        <v>-0.64329366355740936</v>
      </c>
      <c r="DW264" s="242">
        <f>SUM(DW259:DW263)</f>
        <v>619.90000000000009</v>
      </c>
      <c r="DX264" s="81">
        <f t="shared" si="883"/>
        <v>-0.16105653084232951</v>
      </c>
      <c r="DY264" s="242">
        <f>SUM(DY259:DY263)</f>
        <v>620</v>
      </c>
      <c r="DZ264" s="81">
        <f t="shared" si="884"/>
        <v>-0.41760359781559675</v>
      </c>
      <c r="EA264" s="242">
        <f>SUM(EA259:EA263)</f>
        <v>621.4</v>
      </c>
      <c r="EB264" s="81">
        <f t="shared" si="885"/>
        <v>-1.7549407114624715</v>
      </c>
      <c r="EC264" s="242">
        <f>SUM(EC259:EC263)</f>
        <v>611.40000000000009</v>
      </c>
      <c r="ED264" s="81">
        <f t="shared" si="886"/>
        <v>-1.0359339592101002</v>
      </c>
      <c r="EE264" s="242">
        <f t="shared" ref="EE264:EG264" si="913">SUM(EE259:EE263)</f>
        <v>609</v>
      </c>
      <c r="EF264" s="81">
        <f t="shared" si="887"/>
        <v>-1.7583481206646323</v>
      </c>
      <c r="EG264" s="242">
        <f t="shared" si="913"/>
        <v>612</v>
      </c>
      <c r="EH264" s="81">
        <f t="shared" si="888"/>
        <v>-1.2903225806451646</v>
      </c>
      <c r="EI264" s="242">
        <f t="shared" ref="EI264" si="914">SUM(EI259:EI263)</f>
        <v>606.70000000000005</v>
      </c>
      <c r="EJ264" s="81">
        <f t="shared" si="889"/>
        <v>-2.3656260057933642</v>
      </c>
      <c r="EK264" s="242">
        <f t="shared" ref="EK264:EQ264" si="915">SUM(EK259:EK263)</f>
        <v>604.27515777336669</v>
      </c>
      <c r="EL264" s="81">
        <f t="shared" si="891"/>
        <v>-1.1653323890470024</v>
      </c>
      <c r="EM264" s="242">
        <f t="shared" si="915"/>
        <v>600.61918841048305</v>
      </c>
      <c r="EN264" s="81">
        <f t="shared" si="892"/>
        <v>-1.3761595385085257</v>
      </c>
      <c r="EO264" s="242">
        <f t="shared" si="915"/>
        <v>596.98538532348289</v>
      </c>
      <c r="EP264" s="81">
        <f t="shared" si="893"/>
        <v>-2.4533684111956111</v>
      </c>
      <c r="EQ264" s="242">
        <f t="shared" si="915"/>
        <v>593.37361377090508</v>
      </c>
      <c r="ER264" s="81">
        <f t="shared" si="894"/>
        <v>-2.1965363819177464</v>
      </c>
      <c r="ES264" s="138"/>
      <c r="ET264" s="470"/>
      <c r="EU264" s="138"/>
      <c r="EV264" s="139"/>
      <c r="EW264" s="140"/>
      <c r="EX264" s="139"/>
      <c r="EY264" s="79"/>
      <c r="EZ264" s="141"/>
      <c r="FA264" s="79"/>
      <c r="FB264" s="266"/>
      <c r="FC264" s="79"/>
      <c r="FD264" s="242">
        <f>SUM(FD259:FD263)</f>
        <v>1923.5</v>
      </c>
      <c r="FE264" s="79" t="str">
        <f t="shared" si="895"/>
        <v>NA</v>
      </c>
      <c r="FF264" s="242">
        <f>SUM(FF259:FF263)</f>
        <v>1886.1</v>
      </c>
      <c r="FG264" s="79">
        <f t="shared" si="896"/>
        <v>-1.9443722381076167</v>
      </c>
      <c r="FH264" s="266">
        <f t="shared" si="897"/>
        <v>2708.8</v>
      </c>
      <c r="FI264" s="79">
        <f t="shared" si="898"/>
        <v>43.619108212714089</v>
      </c>
      <c r="FJ264" s="266">
        <f t="shared" si="899"/>
        <v>1762.6999999999998</v>
      </c>
      <c r="FK264" s="79">
        <f t="shared" si="900"/>
        <v>-34.926904902539881</v>
      </c>
      <c r="FL264" s="242">
        <f>SUM(FL259:FL263)</f>
        <v>1878.1000000000004</v>
      </c>
      <c r="FM264" s="79">
        <f t="shared" si="901"/>
        <v>6.5467748340614085</v>
      </c>
      <c r="FN264" s="242">
        <f>SUM(FN259:FN263)</f>
        <v>1844.9</v>
      </c>
      <c r="FO264" s="79">
        <f t="shared" si="902"/>
        <v>-1.7677439965923192</v>
      </c>
      <c r="FP264" s="242">
        <f>SUM(FP259:FP263)</f>
        <v>1790.7</v>
      </c>
      <c r="FQ264" s="79">
        <f t="shared" si="903"/>
        <v>-2.9378286085966709</v>
      </c>
      <c r="FR264" s="242">
        <f>SUM(FR259:FR263)</f>
        <v>2609.8000000000006</v>
      </c>
      <c r="FS264" s="79">
        <f t="shared" si="904"/>
        <v>45.741888646897898</v>
      </c>
      <c r="FT264" s="242">
        <f>SUM(FT259:FT263)</f>
        <v>2611.0999999999995</v>
      </c>
      <c r="FU264" s="79">
        <f t="shared" si="905"/>
        <v>4.9812246149083528E-2</v>
      </c>
      <c r="FV264" s="242">
        <f>SUM(FV259:FV263)</f>
        <v>3520.3</v>
      </c>
      <c r="FW264" s="79">
        <f t="shared" si="906"/>
        <v>34.820573704568993</v>
      </c>
      <c r="FX264" s="242">
        <f>SUM(FX259:FX263)</f>
        <v>2605.6</v>
      </c>
      <c r="FY264" s="79">
        <f t="shared" si="907"/>
        <v>-25.983580944805851</v>
      </c>
      <c r="FZ264" s="242">
        <f>SUM(FZ259:FZ263)</f>
        <v>2575.6000000000004</v>
      </c>
      <c r="GA264" s="79">
        <f t="shared" si="908"/>
        <v>-1.1513662879950703</v>
      </c>
      <c r="GB264" s="242">
        <f>SUM(GB259:GB263)</f>
        <v>3208.1</v>
      </c>
      <c r="GC264" s="79">
        <f t="shared" si="908"/>
        <v>24.557384687063188</v>
      </c>
      <c r="GD264" s="242">
        <f>SUM(GD259:GD263)</f>
        <v>2497.8000000000002</v>
      </c>
      <c r="GE264" s="79">
        <f t="shared" si="908"/>
        <v>-22.140831021476881</v>
      </c>
      <c r="GF264" s="242">
        <f>SUM(GF259:GF263)</f>
        <v>2479.1</v>
      </c>
      <c r="GG264" s="79">
        <f t="shared" si="908"/>
        <v>-0.74865881976140525</v>
      </c>
      <c r="GH264" s="242">
        <f>SUM(GH259:GH263)</f>
        <v>2439.1000000000004</v>
      </c>
      <c r="GI264" s="79">
        <f t="shared" si="908"/>
        <v>-1.6134887660844477</v>
      </c>
      <c r="GJ264" s="242">
        <f>SUM(GJ259:GJ263)</f>
        <v>2395.2533452782377</v>
      </c>
      <c r="GK264" s="79">
        <f t="shared" si="908"/>
        <v>-1.7976571162216626</v>
      </c>
      <c r="GL264" s="242">
        <f>SUM(GL259:GL263)</f>
        <v>2323.4445229054209</v>
      </c>
      <c r="GM264" s="79">
        <f t="shared" si="908"/>
        <v>-2.9979635563132989</v>
      </c>
      <c r="GN264" s="242">
        <f>SUM(GN259:GN263)</f>
        <v>2253.7889896440779</v>
      </c>
      <c r="GO264" s="79">
        <f t="shared" si="908"/>
        <v>-2.9979426052419877</v>
      </c>
      <c r="GP264" s="242">
        <f>SUM(GP259:GP263)</f>
        <v>2186.2221663320584</v>
      </c>
      <c r="GQ264" s="79">
        <f t="shared" si="908"/>
        <v>-2.9979214390735809</v>
      </c>
      <c r="GR264" s="242">
        <f>SUM(GR259:GR263)</f>
        <v>2120.681410791854</v>
      </c>
      <c r="GS264" s="79">
        <f t="shared" si="909"/>
        <v>-2.9979000556089708</v>
      </c>
      <c r="GT264" s="79">
        <f t="shared" si="910"/>
        <v>-2.7590563566425086</v>
      </c>
      <c r="GU264" s="562"/>
      <c r="GV264" s="562"/>
      <c r="GW264"/>
      <c r="GX264"/>
      <c r="GY264"/>
      <c r="GZ264"/>
      <c r="HA264"/>
      <c r="HB264"/>
      <c r="HC264" s="562"/>
      <c r="HD264" s="562"/>
      <c r="HE264" s="562"/>
      <c r="HF264" s="562"/>
      <c r="HG264" s="562"/>
      <c r="HH264" s="562"/>
      <c r="HI264" s="562"/>
      <c r="HJ264" s="562"/>
      <c r="HK264" s="562"/>
      <c r="HL264" s="562"/>
      <c r="HM264" s="562"/>
      <c r="HN264" s="562"/>
      <c r="HO264" s="562"/>
      <c r="HP264" s="562"/>
      <c r="HQ264" s="562"/>
      <c r="HR264" s="562"/>
      <c r="HS264" s="562"/>
      <c r="HT264" s="562"/>
      <c r="HU264" s="562"/>
      <c r="HV264" s="562"/>
      <c r="HW264" s="562"/>
      <c r="HX264" s="562"/>
      <c r="HY264" s="562"/>
      <c r="HZ264" s="562"/>
      <c r="IA264" s="562"/>
      <c r="IB264" s="562"/>
      <c r="IC264" s="562"/>
      <c r="ID264" s="562"/>
      <c r="IE264" s="562"/>
      <c r="IF264" s="562"/>
      <c r="IG264" s="562"/>
      <c r="IH264" s="562"/>
      <c r="II264" s="562"/>
      <c r="IJ264" s="562"/>
      <c r="IK264" s="562"/>
      <c r="IL264" s="562"/>
      <c r="IM264" s="562"/>
      <c r="IN264" s="562"/>
      <c r="IO264" s="562"/>
      <c r="IP264" s="562"/>
      <c r="IQ264" s="562"/>
      <c r="IR264" s="562"/>
      <c r="IS264" s="562"/>
      <c r="IT264" s="562"/>
      <c r="IU264" s="562"/>
      <c r="IV264" s="562"/>
      <c r="IW264" s="562"/>
      <c r="IX264" s="562"/>
      <c r="IY264" s="562"/>
      <c r="IZ264" s="562"/>
      <c r="JA264" s="562"/>
      <c r="JB264" s="562"/>
      <c r="JC264" s="562"/>
      <c r="JD264" s="562"/>
      <c r="JE264" s="562"/>
      <c r="JF264" s="562"/>
      <c r="JG264" s="562"/>
      <c r="JH264" s="562"/>
      <c r="JI264" s="562"/>
      <c r="JJ264" s="562"/>
      <c r="JK264" s="562"/>
      <c r="JL264" s="562"/>
      <c r="JM264" s="562"/>
      <c r="JN264" s="562"/>
      <c r="JO264" s="562"/>
      <c r="JP264" s="562"/>
      <c r="JQ264" s="562"/>
      <c r="JR264" s="562"/>
      <c r="JS264" s="562"/>
      <c r="JT264" s="562"/>
      <c r="JU264" s="562"/>
      <c r="JV264" s="562"/>
      <c r="JW264" s="562"/>
      <c r="JX264" s="562"/>
      <c r="JY264" s="562"/>
      <c r="JZ264" s="562"/>
    </row>
    <row r="265" spans="1:286" s="132" customFormat="1" ht="12.75" customHeight="1" x14ac:dyDescent="0.2">
      <c r="A265" s="133"/>
      <c r="B265" s="2"/>
      <c r="C265" s="79"/>
      <c r="D265" s="79"/>
      <c r="E265" s="95"/>
      <c r="F265" s="95"/>
      <c r="G265" s="95"/>
      <c r="H265" s="95"/>
      <c r="I265" s="95"/>
      <c r="J265" s="95"/>
      <c r="K265" s="95"/>
      <c r="L265" s="79"/>
      <c r="M265" s="75"/>
      <c r="N265" s="79"/>
      <c r="O265" s="75"/>
      <c r="P265" s="79"/>
      <c r="Q265" s="75"/>
      <c r="R265" s="79"/>
      <c r="S265" s="75"/>
      <c r="T265" s="79"/>
      <c r="U265" s="75"/>
      <c r="V265" s="79"/>
      <c r="W265" s="75"/>
      <c r="X265" s="79"/>
      <c r="Y265" s="75"/>
      <c r="Z265" s="79"/>
      <c r="AA265" s="267"/>
      <c r="AB265" s="79"/>
      <c r="AC265" s="75"/>
      <c r="AD265" s="79"/>
      <c r="AE265" s="75"/>
      <c r="AF265" s="79"/>
      <c r="AG265" s="75"/>
      <c r="AH265" s="79"/>
      <c r="AI265" s="75"/>
      <c r="AJ265" s="79"/>
      <c r="AK265" s="75"/>
      <c r="AL265" s="79"/>
      <c r="AM265" s="75"/>
      <c r="AN265" s="79"/>
      <c r="AO265" s="75"/>
      <c r="AP265" s="79"/>
      <c r="AQ265" s="75"/>
      <c r="AR265" s="79"/>
      <c r="AS265" s="75"/>
      <c r="AT265" s="81"/>
      <c r="AU265" s="75"/>
      <c r="AV265" s="81"/>
      <c r="AW265" s="75"/>
      <c r="AX265" s="81"/>
      <c r="AY265" s="75"/>
      <c r="AZ265" s="81"/>
      <c r="BA265" s="75"/>
      <c r="BB265" s="81"/>
      <c r="BC265" s="75"/>
      <c r="BD265" s="81"/>
      <c r="BE265" s="75"/>
      <c r="BF265" s="81"/>
      <c r="BG265" s="75"/>
      <c r="BH265" s="81"/>
      <c r="BI265" s="75"/>
      <c r="BJ265" s="81"/>
      <c r="BK265" s="75"/>
      <c r="BL265" s="81"/>
      <c r="BM265" s="75"/>
      <c r="BN265" s="81"/>
      <c r="BO265" s="75"/>
      <c r="BP265" s="81"/>
      <c r="BQ265" s="75"/>
      <c r="BR265" s="81"/>
      <c r="BS265" s="75"/>
      <c r="BT265" s="81"/>
      <c r="BU265" s="75"/>
      <c r="BV265" s="81"/>
      <c r="BW265" s="75"/>
      <c r="BX265" s="81"/>
      <c r="BY265" s="75"/>
      <c r="BZ265" s="81"/>
      <c r="CA265" s="75"/>
      <c r="CB265" s="81"/>
      <c r="CC265" s="75"/>
      <c r="CD265" s="81"/>
      <c r="CE265" s="75"/>
      <c r="CF265" s="81"/>
      <c r="CG265" s="75"/>
      <c r="CH265" s="81"/>
      <c r="CI265" s="75"/>
      <c r="CJ265" s="81"/>
      <c r="CK265" s="75"/>
      <c r="CL265" s="81"/>
      <c r="CM265" s="75"/>
      <c r="CN265" s="81"/>
      <c r="CO265" s="75"/>
      <c r="CP265" s="81"/>
      <c r="CQ265" s="75"/>
      <c r="CR265" s="81"/>
      <c r="CS265" s="75"/>
      <c r="CT265" s="81"/>
      <c r="CU265" s="75"/>
      <c r="CV265" s="81"/>
      <c r="CW265" s="75"/>
      <c r="CX265" s="81"/>
      <c r="CY265" s="75"/>
      <c r="CZ265" s="81"/>
      <c r="DA265" s="75"/>
      <c r="DB265" s="81"/>
      <c r="DC265" s="75"/>
      <c r="DD265" s="81"/>
      <c r="DE265" s="75"/>
      <c r="DF265" s="81"/>
      <c r="DG265" s="75"/>
      <c r="DH265" s="81"/>
      <c r="DI265" s="75"/>
      <c r="DJ265" s="81"/>
      <c r="DK265" s="75"/>
      <c r="DL265" s="81"/>
      <c r="DM265" s="75"/>
      <c r="DN265" s="81"/>
      <c r="DO265" s="75"/>
      <c r="DP265" s="81"/>
      <c r="DQ265" s="75"/>
      <c r="DR265" s="81"/>
      <c r="DS265" s="75"/>
      <c r="DT265" s="81"/>
      <c r="DU265" s="75"/>
      <c r="DV265" s="81"/>
      <c r="DW265" s="75"/>
      <c r="DX265" s="81"/>
      <c r="DY265" s="75"/>
      <c r="DZ265" s="81"/>
      <c r="EA265" s="75"/>
      <c r="EB265" s="81"/>
      <c r="EC265" s="75"/>
      <c r="ED265" s="81"/>
      <c r="EE265" s="75"/>
      <c r="EF265" s="81"/>
      <c r="EG265" s="75"/>
      <c r="EH265" s="81"/>
      <c r="EI265" s="75"/>
      <c r="EJ265" s="81"/>
      <c r="EK265" s="75"/>
      <c r="EL265" s="81"/>
      <c r="EM265" s="75"/>
      <c r="EN265" s="81"/>
      <c r="EO265" s="75"/>
      <c r="EP265" s="81"/>
      <c r="EQ265" s="75"/>
      <c r="ER265" s="81"/>
      <c r="ES265" s="129"/>
      <c r="ET265" s="469"/>
      <c r="EU265" s="129"/>
      <c r="EV265" s="95"/>
      <c r="EW265" s="79"/>
      <c r="EX265" s="95"/>
      <c r="EY265" s="79"/>
      <c r="EZ265" s="131"/>
      <c r="FA265" s="79"/>
      <c r="FB265" s="35"/>
      <c r="FC265" s="79"/>
      <c r="FD265" s="75"/>
      <c r="FE265" s="79"/>
      <c r="FF265" s="75"/>
      <c r="FG265" s="79"/>
      <c r="FH265" s="75"/>
      <c r="FI265" s="79"/>
      <c r="FJ265" s="75"/>
      <c r="FK265" s="79"/>
      <c r="FL265" s="75"/>
      <c r="FM265" s="79"/>
      <c r="FN265" s="75"/>
      <c r="FO265" s="79"/>
      <c r="FP265" s="75"/>
      <c r="FQ265" s="79"/>
      <c r="FR265" s="75"/>
      <c r="FS265" s="79"/>
      <c r="FT265" s="75"/>
      <c r="FU265" s="79"/>
      <c r="FV265" s="75"/>
      <c r="FW265" s="79"/>
      <c r="FX265" s="75"/>
      <c r="FY265" s="79"/>
      <c r="FZ265" s="75"/>
      <c r="GA265" s="79"/>
      <c r="GB265" s="75"/>
      <c r="GC265" s="79"/>
      <c r="GD265" s="75"/>
      <c r="GE265" s="79"/>
      <c r="GF265" s="75"/>
      <c r="GG265" s="79"/>
      <c r="GH265" s="75"/>
      <c r="GI265" s="79"/>
      <c r="GJ265" s="75"/>
      <c r="GK265" s="79"/>
      <c r="GL265" s="75"/>
      <c r="GM265" s="79"/>
      <c r="GN265" s="75"/>
      <c r="GO265" s="79"/>
      <c r="GP265" s="75"/>
      <c r="GQ265" s="79"/>
      <c r="GR265" s="75"/>
      <c r="GS265" s="79"/>
      <c r="GT265" s="79"/>
      <c r="GU265" s="562"/>
      <c r="GV265" s="562"/>
      <c r="GW265"/>
      <c r="GX265"/>
      <c r="GY265"/>
      <c r="GZ265"/>
      <c r="HA265"/>
      <c r="HB265"/>
      <c r="HC265" s="562"/>
      <c r="HD265" s="562"/>
      <c r="HE265" s="562"/>
      <c r="HF265" s="562"/>
      <c r="HG265" s="562"/>
      <c r="HH265" s="562"/>
      <c r="HI265" s="562"/>
      <c r="HJ265" s="562"/>
      <c r="HK265" s="562"/>
      <c r="HL265" s="562"/>
      <c r="HM265" s="562"/>
      <c r="HN265" s="562"/>
      <c r="HO265" s="562"/>
      <c r="HP265" s="562"/>
      <c r="HQ265" s="562"/>
      <c r="HR265" s="562"/>
      <c r="HS265" s="562"/>
      <c r="HT265" s="562"/>
      <c r="HU265" s="562"/>
      <c r="HV265" s="562"/>
      <c r="HW265" s="562"/>
      <c r="HX265" s="562"/>
      <c r="HY265" s="562"/>
      <c r="HZ265" s="562"/>
      <c r="IA265" s="562"/>
      <c r="IB265" s="562"/>
      <c r="IC265" s="562"/>
      <c r="ID265" s="562"/>
      <c r="IE265" s="562"/>
      <c r="IF265" s="562"/>
      <c r="IG265" s="562"/>
      <c r="IH265" s="562"/>
      <c r="II265" s="562"/>
      <c r="IJ265" s="562"/>
      <c r="IK265" s="562"/>
      <c r="IL265" s="562"/>
      <c r="IM265" s="562"/>
      <c r="IN265" s="562"/>
      <c r="IO265" s="562"/>
      <c r="IP265" s="562"/>
      <c r="IQ265" s="562"/>
      <c r="IR265" s="562"/>
      <c r="IS265" s="562"/>
      <c r="IT265" s="562"/>
      <c r="IU265" s="562"/>
      <c r="IV265" s="562"/>
      <c r="IW265" s="562"/>
      <c r="IX265" s="562"/>
      <c r="IY265" s="562"/>
      <c r="IZ265" s="562"/>
      <c r="JA265" s="562"/>
      <c r="JB265" s="562"/>
      <c r="JC265" s="562"/>
      <c r="JD265" s="562"/>
      <c r="JE265" s="562"/>
      <c r="JF265" s="562"/>
      <c r="JG265" s="562"/>
      <c r="JH265" s="562"/>
      <c r="JI265" s="562"/>
      <c r="JJ265" s="562"/>
      <c r="JK265" s="562"/>
      <c r="JL265" s="562"/>
      <c r="JM265" s="562"/>
      <c r="JN265" s="562"/>
      <c r="JO265" s="562"/>
      <c r="JP265" s="562"/>
      <c r="JQ265" s="562"/>
      <c r="JR265" s="562"/>
      <c r="JS265" s="562"/>
      <c r="JT265" s="562"/>
      <c r="JU265" s="562"/>
      <c r="JV265" s="562"/>
      <c r="JW265" s="562"/>
      <c r="JX265" s="562"/>
      <c r="JY265" s="562"/>
      <c r="JZ265" s="562"/>
    </row>
    <row r="266" spans="1:286" s="132" customFormat="1" ht="12.75" customHeight="1" x14ac:dyDescent="0.2">
      <c r="A266" s="133"/>
      <c r="B266" s="68" t="s">
        <v>332</v>
      </c>
      <c r="C266" s="79"/>
      <c r="D266" s="79"/>
      <c r="E266" s="95"/>
      <c r="F266" s="95"/>
      <c r="G266" s="95"/>
      <c r="H266" s="95"/>
      <c r="I266" s="95"/>
      <c r="J266" s="95"/>
      <c r="K266" s="95"/>
      <c r="L266" s="79"/>
      <c r="M266" s="75"/>
      <c r="N266" s="79"/>
      <c r="O266" s="75"/>
      <c r="P266" s="79"/>
      <c r="Q266" s="75"/>
      <c r="R266" s="79"/>
      <c r="S266" s="75"/>
      <c r="T266" s="79"/>
      <c r="U266" s="75"/>
      <c r="V266" s="79"/>
      <c r="W266" s="75"/>
      <c r="X266" s="79"/>
      <c r="Y266" s="75"/>
      <c r="Z266" s="79"/>
      <c r="AA266" s="267"/>
      <c r="AB266" s="79"/>
      <c r="AC266" s="75"/>
      <c r="AD266" s="79"/>
      <c r="AE266" s="75"/>
      <c r="AF266" s="79"/>
      <c r="AG266" s="75"/>
      <c r="AH266" s="79"/>
      <c r="AI266" s="75"/>
      <c r="AJ266" s="79"/>
      <c r="AK266" s="75"/>
      <c r="AL266" s="79"/>
      <c r="AM266" s="75"/>
      <c r="AN266" s="79"/>
      <c r="AO266" s="75"/>
      <c r="AP266" s="79"/>
      <c r="AQ266" s="75"/>
      <c r="AR266" s="79"/>
      <c r="AS266" s="75"/>
      <c r="AT266" s="81"/>
      <c r="AU266" s="75"/>
      <c r="AV266" s="81"/>
      <c r="AW266" s="75"/>
      <c r="AX266" s="81"/>
      <c r="AY266" s="75"/>
      <c r="AZ266" s="81"/>
      <c r="BA266" s="75"/>
      <c r="BB266" s="81"/>
      <c r="BC266" s="75"/>
      <c r="BD266" s="81"/>
      <c r="BE266" s="75"/>
      <c r="BF266" s="81"/>
      <c r="BG266" s="75"/>
      <c r="BH266" s="81"/>
      <c r="BI266" s="75"/>
      <c r="BJ266" s="81"/>
      <c r="BK266" s="75"/>
      <c r="BL266" s="81"/>
      <c r="BM266" s="75"/>
      <c r="BN266" s="81"/>
      <c r="BO266" s="75"/>
      <c r="BP266" s="81"/>
      <c r="BQ266" s="75"/>
      <c r="BR266" s="81"/>
      <c r="BS266" s="75"/>
      <c r="BT266" s="81"/>
      <c r="BU266" s="75"/>
      <c r="BV266" s="81"/>
      <c r="BW266" s="75"/>
      <c r="BX266" s="81"/>
      <c r="BY266" s="75"/>
      <c r="BZ266" s="81"/>
      <c r="CA266" s="75"/>
      <c r="CB266" s="81"/>
      <c r="CC266" s="75"/>
      <c r="CD266" s="81"/>
      <c r="CE266" s="75"/>
      <c r="CF266" s="81"/>
      <c r="CG266" s="75"/>
      <c r="CH266" s="81"/>
      <c r="CI266" s="75"/>
      <c r="CJ266" s="81"/>
      <c r="CK266" s="75"/>
      <c r="CL266" s="81"/>
      <c r="CM266" s="75"/>
      <c r="CN266" s="81"/>
      <c r="CO266" s="75"/>
      <c r="CP266" s="81"/>
      <c r="CQ266" s="75"/>
      <c r="CR266" s="81"/>
      <c r="CS266" s="75"/>
      <c r="CT266" s="81"/>
      <c r="CU266" s="452"/>
      <c r="CV266" s="81"/>
      <c r="CW266" s="452"/>
      <c r="CX266" s="81"/>
      <c r="CY266" s="452"/>
      <c r="CZ266" s="81"/>
      <c r="DA266" s="452"/>
      <c r="DB266" s="81"/>
      <c r="DC266" s="452"/>
      <c r="DD266" s="81"/>
      <c r="DE266" s="452"/>
      <c r="DF266" s="81"/>
      <c r="DG266" s="452"/>
      <c r="DH266" s="81"/>
      <c r="DI266" s="452"/>
      <c r="DJ266" s="81"/>
      <c r="DK266" s="452"/>
      <c r="DL266" s="81"/>
      <c r="DM266" s="452"/>
      <c r="DN266" s="81"/>
      <c r="DO266" s="452"/>
      <c r="DP266" s="81"/>
      <c r="DQ266" s="452"/>
      <c r="DR266" s="81"/>
      <c r="DS266" s="452"/>
      <c r="DT266" s="81"/>
      <c r="DU266" s="452"/>
      <c r="DV266" s="81"/>
      <c r="DW266" s="452"/>
      <c r="DX266" s="81"/>
      <c r="DY266" s="452"/>
      <c r="DZ266" s="81"/>
      <c r="EA266" s="452"/>
      <c r="EB266" s="81"/>
      <c r="EC266" s="452"/>
      <c r="ED266" s="81"/>
      <c r="EE266" s="452"/>
      <c r="EF266" s="81"/>
      <c r="EG266" s="452"/>
      <c r="EH266" s="81"/>
      <c r="EI266" s="452"/>
      <c r="EJ266" s="81"/>
      <c r="EK266" s="75"/>
      <c r="EL266" s="81"/>
      <c r="EM266" s="75"/>
      <c r="EN266" s="81"/>
      <c r="EO266" s="75"/>
      <c r="EP266" s="81"/>
      <c r="EQ266" s="75"/>
      <c r="ER266" s="81"/>
      <c r="ES266" s="129"/>
      <c r="ET266" s="469"/>
      <c r="EU266" s="129"/>
      <c r="EV266" s="95"/>
      <c r="EW266" s="79"/>
      <c r="EX266" s="95"/>
      <c r="EY266" s="79"/>
      <c r="EZ266" s="131"/>
      <c r="FA266" s="79"/>
      <c r="FB266" s="35"/>
      <c r="FC266" s="79"/>
      <c r="FD266" s="75"/>
      <c r="FE266" s="79"/>
      <c r="FF266" s="75"/>
      <c r="FG266" s="79"/>
      <c r="FH266" s="75"/>
      <c r="FI266" s="79"/>
      <c r="FJ266" s="75"/>
      <c r="FK266" s="79"/>
      <c r="FL266" s="75"/>
      <c r="FM266" s="79"/>
      <c r="FN266" s="75"/>
      <c r="FO266" s="79"/>
      <c r="FP266" s="75"/>
      <c r="FQ266" s="79"/>
      <c r="FR266" s="75"/>
      <c r="FS266" s="79"/>
      <c r="FT266" s="75"/>
      <c r="FU266" s="79"/>
      <c r="FV266" s="75"/>
      <c r="FW266" s="79"/>
      <c r="FX266" s="75"/>
      <c r="FY266" s="79"/>
      <c r="FZ266" s="75"/>
      <c r="GA266" s="79"/>
      <c r="GB266" s="75"/>
      <c r="GC266" s="79"/>
      <c r="GD266" s="75"/>
      <c r="GE266" s="79"/>
      <c r="GF266" s="75"/>
      <c r="GG266" s="79"/>
      <c r="GH266" s="75"/>
      <c r="GI266" s="79"/>
      <c r="GJ266" s="75"/>
      <c r="GK266" s="79"/>
      <c r="GL266" s="75"/>
      <c r="GM266" s="79"/>
      <c r="GN266" s="75"/>
      <c r="GO266" s="79"/>
      <c r="GP266" s="75"/>
      <c r="GQ266" s="79"/>
      <c r="GR266" s="75"/>
      <c r="GS266" s="79"/>
      <c r="GT266" s="79"/>
      <c r="GU266" s="562"/>
      <c r="GV266" s="562"/>
      <c r="GW266"/>
      <c r="GX266"/>
      <c r="GY266"/>
      <c r="GZ266"/>
      <c r="HA266"/>
      <c r="HB266"/>
      <c r="HC266" s="562"/>
      <c r="HD266" s="562"/>
      <c r="HE266" s="562"/>
      <c r="HF266" s="562"/>
      <c r="HG266" s="562"/>
      <c r="HH266" s="562"/>
      <c r="HI266" s="562"/>
      <c r="HJ266" s="562"/>
      <c r="HK266" s="562"/>
      <c r="HL266" s="562"/>
      <c r="HM266" s="562"/>
      <c r="HN266" s="562"/>
      <c r="HO266" s="562"/>
      <c r="HP266" s="562"/>
      <c r="HQ266" s="562"/>
      <c r="HR266" s="562"/>
      <c r="HS266" s="562"/>
      <c r="HT266" s="562"/>
      <c r="HU266" s="562"/>
      <c r="HV266" s="562"/>
      <c r="HW266" s="562"/>
      <c r="HX266" s="562"/>
      <c r="HY266" s="562"/>
      <c r="HZ266" s="562"/>
      <c r="IA266" s="562"/>
      <c r="IB266" s="562"/>
      <c r="IC266" s="562"/>
      <c r="ID266" s="562"/>
      <c r="IE266" s="562"/>
      <c r="IF266" s="562"/>
      <c r="IG266" s="562"/>
      <c r="IH266" s="562"/>
      <c r="II266" s="562"/>
      <c r="IJ266" s="562"/>
      <c r="IK266" s="562"/>
      <c r="IL266" s="562"/>
      <c r="IM266" s="562"/>
      <c r="IN266" s="562"/>
      <c r="IO266" s="562"/>
      <c r="IP266" s="562"/>
      <c r="IQ266" s="562"/>
      <c r="IR266" s="562"/>
      <c r="IS266" s="562"/>
      <c r="IT266" s="562"/>
      <c r="IU266" s="562"/>
      <c r="IV266" s="562"/>
      <c r="IW266" s="562"/>
      <c r="IX266" s="562"/>
      <c r="IY266" s="562"/>
      <c r="IZ266" s="562"/>
      <c r="JA266" s="562"/>
      <c r="JB266" s="562"/>
      <c r="JC266" s="562"/>
      <c r="JD266" s="562"/>
      <c r="JE266" s="562"/>
      <c r="JF266" s="562"/>
      <c r="JG266" s="562"/>
      <c r="JH266" s="562"/>
      <c r="JI266" s="562"/>
      <c r="JJ266" s="562"/>
      <c r="JK266" s="562"/>
      <c r="JL266" s="562"/>
      <c r="JM266" s="562"/>
      <c r="JN266" s="562"/>
      <c r="JO266" s="562"/>
      <c r="JP266" s="562"/>
      <c r="JQ266" s="562"/>
      <c r="JR266" s="562"/>
      <c r="JS266" s="562"/>
      <c r="JT266" s="562"/>
      <c r="JU266" s="562"/>
      <c r="JV266" s="562"/>
      <c r="JW266" s="562"/>
      <c r="JX266" s="562"/>
      <c r="JY266" s="562"/>
      <c r="JZ266" s="562"/>
    </row>
    <row r="267" spans="1:286" ht="12.75" customHeight="1" x14ac:dyDescent="0.2">
      <c r="A267" s="1"/>
      <c r="B267" s="10" t="s">
        <v>47</v>
      </c>
      <c r="C267" s="79"/>
      <c r="D267" s="79"/>
      <c r="E267" s="75"/>
      <c r="F267" s="79"/>
      <c r="G267" s="75"/>
      <c r="H267" s="79"/>
      <c r="I267" s="75"/>
      <c r="J267" s="79"/>
      <c r="K267" s="75"/>
      <c r="L267" s="79"/>
      <c r="M267" s="75"/>
      <c r="N267" s="79"/>
      <c r="O267" s="75"/>
      <c r="P267" s="79"/>
      <c r="Q267" s="75"/>
      <c r="R267" s="79"/>
      <c r="S267" s="75"/>
      <c r="T267" s="79"/>
      <c r="U267" s="75"/>
      <c r="V267" s="79"/>
      <c r="W267" s="75"/>
      <c r="X267" s="79"/>
      <c r="Y267" s="75"/>
      <c r="Z267" s="79"/>
      <c r="AA267" s="267"/>
      <c r="AB267" s="79"/>
      <c r="AC267" s="75"/>
      <c r="AD267" s="79"/>
      <c r="AE267" s="75"/>
      <c r="AF267" s="79"/>
      <c r="AG267" s="75"/>
      <c r="AH267" s="79"/>
      <c r="AI267" s="75"/>
      <c r="AJ267" s="79"/>
      <c r="AK267" s="75"/>
      <c r="AL267" s="79"/>
      <c r="AM267" s="75"/>
      <c r="AN267" s="79"/>
      <c r="AO267" s="75"/>
      <c r="AP267" s="79"/>
      <c r="AQ267" s="75"/>
      <c r="AR267" s="79"/>
      <c r="AS267" s="75"/>
      <c r="AT267" s="79"/>
      <c r="AU267" s="75"/>
      <c r="AV267" s="79"/>
      <c r="AW267" s="75"/>
      <c r="AX267" s="79"/>
      <c r="AY267" s="75"/>
      <c r="AZ267" s="79"/>
      <c r="BA267" s="75"/>
      <c r="BB267" s="79"/>
      <c r="BC267" s="75"/>
      <c r="BD267" s="79"/>
      <c r="BE267" s="75"/>
      <c r="BF267" s="79"/>
      <c r="BG267" s="75"/>
      <c r="BH267" s="79"/>
      <c r="BI267" s="75"/>
      <c r="BJ267" s="79"/>
      <c r="BK267" s="75"/>
      <c r="BL267" s="79"/>
      <c r="BM267" s="75"/>
      <c r="BN267" s="79"/>
      <c r="BO267" s="75"/>
      <c r="BP267" s="79"/>
      <c r="BQ267" s="75"/>
      <c r="BR267" s="79"/>
      <c r="BS267" s="75"/>
      <c r="BT267" s="79"/>
      <c r="BU267" s="75"/>
      <c r="BV267" s="79"/>
      <c r="BW267" s="75"/>
      <c r="BX267" s="79"/>
      <c r="BY267" s="105">
        <v>84.5</v>
      </c>
      <c r="BZ267" s="79"/>
      <c r="CA267" s="105">
        <v>85.4</v>
      </c>
      <c r="CB267" s="79"/>
      <c r="CC267" s="105">
        <v>85.5</v>
      </c>
      <c r="CD267" s="79"/>
      <c r="CE267" s="105">
        <v>84.7</v>
      </c>
      <c r="CF267" s="79"/>
      <c r="CG267" s="105">
        <v>84.7</v>
      </c>
      <c r="CH267" s="79"/>
      <c r="CI267" s="105">
        <v>84.3</v>
      </c>
      <c r="CJ267" s="79"/>
      <c r="CK267" s="105">
        <v>84.9</v>
      </c>
      <c r="CL267" s="79"/>
      <c r="CM267" s="105">
        <v>84.8</v>
      </c>
      <c r="CN267" s="79"/>
      <c r="CO267" s="105">
        <v>83.1</v>
      </c>
      <c r="CP267" s="79"/>
      <c r="CQ267" s="105">
        <v>82.7</v>
      </c>
      <c r="CR267" s="79"/>
      <c r="CS267" s="105">
        <v>82.5</v>
      </c>
      <c r="CT267" s="79"/>
      <c r="CU267" s="105">
        <v>83.7</v>
      </c>
      <c r="CV267" s="79"/>
      <c r="CW267" s="105">
        <v>81.5</v>
      </c>
      <c r="CX267" s="79"/>
      <c r="CY267" s="105">
        <v>82.7</v>
      </c>
      <c r="CZ267" s="79"/>
      <c r="DA267" s="105">
        <v>80.599999999999994</v>
      </c>
      <c r="DB267" s="79"/>
      <c r="DC267" s="105">
        <v>85.7</v>
      </c>
      <c r="DD267" s="79"/>
      <c r="DE267" s="105">
        <v>81.5</v>
      </c>
      <c r="DF267" s="79"/>
      <c r="DG267" s="105">
        <v>89.4</v>
      </c>
      <c r="DH267" s="79"/>
      <c r="DI267" s="105">
        <v>82.3</v>
      </c>
      <c r="DJ267" s="79"/>
      <c r="DK267" s="105">
        <v>81</v>
      </c>
      <c r="DL267" s="79"/>
      <c r="DM267" s="105">
        <v>80</v>
      </c>
      <c r="DN267" s="79"/>
      <c r="DO267" s="105">
        <v>83.6</v>
      </c>
      <c r="DP267" s="79"/>
      <c r="DQ267" s="105">
        <v>80.8</v>
      </c>
      <c r="DR267" s="79"/>
      <c r="DS267" s="105">
        <v>87.2</v>
      </c>
      <c r="DT267" s="79"/>
      <c r="DU267" s="105">
        <v>84</v>
      </c>
      <c r="DV267" s="79"/>
      <c r="DW267" s="105">
        <v>84.3</v>
      </c>
      <c r="DX267" s="79"/>
      <c r="DY267" s="105">
        <v>81.5</v>
      </c>
      <c r="DZ267" s="79"/>
      <c r="EA267" s="105">
        <f>84.7</f>
        <v>84.7</v>
      </c>
      <c r="EB267" s="79"/>
      <c r="EC267" s="105">
        <v>83.6</v>
      </c>
      <c r="ED267" s="79"/>
      <c r="EE267" s="105">
        <v>82.3</v>
      </c>
      <c r="EF267" s="79"/>
      <c r="EG267" s="105">
        <v>82.4</v>
      </c>
      <c r="EH267" s="79"/>
      <c r="EI267" s="105">
        <v>81.2</v>
      </c>
      <c r="EJ267" s="79"/>
      <c r="EK267" s="104"/>
      <c r="EL267" s="79"/>
      <c r="EM267" s="104"/>
      <c r="EN267" s="79"/>
      <c r="EO267" s="104"/>
      <c r="EP267" s="79"/>
      <c r="EQ267" s="104"/>
      <c r="ER267" s="79"/>
      <c r="ES267" s="129"/>
      <c r="ET267" s="469"/>
      <c r="EU267" s="129"/>
      <c r="EV267" s="75"/>
      <c r="EW267" s="79"/>
      <c r="EX267" s="75"/>
      <c r="EY267" s="79"/>
      <c r="EZ267" s="75"/>
      <c r="FA267" s="79"/>
      <c r="FB267" s="75"/>
      <c r="FC267" s="79"/>
      <c r="FD267" s="75"/>
      <c r="FE267" s="79"/>
      <c r="FF267" s="75"/>
      <c r="FG267" s="79"/>
      <c r="FH267" s="75"/>
      <c r="FI267" s="79"/>
      <c r="FJ267" s="75"/>
      <c r="FK267" s="79"/>
      <c r="FL267" s="75"/>
      <c r="FM267" s="79"/>
      <c r="FN267" s="75"/>
      <c r="FO267" s="79"/>
      <c r="FP267" s="75"/>
      <c r="FQ267" s="79"/>
      <c r="FR267" s="75"/>
      <c r="FS267" s="79"/>
      <c r="FT267" s="75"/>
      <c r="FU267" s="79"/>
      <c r="FV267" s="75"/>
      <c r="FW267" s="79"/>
      <c r="FX267" s="104"/>
      <c r="FY267" s="79"/>
      <c r="FZ267" s="104"/>
      <c r="GA267" s="79"/>
      <c r="GB267" s="104"/>
      <c r="GC267" s="79"/>
      <c r="GD267" s="104"/>
      <c r="GE267" s="79"/>
      <c r="GF267" s="104"/>
      <c r="GG267" s="79"/>
      <c r="GH267" s="104"/>
      <c r="GI267" s="79"/>
      <c r="GJ267" s="104"/>
      <c r="GK267" s="79"/>
      <c r="GL267" s="104"/>
      <c r="GM267" s="79"/>
      <c r="GN267" s="104"/>
      <c r="GO267" s="79"/>
      <c r="GP267" s="104"/>
      <c r="GQ267" s="79"/>
      <c r="GR267" s="104"/>
      <c r="GS267" s="79"/>
      <c r="GT267" s="79"/>
    </row>
    <row r="268" spans="1:286" ht="12.75" customHeight="1" x14ac:dyDescent="0.2">
      <c r="A268" s="1"/>
      <c r="B268" s="10" t="s">
        <v>428</v>
      </c>
      <c r="C268" s="79"/>
      <c r="D268" s="79"/>
      <c r="E268" s="75"/>
      <c r="F268" s="79"/>
      <c r="G268" s="75"/>
      <c r="H268" s="79"/>
      <c r="I268" s="75"/>
      <c r="J268" s="79"/>
      <c r="K268" s="75"/>
      <c r="L268" s="79"/>
      <c r="M268" s="75"/>
      <c r="N268" s="79"/>
      <c r="O268" s="75"/>
      <c r="P268" s="79"/>
      <c r="Q268" s="75"/>
      <c r="R268" s="79"/>
      <c r="S268" s="75"/>
      <c r="T268" s="79"/>
      <c r="U268" s="75"/>
      <c r="V268" s="79"/>
      <c r="W268" s="75"/>
      <c r="X268" s="79"/>
      <c r="Y268" s="75"/>
      <c r="Z268" s="79"/>
      <c r="AA268" s="267"/>
      <c r="AB268" s="79"/>
      <c r="AC268" s="75"/>
      <c r="AD268" s="79"/>
      <c r="AE268" s="75"/>
      <c r="AF268" s="79"/>
      <c r="AG268" s="75"/>
      <c r="AH268" s="79"/>
      <c r="AI268" s="75"/>
      <c r="AJ268" s="79"/>
      <c r="AK268" s="75"/>
      <c r="AL268" s="79"/>
      <c r="AM268" s="75"/>
      <c r="AN268" s="79"/>
      <c r="AO268" s="75"/>
      <c r="AP268" s="79"/>
      <c r="AQ268" s="75"/>
      <c r="AR268" s="79"/>
      <c r="AS268" s="75"/>
      <c r="AT268" s="79"/>
      <c r="AU268" s="75"/>
      <c r="AV268" s="79"/>
      <c r="AW268" s="75"/>
      <c r="AX268" s="79"/>
      <c r="AY268" s="75"/>
      <c r="AZ268" s="79"/>
      <c r="BA268" s="75"/>
      <c r="BB268" s="79"/>
      <c r="BC268" s="75"/>
      <c r="BD268" s="79"/>
      <c r="BE268" s="75"/>
      <c r="BF268" s="79"/>
      <c r="BG268" s="75"/>
      <c r="BH268" s="79"/>
      <c r="BI268" s="75"/>
      <c r="BJ268" s="79"/>
      <c r="BK268" s="75"/>
      <c r="BL268" s="79"/>
      <c r="BM268" s="75"/>
      <c r="BN268" s="79"/>
      <c r="BO268" s="75"/>
      <c r="BP268" s="79"/>
      <c r="BQ268" s="75"/>
      <c r="BR268" s="79"/>
      <c r="BS268" s="75"/>
      <c r="BT268" s="79"/>
      <c r="BU268" s="75"/>
      <c r="BV268" s="79"/>
      <c r="BW268" s="75"/>
      <c r="BX268" s="79"/>
      <c r="BY268" s="105">
        <v>78.5</v>
      </c>
      <c r="BZ268" s="79"/>
      <c r="CA268" s="105">
        <v>80.8</v>
      </c>
      <c r="CB268" s="79"/>
      <c r="CC268" s="105">
        <v>80.900000000000006</v>
      </c>
      <c r="CD268" s="79"/>
      <c r="CE268" s="105">
        <v>83.1</v>
      </c>
      <c r="CF268" s="79"/>
      <c r="CG268" s="105">
        <v>83</v>
      </c>
      <c r="CH268" s="79"/>
      <c r="CI268" s="105">
        <v>84.3</v>
      </c>
      <c r="CJ268" s="79"/>
      <c r="CK268" s="105">
        <v>86</v>
      </c>
      <c r="CL268" s="79"/>
      <c r="CM268" s="105">
        <v>86.4</v>
      </c>
      <c r="CN268" s="79"/>
      <c r="CO268" s="105">
        <v>91.2</v>
      </c>
      <c r="CP268" s="79"/>
      <c r="CQ268" s="105">
        <v>87.8</v>
      </c>
      <c r="CR268" s="79"/>
      <c r="CS268" s="105">
        <v>91.3</v>
      </c>
      <c r="CT268" s="79"/>
      <c r="CU268" s="105">
        <v>89.9</v>
      </c>
      <c r="CV268" s="79"/>
      <c r="CW268" s="105">
        <v>89.5</v>
      </c>
      <c r="CX268" s="79"/>
      <c r="CY268" s="105">
        <v>90.1</v>
      </c>
      <c r="CZ268" s="79"/>
      <c r="DA268" s="105">
        <v>89.6</v>
      </c>
      <c r="DB268" s="79"/>
      <c r="DC268" s="105">
        <v>89.3</v>
      </c>
      <c r="DD268" s="79"/>
      <c r="DE268" s="105">
        <v>84.7</v>
      </c>
      <c r="DF268" s="79"/>
      <c r="DG268" s="105">
        <v>80.8</v>
      </c>
      <c r="DH268" s="79"/>
      <c r="DI268" s="105">
        <v>88.5</v>
      </c>
      <c r="DJ268" s="79"/>
      <c r="DK268" s="105">
        <v>89.6</v>
      </c>
      <c r="DL268" s="79"/>
      <c r="DM268" s="105">
        <v>87.3</v>
      </c>
      <c r="DN268" s="79"/>
      <c r="DO268" s="105">
        <v>83.4</v>
      </c>
      <c r="DP268" s="79"/>
      <c r="DQ268" s="105">
        <v>89.9</v>
      </c>
      <c r="DR268" s="79"/>
      <c r="DS268" s="105">
        <v>89.7</v>
      </c>
      <c r="DT268" s="79"/>
      <c r="DU268" s="105">
        <v>88.9</v>
      </c>
      <c r="DV268" s="79"/>
      <c r="DW268" s="105">
        <v>92.6</v>
      </c>
      <c r="DX268" s="79"/>
      <c r="DY268" s="105">
        <v>93.8</v>
      </c>
      <c r="DZ268" s="79"/>
      <c r="EA268" s="105">
        <v>89.1</v>
      </c>
      <c r="EB268" s="79"/>
      <c r="EC268" s="105">
        <v>88.6</v>
      </c>
      <c r="ED268" s="79"/>
      <c r="EE268" s="105">
        <v>89.4</v>
      </c>
      <c r="EF268" s="79"/>
      <c r="EG268" s="105">
        <v>93.3</v>
      </c>
      <c r="EH268" s="79"/>
      <c r="EI268" s="105">
        <v>93.1</v>
      </c>
      <c r="EJ268" s="79"/>
      <c r="EK268" s="104"/>
      <c r="EL268" s="79"/>
      <c r="EM268" s="104"/>
      <c r="EN268" s="79"/>
      <c r="EO268" s="104"/>
      <c r="EP268" s="79"/>
      <c r="EQ268" s="104"/>
      <c r="ER268" s="79"/>
      <c r="ES268" s="129"/>
      <c r="ET268" s="469"/>
      <c r="EU268" s="129"/>
      <c r="EV268" s="75"/>
      <c r="EW268" s="79"/>
      <c r="EX268" s="75"/>
      <c r="EY268" s="79"/>
      <c r="EZ268" s="75"/>
      <c r="FA268" s="79"/>
      <c r="FB268" s="75"/>
      <c r="FC268" s="79"/>
      <c r="FD268" s="75"/>
      <c r="FE268" s="79"/>
      <c r="FF268" s="75"/>
      <c r="FG268" s="79"/>
      <c r="FH268" s="75"/>
      <c r="FI268" s="79"/>
      <c r="FJ268" s="75"/>
      <c r="FK268" s="79"/>
      <c r="FL268" s="75"/>
      <c r="FM268" s="79"/>
      <c r="FN268" s="75"/>
      <c r="FO268" s="79"/>
      <c r="FP268" s="75"/>
      <c r="FQ268" s="79"/>
      <c r="FR268" s="75"/>
      <c r="FS268" s="79"/>
      <c r="FT268" s="75"/>
      <c r="FU268" s="79"/>
      <c r="FV268" s="75"/>
      <c r="FW268" s="79"/>
      <c r="FX268" s="104"/>
      <c r="FY268" s="79"/>
      <c r="FZ268" s="104"/>
      <c r="GA268" s="79"/>
      <c r="GB268" s="104"/>
      <c r="GC268" s="79"/>
      <c r="GD268" s="104"/>
      <c r="GE268" s="79"/>
      <c r="GF268" s="104"/>
      <c r="GG268" s="79"/>
      <c r="GH268" s="104"/>
      <c r="GI268" s="79"/>
      <c r="GJ268" s="104"/>
      <c r="GK268" s="79"/>
      <c r="GL268" s="104"/>
      <c r="GM268" s="79"/>
      <c r="GN268" s="104"/>
      <c r="GO268" s="79"/>
      <c r="GP268" s="104"/>
      <c r="GQ268" s="79"/>
      <c r="GR268" s="104"/>
      <c r="GS268" s="79"/>
      <c r="GT268" s="79"/>
    </row>
    <row r="269" spans="1:286" ht="12.75" customHeight="1" x14ac:dyDescent="0.2">
      <c r="A269" s="1"/>
      <c r="B269" s="10" t="s">
        <v>429</v>
      </c>
      <c r="C269" s="79"/>
      <c r="D269" s="79"/>
      <c r="E269" s="75"/>
      <c r="F269" s="79"/>
      <c r="G269" s="75"/>
      <c r="H269" s="79"/>
      <c r="I269" s="75"/>
      <c r="J269" s="79"/>
      <c r="K269" s="75"/>
      <c r="L269" s="79"/>
      <c r="M269" s="75"/>
      <c r="N269" s="79"/>
      <c r="O269" s="75"/>
      <c r="P269" s="79"/>
      <c r="Q269" s="75"/>
      <c r="R269" s="79"/>
      <c r="S269" s="75"/>
      <c r="T269" s="79"/>
      <c r="U269" s="75"/>
      <c r="V269" s="79"/>
      <c r="W269" s="75"/>
      <c r="X269" s="79"/>
      <c r="Y269" s="75"/>
      <c r="Z269" s="79"/>
      <c r="AA269" s="267"/>
      <c r="AB269" s="79"/>
      <c r="AC269" s="75"/>
      <c r="AD269" s="79"/>
      <c r="AE269" s="75"/>
      <c r="AF269" s="79"/>
      <c r="AG269" s="75"/>
      <c r="AH269" s="79"/>
      <c r="AI269" s="75"/>
      <c r="AJ269" s="79"/>
      <c r="AK269" s="75"/>
      <c r="AL269" s="79"/>
      <c r="AM269" s="75"/>
      <c r="AN269" s="79"/>
      <c r="AO269" s="75"/>
      <c r="AP269" s="79"/>
      <c r="AQ269" s="75"/>
      <c r="AR269" s="79"/>
      <c r="AS269" s="75"/>
      <c r="AT269" s="79"/>
      <c r="AU269" s="75"/>
      <c r="AV269" s="79"/>
      <c r="AW269" s="75"/>
      <c r="AX269" s="79"/>
      <c r="AY269" s="75"/>
      <c r="AZ269" s="79"/>
      <c r="BA269" s="75"/>
      <c r="BB269" s="79"/>
      <c r="BC269" s="75"/>
      <c r="BD269" s="79"/>
      <c r="BE269" s="75"/>
      <c r="BF269" s="79"/>
      <c r="BG269" s="75"/>
      <c r="BH269" s="79"/>
      <c r="BI269" s="75"/>
      <c r="BJ269" s="79"/>
      <c r="BK269" s="75"/>
      <c r="BL269" s="79"/>
      <c r="BM269" s="75"/>
      <c r="BN269" s="79"/>
      <c r="BO269" s="75"/>
      <c r="BP269" s="79"/>
      <c r="BQ269" s="75"/>
      <c r="BR269" s="79"/>
      <c r="BS269" s="75"/>
      <c r="BT269" s="79"/>
      <c r="BU269" s="75"/>
      <c r="BV269" s="79"/>
      <c r="BW269" s="75"/>
      <c r="BX269" s="79"/>
      <c r="BY269" s="105">
        <v>0</v>
      </c>
      <c r="BZ269" s="79"/>
      <c r="CA269" s="105">
        <v>0</v>
      </c>
      <c r="CB269" s="79"/>
      <c r="CC269" s="105">
        <v>0</v>
      </c>
      <c r="CD269" s="79"/>
      <c r="CE269" s="105">
        <v>0</v>
      </c>
      <c r="CF269" s="79"/>
      <c r="CG269" s="105">
        <v>0</v>
      </c>
      <c r="CH269" s="79"/>
      <c r="CI269" s="105">
        <v>0</v>
      </c>
      <c r="CJ269" s="79"/>
      <c r="CK269" s="105">
        <v>0</v>
      </c>
      <c r="CL269" s="79"/>
      <c r="CM269" s="105">
        <f>(183.5+573.6)/CM252*100</f>
        <v>218.1215787957361</v>
      </c>
      <c r="CN269" s="79"/>
      <c r="CO269" s="105">
        <v>0</v>
      </c>
      <c r="CP269" s="79"/>
      <c r="CQ269" s="105">
        <v>0</v>
      </c>
      <c r="CR269" s="79"/>
      <c r="CS269" s="105">
        <v>0</v>
      </c>
      <c r="CT269" s="79"/>
      <c r="CU269" s="105">
        <v>0</v>
      </c>
      <c r="CV269" s="79"/>
      <c r="CW269" s="105">
        <v>0</v>
      </c>
      <c r="CX269" s="79"/>
      <c r="CY269" s="105">
        <v>0</v>
      </c>
      <c r="CZ269" s="79"/>
      <c r="DA269" s="105">
        <v>0</v>
      </c>
      <c r="DB269" s="79"/>
      <c r="DC269" s="105">
        <v>0</v>
      </c>
      <c r="DD269" s="79"/>
      <c r="DE269" s="105">
        <v>0</v>
      </c>
      <c r="DF269" s="79"/>
      <c r="DG269" s="105">
        <v>0</v>
      </c>
      <c r="DH269" s="79"/>
      <c r="DI269" s="105">
        <v>0</v>
      </c>
      <c r="DJ269" s="79"/>
      <c r="DK269" s="105">
        <v>528.9</v>
      </c>
      <c r="DL269" s="79"/>
      <c r="DM269" s="105">
        <v>0</v>
      </c>
      <c r="DN269" s="79"/>
      <c r="DO269" s="105">
        <v>0</v>
      </c>
      <c r="DP269" s="79"/>
      <c r="DQ269" s="105">
        <v>0</v>
      </c>
      <c r="DR269" s="79"/>
      <c r="DS269" s="105">
        <v>0</v>
      </c>
      <c r="DT269" s="79"/>
      <c r="DU269" s="105">
        <v>0</v>
      </c>
      <c r="DV269" s="79"/>
      <c r="DW269" s="105">
        <v>0</v>
      </c>
      <c r="DX269" s="79"/>
      <c r="DY269" s="105">
        <v>0</v>
      </c>
      <c r="DZ269" s="79"/>
      <c r="EA269" s="105"/>
      <c r="EB269" s="79"/>
      <c r="EC269" s="105">
        <v>0</v>
      </c>
      <c r="ED269" s="79"/>
      <c r="EE269" s="105"/>
      <c r="EF269" s="79"/>
      <c r="EG269" s="105"/>
      <c r="EH269" s="79"/>
      <c r="EI269" s="105"/>
      <c r="EJ269" s="79"/>
      <c r="EK269" s="104"/>
      <c r="EL269" s="79"/>
      <c r="EM269" s="104"/>
      <c r="EN269" s="79"/>
      <c r="EO269" s="104"/>
      <c r="EP269" s="79"/>
      <c r="EQ269" s="104"/>
      <c r="ER269" s="79"/>
      <c r="ES269" s="129"/>
      <c r="ET269" s="469"/>
      <c r="EU269" s="129"/>
      <c r="EV269" s="75"/>
      <c r="EW269" s="79"/>
      <c r="EX269" s="75"/>
      <c r="EY269" s="79"/>
      <c r="EZ269" s="75"/>
      <c r="FA269" s="79"/>
      <c r="FB269" s="75"/>
      <c r="FC269" s="79"/>
      <c r="FD269" s="75"/>
      <c r="FE269" s="79"/>
      <c r="FF269" s="75"/>
      <c r="FG269" s="79"/>
      <c r="FH269" s="75"/>
      <c r="FI269" s="79"/>
      <c r="FJ269" s="75"/>
      <c r="FK269" s="79"/>
      <c r="FL269" s="75"/>
      <c r="FM269" s="79"/>
      <c r="FN269" s="75"/>
      <c r="FO269" s="79"/>
      <c r="FP269" s="75"/>
      <c r="FQ269" s="79"/>
      <c r="FR269" s="75"/>
      <c r="FS269" s="79"/>
      <c r="FT269" s="75"/>
      <c r="FU269" s="79"/>
      <c r="FV269" s="75"/>
      <c r="FW269" s="79"/>
      <c r="FX269" s="104"/>
      <c r="FY269" s="79"/>
      <c r="FZ269" s="104"/>
      <c r="GA269" s="79"/>
      <c r="GB269" s="104"/>
      <c r="GC269" s="79"/>
      <c r="GD269" s="104"/>
      <c r="GE269" s="79"/>
      <c r="GF269" s="104"/>
      <c r="GG269" s="79"/>
      <c r="GH269" s="104"/>
      <c r="GI269" s="79"/>
      <c r="GJ269" s="104"/>
      <c r="GK269" s="79"/>
      <c r="GL269" s="104"/>
      <c r="GM269" s="79"/>
      <c r="GN269" s="104"/>
      <c r="GO269" s="79"/>
      <c r="GP269" s="104"/>
      <c r="GQ269" s="79"/>
      <c r="GR269" s="104"/>
      <c r="GS269" s="79"/>
      <c r="GT269" s="79"/>
    </row>
    <row r="270" spans="1:286" ht="12.75" customHeight="1" x14ac:dyDescent="0.2">
      <c r="A270" s="1"/>
      <c r="B270" s="10" t="s">
        <v>98</v>
      </c>
      <c r="C270" s="79"/>
      <c r="D270" s="79"/>
      <c r="E270" s="185"/>
      <c r="F270" s="185"/>
      <c r="G270" s="185"/>
      <c r="H270" s="185"/>
      <c r="I270" s="185"/>
      <c r="J270" s="185"/>
      <c r="K270" s="185"/>
      <c r="L270" s="79"/>
      <c r="M270" s="268">
        <f>+M259/M252*100</f>
        <v>126.20664998212372</v>
      </c>
      <c r="N270" s="79" t="str">
        <f>IF(ISERROR((M270/E270-1)*100),"NA",IF(((M270/E270-1)*100)&gt;100,"NM",IF(((M270/E270-1)*100)&lt;-50,"NM",(M270/E270-1)*100)))</f>
        <v>NA</v>
      </c>
      <c r="O270" s="268">
        <f>+O259/O252*100</f>
        <v>145.01278772378515</v>
      </c>
      <c r="P270" s="79" t="str">
        <f>IF(ISERROR((O270/G270-1)*100),"NA",IF(((O270/G270-1)*100)&gt;100,"NM",IF(((O270/G270-1)*100)&lt;-50,"NM",(O270/G270-1)*100)))</f>
        <v>NA</v>
      </c>
      <c r="Q270" s="268">
        <f>+Q259/Q252*100</f>
        <v>144.15108177484416</v>
      </c>
      <c r="R270" s="79" t="str">
        <f>IF(ISERROR((Q270/I270-1)*100),"NA",IF(((Q270/I270-1)*100)&gt;100,"NM",IF(((Q270/I270-1)*100)&lt;-50,"NM",(Q270/I270-1)*100)))</f>
        <v>NA</v>
      </c>
      <c r="S270" s="268">
        <f>+S259/S252*100</f>
        <v>143.1834403997145</v>
      </c>
      <c r="T270" s="79" t="str">
        <f>IF(ISERROR((S270/K270-1)*100),"NA",IF(((S270/K270-1)*100)&gt;100,"NM",IF(((S270/K270-1)*100)&lt;-50,"NM",(S270/K270-1)*100)))</f>
        <v>NA</v>
      </c>
      <c r="U270" s="268">
        <f>+U259/U252*100</f>
        <v>139.79895755770661</v>
      </c>
      <c r="V270" s="79">
        <f>IF(ISERROR((U270/M270-1)*100),"NA",IF(((U270/M270-1)*100)&gt;100,"NM",IF(((U270/M270-1)*100)&lt;-50,"NM",(U270/M270-1)*100)))</f>
        <v>10.769882234817384</v>
      </c>
      <c r="W270" s="268">
        <f>+W259/W252*100</f>
        <v>152.57296466973889</v>
      </c>
      <c r="X270" s="79">
        <f>IF(ISERROR((W270/O270-1)*100),"NA",IF(((W270/O270-1)*100)&gt;100,"NM",IF(((W270/O270-1)*100)&lt;-50,"NM",(W270/O270-1)*100)))</f>
        <v>5.2134553542644069</v>
      </c>
      <c r="Y270" s="268">
        <f>+Y259/Y252*100</f>
        <v>149.82830980541777</v>
      </c>
      <c r="Z270" s="79">
        <f>IF(ISERROR((Y270/Q270-1)*100),"NA",IF(((Y270/Q270-1)*100)&gt;100,"NM",IF(((Y270/Q270-1)*100)&lt;-50,"NM",(Y270/Q270-1)*100)))</f>
        <v>3.9383873923618085</v>
      </c>
      <c r="AA270" s="269">
        <f>+AA259/AA252*100</f>
        <v>155.05475989890479</v>
      </c>
      <c r="AB270" s="79">
        <f>IF(ISERROR((AA270/S270-1)*100),"NA",IF(((AA270/S270-1)*100)&gt;100,"NM",IF(((AA270/S270-1)*100)&lt;-50,"NM",(AA270/S270-1)*100)))</f>
        <v>8.2909863501324121</v>
      </c>
      <c r="AC270" s="268">
        <f>+AC259/AC252*100</f>
        <v>198.3684838838042</v>
      </c>
      <c r="AD270" s="79">
        <f>IF(ISERROR((AC270/U270-1)*100),"NA",IF(((AC270/U270-1)*100)&gt;100,"NM",IF(((AC270/U270-1)*100)&lt;-50,"NM",(AC270/U270-1)*100)))</f>
        <v>41.895538671610687</v>
      </c>
      <c r="AE270" s="268">
        <f>+AE259/AE252*100</f>
        <v>149.03691813804173</v>
      </c>
      <c r="AF270" s="79">
        <f>IF(ISERROR((AE270/W270-1)*100),"NA",IF(((AE270/W270-1)*100)&gt;100,"NM",IF(((AE270/W270-1)*100)&lt;-50,"NM",(AE270/W270-1)*100)))</f>
        <v>-2.3176101607197186</v>
      </c>
      <c r="AG270" s="268">
        <f>+AG259/AG252*100</f>
        <v>150.16207455429497</v>
      </c>
      <c r="AH270" s="79">
        <f>IF(ISERROR((AG270/Y270-1)*100),"NA",IF(((AG270/Y270-1)*100)&gt;100,"NM",IF(((AG270/Y270-1)*100)&lt;-50,"NM",(AG270/Y270-1)*100)))</f>
        <v>0.2227648094746959</v>
      </c>
      <c r="AI270" s="268">
        <f>+AI259/AI252*100</f>
        <v>158.12787296280817</v>
      </c>
      <c r="AJ270" s="79">
        <f>IF(ISERROR((AI270/AA270-1)*100),"NA",IF(((AI270/AA270-1)*100)&gt;100,"NM",IF(((AI270/AA270-1)*100)&lt;-50,"NM",(AI270/AA270-1)*100)))</f>
        <v>1.9819533859567029</v>
      </c>
      <c r="AK270" s="268">
        <f>+AK259/AK252*100</f>
        <v>153.51239669421489</v>
      </c>
      <c r="AL270" s="79">
        <f>IF(ISERROR((AK270/AC270-1)*100),"NA",IF(((AK270/AC270-1)*100)&gt;100,"NM",IF(((AK270/AC270-1)*100)&lt;-50,"NM",(AK270/AC270-1)*100)))</f>
        <v>-22.612506942314536</v>
      </c>
      <c r="AM270" s="268">
        <f>+AM259/AM252*100</f>
        <v>153.00687285223367</v>
      </c>
      <c r="AN270" s="79">
        <f>IF(ISERROR((AM270/AE270-1)*100),"NA",IF(((AM270/AE270-1)*100)&gt;100,"NM",IF(((AM270/AE270-1)*100)&lt;-50,"NM",(AM270/AE270-1)*100)))</f>
        <v>2.6637391351013173</v>
      </c>
      <c r="AO270" s="268">
        <f>+AO259/AO252*100</f>
        <v>151.97981366459626</v>
      </c>
      <c r="AP270" s="79">
        <f>IF(ISERROR((AO270/AG270-1)*100),"NA",IF(((AO270/AG270-1)*100)&gt;100,"NM",IF(((AO270/AG270-1)*100)&lt;-50,"NM",(AO270/AG270-1)*100)))</f>
        <v>1.2105181123107434</v>
      </c>
      <c r="AQ270" s="268">
        <f>+AQ259/AQ252*100</f>
        <v>150.51915503043321</v>
      </c>
      <c r="AR270" s="79">
        <f>IF(ISERROR((AQ270/AI270-1)*100),"NA",IF(((AQ270/AI270-1)*100)&gt;100,"NM",IF(((AQ270/AI270-1)*100)&lt;-50,"NM",(AQ270/AI270-1)*100)))</f>
        <v>-4.8117500032170408</v>
      </c>
      <c r="AS270" s="268">
        <f>+AS259/AS252*100</f>
        <v>153.94833948339485</v>
      </c>
      <c r="AT270" s="81">
        <f>IF(ISERROR((AS270/AK270-1)*100),"NA",IF(((AS270/AK270-1)*100)&gt;100,"NM",IF(((AS270/AK270-1)*100)&lt;-50,"NM",(AS270/AK270-1)*100)))</f>
        <v>0.28397888285747186</v>
      </c>
      <c r="AU270" s="268">
        <f>+AU259/AU252*100</f>
        <v>157.07797123391373</v>
      </c>
      <c r="AV270" s="81">
        <f>IF(ISERROR((AU270/AM270-1)*100),"NA",IF(((AU270/AM270-1)*100)&gt;100,"NM",IF(((AU270/AM270-1)*100)&lt;-50,"NM",(AU270/AM270-1)*100)))</f>
        <v>2.6607290939222761</v>
      </c>
      <c r="AW270" s="268">
        <f>+AW259/AW252*100</f>
        <v>158.49495733126454</v>
      </c>
      <c r="AX270" s="81">
        <f>IF(ISERROR((AW270/AO270-1)*100),"NA",IF(((AW270/AO270-1)*100)&gt;100,"NM",IF(((AW270/AO270-1)*100)&lt;-50,"NM",(AW270/AO270-1)*100)))</f>
        <v>4.2868480422318056</v>
      </c>
      <c r="AY270" s="268">
        <f>+AY259/AY252*100</f>
        <v>156.30096367679761</v>
      </c>
      <c r="AZ270" s="81">
        <f>IF(ISERROR((AY270/AQ270-1)*100),"NA",IF(((AY270/AQ270-1)*100)&gt;100,"NM",IF(((AY270/AQ270-1)*100)&lt;-50,"NM",(AY270/AQ270-1)*100)))</f>
        <v>3.8412444218115516</v>
      </c>
      <c r="BA270" s="268">
        <f>+BA259/BA252*100</f>
        <v>160.87990487514864</v>
      </c>
      <c r="BB270" s="81">
        <f>IF(ISERROR((BA270/AS270-1)*100),"NA",IF(((BA270/AS270-1)*100)&gt;100,"NM",IF(((BA270/AS270-1)*100)&lt;-50,"NM",(BA270/AS270-1)*100)))</f>
        <v>4.5025268963693188</v>
      </c>
      <c r="BC270" s="268">
        <f>+BC259/BC252*100</f>
        <v>160.90617481956698</v>
      </c>
      <c r="BD270" s="81">
        <f>IF(ISERROR((BC270/AU270-1)*100),"NA",IF(((BC270/AU270-1)*100)&gt;100,"NM",IF(((BC270/AU270-1)*100)&lt;-50,"NM",(BC270/AU270-1)*100)))</f>
        <v>2.4371358730833403</v>
      </c>
      <c r="BE270" s="268">
        <f>+BE259/BE252*100</f>
        <v>162.34375</v>
      </c>
      <c r="BF270" s="81">
        <f>IF(ISERROR((BE270/AW270-1)*100),"NA",IF(((BE270/AW270-1)*100)&gt;100,"NM",IF(((BE270/AW270-1)*100)&lt;-50,"NM",(BE270/AW270-1)*100)))</f>
        <v>2.4283376162506087</v>
      </c>
      <c r="BG270" s="268">
        <f>+BG259/BG252*100</f>
        <v>160.5471847739889</v>
      </c>
      <c r="BH270" s="81">
        <f>IF(ISERROR((BG270/AY270-1)*100),"NA",IF(((BG270/AY270-1)*100)&gt;100,"NM",IF(((BG270/AY270-1)*100)&lt;-50,"NM",(BG270/AY270-1)*100)))</f>
        <v>2.716695404368541</v>
      </c>
      <c r="BI270" s="268">
        <f>+BI259/BI252*100</f>
        <v>162.54194630872482</v>
      </c>
      <c r="BJ270" s="81">
        <f>IF(ISERROR((BI270/BA270-1)*100),"NA",IF(((BI270/BA270-1)*100)&gt;100,"NM",IF(((BI270/BA270-1)*100)&lt;-50,"NM",(BI270/BA270-1)*100)))</f>
        <v>1.0330944904934025</v>
      </c>
      <c r="BK270" s="268">
        <f>+BK259/BK252*100</f>
        <v>162.35244519392919</v>
      </c>
      <c r="BL270" s="81">
        <f>IF(ISERROR((BK270/BC270-1)*100),"NA",IF(((BK270/BC270-1)*100)&gt;100,"NM",IF(((BK270/BC270-1)*100)&lt;-50,"NM",(BK270/BC270-1)*100)))</f>
        <v>0.8988283861598223</v>
      </c>
      <c r="BM270" s="268">
        <f>+BM259/BM252*100</f>
        <v>161.7684210526316</v>
      </c>
      <c r="BN270" s="81">
        <f>IF(ISERROR((BM270/BE270-1)*100),"NA",IF(((BM270/BE270-1)*100)&gt;100,"NM",IF(((BM270/BE270-1)*100)&lt;-50,"NM",(BM270/BE270-1)*100)))</f>
        <v>-0.35438934197861149</v>
      </c>
      <c r="BO270" s="268">
        <f>+BO259/BO252*100</f>
        <v>162.20735785953178</v>
      </c>
      <c r="BP270" s="81">
        <f>IF(ISERROR((BO270/BG270-1)*100),"NA",IF(((BO270/BG270-1)*100)&gt;100,"NM",IF(((BO270/BG270-1)*100)&lt;-50,"NM",(BO270/BG270-1)*100)))</f>
        <v>1.0340717514791598</v>
      </c>
      <c r="BQ270" s="268">
        <f>+BQ259/BQ252*100</f>
        <v>163.85017421602788</v>
      </c>
      <c r="BR270" s="81">
        <f>IF(ISERROR((BQ270/BI270-1)*100),"NA",IF(((BQ270/BI270-1)*100)&gt;100,"NM",IF(((BQ270/BI270-1)*100)&lt;-50,"NM",(BQ270/BI270-1)*100)))</f>
        <v>0.80485556929303925</v>
      </c>
      <c r="BS270" s="268">
        <f>+BS259/BS252*100</f>
        <v>165.04385964912279</v>
      </c>
      <c r="BT270" s="81">
        <f>IF(ISERROR((BS270/BK270-1)*100),"NA",IF(((BS270/BK270-1)*100)&gt;100,"NM",IF(((BS270/BK270-1)*100)&lt;-50,"NM",(BS270/BK270-1)*100)))</f>
        <v>1.6577603447725853</v>
      </c>
      <c r="BU270" s="268">
        <f>+BU259/BU252*100</f>
        <v>166.90744920993228</v>
      </c>
      <c r="BV270" s="81">
        <f>IF(ISERROR((BU270/BM270-1)*100),"NA",IF(((BU270/BM270-1)*100)&gt;100,"NM",IF(((BU270/BM270-1)*100)&lt;-50,"NM",(BU270/BM270-1)*100)))</f>
        <v>3.1767808104084194</v>
      </c>
      <c r="BW270" s="268">
        <f>+BW259/BW252*100</f>
        <v>167.4567000911577</v>
      </c>
      <c r="BX270" s="81">
        <f>IF(ISERROR((BW270/BO270-1)*100),"NA",IF(((BW270/BO270-1)*100)&gt;100,"NM",IF(((BW270/BO270-1)*100)&lt;-50,"NM",(BW270/BO270-1)*100)))</f>
        <v>3.2361924273322629</v>
      </c>
      <c r="BY270" s="268">
        <f>+BY259/BY252*100</f>
        <v>153.5577449370553</v>
      </c>
      <c r="BZ270" s="81">
        <f>IF(ISERROR((BY270/BQ270-1)*100),"NA",IF(((BY270/BQ270-1)*100)&gt;100,"NM",IF(((BY270/BQ270-1)*100)&lt;-50,"NM",(BY270/BQ270-1)*100)))</f>
        <v>-6.2816102138546048</v>
      </c>
      <c r="CA270" s="268">
        <f>+CA259/CA252*100</f>
        <v>155.30093870789619</v>
      </c>
      <c r="CB270" s="81">
        <f>IF(ISERROR((CA270/BS270-1)*100),"NA",IF(((CA270/BS270-1)*100)&gt;100,"NM",IF(((CA270/BS270-1)*100)&lt;-50,"NM",(CA270/BS270-1)*100)))</f>
        <v>-5.9032313967570138</v>
      </c>
      <c r="CC270" s="268">
        <f>+CC259/CC252*100</f>
        <v>157.4937203460787</v>
      </c>
      <c r="CD270" s="81">
        <f>IF(ISERROR((CC270/BU270-1)*100),"NA",IF(((CC270/BU270-1)*100)&gt;100,"NM",IF(((CC270/BU270-1)*100)&lt;-50,"NM",(CC270/BU270-1)*100)))</f>
        <v>-5.6400891083136839</v>
      </c>
      <c r="CE270" s="268">
        <f>+CE259/CE252*100</f>
        <v>157.03683342495876</v>
      </c>
      <c r="CF270" s="81">
        <f>IF(ISERROR((CE270/BW270-1)*100),"NA",IF(((CE270/BW270-1)*100)&gt;100,"NM",IF(((CE270/BW270-1)*100)&lt;-50,"NM",(CE270/BW270-1)*100)))</f>
        <v>-6.222424459891263</v>
      </c>
      <c r="CG270" s="268">
        <f>+CG259/CG252*100</f>
        <v>159.31483578708949</v>
      </c>
      <c r="CH270" s="81">
        <f>IF(ISERROR((CG270/BY270-1)*100),"NA",IF(((CG270/BY270-1)*100)&gt;100,"NM",IF(((CG270/BY270-1)*100)&lt;-50,"NM",(CG270/BY270-1)*100)))</f>
        <v>3.7491374026064728</v>
      </c>
      <c r="CI270" s="268">
        <f>+CI259/CI252*100</f>
        <v>160.99597006332758</v>
      </c>
      <c r="CJ270" s="81">
        <f>IF(ISERROR((CI270/CA270-1)*100),"NA",IF(((CI270/CA270-1)*100)&gt;100,"NM",IF(((CI270/CA270-1)*100)&lt;-50,"NM",(CI270/CA270-1)*100)))</f>
        <v>3.6670939678884462</v>
      </c>
      <c r="CK270" s="268">
        <f>+CK259/CK252*100</f>
        <v>162.80207134637513</v>
      </c>
      <c r="CL270" s="81">
        <f>IF(ISERROR((CK270/CC270-1)*100),"NA",IF(((CK270/CC270-1)*100)&gt;100,"NM",IF(((CK270/CC270-1)*100)&lt;-50,"NM",(CK270/CC270-1)*100)))</f>
        <v>3.3705159727205558</v>
      </c>
      <c r="CM270" s="268">
        <f>+CM259/CM252*100</f>
        <v>381.70556035724576</v>
      </c>
      <c r="CN270" s="81" t="str">
        <f>IF(ISERROR((CM270/CE270-1)*100),"NA",IF(((CM270/CE270-1)*100)&gt;100,"NM",IF(((CM270/CE270-1)*100)&lt;-50,"NM",(CM270/CE270-1)*100)))</f>
        <v>NM</v>
      </c>
      <c r="CO270" s="268">
        <f>+CO259/CO252*100</f>
        <v>168.76640419947509</v>
      </c>
      <c r="CP270" s="81">
        <f>IF(ISERROR((CO270/CG270-1)*100),"NA",IF(((CO270/CG270-1)*100)&gt;100,"NM",IF(((CO270/CG270-1)*100)&lt;-50,"NM",(CO270/CG270-1)*100)))</f>
        <v>5.9326354420732086</v>
      </c>
      <c r="CQ270" s="268">
        <f>+CQ259/CQ252*100</f>
        <v>167.91240875912411</v>
      </c>
      <c r="CR270" s="81">
        <f>IF(ISERROR((CQ270/CI270-1)*100),"NA",IF(((CQ270/CI270-1)*100)&gt;100,"NM",IF(((CQ270/CI270-1)*100)&lt;-50,"NM",(CQ270/CI270-1)*100)))</f>
        <v>4.296032188306298</v>
      </c>
      <c r="CS270" s="268">
        <f>+CS259/CS252*100</f>
        <v>169.29133858267718</v>
      </c>
      <c r="CT270" s="81">
        <f>IF(ISERROR((CS270/CK270-1)*100),"NA",IF(((CS270/CK270-1)*100)&gt;100,"NM",IF(((CS270/CK270-1)*100)&lt;-50,"NM",(CS270/CK270-1)*100)))</f>
        <v>3.9859856712115116</v>
      </c>
      <c r="CU270" s="268">
        <f>+CU259/CU252*100</f>
        <v>169.666861484512</v>
      </c>
      <c r="CV270" s="81" t="str">
        <f>IF(ISERROR((CU270/CM270-1)*100),"NA",IF(((CU270/CM270-1)*100)&gt;100,"NM",IF(((CU270/CM270-1)*100)&lt;-50,"NM",(CU270/CM270-1)*100)))</f>
        <v>NM</v>
      </c>
      <c r="CW270" s="104">
        <f>+CW259/CW252*100</f>
        <v>170.23214810461354</v>
      </c>
      <c r="CX270" s="81">
        <f>IF(ISERROR((CW270/CO270-1)*100),"NA",IF(((CW270/CO270-1)*100)&gt;100,"NM",IF(((CW270/CO270-1)*100)&lt;-50,"NM",(CW270/CO270-1)*100)))</f>
        <v>0.86850455343352451</v>
      </c>
      <c r="CY270" s="104">
        <f>+CY259/CY252*100</f>
        <v>173.66180048661798</v>
      </c>
      <c r="CZ270" s="81">
        <f>IF(ISERROR((CY270/CQ270-1)*100),"NA",IF(((CY270/CQ270-1)*100)&gt;100,"NM",IF(((CY270/CQ270-1)*100)&lt;-50,"NM",(CY270/CQ270-1)*100)))</f>
        <v>3.4240421955601619</v>
      </c>
      <c r="DA270" s="104">
        <f>+DA259/DA252*100</f>
        <v>174.90039840637451</v>
      </c>
      <c r="DB270" s="81">
        <f>IF(ISERROR((DA270/CS270-1)*100),"NA",IF(((DA270/CS270-1)*100)&gt;100,"NM",IF(((DA270/CS270-1)*100)&lt;-50,"NM",(DA270/CS270-1)*100)))</f>
        <v>3.3132585935328418</v>
      </c>
      <c r="DC270" s="104">
        <f>+DC259/DC252*100</f>
        <v>176.87074829931976</v>
      </c>
      <c r="DD270" s="81">
        <f>IF(ISERROR((DC270/CU270-1)*100),"NA",IF(((DC270/CU270-1)*100)&gt;100,"NM",IF(((DC270/CU270-1)*100)&lt;-50,"NM",(DC270/CU270-1)*100)))</f>
        <v>4.2459009094509392</v>
      </c>
      <c r="DE270" s="104">
        <f>+DE259/DE252*100</f>
        <v>174.77194086190627</v>
      </c>
      <c r="DF270" s="81">
        <f>IF(ISERROR((DE270/CW270-1)*100),"NA",IF(((DE270/CW270-1)*100)&gt;100,"NM",IF(((DE270/CW270-1)*100)&lt;-50,"NM",(DE270/CW270-1)*100)))</f>
        <v>2.6668245732896834</v>
      </c>
      <c r="DG270" s="104">
        <f>+DG259/DG252*100</f>
        <v>177.72135829895271</v>
      </c>
      <c r="DH270" s="81">
        <f>IF(ISERROR((DG270/CY270-1)*100),"NA",IF(((DG270/CY270-1)*100)&gt;100,"NM",IF(((DG270/CY270-1)*100)&lt;-50,"NM",(DG270/CY270-1)*100)))</f>
        <v>2.3376227823041384</v>
      </c>
      <c r="DI270" s="104">
        <f>+DI259/DI252*100</f>
        <v>178.97599999999997</v>
      </c>
      <c r="DJ270" s="81">
        <f>IF(ISERROR((DI270/DA270-1)*100),"NA",IF(((DI270/DA270-1)*100)&gt;100,"NM",IF(((DI270/DA270-1)*100)&lt;-50,"NM",(DI270/DA270-1)*100)))</f>
        <v>2.3302414578587616</v>
      </c>
      <c r="DK270" s="104">
        <f>+DK259/DK252*100</f>
        <v>403.79299260687878</v>
      </c>
      <c r="DL270" s="81" t="str">
        <f>IF(ISERROR((DK270/DC270-1)*100),"NA",IF(((DK270/DC270-1)*100)&gt;100,"NM",IF(((DK270/DC270-1)*100)&lt;-50,"NM",(DK270/DC270-1)*100)))</f>
        <v>NM</v>
      </c>
      <c r="DM270" s="104">
        <f>+DM259/DM252*100</f>
        <v>181.27254837651691</v>
      </c>
      <c r="DN270" s="81">
        <f>IF(ISERROR((DM270/DE270-1)*100),"NA",IF(((DM270/DE270-1)*100)&gt;100,"NM",IF(((DM270/DE270-1)*100)&lt;-50,"NM",(DM270/DE270-1)*100)))</f>
        <v>3.7194800736046085</v>
      </c>
      <c r="DO270" s="104">
        <f>+DO259/DO252*100</f>
        <v>182.54125412541256</v>
      </c>
      <c r="DP270" s="81">
        <f>IF(ISERROR((DO270/DG270-1)*100),"NA",IF(((DO270/DG270-1)*100)&gt;100,"NM",IF(((DO270/DG270-1)*100)&lt;-50,"NM",(DO270/DG270-1)*100)))</f>
        <v>2.7120520980669749</v>
      </c>
      <c r="DQ270" s="104">
        <f>+DQ259/DQ252*100</f>
        <v>184.46730833056753</v>
      </c>
      <c r="DR270" s="81">
        <f>IF(ISERROR((DQ270/DI270-1)*100),"NA",IF(((DQ270/DI270-1)*100)&gt;100,"NM",IF(((DQ270/DI270-1)*100)&lt;-50,"NM",(DQ270/DI270-1)*100)))</f>
        <v>3.0681813933530533</v>
      </c>
      <c r="DS270" s="104">
        <f>+DS259/DS252*100</f>
        <v>189.91286863270778</v>
      </c>
      <c r="DT270" s="81" t="str">
        <f>IF(ISERROR((DS270/DK270-1)*100),"NA",IF(((DS270/DK270-1)*100)&gt;100,"NM",IF(((DS270/DK270-1)*100)&lt;-50,"NM",(DS270/DK270-1)*100)))</f>
        <v>NM</v>
      </c>
      <c r="DU270" s="104">
        <f>+DU259/DU252*100</f>
        <v>187.35204599256002</v>
      </c>
      <c r="DV270" s="81">
        <f>IF(ISERROR((DU270/DM270-1)*100),"NA",IF(((DU270/DM270-1)*100)&gt;100,"NM",IF(((DU270/DM270-1)*100)&lt;-50,"NM",(DU270/DM270-1)*100)))</f>
        <v>3.3537883537751778</v>
      </c>
      <c r="DW270" s="104">
        <f>+DW259/DW252*100</f>
        <v>191.93103448275863</v>
      </c>
      <c r="DX270" s="81">
        <f>IF(ISERROR((DW270/DO270-1)*100),"NA",IF(((DW270/DO270-1)*100)&gt;100,"NM",IF(((DW270/DO270-1)*100)&lt;-50,"NM",(DW270/DO270-1)*100)))</f>
        <v>5.1439223436555048</v>
      </c>
      <c r="DY270" s="104">
        <f>+DY259/DY252*100</f>
        <v>189.96587030716725</v>
      </c>
      <c r="DZ270" s="81">
        <f>IF(ISERROR((DY270/DQ270-1)*100),"NA",IF(((DY270/DQ270-1)*100)&gt;100,"NM",IF(((DY270/DQ270-1)*100)&lt;-50,"NM",(DY270/DQ270-1)*100)))</f>
        <v>2.9807785598227721</v>
      </c>
      <c r="EA270" s="104">
        <f>+EA259/EA252*100</f>
        <v>190.77819677751114</v>
      </c>
      <c r="EB270" s="81">
        <f>IF(ISERROR((EA270/DS270-1)*100),"NA",IF(((EA270/DS270-1)*100)&gt;100,"NM",IF(((EA270/DS270-1)*100)&lt;-50,"NM",(EA270/DS270-1)*100)))</f>
        <v>0.45564481808597623</v>
      </c>
      <c r="EC270" s="104">
        <f>+EC259/EC252*100</f>
        <v>191.25130707563613</v>
      </c>
      <c r="ED270" s="81">
        <f t="shared" ref="ED270" si="916">IF(ISERROR((EC270/DU270-1)*100),"NA",IF(((EC270/DU270-1)*100)&gt;100,"NM",IF(((EC270/DU270-1)*100)&lt;-50,"NM",(EC270/DU270-1)*100)))</f>
        <v>2.0812481990353904</v>
      </c>
      <c r="EE270" s="104">
        <f>+EE259/EE252*100</f>
        <v>194.59843638948121</v>
      </c>
      <c r="EF270" s="81">
        <f t="shared" ref="EF270" si="917">IF(ISERROR((EE270/DW270-1)*100),"NA",IF(((EE270/DW270-1)*100)&gt;100,"NM",IF(((EE270/DW270-1)*100)&lt;-50,"NM",(EE270/DW270-1)*100)))</f>
        <v>1.3897710257807061</v>
      </c>
      <c r="EG270" s="104">
        <f>+EG259/EG252*100</f>
        <v>194.83185840707964</v>
      </c>
      <c r="EH270" s="81">
        <f t="shared" ref="EH270" si="918">IF(ISERROR((EG270/DY270-1)*100),"NA",IF(((EG270/DY270-1)*100)&gt;100,"NM",IF(((EG270/DY270-1)*100)&lt;-50,"NM",(EG270/DY270-1)*100)))</f>
        <v>2.5615064916894248</v>
      </c>
      <c r="EI270" s="104">
        <f>+EI259/EI252*100</f>
        <v>195.79741379310346</v>
      </c>
      <c r="EJ270" s="81">
        <f t="shared" ref="EJ270" si="919">IF(ISERROR((EI270/EA270-1)*100),"NA",IF(((EI270/EA270-1)*100)&gt;100,"NM",IF(((EI270/EA270-1)*100)&lt;-50,"NM",(EI270/EA270-1)*100)))</f>
        <v>2.6309175264120022</v>
      </c>
      <c r="EK270" s="105">
        <f>EI270+1.2</f>
        <v>196.99741379310345</v>
      </c>
      <c r="EL270" s="81">
        <f t="shared" ref="EL270" si="920">IF(ISERROR((EK270/EC270-1)*100),"NA",IF(((EK270/EC270-1)*100)&gt;100,"NM",IF(((EK270/EC270-1)*100)&lt;-50,"NM",(EK270/EC270-1)*100)))</f>
        <v>3.0044797106640653</v>
      </c>
      <c r="EM270" s="105">
        <f>EK270</f>
        <v>196.99741379310345</v>
      </c>
      <c r="EN270" s="81">
        <f t="shared" ref="EN270" si="921">IF(ISERROR((EM270/EE270-1)*100),"NA",IF(((EM270/EE270-1)*100)&gt;100,"NM",IF(((EM270/EE270-1)*100)&lt;-50,"NM",(EM270/EE270-1)*100)))</f>
        <v>1.2327834941185056</v>
      </c>
      <c r="EO270" s="105">
        <f>EM270</f>
        <v>196.99741379310345</v>
      </c>
      <c r="EP270" s="81">
        <f t="shared" ref="EP270" si="922">IF(ISERROR((EO270/EG270-1)*100),"NA",IF(((EO270/EG270-1)*100)&gt;100,"NM",IF(((EO270/EG270-1)*100)&lt;-50,"NM",(EO270/EG270-1)*100)))</f>
        <v>1.1114996303628777</v>
      </c>
      <c r="EQ270" s="105">
        <f>EO270</f>
        <v>196.99741379310345</v>
      </c>
      <c r="ER270" s="81">
        <f t="shared" ref="ER270" si="923">IF(ISERROR((EQ270/EI270-1)*100),"NA",IF(((EQ270/EI270-1)*100)&gt;100,"NM",IF(((EQ270/EI270-1)*100)&lt;-50,"NM",(EQ270/EI270-1)*100)))</f>
        <v>0.61287837094110564</v>
      </c>
      <c r="ES270" s="129"/>
      <c r="ET270" s="469"/>
      <c r="EU270" s="129"/>
      <c r="EV270" s="184"/>
      <c r="EW270" s="79"/>
      <c r="EX270" s="185"/>
      <c r="EY270" s="79"/>
      <c r="EZ270" s="185"/>
      <c r="FA270" s="79"/>
      <c r="FB270" s="185"/>
      <c r="FC270" s="79"/>
      <c r="FD270" s="185">
        <f>+FD259/FD252*100</f>
        <v>139.58239175630479</v>
      </c>
      <c r="FE270" s="79" t="str">
        <f>IF(ISERROR((FD270/FB270-1)*100),"NA",IF(((FD270/FB270-1)*100)&gt;100,"NM",IF(((FD270/FB270-1)*100)&lt;-50,"NM",(FD270/FB270-1)*100)))</f>
        <v>NA</v>
      </c>
      <c r="FF270" s="268">
        <f>+FF259/FF252*100</f>
        <v>149.11035488575595</v>
      </c>
      <c r="FG270" s="79">
        <f>IF(ISERROR((FF270/FD270-1)*100),"NA",IF(((FF270/FD270-1)*100)&gt;100,"NM",IF(((FF270/FD270-1)*100)&lt;-50,"NM",(FF270/FD270-1)*100)))</f>
        <v>6.8260494820048034</v>
      </c>
      <c r="FH270" s="268">
        <f>+FH259/FH252*100</f>
        <v>164.08878978309346</v>
      </c>
      <c r="FI270" s="79">
        <f>IF(ISERROR((FH270/FF270-1)*100),"NA",IF(((FH270/FF270-1)*100)&gt;100,"NM",IF(((FH270/FF270-1)*100)&lt;-50,"NM",(FH270/FF270-1)*100)))</f>
        <v>10.045201024981498</v>
      </c>
      <c r="FJ270" s="268">
        <f>+FJ259/FJ252*100</f>
        <v>152.1794998517347</v>
      </c>
      <c r="FK270" s="79">
        <f>IF(ISERROR((FJ270/FH270-1)*100),"NA",IF(((FJ270/FH270-1)*100)&gt;100,"NM",IF(((FJ270/FH270-1)*100)&lt;-50,"NM",(FJ270/FH270-1)*100)))</f>
        <v>-7.2578327545114281</v>
      </c>
      <c r="FL270" s="268">
        <f>+FL259/FL252*100</f>
        <v>156.42642077531053</v>
      </c>
      <c r="FM270" s="79">
        <f>IF(ISERROR((FL270/FJ270-1)*100),"NA",IF(((FL270/FJ270-1)*100)&gt;100,"NM",IF(((FL270/FJ270-1)*100)&lt;-50,"NM",(FL270/FJ270-1)*100)))</f>
        <v>2.7907312927914152</v>
      </c>
      <c r="FN270" s="268">
        <f>+FN259/FN252*100</f>
        <v>161.17437370036637</v>
      </c>
      <c r="FO270" s="79">
        <f>IF(ISERROR((FN270/FL270-1)*100),"NA",IF(((FN270/FL270-1)*100)&gt;100,"NM",IF(((FN270/FL270-1)*100)&lt;-50,"NM",(FN270/FL270-1)*100)))</f>
        <v>3.0352627781951025</v>
      </c>
      <c r="FP270" s="271">
        <f>+FP259/FP252*100</f>
        <v>162.21778851202353</v>
      </c>
      <c r="FQ270" s="79">
        <f>IF(ISERROR((FP270/FN270-1)*100),"NA",IF(((FP270/FN270-1)*100)&gt;100,"NM",IF(((FP270/FN270-1)*100)&lt;-50,"NM",(FP270/FN270-1)*100)))</f>
        <v>0.64738257559289192</v>
      </c>
      <c r="FR270" s="271">
        <f>+FR259/FR252*100</f>
        <v>150.09693161307572</v>
      </c>
      <c r="FS270" s="79">
        <f>IF(ISERROR((FR270/FP270-1)*100),"NA",IF(((FR270/FP270-1)*100)&gt;100,"NM",IF(((FR270/FP270-1)*100)&lt;-50,"NM",(FR270/FP270-1)*100)))</f>
        <v>-7.471965319049712</v>
      </c>
      <c r="FT270" s="271">
        <f>+FT259/FT252*100</f>
        <v>155.83913913223427</v>
      </c>
      <c r="FU270" s="79">
        <f>IF(ISERROR((FT270/FR270-1)*100),"NA",IF(((FT270/FR270-1)*100)&gt;100,"NM",IF(((FT270/FR270-1)*100)&lt;-50,"NM",(FT270/FR270-1)*100)))</f>
        <v>3.8256661594928243</v>
      </c>
      <c r="FV270" s="271">
        <f>+FV259/FV252*100</f>
        <v>215.92489070450807</v>
      </c>
      <c r="FW270" s="79">
        <f>IF(ISERROR((FV270/FT270-1)*100),"NA",IF(((FV270/FT270-1)*100)&gt;100,"NM",IF(((FV270/FT270-1)*100)&lt;-50,"NM",(FV270/FT270-1)*100)))</f>
        <v>38.556265073621333</v>
      </c>
      <c r="FX270" s="103">
        <f>+FX259/FX252*100</f>
        <v>168.90915724188253</v>
      </c>
      <c r="FY270" s="79">
        <f>IF(ISERROR((FX270/FV270-1)*100),"NA",IF(((FX270/FV270-1)*100)&gt;100,"NM",IF(((FX270/FV270-1)*100)&lt;-50,"NM",(FX270/FV270-1)*100)))</f>
        <v>-21.774114743893193</v>
      </c>
      <c r="FZ270" s="103">
        <f>+FZ259/FZ252*100</f>
        <v>173.8701850166818</v>
      </c>
      <c r="GA270" s="79">
        <f>IF(ISERROR((FZ270/FX270-1)*100),"NA",IF(((FZ270/FX270-1)*100)&gt;100,"NM",IF(((FZ270/FX270-1)*100)&lt;-50,"NM",(FZ270/FX270-1)*100)))</f>
        <v>2.9370981750237224</v>
      </c>
      <c r="GB270" s="103">
        <f>+GB259/GB252*100</f>
        <v>233.25640617539395</v>
      </c>
      <c r="GC270" s="79">
        <f>IF(ISERROR((GB270/FZ270-1)*100),"NA",IF(((GB270/FZ270-1)*100)&gt;100,"NM",IF(((GB270/FZ270-1)*100)&lt;-50,"NM",(GB270/FZ270-1)*100)))</f>
        <v>34.155494314919132</v>
      </c>
      <c r="GD270" s="103">
        <f>+GD259/GD252*100</f>
        <v>184.52302086783706</v>
      </c>
      <c r="GE270" s="79">
        <f>IF(ISERROR((GD270/GB270-1)*100),"NA",IF(((GD270/GB270-1)*100)&gt;100,"NM",IF(((GD270/GB270-1)*100)&lt;-50,"NM",(GD270/GB270-1)*100)))</f>
        <v>-20.892624604235944</v>
      </c>
      <c r="GF270" s="103">
        <f>+GF259/GF252*100</f>
        <v>189.99487354750511</v>
      </c>
      <c r="GG270" s="79">
        <f>IF(ISERROR((GF270/GD270-1)*100),"NA",IF(((GF270/GD270-1)*100)&gt;100,"NM",IF(((GF270/GD270-1)*100)&lt;-50,"NM",(GF270/GD270-1)*100)))</f>
        <v>2.9654038037818742</v>
      </c>
      <c r="GH270" s="103">
        <f>+GH259/GH252*100</f>
        <v>194.10201912858668</v>
      </c>
      <c r="GI270" s="79">
        <f>IF(ISERROR((GH270/GF270-1)*100),"NA",IF(((GH270/GF270-1)*100)&gt;100,"NM",IF(((GH270/GF270-1)*100)&lt;-50,"NM",(GH270/GF270-1)*100)))</f>
        <v>2.1617138949039383</v>
      </c>
      <c r="GJ270" s="103">
        <f>+GJ259/GJ252*100</f>
        <v>196.99741379310345</v>
      </c>
      <c r="GK270" s="79">
        <f>IF(ISERROR((GJ270/GH270-1)*100),"NA",IF(((GJ270/GH270-1)*100)&gt;100,"NM",IF(((GJ270/GH270-1)*100)&lt;-50,"NM",(GJ270/GH270-1)*100)))</f>
        <v>1.4916870404107829</v>
      </c>
      <c r="GL270" s="105">
        <f>GJ270</f>
        <v>196.99741379310345</v>
      </c>
      <c r="GM270" s="79">
        <f>IF(ISERROR((GL270/GJ270-1)*100),"NA",IF(((GL270/GJ270-1)*100)&gt;100,"NM",IF(((GL270/GJ270-1)*100)&lt;-50,"NM",(GL270/GJ270-1)*100)))</f>
        <v>0</v>
      </c>
      <c r="GN270" s="105">
        <f>GL270</f>
        <v>196.99741379310345</v>
      </c>
      <c r="GO270" s="79">
        <f>IF(ISERROR((GN270/GL270-1)*100),"NA",IF(((GN270/GL270-1)*100)&gt;100,"NM",IF(((GN270/GL270-1)*100)&lt;-50,"NM",(GN270/GL270-1)*100)))</f>
        <v>0</v>
      </c>
      <c r="GP270" s="105">
        <f>GN270</f>
        <v>196.99741379310345</v>
      </c>
      <c r="GQ270" s="79">
        <f>IF(ISERROR((GP270/GN270-1)*100),"NA",IF(((GP270/GN270-1)*100)&gt;100,"NM",IF(((GP270/GN270-1)*100)&lt;-50,"NM",(GP270/GN270-1)*100)))</f>
        <v>0</v>
      </c>
      <c r="GR270" s="105">
        <f>GP270</f>
        <v>196.99741379310345</v>
      </c>
      <c r="GS270" s="79">
        <f>IF(ISERROR((GR270/GP270-1)*100),"NA",IF(((GR270/GP270-1)*100)&gt;100,"NM",IF(((GR270/GP270-1)*100)&lt;-50,"NM",(GR270/GP270-1)*100)))</f>
        <v>0</v>
      </c>
      <c r="GT270" s="79">
        <f>IF(ISERROR(((GR270/GH270)^0.2-1)*100),"NA",(IF(OR(((GR270/GH270)^0.2-1)*100&gt;99,((GR270/GH270)^0.2-1)*100&lt;-50),"NM",(((GR270/GH270)^0.2-1)*100))))</f>
        <v>0.29657307155426249</v>
      </c>
    </row>
    <row r="271" spans="1:286" ht="12.75" customHeight="1" x14ac:dyDescent="0.2">
      <c r="A271" s="1"/>
      <c r="C271" s="79"/>
      <c r="D271" s="79"/>
      <c r="E271" s="185"/>
      <c r="F271" s="185"/>
      <c r="G271" s="185"/>
      <c r="H271" s="185"/>
      <c r="I271" s="185"/>
      <c r="J271" s="185"/>
      <c r="K271" s="185"/>
      <c r="L271" s="79"/>
      <c r="M271" s="268"/>
      <c r="N271" s="79"/>
      <c r="O271" s="268"/>
      <c r="P271" s="79"/>
      <c r="Q271" s="268"/>
      <c r="R271" s="79"/>
      <c r="S271" s="268"/>
      <c r="T271" s="79"/>
      <c r="U271" s="268"/>
      <c r="V271" s="79"/>
      <c r="W271" s="268"/>
      <c r="X271" s="79"/>
      <c r="Y271" s="268"/>
      <c r="Z271" s="79"/>
      <c r="AA271" s="269"/>
      <c r="AB271" s="79"/>
      <c r="AC271" s="268"/>
      <c r="AD271" s="79"/>
      <c r="AE271" s="268"/>
      <c r="AF271" s="79"/>
      <c r="AG271" s="268"/>
      <c r="AH271" s="79"/>
      <c r="AI271" s="268"/>
      <c r="AJ271" s="79"/>
      <c r="AK271" s="268"/>
      <c r="AL271" s="79"/>
      <c r="AM271" s="268"/>
      <c r="AN271" s="79"/>
      <c r="AO271" s="268"/>
      <c r="AP271" s="79"/>
      <c r="AQ271" s="268"/>
      <c r="AR271" s="79"/>
      <c r="AS271" s="268"/>
      <c r="AT271" s="81"/>
      <c r="AU271" s="268"/>
      <c r="AV271" s="81"/>
      <c r="AW271" s="268"/>
      <c r="AX271" s="81"/>
      <c r="AY271" s="268"/>
      <c r="AZ271" s="81"/>
      <c r="BA271" s="268"/>
      <c r="BB271" s="81"/>
      <c r="BC271" s="268"/>
      <c r="BD271" s="81"/>
      <c r="BE271" s="268"/>
      <c r="BF271" s="81"/>
      <c r="BG271" s="268"/>
      <c r="BH271" s="81"/>
      <c r="BI271" s="268"/>
      <c r="BJ271" s="81"/>
      <c r="BK271" s="268"/>
      <c r="BL271" s="81"/>
      <c r="BM271" s="268"/>
      <c r="BN271" s="81"/>
      <c r="BO271" s="268"/>
      <c r="BP271" s="81"/>
      <c r="BQ271" s="268"/>
      <c r="BR271" s="81"/>
      <c r="BS271" s="268"/>
      <c r="BT271" s="81"/>
      <c r="BU271" s="268"/>
      <c r="BV271" s="81"/>
      <c r="BW271" s="268"/>
      <c r="BX271" s="81"/>
      <c r="BY271" s="268"/>
      <c r="BZ271" s="81"/>
      <c r="CA271" s="268"/>
      <c r="CB271" s="81"/>
      <c r="CC271" s="268"/>
      <c r="CD271" s="81"/>
      <c r="CE271" s="268"/>
      <c r="CF271" s="81"/>
      <c r="CG271" s="268"/>
      <c r="CH271" s="81"/>
      <c r="CI271" s="268"/>
      <c r="CJ271" s="81"/>
      <c r="CK271" s="268"/>
      <c r="CL271" s="81"/>
      <c r="CM271" s="268"/>
      <c r="CN271" s="81"/>
      <c r="CO271" s="268"/>
      <c r="CP271" s="81"/>
      <c r="CQ271" s="268"/>
      <c r="CR271" s="81"/>
      <c r="CS271" s="268"/>
      <c r="CT271" s="81"/>
      <c r="CU271" s="268"/>
      <c r="CV271" s="81"/>
      <c r="CW271" s="268"/>
      <c r="CX271" s="81"/>
      <c r="CY271" s="268"/>
      <c r="CZ271" s="81"/>
      <c r="DA271" s="268"/>
      <c r="DB271" s="81"/>
      <c r="DC271" s="268"/>
      <c r="DD271" s="81"/>
      <c r="DE271" s="268"/>
      <c r="DF271" s="81"/>
      <c r="DG271" s="268"/>
      <c r="DH271" s="81"/>
      <c r="DI271" s="268"/>
      <c r="DJ271" s="81"/>
      <c r="DK271" s="268"/>
      <c r="DL271" s="81"/>
      <c r="DM271" s="268"/>
      <c r="DN271" s="81"/>
      <c r="DO271" s="268"/>
      <c r="DP271" s="81"/>
      <c r="DQ271" s="268"/>
      <c r="DR271" s="81"/>
      <c r="DS271" s="268"/>
      <c r="DT271" s="81"/>
      <c r="DU271" s="268"/>
      <c r="DV271" s="81"/>
      <c r="DW271" s="268"/>
      <c r="DX271" s="81"/>
      <c r="DY271" s="268"/>
      <c r="DZ271" s="81"/>
      <c r="EA271" s="268"/>
      <c r="EB271" s="81"/>
      <c r="EC271" s="268"/>
      <c r="ED271" s="81"/>
      <c r="EE271" s="268"/>
      <c r="EF271" s="81"/>
      <c r="EG271" s="268"/>
      <c r="EH271" s="81"/>
      <c r="EI271" s="268"/>
      <c r="EJ271" s="81"/>
      <c r="EK271" s="270"/>
      <c r="EL271" s="81"/>
      <c r="EM271" s="270"/>
      <c r="EN271" s="81"/>
      <c r="EO271" s="270"/>
      <c r="EP271" s="81"/>
      <c r="EQ271" s="270"/>
      <c r="ER271" s="81"/>
      <c r="ES271" s="129"/>
      <c r="ET271" s="469"/>
      <c r="EU271" s="129"/>
      <c r="EV271" s="184"/>
      <c r="EW271" s="79"/>
      <c r="EX271" s="185"/>
      <c r="EY271" s="79"/>
      <c r="EZ271" s="185"/>
      <c r="FA271" s="79"/>
      <c r="FB271" s="185"/>
      <c r="FC271" s="79"/>
      <c r="FD271" s="185"/>
      <c r="FE271" s="79"/>
      <c r="FF271" s="268"/>
      <c r="FG271" s="79"/>
      <c r="FH271" s="268"/>
      <c r="FI271" s="79"/>
      <c r="FJ271" s="268"/>
      <c r="FK271" s="79"/>
      <c r="FL271" s="268"/>
      <c r="FM271" s="79"/>
      <c r="FN271" s="268"/>
      <c r="FO271" s="79"/>
      <c r="FP271" s="271"/>
      <c r="FQ271" s="79"/>
      <c r="FR271" s="271"/>
      <c r="FS271" s="79"/>
      <c r="FT271" s="271"/>
      <c r="FU271" s="79"/>
      <c r="FV271" s="271"/>
      <c r="FW271" s="79"/>
      <c r="FX271" s="271"/>
      <c r="FY271" s="79"/>
      <c r="FZ271" s="271"/>
      <c r="GA271" s="79"/>
      <c r="GB271" s="271"/>
      <c r="GC271" s="79"/>
      <c r="GD271" s="271"/>
      <c r="GE271" s="79"/>
      <c r="GF271" s="271"/>
      <c r="GG271" s="79"/>
      <c r="GH271" s="271"/>
      <c r="GI271" s="79"/>
      <c r="GJ271" s="271"/>
      <c r="GK271" s="79"/>
      <c r="GL271" s="270"/>
      <c r="GM271" s="79"/>
      <c r="GN271" s="270"/>
      <c r="GO271" s="79"/>
      <c r="GP271" s="270"/>
      <c r="GQ271" s="79"/>
      <c r="GR271" s="270"/>
      <c r="GS271" s="79"/>
      <c r="GT271" s="79"/>
    </row>
    <row r="272" spans="1:286" ht="12.75" customHeight="1" x14ac:dyDescent="0.2">
      <c r="A272" s="1"/>
      <c r="B272" s="10" t="s">
        <v>45</v>
      </c>
      <c r="C272" s="3"/>
      <c r="D272" s="3"/>
      <c r="E272" s="253"/>
      <c r="F272" s="253"/>
      <c r="G272" s="253"/>
      <c r="H272" s="253"/>
      <c r="I272" s="253"/>
      <c r="J272" s="253"/>
      <c r="K272" s="253"/>
      <c r="L272" s="79"/>
      <c r="M272" s="253">
        <f>+M260/M252*100</f>
        <v>10.797282803003219</v>
      </c>
      <c r="N272" s="79" t="str">
        <f>IF(ISERROR((M272/E272-1)*100),"NA",IF(((M272/E272-1)*100)&gt;100,"NM",IF(((M272/E272-1)*100)&lt;-50,"NM",(M272/E272-1)*100)))</f>
        <v>NA</v>
      </c>
      <c r="O272" s="253">
        <f>+O260/O252*100</f>
        <v>9.9013518450858609</v>
      </c>
      <c r="P272" s="79" t="str">
        <f>IF(ISERROR((O272/G272-1)*100),"NA",IF(((O272/G272-1)*100)&gt;100,"NM",IF(((O272/G272-1)*100)&lt;-50,"NM",(O272/G272-1)*100)))</f>
        <v>NA</v>
      </c>
      <c r="Q272" s="253">
        <f>+Q260/Q252*100</f>
        <v>9.6076274294096091</v>
      </c>
      <c r="R272" s="79" t="str">
        <f>IF(ISERROR((Q272/I272-1)*100),"NA",IF(((Q272/I272-1)*100)&gt;100,"NM",IF(((Q272/I272-1)*100)&lt;-50,"NM",(Q272/I272-1)*100)))</f>
        <v>NA</v>
      </c>
      <c r="S272" s="253">
        <f>+S260/S252*100</f>
        <v>9.172019985724484</v>
      </c>
      <c r="T272" s="79" t="str">
        <f>IF(ISERROR((S272/K272-1)*100),"NA",IF(((S272/K272-1)*100)&gt;100,"NM",IF(((S272/K272-1)*100)&lt;-50,"NM",(S272/K272-1)*100)))</f>
        <v>NA</v>
      </c>
      <c r="U272" s="253">
        <f>+U260/U252*100</f>
        <v>9.4936708860759484</v>
      </c>
      <c r="V272" s="79">
        <f>IF(ISERROR((U272/M272-1)*100),"NA",IF(((U272/M272-1)*100)&gt;100,"NM",IF(((U272/M272-1)*100)&lt;-50,"NM",(U272/M272-1)*100)))</f>
        <v>-12.073518316707199</v>
      </c>
      <c r="W272" s="253">
        <f>+W260/W252*100</f>
        <v>8.7557603686635961</v>
      </c>
      <c r="X272" s="79">
        <f>IF(ISERROR((W272/O272-1)*100),"NA",IF(((W272/O272-1)*100)&gt;100,"NM",IF(((W272/O272-1)*100)&lt;-50,"NM",(W272/O272-1)*100)))</f>
        <v>-11.570051184382802</v>
      </c>
      <c r="Y272" s="253">
        <f>+Y260/Y252*100</f>
        <v>7.8214421976344903</v>
      </c>
      <c r="Z272" s="79">
        <f>IF(ISERROR((Y272/Q272-1)*100),"NA",IF(((Y272/Q272-1)*100)&gt;100,"NM",IF(((Y272/Q272-1)*100)&lt;-50,"NM",(Y272/Q272-1)*100)))</f>
        <v>-18.591324912407437</v>
      </c>
      <c r="AA272" s="257">
        <f>+AA260/AA252*100</f>
        <v>7.0345408593091827</v>
      </c>
      <c r="AB272" s="79">
        <f>IF(ISERROR((AA272/S272-1)*100),"NA",IF(((AA272/S272-1)*100)&gt;100,"NM",IF(((AA272/S272-1)*100)&lt;-50,"NM",(AA272/S272-1)*100)))</f>
        <v>-23.304344405508459</v>
      </c>
      <c r="AC272" s="253">
        <f>+AC260/AC252*100</f>
        <v>7.9984082769598093</v>
      </c>
      <c r="AD272" s="79">
        <f>IF(ISERROR((AC272/U272-1)*100),"NA",IF(((AC272/U272-1)*100)&gt;100,"NM",IF(((AC272/U272-1)*100)&lt;-50,"NM",(AC272/U272-1)*100)))</f>
        <v>-15.750099482690006</v>
      </c>
      <c r="AE272" s="253">
        <f>+AE260/AE252*100</f>
        <v>7.3836276083467087</v>
      </c>
      <c r="AF272" s="79">
        <f>IF(ISERROR((AE272/W272-1)*100),"NA",IF(((AE272/W272-1)*100)&gt;100,"NM",IF(((AE272/W272-1)*100)&lt;-50,"NM",(AE272/W272-1)*100)))</f>
        <v>-15.671200473092872</v>
      </c>
      <c r="AG272" s="253">
        <f>+AG260/AG252*100</f>
        <v>8.1037277147487838</v>
      </c>
      <c r="AH272" s="79">
        <f>IF(ISERROR((AG272/Y272-1)*100),"NA",IF(((AG272/Y272-1)*100)&gt;100,"NM",IF(((AG272/Y272-1)*100)&lt;-50,"NM",(AG272/Y272-1)*100)))</f>
        <v>3.609123611495435</v>
      </c>
      <c r="AI272" s="253">
        <f>+AI260/AI252*100</f>
        <v>7.438361888842457</v>
      </c>
      <c r="AJ272" s="79">
        <f>IF(ISERROR((AI272/AA272-1)*100),"NA",IF(((AI272/AA272-1)*100)&gt;100,"NM",IF(((AI272/AA272-1)*100)&lt;-50,"NM",(AI272/AA272-1)*100)))</f>
        <v>5.7405456533652366</v>
      </c>
      <c r="AK272" s="253">
        <f>+AK260/AK252*100</f>
        <v>7.6446280991735529</v>
      </c>
      <c r="AL272" s="79">
        <f>IF(ISERROR((AK272/AC272-1)*100),"NA",IF(((AK272/AC272-1)*100)&gt;100,"NM",IF(((AK272/AC272-1)*100)&lt;-50,"NM",(AK272/AC272-1)*100)))</f>
        <v>-4.4231322725217019</v>
      </c>
      <c r="AM272" s="253">
        <f>+AM260/AM252*100</f>
        <v>7.3453608247422686</v>
      </c>
      <c r="AN272" s="79">
        <f>IF(ISERROR((AM272/AE272-1)*100),"NA",IF(((AM272/AE272-1)*100)&gt;100,"NM",IF(((AM272/AE272-1)*100)&lt;-50,"NM",(AM272/AE272-1)*100)))</f>
        <v>-0.51826535186013656</v>
      </c>
      <c r="AO272" s="253">
        <f>+AO260/AO252*100</f>
        <v>7.3757763975155264</v>
      </c>
      <c r="AP272" s="79">
        <f>IF(ISERROR((AO272/AG272-1)*100),"NA",IF(((AO272/AG272-1)*100)&gt;100,"NM",IF(((AO272/AG272-1)*100)&lt;-50,"NM",(AO272/AG272-1)*100)))</f>
        <v>-8.9829192546583947</v>
      </c>
      <c r="AQ272" s="253">
        <f>+AQ260/AQ252*100</f>
        <v>7.2681704260651623</v>
      </c>
      <c r="AR272" s="79">
        <f>IF(ISERROR((AQ272/AI272-1)*100),"NA",IF(((AQ272/AI272-1)*100)&gt;100,"NM",IF(((AQ272/AI272-1)*100)&lt;-50,"NM",(AQ272/AI272-1)*100)))</f>
        <v>-2.28802342935992</v>
      </c>
      <c r="AS272" s="271">
        <f>+AS260/AS252*100</f>
        <v>7.5645756457564577</v>
      </c>
      <c r="AT272" s="81">
        <f>IF(ISERROR((AS272/AK272-1)*100),"NA",IF(((AS272/AK272-1)*100)&gt;100,"NM",IF(((AS272/AK272-1)*100)&lt;-50,"NM",(AS272/AK272-1)*100)))</f>
        <v>-1.0471726338884935</v>
      </c>
      <c r="AU272" s="271">
        <f>+AU260/AU252*100</f>
        <v>7.1536714610143823</v>
      </c>
      <c r="AV272" s="81">
        <f>IF(ISERROR((AU272/AM272-1)*100),"NA",IF(((AU272/AM272-1)*100)&gt;100,"NM",IF(((AU272/AM272-1)*100)&lt;-50,"NM",(AU272/AM272-1)*100)))</f>
        <v>-2.6096657237340337</v>
      </c>
      <c r="AW272" s="271">
        <f>+AW260/AW252*100</f>
        <v>7.0985259891388663</v>
      </c>
      <c r="AX272" s="81">
        <f>IF(ISERROR((AW272/AO272-1)*100),"NA",IF(((AW272/AO272-1)*100)&gt;100,"NM",IF(((AW272/AO272-1)*100)&lt;-50,"NM",(AW272/AO272-1)*100)))</f>
        <v>-3.7589318525172444</v>
      </c>
      <c r="AY272" s="271">
        <f>+AY260/AY252*100</f>
        <v>6.8569310600444773</v>
      </c>
      <c r="AZ272" s="81">
        <f>IF(ISERROR((AY272/AQ272-1)*100),"NA",IF(((AY272/AQ272-1)*100)&gt;100,"NM",IF(((AY272/AQ272-1)*100)&lt;-50,"NM",(AY272/AQ272-1)*100)))</f>
        <v>-5.6580864497328687</v>
      </c>
      <c r="BA272" s="271">
        <f>+BA260/BA252*100</f>
        <v>7.1343638525564801</v>
      </c>
      <c r="BB272" s="81">
        <f>IF(ISERROR((BA272/AS272-1)*100),"NA",IF(((BA272/AS272-1)*100)&gt;100,"NM",IF(((BA272/AS272-1)*100)&lt;-50,"NM",(BA272/AS272-1)*100)))</f>
        <v>-5.6871900466923915</v>
      </c>
      <c r="BC272" s="271">
        <f>+BC260/BC252*100</f>
        <v>6.696070569366479</v>
      </c>
      <c r="BD272" s="81">
        <f>IF(ISERROR((BC272/AU272-1)*100),"NA",IF(((BC272/AU272-1)*100)&gt;100,"NM",IF(((BC272/AU272-1)*100)&lt;-50,"NM",(BC272/AU272-1)*100)))</f>
        <v>-6.3967278081151324</v>
      </c>
      <c r="BE272" s="271">
        <f>+BE260/BE252*100</f>
        <v>6.953125</v>
      </c>
      <c r="BF272" s="81">
        <f>IF(ISERROR((BE272/AW272-1)*100),"NA",IF(((BE272/AW272-1)*100)&gt;100,"NM",IF(((BE272/AW272-1)*100)&lt;-50,"NM",(BE272/AW272-1)*100)))</f>
        <v>-2.0483265027322228</v>
      </c>
      <c r="BG272" s="271">
        <f>+BG260/BG252*100</f>
        <v>6.5820777160983353</v>
      </c>
      <c r="BH272" s="81">
        <f>IF(ISERROR((BG272/AY272-1)*100),"NA",IF(((BG272/AY272-1)*100)&gt;100,"NM",IF(((BG272/AY272-1)*100)&lt;-50,"NM",(BG272/AY272-1)*100)))</f>
        <v>-4.0084017403604904</v>
      </c>
      <c r="BI272" s="271">
        <f>+BI260/BI252*100</f>
        <v>6.7533557046979871</v>
      </c>
      <c r="BJ272" s="81">
        <f>IF(ISERROR((BI272/BA272-1)*100),"NA",IF(((BI272/BA272-1)*100)&gt;100,"NM",IF(((BI272/BA272-1)*100)&lt;-50,"NM",(BI272/BA272-1)*100)))</f>
        <v>-5.3404642058165415</v>
      </c>
      <c r="BK272" s="271">
        <f>+BK260/BK252*100</f>
        <v>6.4080944350758857</v>
      </c>
      <c r="BL272" s="81">
        <f>IF(ISERROR((BK272/BC272-1)*100),"NA",IF(((BK272/BC272-1)*100)&gt;100,"NM",IF(((BK272/BC272-1)*100)&lt;-50,"NM",(BK272/BC272-1)*100)))</f>
        <v>-4.300673526471499</v>
      </c>
      <c r="BM272" s="271">
        <f>+BM260/BM252*100</f>
        <v>6.5684210526315789</v>
      </c>
      <c r="BN272" s="81">
        <f>IF(ISERROR((BM272/BE272-1)*100),"NA",IF(((BM272/BE272-1)*100)&gt;100,"NM",IF(((BM272/BE272-1)*100)&lt;-50,"NM",(BM272/BE272-1)*100)))</f>
        <v>-5.5328208160851595</v>
      </c>
      <c r="BO272" s="253">
        <f>+BO260/BO252*100</f>
        <v>6.6053511705685626</v>
      </c>
      <c r="BP272" s="81">
        <f>IF(ISERROR((BO272/BG272-1)*100),"NA",IF(((BO272/BG272-1)*100)&gt;100,"NM",IF(((BO272/BG272-1)*100)&lt;-50,"NM",(BO272/BG272-1)*100)))</f>
        <v>0.35358826610791816</v>
      </c>
      <c r="BQ272" s="253">
        <f>+BQ260/BQ252*100</f>
        <v>6.6637630662020912</v>
      </c>
      <c r="BR272" s="81">
        <f>IF(ISERROR((BQ272/BI272-1)*100),"NA",IF(((BQ272/BI272-1)*100)&gt;100,"NM",IF(((BQ272/BI272-1)*100)&lt;-50,"NM",(BQ272/BI272-1)*100)))</f>
        <v>-1.3266388209578595</v>
      </c>
      <c r="BS272" s="253">
        <f>+BS260/BS252*100</f>
        <v>6.4912280701754392</v>
      </c>
      <c r="BT272" s="81">
        <f>IF(ISERROR((BS272/BK272-1)*100),"NA",IF(((BS272/BK272-1)*100)&gt;100,"NM",IF(((BS272/BK272-1)*100)&lt;-50,"NM",(BS272/BK272-1)*100)))</f>
        <v>1.297322253000921</v>
      </c>
      <c r="BU272" s="253">
        <f>+BU260/BU252*100</f>
        <v>6.4108352144469531</v>
      </c>
      <c r="BV272" s="258">
        <f>IF(ISERROR((BU272/BM272-1)*100),"NA",IF(((BU272/BM272-1)*100)&gt;100,"NM",IF(((BU272/BM272-1)*100)&lt;-50,"NM",(BU272/BM272-1)*100)))</f>
        <v>-2.3991433697979847</v>
      </c>
      <c r="BW272" s="253">
        <f>+BW260/BW252*100</f>
        <v>6.2898814949863269</v>
      </c>
      <c r="BX272" s="81">
        <f>IF(ISERROR((BW272/BO272-1)*100),"NA",IF(((BW272/BO272-1)*100)&gt;100,"NM",IF(((BW272/BO272-1)*100)&lt;-50,"NM",(BW272/BO272-1)*100)))</f>
        <v>-4.775971291093084</v>
      </c>
      <c r="BY272" s="253">
        <f>+BY260/BY252*100</f>
        <v>8.2101806239737289</v>
      </c>
      <c r="BZ272" s="81">
        <f>IF(ISERROR((BY272/BQ272-1)*100),"NA",IF(((BY272/BQ272-1)*100)&gt;100,"NM",IF(((BY272/BQ272-1)*100)&lt;-50,"NM",(BY272/BQ272-1)*100)))</f>
        <v>23.206370670873721</v>
      </c>
      <c r="CA272" s="253">
        <f>+CA260/CA252*100</f>
        <v>8.0618442849254546</v>
      </c>
      <c r="CB272" s="81">
        <f>IF(ISERROR((CA272/BS272-1)*100),"NA",IF(((CA272/BS272-1)*100)&gt;100,"NM",IF(((CA272/BS272-1)*100)&lt;-50,"NM",(CA272/BS272-1)*100)))</f>
        <v>24.195979524527257</v>
      </c>
      <c r="CC272" s="253">
        <f>+CC260/CC252*100</f>
        <v>8.233324030142338</v>
      </c>
      <c r="CD272" s="81">
        <f>IF(ISERROR((CC272/BU272-1)*100),"NA",IF(((CC272/BU272-1)*100)&gt;100,"NM",IF(((CC272/BU272-1)*100)&lt;-50,"NM",(CC272/BU272-1)*100)))</f>
        <v>28.428258639192094</v>
      </c>
      <c r="CE272" s="253">
        <f>+CE260/CE252*100</f>
        <v>8.0813633864760863</v>
      </c>
      <c r="CF272" s="81">
        <f>IF(ISERROR((CE272/BW272-1)*100),"NA",IF(((CE272/BW272-1)*100)&gt;100,"NM",IF(((CE272/BW272-1)*100)&lt;-50,"NM",(CE272/BW272-1)*100)))</f>
        <v>28.481965724119807</v>
      </c>
      <c r="CG272" s="253">
        <f>+CG260/CG252*100</f>
        <v>8.2672706681766712</v>
      </c>
      <c r="CH272" s="81">
        <f>IF(ISERROR((CG272/BY272-1)*100),"NA",IF(((CG272/BY272-1)*100)&gt;100,"NM",IF(((CG272/BY272-1)*100)&lt;-50,"NM",(CG272/BY272-1)*100)))</f>
        <v>0.69535673839182799</v>
      </c>
      <c r="CI272" s="253">
        <f>+CI260/CI252*100</f>
        <v>8.0023028209556717</v>
      </c>
      <c r="CJ272" s="81">
        <f>IF(ISERROR((CI272/CA272-1)*100),"NA",IF(((CI272/CA272-1)*100)&gt;100,"NM",IF(((CI272/CA272-1)*100)&lt;-50,"NM",(CI272/CA272-1)*100)))</f>
        <v>-0.73855884417313167</v>
      </c>
      <c r="CK272" s="253">
        <f>+CK260/CK252*100</f>
        <v>8.112773302646719</v>
      </c>
      <c r="CL272" s="81">
        <f>IF(ISERROR((CK272/CC272-1)*100),"NA",IF(((CK272/CC272-1)*100)&gt;100,"NM",IF(((CK272/CC272-1)*100)&lt;-50,"NM",(CK272/CC272-1)*100)))</f>
        <v>-1.4641805309044131</v>
      </c>
      <c r="CM272" s="253">
        <f>+CM260/CM252*100</f>
        <v>8.1820800921924501</v>
      </c>
      <c r="CN272" s="81">
        <f>IF(ISERROR((CM272/CE272-1)*100),"NA",IF(((CM272/CE272-1)*100)&gt;100,"NM",IF(((CM272/CE272-1)*100)&lt;-50,"NM",(CM272/CE272-1)*100)))</f>
        <v>1.2462835897827595</v>
      </c>
      <c r="CO272" s="253">
        <f>+CO260/CO252*100</f>
        <v>8.3114610673665794</v>
      </c>
      <c r="CP272" s="81">
        <f>IF(ISERROR((CO272/CG272-1)*100),"NA",IF(((CO272/CG272-1)*100)&gt;100,"NM",IF(((CO272/CG272-1)*100)&lt;-50,"NM",(CO272/CG272-1)*100)))</f>
        <v>0.5345222258176463</v>
      </c>
      <c r="CQ272" s="253">
        <f>+CQ260/CQ252*100</f>
        <v>8.1167883211678831</v>
      </c>
      <c r="CR272" s="81">
        <f>IF(ISERROR((CQ272/CI272-1)*100),"NA",IF(((CQ272/CI272-1)*100)&gt;100,"NM",IF(((CQ272/CI272-1)*100)&lt;-50,"NM",(CQ272/CI272-1)*100)))</f>
        <v>1.4306569343065512</v>
      </c>
      <c r="CS272" s="253">
        <f>+CS260/CS252*100</f>
        <v>8.2239720034995631</v>
      </c>
      <c r="CT272" s="81">
        <f>IF(ISERROR((CS272/CK272-1)*100),"NA",IF(((CS272/CK272-1)*100)&gt;100,"NM",IF(((CS272/CK272-1)*100)&lt;-50,"NM",(CS272/CK272-1)*100)))</f>
        <v>1.3706620005832892</v>
      </c>
      <c r="CU272" s="253">
        <f>+CU260/CU252*100</f>
        <v>8.2115721800116894</v>
      </c>
      <c r="CV272" s="81">
        <f>IF(ISERROR((CU272/CM272-1)*100),"NA",IF(((CU272/CM272-1)*100)&gt;100,"NM",IF(((CU272/CM272-1)*100)&lt;-50,"NM",(CU272/CM272-1)*100)))</f>
        <v>0.36044731274851305</v>
      </c>
      <c r="CW272" s="253">
        <f>+CW260/CW252*100</f>
        <v>8.2280340875697906</v>
      </c>
      <c r="CX272" s="81">
        <f>IF(ISERROR((CW272/CO272-1)*100),"NA",IF(((CW272/CO272-1)*100)&gt;100,"NM",IF(((CW272/CO272-1)*100)&lt;-50,"NM",(CW272/CO272-1)*100)))</f>
        <v>-1.0037582937655776</v>
      </c>
      <c r="CY272" s="253">
        <f>+CY260/CY252*100</f>
        <v>8.2420924574209238</v>
      </c>
      <c r="CZ272" s="81">
        <f>IF(ISERROR((CY272/CQ272-1)*100),"NA",IF(((CY272/CQ272-1)*100)&gt;100,"NM",IF(((CY272/CQ272-1)*100)&lt;-50,"NM",(CY272/CQ272-1)*100)))</f>
        <v>1.5437649880095883</v>
      </c>
      <c r="DA272" s="253">
        <f>+DA260/DA252*100</f>
        <v>8.2133006435795277</v>
      </c>
      <c r="DB272" s="81">
        <f>IF(ISERROR((DA272/CS272-1)*100),"NA",IF(((DA272/CS272-1)*100)&gt;100,"NM",IF(((DA272/CS272-1)*100)&lt;-50,"NM",(DA272/CS272-1)*100)))</f>
        <v>-0.12975919562341343</v>
      </c>
      <c r="DC272" s="253">
        <f>+DC260/DC252*100</f>
        <v>9.8639455782312915</v>
      </c>
      <c r="DD272" s="81">
        <f>IF(ISERROR((DC272/CU272-1)*100),"NA",IF(((DC272/CU272-1)*100)&gt;100,"NM",IF(((DC272/CU272-1)*100)&lt;-50,"NM",(DC272/CU272-1)*100)))</f>
        <v>20.122497397535511</v>
      </c>
      <c r="DE272" s="253">
        <f>+DE260/DE252*100</f>
        <v>8.2101289713746475</v>
      </c>
      <c r="DF272" s="81">
        <f>IF(ISERROR((DE272/CW272-1)*100),"NA",IF(((DE272/CW272-1)*100)&gt;100,"NM",IF(((DE272/CW272-1)*100)&lt;-50,"NM",(DE272/CW272-1)*100)))</f>
        <v>-0.21761110861454602</v>
      </c>
      <c r="DG272" s="253">
        <f>+DG260/DG252*100</f>
        <v>8.0609330371310683</v>
      </c>
      <c r="DH272" s="81">
        <f>IF(ISERROR((DG272/CY272-1)*100),"NA",IF(((DG272/CY272-1)*100)&gt;100,"NM",IF(((DG272/CY272-1)*100)&lt;-50,"NM",(DG272/CY272-1)*100)))</f>
        <v>-2.1979785015241449</v>
      </c>
      <c r="DI272" s="253">
        <f>+DI260/DI252*100</f>
        <v>8.1920000000000002</v>
      </c>
      <c r="DJ272" s="81">
        <f>IF(ISERROR((DI272/DA272-1)*100),"NA",IF(((DI272/DA272-1)*100)&gt;100,"NM",IF(((DI272/DA272-1)*100)&lt;-50,"NM",(DI272/DA272-1)*100)))</f>
        <v>-0.25934328358208081</v>
      </c>
      <c r="DK272" s="253">
        <f>+DK260/DK252*100</f>
        <v>7.8431372549019596</v>
      </c>
      <c r="DL272" s="81">
        <f>IF(ISERROR((DK272/DC272-1)*100),"NA",IF(((DK272/DC272-1)*100)&gt;100,"NM",IF(((DK272/DC272-1)*100)&lt;-50,"NM",(DK272/DC272-1)*100)))</f>
        <v>-20.486815415821503</v>
      </c>
      <c r="DM272" s="253">
        <f>+DM260/DM252*100</f>
        <v>8.3961954739258786</v>
      </c>
      <c r="DN272" s="81">
        <f>IF(ISERROR((DM272/DE272-1)*100),"NA",IF(((DM272/DE272-1)*100)&gt;100,"NM",IF(((DM272/DE272-1)*100)&lt;-50,"NM",(DM272/DE272-1)*100)))</f>
        <v>2.26630425904355</v>
      </c>
      <c r="DO272" s="253">
        <f>+DO260/DO252*100</f>
        <v>7.9537953795379552</v>
      </c>
      <c r="DP272" s="81">
        <f>IF(ISERROR((DO272/DG272-1)*100),"NA",IF(((DO272/DG272-1)*100)&gt;100,"NM",IF(((DO272/DG272-1)*100)&lt;-50,"NM",(DO272/DG272-1)*100)))</f>
        <v>-1.329097476676766</v>
      </c>
      <c r="DQ272" s="253">
        <f>+DQ260/DQ252*100</f>
        <v>8.264188516428808</v>
      </c>
      <c r="DR272" s="81">
        <f>IF(ISERROR((DQ272/DI272-1)*100),"NA",IF(((DQ272/DI272-1)*100)&gt;100,"NM",IF(((DQ272/DI272-1)*100)&lt;-50,"NM",(DQ272/DI272-1)*100)))</f>
        <v>0.88120747593760651</v>
      </c>
      <c r="DS272" s="253">
        <f>+DS260/DS252*100</f>
        <v>8.1099195710455767</v>
      </c>
      <c r="DT272" s="81">
        <f>IF(ISERROR((DS272/DK272-1)*100),"NA",IF(((DS272/DK272-1)*100)&gt;100,"NM",IF(((DS272/DK272-1)*100)&lt;-50,"NM",(DS272/DK272-1)*100)))</f>
        <v>3.4014745308311278</v>
      </c>
      <c r="DU272" s="253">
        <f>+DU260/DU252*100</f>
        <v>8.1501521812647955</v>
      </c>
      <c r="DV272" s="81">
        <f>IF(ISERROR((DU272/DM272-1)*100),"NA",IF(((DU272/DM272-1)*100)&gt;100,"NM",IF(((DU272/DM272-1)*100)&lt;-50,"NM",(DU272/DM272-1)*100)))</f>
        <v>-2.9304140598579775</v>
      </c>
      <c r="DW272" s="253">
        <f>+DW260/DW252*100</f>
        <v>7.9655172413793105</v>
      </c>
      <c r="DX272" s="81">
        <f>IF(ISERROR((DW272/DO272-1)*100),"NA",IF(((DW272/DO272-1)*100)&gt;100,"NM",IF(((DW272/DO272-1)*100)&lt;-50,"NM",(DW272/DO272-1)*100)))</f>
        <v>0.14737444555728008</v>
      </c>
      <c r="DY272" s="253">
        <f>+DY260/DY252*100</f>
        <v>8.0204778156996586</v>
      </c>
      <c r="DZ272" s="81">
        <f>IF(ISERROR((DY272/DQ272-1)*100),"NA",IF(((DY272/DQ272-1)*100)&gt;100,"NM",IF(((DY272/DQ272-1)*100)&lt;-50,"NM",(DY272/DQ272-1)*100)))</f>
        <v>-2.948997354606131</v>
      </c>
      <c r="EA272" s="253">
        <f>+EA260/EA252*100</f>
        <v>7.9190949605759355</v>
      </c>
      <c r="EB272" s="81">
        <f>IF(ISERROR((EA272/DS272-1)*100),"NA",IF(((EA272/DS272-1)*100)&gt;100,"NM",IF(((EA272/DS272-1)*100)&lt;-50,"NM",(EA272/DS272-1)*100)))</f>
        <v>-2.352977841493431</v>
      </c>
      <c r="EC272" s="253">
        <f>+EC260/EC252*100</f>
        <v>8.0167305681422114</v>
      </c>
      <c r="ED272" s="81">
        <f t="shared" ref="ED272:ED273" si="924">IF(ISERROR((EC272/DU272-1)*100),"NA",IF(((EC272/DU272-1)*100)&gt;100,"NM",IF(((EC272/DU272-1)*100)&lt;-50,"NM",(EC272/DU272-1)*100)))</f>
        <v>-1.6370444398484674</v>
      </c>
      <c r="EE272" s="253">
        <f>+EE260/EE252*100</f>
        <v>7.9601990049751246</v>
      </c>
      <c r="EF272" s="81">
        <f t="shared" ref="EF272:EF273" si="925">IF(ISERROR((EE272/DW272-1)*100),"NA",IF(((EE272/DW272-1)*100)&gt;100,"NM",IF(((EE272/DW272-1)*100)&lt;-50,"NM",(EE272/DW272-1)*100)))</f>
        <v>-6.6765738407525976E-2</v>
      </c>
      <c r="EG272" s="253">
        <f>+EG260/EG252*100</f>
        <v>8.0353982300884947</v>
      </c>
      <c r="EH272" s="81">
        <f t="shared" ref="EH272:EH273" si="926">IF(ISERROR((EG272/DY272-1)*100),"NA",IF(((EG272/DY272-1)*100)&gt;100,"NM",IF(((EG272/DY272-1)*100)&lt;-50,"NM",(EG272/DY272-1)*100)))</f>
        <v>0.18602899642250481</v>
      </c>
      <c r="EI272" s="253">
        <f>+EI260/EI252*100</f>
        <v>7.8663793103448274</v>
      </c>
      <c r="EJ272" s="81">
        <f t="shared" ref="EJ272:EJ273" si="927">IF(ISERROR((EI272/EA272-1)*100),"NA",IF(((EI272/EA272-1)*100)&gt;100,"NM",IF(((EI272/EA272-1)*100)&lt;-50,"NM",(EI272/EA272-1)*100)))</f>
        <v>-0.66567771309152812</v>
      </c>
      <c r="EK272" s="186">
        <f>+EI272+0.1</f>
        <v>7.966379310344827</v>
      </c>
      <c r="EL272" s="81">
        <f t="shared" ref="EL272:EL273" si="928">IF(ISERROR((EK272/EC272-1)*100),"NA",IF(((EK272/EC272-1)*100)&gt;100,"NM",IF(((EK272/EC272-1)*100)&lt;-50,"NM",(EK272/EC272-1)*100)))</f>
        <v>-0.62807721139432893</v>
      </c>
      <c r="EM272" s="186">
        <f t="shared" ref="EM272" si="929">+EK272</f>
        <v>7.966379310344827</v>
      </c>
      <c r="EN272" s="81">
        <f t="shared" ref="EN272:EN273" si="930">IF(ISERROR((EM272/EE272-1)*100),"NA",IF(((EM272/EE272-1)*100)&gt;100,"NM",IF(((EM272/EE272-1)*100)&lt;-50,"NM",(EM272/EE272-1)*100)))</f>
        <v>7.7640086206898218E-2</v>
      </c>
      <c r="EO272" s="186">
        <f t="shared" ref="EO272" si="931">+EM272</f>
        <v>7.966379310344827</v>
      </c>
      <c r="EP272" s="81">
        <f t="shared" ref="EP272:EP273" si="932">IF(ISERROR((EO272/EG272-1)*100),"NA",IF(((EO272/EG272-1)*100)&gt;100,"NM",IF(((EO272/EG272-1)*100)&lt;-50,"NM",(EO272/EG272-1)*100)))</f>
        <v>-0.85893589548837745</v>
      </c>
      <c r="EQ272" s="186">
        <f t="shared" ref="EQ272" si="933">+EO272</f>
        <v>7.966379310344827</v>
      </c>
      <c r="ER272" s="81">
        <f t="shared" ref="ER272:ER273" si="934">IF(ISERROR((EQ272/EI272-1)*100),"NA",IF(((EQ272/EI272-1)*100)&gt;100,"NM",IF(((EQ272/EI272-1)*100)&lt;-50,"NM",(EQ272/EI272-1)*100)))</f>
        <v>1.2712328767123138</v>
      </c>
      <c r="ES272" s="272"/>
      <c r="ET272" s="480"/>
      <c r="EU272" s="272"/>
      <c r="EV272" s="273"/>
      <c r="EW272" s="274"/>
      <c r="EX272" s="273"/>
      <c r="EY272" s="274"/>
      <c r="EZ272" s="273"/>
      <c r="FA272" s="274"/>
      <c r="FB272" s="275"/>
      <c r="FC272" s="274"/>
      <c r="FD272" s="275">
        <f>+FD260/FD252*100</f>
        <v>9.870740305522915</v>
      </c>
      <c r="FE272" s="274" t="str">
        <f>IF(ISERROR((FD272/FB272-1)*100),"NA",IF(((FD272/FB272-1)*100)&gt;100,"NM",IF(((FD272/FB272-1)*100)&lt;-50,"NM",(FD272/FB272-1)*100)))</f>
        <v>NA</v>
      </c>
      <c r="FF272" s="275">
        <f>+FF260/FF252*100</f>
        <v>8.3130772970345159</v>
      </c>
      <c r="FG272" s="274">
        <f>IF(ISERROR((FF272/FD272-1)*100),"NA",IF(((FF272/FD272-1)*100)&gt;100,"NM",IF(((FF272/FD272-1)*100)&lt;-50,"NM",(FF272/FD272-1)*100)))</f>
        <v>-15.780609764567</v>
      </c>
      <c r="FH272" s="275">
        <f>+FH260/FH252*100</f>
        <v>7.7336306507196433</v>
      </c>
      <c r="FI272" s="274">
        <f>IF(ISERROR((FH272/FF272-1)*100),"NA",IF(((FH272/FF272-1)*100)&gt;100,"NM",IF(((FH272/FF272-1)*100)&lt;-50,"NM",(FH272/FF272-1)*100)))</f>
        <v>-6.9703026401736423</v>
      </c>
      <c r="FJ272" s="275">
        <f>+FJ260/FJ252*100</f>
        <v>7.4033804487496297</v>
      </c>
      <c r="FK272" s="274">
        <f>IF(ISERROR((FJ272/FH272-1)*100),"NA",IF(((FJ272/FH272-1)*100)&gt;100,"NM",IF(((FJ272/FH272-1)*100)&lt;-50,"NM",(FJ272/FH272-1)*100)))</f>
        <v>-4.2703125722623252</v>
      </c>
      <c r="FL272" s="253">
        <f>+FL260/FL252*100</f>
        <v>7.1697403086187439</v>
      </c>
      <c r="FM272" s="274">
        <f>IF(ISERROR((FL272/FJ272-1)*100),"NA",IF(((FL272/FJ272-1)*100)&gt;100,"NM",IF(((FL272/FJ272-1)*100)&lt;-50,"NM",(FL272/FJ272-1)*100)))</f>
        <v>-3.1558575403260014</v>
      </c>
      <c r="FN272" s="253">
        <f>+FN260/FN252*100</f>
        <v>6.8422616100604001</v>
      </c>
      <c r="FO272" s="274">
        <f>IF(ISERROR((FN272/FL272-1)*100),"NA",IF(((FN272/FL272-1)*100)&gt;100,"NM",IF(((FN272/FL272-1)*100)&lt;-50,"NM",(FN272/FL272-1)*100)))</f>
        <v>-4.5675112969528531</v>
      </c>
      <c r="FP272" s="253">
        <f>+FP260/FP252*100</f>
        <v>6.5840596450698312</v>
      </c>
      <c r="FQ272" s="274">
        <f>IF(ISERROR((FP272/FN272-1)*100),"NA",IF(((FP272/FN272-1)*100)&gt;100,"NM",IF(((FP272/FN272-1)*100)&lt;-50,"NM",(FP272/FN272-1)*100)))</f>
        <v>-3.773634796584302</v>
      </c>
      <c r="FR272" s="253">
        <f>+FR260/FR252*100</f>
        <v>8.4765024400026725</v>
      </c>
      <c r="FS272" s="274">
        <f>IF(ISERROR((FR272/FP272-1)*100),"NA",IF(((FR272/FP272-1)*100)&gt;100,"NM",IF(((FR272/FP272-1)*100)&lt;-50,"NM",(FR272/FP272-1)*100)))</f>
        <v>28.742795432448887</v>
      </c>
      <c r="FT272" s="253">
        <f>+FT260/FT252*100</f>
        <v>8.146513071670002</v>
      </c>
      <c r="FU272" s="274">
        <f>IF(ISERROR((FT272/FR272-1)*100),"NA",IF(((FT272/FR272-1)*100)&gt;100,"NM",IF(((FT272/FR272-1)*100)&lt;-50,"NM",(FT272/FR272-1)*100)))</f>
        <v>-3.8929897167889749</v>
      </c>
      <c r="FV272" s="253">
        <f>+FV260/FV252*100</f>
        <v>8.1416182899734828</v>
      </c>
      <c r="FW272" s="274">
        <f>IF(ISERROR((FV272/FT272-1)*100),"NA",IF(((FV272/FT272-1)*100)&gt;100,"NM",IF(((FV272/FT272-1)*100)&lt;-50,"NM",(FV272/FT272-1)*100)))</f>
        <v>-6.0084377861502336E-2</v>
      </c>
      <c r="FX272" s="253">
        <f>+FX260/FX252*100</f>
        <v>8.2159795695001812</v>
      </c>
      <c r="FY272" s="274">
        <f>IF(ISERROR((FX272/FV272-1)*100),"NA",IF(((FX272/FV272-1)*100)&gt;100,"NM",IF(((FX272/FV272-1)*100)&lt;-50,"NM",(FX272/FV272-1)*100)))</f>
        <v>0.91334765249648786</v>
      </c>
      <c r="FZ272" s="253">
        <f>+FZ260/FZ252*100</f>
        <v>8.6290567182286928</v>
      </c>
      <c r="GA272" s="79">
        <f>IF(ISERROR((FZ272/FX272-1)*100),"NA",IF(((FZ272/FX272-1)*100)&gt;100,"NM",IF(((FZ272/FX272-1)*100)&lt;-50,"NM",(FZ272/FX272-1)*100)))</f>
        <v>5.0277285287071427</v>
      </c>
      <c r="GB272" s="253">
        <f>+GB260/GB252*100</f>
        <v>8.0773515836383893</v>
      </c>
      <c r="GC272" s="79">
        <f>IF(ISERROR((GB272/FZ272-1)*100),"NA",IF(((GB272/FZ272-1)*100)&gt;100,"NM",IF(((GB272/FZ272-1)*100)&lt;-50,"NM",(GB272/FZ272-1)*100)))</f>
        <v>-6.3935740904893841</v>
      </c>
      <c r="GD272" s="253">
        <f>+GD260/GD252*100</f>
        <v>8.1815170586286854</v>
      </c>
      <c r="GE272" s="79">
        <f>IF(ISERROR((GD272/GB272-1)*100),"NA",IF(((GD272/GB272-1)*100)&gt;100,"NM",IF(((GD272/GB272-1)*100)&lt;-50,"NM",(GD272/GB272-1)*100)))</f>
        <v>1.2895993682049856</v>
      </c>
      <c r="GF272" s="253">
        <f>+GF260/GF252*100</f>
        <v>8.0143540669856463</v>
      </c>
      <c r="GG272" s="79">
        <f>IF(ISERROR((GF272/GD272-1)*100),"NA",IF(((GF272/GD272-1)*100)&gt;100,"NM",IF(((GF272/GD272-1)*100)&lt;-50,"NM",(GF272/GD272-1)*100)))</f>
        <v>-2.0431784282199827</v>
      </c>
      <c r="GH272" s="253">
        <f>+GH260/GH252*100</f>
        <v>7.9702444208289061</v>
      </c>
      <c r="GI272" s="79">
        <f>IF(ISERROR((GH272/GF272-1)*100),"NA",IF(((GH272/GF272-1)*100)&gt;100,"NM",IF(((GH272/GF272-1)*100)&lt;-50,"NM",(GH272/GF272-1)*100)))</f>
        <v>-0.55038304756768186</v>
      </c>
      <c r="GJ272" s="253">
        <f>+GJ260/GJ252*100</f>
        <v>7.966379310344827</v>
      </c>
      <c r="GK272" s="79">
        <f>IF(ISERROR((GJ272/GH272-1)*100),"NA",IF(((GJ272/GH272-1)*100)&gt;100,"NM",IF(((GJ272/GH272-1)*100)&lt;-50,"NM",(GJ272/GH272-1)*100)))</f>
        <v>-4.849425287357656E-2</v>
      </c>
      <c r="GL272" s="186">
        <f>GJ272</f>
        <v>7.966379310344827</v>
      </c>
      <c r="GM272" s="79">
        <f>IF(ISERROR((GL272/GJ272-1)*100),"NA",IF(((GL272/GJ272-1)*100)&gt;100,"NM",IF(((GL272/GJ272-1)*100)&lt;-50,"NM",(GL272/GJ272-1)*100)))</f>
        <v>0</v>
      </c>
      <c r="GN272" s="186">
        <f>GL272</f>
        <v>7.966379310344827</v>
      </c>
      <c r="GO272" s="79">
        <f>IF(ISERROR((GN272/GL272-1)*100),"NA",IF(((GN272/GL272-1)*100)&gt;100,"NM",IF(((GN272/GL272-1)*100)&lt;-50,"NM",(GN272/GL272-1)*100)))</f>
        <v>0</v>
      </c>
      <c r="GP272" s="186">
        <f>GN272</f>
        <v>7.966379310344827</v>
      </c>
      <c r="GQ272" s="79">
        <f>IF(ISERROR((GP272/GN272-1)*100),"NA",IF(((GP272/GN272-1)*100)&gt;100,"NM",IF(((GP272/GN272-1)*100)&lt;-50,"NM",(GP272/GN272-1)*100)))</f>
        <v>0</v>
      </c>
      <c r="GR272" s="186">
        <f>GP272</f>
        <v>7.966379310344827</v>
      </c>
      <c r="GS272" s="79">
        <f>IF(ISERROR((GR272/GP272-1)*100),"NA",IF(((GR272/GP272-1)*100)&gt;100,"NM",IF(((GR272/GP272-1)*100)&lt;-50,"NM",(GR272/GP272-1)*100)))</f>
        <v>0</v>
      </c>
      <c r="GT272" s="79">
        <f>IF(ISERROR(((GR272/GH272)^0.2-1)*100),"NA",(IF(OR(((GR272/GH272)^0.2-1)*100&gt;99,((GR272/GH272)^0.2-1)*100&lt;-50),"NM",(((GR272/GH272)^0.2-1)*100))))</f>
        <v>-9.7007324763587199E-3</v>
      </c>
    </row>
    <row r="273" spans="1:286" ht="12.75" customHeight="1" x14ac:dyDescent="0.2">
      <c r="A273" s="1"/>
      <c r="B273" s="10" t="s">
        <v>502</v>
      </c>
      <c r="C273" s="79"/>
      <c r="D273" s="79"/>
      <c r="E273" s="185"/>
      <c r="F273" s="185"/>
      <c r="G273" s="185"/>
      <c r="H273" s="185"/>
      <c r="I273" s="185"/>
      <c r="J273" s="185"/>
      <c r="K273" s="185"/>
      <c r="L273" s="79"/>
      <c r="M273" s="185">
        <f>M263/M256*100</f>
        <v>12.207738464721704</v>
      </c>
      <c r="N273" s="79" t="str">
        <f>IF(ISERROR((M273/E273-1)*100),"NA",IF(((M273/E273-1)*100)&gt;100,"NM",IF(((M273/E273-1)*100)&lt;-50,"NM",(M273/E273-1)*100)))</f>
        <v>NA</v>
      </c>
      <c r="O273" s="185">
        <f>O263/O256*100</f>
        <v>10.037320762129248</v>
      </c>
      <c r="P273" s="79" t="str">
        <f>IF(ISERROR((O273/G273-1)*100),"NA",IF(((O273/G273-1)*100)&gt;100,"NM",IF(((O273/G273-1)*100)&lt;-50,"NM",(O273/G273-1)*100)))</f>
        <v>NA</v>
      </c>
      <c r="Q273" s="185">
        <f>Q263/Q256*100</f>
        <v>10.425321463897133</v>
      </c>
      <c r="R273" s="79" t="str">
        <f>IF(ISERROR((Q273/I273-1)*100),"NA",IF(((Q273/I273-1)*100)&gt;100,"NM",IF(((Q273/I273-1)*100)&lt;-50,"NM",(Q273/I273-1)*100)))</f>
        <v>NA</v>
      </c>
      <c r="S273" s="185">
        <f>S263/S256*100</f>
        <v>9.7522611089264668</v>
      </c>
      <c r="T273" s="79" t="str">
        <f>IF(ISERROR((S273/K273-1)*100),"NA",IF(((S273/K273-1)*100)&gt;100,"NM",IF(((S273/K273-1)*100)&lt;-50,"NM",(S273/K273-1)*100)))</f>
        <v>NA</v>
      </c>
      <c r="U273" s="185">
        <f>U263/U256*100</f>
        <v>10.896381578947366</v>
      </c>
      <c r="V273" s="79">
        <f>IF(ISERROR((U273/M273-1)*100),"NA",IF(((U273/M273-1)*100)&gt;100,"NM",IF(((U273/M273-1)*100)&lt;-50,"NM",(U273/M273-1)*100)))</f>
        <v>-10.742013269402328</v>
      </c>
      <c r="W273" s="185">
        <f>W263/W256*100</f>
        <v>10.572063877097232</v>
      </c>
      <c r="X273" s="79">
        <f>IF(ISERROR((W273/O273-1)*100),"NA",IF(((W273/O273-1)*100)&gt;100,"NM",IF(((W273/O273-1)*100)&lt;-50,"NM",(W273/O273-1)*100)))</f>
        <v>5.3275483332720253</v>
      </c>
      <c r="Y273" s="185">
        <f>Y263/Y256*100</f>
        <v>10.113931641015391</v>
      </c>
      <c r="Z273" s="79">
        <f>IF(ISERROR((Y273/Q273-1)*100),"NA",IF(((Y273/Q273-1)*100)&gt;100,"NM",IF(((Y273/Q273-1)*100)&lt;-50,"NM",(Y273/Q273-1)*100)))</f>
        <v>-2.9868606350421323</v>
      </c>
      <c r="AA273" s="252">
        <f>AA263/AA256*100</f>
        <v>9.5462328767123292</v>
      </c>
      <c r="AB273" s="79">
        <f>IF(ISERROR((AA273/S273-1)*100),"NA",IF(((AA273/S273-1)*100)&gt;100,"NM",IF(((AA273/S273-1)*100)&lt;-50,"NM",(AA273/S273-1)*100)))</f>
        <v>-2.1126201391957755</v>
      </c>
      <c r="AC273" s="185">
        <f>AC263/AC256*100</f>
        <v>8.3113188376346265</v>
      </c>
      <c r="AD273" s="79">
        <f>IF(ISERROR((AC273/U273-1)*100),"NA",IF(((AC273/U273-1)*100)&gt;100,"NM",IF(((AC273/U273-1)*100)&lt;-50,"NM",(AC273/U273-1)*100)))</f>
        <v>-23.724047497632395</v>
      </c>
      <c r="AE273" s="185">
        <f>AE263/AE256*100</f>
        <v>8.6000435445242758</v>
      </c>
      <c r="AF273" s="79">
        <f>IF(ISERROR((AE273/W273-1)*100),"NA",IF(((AE273/W273-1)*100)&gt;100,"NM",IF(((AE273/W273-1)*100)&lt;-50,"NM",(AE273/W273-1)*100)))</f>
        <v>-18.653125401985491</v>
      </c>
      <c r="AG273" s="185">
        <f>AG263/AG256*100</f>
        <v>7.9695982627578728</v>
      </c>
      <c r="AH273" s="79">
        <f>IF(ISERROR((AG273/Y273-1)*100),"NA",IF(((AG273/Y273-1)*100)&gt;100,"NM",IF(((AG273/Y273-1)*100)&lt;-50,"NM",(AG273/Y273-1)*100)))</f>
        <v>-21.201778441546171</v>
      </c>
      <c r="AI273" s="185">
        <f>AI263/AI256*100</f>
        <v>8.4581311959502212</v>
      </c>
      <c r="AJ273" s="79">
        <f>IF(ISERROR((AI273/AA273-1)*100),"NA",IF(((AI273/AA273-1)*100)&gt;100,"NM",IF(((AI273/AA273-1)*100)&lt;-50,"NM",(AI273/AA273-1)*100)))</f>
        <v>-11.398231059463161</v>
      </c>
      <c r="AK273" s="185">
        <f>AK263/AK256*100</f>
        <v>7.5011195700850877</v>
      </c>
      <c r="AL273" s="79">
        <f>IF(ISERROR((AK273/AC273-1)*100),"NA",IF(((AK273/AC273-1)*100)&gt;100,"NM",IF(((AK273/AC273-1)*100)&lt;-50,"NM",(AK273/AC273-1)*100)))</f>
        <v>-9.7481432655532547</v>
      </c>
      <c r="AM273" s="185">
        <f>AM263/AM256*100</f>
        <v>9.337553696586026</v>
      </c>
      <c r="AN273" s="79">
        <f>IF(ISERROR((AM273/AE273-1)*100),"NA",IF(((AM273/AE273-1)*100)&gt;100,"NM",IF(((AM273/AE273-1)*100)&lt;-50,"NM",(AM273/AE273-1)*100)))</f>
        <v>8.575656021315492</v>
      </c>
      <c r="AO273" s="185">
        <f>AO263/AO256*100</f>
        <v>7.5598488030239404</v>
      </c>
      <c r="AP273" s="79">
        <f>IF(ISERROR((AO273/AG273-1)*100),"NA",IF(((AO273/AG273-1)*100)&gt;100,"NM",IF(((AO273/AG273-1)*100)&lt;-50,"NM",(AO273/AG273-1)*100)))</f>
        <v>-5.1414067086505639</v>
      </c>
      <c r="AQ273" s="185">
        <f>AQ263/AQ256*100</f>
        <v>7.3075420085971077</v>
      </c>
      <c r="AR273" s="79">
        <f>IF(ISERROR((AQ273/AI273-1)*100),"NA",IF(((AQ273/AI273-1)*100)&gt;100,"NM",IF(((AQ273/AI273-1)*100)&lt;-50,"NM",(AQ273/AI273-1)*100)))</f>
        <v>-13.603349968182322</v>
      </c>
      <c r="AS273" s="268">
        <f>AS263/AS256*100</f>
        <v>6.7867867867867862</v>
      </c>
      <c r="AT273" s="81">
        <f>IF(ISERROR((AS273/AK273-1)*100),"NA",IF(((AS273/AK273-1)*100)&gt;100,"NM",IF(((AS273/AK273-1)*100)&lt;-50,"NM",(AS273/AK273-1)*100)))</f>
        <v>-9.5230155528663101</v>
      </c>
      <c r="AU273" s="268">
        <f>AU263/AU256*100</f>
        <v>6.9707229635530776</v>
      </c>
      <c r="AV273" s="81">
        <f>IF(ISERROR((AU273/AM273-1)*100),"NA",IF(((AU273/AM273-1)*100)&gt;100,"NM",IF(((AU273/AM273-1)*100)&lt;-50,"NM",(AU273/AM273-1)*100)))</f>
        <v>-25.34743906102841</v>
      </c>
      <c r="AW273" s="268">
        <f>AW263/AW256*100</f>
        <v>7.0772996124821548</v>
      </c>
      <c r="AX273" s="81">
        <f>IF(ISERROR((AW273/AO273-1)*100),"NA",IF(((AW273/AO273-1)*100)&gt;100,"NM",IF(((AW273/AO273-1)*100)&lt;-50,"NM",(AW273/AO273-1)*100)))</f>
        <v>-6.3830534593332882</v>
      </c>
      <c r="AY273" s="268">
        <f>AY263/AY256*100</f>
        <v>7.093322765999603</v>
      </c>
      <c r="AZ273" s="81">
        <f>IF(ISERROR((AY273/AQ273-1)*100),"NA",IF(((AY273/AQ273-1)*100)&gt;100,"NM",IF(((AY273/AQ273-1)*100)&lt;-50,"NM",(AY273/AQ273-1)*100)))</f>
        <v>-2.9314815069893863</v>
      </c>
      <c r="BA273" s="268">
        <f>BA263/BA256*100</f>
        <v>7.4243052675238479</v>
      </c>
      <c r="BB273" s="81">
        <f>IF(ISERROR((BA273/AS273-1)*100),"NA",IF(((BA273/AS273-1)*100)&gt;100,"NM",IF(((BA273/AS273-1)*100)&lt;-50,"NM",(BA273/AS273-1)*100)))</f>
        <v>9.3935245170549297</v>
      </c>
      <c r="BC273" s="268">
        <f>BC263/BC256*100</f>
        <v>6.5190137902214786</v>
      </c>
      <c r="BD273" s="81">
        <f>IF(ISERROR((BC273/AU273-1)*100),"NA",IF(((BC273/AU273-1)*100)&gt;100,"NM",IF(((BC273/AU273-1)*100)&lt;-50,"NM",(BC273/AU273-1)*100)))</f>
        <v>-6.480090740851308</v>
      </c>
      <c r="BE273" s="268">
        <f>BE263/BE256*100</f>
        <v>6.9000201166767239</v>
      </c>
      <c r="BF273" s="81">
        <f>IF(ISERROR((BE273/AW273-1)*100),"NA",IF(((BE273/AW273-1)*100)&gt;100,"NM",IF(((BE273/AW273-1)*100)&lt;-50,"NM",(BE273/AW273-1)*100)))</f>
        <v>-2.5049030776196801</v>
      </c>
      <c r="BG273" s="268">
        <f>BG263/BG256*100</f>
        <v>9.6834264432029791</v>
      </c>
      <c r="BH273" s="81">
        <f>IF(ISERROR((BG273/AY273-1)*100),"NA",IF(((BG273/AY273-1)*100)&gt;100,"NM",IF(((BG273/AY273-1)*100)&lt;-50,"NM",(BG273/AY273-1)*100)))</f>
        <v>36.514673907389493</v>
      </c>
      <c r="BI273" s="268">
        <f>BI263/BI256*100</f>
        <v>10.344067048963387</v>
      </c>
      <c r="BJ273" s="81">
        <f>IF(ISERROR((BI273/BA273-1)*100),"NA",IF(((BI273/BA273-1)*100)&gt;100,"NM",IF(((BI273/BA273-1)*100)&lt;-50,"NM",(BI273/BA273-1)*100)))</f>
        <v>39.327070698607436</v>
      </c>
      <c r="BK273" s="268">
        <f>BK263/BK256*100</f>
        <v>9.8698481561822131</v>
      </c>
      <c r="BL273" s="81">
        <f>IF(ISERROR((BK273/BC273-1)*100),"NA",IF(((BK273/BC273-1)*100)&gt;100,"NM",IF(((BK273/BC273-1)*100)&lt;-50,"NM",(BK273/BC273-1)*100)))</f>
        <v>51.40093998553872</v>
      </c>
      <c r="BM273" s="268">
        <f>BM263/BM256*100</f>
        <v>10.719041278295608</v>
      </c>
      <c r="BN273" s="81">
        <f>IF(ISERROR((BM273/BE273-1)*100),"NA",IF(((BM273/BE273-1)*100)&gt;100,"NM",IF(((BM273/BE273-1)*100)&lt;-50,"NM",(BM273/BE273-1)*100)))</f>
        <v>55.347971412266681</v>
      </c>
      <c r="BO273" s="185">
        <f>BO263/BO256*100</f>
        <v>9.37362152624614</v>
      </c>
      <c r="BP273" s="81">
        <f>IF(ISERROR((BO273/BG273-1)*100),"NA",IF(((BO273/BG273-1)*100)&gt;100,"NM",IF(((BO273/BG273-1)*100)&lt;-50,"NM",(BO273/BG273-1)*100)))</f>
        <v>-3.1993315462658156</v>
      </c>
      <c r="BQ273" s="185">
        <f>BQ263/BQ256*100</f>
        <v>9.0539625197561513</v>
      </c>
      <c r="BR273" s="81">
        <f>IF(ISERROR((BQ273/BI273-1)*100),"NA",IF(((BQ273/BI273-1)*100)&gt;100,"NM",IF(((BQ273/BI273-1)*100)&lt;-50,"NM",(BQ273/BI273-1)*100)))</f>
        <v>-12.471927367645218</v>
      </c>
      <c r="BS273" s="185">
        <f>BS263/BS256*100</f>
        <v>9.0888485947416129</v>
      </c>
      <c r="BT273" s="81">
        <f>IF(ISERROR((BS273/BK273-1)*100),"NA",IF(((BS273/BK273-1)*100)&gt;100,"NM",IF(((BS273/BK273-1)*100)&lt;-50,"NM",(BS273/BK273-1)*100)))</f>
        <v>-7.9129845675630079</v>
      </c>
      <c r="BU273" s="185">
        <f>BU263/BU256*100</f>
        <v>9.0887959088795913</v>
      </c>
      <c r="BV273" s="81">
        <f>IF(ISERROR((BU273/BM273-1)*100),"NA",IF(((BU273/BM273-1)*100)&gt;100,"NM",IF(((BU273/BM273-1)*100)&lt;-50,"NM",(BU273/BM273-1)*100)))</f>
        <v>-15.20887294945873</v>
      </c>
      <c r="BW273" s="185">
        <f>BW263/BW256*100</f>
        <v>9.0695488721804516</v>
      </c>
      <c r="BX273" s="81">
        <f>IF(ISERROR((BW273/BO273-1)*100),"NA",IF(((BW273/BO273-1)*100)&gt;100,"NM",IF(((BW273/BO273-1)*100)&lt;-50,"NM",(BW273/BO273-1)*100)))</f>
        <v>-3.2439186200796</v>
      </c>
      <c r="BY273" s="185">
        <f>BY263/BY256*100</f>
        <v>7.9147196261682238</v>
      </c>
      <c r="BZ273" s="81">
        <f>IF(ISERROR((BY273/BQ273-1)*100),"NA",IF(((BY273/BQ273-1)*100)&gt;100,"NM",IF(((BY273/BQ273-1)*100)&lt;-50,"NM",(BY273/BQ273-1)*100)))</f>
        <v>-12.582809914466164</v>
      </c>
      <c r="CA273" s="185">
        <f>CA263/CA256*100</f>
        <v>9.4618309447206776</v>
      </c>
      <c r="CB273" s="81">
        <f>IF(ISERROR((CA273/BS273-1)*100),"NA",IF(((CA273/BS273-1)*100)&gt;100,"NM",IF(((CA273/BS273-1)*100)&lt;-50,"NM",(CA273/BS273-1)*100)))</f>
        <v>4.1037359803182794</v>
      </c>
      <c r="CC273" s="185">
        <f>CC263/CC256*100</f>
        <v>7.371842221893929</v>
      </c>
      <c r="CD273" s="81">
        <f>IF(ISERROR((CC273/BU273-1)*100),"NA",IF(((CC273/BU273-1)*100)&gt;100,"NM",IF(((CC273/BU273-1)*100)&lt;-50,"NM",(CC273/BU273-1)*100)))</f>
        <v>-18.890881742742504</v>
      </c>
      <c r="CE273" s="185">
        <f>CE263/CE256*100</f>
        <v>7.4247296112247865</v>
      </c>
      <c r="CF273" s="81">
        <f>IF(ISERROR((CE273/BW273-1)*100),"NA",IF(((CE273/BW273-1)*100)&gt;100,"NM",IF(((CE273/BW273-1)*100)&lt;-50,"NM",(CE273/BW273-1)*100)))</f>
        <v>-18.135623768464537</v>
      </c>
      <c r="CG273" s="185">
        <f>CG263/CG256*100</f>
        <v>7.1851851851851851</v>
      </c>
      <c r="CH273" s="81">
        <f>IF(ISERROR((CG273/BY273-1)*100),"NA",IF(((CG273/BY273-1)*100)&gt;100,"NM",IF(((CG273/BY273-1)*100)&lt;-50,"NM",(CG273/BY273-1)*100)))</f>
        <v>-9.2174388410550705</v>
      </c>
      <c r="CI273" s="185">
        <f>CI263/CI256*100</f>
        <v>7.2240502542626386</v>
      </c>
      <c r="CJ273" s="81">
        <f>IF(ISERROR((CI273/CA273-1)*100),"NA",IF(((CI273/CA273-1)*100)&gt;100,"NM",IF(((CI273/CA273-1)*100)&lt;-50,"NM",(CI273/CA273-1)*100)))</f>
        <v>-23.650609522955289</v>
      </c>
      <c r="CK273" s="185">
        <f>CK263/CK256*100</f>
        <v>6.9722593087079066</v>
      </c>
      <c r="CL273" s="81">
        <f>IF(ISERROR((CK273/CC273-1)*100),"NA",IF(((CK273/CC273-1)*100)&gt;100,"NM",IF(((CK273/CC273-1)*100)&lt;-50,"NM",(CK273/CC273-1)*100)))</f>
        <v>-5.4203942672468646</v>
      </c>
      <c r="CM273" s="185">
        <f>CM263/CM256*100</f>
        <v>6.9349569349569347</v>
      </c>
      <c r="CN273" s="81">
        <f>IF(ISERROR((CM273/CE273-1)*100),"NA",IF(((CM273/CE273-1)*100)&gt;100,"NM",IF(((CM273/CE273-1)*100)&lt;-50,"NM",(CM273/CE273-1)*100)))</f>
        <v>-6.5965052185524513</v>
      </c>
      <c r="CO273" s="185">
        <f>CO263/CO256*100</f>
        <v>7.1300715990453467</v>
      </c>
      <c r="CP273" s="81">
        <f>IF(ISERROR((CO273/CG273-1)*100),"NA",IF(((CO273/CG273-1)*100)&gt;100,"NM",IF(((CO273/CG273-1)*100)&lt;-50,"NM",(CO273/CG273-1)*100)))</f>
        <v>-0.76704475555444684</v>
      </c>
      <c r="CQ273" s="185">
        <f>CQ263/CQ256*100</f>
        <v>6.6805225653206648</v>
      </c>
      <c r="CR273" s="81">
        <f>IF(ISERROR((CQ273/CI273-1)*100),"NA",IF(((CQ273/CI273-1)*100)&gt;100,"NM",IF(((CQ273/CI273-1)*100)&lt;-50,"NM",(CQ273/CI273-1)*100)))</f>
        <v>-7.5238636195984139</v>
      </c>
      <c r="CS273" s="185">
        <f>CS263/CS256*100</f>
        <v>6.2518474726574045</v>
      </c>
      <c r="CT273" s="81">
        <f>IF(ISERROR((CS273/CK273-1)*100),"NA",IF(((CS273/CK273-1)*100)&gt;100,"NM",IF(((CS273/CK273-1)*100)&lt;-50,"NM",(CS273/CK273-1)*100)))</f>
        <v>-10.332545078332844</v>
      </c>
      <c r="CU273" s="185">
        <f>CU263/CU256*100</f>
        <v>6.3188831741366638</v>
      </c>
      <c r="CV273" s="81">
        <f>IF(ISERROR((CU273/CM273-1)*100),"NA",IF(((CU273/CM273-1)*100)&gt;100,"NM",IF(((CU273/CM273-1)*100)&lt;-50,"NM",(CU273/CM273-1)*100)))</f>
        <v>-8.8835989408216349</v>
      </c>
      <c r="CW273" s="185">
        <f>CW263/CW256*100</f>
        <v>6.3386524822695041</v>
      </c>
      <c r="CX273" s="81">
        <f>IF(ISERROR((CW273/CO273-1)*100),"NA",IF(((CW273/CO273-1)*100)&gt;100,"NM",IF(((CW273/CO273-1)*100)&lt;-50,"NM",(CW273/CO273-1)*100)))</f>
        <v>-11.09973589720763</v>
      </c>
      <c r="CY273" s="185">
        <f>CY263/CY256*100</f>
        <v>6.1358874588446568</v>
      </c>
      <c r="CZ273" s="81">
        <f>IF(ISERROR((CY273/CQ273-1)*100),"NA",IF(((CY273/CQ273-1)*100)&gt;100,"NM",IF(((CY273/CQ273-1)*100)&lt;-50,"NM",(CY273/CQ273-1)*100)))</f>
        <v>-8.1525823938275348</v>
      </c>
      <c r="DA273" s="185">
        <f>DA263/DA256*100</f>
        <v>6.3346373758651815</v>
      </c>
      <c r="DB273" s="81">
        <f>IF(ISERROR((DA273/CS273-1)*100),"NA",IF(((DA273/CS273-1)*100)&gt;100,"NM",IF(((DA273/CS273-1)*100)&lt;-50,"NM",(DA273/CS273-1)*100)))</f>
        <v>1.3242470097017067</v>
      </c>
      <c r="DC273" s="185">
        <f>DC263/DC256*100</f>
        <v>6.3567503341749596</v>
      </c>
      <c r="DD273" s="81">
        <f>IF(ISERROR((DC273/CU273-1)*100),"NA",IF(((DC273/CU273-1)*100)&gt;100,"NM",IF(((DC273/CU273-1)*100)&lt;-50,"NM",(DC273/CU273-1)*100)))</f>
        <v>0.59926982339675305</v>
      </c>
      <c r="DE273" s="185">
        <f>DE263/DE256*100</f>
        <v>6.8702290076335881</v>
      </c>
      <c r="DF273" s="81">
        <f>IF(ISERROR((DE273/CW273-1)*100),"NA",IF(((DE273/CW273-1)*100)&gt;100,"NM",IF(((DE273/CW273-1)*100)&lt;-50,"NM",(DE273/CW273-1)*100)))</f>
        <v>8.386270218331294</v>
      </c>
      <c r="DG273" s="185">
        <f>DG263/DG256*100</f>
        <v>6.5223925458370902</v>
      </c>
      <c r="DH273" s="81">
        <f>IF(ISERROR((DG273/CY273-1)*100),"NA",IF(((DG273/CY273-1)*100)&gt;100,"NM",IF(((DG273/CY273-1)*100)&lt;-50,"NM",(DG273/CY273-1)*100)))</f>
        <v>6.2990902226425449</v>
      </c>
      <c r="DI273" s="185">
        <f>DI263/DI256*100</f>
        <v>6.5074261215740306</v>
      </c>
      <c r="DJ273" s="81">
        <f>IF(ISERROR((DI273/DA273-1)*100),"NA",IF(((DI273/DA273-1)*100)&gt;100,"NM",IF(((DI273/DA273-1)*100)&lt;-50,"NM",(DI273/DA273-1)*100)))</f>
        <v>2.7276817196698611</v>
      </c>
      <c r="DK273" s="185">
        <f>DK263/DK256*100</f>
        <v>6.7946374162096275</v>
      </c>
      <c r="DL273" s="81">
        <f>IF(ISERROR((DK273/DC273-1)*100),"NA",IF(((DK273/DC273-1)*100)&gt;100,"NM",IF(((DK273/DC273-1)*100)&lt;-50,"NM",(DK273/DC273-1)*100)))</f>
        <v>6.8885367367743422</v>
      </c>
      <c r="DM273" s="185">
        <f>DM263/DM256*100</f>
        <v>6.7077872012336153</v>
      </c>
      <c r="DN273" s="81">
        <f>IF(ISERROR((DM273/DE273-1)*100),"NA",IF(((DM273/DE273-1)*100)&gt;100,"NM",IF(((DM273/DE273-1)*100)&lt;-50,"NM",(DM273/DE273-1)*100)))</f>
        <v>-2.3644307375996099</v>
      </c>
      <c r="DO273" s="185">
        <f>DO263/DO256*100</f>
        <v>6.6463878326996202</v>
      </c>
      <c r="DP273" s="81">
        <f>IF(ISERROR((DO273/DG273-1)*100),"NA",IF(((DO273/DG273-1)*100)&gt;100,"NM",IF(((DO273/DG273-1)*100)&lt;-50,"NM",(DO273/DG273-1)*100)))</f>
        <v>1.9010705962748231</v>
      </c>
      <c r="DQ273" s="185">
        <f>DQ263/DQ256*100</f>
        <v>6.4431800707365827</v>
      </c>
      <c r="DR273" s="81">
        <f>IF(ISERROR((DQ273/DI273-1)*100),"NA",IF(((DQ273/DI273-1)*100)&gt;100,"NM",IF(((DQ273/DI273-1)*100)&lt;-50,"NM",(DQ273/DI273-1)*100)))</f>
        <v>-0.98727284239852331</v>
      </c>
      <c r="DS273" s="185">
        <f>DS263/DS256*100</f>
        <v>6.2973054798667878</v>
      </c>
      <c r="DT273" s="81">
        <f>IF(ISERROR((DS273/DK273-1)*100),"NA",IF(((DS273/DK273-1)*100)&gt;100,"NM",IF(((DS273/DK273-1)*100)&lt;-50,"NM",(DS273/DK273-1)*100)))</f>
        <v>-7.3194771976556101</v>
      </c>
      <c r="DU273" s="185">
        <f>DU263/DU256*100</f>
        <v>6.0936300844205693</v>
      </c>
      <c r="DV273" s="81">
        <f>IF(ISERROR((DU273/DM273-1)*100),"NA",IF(((DU273/DM273-1)*100)&gt;100,"NM",IF(((DU273/DM273-1)*100)&lt;-50,"NM",(DU273/DM273-1)*100)))</f>
        <v>-9.1558825345577137</v>
      </c>
      <c r="DW273" s="185">
        <f>DW263/DW256*100</f>
        <v>6.1609195402298855</v>
      </c>
      <c r="DX273" s="81">
        <f>IF(ISERROR((DW273/DO273-1)*100),"NA",IF(((DW273/DO273-1)*100)&gt;100,"NM",IF(((DW273/DO273-1)*100)&lt;-50,"NM",(DW273/DO273-1)*100)))</f>
        <v>-7.3042426155343403</v>
      </c>
      <c r="DY273" s="185">
        <f>DY263/DY256*100</f>
        <v>6.1517113783533768</v>
      </c>
      <c r="DZ273" s="81">
        <f>IF(ISERROR((DY273/DQ273-1)*100),"NA",IF(((DY273/DQ273-1)*100)&gt;100,"NM",IF(((DY273/DQ273-1)*100)&lt;-50,"NM",(DY273/DQ273-1)*100)))</f>
        <v>-4.52367758130785</v>
      </c>
      <c r="EA273" s="185">
        <f>EA263/EA256*100</f>
        <v>6.3719512195121952</v>
      </c>
      <c r="EB273" s="81">
        <f>IF(ISERROR((EA273/DS273-1)*100),"NA",IF(((EA273/DS273-1)*100)&gt;100,"NM",IF(((EA273/DS273-1)*100)&lt;-50,"NM",(EA273/DS273-1)*100)))</f>
        <v>1.1853599906191281</v>
      </c>
      <c r="EC273" s="185">
        <f>EC263/EC256*100</f>
        <v>6.1741835147744952</v>
      </c>
      <c r="ED273" s="81">
        <f t="shared" si="924"/>
        <v>1.3219284603421366</v>
      </c>
      <c r="EE273" s="185">
        <f>EE263/EE256*100</f>
        <v>6.0785536159600992</v>
      </c>
      <c r="EF273" s="81">
        <f t="shared" si="925"/>
        <v>-1.3369095916924256</v>
      </c>
      <c r="EG273" s="185">
        <f>EG263/EG256*100</f>
        <v>6.0914500469777639</v>
      </c>
      <c r="EH273" s="81">
        <f t="shared" si="926"/>
        <v>-0.97958645439154557</v>
      </c>
      <c r="EI273" s="185">
        <f>EI263/EI256*100</f>
        <v>6.2050640825257899</v>
      </c>
      <c r="EJ273" s="81">
        <f t="shared" si="927"/>
        <v>-2.6190899967244441</v>
      </c>
      <c r="EK273" s="186">
        <f t="shared" ref="EK273" si="935">EI273</f>
        <v>6.2050640825257899</v>
      </c>
      <c r="EL273" s="81">
        <f t="shared" si="928"/>
        <v>0.50015629884339052</v>
      </c>
      <c r="EM273" s="186">
        <f t="shared" ref="EM273" si="936">EK273</f>
        <v>6.2050640825257899</v>
      </c>
      <c r="EN273" s="81">
        <f t="shared" si="930"/>
        <v>2.0812593679114588</v>
      </c>
      <c r="EO273" s="186">
        <f t="shared" ref="EO273" si="937">EM273</f>
        <v>6.2050640825257899</v>
      </c>
      <c r="EP273" s="81">
        <f t="shared" si="932"/>
        <v>1.8651394113359698</v>
      </c>
      <c r="EQ273" s="186">
        <f t="shared" ref="EQ273" si="938">EO273</f>
        <v>6.2050640825257899</v>
      </c>
      <c r="ER273" s="81">
        <f t="shared" si="934"/>
        <v>0</v>
      </c>
      <c r="ES273" s="272"/>
      <c r="ET273" s="480"/>
      <c r="EU273" s="272"/>
      <c r="EV273" s="273"/>
      <c r="EW273" s="274"/>
      <c r="EX273" s="273"/>
      <c r="EY273" s="274"/>
      <c r="EZ273" s="273"/>
      <c r="FA273" s="274"/>
      <c r="FB273" s="273"/>
      <c r="FC273" s="274"/>
      <c r="FD273" s="273">
        <f>FD263/FD256*100</f>
        <v>10.58559681036631</v>
      </c>
      <c r="FE273" s="274" t="str">
        <f>IF(ISERROR((FD273/FB273-1)*100),"NA",IF(((FD273/FB273-1)*100)&gt;100,"NM",IF(((FD273/FB273-1)*100)&lt;-50,"NM",(FD273/FB273-1)*100)))</f>
        <v>NA</v>
      </c>
      <c r="FF273" s="273">
        <f>FF263/FF256*100</f>
        <v>10.289438571281945</v>
      </c>
      <c r="FG273" s="274">
        <f>IF(ISERROR((FF273/FD273-1)*100),"NA",IF(((FF273/FD273-1)*100)&gt;100,"NM",IF(((FF273/FD273-1)*100)&lt;-50,"NM",(FF273/FD273-1)*100)))</f>
        <v>-2.7977472067927445</v>
      </c>
      <c r="FH273" s="273">
        <f>FH263/FH256*100</f>
        <v>8.3351007423117718</v>
      </c>
      <c r="FI273" s="274">
        <f>IF(ISERROR((FH273/FF273-1)*100),"NA",IF(((FH273/FF273-1)*100)&gt;100,"NM",IF(((FH273/FF273-1)*100)&lt;-50,"NM",(FH273/FF273-1)*100)))</f>
        <v>-18.993629394170974</v>
      </c>
      <c r="FJ273" s="273">
        <f>FJ263/FJ256*100</f>
        <v>7.8959987212957534</v>
      </c>
      <c r="FK273" s="274">
        <f>IF(ISERROR((FJ273/FH273-1)*100),"NA",IF(((FJ273/FH273-1)*100)&gt;100,"NM",IF(((FJ273/FH273-1)*100)&lt;-50,"NM",(FJ273/FH273-1)*100)))</f>
        <v>-5.2681069442507056</v>
      </c>
      <c r="FL273" s="185">
        <f>FL263/FL256*100</f>
        <v>6.9818691776019239</v>
      </c>
      <c r="FM273" s="274">
        <f>IF(ISERROR((FL273/FJ273-1)*100),"NA",IF(((FL273/FJ273-1)*100)&gt;100,"NM",IF(((FL273/FJ273-1)*100)&lt;-50,"NM",(FL273/FJ273-1)*100)))</f>
        <v>-11.577123755458496</v>
      </c>
      <c r="FN273" s="185">
        <f>FN263/FN256*100</f>
        <v>7.6293014630125695</v>
      </c>
      <c r="FO273" s="274">
        <f>IF(ISERROR((FN273/FL273-1)*100),"NA",IF(((FN273/FL273-1)*100)&gt;100,"NM",IF(((FN273/FL273-1)*100)&lt;-50,"NM",(FN273/FL273-1)*100)))</f>
        <v>9.2730509401068417</v>
      </c>
      <c r="FP273" s="253">
        <f>FP263/FP256*100</f>
        <v>10.074791025076994</v>
      </c>
      <c r="FQ273" s="274">
        <f>IF(ISERROR((FP273/FN273-1)*100),"NA",IF(((FP273/FN273-1)*100)&gt;100,"NM",IF(((FP273/FN273-1)*100)&lt;-50,"NM",(FP273/FN273-1)*100)))</f>
        <v>32.053911802022014</v>
      </c>
      <c r="FR273" s="253">
        <f>FR263/FR256*100</f>
        <v>8.332723681322701</v>
      </c>
      <c r="FS273" s="274">
        <f>IF(ISERROR((FR273/FP273-1)*100),"NA",IF(((FR273/FP273-1)*100)&gt;100,"NM",IF(((FR273/FP273-1)*100)&lt;-50,"NM",(FR273/FP273-1)*100)))</f>
        <v>-17.291349660932344</v>
      </c>
      <c r="FT273" s="253">
        <f>FT263/FT256*100</f>
        <v>8.0448400923178394</v>
      </c>
      <c r="FU273" s="274">
        <f>IF(ISERROR((FT273/FR273-1)*100),"NA",IF(((FT273/FR273-1)*100)&gt;100,"NM",IF(((FT273/FR273-1)*100)&lt;-50,"NM",(FT273/FR273-1)*100)))</f>
        <v>-3.4548558192339374</v>
      </c>
      <c r="FV273" s="253">
        <f>FV263/FV256*100</f>
        <v>7.078889673367768</v>
      </c>
      <c r="FW273" s="274">
        <f>IF(ISERROR((FV273/FT273-1)*100),"NA",IF(((FV273/FT273-1)*100)&gt;100,"NM",IF(((FV273/FT273-1)*100)&lt;-50,"NM",(FV273/FT273-1)*100)))</f>
        <v>-12.007080412604775</v>
      </c>
      <c r="FX273" s="253">
        <f>FX263/FX256*100</f>
        <v>6.5955634559123082</v>
      </c>
      <c r="FY273" s="274">
        <f>IF(ISERROR((FX273/FV273-1)*100),"NA",IF(((FX273/FV273-1)*100)&gt;100,"NM",IF(((FX273/FV273-1)*100)&lt;-50,"NM",(FX273/FV273-1)*100)))</f>
        <v>-6.8277122508891726</v>
      </c>
      <c r="FZ273" s="253">
        <f>FZ263/FZ256*100</f>
        <v>6.2916992806291709</v>
      </c>
      <c r="GA273" s="79">
        <f>IF(ISERROR((FZ273/FX273-1)*100),"NA",IF(((FZ273/FX273-1)*100)&gt;100,"NM",IF(((FZ273/FX273-1)*100)&lt;-50,"NM",(FZ273/FX273-1)*100)))</f>
        <v>-4.6070995649469708</v>
      </c>
      <c r="GB273" s="253">
        <f>GB263/GB256*100</f>
        <v>6.673257538309441</v>
      </c>
      <c r="GC273" s="79">
        <f>IF(ISERROR((GB273/FZ273-1)*100),"NA",IF(((GB273/FZ273-1)*100)&gt;100,"NM",IF(((GB273/FZ273-1)*100)&lt;-50,"NM",(GB273/FZ273-1)*100)))</f>
        <v>6.0644706725734299</v>
      </c>
      <c r="GD273" s="253">
        <f>GD263/GD256*100</f>
        <v>6.5229852115098002</v>
      </c>
      <c r="GE273" s="79">
        <f>IF(ISERROR((GD273/GB273-1)*100),"NA",IF(((GD273/GB273-1)*100)&gt;100,"NM",IF(((GD273/GB273-1)*100)&lt;-50,"NM",(GD273/GB273-1)*100)))</f>
        <v>-2.2518586453012857</v>
      </c>
      <c r="GF273" s="253">
        <f>GF263/GF256*100</f>
        <v>6.1948938127731346</v>
      </c>
      <c r="GG273" s="79">
        <f>IF(ISERROR((GF273/GD273-1)*100),"NA",IF(((GF273/GD273-1)*100)&gt;100,"NM",IF(((GF273/GD273-1)*100)&lt;-50,"NM",(GF273/GD273-1)*100)))</f>
        <v>-5.0297737630578769</v>
      </c>
      <c r="GH273" s="253">
        <f>GH263/GH256*100</f>
        <v>6.1373390557939915</v>
      </c>
      <c r="GI273" s="79">
        <f>IF(ISERROR((GH273/GF273-1)*100),"NA",IF(((GH273/GF273-1)*100)&gt;100,"NM",IF(((GH273/GF273-1)*100)&lt;-50,"NM",(GH273/GF273-1)*100)))</f>
        <v>-0.92906769217693252</v>
      </c>
      <c r="GJ273" s="253">
        <f>GJ263/GJ256*100</f>
        <v>6.205064082525789</v>
      </c>
      <c r="GK273" s="79">
        <f>IF(ISERROR((GJ273/GH273-1)*100),"NA",IF(((GJ273/GH273-1)*100)&gt;100,"NM",IF(((GJ273/GH273-1)*100)&lt;-50,"NM",(GJ273/GH273-1)*100)))</f>
        <v>1.1034916943013062</v>
      </c>
      <c r="GL273" s="186">
        <f>GJ273</f>
        <v>6.205064082525789</v>
      </c>
      <c r="GM273" s="79">
        <f>IF(ISERROR((GL273/GJ273-1)*100),"NA",IF(((GL273/GJ273-1)*100)&gt;100,"NM",IF(((GL273/GJ273-1)*100)&lt;-50,"NM",(GL273/GJ273-1)*100)))</f>
        <v>0</v>
      </c>
      <c r="GN273" s="186">
        <f>GL273</f>
        <v>6.205064082525789</v>
      </c>
      <c r="GO273" s="79">
        <f>IF(ISERROR((GN273/GL273-1)*100),"NA",IF(((GN273/GL273-1)*100)&gt;100,"NM",IF(((GN273/GL273-1)*100)&lt;-50,"NM",(GN273/GL273-1)*100)))</f>
        <v>0</v>
      </c>
      <c r="GP273" s="186">
        <f>GN273</f>
        <v>6.205064082525789</v>
      </c>
      <c r="GQ273" s="79">
        <f>IF(ISERROR((GP273/GN273-1)*100),"NA",IF(((GP273/GN273-1)*100)&gt;100,"NM",IF(((GP273/GN273-1)*100)&lt;-50,"NM",(GP273/GN273-1)*100)))</f>
        <v>0</v>
      </c>
      <c r="GR273" s="186">
        <f>GP273</f>
        <v>6.205064082525789</v>
      </c>
      <c r="GS273" s="79">
        <f>IF(ISERROR((GR273/GP273-1)*100),"NA",IF(((GR273/GP273-1)*100)&gt;100,"NM",IF(((GR273/GP273-1)*100)&lt;-50,"NM",(GR273/GP273-1)*100)))</f>
        <v>0</v>
      </c>
      <c r="GT273" s="79">
        <f>IF(ISERROR(((GR273/GH273)^0.2-1)*100),"NA",(IF(OR(((GR273/GH273)^0.2-1)*100&gt;99,((GR273/GH273)^0.2-1)*100&lt;-50),"NM",(((GR273/GH273)^0.2-1)*100))))</f>
        <v>0.21973058415016844</v>
      </c>
    </row>
    <row r="274" spans="1:286" s="132" customFormat="1" ht="12.75" customHeight="1" x14ac:dyDescent="0.2">
      <c r="A274" s="133"/>
      <c r="B274" s="2"/>
      <c r="C274" s="79"/>
      <c r="D274" s="79"/>
      <c r="E274" s="95"/>
      <c r="F274" s="95"/>
      <c r="G274" s="95"/>
      <c r="H274" s="95"/>
      <c r="I274" s="95"/>
      <c r="J274" s="95"/>
      <c r="K274" s="95"/>
      <c r="L274" s="79"/>
      <c r="M274" s="95"/>
      <c r="N274" s="79"/>
      <c r="O274" s="95"/>
      <c r="P274" s="79"/>
      <c r="Q274" s="95"/>
      <c r="R274" s="79"/>
      <c r="S274" s="95"/>
      <c r="T274" s="79"/>
      <c r="U274" s="95"/>
      <c r="V274" s="79"/>
      <c r="W274" s="95"/>
      <c r="X274" s="79"/>
      <c r="Y274" s="95"/>
      <c r="Z274" s="79"/>
      <c r="AA274" s="126"/>
      <c r="AB274" s="79"/>
      <c r="AC274" s="95"/>
      <c r="AD274" s="79"/>
      <c r="AE274" s="95"/>
      <c r="AF274" s="79"/>
      <c r="AG274" s="95"/>
      <c r="AH274" s="79"/>
      <c r="AI274" s="95"/>
      <c r="AJ274" s="79"/>
      <c r="AK274" s="95"/>
      <c r="AL274" s="79"/>
      <c r="AM274" s="95"/>
      <c r="AN274" s="79"/>
      <c r="AO274" s="95"/>
      <c r="AP274" s="79"/>
      <c r="AQ274" s="95"/>
      <c r="AR274" s="79"/>
      <c r="AS274" s="95"/>
      <c r="AT274" s="81"/>
      <c r="AU274" s="95"/>
      <c r="AV274" s="81"/>
      <c r="AW274" s="95"/>
      <c r="AX274" s="81"/>
      <c r="AY274" s="95"/>
      <c r="AZ274" s="81"/>
      <c r="BA274" s="95"/>
      <c r="BB274" s="81"/>
      <c r="BC274" s="95"/>
      <c r="BD274" s="81"/>
      <c r="BE274" s="95"/>
      <c r="BF274" s="81"/>
      <c r="BG274" s="95"/>
      <c r="BH274" s="81"/>
      <c r="BI274" s="95"/>
      <c r="BJ274" s="81"/>
      <c r="BK274" s="95"/>
      <c r="BL274" s="81"/>
      <c r="BM274" s="95"/>
      <c r="BN274" s="81"/>
      <c r="BO274" s="95"/>
      <c r="BP274" s="81"/>
      <c r="BQ274" s="95"/>
      <c r="BR274" s="81"/>
      <c r="BS274" s="95"/>
      <c r="BT274" s="81"/>
      <c r="BU274" s="95"/>
      <c r="BV274" s="81"/>
      <c r="BW274" s="95"/>
      <c r="BX274" s="81"/>
      <c r="BY274" s="95"/>
      <c r="BZ274" s="81"/>
      <c r="CA274" s="95"/>
      <c r="CB274" s="81"/>
      <c r="CC274" s="95"/>
      <c r="CD274" s="81"/>
      <c r="CE274" s="95"/>
      <c r="CF274" s="81"/>
      <c r="CG274" s="95"/>
      <c r="CH274" s="81"/>
      <c r="CI274" s="95"/>
      <c r="CJ274" s="81"/>
      <c r="CK274" s="95"/>
      <c r="CL274" s="81"/>
      <c r="CM274" s="95"/>
      <c r="CN274" s="81"/>
      <c r="CO274" s="95"/>
      <c r="CP274" s="81"/>
      <c r="CQ274" s="95"/>
      <c r="CR274" s="81"/>
      <c r="CS274" s="95"/>
      <c r="CT274" s="81"/>
      <c r="CU274" s="95"/>
      <c r="CV274" s="81"/>
      <c r="CW274" s="95"/>
      <c r="CX274" s="81"/>
      <c r="CY274" s="95"/>
      <c r="CZ274" s="81"/>
      <c r="DA274" s="95"/>
      <c r="DB274" s="81"/>
      <c r="DC274" s="95"/>
      <c r="DD274" s="81"/>
      <c r="DE274" s="95"/>
      <c r="DF274" s="81"/>
      <c r="DG274" s="95"/>
      <c r="DH274" s="81"/>
      <c r="DI274" s="95"/>
      <c r="DJ274" s="81"/>
      <c r="DK274" s="95"/>
      <c r="DL274" s="81"/>
      <c r="DM274" s="95"/>
      <c r="DN274" s="81"/>
      <c r="DO274" s="95"/>
      <c r="DP274" s="81"/>
      <c r="DQ274" s="95"/>
      <c r="DR274" s="81"/>
      <c r="DS274" s="95"/>
      <c r="DT274" s="81"/>
      <c r="DU274" s="95"/>
      <c r="DV274" s="81"/>
      <c r="DW274" s="95"/>
      <c r="DX274" s="81"/>
      <c r="DY274" s="95"/>
      <c r="DZ274" s="81"/>
      <c r="EA274" s="95"/>
      <c r="EB274" s="81"/>
      <c r="EC274" s="95"/>
      <c r="ED274" s="81"/>
      <c r="EE274" s="95"/>
      <c r="EF274" s="81"/>
      <c r="EG274" s="95"/>
      <c r="EH274" s="81"/>
      <c r="EI274" s="95"/>
      <c r="EJ274" s="81"/>
      <c r="EK274" s="95"/>
      <c r="EL274" s="81"/>
      <c r="EM274" s="95"/>
      <c r="EN274" s="81"/>
      <c r="EO274" s="95"/>
      <c r="EP274" s="81"/>
      <c r="EQ274" s="95"/>
      <c r="ER274" s="81"/>
      <c r="ES274" s="129"/>
      <c r="ET274" s="469"/>
      <c r="EU274" s="129"/>
      <c r="EV274" s="95"/>
      <c r="EW274" s="79"/>
      <c r="EX274" s="95"/>
      <c r="EY274" s="79"/>
      <c r="EZ274" s="131"/>
      <c r="FA274" s="79"/>
      <c r="FB274" s="35"/>
      <c r="FC274" s="79"/>
      <c r="FD274" s="35"/>
      <c r="FE274" s="79"/>
      <c r="FF274" s="35"/>
      <c r="FG274" s="79"/>
      <c r="FH274" s="35"/>
      <c r="FI274" s="79"/>
      <c r="FJ274" s="35"/>
      <c r="FK274" s="79"/>
      <c r="FL274" s="93"/>
      <c r="FM274" s="79"/>
      <c r="FN274" s="93"/>
      <c r="FO274" s="79"/>
      <c r="FP274" s="93"/>
      <c r="FQ274" s="79"/>
      <c r="FR274" s="95"/>
      <c r="FS274" s="79"/>
      <c r="FT274" s="95"/>
      <c r="FU274" s="79"/>
      <c r="FV274" s="95"/>
      <c r="FW274" s="79"/>
      <c r="FX274" s="95"/>
      <c r="FY274" s="79"/>
      <c r="FZ274" s="95"/>
      <c r="GA274" s="79"/>
      <c r="GB274" s="95"/>
      <c r="GC274" s="79"/>
      <c r="GD274" s="95"/>
      <c r="GE274" s="79"/>
      <c r="GF274" s="95"/>
      <c r="GG274" s="79"/>
      <c r="GH274" s="95"/>
      <c r="GI274" s="79"/>
      <c r="GJ274" s="95"/>
      <c r="GK274" s="79"/>
      <c r="GL274" s="95"/>
      <c r="GM274" s="79"/>
      <c r="GN274" s="95"/>
      <c r="GO274" s="79"/>
      <c r="GP274" s="95"/>
      <c r="GQ274" s="79"/>
      <c r="GR274" s="95"/>
      <c r="GS274" s="79"/>
      <c r="GT274" s="79"/>
      <c r="GU274" s="562"/>
      <c r="GV274" s="562"/>
      <c r="GW274"/>
      <c r="GX274"/>
      <c r="GY274"/>
      <c r="GZ274"/>
      <c r="HA274"/>
      <c r="HB274"/>
      <c r="HC274" s="562"/>
      <c r="HD274" s="562"/>
      <c r="HE274" s="562"/>
      <c r="HF274" s="562"/>
      <c r="HG274" s="562"/>
      <c r="HH274" s="562"/>
      <c r="HI274" s="562"/>
      <c r="HJ274" s="562"/>
      <c r="HK274" s="562"/>
      <c r="HL274" s="562"/>
      <c r="HM274" s="562"/>
      <c r="HN274" s="562"/>
      <c r="HO274" s="562"/>
      <c r="HP274" s="562"/>
      <c r="HQ274" s="562"/>
      <c r="HR274" s="562"/>
      <c r="HS274" s="562"/>
      <c r="HT274" s="562"/>
      <c r="HU274" s="562"/>
      <c r="HV274" s="562"/>
      <c r="HW274" s="562"/>
      <c r="HX274" s="562"/>
      <c r="HY274" s="562"/>
      <c r="HZ274" s="562"/>
      <c r="IA274" s="562"/>
      <c r="IB274" s="562"/>
      <c r="IC274" s="562"/>
      <c r="ID274" s="562"/>
      <c r="IE274" s="562"/>
      <c r="IF274" s="562"/>
      <c r="IG274" s="562"/>
      <c r="IH274" s="562"/>
      <c r="II274" s="562"/>
      <c r="IJ274" s="562"/>
      <c r="IK274" s="562"/>
      <c r="IL274" s="562"/>
      <c r="IM274" s="562"/>
      <c r="IN274" s="562"/>
      <c r="IO274" s="562"/>
      <c r="IP274" s="562"/>
      <c r="IQ274" s="562"/>
      <c r="IR274" s="562"/>
      <c r="IS274" s="562"/>
      <c r="IT274" s="562"/>
      <c r="IU274" s="562"/>
      <c r="IV274" s="562"/>
      <c r="IW274" s="562"/>
      <c r="IX274" s="562"/>
      <c r="IY274" s="562"/>
      <c r="IZ274" s="562"/>
      <c r="JA274" s="562"/>
      <c r="JB274" s="562"/>
      <c r="JC274" s="562"/>
      <c r="JD274" s="562"/>
      <c r="JE274" s="562"/>
      <c r="JF274" s="562"/>
      <c r="JG274" s="562"/>
      <c r="JH274" s="562"/>
      <c r="JI274" s="562"/>
      <c r="JJ274" s="562"/>
      <c r="JK274" s="562"/>
      <c r="JL274" s="562"/>
      <c r="JM274" s="562"/>
      <c r="JN274" s="562"/>
      <c r="JO274" s="562"/>
      <c r="JP274" s="562"/>
      <c r="JQ274" s="562"/>
      <c r="JR274" s="562"/>
      <c r="JS274" s="562"/>
      <c r="JT274" s="562"/>
      <c r="JU274" s="562"/>
      <c r="JV274" s="562"/>
      <c r="JW274" s="562"/>
      <c r="JX274" s="562"/>
      <c r="JY274" s="562"/>
      <c r="JZ274" s="562"/>
    </row>
    <row r="275" spans="1:286" s="132" customFormat="1" ht="12.75" customHeight="1" x14ac:dyDescent="0.2">
      <c r="A275" s="133"/>
      <c r="B275" s="2" t="s">
        <v>575</v>
      </c>
      <c r="C275" s="79"/>
      <c r="D275" s="79"/>
      <c r="E275" s="95"/>
      <c r="F275" s="95"/>
      <c r="G275" s="95"/>
      <c r="H275" s="95"/>
      <c r="I275" s="95"/>
      <c r="J275" s="95"/>
      <c r="K275" s="95"/>
      <c r="L275" s="79"/>
      <c r="M275" s="95"/>
      <c r="N275" s="79"/>
      <c r="O275" s="95"/>
      <c r="P275" s="79"/>
      <c r="Q275" s="95"/>
      <c r="R275" s="79"/>
      <c r="S275" s="95"/>
      <c r="T275" s="79"/>
      <c r="U275" s="95"/>
      <c r="V275" s="79"/>
      <c r="W275" s="95"/>
      <c r="X275" s="79"/>
      <c r="Y275" s="95"/>
      <c r="Z275" s="79"/>
      <c r="AA275" s="126"/>
      <c r="AB275" s="79"/>
      <c r="AC275" s="95"/>
      <c r="AD275" s="79"/>
      <c r="AE275" s="95"/>
      <c r="AF275" s="79"/>
      <c r="AG275" s="95"/>
      <c r="AH275" s="79"/>
      <c r="AI275" s="95"/>
      <c r="AJ275" s="79"/>
      <c r="AK275" s="95"/>
      <c r="AL275" s="79"/>
      <c r="AM275" s="95"/>
      <c r="AN275" s="79"/>
      <c r="AO275" s="95"/>
      <c r="AP275" s="79"/>
      <c r="AQ275" s="95"/>
      <c r="AR275" s="79"/>
      <c r="AS275" s="95"/>
      <c r="AT275" s="81"/>
      <c r="AU275" s="95"/>
      <c r="AV275" s="81"/>
      <c r="AW275" s="95"/>
      <c r="AX275" s="81"/>
      <c r="AY275" s="95"/>
      <c r="AZ275" s="81"/>
      <c r="BA275" s="95"/>
      <c r="BB275" s="81"/>
      <c r="BC275" s="95"/>
      <c r="BD275" s="81"/>
      <c r="BE275" s="95"/>
      <c r="BF275" s="81"/>
      <c r="BG275" s="95"/>
      <c r="BH275" s="81"/>
      <c r="BI275" s="95"/>
      <c r="BJ275" s="81"/>
      <c r="BK275" s="95"/>
      <c r="BL275" s="81"/>
      <c r="BM275" s="95"/>
      <c r="BN275" s="81"/>
      <c r="BO275" s="95"/>
      <c r="BP275" s="81"/>
      <c r="BQ275" s="95"/>
      <c r="BR275" s="81"/>
      <c r="BS275" s="95"/>
      <c r="BT275" s="81"/>
      <c r="BU275" s="95"/>
      <c r="BV275" s="81"/>
      <c r="BW275" s="95"/>
      <c r="BX275" s="81"/>
      <c r="BY275" s="95"/>
      <c r="BZ275" s="81"/>
      <c r="CA275" s="95"/>
      <c r="CB275" s="81"/>
      <c r="CC275" s="95"/>
      <c r="CD275" s="81"/>
      <c r="CE275" s="95"/>
      <c r="CF275" s="81"/>
      <c r="CG275" s="95"/>
      <c r="CH275" s="81"/>
      <c r="CI275" s="95"/>
      <c r="CJ275" s="81"/>
      <c r="CK275" s="95"/>
      <c r="CL275" s="81"/>
      <c r="CM275" s="95"/>
      <c r="CN275" s="81"/>
      <c r="CO275" s="95"/>
      <c r="CP275" s="81"/>
      <c r="CQ275" s="95"/>
      <c r="CR275" s="81"/>
      <c r="CS275" s="95"/>
      <c r="CT275" s="81"/>
      <c r="CU275" s="95"/>
      <c r="CV275" s="81"/>
      <c r="CW275" s="129">
        <v>0</v>
      </c>
      <c r="CX275" s="81"/>
      <c r="CY275" s="129">
        <v>0</v>
      </c>
      <c r="CZ275" s="81"/>
      <c r="DA275" s="129">
        <v>0</v>
      </c>
      <c r="DB275" s="81"/>
      <c r="DC275" s="129">
        <v>0</v>
      </c>
      <c r="DD275" s="81"/>
      <c r="DE275" s="129">
        <v>0</v>
      </c>
      <c r="DF275" s="81"/>
      <c r="DG275" s="129">
        <v>0</v>
      </c>
      <c r="DH275" s="81"/>
      <c r="DI275" s="129">
        <v>0</v>
      </c>
      <c r="DJ275" s="81"/>
      <c r="DK275" s="129">
        <v>0</v>
      </c>
      <c r="DL275" s="81"/>
      <c r="DM275" s="129">
        <v>0</v>
      </c>
      <c r="DN275" s="81"/>
      <c r="DO275" s="129">
        <v>0</v>
      </c>
      <c r="DP275" s="81"/>
      <c r="DQ275" s="129">
        <v>0</v>
      </c>
      <c r="DR275" s="81"/>
      <c r="DS275" s="129">
        <v>0</v>
      </c>
      <c r="DT275" s="81"/>
      <c r="DU275" s="129">
        <v>0</v>
      </c>
      <c r="DV275" s="81"/>
      <c r="DW275" s="129">
        <v>0</v>
      </c>
      <c r="DX275" s="81"/>
      <c r="DY275" s="129">
        <v>0</v>
      </c>
      <c r="DZ275" s="81"/>
      <c r="EA275" s="129">
        <v>0</v>
      </c>
      <c r="EB275" s="81"/>
      <c r="EC275" s="129">
        <v>0</v>
      </c>
      <c r="ED275" s="81"/>
      <c r="EE275" s="129">
        <v>0</v>
      </c>
      <c r="EF275" s="81"/>
      <c r="EG275" s="129">
        <v>0</v>
      </c>
      <c r="EH275" s="81"/>
      <c r="EI275" s="129">
        <v>0</v>
      </c>
      <c r="EJ275" s="81"/>
      <c r="EK275" s="129">
        <v>0</v>
      </c>
      <c r="EL275" s="81"/>
      <c r="EM275" s="129">
        <v>0</v>
      </c>
      <c r="EN275" s="81"/>
      <c r="EO275" s="129">
        <v>0</v>
      </c>
      <c r="EP275" s="81"/>
      <c r="EQ275" s="129">
        <v>0</v>
      </c>
      <c r="ER275" s="81"/>
      <c r="ES275" s="129"/>
      <c r="ET275" s="469"/>
      <c r="EU275" s="129"/>
      <c r="EV275" s="95"/>
      <c r="EW275" s="79"/>
      <c r="EX275" s="95"/>
      <c r="EY275" s="79"/>
      <c r="EZ275" s="131"/>
      <c r="FA275" s="79"/>
      <c r="FB275" s="35"/>
      <c r="FC275" s="79"/>
      <c r="FD275" s="35"/>
      <c r="FE275" s="79"/>
      <c r="FF275" s="35"/>
      <c r="FG275" s="79"/>
      <c r="FH275" s="35"/>
      <c r="FI275" s="79"/>
      <c r="FJ275" s="35"/>
      <c r="FK275" s="79"/>
      <c r="FL275" s="93"/>
      <c r="FM275" s="79"/>
      <c r="FN275" s="93"/>
      <c r="FO275" s="79"/>
      <c r="FP275" s="93"/>
      <c r="FQ275" s="79"/>
      <c r="FR275" s="95"/>
      <c r="FS275" s="79"/>
      <c r="FT275" s="95"/>
      <c r="FU275" s="79"/>
      <c r="FV275" s="95"/>
      <c r="FW275" s="79"/>
      <c r="FX275" s="93">
        <v>0</v>
      </c>
      <c r="FY275" s="146"/>
      <c r="FZ275" s="93">
        <f>CW275+CY275+DA275+DC275</f>
        <v>0</v>
      </c>
      <c r="GA275" s="146"/>
      <c r="GB275" s="93">
        <f>DE275+DG275+DI275+DK275</f>
        <v>0</v>
      </c>
      <c r="GC275" s="146"/>
      <c r="GD275" s="93">
        <f>DM275+DO275+DQ275+DS275</f>
        <v>0</v>
      </c>
      <c r="GE275" s="79"/>
      <c r="GF275" s="93">
        <f>DU275+DW275+DY275+EA275</f>
        <v>0</v>
      </c>
      <c r="GG275" s="79"/>
      <c r="GH275" s="93">
        <f>EC275+EE275+EG275+EI275</f>
        <v>0</v>
      </c>
      <c r="GI275" s="79"/>
      <c r="GJ275" s="93">
        <f>EK275+EM275+EO275+EQ275</f>
        <v>0</v>
      </c>
      <c r="GK275" s="79"/>
      <c r="GL275" s="174">
        <v>0</v>
      </c>
      <c r="GM275" s="79"/>
      <c r="GN275" s="174">
        <v>0</v>
      </c>
      <c r="GO275" s="79"/>
      <c r="GP275" s="174">
        <v>0</v>
      </c>
      <c r="GQ275" s="79"/>
      <c r="GR275" s="174">
        <v>0</v>
      </c>
      <c r="GS275" s="79"/>
      <c r="GT275" s="79"/>
      <c r="GU275" s="562"/>
      <c r="GV275" s="562"/>
      <c r="GW275"/>
      <c r="GX275"/>
      <c r="GY275"/>
      <c r="GZ275"/>
      <c r="HA275"/>
      <c r="HB275"/>
      <c r="HC275" s="562"/>
      <c r="HD275" s="562"/>
      <c r="HE275" s="562"/>
      <c r="HF275" s="562"/>
      <c r="HG275" s="562"/>
      <c r="HH275" s="562"/>
      <c r="HI275" s="562"/>
      <c r="HJ275" s="562"/>
      <c r="HK275" s="562"/>
      <c r="HL275" s="562"/>
      <c r="HM275" s="562"/>
      <c r="HN275" s="562"/>
      <c r="HO275" s="562"/>
      <c r="HP275" s="562"/>
      <c r="HQ275" s="562"/>
      <c r="HR275" s="562"/>
      <c r="HS275" s="562"/>
      <c r="HT275" s="562"/>
      <c r="HU275" s="562"/>
      <c r="HV275" s="562"/>
      <c r="HW275" s="562"/>
      <c r="HX275" s="562"/>
      <c r="HY275" s="562"/>
      <c r="HZ275" s="562"/>
      <c r="IA275" s="562"/>
      <c r="IB275" s="562"/>
      <c r="IC275" s="562"/>
      <c r="ID275" s="562"/>
      <c r="IE275" s="562"/>
      <c r="IF275" s="562"/>
      <c r="IG275" s="562"/>
      <c r="IH275" s="562"/>
      <c r="II275" s="562"/>
      <c r="IJ275" s="562"/>
      <c r="IK275" s="562"/>
      <c r="IL275" s="562"/>
      <c r="IM275" s="562"/>
      <c r="IN275" s="562"/>
      <c r="IO275" s="562"/>
      <c r="IP275" s="562"/>
      <c r="IQ275" s="562"/>
      <c r="IR275" s="562"/>
      <c r="IS275" s="562"/>
      <c r="IT275" s="562"/>
      <c r="IU275" s="562"/>
      <c r="IV275" s="562"/>
      <c r="IW275" s="562"/>
      <c r="IX275" s="562"/>
      <c r="IY275" s="562"/>
      <c r="IZ275" s="562"/>
      <c r="JA275" s="562"/>
      <c r="JB275" s="562"/>
      <c r="JC275" s="562"/>
      <c r="JD275" s="562"/>
      <c r="JE275" s="562"/>
      <c r="JF275" s="562"/>
      <c r="JG275" s="562"/>
      <c r="JH275" s="562"/>
      <c r="JI275" s="562"/>
      <c r="JJ275" s="562"/>
      <c r="JK275" s="562"/>
      <c r="JL275" s="562"/>
      <c r="JM275" s="562"/>
      <c r="JN275" s="562"/>
      <c r="JO275" s="562"/>
      <c r="JP275" s="562"/>
      <c r="JQ275" s="562"/>
      <c r="JR275" s="562"/>
      <c r="JS275" s="562"/>
      <c r="JT275" s="562"/>
      <c r="JU275" s="562"/>
      <c r="JV275" s="562"/>
      <c r="JW275" s="562"/>
      <c r="JX275" s="562"/>
      <c r="JY275" s="562"/>
      <c r="JZ275" s="562"/>
    </row>
    <row r="276" spans="1:286" s="83" customFormat="1" ht="12.75" customHeight="1" x14ac:dyDescent="0.2">
      <c r="A276" s="1" t="s">
        <v>159</v>
      </c>
      <c r="B276" s="68" t="s">
        <v>453</v>
      </c>
      <c r="C276" s="79"/>
      <c r="D276" s="79"/>
      <c r="E276" s="169"/>
      <c r="F276" s="169"/>
      <c r="G276" s="169"/>
      <c r="H276" s="169"/>
      <c r="I276" s="169"/>
      <c r="J276" s="169"/>
      <c r="K276" s="169"/>
      <c r="L276" s="79"/>
      <c r="M276" s="169">
        <f>M256-M264</f>
        <v>25.900000000000034</v>
      </c>
      <c r="N276" s="79" t="str">
        <f>IF(ISERROR((M276/E276-1)*100),"NA",IF(((M276/E276-1)*100)&gt;100,"NM",IF(((M276/E276-1)*100)&lt;-50,"NM",(M276/E276-1)*100)))</f>
        <v>NA</v>
      </c>
      <c r="O276" s="169">
        <f>O256-O264</f>
        <v>19.600000000000023</v>
      </c>
      <c r="P276" s="79" t="str">
        <f>IF(ISERROR((O276/G276-1)*100),"NA",IF(((O276/G276-1)*100)&gt;100,"NM",IF(((O276/G276-1)*100)&lt;-50,"NM",(O276/G276-1)*100)))</f>
        <v>NA</v>
      </c>
      <c r="Q276" s="169">
        <f>Q256-Q264</f>
        <v>19.099999999999966</v>
      </c>
      <c r="R276" s="79" t="str">
        <f>IF(ISERROR((Q276/I276-1)*100),"NA",IF(((Q276/I276-1)*100)&gt;100,"NM",IF(((Q276/I276-1)*100)&lt;-50,"NM",(Q276/I276-1)*100)))</f>
        <v>NA</v>
      </c>
      <c r="S276" s="169">
        <f>S256-S264</f>
        <v>18.399999999999977</v>
      </c>
      <c r="T276" s="79" t="str">
        <f>IF(ISERROR((S276/K276-1)*100),"NA",IF(((S276/K276-1)*100)&gt;100,"NM",IF(((S276/K276-1)*100)&lt;-50,"NM",(S276/K276-1)*100)))</f>
        <v>NA</v>
      </c>
      <c r="U276" s="169">
        <f>U256-U264</f>
        <v>15.800000000000068</v>
      </c>
      <c r="V276" s="79">
        <f>IF(ISERROR((U276/M276-1)*100),"NA",IF(((U276/M276-1)*100)&gt;100,"NM",IF(((U276/M276-1)*100)&lt;-50,"NM",(U276/M276-1)*100)))</f>
        <v>-38.996138996138818</v>
      </c>
      <c r="W276" s="169">
        <f>W256-W264</f>
        <v>5.2999999999998977</v>
      </c>
      <c r="X276" s="79" t="str">
        <f>IF(ISERROR((W276/O276-1)*100),"NA",IF(((W276/O276-1)*100)&gt;100,"NM",IF(((W276/O276-1)*100)&lt;-50,"NM",(W276/O276-1)*100)))</f>
        <v>NM</v>
      </c>
      <c r="Y276" s="169">
        <f>Y256-Y264</f>
        <v>19.200000000000045</v>
      </c>
      <c r="Z276" s="79">
        <f>IF(ISERROR((Y276/Q276-1)*100),"NA",IF(((Y276/Q276-1)*100)&gt;100,"NM",IF(((Y276/Q276-1)*100)&lt;-50,"NM",(Y276/Q276-1)*100)))</f>
        <v>0.52356020942450066</v>
      </c>
      <c r="AA276" s="276">
        <f>AA256-AA264</f>
        <v>22.199999999999932</v>
      </c>
      <c r="AB276" s="79">
        <f>IF(ISERROR((AA276/S276-1)*100),"NA",IF(((AA276/S276-1)*100)&gt;100,"NM",IF(((AA276/S276-1)*100)&lt;-50,"NM",(AA276/S276-1)*100)))</f>
        <v>20.65217391304326</v>
      </c>
      <c r="AC276" s="169">
        <f>AC256-AC264</f>
        <v>-923.80000000000007</v>
      </c>
      <c r="AD276" s="79" t="str">
        <f>IF(ISERROR((AC276/U276-1)*100),"NA",IF(((AC276/U276-1)*100)&gt;100,"NM",IF(((AC276/U276-1)*100)&lt;-50,"NM",(AC276/U276-1)*100)))</f>
        <v>NM</v>
      </c>
      <c r="AE276" s="169">
        <f>AE256-AE264</f>
        <v>30.000000000000057</v>
      </c>
      <c r="AF276" s="79" t="str">
        <f>IF(ISERROR((AE276/W276-1)*100),"NA",IF(((AE276/W276-1)*100)&gt;100,"NM",IF(((AE276/W276-1)*100)&lt;-50,"NM",(AE276/W276-1)*100)))</f>
        <v>NM</v>
      </c>
      <c r="AG276" s="169">
        <f>AG256-AG264</f>
        <v>33.199999999999989</v>
      </c>
      <c r="AH276" s="79">
        <f>IF(ISERROR((AG276/Y276-1)*100),"NA",IF(((AG276/Y276-1)*100)&gt;100,"NM",IF(((AG276/Y276-1)*100)&lt;-50,"NM",(AG276/Y276-1)*100)))</f>
        <v>72.916666666666202</v>
      </c>
      <c r="AI276" s="169">
        <f>AI256-AI264</f>
        <v>37.799999999999955</v>
      </c>
      <c r="AJ276" s="79">
        <f>IF(ISERROR((AI276/AA276-1)*100),"NA",IF(((AI276/AA276-1)*100)&gt;100,"NM",IF(((AI276/AA276-1)*100)&lt;-50,"NM",(AI276/AA276-1)*100)))</f>
        <v>70.270270270270601</v>
      </c>
      <c r="AK276" s="169">
        <f>AK256-AK264</f>
        <v>23.099999999999966</v>
      </c>
      <c r="AL276" s="79" t="str">
        <f>IF(ISERROR((AK276/AC276-1)*100),"NA",IF(((AK276/AC276-1)*100)&gt;100,"NM",IF(((AK276/AC276-1)*100)&lt;-50,"NM",(AK276/AC276-1)*100)))</f>
        <v>NM</v>
      </c>
      <c r="AM276" s="169">
        <f>AM256-AM264</f>
        <v>27.699999999999989</v>
      </c>
      <c r="AN276" s="79">
        <f>IF(ISERROR((AM276/AE276-1)*100),"NA",IF(((AM276/AE276-1)*100)&gt;100,"NM",IF(((AM276/AE276-1)*100)&lt;-50,"NM",(AM276/AE276-1)*100)))</f>
        <v>-7.6666666666668775</v>
      </c>
      <c r="AO276" s="169">
        <f>AO256-AO264</f>
        <v>29.699999999999989</v>
      </c>
      <c r="AP276" s="79">
        <f>IF(ISERROR((AO276/AG276-1)*100),"NA",IF(((AO276/AG276-1)*100)&gt;100,"NM",IF(((AO276/AG276-1)*100)&lt;-50,"NM",(AO276/AG276-1)*100)))</f>
        <v>-10.542168674698804</v>
      </c>
      <c r="AQ276" s="169">
        <f>AQ256-AQ264</f>
        <v>33.700000000000045</v>
      </c>
      <c r="AR276" s="79">
        <f>IF(ISERROR((AQ276/AI276-1)*100),"NA",IF(((AQ276/AI276-1)*100)&gt;100,"NM",IF(((AQ276/AI276-1)*100)&lt;-50,"NM",(AQ276/AI276-1)*100)))</f>
        <v>-10.846560846560616</v>
      </c>
      <c r="AS276" s="169">
        <f>AS256-AS264</f>
        <v>27.900000000000034</v>
      </c>
      <c r="AT276" s="81">
        <f>IF(ISERROR((AS276/AK276-1)*100),"NA",IF(((AS276/AK276-1)*100)&gt;100,"NM",IF(((AS276/AK276-1)*100)&lt;-50,"NM",(AS276/AK276-1)*100)))</f>
        <v>20.779220779221099</v>
      </c>
      <c r="AU276" s="169">
        <f>AU256-AU264</f>
        <v>33.199999999999989</v>
      </c>
      <c r="AV276" s="81">
        <f>IF(ISERROR((AU276/AM276-1)*100),"NA",IF(((AU276/AM276-1)*100)&gt;100,"NM",IF(((AU276/AM276-1)*100)&lt;-50,"NM",(AU276/AM276-1)*100)))</f>
        <v>19.855595667870052</v>
      </c>
      <c r="AW276" s="169">
        <f>AW256-AW264</f>
        <v>28.699999999999989</v>
      </c>
      <c r="AX276" s="81">
        <f>IF(ISERROR((AW276/AO276-1)*100),"NA",IF(((AW276/AO276-1)*100)&gt;100,"NM",IF(((AW276/AO276-1)*100)&lt;-50,"NM",(AW276/AO276-1)*100)))</f>
        <v>-3.3670033670033628</v>
      </c>
      <c r="AY276" s="169">
        <f>AY256-AY264</f>
        <v>28.699999999999989</v>
      </c>
      <c r="AZ276" s="81">
        <f>IF(ISERROR((AY276/AQ276-1)*100),"NA",IF(((AY276/AQ276-1)*100)&gt;100,"NM",IF(((AY276/AQ276-1)*100)&lt;-50,"NM",(AY276/AQ276-1)*100)))</f>
        <v>-14.836795252225665</v>
      </c>
      <c r="BA276" s="169">
        <f>BA256-BA264</f>
        <v>22.5</v>
      </c>
      <c r="BB276" s="81">
        <f>IF(ISERROR((BA276/AS276-1)*100),"NA",IF(((BA276/AS276-1)*100)&gt;100,"NM",IF(((BA276/AS276-1)*100)&lt;-50,"NM",(BA276/AS276-1)*100)))</f>
        <v>-19.354838709677512</v>
      </c>
      <c r="BC276" s="169">
        <f>BC256-BC264</f>
        <v>29.400000000000034</v>
      </c>
      <c r="BD276" s="81">
        <f>IF(ISERROR((BC276/AU276-1)*100),"NA",IF(((BC276/AU276-1)*100)&gt;100,"NM",IF(((BC276/AU276-1)*100)&lt;-50,"NM",(BC276/AU276-1)*100)))</f>
        <v>-11.445783132529986</v>
      </c>
      <c r="BE276" s="169">
        <f>BE256-BE264</f>
        <v>29.399999999999977</v>
      </c>
      <c r="BF276" s="81">
        <f>IF(ISERROR((BE276/AW276-1)*100),"NA",IF(((BE276/AW276-1)*100)&gt;100,"NM",IF(((BE276/AW276-1)*100)&lt;-50,"NM",(BE276/AW276-1)*100)))</f>
        <v>2.4390243902438602</v>
      </c>
      <c r="BG276" s="169">
        <f>BG256-BG264</f>
        <v>15</v>
      </c>
      <c r="BH276" s="81">
        <f>IF(ISERROR((BG276/AY276-1)*100),"NA",IF(((BG276/AY276-1)*100)&gt;100,"NM",IF(((BG276/AY276-1)*100)&lt;-50,"NM",(BG276/AY276-1)*100)))</f>
        <v>-47.735191637630635</v>
      </c>
      <c r="BI276" s="169">
        <f>BI256-BI264</f>
        <v>2.8999999999999773</v>
      </c>
      <c r="BJ276" s="81" t="str">
        <f>IF(ISERROR((BI276/BA276-1)*100),"NA",IF(((BI276/BA276-1)*100)&gt;100,"NM",IF(((BI276/BA276-1)*100)&lt;-50,"NM",(BI276/BA276-1)*100)))</f>
        <v>NM</v>
      </c>
      <c r="BK276" s="169">
        <f>BK256-BK264</f>
        <v>15.199999999999989</v>
      </c>
      <c r="BL276" s="81">
        <f>IF(ISERROR((BK276/BC276-1)*100),"NA",IF(((BK276/BC276-1)*100)&gt;100,"NM",IF(((BK276/BC276-1)*100)&lt;-50,"NM",(BK276/BC276-1)*100)))</f>
        <v>-48.299319727891252</v>
      </c>
      <c r="BM276" s="169">
        <f>BM256-BM264</f>
        <v>2.4999999999999432</v>
      </c>
      <c r="BN276" s="81" t="str">
        <f>IF(ISERROR((BM276/BE276-1)*100),"NA",IF(((BM276/BE276-1)*100)&gt;100,"NM",IF(((BM276/BE276-1)*100)&lt;-50,"NM",(BM276/BE276-1)*100)))</f>
        <v>NM</v>
      </c>
      <c r="BO276" s="169">
        <f>BO256-BO264</f>
        <v>7.1000000000000227</v>
      </c>
      <c r="BP276" s="81" t="str">
        <f>IF(ISERROR((BO276/BG276-1)*100),"NA",IF(((BO276/BG276-1)*100)&gt;100,"NM",IF(((BO276/BG276-1)*100)&lt;-50,"NM",(BO276/BG276-1)*100)))</f>
        <v>NM</v>
      </c>
      <c r="BQ276" s="169">
        <f>BQ256-BQ264</f>
        <v>11.299999999999955</v>
      </c>
      <c r="BR276" s="81" t="str">
        <f>IF(ISERROR((BQ276/BI276-1)*100),"NA",IF(((BQ276/BI276-1)*100)&gt;100,"NM",IF(((BQ276/BI276-1)*100)&lt;-50,"NM",(BQ276/BI276-1)*100)))</f>
        <v>NM</v>
      </c>
      <c r="BS276" s="169">
        <f>BS256-BS264</f>
        <v>9.9999999999999432</v>
      </c>
      <c r="BT276" s="81">
        <f>IF(ISERROR((BS276/BK276-1)*100),"NA",IF(((BS276/BK276-1)*100)&gt;100,"NM",IF(((BS276/BK276-1)*100)&lt;-50,"NM",(BS276/BK276-1)*100)))</f>
        <v>-34.210526315789799</v>
      </c>
      <c r="BU276" s="169">
        <f>BU256-BU264</f>
        <v>7.1999999999999886</v>
      </c>
      <c r="BV276" s="81" t="str">
        <f>IF(ISERROR((BU276/BM276-1)*100),"NA",IF(((BU276/BM276-1)*100)&gt;100,"NM",IF(((BU276/BM276-1)*100)&lt;-50,"NM",(BU276/BM276-1)*100)))</f>
        <v>NM</v>
      </c>
      <c r="BW276" s="169">
        <f>BW256-BW264</f>
        <v>5.8000000000000114</v>
      </c>
      <c r="BX276" s="81">
        <f>IF(ISERROR((BW276/BO276-1)*100),"NA",IF(((BW276/BO276-1)*100)&gt;100,"NM",IF(((BW276/BO276-1)*100)&lt;-50,"NM",(BW276/BO276-1)*100)))</f>
        <v>-18.309859154929676</v>
      </c>
      <c r="BY276" s="169">
        <f>BY256-BY264</f>
        <v>35.899999999999977</v>
      </c>
      <c r="BZ276" s="81" t="str">
        <f>IF(ISERROR((BY276/BQ276-1)*100),"NA",IF(((BY276/BQ276-1)*100)&gt;100,"NM",IF(((BY276/BQ276-1)*100)&lt;-50,"NM",(BY276/BQ276-1)*100)))</f>
        <v>NM</v>
      </c>
      <c r="CA276" s="169">
        <f>CA256-CA264</f>
        <v>23.799999999999955</v>
      </c>
      <c r="CB276" s="81" t="str">
        <f>IF(ISERROR((CA276/BS276-1)*100),"NA",IF(((CA276/BS276-1)*100)&gt;100,"NM",IF(((CA276/BS276-1)*100)&lt;-50,"NM",(CA276/BS276-1)*100)))</f>
        <v>NM</v>
      </c>
      <c r="CC276" s="169">
        <f>CC256-CC264</f>
        <v>29.700000000000045</v>
      </c>
      <c r="CD276" s="81" t="str">
        <f>IF(ISERROR((CC276/BU276-1)*100),"NA",IF(((CC276/BU276-1)*100)&gt;100,"NM",IF(((CC276/BU276-1)*100)&lt;-50,"NM",(CC276/BU276-1)*100)))</f>
        <v>NM</v>
      </c>
      <c r="CE276" s="169">
        <f>CE256-CE264</f>
        <v>29.200000000000159</v>
      </c>
      <c r="CF276" s="81" t="str">
        <f>IF(ISERROR((CE276/BW276-1)*100),"NA",IF(((CE276/BW276-1)*100)&gt;100,"NM",IF(((CE276/BW276-1)*100)&lt;-50,"NM",(CE276/BW276-1)*100)))</f>
        <v>NM</v>
      </c>
      <c r="CG276" s="169">
        <f>CG256-CG264</f>
        <v>31.899999999999864</v>
      </c>
      <c r="CH276" s="81">
        <f>IF(ISERROR((CG276/BY276-1)*100),"NA",IF(((CG276/BY276-1)*100)&gt;100,"NM",IF(((CG276/BY276-1)*100)&lt;-50,"NM",(CG276/BY276-1)*100)))</f>
        <v>-11.142061281337368</v>
      </c>
      <c r="CI276" s="169">
        <f>CI256-CI264</f>
        <v>30.400000000000205</v>
      </c>
      <c r="CJ276" s="81">
        <f>IF(ISERROR((CI276/CA276-1)*100),"NA",IF(((CI276/CA276-1)*100)&gt;100,"NM",IF(((CI276/CA276-1)*100)&lt;-50,"NM",(CI276/CA276-1)*100)))</f>
        <v>27.731092436975892</v>
      </c>
      <c r="CK276" s="169">
        <f>CK256-CK264</f>
        <v>30.799999999999955</v>
      </c>
      <c r="CL276" s="81">
        <f>IF(ISERROR((CK276/CC276-1)*100),"NA",IF(((CK276/CC276-1)*100)&gt;100,"NM",IF(((CK276/CC276-1)*100)&lt;-50,"NM",(CK276/CC276-1)*100)))</f>
        <v>3.7037037037033871</v>
      </c>
      <c r="CM276" s="169">
        <f>CM256-CM264</f>
        <v>-922.30000000000018</v>
      </c>
      <c r="CN276" s="81" t="str">
        <f>IF(ISERROR((CM276/CE276-1)*100),"NA",IF(((CM276/CE276-1)*100)&gt;100,"NM",IF(((CM276/CE276-1)*100)&lt;-50,"NM",(CM276/CE276-1)*100)))</f>
        <v>NM</v>
      </c>
      <c r="CO276" s="169">
        <f>CO256-CO264</f>
        <v>15.399999999999977</v>
      </c>
      <c r="CP276" s="81" t="str">
        <f>IF(ISERROR((CO276/CG276-1)*100),"NA",IF(((CO276/CG276-1)*100)&gt;100,"NM",IF(((CO276/CG276-1)*100)&lt;-50,"NM",(CO276/CG276-1)*100)))</f>
        <v>NM</v>
      </c>
      <c r="CQ276" s="169">
        <f>CQ256-CQ264</f>
        <v>25.700000000000045</v>
      </c>
      <c r="CR276" s="81">
        <f>IF(ISERROR((CQ276/CI276-1)*100),"NA",IF(((CQ276/CI276-1)*100)&gt;100,"NM",IF(((CQ276/CI276-1)*100)&lt;-50,"NM",(CQ276/CI276-1)*100)))</f>
        <v>-15.460526315789892</v>
      </c>
      <c r="CS276" s="169">
        <f>CS256-CS264</f>
        <v>25.600000000000023</v>
      </c>
      <c r="CT276" s="81">
        <f>IF(ISERROR((CS276/CK276-1)*100),"NA",IF(((CS276/CK276-1)*100)&gt;100,"NM",IF(((CS276/CK276-1)*100)&lt;-50,"NM",(CS276/CK276-1)*100)))</f>
        <v>-16.883116883116688</v>
      </c>
      <c r="CU276" s="169">
        <f>CU256-CU264</f>
        <v>28.799999999999955</v>
      </c>
      <c r="CV276" s="81" t="str">
        <f>IF(ISERROR((CU276/CM276-1)*100),"NA",IF(((CU276/CM276-1)*100)&gt;100,"NM",IF(((CU276/CM276-1)*100)&lt;-50,"NM",(CU276/CM276-1)*100)))</f>
        <v>NM</v>
      </c>
      <c r="CW276" s="169">
        <f>CW256-CW264+CW275</f>
        <v>26.600000000000136</v>
      </c>
      <c r="CX276" s="81">
        <f>IF(ISERROR((CW276/CO276-1)*100),"NA",IF(((CW276/CO276-1)*100)&gt;100,"NM",IF(((CW276/CO276-1)*100)&lt;-50,"NM",(CW276/CO276-1)*100)))</f>
        <v>72.727272727273856</v>
      </c>
      <c r="CY276" s="169">
        <f>CY256-CY264+CY275</f>
        <v>29.100000000000023</v>
      </c>
      <c r="CZ276" s="81">
        <f>IF(ISERROR((CY276/CQ276-1)*100),"NA",IF(((CY276/CQ276-1)*100)&gt;100,"NM",IF(((CY276/CQ276-1)*100)&lt;-50,"NM",(CY276/CQ276-1)*100)))</f>
        <v>13.229571984435683</v>
      </c>
      <c r="DA276" s="169">
        <f>DA256-DA264+DA275</f>
        <v>25</v>
      </c>
      <c r="DB276" s="81">
        <f>IF(ISERROR((DA276/CS276-1)*100),"NA",IF(((DA276/CS276-1)*100)&gt;100,"NM",IF(((DA276/CS276-1)*100)&lt;-50,"NM",(DA276/CS276-1)*100)))</f>
        <v>-2.3437500000000888</v>
      </c>
      <c r="DC276" s="169">
        <f>DC256-DC264+DC275</f>
        <v>26.600000000000023</v>
      </c>
      <c r="DD276" s="81">
        <f>IF(ISERROR((DC276/CU276-1)*100),"NA",IF(((DC276/CU276-1)*100)&gt;100,"NM",IF(((DC276/CU276-1)*100)&lt;-50,"NM",(DC276/CU276-1)*100)))</f>
        <v>-7.6388888888886619</v>
      </c>
      <c r="DE276" s="169">
        <f>DE256-DE264+DE275</f>
        <v>28.299999999999955</v>
      </c>
      <c r="DF276" s="81">
        <f>IF(ISERROR((DE276/CW276-1)*100),"NA",IF(((DE276/CW276-1)*100)&gt;100,"NM",IF(((DE276/CW276-1)*100)&lt;-50,"NM",(DE276/CW276-1)*100)))</f>
        <v>6.3909774436083033</v>
      </c>
      <c r="DG276" s="169">
        <f>DG256-DG264+DG275</f>
        <v>36.600000000000136</v>
      </c>
      <c r="DH276" s="81">
        <f>IF(ISERROR((DG276/CY276-1)*100),"NA",IF(((DG276/CY276-1)*100)&gt;100,"NM",IF(((DG276/CY276-1)*100)&lt;-50,"NM",(DG276/CY276-1)*100)))</f>
        <v>25.773195876289034</v>
      </c>
      <c r="DI276" s="169">
        <f>DI256-DI264+DI275</f>
        <v>25.700000000000045</v>
      </c>
      <c r="DJ276" s="81">
        <f>IF(ISERROR((DI276/DA276-1)*100),"NA",IF(((DI276/DA276-1)*100)&gt;100,"NM",IF(((DI276/DA276-1)*100)&lt;-50,"NM",(DI276/DA276-1)*100)))</f>
        <v>2.8000000000001801</v>
      </c>
      <c r="DK276" s="169">
        <f>DK256-DK264+DK275</f>
        <v>-668.80000000000007</v>
      </c>
      <c r="DL276" s="81" t="str">
        <f>IF(ISERROR((DK276/DC276-1)*100),"NA",IF(((DK276/DC276-1)*100)&gt;100,"NM",IF(((DK276/DC276-1)*100)&lt;-50,"NM",(DK276/DC276-1)*100)))</f>
        <v>NM</v>
      </c>
      <c r="DM276" s="169">
        <f>DM256-DM264+DM275</f>
        <v>26.699999999999932</v>
      </c>
      <c r="DN276" s="81">
        <f>IF(ISERROR((DM276/DE276-1)*100),"NA",IF(((DM276/DE276-1)*100)&gt;100,"NM",IF(((DM276/DE276-1)*100)&lt;-50,"NM",(DM276/DE276-1)*100)))</f>
        <v>-5.6537102473499079</v>
      </c>
      <c r="DO276" s="169">
        <f>DO256-DO264+DO275</f>
        <v>36.599999999999909</v>
      </c>
      <c r="DP276" s="81">
        <f>IF(ISERROR((DO276/DG276-1)*100),"NA",IF(((DO276/DG276-1)*100)&gt;100,"NM",IF(((DO276/DG276-1)*100)&lt;-50,"NM",(DO276/DG276-1)*100)))</f>
        <v>-6.2172489379008766E-13</v>
      </c>
      <c r="DQ276" s="169">
        <f>DQ256-DQ264+DQ275</f>
        <v>27.700000000000045</v>
      </c>
      <c r="DR276" s="81">
        <f>IF(ISERROR((DQ276/DI276-1)*100),"NA",IF(((DQ276/DI276-1)*100)&gt;100,"NM",IF(((DQ276/DI276-1)*100)&lt;-50,"NM",(DQ276/DI276-1)*100)))</f>
        <v>7.7821011673151697</v>
      </c>
      <c r="DS276" s="169">
        <f>DS256-DS264+DS275</f>
        <v>28.099999999999795</v>
      </c>
      <c r="DT276" s="81" t="str">
        <f>IF(ISERROR((DS276/DK276-1)*100),"NA",IF(((DS276/DK276-1)*100)&gt;100,"NM",IF(((DS276/DK276-1)*100)&lt;-50,"NM",(DS276/DK276-1)*100)))</f>
        <v>NM</v>
      </c>
      <c r="DU276" s="169">
        <f>DU256-DU264+DU275</f>
        <v>33.699999999999818</v>
      </c>
      <c r="DV276" s="81">
        <f>IF(ISERROR((DU276/DM276-1)*100),"NA",IF(((DU276/DM276-1)*100)&gt;100,"NM",IF(((DU276/DM276-1)*100)&lt;-50,"NM",(DU276/DM276-1)*100)))</f>
        <v>26.217228464419119</v>
      </c>
      <c r="DW276" s="169">
        <f>DW256-DW264+DW275</f>
        <v>32.599999999999909</v>
      </c>
      <c r="DX276" s="81">
        <f>IF(ISERROR((DW276/DO276-1)*100),"NA",IF(((DW276/DO276-1)*100)&gt;100,"NM",IF(((DW276/DO276-1)*100)&lt;-50,"NM",(DW276/DO276-1)*100)))</f>
        <v>-10.928961748633903</v>
      </c>
      <c r="DY276" s="169">
        <f>DY256-DY264+DY275</f>
        <v>28.600000000000023</v>
      </c>
      <c r="DZ276" s="81">
        <f>IF(ISERROR((DY276/DQ276-1)*100),"NA",IF(((DY276/DQ276-1)*100)&gt;100,"NM",IF(((DY276/DQ276-1)*100)&lt;-50,"NM",(DY276/DQ276-1)*100)))</f>
        <v>3.2490974729241007</v>
      </c>
      <c r="EA276" s="169">
        <f>EA256-EA264+EA275</f>
        <v>34.600000000000023</v>
      </c>
      <c r="EB276" s="81">
        <f>IF(ISERROR((EA276/DS276-1)*100),"NA",IF(((EA276/DS276-1)*100)&gt;100,"NM",IF(((EA276/DS276-1)*100)&lt;-50,"NM",(EA276/DS276-1)*100)))</f>
        <v>23.131672597865748</v>
      </c>
      <c r="EC276" s="169">
        <f>EC256-EC264+EC275</f>
        <v>31.599999999999909</v>
      </c>
      <c r="ED276" s="81">
        <f t="shared" ref="ED276:ED277" si="939">IF(ISERROR((EC276/DU276-1)*100),"NA",IF(((EC276/DU276-1)*100)&gt;100,"NM",IF(((EC276/DU276-1)*100)&lt;-50,"NM",(EC276/DU276-1)*100)))</f>
        <v>-6.2314540059344781</v>
      </c>
      <c r="EE276" s="169">
        <f>EE256-EE264+EE275</f>
        <v>32.600000000000023</v>
      </c>
      <c r="EF276" s="81">
        <f t="shared" ref="EF276:EF277" si="940">IF(ISERROR((EE276/DW276-1)*100),"NA",IF(((EE276/DW276-1)*100)&gt;100,"NM",IF(((EE276/DW276-1)*100)&lt;-50,"NM",(EE276/DW276-1)*100)))</f>
        <v>3.5527136788005009E-13</v>
      </c>
      <c r="EG276" s="169">
        <f>EG256-EG264+EG275</f>
        <v>26.600000000000023</v>
      </c>
      <c r="EH276" s="81">
        <f t="shared" ref="EH276:EH277" si="941">IF(ISERROR((EG276/DY276-1)*100),"NA",IF(((EG276/DY276-1)*100)&gt;100,"NM",IF(((EG276/DY276-1)*100)&lt;-50,"NM",(EG276/DY276-1)*100)))</f>
        <v>-6.9930069930069898</v>
      </c>
      <c r="EI276" s="169">
        <f>EI256-EI264+EI275</f>
        <v>33.099999999999909</v>
      </c>
      <c r="EJ276" s="81">
        <f t="shared" ref="EJ276:EJ277" si="942">IF(ISERROR((EI276/EA276-1)*100),"NA",IF(((EI276/EA276-1)*100)&gt;100,"NM",IF(((EI276/EA276-1)*100)&lt;-50,"NM",(EI276/EA276-1)*100)))</f>
        <v>-4.3352601156072641</v>
      </c>
      <c r="EK276" s="169">
        <f t="shared" ref="EK276:EQ276" si="943">EK256-EK264+EK275</f>
        <v>30.080092226633383</v>
      </c>
      <c r="EL276" s="81">
        <f t="shared" ref="EL276:EL277" si="944">IF(ISERROR((EK276/EC276-1)*100),"NA",IF(((EK276/EC276-1)*100)&gt;100,"NM",IF(((EK276/EC276-1)*100)&lt;-50,"NM",(EK276/EC276-1)*100)))</f>
        <v>-4.8098347258434533</v>
      </c>
      <c r="EM276" s="169">
        <f t="shared" si="943"/>
        <v>29.441322464516929</v>
      </c>
      <c r="EN276" s="81">
        <f t="shared" ref="EN276:EN277" si="945">IF(ISERROR((EM276/EE276-1)*100),"NA",IF(((EM276/EE276-1)*100)&gt;100,"NM",IF(((EM276/EE276-1)*100)&lt;-50,"NM",(EM276/EE276-1)*100)))</f>
        <v>-9.6891948941199129</v>
      </c>
      <c r="EO276" s="169">
        <f t="shared" si="943"/>
        <v>28.809868919704627</v>
      </c>
      <c r="EP276" s="81">
        <f t="shared" ref="EP276:EP277" si="946">IF(ISERROR((EO276/EG276-1)*100),"NA",IF(((EO276/EG276-1)*100)&gt;100,"NM",IF(((EO276/EG276-1)*100)&lt;-50,"NM",(EO276/EG276-1)*100)))</f>
        <v>8.3077778936263336</v>
      </c>
      <c r="EQ276" s="169">
        <f t="shared" si="943"/>
        <v>28.185661335753935</v>
      </c>
      <c r="ER276" s="81">
        <f t="shared" ref="ER276:ER277" si="947">IF(ISERROR((EQ276/EI276-1)*100),"NA",IF(((EQ276/EI276-1)*100)&gt;100,"NM",IF(((EQ276/EI276-1)*100)&lt;-50,"NM",(EQ276/EI276-1)*100)))</f>
        <v>-14.846944604972778</v>
      </c>
      <c r="ES276" s="82"/>
      <c r="ET276" s="469"/>
      <c r="EU276" s="82"/>
      <c r="EV276" s="169"/>
      <c r="EW276" s="79"/>
      <c r="EX276" s="169"/>
      <c r="EY276" s="79"/>
      <c r="EZ276" s="169"/>
      <c r="FA276" s="79"/>
      <c r="FB276" s="169"/>
      <c r="FC276" s="79"/>
      <c r="FD276" s="169">
        <f>FD256-FD264</f>
        <v>83</v>
      </c>
      <c r="FE276" s="79" t="str">
        <f>IF(ISERROR((FD276/FB276-1)*100),"NA",IF(((FD276/FB276-1)*100)&gt;100,"NM",IF(((FD276/FB276-1)*100)&lt;-50,"NM",(FD276/FB276-1)*100)))</f>
        <v>NA</v>
      </c>
      <c r="FF276" s="169">
        <f>FF256-FF264</f>
        <v>62.500000000000227</v>
      </c>
      <c r="FG276" s="79">
        <f>IF(ISERROR((FF276/FD276-1)*100),"NA",IF(((FF276/FD276-1)*100)&gt;100,"NM",IF(((FF276/FD276-1)*100)&lt;-50,"NM",(FF276/FD276-1)*100)))</f>
        <v>-24.69879518072262</v>
      </c>
      <c r="FH276" s="169">
        <f>FH256-FH264</f>
        <v>-822.80000000000041</v>
      </c>
      <c r="FI276" s="79" t="str">
        <f>IF(ISERROR((FH276/FF276-1)*100),"NA",IF(((FH276/FF276-1)*100)&gt;100,"NM",IF(((FH276/FF276-1)*100)&lt;-50,"NM",(FH276/FF276-1)*100)))</f>
        <v>NM</v>
      </c>
      <c r="FJ276" s="169">
        <f>FJ256-FJ264</f>
        <v>114.20000000000005</v>
      </c>
      <c r="FK276" s="79" t="str">
        <f>IF(ISERROR((FJ276/FH276-1)*100),"NA",IF(((FJ276/FH276-1)*100)&gt;100,"NM",IF(((FJ276/FH276-1)*100)&lt;-50,"NM",(FJ276/FH276-1)*100)))</f>
        <v>NM</v>
      </c>
      <c r="FL276" s="169">
        <f>FL256-FL264</f>
        <v>118.49999999999955</v>
      </c>
      <c r="FM276" s="79">
        <f>IF(ISERROR((FL276/FJ276-1)*100),"NA",IF(((FL276/FJ276-1)*100)&gt;100,"NM",IF(((FL276/FJ276-1)*100)&lt;-50,"NM",(FL276/FJ276-1)*100)))</f>
        <v>3.7653239929942961</v>
      </c>
      <c r="FN276" s="169">
        <f>FN256-FN264</f>
        <v>96.299999999999955</v>
      </c>
      <c r="FO276" s="79">
        <f>IF(ISERROR((FN276/FL276-1)*100),"NA",IF(((FN276/FL276-1)*100)&gt;100,"NM",IF(((FN276/FL276-1)*100)&lt;-50,"NM",(FN276/FL276-1)*100)))</f>
        <v>-18.734177215189597</v>
      </c>
      <c r="FP276" s="169">
        <f>FP256-FP264</f>
        <v>27.699999999999591</v>
      </c>
      <c r="FQ276" s="79" t="str">
        <f>IF(ISERROR((FP276/FN276-1)*100),"NA",IF(((FP276/FN276-1)*100)&gt;100,"NM",IF(((FP276/FN276-1)*100)&lt;-50,"NM",(FP276/FN276-1)*100)))</f>
        <v>NM</v>
      </c>
      <c r="FR276" s="169">
        <f>FR256-FR264</f>
        <v>123.99999999999909</v>
      </c>
      <c r="FS276" s="79" t="str">
        <f>IF(ISERROR((FR276/FP276-1)*100),"NA",IF(((FR276/FP276-1)*100)&gt;100,"NM",IF(((FR276/FP276-1)*100)&lt;-50,"NM",(FR276/FP276-1)*100)))</f>
        <v>NM</v>
      </c>
      <c r="FT276" s="169">
        <f>FT256-FT264</f>
        <v>118.59999999999991</v>
      </c>
      <c r="FU276" s="79">
        <f>IF(ISERROR((FT276/FR276-1)*100),"NA",IF(((FT276/FR276-1)*100)&gt;100,"NM",IF(((FT276/FR276-1)*100)&lt;-50,"NM",(FT276/FR276-1)*100)))</f>
        <v>-4.3548387096767893</v>
      </c>
      <c r="FV276" s="169">
        <f>FV256-FV264</f>
        <v>-829.20000000000027</v>
      </c>
      <c r="FW276" s="79" t="str">
        <f>IF(ISERROR((FV276/FT276-1)*100),"NA",IF(((FV276/FT276-1)*100)&gt;100,"NM",IF(((FV276/FT276-1)*100)&lt;-50,"NM",(FV276/FT276-1)*100)))</f>
        <v>NM</v>
      </c>
      <c r="FX276" s="169">
        <f>FX256-FX264+FX275</f>
        <v>94.699999999999818</v>
      </c>
      <c r="FY276" s="79" t="str">
        <f>IF(ISERROR((FX276/FV276-1)*100),"NA",IF(((FX276/FV276-1)*100)&gt;100,"NM",IF(((FX276/FV276-1)*100)&lt;-50,"NM",(FX276/FV276-1)*100)))</f>
        <v>NM</v>
      </c>
      <c r="FZ276" s="169">
        <f>FZ256-FZ264+FZ275</f>
        <v>107.29999999999973</v>
      </c>
      <c r="GA276" s="79">
        <f>IF(ISERROR((FZ276/FX276-1)*100),"NA",IF(((FZ276/FX276-1)*100)&gt;100,"NM",IF(((FZ276/FX276-1)*100)&lt;-50,"NM",(FZ276/FX276-1)*100)))</f>
        <v>13.305174234424433</v>
      </c>
      <c r="GB276" s="169">
        <f>GB256-GB264+GB275</f>
        <v>-578.19999999999982</v>
      </c>
      <c r="GC276" s="79" t="str">
        <f>IF(ISERROR((GB276/FZ276-1)*100),"NA",IF(((GB276/FZ276-1)*100)&gt;100,"NM",IF(((GB276/FZ276-1)*100)&lt;-50,"NM",(GB276/FZ276-1)*100)))</f>
        <v>NM</v>
      </c>
      <c r="GD276" s="169">
        <f>GD256-GD264+GD275</f>
        <v>119.09999999999991</v>
      </c>
      <c r="GE276" s="79" t="str">
        <f>IF(ISERROR((GD276/GB276-1)*100),"NA",IF(((GD276/GB276-1)*100)&gt;100,"NM",IF(((GD276/GB276-1)*100)&lt;-50,"NM",(GD276/GB276-1)*100)))</f>
        <v>NM</v>
      </c>
      <c r="GF276" s="169">
        <f>GF256-GF264+GF275</f>
        <v>129.50000000000045</v>
      </c>
      <c r="GG276" s="79">
        <f>IF(ISERROR((GF276/GD276-1)*100),"NA",IF(((GF276/GD276-1)*100)&gt;100,"NM",IF(((GF276/GD276-1)*100)&lt;-50,"NM",(GF276/GD276-1)*100)))</f>
        <v>8.7321578505462192</v>
      </c>
      <c r="GH276" s="169">
        <f>GH256-GH264+GH275</f>
        <v>123.89999999999964</v>
      </c>
      <c r="GI276" s="79">
        <f>IF(ISERROR((GH276/GF276-1)*100),"NA",IF(((GH276/GF276-1)*100)&gt;100,"NM",IF(((GH276/GF276-1)*100)&lt;-50,"NM",(GH276/GF276-1)*100)))</f>
        <v>-4.3243243243249463</v>
      </c>
      <c r="GJ276" s="169">
        <f>GJ256-GJ264+GJ275</f>
        <v>116.51694494660887</v>
      </c>
      <c r="GK276" s="79">
        <f>IF(ISERROR((GJ276/GH276-1)*100),"NA",IF(((GJ276/GH276-1)*100)&gt;100,"NM",IF(((GJ276/GH276-1)*100)&lt;-50,"NM",(GJ276/GH276-1)*100)))</f>
        <v>-5.9588822061265372</v>
      </c>
      <c r="GL276" s="169">
        <f>GL256-GL264+GL275</f>
        <v>113.75875823842989</v>
      </c>
      <c r="GM276" s="79">
        <f>IF(ISERROR((GL276/GJ276-1)*100),"NA",IF(((GL276/GJ276-1)*100)&gt;100,"NM",IF(((GL276/GJ276-1)*100)&lt;-50,"NM",(GL276/GJ276-1)*100)))</f>
        <v>-2.3671979294023315</v>
      </c>
      <c r="GN276" s="169">
        <f>GN256-GN264+GN275</f>
        <v>111.06857069869147</v>
      </c>
      <c r="GO276" s="79">
        <f>IF(ISERROR((GN276/GL276-1)*100),"NA",IF(((GN276/GL276-1)*100)&gt;100,"NM",IF(((GN276/GL276-1)*100)&lt;-50,"NM",(GN276/GL276-1)*100)))</f>
        <v>-2.3648179545877168</v>
      </c>
      <c r="GP276" s="169">
        <f>GP256-GP264+GP275</f>
        <v>108.44463728099754</v>
      </c>
      <c r="GQ276" s="79">
        <f>IF(ISERROR((GP276/GN276-1)*100),"NA",IF(((GP276/GN276-1)*100)&gt;100,"NM",IF(((GP276/GN276-1)*100)&lt;-50,"NM",(GP276/GN276-1)*100)))</f>
        <v>-2.3624445702215668</v>
      </c>
      <c r="GR276" s="169">
        <f>GR256-GR264+GR275</f>
        <v>105.88525939176861</v>
      </c>
      <c r="GS276" s="79">
        <f>IF(ISERROR((GR276/GP276-1)*100),"NA",IF(((GR276/GP276-1)*100)&gt;100,"NM",IF(((GR276/GP276-1)*100)&lt;-50,"NM",(GR276/GP276-1)*100)))</f>
        <v>-2.3600778732812411</v>
      </c>
      <c r="GT276" s="79">
        <f>IF(ISERROR(((GR276/GH276)^0.2-1)*100),"NA",(IF(OR(((GR276/GH276)^0.2-1)*100&gt;99,((GR276/GH276)^0.2-1)*100&lt;-50),"NM",(((GR276/GH276)^0.2-1)*100))))</f>
        <v>-3.0935153109152957</v>
      </c>
      <c r="GU276" s="562"/>
      <c r="GV276" s="562"/>
      <c r="GW276"/>
      <c r="GX276"/>
      <c r="GY276"/>
      <c r="GZ276"/>
      <c r="HA276"/>
      <c r="HB276"/>
      <c r="HC276" s="562"/>
      <c r="HD276" s="562"/>
      <c r="HE276" s="562"/>
      <c r="HF276" s="562"/>
      <c r="HG276" s="562"/>
      <c r="HH276" s="562"/>
      <c r="HI276" s="562"/>
      <c r="HJ276" s="562"/>
      <c r="HK276" s="562"/>
      <c r="HL276" s="562"/>
      <c r="HM276" s="562"/>
      <c r="HN276" s="562"/>
      <c r="HO276" s="562"/>
      <c r="HP276" s="562"/>
      <c r="HQ276" s="562"/>
      <c r="HR276" s="562"/>
      <c r="HS276" s="562"/>
      <c r="HT276" s="562"/>
      <c r="HU276" s="562"/>
      <c r="HV276" s="562"/>
      <c r="HW276" s="562"/>
      <c r="HX276" s="562"/>
      <c r="HY276" s="562"/>
      <c r="HZ276" s="562"/>
      <c r="IA276" s="562"/>
      <c r="IB276" s="562"/>
      <c r="IC276" s="562"/>
      <c r="ID276" s="562"/>
      <c r="IE276" s="562"/>
      <c r="IF276" s="562"/>
      <c r="IG276" s="562"/>
      <c r="IH276" s="562"/>
      <c r="II276" s="562"/>
      <c r="IJ276" s="562"/>
      <c r="IK276" s="562"/>
      <c r="IL276" s="562"/>
      <c r="IM276" s="562"/>
      <c r="IN276" s="562"/>
      <c r="IO276" s="562"/>
      <c r="IP276" s="562"/>
      <c r="IQ276" s="562"/>
      <c r="IR276" s="562"/>
      <c r="IS276" s="562"/>
      <c r="IT276" s="562"/>
      <c r="IU276" s="562"/>
      <c r="IV276" s="562"/>
      <c r="IW276" s="562"/>
      <c r="IX276" s="562"/>
      <c r="IY276" s="562"/>
      <c r="IZ276" s="562"/>
      <c r="JA276" s="562"/>
      <c r="JB276" s="562"/>
      <c r="JC276" s="562"/>
      <c r="JD276" s="562"/>
      <c r="JE276" s="562"/>
      <c r="JF276" s="562"/>
      <c r="JG276" s="562"/>
      <c r="JH276" s="562"/>
      <c r="JI276" s="562"/>
      <c r="JJ276" s="562"/>
      <c r="JK276" s="562"/>
      <c r="JL276" s="562"/>
      <c r="JM276" s="562"/>
      <c r="JN276" s="562"/>
      <c r="JO276" s="562"/>
      <c r="JP276" s="562"/>
      <c r="JQ276" s="562"/>
      <c r="JR276" s="562"/>
      <c r="JS276" s="562"/>
      <c r="JT276" s="562"/>
      <c r="JU276" s="562"/>
      <c r="JV276" s="562"/>
      <c r="JW276" s="562"/>
      <c r="JX276" s="562"/>
      <c r="JY276" s="562"/>
      <c r="JZ276" s="562"/>
    </row>
    <row r="277" spans="1:286" ht="12.75" customHeight="1" x14ac:dyDescent="0.2">
      <c r="A277" s="1"/>
      <c r="B277" s="2" t="s">
        <v>55</v>
      </c>
      <c r="C277" s="79"/>
      <c r="D277" s="79"/>
      <c r="E277" s="171"/>
      <c r="F277" s="171"/>
      <c r="G277" s="171"/>
      <c r="H277" s="171"/>
      <c r="I277" s="171"/>
      <c r="J277" s="171"/>
      <c r="K277" s="171"/>
      <c r="L277" s="79"/>
      <c r="M277" s="171">
        <f>+M276/M256*100</f>
        <v>5.3589902751913989</v>
      </c>
      <c r="N277" s="79" t="str">
        <f>IF(ISERROR((M277/E277-1)*100),"NA",IF(((M277/E277-1)*100)&gt;100,"NM",IF(((M277/E277-1)*100)&lt;-50,"NM",(M277/E277-1)*100)))</f>
        <v>NA</v>
      </c>
      <c r="O277" s="171">
        <f>+O276/O256*100</f>
        <v>3.8499312512276611</v>
      </c>
      <c r="P277" s="79" t="str">
        <f>IF(ISERROR((O277/G277-1)*100),"NA",IF(((O277/G277-1)*100)&gt;100,"NM",IF(((O277/G277-1)*100)&lt;-50,"NM",(O277/G277-1)*100)))</f>
        <v>NA</v>
      </c>
      <c r="Q277" s="171">
        <f>+Q276/Q256*100</f>
        <v>3.778437190900092</v>
      </c>
      <c r="R277" s="79" t="str">
        <f>IF(ISERROR((Q277/I277-1)*100),"NA",IF(((Q277/I277-1)*100)&gt;100,"NM",IF(((Q277/I277-1)*100)&lt;-50,"NM",(Q277/I277-1)*100)))</f>
        <v>NA</v>
      </c>
      <c r="S277" s="171">
        <f>+S276/S256*100</f>
        <v>3.6177742823436847</v>
      </c>
      <c r="T277" s="79" t="str">
        <f>IF(ISERROR((S277/K277-1)*100),"NA",IF(((S277/K277-1)*100)&gt;100,"NM",IF(((S277/K277-1)*100)&lt;-50,"NM",(S277/K277-1)*100)))</f>
        <v>NA</v>
      </c>
      <c r="U277" s="171">
        <f>+U276/U256*100</f>
        <v>3.2483552631579085</v>
      </c>
      <c r="V277" s="79">
        <f>IF(ISERROR((U277/M277-1)*100),"NA",IF(((U277/M277-1)*100)&gt;100,"NM",IF(((U277/M277-1)*100)&lt;-50,"NM",(U277/M277-1)*100)))</f>
        <v>-39.384938274740719</v>
      </c>
      <c r="W277" s="171">
        <f>+W276/W256*100</f>
        <v>1.071356377602567</v>
      </c>
      <c r="X277" s="79" t="str">
        <f>IF(ISERROR((W277/O277-1)*100),"NA",IF(((W277/O277-1)*100)&gt;100,"NM",IF(((W277/O277-1)*100)&lt;-50,"NM",(W277/O277-1)*100)))</f>
        <v>NM</v>
      </c>
      <c r="Y277" s="171">
        <f>+Y276/Y256*100</f>
        <v>3.8376973815710662</v>
      </c>
      <c r="Z277" s="79">
        <f>IF(ISERROR((Y277/Q277-1)*100),"NA",IF(((Y277/Q277-1)*100)&gt;100,"NM",IF(((Y277/Q277-1)*100)&lt;-50,"NM",(Y277/Q277-1)*100)))</f>
        <v>1.568378344721344</v>
      </c>
      <c r="AA277" s="172">
        <f>+AA276/AA256*100</f>
        <v>4.751712328767109</v>
      </c>
      <c r="AB277" s="79">
        <f>IF(ISERROR((AA277/S277-1)*100),"NA",IF(((AA277/S277-1)*100)&gt;100,"NM",IF(((AA277/S277-1)*100)&lt;-50,"NM",(AA277/S277-1)*100)))</f>
        <v>31.343526652769249</v>
      </c>
      <c r="AC277" s="171">
        <f>+AC276/AC256*100</f>
        <v>-187.72607193659826</v>
      </c>
      <c r="AD277" s="79" t="str">
        <f>IF(ISERROR((AC277/U277-1)*100),"NA",IF(((AC277/U277-1)*100)&gt;100,"NM",IF(((AC277/U277-1)*100)&lt;-50,"NM",(AC277/U277-1)*100)))</f>
        <v>NM</v>
      </c>
      <c r="AE277" s="171">
        <f>+AE276/AE256*100</f>
        <v>6.5316786414108554</v>
      </c>
      <c r="AF277" s="79" t="str">
        <f>IF(ISERROR((AE277/W277-1)*100),"NA",IF(((AE277/W277-1)*100)&gt;100,"NM",IF(((AE277/W277-1)*100)&lt;-50,"NM",(AE277/W277-1)*100)))</f>
        <v>NM</v>
      </c>
      <c r="AG277" s="171">
        <f>+AG276/AG256*100</f>
        <v>7.2095548317046658</v>
      </c>
      <c r="AH277" s="79">
        <f>IF(ISERROR((AG277/Y277-1)*100),"NA",IF(((AG277/Y277-1)*100)&gt;100,"NM",IF(((AG277/Y277-1)*100)&lt;-50,"NM",(AG277/Y277-1)*100)))</f>
        <v>87.86147303655396</v>
      </c>
      <c r="AI277" s="171">
        <f>+AI276/AI256*100</f>
        <v>7.9730014764817465</v>
      </c>
      <c r="AJ277" s="79">
        <f>IF(ISERROR((AI277/AA277-1)*100),"NA",IF(((AI277/AA277-1)*100)&gt;100,"NM",IF(((AI277/AA277-1)*100)&lt;-50,"NM",(AI277/AA277-1)*100)))</f>
        <v>67.792175216769508</v>
      </c>
      <c r="AK277" s="171">
        <f>+AK276/AK256*100</f>
        <v>5.1724137931034413</v>
      </c>
      <c r="AL277" s="79" t="str">
        <f>IF(ISERROR((AK277/AC277-1)*100),"NA",IF(((AK277/AC277-1)*100)&gt;100,"NM",IF(((AK277/AC277-1)*100)&lt;-50,"NM",(AK277/AC277-1)*100)))</f>
        <v>NM</v>
      </c>
      <c r="AM277" s="171">
        <f>+AM276/AM256*100</f>
        <v>6.2627176124802144</v>
      </c>
      <c r="AN277" s="79">
        <f>IF(ISERROR((AM277/AE277-1)*100),"NA",IF(((AM277/AE277-1)*100)&gt;100,"NM",IF(((AM277/AE277-1)*100)&lt;-50,"NM",(AM277/AE277-1)*100)))</f>
        <v>-4.1177933529281008</v>
      </c>
      <c r="AO277" s="171">
        <f>+AO276/AO256*100</f>
        <v>6.2368752624947472</v>
      </c>
      <c r="AP277" s="79">
        <f>IF(ISERROR((AO277/AG277-1)*100),"NA",IF(((AO277/AG277-1)*100)&gt;100,"NM",IF(((AO277/AG277-1)*100)&lt;-50,"NM",(AO277/AG277-1)*100)))</f>
        <v>-13.491534386179749</v>
      </c>
      <c r="AQ277" s="171">
        <f>+AQ276/AQ256*100</f>
        <v>6.584603360687777</v>
      </c>
      <c r="AR277" s="79">
        <f>IF(ISERROR((AQ277/AI277-1)*100),"NA",IF(((AQ277/AI277-1)*100)&gt;100,"NM",IF(((AQ277/AI277-1)*100)&lt;-50,"NM",(AQ277/AI277-1)*100)))</f>
        <v>-17.413744621638138</v>
      </c>
      <c r="AS277" s="277">
        <f>+AS276/AS256*100</f>
        <v>5.5855855855855925</v>
      </c>
      <c r="AT277" s="81">
        <f>IF(ISERROR((AS277/AK277-1)*100),"NA",IF(((AS277/AK277-1)*100)&gt;100,"NM",IF(((AS277/AK277-1)*100)&lt;-50,"NM",(AS277/AK277-1)*100)))</f>
        <v>7.9879879879882765</v>
      </c>
      <c r="AU277" s="277">
        <f>+AU276/AU256*100</f>
        <v>6.6122286397132024</v>
      </c>
      <c r="AV277" s="81">
        <f>IF(ISERROR((AU277/AM277-1)*100),"NA",IF(((AU277/AM277-1)*100)&gt;100,"NM",IF(((AU277/AM277-1)*100)&lt;-50,"NM",(AU277/AM277-1)*100)))</f>
        <v>5.5808204817743956</v>
      </c>
      <c r="AW277" s="277">
        <f>+AW276/AW256*100</f>
        <v>5.8535590454823554</v>
      </c>
      <c r="AX277" s="81">
        <f>IF(ISERROR((AW277/AO277-1)*100),"NA",IF(((AW277/AO277-1)*100)&gt;100,"NM",IF(((AW277/AO277-1)*100)&lt;-50,"NM",(AW277/AO277-1)*100)))</f>
        <v>-6.145965742131354</v>
      </c>
      <c r="AY277" s="277">
        <f>+AY276/AY256*100</f>
        <v>5.6865464632454907</v>
      </c>
      <c r="AZ277" s="81">
        <f>IF(ISERROR((AY277/AQ277-1)*100),"NA",IF(((AY277/AQ277-1)*100)&gt;100,"NM",IF(((AY277/AQ277-1)*100)&lt;-50,"NM",(AY277/AQ277-1)*100)))</f>
        <v>-13.638739469167993</v>
      </c>
      <c r="BA277" s="277">
        <f>+BA276/BA256*100</f>
        <v>4.6661136457901282</v>
      </c>
      <c r="BB277" s="81">
        <f>IF(ISERROR((BA277/AS277-1)*100),"NA",IF(((BA277/AS277-1)*100)&gt;100,"NM",IF(((BA277/AS277-1)*100)&lt;-50,"NM",(BA277/AS277-1)*100)))</f>
        <v>-16.461513760854263</v>
      </c>
      <c r="BC277" s="277">
        <f>+BC276/BC256*100</f>
        <v>6.1429168407856318</v>
      </c>
      <c r="BD277" s="81">
        <f>IF(ISERROR((BC277/AU277-1)*100),"NA",IF(((BC277/AU277-1)*100)&gt;100,"NM",IF(((BC277/AU277-1)*100)&lt;-50,"NM",(BC277/AU277-1)*100)))</f>
        <v>-7.097634163901601</v>
      </c>
      <c r="BE277" s="277">
        <f>+BE276/BE256*100</f>
        <v>5.9143029571514738</v>
      </c>
      <c r="BF277" s="81">
        <f>IF(ISERROR((BE277/AW277-1)*100),"NA",IF(((BE277/AW277-1)*100)&gt;100,"NM",IF(((BE277/AW277-1)*100)&lt;-50,"NM",(BE277/AW277-1)*100)))</f>
        <v>1.0377261286191208</v>
      </c>
      <c r="BG277" s="277">
        <f>+BG276/BG256*100</f>
        <v>3.1036623215394163</v>
      </c>
      <c r="BH277" s="81">
        <f>IF(ISERROR((BG277/AY277-1)*100),"NA",IF(((BG277/AY277-1)*100)&gt;100,"NM",IF(((BG277/AY277-1)*100)&lt;-50,"NM",(BG277/AY277-1)*100)))</f>
        <v>-45.420962589514147</v>
      </c>
      <c r="BI277" s="277">
        <f>+BI276/BI256*100</f>
        <v>0.63961182179090814</v>
      </c>
      <c r="BJ277" s="81" t="str">
        <f>IF(ISERROR((BI277/BA277-1)*100),"NA",IF(((BI277/BA277-1)*100)&gt;100,"NM",IF(((BI277/BA277-1)*100)&lt;-50,"NM",(BI277/BA277-1)*100)))</f>
        <v>NM</v>
      </c>
      <c r="BK277" s="277">
        <f>+BK276/BK256*100</f>
        <v>3.2971800433839453</v>
      </c>
      <c r="BL277" s="81">
        <f>IF(ISERROR((BK277/BC277-1)*100),"NA",IF(((BK277/BC277-1)*100)&gt;100,"NM",IF(((BK277/BC277-1)*100)&lt;-50,"NM",(BK277/BC277-1)*100)))</f>
        <v>-46.32549766110359</v>
      </c>
      <c r="BM277" s="277">
        <f>+BM276/BM256*100</f>
        <v>0.55481580115400431</v>
      </c>
      <c r="BN277" s="81" t="str">
        <f>IF(ISERROR((BM277/BE277-1)*100),"NA",IF(((BM277/BE277-1)*100)&gt;100,"NM",IF(((BM277/BE277-1)*100)&lt;-50,"NM",(BM277/BE277-1)*100)))</f>
        <v>NM</v>
      </c>
      <c r="BO277" s="277">
        <f>+BO276/BO256*100</f>
        <v>1.565946184384654</v>
      </c>
      <c r="BP277" s="81">
        <f>IF(ISERROR((BO277/BG277-1)*100),"NA",IF(((BO277/BG277-1)*100)&gt;100,"NM",IF(((BO277/BG277-1)*100)&lt;-50,"NM",(BO277/BG277-1)*100)))</f>
        <v>-49.545213939126441</v>
      </c>
      <c r="BQ277" s="277">
        <f>+BQ276/BQ256*100</f>
        <v>2.5513659968390052</v>
      </c>
      <c r="BR277" s="81" t="str">
        <f>IF(ISERROR((BQ277/BI277-1)*100),"NA",IF(((BQ277/BI277-1)*100)&gt;100,"NM",IF(((BQ277/BI277-1)*100)&lt;-50,"NM",(BQ277/BI277-1)*100)))</f>
        <v>NM</v>
      </c>
      <c r="BS277" s="277">
        <f>+BS276/BS256*100</f>
        <v>2.2665457842248284</v>
      </c>
      <c r="BT277" s="81">
        <f>IF(ISERROR((BS277/BK277-1)*100),"NA",IF(((BS277/BK277-1)*100)&gt;100,"NM",IF(((BS277/BK277-1)*100)&lt;-50,"NM",(BS277/BK277-1)*100)))</f>
        <v>-31.258052202128507</v>
      </c>
      <c r="BU277" s="277">
        <f>+BU276/BU256*100</f>
        <v>1.6736401673640142</v>
      </c>
      <c r="BV277" s="81" t="str">
        <f>IF(ISERROR((BU277/BM277-1)*100),"NA",IF(((BU277/BM277-1)*100)&gt;100,"NM",IF(((BU277/BM277-1)*100)&lt;-50,"NM",(BU277/BM277-1)*100)))</f>
        <v>NM</v>
      </c>
      <c r="BW277" s="277">
        <f>+BW276/BW256*100</f>
        <v>1.3627819548872206</v>
      </c>
      <c r="BX277" s="81">
        <f>IF(ISERROR((BW277/BO277-1)*100),"NA",IF(((BW277/BO277-1)*100)&gt;100,"NM",IF(((BW277/BO277-1)*100)&lt;-50,"NM",(BW277/BO277-1)*100)))</f>
        <v>-12.973896007624797</v>
      </c>
      <c r="BY277" s="277">
        <f>+BY276/BY256*100</f>
        <v>5.242406542056071</v>
      </c>
      <c r="BZ277" s="81" t="str">
        <f>IF(ISERROR((BY277/BQ277-1)*100),"NA",IF(((BY277/BQ277-1)*100)&gt;100,"NM",IF(((BY277/BQ277-1)*100)&lt;-50,"NM",(BY277/BQ277-1)*100)))</f>
        <v>NM</v>
      </c>
      <c r="CA277" s="277">
        <f>+CA276/CA256*100</f>
        <v>3.4805498683825613</v>
      </c>
      <c r="CB277" s="81">
        <f>IF(ISERROR((CA277/BS277-1)*100),"NA",IF(((CA277/BS277-1)*100)&gt;100,"NM",IF(((CA277/BS277-1)*100)&lt;-50,"NM",(CA277/BS277-1)*100)))</f>
        <v>53.561860193039479</v>
      </c>
      <c r="CC277" s="277">
        <f>+CC276/CC256*100</f>
        <v>4.3876495789629262</v>
      </c>
      <c r="CD277" s="81" t="str">
        <f>IF(ISERROR((CC277/BU277-1)*100),"NA",IF(((CC277/BU277-1)*100)&gt;100,"NM",IF(((CC277/BU277-1)*100)&lt;-50,"NM",(CC277/BU277-1)*100)))</f>
        <v>NM</v>
      </c>
      <c r="CE277" s="277">
        <f>+CE276/CE256*100</f>
        <v>4.267757965507184</v>
      </c>
      <c r="CF277" s="81" t="str">
        <f>IF(ISERROR((CE277/BW277-1)*100),"NA",IF(((CE277/BW277-1)*100)&gt;100,"NM",IF(((CE277/BW277-1)*100)&lt;-50,"NM",(CE277/BW277-1)*100)))</f>
        <v>NM</v>
      </c>
      <c r="CG277" s="277">
        <f>+CG276/CG256*100</f>
        <v>4.7259259259259059</v>
      </c>
      <c r="CH277" s="81">
        <f>IF(ISERROR((CG277/BY277-1)*100),"NA",IF(((CG277/BY277-1)*100)&gt;100,"NM",IF(((CG277/BY277-1)*100)&lt;-50,"NM",(CG277/BY277-1)*100)))</f>
        <v>-9.8519756525330742</v>
      </c>
      <c r="CI277" s="277">
        <f>+CI276/CI256*100</f>
        <v>4.5468142387077783</v>
      </c>
      <c r="CJ277" s="81">
        <f>IF(ISERROR((CI277/CA277-1)*100),"NA",IF(((CI277/CA277-1)*100)&gt;100,"NM",IF(((CI277/CA277-1)*100)&lt;-50,"NM",(CI277/CA277-1)*100)))</f>
        <v>30.634940186066583</v>
      </c>
      <c r="CK277" s="277">
        <f>+CK276/CK256*100</f>
        <v>4.5690550363447491</v>
      </c>
      <c r="CL277" s="81">
        <f>IF(ISERROR((CK277/CC277-1)*100),"NA",IF(((CK277/CC277-1)*100)&gt;100,"NM",IF(((CK277/CC277-1)*100)&lt;-50,"NM",(CK277/CC277-1)*100)))</f>
        <v>4.134456367062489</v>
      </c>
      <c r="CM277" s="277">
        <f>+CM276/CM256*100</f>
        <v>-136.96168696168698</v>
      </c>
      <c r="CN277" s="81" t="str">
        <f>IF(ISERROR((CM277/CE277-1)*100),"NA",IF(((CM277/CE277-1)*100)&gt;100,"NM",IF(((CM277/CE277-1)*100)&lt;-50,"NM",(CM277/CE277-1)*100)))</f>
        <v>NM</v>
      </c>
      <c r="CO277" s="277">
        <f>+CO276/CO256*100</f>
        <v>2.2971360381861543</v>
      </c>
      <c r="CP277" s="81" t="str">
        <f>IF(ISERROR((CO277/CG277-1)*100),"NA",IF(((CO277/CG277-1)*100)&gt;100,"NM",IF(((CO277/CG277-1)*100)&lt;-50,"NM",(CO277/CG277-1)*100)))</f>
        <v>NM</v>
      </c>
      <c r="CQ277" s="277">
        <f>+CQ276/CQ256*100</f>
        <v>3.8153206650831417</v>
      </c>
      <c r="CR277" s="81">
        <f>IF(ISERROR((CQ277/CI277-1)*100),"NA",IF(((CQ277/CI277-1)*100)&gt;100,"NM",IF(((CQ277/CI277-1)*100)&lt;-50,"NM",(CQ277/CI277-1)*100)))</f>
        <v>-16.088046162020685</v>
      </c>
      <c r="CS277" s="277">
        <f>+CS276/CS256*100</f>
        <v>3.783624002364768</v>
      </c>
      <c r="CT277" s="81">
        <f>IF(ISERROR((CS277/CK277-1)*100),"NA",IF(((CS277/CK277-1)*100)&gt;100,"NM",IF(((CS277/CK277-1)*100)&lt;-50,"NM",(CS277/CK277-1)*100)))</f>
        <v>-17.190229220970977</v>
      </c>
      <c r="CU277" s="277">
        <f>+CU276/CU256*100</f>
        <v>4.2321822189566429</v>
      </c>
      <c r="CV277" s="81" t="str">
        <f>IF(ISERROR((CU277/CM277-1)*100),"NA",IF(((CU277/CM277-1)*100)&gt;100,"NM",IF(((CU277/CM277-1)*100)&lt;-50,"NM",(CU277/CM277-1)*100)))</f>
        <v>NM</v>
      </c>
      <c r="CW277" s="277">
        <f>+CW276/CW256*100</f>
        <v>3.9302600472813434</v>
      </c>
      <c r="CX277" s="81">
        <f>IF(ISERROR((CW277/CO277-1)*100),"NA",IF(((CW277/CO277-1)*100)&gt;100,"NM",IF(((CW277/CO277-1)*100)&lt;-50,"NM",(CW277/CO277-1)*100)))</f>
        <v>71.093917902429624</v>
      </c>
      <c r="CY277" s="277">
        <f>+CY276/CY256*100</f>
        <v>4.3549835378629185</v>
      </c>
      <c r="CZ277" s="81">
        <f>IF(ISERROR((CY277/CQ277-1)*100),"NA",IF(((CY277/CQ277-1)*100)&gt;100,"NM",IF(((CY277/CQ277-1)*100)&lt;-50,"NM",(CY277/CQ277-1)*100)))</f>
        <v>14.144626891224</v>
      </c>
      <c r="DA277" s="277">
        <f>+DA276/DA256*100</f>
        <v>3.7616611495636469</v>
      </c>
      <c r="DB277" s="81">
        <f>IF(ISERROR((DA277/CS277-1)*100),"NA",IF(((DA277/CS277-1)*100)&gt;100,"NM",IF(((DA277/CS277-1)*100)&lt;-50,"NM",(DA277/CS277-1)*100)))</f>
        <v>-0.58047133614212987</v>
      </c>
      <c r="DC277" s="277">
        <f>+DC276/DC256*100</f>
        <v>3.9506906282489269</v>
      </c>
      <c r="DD277" s="81">
        <f>IF(ISERROR((DC277/CU277-1)*100),"NA",IF(((DC277/CU277-1)*100)&gt;100,"NM",IF(((DC277/CU277-1)*100)&lt;-50,"NM",(DC277/CU277-1)*100)))</f>
        <v>-6.651216231826429</v>
      </c>
      <c r="DE277" s="277">
        <f>+DE276/DE256*100</f>
        <v>4.320610687022894</v>
      </c>
      <c r="DF277" s="81">
        <f>IF(ISERROR((DE277/CW277-1)*100),"NA",IF(((DE277/CW277-1)*100)&gt;100,"NM",IF(((DE277/CW277-1)*100)&lt;-50,"NM",(DE277/CW277-1)*100)))</f>
        <v>9.9319290592887235</v>
      </c>
      <c r="DG277" s="277">
        <f>+DG276/DG256*100</f>
        <v>5.5004508566276122</v>
      </c>
      <c r="DH277" s="81">
        <f>IF(ISERROR((DG277/CY277-1)*100),"NA",IF(((DG277/CY277-1)*100)&gt;100,"NM",IF(((DG277/CY277-1)*100)&lt;-50,"NM",(DG277/CY277-1)*100)))</f>
        <v>26.302448879675879</v>
      </c>
      <c r="DI277" s="277">
        <f>+DI276/DI256*100</f>
        <v>3.9350788546930096</v>
      </c>
      <c r="DJ277" s="81">
        <f>IF(ISERROR((DI277/DA277-1)*100),"NA",IF(((DI277/DA277-1)*100)&gt;100,"NM",IF(((DI277/DA277-1)*100)&lt;-50,"NM",(DI277/DA277-1)*100)))</f>
        <v>4.6101362731589823</v>
      </c>
      <c r="DK277" s="277">
        <f>+DK276/DK256*100</f>
        <v>-101.88909201706278</v>
      </c>
      <c r="DL277" s="81" t="str">
        <f>IF(ISERROR((DK277/DC277-1)*100),"NA",IF(((DK277/DC277-1)*100)&gt;100,"NM",IF(((DK277/DC277-1)*100)&lt;-50,"NM",(DK277/DC277-1)*100)))</f>
        <v>NM</v>
      </c>
      <c r="DM277" s="277">
        <f>+DM276/DM256*100</f>
        <v>4.1171935235157946</v>
      </c>
      <c r="DN277" s="81">
        <f>IF(ISERROR((DM277/DE277-1)*100),"NA",IF(((DM277/DE277-1)*100)&gt;100,"NM",IF(((DM277/DE277-1)*100)&lt;-50,"NM",(DM277/DE277-1)*100)))</f>
        <v>-4.7080650917720952</v>
      </c>
      <c r="DO277" s="277">
        <f>+DO276/DO256*100</f>
        <v>5.5665399239543589</v>
      </c>
      <c r="DP277" s="81">
        <f>IF(ISERROR((DO277/DG277-1)*100),"NA",IF(((DO277/DG277-1)*100)&gt;100,"NM",IF(((DO277/DG277-1)*100)&lt;-50,"NM",(DO277/DG277-1)*100)))</f>
        <v>1.2015209125469051</v>
      </c>
      <c r="DQ277" s="277">
        <f>+DQ276/DQ256*100</f>
        <v>4.2595725049977009</v>
      </c>
      <c r="DR277" s="81">
        <f>IF(ISERROR((DQ277/DI277-1)*100),"NA",IF(((DQ277/DI277-1)*100)&gt;100,"NM",IF(((DQ277/DI277-1)*100)&lt;-50,"NM",(DQ277/DI277-1)*100)))</f>
        <v>8.2461791056028577</v>
      </c>
      <c r="DS277" s="277">
        <f>+DS276/DS256*100</f>
        <v>4.2537087496215253</v>
      </c>
      <c r="DT277" s="81" t="str">
        <f>IF(ISERROR((DS277/DK277-1)*100),"NA",IF(((DS277/DK277-1)*100)&gt;100,"NM",IF(((DS277/DK277-1)*100)&lt;-50,"NM",(DS277/DK277-1)*100)))</f>
        <v>NM</v>
      </c>
      <c r="DU277" s="277">
        <f>+DU276/DU256*100</f>
        <v>5.1726784343821679</v>
      </c>
      <c r="DV277" s="81">
        <f>IF(ISERROR((DU277/DM277-1)*100),"NA",IF(((DU277/DM277-1)*100)&gt;100,"NM",IF(((DU277/DM277-1)*100)&lt;-50,"NM",(DU277/DM277-1)*100)))</f>
        <v>25.636028640331276</v>
      </c>
      <c r="DW277" s="277">
        <f>+DW276/DW256*100</f>
        <v>4.9961685823754642</v>
      </c>
      <c r="DX277" s="81">
        <f>IF(ISERROR((DW277/DO277-1)*100),"NA",IF(((DW277/DO277-1)*100)&gt;100,"NM",IF(((DW277/DO277-1)*100)&lt;-50,"NM",(DW277/DO277-1)*100)))</f>
        <v>-10.246425057052576</v>
      </c>
      <c r="DY277" s="277">
        <f>+DY276/DY256*100</f>
        <v>4.4094973789700926</v>
      </c>
      <c r="DZ277" s="81">
        <f>IF(ISERROR((DY277/DQ277-1)*100),"NA",IF(((DY277/DQ277-1)*100)&gt;100,"NM",IF(((DY277/DQ277-1)*100)&lt;-50,"NM",(DY277/DQ277-1)*100)))</f>
        <v>3.5197164456406638</v>
      </c>
      <c r="EA277" s="277">
        <f>+EA276/EA256*100</f>
        <v>5.2743902439024426</v>
      </c>
      <c r="EB277" s="81">
        <f>IF(ISERROR((EA277/DS277-1)*100),"NA",IF(((EA277/DS277-1)*100)&gt;100,"NM",IF(((EA277/DS277-1)*100)&lt;-50,"NM",(EA277/DS277-1)*100)))</f>
        <v>23.99509591181419</v>
      </c>
      <c r="EC277" s="277">
        <f>+EC276/EC256*100</f>
        <v>4.914463452566082</v>
      </c>
      <c r="ED277" s="81">
        <f t="shared" si="939"/>
        <v>-4.9919009095899414</v>
      </c>
      <c r="EE277" s="277">
        <f>+EE276/EE256*100</f>
        <v>5.0810473815461377</v>
      </c>
      <c r="EF277" s="81">
        <f t="shared" si="940"/>
        <v>1.6988778054866538</v>
      </c>
      <c r="EG277" s="277">
        <f>+EG276/EG256*100</f>
        <v>4.1653617287817131</v>
      </c>
      <c r="EH277" s="81">
        <f t="shared" si="941"/>
        <v>-5.5365868081182823</v>
      </c>
      <c r="EI277" s="277">
        <f>+EI276/EI256*100</f>
        <v>5.173491716161287</v>
      </c>
      <c r="EJ277" s="81">
        <f t="shared" si="942"/>
        <v>-1.9129894276935899</v>
      </c>
      <c r="EK277" s="277">
        <f t="shared" ref="EK277:EQ277" si="948">+EK276/EK256*100</f>
        <v>4.7418370426718122</v>
      </c>
      <c r="EL277" s="81">
        <f t="shared" si="944"/>
        <v>-3.5126196696840473</v>
      </c>
      <c r="EM277" s="277">
        <f t="shared" si="948"/>
        <v>4.6727769724260497</v>
      </c>
      <c r="EN277" s="81">
        <f t="shared" si="945"/>
        <v>-8.0351624077131376</v>
      </c>
      <c r="EO277" s="277">
        <f t="shared" si="948"/>
        <v>4.6037212210159959</v>
      </c>
      <c r="EP277" s="81">
        <f t="shared" si="946"/>
        <v>10.523923749654607</v>
      </c>
      <c r="EQ277" s="277">
        <f t="shared" si="948"/>
        <v>4.5346698962729342</v>
      </c>
      <c r="ER277" s="81">
        <f t="shared" si="947"/>
        <v>-12.347981884125957</v>
      </c>
      <c r="ES277" s="278"/>
      <c r="ET277" s="481"/>
      <c r="EU277" s="278"/>
      <c r="EV277" s="277"/>
      <c r="EW277" s="279"/>
      <c r="EX277" s="277"/>
      <c r="EY277" s="279"/>
      <c r="EZ277" s="277"/>
      <c r="FA277" s="279"/>
      <c r="FB277" s="277"/>
      <c r="FC277" s="279"/>
      <c r="FD277" s="277">
        <f>+FD276/FD256*100</f>
        <v>4.1365561923747816</v>
      </c>
      <c r="FE277" s="279" t="str">
        <f>IF(ISERROR((FD277/FB277-1)*100),"NA",IF(((FD277/FB277-1)*100)&gt;100,"NM",IF(((FD277/FB277-1)*100)&lt;-50,"NM",(FD277/FB277-1)*100)))</f>
        <v>NA</v>
      </c>
      <c r="FF277" s="277">
        <f>+FF276/FF256*100</f>
        <v>3.2074309760854063</v>
      </c>
      <c r="FG277" s="279">
        <f>IF(ISERROR((FF277/FD277-1)*100),"NA",IF(((FF277/FD277-1)*100)&gt;100,"NM",IF(((FF277/FD277-1)*100)&lt;-50,"NM",(FF277/FD277-1)*100)))</f>
        <v>-22.461322246802794</v>
      </c>
      <c r="FH277" s="277">
        <f>+FH276/FH256*100</f>
        <v>-43.626723223754006</v>
      </c>
      <c r="FI277" s="279" t="str">
        <f>IF(ISERROR((FH277/FF277-1)*100),"NA",IF(((FH277/FF277-1)*100)&gt;100,"NM",IF(((FH277/FF277-1)*100)&lt;-50,"NM",(FH277/FF277-1)*100)))</f>
        <v>NM</v>
      </c>
      <c r="FJ277" s="277">
        <f>+FJ276/FJ256*100</f>
        <v>6.0845010389472032</v>
      </c>
      <c r="FK277" s="279" t="str">
        <f>IF(ISERROR((FJ277/FH277-1)*100),"NA",IF(((FJ277/FH277-1)*100)&gt;100,"NM",IF(((FJ277/FH277-1)*100)&lt;-50,"NM",(FJ277/FH277-1)*100)))</f>
        <v>NM</v>
      </c>
      <c r="FL277" s="171">
        <f>+FL276/FL256*100</f>
        <v>5.935089652409073</v>
      </c>
      <c r="FM277" s="279">
        <f>IF(ISERROR((FL277/FJ277-1)*100),"NA",IF(((FL277/FJ277-1)*100)&gt;100,"NM",IF(((FL277/FJ277-1)*100)&lt;-50,"NM",(FL277/FJ277-1)*100)))</f>
        <v>-2.4556062293644154</v>
      </c>
      <c r="FN277" s="171">
        <f>+FN276/FN256*100</f>
        <v>4.9608489594065501</v>
      </c>
      <c r="FO277" s="279">
        <f>IF(ISERROR((FN277/FL277-1)*100),"NA",IF(((FN277/FL277-1)*100)&gt;100,"NM",IF(((FN277/FL277-1)*100)&lt;-50,"NM",(FN277/FL277-1)*100)))</f>
        <v>-16.414927997036667</v>
      </c>
      <c r="FP277" s="171">
        <f>+FP276/FP256*100</f>
        <v>1.5233172019357455</v>
      </c>
      <c r="FQ277" s="279" t="str">
        <f>IF(ISERROR((FP277/FN277-1)*100),"NA",IF(((FP277/FN277-1)*100)&gt;100,"NM",IF(((FP277/FN277-1)*100)&lt;-50,"NM",(FP277/FN277-1)*100)))</f>
        <v>NM</v>
      </c>
      <c r="FR277" s="277">
        <f>+FR276/FR256*100</f>
        <v>4.5358109591045102</v>
      </c>
      <c r="FS277" s="279" t="str">
        <f>IF(ISERROR((FR277/FP277-1)*100),"NA",IF(((FR277/FP277-1)*100)&gt;100,"NM",IF(((FR277/FP277-1)*100)&lt;-50,"NM",(FR277/FP277-1)*100)))</f>
        <v>NM</v>
      </c>
      <c r="FT277" s="277">
        <f>+FT276/FT256*100</f>
        <v>4.3447997948492487</v>
      </c>
      <c r="FU277" s="279">
        <f>IF(ISERROR((FT277/FR277-1)*100),"NA",IF(((FT277/FR277-1)*100)&gt;100,"NM",IF(((FT277/FR277-1)*100)&lt;-50,"NM",(FT277/FR277-1)*100)))</f>
        <v>-4.2111800067825556</v>
      </c>
      <c r="FV277" s="277">
        <f>+FV276/FV256*100</f>
        <v>-30.812678830218136</v>
      </c>
      <c r="FW277" s="279" t="str">
        <f>IF(ISERROR((FV277/FT277-1)*100),"NA",IF(((FV277/FT277-1)*100)&gt;100,"NM",IF(((FV277/FT277-1)*100)&lt;-50,"NM",(FV277/FT277-1)*100)))</f>
        <v>NM</v>
      </c>
      <c r="FX277" s="277">
        <f>+FX276/FX256*100</f>
        <v>3.5070177387697599</v>
      </c>
      <c r="FY277" s="279" t="str">
        <f>IF(ISERROR((FX277/FV277-1)*100),"NA",IF(((FX277/FV277-1)*100)&gt;100,"NM",IF(((FX277/FV277-1)*100)&lt;-50,"NM",(FX277/FV277-1)*100)))</f>
        <v>NM</v>
      </c>
      <c r="FZ277" s="277">
        <f>+FZ276/FZ256*100</f>
        <v>3.9994036303999301</v>
      </c>
      <c r="GA277" s="79">
        <f>IF(ISERROR((FZ277/FX277-1)*100),"NA",IF(((FZ277/FX277-1)*100)&gt;100,"NM",IF(((FZ277/FX277-1)*100)&lt;-50,"NM",(FZ277/FX277-1)*100)))</f>
        <v>14.040017140115646</v>
      </c>
      <c r="GB277" s="277">
        <f>+GB276/GB256*100</f>
        <v>-21.985626829917479</v>
      </c>
      <c r="GC277" s="79" t="str">
        <f>IF(ISERROR((GB277/FZ277-1)*100),"NA",IF(((GB277/FZ277-1)*100)&gt;100,"NM",IF(((GB277/FZ277-1)*100)&lt;-50,"NM",(GB277/FZ277-1)*100)))</f>
        <v>NM</v>
      </c>
      <c r="GD277" s="277">
        <f>+GD276/GD256*100</f>
        <v>4.5511865183996294</v>
      </c>
      <c r="GE277" s="79" t="str">
        <f>IF(ISERROR((GD277/GB277-1)*100),"NA",IF(((GD277/GB277-1)*100)&gt;100,"NM",IF(((GD277/GB277-1)*100)&lt;-50,"NM",(GD277/GB277-1)*100)))</f>
        <v>NM</v>
      </c>
      <c r="GF277" s="277">
        <f>+GF276/GF256*100</f>
        <v>4.9643486927854186</v>
      </c>
      <c r="GG277" s="79">
        <f>IF(ISERROR((GF277/GD277-1)*100),"NA",IF(((GF277/GD277-1)*100)&gt;100,"NM",IF(((GF277/GD277-1)*100)&lt;-50,"NM",(GF277/GD277-1)*100)))</f>
        <v>9.0781200180535038</v>
      </c>
      <c r="GH277" s="277">
        <f>+GH276/GH256*100</f>
        <v>4.8341786968396274</v>
      </c>
      <c r="GI277" s="79">
        <f>IF(ISERROR((GH277/GF277-1)*100),"NA",IF(((GH277/GF277-1)*100)&gt;100,"NM",IF(((GH277/GF277-1)*100)&lt;-50,"NM",(GH277/GF277-1)*100)))</f>
        <v>-2.6220961499937467</v>
      </c>
      <c r="GJ277" s="277">
        <f>+GJ276/GJ256*100</f>
        <v>4.638837611865319</v>
      </c>
      <c r="GK277" s="79">
        <f>IF(ISERROR((GJ277/GH277-1)*100),"NA",IF(((GJ277/GH277-1)*100)&gt;100,"NM",IF(((GJ277/GH277-1)*100)&lt;-50,"NM",(GJ277/GH277-1)*100)))</f>
        <v>-4.0408329361513617</v>
      </c>
      <c r="GL277" s="277">
        <f>+GL276/GL256*100</f>
        <v>4.6675941690444294</v>
      </c>
      <c r="GM277" s="79">
        <f>IF(ISERROR((GL277/GJ277-1)*100),"NA",IF(((GL277/GJ277-1)*100)&gt;100,"NM",IF(((GL277/GJ277-1)*100)&lt;-50,"NM",(GL277/GJ277-1)*100)))</f>
        <v>0.61990868370895846</v>
      </c>
      <c r="GN277" s="277">
        <f>+GN276/GN256*100</f>
        <v>4.6966283534892002</v>
      </c>
      <c r="GO277" s="79">
        <f>IF(ISERROR((GN277/GL277-1)*100),"NA",IF(((GN277/GL277-1)*100)&gt;100,"NM",IF(((GN277/GL277-1)*100)&lt;-50,"NM",(GN277/GL277-1)*100)))</f>
        <v>0.62203746498197265</v>
      </c>
      <c r="GP277" s="277">
        <f>+GP276/GP256*100</f>
        <v>4.7259426558246531</v>
      </c>
      <c r="GQ277" s="79">
        <f>IF(ISERROR((GP277/GN277-1)*100),"NA",IF(((GP277/GN277-1)*100)&gt;100,"NM",IF(((GP277/GN277-1)*100)&lt;-50,"NM",(GP277/GN277-1)*100)))</f>
        <v>0.62415631234000735</v>
      </c>
      <c r="GR277" s="277">
        <f>+GR276/GR256*100</f>
        <v>4.7555395852142333</v>
      </c>
      <c r="GS277" s="79">
        <f>IF(ISERROR((GR277/GP277-1)*100),"NA",IF(((GR277/GP277-1)*100)&gt;100,"NM",IF(((GR277/GP277-1)*100)&lt;-50,"NM",(GR277/GP277-1)*100)))</f>
        <v>0.62626509767531591</v>
      </c>
      <c r="GT277" s="79">
        <f>IF(ISERROR(((GR277/GH277)^0.2-1)*100),"NA",(IF(OR(((GR277/GH277)^0.2-1)*100&gt;99,((GR277/GH277)^0.2-1)*100&lt;-50),"NM",(((GR277/GH277)^0.2-1)*100))))</f>
        <v>-0.32748422207825589</v>
      </c>
    </row>
    <row r="278" spans="1:286" ht="12.75" customHeight="1" x14ac:dyDescent="0.2">
      <c r="A278" s="1"/>
      <c r="B278" s="2"/>
      <c r="C278" s="79"/>
      <c r="D278" s="79"/>
      <c r="E278" s="171"/>
      <c r="F278" s="171"/>
      <c r="G278" s="171"/>
      <c r="H278" s="171"/>
      <c r="I278" s="171"/>
      <c r="J278" s="171"/>
      <c r="K278" s="171"/>
      <c r="L278" s="79"/>
      <c r="M278" s="171"/>
      <c r="N278" s="79"/>
      <c r="O278" s="171"/>
      <c r="P278" s="79"/>
      <c r="Q278" s="171"/>
      <c r="R278" s="79"/>
      <c r="S278" s="171"/>
      <c r="T278" s="79"/>
      <c r="U278" s="171"/>
      <c r="V278" s="79"/>
      <c r="W278" s="171"/>
      <c r="X278" s="79"/>
      <c r="Y278" s="171"/>
      <c r="Z278" s="79"/>
      <c r="AA278" s="172"/>
      <c r="AB278" s="79"/>
      <c r="AC278" s="171"/>
      <c r="AD278" s="79"/>
      <c r="AE278" s="171"/>
      <c r="AF278" s="79"/>
      <c r="AG278" s="171"/>
      <c r="AH278" s="79"/>
      <c r="AI278" s="171"/>
      <c r="AJ278" s="79"/>
      <c r="AK278" s="171"/>
      <c r="AL278" s="79"/>
      <c r="AM278" s="171"/>
      <c r="AN278" s="79"/>
      <c r="AO278" s="171"/>
      <c r="AP278" s="79"/>
      <c r="AQ278" s="171"/>
      <c r="AR278" s="79"/>
      <c r="AS278" s="171"/>
      <c r="AT278" s="81"/>
      <c r="AU278" s="171"/>
      <c r="AV278" s="81"/>
      <c r="AW278" s="171"/>
      <c r="AX278" s="81"/>
      <c r="AY278" s="171"/>
      <c r="AZ278" s="81"/>
      <c r="BA278" s="171"/>
      <c r="BB278" s="81"/>
      <c r="BC278" s="171"/>
      <c r="BD278" s="81"/>
      <c r="BE278" s="171"/>
      <c r="BF278" s="81"/>
      <c r="BG278" s="171"/>
      <c r="BH278" s="81"/>
      <c r="BI278" s="171"/>
      <c r="BJ278" s="81"/>
      <c r="BK278" s="171"/>
      <c r="BL278" s="81"/>
      <c r="BM278" s="171"/>
      <c r="BN278" s="81"/>
      <c r="BO278" s="171"/>
      <c r="BP278" s="81"/>
      <c r="BQ278" s="171"/>
      <c r="BR278" s="81"/>
      <c r="BS278" s="171"/>
      <c r="BT278" s="81"/>
      <c r="BU278" s="171"/>
      <c r="BV278" s="81"/>
      <c r="BW278" s="171"/>
      <c r="BX278" s="81"/>
      <c r="BY278" s="171"/>
      <c r="BZ278" s="81"/>
      <c r="CA278" s="171"/>
      <c r="CB278" s="81"/>
      <c r="CC278" s="171"/>
      <c r="CD278" s="81"/>
      <c r="CE278" s="171"/>
      <c r="CF278" s="81"/>
      <c r="CG278" s="171"/>
      <c r="CH278" s="81"/>
      <c r="CI278" s="171"/>
      <c r="CJ278" s="81"/>
      <c r="CK278" s="171"/>
      <c r="CL278" s="81"/>
      <c r="CM278" s="171"/>
      <c r="CN278" s="81"/>
      <c r="CO278" s="171"/>
      <c r="CP278" s="81"/>
      <c r="CQ278" s="171"/>
      <c r="CR278" s="81"/>
      <c r="CS278" s="171"/>
      <c r="CT278" s="81"/>
      <c r="CU278" s="171"/>
      <c r="CV278" s="81"/>
      <c r="CW278" s="171"/>
      <c r="CX278" s="81"/>
      <c r="CY278" s="171"/>
      <c r="CZ278" s="81"/>
      <c r="DA278" s="171"/>
      <c r="DB278" s="81"/>
      <c r="DC278" s="171"/>
      <c r="DD278" s="81"/>
      <c r="DE278" s="171"/>
      <c r="DF278" s="81"/>
      <c r="DG278" s="171"/>
      <c r="DH278" s="81"/>
      <c r="DI278" s="171"/>
      <c r="DJ278" s="81"/>
      <c r="DK278" s="171"/>
      <c r="DL278" s="81"/>
      <c r="DM278" s="171"/>
      <c r="DN278" s="81"/>
      <c r="DO278" s="171"/>
      <c r="DP278" s="81"/>
      <c r="DQ278" s="171"/>
      <c r="DR278" s="81"/>
      <c r="DS278" s="171"/>
      <c r="DT278" s="81"/>
      <c r="DU278" s="171"/>
      <c r="DV278" s="81"/>
      <c r="DW278" s="171"/>
      <c r="DX278" s="81"/>
      <c r="DY278" s="171"/>
      <c r="DZ278" s="81"/>
      <c r="EA278" s="171"/>
      <c r="EB278" s="81"/>
      <c r="EC278" s="171"/>
      <c r="ED278" s="81"/>
      <c r="EE278" s="171"/>
      <c r="EF278" s="81"/>
      <c r="EG278" s="171"/>
      <c r="EH278" s="81"/>
      <c r="EI278" s="171"/>
      <c r="EJ278" s="81"/>
      <c r="EK278" s="171"/>
      <c r="EL278" s="81"/>
      <c r="EM278" s="171"/>
      <c r="EN278" s="81"/>
      <c r="EO278" s="171"/>
      <c r="EP278" s="81"/>
      <c r="EQ278" s="171"/>
      <c r="ER278" s="81"/>
      <c r="ES278" s="82"/>
      <c r="ET278" s="469"/>
      <c r="EU278" s="82"/>
      <c r="EV278" s="171"/>
      <c r="EW278" s="79"/>
      <c r="EX278" s="171"/>
      <c r="EY278" s="79"/>
      <c r="EZ278" s="171"/>
      <c r="FA278" s="79"/>
      <c r="FB278" s="171"/>
      <c r="FC278" s="79"/>
      <c r="FD278" s="171"/>
      <c r="FE278" s="79"/>
      <c r="FF278" s="171"/>
      <c r="FG278" s="79"/>
      <c r="FH278" s="171"/>
      <c r="FI278" s="79"/>
      <c r="FJ278" s="171"/>
      <c r="FK278" s="79"/>
      <c r="FL278" s="171"/>
      <c r="FM278" s="79"/>
      <c r="FN278" s="171"/>
      <c r="FO278" s="79"/>
      <c r="FP278" s="171"/>
      <c r="FQ278" s="79"/>
      <c r="FR278" s="171"/>
      <c r="FS278" s="79"/>
      <c r="FT278" s="171"/>
      <c r="FU278" s="79"/>
      <c r="FV278" s="171"/>
      <c r="FW278" s="79"/>
      <c r="FX278" s="171"/>
      <c r="FY278" s="79"/>
      <c r="FZ278" s="171"/>
      <c r="GA278" s="79"/>
      <c r="GB278" s="171"/>
      <c r="GC278" s="79"/>
      <c r="GD278" s="171"/>
      <c r="GE278" s="79"/>
      <c r="GF278" s="171"/>
      <c r="GG278" s="79"/>
      <c r="GH278" s="171"/>
      <c r="GI278" s="79"/>
      <c r="GJ278" s="171"/>
      <c r="GK278" s="79"/>
      <c r="GL278" s="171"/>
      <c r="GM278" s="79"/>
      <c r="GN278" s="171"/>
      <c r="GO278" s="79"/>
      <c r="GP278" s="171"/>
      <c r="GQ278" s="79"/>
      <c r="GR278" s="171"/>
      <c r="GS278" s="79"/>
      <c r="GT278" s="79"/>
    </row>
    <row r="279" spans="1:286" s="132" customFormat="1" ht="12.75" customHeight="1" x14ac:dyDescent="0.2">
      <c r="A279" s="133"/>
      <c r="B279" s="2" t="s">
        <v>256</v>
      </c>
      <c r="C279" s="79"/>
      <c r="D279" s="79"/>
      <c r="E279" s="129"/>
      <c r="F279" s="129"/>
      <c r="G279" s="129"/>
      <c r="H279" s="129"/>
      <c r="I279" s="129"/>
      <c r="J279" s="129"/>
      <c r="K279" s="129"/>
      <c r="L279" s="79"/>
      <c r="M279" s="129">
        <v>0</v>
      </c>
      <c r="N279" s="79" t="str">
        <f>IF(ISERROR((M279/E279-1)*100),"NA",IF(((M279/E279-1)*100)&gt;100,"NM",IF(((M279/E279-1)*100)&lt;-50,"NM",(M279/E279-1)*100)))</f>
        <v>NA</v>
      </c>
      <c r="O279" s="129">
        <v>0</v>
      </c>
      <c r="P279" s="79" t="str">
        <f>IF(ISERROR((O279/G279-1)*100),"NA",IF(((O279/G279-1)*100)&gt;100,"NM",IF(((O279/G279-1)*100)&lt;-50,"NM",(O279/G279-1)*100)))</f>
        <v>NA</v>
      </c>
      <c r="Q279" s="129">
        <v>0</v>
      </c>
      <c r="R279" s="79" t="str">
        <f>IF(ISERROR((Q279/I279-1)*100),"NA",IF(((Q279/I279-1)*100)&gt;100,"NM",IF(((Q279/I279-1)*100)&lt;-50,"NM",(Q279/I279-1)*100)))</f>
        <v>NA</v>
      </c>
      <c r="S279" s="129">
        <v>0</v>
      </c>
      <c r="T279" s="79" t="str">
        <f>IF(ISERROR((S279/K279-1)*100),"NA",IF(((S279/K279-1)*100)&gt;100,"NM",IF(((S279/K279-1)*100)&lt;-50,"NM",(S279/K279-1)*100)))</f>
        <v>NA</v>
      </c>
      <c r="U279" s="129">
        <v>0</v>
      </c>
      <c r="V279" s="79" t="str">
        <f>IF(ISERROR((U279/M279-1)*100),"NA",IF(((U279/M279-1)*100)&gt;100,"NM",IF(((U279/M279-1)*100)&lt;-50,"NM",(U279/M279-1)*100)))</f>
        <v>NA</v>
      </c>
      <c r="W279" s="129">
        <v>0</v>
      </c>
      <c r="X279" s="79" t="str">
        <f>IF(ISERROR((W279/O279-1)*100),"NA",IF(((W279/O279-1)*100)&gt;100,"NM",IF(((W279/O279-1)*100)&lt;-50,"NM",(W279/O279-1)*100)))</f>
        <v>NA</v>
      </c>
      <c r="Y279" s="129">
        <v>0</v>
      </c>
      <c r="Z279" s="79" t="str">
        <f>IF(ISERROR((Y279/Q279-1)*100),"NA",IF(((Y279/Q279-1)*100)&gt;100,"NM",IF(((Y279/Q279-1)*100)&lt;-50,"NM",(Y279/Q279-1)*100)))</f>
        <v>NA</v>
      </c>
      <c r="AA279" s="130">
        <v>0</v>
      </c>
      <c r="AB279" s="79" t="str">
        <f>IF(ISERROR((AA279/S279-1)*100),"NA",IF(((AA279/S279-1)*100)&gt;100,"NM",IF(((AA279/S279-1)*100)&lt;-50,"NM",(AA279/S279-1)*100)))</f>
        <v>NA</v>
      </c>
      <c r="AC279" s="129">
        <v>0</v>
      </c>
      <c r="AD279" s="79" t="str">
        <f>IF(ISERROR((AC279/U279-1)*100),"NA",IF(((AC279/U279-1)*100)&gt;100,"NM",IF(((AC279/U279-1)*100)&lt;-50,"NM",(AC279/U279-1)*100)))</f>
        <v>NA</v>
      </c>
      <c r="AE279" s="129">
        <v>0</v>
      </c>
      <c r="AF279" s="79" t="str">
        <f>IF(ISERROR((AE279/W279-1)*100),"NA",IF(((AE279/W279-1)*100)&gt;100,"NM",IF(((AE279/W279-1)*100)&lt;-50,"NM",(AE279/W279-1)*100)))</f>
        <v>NA</v>
      </c>
      <c r="AG279" s="129">
        <v>0</v>
      </c>
      <c r="AH279" s="79" t="str">
        <f>IF(ISERROR((AG279/Y279-1)*100),"NA",IF(((AG279/Y279-1)*100)&gt;100,"NM",IF(((AG279/Y279-1)*100)&lt;-50,"NM",(AG279/Y279-1)*100)))</f>
        <v>NA</v>
      </c>
      <c r="AI279" s="129">
        <v>0</v>
      </c>
      <c r="AJ279" s="79" t="str">
        <f>IF(ISERROR((AI279/AA279-1)*100),"NA",IF(((AI279/AA279-1)*100)&gt;100,"NM",IF(((AI279/AA279-1)*100)&lt;-50,"NM",(AI279/AA279-1)*100)))</f>
        <v>NA</v>
      </c>
      <c r="AK279" s="129">
        <v>0</v>
      </c>
      <c r="AL279" s="79" t="str">
        <f>IF(ISERROR((AK279/AC279-1)*100),"NA",IF(((AK279/AC279-1)*100)&gt;100,"NM",IF(((AK279/AC279-1)*100)&lt;-50,"NM",(AK279/AC279-1)*100)))</f>
        <v>NA</v>
      </c>
      <c r="AM279" s="129">
        <v>0</v>
      </c>
      <c r="AN279" s="79" t="str">
        <f>IF(ISERROR((AM279/AE279-1)*100),"NA",IF(((AM279/AE279-1)*100)&gt;100,"NM",IF(((AM279/AE279-1)*100)&lt;-50,"NM",(AM279/AE279-1)*100)))</f>
        <v>NA</v>
      </c>
      <c r="AO279" s="129">
        <v>0</v>
      </c>
      <c r="AP279" s="79" t="str">
        <f>IF(ISERROR((AO279/AG279-1)*100),"NA",IF(((AO279/AG279-1)*100)&gt;100,"NM",IF(((AO279/AG279-1)*100)&lt;-50,"NM",(AO279/AG279-1)*100)))</f>
        <v>NA</v>
      </c>
      <c r="AQ279" s="129">
        <v>0</v>
      </c>
      <c r="AR279" s="79" t="str">
        <f>IF(ISERROR((AQ279/AI279-1)*100),"NA",IF(((AQ279/AI279-1)*100)&gt;100,"NM",IF(((AQ279/AI279-1)*100)&lt;-50,"NM",(AQ279/AI279-1)*100)))</f>
        <v>NA</v>
      </c>
      <c r="AS279" s="129">
        <v>0</v>
      </c>
      <c r="AT279" s="81" t="str">
        <f>IF(ISERROR((AS279/AK279-1)*100),"NA",IF(((AS279/AK279-1)*100)&gt;100,"NM",IF(((AS279/AK279-1)*100)&lt;-50,"NM",(AS279/AK279-1)*100)))</f>
        <v>NA</v>
      </c>
      <c r="AU279" s="129">
        <v>0</v>
      </c>
      <c r="AV279" s="81" t="str">
        <f>IF(ISERROR((AU279/AM279-1)*100),"NA",IF(((AU279/AM279-1)*100)&gt;100,"NM",IF(((AU279/AM279-1)*100)&lt;-50,"NM",(AU279/AM279-1)*100)))</f>
        <v>NA</v>
      </c>
      <c r="AW279" s="129">
        <v>0</v>
      </c>
      <c r="AX279" s="81" t="str">
        <f>IF(ISERROR((AW279/AO279-1)*100),"NA",IF(((AW279/AO279-1)*100)&gt;100,"NM",IF(((AW279/AO279-1)*100)&lt;-50,"NM",(AW279/AO279-1)*100)))</f>
        <v>NA</v>
      </c>
      <c r="AY279" s="129">
        <v>0</v>
      </c>
      <c r="AZ279" s="81" t="str">
        <f>IF(ISERROR((AY279/AQ279-1)*100),"NA",IF(((AY279/AQ279-1)*100)&gt;100,"NM",IF(((AY279/AQ279-1)*100)&lt;-50,"NM",(AY279/AQ279-1)*100)))</f>
        <v>NA</v>
      </c>
      <c r="BA279" s="129">
        <v>0</v>
      </c>
      <c r="BB279" s="81" t="str">
        <f>IF(ISERROR((BA279/AS279-1)*100),"NA",IF(((BA279/AS279-1)*100)&gt;100,"NM",IF(((BA279/AS279-1)*100)&lt;-50,"NM",(BA279/AS279-1)*100)))</f>
        <v>NA</v>
      </c>
      <c r="BC279" s="129">
        <v>0</v>
      </c>
      <c r="BD279" s="81" t="str">
        <f>IF(ISERROR((BC279/AU279-1)*100),"NA",IF(((BC279/AU279-1)*100)&gt;100,"NM",IF(((BC279/AU279-1)*100)&lt;-50,"NM",(BC279/AU279-1)*100)))</f>
        <v>NA</v>
      </c>
      <c r="BE279" s="129">
        <v>0</v>
      </c>
      <c r="BF279" s="81" t="str">
        <f>IF(ISERROR((BE279/AW279-1)*100),"NA",IF(((BE279/AW279-1)*100)&gt;100,"NM",IF(((BE279/AW279-1)*100)&lt;-50,"NM",(BE279/AW279-1)*100)))</f>
        <v>NA</v>
      </c>
      <c r="BG279" s="129">
        <v>0</v>
      </c>
      <c r="BH279" s="81" t="str">
        <f>IF(ISERROR((BG279/AY279-1)*100),"NA",IF(((BG279/AY279-1)*100)&gt;100,"NM",IF(((BG279/AY279-1)*100)&lt;-50,"NM",(BG279/AY279-1)*100)))</f>
        <v>NA</v>
      </c>
      <c r="BI279" s="129">
        <v>0</v>
      </c>
      <c r="BJ279" s="81" t="str">
        <f>IF(ISERROR((BI279/BA279-1)*100),"NA",IF(((BI279/BA279-1)*100)&gt;100,"NM",IF(((BI279/BA279-1)*100)&lt;-50,"NM",(BI279/BA279-1)*100)))</f>
        <v>NA</v>
      </c>
      <c r="BK279" s="129">
        <v>12</v>
      </c>
      <c r="BL279" s="81" t="str">
        <f>IF(ISERROR((BK279/BC279-1)*100),"NA",IF(((BK279/BC279-1)*100)&gt;100,"NM",IF(((BK279/BC279-1)*100)&lt;-50,"NM",(BK279/BC279-1)*100)))</f>
        <v>NA</v>
      </c>
      <c r="BM279" s="129">
        <v>-4.7</v>
      </c>
      <c r="BN279" s="81" t="str">
        <f>IF(ISERROR((BM279/BE279-1)*100),"NA",IF(((BM279/BE279-1)*100)&gt;100,"NM",IF(((BM279/BE279-1)*100)&lt;-50,"NM",(BM279/BE279-1)*100)))</f>
        <v>NA</v>
      </c>
      <c r="BO279" s="129"/>
      <c r="BP279" s="81" t="str">
        <f>IF(ISERROR((BO279/BG279-1)*100),"NA",IF(((BO279/BG279-1)*100)&gt;100,"NM",IF(((BO279/BG279-1)*100)&lt;-50,"NM",(BO279/BG279-1)*100)))</f>
        <v>NA</v>
      </c>
      <c r="BQ279" s="129"/>
      <c r="BR279" s="81" t="str">
        <f>IF(ISERROR((BQ279/BI279-1)*100),"NA",IF(((BQ279/BI279-1)*100)&gt;100,"NM",IF(((BQ279/BI279-1)*100)&lt;-50,"NM",(BQ279/BI279-1)*100)))</f>
        <v>NA</v>
      </c>
      <c r="BS279" s="129"/>
      <c r="BT279" s="81" t="str">
        <f>IF(ISERROR((BS279/BK279-1)*100),"NA",IF(((BS279/BK279-1)*100)&gt;100,"NM",IF(((BS279/BK279-1)*100)&lt;-50,"NM",(BS279/BK279-1)*100)))</f>
        <v>NM</v>
      </c>
      <c r="BU279" s="129"/>
      <c r="BV279" s="81" t="str">
        <f>IF(ISERROR((BU279/BM279-1)*100),"NA",IF(((BU279/BM279-1)*100)&gt;100,"NM",IF(((BU279/BM279-1)*100)&lt;-50,"NM",(BU279/BM279-1)*100)))</f>
        <v>NM</v>
      </c>
      <c r="BW279" s="129"/>
      <c r="BX279" s="81" t="str">
        <f>IF(ISERROR((BW279/BO279-1)*100),"NA",IF(((BW279/BO279-1)*100)&gt;100,"NM",IF(((BW279/BO279-1)*100)&lt;-50,"NM",(BW279/BO279-1)*100)))</f>
        <v>NA</v>
      </c>
      <c r="BY279" s="129"/>
      <c r="BZ279" s="81" t="str">
        <f>IF(ISERROR((BY279/BQ279-1)*100),"NA",IF(((BY279/BQ279-1)*100)&gt;100,"NM",IF(((BY279/BQ279-1)*100)&lt;-50,"NM",(BY279/BQ279-1)*100)))</f>
        <v>NA</v>
      </c>
      <c r="CA279" s="129"/>
      <c r="CB279" s="81" t="str">
        <f>IF(ISERROR((CA279/BS279-1)*100),"NA",IF(((CA279/BS279-1)*100)&gt;100,"NM",IF(((CA279/BS279-1)*100)&lt;-50,"NM",(CA279/BS279-1)*100)))</f>
        <v>NA</v>
      </c>
      <c r="CC279" s="129"/>
      <c r="CD279" s="81" t="str">
        <f>IF(ISERROR((CC279/BU279-1)*100),"NA",IF(((CC279/BU279-1)*100)&gt;100,"NM",IF(((CC279/BU279-1)*100)&lt;-50,"NM",(CC279/BU279-1)*100)))</f>
        <v>NA</v>
      </c>
      <c r="CE279" s="129"/>
      <c r="CF279" s="81" t="str">
        <f>IF(ISERROR((CE279/BW279-1)*100),"NA",IF(((CE279/BW279-1)*100)&gt;100,"NM",IF(((CE279/BW279-1)*100)&lt;-50,"NM",(CE279/BW279-1)*100)))</f>
        <v>NA</v>
      </c>
      <c r="CG279" s="129"/>
      <c r="CH279" s="81" t="str">
        <f>IF(ISERROR((CG279/BY279-1)*100),"NA",IF(((CG279/BY279-1)*100)&gt;100,"NM",IF(((CG279/BY279-1)*100)&lt;-50,"NM",(CG279/BY279-1)*100)))</f>
        <v>NA</v>
      </c>
      <c r="CI279" s="129">
        <v>0</v>
      </c>
      <c r="CJ279" s="81" t="str">
        <f>IF(ISERROR((CI279/CA279-1)*100),"NA",IF(((CI279/CA279-1)*100)&gt;100,"NM",IF(((CI279/CA279-1)*100)&lt;-50,"NM",(CI279/CA279-1)*100)))</f>
        <v>NA</v>
      </c>
      <c r="CK279" s="129">
        <v>0</v>
      </c>
      <c r="CL279" s="81" t="str">
        <f>IF(ISERROR((CK279/CC279-1)*100),"NA",IF(((CK279/CC279-1)*100)&gt;100,"NM",IF(((CK279/CC279-1)*100)&lt;-50,"NM",(CK279/CC279-1)*100)))</f>
        <v>NA</v>
      </c>
      <c r="CM279" s="129">
        <f>-196-573.6-183.5</f>
        <v>-953.1</v>
      </c>
      <c r="CN279" s="81" t="str">
        <f>IF(ISERROR((CM279/CE279-1)*100),"NA",IF(((CM279/CE279-1)*100)&gt;100,"NM",IF(((CM279/CE279-1)*100)&lt;-50,"NM",(CM279/CE279-1)*100)))</f>
        <v>NA</v>
      </c>
      <c r="CO279" s="129">
        <v>0</v>
      </c>
      <c r="CP279" s="81" t="str">
        <f>IF(ISERROR((CO279/CG279-1)*100),"NA",IF(((CO279/CG279-1)*100)&gt;100,"NM",IF(((CO279/CG279-1)*100)&lt;-50,"NM",(CO279/CG279-1)*100)))</f>
        <v>NA</v>
      </c>
      <c r="CQ279" s="129">
        <v>0</v>
      </c>
      <c r="CR279" s="81" t="str">
        <f>IF(ISERROR((CQ279/CI279-1)*100),"NA",IF(((CQ279/CI279-1)*100)&gt;100,"NM",IF(((CQ279/CI279-1)*100)&lt;-50,"NM",(CQ279/CI279-1)*100)))</f>
        <v>NA</v>
      </c>
      <c r="CS279" s="129">
        <v>0</v>
      </c>
      <c r="CT279" s="81" t="str">
        <f>IF(ISERROR((CS279/CK279-1)*100),"NA",IF(((CS279/CK279-1)*100)&gt;100,"NM",IF(((CS279/CK279-1)*100)&lt;-50,"NM",(CS279/CK279-1)*100)))</f>
        <v>NA</v>
      </c>
      <c r="CU279" s="129">
        <v>0</v>
      </c>
      <c r="CV279" s="81" t="str">
        <f>IF(ISERROR((CU279/CM279-1)*100),"NA",IF(((CU279/CM279-1)*100)&gt;100,"NM",IF(((CU279/CM279-1)*100)&lt;-50,"NM",(CU279/CM279-1)*100)))</f>
        <v>NM</v>
      </c>
      <c r="CW279" s="129">
        <v>0</v>
      </c>
      <c r="CX279" s="81" t="str">
        <f>IF(ISERROR((CW279/CO279-1)*100),"NA",IF(((CW279/CO279-1)*100)&gt;100,"NM",IF(((CW279/CO279-1)*100)&lt;-50,"NM",(CW279/CO279-1)*100)))</f>
        <v>NA</v>
      </c>
      <c r="CY279" s="129">
        <v>0</v>
      </c>
      <c r="CZ279" s="81" t="str">
        <f>IF(ISERROR((CY279/CQ279-1)*100),"NA",IF(((CY279/CQ279-1)*100)&gt;100,"NM",IF(((CY279/CQ279-1)*100)&lt;-50,"NM",(CY279/CQ279-1)*100)))</f>
        <v>NA</v>
      </c>
      <c r="DA279" s="129">
        <v>0</v>
      </c>
      <c r="DB279" s="81" t="str">
        <f>IF(ISERROR((DA279/CS279-1)*100),"NA",IF(((DA279/CS279-1)*100)&gt;100,"NM",IF(((DA279/CS279-1)*100)&lt;-50,"NM",(DA279/CS279-1)*100)))</f>
        <v>NA</v>
      </c>
      <c r="DC279" s="129">
        <v>0</v>
      </c>
      <c r="DD279" s="81" t="str">
        <f>IF(ISERROR((DC279/CU279-1)*100),"NA",IF(((DC279/CU279-1)*100)&gt;100,"NM",IF(((DC279/CU279-1)*100)&lt;-50,"NM",(DC279/CU279-1)*100)))</f>
        <v>NA</v>
      </c>
      <c r="DE279" s="129">
        <v>0</v>
      </c>
      <c r="DF279" s="81" t="str">
        <f>IF(ISERROR((DE279/CW279-1)*100),"NA",IF(((DE279/CW279-1)*100)&gt;100,"NM",IF(((DE279/CW279-1)*100)&lt;-50,"NM",(DE279/CW279-1)*100)))</f>
        <v>NA</v>
      </c>
      <c r="DG279" s="129">
        <v>0</v>
      </c>
      <c r="DH279" s="81" t="str">
        <f>IF(ISERROR((DG279/CY279-1)*100),"NA",IF(((DG279/CY279-1)*100)&gt;100,"NM",IF(((DG279/CY279-1)*100)&lt;-50,"NM",(DG279/CY279-1)*100)))</f>
        <v>NA</v>
      </c>
      <c r="DI279" s="129">
        <v>0</v>
      </c>
      <c r="DJ279" s="81" t="str">
        <f>IF(ISERROR((DI279/DA279-1)*100),"NA",IF(((DI279/DA279-1)*100)&gt;100,"NM",IF(((DI279/DA279-1)*100)&lt;-50,"NM",(DI279/DA279-1)*100)))</f>
        <v>NA</v>
      </c>
      <c r="DK279" s="129">
        <v>-698.2</v>
      </c>
      <c r="DL279" s="81" t="str">
        <f>IF(ISERROR((DK279/DC279-1)*100),"NA",IF(((DK279/DC279-1)*100)&gt;100,"NM",IF(((DK279/DC279-1)*100)&lt;-50,"NM",(DK279/DC279-1)*100)))</f>
        <v>NA</v>
      </c>
      <c r="DM279" s="129">
        <v>0</v>
      </c>
      <c r="DN279" s="81" t="str">
        <f>IF(ISERROR((DM279/DE279-1)*100),"NA",IF(((DM279/DE279-1)*100)&gt;100,"NM",IF(((DM279/DE279-1)*100)&lt;-50,"NM",(DM279/DE279-1)*100)))</f>
        <v>NA</v>
      </c>
      <c r="DO279" s="129">
        <v>0</v>
      </c>
      <c r="DP279" s="81" t="str">
        <f>IF(ISERROR((DO279/DG279-1)*100),"NA",IF(((DO279/DG279-1)*100)&gt;100,"NM",IF(((DO279/DG279-1)*100)&lt;-50,"NM",(DO279/DG279-1)*100)))</f>
        <v>NA</v>
      </c>
      <c r="DQ279" s="129">
        <v>0</v>
      </c>
      <c r="DR279" s="81" t="str">
        <f>IF(ISERROR((DQ279/DI279-1)*100),"NA",IF(((DQ279/DI279-1)*100)&gt;100,"NM",IF(((DQ279/DI279-1)*100)&lt;-50,"NM",(DQ279/DI279-1)*100)))</f>
        <v>NA</v>
      </c>
      <c r="DS279" s="129">
        <v>0</v>
      </c>
      <c r="DT279" s="81" t="str">
        <f>IF(ISERROR((DS279/DK279-1)*100),"NA",IF(((DS279/DK279-1)*100)&gt;100,"NM",IF(((DS279/DK279-1)*100)&lt;-50,"NM",(DS279/DK279-1)*100)))</f>
        <v>NM</v>
      </c>
      <c r="DU279" s="129">
        <v>0</v>
      </c>
      <c r="DV279" s="81" t="str">
        <f>IF(ISERROR((DU279/DM279-1)*100),"NA",IF(((DU279/DM279-1)*100)&gt;100,"NM",IF(((DU279/DM279-1)*100)&lt;-50,"NM",(DU279/DM279-1)*100)))</f>
        <v>NA</v>
      </c>
      <c r="DW279" s="129">
        <v>0</v>
      </c>
      <c r="DX279" s="81" t="str">
        <f>IF(ISERROR((DW279/DO279-1)*100),"NA",IF(((DW279/DO279-1)*100)&gt;100,"NM",IF(((DW279/DO279-1)*100)&lt;-50,"NM",(DW279/DO279-1)*100)))</f>
        <v>NA</v>
      </c>
      <c r="DY279" s="129">
        <v>0</v>
      </c>
      <c r="DZ279" s="81" t="str">
        <f>IF(ISERROR((DY279/DQ279-1)*100),"NA",IF(((DY279/DQ279-1)*100)&gt;100,"NM",IF(((DY279/DQ279-1)*100)&lt;-50,"NM",(DY279/DQ279-1)*100)))</f>
        <v>NA</v>
      </c>
      <c r="EA279" s="129">
        <v>0</v>
      </c>
      <c r="EB279" s="81" t="str">
        <f>IF(ISERROR((EA279/DS279-1)*100),"NA",IF(((EA279/DS279-1)*100)&gt;100,"NM",IF(((EA279/DS279-1)*100)&lt;-50,"NM",(EA279/DS279-1)*100)))</f>
        <v>NA</v>
      </c>
      <c r="EC279" s="129">
        <v>0</v>
      </c>
      <c r="ED279" s="81" t="str">
        <f t="shared" ref="ED279:ED280" si="949">IF(ISERROR((EC279/DU279-1)*100),"NA",IF(((EC279/DU279-1)*100)&gt;100,"NM",IF(((EC279/DU279-1)*100)&lt;-50,"NM",(EC279/DU279-1)*100)))</f>
        <v>NA</v>
      </c>
      <c r="EE279" s="129">
        <v>0</v>
      </c>
      <c r="EF279" s="81" t="str">
        <f t="shared" ref="EF279:EF280" si="950">IF(ISERROR((EE279/DW279-1)*100),"NA",IF(((EE279/DW279-1)*100)&gt;100,"NM",IF(((EE279/DW279-1)*100)&lt;-50,"NM",(EE279/DW279-1)*100)))</f>
        <v>NA</v>
      </c>
      <c r="EG279" s="129">
        <v>0</v>
      </c>
      <c r="EH279" s="81" t="str">
        <f t="shared" ref="EH279:EH280" si="951">IF(ISERROR((EG279/DY279-1)*100),"NA",IF(((EG279/DY279-1)*100)&gt;100,"NM",IF(((EG279/DY279-1)*100)&lt;-50,"NM",(EG279/DY279-1)*100)))</f>
        <v>NA</v>
      </c>
      <c r="EI279" s="129">
        <v>0</v>
      </c>
      <c r="EJ279" s="81" t="str">
        <f t="shared" ref="EJ279:EJ280" si="952">IF(ISERROR((EI279/EA279-1)*100),"NA",IF(((EI279/EA279-1)*100)&gt;100,"NM",IF(((EI279/EA279-1)*100)&lt;-50,"NM",(EI279/EA279-1)*100)))</f>
        <v>NA</v>
      </c>
      <c r="EK279" s="129">
        <v>0</v>
      </c>
      <c r="EL279" s="81" t="str">
        <f t="shared" ref="EL279:EL280" si="953">IF(ISERROR((EK279/EC279-1)*100),"NA",IF(((EK279/EC279-1)*100)&gt;100,"NM",IF(((EK279/EC279-1)*100)&lt;-50,"NM",(EK279/EC279-1)*100)))</f>
        <v>NA</v>
      </c>
      <c r="EM279" s="129">
        <v>0</v>
      </c>
      <c r="EN279" s="81" t="str">
        <f t="shared" ref="EN279:EN280" si="954">IF(ISERROR((EM279/EE279-1)*100),"NA",IF(((EM279/EE279-1)*100)&gt;100,"NM",IF(((EM279/EE279-1)*100)&lt;-50,"NM",(EM279/EE279-1)*100)))</f>
        <v>NA</v>
      </c>
      <c r="EO279" s="129">
        <v>0</v>
      </c>
      <c r="EP279" s="81" t="str">
        <f t="shared" ref="EP279:EP280" si="955">IF(ISERROR((EO279/EG279-1)*100),"NA",IF(((EO279/EG279-1)*100)&gt;100,"NM",IF(((EO279/EG279-1)*100)&lt;-50,"NM",(EO279/EG279-1)*100)))</f>
        <v>NA</v>
      </c>
      <c r="EQ279" s="129">
        <v>0</v>
      </c>
      <c r="ER279" s="81" t="str">
        <f t="shared" ref="ER279:ER280" si="956">IF(ISERROR((EQ279/EI279-1)*100),"NA",IF(((EQ279/EI279-1)*100)&gt;100,"NM",IF(((EQ279/EI279-1)*100)&lt;-50,"NM",(EQ279/EI279-1)*100)))</f>
        <v>NA</v>
      </c>
      <c r="ES279" s="129"/>
      <c r="ET279" s="469"/>
      <c r="EU279" s="129"/>
      <c r="EV279" s="129"/>
      <c r="EW279" s="265"/>
      <c r="EX279" s="129"/>
      <c r="EY279" s="265"/>
      <c r="EZ279" s="82"/>
      <c r="FA279" s="265"/>
      <c r="FB279" s="35"/>
      <c r="FC279" s="265"/>
      <c r="FD279" s="129">
        <f>O279+Q279+S279+M279</f>
        <v>0</v>
      </c>
      <c r="FE279" s="265" t="str">
        <f>IF(ISERROR((FD279/FB279-1)*100),"NA",IF(((FD279/FB279-1)*100)&gt;100,"NM",IF(((FD279/FB279-1)*100)&lt;-50,"NM",(FD279/FB279-1)*100)))</f>
        <v>NA</v>
      </c>
      <c r="FF279" s="35">
        <f>U279+W279+Y279+AA279</f>
        <v>0</v>
      </c>
      <c r="FG279" s="265" t="str">
        <f>IF(ISERROR((FF279/FD279-1)*100),"NA",IF(((FF279/FD279-1)*100)&gt;100,"NM",IF(((FF279/FD279-1)*100)&lt;-50,"NM",(FF279/FD279-1)*100)))</f>
        <v>NA</v>
      </c>
      <c r="FH279" s="35">
        <f>AC279+AE279+AG279+AI279</f>
        <v>0</v>
      </c>
      <c r="FI279" s="265" t="str">
        <f>IF(ISERROR((FH279/FF279-1)*100),"NA",IF(((FH279/FF279-1)*100)&gt;100,"NM",IF(((FH279/FF279-1)*100)&lt;-50,"NM",(FH279/FF279-1)*100)))</f>
        <v>NA</v>
      </c>
      <c r="FJ279" s="35">
        <f>AK279+AM279+AO279+AQ279</f>
        <v>0</v>
      </c>
      <c r="FK279" s="265" t="str">
        <f>IF(ISERROR((FJ279/FH279-1)*100),"NA",IF(((FJ279/FH279-1)*100)&gt;100,"NM",IF(((FJ279/FH279-1)*100)&lt;-50,"NM",(FJ279/FH279-1)*100)))</f>
        <v>NA</v>
      </c>
      <c r="FL279" s="78">
        <f>AS279+AU279+AW279+AY279</f>
        <v>0</v>
      </c>
      <c r="FM279" s="265" t="str">
        <f>IF(ISERROR((FL279/FJ279-1)*100),"NA",IF(((FL279/FJ279-1)*100)&gt;100,"NM",IF(((FL279/FJ279-1)*100)&lt;-50,"NM",(FL279/FJ279-1)*100)))</f>
        <v>NA</v>
      </c>
      <c r="FN279" s="78">
        <f>BA279+BC279+BE279+BG279</f>
        <v>0</v>
      </c>
      <c r="FO279" s="265" t="str">
        <f>IF(ISERROR((FN279/FL279-1)*100),"NA",IF(((FN279/FL279-1)*100)&gt;100,"NM",IF(((FN279/FL279-1)*100)&lt;-50,"NM",(FN279/FL279-1)*100)))</f>
        <v>NA</v>
      </c>
      <c r="FP279" s="78">
        <f>BI279+BK279+BM279+BO279</f>
        <v>7.3</v>
      </c>
      <c r="FQ279" s="265" t="str">
        <f>IF(ISERROR((FP279/FN279-1)*100),"NA",IF(((FP279/FN279-1)*100)&gt;100,"NM",IF(((FP279/FN279-1)*100)&lt;-50,"NM",(FP279/FN279-1)*100)))</f>
        <v>NA</v>
      </c>
      <c r="FR279" s="35">
        <f>BQ279+BS279+BU279+BW279</f>
        <v>0</v>
      </c>
      <c r="FS279" s="265" t="str">
        <f>IF(ISERROR((FR279/FP279-1)*100),"NA",IF(((FR279/FP279-1)*100)&gt;100,"NM",IF(((FR279/FP279-1)*100)&lt;-50,"NM",(FR279/FP279-1)*100)))</f>
        <v>NM</v>
      </c>
      <c r="FT279" s="35">
        <f>BY279+CA279+CC279+CE279</f>
        <v>0</v>
      </c>
      <c r="FU279" s="265" t="str">
        <f>IF(ISERROR((FT279/FR279-1)*100),"NA",IF(((FT279/FR279-1)*100)&gt;100,"NM",IF(((FT279/FR279-1)*100)&lt;-50,"NM",(FT279/FR279-1)*100)))</f>
        <v>NA</v>
      </c>
      <c r="FV279" s="35">
        <f>CG279+CI279+CK279+CM279</f>
        <v>-953.1</v>
      </c>
      <c r="FW279" s="265" t="str">
        <f>IF(ISERROR((FV279/FT279-1)*100),"NA",IF(((FV279/FT279-1)*100)&gt;100,"NM",IF(((FV279/FT279-1)*100)&lt;-50,"NM",(FV279/FT279-1)*100)))</f>
        <v>NA</v>
      </c>
      <c r="FX279" s="35">
        <f>CO279+CQ279+CS279+CU279</f>
        <v>0</v>
      </c>
      <c r="FY279" s="265" t="str">
        <f>IF(ISERROR((FX279/FV279-1)*100),"NA",IF(((FX279/FV279-1)*100)&gt;100,"NM",IF(((FX279/FV279-1)*100)&lt;-50,"NM",(FX279/FV279-1)*100)))</f>
        <v>NM</v>
      </c>
      <c r="FZ279" s="35">
        <f>CW279+CY279+DA279+DC279</f>
        <v>0</v>
      </c>
      <c r="GA279" s="265" t="str">
        <f>IF(ISERROR((FZ279/FX279-1)*100),"NA",IF(((FZ279/FX279-1)*100)&gt;100,"NM",IF(((FZ279/FX279-1)*100)&lt;-50,"NM",(FZ279/FX279-1)*100)))</f>
        <v>NA</v>
      </c>
      <c r="GB279" s="35">
        <f>DE279+DG279+DI279+DK279</f>
        <v>-698.2</v>
      </c>
      <c r="GC279" s="265" t="str">
        <f>IF(ISERROR((GB279/FZ279-1)*100),"NA",IF(((GB279/FZ279-1)*100)&gt;100,"NM",IF(((GB279/FZ279-1)*100)&lt;-50,"NM",(GB279/FZ279-1)*100)))</f>
        <v>NA</v>
      </c>
      <c r="GD279" s="35">
        <f>DM279+DO279+DQ279+DS279</f>
        <v>0</v>
      </c>
      <c r="GE279" s="265" t="str">
        <f>IF(ISERROR((GD279/GB279-1)*100),"NA",IF(((GD279/GB279-1)*100)&gt;100,"NM",IF(((GD279/GB279-1)*100)&lt;-50,"NM",(GD279/GB279-1)*100)))</f>
        <v>NM</v>
      </c>
      <c r="GF279" s="35">
        <f>DU279+DW279+DY279+EA279</f>
        <v>0</v>
      </c>
      <c r="GG279" s="265" t="str">
        <f>IF(ISERROR((GF279/GD279-1)*100),"NA",IF(((GF279/GD279-1)*100)&gt;100,"NM",IF(((GF279/GD279-1)*100)&lt;-50,"NM",(GF279/GD279-1)*100)))</f>
        <v>NA</v>
      </c>
      <c r="GH279" s="35">
        <f>EC279+EE279+EG279+EI279</f>
        <v>0</v>
      </c>
      <c r="GI279" s="265" t="str">
        <f>IF(ISERROR((GH279/GF279-1)*100),"NA",IF(((GH279/GF279-1)*100)&gt;100,"NM",IF(((GH279/GF279-1)*100)&lt;-50,"NM",(GH279/GF279-1)*100)))</f>
        <v>NA</v>
      </c>
      <c r="GJ279" s="35">
        <f>EK279+EM279+EO279+EQ279</f>
        <v>0</v>
      </c>
      <c r="GK279" s="265" t="str">
        <f>IF(ISERROR((GJ279/GH279-1)*100),"NA",IF(((GJ279/GH279-1)*100)&gt;100,"NM",IF(((GJ279/GH279-1)*100)&lt;-50,"NM",(GJ279/GH279-1)*100)))</f>
        <v>NA</v>
      </c>
      <c r="GL279" s="129">
        <v>0</v>
      </c>
      <c r="GM279" s="265" t="str">
        <f>IF(ISERROR((GL279/GJ279-1)*100),"NA",IF(((GL279/GJ279-1)*100)&gt;100,"NM",IF(((GL279/GJ279-1)*100)&lt;-50,"NM",(GL279/GJ279-1)*100)))</f>
        <v>NA</v>
      </c>
      <c r="GN279" s="129">
        <v>0</v>
      </c>
      <c r="GO279" s="265" t="str">
        <f>IF(ISERROR((GN279/GL279-1)*100),"NA",IF(((GN279/GL279-1)*100)&gt;100,"NM",IF(((GN279/GL279-1)*100)&lt;-50,"NM",(GN279/GL279-1)*100)))</f>
        <v>NA</v>
      </c>
      <c r="GP279" s="129">
        <v>0</v>
      </c>
      <c r="GQ279" s="265" t="str">
        <f>IF(ISERROR((GP279/GN279-1)*100),"NA",IF(((GP279/GN279-1)*100)&gt;100,"NM",IF(((GP279/GN279-1)*100)&lt;-50,"NM",(GP279/GN279-1)*100)))</f>
        <v>NA</v>
      </c>
      <c r="GR279" s="129">
        <v>0</v>
      </c>
      <c r="GS279" s="265" t="str">
        <f>IF(ISERROR((GR279/GP279-1)*100),"NA",IF(((GR279/GP279-1)*100)&gt;100,"NM",IF(((GR279/GP279-1)*100)&lt;-50,"NM",(GR279/GP279-1)*100)))</f>
        <v>NA</v>
      </c>
      <c r="GT279" s="79" t="str">
        <f>IF(ISERROR(((GR279/GH279)^0.2-1)*100),"NA",(IF(OR(((GR279/GH279)^0.2-1)*100&gt;99,((GR279/GH279)^0.2-1)*100&lt;-50),"NM",(((GR279/GH279)^0.2-1)*100))))</f>
        <v>NA</v>
      </c>
      <c r="GU279" s="562"/>
      <c r="GV279" s="562"/>
      <c r="GW279"/>
      <c r="GX279"/>
      <c r="GY279"/>
      <c r="GZ279"/>
      <c r="HA279"/>
      <c r="HB279"/>
      <c r="HC279" s="562"/>
      <c r="HD279" s="562"/>
      <c r="HE279" s="562"/>
      <c r="HF279" s="562"/>
      <c r="HG279" s="562"/>
      <c r="HH279" s="562"/>
      <c r="HI279" s="562"/>
      <c r="HJ279" s="562"/>
      <c r="HK279" s="562"/>
      <c r="HL279" s="562"/>
      <c r="HM279" s="562"/>
      <c r="HN279" s="562"/>
      <c r="HO279" s="562"/>
      <c r="HP279" s="562"/>
      <c r="HQ279" s="562"/>
      <c r="HR279" s="562"/>
      <c r="HS279" s="562"/>
      <c r="HT279" s="562"/>
      <c r="HU279" s="562"/>
      <c r="HV279" s="562"/>
      <c r="HW279" s="562"/>
      <c r="HX279" s="562"/>
      <c r="HY279" s="562"/>
      <c r="HZ279" s="562"/>
      <c r="IA279" s="562"/>
      <c r="IB279" s="562"/>
      <c r="IC279" s="562"/>
      <c r="ID279" s="562"/>
      <c r="IE279" s="562"/>
      <c r="IF279" s="562"/>
      <c r="IG279" s="562"/>
      <c r="IH279" s="562"/>
      <c r="II279" s="562"/>
      <c r="IJ279" s="562"/>
      <c r="IK279" s="562"/>
      <c r="IL279" s="562"/>
      <c r="IM279" s="562"/>
      <c r="IN279" s="562"/>
      <c r="IO279" s="562"/>
      <c r="IP279" s="562"/>
      <c r="IQ279" s="562"/>
      <c r="IR279" s="562"/>
      <c r="IS279" s="562"/>
      <c r="IT279" s="562"/>
      <c r="IU279" s="562"/>
      <c r="IV279" s="562"/>
      <c r="IW279" s="562"/>
      <c r="IX279" s="562"/>
      <c r="IY279" s="562"/>
      <c r="IZ279" s="562"/>
      <c r="JA279" s="562"/>
      <c r="JB279" s="562"/>
      <c r="JC279" s="562"/>
      <c r="JD279" s="562"/>
      <c r="JE279" s="562"/>
      <c r="JF279" s="562"/>
      <c r="JG279" s="562"/>
      <c r="JH279" s="562"/>
      <c r="JI279" s="562"/>
      <c r="JJ279" s="562"/>
      <c r="JK279" s="562"/>
      <c r="JL279" s="562"/>
      <c r="JM279" s="562"/>
      <c r="JN279" s="562"/>
      <c r="JO279" s="562"/>
      <c r="JP279" s="562"/>
      <c r="JQ279" s="562"/>
      <c r="JR279" s="562"/>
      <c r="JS279" s="562"/>
      <c r="JT279" s="562"/>
      <c r="JU279" s="562"/>
      <c r="JV279" s="562"/>
      <c r="JW279" s="562"/>
      <c r="JX279" s="562"/>
      <c r="JY279" s="562"/>
      <c r="JZ279" s="562"/>
    </row>
    <row r="280" spans="1:286" ht="12.75" customHeight="1" x14ac:dyDescent="0.2">
      <c r="A280" s="1"/>
      <c r="B280" s="68" t="s">
        <v>474</v>
      </c>
      <c r="C280" s="79"/>
      <c r="D280" s="79"/>
      <c r="E280" s="178"/>
      <c r="F280" s="171"/>
      <c r="G280" s="178"/>
      <c r="H280" s="171"/>
      <c r="I280" s="178"/>
      <c r="J280" s="171"/>
      <c r="K280" s="178"/>
      <c r="L280" s="140"/>
      <c r="M280" s="178">
        <f>M276-M279</f>
        <v>25.900000000000034</v>
      </c>
      <c r="N280" s="79" t="str">
        <f>IF(ISERROR((M280/E280-1)*100),"NA",IF(((M280/E280-1)*100)&gt;100,"NM",IF(((M280/E280-1)*100)&lt;-50,"NM",(M280/E280-1)*100)))</f>
        <v>NA</v>
      </c>
      <c r="O280" s="178">
        <f>O276-O279</f>
        <v>19.600000000000023</v>
      </c>
      <c r="P280" s="79" t="str">
        <f>IF(ISERROR((O280/G280-1)*100),"NA",IF(((O280/G280-1)*100)&gt;100,"NM",IF(((O280/G280-1)*100)&lt;-50,"NM",(O280/G280-1)*100)))</f>
        <v>NA</v>
      </c>
      <c r="Q280" s="178">
        <f>Q276-Q279</f>
        <v>19.099999999999966</v>
      </c>
      <c r="R280" s="79" t="str">
        <f>IF(ISERROR((Q280/I280-1)*100),"NA",IF(((Q280/I280-1)*100)&gt;100,"NM",IF(((Q280/I280-1)*100)&lt;-50,"NM",(Q280/I280-1)*100)))</f>
        <v>NA</v>
      </c>
      <c r="S280" s="178">
        <f>S276-S279</f>
        <v>18.399999999999977</v>
      </c>
      <c r="T280" s="79" t="str">
        <f>IF(ISERROR((S280/K280-1)*100),"NA",IF(((S280/K280-1)*100)&gt;100,"NM",IF(((S280/K280-1)*100)&lt;-50,"NM",(S280/K280-1)*100)))</f>
        <v>NA</v>
      </c>
      <c r="U280" s="178">
        <f>U276-U279</f>
        <v>15.800000000000068</v>
      </c>
      <c r="V280" s="79">
        <f>IF(ISERROR((U280/M280-1)*100),"NA",IF(((U280/M280-1)*100)&gt;100,"NM",IF(((U280/M280-1)*100)&lt;-50,"NM",(U280/M280-1)*100)))</f>
        <v>-38.996138996138818</v>
      </c>
      <c r="W280" s="178">
        <f>W276-W279</f>
        <v>5.2999999999998977</v>
      </c>
      <c r="X280" s="79" t="str">
        <f>IF(ISERROR((W280/O280-1)*100),"NA",IF(((W280/O280-1)*100)&gt;100,"NM",IF(((W280/O280-1)*100)&lt;-50,"NM",(W280/O280-1)*100)))</f>
        <v>NM</v>
      </c>
      <c r="Y280" s="178">
        <f>Y276-Y279</f>
        <v>19.200000000000045</v>
      </c>
      <c r="Z280" s="79">
        <f>IF(ISERROR((Y280/Q280-1)*100),"NA",IF(((Y280/Q280-1)*100)&gt;100,"NM",IF(((Y280/Q280-1)*100)&lt;-50,"NM",(Y280/Q280-1)*100)))</f>
        <v>0.52356020942450066</v>
      </c>
      <c r="AA280" s="227">
        <f>AA276-AA279</f>
        <v>22.199999999999932</v>
      </c>
      <c r="AB280" s="79">
        <f>IF(ISERROR((AA280/S280-1)*100),"NA",IF(((AA280/S280-1)*100)&gt;100,"NM",IF(((AA280/S280-1)*100)&lt;-50,"NM",(AA280/S280-1)*100)))</f>
        <v>20.65217391304326</v>
      </c>
      <c r="AC280" s="178">
        <f>AC276-AC279</f>
        <v>-923.80000000000007</v>
      </c>
      <c r="AD280" s="79" t="str">
        <f>IF(ISERROR((AC280/U280-1)*100),"NA",IF(((AC280/U280-1)*100)&gt;100,"NM",IF(((AC280/U280-1)*100)&lt;-50,"NM",(AC280/U280-1)*100)))</f>
        <v>NM</v>
      </c>
      <c r="AE280" s="178">
        <f>AE276-AE279</f>
        <v>30.000000000000057</v>
      </c>
      <c r="AF280" s="79" t="str">
        <f>IF(ISERROR((AE280/W280-1)*100),"NA",IF(((AE280/W280-1)*100)&gt;100,"NM",IF(((AE280/W280-1)*100)&lt;-50,"NM",(AE280/W280-1)*100)))</f>
        <v>NM</v>
      </c>
      <c r="AG280" s="178">
        <f>AG276-AG279</f>
        <v>33.199999999999989</v>
      </c>
      <c r="AH280" s="79">
        <f>IF(ISERROR((AG280/Y280-1)*100),"NA",IF(((AG280/Y280-1)*100)&gt;100,"NM",IF(((AG280/Y280-1)*100)&lt;-50,"NM",(AG280/Y280-1)*100)))</f>
        <v>72.916666666666202</v>
      </c>
      <c r="AI280" s="178">
        <f>AI276-AI279</f>
        <v>37.799999999999955</v>
      </c>
      <c r="AJ280" s="79">
        <f>IF(ISERROR((AI280/AA280-1)*100),"NA",IF(((AI280/AA280-1)*100)&gt;100,"NM",IF(((AI280/AA280-1)*100)&lt;-50,"NM",(AI280/AA280-1)*100)))</f>
        <v>70.270270270270601</v>
      </c>
      <c r="AK280" s="178">
        <f>AK276-AK279</f>
        <v>23.099999999999966</v>
      </c>
      <c r="AL280" s="79" t="str">
        <f>IF(ISERROR((AK280/AC280-1)*100),"NA",IF(((AK280/AC280-1)*100)&gt;100,"NM",IF(((AK280/AC280-1)*100)&lt;-50,"NM",(AK280/AC280-1)*100)))</f>
        <v>NM</v>
      </c>
      <c r="AM280" s="178">
        <f>AM276-AM279</f>
        <v>27.699999999999989</v>
      </c>
      <c r="AN280" s="79">
        <f>IF(ISERROR((AM280/AE280-1)*100),"NA",IF(((AM280/AE280-1)*100)&gt;100,"NM",IF(((AM280/AE280-1)*100)&lt;-50,"NM",(AM280/AE280-1)*100)))</f>
        <v>-7.6666666666668775</v>
      </c>
      <c r="AO280" s="178">
        <f>AO276-AO279</f>
        <v>29.699999999999989</v>
      </c>
      <c r="AP280" s="79">
        <f>IF(ISERROR((AO280/AG280-1)*100),"NA",IF(((AO280/AG280-1)*100)&gt;100,"NM",IF(((AO280/AG280-1)*100)&lt;-50,"NM",(AO280/AG280-1)*100)))</f>
        <v>-10.542168674698804</v>
      </c>
      <c r="AQ280" s="178">
        <f>AQ276-AQ279</f>
        <v>33.700000000000045</v>
      </c>
      <c r="AR280" s="79">
        <f>IF(ISERROR((AQ280/AI280-1)*100),"NA",IF(((AQ280/AI280-1)*100)&gt;100,"NM",IF(((AQ280/AI280-1)*100)&lt;-50,"NM",(AQ280/AI280-1)*100)))</f>
        <v>-10.846560846560616</v>
      </c>
      <c r="AS280" s="178">
        <f>AS276-AS279</f>
        <v>27.900000000000034</v>
      </c>
      <c r="AT280" s="81">
        <f>IF(ISERROR((AS280/AK280-1)*100),"NA",IF(((AS280/AK280-1)*100)&gt;100,"NM",IF(((AS280/AK280-1)*100)&lt;-50,"NM",(AS280/AK280-1)*100)))</f>
        <v>20.779220779221099</v>
      </c>
      <c r="AU280" s="178">
        <f>AU276-AU279</f>
        <v>33.199999999999989</v>
      </c>
      <c r="AV280" s="81">
        <f>IF(ISERROR((AU280/AM280-1)*100),"NA",IF(((AU280/AM280-1)*100)&gt;100,"NM",IF(((AU280/AM280-1)*100)&lt;-50,"NM",(AU280/AM280-1)*100)))</f>
        <v>19.855595667870052</v>
      </c>
      <c r="AW280" s="178">
        <f>AW276-AW279</f>
        <v>28.699999999999989</v>
      </c>
      <c r="AX280" s="81">
        <f>IF(ISERROR((AW280/AO280-1)*100),"NA",IF(((AW280/AO280-1)*100)&gt;100,"NM",IF(((AW280/AO280-1)*100)&lt;-50,"NM",(AW280/AO280-1)*100)))</f>
        <v>-3.3670033670033628</v>
      </c>
      <c r="AY280" s="178">
        <f>AY276-AY279</f>
        <v>28.699999999999989</v>
      </c>
      <c r="AZ280" s="81">
        <f>IF(ISERROR((AY280/AQ280-1)*100),"NA",IF(((AY280/AQ280-1)*100)&gt;100,"NM",IF(((AY280/AQ280-1)*100)&lt;-50,"NM",(AY280/AQ280-1)*100)))</f>
        <v>-14.836795252225665</v>
      </c>
      <c r="BA280" s="178">
        <f>BA276-BA279</f>
        <v>22.5</v>
      </c>
      <c r="BB280" s="81">
        <f>IF(ISERROR((BA280/AS280-1)*100),"NA",IF(((BA280/AS280-1)*100)&gt;100,"NM",IF(((BA280/AS280-1)*100)&lt;-50,"NM",(BA280/AS280-1)*100)))</f>
        <v>-19.354838709677512</v>
      </c>
      <c r="BC280" s="178">
        <f>BC276-BC279</f>
        <v>29.400000000000034</v>
      </c>
      <c r="BD280" s="81">
        <f>IF(ISERROR((BC280/AU280-1)*100),"NA",IF(((BC280/AU280-1)*100)&gt;100,"NM",IF(((BC280/AU280-1)*100)&lt;-50,"NM",(BC280/AU280-1)*100)))</f>
        <v>-11.445783132529986</v>
      </c>
      <c r="BE280" s="178">
        <f>BE276-BE279</f>
        <v>29.399999999999977</v>
      </c>
      <c r="BF280" s="81">
        <f>IF(ISERROR((BE280/AW280-1)*100),"NA",IF(((BE280/AW280-1)*100)&gt;100,"NM",IF(((BE280/AW280-1)*100)&lt;-50,"NM",(BE280/AW280-1)*100)))</f>
        <v>2.4390243902438602</v>
      </c>
      <c r="BG280" s="178">
        <f>BG276-BG279</f>
        <v>15</v>
      </c>
      <c r="BH280" s="81">
        <f>IF(ISERROR((BG280/AY280-1)*100),"NA",IF(((BG280/AY280-1)*100)&gt;100,"NM",IF(((BG280/AY280-1)*100)&lt;-50,"NM",(BG280/AY280-1)*100)))</f>
        <v>-47.735191637630635</v>
      </c>
      <c r="BI280" s="178">
        <f>BI276-BI279</f>
        <v>2.8999999999999773</v>
      </c>
      <c r="BJ280" s="81" t="str">
        <f>IF(ISERROR((BI280/BA280-1)*100),"NA",IF(((BI280/BA280-1)*100)&gt;100,"NM",IF(((BI280/BA280-1)*100)&lt;-50,"NM",(BI280/BA280-1)*100)))</f>
        <v>NM</v>
      </c>
      <c r="BK280" s="178">
        <f>BK276-BK279</f>
        <v>3.1999999999999886</v>
      </c>
      <c r="BL280" s="81" t="str">
        <f>IF(ISERROR((BK280/BC280-1)*100),"NA",IF(((BK280/BC280-1)*100)&gt;100,"NM",IF(((BK280/BC280-1)*100)&lt;-50,"NM",(BK280/BC280-1)*100)))</f>
        <v>NM</v>
      </c>
      <c r="BM280" s="178">
        <f>BM276-BM279</f>
        <v>7.1999999999999433</v>
      </c>
      <c r="BN280" s="81" t="str">
        <f>IF(ISERROR((BM280/BE280-1)*100),"NA",IF(((BM280/BE280-1)*100)&gt;100,"NM",IF(((BM280/BE280-1)*100)&lt;-50,"NM",(BM280/BE280-1)*100)))</f>
        <v>NM</v>
      </c>
      <c r="BO280" s="178">
        <f>BO276-BO279</f>
        <v>7.1000000000000227</v>
      </c>
      <c r="BP280" s="81" t="str">
        <f>IF(ISERROR((BO280/BG280-1)*100),"NA",IF(((BO280/BG280-1)*100)&gt;100,"NM",IF(((BO280/BG280-1)*100)&lt;-50,"NM",(BO280/BG280-1)*100)))</f>
        <v>NM</v>
      </c>
      <c r="BQ280" s="178">
        <f>BQ276-BQ279</f>
        <v>11.299999999999955</v>
      </c>
      <c r="BR280" s="81" t="str">
        <f>IF(ISERROR((BQ280/BI280-1)*100),"NA",IF(((BQ280/BI280-1)*100)&gt;100,"NM",IF(((BQ280/BI280-1)*100)&lt;-50,"NM",(BQ280/BI280-1)*100)))</f>
        <v>NM</v>
      </c>
      <c r="BS280" s="178">
        <f>BS276-BS279</f>
        <v>9.9999999999999432</v>
      </c>
      <c r="BT280" s="81" t="str">
        <f>IF(ISERROR((BS280/BK280-1)*100),"NA",IF(((BS280/BK280-1)*100)&gt;100,"NM",IF(((BS280/BK280-1)*100)&lt;-50,"NM",(BS280/BK280-1)*100)))</f>
        <v>NM</v>
      </c>
      <c r="BU280" s="178">
        <f>BU276-BU279</f>
        <v>7.1999999999999886</v>
      </c>
      <c r="BV280" s="81">
        <f>IF(ISERROR((BU280/BM280-1)*100),"NA",IF(((BU280/BM280-1)*100)&gt;100,"NM",IF(((BU280/BM280-1)*100)&lt;-50,"NM",(BU280/BM280-1)*100)))</f>
        <v>6.2172489379008766E-13</v>
      </c>
      <c r="BW280" s="178">
        <f>BW276-BW279</f>
        <v>5.8000000000000114</v>
      </c>
      <c r="BX280" s="81">
        <f>IF(ISERROR((BW280/BO280-1)*100),"NA",IF(((BW280/BO280-1)*100)&gt;100,"NM",IF(((BW280/BO280-1)*100)&lt;-50,"NM",(BW280/BO280-1)*100)))</f>
        <v>-18.309859154929676</v>
      </c>
      <c r="BY280" s="178">
        <f>BY276-BY279</f>
        <v>35.899999999999977</v>
      </c>
      <c r="BZ280" s="81" t="str">
        <f>IF(ISERROR((BY280/BQ280-1)*100),"NA",IF(((BY280/BQ280-1)*100)&gt;100,"NM",IF(((BY280/BQ280-1)*100)&lt;-50,"NM",(BY280/BQ280-1)*100)))</f>
        <v>NM</v>
      </c>
      <c r="CA280" s="178">
        <f>CA276-CA279</f>
        <v>23.799999999999955</v>
      </c>
      <c r="CB280" s="81" t="str">
        <f>IF(ISERROR((CA280/BS280-1)*100),"NA",IF(((CA280/BS280-1)*100)&gt;100,"NM",IF(((CA280/BS280-1)*100)&lt;-50,"NM",(CA280/BS280-1)*100)))</f>
        <v>NM</v>
      </c>
      <c r="CC280" s="178">
        <f>CC276-CC279</f>
        <v>29.700000000000045</v>
      </c>
      <c r="CD280" s="81" t="str">
        <f>IF(ISERROR((CC280/BU280-1)*100),"NA",IF(((CC280/BU280-1)*100)&gt;100,"NM",IF(((CC280/BU280-1)*100)&lt;-50,"NM",(CC280/BU280-1)*100)))</f>
        <v>NM</v>
      </c>
      <c r="CE280" s="178">
        <f>CE276-CE279</f>
        <v>29.200000000000159</v>
      </c>
      <c r="CF280" s="81" t="str">
        <f>IF(ISERROR((CE280/BW280-1)*100),"NA",IF(((CE280/BW280-1)*100)&gt;100,"NM",IF(((CE280/BW280-1)*100)&lt;-50,"NM",(CE280/BW280-1)*100)))</f>
        <v>NM</v>
      </c>
      <c r="CG280" s="178">
        <f>CG276-CG279</f>
        <v>31.899999999999864</v>
      </c>
      <c r="CH280" s="81">
        <f>IF(ISERROR((CG280/BY280-1)*100),"NA",IF(((CG280/BY280-1)*100)&gt;100,"NM",IF(((CG280/BY280-1)*100)&lt;-50,"NM",(CG280/BY280-1)*100)))</f>
        <v>-11.142061281337368</v>
      </c>
      <c r="CI280" s="178">
        <f>CI276-CI279</f>
        <v>30.400000000000205</v>
      </c>
      <c r="CJ280" s="81">
        <f>IF(ISERROR((CI280/CA280-1)*100),"NA",IF(((CI280/CA280-1)*100)&gt;100,"NM",IF(((CI280/CA280-1)*100)&lt;-50,"NM",(CI280/CA280-1)*100)))</f>
        <v>27.731092436975892</v>
      </c>
      <c r="CK280" s="178">
        <f>CK276-CK279</f>
        <v>30.799999999999955</v>
      </c>
      <c r="CL280" s="81">
        <f>IF(ISERROR((CK280/CC280-1)*100),"NA",IF(((CK280/CC280-1)*100)&gt;100,"NM",IF(((CK280/CC280-1)*100)&lt;-50,"NM",(CK280/CC280-1)*100)))</f>
        <v>3.7037037037033871</v>
      </c>
      <c r="CM280" s="178">
        <f>CM276-CM279</f>
        <v>30.799999999999841</v>
      </c>
      <c r="CN280" s="81">
        <f>IF(ISERROR((CM280/CE280-1)*100),"NA",IF(((CM280/CE280-1)*100)&gt;100,"NM",IF(((CM280/CE280-1)*100)&lt;-50,"NM",(CM280/CE280-1)*100)))</f>
        <v>5.47945205479341</v>
      </c>
      <c r="CO280" s="178">
        <f>CO276-CO279</f>
        <v>15.399999999999977</v>
      </c>
      <c r="CP280" s="81" t="str">
        <f>IF(ISERROR((CO280/CG280-1)*100),"NA",IF(((CO280/CG280-1)*100)&gt;100,"NM",IF(((CO280/CG280-1)*100)&lt;-50,"NM",(CO280/CG280-1)*100)))</f>
        <v>NM</v>
      </c>
      <c r="CQ280" s="178">
        <f>CQ276-CQ279</f>
        <v>25.700000000000045</v>
      </c>
      <c r="CR280" s="81">
        <f>IF(ISERROR((CQ280/CI280-1)*100),"NA",IF(((CQ280/CI280-1)*100)&gt;100,"NM",IF(((CQ280/CI280-1)*100)&lt;-50,"NM",(CQ280/CI280-1)*100)))</f>
        <v>-15.460526315789892</v>
      </c>
      <c r="CS280" s="178">
        <f>CS276-CS279</f>
        <v>25.600000000000023</v>
      </c>
      <c r="CT280" s="81">
        <f>IF(ISERROR((CS280/CK280-1)*100),"NA",IF(((CS280/CK280-1)*100)&gt;100,"NM",IF(((CS280/CK280-1)*100)&lt;-50,"NM",(CS280/CK280-1)*100)))</f>
        <v>-16.883116883116688</v>
      </c>
      <c r="CU280" s="178">
        <f>CU276-CU279</f>
        <v>28.799999999999955</v>
      </c>
      <c r="CV280" s="81">
        <f>IF(ISERROR((CU280/CM280-1)*100),"NA",IF(((CU280/CM280-1)*100)&gt;100,"NM",IF(((CU280/CM280-1)*100)&lt;-50,"NM",(CU280/CM280-1)*100)))</f>
        <v>-6.4935064935061622</v>
      </c>
      <c r="CW280" s="178">
        <f>CW276-CW279</f>
        <v>26.600000000000136</v>
      </c>
      <c r="CX280" s="195">
        <f>IF(ISERROR((CW280/CO280-1)*100),"NA",IF(((CW280/CO280-1)*100)&gt;100,"NM",IF(((CW280/CO280-1)*100)&lt;-50,"NM",(CW280/CO280-1)*100)))</f>
        <v>72.727272727273856</v>
      </c>
      <c r="CY280" s="178">
        <f>CY276-CY279</f>
        <v>29.100000000000023</v>
      </c>
      <c r="CZ280" s="195">
        <f>IF(ISERROR((CY280/CQ280-1)*100),"NA",IF(((CY280/CQ280-1)*100)&gt;100,"NM",IF(((CY280/CQ280-1)*100)&lt;-50,"NM",(CY280/CQ280-1)*100)))</f>
        <v>13.229571984435683</v>
      </c>
      <c r="DA280" s="178">
        <f>DA276-DA279</f>
        <v>25</v>
      </c>
      <c r="DB280" s="195">
        <f>IF(ISERROR((DA280/CS280-1)*100),"NA",IF(((DA280/CS280-1)*100)&gt;100,"NM",IF(((DA280/CS280-1)*100)&lt;-50,"NM",(DA280/CS280-1)*100)))</f>
        <v>-2.3437500000000888</v>
      </c>
      <c r="DC280" s="178">
        <f>DC276-DC279</f>
        <v>26.600000000000023</v>
      </c>
      <c r="DD280" s="195">
        <f>IF(ISERROR((DC280/CU280-1)*100),"NA",IF(((DC280/CU280-1)*100)&gt;100,"NM",IF(((DC280/CU280-1)*100)&lt;-50,"NM",(DC280/CU280-1)*100)))</f>
        <v>-7.6388888888886619</v>
      </c>
      <c r="DE280" s="178">
        <f>DE276-DE279</f>
        <v>28.299999999999955</v>
      </c>
      <c r="DF280" s="195">
        <f>IF(ISERROR((DE280/CW280-1)*100),"NA",IF(((DE280/CW280-1)*100)&gt;100,"NM",IF(((DE280/CW280-1)*100)&lt;-50,"NM",(DE280/CW280-1)*100)))</f>
        <v>6.3909774436083033</v>
      </c>
      <c r="DG280" s="178">
        <f>DG276-DG279</f>
        <v>36.600000000000136</v>
      </c>
      <c r="DH280" s="195">
        <f>IF(ISERROR((DG280/CY280-1)*100),"NA",IF(((DG280/CY280-1)*100)&gt;100,"NM",IF(((DG280/CY280-1)*100)&lt;-50,"NM",(DG280/CY280-1)*100)))</f>
        <v>25.773195876289034</v>
      </c>
      <c r="DI280" s="178">
        <f>DI276-DI279</f>
        <v>25.700000000000045</v>
      </c>
      <c r="DJ280" s="195">
        <f>IF(ISERROR((DI280/DA280-1)*100),"NA",IF(((DI280/DA280-1)*100)&gt;100,"NM",IF(((DI280/DA280-1)*100)&lt;-50,"NM",(DI280/DA280-1)*100)))</f>
        <v>2.8000000000001801</v>
      </c>
      <c r="DK280" s="178">
        <f>DK276-DK279</f>
        <v>29.399999999999977</v>
      </c>
      <c r="DL280" s="81">
        <f>IF(ISERROR((DK280/DC280-1)*100),"NA",IF(((DK280/DC280-1)*100)&gt;100,"NM",IF(((DK280/DC280-1)*100)&lt;-50,"NM",(DK280/DC280-1)*100)))</f>
        <v>10.526315789473495</v>
      </c>
      <c r="DM280" s="178">
        <f>DM276-DM279</f>
        <v>26.699999999999932</v>
      </c>
      <c r="DN280" s="81">
        <f>IF(ISERROR((DM280/DE280-1)*100),"NA",IF(((DM280/DE280-1)*100)&gt;100,"NM",IF(((DM280/DE280-1)*100)&lt;-50,"NM",(DM280/DE280-1)*100)))</f>
        <v>-5.6537102473499079</v>
      </c>
      <c r="DO280" s="178">
        <f>DO276-DO279</f>
        <v>36.599999999999909</v>
      </c>
      <c r="DP280" s="81">
        <f>IF(ISERROR((DO280/DG280-1)*100),"NA",IF(((DO280/DG280-1)*100)&gt;100,"NM",IF(((DO280/DG280-1)*100)&lt;-50,"NM",(DO280/DG280-1)*100)))</f>
        <v>-6.2172489379008766E-13</v>
      </c>
      <c r="DQ280" s="178">
        <f>DQ276-DQ279</f>
        <v>27.700000000000045</v>
      </c>
      <c r="DR280" s="81">
        <f>IF(ISERROR((DQ280/DI280-1)*100),"NA",IF(((DQ280/DI280-1)*100)&gt;100,"NM",IF(((DQ280/DI280-1)*100)&lt;-50,"NM",(DQ280/DI280-1)*100)))</f>
        <v>7.7821011673151697</v>
      </c>
      <c r="DS280" s="178">
        <f>DS276-DS279</f>
        <v>28.099999999999795</v>
      </c>
      <c r="DT280" s="81">
        <f>IF(ISERROR((DS280/DK280-1)*100),"NA",IF(((DS280/DK280-1)*100)&gt;100,"NM",IF(((DS280/DK280-1)*100)&lt;-50,"NM",(DS280/DK280-1)*100)))</f>
        <v>-4.4217687074836203</v>
      </c>
      <c r="DU280" s="178">
        <f>DU276-DU279</f>
        <v>33.699999999999818</v>
      </c>
      <c r="DV280" s="81">
        <f>IF(ISERROR((DU280/DM280-1)*100),"NA",IF(((DU280/DM280-1)*100)&gt;100,"NM",IF(((DU280/DM280-1)*100)&lt;-50,"NM",(DU280/DM280-1)*100)))</f>
        <v>26.217228464419119</v>
      </c>
      <c r="DW280" s="178">
        <f>DW276-DW279</f>
        <v>32.599999999999909</v>
      </c>
      <c r="DX280" s="81">
        <f>IF(ISERROR((DW280/DO280-1)*100),"NA",IF(((DW280/DO280-1)*100)&gt;100,"NM",IF(((DW280/DO280-1)*100)&lt;-50,"NM",(DW280/DO280-1)*100)))</f>
        <v>-10.928961748633903</v>
      </c>
      <c r="DY280" s="178">
        <f>DY276-DY279</f>
        <v>28.600000000000023</v>
      </c>
      <c r="DZ280" s="81">
        <f>IF(ISERROR((DY280/DQ280-1)*100),"NA",IF(((DY280/DQ280-1)*100)&gt;100,"NM",IF(((DY280/DQ280-1)*100)&lt;-50,"NM",(DY280/DQ280-1)*100)))</f>
        <v>3.2490974729241007</v>
      </c>
      <c r="EA280" s="178">
        <f>EA276-EA279</f>
        <v>34.600000000000023</v>
      </c>
      <c r="EB280" s="81">
        <f>IF(ISERROR((EA280/DS280-1)*100),"NA",IF(((EA280/DS280-1)*100)&gt;100,"NM",IF(((EA280/DS280-1)*100)&lt;-50,"NM",(EA280/DS280-1)*100)))</f>
        <v>23.131672597865748</v>
      </c>
      <c r="EC280" s="178">
        <f>EC276-EC279</f>
        <v>31.599999999999909</v>
      </c>
      <c r="ED280" s="81">
        <f t="shared" si="949"/>
        <v>-6.2314540059344781</v>
      </c>
      <c r="EE280" s="178">
        <f>EE276-EE279</f>
        <v>32.600000000000023</v>
      </c>
      <c r="EF280" s="81">
        <f t="shared" si="950"/>
        <v>3.5527136788005009E-13</v>
      </c>
      <c r="EG280" s="178">
        <f>EG276-EG279</f>
        <v>26.600000000000023</v>
      </c>
      <c r="EH280" s="81">
        <f t="shared" si="951"/>
        <v>-6.9930069930069898</v>
      </c>
      <c r="EI280" s="178">
        <f>EI276-EI279</f>
        <v>33.099999999999909</v>
      </c>
      <c r="EJ280" s="81">
        <f t="shared" si="952"/>
        <v>-4.3352601156072641</v>
      </c>
      <c r="EK280" s="178">
        <f t="shared" ref="EK280:EQ280" si="957">EK276-EK279</f>
        <v>30.080092226633383</v>
      </c>
      <c r="EL280" s="81">
        <f t="shared" si="953"/>
        <v>-4.8098347258434533</v>
      </c>
      <c r="EM280" s="178">
        <f t="shared" si="957"/>
        <v>29.441322464516929</v>
      </c>
      <c r="EN280" s="81">
        <f t="shared" si="954"/>
        <v>-9.6891948941199129</v>
      </c>
      <c r="EO280" s="178">
        <f t="shared" si="957"/>
        <v>28.809868919704627</v>
      </c>
      <c r="EP280" s="81">
        <f t="shared" si="955"/>
        <v>8.3077778936263336</v>
      </c>
      <c r="EQ280" s="178">
        <f t="shared" si="957"/>
        <v>28.185661335753935</v>
      </c>
      <c r="ER280" s="81">
        <f t="shared" si="956"/>
        <v>-14.846944604972778</v>
      </c>
      <c r="ES280" s="82"/>
      <c r="ET280" s="465"/>
      <c r="EU280" s="82"/>
      <c r="EV280" s="171"/>
      <c r="EW280" s="79"/>
      <c r="EX280" s="171"/>
      <c r="EY280" s="79"/>
      <c r="EZ280" s="171"/>
      <c r="FA280" s="79"/>
      <c r="FB280" s="171"/>
      <c r="FC280" s="79"/>
      <c r="FD280" s="178">
        <f>FD276-FD279</f>
        <v>83</v>
      </c>
      <c r="FE280" s="79" t="str">
        <f>IF(ISERROR((FD280/FB280-1)*100),"NA",IF(((FD280/FB280-1)*100)&gt;100,"NM",IF(((FD280/FB280-1)*100)&lt;-50,"NM",(FD280/FB280-1)*100)))</f>
        <v>NA</v>
      </c>
      <c r="FF280" s="178">
        <f>FF276-FF279</f>
        <v>62.500000000000227</v>
      </c>
      <c r="FG280" s="79">
        <f>IF(ISERROR((FF280/FD280-1)*100),"NA",IF(((FF280/FD280-1)*100)&gt;100,"NM",IF(((FF280/FD280-1)*100)&lt;-50,"NM",(FF280/FD280-1)*100)))</f>
        <v>-24.69879518072262</v>
      </c>
      <c r="FH280" s="178">
        <f>FH276-FH279</f>
        <v>-822.80000000000041</v>
      </c>
      <c r="FI280" s="79" t="str">
        <f>IF(ISERROR((FH280/FF280-1)*100),"NA",IF(((FH280/FF280-1)*100)&gt;100,"NM",IF(((FH280/FF280-1)*100)&lt;-50,"NM",(FH280/FF280-1)*100)))</f>
        <v>NM</v>
      </c>
      <c r="FJ280" s="178">
        <f>FJ276-FJ279</f>
        <v>114.20000000000005</v>
      </c>
      <c r="FK280" s="79" t="str">
        <f>IF(ISERROR((FJ280/FH280-1)*100),"NA",IF(((FJ280/FH280-1)*100)&gt;100,"NM",IF(((FJ280/FH280-1)*100)&lt;-50,"NM",(FJ280/FH280-1)*100)))</f>
        <v>NM</v>
      </c>
      <c r="FL280" s="178">
        <f>FL276-FL279</f>
        <v>118.49999999999955</v>
      </c>
      <c r="FM280" s="79">
        <f>IF(ISERROR((FL280/FJ280-1)*100),"NA",IF(((FL280/FJ280-1)*100)&gt;100,"NM",IF(((FL280/FJ280-1)*100)&lt;-50,"NM",(FL280/FJ280-1)*100)))</f>
        <v>3.7653239929942961</v>
      </c>
      <c r="FN280" s="178">
        <f>FN276-FN279</f>
        <v>96.299999999999955</v>
      </c>
      <c r="FO280" s="79">
        <f>IF(ISERROR((FN280/FL280-1)*100),"NA",IF(((FN280/FL280-1)*100)&gt;100,"NM",IF(((FN280/FL280-1)*100)&lt;-50,"NM",(FN280/FL280-1)*100)))</f>
        <v>-18.734177215189597</v>
      </c>
      <c r="FP280" s="178">
        <f>FP276-FP279</f>
        <v>20.39999999999959</v>
      </c>
      <c r="FQ280" s="79" t="str">
        <f>IF(ISERROR((FP280/FN280-1)*100),"NA",IF(((FP280/FN280-1)*100)&gt;100,"NM",IF(((FP280/FN280-1)*100)&lt;-50,"NM",(FP280/FN280-1)*100)))</f>
        <v>NM</v>
      </c>
      <c r="FR280" s="178">
        <f>FR276-FR279</f>
        <v>123.99999999999909</v>
      </c>
      <c r="FS280" s="79" t="str">
        <f>IF(ISERROR((FR280/FP280-1)*100),"NA",IF(((FR280/FP280-1)*100)&gt;100,"NM",IF(((FR280/FP280-1)*100)&lt;-50,"NM",(FR280/FP280-1)*100)))</f>
        <v>NM</v>
      </c>
      <c r="FT280" s="178">
        <f>FT276-FT279</f>
        <v>118.59999999999991</v>
      </c>
      <c r="FU280" s="79">
        <f>IF(ISERROR((FT280/FR280-1)*100),"NA",IF(((FT280/FR280-1)*100)&gt;100,"NM",IF(((FT280/FR280-1)*100)&lt;-50,"NM",(FT280/FR280-1)*100)))</f>
        <v>-4.3548387096767893</v>
      </c>
      <c r="FV280" s="178">
        <f>FV276-FV279</f>
        <v>123.89999999999975</v>
      </c>
      <c r="FW280" s="79">
        <f>IF(ISERROR((FV280/FT280-1)*100),"NA",IF(((FV280/FT280-1)*100)&gt;100,"NM",IF(((FV280/FT280-1)*100)&lt;-50,"NM",(FV280/FT280-1)*100)))</f>
        <v>4.4688026981448914</v>
      </c>
      <c r="FX280" s="178">
        <f>FX276-FX279</f>
        <v>94.699999999999818</v>
      </c>
      <c r="FY280" s="79">
        <f>IF(ISERROR((FX280/FV280-1)*100),"NA",IF(((FX280/FV280-1)*100)&gt;100,"NM",IF(((FX280/FV280-1)*100)&lt;-50,"NM",(FX280/FV280-1)*100)))</f>
        <v>-23.567393058918473</v>
      </c>
      <c r="FZ280" s="178">
        <f>FZ276-FZ279</f>
        <v>107.29999999999973</v>
      </c>
      <c r="GA280" s="79">
        <f>IF(ISERROR((FZ280/FX280-1)*100),"NA",IF(((FZ280/FX280-1)*100)&gt;100,"NM",IF(((FZ280/FX280-1)*100)&lt;-50,"NM",(FZ280/FX280-1)*100)))</f>
        <v>13.305174234424433</v>
      </c>
      <c r="GB280" s="178">
        <f>GB276-GB279</f>
        <v>120.00000000000023</v>
      </c>
      <c r="GC280" s="79">
        <f>IF(ISERROR((GB280/FZ280-1)*100),"NA",IF(((GB280/FZ280-1)*100)&gt;100,"NM",IF(((GB280/FZ280-1)*100)&lt;-50,"NM",(GB280/FZ280-1)*100)))</f>
        <v>11.835973904939912</v>
      </c>
      <c r="GD280" s="178">
        <f>GD276-GD279</f>
        <v>119.09999999999991</v>
      </c>
      <c r="GE280" s="79">
        <f>IF(ISERROR((GD280/GB280-1)*100),"NA",IF(((GD280/GB280-1)*100)&gt;100,"NM",IF(((GD280/GB280-1)*100)&lt;-50,"NM",(GD280/GB280-1)*100)))</f>
        <v>-0.75000000000026157</v>
      </c>
      <c r="GF280" s="178">
        <f>GF276-GF279</f>
        <v>129.50000000000045</v>
      </c>
      <c r="GG280" s="79">
        <f>IF(ISERROR((GF280/GD280-1)*100),"NA",IF(((GF280/GD280-1)*100)&gt;100,"NM",IF(((GF280/GD280-1)*100)&lt;-50,"NM",(GF280/GD280-1)*100)))</f>
        <v>8.7321578505462192</v>
      </c>
      <c r="GH280" s="178">
        <f>GH276-GH279</f>
        <v>123.89999999999964</v>
      </c>
      <c r="GI280" s="79">
        <f>IF(ISERROR((GH280/GF280-1)*100),"NA",IF(((GH280/GF280-1)*100)&gt;100,"NM",IF(((GH280/GF280-1)*100)&lt;-50,"NM",(GH280/GF280-1)*100)))</f>
        <v>-4.3243243243249463</v>
      </c>
      <c r="GJ280" s="178">
        <f>GJ276-GJ279</f>
        <v>116.51694494660887</v>
      </c>
      <c r="GK280" s="79">
        <f>IF(ISERROR((GJ280/GH280-1)*100),"NA",IF(((GJ280/GH280-1)*100)&gt;100,"NM",IF(((GJ280/GH280-1)*100)&lt;-50,"NM",(GJ280/GH280-1)*100)))</f>
        <v>-5.9588822061265372</v>
      </c>
      <c r="GL280" s="178">
        <f>GL276-GL279</f>
        <v>113.75875823842989</v>
      </c>
      <c r="GM280" s="79">
        <f>IF(ISERROR((GL280/GJ280-1)*100),"NA",IF(((GL280/GJ280-1)*100)&gt;100,"NM",IF(((GL280/GJ280-1)*100)&lt;-50,"NM",(GL280/GJ280-1)*100)))</f>
        <v>-2.3671979294023315</v>
      </c>
      <c r="GN280" s="178">
        <f>GN276-GN279</f>
        <v>111.06857069869147</v>
      </c>
      <c r="GO280" s="79">
        <f>IF(ISERROR((GN280/GL280-1)*100),"NA",IF(((GN280/GL280-1)*100)&gt;100,"NM",IF(((GN280/GL280-1)*100)&lt;-50,"NM",(GN280/GL280-1)*100)))</f>
        <v>-2.3648179545877168</v>
      </c>
      <c r="GP280" s="178">
        <f>GP276-GP279</f>
        <v>108.44463728099754</v>
      </c>
      <c r="GQ280" s="79">
        <f>IF(ISERROR((GP280/GN280-1)*100),"NA",IF(((GP280/GN280-1)*100)&gt;100,"NM",IF(((GP280/GN280-1)*100)&lt;-50,"NM",(GP280/GN280-1)*100)))</f>
        <v>-2.3624445702215668</v>
      </c>
      <c r="GR280" s="178">
        <f>GR276-GR279</f>
        <v>105.88525939176861</v>
      </c>
      <c r="GS280" s="79">
        <f>IF(ISERROR((GR280/GP280-1)*100),"NA",IF(((GR280/GP280-1)*100)&gt;100,"NM",IF(((GR280/GP280-1)*100)&lt;-50,"NM",(GR280/GP280-1)*100)))</f>
        <v>-2.3600778732812411</v>
      </c>
      <c r="GT280" s="79">
        <f>IF(ISERROR(((GR280/GH280)^0.2-1)*100),"NA",(IF(OR(((GR280/GH280)^0.2-1)*100&gt;99,((GR280/GH280)^0.2-1)*100&lt;-50),"NM",(((GR280/GH280)^0.2-1)*100))))</f>
        <v>-3.0935153109152957</v>
      </c>
    </row>
    <row r="281" spans="1:286" ht="12.75" customHeight="1" x14ac:dyDescent="0.2">
      <c r="A281" s="1"/>
      <c r="B281" s="68"/>
      <c r="C281" s="79"/>
      <c r="D281" s="79"/>
      <c r="E281" s="178"/>
      <c r="F281" s="171"/>
      <c r="G281" s="178"/>
      <c r="H281" s="171"/>
      <c r="I281" s="178"/>
      <c r="J281" s="171"/>
      <c r="K281" s="178"/>
      <c r="L281" s="140"/>
      <c r="M281" s="178"/>
      <c r="N281" s="79"/>
      <c r="O281" s="178"/>
      <c r="P281" s="79"/>
      <c r="Q281" s="178"/>
      <c r="R281" s="79"/>
      <c r="S281" s="178"/>
      <c r="T281" s="79"/>
      <c r="U281" s="178"/>
      <c r="V281" s="79"/>
      <c r="W281" s="178"/>
      <c r="X281" s="79"/>
      <c r="Y281" s="178"/>
      <c r="Z281" s="79"/>
      <c r="AA281" s="227"/>
      <c r="AB281" s="79"/>
      <c r="AC281" s="178"/>
      <c r="AD281" s="79"/>
      <c r="AE281" s="178"/>
      <c r="AF281" s="79"/>
      <c r="AG281" s="178"/>
      <c r="AH281" s="79"/>
      <c r="AI281" s="178"/>
      <c r="AJ281" s="79"/>
      <c r="AK281" s="178"/>
      <c r="AL281" s="79"/>
      <c r="AM281" s="178"/>
      <c r="AN281" s="79"/>
      <c r="AO281" s="178"/>
      <c r="AP281" s="79"/>
      <c r="AQ281" s="178"/>
      <c r="AR281" s="79"/>
      <c r="AS281" s="178"/>
      <c r="AT281" s="81"/>
      <c r="AU281" s="178"/>
      <c r="AV281" s="81"/>
      <c r="AW281" s="178"/>
      <c r="AX281" s="81"/>
      <c r="AY281" s="178"/>
      <c r="AZ281" s="81"/>
      <c r="BA281" s="178"/>
      <c r="BB281" s="81"/>
      <c r="BC281" s="178"/>
      <c r="BD281" s="81"/>
      <c r="BE281" s="178"/>
      <c r="BF281" s="81"/>
      <c r="BG281" s="178"/>
      <c r="BH281" s="81"/>
      <c r="BI281" s="178"/>
      <c r="BJ281" s="81"/>
      <c r="BK281" s="178"/>
      <c r="BL281" s="81"/>
      <c r="BM281" s="178"/>
      <c r="BN281" s="81"/>
      <c r="BO281" s="178"/>
      <c r="BP281" s="81"/>
      <c r="BQ281" s="178"/>
      <c r="BR281" s="81"/>
      <c r="BS281" s="178"/>
      <c r="BT281" s="81"/>
      <c r="BU281" s="178"/>
      <c r="BV281" s="81"/>
      <c r="BW281" s="178"/>
      <c r="BX281" s="81"/>
      <c r="BY281" s="178"/>
      <c r="BZ281" s="81"/>
      <c r="CA281" s="178"/>
      <c r="CB281" s="81"/>
      <c r="CC281" s="178"/>
      <c r="CD281" s="81"/>
      <c r="CE281" s="178"/>
      <c r="CF281" s="81"/>
      <c r="CG281" s="178"/>
      <c r="CH281" s="81"/>
      <c r="CI281" s="178"/>
      <c r="CJ281" s="81"/>
      <c r="CK281" s="178"/>
      <c r="CL281" s="81"/>
      <c r="CM281" s="178"/>
      <c r="CN281" s="81"/>
      <c r="CO281" s="178"/>
      <c r="CP281" s="81"/>
      <c r="CQ281" s="178"/>
      <c r="CR281" s="81"/>
      <c r="CS281" s="178"/>
      <c r="CT281" s="81"/>
      <c r="CU281" s="178"/>
      <c r="CV281" s="81"/>
      <c r="CW281" s="178"/>
      <c r="CX281" s="81"/>
      <c r="CY281" s="178"/>
      <c r="CZ281" s="81"/>
      <c r="DA281" s="178"/>
      <c r="DB281" s="81"/>
      <c r="DC281" s="178"/>
      <c r="DD281" s="81"/>
      <c r="DE281" s="178"/>
      <c r="DF281" s="81"/>
      <c r="DG281" s="178"/>
      <c r="DH281" s="81"/>
      <c r="DI281" s="178"/>
      <c r="DJ281" s="81"/>
      <c r="DK281" s="178"/>
      <c r="DL281" s="81"/>
      <c r="DM281" s="178"/>
      <c r="DN281" s="81"/>
      <c r="DO281" s="178"/>
      <c r="DP281" s="81"/>
      <c r="DQ281" s="913"/>
      <c r="DR281" s="81"/>
      <c r="DS281" s="913"/>
      <c r="DT281" s="81"/>
      <c r="DU281" s="913"/>
      <c r="DV281" s="81"/>
      <c r="DW281" s="913"/>
      <c r="DX281" s="81"/>
      <c r="DY281" s="913"/>
      <c r="DZ281" s="81"/>
      <c r="EA281" s="913"/>
      <c r="EB281" s="81"/>
      <c r="EC281" s="913"/>
      <c r="ED281" s="81"/>
      <c r="EE281" s="913"/>
      <c r="EF281" s="81"/>
      <c r="EG281" s="913"/>
      <c r="EH281" s="81"/>
      <c r="EI281" s="913"/>
      <c r="EJ281" s="81"/>
      <c r="EK281" s="178"/>
      <c r="EL281" s="81"/>
      <c r="EM281" s="178"/>
      <c r="EN281" s="81"/>
      <c r="EO281" s="178"/>
      <c r="EP281" s="81"/>
      <c r="EQ281" s="178"/>
      <c r="ER281" s="81"/>
      <c r="ES281" s="82"/>
      <c r="ET281" s="465"/>
      <c r="EU281" s="82"/>
      <c r="EV281" s="171"/>
      <c r="EW281" s="79"/>
      <c r="EX281" s="171"/>
      <c r="EY281" s="79"/>
      <c r="EZ281" s="171"/>
      <c r="FA281" s="79"/>
      <c r="FB281" s="171"/>
      <c r="FC281" s="79"/>
      <c r="FD281" s="178"/>
      <c r="FE281" s="79"/>
      <c r="FF281" s="178"/>
      <c r="FG281" s="79"/>
      <c r="FH281" s="178"/>
      <c r="FI281" s="79"/>
      <c r="FJ281" s="178"/>
      <c r="FK281" s="79"/>
      <c r="FL281" s="178"/>
      <c r="FM281" s="79"/>
      <c r="FN281" s="178"/>
      <c r="FO281" s="79"/>
      <c r="FP281" s="178"/>
      <c r="FQ281" s="79"/>
      <c r="FR281" s="178"/>
      <c r="FS281" s="79"/>
      <c r="FT281" s="178"/>
      <c r="FU281" s="79"/>
      <c r="FV281" s="178"/>
      <c r="FW281" s="79"/>
      <c r="FX281" s="178"/>
      <c r="FY281" s="79"/>
      <c r="FZ281" s="178"/>
      <c r="GA281" s="79"/>
      <c r="GB281" s="178"/>
      <c r="GC281" s="79"/>
      <c r="GD281" s="178"/>
      <c r="GE281" s="79"/>
      <c r="GF281" s="178"/>
      <c r="GG281" s="79"/>
      <c r="GH281" s="178"/>
      <c r="GI281" s="79"/>
      <c r="GJ281" s="178"/>
      <c r="GK281" s="79"/>
      <c r="GL281" s="178"/>
      <c r="GM281" s="79"/>
      <c r="GN281" s="178"/>
      <c r="GO281" s="79"/>
      <c r="GP281" s="178"/>
      <c r="GQ281" s="79"/>
      <c r="GR281" s="178"/>
      <c r="GS281" s="79"/>
      <c r="GT281" s="79"/>
    </row>
    <row r="282" spans="1:286" s="589" customFormat="1" ht="12.75" customHeight="1" collapsed="1" x14ac:dyDescent="0.2">
      <c r="A282" s="581"/>
      <c r="B282" s="582" t="s">
        <v>512</v>
      </c>
      <c r="C282" s="583"/>
      <c r="D282" s="583"/>
      <c r="E282" s="584"/>
      <c r="F282" s="584"/>
      <c r="G282" s="584"/>
      <c r="H282" s="584"/>
      <c r="I282" s="584"/>
      <c r="J282" s="584"/>
      <c r="K282" s="584"/>
      <c r="L282" s="584"/>
      <c r="M282" s="584"/>
      <c r="N282" s="585"/>
      <c r="O282" s="584"/>
      <c r="P282" s="583"/>
      <c r="Q282" s="584"/>
      <c r="R282" s="583"/>
      <c r="S282" s="584"/>
      <c r="T282" s="583"/>
      <c r="U282" s="584"/>
      <c r="V282" s="583"/>
      <c r="W282" s="584"/>
      <c r="X282" s="583"/>
      <c r="Y282" s="584"/>
      <c r="Z282" s="583"/>
      <c r="AA282" s="586"/>
      <c r="AB282" s="583"/>
      <c r="AC282" s="584"/>
      <c r="AD282" s="583"/>
      <c r="AE282" s="586"/>
      <c r="AF282" s="583"/>
      <c r="AG282" s="586"/>
      <c r="AH282" s="583"/>
      <c r="AI282" s="586"/>
      <c r="AJ282" s="583"/>
      <c r="AK282" s="586"/>
      <c r="AL282" s="583"/>
      <c r="AM282" s="586"/>
      <c r="AN282" s="583"/>
      <c r="AO282" s="586"/>
      <c r="AP282" s="583"/>
      <c r="AQ282" s="586"/>
      <c r="AR282" s="583"/>
      <c r="AS282" s="586"/>
      <c r="AT282" s="587"/>
      <c r="AU282" s="586"/>
      <c r="AV282" s="587"/>
      <c r="AW282" s="586"/>
      <c r="AX282" s="587"/>
      <c r="AY282" s="586"/>
      <c r="AZ282" s="587"/>
      <c r="BA282" s="586"/>
      <c r="BB282" s="587"/>
      <c r="BC282" s="586"/>
      <c r="BD282" s="587"/>
      <c r="BE282" s="586"/>
      <c r="BF282" s="587"/>
      <c r="BG282" s="586"/>
      <c r="BH282" s="587"/>
      <c r="BI282" s="586"/>
      <c r="BJ282" s="587"/>
      <c r="BK282" s="586"/>
      <c r="BL282" s="587"/>
      <c r="BM282" s="586"/>
      <c r="BN282" s="587"/>
      <c r="BO282" s="586"/>
      <c r="BP282" s="587"/>
      <c r="BQ282" s="586"/>
      <c r="BR282" s="587"/>
      <c r="BS282" s="586"/>
      <c r="BT282" s="587"/>
      <c r="BU282" s="586"/>
      <c r="BV282" s="587"/>
      <c r="BW282" s="586"/>
      <c r="BX282" s="587"/>
      <c r="BY282" s="586"/>
      <c r="BZ282" s="587"/>
      <c r="CA282" s="586"/>
      <c r="CB282" s="587"/>
      <c r="CC282" s="586"/>
      <c r="CD282" s="587"/>
      <c r="CE282" s="586"/>
      <c r="CF282" s="587"/>
      <c r="CG282" s="586"/>
      <c r="CH282" s="587"/>
      <c r="CI282" s="586"/>
      <c r="CJ282" s="587"/>
      <c r="CK282" s="586"/>
      <c r="CL282" s="587"/>
      <c r="CM282" s="586"/>
      <c r="CN282" s="587"/>
      <c r="CO282" s="586"/>
      <c r="CP282" s="587"/>
      <c r="CQ282" s="586"/>
      <c r="CR282" s="587"/>
      <c r="CS282" s="586"/>
      <c r="CT282" s="587"/>
      <c r="CU282" s="586"/>
      <c r="CV282" s="587"/>
      <c r="CW282" s="586"/>
      <c r="CX282" s="587"/>
      <c r="CY282" s="586"/>
      <c r="CZ282" s="587"/>
      <c r="DA282" s="586"/>
      <c r="DB282" s="587"/>
      <c r="DC282" s="586"/>
      <c r="DD282" s="587"/>
      <c r="DE282" s="586"/>
      <c r="DF282" s="587"/>
      <c r="DG282" s="586"/>
      <c r="DH282" s="587"/>
      <c r="DI282" s="586"/>
      <c r="DJ282" s="587"/>
      <c r="DK282" s="586"/>
      <c r="DL282" s="587"/>
      <c r="DM282" s="586"/>
      <c r="DN282" s="587"/>
      <c r="DO282" s="586"/>
      <c r="DP282" s="587"/>
      <c r="DQ282" s="586"/>
      <c r="DR282" s="587"/>
      <c r="DS282" s="586"/>
      <c r="DT282" s="587"/>
      <c r="DU282" s="586"/>
      <c r="DV282" s="587"/>
      <c r="DW282" s="586"/>
      <c r="DX282" s="587"/>
      <c r="DY282" s="586"/>
      <c r="DZ282" s="587"/>
      <c r="EA282" s="586"/>
      <c r="EB282" s="587"/>
      <c r="EC282" s="586"/>
      <c r="ED282" s="587"/>
      <c r="EE282" s="586"/>
      <c r="EF282" s="587"/>
      <c r="EG282" s="586"/>
      <c r="EH282" s="587"/>
      <c r="EI282" s="586"/>
      <c r="EJ282" s="587"/>
      <c r="EK282" s="586"/>
      <c r="EL282" s="587"/>
      <c r="EM282" s="586"/>
      <c r="EN282" s="587"/>
      <c r="EO282" s="586"/>
      <c r="EP282" s="587"/>
      <c r="EQ282" s="586"/>
      <c r="ER282" s="587"/>
      <c r="ES282" s="584"/>
      <c r="ET282" s="588"/>
      <c r="EU282" s="584"/>
      <c r="EV282" s="584"/>
      <c r="EW282" s="583"/>
      <c r="EX282" s="584"/>
      <c r="EY282" s="583"/>
      <c r="EZ282" s="584"/>
      <c r="FA282" s="583"/>
      <c r="FB282" s="584"/>
      <c r="FC282" s="583"/>
      <c r="FD282" s="584"/>
      <c r="FE282" s="583"/>
      <c r="FF282" s="584"/>
      <c r="FG282" s="583"/>
      <c r="FH282" s="584"/>
      <c r="FI282" s="583"/>
      <c r="FJ282" s="584"/>
      <c r="FK282" s="583"/>
      <c r="FL282" s="584"/>
      <c r="FM282" s="583"/>
      <c r="FN282" s="584"/>
      <c r="FO282" s="583"/>
      <c r="FP282" s="584"/>
      <c r="FQ282" s="583"/>
      <c r="FR282" s="584"/>
      <c r="FS282" s="583"/>
      <c r="FT282" s="584"/>
      <c r="FU282" s="583"/>
      <c r="FV282" s="584"/>
      <c r="FW282" s="583"/>
      <c r="FX282" s="584"/>
      <c r="FY282" s="583"/>
      <c r="FZ282" s="584"/>
      <c r="GA282" s="583"/>
      <c r="GB282" s="584"/>
      <c r="GC282" s="583"/>
      <c r="GD282" s="584"/>
      <c r="GE282" s="583"/>
      <c r="GF282" s="584"/>
      <c r="GG282" s="583"/>
      <c r="GH282" s="584"/>
      <c r="GI282" s="583"/>
      <c r="GJ282" s="584"/>
      <c r="GK282" s="583"/>
      <c r="GL282" s="584"/>
      <c r="GM282" s="583"/>
      <c r="GN282" s="584"/>
      <c r="GO282" s="583"/>
      <c r="GP282" s="584"/>
      <c r="GQ282" s="583"/>
      <c r="GR282" s="584"/>
      <c r="GS282" s="583"/>
      <c r="GT282" s="583"/>
      <c r="GU282" s="562"/>
      <c r="GV282" s="562"/>
      <c r="GW282"/>
      <c r="GX282"/>
      <c r="GY282"/>
      <c r="GZ282"/>
      <c r="HA282"/>
      <c r="HB282"/>
      <c r="HC282" s="562"/>
      <c r="HD282" s="562"/>
      <c r="HE282" s="562"/>
      <c r="HF282" s="562"/>
      <c r="HG282" s="562"/>
      <c r="HH282" s="562"/>
      <c r="HI282" s="562"/>
      <c r="HJ282" s="562"/>
      <c r="HK282" s="562"/>
      <c r="HL282" s="562"/>
      <c r="HM282" s="562"/>
      <c r="HN282" s="562"/>
      <c r="HO282" s="562"/>
      <c r="HP282" s="562"/>
      <c r="HQ282" s="562"/>
      <c r="HR282" s="562"/>
      <c r="HS282" s="562"/>
      <c r="HT282" s="562"/>
      <c r="HU282" s="562"/>
      <c r="HV282" s="562"/>
      <c r="HW282" s="562"/>
      <c r="HX282" s="562"/>
      <c r="HY282" s="562"/>
      <c r="HZ282" s="562"/>
      <c r="IA282" s="562"/>
      <c r="IB282" s="562"/>
      <c r="IC282" s="562"/>
      <c r="ID282" s="562"/>
      <c r="IE282" s="562"/>
      <c r="IF282" s="562"/>
      <c r="IG282" s="562"/>
      <c r="IH282" s="562"/>
      <c r="II282" s="562"/>
      <c r="IJ282" s="562"/>
      <c r="IK282" s="562"/>
      <c r="IL282" s="562"/>
      <c r="IM282" s="562"/>
      <c r="IN282" s="562"/>
      <c r="IO282" s="562"/>
      <c r="IP282" s="562"/>
      <c r="IQ282" s="562"/>
      <c r="IR282" s="562"/>
      <c r="IS282" s="562"/>
      <c r="IT282" s="562"/>
      <c r="IU282" s="562"/>
      <c r="IV282" s="562"/>
      <c r="IW282" s="562"/>
      <c r="IX282" s="562"/>
      <c r="IY282" s="562"/>
      <c r="IZ282" s="562"/>
      <c r="JA282" s="562"/>
      <c r="JB282" s="562"/>
      <c r="JC282" s="562"/>
      <c r="JD282" s="562"/>
      <c r="JE282" s="562"/>
      <c r="JF282" s="562"/>
      <c r="JG282" s="562"/>
      <c r="JH282" s="562"/>
      <c r="JI282" s="562"/>
      <c r="JJ282" s="562"/>
      <c r="JK282" s="562"/>
      <c r="JL282" s="562"/>
      <c r="JM282" s="562"/>
      <c r="JN282" s="562"/>
      <c r="JO282" s="562"/>
      <c r="JP282" s="562"/>
      <c r="JQ282" s="562"/>
      <c r="JR282" s="562"/>
      <c r="JS282" s="562"/>
      <c r="JT282" s="562"/>
      <c r="JU282" s="562"/>
      <c r="JV282" s="562"/>
      <c r="JW282" s="562"/>
      <c r="JX282" s="562"/>
      <c r="JY282" s="562"/>
      <c r="JZ282" s="562"/>
    </row>
    <row r="283" spans="1:286" ht="12.75" customHeight="1" x14ac:dyDescent="0.2">
      <c r="A283" s="1"/>
      <c r="C283" s="79"/>
      <c r="D283" s="79"/>
      <c r="E283" s="75"/>
      <c r="F283" s="75"/>
      <c r="G283" s="75"/>
      <c r="H283" s="104"/>
      <c r="I283" s="75"/>
      <c r="J283" s="104"/>
      <c r="K283" s="75"/>
      <c r="L283" s="79"/>
      <c r="M283" s="75"/>
      <c r="N283" s="79"/>
      <c r="O283" s="75"/>
      <c r="P283" s="79"/>
      <c r="Q283" s="75"/>
      <c r="R283" s="79"/>
      <c r="S283" s="75"/>
      <c r="T283" s="79"/>
      <c r="U283" s="75"/>
      <c r="V283" s="79"/>
      <c r="W283" s="75"/>
      <c r="X283" s="79"/>
      <c r="Y283" s="75"/>
      <c r="Z283" s="79"/>
      <c r="AA283" s="267"/>
      <c r="AB283" s="79"/>
      <c r="AC283" s="75"/>
      <c r="AD283" s="79"/>
      <c r="AE283" s="75"/>
      <c r="AF283" s="79"/>
      <c r="AG283" s="75"/>
      <c r="AH283" s="79"/>
      <c r="AI283" s="75"/>
      <c r="AJ283" s="79"/>
      <c r="AK283" s="75"/>
      <c r="AL283" s="79"/>
      <c r="AM283" s="75"/>
      <c r="AN283" s="79"/>
      <c r="AO283" s="75"/>
      <c r="AP283" s="79"/>
      <c r="AQ283" s="75"/>
      <c r="AR283" s="79"/>
      <c r="AS283" s="75"/>
      <c r="AT283" s="81"/>
      <c r="AU283" s="75"/>
      <c r="AV283" s="81"/>
      <c r="AW283" s="75"/>
      <c r="AX283" s="81"/>
      <c r="AY283" s="75"/>
      <c r="AZ283" s="81"/>
      <c r="BA283" s="75"/>
      <c r="BB283" s="81"/>
      <c r="BC283" s="75"/>
      <c r="BD283" s="81"/>
      <c r="BE283" s="75"/>
      <c r="BF283" s="81"/>
      <c r="BG283" s="75"/>
      <c r="BH283" s="81"/>
      <c r="BI283" s="75"/>
      <c r="BJ283" s="81"/>
      <c r="BK283" s="75"/>
      <c r="BL283" s="81"/>
      <c r="BM283" s="75"/>
      <c r="BN283" s="81"/>
      <c r="BO283" s="75"/>
      <c r="BP283" s="81"/>
      <c r="BQ283" s="75"/>
      <c r="BR283" s="81"/>
      <c r="BS283" s="75"/>
      <c r="BT283" s="81"/>
      <c r="BU283" s="75"/>
      <c r="BV283" s="81"/>
      <c r="BW283" s="75"/>
      <c r="BX283" s="81"/>
      <c r="BY283" s="75"/>
      <c r="BZ283" s="81"/>
      <c r="CA283" s="75"/>
      <c r="CB283" s="81"/>
      <c r="CC283" s="75"/>
      <c r="CD283" s="81"/>
      <c r="CE283" s="75"/>
      <c r="CF283" s="81"/>
      <c r="CG283" s="75"/>
      <c r="CH283" s="81"/>
      <c r="CI283" s="75"/>
      <c r="CJ283" s="81"/>
      <c r="CK283" s="75"/>
      <c r="CL283" s="81"/>
      <c r="CM283" s="75"/>
      <c r="CN283" s="81"/>
      <c r="CO283" s="75"/>
      <c r="CP283" s="81"/>
      <c r="CQ283" s="75"/>
      <c r="CR283" s="81"/>
      <c r="CS283" s="75"/>
      <c r="CT283" s="81"/>
      <c r="CU283" s="75"/>
      <c r="CV283" s="81"/>
      <c r="CW283" s="75"/>
      <c r="CX283" s="81"/>
      <c r="CY283" s="75"/>
      <c r="CZ283" s="81"/>
      <c r="DA283" s="75"/>
      <c r="DB283" s="81"/>
      <c r="DC283" s="75"/>
      <c r="DD283" s="81"/>
      <c r="DE283" s="75"/>
      <c r="DF283" s="81"/>
      <c r="DG283" s="75"/>
      <c r="DH283" s="81"/>
      <c r="DI283" s="75"/>
      <c r="DJ283" s="81"/>
      <c r="DK283" s="75"/>
      <c r="DL283" s="81"/>
      <c r="DM283" s="75"/>
      <c r="DN283" s="81"/>
      <c r="DO283" s="75"/>
      <c r="DP283" s="81"/>
      <c r="DQ283" s="75"/>
      <c r="DR283" s="81"/>
      <c r="DS283" s="75"/>
      <c r="DT283" s="81"/>
      <c r="DU283" s="75"/>
      <c r="DV283" s="81"/>
      <c r="DW283" s="75"/>
      <c r="DX283" s="81"/>
      <c r="DY283" s="75"/>
      <c r="DZ283" s="81"/>
      <c r="EA283" s="75"/>
      <c r="EB283" s="81"/>
      <c r="EC283" s="75"/>
      <c r="ED283" s="81"/>
      <c r="EE283" s="75"/>
      <c r="EF283" s="81"/>
      <c r="EG283" s="75"/>
      <c r="EH283" s="81"/>
      <c r="EI283" s="75"/>
      <c r="EJ283" s="81"/>
      <c r="EK283" s="75"/>
      <c r="EL283" s="81"/>
      <c r="EM283" s="75"/>
      <c r="EN283" s="81"/>
      <c r="EO283" s="75"/>
      <c r="EP283" s="81"/>
      <c r="EQ283" s="75"/>
      <c r="ER283" s="81"/>
      <c r="ES283" s="129"/>
      <c r="ET283" s="469"/>
      <c r="EU283" s="129"/>
      <c r="EV283" s="75"/>
      <c r="EW283" s="79"/>
      <c r="EX283" s="75"/>
      <c r="EY283" s="79"/>
      <c r="EZ283" s="75"/>
      <c r="FA283" s="79"/>
      <c r="FB283" s="75"/>
      <c r="FC283" s="79"/>
      <c r="FD283" s="75"/>
      <c r="FE283" s="79"/>
      <c r="FF283" s="75"/>
      <c r="FG283" s="79"/>
      <c r="FH283" s="75"/>
      <c r="FI283" s="79"/>
      <c r="FJ283" s="75"/>
      <c r="FK283" s="79"/>
      <c r="FL283" s="75"/>
      <c r="FM283" s="79"/>
      <c r="FN283" s="75"/>
      <c r="FO283" s="79"/>
      <c r="FP283" s="75"/>
      <c r="FQ283" s="79"/>
      <c r="FR283" s="75"/>
      <c r="FS283" s="79"/>
      <c r="FT283" s="75"/>
      <c r="FU283" s="79"/>
      <c r="FV283" s="75"/>
      <c r="FW283" s="79"/>
      <c r="FX283" s="75"/>
      <c r="FY283" s="79"/>
      <c r="FZ283" s="75"/>
      <c r="GA283" s="79"/>
      <c r="GB283" s="75"/>
      <c r="GC283" s="79"/>
      <c r="GD283" s="75"/>
      <c r="GE283" s="79"/>
      <c r="GF283" s="75"/>
      <c r="GG283" s="79"/>
      <c r="GH283" s="75"/>
      <c r="GI283" s="79"/>
      <c r="GJ283" s="75"/>
      <c r="GK283" s="79"/>
      <c r="GL283" s="75"/>
      <c r="GM283" s="79"/>
      <c r="GN283" s="75"/>
      <c r="GO283" s="79"/>
      <c r="GP283" s="75"/>
      <c r="GQ283" s="79"/>
      <c r="GR283" s="75"/>
      <c r="GS283" s="79"/>
      <c r="GT283" s="79"/>
    </row>
    <row r="284" spans="1:286" ht="12.75" customHeight="1" x14ac:dyDescent="0.2">
      <c r="A284" s="1"/>
      <c r="B284" s="83" t="s">
        <v>283</v>
      </c>
      <c r="C284" s="79"/>
      <c r="D284" s="79"/>
      <c r="E284" s="75"/>
      <c r="F284" s="75"/>
      <c r="G284" s="75"/>
      <c r="H284" s="104"/>
      <c r="I284" s="75"/>
      <c r="J284" s="104"/>
      <c r="K284" s="75"/>
      <c r="L284" s="79"/>
      <c r="M284" s="75"/>
      <c r="N284" s="79"/>
      <c r="O284" s="75"/>
      <c r="P284" s="79"/>
      <c r="Q284" s="75"/>
      <c r="R284" s="79"/>
      <c r="S284" s="75"/>
      <c r="T284" s="79"/>
      <c r="U284" s="75"/>
      <c r="V284" s="79"/>
      <c r="W284" s="75"/>
      <c r="X284" s="79"/>
      <c r="Y284" s="75"/>
      <c r="Z284" s="79"/>
      <c r="AA284" s="267"/>
      <c r="AB284" s="79"/>
      <c r="AC284" s="75"/>
      <c r="AD284" s="79"/>
      <c r="AE284" s="75"/>
      <c r="AF284" s="79"/>
      <c r="AG284" s="75"/>
      <c r="AH284" s="79"/>
      <c r="AI284" s="75"/>
      <c r="AJ284" s="79"/>
      <c r="AK284" s="75"/>
      <c r="AL284" s="79"/>
      <c r="AM284" s="75"/>
      <c r="AN284" s="79"/>
      <c r="AO284" s="75"/>
      <c r="AP284" s="79"/>
      <c r="AQ284" s="75"/>
      <c r="AR284" s="79"/>
      <c r="AS284" s="75"/>
      <c r="AT284" s="81"/>
      <c r="AU284" s="75"/>
      <c r="AV284" s="81"/>
      <c r="AW284" s="75"/>
      <c r="AX284" s="81"/>
      <c r="AY284" s="75"/>
      <c r="AZ284" s="81"/>
      <c r="BA284" s="75"/>
      <c r="BB284" s="81"/>
      <c r="BC284" s="75"/>
      <c r="BD284" s="81"/>
      <c r="BE284" s="75"/>
      <c r="BF284" s="81"/>
      <c r="BG284" s="75"/>
      <c r="BH284" s="81"/>
      <c r="BI284" s="75"/>
      <c r="BJ284" s="81"/>
      <c r="BK284" s="75"/>
      <c r="BL284" s="81"/>
      <c r="BM284" s="75"/>
      <c r="BN284" s="81"/>
      <c r="BO284" s="75"/>
      <c r="BP284" s="81"/>
      <c r="BQ284" s="75"/>
      <c r="BR284" s="81"/>
      <c r="BS284" s="75"/>
      <c r="BT284" s="81"/>
      <c r="BU284" s="75"/>
      <c r="BV284" s="81"/>
      <c r="BW284" s="75"/>
      <c r="BX284" s="81"/>
      <c r="BY284" s="75"/>
      <c r="BZ284" s="81"/>
      <c r="CA284" s="75"/>
      <c r="CB284" s="81"/>
      <c r="CC284" s="75"/>
      <c r="CD284" s="81"/>
      <c r="CE284" s="75"/>
      <c r="CF284" s="81"/>
      <c r="CG284" s="75"/>
      <c r="CH284" s="81"/>
      <c r="CI284" s="75"/>
      <c r="CJ284" s="81"/>
      <c r="CK284" s="75"/>
      <c r="CL284" s="81"/>
      <c r="CM284" s="75"/>
      <c r="CN284" s="81"/>
      <c r="CO284" s="75"/>
      <c r="CP284" s="81"/>
      <c r="CQ284" s="75"/>
      <c r="CR284" s="81"/>
      <c r="CS284" s="75"/>
      <c r="CT284" s="81"/>
      <c r="CU284" s="75"/>
      <c r="CV284" s="81"/>
      <c r="CW284" s="75"/>
      <c r="CX284" s="81"/>
      <c r="CY284" s="75"/>
      <c r="CZ284" s="81"/>
      <c r="DA284" s="75"/>
      <c r="DB284" s="81"/>
      <c r="DC284" s="75"/>
      <c r="DD284" s="81"/>
      <c r="DE284" s="75"/>
      <c r="DF284" s="81"/>
      <c r="DG284" s="75"/>
      <c r="DH284" s="81"/>
      <c r="DI284" s="75"/>
      <c r="DJ284" s="81"/>
      <c r="DK284" s="75"/>
      <c r="DL284" s="81"/>
      <c r="DM284" s="75"/>
      <c r="DN284" s="81"/>
      <c r="DO284" s="75"/>
      <c r="DP284" s="81"/>
      <c r="DQ284" s="75"/>
      <c r="DR284" s="81"/>
      <c r="DS284" s="75"/>
      <c r="DT284" s="81"/>
      <c r="DU284" s="75"/>
      <c r="DV284" s="81"/>
      <c r="DW284" s="75"/>
      <c r="DX284" s="81"/>
      <c r="DY284" s="75"/>
      <c r="DZ284" s="81"/>
      <c r="EA284" s="75"/>
      <c r="EB284" s="81"/>
      <c r="EC284" s="75"/>
      <c r="ED284" s="81"/>
      <c r="EE284" s="75"/>
      <c r="EF284" s="81"/>
      <c r="EG284" s="75"/>
      <c r="EH284" s="81"/>
      <c r="EI284" s="75"/>
      <c r="EJ284" s="81"/>
      <c r="EK284" s="75"/>
      <c r="EL284" s="81"/>
      <c r="EM284" s="75"/>
      <c r="EN284" s="81"/>
      <c r="EO284" s="75"/>
      <c r="EP284" s="81"/>
      <c r="EQ284" s="75"/>
      <c r="ER284" s="81"/>
      <c r="ES284" s="129"/>
      <c r="ET284" s="469"/>
      <c r="EU284" s="129"/>
      <c r="EV284" s="75"/>
      <c r="EW284" s="79"/>
      <c r="EX284" s="75"/>
      <c r="EY284" s="79"/>
      <c r="EZ284" s="75"/>
      <c r="FA284" s="79"/>
      <c r="FB284" s="75"/>
      <c r="FC284" s="79"/>
      <c r="FD284" s="75"/>
      <c r="FE284" s="79"/>
      <c r="FF284" s="75"/>
      <c r="FG284" s="79"/>
      <c r="FH284" s="75"/>
      <c r="FI284" s="79"/>
      <c r="FJ284" s="75"/>
      <c r="FK284" s="79"/>
      <c r="FL284" s="75"/>
      <c r="FM284" s="79"/>
      <c r="FN284" s="75"/>
      <c r="FO284" s="79"/>
      <c r="FP284" s="75"/>
      <c r="FQ284" s="79"/>
      <c r="FR284" s="75"/>
      <c r="FS284" s="79"/>
      <c r="FT284" s="75"/>
      <c r="FU284" s="79"/>
      <c r="FV284" s="75"/>
      <c r="FW284" s="79"/>
      <c r="FX284" s="75"/>
      <c r="FY284" s="79"/>
      <c r="FZ284" s="75"/>
      <c r="GA284" s="79"/>
      <c r="GB284" s="75"/>
      <c r="GC284" s="79"/>
      <c r="GD284" s="75"/>
      <c r="GE284" s="79"/>
      <c r="GF284" s="75"/>
      <c r="GG284" s="79"/>
      <c r="GH284" s="75"/>
      <c r="GI284" s="79"/>
      <c r="GJ284" s="75"/>
      <c r="GK284" s="79"/>
      <c r="GL284" s="75"/>
      <c r="GM284" s="79"/>
      <c r="GN284" s="75"/>
      <c r="GO284" s="79"/>
      <c r="GP284" s="75"/>
      <c r="GQ284" s="79"/>
      <c r="GR284" s="75"/>
      <c r="GS284" s="79"/>
      <c r="GT284" s="79"/>
    </row>
    <row r="285" spans="1:286" ht="12.75" customHeight="1" x14ac:dyDescent="0.2">
      <c r="A285" s="1"/>
      <c r="B285" s="10" t="s">
        <v>269</v>
      </c>
      <c r="C285" s="79"/>
      <c r="D285" s="79"/>
      <c r="E285" s="75">
        <f>E313</f>
        <v>36.700000000000003</v>
      </c>
      <c r="F285" s="79"/>
      <c r="G285" s="75">
        <f>G313</f>
        <v>40.5</v>
      </c>
      <c r="H285" s="79"/>
      <c r="I285" s="75">
        <f>I313</f>
        <v>36.4</v>
      </c>
      <c r="J285" s="79"/>
      <c r="K285" s="75">
        <f>K313</f>
        <v>-1.7</v>
      </c>
      <c r="L285" s="79"/>
      <c r="M285" s="75">
        <f>M313</f>
        <v>9.3000000000000007</v>
      </c>
      <c r="N285" s="79" t="str">
        <f>IF(ISERROR((M285/K285-1)*100),"NA",IF(((M285/K285-1)*100)&gt;100,"NM",IF(((M285/K285-1)*100)&lt;-50,"NM",(M285/K285-1)*100)))</f>
        <v>NM</v>
      </c>
      <c r="O285" s="75">
        <f>O313</f>
        <v>11.7</v>
      </c>
      <c r="P285" s="79">
        <f>IF(ISERROR((O285/M285-1)*100),"NA",IF(((O285/M285-1)*100)&gt;100,"NM",IF(((O285/M285-1)*100)&lt;-50,"NM",(O285/M285-1)*100)))</f>
        <v>25.806451612903203</v>
      </c>
      <c r="Q285" s="75">
        <f>Q313</f>
        <v>13.9</v>
      </c>
      <c r="R285" s="79">
        <f>IF(ISERROR((Q285/O285-1)*100),"NA",IF(((Q285/O285-1)*100)&gt;100,"NM",IF(((Q285/O285-1)*100)&lt;-50,"NM",(Q285/O285-1)*100)))</f>
        <v>18.803418803418804</v>
      </c>
      <c r="S285" s="75">
        <f>S313</f>
        <v>2.7</v>
      </c>
      <c r="T285" s="79" t="str">
        <f>IF(ISERROR((S285/Q285-1)*100),"NA",IF(((S285/Q285-1)*100)&gt;100,"NM",IF(((S285/Q285-1)*100)&lt;-50,"NM",(S285/Q285-1)*100)))</f>
        <v>NM</v>
      </c>
      <c r="U285" s="75">
        <f>U313</f>
        <v>10</v>
      </c>
      <c r="V285" s="79" t="str">
        <f>IF(ISERROR((U285/S285-1)*100),"NA",IF(((U285/S285-1)*100)&gt;100,"NM",IF(((U285/S285-1)*100)&lt;-50,"NM",(U285/S285-1)*100)))</f>
        <v>NM</v>
      </c>
      <c r="W285" s="75">
        <f>W313</f>
        <v>7.6</v>
      </c>
      <c r="X285" s="79">
        <f>IF(ISERROR((W285/U285-1)*100),"NA",IF(((W285/U285-1)*100)&gt;100,"NM",IF(((W285/U285-1)*100)&lt;-50,"NM",(W285/U285-1)*100)))</f>
        <v>-24</v>
      </c>
      <c r="Y285" s="75">
        <f>Y313</f>
        <v>9</v>
      </c>
      <c r="Z285" s="79">
        <f>IF(ISERROR((Y285/W285-1)*100),"NA",IF(((Y285/W285-1)*100)&gt;100,"NM",IF(((Y285/W285-1)*100)&lt;-50,"NM",(Y285/W285-1)*100)))</f>
        <v>18.421052631578959</v>
      </c>
      <c r="AA285" s="267">
        <f>AA313</f>
        <v>7.7</v>
      </c>
      <c r="AB285" s="79">
        <f>IF(ISERROR((AA285/Y285-1)*100),"NA",IF(((AA285/Y285-1)*100)&gt;100,"NM",IF(((AA285/Y285-1)*100)&lt;-50,"NM",(AA285/Y285-1)*100)))</f>
        <v>-14.444444444444438</v>
      </c>
      <c r="AC285" s="75">
        <f>AC313</f>
        <v>8.6</v>
      </c>
      <c r="AD285" s="79">
        <f>IF(ISERROR((AC285/AA285-1)*100),"NA",IF(((AC285/AA285-1)*100)&gt;100,"NM",IF(((AC285/AA285-1)*100)&lt;-50,"NM",(AC285/AA285-1)*100)))</f>
        <v>11.688311688311682</v>
      </c>
      <c r="AE285" s="75">
        <f>AE313</f>
        <v>2.9</v>
      </c>
      <c r="AF285" s="79" t="str">
        <f>IF(ISERROR((AE285/AC285-1)*100),"NA",IF(((AE285/AC285-1)*100)&gt;100,"NM",IF(((AE285/AC285-1)*100)&lt;-50,"NM",(AE285/AC285-1)*100)))</f>
        <v>NM</v>
      </c>
      <c r="AG285" s="75">
        <f>AG313</f>
        <v>10.6</v>
      </c>
      <c r="AH285" s="79" t="str">
        <f>IF(ISERROR((AG285/AE285-1)*100),"NA",IF(((AG285/AE285-1)*100)&gt;100,"NM",IF(((AG285/AE285-1)*100)&lt;-50,"NM",(AG285/AE285-1)*100)))</f>
        <v>NM</v>
      </c>
      <c r="AI285" s="75">
        <f>AI313</f>
        <v>9.1999999999999993</v>
      </c>
      <c r="AJ285" s="79">
        <f>IF(ISERROR((AI285/AG285-1)*100),"NA",IF(((AI285/AG285-1)*100)&gt;100,"NM",IF(((AI285/AG285-1)*100)&lt;-50,"NM",(AI285/AG285-1)*100)))</f>
        <v>-13.207547169811329</v>
      </c>
      <c r="AK285" s="75">
        <f>AK313</f>
        <v>0.3</v>
      </c>
      <c r="AL285" s="79" t="str">
        <f>IF(ISERROR((AK285/AI285-1)*100),"NA",IF(((AK285/AI285-1)*100)&gt;100,"NM",IF(((AK285/AI285-1)*100)&lt;-50,"NM",(AK285/AI285-1)*100)))</f>
        <v>NM</v>
      </c>
      <c r="AM285" s="75">
        <f>AM313</f>
        <v>1.2</v>
      </c>
      <c r="AN285" s="79" t="str">
        <f>IF(ISERROR((AM285/AK285-1)*100),"NA",IF(((AM285/AK285-1)*100)&gt;100,"NM",IF(((AM285/AK285-1)*100)&lt;-50,"NM",(AM285/AK285-1)*100)))</f>
        <v>NM</v>
      </c>
      <c r="AO285" s="75">
        <f>AO313</f>
        <v>-0.3</v>
      </c>
      <c r="AP285" s="79" t="str">
        <f>IF(ISERROR((AO285/AM285-1)*100),"NA",IF(((AO285/AM285-1)*100)&gt;100,"NM",IF(((AO285/AM285-1)*100)&lt;-50,"NM",(AO285/AM285-1)*100)))</f>
        <v>NM</v>
      </c>
      <c r="AQ285" s="75">
        <f>AQ313</f>
        <v>1.4</v>
      </c>
      <c r="AR285" s="79" t="str">
        <f>IF(ISERROR((AQ285/AO285-1)*100),"NA",IF(((AQ285/AO285-1)*100)&gt;100,"NM",IF(((AQ285/AO285-1)*100)&lt;-50,"NM",(AQ285/AO285-1)*100)))</f>
        <v>NM</v>
      </c>
      <c r="AS285" s="75">
        <f>AS313</f>
        <v>1.2</v>
      </c>
      <c r="AT285" s="79">
        <f>IF(ISERROR((AS285/AQ285-1)*100),"NA",IF(((AS285/AQ285-1)*100)&gt;100,"NM",IF(((AS285/AQ285-1)*100)&lt;-50,"NM",(AS285/AQ285-1)*100)))</f>
        <v>-14.285714285714279</v>
      </c>
      <c r="AU285" s="75">
        <f>AU313</f>
        <v>1.2</v>
      </c>
      <c r="AV285" s="79">
        <f>IF(ISERROR((AU285/AS285-1)*100),"NA",IF(((AU285/AS285-1)*100)&gt;100,"NM",IF(((AU285/AS285-1)*100)&lt;-50,"NM",(AU285/AS285-1)*100)))</f>
        <v>0</v>
      </c>
      <c r="AW285" s="75">
        <f>AW313</f>
        <v>0.1</v>
      </c>
      <c r="AX285" s="79" t="str">
        <f>IF(ISERROR((AW285/AU285-1)*100),"NA",IF(((AW285/AU285-1)*100)&gt;100,"NM",IF(((AW285/AU285-1)*100)&lt;-50,"NM",(AW285/AU285-1)*100)))</f>
        <v>NM</v>
      </c>
      <c r="AY285" s="75">
        <f>AY313</f>
        <v>2</v>
      </c>
      <c r="AZ285" s="79" t="str">
        <f>IF(ISERROR((AY285/AW285-1)*100),"NA",IF(((AY285/AW285-1)*100)&gt;100,"NM",IF(((AY285/AW285-1)*100)&lt;-50,"NM",(AY285/AW285-1)*100)))</f>
        <v>NM</v>
      </c>
      <c r="BA285" s="75">
        <f>BA313</f>
        <v>1.1000000000000001</v>
      </c>
      <c r="BB285" s="79">
        <f>IF(ISERROR((BA285/AY285-1)*100),"NA",IF(((BA285/AY285-1)*100)&gt;100,"NM",IF(((BA285/AY285-1)*100)&lt;-50,"NM",(BA285/AY285-1)*100)))</f>
        <v>-44.999999999999993</v>
      </c>
      <c r="BC285" s="75">
        <f>BC313</f>
        <v>-0.2</v>
      </c>
      <c r="BD285" s="79" t="str">
        <f>IF(ISERROR((BC285/BA285-1)*100),"NA",IF(((BC285/BA285-1)*100)&gt;100,"NM",IF(((BC285/BA285-1)*100)&lt;-50,"NM",(BC285/BA285-1)*100)))</f>
        <v>NM</v>
      </c>
      <c r="BE285" s="75">
        <f>BE313</f>
        <v>0.6</v>
      </c>
      <c r="BF285" s="79" t="str">
        <f>IF(ISERROR((BE285/BC285-1)*100),"NA",IF(((BE285/BC285-1)*100)&gt;100,"NM",IF(((BE285/BC285-1)*100)&lt;-50,"NM",(BE285/BC285-1)*100)))</f>
        <v>NM</v>
      </c>
      <c r="BG285" s="75">
        <f>BG313</f>
        <v>0.2</v>
      </c>
      <c r="BH285" s="79" t="str">
        <f>IF(ISERROR((BG285/BE285-1)*100),"NA",IF(((BG285/BE285-1)*100)&gt;100,"NM",IF(((BG285/BE285-1)*100)&lt;-50,"NM",(BG285/BE285-1)*100)))</f>
        <v>NM</v>
      </c>
      <c r="BI285" s="75">
        <f>BI313</f>
        <v>0.7</v>
      </c>
      <c r="BJ285" s="79" t="str">
        <f>IF(ISERROR((BI285/BG285-1)*100),"NA",IF(((BI285/BG285-1)*100)&gt;100,"NM",IF(((BI285/BG285-1)*100)&lt;-50,"NM",(BI285/BG285-1)*100)))</f>
        <v>NM</v>
      </c>
      <c r="BK285" s="75">
        <f>BK313</f>
        <v>0.2</v>
      </c>
      <c r="BL285" s="79" t="str">
        <f>IF(ISERROR((BK285/BI285-1)*100),"NA",IF(((BK285/BI285-1)*100)&gt;100,"NM",IF(((BK285/BI285-1)*100)&lt;-50,"NM",(BK285/BI285-1)*100)))</f>
        <v>NM</v>
      </c>
      <c r="BM285" s="93">
        <f>BM313</f>
        <v>0</v>
      </c>
      <c r="BN285" s="79" t="str">
        <f>IF(ISERROR((BM285/BK285-1)*100),"NA",IF(((BM285/BK285-1)*100)&gt;100,"NM",IF(((BM285/BK285-1)*100)&lt;-50,"NM",(BM285/BK285-1)*100)))</f>
        <v>NM</v>
      </c>
      <c r="BO285" s="95">
        <v>0.5</v>
      </c>
      <c r="BP285" s="79" t="str">
        <f>IF(ISERROR((BO285/BM285-1)*100),"NA",IF(((BO285/BM285-1)*100)&gt;100,"NM",IF(((BO285/BM285-1)*100)&lt;-50,"NM",(BO285/BM285-1)*100)))</f>
        <v>NA</v>
      </c>
      <c r="BQ285" s="95">
        <v>0.5</v>
      </c>
      <c r="BR285" s="3">
        <f>IF(ISERROR((BQ285/BO285-1)*100),"NA",IF(((BQ285/BO285-1)*100)&gt;100,"NM",IF(((BQ285/BO285-1)*100)&lt;-50,"NM",(BQ285/BO285-1)*100)))</f>
        <v>0</v>
      </c>
      <c r="BS285" s="95">
        <v>0</v>
      </c>
      <c r="BT285" s="3" t="str">
        <f>IF(ISERROR((BS285/BQ285-1)*100),"NA",IF(((BS285/BQ285-1)*100)&gt;100,"NM",IF(((BS285/BQ285-1)*100)&lt;-50,"NM",(BS285/BQ285-1)*100)))</f>
        <v>NM</v>
      </c>
      <c r="BU285" s="95">
        <v>1.2</v>
      </c>
      <c r="BV285" s="3" t="str">
        <f>IF(ISERROR((BU285/BS285-1)*100),"NA",IF(((BU285/BS285-1)*100)&gt;100,"NM",IF(((BU285/BS285-1)*100)&lt;-50,"NM",(BU285/BS285-1)*100)))</f>
        <v>NA</v>
      </c>
      <c r="BW285" s="95">
        <v>1</v>
      </c>
      <c r="BX285" s="3">
        <f>IF(ISERROR((BW285/BU285-1)*100),"NA",IF(((BW285/BU285-1)*100)&gt;100,"NM",IF(((BW285/BU285-1)*100)&lt;-50,"NM",(BW285/BU285-1)*100)))</f>
        <v>-16.666666666666664</v>
      </c>
      <c r="BY285" s="95">
        <v>0</v>
      </c>
      <c r="BZ285" s="3" t="str">
        <f>IF(ISERROR((BY285/BW285-1)*100),"NA",IF(((BY285/BW285-1)*100)&gt;100,"NM",IF(((BY285/BW285-1)*100)&lt;-50,"NM",(BY285/BW285-1)*100)))</f>
        <v>NM</v>
      </c>
      <c r="CA285" s="95">
        <v>0</v>
      </c>
      <c r="CB285" s="3" t="str">
        <f>IF(ISERROR((CA285/BY285-1)*100),"NA",IF(((CA285/BY285-1)*100)&gt;100,"NM",IF(((CA285/BY285-1)*100)&lt;-50,"NM",(CA285/BY285-1)*100)))</f>
        <v>NA</v>
      </c>
      <c r="CC285" s="95">
        <v>0</v>
      </c>
      <c r="CD285" s="3" t="str">
        <f>IF(ISERROR((CC285/CA285-1)*100),"NA",IF(((CC285/CA285-1)*100)&gt;100,"NM",IF(((CC285/CA285-1)*100)&lt;-50,"NM",(CC285/CA285-1)*100)))</f>
        <v>NA</v>
      </c>
      <c r="CE285" s="95">
        <v>0</v>
      </c>
      <c r="CF285" s="3" t="str">
        <f>IF(ISERROR((CE285/CC285-1)*100),"NA",IF(((CE285/CC285-1)*100)&gt;100,"NM",IF(((CE285/CC285-1)*100)&lt;-50,"NM",(CE285/CC285-1)*100)))</f>
        <v>NA</v>
      </c>
      <c r="CG285" s="95">
        <v>0</v>
      </c>
      <c r="CH285" s="3" t="str">
        <f>IF(ISERROR((CG285/CE285-1)*100),"NA",IF(((CG285/CE285-1)*100)&gt;100,"NM",IF(((CG285/CE285-1)*100)&lt;-50,"NM",(CG285/CE285-1)*100)))</f>
        <v>NA</v>
      </c>
      <c r="CI285" s="95">
        <v>0</v>
      </c>
      <c r="CJ285" s="3" t="str">
        <f>IF(ISERROR((CI285/CG285-1)*100),"NA",IF(((CI285/CG285-1)*100)&gt;100,"NM",IF(((CI285/CG285-1)*100)&lt;-50,"NM",(CI285/CG285-1)*100)))</f>
        <v>NA</v>
      </c>
      <c r="CK285" s="95">
        <v>0</v>
      </c>
      <c r="CL285" s="3" t="str">
        <f>IF(ISERROR((CK285/CI285-1)*100),"NA",IF(((CK285/CI285-1)*100)&gt;100,"NM",IF(((CK285/CI285-1)*100)&lt;-50,"NM",(CK285/CI285-1)*100)))</f>
        <v>NA</v>
      </c>
      <c r="CM285" s="95">
        <v>0</v>
      </c>
      <c r="CN285" s="3" t="str">
        <f>IF(ISERROR((CM285/CK285-1)*100),"NA",IF(((CM285/CK285-1)*100)&gt;100,"NM",IF(((CM285/CK285-1)*100)&lt;-50,"NM",(CM285/CK285-1)*100)))</f>
        <v>NA</v>
      </c>
      <c r="CO285" s="95">
        <v>0</v>
      </c>
      <c r="CP285" s="3" t="str">
        <f>IF(ISERROR((CO285/CM285-1)*100),"NA",IF(((CO285/CM285-1)*100)&gt;100,"NM",IF(((CO285/CM285-1)*100)&lt;-50,"NM",(CO285/CM285-1)*100)))</f>
        <v>NA</v>
      </c>
      <c r="CQ285" s="95">
        <v>0</v>
      </c>
      <c r="CR285" s="3" t="str">
        <f>IF(ISERROR((CQ285/CO285-1)*100),"NA",IF(((CQ285/CO285-1)*100)&gt;100,"NM",IF(((CQ285/CO285-1)*100)&lt;-50,"NM",(CQ285/CO285-1)*100)))</f>
        <v>NA</v>
      </c>
      <c r="CS285" s="95">
        <v>0</v>
      </c>
      <c r="CT285" s="79" t="str">
        <f>IF(ISERROR((CS285/CQ285-1)*100),"NA",IF(((CS285/CQ285-1)*100)&gt;100,"NM",IF(((CS285/CQ285-1)*100)&lt;-50,"NM",(CS285/CQ285-1)*100)))</f>
        <v>NA</v>
      </c>
      <c r="CU285" s="95">
        <v>0</v>
      </c>
      <c r="CV285" s="79" t="str">
        <f>IF(ISERROR((CU285/CS285-1)*100),"NA",IF(((CU285/CS285-1)*100)&gt;100,"NM",IF(((CU285/CS285-1)*100)&lt;-50,"NM",(CU285/CS285-1)*100)))</f>
        <v>NA</v>
      </c>
      <c r="CW285" s="95">
        <v>0</v>
      </c>
      <c r="CX285" s="79" t="str">
        <f>IF(ISERROR((CW285/CU285-1)*100),"NA",IF(((CW285/CU285-1)*100)&gt;100,"NM",IF(((CW285/CU285-1)*100)&lt;-50,"NM",(CW285/CU285-1)*100)))</f>
        <v>NA</v>
      </c>
      <c r="CY285" s="95">
        <v>0</v>
      </c>
      <c r="CZ285" s="79" t="str">
        <f>IF(ISERROR((CY285/CW285-1)*100),"NA",IF(((CY285/CW285-1)*100)&gt;100,"NM",IF(((CY285/CW285-1)*100)&lt;-50,"NM",(CY285/CW285-1)*100)))</f>
        <v>NA</v>
      </c>
      <c r="DA285" s="95">
        <v>0</v>
      </c>
      <c r="DB285" s="79" t="str">
        <f>IF(ISERROR((DA285/CY285-1)*100),"NA",IF(((DA285/CY285-1)*100)&gt;100,"NM",IF(((DA285/CY285-1)*100)&lt;-50,"NM",(DA285/CY285-1)*100)))</f>
        <v>NA</v>
      </c>
      <c r="DC285" s="95">
        <v>0</v>
      </c>
      <c r="DD285" s="79" t="str">
        <f>IF(ISERROR((DC285/DA285-1)*100),"NA",IF(((DC285/DA285-1)*100)&gt;100,"NM",IF(((DC285/DA285-1)*100)&lt;-50,"NM",(DC285/DA285-1)*100)))</f>
        <v>NA</v>
      </c>
      <c r="DE285" s="95">
        <v>0</v>
      </c>
      <c r="DF285" s="79" t="str">
        <f>IF(ISERROR((DE285/DC285-1)*100),"NA",IF(((DE285/DC285-1)*100)&gt;100,"NM",IF(((DE285/DC285-1)*100)&lt;-50,"NM",(DE285/DC285-1)*100)))</f>
        <v>NA</v>
      </c>
      <c r="DG285" s="95">
        <v>0</v>
      </c>
      <c r="DH285" s="79" t="str">
        <f>IF(ISERROR((DG285/DE285-1)*100),"NA",IF(((DG285/DE285-1)*100)&gt;100,"NM",IF(((DG285/DE285-1)*100)&lt;-50,"NM",(DG285/DE285-1)*100)))</f>
        <v>NA</v>
      </c>
      <c r="DI285" s="95">
        <v>0</v>
      </c>
      <c r="DJ285" s="79" t="str">
        <f>IF(ISERROR((DI285/DG285-1)*100),"NA",IF(((DI285/DG285-1)*100)&gt;100,"NM",IF(((DI285/DG285-1)*100)&lt;-50,"NM",(DI285/DG285-1)*100)))</f>
        <v>NA</v>
      </c>
      <c r="DK285" s="95">
        <v>0</v>
      </c>
      <c r="DL285" s="79" t="str">
        <f>IF(ISERROR((DK285/DI285-1)*100),"NA",IF(((DK285/DI285-1)*100)&gt;100,"NM",IF(((DK285/DI285-1)*100)&lt;-50,"NM",(DK285/DI285-1)*100)))</f>
        <v>NA</v>
      </c>
      <c r="DM285" s="95">
        <v>0</v>
      </c>
      <c r="DN285" s="79" t="str">
        <f>IF(ISERROR((DM285/DK285-1)*100),"NA",IF(((DM285/DK285-1)*100)&gt;100,"NM",IF(((DM285/DK285-1)*100)&lt;-50,"NM",(DM285/DK285-1)*100)))</f>
        <v>NA</v>
      </c>
      <c r="DO285" s="95">
        <v>0</v>
      </c>
      <c r="DP285" s="79" t="str">
        <f>IF(ISERROR((DO285/DM285-1)*100),"NA",IF(((DO285/DM285-1)*100)&gt;100,"NM",IF(((DO285/DM285-1)*100)&lt;-50,"NM",(DO285/DM285-1)*100)))</f>
        <v>NA</v>
      </c>
      <c r="DQ285" s="95">
        <v>0</v>
      </c>
      <c r="DR285" s="79" t="str">
        <f>IF(ISERROR((DQ285/DO285-1)*100),"NA",IF(((DQ285/DO285-1)*100)&gt;100,"NM",IF(((DQ285/DO285-1)*100)&lt;-50,"NM",(DQ285/DO285-1)*100)))</f>
        <v>NA</v>
      </c>
      <c r="DS285" s="95">
        <v>0</v>
      </c>
      <c r="DT285" s="79" t="str">
        <f>IF(ISERROR((DS285/DQ285-1)*100),"NA",IF(((DS285/DQ285-1)*100)&gt;100,"NM",IF(((DS285/DQ285-1)*100)&lt;-50,"NM",(DS285/DQ285-1)*100)))</f>
        <v>NA</v>
      </c>
      <c r="DU285" s="95">
        <v>0</v>
      </c>
      <c r="DV285" s="79" t="str">
        <f>IF(ISERROR((DU285/DS285-1)*100),"NA",IF(((DU285/DS285-1)*100)&gt;100,"NM",IF(((DU285/DS285-1)*100)&lt;-50,"NM",(DU285/DS285-1)*100)))</f>
        <v>NA</v>
      </c>
      <c r="DW285" s="95">
        <v>0</v>
      </c>
      <c r="DX285" s="79" t="str">
        <f>IF(ISERROR((DW285/DU285-1)*100),"NA",IF(((DW285/DU285-1)*100)&gt;100,"NM",IF(((DW285/DU285-1)*100)&lt;-50,"NM",(DW285/DU285-1)*100)))</f>
        <v>NA</v>
      </c>
      <c r="DY285" s="95">
        <v>0</v>
      </c>
      <c r="DZ285" s="79" t="str">
        <f>IF(ISERROR((DY285/DW285-1)*100),"NA",IF(((DY285/DW285-1)*100)&gt;100,"NM",IF(((DY285/DW285-1)*100)&lt;-50,"NM",(DY285/DW285-1)*100)))</f>
        <v>NA</v>
      </c>
      <c r="EA285" s="95">
        <f>DS285*0.98</f>
        <v>0</v>
      </c>
      <c r="EB285" s="79" t="str">
        <f>IF(ISERROR((EA285/DY285-1)*100),"NA",IF(((EA285/DY285-1)*100)&gt;100,"NM",IF(((EA285/DY285-1)*100)&lt;-50,"NM",(EA285/DY285-1)*100)))</f>
        <v>NA</v>
      </c>
      <c r="EC285" s="95">
        <v>0</v>
      </c>
      <c r="ED285" s="79" t="str">
        <f t="shared" ref="ED285:ED289" si="958">IF(ISERROR((EC285/EA285-1)*100),"NA",IF(((EC285/EA285-1)*100)&gt;100,"NM",IF(((EC285/EA285-1)*100)&lt;-50,"NM",(EC285/EA285-1)*100)))</f>
        <v>NA</v>
      </c>
      <c r="EE285" s="95">
        <v>0</v>
      </c>
      <c r="EF285" s="79" t="str">
        <f t="shared" ref="EF285:EF289" si="959">IF(ISERROR((EE285/EC285-1)*100),"NA",IF(((EE285/EC285-1)*100)&gt;100,"NM",IF(((EE285/EC285-1)*100)&lt;-50,"NM",(EE285/EC285-1)*100)))</f>
        <v>NA</v>
      </c>
      <c r="EG285" s="95">
        <v>0</v>
      </c>
      <c r="EH285" s="79" t="str">
        <f t="shared" ref="EH285:EH289" si="960">IF(ISERROR((EG285/EE285-1)*100),"NA",IF(((EG285/EE285-1)*100)&gt;100,"NM",IF(((EG285/EE285-1)*100)&lt;-50,"NM",(EG285/EE285-1)*100)))</f>
        <v>NA</v>
      </c>
      <c r="EI285" s="95">
        <v>0</v>
      </c>
      <c r="EJ285" s="79" t="str">
        <f t="shared" ref="EJ285:EJ289" si="961">IF(ISERROR((EI285/EG285-1)*100),"NA",IF(((EI285/EG285-1)*100)&gt;100,"NM",IF(((EI285/EG285-1)*100)&lt;-50,"NM",(EI285/EG285-1)*100)))</f>
        <v>NA</v>
      </c>
      <c r="EK285" s="95">
        <f t="shared" ref="EK285" si="962">EC285*0.98</f>
        <v>0</v>
      </c>
      <c r="EL285" s="79" t="str">
        <f t="shared" ref="EL285:EL289" si="963">IF(ISERROR((EK285/EI285-1)*100),"NA",IF(((EK285/EI285-1)*100)&gt;100,"NM",IF(((EK285/EI285-1)*100)&lt;-50,"NM",(EK285/EI285-1)*100)))</f>
        <v>NA</v>
      </c>
      <c r="EM285" s="95">
        <f t="shared" ref="EM285" si="964">EE285*0.98</f>
        <v>0</v>
      </c>
      <c r="EN285" s="79" t="str">
        <f t="shared" ref="EN285:EN289" si="965">IF(ISERROR((EM285/EK285-1)*100),"NA",IF(((EM285/EK285-1)*100)&gt;100,"NM",IF(((EM285/EK285-1)*100)&lt;-50,"NM",(EM285/EK285-1)*100)))</f>
        <v>NA</v>
      </c>
      <c r="EO285" s="95">
        <f t="shared" ref="EO285" si="966">EG285*0.98</f>
        <v>0</v>
      </c>
      <c r="EP285" s="79" t="str">
        <f t="shared" ref="EP285:EP289" si="967">IF(ISERROR((EO285/EM285-1)*100),"NA",IF(((EO285/EM285-1)*100)&gt;100,"NM",IF(((EO285/EM285-1)*100)&lt;-50,"NM",(EO285/EM285-1)*100)))</f>
        <v>NA</v>
      </c>
      <c r="EQ285" s="95">
        <f t="shared" ref="EQ285" si="968">EI285*0.98</f>
        <v>0</v>
      </c>
      <c r="ER285" s="79" t="str">
        <f t="shared" ref="ER285:ER289" si="969">IF(ISERROR((EQ285/EO285-1)*100),"NA",IF(((EQ285/EO285-1)*100)&gt;100,"NM",IF(((EQ285/EO285-1)*100)&lt;-50,"NM",(EQ285/EO285-1)*100)))</f>
        <v>NA</v>
      </c>
      <c r="ES285" s="129"/>
      <c r="ET285" s="469"/>
      <c r="EU285" s="129"/>
      <c r="EV285" s="75"/>
      <c r="EW285" s="79"/>
      <c r="EX285" s="75"/>
      <c r="EY285" s="79"/>
      <c r="EZ285" s="75"/>
      <c r="FA285" s="79"/>
      <c r="FB285" s="75"/>
      <c r="FC285" s="79"/>
      <c r="FD285" s="35">
        <f>+S285+Q285+O285+M285</f>
        <v>37.6</v>
      </c>
      <c r="FE285" s="79" t="str">
        <f>IF(ISERROR((FD285/FB285-1)*100),"NA",IF(((FD285/FB285-1)*100)&gt;100,"NM",IF(((FD285/FB285-1)*100)&lt;-50,"NM",(FD285/FB285-1)*100)))</f>
        <v>NA</v>
      </c>
      <c r="FF285" s="35">
        <f>+AA285+Y285+W285+U285</f>
        <v>34.299999999999997</v>
      </c>
      <c r="FG285" s="79">
        <f>IF(ISERROR((FF285/FD285-1)*100),"NA",IF(((FF285/FD285-1)*100)&gt;100,"NM",IF(((FF285/FD285-1)*100)&lt;-50,"NM",(FF285/FD285-1)*100)))</f>
        <v>-8.7765957446808596</v>
      </c>
      <c r="FH285" s="35">
        <f>+AI285+AG285+AE285+AC285</f>
        <v>31.299999999999997</v>
      </c>
      <c r="FI285" s="79">
        <f>IF(ISERROR((FH285/FF285-1)*100),"NA",IF(((FH285/FF285-1)*100)&gt;100,"NM",IF(((FH285/FF285-1)*100)&lt;-50,"NM",(FH285/FF285-1)*100)))</f>
        <v>-8.7463556851311903</v>
      </c>
      <c r="FJ285" s="35">
        <f>+AQ285+AO285+AM285+AK285</f>
        <v>2.5999999999999996</v>
      </c>
      <c r="FK285" s="79" t="str">
        <f>IF(ISERROR((FJ285/FH285-1)*100),"NA",IF(((FJ285/FH285-1)*100)&gt;100,"NM",IF(((FJ285/FH285-1)*100)&lt;-50,"NM",(FJ285/FH285-1)*100)))</f>
        <v>NM</v>
      </c>
      <c r="FL285" s="78">
        <f>AS285+AU285+AW285+AY285</f>
        <v>4.5</v>
      </c>
      <c r="FM285" s="79">
        <f>IF(ISERROR((FL285/FJ285-1)*100),"NA",IF(((FL285/FJ285-1)*100)&gt;100,"NM",IF(((FL285/FJ285-1)*100)&lt;-50,"NM",(FL285/FJ285-1)*100)))</f>
        <v>73.076923076923109</v>
      </c>
      <c r="FN285" s="78">
        <f>BA285+BC285+BE285+BG285</f>
        <v>1.7</v>
      </c>
      <c r="FO285" s="79" t="str">
        <f>IF(ISERROR((FN285/FL285-1)*100),"NA",IF(((FN285/FL285-1)*100)&gt;100,"NM",IF(((FN285/FL285-1)*100)&lt;-50,"NM",(FN285/FL285-1)*100)))</f>
        <v>NM</v>
      </c>
      <c r="FP285" s="78">
        <f>BI285+BK285+BM285+BO285</f>
        <v>1.4</v>
      </c>
      <c r="FQ285" s="79">
        <f>IF(ISERROR((FP285/FN285-1)*100),"NA",IF(((FP285/FN285-1)*100)&gt;100,"NM",IF(((FP285/FN285-1)*100)&lt;-50,"NM",(FP285/FN285-1)*100)))</f>
        <v>-17.647058823529417</v>
      </c>
      <c r="FR285" s="93">
        <v>0</v>
      </c>
      <c r="FS285" s="79" t="str">
        <f>IF(ISERROR((FR285/FP285-1)*100),"NA",IF(((FR285/FP285-1)*100)&gt;100,"NM",IF(((FR285/FP285-1)*100)&lt;-50,"NM",(FR285/FP285-1)*100)))</f>
        <v>NM</v>
      </c>
      <c r="FT285" s="93">
        <f>BY285+CA285+CC285+CE285</f>
        <v>0</v>
      </c>
      <c r="FU285" s="79" t="str">
        <f>IF(ISERROR((FT285/FR285-1)*100),"NA",IF(((FT285/FR285-1)*100)&gt;100,"NM",IF(((FT285/FR285-1)*100)&lt;-50,"NM",(FT285/FR285-1)*100)))</f>
        <v>NA</v>
      </c>
      <c r="FV285" s="93">
        <f>CG285+CI285+CK285+CM285</f>
        <v>0</v>
      </c>
      <c r="FW285" s="79" t="str">
        <f>IF(ISERROR((FV285/FT285-1)*100),"NA",IF(((FV285/FT285-1)*100)&gt;100,"NM",IF(((FV285/FT285-1)*100)&lt;-50,"NM",(FV285/FT285-1)*100)))</f>
        <v>NA</v>
      </c>
      <c r="FX285" s="93">
        <f>CO285+CQ285+CS285+CU285</f>
        <v>0</v>
      </c>
      <c r="FY285" s="79" t="str">
        <f>IF(ISERROR((FX285/FV285-1)*100),"NA",IF(((FX285/FV285-1)*100)&gt;100,"NM",IF(((FX285/FV285-1)*100)&lt;-50,"NM",(FX285/FV285-1)*100)))</f>
        <v>NA</v>
      </c>
      <c r="FZ285" s="93">
        <f>CW285+CY285+DA285+DC285</f>
        <v>0</v>
      </c>
      <c r="GA285" s="79" t="str">
        <f>IF(ISERROR((FZ285/FX285-1)*100),"NA",IF(((FZ285/FX285-1)*100)&gt;100,"NM",IF(((FZ285/FX285-1)*100)&lt;-50,"NM",(FZ285/FX285-1)*100)))</f>
        <v>NA</v>
      </c>
      <c r="GB285" s="93">
        <f>DE285+DG285+DI285+DK285</f>
        <v>0</v>
      </c>
      <c r="GC285" s="79" t="str">
        <f>IF(ISERROR((GB285/FZ285-1)*100),"NA",IF(((GB285/FZ285-1)*100)&gt;100,"NM",IF(((GB285/FZ285-1)*100)&lt;-50,"NM",(GB285/FZ285-1)*100)))</f>
        <v>NA</v>
      </c>
      <c r="GD285" s="93">
        <f>DM285+DO285+DQ285+DS285</f>
        <v>0</v>
      </c>
      <c r="GE285" s="79" t="str">
        <f>IF(ISERROR((GD285/GB285-1)*100),"NA",IF(((GD285/GB285-1)*100)&gt;100,"NM",IF(((GD285/GB285-1)*100)&lt;-50,"NM",(GD285/GB285-1)*100)))</f>
        <v>NA</v>
      </c>
      <c r="GF285" s="93">
        <f>DU285+DW285+DY285+EA285</f>
        <v>0</v>
      </c>
      <c r="GG285" s="79" t="str">
        <f>IF(ISERROR((GF285/GD285-1)*100),"NA",IF(((GF285/GD285-1)*100)&gt;100,"NM",IF(((GF285/GD285-1)*100)&lt;-50,"NM",(GF285/GD285-1)*100)))</f>
        <v>NA</v>
      </c>
      <c r="GH285" s="93">
        <f>EC285+EE285+EG285+EI285</f>
        <v>0</v>
      </c>
      <c r="GI285" s="79" t="str">
        <f>IF(ISERROR((GH285/GF285-1)*100),"NA",IF(((GH285/GF285-1)*100)&gt;100,"NM",IF(((GH285/GF285-1)*100)&lt;-50,"NM",(GH285/GF285-1)*100)))</f>
        <v>NA</v>
      </c>
      <c r="GJ285" s="93">
        <f>EK285+EM285+EO285+EQ285</f>
        <v>0</v>
      </c>
      <c r="GK285" s="79" t="str">
        <f>IF(ISERROR((GJ285/GH285-1)*100),"NA",IF(((GJ285/GH285-1)*100)&gt;100,"NM",IF(((GJ285/GH285-1)*100)&lt;-50,"NM",(GJ285/GH285-1)*100)))</f>
        <v>NA</v>
      </c>
      <c r="GL285" s="75">
        <f>GJ285*0.98</f>
        <v>0</v>
      </c>
      <c r="GM285" s="79" t="str">
        <f>IF(ISERROR((GL285/GJ285-1)*100),"NA",IF(((GL285/GJ285-1)*100)&gt;100,"NM",IF(((GL285/GJ285-1)*100)&lt;-50,"NM",(GL285/GJ285-1)*100)))</f>
        <v>NA</v>
      </c>
      <c r="GN285" s="75">
        <f>GL285*0.98</f>
        <v>0</v>
      </c>
      <c r="GO285" s="79" t="str">
        <f>IF(ISERROR((GN285/GL285-1)*100),"NA",IF(((GN285/GL285-1)*100)&gt;100,"NM",IF(((GN285/GL285-1)*100)&lt;-50,"NM",(GN285/GL285-1)*100)))</f>
        <v>NA</v>
      </c>
      <c r="GP285" s="75">
        <f>GN285*0.98</f>
        <v>0</v>
      </c>
      <c r="GQ285" s="79" t="str">
        <f>IF(ISERROR((GP285/GN285-1)*100),"NA",IF(((GP285/GN285-1)*100)&gt;100,"NM",IF(((GP285/GN285-1)*100)&lt;-50,"NM",(GP285/GN285-1)*100)))</f>
        <v>NA</v>
      </c>
      <c r="GR285" s="75">
        <f>GP285*0.98</f>
        <v>0</v>
      </c>
      <c r="GS285" s="79" t="str">
        <f>IF(ISERROR((GR285/GP285-1)*100),"NA",IF(((GR285/GP285-1)*100)&gt;100,"NM",IF(((GR285/GP285-1)*100)&lt;-50,"NM",(GR285/GP285-1)*100)))</f>
        <v>NA</v>
      </c>
      <c r="GT285" s="79" t="str">
        <f>IF(ISERROR(((GR285/GH285)^0.2-1)*100),"NA",(IF(OR(((GR285/GH285)^0.2-1)*100&gt;99,((GR285/GH285)^0.2-1)*100&lt;-50),"NM",(((GR285/GH285)^0.2-1)*100))))</f>
        <v>NA</v>
      </c>
    </row>
    <row r="286" spans="1:286" ht="12.75" customHeight="1" x14ac:dyDescent="0.2">
      <c r="A286" s="1"/>
      <c r="B286" s="10" t="s">
        <v>406</v>
      </c>
      <c r="C286" s="79"/>
      <c r="D286" s="79"/>
      <c r="E286" s="75">
        <f>E314+E338</f>
        <v>55.2</v>
      </c>
      <c r="F286" s="79"/>
      <c r="G286" s="75">
        <f>G314+G338</f>
        <v>56.1</v>
      </c>
      <c r="H286" s="79"/>
      <c r="I286" s="75">
        <f>I314+I338</f>
        <v>56</v>
      </c>
      <c r="J286" s="79"/>
      <c r="K286" s="75">
        <f>K314+K338</f>
        <v>36.6</v>
      </c>
      <c r="L286" s="79"/>
      <c r="M286" s="75">
        <f>M314+M338</f>
        <v>43.400000000000006</v>
      </c>
      <c r="N286" s="79">
        <f>IF(ISERROR((M286/K286-1)*100),"NA",IF(((M286/K286-1)*100)&gt;100,"NM",IF(((M286/K286-1)*100)&lt;-50,"NM",(M286/K286-1)*100)))</f>
        <v>18.579234972677618</v>
      </c>
      <c r="O286" s="75">
        <f>O314+O338</f>
        <v>42.6</v>
      </c>
      <c r="P286" s="79">
        <f>IF(ISERROR((O286/M286-1)*100),"NA",IF(((O286/M286-1)*100)&gt;100,"NM",IF(((O286/M286-1)*100)&lt;-50,"NM",(O286/M286-1)*100)))</f>
        <v>-1.8433179723502446</v>
      </c>
      <c r="Q286" s="75">
        <f>Q314+Q338</f>
        <v>37.700000000000003</v>
      </c>
      <c r="R286" s="79">
        <f>IF(ISERROR((Q286/O286-1)*100),"NA",IF(((Q286/O286-1)*100)&gt;100,"NM",IF(((Q286/O286-1)*100)&lt;-50,"NM",(Q286/O286-1)*100)))</f>
        <v>-11.502347417840376</v>
      </c>
      <c r="S286" s="75">
        <f>S314+S338</f>
        <v>35.4</v>
      </c>
      <c r="T286" s="79">
        <f>IF(ISERROR((S286/Q286-1)*100),"NA",IF(((S286/Q286-1)*100)&gt;100,"NM",IF(((S286/Q286-1)*100)&lt;-50,"NM",(S286/Q286-1)*100)))</f>
        <v>-6.1007957559681802</v>
      </c>
      <c r="U286" s="75">
        <f>U314+U338</f>
        <v>37</v>
      </c>
      <c r="V286" s="79">
        <f>IF(ISERROR((U286/S286-1)*100),"NA",IF(((U286/S286-1)*100)&gt;100,"NM",IF(((U286/S286-1)*100)&lt;-50,"NM",(U286/S286-1)*100)))</f>
        <v>4.5197740112994378</v>
      </c>
      <c r="W286" s="75">
        <f>W314+W338</f>
        <v>42.300000000000004</v>
      </c>
      <c r="X286" s="79">
        <f>IF(ISERROR((W286/U286-1)*100),"NA",IF(((W286/U286-1)*100)&gt;100,"NM",IF(((W286/U286-1)*100)&lt;-50,"NM",(W286/U286-1)*100)))</f>
        <v>14.324324324324333</v>
      </c>
      <c r="Y286" s="75">
        <f>Y314+Y338</f>
        <v>40</v>
      </c>
      <c r="Z286" s="79">
        <f>IF(ISERROR((Y286/W286-1)*100),"NA",IF(((Y286/W286-1)*100)&gt;100,"NM",IF(((Y286/W286-1)*100)&lt;-50,"NM",(Y286/W286-1)*100)))</f>
        <v>-5.4373522458628916</v>
      </c>
      <c r="AA286" s="267">
        <f>AA314+AA338</f>
        <v>44.4</v>
      </c>
      <c r="AB286" s="79">
        <f>IF(ISERROR((AA286/Y286-1)*100),"NA",IF(((AA286/Y286-1)*100)&gt;100,"NM",IF(((AA286/Y286-1)*100)&lt;-50,"NM",(AA286/Y286-1)*100)))</f>
        <v>10.999999999999988</v>
      </c>
      <c r="AC286" s="75">
        <f>AC314+AC338</f>
        <v>36.200000000000003</v>
      </c>
      <c r="AD286" s="79">
        <f>IF(ISERROR((AC286/AA286-1)*100),"NA",IF(((AC286/AA286-1)*100)&gt;100,"NM",IF(((AC286/AA286-1)*100)&lt;-50,"NM",(AC286/AA286-1)*100)))</f>
        <v>-18.468468468468458</v>
      </c>
      <c r="AE286" s="75">
        <f>AE314+AE338</f>
        <v>46.7</v>
      </c>
      <c r="AF286" s="79">
        <f>IF(ISERROR((AE286/AC286-1)*100),"NA",IF(((AE286/AC286-1)*100)&gt;100,"NM",IF(((AE286/AC286-1)*100)&lt;-50,"NM",(AE286/AC286-1)*100)))</f>
        <v>29.005524861878442</v>
      </c>
      <c r="AG286" s="75">
        <f>AG314+AG338</f>
        <v>38.700000000000003</v>
      </c>
      <c r="AH286" s="79">
        <f>IF(ISERROR((AG286/AE286-1)*100),"NA",IF(((AG286/AE286-1)*100)&gt;100,"NM",IF(((AG286/AE286-1)*100)&lt;-50,"NM",(AG286/AE286-1)*100)))</f>
        <v>-17.130620985010701</v>
      </c>
      <c r="AI286" s="75">
        <f>AI314+AI338</f>
        <v>38.1</v>
      </c>
      <c r="AJ286" s="79">
        <f>IF(ISERROR((AI286/AG286-1)*100),"NA",IF(((AI286/AG286-1)*100)&gt;100,"NM",IF(((AI286/AG286-1)*100)&lt;-50,"NM",(AI286/AG286-1)*100)))</f>
        <v>-1.5503875968992276</v>
      </c>
      <c r="AK286" s="75">
        <f>AK314+AK338</f>
        <v>41.400000000000006</v>
      </c>
      <c r="AL286" s="79">
        <f>IF(ISERROR((AK286/AI286-1)*100),"NA",IF(((AK286/AI286-1)*100)&gt;100,"NM",IF(((AK286/AI286-1)*100)&lt;-50,"NM",(AK286/AI286-1)*100)))</f>
        <v>8.6614173228346516</v>
      </c>
      <c r="AM286" s="75">
        <f>AM314+AM338</f>
        <v>45.199999999999996</v>
      </c>
      <c r="AN286" s="79">
        <f>IF(ISERROR((AM286/AK286-1)*100),"NA",IF(((AM286/AK286-1)*100)&gt;100,"NM",IF(((AM286/AK286-1)*100)&lt;-50,"NM",(AM286/AK286-1)*100)))</f>
        <v>9.1787439613526303</v>
      </c>
      <c r="AO286" s="75">
        <f>AO314+AO338</f>
        <v>43.3</v>
      </c>
      <c r="AP286" s="79">
        <f>IF(ISERROR((AO286/AM286-1)*100),"NA",IF(((AO286/AM286-1)*100)&gt;100,"NM",IF(((AO286/AM286-1)*100)&lt;-50,"NM",(AO286/AM286-1)*100)))</f>
        <v>-4.2035398230088505</v>
      </c>
      <c r="AQ286" s="75">
        <f>AQ314+AQ338</f>
        <v>35</v>
      </c>
      <c r="AR286" s="79">
        <f>IF(ISERROR((AQ286/AO286-1)*100),"NA",IF(((AQ286/AO286-1)*100)&gt;100,"NM",IF(((AQ286/AO286-1)*100)&lt;-50,"NM",(AQ286/AO286-1)*100)))</f>
        <v>-19.168591224018471</v>
      </c>
      <c r="AS286" s="75">
        <f>AS314+AS338</f>
        <v>38.299999999999997</v>
      </c>
      <c r="AT286" s="79">
        <f>IF(ISERROR((AS286/AQ286-1)*100),"NA",IF(((AS286/AQ286-1)*100)&gt;100,"NM",IF(((AS286/AQ286-1)*100)&lt;-50,"NM",(AS286/AQ286-1)*100)))</f>
        <v>9.4285714285714306</v>
      </c>
      <c r="AU286" s="75">
        <f>AU314+AU338</f>
        <v>35.4</v>
      </c>
      <c r="AV286" s="79">
        <f>IF(ISERROR((AU286/AS286-1)*100),"NA",IF(((AU286/AS286-1)*100)&gt;100,"NM",IF(((AU286/AS286-1)*100)&lt;-50,"NM",(AU286/AS286-1)*100)))</f>
        <v>-7.5718015665796283</v>
      </c>
      <c r="AW286" s="75">
        <f>AW314+AW338</f>
        <v>35.5</v>
      </c>
      <c r="AX286" s="79">
        <f>IF(ISERROR((AW286/AU286-1)*100),"NA",IF(((AW286/AU286-1)*100)&gt;100,"NM",IF(((AW286/AU286-1)*100)&lt;-50,"NM",(AW286/AU286-1)*100)))</f>
        <v>0.28248587570622874</v>
      </c>
      <c r="AY286" s="75">
        <f>AY314+AY338</f>
        <v>31.400000000000002</v>
      </c>
      <c r="AZ286" s="79">
        <f>IF(ISERROR((AY286/AW286-1)*100),"NA",IF(((AY286/AW286-1)*100)&gt;100,"NM",IF(((AY286/AW286-1)*100)&lt;-50,"NM",(AY286/AW286-1)*100)))</f>
        <v>-11.549295774647883</v>
      </c>
      <c r="BA286" s="95">
        <f>BA314+BA338+5.9</f>
        <v>38.699999999999996</v>
      </c>
      <c r="BB286" s="79">
        <f>IF(ISERROR((BA286/AY286-1)*100),"NA",IF(((BA286/AY286-1)*100)&gt;100,"NM",IF(((BA286/AY286-1)*100)&lt;-50,"NM",(BA286/AY286-1)*100)))</f>
        <v>23.248407643312085</v>
      </c>
      <c r="BC286" s="95">
        <f>BC314+BC338+7.8</f>
        <v>40.499999999999993</v>
      </c>
      <c r="BD286" s="79">
        <f>IF(ISERROR((BC286/BA286-1)*100),"NA",IF(((BC286/BA286-1)*100)&gt;100,"NM",IF(((BC286/BA286-1)*100)&lt;-50,"NM",(BC286/BA286-1)*100)))</f>
        <v>4.6511627906976605</v>
      </c>
      <c r="BE286" s="95">
        <f>BE314+BE338+8</f>
        <v>42.1</v>
      </c>
      <c r="BF286" s="79">
        <f>IF(ISERROR((BE286/BC286-1)*100),"NA",IF(((BE286/BC286-1)*100)&gt;100,"NM",IF(((BE286/BC286-1)*100)&lt;-50,"NM",(BE286/BC286-1)*100)))</f>
        <v>3.9506172839506304</v>
      </c>
      <c r="BG286" s="95">
        <f>BG314+BG338+6.8</f>
        <v>54.699999999999996</v>
      </c>
      <c r="BH286" s="79">
        <f>IF(ISERROR((BG286/BE286-1)*100),"NA",IF(((BG286/BE286-1)*100)&gt;100,"NM",IF(((BG286/BE286-1)*100)&lt;-50,"NM",(BG286/BE286-1)*100)))</f>
        <v>29.928741092636567</v>
      </c>
      <c r="BI286" s="95">
        <f>BI314+BI338+5.7</f>
        <v>56.1</v>
      </c>
      <c r="BJ286" s="79">
        <f>IF(ISERROR((BI286/BG286-1)*100),"NA",IF(((BI286/BG286-1)*100)&gt;100,"NM",IF(((BI286/BG286-1)*100)&lt;-50,"NM",(BI286/BG286-1)*100)))</f>
        <v>2.5594149908592323</v>
      </c>
      <c r="BK286" s="95">
        <f>BK314+BK338+10.4</f>
        <v>50.3</v>
      </c>
      <c r="BL286" s="79">
        <f>IF(ISERROR((BK286/BI286-1)*100),"NA",IF(((BK286/BI286-1)*100)&gt;100,"NM",IF(((BK286/BI286-1)*100)&lt;-50,"NM",(BK286/BI286-1)*100)))</f>
        <v>-10.338680926916233</v>
      </c>
      <c r="BM286" s="95">
        <f>BM314+BM338+10.2</f>
        <v>48.8</v>
      </c>
      <c r="BN286" s="79">
        <f>IF(ISERROR((BM286/BK286-1)*100),"NA",IF(((BM286/BK286-1)*100)&gt;100,"NM",IF(((BM286/BK286-1)*100)&lt;-50,"NM",(BM286/BK286-1)*100)))</f>
        <v>-2.9821073558648159</v>
      </c>
      <c r="BO286" s="95">
        <v>42.3</v>
      </c>
      <c r="BP286" s="79">
        <f>IF(ISERROR((BO286/BM286-1)*100),"NA",IF(((BO286/BM286-1)*100)&gt;100,"NM",IF(((BO286/BM286-1)*100)&lt;-50,"NM",(BO286/BM286-1)*100)))</f>
        <v>-13.319672131147541</v>
      </c>
      <c r="BQ286" s="95">
        <v>41.5</v>
      </c>
      <c r="BR286" s="79">
        <f>IF(ISERROR((BQ286/BO286-1)*100),"NA",IF(((BQ286/BO286-1)*100)&gt;100,"NM",IF(((BQ286/BO286-1)*100)&lt;-50,"NM",(BQ286/BO286-1)*100)))</f>
        <v>-1.8912529550827339</v>
      </c>
      <c r="BS286" s="95">
        <v>43.4</v>
      </c>
      <c r="BT286" s="79">
        <f>IF(ISERROR((BS286/BQ286-1)*100),"NA",IF(((BS286/BQ286-1)*100)&gt;100,"NM",IF(((BS286/BQ286-1)*100)&lt;-50,"NM",(BS286/BQ286-1)*100)))</f>
        <v>4.5783132530120341</v>
      </c>
      <c r="BU286" s="95">
        <v>40.5</v>
      </c>
      <c r="BV286" s="79">
        <f>IF(ISERROR((BU286/BS286-1)*100),"NA",IF(((BU286/BS286-1)*100)&gt;100,"NM",IF(((BU286/BS286-1)*100)&lt;-50,"NM",(BU286/BS286-1)*100)))</f>
        <v>-6.6820276497695836</v>
      </c>
      <c r="BW286" s="95">
        <v>41.3</v>
      </c>
      <c r="BX286" s="79">
        <f>IF(ISERROR((BW286/BU286-1)*100),"NA",IF(((BW286/BU286-1)*100)&gt;100,"NM",IF(((BW286/BU286-1)*100)&lt;-50,"NM",(BW286/BU286-1)*100)))</f>
        <v>1.9753086419753041</v>
      </c>
      <c r="BY286" s="95">
        <v>23.2</v>
      </c>
      <c r="BZ286" s="79">
        <f>IF(ISERROR((BY286/BW286-1)*100),"NA",IF(((BY286/BW286-1)*100)&gt;100,"NM",IF(((BY286/BW286-1)*100)&lt;-50,"NM",(BY286/BW286-1)*100)))</f>
        <v>-43.825665859564168</v>
      </c>
      <c r="CA286" s="95">
        <v>26.6</v>
      </c>
      <c r="CB286" s="79">
        <f>IF(ISERROR((CA286/BY286-1)*100),"NA",IF(((CA286/BY286-1)*100)&gt;100,"NM",IF(((CA286/BY286-1)*100)&lt;-50,"NM",(CA286/BY286-1)*100)))</f>
        <v>14.655172413793105</v>
      </c>
      <c r="CC286" s="95">
        <v>24.6</v>
      </c>
      <c r="CD286" s="79">
        <f>IF(ISERROR((CC286/CA286-1)*100),"NA",IF(((CC286/CA286-1)*100)&gt;100,"NM",IF(((CC286/CA286-1)*100)&lt;-50,"NM",(CC286/CA286-1)*100)))</f>
        <v>-7.518796992481203</v>
      </c>
      <c r="CE286" s="95">
        <v>20.2</v>
      </c>
      <c r="CF286" s="79">
        <f>IF(ISERROR((CE286/CC286-1)*100),"NA",IF(((CE286/CC286-1)*100)&gt;100,"NM",IF(((CE286/CC286-1)*100)&lt;-50,"NM",(CE286/CC286-1)*100)))</f>
        <v>-17.886178861788625</v>
      </c>
      <c r="CG286" s="95">
        <v>14.5</v>
      </c>
      <c r="CH286" s="79">
        <f>IF(ISERROR((CG286/CE286-1)*100),"NA",IF(((CG286/CE286-1)*100)&gt;100,"NM",IF(((CG286/CE286-1)*100)&lt;-50,"NM",(CG286/CE286-1)*100)))</f>
        <v>-28.21782178217822</v>
      </c>
      <c r="CI286" s="95">
        <v>16.8</v>
      </c>
      <c r="CJ286" s="79">
        <f>IF(ISERROR((CI286/CG286-1)*100),"NA",IF(((CI286/CG286-1)*100)&gt;100,"NM",IF(((CI286/CG286-1)*100)&lt;-50,"NM",(CI286/CG286-1)*100)))</f>
        <v>15.862068965517251</v>
      </c>
      <c r="CK286" s="95">
        <v>13.3</v>
      </c>
      <c r="CL286" s="79">
        <f>IF(ISERROR((CK286/CI286-1)*100),"NA",IF(((CK286/CI286-1)*100)&gt;100,"NM",IF(((CK286/CI286-1)*100)&lt;-50,"NM",(CK286/CI286-1)*100)))</f>
        <v>-20.833333333333336</v>
      </c>
      <c r="CM286" s="95">
        <v>11.6</v>
      </c>
      <c r="CN286" s="79">
        <f>IF(ISERROR((CM286/CK286-1)*100),"NA",IF(((CM286/CK286-1)*100)&gt;100,"NM",IF(((CM286/CK286-1)*100)&lt;-50,"NM",(CM286/CK286-1)*100)))</f>
        <v>-12.781954887218049</v>
      </c>
      <c r="CO286" s="95">
        <v>7.2</v>
      </c>
      <c r="CP286" s="79">
        <f>IF(ISERROR((CO286/CM286-1)*100),"NA",IF(((CO286/CM286-1)*100)&gt;100,"NM",IF(((CO286/CM286-1)*100)&lt;-50,"NM",(CO286/CM286-1)*100)))</f>
        <v>-37.931034482758619</v>
      </c>
      <c r="CQ286" s="95">
        <v>8.9</v>
      </c>
      <c r="CR286" s="79">
        <f>IF(ISERROR((CQ286/CO286-1)*100),"NA",IF(((CQ286/CO286-1)*100)&gt;100,"NM",IF(((CQ286/CO286-1)*100)&lt;-50,"NM",(CQ286/CO286-1)*100)))</f>
        <v>23.611111111111114</v>
      </c>
      <c r="CS286" s="95">
        <v>6.9</v>
      </c>
      <c r="CT286" s="79">
        <f>IF(ISERROR((CS286/CQ286-1)*100),"NA",IF(((CS286/CQ286-1)*100)&gt;100,"NM",IF(((CS286/CQ286-1)*100)&lt;-50,"NM",(CS286/CQ286-1)*100)))</f>
        <v>-22.471910112359549</v>
      </c>
      <c r="CU286" s="95">
        <v>0</v>
      </c>
      <c r="CV286" s="79" t="str">
        <f>IF(ISERROR((CU286/CS286-1)*100),"NA",IF(((CU286/CS286-1)*100)&gt;100,"NM",IF(((CU286/CS286-1)*100)&lt;-50,"NM",(CU286/CS286-1)*100)))</f>
        <v>NM</v>
      </c>
      <c r="CW286" s="95">
        <v>9.3000000000000007</v>
      </c>
      <c r="CX286" s="79" t="str">
        <f>IF(ISERROR((CW286/CU286-1)*100),"NA",IF(((CW286/CU286-1)*100)&gt;100,"NM",IF(((CW286/CU286-1)*100)&lt;-50,"NM",(CW286/CU286-1)*100)))</f>
        <v>NA</v>
      </c>
      <c r="CY286" s="95">
        <v>6.7</v>
      </c>
      <c r="CZ286" s="79">
        <f>IF(ISERROR((CY286/CW286-1)*100),"NA",IF(((CY286/CW286-1)*100)&gt;100,"NM",IF(((CY286/CW286-1)*100)&lt;-50,"NM",(CY286/CW286-1)*100)))</f>
        <v>-27.956989247311835</v>
      </c>
      <c r="DA286" s="95">
        <v>7.9</v>
      </c>
      <c r="DB286" s="79">
        <f>IF(ISERROR((DA286/CY286-1)*100),"NA",IF(((DA286/CY286-1)*100)&gt;100,"NM",IF(((DA286/CY286-1)*100)&lt;-50,"NM",(DA286/CY286-1)*100)))</f>
        <v>17.910447761194035</v>
      </c>
      <c r="DC286" s="95">
        <v>0.8</v>
      </c>
      <c r="DD286" s="79" t="str">
        <f>IF(ISERROR((DC286/DA286-1)*100),"NA",IF(((DC286/DA286-1)*100)&gt;100,"NM",IF(((DC286/DA286-1)*100)&lt;-50,"NM",(DC286/DA286-1)*100)))</f>
        <v>NM</v>
      </c>
      <c r="DE286" s="95">
        <v>7</v>
      </c>
      <c r="DF286" s="79" t="str">
        <f>IF(ISERROR((DE286/DC286-1)*100),"NA",IF(((DE286/DC286-1)*100)&gt;100,"NM",IF(((DE286/DC286-1)*100)&lt;-50,"NM",(DE286/DC286-1)*100)))</f>
        <v>NM</v>
      </c>
      <c r="DG286" s="95">
        <v>8.3000000000000007</v>
      </c>
      <c r="DH286" s="79">
        <f>IF(ISERROR((DG286/DE286-1)*100),"NA",IF(((DG286/DE286-1)*100)&gt;100,"NM",IF(((DG286/DE286-1)*100)&lt;-50,"NM",(DG286/DE286-1)*100)))</f>
        <v>18.571428571428573</v>
      </c>
      <c r="DI286" s="95">
        <v>9.8000000000000007</v>
      </c>
      <c r="DJ286" s="79">
        <f>IF(ISERROR((DI286/DG286-1)*100),"NA",IF(((DI286/DG286-1)*100)&gt;100,"NM",IF(((DI286/DG286-1)*100)&lt;-50,"NM",(DI286/DG286-1)*100)))</f>
        <v>18.07228915662651</v>
      </c>
      <c r="DK286" s="95">
        <v>10.199999999999999</v>
      </c>
      <c r="DL286" s="79">
        <f>IF(ISERROR((DK286/DI286-1)*100),"NA",IF(((DK286/DI286-1)*100)&gt;100,"NM",IF(((DK286/DI286-1)*100)&lt;-50,"NM",(DK286/DI286-1)*100)))</f>
        <v>4.0816326530612068</v>
      </c>
      <c r="DM286" s="95">
        <v>6.1</v>
      </c>
      <c r="DN286" s="79">
        <f>IF(ISERROR((DM286/DK286-1)*100),"NA",IF(((DM286/DK286-1)*100)&gt;100,"NM",IF(((DM286/DK286-1)*100)&lt;-50,"NM",(DM286/DK286-1)*100)))</f>
        <v>-40.196078431372548</v>
      </c>
      <c r="DO286" s="95">
        <v>7.8</v>
      </c>
      <c r="DP286" s="79">
        <f>IF(ISERROR((DO286/DM286-1)*100),"NA",IF(((DO286/DM286-1)*100)&gt;100,"NM",IF(((DO286/DM286-1)*100)&lt;-50,"NM",(DO286/DM286-1)*100)))</f>
        <v>27.868852459016402</v>
      </c>
      <c r="DQ286" s="95">
        <v>6.4</v>
      </c>
      <c r="DR286" s="79">
        <f>IF(ISERROR((DQ286/DO286-1)*100),"NA",IF(((DQ286/DO286-1)*100)&gt;100,"NM",IF(((DQ286/DO286-1)*100)&lt;-50,"NM",(DQ286/DO286-1)*100)))</f>
        <v>-17.948717948717942</v>
      </c>
      <c r="DS286" s="95">
        <v>5.3</v>
      </c>
      <c r="DT286" s="79">
        <f>IF(ISERROR((DS286/DQ286-1)*100),"NA",IF(((DS286/DQ286-1)*100)&gt;100,"NM",IF(((DS286/DQ286-1)*100)&lt;-50,"NM",(DS286/DQ286-1)*100)))</f>
        <v>-17.187500000000011</v>
      </c>
      <c r="DU286" s="95">
        <v>4.8</v>
      </c>
      <c r="DV286" s="79">
        <f>IF(ISERROR((DU286/DS286-1)*100),"NA",IF(((DU286/DS286-1)*100)&gt;100,"NM",IF(((DU286/DS286-1)*100)&lt;-50,"NM",(DU286/DS286-1)*100)))</f>
        <v>-9.4339622641509422</v>
      </c>
      <c r="DW286" s="95">
        <v>4.9000000000000004</v>
      </c>
      <c r="DX286" s="79">
        <f>IF(ISERROR((DW286/DU286-1)*100),"NA",IF(((DW286/DU286-1)*100)&gt;100,"NM",IF(((DW286/DU286-1)*100)&lt;-50,"NM",(DW286/DU286-1)*100)))</f>
        <v>2.0833333333333481</v>
      </c>
      <c r="DY286" s="95">
        <v>5.4</v>
      </c>
      <c r="DZ286" s="79">
        <f>IF(ISERROR((DY286/DW286-1)*100),"NA",IF(((DY286/DW286-1)*100)&gt;100,"NM",IF(((DY286/DW286-1)*100)&lt;-50,"NM",(DY286/DW286-1)*100)))</f>
        <v>10.20408163265305</v>
      </c>
      <c r="EA286" s="95">
        <v>3.4</v>
      </c>
      <c r="EB286" s="79">
        <f>IF(ISERROR((EA286/DY286-1)*100),"NA",IF(((EA286/DY286-1)*100)&gt;100,"NM",IF(((EA286/DY286-1)*100)&lt;-50,"NM",(EA286/DY286-1)*100)))</f>
        <v>-37.037037037037045</v>
      </c>
      <c r="EC286" s="95">
        <v>2.9</v>
      </c>
      <c r="ED286" s="79">
        <f t="shared" si="958"/>
        <v>-14.705882352941179</v>
      </c>
      <c r="EE286" s="95">
        <v>5</v>
      </c>
      <c r="EF286" s="79">
        <f t="shared" si="959"/>
        <v>72.413793103448285</v>
      </c>
      <c r="EG286" s="95">
        <v>6.3</v>
      </c>
      <c r="EH286" s="79">
        <f t="shared" si="960"/>
        <v>26</v>
      </c>
      <c r="EI286" s="95">
        <v>7.2</v>
      </c>
      <c r="EJ286" s="79">
        <f t="shared" si="961"/>
        <v>14.285714285714302</v>
      </c>
      <c r="EK286" s="95">
        <f>EI286*0.9</f>
        <v>6.48</v>
      </c>
      <c r="EL286" s="79">
        <f t="shared" si="963"/>
        <v>-9.9999999999999982</v>
      </c>
      <c r="EM286" s="95">
        <f>EK286</f>
        <v>6.48</v>
      </c>
      <c r="EN286" s="79">
        <f t="shared" si="965"/>
        <v>0</v>
      </c>
      <c r="EO286" s="95">
        <f>EM286</f>
        <v>6.48</v>
      </c>
      <c r="EP286" s="79">
        <f t="shared" si="967"/>
        <v>0</v>
      </c>
      <c r="EQ286" s="95">
        <f>EO286</f>
        <v>6.48</v>
      </c>
      <c r="ER286" s="79">
        <f t="shared" si="969"/>
        <v>0</v>
      </c>
      <c r="ES286" s="129"/>
      <c r="ET286" s="469"/>
      <c r="EU286" s="129"/>
      <c r="EV286" s="75"/>
      <c r="EW286" s="79"/>
      <c r="EX286" s="75"/>
      <c r="EY286" s="79"/>
      <c r="EZ286" s="75"/>
      <c r="FA286" s="79"/>
      <c r="FB286" s="75"/>
      <c r="FC286" s="79"/>
      <c r="FD286" s="35">
        <f>+S286+Q286+O286+M286</f>
        <v>159.1</v>
      </c>
      <c r="FE286" s="79" t="str">
        <f>IF(ISERROR((FD286/FB286-1)*100),"NA",IF(((FD286/FB286-1)*100)&gt;100,"NM",IF(((FD286/FB286-1)*100)&lt;-50,"NM",(FD286/FB286-1)*100)))</f>
        <v>NA</v>
      </c>
      <c r="FF286" s="35">
        <f>+AA286+Y286+W286+U286</f>
        <v>163.70000000000002</v>
      </c>
      <c r="FG286" s="79">
        <f>IF(ISERROR((FF286/FD286-1)*100),"NA",IF(((FF286/FD286-1)*100)&gt;100,"NM",IF(((FF286/FD286-1)*100)&lt;-50,"NM",(FF286/FD286-1)*100)))</f>
        <v>2.8912633563796586</v>
      </c>
      <c r="FH286" s="35">
        <f>+AI286+AG286+AE286+AC286</f>
        <v>159.70000000000002</v>
      </c>
      <c r="FI286" s="79">
        <f>IF(ISERROR((FH286/FF286-1)*100),"NA",IF(((FH286/FF286-1)*100)&gt;100,"NM",IF(((FH286/FF286-1)*100)&lt;-50,"NM",(FH286/FF286-1)*100)))</f>
        <v>-2.4434941967012791</v>
      </c>
      <c r="FJ286" s="35">
        <f>+AQ286+AO286+AM286+AK286</f>
        <v>164.9</v>
      </c>
      <c r="FK286" s="79">
        <f>IF(ISERROR((FJ286/FH286-1)*100),"NA",IF(((FJ286/FH286-1)*100)&gt;100,"NM",IF(((FJ286/FH286-1)*100)&lt;-50,"NM",(FJ286/FH286-1)*100)))</f>
        <v>3.2561051972448185</v>
      </c>
      <c r="FL286" s="78">
        <f>AS286+AU286+AW286+AY286</f>
        <v>140.6</v>
      </c>
      <c r="FM286" s="79">
        <f>IF(ISERROR((FL286/FJ286-1)*100),"NA",IF(((FL286/FJ286-1)*100)&gt;100,"NM",IF(((FL286/FJ286-1)*100)&lt;-50,"NM",(FL286/FJ286-1)*100)))</f>
        <v>-14.73620375985446</v>
      </c>
      <c r="FN286" s="78">
        <f>BA286+BC286+BE286+BG286</f>
        <v>175.99999999999997</v>
      </c>
      <c r="FO286" s="79">
        <f>IF(ISERROR((FN286/FL286-1)*100),"NA",IF(((FN286/FL286-1)*100)&gt;100,"NM",IF(((FN286/FL286-1)*100)&lt;-50,"NM",(FN286/FL286-1)*100)))</f>
        <v>25.177809388335692</v>
      </c>
      <c r="FP286" s="78">
        <f>BI286+BK286+BM286+BO286</f>
        <v>197.5</v>
      </c>
      <c r="FQ286" s="79">
        <f>IF(ISERROR((FP286/FN286-1)*100),"NA",IF(((FP286/FN286-1)*100)&gt;100,"NM",IF(((FP286/FN286-1)*100)&lt;-50,"NM",(FP286/FN286-1)*100)))</f>
        <v>12.215909090909104</v>
      </c>
      <c r="FR286" s="95">
        <v>66.7</v>
      </c>
      <c r="FS286" s="79" t="str">
        <f>IF(ISERROR((FR286/FP286-1)*100),"NA",IF(((FR286/FP286-1)*100)&gt;100,"NM",IF(((FR286/FP286-1)*100)&lt;-50,"NM",(FR286/FP286-1)*100)))</f>
        <v>NM</v>
      </c>
      <c r="FT286" s="93">
        <f>BY286+CA286+CC286+CE286</f>
        <v>94.600000000000009</v>
      </c>
      <c r="FU286" s="79">
        <f>IF(ISERROR((FT286/FR286-1)*100),"NA",IF(((FT286/FR286-1)*100)&gt;100,"NM",IF(((FT286/FR286-1)*100)&lt;-50,"NM",(FT286/FR286-1)*100)))</f>
        <v>41.829085457271376</v>
      </c>
      <c r="FV286" s="93">
        <f>CG286+CI286+CK286+CM286</f>
        <v>56.2</v>
      </c>
      <c r="FW286" s="79">
        <f>IF(ISERROR((FV286/FT286-1)*100),"NA",IF(((FV286/FT286-1)*100)&gt;100,"NM",IF(((FV286/FT286-1)*100)&lt;-50,"NM",(FV286/FT286-1)*100)))</f>
        <v>-40.591966173361527</v>
      </c>
      <c r="FX286" s="886">
        <v>45.1</v>
      </c>
      <c r="FY286" s="79">
        <f>IF(ISERROR((FX286/FV286-1)*100),"NA",IF(((FX286/FV286-1)*100)&gt;100,"NM",IF(((FX286/FV286-1)*100)&lt;-50,"NM",(FX286/FV286-1)*100)))</f>
        <v>-19.7508896797153</v>
      </c>
      <c r="FZ286" s="93">
        <f>CW286+CY286+DA286+DC286</f>
        <v>24.7</v>
      </c>
      <c r="GA286" s="79">
        <f>IF(ISERROR((FZ286/FX286-1)*100),"NA",IF(((FZ286/FX286-1)*100)&gt;100,"NM",IF(((FZ286/FX286-1)*100)&lt;-50,"NM",(FZ286/FX286-1)*100)))</f>
        <v>-45.23281596452329</v>
      </c>
      <c r="GB286" s="93">
        <f>DE286+DG286+DI286+DK286</f>
        <v>35.299999999999997</v>
      </c>
      <c r="GC286" s="79">
        <f>IF(ISERROR((GB286/FZ286-1)*100),"NA",IF(((GB286/FZ286-1)*100)&gt;100,"NM",IF(((GB286/FZ286-1)*100)&lt;-50,"NM",(GB286/FZ286-1)*100)))</f>
        <v>42.914979757085007</v>
      </c>
      <c r="GD286" s="93">
        <f>DM286+DO286+DQ286+DS286</f>
        <v>25.599999999999998</v>
      </c>
      <c r="GE286" s="79">
        <f>IF(ISERROR((GD286/GB286-1)*100),"NA",IF(((GD286/GB286-1)*100)&gt;100,"NM",IF(((GD286/GB286-1)*100)&lt;-50,"NM",(GD286/GB286-1)*100)))</f>
        <v>-27.478753541076482</v>
      </c>
      <c r="GF286" s="93">
        <f>DU286+DW286+DY286+EA286</f>
        <v>18.5</v>
      </c>
      <c r="GG286" s="79">
        <f>IF(ISERROR((GF286/GD286-1)*100),"NA",IF(((GF286/GD286-1)*100)&gt;100,"NM",IF(((GF286/GD286-1)*100)&lt;-50,"NM",(GF286/GD286-1)*100)))</f>
        <v>-27.734374999999989</v>
      </c>
      <c r="GH286" s="93">
        <f>EC286+EE286+EG286+EI286</f>
        <v>21.4</v>
      </c>
      <c r="GI286" s="79">
        <f>IF(ISERROR((GH286/GF286-1)*100),"NA",IF(((GH286/GF286-1)*100)&gt;100,"NM",IF(((GH286/GF286-1)*100)&lt;-50,"NM",(GH286/GF286-1)*100)))</f>
        <v>15.67567567567567</v>
      </c>
      <c r="GJ286" s="93">
        <f>EK286+EM286+EO286+EQ286</f>
        <v>25.92</v>
      </c>
      <c r="GK286" s="79">
        <f>IF(ISERROR((GJ286/GH286-1)*100),"NA",IF(((GJ286/GH286-1)*100)&gt;100,"NM",IF(((GJ286/GH286-1)*100)&lt;-50,"NM",(GJ286/GH286-1)*100)))</f>
        <v>21.121495327102814</v>
      </c>
      <c r="GL286" s="75">
        <f>GJ286*1</f>
        <v>25.92</v>
      </c>
      <c r="GM286" s="79">
        <f>IF(ISERROR((GL286/GJ286-1)*100),"NA",IF(((GL286/GJ286-1)*100)&gt;100,"NM",IF(((GL286/GJ286-1)*100)&lt;-50,"NM",(GL286/GJ286-1)*100)))</f>
        <v>0</v>
      </c>
      <c r="GN286" s="75">
        <f>GL286*1</f>
        <v>25.92</v>
      </c>
      <c r="GO286" s="79">
        <f>IF(ISERROR((GN286/GL286-1)*100),"NA",IF(((GN286/GL286-1)*100)&gt;100,"NM",IF(((GN286/GL286-1)*100)&lt;-50,"NM",(GN286/GL286-1)*100)))</f>
        <v>0</v>
      </c>
      <c r="GP286" s="75">
        <f>GN286*1</f>
        <v>25.92</v>
      </c>
      <c r="GQ286" s="79">
        <f>IF(ISERROR((GP286/GN286-1)*100),"NA",IF(((GP286/GN286-1)*100)&gt;100,"NM",IF(((GP286/GN286-1)*100)&lt;-50,"NM",(GP286/GN286-1)*100)))</f>
        <v>0</v>
      </c>
      <c r="GR286" s="75">
        <f>GP286*1</f>
        <v>25.92</v>
      </c>
      <c r="GS286" s="79">
        <f>IF(ISERROR((GR286/GP286-1)*100),"NA",IF(((GR286/GP286-1)*100)&gt;100,"NM",IF(((GR286/GP286-1)*100)&lt;-50,"NM",(GR286/GP286-1)*100)))</f>
        <v>0</v>
      </c>
      <c r="GT286" s="79">
        <f>IF(ISERROR(((GR286/GH286)^0.2-1)*100),"NA",(IF(OR(((GR286/GH286)^0.2-1)*100&gt;99,((GR286/GH286)^0.2-1)*100&lt;-50),"NM",(((GR286/GH286)^0.2-1)*100))))</f>
        <v>3.9068657075683966</v>
      </c>
    </row>
    <row r="287" spans="1:286" ht="12.75" customHeight="1" x14ac:dyDescent="0.2">
      <c r="A287" s="1"/>
      <c r="B287" s="247" t="s">
        <v>304</v>
      </c>
      <c r="C287" s="79"/>
      <c r="D287" s="79"/>
      <c r="E287" s="75">
        <f>E379</f>
        <v>0</v>
      </c>
      <c r="F287" s="79"/>
      <c r="G287" s="75">
        <f>G379</f>
        <v>0</v>
      </c>
      <c r="H287" s="79"/>
      <c r="I287" s="75">
        <f>I379</f>
        <v>0</v>
      </c>
      <c r="J287" s="79"/>
      <c r="K287" s="75">
        <f>K379</f>
        <v>0</v>
      </c>
      <c r="L287" s="79"/>
      <c r="M287" s="75">
        <f>M379</f>
        <v>0</v>
      </c>
      <c r="N287" s="79" t="str">
        <f>IF(ISERROR((M287/K287-1)*100),"NA",IF(((M287/K287-1)*100)&gt;100,"NM",IF(((M287/K287-1)*100)&lt;-50,"NM",(M287/K287-1)*100)))</f>
        <v>NA</v>
      </c>
      <c r="O287" s="75">
        <f>O379</f>
        <v>0</v>
      </c>
      <c r="P287" s="79" t="str">
        <f>IF(ISERROR((O287/M287-1)*100),"NA",IF(((O287/M287-1)*100)&gt;100,"NM",IF(((O287/M287-1)*100)&lt;-50,"NM",(O287/M287-1)*100)))</f>
        <v>NA</v>
      </c>
      <c r="Q287" s="75">
        <f>Q379</f>
        <v>0</v>
      </c>
      <c r="R287" s="79" t="str">
        <f>IF(ISERROR((Q287/O287-1)*100),"NA",IF(((Q287/O287-1)*100)&gt;100,"NM",IF(((Q287/O287-1)*100)&lt;-50,"NM",(Q287/O287-1)*100)))</f>
        <v>NA</v>
      </c>
      <c r="S287" s="75">
        <f>S379</f>
        <v>0</v>
      </c>
      <c r="T287" s="79" t="str">
        <f>IF(ISERROR((S287/Q287-1)*100),"NA",IF(((S287/Q287-1)*100)&gt;100,"NM",IF(((S287/Q287-1)*100)&lt;-50,"NM",(S287/Q287-1)*100)))</f>
        <v>NA</v>
      </c>
      <c r="U287" s="75">
        <f>U379</f>
        <v>0</v>
      </c>
      <c r="V287" s="79" t="str">
        <f>IF(ISERROR((U287/S287-1)*100),"NA",IF(((U287/S287-1)*100)&gt;100,"NM",IF(((U287/S287-1)*100)&lt;-50,"NM",(U287/S287-1)*100)))</f>
        <v>NA</v>
      </c>
      <c r="W287" s="75">
        <f>W379</f>
        <v>0</v>
      </c>
      <c r="X287" s="79" t="str">
        <f>IF(ISERROR((W287/U287-1)*100),"NA",IF(((W287/U287-1)*100)&gt;100,"NM",IF(((W287/U287-1)*100)&lt;-50,"NM",(W287/U287-1)*100)))</f>
        <v>NA</v>
      </c>
      <c r="Y287" s="75">
        <f>Y379</f>
        <v>0</v>
      </c>
      <c r="Z287" s="79" t="str">
        <f>IF(ISERROR((Y287/W287-1)*100),"NA",IF(((Y287/W287-1)*100)&gt;100,"NM",IF(((Y287/W287-1)*100)&lt;-50,"NM",(Y287/W287-1)*100)))</f>
        <v>NA</v>
      </c>
      <c r="AA287" s="267">
        <f>AA379</f>
        <v>0</v>
      </c>
      <c r="AB287" s="79" t="str">
        <f>IF(ISERROR((AA287/Y287-1)*100),"NA",IF(((AA287/Y287-1)*100)&gt;100,"NM",IF(((AA287/Y287-1)*100)&lt;-50,"NM",(AA287/Y287-1)*100)))</f>
        <v>NA</v>
      </c>
      <c r="AC287" s="75">
        <f>AC379</f>
        <v>0</v>
      </c>
      <c r="AD287" s="79" t="str">
        <f>IF(ISERROR((AC287/AA287-1)*100),"NA",IF(((AC287/AA287-1)*100)&gt;100,"NM",IF(((AC287/AA287-1)*100)&lt;-50,"NM",(AC287/AA287-1)*100)))</f>
        <v>NA</v>
      </c>
      <c r="AE287" s="75">
        <f>AE379</f>
        <v>0</v>
      </c>
      <c r="AF287" s="79" t="str">
        <f>IF(ISERROR((AE287/AC287-1)*100),"NA",IF(((AE287/AC287-1)*100)&gt;100,"NM",IF(((AE287/AC287-1)*100)&lt;-50,"NM",(AE287/AC287-1)*100)))</f>
        <v>NA</v>
      </c>
      <c r="AG287" s="75">
        <f>AG379</f>
        <v>0</v>
      </c>
      <c r="AH287" s="79" t="str">
        <f>IF(ISERROR((AG287/AE287-1)*100),"NA",IF(((AG287/AE287-1)*100)&gt;100,"NM",IF(((AG287/AE287-1)*100)&lt;-50,"NM",(AG287/AE287-1)*100)))</f>
        <v>NA</v>
      </c>
      <c r="AI287" s="75">
        <f>AI379</f>
        <v>0</v>
      </c>
      <c r="AJ287" s="79" t="str">
        <f>IF(ISERROR((AI287/AG287-1)*100),"NA",IF(((AI287/AG287-1)*100)&gt;100,"NM",IF(((AI287/AG287-1)*100)&lt;-50,"NM",(AI287/AG287-1)*100)))</f>
        <v>NA</v>
      </c>
      <c r="AK287" s="75">
        <f>AK379</f>
        <v>0</v>
      </c>
      <c r="AL287" s="79" t="str">
        <f>IF(ISERROR((AK287/AI287-1)*100),"NA",IF(((AK287/AI287-1)*100)&gt;100,"NM",IF(((AK287/AI287-1)*100)&lt;-50,"NM",(AK287/AI287-1)*100)))</f>
        <v>NA</v>
      </c>
      <c r="AM287" s="75">
        <f>AM379</f>
        <v>0</v>
      </c>
      <c r="AN287" s="79" t="str">
        <f>IF(ISERROR((AM287/AK287-1)*100),"NA",IF(((AM287/AK287-1)*100)&gt;100,"NM",IF(((AM287/AK287-1)*100)&lt;-50,"NM",(AM287/AK287-1)*100)))</f>
        <v>NA</v>
      </c>
      <c r="AO287" s="75">
        <f>AO379</f>
        <v>0</v>
      </c>
      <c r="AP287" s="79" t="str">
        <f>IF(ISERROR((AO287/AM287-1)*100),"NA",IF(((AO287/AM287-1)*100)&gt;100,"NM",IF(((AO287/AM287-1)*100)&lt;-50,"NM",(AO287/AM287-1)*100)))</f>
        <v>NA</v>
      </c>
      <c r="AQ287" s="75">
        <f>AQ379</f>
        <v>5</v>
      </c>
      <c r="AR287" s="79" t="str">
        <f>IF(ISERROR((AQ287/AO287-1)*100),"NA",IF(((AQ287/AO287-1)*100)&gt;100,"NM",IF(((AQ287/AO287-1)*100)&lt;-50,"NM",(AQ287/AO287-1)*100)))</f>
        <v>NA</v>
      </c>
      <c r="AS287" s="75">
        <f>AS379</f>
        <v>5</v>
      </c>
      <c r="AT287" s="79">
        <f>IF(ISERROR((AS287/AQ287-1)*100),"NA",IF(((AS287/AQ287-1)*100)&gt;100,"NM",IF(((AS287/AQ287-1)*100)&lt;-50,"NM",(AS287/AQ287-1)*100)))</f>
        <v>0</v>
      </c>
      <c r="AU287" s="75">
        <f>AU379</f>
        <v>5</v>
      </c>
      <c r="AV287" s="79">
        <f>IF(ISERROR((AU287/AS287-1)*100),"NA",IF(((AU287/AS287-1)*100)&gt;100,"NM",IF(((AU287/AS287-1)*100)&lt;-50,"NM",(AU287/AS287-1)*100)))</f>
        <v>0</v>
      </c>
      <c r="AW287" s="75">
        <f>AW379</f>
        <v>5</v>
      </c>
      <c r="AX287" s="79">
        <f>IF(ISERROR((AW287/AU287-1)*100),"NA",IF(((AW287/AU287-1)*100)&gt;100,"NM",IF(((AW287/AU287-1)*100)&lt;-50,"NM",(AW287/AU287-1)*100)))</f>
        <v>0</v>
      </c>
      <c r="AY287" s="75">
        <f>AY379</f>
        <v>5</v>
      </c>
      <c r="AZ287" s="79">
        <f>IF(ISERROR((AY287/AW287-1)*100),"NA",IF(((AY287/AW287-1)*100)&gt;100,"NM",IF(((AY287/AW287-1)*100)&lt;-50,"NM",(AY287/AW287-1)*100)))</f>
        <v>0</v>
      </c>
      <c r="BA287" s="75">
        <f>BA379</f>
        <v>5</v>
      </c>
      <c r="BB287" s="79">
        <f>IF(ISERROR((BA287/AY287-1)*100),"NA",IF(((BA287/AY287-1)*100)&gt;100,"NM",IF(((BA287/AY287-1)*100)&lt;-50,"NM",(BA287/AY287-1)*100)))</f>
        <v>0</v>
      </c>
      <c r="BC287" s="95">
        <v>0</v>
      </c>
      <c r="BD287" s="79" t="str">
        <f>IF(ISERROR((BC287/BA287-1)*100),"NA",IF(((BC287/BA287-1)*100)&gt;100,"NM",IF(((BC287/BA287-1)*100)&lt;-50,"NM",(BC287/BA287-1)*100)))</f>
        <v>NM</v>
      </c>
      <c r="BE287" s="95">
        <v>0</v>
      </c>
      <c r="BF287" s="79" t="str">
        <f>IF(ISERROR((BE287/BC287-1)*100),"NA",IF(((BE287/BC287-1)*100)&gt;100,"NM",IF(((BE287/BC287-1)*100)&lt;-50,"NM",(BE287/BC287-1)*100)))</f>
        <v>NA</v>
      </c>
      <c r="BG287" s="95">
        <v>0</v>
      </c>
      <c r="BH287" s="79" t="str">
        <f>IF(ISERROR((BG287/BE287-1)*100),"NA",IF(((BG287/BE287-1)*100)&gt;100,"NM",IF(((BG287/BE287-1)*100)&lt;-50,"NM",(BG287/BE287-1)*100)))</f>
        <v>NA</v>
      </c>
      <c r="BI287" s="95">
        <v>0</v>
      </c>
      <c r="BJ287" s="79" t="str">
        <f>IF(ISERROR((BI287/BG287-1)*100),"NA",IF(((BI287/BG287-1)*100)&gt;100,"NM",IF(((BI287/BG287-1)*100)&lt;-50,"NM",(BI287/BG287-1)*100)))</f>
        <v>NA</v>
      </c>
      <c r="BK287" s="95">
        <v>0</v>
      </c>
      <c r="BL287" s="79" t="str">
        <f>IF(ISERROR((BK287/BI287-1)*100),"NA",IF(((BK287/BI287-1)*100)&gt;100,"NM",IF(((BK287/BI287-1)*100)&lt;-50,"NM",(BK287/BI287-1)*100)))</f>
        <v>NA</v>
      </c>
      <c r="BM287" s="95">
        <v>0</v>
      </c>
      <c r="BN287" s="79" t="str">
        <f>IF(ISERROR((BM287/BK287-1)*100),"NA",IF(((BM287/BK287-1)*100)&gt;100,"NM",IF(((BM287/BK287-1)*100)&lt;-50,"NM",(BM287/BK287-1)*100)))</f>
        <v>NA</v>
      </c>
      <c r="BO287" s="95">
        <v>0</v>
      </c>
      <c r="BP287" s="79" t="str">
        <f>IF(ISERROR((BO287/BM287-1)*100),"NA",IF(((BO287/BM287-1)*100)&gt;100,"NM",IF(((BO287/BM287-1)*100)&lt;-50,"NM",(BO287/BM287-1)*100)))</f>
        <v>NA</v>
      </c>
      <c r="BQ287" s="95">
        <v>0</v>
      </c>
      <c r="BR287" s="79" t="str">
        <f>IF(ISERROR((BQ287/BO287-1)*100),"NA",IF(((BQ287/BO287-1)*100)&gt;100,"NM",IF(((BQ287/BO287-1)*100)&lt;-50,"NM",(BQ287/BO287-1)*100)))</f>
        <v>NA</v>
      </c>
      <c r="BS287" s="95">
        <v>0</v>
      </c>
      <c r="BT287" s="79" t="str">
        <f>IF(ISERROR((BS287/BQ287-1)*100),"NA",IF(((BS287/BQ287-1)*100)&gt;100,"NM",IF(((BS287/BQ287-1)*100)&lt;-50,"NM",(BS287/BQ287-1)*100)))</f>
        <v>NA</v>
      </c>
      <c r="BU287" s="95">
        <v>0</v>
      </c>
      <c r="BV287" s="79" t="str">
        <f>IF(ISERROR((BU287/BS287-1)*100),"NA",IF(((BU287/BS287-1)*100)&gt;100,"NM",IF(((BU287/BS287-1)*100)&lt;-50,"NM",(BU287/BS287-1)*100)))</f>
        <v>NA</v>
      </c>
      <c r="BW287" s="95">
        <v>0</v>
      </c>
      <c r="BX287" s="79" t="str">
        <f>IF(ISERROR((BW287/BU287-1)*100),"NA",IF(((BW287/BU287-1)*100)&gt;100,"NM",IF(((BW287/BU287-1)*100)&lt;-50,"NM",(BW287/BU287-1)*100)))</f>
        <v>NA</v>
      </c>
      <c r="BY287" s="95">
        <v>0</v>
      </c>
      <c r="BZ287" s="79" t="str">
        <f>IF(ISERROR((BY287/BW287-1)*100),"NA",IF(((BY287/BW287-1)*100)&gt;100,"NM",IF(((BY287/BW287-1)*100)&lt;-50,"NM",(BY287/BW287-1)*100)))</f>
        <v>NA</v>
      </c>
      <c r="CA287" s="95">
        <v>0</v>
      </c>
      <c r="CB287" s="79" t="str">
        <f>IF(ISERROR((CA287/BY287-1)*100),"NA",IF(((CA287/BY287-1)*100)&gt;100,"NM",IF(((CA287/BY287-1)*100)&lt;-50,"NM",(CA287/BY287-1)*100)))</f>
        <v>NA</v>
      </c>
      <c r="CC287" s="95">
        <v>0</v>
      </c>
      <c r="CD287" s="79" t="str">
        <f>IF(ISERROR((CC287/CA287-1)*100),"NA",IF(((CC287/CA287-1)*100)&gt;100,"NM",IF(((CC287/CA287-1)*100)&lt;-50,"NM",(CC287/CA287-1)*100)))</f>
        <v>NA</v>
      </c>
      <c r="CE287" s="95">
        <v>0</v>
      </c>
      <c r="CF287" s="79" t="str">
        <f>IF(ISERROR((CE287/CC287-1)*100),"NA",IF(((CE287/CC287-1)*100)&gt;100,"NM",IF(((CE287/CC287-1)*100)&lt;-50,"NM",(CE287/CC287-1)*100)))</f>
        <v>NA</v>
      </c>
      <c r="CG287" s="95">
        <v>0</v>
      </c>
      <c r="CH287" s="79" t="str">
        <f>IF(ISERROR((CG287/CE287-1)*100),"NA",IF(((CG287/CE287-1)*100)&gt;100,"NM",IF(((CG287/CE287-1)*100)&lt;-50,"NM",(CG287/CE287-1)*100)))</f>
        <v>NA</v>
      </c>
      <c r="CI287" s="95">
        <v>0</v>
      </c>
      <c r="CJ287" s="79" t="str">
        <f>IF(ISERROR((CI287/CG287-1)*100),"NA",IF(((CI287/CG287-1)*100)&gt;100,"NM",IF(((CI287/CG287-1)*100)&lt;-50,"NM",(CI287/CG287-1)*100)))</f>
        <v>NA</v>
      </c>
      <c r="CK287" s="95">
        <v>0</v>
      </c>
      <c r="CL287" s="79" t="str">
        <f>IF(ISERROR((CK287/CI287-1)*100),"NA",IF(((CK287/CI287-1)*100)&gt;100,"NM",IF(((CK287/CI287-1)*100)&lt;-50,"NM",(CK287/CI287-1)*100)))</f>
        <v>NA</v>
      </c>
      <c r="CM287" s="95">
        <v>0</v>
      </c>
      <c r="CN287" s="79" t="str">
        <f>IF(ISERROR((CM287/CK287-1)*100),"NA",IF(((CM287/CK287-1)*100)&gt;100,"NM",IF(((CM287/CK287-1)*100)&lt;-50,"NM",(CM287/CK287-1)*100)))</f>
        <v>NA</v>
      </c>
      <c r="CO287" s="95">
        <v>0</v>
      </c>
      <c r="CP287" s="79" t="str">
        <f>IF(ISERROR((CO287/CM287-1)*100),"NA",IF(((CO287/CM287-1)*100)&gt;100,"NM",IF(((CO287/CM287-1)*100)&lt;-50,"NM",(CO287/CM287-1)*100)))</f>
        <v>NA</v>
      </c>
      <c r="CQ287" s="95">
        <v>0</v>
      </c>
      <c r="CR287" s="79" t="str">
        <f>IF(ISERROR((CQ287/CO287-1)*100),"NA",IF(((CQ287/CO287-1)*100)&gt;100,"NM",IF(((CQ287/CO287-1)*100)&lt;-50,"NM",(CQ287/CO287-1)*100)))</f>
        <v>NA</v>
      </c>
      <c r="CS287" s="95">
        <v>0</v>
      </c>
      <c r="CT287" s="79" t="str">
        <f>IF(ISERROR((CS287/CQ287-1)*100),"NA",IF(((CS287/CQ287-1)*100)&gt;100,"NM",IF(((CS287/CQ287-1)*100)&lt;-50,"NM",(CS287/CQ287-1)*100)))</f>
        <v>NA</v>
      </c>
      <c r="CU287" s="95">
        <v>0</v>
      </c>
      <c r="CV287" s="79" t="str">
        <f>IF(ISERROR((CU287/CS287-1)*100),"NA",IF(((CU287/CS287-1)*100)&gt;100,"NM",IF(((CU287/CS287-1)*100)&lt;-50,"NM",(CU287/CS287-1)*100)))</f>
        <v>NA</v>
      </c>
      <c r="CW287" s="95">
        <v>0</v>
      </c>
      <c r="CX287" s="79" t="str">
        <f>IF(ISERROR((CW287/CU287-1)*100),"NA",IF(((CW287/CU287-1)*100)&gt;100,"NM",IF(((CW287/CU287-1)*100)&lt;-50,"NM",(CW287/CU287-1)*100)))</f>
        <v>NA</v>
      </c>
      <c r="CY287" s="95">
        <v>0</v>
      </c>
      <c r="CZ287" s="79" t="str">
        <f>IF(ISERROR((CY287/CW287-1)*100),"NA",IF(((CY287/CW287-1)*100)&gt;100,"NM",IF(((CY287/CW287-1)*100)&lt;-50,"NM",(CY287/CW287-1)*100)))</f>
        <v>NA</v>
      </c>
      <c r="DA287" s="95">
        <v>0</v>
      </c>
      <c r="DB287" s="79" t="str">
        <f>IF(ISERROR((DA287/CY287-1)*100),"NA",IF(((DA287/CY287-1)*100)&gt;100,"NM",IF(((DA287/CY287-1)*100)&lt;-50,"NM",(DA287/CY287-1)*100)))</f>
        <v>NA</v>
      </c>
      <c r="DC287" s="95">
        <v>0</v>
      </c>
      <c r="DD287" s="79" t="str">
        <f>IF(ISERROR((DC287/DA287-1)*100),"NA",IF(((DC287/DA287-1)*100)&gt;100,"NM",IF(((DC287/DA287-1)*100)&lt;-50,"NM",(DC287/DA287-1)*100)))</f>
        <v>NA</v>
      </c>
      <c r="DE287" s="95">
        <v>0</v>
      </c>
      <c r="DF287" s="79" t="str">
        <f>IF(ISERROR((DE287/DC287-1)*100),"NA",IF(((DE287/DC287-1)*100)&gt;100,"NM",IF(((DE287/DC287-1)*100)&lt;-50,"NM",(DE287/DC287-1)*100)))</f>
        <v>NA</v>
      </c>
      <c r="DG287" s="95">
        <v>0</v>
      </c>
      <c r="DH287" s="79" t="str">
        <f>IF(ISERROR((DG287/DE287-1)*100),"NA",IF(((DG287/DE287-1)*100)&gt;100,"NM",IF(((DG287/DE287-1)*100)&lt;-50,"NM",(DG287/DE287-1)*100)))</f>
        <v>NA</v>
      </c>
      <c r="DI287" s="95">
        <v>0</v>
      </c>
      <c r="DJ287" s="79" t="str">
        <f>IF(ISERROR((DI287/DG287-1)*100),"NA",IF(((DI287/DG287-1)*100)&gt;100,"NM",IF(((DI287/DG287-1)*100)&lt;-50,"NM",(DI287/DG287-1)*100)))</f>
        <v>NA</v>
      </c>
      <c r="DK287" s="95">
        <v>0</v>
      </c>
      <c r="DL287" s="79" t="str">
        <f>IF(ISERROR((DK287/DI287-1)*100),"NA",IF(((DK287/DI287-1)*100)&gt;100,"NM",IF(((DK287/DI287-1)*100)&lt;-50,"NM",(DK287/DI287-1)*100)))</f>
        <v>NA</v>
      </c>
      <c r="DM287" s="95">
        <v>0</v>
      </c>
      <c r="DN287" s="79" t="str">
        <f>IF(ISERROR((DM287/DK287-1)*100),"NA",IF(((DM287/DK287-1)*100)&gt;100,"NM",IF(((DM287/DK287-1)*100)&lt;-50,"NM",(DM287/DK287-1)*100)))</f>
        <v>NA</v>
      </c>
      <c r="DO287" s="95">
        <v>0</v>
      </c>
      <c r="DP287" s="79" t="str">
        <f>IF(ISERROR((DO287/DM287-1)*100),"NA",IF(((DO287/DM287-1)*100)&gt;100,"NM",IF(((DO287/DM287-1)*100)&lt;-50,"NM",(DO287/DM287-1)*100)))</f>
        <v>NA</v>
      </c>
      <c r="DQ287" s="95">
        <v>0</v>
      </c>
      <c r="DR287" s="79" t="str">
        <f>IF(ISERROR((DQ287/DO287-1)*100),"NA",IF(((DQ287/DO287-1)*100)&gt;100,"NM",IF(((DQ287/DO287-1)*100)&lt;-50,"NM",(DQ287/DO287-1)*100)))</f>
        <v>NA</v>
      </c>
      <c r="DS287" s="95">
        <v>0</v>
      </c>
      <c r="DT287" s="79" t="str">
        <f>IF(ISERROR((DS287/DQ287-1)*100),"NA",IF(((DS287/DQ287-1)*100)&gt;100,"NM",IF(((DS287/DQ287-1)*100)&lt;-50,"NM",(DS287/DQ287-1)*100)))</f>
        <v>NA</v>
      </c>
      <c r="DU287" s="95">
        <v>0</v>
      </c>
      <c r="DV287" s="79" t="str">
        <f>IF(ISERROR((DU287/DS287-1)*100),"NA",IF(((DU287/DS287-1)*100)&gt;100,"NM",IF(((DU287/DS287-1)*100)&lt;-50,"NM",(DU287/DS287-1)*100)))</f>
        <v>NA</v>
      </c>
      <c r="DW287" s="95">
        <v>0</v>
      </c>
      <c r="DX287" s="79" t="str">
        <f>IF(ISERROR((DW287/DU287-1)*100),"NA",IF(((DW287/DU287-1)*100)&gt;100,"NM",IF(((DW287/DU287-1)*100)&lt;-50,"NM",(DW287/DU287-1)*100)))</f>
        <v>NA</v>
      </c>
      <c r="DY287" s="95">
        <v>0</v>
      </c>
      <c r="DZ287" s="79" t="str">
        <f>IF(ISERROR((DY287/DW287-1)*100),"NA",IF(((DY287/DW287-1)*100)&gt;100,"NM",IF(((DY287/DW287-1)*100)&lt;-50,"NM",(DY287/DW287-1)*100)))</f>
        <v>NA</v>
      </c>
      <c r="EA287" s="95">
        <f>DS287</f>
        <v>0</v>
      </c>
      <c r="EB287" s="79" t="str">
        <f>IF(ISERROR((EA287/DY287-1)*100),"NA",IF(((EA287/DY287-1)*100)&gt;100,"NM",IF(((EA287/DY287-1)*100)&lt;-50,"NM",(EA287/DY287-1)*100)))</f>
        <v>NA</v>
      </c>
      <c r="EC287" s="95">
        <v>0</v>
      </c>
      <c r="ED287" s="79" t="str">
        <f t="shared" si="958"/>
        <v>NA</v>
      </c>
      <c r="EE287" s="95">
        <v>0</v>
      </c>
      <c r="EF287" s="79" t="str">
        <f t="shared" si="959"/>
        <v>NA</v>
      </c>
      <c r="EG287" s="95">
        <v>0</v>
      </c>
      <c r="EH287" s="79" t="str">
        <f t="shared" si="960"/>
        <v>NA</v>
      </c>
      <c r="EI287" s="95">
        <v>0</v>
      </c>
      <c r="EJ287" s="79" t="str">
        <f t="shared" si="961"/>
        <v>NA</v>
      </c>
      <c r="EK287" s="95">
        <f t="shared" ref="EK287" si="970">EC287</f>
        <v>0</v>
      </c>
      <c r="EL287" s="79" t="str">
        <f t="shared" si="963"/>
        <v>NA</v>
      </c>
      <c r="EM287" s="95">
        <f t="shared" ref="EM287" si="971">EE287</f>
        <v>0</v>
      </c>
      <c r="EN287" s="79" t="str">
        <f t="shared" si="965"/>
        <v>NA</v>
      </c>
      <c r="EO287" s="95">
        <f t="shared" ref="EO287" si="972">EG287</f>
        <v>0</v>
      </c>
      <c r="EP287" s="79" t="str">
        <f t="shared" si="967"/>
        <v>NA</v>
      </c>
      <c r="EQ287" s="95">
        <f t="shared" ref="EQ287" si="973">EI287</f>
        <v>0</v>
      </c>
      <c r="ER287" s="79" t="str">
        <f t="shared" si="969"/>
        <v>NA</v>
      </c>
      <c r="ES287" s="129"/>
      <c r="ET287" s="469"/>
      <c r="EU287" s="129"/>
      <c r="EV287" s="75"/>
      <c r="EW287" s="79"/>
      <c r="EX287" s="75"/>
      <c r="EY287" s="79"/>
      <c r="EZ287" s="75"/>
      <c r="FA287" s="79"/>
      <c r="FB287" s="75"/>
      <c r="FC287" s="79"/>
      <c r="FD287" s="35">
        <f>+S287+Q287+O287+M287</f>
        <v>0</v>
      </c>
      <c r="FE287" s="79" t="str">
        <f>IF(ISERROR((FD287/FB287-1)*100),"NA",IF(((FD287/FB287-1)*100)&gt;100,"NM",IF(((FD287/FB287-1)*100)&lt;-50,"NM",(FD287/FB287-1)*100)))</f>
        <v>NA</v>
      </c>
      <c r="FF287" s="35">
        <f>+AA287+Y287+W287+U287</f>
        <v>0</v>
      </c>
      <c r="FG287" s="79" t="str">
        <f>IF(ISERROR((FF287/FD287-1)*100),"NA",IF(((FF287/FD287-1)*100)&gt;100,"NM",IF(((FF287/FD287-1)*100)&lt;-50,"NM",(FF287/FD287-1)*100)))</f>
        <v>NA</v>
      </c>
      <c r="FH287" s="35">
        <f>+AI287+AG287+AE287+AC287</f>
        <v>0</v>
      </c>
      <c r="FI287" s="79" t="str">
        <f>IF(ISERROR((FH287/FF287-1)*100),"NA",IF(((FH287/FF287-1)*100)&gt;100,"NM",IF(((FH287/FF287-1)*100)&lt;-50,"NM",(FH287/FF287-1)*100)))</f>
        <v>NA</v>
      </c>
      <c r="FJ287" s="35">
        <f>+AQ287+AO287+AM287+AK287</f>
        <v>5</v>
      </c>
      <c r="FK287" s="79" t="str">
        <f>IF(ISERROR((FJ287/FH287-1)*100),"NA",IF(((FJ287/FH287-1)*100)&gt;100,"NM",IF(((FJ287/FH287-1)*100)&lt;-50,"NM",(FJ287/FH287-1)*100)))</f>
        <v>NA</v>
      </c>
      <c r="FL287" s="78">
        <f>AS287+AU287+AW287+AY287</f>
        <v>20</v>
      </c>
      <c r="FM287" s="79" t="str">
        <f>IF(ISERROR((FL287/FJ287-1)*100),"NA",IF(((FL287/FJ287-1)*100)&gt;100,"NM",IF(((FL287/FJ287-1)*100)&lt;-50,"NM",(FL287/FJ287-1)*100)))</f>
        <v>NM</v>
      </c>
      <c r="FN287" s="78">
        <f>BA287+BC287+BE287+BG287</f>
        <v>5</v>
      </c>
      <c r="FO287" s="79" t="str">
        <f>IF(ISERROR((FN287/FL287-1)*100),"NA",IF(((FN287/FL287-1)*100)&gt;100,"NM",IF(((FN287/FL287-1)*100)&lt;-50,"NM",(FN287/FL287-1)*100)))</f>
        <v>NM</v>
      </c>
      <c r="FP287" s="78">
        <f>BI287+BK287+BM287+BO287</f>
        <v>0</v>
      </c>
      <c r="FQ287" s="79" t="str">
        <f>IF(ISERROR((FP287/FN287-1)*100),"NA",IF(((FP287/FN287-1)*100)&gt;100,"NM",IF(((FP287/FN287-1)*100)&lt;-50,"NM",(FP287/FN287-1)*100)))</f>
        <v>NM</v>
      </c>
      <c r="FR287" s="93">
        <f>BQ287+BS287+BU287+BW287</f>
        <v>0</v>
      </c>
      <c r="FS287" s="79" t="str">
        <f>IF(ISERROR((FR287/FP287-1)*100),"NA",IF(((FR287/FP287-1)*100)&gt;100,"NM",IF(((FR287/FP287-1)*100)&lt;-50,"NM",(FR287/FP287-1)*100)))</f>
        <v>NA</v>
      </c>
      <c r="FT287" s="93">
        <f>BY287+CA287+CC287+CE287</f>
        <v>0</v>
      </c>
      <c r="FU287" s="79" t="str">
        <f>IF(ISERROR((FT287/FR287-1)*100),"NA",IF(((FT287/FR287-1)*100)&gt;100,"NM",IF(((FT287/FR287-1)*100)&lt;-50,"NM",(FT287/FR287-1)*100)))</f>
        <v>NA</v>
      </c>
      <c r="FV287" s="93">
        <f>CG287+CI287+CK287+CM287</f>
        <v>0</v>
      </c>
      <c r="FW287" s="79" t="str">
        <f>IF(ISERROR((FV287/FT287-1)*100),"NA",IF(((FV287/FT287-1)*100)&gt;100,"NM",IF(((FV287/FT287-1)*100)&lt;-50,"NM",(FV287/FT287-1)*100)))</f>
        <v>NA</v>
      </c>
      <c r="FX287" s="93">
        <f>CO287+CQ287+CS287+CU287</f>
        <v>0</v>
      </c>
      <c r="FY287" s="79" t="str">
        <f>IF(ISERROR((FX287/FV287-1)*100),"NA",IF(((FX287/FV287-1)*100)&gt;100,"NM",IF(((FX287/FV287-1)*100)&lt;-50,"NM",(FX287/FV287-1)*100)))</f>
        <v>NA</v>
      </c>
      <c r="FZ287" s="93">
        <f>CW287+CY287+DA287+DC287</f>
        <v>0</v>
      </c>
      <c r="GA287" s="79" t="str">
        <f>IF(ISERROR((FZ287/FX287-1)*100),"NA",IF(((FZ287/FX287-1)*100)&gt;100,"NM",IF(((FZ287/FX287-1)*100)&lt;-50,"NM",(FZ287/FX287-1)*100)))</f>
        <v>NA</v>
      </c>
      <c r="GB287" s="93">
        <f>DE287+DG287+DI287+DK287</f>
        <v>0</v>
      </c>
      <c r="GC287" s="79" t="str">
        <f>IF(ISERROR((GB287/FZ287-1)*100),"NA",IF(((GB287/FZ287-1)*100)&gt;100,"NM",IF(((GB287/FZ287-1)*100)&lt;-50,"NM",(GB287/FZ287-1)*100)))</f>
        <v>NA</v>
      </c>
      <c r="GD287" s="93">
        <f>DM287+DO287+DQ287+DS287</f>
        <v>0</v>
      </c>
      <c r="GE287" s="79" t="str">
        <f>IF(ISERROR((GD287/GB287-1)*100),"NA",IF(((GD287/GB287-1)*100)&gt;100,"NM",IF(((GD287/GB287-1)*100)&lt;-50,"NM",(GD287/GB287-1)*100)))</f>
        <v>NA</v>
      </c>
      <c r="GF287" s="93">
        <f>DU287+DW287+DY287+EA287</f>
        <v>0</v>
      </c>
      <c r="GG287" s="79" t="str">
        <f>IF(ISERROR((GF287/GD287-1)*100),"NA",IF(((GF287/GD287-1)*100)&gt;100,"NM",IF(((GF287/GD287-1)*100)&lt;-50,"NM",(GF287/GD287-1)*100)))</f>
        <v>NA</v>
      </c>
      <c r="GH287" s="93">
        <f>EC287+EE287+EG287+EI287</f>
        <v>0</v>
      </c>
      <c r="GI287" s="79" t="str">
        <f>IF(ISERROR((GH287/GF287-1)*100),"NA",IF(((GH287/GF287-1)*100)&gt;100,"NM",IF(((GH287/GF287-1)*100)&lt;-50,"NM",(GH287/GF287-1)*100)))</f>
        <v>NA</v>
      </c>
      <c r="GJ287" s="93">
        <f>EK287+EM287+EO287+EQ287</f>
        <v>0</v>
      </c>
      <c r="GK287" s="79" t="str">
        <f>IF(ISERROR((GJ287/GH287-1)*100),"NA",IF(((GJ287/GH287-1)*100)&gt;100,"NM",IF(((GJ287/GH287-1)*100)&lt;-50,"NM",(GJ287/GH287-1)*100)))</f>
        <v>NA</v>
      </c>
      <c r="GL287" s="75">
        <f>GJ287</f>
        <v>0</v>
      </c>
      <c r="GM287" s="79" t="str">
        <f>IF(ISERROR((GL287/GJ287-1)*100),"NA",IF(((GL287/GJ287-1)*100)&gt;100,"NM",IF(((GL287/GJ287-1)*100)&lt;-50,"NM",(GL287/GJ287-1)*100)))</f>
        <v>NA</v>
      </c>
      <c r="GN287" s="75">
        <f>GL287</f>
        <v>0</v>
      </c>
      <c r="GO287" s="79" t="str">
        <f>IF(ISERROR((GN287/GL287-1)*100),"NA",IF(((GN287/GL287-1)*100)&gt;100,"NM",IF(((GN287/GL287-1)*100)&lt;-50,"NM",(GN287/GL287-1)*100)))</f>
        <v>NA</v>
      </c>
      <c r="GP287" s="75">
        <f>GN287</f>
        <v>0</v>
      </c>
      <c r="GQ287" s="79" t="str">
        <f>IF(ISERROR((GP287/GN287-1)*100),"NA",IF(((GP287/GN287-1)*100)&gt;100,"NM",IF(((GP287/GN287-1)*100)&lt;-50,"NM",(GP287/GN287-1)*100)))</f>
        <v>NA</v>
      </c>
      <c r="GR287" s="75">
        <f>GP287</f>
        <v>0</v>
      </c>
      <c r="GS287" s="79" t="str">
        <f>IF(ISERROR((GR287/GP287-1)*100),"NA",IF(((GR287/GP287-1)*100)&gt;100,"NM",IF(((GR287/GP287-1)*100)&lt;-50,"NM",(GR287/GP287-1)*100)))</f>
        <v>NA</v>
      </c>
      <c r="GT287" s="79" t="str">
        <f>IF(ISERROR(((GR287/GH287)^0.2-1)*100),"NA",(IF(OR(((GR287/GH287)^0.2-1)*100&gt;99,((GR287/GH287)^0.2-1)*100&lt;-50),"NM",(((GR287/GH287)^0.2-1)*100))))</f>
        <v>NA</v>
      </c>
    </row>
    <row r="288" spans="1:286" ht="12.75" customHeight="1" x14ac:dyDescent="0.2">
      <c r="A288" s="1"/>
      <c r="B288" s="10" t="s">
        <v>407</v>
      </c>
      <c r="C288" s="79"/>
      <c r="D288" s="79"/>
      <c r="E288" s="75">
        <f>E340+E315</f>
        <v>64.2</v>
      </c>
      <c r="F288" s="79"/>
      <c r="G288" s="75">
        <f>G340+G315</f>
        <v>59.1</v>
      </c>
      <c r="H288" s="79"/>
      <c r="I288" s="75">
        <f>I340+I315</f>
        <v>53.699999999999996</v>
      </c>
      <c r="J288" s="79"/>
      <c r="K288" s="75">
        <f>K340+K315</f>
        <v>48.900000000000006</v>
      </c>
      <c r="L288" s="79"/>
      <c r="M288" s="75">
        <f>M340+M315</f>
        <v>65.900000000000006</v>
      </c>
      <c r="N288" s="79">
        <f>IF(ISERROR((M288/K288-1)*100),"NA",IF(((M288/K288-1)*100)&gt;100,"NM",IF(((M288/K288-1)*100)&lt;-50,"NM",(M288/K288-1)*100)))</f>
        <v>34.764826175869111</v>
      </c>
      <c r="O288" s="75">
        <f>O340+O315</f>
        <v>57</v>
      </c>
      <c r="P288" s="79">
        <f>IF(ISERROR((O288/M288-1)*100),"NA",IF(((O288/M288-1)*100)&gt;100,"NM",IF(((O288/M288-1)*100)&lt;-50,"NM",(O288/M288-1)*100)))</f>
        <v>-13.505311077389992</v>
      </c>
      <c r="Q288" s="75">
        <f>Q340+Q315</f>
        <v>59.199999999999996</v>
      </c>
      <c r="R288" s="79">
        <f>IF(ISERROR((Q288/O288-1)*100),"NA",IF(((Q288/O288-1)*100)&gt;100,"NM",IF(((Q288/O288-1)*100)&lt;-50,"NM",(Q288/O288-1)*100)))</f>
        <v>3.8596491228070073</v>
      </c>
      <c r="S288" s="75">
        <f>S340+S315</f>
        <v>61.3</v>
      </c>
      <c r="T288" s="79">
        <f>IF(ISERROR((S288/Q288-1)*100),"NA",IF(((S288/Q288-1)*100)&gt;100,"NM",IF(((S288/Q288-1)*100)&lt;-50,"NM",(S288/Q288-1)*100)))</f>
        <v>3.5472972972973027</v>
      </c>
      <c r="U288" s="75">
        <f>U340+U315</f>
        <v>58.900000000000006</v>
      </c>
      <c r="V288" s="79">
        <f>IF(ISERROR((U288/S288-1)*100),"NA",IF(((U288/S288-1)*100)&gt;100,"NM",IF(((U288/S288-1)*100)&lt;-50,"NM",(U288/S288-1)*100)))</f>
        <v>-3.9151712887438683</v>
      </c>
      <c r="W288" s="75">
        <f>W340+W315</f>
        <v>56.300000000000004</v>
      </c>
      <c r="X288" s="79">
        <f>IF(ISERROR((W288/U288-1)*100),"NA",IF(((W288/U288-1)*100)&gt;100,"NM",IF(((W288/U288-1)*100)&lt;-50,"NM",(W288/U288-1)*100)))</f>
        <v>-4.4142614601018648</v>
      </c>
      <c r="Y288" s="75">
        <f>Y340+Y315</f>
        <v>53.3</v>
      </c>
      <c r="Z288" s="79">
        <f>IF(ISERROR((Y288/W288-1)*100),"NA",IF(((Y288/W288-1)*100)&gt;100,"NM",IF(((Y288/W288-1)*100)&lt;-50,"NM",(Y288/W288-1)*100)))</f>
        <v>-5.3285968028419344</v>
      </c>
      <c r="AA288" s="267">
        <f>AA340+AA315</f>
        <v>43.9</v>
      </c>
      <c r="AB288" s="79">
        <f>IF(ISERROR((AA288/Y288-1)*100),"NA",IF(((AA288/Y288-1)*100)&gt;100,"NM",IF(((AA288/Y288-1)*100)&lt;-50,"NM",(AA288/Y288-1)*100)))</f>
        <v>-17.636022514071293</v>
      </c>
      <c r="AC288" s="75">
        <f>AC340+AC315</f>
        <v>56.5</v>
      </c>
      <c r="AD288" s="79">
        <f>IF(ISERROR((AC288/AA288-1)*100),"NA",IF(((AC288/AA288-1)*100)&gt;100,"NM",IF(((AC288/AA288-1)*100)&lt;-50,"NM",(AC288/AA288-1)*100)))</f>
        <v>28.701594533029606</v>
      </c>
      <c r="AE288" s="75">
        <f>AE340+AE315</f>
        <v>62.7</v>
      </c>
      <c r="AF288" s="79">
        <f>IF(ISERROR((AE288/AC288-1)*100),"NA",IF(((AE288/AC288-1)*100)&gt;100,"NM",IF(((AE288/AC288-1)*100)&lt;-50,"NM",(AE288/AC288-1)*100)))</f>
        <v>10.973451327433636</v>
      </c>
      <c r="AG288" s="75">
        <f>AG340+AG315</f>
        <v>56.199999999999996</v>
      </c>
      <c r="AH288" s="79">
        <f>IF(ISERROR((AG288/AE288-1)*100),"NA",IF(((AG288/AE288-1)*100)&gt;100,"NM",IF(((AG288/AE288-1)*100)&lt;-50,"NM",(AG288/AE288-1)*100)))</f>
        <v>-10.366826156299847</v>
      </c>
      <c r="AI288" s="75">
        <f>AI340+AI315</f>
        <v>66.5</v>
      </c>
      <c r="AJ288" s="79">
        <f>IF(ISERROR((AI288/AG288-1)*100),"NA",IF(((AI288/AG288-1)*100)&gt;100,"NM",IF(((AI288/AG288-1)*100)&lt;-50,"NM",(AI288/AG288-1)*100)))</f>
        <v>18.327402135231317</v>
      </c>
      <c r="AK288" s="75">
        <f>AK340+AK315</f>
        <v>58.7</v>
      </c>
      <c r="AL288" s="79">
        <f>IF(ISERROR((AK288/AI288-1)*100),"NA",IF(((AK288/AI288-1)*100)&gt;100,"NM",IF(((AK288/AI288-1)*100)&lt;-50,"NM",(AK288/AI288-1)*100)))</f>
        <v>-11.729323308270667</v>
      </c>
      <c r="AM288" s="75">
        <f>AM340+AM315</f>
        <v>57.1</v>
      </c>
      <c r="AN288" s="79">
        <f>IF(ISERROR((AM288/AK288-1)*100),"NA",IF(((AM288/AK288-1)*100)&gt;100,"NM",IF(((AM288/AK288-1)*100)&lt;-50,"NM",(AM288/AK288-1)*100)))</f>
        <v>-2.7257240204429323</v>
      </c>
      <c r="AO288" s="75">
        <f>AO340+AO315</f>
        <v>55.4</v>
      </c>
      <c r="AP288" s="79">
        <f>IF(ISERROR((AO288/AM288-1)*100),"NA",IF(((AO288/AM288-1)*100)&gt;100,"NM",IF(((AO288/AM288-1)*100)&lt;-50,"NM",(AO288/AM288-1)*100)))</f>
        <v>-2.9772329246935292</v>
      </c>
      <c r="AQ288" s="75">
        <f>AQ340+AQ315</f>
        <v>10</v>
      </c>
      <c r="AR288" s="79" t="str">
        <f>IF(ISERROR((AQ288/AO288-1)*100),"NA",IF(((AQ288/AO288-1)*100)&gt;100,"NM",IF(((AQ288/AO288-1)*100)&lt;-50,"NM",(AQ288/AO288-1)*100)))</f>
        <v>NM</v>
      </c>
      <c r="AS288" s="75">
        <f>AS340+AS315</f>
        <v>11.700000000000001</v>
      </c>
      <c r="AT288" s="79">
        <f>IF(ISERROR((AS288/AQ288-1)*100),"NA",IF(((AS288/AQ288-1)*100)&gt;100,"NM",IF(((AS288/AQ288-1)*100)&lt;-50,"NM",(AS288/AQ288-1)*100)))</f>
        <v>17.000000000000014</v>
      </c>
      <c r="AU288" s="75">
        <f>AU340+AU315</f>
        <v>57.7</v>
      </c>
      <c r="AV288" s="79" t="str">
        <f>IF(ISERROR((AU288/AS288-1)*100),"NA",IF(((AU288/AS288-1)*100)&gt;100,"NM",IF(((AU288/AS288-1)*100)&lt;-50,"NM",(AU288/AS288-1)*100)))</f>
        <v>NM</v>
      </c>
      <c r="AW288" s="75">
        <f>AW340+AW315</f>
        <v>57.4</v>
      </c>
      <c r="AX288" s="79">
        <f>IF(ISERROR((AW288/AU288-1)*100),"NA",IF(((AW288/AU288-1)*100)&gt;100,"NM",IF(((AW288/AU288-1)*100)&lt;-50,"NM",(AW288/AU288-1)*100)))</f>
        <v>-0.5199306759098854</v>
      </c>
      <c r="AY288" s="75">
        <f>AY340+AY315</f>
        <v>14.600000000000001</v>
      </c>
      <c r="AZ288" s="79" t="str">
        <f>IF(ISERROR((AY288/AW288-1)*100),"NA",IF(((AY288/AW288-1)*100)&gt;100,"NM",IF(((AY288/AW288-1)*100)&lt;-50,"NM",(AY288/AW288-1)*100)))</f>
        <v>NM</v>
      </c>
      <c r="BA288" s="95">
        <f>BA340+BA315+0.1</f>
        <v>8.8999999999999986</v>
      </c>
      <c r="BB288" s="79">
        <f>IF(ISERROR((BA288/AY288-1)*100),"NA",IF(((BA288/AY288-1)*100)&gt;100,"NM",IF(((BA288/AY288-1)*100)&lt;-50,"NM",(BA288/AY288-1)*100)))</f>
        <v>-39.041095890410972</v>
      </c>
      <c r="BC288" s="95">
        <f>BC340+BC315-0.1</f>
        <v>9.6999999999999993</v>
      </c>
      <c r="BD288" s="79">
        <f>IF(ISERROR((BC288/BA288-1)*100),"NA",IF(((BC288/BA288-1)*100)&gt;100,"NM",IF(((BC288/BA288-1)*100)&lt;-50,"NM",(BC288/BA288-1)*100)))</f>
        <v>8.9887640449438209</v>
      </c>
      <c r="BE288" s="75">
        <f>BE340+BE315</f>
        <v>5.3000000000000007</v>
      </c>
      <c r="BF288" s="79">
        <f>IF(ISERROR((BE288/BC288-1)*100),"NA",IF(((BE288/BC288-1)*100)&gt;100,"NM",IF(((BE288/BC288-1)*100)&lt;-50,"NM",(BE288/BC288-1)*100)))</f>
        <v>-45.360824742268022</v>
      </c>
      <c r="BG288" s="95">
        <f>BG340+BG315+0.1</f>
        <v>6.8999999999999995</v>
      </c>
      <c r="BH288" s="79">
        <f>IF(ISERROR((BG288/BE288-1)*100),"NA",IF(((BG288/BE288-1)*100)&gt;100,"NM",IF(((BG288/BE288-1)*100)&lt;-50,"NM",(BG288/BE288-1)*100)))</f>
        <v>30.188679245282991</v>
      </c>
      <c r="BI288" s="75">
        <f>BI340+BI315</f>
        <v>10.199999999999999</v>
      </c>
      <c r="BJ288" s="79">
        <f>IF(ISERROR((BI288/BG288-1)*100),"NA",IF(((BI288/BG288-1)*100)&gt;100,"NM",IF(((BI288/BG288-1)*100)&lt;-50,"NM",(BI288/BG288-1)*100)))</f>
        <v>47.826086956521728</v>
      </c>
      <c r="BK288" s="75">
        <f>BK340+BK315</f>
        <v>8.4</v>
      </c>
      <c r="BL288" s="79">
        <f>IF(ISERROR((BK288/BI288-1)*100),"NA",IF(((BK288/BI288-1)*100)&gt;100,"NM",IF(((BK288/BI288-1)*100)&lt;-50,"NM",(BK288/BI288-1)*100)))</f>
        <v>-17.647058823529406</v>
      </c>
      <c r="BM288" s="95">
        <f>BM340+BM315+0.2</f>
        <v>9</v>
      </c>
      <c r="BN288" s="79">
        <f>IF(ISERROR((BM288/BK288-1)*100),"NA",IF(((BM288/BK288-1)*100)&gt;100,"NM",IF(((BM288/BK288-1)*100)&lt;-50,"NM",(BM288/BK288-1)*100)))</f>
        <v>7.1428571428571397</v>
      </c>
      <c r="BO288" s="95">
        <v>14.6</v>
      </c>
      <c r="BP288" s="79">
        <f>IF(ISERROR((BO288/BM288-1)*100),"NA",IF(((BO288/BM288-1)*100)&gt;100,"NM",IF(((BO288/BM288-1)*100)&lt;-50,"NM",(BO288/BM288-1)*100)))</f>
        <v>62.222222222222221</v>
      </c>
      <c r="BQ288" s="95">
        <v>7.8</v>
      </c>
      <c r="BR288" s="79">
        <f>IF(ISERROR((BQ288/BO288-1)*100),"NA",IF(((BQ288/BO288-1)*100)&gt;100,"NM",IF(((BQ288/BO288-1)*100)&lt;-50,"NM",(BQ288/BO288-1)*100)))</f>
        <v>-46.575342465753423</v>
      </c>
      <c r="BS288" s="95">
        <v>10.6</v>
      </c>
      <c r="BT288" s="79">
        <f>IF(ISERROR((BS288/BQ288-1)*100),"NA",IF(((BS288/BQ288-1)*100)&gt;100,"NM",IF(((BS288/BQ288-1)*100)&lt;-50,"NM",(BS288/BQ288-1)*100)))</f>
        <v>35.897435897435905</v>
      </c>
      <c r="BU288" s="95">
        <v>8.1</v>
      </c>
      <c r="BV288" s="79">
        <f>IF(ISERROR((BU288/BS288-1)*100),"NA",IF(((BU288/BS288-1)*100)&gt;100,"NM",IF(((BU288/BS288-1)*100)&lt;-50,"NM",(BU288/BS288-1)*100)))</f>
        <v>-23.584905660377366</v>
      </c>
      <c r="BW288" s="95">
        <v>8.3000000000000007</v>
      </c>
      <c r="BX288" s="79">
        <f>IF(ISERROR((BW288/BU288-1)*100),"NA",IF(((BW288/BU288-1)*100)&gt;100,"NM",IF(((BW288/BU288-1)*100)&lt;-50,"NM",(BW288/BU288-1)*100)))</f>
        <v>2.4691358024691468</v>
      </c>
      <c r="BY288" s="95">
        <v>0.5</v>
      </c>
      <c r="BZ288" s="79" t="str">
        <f>IF(ISERROR((BY288/BW288-1)*100),"NA",IF(((BY288/BW288-1)*100)&gt;100,"NM",IF(((BY288/BW288-1)*100)&lt;-50,"NM",(BY288/BW288-1)*100)))</f>
        <v>NM</v>
      </c>
      <c r="CA288" s="95">
        <v>0.8</v>
      </c>
      <c r="CB288" s="79">
        <f>IF(ISERROR((CA288/BY288-1)*100),"NA",IF(((CA288/BY288-1)*100)&gt;100,"NM",IF(((CA288/BY288-1)*100)&lt;-50,"NM",(CA288/BY288-1)*100)))</f>
        <v>60.000000000000007</v>
      </c>
      <c r="CC288" s="95">
        <v>0.4</v>
      </c>
      <c r="CD288" s="79">
        <f>IF(ISERROR((CC288/CA288-1)*100),"NA",IF(((CC288/CA288-1)*100)&gt;100,"NM",IF(((CC288/CA288-1)*100)&lt;-50,"NM",(CC288/CA288-1)*100)))</f>
        <v>-50</v>
      </c>
      <c r="CE288" s="95">
        <v>1.6</v>
      </c>
      <c r="CF288" s="79" t="str">
        <f>IF(ISERROR((CE288/CC288-1)*100),"NA",IF(((CE288/CC288-1)*100)&gt;100,"NM",IF(((CE288/CC288-1)*100)&lt;-50,"NM",(CE288/CC288-1)*100)))</f>
        <v>NM</v>
      </c>
      <c r="CG288" s="95">
        <v>1</v>
      </c>
      <c r="CH288" s="79">
        <f>IF(ISERROR((CG288/CE288-1)*100),"NA",IF(((CG288/CE288-1)*100)&gt;100,"NM",IF(((CG288/CE288-1)*100)&lt;-50,"NM",(CG288/CE288-1)*100)))</f>
        <v>-37.5</v>
      </c>
      <c r="CI288" s="95">
        <v>-0.4</v>
      </c>
      <c r="CJ288" s="79" t="str">
        <f>IF(ISERROR((CI288/CG288-1)*100),"NA",IF(((CI288/CG288-1)*100)&gt;100,"NM",IF(((CI288/CG288-1)*100)&lt;-50,"NM",(CI288/CG288-1)*100)))</f>
        <v>NM</v>
      </c>
      <c r="CK288" s="95">
        <v>2.2000000000000002</v>
      </c>
      <c r="CL288" s="79" t="str">
        <f>IF(ISERROR((CK288/CI288-1)*100),"NA",IF(((CK288/CI288-1)*100)&gt;100,"NM",IF(((CK288/CI288-1)*100)&lt;-50,"NM",(CK288/CI288-1)*100)))</f>
        <v>NM</v>
      </c>
      <c r="CM288" s="95">
        <v>17.8</v>
      </c>
      <c r="CN288" s="79" t="str">
        <f>IF(ISERROR((CM288/CK288-1)*100),"NA",IF(((CM288/CK288-1)*100)&gt;100,"NM",IF(((CM288/CK288-1)*100)&lt;-50,"NM",(CM288/CK288-1)*100)))</f>
        <v>NM</v>
      </c>
      <c r="CO288" s="95">
        <v>0.3</v>
      </c>
      <c r="CP288" s="79" t="str">
        <f>IF(ISERROR((CO288/CM288-1)*100),"NA",IF(((CO288/CM288-1)*100)&gt;100,"NM",IF(((CO288/CM288-1)*100)&lt;-50,"NM",(CO288/CM288-1)*100)))</f>
        <v>NM</v>
      </c>
      <c r="CQ288" s="95">
        <v>1.5</v>
      </c>
      <c r="CR288" s="79" t="str">
        <f>IF(ISERROR((CQ288/CO288-1)*100),"NA",IF(((CQ288/CO288-1)*100)&gt;100,"NM",IF(((CQ288/CO288-1)*100)&lt;-50,"NM",(CQ288/CO288-1)*100)))</f>
        <v>NM</v>
      </c>
      <c r="CS288" s="95">
        <v>0.4</v>
      </c>
      <c r="CT288" s="79" t="str">
        <f>IF(ISERROR((CS288/CQ288-1)*100),"NA",IF(((CS288/CQ288-1)*100)&gt;100,"NM",IF(((CS288/CQ288-1)*100)&lt;-50,"NM",(CS288/CQ288-1)*100)))</f>
        <v>NM</v>
      </c>
      <c r="CU288" s="95">
        <v>0.6</v>
      </c>
      <c r="CV288" s="79">
        <f>IF(ISERROR((CU288/CS288-1)*100),"NA",IF(((CU288/CS288-1)*100)&gt;100,"NM",IF(((CU288/CS288-1)*100)&lt;-50,"NM",(CU288/CS288-1)*100)))</f>
        <v>49.999999999999979</v>
      </c>
      <c r="CW288" s="95">
        <v>1.6</v>
      </c>
      <c r="CX288" s="79" t="str">
        <f>IF(ISERROR((CW288/CU288-1)*100),"NA",IF(((CW288/CU288-1)*100)&gt;100,"NM",IF(((CW288/CU288-1)*100)&lt;-50,"NM",(CW288/CU288-1)*100)))</f>
        <v>NM</v>
      </c>
      <c r="CY288" s="95">
        <v>0.8</v>
      </c>
      <c r="CZ288" s="79">
        <f>IF(ISERROR((CY288/CW288-1)*100),"NA",IF(((CY288/CW288-1)*100)&gt;100,"NM",IF(((CY288/CW288-1)*100)&lt;-50,"NM",(CY288/CW288-1)*100)))</f>
        <v>-50</v>
      </c>
      <c r="DA288" s="95">
        <v>0.3</v>
      </c>
      <c r="DB288" s="79" t="str">
        <f>IF(ISERROR((DA288/CY288-1)*100),"NA",IF(((DA288/CY288-1)*100)&gt;100,"NM",IF(((DA288/CY288-1)*100)&lt;-50,"NM",(DA288/CY288-1)*100)))</f>
        <v>NM</v>
      </c>
      <c r="DC288" s="95">
        <v>5</v>
      </c>
      <c r="DD288" s="79" t="str">
        <f>IF(ISERROR((DC288/DA288-1)*100),"NA",IF(((DC288/DA288-1)*100)&gt;100,"NM",IF(((DC288/DA288-1)*100)&lt;-50,"NM",(DC288/DA288-1)*100)))</f>
        <v>NM</v>
      </c>
      <c r="DE288" s="95">
        <v>1.5</v>
      </c>
      <c r="DF288" s="79" t="str">
        <f>IF(ISERROR((DE288/DC288-1)*100),"NA",IF(((DE288/DC288-1)*100)&gt;100,"NM",IF(((DE288/DC288-1)*100)&lt;-50,"NM",(DE288/DC288-1)*100)))</f>
        <v>NM</v>
      </c>
      <c r="DG288" s="95">
        <v>-0.2</v>
      </c>
      <c r="DH288" s="79" t="str">
        <f>IF(ISERROR((DG288/DE288-1)*100),"NA",IF(((DG288/DE288-1)*100)&gt;100,"NM",IF(((DG288/DE288-1)*100)&lt;-50,"NM",(DG288/DE288-1)*100)))</f>
        <v>NM</v>
      </c>
      <c r="DI288" s="95">
        <v>0.9</v>
      </c>
      <c r="DJ288" s="79" t="str">
        <f>IF(ISERROR((DI288/DG288-1)*100),"NA",IF(((DI288/DG288-1)*100)&gt;100,"NM",IF(((DI288/DG288-1)*100)&lt;-50,"NM",(DI288/DG288-1)*100)))</f>
        <v>NM</v>
      </c>
      <c r="DK288" s="95">
        <v>2.8</v>
      </c>
      <c r="DL288" s="79" t="str">
        <f>IF(ISERROR((DK288/DI288-1)*100),"NA",IF(((DK288/DI288-1)*100)&gt;100,"NM",IF(((DK288/DI288-1)*100)&lt;-50,"NM",(DK288/DI288-1)*100)))</f>
        <v>NM</v>
      </c>
      <c r="DM288" s="95">
        <v>0.3</v>
      </c>
      <c r="DN288" s="79" t="str">
        <f>IF(ISERROR((DM288/DK288-1)*100),"NA",IF(((DM288/DK288-1)*100)&gt;100,"NM",IF(((DM288/DK288-1)*100)&lt;-50,"NM",(DM288/DK288-1)*100)))</f>
        <v>NM</v>
      </c>
      <c r="DO288" s="95">
        <v>0.5</v>
      </c>
      <c r="DP288" s="79">
        <f>IF(ISERROR((DO288/DM288-1)*100),"NA",IF(((DO288/DM288-1)*100)&gt;100,"NM",IF(((DO288/DM288-1)*100)&lt;-50,"NM",(DO288/DM288-1)*100)))</f>
        <v>66.666666666666671</v>
      </c>
      <c r="DQ288" s="95">
        <v>1.8</v>
      </c>
      <c r="DR288" s="79" t="str">
        <f>IF(ISERROR((DQ288/DO288-1)*100),"NA",IF(((DQ288/DO288-1)*100)&gt;100,"NM",IF(((DQ288/DO288-1)*100)&lt;-50,"NM",(DQ288/DO288-1)*100)))</f>
        <v>NM</v>
      </c>
      <c r="DS288" s="95">
        <v>0.3</v>
      </c>
      <c r="DT288" s="79" t="str">
        <f>IF(ISERROR((DS288/DQ288-1)*100),"NA",IF(((DS288/DQ288-1)*100)&gt;100,"NM",IF(((DS288/DQ288-1)*100)&lt;-50,"NM",(DS288/DQ288-1)*100)))</f>
        <v>NM</v>
      </c>
      <c r="DU288" s="95">
        <v>0.3</v>
      </c>
      <c r="DV288" s="79">
        <f>IF(ISERROR((DU288/DS288-1)*100),"NA",IF(((DU288/DS288-1)*100)&gt;100,"NM",IF(((DU288/DS288-1)*100)&lt;-50,"NM",(DU288/DS288-1)*100)))</f>
        <v>0</v>
      </c>
      <c r="DW288" s="95">
        <v>1.3</v>
      </c>
      <c r="DX288" s="79" t="str">
        <f>IF(ISERROR((DW288/DU288-1)*100),"NA",IF(((DW288/DU288-1)*100)&gt;100,"NM",IF(((DW288/DU288-1)*100)&lt;-50,"NM",(DW288/DU288-1)*100)))</f>
        <v>NM</v>
      </c>
      <c r="DY288" s="95">
        <v>0.9</v>
      </c>
      <c r="DZ288" s="79">
        <f>IF(ISERROR((DY288/DW288-1)*100),"NA",IF(((DY288/DW288-1)*100)&gt;100,"NM",IF(((DY288/DW288-1)*100)&lt;-50,"NM",(DY288/DW288-1)*100)))</f>
        <v>-30.76923076923077</v>
      </c>
      <c r="EA288" s="95">
        <v>2.4</v>
      </c>
      <c r="EB288" s="79" t="str">
        <f>IF(ISERROR((EA288/DY288-1)*100),"NA",IF(((EA288/DY288-1)*100)&gt;100,"NM",IF(((EA288/DY288-1)*100)&lt;-50,"NM",(EA288/DY288-1)*100)))</f>
        <v>NM</v>
      </c>
      <c r="EC288" s="95">
        <v>0.4</v>
      </c>
      <c r="ED288" s="79" t="str">
        <f t="shared" si="958"/>
        <v>NM</v>
      </c>
      <c r="EE288" s="95">
        <v>0.7</v>
      </c>
      <c r="EF288" s="79">
        <f t="shared" si="959"/>
        <v>74.999999999999972</v>
      </c>
      <c r="EG288" s="95">
        <v>0.4</v>
      </c>
      <c r="EH288" s="79">
        <f t="shared" si="960"/>
        <v>-42.857142857142847</v>
      </c>
      <c r="EI288" s="95">
        <v>1.4</v>
      </c>
      <c r="EJ288" s="79" t="str">
        <f t="shared" si="961"/>
        <v>NM</v>
      </c>
      <c r="EK288" s="95">
        <v>0</v>
      </c>
      <c r="EL288" s="79" t="str">
        <f t="shared" si="963"/>
        <v>NM</v>
      </c>
      <c r="EM288" s="95">
        <f t="shared" ref="EM288" si="974">EK288</f>
        <v>0</v>
      </c>
      <c r="EN288" s="79" t="str">
        <f t="shared" si="965"/>
        <v>NA</v>
      </c>
      <c r="EO288" s="95">
        <f t="shared" ref="EO288" si="975">EM288</f>
        <v>0</v>
      </c>
      <c r="EP288" s="79" t="str">
        <f t="shared" si="967"/>
        <v>NA</v>
      </c>
      <c r="EQ288" s="95">
        <f t="shared" ref="EQ288" si="976">EO288</f>
        <v>0</v>
      </c>
      <c r="ER288" s="79" t="str">
        <f t="shared" si="969"/>
        <v>NA</v>
      </c>
      <c r="ES288" s="129"/>
      <c r="ET288" s="469"/>
      <c r="EU288" s="129"/>
      <c r="EV288" s="75"/>
      <c r="EW288" s="79"/>
      <c r="EX288" s="75"/>
      <c r="EY288" s="79"/>
      <c r="EZ288" s="75"/>
      <c r="FA288" s="79"/>
      <c r="FB288" s="75"/>
      <c r="FC288" s="79"/>
      <c r="FD288" s="35">
        <f>+S288+Q288+O288+M288</f>
        <v>243.4</v>
      </c>
      <c r="FE288" s="79" t="str">
        <f>IF(ISERROR((FD288/FB288-1)*100),"NA",IF(((FD288/FB288-1)*100)&gt;100,"NM",IF(((FD288/FB288-1)*100)&lt;-50,"NM",(FD288/FB288-1)*100)))</f>
        <v>NA</v>
      </c>
      <c r="FF288" s="35">
        <f>+AA288+Y288+W288+U288</f>
        <v>212.4</v>
      </c>
      <c r="FG288" s="79">
        <f>IF(ISERROR((FF288/FD288-1)*100),"NA",IF(((FF288/FD288-1)*100)&gt;100,"NM",IF(((FF288/FD288-1)*100)&lt;-50,"NM",(FF288/FD288-1)*100)))</f>
        <v>-12.736236647493836</v>
      </c>
      <c r="FH288" s="35">
        <f>+AI288+AG288+AE288+AC288</f>
        <v>241.89999999999998</v>
      </c>
      <c r="FI288" s="79">
        <f>IF(ISERROR((FH288/FF288-1)*100),"NA",IF(((FH288/FF288-1)*100)&gt;100,"NM",IF(((FH288/FF288-1)*100)&lt;-50,"NM",(FH288/FF288-1)*100)))</f>
        <v>13.888888888888884</v>
      </c>
      <c r="FJ288" s="35">
        <f>+AQ288+AO288+AM288+AK288</f>
        <v>181.2</v>
      </c>
      <c r="FK288" s="79">
        <f>IF(ISERROR((FJ288/FH288-1)*100),"NA",IF(((FJ288/FH288-1)*100)&gt;100,"NM",IF(((FJ288/FH288-1)*100)&lt;-50,"NM",(FJ288/FH288-1)*100)))</f>
        <v>-25.093013642000827</v>
      </c>
      <c r="FL288" s="78">
        <f>AS288+AU288+AW288+AY288</f>
        <v>141.4</v>
      </c>
      <c r="FM288" s="79">
        <f>IF(ISERROR((FL288/FJ288-1)*100),"NA",IF(((FL288/FJ288-1)*100)&gt;100,"NM",IF(((FL288/FJ288-1)*100)&lt;-50,"NM",(FL288/FJ288-1)*100)))</f>
        <v>-21.964679911699768</v>
      </c>
      <c r="FN288" s="78">
        <f>BA288+BC288+BE288+BG288</f>
        <v>30.799999999999997</v>
      </c>
      <c r="FO288" s="79" t="str">
        <f>IF(ISERROR((FN288/FL288-1)*100),"NA",IF(((FN288/FL288-1)*100)&gt;100,"NM",IF(((FN288/FL288-1)*100)&lt;-50,"NM",(FN288/FL288-1)*100)))</f>
        <v>NM</v>
      </c>
      <c r="FP288" s="78">
        <f>BI288+BK288+BM288+BO288</f>
        <v>42.2</v>
      </c>
      <c r="FQ288" s="79">
        <f>IF(ISERROR((FP288/FN288-1)*100),"NA",IF(((FP288/FN288-1)*100)&gt;100,"NM",IF(((FP288/FN288-1)*100)&lt;-50,"NM",(FP288/FN288-1)*100)))</f>
        <v>37.012987012987033</v>
      </c>
      <c r="FR288" s="95">
        <v>4.4000000000000004</v>
      </c>
      <c r="FS288" s="79" t="str">
        <f>IF(ISERROR((FR288/FP288-1)*100),"NA",IF(((FR288/FP288-1)*100)&gt;100,"NM",IF(((FR288/FP288-1)*100)&lt;-50,"NM",(FR288/FP288-1)*100)))</f>
        <v>NM</v>
      </c>
      <c r="FT288" s="93">
        <f>BY288+CA288+CC288+CE288</f>
        <v>3.3000000000000003</v>
      </c>
      <c r="FU288" s="79">
        <f>IF(ISERROR((FT288/FR288-1)*100),"NA",IF(((FT288/FR288-1)*100)&gt;100,"NM",IF(((FT288/FR288-1)*100)&lt;-50,"NM",(FT288/FR288-1)*100)))</f>
        <v>-25</v>
      </c>
      <c r="FV288" s="93">
        <f>CG288+CI288+CK288+CM288</f>
        <v>20.6</v>
      </c>
      <c r="FW288" s="79" t="str">
        <f>IF(ISERROR((FV288/FT288-1)*100),"NA",IF(((FV288/FT288-1)*100)&gt;100,"NM",IF(((FV288/FT288-1)*100)&lt;-50,"NM",(FV288/FT288-1)*100)))</f>
        <v>NM</v>
      </c>
      <c r="FX288" s="93">
        <f>CO288+CQ288+CS288+CU288</f>
        <v>2.8000000000000003</v>
      </c>
      <c r="FY288" s="79" t="str">
        <f>IF(ISERROR((FX288/FV288-1)*100),"NA",IF(((FX288/FV288-1)*100)&gt;100,"NM",IF(((FX288/FV288-1)*100)&lt;-50,"NM",(FX288/FV288-1)*100)))</f>
        <v>NM</v>
      </c>
      <c r="FZ288" s="93">
        <f>CW288+CY288+DA288+DC288</f>
        <v>7.7</v>
      </c>
      <c r="GA288" s="79" t="str">
        <f>IF(ISERROR((FZ288/FX288-1)*100),"NA",IF(((FZ288/FX288-1)*100)&gt;100,"NM",IF(((FZ288/FX288-1)*100)&lt;-50,"NM",(FZ288/FX288-1)*100)))</f>
        <v>NM</v>
      </c>
      <c r="GB288" s="93">
        <f>DE288+DG288+DI288+DK288</f>
        <v>5</v>
      </c>
      <c r="GC288" s="79">
        <f>IF(ISERROR((GB288/FZ288-1)*100),"NA",IF(((GB288/FZ288-1)*100)&gt;100,"NM",IF(((GB288/FZ288-1)*100)&lt;-50,"NM",(GB288/FZ288-1)*100)))</f>
        <v>-35.064935064935064</v>
      </c>
      <c r="GD288" s="93">
        <f>DM288+DO288+DQ288+DS288</f>
        <v>2.9</v>
      </c>
      <c r="GE288" s="79">
        <f>IF(ISERROR((GD288/GB288-1)*100),"NA",IF(((GD288/GB288-1)*100)&gt;100,"NM",IF(((GD288/GB288-1)*100)&lt;-50,"NM",(GD288/GB288-1)*100)))</f>
        <v>-42.000000000000007</v>
      </c>
      <c r="GF288" s="93">
        <f>DU288+DW288+DY288+EA288</f>
        <v>4.9000000000000004</v>
      </c>
      <c r="GG288" s="79">
        <f>IF(ISERROR((GF288/GD288-1)*100),"NA",IF(((GF288/GD288-1)*100)&gt;100,"NM",IF(((GF288/GD288-1)*100)&lt;-50,"NM",(GF288/GD288-1)*100)))</f>
        <v>68.965517241379331</v>
      </c>
      <c r="GH288" s="93">
        <f>EC288+EE288+EG288+EI288</f>
        <v>2.9</v>
      </c>
      <c r="GI288" s="79">
        <f>IF(ISERROR((GH288/GF288-1)*100),"NA",IF(((GH288/GF288-1)*100)&gt;100,"NM",IF(((GH288/GF288-1)*100)&lt;-50,"NM",(GH288/GF288-1)*100)))</f>
        <v>-40.816326530612244</v>
      </c>
      <c r="GJ288" s="93">
        <f>EK288+EM288+EO288+EQ288</f>
        <v>0</v>
      </c>
      <c r="GK288" s="79" t="str">
        <f>IF(ISERROR((GJ288/GH288-1)*100),"NA",IF(((GJ288/GH288-1)*100)&gt;100,"NM",IF(((GJ288/GH288-1)*100)&lt;-50,"NM",(GJ288/GH288-1)*100)))</f>
        <v>NM</v>
      </c>
      <c r="GL288" s="95">
        <f>GJ288*1.05</f>
        <v>0</v>
      </c>
      <c r="GM288" s="79" t="str">
        <f>IF(ISERROR((GL288/GJ288-1)*100),"NA",IF(((GL288/GJ288-1)*100)&gt;100,"NM",IF(((GL288/GJ288-1)*100)&lt;-50,"NM",(GL288/GJ288-1)*100)))</f>
        <v>NA</v>
      </c>
      <c r="GN288" s="95">
        <f>GL288*1.05</f>
        <v>0</v>
      </c>
      <c r="GO288" s="79" t="str">
        <f>IF(ISERROR((GN288/GL288-1)*100),"NA",IF(((GN288/GL288-1)*100)&gt;100,"NM",IF(((GN288/GL288-1)*100)&lt;-50,"NM",(GN288/GL288-1)*100)))</f>
        <v>NA</v>
      </c>
      <c r="GP288" s="95">
        <f>GN288*1.05</f>
        <v>0</v>
      </c>
      <c r="GQ288" s="79" t="str">
        <f>IF(ISERROR((GP288/GN288-1)*100),"NA",IF(((GP288/GN288-1)*100)&gt;100,"NM",IF(((GP288/GN288-1)*100)&lt;-50,"NM",(GP288/GN288-1)*100)))</f>
        <v>NA</v>
      </c>
      <c r="GR288" s="95">
        <f>GP288*1.05</f>
        <v>0</v>
      </c>
      <c r="GS288" s="79" t="str">
        <f>IF(ISERROR((GR288/GP288-1)*100),"NA",IF(((GR288/GP288-1)*100)&gt;100,"NM",IF(((GR288/GP288-1)*100)&lt;-50,"NM",(GR288/GP288-1)*100)))</f>
        <v>NA</v>
      </c>
      <c r="GT288" s="79" t="str">
        <f>IF(ISERROR(((GR288/GH288)^0.2-1)*100),"NA",(IF(OR(((GR288/GH288)^0.2-1)*100&gt;99,((GR288/GH288)^0.2-1)*100&lt;-50),"NM",(((GR288/GH288)^0.2-1)*100))))</f>
        <v>NM</v>
      </c>
    </row>
    <row r="289" spans="1:286" s="132" customFormat="1" ht="12.75" customHeight="1" x14ac:dyDescent="0.2">
      <c r="A289" s="133"/>
      <c r="B289" s="83" t="s">
        <v>56</v>
      </c>
      <c r="C289" s="139"/>
      <c r="D289" s="139"/>
      <c r="E289" s="199">
        <f>SUM(E285:E288)</f>
        <v>156.10000000000002</v>
      </c>
      <c r="F289" s="139"/>
      <c r="G289" s="199">
        <f>SUM(G285:G288)</f>
        <v>155.69999999999999</v>
      </c>
      <c r="H289" s="139"/>
      <c r="I289" s="199">
        <f>SUM(I285:I288)</f>
        <v>146.1</v>
      </c>
      <c r="J289" s="139"/>
      <c r="K289" s="199">
        <f>SUM(K285:K288)</f>
        <v>83.800000000000011</v>
      </c>
      <c r="L289" s="79"/>
      <c r="M289" s="199">
        <f>SUM(M285:M288)</f>
        <v>118.60000000000001</v>
      </c>
      <c r="N289" s="79">
        <f>IF(ISERROR((M289/K289-1)*100),"NA",IF(((M289/K289-1)*100)&gt;100,"NM",IF(((M289/K289-1)*100)&lt;-50,"NM",(M289/K289-1)*100)))</f>
        <v>41.527446300715987</v>
      </c>
      <c r="O289" s="199">
        <f>SUM(O285:O288)</f>
        <v>111.3</v>
      </c>
      <c r="P289" s="79">
        <f>IF(ISERROR((O289/M289-1)*100),"NA",IF(((O289/M289-1)*100)&gt;100,"NM",IF(((O289/M289-1)*100)&lt;-50,"NM",(O289/M289-1)*100)))</f>
        <v>-6.155143338954483</v>
      </c>
      <c r="Q289" s="199">
        <f>SUM(Q285:Q288)</f>
        <v>110.8</v>
      </c>
      <c r="R289" s="79">
        <f>IF(ISERROR((Q289/O289-1)*100),"NA",IF(((Q289/O289-1)*100)&gt;100,"NM",IF(((Q289/O289-1)*100)&lt;-50,"NM",(Q289/O289-1)*100)))</f>
        <v>-0.44923629829289879</v>
      </c>
      <c r="S289" s="199">
        <f>SUM(S285:S288)</f>
        <v>99.4</v>
      </c>
      <c r="T289" s="79">
        <f>IF(ISERROR((S289/Q289-1)*100),"NA",IF(((S289/Q289-1)*100)&gt;100,"NM",IF(((S289/Q289-1)*100)&lt;-50,"NM",(S289/Q289-1)*100)))</f>
        <v>-10.288808664259918</v>
      </c>
      <c r="U289" s="199">
        <f>SUM(U285:U288)</f>
        <v>105.9</v>
      </c>
      <c r="V289" s="79">
        <f>IF(ISERROR((U289/S289-1)*100),"NA",IF(((U289/S289-1)*100)&gt;100,"NM",IF(((U289/S289-1)*100)&lt;-50,"NM",(U289/S289-1)*100)))</f>
        <v>6.5392354124748531</v>
      </c>
      <c r="W289" s="199">
        <f>SUM(W285:W288)</f>
        <v>106.20000000000002</v>
      </c>
      <c r="X289" s="79">
        <f>IF(ISERROR((W289/U289-1)*100),"NA",IF(((W289/U289-1)*100)&gt;100,"NM",IF(((W289/U289-1)*100)&lt;-50,"NM",(W289/U289-1)*100)))</f>
        <v>0.28328611898018607</v>
      </c>
      <c r="Y289" s="199">
        <f>SUM(Y285:Y288)</f>
        <v>102.3</v>
      </c>
      <c r="Z289" s="79">
        <f>IF(ISERROR((Y289/W289-1)*100),"NA",IF(((Y289/W289-1)*100)&gt;100,"NM",IF(((Y289/W289-1)*100)&lt;-50,"NM",(Y289/W289-1)*100)))</f>
        <v>-3.6723163841808071</v>
      </c>
      <c r="AA289" s="203">
        <f>SUM(AA285:AA288)</f>
        <v>96</v>
      </c>
      <c r="AB289" s="79">
        <f>IF(ISERROR((AA289/Y289-1)*100),"NA",IF(((AA289/Y289-1)*100)&gt;100,"NM",IF(((AA289/Y289-1)*100)&lt;-50,"NM",(AA289/Y289-1)*100)))</f>
        <v>-6.1583577712609916</v>
      </c>
      <c r="AC289" s="199">
        <f>SUM(AC285:AC288)</f>
        <v>101.30000000000001</v>
      </c>
      <c r="AD289" s="79">
        <f>IF(ISERROR((AC289/AA289-1)*100),"NA",IF(((AC289/AA289-1)*100)&gt;100,"NM",IF(((AC289/AA289-1)*100)&lt;-50,"NM",(AC289/AA289-1)*100)))</f>
        <v>5.5208333333333526</v>
      </c>
      <c r="AE289" s="199">
        <f>SUM(AE285:AE288)</f>
        <v>112.30000000000001</v>
      </c>
      <c r="AF289" s="79">
        <f>IF(ISERROR((AE289/AC289-1)*100),"NA",IF(((AE289/AC289-1)*100)&gt;100,"NM",IF(((AE289/AC289-1)*100)&lt;-50,"NM",(AE289/AC289-1)*100)))</f>
        <v>10.858835143139189</v>
      </c>
      <c r="AG289" s="199">
        <f>SUM(AG285:AG288)</f>
        <v>105.5</v>
      </c>
      <c r="AH289" s="79">
        <f>IF(ISERROR((AG289/AE289-1)*100),"NA",IF(((AG289/AE289-1)*100)&gt;100,"NM",IF(((AG289/AE289-1)*100)&lt;-50,"NM",(AG289/AE289-1)*100)))</f>
        <v>-6.0552092609082901</v>
      </c>
      <c r="AI289" s="199">
        <f>SUM(AI285:AI288)</f>
        <v>113.8</v>
      </c>
      <c r="AJ289" s="79">
        <f>IF(ISERROR((AI289/AG289-1)*100),"NA",IF(((AI289/AG289-1)*100)&gt;100,"NM",IF(((AI289/AG289-1)*100)&lt;-50,"NM",(AI289/AG289-1)*100)))</f>
        <v>7.8672985781990556</v>
      </c>
      <c r="AK289" s="199">
        <f>SUM(AK285:AK288)</f>
        <v>100.4</v>
      </c>
      <c r="AL289" s="79">
        <f>IF(ISERROR((AK289/AI289-1)*100),"NA",IF(((AK289/AI289-1)*100)&gt;100,"NM",IF(((AK289/AI289-1)*100)&lt;-50,"NM",(AK289/AI289-1)*100)))</f>
        <v>-11.7750439367311</v>
      </c>
      <c r="AM289" s="199">
        <f>SUM(AM285:AM288)</f>
        <v>103.5</v>
      </c>
      <c r="AN289" s="79">
        <f>IF(ISERROR((AM289/AK289-1)*100),"NA",IF(((AM289/AK289-1)*100)&gt;100,"NM",IF(((AM289/AK289-1)*100)&lt;-50,"NM",(AM289/AK289-1)*100)))</f>
        <v>3.0876494023904355</v>
      </c>
      <c r="AO289" s="199">
        <f>SUM(AO285:AO288)</f>
        <v>98.4</v>
      </c>
      <c r="AP289" s="79">
        <f>IF(ISERROR((AO289/AM289-1)*100),"NA",IF(((AO289/AM289-1)*100)&gt;100,"NM",IF(((AO289/AM289-1)*100)&lt;-50,"NM",(AO289/AM289-1)*100)))</f>
        <v>-4.927536231884055</v>
      </c>
      <c r="AQ289" s="199">
        <f>SUM(AQ285:AQ288)</f>
        <v>51.4</v>
      </c>
      <c r="AR289" s="79">
        <f>IF(ISERROR((AQ289/AO289-1)*100),"NA",IF(((AQ289/AO289-1)*100)&gt;100,"NM",IF(((AQ289/AO289-1)*100)&lt;-50,"NM",(AQ289/AO289-1)*100)))</f>
        <v>-47.764227642276424</v>
      </c>
      <c r="AS289" s="199">
        <f>SUM(AS285:AS288)</f>
        <v>56.2</v>
      </c>
      <c r="AT289" s="81">
        <f>IF(ISERROR((AS289/AQ289-1)*100),"NA",IF(((AS289/AQ289-1)*100)&gt;100,"NM",IF(((AS289/AQ289-1)*100)&lt;-50,"NM",(AS289/AQ289-1)*100)))</f>
        <v>9.3385214007782213</v>
      </c>
      <c r="AU289" s="199">
        <f>SUM(AU285:AU288)</f>
        <v>99.300000000000011</v>
      </c>
      <c r="AV289" s="81">
        <f>IF(ISERROR((AU289/AS289-1)*100),"NA",IF(((AU289/AS289-1)*100)&gt;100,"NM",IF(((AU289/AS289-1)*100)&lt;-50,"NM",(AU289/AS289-1)*100)))</f>
        <v>76.690391459074746</v>
      </c>
      <c r="AW289" s="199">
        <f>SUM(AW285:AW288)</f>
        <v>98</v>
      </c>
      <c r="AX289" s="81">
        <f>IF(ISERROR((AW289/AU289-1)*100),"NA",IF(((AW289/AU289-1)*100)&gt;100,"NM",IF(((AW289/AU289-1)*100)&lt;-50,"NM",(AW289/AU289-1)*100)))</f>
        <v>-1.3091641490433181</v>
      </c>
      <c r="AY289" s="199">
        <f>SUM(AY285:AY288)</f>
        <v>53.000000000000007</v>
      </c>
      <c r="AZ289" s="81">
        <f>IF(ISERROR((AY289/AW289-1)*100),"NA",IF(((AY289/AW289-1)*100)&gt;100,"NM",IF(((AY289/AW289-1)*100)&lt;-50,"NM",(AY289/AW289-1)*100)))</f>
        <v>-45.918367346938773</v>
      </c>
      <c r="BA289" s="199">
        <f>SUM(BA285:BA288)</f>
        <v>53.699999999999996</v>
      </c>
      <c r="BB289" s="81">
        <f>IF(ISERROR((BA289/AY289-1)*100),"NA",IF(((BA289/AY289-1)*100)&gt;100,"NM",IF(((BA289/AY289-1)*100)&lt;-50,"NM",(BA289/AY289-1)*100)))</f>
        <v>1.3207547169811207</v>
      </c>
      <c r="BC289" s="199">
        <f>SUM(BC285:BC288)</f>
        <v>49.999999999999986</v>
      </c>
      <c r="BD289" s="81">
        <f>IF(ISERROR((BC289/BA289-1)*100),"NA",IF(((BC289/BA289-1)*100)&gt;100,"NM",IF(((BC289/BA289-1)*100)&lt;-50,"NM",(BC289/BA289-1)*100)))</f>
        <v>-6.8901303538175256</v>
      </c>
      <c r="BE289" s="199">
        <f>SUM(BE285:BE288)</f>
        <v>48</v>
      </c>
      <c r="BF289" s="81">
        <f>IF(ISERROR((BE289/BC289-1)*100),"NA",IF(((BE289/BC289-1)*100)&gt;100,"NM",IF(((BE289/BC289-1)*100)&lt;-50,"NM",(BE289/BC289-1)*100)))</f>
        <v>-3.9999999999999702</v>
      </c>
      <c r="BG289" s="199">
        <f>SUM(BG285:BG288)</f>
        <v>61.8</v>
      </c>
      <c r="BH289" s="81">
        <f>IF(ISERROR((BG289/BE289-1)*100),"NA",IF(((BG289/BE289-1)*100)&gt;100,"NM",IF(((BG289/BE289-1)*100)&lt;-50,"NM",(BG289/BE289-1)*100)))</f>
        <v>28.749999999999986</v>
      </c>
      <c r="BI289" s="199">
        <f>SUM(BI285:BI288)</f>
        <v>67</v>
      </c>
      <c r="BJ289" s="81">
        <f>IF(ISERROR((BI289/BG289-1)*100),"NA",IF(((BI289/BG289-1)*100)&gt;100,"NM",IF(((BI289/BG289-1)*100)&lt;-50,"NM",(BI289/BG289-1)*100)))</f>
        <v>8.4142394822006583</v>
      </c>
      <c r="BK289" s="199">
        <f>SUM(BK285:BK288)</f>
        <v>58.9</v>
      </c>
      <c r="BL289" s="81">
        <f>IF(ISERROR((BK289/BI289-1)*100),"NA",IF(((BK289/BI289-1)*100)&gt;100,"NM",IF(((BK289/BI289-1)*100)&lt;-50,"NM",(BK289/BI289-1)*100)))</f>
        <v>-12.089552238805968</v>
      </c>
      <c r="BM289" s="199">
        <f>SUM(BM285:BM288)</f>
        <v>57.8</v>
      </c>
      <c r="BN289" s="81">
        <f>IF(ISERROR((BM289/BK289-1)*100),"NA",IF(((BM289/BK289-1)*100)&gt;100,"NM",IF(((BM289/BK289-1)*100)&lt;-50,"NM",(BM289/BK289-1)*100)))</f>
        <v>-1.8675721561969505</v>
      </c>
      <c r="BO289" s="199">
        <f>SUM(BO285:BO288)</f>
        <v>57.4</v>
      </c>
      <c r="BP289" s="81">
        <f>IF(ISERROR((BO289/BM289-1)*100),"NA",IF(((BO289/BM289-1)*100)&gt;100,"NM",IF(((BO289/BM289-1)*100)&lt;-50,"NM",(BO289/BM289-1)*100)))</f>
        <v>-0.69204152249134898</v>
      </c>
      <c r="BQ289" s="199">
        <f>SUM(BQ285:BQ288)</f>
        <v>49.8</v>
      </c>
      <c r="BR289" s="81">
        <f>IF(ISERROR((BQ289/BO289-1)*100),"NA",IF(((BQ289/BO289-1)*100)&gt;100,"NM",IF(((BQ289/BO289-1)*100)&lt;-50,"NM",(BQ289/BO289-1)*100)))</f>
        <v>-13.240418118466902</v>
      </c>
      <c r="BS289" s="199">
        <f>SUM(BS285:BS288)</f>
        <v>54</v>
      </c>
      <c r="BT289" s="81">
        <f>IF(ISERROR((BS289/BQ289-1)*100),"NA",IF(((BS289/BQ289-1)*100)&gt;100,"NM",IF(((BS289/BQ289-1)*100)&lt;-50,"NM",(BS289/BQ289-1)*100)))</f>
        <v>8.4337349397590522</v>
      </c>
      <c r="BU289" s="199">
        <f>SUM(BU285:BU288)</f>
        <v>49.800000000000004</v>
      </c>
      <c r="BV289" s="81">
        <f>IF(ISERROR((BU289/BS289-1)*100),"NA",IF(((BU289/BS289-1)*100)&gt;100,"NM",IF(((BU289/BS289-1)*100)&lt;-50,"NM",(BU289/BS289-1)*100)))</f>
        <v>-7.7777777777777724</v>
      </c>
      <c r="BW289" s="199">
        <f>SUM(BW285:BW288)</f>
        <v>50.599999999999994</v>
      </c>
      <c r="BX289" s="81">
        <f>IF(ISERROR((BW289/BU289-1)*100),"NA",IF(((BW289/BU289-1)*100)&gt;100,"NM",IF(((BW289/BU289-1)*100)&lt;-50,"NM",(BW289/BU289-1)*100)))</f>
        <v>1.6064257028112205</v>
      </c>
      <c r="BY289" s="199">
        <f>SUM(BY285:BY288)</f>
        <v>23.7</v>
      </c>
      <c r="BZ289" s="81" t="str">
        <f>IF(ISERROR((BY289/BW289-1)*100),"NA",IF(((BY289/BW289-1)*100)&gt;100,"NM",IF(((BY289/BW289-1)*100)&lt;-50,"NM",(BY289/BW289-1)*100)))</f>
        <v>NM</v>
      </c>
      <c r="CA289" s="199">
        <f>SUM(CA285:CA288)</f>
        <v>27.400000000000002</v>
      </c>
      <c r="CB289" s="81">
        <f>IF(ISERROR((CA289/BY289-1)*100),"NA",IF(((CA289/BY289-1)*100)&gt;100,"NM",IF(((CA289/BY289-1)*100)&lt;-50,"NM",(CA289/BY289-1)*100)))</f>
        <v>15.61181434599157</v>
      </c>
      <c r="CC289" s="199">
        <f>SUM(CC285:CC288)</f>
        <v>25</v>
      </c>
      <c r="CD289" s="81">
        <f>IF(ISERROR((CC289/CA289-1)*100),"NA",IF(((CC289/CA289-1)*100)&gt;100,"NM",IF(((CC289/CA289-1)*100)&lt;-50,"NM",(CC289/CA289-1)*100)))</f>
        <v>-8.7591240875912533</v>
      </c>
      <c r="CE289" s="199">
        <f>SUM(CE285:CE288)</f>
        <v>21.8</v>
      </c>
      <c r="CF289" s="81">
        <f>IF(ISERROR((CE289/CC289-1)*100),"NA",IF(((CE289/CC289-1)*100)&gt;100,"NM",IF(((CE289/CC289-1)*100)&lt;-50,"NM",(CE289/CC289-1)*100)))</f>
        <v>-12.8</v>
      </c>
      <c r="CG289" s="199">
        <f>SUM(CG285:CG288)</f>
        <v>15.5</v>
      </c>
      <c r="CH289" s="81">
        <f>IF(ISERROR((CG289/CE289-1)*100),"NA",IF(((CG289/CE289-1)*100)&gt;100,"NM",IF(((CG289/CE289-1)*100)&lt;-50,"NM",(CG289/CE289-1)*100)))</f>
        <v>-28.899082568807344</v>
      </c>
      <c r="CI289" s="199">
        <f>SUM(CI285:CI288)</f>
        <v>16.400000000000002</v>
      </c>
      <c r="CJ289" s="81">
        <f>IF(ISERROR((CI289/CG289-1)*100),"NA",IF(((CI289/CG289-1)*100)&gt;100,"NM",IF(((CI289/CG289-1)*100)&lt;-50,"NM",(CI289/CG289-1)*100)))</f>
        <v>5.8064516129032295</v>
      </c>
      <c r="CK289" s="199">
        <f>SUM(CK285:CK288)</f>
        <v>15.5</v>
      </c>
      <c r="CL289" s="81">
        <f>IF(ISERROR((CK289/CI289-1)*100),"NA",IF(((CK289/CI289-1)*100)&gt;100,"NM",IF(((CK289/CI289-1)*100)&lt;-50,"NM",(CK289/CI289-1)*100)))</f>
        <v>-5.4878048780487969</v>
      </c>
      <c r="CM289" s="199">
        <f>SUM(CM285:CM288)</f>
        <v>29.4</v>
      </c>
      <c r="CN289" s="81">
        <f>IF(ISERROR((CM289/CK289-1)*100),"NA",IF(((CM289/CK289-1)*100)&gt;100,"NM",IF(((CM289/CK289-1)*100)&lt;-50,"NM",(CM289/CK289-1)*100)))</f>
        <v>89.677419354838705</v>
      </c>
      <c r="CO289" s="199">
        <f>SUM(CO285:CO288)</f>
        <v>7.5</v>
      </c>
      <c r="CP289" s="81" t="str">
        <f>IF(ISERROR((CO289/CM289-1)*100),"NA",IF(((CO289/CM289-1)*100)&gt;100,"NM",IF(((CO289/CM289-1)*100)&lt;-50,"NM",(CO289/CM289-1)*100)))</f>
        <v>NM</v>
      </c>
      <c r="CQ289" s="199">
        <f>SUM(CQ285:CQ288)</f>
        <v>10.4</v>
      </c>
      <c r="CR289" s="81">
        <f>IF(ISERROR((CQ289/CO289-1)*100),"NA",IF(((CQ289/CO289-1)*100)&gt;100,"NM",IF(((CQ289/CO289-1)*100)&lt;-50,"NM",(CQ289/CO289-1)*100)))</f>
        <v>38.666666666666671</v>
      </c>
      <c r="CS289" s="199">
        <f>SUM(CS285:CS288)</f>
        <v>7.3000000000000007</v>
      </c>
      <c r="CT289" s="81">
        <f>IF(ISERROR((CS289/CQ289-1)*100),"NA",IF(((CS289/CQ289-1)*100)&gt;100,"NM",IF(((CS289/CQ289-1)*100)&lt;-50,"NM",(CS289/CQ289-1)*100)))</f>
        <v>-29.807692307692303</v>
      </c>
      <c r="CU289" s="199">
        <f>SUM(CU285:CU288)</f>
        <v>0.6</v>
      </c>
      <c r="CV289" s="81" t="str">
        <f>IF(ISERROR((CU289/CS289-1)*100),"NA",IF(((CU289/CS289-1)*100)&gt;100,"NM",IF(((CU289/CS289-1)*100)&lt;-50,"NM",(CU289/CS289-1)*100)))</f>
        <v>NM</v>
      </c>
      <c r="CW289" s="199">
        <f>SUM(CW285:CW288)</f>
        <v>10.9</v>
      </c>
      <c r="CX289" s="81" t="str">
        <f>IF(ISERROR((CW289/CU289-1)*100),"NA",IF(((CW289/CU289-1)*100)&gt;100,"NM",IF(((CW289/CU289-1)*100)&lt;-50,"NM",(CW289/CU289-1)*100)))</f>
        <v>NM</v>
      </c>
      <c r="CY289" s="199">
        <f>SUM(CY285:CY288)</f>
        <v>7.5</v>
      </c>
      <c r="CZ289" s="81">
        <f>IF(ISERROR((CY289/CW289-1)*100),"NA",IF(((CY289/CW289-1)*100)&gt;100,"NM",IF(((CY289/CW289-1)*100)&lt;-50,"NM",(CY289/CW289-1)*100)))</f>
        <v>-31.192660550458719</v>
      </c>
      <c r="DA289" s="199">
        <f>SUM(DA285:DA288)</f>
        <v>8.2000000000000011</v>
      </c>
      <c r="DB289" s="81">
        <f>IF(ISERROR((DA289/CY289-1)*100),"NA",IF(((DA289/CY289-1)*100)&gt;100,"NM",IF(((DA289/CY289-1)*100)&lt;-50,"NM",(DA289/CY289-1)*100)))</f>
        <v>9.3333333333333499</v>
      </c>
      <c r="DC289" s="199">
        <f>SUM(DC285:DC288)</f>
        <v>5.8</v>
      </c>
      <c r="DD289" s="81">
        <f>IF(ISERROR((DC289/DA289-1)*100),"NA",IF(((DC289/DA289-1)*100)&gt;100,"NM",IF(((DC289/DA289-1)*100)&lt;-50,"NM",(DC289/DA289-1)*100)))</f>
        <v>-29.268292682926845</v>
      </c>
      <c r="DE289" s="199">
        <f>SUM(DE285:DE288)</f>
        <v>8.5</v>
      </c>
      <c r="DF289" s="81">
        <f>IF(ISERROR((DE289/DC289-1)*100),"NA",IF(((DE289/DC289-1)*100)&gt;100,"NM",IF(((DE289/DC289-1)*100)&lt;-50,"NM",(DE289/DC289-1)*100)))</f>
        <v>46.551724137931046</v>
      </c>
      <c r="DG289" s="199">
        <f>SUM(DG285:DG288)</f>
        <v>8.1000000000000014</v>
      </c>
      <c r="DH289" s="81">
        <f>IF(ISERROR((DG289/DE289-1)*100),"NA",IF(((DG289/DE289-1)*100)&gt;100,"NM",IF(((DG289/DE289-1)*100)&lt;-50,"NM",(DG289/DE289-1)*100)))</f>
        <v>-4.7058823529411598</v>
      </c>
      <c r="DI289" s="199">
        <f>SUM(DI285:DI288)</f>
        <v>10.700000000000001</v>
      </c>
      <c r="DJ289" s="81">
        <f>IF(ISERROR((DI289/DG289-1)*100),"NA",IF(((DI289/DG289-1)*100)&gt;100,"NM",IF(((DI289/DG289-1)*100)&lt;-50,"NM",(DI289/DG289-1)*100)))</f>
        <v>32.098765432098752</v>
      </c>
      <c r="DK289" s="199">
        <f>SUM(DK285:DK288)</f>
        <v>13</v>
      </c>
      <c r="DL289" s="81">
        <f>IF(ISERROR((DK289/DI289-1)*100),"NA",IF(((DK289/DI289-1)*100)&gt;100,"NM",IF(((DK289/DI289-1)*100)&lt;-50,"NM",(DK289/DI289-1)*100)))</f>
        <v>21.495327102803728</v>
      </c>
      <c r="DM289" s="199">
        <f>SUM(DM285:DM288)</f>
        <v>6.3999999999999995</v>
      </c>
      <c r="DN289" s="81" t="str">
        <f>IF(ISERROR((DM289/DK289-1)*100),"NA",IF(((DM289/DK289-1)*100)&gt;100,"NM",IF(((DM289/DK289-1)*100)&lt;-50,"NM",(DM289/DK289-1)*100)))</f>
        <v>NM</v>
      </c>
      <c r="DO289" s="199">
        <f>SUM(DO285:DO288)</f>
        <v>8.3000000000000007</v>
      </c>
      <c r="DP289" s="81">
        <f>IF(ISERROR((DO289/DM289-1)*100),"NA",IF(((DO289/DM289-1)*100)&gt;100,"NM",IF(((DO289/DM289-1)*100)&lt;-50,"NM",(DO289/DM289-1)*100)))</f>
        <v>29.687500000000021</v>
      </c>
      <c r="DQ289" s="199">
        <f>SUM(DQ285:DQ288)</f>
        <v>8.2000000000000011</v>
      </c>
      <c r="DR289" s="81">
        <f>IF(ISERROR((DQ289/DO289-1)*100),"NA",IF(((DQ289/DO289-1)*100)&gt;100,"NM",IF(((DQ289/DO289-1)*100)&lt;-50,"NM",(DQ289/DO289-1)*100)))</f>
        <v>-1.2048192771084265</v>
      </c>
      <c r="DS289" s="199">
        <f>SUM(DS285:DS288)</f>
        <v>5.6</v>
      </c>
      <c r="DT289" s="81">
        <f>IF(ISERROR((DS289/DQ289-1)*100),"NA",IF(((DS289/DQ289-1)*100)&gt;100,"NM",IF(((DS289/DQ289-1)*100)&lt;-50,"NM",(DS289/DQ289-1)*100)))</f>
        <v>-31.707317073170749</v>
      </c>
      <c r="DU289" s="199">
        <f>SUM(DU285:DU288)</f>
        <v>5.0999999999999996</v>
      </c>
      <c r="DV289" s="81">
        <f>IF(ISERROR((DU289/DS289-1)*100),"NA",IF(((DU289/DS289-1)*100)&gt;100,"NM",IF(((DU289/DS289-1)*100)&lt;-50,"NM",(DU289/DS289-1)*100)))</f>
        <v>-8.9285714285714306</v>
      </c>
      <c r="DW289" s="199">
        <f>SUM(DW285:DW288)</f>
        <v>6.2</v>
      </c>
      <c r="DX289" s="81">
        <f>IF(ISERROR((DW289/DU289-1)*100),"NA",IF(((DW289/DU289-1)*100)&gt;100,"NM",IF(((DW289/DU289-1)*100)&lt;-50,"NM",(DW289/DU289-1)*100)))</f>
        <v>21.568627450980404</v>
      </c>
      <c r="DY289" s="199">
        <f>SUM(DY285:DY288)</f>
        <v>6.3000000000000007</v>
      </c>
      <c r="DZ289" s="81">
        <f>IF(ISERROR((DY289/DW289-1)*100),"NA",IF(((DY289/DW289-1)*100)&gt;100,"NM",IF(((DY289/DW289-1)*100)&lt;-50,"NM",(DY289/DW289-1)*100)))</f>
        <v>1.6129032258064502</v>
      </c>
      <c r="EA289" s="199">
        <f>SUM(EA285:EA288)</f>
        <v>5.8</v>
      </c>
      <c r="EB289" s="81">
        <f>IF(ISERROR((EA289/DY289-1)*100),"NA",IF(((EA289/DY289-1)*100)&gt;100,"NM",IF(((EA289/DY289-1)*100)&lt;-50,"NM",(EA289/DY289-1)*100)))</f>
        <v>-7.9365079365079527</v>
      </c>
      <c r="EC289" s="199">
        <f>SUM(EC285:EC288)</f>
        <v>3.3</v>
      </c>
      <c r="ED289" s="81">
        <f t="shared" si="958"/>
        <v>-43.103448275862064</v>
      </c>
      <c r="EE289" s="199">
        <f t="shared" ref="EE289:EG289" si="977">SUM(EE285:EE288)</f>
        <v>5.7</v>
      </c>
      <c r="EF289" s="81">
        <f t="shared" si="959"/>
        <v>72.727272727272748</v>
      </c>
      <c r="EG289" s="199">
        <f t="shared" si="977"/>
        <v>6.7</v>
      </c>
      <c r="EH289" s="81">
        <f t="shared" si="960"/>
        <v>17.543859649122815</v>
      </c>
      <c r="EI289" s="199">
        <f t="shared" ref="EI289" si="978">SUM(EI285:EI288)</f>
        <v>8.6</v>
      </c>
      <c r="EJ289" s="81">
        <f t="shared" si="961"/>
        <v>28.358208955223873</v>
      </c>
      <c r="EK289" s="199">
        <f t="shared" ref="EK289:EQ289" si="979">SUM(EK285:EK288)</f>
        <v>6.48</v>
      </c>
      <c r="EL289" s="81">
        <f t="shared" si="963"/>
        <v>-24.651162790697668</v>
      </c>
      <c r="EM289" s="199">
        <f t="shared" si="979"/>
        <v>6.48</v>
      </c>
      <c r="EN289" s="81">
        <f t="shared" si="965"/>
        <v>0</v>
      </c>
      <c r="EO289" s="199">
        <f t="shared" si="979"/>
        <v>6.48</v>
      </c>
      <c r="EP289" s="81">
        <f t="shared" si="967"/>
        <v>0</v>
      </c>
      <c r="EQ289" s="199">
        <f t="shared" si="979"/>
        <v>6.48</v>
      </c>
      <c r="ER289" s="81">
        <f t="shared" si="969"/>
        <v>0</v>
      </c>
      <c r="ES289" s="138"/>
      <c r="ET289" s="470"/>
      <c r="EU289" s="138"/>
      <c r="EV289" s="139"/>
      <c r="EW289" s="140"/>
      <c r="EX289" s="139"/>
      <c r="EY289" s="79"/>
      <c r="EZ289" s="141"/>
      <c r="FA289" s="79"/>
      <c r="FB289" s="142"/>
      <c r="FC289" s="79"/>
      <c r="FD289" s="142">
        <f>SUM(FD285:FD288)</f>
        <v>440.1</v>
      </c>
      <c r="FE289" s="79" t="str">
        <f>IF(ISERROR((FD289/FB289-1)*100),"NA",IF(((FD289/FB289-1)*100)&gt;100,"NM",IF(((FD289/FB289-1)*100)&lt;-50,"NM",(FD289/FB289-1)*100)))</f>
        <v>NA</v>
      </c>
      <c r="FF289" s="142">
        <f>SUM(FF285:FF288)</f>
        <v>410.4</v>
      </c>
      <c r="FG289" s="79">
        <f>IF(ISERROR((FF289/FD289-1)*100),"NA",IF(((FF289/FD289-1)*100)&gt;100,"NM",IF(((FF289/FD289-1)*100)&lt;-50,"NM",(FF289/FD289-1)*100)))</f>
        <v>-6.7484662576687171</v>
      </c>
      <c r="FH289" s="142">
        <f>SUM(FH285:FH288)</f>
        <v>432.9</v>
      </c>
      <c r="FI289" s="79">
        <f>IF(ISERROR((FH289/FF289-1)*100),"NA",IF(((FH289/FF289-1)*100)&gt;100,"NM",IF(((FH289/FF289-1)*100)&lt;-50,"NM",(FH289/FF289-1)*100)))</f>
        <v>5.4824561403508776</v>
      </c>
      <c r="FJ289" s="142">
        <f>SUM(FJ285:FJ288)</f>
        <v>353.7</v>
      </c>
      <c r="FK289" s="79">
        <f>IF(ISERROR((FJ289/FH289-1)*100),"NA",IF(((FJ289/FH289-1)*100)&gt;100,"NM",IF(((FJ289/FH289-1)*100)&lt;-50,"NM",(FJ289/FH289-1)*100)))</f>
        <v>-18.295218295218298</v>
      </c>
      <c r="FL289" s="199">
        <f>SUM(FL285:FL288)</f>
        <v>306.5</v>
      </c>
      <c r="FM289" s="79">
        <f>IF(ISERROR((FL289/FJ289-1)*100),"NA",IF(((FL289/FJ289-1)*100)&gt;100,"NM",IF(((FL289/FJ289-1)*100)&lt;-50,"NM",(FL289/FJ289-1)*100)))</f>
        <v>-13.344642352275937</v>
      </c>
      <c r="FN289" s="199">
        <f>SUM(FN285:FN288)</f>
        <v>213.49999999999994</v>
      </c>
      <c r="FO289" s="79">
        <f>IF(ISERROR((FN289/FL289-1)*100),"NA",IF(((FN289/FL289-1)*100)&gt;100,"NM",IF(((FN289/FL289-1)*100)&lt;-50,"NM",(FN289/FL289-1)*100)))</f>
        <v>-30.342577487765109</v>
      </c>
      <c r="FP289" s="199">
        <f>SUM(FP285:FP288)</f>
        <v>241.10000000000002</v>
      </c>
      <c r="FQ289" s="79">
        <f>IF(ISERROR((FP289/FN289-1)*100),"NA",IF(((FP289/FN289-1)*100)&gt;100,"NM",IF(((FP289/FN289-1)*100)&lt;-50,"NM",(FP289/FN289-1)*100)))</f>
        <v>12.927400468384121</v>
      </c>
      <c r="FR289" s="199">
        <f>SUM(FR285:FR288)</f>
        <v>71.100000000000009</v>
      </c>
      <c r="FS289" s="79" t="str">
        <f>IF(ISERROR((FR289/FP289-1)*100),"NA",IF(((FR289/FP289-1)*100)&gt;100,"NM",IF(((FR289/FP289-1)*100)&lt;-50,"NM",(FR289/FP289-1)*100)))</f>
        <v>NM</v>
      </c>
      <c r="FT289" s="199">
        <f>SUM(FT285:FT288)</f>
        <v>97.9</v>
      </c>
      <c r="FU289" s="79">
        <f>IF(ISERROR((FT289/FR289-1)*100),"NA",IF(((FT289/FR289-1)*100)&gt;100,"NM",IF(((FT289/FR289-1)*100)&lt;-50,"NM",(FT289/FR289-1)*100)))</f>
        <v>37.693389592123758</v>
      </c>
      <c r="FV289" s="199">
        <f>SUM(FV285:FV288)</f>
        <v>76.800000000000011</v>
      </c>
      <c r="FW289" s="79">
        <f>IF(ISERROR((FV289/FT289-1)*100),"NA",IF(((FV289/FT289-1)*100)&gt;100,"NM",IF(((FV289/FT289-1)*100)&lt;-50,"NM",(FV289/FT289-1)*100)))</f>
        <v>-21.552604698672106</v>
      </c>
      <c r="FX289" s="199">
        <f>SUM(FX285:FX288)</f>
        <v>47.9</v>
      </c>
      <c r="FY289" s="79">
        <f>IF(ISERROR((FX289/FV289-1)*100),"NA",IF(((FX289/FV289-1)*100)&gt;100,"NM",IF(((FX289/FV289-1)*100)&lt;-50,"NM",(FX289/FV289-1)*100)))</f>
        <v>-37.63020833333335</v>
      </c>
      <c r="FZ289" s="199">
        <f>SUM(FZ285:FZ288)</f>
        <v>32.4</v>
      </c>
      <c r="GA289" s="79">
        <f>IF(ISERROR((FZ289/FX289-1)*100),"NA",IF(((FZ289/FX289-1)*100)&gt;100,"NM",IF(((FZ289/FX289-1)*100)&lt;-50,"NM",(FZ289/FX289-1)*100)))</f>
        <v>-32.359081419624211</v>
      </c>
      <c r="GB289" s="199">
        <f>SUM(GB285:GB288)</f>
        <v>40.299999999999997</v>
      </c>
      <c r="GC289" s="79">
        <f>IF(ISERROR((GB289/FZ289-1)*100),"NA",IF(((GB289/FZ289-1)*100)&gt;100,"NM",IF(((GB289/FZ289-1)*100)&lt;-50,"NM",(GB289/FZ289-1)*100)))</f>
        <v>24.382716049382715</v>
      </c>
      <c r="GD289" s="199">
        <f>SUM(GD285:GD288)</f>
        <v>28.499999999999996</v>
      </c>
      <c r="GE289" s="79">
        <f>IF(ISERROR((GD289/GB289-1)*100),"NA",IF(((GD289/GB289-1)*100)&gt;100,"NM",IF(((GD289/GB289-1)*100)&lt;-50,"NM",(GD289/GB289-1)*100)))</f>
        <v>-29.280397022332505</v>
      </c>
      <c r="GF289" s="199">
        <f>SUM(GF285:GF288)</f>
        <v>23.4</v>
      </c>
      <c r="GG289" s="79">
        <f>IF(ISERROR((GF289/GD289-1)*100),"NA",IF(((GF289/GD289-1)*100)&gt;100,"NM",IF(((GF289/GD289-1)*100)&lt;-50,"NM",(GF289/GD289-1)*100)))</f>
        <v>-17.894736842105264</v>
      </c>
      <c r="GH289" s="199">
        <f>SUM(GH285:GH288)</f>
        <v>24.299999999999997</v>
      </c>
      <c r="GI289" s="79">
        <f>IF(ISERROR((GH289/GF289-1)*100),"NA",IF(((GH289/GF289-1)*100)&gt;100,"NM",IF(((GH289/GF289-1)*100)&lt;-50,"NM",(GH289/GF289-1)*100)))</f>
        <v>3.8461538461538325</v>
      </c>
      <c r="GJ289" s="199">
        <f>SUM(GJ285:GJ288)</f>
        <v>25.92</v>
      </c>
      <c r="GK289" s="79">
        <f>IF(ISERROR((GJ289/GH289-1)*100),"NA",IF(((GJ289/GH289-1)*100)&gt;100,"NM",IF(((GJ289/GH289-1)*100)&lt;-50,"NM",(GJ289/GH289-1)*100)))</f>
        <v>6.6666666666666874</v>
      </c>
      <c r="GL289" s="199">
        <f>SUM(GL285:GL288)</f>
        <v>25.92</v>
      </c>
      <c r="GM289" s="79">
        <f>IF(ISERROR((GL289/GJ289-1)*100),"NA",IF(((GL289/GJ289-1)*100)&gt;100,"NM",IF(((GL289/GJ289-1)*100)&lt;-50,"NM",(GL289/GJ289-1)*100)))</f>
        <v>0</v>
      </c>
      <c r="GN289" s="199">
        <f>SUM(GN285:GN288)</f>
        <v>25.92</v>
      </c>
      <c r="GO289" s="79">
        <f>IF(ISERROR((GN289/GL289-1)*100),"NA",IF(((GN289/GL289-1)*100)&gt;100,"NM",IF(((GN289/GL289-1)*100)&lt;-50,"NM",(GN289/GL289-1)*100)))</f>
        <v>0</v>
      </c>
      <c r="GP289" s="199">
        <f>SUM(GP285:GP288)</f>
        <v>25.92</v>
      </c>
      <c r="GQ289" s="79">
        <f>IF(ISERROR((GP289/GN289-1)*100),"NA",IF(((GP289/GN289-1)*100)&gt;100,"NM",IF(((GP289/GN289-1)*100)&lt;-50,"NM",(GP289/GN289-1)*100)))</f>
        <v>0</v>
      </c>
      <c r="GR289" s="199">
        <f>SUM(GR285:GR288)</f>
        <v>25.92</v>
      </c>
      <c r="GS289" s="79">
        <f>IF(ISERROR((GR289/GP289-1)*100),"NA",IF(((GR289/GP289-1)*100)&gt;100,"NM",IF(((GR289/GP289-1)*100)&lt;-50,"NM",(GR289/GP289-1)*100)))</f>
        <v>0</v>
      </c>
      <c r="GT289" s="79">
        <f>IF(ISERROR(((GR289/GH289)^0.2-1)*100),"NA",(IF(OR(((GR289/GH289)^0.2-1)*100&gt;99,((GR289/GH289)^0.2-1)*100&lt;-50),"NM",(((GR289/GH289)^0.2-1)*100))))</f>
        <v>1.299136822423641</v>
      </c>
      <c r="GU289" s="562"/>
      <c r="GV289" s="562"/>
      <c r="GW289"/>
      <c r="GX289"/>
      <c r="GY289"/>
      <c r="GZ289"/>
      <c r="HA289"/>
      <c r="HB289"/>
      <c r="HC289" s="562"/>
      <c r="HD289" s="562"/>
      <c r="HE289" s="562"/>
      <c r="HF289" s="562"/>
      <c r="HG289" s="562"/>
      <c r="HH289" s="562"/>
      <c r="HI289" s="562"/>
      <c r="HJ289" s="562"/>
      <c r="HK289" s="562"/>
      <c r="HL289" s="562"/>
      <c r="HM289" s="562"/>
      <c r="HN289" s="562"/>
      <c r="HO289" s="562"/>
      <c r="HP289" s="562"/>
      <c r="HQ289" s="562"/>
      <c r="HR289" s="562"/>
      <c r="HS289" s="562"/>
      <c r="HT289" s="562"/>
      <c r="HU289" s="562"/>
      <c r="HV289" s="562"/>
      <c r="HW289" s="562"/>
      <c r="HX289" s="562"/>
      <c r="HY289" s="562"/>
      <c r="HZ289" s="562"/>
      <c r="IA289" s="562"/>
      <c r="IB289" s="562"/>
      <c r="IC289" s="562"/>
      <c r="ID289" s="562"/>
      <c r="IE289" s="562"/>
      <c r="IF289" s="562"/>
      <c r="IG289" s="562"/>
      <c r="IH289" s="562"/>
      <c r="II289" s="562"/>
      <c r="IJ289" s="562"/>
      <c r="IK289" s="562"/>
      <c r="IL289" s="562"/>
      <c r="IM289" s="562"/>
      <c r="IN289" s="562"/>
      <c r="IO289" s="562"/>
      <c r="IP289" s="562"/>
      <c r="IQ289" s="562"/>
      <c r="IR289" s="562"/>
      <c r="IS289" s="562"/>
      <c r="IT289" s="562"/>
      <c r="IU289" s="562"/>
      <c r="IV289" s="562"/>
      <c r="IW289" s="562"/>
      <c r="IX289" s="562"/>
      <c r="IY289" s="562"/>
      <c r="IZ289" s="562"/>
      <c r="JA289" s="562"/>
      <c r="JB289" s="562"/>
      <c r="JC289" s="562"/>
      <c r="JD289" s="562"/>
      <c r="JE289" s="562"/>
      <c r="JF289" s="562"/>
      <c r="JG289" s="562"/>
      <c r="JH289" s="562"/>
      <c r="JI289" s="562"/>
      <c r="JJ289" s="562"/>
      <c r="JK289" s="562"/>
      <c r="JL289" s="562"/>
      <c r="JM289" s="562"/>
      <c r="JN289" s="562"/>
      <c r="JO289" s="562"/>
      <c r="JP289" s="562"/>
      <c r="JQ289" s="562"/>
      <c r="JR289" s="562"/>
      <c r="JS289" s="562"/>
      <c r="JT289" s="562"/>
      <c r="JU289" s="562"/>
      <c r="JV289" s="562"/>
      <c r="JW289" s="562"/>
      <c r="JX289" s="562"/>
      <c r="JY289" s="562"/>
      <c r="JZ289" s="562"/>
    </row>
    <row r="290" spans="1:286" ht="12.75" customHeight="1" x14ac:dyDescent="0.2">
      <c r="A290" s="1"/>
      <c r="C290" s="79"/>
      <c r="D290" s="79"/>
      <c r="E290" s="75"/>
      <c r="F290" s="79"/>
      <c r="G290" s="75"/>
      <c r="H290" s="79"/>
      <c r="I290" s="75"/>
      <c r="J290" s="79"/>
      <c r="K290" s="75"/>
      <c r="L290" s="79"/>
      <c r="M290" s="75"/>
      <c r="N290" s="79"/>
      <c r="O290" s="75"/>
      <c r="P290" s="79"/>
      <c r="Q290" s="75"/>
      <c r="R290" s="79"/>
      <c r="S290" s="75"/>
      <c r="T290" s="79"/>
      <c r="U290" s="75"/>
      <c r="V290" s="79"/>
      <c r="W290" s="75"/>
      <c r="X290" s="79"/>
      <c r="Y290" s="75"/>
      <c r="Z290" s="79"/>
      <c r="AA290" s="267"/>
      <c r="AB290" s="79"/>
      <c r="AC290" s="75"/>
      <c r="AD290" s="79"/>
      <c r="AE290" s="75"/>
      <c r="AF290" s="79"/>
      <c r="AG290" s="75"/>
      <c r="AH290" s="79"/>
      <c r="AI290" s="75"/>
      <c r="AJ290" s="79"/>
      <c r="AK290" s="75"/>
      <c r="AL290" s="79"/>
      <c r="AM290" s="75"/>
      <c r="AN290" s="79"/>
      <c r="AO290" s="75"/>
      <c r="AP290" s="79"/>
      <c r="AQ290" s="75"/>
      <c r="AR290" s="79"/>
      <c r="AS290" s="75"/>
      <c r="AT290" s="79"/>
      <c r="AU290" s="75"/>
      <c r="AV290" s="79"/>
      <c r="AW290" s="75"/>
      <c r="AX290" s="79"/>
      <c r="AY290" s="75"/>
      <c r="AZ290" s="79"/>
      <c r="BA290" s="75"/>
      <c r="BB290" s="79"/>
      <c r="BC290" s="75"/>
      <c r="BD290" s="79"/>
      <c r="BE290" s="75"/>
      <c r="BF290" s="79"/>
      <c r="BG290" s="75"/>
      <c r="BH290" s="79"/>
      <c r="BI290" s="75"/>
      <c r="BJ290" s="79"/>
      <c r="BK290" s="75"/>
      <c r="BL290" s="79"/>
      <c r="BM290" s="75"/>
      <c r="BN290" s="79"/>
      <c r="BO290" s="75"/>
      <c r="BP290" s="79"/>
      <c r="BQ290" s="75"/>
      <c r="BR290" s="79"/>
      <c r="BS290" s="75"/>
      <c r="BT290" s="79"/>
      <c r="BU290" s="75"/>
      <c r="BV290" s="79"/>
      <c r="BW290" s="75"/>
      <c r="BX290" s="79"/>
      <c r="BY290" s="75"/>
      <c r="BZ290" s="79"/>
      <c r="CA290" s="75"/>
      <c r="CB290" s="79"/>
      <c r="CC290" s="75"/>
      <c r="CD290" s="79"/>
      <c r="CE290" s="75"/>
      <c r="CF290" s="79"/>
      <c r="CG290" s="75"/>
      <c r="CH290" s="79"/>
      <c r="CI290" s="75"/>
      <c r="CJ290" s="79"/>
      <c r="CK290" s="75"/>
      <c r="CL290" s="79"/>
      <c r="CM290" s="75"/>
      <c r="CN290" s="79"/>
      <c r="CO290" s="75"/>
      <c r="CP290" s="79"/>
      <c r="CQ290" s="75"/>
      <c r="CR290" s="79"/>
      <c r="CS290" s="75"/>
      <c r="CT290" s="79"/>
      <c r="CU290" s="75"/>
      <c r="CV290" s="79"/>
      <c r="CW290" s="75"/>
      <c r="CX290" s="79"/>
      <c r="CY290" s="75"/>
      <c r="CZ290" s="79"/>
      <c r="DA290" s="75"/>
      <c r="DB290" s="79"/>
      <c r="DC290" s="75"/>
      <c r="DD290" s="79"/>
      <c r="DE290" s="75"/>
      <c r="DF290" s="79"/>
      <c r="DG290" s="75"/>
      <c r="DH290" s="79"/>
      <c r="DI290" s="75"/>
      <c r="DJ290" s="79"/>
      <c r="DK290" s="75"/>
      <c r="DL290" s="79"/>
      <c r="DM290" s="75"/>
      <c r="DN290" s="79"/>
      <c r="DO290" s="75"/>
      <c r="DP290" s="79"/>
      <c r="DQ290" s="75"/>
      <c r="DR290" s="79"/>
      <c r="DS290" s="75"/>
      <c r="DT290" s="79"/>
      <c r="DU290" s="75"/>
      <c r="DV290" s="79"/>
      <c r="DW290" s="75"/>
      <c r="DX290" s="79"/>
      <c r="DY290" s="75"/>
      <c r="DZ290" s="79"/>
      <c r="EA290" s="75"/>
      <c r="EB290" s="79"/>
      <c r="EC290" s="75"/>
      <c r="ED290" s="79"/>
      <c r="EE290" s="75"/>
      <c r="EF290" s="79"/>
      <c r="EG290" s="75"/>
      <c r="EH290" s="79"/>
      <c r="EI290" s="75"/>
      <c r="EJ290" s="79"/>
      <c r="EK290" s="75"/>
      <c r="EL290" s="79"/>
      <c r="EM290" s="75"/>
      <c r="EN290" s="79"/>
      <c r="EO290" s="75"/>
      <c r="EP290" s="79"/>
      <c r="EQ290" s="75"/>
      <c r="ER290" s="79"/>
      <c r="ES290" s="129"/>
      <c r="ET290" s="469"/>
      <c r="EU290" s="129"/>
      <c r="EV290" s="75"/>
      <c r="EW290" s="79"/>
      <c r="EX290" s="75"/>
      <c r="EY290" s="79"/>
      <c r="EZ290" s="75"/>
      <c r="FA290" s="79"/>
      <c r="FB290" s="75"/>
      <c r="FC290" s="79"/>
      <c r="FD290" s="75"/>
      <c r="FE290" s="79"/>
      <c r="FF290" s="75"/>
      <c r="FG290" s="79"/>
      <c r="FH290" s="35"/>
      <c r="FI290" s="79"/>
      <c r="FJ290" s="35"/>
      <c r="FK290" s="79"/>
      <c r="FL290" s="75"/>
      <c r="FM290" s="79"/>
      <c r="FN290" s="75"/>
      <c r="FO290" s="79"/>
      <c r="FP290" s="75"/>
      <c r="FQ290" s="79"/>
      <c r="FR290" s="75"/>
      <c r="FS290" s="79"/>
      <c r="FT290" s="75"/>
      <c r="FU290" s="79"/>
      <c r="FV290" s="75"/>
      <c r="FW290" s="79"/>
      <c r="FX290" s="75"/>
      <c r="FY290" s="79"/>
      <c r="FZ290" s="75"/>
      <c r="GA290" s="79"/>
      <c r="GB290" s="75"/>
      <c r="GC290" s="79"/>
      <c r="GD290" s="75"/>
      <c r="GE290" s="79"/>
      <c r="GF290" s="75"/>
      <c r="GG290" s="79"/>
      <c r="GH290" s="75"/>
      <c r="GI290" s="79"/>
      <c r="GJ290" s="75"/>
      <c r="GK290" s="79"/>
      <c r="GL290" s="75"/>
      <c r="GM290" s="79"/>
      <c r="GN290" s="75"/>
      <c r="GO290" s="79"/>
      <c r="GP290" s="75"/>
      <c r="GQ290" s="79"/>
      <c r="GR290" s="75"/>
      <c r="GS290" s="79"/>
      <c r="GT290" s="79"/>
    </row>
    <row r="291" spans="1:286" ht="12.75" customHeight="1" x14ac:dyDescent="0.2">
      <c r="A291" s="1"/>
      <c r="B291" s="83" t="s">
        <v>451</v>
      </c>
      <c r="C291" s="79"/>
      <c r="D291" s="79"/>
      <c r="E291" s="75"/>
      <c r="F291" s="79"/>
      <c r="G291" s="75"/>
      <c r="H291" s="79"/>
      <c r="I291" s="75"/>
      <c r="J291" s="79"/>
      <c r="K291" s="75"/>
      <c r="L291" s="79"/>
      <c r="M291" s="75"/>
      <c r="N291" s="79"/>
      <c r="O291" s="75"/>
      <c r="P291" s="79"/>
      <c r="Q291" s="75"/>
      <c r="R291" s="79"/>
      <c r="S291" s="75"/>
      <c r="T291" s="79"/>
      <c r="U291" s="75"/>
      <c r="V291" s="79"/>
      <c r="W291" s="75"/>
      <c r="X291" s="79"/>
      <c r="Y291" s="75"/>
      <c r="Z291" s="79"/>
      <c r="AA291" s="267"/>
      <c r="AB291" s="79"/>
      <c r="AC291" s="75"/>
      <c r="AD291" s="79"/>
      <c r="AE291" s="75"/>
      <c r="AF291" s="79"/>
      <c r="AG291" s="75"/>
      <c r="AH291" s="79"/>
      <c r="AI291" s="75"/>
      <c r="AJ291" s="79"/>
      <c r="AK291" s="75"/>
      <c r="AL291" s="79"/>
      <c r="AM291" s="75"/>
      <c r="AN291" s="79"/>
      <c r="AO291" s="75"/>
      <c r="AP291" s="79"/>
      <c r="AQ291" s="75"/>
      <c r="AR291" s="79"/>
      <c r="AS291" s="75"/>
      <c r="AT291" s="79"/>
      <c r="AU291" s="75"/>
      <c r="AV291" s="79"/>
      <c r="AW291" s="75"/>
      <c r="AX291" s="79"/>
      <c r="AY291" s="75"/>
      <c r="AZ291" s="79"/>
      <c r="BA291" s="75"/>
      <c r="BB291" s="79"/>
      <c r="BC291" s="75"/>
      <c r="BD291" s="79"/>
      <c r="BE291" s="75"/>
      <c r="BF291" s="79"/>
      <c r="BG291" s="75"/>
      <c r="BH291" s="79"/>
      <c r="BI291" s="75"/>
      <c r="BJ291" s="79"/>
      <c r="BK291" s="75"/>
      <c r="BL291" s="79"/>
      <c r="BM291" s="75"/>
      <c r="BN291" s="79"/>
      <c r="BO291" s="75"/>
      <c r="BP291" s="79"/>
      <c r="BQ291" s="75"/>
      <c r="BR291" s="79"/>
      <c r="BS291" s="75"/>
      <c r="BT291" s="79"/>
      <c r="BU291" s="75"/>
      <c r="BV291" s="79"/>
      <c r="BW291" s="75"/>
      <c r="BX291" s="79"/>
      <c r="BY291" s="75"/>
      <c r="BZ291" s="79"/>
      <c r="CA291" s="75"/>
      <c r="CB291" s="79"/>
      <c r="CC291" s="75"/>
      <c r="CD291" s="79"/>
      <c r="CE291" s="75"/>
      <c r="CF291" s="79"/>
      <c r="CG291" s="75"/>
      <c r="CH291" s="79"/>
      <c r="CI291" s="75"/>
      <c r="CJ291" s="79"/>
      <c r="CK291" s="75"/>
      <c r="CL291" s="79"/>
      <c r="CM291" s="75"/>
      <c r="CN291" s="79"/>
      <c r="CO291" s="75"/>
      <c r="CP291" s="79"/>
      <c r="CQ291" s="75"/>
      <c r="CR291" s="79"/>
      <c r="CS291" s="75"/>
      <c r="CT291" s="79"/>
      <c r="CU291" s="75"/>
      <c r="CV291" s="79"/>
      <c r="CW291" s="75"/>
      <c r="CX291" s="79"/>
      <c r="CY291" s="75"/>
      <c r="CZ291" s="79"/>
      <c r="DA291" s="75"/>
      <c r="DB291" s="79"/>
      <c r="DC291" s="75"/>
      <c r="DD291" s="79"/>
      <c r="DE291" s="75"/>
      <c r="DF291" s="79"/>
      <c r="DG291" s="75"/>
      <c r="DH291" s="79"/>
      <c r="DI291" s="75"/>
      <c r="DJ291" s="79"/>
      <c r="DK291" s="75"/>
      <c r="DL291" s="79"/>
      <c r="DM291" s="75"/>
      <c r="DN291" s="79"/>
      <c r="DO291" s="75"/>
      <c r="DP291" s="79"/>
      <c r="DQ291" s="75"/>
      <c r="DR291" s="79"/>
      <c r="DS291" s="75"/>
      <c r="DT291" s="79"/>
      <c r="DU291" s="75"/>
      <c r="DV291" s="79"/>
      <c r="DW291" s="75"/>
      <c r="DX291" s="79"/>
      <c r="DY291" s="75"/>
      <c r="DZ291" s="79"/>
      <c r="EA291" s="75"/>
      <c r="EB291" s="79"/>
      <c r="EC291" s="75"/>
      <c r="ED291" s="79"/>
      <c r="EE291" s="75"/>
      <c r="EF291" s="79"/>
      <c r="EG291" s="75"/>
      <c r="EH291" s="79"/>
      <c r="EI291" s="75"/>
      <c r="EJ291" s="79"/>
      <c r="EK291" s="75"/>
      <c r="EL291" s="79"/>
      <c r="EM291" s="75"/>
      <c r="EN291" s="79"/>
      <c r="EO291" s="75"/>
      <c r="EP291" s="79"/>
      <c r="EQ291" s="75"/>
      <c r="ER291" s="79"/>
      <c r="ES291" s="129"/>
      <c r="ET291" s="469"/>
      <c r="EU291" s="129"/>
      <c r="EV291" s="75"/>
      <c r="EW291" s="79"/>
      <c r="EX291" s="75"/>
      <c r="EY291" s="79"/>
      <c r="EZ291" s="75"/>
      <c r="FA291" s="79"/>
      <c r="FB291" s="75"/>
      <c r="FC291" s="79"/>
      <c r="FD291" s="75"/>
      <c r="FE291" s="79"/>
      <c r="FF291" s="75"/>
      <c r="FG291" s="79"/>
      <c r="FH291" s="75"/>
      <c r="FI291" s="79"/>
      <c r="FJ291" s="75"/>
      <c r="FK291" s="79"/>
      <c r="FL291" s="75"/>
      <c r="FM291" s="79"/>
      <c r="FN291" s="75"/>
      <c r="FO291" s="79"/>
      <c r="FP291" s="75"/>
      <c r="FQ291" s="79"/>
      <c r="FR291" s="75"/>
      <c r="FS291" s="79"/>
      <c r="FT291" s="75"/>
      <c r="FU291" s="79"/>
      <c r="FV291" s="75"/>
      <c r="FW291" s="79"/>
      <c r="FX291" s="75"/>
      <c r="FY291" s="79"/>
      <c r="FZ291" s="75"/>
      <c r="GA291" s="79"/>
      <c r="GB291" s="75"/>
      <c r="GC291" s="79"/>
      <c r="GD291" s="75"/>
      <c r="GE291" s="79"/>
      <c r="GF291" s="75"/>
      <c r="GG291" s="79"/>
      <c r="GH291" s="75"/>
      <c r="GI291" s="79"/>
      <c r="GJ291" s="75"/>
      <c r="GK291" s="79"/>
      <c r="GL291" s="75"/>
      <c r="GM291" s="79"/>
      <c r="GN291" s="75"/>
      <c r="GO291" s="79"/>
      <c r="GP291" s="75"/>
      <c r="GQ291" s="79"/>
      <c r="GR291" s="75"/>
      <c r="GS291" s="79"/>
      <c r="GT291" s="79"/>
    </row>
    <row r="292" spans="1:286" ht="12.75" customHeight="1" x14ac:dyDescent="0.2">
      <c r="A292" s="1"/>
      <c r="B292" s="10" t="s">
        <v>452</v>
      </c>
      <c r="C292" s="79"/>
      <c r="D292" s="79"/>
      <c r="E292" s="75">
        <f>E319</f>
        <v>76.7</v>
      </c>
      <c r="F292" s="79"/>
      <c r="G292" s="75">
        <f>G319</f>
        <v>64.400000000000006</v>
      </c>
      <c r="H292" s="79"/>
      <c r="I292" s="75">
        <f>I319</f>
        <v>66.5</v>
      </c>
      <c r="J292" s="79"/>
      <c r="K292" s="75">
        <f>K319</f>
        <v>5.4</v>
      </c>
      <c r="L292" s="79"/>
      <c r="M292" s="75">
        <f>M319</f>
        <v>44.5</v>
      </c>
      <c r="N292" s="79" t="str">
        <f t="shared" ref="N292:N301" si="980">IF(ISERROR((M292/K292-1)*100),"NA",IF(((M292/K292-1)*100)&gt;100,"NM",IF(((M292/K292-1)*100)&lt;-50,"NM",(M292/K292-1)*100)))</f>
        <v>NM</v>
      </c>
      <c r="O292" s="75">
        <f>O319</f>
        <v>36.700000000000003</v>
      </c>
      <c r="P292" s="79">
        <f t="shared" ref="P292:P301" si="981">IF(ISERROR((O292/M292-1)*100),"NA",IF(((O292/M292-1)*100)&gt;100,"NM",IF(((O292/M292-1)*100)&lt;-50,"NM",(O292/M292-1)*100)))</f>
        <v>-17.528089887640441</v>
      </c>
      <c r="Q292" s="75">
        <f>Q319</f>
        <v>43.7</v>
      </c>
      <c r="R292" s="79">
        <f t="shared" ref="R292:R301" si="982">IF(ISERROR((Q292/O292-1)*100),"NA",IF(((Q292/O292-1)*100)&gt;100,"NM",IF(((Q292/O292-1)*100)&lt;-50,"NM",(Q292/O292-1)*100)))</f>
        <v>19.073569482288821</v>
      </c>
      <c r="S292" s="75">
        <f>S319</f>
        <v>36.200000000000003</v>
      </c>
      <c r="T292" s="79">
        <f t="shared" ref="T292:T301" si="983">IF(ISERROR((S292/Q292-1)*100),"NA",IF(((S292/Q292-1)*100)&gt;100,"NM",IF(((S292/Q292-1)*100)&lt;-50,"NM",(S292/Q292-1)*100)))</f>
        <v>-17.162471395881006</v>
      </c>
      <c r="U292" s="75">
        <f>U319</f>
        <v>39.200000000000003</v>
      </c>
      <c r="V292" s="79">
        <f t="shared" ref="V292:V301" si="984">IF(ISERROR((U292/S292-1)*100),"NA",IF(((U292/S292-1)*100)&gt;100,"NM",IF(((U292/S292-1)*100)&lt;-50,"NM",(U292/S292-1)*100)))</f>
        <v>8.287292817679548</v>
      </c>
      <c r="W292" s="75">
        <f>W319</f>
        <v>41.9</v>
      </c>
      <c r="X292" s="79">
        <f t="shared" ref="X292:X301" si="985">IF(ISERROR((W292/U292-1)*100),"NA",IF(((W292/U292-1)*100)&gt;100,"NM",IF(((W292/U292-1)*100)&lt;-50,"NM",(W292/U292-1)*100)))</f>
        <v>6.8877551020408045</v>
      </c>
      <c r="Y292" s="75">
        <f>Y319</f>
        <v>35.4</v>
      </c>
      <c r="Z292" s="79">
        <f t="shared" ref="Z292:Z301" si="986">IF(ISERROR((Y292/W292-1)*100),"NA",IF(((Y292/W292-1)*100)&gt;100,"NM",IF(((Y292/W292-1)*100)&lt;-50,"NM",(Y292/W292-1)*100)))</f>
        <v>-15.513126491646778</v>
      </c>
      <c r="AA292" s="267">
        <f>AA319</f>
        <v>40.6</v>
      </c>
      <c r="AB292" s="79">
        <f t="shared" ref="AB292:AB301" si="987">IF(ISERROR((AA292/Y292-1)*100),"NA",IF(((AA292/Y292-1)*100)&gt;100,"NM",IF(((AA292/Y292-1)*100)&lt;-50,"NM",(AA292/Y292-1)*100)))</f>
        <v>14.689265536723163</v>
      </c>
      <c r="AC292" s="75">
        <f>AC319</f>
        <v>36.6</v>
      </c>
      <c r="AD292" s="79">
        <f t="shared" ref="AD292:AD301" si="988">IF(ISERROR((AC292/AA292-1)*100),"NA",IF(((AC292/AA292-1)*100)&gt;100,"NM",IF(((AC292/AA292-1)*100)&lt;-50,"NM",(AC292/AA292-1)*100)))</f>
        <v>-9.8522167487684715</v>
      </c>
      <c r="AE292" s="75">
        <f>AE319</f>
        <v>29</v>
      </c>
      <c r="AF292" s="79">
        <f t="shared" ref="AF292:AF301" si="989">IF(ISERROR((AE292/AC292-1)*100),"NA",IF(((AE292/AC292-1)*100)&gt;100,"NM",IF(((AE292/AC292-1)*100)&lt;-50,"NM",(AE292/AC292-1)*100)))</f>
        <v>-20.765027322404372</v>
      </c>
      <c r="AG292" s="75">
        <f>AG319</f>
        <v>39.700000000000003</v>
      </c>
      <c r="AH292" s="79">
        <f t="shared" ref="AH292:AH301" si="990">IF(ISERROR((AG292/AE292-1)*100),"NA",IF(((AG292/AE292-1)*100)&gt;100,"NM",IF(((AG292/AE292-1)*100)&lt;-50,"NM",(AG292/AE292-1)*100)))</f>
        <v>36.89655172413795</v>
      </c>
      <c r="AI292" s="75">
        <f>AI319</f>
        <v>37</v>
      </c>
      <c r="AJ292" s="79">
        <f t="shared" ref="AJ292:AJ301" si="991">IF(ISERROR((AI292/AG292-1)*100),"NA",IF(((AI292/AG292-1)*100)&gt;100,"NM",IF(((AI292/AG292-1)*100)&lt;-50,"NM",(AI292/AG292-1)*100)))</f>
        <v>-6.8010075566750654</v>
      </c>
      <c r="AK292" s="75">
        <f>AK319</f>
        <v>33</v>
      </c>
      <c r="AL292" s="79">
        <f t="shared" ref="AL292:AL301" si="992">IF(ISERROR((AK292/AI292-1)*100),"NA",IF(((AK292/AI292-1)*100)&gt;100,"NM",IF(((AK292/AI292-1)*100)&lt;-50,"NM",(AK292/AI292-1)*100)))</f>
        <v>-10.810810810810811</v>
      </c>
      <c r="AM292" s="75">
        <f>AM319</f>
        <v>29.4</v>
      </c>
      <c r="AN292" s="79">
        <f t="shared" ref="AN292:AN301" si="993">IF(ISERROR((AM292/AK292-1)*100),"NA",IF(((AM292/AK292-1)*100)&gt;100,"NM",IF(((AM292/AK292-1)*100)&lt;-50,"NM",(AM292/AK292-1)*100)))</f>
        <v>-10.909090909090914</v>
      </c>
      <c r="AO292" s="75">
        <f>AO319</f>
        <v>26.7</v>
      </c>
      <c r="AP292" s="79">
        <f t="shared" ref="AP292:AP301" si="994">IF(ISERROR((AO292/AM292-1)*100),"NA",IF(((AO292/AM292-1)*100)&gt;100,"NM",IF(((AO292/AM292-1)*100)&lt;-50,"NM",(AO292/AM292-1)*100)))</f>
        <v>-9.1836734693877542</v>
      </c>
      <c r="AQ292" s="75">
        <f>AQ319</f>
        <v>33.1</v>
      </c>
      <c r="AR292" s="79">
        <f t="shared" ref="AR292:AR301" si="995">IF(ISERROR((AQ292/AO292-1)*100),"NA",IF(((AQ292/AO292-1)*100)&gt;100,"NM",IF(((AQ292/AO292-1)*100)&lt;-50,"NM",(AQ292/AO292-1)*100)))</f>
        <v>23.970037453183537</v>
      </c>
      <c r="AS292" s="75">
        <f>AS319</f>
        <v>31.4</v>
      </c>
      <c r="AT292" s="79">
        <f t="shared" ref="AT292:AT301" si="996">IF(ISERROR((AS292/AQ292-1)*100),"NA",IF(((AS292/AQ292-1)*100)&gt;100,"NM",IF(((AS292/AQ292-1)*100)&lt;-50,"NM",(AS292/AQ292-1)*100)))</f>
        <v>-5.1359516616314327</v>
      </c>
      <c r="AU292" s="75">
        <f>AU319</f>
        <v>30.6</v>
      </c>
      <c r="AV292" s="79">
        <f t="shared" ref="AV292:AV301" si="997">IF(ISERROR((AU292/AS292-1)*100),"NA",IF(((AU292/AS292-1)*100)&gt;100,"NM",IF(((AU292/AS292-1)*100)&lt;-50,"NM",(AU292/AS292-1)*100)))</f>
        <v>-2.547770700636931</v>
      </c>
      <c r="AW292" s="75">
        <f>AW319</f>
        <v>27.3</v>
      </c>
      <c r="AX292" s="79">
        <f t="shared" ref="AX292:AX301" si="998">IF(ISERROR((AW292/AU292-1)*100),"NA",IF(((AW292/AU292-1)*100)&gt;100,"NM",IF(((AW292/AU292-1)*100)&lt;-50,"NM",(AW292/AU292-1)*100)))</f>
        <v>-10.784313725490202</v>
      </c>
      <c r="AY292" s="75">
        <f>AY319</f>
        <v>31.2</v>
      </c>
      <c r="AZ292" s="79">
        <f t="shared" ref="AZ292:AZ301" si="999">IF(ISERROR((AY292/AW292-1)*100),"NA",IF(((AY292/AW292-1)*100)&gt;100,"NM",IF(((AY292/AW292-1)*100)&lt;-50,"NM",(AY292/AW292-1)*100)))</f>
        <v>14.285714285714279</v>
      </c>
      <c r="BA292" s="75">
        <f>BA319</f>
        <v>31.6</v>
      </c>
      <c r="BB292" s="79">
        <f t="shared" ref="BB292:BB301" si="1000">IF(ISERROR((BA292/AY292-1)*100),"NA",IF(((BA292/AY292-1)*100)&gt;100,"NM",IF(((BA292/AY292-1)*100)&lt;-50,"NM",(BA292/AY292-1)*100)))</f>
        <v>1.2820512820512997</v>
      </c>
      <c r="BC292" s="75">
        <f>BC319</f>
        <v>30.6</v>
      </c>
      <c r="BD292" s="79">
        <f t="shared" ref="BD292:BD301" si="1001">IF(ISERROR((BC292/BA292-1)*100),"NA",IF(((BC292/BA292-1)*100)&gt;100,"NM",IF(((BC292/BA292-1)*100)&lt;-50,"NM",(BC292/BA292-1)*100)))</f>
        <v>-3.1645569620253111</v>
      </c>
      <c r="BE292" s="75">
        <f>BE319</f>
        <v>25.5</v>
      </c>
      <c r="BF292" s="79">
        <f t="shared" ref="BF292:BF301" si="1002">IF(ISERROR((BE292/BC292-1)*100),"NA",IF(((BE292/BC292-1)*100)&gt;100,"NM",IF(((BE292/BC292-1)*100)&lt;-50,"NM",(BE292/BC292-1)*100)))</f>
        <v>-16.666666666666675</v>
      </c>
      <c r="BG292" s="75">
        <f>BG319</f>
        <v>27.5</v>
      </c>
      <c r="BH292" s="79">
        <f t="shared" ref="BH292:BH301" si="1003">IF(ISERROR((BG292/BE292-1)*100),"NA",IF(((BG292/BE292-1)*100)&gt;100,"NM",IF(((BG292/BE292-1)*100)&lt;-50,"NM",(BG292/BE292-1)*100)))</f>
        <v>7.8431372549019551</v>
      </c>
      <c r="BI292" s="75">
        <f>BI319</f>
        <v>28.2</v>
      </c>
      <c r="BJ292" s="79">
        <f t="shared" ref="BJ292:BJ301" si="1004">IF(ISERROR((BI292/BG292-1)*100),"NA",IF(((BI292/BG292-1)*100)&gt;100,"NM",IF(((BI292/BG292-1)*100)&lt;-50,"NM",(BI292/BG292-1)*100)))</f>
        <v>2.5454545454545396</v>
      </c>
      <c r="BK292" s="75">
        <f>BK319</f>
        <v>28</v>
      </c>
      <c r="BL292" s="79">
        <f t="shared" ref="BL292:BL301" si="1005">IF(ISERROR((BK292/BI292-1)*100),"NA",IF(((BK292/BI292-1)*100)&gt;100,"NM",IF(((BK292/BI292-1)*100)&lt;-50,"NM",(BK292/BI292-1)*100)))</f>
        <v>-0.70921985815602939</v>
      </c>
      <c r="BM292" s="75">
        <f>BM319</f>
        <v>27.1</v>
      </c>
      <c r="BN292" s="79">
        <f t="shared" ref="BN292:BN301" si="1006">IF(ISERROR((BM292/BK292-1)*100),"NA",IF(((BM292/BK292-1)*100)&gt;100,"NM",IF(((BM292/BK292-1)*100)&lt;-50,"NM",(BM292/BK292-1)*100)))</f>
        <v>-3.214285714285714</v>
      </c>
      <c r="BO292" s="105">
        <v>24.5</v>
      </c>
      <c r="BP292" s="79">
        <f t="shared" ref="BP292:BP301" si="1007">IF(ISERROR((BO292/BM292-1)*100),"NA",IF(((BO292/BM292-1)*100)&gt;100,"NM",IF(((BO292/BM292-1)*100)&lt;-50,"NM",(BO292/BM292-1)*100)))</f>
        <v>-9.5940959409594129</v>
      </c>
      <c r="BQ292" s="105">
        <v>22.8</v>
      </c>
      <c r="BR292" s="79">
        <f t="shared" ref="BR292:BR301" si="1008">IF(ISERROR((BQ292/BO292-1)*100),"NA",IF(((BQ292/BO292-1)*100)&gt;100,"NM",IF(((BQ292/BO292-1)*100)&lt;-50,"NM",(BQ292/BO292-1)*100)))</f>
        <v>-6.938775510204076</v>
      </c>
      <c r="BS292" s="95">
        <v>23</v>
      </c>
      <c r="BT292" s="79">
        <f t="shared" ref="BT292:BT301" si="1009">IF(ISERROR((BS292/BQ292-1)*100),"NA",IF(((BS292/BQ292-1)*100)&gt;100,"NM",IF(((BS292/BQ292-1)*100)&lt;-50,"NM",(BS292/BQ292-1)*100)))</f>
        <v>0.87719298245614308</v>
      </c>
      <c r="BU292" s="105">
        <v>24.1</v>
      </c>
      <c r="BV292" s="79">
        <f t="shared" ref="BV292:BV301" si="1010">IF(ISERROR((BU292/BS292-1)*100),"NA",IF(((BU292/BS292-1)*100)&gt;100,"NM",IF(((BU292/BS292-1)*100)&lt;-50,"NM",(BU292/BS292-1)*100)))</f>
        <v>4.7826086956521907</v>
      </c>
      <c r="BW292" s="105">
        <v>22</v>
      </c>
      <c r="BX292" s="79">
        <f t="shared" ref="BX292:BX301" si="1011">IF(ISERROR((BW292/BU292-1)*100),"NA",IF(((BW292/BU292-1)*100)&gt;100,"NM",IF(((BW292/BU292-1)*100)&lt;-50,"NM",(BW292/BU292-1)*100)))</f>
        <v>-8.7136929460580941</v>
      </c>
      <c r="BY292" s="105">
        <v>0</v>
      </c>
      <c r="BZ292" s="79" t="str">
        <f t="shared" ref="BZ292:BZ301" si="1012">IF(ISERROR((BY292/BW292-1)*100),"NA",IF(((BY292/BW292-1)*100)&gt;100,"NM",IF(((BY292/BW292-1)*100)&lt;-50,"NM",(BY292/BW292-1)*100)))</f>
        <v>NM</v>
      </c>
      <c r="CA292" s="105">
        <v>0</v>
      </c>
      <c r="CB292" s="79" t="str">
        <f t="shared" ref="CB292:CB301" si="1013">IF(ISERROR((CA292/BY292-1)*100),"NA",IF(((CA292/BY292-1)*100)&gt;100,"NM",IF(((CA292/BY292-1)*100)&lt;-50,"NM",(CA292/BY292-1)*100)))</f>
        <v>NA</v>
      </c>
      <c r="CC292" s="105">
        <v>0</v>
      </c>
      <c r="CD292" s="79" t="str">
        <f t="shared" ref="CD292:CD301" si="1014">IF(ISERROR((CC292/CA292-1)*100),"NA",IF(((CC292/CA292-1)*100)&gt;100,"NM",IF(((CC292/CA292-1)*100)&lt;-50,"NM",(CC292/CA292-1)*100)))</f>
        <v>NA</v>
      </c>
      <c r="CE292" s="105">
        <v>0</v>
      </c>
      <c r="CF292" s="79" t="str">
        <f t="shared" ref="CF292:CF301" si="1015">IF(ISERROR((CE292/CC292-1)*100),"NA",IF(((CE292/CC292-1)*100)&gt;100,"NM",IF(((CE292/CC292-1)*100)&lt;-50,"NM",(CE292/CC292-1)*100)))</f>
        <v>NA</v>
      </c>
      <c r="CG292" s="105">
        <v>0</v>
      </c>
      <c r="CH292" s="79" t="str">
        <f t="shared" ref="CH292:CH301" si="1016">IF(ISERROR((CG292/CE292-1)*100),"NA",IF(((CG292/CE292-1)*100)&gt;100,"NM",IF(((CG292/CE292-1)*100)&lt;-50,"NM",(CG292/CE292-1)*100)))</f>
        <v>NA</v>
      </c>
      <c r="CI292" s="105">
        <v>0</v>
      </c>
      <c r="CJ292" s="79" t="str">
        <f t="shared" ref="CJ292:CJ301" si="1017">IF(ISERROR((CI292/CG292-1)*100),"NA",IF(((CI292/CG292-1)*100)&gt;100,"NM",IF(((CI292/CG292-1)*100)&lt;-50,"NM",(CI292/CG292-1)*100)))</f>
        <v>NA</v>
      </c>
      <c r="CK292" s="105">
        <v>0</v>
      </c>
      <c r="CL292" s="79" t="str">
        <f t="shared" ref="CL292:CL301" si="1018">IF(ISERROR((CK292/CI292-1)*100),"NA",IF(((CK292/CI292-1)*100)&gt;100,"NM",IF(((CK292/CI292-1)*100)&lt;-50,"NM",(CK292/CI292-1)*100)))</f>
        <v>NA</v>
      </c>
      <c r="CM292" s="105">
        <v>0</v>
      </c>
      <c r="CN292" s="79" t="str">
        <f t="shared" ref="CN292:CN301" si="1019">IF(ISERROR((CM292/CK292-1)*100),"NA",IF(((CM292/CK292-1)*100)&gt;100,"NM",IF(((CM292/CK292-1)*100)&lt;-50,"NM",(CM292/CK292-1)*100)))</f>
        <v>NA</v>
      </c>
      <c r="CO292" s="105">
        <v>0</v>
      </c>
      <c r="CP292" s="79" t="str">
        <f t="shared" ref="CP292:CP301" si="1020">IF(ISERROR((CO292/CM292-1)*100),"NA",IF(((CO292/CM292-1)*100)&gt;100,"NM",IF(((CO292/CM292-1)*100)&lt;-50,"NM",(CO292/CM292-1)*100)))</f>
        <v>NA</v>
      </c>
      <c r="CQ292" s="105">
        <v>0</v>
      </c>
      <c r="CR292" s="79" t="str">
        <f t="shared" ref="CR292:CR301" si="1021">IF(ISERROR((CQ292/CO292-1)*100),"NA",IF(((CQ292/CO292-1)*100)&gt;100,"NM",IF(((CQ292/CO292-1)*100)&lt;-50,"NM",(CQ292/CO292-1)*100)))</f>
        <v>NA</v>
      </c>
      <c r="CS292" s="105">
        <v>0</v>
      </c>
      <c r="CT292" s="79" t="str">
        <f t="shared" ref="CT292:CT301" si="1022">IF(ISERROR((CS292/CQ292-1)*100),"NA",IF(((CS292/CQ292-1)*100)&gt;100,"NM",IF(((CS292/CQ292-1)*100)&lt;-50,"NM",(CS292/CQ292-1)*100)))</f>
        <v>NA</v>
      </c>
      <c r="CU292" s="105">
        <v>0</v>
      </c>
      <c r="CV292" s="79" t="str">
        <f t="shared" ref="CV292:CV301" si="1023">IF(ISERROR((CU292/CS292-1)*100),"NA",IF(((CU292/CS292-1)*100)&gt;100,"NM",IF(((CU292/CS292-1)*100)&lt;-50,"NM",(CU292/CS292-1)*100)))</f>
        <v>NA</v>
      </c>
      <c r="CW292" s="105">
        <v>0</v>
      </c>
      <c r="CX292" s="79" t="str">
        <f>IF(ISERROR((CW292/CU292-1)*100),"NA",IF(((CW292/CU292-1)*100)&gt;100,"NM",IF(((CW292/CU292-1)*100)&lt;-50,"NM",(CW292/CU292-1)*100)))</f>
        <v>NA</v>
      </c>
      <c r="CY292" s="105">
        <v>0</v>
      </c>
      <c r="CZ292" s="79" t="str">
        <f>IF(ISERROR((CY292/CW292-1)*100),"NA",IF(((CY292/CW292-1)*100)&gt;100,"NM",IF(((CY292/CW292-1)*100)&lt;-50,"NM",(CY292/CW292-1)*100)))</f>
        <v>NA</v>
      </c>
      <c r="DA292" s="105">
        <v>0</v>
      </c>
      <c r="DB292" s="79" t="str">
        <f>IF(ISERROR((DA292/CY292-1)*100),"NA",IF(((DA292/CY292-1)*100)&gt;100,"NM",IF(((DA292/CY292-1)*100)&lt;-50,"NM",(DA292/CY292-1)*100)))</f>
        <v>NA</v>
      </c>
      <c r="DC292" s="105">
        <v>0</v>
      </c>
      <c r="DD292" s="79" t="str">
        <f>IF(ISERROR((DC292/DA292-1)*100),"NA",IF(((DC292/DA292-1)*100)&gt;100,"NM",IF(((DC292/DA292-1)*100)&lt;-50,"NM",(DC292/DA292-1)*100)))</f>
        <v>NA</v>
      </c>
      <c r="DE292" s="105">
        <v>0</v>
      </c>
      <c r="DF292" s="79" t="str">
        <f>IF(ISERROR((DE292/DC292-1)*100),"NA",IF(((DE292/DC292-1)*100)&gt;100,"NM",IF(((DE292/DC292-1)*100)&lt;-50,"NM",(DE292/DC292-1)*100)))</f>
        <v>NA</v>
      </c>
      <c r="DG292" s="105">
        <v>0</v>
      </c>
      <c r="DH292" s="79" t="str">
        <f>IF(ISERROR((DG292/DE292-1)*100),"NA",IF(((DG292/DE292-1)*100)&gt;100,"NM",IF(((DG292/DE292-1)*100)&lt;-50,"NM",(DG292/DE292-1)*100)))</f>
        <v>NA</v>
      </c>
      <c r="DI292" s="105">
        <v>0</v>
      </c>
      <c r="DJ292" s="79" t="str">
        <f>IF(ISERROR((DI292/DG292-1)*100),"NA",IF(((DI292/DG292-1)*100)&gt;100,"NM",IF(((DI292/DG292-1)*100)&lt;-50,"NM",(DI292/DG292-1)*100)))</f>
        <v>NA</v>
      </c>
      <c r="DK292" s="105">
        <v>0</v>
      </c>
      <c r="DL292" s="79" t="str">
        <f>IF(ISERROR((DK292/DI292-1)*100),"NA",IF(((DK292/DI292-1)*100)&gt;100,"NM",IF(((DK292/DI292-1)*100)&lt;-50,"NM",(DK292/DI292-1)*100)))</f>
        <v>NA</v>
      </c>
      <c r="DM292" s="105">
        <v>0</v>
      </c>
      <c r="DN292" s="79" t="str">
        <f>IF(ISERROR((DM292/DK292-1)*100),"NA",IF(((DM292/DK292-1)*100)&gt;100,"NM",IF(((DM292/DK292-1)*100)&lt;-50,"NM",(DM292/DK292-1)*100)))</f>
        <v>NA</v>
      </c>
      <c r="DO292" s="105">
        <v>0</v>
      </c>
      <c r="DP292" s="79" t="str">
        <f>IF(ISERROR((DO292/DM292-1)*100),"NA",IF(((DO292/DM292-1)*100)&gt;100,"NM",IF(((DO292/DM292-1)*100)&lt;-50,"NM",(DO292/DM292-1)*100)))</f>
        <v>NA</v>
      </c>
      <c r="DQ292" s="105">
        <v>0</v>
      </c>
      <c r="DR292" s="79" t="str">
        <f>IF(ISERROR((DQ292/DO292-1)*100),"NA",IF(((DQ292/DO292-1)*100)&gt;100,"NM",IF(((DQ292/DO292-1)*100)&lt;-50,"NM",(DQ292/DO292-1)*100)))</f>
        <v>NA</v>
      </c>
      <c r="DS292" s="105">
        <v>0</v>
      </c>
      <c r="DT292" s="79" t="str">
        <f>IF(ISERROR((DS292/DQ292-1)*100),"NA",IF(((DS292/DQ292-1)*100)&gt;100,"NM",IF(((DS292/DQ292-1)*100)&lt;-50,"NM",(DS292/DQ292-1)*100)))</f>
        <v>NA</v>
      </c>
      <c r="DU292" s="105">
        <v>0</v>
      </c>
      <c r="DV292" s="79" t="str">
        <f>IF(ISERROR((DU292/DS292-1)*100),"NA",IF(((DU292/DS292-1)*100)&gt;100,"NM",IF(((DU292/DS292-1)*100)&lt;-50,"NM",(DU292/DS292-1)*100)))</f>
        <v>NA</v>
      </c>
      <c r="DW292" s="105">
        <v>0</v>
      </c>
      <c r="DX292" s="79" t="str">
        <f>IF(ISERROR((DW292/DU292-1)*100),"NA",IF(((DW292/DU292-1)*100)&gt;100,"NM",IF(((DW292/DU292-1)*100)&lt;-50,"NM",(DW292/DU292-1)*100)))</f>
        <v>NA</v>
      </c>
      <c r="DY292" s="105">
        <v>0</v>
      </c>
      <c r="DZ292" s="79" t="str">
        <f>IF(ISERROR((DY292/DW292-1)*100),"NA",IF(((DY292/DW292-1)*100)&gt;100,"NM",IF(((DY292/DW292-1)*100)&lt;-50,"NM",(DY292/DW292-1)*100)))</f>
        <v>NA</v>
      </c>
      <c r="EA292" s="105">
        <f>+DY292</f>
        <v>0</v>
      </c>
      <c r="EB292" s="79" t="str">
        <f>IF(ISERROR((EA292/DY292-1)*100),"NA",IF(((EA292/DY292-1)*100)&gt;100,"NM",IF(((EA292/DY292-1)*100)&lt;-50,"NM",(EA292/DY292-1)*100)))</f>
        <v>NA</v>
      </c>
      <c r="EC292" s="105">
        <v>0</v>
      </c>
      <c r="ED292" s="79" t="str">
        <f t="shared" ref="ED292:ED296" si="1024">IF(ISERROR((EC292/EA292-1)*100),"NA",IF(((EC292/EA292-1)*100)&gt;100,"NM",IF(((EC292/EA292-1)*100)&lt;-50,"NM",(EC292/EA292-1)*100)))</f>
        <v>NA</v>
      </c>
      <c r="EE292" s="105">
        <v>0</v>
      </c>
      <c r="EF292" s="79" t="str">
        <f t="shared" ref="EF292:EF296" si="1025">IF(ISERROR((EE292/EC292-1)*100),"NA",IF(((EE292/EC292-1)*100)&gt;100,"NM",IF(((EE292/EC292-1)*100)&lt;-50,"NM",(EE292/EC292-1)*100)))</f>
        <v>NA</v>
      </c>
      <c r="EG292" s="105">
        <v>0</v>
      </c>
      <c r="EH292" s="79" t="str">
        <f t="shared" ref="EH292:EH296" si="1026">IF(ISERROR((EG292/EE292-1)*100),"NA",IF(((EG292/EE292-1)*100)&gt;100,"NM",IF(((EG292/EE292-1)*100)&lt;-50,"NM",(EG292/EE292-1)*100)))</f>
        <v>NA</v>
      </c>
      <c r="EI292" s="105">
        <v>0</v>
      </c>
      <c r="EJ292" s="79" t="str">
        <f t="shared" ref="EJ292:EJ296" si="1027">IF(ISERROR((EI292/EG292-1)*100),"NA",IF(((EI292/EG292-1)*100)&gt;100,"NM",IF(((EI292/EG292-1)*100)&lt;-50,"NM",(EI292/EG292-1)*100)))</f>
        <v>NA</v>
      </c>
      <c r="EK292" s="95">
        <f t="shared" ref="EK292:EK293" si="1028">+EI292</f>
        <v>0</v>
      </c>
      <c r="EL292" s="79" t="str">
        <f t="shared" ref="EL292:EL296" si="1029">IF(ISERROR((EK292/EI292-1)*100),"NA",IF(((EK292/EI292-1)*100)&gt;100,"NM",IF(((EK292/EI292-1)*100)&lt;-50,"NM",(EK292/EI292-1)*100)))</f>
        <v>NA</v>
      </c>
      <c r="EM292" s="95">
        <f t="shared" ref="EM292:EM293" si="1030">+EK292</f>
        <v>0</v>
      </c>
      <c r="EN292" s="79" t="str">
        <f t="shared" ref="EN292:EN296" si="1031">IF(ISERROR((EM292/EK292-1)*100),"NA",IF(((EM292/EK292-1)*100)&gt;100,"NM",IF(((EM292/EK292-1)*100)&lt;-50,"NM",(EM292/EK292-1)*100)))</f>
        <v>NA</v>
      </c>
      <c r="EO292" s="95">
        <f t="shared" ref="EO292:EO293" si="1032">+EM292</f>
        <v>0</v>
      </c>
      <c r="EP292" s="79" t="str">
        <f t="shared" ref="EP292:EP296" si="1033">IF(ISERROR((EO292/EM292-1)*100),"NA",IF(((EO292/EM292-1)*100)&gt;100,"NM",IF(((EO292/EM292-1)*100)&lt;-50,"NM",(EO292/EM292-1)*100)))</f>
        <v>NA</v>
      </c>
      <c r="EQ292" s="95">
        <f t="shared" ref="EQ292:EQ293" si="1034">+EO292</f>
        <v>0</v>
      </c>
      <c r="ER292" s="79" t="str">
        <f t="shared" ref="ER292:ER296" si="1035">IF(ISERROR((EQ292/EO292-1)*100),"NA",IF(((EQ292/EO292-1)*100)&gt;100,"NM",IF(((EQ292/EO292-1)*100)&lt;-50,"NM",(EQ292/EO292-1)*100)))</f>
        <v>NA</v>
      </c>
      <c r="ES292" s="129"/>
      <c r="ET292" s="469"/>
      <c r="EU292" s="129"/>
      <c r="EV292" s="75"/>
      <c r="EW292" s="79"/>
      <c r="EX292" s="75"/>
      <c r="EY292" s="79"/>
      <c r="EZ292" s="75"/>
      <c r="FA292" s="79"/>
      <c r="FB292" s="75"/>
      <c r="FC292" s="79"/>
      <c r="FD292" s="35">
        <f t="shared" ref="FD292:FD301" si="1036">+S292+Q292+O292+M292</f>
        <v>161.10000000000002</v>
      </c>
      <c r="FE292" s="79" t="str">
        <f t="shared" ref="FE292:FE301" si="1037">IF(ISERROR((FD292/FB292-1)*100),"NA",IF(((FD292/FB292-1)*100)&gt;100,"NM",IF(((FD292/FB292-1)*100)&lt;-50,"NM",(FD292/FB292-1)*100)))</f>
        <v>NA</v>
      </c>
      <c r="FF292" s="35">
        <f t="shared" ref="FF292:FF301" si="1038">+AA292+Y292+W292+U292</f>
        <v>157.10000000000002</v>
      </c>
      <c r="FG292" s="79">
        <f t="shared" ref="FG292:FG301" si="1039">IF(ISERROR((FF292/FD292-1)*100),"NA",IF(((FF292/FD292-1)*100)&gt;100,"NM",IF(((FF292/FD292-1)*100)&lt;-50,"NM",(FF292/FD292-1)*100)))</f>
        <v>-2.4829298572315306</v>
      </c>
      <c r="FH292" s="35">
        <f t="shared" ref="FH292:FH301" si="1040">+AI292+AG292+AE292+AC292</f>
        <v>142.30000000000001</v>
      </c>
      <c r="FI292" s="79">
        <f t="shared" ref="FI292:FI302" si="1041">IF(ISERROR((FH292/FF292-1)*100),"NA",IF(((FH292/FF292-1)*100)&gt;100,"NM",IF(((FH292/FF292-1)*100)&lt;-50,"NM",(FH292/FF292-1)*100)))</f>
        <v>-9.4207511139401738</v>
      </c>
      <c r="FJ292" s="35">
        <f t="shared" ref="FJ292:FJ301" si="1042">+AQ292+AO292+AM292+AK292</f>
        <v>122.19999999999999</v>
      </c>
      <c r="FK292" s="79">
        <f t="shared" ref="FK292:FK302" si="1043">IF(ISERROR((FJ292/FH292-1)*100),"NA",IF(((FJ292/FH292-1)*100)&gt;100,"NM",IF(((FJ292/FH292-1)*100)&lt;-50,"NM",(FJ292/FH292-1)*100)))</f>
        <v>-14.125087842586105</v>
      </c>
      <c r="FL292" s="78">
        <f t="shared" ref="FL292:FL301" si="1044">AS292+AU292+AW292+AY292</f>
        <v>120.5</v>
      </c>
      <c r="FM292" s="79">
        <f t="shared" ref="FM292:FM302" si="1045">IF(ISERROR((FL292/FJ292-1)*100),"NA",IF(((FL292/FJ292-1)*100)&gt;100,"NM",IF(((FL292/FJ292-1)*100)&lt;-50,"NM",(FL292/FJ292-1)*100)))</f>
        <v>-1.3911620294598914</v>
      </c>
      <c r="FN292" s="78">
        <f t="shared" ref="FN292:FN301" si="1046">BA292+BC292+BE292+BG292</f>
        <v>115.2</v>
      </c>
      <c r="FO292" s="79">
        <f t="shared" ref="FO292:FO302" si="1047">IF(ISERROR((FN292/FL292-1)*100),"NA",IF(((FN292/FL292-1)*100)&gt;100,"NM",IF(((FN292/FL292-1)*100)&lt;-50,"NM",(FN292/FL292-1)*100)))</f>
        <v>-4.3983402489626506</v>
      </c>
      <c r="FP292" s="78">
        <f t="shared" ref="FP292:FP301" si="1048">BI292+BK292+BM292+BO292</f>
        <v>107.80000000000001</v>
      </c>
      <c r="FQ292" s="79">
        <f t="shared" ref="FQ292:FQ302" si="1049">IF(ISERROR((FP292/FN292-1)*100),"NA",IF(((FP292/FN292-1)*100)&gt;100,"NM",IF(((FP292/FN292-1)*100)&lt;-50,"NM",(FP292/FN292-1)*100)))</f>
        <v>-6.4236111111111054</v>
      </c>
      <c r="FR292" s="95">
        <v>0</v>
      </c>
      <c r="FS292" s="79" t="str">
        <f t="shared" ref="FS292:FS302" si="1050">IF(ISERROR((FR292/FP292-1)*100),"NA",IF(((FR292/FP292-1)*100)&gt;100,"NM",IF(((FR292/FP292-1)*100)&lt;-50,"NM",(FR292/FP292-1)*100)))</f>
        <v>NM</v>
      </c>
      <c r="FT292" s="93">
        <f>BY292+CA292+CC292+CE292</f>
        <v>0</v>
      </c>
      <c r="FU292" s="79" t="str">
        <f t="shared" ref="FU292:FU302" si="1051">IF(ISERROR((FT292/FR292-1)*100),"NA",IF(((FT292/FR292-1)*100)&gt;100,"NM",IF(((FT292/FR292-1)*100)&lt;-50,"NM",(FT292/FR292-1)*100)))</f>
        <v>NA</v>
      </c>
      <c r="FV292" s="93">
        <f>CG292+CI292+CK292+CM292</f>
        <v>0</v>
      </c>
      <c r="FW292" s="79" t="str">
        <f t="shared" ref="FW292:FW302" si="1052">IF(ISERROR((FV292/FT292-1)*100),"NA",IF(((FV292/FT292-1)*100)&gt;100,"NM",IF(((FV292/FT292-1)*100)&lt;-50,"NM",(FV292/FT292-1)*100)))</f>
        <v>NA</v>
      </c>
      <c r="FX292" s="93">
        <f>CO292+CQ292+CS292+CU292</f>
        <v>0</v>
      </c>
      <c r="FY292" s="79" t="str">
        <f t="shared" ref="FY292:FY302" si="1053">IF(ISERROR((FX292/FV292-1)*100),"NA",IF(((FX292/FV292-1)*100)&gt;100,"NM",IF(((FX292/FV292-1)*100)&lt;-50,"NM",(FX292/FV292-1)*100)))</f>
        <v>NA</v>
      </c>
      <c r="FZ292" s="93">
        <f>CW292+CY292+DA292+DC292</f>
        <v>0</v>
      </c>
      <c r="GA292" s="79" t="str">
        <f t="shared" ref="GA292:GQ302" si="1054">IF(ISERROR((FZ292/FX292-1)*100),"NA",IF(((FZ292/FX292-1)*100)&gt;100,"NM",IF(((FZ292/FX292-1)*100)&lt;-50,"NM",(FZ292/FX292-1)*100)))</f>
        <v>NA</v>
      </c>
      <c r="GB292" s="93">
        <f>DE292+DG292+DI292+DK292</f>
        <v>0</v>
      </c>
      <c r="GC292" s="79" t="str">
        <f t="shared" si="1054"/>
        <v>NA</v>
      </c>
      <c r="GD292" s="93">
        <f>DM292+DO292+DQ292+DS292</f>
        <v>0</v>
      </c>
      <c r="GE292" s="79" t="str">
        <f t="shared" si="1054"/>
        <v>NA</v>
      </c>
      <c r="GF292" s="93">
        <f>DU292+DW292+DY292+EA292</f>
        <v>0</v>
      </c>
      <c r="GG292" s="79" t="str">
        <f t="shared" si="1054"/>
        <v>NA</v>
      </c>
      <c r="GH292" s="93">
        <f>EC292+EE292+EG292+EI292</f>
        <v>0</v>
      </c>
      <c r="GI292" s="79" t="str">
        <f t="shared" si="1054"/>
        <v>NA</v>
      </c>
      <c r="GJ292" s="93">
        <f>EK292+EM292+EO292+EQ292</f>
        <v>0</v>
      </c>
      <c r="GK292" s="79" t="str">
        <f t="shared" si="1054"/>
        <v>NA</v>
      </c>
      <c r="GL292" s="95">
        <f>GJ292/GJ289*GL289</f>
        <v>0</v>
      </c>
      <c r="GM292" s="79" t="str">
        <f t="shared" si="1054"/>
        <v>NA</v>
      </c>
      <c r="GN292" s="95">
        <f>GL292/GL289*GN289</f>
        <v>0</v>
      </c>
      <c r="GO292" s="79" t="str">
        <f t="shared" si="1054"/>
        <v>NA</v>
      </c>
      <c r="GP292" s="95">
        <f>GN292/GN289*GP289</f>
        <v>0</v>
      </c>
      <c r="GQ292" s="79" t="str">
        <f t="shared" si="1054"/>
        <v>NA</v>
      </c>
      <c r="GR292" s="95">
        <f>GP292/GP289*GR289</f>
        <v>0</v>
      </c>
      <c r="GS292" s="79" t="str">
        <f t="shared" ref="GS292:GS302" si="1055">IF(ISERROR((GR292/GP292-1)*100),"NA",IF(((GR292/GP292-1)*100)&gt;100,"NM",IF(((GR292/GP292-1)*100)&lt;-50,"NM",(GR292/GP292-1)*100)))</f>
        <v>NA</v>
      </c>
      <c r="GT292" s="79" t="str">
        <f>IF(ISERROR(((GR292/GH292)^0.2-1)*100),"NA",(IF(OR(((GR292/GH292)^0.2-1)*100&gt;99,((GR292/GH292)^0.2-1)*100&lt;-50),"NM",(((GR292/GH292)^0.2-1)*100))))</f>
        <v>NA</v>
      </c>
    </row>
    <row r="293" spans="1:286" ht="12.75" customHeight="1" x14ac:dyDescent="0.2">
      <c r="A293" s="1"/>
      <c r="B293" s="10" t="s">
        <v>114</v>
      </c>
      <c r="C293" s="79"/>
      <c r="D293" s="79"/>
      <c r="E293" s="75">
        <f>E320</f>
        <v>3.3</v>
      </c>
      <c r="F293" s="79"/>
      <c r="G293" s="75">
        <f>G320</f>
        <v>3.3</v>
      </c>
      <c r="H293" s="79"/>
      <c r="I293" s="75">
        <f>I320</f>
        <v>-1.4</v>
      </c>
      <c r="J293" s="79"/>
      <c r="K293" s="75">
        <f>K320</f>
        <v>0.3</v>
      </c>
      <c r="L293" s="79"/>
      <c r="M293" s="75">
        <f>M320</f>
        <v>1</v>
      </c>
      <c r="N293" s="79" t="str">
        <f t="shared" si="980"/>
        <v>NM</v>
      </c>
      <c r="O293" s="75">
        <f>O320</f>
        <v>1.1000000000000001</v>
      </c>
      <c r="P293" s="79">
        <f t="shared" si="981"/>
        <v>10.000000000000009</v>
      </c>
      <c r="Q293" s="75">
        <f>Q320</f>
        <v>0.9</v>
      </c>
      <c r="R293" s="79">
        <f t="shared" si="982"/>
        <v>-18.181818181818187</v>
      </c>
      <c r="S293" s="75">
        <f>S320</f>
        <v>0.1</v>
      </c>
      <c r="T293" s="79" t="str">
        <f t="shared" si="983"/>
        <v>NM</v>
      </c>
      <c r="U293" s="75">
        <f>U320</f>
        <v>3.6</v>
      </c>
      <c r="V293" s="79" t="str">
        <f t="shared" si="984"/>
        <v>NM</v>
      </c>
      <c r="W293" s="75">
        <f>W320</f>
        <v>4.0999999999999996</v>
      </c>
      <c r="X293" s="79">
        <f t="shared" si="985"/>
        <v>13.888888888888884</v>
      </c>
      <c r="Y293" s="75">
        <f>Y320</f>
        <v>1.5</v>
      </c>
      <c r="Z293" s="79" t="str">
        <f t="shared" si="986"/>
        <v>NM</v>
      </c>
      <c r="AA293" s="267">
        <f>AA320</f>
        <v>1.6</v>
      </c>
      <c r="AB293" s="79">
        <f t="shared" si="987"/>
        <v>6.6666666666666652</v>
      </c>
      <c r="AC293" s="75">
        <f>AC320</f>
        <v>3.6</v>
      </c>
      <c r="AD293" s="79" t="str">
        <f t="shared" si="988"/>
        <v>NM</v>
      </c>
      <c r="AE293" s="75">
        <f>AE320</f>
        <v>1.8</v>
      </c>
      <c r="AF293" s="79">
        <f t="shared" si="989"/>
        <v>-50</v>
      </c>
      <c r="AG293" s="75">
        <f>AG320</f>
        <v>0.2</v>
      </c>
      <c r="AH293" s="79" t="str">
        <f t="shared" si="990"/>
        <v>NM</v>
      </c>
      <c r="AI293" s="75">
        <f>AI320</f>
        <v>-0.7</v>
      </c>
      <c r="AJ293" s="79" t="str">
        <f t="shared" si="991"/>
        <v>NM</v>
      </c>
      <c r="AK293" s="75">
        <f>AK320</f>
        <v>-0.1</v>
      </c>
      <c r="AL293" s="79" t="str">
        <f t="shared" si="992"/>
        <v>NM</v>
      </c>
      <c r="AM293" s="75">
        <f>AM320</f>
        <v>0.4</v>
      </c>
      <c r="AN293" s="79" t="str">
        <f t="shared" si="993"/>
        <v>NM</v>
      </c>
      <c r="AO293" s="75">
        <f>AO320</f>
        <v>0</v>
      </c>
      <c r="AP293" s="79" t="str">
        <f t="shared" si="994"/>
        <v>NM</v>
      </c>
      <c r="AQ293" s="75">
        <f>AQ320</f>
        <v>0.8</v>
      </c>
      <c r="AR293" s="79" t="str">
        <f t="shared" si="995"/>
        <v>NA</v>
      </c>
      <c r="AS293" s="75">
        <f>AS320</f>
        <v>0.4</v>
      </c>
      <c r="AT293" s="79">
        <f t="shared" si="996"/>
        <v>-50</v>
      </c>
      <c r="AU293" s="75">
        <f>AU320</f>
        <v>0.3</v>
      </c>
      <c r="AV293" s="79">
        <f t="shared" si="997"/>
        <v>-25.000000000000011</v>
      </c>
      <c r="AW293" s="75">
        <f>AW320</f>
        <v>0.4</v>
      </c>
      <c r="AX293" s="79">
        <f t="shared" si="998"/>
        <v>33.33333333333335</v>
      </c>
      <c r="AY293" s="75">
        <f>AY320</f>
        <v>1.9</v>
      </c>
      <c r="AZ293" s="79" t="str">
        <f t="shared" si="999"/>
        <v>NM</v>
      </c>
      <c r="BA293" s="75">
        <f>BA320</f>
        <v>0.7</v>
      </c>
      <c r="BB293" s="79" t="str">
        <f t="shared" si="1000"/>
        <v>NM</v>
      </c>
      <c r="BC293" s="75">
        <f>BC320</f>
        <v>0.4</v>
      </c>
      <c r="BD293" s="79">
        <f t="shared" si="1001"/>
        <v>-42.857142857142847</v>
      </c>
      <c r="BE293" s="75">
        <f>BE320</f>
        <v>0.4</v>
      </c>
      <c r="BF293" s="79">
        <f t="shared" si="1002"/>
        <v>0</v>
      </c>
      <c r="BG293" s="75">
        <f>BG320</f>
        <v>0.4</v>
      </c>
      <c r="BH293" s="79">
        <f t="shared" si="1003"/>
        <v>0</v>
      </c>
      <c r="BI293" s="75">
        <f>BI320</f>
        <v>0.4</v>
      </c>
      <c r="BJ293" s="79">
        <f t="shared" si="1004"/>
        <v>0</v>
      </c>
      <c r="BK293" s="75">
        <f>BK320</f>
        <v>0.3</v>
      </c>
      <c r="BL293" s="79">
        <f t="shared" si="1005"/>
        <v>-25.000000000000011</v>
      </c>
      <c r="BM293" s="75">
        <f>BM320</f>
        <v>0.3</v>
      </c>
      <c r="BN293" s="79">
        <f t="shared" si="1006"/>
        <v>0</v>
      </c>
      <c r="BO293" s="105">
        <v>0.2</v>
      </c>
      <c r="BP293" s="79">
        <f t="shared" si="1007"/>
        <v>-33.333333333333329</v>
      </c>
      <c r="BQ293" s="105">
        <v>0.2</v>
      </c>
      <c r="BR293" s="79">
        <f t="shared" si="1008"/>
        <v>0</v>
      </c>
      <c r="BS293" s="95">
        <v>0.3</v>
      </c>
      <c r="BT293" s="79">
        <f t="shared" si="1009"/>
        <v>49.999999999999979</v>
      </c>
      <c r="BU293" s="105">
        <v>0</v>
      </c>
      <c r="BV293" s="79" t="str">
        <f t="shared" si="1010"/>
        <v>NM</v>
      </c>
      <c r="BW293" s="105">
        <v>-0.1</v>
      </c>
      <c r="BX293" s="79" t="str">
        <f t="shared" si="1011"/>
        <v>NA</v>
      </c>
      <c r="BY293" s="105">
        <v>0</v>
      </c>
      <c r="BZ293" s="79" t="str">
        <f t="shared" si="1012"/>
        <v>NM</v>
      </c>
      <c r="CA293" s="105">
        <v>0</v>
      </c>
      <c r="CB293" s="79" t="str">
        <f t="shared" si="1013"/>
        <v>NA</v>
      </c>
      <c r="CC293" s="105">
        <v>0</v>
      </c>
      <c r="CD293" s="79" t="str">
        <f t="shared" si="1014"/>
        <v>NA</v>
      </c>
      <c r="CE293" s="105">
        <v>0</v>
      </c>
      <c r="CF293" s="79" t="str">
        <f t="shared" si="1015"/>
        <v>NA</v>
      </c>
      <c r="CG293" s="105">
        <v>0</v>
      </c>
      <c r="CH293" s="79" t="str">
        <f t="shared" si="1016"/>
        <v>NA</v>
      </c>
      <c r="CI293" s="105">
        <v>0</v>
      </c>
      <c r="CJ293" s="79" t="str">
        <f t="shared" si="1017"/>
        <v>NA</v>
      </c>
      <c r="CK293" s="105">
        <v>0</v>
      </c>
      <c r="CL293" s="79" t="str">
        <f t="shared" si="1018"/>
        <v>NA</v>
      </c>
      <c r="CM293" s="105">
        <v>0</v>
      </c>
      <c r="CN293" s="79" t="str">
        <f t="shared" si="1019"/>
        <v>NA</v>
      </c>
      <c r="CO293" s="105">
        <v>0</v>
      </c>
      <c r="CP293" s="79" t="str">
        <f t="shared" si="1020"/>
        <v>NA</v>
      </c>
      <c r="CQ293" s="105">
        <v>0</v>
      </c>
      <c r="CR293" s="79" t="str">
        <f t="shared" si="1021"/>
        <v>NA</v>
      </c>
      <c r="CS293" s="105">
        <v>0</v>
      </c>
      <c r="CT293" s="79" t="str">
        <f t="shared" si="1022"/>
        <v>NA</v>
      </c>
      <c r="CU293" s="105">
        <v>0</v>
      </c>
      <c r="CV293" s="79" t="str">
        <f t="shared" si="1023"/>
        <v>NA</v>
      </c>
      <c r="CW293" s="105">
        <v>0</v>
      </c>
      <c r="CX293" s="79" t="str">
        <f>IF(ISERROR((CW293/CU293-1)*100),"NA",IF(((CW293/CU293-1)*100)&gt;100,"NM",IF(((CW293/CU293-1)*100)&lt;-50,"NM",(CW293/CU293-1)*100)))</f>
        <v>NA</v>
      </c>
      <c r="CY293" s="105">
        <v>0</v>
      </c>
      <c r="CZ293" s="79" t="str">
        <f>IF(ISERROR((CY293/CW293-1)*100),"NA",IF(((CY293/CW293-1)*100)&gt;100,"NM",IF(((CY293/CW293-1)*100)&lt;-50,"NM",(CY293/CW293-1)*100)))</f>
        <v>NA</v>
      </c>
      <c r="DA293" s="105">
        <v>0</v>
      </c>
      <c r="DB293" s="79" t="str">
        <f>IF(ISERROR((DA293/CY293-1)*100),"NA",IF(((DA293/CY293-1)*100)&gt;100,"NM",IF(((DA293/CY293-1)*100)&lt;-50,"NM",(DA293/CY293-1)*100)))</f>
        <v>NA</v>
      </c>
      <c r="DC293" s="105">
        <v>0</v>
      </c>
      <c r="DD293" s="79" t="str">
        <f>IF(ISERROR((DC293/DA293-1)*100),"NA",IF(((DC293/DA293-1)*100)&gt;100,"NM",IF(((DC293/DA293-1)*100)&lt;-50,"NM",(DC293/DA293-1)*100)))</f>
        <v>NA</v>
      </c>
      <c r="DE293" s="105">
        <v>0</v>
      </c>
      <c r="DF293" s="79" t="str">
        <f>IF(ISERROR((DE293/DC293-1)*100),"NA",IF(((DE293/DC293-1)*100)&gt;100,"NM",IF(((DE293/DC293-1)*100)&lt;-50,"NM",(DE293/DC293-1)*100)))</f>
        <v>NA</v>
      </c>
      <c r="DG293" s="105">
        <v>0</v>
      </c>
      <c r="DH293" s="79" t="str">
        <f>IF(ISERROR((DG293/DE293-1)*100),"NA",IF(((DG293/DE293-1)*100)&gt;100,"NM",IF(((DG293/DE293-1)*100)&lt;-50,"NM",(DG293/DE293-1)*100)))</f>
        <v>NA</v>
      </c>
      <c r="DI293" s="105">
        <v>0</v>
      </c>
      <c r="DJ293" s="79" t="str">
        <f>IF(ISERROR((DI293/DG293-1)*100),"NA",IF(((DI293/DG293-1)*100)&gt;100,"NM",IF(((DI293/DG293-1)*100)&lt;-50,"NM",(DI293/DG293-1)*100)))</f>
        <v>NA</v>
      </c>
      <c r="DK293" s="105">
        <v>0</v>
      </c>
      <c r="DL293" s="79" t="str">
        <f>IF(ISERROR((DK293/DI293-1)*100),"NA",IF(((DK293/DI293-1)*100)&gt;100,"NM",IF(((DK293/DI293-1)*100)&lt;-50,"NM",(DK293/DI293-1)*100)))</f>
        <v>NA</v>
      </c>
      <c r="DM293" s="105">
        <v>0</v>
      </c>
      <c r="DN293" s="79" t="str">
        <f>IF(ISERROR((DM293/DK293-1)*100),"NA",IF(((DM293/DK293-1)*100)&gt;100,"NM",IF(((DM293/DK293-1)*100)&lt;-50,"NM",(DM293/DK293-1)*100)))</f>
        <v>NA</v>
      </c>
      <c r="DO293" s="105">
        <v>0</v>
      </c>
      <c r="DP293" s="79" t="str">
        <f>IF(ISERROR((DO293/DM293-1)*100),"NA",IF(((DO293/DM293-1)*100)&gt;100,"NM",IF(((DO293/DM293-1)*100)&lt;-50,"NM",(DO293/DM293-1)*100)))</f>
        <v>NA</v>
      </c>
      <c r="DQ293" s="105">
        <v>0</v>
      </c>
      <c r="DR293" s="79" t="str">
        <f>IF(ISERROR((DQ293/DO293-1)*100),"NA",IF(((DQ293/DO293-1)*100)&gt;100,"NM",IF(((DQ293/DO293-1)*100)&lt;-50,"NM",(DQ293/DO293-1)*100)))</f>
        <v>NA</v>
      </c>
      <c r="DS293" s="105">
        <v>0</v>
      </c>
      <c r="DT293" s="79" t="str">
        <f>IF(ISERROR((DS293/DQ293-1)*100),"NA",IF(((DS293/DQ293-1)*100)&gt;100,"NM",IF(((DS293/DQ293-1)*100)&lt;-50,"NM",(DS293/DQ293-1)*100)))</f>
        <v>NA</v>
      </c>
      <c r="DU293" s="105">
        <v>0</v>
      </c>
      <c r="DV293" s="79" t="str">
        <f>IF(ISERROR((DU293/DS293-1)*100),"NA",IF(((DU293/DS293-1)*100)&gt;100,"NM",IF(((DU293/DS293-1)*100)&lt;-50,"NM",(DU293/DS293-1)*100)))</f>
        <v>NA</v>
      </c>
      <c r="DW293" s="105">
        <v>0</v>
      </c>
      <c r="DX293" s="79" t="str">
        <f>IF(ISERROR((DW293/DU293-1)*100),"NA",IF(((DW293/DU293-1)*100)&gt;100,"NM",IF(((DW293/DU293-1)*100)&lt;-50,"NM",(DW293/DU293-1)*100)))</f>
        <v>NA</v>
      </c>
      <c r="DY293" s="105">
        <v>0</v>
      </c>
      <c r="DZ293" s="79" t="str">
        <f>IF(ISERROR((DY293/DW293-1)*100),"NA",IF(((DY293/DW293-1)*100)&gt;100,"NM",IF(((DY293/DW293-1)*100)&lt;-50,"NM",(DY293/DW293-1)*100)))</f>
        <v>NA</v>
      </c>
      <c r="EA293" s="105">
        <f>+DY293</f>
        <v>0</v>
      </c>
      <c r="EB293" s="79" t="str">
        <f>IF(ISERROR((EA293/DY293-1)*100),"NA",IF(((EA293/DY293-1)*100)&gt;100,"NM",IF(((EA293/DY293-1)*100)&lt;-50,"NM",(EA293/DY293-1)*100)))</f>
        <v>NA</v>
      </c>
      <c r="EC293" s="105">
        <v>0</v>
      </c>
      <c r="ED293" s="79" t="str">
        <f t="shared" si="1024"/>
        <v>NA</v>
      </c>
      <c r="EE293" s="105">
        <v>0</v>
      </c>
      <c r="EF293" s="79" t="str">
        <f t="shared" si="1025"/>
        <v>NA</v>
      </c>
      <c r="EG293" s="105">
        <v>0</v>
      </c>
      <c r="EH293" s="79" t="str">
        <f t="shared" si="1026"/>
        <v>NA</v>
      </c>
      <c r="EI293" s="105">
        <v>0</v>
      </c>
      <c r="EJ293" s="79" t="str">
        <f t="shared" si="1027"/>
        <v>NA</v>
      </c>
      <c r="EK293" s="75">
        <f t="shared" si="1028"/>
        <v>0</v>
      </c>
      <c r="EL293" s="79" t="str">
        <f t="shared" si="1029"/>
        <v>NA</v>
      </c>
      <c r="EM293" s="75">
        <f t="shared" si="1030"/>
        <v>0</v>
      </c>
      <c r="EN293" s="79" t="str">
        <f t="shared" si="1031"/>
        <v>NA</v>
      </c>
      <c r="EO293" s="75">
        <f t="shared" si="1032"/>
        <v>0</v>
      </c>
      <c r="EP293" s="79" t="str">
        <f t="shared" si="1033"/>
        <v>NA</v>
      </c>
      <c r="EQ293" s="75">
        <f t="shared" si="1034"/>
        <v>0</v>
      </c>
      <c r="ER293" s="79" t="str">
        <f t="shared" si="1035"/>
        <v>NA</v>
      </c>
      <c r="ES293" s="129"/>
      <c r="ET293" s="469"/>
      <c r="EU293" s="129"/>
      <c r="EV293" s="75"/>
      <c r="EW293" s="79"/>
      <c r="EX293" s="75"/>
      <c r="EY293" s="79"/>
      <c r="EZ293" s="75"/>
      <c r="FA293" s="79"/>
      <c r="FB293" s="75"/>
      <c r="FC293" s="79"/>
      <c r="FD293" s="35">
        <f t="shared" si="1036"/>
        <v>3.1</v>
      </c>
      <c r="FE293" s="79" t="str">
        <f t="shared" si="1037"/>
        <v>NA</v>
      </c>
      <c r="FF293" s="35">
        <f t="shared" si="1038"/>
        <v>10.799999999999999</v>
      </c>
      <c r="FG293" s="79" t="str">
        <f t="shared" si="1039"/>
        <v>NM</v>
      </c>
      <c r="FH293" s="35">
        <f t="shared" si="1040"/>
        <v>4.9000000000000004</v>
      </c>
      <c r="FI293" s="79" t="str">
        <f t="shared" si="1041"/>
        <v>NM</v>
      </c>
      <c r="FJ293" s="35">
        <f t="shared" si="1042"/>
        <v>1.1000000000000001</v>
      </c>
      <c r="FK293" s="79" t="str">
        <f t="shared" si="1043"/>
        <v>NM</v>
      </c>
      <c r="FL293" s="78">
        <f t="shared" si="1044"/>
        <v>3</v>
      </c>
      <c r="FM293" s="79" t="str">
        <f t="shared" si="1045"/>
        <v>NM</v>
      </c>
      <c r="FN293" s="78">
        <f t="shared" si="1046"/>
        <v>1.9</v>
      </c>
      <c r="FO293" s="79">
        <f t="shared" si="1047"/>
        <v>-36.666666666666671</v>
      </c>
      <c r="FP293" s="78">
        <f t="shared" si="1048"/>
        <v>1.2</v>
      </c>
      <c r="FQ293" s="79">
        <f t="shared" si="1049"/>
        <v>-36.842105263157897</v>
      </c>
      <c r="FR293" s="95">
        <v>0</v>
      </c>
      <c r="FS293" s="79" t="str">
        <f t="shared" si="1050"/>
        <v>NM</v>
      </c>
      <c r="FT293" s="93">
        <f>BY293+CA293+CC293+CE293</f>
        <v>0</v>
      </c>
      <c r="FU293" s="79" t="str">
        <f t="shared" si="1051"/>
        <v>NA</v>
      </c>
      <c r="FV293" s="93">
        <f>CG293+CI293+CK293+CM293</f>
        <v>0</v>
      </c>
      <c r="FW293" s="79" t="str">
        <f t="shared" si="1052"/>
        <v>NA</v>
      </c>
      <c r="FX293" s="93">
        <f>CO293+CQ293+CS293+CU293</f>
        <v>0</v>
      </c>
      <c r="FY293" s="79" t="str">
        <f t="shared" si="1053"/>
        <v>NA</v>
      </c>
      <c r="FZ293" s="93">
        <f>CW293+CY293+DA293+DC293</f>
        <v>0</v>
      </c>
      <c r="GA293" s="79" t="str">
        <f t="shared" si="1054"/>
        <v>NA</v>
      </c>
      <c r="GB293" s="93">
        <f>DE293+DG293+DI293+DK293</f>
        <v>0</v>
      </c>
      <c r="GC293" s="79" t="str">
        <f t="shared" si="1054"/>
        <v>NA</v>
      </c>
      <c r="GD293" s="93">
        <f>DM293+DO293+DQ293+DS293</f>
        <v>0</v>
      </c>
      <c r="GE293" s="79" t="str">
        <f t="shared" si="1054"/>
        <v>NA</v>
      </c>
      <c r="GF293" s="93">
        <f>DU293+DW293+DY293+EA293</f>
        <v>0</v>
      </c>
      <c r="GG293" s="79" t="str">
        <f t="shared" si="1054"/>
        <v>NA</v>
      </c>
      <c r="GH293" s="93">
        <f>EC293+EE293+EG293+EI293</f>
        <v>0</v>
      </c>
      <c r="GI293" s="79" t="str">
        <f t="shared" si="1054"/>
        <v>NA</v>
      </c>
      <c r="GJ293" s="93">
        <f>EK293+EM293+EO293+EQ293</f>
        <v>0</v>
      </c>
      <c r="GK293" s="79" t="str">
        <f t="shared" si="1054"/>
        <v>NA</v>
      </c>
      <c r="GL293" s="95">
        <f>GJ293*0.98</f>
        <v>0</v>
      </c>
      <c r="GM293" s="79" t="str">
        <f t="shared" si="1054"/>
        <v>NA</v>
      </c>
      <c r="GN293" s="95">
        <f>GL293*0.98</f>
        <v>0</v>
      </c>
      <c r="GO293" s="79" t="str">
        <f t="shared" si="1054"/>
        <v>NA</v>
      </c>
      <c r="GP293" s="95">
        <f>GN293*0.98</f>
        <v>0</v>
      </c>
      <c r="GQ293" s="79" t="str">
        <f t="shared" si="1054"/>
        <v>NA</v>
      </c>
      <c r="GR293" s="95">
        <f>GP293*0.98</f>
        <v>0</v>
      </c>
      <c r="GS293" s="79" t="str">
        <f t="shared" si="1055"/>
        <v>NA</v>
      </c>
      <c r="GT293" s="79" t="str">
        <f>IF(ISERROR(((GR293/GH293)^0.2-1)*100),"NA",(IF(OR(((GR293/GH293)^0.2-1)*100&gt;99,((GR293/GH293)^0.2-1)*100&lt;-50),"NM",(((GR293/GH293)^0.2-1)*100))))</f>
        <v>NA</v>
      </c>
    </row>
    <row r="294" spans="1:286" ht="12.75" customHeight="1" x14ac:dyDescent="0.2">
      <c r="A294" s="1"/>
      <c r="B294" s="10" t="s">
        <v>311</v>
      </c>
      <c r="C294" s="79"/>
      <c r="D294" s="79"/>
      <c r="E294" s="75">
        <f>E321</f>
        <v>5.5</v>
      </c>
      <c r="F294" s="79"/>
      <c r="G294" s="75">
        <f>G321</f>
        <v>10.6</v>
      </c>
      <c r="H294" s="79"/>
      <c r="I294" s="75">
        <f>I321</f>
        <v>7.8</v>
      </c>
      <c r="J294" s="79"/>
      <c r="K294" s="75">
        <f>K321</f>
        <v>6.4</v>
      </c>
      <c r="L294" s="79"/>
      <c r="M294" s="75">
        <f>M321</f>
        <v>0</v>
      </c>
      <c r="N294" s="79" t="str">
        <f t="shared" si="980"/>
        <v>NM</v>
      </c>
      <c r="O294" s="75">
        <f>O321</f>
        <v>0.2</v>
      </c>
      <c r="P294" s="79" t="str">
        <f t="shared" si="981"/>
        <v>NA</v>
      </c>
      <c r="Q294" s="75">
        <f>Q321</f>
        <v>0</v>
      </c>
      <c r="R294" s="79" t="str">
        <f t="shared" si="982"/>
        <v>NM</v>
      </c>
      <c r="S294" s="75">
        <f>S321</f>
        <v>-0.1</v>
      </c>
      <c r="T294" s="79" t="str">
        <f t="shared" si="983"/>
        <v>NA</v>
      </c>
      <c r="U294" s="75">
        <f>U321</f>
        <v>0</v>
      </c>
      <c r="V294" s="79" t="str">
        <f t="shared" si="984"/>
        <v>NM</v>
      </c>
      <c r="W294" s="75">
        <f>W321</f>
        <v>0</v>
      </c>
      <c r="X294" s="79" t="str">
        <f t="shared" si="985"/>
        <v>NA</v>
      </c>
      <c r="Y294" s="75">
        <f>Y321</f>
        <v>0.1</v>
      </c>
      <c r="Z294" s="79" t="str">
        <f t="shared" si="986"/>
        <v>NA</v>
      </c>
      <c r="AA294" s="267">
        <f>AA321</f>
        <v>0</v>
      </c>
      <c r="AB294" s="79" t="str">
        <f t="shared" si="987"/>
        <v>NM</v>
      </c>
      <c r="AC294" s="75">
        <f>AC321</f>
        <v>0</v>
      </c>
      <c r="AD294" s="79" t="str">
        <f t="shared" si="988"/>
        <v>NA</v>
      </c>
      <c r="AE294" s="75">
        <f>AE321</f>
        <v>0</v>
      </c>
      <c r="AF294" s="79" t="str">
        <f t="shared" si="989"/>
        <v>NA</v>
      </c>
      <c r="AG294" s="75">
        <f>AG321</f>
        <v>0.1</v>
      </c>
      <c r="AH294" s="79" t="str">
        <f t="shared" si="990"/>
        <v>NA</v>
      </c>
      <c r="AI294" s="75">
        <f>AI321</f>
        <v>0</v>
      </c>
      <c r="AJ294" s="79" t="str">
        <f t="shared" si="991"/>
        <v>NM</v>
      </c>
      <c r="AK294" s="75">
        <f>AK321</f>
        <v>0</v>
      </c>
      <c r="AL294" s="79" t="str">
        <f t="shared" si="992"/>
        <v>NA</v>
      </c>
      <c r="AM294" s="75">
        <f>AM321</f>
        <v>0.1</v>
      </c>
      <c r="AN294" s="79" t="str">
        <f t="shared" si="993"/>
        <v>NA</v>
      </c>
      <c r="AO294" s="75">
        <f>AO321</f>
        <v>-0.1</v>
      </c>
      <c r="AP294" s="79" t="str">
        <f t="shared" si="994"/>
        <v>NM</v>
      </c>
      <c r="AQ294" s="75">
        <f>AQ321</f>
        <v>0.5</v>
      </c>
      <c r="AR294" s="79" t="str">
        <f t="shared" si="995"/>
        <v>NM</v>
      </c>
      <c r="AS294" s="75">
        <f>AS321</f>
        <v>0</v>
      </c>
      <c r="AT294" s="79" t="str">
        <f t="shared" si="996"/>
        <v>NM</v>
      </c>
      <c r="AU294" s="75">
        <f>AU321</f>
        <v>0</v>
      </c>
      <c r="AV294" s="79" t="str">
        <f t="shared" si="997"/>
        <v>NA</v>
      </c>
      <c r="AW294" s="75">
        <f>AW321</f>
        <v>0</v>
      </c>
      <c r="AX294" s="79" t="str">
        <f t="shared" si="998"/>
        <v>NA</v>
      </c>
      <c r="AY294" s="75">
        <f>AY321</f>
        <v>0</v>
      </c>
      <c r="AZ294" s="79" t="str">
        <f t="shared" si="999"/>
        <v>NA</v>
      </c>
      <c r="BA294" s="75">
        <f>BA321</f>
        <v>0</v>
      </c>
      <c r="BB294" s="79" t="str">
        <f t="shared" si="1000"/>
        <v>NA</v>
      </c>
      <c r="BC294" s="75">
        <f>BC321</f>
        <v>0</v>
      </c>
      <c r="BD294" s="79" t="str">
        <f t="shared" si="1001"/>
        <v>NA</v>
      </c>
      <c r="BE294" s="75">
        <f>BE321</f>
        <v>0</v>
      </c>
      <c r="BF294" s="79" t="str">
        <f t="shared" si="1002"/>
        <v>NA</v>
      </c>
      <c r="BG294" s="75">
        <f>BG321</f>
        <v>0</v>
      </c>
      <c r="BH294" s="79" t="str">
        <f t="shared" si="1003"/>
        <v>NA</v>
      </c>
      <c r="BI294" s="75">
        <f>BI321</f>
        <v>0</v>
      </c>
      <c r="BJ294" s="79" t="str">
        <f t="shared" si="1004"/>
        <v>NA</v>
      </c>
      <c r="BK294" s="75">
        <f>BK321</f>
        <v>0</v>
      </c>
      <c r="BL294" s="79" t="str">
        <f t="shared" si="1005"/>
        <v>NA</v>
      </c>
      <c r="BM294" s="75">
        <f>BM321</f>
        <v>0</v>
      </c>
      <c r="BN294" s="79" t="str">
        <f t="shared" si="1006"/>
        <v>NA</v>
      </c>
      <c r="BO294" s="104">
        <f>BO321</f>
        <v>0</v>
      </c>
      <c r="BP294" s="79" t="str">
        <f t="shared" si="1007"/>
        <v>NA</v>
      </c>
      <c r="BQ294" s="104">
        <f>BQ321</f>
        <v>0</v>
      </c>
      <c r="BR294" s="79" t="str">
        <f t="shared" si="1008"/>
        <v>NA</v>
      </c>
      <c r="BS294" s="93">
        <f>BS321</f>
        <v>0</v>
      </c>
      <c r="BT294" s="79" t="str">
        <f t="shared" si="1009"/>
        <v>NA</v>
      </c>
      <c r="BU294" s="104">
        <f>BU321</f>
        <v>0</v>
      </c>
      <c r="BV294" s="79" t="str">
        <f t="shared" si="1010"/>
        <v>NA</v>
      </c>
      <c r="BW294" s="104">
        <f>BW321</f>
        <v>0</v>
      </c>
      <c r="BX294" s="79" t="str">
        <f t="shared" si="1011"/>
        <v>NA</v>
      </c>
      <c r="BY294" s="104">
        <f>BY321</f>
        <v>0</v>
      </c>
      <c r="BZ294" s="79" t="str">
        <f t="shared" si="1012"/>
        <v>NA</v>
      </c>
      <c r="CA294" s="104">
        <f>CA321</f>
        <v>0</v>
      </c>
      <c r="CB294" s="79" t="str">
        <f t="shared" si="1013"/>
        <v>NA</v>
      </c>
      <c r="CC294" s="104">
        <f>CC321</f>
        <v>0</v>
      </c>
      <c r="CD294" s="79" t="str">
        <f t="shared" si="1014"/>
        <v>NA</v>
      </c>
      <c r="CE294" s="104">
        <f>CE321</f>
        <v>0</v>
      </c>
      <c r="CF294" s="79" t="str">
        <f t="shared" si="1015"/>
        <v>NA</v>
      </c>
      <c r="CG294" s="104">
        <f>CG321</f>
        <v>0</v>
      </c>
      <c r="CH294" s="79" t="str">
        <f t="shared" si="1016"/>
        <v>NA</v>
      </c>
      <c r="CI294" s="104">
        <f>CI321</f>
        <v>0</v>
      </c>
      <c r="CJ294" s="79" t="str">
        <f t="shared" si="1017"/>
        <v>NA</v>
      </c>
      <c r="CK294" s="104">
        <f>CK321</f>
        <v>0</v>
      </c>
      <c r="CL294" s="79" t="str">
        <f t="shared" si="1018"/>
        <v>NA</v>
      </c>
      <c r="CM294" s="104">
        <f>CM321</f>
        <v>0</v>
      </c>
      <c r="CN294" s="79" t="str">
        <f t="shared" si="1019"/>
        <v>NA</v>
      </c>
      <c r="CO294" s="104">
        <f>CO321</f>
        <v>0</v>
      </c>
      <c r="CP294" s="79" t="str">
        <f t="shared" si="1020"/>
        <v>NA</v>
      </c>
      <c r="CQ294" s="104">
        <f>CQ321</f>
        <v>0</v>
      </c>
      <c r="CR294" s="79" t="str">
        <f t="shared" si="1021"/>
        <v>NA</v>
      </c>
      <c r="CS294" s="104">
        <f>CS321</f>
        <v>0</v>
      </c>
      <c r="CT294" s="79" t="str">
        <f t="shared" si="1022"/>
        <v>NA</v>
      </c>
      <c r="CU294" s="104">
        <v>0</v>
      </c>
      <c r="CV294" s="79" t="str">
        <f t="shared" si="1023"/>
        <v>NA</v>
      </c>
      <c r="CW294" s="104">
        <v>0</v>
      </c>
      <c r="CX294" s="79" t="str">
        <f>IF(ISERROR((CW294/CU294-1)*100),"NA",IF(((CW294/CU294-1)*100)&gt;100,"NM",IF(((CW294/CU294-1)*100)&lt;-50,"NM",(CW294/CU294-1)*100)))</f>
        <v>NA</v>
      </c>
      <c r="CY294" s="104">
        <v>0</v>
      </c>
      <c r="CZ294" s="79" t="str">
        <f>IF(ISERROR((CY294/CW294-1)*100),"NA",IF(((CY294/CW294-1)*100)&gt;100,"NM",IF(((CY294/CW294-1)*100)&lt;-50,"NM",(CY294/CW294-1)*100)))</f>
        <v>NA</v>
      </c>
      <c r="DA294" s="104">
        <v>0</v>
      </c>
      <c r="DB294" s="79" t="str">
        <f>IF(ISERROR((DA294/CY294-1)*100),"NA",IF(((DA294/CY294-1)*100)&gt;100,"NM",IF(((DA294/CY294-1)*100)&lt;-50,"NM",(DA294/CY294-1)*100)))</f>
        <v>NA</v>
      </c>
      <c r="DC294" s="104">
        <v>0</v>
      </c>
      <c r="DD294" s="79" t="str">
        <f>IF(ISERROR((DC294/DA294-1)*100),"NA",IF(((DC294/DA294-1)*100)&gt;100,"NM",IF(((DC294/DA294-1)*100)&lt;-50,"NM",(DC294/DA294-1)*100)))</f>
        <v>NA</v>
      </c>
      <c r="DE294" s="104">
        <v>0</v>
      </c>
      <c r="DF294" s="79" t="str">
        <f>IF(ISERROR((DE294/DC294-1)*100),"NA",IF(((DE294/DC294-1)*100)&gt;100,"NM",IF(((DE294/DC294-1)*100)&lt;-50,"NM",(DE294/DC294-1)*100)))</f>
        <v>NA</v>
      </c>
      <c r="DG294" s="104">
        <v>0</v>
      </c>
      <c r="DH294" s="79" t="str">
        <f>IF(ISERROR((DG294/DE294-1)*100),"NA",IF(((DG294/DE294-1)*100)&gt;100,"NM",IF(((DG294/DE294-1)*100)&lt;-50,"NM",(DG294/DE294-1)*100)))</f>
        <v>NA</v>
      </c>
      <c r="DI294" s="104">
        <v>0</v>
      </c>
      <c r="DJ294" s="79" t="str">
        <f>IF(ISERROR((DI294/DG294-1)*100),"NA",IF(((DI294/DG294-1)*100)&gt;100,"NM",IF(((DI294/DG294-1)*100)&lt;-50,"NM",(DI294/DG294-1)*100)))</f>
        <v>NA</v>
      </c>
      <c r="DK294" s="104">
        <v>0</v>
      </c>
      <c r="DL294" s="79" t="str">
        <f>IF(ISERROR((DK294/DI294-1)*100),"NA",IF(((DK294/DI294-1)*100)&gt;100,"NM",IF(((DK294/DI294-1)*100)&lt;-50,"NM",(DK294/DI294-1)*100)))</f>
        <v>NA</v>
      </c>
      <c r="DM294" s="104">
        <v>0</v>
      </c>
      <c r="DN294" s="79" t="str">
        <f>IF(ISERROR((DM294/DK294-1)*100),"NA",IF(((DM294/DK294-1)*100)&gt;100,"NM",IF(((DM294/DK294-1)*100)&lt;-50,"NM",(DM294/DK294-1)*100)))</f>
        <v>NA</v>
      </c>
      <c r="DO294" s="104">
        <v>0</v>
      </c>
      <c r="DP294" s="79" t="str">
        <f>IF(ISERROR((DO294/DM294-1)*100),"NA",IF(((DO294/DM294-1)*100)&gt;100,"NM",IF(((DO294/DM294-1)*100)&lt;-50,"NM",(DO294/DM294-1)*100)))</f>
        <v>NA</v>
      </c>
      <c r="DQ294" s="104">
        <v>0</v>
      </c>
      <c r="DR294" s="79" t="str">
        <f>IF(ISERROR((DQ294/DO294-1)*100),"NA",IF(((DQ294/DO294-1)*100)&gt;100,"NM",IF(((DQ294/DO294-1)*100)&lt;-50,"NM",(DQ294/DO294-1)*100)))</f>
        <v>NA</v>
      </c>
      <c r="DS294" s="104">
        <v>0</v>
      </c>
      <c r="DT294" s="79" t="str">
        <f>IF(ISERROR((DS294/DQ294-1)*100),"NA",IF(((DS294/DQ294-1)*100)&gt;100,"NM",IF(((DS294/DQ294-1)*100)&lt;-50,"NM",(DS294/DQ294-1)*100)))</f>
        <v>NA</v>
      </c>
      <c r="DU294" s="104">
        <v>0</v>
      </c>
      <c r="DV294" s="79" t="str">
        <f>IF(ISERROR((DU294/DS294-1)*100),"NA",IF(((DU294/DS294-1)*100)&gt;100,"NM",IF(((DU294/DS294-1)*100)&lt;-50,"NM",(DU294/DS294-1)*100)))</f>
        <v>NA</v>
      </c>
      <c r="DW294" s="104">
        <v>0</v>
      </c>
      <c r="DX294" s="79" t="str">
        <f>IF(ISERROR((DW294/DU294-1)*100),"NA",IF(((DW294/DU294-1)*100)&gt;100,"NM",IF(((DW294/DU294-1)*100)&lt;-50,"NM",(DW294/DU294-1)*100)))</f>
        <v>NA</v>
      </c>
      <c r="DY294" s="104">
        <v>0</v>
      </c>
      <c r="DZ294" s="79" t="str">
        <f>IF(ISERROR((DY294/DW294-1)*100),"NA",IF(((DY294/DW294-1)*100)&gt;100,"NM",IF(((DY294/DW294-1)*100)&lt;-50,"NM",(DY294/DW294-1)*100)))</f>
        <v>NA</v>
      </c>
      <c r="EA294" s="104">
        <f>EA321</f>
        <v>0</v>
      </c>
      <c r="EB294" s="79" t="str">
        <f>IF(ISERROR((EA294/DY294-1)*100),"NA",IF(((EA294/DY294-1)*100)&gt;100,"NM",IF(((EA294/DY294-1)*100)&lt;-50,"NM",(EA294/DY294-1)*100)))</f>
        <v>NA</v>
      </c>
      <c r="EC294" s="104">
        <v>0</v>
      </c>
      <c r="ED294" s="79" t="str">
        <f t="shared" si="1024"/>
        <v>NA</v>
      </c>
      <c r="EE294" s="104">
        <v>0</v>
      </c>
      <c r="EF294" s="79" t="str">
        <f t="shared" si="1025"/>
        <v>NA</v>
      </c>
      <c r="EG294" s="104">
        <v>0</v>
      </c>
      <c r="EH294" s="79" t="str">
        <f t="shared" si="1026"/>
        <v>NA</v>
      </c>
      <c r="EI294" s="104">
        <v>0</v>
      </c>
      <c r="EJ294" s="79" t="str">
        <f t="shared" si="1027"/>
        <v>NA</v>
      </c>
      <c r="EK294" s="75">
        <f t="shared" ref="EK294:EQ294" si="1056">EK321</f>
        <v>0</v>
      </c>
      <c r="EL294" s="79" t="str">
        <f t="shared" si="1029"/>
        <v>NA</v>
      </c>
      <c r="EM294" s="75">
        <f t="shared" si="1056"/>
        <v>0</v>
      </c>
      <c r="EN294" s="79" t="str">
        <f t="shared" si="1031"/>
        <v>NA</v>
      </c>
      <c r="EO294" s="75">
        <f t="shared" si="1056"/>
        <v>0</v>
      </c>
      <c r="EP294" s="79" t="str">
        <f t="shared" si="1033"/>
        <v>NA</v>
      </c>
      <c r="EQ294" s="75">
        <f t="shared" si="1056"/>
        <v>0</v>
      </c>
      <c r="ER294" s="79" t="str">
        <f t="shared" si="1035"/>
        <v>NA</v>
      </c>
      <c r="ES294" s="129"/>
      <c r="ET294" s="469"/>
      <c r="EU294" s="129"/>
      <c r="EV294" s="75"/>
      <c r="EW294" s="79"/>
      <c r="EX294" s="75"/>
      <c r="EY294" s="79"/>
      <c r="EZ294" s="75"/>
      <c r="FA294" s="79"/>
      <c r="FB294" s="75"/>
      <c r="FC294" s="79"/>
      <c r="FD294" s="35">
        <f t="shared" si="1036"/>
        <v>0.1</v>
      </c>
      <c r="FE294" s="79" t="str">
        <f t="shared" si="1037"/>
        <v>NA</v>
      </c>
      <c r="FF294" s="35">
        <f t="shared" si="1038"/>
        <v>0.1</v>
      </c>
      <c r="FG294" s="79">
        <f t="shared" si="1039"/>
        <v>0</v>
      </c>
      <c r="FH294" s="35">
        <f t="shared" si="1040"/>
        <v>0.1</v>
      </c>
      <c r="FI294" s="79">
        <f t="shared" si="1041"/>
        <v>0</v>
      </c>
      <c r="FJ294" s="35">
        <f t="shared" si="1042"/>
        <v>0.5</v>
      </c>
      <c r="FK294" s="79" t="str">
        <f t="shared" si="1043"/>
        <v>NM</v>
      </c>
      <c r="FL294" s="78">
        <f t="shared" si="1044"/>
        <v>0</v>
      </c>
      <c r="FM294" s="79" t="str">
        <f t="shared" si="1045"/>
        <v>NM</v>
      </c>
      <c r="FN294" s="78">
        <f t="shared" si="1046"/>
        <v>0</v>
      </c>
      <c r="FO294" s="79" t="str">
        <f t="shared" si="1047"/>
        <v>NA</v>
      </c>
      <c r="FP294" s="78">
        <f t="shared" si="1048"/>
        <v>0</v>
      </c>
      <c r="FQ294" s="79" t="str">
        <f t="shared" si="1049"/>
        <v>NA</v>
      </c>
      <c r="FR294" s="93">
        <f>BQ294+BS294+BU294+BW294</f>
        <v>0</v>
      </c>
      <c r="FS294" s="79" t="str">
        <f t="shared" si="1050"/>
        <v>NA</v>
      </c>
      <c r="FT294" s="93">
        <f>BY294+CA294+CC294+CE294</f>
        <v>0</v>
      </c>
      <c r="FU294" s="79" t="str">
        <f t="shared" si="1051"/>
        <v>NA</v>
      </c>
      <c r="FV294" s="93">
        <f>CG294+CI294+CK294+CM294</f>
        <v>0</v>
      </c>
      <c r="FW294" s="79" t="str">
        <f t="shared" si="1052"/>
        <v>NA</v>
      </c>
      <c r="FX294" s="93">
        <f>CO294+CQ294+CS294+CU294</f>
        <v>0</v>
      </c>
      <c r="FY294" s="79" t="str">
        <f t="shared" si="1053"/>
        <v>NA</v>
      </c>
      <c r="FZ294" s="93">
        <f>CW294+CY294+DA294+DC294</f>
        <v>0</v>
      </c>
      <c r="GA294" s="79" t="str">
        <f t="shared" si="1054"/>
        <v>NA</v>
      </c>
      <c r="GB294" s="93">
        <f>DE294+DG294+DI294+DK294</f>
        <v>0</v>
      </c>
      <c r="GC294" s="79" t="str">
        <f t="shared" si="1054"/>
        <v>NA</v>
      </c>
      <c r="GD294" s="93">
        <f>DM294+DO294+DQ294+DS294</f>
        <v>0</v>
      </c>
      <c r="GE294" s="79" t="str">
        <f t="shared" si="1054"/>
        <v>NA</v>
      </c>
      <c r="GF294" s="93">
        <f>DU294+DW294+DY294+EA294</f>
        <v>0</v>
      </c>
      <c r="GG294" s="79" t="str">
        <f t="shared" si="1054"/>
        <v>NA</v>
      </c>
      <c r="GH294" s="93">
        <f>EC294+EE294+EG294+EI294</f>
        <v>0</v>
      </c>
      <c r="GI294" s="79" t="str">
        <f t="shared" si="1054"/>
        <v>NA</v>
      </c>
      <c r="GJ294" s="93">
        <f>EK294+EM294+EO294+EQ294</f>
        <v>0</v>
      </c>
      <c r="GK294" s="79" t="str">
        <f t="shared" si="1054"/>
        <v>NA</v>
      </c>
      <c r="GL294" s="95">
        <f>GJ294*0.98</f>
        <v>0</v>
      </c>
      <c r="GM294" s="79" t="str">
        <f t="shared" si="1054"/>
        <v>NA</v>
      </c>
      <c r="GN294" s="95">
        <f>GL294*0.98</f>
        <v>0</v>
      </c>
      <c r="GO294" s="79" t="str">
        <f t="shared" si="1054"/>
        <v>NA</v>
      </c>
      <c r="GP294" s="95">
        <f>GN294*0.98</f>
        <v>0</v>
      </c>
      <c r="GQ294" s="79" t="str">
        <f t="shared" si="1054"/>
        <v>NA</v>
      </c>
      <c r="GR294" s="95">
        <f>GP294*0.98</f>
        <v>0</v>
      </c>
      <c r="GS294" s="79" t="str">
        <f t="shared" si="1055"/>
        <v>NA</v>
      </c>
      <c r="GT294" s="79" t="str">
        <f>IF(ISERROR(((GR294/GH294)^0.2-1)*100),"NA",(IF(OR(((GR294/GH294)^0.2-1)*100&gt;99,((GR294/GH294)^0.2-1)*100&lt;-50),"NM",(((GR294/GH294)^0.2-1)*100))))</f>
        <v>NA</v>
      </c>
    </row>
    <row r="295" spans="1:286" ht="12.75" customHeight="1" x14ac:dyDescent="0.2">
      <c r="A295" s="1"/>
      <c r="B295" s="10" t="s">
        <v>404</v>
      </c>
      <c r="C295" s="79"/>
      <c r="D295" s="79"/>
      <c r="E295" s="75">
        <f>E348</f>
        <v>5.3</v>
      </c>
      <c r="F295" s="79"/>
      <c r="G295" s="75">
        <f>G348</f>
        <v>5.3</v>
      </c>
      <c r="H295" s="79"/>
      <c r="I295" s="75">
        <f>I348</f>
        <v>5.3</v>
      </c>
      <c r="J295" s="79"/>
      <c r="K295" s="75">
        <f>K348</f>
        <v>5.2999999999999989</v>
      </c>
      <c r="L295" s="79"/>
      <c r="M295" s="75">
        <f>M348</f>
        <v>0</v>
      </c>
      <c r="N295" s="79" t="str">
        <f t="shared" si="980"/>
        <v>NM</v>
      </c>
      <c r="O295" s="75">
        <f>O348</f>
        <v>0</v>
      </c>
      <c r="P295" s="79" t="str">
        <f t="shared" si="981"/>
        <v>NA</v>
      </c>
      <c r="Q295" s="75">
        <f>Q348</f>
        <v>0</v>
      </c>
      <c r="R295" s="79" t="str">
        <f t="shared" si="982"/>
        <v>NA</v>
      </c>
      <c r="S295" s="75">
        <f>S348</f>
        <v>0</v>
      </c>
      <c r="T295" s="79" t="str">
        <f t="shared" si="983"/>
        <v>NA</v>
      </c>
      <c r="U295" s="75">
        <f>U348</f>
        <v>0</v>
      </c>
      <c r="V295" s="79" t="str">
        <f t="shared" si="984"/>
        <v>NA</v>
      </c>
      <c r="W295" s="75">
        <f>W348</f>
        <v>0</v>
      </c>
      <c r="X295" s="79" t="str">
        <f t="shared" si="985"/>
        <v>NA</v>
      </c>
      <c r="Y295" s="75">
        <f>Y348</f>
        <v>0</v>
      </c>
      <c r="Z295" s="79" t="str">
        <f t="shared" si="986"/>
        <v>NA</v>
      </c>
      <c r="AA295" s="267">
        <f>AA348</f>
        <v>0</v>
      </c>
      <c r="AB295" s="79" t="str">
        <f t="shared" si="987"/>
        <v>NA</v>
      </c>
      <c r="AC295" s="75">
        <f>AC348</f>
        <v>0</v>
      </c>
      <c r="AD295" s="79" t="str">
        <f t="shared" si="988"/>
        <v>NA</v>
      </c>
      <c r="AE295" s="75">
        <f>AE348</f>
        <v>0</v>
      </c>
      <c r="AF295" s="79" t="str">
        <f t="shared" si="989"/>
        <v>NA</v>
      </c>
      <c r="AG295" s="75">
        <f>AG348</f>
        <v>0</v>
      </c>
      <c r="AH295" s="79" t="str">
        <f t="shared" si="990"/>
        <v>NA</v>
      </c>
      <c r="AI295" s="75">
        <f>AI348</f>
        <v>0</v>
      </c>
      <c r="AJ295" s="79" t="str">
        <f t="shared" si="991"/>
        <v>NA</v>
      </c>
      <c r="AK295" s="75">
        <f>AK348</f>
        <v>0</v>
      </c>
      <c r="AL295" s="79" t="str">
        <f t="shared" si="992"/>
        <v>NA</v>
      </c>
      <c r="AM295" s="75">
        <f>AM348</f>
        <v>0</v>
      </c>
      <c r="AN295" s="79" t="str">
        <f t="shared" si="993"/>
        <v>NA</v>
      </c>
      <c r="AO295" s="75">
        <f>AO348</f>
        <v>0</v>
      </c>
      <c r="AP295" s="79" t="str">
        <f t="shared" si="994"/>
        <v>NA</v>
      </c>
      <c r="AQ295" s="75">
        <f>AQ348</f>
        <v>0</v>
      </c>
      <c r="AR295" s="79" t="str">
        <f t="shared" si="995"/>
        <v>NA</v>
      </c>
      <c r="AS295" s="75">
        <f>AS348</f>
        <v>0</v>
      </c>
      <c r="AT295" s="79" t="str">
        <f t="shared" si="996"/>
        <v>NA</v>
      </c>
      <c r="AU295" s="75">
        <f>AU348</f>
        <v>0</v>
      </c>
      <c r="AV295" s="79" t="str">
        <f t="shared" si="997"/>
        <v>NA</v>
      </c>
      <c r="AW295" s="75">
        <f>AW348</f>
        <v>0</v>
      </c>
      <c r="AX295" s="79" t="str">
        <f t="shared" si="998"/>
        <v>NA</v>
      </c>
      <c r="AY295" s="75">
        <f>AY348</f>
        <v>0</v>
      </c>
      <c r="AZ295" s="79" t="str">
        <f t="shared" si="999"/>
        <v>NA</v>
      </c>
      <c r="BA295" s="75">
        <f>BA348</f>
        <v>0</v>
      </c>
      <c r="BB295" s="79" t="str">
        <f t="shared" si="1000"/>
        <v>NA</v>
      </c>
      <c r="BC295" s="75">
        <f>BC348</f>
        <v>0</v>
      </c>
      <c r="BD295" s="79" t="str">
        <f t="shared" si="1001"/>
        <v>NA</v>
      </c>
      <c r="BE295" s="75">
        <f>BE348</f>
        <v>0</v>
      </c>
      <c r="BF295" s="79" t="str">
        <f t="shared" si="1002"/>
        <v>NA</v>
      </c>
      <c r="BG295" s="75">
        <f>BG348</f>
        <v>0</v>
      </c>
      <c r="BH295" s="79" t="str">
        <f t="shared" si="1003"/>
        <v>NA</v>
      </c>
      <c r="BI295" s="75">
        <f>BI348</f>
        <v>0</v>
      </c>
      <c r="BJ295" s="79" t="str">
        <f t="shared" si="1004"/>
        <v>NA</v>
      </c>
      <c r="BK295" s="75">
        <f>BK348</f>
        <v>0</v>
      </c>
      <c r="BL295" s="79" t="str">
        <f t="shared" si="1005"/>
        <v>NA</v>
      </c>
      <c r="BM295" s="75">
        <f>BM348</f>
        <v>0</v>
      </c>
      <c r="BN295" s="79" t="str">
        <f t="shared" si="1006"/>
        <v>NA</v>
      </c>
      <c r="BO295" s="75">
        <f>BO348</f>
        <v>0</v>
      </c>
      <c r="BP295" s="79" t="str">
        <f t="shared" si="1007"/>
        <v>NA</v>
      </c>
      <c r="BQ295" s="75">
        <f>BQ348</f>
        <v>0</v>
      </c>
      <c r="BR295" s="79" t="str">
        <f t="shared" si="1008"/>
        <v>NA</v>
      </c>
      <c r="BS295" s="93">
        <f>BS348</f>
        <v>0</v>
      </c>
      <c r="BT295" s="79" t="str">
        <f t="shared" si="1009"/>
        <v>NA</v>
      </c>
      <c r="BU295" s="75">
        <f>BU348</f>
        <v>0</v>
      </c>
      <c r="BV295" s="79" t="str">
        <f t="shared" si="1010"/>
        <v>NA</v>
      </c>
      <c r="BW295" s="75">
        <f>BW348</f>
        <v>0</v>
      </c>
      <c r="BX295" s="79" t="str">
        <f t="shared" si="1011"/>
        <v>NA</v>
      </c>
      <c r="BY295" s="75">
        <f>BY348</f>
        <v>0</v>
      </c>
      <c r="BZ295" s="79" t="str">
        <f t="shared" si="1012"/>
        <v>NA</v>
      </c>
      <c r="CA295" s="75">
        <f>CA348</f>
        <v>0</v>
      </c>
      <c r="CB295" s="79" t="str">
        <f t="shared" si="1013"/>
        <v>NA</v>
      </c>
      <c r="CC295" s="75">
        <f>CC348</f>
        <v>0</v>
      </c>
      <c r="CD295" s="79" t="str">
        <f t="shared" si="1014"/>
        <v>NA</v>
      </c>
      <c r="CE295" s="75">
        <f>CE348</f>
        <v>0</v>
      </c>
      <c r="CF295" s="79" t="str">
        <f t="shared" si="1015"/>
        <v>NA</v>
      </c>
      <c r="CG295" s="75">
        <f>CG348</f>
        <v>0</v>
      </c>
      <c r="CH295" s="79" t="str">
        <f t="shared" si="1016"/>
        <v>NA</v>
      </c>
      <c r="CI295" s="75">
        <f>CI348</f>
        <v>0</v>
      </c>
      <c r="CJ295" s="79" t="str">
        <f t="shared" si="1017"/>
        <v>NA</v>
      </c>
      <c r="CK295" s="75">
        <f>CK348</f>
        <v>0</v>
      </c>
      <c r="CL295" s="79" t="str">
        <f t="shared" si="1018"/>
        <v>NA</v>
      </c>
      <c r="CM295" s="75">
        <f>CM348</f>
        <v>0</v>
      </c>
      <c r="CN295" s="79" t="str">
        <f t="shared" si="1019"/>
        <v>NA</v>
      </c>
      <c r="CO295" s="75">
        <f>CO348</f>
        <v>0</v>
      </c>
      <c r="CP295" s="79" t="str">
        <f t="shared" si="1020"/>
        <v>NA</v>
      </c>
      <c r="CQ295" s="75">
        <f>CQ348</f>
        <v>0</v>
      </c>
      <c r="CR295" s="79" t="str">
        <f t="shared" si="1021"/>
        <v>NA</v>
      </c>
      <c r="CS295" s="75">
        <f>CS348</f>
        <v>0</v>
      </c>
      <c r="CT295" s="79" t="str">
        <f t="shared" si="1022"/>
        <v>NA</v>
      </c>
      <c r="CU295" s="75">
        <v>0</v>
      </c>
      <c r="CV295" s="79" t="str">
        <f t="shared" si="1023"/>
        <v>NA</v>
      </c>
      <c r="CW295" s="75">
        <v>0</v>
      </c>
      <c r="CX295" s="79" t="str">
        <f>IF(ISERROR((CW295/CU295-1)*100),"NA",IF(((CW295/CU295-1)*100)&gt;100,"NM",IF(((CW295/CU295-1)*100)&lt;-50,"NM",(CW295/CU295-1)*100)))</f>
        <v>NA</v>
      </c>
      <c r="CY295" s="75">
        <v>0</v>
      </c>
      <c r="CZ295" s="79" t="str">
        <f>IF(ISERROR((CY295/CW295-1)*100),"NA",IF(((CY295/CW295-1)*100)&gt;100,"NM",IF(((CY295/CW295-1)*100)&lt;-50,"NM",(CY295/CW295-1)*100)))</f>
        <v>NA</v>
      </c>
      <c r="DA295" s="75">
        <v>0</v>
      </c>
      <c r="DB295" s="79" t="str">
        <f>IF(ISERROR((DA295/CY295-1)*100),"NA",IF(((DA295/CY295-1)*100)&gt;100,"NM",IF(((DA295/CY295-1)*100)&lt;-50,"NM",(DA295/CY295-1)*100)))</f>
        <v>NA</v>
      </c>
      <c r="DC295" s="75">
        <v>0</v>
      </c>
      <c r="DD295" s="79" t="str">
        <f>IF(ISERROR((DC295/DA295-1)*100),"NA",IF(((DC295/DA295-1)*100)&gt;100,"NM",IF(((DC295/DA295-1)*100)&lt;-50,"NM",(DC295/DA295-1)*100)))</f>
        <v>NA</v>
      </c>
      <c r="DE295" s="75">
        <v>0</v>
      </c>
      <c r="DF295" s="79" t="str">
        <f>IF(ISERROR((DE295/DC295-1)*100),"NA",IF(((DE295/DC295-1)*100)&gt;100,"NM",IF(((DE295/DC295-1)*100)&lt;-50,"NM",(DE295/DC295-1)*100)))</f>
        <v>NA</v>
      </c>
      <c r="DG295" s="75">
        <v>0</v>
      </c>
      <c r="DH295" s="79" t="str">
        <f>IF(ISERROR((DG295/DE295-1)*100),"NA",IF(((DG295/DE295-1)*100)&gt;100,"NM",IF(((DG295/DE295-1)*100)&lt;-50,"NM",(DG295/DE295-1)*100)))</f>
        <v>NA</v>
      </c>
      <c r="DI295" s="75">
        <v>0</v>
      </c>
      <c r="DJ295" s="79" t="str">
        <f>IF(ISERROR((DI295/DG295-1)*100),"NA",IF(((DI295/DG295-1)*100)&gt;100,"NM",IF(((DI295/DG295-1)*100)&lt;-50,"NM",(DI295/DG295-1)*100)))</f>
        <v>NA</v>
      </c>
      <c r="DK295" s="75">
        <v>0</v>
      </c>
      <c r="DL295" s="79" t="str">
        <f>IF(ISERROR((DK295/DI295-1)*100),"NA",IF(((DK295/DI295-1)*100)&gt;100,"NM",IF(((DK295/DI295-1)*100)&lt;-50,"NM",(DK295/DI295-1)*100)))</f>
        <v>NA</v>
      </c>
      <c r="DM295" s="75">
        <v>0</v>
      </c>
      <c r="DN295" s="79" t="str">
        <f>IF(ISERROR((DM295/DK295-1)*100),"NA",IF(((DM295/DK295-1)*100)&gt;100,"NM",IF(((DM295/DK295-1)*100)&lt;-50,"NM",(DM295/DK295-1)*100)))</f>
        <v>NA</v>
      </c>
      <c r="DO295" s="75">
        <v>0</v>
      </c>
      <c r="DP295" s="79" t="str">
        <f>IF(ISERROR((DO295/DM295-1)*100),"NA",IF(((DO295/DM295-1)*100)&gt;100,"NM",IF(((DO295/DM295-1)*100)&lt;-50,"NM",(DO295/DM295-1)*100)))</f>
        <v>NA</v>
      </c>
      <c r="DQ295" s="75">
        <v>0</v>
      </c>
      <c r="DR295" s="79" t="str">
        <f>IF(ISERROR((DQ295/DO295-1)*100),"NA",IF(((DQ295/DO295-1)*100)&gt;100,"NM",IF(((DQ295/DO295-1)*100)&lt;-50,"NM",(DQ295/DO295-1)*100)))</f>
        <v>NA</v>
      </c>
      <c r="DS295" s="75">
        <v>0</v>
      </c>
      <c r="DT295" s="79" t="str">
        <f>IF(ISERROR((DS295/DQ295-1)*100),"NA",IF(((DS295/DQ295-1)*100)&gt;100,"NM",IF(((DS295/DQ295-1)*100)&lt;-50,"NM",(DS295/DQ295-1)*100)))</f>
        <v>NA</v>
      </c>
      <c r="DU295" s="75">
        <v>0</v>
      </c>
      <c r="DV295" s="79" t="str">
        <f>IF(ISERROR((DU295/DS295-1)*100),"NA",IF(((DU295/DS295-1)*100)&gt;100,"NM",IF(((DU295/DS295-1)*100)&lt;-50,"NM",(DU295/DS295-1)*100)))</f>
        <v>NA</v>
      </c>
      <c r="DW295" s="75">
        <v>0</v>
      </c>
      <c r="DX295" s="79" t="str">
        <f>IF(ISERROR((DW295/DU295-1)*100),"NA",IF(((DW295/DU295-1)*100)&gt;100,"NM",IF(((DW295/DU295-1)*100)&lt;-50,"NM",(DW295/DU295-1)*100)))</f>
        <v>NA</v>
      </c>
      <c r="DY295" s="75">
        <v>0</v>
      </c>
      <c r="DZ295" s="79" t="str">
        <f>IF(ISERROR((DY295/DW295-1)*100),"NA",IF(((DY295/DW295-1)*100)&gt;100,"NM",IF(((DY295/DW295-1)*100)&lt;-50,"NM",(DY295/DW295-1)*100)))</f>
        <v>NA</v>
      </c>
      <c r="EA295" s="75">
        <f>EA348</f>
        <v>0</v>
      </c>
      <c r="EB295" s="79" t="str">
        <f>IF(ISERROR((EA295/DY295-1)*100),"NA",IF(((EA295/DY295-1)*100)&gt;100,"NM",IF(((EA295/DY295-1)*100)&lt;-50,"NM",(EA295/DY295-1)*100)))</f>
        <v>NA</v>
      </c>
      <c r="EC295" s="75">
        <v>0</v>
      </c>
      <c r="ED295" s="79" t="str">
        <f t="shared" si="1024"/>
        <v>NA</v>
      </c>
      <c r="EE295" s="75">
        <v>0</v>
      </c>
      <c r="EF295" s="79" t="str">
        <f t="shared" si="1025"/>
        <v>NA</v>
      </c>
      <c r="EG295" s="75">
        <v>0</v>
      </c>
      <c r="EH295" s="79" t="str">
        <f t="shared" si="1026"/>
        <v>NA</v>
      </c>
      <c r="EI295" s="75">
        <v>0</v>
      </c>
      <c r="EJ295" s="79" t="str">
        <f t="shared" si="1027"/>
        <v>NA</v>
      </c>
      <c r="EK295" s="75">
        <f t="shared" ref="EK295:EQ295" si="1057">EK348</f>
        <v>0</v>
      </c>
      <c r="EL295" s="79" t="str">
        <f t="shared" si="1029"/>
        <v>NA</v>
      </c>
      <c r="EM295" s="75">
        <f t="shared" si="1057"/>
        <v>0</v>
      </c>
      <c r="EN295" s="79" t="str">
        <f t="shared" si="1031"/>
        <v>NA</v>
      </c>
      <c r="EO295" s="75">
        <f t="shared" si="1057"/>
        <v>0</v>
      </c>
      <c r="EP295" s="79" t="str">
        <f t="shared" si="1033"/>
        <v>NA</v>
      </c>
      <c r="EQ295" s="75">
        <f t="shared" si="1057"/>
        <v>0</v>
      </c>
      <c r="ER295" s="79" t="str">
        <f t="shared" si="1035"/>
        <v>NA</v>
      </c>
      <c r="ES295" s="129"/>
      <c r="ET295" s="469"/>
      <c r="EU295" s="129"/>
      <c r="EV295" s="75"/>
      <c r="EW295" s="79"/>
      <c r="EX295" s="75"/>
      <c r="EY295" s="79"/>
      <c r="EZ295" s="75"/>
      <c r="FA295" s="79"/>
      <c r="FB295" s="75"/>
      <c r="FC295" s="79"/>
      <c r="FD295" s="35">
        <f t="shared" si="1036"/>
        <v>0</v>
      </c>
      <c r="FE295" s="79" t="str">
        <f t="shared" si="1037"/>
        <v>NA</v>
      </c>
      <c r="FF295" s="35">
        <f t="shared" si="1038"/>
        <v>0</v>
      </c>
      <c r="FG295" s="79" t="str">
        <f t="shared" si="1039"/>
        <v>NA</v>
      </c>
      <c r="FH295" s="35">
        <f t="shared" si="1040"/>
        <v>0</v>
      </c>
      <c r="FI295" s="79" t="str">
        <f t="shared" si="1041"/>
        <v>NA</v>
      </c>
      <c r="FJ295" s="35">
        <f t="shared" si="1042"/>
        <v>0</v>
      </c>
      <c r="FK295" s="79" t="str">
        <f t="shared" si="1043"/>
        <v>NA</v>
      </c>
      <c r="FL295" s="78">
        <f t="shared" si="1044"/>
        <v>0</v>
      </c>
      <c r="FM295" s="79" t="str">
        <f t="shared" si="1045"/>
        <v>NA</v>
      </c>
      <c r="FN295" s="78">
        <f t="shared" si="1046"/>
        <v>0</v>
      </c>
      <c r="FO295" s="79" t="str">
        <f t="shared" si="1047"/>
        <v>NA</v>
      </c>
      <c r="FP295" s="78">
        <f t="shared" si="1048"/>
        <v>0</v>
      </c>
      <c r="FQ295" s="79" t="str">
        <f t="shared" si="1049"/>
        <v>NA</v>
      </c>
      <c r="FR295" s="93">
        <f>BQ295+BS295+BU295+BW295</f>
        <v>0</v>
      </c>
      <c r="FS295" s="79" t="str">
        <f t="shared" si="1050"/>
        <v>NA</v>
      </c>
      <c r="FT295" s="93">
        <f>BY295+CA295+CC295+CE295</f>
        <v>0</v>
      </c>
      <c r="FU295" s="79" t="str">
        <f t="shared" si="1051"/>
        <v>NA</v>
      </c>
      <c r="FV295" s="93">
        <f>CG295+CI295+CK295+CM295</f>
        <v>0</v>
      </c>
      <c r="FW295" s="79" t="str">
        <f t="shared" si="1052"/>
        <v>NA</v>
      </c>
      <c r="FX295" s="93">
        <f>CO295+CQ295+CS295+CU295</f>
        <v>0</v>
      </c>
      <c r="FY295" s="79" t="str">
        <f t="shared" si="1053"/>
        <v>NA</v>
      </c>
      <c r="FZ295" s="93">
        <f>CW295+CY295+DA295+DC295</f>
        <v>0</v>
      </c>
      <c r="GA295" s="79" t="str">
        <f t="shared" si="1054"/>
        <v>NA</v>
      </c>
      <c r="GB295" s="93">
        <f>DE295+DG295+DI295+DK295</f>
        <v>0</v>
      </c>
      <c r="GC295" s="79" t="str">
        <f t="shared" si="1054"/>
        <v>NA</v>
      </c>
      <c r="GD295" s="93">
        <f>DM295+DO295+DQ295+DS295</f>
        <v>0</v>
      </c>
      <c r="GE295" s="79" t="str">
        <f t="shared" si="1054"/>
        <v>NA</v>
      </c>
      <c r="GF295" s="93">
        <f>DU295+DW295+DY295+EA295</f>
        <v>0</v>
      </c>
      <c r="GG295" s="79" t="str">
        <f t="shared" si="1054"/>
        <v>NA</v>
      </c>
      <c r="GH295" s="93">
        <f>EC295+EE295+EG295+EI295</f>
        <v>0</v>
      </c>
      <c r="GI295" s="79" t="str">
        <f t="shared" si="1054"/>
        <v>NA</v>
      </c>
      <c r="GJ295" s="93">
        <f>EK295+EM295+EO295+EQ295</f>
        <v>0</v>
      </c>
      <c r="GK295" s="79" t="str">
        <f t="shared" si="1054"/>
        <v>NA</v>
      </c>
      <c r="GL295" s="95">
        <f>GJ295</f>
        <v>0</v>
      </c>
      <c r="GM295" s="79" t="str">
        <f t="shared" si="1054"/>
        <v>NA</v>
      </c>
      <c r="GN295" s="95">
        <f>GL295</f>
        <v>0</v>
      </c>
      <c r="GO295" s="79" t="str">
        <f t="shared" si="1054"/>
        <v>NA</v>
      </c>
      <c r="GP295" s="95">
        <f>GN295</f>
        <v>0</v>
      </c>
      <c r="GQ295" s="79" t="str">
        <f t="shared" si="1054"/>
        <v>NA</v>
      </c>
      <c r="GR295" s="95">
        <f>GP295</f>
        <v>0</v>
      </c>
      <c r="GS295" s="79" t="str">
        <f t="shared" si="1055"/>
        <v>NA</v>
      </c>
      <c r="GT295" s="79" t="str">
        <f>IF(ISERROR(((GR295/GH295)^0.2-1)*100),"NA",(IF(OR(((GR295/GH295)^0.2-1)*100&gt;99,((GR295/GH295)^0.2-1)*100&lt;-50),"NM",(((GR295/GH295)^0.2-1)*100))))</f>
        <v>NA</v>
      </c>
    </row>
    <row r="296" spans="1:286" ht="12.75" customHeight="1" x14ac:dyDescent="0.2">
      <c r="A296" s="1"/>
      <c r="B296" s="10" t="s">
        <v>193</v>
      </c>
      <c r="C296" s="79"/>
      <c r="D296" s="79"/>
      <c r="E296" s="95">
        <f>42.8-E297-E298-E299</f>
        <v>42.8</v>
      </c>
      <c r="F296" s="79"/>
      <c r="G296" s="95">
        <f>44.2-G297-G298-G299</f>
        <v>44.2</v>
      </c>
      <c r="H296" s="79"/>
      <c r="I296" s="95">
        <f>41.1-I297-I298-I299</f>
        <v>41.1</v>
      </c>
      <c r="J296" s="79"/>
      <c r="K296" s="95">
        <f>41.5-K297-K298-K299</f>
        <v>41.5</v>
      </c>
      <c r="L296" s="79"/>
      <c r="M296" s="95">
        <f>38.4-M297-M298-M299</f>
        <v>38.4</v>
      </c>
      <c r="N296" s="79">
        <f t="shared" si="980"/>
        <v>-7.4698795180722977</v>
      </c>
      <c r="O296" s="95">
        <f>38.7-O297-O298-O299</f>
        <v>38.700000000000003</v>
      </c>
      <c r="P296" s="79">
        <f t="shared" si="981"/>
        <v>0.7812500000000222</v>
      </c>
      <c r="Q296" s="95">
        <f>42.9-Q297-Q298-Q299</f>
        <v>42.9</v>
      </c>
      <c r="R296" s="79">
        <f t="shared" si="982"/>
        <v>10.852713178294572</v>
      </c>
      <c r="S296" s="95">
        <f>42.4-S297-S298-S299</f>
        <v>42.4</v>
      </c>
      <c r="T296" s="79">
        <f t="shared" si="983"/>
        <v>-1.1655011655011704</v>
      </c>
      <c r="U296" s="95">
        <f>41.5-U297-U298-U299</f>
        <v>41.5</v>
      </c>
      <c r="V296" s="79">
        <f t="shared" si="984"/>
        <v>-2.1226415094339535</v>
      </c>
      <c r="W296" s="95">
        <f>45.9-W297-W298-W299</f>
        <v>45.9</v>
      </c>
      <c r="X296" s="79">
        <f t="shared" si="985"/>
        <v>10.60240963855421</v>
      </c>
      <c r="Y296" s="95">
        <f>50-Y297-Y298-Y299</f>
        <v>50</v>
      </c>
      <c r="Z296" s="79">
        <f t="shared" si="986"/>
        <v>8.9324618736383421</v>
      </c>
      <c r="AA296" s="126">
        <f>49.8-AA297-AA298-AA299</f>
        <v>49.8</v>
      </c>
      <c r="AB296" s="79">
        <f t="shared" si="987"/>
        <v>-0.40000000000000036</v>
      </c>
      <c r="AC296" s="95">
        <f>49.2-AC297-AC298-AC299</f>
        <v>49.2</v>
      </c>
      <c r="AD296" s="79">
        <f t="shared" si="988"/>
        <v>-1.2048192771084265</v>
      </c>
      <c r="AE296" s="95">
        <f>51.5-AE297-AE298-AE299</f>
        <v>51.5</v>
      </c>
      <c r="AF296" s="79">
        <f t="shared" si="989"/>
        <v>4.674796747967469</v>
      </c>
      <c r="AG296" s="95">
        <f>53.4-AG297-AG298-AG299</f>
        <v>53.4</v>
      </c>
      <c r="AH296" s="79">
        <f t="shared" si="990"/>
        <v>3.689320388349504</v>
      </c>
      <c r="AI296" s="95">
        <f>53-AI297-AI298-AI299</f>
        <v>53</v>
      </c>
      <c r="AJ296" s="79">
        <f t="shared" si="991"/>
        <v>-0.74906367041198685</v>
      </c>
      <c r="AK296" s="95">
        <f>52.8-AK297-AK298-AK299</f>
        <v>52.8</v>
      </c>
      <c r="AL296" s="79">
        <f t="shared" si="992"/>
        <v>-0.37735849056603765</v>
      </c>
      <c r="AM296" s="95">
        <f>52.9-AM297-AM298-AM299</f>
        <v>52.9</v>
      </c>
      <c r="AN296" s="79">
        <f t="shared" si="993"/>
        <v>0.18939393939394478</v>
      </c>
      <c r="AO296" s="95">
        <f>49.8-AO297-AO298-AO299</f>
        <v>49.8</v>
      </c>
      <c r="AP296" s="79">
        <f t="shared" si="994"/>
        <v>-5.8601134215500945</v>
      </c>
      <c r="AQ296" s="95">
        <f>52.5-AQ297-AQ298-AQ299</f>
        <v>23.4921875</v>
      </c>
      <c r="AR296" s="79" t="str">
        <f t="shared" si="995"/>
        <v>NM</v>
      </c>
      <c r="AS296" s="95">
        <f>53.1-AS297-AS298-AS299-5.3</f>
        <v>28.245312500000001</v>
      </c>
      <c r="AT296" s="79">
        <f t="shared" si="996"/>
        <v>20.232790156301974</v>
      </c>
      <c r="AU296" s="95">
        <f>48.7-AU297-AU298-AU299</f>
        <v>29.145312500000003</v>
      </c>
      <c r="AV296" s="79">
        <f t="shared" si="997"/>
        <v>3.1863694197046044</v>
      </c>
      <c r="AW296" s="95">
        <f>44.2-AW297-AW298-AW299</f>
        <v>24.645312500000003</v>
      </c>
      <c r="AX296" s="79">
        <f t="shared" si="998"/>
        <v>-15.439875623224141</v>
      </c>
      <c r="AY296" s="95">
        <f>44.5+1.3-AY297-AY298-AY299</f>
        <v>26.245312499999997</v>
      </c>
      <c r="AZ296" s="79">
        <f t="shared" si="999"/>
        <v>6.4921067647245145</v>
      </c>
      <c r="BA296" s="95">
        <f>43.9+2-BA297-BA298-BA299-2</f>
        <v>24.345312499999999</v>
      </c>
      <c r="BB296" s="79">
        <f t="shared" si="1000"/>
        <v>-7.2393879859498629</v>
      </c>
      <c r="BC296" s="95">
        <f>42.7+1.8-BC297-BC298-BC299-1.8</f>
        <v>23.145312499999999</v>
      </c>
      <c r="BD296" s="79">
        <f t="shared" si="1001"/>
        <v>-4.92908029009691</v>
      </c>
      <c r="BE296" s="95">
        <f>42+1.9-BE297-BE298-BE299-1.9</f>
        <v>22.4453125</v>
      </c>
      <c r="BF296" s="79">
        <f t="shared" si="1002"/>
        <v>-3.0243704853844533</v>
      </c>
      <c r="BG296" s="95">
        <f>10+38.8-BG297-BG298-BG299-10.1</f>
        <v>19.145312499999996</v>
      </c>
      <c r="BH296" s="79">
        <f t="shared" si="1003"/>
        <v>-14.702401670727482</v>
      </c>
      <c r="BI296" s="95">
        <f>32+11.9-BI297-BI298-BI299-12.2</f>
        <v>12.145312499999999</v>
      </c>
      <c r="BJ296" s="79">
        <f t="shared" si="1004"/>
        <v>-36.562474496041773</v>
      </c>
      <c r="BK296" s="95">
        <f>30.5+9.9-BK297-BK298-BK299-10.2</f>
        <v>10.645312499999999</v>
      </c>
      <c r="BL296" s="79">
        <f t="shared" si="1005"/>
        <v>-12.350443844075642</v>
      </c>
      <c r="BM296" s="95">
        <f>28.4+8.8-BM297-BM298-BM299-9</f>
        <v>8.6453125000000028</v>
      </c>
      <c r="BN296" s="79">
        <f t="shared" si="1006"/>
        <v>-18.787611918391278</v>
      </c>
      <c r="BO296" s="105">
        <v>26.9</v>
      </c>
      <c r="BP296" s="79" t="str">
        <f t="shared" si="1007"/>
        <v>NM</v>
      </c>
      <c r="BQ296" s="105">
        <v>26</v>
      </c>
      <c r="BR296" s="79">
        <f t="shared" si="1008"/>
        <v>-3.3457249070631967</v>
      </c>
      <c r="BS296" s="95">
        <v>25.6</v>
      </c>
      <c r="BT296" s="79">
        <f t="shared" si="1009"/>
        <v>-1.538461538461533</v>
      </c>
      <c r="BU296" s="95">
        <v>24.1</v>
      </c>
      <c r="BV296" s="79">
        <f t="shared" si="1010"/>
        <v>-5.859375</v>
      </c>
      <c r="BW296" s="95">
        <v>31.1</v>
      </c>
      <c r="BX296" s="79">
        <f t="shared" si="1011"/>
        <v>29.045643153526978</v>
      </c>
      <c r="BY296" s="95">
        <v>30.3</v>
      </c>
      <c r="BZ296" s="79">
        <f t="shared" si="1012"/>
        <v>-2.5723472668810365</v>
      </c>
      <c r="CA296" s="95">
        <v>30.8</v>
      </c>
      <c r="CB296" s="79">
        <f t="shared" si="1013"/>
        <v>1.650165016501659</v>
      </c>
      <c r="CC296" s="95">
        <v>31.8</v>
      </c>
      <c r="CD296" s="79">
        <f t="shared" si="1014"/>
        <v>3.2467532467532534</v>
      </c>
      <c r="CE296" s="95">
        <v>36</v>
      </c>
      <c r="CF296" s="79">
        <f t="shared" si="1015"/>
        <v>13.207547169811317</v>
      </c>
      <c r="CG296" s="95">
        <v>34.9</v>
      </c>
      <c r="CH296" s="79">
        <f t="shared" si="1016"/>
        <v>-3.0555555555555558</v>
      </c>
      <c r="CI296" s="95">
        <v>32.299999999999997</v>
      </c>
      <c r="CJ296" s="79">
        <f t="shared" si="1017"/>
        <v>-7.4498567335243626</v>
      </c>
      <c r="CK296" s="95">
        <v>32.200000000000003</v>
      </c>
      <c r="CL296" s="79">
        <f t="shared" si="1018"/>
        <v>-0.30959752321979561</v>
      </c>
      <c r="CM296" s="95">
        <v>32.4</v>
      </c>
      <c r="CN296" s="79">
        <f t="shared" si="1019"/>
        <v>0.62111801242235032</v>
      </c>
      <c r="CO296" s="95">
        <v>32.5</v>
      </c>
      <c r="CP296" s="79">
        <f t="shared" si="1020"/>
        <v>0.30864197530864335</v>
      </c>
      <c r="CQ296" s="95">
        <v>32.200000000000003</v>
      </c>
      <c r="CR296" s="79">
        <f t="shared" si="1021"/>
        <v>-0.92307692307691536</v>
      </c>
      <c r="CS296" s="95">
        <v>33.9</v>
      </c>
      <c r="CT296" s="79">
        <f t="shared" si="1022"/>
        <v>5.2795031055900443</v>
      </c>
      <c r="CU296" s="95">
        <v>35.299999999999997</v>
      </c>
      <c r="CV296" s="79">
        <f t="shared" si="1023"/>
        <v>4.1297935103244754</v>
      </c>
      <c r="CW296" s="95">
        <v>34.799999999999997</v>
      </c>
      <c r="CX296" s="79">
        <f>IF(ISERROR((CW296/CU296-1)*100),"NA",IF(((CW296/CU296-1)*100)&gt;100,"NM",IF(((CW296/CU296-1)*100)&lt;-50,"NM",(CW296/CU296-1)*100)))</f>
        <v>-1.4164305949008527</v>
      </c>
      <c r="CY296" s="95">
        <v>35.200000000000003</v>
      </c>
      <c r="CZ296" s="79">
        <f>IF(ISERROR((CY296/CW296-1)*100),"NA",IF(((CY296/CW296-1)*100)&gt;100,"NM",IF(((CY296/CW296-1)*100)&lt;-50,"NM",(CY296/CW296-1)*100)))</f>
        <v>1.1494252873563315</v>
      </c>
      <c r="DA296" s="95">
        <f>33.6-DA301</f>
        <v>32.800000000000004</v>
      </c>
      <c r="DB296" s="79">
        <f>IF(ISERROR((DA296/CY296-1)*100),"NA",IF(((DA296/CY296-1)*100)&gt;100,"NM",IF(((DA296/CY296-1)*100)&lt;-50,"NM",(DA296/CY296-1)*100)))</f>
        <v>-6.8181818181818121</v>
      </c>
      <c r="DC296" s="95">
        <v>39.700000000000003</v>
      </c>
      <c r="DD296" s="79">
        <f>IF(ISERROR((DC296/DA296-1)*100),"NA",IF(((DC296/DA296-1)*100)&gt;100,"NM",IF(((DC296/DA296-1)*100)&lt;-50,"NM",(DC296/DA296-1)*100)))</f>
        <v>21.036585365853643</v>
      </c>
      <c r="DE296" s="95">
        <v>35</v>
      </c>
      <c r="DF296" s="79">
        <f>IF(ISERROR((DE296/DC296-1)*100),"NA",IF(((DE296/DC296-1)*100)&gt;100,"NM",IF(((DE296/DC296-1)*100)&lt;-50,"NM",(DE296/DC296-1)*100)))</f>
        <v>-11.838790931989928</v>
      </c>
      <c r="DG296" s="95">
        <v>49.7</v>
      </c>
      <c r="DH296" s="79">
        <f>IF(ISERROR((DG296/DE296-1)*100),"NA",IF(((DG296/DE296-1)*100)&gt;100,"NM",IF(((DG296/DE296-1)*100)&lt;-50,"NM",(DG296/DE296-1)*100)))</f>
        <v>42.000000000000014</v>
      </c>
      <c r="DI296" s="95">
        <v>35.799999999999997</v>
      </c>
      <c r="DJ296" s="79">
        <f>IF(ISERROR((DI296/DG296-1)*100),"NA",IF(((DI296/DG296-1)*100)&gt;100,"NM",IF(((DI296/DG296-1)*100)&lt;-50,"NM",(DI296/DG296-1)*100)))</f>
        <v>-27.967806841046283</v>
      </c>
      <c r="DK296" s="95">
        <v>38.799999999999997</v>
      </c>
      <c r="DL296" s="79">
        <f>IF(ISERROR((DK296/DI296-1)*100),"NA",IF(((DK296/DI296-1)*100)&gt;100,"NM",IF(((DK296/DI296-1)*100)&lt;-50,"NM",(DK296/DI296-1)*100)))</f>
        <v>8.3798882681564315</v>
      </c>
      <c r="DM296" s="95">
        <v>39.299999999999997</v>
      </c>
      <c r="DN296" s="79">
        <f>IF(ISERROR((DM296/DK296-1)*100),"NA",IF(((DM296/DK296-1)*100)&gt;100,"NM",IF(((DM296/DK296-1)*100)&lt;-50,"NM",(DM296/DK296-1)*100)))</f>
        <v>1.2886597938144284</v>
      </c>
      <c r="DO296" s="95">
        <v>44.6</v>
      </c>
      <c r="DP296" s="79">
        <f>IF(ISERROR((DO296/DM296-1)*100),"NA",IF(((DO296/DM296-1)*100)&gt;100,"NM",IF(((DO296/DM296-1)*100)&lt;-50,"NM",(DO296/DM296-1)*100)))</f>
        <v>13.486005089058528</v>
      </c>
      <c r="DQ296" s="95">
        <v>38.1</v>
      </c>
      <c r="DR296" s="79">
        <f>IF(ISERROR((DQ296/DO296-1)*100),"NA",IF(((DQ296/DO296-1)*100)&gt;100,"NM",IF(((DQ296/DO296-1)*100)&lt;-50,"NM",(DQ296/DO296-1)*100)))</f>
        <v>-14.573991031390133</v>
      </c>
      <c r="DS296" s="95">
        <v>43.2</v>
      </c>
      <c r="DT296" s="79">
        <f>IF(ISERROR((DS296/DQ296-1)*100),"NA",IF(((DS296/DQ296-1)*100)&gt;100,"NM",IF(((DS296/DQ296-1)*100)&lt;-50,"NM",(DS296/DQ296-1)*100)))</f>
        <v>13.385826771653541</v>
      </c>
      <c r="DU296" s="95">
        <v>41</v>
      </c>
      <c r="DV296" s="79">
        <f>IF(ISERROR((DU296/DS296-1)*100),"NA",IF(((DU296/DS296-1)*100)&gt;100,"NM",IF(((DU296/DS296-1)*100)&lt;-50,"NM",(DU296/DS296-1)*100)))</f>
        <v>-5.0925925925926041</v>
      </c>
      <c r="DW296" s="95">
        <v>45.9</v>
      </c>
      <c r="DX296" s="79">
        <f>IF(ISERROR((DW296/DU296-1)*100),"NA",IF(((DW296/DU296-1)*100)&gt;100,"NM",IF(((DW296/DU296-1)*100)&lt;-50,"NM",(DW296/DU296-1)*100)))</f>
        <v>11.951219512195109</v>
      </c>
      <c r="DY296" s="95">
        <v>52</v>
      </c>
      <c r="DZ296" s="79">
        <f>IF(ISERROR((DY296/DW296-1)*100),"NA",IF(((DY296/DW296-1)*100)&gt;100,"NM",IF(((DY296/DW296-1)*100)&lt;-50,"NM",(DY296/DW296-1)*100)))</f>
        <v>13.28976034858389</v>
      </c>
      <c r="EA296" s="95">
        <v>47.5</v>
      </c>
      <c r="EB296" s="79">
        <f>IF(ISERROR((EA296/DY296-1)*100),"NA",IF(((EA296/DY296-1)*100)&gt;100,"NM",IF(((EA296/DY296-1)*100)&lt;-50,"NM",(EA296/DY296-1)*100)))</f>
        <v>-8.6538461538461569</v>
      </c>
      <c r="EC296" s="95">
        <v>63.7</v>
      </c>
      <c r="ED296" s="79">
        <f t="shared" si="1024"/>
        <v>34.105263157894747</v>
      </c>
      <c r="EE296" s="95">
        <v>43.3</v>
      </c>
      <c r="EF296" s="79">
        <f t="shared" si="1025"/>
        <v>-32.025117739403463</v>
      </c>
      <c r="EG296" s="95">
        <v>42.9</v>
      </c>
      <c r="EH296" s="79">
        <f t="shared" si="1026"/>
        <v>-0.92378752886835835</v>
      </c>
      <c r="EI296" s="95">
        <v>41.8</v>
      </c>
      <c r="EJ296" s="79">
        <f t="shared" si="1027"/>
        <v>-2.5641025641025661</v>
      </c>
      <c r="EK296" s="95">
        <f t="shared" ref="EK296" si="1058">EI296</f>
        <v>41.8</v>
      </c>
      <c r="EL296" s="79">
        <f t="shared" si="1029"/>
        <v>0</v>
      </c>
      <c r="EM296" s="95">
        <f t="shared" ref="EM296" si="1059">EK296</f>
        <v>41.8</v>
      </c>
      <c r="EN296" s="79">
        <f t="shared" si="1031"/>
        <v>0</v>
      </c>
      <c r="EO296" s="95">
        <f>EM296+(200*3.5%/4)</f>
        <v>43.55</v>
      </c>
      <c r="EP296" s="79">
        <f t="shared" si="1033"/>
        <v>4.1866028708134051</v>
      </c>
      <c r="EQ296" s="95">
        <f>EO296</f>
        <v>43.55</v>
      </c>
      <c r="ER296" s="79">
        <f t="shared" si="1035"/>
        <v>0</v>
      </c>
      <c r="ES296" s="129"/>
      <c r="ET296" s="469"/>
      <c r="EU296" s="129"/>
      <c r="EV296" s="75"/>
      <c r="EW296" s="79"/>
      <c r="EX296" s="75"/>
      <c r="EY296" s="79"/>
      <c r="EZ296" s="75"/>
      <c r="FA296" s="79"/>
      <c r="FB296" s="75"/>
      <c r="FC296" s="79"/>
      <c r="FD296" s="35">
        <f t="shared" si="1036"/>
        <v>162.4</v>
      </c>
      <c r="FE296" s="79" t="str">
        <f t="shared" si="1037"/>
        <v>NA</v>
      </c>
      <c r="FF296" s="35">
        <f t="shared" si="1038"/>
        <v>187.2</v>
      </c>
      <c r="FG296" s="79">
        <f t="shared" si="1039"/>
        <v>15.270935960591125</v>
      </c>
      <c r="FH296" s="35">
        <f t="shared" si="1040"/>
        <v>207.10000000000002</v>
      </c>
      <c r="FI296" s="79">
        <f t="shared" si="1041"/>
        <v>10.630341880341909</v>
      </c>
      <c r="FJ296" s="35">
        <f t="shared" si="1042"/>
        <v>178.9921875</v>
      </c>
      <c r="FK296" s="79">
        <f t="shared" si="1043"/>
        <v>-13.572096813133761</v>
      </c>
      <c r="FL296" s="78">
        <f t="shared" si="1044"/>
        <v>108.28125</v>
      </c>
      <c r="FM296" s="79">
        <f t="shared" si="1045"/>
        <v>-39.50504124656279</v>
      </c>
      <c r="FN296" s="78">
        <f t="shared" si="1046"/>
        <v>89.081249999999983</v>
      </c>
      <c r="FO296" s="79">
        <f t="shared" si="1047"/>
        <v>-17.731601731601742</v>
      </c>
      <c r="FP296" s="78">
        <f t="shared" si="1048"/>
        <v>58.3359375</v>
      </c>
      <c r="FQ296" s="79">
        <f t="shared" si="1049"/>
        <v>-34.513786571248147</v>
      </c>
      <c r="FR296" s="95">
        <v>106.8</v>
      </c>
      <c r="FS296" s="79">
        <f t="shared" si="1050"/>
        <v>83.077541181197262</v>
      </c>
      <c r="FT296" s="93">
        <f>BY296+CA296+CC296+CE296</f>
        <v>128.9</v>
      </c>
      <c r="FU296" s="79">
        <f t="shared" si="1051"/>
        <v>20.692883895131086</v>
      </c>
      <c r="FV296" s="93">
        <f>CG296+CI296+CK296+CM296</f>
        <v>131.79999999999998</v>
      </c>
      <c r="FW296" s="79">
        <f t="shared" si="1052"/>
        <v>2.2498060512024631</v>
      </c>
      <c r="FX296" s="93">
        <f>CO296+CQ296+CS296+CU296</f>
        <v>133.89999999999998</v>
      </c>
      <c r="FY296" s="79">
        <f t="shared" si="1053"/>
        <v>1.5933232169954348</v>
      </c>
      <c r="FZ296" s="93">
        <f>CW296+CY296+DA296+DC296</f>
        <v>142.5</v>
      </c>
      <c r="GA296" s="79">
        <f t="shared" si="1054"/>
        <v>6.4227035100821617</v>
      </c>
      <c r="GB296" s="93">
        <f>DE296+DG296+DI296+DK296</f>
        <v>159.30000000000001</v>
      </c>
      <c r="GC296" s="79">
        <f t="shared" si="1054"/>
        <v>11.789473684210527</v>
      </c>
      <c r="GD296" s="93">
        <f>DM296+DO296+DQ296+DS296</f>
        <v>165.2</v>
      </c>
      <c r="GE296" s="79">
        <f t="shared" si="1054"/>
        <v>3.7037037037036979</v>
      </c>
      <c r="GF296" s="93">
        <f>DU296+DW296+DY296+EA296</f>
        <v>186.4</v>
      </c>
      <c r="GG296" s="79">
        <f t="shared" si="1054"/>
        <v>12.832929782082324</v>
      </c>
      <c r="GH296" s="93">
        <f>EC296+EE296+EG296+EI296</f>
        <v>191.7</v>
      </c>
      <c r="GI296" s="79">
        <f t="shared" si="1054"/>
        <v>2.8433476394849722</v>
      </c>
      <c r="GJ296" s="93">
        <f>EK296+EM296+EO296+EQ296</f>
        <v>170.7</v>
      </c>
      <c r="GK296" s="79">
        <f t="shared" si="1054"/>
        <v>-10.954616588419409</v>
      </c>
      <c r="GL296" s="179">
        <f>EQ296*4</f>
        <v>174.2</v>
      </c>
      <c r="GM296" s="79">
        <f t="shared" si="1054"/>
        <v>2.0503807850029254</v>
      </c>
      <c r="GN296" s="95">
        <f>GL296*1.01</f>
        <v>175.94199999999998</v>
      </c>
      <c r="GO296" s="79">
        <f t="shared" si="1054"/>
        <v>1.0000000000000009</v>
      </c>
      <c r="GP296" s="95">
        <f>GN296*1.01</f>
        <v>177.70141999999998</v>
      </c>
      <c r="GQ296" s="79">
        <f t="shared" si="1054"/>
        <v>1.0000000000000009</v>
      </c>
      <c r="GR296" s="95">
        <f>GP296*1.01</f>
        <v>179.47843419999998</v>
      </c>
      <c r="GS296" s="79">
        <f t="shared" si="1055"/>
        <v>1.0000000000000009</v>
      </c>
      <c r="GT296" s="79">
        <f>IF(ISERROR(((GR296/GH296)^0.2-1)*100),"NA",(IF(OR(((GR296/GH296)^0.2-1)*100&gt;99,((GR296/GH296)^0.2-1)*100&lt;-50),"NM",(((GR296/GH296)^0.2-1)*100))))</f>
        <v>-1.3088904033967563</v>
      </c>
    </row>
    <row r="297" spans="1:286" ht="12.75" hidden="1" customHeight="1" outlineLevel="1" x14ac:dyDescent="0.2">
      <c r="A297" s="1"/>
      <c r="B297" s="247" t="s">
        <v>303</v>
      </c>
      <c r="C297" s="79"/>
      <c r="D297" s="79"/>
      <c r="E297" s="75">
        <f>E359</f>
        <v>0</v>
      </c>
      <c r="F297" s="79"/>
      <c r="G297" s="75">
        <f>G359</f>
        <v>0</v>
      </c>
      <c r="H297" s="79"/>
      <c r="I297" s="75">
        <f>I359</f>
        <v>0</v>
      </c>
      <c r="J297" s="79"/>
      <c r="K297" s="75">
        <f>K359</f>
        <v>0</v>
      </c>
      <c r="L297" s="79"/>
      <c r="M297" s="75">
        <f>M359</f>
        <v>0</v>
      </c>
      <c r="N297" s="79" t="str">
        <f t="shared" si="980"/>
        <v>NA</v>
      </c>
      <c r="O297" s="75">
        <f>O359</f>
        <v>0</v>
      </c>
      <c r="P297" s="79" t="str">
        <f t="shared" si="981"/>
        <v>NA</v>
      </c>
      <c r="Q297" s="75">
        <f>Q359</f>
        <v>0</v>
      </c>
      <c r="R297" s="79" t="str">
        <f t="shared" si="982"/>
        <v>NA</v>
      </c>
      <c r="S297" s="75">
        <f>S359</f>
        <v>0</v>
      </c>
      <c r="T297" s="79" t="str">
        <f t="shared" si="983"/>
        <v>NA</v>
      </c>
      <c r="U297" s="75">
        <f>U359</f>
        <v>0</v>
      </c>
      <c r="V297" s="79" t="str">
        <f t="shared" si="984"/>
        <v>NA</v>
      </c>
      <c r="W297" s="75">
        <f>W359</f>
        <v>0</v>
      </c>
      <c r="X297" s="79" t="str">
        <f t="shared" si="985"/>
        <v>NA</v>
      </c>
      <c r="Y297" s="75">
        <f>Y359</f>
        <v>0</v>
      </c>
      <c r="Z297" s="79" t="str">
        <f t="shared" si="986"/>
        <v>NA</v>
      </c>
      <c r="AA297" s="267">
        <f>AA359</f>
        <v>0</v>
      </c>
      <c r="AB297" s="79" t="str">
        <f t="shared" si="987"/>
        <v>NA</v>
      </c>
      <c r="AC297" s="75">
        <f>AC359</f>
        <v>0</v>
      </c>
      <c r="AD297" s="79" t="str">
        <f t="shared" si="988"/>
        <v>NA</v>
      </c>
      <c r="AE297" s="75">
        <f>AE359</f>
        <v>0</v>
      </c>
      <c r="AF297" s="79" t="str">
        <f t="shared" si="989"/>
        <v>NA</v>
      </c>
      <c r="AG297" s="75">
        <f>AG359</f>
        <v>0</v>
      </c>
      <c r="AH297" s="79" t="str">
        <f t="shared" si="990"/>
        <v>NA</v>
      </c>
      <c r="AI297" s="75">
        <f>AI359</f>
        <v>0</v>
      </c>
      <c r="AJ297" s="79" t="str">
        <f t="shared" si="991"/>
        <v>NA</v>
      </c>
      <c r="AK297" s="75">
        <f>AK359</f>
        <v>0</v>
      </c>
      <c r="AL297" s="79" t="str">
        <f t="shared" si="992"/>
        <v>NA</v>
      </c>
      <c r="AM297" s="75">
        <f>AM359</f>
        <v>0</v>
      </c>
      <c r="AN297" s="79" t="str">
        <f t="shared" si="993"/>
        <v>NA</v>
      </c>
      <c r="AO297" s="75">
        <f>AO359</f>
        <v>0</v>
      </c>
      <c r="AP297" s="79" t="str">
        <f t="shared" si="994"/>
        <v>NA</v>
      </c>
      <c r="AQ297" s="75">
        <f>AQ359</f>
        <v>10.9609375</v>
      </c>
      <c r="AR297" s="79" t="str">
        <f t="shared" si="995"/>
        <v>NA</v>
      </c>
      <c r="AS297" s="75">
        <f>AS359</f>
        <v>10.9609375</v>
      </c>
      <c r="AT297" s="79">
        <f t="shared" si="996"/>
        <v>0</v>
      </c>
      <c r="AU297" s="75">
        <f>AU359</f>
        <v>10.9609375</v>
      </c>
      <c r="AV297" s="79">
        <f t="shared" si="997"/>
        <v>0</v>
      </c>
      <c r="AW297" s="75">
        <f>AW359</f>
        <v>10.9609375</v>
      </c>
      <c r="AX297" s="79">
        <f t="shared" si="998"/>
        <v>0</v>
      </c>
      <c r="AY297" s="75">
        <f>AY359</f>
        <v>10.9609375</v>
      </c>
      <c r="AZ297" s="79">
        <f t="shared" si="999"/>
        <v>0</v>
      </c>
      <c r="BA297" s="75">
        <f>BA359</f>
        <v>10.9609375</v>
      </c>
      <c r="BB297" s="79">
        <f t="shared" si="1000"/>
        <v>0</v>
      </c>
      <c r="BC297" s="75">
        <f>BC359</f>
        <v>10.9609375</v>
      </c>
      <c r="BD297" s="79">
        <f t="shared" si="1001"/>
        <v>0</v>
      </c>
      <c r="BE297" s="75">
        <f>BE359</f>
        <v>10.9609375</v>
      </c>
      <c r="BF297" s="79">
        <f t="shared" si="1002"/>
        <v>0</v>
      </c>
      <c r="BG297" s="75">
        <f>BG359</f>
        <v>10.9609375</v>
      </c>
      <c r="BH297" s="79">
        <f t="shared" si="1003"/>
        <v>0</v>
      </c>
      <c r="BI297" s="75">
        <f>BI359</f>
        <v>10.9609375</v>
      </c>
      <c r="BJ297" s="79">
        <f t="shared" si="1004"/>
        <v>0</v>
      </c>
      <c r="BK297" s="75">
        <f>BK359</f>
        <v>10.9609375</v>
      </c>
      <c r="BL297" s="79">
        <f t="shared" si="1005"/>
        <v>0</v>
      </c>
      <c r="BM297" s="75">
        <f>BM359</f>
        <v>10.9609375</v>
      </c>
      <c r="BN297" s="79">
        <f t="shared" si="1006"/>
        <v>0</v>
      </c>
      <c r="BO297" s="95"/>
      <c r="BP297" s="79"/>
      <c r="BQ297" s="95"/>
      <c r="BR297" s="79"/>
      <c r="BS297" s="95"/>
      <c r="BT297" s="79"/>
      <c r="BU297" s="95"/>
      <c r="BV297" s="79"/>
      <c r="BW297" s="95"/>
      <c r="BX297" s="79"/>
      <c r="BY297" s="95"/>
      <c r="BZ297" s="79"/>
      <c r="CA297" s="95"/>
      <c r="CB297" s="79"/>
      <c r="CC297" s="95"/>
      <c r="CD297" s="79"/>
      <c r="CE297" s="95"/>
      <c r="CF297" s="79"/>
      <c r="CG297" s="95"/>
      <c r="CH297" s="79"/>
      <c r="CI297" s="95"/>
      <c r="CJ297" s="79"/>
      <c r="CK297" s="95"/>
      <c r="CL297" s="79"/>
      <c r="CM297" s="95"/>
      <c r="CN297" s="79"/>
      <c r="CO297" s="95"/>
      <c r="CP297" s="79"/>
      <c r="CQ297" s="95"/>
      <c r="CR297" s="79"/>
      <c r="CS297" s="95"/>
      <c r="CT297" s="79"/>
      <c r="CU297" s="95"/>
      <c r="CV297" s="79"/>
      <c r="CW297" s="95"/>
      <c r="CX297" s="79"/>
      <c r="CY297" s="95"/>
      <c r="CZ297" s="79"/>
      <c r="DA297" s="95"/>
      <c r="DB297" s="79"/>
      <c r="DC297" s="95"/>
      <c r="DD297" s="79"/>
      <c r="DE297" s="95"/>
      <c r="DF297" s="79"/>
      <c r="DG297" s="95"/>
      <c r="DH297" s="79"/>
      <c r="DI297" s="95"/>
      <c r="DJ297" s="79"/>
      <c r="DK297" s="95"/>
      <c r="DL297" s="79"/>
      <c r="DM297" s="95"/>
      <c r="DN297" s="79"/>
      <c r="DO297" s="95"/>
      <c r="DP297" s="79"/>
      <c r="DQ297" s="95"/>
      <c r="DR297" s="79"/>
      <c r="DS297" s="95"/>
      <c r="DT297" s="79"/>
      <c r="DU297" s="95"/>
      <c r="DV297" s="79"/>
      <c r="DW297" s="95"/>
      <c r="DX297" s="79"/>
      <c r="DY297" s="95"/>
      <c r="DZ297" s="79"/>
      <c r="EA297" s="95"/>
      <c r="EB297" s="79"/>
      <c r="EC297" s="95"/>
      <c r="ED297" s="79"/>
      <c r="EE297" s="95"/>
      <c r="EF297" s="79"/>
      <c r="EG297" s="95"/>
      <c r="EH297" s="79"/>
      <c r="EI297" s="95"/>
      <c r="EJ297" s="79"/>
      <c r="EK297" s="95"/>
      <c r="EL297" s="79"/>
      <c r="EM297" s="95"/>
      <c r="EN297" s="79"/>
      <c r="EO297" s="95"/>
      <c r="EP297" s="79"/>
      <c r="EQ297" s="95"/>
      <c r="ER297" s="79"/>
      <c r="ES297" s="129"/>
      <c r="ET297" s="469"/>
      <c r="EU297" s="129"/>
      <c r="EV297" s="75"/>
      <c r="EW297" s="79"/>
      <c r="EX297" s="75"/>
      <c r="EY297" s="79"/>
      <c r="EZ297" s="75"/>
      <c r="FA297" s="79"/>
      <c r="FB297" s="75"/>
      <c r="FC297" s="79"/>
      <c r="FD297" s="35">
        <f t="shared" si="1036"/>
        <v>0</v>
      </c>
      <c r="FE297" s="79" t="str">
        <f t="shared" si="1037"/>
        <v>NA</v>
      </c>
      <c r="FF297" s="35">
        <f t="shared" si="1038"/>
        <v>0</v>
      </c>
      <c r="FG297" s="79" t="str">
        <f t="shared" si="1039"/>
        <v>NA</v>
      </c>
      <c r="FH297" s="35">
        <f t="shared" si="1040"/>
        <v>0</v>
      </c>
      <c r="FI297" s="79" t="str">
        <f t="shared" si="1041"/>
        <v>NA</v>
      </c>
      <c r="FJ297" s="35">
        <f t="shared" si="1042"/>
        <v>10.9609375</v>
      </c>
      <c r="FK297" s="79" t="str">
        <f t="shared" si="1043"/>
        <v>NA</v>
      </c>
      <c r="FL297" s="78">
        <f t="shared" si="1044"/>
        <v>43.84375</v>
      </c>
      <c r="FM297" s="79" t="str">
        <f t="shared" si="1045"/>
        <v>NM</v>
      </c>
      <c r="FN297" s="78">
        <f t="shared" si="1046"/>
        <v>43.84375</v>
      </c>
      <c r="FO297" s="79">
        <f t="shared" si="1047"/>
        <v>0</v>
      </c>
      <c r="FP297" s="78">
        <f t="shared" si="1048"/>
        <v>32.8828125</v>
      </c>
      <c r="FQ297" s="79">
        <f t="shared" si="1049"/>
        <v>-25</v>
      </c>
      <c r="FR297" s="95"/>
      <c r="FS297" s="79" t="str">
        <f t="shared" si="1050"/>
        <v>NM</v>
      </c>
      <c r="FT297" s="93"/>
      <c r="FU297" s="79" t="str">
        <f t="shared" si="1051"/>
        <v>NA</v>
      </c>
      <c r="FV297" s="93"/>
      <c r="FW297" s="79" t="str">
        <f t="shared" si="1052"/>
        <v>NA</v>
      </c>
      <c r="FX297" s="93"/>
      <c r="FY297" s="79" t="str">
        <f t="shared" si="1053"/>
        <v>NA</v>
      </c>
      <c r="FZ297" s="93"/>
      <c r="GA297" s="79" t="str">
        <f t="shared" si="1054"/>
        <v>NA</v>
      </c>
      <c r="GB297" s="93"/>
      <c r="GC297" s="79" t="str">
        <f t="shared" si="1054"/>
        <v>NA</v>
      </c>
      <c r="GD297" s="93"/>
      <c r="GE297" s="79" t="str">
        <f t="shared" si="1054"/>
        <v>NA</v>
      </c>
      <c r="GF297" s="93"/>
      <c r="GG297" s="79" t="str">
        <f t="shared" si="1054"/>
        <v>NA</v>
      </c>
      <c r="GH297" s="93"/>
      <c r="GI297" s="79" t="str">
        <f t="shared" si="1054"/>
        <v>NA</v>
      </c>
      <c r="GJ297" s="93"/>
      <c r="GK297" s="79" t="str">
        <f t="shared" si="1054"/>
        <v>NA</v>
      </c>
      <c r="GL297" s="75"/>
      <c r="GM297" s="79" t="str">
        <f t="shared" si="1054"/>
        <v>NA</v>
      </c>
      <c r="GN297" s="75"/>
      <c r="GO297" s="79" t="str">
        <f t="shared" si="1054"/>
        <v>NA</v>
      </c>
      <c r="GP297" s="75"/>
      <c r="GQ297" s="79" t="str">
        <f t="shared" si="1054"/>
        <v>NA</v>
      </c>
      <c r="GR297" s="75"/>
      <c r="GS297" s="79" t="str">
        <f t="shared" si="1055"/>
        <v>NA</v>
      </c>
      <c r="GT297" s="79"/>
    </row>
    <row r="298" spans="1:286" ht="12.75" hidden="1" customHeight="1" outlineLevel="1" x14ac:dyDescent="0.2">
      <c r="A298" s="1"/>
      <c r="B298" s="247" t="s">
        <v>185</v>
      </c>
      <c r="C298" s="79"/>
      <c r="D298" s="79"/>
      <c r="E298" s="75">
        <f>E371</f>
        <v>0</v>
      </c>
      <c r="F298" s="79"/>
      <c r="G298" s="75">
        <f>G371</f>
        <v>0</v>
      </c>
      <c r="H298" s="79"/>
      <c r="I298" s="75">
        <f>I371</f>
        <v>0</v>
      </c>
      <c r="J298" s="79"/>
      <c r="K298" s="75">
        <f>K371</f>
        <v>0</v>
      </c>
      <c r="L298" s="79"/>
      <c r="M298" s="75">
        <f>M371</f>
        <v>0</v>
      </c>
      <c r="N298" s="79" t="str">
        <f t="shared" si="980"/>
        <v>NA</v>
      </c>
      <c r="O298" s="75">
        <f>O371</f>
        <v>0</v>
      </c>
      <c r="P298" s="79" t="str">
        <f t="shared" si="981"/>
        <v>NA</v>
      </c>
      <c r="Q298" s="75">
        <f>Q371</f>
        <v>0</v>
      </c>
      <c r="R298" s="79" t="str">
        <f t="shared" si="982"/>
        <v>NA</v>
      </c>
      <c r="S298" s="75">
        <f>S371</f>
        <v>0</v>
      </c>
      <c r="T298" s="79" t="str">
        <f t="shared" si="983"/>
        <v>NA</v>
      </c>
      <c r="U298" s="75">
        <f>U371</f>
        <v>0</v>
      </c>
      <c r="V298" s="79" t="str">
        <f t="shared" si="984"/>
        <v>NA</v>
      </c>
      <c r="W298" s="75">
        <f>W371</f>
        <v>0</v>
      </c>
      <c r="X298" s="79" t="str">
        <f t="shared" si="985"/>
        <v>NA</v>
      </c>
      <c r="Y298" s="75">
        <f>Y371</f>
        <v>0</v>
      </c>
      <c r="Z298" s="79" t="str">
        <f t="shared" si="986"/>
        <v>NA</v>
      </c>
      <c r="AA298" s="267">
        <f>AA371</f>
        <v>0</v>
      </c>
      <c r="AB298" s="79" t="str">
        <f t="shared" si="987"/>
        <v>NA</v>
      </c>
      <c r="AC298" s="75">
        <f>AC371</f>
        <v>0</v>
      </c>
      <c r="AD298" s="79" t="str">
        <f t="shared" si="988"/>
        <v>NA</v>
      </c>
      <c r="AE298" s="75">
        <f>AE371</f>
        <v>0</v>
      </c>
      <c r="AF298" s="79" t="str">
        <f t="shared" si="989"/>
        <v>NA</v>
      </c>
      <c r="AG298" s="75">
        <f>AG371</f>
        <v>0</v>
      </c>
      <c r="AH298" s="79" t="str">
        <f t="shared" si="990"/>
        <v>NA</v>
      </c>
      <c r="AI298" s="75">
        <f>AI371</f>
        <v>0</v>
      </c>
      <c r="AJ298" s="79" t="str">
        <f t="shared" si="991"/>
        <v>NA</v>
      </c>
      <c r="AK298" s="75">
        <f>AK371</f>
        <v>0</v>
      </c>
      <c r="AL298" s="79" t="str">
        <f t="shared" si="992"/>
        <v>NA</v>
      </c>
      <c r="AM298" s="75">
        <f>AM371</f>
        <v>0</v>
      </c>
      <c r="AN298" s="79" t="str">
        <f t="shared" si="993"/>
        <v>NA</v>
      </c>
      <c r="AO298" s="75">
        <f>AO371</f>
        <v>0</v>
      </c>
      <c r="AP298" s="79" t="str">
        <f t="shared" si="994"/>
        <v>NA</v>
      </c>
      <c r="AQ298" s="75">
        <f>AQ371</f>
        <v>6.1875</v>
      </c>
      <c r="AR298" s="79" t="str">
        <f t="shared" si="995"/>
        <v>NA</v>
      </c>
      <c r="AS298" s="75">
        <f>AS371</f>
        <v>6.1875</v>
      </c>
      <c r="AT298" s="79">
        <f t="shared" si="996"/>
        <v>0</v>
      </c>
      <c r="AU298" s="75">
        <f>AU371</f>
        <v>6.1875</v>
      </c>
      <c r="AV298" s="79">
        <f t="shared" si="997"/>
        <v>0</v>
      </c>
      <c r="AW298" s="75">
        <f>AW371</f>
        <v>6.1875</v>
      </c>
      <c r="AX298" s="79">
        <f t="shared" si="998"/>
        <v>0</v>
      </c>
      <c r="AY298" s="75">
        <f>AY371</f>
        <v>6.1875</v>
      </c>
      <c r="AZ298" s="79">
        <f t="shared" si="999"/>
        <v>0</v>
      </c>
      <c r="BA298" s="75">
        <f>BA371</f>
        <v>6.1875</v>
      </c>
      <c r="BB298" s="79">
        <f t="shared" si="1000"/>
        <v>0</v>
      </c>
      <c r="BC298" s="75">
        <f>BC371</f>
        <v>6.1875</v>
      </c>
      <c r="BD298" s="79">
        <f t="shared" si="1001"/>
        <v>0</v>
      </c>
      <c r="BE298" s="75">
        <f>BE371</f>
        <v>6.1875</v>
      </c>
      <c r="BF298" s="79">
        <f t="shared" si="1002"/>
        <v>0</v>
      </c>
      <c r="BG298" s="75">
        <f>BG371</f>
        <v>6.1875</v>
      </c>
      <c r="BH298" s="79">
        <f t="shared" si="1003"/>
        <v>0</v>
      </c>
      <c r="BI298" s="75">
        <f>BI371</f>
        <v>6.1875</v>
      </c>
      <c r="BJ298" s="79">
        <f t="shared" si="1004"/>
        <v>0</v>
      </c>
      <c r="BK298" s="75">
        <f>BK371</f>
        <v>6.1875</v>
      </c>
      <c r="BL298" s="79">
        <f t="shared" si="1005"/>
        <v>0</v>
      </c>
      <c r="BM298" s="75">
        <f>BM371</f>
        <v>6.1875</v>
      </c>
      <c r="BN298" s="79">
        <f t="shared" si="1006"/>
        <v>0</v>
      </c>
      <c r="BO298" s="95"/>
      <c r="BP298" s="79"/>
      <c r="BQ298" s="95"/>
      <c r="BR298" s="79"/>
      <c r="BS298" s="95"/>
      <c r="BT298" s="79"/>
      <c r="BU298" s="95"/>
      <c r="BV298" s="79"/>
      <c r="BW298" s="95"/>
      <c r="BX298" s="79"/>
      <c r="BY298" s="95"/>
      <c r="BZ298" s="79"/>
      <c r="CA298" s="95"/>
      <c r="CB298" s="79"/>
      <c r="CC298" s="95"/>
      <c r="CD298" s="79"/>
      <c r="CE298" s="95"/>
      <c r="CF298" s="79"/>
      <c r="CG298" s="95"/>
      <c r="CH298" s="79"/>
      <c r="CI298" s="95"/>
      <c r="CJ298" s="79"/>
      <c r="CK298" s="95"/>
      <c r="CL298" s="79"/>
      <c r="CM298" s="95"/>
      <c r="CN298" s="79"/>
      <c r="CO298" s="95"/>
      <c r="CP298" s="79"/>
      <c r="CQ298" s="95"/>
      <c r="CR298" s="79"/>
      <c r="CS298" s="95"/>
      <c r="CT298" s="79"/>
      <c r="CU298" s="95"/>
      <c r="CV298" s="79"/>
      <c r="CW298" s="95"/>
      <c r="CX298" s="79"/>
      <c r="CY298" s="95"/>
      <c r="CZ298" s="79"/>
      <c r="DA298" s="95"/>
      <c r="DB298" s="79"/>
      <c r="DC298" s="95"/>
      <c r="DD298" s="79"/>
      <c r="DE298" s="95"/>
      <c r="DF298" s="79"/>
      <c r="DG298" s="95"/>
      <c r="DH298" s="79"/>
      <c r="DI298" s="95"/>
      <c r="DJ298" s="79"/>
      <c r="DK298" s="95"/>
      <c r="DL298" s="79"/>
      <c r="DM298" s="95"/>
      <c r="DN298" s="79"/>
      <c r="DO298" s="95"/>
      <c r="DP298" s="79"/>
      <c r="DQ298" s="95"/>
      <c r="DR298" s="79"/>
      <c r="DS298" s="95"/>
      <c r="DT298" s="79"/>
      <c r="DU298" s="95"/>
      <c r="DV298" s="79"/>
      <c r="DW298" s="95"/>
      <c r="DX298" s="79"/>
      <c r="DY298" s="95"/>
      <c r="DZ298" s="79"/>
      <c r="EA298" s="95"/>
      <c r="EB298" s="79"/>
      <c r="EC298" s="95"/>
      <c r="ED298" s="79"/>
      <c r="EE298" s="95"/>
      <c r="EF298" s="79"/>
      <c r="EG298" s="95"/>
      <c r="EH298" s="79"/>
      <c r="EI298" s="95"/>
      <c r="EJ298" s="79"/>
      <c r="EK298" s="75"/>
      <c r="EL298" s="79"/>
      <c r="EM298" s="75"/>
      <c r="EN298" s="79"/>
      <c r="EO298" s="75"/>
      <c r="EP298" s="79"/>
      <c r="EQ298" s="75"/>
      <c r="ER298" s="79"/>
      <c r="ES298" s="129"/>
      <c r="ET298" s="469"/>
      <c r="EU298" s="129"/>
      <c r="EV298" s="75"/>
      <c r="EW298" s="79"/>
      <c r="EX298" s="75"/>
      <c r="EY298" s="79"/>
      <c r="EZ298" s="75"/>
      <c r="FA298" s="79"/>
      <c r="FB298" s="75"/>
      <c r="FC298" s="79"/>
      <c r="FD298" s="35">
        <f t="shared" si="1036"/>
        <v>0</v>
      </c>
      <c r="FE298" s="79" t="str">
        <f t="shared" si="1037"/>
        <v>NA</v>
      </c>
      <c r="FF298" s="35">
        <f t="shared" si="1038"/>
        <v>0</v>
      </c>
      <c r="FG298" s="79" t="str">
        <f t="shared" si="1039"/>
        <v>NA</v>
      </c>
      <c r="FH298" s="35">
        <f t="shared" si="1040"/>
        <v>0</v>
      </c>
      <c r="FI298" s="79" t="str">
        <f t="shared" si="1041"/>
        <v>NA</v>
      </c>
      <c r="FJ298" s="35">
        <f t="shared" si="1042"/>
        <v>6.1875</v>
      </c>
      <c r="FK298" s="79" t="str">
        <f t="shared" si="1043"/>
        <v>NA</v>
      </c>
      <c r="FL298" s="78">
        <f t="shared" si="1044"/>
        <v>24.75</v>
      </c>
      <c r="FM298" s="79" t="str">
        <f t="shared" si="1045"/>
        <v>NM</v>
      </c>
      <c r="FN298" s="78">
        <f t="shared" si="1046"/>
        <v>24.75</v>
      </c>
      <c r="FO298" s="79">
        <f t="shared" si="1047"/>
        <v>0</v>
      </c>
      <c r="FP298" s="78">
        <f t="shared" si="1048"/>
        <v>18.5625</v>
      </c>
      <c r="FQ298" s="79">
        <f t="shared" si="1049"/>
        <v>-25</v>
      </c>
      <c r="FR298" s="95"/>
      <c r="FS298" s="79" t="str">
        <f t="shared" si="1050"/>
        <v>NM</v>
      </c>
      <c r="FT298" s="93"/>
      <c r="FU298" s="79" t="str">
        <f t="shared" si="1051"/>
        <v>NA</v>
      </c>
      <c r="FV298" s="93"/>
      <c r="FW298" s="79" t="str">
        <f t="shared" si="1052"/>
        <v>NA</v>
      </c>
      <c r="FX298" s="93"/>
      <c r="FY298" s="79" t="str">
        <f t="shared" si="1053"/>
        <v>NA</v>
      </c>
      <c r="FZ298" s="93"/>
      <c r="GA298" s="79" t="str">
        <f t="shared" si="1054"/>
        <v>NA</v>
      </c>
      <c r="GB298" s="93"/>
      <c r="GC298" s="79" t="str">
        <f t="shared" si="1054"/>
        <v>NA</v>
      </c>
      <c r="GD298" s="93"/>
      <c r="GE298" s="79" t="str">
        <f t="shared" si="1054"/>
        <v>NA</v>
      </c>
      <c r="GF298" s="93"/>
      <c r="GG298" s="79" t="str">
        <f t="shared" si="1054"/>
        <v>NA</v>
      </c>
      <c r="GH298" s="93"/>
      <c r="GI298" s="79" t="str">
        <f t="shared" si="1054"/>
        <v>NA</v>
      </c>
      <c r="GJ298" s="93"/>
      <c r="GK298" s="79" t="str">
        <f t="shared" si="1054"/>
        <v>NA</v>
      </c>
      <c r="GL298" s="75"/>
      <c r="GM298" s="79" t="str">
        <f t="shared" si="1054"/>
        <v>NA</v>
      </c>
      <c r="GN298" s="75"/>
      <c r="GO298" s="79" t="str">
        <f t="shared" si="1054"/>
        <v>NA</v>
      </c>
      <c r="GP298" s="75"/>
      <c r="GQ298" s="79" t="str">
        <f t="shared" si="1054"/>
        <v>NA</v>
      </c>
      <c r="GR298" s="75"/>
      <c r="GS298" s="79" t="str">
        <f t="shared" si="1055"/>
        <v>NA</v>
      </c>
      <c r="GT298" s="79"/>
    </row>
    <row r="299" spans="1:286" ht="12.75" hidden="1" customHeight="1" outlineLevel="1" x14ac:dyDescent="0.2">
      <c r="A299" s="1"/>
      <c r="B299" s="247" t="s">
        <v>182</v>
      </c>
      <c r="C299" s="79"/>
      <c r="D299" s="79"/>
      <c r="E299" s="75">
        <f>E367</f>
        <v>0</v>
      </c>
      <c r="F299" s="79"/>
      <c r="G299" s="75">
        <f>G367</f>
        <v>0</v>
      </c>
      <c r="H299" s="79"/>
      <c r="I299" s="75">
        <f>I367</f>
        <v>0</v>
      </c>
      <c r="J299" s="79"/>
      <c r="K299" s="75">
        <f>K367</f>
        <v>0</v>
      </c>
      <c r="L299" s="79"/>
      <c r="M299" s="75">
        <f>M367</f>
        <v>0</v>
      </c>
      <c r="N299" s="79" t="str">
        <f t="shared" si="980"/>
        <v>NA</v>
      </c>
      <c r="O299" s="75">
        <f>O367</f>
        <v>0</v>
      </c>
      <c r="P299" s="79" t="str">
        <f t="shared" si="981"/>
        <v>NA</v>
      </c>
      <c r="Q299" s="75">
        <f>Q367</f>
        <v>0</v>
      </c>
      <c r="R299" s="79" t="str">
        <f t="shared" si="982"/>
        <v>NA</v>
      </c>
      <c r="S299" s="75">
        <f>S367</f>
        <v>0</v>
      </c>
      <c r="T299" s="79" t="str">
        <f t="shared" si="983"/>
        <v>NA</v>
      </c>
      <c r="U299" s="75">
        <f>U367</f>
        <v>0</v>
      </c>
      <c r="V299" s="79" t="str">
        <f t="shared" si="984"/>
        <v>NA</v>
      </c>
      <c r="W299" s="75">
        <f>W367</f>
        <v>0</v>
      </c>
      <c r="X299" s="79" t="str">
        <f t="shared" si="985"/>
        <v>NA</v>
      </c>
      <c r="Y299" s="75">
        <f>Y367</f>
        <v>0</v>
      </c>
      <c r="Z299" s="79" t="str">
        <f t="shared" si="986"/>
        <v>NA</v>
      </c>
      <c r="AA299" s="267">
        <f>AA367</f>
        <v>0</v>
      </c>
      <c r="AB299" s="79" t="str">
        <f t="shared" si="987"/>
        <v>NA</v>
      </c>
      <c r="AC299" s="75">
        <f>AC367</f>
        <v>0</v>
      </c>
      <c r="AD299" s="79" t="str">
        <f t="shared" si="988"/>
        <v>NA</v>
      </c>
      <c r="AE299" s="75">
        <f>AE367</f>
        <v>0</v>
      </c>
      <c r="AF299" s="79" t="str">
        <f t="shared" si="989"/>
        <v>NA</v>
      </c>
      <c r="AG299" s="75">
        <f>AG367</f>
        <v>0</v>
      </c>
      <c r="AH299" s="79" t="str">
        <f t="shared" si="990"/>
        <v>NA</v>
      </c>
      <c r="AI299" s="75">
        <f>AI367</f>
        <v>0</v>
      </c>
      <c r="AJ299" s="79" t="str">
        <f t="shared" si="991"/>
        <v>NA</v>
      </c>
      <c r="AK299" s="75">
        <f>AK367</f>
        <v>0</v>
      </c>
      <c r="AL299" s="79" t="str">
        <f t="shared" si="992"/>
        <v>NA</v>
      </c>
      <c r="AM299" s="75">
        <f>AM367</f>
        <v>0</v>
      </c>
      <c r="AN299" s="79" t="str">
        <f t="shared" si="993"/>
        <v>NA</v>
      </c>
      <c r="AO299" s="75">
        <f>AO367</f>
        <v>0</v>
      </c>
      <c r="AP299" s="79" t="str">
        <f t="shared" si="994"/>
        <v>NA</v>
      </c>
      <c r="AQ299" s="75">
        <f>AQ367</f>
        <v>11.859375</v>
      </c>
      <c r="AR299" s="79" t="str">
        <f t="shared" si="995"/>
        <v>NA</v>
      </c>
      <c r="AS299" s="75">
        <f>AS367</f>
        <v>2.40625</v>
      </c>
      <c r="AT299" s="79" t="str">
        <f t="shared" si="996"/>
        <v>NM</v>
      </c>
      <c r="AU299" s="75">
        <f>AU367</f>
        <v>2.40625</v>
      </c>
      <c r="AV299" s="79">
        <f t="shared" si="997"/>
        <v>0</v>
      </c>
      <c r="AW299" s="75">
        <f>AW367</f>
        <v>2.40625</v>
      </c>
      <c r="AX299" s="79">
        <f t="shared" si="998"/>
        <v>0</v>
      </c>
      <c r="AY299" s="75">
        <f>AY367</f>
        <v>2.40625</v>
      </c>
      <c r="AZ299" s="79">
        <f t="shared" si="999"/>
        <v>0</v>
      </c>
      <c r="BA299" s="75">
        <f>BA367</f>
        <v>2.40625</v>
      </c>
      <c r="BB299" s="79">
        <f t="shared" si="1000"/>
        <v>0</v>
      </c>
      <c r="BC299" s="75">
        <f>BC367</f>
        <v>2.40625</v>
      </c>
      <c r="BD299" s="79">
        <f t="shared" si="1001"/>
        <v>0</v>
      </c>
      <c r="BE299" s="75">
        <f>BE367</f>
        <v>2.40625</v>
      </c>
      <c r="BF299" s="79">
        <f t="shared" si="1002"/>
        <v>0</v>
      </c>
      <c r="BG299" s="75">
        <f>BG367</f>
        <v>2.40625</v>
      </c>
      <c r="BH299" s="79">
        <f t="shared" si="1003"/>
        <v>0</v>
      </c>
      <c r="BI299" s="75">
        <f>BI367</f>
        <v>2.40625</v>
      </c>
      <c r="BJ299" s="79">
        <f t="shared" si="1004"/>
        <v>0</v>
      </c>
      <c r="BK299" s="75">
        <f>BK367</f>
        <v>2.40625</v>
      </c>
      <c r="BL299" s="79">
        <f t="shared" si="1005"/>
        <v>0</v>
      </c>
      <c r="BM299" s="75">
        <f>BM367</f>
        <v>2.40625</v>
      </c>
      <c r="BN299" s="79">
        <f t="shared" si="1006"/>
        <v>0</v>
      </c>
      <c r="BO299" s="95"/>
      <c r="BP299" s="79"/>
      <c r="BQ299" s="95"/>
      <c r="BR299" s="79"/>
      <c r="BS299" s="95"/>
      <c r="BT299" s="79"/>
      <c r="BU299" s="95"/>
      <c r="BV299" s="79"/>
      <c r="BW299" s="95"/>
      <c r="BX299" s="79"/>
      <c r="BY299" s="95"/>
      <c r="BZ299" s="79"/>
      <c r="CA299" s="95"/>
      <c r="CB299" s="79"/>
      <c r="CC299" s="95"/>
      <c r="CD299" s="79"/>
      <c r="CE299" s="95"/>
      <c r="CF299" s="79"/>
      <c r="CG299" s="95"/>
      <c r="CH299" s="79"/>
      <c r="CI299" s="95"/>
      <c r="CJ299" s="79"/>
      <c r="CK299" s="95"/>
      <c r="CL299" s="79"/>
      <c r="CM299" s="95"/>
      <c r="CN299" s="79"/>
      <c r="CO299" s="95"/>
      <c r="CP299" s="79"/>
      <c r="CQ299" s="95"/>
      <c r="CR299" s="79"/>
      <c r="CS299" s="95"/>
      <c r="CT299" s="79"/>
      <c r="CU299" s="95"/>
      <c r="CV299" s="79"/>
      <c r="CW299" s="95"/>
      <c r="CX299" s="79"/>
      <c r="CY299" s="95"/>
      <c r="CZ299" s="79"/>
      <c r="DA299" s="95"/>
      <c r="DB299" s="79"/>
      <c r="DC299" s="95"/>
      <c r="DD299" s="79"/>
      <c r="DE299" s="95"/>
      <c r="DF299" s="79"/>
      <c r="DG299" s="95"/>
      <c r="DH299" s="79"/>
      <c r="DI299" s="95"/>
      <c r="DJ299" s="79"/>
      <c r="DK299" s="95"/>
      <c r="DL299" s="79"/>
      <c r="DM299" s="95"/>
      <c r="DN299" s="79"/>
      <c r="DO299" s="95"/>
      <c r="DP299" s="79"/>
      <c r="DQ299" s="95"/>
      <c r="DR299" s="79"/>
      <c r="DS299" s="95"/>
      <c r="DT299" s="79"/>
      <c r="DU299" s="95"/>
      <c r="DV299" s="79"/>
      <c r="DW299" s="95"/>
      <c r="DX299" s="79"/>
      <c r="DY299" s="95"/>
      <c r="DZ299" s="79"/>
      <c r="EA299" s="95"/>
      <c r="EB299" s="79"/>
      <c r="EC299" s="95"/>
      <c r="ED299" s="79"/>
      <c r="EE299" s="95"/>
      <c r="EF299" s="79"/>
      <c r="EG299" s="95"/>
      <c r="EH299" s="79"/>
      <c r="EI299" s="95"/>
      <c r="EJ299" s="79"/>
      <c r="EK299" s="75"/>
      <c r="EL299" s="79"/>
      <c r="EM299" s="75"/>
      <c r="EN299" s="79"/>
      <c r="EO299" s="75"/>
      <c r="EP299" s="79"/>
      <c r="EQ299" s="75"/>
      <c r="ER299" s="79"/>
      <c r="ES299" s="129"/>
      <c r="ET299" s="469"/>
      <c r="EU299" s="129"/>
      <c r="EV299" s="75"/>
      <c r="EW299" s="79"/>
      <c r="EX299" s="75"/>
      <c r="EY299" s="79"/>
      <c r="EZ299" s="75"/>
      <c r="FA299" s="79"/>
      <c r="FB299" s="75"/>
      <c r="FC299" s="79"/>
      <c r="FD299" s="35">
        <f t="shared" si="1036"/>
        <v>0</v>
      </c>
      <c r="FE299" s="79" t="str">
        <f t="shared" si="1037"/>
        <v>NA</v>
      </c>
      <c r="FF299" s="35">
        <f t="shared" si="1038"/>
        <v>0</v>
      </c>
      <c r="FG299" s="79" t="str">
        <f t="shared" si="1039"/>
        <v>NA</v>
      </c>
      <c r="FH299" s="35">
        <f t="shared" si="1040"/>
        <v>0</v>
      </c>
      <c r="FI299" s="79" t="str">
        <f t="shared" si="1041"/>
        <v>NA</v>
      </c>
      <c r="FJ299" s="35">
        <f t="shared" si="1042"/>
        <v>11.859375</v>
      </c>
      <c r="FK299" s="79" t="str">
        <f t="shared" si="1043"/>
        <v>NA</v>
      </c>
      <c r="FL299" s="78">
        <f t="shared" si="1044"/>
        <v>9.625</v>
      </c>
      <c r="FM299" s="79">
        <f t="shared" si="1045"/>
        <v>-18.840579710144922</v>
      </c>
      <c r="FN299" s="78">
        <f t="shared" si="1046"/>
        <v>9.625</v>
      </c>
      <c r="FO299" s="79">
        <f t="shared" si="1047"/>
        <v>0</v>
      </c>
      <c r="FP299" s="78">
        <f t="shared" si="1048"/>
        <v>7.21875</v>
      </c>
      <c r="FQ299" s="79">
        <f t="shared" si="1049"/>
        <v>-25</v>
      </c>
      <c r="FR299" s="95"/>
      <c r="FS299" s="79" t="str">
        <f t="shared" si="1050"/>
        <v>NM</v>
      </c>
      <c r="FT299" s="93"/>
      <c r="FU299" s="79" t="str">
        <f t="shared" si="1051"/>
        <v>NA</v>
      </c>
      <c r="FV299" s="93"/>
      <c r="FW299" s="79" t="str">
        <f t="shared" si="1052"/>
        <v>NA</v>
      </c>
      <c r="FX299" s="93"/>
      <c r="FY299" s="79" t="str">
        <f t="shared" si="1053"/>
        <v>NA</v>
      </c>
      <c r="FZ299" s="93"/>
      <c r="GA299" s="79" t="str">
        <f t="shared" si="1054"/>
        <v>NA</v>
      </c>
      <c r="GB299" s="93"/>
      <c r="GC299" s="79" t="str">
        <f t="shared" si="1054"/>
        <v>NA</v>
      </c>
      <c r="GD299" s="93"/>
      <c r="GE299" s="79" t="str">
        <f t="shared" si="1054"/>
        <v>NA</v>
      </c>
      <c r="GF299" s="93"/>
      <c r="GG299" s="79" t="str">
        <f t="shared" si="1054"/>
        <v>NA</v>
      </c>
      <c r="GH299" s="93"/>
      <c r="GI299" s="79" t="str">
        <f t="shared" si="1054"/>
        <v>NA</v>
      </c>
      <c r="GJ299" s="93"/>
      <c r="GK299" s="79" t="str">
        <f t="shared" si="1054"/>
        <v>NA</v>
      </c>
      <c r="GL299" s="75"/>
      <c r="GM299" s="79" t="str">
        <f t="shared" si="1054"/>
        <v>NA</v>
      </c>
      <c r="GN299" s="75"/>
      <c r="GO299" s="79" t="str">
        <f t="shared" si="1054"/>
        <v>NA</v>
      </c>
      <c r="GP299" s="75"/>
      <c r="GQ299" s="79" t="str">
        <f t="shared" si="1054"/>
        <v>NA</v>
      </c>
      <c r="GR299" s="75"/>
      <c r="GS299" s="79" t="str">
        <f t="shared" si="1055"/>
        <v>NA</v>
      </c>
      <c r="GT299" s="79"/>
    </row>
    <row r="300" spans="1:286" ht="12.75" hidden="1" customHeight="1" outlineLevel="1" x14ac:dyDescent="0.2">
      <c r="A300" s="1"/>
      <c r="B300" s="10" t="s">
        <v>132</v>
      </c>
      <c r="C300" s="79"/>
      <c r="D300" s="79"/>
      <c r="E300" s="75">
        <f>E322</f>
        <v>44.9</v>
      </c>
      <c r="F300" s="79"/>
      <c r="G300" s="75">
        <f>G322</f>
        <v>47.7</v>
      </c>
      <c r="H300" s="79"/>
      <c r="I300" s="75">
        <f>I322</f>
        <v>45.3</v>
      </c>
      <c r="J300" s="79"/>
      <c r="K300" s="75">
        <f>K322</f>
        <v>43.4</v>
      </c>
      <c r="L300" s="79"/>
      <c r="M300" s="75">
        <f>M322</f>
        <v>44.2</v>
      </c>
      <c r="N300" s="79">
        <f t="shared" si="980"/>
        <v>1.8433179723502446</v>
      </c>
      <c r="O300" s="75">
        <f>O322</f>
        <v>45.7</v>
      </c>
      <c r="P300" s="79">
        <f t="shared" si="981"/>
        <v>3.3936651583710509</v>
      </c>
      <c r="Q300" s="75">
        <f>Q322</f>
        <v>44</v>
      </c>
      <c r="R300" s="79">
        <f t="shared" si="982"/>
        <v>-3.7199124726477129</v>
      </c>
      <c r="S300" s="75">
        <f>S322</f>
        <v>43.6</v>
      </c>
      <c r="T300" s="79">
        <f t="shared" si="983"/>
        <v>-0.90909090909090384</v>
      </c>
      <c r="U300" s="75">
        <f>U322</f>
        <v>41.7</v>
      </c>
      <c r="V300" s="79">
        <f t="shared" si="984"/>
        <v>-4.3577981651376163</v>
      </c>
      <c r="W300" s="75">
        <f>W322</f>
        <v>40.799999999999997</v>
      </c>
      <c r="X300" s="79">
        <f t="shared" si="985"/>
        <v>-2.1582733812949728</v>
      </c>
      <c r="Y300" s="75">
        <f>Y322</f>
        <v>44</v>
      </c>
      <c r="Z300" s="79">
        <f t="shared" si="986"/>
        <v>7.8431372549019773</v>
      </c>
      <c r="AA300" s="267">
        <f>AA322</f>
        <v>42.2</v>
      </c>
      <c r="AB300" s="79">
        <f t="shared" si="987"/>
        <v>-4.0909090909090899</v>
      </c>
      <c r="AC300" s="75">
        <f>AC322</f>
        <v>45.8</v>
      </c>
      <c r="AD300" s="79">
        <f t="shared" si="988"/>
        <v>8.5308056872037685</v>
      </c>
      <c r="AE300" s="75">
        <f>AE322</f>
        <v>42.2</v>
      </c>
      <c r="AF300" s="79">
        <f t="shared" si="989"/>
        <v>-7.8602620087336099</v>
      </c>
      <c r="AG300" s="75">
        <f>AG322</f>
        <v>43.4</v>
      </c>
      <c r="AH300" s="79">
        <f t="shared" si="990"/>
        <v>2.8436018957345821</v>
      </c>
      <c r="AI300" s="75">
        <f>AI322</f>
        <v>42.8</v>
      </c>
      <c r="AJ300" s="79">
        <f t="shared" si="991"/>
        <v>-1.3824884792626779</v>
      </c>
      <c r="AK300" s="75">
        <f>AK322</f>
        <v>40.799999999999997</v>
      </c>
      <c r="AL300" s="79">
        <f t="shared" si="992"/>
        <v>-4.6728971962616832</v>
      </c>
      <c r="AM300" s="75">
        <f>AM322</f>
        <v>43.1</v>
      </c>
      <c r="AN300" s="79">
        <f t="shared" si="993"/>
        <v>5.6372549019607865</v>
      </c>
      <c r="AO300" s="75">
        <f>AO322</f>
        <v>41.3</v>
      </c>
      <c r="AP300" s="79">
        <f t="shared" si="994"/>
        <v>-4.176334106728552</v>
      </c>
      <c r="AQ300" s="75">
        <f>AQ322</f>
        <v>2</v>
      </c>
      <c r="AR300" s="79" t="str">
        <f t="shared" si="995"/>
        <v>NM</v>
      </c>
      <c r="AS300" s="75">
        <f>AS322</f>
        <v>1.6</v>
      </c>
      <c r="AT300" s="79">
        <f t="shared" si="996"/>
        <v>-19.999999999999996</v>
      </c>
      <c r="AU300" s="75">
        <f>AU322</f>
        <v>44.7</v>
      </c>
      <c r="AV300" s="79" t="str">
        <f t="shared" si="997"/>
        <v>NM</v>
      </c>
      <c r="AW300" s="75">
        <f>AW322</f>
        <v>43.7</v>
      </c>
      <c r="AX300" s="79">
        <f t="shared" si="998"/>
        <v>-2.2371364653243853</v>
      </c>
      <c r="AY300" s="75">
        <f>AY322</f>
        <v>-0.6</v>
      </c>
      <c r="AZ300" s="79" t="str">
        <f t="shared" si="999"/>
        <v>NM</v>
      </c>
      <c r="BA300" s="75">
        <f>BA322</f>
        <v>1.5</v>
      </c>
      <c r="BB300" s="79" t="str">
        <f t="shared" si="1000"/>
        <v>NM</v>
      </c>
      <c r="BC300" s="75">
        <f>BC322</f>
        <v>0.8</v>
      </c>
      <c r="BD300" s="79">
        <f t="shared" si="1001"/>
        <v>-46.666666666666664</v>
      </c>
      <c r="BE300" s="75">
        <f>BE322</f>
        <v>0.7</v>
      </c>
      <c r="BF300" s="79">
        <f t="shared" si="1002"/>
        <v>-12.500000000000011</v>
      </c>
      <c r="BG300" s="75">
        <f>BG322</f>
        <v>1</v>
      </c>
      <c r="BH300" s="79">
        <f t="shared" si="1003"/>
        <v>42.857142857142861</v>
      </c>
      <c r="BI300" s="75">
        <f>BI322</f>
        <v>2.1</v>
      </c>
      <c r="BJ300" s="79" t="str">
        <f t="shared" si="1004"/>
        <v>NM</v>
      </c>
      <c r="BK300" s="75">
        <f>BK322</f>
        <v>2.4</v>
      </c>
      <c r="BL300" s="79">
        <f t="shared" si="1005"/>
        <v>14.285714285714279</v>
      </c>
      <c r="BM300" s="75">
        <f>BM322</f>
        <v>3</v>
      </c>
      <c r="BN300" s="79">
        <f t="shared" si="1006"/>
        <v>25</v>
      </c>
      <c r="BO300" s="95"/>
      <c r="BP300" s="79"/>
      <c r="BQ300" s="95"/>
      <c r="BR300" s="79"/>
      <c r="BS300" s="95"/>
      <c r="BT300" s="79"/>
      <c r="BU300" s="95"/>
      <c r="BV300" s="79"/>
      <c r="BW300" s="95"/>
      <c r="BX300" s="79"/>
      <c r="BY300" s="95"/>
      <c r="BZ300" s="79"/>
      <c r="CA300" s="95"/>
      <c r="CB300" s="79"/>
      <c r="CC300" s="95"/>
      <c r="CD300" s="79"/>
      <c r="CE300" s="95"/>
      <c r="CF300" s="79"/>
      <c r="CG300" s="95"/>
      <c r="CH300" s="79"/>
      <c r="CI300" s="95"/>
      <c r="CJ300" s="79"/>
      <c r="CK300" s="95"/>
      <c r="CL300" s="79"/>
      <c r="CM300" s="95"/>
      <c r="CN300" s="79"/>
      <c r="CO300" s="95"/>
      <c r="CP300" s="79"/>
      <c r="CQ300" s="95"/>
      <c r="CR300" s="79"/>
      <c r="CS300" s="95"/>
      <c r="CT300" s="79"/>
      <c r="CU300" s="95"/>
      <c r="CV300" s="79"/>
      <c r="CW300" s="95"/>
      <c r="CX300" s="79"/>
      <c r="CY300" s="95"/>
      <c r="CZ300" s="79"/>
      <c r="DA300" s="95"/>
      <c r="DB300" s="79"/>
      <c r="DC300" s="95"/>
      <c r="DD300" s="79"/>
      <c r="DE300" s="95"/>
      <c r="DF300" s="79"/>
      <c r="DG300" s="95"/>
      <c r="DH300" s="79"/>
      <c r="DI300" s="95"/>
      <c r="DJ300" s="79"/>
      <c r="DK300" s="95"/>
      <c r="DL300" s="79"/>
      <c r="DM300" s="95"/>
      <c r="DN300" s="79"/>
      <c r="DO300" s="95"/>
      <c r="DP300" s="79"/>
      <c r="DQ300" s="95"/>
      <c r="DR300" s="79"/>
      <c r="DS300" s="95"/>
      <c r="DT300" s="79"/>
      <c r="DU300" s="95"/>
      <c r="DV300" s="79"/>
      <c r="DW300" s="95"/>
      <c r="DX300" s="79"/>
      <c r="DY300" s="95"/>
      <c r="DZ300" s="79"/>
      <c r="EA300" s="95"/>
      <c r="EB300" s="79"/>
      <c r="EC300" s="95"/>
      <c r="ED300" s="79"/>
      <c r="EE300" s="95"/>
      <c r="EF300" s="79"/>
      <c r="EG300" s="95"/>
      <c r="EH300" s="79"/>
      <c r="EI300" s="95"/>
      <c r="EJ300" s="79"/>
      <c r="EK300" s="75"/>
      <c r="EL300" s="79"/>
      <c r="EM300" s="75"/>
      <c r="EN300" s="79"/>
      <c r="EO300" s="75"/>
      <c r="EP300" s="79"/>
      <c r="EQ300" s="75"/>
      <c r="ER300" s="79"/>
      <c r="ES300" s="129"/>
      <c r="ET300" s="469"/>
      <c r="EU300" s="129"/>
      <c r="EV300" s="75"/>
      <c r="EW300" s="79"/>
      <c r="EX300" s="75"/>
      <c r="EY300" s="79"/>
      <c r="EZ300" s="75"/>
      <c r="FA300" s="79"/>
      <c r="FB300" s="75"/>
      <c r="FC300" s="79"/>
      <c r="FD300" s="35">
        <f t="shared" si="1036"/>
        <v>177.5</v>
      </c>
      <c r="FE300" s="79" t="str">
        <f t="shared" si="1037"/>
        <v>NA</v>
      </c>
      <c r="FF300" s="35">
        <f t="shared" si="1038"/>
        <v>168.7</v>
      </c>
      <c r="FG300" s="79">
        <f t="shared" si="1039"/>
        <v>-4.9577464788732488</v>
      </c>
      <c r="FH300" s="35">
        <f t="shared" si="1040"/>
        <v>174.2</v>
      </c>
      <c r="FI300" s="79">
        <f t="shared" si="1041"/>
        <v>3.2602252519265074</v>
      </c>
      <c r="FJ300" s="35">
        <f t="shared" si="1042"/>
        <v>127.2</v>
      </c>
      <c r="FK300" s="79">
        <f t="shared" si="1043"/>
        <v>-26.980482204362801</v>
      </c>
      <c r="FL300" s="78">
        <f t="shared" si="1044"/>
        <v>89.4</v>
      </c>
      <c r="FM300" s="79">
        <f t="shared" si="1045"/>
        <v>-29.716981132075471</v>
      </c>
      <c r="FN300" s="78">
        <f t="shared" si="1046"/>
        <v>4</v>
      </c>
      <c r="FO300" s="79" t="str">
        <f t="shared" si="1047"/>
        <v>NM</v>
      </c>
      <c r="FP300" s="78">
        <f t="shared" si="1048"/>
        <v>7.5</v>
      </c>
      <c r="FQ300" s="79">
        <f t="shared" si="1049"/>
        <v>87.5</v>
      </c>
      <c r="FR300" s="95"/>
      <c r="FS300" s="79" t="str">
        <f t="shared" si="1050"/>
        <v>NM</v>
      </c>
      <c r="FT300" s="93"/>
      <c r="FU300" s="79" t="str">
        <f t="shared" si="1051"/>
        <v>NA</v>
      </c>
      <c r="FV300" s="93"/>
      <c r="FW300" s="79" t="str">
        <f t="shared" si="1052"/>
        <v>NA</v>
      </c>
      <c r="FX300" s="93"/>
      <c r="FY300" s="79" t="str">
        <f t="shared" si="1053"/>
        <v>NA</v>
      </c>
      <c r="FZ300" s="93"/>
      <c r="GA300" s="79" t="str">
        <f t="shared" si="1054"/>
        <v>NA</v>
      </c>
      <c r="GB300" s="93"/>
      <c r="GC300" s="79" t="str">
        <f t="shared" si="1054"/>
        <v>NA</v>
      </c>
      <c r="GD300" s="93"/>
      <c r="GE300" s="79" t="str">
        <f t="shared" si="1054"/>
        <v>NA</v>
      </c>
      <c r="GF300" s="93"/>
      <c r="GG300" s="79" t="str">
        <f t="shared" si="1054"/>
        <v>NA</v>
      </c>
      <c r="GH300" s="93"/>
      <c r="GI300" s="79" t="str">
        <f t="shared" si="1054"/>
        <v>NA</v>
      </c>
      <c r="GJ300" s="93"/>
      <c r="GK300" s="79" t="str">
        <f t="shared" si="1054"/>
        <v>NA</v>
      </c>
      <c r="GL300" s="95"/>
      <c r="GM300" s="79" t="str">
        <f t="shared" si="1054"/>
        <v>NA</v>
      </c>
      <c r="GN300" s="95"/>
      <c r="GO300" s="79" t="str">
        <f t="shared" si="1054"/>
        <v>NA</v>
      </c>
      <c r="GP300" s="95"/>
      <c r="GQ300" s="79" t="str">
        <f t="shared" si="1054"/>
        <v>NA</v>
      </c>
      <c r="GR300" s="95"/>
      <c r="GS300" s="79" t="str">
        <f t="shared" si="1055"/>
        <v>NA</v>
      </c>
      <c r="GT300" s="79"/>
    </row>
    <row r="301" spans="1:286" ht="12.75" customHeight="1" collapsed="1" x14ac:dyDescent="0.2">
      <c r="A301" s="1"/>
      <c r="B301" s="10" t="s">
        <v>115</v>
      </c>
      <c r="C301" s="79"/>
      <c r="D301" s="79"/>
      <c r="E301" s="75">
        <f>E349</f>
        <v>8.6999999999999993</v>
      </c>
      <c r="F301" s="79"/>
      <c r="G301" s="75">
        <f>G349</f>
        <v>1.9</v>
      </c>
      <c r="H301" s="79"/>
      <c r="I301" s="75">
        <f>I349</f>
        <v>25.1</v>
      </c>
      <c r="J301" s="79"/>
      <c r="K301" s="75">
        <f>K349</f>
        <v>10.4</v>
      </c>
      <c r="L301" s="79"/>
      <c r="M301" s="75">
        <f>M349</f>
        <v>6</v>
      </c>
      <c r="N301" s="79">
        <f t="shared" si="980"/>
        <v>-42.307692307692314</v>
      </c>
      <c r="O301" s="75">
        <f>O349</f>
        <v>8.8000000000000007</v>
      </c>
      <c r="P301" s="79">
        <f t="shared" si="981"/>
        <v>46.666666666666679</v>
      </c>
      <c r="Q301" s="75">
        <f>Q349</f>
        <v>-2.2000000000000002</v>
      </c>
      <c r="R301" s="79" t="str">
        <f t="shared" si="982"/>
        <v>NM</v>
      </c>
      <c r="S301" s="75">
        <f>S349</f>
        <v>14</v>
      </c>
      <c r="T301" s="79" t="str">
        <f t="shared" si="983"/>
        <v>NM</v>
      </c>
      <c r="U301" s="75">
        <f>U349</f>
        <v>18.7</v>
      </c>
      <c r="V301" s="79">
        <f t="shared" si="984"/>
        <v>33.571428571428562</v>
      </c>
      <c r="W301" s="75">
        <f>W349</f>
        <v>7.1</v>
      </c>
      <c r="X301" s="79" t="str">
        <f t="shared" si="985"/>
        <v>NM</v>
      </c>
      <c r="Y301" s="75">
        <f>Y349</f>
        <v>5.6</v>
      </c>
      <c r="Z301" s="79">
        <f t="shared" si="986"/>
        <v>-21.126760563380287</v>
      </c>
      <c r="AA301" s="267">
        <f>AA349</f>
        <v>6.5</v>
      </c>
      <c r="AB301" s="79">
        <f t="shared" si="987"/>
        <v>16.07142857142858</v>
      </c>
      <c r="AC301" s="75">
        <f>AC349</f>
        <v>2</v>
      </c>
      <c r="AD301" s="79" t="str">
        <f t="shared" si="988"/>
        <v>NM</v>
      </c>
      <c r="AE301" s="75">
        <f>AE349</f>
        <v>3.9</v>
      </c>
      <c r="AF301" s="79">
        <f t="shared" si="989"/>
        <v>95</v>
      </c>
      <c r="AG301" s="75">
        <f>AG349</f>
        <v>1.8</v>
      </c>
      <c r="AH301" s="79" t="str">
        <f t="shared" si="990"/>
        <v>NM</v>
      </c>
      <c r="AI301" s="75">
        <f>AI349</f>
        <v>4.9000000000000004</v>
      </c>
      <c r="AJ301" s="79" t="str">
        <f t="shared" si="991"/>
        <v>NM</v>
      </c>
      <c r="AK301" s="75">
        <f>AK349</f>
        <v>3.8</v>
      </c>
      <c r="AL301" s="79">
        <f t="shared" si="992"/>
        <v>-22.44897959183675</v>
      </c>
      <c r="AM301" s="75">
        <f>AM349</f>
        <v>1.3</v>
      </c>
      <c r="AN301" s="79" t="str">
        <f t="shared" si="993"/>
        <v>NM</v>
      </c>
      <c r="AO301" s="75">
        <f>AO349</f>
        <v>0.1</v>
      </c>
      <c r="AP301" s="79" t="str">
        <f t="shared" si="994"/>
        <v>NM</v>
      </c>
      <c r="AQ301" s="75">
        <f>AQ349</f>
        <v>0.8</v>
      </c>
      <c r="AR301" s="79" t="str">
        <f t="shared" si="995"/>
        <v>NM</v>
      </c>
      <c r="AS301" s="75">
        <f>AS349</f>
        <v>3.1</v>
      </c>
      <c r="AT301" s="79" t="str">
        <f t="shared" si="996"/>
        <v>NM</v>
      </c>
      <c r="AU301" s="75">
        <f>AU349</f>
        <v>2.2000000000000002</v>
      </c>
      <c r="AV301" s="79">
        <f t="shared" si="997"/>
        <v>-29.032258064516125</v>
      </c>
      <c r="AW301" s="75">
        <f>AW349</f>
        <v>2.3999999999999986</v>
      </c>
      <c r="AX301" s="79">
        <f t="shared" si="998"/>
        <v>9.0909090909090153</v>
      </c>
      <c r="AY301" s="75">
        <f>AY349</f>
        <v>6.6</v>
      </c>
      <c r="AZ301" s="79" t="str">
        <f t="shared" si="999"/>
        <v>NM</v>
      </c>
      <c r="BA301" s="95">
        <f>BA349-0.2</f>
        <v>3.8</v>
      </c>
      <c r="BB301" s="79">
        <f t="shared" si="1000"/>
        <v>-42.424242424242422</v>
      </c>
      <c r="BC301" s="95">
        <f>BC349+0.1</f>
        <v>21.1</v>
      </c>
      <c r="BD301" s="79" t="str">
        <f t="shared" si="1001"/>
        <v>NM</v>
      </c>
      <c r="BE301" s="75">
        <f>BE349</f>
        <v>1.6</v>
      </c>
      <c r="BF301" s="79" t="str">
        <f t="shared" si="1002"/>
        <v>NM</v>
      </c>
      <c r="BG301" s="95">
        <f>BG349-0.4</f>
        <v>3.8000000000000029</v>
      </c>
      <c r="BH301" s="79" t="str">
        <f t="shared" si="1003"/>
        <v>NM</v>
      </c>
      <c r="BI301" s="95">
        <f>BI349-0.1</f>
        <v>4.3000000000000007</v>
      </c>
      <c r="BJ301" s="79">
        <f t="shared" si="1004"/>
        <v>13.157894736842035</v>
      </c>
      <c r="BK301" s="95">
        <f>BK349-0.1</f>
        <v>4.7000000000000011</v>
      </c>
      <c r="BL301" s="79">
        <f t="shared" si="1005"/>
        <v>9.3023255813953654</v>
      </c>
      <c r="BM301" s="95">
        <f>BM349-0.2</f>
        <v>6.3999999999999995</v>
      </c>
      <c r="BN301" s="79">
        <f t="shared" si="1006"/>
        <v>36.170212765957402</v>
      </c>
      <c r="BO301" s="95">
        <v>6.2</v>
      </c>
      <c r="BP301" s="79">
        <f t="shared" si="1007"/>
        <v>-3.1249999999999889</v>
      </c>
      <c r="BQ301" s="95">
        <v>13.7</v>
      </c>
      <c r="BR301" s="79" t="str">
        <f t="shared" si="1008"/>
        <v>NM</v>
      </c>
      <c r="BS301" s="95">
        <v>21.1</v>
      </c>
      <c r="BT301" s="79">
        <f t="shared" si="1009"/>
        <v>54.014598540146011</v>
      </c>
      <c r="BU301" s="95">
        <v>15.3</v>
      </c>
      <c r="BV301" s="79">
        <f t="shared" si="1010"/>
        <v>-27.48815165876778</v>
      </c>
      <c r="BW301" s="95">
        <v>14.2</v>
      </c>
      <c r="BX301" s="79">
        <f t="shared" si="1011"/>
        <v>-7.1895424836601389</v>
      </c>
      <c r="BY301" s="95">
        <f>10.5-8</f>
        <v>2.5</v>
      </c>
      <c r="BZ301" s="79" t="str">
        <f t="shared" si="1012"/>
        <v>NM</v>
      </c>
      <c r="CA301" s="95">
        <f>9.6-8.1</f>
        <v>1.5</v>
      </c>
      <c r="CB301" s="79">
        <f t="shared" si="1013"/>
        <v>-40</v>
      </c>
      <c r="CC301" s="95">
        <f>10.3-8</f>
        <v>2.3000000000000007</v>
      </c>
      <c r="CD301" s="79">
        <f t="shared" si="1014"/>
        <v>53.333333333333385</v>
      </c>
      <c r="CE301" s="95">
        <f>9.7-8.1</f>
        <v>1.5999999999999996</v>
      </c>
      <c r="CF301" s="79">
        <f t="shared" si="1015"/>
        <v>-30.434782608695688</v>
      </c>
      <c r="CG301" s="95">
        <f>10.4-8</f>
        <v>2.4000000000000004</v>
      </c>
      <c r="CH301" s="79">
        <f t="shared" si="1016"/>
        <v>50.000000000000043</v>
      </c>
      <c r="CI301" s="95">
        <v>1.1000000000000001</v>
      </c>
      <c r="CJ301" s="79" t="str">
        <f t="shared" si="1017"/>
        <v>NM</v>
      </c>
      <c r="CK301" s="95">
        <f>12.1-8</f>
        <v>4.0999999999999996</v>
      </c>
      <c r="CL301" s="79" t="str">
        <f t="shared" si="1018"/>
        <v>NM</v>
      </c>
      <c r="CM301" s="95">
        <f>23.7-7.9</f>
        <v>15.799999999999999</v>
      </c>
      <c r="CN301" s="79" t="str">
        <f t="shared" si="1019"/>
        <v>NM</v>
      </c>
      <c r="CO301" s="95">
        <v>-4.4000000000000004</v>
      </c>
      <c r="CP301" s="79" t="str">
        <f t="shared" si="1020"/>
        <v>NM</v>
      </c>
      <c r="CQ301" s="95">
        <v>4.0999999999999996</v>
      </c>
      <c r="CR301" s="79" t="str">
        <f t="shared" si="1021"/>
        <v>NM</v>
      </c>
      <c r="CS301" s="95">
        <v>0.8</v>
      </c>
      <c r="CT301" s="79" t="str">
        <f t="shared" si="1022"/>
        <v>NM</v>
      </c>
      <c r="CU301" s="95">
        <v>-0.1</v>
      </c>
      <c r="CV301" s="79" t="str">
        <f t="shared" si="1023"/>
        <v>NM</v>
      </c>
      <c r="CW301" s="95">
        <v>2.2999999999999998</v>
      </c>
      <c r="CX301" s="79" t="str">
        <f>IF(ISERROR((CW301/CU301-1)*100),"NA",IF(((CW301/CU301-1)*100)&gt;100,"NM",IF(((CW301/CU301-1)*100)&lt;-50,"NM",(CW301/CU301-1)*100)))</f>
        <v>NM</v>
      </c>
      <c r="CY301" s="95">
        <v>1.9</v>
      </c>
      <c r="CZ301" s="79">
        <f>IF(ISERROR((CY301/CW301-1)*100),"NA",IF(((CY301/CW301-1)*100)&gt;100,"NM",IF(((CY301/CW301-1)*100)&lt;-50,"NM",(CY301/CW301-1)*100)))</f>
        <v>-17.391304347826086</v>
      </c>
      <c r="DA301" s="95">
        <v>0.8</v>
      </c>
      <c r="DB301" s="79" t="str">
        <f>IF(ISERROR((DA301/CY301-1)*100),"NA",IF(((DA301/CY301-1)*100)&gt;100,"NM",IF(((DA301/CY301-1)*100)&lt;-50,"NM",(DA301/CY301-1)*100)))</f>
        <v>NM</v>
      </c>
      <c r="DC301" s="95">
        <v>0</v>
      </c>
      <c r="DD301" s="79" t="str">
        <f>IF(ISERROR((DC301/DA301-1)*100),"NA",IF(((DC301/DA301-1)*100)&gt;100,"NM",IF(((DC301/DA301-1)*100)&lt;-50,"NM",(DC301/DA301-1)*100)))</f>
        <v>NM</v>
      </c>
      <c r="DE301" s="95">
        <v>0</v>
      </c>
      <c r="DF301" s="79" t="str">
        <f>IF(ISERROR((DE301/DC301-1)*100),"NA",IF(((DE301/DC301-1)*100)&gt;100,"NM",IF(((DE301/DC301-1)*100)&lt;-50,"NM",(DE301/DC301-1)*100)))</f>
        <v>NA</v>
      </c>
      <c r="DG301" s="95">
        <v>0</v>
      </c>
      <c r="DH301" s="79" t="str">
        <f>IF(ISERROR((DG301/DE301-1)*100),"NA",IF(((DG301/DE301-1)*100)&gt;100,"NM",IF(((DG301/DE301-1)*100)&lt;-50,"NM",(DG301/DE301-1)*100)))</f>
        <v>NA</v>
      </c>
      <c r="DI301" s="95">
        <v>0</v>
      </c>
      <c r="DJ301" s="79" t="str">
        <f>IF(ISERROR((DI301/DG301-1)*100),"NA",IF(((DI301/DG301-1)*100)&gt;100,"NM",IF(((DI301/DG301-1)*100)&lt;-50,"NM",(DI301/DG301-1)*100)))</f>
        <v>NA</v>
      </c>
      <c r="DK301" s="95">
        <v>0</v>
      </c>
      <c r="DL301" s="79" t="str">
        <f>IF(ISERROR((DK301/DI301-1)*100),"NA",IF(((DK301/DI301-1)*100)&gt;100,"NM",IF(((DK301/DI301-1)*100)&lt;-50,"NM",(DK301/DI301-1)*100)))</f>
        <v>NA</v>
      </c>
      <c r="DM301" s="95">
        <v>0</v>
      </c>
      <c r="DN301" s="79" t="str">
        <f>IF(ISERROR((DM301/DK301-1)*100),"NA",IF(((DM301/DK301-1)*100)&gt;100,"NM",IF(((DM301/DK301-1)*100)&lt;-50,"NM",(DM301/DK301-1)*100)))</f>
        <v>NA</v>
      </c>
      <c r="DO301" s="95">
        <v>0</v>
      </c>
      <c r="DP301" s="79" t="str">
        <f>IF(ISERROR((DO301/DM301-1)*100),"NA",IF(((DO301/DM301-1)*100)&gt;100,"NM",IF(((DO301/DM301-1)*100)&lt;-50,"NM",(DO301/DM301-1)*100)))</f>
        <v>NA</v>
      </c>
      <c r="DQ301" s="95">
        <v>0</v>
      </c>
      <c r="DR301" s="79" t="str">
        <f>IF(ISERROR((DQ301/DO301-1)*100),"NA",IF(((DQ301/DO301-1)*100)&gt;100,"NM",IF(((DQ301/DO301-1)*100)&lt;-50,"NM",(DQ301/DO301-1)*100)))</f>
        <v>NA</v>
      </c>
      <c r="DS301" s="95">
        <v>0</v>
      </c>
      <c r="DT301" s="79" t="str">
        <f>IF(ISERROR((DS301/DQ301-1)*100),"NA",IF(((DS301/DQ301-1)*100)&gt;100,"NM",IF(((DS301/DQ301-1)*100)&lt;-50,"NM",(DS301/DQ301-1)*100)))</f>
        <v>NA</v>
      </c>
      <c r="DU301" s="95">
        <v>0</v>
      </c>
      <c r="DV301" s="79" t="str">
        <f>IF(ISERROR((DU301/DS301-1)*100),"NA",IF(((DU301/DS301-1)*100)&gt;100,"NM",IF(((DU301/DS301-1)*100)&lt;-50,"NM",(DU301/DS301-1)*100)))</f>
        <v>NA</v>
      </c>
      <c r="DW301" s="95">
        <v>0</v>
      </c>
      <c r="DX301" s="79" t="str">
        <f>IF(ISERROR((DW301/DU301-1)*100),"NA",IF(((DW301/DU301-1)*100)&gt;100,"NM",IF(((DW301/DU301-1)*100)&lt;-50,"NM",(DW301/DU301-1)*100)))</f>
        <v>NA</v>
      </c>
      <c r="DY301" s="95">
        <v>0</v>
      </c>
      <c r="DZ301" s="79" t="str">
        <f>IF(ISERROR((DY301/DW301-1)*100),"NA",IF(((DY301/DW301-1)*100)&gt;100,"NM",IF(((DY301/DW301-1)*100)&lt;-50,"NM",(DY301/DW301-1)*100)))</f>
        <v>NA</v>
      </c>
      <c r="EA301" s="95">
        <f>DY301</f>
        <v>0</v>
      </c>
      <c r="EB301" s="79" t="str">
        <f>IF(ISERROR((EA301/DY301-1)*100),"NA",IF(((EA301/DY301-1)*100)&gt;100,"NM",IF(((EA301/DY301-1)*100)&lt;-50,"NM",(EA301/DY301-1)*100)))</f>
        <v>NA</v>
      </c>
      <c r="EC301" s="95">
        <v>0</v>
      </c>
      <c r="ED301" s="79" t="str">
        <f t="shared" ref="ED301:ED302" si="1060">IF(ISERROR((EC301/EA301-1)*100),"NA",IF(((EC301/EA301-1)*100)&gt;100,"NM",IF(((EC301/EA301-1)*100)&lt;-50,"NM",(EC301/EA301-1)*100)))</f>
        <v>NA</v>
      </c>
      <c r="EE301" s="95">
        <v>0</v>
      </c>
      <c r="EF301" s="79" t="str">
        <f t="shared" ref="EF301:EF302" si="1061">IF(ISERROR((EE301/EC301-1)*100),"NA",IF(((EE301/EC301-1)*100)&gt;100,"NM",IF(((EE301/EC301-1)*100)&lt;-50,"NM",(EE301/EC301-1)*100)))</f>
        <v>NA</v>
      </c>
      <c r="EG301" s="95">
        <v>0</v>
      </c>
      <c r="EH301" s="79" t="str">
        <f t="shared" ref="EH301:EH302" si="1062">IF(ISERROR((EG301/EE301-1)*100),"NA",IF(((EG301/EE301-1)*100)&gt;100,"NM",IF(((EG301/EE301-1)*100)&lt;-50,"NM",(EG301/EE301-1)*100)))</f>
        <v>NA</v>
      </c>
      <c r="EI301" s="95">
        <v>0</v>
      </c>
      <c r="EJ301" s="79" t="str">
        <f t="shared" ref="EJ301:EJ302" si="1063">IF(ISERROR((EI301/EG301-1)*100),"NA",IF(((EI301/EG301-1)*100)&gt;100,"NM",IF(((EI301/EG301-1)*100)&lt;-50,"NM",(EI301/EG301-1)*100)))</f>
        <v>NA</v>
      </c>
      <c r="EK301" s="95">
        <f t="shared" ref="EK301" si="1064">EI301</f>
        <v>0</v>
      </c>
      <c r="EL301" s="79" t="str">
        <f t="shared" ref="EL301:EL302" si="1065">IF(ISERROR((EK301/EI301-1)*100),"NA",IF(((EK301/EI301-1)*100)&gt;100,"NM",IF(((EK301/EI301-1)*100)&lt;-50,"NM",(EK301/EI301-1)*100)))</f>
        <v>NA</v>
      </c>
      <c r="EM301" s="95">
        <f t="shared" ref="EM301" si="1066">EK301</f>
        <v>0</v>
      </c>
      <c r="EN301" s="79" t="str">
        <f t="shared" ref="EN301:EN302" si="1067">IF(ISERROR((EM301/EK301-1)*100),"NA",IF(((EM301/EK301-1)*100)&gt;100,"NM",IF(((EM301/EK301-1)*100)&lt;-50,"NM",(EM301/EK301-1)*100)))</f>
        <v>NA</v>
      </c>
      <c r="EO301" s="95">
        <f t="shared" ref="EO301" si="1068">EM301</f>
        <v>0</v>
      </c>
      <c r="EP301" s="79" t="str">
        <f t="shared" ref="EP301:EP302" si="1069">IF(ISERROR((EO301/EM301-1)*100),"NA",IF(((EO301/EM301-1)*100)&gt;100,"NM",IF(((EO301/EM301-1)*100)&lt;-50,"NM",(EO301/EM301-1)*100)))</f>
        <v>NA</v>
      </c>
      <c r="EQ301" s="95">
        <f t="shared" ref="EQ301" si="1070">EO301</f>
        <v>0</v>
      </c>
      <c r="ER301" s="79" t="str">
        <f t="shared" ref="ER301:ER302" si="1071">IF(ISERROR((EQ301/EO301-1)*100),"NA",IF(((EQ301/EO301-1)*100)&gt;100,"NM",IF(((EQ301/EO301-1)*100)&lt;-50,"NM",(EQ301/EO301-1)*100)))</f>
        <v>NA</v>
      </c>
      <c r="ES301" s="129"/>
      <c r="ET301" s="469"/>
      <c r="EU301" s="129"/>
      <c r="EV301" s="75"/>
      <c r="EW301" s="79"/>
      <c r="EX301" s="75"/>
      <c r="EY301" s="79"/>
      <c r="EZ301" s="75"/>
      <c r="FA301" s="79"/>
      <c r="FB301" s="75"/>
      <c r="FC301" s="79"/>
      <c r="FD301" s="35">
        <f t="shared" si="1036"/>
        <v>26.6</v>
      </c>
      <c r="FE301" s="79" t="str">
        <f t="shared" si="1037"/>
        <v>NA</v>
      </c>
      <c r="FF301" s="35">
        <f t="shared" si="1038"/>
        <v>37.9</v>
      </c>
      <c r="FG301" s="79">
        <f t="shared" si="1039"/>
        <v>42.481203007518786</v>
      </c>
      <c r="FH301" s="35">
        <f t="shared" si="1040"/>
        <v>12.6</v>
      </c>
      <c r="FI301" s="79" t="str">
        <f t="shared" si="1041"/>
        <v>NM</v>
      </c>
      <c r="FJ301" s="35">
        <f t="shared" si="1042"/>
        <v>6</v>
      </c>
      <c r="FK301" s="79" t="str">
        <f t="shared" si="1043"/>
        <v>NM</v>
      </c>
      <c r="FL301" s="78">
        <f t="shared" si="1044"/>
        <v>14.299999999999999</v>
      </c>
      <c r="FM301" s="79" t="str">
        <f t="shared" si="1045"/>
        <v>NM</v>
      </c>
      <c r="FN301" s="78">
        <f t="shared" si="1046"/>
        <v>30.300000000000008</v>
      </c>
      <c r="FO301" s="79" t="str">
        <f t="shared" si="1047"/>
        <v>NM</v>
      </c>
      <c r="FP301" s="78">
        <f t="shared" si="1048"/>
        <v>21.6</v>
      </c>
      <c r="FQ301" s="79">
        <f t="shared" si="1049"/>
        <v>-28.712871287128728</v>
      </c>
      <c r="FR301" s="95">
        <v>12.7</v>
      </c>
      <c r="FS301" s="79">
        <f t="shared" si="1050"/>
        <v>-41.203703703703709</v>
      </c>
      <c r="FT301" s="93">
        <f>BY301+CA301+CC301+CE301</f>
        <v>7.9</v>
      </c>
      <c r="FU301" s="79">
        <f t="shared" si="1051"/>
        <v>-37.795275590551171</v>
      </c>
      <c r="FV301" s="93">
        <f>CG301+CI301+CK301+CM301</f>
        <v>23.4</v>
      </c>
      <c r="FW301" s="79" t="str">
        <f t="shared" si="1052"/>
        <v>NM</v>
      </c>
      <c r="FX301" s="93">
        <f>CO301+CQ301+CS301+CU301</f>
        <v>0.39999999999999936</v>
      </c>
      <c r="FY301" s="79" t="str">
        <f t="shared" si="1053"/>
        <v>NM</v>
      </c>
      <c r="FZ301" s="93">
        <f>CW301+CY301+DA301+DC301</f>
        <v>4.9999999999999991</v>
      </c>
      <c r="GA301" s="79" t="str">
        <f t="shared" si="1054"/>
        <v>NM</v>
      </c>
      <c r="GB301" s="93">
        <f>DE301+DG301+DI301+DK301</f>
        <v>0</v>
      </c>
      <c r="GC301" s="79" t="str">
        <f t="shared" si="1054"/>
        <v>NM</v>
      </c>
      <c r="GD301" s="93">
        <f>DM301+DO301+DQ301+DS301</f>
        <v>0</v>
      </c>
      <c r="GE301" s="79" t="str">
        <f t="shared" si="1054"/>
        <v>NA</v>
      </c>
      <c r="GF301" s="93">
        <f>DU301+DW301+DY301+EA301</f>
        <v>0</v>
      </c>
      <c r="GG301" s="79" t="str">
        <f t="shared" si="1054"/>
        <v>NA</v>
      </c>
      <c r="GH301" s="93">
        <f>EC301+EE301+EG301+EI301</f>
        <v>0</v>
      </c>
      <c r="GI301" s="79" t="str">
        <f t="shared" si="1054"/>
        <v>NA</v>
      </c>
      <c r="GJ301" s="93">
        <f>EK301+EM301+EO301+EQ301</f>
        <v>0</v>
      </c>
      <c r="GK301" s="79" t="str">
        <f t="shared" si="1054"/>
        <v>NA</v>
      </c>
      <c r="GL301" s="95">
        <f>GJ301*1.04</f>
        <v>0</v>
      </c>
      <c r="GM301" s="79" t="str">
        <f t="shared" si="1054"/>
        <v>NA</v>
      </c>
      <c r="GN301" s="95">
        <f>GL301*1.04</f>
        <v>0</v>
      </c>
      <c r="GO301" s="79" t="str">
        <f t="shared" si="1054"/>
        <v>NA</v>
      </c>
      <c r="GP301" s="95">
        <f>GN301*1.04</f>
        <v>0</v>
      </c>
      <c r="GQ301" s="79" t="str">
        <f t="shared" si="1054"/>
        <v>NA</v>
      </c>
      <c r="GR301" s="95">
        <f>GP301*1.04</f>
        <v>0</v>
      </c>
      <c r="GS301" s="79" t="str">
        <f t="shared" si="1055"/>
        <v>NA</v>
      </c>
      <c r="GT301" s="79" t="str">
        <f>IF(ISERROR(((GR301/GH301)^0.2-1)*100),"NA",(IF(OR(((GR301/GH301)^0.2-1)*100&gt;99,((GR301/GH301)^0.2-1)*100&lt;-50),"NM",(((GR301/GH301)^0.2-1)*100))))</f>
        <v>NA</v>
      </c>
    </row>
    <row r="302" spans="1:286" s="83" customFormat="1" ht="12.75" customHeight="1" x14ac:dyDescent="0.2">
      <c r="A302" s="77"/>
      <c r="B302" s="83" t="s">
        <v>57</v>
      </c>
      <c r="C302" s="140"/>
      <c r="D302" s="140"/>
      <c r="E302" s="243">
        <f>SUM(E292:E301)</f>
        <v>187.2</v>
      </c>
      <c r="F302" s="140"/>
      <c r="G302" s="243">
        <f>SUM(G292:G301)</f>
        <v>177.4</v>
      </c>
      <c r="H302" s="140"/>
      <c r="I302" s="243">
        <f>SUM(I292:I301)</f>
        <v>189.69999999999996</v>
      </c>
      <c r="J302" s="140"/>
      <c r="K302" s="243">
        <f>SUM(K292:K301)</f>
        <v>112.7</v>
      </c>
      <c r="L302" s="140"/>
      <c r="M302" s="243">
        <f>SUM(M292:M301)</f>
        <v>134.10000000000002</v>
      </c>
      <c r="N302" s="79">
        <f>IF(ISERROR((M302/K302-1)*100),"NA",IF(((M302/K302-1)*100)&gt;100,"NM",IF(((M302/K302-1)*100)&lt;-50,"NM",(M302/K302-1)*100)))</f>
        <v>18.98846495119788</v>
      </c>
      <c r="O302" s="243">
        <f>SUM(O292:O301)</f>
        <v>131.20000000000002</v>
      </c>
      <c r="P302" s="79">
        <f>IF(ISERROR((O302/M302-1)*100),"NA",IF(((O302/M302-1)*100)&gt;100,"NM",IF(((O302/M302-1)*100)&lt;-50,"NM",(O302/M302-1)*100)))</f>
        <v>-2.162565249813575</v>
      </c>
      <c r="Q302" s="243">
        <f>SUM(Q292:Q301)</f>
        <v>129.30000000000001</v>
      </c>
      <c r="R302" s="79">
        <f>IF(ISERROR((Q302/O302-1)*100),"NA",IF(((Q302/O302-1)*100)&gt;100,"NM",IF(((Q302/O302-1)*100)&lt;-50,"NM",(Q302/O302-1)*100)))</f>
        <v>-1.4481707317073211</v>
      </c>
      <c r="S302" s="243">
        <f>SUM(S292:S301)</f>
        <v>136.19999999999999</v>
      </c>
      <c r="T302" s="79">
        <f>IF(ISERROR((S302/Q302-1)*100),"NA",IF(((S302/Q302-1)*100)&gt;100,"NM",IF(((S302/Q302-1)*100)&lt;-50,"NM",(S302/Q302-1)*100)))</f>
        <v>5.3364269141531251</v>
      </c>
      <c r="U302" s="243">
        <f>SUM(U292:U301)</f>
        <v>144.70000000000002</v>
      </c>
      <c r="V302" s="79">
        <f>IF(ISERROR((U302/S302-1)*100),"NA",IF(((U302/S302-1)*100)&gt;100,"NM",IF(((U302/S302-1)*100)&lt;-50,"NM",(U302/S302-1)*100)))</f>
        <v>6.2408223201174895</v>
      </c>
      <c r="W302" s="243">
        <f>SUM(W292:W301)</f>
        <v>139.79999999999998</v>
      </c>
      <c r="X302" s="79">
        <f>IF(ISERROR((W302/U302-1)*100),"NA",IF(((W302/U302-1)*100)&gt;100,"NM",IF(((W302/U302-1)*100)&lt;-50,"NM",(W302/U302-1)*100)))</f>
        <v>-3.386316516931609</v>
      </c>
      <c r="Y302" s="243">
        <f>SUM(Y292:Y301)</f>
        <v>136.6</v>
      </c>
      <c r="Z302" s="79">
        <f>IF(ISERROR((Y302/W302-1)*100),"NA",IF(((Y302/W302-1)*100)&gt;100,"NM",IF(((Y302/W302-1)*100)&lt;-50,"NM",(Y302/W302-1)*100)))</f>
        <v>-2.2889842632331847</v>
      </c>
      <c r="AA302" s="280">
        <f>SUM(AA292:AA301)</f>
        <v>140.69999999999999</v>
      </c>
      <c r="AB302" s="79">
        <f>IF(ISERROR((AA302/Y302-1)*100),"NA",IF(((AA302/Y302-1)*100)&gt;100,"NM",IF(((AA302/Y302-1)*100)&lt;-50,"NM",(AA302/Y302-1)*100)))</f>
        <v>3.0014641288433452</v>
      </c>
      <c r="AC302" s="243">
        <f>SUM(AC292:AC301)</f>
        <v>137.19999999999999</v>
      </c>
      <c r="AD302" s="79">
        <f>IF(ISERROR((AC302/AA302-1)*100),"NA",IF(((AC302/AA302-1)*100)&gt;100,"NM",IF(((AC302/AA302-1)*100)&lt;-50,"NM",(AC302/AA302-1)*100)))</f>
        <v>-2.4875621890547261</v>
      </c>
      <c r="AE302" s="243">
        <f>SUM(AE292:AE301)</f>
        <v>128.4</v>
      </c>
      <c r="AF302" s="79">
        <f>IF(ISERROR((AE302/AC302-1)*100),"NA",IF(((AE302/AC302-1)*100)&gt;100,"NM",IF(((AE302/AC302-1)*100)&lt;-50,"NM",(AE302/AC302-1)*100)))</f>
        <v>-6.4139941690961937</v>
      </c>
      <c r="AG302" s="243">
        <f>SUM(AG292:AG301)</f>
        <v>138.60000000000002</v>
      </c>
      <c r="AH302" s="79">
        <f>IF(ISERROR((AG302/AE302-1)*100),"NA",IF(((AG302/AE302-1)*100)&gt;100,"NM",IF(((AG302/AE302-1)*100)&lt;-50,"NM",(AG302/AE302-1)*100)))</f>
        <v>7.9439252336448662</v>
      </c>
      <c r="AI302" s="243">
        <f>SUM(AI292:AI301)</f>
        <v>137</v>
      </c>
      <c r="AJ302" s="79">
        <f>IF(ISERROR((AI302/AG302-1)*100),"NA",IF(((AI302/AG302-1)*100)&gt;100,"NM",IF(((AI302/AG302-1)*100)&lt;-50,"NM",(AI302/AG302-1)*100)))</f>
        <v>-1.1544011544011745</v>
      </c>
      <c r="AK302" s="243">
        <f>SUM(AK292:AK301)</f>
        <v>130.29999999999998</v>
      </c>
      <c r="AL302" s="79">
        <f>IF(ISERROR((AK302/AI302-1)*100),"NA",IF(((AK302/AI302-1)*100)&gt;100,"NM",IF(((AK302/AI302-1)*100)&lt;-50,"NM",(AK302/AI302-1)*100)))</f>
        <v>-4.8905109489051242</v>
      </c>
      <c r="AM302" s="243">
        <f>SUM(AM292:AM301)</f>
        <v>127.2</v>
      </c>
      <c r="AN302" s="79">
        <f>IF(ISERROR((AM302/AK302-1)*100),"NA",IF(((AM302/AK302-1)*100)&gt;100,"NM",IF(((AM302/AK302-1)*100)&lt;-50,"NM",(AM302/AK302-1)*100)))</f>
        <v>-2.3791250959324439</v>
      </c>
      <c r="AO302" s="243">
        <f>SUM(AO292:AO301)</f>
        <v>117.79999999999998</v>
      </c>
      <c r="AP302" s="79">
        <f>IF(ISERROR((AO302/AM302-1)*100),"NA",IF(((AO302/AM302-1)*100)&gt;100,"NM",IF(((AO302/AM302-1)*100)&lt;-50,"NM",(AO302/AM302-1)*100)))</f>
        <v>-7.3899371069182536</v>
      </c>
      <c r="AQ302" s="243">
        <f>SUM(AQ292:AQ301)</f>
        <v>89.7</v>
      </c>
      <c r="AR302" s="79">
        <f>IF(ISERROR((AQ302/AO302-1)*100),"NA",IF(((AQ302/AO302-1)*100)&gt;100,"NM",IF(((AQ302/AO302-1)*100)&lt;-50,"NM",(AQ302/AO302-1)*100)))</f>
        <v>-23.853989813242769</v>
      </c>
      <c r="AS302" s="242">
        <f>SUM(AS292:AS301)</f>
        <v>84.299999999999983</v>
      </c>
      <c r="AT302" s="146">
        <f>IF(ISERROR((AS302/AQ302-1)*100),"NA",IF(((AS302/AQ302-1)*100)&gt;100,"NM",IF(((AS302/AQ302-1)*100)&lt;-50,"NM",(AS302/AQ302-1)*100)))</f>
        <v>-6.0200668896321252</v>
      </c>
      <c r="AU302" s="242">
        <f>SUM(AU292:AU301)</f>
        <v>126.50000000000001</v>
      </c>
      <c r="AV302" s="146">
        <f>IF(ISERROR((AU302/AS302-1)*100),"NA",IF(((AU302/AS302-1)*100)&gt;100,"NM",IF(((AU302/AS302-1)*100)&lt;-50,"NM",(AU302/AS302-1)*100)))</f>
        <v>50.059311981020201</v>
      </c>
      <c r="AW302" s="242">
        <f>SUM(AW292:AW301)</f>
        <v>118</v>
      </c>
      <c r="AX302" s="146">
        <f>IF(ISERROR((AW302/AU302-1)*100),"NA",IF(((AW302/AU302-1)*100)&gt;100,"NM",IF(((AW302/AU302-1)*100)&lt;-50,"NM",(AW302/AU302-1)*100)))</f>
        <v>-6.7193675889328119</v>
      </c>
      <c r="AY302" s="242">
        <f>SUM(AY292:AY301)</f>
        <v>84.9</v>
      </c>
      <c r="AZ302" s="146">
        <f>IF(ISERROR((AY302/AW302-1)*100),"NA",IF(((AY302/AW302-1)*100)&gt;100,"NM",IF(((AY302/AW302-1)*100)&lt;-50,"NM",(AY302/AW302-1)*100)))</f>
        <v>-28.050847457627114</v>
      </c>
      <c r="BA302" s="242">
        <f>SUM(BA292:BA301)</f>
        <v>81.5</v>
      </c>
      <c r="BB302" s="146">
        <f>IF(ISERROR((BA302/AY302-1)*100),"NA",IF(((BA302/AY302-1)*100)&gt;100,"NM",IF(((BA302/AY302-1)*100)&lt;-50,"NM",(BA302/AY302-1)*100)))</f>
        <v>-4.0047114252061311</v>
      </c>
      <c r="BC302" s="242">
        <f>SUM(BC292:BC301)</f>
        <v>95.6</v>
      </c>
      <c r="BD302" s="146">
        <f>IF(ISERROR((BC302/BA302-1)*100),"NA",IF(((BC302/BA302-1)*100)&gt;100,"NM",IF(((BC302/BA302-1)*100)&lt;-50,"NM",(BC302/BA302-1)*100)))</f>
        <v>17.300613496932506</v>
      </c>
      <c r="BE302" s="242">
        <f>SUM(BE292:BE301)</f>
        <v>70.2</v>
      </c>
      <c r="BF302" s="146">
        <f>IF(ISERROR((BE302/BC302-1)*100),"NA",IF(((BE302/BC302-1)*100)&gt;100,"NM",IF(((BE302/BC302-1)*100)&lt;-50,"NM",(BE302/BC302-1)*100)))</f>
        <v>-26.56903765690376</v>
      </c>
      <c r="BG302" s="242">
        <f>SUM(BG292:BG301)</f>
        <v>71.399999999999991</v>
      </c>
      <c r="BH302" s="146">
        <f>IF(ISERROR((BG302/BE302-1)*100),"NA",IF(((BG302/BE302-1)*100)&gt;100,"NM",IF(((BG302/BE302-1)*100)&lt;-50,"NM",(BG302/BE302-1)*100)))</f>
        <v>1.7094017094017033</v>
      </c>
      <c r="BI302" s="242">
        <f>SUM(BI292:BI301)</f>
        <v>66.7</v>
      </c>
      <c r="BJ302" s="146">
        <f>IF(ISERROR((BI302/BG302-1)*100),"NA",IF(((BI302/BG302-1)*100)&gt;100,"NM",IF(((BI302/BG302-1)*100)&lt;-50,"NM",(BI302/BG302-1)*100)))</f>
        <v>-6.5826330532212758</v>
      </c>
      <c r="BK302" s="242">
        <f>SUM(BK292:BK301)</f>
        <v>65.599999999999994</v>
      </c>
      <c r="BL302" s="146">
        <f>IF(ISERROR((BK302/BI302-1)*100),"NA",IF(((BK302/BI302-1)*100)&gt;100,"NM",IF(((BK302/BI302-1)*100)&lt;-50,"NM",(BK302/BI302-1)*100)))</f>
        <v>-1.6491754122938684</v>
      </c>
      <c r="BM302" s="242">
        <f>SUM(BM292:BM301)</f>
        <v>65.000000000000014</v>
      </c>
      <c r="BN302" s="146">
        <f>IF(ISERROR((BM302/BK302-1)*100),"NA",IF(((BM302/BK302-1)*100)&gt;100,"NM",IF(((BM302/BK302-1)*100)&lt;-50,"NM",(BM302/BK302-1)*100)))</f>
        <v>-0.91463414634143092</v>
      </c>
      <c r="BO302" s="242">
        <f>SUM(BO292:BO301)</f>
        <v>57.8</v>
      </c>
      <c r="BP302" s="146">
        <f>IF(ISERROR((BO302/BM302-1)*100),"NA",IF(((BO302/BM302-1)*100)&gt;100,"NM",IF(((BO302/BM302-1)*100)&lt;-50,"NM",(BO302/BM302-1)*100)))</f>
        <v>-11.076923076923094</v>
      </c>
      <c r="BQ302" s="242">
        <f>SUM(BQ292:BQ301)</f>
        <v>62.7</v>
      </c>
      <c r="BR302" s="146">
        <f>IF(ISERROR((BQ302/BO302-1)*100),"NA",IF(((BQ302/BO302-1)*100)&gt;100,"NM",IF(((BQ302/BO302-1)*100)&lt;-50,"NM",(BQ302/BO302-1)*100)))</f>
        <v>8.477508650519038</v>
      </c>
      <c r="BS302" s="242">
        <f>SUM(BS292:BS301)</f>
        <v>70</v>
      </c>
      <c r="BT302" s="146">
        <f>IF(ISERROR((BS302/BQ302-1)*100),"NA",IF(((BS302/BQ302-1)*100)&gt;100,"NM",IF(((BS302/BQ302-1)*100)&lt;-50,"NM",(BS302/BQ302-1)*100)))</f>
        <v>11.642743221690587</v>
      </c>
      <c r="BU302" s="242">
        <f>SUM(BU292:BU301)</f>
        <v>63.5</v>
      </c>
      <c r="BV302" s="79">
        <f>IF(ISERROR((BU302/BS302-1)*100),"NA",IF(((BU302/BS302-1)*100)&gt;100,"NM",IF(((BU302/BS302-1)*100)&lt;-50,"NM",(BU302/BS302-1)*100)))</f>
        <v>-9.2857142857142865</v>
      </c>
      <c r="BW302" s="242">
        <f>SUM(BW292:BW301)</f>
        <v>67.2</v>
      </c>
      <c r="BX302" s="79">
        <f>IF(ISERROR((BW302/BU302-1)*100),"NA",IF(((BW302/BU302-1)*100)&gt;100,"NM",IF(((BW302/BU302-1)*100)&lt;-50,"NM",(BW302/BU302-1)*100)))</f>
        <v>5.8267716535433056</v>
      </c>
      <c r="BY302" s="242">
        <f>SUM(BY292:BY301)</f>
        <v>32.799999999999997</v>
      </c>
      <c r="BZ302" s="79" t="str">
        <f>IF(ISERROR((BY302/BW302-1)*100),"NA",IF(((BY302/BW302-1)*100)&gt;100,"NM",IF(((BY302/BW302-1)*100)&lt;-50,"NM",(BY302/BW302-1)*100)))</f>
        <v>NM</v>
      </c>
      <c r="CA302" s="242">
        <f>SUM(CA292:CA301)</f>
        <v>32.299999999999997</v>
      </c>
      <c r="CB302" s="79">
        <f>IF(ISERROR((CA302/BY302-1)*100),"NA",IF(((CA302/BY302-1)*100)&gt;100,"NM",IF(((CA302/BY302-1)*100)&lt;-50,"NM",(CA302/BY302-1)*100)))</f>
        <v>-1.5243902439024404</v>
      </c>
      <c r="CC302" s="242">
        <f>SUM(CC292:CC301)</f>
        <v>34.1</v>
      </c>
      <c r="CD302" s="79">
        <f>IF(ISERROR((CC302/CA302-1)*100),"NA",IF(((CC302/CA302-1)*100)&gt;100,"NM",IF(((CC302/CA302-1)*100)&lt;-50,"NM",(CC302/CA302-1)*100)))</f>
        <v>5.5727554179566763</v>
      </c>
      <c r="CE302" s="242">
        <f>SUM(CE292:CE301)</f>
        <v>37.6</v>
      </c>
      <c r="CF302" s="79">
        <f>IF(ISERROR((CE302/CC302-1)*100),"NA",IF(((CE302/CC302-1)*100)&gt;100,"NM",IF(((CE302/CC302-1)*100)&lt;-50,"NM",(CE302/CC302-1)*100)))</f>
        <v>10.263929618768319</v>
      </c>
      <c r="CG302" s="242">
        <f>SUM(CG292:CG301)</f>
        <v>37.299999999999997</v>
      </c>
      <c r="CH302" s="79">
        <f>IF(ISERROR((CG302/CE302-1)*100),"NA",IF(((CG302/CE302-1)*100)&gt;100,"NM",IF(((CG302/CE302-1)*100)&lt;-50,"NM",(CG302/CE302-1)*100)))</f>
        <v>-0.79787234042554278</v>
      </c>
      <c r="CI302" s="242">
        <f>SUM(CI292:CI301)</f>
        <v>33.4</v>
      </c>
      <c r="CJ302" s="79">
        <f>IF(ISERROR((CI302/CG302-1)*100),"NA",IF(((CI302/CG302-1)*100)&gt;100,"NM",IF(((CI302/CG302-1)*100)&lt;-50,"NM",(CI302/CG302-1)*100)))</f>
        <v>-10.45576407506702</v>
      </c>
      <c r="CK302" s="242">
        <f>SUM(CK292:CK301)</f>
        <v>36.300000000000004</v>
      </c>
      <c r="CL302" s="79">
        <f>IF(ISERROR((CK302/CI302-1)*100),"NA",IF(((CK302/CI302-1)*100)&gt;100,"NM",IF(((CK302/CI302-1)*100)&lt;-50,"NM",(CK302/CI302-1)*100)))</f>
        <v>8.6826347305389397</v>
      </c>
      <c r="CM302" s="242">
        <f>SUM(CM292:CM301)</f>
        <v>48.199999999999996</v>
      </c>
      <c r="CN302" s="79">
        <f>IF(ISERROR((CM302/CK302-1)*100),"NA",IF(((CM302/CK302-1)*100)&gt;100,"NM",IF(((CM302/CK302-1)*100)&lt;-50,"NM",(CM302/CK302-1)*100)))</f>
        <v>32.782369146005472</v>
      </c>
      <c r="CO302" s="242">
        <f>SUM(CO292:CO301)</f>
        <v>28.1</v>
      </c>
      <c r="CP302" s="79">
        <f>IF(ISERROR((CO302/CM302-1)*100),"NA",IF(((CO302/CM302-1)*100)&gt;100,"NM",IF(((CO302/CM302-1)*100)&lt;-50,"NM",(CO302/CM302-1)*100)))</f>
        <v>-41.701244813278002</v>
      </c>
      <c r="CQ302" s="242">
        <f>SUM(CQ292:CQ301)</f>
        <v>36.300000000000004</v>
      </c>
      <c r="CR302" s="79">
        <f>IF(ISERROR((CQ302/CO302-1)*100),"NA",IF(((CQ302/CO302-1)*100)&gt;100,"NM",IF(((CQ302/CO302-1)*100)&lt;-50,"NM",(CQ302/CO302-1)*100)))</f>
        <v>29.181494661921725</v>
      </c>
      <c r="CS302" s="242">
        <f>SUM(CS292:CS301)</f>
        <v>34.699999999999996</v>
      </c>
      <c r="CT302" s="79">
        <f>IF(ISERROR((CS302/CQ302-1)*100),"NA",IF(((CS302/CQ302-1)*100)&gt;100,"NM",IF(((CS302/CQ302-1)*100)&lt;-50,"NM",(CS302/CQ302-1)*100)))</f>
        <v>-4.4077134986226119</v>
      </c>
      <c r="CU302" s="242">
        <f>SUM(CU292:CU301)</f>
        <v>35.199999999999996</v>
      </c>
      <c r="CV302" s="79">
        <f>IF(ISERROR((CU302/CS302-1)*100),"NA",IF(((CU302/CS302-1)*100)&gt;100,"NM",IF(((CU302/CS302-1)*100)&lt;-50,"NM",(CU302/CS302-1)*100)))</f>
        <v>1.4409221902017322</v>
      </c>
      <c r="CW302" s="242">
        <f>SUM(CW292:CW301)</f>
        <v>37.099999999999994</v>
      </c>
      <c r="CX302" s="79">
        <f>IF(ISERROR((CW302/CU302-1)*100),"NA",IF(((CW302/CU302-1)*100)&gt;100,"NM",IF(((CW302/CU302-1)*100)&lt;-50,"NM",(CW302/CU302-1)*100)))</f>
        <v>5.3977272727272707</v>
      </c>
      <c r="CY302" s="242">
        <f>SUM(CY292:CY301)</f>
        <v>37.1</v>
      </c>
      <c r="CZ302" s="79">
        <f>IF(ISERROR((CY302/CW302-1)*100),"NA",IF(((CY302/CW302-1)*100)&gt;100,"NM",IF(((CY302/CW302-1)*100)&lt;-50,"NM",(CY302/CW302-1)*100)))</f>
        <v>2.2204460492503131E-14</v>
      </c>
      <c r="DA302" s="242">
        <f>SUM(DA292:DA301)</f>
        <v>33.6</v>
      </c>
      <c r="DB302" s="79">
        <f>IF(ISERROR((DA302/CY302-1)*100),"NA",IF(((DA302/CY302-1)*100)&gt;100,"NM",IF(((DA302/CY302-1)*100)&lt;-50,"NM",(DA302/CY302-1)*100)))</f>
        <v>-9.4339622641509422</v>
      </c>
      <c r="DC302" s="242">
        <f>SUM(DC292:DC301)</f>
        <v>39.700000000000003</v>
      </c>
      <c r="DD302" s="79">
        <f>IF(ISERROR((DC302/DA302-1)*100),"NA",IF(((DC302/DA302-1)*100)&gt;100,"NM",IF(((DC302/DA302-1)*100)&lt;-50,"NM",(DC302/DA302-1)*100)))</f>
        <v>18.154761904761905</v>
      </c>
      <c r="DE302" s="242">
        <f>SUM(DE292:DE301)</f>
        <v>35</v>
      </c>
      <c r="DF302" s="79">
        <f>IF(ISERROR((DE302/DC302-1)*100),"NA",IF(((DE302/DC302-1)*100)&gt;100,"NM",IF(((DE302/DC302-1)*100)&lt;-50,"NM",(DE302/DC302-1)*100)))</f>
        <v>-11.838790931989928</v>
      </c>
      <c r="DG302" s="242">
        <f>SUM(DG292:DG301)</f>
        <v>49.7</v>
      </c>
      <c r="DH302" s="79">
        <f>IF(ISERROR((DG302/DE302-1)*100),"NA",IF(((DG302/DE302-1)*100)&gt;100,"NM",IF(((DG302/DE302-1)*100)&lt;-50,"NM",(DG302/DE302-1)*100)))</f>
        <v>42.000000000000014</v>
      </c>
      <c r="DI302" s="242">
        <f>SUM(DI292:DI301)</f>
        <v>35.799999999999997</v>
      </c>
      <c r="DJ302" s="79">
        <f>IF(ISERROR((DI302/DG302-1)*100),"NA",IF(((DI302/DG302-1)*100)&gt;100,"NM",IF(((DI302/DG302-1)*100)&lt;-50,"NM",(DI302/DG302-1)*100)))</f>
        <v>-27.967806841046283</v>
      </c>
      <c r="DK302" s="242">
        <f>SUM(DK292:DK301)</f>
        <v>38.799999999999997</v>
      </c>
      <c r="DL302" s="79">
        <f>IF(ISERROR((DK302/DI302-1)*100),"NA",IF(((DK302/DI302-1)*100)&gt;100,"NM",IF(((DK302/DI302-1)*100)&lt;-50,"NM",(DK302/DI302-1)*100)))</f>
        <v>8.3798882681564315</v>
      </c>
      <c r="DM302" s="242">
        <f>SUM(DM292:DM301)</f>
        <v>39.299999999999997</v>
      </c>
      <c r="DN302" s="79">
        <f>IF(ISERROR((DM302/DK302-1)*100),"NA",IF(((DM302/DK302-1)*100)&gt;100,"NM",IF(((DM302/DK302-1)*100)&lt;-50,"NM",(DM302/DK302-1)*100)))</f>
        <v>1.2886597938144284</v>
      </c>
      <c r="DO302" s="242">
        <f>SUM(DO292:DO301)</f>
        <v>44.6</v>
      </c>
      <c r="DP302" s="79">
        <f>IF(ISERROR((DO302/DM302-1)*100),"NA",IF(((DO302/DM302-1)*100)&gt;100,"NM",IF(((DO302/DM302-1)*100)&lt;-50,"NM",(DO302/DM302-1)*100)))</f>
        <v>13.486005089058528</v>
      </c>
      <c r="DQ302" s="242">
        <f>SUM(DQ292:DQ301)</f>
        <v>38.1</v>
      </c>
      <c r="DR302" s="79">
        <f>IF(ISERROR((DQ302/DO302-1)*100),"NA",IF(((DQ302/DO302-1)*100)&gt;100,"NM",IF(((DQ302/DO302-1)*100)&lt;-50,"NM",(DQ302/DO302-1)*100)))</f>
        <v>-14.573991031390133</v>
      </c>
      <c r="DS302" s="242">
        <f>SUM(DS292:DS301)</f>
        <v>43.2</v>
      </c>
      <c r="DT302" s="79">
        <f>IF(ISERROR((DS302/DQ302-1)*100),"NA",IF(((DS302/DQ302-1)*100)&gt;100,"NM",IF(((DS302/DQ302-1)*100)&lt;-50,"NM",(DS302/DQ302-1)*100)))</f>
        <v>13.385826771653541</v>
      </c>
      <c r="DU302" s="242">
        <f>SUM(DU292:DU301)</f>
        <v>41</v>
      </c>
      <c r="DV302" s="79">
        <f>IF(ISERROR((DU302/DS302-1)*100),"NA",IF(((DU302/DS302-1)*100)&gt;100,"NM",IF(((DU302/DS302-1)*100)&lt;-50,"NM",(DU302/DS302-1)*100)))</f>
        <v>-5.0925925925926041</v>
      </c>
      <c r="DW302" s="242">
        <f>SUM(DW292:DW301)</f>
        <v>45.9</v>
      </c>
      <c r="DX302" s="79">
        <f>IF(ISERROR((DW302/DU302-1)*100),"NA",IF(((DW302/DU302-1)*100)&gt;100,"NM",IF(((DW302/DU302-1)*100)&lt;-50,"NM",(DW302/DU302-1)*100)))</f>
        <v>11.951219512195109</v>
      </c>
      <c r="DY302" s="242">
        <f>SUM(DY292:DY301)</f>
        <v>52</v>
      </c>
      <c r="DZ302" s="79">
        <f>IF(ISERROR((DY302/DW302-1)*100),"NA",IF(((DY302/DW302-1)*100)&gt;100,"NM",IF(((DY302/DW302-1)*100)&lt;-50,"NM",(DY302/DW302-1)*100)))</f>
        <v>13.28976034858389</v>
      </c>
      <c r="EA302" s="242">
        <f>SUM(EA292:EA301)</f>
        <v>47.5</v>
      </c>
      <c r="EB302" s="79">
        <f>IF(ISERROR((EA302/DY302-1)*100),"NA",IF(((EA302/DY302-1)*100)&gt;100,"NM",IF(((EA302/DY302-1)*100)&lt;-50,"NM",(EA302/DY302-1)*100)))</f>
        <v>-8.6538461538461569</v>
      </c>
      <c r="EC302" s="242">
        <f>SUM(EC292:EC301)</f>
        <v>63.7</v>
      </c>
      <c r="ED302" s="79">
        <f t="shared" si="1060"/>
        <v>34.105263157894747</v>
      </c>
      <c r="EE302" s="242">
        <f t="shared" ref="EE302:EG302" si="1072">SUM(EE292:EE301)</f>
        <v>43.3</v>
      </c>
      <c r="EF302" s="79">
        <f t="shared" si="1061"/>
        <v>-32.025117739403463</v>
      </c>
      <c r="EG302" s="242">
        <f t="shared" si="1072"/>
        <v>42.9</v>
      </c>
      <c r="EH302" s="79">
        <f t="shared" si="1062"/>
        <v>-0.92378752886835835</v>
      </c>
      <c r="EI302" s="242">
        <f t="shared" ref="EI302" si="1073">SUM(EI292:EI301)</f>
        <v>41.8</v>
      </c>
      <c r="EJ302" s="79">
        <f t="shared" si="1063"/>
        <v>-2.5641025641025661</v>
      </c>
      <c r="EK302" s="242">
        <f t="shared" ref="EK302:EQ302" si="1074">SUM(EK292:EK301)</f>
        <v>41.8</v>
      </c>
      <c r="EL302" s="79">
        <f t="shared" si="1065"/>
        <v>0</v>
      </c>
      <c r="EM302" s="242">
        <f t="shared" si="1074"/>
        <v>41.8</v>
      </c>
      <c r="EN302" s="79">
        <f t="shared" si="1067"/>
        <v>0</v>
      </c>
      <c r="EO302" s="242">
        <f t="shared" si="1074"/>
        <v>43.55</v>
      </c>
      <c r="EP302" s="79">
        <f t="shared" si="1069"/>
        <v>4.1866028708134051</v>
      </c>
      <c r="EQ302" s="242">
        <f t="shared" si="1074"/>
        <v>43.55</v>
      </c>
      <c r="ER302" s="79">
        <f t="shared" si="1071"/>
        <v>0</v>
      </c>
      <c r="ES302" s="139"/>
      <c r="ET302" s="482"/>
      <c r="EU302" s="139"/>
      <c r="EV302" s="242"/>
      <c r="EW302" s="281"/>
      <c r="EX302" s="242"/>
      <c r="EY302" s="146"/>
      <c r="EZ302" s="242"/>
      <c r="FA302" s="146"/>
      <c r="FB302" s="242"/>
      <c r="FC302" s="146"/>
      <c r="FD302" s="242">
        <f>SUM(FD292:FD301)</f>
        <v>530.80000000000007</v>
      </c>
      <c r="FE302" s="79" t="str">
        <f>IF(ISERROR((FD302/FB302-1)*100),"NA",IF(((FD302/FB302-1)*100)&gt;100,"NM",IF(((FD302/FB302-1)*100)&lt;-50,"NM",(FD302/FB302-1)*100)))</f>
        <v>NA</v>
      </c>
      <c r="FF302" s="242">
        <f>SUM(FF292:FF301)</f>
        <v>561.80000000000007</v>
      </c>
      <c r="FG302" s="79">
        <f>IF(ISERROR((FF302/FD302-1)*100),"NA",IF(((FF302/FD302-1)*100)&gt;100,"NM",IF(((FF302/FD302-1)*100)&lt;-50,"NM",(FF302/FD302-1)*100)))</f>
        <v>5.8402411454408387</v>
      </c>
      <c r="FH302" s="242">
        <f>SUM(FH292:FH301)</f>
        <v>541.20000000000005</v>
      </c>
      <c r="FI302" s="146">
        <f t="shared" si="1041"/>
        <v>-3.6667853328586686</v>
      </c>
      <c r="FJ302" s="242">
        <f>SUM(FJ292:FJ301)</f>
        <v>464.99999999999994</v>
      </c>
      <c r="FK302" s="146">
        <f t="shared" si="1043"/>
        <v>-14.079822616408</v>
      </c>
      <c r="FL302" s="242">
        <f>SUM(FL292:FL301)</f>
        <v>413.7</v>
      </c>
      <c r="FM302" s="146">
        <f t="shared" si="1045"/>
        <v>-11.032258064516121</v>
      </c>
      <c r="FN302" s="242">
        <f>SUM(FN292:FN301)</f>
        <v>318.7</v>
      </c>
      <c r="FO302" s="146">
        <f t="shared" si="1047"/>
        <v>-22.963500120860523</v>
      </c>
      <c r="FP302" s="242">
        <f>SUM(FP292:FP301)</f>
        <v>255.1</v>
      </c>
      <c r="FQ302" s="146">
        <f t="shared" si="1049"/>
        <v>-19.956071540633825</v>
      </c>
      <c r="FR302" s="242">
        <f>SUM(FR292:FR301)</f>
        <v>119.5</v>
      </c>
      <c r="FS302" s="146" t="str">
        <f t="shared" si="1050"/>
        <v>NM</v>
      </c>
      <c r="FT302" s="242">
        <f>SUM(FT292:FT301)</f>
        <v>136.80000000000001</v>
      </c>
      <c r="FU302" s="146">
        <f t="shared" si="1051"/>
        <v>14.476987447698765</v>
      </c>
      <c r="FV302" s="242">
        <f>SUM(FV292:FV301)</f>
        <v>155.19999999999999</v>
      </c>
      <c r="FW302" s="146">
        <f t="shared" si="1052"/>
        <v>13.450292397660801</v>
      </c>
      <c r="FX302" s="242">
        <f>SUM(FX292:FX301)</f>
        <v>134.29999999999998</v>
      </c>
      <c r="FY302" s="146">
        <f t="shared" si="1053"/>
        <v>-13.466494845360833</v>
      </c>
      <c r="FZ302" s="242">
        <f>SUM(FZ292:FZ301)</f>
        <v>147.5</v>
      </c>
      <c r="GA302" s="79">
        <f t="shared" si="1054"/>
        <v>9.8287416232315969</v>
      </c>
      <c r="GB302" s="242">
        <f>SUM(GB292:GB301)</f>
        <v>159.30000000000001</v>
      </c>
      <c r="GC302" s="79">
        <f t="shared" si="1054"/>
        <v>8.0000000000000071</v>
      </c>
      <c r="GD302" s="242">
        <f>SUM(GD292:GD301)</f>
        <v>165.2</v>
      </c>
      <c r="GE302" s="79">
        <f t="shared" si="1054"/>
        <v>3.7037037037036979</v>
      </c>
      <c r="GF302" s="242">
        <f>SUM(GF292:GF301)</f>
        <v>186.4</v>
      </c>
      <c r="GG302" s="79">
        <f t="shared" si="1054"/>
        <v>12.832929782082324</v>
      </c>
      <c r="GH302" s="242">
        <f>SUM(GH292:GH301)</f>
        <v>191.7</v>
      </c>
      <c r="GI302" s="79">
        <f t="shared" si="1054"/>
        <v>2.8433476394849722</v>
      </c>
      <c r="GJ302" s="242">
        <f>SUM(GJ292:GJ301)</f>
        <v>170.7</v>
      </c>
      <c r="GK302" s="79">
        <f t="shared" si="1054"/>
        <v>-10.954616588419409</v>
      </c>
      <c r="GL302" s="242">
        <f>SUM(GL292:GL301)</f>
        <v>174.2</v>
      </c>
      <c r="GM302" s="79">
        <f t="shared" si="1054"/>
        <v>2.0503807850029254</v>
      </c>
      <c r="GN302" s="242">
        <f>SUM(GN292:GN301)</f>
        <v>175.94199999999998</v>
      </c>
      <c r="GO302" s="79">
        <f t="shared" si="1054"/>
        <v>1.0000000000000009</v>
      </c>
      <c r="GP302" s="242">
        <f>SUM(GP292:GP301)</f>
        <v>177.70141999999998</v>
      </c>
      <c r="GQ302" s="79">
        <f t="shared" si="1054"/>
        <v>1.0000000000000009</v>
      </c>
      <c r="GR302" s="242">
        <f>SUM(GR292:GR301)</f>
        <v>179.47843419999998</v>
      </c>
      <c r="GS302" s="79">
        <f t="shared" si="1055"/>
        <v>1.0000000000000009</v>
      </c>
      <c r="GT302" s="146">
        <f>IF(ISERROR(((GR302/GH302)^0.2-1)*100),"NA",(IF(OR(((GR302/GH302)^0.2-1)*100&gt;99,((GR302/GH302)^0.2-1)*100&lt;-50),"NM",(((GR302/GH302)^0.2-1)*100))))</f>
        <v>-1.3088904033967563</v>
      </c>
      <c r="GU302" s="562"/>
      <c r="GV302" s="562"/>
      <c r="GW302"/>
      <c r="GX302"/>
      <c r="GY302"/>
      <c r="GZ302"/>
      <c r="HA302"/>
      <c r="HB302"/>
      <c r="HC302" s="562"/>
      <c r="HD302" s="562"/>
      <c r="HE302" s="562"/>
      <c r="HF302" s="562"/>
      <c r="HG302" s="562"/>
      <c r="HH302" s="562"/>
      <c r="HI302" s="562"/>
      <c r="HJ302" s="562"/>
      <c r="HK302" s="562"/>
      <c r="HL302" s="562"/>
      <c r="HM302" s="562"/>
      <c r="HN302" s="562"/>
      <c r="HO302" s="562"/>
      <c r="HP302" s="562"/>
      <c r="HQ302" s="562"/>
      <c r="HR302" s="562"/>
      <c r="HS302" s="562"/>
      <c r="HT302" s="562"/>
      <c r="HU302" s="562"/>
      <c r="HV302" s="562"/>
      <c r="HW302" s="562"/>
      <c r="HX302" s="562"/>
      <c r="HY302" s="562"/>
      <c r="HZ302" s="562"/>
      <c r="IA302" s="562"/>
      <c r="IB302" s="562"/>
      <c r="IC302" s="562"/>
      <c r="ID302" s="562"/>
      <c r="IE302" s="562"/>
      <c r="IF302" s="562"/>
      <c r="IG302" s="562"/>
      <c r="IH302" s="562"/>
      <c r="II302" s="562"/>
      <c r="IJ302" s="562"/>
      <c r="IK302" s="562"/>
      <c r="IL302" s="562"/>
      <c r="IM302" s="562"/>
      <c r="IN302" s="562"/>
      <c r="IO302" s="562"/>
      <c r="IP302" s="562"/>
      <c r="IQ302" s="562"/>
      <c r="IR302" s="562"/>
      <c r="IS302" s="562"/>
      <c r="IT302" s="562"/>
      <c r="IU302" s="562"/>
      <c r="IV302" s="562"/>
      <c r="IW302" s="562"/>
      <c r="IX302" s="562"/>
      <c r="IY302" s="562"/>
      <c r="IZ302" s="562"/>
      <c r="JA302" s="562"/>
      <c r="JB302" s="562"/>
      <c r="JC302" s="562"/>
      <c r="JD302" s="562"/>
      <c r="JE302" s="562"/>
      <c r="JF302" s="562"/>
      <c r="JG302" s="562"/>
      <c r="JH302" s="562"/>
      <c r="JI302" s="562"/>
      <c r="JJ302" s="562"/>
      <c r="JK302" s="562"/>
      <c r="JL302" s="562"/>
      <c r="JM302" s="562"/>
      <c r="JN302" s="562"/>
      <c r="JO302" s="562"/>
      <c r="JP302" s="562"/>
      <c r="JQ302" s="562"/>
      <c r="JR302" s="562"/>
      <c r="JS302" s="562"/>
      <c r="JT302" s="562"/>
      <c r="JU302" s="562"/>
      <c r="JV302" s="562"/>
      <c r="JW302" s="562"/>
      <c r="JX302" s="562"/>
      <c r="JY302" s="562"/>
      <c r="JZ302" s="562"/>
    </row>
    <row r="303" spans="1:286" ht="12.75" customHeight="1" x14ac:dyDescent="0.2">
      <c r="A303" s="1"/>
      <c r="C303" s="79"/>
      <c r="D303" s="79"/>
      <c r="E303" s="75"/>
      <c r="F303" s="79"/>
      <c r="G303" s="75"/>
      <c r="H303" s="79"/>
      <c r="I303" s="75"/>
      <c r="J303" s="79"/>
      <c r="K303" s="75"/>
      <c r="L303" s="79"/>
      <c r="M303" s="75"/>
      <c r="N303" s="79"/>
      <c r="O303" s="75"/>
      <c r="P303" s="79"/>
      <c r="Q303" s="75"/>
      <c r="R303" s="79"/>
      <c r="S303" s="75"/>
      <c r="T303" s="79"/>
      <c r="U303" s="75"/>
      <c r="V303" s="79"/>
      <c r="W303" s="75"/>
      <c r="X303" s="79"/>
      <c r="Y303" s="75"/>
      <c r="Z303" s="79"/>
      <c r="AA303" s="267"/>
      <c r="AB303" s="79"/>
      <c r="AC303" s="75"/>
      <c r="AD303" s="79"/>
      <c r="AE303" s="75"/>
      <c r="AF303" s="79"/>
      <c r="AG303" s="75"/>
      <c r="AH303" s="79"/>
      <c r="AI303" s="75"/>
      <c r="AJ303" s="79"/>
      <c r="AK303" s="75"/>
      <c r="AL303" s="79"/>
      <c r="AM303" s="75"/>
      <c r="AN303" s="79"/>
      <c r="AO303" s="75"/>
      <c r="AP303" s="79"/>
      <c r="AQ303" s="75"/>
      <c r="AR303" s="79"/>
      <c r="AS303" s="75"/>
      <c r="AT303" s="79"/>
      <c r="AU303" s="75"/>
      <c r="AV303" s="79"/>
      <c r="AW303" s="75"/>
      <c r="AX303" s="79"/>
      <c r="AY303" s="75"/>
      <c r="AZ303" s="79"/>
      <c r="BA303" s="75"/>
      <c r="BB303" s="79"/>
      <c r="BC303" s="75"/>
      <c r="BD303" s="79"/>
      <c r="BE303" s="75"/>
      <c r="BF303" s="79"/>
      <c r="BG303" s="75"/>
      <c r="BH303" s="79"/>
      <c r="BI303" s="75"/>
      <c r="BJ303" s="79"/>
      <c r="BK303" s="75"/>
      <c r="BL303" s="79"/>
      <c r="BM303" s="75"/>
      <c r="BN303" s="79"/>
      <c r="BO303" s="75"/>
      <c r="BP303" s="79"/>
      <c r="BQ303" s="75"/>
      <c r="BR303" s="79"/>
      <c r="BS303" s="75"/>
      <c r="BT303" s="79"/>
      <c r="BU303" s="75"/>
      <c r="BV303" s="79"/>
      <c r="BW303" s="75"/>
      <c r="BX303" s="79"/>
      <c r="BY303" s="75"/>
      <c r="BZ303" s="79"/>
      <c r="CA303" s="75"/>
      <c r="CB303" s="79"/>
      <c r="CC303" s="75"/>
      <c r="CD303" s="79"/>
      <c r="CE303" s="75"/>
      <c r="CF303" s="79"/>
      <c r="CG303" s="75"/>
      <c r="CH303" s="79"/>
      <c r="CI303" s="75"/>
      <c r="CJ303" s="79"/>
      <c r="CK303" s="75"/>
      <c r="CL303" s="79"/>
      <c r="CM303" s="75"/>
      <c r="CN303" s="79"/>
      <c r="CO303" s="75"/>
      <c r="CP303" s="79"/>
      <c r="CQ303" s="75"/>
      <c r="CR303" s="79"/>
      <c r="CS303" s="75"/>
      <c r="CT303" s="79"/>
      <c r="CU303" s="75"/>
      <c r="CV303" s="79"/>
      <c r="CW303" s="75"/>
      <c r="CX303" s="79"/>
      <c r="CY303" s="75"/>
      <c r="CZ303" s="79"/>
      <c r="DA303" s="75"/>
      <c r="DB303" s="79"/>
      <c r="DC303" s="75"/>
      <c r="DD303" s="79"/>
      <c r="DE303" s="75"/>
      <c r="DF303" s="79"/>
      <c r="DG303" s="75"/>
      <c r="DH303" s="79"/>
      <c r="DI303" s="75"/>
      <c r="DJ303" s="79"/>
      <c r="DK303" s="75"/>
      <c r="DL303" s="79"/>
      <c r="DM303" s="75"/>
      <c r="DN303" s="79"/>
      <c r="DO303" s="75"/>
      <c r="DP303" s="79"/>
      <c r="DQ303" s="75"/>
      <c r="DR303" s="79"/>
      <c r="DS303" s="75"/>
      <c r="DT303" s="79"/>
      <c r="DU303" s="75"/>
      <c r="DV303" s="79"/>
      <c r="DW303" s="75"/>
      <c r="DX303" s="79"/>
      <c r="DY303" s="75"/>
      <c r="DZ303" s="79"/>
      <c r="EA303" s="75"/>
      <c r="EB303" s="79"/>
      <c r="EC303" s="75"/>
      <c r="ED303" s="79"/>
      <c r="EE303" s="75"/>
      <c r="EF303" s="79"/>
      <c r="EG303" s="75"/>
      <c r="EH303" s="79"/>
      <c r="EI303" s="75"/>
      <c r="EJ303" s="79"/>
      <c r="EK303" s="75"/>
      <c r="EL303" s="79"/>
      <c r="EM303" s="75"/>
      <c r="EN303" s="79"/>
      <c r="EO303" s="75"/>
      <c r="EP303" s="79"/>
      <c r="EQ303" s="75"/>
      <c r="ER303" s="79"/>
      <c r="ES303" s="129"/>
      <c r="ET303" s="469"/>
      <c r="EU303" s="129"/>
      <c r="EV303" s="75"/>
      <c r="EW303" s="79"/>
      <c r="EX303" s="75"/>
      <c r="EY303" s="79"/>
      <c r="EZ303" s="75"/>
      <c r="FA303" s="79"/>
      <c r="FB303" s="75"/>
      <c r="FC303" s="79"/>
      <c r="FD303" s="75"/>
      <c r="FE303" s="79"/>
      <c r="FF303" s="75"/>
      <c r="FG303" s="79"/>
      <c r="FH303" s="75"/>
      <c r="FI303" s="79"/>
      <c r="FJ303" s="75"/>
      <c r="FK303" s="79"/>
      <c r="FL303" s="75"/>
      <c r="FM303" s="79"/>
      <c r="FN303" s="75"/>
      <c r="FO303" s="79"/>
      <c r="FP303" s="75"/>
      <c r="FQ303" s="79"/>
      <c r="FR303" s="75"/>
      <c r="FS303" s="79"/>
      <c r="FT303" s="75"/>
      <c r="FU303" s="79"/>
      <c r="FV303" s="75"/>
      <c r="FW303" s="79"/>
      <c r="FX303" s="75"/>
      <c r="FY303" s="79"/>
      <c r="FZ303" s="75"/>
      <c r="GA303" s="79"/>
      <c r="GB303" s="75"/>
      <c r="GC303" s="79"/>
      <c r="GD303" s="75"/>
      <c r="GE303" s="79"/>
      <c r="GF303" s="75"/>
      <c r="GG303" s="79"/>
      <c r="GH303" s="75"/>
      <c r="GI303" s="79"/>
      <c r="GJ303" s="75"/>
      <c r="GK303" s="79"/>
      <c r="GL303" s="75"/>
      <c r="GM303" s="79"/>
      <c r="GN303" s="75"/>
      <c r="GO303" s="79"/>
      <c r="GP303" s="75"/>
      <c r="GQ303" s="79"/>
      <c r="GR303" s="75"/>
      <c r="GS303" s="79"/>
      <c r="GT303" s="79"/>
    </row>
    <row r="304" spans="1:286" ht="12.75" customHeight="1" x14ac:dyDescent="0.2">
      <c r="A304" s="1"/>
      <c r="B304" s="2" t="s">
        <v>575</v>
      </c>
      <c r="C304" s="79"/>
      <c r="D304" s="79"/>
      <c r="E304" s="75"/>
      <c r="F304" s="79"/>
      <c r="G304" s="75"/>
      <c r="H304" s="79"/>
      <c r="I304" s="75"/>
      <c r="J304" s="79"/>
      <c r="K304" s="75"/>
      <c r="L304" s="79"/>
      <c r="M304" s="75"/>
      <c r="N304" s="79"/>
      <c r="O304" s="75"/>
      <c r="P304" s="79"/>
      <c r="Q304" s="75"/>
      <c r="R304" s="79"/>
      <c r="S304" s="75"/>
      <c r="T304" s="79"/>
      <c r="U304" s="75"/>
      <c r="V304" s="79"/>
      <c r="W304" s="75"/>
      <c r="X304" s="79"/>
      <c r="Y304" s="75"/>
      <c r="Z304" s="79"/>
      <c r="AA304" s="267"/>
      <c r="AB304" s="79"/>
      <c r="AC304" s="75"/>
      <c r="AD304" s="79"/>
      <c r="AE304" s="75"/>
      <c r="AF304" s="79"/>
      <c r="AG304" s="75"/>
      <c r="AH304" s="79"/>
      <c r="AI304" s="75"/>
      <c r="AJ304" s="79"/>
      <c r="AK304" s="75"/>
      <c r="AL304" s="79"/>
      <c r="AM304" s="75"/>
      <c r="AN304" s="79"/>
      <c r="AO304" s="75"/>
      <c r="AP304" s="79"/>
      <c r="AQ304" s="75"/>
      <c r="AR304" s="79"/>
      <c r="AS304" s="75"/>
      <c r="AT304" s="79"/>
      <c r="AU304" s="75"/>
      <c r="AV304" s="79"/>
      <c r="AW304" s="75"/>
      <c r="AX304" s="79"/>
      <c r="AY304" s="75"/>
      <c r="AZ304" s="79"/>
      <c r="BA304" s="75"/>
      <c r="BB304" s="79"/>
      <c r="BC304" s="75"/>
      <c r="BD304" s="79"/>
      <c r="BE304" s="75"/>
      <c r="BF304" s="79"/>
      <c r="BG304" s="75"/>
      <c r="BH304" s="79"/>
      <c r="BI304" s="75"/>
      <c r="BJ304" s="79"/>
      <c r="BK304" s="75"/>
      <c r="BL304" s="79"/>
      <c r="BM304" s="75"/>
      <c r="BN304" s="79"/>
      <c r="BO304" s="75"/>
      <c r="BP304" s="79"/>
      <c r="BQ304" s="75"/>
      <c r="BR304" s="79"/>
      <c r="BS304" s="75"/>
      <c r="BT304" s="79"/>
      <c r="BU304" s="75"/>
      <c r="BV304" s="79"/>
      <c r="BW304" s="75"/>
      <c r="BX304" s="79"/>
      <c r="BY304" s="75"/>
      <c r="BZ304" s="79"/>
      <c r="CA304" s="75"/>
      <c r="CB304" s="79"/>
      <c r="CC304" s="75"/>
      <c r="CD304" s="79"/>
      <c r="CE304" s="75"/>
      <c r="CF304" s="79"/>
      <c r="CG304" s="75"/>
      <c r="CH304" s="79"/>
      <c r="CI304" s="75"/>
      <c r="CJ304" s="79"/>
      <c r="CK304" s="75"/>
      <c r="CL304" s="79"/>
      <c r="CM304" s="75"/>
      <c r="CN304" s="79"/>
      <c r="CO304" s="75"/>
      <c r="CP304" s="79"/>
      <c r="CQ304" s="75"/>
      <c r="CR304" s="79"/>
      <c r="CS304" s="75"/>
      <c r="CT304" s="79"/>
      <c r="CU304" s="75"/>
      <c r="CV304" s="79"/>
      <c r="CW304" s="129">
        <v>0</v>
      </c>
      <c r="CX304" s="81"/>
      <c r="CY304" s="129">
        <v>0</v>
      </c>
      <c r="CZ304" s="81"/>
      <c r="DA304" s="129">
        <v>0</v>
      </c>
      <c r="DB304" s="81"/>
      <c r="DC304" s="129">
        <v>0</v>
      </c>
      <c r="DD304" s="81"/>
      <c r="DE304" s="129">
        <v>0</v>
      </c>
      <c r="DF304" s="81"/>
      <c r="DG304" s="129">
        <v>0</v>
      </c>
      <c r="DH304" s="81"/>
      <c r="DI304" s="129">
        <v>0</v>
      </c>
      <c r="DJ304" s="81"/>
      <c r="DK304" s="129">
        <v>0</v>
      </c>
      <c r="DL304" s="81"/>
      <c r="DM304" s="129">
        <v>0</v>
      </c>
      <c r="DN304" s="81"/>
      <c r="DO304" s="129">
        <v>0</v>
      </c>
      <c r="DP304" s="81"/>
      <c r="DQ304" s="129">
        <v>0</v>
      </c>
      <c r="DR304" s="81"/>
      <c r="DS304" s="129">
        <v>0</v>
      </c>
      <c r="DT304" s="79"/>
      <c r="DU304" s="129">
        <v>0</v>
      </c>
      <c r="DV304" s="79"/>
      <c r="DW304" s="129">
        <v>0</v>
      </c>
      <c r="DX304" s="79"/>
      <c r="DY304" s="129">
        <v>0</v>
      </c>
      <c r="DZ304" s="79"/>
      <c r="EA304" s="129">
        <v>0</v>
      </c>
      <c r="EB304" s="79"/>
      <c r="EC304" s="129">
        <v>20.6</v>
      </c>
      <c r="ED304" s="79"/>
      <c r="EE304" s="129">
        <v>0</v>
      </c>
      <c r="EF304" s="79"/>
      <c r="EG304" s="129">
        <v>0</v>
      </c>
      <c r="EH304" s="79"/>
      <c r="EI304" s="129">
        <v>0</v>
      </c>
      <c r="EJ304" s="79"/>
      <c r="EK304" s="129">
        <v>0</v>
      </c>
      <c r="EL304" s="79"/>
      <c r="EM304" s="129">
        <v>0</v>
      </c>
      <c r="EN304" s="79"/>
      <c r="EO304" s="129">
        <v>0</v>
      </c>
      <c r="EP304" s="79"/>
      <c r="EQ304" s="129">
        <v>0</v>
      </c>
      <c r="ER304" s="79"/>
      <c r="ES304" s="129"/>
      <c r="ET304" s="469"/>
      <c r="EU304" s="129"/>
      <c r="EV304" s="75"/>
      <c r="EW304" s="79"/>
      <c r="EX304" s="75"/>
      <c r="EY304" s="79"/>
      <c r="EZ304" s="75"/>
      <c r="FA304" s="79"/>
      <c r="FB304" s="75"/>
      <c r="FC304" s="79"/>
      <c r="FD304" s="75"/>
      <c r="FE304" s="79"/>
      <c r="FF304" s="75"/>
      <c r="FG304" s="79"/>
      <c r="FH304" s="75"/>
      <c r="FI304" s="79"/>
      <c r="FJ304" s="75"/>
      <c r="FK304" s="79"/>
      <c r="FL304" s="75"/>
      <c r="FM304" s="79"/>
      <c r="FN304" s="75"/>
      <c r="FO304" s="79"/>
      <c r="FP304" s="75"/>
      <c r="FQ304" s="79"/>
      <c r="FR304" s="75"/>
      <c r="FS304" s="79"/>
      <c r="FT304" s="75"/>
      <c r="FU304" s="79"/>
      <c r="FV304" s="75"/>
      <c r="FW304" s="79"/>
      <c r="FX304" s="93">
        <v>0</v>
      </c>
      <c r="FY304" s="146"/>
      <c r="FZ304" s="93">
        <f>CW304+CY304+DA304+DC304</f>
        <v>0</v>
      </c>
      <c r="GA304" s="146"/>
      <c r="GB304" s="93">
        <f>DE304+DG304+DI304+DK304</f>
        <v>0</v>
      </c>
      <c r="GC304" s="146"/>
      <c r="GD304" s="93">
        <f>DM304+DO304+DQ304+DS304</f>
        <v>0</v>
      </c>
      <c r="GE304" s="79"/>
      <c r="GF304" s="93">
        <f>DU304+DW304+DY304+EA304</f>
        <v>0</v>
      </c>
      <c r="GG304" s="79"/>
      <c r="GH304" s="93">
        <f>EC304+EE304+EG304+EI304</f>
        <v>20.6</v>
      </c>
      <c r="GI304" s="79"/>
      <c r="GJ304" s="93">
        <f>EK304+EM304+EO304+EQ304</f>
        <v>0</v>
      </c>
      <c r="GK304" s="79"/>
      <c r="GL304" s="174">
        <v>0</v>
      </c>
      <c r="GM304" s="79"/>
      <c r="GN304" s="174">
        <v>0</v>
      </c>
      <c r="GO304" s="79"/>
      <c r="GP304" s="174">
        <v>0</v>
      </c>
      <c r="GQ304" s="79"/>
      <c r="GR304" s="174">
        <v>0</v>
      </c>
      <c r="GS304" s="79"/>
      <c r="GT304" s="79"/>
    </row>
    <row r="305" spans="1:286" s="83" customFormat="1" ht="12.75" customHeight="1" x14ac:dyDescent="0.2">
      <c r="A305" s="77"/>
      <c r="B305" s="83" t="s">
        <v>453</v>
      </c>
      <c r="C305" s="140"/>
      <c r="D305" s="140"/>
      <c r="E305" s="243">
        <f>E289-E302</f>
        <v>-31.099999999999966</v>
      </c>
      <c r="F305" s="140"/>
      <c r="G305" s="243">
        <f>G289-G302</f>
        <v>-21.700000000000017</v>
      </c>
      <c r="H305" s="140"/>
      <c r="I305" s="243">
        <f>I289-I302</f>
        <v>-43.599999999999966</v>
      </c>
      <c r="J305" s="140"/>
      <c r="K305" s="243">
        <f>K289-K302</f>
        <v>-28.899999999999991</v>
      </c>
      <c r="L305" s="140"/>
      <c r="M305" s="243">
        <f>M289-M302</f>
        <v>-15.500000000000014</v>
      </c>
      <c r="N305" s="79">
        <f>IF(ISERROR((M305/K305-1)*100),"NA",IF(((M305/K305-1)*100)&gt;100,"NM",IF(((M305/K305-1)*100)&lt;-50,"NM",(M305/K305-1)*100)))</f>
        <v>-46.366782006920346</v>
      </c>
      <c r="O305" s="243">
        <f>O289-O302</f>
        <v>-19.90000000000002</v>
      </c>
      <c r="P305" s="79">
        <f>IF(ISERROR((O305/M305-1)*100),"NA",IF(((O305/M305-1)*100)&gt;100,"NM",IF(((O305/M305-1)*100)&lt;-50,"NM",(O305/M305-1)*100)))</f>
        <v>28.387096774193555</v>
      </c>
      <c r="Q305" s="243">
        <f>Q289-Q302</f>
        <v>-18.500000000000014</v>
      </c>
      <c r="R305" s="79">
        <f>IF(ISERROR((Q305/O305-1)*100),"NA",IF(((Q305/O305-1)*100)&gt;100,"NM",IF(((Q305/O305-1)*100)&lt;-50,"NM",(Q305/O305-1)*100)))</f>
        <v>-7.0351758793970038</v>
      </c>
      <c r="S305" s="243">
        <f>S289-S302</f>
        <v>-36.799999999999983</v>
      </c>
      <c r="T305" s="79">
        <f>IF(ISERROR((S305/Q305-1)*100),"NA",IF(((S305/Q305-1)*100)&gt;100,"NM",IF(((S305/Q305-1)*100)&lt;-50,"NM",(S305/Q305-1)*100)))</f>
        <v>98.918918918918664</v>
      </c>
      <c r="U305" s="243">
        <f>U289-U302</f>
        <v>-38.800000000000011</v>
      </c>
      <c r="V305" s="79">
        <f>IF(ISERROR((U305/S305-1)*100),"NA",IF(((U305/S305-1)*100)&gt;100,"NM",IF(((U305/S305-1)*100)&lt;-50,"NM",(U305/S305-1)*100)))</f>
        <v>5.4347826086957429</v>
      </c>
      <c r="W305" s="243">
        <f>W289-W302</f>
        <v>-33.599999999999966</v>
      </c>
      <c r="X305" s="79">
        <f>IF(ISERROR((W305/U305-1)*100),"NA",IF(((W305/U305-1)*100)&gt;100,"NM",IF(((W305/U305-1)*100)&lt;-50,"NM",(W305/U305-1)*100)))</f>
        <v>-13.402061855670212</v>
      </c>
      <c r="Y305" s="243">
        <f>Y289-Y302</f>
        <v>-34.299999999999997</v>
      </c>
      <c r="Z305" s="79">
        <f>IF(ISERROR((Y305/W305-1)*100),"NA",IF(((Y305/W305-1)*100)&gt;100,"NM",IF(((Y305/W305-1)*100)&lt;-50,"NM",(Y305/W305-1)*100)))</f>
        <v>2.083333333333437</v>
      </c>
      <c r="AA305" s="280">
        <f>AA289-AA302</f>
        <v>-44.699999999999989</v>
      </c>
      <c r="AB305" s="79">
        <f>IF(ISERROR((AA305/Y305-1)*100),"NA",IF(((AA305/Y305-1)*100)&gt;100,"NM",IF(((AA305/Y305-1)*100)&lt;-50,"NM",(AA305/Y305-1)*100)))</f>
        <v>30.320699708454789</v>
      </c>
      <c r="AC305" s="243">
        <f>AC289-AC302</f>
        <v>-35.899999999999977</v>
      </c>
      <c r="AD305" s="79">
        <f>IF(ISERROR((AC305/AA305-1)*100),"NA",IF(((AC305/AA305-1)*100)&gt;100,"NM",IF(((AC305/AA305-1)*100)&lt;-50,"NM",(AC305/AA305-1)*100)))</f>
        <v>-19.686800894854617</v>
      </c>
      <c r="AE305" s="243">
        <f>AE289-AE302</f>
        <v>-16.099999999999994</v>
      </c>
      <c r="AF305" s="79" t="str">
        <f>IF(ISERROR((AE305/AC305-1)*100),"NA",IF(((AE305/AC305-1)*100)&gt;100,"NM",IF(((AE305/AC305-1)*100)&lt;-50,"NM",(AE305/AC305-1)*100)))</f>
        <v>NM</v>
      </c>
      <c r="AG305" s="243">
        <f>AG289-AG302</f>
        <v>-33.100000000000023</v>
      </c>
      <c r="AH305" s="79" t="str">
        <f>IF(ISERROR((AG305/AE305-1)*100),"NA",IF(((AG305/AE305-1)*100)&gt;100,"NM",IF(((AG305/AE305-1)*100)&lt;-50,"NM",(AG305/AE305-1)*100)))</f>
        <v>NM</v>
      </c>
      <c r="AI305" s="243">
        <f>AI289-AI302</f>
        <v>-23.200000000000003</v>
      </c>
      <c r="AJ305" s="79">
        <f>IF(ISERROR((AI305/AG305-1)*100),"NA",IF(((AI305/AG305-1)*100)&gt;100,"NM",IF(((AI305/AG305-1)*100)&lt;-50,"NM",(AI305/AG305-1)*100)))</f>
        <v>-29.909365558912427</v>
      </c>
      <c r="AK305" s="243">
        <f>AK289-AK302</f>
        <v>-29.899999999999977</v>
      </c>
      <c r="AL305" s="79">
        <f>IF(ISERROR((AK305/AI305-1)*100),"NA",IF(((AK305/AI305-1)*100)&gt;100,"NM",IF(((AK305/AI305-1)*100)&lt;-50,"NM",(AK305/AI305-1)*100)))</f>
        <v>28.87931034482747</v>
      </c>
      <c r="AM305" s="243">
        <f>AM289-AM302</f>
        <v>-23.700000000000003</v>
      </c>
      <c r="AN305" s="79">
        <f>IF(ISERROR((AM305/AK305-1)*100),"NA",IF(((AM305/AK305-1)*100)&gt;100,"NM",IF(((AM305/AK305-1)*100)&lt;-50,"NM",(AM305/AK305-1)*100)))</f>
        <v>-20.735785953177189</v>
      </c>
      <c r="AO305" s="243">
        <f>AO289-AO302</f>
        <v>-19.399999999999977</v>
      </c>
      <c r="AP305" s="79">
        <f>IF(ISERROR((AO305/AM305-1)*100),"NA",IF(((AO305/AM305-1)*100)&gt;100,"NM",IF(((AO305/AM305-1)*100)&lt;-50,"NM",(AO305/AM305-1)*100)))</f>
        <v>-18.143459915611913</v>
      </c>
      <c r="AQ305" s="243">
        <f>AQ289-AQ302</f>
        <v>-38.300000000000004</v>
      </c>
      <c r="AR305" s="79">
        <f>IF(ISERROR((AQ305/AO305-1)*100),"NA",IF(((AQ305/AO305-1)*100)&gt;100,"NM",IF(((AQ305/AO305-1)*100)&lt;-50,"NM",(AQ305/AO305-1)*100)))</f>
        <v>97.422680412371392</v>
      </c>
      <c r="AS305" s="242">
        <f>AS289-AS302</f>
        <v>-28.09999999999998</v>
      </c>
      <c r="AT305" s="146">
        <f>IF(ISERROR((AS305/AQ305-1)*100),"NA",IF(((AS305/AQ305-1)*100)&gt;100,"NM",IF(((AS305/AQ305-1)*100)&lt;-50,"NM",(AS305/AQ305-1)*100)))</f>
        <v>-26.631853785900837</v>
      </c>
      <c r="AU305" s="242">
        <f>AU289-AU302</f>
        <v>-27.200000000000003</v>
      </c>
      <c r="AV305" s="146">
        <f>IF(ISERROR((AU305/AS305-1)*100),"NA",IF(((AU305/AS305-1)*100)&gt;100,"NM",IF(((AU305/AS305-1)*100)&lt;-50,"NM",(AU305/AS305-1)*100)))</f>
        <v>-3.202846975088891</v>
      </c>
      <c r="AW305" s="242">
        <f>AW289-AW302</f>
        <v>-20</v>
      </c>
      <c r="AX305" s="146">
        <f>IF(ISERROR((AW305/AU305-1)*100),"NA",IF(((AW305/AU305-1)*100)&gt;100,"NM",IF(((AW305/AU305-1)*100)&lt;-50,"NM",(AW305/AU305-1)*100)))</f>
        <v>-26.470588235294123</v>
      </c>
      <c r="AY305" s="242">
        <f>AY289-AY302</f>
        <v>-31.9</v>
      </c>
      <c r="AZ305" s="146">
        <f>IF(ISERROR((AY305/AW305-1)*100),"NA",IF(((AY305/AW305-1)*100)&gt;100,"NM",IF(((AY305/AW305-1)*100)&lt;-50,"NM",(AY305/AW305-1)*100)))</f>
        <v>59.5</v>
      </c>
      <c r="BA305" s="242">
        <f>BA289-BA302</f>
        <v>-27.800000000000004</v>
      </c>
      <c r="BB305" s="146">
        <f>IF(ISERROR((BA305/AY305-1)*100),"NA",IF(((BA305/AY305-1)*100)&gt;100,"NM",IF(((BA305/AY305-1)*100)&lt;-50,"NM",(BA305/AY305-1)*100)))</f>
        <v>-12.852664576802486</v>
      </c>
      <c r="BC305" s="242">
        <f>BC289-BC302</f>
        <v>-45.600000000000009</v>
      </c>
      <c r="BD305" s="146">
        <f>IF(ISERROR((BC305/BA305-1)*100),"NA",IF(((BC305/BA305-1)*100)&gt;100,"NM",IF(((BC305/BA305-1)*100)&lt;-50,"NM",(BC305/BA305-1)*100)))</f>
        <v>64.02877697841727</v>
      </c>
      <c r="BE305" s="242">
        <f>BE289-BE302</f>
        <v>-22.200000000000003</v>
      </c>
      <c r="BF305" s="146" t="str">
        <f>IF(ISERROR((BE305/BC305-1)*100),"NA",IF(((BE305/BC305-1)*100)&gt;100,"NM",IF(((BE305/BC305-1)*100)&lt;-50,"NM",(BE305/BC305-1)*100)))</f>
        <v>NM</v>
      </c>
      <c r="BG305" s="242">
        <f>BG289-BG302</f>
        <v>-9.5999999999999943</v>
      </c>
      <c r="BH305" s="146" t="str">
        <f>IF(ISERROR((BG305/BE305-1)*100),"NA",IF(((BG305/BE305-1)*100)&gt;100,"NM",IF(((BG305/BE305-1)*100)&lt;-50,"NM",(BG305/BE305-1)*100)))</f>
        <v>NM</v>
      </c>
      <c r="BI305" s="242">
        <f>BI289-BI302</f>
        <v>0.29999999999999716</v>
      </c>
      <c r="BJ305" s="146" t="str">
        <f>IF(ISERROR((BI305/BG305-1)*100),"NA",IF(((BI305/BG305-1)*100)&gt;100,"NM",IF(((BI305/BG305-1)*100)&lt;-50,"NM",(BI305/BG305-1)*100)))</f>
        <v>NM</v>
      </c>
      <c r="BK305" s="242">
        <f>BK289-BK302</f>
        <v>-6.6999999999999957</v>
      </c>
      <c r="BL305" s="146" t="str">
        <f>IF(ISERROR((BK305/BI305-1)*100),"NA",IF(((BK305/BI305-1)*100)&gt;100,"NM",IF(((BK305/BI305-1)*100)&lt;-50,"NM",(BK305/BI305-1)*100)))</f>
        <v>NM</v>
      </c>
      <c r="BM305" s="242">
        <f>BM289-BM302</f>
        <v>-7.2000000000000171</v>
      </c>
      <c r="BN305" s="146">
        <f>IF(ISERROR((BM305/BK305-1)*100),"NA",IF(((BM305/BK305-1)*100)&gt;100,"NM",IF(((BM305/BK305-1)*100)&lt;-50,"NM",(BM305/BK305-1)*100)))</f>
        <v>7.4626865671645115</v>
      </c>
      <c r="BO305" s="242">
        <f>BO289-BO302</f>
        <v>-0.39999999999999858</v>
      </c>
      <c r="BP305" s="146" t="str">
        <f>IF(ISERROR((BO305/BM305-1)*100),"NA",IF(((BO305/BM305-1)*100)&gt;100,"NM",IF(((BO305/BM305-1)*100)&lt;-50,"NM",(BO305/BM305-1)*100)))</f>
        <v>NM</v>
      </c>
      <c r="BQ305" s="242">
        <f>BQ289-BQ302</f>
        <v>-12.900000000000006</v>
      </c>
      <c r="BR305" s="146" t="str">
        <f>IF(ISERROR((BQ305/BO305-1)*100),"NA",IF(((BQ305/BO305-1)*100)&gt;100,"NM",IF(((BQ305/BO305-1)*100)&lt;-50,"NM",(BQ305/BO305-1)*100)))</f>
        <v>NM</v>
      </c>
      <c r="BS305" s="242">
        <f>BS289-BS302</f>
        <v>-16</v>
      </c>
      <c r="BT305" s="146">
        <f>IF(ISERROR((BS305/BQ305-1)*100),"NA",IF(((BS305/BQ305-1)*100)&gt;100,"NM",IF(((BS305/BQ305-1)*100)&lt;-50,"NM",(BS305/BQ305-1)*100)))</f>
        <v>24.031007751937938</v>
      </c>
      <c r="BU305" s="242">
        <f>BU289-BU302</f>
        <v>-13.699999999999996</v>
      </c>
      <c r="BV305" s="79">
        <f>IF(ISERROR((BU305/BS305-1)*100),"NA",IF(((BU305/BS305-1)*100)&gt;100,"NM",IF(((BU305/BS305-1)*100)&lt;-50,"NM",(BU305/BS305-1)*100)))</f>
        <v>-14.375000000000027</v>
      </c>
      <c r="BW305" s="242">
        <f>BW289-BW302</f>
        <v>-16.600000000000009</v>
      </c>
      <c r="BX305" s="79">
        <f>IF(ISERROR((BW305/BU305-1)*100),"NA",IF(((BW305/BU305-1)*100)&gt;100,"NM",IF(((BW305/BU305-1)*100)&lt;-50,"NM",(BW305/BU305-1)*100)))</f>
        <v>21.167883211678927</v>
      </c>
      <c r="BY305" s="242">
        <f>BY289-BY302</f>
        <v>-9.0999999999999979</v>
      </c>
      <c r="BZ305" s="79">
        <f>IF(ISERROR((BY305/BW305-1)*100),"NA",IF(((BY305/BW305-1)*100)&gt;100,"NM",IF(((BY305/BW305-1)*100)&lt;-50,"NM",(BY305/BW305-1)*100)))</f>
        <v>-45.180722891566305</v>
      </c>
      <c r="CA305" s="242">
        <f>CA289-CA302</f>
        <v>-4.899999999999995</v>
      </c>
      <c r="CB305" s="79">
        <f>IF(ISERROR((CA305/BY305-1)*100),"NA",IF(((CA305/BY305-1)*100)&gt;100,"NM",IF(((CA305/BY305-1)*100)&lt;-50,"NM",(CA305/BY305-1)*100)))</f>
        <v>-46.153846153846203</v>
      </c>
      <c r="CC305" s="242">
        <f>CC289-CC302</f>
        <v>-9.1000000000000014</v>
      </c>
      <c r="CD305" s="79">
        <f>IF(ISERROR((CC305/CA305-1)*100),"NA",IF(((CC305/CA305-1)*100)&gt;100,"NM",IF(((CC305/CA305-1)*100)&lt;-50,"NM",(CC305/CA305-1)*100)))</f>
        <v>85.71428571428595</v>
      </c>
      <c r="CE305" s="242">
        <f>CE289-CE302</f>
        <v>-15.8</v>
      </c>
      <c r="CF305" s="79">
        <f>IF(ISERROR((CE305/CC305-1)*100),"NA",IF(((CE305/CC305-1)*100)&gt;100,"NM",IF(((CE305/CC305-1)*100)&lt;-50,"NM",(CE305/CC305-1)*100)))</f>
        <v>73.626373626373606</v>
      </c>
      <c r="CG305" s="242">
        <f>CG289-CG302</f>
        <v>-21.799999999999997</v>
      </c>
      <c r="CH305" s="79">
        <f>IF(ISERROR((CG305/CE305-1)*100),"NA",IF(((CG305/CE305-1)*100)&gt;100,"NM",IF(((CG305/CE305-1)*100)&lt;-50,"NM",(CG305/CE305-1)*100)))</f>
        <v>37.97468354430378</v>
      </c>
      <c r="CI305" s="242">
        <f>CI289-CI302</f>
        <v>-16.999999999999996</v>
      </c>
      <c r="CJ305" s="79">
        <f>IF(ISERROR((CI305/CG305-1)*100),"NA",IF(((CI305/CG305-1)*100)&gt;100,"NM",IF(((CI305/CG305-1)*100)&lt;-50,"NM",(CI305/CG305-1)*100)))</f>
        <v>-22.018348623853214</v>
      </c>
      <c r="CK305" s="242">
        <f>CK289-CK302</f>
        <v>-20.800000000000004</v>
      </c>
      <c r="CL305" s="79">
        <f>IF(ISERROR((CK305/CI305-1)*100),"NA",IF(((CK305/CI305-1)*100)&gt;100,"NM",IF(((CK305/CI305-1)*100)&lt;-50,"NM",(CK305/CI305-1)*100)))</f>
        <v>22.352941176470644</v>
      </c>
      <c r="CM305" s="242">
        <f>CM289-CM302</f>
        <v>-18.799999999999997</v>
      </c>
      <c r="CN305" s="79">
        <f>IF(ISERROR((CM305/CK305-1)*100),"NA",IF(((CM305/CK305-1)*100)&gt;100,"NM",IF(((CM305/CK305-1)*100)&lt;-50,"NM",(CM305/CK305-1)*100)))</f>
        <v>-9.6153846153846487</v>
      </c>
      <c r="CO305" s="242">
        <f>CO289-CO302</f>
        <v>-20.6</v>
      </c>
      <c r="CP305" s="79">
        <f>IF(ISERROR((CO305/CM305-1)*100),"NA",IF(((CO305/CM305-1)*100)&gt;100,"NM",IF(((CO305/CM305-1)*100)&lt;-50,"NM",(CO305/CM305-1)*100)))</f>
        <v>9.5744680851064032</v>
      </c>
      <c r="CQ305" s="242">
        <f>CQ289-CQ302</f>
        <v>-25.900000000000006</v>
      </c>
      <c r="CR305" s="79">
        <f>IF(ISERROR((CQ305/CO305-1)*100),"NA",IF(((CQ305/CO305-1)*100)&gt;100,"NM",IF(((CQ305/CO305-1)*100)&lt;-50,"NM",(CQ305/CO305-1)*100)))</f>
        <v>25.728155339805838</v>
      </c>
      <c r="CS305" s="242">
        <f>CS289-CS302</f>
        <v>-27.399999999999995</v>
      </c>
      <c r="CT305" s="79">
        <f>IF(ISERROR((CS305/CQ305-1)*100),"NA",IF(((CS305/CQ305-1)*100)&gt;100,"NM",IF(((CS305/CQ305-1)*100)&lt;-50,"NM",(CS305/CQ305-1)*100)))</f>
        <v>5.7915057915057577</v>
      </c>
      <c r="CU305" s="242">
        <f>CU289-CU302</f>
        <v>-34.599999999999994</v>
      </c>
      <c r="CV305" s="79">
        <f>IF(ISERROR((CU305/CS305-1)*100),"NA",IF(((CU305/CS305-1)*100)&gt;100,"NM",IF(((CU305/CS305-1)*100)&lt;-50,"NM",(CU305/CS305-1)*100)))</f>
        <v>26.277372262773735</v>
      </c>
      <c r="CW305" s="242">
        <f>CW289-CW302+CW304</f>
        <v>-26.199999999999996</v>
      </c>
      <c r="CX305" s="79">
        <f>IF(ISERROR((CW305/CU305-1)*100),"NA",IF(((CW305/CU305-1)*100)&gt;100,"NM",IF(((CW305/CU305-1)*100)&lt;-50,"NM",(CW305/CU305-1)*100)))</f>
        <v>-24.277456647398843</v>
      </c>
      <c r="CY305" s="242">
        <f>CY289-CY302+CY304</f>
        <v>-29.6</v>
      </c>
      <c r="CZ305" s="79">
        <f>IF(ISERROR((CY305/CW305-1)*100),"NA",IF(((CY305/CW305-1)*100)&gt;100,"NM",IF(((CY305/CW305-1)*100)&lt;-50,"NM",(CY305/CW305-1)*100)))</f>
        <v>12.977099236641255</v>
      </c>
      <c r="DA305" s="242">
        <f>DA289-DA302+DA304</f>
        <v>-25.4</v>
      </c>
      <c r="DB305" s="79">
        <f>IF(ISERROR((DA305/CY305-1)*100),"NA",IF(((DA305/CY305-1)*100)&gt;100,"NM",IF(((DA305/CY305-1)*100)&lt;-50,"NM",(DA305/CY305-1)*100)))</f>
        <v>-14.1891891891892</v>
      </c>
      <c r="DC305" s="242">
        <f>DC289-DC302+DC304</f>
        <v>-33.900000000000006</v>
      </c>
      <c r="DD305" s="79">
        <f>IF(ISERROR((DC305/DA305-1)*100),"NA",IF(((DC305/DA305-1)*100)&gt;100,"NM",IF(((DC305/DA305-1)*100)&lt;-50,"NM",(DC305/DA305-1)*100)))</f>
        <v>33.464566929133888</v>
      </c>
      <c r="DE305" s="242">
        <f>DE289-DE302+DE304</f>
        <v>-26.5</v>
      </c>
      <c r="DF305" s="79">
        <f>IF(ISERROR((DE305/DC305-1)*100),"NA",IF(((DE305/DC305-1)*100)&gt;100,"NM",IF(((DE305/DC305-1)*100)&lt;-50,"NM",(DE305/DC305-1)*100)))</f>
        <v>-21.82890855457228</v>
      </c>
      <c r="DG305" s="242">
        <f>DG289-DG302+DG304</f>
        <v>-41.6</v>
      </c>
      <c r="DH305" s="79">
        <f>IF(ISERROR((DG305/DE305-1)*100),"NA",IF(((DG305/DE305-1)*100)&gt;100,"NM",IF(((DG305/DE305-1)*100)&lt;-50,"NM",(DG305/DE305-1)*100)))</f>
        <v>56.981132075471706</v>
      </c>
      <c r="DI305" s="242">
        <f>DI289-DI302+DI304</f>
        <v>-25.099999999999994</v>
      </c>
      <c r="DJ305" s="79">
        <f>IF(ISERROR((DI305/DG305-1)*100),"NA",IF(((DI305/DG305-1)*100)&gt;100,"NM",IF(((DI305/DG305-1)*100)&lt;-50,"NM",(DI305/DG305-1)*100)))</f>
        <v>-39.663461538461554</v>
      </c>
      <c r="DK305" s="242">
        <f>DK289-DK302+DK304</f>
        <v>-25.799999999999997</v>
      </c>
      <c r="DL305" s="79">
        <f>IF(ISERROR((DK305/DI305-1)*100),"NA",IF(((DK305/DI305-1)*100)&gt;100,"NM",IF(((DK305/DI305-1)*100)&lt;-50,"NM",(DK305/DI305-1)*100)))</f>
        <v>2.788844621513964</v>
      </c>
      <c r="DM305" s="242">
        <f>DM289-DM302+DM304</f>
        <v>-32.9</v>
      </c>
      <c r="DN305" s="79">
        <f>IF(ISERROR((DM305/DK305-1)*100),"NA",IF(((DM305/DK305-1)*100)&gt;100,"NM",IF(((DM305/DK305-1)*100)&lt;-50,"NM",(DM305/DK305-1)*100)))</f>
        <v>27.519379844961243</v>
      </c>
      <c r="DO305" s="242">
        <f>DO289-DO302+DO304</f>
        <v>-36.299999999999997</v>
      </c>
      <c r="DP305" s="79">
        <f>IF(ISERROR((DO305/DM305-1)*100),"NA",IF(((DO305/DM305-1)*100)&gt;100,"NM",IF(((DO305/DM305-1)*100)&lt;-50,"NM",(DO305/DM305-1)*100)))</f>
        <v>10.334346504559267</v>
      </c>
      <c r="DQ305" s="242">
        <f>DQ289-DQ302+DQ304</f>
        <v>-29.9</v>
      </c>
      <c r="DR305" s="79">
        <f>IF(ISERROR((DQ305/DO305-1)*100),"NA",IF(((DQ305/DO305-1)*100)&gt;100,"NM",IF(((DQ305/DO305-1)*100)&lt;-50,"NM",(DQ305/DO305-1)*100)))</f>
        <v>-17.630853994490359</v>
      </c>
      <c r="DS305" s="242">
        <f>DS289-DS302+DS304</f>
        <v>-37.6</v>
      </c>
      <c r="DT305" s="79">
        <f>IF(ISERROR((DS305/DQ305-1)*100),"NA",IF(((DS305/DQ305-1)*100)&gt;100,"NM",IF(((DS305/DQ305-1)*100)&lt;-50,"NM",(DS305/DQ305-1)*100)))</f>
        <v>25.752508361204018</v>
      </c>
      <c r="DU305" s="242">
        <f>DU289-DU302+DU304</f>
        <v>-35.9</v>
      </c>
      <c r="DV305" s="79">
        <f>IF(ISERROR((DU305/DS305-1)*100),"NA",IF(((DU305/DS305-1)*100)&gt;100,"NM",IF(((DU305/DS305-1)*100)&lt;-50,"NM",(DU305/DS305-1)*100)))</f>
        <v>-4.5212765957446832</v>
      </c>
      <c r="DW305" s="242">
        <f>DW289-DW302+DW304</f>
        <v>-39.699999999999996</v>
      </c>
      <c r="DX305" s="79">
        <f>IF(ISERROR((DW305/DU305-1)*100),"NA",IF(((DW305/DU305-1)*100)&gt;100,"NM",IF(((DW305/DU305-1)*100)&lt;-50,"NM",(DW305/DU305-1)*100)))</f>
        <v>10.584958217270191</v>
      </c>
      <c r="DY305" s="242">
        <f>DY289-DY302+DY304</f>
        <v>-45.7</v>
      </c>
      <c r="DZ305" s="79">
        <f>IF(ISERROR((DY305/DW305-1)*100),"NA",IF(((DY305/DW305-1)*100)&gt;100,"NM",IF(((DY305/DW305-1)*100)&lt;-50,"NM",(DY305/DW305-1)*100)))</f>
        <v>15.113350125944613</v>
      </c>
      <c r="EA305" s="242">
        <f>EA289-EA302+EA304</f>
        <v>-41.7</v>
      </c>
      <c r="EB305" s="79">
        <f>IF(ISERROR((EA305/DY305-1)*100),"NA",IF(((EA305/DY305-1)*100)&gt;100,"NM",IF(((EA305/DY305-1)*100)&lt;-50,"NM",(EA305/DY305-1)*100)))</f>
        <v>-8.7527352297593009</v>
      </c>
      <c r="EC305" s="242">
        <f>EC289-EC302+EC304</f>
        <v>-39.800000000000004</v>
      </c>
      <c r="ED305" s="79">
        <f t="shared" ref="ED305" si="1075">IF(ISERROR((EC305/EA305-1)*100),"NA",IF(((EC305/EA305-1)*100)&gt;100,"NM",IF(((EC305/EA305-1)*100)&lt;-50,"NM",(EC305/EA305-1)*100)))</f>
        <v>-4.5563549160671402</v>
      </c>
      <c r="EE305" s="242">
        <f>EE289-EE302+EE304</f>
        <v>-37.599999999999994</v>
      </c>
      <c r="EF305" s="79">
        <f t="shared" ref="EF305" si="1076">IF(ISERROR((EE305/EC305-1)*100),"NA",IF(((EE305/EC305-1)*100)&gt;100,"NM",IF(((EE305/EC305-1)*100)&lt;-50,"NM",(EE305/EC305-1)*100)))</f>
        <v>-5.5276381909547982</v>
      </c>
      <c r="EG305" s="242">
        <f>EG289-EG302+EG304</f>
        <v>-36.199999999999996</v>
      </c>
      <c r="EH305" s="79">
        <f t="shared" ref="EH305" si="1077">IF(ISERROR((EG305/EE305-1)*100),"NA",IF(((EG305/EE305-1)*100)&gt;100,"NM",IF(((EG305/EE305-1)*100)&lt;-50,"NM",(EG305/EE305-1)*100)))</f>
        <v>-3.7234042553191404</v>
      </c>
      <c r="EI305" s="242">
        <f>EI289-EI302+EI304</f>
        <v>-33.199999999999996</v>
      </c>
      <c r="EJ305" s="79">
        <f t="shared" ref="EJ305" si="1078">IF(ISERROR((EI305/EG305-1)*100),"NA",IF(((EI305/EG305-1)*100)&gt;100,"NM",IF(((EI305/EG305-1)*100)&lt;-50,"NM",(EI305/EG305-1)*100)))</f>
        <v>-8.2872928176795586</v>
      </c>
      <c r="EK305" s="242">
        <f t="shared" ref="EK305:EQ305" si="1079">EK289-EK302+EK304</f>
        <v>-35.319999999999993</v>
      </c>
      <c r="EL305" s="79">
        <f t="shared" ref="EL305" si="1080">IF(ISERROR((EK305/EI305-1)*100),"NA",IF(((EK305/EI305-1)*100)&gt;100,"NM",IF(((EK305/EI305-1)*100)&lt;-50,"NM",(EK305/EI305-1)*100)))</f>
        <v>6.3855421686746849</v>
      </c>
      <c r="EM305" s="242">
        <f t="shared" si="1079"/>
        <v>-35.319999999999993</v>
      </c>
      <c r="EN305" s="79">
        <f t="shared" ref="EN305" si="1081">IF(ISERROR((EM305/EK305-1)*100),"NA",IF(((EM305/EK305-1)*100)&gt;100,"NM",IF(((EM305/EK305-1)*100)&lt;-50,"NM",(EM305/EK305-1)*100)))</f>
        <v>0</v>
      </c>
      <c r="EO305" s="242">
        <f t="shared" si="1079"/>
        <v>-37.069999999999993</v>
      </c>
      <c r="EP305" s="79">
        <f t="shared" ref="EP305" si="1082">IF(ISERROR((EO305/EM305-1)*100),"NA",IF(((EO305/EM305-1)*100)&gt;100,"NM",IF(((EO305/EM305-1)*100)&lt;-50,"NM",(EO305/EM305-1)*100)))</f>
        <v>4.9546998867497249</v>
      </c>
      <c r="EQ305" s="242">
        <f t="shared" si="1079"/>
        <v>-37.069999999999993</v>
      </c>
      <c r="ER305" s="79">
        <f t="shared" ref="ER305" si="1083">IF(ISERROR((EQ305/EO305-1)*100),"NA",IF(((EQ305/EO305-1)*100)&gt;100,"NM",IF(((EQ305/EO305-1)*100)&lt;-50,"NM",(EQ305/EO305-1)*100)))</f>
        <v>0</v>
      </c>
      <c r="ES305" s="139"/>
      <c r="ET305" s="482"/>
      <c r="EU305" s="139"/>
      <c r="EV305" s="242"/>
      <c r="EW305" s="281"/>
      <c r="EX305" s="242"/>
      <c r="EY305" s="146"/>
      <c r="EZ305" s="242"/>
      <c r="FA305" s="146"/>
      <c r="FB305" s="242"/>
      <c r="FC305" s="146"/>
      <c r="FD305" s="242">
        <f>FD289-FD302</f>
        <v>-90.700000000000045</v>
      </c>
      <c r="FE305" s="79" t="str">
        <f>IF(ISERROR((FD305/FB305-1)*100),"NA",IF(((FD305/FB305-1)*100)&gt;100,"NM",IF(((FD305/FB305-1)*100)&lt;-50,"NM",(FD305/FB305-1)*100)))</f>
        <v>NA</v>
      </c>
      <c r="FF305" s="242">
        <f>FF289-FF302</f>
        <v>-151.40000000000009</v>
      </c>
      <c r="FG305" s="79">
        <f>IF(ISERROR((FF305/FD305-1)*100),"NA",IF(((FF305/FD305-1)*100)&gt;100,"NM",IF(((FF305/FD305-1)*100)&lt;-50,"NM",(FF305/FD305-1)*100)))</f>
        <v>66.923925027563413</v>
      </c>
      <c r="FH305" s="242">
        <f>FH289-FH302</f>
        <v>-108.30000000000007</v>
      </c>
      <c r="FI305" s="146">
        <f>IF(ISERROR((FH305/FF305-1)*100),"NA",IF(((FH305/FF305-1)*100)&gt;100,"NM",IF(((FH305/FF305-1)*100)&lt;-50,"NM",(FH305/FF305-1)*100)))</f>
        <v>-28.467635402906211</v>
      </c>
      <c r="FJ305" s="242">
        <f>FJ289-FJ302</f>
        <v>-111.29999999999995</v>
      </c>
      <c r="FK305" s="146">
        <f>IF(ISERROR((FJ305/FH305-1)*100),"NA",IF(((FJ305/FH305-1)*100)&gt;100,"NM",IF(((FJ305/FH305-1)*100)&lt;-50,"NM",(FJ305/FH305-1)*100)))</f>
        <v>2.7700831024929595</v>
      </c>
      <c r="FL305" s="242">
        <f>FL289-FL302</f>
        <v>-107.19999999999999</v>
      </c>
      <c r="FM305" s="146">
        <f>IF(ISERROR((FL305/FJ305-1)*100),"NA",IF(((FL305/FJ305-1)*100)&gt;100,"NM",IF(((FL305/FJ305-1)*100)&lt;-50,"NM",(FL305/FJ305-1)*100)))</f>
        <v>-3.6837376460017723</v>
      </c>
      <c r="FN305" s="242">
        <f>FN289-FN302</f>
        <v>-105.20000000000005</v>
      </c>
      <c r="FO305" s="146">
        <f>IF(ISERROR((FN305/FL305-1)*100),"NA",IF(((FN305/FL305-1)*100)&gt;100,"NM",IF(((FN305/FL305-1)*100)&lt;-50,"NM",(FN305/FL305-1)*100)))</f>
        <v>-1.8656716417909891</v>
      </c>
      <c r="FP305" s="242">
        <f>FP289-FP302</f>
        <v>-13.999999999999972</v>
      </c>
      <c r="FQ305" s="146" t="str">
        <f>IF(ISERROR((FP305/FN305-1)*100),"NA",IF(((FP305/FN305-1)*100)&gt;100,"NM",IF(((FP305/FN305-1)*100)&lt;-50,"NM",(FP305/FN305-1)*100)))</f>
        <v>NM</v>
      </c>
      <c r="FR305" s="242">
        <f>FR289-FR302</f>
        <v>-48.399999999999991</v>
      </c>
      <c r="FS305" s="146" t="str">
        <f>IF(ISERROR((FR305/FP305-1)*100),"NA",IF(((FR305/FP305-1)*100)&gt;100,"NM",IF(((FR305/FP305-1)*100)&lt;-50,"NM",(FR305/FP305-1)*100)))</f>
        <v>NM</v>
      </c>
      <c r="FT305" s="242">
        <f>FT289-FT302</f>
        <v>-38.900000000000006</v>
      </c>
      <c r="FU305" s="146">
        <f>IF(ISERROR((FT305/FR305-1)*100),"NA",IF(((FT305/FR305-1)*100)&gt;100,"NM",IF(((FT305/FR305-1)*100)&lt;-50,"NM",(FT305/FR305-1)*100)))</f>
        <v>-19.628099173553693</v>
      </c>
      <c r="FV305" s="242">
        <f>FV289-FV302</f>
        <v>-78.399999999999977</v>
      </c>
      <c r="FW305" s="146" t="str">
        <f>IF(ISERROR((FV305/FT305-1)*100),"NA",IF(((FV305/FT305-1)*100)&gt;100,"NM",IF(((FV305/FT305-1)*100)&lt;-50,"NM",(FV305/FT305-1)*100)))</f>
        <v>NM</v>
      </c>
      <c r="FX305" s="242">
        <f>FX289-FX302+FX304</f>
        <v>-86.399999999999977</v>
      </c>
      <c r="FY305" s="146">
        <f>IF(ISERROR((FX305/FV305-1)*100),"NA",IF(((FX305/FV305-1)*100)&gt;100,"NM",IF(((FX305/FV305-1)*100)&lt;-50,"NM",(FX305/FV305-1)*100)))</f>
        <v>10.204081632653072</v>
      </c>
      <c r="FZ305" s="242">
        <f>FZ289-FZ302+FZ304</f>
        <v>-115.1</v>
      </c>
      <c r="GA305" s="79">
        <f>IF(ISERROR((FZ305/FX305-1)*100),"NA",IF(((FZ305/FX305-1)*100)&gt;100,"NM",IF(((FZ305/FX305-1)*100)&lt;-50,"NM",(FZ305/FX305-1)*100)))</f>
        <v>33.217592592592624</v>
      </c>
      <c r="GB305" s="242">
        <f>GB289-GB302+GB304</f>
        <v>-119.00000000000001</v>
      </c>
      <c r="GC305" s="79">
        <f>IF(ISERROR((GB305/FZ305-1)*100),"NA",IF(((GB305/FZ305-1)*100)&gt;100,"NM",IF(((GB305/FZ305-1)*100)&lt;-50,"NM",(GB305/FZ305-1)*100)))</f>
        <v>3.3883579496090555</v>
      </c>
      <c r="GD305" s="242">
        <f>GD289-GD302+GD304</f>
        <v>-136.69999999999999</v>
      </c>
      <c r="GE305" s="79">
        <f>IF(ISERROR((GD305/GB305-1)*100),"NA",IF(((GD305/GB305-1)*100)&gt;100,"NM",IF(((GD305/GB305-1)*100)&lt;-50,"NM",(GD305/GB305-1)*100)))</f>
        <v>14.873949579831901</v>
      </c>
      <c r="GF305" s="242">
        <f>GF289-GF302+GF304</f>
        <v>-163</v>
      </c>
      <c r="GG305" s="79">
        <f>IF(ISERROR((GF305/GD305-1)*100),"NA",IF(((GF305/GD305-1)*100)&gt;100,"NM",IF(((GF305/GD305-1)*100)&lt;-50,"NM",(GF305/GD305-1)*100)))</f>
        <v>19.239209948792979</v>
      </c>
      <c r="GH305" s="242">
        <f>GH289-GH302+GH304</f>
        <v>-146.79999999999998</v>
      </c>
      <c r="GI305" s="79">
        <f>IF(ISERROR((GH305/GF305-1)*100),"NA",IF(((GH305/GF305-1)*100)&gt;100,"NM",IF(((GH305/GF305-1)*100)&lt;-50,"NM",(GH305/GF305-1)*100)))</f>
        <v>-9.9386503067484746</v>
      </c>
      <c r="GJ305" s="242">
        <f>GJ289-GJ302+GJ304</f>
        <v>-144.77999999999997</v>
      </c>
      <c r="GK305" s="79">
        <f>IF(ISERROR((GJ305/GH305-1)*100),"NA",IF(((GJ305/GH305-1)*100)&gt;100,"NM",IF(((GJ305/GH305-1)*100)&lt;-50,"NM",(GJ305/GH305-1)*100)))</f>
        <v>-1.3760217983651346</v>
      </c>
      <c r="GL305" s="242">
        <f>GL289-GL302+GL304</f>
        <v>-148.27999999999997</v>
      </c>
      <c r="GM305" s="79">
        <f>IF(ISERROR((GL305/GJ305-1)*100),"NA",IF(((GL305/GJ305-1)*100)&gt;100,"NM",IF(((GL305/GJ305-1)*100)&lt;-50,"NM",(GL305/GJ305-1)*100)))</f>
        <v>2.4174609752728227</v>
      </c>
      <c r="GN305" s="242">
        <f>GN289-GN302+GN304</f>
        <v>-150.02199999999999</v>
      </c>
      <c r="GO305" s="79">
        <f>IF(ISERROR((GN305/GL305-1)*100),"NA",IF(((GN305/GL305-1)*100)&gt;100,"NM",IF(((GN305/GL305-1)*100)&lt;-50,"NM",(GN305/GL305-1)*100)))</f>
        <v>1.1748044240625921</v>
      </c>
      <c r="GP305" s="242">
        <f>GP289-GP302+GP304</f>
        <v>-151.78141999999997</v>
      </c>
      <c r="GQ305" s="79">
        <f>IF(ISERROR((GP305/GN305-1)*100),"NA",IF(((GP305/GN305-1)*100)&gt;100,"NM",IF(((GP305/GN305-1)*100)&lt;-50,"NM",(GP305/GN305-1)*100)))</f>
        <v>1.1727746597165689</v>
      </c>
      <c r="GR305" s="242">
        <f>GR289-GR302+GR304</f>
        <v>-153.55843419999997</v>
      </c>
      <c r="GS305" s="79">
        <f>IF(ISERROR((GR305/GP305-1)*100),"NA",IF(((GR305/GP305-1)*100)&gt;100,"NM",IF(((GR305/GP305-1)*100)&lt;-50,"NM",(GR305/GP305-1)*100)))</f>
        <v>1.1707718902616682</v>
      </c>
      <c r="GT305" s="146">
        <f>IF(ISERROR(((GR305/GH305)^0.2-1)*100),"NA",(IF(OR(((GR305/GH305)^0.2-1)*100&gt;99,((GR305/GH305)^0.2-1)*100&lt;-50),"NM",(((GR305/GH305)^0.2-1)*100))))</f>
        <v>0.90426514075188091</v>
      </c>
      <c r="GU305" s="562"/>
      <c r="GV305" s="562"/>
      <c r="GW305"/>
      <c r="GX305"/>
      <c r="GY305"/>
      <c r="GZ305"/>
      <c r="HA305"/>
      <c r="HB305"/>
      <c r="HC305" s="562"/>
      <c r="HD305" s="562"/>
      <c r="HE305" s="562"/>
      <c r="HF305" s="562"/>
      <c r="HG305" s="562"/>
      <c r="HH305" s="562"/>
      <c r="HI305" s="562"/>
      <c r="HJ305" s="562"/>
      <c r="HK305" s="562"/>
      <c r="HL305" s="562"/>
      <c r="HM305" s="562"/>
      <c r="HN305" s="562"/>
      <c r="HO305" s="562"/>
      <c r="HP305" s="562"/>
      <c r="HQ305" s="562"/>
      <c r="HR305" s="562"/>
      <c r="HS305" s="562"/>
      <c r="HT305" s="562"/>
      <c r="HU305" s="562"/>
      <c r="HV305" s="562"/>
      <c r="HW305" s="562"/>
      <c r="HX305" s="562"/>
      <c r="HY305" s="562"/>
      <c r="HZ305" s="562"/>
      <c r="IA305" s="562"/>
      <c r="IB305" s="562"/>
      <c r="IC305" s="562"/>
      <c r="ID305" s="562"/>
      <c r="IE305" s="562"/>
      <c r="IF305" s="562"/>
      <c r="IG305" s="562"/>
      <c r="IH305" s="562"/>
      <c r="II305" s="562"/>
      <c r="IJ305" s="562"/>
      <c r="IK305" s="562"/>
      <c r="IL305" s="562"/>
      <c r="IM305" s="562"/>
      <c r="IN305" s="562"/>
      <c r="IO305" s="562"/>
      <c r="IP305" s="562"/>
      <c r="IQ305" s="562"/>
      <c r="IR305" s="562"/>
      <c r="IS305" s="562"/>
      <c r="IT305" s="562"/>
      <c r="IU305" s="562"/>
      <c r="IV305" s="562"/>
      <c r="IW305" s="562"/>
      <c r="IX305" s="562"/>
      <c r="IY305" s="562"/>
      <c r="IZ305" s="562"/>
      <c r="JA305" s="562"/>
      <c r="JB305" s="562"/>
      <c r="JC305" s="562"/>
      <c r="JD305" s="562"/>
      <c r="JE305" s="562"/>
      <c r="JF305" s="562"/>
      <c r="JG305" s="562"/>
      <c r="JH305" s="562"/>
      <c r="JI305" s="562"/>
      <c r="JJ305" s="562"/>
      <c r="JK305" s="562"/>
      <c r="JL305" s="562"/>
      <c r="JM305" s="562"/>
      <c r="JN305" s="562"/>
      <c r="JO305" s="562"/>
      <c r="JP305" s="562"/>
      <c r="JQ305" s="562"/>
      <c r="JR305" s="562"/>
      <c r="JS305" s="562"/>
      <c r="JT305" s="562"/>
      <c r="JU305" s="562"/>
      <c r="JV305" s="562"/>
      <c r="JW305" s="562"/>
      <c r="JX305" s="562"/>
      <c r="JY305" s="562"/>
      <c r="JZ305" s="562"/>
    </row>
    <row r="306" spans="1:286" ht="12.75" customHeight="1" x14ac:dyDescent="0.2">
      <c r="A306" s="1"/>
      <c r="C306" s="79"/>
      <c r="D306" s="79"/>
      <c r="E306" s="75"/>
      <c r="F306" s="81"/>
      <c r="G306" s="75"/>
      <c r="H306" s="81"/>
      <c r="I306" s="75"/>
      <c r="J306" s="81"/>
      <c r="K306" s="75"/>
      <c r="L306" s="81"/>
      <c r="M306" s="75"/>
      <c r="N306" s="81"/>
      <c r="O306" s="75"/>
      <c r="P306" s="81"/>
      <c r="Q306" s="75"/>
      <c r="R306" s="81"/>
      <c r="S306" s="75"/>
      <c r="T306" s="81"/>
      <c r="U306" s="75"/>
      <c r="V306" s="81"/>
      <c r="W306" s="75"/>
      <c r="X306" s="81"/>
      <c r="Y306" s="75"/>
      <c r="Z306" s="81"/>
      <c r="AA306" s="267"/>
      <c r="AB306" s="81"/>
      <c r="AC306" s="75"/>
      <c r="AD306" s="81"/>
      <c r="AE306" s="75"/>
      <c r="AF306" s="81"/>
      <c r="AG306" s="75"/>
      <c r="AH306" s="81"/>
      <c r="AI306" s="75"/>
      <c r="AJ306" s="81"/>
      <c r="AK306" s="75"/>
      <c r="AL306" s="81"/>
      <c r="AM306" s="75"/>
      <c r="AN306" s="81"/>
      <c r="AO306" s="75"/>
      <c r="AP306" s="81"/>
      <c r="AQ306" s="75"/>
      <c r="AR306" s="81"/>
      <c r="AS306" s="75"/>
      <c r="AT306" s="146"/>
      <c r="AU306" s="75"/>
      <c r="AV306" s="146"/>
      <c r="AW306" s="75"/>
      <c r="AX306" s="146"/>
      <c r="AY306" s="75"/>
      <c r="AZ306" s="146"/>
      <c r="BA306" s="75"/>
      <c r="BB306" s="146"/>
      <c r="BC306" s="75"/>
      <c r="BD306" s="146"/>
      <c r="BE306" s="75"/>
      <c r="BF306" s="146"/>
      <c r="BG306" s="75"/>
      <c r="BH306" s="146"/>
      <c r="BI306" s="75"/>
      <c r="BJ306" s="146"/>
      <c r="BK306" s="75"/>
      <c r="BL306" s="146"/>
      <c r="BM306" s="75"/>
      <c r="BN306" s="146"/>
      <c r="BO306" s="75"/>
      <c r="BP306" s="146"/>
      <c r="BQ306" s="75"/>
      <c r="BR306" s="146"/>
      <c r="BS306" s="75"/>
      <c r="BT306" s="146"/>
      <c r="BU306" s="75"/>
      <c r="BV306" s="146"/>
      <c r="BW306" s="75"/>
      <c r="BX306" s="146"/>
      <c r="BY306" s="75"/>
      <c r="BZ306" s="146"/>
      <c r="CA306" s="75"/>
      <c r="CB306" s="146"/>
      <c r="CC306" s="75"/>
      <c r="CD306" s="146"/>
      <c r="CE306" s="75"/>
      <c r="CF306" s="146"/>
      <c r="CG306" s="75"/>
      <c r="CH306" s="146"/>
      <c r="CI306" s="75"/>
      <c r="CJ306" s="146"/>
      <c r="CK306" s="75"/>
      <c r="CL306" s="146"/>
      <c r="CM306" s="75"/>
      <c r="CN306" s="146"/>
      <c r="CO306" s="75"/>
      <c r="CP306" s="146"/>
      <c r="CQ306" s="75"/>
      <c r="CR306" s="146"/>
      <c r="CS306" s="75"/>
      <c r="CT306" s="146"/>
      <c r="CU306" s="75"/>
      <c r="CV306" s="146"/>
      <c r="CW306" s="75"/>
      <c r="CX306" s="146"/>
      <c r="CY306" s="75"/>
      <c r="CZ306" s="146"/>
      <c r="DA306" s="75"/>
      <c r="DB306" s="146"/>
      <c r="DC306" s="75"/>
      <c r="DD306" s="146"/>
      <c r="DE306" s="75"/>
      <c r="DF306" s="146"/>
      <c r="DG306" s="75"/>
      <c r="DH306" s="146"/>
      <c r="DI306" s="75"/>
      <c r="DJ306" s="146"/>
      <c r="DK306" s="75"/>
      <c r="DL306" s="146"/>
      <c r="DM306" s="75"/>
      <c r="DN306" s="146"/>
      <c r="DO306" s="75"/>
      <c r="DP306" s="146"/>
      <c r="DQ306" s="75"/>
      <c r="DR306" s="146"/>
      <c r="DS306" s="75"/>
      <c r="DT306" s="146"/>
      <c r="DU306" s="75"/>
      <c r="DV306" s="146"/>
      <c r="DW306" s="75"/>
      <c r="DX306" s="146"/>
      <c r="DY306" s="75"/>
      <c r="DZ306" s="146"/>
      <c r="EA306" s="75"/>
      <c r="EB306" s="146"/>
      <c r="EC306" s="75"/>
      <c r="ED306" s="146"/>
      <c r="EE306" s="75"/>
      <c r="EF306" s="146"/>
      <c r="EG306" s="75"/>
      <c r="EH306" s="146"/>
      <c r="EI306" s="75"/>
      <c r="EJ306" s="146"/>
      <c r="EK306" s="75"/>
      <c r="EL306" s="146"/>
      <c r="EM306" s="75"/>
      <c r="EN306" s="146"/>
      <c r="EO306" s="75"/>
      <c r="EP306" s="146"/>
      <c r="EQ306" s="75"/>
      <c r="ER306" s="146"/>
      <c r="ES306" s="95"/>
      <c r="ET306" s="471"/>
      <c r="EU306" s="95"/>
      <c r="EV306" s="75"/>
      <c r="EW306" s="146"/>
      <c r="EX306" s="75"/>
      <c r="EY306" s="146"/>
      <c r="EZ306" s="75"/>
      <c r="FA306" s="146"/>
      <c r="FB306" s="75"/>
      <c r="FC306" s="146"/>
      <c r="FD306" s="75"/>
      <c r="FE306" s="146"/>
      <c r="FF306" s="75"/>
      <c r="FG306" s="146"/>
      <c r="FH306" s="75"/>
      <c r="FI306" s="146"/>
      <c r="FJ306" s="75"/>
      <c r="FK306" s="146"/>
      <c r="FL306" s="75"/>
      <c r="FM306" s="146"/>
      <c r="FN306" s="75"/>
      <c r="FO306" s="146"/>
      <c r="FP306" s="75"/>
      <c r="FQ306" s="146"/>
      <c r="FR306" s="75"/>
      <c r="FS306" s="146"/>
      <c r="FT306" s="75"/>
      <c r="FU306" s="146"/>
      <c r="FV306" s="75"/>
      <c r="FW306" s="146"/>
      <c r="FX306" s="75"/>
      <c r="FY306" s="146"/>
      <c r="FZ306" s="75"/>
      <c r="GA306" s="146"/>
      <c r="GB306" s="75"/>
      <c r="GC306" s="146"/>
      <c r="GD306" s="75"/>
      <c r="GE306" s="146"/>
      <c r="GF306" s="75"/>
      <c r="GG306" s="146"/>
      <c r="GH306" s="75"/>
      <c r="GI306" s="146"/>
      <c r="GJ306" s="75"/>
      <c r="GK306" s="146"/>
      <c r="GL306" s="75"/>
      <c r="GM306" s="146"/>
      <c r="GN306" s="75"/>
      <c r="GO306" s="146"/>
      <c r="GP306" s="75"/>
      <c r="GQ306" s="146"/>
      <c r="GR306" s="75"/>
      <c r="GS306" s="146"/>
      <c r="GT306" s="146"/>
    </row>
    <row r="307" spans="1:286" ht="12.75" customHeight="1" x14ac:dyDescent="0.2">
      <c r="A307" s="1"/>
      <c r="B307" s="2" t="s">
        <v>256</v>
      </c>
      <c r="C307" s="79"/>
      <c r="D307" s="79"/>
      <c r="E307" s="75">
        <f>E332+E354</f>
        <v>0</v>
      </c>
      <c r="F307" s="79"/>
      <c r="G307" s="75">
        <f>G332+G354</f>
        <v>0</v>
      </c>
      <c r="H307" s="79"/>
      <c r="I307" s="75">
        <f>I332+I354</f>
        <v>0</v>
      </c>
      <c r="J307" s="79"/>
      <c r="K307" s="75">
        <f>K332+K354</f>
        <v>0</v>
      </c>
      <c r="L307" s="79"/>
      <c r="M307" s="75">
        <f>M332+M354</f>
        <v>0</v>
      </c>
      <c r="N307" s="79" t="str">
        <f>IF(ISERROR((M307/K307-1)*100),"NA",IF(((M307/K307-1)*100)&gt;100,"NM",IF(((M307/K307-1)*100)&lt;-50,"NM",(M307/K307-1)*100)))</f>
        <v>NA</v>
      </c>
      <c r="O307" s="75">
        <f>O332+O354</f>
        <v>0</v>
      </c>
      <c r="P307" s="79" t="str">
        <f>IF(ISERROR((O307/M307-1)*100),"NA",IF(((O307/M307-1)*100)&gt;100,"NM",IF(((O307/M307-1)*100)&lt;-50,"NM",(O307/M307-1)*100)))</f>
        <v>NA</v>
      </c>
      <c r="Q307" s="75">
        <f>Q332+Q354</f>
        <v>0</v>
      </c>
      <c r="R307" s="79" t="str">
        <f>IF(ISERROR((Q307/O307-1)*100),"NA",IF(((Q307/O307-1)*100)&gt;100,"NM",IF(((Q307/O307-1)*100)&lt;-50,"NM",(Q307/O307-1)*100)))</f>
        <v>NA</v>
      </c>
      <c r="S307" s="75">
        <f>S332+S354</f>
        <v>0</v>
      </c>
      <c r="T307" s="79" t="str">
        <f>IF(ISERROR((S307/Q307-1)*100),"NA",IF(((S307/Q307-1)*100)&gt;100,"NM",IF(((S307/Q307-1)*100)&lt;-50,"NM",(S307/Q307-1)*100)))</f>
        <v>NA</v>
      </c>
      <c r="U307" s="75">
        <f>U332+U354</f>
        <v>0</v>
      </c>
      <c r="V307" s="79" t="str">
        <f>IF(ISERROR((U307/S307-1)*100),"NA",IF(((U307/S307-1)*100)&gt;100,"NM",IF(((U307/S307-1)*100)&lt;-50,"NM",(U307/S307-1)*100)))</f>
        <v>NA</v>
      </c>
      <c r="W307" s="75">
        <f>W332+W354</f>
        <v>0</v>
      </c>
      <c r="X307" s="79" t="str">
        <f>IF(ISERROR((W307/U307-1)*100),"NA",IF(((W307/U307-1)*100)&gt;100,"NM",IF(((W307/U307-1)*100)&lt;-50,"NM",(W307/U307-1)*100)))</f>
        <v>NA</v>
      </c>
      <c r="Y307" s="75">
        <f>Y332+Y354</f>
        <v>0</v>
      </c>
      <c r="Z307" s="79" t="str">
        <f>IF(ISERROR((Y307/W307-1)*100),"NA",IF(((Y307/W307-1)*100)&gt;100,"NM",IF(((Y307/W307-1)*100)&lt;-50,"NM",(Y307/W307-1)*100)))</f>
        <v>NA</v>
      </c>
      <c r="AA307" s="267">
        <f>AA332+AA354</f>
        <v>0</v>
      </c>
      <c r="AB307" s="79" t="str">
        <f>IF(ISERROR((AA307/Y307-1)*100),"NA",IF(((AA307/Y307-1)*100)&gt;100,"NM",IF(((AA307/Y307-1)*100)&lt;-50,"NM",(AA307/Y307-1)*100)))</f>
        <v>NA</v>
      </c>
      <c r="AC307" s="75">
        <f>AC332+AC354</f>
        <v>0</v>
      </c>
      <c r="AD307" s="79" t="str">
        <f>IF(ISERROR((AC307/AA307-1)*100),"NA",IF(((AC307/AA307-1)*100)&gt;100,"NM",IF(((AC307/AA307-1)*100)&lt;-50,"NM",(AC307/AA307-1)*100)))</f>
        <v>NA</v>
      </c>
      <c r="AE307" s="75">
        <f>AE332+AE354</f>
        <v>0</v>
      </c>
      <c r="AF307" s="79" t="str">
        <f>IF(ISERROR((AE307/AC307-1)*100),"NA",IF(((AE307/AC307-1)*100)&gt;100,"NM",IF(((AE307/AC307-1)*100)&lt;-50,"NM",(AE307/AC307-1)*100)))</f>
        <v>NA</v>
      </c>
      <c r="AG307" s="75">
        <f>AG332+AG354</f>
        <v>0</v>
      </c>
      <c r="AH307" s="79" t="str">
        <f>IF(ISERROR((AG307/AE307-1)*100),"NA",IF(((AG307/AE307-1)*100)&gt;100,"NM",IF(((AG307/AE307-1)*100)&lt;-50,"NM",(AG307/AE307-1)*100)))</f>
        <v>NA</v>
      </c>
      <c r="AI307" s="75">
        <f>AI332+AI354</f>
        <v>0</v>
      </c>
      <c r="AJ307" s="79" t="str">
        <f>IF(ISERROR((AI307/AG307-1)*100),"NA",IF(((AI307/AG307-1)*100)&gt;100,"NM",IF(((AI307/AG307-1)*100)&lt;-50,"NM",(AI307/AG307-1)*100)))</f>
        <v>NA</v>
      </c>
      <c r="AK307" s="75">
        <f>AK332+AK354</f>
        <v>32</v>
      </c>
      <c r="AL307" s="79" t="str">
        <f>IF(ISERROR((AK307/AI307-1)*100),"NA",IF(((AK307/AI307-1)*100)&gt;100,"NM",IF(((AK307/AI307-1)*100)&lt;-50,"NM",(AK307/AI307-1)*100)))</f>
        <v>NA</v>
      </c>
      <c r="AM307" s="75">
        <f>AM332+AM354</f>
        <v>0</v>
      </c>
      <c r="AN307" s="79" t="str">
        <f>IF(ISERROR((AM307/AK307-1)*100),"NA",IF(((AM307/AK307-1)*100)&gt;100,"NM",IF(((AM307/AK307-1)*100)&lt;-50,"NM",(AM307/AK307-1)*100)))</f>
        <v>NM</v>
      </c>
      <c r="AO307" s="75">
        <f>AO332+AO354</f>
        <v>0</v>
      </c>
      <c r="AP307" s="79" t="str">
        <f>IF(ISERROR((AO307/AM307-1)*100),"NA",IF(((AO307/AM307-1)*100)&gt;100,"NM",IF(((AO307/AM307-1)*100)&lt;-50,"NM",(AO307/AM307-1)*100)))</f>
        <v>NA</v>
      </c>
      <c r="AQ307" s="75">
        <f>AQ332+AQ354</f>
        <v>-4.4799999999999995</v>
      </c>
      <c r="AR307" s="79" t="str">
        <f>IF(ISERROR((AQ307/AO307-1)*100),"NA",IF(((AQ307/AO307-1)*100)&gt;100,"NM",IF(((AQ307/AO307-1)*100)&lt;-50,"NM",(AQ307/AO307-1)*100)))</f>
        <v>NA</v>
      </c>
      <c r="AS307" s="75">
        <f>AS332+AS354</f>
        <v>0</v>
      </c>
      <c r="AT307" s="146" t="str">
        <f>IF(ISERROR((AS307/AQ307-1)*100),"NA",IF(((AS307/AQ307-1)*100)&gt;100,"NM",IF(((AS307/AQ307-1)*100)&lt;-50,"NM",(AS307/AQ307-1)*100)))</f>
        <v>NM</v>
      </c>
      <c r="AU307" s="75">
        <f>AU332+AU354</f>
        <v>0</v>
      </c>
      <c r="AV307" s="146" t="str">
        <f>IF(ISERROR((AU307/AS307-1)*100),"NA",IF(((AU307/AS307-1)*100)&gt;100,"NM",IF(((AU307/AS307-1)*100)&lt;-50,"NM",(AU307/AS307-1)*100)))</f>
        <v>NA</v>
      </c>
      <c r="AW307" s="75">
        <f>AW332+AW354</f>
        <v>0</v>
      </c>
      <c r="AX307" s="146" t="str">
        <f>IF(ISERROR((AW307/AU307-1)*100),"NA",IF(((AW307/AU307-1)*100)&gt;100,"NM",IF(((AW307/AU307-1)*100)&lt;-50,"NM",(AW307/AU307-1)*100)))</f>
        <v>NA</v>
      </c>
      <c r="AY307" s="75">
        <f>AY332+AY354</f>
        <v>-6</v>
      </c>
      <c r="AZ307" s="146" t="str">
        <f>IF(ISERROR((AY307/AW307-1)*100),"NA",IF(((AY307/AW307-1)*100)&gt;100,"NM",IF(((AY307/AW307-1)*100)&lt;-50,"NM",(AY307/AW307-1)*100)))</f>
        <v>NA</v>
      </c>
      <c r="BA307" s="75">
        <f>BA332+BA354</f>
        <v>0</v>
      </c>
      <c r="BB307" s="146" t="str">
        <f>IF(ISERROR((BA307/AY307-1)*100),"NA",IF(((BA307/AY307-1)*100)&gt;100,"NM",IF(((BA307/AY307-1)*100)&lt;-50,"NM",(BA307/AY307-1)*100)))</f>
        <v>NM</v>
      </c>
      <c r="BC307" s="75">
        <f>BC332+BC354</f>
        <v>0</v>
      </c>
      <c r="BD307" s="146" t="str">
        <f>IF(ISERROR((BC307/BA307-1)*100),"NA",IF(((BC307/BA307-1)*100)&gt;100,"NM",IF(((BC307/BA307-1)*100)&lt;-50,"NM",(BC307/BA307-1)*100)))</f>
        <v>NA</v>
      </c>
      <c r="BE307" s="75">
        <f>BE332+BE354</f>
        <v>0</v>
      </c>
      <c r="BF307" s="146" t="str">
        <f>IF(ISERROR((BE307/BC307-1)*100),"NA",IF(((BE307/BC307-1)*100)&gt;100,"NM",IF(((BE307/BC307-1)*100)&lt;-50,"NM",(BE307/BC307-1)*100)))</f>
        <v>NA</v>
      </c>
      <c r="BG307" s="75">
        <f>BG332+BG354</f>
        <v>0</v>
      </c>
      <c r="BH307" s="146" t="str">
        <f>IF(ISERROR((BG307/BE307-1)*100),"NA",IF(((BG307/BE307-1)*100)&gt;100,"NM",IF(((BG307/BE307-1)*100)&lt;-50,"NM",(BG307/BE307-1)*100)))</f>
        <v>NA</v>
      </c>
      <c r="BI307" s="75">
        <f>BI332+BI354</f>
        <v>0</v>
      </c>
      <c r="BJ307" s="146" t="str">
        <f>IF(ISERROR((BI307/BG307-1)*100),"NA",IF(((BI307/BG307-1)*100)&gt;100,"NM",IF(((BI307/BG307-1)*100)&lt;-50,"NM",(BI307/BG307-1)*100)))</f>
        <v>NA</v>
      </c>
      <c r="BK307" s="75">
        <f>BK332+BK354</f>
        <v>0</v>
      </c>
      <c r="BL307" s="146" t="str">
        <f>IF(ISERROR((BK307/BI307-1)*100),"NA",IF(((BK307/BI307-1)*100)&gt;100,"NM",IF(((BK307/BI307-1)*100)&lt;-50,"NM",(BK307/BI307-1)*100)))</f>
        <v>NA</v>
      </c>
      <c r="BM307" s="75">
        <f>BM332+BM354</f>
        <v>0</v>
      </c>
      <c r="BN307" s="146" t="str">
        <f>IF(ISERROR((BM307/BK307-1)*100),"NA",IF(((BM307/BK307-1)*100)&gt;100,"NM",IF(((BM307/BK307-1)*100)&lt;-50,"NM",(BM307/BK307-1)*100)))</f>
        <v>NA</v>
      </c>
      <c r="BO307" s="75">
        <f>BO332+BO354</f>
        <v>0</v>
      </c>
      <c r="BP307" s="146" t="str">
        <f>IF(ISERROR((BO307/BM307-1)*100),"NA",IF(((BO307/BM307-1)*100)&gt;100,"NM",IF(((BO307/BM307-1)*100)&lt;-50,"NM",(BO307/BM307-1)*100)))</f>
        <v>NA</v>
      </c>
      <c r="BQ307" s="75">
        <f>BQ332+BQ354</f>
        <v>0</v>
      </c>
      <c r="BR307" s="146" t="str">
        <f>IF(ISERROR((BQ307/BO307-1)*100),"NA",IF(((BQ307/BO307-1)*100)&gt;100,"NM",IF(((BQ307/BO307-1)*100)&lt;-50,"NM",(BQ307/BO307-1)*100)))</f>
        <v>NA</v>
      </c>
      <c r="BS307" s="75">
        <f>BS332+BS354</f>
        <v>0</v>
      </c>
      <c r="BT307" s="146" t="str">
        <f>IF(ISERROR((BS307/BQ307-1)*100),"NA",IF(((BS307/BQ307-1)*100)&gt;100,"NM",IF(((BS307/BQ307-1)*100)&lt;-50,"NM",(BS307/BQ307-1)*100)))</f>
        <v>NA</v>
      </c>
      <c r="BU307" s="75">
        <f>BU332+BU354</f>
        <v>0</v>
      </c>
      <c r="BV307" s="79" t="str">
        <f>IF(ISERROR((BU307/BS307-1)*100),"NA",IF(((BU307/BS307-1)*100)&gt;100,"NM",IF(((BU307/BS307-1)*100)&lt;-50,"NM",(BU307/BS307-1)*100)))</f>
        <v>NA</v>
      </c>
      <c r="BW307" s="75">
        <f>BW332+BW354</f>
        <v>0</v>
      </c>
      <c r="BX307" s="79" t="str">
        <f>IF(ISERROR((BW307/BU307-1)*100),"NA",IF(((BW307/BU307-1)*100)&gt;100,"NM",IF(((BW307/BU307-1)*100)&lt;-50,"NM",(BW307/BU307-1)*100)))</f>
        <v>NA</v>
      </c>
      <c r="BY307" s="75">
        <f>BY332+BY354</f>
        <v>0</v>
      </c>
      <c r="BZ307" s="79" t="str">
        <f>IF(ISERROR((BY307/BW307-1)*100),"NA",IF(((BY307/BW307-1)*100)&gt;100,"NM",IF(((BY307/BW307-1)*100)&lt;-50,"NM",(BY307/BW307-1)*100)))</f>
        <v>NA</v>
      </c>
      <c r="CA307" s="75">
        <f>CA332+CA354</f>
        <v>0</v>
      </c>
      <c r="CB307" s="79" t="str">
        <f>IF(ISERROR((CA307/BY307-1)*100),"NA",IF(((CA307/BY307-1)*100)&gt;100,"NM",IF(((CA307/BY307-1)*100)&lt;-50,"NM",(CA307/BY307-1)*100)))</f>
        <v>NA</v>
      </c>
      <c r="CC307" s="75">
        <f>CC332+CC354</f>
        <v>0</v>
      </c>
      <c r="CD307" s="79" t="str">
        <f>IF(ISERROR((CC307/CA307-1)*100),"NA",IF(((CC307/CA307-1)*100)&gt;100,"NM",IF(((CC307/CA307-1)*100)&lt;-50,"NM",(CC307/CA307-1)*100)))</f>
        <v>NA</v>
      </c>
      <c r="CE307" s="75">
        <f>CE332+CE354</f>
        <v>0</v>
      </c>
      <c r="CF307" s="79" t="str">
        <f>IF(ISERROR((CE307/CC307-1)*100),"NA",IF(((CE307/CC307-1)*100)&gt;100,"NM",IF(((CE307/CC307-1)*100)&lt;-50,"NM",(CE307/CC307-1)*100)))</f>
        <v>NA</v>
      </c>
      <c r="CG307" s="75"/>
      <c r="CH307" s="79" t="str">
        <f>IF(ISERROR((CG307/CE307-1)*100),"NA",IF(((CG307/CE307-1)*100)&gt;100,"NM",IF(((CG307/CE307-1)*100)&lt;-50,"NM",(CG307/CE307-1)*100)))</f>
        <v>NA</v>
      </c>
      <c r="CI307" s="75"/>
      <c r="CJ307" s="79" t="str">
        <f>IF(ISERROR((CI307/CG307-1)*100),"NA",IF(((CI307/CG307-1)*100)&gt;100,"NM",IF(((CI307/CG307-1)*100)&lt;-50,"NM",(CI307/CG307-1)*100)))</f>
        <v>NA</v>
      </c>
      <c r="CK307" s="75"/>
      <c r="CL307" s="79" t="str">
        <f>IF(ISERROR((CK307/CI307-1)*100),"NA",IF(((CK307/CI307-1)*100)&gt;100,"NM",IF(((CK307/CI307-1)*100)&lt;-50,"NM",(CK307/CI307-1)*100)))</f>
        <v>NA</v>
      </c>
      <c r="CM307" s="95"/>
      <c r="CN307" s="79" t="str">
        <f>IF(ISERROR((CM307/CK307-1)*100),"NA",IF(((CM307/CK307-1)*100)&gt;100,"NM",IF(((CM307/CK307-1)*100)&lt;-50,"NM",(CM307/CK307-1)*100)))</f>
        <v>NA</v>
      </c>
      <c r="CO307" s="95"/>
      <c r="CP307" s="79" t="str">
        <f>IF(ISERROR((CO307/CM307-1)*100),"NA",IF(((CO307/CM307-1)*100)&gt;100,"NM",IF(((CO307/CM307-1)*100)&lt;-50,"NM",(CO307/CM307-1)*100)))</f>
        <v>NA</v>
      </c>
      <c r="CQ307" s="95"/>
      <c r="CR307" s="79" t="str">
        <f>IF(ISERROR((CQ307/CO307-1)*100),"NA",IF(((CQ307/CO307-1)*100)&gt;100,"NM",IF(((CQ307/CO307-1)*100)&lt;-50,"NM",(CQ307/CO307-1)*100)))</f>
        <v>NA</v>
      </c>
      <c r="CS307" s="95"/>
      <c r="CT307" s="79" t="str">
        <f>IF(ISERROR((CS307/CQ307-1)*100),"NA",IF(((CS307/CQ307-1)*100)&gt;100,"NM",IF(((CS307/CQ307-1)*100)&lt;-50,"NM",(CS307/CQ307-1)*100)))</f>
        <v>NA</v>
      </c>
      <c r="CU307" s="95"/>
      <c r="CV307" s="79" t="str">
        <f>IF(ISERROR((CU307/CS307-1)*100),"NA",IF(((CU307/CS307-1)*100)&gt;100,"NM",IF(((CU307/CS307-1)*100)&lt;-50,"NM",(CU307/CS307-1)*100)))</f>
        <v>NA</v>
      </c>
      <c r="CW307" s="129">
        <v>0</v>
      </c>
      <c r="CX307" s="79" t="str">
        <f>IF(ISERROR((CW307/CU307-1)*100),"NA",IF(((CW307/CU307-1)*100)&gt;100,"NM",IF(((CW307/CU307-1)*100)&lt;-50,"NM",(CW307/CU307-1)*100)))</f>
        <v>NA</v>
      </c>
      <c r="CY307" s="129">
        <v>0</v>
      </c>
      <c r="CZ307" s="79" t="str">
        <f>IF(ISERROR((CY307/CW307-1)*100),"NA",IF(((CY307/CW307-1)*100)&gt;100,"NM",IF(((CY307/CW307-1)*100)&lt;-50,"NM",(CY307/CW307-1)*100)))</f>
        <v>NA</v>
      </c>
      <c r="DA307" s="129">
        <v>0</v>
      </c>
      <c r="DB307" s="79" t="str">
        <f>IF(ISERROR((DA307/CY307-1)*100),"NA",IF(((DA307/CY307-1)*100)&gt;100,"NM",IF(((DA307/CY307-1)*100)&lt;-50,"NM",(DA307/CY307-1)*100)))</f>
        <v>NA</v>
      </c>
      <c r="DC307" s="129">
        <v>0</v>
      </c>
      <c r="DD307" s="79" t="str">
        <f>IF(ISERROR((DC307/DA307-1)*100),"NA",IF(((DC307/DA307-1)*100)&gt;100,"NM",IF(((DC307/DA307-1)*100)&lt;-50,"NM",(DC307/DA307-1)*100)))</f>
        <v>NA</v>
      </c>
      <c r="DE307" s="129">
        <v>0</v>
      </c>
      <c r="DF307" s="79" t="str">
        <f>IF(ISERROR((DE307/DC307-1)*100),"NA",IF(((DE307/DC307-1)*100)&gt;100,"NM",IF(((DE307/DC307-1)*100)&lt;-50,"NM",(DE307/DC307-1)*100)))</f>
        <v>NA</v>
      </c>
      <c r="DG307" s="129">
        <v>-13.2</v>
      </c>
      <c r="DH307" s="79" t="str">
        <f>IF(ISERROR((DG307/DE307-1)*100),"NA",IF(((DG307/DE307-1)*100)&gt;100,"NM",IF(((DG307/DE307-1)*100)&lt;-50,"NM",(DG307/DE307-1)*100)))</f>
        <v>NA</v>
      </c>
      <c r="DI307" s="129">
        <v>0</v>
      </c>
      <c r="DJ307" s="79" t="str">
        <f>IF(ISERROR((DI307/DG307-1)*100),"NA",IF(((DI307/DG307-1)*100)&gt;100,"NM",IF(((DI307/DG307-1)*100)&lt;-50,"NM",(DI307/DG307-1)*100)))</f>
        <v>NM</v>
      </c>
      <c r="DK307" s="129">
        <v>0</v>
      </c>
      <c r="DL307" s="79" t="str">
        <f>IF(ISERROR((DK307/DI307-1)*100),"NA",IF(((DK307/DI307-1)*100)&gt;100,"NM",IF(((DK307/DI307-1)*100)&lt;-50,"NM",(DK307/DI307-1)*100)))</f>
        <v>NA</v>
      </c>
      <c r="DM307" s="129">
        <v>0</v>
      </c>
      <c r="DN307" s="79" t="str">
        <f>IF(ISERROR((DM307/DK307-1)*100),"NA",IF(((DM307/DK307-1)*100)&gt;100,"NM",IF(((DM307/DK307-1)*100)&lt;-50,"NM",(DM307/DK307-1)*100)))</f>
        <v>NA</v>
      </c>
      <c r="DO307" s="129">
        <v>0</v>
      </c>
      <c r="DP307" s="79" t="str">
        <f>IF(ISERROR((DO307/DM307-1)*100),"NA",IF(((DO307/DM307-1)*100)&gt;100,"NM",IF(((DO307/DM307-1)*100)&lt;-50,"NM",(DO307/DM307-1)*100)))</f>
        <v>NA</v>
      </c>
      <c r="DQ307" s="129">
        <v>0</v>
      </c>
      <c r="DR307" s="79" t="str">
        <f>IF(ISERROR((DQ307/DO307-1)*100),"NA",IF(((DQ307/DO307-1)*100)&gt;100,"NM",IF(((DQ307/DO307-1)*100)&lt;-50,"NM",(DQ307/DO307-1)*100)))</f>
        <v>NA</v>
      </c>
      <c r="DS307" s="129">
        <v>0</v>
      </c>
      <c r="DT307" s="79" t="str">
        <f>IF(ISERROR((DS307/DQ307-1)*100),"NA",IF(((DS307/DQ307-1)*100)&gt;100,"NM",IF(((DS307/DQ307-1)*100)&lt;-50,"NM",(DS307/DQ307-1)*100)))</f>
        <v>NA</v>
      </c>
      <c r="DU307" s="129">
        <v>0</v>
      </c>
      <c r="DV307" s="79" t="str">
        <f>IF(ISERROR((DU307/DS307-1)*100),"NA",IF(((DU307/DS307-1)*100)&gt;100,"NM",IF(((DU307/DS307-1)*100)&lt;-50,"NM",(DU307/DS307-1)*100)))</f>
        <v>NA</v>
      </c>
      <c r="DW307" s="129">
        <v>0</v>
      </c>
      <c r="DX307" s="79" t="str">
        <f>IF(ISERROR((DW307/DU307-1)*100),"NA",IF(((DW307/DU307-1)*100)&gt;100,"NM",IF(((DW307/DU307-1)*100)&lt;-50,"NM",(DW307/DU307-1)*100)))</f>
        <v>NA</v>
      </c>
      <c r="DY307" s="129">
        <v>0</v>
      </c>
      <c r="DZ307" s="79" t="str">
        <f>IF(ISERROR((DY307/DW307-1)*100),"NA",IF(((DY307/DW307-1)*100)&gt;100,"NM",IF(((DY307/DW307-1)*100)&lt;-50,"NM",(DY307/DW307-1)*100)))</f>
        <v>NA</v>
      </c>
      <c r="EA307" s="129">
        <v>0</v>
      </c>
      <c r="EB307" s="79" t="str">
        <f>IF(ISERROR((EA307/DY307-1)*100),"NA",IF(((EA307/DY307-1)*100)&gt;100,"NM",IF(((EA307/DY307-1)*100)&lt;-50,"NM",(EA307/DY307-1)*100)))</f>
        <v>NA</v>
      </c>
      <c r="EC307" s="129">
        <v>0</v>
      </c>
      <c r="ED307" s="79" t="str">
        <f t="shared" ref="ED307:ED308" si="1084">IF(ISERROR((EC307/EA307-1)*100),"NA",IF(((EC307/EA307-1)*100)&gt;100,"NM",IF(((EC307/EA307-1)*100)&lt;-50,"NM",(EC307/EA307-1)*100)))</f>
        <v>NA</v>
      </c>
      <c r="EE307" s="129">
        <v>0</v>
      </c>
      <c r="EF307" s="79" t="str">
        <f t="shared" ref="EF307:EF308" si="1085">IF(ISERROR((EE307/EC307-1)*100),"NA",IF(((EE307/EC307-1)*100)&gt;100,"NM",IF(((EE307/EC307-1)*100)&lt;-50,"NM",(EE307/EC307-1)*100)))</f>
        <v>NA</v>
      </c>
      <c r="EG307" s="129">
        <v>0</v>
      </c>
      <c r="EH307" s="79" t="str">
        <f t="shared" ref="EH307:EH308" si="1086">IF(ISERROR((EG307/EE307-1)*100),"NA",IF(((EG307/EE307-1)*100)&gt;100,"NM",IF(((EG307/EE307-1)*100)&lt;-50,"NM",(EG307/EE307-1)*100)))</f>
        <v>NA</v>
      </c>
      <c r="EI307" s="129">
        <v>0</v>
      </c>
      <c r="EJ307" s="79" t="str">
        <f t="shared" ref="EJ307:EJ308" si="1087">IF(ISERROR((EI307/EG307-1)*100),"NA",IF(((EI307/EG307-1)*100)&gt;100,"NM",IF(((EI307/EG307-1)*100)&lt;-50,"NM",(EI307/EG307-1)*100)))</f>
        <v>NA</v>
      </c>
      <c r="EK307" s="129">
        <v>0</v>
      </c>
      <c r="EL307" s="79" t="str">
        <f t="shared" ref="EL307:EL308" si="1088">IF(ISERROR((EK307/EI307-1)*100),"NA",IF(((EK307/EI307-1)*100)&gt;100,"NM",IF(((EK307/EI307-1)*100)&lt;-50,"NM",(EK307/EI307-1)*100)))</f>
        <v>NA</v>
      </c>
      <c r="EM307" s="129">
        <v>0</v>
      </c>
      <c r="EN307" s="79" t="str">
        <f t="shared" ref="EN307:EN308" si="1089">IF(ISERROR((EM307/EK307-1)*100),"NA",IF(((EM307/EK307-1)*100)&gt;100,"NM",IF(((EM307/EK307-1)*100)&lt;-50,"NM",(EM307/EK307-1)*100)))</f>
        <v>NA</v>
      </c>
      <c r="EO307" s="129">
        <v>0</v>
      </c>
      <c r="EP307" s="79" t="str">
        <f t="shared" ref="EP307:EP308" si="1090">IF(ISERROR((EO307/EM307-1)*100),"NA",IF(((EO307/EM307-1)*100)&gt;100,"NM",IF(((EO307/EM307-1)*100)&lt;-50,"NM",(EO307/EM307-1)*100)))</f>
        <v>NA</v>
      </c>
      <c r="EQ307" s="129">
        <v>0</v>
      </c>
      <c r="ER307" s="79" t="str">
        <f t="shared" ref="ER307:ER308" si="1091">IF(ISERROR((EQ307/EO307-1)*100),"NA",IF(((EQ307/EO307-1)*100)&gt;100,"NM",IF(((EQ307/EO307-1)*100)&lt;-50,"NM",(EQ307/EO307-1)*100)))</f>
        <v>NA</v>
      </c>
      <c r="ES307" s="95"/>
      <c r="ET307" s="471"/>
      <c r="EU307" s="95"/>
      <c r="EV307" s="75"/>
      <c r="EW307" s="146"/>
      <c r="EX307" s="75"/>
      <c r="EY307" s="146"/>
      <c r="EZ307" s="75"/>
      <c r="FA307" s="146"/>
      <c r="FB307" s="75"/>
      <c r="FC307" s="146"/>
      <c r="FD307" s="75"/>
      <c r="FE307" s="79" t="str">
        <f>IF(ISERROR((FD307/FB307-1)*100),"NA",IF(((FD307/FB307-1)*100)&gt;100,"NM",IF(((FD307/FB307-1)*100)&lt;-50,"NM",(FD307/FB307-1)*100)))</f>
        <v>NA</v>
      </c>
      <c r="FF307" s="75"/>
      <c r="FG307" s="79" t="str">
        <f>IF(ISERROR((FF307/FD307-1)*100),"NA",IF(((FF307/FD307-1)*100)&gt;100,"NM",IF(((FF307/FD307-1)*100)&lt;-50,"NM",(FF307/FD307-1)*100)))</f>
        <v>NA</v>
      </c>
      <c r="FH307" s="75"/>
      <c r="FI307" s="146" t="str">
        <f>IF(ISERROR((FH307/FF307-1)*100),"NA",IF(((FH307/FF307-1)*100)&gt;100,"NM",IF(((FH307/FF307-1)*100)&lt;-50,"NM",(FH307/FF307-1)*100)))</f>
        <v>NA</v>
      </c>
      <c r="FJ307" s="75">
        <f>FJ332+FJ354</f>
        <v>27.52</v>
      </c>
      <c r="FK307" s="146" t="str">
        <f>IF(ISERROR((FJ307/FH307-1)*100),"NA",IF(((FJ307/FH307-1)*100)&gt;100,"NM",IF(((FJ307/FH307-1)*100)&lt;-50,"NM",(FJ307/FH307-1)*100)))</f>
        <v>NA</v>
      </c>
      <c r="FL307" s="75">
        <f>FL332+FL354</f>
        <v>-6</v>
      </c>
      <c r="FM307" s="146" t="str">
        <f>IF(ISERROR((FL307/FJ307-1)*100),"NA",IF(((FL307/FJ307-1)*100)&gt;100,"NM",IF(((FL307/FJ307-1)*100)&lt;-50,"NM",(FL307/FJ307-1)*100)))</f>
        <v>NM</v>
      </c>
      <c r="FN307" s="75">
        <f>FN332+FN354</f>
        <v>0</v>
      </c>
      <c r="FO307" s="146" t="str">
        <f>IF(ISERROR((FN307/FL307-1)*100),"NA",IF(((FN307/FL307-1)*100)&gt;100,"NM",IF(((FN307/FL307-1)*100)&lt;-50,"NM",(FN307/FL307-1)*100)))</f>
        <v>NM</v>
      </c>
      <c r="FP307" s="75">
        <f>FP332+FP354</f>
        <v>0</v>
      </c>
      <c r="FQ307" s="146" t="str">
        <f>IF(ISERROR((FP307/FN307-1)*100),"NA",IF(((FP307/FN307-1)*100)&gt;100,"NM",IF(((FP307/FN307-1)*100)&lt;-50,"NM",(FP307/FN307-1)*100)))</f>
        <v>NA</v>
      </c>
      <c r="FR307" s="75">
        <f>FR332+FR354</f>
        <v>0</v>
      </c>
      <c r="FS307" s="146" t="str">
        <f>IF(ISERROR((FR307/FP307-1)*100),"NA",IF(((FR307/FP307-1)*100)&gt;100,"NM",IF(((FR307/FP307-1)*100)&lt;-50,"NM",(FR307/FP307-1)*100)))</f>
        <v>NA</v>
      </c>
      <c r="FT307" s="75">
        <f>FT332+FT354</f>
        <v>0</v>
      </c>
      <c r="FU307" s="146" t="str">
        <f>IF(ISERROR((FT307/FR307-1)*100),"NA",IF(((FT307/FR307-1)*100)&gt;100,"NM",IF(((FT307/FR307-1)*100)&lt;-50,"NM",(FT307/FR307-1)*100)))</f>
        <v>NA</v>
      </c>
      <c r="FV307" s="75">
        <f>+CG307+CI307+CK307+CM307</f>
        <v>0</v>
      </c>
      <c r="FW307" s="146" t="str">
        <f>IF(ISERROR((FV307/FT307-1)*100),"NA",IF(((FV307/FT307-1)*100)&gt;100,"NM",IF(((FV307/FT307-1)*100)&lt;-50,"NM",(FV307/FT307-1)*100)))</f>
        <v>NA</v>
      </c>
      <c r="FX307" s="75">
        <f>+CO307+CQ307+CS307+CU307</f>
        <v>0</v>
      </c>
      <c r="FY307" s="146" t="str">
        <f>IF(ISERROR((FX307/FV307-1)*100),"NA",IF(((FX307/FV307-1)*100)&gt;100,"NM",IF(((FX307/FV307-1)*100)&lt;-50,"NM",(FX307/FV307-1)*100)))</f>
        <v>NA</v>
      </c>
      <c r="FZ307" s="75">
        <f>+CW307+CY307+DA307+DC307</f>
        <v>0</v>
      </c>
      <c r="GA307" s="79" t="str">
        <f>IF(ISERROR((FZ307/FX307-1)*100),"NA",IF(((FZ307/FX307-1)*100)&gt;100,"NM",IF(((FZ307/FX307-1)*100)&lt;-50,"NM",(FZ307/FX307-1)*100)))</f>
        <v>NA</v>
      </c>
      <c r="GB307" s="75">
        <f>+DE307+DG307+DI307+DK307</f>
        <v>-13.2</v>
      </c>
      <c r="GC307" s="79" t="str">
        <f>IF(ISERROR((GB307/FZ307-1)*100),"NA",IF(((GB307/FZ307-1)*100)&gt;100,"NM",IF(((GB307/FZ307-1)*100)&lt;-50,"NM",(GB307/FZ307-1)*100)))</f>
        <v>NA</v>
      </c>
      <c r="GD307" s="75">
        <f>+DM307+DO307+DQ307+DS307</f>
        <v>0</v>
      </c>
      <c r="GE307" s="79" t="str">
        <f>IF(ISERROR((GD307/GB307-1)*100),"NA",IF(((GD307/GB307-1)*100)&gt;100,"NM",IF(((GD307/GB307-1)*100)&lt;-50,"NM",(GD307/GB307-1)*100)))</f>
        <v>NM</v>
      </c>
      <c r="GF307" s="75">
        <f>+DU307+DW307+DY307+EA307</f>
        <v>0</v>
      </c>
      <c r="GG307" s="79" t="str">
        <f>IF(ISERROR((GF307/GD307-1)*100),"NA",IF(((GF307/GD307-1)*100)&gt;100,"NM",IF(((GF307/GD307-1)*100)&lt;-50,"NM",(GF307/GD307-1)*100)))</f>
        <v>NA</v>
      </c>
      <c r="GH307" s="75">
        <f>+EC307+EE307+EG307+EI307</f>
        <v>0</v>
      </c>
      <c r="GI307" s="79" t="str">
        <f>IF(ISERROR((GH307/GF307-1)*100),"NA",IF(((GH307/GF307-1)*100)&gt;100,"NM",IF(((GH307/GF307-1)*100)&lt;-50,"NM",(GH307/GF307-1)*100)))</f>
        <v>NA</v>
      </c>
      <c r="GJ307" s="75">
        <f>+EK307+EM307+EO307+EQ307</f>
        <v>0</v>
      </c>
      <c r="GK307" s="79" t="str">
        <f>IF(ISERROR((GJ307/GH307-1)*100),"NA",IF(((GJ307/GH307-1)*100)&gt;100,"NM",IF(((GJ307/GH307-1)*100)&lt;-50,"NM",(GJ307/GH307-1)*100)))</f>
        <v>NA</v>
      </c>
      <c r="GL307" s="75">
        <f>GL332+GL354</f>
        <v>0</v>
      </c>
      <c r="GM307" s="79" t="str">
        <f>IF(ISERROR((GL307/GJ307-1)*100),"NA",IF(((GL307/GJ307-1)*100)&gt;100,"NM",IF(((GL307/GJ307-1)*100)&lt;-50,"NM",(GL307/GJ307-1)*100)))</f>
        <v>NA</v>
      </c>
      <c r="GN307" s="75">
        <f>GN332+GN354</f>
        <v>0</v>
      </c>
      <c r="GO307" s="79" t="str">
        <f>IF(ISERROR((GN307/GL307-1)*100),"NA",IF(((GN307/GL307-1)*100)&gt;100,"NM",IF(((GN307/GL307-1)*100)&lt;-50,"NM",(GN307/GL307-1)*100)))</f>
        <v>NA</v>
      </c>
      <c r="GP307" s="75">
        <f>GP332+GP354</f>
        <v>0</v>
      </c>
      <c r="GQ307" s="79" t="str">
        <f>IF(ISERROR((GP307/GN307-1)*100),"NA",IF(((GP307/GN307-1)*100)&gt;100,"NM",IF(((GP307/GN307-1)*100)&lt;-50,"NM",(GP307/GN307-1)*100)))</f>
        <v>NA</v>
      </c>
      <c r="GR307" s="75">
        <f>GR332+GR354</f>
        <v>0</v>
      </c>
      <c r="GS307" s="79" t="str">
        <f>IF(ISERROR((GR307/GP307-1)*100),"NA",IF(((GR307/GP307-1)*100)&gt;100,"NM",IF(((GR307/GP307-1)*100)&lt;-50,"NM",(GR307/GP307-1)*100)))</f>
        <v>NA</v>
      </c>
      <c r="GT307" s="146" t="str">
        <f>IF(ISERROR(((GR307/GH307)^0.2-1)*100),"NA",(IF(OR(((GR307/GH307)^0.2-1)*100&gt;99,((GR307/GH307)^0.2-1)*100&lt;-50),"NM",(((GR307/GH307)^0.2-1)*100))))</f>
        <v>NA</v>
      </c>
    </row>
    <row r="308" spans="1:286" ht="12.75" customHeight="1" x14ac:dyDescent="0.2">
      <c r="A308" s="1"/>
      <c r="B308" s="68" t="s">
        <v>474</v>
      </c>
      <c r="C308" s="79"/>
      <c r="D308" s="79"/>
      <c r="E308" s="178">
        <f>E305-E307</f>
        <v>-31.099999999999966</v>
      </c>
      <c r="F308" s="171"/>
      <c r="G308" s="178">
        <f>G305-G307</f>
        <v>-21.700000000000017</v>
      </c>
      <c r="H308" s="171"/>
      <c r="I308" s="178">
        <f>I305-I307</f>
        <v>-43.599999999999966</v>
      </c>
      <c r="J308" s="171"/>
      <c r="K308" s="178">
        <f>K305-K307</f>
        <v>-28.899999999999991</v>
      </c>
      <c r="L308" s="140"/>
      <c r="M308" s="178">
        <f>M305-M307</f>
        <v>-15.500000000000014</v>
      </c>
      <c r="N308" s="79">
        <f>IF(ISERROR((M308/K308-1)*100),"NA",IF(((M308/K308-1)*100)&gt;100,"NM",IF(((M308/K308-1)*100)&lt;-50,"NM",(M308/K308-1)*100)))</f>
        <v>-46.366782006920346</v>
      </c>
      <c r="O308" s="178">
        <f>O305-O307</f>
        <v>-19.90000000000002</v>
      </c>
      <c r="P308" s="79">
        <f>IF(ISERROR((O308/M308-1)*100),"NA",IF(((O308/M308-1)*100)&gt;100,"NM",IF(((O308/M308-1)*100)&lt;-50,"NM",(O308/M308-1)*100)))</f>
        <v>28.387096774193555</v>
      </c>
      <c r="Q308" s="178">
        <f>Q305-Q307</f>
        <v>-18.500000000000014</v>
      </c>
      <c r="R308" s="79">
        <f>IF(ISERROR((Q308/O308-1)*100),"NA",IF(((Q308/O308-1)*100)&gt;100,"NM",IF(((Q308/O308-1)*100)&lt;-50,"NM",(Q308/O308-1)*100)))</f>
        <v>-7.0351758793970038</v>
      </c>
      <c r="S308" s="178">
        <f>S305-S307</f>
        <v>-36.799999999999983</v>
      </c>
      <c r="T308" s="79">
        <f>IF(ISERROR((S308/Q308-1)*100),"NA",IF(((S308/Q308-1)*100)&gt;100,"NM",IF(((S308/Q308-1)*100)&lt;-50,"NM",(S308/Q308-1)*100)))</f>
        <v>98.918918918918664</v>
      </c>
      <c r="U308" s="178">
        <f>U305-U307</f>
        <v>-38.800000000000011</v>
      </c>
      <c r="V308" s="79">
        <f>IF(ISERROR((U308/S308-1)*100),"NA",IF(((U308/S308-1)*100)&gt;100,"NM",IF(((U308/S308-1)*100)&lt;-50,"NM",(U308/S308-1)*100)))</f>
        <v>5.4347826086957429</v>
      </c>
      <c r="W308" s="178">
        <f>W305-W307</f>
        <v>-33.599999999999966</v>
      </c>
      <c r="X308" s="79">
        <f>IF(ISERROR((W308/U308-1)*100),"NA",IF(((W308/U308-1)*100)&gt;100,"NM",IF(((W308/U308-1)*100)&lt;-50,"NM",(W308/U308-1)*100)))</f>
        <v>-13.402061855670212</v>
      </c>
      <c r="Y308" s="178">
        <f>Y305-Y307</f>
        <v>-34.299999999999997</v>
      </c>
      <c r="Z308" s="79">
        <f>IF(ISERROR((Y308/W308-1)*100),"NA",IF(((Y308/W308-1)*100)&gt;100,"NM",IF(((Y308/W308-1)*100)&lt;-50,"NM",(Y308/W308-1)*100)))</f>
        <v>2.083333333333437</v>
      </c>
      <c r="AA308" s="227">
        <f>AA305-AA307</f>
        <v>-44.699999999999989</v>
      </c>
      <c r="AB308" s="79">
        <f>IF(ISERROR((AA308/Y308-1)*100),"NA",IF(((AA308/Y308-1)*100)&gt;100,"NM",IF(((AA308/Y308-1)*100)&lt;-50,"NM",(AA308/Y308-1)*100)))</f>
        <v>30.320699708454789</v>
      </c>
      <c r="AC308" s="178">
        <f>AC305-AC307</f>
        <v>-35.899999999999977</v>
      </c>
      <c r="AD308" s="79">
        <f>IF(ISERROR((AC308/AA308-1)*100),"NA",IF(((AC308/AA308-1)*100)&gt;100,"NM",IF(((AC308/AA308-1)*100)&lt;-50,"NM",(AC308/AA308-1)*100)))</f>
        <v>-19.686800894854617</v>
      </c>
      <c r="AE308" s="178">
        <f>AE305-AE307</f>
        <v>-16.099999999999994</v>
      </c>
      <c r="AF308" s="79" t="str">
        <f>IF(ISERROR((AE308/AC308-1)*100),"NA",IF(((AE308/AC308-1)*100)&gt;100,"NM",IF(((AE308/AC308-1)*100)&lt;-50,"NM",(AE308/AC308-1)*100)))</f>
        <v>NM</v>
      </c>
      <c r="AG308" s="178">
        <f>AG305-AG307</f>
        <v>-33.100000000000023</v>
      </c>
      <c r="AH308" s="79" t="str">
        <f>IF(ISERROR((AG308/AE308-1)*100),"NA",IF(((AG308/AE308-1)*100)&gt;100,"NM",IF(((AG308/AE308-1)*100)&lt;-50,"NM",(AG308/AE308-1)*100)))</f>
        <v>NM</v>
      </c>
      <c r="AI308" s="178">
        <f>AI305-AI307</f>
        <v>-23.200000000000003</v>
      </c>
      <c r="AJ308" s="79">
        <f>IF(ISERROR((AI308/AG308-1)*100),"NA",IF(((AI308/AG308-1)*100)&gt;100,"NM",IF(((AI308/AG308-1)*100)&lt;-50,"NM",(AI308/AG308-1)*100)))</f>
        <v>-29.909365558912427</v>
      </c>
      <c r="AK308" s="178">
        <f>AK305-AK307</f>
        <v>-61.899999999999977</v>
      </c>
      <c r="AL308" s="79" t="str">
        <f>IF(ISERROR((AK308/AI308-1)*100),"NA",IF(((AK308/AI308-1)*100)&gt;100,"NM",IF(((AK308/AI308-1)*100)&lt;-50,"NM",(AK308/AI308-1)*100)))</f>
        <v>NM</v>
      </c>
      <c r="AM308" s="178">
        <f>AM305-AM307</f>
        <v>-23.700000000000003</v>
      </c>
      <c r="AN308" s="79" t="str">
        <f>IF(ISERROR((AM308/AK308-1)*100),"NA",IF(((AM308/AK308-1)*100)&gt;100,"NM",IF(((AM308/AK308-1)*100)&lt;-50,"NM",(AM308/AK308-1)*100)))</f>
        <v>NM</v>
      </c>
      <c r="AO308" s="178">
        <f>AO305-AO307</f>
        <v>-19.399999999999977</v>
      </c>
      <c r="AP308" s="79">
        <f>IF(ISERROR((AO308/AM308-1)*100),"NA",IF(((AO308/AM308-1)*100)&gt;100,"NM",IF(((AO308/AM308-1)*100)&lt;-50,"NM",(AO308/AM308-1)*100)))</f>
        <v>-18.143459915611913</v>
      </c>
      <c r="AQ308" s="178">
        <f>AQ305-AQ307</f>
        <v>-33.820000000000007</v>
      </c>
      <c r="AR308" s="79">
        <f>IF(ISERROR((AQ308/AO308-1)*100),"NA",IF(((AQ308/AO308-1)*100)&gt;100,"NM",IF(((AQ308/AO308-1)*100)&lt;-50,"NM",(AQ308/AO308-1)*100)))</f>
        <v>74.329896907216735</v>
      </c>
      <c r="AS308" s="178">
        <f>AS305-AS307</f>
        <v>-28.09999999999998</v>
      </c>
      <c r="AT308" s="81">
        <f>IF(ISERROR((AS308/AQ308-1)*100),"NA",IF(((AS308/AQ308-1)*100)&gt;100,"NM",IF(((AS308/AQ308-1)*100)&lt;-50,"NM",(AS308/AQ308-1)*100)))</f>
        <v>-16.913069189828576</v>
      </c>
      <c r="AU308" s="178">
        <f>AU305-AU307</f>
        <v>-27.200000000000003</v>
      </c>
      <c r="AV308" s="81">
        <f>IF(ISERROR((AU308/AS308-1)*100),"NA",IF(((AU308/AS308-1)*100)&gt;100,"NM",IF(((AU308/AS308-1)*100)&lt;-50,"NM",(AU308/AS308-1)*100)))</f>
        <v>-3.202846975088891</v>
      </c>
      <c r="AW308" s="178">
        <f>AW305-AW307</f>
        <v>-20</v>
      </c>
      <c r="AX308" s="81">
        <f>IF(ISERROR((AW308/AU308-1)*100),"NA",IF(((AW308/AU308-1)*100)&gt;100,"NM",IF(((AW308/AU308-1)*100)&lt;-50,"NM",(AW308/AU308-1)*100)))</f>
        <v>-26.470588235294123</v>
      </c>
      <c r="AY308" s="178">
        <f>AY305-AY307</f>
        <v>-25.9</v>
      </c>
      <c r="AZ308" s="81">
        <f>IF(ISERROR((AY308/AW308-1)*100),"NA",IF(((AY308/AW308-1)*100)&gt;100,"NM",IF(((AY308/AW308-1)*100)&lt;-50,"NM",(AY308/AW308-1)*100)))</f>
        <v>29.499999999999993</v>
      </c>
      <c r="BA308" s="178">
        <f>BA305-BA307</f>
        <v>-27.800000000000004</v>
      </c>
      <c r="BB308" s="81">
        <f>IF(ISERROR((BA308/AY308-1)*100),"NA",IF(((BA308/AY308-1)*100)&gt;100,"NM",IF(((BA308/AY308-1)*100)&lt;-50,"NM",(BA308/AY308-1)*100)))</f>
        <v>7.3359073359073657</v>
      </c>
      <c r="BC308" s="178">
        <f>BC305-BC307</f>
        <v>-45.600000000000009</v>
      </c>
      <c r="BD308" s="81">
        <f>IF(ISERROR((BC308/BA308-1)*100),"NA",IF(((BC308/BA308-1)*100)&gt;100,"NM",IF(((BC308/BA308-1)*100)&lt;-50,"NM",(BC308/BA308-1)*100)))</f>
        <v>64.02877697841727</v>
      </c>
      <c r="BE308" s="178">
        <f>BE305-BE307</f>
        <v>-22.200000000000003</v>
      </c>
      <c r="BF308" s="81" t="str">
        <f>IF(ISERROR((BE308/BC308-1)*100),"NA",IF(((BE308/BC308-1)*100)&gt;100,"NM",IF(((BE308/BC308-1)*100)&lt;-50,"NM",(BE308/BC308-1)*100)))</f>
        <v>NM</v>
      </c>
      <c r="BG308" s="178">
        <f>BG305-BG307</f>
        <v>-9.5999999999999943</v>
      </c>
      <c r="BH308" s="81" t="str">
        <f>IF(ISERROR((BG308/BE308-1)*100),"NA",IF(((BG308/BE308-1)*100)&gt;100,"NM",IF(((BG308/BE308-1)*100)&lt;-50,"NM",(BG308/BE308-1)*100)))</f>
        <v>NM</v>
      </c>
      <c r="BI308" s="178">
        <f>BI305-BI307</f>
        <v>0.29999999999999716</v>
      </c>
      <c r="BJ308" s="81" t="str">
        <f>IF(ISERROR((BI308/BG308-1)*100),"NA",IF(((BI308/BG308-1)*100)&gt;100,"NM",IF(((BI308/BG308-1)*100)&lt;-50,"NM",(BI308/BG308-1)*100)))</f>
        <v>NM</v>
      </c>
      <c r="BK308" s="178">
        <f>BK305-BK307</f>
        <v>-6.6999999999999957</v>
      </c>
      <c r="BL308" s="81" t="str">
        <f>IF(ISERROR((BK308/BI308-1)*100),"NA",IF(((BK308/BI308-1)*100)&gt;100,"NM",IF(((BK308/BI308-1)*100)&lt;-50,"NM",(BK308/BI308-1)*100)))</f>
        <v>NM</v>
      </c>
      <c r="BM308" s="178">
        <f>BM305-BM307</f>
        <v>-7.2000000000000171</v>
      </c>
      <c r="BN308" s="81">
        <f>IF(ISERROR((BM308/BK308-1)*100),"NA",IF(((BM308/BK308-1)*100)&gt;100,"NM",IF(((BM308/BK308-1)*100)&lt;-50,"NM",(BM308/BK308-1)*100)))</f>
        <v>7.4626865671645115</v>
      </c>
      <c r="BO308" s="178">
        <f>BO305-BO307</f>
        <v>-0.39999999999999858</v>
      </c>
      <c r="BP308" s="81" t="str">
        <f>IF(ISERROR((BO308/BM308-1)*100),"NA",IF(((BO308/BM308-1)*100)&gt;100,"NM",IF(((BO308/BM308-1)*100)&lt;-50,"NM",(BO308/BM308-1)*100)))</f>
        <v>NM</v>
      </c>
      <c r="BQ308" s="178">
        <f>BQ305-BQ307</f>
        <v>-12.900000000000006</v>
      </c>
      <c r="BR308" s="81" t="str">
        <f>IF(ISERROR((BQ308/BO308-1)*100),"NA",IF(((BQ308/BO308-1)*100)&gt;100,"NM",IF(((BQ308/BO308-1)*100)&lt;-50,"NM",(BQ308/BO308-1)*100)))</f>
        <v>NM</v>
      </c>
      <c r="BS308" s="178">
        <f>BS305-BS307</f>
        <v>-16</v>
      </c>
      <c r="BT308" s="81">
        <f>IF(ISERROR((BS308/BQ308-1)*100),"NA",IF(((BS308/BQ308-1)*100)&gt;100,"NM",IF(((BS308/BQ308-1)*100)&lt;-50,"NM",(BS308/BQ308-1)*100)))</f>
        <v>24.031007751937938</v>
      </c>
      <c r="BU308" s="178">
        <f>BU305-BU307</f>
        <v>-13.699999999999996</v>
      </c>
      <c r="BV308" s="81">
        <f>IF(ISERROR((BU308/BS308-1)*100),"NA",IF(((BU308/BS308-1)*100)&gt;100,"NM",IF(((BU308/BS308-1)*100)&lt;-50,"NM",(BU308/BS308-1)*100)))</f>
        <v>-14.375000000000027</v>
      </c>
      <c r="BW308" s="178">
        <f>BW305-BW307</f>
        <v>-16.600000000000009</v>
      </c>
      <c r="BX308" s="81">
        <f>IF(ISERROR((BW308/BU308-1)*100),"NA",IF(((BW308/BU308-1)*100)&gt;100,"NM",IF(((BW308/BU308-1)*100)&lt;-50,"NM",(BW308/BU308-1)*100)))</f>
        <v>21.167883211678927</v>
      </c>
      <c r="BY308" s="178">
        <f>BY305-BY307</f>
        <v>-9.0999999999999979</v>
      </c>
      <c r="BZ308" s="81">
        <f>IF(ISERROR((BY308/BW308-1)*100),"NA",IF(((BY308/BW308-1)*100)&gt;100,"NM",IF(((BY308/BW308-1)*100)&lt;-50,"NM",(BY308/BW308-1)*100)))</f>
        <v>-45.180722891566305</v>
      </c>
      <c r="CA308" s="178">
        <f>CA305-CA307</f>
        <v>-4.899999999999995</v>
      </c>
      <c r="CB308" s="81">
        <f>IF(ISERROR((CA308/BY308-1)*100),"NA",IF(((CA308/BY308-1)*100)&gt;100,"NM",IF(((CA308/BY308-1)*100)&lt;-50,"NM",(CA308/BY308-1)*100)))</f>
        <v>-46.153846153846203</v>
      </c>
      <c r="CC308" s="178">
        <f>CC305-CC307</f>
        <v>-9.1000000000000014</v>
      </c>
      <c r="CD308" s="81">
        <f>IF(ISERROR((CC308/CA308-1)*100),"NA",IF(((CC308/CA308-1)*100)&gt;100,"NM",IF(((CC308/CA308-1)*100)&lt;-50,"NM",(CC308/CA308-1)*100)))</f>
        <v>85.71428571428595</v>
      </c>
      <c r="CE308" s="178">
        <f>CE305-CE307</f>
        <v>-15.8</v>
      </c>
      <c r="CF308" s="81">
        <f>IF(ISERROR((CE308/CC308-1)*100),"NA",IF(((CE308/CC308-1)*100)&gt;100,"NM",IF(((CE308/CC308-1)*100)&lt;-50,"NM",(CE308/CC308-1)*100)))</f>
        <v>73.626373626373606</v>
      </c>
      <c r="CG308" s="178">
        <f>CG305-CG307</f>
        <v>-21.799999999999997</v>
      </c>
      <c r="CH308" s="81">
        <f>IF(ISERROR((CG308/CE308-1)*100),"NA",IF(((CG308/CE308-1)*100)&gt;100,"NM",IF(((CG308/CE308-1)*100)&lt;-50,"NM",(CG308/CE308-1)*100)))</f>
        <v>37.97468354430378</v>
      </c>
      <c r="CI308" s="178">
        <f>CI305-CI307</f>
        <v>-16.999999999999996</v>
      </c>
      <c r="CJ308" s="81">
        <f>IF(ISERROR((CI308/CG308-1)*100),"NA",IF(((CI308/CG308-1)*100)&gt;100,"NM",IF(((CI308/CG308-1)*100)&lt;-50,"NM",(CI308/CG308-1)*100)))</f>
        <v>-22.018348623853214</v>
      </c>
      <c r="CK308" s="178">
        <f>CK305-CK307</f>
        <v>-20.800000000000004</v>
      </c>
      <c r="CL308" s="81">
        <f>IF(ISERROR((CK308/CI308-1)*100),"NA",IF(((CK308/CI308-1)*100)&gt;100,"NM",IF(((CK308/CI308-1)*100)&lt;-50,"NM",(CK308/CI308-1)*100)))</f>
        <v>22.352941176470644</v>
      </c>
      <c r="CM308" s="178">
        <f>CM305-CM307</f>
        <v>-18.799999999999997</v>
      </c>
      <c r="CN308" s="81">
        <f>IF(ISERROR((CM308/CK308-1)*100),"NA",IF(((CM308/CK308-1)*100)&gt;100,"NM",IF(((CM308/CK308-1)*100)&lt;-50,"NM",(CM308/CK308-1)*100)))</f>
        <v>-9.6153846153846487</v>
      </c>
      <c r="CO308" s="178">
        <f>CO305-CO307</f>
        <v>-20.6</v>
      </c>
      <c r="CP308" s="81">
        <f>IF(ISERROR((CO308/CM308-1)*100),"NA",IF(((CO308/CM308-1)*100)&gt;100,"NM",IF(((CO308/CM308-1)*100)&lt;-50,"NM",(CO308/CM308-1)*100)))</f>
        <v>9.5744680851064032</v>
      </c>
      <c r="CQ308" s="178">
        <f>CQ305-CQ307</f>
        <v>-25.900000000000006</v>
      </c>
      <c r="CR308" s="81">
        <f>IF(ISERROR((CQ308/CO308-1)*100),"NA",IF(((CQ308/CO308-1)*100)&gt;100,"NM",IF(((CQ308/CO308-1)*100)&lt;-50,"NM",(CQ308/CO308-1)*100)))</f>
        <v>25.728155339805838</v>
      </c>
      <c r="CS308" s="178">
        <f>CS305-CS307</f>
        <v>-27.399999999999995</v>
      </c>
      <c r="CT308" s="81">
        <f>IF(ISERROR((CS308/CQ308-1)*100),"NA",IF(((CS308/CQ308-1)*100)&gt;100,"NM",IF(((CS308/CQ308-1)*100)&lt;-50,"NM",(CS308/CQ308-1)*100)))</f>
        <v>5.7915057915057577</v>
      </c>
      <c r="CU308" s="178">
        <f>CU305-CU307</f>
        <v>-34.599999999999994</v>
      </c>
      <c r="CV308" s="81">
        <f>IF(ISERROR((CU308/CS308-1)*100),"NA",IF(((CU308/CS308-1)*100)&gt;100,"NM",IF(((CU308/CS308-1)*100)&lt;-50,"NM",(CU308/CS308-1)*100)))</f>
        <v>26.277372262773735</v>
      </c>
      <c r="CW308" s="178">
        <f>CW305-CW307</f>
        <v>-26.199999999999996</v>
      </c>
      <c r="CX308" s="195">
        <f>IF(ISERROR((CW308/CU308-1)*100),"NA",IF(((CW308/CU308-1)*100)&gt;100,"NM",IF(((CW308/CU308-1)*100)&lt;-50,"NM",(CW308/CU308-1)*100)))</f>
        <v>-24.277456647398843</v>
      </c>
      <c r="CY308" s="178">
        <f>CY305-CY307</f>
        <v>-29.6</v>
      </c>
      <c r="CZ308" s="195">
        <f>IF(ISERROR((CY308/CW308-1)*100),"NA",IF(((CY308/CW308-1)*100)&gt;100,"NM",IF(((CY308/CW308-1)*100)&lt;-50,"NM",(CY308/CW308-1)*100)))</f>
        <v>12.977099236641255</v>
      </c>
      <c r="DA308" s="178">
        <f>DA305-DA307</f>
        <v>-25.4</v>
      </c>
      <c r="DB308" s="195">
        <f>IF(ISERROR((DA308/CY308-1)*100),"NA",IF(((DA308/CY308-1)*100)&gt;100,"NM",IF(((DA308/CY308-1)*100)&lt;-50,"NM",(DA308/CY308-1)*100)))</f>
        <v>-14.1891891891892</v>
      </c>
      <c r="DC308" s="178">
        <f>DC305-DC307</f>
        <v>-33.900000000000006</v>
      </c>
      <c r="DD308" s="195">
        <f>IF(ISERROR((DC308/DA308-1)*100),"NA",IF(((DC308/DA308-1)*100)&gt;100,"NM",IF(((DC308/DA308-1)*100)&lt;-50,"NM",(DC308/DA308-1)*100)))</f>
        <v>33.464566929133888</v>
      </c>
      <c r="DE308" s="178">
        <f>DE305-DE307</f>
        <v>-26.5</v>
      </c>
      <c r="DF308" s="195">
        <f>IF(ISERROR((DE308/DC308-1)*100),"NA",IF(((DE308/DC308-1)*100)&gt;100,"NM",IF(((DE308/DC308-1)*100)&lt;-50,"NM",(DE308/DC308-1)*100)))</f>
        <v>-21.82890855457228</v>
      </c>
      <c r="DG308" s="178">
        <f>DG305-DG307</f>
        <v>-28.400000000000002</v>
      </c>
      <c r="DH308" s="195">
        <f>IF(ISERROR((DG308/DE308-1)*100),"NA",IF(((DG308/DE308-1)*100)&gt;100,"NM",IF(((DG308/DE308-1)*100)&lt;-50,"NM",(DG308/DE308-1)*100)))</f>
        <v>7.1698113207547154</v>
      </c>
      <c r="DI308" s="178">
        <f>DI305-DI307</f>
        <v>-25.099999999999994</v>
      </c>
      <c r="DJ308" s="195">
        <f>IF(ISERROR((DI308/DG308-1)*100),"NA",IF(((DI308/DG308-1)*100)&gt;100,"NM",IF(((DI308/DG308-1)*100)&lt;-50,"NM",(DI308/DG308-1)*100)))</f>
        <v>-11.619718309859184</v>
      </c>
      <c r="DK308" s="178">
        <f>DK305-DK307</f>
        <v>-25.799999999999997</v>
      </c>
      <c r="DL308" s="81">
        <f>IF(ISERROR((DK308/DI308-1)*100),"NA",IF(((DK308/DI308-1)*100)&gt;100,"NM",IF(((DK308/DI308-1)*100)&lt;-50,"NM",(DK308/DI308-1)*100)))</f>
        <v>2.788844621513964</v>
      </c>
      <c r="DM308" s="178">
        <f>DM305-DM307</f>
        <v>-32.9</v>
      </c>
      <c r="DN308" s="81">
        <f>IF(ISERROR((DM308/DK308-1)*100),"NA",IF(((DM308/DK308-1)*100)&gt;100,"NM",IF(((DM308/DK308-1)*100)&lt;-50,"NM",(DM308/DK308-1)*100)))</f>
        <v>27.519379844961243</v>
      </c>
      <c r="DO308" s="178">
        <f>DO305-DO307</f>
        <v>-36.299999999999997</v>
      </c>
      <c r="DP308" s="81">
        <f>IF(ISERROR((DO308/DM308-1)*100),"NA",IF(((DO308/DM308-1)*100)&gt;100,"NM",IF(((DO308/DM308-1)*100)&lt;-50,"NM",(DO308/DM308-1)*100)))</f>
        <v>10.334346504559267</v>
      </c>
      <c r="DQ308" s="178">
        <f>DQ305-DQ307</f>
        <v>-29.9</v>
      </c>
      <c r="DR308" s="81">
        <f>IF(ISERROR((DQ308/DO308-1)*100),"NA",IF(((DQ308/DO308-1)*100)&gt;100,"NM",IF(((DQ308/DO308-1)*100)&lt;-50,"NM",(DQ308/DO308-1)*100)))</f>
        <v>-17.630853994490359</v>
      </c>
      <c r="DS308" s="178">
        <f>DS305-DS307</f>
        <v>-37.6</v>
      </c>
      <c r="DT308" s="81">
        <f>IF(ISERROR((DS308/DQ308-1)*100),"NA",IF(((DS308/DQ308-1)*100)&gt;100,"NM",IF(((DS308/DQ308-1)*100)&lt;-50,"NM",(DS308/DQ308-1)*100)))</f>
        <v>25.752508361204018</v>
      </c>
      <c r="DU308" s="178">
        <f>DU305-DU307</f>
        <v>-35.9</v>
      </c>
      <c r="DV308" s="81">
        <f>IF(ISERROR((DU308/DS308-1)*100),"NA",IF(((DU308/DS308-1)*100)&gt;100,"NM",IF(((DU308/DS308-1)*100)&lt;-50,"NM",(DU308/DS308-1)*100)))</f>
        <v>-4.5212765957446832</v>
      </c>
      <c r="DW308" s="178">
        <f>DW305-DW307</f>
        <v>-39.699999999999996</v>
      </c>
      <c r="DX308" s="81">
        <f>IF(ISERROR((DW308/DU308-1)*100),"NA",IF(((DW308/DU308-1)*100)&gt;100,"NM",IF(((DW308/DU308-1)*100)&lt;-50,"NM",(DW308/DU308-1)*100)))</f>
        <v>10.584958217270191</v>
      </c>
      <c r="DY308" s="178">
        <f>DY305-DY307</f>
        <v>-45.7</v>
      </c>
      <c r="DZ308" s="81">
        <f>IF(ISERROR((DY308/DW308-1)*100),"NA",IF(((DY308/DW308-1)*100)&gt;100,"NM",IF(((DY308/DW308-1)*100)&lt;-50,"NM",(DY308/DW308-1)*100)))</f>
        <v>15.113350125944613</v>
      </c>
      <c r="EA308" s="178">
        <f>EA305-EA307</f>
        <v>-41.7</v>
      </c>
      <c r="EB308" s="81">
        <f>IF(ISERROR((EA308/DY308-1)*100),"NA",IF(((EA308/DY308-1)*100)&gt;100,"NM",IF(((EA308/DY308-1)*100)&lt;-50,"NM",(EA308/DY308-1)*100)))</f>
        <v>-8.7527352297593009</v>
      </c>
      <c r="EC308" s="178">
        <f>EC305-EC307</f>
        <v>-39.800000000000004</v>
      </c>
      <c r="ED308" s="81">
        <f t="shared" si="1084"/>
        <v>-4.5563549160671402</v>
      </c>
      <c r="EE308" s="178">
        <f>EE305-EE307</f>
        <v>-37.599999999999994</v>
      </c>
      <c r="EF308" s="81">
        <f t="shared" si="1085"/>
        <v>-5.5276381909547982</v>
      </c>
      <c r="EG308" s="178">
        <f>EG305-EG307</f>
        <v>-36.199999999999996</v>
      </c>
      <c r="EH308" s="81">
        <f t="shared" si="1086"/>
        <v>-3.7234042553191404</v>
      </c>
      <c r="EI308" s="178">
        <f>EI305-EI307</f>
        <v>-33.199999999999996</v>
      </c>
      <c r="EJ308" s="81">
        <f t="shared" si="1087"/>
        <v>-8.2872928176795586</v>
      </c>
      <c r="EK308" s="178">
        <f t="shared" ref="EK308:EQ308" si="1092">EK305-EK307</f>
        <v>-35.319999999999993</v>
      </c>
      <c r="EL308" s="81">
        <f t="shared" si="1088"/>
        <v>6.3855421686746849</v>
      </c>
      <c r="EM308" s="178">
        <f t="shared" si="1092"/>
        <v>-35.319999999999993</v>
      </c>
      <c r="EN308" s="81">
        <f t="shared" si="1089"/>
        <v>0</v>
      </c>
      <c r="EO308" s="178">
        <f t="shared" si="1092"/>
        <v>-37.069999999999993</v>
      </c>
      <c r="EP308" s="81">
        <f t="shared" si="1090"/>
        <v>4.9546998867497249</v>
      </c>
      <c r="EQ308" s="178">
        <f t="shared" si="1092"/>
        <v>-37.069999999999993</v>
      </c>
      <c r="ER308" s="81">
        <f t="shared" si="1091"/>
        <v>0</v>
      </c>
      <c r="ES308" s="82"/>
      <c r="ET308" s="465"/>
      <c r="EU308" s="82"/>
      <c r="EV308" s="171"/>
      <c r="EW308" s="79"/>
      <c r="EX308" s="171"/>
      <c r="EY308" s="79"/>
      <c r="EZ308" s="171"/>
      <c r="FA308" s="79"/>
      <c r="FB308" s="171"/>
      <c r="FC308" s="79"/>
      <c r="FD308" s="178"/>
      <c r="FE308" s="79" t="str">
        <f>IF(ISERROR((FD308/FB308-1)*100),"NA",IF(((FD308/FB308-1)*100)&gt;100,"NM",IF(((FD308/FB308-1)*100)&lt;-50,"NM",(FD308/FB308-1)*100)))</f>
        <v>NA</v>
      </c>
      <c r="FF308" s="178"/>
      <c r="FG308" s="79" t="str">
        <f>IF(ISERROR((FF308/FD308-1)*100),"NA",IF(((FF308/FD308-1)*100)&gt;100,"NM",IF(((FF308/FD308-1)*100)&lt;-50,"NM",(FF308/FD308-1)*100)))</f>
        <v>NA</v>
      </c>
      <c r="FH308" s="178"/>
      <c r="FI308" s="79" t="str">
        <f>IF(ISERROR((FH308/FF308-1)*100),"NA",IF(((FH308/FF308-1)*100)&gt;100,"NM",IF(((FH308/FF308-1)*100)&lt;-50,"NM",(FH308/FF308-1)*100)))</f>
        <v>NA</v>
      </c>
      <c r="FJ308" s="178">
        <f>FJ305-FJ307</f>
        <v>-138.81999999999996</v>
      </c>
      <c r="FK308" s="79" t="str">
        <f>IF(ISERROR((FJ308/FH308-1)*100),"NA",IF(((FJ308/FH308-1)*100)&gt;100,"NM",IF(((FJ308/FH308-1)*100)&lt;-50,"NM",(FJ308/FH308-1)*100)))</f>
        <v>NA</v>
      </c>
      <c r="FL308" s="178">
        <f>FL305-FL307</f>
        <v>-101.19999999999999</v>
      </c>
      <c r="FM308" s="79">
        <f>IF(ISERROR((FL308/FJ308-1)*100),"NA",IF(((FL308/FJ308-1)*100)&gt;100,"NM",IF(((FL308/FJ308-1)*100)&lt;-50,"NM",(FL308/FJ308-1)*100)))</f>
        <v>-27.099841521394595</v>
      </c>
      <c r="FN308" s="178">
        <f>FN305-FN307</f>
        <v>-105.20000000000005</v>
      </c>
      <c r="FO308" s="79">
        <f>IF(ISERROR((FN308/FL308-1)*100),"NA",IF(((FN308/FL308-1)*100)&gt;100,"NM",IF(((FN308/FL308-1)*100)&lt;-50,"NM",(FN308/FL308-1)*100)))</f>
        <v>3.9525691699605403</v>
      </c>
      <c r="FP308" s="178">
        <f>FP305-FP307</f>
        <v>-13.999999999999972</v>
      </c>
      <c r="FQ308" s="79" t="str">
        <f>IF(ISERROR((FP308/FN308-1)*100),"NA",IF(((FP308/FN308-1)*100)&gt;100,"NM",IF(((FP308/FN308-1)*100)&lt;-50,"NM",(FP308/FN308-1)*100)))</f>
        <v>NM</v>
      </c>
      <c r="FR308" s="178">
        <f>FR305-FR307</f>
        <v>-48.399999999999991</v>
      </c>
      <c r="FS308" s="79" t="str">
        <f>IF(ISERROR((FR308/FP308-1)*100),"NA",IF(((FR308/FP308-1)*100)&gt;100,"NM",IF(((FR308/FP308-1)*100)&lt;-50,"NM",(FR308/FP308-1)*100)))</f>
        <v>NM</v>
      </c>
      <c r="FT308" s="178">
        <f>FT305-FT307</f>
        <v>-38.900000000000006</v>
      </c>
      <c r="FU308" s="79">
        <f>IF(ISERROR((FT308/FR308-1)*100),"NA",IF(((FT308/FR308-1)*100)&gt;100,"NM",IF(((FT308/FR308-1)*100)&lt;-50,"NM",(FT308/FR308-1)*100)))</f>
        <v>-19.628099173553693</v>
      </c>
      <c r="FV308" s="178">
        <f>FV305-FV307</f>
        <v>-78.399999999999977</v>
      </c>
      <c r="FW308" s="79" t="str">
        <f>IF(ISERROR((FV308/FT308-1)*100),"NA",IF(((FV308/FT308-1)*100)&gt;100,"NM",IF(((FV308/FT308-1)*100)&lt;-50,"NM",(FV308/FT308-1)*100)))</f>
        <v>NM</v>
      </c>
      <c r="FX308" s="178">
        <f>FX305-FX307</f>
        <v>-86.399999999999977</v>
      </c>
      <c r="FY308" s="79">
        <f>IF(ISERROR((FX308/FV308-1)*100),"NA",IF(((FX308/FV308-1)*100)&gt;100,"NM",IF(((FX308/FV308-1)*100)&lt;-50,"NM",(FX308/FV308-1)*100)))</f>
        <v>10.204081632653072</v>
      </c>
      <c r="FZ308" s="178">
        <f>FZ305-FZ307</f>
        <v>-115.1</v>
      </c>
      <c r="GA308" s="79">
        <f>IF(ISERROR((FZ308/FX308-1)*100),"NA",IF(((FZ308/FX308-1)*100)&gt;100,"NM",IF(((FZ308/FX308-1)*100)&lt;-50,"NM",(FZ308/FX308-1)*100)))</f>
        <v>33.217592592592624</v>
      </c>
      <c r="GB308" s="178">
        <f>GB305-GB307</f>
        <v>-105.80000000000001</v>
      </c>
      <c r="GC308" s="79">
        <f>IF(ISERROR((GB308/FZ308-1)*100),"NA",IF(((GB308/FZ308-1)*100)&gt;100,"NM",IF(((GB308/FZ308-1)*100)&lt;-50,"NM",(GB308/FZ308-1)*100)))</f>
        <v>-8.0799304952215323</v>
      </c>
      <c r="GD308" s="178">
        <f>GD305-GD307</f>
        <v>-136.69999999999999</v>
      </c>
      <c r="GE308" s="79">
        <f>IF(ISERROR((GD308/GB308-1)*100),"NA",IF(((GD308/GB308-1)*100)&gt;100,"NM",IF(((GD308/GB308-1)*100)&lt;-50,"NM",(GD308/GB308-1)*100)))</f>
        <v>29.206049149338355</v>
      </c>
      <c r="GF308" s="178">
        <f>GF305-GF307</f>
        <v>-163</v>
      </c>
      <c r="GG308" s="79">
        <f>IF(ISERROR((GF308/GD308-1)*100),"NA",IF(((GF308/GD308-1)*100)&gt;100,"NM",IF(((GF308/GD308-1)*100)&lt;-50,"NM",(GF308/GD308-1)*100)))</f>
        <v>19.239209948792979</v>
      </c>
      <c r="GH308" s="178">
        <f>GH305-GH307</f>
        <v>-146.79999999999998</v>
      </c>
      <c r="GI308" s="79">
        <f>IF(ISERROR((GH308/GF308-1)*100),"NA",IF(((GH308/GF308-1)*100)&gt;100,"NM",IF(((GH308/GF308-1)*100)&lt;-50,"NM",(GH308/GF308-1)*100)))</f>
        <v>-9.9386503067484746</v>
      </c>
      <c r="GJ308" s="178">
        <f>GJ305-GJ307</f>
        <v>-144.77999999999997</v>
      </c>
      <c r="GK308" s="79">
        <f>IF(ISERROR((GJ308/GH308-1)*100),"NA",IF(((GJ308/GH308-1)*100)&gt;100,"NM",IF(((GJ308/GH308-1)*100)&lt;-50,"NM",(GJ308/GH308-1)*100)))</f>
        <v>-1.3760217983651346</v>
      </c>
      <c r="GL308" s="178">
        <f>GL305-GL307</f>
        <v>-148.27999999999997</v>
      </c>
      <c r="GM308" s="79">
        <f>IF(ISERROR((GL308/GJ308-1)*100),"NA",IF(((GL308/GJ308-1)*100)&gt;100,"NM",IF(((GL308/GJ308-1)*100)&lt;-50,"NM",(GL308/GJ308-1)*100)))</f>
        <v>2.4174609752728227</v>
      </c>
      <c r="GN308" s="178">
        <f>GN305-GN307</f>
        <v>-150.02199999999999</v>
      </c>
      <c r="GO308" s="79">
        <f>IF(ISERROR((GN308/GL308-1)*100),"NA",IF(((GN308/GL308-1)*100)&gt;100,"NM",IF(((GN308/GL308-1)*100)&lt;-50,"NM",(GN308/GL308-1)*100)))</f>
        <v>1.1748044240625921</v>
      </c>
      <c r="GP308" s="178">
        <f>GP305-GP307</f>
        <v>-151.78141999999997</v>
      </c>
      <c r="GQ308" s="79">
        <f>IF(ISERROR((GP308/GN308-1)*100),"NA",IF(((GP308/GN308-1)*100)&gt;100,"NM",IF(((GP308/GN308-1)*100)&lt;-50,"NM",(GP308/GN308-1)*100)))</f>
        <v>1.1727746597165689</v>
      </c>
      <c r="GR308" s="178">
        <f>GR305-GR307</f>
        <v>-153.55843419999997</v>
      </c>
      <c r="GS308" s="79">
        <f>IF(ISERROR((GR308/GP308-1)*100),"NA",IF(((GR308/GP308-1)*100)&gt;100,"NM",IF(((GR308/GP308-1)*100)&lt;-50,"NM",(GR308/GP308-1)*100)))</f>
        <v>1.1707718902616682</v>
      </c>
      <c r="GT308" s="79">
        <f>IF(ISERROR(((GR308/GH308)^0.2-1)*100),"NA",(IF(OR(((GR308/GH308)^0.2-1)*100&gt;99,((GR308/GH308)^0.2-1)*100&lt;-50),"NM",(((GR308/GH308)^0.2-1)*100))))</f>
        <v>0.90426514075188091</v>
      </c>
    </row>
    <row r="309" spans="1:286" ht="12.75" customHeight="1" x14ac:dyDescent="0.2">
      <c r="A309" s="1"/>
      <c r="B309" s="2"/>
      <c r="C309" s="79"/>
      <c r="D309" s="79"/>
      <c r="E309" s="171"/>
      <c r="F309" s="171"/>
      <c r="G309" s="171"/>
      <c r="H309" s="171"/>
      <c r="I309" s="171"/>
      <c r="J309" s="171"/>
      <c r="K309" s="171"/>
      <c r="L309" s="79"/>
      <c r="M309" s="171"/>
      <c r="N309" s="79"/>
      <c r="O309" s="171"/>
      <c r="P309" s="79"/>
      <c r="Q309" s="171"/>
      <c r="R309" s="79"/>
      <c r="S309" s="171"/>
      <c r="T309" s="79"/>
      <c r="U309" s="171"/>
      <c r="V309" s="79"/>
      <c r="W309" s="171"/>
      <c r="X309" s="79"/>
      <c r="Y309" s="171"/>
      <c r="Z309" s="79"/>
      <c r="AA309" s="172"/>
      <c r="AB309" s="79"/>
      <c r="AC309" s="171"/>
      <c r="AD309" s="79"/>
      <c r="AE309" s="171"/>
      <c r="AF309" s="79"/>
      <c r="AG309" s="171"/>
      <c r="AH309" s="79"/>
      <c r="AI309" s="171"/>
      <c r="AJ309" s="79"/>
      <c r="AK309" s="171"/>
      <c r="AL309" s="79"/>
      <c r="AM309" s="171"/>
      <c r="AN309" s="79"/>
      <c r="AO309" s="171"/>
      <c r="AP309" s="79"/>
      <c r="AQ309" s="171"/>
      <c r="AR309" s="79"/>
      <c r="AS309" s="171"/>
      <c r="AT309" s="81"/>
      <c r="AU309" s="171"/>
      <c r="AV309" s="81"/>
      <c r="AW309" s="171"/>
      <c r="AX309" s="81"/>
      <c r="AY309" s="171"/>
      <c r="AZ309" s="81"/>
      <c r="BA309" s="171"/>
      <c r="BB309" s="81"/>
      <c r="BC309" s="171"/>
      <c r="BD309" s="81"/>
      <c r="BE309" s="171"/>
      <c r="BF309" s="81"/>
      <c r="BG309" s="171"/>
      <c r="BH309" s="81"/>
      <c r="BI309" s="171"/>
      <c r="BJ309" s="81"/>
      <c r="BK309" s="171"/>
      <c r="BL309" s="81"/>
      <c r="BM309" s="171"/>
      <c r="BN309" s="81"/>
      <c r="BO309" s="171"/>
      <c r="BP309" s="81"/>
      <c r="BQ309" s="171"/>
      <c r="BR309" s="81"/>
      <c r="BS309" s="171"/>
      <c r="BT309" s="81"/>
      <c r="BU309" s="171"/>
      <c r="BV309" s="81"/>
      <c r="BW309" s="171"/>
      <c r="BX309" s="81"/>
      <c r="BY309" s="171"/>
      <c r="BZ309" s="81"/>
      <c r="CA309" s="171"/>
      <c r="CB309" s="81"/>
      <c r="CC309" s="171"/>
      <c r="CD309" s="81"/>
      <c r="CE309" s="171"/>
      <c r="CF309" s="81"/>
      <c r="CG309" s="171"/>
      <c r="CH309" s="81"/>
      <c r="CI309" s="171"/>
      <c r="CJ309" s="81"/>
      <c r="CK309" s="171"/>
      <c r="CL309" s="81"/>
      <c r="CM309" s="171"/>
      <c r="CN309" s="81"/>
      <c r="CO309" s="171"/>
      <c r="CP309" s="81"/>
      <c r="CQ309" s="171"/>
      <c r="CR309" s="81"/>
      <c r="CS309" s="171"/>
      <c r="CT309" s="81"/>
      <c r="CU309" s="171"/>
      <c r="CV309" s="81"/>
      <c r="CW309" s="171"/>
      <c r="CX309" s="81"/>
      <c r="CY309" s="171"/>
      <c r="CZ309" s="81"/>
      <c r="DA309" s="171"/>
      <c r="DB309" s="81"/>
      <c r="DC309" s="171"/>
      <c r="DD309" s="81"/>
      <c r="DE309" s="171"/>
      <c r="DF309" s="81"/>
      <c r="DG309" s="171"/>
      <c r="DH309" s="81"/>
      <c r="DI309" s="171"/>
      <c r="DJ309" s="81"/>
      <c r="DK309" s="171"/>
      <c r="DL309" s="81"/>
      <c r="DM309" s="171"/>
      <c r="DN309" s="81"/>
      <c r="DO309" s="171"/>
      <c r="DP309" s="81"/>
      <c r="DQ309" s="171"/>
      <c r="DR309" s="81"/>
      <c r="DS309" s="171"/>
      <c r="DT309" s="81"/>
      <c r="DU309" s="171"/>
      <c r="DV309" s="81"/>
      <c r="DW309" s="171"/>
      <c r="DX309" s="81"/>
      <c r="DY309" s="171"/>
      <c r="DZ309" s="81"/>
      <c r="EA309" s="171"/>
      <c r="EB309" s="81"/>
      <c r="EC309" s="171"/>
      <c r="ED309" s="81"/>
      <c r="EE309" s="171"/>
      <c r="EF309" s="81"/>
      <c r="EG309" s="171"/>
      <c r="EH309" s="81"/>
      <c r="EI309" s="171"/>
      <c r="EJ309" s="81"/>
      <c r="EK309" s="171"/>
      <c r="EL309" s="81"/>
      <c r="EM309" s="171"/>
      <c r="EN309" s="81"/>
      <c r="EO309" s="171"/>
      <c r="EP309" s="81"/>
      <c r="EQ309" s="171"/>
      <c r="ER309" s="81"/>
      <c r="ES309" s="82"/>
      <c r="ET309" s="469"/>
      <c r="EU309" s="82"/>
      <c r="EV309" s="171"/>
      <c r="EW309" s="79"/>
      <c r="EX309" s="171"/>
      <c r="EY309" s="79"/>
      <c r="EZ309" s="171"/>
      <c r="FA309" s="79"/>
      <c r="FB309" s="171"/>
      <c r="FC309" s="79"/>
      <c r="FD309" s="171"/>
      <c r="FE309" s="81"/>
      <c r="FF309" s="171"/>
      <c r="FG309" s="81"/>
      <c r="FH309" s="171"/>
      <c r="FI309" s="79"/>
      <c r="FJ309" s="171"/>
      <c r="FK309" s="79"/>
      <c r="FL309" s="171"/>
      <c r="FM309" s="79"/>
      <c r="FN309" s="171"/>
      <c r="FO309" s="79"/>
      <c r="FP309" s="171"/>
      <c r="FQ309" s="79"/>
      <c r="FR309" s="171"/>
      <c r="FS309" s="79"/>
      <c r="FT309" s="171"/>
      <c r="FU309" s="79"/>
      <c r="FV309" s="171"/>
      <c r="FW309" s="79"/>
      <c r="FX309" s="171"/>
      <c r="FY309" s="79"/>
      <c r="FZ309" s="171"/>
      <c r="GA309" s="79"/>
      <c r="GB309" s="171"/>
      <c r="GC309" s="79"/>
      <c r="GD309" s="171"/>
      <c r="GE309" s="79"/>
      <c r="GF309" s="171"/>
      <c r="GG309" s="79"/>
      <c r="GH309" s="171"/>
      <c r="GI309" s="79"/>
      <c r="GJ309" s="171"/>
      <c r="GK309" s="79"/>
      <c r="GL309" s="171"/>
      <c r="GM309" s="79"/>
      <c r="GN309" s="171"/>
      <c r="GO309" s="79"/>
      <c r="GP309" s="171"/>
      <c r="GQ309" s="79"/>
      <c r="GR309" s="171"/>
      <c r="GS309" s="79"/>
      <c r="GT309" s="79"/>
    </row>
    <row r="310" spans="1:286" s="407" customFormat="1" ht="12.75" hidden="1" customHeight="1" outlineLevel="1" x14ac:dyDescent="0.2">
      <c r="A310" s="411"/>
      <c r="B310" s="407" t="s">
        <v>385</v>
      </c>
      <c r="C310" s="408"/>
      <c r="D310" s="408"/>
      <c r="E310" s="409"/>
      <c r="F310" s="409"/>
      <c r="G310" s="409"/>
      <c r="H310" s="409"/>
      <c r="I310" s="409"/>
      <c r="J310" s="409"/>
      <c r="K310" s="409"/>
      <c r="L310" s="408"/>
      <c r="M310" s="409"/>
      <c r="N310" s="408"/>
      <c r="O310" s="409"/>
      <c r="P310" s="408"/>
      <c r="Q310" s="409"/>
      <c r="R310" s="408"/>
      <c r="S310" s="409"/>
      <c r="T310" s="408"/>
      <c r="U310" s="409"/>
      <c r="V310" s="408"/>
      <c r="W310" s="409"/>
      <c r="X310" s="408"/>
      <c r="Y310" s="409"/>
      <c r="Z310" s="408"/>
      <c r="AA310" s="409"/>
      <c r="AB310" s="408"/>
      <c r="AC310" s="409"/>
      <c r="AD310" s="408"/>
      <c r="AE310" s="409"/>
      <c r="AF310" s="408"/>
      <c r="AG310" s="409"/>
      <c r="AH310" s="408"/>
      <c r="AI310" s="409"/>
      <c r="AJ310" s="408"/>
      <c r="AK310" s="409"/>
      <c r="AL310" s="408"/>
      <c r="AM310" s="409"/>
      <c r="AN310" s="408"/>
      <c r="AO310" s="409"/>
      <c r="AP310" s="408"/>
      <c r="AQ310" s="409"/>
      <c r="AR310" s="408"/>
      <c r="AS310" s="409"/>
      <c r="AT310" s="410"/>
      <c r="AU310" s="409"/>
      <c r="AV310" s="410"/>
      <c r="AW310" s="409"/>
      <c r="AX310" s="410"/>
      <c r="AY310" s="409"/>
      <c r="AZ310" s="410"/>
      <c r="BA310" s="409"/>
      <c r="BB310" s="410"/>
      <c r="BC310" s="409"/>
      <c r="BD310" s="410"/>
      <c r="BE310" s="409"/>
      <c r="BF310" s="410"/>
      <c r="BG310" s="409"/>
      <c r="BH310" s="410"/>
      <c r="BI310" s="409"/>
      <c r="BJ310" s="410"/>
      <c r="BK310" s="409"/>
      <c r="BL310" s="410"/>
      <c r="BM310" s="409"/>
      <c r="BN310" s="410"/>
      <c r="BO310" s="409"/>
      <c r="BP310" s="410"/>
      <c r="BQ310" s="409"/>
      <c r="BR310" s="410"/>
      <c r="BS310" s="409"/>
      <c r="BT310" s="410"/>
      <c r="BU310" s="409"/>
      <c r="BV310" s="410"/>
      <c r="BW310" s="409"/>
      <c r="BX310" s="410"/>
      <c r="BY310" s="409"/>
      <c r="BZ310" s="410"/>
      <c r="CA310" s="409"/>
      <c r="CB310" s="410"/>
      <c r="CC310" s="409"/>
      <c r="CD310" s="410"/>
      <c r="CE310" s="409"/>
      <c r="CF310" s="410"/>
      <c r="CG310" s="409"/>
      <c r="CH310" s="410"/>
      <c r="CI310" s="409"/>
      <c r="CJ310" s="410"/>
      <c r="CK310" s="409"/>
      <c r="CL310" s="410"/>
      <c r="CM310" s="409"/>
      <c r="CN310" s="410"/>
      <c r="CO310" s="409"/>
      <c r="CP310" s="410"/>
      <c r="CQ310" s="409"/>
      <c r="CR310" s="410"/>
      <c r="CS310" s="409"/>
      <c r="CT310" s="410"/>
      <c r="CU310" s="409"/>
      <c r="CV310" s="410"/>
      <c r="CW310" s="409"/>
      <c r="CX310" s="410"/>
      <c r="CY310" s="409"/>
      <c r="CZ310" s="410"/>
      <c r="DA310" s="409"/>
      <c r="DB310" s="410"/>
      <c r="DC310" s="409"/>
      <c r="DD310" s="410"/>
      <c r="DE310" s="409"/>
      <c r="DF310" s="410"/>
      <c r="DG310" s="409"/>
      <c r="DH310" s="410"/>
      <c r="DI310" s="409"/>
      <c r="DJ310" s="410"/>
      <c r="DK310" s="409"/>
      <c r="DL310" s="410"/>
      <c r="DM310" s="409"/>
      <c r="DN310" s="410"/>
      <c r="DO310" s="409"/>
      <c r="DP310" s="410"/>
      <c r="DQ310" s="409"/>
      <c r="DR310" s="410"/>
      <c r="DS310" s="409"/>
      <c r="DT310" s="410"/>
      <c r="DU310" s="409"/>
      <c r="DV310" s="410"/>
      <c r="DW310" s="409"/>
      <c r="DX310" s="410"/>
      <c r="DY310" s="409"/>
      <c r="DZ310" s="410"/>
      <c r="EA310" s="409"/>
      <c r="EB310" s="410"/>
      <c r="EC310" s="409"/>
      <c r="ED310" s="410"/>
      <c r="EE310" s="409"/>
      <c r="EF310" s="410"/>
      <c r="EG310" s="409"/>
      <c r="EH310" s="410"/>
      <c r="EI310" s="409"/>
      <c r="EJ310" s="410"/>
      <c r="EK310" s="409"/>
      <c r="EL310" s="410"/>
      <c r="EM310" s="409"/>
      <c r="EN310" s="410"/>
      <c r="EO310" s="409"/>
      <c r="EP310" s="410"/>
      <c r="EQ310" s="409"/>
      <c r="ER310" s="410"/>
      <c r="ES310" s="409"/>
      <c r="ET310" s="483"/>
      <c r="EU310" s="409"/>
      <c r="EV310" s="409"/>
      <c r="EW310" s="408"/>
      <c r="EX310" s="409"/>
      <c r="EY310" s="408"/>
      <c r="EZ310" s="409"/>
      <c r="FA310" s="408"/>
      <c r="FB310" s="409"/>
      <c r="FC310" s="408"/>
      <c r="FD310" s="409"/>
      <c r="FE310" s="408"/>
      <c r="FF310" s="409"/>
      <c r="FG310" s="408"/>
      <c r="FH310" s="409"/>
      <c r="FI310" s="408"/>
      <c r="FJ310" s="409"/>
      <c r="FK310" s="408"/>
      <c r="FL310" s="409"/>
      <c r="FM310" s="408"/>
      <c r="FN310" s="409"/>
      <c r="FO310" s="408"/>
      <c r="FP310" s="409"/>
      <c r="FQ310" s="408"/>
      <c r="FR310" s="409"/>
      <c r="FS310" s="408"/>
      <c r="FT310" s="409"/>
      <c r="FU310" s="408"/>
      <c r="FV310" s="409"/>
      <c r="FW310" s="408"/>
      <c r="FX310" s="409"/>
      <c r="FY310" s="408"/>
      <c r="FZ310" s="409"/>
      <c r="GA310" s="408"/>
      <c r="GB310" s="409"/>
      <c r="GC310" s="408"/>
      <c r="GD310" s="409"/>
      <c r="GE310" s="408"/>
      <c r="GF310" s="409"/>
      <c r="GG310" s="408"/>
      <c r="GH310" s="409"/>
      <c r="GI310" s="408"/>
      <c r="GJ310" s="409"/>
      <c r="GK310" s="408"/>
      <c r="GL310" s="409"/>
      <c r="GM310" s="408"/>
      <c r="GN310" s="409"/>
      <c r="GO310" s="408"/>
      <c r="GP310" s="409"/>
      <c r="GQ310" s="408"/>
      <c r="GR310" s="409"/>
      <c r="GS310" s="408"/>
      <c r="GT310" s="408"/>
      <c r="GU310" s="562"/>
      <c r="GV310" s="562"/>
      <c r="GW310"/>
      <c r="GX310"/>
      <c r="GY310"/>
      <c r="GZ310"/>
      <c r="HA310"/>
      <c r="HB310"/>
      <c r="HC310" s="562"/>
      <c r="HD310" s="562"/>
      <c r="HE310" s="562"/>
      <c r="HF310" s="562"/>
      <c r="HG310" s="562"/>
      <c r="HH310" s="562"/>
      <c r="HI310" s="562"/>
      <c r="HJ310" s="562"/>
      <c r="HK310" s="562"/>
      <c r="HL310" s="562"/>
      <c r="HM310" s="562"/>
      <c r="HN310" s="562"/>
      <c r="HO310" s="562"/>
      <c r="HP310" s="562"/>
      <c r="HQ310" s="562"/>
      <c r="HR310" s="562"/>
      <c r="HS310" s="562"/>
      <c r="HT310" s="562"/>
      <c r="HU310" s="562"/>
      <c r="HV310" s="562"/>
      <c r="HW310" s="562"/>
      <c r="HX310" s="562"/>
      <c r="HY310" s="562"/>
      <c r="HZ310" s="562"/>
      <c r="IA310" s="562"/>
      <c r="IB310" s="562"/>
      <c r="IC310" s="562"/>
      <c r="ID310" s="562"/>
      <c r="IE310" s="562"/>
      <c r="IF310" s="562"/>
      <c r="IG310" s="562"/>
      <c r="IH310" s="562"/>
      <c r="II310" s="562"/>
      <c r="IJ310" s="562"/>
      <c r="IK310" s="562"/>
      <c r="IL310" s="562"/>
      <c r="IM310" s="562"/>
      <c r="IN310" s="562"/>
      <c r="IO310" s="562"/>
      <c r="IP310" s="562"/>
      <c r="IQ310" s="562"/>
      <c r="IR310" s="562"/>
      <c r="IS310" s="562"/>
      <c r="IT310" s="562"/>
      <c r="IU310" s="562"/>
      <c r="IV310" s="562"/>
      <c r="IW310" s="562"/>
      <c r="IX310" s="562"/>
      <c r="IY310" s="562"/>
      <c r="IZ310" s="562"/>
      <c r="JA310" s="562"/>
      <c r="JB310" s="562"/>
      <c r="JC310" s="562"/>
      <c r="JD310" s="562"/>
      <c r="JE310" s="562"/>
      <c r="JF310" s="562"/>
      <c r="JG310" s="562"/>
      <c r="JH310" s="562"/>
      <c r="JI310" s="562"/>
      <c r="JJ310" s="562"/>
      <c r="JK310" s="562"/>
      <c r="JL310" s="562"/>
      <c r="JM310" s="562"/>
      <c r="JN310" s="562"/>
      <c r="JO310" s="562"/>
      <c r="JP310" s="562"/>
      <c r="JQ310" s="562"/>
      <c r="JR310" s="562"/>
      <c r="JS310" s="562"/>
      <c r="JT310" s="562"/>
      <c r="JU310" s="562"/>
      <c r="JV310" s="562"/>
      <c r="JW310" s="562"/>
      <c r="JX310" s="562"/>
      <c r="JY310" s="562"/>
      <c r="JZ310" s="562"/>
    </row>
    <row r="311" spans="1:286" s="76" customFormat="1" ht="12.75" hidden="1" customHeight="1" outlineLevel="1" x14ac:dyDescent="0.2">
      <c r="A311" s="67"/>
      <c r="C311" s="79"/>
      <c r="D311" s="79"/>
      <c r="E311" s="129"/>
      <c r="F311" s="129"/>
      <c r="G311" s="129"/>
      <c r="H311" s="129"/>
      <c r="I311" s="129"/>
      <c r="J311" s="129"/>
      <c r="K311" s="129"/>
      <c r="L311" s="79"/>
      <c r="M311" s="129"/>
      <c r="N311" s="79"/>
      <c r="O311" s="129"/>
      <c r="P311" s="79"/>
      <c r="Q311" s="129"/>
      <c r="R311" s="79"/>
      <c r="S311" s="129"/>
      <c r="T311" s="79"/>
      <c r="U311" s="129"/>
      <c r="V311" s="79"/>
      <c r="W311" s="129"/>
      <c r="X311" s="79"/>
      <c r="Y311" s="129"/>
      <c r="Z311" s="79"/>
      <c r="AA311" s="130"/>
      <c r="AB311" s="79"/>
      <c r="AC311" s="129"/>
      <c r="AD311" s="79"/>
      <c r="AE311" s="129"/>
      <c r="AF311" s="79"/>
      <c r="AG311" s="129"/>
      <c r="AH311" s="79"/>
      <c r="AI311" s="129"/>
      <c r="AJ311" s="79"/>
      <c r="AK311" s="129"/>
      <c r="AL311" s="79"/>
      <c r="AM311" s="129"/>
      <c r="AN311" s="79"/>
      <c r="AO311" s="129"/>
      <c r="AP311" s="79"/>
      <c r="AQ311" s="129"/>
      <c r="AR311" s="79"/>
      <c r="AS311" s="129"/>
      <c r="AT311" s="81"/>
      <c r="AU311" s="129"/>
      <c r="AV311" s="81"/>
      <c r="AW311" s="129"/>
      <c r="AX311" s="81"/>
      <c r="AY311" s="129"/>
      <c r="AZ311" s="81"/>
      <c r="BA311" s="129"/>
      <c r="BB311" s="81"/>
      <c r="BC311" s="129"/>
      <c r="BD311" s="81"/>
      <c r="BE311" s="129"/>
      <c r="BF311" s="81"/>
      <c r="BG311" s="129"/>
      <c r="BH311" s="81"/>
      <c r="BI311" s="129"/>
      <c r="BJ311" s="81"/>
      <c r="BK311" s="129"/>
      <c r="BL311" s="81"/>
      <c r="BM311" s="129"/>
      <c r="BN311" s="81"/>
      <c r="BO311" s="129"/>
      <c r="BP311" s="81"/>
      <c r="BQ311" s="129"/>
      <c r="BR311" s="81"/>
      <c r="BS311" s="129"/>
      <c r="BT311" s="81"/>
      <c r="BU311" s="129"/>
      <c r="BV311" s="81"/>
      <c r="BW311" s="129"/>
      <c r="BX311" s="81"/>
      <c r="BY311" s="129"/>
      <c r="BZ311" s="81"/>
      <c r="CA311" s="129"/>
      <c r="CB311" s="81"/>
      <c r="CC311" s="129"/>
      <c r="CD311" s="81"/>
      <c r="CE311" s="129"/>
      <c r="CF311" s="81"/>
      <c r="CG311" s="129"/>
      <c r="CH311" s="81"/>
      <c r="CI311" s="129"/>
      <c r="CJ311" s="81"/>
      <c r="CK311" s="129"/>
      <c r="CL311" s="81"/>
      <c r="CM311" s="129"/>
      <c r="CN311" s="81"/>
      <c r="CO311" s="129"/>
      <c r="CP311" s="81"/>
      <c r="CQ311" s="129"/>
      <c r="CR311" s="81"/>
      <c r="CS311" s="129"/>
      <c r="CT311" s="81"/>
      <c r="CU311" s="129"/>
      <c r="CV311" s="81"/>
      <c r="CW311" s="129"/>
      <c r="CX311" s="81"/>
      <c r="CY311" s="129"/>
      <c r="CZ311" s="81"/>
      <c r="DA311" s="129"/>
      <c r="DB311" s="81"/>
      <c r="DC311" s="129"/>
      <c r="DD311" s="81"/>
      <c r="DE311" s="129"/>
      <c r="DF311" s="81"/>
      <c r="DG311" s="129"/>
      <c r="DH311" s="81"/>
      <c r="DI311" s="129"/>
      <c r="DJ311" s="81"/>
      <c r="DK311" s="129"/>
      <c r="DL311" s="81"/>
      <c r="DM311" s="129"/>
      <c r="DN311" s="81"/>
      <c r="DO311" s="129"/>
      <c r="DP311" s="81"/>
      <c r="DQ311" s="129"/>
      <c r="DR311" s="81"/>
      <c r="DS311" s="129"/>
      <c r="DT311" s="81"/>
      <c r="DU311" s="129"/>
      <c r="DV311" s="81"/>
      <c r="DW311" s="129"/>
      <c r="DX311" s="81"/>
      <c r="DY311" s="129"/>
      <c r="DZ311" s="81"/>
      <c r="EA311" s="129"/>
      <c r="EB311" s="81"/>
      <c r="EC311" s="129"/>
      <c r="ED311" s="81"/>
      <c r="EE311" s="129"/>
      <c r="EF311" s="81"/>
      <c r="EG311" s="129"/>
      <c r="EH311" s="81"/>
      <c r="EI311" s="129"/>
      <c r="EJ311" s="81"/>
      <c r="EK311" s="129"/>
      <c r="EL311" s="81"/>
      <c r="EM311" s="129"/>
      <c r="EN311" s="81"/>
      <c r="EO311" s="129"/>
      <c r="EP311" s="81"/>
      <c r="EQ311" s="129"/>
      <c r="ER311" s="81"/>
      <c r="ES311" s="129"/>
      <c r="ET311" s="469"/>
      <c r="EU311" s="129"/>
      <c r="EV311" s="129"/>
      <c r="EW311" s="79"/>
      <c r="EX311" s="129"/>
      <c r="EY311" s="79"/>
      <c r="EZ311" s="129"/>
      <c r="FA311" s="79"/>
      <c r="FB311" s="129"/>
      <c r="FC311" s="79"/>
      <c r="FD311" s="129"/>
      <c r="FE311" s="79"/>
      <c r="FF311" s="129"/>
      <c r="FG311" s="79"/>
      <c r="FH311" s="129"/>
      <c r="FI311" s="79"/>
      <c r="FJ311" s="129"/>
      <c r="FK311" s="79"/>
      <c r="FL311" s="129"/>
      <c r="FM311" s="79"/>
      <c r="FN311" s="129"/>
      <c r="FO311" s="79"/>
      <c r="FP311" s="129"/>
      <c r="FQ311" s="79"/>
      <c r="FR311" s="129"/>
      <c r="FS311" s="79"/>
      <c r="FT311" s="129"/>
      <c r="FU311" s="79"/>
      <c r="FV311" s="129"/>
      <c r="FW311" s="79"/>
      <c r="FX311" s="129"/>
      <c r="FY311" s="79"/>
      <c r="FZ311" s="129"/>
      <c r="GA311" s="79"/>
      <c r="GB311" s="129"/>
      <c r="GC311" s="79"/>
      <c r="GD311" s="129"/>
      <c r="GE311" s="79"/>
      <c r="GF311" s="129"/>
      <c r="GG311" s="79"/>
      <c r="GH311" s="129"/>
      <c r="GI311" s="79"/>
      <c r="GJ311" s="129"/>
      <c r="GK311" s="79"/>
      <c r="GL311" s="129"/>
      <c r="GM311" s="79"/>
      <c r="GN311" s="129"/>
      <c r="GO311" s="79"/>
      <c r="GP311" s="129"/>
      <c r="GQ311" s="79"/>
      <c r="GR311" s="129"/>
      <c r="GS311" s="79"/>
      <c r="GT311" s="79"/>
      <c r="GU311" s="562"/>
      <c r="GV311" s="562"/>
      <c r="GW311"/>
      <c r="GX311"/>
      <c r="GY311"/>
      <c r="GZ311"/>
      <c r="HA311"/>
      <c r="HB311"/>
      <c r="HC311" s="562"/>
      <c r="HD311" s="562"/>
      <c r="HE311" s="562"/>
      <c r="HF311" s="562"/>
      <c r="HG311" s="562"/>
      <c r="HH311" s="562"/>
      <c r="HI311" s="562"/>
      <c r="HJ311" s="562"/>
      <c r="HK311" s="562"/>
      <c r="HL311" s="562"/>
      <c r="HM311" s="562"/>
      <c r="HN311" s="562"/>
      <c r="HO311" s="562"/>
      <c r="HP311" s="562"/>
      <c r="HQ311" s="562"/>
      <c r="HR311" s="562"/>
      <c r="HS311" s="562"/>
      <c r="HT311" s="562"/>
      <c r="HU311" s="562"/>
      <c r="HV311" s="562"/>
      <c r="HW311" s="562"/>
      <c r="HX311" s="562"/>
      <c r="HY311" s="562"/>
      <c r="HZ311" s="562"/>
      <c r="IA311" s="562"/>
      <c r="IB311" s="562"/>
      <c r="IC311" s="562"/>
      <c r="ID311" s="562"/>
      <c r="IE311" s="562"/>
      <c r="IF311" s="562"/>
      <c r="IG311" s="562"/>
      <c r="IH311" s="562"/>
      <c r="II311" s="562"/>
      <c r="IJ311" s="562"/>
      <c r="IK311" s="562"/>
      <c r="IL311" s="562"/>
      <c r="IM311" s="562"/>
      <c r="IN311" s="562"/>
      <c r="IO311" s="562"/>
      <c r="IP311" s="562"/>
      <c r="IQ311" s="562"/>
      <c r="IR311" s="562"/>
      <c r="IS311" s="562"/>
      <c r="IT311" s="562"/>
      <c r="IU311" s="562"/>
      <c r="IV311" s="562"/>
      <c r="IW311" s="562"/>
      <c r="IX311" s="562"/>
      <c r="IY311" s="562"/>
      <c r="IZ311" s="562"/>
      <c r="JA311" s="562"/>
      <c r="JB311" s="562"/>
      <c r="JC311" s="562"/>
      <c r="JD311" s="562"/>
      <c r="JE311" s="562"/>
      <c r="JF311" s="562"/>
      <c r="JG311" s="562"/>
      <c r="JH311" s="562"/>
      <c r="JI311" s="562"/>
      <c r="JJ311" s="562"/>
      <c r="JK311" s="562"/>
      <c r="JL311" s="562"/>
      <c r="JM311" s="562"/>
      <c r="JN311" s="562"/>
      <c r="JO311" s="562"/>
      <c r="JP311" s="562"/>
      <c r="JQ311" s="562"/>
      <c r="JR311" s="562"/>
      <c r="JS311" s="562"/>
      <c r="JT311" s="562"/>
      <c r="JU311" s="562"/>
      <c r="JV311" s="562"/>
      <c r="JW311" s="562"/>
      <c r="JX311" s="562"/>
      <c r="JY311" s="562"/>
      <c r="JZ311" s="562"/>
    </row>
    <row r="312" spans="1:286" s="83" customFormat="1" ht="12.75" hidden="1" customHeight="1" outlineLevel="1" x14ac:dyDescent="0.2">
      <c r="A312" s="77"/>
      <c r="B312" s="83" t="s">
        <v>283</v>
      </c>
      <c r="C312" s="79"/>
      <c r="D312" s="79"/>
      <c r="E312" s="129"/>
      <c r="F312" s="129"/>
      <c r="G312" s="129"/>
      <c r="H312" s="129"/>
      <c r="I312" s="129"/>
      <c r="J312" s="129"/>
      <c r="K312" s="129"/>
      <c r="L312" s="79"/>
      <c r="M312" s="129"/>
      <c r="N312" s="79"/>
      <c r="O312" s="129"/>
      <c r="P312" s="79"/>
      <c r="Q312" s="129"/>
      <c r="R312" s="79"/>
      <c r="S312" s="129"/>
      <c r="T312" s="79"/>
      <c r="U312" s="129"/>
      <c r="V312" s="79"/>
      <c r="W312" s="129"/>
      <c r="X312" s="79"/>
      <c r="Y312" s="129"/>
      <c r="Z312" s="79"/>
      <c r="AA312" s="130"/>
      <c r="AB312" s="79"/>
      <c r="AC312" s="129"/>
      <c r="AD312" s="79"/>
      <c r="AE312" s="129"/>
      <c r="AF312" s="79"/>
      <c r="AG312" s="129"/>
      <c r="AH312" s="79"/>
      <c r="AI312" s="129"/>
      <c r="AJ312" s="79"/>
      <c r="AK312" s="129"/>
      <c r="AL312" s="79"/>
      <c r="AM312" s="129"/>
      <c r="AN312" s="79"/>
      <c r="AO312" s="129"/>
      <c r="AP312" s="79"/>
      <c r="AQ312" s="129"/>
      <c r="AR312" s="79"/>
      <c r="AS312" s="129"/>
      <c r="AT312" s="81"/>
      <c r="AU312" s="129"/>
      <c r="AV312" s="81"/>
      <c r="AW312" s="129"/>
      <c r="AX312" s="81"/>
      <c r="AY312" s="129"/>
      <c r="AZ312" s="81"/>
      <c r="BA312" s="129"/>
      <c r="BB312" s="81"/>
      <c r="BC312" s="129"/>
      <c r="BD312" s="81"/>
      <c r="BE312" s="129"/>
      <c r="BF312" s="81"/>
      <c r="BG312" s="129"/>
      <c r="BH312" s="81"/>
      <c r="BI312" s="129"/>
      <c r="BJ312" s="81"/>
      <c r="BK312" s="129"/>
      <c r="BL312" s="81"/>
      <c r="BM312" s="129"/>
      <c r="BN312" s="81"/>
      <c r="BO312" s="129"/>
      <c r="BP312" s="81"/>
      <c r="BQ312" s="129"/>
      <c r="BR312" s="81"/>
      <c r="BS312" s="129"/>
      <c r="BT312" s="81"/>
      <c r="BU312" s="129"/>
      <c r="BV312" s="81"/>
      <c r="BW312" s="129"/>
      <c r="BX312" s="81"/>
      <c r="BY312" s="129"/>
      <c r="BZ312" s="81"/>
      <c r="CA312" s="129"/>
      <c r="CB312" s="81"/>
      <c r="CC312" s="129"/>
      <c r="CD312" s="81"/>
      <c r="CE312" s="129"/>
      <c r="CF312" s="81"/>
      <c r="CG312" s="129"/>
      <c r="CH312" s="81"/>
      <c r="CI312" s="129"/>
      <c r="CJ312" s="81"/>
      <c r="CK312" s="129"/>
      <c r="CL312" s="81"/>
      <c r="CM312" s="129"/>
      <c r="CN312" s="81"/>
      <c r="CO312" s="129"/>
      <c r="CP312" s="81"/>
      <c r="CQ312" s="129"/>
      <c r="CR312" s="81"/>
      <c r="CS312" s="129"/>
      <c r="CT312" s="81"/>
      <c r="CU312" s="129"/>
      <c r="CV312" s="81"/>
      <c r="CW312" s="129"/>
      <c r="CX312" s="81"/>
      <c r="CY312" s="129"/>
      <c r="CZ312" s="81"/>
      <c r="DA312" s="129"/>
      <c r="DB312" s="81"/>
      <c r="DC312" s="129"/>
      <c r="DD312" s="81"/>
      <c r="DE312" s="129"/>
      <c r="DF312" s="81"/>
      <c r="DG312" s="129"/>
      <c r="DH312" s="81"/>
      <c r="DI312" s="129"/>
      <c r="DJ312" s="81"/>
      <c r="DK312" s="129"/>
      <c r="DL312" s="81"/>
      <c r="DM312" s="129"/>
      <c r="DN312" s="81"/>
      <c r="DO312" s="129"/>
      <c r="DP312" s="81"/>
      <c r="DQ312" s="129"/>
      <c r="DR312" s="81"/>
      <c r="DS312" s="129"/>
      <c r="DT312" s="81"/>
      <c r="DU312" s="129"/>
      <c r="DV312" s="81"/>
      <c r="DW312" s="129"/>
      <c r="DX312" s="81"/>
      <c r="DY312" s="129"/>
      <c r="DZ312" s="81"/>
      <c r="EA312" s="129"/>
      <c r="EB312" s="81"/>
      <c r="EC312" s="129"/>
      <c r="ED312" s="81"/>
      <c r="EE312" s="129"/>
      <c r="EF312" s="81"/>
      <c r="EG312" s="129"/>
      <c r="EH312" s="81"/>
      <c r="EI312" s="129"/>
      <c r="EJ312" s="81"/>
      <c r="EK312" s="129"/>
      <c r="EL312" s="81"/>
      <c r="EM312" s="129"/>
      <c r="EN312" s="81"/>
      <c r="EO312" s="129"/>
      <c r="EP312" s="81"/>
      <c r="EQ312" s="129"/>
      <c r="ER312" s="81"/>
      <c r="ES312" s="129"/>
      <c r="ET312" s="469"/>
      <c r="EU312" s="129"/>
      <c r="EV312" s="129"/>
      <c r="EW312" s="79"/>
      <c r="EX312" s="129"/>
      <c r="EY312" s="79"/>
      <c r="EZ312" s="129"/>
      <c r="FA312" s="79"/>
      <c r="FB312" s="129"/>
      <c r="FC312" s="79"/>
      <c r="FD312" s="129"/>
      <c r="FE312" s="79"/>
      <c r="FF312" s="129"/>
      <c r="FG312" s="79"/>
      <c r="FH312" s="129"/>
      <c r="FI312" s="79"/>
      <c r="FJ312" s="129"/>
      <c r="FK312" s="79"/>
      <c r="FL312" s="129"/>
      <c r="FM312" s="79"/>
      <c r="FN312" s="129"/>
      <c r="FO312" s="79"/>
      <c r="FP312" s="129"/>
      <c r="FQ312" s="79"/>
      <c r="FR312" s="129"/>
      <c r="FS312" s="79"/>
      <c r="FT312" s="129"/>
      <c r="FU312" s="79"/>
      <c r="FV312" s="129"/>
      <c r="FW312" s="79"/>
      <c r="FX312" s="129"/>
      <c r="FY312" s="79"/>
      <c r="FZ312" s="129"/>
      <c r="GA312" s="79"/>
      <c r="GB312" s="129"/>
      <c r="GC312" s="79"/>
      <c r="GD312" s="129"/>
      <c r="GE312" s="79"/>
      <c r="GF312" s="129"/>
      <c r="GG312" s="79"/>
      <c r="GH312" s="129"/>
      <c r="GI312" s="79"/>
      <c r="GJ312" s="129"/>
      <c r="GK312" s="79"/>
      <c r="GL312" s="129"/>
      <c r="GM312" s="79"/>
      <c r="GN312" s="129"/>
      <c r="GO312" s="79"/>
      <c r="GP312" s="129"/>
      <c r="GQ312" s="79"/>
      <c r="GR312" s="129"/>
      <c r="GS312" s="79"/>
      <c r="GT312" s="79"/>
      <c r="GU312" s="562"/>
      <c r="GV312" s="562"/>
      <c r="GW312"/>
      <c r="GX312"/>
      <c r="GY312"/>
      <c r="GZ312"/>
      <c r="HA312"/>
      <c r="HB312"/>
      <c r="HC312" s="562"/>
      <c r="HD312" s="562"/>
      <c r="HE312" s="562"/>
      <c r="HF312" s="562"/>
      <c r="HG312" s="562"/>
      <c r="HH312" s="562"/>
      <c r="HI312" s="562"/>
      <c r="HJ312" s="562"/>
      <c r="HK312" s="562"/>
      <c r="HL312" s="562"/>
      <c r="HM312" s="562"/>
      <c r="HN312" s="562"/>
      <c r="HO312" s="562"/>
      <c r="HP312" s="562"/>
      <c r="HQ312" s="562"/>
      <c r="HR312" s="562"/>
      <c r="HS312" s="562"/>
      <c r="HT312" s="562"/>
      <c r="HU312" s="562"/>
      <c r="HV312" s="562"/>
      <c r="HW312" s="562"/>
      <c r="HX312" s="562"/>
      <c r="HY312" s="562"/>
      <c r="HZ312" s="562"/>
      <c r="IA312" s="562"/>
      <c r="IB312" s="562"/>
      <c r="IC312" s="562"/>
      <c r="ID312" s="562"/>
      <c r="IE312" s="562"/>
      <c r="IF312" s="562"/>
      <c r="IG312" s="562"/>
      <c r="IH312" s="562"/>
      <c r="II312" s="562"/>
      <c r="IJ312" s="562"/>
      <c r="IK312" s="562"/>
      <c r="IL312" s="562"/>
      <c r="IM312" s="562"/>
      <c r="IN312" s="562"/>
      <c r="IO312" s="562"/>
      <c r="IP312" s="562"/>
      <c r="IQ312" s="562"/>
      <c r="IR312" s="562"/>
      <c r="IS312" s="562"/>
      <c r="IT312" s="562"/>
      <c r="IU312" s="562"/>
      <c r="IV312" s="562"/>
      <c r="IW312" s="562"/>
      <c r="IX312" s="562"/>
      <c r="IY312" s="562"/>
      <c r="IZ312" s="562"/>
      <c r="JA312" s="562"/>
      <c r="JB312" s="562"/>
      <c r="JC312" s="562"/>
      <c r="JD312" s="562"/>
      <c r="JE312" s="562"/>
      <c r="JF312" s="562"/>
      <c r="JG312" s="562"/>
      <c r="JH312" s="562"/>
      <c r="JI312" s="562"/>
      <c r="JJ312" s="562"/>
      <c r="JK312" s="562"/>
      <c r="JL312" s="562"/>
      <c r="JM312" s="562"/>
      <c r="JN312" s="562"/>
      <c r="JO312" s="562"/>
      <c r="JP312" s="562"/>
      <c r="JQ312" s="562"/>
      <c r="JR312" s="562"/>
      <c r="JS312" s="562"/>
      <c r="JT312" s="562"/>
      <c r="JU312" s="562"/>
      <c r="JV312" s="562"/>
      <c r="JW312" s="562"/>
      <c r="JX312" s="562"/>
      <c r="JY312" s="562"/>
      <c r="JZ312" s="562"/>
    </row>
    <row r="313" spans="1:286" s="249" customFormat="1" ht="12.75" hidden="1" customHeight="1" outlineLevel="1" x14ac:dyDescent="0.2">
      <c r="A313" s="248"/>
      <c r="B313" s="10" t="s">
        <v>269</v>
      </c>
      <c r="C313" s="79"/>
      <c r="D313" s="79"/>
      <c r="E313" s="95">
        <v>36.700000000000003</v>
      </c>
      <c r="F313" s="95"/>
      <c r="G313" s="95">
        <v>40.5</v>
      </c>
      <c r="H313" s="95"/>
      <c r="I313" s="95">
        <v>36.4</v>
      </c>
      <c r="J313" s="95"/>
      <c r="K313" s="95">
        <v>-1.7</v>
      </c>
      <c r="L313" s="79"/>
      <c r="M313" s="95">
        <v>9.3000000000000007</v>
      </c>
      <c r="N313" s="79" t="str">
        <f>IF(ISERROR((M313/E313-1)*100),"NA",IF(((M313/E313-1)*100)&gt;100,"NM",IF(((M313/E313-1)*100)&lt;-50,"NM",(M313/E313-1)*100)))</f>
        <v>NM</v>
      </c>
      <c r="O313" s="95">
        <v>11.7</v>
      </c>
      <c r="P313" s="79" t="str">
        <f>IF(ISERROR((O313/G313-1)*100),"NA",IF(((O313/G313-1)*100)&gt;100,"NM",IF(((O313/G313-1)*100)&lt;-50,"NM",(O313/G313-1)*100)))</f>
        <v>NM</v>
      </c>
      <c r="Q313" s="95">
        <v>13.9</v>
      </c>
      <c r="R313" s="79" t="str">
        <f>IF(ISERROR((Q313/I313-1)*100),"NA",IF(((Q313/I313-1)*100)&gt;100,"NM",IF(((Q313/I313-1)*100)&lt;-50,"NM",(Q313/I313-1)*100)))</f>
        <v>NM</v>
      </c>
      <c r="S313" s="95">
        <v>2.7</v>
      </c>
      <c r="T313" s="79" t="str">
        <f>IF(ISERROR((S313/K313-1)*100),"NA",IF(((S313/K313-1)*100)&gt;100,"NM",IF(((S313/K313-1)*100)&lt;-50,"NM",(S313/K313-1)*100)))</f>
        <v>NM</v>
      </c>
      <c r="U313" s="95">
        <v>10</v>
      </c>
      <c r="V313" s="79">
        <f>IF(ISERROR((U313/M313-1)*100),"NA",IF(((U313/M313-1)*100)&gt;100,"NM",IF(((U313/M313-1)*100)&lt;-50,"NM",(U313/M313-1)*100)))</f>
        <v>7.5268817204301008</v>
      </c>
      <c r="W313" s="95">
        <v>7.6</v>
      </c>
      <c r="X313" s="79">
        <f>IF(ISERROR((W313/O313-1)*100),"NA",IF(((W313/O313-1)*100)&gt;100,"NM",IF(((W313/O313-1)*100)&lt;-50,"NM",(W313/O313-1)*100)))</f>
        <v>-35.042735042735039</v>
      </c>
      <c r="Y313" s="95">
        <v>9</v>
      </c>
      <c r="Z313" s="79">
        <f>IF(ISERROR((Y313/Q313-1)*100),"NA",IF(((Y313/Q313-1)*100)&gt;100,"NM",IF(((Y313/Q313-1)*100)&lt;-50,"NM",(Y313/Q313-1)*100)))</f>
        <v>-35.251798561151084</v>
      </c>
      <c r="AA313" s="126">
        <v>7.7</v>
      </c>
      <c r="AB313" s="79" t="str">
        <f>IF(ISERROR((AA313/S313-1)*100),"NA",IF(((AA313/S313-1)*100)&gt;100,"NM",IF(((AA313/S313-1)*100)&lt;-50,"NM",(AA313/S313-1)*100)))</f>
        <v>NM</v>
      </c>
      <c r="AC313" s="95">
        <v>8.6</v>
      </c>
      <c r="AD313" s="79">
        <f>IF(ISERROR((AC313/U313-1)*100),"NA",IF(((AC313/U313-1)*100)&gt;100,"NM",IF(((AC313/U313-1)*100)&lt;-50,"NM",(AC313/U313-1)*100)))</f>
        <v>-14.000000000000002</v>
      </c>
      <c r="AE313" s="95">
        <v>2.9</v>
      </c>
      <c r="AF313" s="79" t="str">
        <f>IF(ISERROR((AE313/W313-1)*100),"NA",IF(((AE313/W313-1)*100)&gt;100,"NM",IF(((AE313/W313-1)*100)&lt;-50,"NM",(AE313/W313-1)*100)))</f>
        <v>NM</v>
      </c>
      <c r="AG313" s="95">
        <v>10.6</v>
      </c>
      <c r="AH313" s="79">
        <f>IF(ISERROR((AG313/Y313-1)*100),"NA",IF(((AG313/Y313-1)*100)&gt;100,"NM",IF(((AG313/Y313-1)*100)&lt;-50,"NM",(AG313/Y313-1)*100)))</f>
        <v>17.777777777777782</v>
      </c>
      <c r="AI313" s="95">
        <v>9.1999999999999993</v>
      </c>
      <c r="AJ313" s="79">
        <f>IF(ISERROR((AI313/AA313-1)*100),"NA",IF(((AI313/AA313-1)*100)&gt;100,"NM",IF(((AI313/AA313-1)*100)&lt;-50,"NM",(AI313/AA313-1)*100)))</f>
        <v>19.480519480519476</v>
      </c>
      <c r="AK313" s="95">
        <v>0.3</v>
      </c>
      <c r="AL313" s="79" t="str">
        <f>IF(ISERROR((AK313/AC313-1)*100),"NA",IF(((AK313/AC313-1)*100)&gt;100,"NM",IF(((AK313/AC313-1)*100)&lt;-50,"NM",(AK313/AC313-1)*100)))</f>
        <v>NM</v>
      </c>
      <c r="AM313" s="95">
        <v>1.2</v>
      </c>
      <c r="AN313" s="79" t="str">
        <f>IF(ISERROR((AM313/AE313-1)*100),"NA",IF(((AM313/AE313-1)*100)&gt;100,"NM",IF(((AM313/AE313-1)*100)&lt;-50,"NM",(AM313/AE313-1)*100)))</f>
        <v>NM</v>
      </c>
      <c r="AO313" s="95">
        <v>-0.3</v>
      </c>
      <c r="AP313" s="79" t="str">
        <f>IF(ISERROR((AO313/AG313-1)*100),"NA",IF(((AO313/AG313-1)*100)&gt;100,"NM",IF(((AO313/AG313-1)*100)&lt;-50,"NM",(AO313/AG313-1)*100)))</f>
        <v>NM</v>
      </c>
      <c r="AQ313" s="95">
        <v>1.4</v>
      </c>
      <c r="AR313" s="79" t="str">
        <f>IF(ISERROR((AQ313/AI313-1)*100),"NA",IF(((AQ313/AI313-1)*100)&gt;100,"NM",IF(((AQ313/AI313-1)*100)&lt;-50,"NM",(AQ313/AI313-1)*100)))</f>
        <v>NM</v>
      </c>
      <c r="AS313" s="179">
        <v>1.2</v>
      </c>
      <c r="AT313" s="81" t="str">
        <f>IF(ISERROR((AS313/AK313-1)*100),"NA",IF(((AS313/AK313-1)*100)&gt;100,"NM",IF(((AS313/AK313-1)*100)&lt;-50,"NM",(AS313/AK313-1)*100)))</f>
        <v>NM</v>
      </c>
      <c r="AU313" s="179">
        <v>1.2</v>
      </c>
      <c r="AV313" s="81">
        <f>IF(ISERROR((AU313/AM313-1)*100),"NA",IF(((AU313/AM313-1)*100)&gt;100,"NM",IF(((AU313/AM313-1)*100)&lt;-50,"NM",(AU313/AM313-1)*100)))</f>
        <v>0</v>
      </c>
      <c r="AW313" s="179">
        <v>0.1</v>
      </c>
      <c r="AX313" s="81" t="str">
        <f>IF(ISERROR((AW313/AO313-1)*100),"NA",IF(((AW313/AO313-1)*100)&gt;100,"NM",IF(((AW313/AO313-1)*100)&lt;-50,"NM",(AW313/AO313-1)*100)))</f>
        <v>NM</v>
      </c>
      <c r="AY313" s="179">
        <v>2</v>
      </c>
      <c r="AZ313" s="81">
        <f>IF(ISERROR((AY313/AQ313-1)*100),"NA",IF(((AY313/AQ313-1)*100)&gt;100,"NM",IF(((AY313/AQ313-1)*100)&lt;-50,"NM",(AY313/AQ313-1)*100)))</f>
        <v>42.857142857142861</v>
      </c>
      <c r="BA313" s="179">
        <v>1.1000000000000001</v>
      </c>
      <c r="BB313" s="81">
        <f>IF(ISERROR((BA313/AS313-1)*100),"NA",IF(((BA313/AS313-1)*100)&gt;100,"NM",IF(((BA313/AS313-1)*100)&lt;-50,"NM",(BA313/AS313-1)*100)))</f>
        <v>-8.333333333333325</v>
      </c>
      <c r="BC313" s="179">
        <v>-0.2</v>
      </c>
      <c r="BD313" s="81" t="str">
        <f>IF(ISERROR((BC313/AU313-1)*100),"NA",IF(((BC313/AU313-1)*100)&gt;100,"NM",IF(((BC313/AU313-1)*100)&lt;-50,"NM",(BC313/AU313-1)*100)))</f>
        <v>NM</v>
      </c>
      <c r="BE313" s="179">
        <v>0.6</v>
      </c>
      <c r="BF313" s="81" t="str">
        <f>IF(ISERROR((BE313/AW313-1)*100),"NA",IF(((BE313/AW313-1)*100)&gt;100,"NM",IF(((BE313/AW313-1)*100)&lt;-50,"NM",(BE313/AW313-1)*100)))</f>
        <v>NM</v>
      </c>
      <c r="BG313" s="179">
        <v>0.2</v>
      </c>
      <c r="BH313" s="81" t="str">
        <f>IF(ISERROR((BG313/AY313-1)*100),"NA",IF(((BG313/AY313-1)*100)&gt;100,"NM",IF(((BG313/AY313-1)*100)&lt;-50,"NM",(BG313/AY313-1)*100)))</f>
        <v>NM</v>
      </c>
      <c r="BI313" s="179">
        <v>0.7</v>
      </c>
      <c r="BJ313" s="81">
        <f>IF(ISERROR((BI313/BA313-1)*100),"NA",IF(((BI313/BA313-1)*100)&gt;100,"NM",IF(((BI313/BA313-1)*100)&lt;-50,"NM",(BI313/BA313-1)*100)))</f>
        <v>-36.363636363636374</v>
      </c>
      <c r="BK313" s="179">
        <v>0.2</v>
      </c>
      <c r="BL313" s="81" t="str">
        <f>IF(ISERROR((BK313/BC313-1)*100),"NA",IF(((BK313/BC313-1)*100)&gt;100,"NM",IF(((BK313/BC313-1)*100)&lt;-50,"NM",(BK313/BC313-1)*100)))</f>
        <v>NM</v>
      </c>
      <c r="BM313" s="179">
        <v>0</v>
      </c>
      <c r="BN313" s="81"/>
      <c r="BO313" s="179"/>
      <c r="BP313" s="81"/>
      <c r="BQ313" s="179"/>
      <c r="BR313" s="81"/>
      <c r="BS313" s="179"/>
      <c r="BT313" s="81"/>
      <c r="BU313" s="179"/>
      <c r="BV313" s="81"/>
      <c r="BW313" s="179"/>
      <c r="BX313" s="81"/>
      <c r="BY313" s="179"/>
      <c r="BZ313" s="81"/>
      <c r="CA313" s="179"/>
      <c r="CB313" s="81"/>
      <c r="CC313" s="179"/>
      <c r="CD313" s="81"/>
      <c r="CE313" s="179"/>
      <c r="CF313" s="81"/>
      <c r="CG313" s="179"/>
      <c r="CH313" s="81"/>
      <c r="CI313" s="179"/>
      <c r="CJ313" s="81"/>
      <c r="CK313" s="179"/>
      <c r="CL313" s="81"/>
      <c r="CM313" s="179"/>
      <c r="CN313" s="81"/>
      <c r="CO313" s="179"/>
      <c r="CP313" s="81"/>
      <c r="CQ313" s="179"/>
      <c r="CR313" s="81"/>
      <c r="CS313" s="179"/>
      <c r="CT313" s="81"/>
      <c r="CU313" s="179"/>
      <c r="CV313" s="81"/>
      <c r="CW313" s="179"/>
      <c r="CX313" s="81"/>
      <c r="CY313" s="179"/>
      <c r="CZ313" s="81"/>
      <c r="DA313" s="179"/>
      <c r="DB313" s="81"/>
      <c r="DC313" s="179"/>
      <c r="DD313" s="81"/>
      <c r="DE313" s="179"/>
      <c r="DF313" s="81"/>
      <c r="DG313" s="179"/>
      <c r="DH313" s="81"/>
      <c r="DI313" s="179"/>
      <c r="DJ313" s="81"/>
      <c r="DK313" s="179"/>
      <c r="DL313" s="81"/>
      <c r="DM313" s="179"/>
      <c r="DN313" s="81"/>
      <c r="DO313" s="179"/>
      <c r="DP313" s="81"/>
      <c r="DQ313" s="179"/>
      <c r="DR313" s="81"/>
      <c r="DS313" s="179"/>
      <c r="DT313" s="81"/>
      <c r="DU313" s="179"/>
      <c r="DV313" s="81"/>
      <c r="DW313" s="179"/>
      <c r="DX313" s="81"/>
      <c r="DY313" s="179"/>
      <c r="DZ313" s="81"/>
      <c r="EA313" s="179"/>
      <c r="EB313" s="81"/>
      <c r="EC313" s="179"/>
      <c r="ED313" s="81"/>
      <c r="EE313" s="179"/>
      <c r="EF313" s="81"/>
      <c r="EG313" s="179"/>
      <c r="EH313" s="81"/>
      <c r="EI313" s="179"/>
      <c r="EJ313" s="81"/>
      <c r="EK313" s="179"/>
      <c r="EL313" s="81"/>
      <c r="EM313" s="179"/>
      <c r="EN313" s="81"/>
      <c r="EO313" s="179"/>
      <c r="EP313" s="81"/>
      <c r="EQ313" s="179"/>
      <c r="ER313" s="81"/>
      <c r="ES313" s="179"/>
      <c r="ET313" s="474"/>
      <c r="EU313" s="179"/>
      <c r="EV313" s="179"/>
      <c r="EW313" s="195"/>
      <c r="EX313" s="179"/>
      <c r="EY313" s="195"/>
      <c r="EZ313" s="198"/>
      <c r="FA313" s="195"/>
      <c r="FB313" s="282">
        <f>+E313+G313+I313+K313</f>
        <v>111.89999999999999</v>
      </c>
      <c r="FC313" s="195" t="str">
        <f>IF(ISERROR((FB313/EZ313-1)*100),"NA",IF(((FB313/EZ313-1)*100)&gt;100,"NM",IF(((FB313/EZ313-1)*100)&lt;-50,"NM",(FB313/EZ313-1)*100)))</f>
        <v>NA</v>
      </c>
      <c r="FD313" s="198">
        <f>+S313+Q313+O313+M313</f>
        <v>37.6</v>
      </c>
      <c r="FE313" s="195" t="str">
        <f>IF(ISERROR((FD313/FB313-1)*100),"NA",IF(((FD313/FB313-1)*100)&gt;100,"NM",IF(((FD313/FB313-1)*100)&lt;-50,"NM",(FD313/FB313-1)*100)))</f>
        <v>NM</v>
      </c>
      <c r="FF313" s="198">
        <f>+AA313+Y313+W313+U313</f>
        <v>34.299999999999997</v>
      </c>
      <c r="FG313" s="195">
        <f>IF(ISERROR((FF313/FD313-1)*100),"NA",IF(((FF313/FD313-1)*100)&gt;100,"NM",IF(((FF313/FD313-1)*100)&lt;-50,"NM",(FF313/FD313-1)*100)))</f>
        <v>-8.7765957446808596</v>
      </c>
      <c r="FH313" s="198">
        <f>+AI313+AG313+AE313+AC313</f>
        <v>31.299999999999997</v>
      </c>
      <c r="FI313" s="195">
        <f>IF(ISERROR((FH313/FF313-1)*100),"NA",IF(((FH313/FF313-1)*100)&gt;100,"NM",IF(((FH313/FF313-1)*100)&lt;-50,"NM",(FH313/FF313-1)*100)))</f>
        <v>-8.7463556851311903</v>
      </c>
      <c r="FJ313" s="282">
        <f>+AQ313+AO313+AM313+AK313</f>
        <v>2.5999999999999996</v>
      </c>
      <c r="FK313" s="195" t="str">
        <f>IF(ISERROR((FJ313/FH313-1)*100),"NA",IF(((FJ313/FH313-1)*100)&gt;100,"NM",IF(((FJ313/FH313-1)*100)&lt;-50,"NM",(FJ313/FH313-1)*100)))</f>
        <v>NM</v>
      </c>
      <c r="FL313" s="78">
        <f>AS313+AU313+AW313+AY313</f>
        <v>4.5</v>
      </c>
      <c r="FM313" s="195">
        <f>IF(ISERROR((FL313/FJ313-1)*100),"NA",IF(((FL313/FJ313-1)*100)&gt;100,"NM",IF(((FL313/FJ313-1)*100)&lt;-50,"NM",(FL313/FJ313-1)*100)))</f>
        <v>73.076923076923109</v>
      </c>
      <c r="FN313" s="78">
        <f>BA313+BC313+BE313+BG313</f>
        <v>1.7</v>
      </c>
      <c r="FO313" s="195" t="str">
        <f>IF(ISERROR((FN313/FL313-1)*100),"NA",IF(((FN313/FL313-1)*100)&gt;100,"NM",IF(((FN313/FL313-1)*100)&lt;-50,"NM",(FN313/FL313-1)*100)))</f>
        <v>NM</v>
      </c>
      <c r="FP313" s="78">
        <f>BI313+BK313+BM313+BO313</f>
        <v>0.89999999999999991</v>
      </c>
      <c r="FQ313" s="195">
        <f>IF(ISERROR((FP313/FN313-1)*100),"NA",IF(((FP313/FN313-1)*100)&gt;100,"NM",IF(((FP313/FN313-1)*100)&lt;-50,"NM",(FP313/FN313-1)*100)))</f>
        <v>-47.058823529411761</v>
      </c>
      <c r="FR313" s="282"/>
      <c r="FS313" s="195" t="str">
        <f>IF(ISERROR((FR313/FP313-1)*100),"NA",IF(((FR313/FP313-1)*100)&gt;100,"NM",IF(((FR313/FP313-1)*100)&lt;-50,"NM",(FR313/FP313-1)*100)))</f>
        <v>NM</v>
      </c>
      <c r="FT313" s="282"/>
      <c r="FU313" s="195" t="str">
        <f>IF(ISERROR((FT313/FR313-1)*100),"NA",IF(((FT313/FR313-1)*100)&gt;100,"NM",IF(((FT313/FR313-1)*100)&lt;-50,"NM",(FT313/FR313-1)*100)))</f>
        <v>NA</v>
      </c>
      <c r="FV313" s="282"/>
      <c r="FW313" s="195" t="str">
        <f>IF(ISERROR((FV313/FT313-1)*100),"NA",IF(((FV313/FT313-1)*100)&gt;100,"NM",IF(((FV313/FT313-1)*100)&lt;-50,"NM",(FV313/FT313-1)*100)))</f>
        <v>NA</v>
      </c>
      <c r="FX313" s="282"/>
      <c r="FY313" s="195" t="str">
        <f>IF(ISERROR((FX313/FV313-1)*100),"NA",IF(((FX313/FV313-1)*100)&gt;100,"NM",IF(((FX313/FV313-1)*100)&lt;-50,"NM",(FX313/FV313-1)*100)))</f>
        <v>NA</v>
      </c>
      <c r="FZ313" s="282"/>
      <c r="GA313" s="195" t="str">
        <f>IF(ISERROR((FZ313/FX313-1)*100),"NA",IF(((FZ313/FX313-1)*100)&gt;100,"NM",IF(((FZ313/FX313-1)*100)&lt;-50,"NM",(FZ313/FX313-1)*100)))</f>
        <v>NA</v>
      </c>
      <c r="GB313" s="282"/>
      <c r="GC313" s="195" t="str">
        <f>IF(ISERROR((GB313/FZ313-1)*100),"NA",IF(((GB313/FZ313-1)*100)&gt;100,"NM",IF(((GB313/FZ313-1)*100)&lt;-50,"NM",(GB313/FZ313-1)*100)))</f>
        <v>NA</v>
      </c>
      <c r="GD313" s="282"/>
      <c r="GE313" s="195" t="str">
        <f>IF(ISERROR((GD313/GB313-1)*100),"NA",IF(((GD313/GB313-1)*100)&gt;100,"NM",IF(((GD313/GB313-1)*100)&lt;-50,"NM",(GD313/GB313-1)*100)))</f>
        <v>NA</v>
      </c>
      <c r="GF313" s="282"/>
      <c r="GG313" s="195" t="str">
        <f>IF(ISERROR((GF313/GD313-1)*100),"NA",IF(((GF313/GD313-1)*100)&gt;100,"NM",IF(((GF313/GD313-1)*100)&lt;-50,"NM",(GF313/GD313-1)*100)))</f>
        <v>NA</v>
      </c>
      <c r="GH313" s="282"/>
      <c r="GI313" s="195" t="str">
        <f>IF(ISERROR((GH313/GF313-1)*100),"NA",IF(((GH313/GF313-1)*100)&gt;100,"NM",IF(((GH313/GF313-1)*100)&lt;-50,"NM",(GH313/GF313-1)*100)))</f>
        <v>NA</v>
      </c>
      <c r="GJ313" s="282"/>
      <c r="GK313" s="195" t="str">
        <f>IF(ISERROR((GJ313/GH313-1)*100),"NA",IF(((GJ313/GH313-1)*100)&gt;100,"NM",IF(((GJ313/GH313-1)*100)&lt;-50,"NM",(GJ313/GH313-1)*100)))</f>
        <v>NA</v>
      </c>
      <c r="GL313" s="179"/>
      <c r="GM313" s="195" t="str">
        <f>IF(ISERROR((GL313/GJ313-1)*100),"NA",IF(((GL313/GJ313-1)*100)&gt;100,"NM",IF(((GL313/GJ313-1)*100)&lt;-50,"NM",(GL313/GJ313-1)*100)))</f>
        <v>NA</v>
      </c>
      <c r="GN313" s="179"/>
      <c r="GO313" s="195" t="str">
        <f>IF(ISERROR((GN313/GL313-1)*100),"NA",IF(((GN313/GL313-1)*100)&gt;100,"NM",IF(((GN313/GL313-1)*100)&lt;-50,"NM",(GN313/GL313-1)*100)))</f>
        <v>NA</v>
      </c>
      <c r="GP313" s="179"/>
      <c r="GQ313" s="195" t="str">
        <f>IF(ISERROR((GP313/GN313-1)*100),"NA",IF(((GP313/GN313-1)*100)&gt;100,"NM",IF(((GP313/GN313-1)*100)&lt;-50,"NM",(GP313/GN313-1)*100)))</f>
        <v>NA</v>
      </c>
      <c r="GR313" s="179"/>
      <c r="GS313" s="195" t="str">
        <f>IF(ISERROR((GR313/GP313-1)*100),"NA",IF(((GR313/GP313-1)*100)&gt;100,"NM",IF(((GR313/GP313-1)*100)&lt;-50,"NM",(GR313/GP313-1)*100)))</f>
        <v>NA</v>
      </c>
      <c r="GT313" s="79"/>
      <c r="GU313" s="562"/>
      <c r="GV313" s="562"/>
      <c r="GW313"/>
      <c r="GX313"/>
      <c r="GY313"/>
      <c r="GZ313"/>
      <c r="HA313"/>
      <c r="HB313"/>
      <c r="HC313" s="562"/>
      <c r="HD313" s="562"/>
      <c r="HE313" s="562"/>
      <c r="HF313" s="562"/>
      <c r="HG313" s="562"/>
      <c r="HH313" s="562"/>
      <c r="HI313" s="562"/>
      <c r="HJ313" s="562"/>
      <c r="HK313" s="562"/>
      <c r="HL313" s="562"/>
      <c r="HM313" s="562"/>
      <c r="HN313" s="562"/>
      <c r="HO313" s="562"/>
      <c r="HP313" s="562"/>
      <c r="HQ313" s="562"/>
      <c r="HR313" s="562"/>
      <c r="HS313" s="562"/>
      <c r="HT313" s="562"/>
      <c r="HU313" s="562"/>
      <c r="HV313" s="562"/>
      <c r="HW313" s="562"/>
      <c r="HX313" s="562"/>
      <c r="HY313" s="562"/>
      <c r="HZ313" s="562"/>
      <c r="IA313" s="562"/>
      <c r="IB313" s="562"/>
      <c r="IC313" s="562"/>
      <c r="ID313" s="562"/>
      <c r="IE313" s="562"/>
      <c r="IF313" s="562"/>
      <c r="IG313" s="562"/>
      <c r="IH313" s="562"/>
      <c r="II313" s="562"/>
      <c r="IJ313" s="562"/>
      <c r="IK313" s="562"/>
      <c r="IL313" s="562"/>
      <c r="IM313" s="562"/>
      <c r="IN313" s="562"/>
      <c r="IO313" s="562"/>
      <c r="IP313" s="562"/>
      <c r="IQ313" s="562"/>
      <c r="IR313" s="562"/>
      <c r="IS313" s="562"/>
      <c r="IT313" s="562"/>
      <c r="IU313" s="562"/>
      <c r="IV313" s="562"/>
      <c r="IW313" s="562"/>
      <c r="IX313" s="562"/>
      <c r="IY313" s="562"/>
      <c r="IZ313" s="562"/>
      <c r="JA313" s="562"/>
      <c r="JB313" s="562"/>
      <c r="JC313" s="562"/>
      <c r="JD313" s="562"/>
      <c r="JE313" s="562"/>
      <c r="JF313" s="562"/>
      <c r="JG313" s="562"/>
      <c r="JH313" s="562"/>
      <c r="JI313" s="562"/>
      <c r="JJ313" s="562"/>
      <c r="JK313" s="562"/>
      <c r="JL313" s="562"/>
      <c r="JM313" s="562"/>
      <c r="JN313" s="562"/>
      <c r="JO313" s="562"/>
      <c r="JP313" s="562"/>
      <c r="JQ313" s="562"/>
      <c r="JR313" s="562"/>
      <c r="JS313" s="562"/>
      <c r="JT313" s="562"/>
      <c r="JU313" s="562"/>
      <c r="JV313" s="562"/>
      <c r="JW313" s="562"/>
      <c r="JX313" s="562"/>
      <c r="JY313" s="562"/>
      <c r="JZ313" s="562"/>
    </row>
    <row r="314" spans="1:286" s="249" customFormat="1" ht="12.75" hidden="1" customHeight="1" outlineLevel="1" x14ac:dyDescent="0.2">
      <c r="A314" s="248"/>
      <c r="B314" s="10" t="s">
        <v>406</v>
      </c>
      <c r="C314" s="79"/>
      <c r="D314" s="79"/>
      <c r="E314" s="95">
        <v>53.1</v>
      </c>
      <c r="F314" s="95"/>
      <c r="G314" s="95">
        <v>50.2</v>
      </c>
      <c r="H314" s="95"/>
      <c r="I314" s="95">
        <v>50.8</v>
      </c>
      <c r="J314" s="95"/>
      <c r="K314" s="95">
        <v>30.1</v>
      </c>
      <c r="L314" s="79"/>
      <c r="M314" s="95">
        <v>42.2</v>
      </c>
      <c r="N314" s="79">
        <f>IF(ISERROR((M314/E314-1)*100),"NA",IF(((M314/E314-1)*100)&gt;100,"NM",IF(((M314/E314-1)*100)&lt;-50,"NM",(M314/E314-1)*100)))</f>
        <v>-20.527306967984927</v>
      </c>
      <c r="O314" s="95">
        <v>39.5</v>
      </c>
      <c r="P314" s="79">
        <f>IF(ISERROR((O314/G314-1)*100),"NA",IF(((O314/G314-1)*100)&gt;100,"NM",IF(((O314/G314-1)*100)&lt;-50,"NM",(O314/G314-1)*100)))</f>
        <v>-21.314741035856578</v>
      </c>
      <c r="Q314" s="95">
        <v>37.700000000000003</v>
      </c>
      <c r="R314" s="79">
        <f>IF(ISERROR((Q314/I314-1)*100),"NA",IF(((Q314/I314-1)*100)&gt;100,"NM",IF(((Q314/I314-1)*100)&lt;-50,"NM",(Q314/I314-1)*100)))</f>
        <v>-25.787401574803138</v>
      </c>
      <c r="S314" s="95">
        <v>34.799999999999997</v>
      </c>
      <c r="T314" s="79">
        <f>IF(ISERROR((S314/K314-1)*100),"NA",IF(((S314/K314-1)*100)&gt;100,"NM",IF(((S314/K314-1)*100)&lt;-50,"NM",(S314/K314-1)*100)))</f>
        <v>15.614617940199317</v>
      </c>
      <c r="U314" s="95">
        <v>36.4</v>
      </c>
      <c r="V314" s="79">
        <f>IF(ISERROR((U314/M314-1)*100),"NA",IF(((U314/M314-1)*100)&gt;100,"NM",IF(((U314/M314-1)*100)&lt;-50,"NM",(U314/M314-1)*100)))</f>
        <v>-13.744075829383895</v>
      </c>
      <c r="W314" s="95">
        <v>38.200000000000003</v>
      </c>
      <c r="X314" s="79">
        <f>IF(ISERROR((W314/O314-1)*100),"NA",IF(((W314/O314-1)*100)&gt;100,"NM",IF(((W314/O314-1)*100)&lt;-50,"NM",(W314/O314-1)*100)))</f>
        <v>-3.2911392405063244</v>
      </c>
      <c r="Y314" s="95">
        <v>32.200000000000003</v>
      </c>
      <c r="Z314" s="79">
        <f>IF(ISERROR((Y314/Q314-1)*100),"NA",IF(((Y314/Q314-1)*100)&gt;100,"NM",IF(((Y314/Q314-1)*100)&lt;-50,"NM",(Y314/Q314-1)*100)))</f>
        <v>-14.58885941644562</v>
      </c>
      <c r="AA314" s="126">
        <v>33.299999999999997</v>
      </c>
      <c r="AB314" s="79">
        <f>IF(ISERROR((AA314/S314-1)*100),"NA",IF(((AA314/S314-1)*100)&gt;100,"NM",IF(((AA314/S314-1)*100)&lt;-50,"NM",(AA314/S314-1)*100)))</f>
        <v>-4.31034482758621</v>
      </c>
      <c r="AC314" s="95">
        <v>32</v>
      </c>
      <c r="AD314" s="79">
        <f>IF(ISERROR((AC314/U314-1)*100),"NA",IF(((AC314/U314-1)*100)&gt;100,"NM",IF(((AC314/U314-1)*100)&lt;-50,"NM",(AC314/U314-1)*100)))</f>
        <v>-12.087912087912089</v>
      </c>
      <c r="AE314" s="95">
        <v>32.200000000000003</v>
      </c>
      <c r="AF314" s="79">
        <f>IF(ISERROR((AE314/W314-1)*100),"NA",IF(((AE314/W314-1)*100)&gt;100,"NM",IF(((AE314/W314-1)*100)&lt;-50,"NM",(AE314/W314-1)*100)))</f>
        <v>-15.706806282722507</v>
      </c>
      <c r="AG314" s="95">
        <v>32.1</v>
      </c>
      <c r="AH314" s="79">
        <f>IF(ISERROR((AG314/Y314-1)*100),"NA",IF(((AG314/Y314-1)*100)&gt;100,"NM",IF(((AG314/Y314-1)*100)&lt;-50,"NM",(AG314/Y314-1)*100)))</f>
        <v>-0.31055900621118626</v>
      </c>
      <c r="AI314" s="95">
        <v>31</v>
      </c>
      <c r="AJ314" s="79">
        <f>IF(ISERROR((AI314/AA314-1)*100),"NA",IF(((AI314/AA314-1)*100)&gt;100,"NM",IF(((AI314/AA314-1)*100)&lt;-50,"NM",(AI314/AA314-1)*100)))</f>
        <v>-6.9069069069068956</v>
      </c>
      <c r="AK314" s="95">
        <v>29.1</v>
      </c>
      <c r="AL314" s="79">
        <f>IF(ISERROR((AK314/AC314-1)*100),"NA",IF(((AK314/AC314-1)*100)&gt;100,"NM",IF(((AK314/AC314-1)*100)&lt;-50,"NM",(AK314/AC314-1)*100)))</f>
        <v>-9.0624999999999964</v>
      </c>
      <c r="AM314" s="95">
        <v>32.799999999999997</v>
      </c>
      <c r="AN314" s="79">
        <f>IF(ISERROR((AM314/AE314-1)*100),"NA",IF(((AM314/AE314-1)*100)&gt;100,"NM",IF(((AM314/AE314-1)*100)&lt;-50,"NM",(AM314/AE314-1)*100)))</f>
        <v>1.8633540372670732</v>
      </c>
      <c r="AO314" s="95">
        <v>29.5</v>
      </c>
      <c r="AP314" s="79">
        <f>IF(ISERROR((AO314/AG314-1)*100),"NA",IF(((AO314/AG314-1)*100)&gt;100,"NM",IF(((AO314/AG314-1)*100)&lt;-50,"NM",(AO314/AG314-1)*100)))</f>
        <v>-8.0996884735202492</v>
      </c>
      <c r="AQ314" s="95">
        <v>29.1</v>
      </c>
      <c r="AR314" s="79">
        <f>IF(ISERROR((AQ314/AI314-1)*100),"NA",IF(((AQ314/AI314-1)*100)&gt;100,"NM",IF(((AQ314/AI314-1)*100)&lt;-50,"NM",(AQ314/AI314-1)*100)))</f>
        <v>-6.1290322580645151</v>
      </c>
      <c r="AS314" s="95">
        <v>28.7</v>
      </c>
      <c r="AT314" s="81">
        <f>IF(ISERROR((AS314/AK314-1)*100),"NA",IF(((AS314/AK314-1)*100)&gt;100,"NM",IF(((AS314/AK314-1)*100)&lt;-50,"NM",(AS314/AK314-1)*100)))</f>
        <v>-1.3745704467354014</v>
      </c>
      <c r="AU314" s="95">
        <v>28.4</v>
      </c>
      <c r="AV314" s="81">
        <f>IF(ISERROR((AU314/AM314-1)*100),"NA",IF(((AU314/AM314-1)*100)&gt;100,"NM",IF(((AU314/AM314-1)*100)&lt;-50,"NM",(AU314/AM314-1)*100)))</f>
        <v>-13.414634146341465</v>
      </c>
      <c r="AW314" s="95">
        <v>28</v>
      </c>
      <c r="AX314" s="81">
        <f>IF(ISERROR((AW314/AO314-1)*100),"NA",IF(((AW314/AO314-1)*100)&gt;100,"NM",IF(((AW314/AO314-1)*100)&lt;-50,"NM",(AW314/AO314-1)*100)))</f>
        <v>-5.0847457627118615</v>
      </c>
      <c r="AY314" s="95">
        <v>28.1</v>
      </c>
      <c r="AZ314" s="81">
        <f>IF(ISERROR((AY314/AQ314-1)*100),"NA",IF(((AY314/AQ314-1)*100)&gt;100,"NM",IF(((AY314/AQ314-1)*100)&lt;-50,"NM",(AY314/AQ314-1)*100)))</f>
        <v>-3.4364261168384869</v>
      </c>
      <c r="BA314" s="95">
        <v>28.1</v>
      </c>
      <c r="BB314" s="81">
        <f>IF(ISERROR((BA314/AS314-1)*100),"NA",IF(((BA314/AS314-1)*100)&gt;100,"NM",IF(((BA314/AS314-1)*100)&lt;-50,"NM",(BA314/AS314-1)*100)))</f>
        <v>-2.0905923344947674</v>
      </c>
      <c r="BC314" s="95">
        <v>26.9</v>
      </c>
      <c r="BD314" s="81">
        <f>IF(ISERROR((BC314/AU314-1)*100),"NA",IF(((BC314/AU314-1)*100)&gt;100,"NM",IF(((BC314/AU314-1)*100)&lt;-50,"NM",(BC314/AU314-1)*100)))</f>
        <v>-5.2816901408450745</v>
      </c>
      <c r="BE314" s="95">
        <v>24.7</v>
      </c>
      <c r="BF314" s="81">
        <f>IF(ISERROR((BE314/AW314-1)*100),"NA",IF(((BE314/AW314-1)*100)&gt;100,"NM",IF(((BE314/AW314-1)*100)&lt;-50,"NM",(BE314/AW314-1)*100)))</f>
        <v>-11.785714285714288</v>
      </c>
      <c r="BG314" s="95">
        <v>28.7</v>
      </c>
      <c r="BH314" s="81">
        <f>IF(ISERROR((BG314/AY314-1)*100),"NA",IF(((BG314/AY314-1)*100)&gt;100,"NM",IF(((BG314/AY314-1)*100)&lt;-50,"NM",(BG314/AY314-1)*100)))</f>
        <v>2.1352313167259718</v>
      </c>
      <c r="BI314" s="95">
        <v>25.9</v>
      </c>
      <c r="BJ314" s="81">
        <f>IF(ISERROR((BI314/BA314-1)*100),"NA",IF(((BI314/BA314-1)*100)&gt;100,"NM",IF(((BI314/BA314-1)*100)&lt;-50,"NM",(BI314/BA314-1)*100)))</f>
        <v>-7.8291814946619294</v>
      </c>
      <c r="BK314" s="95">
        <v>25.9</v>
      </c>
      <c r="BL314" s="81">
        <f>IF(ISERROR((BK314/BC314-1)*100),"NA",IF(((BK314/BC314-1)*100)&gt;100,"NM",IF(((BK314/BC314-1)*100)&lt;-50,"NM",(BK314/BC314-1)*100)))</f>
        <v>-3.7174721189591087</v>
      </c>
      <c r="BM314" s="95">
        <v>27</v>
      </c>
      <c r="BN314" s="81"/>
      <c r="BO314" s="95"/>
      <c r="BP314" s="81"/>
      <c r="BQ314" s="95"/>
      <c r="BR314" s="81"/>
      <c r="BS314" s="95"/>
      <c r="BT314" s="81"/>
      <c r="BU314" s="95"/>
      <c r="BV314" s="81"/>
      <c r="BW314" s="95"/>
      <c r="BX314" s="81"/>
      <c r="BY314" s="95"/>
      <c r="BZ314" s="81"/>
      <c r="CA314" s="95"/>
      <c r="CB314" s="81"/>
      <c r="CC314" s="95"/>
      <c r="CD314" s="81"/>
      <c r="CE314" s="95"/>
      <c r="CF314" s="81"/>
      <c r="CG314" s="95"/>
      <c r="CH314" s="81"/>
      <c r="CI314" s="95"/>
      <c r="CJ314" s="81"/>
      <c r="CK314" s="95"/>
      <c r="CL314" s="81"/>
      <c r="CM314" s="95"/>
      <c r="CN314" s="81"/>
      <c r="CO314" s="95"/>
      <c r="CP314" s="81"/>
      <c r="CQ314" s="95"/>
      <c r="CR314" s="81"/>
      <c r="CS314" s="95"/>
      <c r="CT314" s="81"/>
      <c r="CU314" s="95"/>
      <c r="CV314" s="81"/>
      <c r="CW314" s="95"/>
      <c r="CX314" s="81"/>
      <c r="CY314" s="95"/>
      <c r="CZ314" s="81"/>
      <c r="DA314" s="95"/>
      <c r="DB314" s="81"/>
      <c r="DC314" s="95"/>
      <c r="DD314" s="81"/>
      <c r="DE314" s="95"/>
      <c r="DF314" s="81"/>
      <c r="DG314" s="95"/>
      <c r="DH314" s="81"/>
      <c r="DI314" s="95"/>
      <c r="DJ314" s="81"/>
      <c r="DK314" s="95"/>
      <c r="DL314" s="81"/>
      <c r="DM314" s="95"/>
      <c r="DN314" s="81"/>
      <c r="DO314" s="95"/>
      <c r="DP314" s="81"/>
      <c r="DQ314" s="95"/>
      <c r="DR314" s="81"/>
      <c r="DS314" s="95"/>
      <c r="DT314" s="81"/>
      <c r="DU314" s="95"/>
      <c r="DV314" s="81"/>
      <c r="DW314" s="95"/>
      <c r="DX314" s="81"/>
      <c r="DY314" s="95"/>
      <c r="DZ314" s="81"/>
      <c r="EA314" s="95"/>
      <c r="EB314" s="81"/>
      <c r="EC314" s="95"/>
      <c r="ED314" s="81"/>
      <c r="EE314" s="95"/>
      <c r="EF314" s="81"/>
      <c r="EG314" s="95"/>
      <c r="EH314" s="81"/>
      <c r="EI314" s="95"/>
      <c r="EJ314" s="81"/>
      <c r="EK314" s="95"/>
      <c r="EL314" s="81"/>
      <c r="EM314" s="95"/>
      <c r="EN314" s="81"/>
      <c r="EO314" s="95"/>
      <c r="EP314" s="81"/>
      <c r="EQ314" s="95"/>
      <c r="ER314" s="81"/>
      <c r="ES314" s="129"/>
      <c r="ET314" s="469"/>
      <c r="EU314" s="129"/>
      <c r="EV314" s="95"/>
      <c r="EW314" s="79"/>
      <c r="EX314" s="95"/>
      <c r="EY314" s="79"/>
      <c r="EZ314" s="145"/>
      <c r="FA314" s="79"/>
      <c r="FB314" s="35">
        <f>+E314+G314+I314+K314</f>
        <v>184.20000000000002</v>
      </c>
      <c r="FC314" s="79" t="str">
        <f>IF(ISERROR((FB314/EZ314-1)*100),"NA",IF(((FB314/EZ314-1)*100)&gt;100,"NM",IF(((FB314/EZ314-1)*100)&lt;-50,"NM",(FB314/EZ314-1)*100)))</f>
        <v>NA</v>
      </c>
      <c r="FD314" s="145">
        <f>+S314+Q314+O314+M314</f>
        <v>154.19999999999999</v>
      </c>
      <c r="FE314" s="79">
        <f>IF(ISERROR((FD314/FB314-1)*100),"NA",IF(((FD314/FB314-1)*100)&gt;100,"NM",IF(((FD314/FB314-1)*100)&lt;-50,"NM",(FD314/FB314-1)*100)))</f>
        <v>-16.286644951140083</v>
      </c>
      <c r="FF314" s="145">
        <f>+AA314+Y314+W314+U314</f>
        <v>140.1</v>
      </c>
      <c r="FG314" s="79">
        <f>IF(ISERROR((FF314/FD314-1)*100),"NA",IF(((FF314/FD314-1)*100)&gt;100,"NM",IF(((FF314/FD314-1)*100)&lt;-50,"NM",(FF314/FD314-1)*100)))</f>
        <v>-9.143968871595332</v>
      </c>
      <c r="FH314" s="145">
        <f>+AI314+AG314+AE314+AC314</f>
        <v>127.30000000000001</v>
      </c>
      <c r="FI314" s="79">
        <f>IF(ISERROR((FH314/FF314-1)*100),"NA",IF(((FH314/FF314-1)*100)&gt;100,"NM",IF(((FH314/FF314-1)*100)&lt;-50,"NM",(FH314/FF314-1)*100)))</f>
        <v>-9.1363311920056987</v>
      </c>
      <c r="FJ314" s="35">
        <f>+AQ314+AO314+AM314+AK314</f>
        <v>120.5</v>
      </c>
      <c r="FK314" s="79">
        <f>IF(ISERROR((FJ314/FH314-1)*100),"NA",IF(((FJ314/FH314-1)*100)&gt;100,"NM",IF(((FJ314/FH314-1)*100)&lt;-50,"NM",(FJ314/FH314-1)*100)))</f>
        <v>-5.3417124901806829</v>
      </c>
      <c r="FL314" s="78">
        <f>AS314+AU314+AW314+AY314</f>
        <v>113.19999999999999</v>
      </c>
      <c r="FM314" s="79">
        <f>IF(ISERROR((FL314/FJ314-1)*100),"NA",IF(((FL314/FJ314-1)*100)&gt;100,"NM",IF(((FL314/FJ314-1)*100)&lt;-50,"NM",(FL314/FJ314-1)*100)))</f>
        <v>-6.0580912863070662</v>
      </c>
      <c r="FN314" s="78">
        <f>BA314+BC314+BE314+BG314</f>
        <v>108.4</v>
      </c>
      <c r="FO314" s="79">
        <f>IF(ISERROR((FN314/FL314-1)*100),"NA",IF(((FN314/FL314-1)*100)&gt;100,"NM",IF(((FN314/FL314-1)*100)&lt;-50,"NM",(FN314/FL314-1)*100)))</f>
        <v>-4.2402826855123532</v>
      </c>
      <c r="FP314" s="78">
        <f>BI314+BK314+BM314+BO314</f>
        <v>78.8</v>
      </c>
      <c r="FQ314" s="79">
        <f>IF(ISERROR((FP314/FN314-1)*100),"NA",IF(((FP314/FN314-1)*100)&gt;100,"NM",IF(((FP314/FN314-1)*100)&lt;-50,"NM",(FP314/FN314-1)*100)))</f>
        <v>-27.306273062730636</v>
      </c>
      <c r="FR314" s="93"/>
      <c r="FS314" s="79" t="str">
        <f>IF(ISERROR((FR314/FP314-1)*100),"NA",IF(((FR314/FP314-1)*100)&gt;100,"NM",IF(((FR314/FP314-1)*100)&lt;-50,"NM",(FR314/FP314-1)*100)))</f>
        <v>NM</v>
      </c>
      <c r="FT314" s="93"/>
      <c r="FU314" s="79" t="str">
        <f>IF(ISERROR((FT314/FR314-1)*100),"NA",IF(((FT314/FR314-1)*100)&gt;100,"NM",IF(((FT314/FR314-1)*100)&lt;-50,"NM",(FT314/FR314-1)*100)))</f>
        <v>NA</v>
      </c>
      <c r="FV314" s="93"/>
      <c r="FW314" s="79" t="str">
        <f>IF(ISERROR((FV314/FT314-1)*100),"NA",IF(((FV314/FT314-1)*100)&gt;100,"NM",IF(((FV314/FT314-1)*100)&lt;-50,"NM",(FV314/FT314-1)*100)))</f>
        <v>NA</v>
      </c>
      <c r="FX314" s="93"/>
      <c r="FY314" s="79" t="str">
        <f>IF(ISERROR((FX314/FV314-1)*100),"NA",IF(((FX314/FV314-1)*100)&gt;100,"NM",IF(((FX314/FV314-1)*100)&lt;-50,"NM",(FX314/FV314-1)*100)))</f>
        <v>NA</v>
      </c>
      <c r="FZ314" s="93"/>
      <c r="GA314" s="79" t="str">
        <f>IF(ISERROR((FZ314/FX314-1)*100),"NA",IF(((FZ314/FX314-1)*100)&gt;100,"NM",IF(((FZ314/FX314-1)*100)&lt;-50,"NM",(FZ314/FX314-1)*100)))</f>
        <v>NA</v>
      </c>
      <c r="GB314" s="93"/>
      <c r="GC314" s="79" t="str">
        <f>IF(ISERROR((GB314/FZ314-1)*100),"NA",IF(((GB314/FZ314-1)*100)&gt;100,"NM",IF(((GB314/FZ314-1)*100)&lt;-50,"NM",(GB314/FZ314-1)*100)))</f>
        <v>NA</v>
      </c>
      <c r="GD314" s="93"/>
      <c r="GE314" s="79" t="str">
        <f>IF(ISERROR((GD314/GB314-1)*100),"NA",IF(((GD314/GB314-1)*100)&gt;100,"NM",IF(((GD314/GB314-1)*100)&lt;-50,"NM",(GD314/GB314-1)*100)))</f>
        <v>NA</v>
      </c>
      <c r="GF314" s="93"/>
      <c r="GG314" s="79" t="str">
        <f>IF(ISERROR((GF314/GD314-1)*100),"NA",IF(((GF314/GD314-1)*100)&gt;100,"NM",IF(((GF314/GD314-1)*100)&lt;-50,"NM",(GF314/GD314-1)*100)))</f>
        <v>NA</v>
      </c>
      <c r="GH314" s="93"/>
      <c r="GI314" s="79" t="str">
        <f>IF(ISERROR((GH314/GF314-1)*100),"NA",IF(((GH314/GF314-1)*100)&gt;100,"NM",IF(((GH314/GF314-1)*100)&lt;-50,"NM",(GH314/GF314-1)*100)))</f>
        <v>NA</v>
      </c>
      <c r="GJ314" s="93"/>
      <c r="GK314" s="79" t="str">
        <f>IF(ISERROR((GJ314/GH314-1)*100),"NA",IF(((GJ314/GH314-1)*100)&gt;100,"NM",IF(((GJ314/GH314-1)*100)&lt;-50,"NM",(GJ314/GH314-1)*100)))</f>
        <v>NA</v>
      </c>
      <c r="GL314" s="95"/>
      <c r="GM314" s="79" t="str">
        <f>IF(ISERROR((GL314/GJ314-1)*100),"NA",IF(((GL314/GJ314-1)*100)&gt;100,"NM",IF(((GL314/GJ314-1)*100)&lt;-50,"NM",(GL314/GJ314-1)*100)))</f>
        <v>NA</v>
      </c>
      <c r="GN314" s="95"/>
      <c r="GO314" s="79" t="str">
        <f>IF(ISERROR((GN314/GL314-1)*100),"NA",IF(((GN314/GL314-1)*100)&gt;100,"NM",IF(((GN314/GL314-1)*100)&lt;-50,"NM",(GN314/GL314-1)*100)))</f>
        <v>NA</v>
      </c>
      <c r="GP314" s="95"/>
      <c r="GQ314" s="79" t="str">
        <f>IF(ISERROR((GP314/GN314-1)*100),"NA",IF(((GP314/GN314-1)*100)&gt;100,"NM",IF(((GP314/GN314-1)*100)&lt;-50,"NM",(GP314/GN314-1)*100)))</f>
        <v>NA</v>
      </c>
      <c r="GR314" s="95"/>
      <c r="GS314" s="79" t="str">
        <f>IF(ISERROR((GR314/GP314-1)*100),"NA",IF(((GR314/GP314-1)*100)&gt;100,"NM",IF(((GR314/GP314-1)*100)&lt;-50,"NM",(GR314/GP314-1)*100)))</f>
        <v>NA</v>
      </c>
      <c r="GT314" s="79"/>
      <c r="GU314" s="562"/>
      <c r="GV314" s="562"/>
      <c r="GW314"/>
      <c r="GX314"/>
      <c r="GY314"/>
      <c r="GZ314"/>
      <c r="HA314"/>
      <c r="HB314"/>
      <c r="HC314" s="562"/>
      <c r="HD314" s="562"/>
      <c r="HE314" s="562"/>
      <c r="HF314" s="562"/>
      <c r="HG314" s="562"/>
      <c r="HH314" s="562"/>
      <c r="HI314" s="562"/>
      <c r="HJ314" s="562"/>
      <c r="HK314" s="562"/>
      <c r="HL314" s="562"/>
      <c r="HM314" s="562"/>
      <c r="HN314" s="562"/>
      <c r="HO314" s="562"/>
      <c r="HP314" s="562"/>
      <c r="HQ314" s="562"/>
      <c r="HR314" s="562"/>
      <c r="HS314" s="562"/>
      <c r="HT314" s="562"/>
      <c r="HU314" s="562"/>
      <c r="HV314" s="562"/>
      <c r="HW314" s="562"/>
      <c r="HX314" s="562"/>
      <c r="HY314" s="562"/>
      <c r="HZ314" s="562"/>
      <c r="IA314" s="562"/>
      <c r="IB314" s="562"/>
      <c r="IC314" s="562"/>
      <c r="ID314" s="562"/>
      <c r="IE314" s="562"/>
      <c r="IF314" s="562"/>
      <c r="IG314" s="562"/>
      <c r="IH314" s="562"/>
      <c r="II314" s="562"/>
      <c r="IJ314" s="562"/>
      <c r="IK314" s="562"/>
      <c r="IL314" s="562"/>
      <c r="IM314" s="562"/>
      <c r="IN314" s="562"/>
      <c r="IO314" s="562"/>
      <c r="IP314" s="562"/>
      <c r="IQ314" s="562"/>
      <c r="IR314" s="562"/>
      <c r="IS314" s="562"/>
      <c r="IT314" s="562"/>
      <c r="IU314" s="562"/>
      <c r="IV314" s="562"/>
      <c r="IW314" s="562"/>
      <c r="IX314" s="562"/>
      <c r="IY314" s="562"/>
      <c r="IZ314" s="562"/>
      <c r="JA314" s="562"/>
      <c r="JB314" s="562"/>
      <c r="JC314" s="562"/>
      <c r="JD314" s="562"/>
      <c r="JE314" s="562"/>
      <c r="JF314" s="562"/>
      <c r="JG314" s="562"/>
      <c r="JH314" s="562"/>
      <c r="JI314" s="562"/>
      <c r="JJ314" s="562"/>
      <c r="JK314" s="562"/>
      <c r="JL314" s="562"/>
      <c r="JM314" s="562"/>
      <c r="JN314" s="562"/>
      <c r="JO314" s="562"/>
      <c r="JP314" s="562"/>
      <c r="JQ314" s="562"/>
      <c r="JR314" s="562"/>
      <c r="JS314" s="562"/>
      <c r="JT314" s="562"/>
      <c r="JU314" s="562"/>
      <c r="JV314" s="562"/>
      <c r="JW314" s="562"/>
      <c r="JX314" s="562"/>
      <c r="JY314" s="562"/>
      <c r="JZ314" s="562"/>
    </row>
    <row r="315" spans="1:286" s="249" customFormat="1" ht="12.75" hidden="1" customHeight="1" outlineLevel="1" x14ac:dyDescent="0.2">
      <c r="A315" s="248"/>
      <c r="B315" s="10" t="s">
        <v>407</v>
      </c>
      <c r="C315" s="79"/>
      <c r="D315" s="79"/>
      <c r="E315" s="95">
        <v>54.5</v>
      </c>
      <c r="F315" s="95"/>
      <c r="G315" s="95">
        <v>55.5</v>
      </c>
      <c r="H315" s="95"/>
      <c r="I315" s="95">
        <v>47.8</v>
      </c>
      <c r="J315" s="95"/>
      <c r="K315" s="95">
        <v>43.2</v>
      </c>
      <c r="L315" s="79"/>
      <c r="M315" s="95">
        <v>51.9</v>
      </c>
      <c r="N315" s="79">
        <v>-4.7706422018348622</v>
      </c>
      <c r="O315" s="95">
        <v>52.5</v>
      </c>
      <c r="P315" s="79">
        <v>-5.4054054054054053</v>
      </c>
      <c r="Q315" s="95">
        <v>53.4</v>
      </c>
      <c r="R315" s="79">
        <v>11.715481171548126</v>
      </c>
      <c r="S315" s="95">
        <v>56.5</v>
      </c>
      <c r="T315" s="79">
        <v>30.787037037037024</v>
      </c>
      <c r="U315" s="95">
        <v>53.7</v>
      </c>
      <c r="V315" s="79">
        <v>3.4682080924855585</v>
      </c>
      <c r="W315" s="95">
        <v>52.6</v>
      </c>
      <c r="X315" s="79">
        <v>0.19047619047618536</v>
      </c>
      <c r="Y315" s="95">
        <v>52.8</v>
      </c>
      <c r="Z315" s="79">
        <v>-1.1235955056179803</v>
      </c>
      <c r="AA315" s="126">
        <v>45.3</v>
      </c>
      <c r="AB315" s="79">
        <v>-19.82300884955751</v>
      </c>
      <c r="AC315" s="95">
        <v>56.2</v>
      </c>
      <c r="AD315" s="79">
        <v>4.6554934823091143</v>
      </c>
      <c r="AE315" s="95">
        <v>52.5</v>
      </c>
      <c r="AF315" s="79">
        <v>-0.19011406844107182</v>
      </c>
      <c r="AG315" s="95">
        <v>52.4</v>
      </c>
      <c r="AH315" s="79">
        <v>-0.7575757575757569</v>
      </c>
      <c r="AI315" s="95">
        <v>47.2</v>
      </c>
      <c r="AJ315" s="79">
        <v>4.1942604856512133</v>
      </c>
      <c r="AK315" s="95">
        <v>53.6</v>
      </c>
      <c r="AL315" s="79">
        <v>-4.6263345195729721</v>
      </c>
      <c r="AM315" s="95">
        <v>52.9</v>
      </c>
      <c r="AN315" s="79">
        <f>IF(ISERROR((AM315/AE315-1)*100),"NA",IF(((AM315/AE315-1)*100)&gt;100,"NM",IF(((AM315/AE315-1)*100)&lt;-50,"NM",(AM315/AE315-1)*100)))</f>
        <v>0.76190476190476364</v>
      </c>
      <c r="AO315" s="95">
        <v>52.3</v>
      </c>
      <c r="AP315" s="79">
        <f>IF(ISERROR((AO315/AG315-1)*100),"NA",IF(((AO315/AG315-1)*100)&gt;100,"NM",IF(((AO315/AG315-1)*100)&lt;-50,"NM",(AO315/AG315-1)*100)))</f>
        <v>-0.19083969465648609</v>
      </c>
      <c r="AQ315" s="95">
        <v>10.6</v>
      </c>
      <c r="AR315" s="79" t="str">
        <f>IF(ISERROR((AQ315/AI315-1)*100),"NA",IF(((AQ315/AI315-1)*100)&gt;100,"NM",IF(((AQ315/AI315-1)*100)&lt;-50,"NM",(AQ315/AI315-1)*100)))</f>
        <v>NM</v>
      </c>
      <c r="AS315" s="95">
        <v>8.3000000000000007</v>
      </c>
      <c r="AT315" s="81" t="str">
        <f>IF(ISERROR((AS315/AK315-1)*100),"NA",IF(((AS315/AK315-1)*100)&gt;100,"NM",IF(((AS315/AK315-1)*100)&lt;-50,"NM",(AS315/AK315-1)*100)))</f>
        <v>NM</v>
      </c>
      <c r="AU315" s="95">
        <v>54.7</v>
      </c>
      <c r="AV315" s="81">
        <f>IF(ISERROR((AU315/AM315-1)*100),"NA",IF(((AU315/AM315-1)*100)&gt;100,"NM",IF(((AU315/AM315-1)*100)&lt;-50,"NM",(AU315/AM315-1)*100)))</f>
        <v>3.402646502835549</v>
      </c>
      <c r="AW315" s="95">
        <v>53.9</v>
      </c>
      <c r="AX315" s="81">
        <f>IF(ISERROR((AW315/AO315-1)*100),"NA",IF(((AW315/AO315-1)*100)&gt;100,"NM",IF(((AW315/AO315-1)*100)&lt;-50,"NM",(AW315/AO315-1)*100)))</f>
        <v>3.0592734225621365</v>
      </c>
      <c r="AY315" s="95">
        <v>8.8000000000000007</v>
      </c>
      <c r="AZ315" s="81">
        <f>IF(ISERROR((AY315/AQ315-1)*100),"NA",IF(((AY315/AQ315-1)*100)&gt;100,"NM",IF(((AY315/AQ315-1)*100)&lt;-50,"NM",(AY315/AQ315-1)*100)))</f>
        <v>-16.981132075471685</v>
      </c>
      <c r="BA315" s="95">
        <v>8.1999999999999993</v>
      </c>
      <c r="BB315" s="81">
        <f>IF(ISERROR((BA315/AS315-1)*100),"NA",IF(((BA315/AS315-1)*100)&gt;100,"NM",IF(((BA315/AS315-1)*100)&lt;-50,"NM",(BA315/AS315-1)*100)))</f>
        <v>-1.2048192771084487</v>
      </c>
      <c r="BC315" s="95">
        <v>9.1</v>
      </c>
      <c r="BD315" s="81" t="str">
        <f>IF(ISERROR((BC315/AU315-1)*100),"NA",IF(((BC315/AU315-1)*100)&gt;100,"NM",IF(((BC315/AU315-1)*100)&lt;-50,"NM",(BC315/AU315-1)*100)))</f>
        <v>NM</v>
      </c>
      <c r="BE315" s="95">
        <v>4.9000000000000004</v>
      </c>
      <c r="BF315" s="81" t="str">
        <f>IF(ISERROR((BE315/AW315-1)*100),"NA",IF(((BE315/AW315-1)*100)&gt;100,"NM",IF(((BE315/AW315-1)*100)&lt;-50,"NM",(BE315/AW315-1)*100)))</f>
        <v>NM</v>
      </c>
      <c r="BG315" s="95">
        <v>6.3</v>
      </c>
      <c r="BH315" s="81">
        <f>IF(ISERROR((BG315/AY315-1)*100),"NA",IF(((BG315/AY315-1)*100)&gt;100,"NM",IF(((BG315/AY315-1)*100)&lt;-50,"NM",(BG315/AY315-1)*100)))</f>
        <v>-28.409090909090917</v>
      </c>
      <c r="BI315" s="95">
        <v>8</v>
      </c>
      <c r="BJ315" s="81">
        <f>IF(ISERROR((BI315/BA315-1)*100),"NA",IF(((BI315/BA315-1)*100)&gt;100,"NM",IF(((BI315/BA315-1)*100)&lt;-50,"NM",(BI315/BA315-1)*100)))</f>
        <v>-2.4390243902438935</v>
      </c>
      <c r="BK315" s="95">
        <v>8</v>
      </c>
      <c r="BL315" s="81">
        <f>IF(ISERROR((BK315/BC315-1)*100),"NA",IF(((BK315/BC315-1)*100)&gt;100,"NM",IF(((BK315/BC315-1)*100)&lt;-50,"NM",(BK315/BC315-1)*100)))</f>
        <v>-12.087912087912089</v>
      </c>
      <c r="BM315" s="95">
        <v>6.9</v>
      </c>
      <c r="BN315" s="81"/>
      <c r="BO315" s="95"/>
      <c r="BP315" s="81"/>
      <c r="BQ315" s="95"/>
      <c r="BR315" s="81"/>
      <c r="BS315" s="95"/>
      <c r="BT315" s="81"/>
      <c r="BU315" s="95"/>
      <c r="BV315" s="81"/>
      <c r="BW315" s="95"/>
      <c r="BX315" s="81"/>
      <c r="BY315" s="95"/>
      <c r="BZ315" s="81"/>
      <c r="CA315" s="95"/>
      <c r="CB315" s="81"/>
      <c r="CC315" s="95"/>
      <c r="CD315" s="81"/>
      <c r="CE315" s="95"/>
      <c r="CF315" s="81"/>
      <c r="CG315" s="95"/>
      <c r="CH315" s="81"/>
      <c r="CI315" s="95"/>
      <c r="CJ315" s="81"/>
      <c r="CK315" s="95"/>
      <c r="CL315" s="81"/>
      <c r="CM315" s="95"/>
      <c r="CN315" s="81"/>
      <c r="CO315" s="95"/>
      <c r="CP315" s="81"/>
      <c r="CQ315" s="95"/>
      <c r="CR315" s="81"/>
      <c r="CS315" s="95"/>
      <c r="CT315" s="81"/>
      <c r="CU315" s="95"/>
      <c r="CV315" s="81"/>
      <c r="CW315" s="95"/>
      <c r="CX315" s="81"/>
      <c r="CY315" s="95"/>
      <c r="CZ315" s="81"/>
      <c r="DA315" s="95"/>
      <c r="DB315" s="81"/>
      <c r="DC315" s="95"/>
      <c r="DD315" s="81"/>
      <c r="DE315" s="95"/>
      <c r="DF315" s="81"/>
      <c r="DG315" s="95"/>
      <c r="DH315" s="81"/>
      <c r="DI315" s="95"/>
      <c r="DJ315" s="81"/>
      <c r="DK315" s="95"/>
      <c r="DL315" s="81"/>
      <c r="DM315" s="95"/>
      <c r="DN315" s="81"/>
      <c r="DO315" s="95"/>
      <c r="DP315" s="81"/>
      <c r="DQ315" s="95"/>
      <c r="DR315" s="81"/>
      <c r="DS315" s="95"/>
      <c r="DT315" s="81"/>
      <c r="DU315" s="95"/>
      <c r="DV315" s="81"/>
      <c r="DW315" s="95"/>
      <c r="DX315" s="81"/>
      <c r="DY315" s="95"/>
      <c r="DZ315" s="81"/>
      <c r="EA315" s="95"/>
      <c r="EB315" s="81"/>
      <c r="EC315" s="95"/>
      <c r="ED315" s="81"/>
      <c r="EE315" s="95"/>
      <c r="EF315" s="81"/>
      <c r="EG315" s="95"/>
      <c r="EH315" s="81"/>
      <c r="EI315" s="95"/>
      <c r="EJ315" s="81"/>
      <c r="EK315" s="95"/>
      <c r="EL315" s="81"/>
      <c r="EM315" s="95"/>
      <c r="EN315" s="81"/>
      <c r="EO315" s="95"/>
      <c r="EP315" s="81"/>
      <c r="EQ315" s="95"/>
      <c r="ER315" s="81"/>
      <c r="ES315" s="129"/>
      <c r="ET315" s="469"/>
      <c r="EU315" s="129"/>
      <c r="EV315" s="95"/>
      <c r="EW315" s="79"/>
      <c r="EX315" s="95"/>
      <c r="EY315" s="79"/>
      <c r="EZ315" s="145"/>
      <c r="FA315" s="79"/>
      <c r="FB315" s="35">
        <f>+E315+G315+I315+K315</f>
        <v>201</v>
      </c>
      <c r="FC315" s="79" t="str">
        <f>IF(ISERROR((FB315/EZ315-1)*100),"NA",IF(((FB315/EZ315-1)*100)&gt;100,"NM",IF(((FB315/EZ315-1)*100)&lt;-50,"NM",(FB315/EZ315-1)*100)))</f>
        <v>NA</v>
      </c>
      <c r="FD315" s="145">
        <f>+S315+Q315+O315+M315</f>
        <v>214.3</v>
      </c>
      <c r="FE315" s="79">
        <f>IF(ISERROR((FD315/FB315-1)*100),"NA",IF(((FD315/FB315-1)*100)&gt;100,"NM",IF(((FD315/FB315-1)*100)&lt;-50,"NM",(FD315/FB315-1)*100)))</f>
        <v>6.6169154228855831</v>
      </c>
      <c r="FF315" s="145">
        <f>+AA315+Y315+W315+U315</f>
        <v>204.39999999999998</v>
      </c>
      <c r="FG315" s="79">
        <f>IF(ISERROR((FF315/FD315-1)*100),"NA",IF(((FF315/FD315-1)*100)&gt;100,"NM",IF(((FF315/FD315-1)*100)&lt;-50,"NM",(FF315/FD315-1)*100)))</f>
        <v>-4.6196920205319847</v>
      </c>
      <c r="FH315" s="145">
        <f>+AI315+AG315+AE315+AC315</f>
        <v>208.3</v>
      </c>
      <c r="FI315" s="79">
        <f>IF(ISERROR((FH315/FF315-1)*100),"NA",IF(((FH315/FF315-1)*100)&gt;100,"NM",IF(((FH315/FF315-1)*100)&lt;-50,"NM",(FH315/FF315-1)*100)))</f>
        <v>1.9080234833659615</v>
      </c>
      <c r="FJ315" s="35">
        <f>+AQ315+AO315+AM315+AK315</f>
        <v>169.4</v>
      </c>
      <c r="FK315" s="79">
        <f>IF(ISERROR((FJ315/FH315-1)*100),"NA",IF(((FJ315/FH315-1)*100)&gt;100,"NM",IF(((FJ315/FH315-1)*100)&lt;-50,"NM",(FJ315/FH315-1)*100)))</f>
        <v>-18.674987998079693</v>
      </c>
      <c r="FL315" s="78">
        <f>AS315+AU315+AW315+AY315</f>
        <v>125.7</v>
      </c>
      <c r="FM315" s="79">
        <f>IF(ISERROR((FL315/FJ315-1)*100),"NA",IF(((FL315/FJ315-1)*100)&gt;100,"NM",IF(((FL315/FJ315-1)*100)&lt;-50,"NM",(FL315/FJ315-1)*100)))</f>
        <v>-25.796930342384893</v>
      </c>
      <c r="FN315" s="78">
        <f>BA315+BC315+BE315+BG315</f>
        <v>28.499999999999996</v>
      </c>
      <c r="FO315" s="79" t="str">
        <f>IF(ISERROR((FN315/FL315-1)*100),"NA",IF(((FN315/FL315-1)*100)&gt;100,"NM",IF(((FN315/FL315-1)*100)&lt;-50,"NM",(FN315/FL315-1)*100)))</f>
        <v>NM</v>
      </c>
      <c r="FP315" s="78">
        <f>BI315+BK315+BM315+BO315</f>
        <v>22.9</v>
      </c>
      <c r="FQ315" s="79">
        <f>IF(ISERROR((FP315/FN315-1)*100),"NA",IF(((FP315/FN315-1)*100)&gt;100,"NM",IF(((FP315/FN315-1)*100)&lt;-50,"NM",(FP315/FN315-1)*100)))</f>
        <v>-19.649122807017537</v>
      </c>
      <c r="FR315" s="93"/>
      <c r="FS315" s="79" t="str">
        <f>IF(ISERROR((FR315/FP315-1)*100),"NA",IF(((FR315/FP315-1)*100)&gt;100,"NM",IF(((FR315/FP315-1)*100)&lt;-50,"NM",(FR315/FP315-1)*100)))</f>
        <v>NM</v>
      </c>
      <c r="FT315" s="93"/>
      <c r="FU315" s="79" t="str">
        <f>IF(ISERROR((FT315/FR315-1)*100),"NA",IF(((FT315/FR315-1)*100)&gt;100,"NM",IF(((FT315/FR315-1)*100)&lt;-50,"NM",(FT315/FR315-1)*100)))</f>
        <v>NA</v>
      </c>
      <c r="FV315" s="93"/>
      <c r="FW315" s="79" t="str">
        <f>IF(ISERROR((FV315/FT315-1)*100),"NA",IF(((FV315/FT315-1)*100)&gt;100,"NM",IF(((FV315/FT315-1)*100)&lt;-50,"NM",(FV315/FT315-1)*100)))</f>
        <v>NA</v>
      </c>
      <c r="FX315" s="93"/>
      <c r="FY315" s="79" t="str">
        <f>IF(ISERROR((FX315/FV315-1)*100),"NA",IF(((FX315/FV315-1)*100)&gt;100,"NM",IF(((FX315/FV315-1)*100)&lt;-50,"NM",(FX315/FV315-1)*100)))</f>
        <v>NA</v>
      </c>
      <c r="FZ315" s="93"/>
      <c r="GA315" s="79" t="str">
        <f>IF(ISERROR((FZ315/FX315-1)*100),"NA",IF(((FZ315/FX315-1)*100)&gt;100,"NM",IF(((FZ315/FX315-1)*100)&lt;-50,"NM",(FZ315/FX315-1)*100)))</f>
        <v>NA</v>
      </c>
      <c r="GB315" s="93"/>
      <c r="GC315" s="79" t="str">
        <f>IF(ISERROR((GB315/FZ315-1)*100),"NA",IF(((GB315/FZ315-1)*100)&gt;100,"NM",IF(((GB315/FZ315-1)*100)&lt;-50,"NM",(GB315/FZ315-1)*100)))</f>
        <v>NA</v>
      </c>
      <c r="GD315" s="93"/>
      <c r="GE315" s="79" t="str">
        <f>IF(ISERROR((GD315/GB315-1)*100),"NA",IF(((GD315/GB315-1)*100)&gt;100,"NM",IF(((GD315/GB315-1)*100)&lt;-50,"NM",(GD315/GB315-1)*100)))</f>
        <v>NA</v>
      </c>
      <c r="GF315" s="93"/>
      <c r="GG315" s="79" t="str">
        <f>IF(ISERROR((GF315/GD315-1)*100),"NA",IF(((GF315/GD315-1)*100)&gt;100,"NM",IF(((GF315/GD315-1)*100)&lt;-50,"NM",(GF315/GD315-1)*100)))</f>
        <v>NA</v>
      </c>
      <c r="GH315" s="93"/>
      <c r="GI315" s="79" t="str">
        <f>IF(ISERROR((GH315/GF315-1)*100),"NA",IF(((GH315/GF315-1)*100)&gt;100,"NM",IF(((GH315/GF315-1)*100)&lt;-50,"NM",(GH315/GF315-1)*100)))</f>
        <v>NA</v>
      </c>
      <c r="GJ315" s="93"/>
      <c r="GK315" s="79" t="str">
        <f>IF(ISERROR((GJ315/GH315-1)*100),"NA",IF(((GJ315/GH315-1)*100)&gt;100,"NM",IF(((GJ315/GH315-1)*100)&lt;-50,"NM",(GJ315/GH315-1)*100)))</f>
        <v>NA</v>
      </c>
      <c r="GL315" s="95"/>
      <c r="GM315" s="79" t="str">
        <f>IF(ISERROR((GL315/GJ315-1)*100),"NA",IF(((GL315/GJ315-1)*100)&gt;100,"NM",IF(((GL315/GJ315-1)*100)&lt;-50,"NM",(GL315/GJ315-1)*100)))</f>
        <v>NA</v>
      </c>
      <c r="GN315" s="95"/>
      <c r="GO315" s="79" t="str">
        <f>IF(ISERROR((GN315/GL315-1)*100),"NA",IF(((GN315/GL315-1)*100)&gt;100,"NM",IF(((GN315/GL315-1)*100)&lt;-50,"NM",(GN315/GL315-1)*100)))</f>
        <v>NA</v>
      </c>
      <c r="GP315" s="95"/>
      <c r="GQ315" s="79" t="str">
        <f>IF(ISERROR((GP315/GN315-1)*100),"NA",IF(((GP315/GN315-1)*100)&gt;100,"NM",IF(((GP315/GN315-1)*100)&lt;-50,"NM",(GP315/GN315-1)*100)))</f>
        <v>NA</v>
      </c>
      <c r="GR315" s="95"/>
      <c r="GS315" s="79" t="str">
        <f>IF(ISERROR((GR315/GP315-1)*100),"NA",IF(((GR315/GP315-1)*100)&gt;100,"NM",IF(((GR315/GP315-1)*100)&lt;-50,"NM",(GR315/GP315-1)*100)))</f>
        <v>NA</v>
      </c>
      <c r="GT315" s="79"/>
      <c r="GU315" s="562"/>
      <c r="GV315" s="562"/>
      <c r="GW315"/>
      <c r="GX315"/>
      <c r="GY315"/>
      <c r="GZ315"/>
      <c r="HA315"/>
      <c r="HB315"/>
      <c r="HC315" s="562"/>
      <c r="HD315" s="562"/>
      <c r="HE315" s="562"/>
      <c r="HF315" s="562"/>
      <c r="HG315" s="562"/>
      <c r="HH315" s="562"/>
      <c r="HI315" s="562"/>
      <c r="HJ315" s="562"/>
      <c r="HK315" s="562"/>
      <c r="HL315" s="562"/>
      <c r="HM315" s="562"/>
      <c r="HN315" s="562"/>
      <c r="HO315" s="562"/>
      <c r="HP315" s="562"/>
      <c r="HQ315" s="562"/>
      <c r="HR315" s="562"/>
      <c r="HS315" s="562"/>
      <c r="HT315" s="562"/>
      <c r="HU315" s="562"/>
      <c r="HV315" s="562"/>
      <c r="HW315" s="562"/>
      <c r="HX315" s="562"/>
      <c r="HY315" s="562"/>
      <c r="HZ315" s="562"/>
      <c r="IA315" s="562"/>
      <c r="IB315" s="562"/>
      <c r="IC315" s="562"/>
      <c r="ID315" s="562"/>
      <c r="IE315" s="562"/>
      <c r="IF315" s="562"/>
      <c r="IG315" s="562"/>
      <c r="IH315" s="562"/>
      <c r="II315" s="562"/>
      <c r="IJ315" s="562"/>
      <c r="IK315" s="562"/>
      <c r="IL315" s="562"/>
      <c r="IM315" s="562"/>
      <c r="IN315" s="562"/>
      <c r="IO315" s="562"/>
      <c r="IP315" s="562"/>
      <c r="IQ315" s="562"/>
      <c r="IR315" s="562"/>
      <c r="IS315" s="562"/>
      <c r="IT315" s="562"/>
      <c r="IU315" s="562"/>
      <c r="IV315" s="562"/>
      <c r="IW315" s="562"/>
      <c r="IX315" s="562"/>
      <c r="IY315" s="562"/>
      <c r="IZ315" s="562"/>
      <c r="JA315" s="562"/>
      <c r="JB315" s="562"/>
      <c r="JC315" s="562"/>
      <c r="JD315" s="562"/>
      <c r="JE315" s="562"/>
      <c r="JF315" s="562"/>
      <c r="JG315" s="562"/>
      <c r="JH315" s="562"/>
      <c r="JI315" s="562"/>
      <c r="JJ315" s="562"/>
      <c r="JK315" s="562"/>
      <c r="JL315" s="562"/>
      <c r="JM315" s="562"/>
      <c r="JN315" s="562"/>
      <c r="JO315" s="562"/>
      <c r="JP315" s="562"/>
      <c r="JQ315" s="562"/>
      <c r="JR315" s="562"/>
      <c r="JS315" s="562"/>
      <c r="JT315" s="562"/>
      <c r="JU315" s="562"/>
      <c r="JV315" s="562"/>
      <c r="JW315" s="562"/>
      <c r="JX315" s="562"/>
      <c r="JY315" s="562"/>
      <c r="JZ315" s="562"/>
    </row>
    <row r="316" spans="1:286" s="83" customFormat="1" ht="12.75" hidden="1" customHeight="1" outlineLevel="1" x14ac:dyDescent="0.2">
      <c r="A316" s="77"/>
      <c r="B316" s="83" t="s">
        <v>56</v>
      </c>
      <c r="C316" s="140"/>
      <c r="D316" s="140"/>
      <c r="E316" s="242">
        <f>SUM(E313:E315)</f>
        <v>144.30000000000001</v>
      </c>
      <c r="F316" s="242"/>
      <c r="G316" s="242">
        <f>SUM(G313:G315)</f>
        <v>146.19999999999999</v>
      </c>
      <c r="H316" s="243"/>
      <c r="I316" s="242">
        <f>SUM(I313:I315)</f>
        <v>135</v>
      </c>
      <c r="J316" s="242"/>
      <c r="K316" s="242">
        <f>SUM(K313:K315)</f>
        <v>71.600000000000009</v>
      </c>
      <c r="L316" s="79"/>
      <c r="M316" s="242">
        <f>SUM(M313:M315)</f>
        <v>103.4</v>
      </c>
      <c r="N316" s="79">
        <f>IF(ISERROR((M316/E316-1)*100),"NA",IF(((M316/E316-1)*100)&gt;100,"NM",IF(((M316/E316-1)*100)&lt;-50,"NM",(M316/E316-1)*100)))</f>
        <v>-28.343728343728348</v>
      </c>
      <c r="O316" s="242">
        <f>SUM(O313:O315)</f>
        <v>103.7</v>
      </c>
      <c r="P316" s="79">
        <f>IF(ISERROR((O316/G316-1)*100),"NA",IF(((O316/G316-1)*100)&gt;100,"NM",IF(((O316/G316-1)*100)&lt;-50,"NM",(O316/G316-1)*100)))</f>
        <v>-29.06976744186046</v>
      </c>
      <c r="Q316" s="242">
        <f>SUM(Q313:Q315)</f>
        <v>105</v>
      </c>
      <c r="R316" s="79">
        <f>IF(ISERROR((Q316/I316-1)*100),"NA",IF(((Q316/I316-1)*100)&gt;100,"NM",IF(((Q316/I316-1)*100)&lt;-50,"NM",(Q316/I316-1)*100)))</f>
        <v>-22.222222222222221</v>
      </c>
      <c r="S316" s="242">
        <f>SUM(S313:S315)</f>
        <v>94</v>
      </c>
      <c r="T316" s="79">
        <f>IF(ISERROR((S316/K316-1)*100),"NA",IF(((S316/K316-1)*100)&gt;100,"NM",IF(((S316/K316-1)*100)&lt;-50,"NM",(S316/K316-1)*100)))</f>
        <v>31.284916201117309</v>
      </c>
      <c r="U316" s="242">
        <f>SUM(U313:U315)</f>
        <v>100.1</v>
      </c>
      <c r="V316" s="79">
        <f>IF(ISERROR((U316/M316-1)*100),"NA",IF(((U316/M316-1)*100)&gt;100,"NM",IF(((U316/M316-1)*100)&lt;-50,"NM",(U316/M316-1)*100)))</f>
        <v>-3.1914893617021378</v>
      </c>
      <c r="W316" s="242">
        <f>SUM(W313:W315)</f>
        <v>98.4</v>
      </c>
      <c r="X316" s="79">
        <f>IF(ISERROR((W316/O316-1)*100),"NA",IF(((W316/O316-1)*100)&gt;100,"NM",IF(((W316/O316-1)*100)&lt;-50,"NM",(W316/O316-1)*100)))</f>
        <v>-5.1108968177434928</v>
      </c>
      <c r="Y316" s="242">
        <f>SUM(Y313:Y315)</f>
        <v>94</v>
      </c>
      <c r="Z316" s="79">
        <f>IF(ISERROR((Y316/Q316-1)*100),"NA",IF(((Y316/Q316-1)*100)&gt;100,"NM",IF(((Y316/Q316-1)*100)&lt;-50,"NM",(Y316/Q316-1)*100)))</f>
        <v>-10.476190476190473</v>
      </c>
      <c r="AA316" s="244">
        <f>SUM(AA313:AA315)</f>
        <v>86.3</v>
      </c>
      <c r="AB316" s="79">
        <f>IF(ISERROR((AA316/S316-1)*100),"NA",IF(((AA316/S316-1)*100)&gt;100,"NM",IF(((AA316/S316-1)*100)&lt;-50,"NM",(AA316/S316-1)*100)))</f>
        <v>-8.191489361702132</v>
      </c>
      <c r="AC316" s="242">
        <f>SUM(AC313:AC315)</f>
        <v>96.800000000000011</v>
      </c>
      <c r="AD316" s="79">
        <f>IF(ISERROR((AC316/U316-1)*100),"NA",IF(((AC316/U316-1)*100)&gt;100,"NM",IF(((AC316/U316-1)*100)&lt;-50,"NM",(AC316/U316-1)*100)))</f>
        <v>-3.296703296703285</v>
      </c>
      <c r="AE316" s="242">
        <f>SUM(AE313:AE315)</f>
        <v>87.6</v>
      </c>
      <c r="AF316" s="79">
        <f>IF(ISERROR((AE316/W316-1)*100),"NA",IF(((AE316/W316-1)*100)&gt;100,"NM",IF(((AE316/W316-1)*100)&lt;-50,"NM",(AE316/W316-1)*100)))</f>
        <v>-10.975609756097571</v>
      </c>
      <c r="AG316" s="242">
        <f>SUM(AG313:AG315)</f>
        <v>95.1</v>
      </c>
      <c r="AH316" s="79">
        <f>IF(ISERROR((AG316/Y316-1)*100),"NA",IF(((AG316/Y316-1)*100)&gt;100,"NM",IF(((AG316/Y316-1)*100)&lt;-50,"NM",(AG316/Y316-1)*100)))</f>
        <v>1.1702127659574346</v>
      </c>
      <c r="AI316" s="242">
        <f>SUM(AI313:AI315)</f>
        <v>87.4</v>
      </c>
      <c r="AJ316" s="79">
        <f>IF(ISERROR((AI316/AA316-1)*100),"NA",IF(((AI316/AA316-1)*100)&gt;100,"NM",IF(((AI316/AA316-1)*100)&lt;-50,"NM",(AI316/AA316-1)*100)))</f>
        <v>1.274623406720754</v>
      </c>
      <c r="AK316" s="242">
        <f>SUM(AK313:AK315)</f>
        <v>83</v>
      </c>
      <c r="AL316" s="79">
        <f>IF(ISERROR((AK316/AC316-1)*100),"NA",IF(((AK316/AC316-1)*100)&gt;100,"NM",IF(((AK316/AC316-1)*100)&lt;-50,"NM",(AK316/AC316-1)*100)))</f>
        <v>-14.256198347107452</v>
      </c>
      <c r="AM316" s="242">
        <f>SUM(AM313:AM315)</f>
        <v>86.9</v>
      </c>
      <c r="AN316" s="79">
        <f>IF(ISERROR((AM316/AE316-1)*100),"NA",IF(((AM316/AE316-1)*100)&gt;100,"NM",IF(((AM316/AE316-1)*100)&lt;-50,"NM",(AM316/AE316-1)*100)))</f>
        <v>-0.79908675799085227</v>
      </c>
      <c r="AO316" s="242">
        <f>SUM(AO313:AO315)</f>
        <v>81.5</v>
      </c>
      <c r="AP316" s="79">
        <f>IF(ISERROR((AO316/AG316-1)*100),"NA",IF(((AO316/AG316-1)*100)&gt;100,"NM",IF(((AO316/AG316-1)*100)&lt;-50,"NM",(AO316/AG316-1)*100)))</f>
        <v>-14.300736067297581</v>
      </c>
      <c r="AQ316" s="242">
        <f>SUM(AQ313:AQ315)</f>
        <v>41.1</v>
      </c>
      <c r="AR316" s="79" t="str">
        <f>IF(ISERROR((AQ316/AI316-1)*100),"NA",IF(((AQ316/AI316-1)*100)&gt;100,"NM",IF(((AQ316/AI316-1)*100)&lt;-50,"NM",(AQ316/AI316-1)*100)))</f>
        <v>NM</v>
      </c>
      <c r="AS316" s="242">
        <f>SUM(AS313:AS315)</f>
        <v>38.200000000000003</v>
      </c>
      <c r="AT316" s="81" t="str">
        <f>IF(ISERROR((AS316/AK316-1)*100),"NA",IF(((AS316/AK316-1)*100)&gt;100,"NM",IF(((AS316/AK316-1)*100)&lt;-50,"NM",(AS316/AK316-1)*100)))</f>
        <v>NM</v>
      </c>
      <c r="AU316" s="242">
        <f>SUM(AU313:AU315)</f>
        <v>84.3</v>
      </c>
      <c r="AV316" s="81">
        <f>IF(ISERROR((AU316/AM316-1)*100),"NA",IF(((AU316/AM316-1)*100)&gt;100,"NM",IF(((AU316/AM316-1)*100)&lt;-50,"NM",(AU316/AM316-1)*100)))</f>
        <v>-2.9919447640966768</v>
      </c>
      <c r="AW316" s="242">
        <f>SUM(AW313:AW315)</f>
        <v>82</v>
      </c>
      <c r="AX316" s="81">
        <f>IF(ISERROR((AW316/AO316-1)*100),"NA",IF(((AW316/AO316-1)*100)&gt;100,"NM",IF(((AW316/AO316-1)*100)&lt;-50,"NM",(AW316/AO316-1)*100)))</f>
        <v>0.61349693251533388</v>
      </c>
      <c r="AY316" s="242">
        <f>SUM(AY313:AY315)</f>
        <v>38.900000000000006</v>
      </c>
      <c r="AZ316" s="81">
        <f>IF(ISERROR((AY316/AQ316-1)*100),"NA",IF(((AY316/AQ316-1)*100)&gt;100,"NM",IF(((AY316/AQ316-1)*100)&lt;-50,"NM",(AY316/AQ316-1)*100)))</f>
        <v>-5.352798053527974</v>
      </c>
      <c r="BA316" s="242">
        <f>SUM(BA313:BA315)</f>
        <v>37.400000000000006</v>
      </c>
      <c r="BB316" s="81">
        <f>IF(ISERROR((BA316/AS316-1)*100),"NA",IF(((BA316/AS316-1)*100)&gt;100,"NM",IF(((BA316/AS316-1)*100)&lt;-50,"NM",(BA316/AS316-1)*100)))</f>
        <v>-2.0942408376963262</v>
      </c>
      <c r="BC316" s="242">
        <f>SUM(BC313:BC315)</f>
        <v>35.799999999999997</v>
      </c>
      <c r="BD316" s="81" t="str">
        <f>IF(ISERROR((BC316/AU316-1)*100),"NA",IF(((BC316/AU316-1)*100)&gt;100,"NM",IF(((BC316/AU316-1)*100)&lt;-50,"NM",(BC316/AU316-1)*100)))</f>
        <v>NM</v>
      </c>
      <c r="BE316" s="242">
        <f>SUM(BE313:BE315)</f>
        <v>30.200000000000003</v>
      </c>
      <c r="BF316" s="81" t="str">
        <f>IF(ISERROR((BE316/AW316-1)*100),"NA",IF(((BE316/AW316-1)*100)&gt;100,"NM",IF(((BE316/AW316-1)*100)&lt;-50,"NM",(BE316/AW316-1)*100)))</f>
        <v>NM</v>
      </c>
      <c r="BG316" s="242">
        <f>SUM(BG313:BG315)</f>
        <v>35.199999999999996</v>
      </c>
      <c r="BH316" s="81">
        <f>IF(ISERROR((BG316/AY316-1)*100),"NA",IF(((BG316/AY316-1)*100)&gt;100,"NM",IF(((BG316/AY316-1)*100)&lt;-50,"NM",(BG316/AY316-1)*100)))</f>
        <v>-9.511568123393344</v>
      </c>
      <c r="BI316" s="242">
        <f>SUM(BI313:BI315)</f>
        <v>34.599999999999994</v>
      </c>
      <c r="BJ316" s="81">
        <f>IF(ISERROR((BI316/BA316-1)*100),"NA",IF(((BI316/BA316-1)*100)&gt;100,"NM",IF(((BI316/BA316-1)*100)&lt;-50,"NM",(BI316/BA316-1)*100)))</f>
        <v>-7.4866310160428107</v>
      </c>
      <c r="BK316" s="242">
        <f>SUM(BK313:BK315)</f>
        <v>34.099999999999994</v>
      </c>
      <c r="BL316" s="81">
        <f>IF(ISERROR((BK316/BC316-1)*100),"NA",IF(((BK316/BC316-1)*100)&gt;100,"NM",IF(((BK316/BC316-1)*100)&lt;-50,"NM",(BK316/BC316-1)*100)))</f>
        <v>-4.7486033519553157</v>
      </c>
      <c r="BM316" s="242">
        <f>SUM(BM313:BM315)</f>
        <v>33.9</v>
      </c>
      <c r="BN316" s="81"/>
      <c r="BO316" s="242"/>
      <c r="BP316" s="81"/>
      <c r="BQ316" s="242"/>
      <c r="BR316" s="81"/>
      <c r="BS316" s="242"/>
      <c r="BT316" s="81"/>
      <c r="BU316" s="242"/>
      <c r="BV316" s="81"/>
      <c r="BW316" s="242"/>
      <c r="BX316" s="81"/>
      <c r="BY316" s="242"/>
      <c r="BZ316" s="81"/>
      <c r="CA316" s="242"/>
      <c r="CB316" s="81"/>
      <c r="CC316" s="242"/>
      <c r="CD316" s="81"/>
      <c r="CE316" s="242"/>
      <c r="CF316" s="81"/>
      <c r="CG316" s="242"/>
      <c r="CH316" s="81"/>
      <c r="CI316" s="242"/>
      <c r="CJ316" s="81"/>
      <c r="CK316" s="242"/>
      <c r="CL316" s="81"/>
      <c r="CM316" s="242"/>
      <c r="CN316" s="81"/>
      <c r="CO316" s="242"/>
      <c r="CP316" s="81"/>
      <c r="CQ316" s="242"/>
      <c r="CR316" s="81"/>
      <c r="CS316" s="242"/>
      <c r="CT316" s="81"/>
      <c r="CU316" s="242"/>
      <c r="CV316" s="81"/>
      <c r="CW316" s="242"/>
      <c r="CX316" s="81"/>
      <c r="CY316" s="242"/>
      <c r="CZ316" s="81"/>
      <c r="DA316" s="242"/>
      <c r="DB316" s="81"/>
      <c r="DC316" s="242"/>
      <c r="DD316" s="81"/>
      <c r="DE316" s="242"/>
      <c r="DF316" s="81"/>
      <c r="DG316" s="242"/>
      <c r="DH316" s="81"/>
      <c r="DI316" s="242"/>
      <c r="DJ316" s="81"/>
      <c r="DK316" s="242"/>
      <c r="DL316" s="81"/>
      <c r="DM316" s="242"/>
      <c r="DN316" s="81"/>
      <c r="DO316" s="242"/>
      <c r="DP316" s="81"/>
      <c r="DQ316" s="242"/>
      <c r="DR316" s="81"/>
      <c r="DS316" s="242"/>
      <c r="DT316" s="81"/>
      <c r="DU316" s="242"/>
      <c r="DV316" s="81"/>
      <c r="DW316" s="242"/>
      <c r="DX316" s="81"/>
      <c r="DY316" s="242"/>
      <c r="DZ316" s="81"/>
      <c r="EA316" s="242"/>
      <c r="EB316" s="81"/>
      <c r="EC316" s="242"/>
      <c r="ED316" s="81"/>
      <c r="EE316" s="242"/>
      <c r="EF316" s="81"/>
      <c r="EG316" s="242"/>
      <c r="EH316" s="81"/>
      <c r="EI316" s="242"/>
      <c r="EJ316" s="81"/>
      <c r="EK316" s="242"/>
      <c r="EL316" s="81"/>
      <c r="EM316" s="242"/>
      <c r="EN316" s="81"/>
      <c r="EO316" s="242"/>
      <c r="EP316" s="81"/>
      <c r="EQ316" s="242"/>
      <c r="ER316" s="81"/>
      <c r="ES316" s="138"/>
      <c r="ET316" s="470"/>
      <c r="EU316" s="138"/>
      <c r="EV316" s="242"/>
      <c r="EW316" s="140"/>
      <c r="EX316" s="242"/>
      <c r="EY316" s="79"/>
      <c r="EZ316" s="242"/>
      <c r="FA316" s="79"/>
      <c r="FB316" s="242">
        <f>SUM(FB313:FB315)</f>
        <v>497.1</v>
      </c>
      <c r="FC316" s="79" t="str">
        <f>IF(ISERROR((FB316/EZ316-1)*100),"NA",IF(((FB316/EZ316-1)*100)&gt;100,"NM",IF(((FB316/EZ316-1)*100)&lt;-50,"NM",(FB316/EZ316-1)*100)))</f>
        <v>NA</v>
      </c>
      <c r="FD316" s="242">
        <f>SUM(FD313:FD315)</f>
        <v>406.1</v>
      </c>
      <c r="FE316" s="79">
        <f>IF(ISERROR((FD316/FB316-1)*100),"NA",IF(((FD316/FB316-1)*100)&gt;100,"NM",IF(((FD316/FB316-1)*100)&lt;-50,"NM",(FD316/FB316-1)*100)))</f>
        <v>-18.306175819754579</v>
      </c>
      <c r="FF316" s="242">
        <f>+FF315+FF314+FF313</f>
        <v>378.8</v>
      </c>
      <c r="FG316" s="79">
        <f>IF(ISERROR((FF316/FD316-1)*100),"NA",IF(((FF316/FD316-1)*100)&gt;100,"NM",IF(((FF316/FD316-1)*100)&lt;-50,"NM",(FF316/FD316-1)*100)))</f>
        <v>-6.7224821472543717</v>
      </c>
      <c r="FH316" s="242">
        <f>+FH315+FH314+FH313</f>
        <v>366.90000000000003</v>
      </c>
      <c r="FI316" s="79">
        <f>IF(ISERROR((FH316/FF316-1)*100),"NA",IF(((FH316/FF316-1)*100)&gt;100,"NM",IF(((FH316/FF316-1)*100)&lt;-50,"NM",(FH316/FF316-1)*100)))</f>
        <v>-3.1414994720168843</v>
      </c>
      <c r="FJ316" s="242">
        <f>+FJ315+FJ314+FJ313</f>
        <v>292.5</v>
      </c>
      <c r="FK316" s="79">
        <f>IF(ISERROR((FJ316/FH316-1)*100),"NA",IF(((FJ316/FH316-1)*100)&gt;100,"NM",IF(((FJ316/FH316-1)*100)&lt;-50,"NM",(FJ316/FH316-1)*100)))</f>
        <v>-20.278004905968938</v>
      </c>
      <c r="FL316" s="242">
        <f>+FL315+FL314+FL313</f>
        <v>243.39999999999998</v>
      </c>
      <c r="FM316" s="79">
        <f>IF(ISERROR((FL316/FJ316-1)*100),"NA",IF(((FL316/FJ316-1)*100)&gt;100,"NM",IF(((FL316/FJ316-1)*100)&lt;-50,"NM",(FL316/FJ316-1)*100)))</f>
        <v>-16.786324786324791</v>
      </c>
      <c r="FN316" s="242">
        <f>+FN315+FN314+FN313</f>
        <v>138.6</v>
      </c>
      <c r="FO316" s="79">
        <f>IF(ISERROR((FN316/FL316-1)*100),"NA",IF(((FN316/FL316-1)*100)&gt;100,"NM",IF(((FN316/FL316-1)*100)&lt;-50,"NM",(FN316/FL316-1)*100)))</f>
        <v>-43.056696795398523</v>
      </c>
      <c r="FP316" s="242">
        <f>+FP315+FP314+FP313</f>
        <v>102.6</v>
      </c>
      <c r="FQ316" s="79">
        <f>IF(ISERROR((FP316/FN316-1)*100),"NA",IF(((FP316/FN316-1)*100)&gt;100,"NM",IF(((FP316/FN316-1)*100)&lt;-50,"NM",(FP316/FN316-1)*100)))</f>
        <v>-25.97402597402597</v>
      </c>
      <c r="FR316" s="242"/>
      <c r="FS316" s="79" t="str">
        <f>IF(ISERROR((FR316/FP316-1)*100),"NA",IF(((FR316/FP316-1)*100)&gt;100,"NM",IF(((FR316/FP316-1)*100)&lt;-50,"NM",(FR316/FP316-1)*100)))</f>
        <v>NM</v>
      </c>
      <c r="FT316" s="242"/>
      <c r="FU316" s="79" t="str">
        <f>IF(ISERROR((FT316/FR316-1)*100),"NA",IF(((FT316/FR316-1)*100)&gt;100,"NM",IF(((FT316/FR316-1)*100)&lt;-50,"NM",(FT316/FR316-1)*100)))</f>
        <v>NA</v>
      </c>
      <c r="FV316" s="242"/>
      <c r="FW316" s="79" t="str">
        <f>IF(ISERROR((FV316/FT316-1)*100),"NA",IF(((FV316/FT316-1)*100)&gt;100,"NM",IF(((FV316/FT316-1)*100)&lt;-50,"NM",(FV316/FT316-1)*100)))</f>
        <v>NA</v>
      </c>
      <c r="FX316" s="242"/>
      <c r="FY316" s="79" t="str">
        <f>IF(ISERROR((FX316/FV316-1)*100),"NA",IF(((FX316/FV316-1)*100)&gt;100,"NM",IF(((FX316/FV316-1)*100)&lt;-50,"NM",(FX316/FV316-1)*100)))</f>
        <v>NA</v>
      </c>
      <c r="FZ316" s="242"/>
      <c r="GA316" s="79" t="str">
        <f>IF(ISERROR((FZ316/FX316-1)*100),"NA",IF(((FZ316/FX316-1)*100)&gt;100,"NM",IF(((FZ316/FX316-1)*100)&lt;-50,"NM",(FZ316/FX316-1)*100)))</f>
        <v>NA</v>
      </c>
      <c r="GB316" s="242"/>
      <c r="GC316" s="79" t="str">
        <f>IF(ISERROR((GB316/FZ316-1)*100),"NA",IF(((GB316/FZ316-1)*100)&gt;100,"NM",IF(((GB316/FZ316-1)*100)&lt;-50,"NM",(GB316/FZ316-1)*100)))</f>
        <v>NA</v>
      </c>
      <c r="GD316" s="242"/>
      <c r="GE316" s="79" t="str">
        <f>IF(ISERROR((GD316/GB316-1)*100),"NA",IF(((GD316/GB316-1)*100)&gt;100,"NM",IF(((GD316/GB316-1)*100)&lt;-50,"NM",(GD316/GB316-1)*100)))</f>
        <v>NA</v>
      </c>
      <c r="GF316" s="242"/>
      <c r="GG316" s="79" t="str">
        <f>IF(ISERROR((GF316/GD316-1)*100),"NA",IF(((GF316/GD316-1)*100)&gt;100,"NM",IF(((GF316/GD316-1)*100)&lt;-50,"NM",(GF316/GD316-1)*100)))</f>
        <v>NA</v>
      </c>
      <c r="GH316" s="242"/>
      <c r="GI316" s="79" t="str">
        <f>IF(ISERROR((GH316/GF316-1)*100),"NA",IF(((GH316/GF316-1)*100)&gt;100,"NM",IF(((GH316/GF316-1)*100)&lt;-50,"NM",(GH316/GF316-1)*100)))</f>
        <v>NA</v>
      </c>
      <c r="GJ316" s="242"/>
      <c r="GK316" s="79" t="str">
        <f>IF(ISERROR((GJ316/GH316-1)*100),"NA",IF(((GJ316/GH316-1)*100)&gt;100,"NM",IF(((GJ316/GH316-1)*100)&lt;-50,"NM",(GJ316/GH316-1)*100)))</f>
        <v>NA</v>
      </c>
      <c r="GL316" s="242"/>
      <c r="GM316" s="79" t="str">
        <f>IF(ISERROR((GL316/GJ316-1)*100),"NA",IF(((GL316/GJ316-1)*100)&gt;100,"NM",IF(((GL316/GJ316-1)*100)&lt;-50,"NM",(GL316/GJ316-1)*100)))</f>
        <v>NA</v>
      </c>
      <c r="GN316" s="242"/>
      <c r="GO316" s="79" t="str">
        <f>IF(ISERROR((GN316/GL316-1)*100),"NA",IF(((GN316/GL316-1)*100)&gt;100,"NM",IF(((GN316/GL316-1)*100)&lt;-50,"NM",(GN316/GL316-1)*100)))</f>
        <v>NA</v>
      </c>
      <c r="GP316" s="242"/>
      <c r="GQ316" s="79" t="str">
        <f>IF(ISERROR((GP316/GN316-1)*100),"NA",IF(((GP316/GN316-1)*100)&gt;100,"NM",IF(((GP316/GN316-1)*100)&lt;-50,"NM",(GP316/GN316-1)*100)))</f>
        <v>NA</v>
      </c>
      <c r="GR316" s="242"/>
      <c r="GS316" s="79" t="str">
        <f>IF(ISERROR((GR316/GP316-1)*100),"NA",IF(((GR316/GP316-1)*100)&gt;100,"NM",IF(((GR316/GP316-1)*100)&lt;-50,"NM",(GR316/GP316-1)*100)))</f>
        <v>NA</v>
      </c>
      <c r="GT316" s="79"/>
      <c r="GU316" s="562"/>
      <c r="GV316" s="562"/>
      <c r="GW316"/>
      <c r="GX316"/>
      <c r="GY316"/>
      <c r="GZ316"/>
      <c r="HA316"/>
      <c r="HB316"/>
      <c r="HC316" s="562"/>
      <c r="HD316" s="562"/>
      <c r="HE316" s="562"/>
      <c r="HF316" s="562"/>
      <c r="HG316" s="562"/>
      <c r="HH316" s="562"/>
      <c r="HI316" s="562"/>
      <c r="HJ316" s="562"/>
      <c r="HK316" s="562"/>
      <c r="HL316" s="562"/>
      <c r="HM316" s="562"/>
      <c r="HN316" s="562"/>
      <c r="HO316" s="562"/>
      <c r="HP316" s="562"/>
      <c r="HQ316" s="562"/>
      <c r="HR316" s="562"/>
      <c r="HS316" s="562"/>
      <c r="HT316" s="562"/>
      <c r="HU316" s="562"/>
      <c r="HV316" s="562"/>
      <c r="HW316" s="562"/>
      <c r="HX316" s="562"/>
      <c r="HY316" s="562"/>
      <c r="HZ316" s="562"/>
      <c r="IA316" s="562"/>
      <c r="IB316" s="562"/>
      <c r="IC316" s="562"/>
      <c r="ID316" s="562"/>
      <c r="IE316" s="562"/>
      <c r="IF316" s="562"/>
      <c r="IG316" s="562"/>
      <c r="IH316" s="562"/>
      <c r="II316" s="562"/>
      <c r="IJ316" s="562"/>
      <c r="IK316" s="562"/>
      <c r="IL316" s="562"/>
      <c r="IM316" s="562"/>
      <c r="IN316" s="562"/>
      <c r="IO316" s="562"/>
      <c r="IP316" s="562"/>
      <c r="IQ316" s="562"/>
      <c r="IR316" s="562"/>
      <c r="IS316" s="562"/>
      <c r="IT316" s="562"/>
      <c r="IU316" s="562"/>
      <c r="IV316" s="562"/>
      <c r="IW316" s="562"/>
      <c r="IX316" s="562"/>
      <c r="IY316" s="562"/>
      <c r="IZ316" s="562"/>
      <c r="JA316" s="562"/>
      <c r="JB316" s="562"/>
      <c r="JC316" s="562"/>
      <c r="JD316" s="562"/>
      <c r="JE316" s="562"/>
      <c r="JF316" s="562"/>
      <c r="JG316" s="562"/>
      <c r="JH316" s="562"/>
      <c r="JI316" s="562"/>
      <c r="JJ316" s="562"/>
      <c r="JK316" s="562"/>
      <c r="JL316" s="562"/>
      <c r="JM316" s="562"/>
      <c r="JN316" s="562"/>
      <c r="JO316" s="562"/>
      <c r="JP316" s="562"/>
      <c r="JQ316" s="562"/>
      <c r="JR316" s="562"/>
      <c r="JS316" s="562"/>
      <c r="JT316" s="562"/>
      <c r="JU316" s="562"/>
      <c r="JV316" s="562"/>
      <c r="JW316" s="562"/>
      <c r="JX316" s="562"/>
      <c r="JY316" s="562"/>
      <c r="JZ316" s="562"/>
    </row>
    <row r="317" spans="1:286" ht="12.75" hidden="1" customHeight="1" outlineLevel="1" x14ac:dyDescent="0.2">
      <c r="A317" s="1"/>
      <c r="C317" s="79"/>
      <c r="D317" s="79"/>
      <c r="E317" s="129"/>
      <c r="F317" s="129"/>
      <c r="G317" s="129"/>
      <c r="H317" s="129"/>
      <c r="I317" s="129"/>
      <c r="J317" s="129"/>
      <c r="K317" s="129"/>
      <c r="L317" s="79"/>
      <c r="M317" s="129"/>
      <c r="N317" s="79"/>
      <c r="O317" s="129"/>
      <c r="P317" s="79"/>
      <c r="Q317" s="129"/>
      <c r="R317" s="79"/>
      <c r="S317" s="129"/>
      <c r="T317" s="79"/>
      <c r="U317" s="129"/>
      <c r="V317" s="79"/>
      <c r="W317" s="129"/>
      <c r="X317" s="79"/>
      <c r="Y317" s="129"/>
      <c r="Z317" s="79"/>
      <c r="AA317" s="130"/>
      <c r="AB317" s="79"/>
      <c r="AC317" s="129"/>
      <c r="AD317" s="79"/>
      <c r="AE317" s="129"/>
      <c r="AF317" s="79"/>
      <c r="AG317" s="129"/>
      <c r="AH317" s="79"/>
      <c r="AI317" s="129"/>
      <c r="AJ317" s="79"/>
      <c r="AK317" s="129"/>
      <c r="AL317" s="79"/>
      <c r="AM317" s="129"/>
      <c r="AN317" s="79"/>
      <c r="AO317" s="129"/>
      <c r="AP317" s="79"/>
      <c r="AQ317" s="129"/>
      <c r="AR317" s="79"/>
      <c r="AS317" s="129"/>
      <c r="AT317" s="81"/>
      <c r="AU317" s="129"/>
      <c r="AV317" s="81"/>
      <c r="AW317" s="129"/>
      <c r="AX317" s="81"/>
      <c r="AY317" s="129"/>
      <c r="AZ317" s="81"/>
      <c r="BA317" s="129"/>
      <c r="BB317" s="81"/>
      <c r="BC317" s="129"/>
      <c r="BD317" s="81"/>
      <c r="BE317" s="129"/>
      <c r="BF317" s="81"/>
      <c r="BG317" s="129"/>
      <c r="BH317" s="81"/>
      <c r="BI317" s="129"/>
      <c r="BJ317" s="81"/>
      <c r="BK317" s="129"/>
      <c r="BL317" s="81"/>
      <c r="BM317" s="129"/>
      <c r="BN317" s="81"/>
      <c r="BO317" s="129"/>
      <c r="BP317" s="81"/>
      <c r="BQ317" s="129"/>
      <c r="BR317" s="81"/>
      <c r="BS317" s="129"/>
      <c r="BT317" s="81"/>
      <c r="BU317" s="129"/>
      <c r="BV317" s="81"/>
      <c r="BW317" s="129"/>
      <c r="BX317" s="81"/>
      <c r="BY317" s="129"/>
      <c r="BZ317" s="81"/>
      <c r="CA317" s="129"/>
      <c r="CB317" s="81"/>
      <c r="CC317" s="129"/>
      <c r="CD317" s="81"/>
      <c r="CE317" s="129"/>
      <c r="CF317" s="81"/>
      <c r="CG317" s="129"/>
      <c r="CH317" s="81"/>
      <c r="CI317" s="129"/>
      <c r="CJ317" s="81"/>
      <c r="CK317" s="129"/>
      <c r="CL317" s="81"/>
      <c r="CM317" s="129"/>
      <c r="CN317" s="81"/>
      <c r="CO317" s="129"/>
      <c r="CP317" s="81"/>
      <c r="CQ317" s="129"/>
      <c r="CR317" s="81"/>
      <c r="CS317" s="129"/>
      <c r="CT317" s="81"/>
      <c r="CU317" s="129"/>
      <c r="CV317" s="81"/>
      <c r="CW317" s="129"/>
      <c r="CX317" s="81"/>
      <c r="CY317" s="129"/>
      <c r="CZ317" s="81"/>
      <c r="DA317" s="129"/>
      <c r="DB317" s="81"/>
      <c r="DC317" s="129"/>
      <c r="DD317" s="81"/>
      <c r="DE317" s="129"/>
      <c r="DF317" s="81"/>
      <c r="DG317" s="129"/>
      <c r="DH317" s="81"/>
      <c r="DI317" s="129"/>
      <c r="DJ317" s="81"/>
      <c r="DK317" s="129"/>
      <c r="DL317" s="81"/>
      <c r="DM317" s="129"/>
      <c r="DN317" s="81"/>
      <c r="DO317" s="129"/>
      <c r="DP317" s="81"/>
      <c r="DQ317" s="129"/>
      <c r="DR317" s="81"/>
      <c r="DS317" s="129"/>
      <c r="DT317" s="81"/>
      <c r="DU317" s="129"/>
      <c r="DV317" s="81"/>
      <c r="DW317" s="129"/>
      <c r="DX317" s="81"/>
      <c r="DY317" s="129"/>
      <c r="DZ317" s="81"/>
      <c r="EA317" s="129"/>
      <c r="EB317" s="81"/>
      <c r="EC317" s="129"/>
      <c r="ED317" s="81"/>
      <c r="EE317" s="129"/>
      <c r="EF317" s="81"/>
      <c r="EG317" s="129"/>
      <c r="EH317" s="81"/>
      <c r="EI317" s="129"/>
      <c r="EJ317" s="81"/>
      <c r="EK317" s="129"/>
      <c r="EL317" s="81"/>
      <c r="EM317" s="129"/>
      <c r="EN317" s="81"/>
      <c r="EO317" s="129"/>
      <c r="EP317" s="81"/>
      <c r="EQ317" s="129"/>
      <c r="ER317" s="81"/>
      <c r="ES317" s="129"/>
      <c r="ET317" s="469"/>
      <c r="EU317" s="129"/>
      <c r="EV317" s="129"/>
      <c r="EW317" s="79"/>
      <c r="EX317" s="129"/>
      <c r="EY317" s="79"/>
      <c r="EZ317" s="129"/>
      <c r="FA317" s="79"/>
      <c r="FB317" s="129"/>
      <c r="FC317" s="79"/>
      <c r="FD317" s="129"/>
      <c r="FE317" s="79"/>
      <c r="FF317" s="129"/>
      <c r="FG317" s="79"/>
      <c r="FH317" s="129"/>
      <c r="FI317" s="79"/>
      <c r="FJ317" s="129"/>
      <c r="FK317" s="79"/>
      <c r="FL317" s="129"/>
      <c r="FM317" s="79"/>
      <c r="FN317" s="129"/>
      <c r="FO317" s="79"/>
      <c r="FP317" s="129"/>
      <c r="FQ317" s="79"/>
      <c r="FR317" s="129"/>
      <c r="FS317" s="79"/>
      <c r="FT317" s="129"/>
      <c r="FU317" s="79"/>
      <c r="FV317" s="129"/>
      <c r="FW317" s="79"/>
      <c r="FX317" s="129"/>
      <c r="FY317" s="79"/>
      <c r="FZ317" s="129"/>
      <c r="GA317" s="79"/>
      <c r="GB317" s="129"/>
      <c r="GC317" s="79"/>
      <c r="GD317" s="129"/>
      <c r="GE317" s="79"/>
      <c r="GF317" s="129"/>
      <c r="GG317" s="79"/>
      <c r="GH317" s="129"/>
      <c r="GI317" s="79"/>
      <c r="GJ317" s="129"/>
      <c r="GK317" s="79"/>
      <c r="GL317" s="129"/>
      <c r="GM317" s="79"/>
      <c r="GN317" s="129"/>
      <c r="GO317" s="79"/>
      <c r="GP317" s="129"/>
      <c r="GQ317" s="79"/>
      <c r="GR317" s="129"/>
      <c r="GS317" s="79"/>
      <c r="GT317" s="79"/>
    </row>
    <row r="318" spans="1:286" ht="12.75" hidden="1" customHeight="1" outlineLevel="1" x14ac:dyDescent="0.2">
      <c r="A318" s="1"/>
      <c r="B318" s="83" t="s">
        <v>451</v>
      </c>
      <c r="C318" s="79"/>
      <c r="D318" s="79"/>
      <c r="E318" s="129"/>
      <c r="F318" s="129"/>
      <c r="G318" s="129"/>
      <c r="H318" s="129"/>
      <c r="I318" s="129"/>
      <c r="J318" s="129"/>
      <c r="K318" s="129"/>
      <c r="L318" s="79"/>
      <c r="M318" s="129"/>
      <c r="N318" s="79"/>
      <c r="O318" s="129"/>
      <c r="P318" s="79"/>
      <c r="Q318" s="129"/>
      <c r="R318" s="79"/>
      <c r="S318" s="129"/>
      <c r="T318" s="79"/>
      <c r="U318" s="129"/>
      <c r="V318" s="79"/>
      <c r="W318" s="129"/>
      <c r="X318" s="79"/>
      <c r="Y318" s="129"/>
      <c r="Z318" s="79"/>
      <c r="AA318" s="130"/>
      <c r="AB318" s="79"/>
      <c r="AC318" s="129"/>
      <c r="AD318" s="79"/>
      <c r="AE318" s="129"/>
      <c r="AF318" s="79"/>
      <c r="AG318" s="129"/>
      <c r="AH318" s="79"/>
      <c r="AI318" s="129"/>
      <c r="AJ318" s="79"/>
      <c r="AK318" s="129"/>
      <c r="AL318" s="79"/>
      <c r="AM318" s="129"/>
      <c r="AN318" s="79"/>
      <c r="AO318" s="129"/>
      <c r="AP318" s="79"/>
      <c r="AQ318" s="129"/>
      <c r="AR318" s="79"/>
      <c r="AS318" s="129"/>
      <c r="AT318" s="81"/>
      <c r="AU318" s="129"/>
      <c r="AV318" s="81"/>
      <c r="AW318" s="129"/>
      <c r="AX318" s="81"/>
      <c r="AY318" s="129"/>
      <c r="AZ318" s="81"/>
      <c r="BA318" s="129"/>
      <c r="BB318" s="81"/>
      <c r="BC318" s="129"/>
      <c r="BD318" s="81"/>
      <c r="BE318" s="129"/>
      <c r="BF318" s="81"/>
      <c r="BG318" s="129"/>
      <c r="BH318" s="81"/>
      <c r="BI318" s="129"/>
      <c r="BJ318" s="81"/>
      <c r="BK318" s="129"/>
      <c r="BL318" s="81"/>
      <c r="BM318" s="129"/>
      <c r="BN318" s="81"/>
      <c r="BO318" s="129"/>
      <c r="BP318" s="81"/>
      <c r="BQ318" s="129"/>
      <c r="BR318" s="81"/>
      <c r="BS318" s="129"/>
      <c r="BT318" s="81"/>
      <c r="BU318" s="129"/>
      <c r="BV318" s="81"/>
      <c r="BW318" s="129"/>
      <c r="BX318" s="81"/>
      <c r="BY318" s="129"/>
      <c r="BZ318" s="81"/>
      <c r="CA318" s="129"/>
      <c r="CB318" s="81"/>
      <c r="CC318" s="129"/>
      <c r="CD318" s="81"/>
      <c r="CE318" s="129"/>
      <c r="CF318" s="81"/>
      <c r="CG318" s="129"/>
      <c r="CH318" s="81"/>
      <c r="CI318" s="129"/>
      <c r="CJ318" s="81"/>
      <c r="CK318" s="129"/>
      <c r="CL318" s="81"/>
      <c r="CM318" s="129"/>
      <c r="CN318" s="81"/>
      <c r="CO318" s="129"/>
      <c r="CP318" s="81"/>
      <c r="CQ318" s="129"/>
      <c r="CR318" s="81"/>
      <c r="CS318" s="129"/>
      <c r="CT318" s="81"/>
      <c r="CU318" s="129"/>
      <c r="CV318" s="81"/>
      <c r="CW318" s="129"/>
      <c r="CX318" s="81"/>
      <c r="CY318" s="129"/>
      <c r="CZ318" s="81"/>
      <c r="DA318" s="129"/>
      <c r="DB318" s="81"/>
      <c r="DC318" s="129"/>
      <c r="DD318" s="81"/>
      <c r="DE318" s="129"/>
      <c r="DF318" s="81"/>
      <c r="DG318" s="129"/>
      <c r="DH318" s="81"/>
      <c r="DI318" s="129"/>
      <c r="DJ318" s="81"/>
      <c r="DK318" s="129"/>
      <c r="DL318" s="81"/>
      <c r="DM318" s="129"/>
      <c r="DN318" s="81"/>
      <c r="DO318" s="129"/>
      <c r="DP318" s="81"/>
      <c r="DQ318" s="129"/>
      <c r="DR318" s="81"/>
      <c r="DS318" s="129"/>
      <c r="DT318" s="81"/>
      <c r="DU318" s="129"/>
      <c r="DV318" s="81"/>
      <c r="DW318" s="129"/>
      <c r="DX318" s="81"/>
      <c r="DY318" s="129"/>
      <c r="DZ318" s="81"/>
      <c r="EA318" s="129"/>
      <c r="EB318" s="81"/>
      <c r="EC318" s="129"/>
      <c r="ED318" s="81"/>
      <c r="EE318" s="129"/>
      <c r="EF318" s="81"/>
      <c r="EG318" s="129"/>
      <c r="EH318" s="81"/>
      <c r="EI318" s="129"/>
      <c r="EJ318" s="81"/>
      <c r="EK318" s="129"/>
      <c r="EL318" s="81"/>
      <c r="EM318" s="129"/>
      <c r="EN318" s="81"/>
      <c r="EO318" s="129"/>
      <c r="EP318" s="81"/>
      <c r="EQ318" s="129"/>
      <c r="ER318" s="81"/>
      <c r="ES318" s="129"/>
      <c r="ET318" s="469"/>
      <c r="EU318" s="129"/>
      <c r="EV318" s="129"/>
      <c r="EW318" s="79"/>
      <c r="EX318" s="129"/>
      <c r="EY318" s="79"/>
      <c r="EZ318" s="129"/>
      <c r="FA318" s="79"/>
      <c r="FB318" s="129"/>
      <c r="FC318" s="79"/>
      <c r="FD318" s="129"/>
      <c r="FE318" s="79"/>
      <c r="FF318" s="129"/>
      <c r="FG318" s="79"/>
      <c r="FH318" s="129"/>
      <c r="FI318" s="79"/>
      <c r="FJ318" s="129"/>
      <c r="FK318" s="79"/>
      <c r="FL318" s="129"/>
      <c r="FM318" s="79"/>
      <c r="FN318" s="129"/>
      <c r="FO318" s="79"/>
      <c r="FP318" s="129"/>
      <c r="FQ318" s="79"/>
      <c r="FR318" s="129"/>
      <c r="FS318" s="79"/>
      <c r="FT318" s="129"/>
      <c r="FU318" s="79"/>
      <c r="FV318" s="129"/>
      <c r="FW318" s="79"/>
      <c r="FX318" s="129"/>
      <c r="FY318" s="79"/>
      <c r="FZ318" s="129"/>
      <c r="GA318" s="79"/>
      <c r="GB318" s="129"/>
      <c r="GC318" s="79"/>
      <c r="GD318" s="129"/>
      <c r="GE318" s="79"/>
      <c r="GF318" s="129"/>
      <c r="GG318" s="79"/>
      <c r="GH318" s="129"/>
      <c r="GI318" s="79"/>
      <c r="GJ318" s="129"/>
      <c r="GK318" s="79"/>
      <c r="GL318" s="129"/>
      <c r="GM318" s="79"/>
      <c r="GN318" s="129"/>
      <c r="GO318" s="79"/>
      <c r="GP318" s="129"/>
      <c r="GQ318" s="79"/>
      <c r="GR318" s="129"/>
      <c r="GS318" s="79"/>
      <c r="GT318" s="79"/>
    </row>
    <row r="319" spans="1:286" ht="12.75" hidden="1" customHeight="1" outlineLevel="1" x14ac:dyDescent="0.2">
      <c r="A319" s="1"/>
      <c r="B319" s="10" t="s">
        <v>452</v>
      </c>
      <c r="C319" s="79"/>
      <c r="D319" s="79"/>
      <c r="E319" s="95">
        <v>76.7</v>
      </c>
      <c r="F319" s="95"/>
      <c r="G319" s="95">
        <v>64.400000000000006</v>
      </c>
      <c r="H319" s="95"/>
      <c r="I319" s="95">
        <v>66.5</v>
      </c>
      <c r="J319" s="95"/>
      <c r="K319" s="95">
        <v>5.4</v>
      </c>
      <c r="L319" s="79"/>
      <c r="M319" s="95">
        <v>44.5</v>
      </c>
      <c r="N319" s="79">
        <f>IF(ISERROR((M319/E319-1)*100),"NA",IF(((M319/E319-1)*100)&gt;100,"NM",IF(((M319/E319-1)*100)&lt;-50,"NM",(M319/E319-1)*100)))</f>
        <v>-41.981747066492836</v>
      </c>
      <c r="O319" s="95">
        <v>36.700000000000003</v>
      </c>
      <c r="P319" s="79">
        <f>IF(ISERROR((O319/G319-1)*100),"NA",IF(((O319/G319-1)*100)&gt;100,"NM",IF(((O319/G319-1)*100)&lt;-50,"NM",(O319/G319-1)*100)))</f>
        <v>-43.012422360248451</v>
      </c>
      <c r="Q319" s="95">
        <v>43.7</v>
      </c>
      <c r="R319" s="79">
        <f>IF(ISERROR((Q319/I319-1)*100),"NA",IF(((Q319/I319-1)*100)&gt;100,"NM",IF(((Q319/I319-1)*100)&lt;-50,"NM",(Q319/I319-1)*100)))</f>
        <v>-34.285714285714285</v>
      </c>
      <c r="S319" s="95">
        <v>36.200000000000003</v>
      </c>
      <c r="T319" s="79" t="str">
        <f>IF(ISERROR((S319/K319-1)*100),"NA",IF(((S319/K319-1)*100)&gt;100,"NM",IF(((S319/K319-1)*100)&lt;-50,"NM",(S319/K319-1)*100)))</f>
        <v>NM</v>
      </c>
      <c r="U319" s="95">
        <v>39.200000000000003</v>
      </c>
      <c r="V319" s="79">
        <f>IF(ISERROR((U319/M319-1)*100),"NA",IF(((U319/M319-1)*100)&gt;100,"NM",IF(((U319/M319-1)*100)&lt;-50,"NM",(U319/M319-1)*100)))</f>
        <v>-11.910112359550551</v>
      </c>
      <c r="W319" s="95">
        <v>41.9</v>
      </c>
      <c r="X319" s="79">
        <f>IF(ISERROR((W319/O319-1)*100),"NA",IF(((W319/O319-1)*100)&gt;100,"NM",IF(((W319/O319-1)*100)&lt;-50,"NM",(W319/O319-1)*100)))</f>
        <v>14.16893732970026</v>
      </c>
      <c r="Y319" s="95">
        <v>35.4</v>
      </c>
      <c r="Z319" s="79">
        <f>IF(ISERROR((Y319/Q319-1)*100),"NA",IF(((Y319/Q319-1)*100)&gt;100,"NM",IF(((Y319/Q319-1)*100)&lt;-50,"NM",(Y319/Q319-1)*100)))</f>
        <v>-18.993135011441652</v>
      </c>
      <c r="AA319" s="126">
        <v>40.6</v>
      </c>
      <c r="AB319" s="79">
        <f>IF(ISERROR((AA319/S319-1)*100),"NA",IF(((AA319/S319-1)*100)&gt;100,"NM",IF(((AA319/S319-1)*100)&lt;-50,"NM",(AA319/S319-1)*100)))</f>
        <v>12.154696132596676</v>
      </c>
      <c r="AC319" s="95">
        <v>36.6</v>
      </c>
      <c r="AD319" s="79">
        <f>IF(ISERROR((AC319/U319-1)*100),"NA",IF(((AC319/U319-1)*100)&gt;100,"NM",IF(((AC319/U319-1)*100)&lt;-50,"NM",(AC319/U319-1)*100)))</f>
        <v>-6.6326530612244916</v>
      </c>
      <c r="AE319" s="95">
        <v>29</v>
      </c>
      <c r="AF319" s="79">
        <f>IF(ISERROR((AE319/W319-1)*100),"NA",IF(((AE319/W319-1)*100)&gt;100,"NM",IF(((AE319/W319-1)*100)&lt;-50,"NM",(AE319/W319-1)*100)))</f>
        <v>-30.787589498806678</v>
      </c>
      <c r="AG319" s="95">
        <v>39.700000000000003</v>
      </c>
      <c r="AH319" s="79">
        <f>IF(ISERROR((AG319/Y319-1)*100),"NA",IF(((AG319/Y319-1)*100)&gt;100,"NM",IF(((AG319/Y319-1)*100)&lt;-50,"NM",(AG319/Y319-1)*100)))</f>
        <v>12.146892655367235</v>
      </c>
      <c r="AI319" s="95">
        <v>37</v>
      </c>
      <c r="AJ319" s="79">
        <f>IF(ISERROR((AI319/AA319-1)*100),"NA",IF(((AI319/AA319-1)*100)&gt;100,"NM",IF(((AI319/AA319-1)*100)&lt;-50,"NM",(AI319/AA319-1)*100)))</f>
        <v>-8.8669950738916263</v>
      </c>
      <c r="AK319" s="95">
        <v>33</v>
      </c>
      <c r="AL319" s="79">
        <f>IF(ISERROR((AK319/AC319-1)*100),"NA",IF(((AK319/AC319-1)*100)&gt;100,"NM",IF(((AK319/AC319-1)*100)&lt;-50,"NM",(AK319/AC319-1)*100)))</f>
        <v>-9.8360655737704921</v>
      </c>
      <c r="AM319" s="95">
        <v>29.4</v>
      </c>
      <c r="AN319" s="79">
        <f>IF(ISERROR((AM319/AE319-1)*100),"NA",IF(((AM319/AE319-1)*100)&gt;100,"NM",IF(((AM319/AE319-1)*100)&lt;-50,"NM",(AM319/AE319-1)*100)))</f>
        <v>1.379310344827589</v>
      </c>
      <c r="AO319" s="95">
        <v>26.7</v>
      </c>
      <c r="AP319" s="79">
        <f>IF(ISERROR((AO319/AG319-1)*100),"NA",IF(((AO319/AG319-1)*100)&gt;100,"NM",IF(((AO319/AG319-1)*100)&lt;-50,"NM",(AO319/AG319-1)*100)))</f>
        <v>-32.7455919395466</v>
      </c>
      <c r="AQ319" s="95">
        <v>33.1</v>
      </c>
      <c r="AR319" s="79">
        <f>IF(ISERROR((AQ319/AI319-1)*100),"NA",IF(((AQ319/AI319-1)*100)&gt;100,"NM",IF(((AQ319/AI319-1)*100)&lt;-50,"NM",(AQ319/AI319-1)*100)))</f>
        <v>-10.540540540540533</v>
      </c>
      <c r="AS319" s="95">
        <v>31.4</v>
      </c>
      <c r="AT319" s="81">
        <f>IF(ISERROR((AS319/AK319-1)*100),"NA",IF(((AS319/AK319-1)*100)&gt;100,"NM",IF(((AS319/AK319-1)*100)&lt;-50,"NM",(AS319/AK319-1)*100)))</f>
        <v>-4.8484848484848575</v>
      </c>
      <c r="AU319" s="95">
        <v>30.6</v>
      </c>
      <c r="AV319" s="81">
        <f>IF(ISERROR((AU319/AM319-1)*100),"NA",IF(((AU319/AM319-1)*100)&gt;100,"NM",IF(((AU319/AM319-1)*100)&lt;-50,"NM",(AU319/AM319-1)*100)))</f>
        <v>4.081632653061229</v>
      </c>
      <c r="AW319" s="95">
        <v>27.3</v>
      </c>
      <c r="AX319" s="81">
        <f>IF(ISERROR((AW319/AO319-1)*100),"NA",IF(((AW319/AO319-1)*100)&gt;100,"NM",IF(((AW319/AO319-1)*100)&lt;-50,"NM",(AW319/AO319-1)*100)))</f>
        <v>2.2471910112359605</v>
      </c>
      <c r="AY319" s="95">
        <v>31.2</v>
      </c>
      <c r="AZ319" s="81">
        <f>IF(ISERROR((AY319/AQ319-1)*100),"NA",IF(((AY319/AQ319-1)*100)&gt;100,"NM",IF(((AY319/AQ319-1)*100)&lt;-50,"NM",(AY319/AQ319-1)*100)))</f>
        <v>-5.7401812688821829</v>
      </c>
      <c r="BA319" s="95">
        <v>31.6</v>
      </c>
      <c r="BB319" s="81">
        <f>IF(ISERROR((BA319/AS319-1)*100),"NA",IF(((BA319/AS319-1)*100)&gt;100,"NM",IF(((BA319/AS319-1)*100)&lt;-50,"NM",(BA319/AS319-1)*100)))</f>
        <v>0.63694267515923553</v>
      </c>
      <c r="BC319" s="95">
        <v>30.6</v>
      </c>
      <c r="BD319" s="81">
        <f>IF(ISERROR((BC319/AU319-1)*100),"NA",IF(((BC319/AU319-1)*100)&gt;100,"NM",IF(((BC319/AU319-1)*100)&lt;-50,"NM",(BC319/AU319-1)*100)))</f>
        <v>0</v>
      </c>
      <c r="BE319" s="95">
        <v>25.5</v>
      </c>
      <c r="BF319" s="81">
        <f>IF(ISERROR((BE319/AW319-1)*100),"NA",IF(((BE319/AW319-1)*100)&gt;100,"NM",IF(((BE319/AW319-1)*100)&lt;-50,"NM",(BE319/AW319-1)*100)))</f>
        <v>-6.5934065934065922</v>
      </c>
      <c r="BG319" s="95">
        <v>27.5</v>
      </c>
      <c r="BH319" s="81">
        <f>IF(ISERROR((BG319/AY319-1)*100),"NA",IF(((BG319/AY319-1)*100)&gt;100,"NM",IF(((BG319/AY319-1)*100)&lt;-50,"NM",(BG319/AY319-1)*100)))</f>
        <v>-11.858974358974361</v>
      </c>
      <c r="BI319" s="95">
        <v>28.2</v>
      </c>
      <c r="BJ319" s="81">
        <f>IF(ISERROR((BI319/BA319-1)*100),"NA",IF(((BI319/BA319-1)*100)&gt;100,"NM",IF(((BI319/BA319-1)*100)&lt;-50,"NM",(BI319/BA319-1)*100)))</f>
        <v>-10.759493670886078</v>
      </c>
      <c r="BK319" s="95">
        <v>28</v>
      </c>
      <c r="BL319" s="81">
        <f>IF(ISERROR((BK319/BC319-1)*100),"NA",IF(((BK319/BC319-1)*100)&gt;100,"NM",IF(((BK319/BC319-1)*100)&lt;-50,"NM",(BK319/BC319-1)*100)))</f>
        <v>-8.4967320261437944</v>
      </c>
      <c r="BM319" s="95">
        <v>27.1</v>
      </c>
      <c r="BN319" s="81"/>
      <c r="BO319" s="95"/>
      <c r="BP319" s="81"/>
      <c r="BQ319" s="95"/>
      <c r="BR319" s="81"/>
      <c r="BS319" s="95"/>
      <c r="BT319" s="81"/>
      <c r="BU319" s="95"/>
      <c r="BV319" s="81"/>
      <c r="BW319" s="95"/>
      <c r="BX319" s="81"/>
      <c r="BY319" s="95"/>
      <c r="BZ319" s="81"/>
      <c r="CA319" s="95"/>
      <c r="CB319" s="81"/>
      <c r="CC319" s="95"/>
      <c r="CD319" s="81"/>
      <c r="CE319" s="95"/>
      <c r="CF319" s="81"/>
      <c r="CG319" s="95"/>
      <c r="CH319" s="81"/>
      <c r="CI319" s="95"/>
      <c r="CJ319" s="81"/>
      <c r="CK319" s="95"/>
      <c r="CL319" s="81"/>
      <c r="CM319" s="95"/>
      <c r="CN319" s="81"/>
      <c r="CO319" s="95"/>
      <c r="CP319" s="81"/>
      <c r="CQ319" s="95"/>
      <c r="CR319" s="81"/>
      <c r="CS319" s="95"/>
      <c r="CT319" s="81"/>
      <c r="CU319" s="95"/>
      <c r="CV319" s="81"/>
      <c r="CW319" s="95"/>
      <c r="CX319" s="81"/>
      <c r="CY319" s="95"/>
      <c r="CZ319" s="81"/>
      <c r="DA319" s="95"/>
      <c r="DB319" s="81"/>
      <c r="DC319" s="95"/>
      <c r="DD319" s="81"/>
      <c r="DE319" s="95"/>
      <c r="DF319" s="81"/>
      <c r="DG319" s="95"/>
      <c r="DH319" s="81"/>
      <c r="DI319" s="95"/>
      <c r="DJ319" s="81"/>
      <c r="DK319" s="95"/>
      <c r="DL319" s="81"/>
      <c r="DM319" s="95"/>
      <c r="DN319" s="81"/>
      <c r="DO319" s="95"/>
      <c r="DP319" s="81"/>
      <c r="DQ319" s="95"/>
      <c r="DR319" s="81"/>
      <c r="DS319" s="95"/>
      <c r="DT319" s="81"/>
      <c r="DU319" s="95"/>
      <c r="DV319" s="81"/>
      <c r="DW319" s="95"/>
      <c r="DX319" s="81"/>
      <c r="DY319" s="95"/>
      <c r="DZ319" s="81"/>
      <c r="EA319" s="95"/>
      <c r="EB319" s="81"/>
      <c r="EC319" s="95"/>
      <c r="ED319" s="81"/>
      <c r="EE319" s="95"/>
      <c r="EF319" s="81"/>
      <c r="EG319" s="95"/>
      <c r="EH319" s="81"/>
      <c r="EI319" s="95"/>
      <c r="EJ319" s="81"/>
      <c r="EK319" s="95"/>
      <c r="EL319" s="81"/>
      <c r="EM319" s="95"/>
      <c r="EN319" s="81"/>
      <c r="EO319" s="95"/>
      <c r="EP319" s="81"/>
      <c r="EQ319" s="95"/>
      <c r="ER319" s="81"/>
      <c r="ES319" s="129"/>
      <c r="ET319" s="469"/>
      <c r="EU319" s="129"/>
      <c r="EV319" s="95"/>
      <c r="EW319" s="79"/>
      <c r="EX319" s="95"/>
      <c r="EY319" s="79"/>
      <c r="EZ319" s="145"/>
      <c r="FA319" s="79"/>
      <c r="FB319" s="35">
        <f>+E319+G319+I319+K319</f>
        <v>213.00000000000003</v>
      </c>
      <c r="FC319" s="79" t="str">
        <f>IF(ISERROR((FB319/EZ319-1)*100),"NA",IF(((FB319/EZ319-1)*100)&gt;100,"NM",IF(((FB319/EZ319-1)*100)&lt;-50,"NM",(FB319/EZ319-1)*100)))</f>
        <v>NA</v>
      </c>
      <c r="FD319" s="145">
        <f>+S319+Q319+O319+M319</f>
        <v>161.10000000000002</v>
      </c>
      <c r="FE319" s="79">
        <f>IF(ISERROR((FD319/FB319-1)*100),"NA",IF(((FD319/FB319-1)*100)&gt;100,"NM",IF(((FD319/FB319-1)*100)&lt;-50,"NM",(FD319/FB319-1)*100)))</f>
        <v>-24.366197183098592</v>
      </c>
      <c r="FF319" s="145">
        <f>+AA319+Y319+W319+U319</f>
        <v>157.10000000000002</v>
      </c>
      <c r="FG319" s="79">
        <f>IF(ISERROR((FF319/FD319-1)*100),"NA",IF(((FF319/FD319-1)*100)&gt;100,"NM",IF(((FF319/FD319-1)*100)&lt;-50,"NM",(FF319/FD319-1)*100)))</f>
        <v>-2.4829298572315306</v>
      </c>
      <c r="FH319" s="145">
        <f>+AI319+AG319+AE319+AC319</f>
        <v>142.30000000000001</v>
      </c>
      <c r="FI319" s="79">
        <f>IF(ISERROR((FH319/FF319-1)*100),"NA",IF(((FH319/FF319-1)*100)&gt;100,"NM",IF(((FH319/FF319-1)*100)&lt;-50,"NM",(FH319/FF319-1)*100)))</f>
        <v>-9.4207511139401738</v>
      </c>
      <c r="FJ319" s="35">
        <f>+AQ319+AO319+AM319+AK319</f>
        <v>122.19999999999999</v>
      </c>
      <c r="FK319" s="79">
        <f>IF(ISERROR((FJ319/FH319-1)*100),"NA",IF(((FJ319/FH319-1)*100)&gt;100,"NM",IF(((FJ319/FH319-1)*100)&lt;-50,"NM",(FJ319/FH319-1)*100)))</f>
        <v>-14.125087842586105</v>
      </c>
      <c r="FL319" s="78">
        <f>AS319+AU319+AW319+AY319</f>
        <v>120.5</v>
      </c>
      <c r="FM319" s="79">
        <f>IF(ISERROR((FL319/FJ319-1)*100),"NA",IF(((FL319/FJ319-1)*100)&gt;100,"NM",IF(((FL319/FJ319-1)*100)&lt;-50,"NM",(FL319/FJ319-1)*100)))</f>
        <v>-1.3911620294598914</v>
      </c>
      <c r="FN319" s="78">
        <f>BA319+BC319+BE319+BG319</f>
        <v>115.2</v>
      </c>
      <c r="FO319" s="79">
        <f>IF(ISERROR((FN319/FL319-1)*100),"NA",IF(((FN319/FL319-1)*100)&gt;100,"NM",IF(((FN319/FL319-1)*100)&lt;-50,"NM",(FN319/FL319-1)*100)))</f>
        <v>-4.3983402489626506</v>
      </c>
      <c r="FP319" s="78">
        <f>BI319+BK319+BM319+BO319</f>
        <v>83.300000000000011</v>
      </c>
      <c r="FQ319" s="79">
        <f>IF(ISERROR((FP319/FN319-1)*100),"NA",IF(((FP319/FN319-1)*100)&gt;100,"NM",IF(((FP319/FN319-1)*100)&lt;-50,"NM",(FP319/FN319-1)*100)))</f>
        <v>-27.690972222222211</v>
      </c>
      <c r="FR319" s="93"/>
      <c r="FS319" s="79" t="str">
        <f>IF(ISERROR((FR319/FP319-1)*100),"NA",IF(((FR319/FP319-1)*100)&gt;100,"NM",IF(((FR319/FP319-1)*100)&lt;-50,"NM",(FR319/FP319-1)*100)))</f>
        <v>NM</v>
      </c>
      <c r="FT319" s="93"/>
      <c r="FU319" s="79" t="str">
        <f>IF(ISERROR((FT319/FR319-1)*100),"NA",IF(((FT319/FR319-1)*100)&gt;100,"NM",IF(((FT319/FR319-1)*100)&lt;-50,"NM",(FT319/FR319-1)*100)))</f>
        <v>NA</v>
      </c>
      <c r="FV319" s="93"/>
      <c r="FW319" s="79" t="str">
        <f>IF(ISERROR((FV319/FT319-1)*100),"NA",IF(((FV319/FT319-1)*100)&gt;100,"NM",IF(((FV319/FT319-1)*100)&lt;-50,"NM",(FV319/FT319-1)*100)))</f>
        <v>NA</v>
      </c>
      <c r="FX319" s="93"/>
      <c r="FY319" s="79" t="str">
        <f>IF(ISERROR((FX319/FV319-1)*100),"NA",IF(((FX319/FV319-1)*100)&gt;100,"NM",IF(((FX319/FV319-1)*100)&lt;-50,"NM",(FX319/FV319-1)*100)))</f>
        <v>NA</v>
      </c>
      <c r="FZ319" s="93"/>
      <c r="GA319" s="79" t="str">
        <f>IF(ISERROR((FZ319/FX319-1)*100),"NA",IF(((FZ319/FX319-1)*100)&gt;100,"NM",IF(((FZ319/FX319-1)*100)&lt;-50,"NM",(FZ319/FX319-1)*100)))</f>
        <v>NA</v>
      </c>
      <c r="GB319" s="93"/>
      <c r="GC319" s="79" t="str">
        <f>IF(ISERROR((GB319/FZ319-1)*100),"NA",IF(((GB319/FZ319-1)*100)&gt;100,"NM",IF(((GB319/FZ319-1)*100)&lt;-50,"NM",(GB319/FZ319-1)*100)))</f>
        <v>NA</v>
      </c>
      <c r="GD319" s="93"/>
      <c r="GE319" s="79" t="str">
        <f>IF(ISERROR((GD319/GB319-1)*100),"NA",IF(((GD319/GB319-1)*100)&gt;100,"NM",IF(((GD319/GB319-1)*100)&lt;-50,"NM",(GD319/GB319-1)*100)))</f>
        <v>NA</v>
      </c>
      <c r="GF319" s="93"/>
      <c r="GG319" s="79" t="str">
        <f>IF(ISERROR((GF319/GD319-1)*100),"NA",IF(((GF319/GD319-1)*100)&gt;100,"NM",IF(((GF319/GD319-1)*100)&lt;-50,"NM",(GF319/GD319-1)*100)))</f>
        <v>NA</v>
      </c>
      <c r="GH319" s="93"/>
      <c r="GI319" s="79" t="str">
        <f>IF(ISERROR((GH319/GF319-1)*100),"NA",IF(((GH319/GF319-1)*100)&gt;100,"NM",IF(((GH319/GF319-1)*100)&lt;-50,"NM",(GH319/GF319-1)*100)))</f>
        <v>NA</v>
      </c>
      <c r="GJ319" s="93"/>
      <c r="GK319" s="79" t="str">
        <f>IF(ISERROR((GJ319/GH319-1)*100),"NA",IF(((GJ319/GH319-1)*100)&gt;100,"NM",IF(((GJ319/GH319-1)*100)&lt;-50,"NM",(GJ319/GH319-1)*100)))</f>
        <v>NA</v>
      </c>
      <c r="GL319" s="95"/>
      <c r="GM319" s="79" t="str">
        <f>IF(ISERROR((GL319/GJ319-1)*100),"NA",IF(((GL319/GJ319-1)*100)&gt;100,"NM",IF(((GL319/GJ319-1)*100)&lt;-50,"NM",(GL319/GJ319-1)*100)))</f>
        <v>NA</v>
      </c>
      <c r="GN319" s="95"/>
      <c r="GO319" s="79" t="str">
        <f>IF(ISERROR((GN319/GL319-1)*100),"NA",IF(((GN319/GL319-1)*100)&gt;100,"NM",IF(((GN319/GL319-1)*100)&lt;-50,"NM",(GN319/GL319-1)*100)))</f>
        <v>NA</v>
      </c>
      <c r="GP319" s="95"/>
      <c r="GQ319" s="79" t="str">
        <f>IF(ISERROR((GP319/GN319-1)*100),"NA",IF(((GP319/GN319-1)*100)&gt;100,"NM",IF(((GP319/GN319-1)*100)&lt;-50,"NM",(GP319/GN319-1)*100)))</f>
        <v>NA</v>
      </c>
      <c r="GR319" s="95"/>
      <c r="GS319" s="79" t="str">
        <f>IF(ISERROR((GR319/GP319-1)*100),"NA",IF(((GR319/GP319-1)*100)&gt;100,"NM",IF(((GR319/GP319-1)*100)&lt;-50,"NM",(GR319/GP319-1)*100)))</f>
        <v>NA</v>
      </c>
      <c r="GT319" s="79"/>
    </row>
    <row r="320" spans="1:286" ht="12.75" hidden="1" customHeight="1" outlineLevel="1" x14ac:dyDescent="0.2">
      <c r="A320" s="1"/>
      <c r="B320" s="10" t="s">
        <v>114</v>
      </c>
      <c r="C320" s="79"/>
      <c r="D320" s="79"/>
      <c r="E320" s="95">
        <v>3.3</v>
      </c>
      <c r="F320" s="95"/>
      <c r="G320" s="95">
        <v>3.3</v>
      </c>
      <c r="H320" s="95"/>
      <c r="I320" s="95">
        <v>-1.4</v>
      </c>
      <c r="J320" s="95"/>
      <c r="K320" s="95">
        <v>0.3</v>
      </c>
      <c r="L320" s="79"/>
      <c r="M320" s="95">
        <v>1</v>
      </c>
      <c r="N320" s="79" t="str">
        <f>IF(ISERROR((M320/E320-1)*100),"NA",IF(((M320/E320-1)*100)&gt;100,"NM",IF(((M320/E320-1)*100)&lt;-50,"NM",(M320/E320-1)*100)))</f>
        <v>NM</v>
      </c>
      <c r="O320" s="95">
        <v>1.1000000000000001</v>
      </c>
      <c r="P320" s="79" t="str">
        <f>IF(ISERROR((O320/G320-1)*100),"NA",IF(((O320/G320-1)*100)&gt;100,"NM",IF(((O320/G320-1)*100)&lt;-50,"NM",(O320/G320-1)*100)))</f>
        <v>NM</v>
      </c>
      <c r="Q320" s="95">
        <v>0.9</v>
      </c>
      <c r="R320" s="79" t="str">
        <f>IF(ISERROR((Q320/I320-1)*100),"NA",IF(((Q320/I320-1)*100)&gt;100,"NM",IF(((Q320/I320-1)*100)&lt;-50,"NM",(Q320/I320-1)*100)))</f>
        <v>NM</v>
      </c>
      <c r="S320" s="95">
        <v>0.1</v>
      </c>
      <c r="T320" s="79" t="str">
        <f>IF(ISERROR((S320/K320-1)*100),"NA",IF(((S320/K320-1)*100)&gt;100,"NM",IF(((S320/K320-1)*100)&lt;-50,"NM",(S320/K320-1)*100)))</f>
        <v>NM</v>
      </c>
      <c r="U320" s="95">
        <v>3.6</v>
      </c>
      <c r="V320" s="79" t="str">
        <f>IF(ISERROR((U320/M320-1)*100),"NA",IF(((U320/M320-1)*100)&gt;100,"NM",IF(((U320/M320-1)*100)&lt;-50,"NM",(U320/M320-1)*100)))</f>
        <v>NM</v>
      </c>
      <c r="W320" s="95">
        <v>4.0999999999999996</v>
      </c>
      <c r="X320" s="79" t="str">
        <f>IF(ISERROR((W320/O320-1)*100),"NA",IF(((W320/O320-1)*100)&gt;100,"NM",IF(((W320/O320-1)*100)&lt;-50,"NM",(W320/O320-1)*100)))</f>
        <v>NM</v>
      </c>
      <c r="Y320" s="95">
        <v>1.5</v>
      </c>
      <c r="Z320" s="79">
        <f>IF(ISERROR((Y320/Q320-1)*100),"NA",IF(((Y320/Q320-1)*100)&gt;100,"NM",IF(((Y320/Q320-1)*100)&lt;-50,"NM",(Y320/Q320-1)*100)))</f>
        <v>66.666666666666657</v>
      </c>
      <c r="AA320" s="126">
        <v>1.6</v>
      </c>
      <c r="AB320" s="79" t="str">
        <f>IF(ISERROR((AA320/S320-1)*100),"NA",IF(((AA320/S320-1)*100)&gt;100,"NM",IF(((AA320/S320-1)*100)&lt;-50,"NM",(AA320/S320-1)*100)))</f>
        <v>NM</v>
      </c>
      <c r="AC320" s="95">
        <v>3.6</v>
      </c>
      <c r="AD320" s="79">
        <f>IF(ISERROR((AC320/U320-1)*100),"NA",IF(((AC320/U320-1)*100)&gt;100,"NM",IF(((AC320/U320-1)*100)&lt;-50,"NM",(AC320/U320-1)*100)))</f>
        <v>0</v>
      </c>
      <c r="AE320" s="95">
        <v>1.8</v>
      </c>
      <c r="AF320" s="79" t="str">
        <f>IF(ISERROR((AE320/W320-1)*100),"NA",IF(((AE320/W320-1)*100)&gt;100,"NM",IF(((AE320/W320-1)*100)&lt;-50,"NM",(AE320/W320-1)*100)))</f>
        <v>NM</v>
      </c>
      <c r="AG320" s="95">
        <v>0.2</v>
      </c>
      <c r="AH320" s="79" t="str">
        <f>IF(ISERROR((AG320/Y320-1)*100),"NA",IF(((AG320/Y320-1)*100)&gt;100,"NM",IF(((AG320/Y320-1)*100)&lt;-50,"NM",(AG320/Y320-1)*100)))</f>
        <v>NM</v>
      </c>
      <c r="AI320" s="95">
        <v>-0.7</v>
      </c>
      <c r="AJ320" s="79" t="str">
        <f>IF(ISERROR((AI320/AA320-1)*100),"NA",IF(((AI320/AA320-1)*100)&gt;100,"NM",IF(((AI320/AA320-1)*100)&lt;-50,"NM",(AI320/AA320-1)*100)))</f>
        <v>NM</v>
      </c>
      <c r="AK320" s="95">
        <v>-0.1</v>
      </c>
      <c r="AL320" s="79" t="str">
        <f>IF(ISERROR((AK320/AC320-1)*100),"NA",IF(((AK320/AC320-1)*100)&gt;100,"NM",IF(((AK320/AC320-1)*100)&lt;-50,"NM",(AK320/AC320-1)*100)))</f>
        <v>NM</v>
      </c>
      <c r="AM320" s="95">
        <v>0.4</v>
      </c>
      <c r="AN320" s="79" t="str">
        <f>IF(ISERROR((AM320/AE320-1)*100),"NA",IF(((AM320/AE320-1)*100)&gt;100,"NM",IF(((AM320/AE320-1)*100)&lt;-50,"NM",(AM320/AE320-1)*100)))</f>
        <v>NM</v>
      </c>
      <c r="AO320" s="95">
        <v>0</v>
      </c>
      <c r="AP320" s="79" t="str">
        <f>IF(ISERROR((AO320/AG320-1)*100),"NA",IF(((AO320/AG320-1)*100)&gt;100,"NM",IF(((AO320/AG320-1)*100)&lt;-50,"NM",(AO320/AG320-1)*100)))</f>
        <v>NM</v>
      </c>
      <c r="AQ320" s="95">
        <v>0.8</v>
      </c>
      <c r="AR320" s="79" t="str">
        <f>IF(ISERROR((AQ320/AI320-1)*100),"NA",IF(((AQ320/AI320-1)*100)&gt;100,"NM",IF(((AQ320/AI320-1)*100)&lt;-50,"NM",(AQ320/AI320-1)*100)))</f>
        <v>NM</v>
      </c>
      <c r="AS320" s="95">
        <v>0.4</v>
      </c>
      <c r="AT320" s="81" t="str">
        <f>IF(ISERROR((AS320/AK320-1)*100),"NA",IF(((AS320/AK320-1)*100)&gt;100,"NM",IF(((AS320/AK320-1)*100)&lt;-50,"NM",(AS320/AK320-1)*100)))</f>
        <v>NM</v>
      </c>
      <c r="AU320" s="95">
        <v>0.3</v>
      </c>
      <c r="AV320" s="81">
        <f>IF(ISERROR((AU320/AM320-1)*100),"NA",IF(((AU320/AM320-1)*100)&gt;100,"NM",IF(((AU320/AM320-1)*100)&lt;-50,"NM",(AU320/AM320-1)*100)))</f>
        <v>-25.000000000000011</v>
      </c>
      <c r="AW320" s="95">
        <v>0.4</v>
      </c>
      <c r="AX320" s="81" t="str">
        <f>IF(ISERROR((AW320/AO320-1)*100),"NA",IF(((AW320/AO320-1)*100)&gt;100,"NM",IF(((AW320/AO320-1)*100)&lt;-50,"NM",(AW320/AO320-1)*100)))</f>
        <v>NA</v>
      </c>
      <c r="AY320" s="95">
        <v>1.9</v>
      </c>
      <c r="AZ320" s="81" t="str">
        <f>IF(ISERROR((AY320/AQ320-1)*100),"NA",IF(((AY320/AQ320-1)*100)&gt;100,"NM",IF(((AY320/AQ320-1)*100)&lt;-50,"NM",(AY320/AQ320-1)*100)))</f>
        <v>NM</v>
      </c>
      <c r="BA320" s="95">
        <v>0.7</v>
      </c>
      <c r="BB320" s="81">
        <f>IF(ISERROR((BA320/AS320-1)*100),"NA",IF(((BA320/AS320-1)*100)&gt;100,"NM",IF(((BA320/AS320-1)*100)&lt;-50,"NM",(BA320/AS320-1)*100)))</f>
        <v>74.999999999999972</v>
      </c>
      <c r="BC320" s="95">
        <v>0.4</v>
      </c>
      <c r="BD320" s="81">
        <f>IF(ISERROR((BC320/AU320-1)*100),"NA",IF(((BC320/AU320-1)*100)&gt;100,"NM",IF(((BC320/AU320-1)*100)&lt;-50,"NM",(BC320/AU320-1)*100)))</f>
        <v>33.33333333333335</v>
      </c>
      <c r="BE320" s="95">
        <v>0.4</v>
      </c>
      <c r="BF320" s="81">
        <f>IF(ISERROR((BE320/AW320-1)*100),"NA",IF(((BE320/AW320-1)*100)&gt;100,"NM",IF(((BE320/AW320-1)*100)&lt;-50,"NM",(BE320/AW320-1)*100)))</f>
        <v>0</v>
      </c>
      <c r="BG320" s="95">
        <v>0.4</v>
      </c>
      <c r="BH320" s="81" t="str">
        <f>IF(ISERROR((BG320/AY320-1)*100),"NA",IF(((BG320/AY320-1)*100)&gt;100,"NM",IF(((BG320/AY320-1)*100)&lt;-50,"NM",(BG320/AY320-1)*100)))</f>
        <v>NM</v>
      </c>
      <c r="BI320" s="95">
        <v>0.4</v>
      </c>
      <c r="BJ320" s="81">
        <f>IF(ISERROR((BI320/BA320-1)*100),"NA",IF(((BI320/BA320-1)*100)&gt;100,"NM",IF(((BI320/BA320-1)*100)&lt;-50,"NM",(BI320/BA320-1)*100)))</f>
        <v>-42.857142857142847</v>
      </c>
      <c r="BK320" s="95">
        <v>0.3</v>
      </c>
      <c r="BL320" s="81">
        <f>IF(ISERROR((BK320/BC320-1)*100),"NA",IF(((BK320/BC320-1)*100)&gt;100,"NM",IF(((BK320/BC320-1)*100)&lt;-50,"NM",(BK320/BC320-1)*100)))</f>
        <v>-25.000000000000011</v>
      </c>
      <c r="BM320" s="95">
        <v>0.3</v>
      </c>
      <c r="BN320" s="81"/>
      <c r="BO320" s="95"/>
      <c r="BP320" s="81"/>
      <c r="BQ320" s="95"/>
      <c r="BR320" s="81"/>
      <c r="BS320" s="95"/>
      <c r="BT320" s="81"/>
      <c r="BU320" s="95"/>
      <c r="BV320" s="81"/>
      <c r="BW320" s="95"/>
      <c r="BX320" s="81"/>
      <c r="BY320" s="95"/>
      <c r="BZ320" s="81"/>
      <c r="CA320" s="95"/>
      <c r="CB320" s="81"/>
      <c r="CC320" s="95"/>
      <c r="CD320" s="81"/>
      <c r="CE320" s="95"/>
      <c r="CF320" s="81"/>
      <c r="CG320" s="95"/>
      <c r="CH320" s="81"/>
      <c r="CI320" s="95"/>
      <c r="CJ320" s="81"/>
      <c r="CK320" s="95"/>
      <c r="CL320" s="81"/>
      <c r="CM320" s="95"/>
      <c r="CN320" s="81"/>
      <c r="CO320" s="95"/>
      <c r="CP320" s="81"/>
      <c r="CQ320" s="95"/>
      <c r="CR320" s="81"/>
      <c r="CS320" s="95"/>
      <c r="CT320" s="81"/>
      <c r="CU320" s="95"/>
      <c r="CV320" s="81"/>
      <c r="CW320" s="95"/>
      <c r="CX320" s="81"/>
      <c r="CY320" s="95"/>
      <c r="CZ320" s="81"/>
      <c r="DA320" s="95"/>
      <c r="DB320" s="81"/>
      <c r="DC320" s="95"/>
      <c r="DD320" s="81"/>
      <c r="DE320" s="95"/>
      <c r="DF320" s="81"/>
      <c r="DG320" s="188"/>
      <c r="DH320" s="81"/>
      <c r="DI320" s="188"/>
      <c r="DJ320" s="81"/>
      <c r="DK320" s="188"/>
      <c r="DL320" s="81"/>
      <c r="DM320" s="188"/>
      <c r="DN320" s="81"/>
      <c r="DO320" s="188"/>
      <c r="DP320" s="81"/>
      <c r="DQ320" s="188"/>
      <c r="DR320" s="81"/>
      <c r="DS320" s="188"/>
      <c r="DT320" s="81"/>
      <c r="DU320" s="188"/>
      <c r="DV320" s="81"/>
      <c r="DW320" s="188"/>
      <c r="DX320" s="81"/>
      <c r="DY320" s="188"/>
      <c r="DZ320" s="81"/>
      <c r="EA320" s="188"/>
      <c r="EB320" s="81"/>
      <c r="EC320" s="188"/>
      <c r="ED320" s="81"/>
      <c r="EE320" s="188"/>
      <c r="EF320" s="81"/>
      <c r="EG320" s="188"/>
      <c r="EH320" s="81"/>
      <c r="EI320" s="188"/>
      <c r="EJ320" s="81"/>
      <c r="EK320" s="188"/>
      <c r="EL320" s="81"/>
      <c r="EM320" s="188"/>
      <c r="EN320" s="81"/>
      <c r="EO320" s="188"/>
      <c r="EP320" s="81"/>
      <c r="EQ320" s="188"/>
      <c r="ER320" s="81"/>
      <c r="ES320" s="129"/>
      <c r="ET320" s="469"/>
      <c r="EU320" s="129"/>
      <c r="EV320" s="95"/>
      <c r="EW320" s="79"/>
      <c r="EX320" s="95"/>
      <c r="EY320" s="79"/>
      <c r="EZ320" s="145"/>
      <c r="FA320" s="79"/>
      <c r="FB320" s="35">
        <f>+E320+G320+I320+K320</f>
        <v>5.4999999999999991</v>
      </c>
      <c r="FC320" s="79" t="str">
        <f>IF(ISERROR((FB320/EZ320-1)*100),"NA",IF(((FB320/EZ320-1)*100)&gt;100,"NM",IF(((FB320/EZ320-1)*100)&lt;-50,"NM",(FB320/EZ320-1)*100)))</f>
        <v>NA</v>
      </c>
      <c r="FD320" s="145">
        <f>+S320+Q320+O320+M320</f>
        <v>3.1</v>
      </c>
      <c r="FE320" s="79">
        <f>IF(ISERROR((FD320/FB320-1)*100),"NA",IF(((FD320/FB320-1)*100)&gt;100,"NM",IF(((FD320/FB320-1)*100)&lt;-50,"NM",(FD320/FB320-1)*100)))</f>
        <v>-43.636363636363626</v>
      </c>
      <c r="FF320" s="145">
        <f>+AA320+Y320+W320+U320</f>
        <v>10.799999999999999</v>
      </c>
      <c r="FG320" s="79" t="str">
        <f>IF(ISERROR((FF320/FD320-1)*100),"NA",IF(((FF320/FD320-1)*100)&gt;100,"NM",IF(((FF320/FD320-1)*100)&lt;-50,"NM",(FF320/FD320-1)*100)))</f>
        <v>NM</v>
      </c>
      <c r="FH320" s="145">
        <f>+AI320+AG320+AE320+AC320</f>
        <v>4.9000000000000004</v>
      </c>
      <c r="FI320" s="79" t="str">
        <f>IF(ISERROR((FH320/FF320-1)*100),"NA",IF(((FH320/FF320-1)*100)&gt;100,"NM",IF(((FH320/FF320-1)*100)&lt;-50,"NM",(FH320/FF320-1)*100)))</f>
        <v>NM</v>
      </c>
      <c r="FJ320" s="35">
        <f>+AQ320+AO320+AM320+AK320</f>
        <v>1.1000000000000001</v>
      </c>
      <c r="FK320" s="79" t="str">
        <f>IF(ISERROR((FJ320/FH320-1)*100),"NA",IF(((FJ320/FH320-1)*100)&gt;100,"NM",IF(((FJ320/FH320-1)*100)&lt;-50,"NM",(FJ320/FH320-1)*100)))</f>
        <v>NM</v>
      </c>
      <c r="FL320" s="78">
        <f>AS320+AU320+AW320+AY320</f>
        <v>3</v>
      </c>
      <c r="FM320" s="79" t="str">
        <f>IF(ISERROR((FL320/FJ320-1)*100),"NA",IF(((FL320/FJ320-1)*100)&gt;100,"NM",IF(((FL320/FJ320-1)*100)&lt;-50,"NM",(FL320/FJ320-1)*100)))</f>
        <v>NM</v>
      </c>
      <c r="FN320" s="78">
        <f>BA320+BC320+BE320+BG320</f>
        <v>1.9</v>
      </c>
      <c r="FO320" s="79">
        <f>IF(ISERROR((FN320/FL320-1)*100),"NA",IF(((FN320/FL320-1)*100)&gt;100,"NM",IF(((FN320/FL320-1)*100)&lt;-50,"NM",(FN320/FL320-1)*100)))</f>
        <v>-36.666666666666671</v>
      </c>
      <c r="FP320" s="78">
        <f>BI320+BK320+BM320+BO320</f>
        <v>1</v>
      </c>
      <c r="FQ320" s="79">
        <f>IF(ISERROR((FP320/FN320-1)*100),"NA",IF(((FP320/FN320-1)*100)&gt;100,"NM",IF(((FP320/FN320-1)*100)&lt;-50,"NM",(FP320/FN320-1)*100)))</f>
        <v>-47.368421052631582</v>
      </c>
      <c r="FR320" s="96"/>
      <c r="FS320" s="79" t="str">
        <f>IF(ISERROR((FR320/FP320-1)*100),"NA",IF(((FR320/FP320-1)*100)&gt;100,"NM",IF(((FR320/FP320-1)*100)&lt;-50,"NM",(FR320/FP320-1)*100)))</f>
        <v>NM</v>
      </c>
      <c r="FT320" s="96"/>
      <c r="FU320" s="79" t="str">
        <f>IF(ISERROR((FT320/FR320-1)*100),"NA",IF(((FT320/FR320-1)*100)&gt;100,"NM",IF(((FT320/FR320-1)*100)&lt;-50,"NM",(FT320/FR320-1)*100)))</f>
        <v>NA</v>
      </c>
      <c r="FV320" s="96"/>
      <c r="FW320" s="79" t="str">
        <f>IF(ISERROR((FV320/FT320-1)*100),"NA",IF(((FV320/FT320-1)*100)&gt;100,"NM",IF(((FV320/FT320-1)*100)&lt;-50,"NM",(FV320/FT320-1)*100)))</f>
        <v>NA</v>
      </c>
      <c r="FX320" s="96"/>
      <c r="FY320" s="79" t="str">
        <f>IF(ISERROR((FX320/FV320-1)*100),"NA",IF(((FX320/FV320-1)*100)&gt;100,"NM",IF(((FX320/FV320-1)*100)&lt;-50,"NM",(FX320/FV320-1)*100)))</f>
        <v>NA</v>
      </c>
      <c r="FZ320" s="96"/>
      <c r="GA320" s="79" t="str">
        <f>IF(ISERROR((FZ320/FX320-1)*100),"NA",IF(((FZ320/FX320-1)*100)&gt;100,"NM",IF(((FZ320/FX320-1)*100)&lt;-50,"NM",(FZ320/FX320-1)*100)))</f>
        <v>NA</v>
      </c>
      <c r="GB320" s="96"/>
      <c r="GC320" s="79" t="str">
        <f>IF(ISERROR((GB320/FZ320-1)*100),"NA",IF(((GB320/FZ320-1)*100)&gt;100,"NM",IF(((GB320/FZ320-1)*100)&lt;-50,"NM",(GB320/FZ320-1)*100)))</f>
        <v>NA</v>
      </c>
      <c r="GD320" s="96"/>
      <c r="GE320" s="79" t="str">
        <f>IF(ISERROR((GD320/GB320-1)*100),"NA",IF(((GD320/GB320-1)*100)&gt;100,"NM",IF(((GD320/GB320-1)*100)&lt;-50,"NM",(GD320/GB320-1)*100)))</f>
        <v>NA</v>
      </c>
      <c r="GF320" s="96"/>
      <c r="GG320" s="79" t="str">
        <f>IF(ISERROR((GF320/GD320-1)*100),"NA",IF(((GF320/GD320-1)*100)&gt;100,"NM",IF(((GF320/GD320-1)*100)&lt;-50,"NM",(GF320/GD320-1)*100)))</f>
        <v>NA</v>
      </c>
      <c r="GH320" s="96"/>
      <c r="GI320" s="79" t="str">
        <f>IF(ISERROR((GH320/GF320-1)*100),"NA",IF(((GH320/GF320-1)*100)&gt;100,"NM",IF(((GH320/GF320-1)*100)&lt;-50,"NM",(GH320/GF320-1)*100)))</f>
        <v>NA</v>
      </c>
      <c r="GJ320" s="96"/>
      <c r="GK320" s="79" t="str">
        <f>IF(ISERROR((GJ320/GH320-1)*100),"NA",IF(((GJ320/GH320-1)*100)&gt;100,"NM",IF(((GJ320/GH320-1)*100)&lt;-50,"NM",(GJ320/GH320-1)*100)))</f>
        <v>NA</v>
      </c>
      <c r="GL320" s="188"/>
      <c r="GM320" s="79" t="str">
        <f>IF(ISERROR((GL320/GJ320-1)*100),"NA",IF(((GL320/GJ320-1)*100)&gt;100,"NM",IF(((GL320/GJ320-1)*100)&lt;-50,"NM",(GL320/GJ320-1)*100)))</f>
        <v>NA</v>
      </c>
      <c r="GN320" s="188"/>
      <c r="GO320" s="79" t="str">
        <f>IF(ISERROR((GN320/GL320-1)*100),"NA",IF(((GN320/GL320-1)*100)&gt;100,"NM",IF(((GN320/GL320-1)*100)&lt;-50,"NM",(GN320/GL320-1)*100)))</f>
        <v>NA</v>
      </c>
      <c r="GP320" s="188"/>
      <c r="GQ320" s="79" t="str">
        <f>IF(ISERROR((GP320/GN320-1)*100),"NA",IF(((GP320/GN320-1)*100)&gt;100,"NM",IF(((GP320/GN320-1)*100)&lt;-50,"NM",(GP320/GN320-1)*100)))</f>
        <v>NA</v>
      </c>
      <c r="GR320" s="188"/>
      <c r="GS320" s="79" t="str">
        <f>IF(ISERROR((GR320/GP320-1)*100),"NA",IF(((GR320/GP320-1)*100)&gt;100,"NM",IF(((GR320/GP320-1)*100)&lt;-50,"NM",(GR320/GP320-1)*100)))</f>
        <v>NA</v>
      </c>
      <c r="GT320" s="79"/>
    </row>
    <row r="321" spans="1:286" ht="12.75" hidden="1" customHeight="1" outlineLevel="1" x14ac:dyDescent="0.2">
      <c r="A321" s="1"/>
      <c r="B321" s="10" t="s">
        <v>311</v>
      </c>
      <c r="C321" s="79"/>
      <c r="D321" s="79"/>
      <c r="E321" s="95">
        <v>5.5</v>
      </c>
      <c r="F321" s="95"/>
      <c r="G321" s="95">
        <v>10.6</v>
      </c>
      <c r="H321" s="95"/>
      <c r="I321" s="95">
        <v>7.8</v>
      </c>
      <c r="J321" s="95"/>
      <c r="K321" s="95">
        <v>6.4</v>
      </c>
      <c r="L321" s="79"/>
      <c r="M321" s="95">
        <v>0</v>
      </c>
      <c r="N321" s="79" t="str">
        <f>IF(ISERROR((M321/E321-1)*100),"NA",IF(((M321/E321-1)*100)&gt;100,"NM",IF(((M321/E321-1)*100)&lt;-50,"NM",(M321/E321-1)*100)))</f>
        <v>NM</v>
      </c>
      <c r="O321" s="95">
        <v>0.2</v>
      </c>
      <c r="P321" s="79" t="str">
        <f>IF(ISERROR((O321/G321-1)*100),"NA",IF(((O321/G321-1)*100)&gt;100,"NM",IF(((O321/G321-1)*100)&lt;-50,"NM",(O321/G321-1)*100)))</f>
        <v>NM</v>
      </c>
      <c r="Q321" s="95">
        <v>0</v>
      </c>
      <c r="R321" s="79" t="str">
        <f>IF(ISERROR((Q321/I321-1)*100),"NA",IF(((Q321/I321-1)*100)&gt;100,"NM",IF(((Q321/I321-1)*100)&lt;-50,"NM",(Q321/I321-1)*100)))</f>
        <v>NM</v>
      </c>
      <c r="S321" s="95">
        <v>-0.1</v>
      </c>
      <c r="T321" s="79" t="str">
        <f>IF(ISERROR((S321/K321-1)*100),"NA",IF(((S321/K321-1)*100)&gt;100,"NM",IF(((S321/K321-1)*100)&lt;-50,"NM",(S321/K321-1)*100)))</f>
        <v>NM</v>
      </c>
      <c r="U321" s="95">
        <v>0</v>
      </c>
      <c r="V321" s="79" t="str">
        <f>IF(ISERROR((U321/M321-1)*100),"NA",IF(((U321/M321-1)*100)&gt;100,"NM",IF(((U321/M321-1)*100)&lt;-50,"NM",(U321/M321-1)*100)))</f>
        <v>NA</v>
      </c>
      <c r="W321" s="95">
        <v>0</v>
      </c>
      <c r="X321" s="79" t="str">
        <f>IF(ISERROR((W321/O321-1)*100),"NA",IF(((W321/O321-1)*100)&gt;100,"NM",IF(((W321/O321-1)*100)&lt;-50,"NM",(W321/O321-1)*100)))</f>
        <v>NM</v>
      </c>
      <c r="Y321" s="95">
        <v>0.1</v>
      </c>
      <c r="Z321" s="79" t="str">
        <f>IF(ISERROR((Y321/Q321-1)*100),"NA",IF(((Y321/Q321-1)*100)&gt;100,"NM",IF(((Y321/Q321-1)*100)&lt;-50,"NM",(Y321/Q321-1)*100)))</f>
        <v>NA</v>
      </c>
      <c r="AA321" s="126">
        <v>0</v>
      </c>
      <c r="AB321" s="79" t="str">
        <f>IF(ISERROR((AA321/S321-1)*100),"NA",IF(((AA321/S321-1)*100)&gt;100,"NM",IF(((AA321/S321-1)*100)&lt;-50,"NM",(AA321/S321-1)*100)))</f>
        <v>NM</v>
      </c>
      <c r="AC321" s="95">
        <v>0</v>
      </c>
      <c r="AD321" s="79" t="str">
        <f>IF(ISERROR((AC321/U321-1)*100),"NA",IF(((AC321/U321-1)*100)&gt;100,"NM",IF(((AC321/U321-1)*100)&lt;-50,"NM",(AC321/U321-1)*100)))</f>
        <v>NA</v>
      </c>
      <c r="AE321" s="95">
        <f>0.1-0.1</f>
        <v>0</v>
      </c>
      <c r="AF321" s="79" t="str">
        <f>IF(ISERROR((AE321/W321-1)*100),"NA",IF(((AE321/W321-1)*100)&gt;100,"NM",IF(((AE321/W321-1)*100)&lt;-50,"NM",(AE321/W321-1)*100)))</f>
        <v>NA</v>
      </c>
      <c r="AG321" s="95">
        <v>0.1</v>
      </c>
      <c r="AH321" s="79">
        <f>IF(ISERROR((AG321/Y321-1)*100),"NA",IF(((AG321/Y321-1)*100)&gt;100,"NM",IF(((AG321/Y321-1)*100)&lt;-50,"NM",(AG321/Y321-1)*100)))</f>
        <v>0</v>
      </c>
      <c r="AI321" s="95">
        <v>0</v>
      </c>
      <c r="AJ321" s="79" t="str">
        <f>IF(ISERROR((AI321/AA321-1)*100),"NA",IF(((AI321/AA321-1)*100)&gt;100,"NM",IF(((AI321/AA321-1)*100)&lt;-50,"NM",(AI321/AA321-1)*100)))</f>
        <v>NA</v>
      </c>
      <c r="AK321" s="95">
        <v>0</v>
      </c>
      <c r="AL321" s="79" t="str">
        <f>IF(ISERROR((AK321/AC321-1)*100),"NA",IF(((AK321/AC321-1)*100)&gt;100,"NM",IF(((AK321/AC321-1)*100)&lt;-50,"NM",(AK321/AC321-1)*100)))</f>
        <v>NA</v>
      </c>
      <c r="AM321" s="95">
        <f>0.2-0.1</f>
        <v>0.1</v>
      </c>
      <c r="AN321" s="79" t="str">
        <f>IF(ISERROR((AM321/AE321-1)*100),"NA",IF(((AM321/AE321-1)*100)&gt;100,"NM",IF(((AM321/AE321-1)*100)&lt;-50,"NM",(AM321/AE321-1)*100)))</f>
        <v>NA</v>
      </c>
      <c r="AO321" s="95">
        <f>0.1-0.2</f>
        <v>-0.1</v>
      </c>
      <c r="AP321" s="79" t="str">
        <f>IF(ISERROR((AO321/AG321-1)*100),"NA",IF(((AO321/AG321-1)*100)&gt;100,"NM",IF(((AO321/AG321-1)*100)&lt;-50,"NM",(AO321/AG321-1)*100)))</f>
        <v>NM</v>
      </c>
      <c r="AQ321" s="95">
        <v>0.5</v>
      </c>
      <c r="AR321" s="79" t="str">
        <f>IF(ISERROR((AQ321/AI321-1)*100),"NA",IF(((AQ321/AI321-1)*100)&gt;100,"NM",IF(((AQ321/AI321-1)*100)&lt;-50,"NM",(AQ321/AI321-1)*100)))</f>
        <v>NA</v>
      </c>
      <c r="AS321" s="188">
        <v>0</v>
      </c>
      <c r="AT321" s="81" t="str">
        <f>IF(ISERROR((AS321/AK321-1)*100),"NA",IF(((AS321/AK321-1)*100)&gt;100,"NM",IF(((AS321/AK321-1)*100)&lt;-50,"NM",(AS321/AK321-1)*100)))</f>
        <v>NA</v>
      </c>
      <c r="AU321" s="188">
        <v>0</v>
      </c>
      <c r="AV321" s="81" t="str">
        <f>IF(ISERROR((AU321/AM321-1)*100),"NA",IF(((AU321/AM321-1)*100)&gt;100,"NM",IF(((AU321/AM321-1)*100)&lt;-50,"NM",(AU321/AM321-1)*100)))</f>
        <v>NM</v>
      </c>
      <c r="AW321" s="188">
        <v>0</v>
      </c>
      <c r="AX321" s="81" t="str">
        <f>IF(ISERROR((AW321/AO321-1)*100),"NA",IF(((AW321/AO321-1)*100)&gt;100,"NM",IF(((AW321/AO321-1)*100)&lt;-50,"NM",(AW321/AO321-1)*100)))</f>
        <v>NM</v>
      </c>
      <c r="AY321" s="188">
        <v>0</v>
      </c>
      <c r="AZ321" s="81" t="str">
        <f>IF(ISERROR((AY321/AQ321-1)*100),"NA",IF(((AY321/AQ321-1)*100)&gt;100,"NM",IF(((AY321/AQ321-1)*100)&lt;-50,"NM",(AY321/AQ321-1)*100)))</f>
        <v>NM</v>
      </c>
      <c r="BA321" s="188">
        <v>0</v>
      </c>
      <c r="BB321" s="81" t="str">
        <f>IF(ISERROR((BA321/AS321-1)*100),"NA",IF(((BA321/AS321-1)*100)&gt;100,"NM",IF(((BA321/AS321-1)*100)&lt;-50,"NM",(BA321/AS321-1)*100)))</f>
        <v>NA</v>
      </c>
      <c r="BC321" s="188">
        <v>0</v>
      </c>
      <c r="BD321" s="81" t="str">
        <f>IF(ISERROR((BC321/AU321-1)*100),"NA",IF(((BC321/AU321-1)*100)&gt;100,"NM",IF(((BC321/AU321-1)*100)&lt;-50,"NM",(BC321/AU321-1)*100)))</f>
        <v>NA</v>
      </c>
      <c r="BE321" s="188">
        <v>0</v>
      </c>
      <c r="BF321" s="81" t="str">
        <f>IF(ISERROR((BE321/AW321-1)*100),"NA",IF(((BE321/AW321-1)*100)&gt;100,"NM",IF(((BE321/AW321-1)*100)&lt;-50,"NM",(BE321/AW321-1)*100)))</f>
        <v>NA</v>
      </c>
      <c r="BG321" s="188">
        <v>0</v>
      </c>
      <c r="BH321" s="81" t="str">
        <f>IF(ISERROR((BG321/AY321-1)*100),"NA",IF(((BG321/AY321-1)*100)&gt;100,"NM",IF(((BG321/AY321-1)*100)&lt;-50,"NM",(BG321/AY321-1)*100)))</f>
        <v>NA</v>
      </c>
      <c r="BI321" s="188">
        <v>0</v>
      </c>
      <c r="BJ321" s="81" t="str">
        <f>IF(ISERROR((BI321/BA321-1)*100),"NA",IF(((BI321/BA321-1)*100)&gt;100,"NM",IF(((BI321/BA321-1)*100)&lt;-50,"NM",(BI321/BA321-1)*100)))</f>
        <v>NA</v>
      </c>
      <c r="BK321" s="188">
        <v>0</v>
      </c>
      <c r="BL321" s="81" t="str">
        <f>IF(ISERROR((BK321/BC321-1)*100),"NA",IF(((BK321/BC321-1)*100)&gt;100,"NM",IF(((BK321/BC321-1)*100)&lt;-50,"NM",(BK321/BC321-1)*100)))</f>
        <v>NA</v>
      </c>
      <c r="BM321" s="188">
        <v>0</v>
      </c>
      <c r="BN321" s="81"/>
      <c r="BO321" s="188"/>
      <c r="BP321" s="81"/>
      <c r="BQ321" s="188"/>
      <c r="BR321" s="81"/>
      <c r="BS321" s="188"/>
      <c r="BT321" s="81"/>
      <c r="BU321" s="188"/>
      <c r="BV321" s="81"/>
      <c r="BW321" s="188"/>
      <c r="BX321" s="81"/>
      <c r="BY321" s="188"/>
      <c r="BZ321" s="81"/>
      <c r="CA321" s="188"/>
      <c r="CB321" s="81"/>
      <c r="CC321" s="188"/>
      <c r="CD321" s="81"/>
      <c r="CE321" s="188"/>
      <c r="CF321" s="81"/>
      <c r="CG321" s="188"/>
      <c r="CH321" s="81"/>
      <c r="CI321" s="188"/>
      <c r="CJ321" s="81"/>
      <c r="CK321" s="188"/>
      <c r="CL321" s="81"/>
      <c r="CM321" s="188"/>
      <c r="CN321" s="81"/>
      <c r="CO321" s="188"/>
      <c r="CP321" s="81"/>
      <c r="CQ321" s="188"/>
      <c r="CR321" s="81"/>
      <c r="CS321" s="188"/>
      <c r="CT321" s="81"/>
      <c r="CU321" s="188"/>
      <c r="CV321" s="81"/>
      <c r="CW321" s="188"/>
      <c r="CX321" s="81"/>
      <c r="CY321" s="188"/>
      <c r="CZ321" s="81"/>
      <c r="DA321" s="188"/>
      <c r="DB321" s="81"/>
      <c r="DC321" s="188"/>
      <c r="DD321" s="81"/>
      <c r="DE321" s="188"/>
      <c r="DF321" s="81"/>
      <c r="DG321" s="188"/>
      <c r="DH321" s="81"/>
      <c r="DI321" s="188"/>
      <c r="DJ321" s="81"/>
      <c r="DK321" s="188"/>
      <c r="DL321" s="81"/>
      <c r="DM321" s="188"/>
      <c r="DN321" s="81"/>
      <c r="DO321" s="188"/>
      <c r="DP321" s="81"/>
      <c r="DQ321" s="188"/>
      <c r="DR321" s="81"/>
      <c r="DS321" s="188"/>
      <c r="DT321" s="81"/>
      <c r="DU321" s="188"/>
      <c r="DV321" s="81"/>
      <c r="DW321" s="188"/>
      <c r="DX321" s="81"/>
      <c r="DY321" s="188"/>
      <c r="DZ321" s="81"/>
      <c r="EA321" s="188"/>
      <c r="EB321" s="81"/>
      <c r="EC321" s="188"/>
      <c r="ED321" s="81"/>
      <c r="EE321" s="188"/>
      <c r="EF321" s="81"/>
      <c r="EG321" s="188"/>
      <c r="EH321" s="81"/>
      <c r="EI321" s="188"/>
      <c r="EJ321" s="81"/>
      <c r="EK321" s="188"/>
      <c r="EL321" s="81"/>
      <c r="EM321" s="188"/>
      <c r="EN321" s="81"/>
      <c r="EO321" s="188"/>
      <c r="EP321" s="81"/>
      <c r="EQ321" s="188"/>
      <c r="ER321" s="81"/>
      <c r="ES321" s="129"/>
      <c r="ET321" s="469"/>
      <c r="EU321" s="129"/>
      <c r="EV321" s="95"/>
      <c r="EW321" s="79"/>
      <c r="EX321" s="95"/>
      <c r="EY321" s="79"/>
      <c r="EZ321" s="145"/>
      <c r="FA321" s="79"/>
      <c r="FB321" s="95">
        <v>30.3</v>
      </c>
      <c r="FC321" s="79" t="str">
        <f>IF(ISERROR((FB321/EZ321-1)*100),"NA",IF(((FB321/EZ321-1)*100)&gt;100,"NM",IF(((FB321/EZ321-1)*100)&lt;-50,"NM",(FB321/EZ321-1)*100)))</f>
        <v>NA</v>
      </c>
      <c r="FD321" s="95">
        <v>0.1</v>
      </c>
      <c r="FE321" s="79" t="str">
        <f>IF(ISERROR((FD321/FB321-1)*100),"NA",IF(((FD321/FB321-1)*100)&gt;100,"NM",IF(((FD321/FB321-1)*100)&lt;-50,"NM",(FD321/FB321-1)*100)))</f>
        <v>NM</v>
      </c>
      <c r="FF321" s="145">
        <f>+AA321+Y321+W321+U321</f>
        <v>0.1</v>
      </c>
      <c r="FG321" s="79">
        <f>IF(ISERROR((FF321/FD321-1)*100),"NA",IF(((FF321/FD321-1)*100)&gt;100,"NM",IF(((FF321/FD321-1)*100)&lt;-50,"NM",(FF321/FD321-1)*100)))</f>
        <v>0</v>
      </c>
      <c r="FH321" s="145">
        <f>+AC321+AA321+Y321+W321</f>
        <v>0.1</v>
      </c>
      <c r="FI321" s="79">
        <f>IF(ISERROR((FH321/FF321-1)*100),"NA",IF(((FH321/FF321-1)*100)&gt;100,"NM",IF(((FH321/FF321-1)*100)&lt;-50,"NM",(FH321/FF321-1)*100)))</f>
        <v>0</v>
      </c>
      <c r="FJ321" s="35">
        <f>+AQ321+AO321+AM321+AK321</f>
        <v>0.5</v>
      </c>
      <c r="FK321" s="79" t="str">
        <f>IF(ISERROR((FJ321/FH321-1)*100),"NA",IF(((FJ321/FH321-1)*100)&gt;100,"NM",IF(((FJ321/FH321-1)*100)&lt;-50,"NM",(FJ321/FH321-1)*100)))</f>
        <v>NM</v>
      </c>
      <c r="FL321" s="78">
        <f>AS321+AU321+AW321+AY321</f>
        <v>0</v>
      </c>
      <c r="FM321" s="79" t="str">
        <f>IF(ISERROR((FL321/FJ321-1)*100),"NA",IF(((FL321/FJ321-1)*100)&gt;100,"NM",IF(((FL321/FJ321-1)*100)&lt;-50,"NM",(FL321/FJ321-1)*100)))</f>
        <v>NM</v>
      </c>
      <c r="FN321" s="78">
        <f>BA321+BC321+BE321+BG321</f>
        <v>0</v>
      </c>
      <c r="FO321" s="79" t="str">
        <f>IF(ISERROR((FN321/FL321-1)*100),"NA",IF(((FN321/FL321-1)*100)&gt;100,"NM",IF(((FN321/FL321-1)*100)&lt;-50,"NM",(FN321/FL321-1)*100)))</f>
        <v>NA</v>
      </c>
      <c r="FP321" s="78">
        <f>BI321+BK321+BM321+BO321</f>
        <v>0</v>
      </c>
      <c r="FQ321" s="79" t="str">
        <f>IF(ISERROR((FP321/FN321-1)*100),"NA",IF(((FP321/FN321-1)*100)&gt;100,"NM",IF(((FP321/FN321-1)*100)&lt;-50,"NM",(FP321/FN321-1)*100)))</f>
        <v>NA</v>
      </c>
      <c r="FR321" s="96"/>
      <c r="FS321" s="79" t="str">
        <f>IF(ISERROR((FR321/FP321-1)*100),"NA",IF(((FR321/FP321-1)*100)&gt;100,"NM",IF(((FR321/FP321-1)*100)&lt;-50,"NM",(FR321/FP321-1)*100)))</f>
        <v>NA</v>
      </c>
      <c r="FT321" s="96"/>
      <c r="FU321" s="79" t="str">
        <f>IF(ISERROR((FT321/FR321-1)*100),"NA",IF(((FT321/FR321-1)*100)&gt;100,"NM",IF(((FT321/FR321-1)*100)&lt;-50,"NM",(FT321/FR321-1)*100)))</f>
        <v>NA</v>
      </c>
      <c r="FV321" s="96"/>
      <c r="FW321" s="79" t="str">
        <f>IF(ISERROR((FV321/FT321-1)*100),"NA",IF(((FV321/FT321-1)*100)&gt;100,"NM",IF(((FV321/FT321-1)*100)&lt;-50,"NM",(FV321/FT321-1)*100)))</f>
        <v>NA</v>
      </c>
      <c r="FX321" s="96"/>
      <c r="FY321" s="79" t="str">
        <f>IF(ISERROR((FX321/FV321-1)*100),"NA",IF(((FX321/FV321-1)*100)&gt;100,"NM",IF(((FX321/FV321-1)*100)&lt;-50,"NM",(FX321/FV321-1)*100)))</f>
        <v>NA</v>
      </c>
      <c r="FZ321" s="96"/>
      <c r="GA321" s="79" t="str">
        <f>IF(ISERROR((FZ321/FX321-1)*100),"NA",IF(((FZ321/FX321-1)*100)&gt;100,"NM",IF(((FZ321/FX321-1)*100)&lt;-50,"NM",(FZ321/FX321-1)*100)))</f>
        <v>NA</v>
      </c>
      <c r="GB321" s="96"/>
      <c r="GC321" s="79" t="str">
        <f>IF(ISERROR((GB321/FZ321-1)*100),"NA",IF(((GB321/FZ321-1)*100)&gt;100,"NM",IF(((GB321/FZ321-1)*100)&lt;-50,"NM",(GB321/FZ321-1)*100)))</f>
        <v>NA</v>
      </c>
      <c r="GD321" s="96"/>
      <c r="GE321" s="79" t="str">
        <f>IF(ISERROR((GD321/GB321-1)*100),"NA",IF(((GD321/GB321-1)*100)&gt;100,"NM",IF(((GD321/GB321-1)*100)&lt;-50,"NM",(GD321/GB321-1)*100)))</f>
        <v>NA</v>
      </c>
      <c r="GF321" s="96"/>
      <c r="GG321" s="79" t="str">
        <f>IF(ISERROR((GF321/GD321-1)*100),"NA",IF(((GF321/GD321-1)*100)&gt;100,"NM",IF(((GF321/GD321-1)*100)&lt;-50,"NM",(GF321/GD321-1)*100)))</f>
        <v>NA</v>
      </c>
      <c r="GH321" s="96"/>
      <c r="GI321" s="79" t="str">
        <f>IF(ISERROR((GH321/GF321-1)*100),"NA",IF(((GH321/GF321-1)*100)&gt;100,"NM",IF(((GH321/GF321-1)*100)&lt;-50,"NM",(GH321/GF321-1)*100)))</f>
        <v>NA</v>
      </c>
      <c r="GJ321" s="96"/>
      <c r="GK321" s="79" t="str">
        <f>IF(ISERROR((GJ321/GH321-1)*100),"NA",IF(((GJ321/GH321-1)*100)&gt;100,"NM",IF(((GJ321/GH321-1)*100)&lt;-50,"NM",(GJ321/GH321-1)*100)))</f>
        <v>NA</v>
      </c>
      <c r="GL321" s="188"/>
      <c r="GM321" s="79" t="str">
        <f>IF(ISERROR((GL321/GJ321-1)*100),"NA",IF(((GL321/GJ321-1)*100)&gt;100,"NM",IF(((GL321/GJ321-1)*100)&lt;-50,"NM",(GL321/GJ321-1)*100)))</f>
        <v>NA</v>
      </c>
      <c r="GN321" s="188"/>
      <c r="GO321" s="79" t="str">
        <f>IF(ISERROR((GN321/GL321-1)*100),"NA",IF(((GN321/GL321-1)*100)&gt;100,"NM",IF(((GN321/GL321-1)*100)&lt;-50,"NM",(GN321/GL321-1)*100)))</f>
        <v>NA</v>
      </c>
      <c r="GP321" s="188"/>
      <c r="GQ321" s="79" t="str">
        <f>IF(ISERROR((GP321/GN321-1)*100),"NA",IF(((GP321/GN321-1)*100)&gt;100,"NM",IF(((GP321/GN321-1)*100)&lt;-50,"NM",(GP321/GN321-1)*100)))</f>
        <v>NA</v>
      </c>
      <c r="GR321" s="188"/>
      <c r="GS321" s="79" t="str">
        <f>IF(ISERROR((GR321/GP321-1)*100),"NA",IF(((GR321/GP321-1)*100)&gt;100,"NM",IF(((GR321/GP321-1)*100)&lt;-50,"NM",(GR321/GP321-1)*100)))</f>
        <v>NA</v>
      </c>
      <c r="GT321" s="79"/>
    </row>
    <row r="322" spans="1:286" s="249" customFormat="1" ht="12.75" hidden="1" customHeight="1" outlineLevel="1" x14ac:dyDescent="0.2">
      <c r="A322" s="248"/>
      <c r="B322" s="10" t="s">
        <v>132</v>
      </c>
      <c r="C322" s="79"/>
      <c r="D322" s="79"/>
      <c r="E322" s="95">
        <v>44.9</v>
      </c>
      <c r="F322" s="95"/>
      <c r="G322" s="95">
        <v>47.7</v>
      </c>
      <c r="H322" s="95"/>
      <c r="I322" s="95">
        <v>45.3</v>
      </c>
      <c r="J322" s="95"/>
      <c r="K322" s="95">
        <v>43.4</v>
      </c>
      <c r="L322" s="79"/>
      <c r="M322" s="95">
        <v>44.2</v>
      </c>
      <c r="N322" s="79">
        <f>IF(ISERROR((M322/E322-1)*100),"NA",IF(((M322/E322-1)*100)&gt;100,"NM",IF(((M322/E322-1)*100)&lt;-50,"NM",(M322/E322-1)*100)))</f>
        <v>-1.5590200445434244</v>
      </c>
      <c r="O322" s="95">
        <v>45.7</v>
      </c>
      <c r="P322" s="79">
        <f>IF(ISERROR((O322/G322-1)*100),"NA",IF(((O322/G322-1)*100)&gt;100,"NM",IF(((O322/G322-1)*100)&lt;-50,"NM",(O322/G322-1)*100)))</f>
        <v>-4.1928721174004142</v>
      </c>
      <c r="Q322" s="95">
        <v>44</v>
      </c>
      <c r="R322" s="79">
        <f>IF(ISERROR((Q322/I322-1)*100),"NA",IF(((Q322/I322-1)*100)&gt;100,"NM",IF(((Q322/I322-1)*100)&lt;-50,"NM",(Q322/I322-1)*100)))</f>
        <v>-2.8697571743929284</v>
      </c>
      <c r="S322" s="95">
        <v>43.6</v>
      </c>
      <c r="T322" s="79">
        <f>IF(ISERROR((S322/K322-1)*100),"NA",IF(((S322/K322-1)*100)&gt;100,"NM",IF(((S322/K322-1)*100)&lt;-50,"NM",(S322/K322-1)*100)))</f>
        <v>0.46082949308756671</v>
      </c>
      <c r="U322" s="95">
        <v>41.7</v>
      </c>
      <c r="V322" s="79">
        <f>IF(ISERROR((U322/M322-1)*100),"NA",IF(((U322/M322-1)*100)&gt;100,"NM",IF(((U322/M322-1)*100)&lt;-50,"NM",(U322/M322-1)*100)))</f>
        <v>-5.65610859728507</v>
      </c>
      <c r="W322" s="95">
        <v>40.799999999999997</v>
      </c>
      <c r="X322" s="79">
        <f>IF(ISERROR((W322/O322-1)*100),"NA",IF(((W322/O322-1)*100)&gt;100,"NM",IF(((W322/O322-1)*100)&lt;-50,"NM",(W322/O322-1)*100)))</f>
        <v>-10.722100656455158</v>
      </c>
      <c r="Y322" s="95">
        <v>44</v>
      </c>
      <c r="Z322" s="79">
        <f>IF(ISERROR((Y322/Q322-1)*100),"NA",IF(((Y322/Q322-1)*100)&gt;100,"NM",IF(((Y322/Q322-1)*100)&lt;-50,"NM",(Y322/Q322-1)*100)))</f>
        <v>0</v>
      </c>
      <c r="AA322" s="126">
        <v>42.2</v>
      </c>
      <c r="AB322" s="79">
        <f>IF(ISERROR((AA322/S322-1)*100),"NA",IF(((AA322/S322-1)*100)&gt;100,"NM",IF(((AA322/S322-1)*100)&lt;-50,"NM",(AA322/S322-1)*100)))</f>
        <v>-3.2110091743119185</v>
      </c>
      <c r="AC322" s="95">
        <v>45.8</v>
      </c>
      <c r="AD322" s="79">
        <f>IF(ISERROR((AC322/U322-1)*100),"NA",IF(((AC322/U322-1)*100)&gt;100,"NM",IF(((AC322/U322-1)*100)&lt;-50,"NM",(AC322/U322-1)*100)))</f>
        <v>9.8321342925659305</v>
      </c>
      <c r="AE322" s="95">
        <v>42.2</v>
      </c>
      <c r="AF322" s="79">
        <f>IF(ISERROR((AE322/W322-1)*100),"NA",IF(((AE322/W322-1)*100)&gt;100,"NM",IF(((AE322/W322-1)*100)&lt;-50,"NM",(AE322/W322-1)*100)))</f>
        <v>3.4313725490196179</v>
      </c>
      <c r="AG322" s="95">
        <v>43.4</v>
      </c>
      <c r="AH322" s="79">
        <f>IF(ISERROR((AG322/Y322-1)*100),"NA",IF(((AG322/Y322-1)*100)&gt;100,"NM",IF(((AG322/Y322-1)*100)&lt;-50,"NM",(AG322/Y322-1)*100)))</f>
        <v>-1.3636363636363669</v>
      </c>
      <c r="AI322" s="95">
        <v>42.8</v>
      </c>
      <c r="AJ322" s="79">
        <f>IF(ISERROR((AI322/AA322-1)*100),"NA",IF(((AI322/AA322-1)*100)&gt;100,"NM",IF(((AI322/AA322-1)*100)&lt;-50,"NM",(AI322/AA322-1)*100)))</f>
        <v>1.42180094786728</v>
      </c>
      <c r="AK322" s="95">
        <v>40.799999999999997</v>
      </c>
      <c r="AL322" s="79">
        <f>IF(ISERROR((AK322/AC322-1)*100),"NA",IF(((AK322/AC322-1)*100)&gt;100,"NM",IF(((AK322/AC322-1)*100)&lt;-50,"NM",(AK322/AC322-1)*100)))</f>
        <v>-10.917030567685593</v>
      </c>
      <c r="AM322" s="95">
        <v>43.1</v>
      </c>
      <c r="AN322" s="79">
        <f>IF(ISERROR((AM322/AE322-1)*100),"NA",IF(((AM322/AE322-1)*100)&gt;100,"NM",IF(((AM322/AE322-1)*100)&lt;-50,"NM",(AM322/AE322-1)*100)))</f>
        <v>2.1327014218009532</v>
      </c>
      <c r="AO322" s="95">
        <v>41.3</v>
      </c>
      <c r="AP322" s="79">
        <f>IF(ISERROR((AO322/AG322-1)*100),"NA",IF(((AO322/AG322-1)*100)&gt;100,"NM",IF(((AO322/AG322-1)*100)&lt;-50,"NM",(AO322/AG322-1)*100)))</f>
        <v>-4.8387096774193612</v>
      </c>
      <c r="AQ322" s="95">
        <v>2</v>
      </c>
      <c r="AR322" s="79" t="str">
        <f>IF(ISERROR((AQ322/AI322-1)*100),"NA",IF(((AQ322/AI322-1)*100)&gt;100,"NM",IF(((AQ322/AI322-1)*100)&lt;-50,"NM",(AQ322/AI322-1)*100)))</f>
        <v>NM</v>
      </c>
      <c r="AS322" s="179">
        <v>1.6</v>
      </c>
      <c r="AT322" s="81" t="str">
        <f>IF(ISERROR((AS322/AK322-1)*100),"NA",IF(((AS322/AK322-1)*100)&gt;100,"NM",IF(((AS322/AK322-1)*100)&lt;-50,"NM",(AS322/AK322-1)*100)))</f>
        <v>NM</v>
      </c>
      <c r="AU322" s="179">
        <v>44.7</v>
      </c>
      <c r="AV322" s="81">
        <f>IF(ISERROR((AU322/AM322-1)*100),"NA",IF(((AU322/AM322-1)*100)&gt;100,"NM",IF(((AU322/AM322-1)*100)&lt;-50,"NM",(AU322/AM322-1)*100)))</f>
        <v>3.7122969837587005</v>
      </c>
      <c r="AW322" s="179">
        <v>43.7</v>
      </c>
      <c r="AX322" s="81">
        <f>IF(ISERROR((AW322/AO322-1)*100),"NA",IF(((AW322/AO322-1)*100)&gt;100,"NM",IF(((AW322/AO322-1)*100)&lt;-50,"NM",(AW322/AO322-1)*100)))</f>
        <v>5.8111380145278613</v>
      </c>
      <c r="AY322" s="179">
        <v>-0.6</v>
      </c>
      <c r="AZ322" s="81" t="str">
        <f>IF(ISERROR((AY322/AQ322-1)*100),"NA",IF(((AY322/AQ322-1)*100)&gt;100,"NM",IF(((AY322/AQ322-1)*100)&lt;-50,"NM",(AY322/AQ322-1)*100)))</f>
        <v>NM</v>
      </c>
      <c r="BA322" s="179">
        <v>1.5</v>
      </c>
      <c r="BB322" s="81">
        <f>IF(ISERROR((BA322/AS322-1)*100),"NA",IF(((BA322/AS322-1)*100)&gt;100,"NM",IF(((BA322/AS322-1)*100)&lt;-50,"NM",(BA322/AS322-1)*100)))</f>
        <v>-6.25</v>
      </c>
      <c r="BC322" s="179">
        <v>0.8</v>
      </c>
      <c r="BD322" s="81" t="str">
        <f>IF(ISERROR((BC322/AU322-1)*100),"NA",IF(((BC322/AU322-1)*100)&gt;100,"NM",IF(((BC322/AU322-1)*100)&lt;-50,"NM",(BC322/AU322-1)*100)))</f>
        <v>NM</v>
      </c>
      <c r="BE322" s="179">
        <v>0.7</v>
      </c>
      <c r="BF322" s="81" t="str">
        <f>IF(ISERROR((BE322/AW322-1)*100),"NA",IF(((BE322/AW322-1)*100)&gt;100,"NM",IF(((BE322/AW322-1)*100)&lt;-50,"NM",(BE322/AW322-1)*100)))</f>
        <v>NM</v>
      </c>
      <c r="BG322" s="179">
        <v>1</v>
      </c>
      <c r="BH322" s="81" t="str">
        <f>IF(ISERROR((BG322/AY322-1)*100),"NA",IF(((BG322/AY322-1)*100)&gt;100,"NM",IF(((BG322/AY322-1)*100)&lt;-50,"NM",(BG322/AY322-1)*100)))</f>
        <v>NM</v>
      </c>
      <c r="BI322" s="179">
        <v>2.1</v>
      </c>
      <c r="BJ322" s="81">
        <f>IF(ISERROR((BI322/BA322-1)*100),"NA",IF(((BI322/BA322-1)*100)&gt;100,"NM",IF(((BI322/BA322-1)*100)&lt;-50,"NM",(BI322/BA322-1)*100)))</f>
        <v>40.000000000000014</v>
      </c>
      <c r="BK322" s="179">
        <v>2.4</v>
      </c>
      <c r="BL322" s="81" t="str">
        <f>IF(ISERROR((BK322/BC322-1)*100),"NA",IF(((BK322/BC322-1)*100)&gt;100,"NM",IF(((BK322/BC322-1)*100)&lt;-50,"NM",(BK322/BC322-1)*100)))</f>
        <v>NM</v>
      </c>
      <c r="BM322" s="179">
        <v>3</v>
      </c>
      <c r="BN322" s="81"/>
      <c r="BO322" s="179"/>
      <c r="BP322" s="81"/>
      <c r="BQ322" s="179"/>
      <c r="BR322" s="81"/>
      <c r="BS322" s="179"/>
      <c r="BT322" s="81"/>
      <c r="BU322" s="179"/>
      <c r="BV322" s="81"/>
      <c r="BW322" s="179"/>
      <c r="BX322" s="81"/>
      <c r="BY322" s="179"/>
      <c r="BZ322" s="81"/>
      <c r="CA322" s="179"/>
      <c r="CB322" s="81"/>
      <c r="CC322" s="179"/>
      <c r="CD322" s="81"/>
      <c r="CE322" s="179"/>
      <c r="CF322" s="81"/>
      <c r="CG322" s="179"/>
      <c r="CH322" s="81"/>
      <c r="CI322" s="179"/>
      <c r="CJ322" s="81"/>
      <c r="CK322" s="179"/>
      <c r="CL322" s="81"/>
      <c r="CM322" s="179"/>
      <c r="CN322" s="81"/>
      <c r="CO322" s="179"/>
      <c r="CP322" s="81"/>
      <c r="CQ322" s="179"/>
      <c r="CR322" s="81"/>
      <c r="CS322" s="179"/>
      <c r="CT322" s="81"/>
      <c r="CU322" s="179"/>
      <c r="CV322" s="81"/>
      <c r="CW322" s="179"/>
      <c r="CX322" s="81"/>
      <c r="CY322" s="179"/>
      <c r="CZ322" s="81"/>
      <c r="DA322" s="179"/>
      <c r="DB322" s="81"/>
      <c r="DC322" s="179"/>
      <c r="DD322" s="81"/>
      <c r="DE322" s="179"/>
      <c r="DF322" s="81"/>
      <c r="DG322" s="179"/>
      <c r="DH322" s="81"/>
      <c r="DI322" s="179"/>
      <c r="DJ322" s="81"/>
      <c r="DK322" s="179"/>
      <c r="DL322" s="81"/>
      <c r="DM322" s="179"/>
      <c r="DN322" s="81"/>
      <c r="DO322" s="179"/>
      <c r="DP322" s="81"/>
      <c r="DQ322" s="179"/>
      <c r="DR322" s="81"/>
      <c r="DS322" s="179"/>
      <c r="DT322" s="81"/>
      <c r="DU322" s="179"/>
      <c r="DV322" s="81"/>
      <c r="DW322" s="179"/>
      <c r="DX322" s="81"/>
      <c r="DY322" s="179"/>
      <c r="DZ322" s="81"/>
      <c r="EA322" s="179"/>
      <c r="EB322" s="81"/>
      <c r="EC322" s="179"/>
      <c r="ED322" s="81"/>
      <c r="EE322" s="179"/>
      <c r="EF322" s="81"/>
      <c r="EG322" s="179"/>
      <c r="EH322" s="81"/>
      <c r="EI322" s="179"/>
      <c r="EJ322" s="81"/>
      <c r="EK322" s="179"/>
      <c r="EL322" s="81"/>
      <c r="EM322" s="179"/>
      <c r="EN322" s="81"/>
      <c r="EO322" s="179"/>
      <c r="EP322" s="81"/>
      <c r="EQ322" s="179"/>
      <c r="ER322" s="81"/>
      <c r="ES322" s="179"/>
      <c r="ET322" s="474"/>
      <c r="EU322" s="179"/>
      <c r="EV322" s="179"/>
      <c r="EW322" s="195"/>
      <c r="EX322" s="179"/>
      <c r="EY322" s="195"/>
      <c r="EZ322" s="198"/>
      <c r="FA322" s="195"/>
      <c r="FB322" s="282">
        <f>+E322+G322+I322+K322</f>
        <v>181.29999999999998</v>
      </c>
      <c r="FC322" s="195" t="str">
        <f>IF(ISERROR((FB322/EZ322-1)*100),"NA",IF(((FB322/EZ322-1)*100)&gt;100,"NM",IF(((FB322/EZ322-1)*100)&lt;-50,"NM",(FB322/EZ322-1)*100)))</f>
        <v>NA</v>
      </c>
      <c r="FD322" s="198">
        <f>+S322+Q322+O322+M322</f>
        <v>177.5</v>
      </c>
      <c r="FE322" s="195">
        <f>IF(ISERROR((FD322/FB322-1)*100),"NA",IF(((FD322/FB322-1)*100)&gt;100,"NM",IF(((FD322/FB322-1)*100)&lt;-50,"NM",(FD322/FB322-1)*100)))</f>
        <v>-2.0959735245449473</v>
      </c>
      <c r="FF322" s="198">
        <f>+AA322+Y322+W322+U322</f>
        <v>168.7</v>
      </c>
      <c r="FG322" s="195">
        <f>IF(ISERROR((FF322/FD322-1)*100),"NA",IF(((FF322/FD322-1)*100)&gt;100,"NM",IF(((FF322/FD322-1)*100)&lt;-50,"NM",(FF322/FD322-1)*100)))</f>
        <v>-4.9577464788732488</v>
      </c>
      <c r="FH322" s="198">
        <f>+AI322+AG322+AE322+AC322</f>
        <v>174.2</v>
      </c>
      <c r="FI322" s="195">
        <f>IF(ISERROR((FH322/FF322-1)*100),"NA",IF(((FH322/FF322-1)*100)&gt;100,"NM",IF(((FH322/FF322-1)*100)&lt;-50,"NM",(FH322/FF322-1)*100)))</f>
        <v>3.2602252519265074</v>
      </c>
      <c r="FJ322" s="282">
        <f>+AQ322+AO322+AM322+AK322</f>
        <v>127.2</v>
      </c>
      <c r="FK322" s="195">
        <f>IF(ISERROR((FJ322/FH322-1)*100),"NA",IF(((FJ322/FH322-1)*100)&gt;100,"NM",IF(((FJ322/FH322-1)*100)&lt;-50,"NM",(FJ322/FH322-1)*100)))</f>
        <v>-26.980482204362801</v>
      </c>
      <c r="FL322" s="78">
        <f>AS322+AU322+AW322+AY322</f>
        <v>89.4</v>
      </c>
      <c r="FM322" s="195">
        <f>IF(ISERROR((FL322/FJ322-1)*100),"NA",IF(((FL322/FJ322-1)*100)&gt;100,"NM",IF(((FL322/FJ322-1)*100)&lt;-50,"NM",(FL322/FJ322-1)*100)))</f>
        <v>-29.716981132075471</v>
      </c>
      <c r="FN322" s="78">
        <f>BA322+BC322+BE322+BG322</f>
        <v>4</v>
      </c>
      <c r="FO322" s="195" t="str">
        <f>IF(ISERROR((FN322/FL322-1)*100),"NA",IF(((FN322/FL322-1)*100)&gt;100,"NM",IF(((FN322/FL322-1)*100)&lt;-50,"NM",(FN322/FL322-1)*100)))</f>
        <v>NM</v>
      </c>
      <c r="FP322" s="78">
        <f>BI322+BK322+BM322+BO322</f>
        <v>7.5</v>
      </c>
      <c r="FQ322" s="195">
        <f>IF(ISERROR((FP322/FN322-1)*100),"NA",IF(((FP322/FN322-1)*100)&gt;100,"NM",IF(((FP322/FN322-1)*100)&lt;-50,"NM",(FP322/FN322-1)*100)))</f>
        <v>87.5</v>
      </c>
      <c r="FR322" s="282"/>
      <c r="FS322" s="195" t="str">
        <f>IF(ISERROR((FR322/FP322-1)*100),"NA",IF(((FR322/FP322-1)*100)&gt;100,"NM",IF(((FR322/FP322-1)*100)&lt;-50,"NM",(FR322/FP322-1)*100)))</f>
        <v>NM</v>
      </c>
      <c r="FT322" s="282"/>
      <c r="FU322" s="195" t="str">
        <f>IF(ISERROR((FT322/FR322-1)*100),"NA",IF(((FT322/FR322-1)*100)&gt;100,"NM",IF(((FT322/FR322-1)*100)&lt;-50,"NM",(FT322/FR322-1)*100)))</f>
        <v>NA</v>
      </c>
      <c r="FV322" s="282"/>
      <c r="FW322" s="195" t="str">
        <f>IF(ISERROR((FV322/FT322-1)*100),"NA",IF(((FV322/FT322-1)*100)&gt;100,"NM",IF(((FV322/FT322-1)*100)&lt;-50,"NM",(FV322/FT322-1)*100)))</f>
        <v>NA</v>
      </c>
      <c r="FX322" s="282"/>
      <c r="FY322" s="195" t="str">
        <f>IF(ISERROR((FX322/FV322-1)*100),"NA",IF(((FX322/FV322-1)*100)&gt;100,"NM",IF(((FX322/FV322-1)*100)&lt;-50,"NM",(FX322/FV322-1)*100)))</f>
        <v>NA</v>
      </c>
      <c r="FZ322" s="282"/>
      <c r="GA322" s="195" t="str">
        <f>IF(ISERROR((FZ322/FX322-1)*100),"NA",IF(((FZ322/FX322-1)*100)&gt;100,"NM",IF(((FZ322/FX322-1)*100)&lt;-50,"NM",(FZ322/FX322-1)*100)))</f>
        <v>NA</v>
      </c>
      <c r="GB322" s="282"/>
      <c r="GC322" s="195" t="str">
        <f>IF(ISERROR((GB322/FZ322-1)*100),"NA",IF(((GB322/FZ322-1)*100)&gt;100,"NM",IF(((GB322/FZ322-1)*100)&lt;-50,"NM",(GB322/FZ322-1)*100)))</f>
        <v>NA</v>
      </c>
      <c r="GD322" s="282"/>
      <c r="GE322" s="195" t="str">
        <f>IF(ISERROR((GD322/GB322-1)*100),"NA",IF(((GD322/GB322-1)*100)&gt;100,"NM",IF(((GD322/GB322-1)*100)&lt;-50,"NM",(GD322/GB322-1)*100)))</f>
        <v>NA</v>
      </c>
      <c r="GF322" s="282"/>
      <c r="GG322" s="195" t="str">
        <f>IF(ISERROR((GF322/GD322-1)*100),"NA",IF(((GF322/GD322-1)*100)&gt;100,"NM",IF(((GF322/GD322-1)*100)&lt;-50,"NM",(GF322/GD322-1)*100)))</f>
        <v>NA</v>
      </c>
      <c r="GH322" s="282"/>
      <c r="GI322" s="195" t="str">
        <f>IF(ISERROR((GH322/GF322-1)*100),"NA",IF(((GH322/GF322-1)*100)&gt;100,"NM",IF(((GH322/GF322-1)*100)&lt;-50,"NM",(GH322/GF322-1)*100)))</f>
        <v>NA</v>
      </c>
      <c r="GJ322" s="282"/>
      <c r="GK322" s="195" t="str">
        <f>IF(ISERROR((GJ322/GH322-1)*100),"NA",IF(((GJ322/GH322-1)*100)&gt;100,"NM",IF(((GJ322/GH322-1)*100)&lt;-50,"NM",(GJ322/GH322-1)*100)))</f>
        <v>NA</v>
      </c>
      <c r="GL322" s="179"/>
      <c r="GM322" s="195" t="str">
        <f>IF(ISERROR((GL322/GJ322-1)*100),"NA",IF(((GL322/GJ322-1)*100)&gt;100,"NM",IF(((GL322/GJ322-1)*100)&lt;-50,"NM",(GL322/GJ322-1)*100)))</f>
        <v>NA</v>
      </c>
      <c r="GN322" s="179"/>
      <c r="GO322" s="195" t="str">
        <f>IF(ISERROR((GN322/GL322-1)*100),"NA",IF(((GN322/GL322-1)*100)&gt;100,"NM",IF(((GN322/GL322-1)*100)&lt;-50,"NM",(GN322/GL322-1)*100)))</f>
        <v>NA</v>
      </c>
      <c r="GP322" s="179"/>
      <c r="GQ322" s="195" t="str">
        <f>IF(ISERROR((GP322/GN322-1)*100),"NA",IF(((GP322/GN322-1)*100)&gt;100,"NM",IF(((GP322/GN322-1)*100)&lt;-50,"NM",(GP322/GN322-1)*100)))</f>
        <v>NA</v>
      </c>
      <c r="GR322" s="179"/>
      <c r="GS322" s="195" t="str">
        <f>IF(ISERROR((GR322/GP322-1)*100),"NA",IF(((GR322/GP322-1)*100)&gt;100,"NM",IF(((GR322/GP322-1)*100)&lt;-50,"NM",(GR322/GP322-1)*100)))</f>
        <v>NA</v>
      </c>
      <c r="GT322" s="79"/>
      <c r="GU322" s="562"/>
      <c r="GV322" s="562"/>
      <c r="GW322"/>
      <c r="GX322"/>
      <c r="GY322"/>
      <c r="GZ322"/>
      <c r="HA322"/>
      <c r="HB322"/>
      <c r="HC322" s="562"/>
      <c r="HD322" s="562"/>
      <c r="HE322" s="562"/>
      <c r="HF322" s="562"/>
      <c r="HG322" s="562"/>
      <c r="HH322" s="562"/>
      <c r="HI322" s="562"/>
      <c r="HJ322" s="562"/>
      <c r="HK322" s="562"/>
      <c r="HL322" s="562"/>
      <c r="HM322" s="562"/>
      <c r="HN322" s="562"/>
      <c r="HO322" s="562"/>
      <c r="HP322" s="562"/>
      <c r="HQ322" s="562"/>
      <c r="HR322" s="562"/>
      <c r="HS322" s="562"/>
      <c r="HT322" s="562"/>
      <c r="HU322" s="562"/>
      <c r="HV322" s="562"/>
      <c r="HW322" s="562"/>
      <c r="HX322" s="562"/>
      <c r="HY322" s="562"/>
      <c r="HZ322" s="562"/>
      <c r="IA322" s="562"/>
      <c r="IB322" s="562"/>
      <c r="IC322" s="562"/>
      <c r="ID322" s="562"/>
      <c r="IE322" s="562"/>
      <c r="IF322" s="562"/>
      <c r="IG322" s="562"/>
      <c r="IH322" s="562"/>
      <c r="II322" s="562"/>
      <c r="IJ322" s="562"/>
      <c r="IK322" s="562"/>
      <c r="IL322" s="562"/>
      <c r="IM322" s="562"/>
      <c r="IN322" s="562"/>
      <c r="IO322" s="562"/>
      <c r="IP322" s="562"/>
      <c r="IQ322" s="562"/>
      <c r="IR322" s="562"/>
      <c r="IS322" s="562"/>
      <c r="IT322" s="562"/>
      <c r="IU322" s="562"/>
      <c r="IV322" s="562"/>
      <c r="IW322" s="562"/>
      <c r="IX322" s="562"/>
      <c r="IY322" s="562"/>
      <c r="IZ322" s="562"/>
      <c r="JA322" s="562"/>
      <c r="JB322" s="562"/>
      <c r="JC322" s="562"/>
      <c r="JD322" s="562"/>
      <c r="JE322" s="562"/>
      <c r="JF322" s="562"/>
      <c r="JG322" s="562"/>
      <c r="JH322" s="562"/>
      <c r="JI322" s="562"/>
      <c r="JJ322" s="562"/>
      <c r="JK322" s="562"/>
      <c r="JL322" s="562"/>
      <c r="JM322" s="562"/>
      <c r="JN322" s="562"/>
      <c r="JO322" s="562"/>
      <c r="JP322" s="562"/>
      <c r="JQ322" s="562"/>
      <c r="JR322" s="562"/>
      <c r="JS322" s="562"/>
      <c r="JT322" s="562"/>
      <c r="JU322" s="562"/>
      <c r="JV322" s="562"/>
      <c r="JW322" s="562"/>
      <c r="JX322" s="562"/>
      <c r="JY322" s="562"/>
      <c r="JZ322" s="562"/>
    </row>
    <row r="323" spans="1:286" s="83" customFormat="1" ht="12.75" hidden="1" customHeight="1" outlineLevel="1" x14ac:dyDescent="0.2">
      <c r="A323" s="77"/>
      <c r="B323" s="68" t="s">
        <v>57</v>
      </c>
      <c r="C323" s="140"/>
      <c r="D323" s="140"/>
      <c r="E323" s="242">
        <f>SUM(E319:E322)</f>
        <v>130.4</v>
      </c>
      <c r="F323" s="139"/>
      <c r="G323" s="242">
        <f>SUM(G319:G322)</f>
        <v>126</v>
      </c>
      <c r="H323" s="139"/>
      <c r="I323" s="242">
        <f>SUM(I319:I322)</f>
        <v>118.19999999999999</v>
      </c>
      <c r="J323" s="139"/>
      <c r="K323" s="242">
        <f>SUM(K319:K322)</f>
        <v>55.5</v>
      </c>
      <c r="L323" s="79"/>
      <c r="M323" s="242">
        <f>SUM(M319:M322)</f>
        <v>89.7</v>
      </c>
      <c r="N323" s="79">
        <f>IF(ISERROR((M323/E323-1)*100),"NA",IF(((M323/E323-1)*100)&gt;100,"NM",IF(((M323/E323-1)*100)&lt;-50,"NM",(M323/E323-1)*100)))</f>
        <v>-31.211656441717793</v>
      </c>
      <c r="O323" s="242">
        <f>SUM(O319:O322)</f>
        <v>83.700000000000017</v>
      </c>
      <c r="P323" s="79">
        <f>IF(ISERROR((O323/G323-1)*100),"NA",IF(((O323/G323-1)*100)&gt;100,"NM",IF(((O323/G323-1)*100)&lt;-50,"NM",(O323/G323-1)*100)))</f>
        <v>-33.571428571428562</v>
      </c>
      <c r="Q323" s="242">
        <f>SUM(Q319:Q322)</f>
        <v>88.6</v>
      </c>
      <c r="R323" s="79">
        <f>IF(ISERROR((Q323/I323-1)*100),"NA",IF(((Q323/I323-1)*100)&gt;100,"NM",IF(((Q323/I323-1)*100)&lt;-50,"NM",(Q323/I323-1)*100)))</f>
        <v>-25.042301184433157</v>
      </c>
      <c r="S323" s="242">
        <f>SUM(S319:S322)</f>
        <v>79.800000000000011</v>
      </c>
      <c r="T323" s="79">
        <f>IF(ISERROR((S323/K323-1)*100),"NA",IF(((S323/K323-1)*100)&gt;100,"NM",IF(((S323/K323-1)*100)&lt;-50,"NM",(S323/K323-1)*100)))</f>
        <v>43.783783783783804</v>
      </c>
      <c r="U323" s="242">
        <f>SUM(U319:U322)</f>
        <v>84.5</v>
      </c>
      <c r="V323" s="79">
        <f>IF(ISERROR((U323/M323-1)*100),"NA",IF(((U323/M323-1)*100)&gt;100,"NM",IF(((U323/M323-1)*100)&lt;-50,"NM",(U323/M323-1)*100)))</f>
        <v>-5.7971014492753659</v>
      </c>
      <c r="W323" s="242">
        <f>SUM(W319:W322)</f>
        <v>86.8</v>
      </c>
      <c r="X323" s="79">
        <f>IF(ISERROR((W323/O323-1)*100),"NA",IF(((W323/O323-1)*100)&gt;100,"NM",IF(((W323/O323-1)*100)&lt;-50,"NM",(W323/O323-1)*100)))</f>
        <v>3.7037037037036757</v>
      </c>
      <c r="Y323" s="242">
        <f>SUM(Y319:Y322)</f>
        <v>81</v>
      </c>
      <c r="Z323" s="79">
        <f>IF(ISERROR((Y323/Q323-1)*100),"NA",IF(((Y323/Q323-1)*100)&gt;100,"NM",IF(((Y323/Q323-1)*100)&lt;-50,"NM",(Y323/Q323-1)*100)))</f>
        <v>-8.5778781038374667</v>
      </c>
      <c r="AA323" s="244">
        <f>SUM(AA319:AA322)</f>
        <v>84.4</v>
      </c>
      <c r="AB323" s="79">
        <f>IF(ISERROR((AA323/S323-1)*100),"NA",IF(((AA323/S323-1)*100)&gt;100,"NM",IF(((AA323/S323-1)*100)&lt;-50,"NM",(AA323/S323-1)*100)))</f>
        <v>5.7644110275689053</v>
      </c>
      <c r="AC323" s="242">
        <f>SUM(AC319:AC322)</f>
        <v>86</v>
      </c>
      <c r="AD323" s="79">
        <f>IF(ISERROR((AC323/U323-1)*100),"NA",IF(((AC323/U323-1)*100)&gt;100,"NM",IF(((AC323/U323-1)*100)&lt;-50,"NM",(AC323/U323-1)*100)))</f>
        <v>1.7751479289940919</v>
      </c>
      <c r="AE323" s="242">
        <f>SUM(AE319:AE322)</f>
        <v>73</v>
      </c>
      <c r="AF323" s="79">
        <f>IF(ISERROR((AE323/W323-1)*100),"NA",IF(((AE323/W323-1)*100)&gt;100,"NM",IF(((AE323/W323-1)*100)&lt;-50,"NM",(AE323/W323-1)*100)))</f>
        <v>-15.89861751152073</v>
      </c>
      <c r="AG323" s="242">
        <f>SUM(AG319:AG322)</f>
        <v>83.4</v>
      </c>
      <c r="AH323" s="79">
        <f>IF(ISERROR((AG323/Y323-1)*100),"NA",IF(((AG323/Y323-1)*100)&gt;100,"NM",IF(((AG323/Y323-1)*100)&lt;-50,"NM",(AG323/Y323-1)*100)))</f>
        <v>2.9629629629629672</v>
      </c>
      <c r="AI323" s="242">
        <f>SUM(AI319:AI322)</f>
        <v>79.099999999999994</v>
      </c>
      <c r="AJ323" s="79">
        <f>IF(ISERROR((AI323/AA323-1)*100),"NA",IF(((AI323/AA323-1)*100)&gt;100,"NM",IF(((AI323/AA323-1)*100)&lt;-50,"NM",(AI323/AA323-1)*100)))</f>
        <v>-6.2796208530805808</v>
      </c>
      <c r="AK323" s="242">
        <f>SUM(AK319:AK322)</f>
        <v>73.699999999999989</v>
      </c>
      <c r="AL323" s="79">
        <f>IF(ISERROR((AK323/AC323-1)*100),"NA",IF(((AK323/AC323-1)*100)&gt;100,"NM",IF(((AK323/AC323-1)*100)&lt;-50,"NM",(AK323/AC323-1)*100)))</f>
        <v>-14.302325581395358</v>
      </c>
      <c r="AM323" s="242">
        <f>SUM(AM319:AM322)</f>
        <v>73</v>
      </c>
      <c r="AN323" s="79">
        <f>IF(ISERROR((AM323/AE323-1)*100),"NA",IF(((AM323/AE323-1)*100)&gt;100,"NM",IF(((AM323/AE323-1)*100)&lt;-50,"NM",(AM323/AE323-1)*100)))</f>
        <v>0</v>
      </c>
      <c r="AO323" s="242">
        <f>SUM(AO319:AO322)</f>
        <v>67.899999999999991</v>
      </c>
      <c r="AP323" s="79">
        <f>IF(ISERROR((AO323/AG323-1)*100),"NA",IF(((AO323/AG323-1)*100)&gt;100,"NM",IF(((AO323/AG323-1)*100)&lt;-50,"NM",(AO323/AG323-1)*100)))</f>
        <v>-18.58513189448443</v>
      </c>
      <c r="AQ323" s="242">
        <f>SUM(AQ319:AQ322)</f>
        <v>36.4</v>
      </c>
      <c r="AR323" s="79" t="str">
        <f>IF(ISERROR((AQ323/AI323-1)*100),"NA",IF(((AQ323/AI323-1)*100)&gt;100,"NM",IF(((AQ323/AI323-1)*100)&lt;-50,"NM",(AQ323/AI323-1)*100)))</f>
        <v>NM</v>
      </c>
      <c r="AS323" s="242">
        <f>SUM(AS319:AS322)</f>
        <v>33.4</v>
      </c>
      <c r="AT323" s="81" t="str">
        <f>IF(ISERROR((AS323/AK323-1)*100),"NA",IF(((AS323/AK323-1)*100)&gt;100,"NM",IF(((AS323/AK323-1)*100)&lt;-50,"NM",(AS323/AK323-1)*100)))</f>
        <v>NM</v>
      </c>
      <c r="AU323" s="242">
        <f>SUM(AU319:AU322)</f>
        <v>75.600000000000009</v>
      </c>
      <c r="AV323" s="81">
        <f>IF(ISERROR((AU323/AM323-1)*100),"NA",IF(((AU323/AM323-1)*100)&gt;100,"NM",IF(((AU323/AM323-1)*100)&lt;-50,"NM",(AU323/AM323-1)*100)))</f>
        <v>3.561643835616457</v>
      </c>
      <c r="AW323" s="242">
        <f>SUM(AW319:AW322)</f>
        <v>71.400000000000006</v>
      </c>
      <c r="AX323" s="81">
        <f>IF(ISERROR((AW323/AO323-1)*100),"NA",IF(((AW323/AO323-1)*100)&gt;100,"NM",IF(((AW323/AO323-1)*100)&lt;-50,"NM",(AW323/AO323-1)*100)))</f>
        <v>5.1546391752577581</v>
      </c>
      <c r="AY323" s="242">
        <f>SUM(AY319:AY322)</f>
        <v>32.5</v>
      </c>
      <c r="AZ323" s="81">
        <f>IF(ISERROR((AY323/AQ323-1)*100),"NA",IF(((AY323/AQ323-1)*100)&gt;100,"NM",IF(((AY323/AQ323-1)*100)&lt;-50,"NM",(AY323/AQ323-1)*100)))</f>
        <v>-10.71428571428571</v>
      </c>
      <c r="BA323" s="242">
        <f>SUM(BA319:BA322)</f>
        <v>33.800000000000004</v>
      </c>
      <c r="BB323" s="81">
        <f>IF(ISERROR((BA323/AS323-1)*100),"NA",IF(((BA323/AS323-1)*100)&gt;100,"NM",IF(((BA323/AS323-1)*100)&lt;-50,"NM",(BA323/AS323-1)*100)))</f>
        <v>1.1976047904191711</v>
      </c>
      <c r="BC323" s="242">
        <f>SUM(BC319:BC322)</f>
        <v>31.8</v>
      </c>
      <c r="BD323" s="81" t="str">
        <f>IF(ISERROR((BC323/AU323-1)*100),"NA",IF(((BC323/AU323-1)*100)&gt;100,"NM",IF(((BC323/AU323-1)*100)&lt;-50,"NM",(BC323/AU323-1)*100)))</f>
        <v>NM</v>
      </c>
      <c r="BE323" s="242">
        <f>SUM(BE319:BE322)</f>
        <v>26.599999999999998</v>
      </c>
      <c r="BF323" s="81" t="str">
        <f>IF(ISERROR((BE323/AW323-1)*100),"NA",IF(((BE323/AW323-1)*100)&gt;100,"NM",IF(((BE323/AW323-1)*100)&lt;-50,"NM",(BE323/AW323-1)*100)))</f>
        <v>NM</v>
      </c>
      <c r="BG323" s="242">
        <f>SUM(BG319:BG322)</f>
        <v>28.9</v>
      </c>
      <c r="BH323" s="81">
        <f>IF(ISERROR((BG323/AY323-1)*100),"NA",IF(((BG323/AY323-1)*100)&gt;100,"NM",IF(((BG323/AY323-1)*100)&lt;-50,"NM",(BG323/AY323-1)*100)))</f>
        <v>-11.076923076923084</v>
      </c>
      <c r="BI323" s="242">
        <f>SUM(BI319:BI322)</f>
        <v>30.7</v>
      </c>
      <c r="BJ323" s="81">
        <f>IF(ISERROR((BI323/BA323-1)*100),"NA",IF(((BI323/BA323-1)*100)&gt;100,"NM",IF(((BI323/BA323-1)*100)&lt;-50,"NM",(BI323/BA323-1)*100)))</f>
        <v>-9.1715976331361091</v>
      </c>
      <c r="BK323" s="242">
        <f>SUM(BK319:BK322)</f>
        <v>30.7</v>
      </c>
      <c r="BL323" s="81">
        <f>IF(ISERROR((BK323/BC323-1)*100),"NA",IF(((BK323/BC323-1)*100)&gt;100,"NM",IF(((BK323/BC323-1)*100)&lt;-50,"NM",(BK323/BC323-1)*100)))</f>
        <v>-3.4591194968553451</v>
      </c>
      <c r="BM323" s="242">
        <f>SUM(BM319:BM322)</f>
        <v>30.400000000000002</v>
      </c>
      <c r="BN323" s="81"/>
      <c r="BO323" s="242"/>
      <c r="BP323" s="81"/>
      <c r="BQ323" s="242"/>
      <c r="BR323" s="81"/>
      <c r="BS323" s="242"/>
      <c r="BT323" s="81"/>
      <c r="BU323" s="242"/>
      <c r="BV323" s="81"/>
      <c r="BW323" s="242"/>
      <c r="BX323" s="81"/>
      <c r="BY323" s="242"/>
      <c r="BZ323" s="81"/>
      <c r="CA323" s="242"/>
      <c r="CB323" s="81"/>
      <c r="CC323" s="242"/>
      <c r="CD323" s="81"/>
      <c r="CE323" s="242"/>
      <c r="CF323" s="81"/>
      <c r="CG323" s="242"/>
      <c r="CH323" s="81"/>
      <c r="CI323" s="242"/>
      <c r="CJ323" s="81"/>
      <c r="CK323" s="242"/>
      <c r="CL323" s="81"/>
      <c r="CM323" s="242"/>
      <c r="CN323" s="81"/>
      <c r="CO323" s="242"/>
      <c r="CP323" s="81"/>
      <c r="CQ323" s="242"/>
      <c r="CR323" s="81"/>
      <c r="CS323" s="242"/>
      <c r="CT323" s="81"/>
      <c r="CU323" s="242"/>
      <c r="CV323" s="81"/>
      <c r="CW323" s="242"/>
      <c r="CX323" s="81"/>
      <c r="CY323" s="242"/>
      <c r="CZ323" s="81"/>
      <c r="DA323" s="242"/>
      <c r="DB323" s="81"/>
      <c r="DC323" s="242"/>
      <c r="DD323" s="81"/>
      <c r="DE323" s="242"/>
      <c r="DF323" s="81"/>
      <c r="DG323" s="242"/>
      <c r="DH323" s="81"/>
      <c r="DI323" s="242"/>
      <c r="DJ323" s="81"/>
      <c r="DK323" s="242"/>
      <c r="DL323" s="81"/>
      <c r="DM323" s="242"/>
      <c r="DN323" s="81"/>
      <c r="DO323" s="242"/>
      <c r="DP323" s="81"/>
      <c r="DQ323" s="242"/>
      <c r="DR323" s="81"/>
      <c r="DS323" s="242"/>
      <c r="DT323" s="81"/>
      <c r="DU323" s="242"/>
      <c r="DV323" s="81"/>
      <c r="DW323" s="242"/>
      <c r="DX323" s="81"/>
      <c r="DY323" s="242"/>
      <c r="DZ323" s="81"/>
      <c r="EA323" s="242"/>
      <c r="EB323" s="81"/>
      <c r="EC323" s="242"/>
      <c r="ED323" s="81"/>
      <c r="EE323" s="242"/>
      <c r="EF323" s="81"/>
      <c r="EG323" s="242"/>
      <c r="EH323" s="81"/>
      <c r="EI323" s="242"/>
      <c r="EJ323" s="81"/>
      <c r="EK323" s="242"/>
      <c r="EL323" s="81"/>
      <c r="EM323" s="242"/>
      <c r="EN323" s="81"/>
      <c r="EO323" s="242"/>
      <c r="EP323" s="81"/>
      <c r="EQ323" s="242"/>
      <c r="ER323" s="81"/>
      <c r="ES323" s="138"/>
      <c r="ET323" s="470"/>
      <c r="EU323" s="138"/>
      <c r="EV323" s="139"/>
      <c r="EW323" s="140"/>
      <c r="EX323" s="139"/>
      <c r="EY323" s="79"/>
      <c r="EZ323" s="142"/>
      <c r="FA323" s="79"/>
      <c r="FB323" s="242">
        <f>SUM(FB319:FB322)</f>
        <v>430.1</v>
      </c>
      <c r="FC323" s="79" t="str">
        <f>IF(ISERROR((FB323/EZ323-1)*100),"NA",IF(((FB323/EZ323-1)*100)&gt;100,"NM",IF(((FB323/EZ323-1)*100)&lt;-50,"NM",(FB323/EZ323-1)*100)))</f>
        <v>NA</v>
      </c>
      <c r="FD323" s="242">
        <f>SUM(FD319:FD322)</f>
        <v>341.8</v>
      </c>
      <c r="FE323" s="79">
        <f>IF(ISERROR((FD323/FB323-1)*100),"NA",IF(((FD323/FB323-1)*100)&gt;100,"NM",IF(((FD323/FB323-1)*100)&lt;-50,"NM",(FD323/FB323-1)*100)))</f>
        <v>-20.530109276912345</v>
      </c>
      <c r="FF323" s="242">
        <f>SUM(FF319:FF322)</f>
        <v>336.70000000000005</v>
      </c>
      <c r="FG323" s="79">
        <f>IF(ISERROR((FF323/FD323-1)*100),"NA",IF(((FF323/FD323-1)*100)&gt;100,"NM",IF(((FF323/FD323-1)*100)&lt;-50,"NM",(FF323/FD323-1)*100)))</f>
        <v>-1.4921006436512507</v>
      </c>
      <c r="FH323" s="242">
        <f>SUM(FH319:FH322)</f>
        <v>321.5</v>
      </c>
      <c r="FI323" s="79">
        <f>IF(ISERROR((FH323/FF323-1)*100),"NA",IF(((FH323/FF323-1)*100)&gt;100,"NM",IF(((FH323/FF323-1)*100)&lt;-50,"NM",(FH323/FF323-1)*100)))</f>
        <v>-4.5144045144045242</v>
      </c>
      <c r="FJ323" s="242">
        <f>SUM(FJ319:FJ322)</f>
        <v>251</v>
      </c>
      <c r="FK323" s="79">
        <f>IF(ISERROR((FJ323/FH323-1)*100),"NA",IF(((FJ323/FH323-1)*100)&gt;100,"NM",IF(((FJ323/FH323-1)*100)&lt;-50,"NM",(FJ323/FH323-1)*100)))</f>
        <v>-21.928460342146195</v>
      </c>
      <c r="FL323" s="242">
        <f>SUM(FL319:FL322)</f>
        <v>212.9</v>
      </c>
      <c r="FM323" s="79">
        <f>IF(ISERROR((FL323/FJ323-1)*100),"NA",IF(((FL323/FJ323-1)*100)&gt;100,"NM",IF(((FL323/FJ323-1)*100)&lt;-50,"NM",(FL323/FJ323-1)*100)))</f>
        <v>-15.17928286852589</v>
      </c>
      <c r="FN323" s="242">
        <f>SUM(FN319:FN322)</f>
        <v>121.10000000000001</v>
      </c>
      <c r="FO323" s="79">
        <f>IF(ISERROR((FN323/FL323-1)*100),"NA",IF(((FN323/FL323-1)*100)&gt;100,"NM",IF(((FN323/FL323-1)*100)&lt;-50,"NM",(FN323/FL323-1)*100)))</f>
        <v>-43.118835133865666</v>
      </c>
      <c r="FP323" s="242">
        <f>SUM(FP319:FP322)</f>
        <v>91.800000000000011</v>
      </c>
      <c r="FQ323" s="79">
        <f>IF(ISERROR((FP323/FN323-1)*100),"NA",IF(((FP323/FN323-1)*100)&gt;100,"NM",IF(((FP323/FN323-1)*100)&lt;-50,"NM",(FP323/FN323-1)*100)))</f>
        <v>-24.194880264244421</v>
      </c>
      <c r="FR323" s="242"/>
      <c r="FS323" s="79" t="str">
        <f>IF(ISERROR((FR323/FP323-1)*100),"NA",IF(((FR323/FP323-1)*100)&gt;100,"NM",IF(((FR323/FP323-1)*100)&lt;-50,"NM",(FR323/FP323-1)*100)))</f>
        <v>NM</v>
      </c>
      <c r="FT323" s="242"/>
      <c r="FU323" s="79" t="str">
        <f>IF(ISERROR((FT323/FR323-1)*100),"NA",IF(((FT323/FR323-1)*100)&gt;100,"NM",IF(((FT323/FR323-1)*100)&lt;-50,"NM",(FT323/FR323-1)*100)))</f>
        <v>NA</v>
      </c>
      <c r="FV323" s="242"/>
      <c r="FW323" s="79" t="str">
        <f>IF(ISERROR((FV323/FT323-1)*100),"NA",IF(((FV323/FT323-1)*100)&gt;100,"NM",IF(((FV323/FT323-1)*100)&lt;-50,"NM",(FV323/FT323-1)*100)))</f>
        <v>NA</v>
      </c>
      <c r="FX323" s="242"/>
      <c r="FY323" s="79" t="str">
        <f>IF(ISERROR((FX323/FV323-1)*100),"NA",IF(((FX323/FV323-1)*100)&gt;100,"NM",IF(((FX323/FV323-1)*100)&lt;-50,"NM",(FX323/FV323-1)*100)))</f>
        <v>NA</v>
      </c>
      <c r="FZ323" s="242"/>
      <c r="GA323" s="79" t="str">
        <f>IF(ISERROR((FZ323/FX323-1)*100),"NA",IF(((FZ323/FX323-1)*100)&gt;100,"NM",IF(((FZ323/FX323-1)*100)&lt;-50,"NM",(FZ323/FX323-1)*100)))</f>
        <v>NA</v>
      </c>
      <c r="GB323" s="242"/>
      <c r="GC323" s="79" t="str">
        <f>IF(ISERROR((GB323/FZ323-1)*100),"NA",IF(((GB323/FZ323-1)*100)&gt;100,"NM",IF(((GB323/FZ323-1)*100)&lt;-50,"NM",(GB323/FZ323-1)*100)))</f>
        <v>NA</v>
      </c>
      <c r="GD323" s="242"/>
      <c r="GE323" s="79" t="str">
        <f>IF(ISERROR((GD323/GB323-1)*100),"NA",IF(((GD323/GB323-1)*100)&gt;100,"NM",IF(((GD323/GB323-1)*100)&lt;-50,"NM",(GD323/GB323-1)*100)))</f>
        <v>NA</v>
      </c>
      <c r="GF323" s="242"/>
      <c r="GG323" s="79" t="str">
        <f>IF(ISERROR((GF323/GD323-1)*100),"NA",IF(((GF323/GD323-1)*100)&gt;100,"NM",IF(((GF323/GD323-1)*100)&lt;-50,"NM",(GF323/GD323-1)*100)))</f>
        <v>NA</v>
      </c>
      <c r="GH323" s="242"/>
      <c r="GI323" s="79" t="str">
        <f>IF(ISERROR((GH323/GF323-1)*100),"NA",IF(((GH323/GF323-1)*100)&gt;100,"NM",IF(((GH323/GF323-1)*100)&lt;-50,"NM",(GH323/GF323-1)*100)))</f>
        <v>NA</v>
      </c>
      <c r="GJ323" s="242"/>
      <c r="GK323" s="79" t="str">
        <f>IF(ISERROR((GJ323/GH323-1)*100),"NA",IF(((GJ323/GH323-1)*100)&gt;100,"NM",IF(((GJ323/GH323-1)*100)&lt;-50,"NM",(GJ323/GH323-1)*100)))</f>
        <v>NA</v>
      </c>
      <c r="GL323" s="242"/>
      <c r="GM323" s="79" t="str">
        <f>IF(ISERROR((GL323/GJ323-1)*100),"NA",IF(((GL323/GJ323-1)*100)&gt;100,"NM",IF(((GL323/GJ323-1)*100)&lt;-50,"NM",(GL323/GJ323-1)*100)))</f>
        <v>NA</v>
      </c>
      <c r="GN323" s="242"/>
      <c r="GO323" s="79" t="str">
        <f>IF(ISERROR((GN323/GL323-1)*100),"NA",IF(((GN323/GL323-1)*100)&gt;100,"NM",IF(((GN323/GL323-1)*100)&lt;-50,"NM",(GN323/GL323-1)*100)))</f>
        <v>NA</v>
      </c>
      <c r="GP323" s="242"/>
      <c r="GQ323" s="79" t="str">
        <f>IF(ISERROR((GP323/GN323-1)*100),"NA",IF(((GP323/GN323-1)*100)&gt;100,"NM",IF(((GP323/GN323-1)*100)&lt;-50,"NM",(GP323/GN323-1)*100)))</f>
        <v>NA</v>
      </c>
      <c r="GR323" s="242"/>
      <c r="GS323" s="79" t="str">
        <f>IF(ISERROR((GR323/GP323-1)*100),"NA",IF(((GR323/GP323-1)*100)&gt;100,"NM",IF(((GR323/GP323-1)*100)&lt;-50,"NM",(GR323/GP323-1)*100)))</f>
        <v>NA</v>
      </c>
      <c r="GT323" s="79"/>
      <c r="GU323" s="562"/>
      <c r="GV323" s="562"/>
      <c r="GW323"/>
      <c r="GX323"/>
      <c r="GY323"/>
      <c r="GZ323"/>
      <c r="HA323"/>
      <c r="HB323"/>
      <c r="HC323" s="562"/>
      <c r="HD323" s="562"/>
      <c r="HE323" s="562"/>
      <c r="HF323" s="562"/>
      <c r="HG323" s="562"/>
      <c r="HH323" s="562"/>
      <c r="HI323" s="562"/>
      <c r="HJ323" s="562"/>
      <c r="HK323" s="562"/>
      <c r="HL323" s="562"/>
      <c r="HM323" s="562"/>
      <c r="HN323" s="562"/>
      <c r="HO323" s="562"/>
      <c r="HP323" s="562"/>
      <c r="HQ323" s="562"/>
      <c r="HR323" s="562"/>
      <c r="HS323" s="562"/>
      <c r="HT323" s="562"/>
      <c r="HU323" s="562"/>
      <c r="HV323" s="562"/>
      <c r="HW323" s="562"/>
      <c r="HX323" s="562"/>
      <c r="HY323" s="562"/>
      <c r="HZ323" s="562"/>
      <c r="IA323" s="562"/>
      <c r="IB323" s="562"/>
      <c r="IC323" s="562"/>
      <c r="ID323" s="562"/>
      <c r="IE323" s="562"/>
      <c r="IF323" s="562"/>
      <c r="IG323" s="562"/>
      <c r="IH323" s="562"/>
      <c r="II323" s="562"/>
      <c r="IJ323" s="562"/>
      <c r="IK323" s="562"/>
      <c r="IL323" s="562"/>
      <c r="IM323" s="562"/>
      <c r="IN323" s="562"/>
      <c r="IO323" s="562"/>
      <c r="IP323" s="562"/>
      <c r="IQ323" s="562"/>
      <c r="IR323" s="562"/>
      <c r="IS323" s="562"/>
      <c r="IT323" s="562"/>
      <c r="IU323" s="562"/>
      <c r="IV323" s="562"/>
      <c r="IW323" s="562"/>
      <c r="IX323" s="562"/>
      <c r="IY323" s="562"/>
      <c r="IZ323" s="562"/>
      <c r="JA323" s="562"/>
      <c r="JB323" s="562"/>
      <c r="JC323" s="562"/>
      <c r="JD323" s="562"/>
      <c r="JE323" s="562"/>
      <c r="JF323" s="562"/>
      <c r="JG323" s="562"/>
      <c r="JH323" s="562"/>
      <c r="JI323" s="562"/>
      <c r="JJ323" s="562"/>
      <c r="JK323" s="562"/>
      <c r="JL323" s="562"/>
      <c r="JM323" s="562"/>
      <c r="JN323" s="562"/>
      <c r="JO323" s="562"/>
      <c r="JP323" s="562"/>
      <c r="JQ323" s="562"/>
      <c r="JR323" s="562"/>
      <c r="JS323" s="562"/>
      <c r="JT323" s="562"/>
      <c r="JU323" s="562"/>
      <c r="JV323" s="562"/>
      <c r="JW323" s="562"/>
      <c r="JX323" s="562"/>
      <c r="JY323" s="562"/>
      <c r="JZ323" s="562"/>
    </row>
    <row r="324" spans="1:286" ht="12.75" hidden="1" customHeight="1" outlineLevel="1" x14ac:dyDescent="0.2">
      <c r="A324" s="1"/>
      <c r="C324" s="79"/>
      <c r="D324" s="79"/>
      <c r="E324" s="95"/>
      <c r="F324" s="95"/>
      <c r="G324" s="95"/>
      <c r="H324" s="95"/>
      <c r="I324" s="95"/>
      <c r="J324" s="95"/>
      <c r="K324" s="95"/>
      <c r="L324" s="79"/>
      <c r="M324" s="95"/>
      <c r="N324" s="79"/>
      <c r="O324" s="95"/>
      <c r="P324" s="79"/>
      <c r="Q324" s="95"/>
      <c r="R324" s="79"/>
      <c r="S324" s="95"/>
      <c r="T324" s="79"/>
      <c r="U324" s="95"/>
      <c r="V324" s="79"/>
      <c r="W324" s="95"/>
      <c r="X324" s="79"/>
      <c r="Y324" s="95"/>
      <c r="Z324" s="79"/>
      <c r="AA324" s="126"/>
      <c r="AB324" s="79"/>
      <c r="AC324" s="95"/>
      <c r="AD324" s="79"/>
      <c r="AE324" s="95"/>
      <c r="AF324" s="79"/>
      <c r="AG324" s="95"/>
      <c r="AH324" s="79"/>
      <c r="AI324" s="95"/>
      <c r="AJ324" s="79"/>
      <c r="AK324" s="95"/>
      <c r="AL324" s="79"/>
      <c r="AM324" s="95"/>
      <c r="AN324" s="79"/>
      <c r="AO324" s="95"/>
      <c r="AP324" s="79"/>
      <c r="AQ324" s="95"/>
      <c r="AR324" s="79"/>
      <c r="AS324" s="95"/>
      <c r="AT324" s="81"/>
      <c r="AU324" s="95"/>
      <c r="AV324" s="81"/>
      <c r="AW324" s="95"/>
      <c r="AX324" s="81"/>
      <c r="AY324" s="95"/>
      <c r="AZ324" s="81"/>
      <c r="BA324" s="95"/>
      <c r="BB324" s="81"/>
      <c r="BC324" s="95"/>
      <c r="BD324" s="81"/>
      <c r="BE324" s="95"/>
      <c r="BF324" s="81"/>
      <c r="BG324" s="95"/>
      <c r="BH324" s="81"/>
      <c r="BI324" s="95"/>
      <c r="BJ324" s="81"/>
      <c r="BK324" s="95"/>
      <c r="BL324" s="81"/>
      <c r="BM324" s="95"/>
      <c r="BN324" s="81"/>
      <c r="BO324" s="95"/>
      <c r="BP324" s="81"/>
      <c r="BQ324" s="95"/>
      <c r="BR324" s="81"/>
      <c r="BS324" s="95"/>
      <c r="BT324" s="81"/>
      <c r="BU324" s="95"/>
      <c r="BV324" s="81"/>
      <c r="BW324" s="95"/>
      <c r="BX324" s="81"/>
      <c r="BY324" s="95"/>
      <c r="BZ324" s="81"/>
      <c r="CA324" s="95"/>
      <c r="CB324" s="81"/>
      <c r="CC324" s="95"/>
      <c r="CD324" s="81"/>
      <c r="CE324" s="95"/>
      <c r="CF324" s="81"/>
      <c r="CG324" s="95"/>
      <c r="CH324" s="81"/>
      <c r="CI324" s="95"/>
      <c r="CJ324" s="81"/>
      <c r="CK324" s="95"/>
      <c r="CL324" s="81"/>
      <c r="CM324" s="95"/>
      <c r="CN324" s="81"/>
      <c r="CO324" s="95"/>
      <c r="CP324" s="81"/>
      <c r="CQ324" s="95"/>
      <c r="CR324" s="81"/>
      <c r="CS324" s="95"/>
      <c r="CT324" s="81"/>
      <c r="CU324" s="95"/>
      <c r="CV324" s="81"/>
      <c r="CW324" s="95"/>
      <c r="CX324" s="81"/>
      <c r="CY324" s="95"/>
      <c r="CZ324" s="81"/>
      <c r="DA324" s="95"/>
      <c r="DB324" s="81"/>
      <c r="DC324" s="95"/>
      <c r="DD324" s="81"/>
      <c r="DE324" s="95"/>
      <c r="DF324" s="81"/>
      <c r="DG324" s="95"/>
      <c r="DH324" s="81"/>
      <c r="DI324" s="95"/>
      <c r="DJ324" s="81"/>
      <c r="DK324" s="95"/>
      <c r="DL324" s="81"/>
      <c r="DM324" s="95"/>
      <c r="DN324" s="81"/>
      <c r="DO324" s="95"/>
      <c r="DP324" s="81"/>
      <c r="DQ324" s="95"/>
      <c r="DR324" s="81"/>
      <c r="DS324" s="95"/>
      <c r="DT324" s="81"/>
      <c r="DU324" s="95"/>
      <c r="DV324" s="81"/>
      <c r="DW324" s="95"/>
      <c r="DX324" s="81"/>
      <c r="DY324" s="95"/>
      <c r="DZ324" s="81"/>
      <c r="EA324" s="95"/>
      <c r="EB324" s="81"/>
      <c r="EC324" s="95"/>
      <c r="ED324" s="81"/>
      <c r="EE324" s="95"/>
      <c r="EF324" s="81"/>
      <c r="EG324" s="95"/>
      <c r="EH324" s="81"/>
      <c r="EI324" s="95"/>
      <c r="EJ324" s="81"/>
      <c r="EK324" s="95"/>
      <c r="EL324" s="81"/>
      <c r="EM324" s="95"/>
      <c r="EN324" s="81"/>
      <c r="EO324" s="95"/>
      <c r="EP324" s="81"/>
      <c r="EQ324" s="95"/>
      <c r="ER324" s="81"/>
      <c r="ES324" s="129"/>
      <c r="ET324" s="469"/>
      <c r="EU324" s="129"/>
      <c r="EV324" s="95"/>
      <c r="EW324" s="79"/>
      <c r="EX324" s="95"/>
      <c r="EY324" s="79"/>
      <c r="EZ324" s="145"/>
      <c r="FA324" s="79"/>
      <c r="FB324" s="35"/>
      <c r="FC324" s="79"/>
      <c r="FD324" s="145"/>
      <c r="FE324" s="79"/>
      <c r="FF324" s="145"/>
      <c r="FG324" s="79"/>
      <c r="FH324" s="145"/>
      <c r="FI324" s="79"/>
      <c r="FJ324" s="145"/>
      <c r="FK324" s="79"/>
      <c r="FL324" s="179"/>
      <c r="FM324" s="79"/>
      <c r="FN324" s="179"/>
      <c r="FO324" s="79"/>
      <c r="FP324" s="179"/>
      <c r="FQ324" s="79"/>
      <c r="FR324" s="95"/>
      <c r="FS324" s="79"/>
      <c r="FT324" s="95"/>
      <c r="FU324" s="79"/>
      <c r="FV324" s="95"/>
      <c r="FW324" s="79"/>
      <c r="FX324" s="95"/>
      <c r="FY324" s="79"/>
      <c r="FZ324" s="95"/>
      <c r="GA324" s="79"/>
      <c r="GB324" s="95"/>
      <c r="GC324" s="79"/>
      <c r="GD324" s="95"/>
      <c r="GE324" s="79"/>
      <c r="GF324" s="95"/>
      <c r="GG324" s="79"/>
      <c r="GH324" s="95"/>
      <c r="GI324" s="79"/>
      <c r="GJ324" s="95"/>
      <c r="GK324" s="79"/>
      <c r="GL324" s="95"/>
      <c r="GM324" s="79"/>
      <c r="GN324" s="95"/>
      <c r="GO324" s="79"/>
      <c r="GP324" s="95"/>
      <c r="GQ324" s="79"/>
      <c r="GR324" s="95"/>
      <c r="GS324" s="79"/>
      <c r="GT324" s="79"/>
    </row>
    <row r="325" spans="1:286" ht="12.75" hidden="1" customHeight="1" outlineLevel="1" x14ac:dyDescent="0.2">
      <c r="A325" s="1"/>
      <c r="B325" s="10" t="s">
        <v>92</v>
      </c>
      <c r="C325" s="79"/>
      <c r="D325" s="79"/>
      <c r="E325" s="75">
        <f>IF(ISERROR(+E319/E313*100), "NM", +E319/E313*100)</f>
        <v>208.99182561307902</v>
      </c>
      <c r="F325" s="75"/>
      <c r="G325" s="75">
        <f>IF(ISERROR(+G319/G313*100), "NM", +G319/G313*100)</f>
        <v>159.01234567901236</v>
      </c>
      <c r="H325" s="75"/>
      <c r="I325" s="75">
        <f>IF(ISERROR(+I319/I313*100), "NM", +I319/I313*100)</f>
        <v>182.69230769230771</v>
      </c>
      <c r="J325" s="75"/>
      <c r="K325" s="75">
        <f>IF(ISERROR(+K319/K313*100), "NM", +K319/K313*100)</f>
        <v>-317.64705882352945</v>
      </c>
      <c r="L325" s="79"/>
      <c r="M325" s="75">
        <f>IF(ISERROR(+M319/M313*100), "NM", +M319/M313*100)</f>
        <v>478.49462365591393</v>
      </c>
      <c r="N325" s="81" t="str">
        <f>IF(ISERROR((M325/E325-1)*100),"NA",IF(((M325/E325-1)*100)&gt;100,"NM",IF(((M325/E325-1)*100)&lt;-50,"NM",(M325/E325-1)*100)))</f>
        <v>NM</v>
      </c>
      <c r="O325" s="75">
        <f>IF(ISERROR(+O319/O313*100), "NM", +O319/O313*100)</f>
        <v>313.67521367521374</v>
      </c>
      <c r="P325" s="81">
        <f>IF(ISERROR((O325/G325-1)*100),"NA",IF(((O325/G325-1)*100)&gt;100,"NM",IF(((O325/G325-1)*100)&lt;-50,"NM",(O325/G325-1)*100)))</f>
        <v>97.264691829909239</v>
      </c>
      <c r="Q325" s="75">
        <f>IF(ISERROR(+Q319/Q313*100), "NM", +Q319/Q313*100)</f>
        <v>314.38848920863308</v>
      </c>
      <c r="R325" s="81">
        <f>IF(ISERROR((Q325/I325-1)*100),"NA",IF(((Q325/I325-1)*100)&gt;100,"NM",IF(((Q325/I325-1)*100)&lt;-50,"NM",(Q325/I325-1)*100)))</f>
        <v>72.086330935251766</v>
      </c>
      <c r="S325" s="75">
        <f>IF(ISERROR(+S319/S313*100), "NM", +S319/S313*100)</f>
        <v>1340.7407407407409</v>
      </c>
      <c r="T325" s="81" t="str">
        <f>IF(ISERROR((S325/K325-1)*100),"NA",IF(((S325/K325-1)*100)&gt;100,"NM",IF(((S325/K325-1)*100)&lt;-50,"NM",(S325/K325-1)*100)))</f>
        <v>NM</v>
      </c>
      <c r="U325" s="75">
        <f>IF(ISERROR(+U319/U313*100), "NM", +U319/U313*100)</f>
        <v>392.00000000000006</v>
      </c>
      <c r="V325" s="81">
        <f>IF(ISERROR((U325/M325-1)*100),"NA",IF(((U325/M325-1)*100)&gt;100,"NM",IF(((U325/M325-1)*100)&lt;-50,"NM",(U325/M325-1)*100)))</f>
        <v>-18.076404494382004</v>
      </c>
      <c r="W325" s="75">
        <f>IF(ISERROR(+W319/W313*100), "NM", +W319/W313*100)</f>
        <v>551.31578947368428</v>
      </c>
      <c r="X325" s="81">
        <f>IF(ISERROR((W325/O325-1)*100),"NA",IF(((W325/O325-1)*100)&gt;100,"NM",IF(((W325/O325-1)*100)&lt;-50,"NM",(W325/O325-1)*100)))</f>
        <v>75.760074573354345</v>
      </c>
      <c r="Y325" s="75">
        <f>IF(ISERROR(+Y319/Y313*100), "NM", +Y319/Y313*100)</f>
        <v>393.33333333333331</v>
      </c>
      <c r="Z325" s="81">
        <f>IF(ISERROR((Y325/Q325-1)*100),"NA",IF(((Y325/Q325-1)*100)&gt;100,"NM",IF(((Y325/Q325-1)*100)&lt;-50,"NM",(Y325/Q325-1)*100)))</f>
        <v>25.110602593440113</v>
      </c>
      <c r="AA325" s="267">
        <f>IF(ISERROR(+AA319/AA313*100), "NM", +AA319/AA313*100)</f>
        <v>527.27272727272725</v>
      </c>
      <c r="AB325" s="81" t="str">
        <f>IF(ISERROR((AA325/S325-1)*100),"NA",IF(((AA325/S325-1)*100)&gt;100,"NM",IF(((AA325/S325-1)*100)&lt;-50,"NM",(AA325/S325-1)*100)))</f>
        <v>NM</v>
      </c>
      <c r="AC325" s="75">
        <f>IF(ISERROR(+AC319/AC313*100), "NM", +AC319/AC313*100)</f>
        <v>425.58139534883725</v>
      </c>
      <c r="AD325" s="81">
        <f>IF(ISERROR((AC325/U325-1)*100),"NA",IF(((AC325/U325-1)*100)&gt;100,"NM",IF(((AC325/U325-1)*100)&lt;-50,"NM",(AC325/U325-1)*100)))</f>
        <v>8.5666824869482525</v>
      </c>
      <c r="AE325" s="75">
        <f>IF(ISERROR(+AE319/AE313*100), "NM", +AE319/AE313*100)</f>
        <v>1000</v>
      </c>
      <c r="AF325" s="81">
        <f>IF(ISERROR((AE325/W325-1)*100),"NA",IF(((AE325/W325-1)*100)&gt;100,"NM",IF(((AE325/W325-1)*100)&lt;-50,"NM",(AE325/W325-1)*100)))</f>
        <v>81.384248210023841</v>
      </c>
      <c r="AG325" s="75">
        <f>IF(ISERROR(+AG319/AG313*100), "NM", +AG319/AG313*100)</f>
        <v>374.52830188679252</v>
      </c>
      <c r="AH325" s="81">
        <f>IF(ISERROR((AG325/Y325-1)*100),"NA",IF(((AG325/Y325-1)*100)&gt;100,"NM",IF(((AG325/Y325-1)*100)&lt;-50,"NM",(AG325/Y325-1)*100)))</f>
        <v>-4.780940198273087</v>
      </c>
      <c r="AI325" s="75">
        <f>IF(ISERROR(+AI319/AI313*100), "NM", +AI319/AI313*100)</f>
        <v>402.17391304347831</v>
      </c>
      <c r="AJ325" s="81">
        <f>IF(ISERROR((AI325/AA325-1)*100),"NA",IF(((AI325/AA325-1)*100)&gt;100,"NM",IF(((AI325/AA325-1)*100)&lt;-50,"NM",(AI325/AA325-1)*100)))</f>
        <v>-23.725637181409287</v>
      </c>
      <c r="AK325" s="75">
        <f>IF(ISERROR(+AK319/AK313*100), "NM", +AK319/AK313*100)</f>
        <v>11000</v>
      </c>
      <c r="AL325" s="81" t="str">
        <f>IF(ISERROR((AK325/AC325-1)*100),"NA",IF(((AK325/AC325-1)*100)&gt;100,"NM",IF(((AK325/AC325-1)*100)&lt;-50,"NM",(AK325/AC325-1)*100)))</f>
        <v>NM</v>
      </c>
      <c r="AM325" s="75">
        <f>IF(ISERROR(+AM319/AM313*100), "NM", +AM319/AM313*100)</f>
        <v>2450</v>
      </c>
      <c r="AN325" s="81" t="str">
        <f>IF(ISERROR((AM325/AE325-1)*100),"NA",IF(((AM325/AE325-1)*100)&gt;100,"NM",IF(((AM325/AE325-1)*100)&lt;-50,"NM",(AM325/AE325-1)*100)))</f>
        <v>NM</v>
      </c>
      <c r="AO325" s="75">
        <f>IF(ISERROR(+AO319/AO313*100), "NM", +AO319/AO313*100)</f>
        <v>-8900</v>
      </c>
      <c r="AP325" s="81" t="str">
        <f>IF(ISERROR((AO325/AG325-1)*100),"NA",IF(((AO325/AG325-1)*100)&gt;100,"NM",IF(((AO325/AG325-1)*100)&lt;-50,"NM",(AO325/AG325-1)*100)))</f>
        <v>NM</v>
      </c>
      <c r="AQ325" s="75">
        <f>IF(ISERROR(+AQ319/AQ313*100), "NM", +AQ319/AQ313*100)</f>
        <v>2364.2857142857147</v>
      </c>
      <c r="AR325" s="81" t="str">
        <f>IF(ISERROR((AQ325/AI325-1)*100),"NA",IF(((AQ325/AI325-1)*100)&gt;100,"NM",IF(((AQ325/AI325-1)*100)&lt;-50,"NM",(AQ325/AI325-1)*100)))</f>
        <v>NM</v>
      </c>
      <c r="AS325" s="75">
        <f>IF(ISERROR(+AS319/AS313*100), "NM", +AS319/AS313*100)</f>
        <v>2616.666666666667</v>
      </c>
      <c r="AT325" s="81" t="str">
        <f>IF(ISERROR((AS325/AK325-1)*100),"NA",IF(((AS325/AK325-1)*100)&gt;100,"NM",IF(((AS325/AK325-1)*100)&lt;-50,"NM",(AS325/AK325-1)*100)))</f>
        <v>NM</v>
      </c>
      <c r="AU325" s="75">
        <f>IF(ISERROR(+AU319/AU313*100), "NM", +AU319/AU313*100)</f>
        <v>2550.0000000000005</v>
      </c>
      <c r="AV325" s="81">
        <f>IF(ISERROR((AU325/AM325-1)*100),"NA",IF(((AU325/AM325-1)*100)&gt;100,"NM",IF(((AU325/AM325-1)*100)&lt;-50,"NM",(AU325/AM325-1)*100)))</f>
        <v>4.0816326530612512</v>
      </c>
      <c r="AW325" s="75">
        <f>IF(ISERROR(+AW319/AW313*100), "NM", +AW319/AW313*100)</f>
        <v>27300</v>
      </c>
      <c r="AX325" s="81" t="str">
        <f>IF(ISERROR((AW325/AO325-1)*100),"NA",IF(((AW325/AO325-1)*100)&gt;100,"NM",IF(((AW325/AO325-1)*100)&lt;-50,"NM",(AW325/AO325-1)*100)))</f>
        <v>NM</v>
      </c>
      <c r="AY325" s="75">
        <f>IF(ISERROR(+AY319/AY313*100), "NM", +AY319/AY313*100)</f>
        <v>1560</v>
      </c>
      <c r="AZ325" s="81">
        <f>IF(ISERROR((AY325/AQ325-1)*100),"NA",IF(((AY325/AQ325-1)*100)&gt;100,"NM",IF(((AY325/AQ325-1)*100)&lt;-50,"NM",(AY325/AQ325-1)*100)))</f>
        <v>-34.018126888217537</v>
      </c>
      <c r="BA325" s="75">
        <f>IF(ISERROR(+BA319/BA313*100), "NM", +BA319/BA313*100)</f>
        <v>2872.7272727272725</v>
      </c>
      <c r="BB325" s="81">
        <f>IF(ISERROR((BA325/AS325-1)*100),"NA",IF(((BA325/AS325-1)*100)&gt;100,"NM",IF(((BA325/AS325-1)*100)&lt;-50,"NM",(BA325/AS325-1)*100)))</f>
        <v>9.785755645628246</v>
      </c>
      <c r="BC325" s="75">
        <f>IF(ISERROR(+BC319/BC313*100), "NM", +BC319/BC313*100)</f>
        <v>-15300</v>
      </c>
      <c r="BD325" s="81" t="str">
        <f>IF(ISERROR((BC325/AU325-1)*100),"NA",IF(((BC325/AU325-1)*100)&gt;100,"NM",IF(((BC325/AU325-1)*100)&lt;-50,"NM",(BC325/AU325-1)*100)))</f>
        <v>NM</v>
      </c>
      <c r="BE325" s="75">
        <f>IF(ISERROR(+BE319/BE313*100), "NM", +BE319/BE313*100)</f>
        <v>4250</v>
      </c>
      <c r="BF325" s="81" t="str">
        <f>IF(ISERROR((BE325/AW325-1)*100),"NA",IF(((BE325/AW325-1)*100)&gt;100,"NM",IF(((BE325/AW325-1)*100)&lt;-50,"NM",(BE325/AW325-1)*100)))</f>
        <v>NM</v>
      </c>
      <c r="BG325" s="75">
        <f>IF(ISERROR(+BG319/BG313*100), "NM", +BG319/BG313*100)</f>
        <v>13750</v>
      </c>
      <c r="BH325" s="81" t="str">
        <f>IF(ISERROR((BG325/AY325-1)*100),"NA",IF(((BG325/AY325-1)*100)&gt;100,"NM",IF(((BG325/AY325-1)*100)&lt;-50,"NM",(BG325/AY325-1)*100)))</f>
        <v>NM</v>
      </c>
      <c r="BI325" s="75">
        <f>IF(ISERROR(+BI319/BI313*100), "NM", +BI319/BI313*100)</f>
        <v>4028.5714285714284</v>
      </c>
      <c r="BJ325" s="81">
        <f>IF(ISERROR((BI325/BA325-1)*100),"NA",IF(((BI325/BA325-1)*100)&gt;100,"NM",IF(((BI325/BA325-1)*100)&lt;-50,"NM",(BI325/BA325-1)*100)))</f>
        <v>40.235081374321879</v>
      </c>
      <c r="BK325" s="75">
        <f>IF(ISERROR(+BK319/BK313*100), "NM", +BK319/BK313*100)</f>
        <v>14000</v>
      </c>
      <c r="BL325" s="81" t="str">
        <f>IF(ISERROR((BK325/BC325-1)*100),"NA",IF(((BK325/BC325-1)*100)&gt;100,"NM",IF(((BK325/BC325-1)*100)&lt;-50,"NM",(BK325/BC325-1)*100)))</f>
        <v>NM</v>
      </c>
      <c r="BM325" s="75" t="str">
        <f>IF(ISERROR(+BM319/BM313*100), "NM", +BM319/BM313*100)</f>
        <v>NM</v>
      </c>
      <c r="BN325" s="81"/>
      <c r="BO325" s="75"/>
      <c r="BP325" s="81"/>
      <c r="BQ325" s="75"/>
      <c r="BR325" s="81"/>
      <c r="BS325" s="75"/>
      <c r="BT325" s="81"/>
      <c r="BU325" s="75"/>
      <c r="BV325" s="81"/>
      <c r="BW325" s="75"/>
      <c r="BX325" s="81"/>
      <c r="BY325" s="75"/>
      <c r="BZ325" s="81"/>
      <c r="CA325" s="75"/>
      <c r="CB325" s="81"/>
      <c r="CC325" s="75"/>
      <c r="CD325" s="81"/>
      <c r="CE325" s="75"/>
      <c r="CF325" s="81"/>
      <c r="CG325" s="75"/>
      <c r="CH325" s="81"/>
      <c r="CI325" s="75"/>
      <c r="CJ325" s="81"/>
      <c r="CK325" s="75"/>
      <c r="CL325" s="81"/>
      <c r="CM325" s="75"/>
      <c r="CN325" s="81"/>
      <c r="CO325" s="75"/>
      <c r="CP325" s="81"/>
      <c r="CQ325" s="75"/>
      <c r="CR325" s="81"/>
      <c r="CS325" s="75"/>
      <c r="CT325" s="81"/>
      <c r="CU325" s="75"/>
      <c r="CV325" s="81"/>
      <c r="CW325" s="75"/>
      <c r="CX325" s="81"/>
      <c r="CY325" s="75"/>
      <c r="CZ325" s="81"/>
      <c r="DA325" s="75"/>
      <c r="DB325" s="81"/>
      <c r="DC325" s="75"/>
      <c r="DD325" s="81"/>
      <c r="DE325" s="75"/>
      <c r="DF325" s="81"/>
      <c r="DG325" s="75"/>
      <c r="DH325" s="81"/>
      <c r="DI325" s="75"/>
      <c r="DJ325" s="81"/>
      <c r="DK325" s="75"/>
      <c r="DL325" s="81"/>
      <c r="DM325" s="75"/>
      <c r="DN325" s="81"/>
      <c r="DO325" s="75"/>
      <c r="DP325" s="81"/>
      <c r="DQ325" s="75"/>
      <c r="DR325" s="81"/>
      <c r="DS325" s="75"/>
      <c r="DT325" s="81"/>
      <c r="DU325" s="75"/>
      <c r="DV325" s="81"/>
      <c r="DW325" s="75"/>
      <c r="DX325" s="81"/>
      <c r="DY325" s="75"/>
      <c r="DZ325" s="81"/>
      <c r="EA325" s="75"/>
      <c r="EB325" s="81"/>
      <c r="EC325" s="75"/>
      <c r="ED325" s="81"/>
      <c r="EE325" s="75"/>
      <c r="EF325" s="81"/>
      <c r="EG325" s="75"/>
      <c r="EH325" s="81"/>
      <c r="EI325" s="75"/>
      <c r="EJ325" s="81"/>
      <c r="EK325" s="75"/>
      <c r="EL325" s="81"/>
      <c r="EM325" s="75"/>
      <c r="EN325" s="81"/>
      <c r="EO325" s="75"/>
      <c r="EP325" s="81"/>
      <c r="EQ325" s="75"/>
      <c r="ER325" s="81"/>
      <c r="ES325" s="129"/>
      <c r="ET325" s="469"/>
      <c r="EU325" s="129"/>
      <c r="EV325" s="75"/>
      <c r="EW325" s="79"/>
      <c r="EX325" s="75"/>
      <c r="EY325" s="79"/>
      <c r="EZ325" s="75"/>
      <c r="FA325" s="79"/>
      <c r="FB325" s="75">
        <f>IF(ISERROR(+FB319/FB313*100), "NM", +FB319/FB313*100)</f>
        <v>190.34852546916895</v>
      </c>
      <c r="FC325" s="79" t="str">
        <f>IF(ISERROR((FB325/EZ325-1)*100),"NA",IF(((FB325/EZ325-1)*100)&gt;100,"NM",IF(((FB325/EZ325-1)*100)&lt;-50,"NM",(FB325/EZ325-1)*100)))</f>
        <v>NA</v>
      </c>
      <c r="FD325" s="75">
        <f>IF(ISERROR(+FD319/FD313*100), "NM", +FD319/FD313*100)</f>
        <v>428.45744680851067</v>
      </c>
      <c r="FE325" s="79" t="str">
        <f>IF(ISERROR((FD325/FB325-1)*100),"NA",IF(((FD325/FB325-1)*100)&gt;100,"NM",IF(((FD325/FB325-1)*100)&lt;-50,"NM",(FD325/FB325-1)*100)))</f>
        <v>NM</v>
      </c>
      <c r="FF325" s="75">
        <f>IF(ISERROR(+FF319/FF313*100), "NM", +FF319/FF313*100)</f>
        <v>458.01749271137038</v>
      </c>
      <c r="FG325" s="79">
        <f>IF(ISERROR((FF325/FD325-1)*100),"NA",IF(((FF325/FD325-1)*100)&gt;100,"NM",IF(((FF325/FD325-1)*100)&lt;-50,"NM",(FF325/FD325-1)*100)))</f>
        <v>6.8991789320144381</v>
      </c>
      <c r="FH325" s="75">
        <f>IF(ISERROR(+FH319/FH313*100), "NM", +FH319/FH313*100)</f>
        <v>454.63258785942503</v>
      </c>
      <c r="FI325" s="79">
        <f>IF(ISERROR((FH325/FF325-1)*100),"NA",IF(((FH325/FF325-1)*100)&gt;100,"NM",IF(((FH325/FF325-1)*100)&lt;-50,"NM",(FH325/FF325-1)*100)))</f>
        <v>-0.73903396831143109</v>
      </c>
      <c r="FJ325" s="75">
        <f>IF(ISERROR(+FJ319/FJ313*100), "NM", +FJ319/FJ313*100)</f>
        <v>4700</v>
      </c>
      <c r="FK325" s="79" t="str">
        <f>IF(ISERROR((FJ325/FH325-1)*100),"NA",IF(((FJ325/FH325-1)*100)&gt;100,"NM",IF(((FJ325/FH325-1)*100)&lt;-50,"NM",(FJ325/FH325-1)*100)))</f>
        <v>NM</v>
      </c>
      <c r="FL325" s="75">
        <f>IF(ISERROR(+FL319/FL313*100), "NM", +FL319/FL313*100)</f>
        <v>2677.7777777777778</v>
      </c>
      <c r="FM325" s="79">
        <f>IF(ISERROR((FL325/FJ325-1)*100),"NA",IF(((FL325/FJ325-1)*100)&gt;100,"NM",IF(((FL325/FJ325-1)*100)&lt;-50,"NM",(FL325/FJ325-1)*100)))</f>
        <v>-43.026004728132385</v>
      </c>
      <c r="FN325" s="75">
        <f>IF(ISERROR(+FN319/FN313*100), "NM", +FN319/FN313*100)</f>
        <v>6776.4705882352946</v>
      </c>
      <c r="FO325" s="79" t="str">
        <f>IF(ISERROR((FN325/FL325-1)*100),"NA",IF(((FN325/FL325-1)*100)&gt;100,"NM",IF(((FN325/FL325-1)*100)&lt;-50,"NM",(FN325/FL325-1)*100)))</f>
        <v>NM</v>
      </c>
      <c r="FP325" s="75">
        <f>IF(ISERROR(+FP319/FP313*100), "NM", +FP319/FP313*100)</f>
        <v>9255.5555555555566</v>
      </c>
      <c r="FQ325" s="79">
        <f>IF(ISERROR((FP325/FN325-1)*100),"NA",IF(((FP325/FN325-1)*100)&gt;100,"NM",IF(((FP325/FN325-1)*100)&lt;-50,"NM",(FP325/FN325-1)*100)))</f>
        <v>36.583719135802475</v>
      </c>
      <c r="FR325" s="75"/>
      <c r="FS325" s="79" t="str">
        <f>IF(ISERROR((FR325/FP325-1)*100),"NA",IF(((FR325/FP325-1)*100)&gt;100,"NM",IF(((FR325/FP325-1)*100)&lt;-50,"NM",(FR325/FP325-1)*100)))</f>
        <v>NM</v>
      </c>
      <c r="FT325" s="75"/>
      <c r="FU325" s="79" t="str">
        <f>IF(ISERROR((FT325/FR325-1)*100),"NA",IF(((FT325/FR325-1)*100)&gt;100,"NM",IF(((FT325/FR325-1)*100)&lt;-50,"NM",(FT325/FR325-1)*100)))</f>
        <v>NA</v>
      </c>
      <c r="FV325" s="75"/>
      <c r="FW325" s="79" t="str">
        <f>IF(ISERROR((FV325/FT325-1)*100),"NA",IF(((FV325/FT325-1)*100)&gt;100,"NM",IF(((FV325/FT325-1)*100)&lt;-50,"NM",(FV325/FT325-1)*100)))</f>
        <v>NA</v>
      </c>
      <c r="FX325" s="75"/>
      <c r="FY325" s="79" t="str">
        <f>IF(ISERROR((FX325/FV325-1)*100),"NA",IF(((FX325/FV325-1)*100)&gt;100,"NM",IF(((FX325/FV325-1)*100)&lt;-50,"NM",(FX325/FV325-1)*100)))</f>
        <v>NA</v>
      </c>
      <c r="FZ325" s="75"/>
      <c r="GA325" s="79" t="str">
        <f>IF(ISERROR((FZ325/FX325-1)*100),"NA",IF(((FZ325/FX325-1)*100)&gt;100,"NM",IF(((FZ325/FX325-1)*100)&lt;-50,"NM",(FZ325/FX325-1)*100)))</f>
        <v>NA</v>
      </c>
      <c r="GB325" s="75"/>
      <c r="GC325" s="79" t="str">
        <f>IF(ISERROR((GB325/FZ325-1)*100),"NA",IF(((GB325/FZ325-1)*100)&gt;100,"NM",IF(((GB325/FZ325-1)*100)&lt;-50,"NM",(GB325/FZ325-1)*100)))</f>
        <v>NA</v>
      </c>
      <c r="GD325" s="75"/>
      <c r="GE325" s="79" t="str">
        <f>IF(ISERROR((GD325/GB325-1)*100),"NA",IF(((GD325/GB325-1)*100)&gt;100,"NM",IF(((GD325/GB325-1)*100)&lt;-50,"NM",(GD325/GB325-1)*100)))</f>
        <v>NA</v>
      </c>
      <c r="GF325" s="75"/>
      <c r="GG325" s="79" t="str">
        <f>IF(ISERROR((GF325/GD325-1)*100),"NA",IF(((GF325/GD325-1)*100)&gt;100,"NM",IF(((GF325/GD325-1)*100)&lt;-50,"NM",(GF325/GD325-1)*100)))</f>
        <v>NA</v>
      </c>
      <c r="GH325" s="75"/>
      <c r="GI325" s="79" t="str">
        <f>IF(ISERROR((GH325/GF325-1)*100),"NA",IF(((GH325/GF325-1)*100)&gt;100,"NM",IF(((GH325/GF325-1)*100)&lt;-50,"NM",(GH325/GF325-1)*100)))</f>
        <v>NA</v>
      </c>
      <c r="GJ325" s="75"/>
      <c r="GK325" s="79" t="str">
        <f>IF(ISERROR((GJ325/GH325-1)*100),"NA",IF(((GJ325/GH325-1)*100)&gt;100,"NM",IF(((GJ325/GH325-1)*100)&lt;-50,"NM",(GJ325/GH325-1)*100)))</f>
        <v>NA</v>
      </c>
      <c r="GL325" s="75"/>
      <c r="GM325" s="79" t="str">
        <f>IF(ISERROR((GL325/GJ325-1)*100),"NA",IF(((GL325/GJ325-1)*100)&gt;100,"NM",IF(((GL325/GJ325-1)*100)&lt;-50,"NM",(GL325/GJ325-1)*100)))</f>
        <v>NA</v>
      </c>
      <c r="GN325" s="75"/>
      <c r="GO325" s="79" t="str">
        <f>IF(ISERROR((GN325/GL325-1)*100),"NA",IF(((GN325/GL325-1)*100)&gt;100,"NM",IF(((GN325/GL325-1)*100)&lt;-50,"NM",(GN325/GL325-1)*100)))</f>
        <v>NA</v>
      </c>
      <c r="GP325" s="75"/>
      <c r="GQ325" s="79" t="str">
        <f>IF(ISERROR((GP325/GN325-1)*100),"NA",IF(((GP325/GN325-1)*100)&gt;100,"NM",IF(((GP325/GN325-1)*100)&lt;-50,"NM",(GP325/GN325-1)*100)))</f>
        <v>NA</v>
      </c>
      <c r="GR325" s="75"/>
      <c r="GS325" s="79" t="str">
        <f>IF(ISERROR((GR325/GP325-1)*100),"NA",IF(((GR325/GP325-1)*100)&gt;100,"NM",IF(((GR325/GP325-1)*100)&lt;-50,"NM",(GR325/GP325-1)*100)))</f>
        <v>NA</v>
      </c>
      <c r="GT325" s="79"/>
    </row>
    <row r="326" spans="1:286" ht="12.75" hidden="1" customHeight="1" outlineLevel="1" x14ac:dyDescent="0.2">
      <c r="A326" s="1"/>
      <c r="B326" s="10" t="s">
        <v>45</v>
      </c>
      <c r="C326" s="79"/>
      <c r="D326" s="79"/>
      <c r="E326" s="75">
        <f>IF(ISERROR(+E320/E313*100), "NM", +E320/E313*100)</f>
        <v>8.9918256130790173</v>
      </c>
      <c r="F326" s="185"/>
      <c r="G326" s="75">
        <f>IF(ISERROR(+G320/G313*100), "NM", +G320/G313*100)</f>
        <v>8.148148148148147</v>
      </c>
      <c r="H326" s="283"/>
      <c r="I326" s="75">
        <f>IF(ISERROR(+I320/I313*100), "NM", +I320/I313*100)</f>
        <v>-3.8461538461538463</v>
      </c>
      <c r="J326" s="283"/>
      <c r="K326" s="75">
        <f>IF(ISERROR(+K320/K313*100), "NM", +K320/K313*100)</f>
        <v>-17.647058823529413</v>
      </c>
      <c r="L326" s="79"/>
      <c r="M326" s="185">
        <f>IF(ISERROR(+M320/M313*100), "NM", +M320/M313*100)</f>
        <v>10.75268817204301</v>
      </c>
      <c r="N326" s="81">
        <f>IF(ISERROR((M326/E326-1)*100),"NA",IF(((M326/E326-1)*100)&gt;100,"NM",IF(((M326/E326-1)*100)&lt;-50,"NM",(M326/E326-1)*100)))</f>
        <v>19.58292603453895</v>
      </c>
      <c r="O326" s="185">
        <f>IF(ISERROR(+O320/O313*100), "NM", +O320/O313*100)</f>
        <v>9.4017094017094038</v>
      </c>
      <c r="P326" s="81">
        <f>IF(ISERROR((O326/G326-1)*100),"NA",IF(((O326/G326-1)*100)&gt;100,"NM",IF(((O326/G326-1)*100)&lt;-50,"NM",(O326/G326-1)*100)))</f>
        <v>15.384615384615419</v>
      </c>
      <c r="Q326" s="185">
        <f>IF(ISERROR(+Q320/Q313*100), "NM", +Q320/Q313*100)</f>
        <v>6.4748201438848918</v>
      </c>
      <c r="R326" s="81" t="str">
        <f>IF(ISERROR((Q326/I326-1)*100),"NA",IF(((Q326/I326-1)*100)&gt;100,"NM",IF(((Q326/I326-1)*100)&lt;-50,"NM",(Q326/I326-1)*100)))</f>
        <v>NM</v>
      </c>
      <c r="S326" s="185">
        <f>IF(ISERROR(+S320/S313*100), "NM", +S320/S313*100)</f>
        <v>3.7037037037037033</v>
      </c>
      <c r="T326" s="81" t="str">
        <f>IF(ISERROR((S326/K326-1)*100),"NA",IF(((S326/K326-1)*100)&gt;100,"NM",IF(((S326/K326-1)*100)&lt;-50,"NM",(S326/K326-1)*100)))</f>
        <v>NM</v>
      </c>
      <c r="U326" s="185">
        <f>IF(ISERROR(+U320/U313*100), "NM", +U320/U313*100)</f>
        <v>36</v>
      </c>
      <c r="V326" s="81" t="str">
        <f>IF(ISERROR((U326/M326-1)*100),"NA",IF(((U326/M326-1)*100)&gt;100,"NM",IF(((U326/M326-1)*100)&lt;-50,"NM",(U326/M326-1)*100)))</f>
        <v>NM</v>
      </c>
      <c r="W326" s="185">
        <f>IF(ISERROR(+W320/W313*100), "NM", +W320/W313*100)</f>
        <v>53.94736842105263</v>
      </c>
      <c r="X326" s="81" t="str">
        <f>IF(ISERROR((W326/O326-1)*100),"NA",IF(((W326/O326-1)*100)&gt;100,"NM",IF(((W326/O326-1)*100)&lt;-50,"NM",(W326/O326-1)*100)))</f>
        <v>NM</v>
      </c>
      <c r="Y326" s="185">
        <f>IF(ISERROR(+Y320/Y313*100), "NM", +Y320/Y313*100)</f>
        <v>16.666666666666664</v>
      </c>
      <c r="Z326" s="81" t="str">
        <f>IF(ISERROR((Y326/Q326-1)*100),"NA",IF(((Y326/Q326-1)*100)&gt;100,"NM",IF(((Y326/Q326-1)*100)&lt;-50,"NM",(Y326/Q326-1)*100)))</f>
        <v>NM</v>
      </c>
      <c r="AA326" s="252">
        <f>IF(ISERROR(+AA320/AA313*100), "NM", +AA320/AA313*100)</f>
        <v>20.779220779220779</v>
      </c>
      <c r="AB326" s="81" t="str">
        <f>IF(ISERROR((AA326/S326-1)*100),"NA",IF(((AA326/S326-1)*100)&gt;100,"NM",IF(((AA326/S326-1)*100)&lt;-50,"NM",(AA326/S326-1)*100)))</f>
        <v>NM</v>
      </c>
      <c r="AC326" s="185">
        <f>IF(ISERROR(+AC320/AC313*100), "NM", +AC320/AC313*100)</f>
        <v>41.860465116279073</v>
      </c>
      <c r="AD326" s="81">
        <f>IF(ISERROR((AC326/U326-1)*100),"NA",IF(((AC326/U326-1)*100)&gt;100,"NM",IF(((AC326/U326-1)*100)&lt;-50,"NM",(AC326/U326-1)*100)))</f>
        <v>16.279069767441868</v>
      </c>
      <c r="AE326" s="185">
        <f>IF(ISERROR(+AE320/AE313*100), "NM", +AE320/AE313*100)</f>
        <v>62.068965517241381</v>
      </c>
      <c r="AF326" s="81">
        <f>IF(ISERROR((AE326/W326-1)*100),"NA",IF(((AE326/W326-1)*100)&gt;100,"NM",IF(((AE326/W326-1)*100)&lt;-50,"NM",(AE326/W326-1)*100)))</f>
        <v>15.054667788057197</v>
      </c>
      <c r="AG326" s="185">
        <f>IF(ISERROR(+AG320/AG313*100), "NM", +AG320/AG313*100)</f>
        <v>1.8867924528301889</v>
      </c>
      <c r="AH326" s="81" t="str">
        <f>IF(ISERROR((AG326/Y326-1)*100),"NA",IF(((AG326/Y326-1)*100)&gt;100,"NM",IF(((AG326/Y326-1)*100)&lt;-50,"NM",(AG326/Y326-1)*100)))</f>
        <v>NM</v>
      </c>
      <c r="AI326" s="185">
        <f>IF(ISERROR(+AI320/AI313*100), "NM", +AI320/AI313*100)</f>
        <v>-7.608695652173914</v>
      </c>
      <c r="AJ326" s="81" t="str">
        <f>IF(ISERROR((AI326/AA326-1)*100),"NA",IF(((AI326/AA326-1)*100)&gt;100,"NM",IF(((AI326/AA326-1)*100)&lt;-50,"NM",(AI326/AA326-1)*100)))</f>
        <v>NM</v>
      </c>
      <c r="AK326" s="185">
        <f>IF(ISERROR(+AK320/AK313*100), "NM", +AK320/AK313*100)</f>
        <v>-33.333333333333336</v>
      </c>
      <c r="AL326" s="81" t="str">
        <f>IF(ISERROR((AK326/AC326-1)*100),"NA",IF(((AK326/AC326-1)*100)&gt;100,"NM",IF(((AK326/AC326-1)*100)&lt;-50,"NM",(AK326/AC326-1)*100)))</f>
        <v>NM</v>
      </c>
      <c r="AM326" s="185">
        <f>IF(ISERROR(+AM320/AM313*100), "NM", +AM320/AM313*100)</f>
        <v>33.333333333333336</v>
      </c>
      <c r="AN326" s="81">
        <f>IF(ISERROR((AM326/AE326-1)*100),"NA",IF(((AM326/AE326-1)*100)&gt;100,"NM",IF(((AM326/AE326-1)*100)&lt;-50,"NM",(AM326/AE326-1)*100)))</f>
        <v>-46.296296296296291</v>
      </c>
      <c r="AO326" s="185">
        <f>IF(ISERROR(+AO320/AO313*100), "NM", +AO320/AO313*100)</f>
        <v>0</v>
      </c>
      <c r="AP326" s="81" t="str">
        <f>IF(ISERROR((AO326/AG326-1)*100),"NA",IF(((AO326/AG326-1)*100)&gt;100,"NM",IF(((AO326/AG326-1)*100)&lt;-50,"NM",(AO326/AG326-1)*100)))</f>
        <v>NM</v>
      </c>
      <c r="AQ326" s="185">
        <f>IF(ISERROR(+AQ320/AQ313*100), "NM", +AQ320/AQ313*100)</f>
        <v>57.142857142857153</v>
      </c>
      <c r="AR326" s="81" t="str">
        <f>IF(ISERROR((AQ326/AI326-1)*100),"NA",IF(((AQ326/AI326-1)*100)&gt;100,"NM",IF(((AQ326/AI326-1)*100)&lt;-50,"NM",(AQ326/AI326-1)*100)))</f>
        <v>NM</v>
      </c>
      <c r="AS326" s="185">
        <f>IF(ISERROR(+AS320/AS313*100), "NM", +AS320/AS313*100)</f>
        <v>33.333333333333336</v>
      </c>
      <c r="AT326" s="81" t="str">
        <f>IF(ISERROR((AS326/AK326-1)*100),"NA",IF(((AS326/AK326-1)*100)&gt;100,"NM",IF(((AS326/AK326-1)*100)&lt;-50,"NM",(AS326/AK326-1)*100)))</f>
        <v>NM</v>
      </c>
      <c r="AU326" s="185">
        <f>IF(ISERROR(+AU320/AU313*100), "NM", +AU320/AU313*100)</f>
        <v>25</v>
      </c>
      <c r="AV326" s="81">
        <f>IF(ISERROR((AU326/AM326-1)*100),"NA",IF(((AU326/AM326-1)*100)&gt;100,"NM",IF(((AU326/AM326-1)*100)&lt;-50,"NM",(AU326/AM326-1)*100)))</f>
        <v>-25</v>
      </c>
      <c r="AW326" s="185">
        <f>IF(ISERROR(+AW320/AW313*100), "NM", +AW320/AW313*100)</f>
        <v>400</v>
      </c>
      <c r="AX326" s="81" t="str">
        <f>IF(ISERROR((AW326/AO326-1)*100),"NA",IF(((AW326/AO326-1)*100)&gt;100,"NM",IF(((AW326/AO326-1)*100)&lt;-50,"NM",(AW326/AO326-1)*100)))</f>
        <v>NA</v>
      </c>
      <c r="AY326" s="185">
        <f>IF(ISERROR(+AY320/AY313*100), "NM", +AY320/AY313*100)</f>
        <v>95</v>
      </c>
      <c r="AZ326" s="81">
        <f>IF(ISERROR((AY326/AQ326-1)*100),"NA",IF(((AY326/AQ326-1)*100)&gt;100,"NM",IF(((AY326/AQ326-1)*100)&lt;-50,"NM",(AY326/AQ326-1)*100)))</f>
        <v>66.249999999999972</v>
      </c>
      <c r="BA326" s="185">
        <f>IF(ISERROR(+BA320/BA313*100), "NM", +BA320/BA313*100)</f>
        <v>63.636363636363626</v>
      </c>
      <c r="BB326" s="81">
        <f>IF(ISERROR((BA326/AS326-1)*100),"NA",IF(((BA326/AS326-1)*100)&gt;100,"NM",IF(((BA326/AS326-1)*100)&lt;-50,"NM",(BA326/AS326-1)*100)))</f>
        <v>90.909090909090878</v>
      </c>
      <c r="BC326" s="185">
        <f>IF(ISERROR(+BC320/BC313*100), "NM", +BC320/BC313*100)</f>
        <v>-200</v>
      </c>
      <c r="BD326" s="81" t="str">
        <f>IF(ISERROR((BC326/AU326-1)*100),"NA",IF(((BC326/AU326-1)*100)&gt;100,"NM",IF(((BC326/AU326-1)*100)&lt;-50,"NM",(BC326/AU326-1)*100)))</f>
        <v>NM</v>
      </c>
      <c r="BE326" s="185">
        <f>IF(ISERROR(+BE320/BE313*100), "NM", +BE320/BE313*100)</f>
        <v>66.666666666666671</v>
      </c>
      <c r="BF326" s="81" t="str">
        <f>IF(ISERROR((BE326/AW326-1)*100),"NA",IF(((BE326/AW326-1)*100)&gt;100,"NM",IF(((BE326/AW326-1)*100)&lt;-50,"NM",(BE326/AW326-1)*100)))</f>
        <v>NM</v>
      </c>
      <c r="BG326" s="185">
        <f>IF(ISERROR(+BG320/BG313*100), "NM", +BG320/BG313*100)</f>
        <v>200</v>
      </c>
      <c r="BH326" s="81" t="str">
        <f>IF(ISERROR((BG326/AY326-1)*100),"NA",IF(((BG326/AY326-1)*100)&gt;100,"NM",IF(((BG326/AY326-1)*100)&lt;-50,"NM",(BG326/AY326-1)*100)))</f>
        <v>NM</v>
      </c>
      <c r="BI326" s="185">
        <f>IF(ISERROR(+BI320/BI313*100), "NM", +BI320/BI313*100)</f>
        <v>57.142857142857153</v>
      </c>
      <c r="BJ326" s="81">
        <f>IF(ISERROR((BI326/BA326-1)*100),"NA",IF(((BI326/BA326-1)*100)&gt;100,"NM",IF(((BI326/BA326-1)*100)&lt;-50,"NM",(BI326/BA326-1)*100)))</f>
        <v>-10.204081632653029</v>
      </c>
      <c r="BK326" s="185">
        <f>IF(ISERROR(+BK320/BK313*100), "NM", +BK320/BK313*100)</f>
        <v>149.99999999999997</v>
      </c>
      <c r="BL326" s="81" t="str">
        <f>IF(ISERROR((BK326/BC326-1)*100),"NA",IF(((BK326/BC326-1)*100)&gt;100,"NM",IF(((BK326/BC326-1)*100)&lt;-50,"NM",(BK326/BC326-1)*100)))</f>
        <v>NM</v>
      </c>
      <c r="BM326" s="185" t="str">
        <f>IF(ISERROR(+BM320/BM313*100), "NM", +BM320/BM313*100)</f>
        <v>NM</v>
      </c>
      <c r="BN326" s="81"/>
      <c r="BO326" s="185"/>
      <c r="BP326" s="81"/>
      <c r="BQ326" s="185"/>
      <c r="BR326" s="81"/>
      <c r="BS326" s="185"/>
      <c r="BT326" s="81"/>
      <c r="BU326" s="185"/>
      <c r="BV326" s="81"/>
      <c r="BW326" s="185"/>
      <c r="BX326" s="81"/>
      <c r="BY326" s="185"/>
      <c r="BZ326" s="81"/>
      <c r="CA326" s="185"/>
      <c r="CB326" s="81"/>
      <c r="CC326" s="185"/>
      <c r="CD326" s="81"/>
      <c r="CE326" s="185"/>
      <c r="CF326" s="81"/>
      <c r="CG326" s="185"/>
      <c r="CH326" s="81"/>
      <c r="CI326" s="185"/>
      <c r="CJ326" s="81"/>
      <c r="CK326" s="185"/>
      <c r="CL326" s="81"/>
      <c r="CM326" s="185"/>
      <c r="CN326" s="81"/>
      <c r="CO326" s="185"/>
      <c r="CP326" s="81"/>
      <c r="CQ326" s="185"/>
      <c r="CR326" s="81"/>
      <c r="CS326" s="185"/>
      <c r="CT326" s="81"/>
      <c r="CU326" s="185"/>
      <c r="CV326" s="81"/>
      <c r="CW326" s="185"/>
      <c r="CX326" s="81"/>
      <c r="CY326" s="185"/>
      <c r="CZ326" s="81"/>
      <c r="DA326" s="185"/>
      <c r="DB326" s="81"/>
      <c r="DC326" s="185"/>
      <c r="DD326" s="81"/>
      <c r="DE326" s="185"/>
      <c r="DF326" s="81"/>
      <c r="DG326" s="185"/>
      <c r="DH326" s="81"/>
      <c r="DI326" s="185"/>
      <c r="DJ326" s="81"/>
      <c r="DK326" s="185"/>
      <c r="DL326" s="81"/>
      <c r="DM326" s="185"/>
      <c r="DN326" s="81"/>
      <c r="DO326" s="185"/>
      <c r="DP326" s="81"/>
      <c r="DQ326" s="185"/>
      <c r="DR326" s="81"/>
      <c r="DS326" s="185"/>
      <c r="DT326" s="81"/>
      <c r="DU326" s="185"/>
      <c r="DV326" s="81"/>
      <c r="DW326" s="185"/>
      <c r="DX326" s="81"/>
      <c r="DY326" s="185"/>
      <c r="DZ326" s="81"/>
      <c r="EA326" s="185"/>
      <c r="EB326" s="81"/>
      <c r="EC326" s="185"/>
      <c r="ED326" s="81"/>
      <c r="EE326" s="185"/>
      <c r="EF326" s="81"/>
      <c r="EG326" s="185"/>
      <c r="EH326" s="81"/>
      <c r="EI326" s="185"/>
      <c r="EJ326" s="81"/>
      <c r="EK326" s="185"/>
      <c r="EL326" s="81"/>
      <c r="EM326" s="185"/>
      <c r="EN326" s="81"/>
      <c r="EO326" s="185"/>
      <c r="EP326" s="81"/>
      <c r="EQ326" s="185"/>
      <c r="ER326" s="81"/>
      <c r="ES326" s="129"/>
      <c r="ET326" s="469"/>
      <c r="EU326" s="129"/>
      <c r="EV326" s="185"/>
      <c r="EW326" s="79"/>
      <c r="EX326" s="185"/>
      <c r="EY326" s="79"/>
      <c r="EZ326" s="283"/>
      <c r="FA326" s="79"/>
      <c r="FB326" s="185">
        <f>IF(ISERROR(+FB320/FB313*100), "NM", +FB320/FB313*100)</f>
        <v>4.9151027703306518</v>
      </c>
      <c r="FC326" s="79" t="str">
        <f>IF(ISERROR((FB326/EZ326-1)*100),"NA",IF(((FB326/EZ326-1)*100)&gt;100,"NM",IF(((FB326/EZ326-1)*100)&lt;-50,"NM",(FB326/EZ326-1)*100)))</f>
        <v>NA</v>
      </c>
      <c r="FD326" s="185">
        <f>IF(ISERROR(+FD320/FD313*100), "NM", +FD320/FD313*100)</f>
        <v>8.2446808510638299</v>
      </c>
      <c r="FE326" s="79">
        <f>IF(ISERROR((FD326/FB326-1)*100),"NA",IF(((FD326/FB326-1)*100)&gt;100,"NM",IF(((FD326/FB326-1)*100)&lt;-50,"NM",(FD326/FB326-1)*100)))</f>
        <v>67.741779497098676</v>
      </c>
      <c r="FF326" s="185">
        <f>IF(ISERROR(+FF320/FF313*100), "NM", +FF320/FF313*100)</f>
        <v>31.4868804664723</v>
      </c>
      <c r="FG326" s="79" t="str">
        <f>IF(ISERROR((FF326/FD326-1)*100),"NA",IF(((FF326/FD326-1)*100)&gt;100,"NM",IF(((FF326/FD326-1)*100)&lt;-50,"NM",(FF326/FD326-1)*100)))</f>
        <v>NM</v>
      </c>
      <c r="FH326" s="185">
        <f>IF(ISERROR(+FH320/FH313*100), "NM", +FH320/FH313*100)</f>
        <v>15.65495207667732</v>
      </c>
      <c r="FI326" s="79" t="str">
        <f>IF(ISERROR((FH326/FF326-1)*100),"NA",IF(((FH326/FF326-1)*100)&gt;100,"NM",IF(((FH326/FF326-1)*100)&lt;-50,"NM",(FH326/FF326-1)*100)))</f>
        <v>NM</v>
      </c>
      <c r="FJ326" s="185">
        <f>IF(ISERROR(+FJ320/FJ313*100), "NM", +FJ320/FJ313*100)</f>
        <v>42.307692307692321</v>
      </c>
      <c r="FK326" s="79" t="str">
        <f>IF(ISERROR((FJ326/FH326-1)*100),"NA",IF(((FJ326/FH326-1)*100)&gt;100,"NM",IF(((FJ326/FH326-1)*100)&lt;-50,"NM",(FJ326/FH326-1)*100)))</f>
        <v>NM</v>
      </c>
      <c r="FL326" s="185">
        <f>IF(ISERROR(+FL320/FL313*100), "NM", +FL320/FL313*100)</f>
        <v>66.666666666666657</v>
      </c>
      <c r="FM326" s="79">
        <f>IF(ISERROR((FL326/FJ326-1)*100),"NA",IF(((FL326/FJ326-1)*100)&gt;100,"NM",IF(((FL326/FJ326-1)*100)&lt;-50,"NM",(FL326/FJ326-1)*100)))</f>
        <v>57.5757575757575</v>
      </c>
      <c r="FN326" s="185">
        <f>IF(ISERROR(+FN320/FN313*100), "NM", +FN320/FN313*100)</f>
        <v>111.76470588235294</v>
      </c>
      <c r="FO326" s="79">
        <f>IF(ISERROR((FN326/FL326-1)*100),"NA",IF(((FN326/FL326-1)*100)&gt;100,"NM",IF(((FN326/FL326-1)*100)&lt;-50,"NM",(FN326/FL326-1)*100)))</f>
        <v>67.647058823529434</v>
      </c>
      <c r="FP326" s="185">
        <f>IF(ISERROR(+FP320/FP313*100), "NM", +FP320/FP313*100)</f>
        <v>111.11111111111111</v>
      </c>
      <c r="FQ326" s="79">
        <f>IF(ISERROR((FP326/FN326-1)*100),"NA",IF(((FP326/FN326-1)*100)&gt;100,"NM",IF(((FP326/FN326-1)*100)&lt;-50,"NM",(FP326/FN326-1)*100)))</f>
        <v>-0.58479532163742132</v>
      </c>
      <c r="FR326" s="185"/>
      <c r="FS326" s="79" t="str">
        <f>IF(ISERROR((FR326/FP326-1)*100),"NA",IF(((FR326/FP326-1)*100)&gt;100,"NM",IF(((FR326/FP326-1)*100)&lt;-50,"NM",(FR326/FP326-1)*100)))</f>
        <v>NM</v>
      </c>
      <c r="FT326" s="185"/>
      <c r="FU326" s="79" t="str">
        <f>IF(ISERROR((FT326/FR326-1)*100),"NA",IF(((FT326/FR326-1)*100)&gt;100,"NM",IF(((FT326/FR326-1)*100)&lt;-50,"NM",(FT326/FR326-1)*100)))</f>
        <v>NA</v>
      </c>
      <c r="FV326" s="185"/>
      <c r="FW326" s="79" t="str">
        <f>IF(ISERROR((FV326/FT326-1)*100),"NA",IF(((FV326/FT326-1)*100)&gt;100,"NM",IF(((FV326/FT326-1)*100)&lt;-50,"NM",(FV326/FT326-1)*100)))</f>
        <v>NA</v>
      </c>
      <c r="FX326" s="185"/>
      <c r="FY326" s="79" t="str">
        <f>IF(ISERROR((FX326/FV326-1)*100),"NA",IF(((FX326/FV326-1)*100)&gt;100,"NM",IF(((FX326/FV326-1)*100)&lt;-50,"NM",(FX326/FV326-1)*100)))</f>
        <v>NA</v>
      </c>
      <c r="FZ326" s="185"/>
      <c r="GA326" s="79" t="str">
        <f>IF(ISERROR((FZ326/FX326-1)*100),"NA",IF(((FZ326/FX326-1)*100)&gt;100,"NM",IF(((FZ326/FX326-1)*100)&lt;-50,"NM",(FZ326/FX326-1)*100)))</f>
        <v>NA</v>
      </c>
      <c r="GB326" s="185"/>
      <c r="GC326" s="79" t="str">
        <f>IF(ISERROR((GB326/FZ326-1)*100),"NA",IF(((GB326/FZ326-1)*100)&gt;100,"NM",IF(((GB326/FZ326-1)*100)&lt;-50,"NM",(GB326/FZ326-1)*100)))</f>
        <v>NA</v>
      </c>
      <c r="GD326" s="185"/>
      <c r="GE326" s="79" t="str">
        <f>IF(ISERROR((GD326/GB326-1)*100),"NA",IF(((GD326/GB326-1)*100)&gt;100,"NM",IF(((GD326/GB326-1)*100)&lt;-50,"NM",(GD326/GB326-1)*100)))</f>
        <v>NA</v>
      </c>
      <c r="GF326" s="185"/>
      <c r="GG326" s="79" t="str">
        <f>IF(ISERROR((GF326/GD326-1)*100),"NA",IF(((GF326/GD326-1)*100)&gt;100,"NM",IF(((GF326/GD326-1)*100)&lt;-50,"NM",(GF326/GD326-1)*100)))</f>
        <v>NA</v>
      </c>
      <c r="GH326" s="185"/>
      <c r="GI326" s="79" t="str">
        <f>IF(ISERROR((GH326/GF326-1)*100),"NA",IF(((GH326/GF326-1)*100)&gt;100,"NM",IF(((GH326/GF326-1)*100)&lt;-50,"NM",(GH326/GF326-1)*100)))</f>
        <v>NA</v>
      </c>
      <c r="GJ326" s="185"/>
      <c r="GK326" s="79" t="str">
        <f>IF(ISERROR((GJ326/GH326-1)*100),"NA",IF(((GJ326/GH326-1)*100)&gt;100,"NM",IF(((GJ326/GH326-1)*100)&lt;-50,"NM",(GJ326/GH326-1)*100)))</f>
        <v>NA</v>
      </c>
      <c r="GL326" s="185"/>
      <c r="GM326" s="79" t="str">
        <f>IF(ISERROR((GL326/GJ326-1)*100),"NA",IF(((GL326/GJ326-1)*100)&gt;100,"NM",IF(((GL326/GJ326-1)*100)&lt;-50,"NM",(GL326/GJ326-1)*100)))</f>
        <v>NA</v>
      </c>
      <c r="GN326" s="185"/>
      <c r="GO326" s="79" t="str">
        <f>IF(ISERROR((GN326/GL326-1)*100),"NA",IF(((GN326/GL326-1)*100)&gt;100,"NM",IF(((GN326/GL326-1)*100)&lt;-50,"NM",(GN326/GL326-1)*100)))</f>
        <v>NA</v>
      </c>
      <c r="GP326" s="185"/>
      <c r="GQ326" s="79" t="str">
        <f>IF(ISERROR((GP326/GN326-1)*100),"NA",IF(((GP326/GN326-1)*100)&gt;100,"NM",IF(((GP326/GN326-1)*100)&lt;-50,"NM",(GP326/GN326-1)*100)))</f>
        <v>NA</v>
      </c>
      <c r="GR326" s="185"/>
      <c r="GS326" s="79" t="str">
        <f>IF(ISERROR((GR326/GP326-1)*100),"NA",IF(((GR326/GP326-1)*100)&gt;100,"NM",IF(((GR326/GP326-1)*100)&lt;-50,"NM",(GR326/GP326-1)*100)))</f>
        <v>NA</v>
      </c>
      <c r="GT326" s="79"/>
    </row>
    <row r="327" spans="1:286" ht="12.75" hidden="1" customHeight="1" outlineLevel="1" x14ac:dyDescent="0.2">
      <c r="A327" s="1"/>
      <c r="B327" s="10" t="s">
        <v>44</v>
      </c>
      <c r="C327" s="79"/>
      <c r="D327" s="79"/>
      <c r="E327" s="75">
        <f>IF(ISERROR(+E322/E313*100), "NM", +E322/E313*100)</f>
        <v>122.34332425068119</v>
      </c>
      <c r="F327" s="185"/>
      <c r="G327" s="75">
        <f>IF(ISERROR(+G322/G313*100), "NM", +G322/G313*100)</f>
        <v>117.77777777777779</v>
      </c>
      <c r="H327" s="185"/>
      <c r="I327" s="75">
        <f>IF(ISERROR(+I322/I313*100), "NM", +I322/I313*100)</f>
        <v>124.45054945054946</v>
      </c>
      <c r="J327" s="185"/>
      <c r="K327" s="75">
        <f>IF(ISERROR(+K322/K313*100), "NM", +K322/K313*100)</f>
        <v>-2552.9411764705878</v>
      </c>
      <c r="L327" s="79"/>
      <c r="M327" s="185">
        <f>IF(ISERROR(+M322/M313*100), "NM", +M322/M313*100)</f>
        <v>475.26881720430111</v>
      </c>
      <c r="N327" s="81" t="str">
        <f>IF(ISERROR((M327/E327-1)*100),"NA",IF(((M327/E327-1)*100)&gt;100,"NM",IF(((M327/E327-1)*100)&lt;-50,"NM",(M327/E327-1)*100)))</f>
        <v>NM</v>
      </c>
      <c r="O327" s="185">
        <f>IF(ISERROR(+O322/O313*100), "NM", +O322/O313*100)</f>
        <v>390.59829059829065</v>
      </c>
      <c r="P327" s="81" t="str">
        <f>IF(ISERROR((O327/G327-1)*100),"NA",IF(((O327/G327-1)*100)&gt;100,"NM",IF(((O327/G327-1)*100)&lt;-50,"NM",(O327/G327-1)*100)))</f>
        <v>NM</v>
      </c>
      <c r="Q327" s="185">
        <f>IF(ISERROR(+Q322/Q313*100), "NM", +Q322/Q313*100)</f>
        <v>316.54676258992805</v>
      </c>
      <c r="R327" s="81" t="str">
        <f>IF(ISERROR((Q327/I327-1)*100),"NA",IF(((Q327/I327-1)*100)&gt;100,"NM",IF(((Q327/I327-1)*100)&lt;-50,"NM",(Q327/I327-1)*100)))</f>
        <v>NM</v>
      </c>
      <c r="S327" s="185">
        <f>IF(ISERROR(+S322/S313*100), "NM", +S322/S313*100)</f>
        <v>1614.8148148148148</v>
      </c>
      <c r="T327" s="81" t="str">
        <f>IF(ISERROR((S327/K327-1)*100),"NA",IF(((S327/K327-1)*100)&gt;100,"NM",IF(((S327/K327-1)*100)&lt;-50,"NM",(S327/K327-1)*100)))</f>
        <v>NM</v>
      </c>
      <c r="U327" s="185">
        <f>IF(ISERROR(+U322/U313*100), "NM", +U322/U313*100)</f>
        <v>417</v>
      </c>
      <c r="V327" s="81">
        <f>IF(ISERROR((U327/M327-1)*100),"NA",IF(((U327/M327-1)*100)&gt;100,"NM",IF(((U327/M327-1)*100)&lt;-50,"NM",(U327/M327-1)*100)))</f>
        <v>-12.260180995475123</v>
      </c>
      <c r="W327" s="185">
        <f>IF(ISERROR(+W322/W313*100), "NM", +W322/W313*100)</f>
        <v>536.84210526315792</v>
      </c>
      <c r="X327" s="81">
        <f>IF(ISERROR((W327/O327-1)*100),"NA",IF(((W327/O327-1)*100)&gt;100,"NM",IF(((W327/O327-1)*100)&lt;-50,"NM",(W327/O327-1)*100)))</f>
        <v>37.440976620983513</v>
      </c>
      <c r="Y327" s="185">
        <f>IF(ISERROR(+Y322/Y313*100), "NM", +Y322/Y313*100)</f>
        <v>488.88888888888891</v>
      </c>
      <c r="Z327" s="81">
        <f>IF(ISERROR((Y327/Q327-1)*100),"NA",IF(((Y327/Q327-1)*100)&gt;100,"NM",IF(((Y327/Q327-1)*100)&lt;-50,"NM",(Y327/Q327-1)*100)))</f>
        <v>54.44444444444445</v>
      </c>
      <c r="AA327" s="252">
        <f>IF(ISERROR(+AA322/AA313*100), "NM", +AA322/AA313*100)</f>
        <v>548.05194805194799</v>
      </c>
      <c r="AB327" s="81" t="str">
        <f>IF(ISERROR((AA327/S327-1)*100),"NA",IF(((AA327/S327-1)*100)&gt;100,"NM",IF(((AA327/S327-1)*100)&lt;-50,"NM",(AA327/S327-1)*100)))</f>
        <v>NM</v>
      </c>
      <c r="AC327" s="185">
        <f>IF(ISERROR(+AC322/AC313*100), "NM", +AC322/AC313*100)</f>
        <v>532.55813953488371</v>
      </c>
      <c r="AD327" s="81">
        <f>IF(ISERROR((AC327/U327-1)*100),"NA",IF(((AC327/U327-1)*100)&gt;100,"NM",IF(((AC327/U327-1)*100)&lt;-50,"NM",(AC327/U327-1)*100)))</f>
        <v>27.7117840611232</v>
      </c>
      <c r="AE327" s="185">
        <f>IF(ISERROR(+AE322/AE313*100), "NM", +AE322/AE313*100)</f>
        <v>1455.1724137931035</v>
      </c>
      <c r="AF327" s="81" t="str">
        <f>IF(ISERROR((AE327/W327-1)*100),"NA",IF(((AE327/W327-1)*100)&gt;100,"NM",IF(((AE327/W327-1)*100)&lt;-50,"NM",(AE327/W327-1)*100)))</f>
        <v>NM</v>
      </c>
      <c r="AG327" s="185">
        <f>IF(ISERROR(+AG322/AG313*100), "NM", +AG322/AG313*100)</f>
        <v>409.43396226415098</v>
      </c>
      <c r="AH327" s="81">
        <f>IF(ISERROR((AG327/Y327-1)*100),"NA",IF(((AG327/Y327-1)*100)&gt;100,"NM",IF(((AG327/Y327-1)*100)&lt;-50,"NM",(AG327/Y327-1)*100)))</f>
        <v>-16.252144082332755</v>
      </c>
      <c r="AI327" s="185">
        <f>IF(ISERROR(+AI322/AI313*100), "NM", +AI322/AI313*100)</f>
        <v>465.21739130434787</v>
      </c>
      <c r="AJ327" s="81">
        <f>IF(ISERROR((AI327/AA327-1)*100),"NA",IF(((AI327/AA327-1)*100)&gt;100,"NM",IF(((AI327/AA327-1)*100)&lt;-50,"NM",(AI327/AA327-1)*100)))</f>
        <v>-15.114362250154523</v>
      </c>
      <c r="AK327" s="185">
        <f>IF(ISERROR(+AK322/AK313*100), "NM", +AK322/AK313*100)</f>
        <v>13600</v>
      </c>
      <c r="AL327" s="81" t="str">
        <f>IF(ISERROR((AK327/AC327-1)*100),"NA",IF(((AK327/AC327-1)*100)&gt;100,"NM",IF(((AK327/AC327-1)*100)&lt;-50,"NM",(AK327/AC327-1)*100)))</f>
        <v>NM</v>
      </c>
      <c r="AM327" s="185">
        <f>IF(ISERROR(+AM322/AM313*100), "NM", +AM322/AM313*100)</f>
        <v>3591.666666666667</v>
      </c>
      <c r="AN327" s="81" t="str">
        <f>IF(ISERROR((AM327/AE327-1)*100),"NA",IF(((AM327/AE327-1)*100)&gt;100,"NM",IF(((AM327/AE327-1)*100)&lt;-50,"NM",(AM327/AE327-1)*100)))</f>
        <v>NM</v>
      </c>
      <c r="AO327" s="185">
        <f>IF(ISERROR(+AO322/AO313*100), "NM", +AO322/AO313*100)</f>
        <v>-13766.666666666666</v>
      </c>
      <c r="AP327" s="81" t="str">
        <f>IF(ISERROR((AO327/AG327-1)*100),"NA",IF(((AO327/AG327-1)*100)&gt;100,"NM",IF(((AO327/AG327-1)*100)&lt;-50,"NM",(AO327/AG327-1)*100)))</f>
        <v>NM</v>
      </c>
      <c r="AQ327" s="185">
        <f>IF(ISERROR(+AQ322/AQ313*100), "NM", +AQ322/AQ313*100)</f>
        <v>142.85714285714286</v>
      </c>
      <c r="AR327" s="81" t="str">
        <f>IF(ISERROR((AQ327/AI327-1)*100),"NA",IF(((AQ327/AI327-1)*100)&gt;100,"NM",IF(((AQ327/AI327-1)*100)&lt;-50,"NM",(AQ327/AI327-1)*100)))</f>
        <v>NM</v>
      </c>
      <c r="AS327" s="185">
        <f>IF(ISERROR(+AS322/AS313*100), "NM", +AS322/AS313*100)</f>
        <v>133.33333333333334</v>
      </c>
      <c r="AT327" s="81" t="str">
        <f>IF(ISERROR((AS327/AK327-1)*100),"NA",IF(((AS327/AK327-1)*100)&gt;100,"NM",IF(((AS327/AK327-1)*100)&lt;-50,"NM",(AS327/AK327-1)*100)))</f>
        <v>NM</v>
      </c>
      <c r="AU327" s="185">
        <f>IF(ISERROR(+AU322/AU313*100), "NM", +AU322/AU313*100)</f>
        <v>3725.0000000000009</v>
      </c>
      <c r="AV327" s="81">
        <f>IF(ISERROR((AU327/AM327-1)*100),"NA",IF(((AU327/AM327-1)*100)&gt;100,"NM",IF(((AU327/AM327-1)*100)&lt;-50,"NM",(AU327/AM327-1)*100)))</f>
        <v>3.7122969837587227</v>
      </c>
      <c r="AW327" s="185">
        <f>IF(ISERROR(+AW322/AW313*100), "NM", +AW322/AW313*100)</f>
        <v>43700</v>
      </c>
      <c r="AX327" s="81" t="str">
        <f>IF(ISERROR((AW327/AO327-1)*100),"NA",IF(((AW327/AO327-1)*100)&gt;100,"NM",IF(((AW327/AO327-1)*100)&lt;-50,"NM",(AW327/AO327-1)*100)))</f>
        <v>NM</v>
      </c>
      <c r="AY327" s="185">
        <f>IF(ISERROR(+AY322/AY313*100), "NM", +AY322/AY313*100)</f>
        <v>-30</v>
      </c>
      <c r="AZ327" s="81" t="str">
        <f>IF(ISERROR((AY327/AQ327-1)*100),"NA",IF(((AY327/AQ327-1)*100)&gt;100,"NM",IF(((AY327/AQ327-1)*100)&lt;-50,"NM",(AY327/AQ327-1)*100)))</f>
        <v>NM</v>
      </c>
      <c r="BA327" s="185">
        <f>IF(ISERROR(+BA322/BA313*100), "NM", +BA322/BA313*100)</f>
        <v>136.36363636363635</v>
      </c>
      <c r="BB327" s="81">
        <f>IF(ISERROR((BA327/AS327-1)*100),"NA",IF(((BA327/AS327-1)*100)&gt;100,"NM",IF(((BA327/AS327-1)*100)&lt;-50,"NM",(BA327/AS327-1)*100)))</f>
        <v>2.2727272727272485</v>
      </c>
      <c r="BC327" s="185">
        <f>IF(ISERROR(+BC322/BC313*100), "NM", +BC322/BC313*100)</f>
        <v>-400</v>
      </c>
      <c r="BD327" s="81" t="str">
        <f>IF(ISERROR((BC327/AU327-1)*100),"NA",IF(((BC327/AU327-1)*100)&gt;100,"NM",IF(((BC327/AU327-1)*100)&lt;-50,"NM",(BC327/AU327-1)*100)))</f>
        <v>NM</v>
      </c>
      <c r="BE327" s="185">
        <f>IF(ISERROR(+BE322/BE313*100), "NM", +BE322/BE313*100)</f>
        <v>116.66666666666667</v>
      </c>
      <c r="BF327" s="81" t="str">
        <f>IF(ISERROR((BE327/AW327-1)*100),"NA",IF(((BE327/AW327-1)*100)&gt;100,"NM",IF(((BE327/AW327-1)*100)&lt;-50,"NM",(BE327/AW327-1)*100)))</f>
        <v>NM</v>
      </c>
      <c r="BG327" s="185">
        <f>IF(ISERROR(+BG322/BG313*100), "NM", +BG322/BG313*100)</f>
        <v>500</v>
      </c>
      <c r="BH327" s="81" t="str">
        <f>IF(ISERROR((BG327/AY327-1)*100),"NA",IF(((BG327/AY327-1)*100)&gt;100,"NM",IF(((BG327/AY327-1)*100)&lt;-50,"NM",(BG327/AY327-1)*100)))</f>
        <v>NM</v>
      </c>
      <c r="BI327" s="185">
        <f>IF(ISERROR(+BI322/BI313*100), "NM", +BI322/BI313*100)</f>
        <v>300.00000000000006</v>
      </c>
      <c r="BJ327" s="81" t="str">
        <f>IF(ISERROR((BI327/BA327-1)*100),"NA",IF(((BI327/BA327-1)*100)&gt;100,"NM",IF(((BI327/BA327-1)*100)&lt;-50,"NM",(BI327/BA327-1)*100)))</f>
        <v>NM</v>
      </c>
      <c r="BK327" s="185">
        <f>IF(ISERROR(+BK322/BK313*100), "NM", +BK322/BK313*100)</f>
        <v>1199.9999999999998</v>
      </c>
      <c r="BL327" s="81" t="str">
        <f>IF(ISERROR((BK327/BC327-1)*100),"NA",IF(((BK327/BC327-1)*100)&gt;100,"NM",IF(((BK327/BC327-1)*100)&lt;-50,"NM",(BK327/BC327-1)*100)))</f>
        <v>NM</v>
      </c>
      <c r="BM327" s="185" t="str">
        <f>IF(ISERROR(+BM322/BM313*100), "NM", +BM322/BM313*100)</f>
        <v>NM</v>
      </c>
      <c r="BN327" s="81"/>
      <c r="BO327" s="185"/>
      <c r="BP327" s="81"/>
      <c r="BQ327" s="185"/>
      <c r="BR327" s="81"/>
      <c r="BS327" s="185"/>
      <c r="BT327" s="81"/>
      <c r="BU327" s="185"/>
      <c r="BV327" s="81"/>
      <c r="BW327" s="185"/>
      <c r="BX327" s="81"/>
      <c r="BY327" s="185"/>
      <c r="BZ327" s="81"/>
      <c r="CA327" s="185"/>
      <c r="CB327" s="81"/>
      <c r="CC327" s="185"/>
      <c r="CD327" s="81"/>
      <c r="CE327" s="185"/>
      <c r="CF327" s="81"/>
      <c r="CG327" s="185"/>
      <c r="CH327" s="81"/>
      <c r="CI327" s="185"/>
      <c r="CJ327" s="81"/>
      <c r="CK327" s="185"/>
      <c r="CL327" s="81"/>
      <c r="CM327" s="185"/>
      <c r="CN327" s="81"/>
      <c r="CO327" s="185"/>
      <c r="CP327" s="81"/>
      <c r="CQ327" s="185"/>
      <c r="CR327" s="81"/>
      <c r="CS327" s="185"/>
      <c r="CT327" s="81"/>
      <c r="CU327" s="185"/>
      <c r="CV327" s="81"/>
      <c r="CW327" s="185"/>
      <c r="CX327" s="81"/>
      <c r="CY327" s="185"/>
      <c r="CZ327" s="81"/>
      <c r="DA327" s="185"/>
      <c r="DB327" s="81"/>
      <c r="DC327" s="185"/>
      <c r="DD327" s="81"/>
      <c r="DE327" s="185"/>
      <c r="DF327" s="81"/>
      <c r="DG327" s="185"/>
      <c r="DH327" s="81"/>
      <c r="DI327" s="185"/>
      <c r="DJ327" s="81"/>
      <c r="DK327" s="185"/>
      <c r="DL327" s="81"/>
      <c r="DM327" s="185"/>
      <c r="DN327" s="81"/>
      <c r="DO327" s="185"/>
      <c r="DP327" s="81"/>
      <c r="DQ327" s="185"/>
      <c r="DR327" s="81"/>
      <c r="DS327" s="185"/>
      <c r="DT327" s="81"/>
      <c r="DU327" s="185"/>
      <c r="DV327" s="81"/>
      <c r="DW327" s="185"/>
      <c r="DX327" s="81"/>
      <c r="DY327" s="185"/>
      <c r="DZ327" s="81"/>
      <c r="EA327" s="185"/>
      <c r="EB327" s="81"/>
      <c r="EC327" s="185"/>
      <c r="ED327" s="81"/>
      <c r="EE327" s="185"/>
      <c r="EF327" s="81"/>
      <c r="EG327" s="185"/>
      <c r="EH327" s="81"/>
      <c r="EI327" s="185"/>
      <c r="EJ327" s="81"/>
      <c r="EK327" s="185"/>
      <c r="EL327" s="81"/>
      <c r="EM327" s="185"/>
      <c r="EN327" s="81"/>
      <c r="EO327" s="185"/>
      <c r="EP327" s="81"/>
      <c r="EQ327" s="185"/>
      <c r="ER327" s="81"/>
      <c r="ES327" s="129"/>
      <c r="ET327" s="469"/>
      <c r="EU327" s="129"/>
      <c r="EV327" s="185"/>
      <c r="EW327" s="79"/>
      <c r="EX327" s="185"/>
      <c r="EY327" s="79"/>
      <c r="EZ327" s="283"/>
      <c r="FA327" s="79"/>
      <c r="FB327" s="185">
        <f>IF(ISERROR(+FB322/FB313*100), "NM", +FB322/FB313*100)</f>
        <v>162.0196604110813</v>
      </c>
      <c r="FC327" s="79" t="str">
        <f>IF(ISERROR((FB327/EZ327-1)*100),"NA",IF(((FB327/EZ327-1)*100)&gt;100,"NM",IF(((FB327/EZ327-1)*100)&lt;-50,"NM",(FB327/EZ327-1)*100)))</f>
        <v>NA</v>
      </c>
      <c r="FD327" s="185">
        <f>IF(ISERROR(+FD322/FD313*100), "NM", +FD322/FD313*100)</f>
        <v>472.07446808510633</v>
      </c>
      <c r="FE327" s="79" t="str">
        <f>IF(ISERROR((FD327/FB327-1)*100),"NA",IF(((FD327/FB327-1)*100)&gt;100,"NM",IF(((FD327/FB327-1)*100)&lt;-50,"NM",(FD327/FB327-1)*100)))</f>
        <v>NM</v>
      </c>
      <c r="FF327" s="185">
        <f>IF(ISERROR(+FF322/FF313*100), "NM", +FF322/FF313*100)</f>
        <v>491.83673469387753</v>
      </c>
      <c r="FG327" s="79">
        <f>IF(ISERROR((FF327/FD327-1)*100),"NA",IF(((FF327/FD327-1)*100)&gt;100,"NM",IF(((FF327/FD327-1)*100)&lt;-50,"NM",(FF327/FD327-1)*100)))</f>
        <v>4.1862604196608366</v>
      </c>
      <c r="FH327" s="185">
        <f>IF(ISERROR(+FH322/FH313*100), "NM", +FH322/FH313*100)</f>
        <v>556.54952076677318</v>
      </c>
      <c r="FI327" s="79">
        <f>IF(ISERROR((FH327/FF327-1)*100),"NA",IF(((FH327/FF327-1)*100)&gt;100,"NM",IF(((FH327/FF327-1)*100)&lt;-50,"NM",(FH327/FF327-1)*100)))</f>
        <v>13.157371442207012</v>
      </c>
      <c r="FJ327" s="185">
        <f>IF(ISERROR(+FJ322/FJ313*100), "NM", +FJ322/FJ313*100)</f>
        <v>4892.3076923076933</v>
      </c>
      <c r="FK327" s="79" t="str">
        <f>IF(ISERROR((FJ327/FH327-1)*100),"NA",IF(((FJ327/FH327-1)*100)&gt;100,"NM",IF(((FJ327/FH327-1)*100)&lt;-50,"NM",(FJ327/FH327-1)*100)))</f>
        <v>NM</v>
      </c>
      <c r="FL327" s="185">
        <f>IF(ISERROR(+FL322/FL313*100), "NM", +FL322/FL313*100)</f>
        <v>1986.6666666666667</v>
      </c>
      <c r="FM327" s="79" t="str">
        <f>IF(ISERROR((FL327/FJ327-1)*100),"NA",IF(((FL327/FJ327-1)*100)&gt;100,"NM",IF(((FL327/FJ327-1)*100)&lt;-50,"NM",(FL327/FJ327-1)*100)))</f>
        <v>NM</v>
      </c>
      <c r="FN327" s="185">
        <f>IF(ISERROR(+FN322/FN313*100), "NM", +FN322/FN313*100)</f>
        <v>235.29411764705884</v>
      </c>
      <c r="FO327" s="79" t="str">
        <f>IF(ISERROR((FN327/FL327-1)*100),"NA",IF(((FN327/FL327-1)*100)&gt;100,"NM",IF(((FN327/FL327-1)*100)&lt;-50,"NM",(FN327/FL327-1)*100)))</f>
        <v>NM</v>
      </c>
      <c r="FP327" s="185">
        <f>IF(ISERROR(+FP322/FP313*100), "NM", +FP322/FP313*100)</f>
        <v>833.33333333333337</v>
      </c>
      <c r="FQ327" s="79" t="str">
        <f>IF(ISERROR((FP327/FN327-1)*100),"NA",IF(((FP327/FN327-1)*100)&gt;100,"NM",IF(((FP327/FN327-1)*100)&lt;-50,"NM",(FP327/FN327-1)*100)))</f>
        <v>NM</v>
      </c>
      <c r="FR327" s="185"/>
      <c r="FS327" s="79" t="str">
        <f>IF(ISERROR((FR327/FP327-1)*100),"NA",IF(((FR327/FP327-1)*100)&gt;100,"NM",IF(((FR327/FP327-1)*100)&lt;-50,"NM",(FR327/FP327-1)*100)))</f>
        <v>NM</v>
      </c>
      <c r="FT327" s="185"/>
      <c r="FU327" s="79" t="str">
        <f>IF(ISERROR((FT327/FR327-1)*100),"NA",IF(((FT327/FR327-1)*100)&gt;100,"NM",IF(((FT327/FR327-1)*100)&lt;-50,"NM",(FT327/FR327-1)*100)))</f>
        <v>NA</v>
      </c>
      <c r="FV327" s="185"/>
      <c r="FW327" s="79" t="str">
        <f>IF(ISERROR((FV327/FT327-1)*100),"NA",IF(((FV327/FT327-1)*100)&gt;100,"NM",IF(((FV327/FT327-1)*100)&lt;-50,"NM",(FV327/FT327-1)*100)))</f>
        <v>NA</v>
      </c>
      <c r="FX327" s="185"/>
      <c r="FY327" s="79" t="str">
        <f>IF(ISERROR((FX327/FV327-1)*100),"NA",IF(((FX327/FV327-1)*100)&gt;100,"NM",IF(((FX327/FV327-1)*100)&lt;-50,"NM",(FX327/FV327-1)*100)))</f>
        <v>NA</v>
      </c>
      <c r="FZ327" s="185"/>
      <c r="GA327" s="79" t="str">
        <f>IF(ISERROR((FZ327/FX327-1)*100),"NA",IF(((FZ327/FX327-1)*100)&gt;100,"NM",IF(((FZ327/FX327-1)*100)&lt;-50,"NM",(FZ327/FX327-1)*100)))</f>
        <v>NA</v>
      </c>
      <c r="GB327" s="185"/>
      <c r="GC327" s="79" t="str">
        <f>IF(ISERROR((GB327/FZ327-1)*100),"NA",IF(((GB327/FZ327-1)*100)&gt;100,"NM",IF(((GB327/FZ327-1)*100)&lt;-50,"NM",(GB327/FZ327-1)*100)))</f>
        <v>NA</v>
      </c>
      <c r="GD327" s="185"/>
      <c r="GE327" s="79" t="str">
        <f>IF(ISERROR((GD327/GB327-1)*100),"NA",IF(((GD327/GB327-1)*100)&gt;100,"NM",IF(((GD327/GB327-1)*100)&lt;-50,"NM",(GD327/GB327-1)*100)))</f>
        <v>NA</v>
      </c>
      <c r="GF327" s="185"/>
      <c r="GG327" s="79" t="str">
        <f>IF(ISERROR((GF327/GD327-1)*100),"NA",IF(((GF327/GD327-1)*100)&gt;100,"NM",IF(((GF327/GD327-1)*100)&lt;-50,"NM",(GF327/GD327-1)*100)))</f>
        <v>NA</v>
      </c>
      <c r="GH327" s="185"/>
      <c r="GI327" s="79" t="str">
        <f>IF(ISERROR((GH327/GF327-1)*100),"NA",IF(((GH327/GF327-1)*100)&gt;100,"NM",IF(((GH327/GF327-1)*100)&lt;-50,"NM",(GH327/GF327-1)*100)))</f>
        <v>NA</v>
      </c>
      <c r="GJ327" s="185"/>
      <c r="GK327" s="79" t="str">
        <f>IF(ISERROR((GJ327/GH327-1)*100),"NA",IF(((GJ327/GH327-1)*100)&gt;100,"NM",IF(((GJ327/GH327-1)*100)&lt;-50,"NM",(GJ327/GH327-1)*100)))</f>
        <v>NA</v>
      </c>
      <c r="GL327" s="185"/>
      <c r="GM327" s="79" t="str">
        <f>IF(ISERROR((GL327/GJ327-1)*100),"NA",IF(((GL327/GJ327-1)*100)&gt;100,"NM",IF(((GL327/GJ327-1)*100)&lt;-50,"NM",(GL327/GJ327-1)*100)))</f>
        <v>NA</v>
      </c>
      <c r="GN327" s="185"/>
      <c r="GO327" s="79" t="str">
        <f>IF(ISERROR((GN327/GL327-1)*100),"NA",IF(((GN327/GL327-1)*100)&gt;100,"NM",IF(((GN327/GL327-1)*100)&lt;-50,"NM",(GN327/GL327-1)*100)))</f>
        <v>NA</v>
      </c>
      <c r="GP327" s="185"/>
      <c r="GQ327" s="79" t="str">
        <f>IF(ISERROR((GP327/GN327-1)*100),"NA",IF(((GP327/GN327-1)*100)&gt;100,"NM",IF(((GP327/GN327-1)*100)&lt;-50,"NM",(GP327/GN327-1)*100)))</f>
        <v>NA</v>
      </c>
      <c r="GR327" s="185"/>
      <c r="GS327" s="79" t="str">
        <f>IF(ISERROR((GR327/GP327-1)*100),"NA",IF(((GR327/GP327-1)*100)&gt;100,"NM",IF(((GR327/GP327-1)*100)&lt;-50,"NM",(GR327/GP327-1)*100)))</f>
        <v>NA</v>
      </c>
      <c r="GT327" s="79"/>
    </row>
    <row r="328" spans="1:286" ht="12.75" hidden="1" customHeight="1" outlineLevel="1" x14ac:dyDescent="0.2">
      <c r="A328" s="1"/>
      <c r="C328" s="79"/>
      <c r="D328" s="79"/>
      <c r="E328" s="95"/>
      <c r="F328" s="95"/>
      <c r="G328" s="95"/>
      <c r="H328" s="95"/>
      <c r="I328" s="95"/>
      <c r="J328" s="95"/>
      <c r="K328" s="95"/>
      <c r="L328" s="79"/>
      <c r="M328" s="95"/>
      <c r="N328" s="79"/>
      <c r="O328" s="95"/>
      <c r="P328" s="79"/>
      <c r="Q328" s="95"/>
      <c r="R328" s="79"/>
      <c r="S328" s="95"/>
      <c r="T328" s="79"/>
      <c r="U328" s="95"/>
      <c r="V328" s="79"/>
      <c r="W328" s="95"/>
      <c r="X328" s="79"/>
      <c r="Y328" s="95"/>
      <c r="Z328" s="79"/>
      <c r="AA328" s="126"/>
      <c r="AB328" s="79"/>
      <c r="AC328" s="95"/>
      <c r="AD328" s="79"/>
      <c r="AE328" s="95"/>
      <c r="AF328" s="79"/>
      <c r="AG328" s="95"/>
      <c r="AH328" s="79"/>
      <c r="AI328" s="95"/>
      <c r="AJ328" s="79"/>
      <c r="AK328" s="95"/>
      <c r="AL328" s="79"/>
      <c r="AM328" s="95"/>
      <c r="AN328" s="79"/>
      <c r="AO328" s="95"/>
      <c r="AP328" s="79"/>
      <c r="AQ328" s="95"/>
      <c r="AR328" s="79"/>
      <c r="AS328" s="95"/>
      <c r="AT328" s="81"/>
      <c r="AU328" s="95"/>
      <c r="AV328" s="81"/>
      <c r="AW328" s="95"/>
      <c r="AX328" s="81"/>
      <c r="AY328" s="95"/>
      <c r="AZ328" s="81"/>
      <c r="BA328" s="95"/>
      <c r="BB328" s="81"/>
      <c r="BC328" s="95"/>
      <c r="BD328" s="81"/>
      <c r="BE328" s="95"/>
      <c r="BF328" s="81"/>
      <c r="BG328" s="95"/>
      <c r="BH328" s="81"/>
      <c r="BI328" s="95"/>
      <c r="BJ328" s="81"/>
      <c r="BK328" s="95"/>
      <c r="BL328" s="81"/>
      <c r="BM328" s="95"/>
      <c r="BN328" s="81"/>
      <c r="BO328" s="95"/>
      <c r="BP328" s="81"/>
      <c r="BQ328" s="95"/>
      <c r="BR328" s="81"/>
      <c r="BS328" s="95"/>
      <c r="BT328" s="81"/>
      <c r="BU328" s="95"/>
      <c r="BV328" s="81"/>
      <c r="BW328" s="95"/>
      <c r="BX328" s="81"/>
      <c r="BY328" s="95"/>
      <c r="BZ328" s="81"/>
      <c r="CA328" s="95"/>
      <c r="CB328" s="81"/>
      <c r="CC328" s="95"/>
      <c r="CD328" s="81"/>
      <c r="CE328" s="95"/>
      <c r="CF328" s="81"/>
      <c r="CG328" s="95"/>
      <c r="CH328" s="81"/>
      <c r="CI328" s="95"/>
      <c r="CJ328" s="81"/>
      <c r="CK328" s="95"/>
      <c r="CL328" s="81"/>
      <c r="CM328" s="95"/>
      <c r="CN328" s="81"/>
      <c r="CO328" s="95"/>
      <c r="CP328" s="81"/>
      <c r="CQ328" s="95"/>
      <c r="CR328" s="81"/>
      <c r="CS328" s="95"/>
      <c r="CT328" s="81"/>
      <c r="CU328" s="95"/>
      <c r="CV328" s="81"/>
      <c r="CW328" s="95"/>
      <c r="CX328" s="81"/>
      <c r="CY328" s="95"/>
      <c r="CZ328" s="81"/>
      <c r="DA328" s="95"/>
      <c r="DB328" s="81"/>
      <c r="DC328" s="95"/>
      <c r="DD328" s="81"/>
      <c r="DE328" s="95"/>
      <c r="DF328" s="81"/>
      <c r="DG328" s="95"/>
      <c r="DH328" s="81"/>
      <c r="DI328" s="95"/>
      <c r="DJ328" s="81"/>
      <c r="DK328" s="95"/>
      <c r="DL328" s="81"/>
      <c r="DM328" s="95"/>
      <c r="DN328" s="81"/>
      <c r="DO328" s="95"/>
      <c r="DP328" s="81"/>
      <c r="DQ328" s="95"/>
      <c r="DR328" s="81"/>
      <c r="DS328" s="95"/>
      <c r="DT328" s="81"/>
      <c r="DU328" s="95"/>
      <c r="DV328" s="81"/>
      <c r="DW328" s="95"/>
      <c r="DX328" s="81"/>
      <c r="DY328" s="95"/>
      <c r="DZ328" s="81"/>
      <c r="EA328" s="95"/>
      <c r="EB328" s="81"/>
      <c r="EC328" s="95"/>
      <c r="ED328" s="81"/>
      <c r="EE328" s="95"/>
      <c r="EF328" s="81"/>
      <c r="EG328" s="95"/>
      <c r="EH328" s="81"/>
      <c r="EI328" s="95"/>
      <c r="EJ328" s="81"/>
      <c r="EK328" s="95"/>
      <c r="EL328" s="81"/>
      <c r="EM328" s="95"/>
      <c r="EN328" s="81"/>
      <c r="EO328" s="95"/>
      <c r="EP328" s="81"/>
      <c r="EQ328" s="95"/>
      <c r="ER328" s="81"/>
      <c r="ES328" s="129"/>
      <c r="ET328" s="469"/>
      <c r="EU328" s="129"/>
      <c r="EV328" s="95"/>
      <c r="EW328" s="79"/>
      <c r="EX328" s="95"/>
      <c r="EY328" s="79"/>
      <c r="EZ328" s="145"/>
      <c r="FA328" s="79"/>
      <c r="FB328" s="35"/>
      <c r="FC328" s="79"/>
      <c r="FD328" s="145"/>
      <c r="FE328" s="79"/>
      <c r="FF328" s="145"/>
      <c r="FG328" s="79"/>
      <c r="FH328" s="145"/>
      <c r="FI328" s="79"/>
      <c r="FJ328" s="145"/>
      <c r="FK328" s="79"/>
      <c r="FL328" s="179"/>
      <c r="FM328" s="79"/>
      <c r="FN328" s="179"/>
      <c r="FO328" s="79"/>
      <c r="FP328" s="179"/>
      <c r="FQ328" s="79"/>
      <c r="FR328" s="95"/>
      <c r="FS328" s="79"/>
      <c r="FT328" s="95"/>
      <c r="FU328" s="79"/>
      <c r="FV328" s="95"/>
      <c r="FW328" s="79"/>
      <c r="FX328" s="95"/>
      <c r="FY328" s="79"/>
      <c r="FZ328" s="95"/>
      <c r="GA328" s="79"/>
      <c r="GB328" s="95"/>
      <c r="GC328" s="79"/>
      <c r="GD328" s="95"/>
      <c r="GE328" s="79"/>
      <c r="GF328" s="95"/>
      <c r="GG328" s="79"/>
      <c r="GH328" s="95"/>
      <c r="GI328" s="79"/>
      <c r="GJ328" s="95"/>
      <c r="GK328" s="79"/>
      <c r="GL328" s="95"/>
      <c r="GM328" s="79"/>
      <c r="GN328" s="95"/>
      <c r="GO328" s="79"/>
      <c r="GP328" s="95"/>
      <c r="GQ328" s="79"/>
      <c r="GR328" s="95"/>
      <c r="GS328" s="79"/>
      <c r="GT328" s="79"/>
    </row>
    <row r="329" spans="1:286" s="83" customFormat="1" ht="12.75" hidden="1" customHeight="1" outlineLevel="1" x14ac:dyDescent="0.2">
      <c r="A329" s="77" t="s">
        <v>376</v>
      </c>
      <c r="B329" s="83" t="s">
        <v>453</v>
      </c>
      <c r="C329" s="79"/>
      <c r="D329" s="79"/>
      <c r="E329" s="242">
        <f>E316-E323</f>
        <v>13.900000000000006</v>
      </c>
      <c r="F329" s="242"/>
      <c r="G329" s="242">
        <f>G316-G323</f>
        <v>20.199999999999989</v>
      </c>
      <c r="H329" s="243"/>
      <c r="I329" s="242">
        <f>I316-I323</f>
        <v>16.800000000000011</v>
      </c>
      <c r="J329" s="242"/>
      <c r="K329" s="242">
        <f>K316-K323</f>
        <v>16.100000000000009</v>
      </c>
      <c r="L329" s="79"/>
      <c r="M329" s="242">
        <f>M316-M323</f>
        <v>13.700000000000003</v>
      </c>
      <c r="N329" s="79">
        <f>IF(ISERROR((M329/E329-1)*100),"NA",IF(((M329/E329-1)*100)&gt;100,"NM",IF(((M329/E329-1)*100)&lt;-50,"NM",(M329/E329-1)*100)))</f>
        <v>-1.4388489208633337</v>
      </c>
      <c r="O329" s="242">
        <f>O316-O323</f>
        <v>19.999999999999986</v>
      </c>
      <c r="P329" s="79">
        <f>IF(ISERROR((O329/G329-1)*100),"NA",IF(((O329/G329-1)*100)&gt;100,"NM",IF(((O329/G329-1)*100)&lt;-50,"NM",(O329/G329-1)*100)))</f>
        <v>-0.99009900990100208</v>
      </c>
      <c r="Q329" s="242">
        <f>Q316-Q323</f>
        <v>16.400000000000006</v>
      </c>
      <c r="R329" s="79">
        <f>IF(ISERROR((Q329/I329-1)*100),"NA",IF(((Q329/I329-1)*100)&gt;100,"NM",IF(((Q329/I329-1)*100)&lt;-50,"NM",(Q329/I329-1)*100)))</f>
        <v>-2.3809523809524169</v>
      </c>
      <c r="S329" s="242">
        <f>S316-S323</f>
        <v>14.199999999999989</v>
      </c>
      <c r="T329" s="79">
        <f>IF(ISERROR((S329/K329-1)*100),"NA",IF(((S329/K329-1)*100)&gt;100,"NM",IF(((S329/K329-1)*100)&lt;-50,"NM",(S329/K329-1)*100)))</f>
        <v>-11.801242236024967</v>
      </c>
      <c r="U329" s="242">
        <f>U316-U323</f>
        <v>15.599999999999994</v>
      </c>
      <c r="V329" s="79">
        <f>IF(ISERROR((U329/M329-1)*100),"NA",IF(((U329/M329-1)*100)&gt;100,"NM",IF(((U329/M329-1)*100)&lt;-50,"NM",(U329/M329-1)*100)))</f>
        <v>13.868613138686058</v>
      </c>
      <c r="W329" s="242">
        <f>W316-W323</f>
        <v>11.600000000000009</v>
      </c>
      <c r="X329" s="79">
        <f>IF(ISERROR((W329/O329-1)*100),"NA",IF(((W329/O329-1)*100)&gt;100,"NM",IF(((W329/O329-1)*100)&lt;-50,"NM",(W329/O329-1)*100)))</f>
        <v>-41.999999999999915</v>
      </c>
      <c r="Y329" s="242">
        <f>Y316-Y323</f>
        <v>13</v>
      </c>
      <c r="Z329" s="79">
        <f>IF(ISERROR((Y329/Q329-1)*100),"NA",IF(((Y329/Q329-1)*100)&gt;100,"NM",IF(((Y329/Q329-1)*100)&lt;-50,"NM",(Y329/Q329-1)*100)))</f>
        <v>-20.731707317073202</v>
      </c>
      <c r="AA329" s="244">
        <f>AA316-AA323</f>
        <v>1.8999999999999915</v>
      </c>
      <c r="AB329" s="79" t="str">
        <f>IF(ISERROR((AA329/S329-1)*100),"NA",IF(((AA329/S329-1)*100)&gt;100,"NM",IF(((AA329/S329-1)*100)&lt;-50,"NM",(AA329/S329-1)*100)))</f>
        <v>NM</v>
      </c>
      <c r="AC329" s="242">
        <f>AC316-AC323</f>
        <v>10.800000000000011</v>
      </c>
      <c r="AD329" s="79">
        <f>IF(ISERROR((AC329/U329-1)*100),"NA",IF(((AC329/U329-1)*100)&gt;100,"NM",IF(((AC329/U329-1)*100)&lt;-50,"NM",(AC329/U329-1)*100)))</f>
        <v>-30.769230769230671</v>
      </c>
      <c r="AE329" s="242">
        <f>AE316-AE323</f>
        <v>14.599999999999994</v>
      </c>
      <c r="AF329" s="79">
        <f>IF(ISERROR((AE329/W329-1)*100),"NA",IF(((AE329/W329-1)*100)&gt;100,"NM",IF(((AE329/W329-1)*100)&lt;-50,"NM",(AE329/W329-1)*100)))</f>
        <v>25.862068965517103</v>
      </c>
      <c r="AG329" s="242">
        <f>AG316-AG323</f>
        <v>11.699999999999989</v>
      </c>
      <c r="AH329" s="79">
        <f>IF(ISERROR((AG329/Y329-1)*100),"NA",IF(((AG329/Y329-1)*100)&gt;100,"NM",IF(((AG329/Y329-1)*100)&lt;-50,"NM",(AG329/Y329-1)*100)))</f>
        <v>-10.000000000000087</v>
      </c>
      <c r="AI329" s="242">
        <f>AI316-AI323</f>
        <v>8.3000000000000114</v>
      </c>
      <c r="AJ329" s="79" t="str">
        <f>IF(ISERROR((AI329/AA329-1)*100),"NA",IF(((AI329/AA329-1)*100)&gt;100,"NM",IF(((AI329/AA329-1)*100)&lt;-50,"NM",(AI329/AA329-1)*100)))</f>
        <v>NM</v>
      </c>
      <c r="AK329" s="242">
        <f>AK316-AK323</f>
        <v>9.3000000000000114</v>
      </c>
      <c r="AL329" s="79">
        <f>IF(ISERROR((AK329/AC329-1)*100),"NA",IF(((AK329/AC329-1)*100)&gt;100,"NM",IF(((AK329/AC329-1)*100)&lt;-50,"NM",(AK329/AC329-1)*100)))</f>
        <v>-13.888888888888873</v>
      </c>
      <c r="AM329" s="242">
        <f>AM316-AM323</f>
        <v>13.900000000000006</v>
      </c>
      <c r="AN329" s="79">
        <f>IF(ISERROR((AM329/AE329-1)*100),"NA",IF(((AM329/AE329-1)*100)&gt;100,"NM",IF(((AM329/AE329-1)*100)&lt;-50,"NM",(AM329/AE329-1)*100)))</f>
        <v>-4.7945205479451243</v>
      </c>
      <c r="AO329" s="242">
        <f>AO316-AO323</f>
        <v>13.600000000000009</v>
      </c>
      <c r="AP329" s="79">
        <f>IF(ISERROR((AO329/AG329-1)*100),"NA",IF(((AO329/AG329-1)*100)&gt;100,"NM",IF(((AO329/AG329-1)*100)&lt;-50,"NM",(AO329/AG329-1)*100)))</f>
        <v>16.239316239316427</v>
      </c>
      <c r="AQ329" s="242">
        <f>AQ316-AQ323</f>
        <v>4.7000000000000028</v>
      </c>
      <c r="AR329" s="79">
        <f>IF(ISERROR((AQ329/AI329-1)*100),"NA",IF(((AQ329/AI329-1)*100)&gt;100,"NM",IF(((AQ329/AI329-1)*100)&lt;-50,"NM",(AQ329/AI329-1)*100)))</f>
        <v>-43.373493975903656</v>
      </c>
      <c r="AS329" s="242">
        <f>AS316-AS323</f>
        <v>4.8000000000000043</v>
      </c>
      <c r="AT329" s="81">
        <f>IF(ISERROR((AS329/AK329-1)*100),"NA",IF(((AS329/AK329-1)*100)&gt;100,"NM",IF(((AS329/AK329-1)*100)&lt;-50,"NM",(AS329/AK329-1)*100)))</f>
        <v>-48.387096774193559</v>
      </c>
      <c r="AU329" s="242">
        <f>AU316-AU323</f>
        <v>8.6999999999999886</v>
      </c>
      <c r="AV329" s="81">
        <f>IF(ISERROR((AU329/AM329-1)*100),"NA",IF(((AU329/AM329-1)*100)&gt;100,"NM",IF(((AU329/AM329-1)*100)&lt;-50,"NM",(AU329/AM329-1)*100)))</f>
        <v>-37.410071942446152</v>
      </c>
      <c r="AW329" s="242">
        <f>AW316-AW323</f>
        <v>10.599999999999994</v>
      </c>
      <c r="AX329" s="81">
        <f>IF(ISERROR((AW329/AO329-1)*100),"NA",IF(((AW329/AO329-1)*100)&gt;100,"NM",IF(((AW329/AO329-1)*100)&lt;-50,"NM",(AW329/AO329-1)*100)))</f>
        <v>-22.058823529411853</v>
      </c>
      <c r="AY329" s="243">
        <f>AY316-AY323</f>
        <v>6.4000000000000057</v>
      </c>
      <c r="AZ329" s="81">
        <f>IF(ISERROR((AY329/AQ329-1)*100),"NA",IF(((AY329/AQ329-1)*100)&gt;100,"NM",IF(((AY329/AQ329-1)*100)&lt;-50,"NM",(AY329/AQ329-1)*100)))</f>
        <v>36.170212765957487</v>
      </c>
      <c r="BA329" s="243">
        <f>BA316-BA323</f>
        <v>3.6000000000000014</v>
      </c>
      <c r="BB329" s="81">
        <f>IF(ISERROR((BA329/AS329-1)*100),"NA",IF(((BA329/AS329-1)*100)&gt;100,"NM",IF(((BA329/AS329-1)*100)&lt;-50,"NM",(BA329/AS329-1)*100)))</f>
        <v>-25.000000000000032</v>
      </c>
      <c r="BC329" s="242">
        <f>BC316-BC323</f>
        <v>3.9999999999999964</v>
      </c>
      <c r="BD329" s="81" t="str">
        <f>IF(ISERROR((BC329/AU329-1)*100),"NA",IF(((BC329/AU329-1)*100)&gt;100,"NM",IF(((BC329/AU329-1)*100)&lt;-50,"NM",(BC329/AU329-1)*100)))</f>
        <v>NM</v>
      </c>
      <c r="BE329" s="242">
        <f>BE316-BE323</f>
        <v>3.600000000000005</v>
      </c>
      <c r="BF329" s="81" t="str">
        <f>IF(ISERROR((BE329/AW329-1)*100),"NA",IF(((BE329/AW329-1)*100)&gt;100,"NM",IF(((BE329/AW329-1)*100)&lt;-50,"NM",(BE329/AW329-1)*100)))</f>
        <v>NM</v>
      </c>
      <c r="BG329" s="242">
        <f>BG316-BG323</f>
        <v>6.2999999999999972</v>
      </c>
      <c r="BH329" s="81">
        <f>IF(ISERROR((BG329/AY329-1)*100),"NA",IF(((BG329/AY329-1)*100)&gt;100,"NM",IF(((BG329/AY329-1)*100)&lt;-50,"NM",(BG329/AY329-1)*100)))</f>
        <v>-1.5625000000001332</v>
      </c>
      <c r="BI329" s="242">
        <f>BI316-BI323</f>
        <v>3.899999999999995</v>
      </c>
      <c r="BJ329" s="81">
        <f>IF(ISERROR((BI329/BA329-1)*100),"NA",IF(((BI329/BA329-1)*100)&gt;100,"NM",IF(((BI329/BA329-1)*100)&lt;-50,"NM",(BI329/BA329-1)*100)))</f>
        <v>8.3333333333331474</v>
      </c>
      <c r="BK329" s="242">
        <f>BK316-BK323</f>
        <v>3.399999999999995</v>
      </c>
      <c r="BL329" s="81">
        <f>IF(ISERROR((BK329/BC329-1)*100),"NA",IF(((BK329/BC329-1)*100)&gt;100,"NM",IF(((BK329/BC329-1)*100)&lt;-50,"NM",(BK329/BC329-1)*100)))</f>
        <v>-15.000000000000046</v>
      </c>
      <c r="BM329" s="242">
        <f>BM316-BM323</f>
        <v>3.4999999999999964</v>
      </c>
      <c r="BN329" s="81"/>
      <c r="BO329" s="242"/>
      <c r="BP329" s="81"/>
      <c r="BQ329" s="242"/>
      <c r="BR329" s="81"/>
      <c r="BS329" s="242"/>
      <c r="BT329" s="81"/>
      <c r="BU329" s="242"/>
      <c r="BV329" s="81"/>
      <c r="BW329" s="242"/>
      <c r="BX329" s="81"/>
      <c r="BY329" s="242"/>
      <c r="BZ329" s="81"/>
      <c r="CA329" s="242"/>
      <c r="CB329" s="81"/>
      <c r="CC329" s="242"/>
      <c r="CD329" s="81"/>
      <c r="CE329" s="242"/>
      <c r="CF329" s="81"/>
      <c r="CG329" s="242"/>
      <c r="CH329" s="81"/>
      <c r="CI329" s="242"/>
      <c r="CJ329" s="81"/>
      <c r="CK329" s="242"/>
      <c r="CL329" s="81"/>
      <c r="CM329" s="242"/>
      <c r="CN329" s="81"/>
      <c r="CO329" s="242"/>
      <c r="CP329" s="81"/>
      <c r="CQ329" s="242"/>
      <c r="CR329" s="81"/>
      <c r="CS329" s="242"/>
      <c r="CT329" s="81"/>
      <c r="CU329" s="242"/>
      <c r="CV329" s="81"/>
      <c r="CW329" s="242"/>
      <c r="CX329" s="81"/>
      <c r="CY329" s="242"/>
      <c r="CZ329" s="81"/>
      <c r="DA329" s="242"/>
      <c r="DB329" s="81"/>
      <c r="DC329" s="242"/>
      <c r="DD329" s="81"/>
      <c r="DE329" s="242"/>
      <c r="DF329" s="81"/>
      <c r="DG329" s="242"/>
      <c r="DH329" s="81"/>
      <c r="DI329" s="242"/>
      <c r="DJ329" s="81"/>
      <c r="DK329" s="242"/>
      <c r="DL329" s="81"/>
      <c r="DM329" s="242"/>
      <c r="DN329" s="81"/>
      <c r="DO329" s="242"/>
      <c r="DP329" s="81"/>
      <c r="DQ329" s="242"/>
      <c r="DR329" s="81"/>
      <c r="DS329" s="242"/>
      <c r="DT329" s="81"/>
      <c r="DU329" s="242"/>
      <c r="DV329" s="81"/>
      <c r="DW329" s="242"/>
      <c r="DX329" s="81"/>
      <c r="DY329" s="242"/>
      <c r="DZ329" s="81"/>
      <c r="EA329" s="242"/>
      <c r="EB329" s="81"/>
      <c r="EC329" s="242"/>
      <c r="ED329" s="81"/>
      <c r="EE329" s="242"/>
      <c r="EF329" s="81"/>
      <c r="EG329" s="242"/>
      <c r="EH329" s="81"/>
      <c r="EI329" s="242"/>
      <c r="EJ329" s="81"/>
      <c r="EK329" s="242"/>
      <c r="EL329" s="81"/>
      <c r="EM329" s="242"/>
      <c r="EN329" s="81"/>
      <c r="EO329" s="242"/>
      <c r="EP329" s="81"/>
      <c r="EQ329" s="242"/>
      <c r="ER329" s="81"/>
      <c r="ES329" s="95"/>
      <c r="ET329" s="471"/>
      <c r="EU329" s="95"/>
      <c r="EV329" s="242"/>
      <c r="EW329" s="146"/>
      <c r="EX329" s="242"/>
      <c r="EY329" s="146"/>
      <c r="EZ329" s="242"/>
      <c r="FA329" s="146"/>
      <c r="FB329" s="242">
        <f>FB316-FB323</f>
        <v>67</v>
      </c>
      <c r="FC329" s="146" t="str">
        <f>IF(ISERROR((FB329/EZ329-1)*100),"NA",IF(((FB329/EZ329-1)*100)&gt;100,"NM",IF(((FB329/EZ329-1)*100)&lt;-50,"NM",(FB329/EZ329-1)*100)))</f>
        <v>NA</v>
      </c>
      <c r="FD329" s="242">
        <f>FD316-FD323</f>
        <v>64.300000000000011</v>
      </c>
      <c r="FE329" s="146">
        <f>IF(ISERROR((FD329/FB329-1)*100),"NA",IF(((FD329/FB329-1)*100)&gt;100,"NM",IF(((FD329/FB329-1)*100)&lt;-50,"NM",(FD329/FB329-1)*100)))</f>
        <v>-4.0298507462686377</v>
      </c>
      <c r="FF329" s="242">
        <f>FF316-FF323</f>
        <v>42.099999999999966</v>
      </c>
      <c r="FG329" s="146">
        <f>IF(ISERROR((FF329/FD329-1)*100),"NA",IF(((FF329/FD329-1)*100)&gt;100,"NM",IF(((FF329/FD329-1)*100)&lt;-50,"NM",(FF329/FD329-1)*100)))</f>
        <v>-34.525660964230234</v>
      </c>
      <c r="FH329" s="242">
        <f>FH316-FH323</f>
        <v>45.400000000000034</v>
      </c>
      <c r="FI329" s="146">
        <f>IF(ISERROR((FH329/FF329-1)*100),"NA",IF(((FH329/FF329-1)*100)&gt;100,"NM",IF(((FH329/FF329-1)*100)&lt;-50,"NM",(FH329/FF329-1)*100)))</f>
        <v>7.8384798099764064</v>
      </c>
      <c r="FJ329" s="242">
        <f>FJ316-FJ323</f>
        <v>41.5</v>
      </c>
      <c r="FK329" s="146">
        <f>IF(ISERROR((FJ329/FH329-1)*100),"NA",IF(((FJ329/FH329-1)*100)&gt;100,"NM",IF(((FJ329/FH329-1)*100)&lt;-50,"NM",(FJ329/FH329-1)*100)))</f>
        <v>-8.5903083700441201</v>
      </c>
      <c r="FL329" s="242">
        <f>FL316-FL323</f>
        <v>30.499999999999972</v>
      </c>
      <c r="FM329" s="146">
        <f>IF(ISERROR((FL329/FJ329-1)*100),"NA",IF(((FL329/FJ329-1)*100)&gt;100,"NM",IF(((FL329/FJ329-1)*100)&lt;-50,"NM",(FL329/FJ329-1)*100)))</f>
        <v>-26.506024096385605</v>
      </c>
      <c r="FN329" s="242">
        <f>FN316-FN323</f>
        <v>17.499999999999986</v>
      </c>
      <c r="FO329" s="146">
        <f>IF(ISERROR((FN329/FL329-1)*100),"NA",IF(((FN329/FL329-1)*100)&gt;100,"NM",IF(((FN329/FL329-1)*100)&lt;-50,"NM",(FN329/FL329-1)*100)))</f>
        <v>-42.62295081967212</v>
      </c>
      <c r="FP329" s="242">
        <f>FP316-FP323</f>
        <v>10.799999999999983</v>
      </c>
      <c r="FQ329" s="146">
        <f>IF(ISERROR((FP329/FN329-1)*100),"NA",IF(((FP329/FN329-1)*100)&gt;100,"NM",IF(((FP329/FN329-1)*100)&lt;-50,"NM",(FP329/FN329-1)*100)))</f>
        <v>-38.285714285714334</v>
      </c>
      <c r="FR329" s="242"/>
      <c r="FS329" s="146" t="str">
        <f>IF(ISERROR((FR329/FP329-1)*100),"NA",IF(((FR329/FP329-1)*100)&gt;100,"NM",IF(((FR329/FP329-1)*100)&lt;-50,"NM",(FR329/FP329-1)*100)))</f>
        <v>NM</v>
      </c>
      <c r="FT329" s="242"/>
      <c r="FU329" s="146" t="str">
        <f>IF(ISERROR((FT329/FR329-1)*100),"NA",IF(((FT329/FR329-1)*100)&gt;100,"NM",IF(((FT329/FR329-1)*100)&lt;-50,"NM",(FT329/FR329-1)*100)))</f>
        <v>NA</v>
      </c>
      <c r="FV329" s="242"/>
      <c r="FW329" s="146" t="str">
        <f>IF(ISERROR((FV329/FT329-1)*100),"NA",IF(((FV329/FT329-1)*100)&gt;100,"NM",IF(((FV329/FT329-1)*100)&lt;-50,"NM",(FV329/FT329-1)*100)))</f>
        <v>NA</v>
      </c>
      <c r="FX329" s="242"/>
      <c r="FY329" s="146" t="str">
        <f>IF(ISERROR((FX329/FV329-1)*100),"NA",IF(((FX329/FV329-1)*100)&gt;100,"NM",IF(((FX329/FV329-1)*100)&lt;-50,"NM",(FX329/FV329-1)*100)))</f>
        <v>NA</v>
      </c>
      <c r="FZ329" s="242"/>
      <c r="GA329" s="146" t="str">
        <f>IF(ISERROR((FZ329/FX329-1)*100),"NA",IF(((FZ329/FX329-1)*100)&gt;100,"NM",IF(((FZ329/FX329-1)*100)&lt;-50,"NM",(FZ329/FX329-1)*100)))</f>
        <v>NA</v>
      </c>
      <c r="GB329" s="242"/>
      <c r="GC329" s="146" t="str">
        <f>IF(ISERROR((GB329/FZ329-1)*100),"NA",IF(((GB329/FZ329-1)*100)&gt;100,"NM",IF(((GB329/FZ329-1)*100)&lt;-50,"NM",(GB329/FZ329-1)*100)))</f>
        <v>NA</v>
      </c>
      <c r="GD329" s="242"/>
      <c r="GE329" s="146" t="str">
        <f>IF(ISERROR((GD329/GB329-1)*100),"NA",IF(((GD329/GB329-1)*100)&gt;100,"NM",IF(((GD329/GB329-1)*100)&lt;-50,"NM",(GD329/GB329-1)*100)))</f>
        <v>NA</v>
      </c>
      <c r="GF329" s="242"/>
      <c r="GG329" s="146" t="str">
        <f>IF(ISERROR((GF329/GD329-1)*100),"NA",IF(((GF329/GD329-1)*100)&gt;100,"NM",IF(((GF329/GD329-1)*100)&lt;-50,"NM",(GF329/GD329-1)*100)))</f>
        <v>NA</v>
      </c>
      <c r="GH329" s="242"/>
      <c r="GI329" s="146" t="str">
        <f>IF(ISERROR((GH329/GF329-1)*100),"NA",IF(((GH329/GF329-1)*100)&gt;100,"NM",IF(((GH329/GF329-1)*100)&lt;-50,"NM",(GH329/GF329-1)*100)))</f>
        <v>NA</v>
      </c>
      <c r="GJ329" s="242"/>
      <c r="GK329" s="146" t="str">
        <f>IF(ISERROR((GJ329/GH329-1)*100),"NA",IF(((GJ329/GH329-1)*100)&gt;100,"NM",IF(((GJ329/GH329-1)*100)&lt;-50,"NM",(GJ329/GH329-1)*100)))</f>
        <v>NA</v>
      </c>
      <c r="GL329" s="242"/>
      <c r="GM329" s="146" t="str">
        <f>IF(ISERROR((GL329/GJ329-1)*100),"NA",IF(((GL329/GJ329-1)*100)&gt;100,"NM",IF(((GL329/GJ329-1)*100)&lt;-50,"NM",(GL329/GJ329-1)*100)))</f>
        <v>NA</v>
      </c>
      <c r="GN329" s="242"/>
      <c r="GO329" s="146" t="str">
        <f>IF(ISERROR((GN329/GL329-1)*100),"NA",IF(((GN329/GL329-1)*100)&gt;100,"NM",IF(((GN329/GL329-1)*100)&lt;-50,"NM",(GN329/GL329-1)*100)))</f>
        <v>NA</v>
      </c>
      <c r="GP329" s="242"/>
      <c r="GQ329" s="146" t="str">
        <f>IF(ISERROR((GP329/GN329-1)*100),"NA",IF(((GP329/GN329-1)*100)&gt;100,"NM",IF(((GP329/GN329-1)*100)&lt;-50,"NM",(GP329/GN329-1)*100)))</f>
        <v>NA</v>
      </c>
      <c r="GR329" s="242"/>
      <c r="GS329" s="146" t="str">
        <f>IF(ISERROR((GR329/GP329-1)*100),"NA",IF(((GR329/GP329-1)*100)&gt;100,"NM",IF(((GR329/GP329-1)*100)&lt;-50,"NM",(GR329/GP329-1)*100)))</f>
        <v>NA</v>
      </c>
      <c r="GT329" s="79"/>
      <c r="GU329" s="562"/>
      <c r="GV329" s="562"/>
      <c r="GW329"/>
      <c r="GX329"/>
      <c r="GY329"/>
      <c r="GZ329"/>
      <c r="HA329"/>
      <c r="HB329"/>
      <c r="HC329" s="562"/>
      <c r="HD329" s="562"/>
      <c r="HE329" s="562"/>
      <c r="HF329" s="562"/>
      <c r="HG329" s="562"/>
      <c r="HH329" s="562"/>
      <c r="HI329" s="562"/>
      <c r="HJ329" s="562"/>
      <c r="HK329" s="562"/>
      <c r="HL329" s="562"/>
      <c r="HM329" s="562"/>
      <c r="HN329" s="562"/>
      <c r="HO329" s="562"/>
      <c r="HP329" s="562"/>
      <c r="HQ329" s="562"/>
      <c r="HR329" s="562"/>
      <c r="HS329" s="562"/>
      <c r="HT329" s="562"/>
      <c r="HU329" s="562"/>
      <c r="HV329" s="562"/>
      <c r="HW329" s="562"/>
      <c r="HX329" s="562"/>
      <c r="HY329" s="562"/>
      <c r="HZ329" s="562"/>
      <c r="IA329" s="562"/>
      <c r="IB329" s="562"/>
      <c r="IC329" s="562"/>
      <c r="ID329" s="562"/>
      <c r="IE329" s="562"/>
      <c r="IF329" s="562"/>
      <c r="IG329" s="562"/>
      <c r="IH329" s="562"/>
      <c r="II329" s="562"/>
      <c r="IJ329" s="562"/>
      <c r="IK329" s="562"/>
      <c r="IL329" s="562"/>
      <c r="IM329" s="562"/>
      <c r="IN329" s="562"/>
      <c r="IO329" s="562"/>
      <c r="IP329" s="562"/>
      <c r="IQ329" s="562"/>
      <c r="IR329" s="562"/>
      <c r="IS329" s="562"/>
      <c r="IT329" s="562"/>
      <c r="IU329" s="562"/>
      <c r="IV329" s="562"/>
      <c r="IW329" s="562"/>
      <c r="IX329" s="562"/>
      <c r="IY329" s="562"/>
      <c r="IZ329" s="562"/>
      <c r="JA329" s="562"/>
      <c r="JB329" s="562"/>
      <c r="JC329" s="562"/>
      <c r="JD329" s="562"/>
      <c r="JE329" s="562"/>
      <c r="JF329" s="562"/>
      <c r="JG329" s="562"/>
      <c r="JH329" s="562"/>
      <c r="JI329" s="562"/>
      <c r="JJ329" s="562"/>
      <c r="JK329" s="562"/>
      <c r="JL329" s="562"/>
      <c r="JM329" s="562"/>
      <c r="JN329" s="562"/>
      <c r="JO329" s="562"/>
      <c r="JP329" s="562"/>
      <c r="JQ329" s="562"/>
      <c r="JR329" s="562"/>
      <c r="JS329" s="562"/>
      <c r="JT329" s="562"/>
      <c r="JU329" s="562"/>
      <c r="JV329" s="562"/>
      <c r="JW329" s="562"/>
      <c r="JX329" s="562"/>
      <c r="JY329" s="562"/>
      <c r="JZ329" s="562"/>
    </row>
    <row r="330" spans="1:286" ht="12.75" hidden="1" customHeight="1" outlineLevel="1" x14ac:dyDescent="0.2">
      <c r="A330" s="1"/>
      <c r="B330" s="10" t="s">
        <v>55</v>
      </c>
      <c r="C330" s="79"/>
      <c r="D330" s="79"/>
      <c r="E330" s="283">
        <f>+E329/E316*100</f>
        <v>9.632709632709636</v>
      </c>
      <c r="F330" s="283"/>
      <c r="G330" s="283">
        <f>+G329/G316*100</f>
        <v>13.816689466484261</v>
      </c>
      <c r="H330" s="283"/>
      <c r="I330" s="283">
        <f>+I329/I316*100</f>
        <v>12.444444444444452</v>
      </c>
      <c r="J330" s="283"/>
      <c r="K330" s="283">
        <f>+K329/K316*100</f>
        <v>22.486033519553082</v>
      </c>
      <c r="L330" s="79"/>
      <c r="M330" s="283">
        <f>+M329/M316*100</f>
        <v>13.249516441005804</v>
      </c>
      <c r="N330" s="79">
        <f>IF(ISERROR((M330/E330-1)*100),"NA",IF(((M330/E330-1)*100)&gt;100,"NM",IF(((M330/E330-1)*100)&lt;-50,"NM",(M330/E330-1)*100)))</f>
        <v>37.547138304829986</v>
      </c>
      <c r="O330" s="283">
        <f>+O329/O316*100</f>
        <v>19.286403085824482</v>
      </c>
      <c r="P330" s="79">
        <f>IF(ISERROR((O330/G330-1)*100),"NA",IF(((O330/G330-1)*100)&gt;100,"NM",IF(((O330/G330-1)*100)&lt;-50,"NM",(O330/G330-1)*100)))</f>
        <v>39.587729264729731</v>
      </c>
      <c r="Q330" s="283">
        <f>+Q329/Q316*100</f>
        <v>15.619047619047624</v>
      </c>
      <c r="R330" s="79">
        <f>IF(ISERROR((Q330/I330-1)*100),"NA",IF(((Q330/I330-1)*100)&gt;100,"NM",IF(((Q330/I330-1)*100)&lt;-50,"NM",(Q330/I330-1)*100)))</f>
        <v>25.510204081632626</v>
      </c>
      <c r="S330" s="283">
        <f>+S329/S316*100</f>
        <v>15.106382978723392</v>
      </c>
      <c r="T330" s="79">
        <f>IF(ISERROR((S330/K330-1)*100),"NA",IF(((S330/K330-1)*100)&gt;100,"NM",IF(((S330/K330-1)*100)&lt;-50,"NM",(S330/K330-1)*100)))</f>
        <v>-32.818818554248793</v>
      </c>
      <c r="U330" s="283">
        <f>+U329/U316*100</f>
        <v>15.584415584415579</v>
      </c>
      <c r="V330" s="79">
        <f>IF(ISERROR((U330/M330-1)*100),"NA",IF(((U330/M330-1)*100)&gt;100,"NM",IF(((U330/M330-1)*100)&lt;-50,"NM",(U330/M330-1)*100)))</f>
        <v>17.622523461939466</v>
      </c>
      <c r="W330" s="283">
        <f>+W329/W316*100</f>
        <v>11.788617886178871</v>
      </c>
      <c r="X330" s="79">
        <f>IF(ISERROR((W330/O330-1)*100),"NA",IF(((W330/O330-1)*100)&gt;100,"NM",IF(((W330/O330-1)*100)&lt;-50,"NM",(W330/O330-1)*100)))</f>
        <v>-38.876016260162515</v>
      </c>
      <c r="Y330" s="283">
        <f>+Y329/Y316*100</f>
        <v>13.829787234042554</v>
      </c>
      <c r="Z330" s="79">
        <f>IF(ISERROR((Y330/Q330-1)*100),"NA",IF(((Y330/Q330-1)*100)&gt;100,"NM",IF(((Y330/Q330-1)*100)&lt;-50,"NM",(Y330/Q330-1)*100)))</f>
        <v>-11.455630513751968</v>
      </c>
      <c r="AA330" s="284">
        <f>+AA329/AA316*100</f>
        <v>2.2016222479721801</v>
      </c>
      <c r="AB330" s="79" t="str">
        <f>IF(ISERROR((AA330/S330-1)*100),"NA",IF(((AA330/S330-1)*100)&gt;100,"NM",IF(((AA330/S330-1)*100)&lt;-50,"NM",(AA330/S330-1)*100)))</f>
        <v>NM</v>
      </c>
      <c r="AC330" s="283">
        <f>+AC329/AC316*100</f>
        <v>11.157024793388439</v>
      </c>
      <c r="AD330" s="79">
        <f>IF(ISERROR((AC330/U330-1)*100),"NA",IF(((AC330/U330-1)*100)&gt;100,"NM",IF(((AC330/U330-1)*100)&lt;-50,"NM",(AC330/U330-1)*100)))</f>
        <v>-28.409090909090828</v>
      </c>
      <c r="AE330" s="283">
        <f>+AE329/AE316*100</f>
        <v>16.666666666666661</v>
      </c>
      <c r="AF330" s="79">
        <f>IF(ISERROR((AE330/W330-1)*100),"NA",IF(((AE330/W330-1)*100)&gt;100,"NM",IF(((AE330/W330-1)*100)&lt;-50,"NM",(AE330/W330-1)*100)))</f>
        <v>41.379310344827424</v>
      </c>
      <c r="AG330" s="283">
        <f>+AG329/AG316*100</f>
        <v>12.302839116719232</v>
      </c>
      <c r="AH330" s="79">
        <f>IF(ISERROR((AG330/Y330-1)*100),"NA",IF(((AG330/Y330-1)*100)&gt;100,"NM",IF(((AG330/Y330-1)*100)&lt;-50,"NM",(AG330/Y330-1)*100)))</f>
        <v>-11.041009463722485</v>
      </c>
      <c r="AI330" s="283">
        <f>+AI329/AI316*100</f>
        <v>9.4965675057208365</v>
      </c>
      <c r="AJ330" s="79" t="str">
        <f>IF(ISERROR((AI330/AA330-1)*100),"NA",IF(((AI330/AA330-1)*100)&gt;100,"NM",IF(((AI330/AA330-1)*100)&lt;-50,"NM",(AI330/AA330-1)*100)))</f>
        <v>NM</v>
      </c>
      <c r="AK330" s="283">
        <f>+AK329/AK316*100</f>
        <v>11.204819277108449</v>
      </c>
      <c r="AL330" s="79">
        <f>IF(ISERROR((AK330/AC330-1)*100),"NA",IF(((AK330/AC330-1)*100)&gt;100,"NM",IF(((AK330/AC330-1)*100)&lt;-50,"NM",(AK330/AC330-1)*100)))</f>
        <v>0.42838018741637729</v>
      </c>
      <c r="AM330" s="283">
        <f>+AM329/AM316*100</f>
        <v>15.995397008055242</v>
      </c>
      <c r="AN330" s="79">
        <f>IF(ISERROR((AM330/AE330-1)*100),"NA",IF(((AM330/AE330-1)*100)&gt;100,"NM",IF(((AM330/AE330-1)*100)&lt;-50,"NM",(AM330/AE330-1)*100)))</f>
        <v>-4.0276179516685158</v>
      </c>
      <c r="AO330" s="283">
        <f>+AO329/AO316*100</f>
        <v>16.687116564417188</v>
      </c>
      <c r="AP330" s="79">
        <f>IF(ISERROR((AO330/AG330-1)*100),"NA",IF(((AO330/AG330-1)*100)&gt;100,"NM",IF(((AO330/AG330-1)*100)&lt;-50,"NM",(AO330/AG330-1)*100)))</f>
        <v>35.636306433852653</v>
      </c>
      <c r="AQ330" s="283">
        <f>+AQ329/AQ316*100</f>
        <v>11.435523114355238</v>
      </c>
      <c r="AR330" s="79">
        <f>IF(ISERROR((AQ330/AI330-1)*100),"NA",IF(((AQ330/AI330-1)*100)&gt;100,"NM",IF(((AQ330/AI330-1)*100)&lt;-50,"NM",(AQ330/AI330-1)*100)))</f>
        <v>20.417436168029688</v>
      </c>
      <c r="AS330" s="283">
        <f>+AS329/AS316*100</f>
        <v>12.56544502617802</v>
      </c>
      <c r="AT330" s="81">
        <f>IF(ISERROR((AS330/AK330-1)*100),"NA",IF(((AS330/AK330-1)*100)&gt;100,"NM",IF(((AS330/AK330-1)*100)&lt;-50,"NM",(AS330/AK330-1)*100)))</f>
        <v>12.143219050835953</v>
      </c>
      <c r="AU330" s="283">
        <f>+AU329/AU316*100</f>
        <v>10.320284697508884</v>
      </c>
      <c r="AV330" s="81">
        <f>IF(ISERROR((AU330/AM330-1)*100),"NA",IF(((AU330/AM330-1)*100)&gt;100,"NM",IF(((AU330/AM330-1)*100)&lt;-50,"NM",(AU330/AM330-1)*100)))</f>
        <v>-35.479658977444487</v>
      </c>
      <c r="AW330" s="283">
        <f>+AW329/AW316*100</f>
        <v>12.926829268292675</v>
      </c>
      <c r="AX330" s="81">
        <f>IF(ISERROR((AW330/AO330-1)*100),"NA",IF(((AW330/AO330-1)*100)&gt;100,"NM",IF(((AW330/AO330-1)*100)&lt;-50,"NM",(AW330/AO330-1)*100)))</f>
        <v>-22.534074605452037</v>
      </c>
      <c r="AY330" s="283">
        <f>+AY329/AY316*100</f>
        <v>16.452442159383047</v>
      </c>
      <c r="AZ330" s="81">
        <f>IF(ISERROR((AY330/AQ330-1)*100),"NA",IF(((AY330/AQ330-1)*100)&gt;100,"NM",IF(((AY330/AQ330-1)*100)&lt;-50,"NM",(AY330/AQ330-1)*100)))</f>
        <v>43.871355904392082</v>
      </c>
      <c r="BA330" s="283">
        <f>+BA329/BA316*100</f>
        <v>9.6256684491978639</v>
      </c>
      <c r="BB330" s="81">
        <f>IF(ISERROR((BA330/AS330-1)*100),"NA",IF(((BA330/AS330-1)*100)&gt;100,"NM",IF(((BA330/AS330-1)*100)&lt;-50,"NM",(BA330/AS330-1)*100)))</f>
        <v>-23.395721925133728</v>
      </c>
      <c r="BC330" s="283">
        <f>+BC329/BC316*100</f>
        <v>11.17318435754189</v>
      </c>
      <c r="BD330" s="81">
        <f>IF(ISERROR((BC330/AU330-1)*100),"NA",IF(((BC330/AU330-1)*100)&gt;100,"NM",IF(((BC330/AU330-1)*100)&lt;-50,"NM",(BC330/AU330-1)*100)))</f>
        <v>8.2643036023887895</v>
      </c>
      <c r="BE330" s="283">
        <f>+BE329/BE316*100</f>
        <v>11.920529801324518</v>
      </c>
      <c r="BF330" s="81">
        <f>IF(ISERROR((BE330/AW330-1)*100),"NA",IF(((BE330/AW330-1)*100)&gt;100,"NM",IF(((BE330/AW330-1)*100)&lt;-50,"NM",(BE330/AW330-1)*100)))</f>
        <v>-7.7845807822064961</v>
      </c>
      <c r="BG330" s="283">
        <f>+BG329/BG316*100</f>
        <v>17.897727272727266</v>
      </c>
      <c r="BH330" s="81">
        <f>IF(ISERROR((BG330/AY330-1)*100),"NA",IF(((BG330/AY330-1)*100)&gt;100,"NM",IF(((BG330/AY330-1)*100)&lt;-50,"NM",(BG330/AY330-1)*100)))</f>
        <v>8.7846235795453254</v>
      </c>
      <c r="BI330" s="283">
        <f>+BI329/BI316*100</f>
        <v>11.271676300578022</v>
      </c>
      <c r="BJ330" s="81">
        <f>IF(ISERROR((BI330/BA330-1)*100),"NA",IF(((BI330/BA330-1)*100)&gt;100,"NM",IF(((BI330/BA330-1)*100)&lt;-50,"NM",(BI330/BA330-1)*100)))</f>
        <v>17.100192678227199</v>
      </c>
      <c r="BK330" s="283">
        <f>+BK329/BK316*100</f>
        <v>9.9706744868035067</v>
      </c>
      <c r="BL330" s="81">
        <f>IF(ISERROR((BK330/BC330-1)*100),"NA",IF(((BK330/BC330-1)*100)&gt;100,"NM",IF(((BK330/BC330-1)*100)&lt;-50,"NM",(BK330/BC330-1)*100)))</f>
        <v>-10.762463343108541</v>
      </c>
      <c r="BM330" s="283">
        <f>+BM329/BM316*100</f>
        <v>10.324483775811199</v>
      </c>
      <c r="BN330" s="81"/>
      <c r="BO330" s="283"/>
      <c r="BP330" s="81"/>
      <c r="BQ330" s="283"/>
      <c r="BR330" s="81"/>
      <c r="BS330" s="283"/>
      <c r="BT330" s="81"/>
      <c r="BU330" s="283"/>
      <c r="BV330" s="81"/>
      <c r="BW330" s="283"/>
      <c r="BX330" s="81"/>
      <c r="BY330" s="283"/>
      <c r="BZ330" s="81"/>
      <c r="CA330" s="283"/>
      <c r="CB330" s="81"/>
      <c r="CC330" s="283"/>
      <c r="CD330" s="81"/>
      <c r="CE330" s="283"/>
      <c r="CF330" s="81"/>
      <c r="CG330" s="283"/>
      <c r="CH330" s="81"/>
      <c r="CI330" s="283"/>
      <c r="CJ330" s="81"/>
      <c r="CK330" s="283"/>
      <c r="CL330" s="81"/>
      <c r="CM330" s="283"/>
      <c r="CN330" s="81"/>
      <c r="CO330" s="283"/>
      <c r="CP330" s="81"/>
      <c r="CQ330" s="283"/>
      <c r="CR330" s="81"/>
      <c r="CS330" s="283"/>
      <c r="CT330" s="81"/>
      <c r="CU330" s="283"/>
      <c r="CV330" s="81"/>
      <c r="CW330" s="283"/>
      <c r="CX330" s="81"/>
      <c r="CY330" s="283"/>
      <c r="CZ330" s="81"/>
      <c r="DA330" s="283"/>
      <c r="DB330" s="81"/>
      <c r="DC330" s="283"/>
      <c r="DD330" s="81"/>
      <c r="DE330" s="283"/>
      <c r="DF330" s="81"/>
      <c r="DG330" s="283"/>
      <c r="DH330" s="81"/>
      <c r="DI330" s="283"/>
      <c r="DJ330" s="81"/>
      <c r="DK330" s="283"/>
      <c r="DL330" s="81"/>
      <c r="DM330" s="283"/>
      <c r="DN330" s="81"/>
      <c r="DO330" s="283"/>
      <c r="DP330" s="81"/>
      <c r="DQ330" s="283"/>
      <c r="DR330" s="81"/>
      <c r="DS330" s="283"/>
      <c r="DT330" s="81"/>
      <c r="DU330" s="283"/>
      <c r="DV330" s="81"/>
      <c r="DW330" s="283"/>
      <c r="DX330" s="81"/>
      <c r="DY330" s="283"/>
      <c r="DZ330" s="81"/>
      <c r="EA330" s="283"/>
      <c r="EB330" s="81"/>
      <c r="EC330" s="283"/>
      <c r="ED330" s="81"/>
      <c r="EE330" s="283"/>
      <c r="EF330" s="81"/>
      <c r="EG330" s="283"/>
      <c r="EH330" s="81"/>
      <c r="EI330" s="283"/>
      <c r="EJ330" s="81"/>
      <c r="EK330" s="283"/>
      <c r="EL330" s="81"/>
      <c r="EM330" s="283"/>
      <c r="EN330" s="81"/>
      <c r="EO330" s="283"/>
      <c r="EP330" s="81"/>
      <c r="EQ330" s="283"/>
      <c r="ER330" s="81"/>
      <c r="ES330" s="129"/>
      <c r="ET330" s="469"/>
      <c r="EU330" s="129"/>
      <c r="EV330" s="185"/>
      <c r="EW330" s="79"/>
      <c r="EX330" s="283"/>
      <c r="EY330" s="79"/>
      <c r="EZ330" s="185"/>
      <c r="FA330" s="79"/>
      <c r="FB330" s="185">
        <f>+FB329/FB316*100</f>
        <v>13.478173405753369</v>
      </c>
      <c r="FC330" s="79" t="str">
        <f>IF(ISERROR((FB330/EZ330-1)*100),"NA",IF(((FB330/EZ330-1)*100)&gt;100,"NM",IF(((FB330/EZ330-1)*100)&lt;-50,"NM",(FB330/EZ330-1)*100)))</f>
        <v>NA</v>
      </c>
      <c r="FD330" s="185">
        <f>+FD329/FD316*100</f>
        <v>15.833538537306085</v>
      </c>
      <c r="FE330" s="79">
        <f>IF(ISERROR((FD330/FB330-1)*100),"NA",IF(((FD330/FB330-1)*100)&gt;100,"NM",IF(((FD330/FB330-1)*100)&lt;-50,"NM",(FD330/FB330-1)*100)))</f>
        <v>17.475403087982922</v>
      </c>
      <c r="FF330" s="185">
        <f>+FF329/FF316*100</f>
        <v>11.114044350580771</v>
      </c>
      <c r="FG330" s="79">
        <f>IF(ISERROR((FF330/FD330-1)*100),"NA",IF(((FF330/FD330-1)*100)&gt;100,"NM",IF(((FF330/FD330-1)*100)&lt;-50,"NM",(FF330/FD330-1)*100)))</f>
        <v>-29.806945400142293</v>
      </c>
      <c r="FH330" s="185">
        <f>+FH329/FH316*100</f>
        <v>12.373943853911156</v>
      </c>
      <c r="FI330" s="79">
        <f>IF(ISERROR((FH330/FF330-1)*100),"NA",IF(((FH330/FF330-1)*100)&gt;100,"NM",IF(((FH330/FF330-1)*100)&lt;-50,"NM",(FH330/FF330-1)*100)))</f>
        <v>11.33610289457363</v>
      </c>
      <c r="FJ330" s="185">
        <f>+FJ329/FJ316*100</f>
        <v>14.188034188034187</v>
      </c>
      <c r="FK330" s="79">
        <f>IF(ISERROR((FJ330/FH330-1)*100),"NA",IF(((FJ330/FH330-1)*100)&gt;100,"NM",IF(((FJ330/FH330-1)*100)&lt;-50,"NM",(FJ330/FH330-1)*100)))</f>
        <v>14.660567039421579</v>
      </c>
      <c r="FL330" s="185">
        <f>+FL329/FL316*100</f>
        <v>12.530813475760056</v>
      </c>
      <c r="FM330" s="79">
        <f>IF(ISERROR((FL330/FJ330-1)*100),"NA",IF(((FL330/FJ330-1)*100)&gt;100,"NM",IF(((FL330/FJ330-1)*100)&lt;-50,"NM",(FL330/FJ330-1)*100)))</f>
        <v>-11.680411044341776</v>
      </c>
      <c r="FN330" s="185">
        <f>+FN329/FN316*100</f>
        <v>12.626262626262616</v>
      </c>
      <c r="FO330" s="79">
        <f>IF(ISERROR((FN330/FL330-1)*100),"NA",IF(((FN330/FL330-1)*100)&gt;100,"NM",IF(((FN330/FL330-1)*100)&lt;-50,"NM",(FN330/FL330-1)*100)))</f>
        <v>0.76171551581387664</v>
      </c>
      <c r="FP330" s="185">
        <f>+FP329/FP316*100</f>
        <v>10.526315789473669</v>
      </c>
      <c r="FQ330" s="79">
        <f>IF(ISERROR((FP330/FN330-1)*100),"NA",IF(((FP330/FN330-1)*100)&gt;100,"NM",IF(((FP330/FN330-1)*100)&lt;-50,"NM",(FP330/FN330-1)*100)))</f>
        <v>-16.631578947368475</v>
      </c>
      <c r="FR330" s="283"/>
      <c r="FS330" s="79" t="str">
        <f>IF(ISERROR((FR330/FP330-1)*100),"NA",IF(((FR330/FP330-1)*100)&gt;100,"NM",IF(((FR330/FP330-1)*100)&lt;-50,"NM",(FR330/FP330-1)*100)))</f>
        <v>NM</v>
      </c>
      <c r="FT330" s="283"/>
      <c r="FU330" s="79" t="str">
        <f>IF(ISERROR((FT330/FR330-1)*100),"NA",IF(((FT330/FR330-1)*100)&gt;100,"NM",IF(((FT330/FR330-1)*100)&lt;-50,"NM",(FT330/FR330-1)*100)))</f>
        <v>NA</v>
      </c>
      <c r="FV330" s="283"/>
      <c r="FW330" s="79" t="str">
        <f>IF(ISERROR((FV330/FT330-1)*100),"NA",IF(((FV330/FT330-1)*100)&gt;100,"NM",IF(((FV330/FT330-1)*100)&lt;-50,"NM",(FV330/FT330-1)*100)))</f>
        <v>NA</v>
      </c>
      <c r="FX330" s="283"/>
      <c r="FY330" s="79" t="str">
        <f>IF(ISERROR((FX330/FV330-1)*100),"NA",IF(((FX330/FV330-1)*100)&gt;100,"NM",IF(((FX330/FV330-1)*100)&lt;-50,"NM",(FX330/FV330-1)*100)))</f>
        <v>NA</v>
      </c>
      <c r="FZ330" s="283"/>
      <c r="GA330" s="79" t="str">
        <f>IF(ISERROR((FZ330/FX330-1)*100),"NA",IF(((FZ330/FX330-1)*100)&gt;100,"NM",IF(((FZ330/FX330-1)*100)&lt;-50,"NM",(FZ330/FX330-1)*100)))</f>
        <v>NA</v>
      </c>
      <c r="GB330" s="283"/>
      <c r="GC330" s="79" t="str">
        <f>IF(ISERROR((GB330/FZ330-1)*100),"NA",IF(((GB330/FZ330-1)*100)&gt;100,"NM",IF(((GB330/FZ330-1)*100)&lt;-50,"NM",(GB330/FZ330-1)*100)))</f>
        <v>NA</v>
      </c>
      <c r="GD330" s="283"/>
      <c r="GE330" s="79" t="str">
        <f>IF(ISERROR((GD330/GB330-1)*100),"NA",IF(((GD330/GB330-1)*100)&gt;100,"NM",IF(((GD330/GB330-1)*100)&lt;-50,"NM",(GD330/GB330-1)*100)))</f>
        <v>NA</v>
      </c>
      <c r="GF330" s="283"/>
      <c r="GG330" s="79" t="str">
        <f>IF(ISERROR((GF330/GD330-1)*100),"NA",IF(((GF330/GD330-1)*100)&gt;100,"NM",IF(((GF330/GD330-1)*100)&lt;-50,"NM",(GF330/GD330-1)*100)))</f>
        <v>NA</v>
      </c>
      <c r="GH330" s="283"/>
      <c r="GI330" s="79" t="str">
        <f>IF(ISERROR((GH330/GF330-1)*100),"NA",IF(((GH330/GF330-1)*100)&gt;100,"NM",IF(((GH330/GF330-1)*100)&lt;-50,"NM",(GH330/GF330-1)*100)))</f>
        <v>NA</v>
      </c>
      <c r="GJ330" s="283"/>
      <c r="GK330" s="79" t="str">
        <f>IF(ISERROR((GJ330/GH330-1)*100),"NA",IF(((GJ330/GH330-1)*100)&gt;100,"NM",IF(((GJ330/GH330-1)*100)&lt;-50,"NM",(GJ330/GH330-1)*100)))</f>
        <v>NA</v>
      </c>
      <c r="GL330" s="283"/>
      <c r="GM330" s="79" t="str">
        <f>IF(ISERROR((GL330/GJ330-1)*100),"NA",IF(((GL330/GJ330-1)*100)&gt;100,"NM",IF(((GL330/GJ330-1)*100)&lt;-50,"NM",(GL330/GJ330-1)*100)))</f>
        <v>NA</v>
      </c>
      <c r="GN330" s="283"/>
      <c r="GO330" s="79" t="str">
        <f>IF(ISERROR((GN330/GL330-1)*100),"NA",IF(((GN330/GL330-1)*100)&gt;100,"NM",IF(((GN330/GL330-1)*100)&lt;-50,"NM",(GN330/GL330-1)*100)))</f>
        <v>NA</v>
      </c>
      <c r="GP330" s="283"/>
      <c r="GQ330" s="79" t="str">
        <f>IF(ISERROR((GP330/GN330-1)*100),"NA",IF(((GP330/GN330-1)*100)&gt;100,"NM",IF(((GP330/GN330-1)*100)&lt;-50,"NM",(GP330/GN330-1)*100)))</f>
        <v>NA</v>
      </c>
      <c r="GR330" s="283"/>
      <c r="GS330" s="79" t="str">
        <f>IF(ISERROR((GR330/GP330-1)*100),"NA",IF(((GR330/GP330-1)*100)&gt;100,"NM",IF(((GR330/GP330-1)*100)&lt;-50,"NM",(GR330/GP330-1)*100)))</f>
        <v>NA</v>
      </c>
      <c r="GT330" s="79"/>
    </row>
    <row r="331" spans="1:286" ht="12.75" hidden="1" customHeight="1" outlineLevel="1" x14ac:dyDescent="0.2">
      <c r="A331" s="1"/>
      <c r="C331" s="79"/>
      <c r="D331" s="79"/>
      <c r="E331" s="283"/>
      <c r="F331" s="283"/>
      <c r="G331" s="283"/>
      <c r="H331" s="283"/>
      <c r="I331" s="283"/>
      <c r="J331" s="283"/>
      <c r="K331" s="283"/>
      <c r="L331" s="79"/>
      <c r="M331" s="283"/>
      <c r="N331" s="79"/>
      <c r="O331" s="283"/>
      <c r="P331" s="79"/>
      <c r="Q331" s="283"/>
      <c r="R331" s="79"/>
      <c r="S331" s="283"/>
      <c r="T331" s="79"/>
      <c r="U331" s="283"/>
      <c r="V331" s="79"/>
      <c r="W331" s="283"/>
      <c r="X331" s="79"/>
      <c r="Y331" s="283"/>
      <c r="Z331" s="79"/>
      <c r="AA331" s="284"/>
      <c r="AB331" s="79"/>
      <c r="AC331" s="283"/>
      <c r="AD331" s="79"/>
      <c r="AE331" s="283"/>
      <c r="AF331" s="79"/>
      <c r="AG331" s="283"/>
      <c r="AH331" s="79"/>
      <c r="AI331" s="283"/>
      <c r="AJ331" s="79"/>
      <c r="AK331" s="283"/>
      <c r="AL331" s="79"/>
      <c r="AM331" s="283"/>
      <c r="AN331" s="79"/>
      <c r="AO331" s="283"/>
      <c r="AP331" s="79"/>
      <c r="AQ331" s="283"/>
      <c r="AR331" s="79"/>
      <c r="AS331" s="283"/>
      <c r="AT331" s="81"/>
      <c r="AU331" s="283"/>
      <c r="AV331" s="81"/>
      <c r="AW331" s="283"/>
      <c r="AX331" s="81"/>
      <c r="AY331" s="283"/>
      <c r="AZ331" s="81"/>
      <c r="BA331" s="283"/>
      <c r="BB331" s="81"/>
      <c r="BC331" s="283"/>
      <c r="BD331" s="81"/>
      <c r="BE331" s="283"/>
      <c r="BF331" s="81"/>
      <c r="BG331" s="283"/>
      <c r="BH331" s="81"/>
      <c r="BI331" s="283"/>
      <c r="BJ331" s="81"/>
      <c r="BK331" s="283"/>
      <c r="BL331" s="81"/>
      <c r="BM331" s="283"/>
      <c r="BN331" s="81"/>
      <c r="BO331" s="283"/>
      <c r="BP331" s="81"/>
      <c r="BQ331" s="283"/>
      <c r="BR331" s="81"/>
      <c r="BS331" s="283"/>
      <c r="BT331" s="81"/>
      <c r="BU331" s="283"/>
      <c r="BV331" s="81"/>
      <c r="BW331" s="283"/>
      <c r="BX331" s="81"/>
      <c r="BY331" s="283"/>
      <c r="BZ331" s="81"/>
      <c r="CA331" s="283"/>
      <c r="CB331" s="81"/>
      <c r="CC331" s="283"/>
      <c r="CD331" s="81"/>
      <c r="CE331" s="283"/>
      <c r="CF331" s="81"/>
      <c r="CG331" s="283"/>
      <c r="CH331" s="81"/>
      <c r="CI331" s="283"/>
      <c r="CJ331" s="81"/>
      <c r="CK331" s="283"/>
      <c r="CL331" s="81"/>
      <c r="CM331" s="283"/>
      <c r="CN331" s="81"/>
      <c r="CO331" s="283"/>
      <c r="CP331" s="81"/>
      <c r="CQ331" s="283"/>
      <c r="CR331" s="81"/>
      <c r="CS331" s="283"/>
      <c r="CT331" s="81"/>
      <c r="CU331" s="283"/>
      <c r="CV331" s="81"/>
      <c r="CW331" s="283"/>
      <c r="CX331" s="81"/>
      <c r="CY331" s="283"/>
      <c r="CZ331" s="81"/>
      <c r="DA331" s="283"/>
      <c r="DB331" s="81"/>
      <c r="DC331" s="283"/>
      <c r="DD331" s="81"/>
      <c r="DE331" s="283"/>
      <c r="DF331" s="81"/>
      <c r="DG331" s="283"/>
      <c r="DH331" s="81"/>
      <c r="DI331" s="283"/>
      <c r="DJ331" s="81"/>
      <c r="DK331" s="283"/>
      <c r="DL331" s="81"/>
      <c r="DM331" s="283"/>
      <c r="DN331" s="81"/>
      <c r="DO331" s="283"/>
      <c r="DP331" s="81"/>
      <c r="DQ331" s="283"/>
      <c r="DR331" s="81"/>
      <c r="DS331" s="283"/>
      <c r="DT331" s="81"/>
      <c r="DU331" s="283"/>
      <c r="DV331" s="81"/>
      <c r="DW331" s="283"/>
      <c r="DX331" s="81"/>
      <c r="DY331" s="283"/>
      <c r="DZ331" s="81"/>
      <c r="EA331" s="283"/>
      <c r="EB331" s="81"/>
      <c r="EC331" s="283"/>
      <c r="ED331" s="81"/>
      <c r="EE331" s="283"/>
      <c r="EF331" s="81"/>
      <c r="EG331" s="283"/>
      <c r="EH331" s="81"/>
      <c r="EI331" s="283"/>
      <c r="EJ331" s="81"/>
      <c r="EK331" s="283"/>
      <c r="EL331" s="81"/>
      <c r="EM331" s="283"/>
      <c r="EN331" s="81"/>
      <c r="EO331" s="283"/>
      <c r="EP331" s="81"/>
      <c r="EQ331" s="283"/>
      <c r="ER331" s="81"/>
      <c r="ES331" s="129"/>
      <c r="ET331" s="469"/>
      <c r="EU331" s="129"/>
      <c r="EV331" s="185"/>
      <c r="EW331" s="79"/>
      <c r="EX331" s="283"/>
      <c r="EY331" s="79"/>
      <c r="EZ331" s="185"/>
      <c r="FA331" s="79"/>
      <c r="FB331" s="185"/>
      <c r="FC331" s="79"/>
      <c r="FD331" s="185"/>
      <c r="FE331" s="79"/>
      <c r="FF331" s="185"/>
      <c r="FG331" s="79"/>
      <c r="FH331" s="185"/>
      <c r="FI331" s="79"/>
      <c r="FJ331" s="185"/>
      <c r="FK331" s="79"/>
      <c r="FL331" s="185"/>
      <c r="FM331" s="79"/>
      <c r="FN331" s="185"/>
      <c r="FO331" s="79"/>
      <c r="FP331" s="185"/>
      <c r="FQ331" s="79"/>
      <c r="FR331" s="283"/>
      <c r="FS331" s="79"/>
      <c r="FT331" s="283"/>
      <c r="FU331" s="79"/>
      <c r="FV331" s="283"/>
      <c r="FW331" s="79"/>
      <c r="FX331" s="283"/>
      <c r="FY331" s="79"/>
      <c r="FZ331" s="283"/>
      <c r="GA331" s="79"/>
      <c r="GB331" s="283"/>
      <c r="GC331" s="79"/>
      <c r="GD331" s="283"/>
      <c r="GE331" s="79"/>
      <c r="GF331" s="283"/>
      <c r="GG331" s="79"/>
      <c r="GH331" s="283"/>
      <c r="GI331" s="79"/>
      <c r="GJ331" s="283"/>
      <c r="GK331" s="79"/>
      <c r="GL331" s="283"/>
      <c r="GM331" s="79"/>
      <c r="GN331" s="283"/>
      <c r="GO331" s="79"/>
      <c r="GP331" s="283"/>
      <c r="GQ331" s="79"/>
      <c r="GR331" s="283"/>
      <c r="GS331" s="79"/>
      <c r="GT331" s="79"/>
    </row>
    <row r="332" spans="1:286" ht="12.75" hidden="1" customHeight="1" outlineLevel="1" x14ac:dyDescent="0.2">
      <c r="A332" s="1"/>
      <c r="B332" s="2" t="s">
        <v>256</v>
      </c>
      <c r="C332" s="176"/>
      <c r="D332" s="79"/>
      <c r="E332" s="174">
        <v>0</v>
      </c>
      <c r="F332" s="171"/>
      <c r="G332" s="174">
        <v>0</v>
      </c>
      <c r="H332" s="171"/>
      <c r="I332" s="174">
        <v>0</v>
      </c>
      <c r="J332" s="171"/>
      <c r="K332" s="174">
        <v>0</v>
      </c>
      <c r="L332" s="79"/>
      <c r="M332" s="174">
        <v>0</v>
      </c>
      <c r="N332" s="79" t="str">
        <f>IF(ISERROR((M332/E332-1)*100),"NA",IF(((M332/E332-1)*100)&gt;100,"NM",IF(((M332/E332-1)*100)&lt;-50,"NM",(M332/E332-1)*100)))</f>
        <v>NA</v>
      </c>
      <c r="O332" s="174">
        <v>0</v>
      </c>
      <c r="P332" s="79" t="str">
        <f>IF(ISERROR((O332/G332-1)*100),"NA",IF(((O332/G332-1)*100)&gt;100,"NM",IF(((O332/G332-1)*100)&lt;-50,"NM",(O332/G332-1)*100)))</f>
        <v>NA</v>
      </c>
      <c r="Q332" s="174">
        <v>0</v>
      </c>
      <c r="R332" s="79" t="str">
        <f>IF(ISERROR((Q332/I332-1)*100),"NA",IF(((Q332/I332-1)*100)&gt;100,"NM",IF(((Q332/I332-1)*100)&lt;-50,"NM",(Q332/I332-1)*100)))</f>
        <v>NA</v>
      </c>
      <c r="S332" s="174">
        <v>0</v>
      </c>
      <c r="T332" s="79" t="str">
        <f>IF(ISERROR((S332/K332-1)*100),"NA",IF(((S332/K332-1)*100)&gt;100,"NM",IF(((S332/K332-1)*100)&lt;-50,"NM",(S332/K332-1)*100)))</f>
        <v>NA</v>
      </c>
      <c r="U332" s="174">
        <v>0</v>
      </c>
      <c r="V332" s="79" t="str">
        <f>IF(ISERROR((U332/M332-1)*100),"NA",IF(((U332/M332-1)*100)&gt;100,"NM",IF(((U332/M332-1)*100)&lt;-50,"NM",(U332/M332-1)*100)))</f>
        <v>NA</v>
      </c>
      <c r="W332" s="174">
        <v>0</v>
      </c>
      <c r="X332" s="79" t="str">
        <f>IF(ISERROR((W332/O332-1)*100),"NA",IF(((W332/O332-1)*100)&gt;100,"NM",IF(((W332/O332-1)*100)&lt;-50,"NM",(W332/O332-1)*100)))</f>
        <v>NA</v>
      </c>
      <c r="Y332" s="174">
        <v>0</v>
      </c>
      <c r="Z332" s="79" t="str">
        <f>IF(ISERROR((Y332/Q332-1)*100),"NA",IF(((Y332/Q332-1)*100)&gt;100,"NM",IF(((Y332/Q332-1)*100)&lt;-50,"NM",(Y332/Q332-1)*100)))</f>
        <v>NA</v>
      </c>
      <c r="AA332" s="259">
        <v>0</v>
      </c>
      <c r="AB332" s="79" t="str">
        <f>IF(ISERROR((AA332/S332-1)*100),"NA",IF(((AA332/S332-1)*100)&gt;100,"NM",IF(((AA332/S332-1)*100)&lt;-50,"NM",(AA332/S332-1)*100)))</f>
        <v>NA</v>
      </c>
      <c r="AC332" s="174">
        <v>0</v>
      </c>
      <c r="AD332" s="79" t="str">
        <f>IF(ISERROR((AC332/U332-1)*100),"NA",IF(((AC332/U332-1)*100)&gt;100,"NM",IF(((AC332/U332-1)*100)&lt;-50,"NM",(AC332/U332-1)*100)))</f>
        <v>NA</v>
      </c>
      <c r="AE332" s="174">
        <v>0</v>
      </c>
      <c r="AF332" s="79" t="str">
        <f>IF(ISERROR((AE332/W332-1)*100),"NA",IF(((AE332/W332-1)*100)&gt;100,"NM",IF(((AE332/W332-1)*100)&lt;-50,"NM",(AE332/W332-1)*100)))</f>
        <v>NA</v>
      </c>
      <c r="AG332" s="174">
        <v>0</v>
      </c>
      <c r="AH332" s="79" t="str">
        <f>IF(ISERROR((AG332/Y332-1)*100),"NA",IF(((AG332/Y332-1)*100)&gt;100,"NM",IF(((AG332/Y332-1)*100)&lt;-50,"NM",(AG332/Y332-1)*100)))</f>
        <v>NA</v>
      </c>
      <c r="AI332" s="174">
        <v>0</v>
      </c>
      <c r="AJ332" s="79" t="str">
        <f>IF(ISERROR((AI332/AA332-1)*100),"NA",IF(((AI332/AA332-1)*100)&gt;100,"NM",IF(((AI332/AA332-1)*100)&lt;-50,"NM",(AI332/AA332-1)*100)))</f>
        <v>NA</v>
      </c>
      <c r="AK332" s="174">
        <v>0</v>
      </c>
      <c r="AL332" s="79" t="str">
        <f>IF(ISERROR((AK332/AC332-1)*100),"NA",IF(((AK332/AC332-1)*100)&gt;100,"NM",IF(((AK332/AC332-1)*100)&lt;-50,"NM",(AK332/AC332-1)*100)))</f>
        <v>NA</v>
      </c>
      <c r="AM332" s="174">
        <v>0</v>
      </c>
      <c r="AN332" s="79" t="str">
        <f>IF(ISERROR((AM332/AE332-1)*100),"NA",IF(((AM332/AE332-1)*100)&gt;100,"NM",IF(((AM332/AE332-1)*100)&lt;-50,"NM",(AM332/AE332-1)*100)))</f>
        <v>NA</v>
      </c>
      <c r="AO332" s="174">
        <v>0</v>
      </c>
      <c r="AP332" s="79" t="str">
        <f>IF(ISERROR((AO332/AG332-1)*100),"NA",IF(((AO332/AG332-1)*100)&gt;100,"NM",IF(((AO332/AG332-1)*100)&lt;-50,"NM",(AO332/AG332-1)*100)))</f>
        <v>NA</v>
      </c>
      <c r="AQ332" s="174">
        <v>4.62</v>
      </c>
      <c r="AR332" s="79" t="str">
        <f>IF(ISERROR((AQ332/AI332-1)*100),"NA",IF(((AQ332/AI332-1)*100)&gt;100,"NM",IF(((AQ332/AI332-1)*100)&lt;-50,"NM",(AQ332/AI332-1)*100)))</f>
        <v>NA</v>
      </c>
      <c r="AS332" s="174">
        <v>0</v>
      </c>
      <c r="AT332" s="81" t="str">
        <f>IF(ISERROR((AS332/AK332-1)*100),"NA",IF(((AS332/AK332-1)*100)&gt;100,"NM",IF(((AS332/AK332-1)*100)&lt;-50,"NM",(AS332/AK332-1)*100)))</f>
        <v>NA</v>
      </c>
      <c r="AU332" s="174">
        <v>0</v>
      </c>
      <c r="AV332" s="81" t="str">
        <f>IF(ISERROR((AU332/AM332-1)*100),"NA",IF(((AU332/AM332-1)*100)&gt;100,"NM",IF(((AU332/AM332-1)*100)&lt;-50,"NM",(AU332/AM332-1)*100)))</f>
        <v>NA</v>
      </c>
      <c r="AW332" s="174">
        <v>0</v>
      </c>
      <c r="AX332" s="81" t="str">
        <f>IF(ISERROR((AW332/AO332-1)*100),"NA",IF(((AW332/AO332-1)*100)&gt;100,"NM",IF(((AW332/AO332-1)*100)&lt;-50,"NM",(AW332/AO332-1)*100)))</f>
        <v>NA</v>
      </c>
      <c r="AY332" s="174">
        <v>0</v>
      </c>
      <c r="AZ332" s="81" t="str">
        <f>IF(ISERROR((AY332/AQ332-1)*100),"NA",IF(((AY332/AQ332-1)*100)&gt;100,"NM",IF(((AY332/AQ332-1)*100)&lt;-50,"NM",(AY332/AQ332-1)*100)))</f>
        <v>NM</v>
      </c>
      <c r="BA332" s="174">
        <v>0</v>
      </c>
      <c r="BB332" s="81" t="str">
        <f>IF(ISERROR((BA332/AS332-1)*100),"NA",IF(((BA332/AS332-1)*100)&gt;100,"NM",IF(((BA332/AS332-1)*100)&lt;-50,"NM",(BA332/AS332-1)*100)))</f>
        <v>NA</v>
      </c>
      <c r="BC332" s="174">
        <v>0</v>
      </c>
      <c r="BD332" s="81" t="str">
        <f>IF(ISERROR((BC332/AU332-1)*100),"NA",IF(((BC332/AU332-1)*100)&gt;100,"NM",IF(((BC332/AU332-1)*100)&lt;-50,"NM",(BC332/AU332-1)*100)))</f>
        <v>NA</v>
      </c>
      <c r="BE332" s="174">
        <v>0</v>
      </c>
      <c r="BF332" s="81" t="str">
        <f>IF(ISERROR((BE332/AW332-1)*100),"NA",IF(((BE332/AW332-1)*100)&gt;100,"NM",IF(((BE332/AW332-1)*100)&lt;-50,"NM",(BE332/AW332-1)*100)))</f>
        <v>NA</v>
      </c>
      <c r="BG332" s="174">
        <v>0</v>
      </c>
      <c r="BH332" s="81" t="str">
        <f>IF(ISERROR((BG332/AY332-1)*100),"NA",IF(((BG332/AY332-1)*100)&gt;100,"NM",IF(((BG332/AY332-1)*100)&lt;-50,"NM",(BG332/AY332-1)*100)))</f>
        <v>NA</v>
      </c>
      <c r="BI332" s="174">
        <v>0</v>
      </c>
      <c r="BJ332" s="81" t="str">
        <f>IF(ISERROR((BI332/BA332-1)*100),"NA",IF(((BI332/BA332-1)*100)&gt;100,"NM",IF(((BI332/BA332-1)*100)&lt;-50,"NM",(BI332/BA332-1)*100)))</f>
        <v>NA</v>
      </c>
      <c r="BK332" s="174">
        <v>0</v>
      </c>
      <c r="BL332" s="81" t="str">
        <f>IF(ISERROR((BK332/BC332-1)*100),"NA",IF(((BK332/BC332-1)*100)&gt;100,"NM",IF(((BK332/BC332-1)*100)&lt;-50,"NM",(BK332/BC332-1)*100)))</f>
        <v>NA</v>
      </c>
      <c r="BM332" s="174">
        <v>0</v>
      </c>
      <c r="BN332" s="81"/>
      <c r="BO332" s="174"/>
      <c r="BP332" s="81"/>
      <c r="BQ332" s="174"/>
      <c r="BR332" s="81"/>
      <c r="BS332" s="174"/>
      <c r="BT332" s="81"/>
      <c r="BU332" s="174"/>
      <c r="BV332" s="81"/>
      <c r="BW332" s="174"/>
      <c r="BX332" s="81"/>
      <c r="BY332" s="174"/>
      <c r="BZ332" s="81"/>
      <c r="CA332" s="174"/>
      <c r="CB332" s="81"/>
      <c r="CC332" s="174"/>
      <c r="CD332" s="81"/>
      <c r="CE332" s="174"/>
      <c r="CF332" s="81"/>
      <c r="CG332" s="259"/>
      <c r="CH332" s="81"/>
      <c r="CI332" s="259"/>
      <c r="CJ332" s="81"/>
      <c r="CK332" s="259"/>
      <c r="CL332" s="81"/>
      <c r="CM332" s="259"/>
      <c r="CN332" s="81"/>
      <c r="CO332" s="174"/>
      <c r="CP332" s="81"/>
      <c r="CQ332" s="174"/>
      <c r="CR332" s="81"/>
      <c r="CS332" s="174"/>
      <c r="CT332" s="81"/>
      <c r="CU332" s="174"/>
      <c r="CV332" s="81"/>
      <c r="CW332" s="174"/>
      <c r="CX332" s="81"/>
      <c r="CY332" s="174"/>
      <c r="CZ332" s="81"/>
      <c r="DA332" s="174"/>
      <c r="DB332" s="81"/>
      <c r="DC332" s="174"/>
      <c r="DD332" s="81"/>
      <c r="DE332" s="174"/>
      <c r="DF332" s="81"/>
      <c r="DG332" s="174"/>
      <c r="DH332" s="81"/>
      <c r="DI332" s="174"/>
      <c r="DJ332" s="81"/>
      <c r="DK332" s="174"/>
      <c r="DL332" s="81"/>
      <c r="DM332" s="174"/>
      <c r="DN332" s="81"/>
      <c r="DO332" s="174"/>
      <c r="DP332" s="81"/>
      <c r="DQ332" s="174"/>
      <c r="DR332" s="81"/>
      <c r="DS332" s="174"/>
      <c r="DT332" s="81"/>
      <c r="DU332" s="174"/>
      <c r="DV332" s="81"/>
      <c r="DW332" s="174"/>
      <c r="DX332" s="81"/>
      <c r="DY332" s="174"/>
      <c r="DZ332" s="81"/>
      <c r="EA332" s="174"/>
      <c r="EB332" s="81"/>
      <c r="EC332" s="174"/>
      <c r="ED332" s="81"/>
      <c r="EE332" s="174"/>
      <c r="EF332" s="81"/>
      <c r="EG332" s="174"/>
      <c r="EH332" s="81"/>
      <c r="EI332" s="174"/>
      <c r="EJ332" s="81"/>
      <c r="EK332" s="174"/>
      <c r="EL332" s="81"/>
      <c r="EM332" s="174"/>
      <c r="EN332" s="81"/>
      <c r="EO332" s="174"/>
      <c r="EP332" s="81"/>
      <c r="EQ332" s="174"/>
      <c r="ER332" s="81"/>
      <c r="ES332" s="174"/>
      <c r="ET332" s="473"/>
      <c r="EU332" s="174"/>
      <c r="EV332" s="175"/>
      <c r="EW332" s="176"/>
      <c r="EX332" s="175"/>
      <c r="EY332" s="176"/>
      <c r="EZ332" s="175"/>
      <c r="FA332" s="176"/>
      <c r="FB332" s="175">
        <f>M332+O332+Q332+K332</f>
        <v>0</v>
      </c>
      <c r="FC332" s="176" t="str">
        <f>IF(ISERROR((FB332/EZ332-1)*100),"NA",IF(((FB332/EZ332-1)*100)&gt;100,"NM",IF(((FB332/EZ332-1)*100)&lt;-50,"NM",(FB332/EZ332-1)*100)))</f>
        <v>NA</v>
      </c>
      <c r="FD332" s="175">
        <f>O332+Q332+S332+M332</f>
        <v>0</v>
      </c>
      <c r="FE332" s="176" t="str">
        <f>IF(ISERROR((FD332/FB332-1)*100),"NA",IF(((FD332/FB332-1)*100)&gt;100,"NM",IF(((FD332/FB332-1)*100)&lt;-50,"NM",(FD332/FB332-1)*100)))</f>
        <v>NA</v>
      </c>
      <c r="FF332" s="175">
        <f>U332+W332+Y332+AA332</f>
        <v>0</v>
      </c>
      <c r="FG332" s="176" t="str">
        <f>IF(ISERROR((FF332/FD332-1)*100),"NA",IF(((FF332/FD332-1)*100)&gt;100,"NM",IF(((FF332/FD332-1)*100)&lt;-50,"NM",(FF332/FD332-1)*100)))</f>
        <v>NA</v>
      </c>
      <c r="FH332" s="175">
        <f>AC332+AE332+AG332+AI332</f>
        <v>0</v>
      </c>
      <c r="FI332" s="176" t="str">
        <f>IF(ISERROR((FH332/FF332-1)*100),"NA",IF(((FH332/FF332-1)*100)&gt;100,"NM",IF(((FH332/FF332-1)*100)&lt;-50,"NM",(FH332/FF332-1)*100)))</f>
        <v>NA</v>
      </c>
      <c r="FJ332" s="175">
        <f>AK332+AM332+AO332+AQ332</f>
        <v>4.62</v>
      </c>
      <c r="FK332" s="176" t="str">
        <f>IF(ISERROR((FJ332/FH332-1)*100),"NA",IF(((FJ332/FH332-1)*100)&gt;100,"NM",IF(((FJ332/FH332-1)*100)&lt;-50,"NM",(FJ332/FH332-1)*100)))</f>
        <v>NA</v>
      </c>
      <c r="FL332" s="175">
        <f>AS332+AU332+AW332+AY332</f>
        <v>0</v>
      </c>
      <c r="FM332" s="176" t="str">
        <f>IF(ISERROR((FL332/FJ332-1)*100),"NA",IF(((FL332/FJ332-1)*100)&gt;100,"NM",IF(((FL332/FJ332-1)*100)&lt;-50,"NM",(FL332/FJ332-1)*100)))</f>
        <v>NM</v>
      </c>
      <c r="FN332" s="175">
        <f>BA332+BC332+BE332+BG332</f>
        <v>0</v>
      </c>
      <c r="FO332" s="176" t="str">
        <f>IF(ISERROR((FN332/FL332-1)*100),"NA",IF(((FN332/FL332-1)*100)&gt;100,"NM",IF(((FN332/FL332-1)*100)&lt;-50,"NM",(FN332/FL332-1)*100)))</f>
        <v>NA</v>
      </c>
      <c r="FP332" s="433">
        <f>BI332+BK332+BM332+BO332</f>
        <v>0</v>
      </c>
      <c r="FQ332" s="176" t="str">
        <f>IF(ISERROR((FP332/FN332-1)*100),"NA",IF(((FP332/FN332-1)*100)&gt;100,"NM",IF(((FP332/FN332-1)*100)&lt;-50,"NM",(FP332/FN332-1)*100)))</f>
        <v>NA</v>
      </c>
      <c r="FR332" s="177"/>
      <c r="FS332" s="176" t="str">
        <f>IF(ISERROR((FR332/FP332-1)*100),"NA",IF(((FR332/FP332-1)*100)&gt;100,"NM",IF(((FR332/FP332-1)*100)&lt;-50,"NM",(FR332/FP332-1)*100)))</f>
        <v>NA</v>
      </c>
      <c r="FT332" s="177"/>
      <c r="FU332" s="176" t="str">
        <f>IF(ISERROR((FT332/FR332-1)*100),"NA",IF(((FT332/FR332-1)*100)&gt;100,"NM",IF(((FT332/FR332-1)*100)&lt;-50,"NM",(FT332/FR332-1)*100)))</f>
        <v>NA</v>
      </c>
      <c r="FV332" s="177"/>
      <c r="FW332" s="176" t="str">
        <f>IF(ISERROR((FV332/FT332-1)*100),"NA",IF(((FV332/FT332-1)*100)&gt;100,"NM",IF(((FV332/FT332-1)*100)&lt;-50,"NM",(FV332/FT332-1)*100)))</f>
        <v>NA</v>
      </c>
      <c r="FX332" s="177"/>
      <c r="FY332" s="176" t="str">
        <f>IF(ISERROR((FX332/FV332-1)*100),"NA",IF(((FX332/FV332-1)*100)&gt;100,"NM",IF(((FX332/FV332-1)*100)&lt;-50,"NM",(FX332/FV332-1)*100)))</f>
        <v>NA</v>
      </c>
      <c r="FZ332" s="177"/>
      <c r="GA332" s="176" t="str">
        <f>IF(ISERROR((FZ332/FX332-1)*100),"NA",IF(((FZ332/FX332-1)*100)&gt;100,"NM",IF(((FZ332/FX332-1)*100)&lt;-50,"NM",(FZ332/FX332-1)*100)))</f>
        <v>NA</v>
      </c>
      <c r="GB332" s="177"/>
      <c r="GC332" s="176" t="str">
        <f>IF(ISERROR((GB332/FZ332-1)*100),"NA",IF(((GB332/FZ332-1)*100)&gt;100,"NM",IF(((GB332/FZ332-1)*100)&lt;-50,"NM",(GB332/FZ332-1)*100)))</f>
        <v>NA</v>
      </c>
      <c r="GD332" s="177"/>
      <c r="GE332" s="176" t="str">
        <f>IF(ISERROR((GD332/GB332-1)*100),"NA",IF(((GD332/GB332-1)*100)&gt;100,"NM",IF(((GD332/GB332-1)*100)&lt;-50,"NM",(GD332/GB332-1)*100)))</f>
        <v>NA</v>
      </c>
      <c r="GF332" s="177"/>
      <c r="GG332" s="176" t="str">
        <f>IF(ISERROR((GF332/GD332-1)*100),"NA",IF(((GF332/GD332-1)*100)&gt;100,"NM",IF(((GF332/GD332-1)*100)&lt;-50,"NM",(GF332/GD332-1)*100)))</f>
        <v>NA</v>
      </c>
      <c r="GH332" s="177"/>
      <c r="GI332" s="176" t="str">
        <f>IF(ISERROR((GH332/GF332-1)*100),"NA",IF(((GH332/GF332-1)*100)&gt;100,"NM",IF(((GH332/GF332-1)*100)&lt;-50,"NM",(GH332/GF332-1)*100)))</f>
        <v>NA</v>
      </c>
      <c r="GJ332" s="177"/>
      <c r="GK332" s="176" t="str">
        <f>IF(ISERROR((GJ332/GH332-1)*100),"NA",IF(((GJ332/GH332-1)*100)&gt;100,"NM",IF(((GJ332/GH332-1)*100)&lt;-50,"NM",(GJ332/GH332-1)*100)))</f>
        <v>NA</v>
      </c>
      <c r="GL332" s="174"/>
      <c r="GM332" s="176" t="str">
        <f>IF(ISERROR((GL332/GJ332-1)*100),"NA",IF(((GL332/GJ332-1)*100)&gt;100,"NM",IF(((GL332/GJ332-1)*100)&lt;-50,"NM",(GL332/GJ332-1)*100)))</f>
        <v>NA</v>
      </c>
      <c r="GN332" s="174"/>
      <c r="GO332" s="176" t="str">
        <f>IF(ISERROR((GN332/GL332-1)*100),"NA",IF(((GN332/GL332-1)*100)&gt;100,"NM",IF(((GN332/GL332-1)*100)&lt;-50,"NM",(GN332/GL332-1)*100)))</f>
        <v>NA</v>
      </c>
      <c r="GP332" s="174"/>
      <c r="GQ332" s="176" t="str">
        <f>IF(ISERROR((GP332/GN332-1)*100),"NA",IF(((GP332/GN332-1)*100)&gt;100,"NM",IF(((GP332/GN332-1)*100)&lt;-50,"NM",(GP332/GN332-1)*100)))</f>
        <v>NA</v>
      </c>
      <c r="GR332" s="174"/>
      <c r="GS332" s="176" t="str">
        <f>IF(ISERROR((GR332/GP332-1)*100),"NA",IF(((GR332/GP332-1)*100)&gt;100,"NM",IF(((GR332/GP332-1)*100)&lt;-50,"NM",(GR332/GP332-1)*100)))</f>
        <v>NA</v>
      </c>
      <c r="GT332" s="79"/>
    </row>
    <row r="333" spans="1:286" ht="12.75" hidden="1" customHeight="1" outlineLevel="1" x14ac:dyDescent="0.2">
      <c r="A333" s="1"/>
      <c r="B333" s="68" t="s">
        <v>474</v>
      </c>
      <c r="C333" s="79"/>
      <c r="D333" s="79"/>
      <c r="E333" s="178">
        <f>E329-E332</f>
        <v>13.900000000000006</v>
      </c>
      <c r="F333" s="171"/>
      <c r="G333" s="178">
        <f>G329-G332</f>
        <v>20.199999999999989</v>
      </c>
      <c r="H333" s="171"/>
      <c r="I333" s="178">
        <f>I329-I332</f>
        <v>16.800000000000011</v>
      </c>
      <c r="J333" s="171"/>
      <c r="K333" s="178">
        <f>K329-K332</f>
        <v>16.100000000000009</v>
      </c>
      <c r="L333" s="140"/>
      <c r="M333" s="178">
        <f>M329-M332</f>
        <v>13.700000000000003</v>
      </c>
      <c r="N333" s="79">
        <f>IF(ISERROR((M333/E333-1)*100),"NA",IF(((M333/E333-1)*100)&gt;100,"NM",IF(((M333/E333-1)*100)&lt;-50,"NM",(M333/E333-1)*100)))</f>
        <v>-1.4388489208633337</v>
      </c>
      <c r="O333" s="178">
        <f>O329-O332</f>
        <v>19.999999999999986</v>
      </c>
      <c r="P333" s="79">
        <f>IF(ISERROR((O333/G333-1)*100),"NA",IF(((O333/G333-1)*100)&gt;100,"NM",IF(((O333/G333-1)*100)&lt;-50,"NM",(O333/G333-1)*100)))</f>
        <v>-0.99009900990100208</v>
      </c>
      <c r="Q333" s="178">
        <f>Q329-Q332</f>
        <v>16.400000000000006</v>
      </c>
      <c r="R333" s="79">
        <f>IF(ISERROR((Q333/I333-1)*100),"NA",IF(((Q333/I333-1)*100)&gt;100,"NM",IF(((Q333/I333-1)*100)&lt;-50,"NM",(Q333/I333-1)*100)))</f>
        <v>-2.3809523809524169</v>
      </c>
      <c r="S333" s="178">
        <f>S329-S332</f>
        <v>14.199999999999989</v>
      </c>
      <c r="T333" s="79">
        <f>IF(ISERROR((S333/K333-1)*100),"NA",IF(((S333/K333-1)*100)&gt;100,"NM",IF(((S333/K333-1)*100)&lt;-50,"NM",(S333/K333-1)*100)))</f>
        <v>-11.801242236024967</v>
      </c>
      <c r="U333" s="178">
        <f>U329-U332</f>
        <v>15.599999999999994</v>
      </c>
      <c r="V333" s="79">
        <f>IF(ISERROR((U333/M333-1)*100),"NA",IF(((U333/M333-1)*100)&gt;100,"NM",IF(((U333/M333-1)*100)&lt;-50,"NM",(U333/M333-1)*100)))</f>
        <v>13.868613138686058</v>
      </c>
      <c r="W333" s="178">
        <f>W329-W332</f>
        <v>11.600000000000009</v>
      </c>
      <c r="X333" s="79">
        <f>IF(ISERROR((W333/O333-1)*100),"NA",IF(((W333/O333-1)*100)&gt;100,"NM",IF(((W333/O333-1)*100)&lt;-50,"NM",(W333/O333-1)*100)))</f>
        <v>-41.999999999999915</v>
      </c>
      <c r="Y333" s="178">
        <f>Y329-Y332</f>
        <v>13</v>
      </c>
      <c r="Z333" s="79">
        <f>IF(ISERROR((Y333/Q333-1)*100),"NA",IF(((Y333/Q333-1)*100)&gt;100,"NM",IF(((Y333/Q333-1)*100)&lt;-50,"NM",(Y333/Q333-1)*100)))</f>
        <v>-20.731707317073202</v>
      </c>
      <c r="AA333" s="227">
        <f>AA329-AA332</f>
        <v>1.8999999999999915</v>
      </c>
      <c r="AB333" s="79" t="str">
        <f>IF(ISERROR((AA333/S333-1)*100),"NA",IF(((AA333/S333-1)*100)&gt;100,"NM",IF(((AA333/S333-1)*100)&lt;-50,"NM",(AA333/S333-1)*100)))</f>
        <v>NM</v>
      </c>
      <c r="AC333" s="178">
        <f>AC329-AC332</f>
        <v>10.800000000000011</v>
      </c>
      <c r="AD333" s="79">
        <f>IF(ISERROR((AC333/U333-1)*100),"NA",IF(((AC333/U333-1)*100)&gt;100,"NM",IF(((AC333/U333-1)*100)&lt;-50,"NM",(AC333/U333-1)*100)))</f>
        <v>-30.769230769230671</v>
      </c>
      <c r="AE333" s="178">
        <f>AE329-AE332</f>
        <v>14.599999999999994</v>
      </c>
      <c r="AF333" s="79">
        <f>IF(ISERROR((AE333/W333-1)*100),"NA",IF(((AE333/W333-1)*100)&gt;100,"NM",IF(((AE333/W333-1)*100)&lt;-50,"NM",(AE333/W333-1)*100)))</f>
        <v>25.862068965517103</v>
      </c>
      <c r="AG333" s="178">
        <f>AG329-AG332</f>
        <v>11.699999999999989</v>
      </c>
      <c r="AH333" s="79">
        <f>IF(ISERROR((AG333/Y333-1)*100),"NA",IF(((AG333/Y333-1)*100)&gt;100,"NM",IF(((AG333/Y333-1)*100)&lt;-50,"NM",(AG333/Y333-1)*100)))</f>
        <v>-10.000000000000087</v>
      </c>
      <c r="AI333" s="178">
        <f>AI329-AI332</f>
        <v>8.3000000000000114</v>
      </c>
      <c r="AJ333" s="79" t="str">
        <f>IF(ISERROR((AI333/AA333-1)*100),"NA",IF(((AI333/AA333-1)*100)&gt;100,"NM",IF(((AI333/AA333-1)*100)&lt;-50,"NM",(AI333/AA333-1)*100)))</f>
        <v>NM</v>
      </c>
      <c r="AK333" s="178">
        <f>AK329-AK332</f>
        <v>9.3000000000000114</v>
      </c>
      <c r="AL333" s="79">
        <f>IF(ISERROR((AK333/AC333-1)*100),"NA",IF(((AK333/AC333-1)*100)&gt;100,"NM",IF(((AK333/AC333-1)*100)&lt;-50,"NM",(AK333/AC333-1)*100)))</f>
        <v>-13.888888888888873</v>
      </c>
      <c r="AM333" s="178">
        <f>AM329-AM332</f>
        <v>13.900000000000006</v>
      </c>
      <c r="AN333" s="79">
        <f>IF(ISERROR((AM333/AE333-1)*100),"NA",IF(((AM333/AE333-1)*100)&gt;100,"NM",IF(((AM333/AE333-1)*100)&lt;-50,"NM",(AM333/AE333-1)*100)))</f>
        <v>-4.7945205479451243</v>
      </c>
      <c r="AO333" s="178">
        <f>AO329-AO332</f>
        <v>13.600000000000009</v>
      </c>
      <c r="AP333" s="79">
        <f>IF(ISERROR((AO333/AG333-1)*100),"NA",IF(((AO333/AG333-1)*100)&gt;100,"NM",IF(((AO333/AG333-1)*100)&lt;-50,"NM",(AO333/AG333-1)*100)))</f>
        <v>16.239316239316427</v>
      </c>
      <c r="AQ333" s="178">
        <f>AQ329-AQ332</f>
        <v>8.0000000000002736E-2</v>
      </c>
      <c r="AR333" s="79" t="str">
        <f>IF(ISERROR((AQ333/AI333-1)*100),"NA",IF(((AQ333/AI333-1)*100)&gt;100,"NM",IF(((AQ333/AI333-1)*100)&lt;-50,"NM",(AQ333/AI333-1)*100)))</f>
        <v>NM</v>
      </c>
      <c r="AS333" s="285">
        <f>AS329-AS332</f>
        <v>4.8000000000000043</v>
      </c>
      <c r="AT333" s="81">
        <f>IF(ISERROR((AS333/AK333-1)*100),"NA",IF(((AS333/AK333-1)*100)&gt;100,"NM",IF(((AS333/AK333-1)*100)&lt;-50,"NM",(AS333/AK333-1)*100)))</f>
        <v>-48.387096774193559</v>
      </c>
      <c r="AU333" s="285">
        <f>AU329-AU332</f>
        <v>8.6999999999999886</v>
      </c>
      <c r="AV333" s="81">
        <f>IF(ISERROR((AU333/AM333-1)*100),"NA",IF(((AU333/AM333-1)*100)&gt;100,"NM",IF(((AU333/AM333-1)*100)&lt;-50,"NM",(AU333/AM333-1)*100)))</f>
        <v>-37.410071942446152</v>
      </c>
      <c r="AW333" s="285">
        <f>AW329-AW332</f>
        <v>10.599999999999994</v>
      </c>
      <c r="AX333" s="81">
        <f>IF(ISERROR((AW333/AO333-1)*100),"NA",IF(((AW333/AO333-1)*100)&gt;100,"NM",IF(((AW333/AO333-1)*100)&lt;-50,"NM",(AW333/AO333-1)*100)))</f>
        <v>-22.058823529411853</v>
      </c>
      <c r="AY333" s="285">
        <f>AY329-AY332</f>
        <v>6.4000000000000057</v>
      </c>
      <c r="AZ333" s="81" t="str">
        <f>IF(ISERROR((AY333/AQ333-1)*100),"NA",IF(((AY333/AQ333-1)*100)&gt;100,"NM",IF(((AY333/AQ333-1)*100)&lt;-50,"NM",(AY333/AQ333-1)*100)))</f>
        <v>NM</v>
      </c>
      <c r="BA333" s="285">
        <f>BA329-BA332</f>
        <v>3.6000000000000014</v>
      </c>
      <c r="BB333" s="81">
        <f>IF(ISERROR((BA333/AS333-1)*100),"NA",IF(((BA333/AS333-1)*100)&gt;100,"NM",IF(((BA333/AS333-1)*100)&lt;-50,"NM",(BA333/AS333-1)*100)))</f>
        <v>-25.000000000000032</v>
      </c>
      <c r="BC333" s="285">
        <f>BC329-BC332</f>
        <v>3.9999999999999964</v>
      </c>
      <c r="BD333" s="81" t="str">
        <f>IF(ISERROR((BC333/AU333-1)*100),"NA",IF(((BC333/AU333-1)*100)&gt;100,"NM",IF(((BC333/AU333-1)*100)&lt;-50,"NM",(BC333/AU333-1)*100)))</f>
        <v>NM</v>
      </c>
      <c r="BE333" s="285">
        <f>BE329-BE332</f>
        <v>3.600000000000005</v>
      </c>
      <c r="BF333" s="81" t="str">
        <f>IF(ISERROR((BE333/AW333-1)*100),"NA",IF(((BE333/AW333-1)*100)&gt;100,"NM",IF(((BE333/AW333-1)*100)&lt;-50,"NM",(BE333/AW333-1)*100)))</f>
        <v>NM</v>
      </c>
      <c r="BG333" s="285">
        <f>BG329-BG332</f>
        <v>6.2999999999999972</v>
      </c>
      <c r="BH333" s="81">
        <f>IF(ISERROR((BG333/AY333-1)*100),"NA",IF(((BG333/AY333-1)*100)&gt;100,"NM",IF(((BG333/AY333-1)*100)&lt;-50,"NM",(BG333/AY333-1)*100)))</f>
        <v>-1.5625000000001332</v>
      </c>
      <c r="BI333" s="285">
        <f>BI329-BI332</f>
        <v>3.899999999999995</v>
      </c>
      <c r="BJ333" s="81">
        <f>IF(ISERROR((BI333/BA333-1)*100),"NA",IF(((BI333/BA333-1)*100)&gt;100,"NM",IF(((BI333/BA333-1)*100)&lt;-50,"NM",(BI333/BA333-1)*100)))</f>
        <v>8.3333333333331474</v>
      </c>
      <c r="BK333" s="285">
        <f>BK329-BK332</f>
        <v>3.399999999999995</v>
      </c>
      <c r="BL333" s="81">
        <f>IF(ISERROR((BK333/BC333-1)*100),"NA",IF(((BK333/BC333-1)*100)&gt;100,"NM",IF(((BK333/BC333-1)*100)&lt;-50,"NM",(BK333/BC333-1)*100)))</f>
        <v>-15.000000000000046</v>
      </c>
      <c r="BM333" s="285">
        <f>BM329-BM332</f>
        <v>3.4999999999999964</v>
      </c>
      <c r="BN333" s="81"/>
      <c r="BO333" s="285"/>
      <c r="BP333" s="81"/>
      <c r="BQ333" s="285"/>
      <c r="BR333" s="81"/>
      <c r="BS333" s="285"/>
      <c r="BT333" s="81"/>
      <c r="BU333" s="285"/>
      <c r="BV333" s="81"/>
      <c r="BW333" s="285"/>
      <c r="BX333" s="81"/>
      <c r="BY333" s="285"/>
      <c r="BZ333" s="81"/>
      <c r="CA333" s="285"/>
      <c r="CB333" s="81"/>
      <c r="CC333" s="285"/>
      <c r="CD333" s="81"/>
      <c r="CE333" s="285"/>
      <c r="CF333" s="81"/>
      <c r="CG333" s="285"/>
      <c r="CH333" s="81"/>
      <c r="CI333" s="285"/>
      <c r="CJ333" s="81"/>
      <c r="CK333" s="285"/>
      <c r="CL333" s="81"/>
      <c r="CM333" s="285"/>
      <c r="CN333" s="81"/>
      <c r="CO333" s="285"/>
      <c r="CP333" s="81"/>
      <c r="CQ333" s="285"/>
      <c r="CR333" s="81"/>
      <c r="CS333" s="285"/>
      <c r="CT333" s="81"/>
      <c r="CU333" s="285"/>
      <c r="CV333" s="81"/>
      <c r="CW333" s="285"/>
      <c r="CX333" s="81"/>
      <c r="CY333" s="285"/>
      <c r="CZ333" s="81"/>
      <c r="DA333" s="285"/>
      <c r="DB333" s="81"/>
      <c r="DC333" s="285"/>
      <c r="DD333" s="81"/>
      <c r="DE333" s="285"/>
      <c r="DF333" s="81"/>
      <c r="DG333" s="285"/>
      <c r="DH333" s="81"/>
      <c r="DI333" s="285"/>
      <c r="DJ333" s="81"/>
      <c r="DK333" s="285"/>
      <c r="DL333" s="81"/>
      <c r="DM333" s="285"/>
      <c r="DN333" s="81"/>
      <c r="DO333" s="285"/>
      <c r="DP333" s="81"/>
      <c r="DQ333" s="285"/>
      <c r="DR333" s="81"/>
      <c r="DS333" s="285"/>
      <c r="DT333" s="81"/>
      <c r="DU333" s="285"/>
      <c r="DV333" s="81"/>
      <c r="DW333" s="285"/>
      <c r="DX333" s="81"/>
      <c r="DY333" s="285"/>
      <c r="DZ333" s="81"/>
      <c r="EA333" s="285"/>
      <c r="EB333" s="81"/>
      <c r="EC333" s="285"/>
      <c r="ED333" s="81"/>
      <c r="EE333" s="285"/>
      <c r="EF333" s="81"/>
      <c r="EG333" s="285"/>
      <c r="EH333" s="81"/>
      <c r="EI333" s="285"/>
      <c r="EJ333" s="81"/>
      <c r="EK333" s="285"/>
      <c r="EL333" s="81"/>
      <c r="EM333" s="285"/>
      <c r="EN333" s="81"/>
      <c r="EO333" s="285"/>
      <c r="EP333" s="81"/>
      <c r="EQ333" s="285"/>
      <c r="ER333" s="81"/>
      <c r="ES333" s="174"/>
      <c r="ET333" s="473"/>
      <c r="EU333" s="174"/>
      <c r="EV333" s="175"/>
      <c r="EW333" s="176"/>
      <c r="EX333" s="175"/>
      <c r="EY333" s="176"/>
      <c r="EZ333" s="175"/>
      <c r="FA333" s="176"/>
      <c r="FB333" s="285">
        <f>FB329-FB332</f>
        <v>67</v>
      </c>
      <c r="FC333" s="176" t="str">
        <f>IF(ISERROR((FB333/EZ333-1)*100),"NA",IF(((FB333/EZ333-1)*100)&gt;100,"NM",IF(((FB333/EZ333-1)*100)&lt;-50,"NM",(FB333/EZ333-1)*100)))</f>
        <v>NA</v>
      </c>
      <c r="FD333" s="285">
        <f>FD329-FD332</f>
        <v>64.300000000000011</v>
      </c>
      <c r="FE333" s="176">
        <f>IF(ISERROR((FD333/FB333-1)*100),"NA",IF(((FD333/FB333-1)*100)&gt;100,"NM",IF(((FD333/FB333-1)*100)&lt;-50,"NM",(FD333/FB333-1)*100)))</f>
        <v>-4.0298507462686377</v>
      </c>
      <c r="FF333" s="285">
        <f>FF329-FF332</f>
        <v>42.099999999999966</v>
      </c>
      <c r="FG333" s="176">
        <f>IF(ISERROR((FF333/FD333-1)*100),"NA",IF(((FF333/FD333-1)*100)&gt;100,"NM",IF(((FF333/FD333-1)*100)&lt;-50,"NM",(FF333/FD333-1)*100)))</f>
        <v>-34.525660964230234</v>
      </c>
      <c r="FH333" s="285">
        <f>FH329-FH332</f>
        <v>45.400000000000034</v>
      </c>
      <c r="FI333" s="176">
        <f>IF(ISERROR((FH333/FF333-1)*100),"NA",IF(((FH333/FF333-1)*100)&gt;100,"NM",IF(((FH333/FF333-1)*100)&lt;-50,"NM",(FH333/FF333-1)*100)))</f>
        <v>7.8384798099764064</v>
      </c>
      <c r="FJ333" s="285">
        <f>FJ329-FJ332</f>
        <v>36.880000000000003</v>
      </c>
      <c r="FK333" s="176">
        <f>IF(ISERROR((FJ333/FH333-1)*100),"NA",IF(((FJ333/FH333-1)*100)&gt;100,"NM",IF(((FJ333/FH333-1)*100)&lt;-50,"NM",(FJ333/FH333-1)*100)))</f>
        <v>-18.766519823788595</v>
      </c>
      <c r="FL333" s="178">
        <f>FL329-FL332</f>
        <v>30.499999999999972</v>
      </c>
      <c r="FM333" s="176">
        <f>IF(ISERROR((FL333/FJ333-1)*100),"NA",IF(((FL333/FJ333-1)*100)&gt;100,"NM",IF(((FL333/FJ333-1)*100)&lt;-50,"NM",(FL333/FJ333-1)*100)))</f>
        <v>-17.299349240780991</v>
      </c>
      <c r="FN333" s="178">
        <f>FN329-FN332</f>
        <v>17.499999999999986</v>
      </c>
      <c r="FO333" s="176">
        <f>IF(ISERROR((FN333/FL333-1)*100),"NA",IF(((FN333/FL333-1)*100)&gt;100,"NM",IF(((FN333/FL333-1)*100)&lt;-50,"NM",(FN333/FL333-1)*100)))</f>
        <v>-42.62295081967212</v>
      </c>
      <c r="FP333" s="178">
        <f>FP329-FP332</f>
        <v>10.799999999999983</v>
      </c>
      <c r="FQ333" s="176">
        <f>IF(ISERROR((FP333/FN333-1)*100),"NA",IF(((FP333/FN333-1)*100)&gt;100,"NM",IF(((FP333/FN333-1)*100)&lt;-50,"NM",(FP333/FN333-1)*100)))</f>
        <v>-38.285714285714334</v>
      </c>
      <c r="FR333" s="285"/>
      <c r="FS333" s="176" t="str">
        <f>IF(ISERROR((FR333/FP333-1)*100),"NA",IF(((FR333/FP333-1)*100)&gt;100,"NM",IF(((FR333/FP333-1)*100)&lt;-50,"NM",(FR333/FP333-1)*100)))</f>
        <v>NM</v>
      </c>
      <c r="FT333" s="285"/>
      <c r="FU333" s="176" t="str">
        <f>IF(ISERROR((FT333/FR333-1)*100),"NA",IF(((FT333/FR333-1)*100)&gt;100,"NM",IF(((FT333/FR333-1)*100)&lt;-50,"NM",(FT333/FR333-1)*100)))</f>
        <v>NA</v>
      </c>
      <c r="FV333" s="285"/>
      <c r="FW333" s="176" t="str">
        <f>IF(ISERROR((FV333/FT333-1)*100),"NA",IF(((FV333/FT333-1)*100)&gt;100,"NM",IF(((FV333/FT333-1)*100)&lt;-50,"NM",(FV333/FT333-1)*100)))</f>
        <v>NA</v>
      </c>
      <c r="FX333" s="285"/>
      <c r="FY333" s="176" t="str">
        <f>IF(ISERROR((FX333/FV333-1)*100),"NA",IF(((FX333/FV333-1)*100)&gt;100,"NM",IF(((FX333/FV333-1)*100)&lt;-50,"NM",(FX333/FV333-1)*100)))</f>
        <v>NA</v>
      </c>
      <c r="FZ333" s="285"/>
      <c r="GA333" s="176" t="str">
        <f>IF(ISERROR((FZ333/FX333-1)*100),"NA",IF(((FZ333/FX333-1)*100)&gt;100,"NM",IF(((FZ333/FX333-1)*100)&lt;-50,"NM",(FZ333/FX333-1)*100)))</f>
        <v>NA</v>
      </c>
      <c r="GB333" s="285"/>
      <c r="GC333" s="176" t="str">
        <f>IF(ISERROR((GB333/FZ333-1)*100),"NA",IF(((GB333/FZ333-1)*100)&gt;100,"NM",IF(((GB333/FZ333-1)*100)&lt;-50,"NM",(GB333/FZ333-1)*100)))</f>
        <v>NA</v>
      </c>
      <c r="GD333" s="285"/>
      <c r="GE333" s="176" t="str">
        <f>IF(ISERROR((GD333/GB333-1)*100),"NA",IF(((GD333/GB333-1)*100)&gt;100,"NM",IF(((GD333/GB333-1)*100)&lt;-50,"NM",(GD333/GB333-1)*100)))</f>
        <v>NA</v>
      </c>
      <c r="GF333" s="285"/>
      <c r="GG333" s="176" t="str">
        <f>IF(ISERROR((GF333/GD333-1)*100),"NA",IF(((GF333/GD333-1)*100)&gt;100,"NM",IF(((GF333/GD333-1)*100)&lt;-50,"NM",(GF333/GD333-1)*100)))</f>
        <v>NA</v>
      </c>
      <c r="GH333" s="285"/>
      <c r="GI333" s="176" t="str">
        <f>IF(ISERROR((GH333/GF333-1)*100),"NA",IF(((GH333/GF333-1)*100)&gt;100,"NM",IF(((GH333/GF333-1)*100)&lt;-50,"NM",(GH333/GF333-1)*100)))</f>
        <v>NA</v>
      </c>
      <c r="GJ333" s="285"/>
      <c r="GK333" s="176" t="str">
        <f>IF(ISERROR((GJ333/GH333-1)*100),"NA",IF(((GJ333/GH333-1)*100)&gt;100,"NM",IF(((GJ333/GH333-1)*100)&lt;-50,"NM",(GJ333/GH333-1)*100)))</f>
        <v>NA</v>
      </c>
      <c r="GL333" s="285"/>
      <c r="GM333" s="176" t="str">
        <f>IF(ISERROR((GL333/GJ333-1)*100),"NA",IF(((GL333/GJ333-1)*100)&gt;100,"NM",IF(((GL333/GJ333-1)*100)&lt;-50,"NM",(GL333/GJ333-1)*100)))</f>
        <v>NA</v>
      </c>
      <c r="GN333" s="285"/>
      <c r="GO333" s="176" t="str">
        <f>IF(ISERROR((GN333/GL333-1)*100),"NA",IF(((GN333/GL333-1)*100)&gt;100,"NM",IF(((GN333/GL333-1)*100)&lt;-50,"NM",(GN333/GL333-1)*100)))</f>
        <v>NA</v>
      </c>
      <c r="GP333" s="285"/>
      <c r="GQ333" s="176" t="str">
        <f>IF(ISERROR((GP333/GN333-1)*100),"NA",IF(((GP333/GN333-1)*100)&gt;100,"NM",IF(((GP333/GN333-1)*100)&lt;-50,"NM",(GP333/GN333-1)*100)))</f>
        <v>NA</v>
      </c>
      <c r="GR333" s="285"/>
      <c r="GS333" s="176" t="str">
        <f>IF(ISERROR((GR333/GP333-1)*100),"NA",IF(((GR333/GP333-1)*100)&gt;100,"NM",IF(((GR333/GP333-1)*100)&lt;-50,"NM",(GR333/GP333-1)*100)))</f>
        <v>NA</v>
      </c>
      <c r="GT333" s="79"/>
    </row>
    <row r="334" spans="1:286" ht="12.75" hidden="1" customHeight="1" outlineLevel="1" x14ac:dyDescent="0.2">
      <c r="A334" s="1"/>
      <c r="C334" s="79"/>
      <c r="D334" s="79"/>
      <c r="E334" s="283"/>
      <c r="F334" s="283"/>
      <c r="G334" s="283"/>
      <c r="H334" s="283"/>
      <c r="I334" s="283"/>
      <c r="J334" s="283"/>
      <c r="K334" s="283"/>
      <c r="L334" s="79"/>
      <c r="M334" s="283"/>
      <c r="N334" s="79"/>
      <c r="O334" s="283"/>
      <c r="P334" s="79"/>
      <c r="Q334" s="283"/>
      <c r="R334" s="79"/>
      <c r="S334" s="283"/>
      <c r="T334" s="79"/>
      <c r="U334" s="283"/>
      <c r="V334" s="79"/>
      <c r="W334" s="283"/>
      <c r="X334" s="79"/>
      <c r="Y334" s="283"/>
      <c r="Z334" s="79"/>
      <c r="AA334" s="284"/>
      <c r="AB334" s="79"/>
      <c r="AC334" s="283"/>
      <c r="AD334" s="79"/>
      <c r="AE334" s="283"/>
      <c r="AF334" s="79"/>
      <c r="AG334" s="283"/>
      <c r="AH334" s="79"/>
      <c r="AI334" s="283"/>
      <c r="AJ334" s="79"/>
      <c r="AK334" s="283"/>
      <c r="AL334" s="79"/>
      <c r="AM334" s="283"/>
      <c r="AN334" s="79"/>
      <c r="AO334" s="283"/>
      <c r="AP334" s="79"/>
      <c r="AQ334" s="283"/>
      <c r="AR334" s="79"/>
      <c r="AS334" s="283"/>
      <c r="AT334" s="81"/>
      <c r="AU334" s="283"/>
      <c r="AV334" s="81"/>
      <c r="AW334" s="283"/>
      <c r="AX334" s="81"/>
      <c r="AY334" s="283"/>
      <c r="AZ334" s="81"/>
      <c r="BA334" s="283"/>
      <c r="BB334" s="81"/>
      <c r="BC334" s="283"/>
      <c r="BD334" s="81"/>
      <c r="BE334" s="283"/>
      <c r="BF334" s="81"/>
      <c r="BG334" s="283"/>
      <c r="BH334" s="81"/>
      <c r="BI334" s="283"/>
      <c r="BJ334" s="81"/>
      <c r="BK334" s="283"/>
      <c r="BL334" s="81"/>
      <c r="BM334" s="283"/>
      <c r="BN334" s="81"/>
      <c r="BO334" s="283"/>
      <c r="BP334" s="81"/>
      <c r="BQ334" s="283"/>
      <c r="BR334" s="81"/>
      <c r="BS334" s="283"/>
      <c r="BT334" s="81"/>
      <c r="BU334" s="283"/>
      <c r="BV334" s="81"/>
      <c r="BW334" s="283"/>
      <c r="BX334" s="81"/>
      <c r="BY334" s="283"/>
      <c r="BZ334" s="81"/>
      <c r="CA334" s="283"/>
      <c r="CB334" s="81"/>
      <c r="CC334" s="283"/>
      <c r="CD334" s="81"/>
      <c r="CE334" s="283"/>
      <c r="CF334" s="81"/>
      <c r="CG334" s="283"/>
      <c r="CH334" s="81"/>
      <c r="CI334" s="283"/>
      <c r="CJ334" s="81"/>
      <c r="CK334" s="283"/>
      <c r="CL334" s="81"/>
      <c r="CM334" s="283"/>
      <c r="CN334" s="81"/>
      <c r="CO334" s="283"/>
      <c r="CP334" s="81"/>
      <c r="CQ334" s="283"/>
      <c r="CR334" s="81"/>
      <c r="CS334" s="283"/>
      <c r="CT334" s="81"/>
      <c r="CU334" s="283"/>
      <c r="CV334" s="81"/>
      <c r="CW334" s="283"/>
      <c r="CX334" s="81"/>
      <c r="CY334" s="283"/>
      <c r="CZ334" s="81"/>
      <c r="DA334" s="283"/>
      <c r="DB334" s="81"/>
      <c r="DC334" s="283"/>
      <c r="DD334" s="81"/>
      <c r="DE334" s="283"/>
      <c r="DF334" s="81"/>
      <c r="DG334" s="283"/>
      <c r="DH334" s="81"/>
      <c r="DI334" s="283"/>
      <c r="DJ334" s="81"/>
      <c r="DK334" s="283"/>
      <c r="DL334" s="81"/>
      <c r="DM334" s="283"/>
      <c r="DN334" s="81"/>
      <c r="DO334" s="283"/>
      <c r="DP334" s="81"/>
      <c r="DQ334" s="283"/>
      <c r="DR334" s="81"/>
      <c r="DS334" s="283"/>
      <c r="DT334" s="81"/>
      <c r="DU334" s="283"/>
      <c r="DV334" s="81"/>
      <c r="DW334" s="283"/>
      <c r="DX334" s="81"/>
      <c r="DY334" s="283"/>
      <c r="DZ334" s="81"/>
      <c r="EA334" s="283"/>
      <c r="EB334" s="81"/>
      <c r="EC334" s="283"/>
      <c r="ED334" s="81"/>
      <c r="EE334" s="283"/>
      <c r="EF334" s="81"/>
      <c r="EG334" s="283"/>
      <c r="EH334" s="81"/>
      <c r="EI334" s="283"/>
      <c r="EJ334" s="81"/>
      <c r="EK334" s="283"/>
      <c r="EL334" s="81"/>
      <c r="EM334" s="283"/>
      <c r="EN334" s="81"/>
      <c r="EO334" s="283"/>
      <c r="EP334" s="81"/>
      <c r="EQ334" s="283"/>
      <c r="ER334" s="81"/>
      <c r="ES334" s="129"/>
      <c r="ET334" s="469"/>
      <c r="EU334" s="129"/>
      <c r="EV334" s="185"/>
      <c r="EW334" s="79"/>
      <c r="EX334" s="283"/>
      <c r="EY334" s="79"/>
      <c r="EZ334" s="185"/>
      <c r="FA334" s="79"/>
      <c r="FB334" s="185"/>
      <c r="FC334" s="79"/>
      <c r="FD334" s="185"/>
      <c r="FE334" s="79"/>
      <c r="FF334" s="185"/>
      <c r="FG334" s="79"/>
      <c r="FH334" s="185"/>
      <c r="FI334" s="79"/>
      <c r="FJ334" s="185"/>
      <c r="FK334" s="79"/>
      <c r="FL334" s="185"/>
      <c r="FM334" s="79"/>
      <c r="FN334" s="185"/>
      <c r="FO334" s="79"/>
      <c r="FP334" s="185"/>
      <c r="FQ334" s="79"/>
      <c r="FR334" s="283"/>
      <c r="FS334" s="79"/>
      <c r="FT334" s="283"/>
      <c r="FU334" s="79"/>
      <c r="FV334" s="283"/>
      <c r="FW334" s="79"/>
      <c r="FX334" s="283"/>
      <c r="FY334" s="79"/>
      <c r="FZ334" s="283"/>
      <c r="GA334" s="79"/>
      <c r="GB334" s="283"/>
      <c r="GC334" s="79"/>
      <c r="GD334" s="283"/>
      <c r="GE334" s="79"/>
      <c r="GF334" s="283"/>
      <c r="GG334" s="79"/>
      <c r="GH334" s="283"/>
      <c r="GI334" s="79"/>
      <c r="GJ334" s="283"/>
      <c r="GK334" s="79"/>
      <c r="GL334" s="283"/>
      <c r="GM334" s="79"/>
      <c r="GN334" s="283"/>
      <c r="GO334" s="79"/>
      <c r="GP334" s="283"/>
      <c r="GQ334" s="79"/>
      <c r="GR334" s="283"/>
      <c r="GS334" s="79"/>
      <c r="GT334" s="79"/>
    </row>
    <row r="335" spans="1:286" s="405" customFormat="1" ht="12.75" hidden="1" customHeight="1" outlineLevel="1" x14ac:dyDescent="0.2">
      <c r="A335" s="406"/>
      <c r="B335" s="407" t="s">
        <v>238</v>
      </c>
      <c r="C335" s="408"/>
      <c r="D335" s="408"/>
      <c r="E335" s="409"/>
      <c r="F335" s="409"/>
      <c r="G335" s="409"/>
      <c r="H335" s="409"/>
      <c r="I335" s="409"/>
      <c r="J335" s="409"/>
      <c r="K335" s="409"/>
      <c r="L335" s="408"/>
      <c r="M335" s="409"/>
      <c r="N335" s="408"/>
      <c r="O335" s="409"/>
      <c r="P335" s="408"/>
      <c r="Q335" s="409"/>
      <c r="R335" s="408"/>
      <c r="S335" s="409"/>
      <c r="T335" s="408"/>
      <c r="U335" s="409"/>
      <c r="V335" s="408"/>
      <c r="W335" s="409"/>
      <c r="X335" s="408"/>
      <c r="Y335" s="409"/>
      <c r="Z335" s="408"/>
      <c r="AA335" s="409"/>
      <c r="AB335" s="408"/>
      <c r="AC335" s="409"/>
      <c r="AD335" s="408"/>
      <c r="AE335" s="409"/>
      <c r="AF335" s="408"/>
      <c r="AG335" s="409"/>
      <c r="AH335" s="408"/>
      <c r="AI335" s="409"/>
      <c r="AJ335" s="408"/>
      <c r="AK335" s="409"/>
      <c r="AL335" s="408"/>
      <c r="AM335" s="409"/>
      <c r="AN335" s="408"/>
      <c r="AO335" s="409"/>
      <c r="AP335" s="408"/>
      <c r="AQ335" s="409"/>
      <c r="AR335" s="408"/>
      <c r="AS335" s="409"/>
      <c r="AT335" s="410"/>
      <c r="AU335" s="409"/>
      <c r="AV335" s="410"/>
      <c r="AW335" s="409"/>
      <c r="AX335" s="410"/>
      <c r="AY335" s="409"/>
      <c r="AZ335" s="410"/>
      <c r="BA335" s="409"/>
      <c r="BB335" s="410"/>
      <c r="BC335" s="409"/>
      <c r="BD335" s="410"/>
      <c r="BE335" s="409"/>
      <c r="BF335" s="410"/>
      <c r="BG335" s="409"/>
      <c r="BH335" s="410"/>
      <c r="BI335" s="409"/>
      <c r="BJ335" s="410"/>
      <c r="BK335" s="409"/>
      <c r="BL335" s="410"/>
      <c r="BM335" s="409"/>
      <c r="BN335" s="410"/>
      <c r="BO335" s="409"/>
      <c r="BP335" s="410"/>
      <c r="BQ335" s="409"/>
      <c r="BR335" s="410"/>
      <c r="BS335" s="409"/>
      <c r="BT335" s="410"/>
      <c r="BU335" s="409"/>
      <c r="BV335" s="410"/>
      <c r="BW335" s="409"/>
      <c r="BX335" s="410"/>
      <c r="BY335" s="409"/>
      <c r="BZ335" s="410"/>
      <c r="CA335" s="409"/>
      <c r="CB335" s="410"/>
      <c r="CC335" s="409"/>
      <c r="CD335" s="410"/>
      <c r="CE335" s="409"/>
      <c r="CF335" s="410"/>
      <c r="CG335" s="409"/>
      <c r="CH335" s="410"/>
      <c r="CI335" s="409"/>
      <c r="CJ335" s="410"/>
      <c r="CK335" s="409"/>
      <c r="CL335" s="410"/>
      <c r="CM335" s="409"/>
      <c r="CN335" s="410"/>
      <c r="CO335" s="409"/>
      <c r="CP335" s="410"/>
      <c r="CQ335" s="409"/>
      <c r="CR335" s="410"/>
      <c r="CS335" s="409"/>
      <c r="CT335" s="410"/>
      <c r="CU335" s="409"/>
      <c r="CV335" s="410"/>
      <c r="CW335" s="409"/>
      <c r="CX335" s="410"/>
      <c r="CY335" s="409"/>
      <c r="CZ335" s="410"/>
      <c r="DA335" s="409"/>
      <c r="DB335" s="410"/>
      <c r="DC335" s="409"/>
      <c r="DD335" s="410"/>
      <c r="DE335" s="409"/>
      <c r="DF335" s="410"/>
      <c r="DG335" s="409"/>
      <c r="DH335" s="410"/>
      <c r="DI335" s="409"/>
      <c r="DJ335" s="410"/>
      <c r="DK335" s="409"/>
      <c r="DL335" s="410"/>
      <c r="DM335" s="409"/>
      <c r="DN335" s="410"/>
      <c r="DO335" s="409"/>
      <c r="DP335" s="410"/>
      <c r="DQ335" s="409"/>
      <c r="DR335" s="410"/>
      <c r="DS335" s="409"/>
      <c r="DT335" s="410"/>
      <c r="DU335" s="409"/>
      <c r="DV335" s="410"/>
      <c r="DW335" s="409"/>
      <c r="DX335" s="410"/>
      <c r="DY335" s="409"/>
      <c r="DZ335" s="410"/>
      <c r="EA335" s="409"/>
      <c r="EB335" s="410"/>
      <c r="EC335" s="409"/>
      <c r="ED335" s="410"/>
      <c r="EE335" s="409"/>
      <c r="EF335" s="410"/>
      <c r="EG335" s="409"/>
      <c r="EH335" s="410"/>
      <c r="EI335" s="409"/>
      <c r="EJ335" s="410"/>
      <c r="EK335" s="409"/>
      <c r="EL335" s="410"/>
      <c r="EM335" s="409"/>
      <c r="EN335" s="410"/>
      <c r="EO335" s="409"/>
      <c r="EP335" s="410"/>
      <c r="EQ335" s="409"/>
      <c r="ER335" s="410"/>
      <c r="ES335" s="409"/>
      <c r="ET335" s="483"/>
      <c r="EU335" s="409"/>
      <c r="EV335" s="409"/>
      <c r="EW335" s="408"/>
      <c r="EX335" s="409"/>
      <c r="EY335" s="408"/>
      <c r="EZ335" s="409"/>
      <c r="FA335" s="408"/>
      <c r="FB335" s="409"/>
      <c r="FC335" s="408"/>
      <c r="FD335" s="409"/>
      <c r="FE335" s="408"/>
      <c r="FF335" s="409"/>
      <c r="FG335" s="408"/>
      <c r="FH335" s="409"/>
      <c r="FI335" s="408"/>
      <c r="FJ335" s="409"/>
      <c r="FK335" s="408"/>
      <c r="FL335" s="409"/>
      <c r="FM335" s="408"/>
      <c r="FN335" s="409"/>
      <c r="FO335" s="408"/>
      <c r="FP335" s="409"/>
      <c r="FQ335" s="408"/>
      <c r="FR335" s="409"/>
      <c r="FS335" s="408"/>
      <c r="FT335" s="409"/>
      <c r="FU335" s="408"/>
      <c r="FV335" s="409"/>
      <c r="FW335" s="408"/>
      <c r="FX335" s="409"/>
      <c r="FY335" s="408"/>
      <c r="FZ335" s="409"/>
      <c r="GA335" s="408"/>
      <c r="GB335" s="409"/>
      <c r="GC335" s="408"/>
      <c r="GD335" s="409"/>
      <c r="GE335" s="408"/>
      <c r="GF335" s="409"/>
      <c r="GG335" s="408"/>
      <c r="GH335" s="409"/>
      <c r="GI335" s="408"/>
      <c r="GJ335" s="409"/>
      <c r="GK335" s="408"/>
      <c r="GL335" s="409"/>
      <c r="GM335" s="408"/>
      <c r="GN335" s="409"/>
      <c r="GO335" s="408"/>
      <c r="GP335" s="409"/>
      <c r="GQ335" s="408"/>
      <c r="GR335" s="409"/>
      <c r="GS335" s="408"/>
      <c r="GT335" s="408"/>
      <c r="GU335" s="562"/>
      <c r="GV335" s="562"/>
      <c r="GW335"/>
      <c r="GX335"/>
      <c r="GY335"/>
      <c r="GZ335"/>
      <c r="HA335"/>
      <c r="HB335"/>
      <c r="HC335" s="562"/>
      <c r="HD335" s="562"/>
      <c r="HE335" s="562"/>
      <c r="HF335" s="562"/>
      <c r="HG335" s="562"/>
      <c r="HH335" s="562"/>
      <c r="HI335" s="562"/>
      <c r="HJ335" s="562"/>
      <c r="HK335" s="562"/>
      <c r="HL335" s="562"/>
      <c r="HM335" s="562"/>
      <c r="HN335" s="562"/>
      <c r="HO335" s="562"/>
      <c r="HP335" s="562"/>
      <c r="HQ335" s="562"/>
      <c r="HR335" s="562"/>
      <c r="HS335" s="562"/>
      <c r="HT335" s="562"/>
      <c r="HU335" s="562"/>
      <c r="HV335" s="562"/>
      <c r="HW335" s="562"/>
      <c r="HX335" s="562"/>
      <c r="HY335" s="562"/>
      <c r="HZ335" s="562"/>
      <c r="IA335" s="562"/>
      <c r="IB335" s="562"/>
      <c r="IC335" s="562"/>
      <c r="ID335" s="562"/>
      <c r="IE335" s="562"/>
      <c r="IF335" s="562"/>
      <c r="IG335" s="562"/>
      <c r="IH335" s="562"/>
      <c r="II335" s="562"/>
      <c r="IJ335" s="562"/>
      <c r="IK335" s="562"/>
      <c r="IL335" s="562"/>
      <c r="IM335" s="562"/>
      <c r="IN335" s="562"/>
      <c r="IO335" s="562"/>
      <c r="IP335" s="562"/>
      <c r="IQ335" s="562"/>
      <c r="IR335" s="562"/>
      <c r="IS335" s="562"/>
      <c r="IT335" s="562"/>
      <c r="IU335" s="562"/>
      <c r="IV335" s="562"/>
      <c r="IW335" s="562"/>
      <c r="IX335" s="562"/>
      <c r="IY335" s="562"/>
      <c r="IZ335" s="562"/>
      <c r="JA335" s="562"/>
      <c r="JB335" s="562"/>
      <c r="JC335" s="562"/>
      <c r="JD335" s="562"/>
      <c r="JE335" s="562"/>
      <c r="JF335" s="562"/>
      <c r="JG335" s="562"/>
      <c r="JH335" s="562"/>
      <c r="JI335" s="562"/>
      <c r="JJ335" s="562"/>
      <c r="JK335" s="562"/>
      <c r="JL335" s="562"/>
      <c r="JM335" s="562"/>
      <c r="JN335" s="562"/>
      <c r="JO335" s="562"/>
      <c r="JP335" s="562"/>
      <c r="JQ335" s="562"/>
      <c r="JR335" s="562"/>
      <c r="JS335" s="562"/>
      <c r="JT335" s="562"/>
      <c r="JU335" s="562"/>
      <c r="JV335" s="562"/>
      <c r="JW335" s="562"/>
      <c r="JX335" s="562"/>
      <c r="JY335" s="562"/>
      <c r="JZ335" s="562"/>
    </row>
    <row r="336" spans="1:286" ht="12.75" hidden="1" customHeight="1" outlineLevel="1" x14ac:dyDescent="0.2">
      <c r="A336" s="1"/>
      <c r="B336" s="83"/>
      <c r="C336" s="79"/>
      <c r="D336" s="79"/>
      <c r="E336" s="129"/>
      <c r="F336" s="129"/>
      <c r="G336" s="129"/>
      <c r="H336" s="129"/>
      <c r="I336" s="129"/>
      <c r="J336" s="129"/>
      <c r="K336" s="129"/>
      <c r="L336" s="79"/>
      <c r="M336" s="129"/>
      <c r="N336" s="79"/>
      <c r="O336" s="129"/>
      <c r="P336" s="79"/>
      <c r="Q336" s="129"/>
      <c r="R336" s="79"/>
      <c r="S336" s="129"/>
      <c r="T336" s="79"/>
      <c r="U336" s="129"/>
      <c r="V336" s="79"/>
      <c r="W336" s="129"/>
      <c r="X336" s="79"/>
      <c r="Y336" s="129"/>
      <c r="Z336" s="79"/>
      <c r="AA336" s="130"/>
      <c r="AB336" s="79"/>
      <c r="AC336" s="129"/>
      <c r="AD336" s="79"/>
      <c r="AE336" s="129"/>
      <c r="AF336" s="79"/>
      <c r="AG336" s="129"/>
      <c r="AH336" s="79"/>
      <c r="AI336" s="129"/>
      <c r="AJ336" s="79"/>
      <c r="AK336" s="129"/>
      <c r="AL336" s="79"/>
      <c r="AM336" s="129"/>
      <c r="AN336" s="79"/>
      <c r="AO336" s="129"/>
      <c r="AP336" s="79"/>
      <c r="AQ336" s="129"/>
      <c r="AR336" s="79"/>
      <c r="AS336" s="129"/>
      <c r="AT336" s="81"/>
      <c r="AU336" s="129"/>
      <c r="AV336" s="81"/>
      <c r="AW336" s="129"/>
      <c r="AX336" s="81"/>
      <c r="AY336" s="129"/>
      <c r="AZ336" s="81"/>
      <c r="BA336" s="129"/>
      <c r="BB336" s="81"/>
      <c r="BC336" s="129"/>
      <c r="BD336" s="81"/>
      <c r="BE336" s="129"/>
      <c r="BF336" s="81"/>
      <c r="BG336" s="129"/>
      <c r="BH336" s="81"/>
      <c r="BI336" s="129"/>
      <c r="BJ336" s="81"/>
      <c r="BK336" s="129"/>
      <c r="BL336" s="81"/>
      <c r="BM336" s="129"/>
      <c r="BN336" s="81"/>
      <c r="BO336" s="129"/>
      <c r="BP336" s="81"/>
      <c r="BQ336" s="129"/>
      <c r="BR336" s="81"/>
      <c r="BS336" s="129"/>
      <c r="BT336" s="81"/>
      <c r="BU336" s="129"/>
      <c r="BV336" s="81"/>
      <c r="BW336" s="129"/>
      <c r="BX336" s="81"/>
      <c r="BY336" s="129"/>
      <c r="BZ336" s="81"/>
      <c r="CA336" s="129"/>
      <c r="CB336" s="81"/>
      <c r="CC336" s="129"/>
      <c r="CD336" s="81"/>
      <c r="CE336" s="129"/>
      <c r="CF336" s="81"/>
      <c r="CG336" s="129"/>
      <c r="CH336" s="81"/>
      <c r="CI336" s="129"/>
      <c r="CJ336" s="81"/>
      <c r="CK336" s="129"/>
      <c r="CL336" s="81"/>
      <c r="CM336" s="129"/>
      <c r="CN336" s="81"/>
      <c r="CO336" s="129"/>
      <c r="CP336" s="81"/>
      <c r="CQ336" s="129"/>
      <c r="CR336" s="81"/>
      <c r="CS336" s="129"/>
      <c r="CT336" s="81"/>
      <c r="CU336" s="129"/>
      <c r="CV336" s="81"/>
      <c r="CW336" s="129"/>
      <c r="CX336" s="81"/>
      <c r="CY336" s="129"/>
      <c r="CZ336" s="81"/>
      <c r="DA336" s="129"/>
      <c r="DB336" s="81"/>
      <c r="DC336" s="129"/>
      <c r="DD336" s="81"/>
      <c r="DE336" s="129"/>
      <c r="DF336" s="81"/>
      <c r="DG336" s="129"/>
      <c r="DH336" s="81"/>
      <c r="DI336" s="129"/>
      <c r="DJ336" s="81"/>
      <c r="DK336" s="129"/>
      <c r="DL336" s="81"/>
      <c r="DM336" s="129"/>
      <c r="DN336" s="81"/>
      <c r="DO336" s="129"/>
      <c r="DP336" s="81"/>
      <c r="DQ336" s="129"/>
      <c r="DR336" s="81"/>
      <c r="DS336" s="129"/>
      <c r="DT336" s="81"/>
      <c r="DU336" s="129"/>
      <c r="DV336" s="81"/>
      <c r="DW336" s="129"/>
      <c r="DX336" s="81"/>
      <c r="DY336" s="129"/>
      <c r="DZ336" s="81"/>
      <c r="EA336" s="129"/>
      <c r="EB336" s="81"/>
      <c r="EC336" s="129"/>
      <c r="ED336" s="81"/>
      <c r="EE336" s="129"/>
      <c r="EF336" s="81"/>
      <c r="EG336" s="129"/>
      <c r="EH336" s="81"/>
      <c r="EI336" s="129"/>
      <c r="EJ336" s="81"/>
      <c r="EK336" s="129"/>
      <c r="EL336" s="81"/>
      <c r="EM336" s="129"/>
      <c r="EN336" s="81"/>
      <c r="EO336" s="129"/>
      <c r="EP336" s="81"/>
      <c r="EQ336" s="129"/>
      <c r="ER336" s="81"/>
      <c r="ES336" s="129"/>
      <c r="ET336" s="469"/>
      <c r="EU336" s="129"/>
      <c r="EV336" s="129"/>
      <c r="EW336" s="79"/>
      <c r="EX336" s="129"/>
      <c r="EY336" s="79"/>
      <c r="EZ336" s="129"/>
      <c r="FA336" s="79"/>
      <c r="FB336" s="129"/>
      <c r="FC336" s="79"/>
      <c r="FD336" s="129"/>
      <c r="FE336" s="79"/>
      <c r="FF336" s="129"/>
      <c r="FG336" s="79"/>
      <c r="FH336" s="129"/>
      <c r="FI336" s="79"/>
      <c r="FJ336" s="129"/>
      <c r="FK336" s="79"/>
      <c r="FL336" s="129"/>
      <c r="FM336" s="79"/>
      <c r="FN336" s="129"/>
      <c r="FO336" s="79"/>
      <c r="FP336" s="129"/>
      <c r="FQ336" s="79"/>
      <c r="FR336" s="129"/>
      <c r="FS336" s="79"/>
      <c r="FT336" s="129"/>
      <c r="FU336" s="79"/>
      <c r="FV336" s="129"/>
      <c r="FW336" s="79"/>
      <c r="FX336" s="129"/>
      <c r="FY336" s="79"/>
      <c r="FZ336" s="129"/>
      <c r="GA336" s="79"/>
      <c r="GB336" s="129"/>
      <c r="GC336" s="79"/>
      <c r="GD336" s="129"/>
      <c r="GE336" s="79"/>
      <c r="GF336" s="129"/>
      <c r="GG336" s="79"/>
      <c r="GH336" s="129"/>
      <c r="GI336" s="79"/>
      <c r="GJ336" s="129"/>
      <c r="GK336" s="79"/>
      <c r="GL336" s="129"/>
      <c r="GM336" s="79"/>
      <c r="GN336" s="129"/>
      <c r="GO336" s="79"/>
      <c r="GP336" s="129"/>
      <c r="GQ336" s="79"/>
      <c r="GR336" s="129"/>
      <c r="GS336" s="79"/>
      <c r="GT336" s="79"/>
    </row>
    <row r="337" spans="1:286" ht="12.75" hidden="1" customHeight="1" outlineLevel="1" x14ac:dyDescent="0.2">
      <c r="A337" s="1"/>
      <c r="B337" s="83" t="s">
        <v>283</v>
      </c>
      <c r="C337" s="79"/>
      <c r="D337" s="79"/>
      <c r="E337" s="129"/>
      <c r="F337" s="129"/>
      <c r="G337" s="129"/>
      <c r="H337" s="129"/>
      <c r="I337" s="129"/>
      <c r="J337" s="129"/>
      <c r="K337" s="129"/>
      <c r="L337" s="79"/>
      <c r="M337" s="129"/>
      <c r="N337" s="79"/>
      <c r="O337" s="129"/>
      <c r="P337" s="79"/>
      <c r="Q337" s="129"/>
      <c r="R337" s="79"/>
      <c r="S337" s="129"/>
      <c r="T337" s="79"/>
      <c r="U337" s="129"/>
      <c r="V337" s="79"/>
      <c r="W337" s="129"/>
      <c r="X337" s="79"/>
      <c r="Y337" s="129"/>
      <c r="Z337" s="79"/>
      <c r="AA337" s="130"/>
      <c r="AB337" s="79"/>
      <c r="AC337" s="129"/>
      <c r="AD337" s="79"/>
      <c r="AE337" s="129"/>
      <c r="AF337" s="79"/>
      <c r="AG337" s="129"/>
      <c r="AH337" s="79"/>
      <c r="AI337" s="129"/>
      <c r="AJ337" s="79"/>
      <c r="AK337" s="129"/>
      <c r="AL337" s="79"/>
      <c r="AM337" s="129"/>
      <c r="AN337" s="79"/>
      <c r="AO337" s="129"/>
      <c r="AP337" s="79"/>
      <c r="AQ337" s="129"/>
      <c r="AR337" s="79"/>
      <c r="AS337" s="129"/>
      <c r="AT337" s="81"/>
      <c r="AU337" s="129"/>
      <c r="AV337" s="81"/>
      <c r="AW337" s="129"/>
      <c r="AX337" s="81"/>
      <c r="AY337" s="129"/>
      <c r="AZ337" s="81"/>
      <c r="BA337" s="129"/>
      <c r="BB337" s="81"/>
      <c r="BC337" s="129"/>
      <c r="BD337" s="81"/>
      <c r="BE337" s="129"/>
      <c r="BF337" s="81"/>
      <c r="BG337" s="129"/>
      <c r="BH337" s="81"/>
      <c r="BI337" s="129"/>
      <c r="BJ337" s="81"/>
      <c r="BK337" s="129"/>
      <c r="BL337" s="81"/>
      <c r="BM337" s="129"/>
      <c r="BN337" s="81"/>
      <c r="BO337" s="129"/>
      <c r="BP337" s="81"/>
      <c r="BQ337" s="129"/>
      <c r="BR337" s="81"/>
      <c r="BS337" s="129"/>
      <c r="BT337" s="81"/>
      <c r="BU337" s="129"/>
      <c r="BV337" s="81"/>
      <c r="BW337" s="129"/>
      <c r="BX337" s="81"/>
      <c r="BY337" s="129"/>
      <c r="BZ337" s="81"/>
      <c r="CA337" s="129"/>
      <c r="CB337" s="81"/>
      <c r="CC337" s="129"/>
      <c r="CD337" s="81"/>
      <c r="CE337" s="129"/>
      <c r="CF337" s="81"/>
      <c r="CG337" s="129"/>
      <c r="CH337" s="81"/>
      <c r="CI337" s="129"/>
      <c r="CJ337" s="81"/>
      <c r="CK337" s="129"/>
      <c r="CL337" s="81"/>
      <c r="CM337" s="129"/>
      <c r="CN337" s="81"/>
      <c r="CO337" s="129"/>
      <c r="CP337" s="81"/>
      <c r="CQ337" s="129"/>
      <c r="CR337" s="81"/>
      <c r="CS337" s="129"/>
      <c r="CT337" s="81"/>
      <c r="CU337" s="129"/>
      <c r="CV337" s="81"/>
      <c r="CW337" s="129"/>
      <c r="CX337" s="81"/>
      <c r="CY337" s="129"/>
      <c r="CZ337" s="81"/>
      <c r="DA337" s="129"/>
      <c r="DB337" s="81"/>
      <c r="DC337" s="129"/>
      <c r="DD337" s="81"/>
      <c r="DE337" s="129"/>
      <c r="DF337" s="81"/>
      <c r="DG337" s="129"/>
      <c r="DH337" s="81"/>
      <c r="DI337" s="129"/>
      <c r="DJ337" s="81"/>
      <c r="DK337" s="129"/>
      <c r="DL337" s="81"/>
      <c r="DM337" s="129"/>
      <c r="DN337" s="81"/>
      <c r="DO337" s="129"/>
      <c r="DP337" s="81"/>
      <c r="DQ337" s="129"/>
      <c r="DR337" s="81"/>
      <c r="DS337" s="129"/>
      <c r="DT337" s="81"/>
      <c r="DU337" s="129"/>
      <c r="DV337" s="81"/>
      <c r="DW337" s="129"/>
      <c r="DX337" s="81"/>
      <c r="DY337" s="129"/>
      <c r="DZ337" s="81"/>
      <c r="EA337" s="129"/>
      <c r="EB337" s="81"/>
      <c r="EC337" s="129"/>
      <c r="ED337" s="81"/>
      <c r="EE337" s="129"/>
      <c r="EF337" s="81"/>
      <c r="EG337" s="129"/>
      <c r="EH337" s="81"/>
      <c r="EI337" s="129"/>
      <c r="EJ337" s="81"/>
      <c r="EK337" s="129"/>
      <c r="EL337" s="81"/>
      <c r="EM337" s="129"/>
      <c r="EN337" s="81"/>
      <c r="EO337" s="129"/>
      <c r="EP337" s="81"/>
      <c r="EQ337" s="129"/>
      <c r="ER337" s="81"/>
      <c r="ES337" s="129"/>
      <c r="ET337" s="469"/>
      <c r="EU337" s="129"/>
      <c r="EV337" s="129"/>
      <c r="EW337" s="79"/>
      <c r="EX337" s="129"/>
      <c r="EY337" s="79"/>
      <c r="EZ337" s="129"/>
      <c r="FA337" s="79"/>
      <c r="FB337" s="129"/>
      <c r="FC337" s="79"/>
      <c r="FD337" s="129"/>
      <c r="FE337" s="79"/>
      <c r="FF337" s="129"/>
      <c r="FG337" s="79"/>
      <c r="FH337" s="129"/>
      <c r="FI337" s="79"/>
      <c r="FJ337" s="129"/>
      <c r="FK337" s="79"/>
      <c r="FL337" s="129"/>
      <c r="FM337" s="79"/>
      <c r="FN337" s="129"/>
      <c r="FO337" s="79"/>
      <c r="FP337" s="129"/>
      <c r="FQ337" s="79"/>
      <c r="FR337" s="129"/>
      <c r="FS337" s="79"/>
      <c r="FT337" s="129"/>
      <c r="FU337" s="79"/>
      <c r="FV337" s="129"/>
      <c r="FW337" s="79"/>
      <c r="FX337" s="129"/>
      <c r="FY337" s="79"/>
      <c r="FZ337" s="129"/>
      <c r="GA337" s="79"/>
      <c r="GB337" s="129"/>
      <c r="GC337" s="79"/>
      <c r="GD337" s="129"/>
      <c r="GE337" s="79"/>
      <c r="GF337" s="129"/>
      <c r="GG337" s="79"/>
      <c r="GH337" s="129"/>
      <c r="GI337" s="79"/>
      <c r="GJ337" s="129"/>
      <c r="GK337" s="79"/>
      <c r="GL337" s="129"/>
      <c r="GM337" s="79"/>
      <c r="GN337" s="129"/>
      <c r="GO337" s="79"/>
      <c r="GP337" s="129"/>
      <c r="GQ337" s="79"/>
      <c r="GR337" s="129"/>
      <c r="GS337" s="79"/>
      <c r="GT337" s="79"/>
    </row>
    <row r="338" spans="1:286" s="76" customFormat="1" ht="12.75" hidden="1" customHeight="1" outlineLevel="1" x14ac:dyDescent="0.2">
      <c r="A338" s="67"/>
      <c r="B338" s="10" t="s">
        <v>406</v>
      </c>
      <c r="C338" s="79"/>
      <c r="D338" s="79"/>
      <c r="E338" s="95">
        <v>2.1</v>
      </c>
      <c r="F338" s="95"/>
      <c r="G338" s="95">
        <v>5.9</v>
      </c>
      <c r="H338" s="95"/>
      <c r="I338" s="95">
        <v>5.2</v>
      </c>
      <c r="J338" s="95"/>
      <c r="K338" s="95">
        <v>6.5</v>
      </c>
      <c r="L338" s="79"/>
      <c r="M338" s="95">
        <v>1.2</v>
      </c>
      <c r="N338" s="79">
        <f>IF(ISERROR((M338/E338-1)*100),"NA",IF(((M338/E338-1)*100)&gt;100,"NM",IF(((M338/E338-1)*100)&lt;-50,"NM",(M338/E338-1)*100)))</f>
        <v>-42.857142857142861</v>
      </c>
      <c r="O338" s="95">
        <v>3.1</v>
      </c>
      <c r="P338" s="79">
        <f>IF(ISERROR((O338/G338-1)*100),"NA",IF(((O338/G338-1)*100)&gt;100,"NM",IF(((O338/G338-1)*100)&lt;-50,"NM",(O338/G338-1)*100)))</f>
        <v>-47.457627118644076</v>
      </c>
      <c r="Q338" s="95">
        <v>0</v>
      </c>
      <c r="R338" s="79" t="str">
        <f>IF(ISERROR((Q338/I338-1)*100),"NA",IF(((Q338/I338-1)*100)&gt;100,"NM",IF(((Q338/I338-1)*100)&lt;-50,"NM",(Q338/I338-1)*100)))</f>
        <v>NM</v>
      </c>
      <c r="S338" s="95">
        <v>0.6</v>
      </c>
      <c r="T338" s="79" t="str">
        <f>IF(ISERROR((S338/K338-1)*100),"NA",IF(((S338/K338-1)*100)&gt;100,"NM",IF(((S338/K338-1)*100)&lt;-50,"NM",(S338/K338-1)*100)))</f>
        <v>NM</v>
      </c>
      <c r="U338" s="95">
        <v>0.6</v>
      </c>
      <c r="V338" s="79">
        <f>IF(ISERROR((U338/M338-1)*100),"NA",IF(((U338/M338-1)*100)&gt;100,"NM",IF(((U338/M338-1)*100)&lt;-50,"NM",(U338/M338-1)*100)))</f>
        <v>-50</v>
      </c>
      <c r="W338" s="95">
        <v>4.0999999999999996</v>
      </c>
      <c r="X338" s="79">
        <f>IF(ISERROR((W338/O338-1)*100),"NA",IF(((W338/O338-1)*100)&gt;100,"NM",IF(((W338/O338-1)*100)&lt;-50,"NM",(W338/O338-1)*100)))</f>
        <v>32.258064516129025</v>
      </c>
      <c r="Y338" s="95">
        <v>7.8</v>
      </c>
      <c r="Z338" s="79" t="str">
        <f>IF(ISERROR((Y338/Q338-1)*100),"NA",IF(((Y338/Q338-1)*100)&gt;100,"NM",IF(((Y338/Q338-1)*100)&lt;-50,"NM",(Y338/Q338-1)*100)))</f>
        <v>NA</v>
      </c>
      <c r="AA338" s="126">
        <v>11.1</v>
      </c>
      <c r="AB338" s="79" t="str">
        <f>IF(ISERROR((AA338/S338-1)*100),"NA",IF(((AA338/S338-1)*100)&gt;100,"NM",IF(((AA338/S338-1)*100)&lt;-50,"NM",(AA338/S338-1)*100)))</f>
        <v>NM</v>
      </c>
      <c r="AC338" s="95">
        <v>4.2</v>
      </c>
      <c r="AD338" s="79" t="str">
        <f>IF(ISERROR((AC338/U338-1)*100),"NA",IF(((AC338/U338-1)*100)&gt;100,"NM",IF(((AC338/U338-1)*100)&lt;-50,"NM",(AC338/U338-1)*100)))</f>
        <v>NM</v>
      </c>
      <c r="AE338" s="95">
        <v>14.5</v>
      </c>
      <c r="AF338" s="79" t="str">
        <f>IF(ISERROR((AE338/W338-1)*100),"NA",IF(((AE338/W338-1)*100)&gt;100,"NM",IF(((AE338/W338-1)*100)&lt;-50,"NM",(AE338/W338-1)*100)))</f>
        <v>NM</v>
      </c>
      <c r="AG338" s="95">
        <v>6.6</v>
      </c>
      <c r="AH338" s="79">
        <f>IF(ISERROR((AG338/Y338-1)*100),"NA",IF(((AG338/Y338-1)*100)&gt;100,"NM",IF(((AG338/Y338-1)*100)&lt;-50,"NM",(AG338/Y338-1)*100)))</f>
        <v>-15.384615384615385</v>
      </c>
      <c r="AI338" s="95">
        <v>7.1</v>
      </c>
      <c r="AJ338" s="79">
        <f>IF(ISERROR((AI338/AA338-1)*100),"NA",IF(((AI338/AA338-1)*100)&gt;100,"NM",IF(((AI338/AA338-1)*100)&lt;-50,"NM",(AI338/AA338-1)*100)))</f>
        <v>-36.036036036036037</v>
      </c>
      <c r="AK338" s="95">
        <v>12.3</v>
      </c>
      <c r="AL338" s="79" t="str">
        <f>IF(ISERROR((AK338/AC338-1)*100),"NA",IF(((AK338/AC338-1)*100)&gt;100,"NM",IF(((AK338/AC338-1)*100)&lt;-50,"NM",(AK338/AC338-1)*100)))</f>
        <v>NM</v>
      </c>
      <c r="AM338" s="95">
        <v>12.4</v>
      </c>
      <c r="AN338" s="79">
        <f>IF(ISERROR((AM338/AE338-1)*100),"NA",IF(((AM338/AE338-1)*100)&gt;100,"NM",IF(((AM338/AE338-1)*100)&lt;-50,"NM",(AM338/AE338-1)*100)))</f>
        <v>-14.482758620689651</v>
      </c>
      <c r="AO338" s="95">
        <v>13.8</v>
      </c>
      <c r="AP338" s="79" t="str">
        <f>IF(ISERROR((AO338/AG338-1)*100),"NA",IF(((AO338/AG338-1)*100)&gt;100,"NM",IF(((AO338/AG338-1)*100)&lt;-50,"NM",(AO338/AG338-1)*100)))</f>
        <v>NM</v>
      </c>
      <c r="AQ338" s="95">
        <f>10.9-AQ339</f>
        <v>5.9</v>
      </c>
      <c r="AR338" s="79">
        <f>IF(ISERROR((AQ338/AI338-1)*100),"NA",IF(((AQ338/AI338-1)*100)&gt;100,"NM",IF(((AQ338/AI338-1)*100)&lt;-50,"NM",(AQ338/AI338-1)*100)))</f>
        <v>-16.901408450704213</v>
      </c>
      <c r="AS338" s="182">
        <f>14.6-AS339</f>
        <v>9.6</v>
      </c>
      <c r="AT338" s="81">
        <f>IF(ISERROR((AS338/AK338-1)*100),"NA",IF(((AS338/AK338-1)*100)&gt;100,"NM",IF(((AS338/AK338-1)*100)&lt;-50,"NM",(AS338/AK338-1)*100)))</f>
        <v>-21.951219512195131</v>
      </c>
      <c r="AU338" s="182">
        <f>12-AU339</f>
        <v>7</v>
      </c>
      <c r="AV338" s="81">
        <f>IF(ISERROR((AU338/AM338-1)*100),"NA",IF(((AU338/AM338-1)*100)&gt;100,"NM",IF(((AU338/AM338-1)*100)&lt;-50,"NM",(AU338/AM338-1)*100)))</f>
        <v>-43.548387096774199</v>
      </c>
      <c r="AW338" s="182">
        <f>12.5-AW339</f>
        <v>7.5</v>
      </c>
      <c r="AX338" s="81">
        <f>IF(ISERROR((AW338/AO338-1)*100),"NA",IF(((AW338/AO338-1)*100)&gt;100,"NM",IF(((AW338/AO338-1)*100)&lt;-50,"NM",(AW338/AO338-1)*100)))</f>
        <v>-45.652173913043484</v>
      </c>
      <c r="AY338" s="182">
        <f>8.3-AY339</f>
        <v>3.3000000000000007</v>
      </c>
      <c r="AZ338" s="81">
        <f>IF(ISERROR((AY338/AQ338-1)*100),"NA",IF(((AY338/AQ338-1)*100)&gt;100,"NM",IF(((AY338/AQ338-1)*100)&lt;-50,"NM",(AY338/AQ338-1)*100)))</f>
        <v>-44.067796610169488</v>
      </c>
      <c r="BA338" s="182">
        <f>9.7-BA339</f>
        <v>4.6999999999999993</v>
      </c>
      <c r="BB338" s="81" t="str">
        <f>IF(ISERROR((BA338/AS338-1)*100),"NA",IF(((BA338/AS338-1)*100)&gt;100,"NM",IF(((BA338/AS338-1)*100)&lt;-50,"NM",(BA338/AS338-1)*100)))</f>
        <v>NM</v>
      </c>
      <c r="BC338" s="182">
        <v>5.8</v>
      </c>
      <c r="BD338" s="81">
        <f>IF(ISERROR((BC338/AU338-1)*100),"NA",IF(((BC338/AU338-1)*100)&gt;100,"NM",IF(((BC338/AU338-1)*100)&lt;-50,"NM",(BC338/AU338-1)*100)))</f>
        <v>-17.142857142857149</v>
      </c>
      <c r="BE338" s="182">
        <v>9.4</v>
      </c>
      <c r="BF338" s="81">
        <f>IF(ISERROR((BE338/AW338-1)*100),"NA",IF(((BE338/AW338-1)*100)&gt;100,"NM",IF(((BE338/AW338-1)*100)&lt;-50,"NM",(BE338/AW338-1)*100)))</f>
        <v>25.333333333333343</v>
      </c>
      <c r="BG338" s="182">
        <f>19.2-BG339</f>
        <v>19.2</v>
      </c>
      <c r="BH338" s="81" t="str">
        <f>IF(ISERROR((BG338/AY338-1)*100),"NA",IF(((BG338/AY338-1)*100)&gt;100,"NM",IF(((BG338/AY338-1)*100)&lt;-50,"NM",(BG338/AY338-1)*100)))</f>
        <v>NM</v>
      </c>
      <c r="BI338" s="182">
        <f>24.5-BI339</f>
        <v>24.5</v>
      </c>
      <c r="BJ338" s="81" t="str">
        <f>IF(ISERROR((BI338/BA338-1)*100),"NA",IF(((BI338/BA338-1)*100)&gt;100,"NM",IF(((BI338/BA338-1)*100)&lt;-50,"NM",(BI338/BA338-1)*100)))</f>
        <v>NM</v>
      </c>
      <c r="BK338" s="182">
        <v>14</v>
      </c>
      <c r="BL338" s="81" t="str">
        <f>IF(ISERROR((BK338/BC338-1)*100),"NA",IF(((BK338/BC338-1)*100)&gt;100,"NM",IF(((BK338/BC338-1)*100)&lt;-50,"NM",(BK338/BC338-1)*100)))</f>
        <v>NM</v>
      </c>
      <c r="BM338" s="182">
        <v>11.6</v>
      </c>
      <c r="BN338" s="81">
        <f>IF(ISERROR((BM338/BE338-1)*100),"NA",IF(((BM338/BE338-1)*100)&gt;100,"NM",IF(((BM338/BE338-1)*100)&lt;-50,"NM",(BM338/BE338-1)*100)))</f>
        <v>23.404255319148938</v>
      </c>
      <c r="BO338" s="182"/>
      <c r="BP338" s="81"/>
      <c r="BQ338" s="182"/>
      <c r="BR338" s="81"/>
      <c r="BS338" s="182"/>
      <c r="BT338" s="81"/>
      <c r="BU338" s="182"/>
      <c r="BV338" s="81"/>
      <c r="BW338" s="182"/>
      <c r="BX338" s="81"/>
      <c r="BY338" s="182"/>
      <c r="BZ338" s="81"/>
      <c r="CA338" s="182"/>
      <c r="CB338" s="81"/>
      <c r="CC338" s="182"/>
      <c r="CD338" s="81"/>
      <c r="CE338" s="182"/>
      <c r="CF338" s="81"/>
      <c r="CG338" s="182"/>
      <c r="CH338" s="81"/>
      <c r="CI338" s="182"/>
      <c r="CJ338" s="81"/>
      <c r="CK338" s="182"/>
      <c r="CL338" s="81"/>
      <c r="CM338" s="182"/>
      <c r="CN338" s="81"/>
      <c r="CO338" s="182"/>
      <c r="CP338" s="81"/>
      <c r="CQ338" s="182"/>
      <c r="CR338" s="81"/>
      <c r="CS338" s="182"/>
      <c r="CT338" s="81"/>
      <c r="CU338" s="182"/>
      <c r="CV338" s="81"/>
      <c r="CW338" s="182"/>
      <c r="CX338" s="81"/>
      <c r="CY338" s="182"/>
      <c r="CZ338" s="81"/>
      <c r="DA338" s="182"/>
      <c r="DB338" s="81"/>
      <c r="DC338" s="182"/>
      <c r="DD338" s="81"/>
      <c r="DE338" s="182"/>
      <c r="DF338" s="81"/>
      <c r="DG338" s="182"/>
      <c r="DH338" s="81"/>
      <c r="DI338" s="182"/>
      <c r="DJ338" s="81"/>
      <c r="DK338" s="182"/>
      <c r="DL338" s="81"/>
      <c r="DM338" s="182"/>
      <c r="DN338" s="81"/>
      <c r="DO338" s="182"/>
      <c r="DP338" s="81"/>
      <c r="DQ338" s="182"/>
      <c r="DR338" s="81"/>
      <c r="DS338" s="182"/>
      <c r="DT338" s="81"/>
      <c r="DU338" s="182"/>
      <c r="DV338" s="81"/>
      <c r="DW338" s="182"/>
      <c r="DX338" s="81"/>
      <c r="DY338" s="182"/>
      <c r="DZ338" s="81"/>
      <c r="EA338" s="182"/>
      <c r="EB338" s="81"/>
      <c r="EC338" s="182"/>
      <c r="ED338" s="81"/>
      <c r="EE338" s="182"/>
      <c r="EF338" s="81"/>
      <c r="EG338" s="182"/>
      <c r="EH338" s="81"/>
      <c r="EI338" s="182"/>
      <c r="EJ338" s="81"/>
      <c r="EK338" s="182"/>
      <c r="EL338" s="81"/>
      <c r="EM338" s="182"/>
      <c r="EN338" s="81"/>
      <c r="EO338" s="182"/>
      <c r="EP338" s="81"/>
      <c r="EQ338" s="182"/>
      <c r="ER338" s="81"/>
      <c r="ES338" s="182"/>
      <c r="ET338" s="484"/>
      <c r="EU338" s="182"/>
      <c r="EV338" s="182"/>
      <c r="EW338" s="286"/>
      <c r="EX338" s="182"/>
      <c r="EY338" s="286"/>
      <c r="EZ338" s="287"/>
      <c r="FA338" s="286"/>
      <c r="FB338" s="189">
        <f>+E338+G338+I338+K338</f>
        <v>19.7</v>
      </c>
      <c r="FC338" s="286" t="str">
        <f>IF(ISERROR((FB338/EZ338-1)*100),"NA",IF(((FB338/EZ338-1)*100)&gt;100,"NM",IF(((FB338/EZ338-1)*100)&lt;-50,"NM",(FB338/EZ338-1)*100)))</f>
        <v>NA</v>
      </c>
      <c r="FD338" s="287">
        <f>+S338+Q338+O338+M338</f>
        <v>4.9000000000000004</v>
      </c>
      <c r="FE338" s="286" t="str">
        <f>IF(ISERROR((FD338/FB338-1)*100),"NA",IF(((FD338/FB338-1)*100)&gt;100,"NM",IF(((FD338/FB338-1)*100)&lt;-50,"NM",(FD338/FB338-1)*100)))</f>
        <v>NM</v>
      </c>
      <c r="FF338" s="287">
        <f>+AA338+Y338+W338+U338</f>
        <v>23.6</v>
      </c>
      <c r="FG338" s="286" t="str">
        <f>IF(ISERROR((FF338/FD338-1)*100),"NA",IF(((FF338/FD338-1)*100)&gt;100,"NM",IF(((FF338/FD338-1)*100)&lt;-50,"NM",(FF338/FD338-1)*100)))</f>
        <v>NM</v>
      </c>
      <c r="FH338" s="287">
        <f>+AI338+AG338+AE338+AC338</f>
        <v>32.4</v>
      </c>
      <c r="FI338" s="286">
        <f>IF(ISERROR((FH338/FF338-1)*100),"NA",IF(((FH338/FF338-1)*100)&gt;100,"NM",IF(((FH338/FF338-1)*100)&lt;-50,"NM",(FH338/FF338-1)*100)))</f>
        <v>37.288135593220332</v>
      </c>
      <c r="FJ338" s="189">
        <f>+AQ338+AO338+AM338+AK338</f>
        <v>44.400000000000006</v>
      </c>
      <c r="FK338" s="286">
        <f>IF(ISERROR((FJ338/FH338-1)*100),"NA",IF(((FJ338/FH338-1)*100)&gt;100,"NM",IF(((FJ338/FH338-1)*100)&lt;-50,"NM",(FJ338/FH338-1)*100)))</f>
        <v>37.037037037037067</v>
      </c>
      <c r="FL338" s="78">
        <f>AS338+AU338+AW338+AY338</f>
        <v>27.400000000000002</v>
      </c>
      <c r="FM338" s="286">
        <f>IF(ISERROR((FL338/FJ338-1)*100),"NA",IF(((FL338/FJ338-1)*100)&gt;100,"NM",IF(((FL338/FJ338-1)*100)&lt;-50,"NM",(FL338/FJ338-1)*100)))</f>
        <v>-38.2882882882883</v>
      </c>
      <c r="FN338" s="78">
        <f>BA338+BC338+BE338+BG338</f>
        <v>39.099999999999994</v>
      </c>
      <c r="FO338" s="286">
        <f>IF(ISERROR((FN338/FL338-1)*100),"NA",IF(((FN338/FL338-1)*100)&gt;100,"NM",IF(((FN338/FL338-1)*100)&lt;-50,"NM",(FN338/FL338-1)*100)))</f>
        <v>42.700729927007266</v>
      </c>
      <c r="FP338" s="78">
        <f>BI338+BK338+BM338+BO338</f>
        <v>50.1</v>
      </c>
      <c r="FQ338" s="286">
        <f>IF(ISERROR((FP338/FN338-1)*100),"NA",IF(((FP338/FN338-1)*100)&gt;100,"NM",IF(((FP338/FN338-1)*100)&lt;-50,"NM",(FP338/FN338-1)*100)))</f>
        <v>28.132992327365749</v>
      </c>
      <c r="FR338" s="189"/>
      <c r="FS338" s="286" t="str">
        <f>IF(ISERROR((FR338/FP338-1)*100),"NA",IF(((FR338/FP338-1)*100)&gt;100,"NM",IF(((FR338/FP338-1)*100)&lt;-50,"NM",(FR338/FP338-1)*100)))</f>
        <v>NM</v>
      </c>
      <c r="FT338" s="189"/>
      <c r="FU338" s="286" t="str">
        <f>IF(ISERROR((FT338/FR338-1)*100),"NA",IF(((FT338/FR338-1)*100)&gt;100,"NM",IF(((FT338/FR338-1)*100)&lt;-50,"NM",(FT338/FR338-1)*100)))</f>
        <v>NA</v>
      </c>
      <c r="FV338" s="189"/>
      <c r="FW338" s="286" t="str">
        <f>IF(ISERROR((FV338/FT338-1)*100),"NA",IF(((FV338/FT338-1)*100)&gt;100,"NM",IF(((FV338/FT338-1)*100)&lt;-50,"NM",(FV338/FT338-1)*100)))</f>
        <v>NA</v>
      </c>
      <c r="FX338" s="189"/>
      <c r="FY338" s="286" t="str">
        <f>IF(ISERROR((FX338/FV338-1)*100),"NA",IF(((FX338/FV338-1)*100)&gt;100,"NM",IF(((FX338/FV338-1)*100)&lt;-50,"NM",(FX338/FV338-1)*100)))</f>
        <v>NA</v>
      </c>
      <c r="FZ338" s="189"/>
      <c r="GA338" s="286" t="str">
        <f>IF(ISERROR((FZ338/FX338-1)*100),"NA",IF(((FZ338/FX338-1)*100)&gt;100,"NM",IF(((FZ338/FX338-1)*100)&lt;-50,"NM",(FZ338/FX338-1)*100)))</f>
        <v>NA</v>
      </c>
      <c r="GB338" s="189"/>
      <c r="GC338" s="286" t="str">
        <f>IF(ISERROR((GB338/FZ338-1)*100),"NA",IF(((GB338/FZ338-1)*100)&gt;100,"NM",IF(((GB338/FZ338-1)*100)&lt;-50,"NM",(GB338/FZ338-1)*100)))</f>
        <v>NA</v>
      </c>
      <c r="GD338" s="189"/>
      <c r="GE338" s="286" t="str">
        <f>IF(ISERROR((GD338/GB338-1)*100),"NA",IF(((GD338/GB338-1)*100)&gt;100,"NM",IF(((GD338/GB338-1)*100)&lt;-50,"NM",(GD338/GB338-1)*100)))</f>
        <v>NA</v>
      </c>
      <c r="GF338" s="189"/>
      <c r="GG338" s="286" t="str">
        <f>IF(ISERROR((GF338/GD338-1)*100),"NA",IF(((GF338/GD338-1)*100)&gt;100,"NM",IF(((GF338/GD338-1)*100)&lt;-50,"NM",(GF338/GD338-1)*100)))</f>
        <v>NA</v>
      </c>
      <c r="GH338" s="189"/>
      <c r="GI338" s="286" t="str">
        <f>IF(ISERROR((GH338/GF338-1)*100),"NA",IF(((GH338/GF338-1)*100)&gt;100,"NM",IF(((GH338/GF338-1)*100)&lt;-50,"NM",(GH338/GF338-1)*100)))</f>
        <v>NA</v>
      </c>
      <c r="GJ338" s="189"/>
      <c r="GK338" s="286" t="str">
        <f>IF(ISERROR((GJ338/GH338-1)*100),"NA",IF(((GJ338/GH338-1)*100)&gt;100,"NM",IF(((GJ338/GH338-1)*100)&lt;-50,"NM",(GJ338/GH338-1)*100)))</f>
        <v>NA</v>
      </c>
      <c r="GL338" s="182"/>
      <c r="GM338" s="286" t="str">
        <f>IF(ISERROR((GL338/GJ338-1)*100),"NA",IF(((GL338/GJ338-1)*100)&gt;100,"NM",IF(((GL338/GJ338-1)*100)&lt;-50,"NM",(GL338/GJ338-1)*100)))</f>
        <v>NA</v>
      </c>
      <c r="GN338" s="182"/>
      <c r="GO338" s="286" t="str">
        <f>IF(ISERROR((GN338/GL338-1)*100),"NA",IF(((GN338/GL338-1)*100)&gt;100,"NM",IF(((GN338/GL338-1)*100)&lt;-50,"NM",(GN338/GL338-1)*100)))</f>
        <v>NA</v>
      </c>
      <c r="GP338" s="182"/>
      <c r="GQ338" s="286" t="str">
        <f>IF(ISERROR((GP338/GN338-1)*100),"NA",IF(((GP338/GN338-1)*100)&gt;100,"NM",IF(((GP338/GN338-1)*100)&lt;-50,"NM",(GP338/GN338-1)*100)))</f>
        <v>NA</v>
      </c>
      <c r="GR338" s="182"/>
      <c r="GS338" s="286" t="str">
        <f>IF(ISERROR((GR338/GP338-1)*100),"NA",IF(((GR338/GP338-1)*100)&gt;100,"NM",IF(((GR338/GP338-1)*100)&lt;-50,"NM",(GR338/GP338-1)*100)))</f>
        <v>NA</v>
      </c>
      <c r="GT338" s="79"/>
      <c r="GU338" s="562"/>
      <c r="GV338" s="562"/>
      <c r="GW338"/>
      <c r="GX338"/>
      <c r="GY338"/>
      <c r="GZ338"/>
      <c r="HA338"/>
      <c r="HB338"/>
      <c r="HC338" s="562"/>
      <c r="HD338" s="562"/>
      <c r="HE338" s="562"/>
      <c r="HF338" s="562"/>
      <c r="HG338" s="562"/>
      <c r="HH338" s="562"/>
      <c r="HI338" s="562"/>
      <c r="HJ338" s="562"/>
      <c r="HK338" s="562"/>
      <c r="HL338" s="562"/>
      <c r="HM338" s="562"/>
      <c r="HN338" s="562"/>
      <c r="HO338" s="562"/>
      <c r="HP338" s="562"/>
      <c r="HQ338" s="562"/>
      <c r="HR338" s="562"/>
      <c r="HS338" s="562"/>
      <c r="HT338" s="562"/>
      <c r="HU338" s="562"/>
      <c r="HV338" s="562"/>
      <c r="HW338" s="562"/>
      <c r="HX338" s="562"/>
      <c r="HY338" s="562"/>
      <c r="HZ338" s="562"/>
      <c r="IA338" s="562"/>
      <c r="IB338" s="562"/>
      <c r="IC338" s="562"/>
      <c r="ID338" s="562"/>
      <c r="IE338" s="562"/>
      <c r="IF338" s="562"/>
      <c r="IG338" s="562"/>
      <c r="IH338" s="562"/>
      <c r="II338" s="562"/>
      <c r="IJ338" s="562"/>
      <c r="IK338" s="562"/>
      <c r="IL338" s="562"/>
      <c r="IM338" s="562"/>
      <c r="IN338" s="562"/>
      <c r="IO338" s="562"/>
      <c r="IP338" s="562"/>
      <c r="IQ338" s="562"/>
      <c r="IR338" s="562"/>
      <c r="IS338" s="562"/>
      <c r="IT338" s="562"/>
      <c r="IU338" s="562"/>
      <c r="IV338" s="562"/>
      <c r="IW338" s="562"/>
      <c r="IX338" s="562"/>
      <c r="IY338" s="562"/>
      <c r="IZ338" s="562"/>
      <c r="JA338" s="562"/>
      <c r="JB338" s="562"/>
      <c r="JC338" s="562"/>
      <c r="JD338" s="562"/>
      <c r="JE338" s="562"/>
      <c r="JF338" s="562"/>
      <c r="JG338" s="562"/>
      <c r="JH338" s="562"/>
      <c r="JI338" s="562"/>
      <c r="JJ338" s="562"/>
      <c r="JK338" s="562"/>
      <c r="JL338" s="562"/>
      <c r="JM338" s="562"/>
      <c r="JN338" s="562"/>
      <c r="JO338" s="562"/>
      <c r="JP338" s="562"/>
      <c r="JQ338" s="562"/>
      <c r="JR338" s="562"/>
      <c r="JS338" s="562"/>
      <c r="JT338" s="562"/>
      <c r="JU338" s="562"/>
      <c r="JV338" s="562"/>
      <c r="JW338" s="562"/>
      <c r="JX338" s="562"/>
      <c r="JY338" s="562"/>
      <c r="JZ338" s="562"/>
    </row>
    <row r="339" spans="1:286" s="291" customFormat="1" ht="12.75" hidden="1" customHeight="1" outlineLevel="1" x14ac:dyDescent="0.2">
      <c r="A339" s="288"/>
      <c r="B339" s="247" t="s">
        <v>304</v>
      </c>
      <c r="C339" s="79"/>
      <c r="D339" s="79"/>
      <c r="E339" s="75"/>
      <c r="F339" s="75"/>
      <c r="G339" s="75"/>
      <c r="H339" s="75"/>
      <c r="I339" s="75"/>
      <c r="J339" s="75"/>
      <c r="K339" s="75"/>
      <c r="L339" s="79"/>
      <c r="M339" s="75"/>
      <c r="N339" s="79"/>
      <c r="O339" s="75"/>
      <c r="P339" s="79"/>
      <c r="Q339" s="75"/>
      <c r="R339" s="79"/>
      <c r="S339" s="75"/>
      <c r="T339" s="79"/>
      <c r="U339" s="75"/>
      <c r="V339" s="79"/>
      <c r="W339" s="75"/>
      <c r="X339" s="79"/>
      <c r="Y339" s="75"/>
      <c r="Z339" s="79"/>
      <c r="AA339" s="267"/>
      <c r="AB339" s="79"/>
      <c r="AC339" s="75"/>
      <c r="AD339" s="79"/>
      <c r="AE339" s="75"/>
      <c r="AF339" s="79"/>
      <c r="AG339" s="75"/>
      <c r="AH339" s="79"/>
      <c r="AI339" s="75"/>
      <c r="AJ339" s="79"/>
      <c r="AK339" s="75"/>
      <c r="AL339" s="79"/>
      <c r="AM339" s="75"/>
      <c r="AN339" s="79" t="str">
        <f>IF(ISERROR((AM339/AE339-1)*100),"NA",IF(((AM339/AE339-1)*100)&gt;100,"NM",IF(((AM339/AE339-1)*100)&lt;-50,"NM",(AM339/AE339-1)*100)))</f>
        <v>NA</v>
      </c>
      <c r="AO339" s="75"/>
      <c r="AP339" s="79" t="str">
        <f>IF(ISERROR((AO339/AG339-1)*100),"NA",IF(((AO339/AG339-1)*100)&gt;100,"NM",IF(((AO339/AG339-1)*100)&lt;-50,"NM",(AO339/AG339-1)*100)))</f>
        <v>NA</v>
      </c>
      <c r="AQ339" s="75">
        <f>AQ379</f>
        <v>5</v>
      </c>
      <c r="AR339" s="79" t="str">
        <f>IF(ISERROR((AQ339/AI339-1)*100),"NA",IF(((AQ339/AI339-1)*100)&gt;100,"NM",IF(((AQ339/AI339-1)*100)&lt;-50,"NM",(AQ339/AI339-1)*100)))</f>
        <v>NA</v>
      </c>
      <c r="AS339" s="184">
        <f>AS379</f>
        <v>5</v>
      </c>
      <c r="AT339" s="81" t="str">
        <f>IF(ISERROR((AS339/AK339-1)*100),"NA",IF(((AS339/AK339-1)*100)&gt;100,"NM",IF(((AS339/AK339-1)*100)&lt;-50,"NM",(AS339/AK339-1)*100)))</f>
        <v>NA</v>
      </c>
      <c r="AU339" s="184">
        <f>AU379</f>
        <v>5</v>
      </c>
      <c r="AV339" s="81" t="str">
        <f>IF(ISERROR((AU339/AM339-1)*100),"NA",IF(((AU339/AM339-1)*100)&gt;100,"NM",IF(((AU339/AM339-1)*100)&lt;-50,"NM",(AU339/AM339-1)*100)))</f>
        <v>NA</v>
      </c>
      <c r="AW339" s="184">
        <f>AW379</f>
        <v>5</v>
      </c>
      <c r="AX339" s="81" t="str">
        <f>IF(ISERROR((AW339/AO339-1)*100),"NA",IF(((AW339/AO339-1)*100)&gt;100,"NM",IF(((AW339/AO339-1)*100)&lt;-50,"NM",(AW339/AO339-1)*100)))</f>
        <v>NA</v>
      </c>
      <c r="AY339" s="184">
        <f>AY379</f>
        <v>5</v>
      </c>
      <c r="AZ339" s="81">
        <f>IF(ISERROR((AY339/AQ339-1)*100),"NA",IF(((AY339/AQ339-1)*100)&gt;100,"NM",IF(((AY339/AQ339-1)*100)&lt;-50,"NM",(AY339/AQ339-1)*100)))</f>
        <v>0</v>
      </c>
      <c r="BA339" s="184">
        <f>BA379</f>
        <v>5</v>
      </c>
      <c r="BB339" s="81">
        <f>IF(ISERROR((BA339/AS339-1)*100),"NA",IF(((BA339/AS339-1)*100)&gt;100,"NM",IF(((BA339/AS339-1)*100)&lt;-50,"NM",(BA339/AS339-1)*100)))</f>
        <v>0</v>
      </c>
      <c r="BC339" s="184">
        <v>0</v>
      </c>
      <c r="BD339" s="81" t="str">
        <f>IF(ISERROR((BC339/AU339-1)*100),"NA",IF(((BC339/AU339-1)*100)&gt;100,"NM",IF(((BC339/AU339-1)*100)&lt;-50,"NM",(BC339/AU339-1)*100)))</f>
        <v>NM</v>
      </c>
      <c r="BE339" s="184">
        <v>0</v>
      </c>
      <c r="BF339" s="81" t="str">
        <f>IF(ISERROR((BE339/AW339-1)*100),"NA",IF(((BE339/AW339-1)*100)&gt;100,"NM",IF(((BE339/AW339-1)*100)&lt;-50,"NM",(BE339/AW339-1)*100)))</f>
        <v>NM</v>
      </c>
      <c r="BG339" s="184"/>
      <c r="BH339" s="81"/>
      <c r="BI339" s="184"/>
      <c r="BJ339" s="81"/>
      <c r="BK339" s="184"/>
      <c r="BL339" s="81"/>
      <c r="BM339" s="184"/>
      <c r="BN339" s="81"/>
      <c r="BO339" s="184"/>
      <c r="BP339" s="81"/>
      <c r="BQ339" s="184"/>
      <c r="BR339" s="81"/>
      <c r="BS339" s="184"/>
      <c r="BT339" s="81"/>
      <c r="BU339" s="184"/>
      <c r="BV339" s="81"/>
      <c r="BW339" s="184"/>
      <c r="BX339" s="81"/>
      <c r="BY339" s="184"/>
      <c r="BZ339" s="81"/>
      <c r="CA339" s="184"/>
      <c r="CB339" s="81"/>
      <c r="CC339" s="184"/>
      <c r="CD339" s="81"/>
      <c r="CE339" s="184"/>
      <c r="CF339" s="81"/>
      <c r="CG339" s="184"/>
      <c r="CH339" s="81"/>
      <c r="CI339" s="184"/>
      <c r="CJ339" s="81"/>
      <c r="CK339" s="184"/>
      <c r="CL339" s="81"/>
      <c r="CM339" s="184"/>
      <c r="CN339" s="81"/>
      <c r="CO339" s="184"/>
      <c r="CP339" s="81"/>
      <c r="CQ339" s="184"/>
      <c r="CR339" s="81"/>
      <c r="CS339" s="184"/>
      <c r="CT339" s="81"/>
      <c r="CU339" s="184"/>
      <c r="CV339" s="81"/>
      <c r="CW339" s="184"/>
      <c r="CX339" s="81"/>
      <c r="CY339" s="184"/>
      <c r="CZ339" s="81"/>
      <c r="DA339" s="184"/>
      <c r="DB339" s="81"/>
      <c r="DC339" s="184"/>
      <c r="DD339" s="81"/>
      <c r="DE339" s="184"/>
      <c r="DF339" s="81"/>
      <c r="DG339" s="289"/>
      <c r="DH339" s="81"/>
      <c r="DI339" s="289"/>
      <c r="DJ339" s="81"/>
      <c r="DK339" s="289"/>
      <c r="DL339" s="81"/>
      <c r="DM339" s="289"/>
      <c r="DN339" s="81"/>
      <c r="DO339" s="289"/>
      <c r="DP339" s="81"/>
      <c r="DQ339" s="289"/>
      <c r="DR339" s="81"/>
      <c r="DS339" s="289"/>
      <c r="DT339" s="81"/>
      <c r="DU339" s="289"/>
      <c r="DV339" s="81"/>
      <c r="DW339" s="289"/>
      <c r="DX339" s="81"/>
      <c r="DY339" s="289"/>
      <c r="DZ339" s="81"/>
      <c r="EA339" s="289"/>
      <c r="EB339" s="81"/>
      <c r="EC339" s="289"/>
      <c r="ED339" s="81"/>
      <c r="EE339" s="289"/>
      <c r="EF339" s="81"/>
      <c r="EG339" s="289"/>
      <c r="EH339" s="81"/>
      <c r="EI339" s="289"/>
      <c r="EJ339" s="81"/>
      <c r="EK339" s="289"/>
      <c r="EL339" s="81"/>
      <c r="EM339" s="289"/>
      <c r="EN339" s="81"/>
      <c r="EO339" s="289"/>
      <c r="EP339" s="81"/>
      <c r="EQ339" s="289"/>
      <c r="ER339" s="81"/>
      <c r="ES339" s="184"/>
      <c r="ET339" s="485"/>
      <c r="EU339" s="184"/>
      <c r="EV339" s="184"/>
      <c r="EW339" s="286"/>
      <c r="EX339" s="184"/>
      <c r="EY339" s="286"/>
      <c r="EZ339" s="287"/>
      <c r="FA339" s="286"/>
      <c r="FB339" s="184"/>
      <c r="FC339" s="286"/>
      <c r="FD339" s="287"/>
      <c r="FE339" s="286"/>
      <c r="FF339" s="287"/>
      <c r="FG339" s="286"/>
      <c r="FH339" s="287"/>
      <c r="FI339" s="286"/>
      <c r="FJ339" s="184"/>
      <c r="FK339" s="286"/>
      <c r="FL339" s="74">
        <f>AS339+AU339+AW339+AY339</f>
        <v>20</v>
      </c>
      <c r="FM339" s="286"/>
      <c r="FN339" s="74">
        <f>BA339+BC339+BE339+BG339</f>
        <v>5</v>
      </c>
      <c r="FO339" s="286"/>
      <c r="FP339" s="74">
        <f>BI339+BK339+BM339+BO339</f>
        <v>0</v>
      </c>
      <c r="FQ339" s="286"/>
      <c r="FR339" s="290"/>
      <c r="FS339" s="286"/>
      <c r="FT339" s="290"/>
      <c r="FU339" s="286"/>
      <c r="FV339" s="290"/>
      <c r="FW339" s="286"/>
      <c r="FX339" s="290"/>
      <c r="FY339" s="286"/>
      <c r="FZ339" s="290"/>
      <c r="GA339" s="286"/>
      <c r="GB339" s="290"/>
      <c r="GC339" s="286"/>
      <c r="GD339" s="290"/>
      <c r="GE339" s="286"/>
      <c r="GF339" s="290"/>
      <c r="GG339" s="286"/>
      <c r="GH339" s="290"/>
      <c r="GI339" s="286"/>
      <c r="GJ339" s="290"/>
      <c r="GK339" s="286"/>
      <c r="GL339" s="289"/>
      <c r="GM339" s="286"/>
      <c r="GN339" s="289"/>
      <c r="GO339" s="286"/>
      <c r="GP339" s="289"/>
      <c r="GQ339" s="286"/>
      <c r="GR339" s="289"/>
      <c r="GS339" s="286"/>
      <c r="GT339" s="79"/>
      <c r="GU339" s="562"/>
      <c r="GV339" s="562"/>
      <c r="GW339"/>
      <c r="GX339"/>
      <c r="GY339"/>
      <c r="GZ339"/>
      <c r="HA339"/>
      <c r="HB339"/>
      <c r="HC339" s="562"/>
      <c r="HD339" s="562"/>
      <c r="HE339" s="562"/>
      <c r="HF339" s="562"/>
      <c r="HG339" s="562"/>
      <c r="HH339" s="562"/>
      <c r="HI339" s="562"/>
      <c r="HJ339" s="562"/>
      <c r="HK339" s="562"/>
      <c r="HL339" s="562"/>
      <c r="HM339" s="562"/>
      <c r="HN339" s="562"/>
      <c r="HO339" s="562"/>
      <c r="HP339" s="562"/>
      <c r="HQ339" s="562"/>
      <c r="HR339" s="562"/>
      <c r="HS339" s="562"/>
      <c r="HT339" s="562"/>
      <c r="HU339" s="562"/>
      <c r="HV339" s="562"/>
      <c r="HW339" s="562"/>
      <c r="HX339" s="562"/>
      <c r="HY339" s="562"/>
      <c r="HZ339" s="562"/>
      <c r="IA339" s="562"/>
      <c r="IB339" s="562"/>
      <c r="IC339" s="562"/>
      <c r="ID339" s="562"/>
      <c r="IE339" s="562"/>
      <c r="IF339" s="562"/>
      <c r="IG339" s="562"/>
      <c r="IH339" s="562"/>
      <c r="II339" s="562"/>
      <c r="IJ339" s="562"/>
      <c r="IK339" s="562"/>
      <c r="IL339" s="562"/>
      <c r="IM339" s="562"/>
      <c r="IN339" s="562"/>
      <c r="IO339" s="562"/>
      <c r="IP339" s="562"/>
      <c r="IQ339" s="562"/>
      <c r="IR339" s="562"/>
      <c r="IS339" s="562"/>
      <c r="IT339" s="562"/>
      <c r="IU339" s="562"/>
      <c r="IV339" s="562"/>
      <c r="IW339" s="562"/>
      <c r="IX339" s="562"/>
      <c r="IY339" s="562"/>
      <c r="IZ339" s="562"/>
      <c r="JA339" s="562"/>
      <c r="JB339" s="562"/>
      <c r="JC339" s="562"/>
      <c r="JD339" s="562"/>
      <c r="JE339" s="562"/>
      <c r="JF339" s="562"/>
      <c r="JG339" s="562"/>
      <c r="JH339" s="562"/>
      <c r="JI339" s="562"/>
      <c r="JJ339" s="562"/>
      <c r="JK339" s="562"/>
      <c r="JL339" s="562"/>
      <c r="JM339" s="562"/>
      <c r="JN339" s="562"/>
      <c r="JO339" s="562"/>
      <c r="JP339" s="562"/>
      <c r="JQ339" s="562"/>
      <c r="JR339" s="562"/>
      <c r="JS339" s="562"/>
      <c r="JT339" s="562"/>
      <c r="JU339" s="562"/>
      <c r="JV339" s="562"/>
      <c r="JW339" s="562"/>
      <c r="JX339" s="562"/>
      <c r="JY339" s="562"/>
      <c r="JZ339" s="562"/>
    </row>
    <row r="340" spans="1:286" s="249" customFormat="1" ht="12.75" hidden="1" customHeight="1" outlineLevel="1" x14ac:dyDescent="0.2">
      <c r="A340" s="248"/>
      <c r="B340" s="10" t="s">
        <v>407</v>
      </c>
      <c r="C340" s="79"/>
      <c r="D340" s="79"/>
      <c r="E340" s="95">
        <v>9.6999999999999993</v>
      </c>
      <c r="F340" s="95"/>
      <c r="G340" s="95">
        <v>3.6</v>
      </c>
      <c r="H340" s="95"/>
      <c r="I340" s="95">
        <v>5.9</v>
      </c>
      <c r="J340" s="95"/>
      <c r="K340" s="95">
        <v>5.7</v>
      </c>
      <c r="L340" s="79"/>
      <c r="M340" s="95">
        <v>14</v>
      </c>
      <c r="N340" s="79">
        <f>IF(ISERROR((M340/E340-1)*100),"NA",IF(((M340/E340-1)*100)&gt;100,"NM",IF(((M340/E340-1)*100)&lt;-50,"NM",(M340/E340-1)*100)))</f>
        <v>44.329896907216515</v>
      </c>
      <c r="O340" s="95">
        <v>4.5</v>
      </c>
      <c r="P340" s="79">
        <f>IF(ISERROR((O340/G340-1)*100),"NA",IF(((O340/G340-1)*100)&gt;100,"NM",IF(((O340/G340-1)*100)&lt;-50,"NM",(O340/G340-1)*100)))</f>
        <v>25</v>
      </c>
      <c r="Q340" s="95">
        <v>5.8</v>
      </c>
      <c r="R340" s="79">
        <f>IF(ISERROR((Q340/I340-1)*100),"NA",IF(((Q340/I340-1)*100)&gt;100,"NM",IF(((Q340/I340-1)*100)&lt;-50,"NM",(Q340/I340-1)*100)))</f>
        <v>-1.6949152542372947</v>
      </c>
      <c r="S340" s="95">
        <v>4.8</v>
      </c>
      <c r="T340" s="79">
        <f>IF(ISERROR((S340/K340-1)*100),"NA",IF(((S340/K340-1)*100)&gt;100,"NM",IF(((S340/K340-1)*100)&lt;-50,"NM",(S340/K340-1)*100)))</f>
        <v>-15.789473684210531</v>
      </c>
      <c r="U340" s="95">
        <v>5.2</v>
      </c>
      <c r="V340" s="79" t="str">
        <f>IF(ISERROR((U340/M340-1)*100),"NA",IF(((U340/M340-1)*100)&gt;100,"NM",IF(((U340/M340-1)*100)&lt;-50,"NM",(U340/M340-1)*100)))</f>
        <v>NM</v>
      </c>
      <c r="W340" s="95">
        <v>3.7</v>
      </c>
      <c r="X340" s="79">
        <f>IF(ISERROR((W340/O340-1)*100),"NA",IF(((W340/O340-1)*100)&gt;100,"NM",IF(((W340/O340-1)*100)&lt;-50,"NM",(W340/O340-1)*100)))</f>
        <v>-17.777777777777771</v>
      </c>
      <c r="Y340" s="95">
        <v>0.5</v>
      </c>
      <c r="Z340" s="79" t="str">
        <f>IF(ISERROR((Y340/Q340-1)*100),"NA",IF(((Y340/Q340-1)*100)&gt;100,"NM",IF(((Y340/Q340-1)*100)&lt;-50,"NM",(Y340/Q340-1)*100)))</f>
        <v>NM</v>
      </c>
      <c r="AA340" s="126">
        <v>-1.4</v>
      </c>
      <c r="AB340" s="79" t="str">
        <f>IF(ISERROR((AA340/S340-1)*100),"NA",IF(((AA340/S340-1)*100)&gt;100,"NM",IF(((AA340/S340-1)*100)&lt;-50,"NM",(AA340/S340-1)*100)))</f>
        <v>NM</v>
      </c>
      <c r="AC340" s="95">
        <v>0.3</v>
      </c>
      <c r="AD340" s="79" t="str">
        <f>IF(ISERROR((AC340/U340-1)*100),"NA",IF(((AC340/U340-1)*100)&gt;100,"NM",IF(((AC340/U340-1)*100)&lt;-50,"NM",(AC340/U340-1)*100)))</f>
        <v>NM</v>
      </c>
      <c r="AE340" s="95">
        <v>10.199999999999999</v>
      </c>
      <c r="AF340" s="79" t="str">
        <f>IF(ISERROR((AE340/W340-1)*100),"NA",IF(((AE340/W340-1)*100)&gt;100,"NM",IF(((AE340/W340-1)*100)&lt;-50,"NM",(AE340/W340-1)*100)))</f>
        <v>NM</v>
      </c>
      <c r="AG340" s="95">
        <v>3.8</v>
      </c>
      <c r="AH340" s="79" t="str">
        <f>IF(ISERROR((AG340/Y340-1)*100),"NA",IF(((AG340/Y340-1)*100)&gt;100,"NM",IF(((AG340/Y340-1)*100)&lt;-50,"NM",(AG340/Y340-1)*100)))</f>
        <v>NM</v>
      </c>
      <c r="AI340" s="95">
        <v>19.3</v>
      </c>
      <c r="AJ340" s="79" t="str">
        <f>IF(ISERROR((AI340/AA340-1)*100),"NA",IF(((AI340/AA340-1)*100)&gt;100,"NM",IF(((AI340/AA340-1)*100)&lt;-50,"NM",(AI340/AA340-1)*100)))</f>
        <v>NM</v>
      </c>
      <c r="AK340" s="95">
        <v>5.0999999999999996</v>
      </c>
      <c r="AL340" s="79" t="str">
        <f>IF(ISERROR((AK340/AC340-1)*100),"NA",IF(((AK340/AC340-1)*100)&gt;100,"NM",IF(((AK340/AC340-1)*100)&lt;-50,"NM",(AK340/AC340-1)*100)))</f>
        <v>NM</v>
      </c>
      <c r="AM340" s="95">
        <v>4.2</v>
      </c>
      <c r="AN340" s="79" t="str">
        <f>IF(ISERROR((AM340/AE340-1)*100),"NA",IF(((AM340/AE340-1)*100)&gt;100,"NM",IF(((AM340/AE340-1)*100)&lt;-50,"NM",(AM340/AE340-1)*100)))</f>
        <v>NM</v>
      </c>
      <c r="AO340" s="95">
        <v>3.1</v>
      </c>
      <c r="AP340" s="79">
        <f>IF(ISERROR((AO340/AG340-1)*100),"NA",IF(((AO340/AG340-1)*100)&gt;100,"NM",IF(((AO340/AG340-1)*100)&lt;-50,"NM",(AO340/AG340-1)*100)))</f>
        <v>-18.421052631578938</v>
      </c>
      <c r="AQ340" s="95">
        <v>-0.6</v>
      </c>
      <c r="AR340" s="79" t="str">
        <f>IF(ISERROR((AQ340/AI340-1)*100),"NA",IF(((AQ340/AI340-1)*100)&gt;100,"NM",IF(((AQ340/AI340-1)*100)&lt;-50,"NM",(AQ340/AI340-1)*100)))</f>
        <v>NM</v>
      </c>
      <c r="AS340" s="105">
        <v>3.4</v>
      </c>
      <c r="AT340" s="81">
        <f>IF(ISERROR((AS340/AK340-1)*100),"NA",IF(((AS340/AK340-1)*100)&gt;100,"NM",IF(((AS340/AK340-1)*100)&lt;-50,"NM",(AS340/AK340-1)*100)))</f>
        <v>-33.333333333333329</v>
      </c>
      <c r="AU340" s="105">
        <v>3</v>
      </c>
      <c r="AV340" s="81">
        <f>IF(ISERROR((AU340/AM340-1)*100),"NA",IF(((AU340/AM340-1)*100)&gt;100,"NM",IF(((AU340/AM340-1)*100)&lt;-50,"NM",(AU340/AM340-1)*100)))</f>
        <v>-28.571428571428569</v>
      </c>
      <c r="AW340" s="105">
        <v>3.5</v>
      </c>
      <c r="AX340" s="81">
        <f>IF(ISERROR((AW340/AO340-1)*100),"NA",IF(((AW340/AO340-1)*100)&gt;100,"NM",IF(((AW340/AO340-1)*100)&lt;-50,"NM",(AW340/AO340-1)*100)))</f>
        <v>12.903225806451601</v>
      </c>
      <c r="AY340" s="105">
        <v>5.8</v>
      </c>
      <c r="AZ340" s="81" t="str">
        <f>IF(ISERROR((AY340/AQ340-1)*100),"NA",IF(((AY340/AQ340-1)*100)&gt;100,"NM",IF(((AY340/AQ340-1)*100)&lt;-50,"NM",(AY340/AQ340-1)*100)))</f>
        <v>NM</v>
      </c>
      <c r="BA340" s="105">
        <v>0.6</v>
      </c>
      <c r="BB340" s="81" t="str">
        <f>IF(ISERROR((BA340/AS340-1)*100),"NA",IF(((BA340/AS340-1)*100)&gt;100,"NM",IF(((BA340/AS340-1)*100)&lt;-50,"NM",(BA340/AS340-1)*100)))</f>
        <v>NM</v>
      </c>
      <c r="BC340" s="105">
        <v>0.7</v>
      </c>
      <c r="BD340" s="81" t="str">
        <f>IF(ISERROR((BC340/AU340-1)*100),"NA",IF(((BC340/AU340-1)*100)&gt;100,"NM",IF(((BC340/AU340-1)*100)&lt;-50,"NM",(BC340/AU340-1)*100)))</f>
        <v>NM</v>
      </c>
      <c r="BE340" s="105">
        <v>0.4</v>
      </c>
      <c r="BF340" s="81" t="str">
        <f>IF(ISERROR((BE340/AW340-1)*100),"NA",IF(((BE340/AW340-1)*100)&gt;100,"NM",IF(((BE340/AW340-1)*100)&lt;-50,"NM",(BE340/AW340-1)*100)))</f>
        <v>NM</v>
      </c>
      <c r="BG340" s="105">
        <v>0.5</v>
      </c>
      <c r="BH340" s="81" t="str">
        <f>IF(ISERROR((BG340/AY340-1)*100),"NA",IF(((BG340/AY340-1)*100)&gt;100,"NM",IF(((BG340/AY340-1)*100)&lt;-50,"NM",(BG340/AY340-1)*100)))</f>
        <v>NM</v>
      </c>
      <c r="BI340" s="105">
        <v>2.2000000000000002</v>
      </c>
      <c r="BJ340" s="81" t="str">
        <f>IF(ISERROR((BI340/BA340-1)*100),"NA",IF(((BI340/BA340-1)*100)&gt;100,"NM",IF(((BI340/BA340-1)*100)&lt;-50,"NM",(BI340/BA340-1)*100)))</f>
        <v>NM</v>
      </c>
      <c r="BK340" s="105">
        <v>0.4</v>
      </c>
      <c r="BL340" s="81">
        <f>IF(ISERROR((BK340/BC340-1)*100),"NA",IF(((BK340/BC340-1)*100)&gt;100,"NM",IF(((BK340/BC340-1)*100)&lt;-50,"NM",(BK340/BC340-1)*100)))</f>
        <v>-42.857142857142847</v>
      </c>
      <c r="BM340" s="105">
        <v>1.9</v>
      </c>
      <c r="BN340" s="81" t="str">
        <f>IF(ISERROR((BM340/BE340-1)*100),"NA",IF(((BM340/BE340-1)*100)&gt;100,"NM",IF(((BM340/BE340-1)*100)&lt;-50,"NM",(BM340/BE340-1)*100)))</f>
        <v>NM</v>
      </c>
      <c r="BO340" s="105"/>
      <c r="BP340" s="81"/>
      <c r="BQ340" s="105"/>
      <c r="BR340" s="81"/>
      <c r="BS340" s="105"/>
      <c r="BT340" s="81"/>
      <c r="BU340" s="105"/>
      <c r="BV340" s="81"/>
      <c r="BW340" s="105"/>
      <c r="BX340" s="81"/>
      <c r="BY340" s="105"/>
      <c r="BZ340" s="81"/>
      <c r="CA340" s="105"/>
      <c r="CB340" s="81"/>
      <c r="CC340" s="105"/>
      <c r="CD340" s="81"/>
      <c r="CE340" s="105"/>
      <c r="CF340" s="81"/>
      <c r="CG340" s="105"/>
      <c r="CH340" s="81"/>
      <c r="CI340" s="105"/>
      <c r="CJ340" s="81"/>
      <c r="CK340" s="105"/>
      <c r="CL340" s="81"/>
      <c r="CM340" s="105"/>
      <c r="CN340" s="81"/>
      <c r="CO340" s="105"/>
      <c r="CP340" s="81"/>
      <c r="CQ340" s="105"/>
      <c r="CR340" s="81"/>
      <c r="CS340" s="105"/>
      <c r="CT340" s="81"/>
      <c r="CU340" s="105"/>
      <c r="CV340" s="81"/>
      <c r="CW340" s="105"/>
      <c r="CX340" s="81"/>
      <c r="CY340" s="105"/>
      <c r="CZ340" s="81"/>
      <c r="DA340" s="105"/>
      <c r="DB340" s="81"/>
      <c r="DC340" s="105"/>
      <c r="DD340" s="81"/>
      <c r="DE340" s="105"/>
      <c r="DF340" s="81"/>
      <c r="DG340" s="105"/>
      <c r="DH340" s="81"/>
      <c r="DI340" s="105"/>
      <c r="DJ340" s="81"/>
      <c r="DK340" s="105"/>
      <c r="DL340" s="81"/>
      <c r="DM340" s="105"/>
      <c r="DN340" s="81"/>
      <c r="DO340" s="105"/>
      <c r="DP340" s="81"/>
      <c r="DQ340" s="105"/>
      <c r="DR340" s="81"/>
      <c r="DS340" s="105"/>
      <c r="DT340" s="81"/>
      <c r="DU340" s="105"/>
      <c r="DV340" s="81"/>
      <c r="DW340" s="105"/>
      <c r="DX340" s="81"/>
      <c r="DY340" s="105"/>
      <c r="DZ340" s="81"/>
      <c r="EA340" s="105"/>
      <c r="EB340" s="81"/>
      <c r="EC340" s="105"/>
      <c r="ED340" s="81"/>
      <c r="EE340" s="105"/>
      <c r="EF340" s="81"/>
      <c r="EG340" s="105"/>
      <c r="EH340" s="81"/>
      <c r="EI340" s="105"/>
      <c r="EJ340" s="81"/>
      <c r="EK340" s="105"/>
      <c r="EL340" s="81"/>
      <c r="EM340" s="105"/>
      <c r="EN340" s="81"/>
      <c r="EO340" s="105"/>
      <c r="EP340" s="81"/>
      <c r="EQ340" s="105"/>
      <c r="ER340" s="81"/>
      <c r="ES340" s="105"/>
      <c r="ET340" s="475"/>
      <c r="EU340" s="105"/>
      <c r="EV340" s="105"/>
      <c r="EW340" s="201"/>
      <c r="EX340" s="105"/>
      <c r="EY340" s="201"/>
      <c r="EZ340" s="241"/>
      <c r="FA340" s="201"/>
      <c r="FB340" s="103">
        <f>+E340+G340+I340+K340</f>
        <v>24.9</v>
      </c>
      <c r="FC340" s="201" t="str">
        <f>IF(ISERROR((FB340/EZ340-1)*100),"NA",IF(((FB340/EZ340-1)*100)&gt;100,"NM",IF(((FB340/EZ340-1)*100)&lt;-50,"NM",(FB340/EZ340-1)*100)))</f>
        <v>NA</v>
      </c>
      <c r="FD340" s="241">
        <f>+S340+Q340+O340+M340</f>
        <v>29.1</v>
      </c>
      <c r="FE340" s="201">
        <f>IF(ISERROR((FD340/FB340-1)*100),"NA",IF(((FD340/FB340-1)*100)&gt;100,"NM",IF(((FD340/FB340-1)*100)&lt;-50,"NM",(FD340/FB340-1)*100)))</f>
        <v>16.867469879518083</v>
      </c>
      <c r="FF340" s="241">
        <f>+AA340+Y340+W340+U340</f>
        <v>8</v>
      </c>
      <c r="FG340" s="201" t="str">
        <f>IF(ISERROR((FF340/FD340-1)*100),"NA",IF(((FF340/FD340-1)*100)&gt;100,"NM",IF(((FF340/FD340-1)*100)&lt;-50,"NM",(FF340/FD340-1)*100)))</f>
        <v>NM</v>
      </c>
      <c r="FH340" s="241">
        <f>+AI340+AG340+AE340+AC340</f>
        <v>33.599999999999994</v>
      </c>
      <c r="FI340" s="201" t="str">
        <f>IF(ISERROR((FH340/FF340-1)*100),"NA",IF(((FH340/FF340-1)*100)&gt;100,"NM",IF(((FH340/FF340-1)*100)&lt;-50,"NM",(FH340/FF340-1)*100)))</f>
        <v>NM</v>
      </c>
      <c r="FJ340" s="103">
        <f>+AQ340+AO340+AM340+AK340</f>
        <v>11.8</v>
      </c>
      <c r="FK340" s="201" t="str">
        <f>IF(ISERROR((FJ340/FH340-1)*100),"NA",IF(((FJ340/FH340-1)*100)&gt;100,"NM",IF(((FJ340/FH340-1)*100)&lt;-50,"NM",(FJ340/FH340-1)*100)))</f>
        <v>NM</v>
      </c>
      <c r="FL340" s="78">
        <f>AS340+AU340+AW340+AY340</f>
        <v>15.7</v>
      </c>
      <c r="FM340" s="201">
        <f>IF(ISERROR((FL340/FJ340-1)*100),"NA",IF(((FL340/FJ340-1)*100)&gt;100,"NM",IF(((FL340/FJ340-1)*100)&lt;-50,"NM",(FL340/FJ340-1)*100)))</f>
        <v>33.0508474576271</v>
      </c>
      <c r="FN340" s="78">
        <f>BA340+BC340+BE340+BG340</f>
        <v>2.1999999999999997</v>
      </c>
      <c r="FO340" s="201" t="str">
        <f>IF(ISERROR((FN340/FL340-1)*100),"NA",IF(((FN340/FL340-1)*100)&gt;100,"NM",IF(((FN340/FL340-1)*100)&lt;-50,"NM",(FN340/FL340-1)*100)))</f>
        <v>NM</v>
      </c>
      <c r="FP340" s="78">
        <f>BI340+BK340+BM340+BO340</f>
        <v>4.5</v>
      </c>
      <c r="FQ340" s="201" t="str">
        <f>IF(ISERROR((FP340/FN340-1)*100),"NA",IF(((FP340/FN340-1)*100)&gt;100,"NM",IF(((FP340/FN340-1)*100)&lt;-50,"NM",(FP340/FN340-1)*100)))</f>
        <v>NM</v>
      </c>
      <c r="FR340" s="103"/>
      <c r="FS340" s="201" t="str">
        <f>IF(ISERROR((FR340/FP340-1)*100),"NA",IF(((FR340/FP340-1)*100)&gt;100,"NM",IF(((FR340/FP340-1)*100)&lt;-50,"NM",(FR340/FP340-1)*100)))</f>
        <v>NM</v>
      </c>
      <c r="FT340" s="103"/>
      <c r="FU340" s="201" t="str">
        <f>IF(ISERROR((FT340/FR340-1)*100),"NA",IF(((FT340/FR340-1)*100)&gt;100,"NM",IF(((FT340/FR340-1)*100)&lt;-50,"NM",(FT340/FR340-1)*100)))</f>
        <v>NA</v>
      </c>
      <c r="FV340" s="103"/>
      <c r="FW340" s="201" t="str">
        <f>IF(ISERROR((FV340/FT340-1)*100),"NA",IF(((FV340/FT340-1)*100)&gt;100,"NM",IF(((FV340/FT340-1)*100)&lt;-50,"NM",(FV340/FT340-1)*100)))</f>
        <v>NA</v>
      </c>
      <c r="FX340" s="103"/>
      <c r="FY340" s="201" t="str">
        <f>IF(ISERROR((FX340/FV340-1)*100),"NA",IF(((FX340/FV340-1)*100)&gt;100,"NM",IF(((FX340/FV340-1)*100)&lt;-50,"NM",(FX340/FV340-1)*100)))</f>
        <v>NA</v>
      </c>
      <c r="FZ340" s="103"/>
      <c r="GA340" s="201" t="str">
        <f>IF(ISERROR((FZ340/FX340-1)*100),"NA",IF(((FZ340/FX340-1)*100)&gt;100,"NM",IF(((FZ340/FX340-1)*100)&lt;-50,"NM",(FZ340/FX340-1)*100)))</f>
        <v>NA</v>
      </c>
      <c r="GB340" s="103"/>
      <c r="GC340" s="201" t="str">
        <f>IF(ISERROR((GB340/FZ340-1)*100),"NA",IF(((GB340/FZ340-1)*100)&gt;100,"NM",IF(((GB340/FZ340-1)*100)&lt;-50,"NM",(GB340/FZ340-1)*100)))</f>
        <v>NA</v>
      </c>
      <c r="GD340" s="103"/>
      <c r="GE340" s="201" t="str">
        <f>IF(ISERROR((GD340/GB340-1)*100),"NA",IF(((GD340/GB340-1)*100)&gt;100,"NM",IF(((GD340/GB340-1)*100)&lt;-50,"NM",(GD340/GB340-1)*100)))</f>
        <v>NA</v>
      </c>
      <c r="GF340" s="103"/>
      <c r="GG340" s="201" t="str">
        <f>IF(ISERROR((GF340/GD340-1)*100),"NA",IF(((GF340/GD340-1)*100)&gt;100,"NM",IF(((GF340/GD340-1)*100)&lt;-50,"NM",(GF340/GD340-1)*100)))</f>
        <v>NA</v>
      </c>
      <c r="GH340" s="103"/>
      <c r="GI340" s="201" t="str">
        <f>IF(ISERROR((GH340/GF340-1)*100),"NA",IF(((GH340/GF340-1)*100)&gt;100,"NM",IF(((GH340/GF340-1)*100)&lt;-50,"NM",(GH340/GF340-1)*100)))</f>
        <v>NA</v>
      </c>
      <c r="GJ340" s="103"/>
      <c r="GK340" s="201" t="str">
        <f>IF(ISERROR((GJ340/GH340-1)*100),"NA",IF(((GJ340/GH340-1)*100)&gt;100,"NM",IF(((GJ340/GH340-1)*100)&lt;-50,"NM",(GJ340/GH340-1)*100)))</f>
        <v>NA</v>
      </c>
      <c r="GL340" s="105"/>
      <c r="GM340" s="201" t="str">
        <f>IF(ISERROR((GL340/GJ340-1)*100),"NA",IF(((GL340/GJ340-1)*100)&gt;100,"NM",IF(((GL340/GJ340-1)*100)&lt;-50,"NM",(GL340/GJ340-1)*100)))</f>
        <v>NA</v>
      </c>
      <c r="GN340" s="105"/>
      <c r="GO340" s="201" t="str">
        <f>IF(ISERROR((GN340/GL340-1)*100),"NA",IF(((GN340/GL340-1)*100)&gt;100,"NM",IF(((GN340/GL340-1)*100)&lt;-50,"NM",(GN340/GL340-1)*100)))</f>
        <v>NA</v>
      </c>
      <c r="GP340" s="105"/>
      <c r="GQ340" s="201" t="str">
        <f>IF(ISERROR((GP340/GN340-1)*100),"NA",IF(((GP340/GN340-1)*100)&gt;100,"NM",IF(((GP340/GN340-1)*100)&lt;-50,"NM",(GP340/GN340-1)*100)))</f>
        <v>NA</v>
      </c>
      <c r="GR340" s="105"/>
      <c r="GS340" s="201" t="str">
        <f>IF(ISERROR((GR340/GP340-1)*100),"NA",IF(((GR340/GP340-1)*100)&gt;100,"NM",IF(((GR340/GP340-1)*100)&lt;-50,"NM",(GR340/GP340-1)*100)))</f>
        <v>NA</v>
      </c>
      <c r="GT340" s="79"/>
      <c r="GU340" s="562"/>
      <c r="GV340" s="562"/>
      <c r="GW340"/>
      <c r="GX340"/>
      <c r="GY340"/>
      <c r="GZ340"/>
      <c r="HA340"/>
      <c r="HB340"/>
      <c r="HC340" s="562"/>
      <c r="HD340" s="562"/>
      <c r="HE340" s="562"/>
      <c r="HF340" s="562"/>
      <c r="HG340" s="562"/>
      <c r="HH340" s="562"/>
      <c r="HI340" s="562"/>
      <c r="HJ340" s="562"/>
      <c r="HK340" s="562"/>
      <c r="HL340" s="562"/>
      <c r="HM340" s="562"/>
      <c r="HN340" s="562"/>
      <c r="HO340" s="562"/>
      <c r="HP340" s="562"/>
      <c r="HQ340" s="562"/>
      <c r="HR340" s="562"/>
      <c r="HS340" s="562"/>
      <c r="HT340" s="562"/>
      <c r="HU340" s="562"/>
      <c r="HV340" s="562"/>
      <c r="HW340" s="562"/>
      <c r="HX340" s="562"/>
      <c r="HY340" s="562"/>
      <c r="HZ340" s="562"/>
      <c r="IA340" s="562"/>
      <c r="IB340" s="562"/>
      <c r="IC340" s="562"/>
      <c r="ID340" s="562"/>
      <c r="IE340" s="562"/>
      <c r="IF340" s="562"/>
      <c r="IG340" s="562"/>
      <c r="IH340" s="562"/>
      <c r="II340" s="562"/>
      <c r="IJ340" s="562"/>
      <c r="IK340" s="562"/>
      <c r="IL340" s="562"/>
      <c r="IM340" s="562"/>
      <c r="IN340" s="562"/>
      <c r="IO340" s="562"/>
      <c r="IP340" s="562"/>
      <c r="IQ340" s="562"/>
      <c r="IR340" s="562"/>
      <c r="IS340" s="562"/>
      <c r="IT340" s="562"/>
      <c r="IU340" s="562"/>
      <c r="IV340" s="562"/>
      <c r="IW340" s="562"/>
      <c r="IX340" s="562"/>
      <c r="IY340" s="562"/>
      <c r="IZ340" s="562"/>
      <c r="JA340" s="562"/>
      <c r="JB340" s="562"/>
      <c r="JC340" s="562"/>
      <c r="JD340" s="562"/>
      <c r="JE340" s="562"/>
      <c r="JF340" s="562"/>
      <c r="JG340" s="562"/>
      <c r="JH340" s="562"/>
      <c r="JI340" s="562"/>
      <c r="JJ340" s="562"/>
      <c r="JK340" s="562"/>
      <c r="JL340" s="562"/>
      <c r="JM340" s="562"/>
      <c r="JN340" s="562"/>
      <c r="JO340" s="562"/>
      <c r="JP340" s="562"/>
      <c r="JQ340" s="562"/>
      <c r="JR340" s="562"/>
      <c r="JS340" s="562"/>
      <c r="JT340" s="562"/>
      <c r="JU340" s="562"/>
      <c r="JV340" s="562"/>
      <c r="JW340" s="562"/>
      <c r="JX340" s="562"/>
      <c r="JY340" s="562"/>
      <c r="JZ340" s="562"/>
    </row>
    <row r="341" spans="1:286" s="249" customFormat="1" ht="12.75" hidden="1" customHeight="1" outlineLevel="1" x14ac:dyDescent="0.2">
      <c r="A341" s="248"/>
      <c r="B341" s="10" t="s">
        <v>56</v>
      </c>
      <c r="C341" s="79"/>
      <c r="D341" s="79"/>
      <c r="E341" s="75">
        <f>SUM(E338:E340)</f>
        <v>11.799999999999999</v>
      </c>
      <c r="F341" s="75"/>
      <c r="G341" s="104">
        <f>SUM(G338:G340)</f>
        <v>9.5</v>
      </c>
      <c r="H341" s="104"/>
      <c r="I341" s="75">
        <f>SUM(I338:I340)</f>
        <v>11.100000000000001</v>
      </c>
      <c r="J341" s="75"/>
      <c r="K341" s="75">
        <f>SUM(K338:K340)</f>
        <v>12.2</v>
      </c>
      <c r="L341" s="79"/>
      <c r="M341" s="75">
        <f>SUM(M338:M340)</f>
        <v>15.2</v>
      </c>
      <c r="N341" s="79">
        <f>IF(ISERROR((M341/E341-1)*100),"NA",IF(((M341/E341-1)*100)&gt;100,"NM",IF(((M341/E341-1)*100)&lt;-50,"NM",(M341/E341-1)*100)))</f>
        <v>28.81355932203391</v>
      </c>
      <c r="O341" s="75">
        <f>SUM(O338:O340)</f>
        <v>7.6</v>
      </c>
      <c r="P341" s="79">
        <f>IF(ISERROR((O341/G341-1)*100),"NA",IF(((O341/G341-1)*100)&gt;100,"NM",IF(((O341/G341-1)*100)&lt;-50,"NM",(O341/G341-1)*100)))</f>
        <v>-20.000000000000007</v>
      </c>
      <c r="Q341" s="75">
        <f>SUM(Q338:Q340)</f>
        <v>5.8</v>
      </c>
      <c r="R341" s="79">
        <f>IF(ISERROR((Q341/I341-1)*100),"NA",IF(((Q341/I341-1)*100)&gt;100,"NM",IF(((Q341/I341-1)*100)&lt;-50,"NM",(Q341/I341-1)*100)))</f>
        <v>-47.747747747747759</v>
      </c>
      <c r="S341" s="75">
        <f>SUM(S338:S340)</f>
        <v>5.3999999999999995</v>
      </c>
      <c r="T341" s="79" t="str">
        <f>IF(ISERROR((S341/K341-1)*100),"NA",IF(((S341/K341-1)*100)&gt;100,"NM",IF(((S341/K341-1)*100)&lt;-50,"NM",(S341/K341-1)*100)))</f>
        <v>NM</v>
      </c>
      <c r="U341" s="75">
        <f>SUM(U338:U340)</f>
        <v>5.8</v>
      </c>
      <c r="V341" s="79" t="str">
        <f>IF(ISERROR((U341/M341-1)*100),"NA",IF(((U341/M341-1)*100)&gt;100,"NM",IF(((U341/M341-1)*100)&lt;-50,"NM",(U341/M341-1)*100)))</f>
        <v>NM</v>
      </c>
      <c r="W341" s="75">
        <f>SUM(W338:W340)</f>
        <v>7.8</v>
      </c>
      <c r="X341" s="79">
        <f>IF(ISERROR((W341/O341-1)*100),"NA",IF(((W341/O341-1)*100)&gt;100,"NM",IF(((W341/O341-1)*100)&lt;-50,"NM",(W341/O341-1)*100)))</f>
        <v>2.6315789473684292</v>
      </c>
      <c r="Y341" s="75">
        <f>SUM(Y338:Y340)</f>
        <v>8.3000000000000007</v>
      </c>
      <c r="Z341" s="79">
        <f>IF(ISERROR((Y341/Q341-1)*100),"NA",IF(((Y341/Q341-1)*100)&gt;100,"NM",IF(((Y341/Q341-1)*100)&lt;-50,"NM",(Y341/Q341-1)*100)))</f>
        <v>43.103448275862078</v>
      </c>
      <c r="AA341" s="267">
        <f>SUM(AA338:AA340)</f>
        <v>9.6999999999999993</v>
      </c>
      <c r="AB341" s="79">
        <f>IF(ISERROR((AA341/S341-1)*100),"NA",IF(((AA341/S341-1)*100)&gt;100,"NM",IF(((AA341/S341-1)*100)&lt;-50,"NM",(AA341/S341-1)*100)))</f>
        <v>79.629629629629633</v>
      </c>
      <c r="AC341" s="75">
        <f>SUM(AC338:AC340)</f>
        <v>4.5</v>
      </c>
      <c r="AD341" s="79">
        <f>IF(ISERROR((AC341/U341-1)*100),"NA",IF(((AC341/U341-1)*100)&gt;100,"NM",IF(((AC341/U341-1)*100)&lt;-50,"NM",(AC341/U341-1)*100)))</f>
        <v>-22.413793103448278</v>
      </c>
      <c r="AE341" s="75">
        <f>SUM(AE338:AE340)</f>
        <v>24.7</v>
      </c>
      <c r="AF341" s="79" t="str">
        <f>IF(ISERROR((AE341/W341-1)*100),"NA",IF(((AE341/W341-1)*100)&gt;100,"NM",IF(((AE341/W341-1)*100)&lt;-50,"NM",(AE341/W341-1)*100)))</f>
        <v>NM</v>
      </c>
      <c r="AG341" s="75">
        <f>SUM(AG338:AG340)</f>
        <v>10.399999999999999</v>
      </c>
      <c r="AH341" s="79">
        <f>IF(ISERROR((AG341/Y341-1)*100),"NA",IF(((AG341/Y341-1)*100)&gt;100,"NM",IF(((AG341/Y341-1)*100)&lt;-50,"NM",(AG341/Y341-1)*100)))</f>
        <v>25.301204819277089</v>
      </c>
      <c r="AI341" s="75">
        <f>SUM(AI338:AI340)</f>
        <v>26.4</v>
      </c>
      <c r="AJ341" s="79" t="str">
        <f>IF(ISERROR((AI341/AA341-1)*100),"NA",IF(((AI341/AA341-1)*100)&gt;100,"NM",IF(((AI341/AA341-1)*100)&lt;-50,"NM",(AI341/AA341-1)*100)))</f>
        <v>NM</v>
      </c>
      <c r="AK341" s="75">
        <f>SUM(AK338:AK340)</f>
        <v>17.399999999999999</v>
      </c>
      <c r="AL341" s="79" t="str">
        <f>IF(ISERROR((AK341/AC341-1)*100),"NA",IF(((AK341/AC341-1)*100)&gt;100,"NM",IF(((AK341/AC341-1)*100)&lt;-50,"NM",(AK341/AC341-1)*100)))</f>
        <v>NM</v>
      </c>
      <c r="AM341" s="75">
        <f>SUM(AM338:AM340)</f>
        <v>16.600000000000001</v>
      </c>
      <c r="AN341" s="79">
        <f>IF(ISERROR((AM341/AE341-1)*100),"NA",IF(((AM341/AE341-1)*100)&gt;100,"NM",IF(((AM341/AE341-1)*100)&lt;-50,"NM",(AM341/AE341-1)*100)))</f>
        <v>-32.793522267206463</v>
      </c>
      <c r="AO341" s="75">
        <f>SUM(AO338:AO340)</f>
        <v>16.900000000000002</v>
      </c>
      <c r="AP341" s="79">
        <f>IF(ISERROR((AO341/AG341-1)*100),"NA",IF(((AO341/AG341-1)*100)&gt;100,"NM",IF(((AO341/AG341-1)*100)&lt;-50,"NM",(AO341/AG341-1)*100)))</f>
        <v>62.500000000000043</v>
      </c>
      <c r="AQ341" s="75">
        <f>SUM(AQ338:AQ340)</f>
        <v>10.3</v>
      </c>
      <c r="AR341" s="79" t="str">
        <f>IF(ISERROR((AQ341/AI341-1)*100),"NA",IF(((AQ341/AI341-1)*100)&gt;100,"NM",IF(((AQ341/AI341-1)*100)&lt;-50,"NM",(AQ341/AI341-1)*100)))</f>
        <v>NM</v>
      </c>
      <c r="AS341" s="104">
        <f>SUM(AS338:AS340)</f>
        <v>18</v>
      </c>
      <c r="AT341" s="81">
        <f>IF(ISERROR((AS341/AK341-1)*100),"NA",IF(((AS341/AK341-1)*100)&gt;100,"NM",IF(((AS341/AK341-1)*100)&lt;-50,"NM",(AS341/AK341-1)*100)))</f>
        <v>3.4482758620689724</v>
      </c>
      <c r="AU341" s="104">
        <f>SUM(AU338:AU340)</f>
        <v>15</v>
      </c>
      <c r="AV341" s="81">
        <f>IF(ISERROR((AU341/AM341-1)*100),"NA",IF(((AU341/AM341-1)*100)&gt;100,"NM",IF(((AU341/AM341-1)*100)&lt;-50,"NM",(AU341/AM341-1)*100)))</f>
        <v>-9.6385542168674796</v>
      </c>
      <c r="AW341" s="104">
        <f>SUM(AW338:AW340)</f>
        <v>16</v>
      </c>
      <c r="AX341" s="81">
        <f>IF(ISERROR((AW341/AO341-1)*100),"NA",IF(((AW341/AO341-1)*100)&gt;100,"NM",IF(((AW341/AO341-1)*100)&lt;-50,"NM",(AW341/AO341-1)*100)))</f>
        <v>-5.3254437869822642</v>
      </c>
      <c r="AY341" s="104">
        <f>SUM(AY338:AY340)</f>
        <v>14.100000000000001</v>
      </c>
      <c r="AZ341" s="81">
        <f>IF(ISERROR((AY341/AQ341-1)*100),"NA",IF(((AY341/AQ341-1)*100)&gt;100,"NM",IF(((AY341/AQ341-1)*100)&lt;-50,"NM",(AY341/AQ341-1)*100)))</f>
        <v>36.893203883495154</v>
      </c>
      <c r="BA341" s="104">
        <f>SUM(BA338:BA340)</f>
        <v>10.299999999999999</v>
      </c>
      <c r="BB341" s="81">
        <f>IF(ISERROR((BA341/AS341-1)*100),"NA",IF(((BA341/AS341-1)*100)&gt;100,"NM",IF(((BA341/AS341-1)*100)&lt;-50,"NM",(BA341/AS341-1)*100)))</f>
        <v>-42.777777777777779</v>
      </c>
      <c r="BC341" s="104">
        <f>SUM(BC338:BC340)</f>
        <v>6.5</v>
      </c>
      <c r="BD341" s="81" t="str">
        <f>IF(ISERROR((BC341/AU341-1)*100),"NA",IF(((BC341/AU341-1)*100)&gt;100,"NM",IF(((BC341/AU341-1)*100)&lt;-50,"NM",(BC341/AU341-1)*100)))</f>
        <v>NM</v>
      </c>
      <c r="BE341" s="104">
        <f>SUM(BE338:BE340)</f>
        <v>9.8000000000000007</v>
      </c>
      <c r="BF341" s="81">
        <f>IF(ISERROR((BE341/AW341-1)*100),"NA",IF(((BE341/AW341-1)*100)&gt;100,"NM",IF(((BE341/AW341-1)*100)&lt;-50,"NM",(BE341/AW341-1)*100)))</f>
        <v>-38.749999999999993</v>
      </c>
      <c r="BG341" s="104">
        <f>SUM(BG338:BG340)</f>
        <v>19.7</v>
      </c>
      <c r="BH341" s="81">
        <f>IF(ISERROR((BG341/AY341-1)*100),"NA",IF(((BG341/AY341-1)*100)&gt;100,"NM",IF(((BG341/AY341-1)*100)&lt;-50,"NM",(BG341/AY341-1)*100)))</f>
        <v>39.716312056737578</v>
      </c>
      <c r="BI341" s="104">
        <f>SUM(BI338:BI340)</f>
        <v>26.7</v>
      </c>
      <c r="BJ341" s="81" t="str">
        <f>IF(ISERROR((BI341/BA341-1)*100),"NA",IF(((BI341/BA341-1)*100)&gt;100,"NM",IF(((BI341/BA341-1)*100)&lt;-50,"NM",(BI341/BA341-1)*100)))</f>
        <v>NM</v>
      </c>
      <c r="BK341" s="104">
        <f>SUM(BK338:BK340)</f>
        <v>14.4</v>
      </c>
      <c r="BL341" s="81" t="str">
        <f>IF(ISERROR((BK341/BC341-1)*100),"NA",IF(((BK341/BC341-1)*100)&gt;100,"NM",IF(((BK341/BC341-1)*100)&lt;-50,"NM",(BK341/BC341-1)*100)))</f>
        <v>NM</v>
      </c>
      <c r="BM341" s="104">
        <f>SUM(BM338:BM340)</f>
        <v>13.5</v>
      </c>
      <c r="BN341" s="81">
        <f>IF(ISERROR((BM341/BE341-1)*100),"NA",IF(((BM341/BE341-1)*100)&gt;100,"NM",IF(((BM341/BE341-1)*100)&lt;-50,"NM",(BM341/BE341-1)*100)))</f>
        <v>37.755102040816311</v>
      </c>
      <c r="BO341" s="104"/>
      <c r="BP341" s="81"/>
      <c r="BQ341" s="104"/>
      <c r="BR341" s="81"/>
      <c r="BS341" s="104"/>
      <c r="BT341" s="81"/>
      <c r="BU341" s="104"/>
      <c r="BV341" s="81"/>
      <c r="BW341" s="104"/>
      <c r="BX341" s="81"/>
      <c r="BY341" s="104"/>
      <c r="BZ341" s="81"/>
      <c r="CA341" s="104"/>
      <c r="CB341" s="81"/>
      <c r="CC341" s="104"/>
      <c r="CD341" s="81"/>
      <c r="CE341" s="104"/>
      <c r="CF341" s="81"/>
      <c r="CG341" s="104"/>
      <c r="CH341" s="81"/>
      <c r="CI341" s="104"/>
      <c r="CJ341" s="81"/>
      <c r="CK341" s="104"/>
      <c r="CL341" s="81"/>
      <c r="CM341" s="104"/>
      <c r="CN341" s="81"/>
      <c r="CO341" s="104"/>
      <c r="CP341" s="81"/>
      <c r="CQ341" s="104"/>
      <c r="CR341" s="81"/>
      <c r="CS341" s="104"/>
      <c r="CT341" s="81"/>
      <c r="CU341" s="104"/>
      <c r="CV341" s="81"/>
      <c r="CW341" s="104"/>
      <c r="CX341" s="81"/>
      <c r="CY341" s="104"/>
      <c r="CZ341" s="81"/>
      <c r="DA341" s="104"/>
      <c r="DB341" s="81"/>
      <c r="DC341" s="104"/>
      <c r="DD341" s="81"/>
      <c r="DE341" s="104"/>
      <c r="DF341" s="81"/>
      <c r="DG341" s="104"/>
      <c r="DH341" s="81"/>
      <c r="DI341" s="104"/>
      <c r="DJ341" s="81"/>
      <c r="DK341" s="104"/>
      <c r="DL341" s="81"/>
      <c r="DM341" s="104"/>
      <c r="DN341" s="81"/>
      <c r="DO341" s="104"/>
      <c r="DP341" s="81"/>
      <c r="DQ341" s="104"/>
      <c r="DR341" s="81"/>
      <c r="DS341" s="104"/>
      <c r="DT341" s="81"/>
      <c r="DU341" s="104"/>
      <c r="DV341" s="81"/>
      <c r="DW341" s="104"/>
      <c r="DX341" s="81"/>
      <c r="DY341" s="104"/>
      <c r="DZ341" s="81"/>
      <c r="EA341" s="104"/>
      <c r="EB341" s="81"/>
      <c r="EC341" s="104"/>
      <c r="ED341" s="81"/>
      <c r="EE341" s="104"/>
      <c r="EF341" s="81"/>
      <c r="EG341" s="104"/>
      <c r="EH341" s="81"/>
      <c r="EI341" s="104"/>
      <c r="EJ341" s="81"/>
      <c r="EK341" s="104"/>
      <c r="EL341" s="81"/>
      <c r="EM341" s="104"/>
      <c r="EN341" s="81"/>
      <c r="EO341" s="104"/>
      <c r="EP341" s="81"/>
      <c r="EQ341" s="104"/>
      <c r="ER341" s="81"/>
      <c r="ES341" s="105"/>
      <c r="ET341" s="475"/>
      <c r="EU341" s="105"/>
      <c r="EV341" s="104"/>
      <c r="EW341" s="201"/>
      <c r="EX341" s="104"/>
      <c r="EY341" s="201"/>
      <c r="EZ341" s="104"/>
      <c r="FA341" s="201"/>
      <c r="FB341" s="104">
        <f>SUM(FB338:FB340)</f>
        <v>44.599999999999994</v>
      </c>
      <c r="FC341" s="201" t="str">
        <f>IF(ISERROR((FB341/EZ341-1)*100),"NA",IF(((FB341/EZ341-1)*100)&gt;100,"NM",IF(((FB341/EZ341-1)*100)&lt;-50,"NM",(FB341/EZ341-1)*100)))</f>
        <v>NA</v>
      </c>
      <c r="FD341" s="104">
        <f>SUM(FD338:FD340)</f>
        <v>34</v>
      </c>
      <c r="FE341" s="201">
        <f>IF(ISERROR((FD341/FB341-1)*100),"NA",IF(((FD341/FB341-1)*100)&gt;100,"NM",IF(((FD341/FB341-1)*100)&lt;-50,"NM",(FD341/FB341-1)*100)))</f>
        <v>-23.766816143497749</v>
      </c>
      <c r="FF341" s="104">
        <f>SUM(FF338:FF340)</f>
        <v>31.6</v>
      </c>
      <c r="FG341" s="201">
        <f>IF(ISERROR((FF341/FD341-1)*100),"NA",IF(((FF341/FD341-1)*100)&gt;100,"NM",IF(((FF341/FD341-1)*100)&lt;-50,"NM",(FF341/FD341-1)*100)))</f>
        <v>-7.0588235294117618</v>
      </c>
      <c r="FH341" s="104">
        <f>SUM(FH338:FH340)</f>
        <v>66</v>
      </c>
      <c r="FI341" s="201" t="str">
        <f>IF(ISERROR((FH341/FF341-1)*100),"NA",IF(((FH341/FF341-1)*100)&gt;100,"NM",IF(((FH341/FF341-1)*100)&lt;-50,"NM",(FH341/FF341-1)*100)))</f>
        <v>NM</v>
      </c>
      <c r="FJ341" s="104">
        <f>SUM(FJ338:FJ340)</f>
        <v>56.2</v>
      </c>
      <c r="FK341" s="201">
        <f>IF(ISERROR((FJ341/FH341-1)*100),"NA",IF(((FJ341/FH341-1)*100)&gt;100,"NM",IF(((FJ341/FH341-1)*100)&lt;-50,"NM",(FJ341/FH341-1)*100)))</f>
        <v>-14.848484848484844</v>
      </c>
      <c r="FL341" s="75">
        <f>SUM(FL338:FL340)</f>
        <v>63.100000000000009</v>
      </c>
      <c r="FM341" s="201">
        <f>IF(ISERROR((FL341/FJ341-1)*100),"NA",IF(((FL341/FJ341-1)*100)&gt;100,"NM",IF(((FL341/FJ341-1)*100)&lt;-50,"NM",(FL341/FJ341-1)*100)))</f>
        <v>12.277580071174388</v>
      </c>
      <c r="FN341" s="75">
        <f>SUM(FN338:FN340)</f>
        <v>46.3</v>
      </c>
      <c r="FO341" s="201">
        <f>IF(ISERROR((FN341/FL341-1)*100),"NA",IF(((FN341/FL341-1)*100)&gt;100,"NM",IF(((FN341/FL341-1)*100)&lt;-50,"NM",(FN341/FL341-1)*100)))</f>
        <v>-26.624405705229805</v>
      </c>
      <c r="FP341" s="75">
        <f>SUM(FP338:FP340)</f>
        <v>54.6</v>
      </c>
      <c r="FQ341" s="201">
        <f>IF(ISERROR((FP341/FN341-1)*100),"NA",IF(((FP341/FN341-1)*100)&gt;100,"NM",IF(((FP341/FN341-1)*100)&lt;-50,"NM",(FP341/FN341-1)*100)))</f>
        <v>17.926565874730027</v>
      </c>
      <c r="FR341" s="104"/>
      <c r="FS341" s="201" t="str">
        <f>IF(ISERROR((FR341/FP341-1)*100),"NA",IF(((FR341/FP341-1)*100)&gt;100,"NM",IF(((FR341/FP341-1)*100)&lt;-50,"NM",(FR341/FP341-1)*100)))</f>
        <v>NM</v>
      </c>
      <c r="FT341" s="104"/>
      <c r="FU341" s="201" t="str">
        <f>IF(ISERROR((FT341/FR341-1)*100),"NA",IF(((FT341/FR341-1)*100)&gt;100,"NM",IF(((FT341/FR341-1)*100)&lt;-50,"NM",(FT341/FR341-1)*100)))</f>
        <v>NA</v>
      </c>
      <c r="FV341" s="104"/>
      <c r="FW341" s="201" t="str">
        <f>IF(ISERROR((FV341/FT341-1)*100),"NA",IF(((FV341/FT341-1)*100)&gt;100,"NM",IF(((FV341/FT341-1)*100)&lt;-50,"NM",(FV341/FT341-1)*100)))</f>
        <v>NA</v>
      </c>
      <c r="FX341" s="104"/>
      <c r="FY341" s="201" t="str">
        <f>IF(ISERROR((FX341/FV341-1)*100),"NA",IF(((FX341/FV341-1)*100)&gt;100,"NM",IF(((FX341/FV341-1)*100)&lt;-50,"NM",(FX341/FV341-1)*100)))</f>
        <v>NA</v>
      </c>
      <c r="FZ341" s="104"/>
      <c r="GA341" s="201" t="str">
        <f>IF(ISERROR((FZ341/FX341-1)*100),"NA",IF(((FZ341/FX341-1)*100)&gt;100,"NM",IF(((FZ341/FX341-1)*100)&lt;-50,"NM",(FZ341/FX341-1)*100)))</f>
        <v>NA</v>
      </c>
      <c r="GB341" s="104"/>
      <c r="GC341" s="201" t="str">
        <f>IF(ISERROR((GB341/FZ341-1)*100),"NA",IF(((GB341/FZ341-1)*100)&gt;100,"NM",IF(((GB341/FZ341-1)*100)&lt;-50,"NM",(GB341/FZ341-1)*100)))</f>
        <v>NA</v>
      </c>
      <c r="GD341" s="104"/>
      <c r="GE341" s="201" t="str">
        <f>IF(ISERROR((GD341/GB341-1)*100),"NA",IF(((GD341/GB341-1)*100)&gt;100,"NM",IF(((GD341/GB341-1)*100)&lt;-50,"NM",(GD341/GB341-1)*100)))</f>
        <v>NA</v>
      </c>
      <c r="GF341" s="104"/>
      <c r="GG341" s="201" t="str">
        <f>IF(ISERROR((GF341/GD341-1)*100),"NA",IF(((GF341/GD341-1)*100)&gt;100,"NM",IF(((GF341/GD341-1)*100)&lt;-50,"NM",(GF341/GD341-1)*100)))</f>
        <v>NA</v>
      </c>
      <c r="GH341" s="104"/>
      <c r="GI341" s="201" t="str">
        <f>IF(ISERROR((GH341/GF341-1)*100),"NA",IF(((GH341/GF341-1)*100)&gt;100,"NM",IF(((GH341/GF341-1)*100)&lt;-50,"NM",(GH341/GF341-1)*100)))</f>
        <v>NA</v>
      </c>
      <c r="GJ341" s="104"/>
      <c r="GK341" s="201" t="str">
        <f>IF(ISERROR((GJ341/GH341-1)*100),"NA",IF(((GJ341/GH341-1)*100)&gt;100,"NM",IF(((GJ341/GH341-1)*100)&lt;-50,"NM",(GJ341/GH341-1)*100)))</f>
        <v>NA</v>
      </c>
      <c r="GL341" s="104"/>
      <c r="GM341" s="201" t="str">
        <f>IF(ISERROR((GL341/GJ341-1)*100),"NA",IF(((GL341/GJ341-1)*100)&gt;100,"NM",IF(((GL341/GJ341-1)*100)&lt;-50,"NM",(GL341/GJ341-1)*100)))</f>
        <v>NA</v>
      </c>
      <c r="GN341" s="104"/>
      <c r="GO341" s="201" t="str">
        <f>IF(ISERROR((GN341/GL341-1)*100),"NA",IF(((GN341/GL341-1)*100)&gt;100,"NM",IF(((GN341/GL341-1)*100)&lt;-50,"NM",(GN341/GL341-1)*100)))</f>
        <v>NA</v>
      </c>
      <c r="GP341" s="104"/>
      <c r="GQ341" s="201" t="str">
        <f>IF(ISERROR((GP341/GN341-1)*100),"NA",IF(((GP341/GN341-1)*100)&gt;100,"NM",IF(((GP341/GN341-1)*100)&lt;-50,"NM",(GP341/GN341-1)*100)))</f>
        <v>NA</v>
      </c>
      <c r="GR341" s="104"/>
      <c r="GS341" s="201" t="str">
        <f>IF(ISERROR((GR341/GP341-1)*100),"NA",IF(((GR341/GP341-1)*100)&gt;100,"NM",IF(((GR341/GP341-1)*100)&lt;-50,"NM",(GR341/GP341-1)*100)))</f>
        <v>NA</v>
      </c>
      <c r="GT341" s="79"/>
      <c r="GU341" s="562"/>
      <c r="GV341" s="562"/>
      <c r="GW341"/>
      <c r="GX341"/>
      <c r="GY341"/>
      <c r="GZ341"/>
      <c r="HA341"/>
      <c r="HB341"/>
      <c r="HC341" s="562"/>
      <c r="HD341" s="562"/>
      <c r="HE341" s="562"/>
      <c r="HF341" s="562"/>
      <c r="HG341" s="562"/>
      <c r="HH341" s="562"/>
      <c r="HI341" s="562"/>
      <c r="HJ341" s="562"/>
      <c r="HK341" s="562"/>
      <c r="HL341" s="562"/>
      <c r="HM341" s="562"/>
      <c r="HN341" s="562"/>
      <c r="HO341" s="562"/>
      <c r="HP341" s="562"/>
      <c r="HQ341" s="562"/>
      <c r="HR341" s="562"/>
      <c r="HS341" s="562"/>
      <c r="HT341" s="562"/>
      <c r="HU341" s="562"/>
      <c r="HV341" s="562"/>
      <c r="HW341" s="562"/>
      <c r="HX341" s="562"/>
      <c r="HY341" s="562"/>
      <c r="HZ341" s="562"/>
      <c r="IA341" s="562"/>
      <c r="IB341" s="562"/>
      <c r="IC341" s="562"/>
      <c r="ID341" s="562"/>
      <c r="IE341" s="562"/>
      <c r="IF341" s="562"/>
      <c r="IG341" s="562"/>
      <c r="IH341" s="562"/>
      <c r="II341" s="562"/>
      <c r="IJ341" s="562"/>
      <c r="IK341" s="562"/>
      <c r="IL341" s="562"/>
      <c r="IM341" s="562"/>
      <c r="IN341" s="562"/>
      <c r="IO341" s="562"/>
      <c r="IP341" s="562"/>
      <c r="IQ341" s="562"/>
      <c r="IR341" s="562"/>
      <c r="IS341" s="562"/>
      <c r="IT341" s="562"/>
      <c r="IU341" s="562"/>
      <c r="IV341" s="562"/>
      <c r="IW341" s="562"/>
      <c r="IX341" s="562"/>
      <c r="IY341" s="562"/>
      <c r="IZ341" s="562"/>
      <c r="JA341" s="562"/>
      <c r="JB341" s="562"/>
      <c r="JC341" s="562"/>
      <c r="JD341" s="562"/>
      <c r="JE341" s="562"/>
      <c r="JF341" s="562"/>
      <c r="JG341" s="562"/>
      <c r="JH341" s="562"/>
      <c r="JI341" s="562"/>
      <c r="JJ341" s="562"/>
      <c r="JK341" s="562"/>
      <c r="JL341" s="562"/>
      <c r="JM341" s="562"/>
      <c r="JN341" s="562"/>
      <c r="JO341" s="562"/>
      <c r="JP341" s="562"/>
      <c r="JQ341" s="562"/>
      <c r="JR341" s="562"/>
      <c r="JS341" s="562"/>
      <c r="JT341" s="562"/>
      <c r="JU341" s="562"/>
      <c r="JV341" s="562"/>
      <c r="JW341" s="562"/>
      <c r="JX341" s="562"/>
      <c r="JY341" s="562"/>
      <c r="JZ341" s="562"/>
    </row>
    <row r="342" spans="1:286" s="249" customFormat="1" ht="12.75" hidden="1" customHeight="1" outlineLevel="1" x14ac:dyDescent="0.2">
      <c r="A342" s="248"/>
      <c r="B342" s="10"/>
      <c r="C342" s="79"/>
      <c r="D342" s="79"/>
      <c r="E342" s="129"/>
      <c r="F342" s="129"/>
      <c r="G342" s="129"/>
      <c r="H342" s="129"/>
      <c r="I342" s="129"/>
      <c r="J342" s="129"/>
      <c r="K342" s="129"/>
      <c r="L342" s="79"/>
      <c r="M342" s="129"/>
      <c r="N342" s="79"/>
      <c r="O342" s="129"/>
      <c r="P342" s="79"/>
      <c r="Q342" s="129"/>
      <c r="R342" s="79"/>
      <c r="S342" s="129"/>
      <c r="T342" s="79"/>
      <c r="U342" s="129"/>
      <c r="V342" s="79"/>
      <c r="W342" s="129"/>
      <c r="X342" s="79"/>
      <c r="Y342" s="129"/>
      <c r="Z342" s="79"/>
      <c r="AA342" s="130"/>
      <c r="AB342" s="79"/>
      <c r="AC342" s="129"/>
      <c r="AD342" s="79"/>
      <c r="AE342" s="129"/>
      <c r="AF342" s="79"/>
      <c r="AG342" s="129"/>
      <c r="AH342" s="79"/>
      <c r="AI342" s="129"/>
      <c r="AJ342" s="79"/>
      <c r="AK342" s="129"/>
      <c r="AL342" s="79"/>
      <c r="AM342" s="129"/>
      <c r="AN342" s="79"/>
      <c r="AO342" s="129"/>
      <c r="AP342" s="79"/>
      <c r="AQ342" s="129"/>
      <c r="AR342" s="79"/>
      <c r="AS342" s="129"/>
      <c r="AT342" s="81"/>
      <c r="AU342" s="129"/>
      <c r="AV342" s="81"/>
      <c r="AW342" s="129"/>
      <c r="AX342" s="81"/>
      <c r="AY342" s="129"/>
      <c r="AZ342" s="81"/>
      <c r="BA342" s="129"/>
      <c r="BB342" s="81"/>
      <c r="BC342" s="129"/>
      <c r="BD342" s="81"/>
      <c r="BE342" s="129"/>
      <c r="BF342" s="81"/>
      <c r="BG342" s="129"/>
      <c r="BH342" s="81"/>
      <c r="BI342" s="129"/>
      <c r="BJ342" s="81"/>
      <c r="BK342" s="129"/>
      <c r="BL342" s="81"/>
      <c r="BM342" s="129"/>
      <c r="BN342" s="81"/>
      <c r="BO342" s="129"/>
      <c r="BP342" s="81"/>
      <c r="BQ342" s="129"/>
      <c r="BR342" s="81"/>
      <c r="BS342" s="129"/>
      <c r="BT342" s="81"/>
      <c r="BU342" s="129"/>
      <c r="BV342" s="81"/>
      <c r="BW342" s="129"/>
      <c r="BX342" s="81"/>
      <c r="BY342" s="129"/>
      <c r="BZ342" s="81"/>
      <c r="CA342" s="129"/>
      <c r="CB342" s="81"/>
      <c r="CC342" s="129"/>
      <c r="CD342" s="81"/>
      <c r="CE342" s="129"/>
      <c r="CF342" s="81"/>
      <c r="CG342" s="129"/>
      <c r="CH342" s="81"/>
      <c r="CI342" s="129"/>
      <c r="CJ342" s="81"/>
      <c r="CK342" s="129"/>
      <c r="CL342" s="81"/>
      <c r="CM342" s="129"/>
      <c r="CN342" s="81"/>
      <c r="CO342" s="129"/>
      <c r="CP342" s="81"/>
      <c r="CQ342" s="129"/>
      <c r="CR342" s="81"/>
      <c r="CS342" s="129"/>
      <c r="CT342" s="81"/>
      <c r="CU342" s="129"/>
      <c r="CV342" s="81"/>
      <c r="CW342" s="129"/>
      <c r="CX342" s="81"/>
      <c r="CY342" s="129"/>
      <c r="CZ342" s="81"/>
      <c r="DA342" s="129"/>
      <c r="DB342" s="81"/>
      <c r="DC342" s="129"/>
      <c r="DD342" s="81"/>
      <c r="DE342" s="129"/>
      <c r="DF342" s="81"/>
      <c r="DG342" s="129"/>
      <c r="DH342" s="81"/>
      <c r="DI342" s="129"/>
      <c r="DJ342" s="81"/>
      <c r="DK342" s="129"/>
      <c r="DL342" s="81"/>
      <c r="DM342" s="129"/>
      <c r="DN342" s="81"/>
      <c r="DO342" s="129"/>
      <c r="DP342" s="81"/>
      <c r="DQ342" s="129"/>
      <c r="DR342" s="81"/>
      <c r="DS342" s="129"/>
      <c r="DT342" s="81"/>
      <c r="DU342" s="129"/>
      <c r="DV342" s="81"/>
      <c r="DW342" s="129"/>
      <c r="DX342" s="81"/>
      <c r="DY342" s="129"/>
      <c r="DZ342" s="81"/>
      <c r="EA342" s="129"/>
      <c r="EB342" s="81"/>
      <c r="EC342" s="129"/>
      <c r="ED342" s="81"/>
      <c r="EE342" s="129"/>
      <c r="EF342" s="81"/>
      <c r="EG342" s="129"/>
      <c r="EH342" s="81"/>
      <c r="EI342" s="129"/>
      <c r="EJ342" s="81"/>
      <c r="EK342" s="129"/>
      <c r="EL342" s="81"/>
      <c r="EM342" s="129"/>
      <c r="EN342" s="81"/>
      <c r="EO342" s="129"/>
      <c r="EP342" s="81"/>
      <c r="EQ342" s="129"/>
      <c r="ER342" s="81"/>
      <c r="ES342" s="129"/>
      <c r="ET342" s="469"/>
      <c r="EU342" s="129"/>
      <c r="EV342" s="129"/>
      <c r="EW342" s="79"/>
      <c r="EX342" s="129"/>
      <c r="EY342" s="79"/>
      <c r="EZ342" s="129"/>
      <c r="FA342" s="79"/>
      <c r="FB342" s="129"/>
      <c r="FC342" s="79"/>
      <c r="FD342" s="129"/>
      <c r="FE342" s="79"/>
      <c r="FF342" s="129"/>
      <c r="FG342" s="79"/>
      <c r="FH342" s="129"/>
      <c r="FI342" s="79"/>
      <c r="FJ342" s="129"/>
      <c r="FK342" s="79"/>
      <c r="FL342" s="129"/>
      <c r="FM342" s="79"/>
      <c r="FN342" s="129"/>
      <c r="FO342" s="79"/>
      <c r="FP342" s="129"/>
      <c r="FQ342" s="79"/>
      <c r="FR342" s="129"/>
      <c r="FS342" s="79"/>
      <c r="FT342" s="129"/>
      <c r="FU342" s="79"/>
      <c r="FV342" s="129"/>
      <c r="FW342" s="79"/>
      <c r="FX342" s="129"/>
      <c r="FY342" s="79"/>
      <c r="FZ342" s="129"/>
      <c r="GA342" s="79"/>
      <c r="GB342" s="129"/>
      <c r="GC342" s="79"/>
      <c r="GD342" s="129"/>
      <c r="GE342" s="79"/>
      <c r="GF342" s="129"/>
      <c r="GG342" s="79"/>
      <c r="GH342" s="129"/>
      <c r="GI342" s="79"/>
      <c r="GJ342" s="129"/>
      <c r="GK342" s="79"/>
      <c r="GL342" s="129"/>
      <c r="GM342" s="79"/>
      <c r="GN342" s="129"/>
      <c r="GO342" s="79"/>
      <c r="GP342" s="129"/>
      <c r="GQ342" s="79"/>
      <c r="GR342" s="129"/>
      <c r="GS342" s="79"/>
      <c r="GT342" s="79"/>
      <c r="GU342" s="562"/>
      <c r="GV342" s="562"/>
      <c r="GW342"/>
      <c r="GX342"/>
      <c r="GY342"/>
      <c r="GZ342"/>
      <c r="HA342"/>
      <c r="HB342"/>
      <c r="HC342" s="562"/>
      <c r="HD342" s="562"/>
      <c r="HE342" s="562"/>
      <c r="HF342" s="562"/>
      <c r="HG342" s="562"/>
      <c r="HH342" s="562"/>
      <c r="HI342" s="562"/>
      <c r="HJ342" s="562"/>
      <c r="HK342" s="562"/>
      <c r="HL342" s="562"/>
      <c r="HM342" s="562"/>
      <c r="HN342" s="562"/>
      <c r="HO342" s="562"/>
      <c r="HP342" s="562"/>
      <c r="HQ342" s="562"/>
      <c r="HR342" s="562"/>
      <c r="HS342" s="562"/>
      <c r="HT342" s="562"/>
      <c r="HU342" s="562"/>
      <c r="HV342" s="562"/>
      <c r="HW342" s="562"/>
      <c r="HX342" s="562"/>
      <c r="HY342" s="562"/>
      <c r="HZ342" s="562"/>
      <c r="IA342" s="562"/>
      <c r="IB342" s="562"/>
      <c r="IC342" s="562"/>
      <c r="ID342" s="562"/>
      <c r="IE342" s="562"/>
      <c r="IF342" s="562"/>
      <c r="IG342" s="562"/>
      <c r="IH342" s="562"/>
      <c r="II342" s="562"/>
      <c r="IJ342" s="562"/>
      <c r="IK342" s="562"/>
      <c r="IL342" s="562"/>
      <c r="IM342" s="562"/>
      <c r="IN342" s="562"/>
      <c r="IO342" s="562"/>
      <c r="IP342" s="562"/>
      <c r="IQ342" s="562"/>
      <c r="IR342" s="562"/>
      <c r="IS342" s="562"/>
      <c r="IT342" s="562"/>
      <c r="IU342" s="562"/>
      <c r="IV342" s="562"/>
      <c r="IW342" s="562"/>
      <c r="IX342" s="562"/>
      <c r="IY342" s="562"/>
      <c r="IZ342" s="562"/>
      <c r="JA342" s="562"/>
      <c r="JB342" s="562"/>
      <c r="JC342" s="562"/>
      <c r="JD342" s="562"/>
      <c r="JE342" s="562"/>
      <c r="JF342" s="562"/>
      <c r="JG342" s="562"/>
      <c r="JH342" s="562"/>
      <c r="JI342" s="562"/>
      <c r="JJ342" s="562"/>
      <c r="JK342" s="562"/>
      <c r="JL342" s="562"/>
      <c r="JM342" s="562"/>
      <c r="JN342" s="562"/>
      <c r="JO342" s="562"/>
      <c r="JP342" s="562"/>
      <c r="JQ342" s="562"/>
      <c r="JR342" s="562"/>
      <c r="JS342" s="562"/>
      <c r="JT342" s="562"/>
      <c r="JU342" s="562"/>
      <c r="JV342" s="562"/>
      <c r="JW342" s="562"/>
      <c r="JX342" s="562"/>
      <c r="JY342" s="562"/>
      <c r="JZ342" s="562"/>
    </row>
    <row r="343" spans="1:286" s="249" customFormat="1" ht="12.75" hidden="1" customHeight="1" outlineLevel="1" x14ac:dyDescent="0.2">
      <c r="A343" s="248"/>
      <c r="B343" s="83" t="s">
        <v>451</v>
      </c>
      <c r="C343" s="79"/>
      <c r="D343" s="79"/>
      <c r="E343" s="129"/>
      <c r="F343" s="129"/>
      <c r="G343" s="129"/>
      <c r="H343" s="129"/>
      <c r="I343" s="129"/>
      <c r="J343" s="129"/>
      <c r="K343" s="129"/>
      <c r="L343" s="79"/>
      <c r="M343" s="129"/>
      <c r="N343" s="79"/>
      <c r="O343" s="129"/>
      <c r="P343" s="79"/>
      <c r="Q343" s="129"/>
      <c r="R343" s="79"/>
      <c r="S343" s="129"/>
      <c r="T343" s="79"/>
      <c r="U343" s="129"/>
      <c r="V343" s="79"/>
      <c r="W343" s="129"/>
      <c r="X343" s="79"/>
      <c r="Y343" s="129"/>
      <c r="Z343" s="79"/>
      <c r="AA343" s="130"/>
      <c r="AB343" s="79"/>
      <c r="AC343" s="129"/>
      <c r="AD343" s="79"/>
      <c r="AE343" s="129"/>
      <c r="AF343" s="79"/>
      <c r="AG343" s="129"/>
      <c r="AH343" s="79"/>
      <c r="AI343" s="129"/>
      <c r="AJ343" s="79"/>
      <c r="AK343" s="129"/>
      <c r="AL343" s="79"/>
      <c r="AM343" s="129"/>
      <c r="AN343" s="79"/>
      <c r="AO343" s="129"/>
      <c r="AP343" s="79"/>
      <c r="AQ343" s="129"/>
      <c r="AR343" s="79"/>
      <c r="AS343" s="129"/>
      <c r="AT343" s="81"/>
      <c r="AU343" s="129"/>
      <c r="AV343" s="81"/>
      <c r="AW343" s="129"/>
      <c r="AX343" s="81"/>
      <c r="AY343" s="129"/>
      <c r="AZ343" s="81"/>
      <c r="BA343" s="129"/>
      <c r="BB343" s="81"/>
      <c r="BC343" s="129"/>
      <c r="BD343" s="81"/>
      <c r="BE343" s="129"/>
      <c r="BF343" s="81"/>
      <c r="BG343" s="129"/>
      <c r="BH343" s="81"/>
      <c r="BI343" s="129"/>
      <c r="BJ343" s="81"/>
      <c r="BK343" s="129"/>
      <c r="BL343" s="81"/>
      <c r="BM343" s="129"/>
      <c r="BN343" s="81"/>
      <c r="BO343" s="129"/>
      <c r="BP343" s="81"/>
      <c r="BQ343" s="129"/>
      <c r="BR343" s="81"/>
      <c r="BS343" s="129"/>
      <c r="BT343" s="81"/>
      <c r="BU343" s="129"/>
      <c r="BV343" s="81"/>
      <c r="BW343" s="129"/>
      <c r="BX343" s="81"/>
      <c r="BY343" s="129"/>
      <c r="BZ343" s="81"/>
      <c r="CA343" s="129"/>
      <c r="CB343" s="81"/>
      <c r="CC343" s="129"/>
      <c r="CD343" s="81"/>
      <c r="CE343" s="129"/>
      <c r="CF343" s="81"/>
      <c r="CG343" s="129"/>
      <c r="CH343" s="81"/>
      <c r="CI343" s="129"/>
      <c r="CJ343" s="81"/>
      <c r="CK343" s="129"/>
      <c r="CL343" s="81"/>
      <c r="CM343" s="129"/>
      <c r="CN343" s="81"/>
      <c r="CO343" s="129"/>
      <c r="CP343" s="81"/>
      <c r="CQ343" s="129"/>
      <c r="CR343" s="81"/>
      <c r="CS343" s="129"/>
      <c r="CT343" s="81"/>
      <c r="CU343" s="129"/>
      <c r="CV343" s="81"/>
      <c r="CW343" s="129"/>
      <c r="CX343" s="81"/>
      <c r="CY343" s="129"/>
      <c r="CZ343" s="81"/>
      <c r="DA343" s="129"/>
      <c r="DB343" s="81"/>
      <c r="DC343" s="129"/>
      <c r="DD343" s="81"/>
      <c r="DE343" s="129"/>
      <c r="DF343" s="81"/>
      <c r="DG343" s="129"/>
      <c r="DH343" s="81"/>
      <c r="DI343" s="129"/>
      <c r="DJ343" s="81"/>
      <c r="DK343" s="129"/>
      <c r="DL343" s="81"/>
      <c r="DM343" s="129"/>
      <c r="DN343" s="81"/>
      <c r="DO343" s="129"/>
      <c r="DP343" s="81"/>
      <c r="DQ343" s="129"/>
      <c r="DR343" s="81"/>
      <c r="DS343" s="129"/>
      <c r="DT343" s="81"/>
      <c r="DU343" s="129"/>
      <c r="DV343" s="81"/>
      <c r="DW343" s="129"/>
      <c r="DX343" s="81"/>
      <c r="DY343" s="129"/>
      <c r="DZ343" s="81"/>
      <c r="EA343" s="129"/>
      <c r="EB343" s="81"/>
      <c r="EC343" s="129"/>
      <c r="ED343" s="81"/>
      <c r="EE343" s="129"/>
      <c r="EF343" s="81"/>
      <c r="EG343" s="129"/>
      <c r="EH343" s="81"/>
      <c r="EI343" s="129"/>
      <c r="EJ343" s="81"/>
      <c r="EK343" s="129"/>
      <c r="EL343" s="81"/>
      <c r="EM343" s="129"/>
      <c r="EN343" s="81"/>
      <c r="EO343" s="129"/>
      <c r="EP343" s="81"/>
      <c r="EQ343" s="129"/>
      <c r="ER343" s="81"/>
      <c r="ES343" s="129"/>
      <c r="ET343" s="469"/>
      <c r="EU343" s="129"/>
      <c r="EV343" s="129"/>
      <c r="EW343" s="79"/>
      <c r="EX343" s="129"/>
      <c r="EY343" s="79"/>
      <c r="EZ343" s="129"/>
      <c r="FA343" s="79"/>
      <c r="FB343" s="129"/>
      <c r="FC343" s="79"/>
      <c r="FD343" s="129"/>
      <c r="FE343" s="79"/>
      <c r="FF343" s="129"/>
      <c r="FG343" s="79"/>
      <c r="FH343" s="129"/>
      <c r="FI343" s="79"/>
      <c r="FJ343" s="129"/>
      <c r="FK343" s="79"/>
      <c r="FL343" s="129"/>
      <c r="FM343" s="79"/>
      <c r="FN343" s="129"/>
      <c r="FO343" s="79"/>
      <c r="FP343" s="129"/>
      <c r="FQ343" s="79"/>
      <c r="FR343" s="129"/>
      <c r="FS343" s="79"/>
      <c r="FT343" s="129"/>
      <c r="FU343" s="79"/>
      <c r="FV343" s="129"/>
      <c r="FW343" s="79"/>
      <c r="FX343" s="129"/>
      <c r="FY343" s="79"/>
      <c r="FZ343" s="129"/>
      <c r="GA343" s="79"/>
      <c r="GB343" s="129"/>
      <c r="GC343" s="79"/>
      <c r="GD343" s="129"/>
      <c r="GE343" s="79"/>
      <c r="GF343" s="129"/>
      <c r="GG343" s="79"/>
      <c r="GH343" s="129"/>
      <c r="GI343" s="79"/>
      <c r="GJ343" s="129"/>
      <c r="GK343" s="79"/>
      <c r="GL343" s="129"/>
      <c r="GM343" s="79"/>
      <c r="GN343" s="129"/>
      <c r="GO343" s="79"/>
      <c r="GP343" s="129"/>
      <c r="GQ343" s="79"/>
      <c r="GR343" s="129"/>
      <c r="GS343" s="79"/>
      <c r="GT343" s="79"/>
      <c r="GU343" s="562"/>
      <c r="GV343" s="562"/>
      <c r="GW343"/>
      <c r="GX343"/>
      <c r="GY343"/>
      <c r="GZ343"/>
      <c r="HA343"/>
      <c r="HB343"/>
      <c r="HC343" s="562"/>
      <c r="HD343" s="562"/>
      <c r="HE343" s="562"/>
      <c r="HF343" s="562"/>
      <c r="HG343" s="562"/>
      <c r="HH343" s="562"/>
      <c r="HI343" s="562"/>
      <c r="HJ343" s="562"/>
      <c r="HK343" s="562"/>
      <c r="HL343" s="562"/>
      <c r="HM343" s="562"/>
      <c r="HN343" s="562"/>
      <c r="HO343" s="562"/>
      <c r="HP343" s="562"/>
      <c r="HQ343" s="562"/>
      <c r="HR343" s="562"/>
      <c r="HS343" s="562"/>
      <c r="HT343" s="562"/>
      <c r="HU343" s="562"/>
      <c r="HV343" s="562"/>
      <c r="HW343" s="562"/>
      <c r="HX343" s="562"/>
      <c r="HY343" s="562"/>
      <c r="HZ343" s="562"/>
      <c r="IA343" s="562"/>
      <c r="IB343" s="562"/>
      <c r="IC343" s="562"/>
      <c r="ID343" s="562"/>
      <c r="IE343" s="562"/>
      <c r="IF343" s="562"/>
      <c r="IG343" s="562"/>
      <c r="IH343" s="562"/>
      <c r="II343" s="562"/>
      <c r="IJ343" s="562"/>
      <c r="IK343" s="562"/>
      <c r="IL343" s="562"/>
      <c r="IM343" s="562"/>
      <c r="IN343" s="562"/>
      <c r="IO343" s="562"/>
      <c r="IP343" s="562"/>
      <c r="IQ343" s="562"/>
      <c r="IR343" s="562"/>
      <c r="IS343" s="562"/>
      <c r="IT343" s="562"/>
      <c r="IU343" s="562"/>
      <c r="IV343" s="562"/>
      <c r="IW343" s="562"/>
      <c r="IX343" s="562"/>
      <c r="IY343" s="562"/>
      <c r="IZ343" s="562"/>
      <c r="JA343" s="562"/>
      <c r="JB343" s="562"/>
      <c r="JC343" s="562"/>
      <c r="JD343" s="562"/>
      <c r="JE343" s="562"/>
      <c r="JF343" s="562"/>
      <c r="JG343" s="562"/>
      <c r="JH343" s="562"/>
      <c r="JI343" s="562"/>
      <c r="JJ343" s="562"/>
      <c r="JK343" s="562"/>
      <c r="JL343" s="562"/>
      <c r="JM343" s="562"/>
      <c r="JN343" s="562"/>
      <c r="JO343" s="562"/>
      <c r="JP343" s="562"/>
      <c r="JQ343" s="562"/>
      <c r="JR343" s="562"/>
      <c r="JS343" s="562"/>
      <c r="JT343" s="562"/>
      <c r="JU343" s="562"/>
      <c r="JV343" s="562"/>
      <c r="JW343" s="562"/>
      <c r="JX343" s="562"/>
      <c r="JY343" s="562"/>
      <c r="JZ343" s="562"/>
    </row>
    <row r="344" spans="1:286" ht="12.75" hidden="1" customHeight="1" outlineLevel="1" x14ac:dyDescent="0.2">
      <c r="A344" s="1"/>
      <c r="B344" s="10" t="s">
        <v>409</v>
      </c>
      <c r="C344" s="79"/>
      <c r="D344" s="79"/>
      <c r="E344" s="95">
        <v>42.8</v>
      </c>
      <c r="F344" s="95"/>
      <c r="G344" s="95">
        <v>44.2</v>
      </c>
      <c r="H344" s="95"/>
      <c r="I344" s="95">
        <v>41.1</v>
      </c>
      <c r="J344" s="95"/>
      <c r="K344" s="95">
        <v>41.5</v>
      </c>
      <c r="L344" s="79"/>
      <c r="M344" s="95">
        <v>38.4</v>
      </c>
      <c r="N344" s="79">
        <f>IF(ISERROR((M344/E344-1)*100),"NA",IF(((M344/E344-1)*100)&gt;100,"NM",IF(((M344/E344-1)*100)&lt;-50,"NM",(M344/E344-1)*100)))</f>
        <v>-10.280373831775702</v>
      </c>
      <c r="O344" s="95">
        <v>38.700000000000003</v>
      </c>
      <c r="P344" s="79">
        <f>IF(ISERROR((O344/G344-1)*100),"NA",IF(((O344/G344-1)*100)&gt;100,"NM",IF(((O344/G344-1)*100)&lt;-50,"NM",(O344/G344-1)*100)))</f>
        <v>-12.44343891402715</v>
      </c>
      <c r="Q344" s="95">
        <v>42.9</v>
      </c>
      <c r="R344" s="79">
        <f>IF(ISERROR((Q344/I344-1)*100),"NA",IF(((Q344/I344-1)*100)&gt;100,"NM",IF(((Q344/I344-1)*100)&lt;-50,"NM",(Q344/I344-1)*100)))</f>
        <v>4.3795620437956151</v>
      </c>
      <c r="S344" s="95">
        <v>42.4</v>
      </c>
      <c r="T344" s="79">
        <f>IF(ISERROR((S344/K344-1)*100),"NA",IF(((S344/K344-1)*100)&gt;100,"NM",IF(((S344/K344-1)*100)&lt;-50,"NM",(S344/K344-1)*100)))</f>
        <v>2.168674698795181</v>
      </c>
      <c r="U344" s="179">
        <v>41.5</v>
      </c>
      <c r="V344" s="79">
        <f>IF(ISERROR((U344/M344-1)*100),"NA",IF(((U344/M344-1)*100)&gt;100,"NM",IF(((U344/M344-1)*100)&lt;-50,"NM",(U344/M344-1)*100)))</f>
        <v>8.072916666666675</v>
      </c>
      <c r="W344" s="95">
        <v>45.9</v>
      </c>
      <c r="X344" s="79">
        <f>IF(ISERROR((W344/O344-1)*100),"NA",IF(((W344/O344-1)*100)&gt;100,"NM",IF(((W344/O344-1)*100)&lt;-50,"NM",(W344/O344-1)*100)))</f>
        <v>18.604651162790688</v>
      </c>
      <c r="Y344" s="95">
        <v>50</v>
      </c>
      <c r="Z344" s="79">
        <f>IF(ISERROR((Y344/Q344-1)*100),"NA",IF(((Y344/Q344-1)*100)&gt;100,"NM",IF(((Y344/Q344-1)*100)&lt;-50,"NM",(Y344/Q344-1)*100)))</f>
        <v>16.550116550116556</v>
      </c>
      <c r="AA344" s="126">
        <v>49.8</v>
      </c>
      <c r="AB344" s="79">
        <f>IF(ISERROR((AA344/S344-1)*100),"NA",IF(((AA344/S344-1)*100)&gt;100,"NM",IF(((AA344/S344-1)*100)&lt;-50,"NM",(AA344/S344-1)*100)))</f>
        <v>17.452830188679247</v>
      </c>
      <c r="AC344" s="179">
        <f>49.2-AC347</f>
        <v>37.340625000000003</v>
      </c>
      <c r="AD344" s="79">
        <f>IF(ISERROR((AC344/U344-1)*100),"NA",IF(((AC344/U344-1)*100)&gt;100,"NM",IF(((AC344/U344-1)*100)&lt;-50,"NM",(AC344/U344-1)*100)))</f>
        <v>-10.022590361445772</v>
      </c>
      <c r="AE344" s="95">
        <f>51.5-AE346-AE347</f>
        <v>37.578331249999998</v>
      </c>
      <c r="AF344" s="79">
        <f>IF(ISERROR((AE344/W344-1)*100),"NA",IF(((AE344/W344-1)*100)&gt;100,"NM",IF(((AE344/W344-1)*100)&lt;-50,"NM",(AE344/W344-1)*100)))</f>
        <v>-18.12999727668846</v>
      </c>
      <c r="AG344" s="95">
        <f>53.4-AG346-AG347</f>
        <v>35.353124999999999</v>
      </c>
      <c r="AH344" s="79">
        <f>IF(ISERROR((AG344/Y344-1)*100),"NA",IF(((AG344/Y344-1)*100)&gt;100,"NM",IF(((AG344/Y344-1)*100)&lt;-50,"NM",(AG344/Y344-1)*100)))</f>
        <v>-29.293750000000006</v>
      </c>
      <c r="AI344" s="95">
        <f>53-AI346-AI347</f>
        <v>34.953125</v>
      </c>
      <c r="AJ344" s="79">
        <f>IF(ISERROR((AI344/AA344-1)*100),"NA",IF(((AI344/AA344-1)*100)&gt;100,"NM",IF(((AI344/AA344-1)*100)&lt;-50,"NM",(AI344/AA344-1)*100)))</f>
        <v>-29.813002008032118</v>
      </c>
      <c r="AK344" s="95">
        <f>52.8-AK346-AK347</f>
        <v>34.753124999999997</v>
      </c>
      <c r="AL344" s="79">
        <f>IF(ISERROR((AK344/AC344-1)*100),"NA",IF(((AK344/AC344-1)*100)&gt;100,"NM",IF(((AK344/AC344-1)*100)&lt;-50,"NM",(AK344/AC344-1)*100)))</f>
        <v>-6.9294501631935841</v>
      </c>
      <c r="AM344" s="95">
        <f>52.9-AM346-AM347</f>
        <v>34.853124999999999</v>
      </c>
      <c r="AN344" s="79">
        <f>IF(ISERROR((AM344/AE344-1)*100),"NA",IF(((AM344/AE344-1)*100)&gt;100,"NM",IF(((AM344/AE344-1)*100)&lt;-50,"NM",(AM344/AE344-1)*100)))</f>
        <v>-7.252068304656289</v>
      </c>
      <c r="AO344" s="95">
        <f>49.8-AO346-AO347</f>
        <v>31.753124999999997</v>
      </c>
      <c r="AP344" s="79">
        <f>IF(ISERROR((AO344/AG344-1)*100),"NA",IF(((AO344/AG344-1)*100)&gt;100,"NM",IF(((AO344/AG344-1)*100)&lt;-50,"NM",(AO344/AG344-1)*100)))</f>
        <v>-10.182975338106603</v>
      </c>
      <c r="AQ344" s="95">
        <f>52.5-AQ346-AQ347-AQ345</f>
        <v>23.4921875</v>
      </c>
      <c r="AR344" s="79">
        <f>IF(ISERROR((AQ344/AI344-1)*100),"NA",IF(((AQ344/AI344-1)*100)&gt;100,"NM",IF(((AQ344/AI344-1)*100)&lt;-50,"NM",(AQ344/AI344-1)*100)))</f>
        <v>-32.789450156459544</v>
      </c>
      <c r="AS344" s="105">
        <f>53.1-AS346-AS347-AS345-5.3</f>
        <v>28.245312500000001</v>
      </c>
      <c r="AT344" s="81">
        <f>IF(ISERROR((AS344/AK344-1)*100),"NA",IF(((AS344/AK344-1)*100)&gt;100,"NM",IF(((AS344/AK344-1)*100)&lt;-50,"NM",(AS344/AK344-1)*100)))</f>
        <v>-18.725834007733113</v>
      </c>
      <c r="AU344" s="105">
        <f>48.7-AU346-AU347-AU345</f>
        <v>29.145312500000003</v>
      </c>
      <c r="AV344" s="81">
        <f>IF(ISERROR((AU344/AM344-1)*100),"NA",IF(((AU344/AM344-1)*100)&gt;100,"NM",IF(((AU344/AM344-1)*100)&lt;-50,"NM",(AU344/AM344-1)*100)))</f>
        <v>-16.376759616246737</v>
      </c>
      <c r="AW344" s="105">
        <f>44.2-AW346-AW347-AW345</f>
        <v>24.645312500000003</v>
      </c>
      <c r="AX344" s="81">
        <f>IF(ISERROR((AW344/AO344-1)*100),"NA",IF(((AW344/AO344-1)*100)&gt;100,"NM",IF(((AW344/AO344-1)*100)&lt;-50,"NM",(AW344/AO344-1)*100)))</f>
        <v>-22.384607814191504</v>
      </c>
      <c r="AY344" s="105">
        <f>44.5+1.3-AY346-AY347-AY345</f>
        <v>26.245312499999997</v>
      </c>
      <c r="AZ344" s="81">
        <f>IF(ISERROR((AY344/AQ344-1)*100),"NA",IF(((AY344/AQ344-1)*100)&gt;100,"NM",IF(((AY344/AQ344-1)*100)&lt;-50,"NM",(AY344/AQ344-1)*100)))</f>
        <v>11.719321582973041</v>
      </c>
      <c r="BA344" s="105">
        <f>43.9+2-BA346-BA347-BA345</f>
        <v>26.345312499999999</v>
      </c>
      <c r="BB344" s="81">
        <f>IF(ISERROR((BA344/AS344-1)*100),"NA",IF(((BA344/AS344-1)*100)&gt;100,"NM",IF(((BA344/AS344-1)*100)&lt;-50,"NM",(BA344/AS344-1)*100)))</f>
        <v>-6.7267798860430439</v>
      </c>
      <c r="BC344" s="105">
        <f>42.7+1.8-BC346-BC347-BC345</f>
        <v>24.9453125</v>
      </c>
      <c r="BD344" s="81">
        <f>IF(ISERROR((BC344/AU344-1)*100),"NA",IF(((BC344/AU344-1)*100)&gt;100,"NM",IF(((BC344/AU344-1)*100)&lt;-50,"NM",(BC344/AU344-1)*100)))</f>
        <v>-14.410550581675874</v>
      </c>
      <c r="BE344" s="105">
        <f>42+1.9-BE346-BE347-BE345</f>
        <v>24.345312499999999</v>
      </c>
      <c r="BF344" s="81">
        <f>IF(ISERROR((BE344/AW344-1)*100),"NA",IF(((BE344/AW344-1)*100)&gt;100,"NM",IF(((BE344/AW344-1)*100)&lt;-50,"NM",(BE344/AW344-1)*100)))</f>
        <v>-1.2172700183858631</v>
      </c>
      <c r="BG344" s="105">
        <f>10+38.8-BG346-BG347-BG345</f>
        <v>29.245312499999997</v>
      </c>
      <c r="BH344" s="81">
        <f>IF(ISERROR((BG344/AY344-1)*100),"NA",IF(((BG344/AY344-1)*100)&gt;100,"NM",IF(((BG344/AY344-1)*100)&lt;-50,"NM",(BG344/AY344-1)*100)))</f>
        <v>11.430612609394529</v>
      </c>
      <c r="BI344" s="105">
        <f>32+11.9-BI346-BI347-BI345</f>
        <v>24.345312499999999</v>
      </c>
      <c r="BJ344" s="81">
        <f>IF(ISERROR((BI344/BA344-1)*100),"NA",IF(((BI344/BA344-1)*100)&gt;100,"NM",IF(((BI344/BA344-1)*100)&lt;-50,"NM",(BI344/BA344-1)*100)))</f>
        <v>-7.5914833046675785</v>
      </c>
      <c r="BK344" s="105">
        <f>30.5+9.9-BK346-BK347-BK345</f>
        <v>20.845312499999999</v>
      </c>
      <c r="BL344" s="81">
        <f>IF(ISERROR((BK344/BC344-1)*100),"NA",IF(((BK344/BC344-1)*100)&gt;100,"NM",IF(((BK344/BC344-1)*100)&lt;-50,"NM",(BK344/BC344-1)*100)))</f>
        <v>-16.435953648606329</v>
      </c>
      <c r="BM344" s="105">
        <f>28.4+8.8-BM346-BM347-BM345</f>
        <v>17.645312500000003</v>
      </c>
      <c r="BN344" s="81">
        <f>IF(ISERROR((BM344/BE344-1)*100),"NA",IF(((BM344/BE344-1)*100)&gt;100,"NM",IF(((BM344/BE344-1)*100)&lt;-50,"NM",(BM344/BE344-1)*100)))</f>
        <v>-27.520698286374412</v>
      </c>
      <c r="BO344" s="105"/>
      <c r="BP344" s="81"/>
      <c r="BQ344" s="105"/>
      <c r="BR344" s="81"/>
      <c r="BS344" s="105"/>
      <c r="BT344" s="81"/>
      <c r="BU344" s="105"/>
      <c r="BV344" s="81"/>
      <c r="BW344" s="105"/>
      <c r="BX344" s="81"/>
      <c r="BY344" s="105"/>
      <c r="BZ344" s="81"/>
      <c r="CA344" s="105"/>
      <c r="CB344" s="81"/>
      <c r="CC344" s="105"/>
      <c r="CD344" s="81"/>
      <c r="CE344" s="105"/>
      <c r="CF344" s="81"/>
      <c r="CG344" s="105"/>
      <c r="CH344" s="81"/>
      <c r="CI344" s="105"/>
      <c r="CJ344" s="81"/>
      <c r="CK344" s="105"/>
      <c r="CL344" s="81"/>
      <c r="CM344" s="105"/>
      <c r="CN344" s="81"/>
      <c r="CO344" s="105"/>
      <c r="CP344" s="81"/>
      <c r="CQ344" s="105"/>
      <c r="CR344" s="81"/>
      <c r="CS344" s="105"/>
      <c r="CT344" s="81"/>
      <c r="CU344" s="105"/>
      <c r="CV344" s="81"/>
      <c r="CW344" s="105"/>
      <c r="CX344" s="81"/>
      <c r="CY344" s="105"/>
      <c r="CZ344" s="81"/>
      <c r="DA344" s="105"/>
      <c r="DB344" s="81"/>
      <c r="DC344" s="105"/>
      <c r="DD344" s="81"/>
      <c r="DE344" s="105"/>
      <c r="DF344" s="81"/>
      <c r="DG344" s="105"/>
      <c r="DH344" s="81"/>
      <c r="DI344" s="105"/>
      <c r="DJ344" s="81"/>
      <c r="DK344" s="105"/>
      <c r="DL344" s="81"/>
      <c r="DM344" s="105"/>
      <c r="DN344" s="81"/>
      <c r="DO344" s="105"/>
      <c r="DP344" s="81"/>
      <c r="DQ344" s="105"/>
      <c r="DR344" s="81"/>
      <c r="DS344" s="105"/>
      <c r="DT344" s="81"/>
      <c r="DU344" s="105"/>
      <c r="DV344" s="81"/>
      <c r="DW344" s="105"/>
      <c r="DX344" s="81"/>
      <c r="DY344" s="105"/>
      <c r="DZ344" s="81"/>
      <c r="EA344" s="105"/>
      <c r="EB344" s="81"/>
      <c r="EC344" s="105"/>
      <c r="ED344" s="81"/>
      <c r="EE344" s="105"/>
      <c r="EF344" s="81"/>
      <c r="EG344" s="105"/>
      <c r="EH344" s="81"/>
      <c r="EI344" s="105"/>
      <c r="EJ344" s="81"/>
      <c r="EK344" s="105"/>
      <c r="EL344" s="81"/>
      <c r="EM344" s="105"/>
      <c r="EN344" s="81"/>
      <c r="EO344" s="105"/>
      <c r="EP344" s="81"/>
      <c r="EQ344" s="105"/>
      <c r="ER344" s="81"/>
      <c r="ES344" s="129"/>
      <c r="ET344" s="469"/>
      <c r="EU344" s="129"/>
      <c r="EV344" s="95"/>
      <c r="EW344" s="79"/>
      <c r="EX344" s="95"/>
      <c r="EY344" s="79"/>
      <c r="EZ344" s="145"/>
      <c r="FA344" s="79"/>
      <c r="FB344" s="35">
        <f>+E344+G344+I344+K344</f>
        <v>169.6</v>
      </c>
      <c r="FC344" s="79" t="str">
        <f>IF(ISERROR((FB344/EZ344-1)*100),"NA",IF(((FB344/EZ344-1)*100)&gt;100,"NM",IF(((FB344/EZ344-1)*100)&lt;-50,"NM",(FB344/EZ344-1)*100)))</f>
        <v>NA</v>
      </c>
      <c r="FD344" s="145">
        <f>+S344+Q344+O344+M344</f>
        <v>162.4</v>
      </c>
      <c r="FE344" s="79">
        <f>IF(ISERROR((FD344/FB344-1)*100),"NA",IF(((FD344/FB344-1)*100)&gt;100,"NM",IF(((FD344/FB344-1)*100)&lt;-50,"NM",(FD344/FB344-1)*100)))</f>
        <v>-4.2452830188679176</v>
      </c>
      <c r="FF344" s="145">
        <f>+AA344+Y344+W344+U344</f>
        <v>187.2</v>
      </c>
      <c r="FG344" s="79">
        <f>IF(ISERROR((FF344/FD344-1)*100),"NA",IF(((FF344/FD344-1)*100)&gt;100,"NM",IF(((FF344/FD344-1)*100)&lt;-50,"NM",(FF344/FD344-1)*100)))</f>
        <v>15.270935960591125</v>
      </c>
      <c r="FH344" s="145">
        <f>+AI344+AG344+AE344+AC344</f>
        <v>145.22520624999999</v>
      </c>
      <c r="FI344" s="79">
        <f>IF(ISERROR((FH344/FF344-1)*100),"NA",IF(((FH344/FF344-1)*100)&gt;100,"NM",IF(((FH344/FF344-1)*100)&lt;-50,"NM",(FH344/FF344-1)*100)))</f>
        <v>-22.422432558760686</v>
      </c>
      <c r="FJ344" s="35">
        <f>+AQ344+AO344+AM344+AK344</f>
        <v>124.85156249999999</v>
      </c>
      <c r="FK344" s="79">
        <f>IF(ISERROR((FJ344/FH344-1)*100),"NA",IF(((FJ344/FH344-1)*100)&gt;100,"NM",IF(((FJ344/FH344-1)*100)&lt;-50,"NM",(FJ344/FH344-1)*100)))</f>
        <v>-14.028999700594335</v>
      </c>
      <c r="FL344" s="78">
        <f t="shared" ref="FL344:FL349" si="1093">AS344+AU344+AW344+AY344</f>
        <v>108.28125</v>
      </c>
      <c r="FM344" s="79">
        <f>IF(ISERROR((FL344/FJ344-1)*100),"NA",IF(((FL344/FJ344-1)*100)&gt;100,"NM",IF(((FL344/FJ344-1)*100)&lt;-50,"NM",(FL344/FJ344-1)*100)))</f>
        <v>-13.272010512483568</v>
      </c>
      <c r="FN344" s="78">
        <f t="shared" ref="FN344:FN349" si="1094">BA344+BC344+BE344+BG344</f>
        <v>104.88124999999999</v>
      </c>
      <c r="FO344" s="79">
        <f>IF(ISERROR((FN344/FL344-1)*100),"NA",IF(((FN344/FL344-1)*100)&gt;100,"NM",IF(((FN344/FL344-1)*100)&lt;-50,"NM",(FN344/FL344-1)*100)))</f>
        <v>-3.1399711399711427</v>
      </c>
      <c r="FP344" s="78">
        <f t="shared" ref="FP344:FP349" si="1095">BI344+BK344+BM344+BO344</f>
        <v>62.8359375</v>
      </c>
      <c r="FQ344" s="79">
        <f>IF(ISERROR((FP344/FN344-1)*100),"NA",IF(((FP344/FN344-1)*100)&gt;100,"NM",IF(((FP344/FN344-1)*100)&lt;-50,"NM",(FP344/FN344-1)*100)))</f>
        <v>-40.088492938442279</v>
      </c>
      <c r="FR344" s="103"/>
      <c r="FS344" s="79" t="str">
        <f>IF(ISERROR((FR344/FP344-1)*100),"NA",IF(((FR344/FP344-1)*100)&gt;100,"NM",IF(((FR344/FP344-1)*100)&lt;-50,"NM",(FR344/FP344-1)*100)))</f>
        <v>NM</v>
      </c>
      <c r="FT344" s="103"/>
      <c r="FU344" s="79" t="str">
        <f>IF(ISERROR((FT344/FR344-1)*100),"NA",IF(((FT344/FR344-1)*100)&gt;100,"NM",IF(((FT344/FR344-1)*100)&lt;-50,"NM",(FT344/FR344-1)*100)))</f>
        <v>NA</v>
      </c>
      <c r="FV344" s="103"/>
      <c r="FW344" s="79" t="str">
        <f>IF(ISERROR((FV344/FT344-1)*100),"NA",IF(((FV344/FT344-1)*100)&gt;100,"NM",IF(((FV344/FT344-1)*100)&lt;-50,"NM",(FV344/FT344-1)*100)))</f>
        <v>NA</v>
      </c>
      <c r="FX344" s="103"/>
      <c r="FY344" s="79" t="str">
        <f>IF(ISERROR((FX344/FV344-1)*100),"NA",IF(((FX344/FV344-1)*100)&gt;100,"NM",IF(((FX344/FV344-1)*100)&lt;-50,"NM",(FX344/FV344-1)*100)))</f>
        <v>NA</v>
      </c>
      <c r="FZ344" s="103"/>
      <c r="GA344" s="79" t="str">
        <f>IF(ISERROR((FZ344/FX344-1)*100),"NA",IF(((FZ344/FX344-1)*100)&gt;100,"NM",IF(((FZ344/FX344-1)*100)&lt;-50,"NM",(FZ344/FX344-1)*100)))</f>
        <v>NA</v>
      </c>
      <c r="GB344" s="103"/>
      <c r="GC344" s="79" t="str">
        <f>IF(ISERROR((GB344/FZ344-1)*100),"NA",IF(((GB344/FZ344-1)*100)&gt;100,"NM",IF(((GB344/FZ344-1)*100)&lt;-50,"NM",(GB344/FZ344-1)*100)))</f>
        <v>NA</v>
      </c>
      <c r="GD344" s="103"/>
      <c r="GE344" s="79" t="str">
        <f>IF(ISERROR((GD344/GB344-1)*100),"NA",IF(((GD344/GB344-1)*100)&gt;100,"NM",IF(((GD344/GB344-1)*100)&lt;-50,"NM",(GD344/GB344-1)*100)))</f>
        <v>NA</v>
      </c>
      <c r="GF344" s="103"/>
      <c r="GG344" s="79" t="str">
        <f>IF(ISERROR((GF344/GD344-1)*100),"NA",IF(((GF344/GD344-1)*100)&gt;100,"NM",IF(((GF344/GD344-1)*100)&lt;-50,"NM",(GF344/GD344-1)*100)))</f>
        <v>NA</v>
      </c>
      <c r="GH344" s="103"/>
      <c r="GI344" s="79" t="str">
        <f>IF(ISERROR((GH344/GF344-1)*100),"NA",IF(((GH344/GF344-1)*100)&gt;100,"NM",IF(((GH344/GF344-1)*100)&lt;-50,"NM",(GH344/GF344-1)*100)))</f>
        <v>NA</v>
      </c>
      <c r="GJ344" s="103"/>
      <c r="GK344" s="79" t="str">
        <f>IF(ISERROR((GJ344/GH344-1)*100),"NA",IF(((GJ344/GH344-1)*100)&gt;100,"NM",IF(((GJ344/GH344-1)*100)&lt;-50,"NM",(GJ344/GH344-1)*100)))</f>
        <v>NA</v>
      </c>
      <c r="GL344" s="105"/>
      <c r="GM344" s="79" t="str">
        <f>IF(ISERROR((GL344/GJ344-1)*100),"NA",IF(((GL344/GJ344-1)*100)&gt;100,"NM",IF(((GL344/GJ344-1)*100)&lt;-50,"NM",(GL344/GJ344-1)*100)))</f>
        <v>NA</v>
      </c>
      <c r="GN344" s="105"/>
      <c r="GO344" s="79" t="str">
        <f>IF(ISERROR((GN344/GL344-1)*100),"NA",IF(((GN344/GL344-1)*100)&gt;100,"NM",IF(((GN344/GL344-1)*100)&lt;-50,"NM",(GN344/GL344-1)*100)))</f>
        <v>NA</v>
      </c>
      <c r="GP344" s="105"/>
      <c r="GQ344" s="79" t="str">
        <f>IF(ISERROR((GP344/GN344-1)*100),"NA",IF(((GP344/GN344-1)*100)&gt;100,"NM",IF(((GP344/GN344-1)*100)&lt;-50,"NM",(GP344/GN344-1)*100)))</f>
        <v>NA</v>
      </c>
      <c r="GR344" s="105"/>
      <c r="GS344" s="79" t="str">
        <f>IF(ISERROR((GR344/GP344-1)*100),"NA",IF(((GR344/GP344-1)*100)&gt;100,"NM",IF(((GR344/GP344-1)*100)&lt;-50,"NM",(GR344/GP344-1)*100)))</f>
        <v>NA</v>
      </c>
      <c r="GT344" s="79"/>
    </row>
    <row r="345" spans="1:286" s="247" customFormat="1" ht="12.75" hidden="1" customHeight="1" outlineLevel="1" x14ac:dyDescent="0.2">
      <c r="A345" s="245"/>
      <c r="B345" s="247" t="s">
        <v>303</v>
      </c>
      <c r="C345" s="79"/>
      <c r="D345" s="79"/>
      <c r="E345" s="75"/>
      <c r="F345" s="75"/>
      <c r="G345" s="75"/>
      <c r="H345" s="75"/>
      <c r="I345" s="75"/>
      <c r="J345" s="75"/>
      <c r="K345" s="75"/>
      <c r="L345" s="79"/>
      <c r="M345" s="75"/>
      <c r="N345" s="79"/>
      <c r="O345" s="75"/>
      <c r="P345" s="79"/>
      <c r="Q345" s="75"/>
      <c r="R345" s="79"/>
      <c r="S345" s="75"/>
      <c r="T345" s="79"/>
      <c r="U345" s="127"/>
      <c r="V345" s="79"/>
      <c r="W345" s="75"/>
      <c r="X345" s="79"/>
      <c r="Y345" s="75"/>
      <c r="Z345" s="79"/>
      <c r="AA345" s="267"/>
      <c r="AB345" s="79"/>
      <c r="AC345" s="127"/>
      <c r="AD345" s="79"/>
      <c r="AE345" s="75"/>
      <c r="AF345" s="79"/>
      <c r="AG345" s="75"/>
      <c r="AH345" s="79"/>
      <c r="AI345" s="75"/>
      <c r="AJ345" s="79"/>
      <c r="AK345" s="75"/>
      <c r="AL345" s="79"/>
      <c r="AM345" s="75"/>
      <c r="AN345" s="79"/>
      <c r="AO345" s="75"/>
      <c r="AP345" s="79"/>
      <c r="AQ345" s="75">
        <f>AQ359</f>
        <v>10.9609375</v>
      </c>
      <c r="AR345" s="79"/>
      <c r="AS345" s="184">
        <f>AS359</f>
        <v>10.9609375</v>
      </c>
      <c r="AT345" s="81"/>
      <c r="AU345" s="184">
        <f>AU359</f>
        <v>10.9609375</v>
      </c>
      <c r="AV345" s="81"/>
      <c r="AW345" s="184">
        <f>AW359</f>
        <v>10.9609375</v>
      </c>
      <c r="AX345" s="81"/>
      <c r="AY345" s="184">
        <f>AY359</f>
        <v>10.9609375</v>
      </c>
      <c r="AZ345" s="81"/>
      <c r="BA345" s="184">
        <f>BA359</f>
        <v>10.9609375</v>
      </c>
      <c r="BB345" s="81"/>
      <c r="BC345" s="184">
        <f>BC359</f>
        <v>10.9609375</v>
      </c>
      <c r="BD345" s="81"/>
      <c r="BE345" s="184">
        <f>BE359</f>
        <v>10.9609375</v>
      </c>
      <c r="BF345" s="81"/>
      <c r="BG345" s="184">
        <f>BG359</f>
        <v>10.9609375</v>
      </c>
      <c r="BH345" s="81"/>
      <c r="BI345" s="184">
        <f>BI359</f>
        <v>10.9609375</v>
      </c>
      <c r="BJ345" s="81"/>
      <c r="BK345" s="184">
        <f>BK359</f>
        <v>10.9609375</v>
      </c>
      <c r="BL345" s="81"/>
      <c r="BM345" s="184">
        <f>BM359</f>
        <v>10.9609375</v>
      </c>
      <c r="BN345" s="81"/>
      <c r="BO345" s="184"/>
      <c r="BP345" s="81"/>
      <c r="BQ345" s="184"/>
      <c r="BR345" s="81"/>
      <c r="BS345" s="184"/>
      <c r="BT345" s="81"/>
      <c r="BU345" s="184"/>
      <c r="BV345" s="81"/>
      <c r="BW345" s="184"/>
      <c r="BX345" s="81"/>
      <c r="BY345" s="184"/>
      <c r="BZ345" s="81"/>
      <c r="CA345" s="184"/>
      <c r="CB345" s="81"/>
      <c r="CC345" s="184"/>
      <c r="CD345" s="81"/>
      <c r="CE345" s="184"/>
      <c r="CF345" s="81"/>
      <c r="CG345" s="184"/>
      <c r="CH345" s="81"/>
      <c r="CI345" s="184"/>
      <c r="CJ345" s="81"/>
      <c r="CK345" s="184"/>
      <c r="CL345" s="81"/>
      <c r="CM345" s="184"/>
      <c r="CN345" s="81"/>
      <c r="CO345" s="184"/>
      <c r="CP345" s="81"/>
      <c r="CQ345" s="184"/>
      <c r="CR345" s="81"/>
      <c r="CS345" s="184"/>
      <c r="CT345" s="81"/>
      <c r="CU345" s="184"/>
      <c r="CV345" s="81"/>
      <c r="CW345" s="184"/>
      <c r="CX345" s="81"/>
      <c r="CY345" s="184"/>
      <c r="CZ345" s="81"/>
      <c r="DA345" s="184"/>
      <c r="DB345" s="81"/>
      <c r="DC345" s="184"/>
      <c r="DD345" s="81"/>
      <c r="DE345" s="184"/>
      <c r="DF345" s="81"/>
      <c r="DG345" s="184"/>
      <c r="DH345" s="81"/>
      <c r="DI345" s="184"/>
      <c r="DJ345" s="81"/>
      <c r="DK345" s="184"/>
      <c r="DL345" s="81"/>
      <c r="DM345" s="184"/>
      <c r="DN345" s="81"/>
      <c r="DO345" s="184"/>
      <c r="DP345" s="81"/>
      <c r="DQ345" s="184"/>
      <c r="DR345" s="81"/>
      <c r="DS345" s="184"/>
      <c r="DT345" s="81"/>
      <c r="DU345" s="184"/>
      <c r="DV345" s="81"/>
      <c r="DW345" s="184"/>
      <c r="DX345" s="81"/>
      <c r="DY345" s="184"/>
      <c r="DZ345" s="81"/>
      <c r="EA345" s="184"/>
      <c r="EB345" s="81"/>
      <c r="EC345" s="184"/>
      <c r="ED345" s="81"/>
      <c r="EE345" s="184"/>
      <c r="EF345" s="81"/>
      <c r="EG345" s="184"/>
      <c r="EH345" s="81"/>
      <c r="EI345" s="184"/>
      <c r="EJ345" s="81"/>
      <c r="EK345" s="184"/>
      <c r="EL345" s="81"/>
      <c r="EM345" s="184"/>
      <c r="EN345" s="81"/>
      <c r="EO345" s="184"/>
      <c r="EP345" s="81"/>
      <c r="EQ345" s="184"/>
      <c r="ER345" s="81"/>
      <c r="ES345" s="184"/>
      <c r="ET345" s="485"/>
      <c r="EU345" s="184"/>
      <c r="EV345" s="184"/>
      <c r="EW345" s="286"/>
      <c r="EX345" s="184"/>
      <c r="EY345" s="286"/>
      <c r="EZ345" s="287"/>
      <c r="FA345" s="286"/>
      <c r="FB345" s="184"/>
      <c r="FC345" s="286"/>
      <c r="FD345" s="287"/>
      <c r="FE345" s="286"/>
      <c r="FF345" s="287"/>
      <c r="FG345" s="286"/>
      <c r="FH345" s="287"/>
      <c r="FI345" s="286"/>
      <c r="FJ345" s="184"/>
      <c r="FK345" s="286"/>
      <c r="FL345" s="74">
        <f t="shared" si="1093"/>
        <v>43.84375</v>
      </c>
      <c r="FM345" s="286"/>
      <c r="FN345" s="74">
        <f t="shared" si="1094"/>
        <v>43.84375</v>
      </c>
      <c r="FO345" s="286"/>
      <c r="FP345" s="74">
        <f t="shared" si="1095"/>
        <v>32.8828125</v>
      </c>
      <c r="FQ345" s="286"/>
      <c r="FR345" s="184"/>
      <c r="FS345" s="286"/>
      <c r="FT345" s="184"/>
      <c r="FU345" s="286"/>
      <c r="FV345" s="184"/>
      <c r="FW345" s="286"/>
      <c r="FX345" s="184"/>
      <c r="FY345" s="286"/>
      <c r="FZ345" s="184"/>
      <c r="GA345" s="286"/>
      <c r="GB345" s="184"/>
      <c r="GC345" s="286"/>
      <c r="GD345" s="184"/>
      <c r="GE345" s="286"/>
      <c r="GF345" s="184"/>
      <c r="GG345" s="286"/>
      <c r="GH345" s="184"/>
      <c r="GI345" s="286"/>
      <c r="GJ345" s="184"/>
      <c r="GK345" s="286"/>
      <c r="GL345" s="184"/>
      <c r="GM345" s="286"/>
      <c r="GN345" s="184"/>
      <c r="GO345" s="286"/>
      <c r="GP345" s="184"/>
      <c r="GQ345" s="286"/>
      <c r="GR345" s="184"/>
      <c r="GS345" s="286"/>
      <c r="GT345" s="79"/>
      <c r="GU345" s="562"/>
      <c r="GV345" s="562"/>
      <c r="GW345"/>
      <c r="GX345"/>
      <c r="GY345"/>
      <c r="GZ345"/>
      <c r="HA345"/>
      <c r="HB345"/>
      <c r="HC345" s="562"/>
      <c r="HD345" s="562"/>
      <c r="HE345" s="562"/>
      <c r="HF345" s="562"/>
      <c r="HG345" s="562"/>
      <c r="HH345" s="562"/>
      <c r="HI345" s="562"/>
      <c r="HJ345" s="562"/>
      <c r="HK345" s="562"/>
      <c r="HL345" s="562"/>
      <c r="HM345" s="562"/>
      <c r="HN345" s="562"/>
      <c r="HO345" s="562"/>
      <c r="HP345" s="562"/>
      <c r="HQ345" s="562"/>
      <c r="HR345" s="562"/>
      <c r="HS345" s="562"/>
      <c r="HT345" s="562"/>
      <c r="HU345" s="562"/>
      <c r="HV345" s="562"/>
      <c r="HW345" s="562"/>
      <c r="HX345" s="562"/>
      <c r="HY345" s="562"/>
      <c r="HZ345" s="562"/>
      <c r="IA345" s="562"/>
      <c r="IB345" s="562"/>
      <c r="IC345" s="562"/>
      <c r="ID345" s="562"/>
      <c r="IE345" s="562"/>
      <c r="IF345" s="562"/>
      <c r="IG345" s="562"/>
      <c r="IH345" s="562"/>
      <c r="II345" s="562"/>
      <c r="IJ345" s="562"/>
      <c r="IK345" s="562"/>
      <c r="IL345" s="562"/>
      <c r="IM345" s="562"/>
      <c r="IN345" s="562"/>
      <c r="IO345" s="562"/>
      <c r="IP345" s="562"/>
      <c r="IQ345" s="562"/>
      <c r="IR345" s="562"/>
      <c r="IS345" s="562"/>
      <c r="IT345" s="562"/>
      <c r="IU345" s="562"/>
      <c r="IV345" s="562"/>
      <c r="IW345" s="562"/>
      <c r="IX345" s="562"/>
      <c r="IY345" s="562"/>
      <c r="IZ345" s="562"/>
      <c r="JA345" s="562"/>
      <c r="JB345" s="562"/>
      <c r="JC345" s="562"/>
      <c r="JD345" s="562"/>
      <c r="JE345" s="562"/>
      <c r="JF345" s="562"/>
      <c r="JG345" s="562"/>
      <c r="JH345" s="562"/>
      <c r="JI345" s="562"/>
      <c r="JJ345" s="562"/>
      <c r="JK345" s="562"/>
      <c r="JL345" s="562"/>
      <c r="JM345" s="562"/>
      <c r="JN345" s="562"/>
      <c r="JO345" s="562"/>
      <c r="JP345" s="562"/>
      <c r="JQ345" s="562"/>
      <c r="JR345" s="562"/>
      <c r="JS345" s="562"/>
      <c r="JT345" s="562"/>
      <c r="JU345" s="562"/>
      <c r="JV345" s="562"/>
      <c r="JW345" s="562"/>
      <c r="JX345" s="562"/>
      <c r="JY345" s="562"/>
      <c r="JZ345" s="562"/>
    </row>
    <row r="346" spans="1:286" s="247" customFormat="1" ht="12.75" hidden="1" customHeight="1" outlineLevel="1" x14ac:dyDescent="0.2">
      <c r="A346" s="245"/>
      <c r="B346" s="247" t="s">
        <v>185</v>
      </c>
      <c r="C346" s="79"/>
      <c r="D346" s="79"/>
      <c r="E346" s="75"/>
      <c r="F346" s="75"/>
      <c r="G346" s="75"/>
      <c r="H346" s="75"/>
      <c r="I346" s="75"/>
      <c r="J346" s="75"/>
      <c r="K346" s="75"/>
      <c r="L346" s="79"/>
      <c r="M346" s="75"/>
      <c r="N346" s="79"/>
      <c r="O346" s="75"/>
      <c r="P346" s="79"/>
      <c r="Q346" s="75"/>
      <c r="R346" s="79"/>
      <c r="S346" s="75"/>
      <c r="T346" s="79"/>
      <c r="U346" s="127"/>
      <c r="V346" s="79"/>
      <c r="W346" s="75"/>
      <c r="X346" s="79"/>
      <c r="Y346" s="75"/>
      <c r="Z346" s="79"/>
      <c r="AA346" s="267"/>
      <c r="AB346" s="79"/>
      <c r="AC346" s="127"/>
      <c r="AD346" s="79"/>
      <c r="AE346" s="127">
        <f>300*0.0825/4*0.3333</f>
        <v>2.0622937499999998</v>
      </c>
      <c r="AF346" s="79" t="str">
        <f>IF(ISERROR((AE346/W346-1)*100),"NA",IF(((AE346/W346-1)*100)&gt;100,"NM",IF(((AE346/W346-1)*100)&lt;-50,"NM",(AE346/W346-1)*100)))</f>
        <v>NA</v>
      </c>
      <c r="AG346" s="127">
        <f>300*0.0825/4</f>
        <v>6.1875</v>
      </c>
      <c r="AH346" s="79" t="str">
        <f>IF(ISERROR((AG346/Y346-1)*100),"NA",IF(((AG346/Y346-1)*100)&gt;100,"NM",IF(((AG346/Y346-1)*100)&lt;-50,"NM",(AG346/Y346-1)*100)))</f>
        <v>NA</v>
      </c>
      <c r="AI346" s="127">
        <f>300*0.0825/4</f>
        <v>6.1875</v>
      </c>
      <c r="AJ346" s="79" t="str">
        <f>IF(ISERROR((AI346/AA346-1)*100),"NA",IF(((AI346/AA346-1)*100)&gt;100,"NM",IF(((AI346/AA346-1)*100)&lt;-50,"NM",(AI346/AA346-1)*100)))</f>
        <v>NA</v>
      </c>
      <c r="AK346" s="127">
        <f>300*0.0825/4</f>
        <v>6.1875</v>
      </c>
      <c r="AL346" s="79" t="str">
        <f>IF(ISERROR((AK346/AC346-1)*100),"NA",IF(((AK346/AC346-1)*100)&gt;100,"NM",IF(((AK346/AC346-1)*100)&lt;-50,"NM",(AK346/AC346-1)*100)))</f>
        <v>NA</v>
      </c>
      <c r="AM346" s="127">
        <f>300*0.0825/4</f>
        <v>6.1875</v>
      </c>
      <c r="AN346" s="79" t="str">
        <f>IF(ISERROR((AM346/AE346-1)*100),"NA",IF(((AM346/AE346-1)*100)&gt;100,"NM",IF(((AM346/AE346-1)*100)&lt;-50,"NM",(AM346/AE346-1)*100)))</f>
        <v>NM</v>
      </c>
      <c r="AO346" s="127">
        <f>300*0.0825/4</f>
        <v>6.1875</v>
      </c>
      <c r="AP346" s="79">
        <f>IF(ISERROR((AO346/AG346-1)*100),"NA",IF(((AO346/AG346-1)*100)&gt;100,"NM",IF(((AO346/AG346-1)*100)&lt;-50,"NM",(AO346/AG346-1)*100)))</f>
        <v>0</v>
      </c>
      <c r="AQ346" s="127">
        <f>AQ371</f>
        <v>6.1875</v>
      </c>
      <c r="AR346" s="79">
        <f>IF(ISERROR((AQ346/AI346-1)*100),"NA",IF(((AQ346/AI346-1)*100)&gt;100,"NM",IF(((AQ346/AI346-1)*100)&lt;-50,"NM",(AQ346/AI346-1)*100)))</f>
        <v>0</v>
      </c>
      <c r="AS346" s="184">
        <f>AS371</f>
        <v>6.1875</v>
      </c>
      <c r="AT346" s="81">
        <f>IF(ISERROR((AS346/AK346-1)*100),"NA",IF(((AS346/AK346-1)*100)&gt;100,"NM",IF(((AS346/AK346-1)*100)&lt;-50,"NM",(AS346/AK346-1)*100)))</f>
        <v>0</v>
      </c>
      <c r="AU346" s="184">
        <f>AU371</f>
        <v>6.1875</v>
      </c>
      <c r="AV346" s="81">
        <f>IF(ISERROR((AU346/AM346-1)*100),"NA",IF(((AU346/AM346-1)*100)&gt;100,"NM",IF(((AU346/AM346-1)*100)&lt;-50,"NM",(AU346/AM346-1)*100)))</f>
        <v>0</v>
      </c>
      <c r="AW346" s="184">
        <f>AW371</f>
        <v>6.1875</v>
      </c>
      <c r="AX346" s="81">
        <f>IF(ISERROR((AW346/AO346-1)*100),"NA",IF(((AW346/AO346-1)*100)&gt;100,"NM",IF(((AW346/AO346-1)*100)&lt;-50,"NM",(AW346/AO346-1)*100)))</f>
        <v>0</v>
      </c>
      <c r="AY346" s="184">
        <f>AY371</f>
        <v>6.1875</v>
      </c>
      <c r="AZ346" s="81">
        <f>IF(ISERROR((AY346/AQ346-1)*100),"NA",IF(((AY346/AQ346-1)*100)&gt;100,"NM",IF(((AY346/AQ346-1)*100)&lt;-50,"NM",(AY346/AQ346-1)*100)))</f>
        <v>0</v>
      </c>
      <c r="BA346" s="184">
        <f>BA371</f>
        <v>6.1875</v>
      </c>
      <c r="BB346" s="81">
        <f>IF(ISERROR((BA346/AS346-1)*100),"NA",IF(((BA346/AS346-1)*100)&gt;100,"NM",IF(((BA346/AS346-1)*100)&lt;-50,"NM",(BA346/AS346-1)*100)))</f>
        <v>0</v>
      </c>
      <c r="BC346" s="184">
        <f>BC371</f>
        <v>6.1875</v>
      </c>
      <c r="BD346" s="81">
        <f>IF(ISERROR((BC346/AU346-1)*100),"NA",IF(((BC346/AU346-1)*100)&gt;100,"NM",IF(((BC346/AU346-1)*100)&lt;-50,"NM",(BC346/AU346-1)*100)))</f>
        <v>0</v>
      </c>
      <c r="BE346" s="184">
        <f>BE371</f>
        <v>6.1875</v>
      </c>
      <c r="BF346" s="81">
        <f>IF(ISERROR((BE346/AW346-1)*100),"NA",IF(((BE346/AW346-1)*100)&gt;100,"NM",IF(((BE346/AW346-1)*100)&lt;-50,"NM",(BE346/AW346-1)*100)))</f>
        <v>0</v>
      </c>
      <c r="BG346" s="184">
        <f>BG371</f>
        <v>6.1875</v>
      </c>
      <c r="BH346" s="81">
        <f>IF(ISERROR((BG346/AY346-1)*100),"NA",IF(((BG346/AY346-1)*100)&gt;100,"NM",IF(((BG346/AY346-1)*100)&lt;-50,"NM",(BG346/AY346-1)*100)))</f>
        <v>0</v>
      </c>
      <c r="BI346" s="184">
        <f>BI371</f>
        <v>6.1875</v>
      </c>
      <c r="BJ346" s="81">
        <f>IF(ISERROR((BI346/BA346-1)*100),"NA",IF(((BI346/BA346-1)*100)&gt;100,"NM",IF(((BI346/BA346-1)*100)&lt;-50,"NM",(BI346/BA346-1)*100)))</f>
        <v>0</v>
      </c>
      <c r="BK346" s="184">
        <f>BK371</f>
        <v>6.1875</v>
      </c>
      <c r="BL346" s="81">
        <f>IF(ISERROR((BK346/BC346-1)*100),"NA",IF(((BK346/BC346-1)*100)&gt;100,"NM",IF(((BK346/BC346-1)*100)&lt;-50,"NM",(BK346/BC346-1)*100)))</f>
        <v>0</v>
      </c>
      <c r="BM346" s="184">
        <f>BM371</f>
        <v>6.1875</v>
      </c>
      <c r="BN346" s="81">
        <f>IF(ISERROR((BM346/BE346-1)*100),"NA",IF(((BM346/BE346-1)*100)&gt;100,"NM",IF(((BM346/BE346-1)*100)&lt;-50,"NM",(BM346/BE346-1)*100)))</f>
        <v>0</v>
      </c>
      <c r="BO346" s="184"/>
      <c r="BP346" s="81"/>
      <c r="BQ346" s="184"/>
      <c r="BR346" s="81"/>
      <c r="BS346" s="184"/>
      <c r="BT346" s="81"/>
      <c r="BU346" s="184"/>
      <c r="BV346" s="81"/>
      <c r="BW346" s="184"/>
      <c r="BX346" s="81"/>
      <c r="BY346" s="184"/>
      <c r="BZ346" s="81"/>
      <c r="CA346" s="184"/>
      <c r="CB346" s="81"/>
      <c r="CC346" s="184"/>
      <c r="CD346" s="81"/>
      <c r="CE346" s="184"/>
      <c r="CF346" s="81"/>
      <c r="CG346" s="184"/>
      <c r="CH346" s="81"/>
      <c r="CI346" s="184"/>
      <c r="CJ346" s="81"/>
      <c r="CK346" s="184"/>
      <c r="CL346" s="81"/>
      <c r="CM346" s="184"/>
      <c r="CN346" s="81"/>
      <c r="CO346" s="184"/>
      <c r="CP346" s="81"/>
      <c r="CQ346" s="184"/>
      <c r="CR346" s="81"/>
      <c r="CS346" s="184"/>
      <c r="CT346" s="81"/>
      <c r="CU346" s="184"/>
      <c r="CV346" s="81"/>
      <c r="CW346" s="184"/>
      <c r="CX346" s="81"/>
      <c r="CY346" s="184"/>
      <c r="CZ346" s="81"/>
      <c r="DA346" s="184"/>
      <c r="DB346" s="81"/>
      <c r="DC346" s="184"/>
      <c r="DD346" s="81"/>
      <c r="DE346" s="184"/>
      <c r="DF346" s="81"/>
      <c r="DG346" s="184"/>
      <c r="DH346" s="81"/>
      <c r="DI346" s="184"/>
      <c r="DJ346" s="81"/>
      <c r="DK346" s="184"/>
      <c r="DL346" s="81"/>
      <c r="DM346" s="184"/>
      <c r="DN346" s="81"/>
      <c r="DO346" s="184"/>
      <c r="DP346" s="81"/>
      <c r="DQ346" s="184"/>
      <c r="DR346" s="81"/>
      <c r="DS346" s="184"/>
      <c r="DT346" s="81"/>
      <c r="DU346" s="184"/>
      <c r="DV346" s="81"/>
      <c r="DW346" s="184"/>
      <c r="DX346" s="81"/>
      <c r="DY346" s="184"/>
      <c r="DZ346" s="81"/>
      <c r="EA346" s="184"/>
      <c r="EB346" s="81"/>
      <c r="EC346" s="184"/>
      <c r="ED346" s="81"/>
      <c r="EE346" s="184"/>
      <c r="EF346" s="81"/>
      <c r="EG346" s="184"/>
      <c r="EH346" s="81"/>
      <c r="EI346" s="184"/>
      <c r="EJ346" s="81"/>
      <c r="EK346" s="184"/>
      <c r="EL346" s="81"/>
      <c r="EM346" s="184"/>
      <c r="EN346" s="81"/>
      <c r="EO346" s="184"/>
      <c r="EP346" s="81"/>
      <c r="EQ346" s="184"/>
      <c r="ER346" s="81"/>
      <c r="ES346" s="184"/>
      <c r="ET346" s="485"/>
      <c r="EU346" s="184"/>
      <c r="EV346" s="184"/>
      <c r="EW346" s="286"/>
      <c r="EX346" s="184"/>
      <c r="EY346" s="286"/>
      <c r="EZ346" s="287"/>
      <c r="FA346" s="286"/>
      <c r="FB346" s="184"/>
      <c r="FC346" s="286"/>
      <c r="FD346" s="287"/>
      <c r="FE346" s="286"/>
      <c r="FF346" s="287"/>
      <c r="FG346" s="286"/>
      <c r="FH346" s="287">
        <f>+AI346+AG346+AE346+AC346</f>
        <v>14.43729375</v>
      </c>
      <c r="FI346" s="286" t="str">
        <f>IF(ISERROR((FH346/FF346-1)*100),"NA",IF(((FH346/FF346-1)*100)&gt;100,"NM",IF(((FH346/FF346-1)*100)&lt;-50,"NM",(FH346/FF346-1)*100)))</f>
        <v>NA</v>
      </c>
      <c r="FJ346" s="184">
        <f>+AQ346+AO346+AM346+AK346</f>
        <v>24.75</v>
      </c>
      <c r="FK346" s="286">
        <f>IF(ISERROR((FJ346/FH346-1)*100),"NA",IF(((FJ346/FH346-1)*100)&gt;100,"NM",IF(((FJ346/FH346-1)*100)&lt;-50,"NM",(FJ346/FH346-1)*100)))</f>
        <v>71.431020443149194</v>
      </c>
      <c r="FL346" s="74">
        <f t="shared" si="1093"/>
        <v>24.75</v>
      </c>
      <c r="FM346" s="286">
        <f>IF(ISERROR((FL346/FJ346-1)*100),"NA",IF(((FL346/FJ346-1)*100)&gt;100,"NM",IF(((FL346/FJ346-1)*100)&lt;-50,"NM",(FL346/FJ346-1)*100)))</f>
        <v>0</v>
      </c>
      <c r="FN346" s="74">
        <f t="shared" si="1094"/>
        <v>24.75</v>
      </c>
      <c r="FO346" s="286">
        <f>IF(ISERROR((FN346/FL346-1)*100),"NA",IF(((FN346/FL346-1)*100)&gt;100,"NM",IF(((FN346/FL346-1)*100)&lt;-50,"NM",(FN346/FL346-1)*100)))</f>
        <v>0</v>
      </c>
      <c r="FP346" s="74">
        <f t="shared" si="1095"/>
        <v>18.5625</v>
      </c>
      <c r="FQ346" s="286">
        <f>IF(ISERROR((FP346/FN346-1)*100),"NA",IF(((FP346/FN346-1)*100)&gt;100,"NM",IF(((FP346/FN346-1)*100)&lt;-50,"NM",(FP346/FN346-1)*100)))</f>
        <v>-25</v>
      </c>
      <c r="FR346" s="184"/>
      <c r="FS346" s="286" t="str">
        <f>IF(ISERROR((FR346/FP346-1)*100),"NA",IF(((FR346/FP346-1)*100)&gt;100,"NM",IF(((FR346/FP346-1)*100)&lt;-50,"NM",(FR346/FP346-1)*100)))</f>
        <v>NM</v>
      </c>
      <c r="FT346" s="184"/>
      <c r="FU346" s="286" t="str">
        <f>IF(ISERROR((FT346/FR346-1)*100),"NA",IF(((FT346/FR346-1)*100)&gt;100,"NM",IF(((FT346/FR346-1)*100)&lt;-50,"NM",(FT346/FR346-1)*100)))</f>
        <v>NA</v>
      </c>
      <c r="FV346" s="184"/>
      <c r="FW346" s="286" t="str">
        <f>IF(ISERROR((FV346/FT346-1)*100),"NA",IF(((FV346/FT346-1)*100)&gt;100,"NM",IF(((FV346/FT346-1)*100)&lt;-50,"NM",(FV346/FT346-1)*100)))</f>
        <v>NA</v>
      </c>
      <c r="FX346" s="184"/>
      <c r="FY346" s="286" t="str">
        <f>IF(ISERROR((FX346/FV346-1)*100),"NA",IF(((FX346/FV346-1)*100)&gt;100,"NM",IF(((FX346/FV346-1)*100)&lt;-50,"NM",(FX346/FV346-1)*100)))</f>
        <v>NA</v>
      </c>
      <c r="FZ346" s="184"/>
      <c r="GA346" s="286" t="str">
        <f>IF(ISERROR((FZ346/FX346-1)*100),"NA",IF(((FZ346/FX346-1)*100)&gt;100,"NM",IF(((FZ346/FX346-1)*100)&lt;-50,"NM",(FZ346/FX346-1)*100)))</f>
        <v>NA</v>
      </c>
      <c r="GB346" s="184"/>
      <c r="GC346" s="286" t="str">
        <f>IF(ISERROR((GB346/FZ346-1)*100),"NA",IF(((GB346/FZ346-1)*100)&gt;100,"NM",IF(((GB346/FZ346-1)*100)&lt;-50,"NM",(GB346/FZ346-1)*100)))</f>
        <v>NA</v>
      </c>
      <c r="GD346" s="184"/>
      <c r="GE346" s="286" t="str">
        <f>IF(ISERROR((GD346/GB346-1)*100),"NA",IF(((GD346/GB346-1)*100)&gt;100,"NM",IF(((GD346/GB346-1)*100)&lt;-50,"NM",(GD346/GB346-1)*100)))</f>
        <v>NA</v>
      </c>
      <c r="GF346" s="184"/>
      <c r="GG346" s="286" t="str">
        <f>IF(ISERROR((GF346/GD346-1)*100),"NA",IF(((GF346/GD346-1)*100)&gt;100,"NM",IF(((GF346/GD346-1)*100)&lt;-50,"NM",(GF346/GD346-1)*100)))</f>
        <v>NA</v>
      </c>
      <c r="GH346" s="184"/>
      <c r="GI346" s="286" t="str">
        <f>IF(ISERROR((GH346/GF346-1)*100),"NA",IF(((GH346/GF346-1)*100)&gt;100,"NM",IF(((GH346/GF346-1)*100)&lt;-50,"NM",(GH346/GF346-1)*100)))</f>
        <v>NA</v>
      </c>
      <c r="GJ346" s="184"/>
      <c r="GK346" s="286" t="str">
        <f>IF(ISERROR((GJ346/GH346-1)*100),"NA",IF(((GJ346/GH346-1)*100)&gt;100,"NM",IF(((GJ346/GH346-1)*100)&lt;-50,"NM",(GJ346/GH346-1)*100)))</f>
        <v>NA</v>
      </c>
      <c r="GL346" s="184"/>
      <c r="GM346" s="286" t="str">
        <f>IF(ISERROR((GL346/GJ346-1)*100),"NA",IF(((GL346/GJ346-1)*100)&gt;100,"NM",IF(((GL346/GJ346-1)*100)&lt;-50,"NM",(GL346/GJ346-1)*100)))</f>
        <v>NA</v>
      </c>
      <c r="GN346" s="184"/>
      <c r="GO346" s="286" t="str">
        <f>IF(ISERROR((GN346/GL346-1)*100),"NA",IF(((GN346/GL346-1)*100)&gt;100,"NM",IF(((GN346/GL346-1)*100)&lt;-50,"NM",(GN346/GL346-1)*100)))</f>
        <v>NA</v>
      </c>
      <c r="GP346" s="184"/>
      <c r="GQ346" s="286" t="str">
        <f>IF(ISERROR((GP346/GN346-1)*100),"NA",IF(((GP346/GN346-1)*100)&gt;100,"NM",IF(((GP346/GN346-1)*100)&lt;-50,"NM",(GP346/GN346-1)*100)))</f>
        <v>NA</v>
      </c>
      <c r="GR346" s="184"/>
      <c r="GS346" s="286" t="str">
        <f>IF(ISERROR((GR346/GP346-1)*100),"NA",IF(((GR346/GP346-1)*100)&gt;100,"NM",IF(((GR346/GP346-1)*100)&lt;-50,"NM",(GR346/GP346-1)*100)))</f>
        <v>NA</v>
      </c>
      <c r="GT346" s="79"/>
      <c r="GU346" s="562"/>
      <c r="GV346" s="562"/>
      <c r="GW346"/>
      <c r="GX346"/>
      <c r="GY346"/>
      <c r="GZ346"/>
      <c r="HA346"/>
      <c r="HB346"/>
      <c r="HC346" s="562"/>
      <c r="HD346" s="562"/>
      <c r="HE346" s="562"/>
      <c r="HF346" s="562"/>
      <c r="HG346" s="562"/>
      <c r="HH346" s="562"/>
      <c r="HI346" s="562"/>
      <c r="HJ346" s="562"/>
      <c r="HK346" s="562"/>
      <c r="HL346" s="562"/>
      <c r="HM346" s="562"/>
      <c r="HN346" s="562"/>
      <c r="HO346" s="562"/>
      <c r="HP346" s="562"/>
      <c r="HQ346" s="562"/>
      <c r="HR346" s="562"/>
      <c r="HS346" s="562"/>
      <c r="HT346" s="562"/>
      <c r="HU346" s="562"/>
      <c r="HV346" s="562"/>
      <c r="HW346" s="562"/>
      <c r="HX346" s="562"/>
      <c r="HY346" s="562"/>
      <c r="HZ346" s="562"/>
      <c r="IA346" s="562"/>
      <c r="IB346" s="562"/>
      <c r="IC346" s="562"/>
      <c r="ID346" s="562"/>
      <c r="IE346" s="562"/>
      <c r="IF346" s="562"/>
      <c r="IG346" s="562"/>
      <c r="IH346" s="562"/>
      <c r="II346" s="562"/>
      <c r="IJ346" s="562"/>
      <c r="IK346" s="562"/>
      <c r="IL346" s="562"/>
      <c r="IM346" s="562"/>
      <c r="IN346" s="562"/>
      <c r="IO346" s="562"/>
      <c r="IP346" s="562"/>
      <c r="IQ346" s="562"/>
      <c r="IR346" s="562"/>
      <c r="IS346" s="562"/>
      <c r="IT346" s="562"/>
      <c r="IU346" s="562"/>
      <c r="IV346" s="562"/>
      <c r="IW346" s="562"/>
      <c r="IX346" s="562"/>
      <c r="IY346" s="562"/>
      <c r="IZ346" s="562"/>
      <c r="JA346" s="562"/>
      <c r="JB346" s="562"/>
      <c r="JC346" s="562"/>
      <c r="JD346" s="562"/>
      <c r="JE346" s="562"/>
      <c r="JF346" s="562"/>
      <c r="JG346" s="562"/>
      <c r="JH346" s="562"/>
      <c r="JI346" s="562"/>
      <c r="JJ346" s="562"/>
      <c r="JK346" s="562"/>
      <c r="JL346" s="562"/>
      <c r="JM346" s="562"/>
      <c r="JN346" s="562"/>
      <c r="JO346" s="562"/>
      <c r="JP346" s="562"/>
      <c r="JQ346" s="562"/>
      <c r="JR346" s="562"/>
      <c r="JS346" s="562"/>
      <c r="JT346" s="562"/>
      <c r="JU346" s="562"/>
      <c r="JV346" s="562"/>
      <c r="JW346" s="562"/>
      <c r="JX346" s="562"/>
      <c r="JY346" s="562"/>
      <c r="JZ346" s="562"/>
    </row>
    <row r="347" spans="1:286" s="247" customFormat="1" ht="12.75" hidden="1" customHeight="1" outlineLevel="1" x14ac:dyDescent="0.2">
      <c r="A347" s="245"/>
      <c r="B347" s="247" t="s">
        <v>182</v>
      </c>
      <c r="C347" s="79"/>
      <c r="D347" s="79"/>
      <c r="E347" s="75"/>
      <c r="F347" s="75"/>
      <c r="G347" s="75"/>
      <c r="H347" s="75"/>
      <c r="I347" s="75"/>
      <c r="J347" s="75"/>
      <c r="K347" s="75"/>
      <c r="L347" s="79"/>
      <c r="M347" s="75"/>
      <c r="N347" s="79"/>
      <c r="O347" s="75"/>
      <c r="P347" s="79"/>
      <c r="Q347" s="75"/>
      <c r="R347" s="79"/>
      <c r="S347" s="75"/>
      <c r="T347" s="79"/>
      <c r="U347" s="127"/>
      <c r="V347" s="79"/>
      <c r="W347" s="75"/>
      <c r="X347" s="79"/>
      <c r="Y347" s="75"/>
      <c r="Z347" s="79"/>
      <c r="AA347" s="267"/>
      <c r="AB347" s="79"/>
      <c r="AC347" s="127">
        <f>575*0.0825/4</f>
        <v>11.859375</v>
      </c>
      <c r="AD347" s="79" t="str">
        <f>IF(ISERROR((AC347/U347-1)*100),"NA",IF(((AC347/U347-1)*100)&gt;100,"NM",IF(((AC347/U347-1)*100)&lt;-50,"NM",(AC347/U347-1)*100)))</f>
        <v>NA</v>
      </c>
      <c r="AE347" s="127">
        <f>575*0.0825/4</f>
        <v>11.859375</v>
      </c>
      <c r="AF347" s="79" t="str">
        <f>IF(ISERROR((AE347/W347-1)*100),"NA",IF(((AE347/W347-1)*100)&gt;100,"NM",IF(((AE347/W347-1)*100)&lt;-50,"NM",(AE347/W347-1)*100)))</f>
        <v>NA</v>
      </c>
      <c r="AG347" s="127">
        <f>575*0.0825/4</f>
        <v>11.859375</v>
      </c>
      <c r="AH347" s="79" t="str">
        <f>IF(ISERROR((AG347/Y347-1)*100),"NA",IF(((AG347/Y347-1)*100)&gt;100,"NM",IF(((AG347/Y347-1)*100)&lt;-50,"NM",(AG347/Y347-1)*100)))</f>
        <v>NA</v>
      </c>
      <c r="AI347" s="127">
        <f>575*0.0825/4</f>
        <v>11.859375</v>
      </c>
      <c r="AJ347" s="79" t="str">
        <f>IF(ISERROR((AI347/AA347-1)*100),"NA",IF(((AI347/AA347-1)*100)&gt;100,"NM",IF(((AI347/AA347-1)*100)&lt;-50,"NM",(AI347/AA347-1)*100)))</f>
        <v>NA</v>
      </c>
      <c r="AK347" s="127">
        <f>575*0.0825/4</f>
        <v>11.859375</v>
      </c>
      <c r="AL347" s="79">
        <f>IF(ISERROR((AK347/AC347-1)*100),"NA",IF(((AK347/AC347-1)*100)&gt;100,"NM",IF(((AK347/AC347-1)*100)&lt;-50,"NM",(AK347/AC347-1)*100)))</f>
        <v>0</v>
      </c>
      <c r="AM347" s="127">
        <f>575*0.0825/4</f>
        <v>11.859375</v>
      </c>
      <c r="AN347" s="79">
        <f>IF(ISERROR((AM347/AE347-1)*100),"NA",IF(((AM347/AE347-1)*100)&gt;100,"NM",IF(((AM347/AE347-1)*100)&lt;-50,"NM",(AM347/AE347-1)*100)))</f>
        <v>0</v>
      </c>
      <c r="AO347" s="127">
        <f>575*0.0825/4</f>
        <v>11.859375</v>
      </c>
      <c r="AP347" s="79">
        <f>IF(ISERROR((AO347/AG347-1)*100),"NA",IF(((AO347/AG347-1)*100)&gt;100,"NM",IF(((AO347/AG347-1)*100)&lt;-50,"NM",(AO347/AG347-1)*100)))</f>
        <v>0</v>
      </c>
      <c r="AQ347" s="127">
        <f>AQ367</f>
        <v>11.859375</v>
      </c>
      <c r="AR347" s="79">
        <f>IF(ISERROR((AQ347/AI347-1)*100),"NA",IF(((AQ347/AI347-1)*100)&gt;100,"NM",IF(((AQ347/AI347-1)*100)&lt;-50,"NM",(AQ347/AI347-1)*100)))</f>
        <v>0</v>
      </c>
      <c r="AS347" s="184">
        <f>AS367</f>
        <v>2.40625</v>
      </c>
      <c r="AT347" s="81" t="str">
        <f>IF(ISERROR((AS347/AK347-1)*100),"NA",IF(((AS347/AK347-1)*100)&gt;100,"NM",IF(((AS347/AK347-1)*100)&lt;-50,"NM",(AS347/AK347-1)*100)))</f>
        <v>NM</v>
      </c>
      <c r="AU347" s="184">
        <f>AU367</f>
        <v>2.40625</v>
      </c>
      <c r="AV347" s="81" t="str">
        <f>IF(ISERROR((AU347/AM347-1)*100),"NA",IF(((AU347/AM347-1)*100)&gt;100,"NM",IF(((AU347/AM347-1)*100)&lt;-50,"NM",(AU347/AM347-1)*100)))</f>
        <v>NM</v>
      </c>
      <c r="AW347" s="184">
        <f>AW367</f>
        <v>2.40625</v>
      </c>
      <c r="AX347" s="81" t="str">
        <f>IF(ISERROR((AW347/AO347-1)*100),"NA",IF(((AW347/AO347-1)*100)&gt;100,"NM",IF(((AW347/AO347-1)*100)&lt;-50,"NM",(AW347/AO347-1)*100)))</f>
        <v>NM</v>
      </c>
      <c r="AY347" s="184">
        <f>AY367</f>
        <v>2.40625</v>
      </c>
      <c r="AZ347" s="81" t="str">
        <f>IF(ISERROR((AY347/AQ347-1)*100),"NA",IF(((AY347/AQ347-1)*100)&gt;100,"NM",IF(((AY347/AQ347-1)*100)&lt;-50,"NM",(AY347/AQ347-1)*100)))</f>
        <v>NM</v>
      </c>
      <c r="BA347" s="184">
        <f>BA367</f>
        <v>2.40625</v>
      </c>
      <c r="BB347" s="81">
        <f>IF(ISERROR((BA347/AS347-1)*100),"NA",IF(((BA347/AS347-1)*100)&gt;100,"NM",IF(((BA347/AS347-1)*100)&lt;-50,"NM",(BA347/AS347-1)*100)))</f>
        <v>0</v>
      </c>
      <c r="BC347" s="184">
        <f>BC367</f>
        <v>2.40625</v>
      </c>
      <c r="BD347" s="81">
        <f>IF(ISERROR((BC347/AU347-1)*100),"NA",IF(((BC347/AU347-1)*100)&gt;100,"NM",IF(((BC347/AU347-1)*100)&lt;-50,"NM",(BC347/AU347-1)*100)))</f>
        <v>0</v>
      </c>
      <c r="BE347" s="184">
        <f>BE367</f>
        <v>2.40625</v>
      </c>
      <c r="BF347" s="81">
        <f>IF(ISERROR((BE347/AW347-1)*100),"NA",IF(((BE347/AW347-1)*100)&gt;100,"NM",IF(((BE347/AW347-1)*100)&lt;-50,"NM",(BE347/AW347-1)*100)))</f>
        <v>0</v>
      </c>
      <c r="BG347" s="184">
        <f>BG367</f>
        <v>2.40625</v>
      </c>
      <c r="BH347" s="81">
        <f>IF(ISERROR((BG347/AY347-1)*100),"NA",IF(((BG347/AY347-1)*100)&gt;100,"NM",IF(((BG347/AY347-1)*100)&lt;-50,"NM",(BG347/AY347-1)*100)))</f>
        <v>0</v>
      </c>
      <c r="BI347" s="184">
        <f>BI367</f>
        <v>2.40625</v>
      </c>
      <c r="BJ347" s="81">
        <f>IF(ISERROR((BI347/BA347-1)*100),"NA",IF(((BI347/BA347-1)*100)&gt;100,"NM",IF(((BI347/BA347-1)*100)&lt;-50,"NM",(BI347/BA347-1)*100)))</f>
        <v>0</v>
      </c>
      <c r="BK347" s="184">
        <f>BK367</f>
        <v>2.40625</v>
      </c>
      <c r="BL347" s="81">
        <f>IF(ISERROR((BK347/BC347-1)*100),"NA",IF(((BK347/BC347-1)*100)&gt;100,"NM",IF(((BK347/BC347-1)*100)&lt;-50,"NM",(BK347/BC347-1)*100)))</f>
        <v>0</v>
      </c>
      <c r="BM347" s="184">
        <f>BM367</f>
        <v>2.40625</v>
      </c>
      <c r="BN347" s="81">
        <f>IF(ISERROR((BM347/BE347-1)*100),"NA",IF(((BM347/BE347-1)*100)&gt;100,"NM",IF(((BM347/BE347-1)*100)&lt;-50,"NM",(BM347/BE347-1)*100)))</f>
        <v>0</v>
      </c>
      <c r="BO347" s="184"/>
      <c r="BP347" s="81"/>
      <c r="BQ347" s="184"/>
      <c r="BR347" s="81"/>
      <c r="BS347" s="184"/>
      <c r="BT347" s="81"/>
      <c r="BU347" s="184"/>
      <c r="BV347" s="81"/>
      <c r="BW347" s="184"/>
      <c r="BX347" s="81"/>
      <c r="BY347" s="184"/>
      <c r="BZ347" s="81"/>
      <c r="CA347" s="184"/>
      <c r="CB347" s="81"/>
      <c r="CC347" s="184"/>
      <c r="CD347" s="81"/>
      <c r="CE347" s="184"/>
      <c r="CF347" s="81"/>
      <c r="CG347" s="184"/>
      <c r="CH347" s="81"/>
      <c r="CI347" s="184"/>
      <c r="CJ347" s="81"/>
      <c r="CK347" s="184"/>
      <c r="CL347" s="81"/>
      <c r="CM347" s="184"/>
      <c r="CN347" s="81"/>
      <c r="CO347" s="184"/>
      <c r="CP347" s="81"/>
      <c r="CQ347" s="184"/>
      <c r="CR347" s="81"/>
      <c r="CS347" s="184"/>
      <c r="CT347" s="81"/>
      <c r="CU347" s="184"/>
      <c r="CV347" s="81"/>
      <c r="CW347" s="184"/>
      <c r="CX347" s="81"/>
      <c r="CY347" s="184"/>
      <c r="CZ347" s="81"/>
      <c r="DA347" s="184"/>
      <c r="DB347" s="81"/>
      <c r="DC347" s="184"/>
      <c r="DD347" s="81"/>
      <c r="DE347" s="184"/>
      <c r="DF347" s="81"/>
      <c r="DG347" s="184"/>
      <c r="DH347" s="81"/>
      <c r="DI347" s="184"/>
      <c r="DJ347" s="81"/>
      <c r="DK347" s="184"/>
      <c r="DL347" s="81"/>
      <c r="DM347" s="184"/>
      <c r="DN347" s="81"/>
      <c r="DO347" s="184"/>
      <c r="DP347" s="81"/>
      <c r="DQ347" s="184"/>
      <c r="DR347" s="81"/>
      <c r="DS347" s="184"/>
      <c r="DT347" s="81"/>
      <c r="DU347" s="184"/>
      <c r="DV347" s="81"/>
      <c r="DW347" s="184"/>
      <c r="DX347" s="81"/>
      <c r="DY347" s="184"/>
      <c r="DZ347" s="81"/>
      <c r="EA347" s="184"/>
      <c r="EB347" s="81"/>
      <c r="EC347" s="184"/>
      <c r="ED347" s="81"/>
      <c r="EE347" s="184"/>
      <c r="EF347" s="81"/>
      <c r="EG347" s="184"/>
      <c r="EH347" s="81"/>
      <c r="EI347" s="184"/>
      <c r="EJ347" s="81"/>
      <c r="EK347" s="184"/>
      <c r="EL347" s="81"/>
      <c r="EM347" s="184"/>
      <c r="EN347" s="81"/>
      <c r="EO347" s="184"/>
      <c r="EP347" s="81"/>
      <c r="EQ347" s="184"/>
      <c r="ER347" s="81"/>
      <c r="ES347" s="184"/>
      <c r="ET347" s="485"/>
      <c r="EU347" s="184"/>
      <c r="EV347" s="184"/>
      <c r="EW347" s="286"/>
      <c r="EX347" s="184"/>
      <c r="EY347" s="286"/>
      <c r="EZ347" s="287"/>
      <c r="FA347" s="286"/>
      <c r="FB347" s="184"/>
      <c r="FC347" s="286"/>
      <c r="FD347" s="287"/>
      <c r="FE347" s="286"/>
      <c r="FF347" s="287"/>
      <c r="FG347" s="286"/>
      <c r="FH347" s="287">
        <f>+AI347+AG347+AE347+AC347</f>
        <v>47.4375</v>
      </c>
      <c r="FI347" s="286" t="str">
        <f>IF(ISERROR((FH347/FF347-1)*100),"NA",IF(((FH347/FF347-1)*100)&gt;100,"NM",IF(((FH347/FF347-1)*100)&lt;-50,"NM",(FH347/FF347-1)*100)))</f>
        <v>NA</v>
      </c>
      <c r="FJ347" s="184">
        <f>+AQ347+AO347+AM347+AK347</f>
        <v>47.4375</v>
      </c>
      <c r="FK347" s="286">
        <f>IF(ISERROR((FJ347/FH347-1)*100),"NA",IF(((FJ347/FH347-1)*100)&gt;100,"NM",IF(((FJ347/FH347-1)*100)&lt;-50,"NM",(FJ347/FH347-1)*100)))</f>
        <v>0</v>
      </c>
      <c r="FL347" s="74">
        <f t="shared" si="1093"/>
        <v>9.625</v>
      </c>
      <c r="FM347" s="286" t="str">
        <f>IF(ISERROR((FL347/FJ347-1)*100),"NA",IF(((FL347/FJ347-1)*100)&gt;100,"NM",IF(((FL347/FJ347-1)*100)&lt;-50,"NM",(FL347/FJ347-1)*100)))</f>
        <v>NM</v>
      </c>
      <c r="FN347" s="74">
        <f t="shared" si="1094"/>
        <v>9.625</v>
      </c>
      <c r="FO347" s="286">
        <f>IF(ISERROR((FN347/FL347-1)*100),"NA",IF(((FN347/FL347-1)*100)&gt;100,"NM",IF(((FN347/FL347-1)*100)&lt;-50,"NM",(FN347/FL347-1)*100)))</f>
        <v>0</v>
      </c>
      <c r="FP347" s="74">
        <f t="shared" si="1095"/>
        <v>7.21875</v>
      </c>
      <c r="FQ347" s="286">
        <f>IF(ISERROR((FP347/FN347-1)*100),"NA",IF(((FP347/FN347-1)*100)&gt;100,"NM",IF(((FP347/FN347-1)*100)&lt;-50,"NM",(FP347/FN347-1)*100)))</f>
        <v>-25</v>
      </c>
      <c r="FR347" s="184"/>
      <c r="FS347" s="286" t="str">
        <f>IF(ISERROR((FR347/FP347-1)*100),"NA",IF(((FR347/FP347-1)*100)&gt;100,"NM",IF(((FR347/FP347-1)*100)&lt;-50,"NM",(FR347/FP347-1)*100)))</f>
        <v>NM</v>
      </c>
      <c r="FT347" s="184"/>
      <c r="FU347" s="286" t="str">
        <f>IF(ISERROR((FT347/FR347-1)*100),"NA",IF(((FT347/FR347-1)*100)&gt;100,"NM",IF(((FT347/FR347-1)*100)&lt;-50,"NM",(FT347/FR347-1)*100)))</f>
        <v>NA</v>
      </c>
      <c r="FV347" s="184"/>
      <c r="FW347" s="286" t="str">
        <f>IF(ISERROR((FV347/FT347-1)*100),"NA",IF(((FV347/FT347-1)*100)&gt;100,"NM",IF(((FV347/FT347-1)*100)&lt;-50,"NM",(FV347/FT347-1)*100)))</f>
        <v>NA</v>
      </c>
      <c r="FX347" s="184"/>
      <c r="FY347" s="286" t="str">
        <f>IF(ISERROR((FX347/FV347-1)*100),"NA",IF(((FX347/FV347-1)*100)&gt;100,"NM",IF(((FX347/FV347-1)*100)&lt;-50,"NM",(FX347/FV347-1)*100)))</f>
        <v>NA</v>
      </c>
      <c r="FZ347" s="184"/>
      <c r="GA347" s="286" t="str">
        <f>IF(ISERROR((FZ347/FX347-1)*100),"NA",IF(((FZ347/FX347-1)*100)&gt;100,"NM",IF(((FZ347/FX347-1)*100)&lt;-50,"NM",(FZ347/FX347-1)*100)))</f>
        <v>NA</v>
      </c>
      <c r="GB347" s="184"/>
      <c r="GC347" s="286" t="str">
        <f>IF(ISERROR((GB347/FZ347-1)*100),"NA",IF(((GB347/FZ347-1)*100)&gt;100,"NM",IF(((GB347/FZ347-1)*100)&lt;-50,"NM",(GB347/FZ347-1)*100)))</f>
        <v>NA</v>
      </c>
      <c r="GD347" s="184"/>
      <c r="GE347" s="286" t="str">
        <f>IF(ISERROR((GD347/GB347-1)*100),"NA",IF(((GD347/GB347-1)*100)&gt;100,"NM",IF(((GD347/GB347-1)*100)&lt;-50,"NM",(GD347/GB347-1)*100)))</f>
        <v>NA</v>
      </c>
      <c r="GF347" s="184"/>
      <c r="GG347" s="286" t="str">
        <f>IF(ISERROR((GF347/GD347-1)*100),"NA",IF(((GF347/GD347-1)*100)&gt;100,"NM",IF(((GF347/GD347-1)*100)&lt;-50,"NM",(GF347/GD347-1)*100)))</f>
        <v>NA</v>
      </c>
      <c r="GH347" s="184"/>
      <c r="GI347" s="286" t="str">
        <f>IF(ISERROR((GH347/GF347-1)*100),"NA",IF(((GH347/GF347-1)*100)&gt;100,"NM",IF(((GH347/GF347-1)*100)&lt;-50,"NM",(GH347/GF347-1)*100)))</f>
        <v>NA</v>
      </c>
      <c r="GJ347" s="184"/>
      <c r="GK347" s="286" t="str">
        <f>IF(ISERROR((GJ347/GH347-1)*100),"NA",IF(((GJ347/GH347-1)*100)&gt;100,"NM",IF(((GJ347/GH347-1)*100)&lt;-50,"NM",(GJ347/GH347-1)*100)))</f>
        <v>NA</v>
      </c>
      <c r="GL347" s="184"/>
      <c r="GM347" s="286" t="str">
        <f>IF(ISERROR((GL347/GJ347-1)*100),"NA",IF(((GL347/GJ347-1)*100)&gt;100,"NM",IF(((GL347/GJ347-1)*100)&lt;-50,"NM",(GL347/GJ347-1)*100)))</f>
        <v>NA</v>
      </c>
      <c r="GN347" s="184"/>
      <c r="GO347" s="286" t="str">
        <f>IF(ISERROR((GN347/GL347-1)*100),"NA",IF(((GN347/GL347-1)*100)&gt;100,"NM",IF(((GN347/GL347-1)*100)&lt;-50,"NM",(GN347/GL347-1)*100)))</f>
        <v>NA</v>
      </c>
      <c r="GP347" s="184"/>
      <c r="GQ347" s="286" t="str">
        <f>IF(ISERROR((GP347/GN347-1)*100),"NA",IF(((GP347/GN347-1)*100)&gt;100,"NM",IF(((GP347/GN347-1)*100)&lt;-50,"NM",(GP347/GN347-1)*100)))</f>
        <v>NA</v>
      </c>
      <c r="GR347" s="184"/>
      <c r="GS347" s="286" t="str">
        <f>IF(ISERROR((GR347/GP347-1)*100),"NA",IF(((GR347/GP347-1)*100)&gt;100,"NM",IF(((GR347/GP347-1)*100)&lt;-50,"NM",(GR347/GP347-1)*100)))</f>
        <v>NA</v>
      </c>
      <c r="GT347" s="79"/>
      <c r="GU347" s="562"/>
      <c r="GV347" s="562"/>
      <c r="GW347"/>
      <c r="GX347"/>
      <c r="GY347"/>
      <c r="GZ347"/>
      <c r="HA347"/>
      <c r="HB347"/>
      <c r="HC347" s="562"/>
      <c r="HD347" s="562"/>
      <c r="HE347" s="562"/>
      <c r="HF347" s="562"/>
      <c r="HG347" s="562"/>
      <c r="HH347" s="562"/>
      <c r="HI347" s="562"/>
      <c r="HJ347" s="562"/>
      <c r="HK347" s="562"/>
      <c r="HL347" s="562"/>
      <c r="HM347" s="562"/>
      <c r="HN347" s="562"/>
      <c r="HO347" s="562"/>
      <c r="HP347" s="562"/>
      <c r="HQ347" s="562"/>
      <c r="HR347" s="562"/>
      <c r="HS347" s="562"/>
      <c r="HT347" s="562"/>
      <c r="HU347" s="562"/>
      <c r="HV347" s="562"/>
      <c r="HW347" s="562"/>
      <c r="HX347" s="562"/>
      <c r="HY347" s="562"/>
      <c r="HZ347" s="562"/>
      <c r="IA347" s="562"/>
      <c r="IB347" s="562"/>
      <c r="IC347" s="562"/>
      <c r="ID347" s="562"/>
      <c r="IE347" s="562"/>
      <c r="IF347" s="562"/>
      <c r="IG347" s="562"/>
      <c r="IH347" s="562"/>
      <c r="II347" s="562"/>
      <c r="IJ347" s="562"/>
      <c r="IK347" s="562"/>
      <c r="IL347" s="562"/>
      <c r="IM347" s="562"/>
      <c r="IN347" s="562"/>
      <c r="IO347" s="562"/>
      <c r="IP347" s="562"/>
      <c r="IQ347" s="562"/>
      <c r="IR347" s="562"/>
      <c r="IS347" s="562"/>
      <c r="IT347" s="562"/>
      <c r="IU347" s="562"/>
      <c r="IV347" s="562"/>
      <c r="IW347" s="562"/>
      <c r="IX347" s="562"/>
      <c r="IY347" s="562"/>
      <c r="IZ347" s="562"/>
      <c r="JA347" s="562"/>
      <c r="JB347" s="562"/>
      <c r="JC347" s="562"/>
      <c r="JD347" s="562"/>
      <c r="JE347" s="562"/>
      <c r="JF347" s="562"/>
      <c r="JG347" s="562"/>
      <c r="JH347" s="562"/>
      <c r="JI347" s="562"/>
      <c r="JJ347" s="562"/>
      <c r="JK347" s="562"/>
      <c r="JL347" s="562"/>
      <c r="JM347" s="562"/>
      <c r="JN347" s="562"/>
      <c r="JO347" s="562"/>
      <c r="JP347" s="562"/>
      <c r="JQ347" s="562"/>
      <c r="JR347" s="562"/>
      <c r="JS347" s="562"/>
      <c r="JT347" s="562"/>
      <c r="JU347" s="562"/>
      <c r="JV347" s="562"/>
      <c r="JW347" s="562"/>
      <c r="JX347" s="562"/>
      <c r="JY347" s="562"/>
      <c r="JZ347" s="562"/>
    </row>
    <row r="348" spans="1:286" ht="12.75" hidden="1" customHeight="1" outlineLevel="1" x14ac:dyDescent="0.2">
      <c r="A348" s="1"/>
      <c r="B348" s="10" t="s">
        <v>404</v>
      </c>
      <c r="C348" s="79"/>
      <c r="D348" s="79"/>
      <c r="E348" s="95">
        <v>5.3</v>
      </c>
      <c r="F348" s="95"/>
      <c r="G348" s="95">
        <v>5.3</v>
      </c>
      <c r="H348" s="95"/>
      <c r="I348" s="95">
        <v>5.3</v>
      </c>
      <c r="J348" s="95"/>
      <c r="K348" s="95">
        <f>10.7-5.4</f>
        <v>5.2999999999999989</v>
      </c>
      <c r="L348" s="79"/>
      <c r="M348" s="95">
        <v>0</v>
      </c>
      <c r="N348" s="79" t="str">
        <f>IF(ISERROR((M348/E348-1)*100),"NA",IF(((M348/E348-1)*100)&gt;100,"NM",IF(((M348/E348-1)*100)&lt;-50,"NM",(M348/E348-1)*100)))</f>
        <v>NM</v>
      </c>
      <c r="O348" s="95">
        <v>0</v>
      </c>
      <c r="P348" s="79" t="str">
        <f>IF(ISERROR((O348/G348-1)*100),"NA",IF(((O348/G348-1)*100)&gt;100,"NM",IF(((O348/G348-1)*100)&lt;-50,"NM",(O348/G348-1)*100)))</f>
        <v>NM</v>
      </c>
      <c r="Q348" s="95">
        <v>0</v>
      </c>
      <c r="R348" s="79" t="str">
        <f>IF(ISERROR((Q348/I348-1)*100),"NA",IF(((Q348/I348-1)*100)&gt;100,"NM",IF(((Q348/I348-1)*100)&lt;-50,"NM",(Q348/I348-1)*100)))</f>
        <v>NM</v>
      </c>
      <c r="S348" s="95">
        <v>0</v>
      </c>
      <c r="T348" s="79" t="str">
        <f>IF(ISERROR((S348/K348-1)*100),"NA",IF(((S348/K348-1)*100)&gt;100,"NM",IF(((S348/K348-1)*100)&lt;-50,"NM",(S348/K348-1)*100)))</f>
        <v>NM</v>
      </c>
      <c r="U348" s="95">
        <v>0</v>
      </c>
      <c r="V348" s="79" t="str">
        <f>IF(ISERROR((U348/M348-1)*100),"NA",IF(((U348/M348-1)*100)&gt;100,"NM",IF(((U348/M348-1)*100)&lt;-50,"NM",(U348/M348-1)*100)))</f>
        <v>NA</v>
      </c>
      <c r="W348" s="95">
        <v>0</v>
      </c>
      <c r="X348" s="79" t="str">
        <f>IF(ISERROR((W348/O348-1)*100),"NA",IF(((W348/O348-1)*100)&gt;100,"NM",IF(((W348/O348-1)*100)&lt;-50,"NM",(W348/O348-1)*100)))</f>
        <v>NA</v>
      </c>
      <c r="Y348" s="95">
        <v>0</v>
      </c>
      <c r="Z348" s="79" t="str">
        <f>IF(ISERROR((Y348/Q348-1)*100),"NA",IF(((Y348/Q348-1)*100)&gt;100,"NM",IF(((Y348/Q348-1)*100)&lt;-50,"NM",(Y348/Q348-1)*100)))</f>
        <v>NA</v>
      </c>
      <c r="AA348" s="126">
        <v>0</v>
      </c>
      <c r="AB348" s="79" t="str">
        <f>IF(ISERROR((AA348/S348-1)*100),"NA",IF(((AA348/S348-1)*100)&gt;100,"NM",IF(((AA348/S348-1)*100)&lt;-50,"NM",(AA348/S348-1)*100)))</f>
        <v>NA</v>
      </c>
      <c r="AC348" s="95">
        <v>0</v>
      </c>
      <c r="AD348" s="79" t="str">
        <f>IF(ISERROR((AC348/U348-1)*100),"NA",IF(((AC348/U348-1)*100)&gt;100,"NM",IF(((AC348/U348-1)*100)&lt;-50,"NM",(AC348/U348-1)*100)))</f>
        <v>NA</v>
      </c>
      <c r="AE348" s="95">
        <v>0</v>
      </c>
      <c r="AF348" s="79" t="str">
        <f>IF(ISERROR((AE348/W348-1)*100),"NA",IF(((AE348/W348-1)*100)&gt;100,"NM",IF(((AE348/W348-1)*100)&lt;-50,"NM",(AE348/W348-1)*100)))</f>
        <v>NA</v>
      </c>
      <c r="AG348" s="95">
        <v>0</v>
      </c>
      <c r="AH348" s="79" t="str">
        <f>IF(ISERROR((AG348/Y348-1)*100),"NA",IF(((AG348/Y348-1)*100)&gt;100,"NM",IF(((AG348/Y348-1)*100)&lt;-50,"NM",(AG348/Y348-1)*100)))</f>
        <v>NA</v>
      </c>
      <c r="AI348" s="95">
        <v>0</v>
      </c>
      <c r="AJ348" s="79" t="str">
        <f>IF(ISERROR((AI348/AA348-1)*100),"NA",IF(((AI348/AA348-1)*100)&gt;100,"NM",IF(((AI348/AA348-1)*100)&lt;-50,"NM",(AI348/AA348-1)*100)))</f>
        <v>NA</v>
      </c>
      <c r="AK348" s="95">
        <v>0</v>
      </c>
      <c r="AL348" s="79" t="str">
        <f>IF(ISERROR((AK348/AC348-1)*100),"NA",IF(((AK348/AC348-1)*100)&gt;100,"NM",IF(((AK348/AC348-1)*100)&lt;-50,"NM",(AK348/AC348-1)*100)))</f>
        <v>NA</v>
      </c>
      <c r="AM348" s="95">
        <v>0</v>
      </c>
      <c r="AN348" s="79" t="str">
        <f>IF(ISERROR((AM348/AE348-1)*100),"NA",IF(((AM348/AE348-1)*100)&gt;100,"NM",IF(((AM348/AE348-1)*100)&lt;-50,"NM",(AM348/AE348-1)*100)))</f>
        <v>NA</v>
      </c>
      <c r="AO348" s="95">
        <v>0</v>
      </c>
      <c r="AP348" s="79" t="str">
        <f>IF(ISERROR((AO348/AG348-1)*100),"NA",IF(((AO348/AG348-1)*100)&gt;100,"NM",IF(((AO348/AG348-1)*100)&lt;-50,"NM",(AO348/AG348-1)*100)))</f>
        <v>NA</v>
      </c>
      <c r="AQ348" s="95">
        <v>0</v>
      </c>
      <c r="AR348" s="79" t="str">
        <f>IF(ISERROR((AQ348/AI348-1)*100),"NA",IF(((AQ348/AI348-1)*100)&gt;100,"NM",IF(((AQ348/AI348-1)*100)&lt;-50,"NM",(AQ348/AI348-1)*100)))</f>
        <v>NA</v>
      </c>
      <c r="AS348" s="120">
        <v>0</v>
      </c>
      <c r="AT348" s="81" t="str">
        <f>IF(ISERROR((AS348/AK348-1)*100),"NA",IF(((AS348/AK348-1)*100)&gt;100,"NM",IF(((AS348/AK348-1)*100)&lt;-50,"NM",(AS348/AK348-1)*100)))</f>
        <v>NA</v>
      </c>
      <c r="AU348" s="120">
        <v>0</v>
      </c>
      <c r="AV348" s="81" t="str">
        <f>IF(ISERROR((AU348/AM348-1)*100),"NA",IF(((AU348/AM348-1)*100)&gt;100,"NM",IF(((AU348/AM348-1)*100)&lt;-50,"NM",(AU348/AM348-1)*100)))</f>
        <v>NA</v>
      </c>
      <c r="AW348" s="120">
        <v>0</v>
      </c>
      <c r="AX348" s="81" t="str">
        <f>IF(ISERROR((AW348/AO348-1)*100),"NA",IF(((AW348/AO348-1)*100)&gt;100,"NM",IF(((AW348/AO348-1)*100)&lt;-50,"NM",(AW348/AO348-1)*100)))</f>
        <v>NA</v>
      </c>
      <c r="AY348" s="120">
        <v>0</v>
      </c>
      <c r="AZ348" s="81" t="str">
        <f>IF(ISERROR((AY348/AQ348-1)*100),"NA",IF(((AY348/AQ348-1)*100)&gt;100,"NM",IF(((AY348/AQ348-1)*100)&lt;-50,"NM",(AY348/AQ348-1)*100)))</f>
        <v>NA</v>
      </c>
      <c r="BA348" s="120">
        <v>0</v>
      </c>
      <c r="BB348" s="81" t="str">
        <f>IF(ISERROR((BA348/AS348-1)*100),"NA",IF(((BA348/AS348-1)*100)&gt;100,"NM",IF(((BA348/AS348-1)*100)&lt;-50,"NM",(BA348/AS348-1)*100)))</f>
        <v>NA</v>
      </c>
      <c r="BC348" s="120">
        <v>0</v>
      </c>
      <c r="BD348" s="81" t="str">
        <f>IF(ISERROR((BC348/AU348-1)*100),"NA",IF(((BC348/AU348-1)*100)&gt;100,"NM",IF(((BC348/AU348-1)*100)&lt;-50,"NM",(BC348/AU348-1)*100)))</f>
        <v>NA</v>
      </c>
      <c r="BE348" s="120">
        <v>0</v>
      </c>
      <c r="BF348" s="81" t="str">
        <f>IF(ISERROR((BE348/AW348-1)*100),"NA",IF(((BE348/AW348-1)*100)&gt;100,"NM",IF(((BE348/AW348-1)*100)&lt;-50,"NM",(BE348/AW348-1)*100)))</f>
        <v>NA</v>
      </c>
      <c r="BG348" s="120">
        <v>0</v>
      </c>
      <c r="BH348" s="81" t="str">
        <f>IF(ISERROR((BG348/AY348-1)*100),"NA",IF(((BG348/AY348-1)*100)&gt;100,"NM",IF(((BG348/AY348-1)*100)&lt;-50,"NM",(BG348/AY348-1)*100)))</f>
        <v>NA</v>
      </c>
      <c r="BI348" s="120">
        <v>0</v>
      </c>
      <c r="BJ348" s="81" t="str">
        <f>IF(ISERROR((BI348/BA348-1)*100),"NA",IF(((BI348/BA348-1)*100)&gt;100,"NM",IF(((BI348/BA348-1)*100)&lt;-50,"NM",(BI348/BA348-1)*100)))</f>
        <v>NA</v>
      </c>
      <c r="BK348" s="120">
        <v>0</v>
      </c>
      <c r="BL348" s="81" t="str">
        <f>IF(ISERROR((BK348/BC348-1)*100),"NA",IF(((BK348/BC348-1)*100)&gt;100,"NM",IF(((BK348/BC348-1)*100)&lt;-50,"NM",(BK348/BC348-1)*100)))</f>
        <v>NA</v>
      </c>
      <c r="BM348" s="120">
        <v>0</v>
      </c>
      <c r="BN348" s="81" t="str">
        <f>IF(ISERROR((BM348/BE348-1)*100),"NA",IF(((BM348/BE348-1)*100)&gt;100,"NM",IF(((BM348/BE348-1)*100)&lt;-50,"NM",(BM348/BE348-1)*100)))</f>
        <v>NA</v>
      </c>
      <c r="BO348" s="120"/>
      <c r="BP348" s="81"/>
      <c r="BQ348" s="120"/>
      <c r="BR348" s="81"/>
      <c r="BS348" s="120"/>
      <c r="BT348" s="81"/>
      <c r="BU348" s="120"/>
      <c r="BV348" s="81"/>
      <c r="BW348" s="120"/>
      <c r="BX348" s="81"/>
      <c r="BY348" s="120"/>
      <c r="BZ348" s="81"/>
      <c r="CA348" s="120"/>
      <c r="CB348" s="81"/>
      <c r="CC348" s="120"/>
      <c r="CD348" s="81"/>
      <c r="CE348" s="120"/>
      <c r="CF348" s="81"/>
      <c r="CG348" s="120"/>
      <c r="CH348" s="81"/>
      <c r="CI348" s="120"/>
      <c r="CJ348" s="81"/>
      <c r="CK348" s="120"/>
      <c r="CL348" s="81"/>
      <c r="CM348" s="120"/>
      <c r="CN348" s="81"/>
      <c r="CO348" s="120"/>
      <c r="CP348" s="81"/>
      <c r="CQ348" s="120"/>
      <c r="CR348" s="81"/>
      <c r="CS348" s="120"/>
      <c r="CT348" s="81"/>
      <c r="CU348" s="120"/>
      <c r="CV348" s="81"/>
      <c r="CW348" s="120"/>
      <c r="CX348" s="81"/>
      <c r="CY348" s="120"/>
      <c r="CZ348" s="81"/>
      <c r="DA348" s="120"/>
      <c r="DB348" s="81"/>
      <c r="DC348" s="120"/>
      <c r="DD348" s="81"/>
      <c r="DE348" s="120"/>
      <c r="DF348" s="81"/>
      <c r="DG348" s="120"/>
      <c r="DH348" s="81"/>
      <c r="DI348" s="120"/>
      <c r="DJ348" s="81"/>
      <c r="DK348" s="120"/>
      <c r="DL348" s="81"/>
      <c r="DM348" s="120"/>
      <c r="DN348" s="81"/>
      <c r="DO348" s="120"/>
      <c r="DP348" s="81"/>
      <c r="DQ348" s="120"/>
      <c r="DR348" s="81"/>
      <c r="DS348" s="120"/>
      <c r="DT348" s="81"/>
      <c r="DU348" s="120"/>
      <c r="DV348" s="81"/>
      <c r="DW348" s="120"/>
      <c r="DX348" s="81"/>
      <c r="DY348" s="120"/>
      <c r="DZ348" s="81"/>
      <c r="EA348" s="120"/>
      <c r="EB348" s="81"/>
      <c r="EC348" s="120"/>
      <c r="ED348" s="81"/>
      <c r="EE348" s="120"/>
      <c r="EF348" s="81"/>
      <c r="EG348" s="120"/>
      <c r="EH348" s="81"/>
      <c r="EI348" s="120"/>
      <c r="EJ348" s="81"/>
      <c r="EK348" s="120"/>
      <c r="EL348" s="81"/>
      <c r="EM348" s="120"/>
      <c r="EN348" s="81"/>
      <c r="EO348" s="120"/>
      <c r="EP348" s="81"/>
      <c r="EQ348" s="120"/>
      <c r="ER348" s="81"/>
      <c r="ES348" s="182"/>
      <c r="ET348" s="484"/>
      <c r="EU348" s="182"/>
      <c r="EV348" s="182"/>
      <c r="EW348" s="286"/>
      <c r="EX348" s="182"/>
      <c r="EY348" s="286"/>
      <c r="EZ348" s="287"/>
      <c r="FA348" s="286"/>
      <c r="FB348" s="189">
        <f>+E348+G348+I348+K348</f>
        <v>21.199999999999996</v>
      </c>
      <c r="FC348" s="286" t="str">
        <f>IF(ISERROR((FB348/EZ348-1)*100),"NA",IF(((FB348/EZ348-1)*100)&gt;100,"NM",IF(((FB348/EZ348-1)*100)&lt;-50,"NM",(FB348/EZ348-1)*100)))</f>
        <v>NA</v>
      </c>
      <c r="FD348" s="287">
        <f>+S348+Q348+O348+M348</f>
        <v>0</v>
      </c>
      <c r="FE348" s="286" t="str">
        <f>IF(ISERROR((FD348/FB348-1)*100),"NA",IF(((FD348/FB348-1)*100)&gt;100,"NM",IF(((FD348/FB348-1)*100)&lt;-50,"NM",(FD348/FB348-1)*100)))</f>
        <v>NM</v>
      </c>
      <c r="FF348" s="287">
        <f>+AA348+Y348+W348+U348</f>
        <v>0</v>
      </c>
      <c r="FG348" s="286" t="str">
        <f>IF(ISERROR((FF348/FD348-1)*100),"NA",IF(((FF348/FD348-1)*100)&gt;100,"NM",IF(((FF348/FD348-1)*100)&lt;-50,"NM",(FF348/FD348-1)*100)))</f>
        <v>NA</v>
      </c>
      <c r="FH348" s="287">
        <f>+AI348+AG348+AE348+AC348</f>
        <v>0</v>
      </c>
      <c r="FI348" s="286" t="str">
        <f>IF(ISERROR((FH348/FF348-1)*100),"NA",IF(((FH348/FF348-1)*100)&gt;100,"NM",IF(((FH348/FF348-1)*100)&lt;-50,"NM",(FH348/FF348-1)*100)))</f>
        <v>NA</v>
      </c>
      <c r="FJ348" s="189">
        <f>+AQ348+AO348+AM348+AK348</f>
        <v>0</v>
      </c>
      <c r="FK348" s="286" t="str">
        <f>IF(ISERROR((FJ348/FH348-1)*100),"NA",IF(((FJ348/FH348-1)*100)&gt;100,"NM",IF(((FJ348/FH348-1)*100)&lt;-50,"NM",(FJ348/FH348-1)*100)))</f>
        <v>NA</v>
      </c>
      <c r="FL348" s="78">
        <f t="shared" si="1093"/>
        <v>0</v>
      </c>
      <c r="FM348" s="286" t="str">
        <f>IF(ISERROR((FL348/FJ348-1)*100),"NA",IF(((FL348/FJ348-1)*100)&gt;100,"NM",IF(((FL348/FJ348-1)*100)&lt;-50,"NM",(FL348/FJ348-1)*100)))</f>
        <v>NA</v>
      </c>
      <c r="FN348" s="78">
        <f t="shared" si="1094"/>
        <v>0</v>
      </c>
      <c r="FO348" s="286" t="str">
        <f>IF(ISERROR((FN348/FL348-1)*100),"NA",IF(((FN348/FL348-1)*100)&gt;100,"NM",IF(((FN348/FL348-1)*100)&lt;-50,"NM",(FN348/FL348-1)*100)))</f>
        <v>NA</v>
      </c>
      <c r="FP348" s="78">
        <f t="shared" si="1095"/>
        <v>0</v>
      </c>
      <c r="FQ348" s="286" t="str">
        <f>IF(ISERROR((FP348/FN348-1)*100),"NA",IF(((FP348/FN348-1)*100)&gt;100,"NM",IF(((FP348/FN348-1)*100)&lt;-50,"NM",(FP348/FN348-1)*100)))</f>
        <v>NA</v>
      </c>
      <c r="FR348" s="119"/>
      <c r="FS348" s="286" t="str">
        <f>IF(ISERROR((FR348/FP348-1)*100),"NA",IF(((FR348/FP348-1)*100)&gt;100,"NM",IF(((FR348/FP348-1)*100)&lt;-50,"NM",(FR348/FP348-1)*100)))</f>
        <v>NA</v>
      </c>
      <c r="FT348" s="119"/>
      <c r="FU348" s="286" t="str">
        <f>IF(ISERROR((FT348/FR348-1)*100),"NA",IF(((FT348/FR348-1)*100)&gt;100,"NM",IF(((FT348/FR348-1)*100)&lt;-50,"NM",(FT348/FR348-1)*100)))</f>
        <v>NA</v>
      </c>
      <c r="FV348" s="119"/>
      <c r="FW348" s="286" t="str">
        <f>IF(ISERROR((FV348/FT348-1)*100),"NA",IF(((FV348/FT348-1)*100)&gt;100,"NM",IF(((FV348/FT348-1)*100)&lt;-50,"NM",(FV348/FT348-1)*100)))</f>
        <v>NA</v>
      </c>
      <c r="FX348" s="119"/>
      <c r="FY348" s="286" t="str">
        <f>IF(ISERROR((FX348/FV348-1)*100),"NA",IF(((FX348/FV348-1)*100)&gt;100,"NM",IF(((FX348/FV348-1)*100)&lt;-50,"NM",(FX348/FV348-1)*100)))</f>
        <v>NA</v>
      </c>
      <c r="FZ348" s="119"/>
      <c r="GA348" s="286" t="str">
        <f>IF(ISERROR((FZ348/FX348-1)*100),"NA",IF(((FZ348/FX348-1)*100)&gt;100,"NM",IF(((FZ348/FX348-1)*100)&lt;-50,"NM",(FZ348/FX348-1)*100)))</f>
        <v>NA</v>
      </c>
      <c r="GB348" s="119"/>
      <c r="GC348" s="286" t="str">
        <f>IF(ISERROR((GB348/FZ348-1)*100),"NA",IF(((GB348/FZ348-1)*100)&gt;100,"NM",IF(((GB348/FZ348-1)*100)&lt;-50,"NM",(GB348/FZ348-1)*100)))</f>
        <v>NA</v>
      </c>
      <c r="GD348" s="119"/>
      <c r="GE348" s="286" t="str">
        <f>IF(ISERROR((GD348/GB348-1)*100),"NA",IF(((GD348/GB348-1)*100)&gt;100,"NM",IF(((GD348/GB348-1)*100)&lt;-50,"NM",(GD348/GB348-1)*100)))</f>
        <v>NA</v>
      </c>
      <c r="GF348" s="119"/>
      <c r="GG348" s="286" t="str">
        <f>IF(ISERROR((GF348/GD348-1)*100),"NA",IF(((GF348/GD348-1)*100)&gt;100,"NM",IF(((GF348/GD348-1)*100)&lt;-50,"NM",(GF348/GD348-1)*100)))</f>
        <v>NA</v>
      </c>
      <c r="GH348" s="119"/>
      <c r="GI348" s="286" t="str">
        <f>IF(ISERROR((GH348/GF348-1)*100),"NA",IF(((GH348/GF348-1)*100)&gt;100,"NM",IF(((GH348/GF348-1)*100)&lt;-50,"NM",(GH348/GF348-1)*100)))</f>
        <v>NA</v>
      </c>
      <c r="GJ348" s="119"/>
      <c r="GK348" s="286" t="str">
        <f>IF(ISERROR((GJ348/GH348-1)*100),"NA",IF(((GJ348/GH348-1)*100)&gt;100,"NM",IF(((GJ348/GH348-1)*100)&lt;-50,"NM",(GJ348/GH348-1)*100)))</f>
        <v>NA</v>
      </c>
      <c r="GL348" s="120"/>
      <c r="GM348" s="286" t="str">
        <f>IF(ISERROR((GL348/GJ348-1)*100),"NA",IF(((GL348/GJ348-1)*100)&gt;100,"NM",IF(((GL348/GJ348-1)*100)&lt;-50,"NM",(GL348/GJ348-1)*100)))</f>
        <v>NA</v>
      </c>
      <c r="GN348" s="120"/>
      <c r="GO348" s="286" t="str">
        <f>IF(ISERROR((GN348/GL348-1)*100),"NA",IF(((GN348/GL348-1)*100)&gt;100,"NM",IF(((GN348/GL348-1)*100)&lt;-50,"NM",(GN348/GL348-1)*100)))</f>
        <v>NA</v>
      </c>
      <c r="GP348" s="120"/>
      <c r="GQ348" s="286" t="str">
        <f>IF(ISERROR((GP348/GN348-1)*100),"NA",IF(((GP348/GN348-1)*100)&gt;100,"NM",IF(((GP348/GN348-1)*100)&lt;-50,"NM",(GP348/GN348-1)*100)))</f>
        <v>NA</v>
      </c>
      <c r="GR348" s="120"/>
      <c r="GS348" s="286" t="str">
        <f>IF(ISERROR((GR348/GP348-1)*100),"NA",IF(((GR348/GP348-1)*100)&gt;100,"NM",IF(((GR348/GP348-1)*100)&lt;-50,"NM",(GR348/GP348-1)*100)))</f>
        <v>NA</v>
      </c>
      <c r="GT348" s="79"/>
    </row>
    <row r="349" spans="1:286" s="249" customFormat="1" ht="12.75" hidden="1" customHeight="1" outlineLevel="1" x14ac:dyDescent="0.2">
      <c r="A349" s="248"/>
      <c r="B349" s="10" t="s">
        <v>115</v>
      </c>
      <c r="C349" s="79"/>
      <c r="D349" s="79"/>
      <c r="E349" s="95">
        <v>8.6999999999999993</v>
      </c>
      <c r="F349" s="95"/>
      <c r="G349" s="95">
        <v>1.9</v>
      </c>
      <c r="H349" s="95"/>
      <c r="I349" s="95">
        <f>1.1+24</f>
        <v>25.1</v>
      </c>
      <c r="J349" s="95"/>
      <c r="K349" s="95">
        <v>10.4</v>
      </c>
      <c r="L349" s="79"/>
      <c r="M349" s="95">
        <v>6</v>
      </c>
      <c r="N349" s="79">
        <f>IF(ISERROR((M349/E349-1)*100),"NA",IF(((M349/E349-1)*100)&gt;100,"NM",IF(((M349/E349-1)*100)&lt;-50,"NM",(M349/E349-1)*100)))</f>
        <v>-31.034482758620683</v>
      </c>
      <c r="O349" s="95">
        <v>8.8000000000000007</v>
      </c>
      <c r="P349" s="79" t="str">
        <f>IF(ISERROR((O349/G349-1)*100),"NA",IF(((O349/G349-1)*100)&gt;100,"NM",IF(((O349/G349-1)*100)&lt;-50,"NM",(O349/G349-1)*100)))</f>
        <v>NM</v>
      </c>
      <c r="Q349" s="95">
        <v>-2.2000000000000002</v>
      </c>
      <c r="R349" s="79" t="str">
        <f>IF(ISERROR((Q349/I349-1)*100),"NA",IF(((Q349/I349-1)*100)&gt;100,"NM",IF(((Q349/I349-1)*100)&lt;-50,"NM",(Q349/I349-1)*100)))</f>
        <v>NM</v>
      </c>
      <c r="S349" s="95">
        <v>14</v>
      </c>
      <c r="T349" s="79">
        <f>IF(ISERROR((S349/K349-1)*100),"NA",IF(((S349/K349-1)*100)&gt;100,"NM",IF(((S349/K349-1)*100)&lt;-50,"NM",(S349/K349-1)*100)))</f>
        <v>34.615384615384606</v>
      </c>
      <c r="U349" s="95">
        <v>18.7</v>
      </c>
      <c r="V349" s="79" t="str">
        <f>IF(ISERROR((U349/M349-1)*100),"NA",IF(((U349/M349-1)*100)&gt;100,"NM",IF(((U349/M349-1)*100)&lt;-50,"NM",(U349/M349-1)*100)))</f>
        <v>NM</v>
      </c>
      <c r="W349" s="95">
        <v>7.1</v>
      </c>
      <c r="X349" s="79">
        <f>IF(ISERROR((W349/O349-1)*100),"NA",IF(((W349/O349-1)*100)&gt;100,"NM",IF(((W349/O349-1)*100)&lt;-50,"NM",(W349/O349-1)*100)))</f>
        <v>-19.318181818181824</v>
      </c>
      <c r="Y349" s="95">
        <v>5.6</v>
      </c>
      <c r="Z349" s="79" t="str">
        <f>IF(ISERROR((Y349/Q349-1)*100),"NA",IF(((Y349/Q349-1)*100)&gt;100,"NM",IF(((Y349/Q349-1)*100)&lt;-50,"NM",(Y349/Q349-1)*100)))</f>
        <v>NM</v>
      </c>
      <c r="AA349" s="126">
        <v>6.5</v>
      </c>
      <c r="AB349" s="79" t="str">
        <f>IF(ISERROR((AA349/S349-1)*100),"NA",IF(((AA349/S349-1)*100)&gt;100,"NM",IF(((AA349/S349-1)*100)&lt;-50,"NM",(AA349/S349-1)*100)))</f>
        <v>NM</v>
      </c>
      <c r="AC349" s="95">
        <v>2</v>
      </c>
      <c r="AD349" s="79" t="str">
        <f>IF(ISERROR((AC349/U349-1)*100),"NA",IF(((AC349/U349-1)*100)&gt;100,"NM",IF(((AC349/U349-1)*100)&lt;-50,"NM",(AC349/U349-1)*100)))</f>
        <v>NM</v>
      </c>
      <c r="AE349" s="95">
        <v>3.9</v>
      </c>
      <c r="AF349" s="79">
        <f>IF(ISERROR((AE349/W349-1)*100),"NA",IF(((AE349/W349-1)*100)&gt;100,"NM",IF(((AE349/W349-1)*100)&lt;-50,"NM",(AE349/W349-1)*100)))</f>
        <v>-45.070422535211264</v>
      </c>
      <c r="AG349" s="95">
        <v>1.8</v>
      </c>
      <c r="AH349" s="79" t="str">
        <f>IF(ISERROR((AG349/Y349-1)*100),"NA",IF(((AG349/Y349-1)*100)&gt;100,"NM",IF(((AG349/Y349-1)*100)&lt;-50,"NM",(AG349/Y349-1)*100)))</f>
        <v>NM</v>
      </c>
      <c r="AI349" s="95">
        <v>4.9000000000000004</v>
      </c>
      <c r="AJ349" s="79">
        <f>IF(ISERROR((AI349/AA349-1)*100),"NA",IF(((AI349/AA349-1)*100)&gt;100,"NM",IF(((AI349/AA349-1)*100)&lt;-50,"NM",(AI349/AA349-1)*100)))</f>
        <v>-24.615384615384606</v>
      </c>
      <c r="AK349" s="95">
        <v>3.8</v>
      </c>
      <c r="AL349" s="79">
        <f>IF(ISERROR((AK349/AC349-1)*100),"NA",IF(((AK349/AC349-1)*100)&gt;100,"NM",IF(((AK349/AC349-1)*100)&lt;-50,"NM",(AK349/AC349-1)*100)))</f>
        <v>89.999999999999986</v>
      </c>
      <c r="AM349" s="95">
        <v>1.3</v>
      </c>
      <c r="AN349" s="79" t="str">
        <f>IF(ISERROR((AM349/AE349-1)*100),"NA",IF(((AM349/AE349-1)*100)&gt;100,"NM",IF(((AM349/AE349-1)*100)&lt;-50,"NM",(AM349/AE349-1)*100)))</f>
        <v>NM</v>
      </c>
      <c r="AO349" s="95">
        <v>0.1</v>
      </c>
      <c r="AP349" s="79" t="str">
        <f>IF(ISERROR((AO349/AG349-1)*100),"NA",IF(((AO349/AG349-1)*100)&gt;100,"NM",IF(((AO349/AG349-1)*100)&lt;-50,"NM",(AO349/AG349-1)*100)))</f>
        <v>NM</v>
      </c>
      <c r="AQ349" s="95">
        <v>0.8</v>
      </c>
      <c r="AR349" s="79" t="str">
        <f>IF(ISERROR((AQ349/AI349-1)*100),"NA",IF(((AQ349/AI349-1)*100)&gt;100,"NM",IF(((AQ349/AI349-1)*100)&lt;-50,"NM",(AQ349/AI349-1)*100)))</f>
        <v>NM</v>
      </c>
      <c r="AS349" s="182">
        <v>3.1</v>
      </c>
      <c r="AT349" s="81">
        <f>IF(ISERROR((AS349/AK349-1)*100),"NA",IF(((AS349/AK349-1)*100)&gt;100,"NM",IF(((AS349/AK349-1)*100)&lt;-50,"NM",(AS349/AK349-1)*100)))</f>
        <v>-18.421052631578938</v>
      </c>
      <c r="AU349" s="182">
        <v>2.2000000000000002</v>
      </c>
      <c r="AV349" s="81">
        <f>IF(ISERROR((AU349/AM349-1)*100),"NA",IF(((AU349/AM349-1)*100)&gt;100,"NM",IF(((AU349/AM349-1)*100)&lt;-50,"NM",(AU349/AM349-1)*100)))</f>
        <v>69.230769230769226</v>
      </c>
      <c r="AW349" s="182">
        <f>20.9-18.5</f>
        <v>2.3999999999999986</v>
      </c>
      <c r="AX349" s="81" t="str">
        <f>IF(ISERROR((AW349/AO349-1)*100),"NA",IF(((AW349/AO349-1)*100)&gt;100,"NM",IF(((AW349/AO349-1)*100)&lt;-50,"NM",(AW349/AO349-1)*100)))</f>
        <v>NM</v>
      </c>
      <c r="AY349" s="182">
        <f>2.7+4-2.7+2.6</f>
        <v>6.6</v>
      </c>
      <c r="AZ349" s="81" t="str">
        <f>IF(ISERROR((AY349/AQ349-1)*100),"NA",IF(((AY349/AQ349-1)*100)&gt;100,"NM",IF(((AY349/AQ349-1)*100)&lt;-50,"NM",(AY349/AQ349-1)*100)))</f>
        <v>NM</v>
      </c>
      <c r="BA349" s="182">
        <f>1.6+2.4</f>
        <v>4</v>
      </c>
      <c r="BB349" s="81">
        <f>IF(ISERROR((BA349/AS349-1)*100),"NA",IF(((BA349/AS349-1)*100)&gt;100,"NM",IF(((BA349/AS349-1)*100)&lt;-50,"NM",(BA349/AS349-1)*100)))</f>
        <v>29.032258064516125</v>
      </c>
      <c r="BC349" s="182">
        <f>0.8+20.2</f>
        <v>21</v>
      </c>
      <c r="BD349" s="81" t="str">
        <f>IF(ISERROR((BC349/AU349-1)*100),"NA",IF(((BC349/AU349-1)*100)&gt;100,"NM",IF(((BC349/AU349-1)*100)&lt;-50,"NM",(BC349/AU349-1)*100)))</f>
        <v>NM</v>
      </c>
      <c r="BE349" s="182">
        <v>1.6</v>
      </c>
      <c r="BF349" s="81">
        <f>IF(ISERROR((BE349/AW349-1)*100),"NA",IF(((BE349/AW349-1)*100)&gt;100,"NM",IF(((BE349/AW349-1)*100)&lt;-50,"NM",(BE349/AW349-1)*100)))</f>
        <v>-33.333333333333293</v>
      </c>
      <c r="BG349" s="182">
        <f>55.6+4.2-55.6</f>
        <v>4.2000000000000028</v>
      </c>
      <c r="BH349" s="81">
        <f>IF(ISERROR((BG349/AY349-1)*100),"NA",IF(((BG349/AY349-1)*100)&gt;100,"NM",IF(((BG349/AY349-1)*100)&lt;-50,"NM",(BG349/AY349-1)*100)))</f>
        <v>-36.363636363636317</v>
      </c>
      <c r="BI349" s="182">
        <v>4.4000000000000004</v>
      </c>
      <c r="BJ349" s="81">
        <f>IF(ISERROR((BI349/BA349-1)*100),"NA",IF(((BI349/BA349-1)*100)&gt;100,"NM",IF(((BI349/BA349-1)*100)&lt;-50,"NM",(BI349/BA349-1)*100)))</f>
        <v>10.000000000000009</v>
      </c>
      <c r="BK349" s="182">
        <f>4.4+0.4</f>
        <v>4.8000000000000007</v>
      </c>
      <c r="BL349" s="81" t="str">
        <f>IF(ISERROR((BK349/BC349-1)*100),"NA",IF(((BK349/BC349-1)*100)&gt;100,"NM",IF(((BK349/BC349-1)*100)&lt;-50,"NM",(BK349/BC349-1)*100)))</f>
        <v>NM</v>
      </c>
      <c r="BM349" s="182">
        <v>6.6</v>
      </c>
      <c r="BN349" s="81" t="str">
        <f>IF(ISERROR((BM349/BE349-1)*100),"NA",IF(((BM349/BE349-1)*100)&gt;100,"NM",IF(((BM349/BE349-1)*100)&lt;-50,"NM",(BM349/BE349-1)*100)))</f>
        <v>NM</v>
      </c>
      <c r="BO349" s="182"/>
      <c r="BP349" s="81"/>
      <c r="BQ349" s="182"/>
      <c r="BR349" s="81"/>
      <c r="BS349" s="182"/>
      <c r="BT349" s="81"/>
      <c r="BU349" s="182"/>
      <c r="BV349" s="81"/>
      <c r="BW349" s="182"/>
      <c r="BX349" s="81"/>
      <c r="BY349" s="182"/>
      <c r="BZ349" s="81"/>
      <c r="CA349" s="182"/>
      <c r="CB349" s="81"/>
      <c r="CC349" s="182"/>
      <c r="CD349" s="81"/>
      <c r="CE349" s="182"/>
      <c r="CF349" s="81"/>
      <c r="CG349" s="182"/>
      <c r="CH349" s="81"/>
      <c r="CI349" s="182"/>
      <c r="CJ349" s="81"/>
      <c r="CK349" s="182"/>
      <c r="CL349" s="81"/>
      <c r="CM349" s="182"/>
      <c r="CN349" s="81"/>
      <c r="CO349" s="182"/>
      <c r="CP349" s="81"/>
      <c r="CQ349" s="182"/>
      <c r="CR349" s="81"/>
      <c r="CS349" s="182"/>
      <c r="CT349" s="81"/>
      <c r="CU349" s="182"/>
      <c r="CV349" s="81"/>
      <c r="CW349" s="182"/>
      <c r="CX349" s="81"/>
      <c r="CY349" s="182"/>
      <c r="CZ349" s="81"/>
      <c r="DA349" s="182"/>
      <c r="DB349" s="81"/>
      <c r="DC349" s="182"/>
      <c r="DD349" s="81"/>
      <c r="DE349" s="182"/>
      <c r="DF349" s="81"/>
      <c r="DG349" s="182"/>
      <c r="DH349" s="81"/>
      <c r="DI349" s="182"/>
      <c r="DJ349" s="81"/>
      <c r="DK349" s="182"/>
      <c r="DL349" s="81"/>
      <c r="DM349" s="182"/>
      <c r="DN349" s="81"/>
      <c r="DO349" s="182"/>
      <c r="DP349" s="81"/>
      <c r="DQ349" s="182"/>
      <c r="DR349" s="81"/>
      <c r="DS349" s="182"/>
      <c r="DT349" s="81"/>
      <c r="DU349" s="182"/>
      <c r="DV349" s="81"/>
      <c r="DW349" s="182"/>
      <c r="DX349" s="81"/>
      <c r="DY349" s="182"/>
      <c r="DZ349" s="81"/>
      <c r="EA349" s="182"/>
      <c r="EB349" s="81"/>
      <c r="EC349" s="182"/>
      <c r="ED349" s="81"/>
      <c r="EE349" s="182"/>
      <c r="EF349" s="81"/>
      <c r="EG349" s="182"/>
      <c r="EH349" s="81"/>
      <c r="EI349" s="182"/>
      <c r="EJ349" s="81"/>
      <c r="EK349" s="182"/>
      <c r="EL349" s="81"/>
      <c r="EM349" s="182"/>
      <c r="EN349" s="81"/>
      <c r="EO349" s="182"/>
      <c r="EP349" s="81"/>
      <c r="EQ349" s="182"/>
      <c r="ER349" s="81"/>
      <c r="ES349" s="182"/>
      <c r="ET349" s="484"/>
      <c r="EU349" s="182"/>
      <c r="EV349" s="182"/>
      <c r="EW349" s="286"/>
      <c r="EX349" s="182"/>
      <c r="EY349" s="286"/>
      <c r="EZ349" s="287"/>
      <c r="FA349" s="286"/>
      <c r="FB349" s="189">
        <f>+E349+G349+I349+K349</f>
        <v>46.1</v>
      </c>
      <c r="FC349" s="286" t="str">
        <f>IF(ISERROR((FB349/EZ349-1)*100),"NA",IF(((FB349/EZ349-1)*100)&gt;100,"NM",IF(((FB349/EZ349-1)*100)&lt;-50,"NM",(FB349/EZ349-1)*100)))</f>
        <v>NA</v>
      </c>
      <c r="FD349" s="287">
        <f>+S349+Q349+O349+M349</f>
        <v>26.6</v>
      </c>
      <c r="FE349" s="286">
        <f>IF(ISERROR((FD349/FB349-1)*100),"NA",IF(((FD349/FB349-1)*100)&gt;100,"NM",IF(((FD349/FB349-1)*100)&lt;-50,"NM",(FD349/FB349-1)*100)))</f>
        <v>-42.299349240780913</v>
      </c>
      <c r="FF349" s="287">
        <f>+AA349+Y349+W349+U349</f>
        <v>37.9</v>
      </c>
      <c r="FG349" s="286">
        <f>IF(ISERROR((FF349/FD349-1)*100),"NA",IF(((FF349/FD349-1)*100)&gt;100,"NM",IF(((FF349/FD349-1)*100)&lt;-50,"NM",(FF349/FD349-1)*100)))</f>
        <v>42.481203007518786</v>
      </c>
      <c r="FH349" s="287">
        <f>+AI349+AG349+AE349+AC349</f>
        <v>12.6</v>
      </c>
      <c r="FI349" s="286" t="str">
        <f>IF(ISERROR((FH349/FF349-1)*100),"NA",IF(((FH349/FF349-1)*100)&gt;100,"NM",IF(((FH349/FF349-1)*100)&lt;-50,"NM",(FH349/FF349-1)*100)))</f>
        <v>NM</v>
      </c>
      <c r="FJ349" s="189">
        <f>+AQ349+AO349+AM349+AK349</f>
        <v>6</v>
      </c>
      <c r="FK349" s="286" t="str">
        <f>IF(ISERROR((FJ349/FH349-1)*100),"NA",IF(((FJ349/FH349-1)*100)&gt;100,"NM",IF(((FJ349/FH349-1)*100)&lt;-50,"NM",(FJ349/FH349-1)*100)))</f>
        <v>NM</v>
      </c>
      <c r="FL349" s="78">
        <f t="shared" si="1093"/>
        <v>14.299999999999999</v>
      </c>
      <c r="FM349" s="286" t="str">
        <f>IF(ISERROR((FL349/FJ349-1)*100),"NA",IF(((FL349/FJ349-1)*100)&gt;100,"NM",IF(((FL349/FJ349-1)*100)&lt;-50,"NM",(FL349/FJ349-1)*100)))</f>
        <v>NM</v>
      </c>
      <c r="FN349" s="78">
        <f t="shared" si="1094"/>
        <v>30.800000000000004</v>
      </c>
      <c r="FO349" s="286" t="str">
        <f>IF(ISERROR((FN349/FL349-1)*100),"NA",IF(((FN349/FL349-1)*100)&gt;100,"NM",IF(((FN349/FL349-1)*100)&lt;-50,"NM",(FN349/FL349-1)*100)))</f>
        <v>NM</v>
      </c>
      <c r="FP349" s="78">
        <f t="shared" si="1095"/>
        <v>15.8</v>
      </c>
      <c r="FQ349" s="286">
        <f>IF(ISERROR((FP349/FN349-1)*100),"NA",IF(((FP349/FN349-1)*100)&gt;100,"NM",IF(((FP349/FN349-1)*100)&lt;-50,"NM",(FP349/FN349-1)*100)))</f>
        <v>-48.701298701298704</v>
      </c>
      <c r="FR349" s="189"/>
      <c r="FS349" s="286" t="str">
        <f>IF(ISERROR((FR349/FP349-1)*100),"NA",IF(((FR349/FP349-1)*100)&gt;100,"NM",IF(((FR349/FP349-1)*100)&lt;-50,"NM",(FR349/FP349-1)*100)))</f>
        <v>NM</v>
      </c>
      <c r="FT349" s="189"/>
      <c r="FU349" s="286" t="str">
        <f>IF(ISERROR((FT349/FR349-1)*100),"NA",IF(((FT349/FR349-1)*100)&gt;100,"NM",IF(((FT349/FR349-1)*100)&lt;-50,"NM",(FT349/FR349-1)*100)))</f>
        <v>NA</v>
      </c>
      <c r="FV349" s="189"/>
      <c r="FW349" s="286" t="str">
        <f>IF(ISERROR((FV349/FT349-1)*100),"NA",IF(((FV349/FT349-1)*100)&gt;100,"NM",IF(((FV349/FT349-1)*100)&lt;-50,"NM",(FV349/FT349-1)*100)))</f>
        <v>NA</v>
      </c>
      <c r="FX349" s="189"/>
      <c r="FY349" s="286" t="str">
        <f>IF(ISERROR((FX349/FV349-1)*100),"NA",IF(((FX349/FV349-1)*100)&gt;100,"NM",IF(((FX349/FV349-1)*100)&lt;-50,"NM",(FX349/FV349-1)*100)))</f>
        <v>NA</v>
      </c>
      <c r="FZ349" s="189"/>
      <c r="GA349" s="286" t="str">
        <f>IF(ISERROR((FZ349/FX349-1)*100),"NA",IF(((FZ349/FX349-1)*100)&gt;100,"NM",IF(((FZ349/FX349-1)*100)&lt;-50,"NM",(FZ349/FX349-1)*100)))</f>
        <v>NA</v>
      </c>
      <c r="GB349" s="189"/>
      <c r="GC349" s="286" t="str">
        <f>IF(ISERROR((GB349/FZ349-1)*100),"NA",IF(((GB349/FZ349-1)*100)&gt;100,"NM",IF(((GB349/FZ349-1)*100)&lt;-50,"NM",(GB349/FZ349-1)*100)))</f>
        <v>NA</v>
      </c>
      <c r="GD349" s="189"/>
      <c r="GE349" s="286" t="str">
        <f>IF(ISERROR((GD349/GB349-1)*100),"NA",IF(((GD349/GB349-1)*100)&gt;100,"NM",IF(((GD349/GB349-1)*100)&lt;-50,"NM",(GD349/GB349-1)*100)))</f>
        <v>NA</v>
      </c>
      <c r="GF349" s="189"/>
      <c r="GG349" s="286" t="str">
        <f>IF(ISERROR((GF349/GD349-1)*100),"NA",IF(((GF349/GD349-1)*100)&gt;100,"NM",IF(((GF349/GD349-1)*100)&lt;-50,"NM",(GF349/GD349-1)*100)))</f>
        <v>NA</v>
      </c>
      <c r="GH349" s="189"/>
      <c r="GI349" s="286" t="str">
        <f>IF(ISERROR((GH349/GF349-1)*100),"NA",IF(((GH349/GF349-1)*100)&gt;100,"NM",IF(((GH349/GF349-1)*100)&lt;-50,"NM",(GH349/GF349-1)*100)))</f>
        <v>NA</v>
      </c>
      <c r="GJ349" s="189"/>
      <c r="GK349" s="286" t="str">
        <f>IF(ISERROR((GJ349/GH349-1)*100),"NA",IF(((GJ349/GH349-1)*100)&gt;100,"NM",IF(((GJ349/GH349-1)*100)&lt;-50,"NM",(GJ349/GH349-1)*100)))</f>
        <v>NA</v>
      </c>
      <c r="GL349" s="182"/>
      <c r="GM349" s="286" t="str">
        <f>IF(ISERROR((GL349/GJ349-1)*100),"NA",IF(((GL349/GJ349-1)*100)&gt;100,"NM",IF(((GL349/GJ349-1)*100)&lt;-50,"NM",(GL349/GJ349-1)*100)))</f>
        <v>NA</v>
      </c>
      <c r="GN349" s="182"/>
      <c r="GO349" s="286" t="str">
        <f>IF(ISERROR((GN349/GL349-1)*100),"NA",IF(((GN349/GL349-1)*100)&gt;100,"NM",IF(((GN349/GL349-1)*100)&lt;-50,"NM",(GN349/GL349-1)*100)))</f>
        <v>NA</v>
      </c>
      <c r="GP349" s="182"/>
      <c r="GQ349" s="286" t="str">
        <f>IF(ISERROR((GP349/GN349-1)*100),"NA",IF(((GP349/GN349-1)*100)&gt;100,"NM",IF(((GP349/GN349-1)*100)&lt;-50,"NM",(GP349/GN349-1)*100)))</f>
        <v>NA</v>
      </c>
      <c r="GR349" s="182"/>
      <c r="GS349" s="286" t="str">
        <f>IF(ISERROR((GR349/GP349-1)*100),"NA",IF(((GR349/GP349-1)*100)&gt;100,"NM",IF(((GR349/GP349-1)*100)&lt;-50,"NM",(GR349/GP349-1)*100)))</f>
        <v>NA</v>
      </c>
      <c r="GT349" s="79"/>
      <c r="GU349" s="562"/>
      <c r="GV349" s="562"/>
      <c r="GW349"/>
      <c r="GX349"/>
      <c r="GY349"/>
      <c r="GZ349"/>
      <c r="HA349"/>
      <c r="HB349"/>
      <c r="HC349" s="562"/>
      <c r="HD349" s="562"/>
      <c r="HE349" s="562"/>
      <c r="HF349" s="562"/>
      <c r="HG349" s="562"/>
      <c r="HH349" s="562"/>
      <c r="HI349" s="562"/>
      <c r="HJ349" s="562"/>
      <c r="HK349" s="562"/>
      <c r="HL349" s="562"/>
      <c r="HM349" s="562"/>
      <c r="HN349" s="562"/>
      <c r="HO349" s="562"/>
      <c r="HP349" s="562"/>
      <c r="HQ349" s="562"/>
      <c r="HR349" s="562"/>
      <c r="HS349" s="562"/>
      <c r="HT349" s="562"/>
      <c r="HU349" s="562"/>
      <c r="HV349" s="562"/>
      <c r="HW349" s="562"/>
      <c r="HX349" s="562"/>
      <c r="HY349" s="562"/>
      <c r="HZ349" s="562"/>
      <c r="IA349" s="562"/>
      <c r="IB349" s="562"/>
      <c r="IC349" s="562"/>
      <c r="ID349" s="562"/>
      <c r="IE349" s="562"/>
      <c r="IF349" s="562"/>
      <c r="IG349" s="562"/>
      <c r="IH349" s="562"/>
      <c r="II349" s="562"/>
      <c r="IJ349" s="562"/>
      <c r="IK349" s="562"/>
      <c r="IL349" s="562"/>
      <c r="IM349" s="562"/>
      <c r="IN349" s="562"/>
      <c r="IO349" s="562"/>
      <c r="IP349" s="562"/>
      <c r="IQ349" s="562"/>
      <c r="IR349" s="562"/>
      <c r="IS349" s="562"/>
      <c r="IT349" s="562"/>
      <c r="IU349" s="562"/>
      <c r="IV349" s="562"/>
      <c r="IW349" s="562"/>
      <c r="IX349" s="562"/>
      <c r="IY349" s="562"/>
      <c r="IZ349" s="562"/>
      <c r="JA349" s="562"/>
      <c r="JB349" s="562"/>
      <c r="JC349" s="562"/>
      <c r="JD349" s="562"/>
      <c r="JE349" s="562"/>
      <c r="JF349" s="562"/>
      <c r="JG349" s="562"/>
      <c r="JH349" s="562"/>
      <c r="JI349" s="562"/>
      <c r="JJ349" s="562"/>
      <c r="JK349" s="562"/>
      <c r="JL349" s="562"/>
      <c r="JM349" s="562"/>
      <c r="JN349" s="562"/>
      <c r="JO349" s="562"/>
      <c r="JP349" s="562"/>
      <c r="JQ349" s="562"/>
      <c r="JR349" s="562"/>
      <c r="JS349" s="562"/>
      <c r="JT349" s="562"/>
      <c r="JU349" s="562"/>
      <c r="JV349" s="562"/>
      <c r="JW349" s="562"/>
      <c r="JX349" s="562"/>
      <c r="JY349" s="562"/>
      <c r="JZ349" s="562"/>
    </row>
    <row r="350" spans="1:286" s="249" customFormat="1" ht="12.75" hidden="1" customHeight="1" outlineLevel="1" x14ac:dyDescent="0.2">
      <c r="A350" s="248"/>
      <c r="B350" s="10" t="s">
        <v>58</v>
      </c>
      <c r="C350" s="79"/>
      <c r="D350" s="79"/>
      <c r="E350" s="75">
        <f>+E349+E344+E348</f>
        <v>56.8</v>
      </c>
      <c r="F350" s="75"/>
      <c r="G350" s="75">
        <f>+G349+G344+G348</f>
        <v>51.4</v>
      </c>
      <c r="H350" s="75"/>
      <c r="I350" s="75">
        <f>+I349+I344+I348</f>
        <v>71.5</v>
      </c>
      <c r="J350" s="75"/>
      <c r="K350" s="75">
        <f>+K349+K344+K348</f>
        <v>57.199999999999996</v>
      </c>
      <c r="L350" s="79"/>
      <c r="M350" s="75">
        <f>+M349+M344+M348</f>
        <v>44.4</v>
      </c>
      <c r="N350" s="79">
        <f>IF(ISERROR((M350/E350-1)*100),"NA",IF(((M350/E350-1)*100)&gt;100,"NM",IF(((M350/E350-1)*100)&lt;-50,"NM",(M350/E350-1)*100)))</f>
        <v>-21.830985915492953</v>
      </c>
      <c r="O350" s="75">
        <f>+O349+O344+O348</f>
        <v>47.5</v>
      </c>
      <c r="P350" s="79">
        <f>IF(ISERROR((O350/G350-1)*100),"NA",IF(((O350/G350-1)*100)&gt;100,"NM",IF(((O350/G350-1)*100)&lt;-50,"NM",(O350/G350-1)*100)))</f>
        <v>-7.587548638132291</v>
      </c>
      <c r="Q350" s="75">
        <f>+Q349+Q344+Q348</f>
        <v>40.699999999999996</v>
      </c>
      <c r="R350" s="79">
        <f>IF(ISERROR((Q350/I350-1)*100),"NA",IF(((Q350/I350-1)*100)&gt;100,"NM",IF(((Q350/I350-1)*100)&lt;-50,"NM",(Q350/I350-1)*100)))</f>
        <v>-43.07692307692308</v>
      </c>
      <c r="S350" s="75">
        <f>+S349+S344+S348</f>
        <v>56.4</v>
      </c>
      <c r="T350" s="79">
        <f>IF(ISERROR((S350/K350-1)*100),"NA",IF(((S350/K350-1)*100)&gt;100,"NM",IF(((S350/K350-1)*100)&lt;-50,"NM",(S350/K350-1)*100)))</f>
        <v>-1.3986013986013957</v>
      </c>
      <c r="U350" s="75">
        <f>+U349+U344+U348</f>
        <v>60.2</v>
      </c>
      <c r="V350" s="79">
        <f>IF(ISERROR((U350/M350-1)*100),"NA",IF(((U350/M350-1)*100)&gt;100,"NM",IF(((U350/M350-1)*100)&lt;-50,"NM",(U350/M350-1)*100)))</f>
        <v>35.585585585585598</v>
      </c>
      <c r="W350" s="75">
        <f>+W349+W344+W348</f>
        <v>53</v>
      </c>
      <c r="X350" s="79">
        <f>IF(ISERROR((W350/O350-1)*100),"NA",IF(((W350/O350-1)*100)&gt;100,"NM",IF(((W350/O350-1)*100)&lt;-50,"NM",(W350/O350-1)*100)))</f>
        <v>11.578947368421044</v>
      </c>
      <c r="Y350" s="75">
        <f>+Y349+Y344+Y348</f>
        <v>55.6</v>
      </c>
      <c r="Z350" s="79">
        <f>IF(ISERROR((Y350/Q350-1)*100),"NA",IF(((Y350/Q350-1)*100)&gt;100,"NM",IF(((Y350/Q350-1)*100)&lt;-50,"NM",(Y350/Q350-1)*100)))</f>
        <v>36.60933660933663</v>
      </c>
      <c r="AA350" s="267">
        <f>+AA349+AA344+AA348</f>
        <v>56.3</v>
      </c>
      <c r="AB350" s="79">
        <f>IF(ISERROR((AA350/S350-1)*100),"NA",IF(((AA350/S350-1)*100)&gt;100,"NM",IF(((AA350/S350-1)*100)&lt;-50,"NM",(AA350/S350-1)*100)))</f>
        <v>-0.17730496453900457</v>
      </c>
      <c r="AC350" s="75">
        <f>SUM(AC344:AC349)</f>
        <v>51.2</v>
      </c>
      <c r="AD350" s="79">
        <f>IF(ISERROR((AC350/U350-1)*100),"NA",IF(((AC350/U350-1)*100)&gt;100,"NM",IF(((AC350/U350-1)*100)&lt;-50,"NM",(AC350/U350-1)*100)))</f>
        <v>-14.950166112956808</v>
      </c>
      <c r="AE350" s="75">
        <f>SUM(AE344:AE349)</f>
        <v>55.4</v>
      </c>
      <c r="AF350" s="79">
        <f>IF(ISERROR((AE350/W350-1)*100),"NA",IF(((AE350/W350-1)*100)&gt;100,"NM",IF(((AE350/W350-1)*100)&lt;-50,"NM",(AE350/W350-1)*100)))</f>
        <v>4.5283018867924518</v>
      </c>
      <c r="AG350" s="75">
        <f>SUM(AG344:AG349)</f>
        <v>55.199999999999996</v>
      </c>
      <c r="AH350" s="79">
        <f>IF(ISERROR((AG350/Y350-1)*100),"NA",IF(((AG350/Y350-1)*100)&gt;100,"NM",IF(((AG350/Y350-1)*100)&lt;-50,"NM",(AG350/Y350-1)*100)))</f>
        <v>-0.71942446043166131</v>
      </c>
      <c r="AI350" s="75">
        <f>SUM(AI344:AI349)</f>
        <v>57.9</v>
      </c>
      <c r="AJ350" s="79">
        <f>IF(ISERROR((AI350/AA350-1)*100),"NA",IF(((AI350/AA350-1)*100)&gt;100,"NM",IF(((AI350/AA350-1)*100)&lt;-50,"NM",(AI350/AA350-1)*100)))</f>
        <v>2.8419182948490329</v>
      </c>
      <c r="AK350" s="75">
        <f>SUM(AK344:AK349)</f>
        <v>56.599999999999994</v>
      </c>
      <c r="AL350" s="79">
        <f>IF(ISERROR((AK350/AC350-1)*100),"NA",IF(((AK350/AC350-1)*100)&gt;100,"NM",IF(((AK350/AC350-1)*100)&lt;-50,"NM",(AK350/AC350-1)*100)))</f>
        <v>10.546874999999979</v>
      </c>
      <c r="AM350" s="75">
        <f>SUM(AM344:AM349)</f>
        <v>54.199999999999996</v>
      </c>
      <c r="AN350" s="79">
        <f>IF(ISERROR((AM350/AE350-1)*100),"NA",IF(((AM350/AE350-1)*100)&gt;100,"NM",IF(((AM350/AE350-1)*100)&lt;-50,"NM",(AM350/AE350-1)*100)))</f>
        <v>-2.1660649819494671</v>
      </c>
      <c r="AO350" s="75">
        <f>SUM(AO344:AO349)</f>
        <v>49.9</v>
      </c>
      <c r="AP350" s="79">
        <f>IF(ISERROR((AO350/AG350-1)*100),"NA",IF(((AO350/AG350-1)*100)&gt;100,"NM",IF(((AO350/AG350-1)*100)&lt;-50,"NM",(AO350/AG350-1)*100)))</f>
        <v>-9.6014492753623166</v>
      </c>
      <c r="AQ350" s="75">
        <f>SUM(AQ344:AQ349)</f>
        <v>53.3</v>
      </c>
      <c r="AR350" s="79">
        <f>IF(ISERROR((AQ350/AI350-1)*100),"NA",IF(((AQ350/AI350-1)*100)&gt;100,"NM",IF(((AQ350/AI350-1)*100)&lt;-50,"NM",(AQ350/AI350-1)*100)))</f>
        <v>-7.944732297063906</v>
      </c>
      <c r="AS350" s="104">
        <f>SUM(AS344:AS349)</f>
        <v>50.9</v>
      </c>
      <c r="AT350" s="81">
        <f>IF(ISERROR((AS350/AK350-1)*100),"NA",IF(((AS350/AK350-1)*100)&gt;100,"NM",IF(((AS350/AK350-1)*100)&lt;-50,"NM",(AS350/AK350-1)*100)))</f>
        <v>-10.070671378091866</v>
      </c>
      <c r="AU350" s="104">
        <f>SUM(AU344:AU349)</f>
        <v>50.900000000000006</v>
      </c>
      <c r="AV350" s="81">
        <f>IF(ISERROR((AU350/AM350-1)*100),"NA",IF(((AU350/AM350-1)*100)&gt;100,"NM",IF(((AU350/AM350-1)*100)&lt;-50,"NM",(AU350/AM350-1)*100)))</f>
        <v>-6.0885608856088407</v>
      </c>
      <c r="AW350" s="104">
        <f>SUM(AW344:AW349)</f>
        <v>46.6</v>
      </c>
      <c r="AX350" s="81">
        <f>IF(ISERROR((AW350/AO350-1)*100),"NA",IF(((AW350/AO350-1)*100)&gt;100,"NM",IF(((AW350/AO350-1)*100)&lt;-50,"NM",(AW350/AO350-1)*100)))</f>
        <v>-6.6132264529058071</v>
      </c>
      <c r="AY350" s="104">
        <f>SUM(AY344:AY349)</f>
        <v>52.4</v>
      </c>
      <c r="AZ350" s="81">
        <f>IF(ISERROR((AY350/AQ350-1)*100),"NA",IF(((AY350/AQ350-1)*100)&gt;100,"NM",IF(((AY350/AQ350-1)*100)&lt;-50,"NM",(AY350/AQ350-1)*100)))</f>
        <v>-1.6885553470919246</v>
      </c>
      <c r="BA350" s="104">
        <f>SUM(BA344:BA349)</f>
        <v>49.9</v>
      </c>
      <c r="BB350" s="81">
        <f>IF(ISERROR((BA350/AS350-1)*100),"NA",IF(((BA350/AS350-1)*100)&gt;100,"NM",IF(((BA350/AS350-1)*100)&lt;-50,"NM",(BA350/AS350-1)*100)))</f>
        <v>-1.9646365422396839</v>
      </c>
      <c r="BC350" s="104">
        <f>SUM(BC344:BC349)</f>
        <v>65.5</v>
      </c>
      <c r="BD350" s="81">
        <f>IF(ISERROR((BC350/AU350-1)*100),"NA",IF(((BC350/AU350-1)*100)&gt;100,"NM",IF(((BC350/AU350-1)*100)&lt;-50,"NM",(BC350/AU350-1)*100)))</f>
        <v>28.683693516699392</v>
      </c>
      <c r="BE350" s="104">
        <f>SUM(BE344:BE349)</f>
        <v>45.5</v>
      </c>
      <c r="BF350" s="81">
        <f>IF(ISERROR((BE350/AW350-1)*100),"NA",IF(((BE350/AW350-1)*100)&gt;100,"NM",IF(((BE350/AW350-1)*100)&lt;-50,"NM",(BE350/AW350-1)*100)))</f>
        <v>-2.3605150214592308</v>
      </c>
      <c r="BG350" s="104">
        <f>SUM(BG344:BG349)</f>
        <v>53</v>
      </c>
      <c r="BH350" s="81">
        <f>IF(ISERROR((BG350/AY350-1)*100),"NA",IF(((BG350/AY350-1)*100)&gt;100,"NM",IF(((BG350/AY350-1)*100)&lt;-50,"NM",(BG350/AY350-1)*100)))</f>
        <v>1.1450381679389388</v>
      </c>
      <c r="BI350" s="104">
        <f>SUM(BI344:BI349)</f>
        <v>48.3</v>
      </c>
      <c r="BJ350" s="81">
        <f>IF(ISERROR((BI350/BA350-1)*100),"NA",IF(((BI350/BA350-1)*100)&gt;100,"NM",IF(((BI350/BA350-1)*100)&lt;-50,"NM",(BI350/BA350-1)*100)))</f>
        <v>-3.2064128256513058</v>
      </c>
      <c r="BK350" s="104">
        <f>SUM(BK344:BK349)</f>
        <v>45.2</v>
      </c>
      <c r="BL350" s="81">
        <f>IF(ISERROR((BK350/BC350-1)*100),"NA",IF(((BK350/BC350-1)*100)&gt;100,"NM",IF(((BK350/BC350-1)*100)&lt;-50,"NM",(BK350/BC350-1)*100)))</f>
        <v>-30.992366412213734</v>
      </c>
      <c r="BM350" s="104">
        <f>SUM(BM344:BM349)</f>
        <v>43.800000000000004</v>
      </c>
      <c r="BN350" s="81">
        <f>IF(ISERROR((BM350/BE350-1)*100),"NA",IF(((BM350/BE350-1)*100)&gt;100,"NM",IF(((BM350/BE350-1)*100)&lt;-50,"NM",(BM350/BE350-1)*100)))</f>
        <v>-3.736263736263723</v>
      </c>
      <c r="BO350" s="104"/>
      <c r="BP350" s="81"/>
      <c r="BQ350" s="104"/>
      <c r="BR350" s="81"/>
      <c r="BS350" s="104"/>
      <c r="BT350" s="81"/>
      <c r="BU350" s="104"/>
      <c r="BV350" s="81"/>
      <c r="BW350" s="104"/>
      <c r="BX350" s="81"/>
      <c r="BY350" s="104"/>
      <c r="BZ350" s="81"/>
      <c r="CA350" s="104"/>
      <c r="CB350" s="81"/>
      <c r="CC350" s="104"/>
      <c r="CD350" s="81"/>
      <c r="CE350" s="104"/>
      <c r="CF350" s="81"/>
      <c r="CG350" s="104"/>
      <c r="CH350" s="81"/>
      <c r="CI350" s="104"/>
      <c r="CJ350" s="81"/>
      <c r="CK350" s="104"/>
      <c r="CL350" s="81"/>
      <c r="CM350" s="104"/>
      <c r="CN350" s="81"/>
      <c r="CO350" s="104"/>
      <c r="CP350" s="81"/>
      <c r="CQ350" s="104"/>
      <c r="CR350" s="81"/>
      <c r="CS350" s="104"/>
      <c r="CT350" s="81"/>
      <c r="CU350" s="104"/>
      <c r="CV350" s="81"/>
      <c r="CW350" s="104"/>
      <c r="CX350" s="81"/>
      <c r="CY350" s="104"/>
      <c r="CZ350" s="81"/>
      <c r="DA350" s="104"/>
      <c r="DB350" s="81"/>
      <c r="DC350" s="104"/>
      <c r="DD350" s="81"/>
      <c r="DE350" s="104"/>
      <c r="DF350" s="81"/>
      <c r="DG350" s="104"/>
      <c r="DH350" s="81"/>
      <c r="DI350" s="104"/>
      <c r="DJ350" s="81"/>
      <c r="DK350" s="104"/>
      <c r="DL350" s="81"/>
      <c r="DM350" s="104"/>
      <c r="DN350" s="81"/>
      <c r="DO350" s="104"/>
      <c r="DP350" s="81"/>
      <c r="DQ350" s="104"/>
      <c r="DR350" s="81"/>
      <c r="DS350" s="104"/>
      <c r="DT350" s="81"/>
      <c r="DU350" s="104"/>
      <c r="DV350" s="81"/>
      <c r="DW350" s="104"/>
      <c r="DX350" s="81"/>
      <c r="DY350" s="104"/>
      <c r="DZ350" s="81"/>
      <c r="EA350" s="104"/>
      <c r="EB350" s="81"/>
      <c r="EC350" s="104"/>
      <c r="ED350" s="81"/>
      <c r="EE350" s="104"/>
      <c r="EF350" s="81"/>
      <c r="EG350" s="104"/>
      <c r="EH350" s="81"/>
      <c r="EI350" s="104"/>
      <c r="EJ350" s="81"/>
      <c r="EK350" s="104"/>
      <c r="EL350" s="81"/>
      <c r="EM350" s="104"/>
      <c r="EN350" s="81"/>
      <c r="EO350" s="104"/>
      <c r="EP350" s="81"/>
      <c r="EQ350" s="104"/>
      <c r="ER350" s="81"/>
      <c r="ES350" s="129"/>
      <c r="ET350" s="469"/>
      <c r="EU350" s="129"/>
      <c r="EV350" s="75"/>
      <c r="EW350" s="79"/>
      <c r="EX350" s="75"/>
      <c r="EY350" s="79"/>
      <c r="EZ350" s="75"/>
      <c r="FA350" s="79"/>
      <c r="FB350" s="75">
        <f>SUM(FB344:FB349)</f>
        <v>236.89999999999998</v>
      </c>
      <c r="FC350" s="79" t="str">
        <f>IF(ISERROR((FB350/EZ350-1)*100),"NA",IF(((FB350/EZ350-1)*100)&gt;100,"NM",IF(((FB350/EZ350-1)*100)&lt;-50,"NM",(FB350/EZ350-1)*100)))</f>
        <v>NA</v>
      </c>
      <c r="FD350" s="75">
        <f>SUM(FD344:FD349)</f>
        <v>189</v>
      </c>
      <c r="FE350" s="79">
        <f>IF(ISERROR((FD350/FB350-1)*100),"NA",IF(((FD350/FB350-1)*100)&gt;100,"NM",IF(((FD350/FB350-1)*100)&lt;-50,"NM",(FD350/FB350-1)*100)))</f>
        <v>-20.219501899535665</v>
      </c>
      <c r="FF350" s="75">
        <f>SUM(FF344:FF349)</f>
        <v>225.1</v>
      </c>
      <c r="FG350" s="79">
        <f>IF(ISERROR((FF350/FD350-1)*100),"NA",IF(((FF350/FD350-1)*100)&gt;100,"NM",IF(((FF350/FD350-1)*100)&lt;-50,"NM",(FF350/FD350-1)*100)))</f>
        <v>19.100529100529108</v>
      </c>
      <c r="FH350" s="75">
        <f>SUM(FH344:FH349)</f>
        <v>219.7</v>
      </c>
      <c r="FI350" s="79">
        <f>IF(ISERROR((FH350/FF350-1)*100),"NA",IF(((FH350/FF350-1)*100)&gt;100,"NM",IF(((FH350/FF350-1)*100)&lt;-50,"NM",(FH350/FF350-1)*100)))</f>
        <v>-2.3989338071968014</v>
      </c>
      <c r="FJ350" s="75">
        <f>SUM(FJ344:FJ349)</f>
        <v>203.0390625</v>
      </c>
      <c r="FK350" s="79">
        <f>IF(ISERROR((FJ350/FH350-1)*100),"NA",IF(((FJ350/FH350-1)*100)&gt;100,"NM",IF(((FJ350/FH350-1)*100)&lt;-50,"NM",(FJ350/FH350-1)*100)))</f>
        <v>-7.583494538006363</v>
      </c>
      <c r="FL350" s="75">
        <f>SUM(FL344:FL349)</f>
        <v>200.8</v>
      </c>
      <c r="FM350" s="79">
        <f>IF(ISERROR((FL350/FJ350-1)*100),"NA",IF(((FL350/FJ350-1)*100)&gt;100,"NM",IF(((FL350/FJ350-1)*100)&lt;-50,"NM",(FL350/FJ350-1)*100)))</f>
        <v>-1.1027742506445004</v>
      </c>
      <c r="FN350" s="75">
        <f>SUM(FN344:FN349)</f>
        <v>213.9</v>
      </c>
      <c r="FO350" s="79">
        <f>IF(ISERROR((FN350/FL350-1)*100),"NA",IF(((FN350/FL350-1)*100)&gt;100,"NM",IF(((FN350/FL350-1)*100)&lt;-50,"NM",(FN350/FL350-1)*100)))</f>
        <v>6.5239043824701248</v>
      </c>
      <c r="FP350" s="75">
        <f>SUM(FP344:FP349)</f>
        <v>137.30000000000001</v>
      </c>
      <c r="FQ350" s="79">
        <f>IF(ISERROR((FP350/FN350-1)*100),"NA",IF(((FP350/FN350-1)*100)&gt;100,"NM",IF(((FP350/FN350-1)*100)&lt;-50,"NM",(FP350/FN350-1)*100)))</f>
        <v>-35.811126694717153</v>
      </c>
      <c r="FR350" s="104"/>
      <c r="FS350" s="79" t="str">
        <f>IF(ISERROR((FR350/FP350-1)*100),"NA",IF(((FR350/FP350-1)*100)&gt;100,"NM",IF(((FR350/FP350-1)*100)&lt;-50,"NM",(FR350/FP350-1)*100)))</f>
        <v>NM</v>
      </c>
      <c r="FT350" s="104"/>
      <c r="FU350" s="79" t="str">
        <f>IF(ISERROR((FT350/FR350-1)*100),"NA",IF(((FT350/FR350-1)*100)&gt;100,"NM",IF(((FT350/FR350-1)*100)&lt;-50,"NM",(FT350/FR350-1)*100)))</f>
        <v>NA</v>
      </c>
      <c r="FV350" s="104"/>
      <c r="FW350" s="79" t="str">
        <f>IF(ISERROR((FV350/FT350-1)*100),"NA",IF(((FV350/FT350-1)*100)&gt;100,"NM",IF(((FV350/FT350-1)*100)&lt;-50,"NM",(FV350/FT350-1)*100)))</f>
        <v>NA</v>
      </c>
      <c r="FX350" s="104"/>
      <c r="FY350" s="79" t="str">
        <f>IF(ISERROR((FX350/FV350-1)*100),"NA",IF(((FX350/FV350-1)*100)&gt;100,"NM",IF(((FX350/FV350-1)*100)&lt;-50,"NM",(FX350/FV350-1)*100)))</f>
        <v>NA</v>
      </c>
      <c r="FZ350" s="104"/>
      <c r="GA350" s="79" t="str">
        <f>IF(ISERROR((FZ350/FX350-1)*100),"NA",IF(((FZ350/FX350-1)*100)&gt;100,"NM",IF(((FZ350/FX350-1)*100)&lt;-50,"NM",(FZ350/FX350-1)*100)))</f>
        <v>NA</v>
      </c>
      <c r="GB350" s="104"/>
      <c r="GC350" s="79" t="str">
        <f>IF(ISERROR((GB350/FZ350-1)*100),"NA",IF(((GB350/FZ350-1)*100)&gt;100,"NM",IF(((GB350/FZ350-1)*100)&lt;-50,"NM",(GB350/FZ350-1)*100)))</f>
        <v>NA</v>
      </c>
      <c r="GD350" s="104"/>
      <c r="GE350" s="79" t="str">
        <f>IF(ISERROR((GD350/GB350-1)*100),"NA",IF(((GD350/GB350-1)*100)&gt;100,"NM",IF(((GD350/GB350-1)*100)&lt;-50,"NM",(GD350/GB350-1)*100)))</f>
        <v>NA</v>
      </c>
      <c r="GF350" s="104"/>
      <c r="GG350" s="79" t="str">
        <f>IF(ISERROR((GF350/GD350-1)*100),"NA",IF(((GF350/GD350-1)*100)&gt;100,"NM",IF(((GF350/GD350-1)*100)&lt;-50,"NM",(GF350/GD350-1)*100)))</f>
        <v>NA</v>
      </c>
      <c r="GH350" s="104"/>
      <c r="GI350" s="79" t="str">
        <f>IF(ISERROR((GH350/GF350-1)*100),"NA",IF(((GH350/GF350-1)*100)&gt;100,"NM",IF(((GH350/GF350-1)*100)&lt;-50,"NM",(GH350/GF350-1)*100)))</f>
        <v>NA</v>
      </c>
      <c r="GJ350" s="104"/>
      <c r="GK350" s="79" t="str">
        <f>IF(ISERROR((GJ350/GH350-1)*100),"NA",IF(((GJ350/GH350-1)*100)&gt;100,"NM",IF(((GJ350/GH350-1)*100)&lt;-50,"NM",(GJ350/GH350-1)*100)))</f>
        <v>NA</v>
      </c>
      <c r="GL350" s="104"/>
      <c r="GM350" s="79" t="str">
        <f>IF(ISERROR((GL350/GJ350-1)*100),"NA",IF(((GL350/GJ350-1)*100)&gt;100,"NM",IF(((GL350/GJ350-1)*100)&lt;-50,"NM",(GL350/GJ350-1)*100)))</f>
        <v>NA</v>
      </c>
      <c r="GN350" s="104"/>
      <c r="GO350" s="79" t="str">
        <f>IF(ISERROR((GN350/GL350-1)*100),"NA",IF(((GN350/GL350-1)*100)&gt;100,"NM",IF(((GN350/GL350-1)*100)&lt;-50,"NM",(GN350/GL350-1)*100)))</f>
        <v>NA</v>
      </c>
      <c r="GP350" s="104"/>
      <c r="GQ350" s="79" t="str">
        <f>IF(ISERROR((GP350/GN350-1)*100),"NA",IF(((GP350/GN350-1)*100)&gt;100,"NM",IF(((GP350/GN350-1)*100)&lt;-50,"NM",(GP350/GN350-1)*100)))</f>
        <v>NA</v>
      </c>
      <c r="GR350" s="104"/>
      <c r="GS350" s="79" t="str">
        <f>IF(ISERROR((GR350/GP350-1)*100),"NA",IF(((GR350/GP350-1)*100)&gt;100,"NM",IF(((GR350/GP350-1)*100)&lt;-50,"NM",(GR350/GP350-1)*100)))</f>
        <v>NA</v>
      </c>
      <c r="GT350" s="79"/>
      <c r="GU350" s="562"/>
      <c r="GV350" s="562"/>
      <c r="GW350"/>
      <c r="GX350"/>
      <c r="GY350"/>
      <c r="GZ350"/>
      <c r="HA350"/>
      <c r="HB350"/>
      <c r="HC350" s="562"/>
      <c r="HD350" s="562"/>
      <c r="HE350" s="562"/>
      <c r="HF350" s="562"/>
      <c r="HG350" s="562"/>
      <c r="HH350" s="562"/>
      <c r="HI350" s="562"/>
      <c r="HJ350" s="562"/>
      <c r="HK350" s="562"/>
      <c r="HL350" s="562"/>
      <c r="HM350" s="562"/>
      <c r="HN350" s="562"/>
      <c r="HO350" s="562"/>
      <c r="HP350" s="562"/>
      <c r="HQ350" s="562"/>
      <c r="HR350" s="562"/>
      <c r="HS350" s="562"/>
      <c r="HT350" s="562"/>
      <c r="HU350" s="562"/>
      <c r="HV350" s="562"/>
      <c r="HW350" s="562"/>
      <c r="HX350" s="562"/>
      <c r="HY350" s="562"/>
      <c r="HZ350" s="562"/>
      <c r="IA350" s="562"/>
      <c r="IB350" s="562"/>
      <c r="IC350" s="562"/>
      <c r="ID350" s="562"/>
      <c r="IE350" s="562"/>
      <c r="IF350" s="562"/>
      <c r="IG350" s="562"/>
      <c r="IH350" s="562"/>
      <c r="II350" s="562"/>
      <c r="IJ350" s="562"/>
      <c r="IK350" s="562"/>
      <c r="IL350" s="562"/>
      <c r="IM350" s="562"/>
      <c r="IN350" s="562"/>
      <c r="IO350" s="562"/>
      <c r="IP350" s="562"/>
      <c r="IQ350" s="562"/>
      <c r="IR350" s="562"/>
      <c r="IS350" s="562"/>
      <c r="IT350" s="562"/>
      <c r="IU350" s="562"/>
      <c r="IV350" s="562"/>
      <c r="IW350" s="562"/>
      <c r="IX350" s="562"/>
      <c r="IY350" s="562"/>
      <c r="IZ350" s="562"/>
      <c r="JA350" s="562"/>
      <c r="JB350" s="562"/>
      <c r="JC350" s="562"/>
      <c r="JD350" s="562"/>
      <c r="JE350" s="562"/>
      <c r="JF350" s="562"/>
      <c r="JG350" s="562"/>
      <c r="JH350" s="562"/>
      <c r="JI350" s="562"/>
      <c r="JJ350" s="562"/>
      <c r="JK350" s="562"/>
      <c r="JL350" s="562"/>
      <c r="JM350" s="562"/>
      <c r="JN350" s="562"/>
      <c r="JO350" s="562"/>
      <c r="JP350" s="562"/>
      <c r="JQ350" s="562"/>
      <c r="JR350" s="562"/>
      <c r="JS350" s="562"/>
      <c r="JT350" s="562"/>
      <c r="JU350" s="562"/>
      <c r="JV350" s="562"/>
      <c r="JW350" s="562"/>
      <c r="JX350" s="562"/>
      <c r="JY350" s="562"/>
      <c r="JZ350" s="562"/>
    </row>
    <row r="351" spans="1:286" s="249" customFormat="1" ht="12.75" hidden="1" customHeight="1" outlineLevel="1" x14ac:dyDescent="0.2">
      <c r="A351" s="248"/>
      <c r="B351" s="10"/>
      <c r="C351" s="79"/>
      <c r="D351" s="79"/>
      <c r="E351" s="129"/>
      <c r="F351" s="129"/>
      <c r="G351" s="129"/>
      <c r="H351" s="129"/>
      <c r="I351" s="129"/>
      <c r="J351" s="129"/>
      <c r="K351" s="129"/>
      <c r="L351" s="79"/>
      <c r="M351" s="129"/>
      <c r="N351" s="79"/>
      <c r="O351" s="129"/>
      <c r="P351" s="79"/>
      <c r="Q351" s="129"/>
      <c r="R351" s="79"/>
      <c r="S351" s="129"/>
      <c r="T351" s="79"/>
      <c r="U351" s="129"/>
      <c r="V351" s="79"/>
      <c r="W351" s="129"/>
      <c r="X351" s="79"/>
      <c r="Y351" s="129"/>
      <c r="Z351" s="79"/>
      <c r="AA351" s="130"/>
      <c r="AB351" s="79"/>
      <c r="AC351" s="129"/>
      <c r="AD351" s="79"/>
      <c r="AE351" s="129"/>
      <c r="AF351" s="79"/>
      <c r="AG351" s="129"/>
      <c r="AH351" s="79"/>
      <c r="AI351" s="129"/>
      <c r="AJ351" s="79"/>
      <c r="AK351" s="129"/>
      <c r="AL351" s="79"/>
      <c r="AM351" s="129"/>
      <c r="AN351" s="79"/>
      <c r="AO351" s="129"/>
      <c r="AP351" s="79"/>
      <c r="AQ351" s="129"/>
      <c r="AR351" s="79"/>
      <c r="AS351" s="129"/>
      <c r="AT351" s="81"/>
      <c r="AU351" s="129"/>
      <c r="AV351" s="81"/>
      <c r="AW351" s="129"/>
      <c r="AX351" s="81"/>
      <c r="AY351" s="129"/>
      <c r="AZ351" s="81"/>
      <c r="BA351" s="129"/>
      <c r="BB351" s="81"/>
      <c r="BC351" s="129"/>
      <c r="BD351" s="81"/>
      <c r="BE351" s="129"/>
      <c r="BF351" s="81"/>
      <c r="BG351" s="129"/>
      <c r="BH351" s="81"/>
      <c r="BI351" s="129"/>
      <c r="BJ351" s="81"/>
      <c r="BK351" s="129"/>
      <c r="BL351" s="81"/>
      <c r="BM351" s="129"/>
      <c r="BN351" s="81"/>
      <c r="BO351" s="129"/>
      <c r="BP351" s="81"/>
      <c r="BQ351" s="129"/>
      <c r="BR351" s="81"/>
      <c r="BS351" s="129"/>
      <c r="BT351" s="81"/>
      <c r="BU351" s="129"/>
      <c r="BV351" s="81"/>
      <c r="BW351" s="129"/>
      <c r="BX351" s="81"/>
      <c r="BY351" s="129"/>
      <c r="BZ351" s="81"/>
      <c r="CA351" s="129"/>
      <c r="CB351" s="81"/>
      <c r="CC351" s="129"/>
      <c r="CD351" s="81"/>
      <c r="CE351" s="129"/>
      <c r="CF351" s="81"/>
      <c r="CG351" s="129"/>
      <c r="CH351" s="81"/>
      <c r="CI351" s="129"/>
      <c r="CJ351" s="81"/>
      <c r="CK351" s="129"/>
      <c r="CL351" s="81"/>
      <c r="CM351" s="129"/>
      <c r="CN351" s="81"/>
      <c r="CO351" s="129"/>
      <c r="CP351" s="81"/>
      <c r="CQ351" s="129"/>
      <c r="CR351" s="81"/>
      <c r="CS351" s="129"/>
      <c r="CT351" s="81"/>
      <c r="CU351" s="129"/>
      <c r="CV351" s="81"/>
      <c r="CW351" s="129"/>
      <c r="CX351" s="81"/>
      <c r="CY351" s="129"/>
      <c r="CZ351" s="81"/>
      <c r="DA351" s="129"/>
      <c r="DB351" s="81"/>
      <c r="DC351" s="129"/>
      <c r="DD351" s="81"/>
      <c r="DE351" s="129"/>
      <c r="DF351" s="81"/>
      <c r="DG351" s="129"/>
      <c r="DH351" s="81"/>
      <c r="DI351" s="129"/>
      <c r="DJ351" s="81"/>
      <c r="DK351" s="129"/>
      <c r="DL351" s="81"/>
      <c r="DM351" s="129"/>
      <c r="DN351" s="81"/>
      <c r="DO351" s="129"/>
      <c r="DP351" s="81"/>
      <c r="DQ351" s="129"/>
      <c r="DR351" s="81"/>
      <c r="DS351" s="129"/>
      <c r="DT351" s="81"/>
      <c r="DU351" s="129"/>
      <c r="DV351" s="81"/>
      <c r="DW351" s="129"/>
      <c r="DX351" s="81"/>
      <c r="DY351" s="129"/>
      <c r="DZ351" s="81"/>
      <c r="EA351" s="129"/>
      <c r="EB351" s="81"/>
      <c r="EC351" s="129"/>
      <c r="ED351" s="81"/>
      <c r="EE351" s="129"/>
      <c r="EF351" s="81"/>
      <c r="EG351" s="129"/>
      <c r="EH351" s="81"/>
      <c r="EI351" s="129"/>
      <c r="EJ351" s="81"/>
      <c r="EK351" s="129"/>
      <c r="EL351" s="81"/>
      <c r="EM351" s="129"/>
      <c r="EN351" s="81"/>
      <c r="EO351" s="129"/>
      <c r="EP351" s="81"/>
      <c r="EQ351" s="129"/>
      <c r="ER351" s="81"/>
      <c r="ES351" s="129"/>
      <c r="ET351" s="469"/>
      <c r="EU351" s="129"/>
      <c r="EV351" s="129"/>
      <c r="EW351" s="79"/>
      <c r="EX351" s="129"/>
      <c r="EY351" s="79"/>
      <c r="EZ351" s="129"/>
      <c r="FA351" s="79"/>
      <c r="FB351" s="129"/>
      <c r="FC351" s="79"/>
      <c r="FD351" s="129"/>
      <c r="FE351" s="79"/>
      <c r="FF351" s="129"/>
      <c r="FG351" s="79"/>
      <c r="FH351" s="129"/>
      <c r="FI351" s="79"/>
      <c r="FJ351" s="129"/>
      <c r="FK351" s="79"/>
      <c r="FL351" s="129"/>
      <c r="FM351" s="79"/>
      <c r="FN351" s="129"/>
      <c r="FO351" s="79"/>
      <c r="FP351" s="129"/>
      <c r="FQ351" s="79"/>
      <c r="FR351" s="129"/>
      <c r="FS351" s="79"/>
      <c r="FT351" s="129"/>
      <c r="FU351" s="79"/>
      <c r="FV351" s="129"/>
      <c r="FW351" s="79"/>
      <c r="FX351" s="129"/>
      <c r="FY351" s="79"/>
      <c r="FZ351" s="129"/>
      <c r="GA351" s="79"/>
      <c r="GB351" s="129"/>
      <c r="GC351" s="79"/>
      <c r="GD351" s="129"/>
      <c r="GE351" s="79"/>
      <c r="GF351" s="129"/>
      <c r="GG351" s="79"/>
      <c r="GH351" s="129"/>
      <c r="GI351" s="79"/>
      <c r="GJ351" s="129"/>
      <c r="GK351" s="79"/>
      <c r="GL351" s="129"/>
      <c r="GM351" s="79"/>
      <c r="GN351" s="129"/>
      <c r="GO351" s="79"/>
      <c r="GP351" s="129"/>
      <c r="GQ351" s="79"/>
      <c r="GR351" s="129"/>
      <c r="GS351" s="79"/>
      <c r="GT351" s="79"/>
      <c r="GU351" s="562"/>
      <c r="GV351" s="562"/>
      <c r="GW351"/>
      <c r="GX351"/>
      <c r="GY351"/>
      <c r="GZ351"/>
      <c r="HA351"/>
      <c r="HB351"/>
      <c r="HC351" s="562"/>
      <c r="HD351" s="562"/>
      <c r="HE351" s="562"/>
      <c r="HF351" s="562"/>
      <c r="HG351" s="562"/>
      <c r="HH351" s="562"/>
      <c r="HI351" s="562"/>
      <c r="HJ351" s="562"/>
      <c r="HK351" s="562"/>
      <c r="HL351" s="562"/>
      <c r="HM351" s="562"/>
      <c r="HN351" s="562"/>
      <c r="HO351" s="562"/>
      <c r="HP351" s="562"/>
      <c r="HQ351" s="562"/>
      <c r="HR351" s="562"/>
      <c r="HS351" s="562"/>
      <c r="HT351" s="562"/>
      <c r="HU351" s="562"/>
      <c r="HV351" s="562"/>
      <c r="HW351" s="562"/>
      <c r="HX351" s="562"/>
      <c r="HY351" s="562"/>
      <c r="HZ351" s="562"/>
      <c r="IA351" s="562"/>
      <c r="IB351" s="562"/>
      <c r="IC351" s="562"/>
      <c r="ID351" s="562"/>
      <c r="IE351" s="562"/>
      <c r="IF351" s="562"/>
      <c r="IG351" s="562"/>
      <c r="IH351" s="562"/>
      <c r="II351" s="562"/>
      <c r="IJ351" s="562"/>
      <c r="IK351" s="562"/>
      <c r="IL351" s="562"/>
      <c r="IM351" s="562"/>
      <c r="IN351" s="562"/>
      <c r="IO351" s="562"/>
      <c r="IP351" s="562"/>
      <c r="IQ351" s="562"/>
      <c r="IR351" s="562"/>
      <c r="IS351" s="562"/>
      <c r="IT351" s="562"/>
      <c r="IU351" s="562"/>
      <c r="IV351" s="562"/>
      <c r="IW351" s="562"/>
      <c r="IX351" s="562"/>
      <c r="IY351" s="562"/>
      <c r="IZ351" s="562"/>
      <c r="JA351" s="562"/>
      <c r="JB351" s="562"/>
      <c r="JC351" s="562"/>
      <c r="JD351" s="562"/>
      <c r="JE351" s="562"/>
      <c r="JF351" s="562"/>
      <c r="JG351" s="562"/>
      <c r="JH351" s="562"/>
      <c r="JI351" s="562"/>
      <c r="JJ351" s="562"/>
      <c r="JK351" s="562"/>
      <c r="JL351" s="562"/>
      <c r="JM351" s="562"/>
      <c r="JN351" s="562"/>
      <c r="JO351" s="562"/>
      <c r="JP351" s="562"/>
      <c r="JQ351" s="562"/>
      <c r="JR351" s="562"/>
      <c r="JS351" s="562"/>
      <c r="JT351" s="562"/>
      <c r="JU351" s="562"/>
      <c r="JV351" s="562"/>
      <c r="JW351" s="562"/>
      <c r="JX351" s="562"/>
      <c r="JY351" s="562"/>
      <c r="JZ351" s="562"/>
    </row>
    <row r="352" spans="1:286" ht="12.75" hidden="1" customHeight="1" outlineLevel="1" x14ac:dyDescent="0.2">
      <c r="A352" s="1" t="s">
        <v>375</v>
      </c>
      <c r="B352" s="83" t="s">
        <v>453</v>
      </c>
      <c r="C352" s="79"/>
      <c r="D352" s="79"/>
      <c r="E352" s="242">
        <f>+E341-E350</f>
        <v>-45</v>
      </c>
      <c r="F352" s="242"/>
      <c r="G352" s="242">
        <f>+G341-G350</f>
        <v>-41.9</v>
      </c>
      <c r="H352" s="243"/>
      <c r="I352" s="242">
        <f>+I341-I350</f>
        <v>-60.4</v>
      </c>
      <c r="J352" s="243"/>
      <c r="K352" s="242">
        <f>+K341-K350</f>
        <v>-45</v>
      </c>
      <c r="L352" s="79"/>
      <c r="M352" s="242">
        <f>+M341-M350</f>
        <v>-29.2</v>
      </c>
      <c r="N352" s="79">
        <f t="shared" ref="N352:AJ352" si="1096">IF(ISERROR((M352/E352-1)*100),"NA",IF(((M352/E352-1)*100)&gt;100,"NM",IF(((M352/E352-1)*100)&lt;-50,"NM",(M352/E352-1)*100)))</f>
        <v>-35.111111111111114</v>
      </c>
      <c r="O352" s="242">
        <f>+O341-O350</f>
        <v>-39.9</v>
      </c>
      <c r="P352" s="79">
        <f t="shared" si="1096"/>
        <v>-4.7732696897374698</v>
      </c>
      <c r="Q352" s="242">
        <f>+Q341-Q350</f>
        <v>-34.9</v>
      </c>
      <c r="R352" s="79">
        <f t="shared" si="1096"/>
        <v>-42.218543046357617</v>
      </c>
      <c r="S352" s="242">
        <f>+S341-S350</f>
        <v>-51</v>
      </c>
      <c r="T352" s="79">
        <f t="shared" si="1096"/>
        <v>13.33333333333333</v>
      </c>
      <c r="U352" s="242">
        <f>+U341-U350</f>
        <v>-54.400000000000006</v>
      </c>
      <c r="V352" s="79">
        <f t="shared" si="1096"/>
        <v>86.301369863013733</v>
      </c>
      <c r="W352" s="242">
        <f>+W341-W350</f>
        <v>-45.2</v>
      </c>
      <c r="X352" s="79">
        <f t="shared" si="1096"/>
        <v>13.283208020050141</v>
      </c>
      <c r="Y352" s="242">
        <f>+Y341-Y350</f>
        <v>-47.3</v>
      </c>
      <c r="Z352" s="79">
        <f t="shared" si="1096"/>
        <v>35.530085959885383</v>
      </c>
      <c r="AA352" s="244">
        <f>+AA341-AA350</f>
        <v>-46.599999999999994</v>
      </c>
      <c r="AB352" s="79">
        <f t="shared" si="1096"/>
        <v>-8.6274509803921706</v>
      </c>
      <c r="AC352" s="242">
        <f>+AC341-AC350</f>
        <v>-46.7</v>
      </c>
      <c r="AD352" s="79">
        <f t="shared" si="1096"/>
        <v>-14.154411764705888</v>
      </c>
      <c r="AE352" s="242">
        <f>+AE341-AE350</f>
        <v>-30.7</v>
      </c>
      <c r="AF352" s="79">
        <f t="shared" si="1096"/>
        <v>-32.079646017699126</v>
      </c>
      <c r="AG352" s="242">
        <f>+AG341-AG350</f>
        <v>-44.8</v>
      </c>
      <c r="AH352" s="79">
        <f t="shared" si="1096"/>
        <v>-5.2854122621564521</v>
      </c>
      <c r="AI352" s="242">
        <f>+AI341-AI350</f>
        <v>-31.5</v>
      </c>
      <c r="AJ352" s="79">
        <f t="shared" si="1096"/>
        <v>-32.403433476394838</v>
      </c>
      <c r="AK352" s="242">
        <f>+AK341-AK350</f>
        <v>-39.199999999999996</v>
      </c>
      <c r="AL352" s="79">
        <f>IF(ISERROR((AK352/AC352-1)*100),"NA",IF(((AK352/AC352-1)*100)&gt;100,"NM",IF(((AK352/AC352-1)*100)&lt;-50,"NM",(AK352/AC352-1)*100)))</f>
        <v>-16.059957173447547</v>
      </c>
      <c r="AM352" s="242">
        <f>+AM341-AM350</f>
        <v>-37.599999999999994</v>
      </c>
      <c r="AN352" s="79">
        <f>IF(ISERROR((AM352/AE352-1)*100),"NA",IF(((AM352/AE352-1)*100)&gt;100,"NM",IF(((AM352/AE352-1)*100)&lt;-50,"NM",(AM352/AE352-1)*100)))</f>
        <v>22.475570032573277</v>
      </c>
      <c r="AO352" s="242">
        <f>+AO341-AO350</f>
        <v>-33</v>
      </c>
      <c r="AP352" s="79">
        <f>IF(ISERROR((AO352/AG352-1)*100),"NA",IF(((AO352/AG352-1)*100)&gt;100,"NM",IF(((AO352/AG352-1)*100)&lt;-50,"NM",(AO352/AG352-1)*100)))</f>
        <v>-26.339285714285708</v>
      </c>
      <c r="AQ352" s="242">
        <f>+AQ341-AQ350</f>
        <v>-43</v>
      </c>
      <c r="AR352" s="79">
        <f>IF(ISERROR((AQ352/AI352-1)*100),"NA",IF(((AQ352/AI352-1)*100)&gt;100,"NM",IF(((AQ352/AI352-1)*100)&lt;-50,"NM",(AQ352/AI352-1)*100)))</f>
        <v>36.507936507936513</v>
      </c>
      <c r="AS352" s="243">
        <f>+AS341-AS350</f>
        <v>-32.9</v>
      </c>
      <c r="AT352" s="81">
        <f>IF(ISERROR((AS352/AK352-1)*100),"NA",IF(((AS352/AK352-1)*100)&gt;100,"NM",IF(((AS352/AK352-1)*100)&lt;-50,"NM",(AS352/AK352-1)*100)))</f>
        <v>-16.071428571428569</v>
      </c>
      <c r="AU352" s="243">
        <f>+AU341-AU350</f>
        <v>-35.900000000000006</v>
      </c>
      <c r="AV352" s="81">
        <f>IF(ISERROR((AU352/AM352-1)*100),"NA",IF(((AU352/AM352-1)*100)&gt;100,"NM",IF(((AU352/AM352-1)*100)&lt;-50,"NM",(AU352/AM352-1)*100)))</f>
        <v>-4.5212765957446504</v>
      </c>
      <c r="AW352" s="243">
        <f>+AW341-AW350</f>
        <v>-30.6</v>
      </c>
      <c r="AX352" s="81">
        <f>IF(ISERROR((AW352/AO352-1)*100),"NA",IF(((AW352/AO352-1)*100)&gt;100,"NM",IF(((AW352/AO352-1)*100)&lt;-50,"NM",(AW352/AO352-1)*100)))</f>
        <v>-7.2727272727272645</v>
      </c>
      <c r="AY352" s="243">
        <f>+AY341-AY350</f>
        <v>-38.299999999999997</v>
      </c>
      <c r="AZ352" s="81">
        <f>IF(ISERROR((AY352/AQ352-1)*100),"NA",IF(((AY352/AQ352-1)*100)&gt;100,"NM",IF(((AY352/AQ352-1)*100)&lt;-50,"NM",(AY352/AQ352-1)*100)))</f>
        <v>-10.93023255813954</v>
      </c>
      <c r="BA352" s="243">
        <f>+BA341-BA350</f>
        <v>-39.6</v>
      </c>
      <c r="BB352" s="81">
        <f>IF(ISERROR((BA352/AS352-1)*100),"NA",IF(((BA352/AS352-1)*100)&gt;100,"NM",IF(((BA352/AS352-1)*100)&lt;-50,"NM",(BA352/AS352-1)*100)))</f>
        <v>20.364741641337393</v>
      </c>
      <c r="BC352" s="243">
        <f>+BC341-BC350</f>
        <v>-59</v>
      </c>
      <c r="BD352" s="81">
        <f>IF(ISERROR((BC352/AU352-1)*100),"NA",IF(((BC352/AU352-1)*100)&gt;100,"NM",IF(((BC352/AU352-1)*100)&lt;-50,"NM",(BC352/AU352-1)*100)))</f>
        <v>64.345403899721433</v>
      </c>
      <c r="BE352" s="243">
        <f>+BE341-BE350</f>
        <v>-35.700000000000003</v>
      </c>
      <c r="BF352" s="81">
        <f>IF(ISERROR((BE352/AW352-1)*100),"NA",IF(((BE352/AW352-1)*100)&gt;100,"NM",IF(((BE352/AW352-1)*100)&lt;-50,"NM",(BE352/AW352-1)*100)))</f>
        <v>16.666666666666675</v>
      </c>
      <c r="BG352" s="243">
        <f>+BG341-BG350</f>
        <v>-33.299999999999997</v>
      </c>
      <c r="BH352" s="81">
        <f>IF(ISERROR((BG352/AY352-1)*100),"NA",IF(((BG352/AY352-1)*100)&gt;100,"NM",IF(((BG352/AY352-1)*100)&lt;-50,"NM",(BG352/AY352-1)*100)))</f>
        <v>-13.054830287206265</v>
      </c>
      <c r="BI352" s="243">
        <f>+BI341-BI350</f>
        <v>-21.599999999999998</v>
      </c>
      <c r="BJ352" s="81">
        <f>IF(ISERROR((BI352/BA352-1)*100),"NA",IF(((BI352/BA352-1)*100)&gt;100,"NM",IF(((BI352/BA352-1)*100)&lt;-50,"NM",(BI352/BA352-1)*100)))</f>
        <v>-45.45454545454546</v>
      </c>
      <c r="BK352" s="243">
        <f>+BK341-BK350</f>
        <v>-30.800000000000004</v>
      </c>
      <c r="BL352" s="81">
        <f>IF(ISERROR((BK352/BC352-1)*100),"NA",IF(((BK352/BC352-1)*100)&gt;100,"NM",IF(((BK352/BC352-1)*100)&lt;-50,"NM",(BK352/BC352-1)*100)))</f>
        <v>-47.796610169491515</v>
      </c>
      <c r="BM352" s="243">
        <f>+BM341-BM350</f>
        <v>-30.300000000000004</v>
      </c>
      <c r="BN352" s="81">
        <f>IF(ISERROR((BM352/BE352-1)*100),"NA",IF(((BM352/BE352-1)*100)&gt;100,"NM",IF(((BM352/BE352-1)*100)&lt;-50,"NM",(BM352/BE352-1)*100)))</f>
        <v>-15.126050420168058</v>
      </c>
      <c r="BO352" s="243"/>
      <c r="BP352" s="81"/>
      <c r="BQ352" s="243"/>
      <c r="BR352" s="81"/>
      <c r="BS352" s="243"/>
      <c r="BT352" s="81"/>
      <c r="BU352" s="243"/>
      <c r="BV352" s="81"/>
      <c r="BW352" s="243"/>
      <c r="BX352" s="81"/>
      <c r="BY352" s="243"/>
      <c r="BZ352" s="81"/>
      <c r="CA352" s="243"/>
      <c r="CB352" s="81"/>
      <c r="CC352" s="243"/>
      <c r="CD352" s="81"/>
      <c r="CE352" s="243"/>
      <c r="CF352" s="81"/>
      <c r="CG352" s="243"/>
      <c r="CH352" s="81"/>
      <c r="CI352" s="243"/>
      <c r="CJ352" s="81"/>
      <c r="CK352" s="243"/>
      <c r="CL352" s="81"/>
      <c r="CM352" s="243"/>
      <c r="CN352" s="81"/>
      <c r="CO352" s="243"/>
      <c r="CP352" s="81"/>
      <c r="CQ352" s="243"/>
      <c r="CR352" s="81"/>
      <c r="CS352" s="243"/>
      <c r="CT352" s="81"/>
      <c r="CU352" s="243"/>
      <c r="CV352" s="81"/>
      <c r="CW352" s="243"/>
      <c r="CX352" s="81"/>
      <c r="CY352" s="243"/>
      <c r="CZ352" s="81"/>
      <c r="DA352" s="243"/>
      <c r="DB352" s="81"/>
      <c r="DC352" s="243"/>
      <c r="DD352" s="81"/>
      <c r="DE352" s="243"/>
      <c r="DF352" s="81"/>
      <c r="DG352" s="243"/>
      <c r="DH352" s="81"/>
      <c r="DI352" s="243"/>
      <c r="DJ352" s="81"/>
      <c r="DK352" s="243"/>
      <c r="DL352" s="81"/>
      <c r="DM352" s="243"/>
      <c r="DN352" s="81"/>
      <c r="DO352" s="243"/>
      <c r="DP352" s="81"/>
      <c r="DQ352" s="243"/>
      <c r="DR352" s="81"/>
      <c r="DS352" s="243"/>
      <c r="DT352" s="81"/>
      <c r="DU352" s="243"/>
      <c r="DV352" s="81"/>
      <c r="DW352" s="243"/>
      <c r="DX352" s="81"/>
      <c r="DY352" s="243"/>
      <c r="DZ352" s="81"/>
      <c r="EA352" s="243"/>
      <c r="EB352" s="81"/>
      <c r="EC352" s="243"/>
      <c r="ED352" s="81"/>
      <c r="EE352" s="243"/>
      <c r="EF352" s="81"/>
      <c r="EG352" s="243"/>
      <c r="EH352" s="81"/>
      <c r="EI352" s="243"/>
      <c r="EJ352" s="81"/>
      <c r="EK352" s="243"/>
      <c r="EL352" s="81"/>
      <c r="EM352" s="243"/>
      <c r="EN352" s="81"/>
      <c r="EO352" s="243"/>
      <c r="EP352" s="81"/>
      <c r="EQ352" s="243"/>
      <c r="ER352" s="81"/>
      <c r="ES352" s="138"/>
      <c r="ET352" s="470"/>
      <c r="EU352" s="138"/>
      <c r="EV352" s="242"/>
      <c r="EW352" s="140"/>
      <c r="EX352" s="242"/>
      <c r="EY352" s="79"/>
      <c r="EZ352" s="242"/>
      <c r="FA352" s="79"/>
      <c r="FB352" s="242">
        <f>+FB341-FB350</f>
        <v>-192.29999999999998</v>
      </c>
      <c r="FC352" s="79" t="str">
        <f>IF(ISERROR((FB352/EZ352-1)*100),"NA",IF(((FB352/EZ352-1)*100)&gt;100,"NM",IF(((FB352/EZ352-1)*100)&lt;-50,"NM",(FB352/EZ352-1)*100)))</f>
        <v>NA</v>
      </c>
      <c r="FD352" s="242">
        <f>+FD341-FD350</f>
        <v>-155</v>
      </c>
      <c r="FE352" s="79">
        <f>IF(ISERROR((FD352/FB352-1)*100),"NA",IF(((FD352/FB352-1)*100)&gt;100,"NM",IF(((FD352/FB352-1)*100)&lt;-50,"NM",(FD352/FB352-1)*100)))</f>
        <v>-19.396775871034833</v>
      </c>
      <c r="FF352" s="242">
        <f>+FF341-FF350</f>
        <v>-193.5</v>
      </c>
      <c r="FG352" s="79">
        <f>IF(ISERROR((FF352/FD352-1)*100),"NA",IF(((FF352/FD352-1)*100)&gt;100,"NM",IF(((FF352/FD352-1)*100)&lt;-50,"NM",(FF352/FD352-1)*100)))</f>
        <v>24.838709677419345</v>
      </c>
      <c r="FH352" s="242">
        <f>+FH341-FH350</f>
        <v>-153.69999999999999</v>
      </c>
      <c r="FI352" s="79">
        <f>IF(ISERROR((FH352/FF352-1)*100),"NA",IF(((FH352/FF352-1)*100)&gt;100,"NM",IF(((FH352/FF352-1)*100)&lt;-50,"NM",(FH352/FF352-1)*100)))</f>
        <v>-20.568475452196388</v>
      </c>
      <c r="FJ352" s="242">
        <f>+FJ341-FJ350</f>
        <v>-146.83906250000001</v>
      </c>
      <c r="FK352" s="79">
        <f>IF(ISERROR((FJ352/FH352-1)*100),"NA",IF(((FJ352/FH352-1)*100)&gt;100,"NM",IF(((FJ352/FH352-1)*100)&lt;-50,"NM",(FJ352/FH352-1)*100)))</f>
        <v>-4.4638500325308916</v>
      </c>
      <c r="FL352" s="242">
        <f>+FL341-FL350</f>
        <v>-137.69999999999999</v>
      </c>
      <c r="FM352" s="79">
        <f>IF(ISERROR((FL352/FJ352-1)*100),"NA",IF(((FL352/FJ352-1)*100)&gt;100,"NM",IF(((FL352/FJ352-1)*100)&lt;-50,"NM",(FL352/FJ352-1)*100)))</f>
        <v>-6.2238632856975844</v>
      </c>
      <c r="FN352" s="242">
        <f>+FN341-FN350</f>
        <v>-167.60000000000002</v>
      </c>
      <c r="FO352" s="79">
        <f>IF(ISERROR((FN352/FL352-1)*100),"NA",IF(((FN352/FL352-1)*100)&gt;100,"NM",IF(((FN352/FL352-1)*100)&lt;-50,"NM",(FN352/FL352-1)*100)))</f>
        <v>21.713870733478615</v>
      </c>
      <c r="FP352" s="242">
        <f>+FP341-FP350</f>
        <v>-82.700000000000017</v>
      </c>
      <c r="FQ352" s="79" t="str">
        <f>IF(ISERROR((FP352/FN352-1)*100),"NA",IF(((FP352/FN352-1)*100)&gt;100,"NM",IF(((FP352/FN352-1)*100)&lt;-50,"NM",(FP352/FN352-1)*100)))</f>
        <v>NM</v>
      </c>
      <c r="FR352" s="243"/>
      <c r="FS352" s="79" t="str">
        <f>IF(ISERROR((FR352/FP352-1)*100),"NA",IF(((FR352/FP352-1)*100)&gt;100,"NM",IF(((FR352/FP352-1)*100)&lt;-50,"NM",(FR352/FP352-1)*100)))</f>
        <v>NM</v>
      </c>
      <c r="FT352" s="243"/>
      <c r="FU352" s="79" t="str">
        <f>IF(ISERROR((FT352/FR352-1)*100),"NA",IF(((FT352/FR352-1)*100)&gt;100,"NM",IF(((FT352/FR352-1)*100)&lt;-50,"NM",(FT352/FR352-1)*100)))</f>
        <v>NA</v>
      </c>
      <c r="FV352" s="243"/>
      <c r="FW352" s="79" t="str">
        <f>IF(ISERROR((FV352/FT352-1)*100),"NA",IF(((FV352/FT352-1)*100)&gt;100,"NM",IF(((FV352/FT352-1)*100)&lt;-50,"NM",(FV352/FT352-1)*100)))</f>
        <v>NA</v>
      </c>
      <c r="FX352" s="243"/>
      <c r="FY352" s="79" t="str">
        <f>IF(ISERROR((FX352/FV352-1)*100),"NA",IF(((FX352/FV352-1)*100)&gt;100,"NM",IF(((FX352/FV352-1)*100)&lt;-50,"NM",(FX352/FV352-1)*100)))</f>
        <v>NA</v>
      </c>
      <c r="FZ352" s="243"/>
      <c r="GA352" s="79" t="str">
        <f>IF(ISERROR((FZ352/FX352-1)*100),"NA",IF(((FZ352/FX352-1)*100)&gt;100,"NM",IF(((FZ352/FX352-1)*100)&lt;-50,"NM",(FZ352/FX352-1)*100)))</f>
        <v>NA</v>
      </c>
      <c r="GB352" s="243"/>
      <c r="GC352" s="79" t="str">
        <f>IF(ISERROR((GB352/FZ352-1)*100),"NA",IF(((GB352/FZ352-1)*100)&gt;100,"NM",IF(((GB352/FZ352-1)*100)&lt;-50,"NM",(GB352/FZ352-1)*100)))</f>
        <v>NA</v>
      </c>
      <c r="GD352" s="243"/>
      <c r="GE352" s="79" t="str">
        <f>IF(ISERROR((GD352/GB352-1)*100),"NA",IF(((GD352/GB352-1)*100)&gt;100,"NM",IF(((GD352/GB352-1)*100)&lt;-50,"NM",(GD352/GB352-1)*100)))</f>
        <v>NA</v>
      </c>
      <c r="GF352" s="243"/>
      <c r="GG352" s="79" t="str">
        <f>IF(ISERROR((GF352/GD352-1)*100),"NA",IF(((GF352/GD352-1)*100)&gt;100,"NM",IF(((GF352/GD352-1)*100)&lt;-50,"NM",(GF352/GD352-1)*100)))</f>
        <v>NA</v>
      </c>
      <c r="GH352" s="243"/>
      <c r="GI352" s="79" t="str">
        <f>IF(ISERROR((GH352/GF352-1)*100),"NA",IF(((GH352/GF352-1)*100)&gt;100,"NM",IF(((GH352/GF352-1)*100)&lt;-50,"NM",(GH352/GF352-1)*100)))</f>
        <v>NA</v>
      </c>
      <c r="GJ352" s="243"/>
      <c r="GK352" s="79" t="str">
        <f>IF(ISERROR((GJ352/GH352-1)*100),"NA",IF(((GJ352/GH352-1)*100)&gt;100,"NM",IF(((GJ352/GH352-1)*100)&lt;-50,"NM",(GJ352/GH352-1)*100)))</f>
        <v>NA</v>
      </c>
      <c r="GL352" s="243"/>
      <c r="GM352" s="79" t="str">
        <f>IF(ISERROR((GL352/GJ352-1)*100),"NA",IF(((GL352/GJ352-1)*100)&gt;100,"NM",IF(((GL352/GJ352-1)*100)&lt;-50,"NM",(GL352/GJ352-1)*100)))</f>
        <v>NA</v>
      </c>
      <c r="GN352" s="243"/>
      <c r="GO352" s="79" t="str">
        <f>IF(ISERROR((GN352/GL352-1)*100),"NA",IF(((GN352/GL352-1)*100)&gt;100,"NM",IF(((GN352/GL352-1)*100)&lt;-50,"NM",(GN352/GL352-1)*100)))</f>
        <v>NA</v>
      </c>
      <c r="GP352" s="243"/>
      <c r="GQ352" s="79" t="str">
        <f>IF(ISERROR((GP352/GN352-1)*100),"NA",IF(((GP352/GN352-1)*100)&gt;100,"NM",IF(((GP352/GN352-1)*100)&lt;-50,"NM",(GP352/GN352-1)*100)))</f>
        <v>NA</v>
      </c>
      <c r="GR352" s="243"/>
      <c r="GS352" s="79" t="str">
        <f>IF(ISERROR((GR352/GP352-1)*100),"NA",IF(((GR352/GP352-1)*100)&gt;100,"NM",IF(((GR352/GP352-1)*100)&lt;-50,"NM",(GR352/GP352-1)*100)))</f>
        <v>NA</v>
      </c>
      <c r="GT352" s="79"/>
    </row>
    <row r="353" spans="1:202" ht="12.75" hidden="1" customHeight="1" outlineLevel="1" x14ac:dyDescent="0.2">
      <c r="A353" s="1"/>
      <c r="B353" s="83"/>
      <c r="C353" s="79"/>
      <c r="D353" s="79"/>
      <c r="E353" s="242"/>
      <c r="F353" s="242"/>
      <c r="G353" s="242"/>
      <c r="H353" s="243"/>
      <c r="I353" s="242"/>
      <c r="J353" s="243"/>
      <c r="K353" s="242"/>
      <c r="L353" s="79"/>
      <c r="M353" s="242"/>
      <c r="N353" s="79"/>
      <c r="O353" s="242"/>
      <c r="P353" s="79"/>
      <c r="Q353" s="242"/>
      <c r="R353" s="79"/>
      <c r="S353" s="242"/>
      <c r="T353" s="79"/>
      <c r="U353" s="242"/>
      <c r="V353" s="79"/>
      <c r="W353" s="242"/>
      <c r="X353" s="79"/>
      <c r="Y353" s="242"/>
      <c r="Z353" s="79"/>
      <c r="AA353" s="244"/>
      <c r="AB353" s="79"/>
      <c r="AC353" s="242"/>
      <c r="AD353" s="79"/>
      <c r="AE353" s="242"/>
      <c r="AF353" s="79"/>
      <c r="AG353" s="242"/>
      <c r="AH353" s="79"/>
      <c r="AI353" s="242"/>
      <c r="AJ353" s="79"/>
      <c r="AK353" s="242"/>
      <c r="AL353" s="79"/>
      <c r="AM353" s="242"/>
      <c r="AN353" s="79"/>
      <c r="AO353" s="242"/>
      <c r="AP353" s="79"/>
      <c r="AQ353" s="242"/>
      <c r="AR353" s="79"/>
      <c r="AS353" s="242"/>
      <c r="AT353" s="81"/>
      <c r="AU353" s="242"/>
      <c r="AV353" s="81"/>
      <c r="AW353" s="242"/>
      <c r="AX353" s="81"/>
      <c r="AY353" s="242"/>
      <c r="AZ353" s="81"/>
      <c r="BA353" s="242"/>
      <c r="BB353" s="81"/>
      <c r="BC353" s="242"/>
      <c r="BD353" s="81"/>
      <c r="BE353" s="242"/>
      <c r="BF353" s="81"/>
      <c r="BG353" s="242"/>
      <c r="BH353" s="81"/>
      <c r="BI353" s="242"/>
      <c r="BJ353" s="81"/>
      <c r="BK353" s="242"/>
      <c r="BL353" s="81"/>
      <c r="BM353" s="242"/>
      <c r="BN353" s="81"/>
      <c r="BO353" s="242"/>
      <c r="BP353" s="81"/>
      <c r="BQ353" s="242"/>
      <c r="BR353" s="81"/>
      <c r="BS353" s="242"/>
      <c r="BT353" s="81"/>
      <c r="BU353" s="242"/>
      <c r="BV353" s="81"/>
      <c r="BW353" s="242"/>
      <c r="BX353" s="81"/>
      <c r="BY353" s="242"/>
      <c r="BZ353" s="81"/>
      <c r="CA353" s="242"/>
      <c r="CB353" s="81"/>
      <c r="CC353" s="242"/>
      <c r="CD353" s="81"/>
      <c r="CE353" s="242"/>
      <c r="CF353" s="81"/>
      <c r="CG353" s="242"/>
      <c r="CH353" s="81"/>
      <c r="CI353" s="242"/>
      <c r="CJ353" s="81"/>
      <c r="CK353" s="242"/>
      <c r="CL353" s="81"/>
      <c r="CM353" s="242"/>
      <c r="CN353" s="81"/>
      <c r="CO353" s="242"/>
      <c r="CP353" s="81"/>
      <c r="CQ353" s="242"/>
      <c r="CR353" s="81"/>
      <c r="CS353" s="242"/>
      <c r="CT353" s="81"/>
      <c r="CU353" s="242"/>
      <c r="CV353" s="81"/>
      <c r="CW353" s="242"/>
      <c r="CX353" s="81"/>
      <c r="CY353" s="242"/>
      <c r="CZ353" s="81"/>
      <c r="DA353" s="242"/>
      <c r="DB353" s="81"/>
      <c r="DC353" s="242"/>
      <c r="DD353" s="81"/>
      <c r="DE353" s="242"/>
      <c r="DF353" s="81"/>
      <c r="DG353" s="242"/>
      <c r="DH353" s="81"/>
      <c r="DI353" s="242"/>
      <c r="DJ353" s="81"/>
      <c r="DK353" s="242"/>
      <c r="DL353" s="81"/>
      <c r="DM353" s="242"/>
      <c r="DN353" s="81"/>
      <c r="DO353" s="242"/>
      <c r="DP353" s="81"/>
      <c r="DQ353" s="242"/>
      <c r="DR353" s="81"/>
      <c r="DS353" s="242"/>
      <c r="DT353" s="81"/>
      <c r="DU353" s="242"/>
      <c r="DV353" s="81"/>
      <c r="DW353" s="242"/>
      <c r="DX353" s="81"/>
      <c r="DY353" s="242"/>
      <c r="DZ353" s="81"/>
      <c r="EA353" s="242"/>
      <c r="EB353" s="81"/>
      <c r="EC353" s="242"/>
      <c r="ED353" s="81"/>
      <c r="EE353" s="242"/>
      <c r="EF353" s="81"/>
      <c r="EG353" s="242"/>
      <c r="EH353" s="81"/>
      <c r="EI353" s="242"/>
      <c r="EJ353" s="81"/>
      <c r="EK353" s="242"/>
      <c r="EL353" s="81"/>
      <c r="EM353" s="242"/>
      <c r="EN353" s="81"/>
      <c r="EO353" s="242"/>
      <c r="EP353" s="81"/>
      <c r="EQ353" s="242"/>
      <c r="ER353" s="81"/>
      <c r="ES353" s="138"/>
      <c r="ET353" s="470"/>
      <c r="EU353" s="138"/>
      <c r="EV353" s="242"/>
      <c r="EW353" s="140"/>
      <c r="EX353" s="242"/>
      <c r="EY353" s="79"/>
      <c r="EZ353" s="242"/>
      <c r="FA353" s="79"/>
      <c r="FB353" s="242"/>
      <c r="FC353" s="79"/>
      <c r="FD353" s="242"/>
      <c r="FE353" s="79"/>
      <c r="FF353" s="242"/>
      <c r="FG353" s="79"/>
      <c r="FH353" s="242"/>
      <c r="FI353" s="79"/>
      <c r="FJ353" s="242"/>
      <c r="FK353" s="79"/>
      <c r="FL353" s="242"/>
      <c r="FM353" s="79"/>
      <c r="FN353" s="242"/>
      <c r="FO353" s="79"/>
      <c r="FP353" s="242"/>
      <c r="FQ353" s="79"/>
      <c r="FR353" s="242"/>
      <c r="FS353" s="79"/>
      <c r="FT353" s="242"/>
      <c r="FU353" s="79"/>
      <c r="FV353" s="242"/>
      <c r="FW353" s="79"/>
      <c r="FX353" s="242"/>
      <c r="FY353" s="79"/>
      <c r="FZ353" s="242"/>
      <c r="GA353" s="79"/>
      <c r="GB353" s="242"/>
      <c r="GC353" s="79"/>
      <c r="GD353" s="242"/>
      <c r="GE353" s="79"/>
      <c r="GF353" s="242"/>
      <c r="GG353" s="79"/>
      <c r="GH353" s="242"/>
      <c r="GI353" s="79"/>
      <c r="GJ353" s="242"/>
      <c r="GK353" s="79"/>
      <c r="GL353" s="242"/>
      <c r="GM353" s="79"/>
      <c r="GN353" s="242"/>
      <c r="GO353" s="79"/>
      <c r="GP353" s="242"/>
      <c r="GQ353" s="79"/>
      <c r="GR353" s="242"/>
      <c r="GS353" s="79"/>
      <c r="GT353" s="79"/>
    </row>
    <row r="354" spans="1:202" ht="12.75" hidden="1" customHeight="1" outlineLevel="1" x14ac:dyDescent="0.2">
      <c r="A354" s="1"/>
      <c r="B354" s="2" t="s">
        <v>256</v>
      </c>
      <c r="C354" s="79"/>
      <c r="D354" s="79"/>
      <c r="E354" s="174">
        <v>0</v>
      </c>
      <c r="F354" s="171"/>
      <c r="G354" s="174">
        <v>0</v>
      </c>
      <c r="H354" s="171"/>
      <c r="I354" s="174">
        <v>0</v>
      </c>
      <c r="J354" s="171"/>
      <c r="K354" s="174">
        <v>0</v>
      </c>
      <c r="L354" s="79"/>
      <c r="M354" s="174">
        <v>0</v>
      </c>
      <c r="N354" s="79" t="str">
        <f>IF(ISERROR((M354/E354-1)*100),"NA",IF(((M354/E354-1)*100)&gt;100,"NM",IF(((M354/E354-1)*100)&lt;-50,"NM",(M354/E354-1)*100)))</f>
        <v>NA</v>
      </c>
      <c r="O354" s="174">
        <v>0</v>
      </c>
      <c r="P354" s="79" t="str">
        <f>IF(ISERROR((O354/G354-1)*100),"NA",IF(((O354/G354-1)*100)&gt;100,"NM",IF(((O354/G354-1)*100)&lt;-50,"NM",(O354/G354-1)*100)))</f>
        <v>NA</v>
      </c>
      <c r="Q354" s="174">
        <v>0</v>
      </c>
      <c r="R354" s="79" t="str">
        <f>IF(ISERROR((Q354/I354-1)*100),"NA",IF(((Q354/I354-1)*100)&gt;100,"NM",IF(((Q354/I354-1)*100)&lt;-50,"NM",(Q354/I354-1)*100)))</f>
        <v>NA</v>
      </c>
      <c r="S354" s="174">
        <v>0</v>
      </c>
      <c r="T354" s="79" t="str">
        <f>IF(ISERROR((S354/K354-1)*100),"NA",IF(((S354/K354-1)*100)&gt;100,"NM",IF(((S354/K354-1)*100)&lt;-50,"NM",(S354/K354-1)*100)))</f>
        <v>NA</v>
      </c>
      <c r="U354" s="174">
        <v>0</v>
      </c>
      <c r="V354" s="79" t="str">
        <f>IF(ISERROR((U354/M354-1)*100),"NA",IF(((U354/M354-1)*100)&gt;100,"NM",IF(((U354/M354-1)*100)&lt;-50,"NM",(U354/M354-1)*100)))</f>
        <v>NA</v>
      </c>
      <c r="W354" s="174">
        <v>0</v>
      </c>
      <c r="X354" s="79" t="str">
        <f>IF(ISERROR((W354/O354-1)*100),"NA",IF(((W354/O354-1)*100)&gt;100,"NM",IF(((W354/O354-1)*100)&lt;-50,"NM",(W354/O354-1)*100)))</f>
        <v>NA</v>
      </c>
      <c r="Y354" s="174">
        <v>0</v>
      </c>
      <c r="Z354" s="79" t="str">
        <f>IF(ISERROR((Y354/Q354-1)*100),"NA",IF(((Y354/Q354-1)*100)&gt;100,"NM",IF(((Y354/Q354-1)*100)&lt;-50,"NM",(Y354/Q354-1)*100)))</f>
        <v>NA</v>
      </c>
      <c r="AA354" s="259">
        <v>0</v>
      </c>
      <c r="AB354" s="79" t="str">
        <f>IF(ISERROR((AA354/S354-1)*100),"NA",IF(((AA354/S354-1)*100)&gt;100,"NM",IF(((AA354/S354-1)*100)&lt;-50,"NM",(AA354/S354-1)*100)))</f>
        <v>NA</v>
      </c>
      <c r="AC354" s="174">
        <v>0</v>
      </c>
      <c r="AD354" s="79" t="str">
        <f>IF(ISERROR((AC354/U354-1)*100),"NA",IF(((AC354/U354-1)*100)&gt;100,"NM",IF(((AC354/U354-1)*100)&lt;-50,"NM",(AC354/U354-1)*100)))</f>
        <v>NA</v>
      </c>
      <c r="AE354" s="174">
        <v>0</v>
      </c>
      <c r="AF354" s="79" t="str">
        <f>IF(ISERROR((AE354/W354-1)*100),"NA",IF(((AE354/W354-1)*100)&gt;100,"NM",IF(((AE354/W354-1)*100)&lt;-50,"NM",(AE354/W354-1)*100)))</f>
        <v>NA</v>
      </c>
      <c r="AG354" s="174">
        <v>0</v>
      </c>
      <c r="AH354" s="79" t="str">
        <f>IF(ISERROR((AG354/Y354-1)*100),"NA",IF(((AG354/Y354-1)*100)&gt;100,"NM",IF(((AG354/Y354-1)*100)&lt;-50,"NM",(AG354/Y354-1)*100)))</f>
        <v>NA</v>
      </c>
      <c r="AI354" s="174">
        <v>0</v>
      </c>
      <c r="AJ354" s="79" t="str">
        <f>IF(ISERROR((AI354/AA354-1)*100),"NA",IF(((AI354/AA354-1)*100)&gt;100,"NM",IF(((AI354/AA354-1)*100)&lt;-50,"NM",(AI354/AA354-1)*100)))</f>
        <v>NA</v>
      </c>
      <c r="AK354" s="174">
        <v>32</v>
      </c>
      <c r="AL354" s="79" t="str">
        <f>IF(ISERROR((AK354/AC354-1)*100),"NA",IF(((AK354/AC354-1)*100)&gt;100,"NM",IF(((AK354/AC354-1)*100)&lt;-50,"NM",(AK354/AC354-1)*100)))</f>
        <v>NA</v>
      </c>
      <c r="AM354" s="174">
        <v>0</v>
      </c>
      <c r="AN354" s="79" t="str">
        <f>IF(ISERROR((AM354/AE354-1)*100),"NA",IF(((AM354/AE354-1)*100)&gt;100,"NM",IF(((AM354/AE354-1)*100)&lt;-50,"NM",(AM354/AE354-1)*100)))</f>
        <v>NA</v>
      </c>
      <c r="AO354" s="174">
        <v>0</v>
      </c>
      <c r="AP354" s="79" t="str">
        <f>IF(ISERROR((AO354/AG354-1)*100),"NA",IF(((AO354/AG354-1)*100)&gt;100,"NM",IF(((AO354/AG354-1)*100)&lt;-50,"NM",(AO354/AG354-1)*100)))</f>
        <v>NA</v>
      </c>
      <c r="AQ354" s="174">
        <v>-9.1</v>
      </c>
      <c r="AR354" s="79" t="str">
        <f>IF(ISERROR((AQ354/AI354-1)*100),"NA",IF(((AQ354/AI354-1)*100)&gt;100,"NM",IF(((AQ354/AI354-1)*100)&lt;-50,"NM",(AQ354/AI354-1)*100)))</f>
        <v>NA</v>
      </c>
      <c r="AS354" s="260">
        <v>0</v>
      </c>
      <c r="AT354" s="81" t="str">
        <f>IF(ISERROR((AS354/AK354-1)*100),"NA",IF(((AS354/AK354-1)*100)&gt;100,"NM",IF(((AS354/AK354-1)*100)&lt;-50,"NM",(AS354/AK354-1)*100)))</f>
        <v>NM</v>
      </c>
      <c r="AU354" s="260">
        <v>0</v>
      </c>
      <c r="AV354" s="81" t="str">
        <f>IF(ISERROR((AU354/AM354-1)*100),"NA",IF(((AU354/AM354-1)*100)&gt;100,"NM",IF(((AU354/AM354-1)*100)&lt;-50,"NM",(AU354/AM354-1)*100)))</f>
        <v>NA</v>
      </c>
      <c r="AW354" s="260">
        <v>0</v>
      </c>
      <c r="AX354" s="81" t="str">
        <f>IF(ISERROR((AW354/AO354-1)*100),"NA",IF(((AW354/AO354-1)*100)&gt;100,"NM",IF(((AW354/AO354-1)*100)&lt;-50,"NM",(AW354/AO354-1)*100)))</f>
        <v>NA</v>
      </c>
      <c r="AY354" s="260">
        <v>-6</v>
      </c>
      <c r="AZ354" s="81">
        <f>IF(ISERROR((AY354/AQ354-1)*100),"NA",IF(((AY354/AQ354-1)*100)&gt;100,"NM",IF(((AY354/AQ354-1)*100)&lt;-50,"NM",(AY354/AQ354-1)*100)))</f>
        <v>-34.065934065934066</v>
      </c>
      <c r="BA354" s="260">
        <v>0</v>
      </c>
      <c r="BB354" s="81" t="str">
        <f>IF(ISERROR((BA354/AS354-1)*100),"NA",IF(((BA354/AS354-1)*100)&gt;100,"NM",IF(((BA354/AS354-1)*100)&lt;-50,"NM",(BA354/AS354-1)*100)))</f>
        <v>NA</v>
      </c>
      <c r="BC354" s="260">
        <v>0</v>
      </c>
      <c r="BD354" s="81" t="str">
        <f>IF(ISERROR((BC354/AU354-1)*100),"NA",IF(((BC354/AU354-1)*100)&gt;100,"NM",IF(((BC354/AU354-1)*100)&lt;-50,"NM",(BC354/AU354-1)*100)))</f>
        <v>NA</v>
      </c>
      <c r="BE354" s="260">
        <v>0</v>
      </c>
      <c r="BF354" s="81" t="str">
        <f>IF(ISERROR((BE354/AW354-1)*100),"NA",IF(((BE354/AW354-1)*100)&gt;100,"NM",IF(((BE354/AW354-1)*100)&lt;-50,"NM",(BE354/AW354-1)*100)))</f>
        <v>NA</v>
      </c>
      <c r="BG354" s="260">
        <v>0</v>
      </c>
      <c r="BH354" s="81" t="str">
        <f>IF(ISERROR((BG354/AY354-1)*100),"NA",IF(((BG354/AY354-1)*100)&gt;100,"NM",IF(((BG354/AY354-1)*100)&lt;-50,"NM",(BG354/AY354-1)*100)))</f>
        <v>NM</v>
      </c>
      <c r="BI354" s="260">
        <v>0</v>
      </c>
      <c r="BJ354" s="81" t="str">
        <f>IF(ISERROR((BI354/BA354-1)*100),"NA",IF(((BI354/BA354-1)*100)&gt;100,"NM",IF(((BI354/BA354-1)*100)&lt;-50,"NM",(BI354/BA354-1)*100)))</f>
        <v>NA</v>
      </c>
      <c r="BK354" s="260">
        <v>0</v>
      </c>
      <c r="BL354" s="81" t="str">
        <f>IF(ISERROR((BK354/BC354-1)*100),"NA",IF(((BK354/BC354-1)*100)&gt;100,"NM",IF(((BK354/BC354-1)*100)&lt;-50,"NM",(BK354/BC354-1)*100)))</f>
        <v>NA</v>
      </c>
      <c r="BM354" s="260">
        <v>0</v>
      </c>
      <c r="BN354" s="81" t="str">
        <f>IF(ISERROR((BM354/BE354-1)*100),"NA",IF(((BM354/BE354-1)*100)&gt;100,"NM",IF(((BM354/BE354-1)*100)&lt;-50,"NM",(BM354/BE354-1)*100)))</f>
        <v>NA</v>
      </c>
      <c r="BO354" s="260"/>
      <c r="BP354" s="81"/>
      <c r="BQ354" s="260"/>
      <c r="BR354" s="81"/>
      <c r="BS354" s="260"/>
      <c r="BT354" s="81"/>
      <c r="BU354" s="260"/>
      <c r="BV354" s="81"/>
      <c r="BW354" s="260"/>
      <c r="BX354" s="81"/>
      <c r="BY354" s="260"/>
      <c r="BZ354" s="81"/>
      <c r="CA354" s="260"/>
      <c r="CB354" s="81"/>
      <c r="CC354" s="260"/>
      <c r="CD354" s="81"/>
      <c r="CE354" s="260"/>
      <c r="CF354" s="81"/>
      <c r="CG354" s="432"/>
      <c r="CH354" s="81"/>
      <c r="CI354" s="432"/>
      <c r="CJ354" s="81"/>
      <c r="CK354" s="432"/>
      <c r="CL354" s="81"/>
      <c r="CM354" s="432"/>
      <c r="CN354" s="81"/>
      <c r="CO354" s="260"/>
      <c r="CP354" s="81"/>
      <c r="CQ354" s="260"/>
      <c r="CR354" s="81"/>
      <c r="CS354" s="260"/>
      <c r="CT354" s="81"/>
      <c r="CU354" s="260"/>
      <c r="CV354" s="81"/>
      <c r="CW354" s="260"/>
      <c r="CX354" s="81"/>
      <c r="CY354" s="260"/>
      <c r="CZ354" s="81"/>
      <c r="DA354" s="260"/>
      <c r="DB354" s="81"/>
      <c r="DC354" s="260"/>
      <c r="DD354" s="81"/>
      <c r="DE354" s="260"/>
      <c r="DF354" s="81"/>
      <c r="DG354" s="260"/>
      <c r="DH354" s="81"/>
      <c r="DI354" s="260"/>
      <c r="DJ354" s="81"/>
      <c r="DK354" s="260"/>
      <c r="DL354" s="81"/>
      <c r="DM354" s="260"/>
      <c r="DN354" s="81"/>
      <c r="DO354" s="260"/>
      <c r="DP354" s="81"/>
      <c r="DQ354" s="260"/>
      <c r="DR354" s="81"/>
      <c r="DS354" s="260"/>
      <c r="DT354" s="81"/>
      <c r="DU354" s="260"/>
      <c r="DV354" s="81"/>
      <c r="DW354" s="260"/>
      <c r="DX354" s="81"/>
      <c r="DY354" s="260"/>
      <c r="DZ354" s="81"/>
      <c r="EA354" s="260"/>
      <c r="EB354" s="81"/>
      <c r="EC354" s="260"/>
      <c r="ED354" s="81"/>
      <c r="EE354" s="260"/>
      <c r="EF354" s="81"/>
      <c r="EG354" s="260"/>
      <c r="EH354" s="81"/>
      <c r="EI354" s="260"/>
      <c r="EJ354" s="81"/>
      <c r="EK354" s="260"/>
      <c r="EL354" s="81"/>
      <c r="EM354" s="260"/>
      <c r="EN354" s="81"/>
      <c r="EO354" s="260"/>
      <c r="EP354" s="81"/>
      <c r="EQ354" s="260"/>
      <c r="ER354" s="81"/>
      <c r="ES354" s="174"/>
      <c r="ET354" s="473"/>
      <c r="EU354" s="174"/>
      <c r="EV354" s="175"/>
      <c r="EW354" s="176"/>
      <c r="EX354" s="175"/>
      <c r="EY354" s="176"/>
      <c r="EZ354" s="175"/>
      <c r="FA354" s="176"/>
      <c r="FB354" s="175">
        <f>M354+O354+Q354+K354</f>
        <v>0</v>
      </c>
      <c r="FC354" s="176" t="str">
        <f>IF(ISERROR((FB354/EZ354-1)*100),"NA",IF(((FB354/EZ354-1)*100)&gt;100,"NM",IF(((FB354/EZ354-1)*100)&lt;-50,"NM",(FB354/EZ354-1)*100)))</f>
        <v>NA</v>
      </c>
      <c r="FD354" s="175">
        <f>O354+Q354+S354+M354</f>
        <v>0</v>
      </c>
      <c r="FE354" s="176" t="str">
        <f>IF(ISERROR((FD354/FB354-1)*100),"NA",IF(((FD354/FB354-1)*100)&gt;100,"NM",IF(((FD354/FB354-1)*100)&lt;-50,"NM",(FD354/FB354-1)*100)))</f>
        <v>NA</v>
      </c>
      <c r="FF354" s="175">
        <f>U354+W354+Y354+AA354</f>
        <v>0</v>
      </c>
      <c r="FG354" s="176" t="str">
        <f>IF(ISERROR((FF354/FD354-1)*100),"NA",IF(((FF354/FD354-1)*100)&gt;100,"NM",IF(((FF354/FD354-1)*100)&lt;-50,"NM",(FF354/FD354-1)*100)))</f>
        <v>NA</v>
      </c>
      <c r="FH354" s="175">
        <f>AC354+AE354+AG354+AI354</f>
        <v>0</v>
      </c>
      <c r="FI354" s="176" t="str">
        <f>IF(ISERROR((FH354/FF354-1)*100),"NA",IF(((FH354/FF354-1)*100)&gt;100,"NM",IF(((FH354/FF354-1)*100)&lt;-50,"NM",(FH354/FF354-1)*100)))</f>
        <v>NA</v>
      </c>
      <c r="FJ354" s="175">
        <f>AK354+AM354+AO354+AQ354</f>
        <v>22.9</v>
      </c>
      <c r="FK354" s="176" t="str">
        <f>IF(ISERROR((FJ354/FH354-1)*100),"NA",IF(((FJ354/FH354-1)*100)&gt;100,"NM",IF(((FJ354/FH354-1)*100)&lt;-50,"NM",(FJ354/FH354-1)*100)))</f>
        <v>NA</v>
      </c>
      <c r="FL354" s="175">
        <f>AS354+AU354+AW354+AY354</f>
        <v>-6</v>
      </c>
      <c r="FM354" s="176" t="str">
        <f>IF(ISERROR((FL354/FJ354-1)*100),"NA",IF(((FL354/FJ354-1)*100)&gt;100,"NM",IF(((FL354/FJ354-1)*100)&lt;-50,"NM",(FL354/FJ354-1)*100)))</f>
        <v>NM</v>
      </c>
      <c r="FN354" s="175">
        <f>BA354+BC354+BE354+BG354</f>
        <v>0</v>
      </c>
      <c r="FO354" s="176" t="str">
        <f>IF(ISERROR((FN354/FL354-1)*100),"NA",IF(((FN354/FL354-1)*100)&gt;100,"NM",IF(((FN354/FL354-1)*100)&lt;-50,"NM",(FN354/FL354-1)*100)))</f>
        <v>NM</v>
      </c>
      <c r="FP354" s="433">
        <f>BI354+BK354+BM354+BO354</f>
        <v>0</v>
      </c>
      <c r="FQ354" s="176" t="str">
        <f>IF(ISERROR((FP354/FN354-1)*100),"NA",IF(((FP354/FN354-1)*100)&gt;100,"NM",IF(((FP354/FN354-1)*100)&lt;-50,"NM",(FP354/FN354-1)*100)))</f>
        <v>NA</v>
      </c>
      <c r="FR354" s="292"/>
      <c r="FS354" s="176" t="str">
        <f>IF(ISERROR((FR354/FP354-1)*100),"NA",IF(((FR354/FP354-1)*100)&gt;100,"NM",IF(((FR354/FP354-1)*100)&lt;-50,"NM",(FR354/FP354-1)*100)))</f>
        <v>NA</v>
      </c>
      <c r="FT354" s="292"/>
      <c r="FU354" s="176" t="str">
        <f>IF(ISERROR((FT354/FR354-1)*100),"NA",IF(((FT354/FR354-1)*100)&gt;100,"NM",IF(((FT354/FR354-1)*100)&lt;-50,"NM",(FT354/FR354-1)*100)))</f>
        <v>NA</v>
      </c>
      <c r="FV354" s="292"/>
      <c r="FW354" s="176" t="str">
        <f>IF(ISERROR((FV354/FT354-1)*100),"NA",IF(((FV354/FT354-1)*100)&gt;100,"NM",IF(((FV354/FT354-1)*100)&lt;-50,"NM",(FV354/FT354-1)*100)))</f>
        <v>NA</v>
      </c>
      <c r="FX354" s="292"/>
      <c r="FY354" s="176" t="str">
        <f>IF(ISERROR((FX354/FV354-1)*100),"NA",IF(((FX354/FV354-1)*100)&gt;100,"NM",IF(((FX354/FV354-1)*100)&lt;-50,"NM",(FX354/FV354-1)*100)))</f>
        <v>NA</v>
      </c>
      <c r="FZ354" s="292"/>
      <c r="GA354" s="176" t="str">
        <f>IF(ISERROR((FZ354/FX354-1)*100),"NA",IF(((FZ354/FX354-1)*100)&gt;100,"NM",IF(((FZ354/FX354-1)*100)&lt;-50,"NM",(FZ354/FX354-1)*100)))</f>
        <v>NA</v>
      </c>
      <c r="GB354" s="292"/>
      <c r="GC354" s="176" t="str">
        <f>IF(ISERROR((GB354/FZ354-1)*100),"NA",IF(((GB354/FZ354-1)*100)&gt;100,"NM",IF(((GB354/FZ354-1)*100)&lt;-50,"NM",(GB354/FZ354-1)*100)))</f>
        <v>NA</v>
      </c>
      <c r="GD354" s="292"/>
      <c r="GE354" s="176" t="str">
        <f>IF(ISERROR((GD354/GB354-1)*100),"NA",IF(((GD354/GB354-1)*100)&gt;100,"NM",IF(((GD354/GB354-1)*100)&lt;-50,"NM",(GD354/GB354-1)*100)))</f>
        <v>NA</v>
      </c>
      <c r="GF354" s="292"/>
      <c r="GG354" s="176" t="str">
        <f>IF(ISERROR((GF354/GD354-1)*100),"NA",IF(((GF354/GD354-1)*100)&gt;100,"NM",IF(((GF354/GD354-1)*100)&lt;-50,"NM",(GF354/GD354-1)*100)))</f>
        <v>NA</v>
      </c>
      <c r="GH354" s="292"/>
      <c r="GI354" s="176" t="str">
        <f>IF(ISERROR((GH354/GF354-1)*100),"NA",IF(((GH354/GF354-1)*100)&gt;100,"NM",IF(((GH354/GF354-1)*100)&lt;-50,"NM",(GH354/GF354-1)*100)))</f>
        <v>NA</v>
      </c>
      <c r="GJ354" s="292"/>
      <c r="GK354" s="176" t="str">
        <f>IF(ISERROR((GJ354/GH354-1)*100),"NA",IF(((GJ354/GH354-1)*100)&gt;100,"NM",IF(((GJ354/GH354-1)*100)&lt;-50,"NM",(GJ354/GH354-1)*100)))</f>
        <v>NA</v>
      </c>
      <c r="GL354" s="260"/>
      <c r="GM354" s="176" t="str">
        <f>IF(ISERROR((GL354/GJ354-1)*100),"NA",IF(((GL354/GJ354-1)*100)&gt;100,"NM",IF(((GL354/GJ354-1)*100)&lt;-50,"NM",(GL354/GJ354-1)*100)))</f>
        <v>NA</v>
      </c>
      <c r="GN354" s="260"/>
      <c r="GO354" s="176" t="str">
        <f>IF(ISERROR((GN354/GL354-1)*100),"NA",IF(((GN354/GL354-1)*100)&gt;100,"NM",IF(((GN354/GL354-1)*100)&lt;-50,"NM",(GN354/GL354-1)*100)))</f>
        <v>NA</v>
      </c>
      <c r="GP354" s="260"/>
      <c r="GQ354" s="176" t="str">
        <f>IF(ISERROR((GP354/GN354-1)*100),"NA",IF(((GP354/GN354-1)*100)&gt;100,"NM",IF(((GP354/GN354-1)*100)&lt;-50,"NM",(GP354/GN354-1)*100)))</f>
        <v>NA</v>
      </c>
      <c r="GR354" s="260"/>
      <c r="GS354" s="176" t="str">
        <f>IF(ISERROR((GR354/GP354-1)*100),"NA",IF(((GR354/GP354-1)*100)&gt;100,"NM",IF(((GR354/GP354-1)*100)&lt;-50,"NM",(GR354/GP354-1)*100)))</f>
        <v>NA</v>
      </c>
      <c r="GT354" s="79"/>
    </row>
    <row r="355" spans="1:202" ht="12.75" hidden="1" customHeight="1" outlineLevel="1" x14ac:dyDescent="0.2">
      <c r="A355" s="1"/>
      <c r="B355" s="68" t="s">
        <v>474</v>
      </c>
      <c r="C355" s="79"/>
      <c r="D355" s="79"/>
      <c r="E355" s="178">
        <f>E352-E354</f>
        <v>-45</v>
      </c>
      <c r="F355" s="171"/>
      <c r="G355" s="178">
        <f>G352-G354</f>
        <v>-41.9</v>
      </c>
      <c r="H355" s="171"/>
      <c r="I355" s="178">
        <f>I352-I354</f>
        <v>-60.4</v>
      </c>
      <c r="J355" s="171"/>
      <c r="K355" s="178">
        <f>K352-K354</f>
        <v>-45</v>
      </c>
      <c r="L355" s="140"/>
      <c r="M355" s="178">
        <f>M352-M354</f>
        <v>-29.2</v>
      </c>
      <c r="N355" s="79">
        <f>IF(ISERROR((M355/E355-1)*100),"NA",IF(((M355/E355-1)*100)&gt;100,"NM",IF(((M355/E355-1)*100)&lt;-50,"NM",(M355/E355-1)*100)))</f>
        <v>-35.111111111111114</v>
      </c>
      <c r="O355" s="178">
        <f>O352-O354</f>
        <v>-39.9</v>
      </c>
      <c r="P355" s="79">
        <f>IF(ISERROR((O355/G355-1)*100),"NA",IF(((O355/G355-1)*100)&gt;100,"NM",IF(((O355/G355-1)*100)&lt;-50,"NM",(O355/G355-1)*100)))</f>
        <v>-4.7732696897374698</v>
      </c>
      <c r="Q355" s="178">
        <f>Q352-Q354</f>
        <v>-34.9</v>
      </c>
      <c r="R355" s="79">
        <f>IF(ISERROR((Q355/I355-1)*100),"NA",IF(((Q355/I355-1)*100)&gt;100,"NM",IF(((Q355/I355-1)*100)&lt;-50,"NM",(Q355/I355-1)*100)))</f>
        <v>-42.218543046357617</v>
      </c>
      <c r="S355" s="178">
        <f>S352-S354</f>
        <v>-51</v>
      </c>
      <c r="T355" s="79">
        <f>IF(ISERROR((S355/K355-1)*100),"NA",IF(((S355/K355-1)*100)&gt;100,"NM",IF(((S355/K355-1)*100)&lt;-50,"NM",(S355/K355-1)*100)))</f>
        <v>13.33333333333333</v>
      </c>
      <c r="U355" s="178">
        <f>U352-U354</f>
        <v>-54.400000000000006</v>
      </c>
      <c r="V355" s="79">
        <f>IF(ISERROR((U355/M355-1)*100),"NA",IF(((U355/M355-1)*100)&gt;100,"NM",IF(((U355/M355-1)*100)&lt;-50,"NM",(U355/M355-1)*100)))</f>
        <v>86.301369863013733</v>
      </c>
      <c r="W355" s="178">
        <f>W352-W354</f>
        <v>-45.2</v>
      </c>
      <c r="X355" s="79">
        <f>IF(ISERROR((W355/O355-1)*100),"NA",IF(((W355/O355-1)*100)&gt;100,"NM",IF(((W355/O355-1)*100)&lt;-50,"NM",(W355/O355-1)*100)))</f>
        <v>13.283208020050141</v>
      </c>
      <c r="Y355" s="178">
        <f>Y352-Y354</f>
        <v>-47.3</v>
      </c>
      <c r="Z355" s="79">
        <f>IF(ISERROR((Y355/Q355-1)*100),"NA",IF(((Y355/Q355-1)*100)&gt;100,"NM",IF(((Y355/Q355-1)*100)&lt;-50,"NM",(Y355/Q355-1)*100)))</f>
        <v>35.530085959885383</v>
      </c>
      <c r="AA355" s="227">
        <f>AA352-AA354</f>
        <v>-46.599999999999994</v>
      </c>
      <c r="AB355" s="79">
        <f>IF(ISERROR((AA355/S355-1)*100),"NA",IF(((AA355/S355-1)*100)&gt;100,"NM",IF(((AA355/S355-1)*100)&lt;-50,"NM",(AA355/S355-1)*100)))</f>
        <v>-8.6274509803921706</v>
      </c>
      <c r="AC355" s="178">
        <f>AC352-AC354</f>
        <v>-46.7</v>
      </c>
      <c r="AD355" s="79">
        <f>IF(ISERROR((AC355/U355-1)*100),"NA",IF(((AC355/U355-1)*100)&gt;100,"NM",IF(((AC355/U355-1)*100)&lt;-50,"NM",(AC355/U355-1)*100)))</f>
        <v>-14.154411764705888</v>
      </c>
      <c r="AE355" s="178">
        <f>AE352-AE354</f>
        <v>-30.7</v>
      </c>
      <c r="AF355" s="79">
        <f>IF(ISERROR((AE355/W355-1)*100),"NA",IF(((AE355/W355-1)*100)&gt;100,"NM",IF(((AE355/W355-1)*100)&lt;-50,"NM",(AE355/W355-1)*100)))</f>
        <v>-32.079646017699126</v>
      </c>
      <c r="AG355" s="178">
        <f>AG352-AG354</f>
        <v>-44.8</v>
      </c>
      <c r="AH355" s="79">
        <f>IF(ISERROR((AG355/Y355-1)*100),"NA",IF(((AG355/Y355-1)*100)&gt;100,"NM",IF(((AG355/Y355-1)*100)&lt;-50,"NM",(AG355/Y355-1)*100)))</f>
        <v>-5.2854122621564521</v>
      </c>
      <c r="AI355" s="178">
        <f>AI352-AI354</f>
        <v>-31.5</v>
      </c>
      <c r="AJ355" s="79">
        <f>IF(ISERROR((AI355/AA355-1)*100),"NA",IF(((AI355/AA355-1)*100)&gt;100,"NM",IF(((AI355/AA355-1)*100)&lt;-50,"NM",(AI355/AA355-1)*100)))</f>
        <v>-32.403433476394838</v>
      </c>
      <c r="AK355" s="178">
        <f>AK352-AK354</f>
        <v>-71.199999999999989</v>
      </c>
      <c r="AL355" s="79">
        <f>IF(ISERROR((AK355/AC355-1)*100),"NA",IF(((AK355/AC355-1)*100)&gt;100,"NM",IF(((AK355/AC355-1)*100)&lt;-50,"NM",(AK355/AC355-1)*100)))</f>
        <v>52.462526766595261</v>
      </c>
      <c r="AM355" s="178">
        <f>AM352-AM354</f>
        <v>-37.599999999999994</v>
      </c>
      <c r="AN355" s="79">
        <f>IF(ISERROR((AM355/AE355-1)*100),"NA",IF(((AM355/AE355-1)*100)&gt;100,"NM",IF(((AM355/AE355-1)*100)&lt;-50,"NM",(AM355/AE355-1)*100)))</f>
        <v>22.475570032573277</v>
      </c>
      <c r="AO355" s="178">
        <f>AO352-AO354</f>
        <v>-33</v>
      </c>
      <c r="AP355" s="79">
        <f>IF(ISERROR((AO355/AG355-1)*100),"NA",IF(((AO355/AG355-1)*100)&gt;100,"NM",IF(((AO355/AG355-1)*100)&lt;-50,"NM",(AO355/AG355-1)*100)))</f>
        <v>-26.339285714285708</v>
      </c>
      <c r="AQ355" s="178">
        <f>AQ352-AQ354</f>
        <v>-33.9</v>
      </c>
      <c r="AR355" s="79">
        <f>IF(ISERROR((AQ355/AI355-1)*100),"NA",IF(((AQ355/AI355-1)*100)&gt;100,"NM",IF(((AQ355/AI355-1)*100)&lt;-50,"NM",(AQ355/AI355-1)*100)))</f>
        <v>7.6190476190476142</v>
      </c>
      <c r="AS355" s="293">
        <f>AS352-AS354</f>
        <v>-32.9</v>
      </c>
      <c r="AT355" s="81" t="str">
        <f>IF(ISERROR((AS355/AK355-1)*100),"NA",IF(((AS355/AK355-1)*100)&gt;100,"NM",IF(((AS355/AK355-1)*100)&lt;-50,"NM",(AS355/AK355-1)*100)))</f>
        <v>NM</v>
      </c>
      <c r="AU355" s="293">
        <f>AU352-AU354</f>
        <v>-35.900000000000006</v>
      </c>
      <c r="AV355" s="81">
        <f>IF(ISERROR((AU355/AM355-1)*100),"NA",IF(((AU355/AM355-1)*100)&gt;100,"NM",IF(((AU355/AM355-1)*100)&lt;-50,"NM",(AU355/AM355-1)*100)))</f>
        <v>-4.5212765957446504</v>
      </c>
      <c r="AW355" s="293">
        <f>AW352-AW354</f>
        <v>-30.6</v>
      </c>
      <c r="AX355" s="81">
        <f>IF(ISERROR((AW355/AO355-1)*100),"NA",IF(((AW355/AO355-1)*100)&gt;100,"NM",IF(((AW355/AO355-1)*100)&lt;-50,"NM",(AW355/AO355-1)*100)))</f>
        <v>-7.2727272727272645</v>
      </c>
      <c r="AY355" s="293">
        <f>AY352-AY354</f>
        <v>-32.299999999999997</v>
      </c>
      <c r="AZ355" s="81">
        <f>IF(ISERROR((AY355/AQ355-1)*100),"NA",IF(((AY355/AQ355-1)*100)&gt;100,"NM",IF(((AY355/AQ355-1)*100)&lt;-50,"NM",(AY355/AQ355-1)*100)))</f>
        <v>-4.71976401179941</v>
      </c>
      <c r="BA355" s="293">
        <f>BA352-BA354</f>
        <v>-39.6</v>
      </c>
      <c r="BB355" s="81">
        <f>IF(ISERROR((BA355/AS355-1)*100),"NA",IF(((BA355/AS355-1)*100)&gt;100,"NM",IF(((BA355/AS355-1)*100)&lt;-50,"NM",(BA355/AS355-1)*100)))</f>
        <v>20.364741641337393</v>
      </c>
      <c r="BC355" s="293">
        <f>BC352-BC354</f>
        <v>-59</v>
      </c>
      <c r="BD355" s="81">
        <f>IF(ISERROR((BC355/AU355-1)*100),"NA",IF(((BC355/AU355-1)*100)&gt;100,"NM",IF(((BC355/AU355-1)*100)&lt;-50,"NM",(BC355/AU355-1)*100)))</f>
        <v>64.345403899721433</v>
      </c>
      <c r="BE355" s="293">
        <f>BE352-BE354</f>
        <v>-35.700000000000003</v>
      </c>
      <c r="BF355" s="81">
        <f>IF(ISERROR((BE355/AW355-1)*100),"NA",IF(((BE355/AW355-1)*100)&gt;100,"NM",IF(((BE355/AW355-1)*100)&lt;-50,"NM",(BE355/AW355-1)*100)))</f>
        <v>16.666666666666675</v>
      </c>
      <c r="BG355" s="293">
        <f>BG352-BG354</f>
        <v>-33.299999999999997</v>
      </c>
      <c r="BH355" s="81">
        <f>IF(ISERROR((BG355/AY355-1)*100),"NA",IF(((BG355/AY355-1)*100)&gt;100,"NM",IF(((BG355/AY355-1)*100)&lt;-50,"NM",(BG355/AY355-1)*100)))</f>
        <v>3.0959752321981338</v>
      </c>
      <c r="BI355" s="293">
        <f>BI352-BI354</f>
        <v>-21.599999999999998</v>
      </c>
      <c r="BJ355" s="81">
        <f t="shared" ref="BJ355:BJ379" si="1097">IF(ISERROR((BI355/BA355-1)*100),"NA",IF(((BI355/BA355-1)*100)&gt;100,"NM",IF(((BI355/BA355-1)*100)&lt;-50,"NM",(BI355/BA355-1)*100)))</f>
        <v>-45.45454545454546</v>
      </c>
      <c r="BK355" s="293">
        <f>BK352-BK354</f>
        <v>-30.800000000000004</v>
      </c>
      <c r="BL355" s="81">
        <f>IF(ISERROR((BK355/BC355-1)*100),"NA",IF(((BK355/BC355-1)*100)&gt;100,"NM",IF(((BK355/BC355-1)*100)&lt;-50,"NM",(BK355/BC355-1)*100)))</f>
        <v>-47.796610169491515</v>
      </c>
      <c r="BM355" s="293">
        <f>BM352-BM354</f>
        <v>-30.300000000000004</v>
      </c>
      <c r="BN355" s="81">
        <f>IF(ISERROR((BM355/BE355-1)*100),"NA",IF(((BM355/BE355-1)*100)&gt;100,"NM",IF(((BM355/BE355-1)*100)&lt;-50,"NM",(BM355/BE355-1)*100)))</f>
        <v>-15.126050420168058</v>
      </c>
      <c r="BO355" s="293"/>
      <c r="BP355" s="81"/>
      <c r="BQ355" s="293"/>
      <c r="BR355" s="81"/>
      <c r="BS355" s="293"/>
      <c r="BT355" s="81"/>
      <c r="BU355" s="293"/>
      <c r="BV355" s="81"/>
      <c r="BW355" s="293"/>
      <c r="BX355" s="81"/>
      <c r="BY355" s="293"/>
      <c r="BZ355" s="81"/>
      <c r="CA355" s="293"/>
      <c r="CB355" s="81"/>
      <c r="CC355" s="293"/>
      <c r="CD355" s="81"/>
      <c r="CE355" s="293"/>
      <c r="CF355" s="81"/>
      <c r="CG355" s="293"/>
      <c r="CH355" s="81"/>
      <c r="CI355" s="293"/>
      <c r="CJ355" s="81"/>
      <c r="CK355" s="293"/>
      <c r="CL355" s="81"/>
      <c r="CM355" s="293"/>
      <c r="CN355" s="81"/>
      <c r="CO355" s="293"/>
      <c r="CP355" s="81"/>
      <c r="CQ355" s="293"/>
      <c r="CR355" s="81"/>
      <c r="CS355" s="293"/>
      <c r="CT355" s="81"/>
      <c r="CU355" s="293"/>
      <c r="CV355" s="81"/>
      <c r="CW355" s="293"/>
      <c r="CX355" s="81"/>
      <c r="CY355" s="293"/>
      <c r="CZ355" s="81"/>
      <c r="DA355" s="293"/>
      <c r="DB355" s="81"/>
      <c r="DC355" s="293"/>
      <c r="DD355" s="81"/>
      <c r="DE355" s="293"/>
      <c r="DF355" s="81"/>
      <c r="DG355" s="293"/>
      <c r="DH355" s="81"/>
      <c r="DI355" s="293"/>
      <c r="DJ355" s="81"/>
      <c r="DK355" s="293"/>
      <c r="DL355" s="81"/>
      <c r="DM355" s="293"/>
      <c r="DN355" s="81"/>
      <c r="DO355" s="293"/>
      <c r="DP355" s="81"/>
      <c r="DQ355" s="293"/>
      <c r="DR355" s="81"/>
      <c r="DS355" s="293"/>
      <c r="DT355" s="81"/>
      <c r="DU355" s="293"/>
      <c r="DV355" s="81"/>
      <c r="DW355" s="293"/>
      <c r="DX355" s="81"/>
      <c r="DY355" s="293"/>
      <c r="DZ355" s="81"/>
      <c r="EA355" s="293"/>
      <c r="EB355" s="81"/>
      <c r="EC355" s="293"/>
      <c r="ED355" s="81"/>
      <c r="EE355" s="293"/>
      <c r="EF355" s="81"/>
      <c r="EG355" s="293"/>
      <c r="EH355" s="81"/>
      <c r="EI355" s="293"/>
      <c r="EJ355" s="81"/>
      <c r="EK355" s="293"/>
      <c r="EL355" s="81"/>
      <c r="EM355" s="293"/>
      <c r="EN355" s="81"/>
      <c r="EO355" s="293"/>
      <c r="EP355" s="81"/>
      <c r="EQ355" s="293"/>
      <c r="ER355" s="81"/>
      <c r="ES355" s="82"/>
      <c r="ET355" s="465"/>
      <c r="EU355" s="82"/>
      <c r="EV355" s="171"/>
      <c r="EW355" s="79"/>
      <c r="EX355" s="171"/>
      <c r="EY355" s="79"/>
      <c r="EZ355" s="171"/>
      <c r="FA355" s="79"/>
      <c r="FB355" s="178">
        <f>FB352-FB354</f>
        <v>-192.29999999999998</v>
      </c>
      <c r="FC355" s="79" t="str">
        <f>IF(ISERROR((FB355/EZ355-1)*100),"NA",IF(((FB355/EZ355-1)*100)&gt;100,"NM",IF(((FB355/EZ355-1)*100)&lt;-50,"NM",(FB355/EZ355-1)*100)))</f>
        <v>NA</v>
      </c>
      <c r="FD355" s="178">
        <f>FD352-FD354</f>
        <v>-155</v>
      </c>
      <c r="FE355" s="79">
        <f>IF(ISERROR((FD355/FB355-1)*100),"NA",IF(((FD355/FB355-1)*100)&gt;100,"NM",IF(((FD355/FB355-1)*100)&lt;-50,"NM",(FD355/FB355-1)*100)))</f>
        <v>-19.396775871034833</v>
      </c>
      <c r="FF355" s="178">
        <f>FF352-FF354</f>
        <v>-193.5</v>
      </c>
      <c r="FG355" s="79">
        <f>IF(ISERROR((FF355/FD355-1)*100),"NA",IF(((FF355/FD355-1)*100)&gt;100,"NM",IF(((FF355/FD355-1)*100)&lt;-50,"NM",(FF355/FD355-1)*100)))</f>
        <v>24.838709677419345</v>
      </c>
      <c r="FH355" s="178">
        <f>FH352-FH354</f>
        <v>-153.69999999999999</v>
      </c>
      <c r="FI355" s="79">
        <f>IF(ISERROR((FH355/FF355-1)*100),"NA",IF(((FH355/FF355-1)*100)&gt;100,"NM",IF(((FH355/FF355-1)*100)&lt;-50,"NM",(FH355/FF355-1)*100)))</f>
        <v>-20.568475452196388</v>
      </c>
      <c r="FJ355" s="178">
        <f>FJ352-FJ354</f>
        <v>-169.73906250000002</v>
      </c>
      <c r="FK355" s="79">
        <f>IF(ISERROR((FJ355/FH355-1)*100),"NA",IF(((FJ355/FH355-1)*100)&gt;100,"NM",IF(((FJ355/FH355-1)*100)&lt;-50,"NM",(FJ355/FH355-1)*100)))</f>
        <v>10.435304163955772</v>
      </c>
      <c r="FL355" s="178">
        <f>FL352-FL354</f>
        <v>-131.69999999999999</v>
      </c>
      <c r="FM355" s="79">
        <f>IF(ISERROR((FL355/FJ355-1)*100),"NA",IF(((FL355/FJ355-1)*100)&gt;100,"NM",IF(((FL355/FJ355-1)*100)&lt;-50,"NM",(FL355/FJ355-1)*100)))</f>
        <v>-22.41031730689571</v>
      </c>
      <c r="FN355" s="178">
        <f>FN352-FN354</f>
        <v>-167.60000000000002</v>
      </c>
      <c r="FO355" s="79">
        <f>IF(ISERROR((FN355/FL355-1)*100),"NA",IF(((FN355/FL355-1)*100)&gt;100,"NM",IF(((FN355/FL355-1)*100)&lt;-50,"NM",(FN355/FL355-1)*100)))</f>
        <v>27.25892179195144</v>
      </c>
      <c r="FP355" s="178">
        <f>FP352-FP354</f>
        <v>-82.700000000000017</v>
      </c>
      <c r="FQ355" s="79" t="str">
        <f>IF(ISERROR((FP355/FN355-1)*100),"NA",IF(((FP355/FN355-1)*100)&gt;100,"NM",IF(((FP355/FN355-1)*100)&lt;-50,"NM",(FP355/FN355-1)*100)))</f>
        <v>NM</v>
      </c>
      <c r="FR355" s="293"/>
      <c r="FS355" s="79" t="str">
        <f>IF(ISERROR((FR355/FP355-1)*100),"NA",IF(((FR355/FP355-1)*100)&gt;100,"NM",IF(((FR355/FP355-1)*100)&lt;-50,"NM",(FR355/FP355-1)*100)))</f>
        <v>NM</v>
      </c>
      <c r="FT355" s="293"/>
      <c r="FU355" s="79" t="str">
        <f>IF(ISERROR((FT355/FR355-1)*100),"NA",IF(((FT355/FR355-1)*100)&gt;100,"NM",IF(((FT355/FR355-1)*100)&lt;-50,"NM",(FT355/FR355-1)*100)))</f>
        <v>NA</v>
      </c>
      <c r="FV355" s="293"/>
      <c r="FW355" s="79" t="str">
        <f>IF(ISERROR((FV355/FT355-1)*100),"NA",IF(((FV355/FT355-1)*100)&gt;100,"NM",IF(((FV355/FT355-1)*100)&lt;-50,"NM",(FV355/FT355-1)*100)))</f>
        <v>NA</v>
      </c>
      <c r="FX355" s="293"/>
      <c r="FY355" s="79" t="str">
        <f>IF(ISERROR((FX355/FV355-1)*100),"NA",IF(((FX355/FV355-1)*100)&gt;100,"NM",IF(((FX355/FV355-1)*100)&lt;-50,"NM",(FX355/FV355-1)*100)))</f>
        <v>NA</v>
      </c>
      <c r="FZ355" s="293"/>
      <c r="GA355" s="79" t="str">
        <f>IF(ISERROR((FZ355/FX355-1)*100),"NA",IF(((FZ355/FX355-1)*100)&gt;100,"NM",IF(((FZ355/FX355-1)*100)&lt;-50,"NM",(FZ355/FX355-1)*100)))</f>
        <v>NA</v>
      </c>
      <c r="GB355" s="293"/>
      <c r="GC355" s="79" t="str">
        <f>IF(ISERROR((GB355/FZ355-1)*100),"NA",IF(((GB355/FZ355-1)*100)&gt;100,"NM",IF(((GB355/FZ355-1)*100)&lt;-50,"NM",(GB355/FZ355-1)*100)))</f>
        <v>NA</v>
      </c>
      <c r="GD355" s="293"/>
      <c r="GE355" s="79" t="str">
        <f>IF(ISERROR((GD355/GB355-1)*100),"NA",IF(((GD355/GB355-1)*100)&gt;100,"NM",IF(((GD355/GB355-1)*100)&lt;-50,"NM",(GD355/GB355-1)*100)))</f>
        <v>NA</v>
      </c>
      <c r="GF355" s="293"/>
      <c r="GG355" s="79" t="str">
        <f>IF(ISERROR((GF355/GD355-1)*100),"NA",IF(((GF355/GD355-1)*100)&gt;100,"NM",IF(((GF355/GD355-1)*100)&lt;-50,"NM",(GF355/GD355-1)*100)))</f>
        <v>NA</v>
      </c>
      <c r="GH355" s="293"/>
      <c r="GI355" s="79" t="str">
        <f>IF(ISERROR((GH355/GF355-1)*100),"NA",IF(((GH355/GF355-1)*100)&gt;100,"NM",IF(((GH355/GF355-1)*100)&lt;-50,"NM",(GH355/GF355-1)*100)))</f>
        <v>NA</v>
      </c>
      <c r="GJ355" s="293"/>
      <c r="GK355" s="79" t="str">
        <f>IF(ISERROR((GJ355/GH355-1)*100),"NA",IF(((GJ355/GH355-1)*100)&gt;100,"NM",IF(((GJ355/GH355-1)*100)&lt;-50,"NM",(GJ355/GH355-1)*100)))</f>
        <v>NA</v>
      </c>
      <c r="GL355" s="293"/>
      <c r="GM355" s="79" t="str">
        <f>IF(ISERROR((GL355/GJ355-1)*100),"NA",IF(((GL355/GJ355-1)*100)&gt;100,"NM",IF(((GL355/GJ355-1)*100)&lt;-50,"NM",(GL355/GJ355-1)*100)))</f>
        <v>NA</v>
      </c>
      <c r="GN355" s="293"/>
      <c r="GO355" s="79" t="str">
        <f>IF(ISERROR((GN355/GL355-1)*100),"NA",IF(((GN355/GL355-1)*100)&gt;100,"NM",IF(((GN355/GL355-1)*100)&lt;-50,"NM",(GN355/GL355-1)*100)))</f>
        <v>NA</v>
      </c>
      <c r="GP355" s="293"/>
      <c r="GQ355" s="79" t="str">
        <f>IF(ISERROR((GP355/GN355-1)*100),"NA",IF(((GP355/GN355-1)*100)&gt;100,"NM",IF(((GP355/GN355-1)*100)&lt;-50,"NM",(GP355/GN355-1)*100)))</f>
        <v>NA</v>
      </c>
      <c r="GR355" s="293"/>
      <c r="GS355" s="79" t="str">
        <f>IF(ISERROR((GR355/GP355-1)*100),"NA",IF(((GR355/GP355-1)*100)&gt;100,"NM",IF(((GR355/GP355-1)*100)&lt;-50,"NM",(GR355/GP355-1)*100)))</f>
        <v>NA</v>
      </c>
      <c r="GT355" s="79"/>
    </row>
    <row r="356" spans="1:202" ht="12.75" hidden="1" customHeight="1" outlineLevel="1" x14ac:dyDescent="0.2">
      <c r="A356" s="1"/>
      <c r="B356" s="83"/>
      <c r="C356" s="79"/>
      <c r="D356" s="79"/>
      <c r="E356" s="242"/>
      <c r="F356" s="242"/>
      <c r="G356" s="242"/>
      <c r="H356" s="243"/>
      <c r="I356" s="242"/>
      <c r="J356" s="243"/>
      <c r="K356" s="242"/>
      <c r="L356" s="79"/>
      <c r="M356" s="242"/>
      <c r="N356" s="79"/>
      <c r="O356" s="242"/>
      <c r="P356" s="79"/>
      <c r="Q356" s="242"/>
      <c r="R356" s="79"/>
      <c r="S356" s="242"/>
      <c r="T356" s="79"/>
      <c r="U356" s="242"/>
      <c r="V356" s="79"/>
      <c r="W356" s="242"/>
      <c r="X356" s="79"/>
      <c r="Y356" s="242"/>
      <c r="Z356" s="79"/>
      <c r="AA356" s="244"/>
      <c r="AB356" s="79"/>
      <c r="AC356" s="242"/>
      <c r="AD356" s="79"/>
      <c r="AE356" s="242"/>
      <c r="AF356" s="79"/>
      <c r="AG356" s="242"/>
      <c r="AH356" s="79"/>
      <c r="AI356" s="242"/>
      <c r="AJ356" s="79"/>
      <c r="AK356" s="242"/>
      <c r="AL356" s="79"/>
      <c r="AM356" s="242"/>
      <c r="AN356" s="79"/>
      <c r="AO356" s="242"/>
      <c r="AP356" s="79"/>
      <c r="AQ356" s="242"/>
      <c r="AR356" s="79"/>
      <c r="AS356" s="242"/>
      <c r="AT356" s="81"/>
      <c r="AU356" s="242"/>
      <c r="AV356" s="81"/>
      <c r="AW356" s="242"/>
      <c r="AX356" s="81"/>
      <c r="AY356" s="242"/>
      <c r="AZ356" s="81"/>
      <c r="BA356" s="242"/>
      <c r="BB356" s="81"/>
      <c r="BC356" s="242"/>
      <c r="BD356" s="81"/>
      <c r="BE356" s="242"/>
      <c r="BF356" s="81"/>
      <c r="BG356" s="242"/>
      <c r="BH356" s="81"/>
      <c r="BI356" s="242"/>
      <c r="BJ356" s="81"/>
      <c r="BK356" s="242"/>
      <c r="BL356" s="81"/>
      <c r="BM356" s="242"/>
      <c r="BN356" s="81"/>
      <c r="BO356" s="242"/>
      <c r="BP356" s="81"/>
      <c r="BQ356" s="242"/>
      <c r="BR356" s="81"/>
      <c r="BS356" s="242"/>
      <c r="BT356" s="81"/>
      <c r="BU356" s="242"/>
      <c r="BV356" s="81"/>
      <c r="BW356" s="242"/>
      <c r="BX356" s="81"/>
      <c r="BY356" s="242"/>
      <c r="BZ356" s="81"/>
      <c r="CA356" s="242"/>
      <c r="CB356" s="81"/>
      <c r="CC356" s="242"/>
      <c r="CD356" s="81"/>
      <c r="CE356" s="242"/>
      <c r="CF356" s="81"/>
      <c r="CG356" s="242"/>
      <c r="CH356" s="81"/>
      <c r="CI356" s="242"/>
      <c r="CJ356" s="81"/>
      <c r="CK356" s="242"/>
      <c r="CL356" s="81"/>
      <c r="CM356" s="242"/>
      <c r="CN356" s="81"/>
      <c r="CO356" s="242"/>
      <c r="CP356" s="81"/>
      <c r="CQ356" s="242"/>
      <c r="CR356" s="81"/>
      <c r="CS356" s="242"/>
      <c r="CT356" s="81"/>
      <c r="CU356" s="242"/>
      <c r="CV356" s="81"/>
      <c r="CW356" s="242"/>
      <c r="CX356" s="81"/>
      <c r="CY356" s="242"/>
      <c r="CZ356" s="81"/>
      <c r="DA356" s="242"/>
      <c r="DB356" s="81"/>
      <c r="DC356" s="242"/>
      <c r="DD356" s="81"/>
      <c r="DE356" s="242"/>
      <c r="DF356" s="81"/>
      <c r="DG356" s="242"/>
      <c r="DH356" s="81"/>
      <c r="DI356" s="242"/>
      <c r="DJ356" s="81"/>
      <c r="DK356" s="242"/>
      <c r="DL356" s="81"/>
      <c r="DM356" s="242"/>
      <c r="DN356" s="81"/>
      <c r="DO356" s="242"/>
      <c r="DP356" s="81"/>
      <c r="DQ356" s="242"/>
      <c r="DR356" s="81"/>
      <c r="DS356" s="242"/>
      <c r="DT356" s="81"/>
      <c r="DU356" s="242"/>
      <c r="DV356" s="81"/>
      <c r="DW356" s="242"/>
      <c r="DX356" s="81"/>
      <c r="DY356" s="242"/>
      <c r="DZ356" s="81"/>
      <c r="EA356" s="242"/>
      <c r="EB356" s="81"/>
      <c r="EC356" s="242"/>
      <c r="ED356" s="81"/>
      <c r="EE356" s="242"/>
      <c r="EF356" s="81"/>
      <c r="EG356" s="242"/>
      <c r="EH356" s="81"/>
      <c r="EI356" s="242"/>
      <c r="EJ356" s="81"/>
      <c r="EK356" s="242"/>
      <c r="EL356" s="81"/>
      <c r="EM356" s="242"/>
      <c r="EN356" s="81"/>
      <c r="EO356" s="242"/>
      <c r="EP356" s="81"/>
      <c r="EQ356" s="242"/>
      <c r="ER356" s="81"/>
      <c r="ES356" s="138"/>
      <c r="ET356" s="470"/>
      <c r="EU356" s="138"/>
      <c r="EV356" s="242"/>
      <c r="EW356" s="140"/>
      <c r="EX356" s="242"/>
      <c r="EY356" s="79"/>
      <c r="EZ356" s="242"/>
      <c r="FA356" s="79"/>
      <c r="FB356" s="242"/>
      <c r="FC356" s="79"/>
      <c r="FD356" s="242"/>
      <c r="FE356" s="79"/>
      <c r="FF356" s="242"/>
      <c r="FG356" s="79"/>
      <c r="FH356" s="242"/>
      <c r="FI356" s="79"/>
      <c r="FJ356" s="242"/>
      <c r="FK356" s="79"/>
      <c r="FL356" s="242"/>
      <c r="FM356" s="79"/>
      <c r="FN356" s="242"/>
      <c r="FO356" s="79"/>
      <c r="FP356" s="242"/>
      <c r="FQ356" s="79"/>
      <c r="FR356" s="242"/>
      <c r="FS356" s="79"/>
      <c r="FT356" s="242"/>
      <c r="FU356" s="79"/>
      <c r="FV356" s="242"/>
      <c r="FW356" s="79"/>
      <c r="FX356" s="242"/>
      <c r="FY356" s="79"/>
      <c r="FZ356" s="242"/>
      <c r="GA356" s="79"/>
      <c r="GB356" s="242"/>
      <c r="GC356" s="79"/>
      <c r="GD356" s="242"/>
      <c r="GE356" s="79"/>
      <c r="GF356" s="242"/>
      <c r="GG356" s="79"/>
      <c r="GH356" s="242"/>
      <c r="GI356" s="79"/>
      <c r="GJ356" s="242"/>
      <c r="GK356" s="79"/>
      <c r="GL356" s="242"/>
      <c r="GM356" s="79"/>
      <c r="GN356" s="242"/>
      <c r="GO356" s="79"/>
      <c r="GP356" s="242"/>
      <c r="GQ356" s="79"/>
      <c r="GR356" s="242"/>
      <c r="GS356" s="79"/>
      <c r="GT356" s="79"/>
    </row>
    <row r="357" spans="1:202" ht="12.75" hidden="1" customHeight="1" outlineLevel="1" x14ac:dyDescent="0.2">
      <c r="A357" s="1"/>
      <c r="B357" s="10" t="s">
        <v>302</v>
      </c>
      <c r="C357" s="79"/>
      <c r="D357" s="79"/>
      <c r="E357" s="75"/>
      <c r="F357" s="75"/>
      <c r="G357" s="75"/>
      <c r="H357" s="104"/>
      <c r="I357" s="75"/>
      <c r="J357" s="104"/>
      <c r="K357" s="75"/>
      <c r="L357" s="79"/>
      <c r="M357" s="75"/>
      <c r="N357" s="79"/>
      <c r="O357" s="75"/>
      <c r="P357" s="79"/>
      <c r="Q357" s="75"/>
      <c r="R357" s="79"/>
      <c r="S357" s="75"/>
      <c r="T357" s="79"/>
      <c r="U357" s="75"/>
      <c r="V357" s="79"/>
      <c r="W357" s="75"/>
      <c r="X357" s="79"/>
      <c r="Y357" s="75"/>
      <c r="Z357" s="79"/>
      <c r="AA357" s="267"/>
      <c r="AB357" s="79"/>
      <c r="AC357" s="75"/>
      <c r="AD357" s="79"/>
      <c r="AE357" s="75"/>
      <c r="AF357" s="79"/>
      <c r="AG357" s="75"/>
      <c r="AH357" s="79"/>
      <c r="AI357" s="75"/>
      <c r="AJ357" s="79"/>
      <c r="AK357" s="75"/>
      <c r="AL357" s="79"/>
      <c r="AM357" s="75"/>
      <c r="AN357" s="79" t="str">
        <f t="shared" ref="AN357:BD359" si="1098">IF(ISERROR((AM357/AE357-1)*100),"NA",IF(((AM357/AE357-1)*100)&gt;100,"NM",IF(((AM357/AE357-1)*100)&lt;-50,"NM",(AM357/AE357-1)*100)))</f>
        <v>NA</v>
      </c>
      <c r="AO357" s="75"/>
      <c r="AP357" s="79" t="str">
        <f t="shared" si="1098"/>
        <v>NA</v>
      </c>
      <c r="AQ357" s="95">
        <v>575</v>
      </c>
      <c r="AR357" s="79" t="str">
        <f t="shared" si="1098"/>
        <v>NA</v>
      </c>
      <c r="AS357" s="95">
        <v>575</v>
      </c>
      <c r="AT357" s="81" t="str">
        <f t="shared" si="1098"/>
        <v>NA</v>
      </c>
      <c r="AU357" s="95">
        <v>575</v>
      </c>
      <c r="AV357" s="81" t="str">
        <f t="shared" si="1098"/>
        <v>NA</v>
      </c>
      <c r="AW357" s="95">
        <v>575</v>
      </c>
      <c r="AX357" s="81" t="str">
        <f t="shared" si="1098"/>
        <v>NA</v>
      </c>
      <c r="AY357" s="95">
        <v>575</v>
      </c>
      <c r="AZ357" s="81">
        <f t="shared" si="1098"/>
        <v>0</v>
      </c>
      <c r="BA357" s="95">
        <v>575</v>
      </c>
      <c r="BB357" s="81">
        <f t="shared" si="1098"/>
        <v>0</v>
      </c>
      <c r="BC357" s="95">
        <v>575</v>
      </c>
      <c r="BD357" s="81">
        <f t="shared" si="1098"/>
        <v>0</v>
      </c>
      <c r="BE357" s="95">
        <v>575</v>
      </c>
      <c r="BF357" s="81">
        <f>IF(ISERROR((BE357/AW357-1)*100),"NA",IF(((BE357/AW357-1)*100)&gt;100,"NM",IF(((BE357/AW357-1)*100)&lt;-50,"NM",(BE357/AW357-1)*100)))</f>
        <v>0</v>
      </c>
      <c r="BG357" s="95">
        <v>575</v>
      </c>
      <c r="BH357" s="81">
        <f>IF(ISERROR((BG357/AY357-1)*100),"NA",IF(((BG357/AY357-1)*100)&gt;100,"NM",IF(((BG357/AY357-1)*100)&lt;-50,"NM",(BG357/AY357-1)*100)))</f>
        <v>0</v>
      </c>
      <c r="BI357" s="95">
        <v>575</v>
      </c>
      <c r="BJ357" s="81">
        <f t="shared" si="1097"/>
        <v>0</v>
      </c>
      <c r="BK357" s="95">
        <v>575</v>
      </c>
      <c r="BL357" s="81">
        <f t="shared" ref="BL357:BN359" si="1099">IF(ISERROR((BK357/BC357-1)*100),"NA",IF(((BK357/BC357-1)*100)&gt;100,"NM",IF(((BK357/BC357-1)*100)&lt;-50,"NM",(BK357/BC357-1)*100)))</f>
        <v>0</v>
      </c>
      <c r="BM357" s="95">
        <v>575</v>
      </c>
      <c r="BN357" s="81">
        <f t="shared" si="1099"/>
        <v>0</v>
      </c>
      <c r="BO357" s="95"/>
      <c r="BP357" s="81"/>
      <c r="BQ357" s="95"/>
      <c r="BR357" s="81"/>
      <c r="BS357" s="95"/>
      <c r="BT357" s="81"/>
      <c r="BU357" s="95"/>
      <c r="BV357" s="81"/>
      <c r="BW357" s="95"/>
      <c r="BX357" s="81"/>
      <c r="BY357" s="95"/>
      <c r="BZ357" s="81"/>
      <c r="CA357" s="95"/>
      <c r="CB357" s="81"/>
      <c r="CC357" s="95"/>
      <c r="CD357" s="81"/>
      <c r="CE357" s="95"/>
      <c r="CF357" s="81"/>
      <c r="CG357" s="95"/>
      <c r="CH357" s="81"/>
      <c r="CI357" s="95"/>
      <c r="CJ357" s="81"/>
      <c r="CK357" s="95"/>
      <c r="CL357" s="81"/>
      <c r="CM357" s="95"/>
      <c r="CN357" s="81"/>
      <c r="CO357" s="95"/>
      <c r="CP357" s="81"/>
      <c r="CQ357" s="95"/>
      <c r="CR357" s="81"/>
      <c r="CS357" s="95"/>
      <c r="CT357" s="81"/>
      <c r="CU357" s="95"/>
      <c r="CV357" s="81"/>
      <c r="CW357" s="95"/>
      <c r="CX357" s="81"/>
      <c r="CY357" s="95"/>
      <c r="CZ357" s="81"/>
      <c r="DA357" s="95"/>
      <c r="DB357" s="81"/>
      <c r="DC357" s="95"/>
      <c r="DD357" s="81"/>
      <c r="DE357" s="95"/>
      <c r="DF357" s="81"/>
      <c r="DG357" s="95"/>
      <c r="DH357" s="81"/>
      <c r="DI357" s="95"/>
      <c r="DJ357" s="81"/>
      <c r="DK357" s="95"/>
      <c r="DL357" s="81"/>
      <c r="DM357" s="95"/>
      <c r="DN357" s="81"/>
      <c r="DO357" s="95"/>
      <c r="DP357" s="81"/>
      <c r="DQ357" s="95"/>
      <c r="DR357" s="81"/>
      <c r="DS357" s="95"/>
      <c r="DT357" s="81"/>
      <c r="DU357" s="95"/>
      <c r="DV357" s="81"/>
      <c r="DW357" s="95"/>
      <c r="DX357" s="81"/>
      <c r="DY357" s="95"/>
      <c r="DZ357" s="81"/>
      <c r="EA357" s="95"/>
      <c r="EB357" s="81"/>
      <c r="EC357" s="95"/>
      <c r="ED357" s="81"/>
      <c r="EE357" s="95"/>
      <c r="EF357" s="81"/>
      <c r="EG357" s="95"/>
      <c r="EH357" s="81"/>
      <c r="EI357" s="95"/>
      <c r="EJ357" s="81"/>
      <c r="EK357" s="95"/>
      <c r="EL357" s="81"/>
      <c r="EM357" s="95"/>
      <c r="EN357" s="81"/>
      <c r="EO357" s="95"/>
      <c r="EP357" s="81"/>
      <c r="EQ357" s="95"/>
      <c r="ER357" s="81"/>
      <c r="ES357" s="129"/>
      <c r="ET357" s="469"/>
      <c r="EU357" s="129"/>
      <c r="EV357" s="75"/>
      <c r="EW357" s="79"/>
      <c r="EX357" s="75"/>
      <c r="EY357" s="79"/>
      <c r="EZ357" s="75"/>
      <c r="FA357" s="79"/>
      <c r="FB357" s="75"/>
      <c r="FC357" s="79"/>
      <c r="FD357" s="75"/>
      <c r="FE357" s="79"/>
      <c r="FF357" s="75"/>
      <c r="FG357" s="79"/>
      <c r="FH357" s="75"/>
      <c r="FI357" s="79"/>
      <c r="FJ357" s="75"/>
      <c r="FK357" s="79"/>
      <c r="FL357" s="93">
        <f>AY357</f>
        <v>575</v>
      </c>
      <c r="FM357" s="79"/>
      <c r="FN357" s="93">
        <f>BG357</f>
        <v>575</v>
      </c>
      <c r="FO357" s="79"/>
      <c r="FP357" s="93">
        <f>BO357</f>
        <v>0</v>
      </c>
      <c r="FQ357" s="79"/>
      <c r="FR357" s="93"/>
      <c r="FS357" s="79"/>
      <c r="FT357" s="93"/>
      <c r="FU357" s="79"/>
      <c r="FV357" s="93"/>
      <c r="FW357" s="79"/>
      <c r="FX357" s="93"/>
      <c r="FY357" s="79"/>
      <c r="FZ357" s="93"/>
      <c r="GA357" s="79"/>
      <c r="GB357" s="93"/>
      <c r="GC357" s="79"/>
      <c r="GD357" s="93"/>
      <c r="GE357" s="79"/>
      <c r="GF357" s="93"/>
      <c r="GG357" s="79"/>
      <c r="GH357" s="93"/>
      <c r="GI357" s="79"/>
      <c r="GJ357" s="93"/>
      <c r="GK357" s="79"/>
      <c r="GL357" s="95"/>
      <c r="GM357" s="79"/>
      <c r="GN357" s="95"/>
      <c r="GO357" s="79"/>
      <c r="GP357" s="95"/>
      <c r="GQ357" s="79"/>
      <c r="GR357" s="95"/>
      <c r="GS357" s="79"/>
      <c r="GT357" s="79"/>
    </row>
    <row r="358" spans="1:202" ht="12.75" hidden="1" customHeight="1" outlineLevel="1" x14ac:dyDescent="0.2">
      <c r="A358" s="1"/>
      <c r="B358" s="10" t="s">
        <v>187</v>
      </c>
      <c r="C358" s="79"/>
      <c r="D358" s="79"/>
      <c r="E358" s="75"/>
      <c r="F358" s="75"/>
      <c r="G358" s="75"/>
      <c r="H358" s="104"/>
      <c r="I358" s="75"/>
      <c r="J358" s="104"/>
      <c r="K358" s="75"/>
      <c r="L358" s="79"/>
      <c r="M358" s="75"/>
      <c r="N358" s="79"/>
      <c r="O358" s="75"/>
      <c r="P358" s="79"/>
      <c r="Q358" s="75"/>
      <c r="R358" s="79"/>
      <c r="S358" s="75"/>
      <c r="T358" s="79"/>
      <c r="U358" s="75"/>
      <c r="V358" s="79"/>
      <c r="W358" s="75"/>
      <c r="X358" s="79"/>
      <c r="Y358" s="75"/>
      <c r="Z358" s="79"/>
      <c r="AA358" s="267"/>
      <c r="AB358" s="79"/>
      <c r="AC358" s="75"/>
      <c r="AD358" s="79"/>
      <c r="AE358" s="75"/>
      <c r="AF358" s="79"/>
      <c r="AG358" s="75"/>
      <c r="AH358" s="79"/>
      <c r="AI358" s="75"/>
      <c r="AJ358" s="79"/>
      <c r="AK358" s="75"/>
      <c r="AL358" s="79"/>
      <c r="AM358" s="75"/>
      <c r="AN358" s="79" t="str">
        <f t="shared" si="1098"/>
        <v>NA</v>
      </c>
      <c r="AO358" s="75"/>
      <c r="AP358" s="79" t="str">
        <f t="shared" si="1098"/>
        <v>NA</v>
      </c>
      <c r="AQ358" s="294">
        <v>7.625</v>
      </c>
      <c r="AR358" s="79" t="str">
        <f t="shared" si="1098"/>
        <v>NA</v>
      </c>
      <c r="AS358" s="95">
        <v>7.625</v>
      </c>
      <c r="AT358" s="81" t="str">
        <f t="shared" si="1098"/>
        <v>NA</v>
      </c>
      <c r="AU358" s="95">
        <v>7.625</v>
      </c>
      <c r="AV358" s="81" t="str">
        <f t="shared" si="1098"/>
        <v>NA</v>
      </c>
      <c r="AW358" s="95">
        <v>7.625</v>
      </c>
      <c r="AX358" s="81" t="str">
        <f t="shared" si="1098"/>
        <v>NA</v>
      </c>
      <c r="AY358" s="95">
        <v>7.625</v>
      </c>
      <c r="AZ358" s="81">
        <f t="shared" si="1098"/>
        <v>0</v>
      </c>
      <c r="BA358" s="95">
        <v>7.625</v>
      </c>
      <c r="BB358" s="81">
        <f t="shared" si="1098"/>
        <v>0</v>
      </c>
      <c r="BC358" s="95">
        <v>7.625</v>
      </c>
      <c r="BD358" s="81">
        <f t="shared" si="1098"/>
        <v>0</v>
      </c>
      <c r="BE358" s="95">
        <v>7.625</v>
      </c>
      <c r="BF358" s="81">
        <f>IF(ISERROR((BE358/AW358-1)*100),"NA",IF(((BE358/AW358-1)*100)&gt;100,"NM",IF(((BE358/AW358-1)*100)&lt;-50,"NM",(BE358/AW358-1)*100)))</f>
        <v>0</v>
      </c>
      <c r="BG358" s="95">
        <v>7.625</v>
      </c>
      <c r="BH358" s="81">
        <f>IF(ISERROR((BG358/AY358-1)*100),"NA",IF(((BG358/AY358-1)*100)&gt;100,"NM",IF(((BG358/AY358-1)*100)&lt;-50,"NM",(BG358/AY358-1)*100)))</f>
        <v>0</v>
      </c>
      <c r="BI358" s="95">
        <v>7.625</v>
      </c>
      <c r="BJ358" s="81">
        <f t="shared" si="1097"/>
        <v>0</v>
      </c>
      <c r="BK358" s="95">
        <v>7.625</v>
      </c>
      <c r="BL358" s="81">
        <f t="shared" si="1099"/>
        <v>0</v>
      </c>
      <c r="BM358" s="95">
        <v>7.625</v>
      </c>
      <c r="BN358" s="81">
        <f t="shared" si="1099"/>
        <v>0</v>
      </c>
      <c r="BO358" s="95"/>
      <c r="BP358" s="81"/>
      <c r="BQ358" s="95"/>
      <c r="BR358" s="81"/>
      <c r="BS358" s="95"/>
      <c r="BT358" s="81"/>
      <c r="BU358" s="95"/>
      <c r="BV358" s="81"/>
      <c r="BW358" s="95"/>
      <c r="BX358" s="81"/>
      <c r="BY358" s="95"/>
      <c r="BZ358" s="81"/>
      <c r="CA358" s="95"/>
      <c r="CB358" s="81"/>
      <c r="CC358" s="95"/>
      <c r="CD358" s="81"/>
      <c r="CE358" s="95"/>
      <c r="CF358" s="81"/>
      <c r="CG358" s="95"/>
      <c r="CH358" s="81"/>
      <c r="CI358" s="95"/>
      <c r="CJ358" s="81"/>
      <c r="CK358" s="95"/>
      <c r="CL358" s="81"/>
      <c r="CM358" s="95"/>
      <c r="CN358" s="81"/>
      <c r="CO358" s="95"/>
      <c r="CP358" s="81"/>
      <c r="CQ358" s="95"/>
      <c r="CR358" s="81"/>
      <c r="CS358" s="95"/>
      <c r="CT358" s="81"/>
      <c r="CU358" s="95"/>
      <c r="CV358" s="81"/>
      <c r="CW358" s="95"/>
      <c r="CX358" s="81"/>
      <c r="CY358" s="95"/>
      <c r="CZ358" s="81"/>
      <c r="DA358" s="95"/>
      <c r="DB358" s="81"/>
      <c r="DC358" s="95"/>
      <c r="DD358" s="81"/>
      <c r="DE358" s="95"/>
      <c r="DF358" s="81"/>
      <c r="DG358" s="95"/>
      <c r="DH358" s="81"/>
      <c r="DI358" s="95"/>
      <c r="DJ358" s="81"/>
      <c r="DK358" s="95"/>
      <c r="DL358" s="81"/>
      <c r="DM358" s="95"/>
      <c r="DN358" s="81"/>
      <c r="DO358" s="95"/>
      <c r="DP358" s="81"/>
      <c r="DQ358" s="95"/>
      <c r="DR358" s="81"/>
      <c r="DS358" s="95"/>
      <c r="DT358" s="81"/>
      <c r="DU358" s="95"/>
      <c r="DV358" s="81"/>
      <c r="DW358" s="95"/>
      <c r="DX358" s="81"/>
      <c r="DY358" s="95"/>
      <c r="DZ358" s="81"/>
      <c r="EA358" s="95"/>
      <c r="EB358" s="81"/>
      <c r="EC358" s="95"/>
      <c r="ED358" s="81"/>
      <c r="EE358" s="95"/>
      <c r="EF358" s="81"/>
      <c r="EG358" s="95"/>
      <c r="EH358" s="81"/>
      <c r="EI358" s="95"/>
      <c r="EJ358" s="81"/>
      <c r="EK358" s="95"/>
      <c r="EL358" s="81"/>
      <c r="EM358" s="95"/>
      <c r="EN358" s="81"/>
      <c r="EO358" s="95"/>
      <c r="EP358" s="81"/>
      <c r="EQ358" s="95"/>
      <c r="ER358" s="81"/>
      <c r="ES358" s="105"/>
      <c r="ET358" s="475"/>
      <c r="EU358" s="105"/>
      <c r="EV358" s="104"/>
      <c r="EW358" s="201"/>
      <c r="EX358" s="104"/>
      <c r="EY358" s="201"/>
      <c r="EZ358" s="104"/>
      <c r="FA358" s="201"/>
      <c r="FB358" s="104"/>
      <c r="FC358" s="201"/>
      <c r="FD358" s="104"/>
      <c r="FE358" s="201"/>
      <c r="FF358" s="104"/>
      <c r="FG358" s="201"/>
      <c r="FH358" s="104"/>
      <c r="FI358" s="201"/>
      <c r="FJ358" s="104"/>
      <c r="FK358" s="201"/>
      <c r="FL358" s="295">
        <f>AY358</f>
        <v>7.625</v>
      </c>
      <c r="FM358" s="201"/>
      <c r="FN358" s="295">
        <f>BG358</f>
        <v>7.625</v>
      </c>
      <c r="FO358" s="201"/>
      <c r="FP358" s="295">
        <f>BO358</f>
        <v>0</v>
      </c>
      <c r="FQ358" s="201"/>
      <c r="FR358" s="93"/>
      <c r="FS358" s="201"/>
      <c r="FT358" s="93"/>
      <c r="FU358" s="201"/>
      <c r="FV358" s="93"/>
      <c r="FW358" s="201"/>
      <c r="FX358" s="93"/>
      <c r="FY358" s="201"/>
      <c r="FZ358" s="93"/>
      <c r="GA358" s="201"/>
      <c r="GB358" s="93"/>
      <c r="GC358" s="201"/>
      <c r="GD358" s="93"/>
      <c r="GE358" s="201"/>
      <c r="GF358" s="93"/>
      <c r="GG358" s="201"/>
      <c r="GH358" s="93"/>
      <c r="GI358" s="201"/>
      <c r="GJ358" s="93"/>
      <c r="GK358" s="201"/>
      <c r="GL358" s="95"/>
      <c r="GM358" s="201"/>
      <c r="GN358" s="95"/>
      <c r="GO358" s="201"/>
      <c r="GP358" s="95"/>
      <c r="GQ358" s="201"/>
      <c r="GR358" s="95"/>
      <c r="GS358" s="201"/>
      <c r="GT358" s="79"/>
    </row>
    <row r="359" spans="1:202" ht="12.75" hidden="1" customHeight="1" outlineLevel="1" x14ac:dyDescent="0.2">
      <c r="A359" s="1"/>
      <c r="B359" s="10" t="s">
        <v>184</v>
      </c>
      <c r="C359" s="79"/>
      <c r="D359" s="79"/>
      <c r="E359" s="75"/>
      <c r="F359" s="75"/>
      <c r="G359" s="75"/>
      <c r="H359" s="104"/>
      <c r="I359" s="75"/>
      <c r="J359" s="104"/>
      <c r="K359" s="75"/>
      <c r="L359" s="79"/>
      <c r="M359" s="75"/>
      <c r="N359" s="79"/>
      <c r="O359" s="75"/>
      <c r="P359" s="79"/>
      <c r="Q359" s="75"/>
      <c r="R359" s="79"/>
      <c r="S359" s="75"/>
      <c r="T359" s="79"/>
      <c r="U359" s="75"/>
      <c r="V359" s="79"/>
      <c r="W359" s="75"/>
      <c r="X359" s="79"/>
      <c r="Y359" s="75"/>
      <c r="Z359" s="79"/>
      <c r="AA359" s="267"/>
      <c r="AB359" s="79"/>
      <c r="AC359" s="75"/>
      <c r="AD359" s="79"/>
      <c r="AE359" s="75"/>
      <c r="AF359" s="79"/>
      <c r="AG359" s="75"/>
      <c r="AH359" s="79"/>
      <c r="AI359" s="75"/>
      <c r="AJ359" s="79"/>
      <c r="AK359" s="75"/>
      <c r="AL359" s="79"/>
      <c r="AM359" s="75"/>
      <c r="AN359" s="79" t="str">
        <f t="shared" si="1098"/>
        <v>NA</v>
      </c>
      <c r="AO359" s="75"/>
      <c r="AP359" s="79" t="str">
        <f t="shared" si="1098"/>
        <v>NA</v>
      </c>
      <c r="AQ359" s="75">
        <f>AQ358/400*AQ357</f>
        <v>10.9609375</v>
      </c>
      <c r="AR359" s="79" t="str">
        <f t="shared" si="1098"/>
        <v>NA</v>
      </c>
      <c r="AS359" s="75">
        <f>AS358/400*AS357</f>
        <v>10.9609375</v>
      </c>
      <c r="AT359" s="81" t="str">
        <f t="shared" si="1098"/>
        <v>NA</v>
      </c>
      <c r="AU359" s="75">
        <f>AU358/400*AU357</f>
        <v>10.9609375</v>
      </c>
      <c r="AV359" s="81" t="str">
        <f t="shared" si="1098"/>
        <v>NA</v>
      </c>
      <c r="AW359" s="75">
        <f>AW358/400*AW357</f>
        <v>10.9609375</v>
      </c>
      <c r="AX359" s="81" t="str">
        <f t="shared" si="1098"/>
        <v>NA</v>
      </c>
      <c r="AY359" s="75">
        <f>AY358/400*AY357</f>
        <v>10.9609375</v>
      </c>
      <c r="AZ359" s="81">
        <f t="shared" si="1098"/>
        <v>0</v>
      </c>
      <c r="BA359" s="75">
        <f>BA358/400*BA357</f>
        <v>10.9609375</v>
      </c>
      <c r="BB359" s="81">
        <f t="shared" si="1098"/>
        <v>0</v>
      </c>
      <c r="BC359" s="75">
        <f>BC358/400*BC357</f>
        <v>10.9609375</v>
      </c>
      <c r="BD359" s="81">
        <f t="shared" si="1098"/>
        <v>0</v>
      </c>
      <c r="BE359" s="75">
        <f>BE358/400*BE357</f>
        <v>10.9609375</v>
      </c>
      <c r="BF359" s="81">
        <f>IF(ISERROR((BE359/AW359-1)*100),"NA",IF(((BE359/AW359-1)*100)&gt;100,"NM",IF(((BE359/AW359-1)*100)&lt;-50,"NM",(BE359/AW359-1)*100)))</f>
        <v>0</v>
      </c>
      <c r="BG359" s="75">
        <f>BG358/400*BG357</f>
        <v>10.9609375</v>
      </c>
      <c r="BH359" s="81">
        <f>IF(ISERROR((BG359/AY359-1)*100),"NA",IF(((BG359/AY359-1)*100)&gt;100,"NM",IF(((BG359/AY359-1)*100)&lt;-50,"NM",(BG359/AY359-1)*100)))</f>
        <v>0</v>
      </c>
      <c r="BI359" s="75">
        <f>BI358/400*BI357</f>
        <v>10.9609375</v>
      </c>
      <c r="BJ359" s="81">
        <f t="shared" si="1097"/>
        <v>0</v>
      </c>
      <c r="BK359" s="75">
        <f>BK358/400*BK357</f>
        <v>10.9609375</v>
      </c>
      <c r="BL359" s="81">
        <f t="shared" si="1099"/>
        <v>0</v>
      </c>
      <c r="BM359" s="75">
        <f>BM358/400*BM357</f>
        <v>10.9609375</v>
      </c>
      <c r="BN359" s="81">
        <f t="shared" si="1099"/>
        <v>0</v>
      </c>
      <c r="BO359" s="75"/>
      <c r="BP359" s="81"/>
      <c r="BQ359" s="75"/>
      <c r="BR359" s="81"/>
      <c r="BS359" s="75"/>
      <c r="BT359" s="81"/>
      <c r="BU359" s="75"/>
      <c r="BV359" s="81"/>
      <c r="BW359" s="75"/>
      <c r="BX359" s="81"/>
      <c r="BY359" s="75"/>
      <c r="BZ359" s="81"/>
      <c r="CA359" s="75"/>
      <c r="CB359" s="81"/>
      <c r="CC359" s="75"/>
      <c r="CD359" s="81"/>
      <c r="CE359" s="75"/>
      <c r="CF359" s="81"/>
      <c r="CG359" s="75"/>
      <c r="CH359" s="81"/>
      <c r="CI359" s="75"/>
      <c r="CJ359" s="81"/>
      <c r="CK359" s="75"/>
      <c r="CL359" s="81"/>
      <c r="CM359" s="75"/>
      <c r="CN359" s="81"/>
      <c r="CO359" s="75"/>
      <c r="CP359" s="81"/>
      <c r="CQ359" s="75"/>
      <c r="CR359" s="81"/>
      <c r="CS359" s="75"/>
      <c r="CT359" s="81"/>
      <c r="CU359" s="75"/>
      <c r="CV359" s="81"/>
      <c r="CW359" s="75"/>
      <c r="CX359" s="81"/>
      <c r="CY359" s="75"/>
      <c r="CZ359" s="81"/>
      <c r="DA359" s="75"/>
      <c r="DB359" s="81"/>
      <c r="DC359" s="75"/>
      <c r="DD359" s="81"/>
      <c r="DE359" s="75"/>
      <c r="DF359" s="81"/>
      <c r="DG359" s="75"/>
      <c r="DH359" s="81"/>
      <c r="DI359" s="75"/>
      <c r="DJ359" s="81"/>
      <c r="DK359" s="75"/>
      <c r="DL359" s="81"/>
      <c r="DM359" s="75"/>
      <c r="DN359" s="81"/>
      <c r="DO359" s="75"/>
      <c r="DP359" s="81"/>
      <c r="DQ359" s="75"/>
      <c r="DR359" s="81"/>
      <c r="DS359" s="75"/>
      <c r="DT359" s="81"/>
      <c r="DU359" s="75"/>
      <c r="DV359" s="81"/>
      <c r="DW359" s="75"/>
      <c r="DX359" s="81"/>
      <c r="DY359" s="75"/>
      <c r="DZ359" s="81"/>
      <c r="EA359" s="75"/>
      <c r="EB359" s="81"/>
      <c r="EC359" s="75"/>
      <c r="ED359" s="81"/>
      <c r="EE359" s="75"/>
      <c r="EF359" s="81"/>
      <c r="EG359" s="75"/>
      <c r="EH359" s="81"/>
      <c r="EI359" s="75"/>
      <c r="EJ359" s="81"/>
      <c r="EK359" s="75"/>
      <c r="EL359" s="81"/>
      <c r="EM359" s="75"/>
      <c r="EN359" s="81"/>
      <c r="EO359" s="75"/>
      <c r="EP359" s="81"/>
      <c r="EQ359" s="75"/>
      <c r="ER359" s="81"/>
      <c r="ES359" s="129"/>
      <c r="ET359" s="469"/>
      <c r="EU359" s="129"/>
      <c r="EV359" s="75"/>
      <c r="EW359" s="79"/>
      <c r="EX359" s="75"/>
      <c r="EY359" s="79"/>
      <c r="EZ359" s="75"/>
      <c r="FA359" s="79"/>
      <c r="FB359" s="75"/>
      <c r="FC359" s="79"/>
      <c r="FD359" s="75"/>
      <c r="FE359" s="79"/>
      <c r="FF359" s="75"/>
      <c r="FG359" s="79"/>
      <c r="FH359" s="75"/>
      <c r="FI359" s="79"/>
      <c r="FJ359" s="75"/>
      <c r="FK359" s="79"/>
      <c r="FL359" s="75">
        <f>SUM(AY359,AW359,AU359,AS359)</f>
        <v>43.84375</v>
      </c>
      <c r="FM359" s="79"/>
      <c r="FN359" s="75">
        <f>BA359+BC359+BE359+BG359</f>
        <v>43.84375</v>
      </c>
      <c r="FO359" s="79"/>
      <c r="FP359" s="75">
        <f>BI359+BK359+BM359+BO359</f>
        <v>32.8828125</v>
      </c>
      <c r="FQ359" s="79"/>
      <c r="FR359" s="75"/>
      <c r="FS359" s="79"/>
      <c r="FT359" s="75"/>
      <c r="FU359" s="79"/>
      <c r="FV359" s="75"/>
      <c r="FW359" s="79"/>
      <c r="FX359" s="75"/>
      <c r="FY359" s="79"/>
      <c r="FZ359" s="75"/>
      <c r="GA359" s="79"/>
      <c r="GB359" s="75"/>
      <c r="GC359" s="79"/>
      <c r="GD359" s="75"/>
      <c r="GE359" s="79"/>
      <c r="GF359" s="75"/>
      <c r="GG359" s="79"/>
      <c r="GH359" s="75"/>
      <c r="GI359" s="79"/>
      <c r="GJ359" s="75"/>
      <c r="GK359" s="79"/>
      <c r="GL359" s="75"/>
      <c r="GM359" s="79"/>
      <c r="GN359" s="75"/>
      <c r="GO359" s="79"/>
      <c r="GP359" s="75"/>
      <c r="GQ359" s="79"/>
      <c r="GR359" s="75"/>
      <c r="GS359" s="79"/>
      <c r="GT359" s="79"/>
    </row>
    <row r="360" spans="1:202" ht="12.75" hidden="1" customHeight="1" outlineLevel="1" x14ac:dyDescent="0.2">
      <c r="A360" s="1"/>
      <c r="B360" s="83"/>
      <c r="C360" s="79"/>
      <c r="D360" s="79"/>
      <c r="E360" s="242"/>
      <c r="F360" s="242"/>
      <c r="G360" s="242"/>
      <c r="H360" s="243"/>
      <c r="I360" s="242"/>
      <c r="J360" s="243"/>
      <c r="K360" s="242"/>
      <c r="L360" s="79"/>
      <c r="M360" s="242"/>
      <c r="N360" s="79"/>
      <c r="O360" s="242"/>
      <c r="P360" s="79"/>
      <c r="Q360" s="242"/>
      <c r="R360" s="79"/>
      <c r="S360" s="242"/>
      <c r="T360" s="79"/>
      <c r="U360" s="242"/>
      <c r="V360" s="79"/>
      <c r="W360" s="242"/>
      <c r="X360" s="79"/>
      <c r="Y360" s="242"/>
      <c r="Z360" s="79"/>
      <c r="AA360" s="244"/>
      <c r="AB360" s="79"/>
      <c r="AC360" s="242"/>
      <c r="AD360" s="79"/>
      <c r="AE360" s="242"/>
      <c r="AF360" s="79"/>
      <c r="AG360" s="242"/>
      <c r="AH360" s="79"/>
      <c r="AI360" s="242"/>
      <c r="AJ360" s="79"/>
      <c r="AK360" s="242"/>
      <c r="AL360" s="79"/>
      <c r="AM360" s="242"/>
      <c r="AN360" s="79"/>
      <c r="AO360" s="242"/>
      <c r="AP360" s="79"/>
      <c r="AQ360" s="242"/>
      <c r="AR360" s="79"/>
      <c r="AS360" s="242"/>
      <c r="AT360" s="81"/>
      <c r="AU360" s="242"/>
      <c r="AV360" s="81"/>
      <c r="AW360" s="242"/>
      <c r="AX360" s="81"/>
      <c r="AY360" s="242"/>
      <c r="AZ360" s="81"/>
      <c r="BA360" s="242"/>
      <c r="BB360" s="81"/>
      <c r="BC360" s="242"/>
      <c r="BD360" s="81"/>
      <c r="BE360" s="242"/>
      <c r="BF360" s="81"/>
      <c r="BG360" s="242"/>
      <c r="BH360" s="81"/>
      <c r="BI360" s="242"/>
      <c r="BJ360" s="81"/>
      <c r="BK360" s="242"/>
      <c r="BL360" s="81"/>
      <c r="BM360" s="242"/>
      <c r="BN360" s="81"/>
      <c r="BO360" s="242"/>
      <c r="BP360" s="81"/>
      <c r="BQ360" s="242"/>
      <c r="BR360" s="81"/>
      <c r="BS360" s="242"/>
      <c r="BT360" s="81"/>
      <c r="BU360" s="242"/>
      <c r="BV360" s="81"/>
      <c r="BW360" s="242"/>
      <c r="BX360" s="81"/>
      <c r="BY360" s="242"/>
      <c r="BZ360" s="81"/>
      <c r="CA360" s="242"/>
      <c r="CB360" s="81"/>
      <c r="CC360" s="242"/>
      <c r="CD360" s="81"/>
      <c r="CE360" s="242"/>
      <c r="CF360" s="81"/>
      <c r="CG360" s="242"/>
      <c r="CH360" s="81"/>
      <c r="CI360" s="242"/>
      <c r="CJ360" s="81"/>
      <c r="CK360" s="242"/>
      <c r="CL360" s="81"/>
      <c r="CM360" s="242"/>
      <c r="CN360" s="81"/>
      <c r="CO360" s="242"/>
      <c r="CP360" s="81"/>
      <c r="CQ360" s="242"/>
      <c r="CR360" s="81"/>
      <c r="CS360" s="242"/>
      <c r="CT360" s="81"/>
      <c r="CU360" s="242"/>
      <c r="CV360" s="81"/>
      <c r="CW360" s="242"/>
      <c r="CX360" s="81"/>
      <c r="CY360" s="242"/>
      <c r="CZ360" s="81"/>
      <c r="DA360" s="242"/>
      <c r="DB360" s="81"/>
      <c r="DC360" s="242"/>
      <c r="DD360" s="81"/>
      <c r="DE360" s="242"/>
      <c r="DF360" s="81"/>
      <c r="DG360" s="242"/>
      <c r="DH360" s="81"/>
      <c r="DI360" s="242"/>
      <c r="DJ360" s="81"/>
      <c r="DK360" s="242"/>
      <c r="DL360" s="81"/>
      <c r="DM360" s="242"/>
      <c r="DN360" s="81"/>
      <c r="DO360" s="242"/>
      <c r="DP360" s="81"/>
      <c r="DQ360" s="242"/>
      <c r="DR360" s="81"/>
      <c r="DS360" s="242"/>
      <c r="DT360" s="81"/>
      <c r="DU360" s="242"/>
      <c r="DV360" s="81"/>
      <c r="DW360" s="242"/>
      <c r="DX360" s="81"/>
      <c r="DY360" s="242"/>
      <c r="DZ360" s="81"/>
      <c r="EA360" s="242"/>
      <c r="EB360" s="81"/>
      <c r="EC360" s="242"/>
      <c r="ED360" s="81"/>
      <c r="EE360" s="242"/>
      <c r="EF360" s="81"/>
      <c r="EG360" s="242"/>
      <c r="EH360" s="81"/>
      <c r="EI360" s="242"/>
      <c r="EJ360" s="81"/>
      <c r="EK360" s="242"/>
      <c r="EL360" s="81"/>
      <c r="EM360" s="242"/>
      <c r="EN360" s="81"/>
      <c r="EO360" s="242"/>
      <c r="EP360" s="81"/>
      <c r="EQ360" s="242"/>
      <c r="ER360" s="81"/>
      <c r="ES360" s="138"/>
      <c r="ET360" s="470"/>
      <c r="EU360" s="138"/>
      <c r="EV360" s="242"/>
      <c r="EW360" s="140"/>
      <c r="EX360" s="242"/>
      <c r="EY360" s="79"/>
      <c r="EZ360" s="242"/>
      <c r="FA360" s="79"/>
      <c r="FB360" s="242"/>
      <c r="FC360" s="79"/>
      <c r="FD360" s="242"/>
      <c r="FE360" s="79"/>
      <c r="FF360" s="242"/>
      <c r="FG360" s="79"/>
      <c r="FH360" s="242"/>
      <c r="FI360" s="79"/>
      <c r="FJ360" s="242"/>
      <c r="FK360" s="79"/>
      <c r="FL360" s="242"/>
      <c r="FM360" s="79"/>
      <c r="FN360" s="242"/>
      <c r="FO360" s="79"/>
      <c r="FP360" s="242"/>
      <c r="FQ360" s="79"/>
      <c r="FR360" s="242"/>
      <c r="FS360" s="79"/>
      <c r="FT360" s="242"/>
      <c r="FU360" s="79"/>
      <c r="FV360" s="242"/>
      <c r="FW360" s="79"/>
      <c r="FX360" s="242"/>
      <c r="FY360" s="79"/>
      <c r="FZ360" s="242"/>
      <c r="GA360" s="79"/>
      <c r="GB360" s="242"/>
      <c r="GC360" s="79"/>
      <c r="GD360" s="242"/>
      <c r="GE360" s="79"/>
      <c r="GF360" s="242"/>
      <c r="GG360" s="79"/>
      <c r="GH360" s="242"/>
      <c r="GI360" s="79"/>
      <c r="GJ360" s="242"/>
      <c r="GK360" s="79"/>
      <c r="GL360" s="242"/>
      <c r="GM360" s="79"/>
      <c r="GN360" s="242"/>
      <c r="GO360" s="79"/>
      <c r="GP360" s="242"/>
      <c r="GQ360" s="79"/>
      <c r="GR360" s="242"/>
      <c r="GS360" s="79"/>
      <c r="GT360" s="79"/>
    </row>
    <row r="361" spans="1:202" ht="12.75" hidden="1" customHeight="1" outlineLevel="1" x14ac:dyDescent="0.2">
      <c r="A361" s="1"/>
      <c r="B361" s="10" t="s">
        <v>183</v>
      </c>
      <c r="C361" s="79"/>
      <c r="D361" s="79"/>
      <c r="E361" s="75"/>
      <c r="F361" s="75"/>
      <c r="G361" s="75"/>
      <c r="H361" s="104"/>
      <c r="I361" s="75"/>
      <c r="J361" s="104"/>
      <c r="K361" s="75"/>
      <c r="L361" s="79"/>
      <c r="M361" s="75"/>
      <c r="N361" s="79"/>
      <c r="O361" s="75"/>
      <c r="P361" s="79"/>
      <c r="Q361" s="75"/>
      <c r="R361" s="79"/>
      <c r="S361" s="75"/>
      <c r="T361" s="79"/>
      <c r="U361" s="75"/>
      <c r="V361" s="79"/>
      <c r="W361" s="75"/>
      <c r="X361" s="79"/>
      <c r="Y361" s="75"/>
      <c r="Z361" s="79"/>
      <c r="AA361" s="267"/>
      <c r="AB361" s="79"/>
      <c r="AC361" s="75"/>
      <c r="AD361" s="79"/>
      <c r="AE361" s="75"/>
      <c r="AF361" s="79"/>
      <c r="AG361" s="75"/>
      <c r="AH361" s="79"/>
      <c r="AI361" s="75"/>
      <c r="AJ361" s="79"/>
      <c r="AK361" s="75"/>
      <c r="AL361" s="79"/>
      <c r="AM361" s="75"/>
      <c r="AN361" s="79" t="str">
        <f t="shared" ref="AN361:BD363" si="1100">IF(ISERROR((AM361/AE361-1)*100),"NA",IF(((AM361/AE361-1)*100)&gt;100,"NM",IF(((AM361/AE361-1)*100)&lt;-50,"NM",(AM361/AE361-1)*100)))</f>
        <v>NA</v>
      </c>
      <c r="AO361" s="75"/>
      <c r="AP361" s="79" t="str">
        <f t="shared" si="1100"/>
        <v>NA</v>
      </c>
      <c r="AQ361" s="95">
        <v>400</v>
      </c>
      <c r="AR361" s="79" t="str">
        <f t="shared" si="1100"/>
        <v>NA</v>
      </c>
      <c r="AS361" s="95">
        <v>400</v>
      </c>
      <c r="AT361" s="81" t="str">
        <f t="shared" si="1100"/>
        <v>NA</v>
      </c>
      <c r="AU361" s="95">
        <v>400</v>
      </c>
      <c r="AV361" s="81" t="str">
        <f t="shared" si="1100"/>
        <v>NA</v>
      </c>
      <c r="AW361" s="95">
        <v>400</v>
      </c>
      <c r="AX361" s="81" t="str">
        <f t="shared" si="1100"/>
        <v>NA</v>
      </c>
      <c r="AY361" s="95">
        <v>400</v>
      </c>
      <c r="AZ361" s="81">
        <f t="shared" si="1100"/>
        <v>0</v>
      </c>
      <c r="BA361" s="95">
        <v>400</v>
      </c>
      <c r="BB361" s="81">
        <f t="shared" si="1100"/>
        <v>0</v>
      </c>
      <c r="BC361" s="95">
        <v>400</v>
      </c>
      <c r="BD361" s="81">
        <f t="shared" si="1100"/>
        <v>0</v>
      </c>
      <c r="BE361" s="95">
        <v>400</v>
      </c>
      <c r="BF361" s="81">
        <f>IF(ISERROR((BE361/AW361-1)*100),"NA",IF(((BE361/AW361-1)*100)&gt;100,"NM",IF(((BE361/AW361-1)*100)&lt;-50,"NM",(BE361/AW361-1)*100)))</f>
        <v>0</v>
      </c>
      <c r="BG361" s="95">
        <v>400</v>
      </c>
      <c r="BH361" s="81">
        <f>IF(ISERROR((BG361/AY361-1)*100),"NA",IF(((BG361/AY361-1)*100)&gt;100,"NM",IF(((BG361/AY361-1)*100)&lt;-50,"NM",(BG361/AY361-1)*100)))</f>
        <v>0</v>
      </c>
      <c r="BI361" s="95">
        <v>400</v>
      </c>
      <c r="BJ361" s="81">
        <f t="shared" si="1097"/>
        <v>0</v>
      </c>
      <c r="BK361" s="95">
        <v>400</v>
      </c>
      <c r="BL361" s="81">
        <f>IF(ISERROR((BK361/BC361-1)*100),"NA",IF(((BK361/BC361-1)*100)&gt;100,"NM",IF(((BK361/BC361-1)*100)&lt;-50,"NM",(BK361/BC361-1)*100)))</f>
        <v>0</v>
      </c>
      <c r="BM361" s="95">
        <v>400</v>
      </c>
      <c r="BN361" s="81">
        <f>IF(ISERROR((BM361/BE361-1)*100),"NA",IF(((BM361/BE361-1)*100)&gt;100,"NM",IF(((BM361/BE361-1)*100)&lt;-50,"NM",(BM361/BE361-1)*100)))</f>
        <v>0</v>
      </c>
      <c r="BO361" s="95"/>
      <c r="BP361" s="81"/>
      <c r="BQ361" s="95"/>
      <c r="BR361" s="81"/>
      <c r="BS361" s="95"/>
      <c r="BT361" s="81"/>
      <c r="BU361" s="95"/>
      <c r="BV361" s="81"/>
      <c r="BW361" s="95"/>
      <c r="BX361" s="81"/>
      <c r="BY361" s="95"/>
      <c r="BZ361" s="81"/>
      <c r="CA361" s="95"/>
      <c r="CB361" s="81"/>
      <c r="CC361" s="95"/>
      <c r="CD361" s="81"/>
      <c r="CE361" s="95"/>
      <c r="CF361" s="81"/>
      <c r="CG361" s="95"/>
      <c r="CH361" s="81"/>
      <c r="CI361" s="95"/>
      <c r="CJ361" s="81"/>
      <c r="CK361" s="95"/>
      <c r="CL361" s="81"/>
      <c r="CM361" s="95"/>
      <c r="CN361" s="81"/>
      <c r="CO361" s="95"/>
      <c r="CP361" s="81"/>
      <c r="CQ361" s="95"/>
      <c r="CR361" s="81"/>
      <c r="CS361" s="95"/>
      <c r="CT361" s="81"/>
      <c r="CU361" s="95"/>
      <c r="CV361" s="81"/>
      <c r="CW361" s="95"/>
      <c r="CX361" s="81"/>
      <c r="CY361" s="95"/>
      <c r="CZ361" s="81"/>
      <c r="DA361" s="95"/>
      <c r="DB361" s="81"/>
      <c r="DC361" s="95"/>
      <c r="DD361" s="81"/>
      <c r="DE361" s="95"/>
      <c r="DF361" s="81"/>
      <c r="DG361" s="95"/>
      <c r="DH361" s="81"/>
      <c r="DI361" s="95"/>
      <c r="DJ361" s="81"/>
      <c r="DK361" s="95"/>
      <c r="DL361" s="81"/>
      <c r="DM361" s="95"/>
      <c r="DN361" s="81"/>
      <c r="DO361" s="95"/>
      <c r="DP361" s="81"/>
      <c r="DQ361" s="95"/>
      <c r="DR361" s="81"/>
      <c r="DS361" s="95"/>
      <c r="DT361" s="81"/>
      <c r="DU361" s="95"/>
      <c r="DV361" s="81"/>
      <c r="DW361" s="95"/>
      <c r="DX361" s="81"/>
      <c r="DY361" s="95"/>
      <c r="DZ361" s="81"/>
      <c r="EA361" s="95"/>
      <c r="EB361" s="81"/>
      <c r="EC361" s="95"/>
      <c r="ED361" s="81"/>
      <c r="EE361" s="95"/>
      <c r="EF361" s="81"/>
      <c r="EG361" s="95"/>
      <c r="EH361" s="81"/>
      <c r="EI361" s="95"/>
      <c r="EJ361" s="81"/>
      <c r="EK361" s="95"/>
      <c r="EL361" s="81"/>
      <c r="EM361" s="95"/>
      <c r="EN361" s="81"/>
      <c r="EO361" s="95"/>
      <c r="EP361" s="81"/>
      <c r="EQ361" s="95"/>
      <c r="ER361" s="81"/>
      <c r="ES361" s="129"/>
      <c r="ET361" s="469"/>
      <c r="EU361" s="129"/>
      <c r="EV361" s="75"/>
      <c r="EW361" s="79"/>
      <c r="EX361" s="75"/>
      <c r="EY361" s="79"/>
      <c r="EZ361" s="75"/>
      <c r="FA361" s="79"/>
      <c r="FB361" s="75"/>
      <c r="FC361" s="79"/>
      <c r="FD361" s="75"/>
      <c r="FE361" s="79"/>
      <c r="FF361" s="75"/>
      <c r="FG361" s="79"/>
      <c r="FH361" s="75"/>
      <c r="FI361" s="79"/>
      <c r="FJ361" s="75"/>
      <c r="FK361" s="79"/>
      <c r="FL361" s="93">
        <f>AY361</f>
        <v>400</v>
      </c>
      <c r="FM361" s="79"/>
      <c r="FN361" s="93">
        <f>BG361</f>
        <v>400</v>
      </c>
      <c r="FO361" s="79"/>
      <c r="FP361" s="93">
        <f>BO361</f>
        <v>0</v>
      </c>
      <c r="FQ361" s="79"/>
      <c r="FR361" s="93"/>
      <c r="FS361" s="79"/>
      <c r="FT361" s="93"/>
      <c r="FU361" s="79"/>
      <c r="FV361" s="93"/>
      <c r="FW361" s="79"/>
      <c r="FX361" s="93"/>
      <c r="FY361" s="79"/>
      <c r="FZ361" s="93"/>
      <c r="GA361" s="79"/>
      <c r="GB361" s="93"/>
      <c r="GC361" s="79"/>
      <c r="GD361" s="93"/>
      <c r="GE361" s="79"/>
      <c r="GF361" s="93"/>
      <c r="GG361" s="79"/>
      <c r="GH361" s="93"/>
      <c r="GI361" s="79"/>
      <c r="GJ361" s="93"/>
      <c r="GK361" s="79"/>
      <c r="GL361" s="95"/>
      <c r="GM361" s="79"/>
      <c r="GN361" s="95"/>
      <c r="GO361" s="79"/>
      <c r="GP361" s="95"/>
      <c r="GQ361" s="79"/>
      <c r="GR361" s="95"/>
      <c r="GS361" s="79"/>
      <c r="GT361" s="79"/>
    </row>
    <row r="362" spans="1:202" ht="12.75" hidden="1" customHeight="1" outlineLevel="1" x14ac:dyDescent="0.2">
      <c r="A362" s="1"/>
      <c r="B362" s="10" t="s">
        <v>187</v>
      </c>
      <c r="C362" s="79"/>
      <c r="D362" s="79"/>
      <c r="E362" s="75"/>
      <c r="F362" s="75"/>
      <c r="G362" s="75"/>
      <c r="H362" s="104"/>
      <c r="I362" s="75"/>
      <c r="J362" s="104"/>
      <c r="K362" s="75"/>
      <c r="L362" s="79"/>
      <c r="M362" s="75"/>
      <c r="N362" s="79"/>
      <c r="O362" s="75"/>
      <c r="P362" s="79"/>
      <c r="Q362" s="75"/>
      <c r="R362" s="79"/>
      <c r="S362" s="75"/>
      <c r="T362" s="79"/>
      <c r="U362" s="75"/>
      <c r="V362" s="79"/>
      <c r="W362" s="75"/>
      <c r="X362" s="79"/>
      <c r="Y362" s="75"/>
      <c r="Z362" s="79"/>
      <c r="AA362" s="267"/>
      <c r="AB362" s="79"/>
      <c r="AC362" s="75"/>
      <c r="AD362" s="79"/>
      <c r="AE362" s="75"/>
      <c r="AF362" s="79"/>
      <c r="AG362" s="75"/>
      <c r="AH362" s="79"/>
      <c r="AI362" s="75"/>
      <c r="AJ362" s="79"/>
      <c r="AK362" s="75"/>
      <c r="AL362" s="79"/>
      <c r="AM362" s="75"/>
      <c r="AN362" s="79" t="str">
        <f t="shared" si="1100"/>
        <v>NA</v>
      </c>
      <c r="AO362" s="75"/>
      <c r="AP362" s="79" t="str">
        <f t="shared" si="1100"/>
        <v>NA</v>
      </c>
      <c r="AQ362" s="294">
        <v>6.85</v>
      </c>
      <c r="AR362" s="79" t="str">
        <f t="shared" si="1100"/>
        <v>NA</v>
      </c>
      <c r="AS362" s="95">
        <v>6.85</v>
      </c>
      <c r="AT362" s="81" t="str">
        <f t="shared" si="1100"/>
        <v>NA</v>
      </c>
      <c r="AU362" s="95">
        <v>6.85</v>
      </c>
      <c r="AV362" s="81" t="str">
        <f t="shared" si="1100"/>
        <v>NA</v>
      </c>
      <c r="AW362" s="95">
        <v>6.85</v>
      </c>
      <c r="AX362" s="81" t="str">
        <f t="shared" si="1100"/>
        <v>NA</v>
      </c>
      <c r="AY362" s="95">
        <v>6.85</v>
      </c>
      <c r="AZ362" s="81">
        <f t="shared" si="1100"/>
        <v>0</v>
      </c>
      <c r="BA362" s="95">
        <v>6.85</v>
      </c>
      <c r="BB362" s="81">
        <f t="shared" si="1100"/>
        <v>0</v>
      </c>
      <c r="BC362" s="95">
        <v>6.85</v>
      </c>
      <c r="BD362" s="81">
        <f t="shared" si="1100"/>
        <v>0</v>
      </c>
      <c r="BE362" s="95">
        <v>6.85</v>
      </c>
      <c r="BF362" s="81">
        <f>IF(ISERROR((BE362/AW362-1)*100),"NA",IF(((BE362/AW362-1)*100)&gt;100,"NM",IF(((BE362/AW362-1)*100)&lt;-50,"NM",(BE362/AW362-1)*100)))</f>
        <v>0</v>
      </c>
      <c r="BG362" s="95">
        <v>6.85</v>
      </c>
      <c r="BH362" s="81">
        <f>IF(ISERROR((BG362/AY362-1)*100),"NA",IF(((BG362/AY362-1)*100)&gt;100,"NM",IF(((BG362/AY362-1)*100)&lt;-50,"NM",(BG362/AY362-1)*100)))</f>
        <v>0</v>
      </c>
      <c r="BI362" s="95">
        <v>6.85</v>
      </c>
      <c r="BJ362" s="81">
        <f t="shared" si="1097"/>
        <v>0</v>
      </c>
      <c r="BK362" s="95">
        <v>6.85</v>
      </c>
      <c r="BL362" s="81">
        <f>IF(ISERROR((BK362/BC362-1)*100),"NA",IF(((BK362/BC362-1)*100)&gt;100,"NM",IF(((BK362/BC362-1)*100)&lt;-50,"NM",(BK362/BC362-1)*100)))</f>
        <v>0</v>
      </c>
      <c r="BM362" s="95">
        <v>6.85</v>
      </c>
      <c r="BN362" s="81">
        <f>IF(ISERROR((BM362/BE362-1)*100),"NA",IF(((BM362/BE362-1)*100)&gt;100,"NM",IF(((BM362/BE362-1)*100)&lt;-50,"NM",(BM362/BE362-1)*100)))</f>
        <v>0</v>
      </c>
      <c r="BO362" s="95"/>
      <c r="BP362" s="81"/>
      <c r="BQ362" s="95"/>
      <c r="BR362" s="81"/>
      <c r="BS362" s="95"/>
      <c r="BT362" s="81"/>
      <c r="BU362" s="95"/>
      <c r="BV362" s="81"/>
      <c r="BW362" s="95"/>
      <c r="BX362" s="81"/>
      <c r="BY362" s="95"/>
      <c r="BZ362" s="81"/>
      <c r="CA362" s="95"/>
      <c r="CB362" s="81"/>
      <c r="CC362" s="95"/>
      <c r="CD362" s="81"/>
      <c r="CE362" s="95"/>
      <c r="CF362" s="81"/>
      <c r="CG362" s="95"/>
      <c r="CH362" s="81"/>
      <c r="CI362" s="95"/>
      <c r="CJ362" s="81"/>
      <c r="CK362" s="95"/>
      <c r="CL362" s="81"/>
      <c r="CM362" s="95"/>
      <c r="CN362" s="81"/>
      <c r="CO362" s="95"/>
      <c r="CP362" s="81"/>
      <c r="CQ362" s="95"/>
      <c r="CR362" s="81"/>
      <c r="CS362" s="95"/>
      <c r="CT362" s="81"/>
      <c r="CU362" s="95"/>
      <c r="CV362" s="81"/>
      <c r="CW362" s="95"/>
      <c r="CX362" s="81"/>
      <c r="CY362" s="95"/>
      <c r="CZ362" s="81"/>
      <c r="DA362" s="95"/>
      <c r="DB362" s="81"/>
      <c r="DC362" s="95"/>
      <c r="DD362" s="81"/>
      <c r="DE362" s="95"/>
      <c r="DF362" s="81"/>
      <c r="DG362" s="95"/>
      <c r="DH362" s="81"/>
      <c r="DI362" s="95"/>
      <c r="DJ362" s="81"/>
      <c r="DK362" s="95"/>
      <c r="DL362" s="81"/>
      <c r="DM362" s="95"/>
      <c r="DN362" s="81"/>
      <c r="DO362" s="95"/>
      <c r="DP362" s="81"/>
      <c r="DQ362" s="95"/>
      <c r="DR362" s="81"/>
      <c r="DS362" s="95"/>
      <c r="DT362" s="81"/>
      <c r="DU362" s="95"/>
      <c r="DV362" s="81"/>
      <c r="DW362" s="95"/>
      <c r="DX362" s="81"/>
      <c r="DY362" s="95"/>
      <c r="DZ362" s="81"/>
      <c r="EA362" s="95"/>
      <c r="EB362" s="81"/>
      <c r="EC362" s="95"/>
      <c r="ED362" s="81"/>
      <c r="EE362" s="95"/>
      <c r="EF362" s="81"/>
      <c r="EG362" s="95"/>
      <c r="EH362" s="81"/>
      <c r="EI362" s="95"/>
      <c r="EJ362" s="81"/>
      <c r="EK362" s="95"/>
      <c r="EL362" s="81"/>
      <c r="EM362" s="95"/>
      <c r="EN362" s="81"/>
      <c r="EO362" s="95"/>
      <c r="EP362" s="81"/>
      <c r="EQ362" s="95"/>
      <c r="ER362" s="81"/>
      <c r="ES362" s="105"/>
      <c r="ET362" s="475"/>
      <c r="EU362" s="105"/>
      <c r="EV362" s="104"/>
      <c r="EW362" s="201"/>
      <c r="EX362" s="104"/>
      <c r="EY362" s="201"/>
      <c r="EZ362" s="104"/>
      <c r="FA362" s="201"/>
      <c r="FB362" s="104"/>
      <c r="FC362" s="201"/>
      <c r="FD362" s="104"/>
      <c r="FE362" s="201"/>
      <c r="FF362" s="104"/>
      <c r="FG362" s="201"/>
      <c r="FH362" s="104"/>
      <c r="FI362" s="201"/>
      <c r="FJ362" s="104"/>
      <c r="FK362" s="201"/>
      <c r="FL362" s="295">
        <f>AY362</f>
        <v>6.85</v>
      </c>
      <c r="FM362" s="201"/>
      <c r="FN362" s="295">
        <f>BG362</f>
        <v>6.85</v>
      </c>
      <c r="FO362" s="201"/>
      <c r="FP362" s="295">
        <f>BO362</f>
        <v>0</v>
      </c>
      <c r="FQ362" s="201"/>
      <c r="FR362" s="93"/>
      <c r="FS362" s="201"/>
      <c r="FT362" s="93"/>
      <c r="FU362" s="201"/>
      <c r="FV362" s="93"/>
      <c r="FW362" s="201"/>
      <c r="FX362" s="93"/>
      <c r="FY362" s="201"/>
      <c r="FZ362" s="93"/>
      <c r="GA362" s="201"/>
      <c r="GB362" s="93"/>
      <c r="GC362" s="201"/>
      <c r="GD362" s="93"/>
      <c r="GE362" s="201"/>
      <c r="GF362" s="93"/>
      <c r="GG362" s="201"/>
      <c r="GH362" s="93"/>
      <c r="GI362" s="201"/>
      <c r="GJ362" s="93"/>
      <c r="GK362" s="201"/>
      <c r="GL362" s="95"/>
      <c r="GM362" s="201"/>
      <c r="GN362" s="95"/>
      <c r="GO362" s="201"/>
      <c r="GP362" s="95"/>
      <c r="GQ362" s="201"/>
      <c r="GR362" s="95"/>
      <c r="GS362" s="201"/>
      <c r="GT362" s="79"/>
    </row>
    <row r="363" spans="1:202" ht="12.75" hidden="1" customHeight="1" outlineLevel="1" x14ac:dyDescent="0.2">
      <c r="A363" s="1"/>
      <c r="B363" s="10" t="s">
        <v>184</v>
      </c>
      <c r="C363" s="79"/>
      <c r="D363" s="79"/>
      <c r="E363" s="75"/>
      <c r="F363" s="75"/>
      <c r="G363" s="75"/>
      <c r="H363" s="104"/>
      <c r="I363" s="75"/>
      <c r="J363" s="104"/>
      <c r="K363" s="75"/>
      <c r="L363" s="79"/>
      <c r="M363" s="75"/>
      <c r="N363" s="79"/>
      <c r="O363" s="75"/>
      <c r="P363" s="79"/>
      <c r="Q363" s="75"/>
      <c r="R363" s="79"/>
      <c r="S363" s="75"/>
      <c r="T363" s="79"/>
      <c r="U363" s="75"/>
      <c r="V363" s="79"/>
      <c r="W363" s="75"/>
      <c r="X363" s="79"/>
      <c r="Y363" s="75"/>
      <c r="Z363" s="79"/>
      <c r="AA363" s="267"/>
      <c r="AB363" s="79"/>
      <c r="AC363" s="75"/>
      <c r="AD363" s="79"/>
      <c r="AE363" s="75"/>
      <c r="AF363" s="79"/>
      <c r="AG363" s="75"/>
      <c r="AH363" s="79"/>
      <c r="AI363" s="75"/>
      <c r="AJ363" s="79"/>
      <c r="AK363" s="75"/>
      <c r="AL363" s="79"/>
      <c r="AM363" s="75"/>
      <c r="AN363" s="79" t="str">
        <f t="shared" si="1100"/>
        <v>NA</v>
      </c>
      <c r="AO363" s="75"/>
      <c r="AP363" s="79" t="str">
        <f t="shared" si="1100"/>
        <v>NA</v>
      </c>
      <c r="AQ363" s="75">
        <f>AQ362/400*AQ361</f>
        <v>6.8499999999999988</v>
      </c>
      <c r="AR363" s="79" t="str">
        <f t="shared" si="1100"/>
        <v>NA</v>
      </c>
      <c r="AS363" s="75">
        <f>AS362/400*AS361</f>
        <v>6.8499999999999988</v>
      </c>
      <c r="AT363" s="81" t="str">
        <f t="shared" si="1100"/>
        <v>NA</v>
      </c>
      <c r="AU363" s="75">
        <f>AU362/400*AU361</f>
        <v>6.8499999999999988</v>
      </c>
      <c r="AV363" s="81" t="str">
        <f t="shared" si="1100"/>
        <v>NA</v>
      </c>
      <c r="AW363" s="75">
        <f>AW362/400*AW361</f>
        <v>6.8499999999999988</v>
      </c>
      <c r="AX363" s="81" t="str">
        <f t="shared" si="1100"/>
        <v>NA</v>
      </c>
      <c r="AY363" s="75">
        <f>AY362/400*AY361</f>
        <v>6.8499999999999988</v>
      </c>
      <c r="AZ363" s="81">
        <f t="shared" si="1100"/>
        <v>0</v>
      </c>
      <c r="BA363" s="75">
        <f>BA362/400*BA361</f>
        <v>6.8499999999999988</v>
      </c>
      <c r="BB363" s="81">
        <f t="shared" si="1100"/>
        <v>0</v>
      </c>
      <c r="BC363" s="75">
        <f>BC362/400*BC361</f>
        <v>6.8499999999999988</v>
      </c>
      <c r="BD363" s="81">
        <f t="shared" si="1100"/>
        <v>0</v>
      </c>
      <c r="BE363" s="75">
        <f>BE362/400*BE361</f>
        <v>6.8499999999999988</v>
      </c>
      <c r="BF363" s="81">
        <f>IF(ISERROR((BE363/AW363-1)*100),"NA",IF(((BE363/AW363-1)*100)&gt;100,"NM",IF(((BE363/AW363-1)*100)&lt;-50,"NM",(BE363/AW363-1)*100)))</f>
        <v>0</v>
      </c>
      <c r="BG363" s="75">
        <f>BG362/400*BG361</f>
        <v>6.8499999999999988</v>
      </c>
      <c r="BH363" s="81">
        <f>IF(ISERROR((BG363/AY363-1)*100),"NA",IF(((BG363/AY363-1)*100)&gt;100,"NM",IF(((BG363/AY363-1)*100)&lt;-50,"NM",(BG363/AY363-1)*100)))</f>
        <v>0</v>
      </c>
      <c r="BI363" s="75">
        <f>BI362/400*BI361</f>
        <v>6.8499999999999988</v>
      </c>
      <c r="BJ363" s="81">
        <f t="shared" si="1097"/>
        <v>0</v>
      </c>
      <c r="BK363" s="75">
        <f>BK362/400*BK361</f>
        <v>6.8499999999999988</v>
      </c>
      <c r="BL363" s="81">
        <f>IF(ISERROR((BK363/BC363-1)*100),"NA",IF(((BK363/BC363-1)*100)&gt;100,"NM",IF(((BK363/BC363-1)*100)&lt;-50,"NM",(BK363/BC363-1)*100)))</f>
        <v>0</v>
      </c>
      <c r="BM363" s="75">
        <f>BM362/400*BM361</f>
        <v>6.8499999999999988</v>
      </c>
      <c r="BN363" s="81">
        <f>IF(ISERROR((BM363/BE363-1)*100),"NA",IF(((BM363/BE363-1)*100)&gt;100,"NM",IF(((BM363/BE363-1)*100)&lt;-50,"NM",(BM363/BE363-1)*100)))</f>
        <v>0</v>
      </c>
      <c r="BO363" s="75"/>
      <c r="BP363" s="81"/>
      <c r="BQ363" s="75"/>
      <c r="BR363" s="81"/>
      <c r="BS363" s="75"/>
      <c r="BT363" s="81"/>
      <c r="BU363" s="75"/>
      <c r="BV363" s="81"/>
      <c r="BW363" s="75"/>
      <c r="BX363" s="81"/>
      <c r="BY363" s="75"/>
      <c r="BZ363" s="81"/>
      <c r="CA363" s="75"/>
      <c r="CB363" s="81"/>
      <c r="CC363" s="75"/>
      <c r="CD363" s="81"/>
      <c r="CE363" s="75"/>
      <c r="CF363" s="81"/>
      <c r="CG363" s="75"/>
      <c r="CH363" s="81"/>
      <c r="CI363" s="75"/>
      <c r="CJ363" s="81"/>
      <c r="CK363" s="75"/>
      <c r="CL363" s="81"/>
      <c r="CM363" s="75"/>
      <c r="CN363" s="81"/>
      <c r="CO363" s="75"/>
      <c r="CP363" s="81"/>
      <c r="CQ363" s="75"/>
      <c r="CR363" s="81"/>
      <c r="CS363" s="75"/>
      <c r="CT363" s="81"/>
      <c r="CU363" s="75"/>
      <c r="CV363" s="81"/>
      <c r="CW363" s="75"/>
      <c r="CX363" s="81"/>
      <c r="CY363" s="75"/>
      <c r="CZ363" s="81"/>
      <c r="DA363" s="75"/>
      <c r="DB363" s="81"/>
      <c r="DC363" s="75"/>
      <c r="DD363" s="81"/>
      <c r="DE363" s="75"/>
      <c r="DF363" s="81"/>
      <c r="DG363" s="75"/>
      <c r="DH363" s="81"/>
      <c r="DI363" s="75"/>
      <c r="DJ363" s="81"/>
      <c r="DK363" s="75"/>
      <c r="DL363" s="81"/>
      <c r="DM363" s="75"/>
      <c r="DN363" s="81"/>
      <c r="DO363" s="75"/>
      <c r="DP363" s="81"/>
      <c r="DQ363" s="75"/>
      <c r="DR363" s="81"/>
      <c r="DS363" s="75"/>
      <c r="DT363" s="81"/>
      <c r="DU363" s="75"/>
      <c r="DV363" s="81"/>
      <c r="DW363" s="75"/>
      <c r="DX363" s="81"/>
      <c r="DY363" s="75"/>
      <c r="DZ363" s="81"/>
      <c r="EA363" s="75"/>
      <c r="EB363" s="81"/>
      <c r="EC363" s="75"/>
      <c r="ED363" s="81"/>
      <c r="EE363" s="75"/>
      <c r="EF363" s="81"/>
      <c r="EG363" s="75"/>
      <c r="EH363" s="81"/>
      <c r="EI363" s="75"/>
      <c r="EJ363" s="81"/>
      <c r="EK363" s="75"/>
      <c r="EL363" s="81"/>
      <c r="EM363" s="75"/>
      <c r="EN363" s="81"/>
      <c r="EO363" s="75"/>
      <c r="EP363" s="81"/>
      <c r="EQ363" s="75"/>
      <c r="ER363" s="81"/>
      <c r="ES363" s="129"/>
      <c r="ET363" s="469"/>
      <c r="EU363" s="129"/>
      <c r="EV363" s="75"/>
      <c r="EW363" s="79"/>
      <c r="EX363" s="75"/>
      <c r="EY363" s="79"/>
      <c r="EZ363" s="75"/>
      <c r="FA363" s="79"/>
      <c r="FB363" s="75"/>
      <c r="FC363" s="79"/>
      <c r="FD363" s="75"/>
      <c r="FE363" s="79"/>
      <c r="FF363" s="75"/>
      <c r="FG363" s="79"/>
      <c r="FH363" s="75"/>
      <c r="FI363" s="79"/>
      <c r="FJ363" s="75"/>
      <c r="FK363" s="79"/>
      <c r="FL363" s="93">
        <f>SUM(AY363,AW363,AU363,AS363)</f>
        <v>27.399999999999995</v>
      </c>
      <c r="FM363" s="79"/>
      <c r="FN363" s="93">
        <f>BA363+BC363+BE363+BG363</f>
        <v>27.399999999999995</v>
      </c>
      <c r="FO363" s="79"/>
      <c r="FP363" s="93">
        <f>BI363+BK363+BM363+BO363</f>
        <v>20.549999999999997</v>
      </c>
      <c r="FQ363" s="79"/>
      <c r="FR363" s="75"/>
      <c r="FS363" s="79"/>
      <c r="FT363" s="75"/>
      <c r="FU363" s="79"/>
      <c r="FV363" s="75"/>
      <c r="FW363" s="79"/>
      <c r="FX363" s="75"/>
      <c r="FY363" s="79"/>
      <c r="FZ363" s="75"/>
      <c r="GA363" s="79"/>
      <c r="GB363" s="75"/>
      <c r="GC363" s="79"/>
      <c r="GD363" s="75"/>
      <c r="GE363" s="79"/>
      <c r="GF363" s="75"/>
      <c r="GG363" s="79"/>
      <c r="GH363" s="75"/>
      <c r="GI363" s="79"/>
      <c r="GJ363" s="75"/>
      <c r="GK363" s="79"/>
      <c r="GL363" s="75"/>
      <c r="GM363" s="79"/>
      <c r="GN363" s="75"/>
      <c r="GO363" s="79"/>
      <c r="GP363" s="75"/>
      <c r="GQ363" s="79"/>
      <c r="GR363" s="75"/>
      <c r="GS363" s="79"/>
      <c r="GT363" s="79"/>
    </row>
    <row r="364" spans="1:202" ht="12.75" hidden="1" customHeight="1" outlineLevel="1" x14ac:dyDescent="0.2">
      <c r="A364" s="1"/>
      <c r="B364" s="83"/>
      <c r="C364" s="79"/>
      <c r="D364" s="79"/>
      <c r="E364" s="242"/>
      <c r="F364" s="242"/>
      <c r="G364" s="242"/>
      <c r="H364" s="243"/>
      <c r="I364" s="242"/>
      <c r="J364" s="243"/>
      <c r="K364" s="242"/>
      <c r="L364" s="79"/>
      <c r="M364" s="242"/>
      <c r="N364" s="79"/>
      <c r="O364" s="242"/>
      <c r="P364" s="79"/>
      <c r="Q364" s="242"/>
      <c r="R364" s="79"/>
      <c r="S364" s="242"/>
      <c r="T364" s="79"/>
      <c r="U364" s="242"/>
      <c r="V364" s="79"/>
      <c r="W364" s="242"/>
      <c r="X364" s="79"/>
      <c r="Y364" s="242"/>
      <c r="Z364" s="79"/>
      <c r="AA364" s="244"/>
      <c r="AB364" s="79"/>
      <c r="AC364" s="242"/>
      <c r="AD364" s="79"/>
      <c r="AE364" s="242"/>
      <c r="AF364" s="79"/>
      <c r="AG364" s="242"/>
      <c r="AH364" s="79"/>
      <c r="AI364" s="242"/>
      <c r="AJ364" s="79"/>
      <c r="AK364" s="242"/>
      <c r="AL364" s="79"/>
      <c r="AM364" s="242"/>
      <c r="AN364" s="79"/>
      <c r="AO364" s="242"/>
      <c r="AP364" s="79"/>
      <c r="AQ364" s="242"/>
      <c r="AR364" s="79"/>
      <c r="AS364" s="242"/>
      <c r="AT364" s="81"/>
      <c r="AU364" s="242"/>
      <c r="AV364" s="81"/>
      <c r="AW364" s="242"/>
      <c r="AX364" s="81"/>
      <c r="AY364" s="242"/>
      <c r="AZ364" s="81"/>
      <c r="BA364" s="242"/>
      <c r="BB364" s="81"/>
      <c r="BC364" s="242"/>
      <c r="BD364" s="81"/>
      <c r="BE364" s="242"/>
      <c r="BF364" s="81"/>
      <c r="BG364" s="242"/>
      <c r="BH364" s="81"/>
      <c r="BI364" s="242"/>
      <c r="BJ364" s="81"/>
      <c r="BK364" s="242"/>
      <c r="BL364" s="81"/>
      <c r="BM364" s="242"/>
      <c r="BN364" s="81"/>
      <c r="BO364" s="242"/>
      <c r="BP364" s="81"/>
      <c r="BQ364" s="242"/>
      <c r="BR364" s="81"/>
      <c r="BS364" s="242"/>
      <c r="BT364" s="81"/>
      <c r="BU364" s="242"/>
      <c r="BV364" s="81"/>
      <c r="BW364" s="242"/>
      <c r="BX364" s="81"/>
      <c r="BY364" s="242"/>
      <c r="BZ364" s="81"/>
      <c r="CA364" s="242"/>
      <c r="CB364" s="81"/>
      <c r="CC364" s="242"/>
      <c r="CD364" s="81"/>
      <c r="CE364" s="242"/>
      <c r="CF364" s="81"/>
      <c r="CG364" s="242"/>
      <c r="CH364" s="81"/>
      <c r="CI364" s="242"/>
      <c r="CJ364" s="81"/>
      <c r="CK364" s="242"/>
      <c r="CL364" s="81"/>
      <c r="CM364" s="242"/>
      <c r="CN364" s="81"/>
      <c r="CO364" s="242"/>
      <c r="CP364" s="81"/>
      <c r="CQ364" s="242"/>
      <c r="CR364" s="81"/>
      <c r="CS364" s="242"/>
      <c r="CT364" s="81"/>
      <c r="CU364" s="242"/>
      <c r="CV364" s="81"/>
      <c r="CW364" s="242"/>
      <c r="CX364" s="81"/>
      <c r="CY364" s="242"/>
      <c r="CZ364" s="81"/>
      <c r="DA364" s="242"/>
      <c r="DB364" s="81"/>
      <c r="DC364" s="242"/>
      <c r="DD364" s="81"/>
      <c r="DE364" s="242"/>
      <c r="DF364" s="81"/>
      <c r="DG364" s="242"/>
      <c r="DH364" s="81"/>
      <c r="DI364" s="242"/>
      <c r="DJ364" s="81"/>
      <c r="DK364" s="242"/>
      <c r="DL364" s="81"/>
      <c r="DM364" s="242"/>
      <c r="DN364" s="81"/>
      <c r="DO364" s="242"/>
      <c r="DP364" s="81"/>
      <c r="DQ364" s="242"/>
      <c r="DR364" s="81"/>
      <c r="DS364" s="242"/>
      <c r="DT364" s="81"/>
      <c r="DU364" s="242"/>
      <c r="DV364" s="81"/>
      <c r="DW364" s="242"/>
      <c r="DX364" s="81"/>
      <c r="DY364" s="242"/>
      <c r="DZ364" s="81"/>
      <c r="EA364" s="242"/>
      <c r="EB364" s="81"/>
      <c r="EC364" s="242"/>
      <c r="ED364" s="81"/>
      <c r="EE364" s="242"/>
      <c r="EF364" s="81"/>
      <c r="EG364" s="242"/>
      <c r="EH364" s="81"/>
      <c r="EI364" s="242"/>
      <c r="EJ364" s="81"/>
      <c r="EK364" s="242"/>
      <c r="EL364" s="81"/>
      <c r="EM364" s="242"/>
      <c r="EN364" s="81"/>
      <c r="EO364" s="242"/>
      <c r="EP364" s="81"/>
      <c r="EQ364" s="242"/>
      <c r="ER364" s="81"/>
      <c r="ES364" s="138"/>
      <c r="ET364" s="470"/>
      <c r="EU364" s="138"/>
      <c r="EV364" s="242"/>
      <c r="EW364" s="140"/>
      <c r="EX364" s="242"/>
      <c r="EY364" s="79"/>
      <c r="EZ364" s="242"/>
      <c r="FA364" s="79"/>
      <c r="FB364" s="242"/>
      <c r="FC364" s="79"/>
      <c r="FD364" s="242"/>
      <c r="FE364" s="79"/>
      <c r="FF364" s="242"/>
      <c r="FG364" s="79"/>
      <c r="FH364" s="242"/>
      <c r="FI364" s="79"/>
      <c r="FJ364" s="242"/>
      <c r="FK364" s="79"/>
      <c r="FL364" s="199"/>
      <c r="FM364" s="79"/>
      <c r="FN364" s="199"/>
      <c r="FO364" s="79"/>
      <c r="FP364" s="199"/>
      <c r="FQ364" s="79"/>
      <c r="FR364" s="242"/>
      <c r="FS364" s="79"/>
      <c r="FT364" s="242"/>
      <c r="FU364" s="79"/>
      <c r="FV364" s="242"/>
      <c r="FW364" s="79"/>
      <c r="FX364" s="242"/>
      <c r="FY364" s="79"/>
      <c r="FZ364" s="242"/>
      <c r="GA364" s="79"/>
      <c r="GB364" s="242"/>
      <c r="GC364" s="79"/>
      <c r="GD364" s="242"/>
      <c r="GE364" s="79"/>
      <c r="GF364" s="242"/>
      <c r="GG364" s="79"/>
      <c r="GH364" s="242"/>
      <c r="GI364" s="79"/>
      <c r="GJ364" s="242"/>
      <c r="GK364" s="79"/>
      <c r="GL364" s="242"/>
      <c r="GM364" s="79"/>
      <c r="GN364" s="242"/>
      <c r="GO364" s="79"/>
      <c r="GP364" s="242"/>
      <c r="GQ364" s="79"/>
      <c r="GR364" s="242"/>
      <c r="GS364" s="79"/>
      <c r="GT364" s="79"/>
    </row>
    <row r="365" spans="1:202" ht="12.75" hidden="1" customHeight="1" outlineLevel="1" x14ac:dyDescent="0.2">
      <c r="A365" s="1"/>
      <c r="B365" s="10" t="s">
        <v>186</v>
      </c>
      <c r="C365" s="79"/>
      <c r="D365" s="79"/>
      <c r="E365" s="75"/>
      <c r="F365" s="75"/>
      <c r="G365" s="75"/>
      <c r="H365" s="104"/>
      <c r="I365" s="75"/>
      <c r="J365" s="104"/>
      <c r="K365" s="75"/>
      <c r="L365" s="79"/>
      <c r="M365" s="75"/>
      <c r="N365" s="79"/>
      <c r="O365" s="75"/>
      <c r="P365" s="79"/>
      <c r="Q365" s="75"/>
      <c r="R365" s="79"/>
      <c r="S365" s="75"/>
      <c r="T365" s="79"/>
      <c r="U365" s="75"/>
      <c r="V365" s="79"/>
      <c r="W365" s="75"/>
      <c r="X365" s="79"/>
      <c r="Y365" s="75"/>
      <c r="Z365" s="79"/>
      <c r="AA365" s="267"/>
      <c r="AB365" s="79"/>
      <c r="AC365" s="75"/>
      <c r="AD365" s="79"/>
      <c r="AE365" s="75"/>
      <c r="AF365" s="79"/>
      <c r="AG365" s="75"/>
      <c r="AH365" s="79"/>
      <c r="AI365" s="75"/>
      <c r="AJ365" s="79"/>
      <c r="AK365" s="75"/>
      <c r="AL365" s="79"/>
      <c r="AM365" s="75"/>
      <c r="AN365" s="79" t="str">
        <f t="shared" ref="AN365:BD367" si="1101">IF(ISERROR((AM365/AE365-1)*100),"NA",IF(((AM365/AE365-1)*100)&gt;100,"NM",IF(((AM365/AE365-1)*100)&lt;-50,"NM",(AM365/AE365-1)*100)))</f>
        <v>NA</v>
      </c>
      <c r="AO365" s="75"/>
      <c r="AP365" s="79" t="str">
        <f t="shared" si="1101"/>
        <v>NA</v>
      </c>
      <c r="AQ365" s="95">
        <v>575</v>
      </c>
      <c r="AR365" s="79" t="str">
        <f t="shared" si="1101"/>
        <v>NA</v>
      </c>
      <c r="AS365" s="95">
        <v>175</v>
      </c>
      <c r="AT365" s="81" t="str">
        <f t="shared" si="1101"/>
        <v>NA</v>
      </c>
      <c r="AU365" s="95">
        <v>175</v>
      </c>
      <c r="AV365" s="81" t="str">
        <f t="shared" si="1101"/>
        <v>NA</v>
      </c>
      <c r="AW365" s="95">
        <v>175</v>
      </c>
      <c r="AX365" s="81" t="str">
        <f t="shared" si="1101"/>
        <v>NA</v>
      </c>
      <c r="AY365" s="95">
        <v>175</v>
      </c>
      <c r="AZ365" s="81" t="str">
        <f t="shared" si="1101"/>
        <v>NM</v>
      </c>
      <c r="BA365" s="95">
        <v>175</v>
      </c>
      <c r="BB365" s="81">
        <f t="shared" si="1101"/>
        <v>0</v>
      </c>
      <c r="BC365" s="95">
        <v>175</v>
      </c>
      <c r="BD365" s="81">
        <f t="shared" si="1101"/>
        <v>0</v>
      </c>
      <c r="BE365" s="95">
        <v>175</v>
      </c>
      <c r="BF365" s="81">
        <f>IF(ISERROR((BE365/AW365-1)*100),"NA",IF(((BE365/AW365-1)*100)&gt;100,"NM",IF(((BE365/AW365-1)*100)&lt;-50,"NM",(BE365/AW365-1)*100)))</f>
        <v>0</v>
      </c>
      <c r="BG365" s="95">
        <v>175</v>
      </c>
      <c r="BH365" s="81">
        <f>IF(ISERROR((BG365/AY365-1)*100),"NA",IF(((BG365/AY365-1)*100)&gt;100,"NM",IF(((BG365/AY365-1)*100)&lt;-50,"NM",(BG365/AY365-1)*100)))</f>
        <v>0</v>
      </c>
      <c r="BI365" s="95">
        <v>175</v>
      </c>
      <c r="BJ365" s="81">
        <f t="shared" si="1097"/>
        <v>0</v>
      </c>
      <c r="BK365" s="95">
        <v>175</v>
      </c>
      <c r="BL365" s="81">
        <f>IF(ISERROR((BK365/BC365-1)*100),"NA",IF(((BK365/BC365-1)*100)&gt;100,"NM",IF(((BK365/BC365-1)*100)&lt;-50,"NM",(BK365/BC365-1)*100)))</f>
        <v>0</v>
      </c>
      <c r="BM365" s="95">
        <v>175</v>
      </c>
      <c r="BN365" s="81">
        <f>IF(ISERROR((BM365/BE365-1)*100),"NA",IF(((BM365/BE365-1)*100)&gt;100,"NM",IF(((BM365/BE365-1)*100)&lt;-50,"NM",(BM365/BE365-1)*100)))</f>
        <v>0</v>
      </c>
      <c r="BO365" s="95"/>
      <c r="BP365" s="81"/>
      <c r="BQ365" s="95"/>
      <c r="BR365" s="81"/>
      <c r="BS365" s="95"/>
      <c r="BT365" s="81"/>
      <c r="BU365" s="95"/>
      <c r="BV365" s="81"/>
      <c r="BW365" s="95"/>
      <c r="BX365" s="81"/>
      <c r="BY365" s="95"/>
      <c r="BZ365" s="81"/>
      <c r="CA365" s="95"/>
      <c r="CB365" s="81"/>
      <c r="CC365" s="95"/>
      <c r="CD365" s="81"/>
      <c r="CE365" s="95"/>
      <c r="CF365" s="81"/>
      <c r="CG365" s="95"/>
      <c r="CH365" s="81"/>
      <c r="CI365" s="95"/>
      <c r="CJ365" s="81"/>
      <c r="CK365" s="95"/>
      <c r="CL365" s="81"/>
      <c r="CM365" s="95"/>
      <c r="CN365" s="81"/>
      <c r="CO365" s="95"/>
      <c r="CP365" s="81"/>
      <c r="CQ365" s="95"/>
      <c r="CR365" s="81"/>
      <c r="CS365" s="95"/>
      <c r="CT365" s="81"/>
      <c r="CU365" s="95"/>
      <c r="CV365" s="81"/>
      <c r="CW365" s="95"/>
      <c r="CX365" s="81"/>
      <c r="CY365" s="95"/>
      <c r="CZ365" s="81"/>
      <c r="DA365" s="95"/>
      <c r="DB365" s="81"/>
      <c r="DC365" s="95"/>
      <c r="DD365" s="81"/>
      <c r="DE365" s="95"/>
      <c r="DF365" s="81"/>
      <c r="DG365" s="95"/>
      <c r="DH365" s="81"/>
      <c r="DI365" s="95"/>
      <c r="DJ365" s="81"/>
      <c r="DK365" s="95"/>
      <c r="DL365" s="81"/>
      <c r="DM365" s="95"/>
      <c r="DN365" s="81"/>
      <c r="DO365" s="95"/>
      <c r="DP365" s="81"/>
      <c r="DQ365" s="95"/>
      <c r="DR365" s="81"/>
      <c r="DS365" s="95"/>
      <c r="DT365" s="81"/>
      <c r="DU365" s="95"/>
      <c r="DV365" s="81"/>
      <c r="DW365" s="95"/>
      <c r="DX365" s="81"/>
      <c r="DY365" s="95"/>
      <c r="DZ365" s="81"/>
      <c r="EA365" s="95"/>
      <c r="EB365" s="81"/>
      <c r="EC365" s="95"/>
      <c r="ED365" s="81"/>
      <c r="EE365" s="95"/>
      <c r="EF365" s="81"/>
      <c r="EG365" s="95"/>
      <c r="EH365" s="81"/>
      <c r="EI365" s="95"/>
      <c r="EJ365" s="81"/>
      <c r="EK365" s="95"/>
      <c r="EL365" s="81"/>
      <c r="EM365" s="95"/>
      <c r="EN365" s="81"/>
      <c r="EO365" s="95"/>
      <c r="EP365" s="81"/>
      <c r="EQ365" s="95"/>
      <c r="ER365" s="81"/>
      <c r="ES365" s="129"/>
      <c r="ET365" s="469"/>
      <c r="EU365" s="129"/>
      <c r="EV365" s="75"/>
      <c r="EW365" s="79"/>
      <c r="EX365" s="75"/>
      <c r="EY365" s="79"/>
      <c r="EZ365" s="75"/>
      <c r="FA365" s="79"/>
      <c r="FB365" s="75"/>
      <c r="FC365" s="79"/>
      <c r="FD365" s="75"/>
      <c r="FE365" s="79"/>
      <c r="FF365" s="75"/>
      <c r="FG365" s="79"/>
      <c r="FH365" s="75"/>
      <c r="FI365" s="79"/>
      <c r="FJ365" s="75"/>
      <c r="FK365" s="79"/>
      <c r="FL365" s="93">
        <f>AY365</f>
        <v>175</v>
      </c>
      <c r="FM365" s="79"/>
      <c r="FN365" s="93">
        <f>BG365</f>
        <v>175</v>
      </c>
      <c r="FO365" s="79"/>
      <c r="FP365" s="93">
        <f>BO365</f>
        <v>0</v>
      </c>
      <c r="FQ365" s="79"/>
      <c r="FR365" s="93"/>
      <c r="FS365" s="79"/>
      <c r="FT365" s="93"/>
      <c r="FU365" s="79"/>
      <c r="FV365" s="93"/>
      <c r="FW365" s="79"/>
      <c r="FX365" s="93"/>
      <c r="FY365" s="79"/>
      <c r="FZ365" s="93"/>
      <c r="GA365" s="79"/>
      <c r="GB365" s="93"/>
      <c r="GC365" s="79"/>
      <c r="GD365" s="93"/>
      <c r="GE365" s="79"/>
      <c r="GF365" s="93"/>
      <c r="GG365" s="79"/>
      <c r="GH365" s="93"/>
      <c r="GI365" s="79"/>
      <c r="GJ365" s="93"/>
      <c r="GK365" s="79"/>
      <c r="GL365" s="95"/>
      <c r="GM365" s="79"/>
      <c r="GN365" s="95"/>
      <c r="GO365" s="79"/>
      <c r="GP365" s="95"/>
      <c r="GQ365" s="79"/>
      <c r="GR365" s="95"/>
      <c r="GS365" s="79"/>
      <c r="GT365" s="79"/>
    </row>
    <row r="366" spans="1:202" ht="12.75" hidden="1" customHeight="1" outlineLevel="1" x14ac:dyDescent="0.2">
      <c r="A366" s="1"/>
      <c r="B366" s="10" t="s">
        <v>187</v>
      </c>
      <c r="C366" s="79"/>
      <c r="D366" s="79"/>
      <c r="E366" s="75"/>
      <c r="F366" s="75"/>
      <c r="G366" s="75"/>
      <c r="H366" s="104"/>
      <c r="I366" s="75"/>
      <c r="J366" s="104"/>
      <c r="K366" s="75"/>
      <c r="L366" s="79"/>
      <c r="M366" s="75"/>
      <c r="N366" s="79"/>
      <c r="O366" s="75"/>
      <c r="P366" s="79"/>
      <c r="Q366" s="75"/>
      <c r="R366" s="79"/>
      <c r="S366" s="75"/>
      <c r="T366" s="79"/>
      <c r="U366" s="75"/>
      <c r="V366" s="79"/>
      <c r="W366" s="75"/>
      <c r="X366" s="79"/>
      <c r="Y366" s="75"/>
      <c r="Z366" s="79"/>
      <c r="AA366" s="267"/>
      <c r="AB366" s="79"/>
      <c r="AC366" s="75"/>
      <c r="AD366" s="79"/>
      <c r="AE366" s="75"/>
      <c r="AF366" s="79"/>
      <c r="AG366" s="75"/>
      <c r="AH366" s="79"/>
      <c r="AI366" s="75"/>
      <c r="AJ366" s="79"/>
      <c r="AK366" s="75"/>
      <c r="AL366" s="79"/>
      <c r="AM366" s="75"/>
      <c r="AN366" s="79" t="str">
        <f t="shared" si="1101"/>
        <v>NA</v>
      </c>
      <c r="AO366" s="75"/>
      <c r="AP366" s="79" t="str">
        <f t="shared" si="1101"/>
        <v>NA</v>
      </c>
      <c r="AQ366" s="95">
        <v>8.25</v>
      </c>
      <c r="AR366" s="79" t="str">
        <f t="shared" si="1101"/>
        <v>NA</v>
      </c>
      <c r="AS366" s="105">
        <v>5.5</v>
      </c>
      <c r="AT366" s="81" t="str">
        <f t="shared" si="1101"/>
        <v>NA</v>
      </c>
      <c r="AU366" s="105">
        <v>5.5</v>
      </c>
      <c r="AV366" s="81" t="str">
        <f t="shared" si="1101"/>
        <v>NA</v>
      </c>
      <c r="AW366" s="105">
        <v>5.5</v>
      </c>
      <c r="AX366" s="81" t="str">
        <f t="shared" si="1101"/>
        <v>NA</v>
      </c>
      <c r="AY366" s="105">
        <v>5.5</v>
      </c>
      <c r="AZ366" s="81">
        <f t="shared" si="1101"/>
        <v>-33.333333333333336</v>
      </c>
      <c r="BA366" s="105">
        <v>5.5</v>
      </c>
      <c r="BB366" s="81">
        <f t="shared" si="1101"/>
        <v>0</v>
      </c>
      <c r="BC366" s="105">
        <v>5.5</v>
      </c>
      <c r="BD366" s="81">
        <f t="shared" si="1101"/>
        <v>0</v>
      </c>
      <c r="BE366" s="105">
        <v>5.5</v>
      </c>
      <c r="BF366" s="81">
        <f>IF(ISERROR((BE366/AW366-1)*100),"NA",IF(((BE366/AW366-1)*100)&gt;100,"NM",IF(((BE366/AW366-1)*100)&lt;-50,"NM",(BE366/AW366-1)*100)))</f>
        <v>0</v>
      </c>
      <c r="BG366" s="105">
        <v>5.5</v>
      </c>
      <c r="BH366" s="81">
        <f>IF(ISERROR((BG366/AY366-1)*100),"NA",IF(((BG366/AY366-1)*100)&gt;100,"NM",IF(((BG366/AY366-1)*100)&lt;-50,"NM",(BG366/AY366-1)*100)))</f>
        <v>0</v>
      </c>
      <c r="BI366" s="105">
        <v>5.5</v>
      </c>
      <c r="BJ366" s="81">
        <f t="shared" si="1097"/>
        <v>0</v>
      </c>
      <c r="BK366" s="105">
        <v>5.5</v>
      </c>
      <c r="BL366" s="81">
        <f>IF(ISERROR((BK366/BC366-1)*100),"NA",IF(((BK366/BC366-1)*100)&gt;100,"NM",IF(((BK366/BC366-1)*100)&lt;-50,"NM",(BK366/BC366-1)*100)))</f>
        <v>0</v>
      </c>
      <c r="BM366" s="105">
        <v>5.5</v>
      </c>
      <c r="BN366" s="81">
        <f>IF(ISERROR((BM366/BE366-1)*100),"NA",IF(((BM366/BE366-1)*100)&gt;100,"NM",IF(((BM366/BE366-1)*100)&lt;-50,"NM",(BM366/BE366-1)*100)))</f>
        <v>0</v>
      </c>
      <c r="BO366" s="105"/>
      <c r="BP366" s="81"/>
      <c r="BQ366" s="105"/>
      <c r="BR366" s="81"/>
      <c r="BS366" s="105"/>
      <c r="BT366" s="81"/>
      <c r="BU366" s="105"/>
      <c r="BV366" s="81"/>
      <c r="BW366" s="105"/>
      <c r="BX366" s="81"/>
      <c r="BY366" s="105"/>
      <c r="BZ366" s="81"/>
      <c r="CA366" s="105"/>
      <c r="CB366" s="81"/>
      <c r="CC366" s="105"/>
      <c r="CD366" s="81"/>
      <c r="CE366" s="105"/>
      <c r="CF366" s="81"/>
      <c r="CG366" s="105"/>
      <c r="CH366" s="81"/>
      <c r="CI366" s="105"/>
      <c r="CJ366" s="81"/>
      <c r="CK366" s="105"/>
      <c r="CL366" s="81"/>
      <c r="CM366" s="105"/>
      <c r="CN366" s="81"/>
      <c r="CO366" s="105"/>
      <c r="CP366" s="81"/>
      <c r="CQ366" s="105"/>
      <c r="CR366" s="81"/>
      <c r="CS366" s="105"/>
      <c r="CT366" s="81"/>
      <c r="CU366" s="105"/>
      <c r="CV366" s="81"/>
      <c r="CW366" s="105"/>
      <c r="CX366" s="81"/>
      <c r="CY366" s="105"/>
      <c r="CZ366" s="81"/>
      <c r="DA366" s="105"/>
      <c r="DB366" s="81"/>
      <c r="DC366" s="105"/>
      <c r="DD366" s="81"/>
      <c r="DE366" s="105"/>
      <c r="DF366" s="81"/>
      <c r="DG366" s="105"/>
      <c r="DH366" s="81"/>
      <c r="DI366" s="105"/>
      <c r="DJ366" s="81"/>
      <c r="DK366" s="105"/>
      <c r="DL366" s="81"/>
      <c r="DM366" s="105"/>
      <c r="DN366" s="81"/>
      <c r="DO366" s="105"/>
      <c r="DP366" s="81"/>
      <c r="DQ366" s="105"/>
      <c r="DR366" s="81"/>
      <c r="DS366" s="105"/>
      <c r="DT366" s="81"/>
      <c r="DU366" s="105"/>
      <c r="DV366" s="81"/>
      <c r="DW366" s="105"/>
      <c r="DX366" s="81"/>
      <c r="DY366" s="105"/>
      <c r="DZ366" s="81"/>
      <c r="EA366" s="105"/>
      <c r="EB366" s="81"/>
      <c r="EC366" s="105"/>
      <c r="ED366" s="81"/>
      <c r="EE366" s="105"/>
      <c r="EF366" s="81"/>
      <c r="EG366" s="105"/>
      <c r="EH366" s="81"/>
      <c r="EI366" s="105"/>
      <c r="EJ366" s="81"/>
      <c r="EK366" s="105"/>
      <c r="EL366" s="81"/>
      <c r="EM366" s="105"/>
      <c r="EN366" s="81"/>
      <c r="EO366" s="105"/>
      <c r="EP366" s="81"/>
      <c r="EQ366" s="105"/>
      <c r="ER366" s="81"/>
      <c r="ES366" s="105"/>
      <c r="ET366" s="475"/>
      <c r="EU366" s="105"/>
      <c r="EV366" s="104"/>
      <c r="EW366" s="201"/>
      <c r="EX366" s="104"/>
      <c r="EY366" s="201"/>
      <c r="EZ366" s="104"/>
      <c r="FA366" s="201"/>
      <c r="FB366" s="104"/>
      <c r="FC366" s="201"/>
      <c r="FD366" s="104"/>
      <c r="FE366" s="201"/>
      <c r="FF366" s="104"/>
      <c r="FG366" s="201"/>
      <c r="FH366" s="104"/>
      <c r="FI366" s="201"/>
      <c r="FJ366" s="104"/>
      <c r="FK366" s="201"/>
      <c r="FL366" s="295">
        <f>AY366</f>
        <v>5.5</v>
      </c>
      <c r="FM366" s="201"/>
      <c r="FN366" s="295">
        <f>BG366</f>
        <v>5.5</v>
      </c>
      <c r="FO366" s="201"/>
      <c r="FP366" s="295">
        <f>BO366</f>
        <v>0</v>
      </c>
      <c r="FQ366" s="201"/>
      <c r="FR366" s="103"/>
      <c r="FS366" s="201"/>
      <c r="FT366" s="103"/>
      <c r="FU366" s="201"/>
      <c r="FV366" s="103"/>
      <c r="FW366" s="201"/>
      <c r="FX366" s="103"/>
      <c r="FY366" s="201"/>
      <c r="FZ366" s="103"/>
      <c r="GA366" s="201"/>
      <c r="GB366" s="103"/>
      <c r="GC366" s="201"/>
      <c r="GD366" s="103"/>
      <c r="GE366" s="201"/>
      <c r="GF366" s="103"/>
      <c r="GG366" s="201"/>
      <c r="GH366" s="103"/>
      <c r="GI366" s="201"/>
      <c r="GJ366" s="103"/>
      <c r="GK366" s="201"/>
      <c r="GL366" s="105"/>
      <c r="GM366" s="201"/>
      <c r="GN366" s="105"/>
      <c r="GO366" s="201"/>
      <c r="GP366" s="105"/>
      <c r="GQ366" s="201"/>
      <c r="GR366" s="105"/>
      <c r="GS366" s="201"/>
      <c r="GT366" s="296"/>
    </row>
    <row r="367" spans="1:202" ht="12.75" hidden="1" customHeight="1" outlineLevel="1" x14ac:dyDescent="0.2">
      <c r="A367" s="1"/>
      <c r="B367" s="10" t="s">
        <v>184</v>
      </c>
      <c r="C367" s="79"/>
      <c r="D367" s="79"/>
      <c r="E367" s="75"/>
      <c r="F367" s="75"/>
      <c r="G367" s="75"/>
      <c r="H367" s="104"/>
      <c r="I367" s="75"/>
      <c r="J367" s="104"/>
      <c r="K367" s="75"/>
      <c r="L367" s="79"/>
      <c r="M367" s="75"/>
      <c r="N367" s="79"/>
      <c r="O367" s="75"/>
      <c r="P367" s="79"/>
      <c r="Q367" s="75"/>
      <c r="R367" s="79"/>
      <c r="S367" s="75"/>
      <c r="T367" s="79"/>
      <c r="U367" s="75"/>
      <c r="V367" s="79"/>
      <c r="W367" s="75"/>
      <c r="X367" s="79"/>
      <c r="Y367" s="75"/>
      <c r="Z367" s="79"/>
      <c r="AA367" s="267"/>
      <c r="AB367" s="79"/>
      <c r="AC367" s="75"/>
      <c r="AD367" s="79"/>
      <c r="AE367" s="75"/>
      <c r="AF367" s="79"/>
      <c r="AG367" s="75"/>
      <c r="AH367" s="79"/>
      <c r="AI367" s="75"/>
      <c r="AJ367" s="79"/>
      <c r="AK367" s="75"/>
      <c r="AL367" s="79"/>
      <c r="AM367" s="75"/>
      <c r="AN367" s="79" t="str">
        <f t="shared" si="1101"/>
        <v>NA</v>
      </c>
      <c r="AO367" s="75"/>
      <c r="AP367" s="79" t="str">
        <f t="shared" si="1101"/>
        <v>NA</v>
      </c>
      <c r="AQ367" s="75">
        <f>AQ365*AQ366/400</f>
        <v>11.859375</v>
      </c>
      <c r="AR367" s="79" t="str">
        <f t="shared" si="1101"/>
        <v>NA</v>
      </c>
      <c r="AS367" s="75">
        <f>AS365*AS366/400</f>
        <v>2.40625</v>
      </c>
      <c r="AT367" s="81" t="str">
        <f t="shared" si="1101"/>
        <v>NA</v>
      </c>
      <c r="AU367" s="75">
        <f>AU365*AU366/400</f>
        <v>2.40625</v>
      </c>
      <c r="AV367" s="81" t="str">
        <f t="shared" si="1101"/>
        <v>NA</v>
      </c>
      <c r="AW367" s="75">
        <f>AW365*AW366/400</f>
        <v>2.40625</v>
      </c>
      <c r="AX367" s="81" t="str">
        <f t="shared" si="1101"/>
        <v>NA</v>
      </c>
      <c r="AY367" s="75">
        <f>AY365*AY366/400</f>
        <v>2.40625</v>
      </c>
      <c r="AZ367" s="81" t="str">
        <f t="shared" si="1101"/>
        <v>NM</v>
      </c>
      <c r="BA367" s="75">
        <f>BA365*BA366/400</f>
        <v>2.40625</v>
      </c>
      <c r="BB367" s="81">
        <f t="shared" si="1101"/>
        <v>0</v>
      </c>
      <c r="BC367" s="75">
        <f>BC365*BC366/400</f>
        <v>2.40625</v>
      </c>
      <c r="BD367" s="81">
        <f t="shared" si="1101"/>
        <v>0</v>
      </c>
      <c r="BE367" s="75">
        <f>BE365*BE366/400</f>
        <v>2.40625</v>
      </c>
      <c r="BF367" s="81">
        <f>IF(ISERROR((BE367/AW367-1)*100),"NA",IF(((BE367/AW367-1)*100)&gt;100,"NM",IF(((BE367/AW367-1)*100)&lt;-50,"NM",(BE367/AW367-1)*100)))</f>
        <v>0</v>
      </c>
      <c r="BG367" s="75">
        <f>BG365*BG366/400</f>
        <v>2.40625</v>
      </c>
      <c r="BH367" s="81">
        <f>IF(ISERROR((BG367/AY367-1)*100),"NA",IF(((BG367/AY367-1)*100)&gt;100,"NM",IF(((BG367/AY367-1)*100)&lt;-50,"NM",(BG367/AY367-1)*100)))</f>
        <v>0</v>
      </c>
      <c r="BI367" s="75">
        <f>BI365*BI366/400</f>
        <v>2.40625</v>
      </c>
      <c r="BJ367" s="81">
        <f t="shared" si="1097"/>
        <v>0</v>
      </c>
      <c r="BK367" s="75">
        <f>BK365*BK366/400</f>
        <v>2.40625</v>
      </c>
      <c r="BL367" s="81">
        <f>IF(ISERROR((BK367/BC367-1)*100),"NA",IF(((BK367/BC367-1)*100)&gt;100,"NM",IF(((BK367/BC367-1)*100)&lt;-50,"NM",(BK367/BC367-1)*100)))</f>
        <v>0</v>
      </c>
      <c r="BM367" s="75">
        <f>BM365*BM366/400</f>
        <v>2.40625</v>
      </c>
      <c r="BN367" s="81">
        <f>IF(ISERROR((BM367/BE367-1)*100),"NA",IF(((BM367/BE367-1)*100)&gt;100,"NM",IF(((BM367/BE367-1)*100)&lt;-50,"NM",(BM367/BE367-1)*100)))</f>
        <v>0</v>
      </c>
      <c r="BO367" s="75"/>
      <c r="BP367" s="81"/>
      <c r="BQ367" s="75"/>
      <c r="BR367" s="81"/>
      <c r="BS367" s="75"/>
      <c r="BT367" s="81"/>
      <c r="BU367" s="75"/>
      <c r="BV367" s="81"/>
      <c r="BW367" s="75"/>
      <c r="BX367" s="81"/>
      <c r="BY367" s="75"/>
      <c r="BZ367" s="81"/>
      <c r="CA367" s="75"/>
      <c r="CB367" s="81"/>
      <c r="CC367" s="75"/>
      <c r="CD367" s="81"/>
      <c r="CE367" s="75"/>
      <c r="CF367" s="81"/>
      <c r="CG367" s="75"/>
      <c r="CH367" s="81"/>
      <c r="CI367" s="75"/>
      <c r="CJ367" s="81"/>
      <c r="CK367" s="75"/>
      <c r="CL367" s="81"/>
      <c r="CM367" s="75"/>
      <c r="CN367" s="81"/>
      <c r="CO367" s="75"/>
      <c r="CP367" s="81"/>
      <c r="CQ367" s="75"/>
      <c r="CR367" s="81"/>
      <c r="CS367" s="75"/>
      <c r="CT367" s="81"/>
      <c r="CU367" s="75"/>
      <c r="CV367" s="81"/>
      <c r="CW367" s="75"/>
      <c r="CX367" s="81"/>
      <c r="CY367" s="75"/>
      <c r="CZ367" s="81"/>
      <c r="DA367" s="75"/>
      <c r="DB367" s="81"/>
      <c r="DC367" s="75"/>
      <c r="DD367" s="81"/>
      <c r="DE367" s="75"/>
      <c r="DF367" s="81"/>
      <c r="DG367" s="75"/>
      <c r="DH367" s="81"/>
      <c r="DI367" s="75"/>
      <c r="DJ367" s="81"/>
      <c r="DK367" s="75"/>
      <c r="DL367" s="81"/>
      <c r="DM367" s="75"/>
      <c r="DN367" s="81"/>
      <c r="DO367" s="75"/>
      <c r="DP367" s="81"/>
      <c r="DQ367" s="75"/>
      <c r="DR367" s="81"/>
      <c r="DS367" s="75"/>
      <c r="DT367" s="81"/>
      <c r="DU367" s="75"/>
      <c r="DV367" s="81"/>
      <c r="DW367" s="75"/>
      <c r="DX367" s="81"/>
      <c r="DY367" s="75"/>
      <c r="DZ367" s="81"/>
      <c r="EA367" s="75"/>
      <c r="EB367" s="81"/>
      <c r="EC367" s="75"/>
      <c r="ED367" s="81"/>
      <c r="EE367" s="75"/>
      <c r="EF367" s="81"/>
      <c r="EG367" s="75"/>
      <c r="EH367" s="81"/>
      <c r="EI367" s="75"/>
      <c r="EJ367" s="81"/>
      <c r="EK367" s="75"/>
      <c r="EL367" s="81"/>
      <c r="EM367" s="75"/>
      <c r="EN367" s="81"/>
      <c r="EO367" s="75"/>
      <c r="EP367" s="81"/>
      <c r="EQ367" s="75"/>
      <c r="ER367" s="81"/>
      <c r="ES367" s="129"/>
      <c r="ET367" s="469"/>
      <c r="EU367" s="129"/>
      <c r="EV367" s="75"/>
      <c r="EW367" s="79"/>
      <c r="EX367" s="75"/>
      <c r="EY367" s="79"/>
      <c r="EZ367" s="75"/>
      <c r="FA367" s="79"/>
      <c r="FB367" s="75"/>
      <c r="FC367" s="79"/>
      <c r="FD367" s="75"/>
      <c r="FE367" s="79"/>
      <c r="FF367" s="75"/>
      <c r="FG367" s="79"/>
      <c r="FH367" s="75"/>
      <c r="FI367" s="79"/>
      <c r="FJ367" s="75"/>
      <c r="FK367" s="79"/>
      <c r="FL367" s="93">
        <f>SUM(AY367,AW367,AU367,AS367)</f>
        <v>9.625</v>
      </c>
      <c r="FM367" s="79"/>
      <c r="FN367" s="93">
        <f>BA367+BC367+BE367+BG367</f>
        <v>9.625</v>
      </c>
      <c r="FO367" s="79"/>
      <c r="FP367" s="93">
        <f>BI367+BK367+BM367+BO367</f>
        <v>7.21875</v>
      </c>
      <c r="FQ367" s="79"/>
      <c r="FR367" s="75"/>
      <c r="FS367" s="79"/>
      <c r="FT367" s="75"/>
      <c r="FU367" s="79"/>
      <c r="FV367" s="75"/>
      <c r="FW367" s="79"/>
      <c r="FX367" s="75"/>
      <c r="FY367" s="79"/>
      <c r="FZ367" s="75"/>
      <c r="GA367" s="79"/>
      <c r="GB367" s="75"/>
      <c r="GC367" s="79"/>
      <c r="GD367" s="75"/>
      <c r="GE367" s="79"/>
      <c r="GF367" s="75"/>
      <c r="GG367" s="79"/>
      <c r="GH367" s="75"/>
      <c r="GI367" s="79"/>
      <c r="GJ367" s="75"/>
      <c r="GK367" s="79"/>
      <c r="GL367" s="75"/>
      <c r="GM367" s="79"/>
      <c r="GN367" s="75"/>
      <c r="GO367" s="79"/>
      <c r="GP367" s="75"/>
      <c r="GQ367" s="79"/>
      <c r="GR367" s="75"/>
      <c r="GS367" s="79"/>
      <c r="GT367" s="79"/>
    </row>
    <row r="368" spans="1:202" ht="12.75" hidden="1" customHeight="1" outlineLevel="1" x14ac:dyDescent="0.2">
      <c r="A368" s="1"/>
      <c r="B368" s="83"/>
      <c r="C368" s="79"/>
      <c r="D368" s="79"/>
      <c r="E368" s="242"/>
      <c r="F368" s="242"/>
      <c r="G368" s="242"/>
      <c r="H368" s="243"/>
      <c r="I368" s="242"/>
      <c r="J368" s="243"/>
      <c r="K368" s="242"/>
      <c r="L368" s="79"/>
      <c r="M368" s="242"/>
      <c r="N368" s="79"/>
      <c r="O368" s="242"/>
      <c r="P368" s="79"/>
      <c r="Q368" s="242"/>
      <c r="R368" s="79"/>
      <c r="S368" s="242"/>
      <c r="T368" s="79"/>
      <c r="U368" s="242"/>
      <c r="V368" s="79"/>
      <c r="W368" s="242"/>
      <c r="X368" s="79"/>
      <c r="Y368" s="242"/>
      <c r="Z368" s="79"/>
      <c r="AA368" s="244"/>
      <c r="AB368" s="79"/>
      <c r="AC368" s="242"/>
      <c r="AD368" s="79"/>
      <c r="AE368" s="242"/>
      <c r="AF368" s="79"/>
      <c r="AG368" s="242"/>
      <c r="AH368" s="79"/>
      <c r="AI368" s="242"/>
      <c r="AJ368" s="79"/>
      <c r="AK368" s="242"/>
      <c r="AL368" s="79"/>
      <c r="AM368" s="242"/>
      <c r="AN368" s="79"/>
      <c r="AO368" s="242"/>
      <c r="AP368" s="79"/>
      <c r="AQ368" s="242"/>
      <c r="AR368" s="79"/>
      <c r="AS368" s="242"/>
      <c r="AT368" s="81"/>
      <c r="AU368" s="242"/>
      <c r="AV368" s="81"/>
      <c r="AW368" s="242"/>
      <c r="AX368" s="81"/>
      <c r="AY368" s="242"/>
      <c r="AZ368" s="81"/>
      <c r="BA368" s="242"/>
      <c r="BB368" s="81"/>
      <c r="BC368" s="242"/>
      <c r="BD368" s="81"/>
      <c r="BE368" s="242"/>
      <c r="BF368" s="81"/>
      <c r="BG368" s="242"/>
      <c r="BH368" s="81"/>
      <c r="BI368" s="242"/>
      <c r="BJ368" s="81"/>
      <c r="BK368" s="242"/>
      <c r="BL368" s="81"/>
      <c r="BM368" s="242"/>
      <c r="BN368" s="81"/>
      <c r="BO368" s="242"/>
      <c r="BP368" s="81"/>
      <c r="BQ368" s="242"/>
      <c r="BR368" s="81"/>
      <c r="BS368" s="242"/>
      <c r="BT368" s="81"/>
      <c r="BU368" s="242"/>
      <c r="BV368" s="81"/>
      <c r="BW368" s="242"/>
      <c r="BX368" s="81"/>
      <c r="BY368" s="242"/>
      <c r="BZ368" s="81"/>
      <c r="CA368" s="242"/>
      <c r="CB368" s="81"/>
      <c r="CC368" s="242"/>
      <c r="CD368" s="81"/>
      <c r="CE368" s="242"/>
      <c r="CF368" s="81"/>
      <c r="CG368" s="242"/>
      <c r="CH368" s="81"/>
      <c r="CI368" s="242"/>
      <c r="CJ368" s="81"/>
      <c r="CK368" s="242"/>
      <c r="CL368" s="81"/>
      <c r="CM368" s="242"/>
      <c r="CN368" s="81"/>
      <c r="CO368" s="242"/>
      <c r="CP368" s="81"/>
      <c r="CQ368" s="242"/>
      <c r="CR368" s="81"/>
      <c r="CS368" s="242"/>
      <c r="CT368" s="81"/>
      <c r="CU368" s="242"/>
      <c r="CV368" s="81"/>
      <c r="CW368" s="242"/>
      <c r="CX368" s="81"/>
      <c r="CY368" s="242"/>
      <c r="CZ368" s="81"/>
      <c r="DA368" s="242"/>
      <c r="DB368" s="81"/>
      <c r="DC368" s="242"/>
      <c r="DD368" s="81"/>
      <c r="DE368" s="242"/>
      <c r="DF368" s="81"/>
      <c r="DG368" s="242"/>
      <c r="DH368" s="81"/>
      <c r="DI368" s="242"/>
      <c r="DJ368" s="81"/>
      <c r="DK368" s="242"/>
      <c r="DL368" s="81"/>
      <c r="DM368" s="242"/>
      <c r="DN368" s="81"/>
      <c r="DO368" s="242"/>
      <c r="DP368" s="81"/>
      <c r="DQ368" s="242"/>
      <c r="DR368" s="81"/>
      <c r="DS368" s="242"/>
      <c r="DT368" s="81"/>
      <c r="DU368" s="242"/>
      <c r="DV368" s="81"/>
      <c r="DW368" s="242"/>
      <c r="DX368" s="81"/>
      <c r="DY368" s="242"/>
      <c r="DZ368" s="81"/>
      <c r="EA368" s="242"/>
      <c r="EB368" s="81"/>
      <c r="EC368" s="242"/>
      <c r="ED368" s="81"/>
      <c r="EE368" s="242"/>
      <c r="EF368" s="81"/>
      <c r="EG368" s="242"/>
      <c r="EH368" s="81"/>
      <c r="EI368" s="242"/>
      <c r="EJ368" s="81"/>
      <c r="EK368" s="242"/>
      <c r="EL368" s="81"/>
      <c r="EM368" s="242"/>
      <c r="EN368" s="81"/>
      <c r="EO368" s="242"/>
      <c r="EP368" s="81"/>
      <c r="EQ368" s="242"/>
      <c r="ER368" s="81"/>
      <c r="ES368" s="138"/>
      <c r="ET368" s="470"/>
      <c r="EU368" s="138"/>
      <c r="EV368" s="242"/>
      <c r="EW368" s="140"/>
      <c r="EX368" s="242"/>
      <c r="EY368" s="79"/>
      <c r="EZ368" s="242"/>
      <c r="FA368" s="79"/>
      <c r="FB368" s="242"/>
      <c r="FC368" s="79"/>
      <c r="FD368" s="242"/>
      <c r="FE368" s="79"/>
      <c r="FF368" s="242"/>
      <c r="FG368" s="79"/>
      <c r="FH368" s="242"/>
      <c r="FI368" s="79"/>
      <c r="FJ368" s="242"/>
      <c r="FK368" s="79"/>
      <c r="FL368" s="199"/>
      <c r="FM368" s="79"/>
      <c r="FN368" s="199"/>
      <c r="FO368" s="79"/>
      <c r="FP368" s="199"/>
      <c r="FQ368" s="79"/>
      <c r="FR368" s="242"/>
      <c r="FS368" s="79"/>
      <c r="FT368" s="242"/>
      <c r="FU368" s="79"/>
      <c r="FV368" s="242"/>
      <c r="FW368" s="79"/>
      <c r="FX368" s="242"/>
      <c r="FY368" s="79"/>
      <c r="FZ368" s="242"/>
      <c r="GA368" s="79"/>
      <c r="GB368" s="242"/>
      <c r="GC368" s="79"/>
      <c r="GD368" s="242"/>
      <c r="GE368" s="79"/>
      <c r="GF368" s="242"/>
      <c r="GG368" s="79"/>
      <c r="GH368" s="242"/>
      <c r="GI368" s="79"/>
      <c r="GJ368" s="242"/>
      <c r="GK368" s="79"/>
      <c r="GL368" s="242"/>
      <c r="GM368" s="79"/>
      <c r="GN368" s="242"/>
      <c r="GO368" s="79"/>
      <c r="GP368" s="242"/>
      <c r="GQ368" s="79"/>
      <c r="GR368" s="242"/>
      <c r="GS368" s="79"/>
      <c r="GT368" s="79"/>
    </row>
    <row r="369" spans="1:286" ht="12.75" hidden="1" customHeight="1" outlineLevel="1" x14ac:dyDescent="0.2">
      <c r="A369" s="1"/>
      <c r="B369" s="10" t="s">
        <v>188</v>
      </c>
      <c r="C369" s="79"/>
      <c r="D369" s="79"/>
      <c r="E369" s="75"/>
      <c r="F369" s="75"/>
      <c r="G369" s="75"/>
      <c r="H369" s="104"/>
      <c r="I369" s="75"/>
      <c r="J369" s="104"/>
      <c r="K369" s="75"/>
      <c r="L369" s="79"/>
      <c r="M369" s="75"/>
      <c r="N369" s="79"/>
      <c r="O369" s="75"/>
      <c r="P369" s="79"/>
      <c r="Q369" s="75"/>
      <c r="R369" s="79"/>
      <c r="S369" s="75"/>
      <c r="T369" s="79"/>
      <c r="U369" s="75"/>
      <c r="V369" s="79"/>
      <c r="W369" s="75"/>
      <c r="X369" s="79"/>
      <c r="Y369" s="75"/>
      <c r="Z369" s="79"/>
      <c r="AA369" s="267"/>
      <c r="AB369" s="79"/>
      <c r="AC369" s="75"/>
      <c r="AD369" s="79"/>
      <c r="AE369" s="75"/>
      <c r="AF369" s="79"/>
      <c r="AG369" s="75"/>
      <c r="AH369" s="79"/>
      <c r="AI369" s="75"/>
      <c r="AJ369" s="79"/>
      <c r="AK369" s="75"/>
      <c r="AL369" s="79"/>
      <c r="AM369" s="75"/>
      <c r="AN369" s="79" t="str">
        <f t="shared" ref="AN369:BD371" si="1102">IF(ISERROR((AM369/AE369-1)*100),"NA",IF(((AM369/AE369-1)*100)&gt;100,"NM",IF(((AM369/AE369-1)*100)&lt;-50,"NM",(AM369/AE369-1)*100)))</f>
        <v>NA</v>
      </c>
      <c r="AO369" s="75"/>
      <c r="AP369" s="79" t="str">
        <f t="shared" si="1102"/>
        <v>NA</v>
      </c>
      <c r="AQ369" s="95">
        <v>300</v>
      </c>
      <c r="AR369" s="79" t="str">
        <f t="shared" si="1102"/>
        <v>NA</v>
      </c>
      <c r="AS369" s="95">
        <v>300</v>
      </c>
      <c r="AT369" s="81" t="str">
        <f t="shared" si="1102"/>
        <v>NA</v>
      </c>
      <c r="AU369" s="95">
        <v>300</v>
      </c>
      <c r="AV369" s="81" t="str">
        <f t="shared" si="1102"/>
        <v>NA</v>
      </c>
      <c r="AW369" s="95">
        <v>300</v>
      </c>
      <c r="AX369" s="81" t="str">
        <f t="shared" si="1102"/>
        <v>NA</v>
      </c>
      <c r="AY369" s="95">
        <v>300</v>
      </c>
      <c r="AZ369" s="81">
        <f t="shared" si="1102"/>
        <v>0</v>
      </c>
      <c r="BA369" s="95">
        <v>300</v>
      </c>
      <c r="BB369" s="81">
        <f t="shared" si="1102"/>
        <v>0</v>
      </c>
      <c r="BC369" s="95">
        <v>300</v>
      </c>
      <c r="BD369" s="81">
        <f t="shared" si="1102"/>
        <v>0</v>
      </c>
      <c r="BE369" s="95">
        <v>300</v>
      </c>
      <c r="BF369" s="81">
        <f>IF(ISERROR((BE369/AW369-1)*100),"NA",IF(((BE369/AW369-1)*100)&gt;100,"NM",IF(((BE369/AW369-1)*100)&lt;-50,"NM",(BE369/AW369-1)*100)))</f>
        <v>0</v>
      </c>
      <c r="BG369" s="95">
        <v>300</v>
      </c>
      <c r="BH369" s="81">
        <f>IF(ISERROR((BG369/AY369-1)*100),"NA",IF(((BG369/AY369-1)*100)&gt;100,"NM",IF(((BG369/AY369-1)*100)&lt;-50,"NM",(BG369/AY369-1)*100)))</f>
        <v>0</v>
      </c>
      <c r="BI369" s="95">
        <v>300</v>
      </c>
      <c r="BJ369" s="81">
        <f t="shared" si="1097"/>
        <v>0</v>
      </c>
      <c r="BK369" s="95">
        <v>300</v>
      </c>
      <c r="BL369" s="81">
        <f>IF(ISERROR((BK369/BC369-1)*100),"NA",IF(((BK369/BC369-1)*100)&gt;100,"NM",IF(((BK369/BC369-1)*100)&lt;-50,"NM",(BK369/BC369-1)*100)))</f>
        <v>0</v>
      </c>
      <c r="BM369" s="95">
        <v>300</v>
      </c>
      <c r="BN369" s="81">
        <f>IF(ISERROR((BM369/BE369-1)*100),"NA",IF(((BM369/BE369-1)*100)&gt;100,"NM",IF(((BM369/BE369-1)*100)&lt;-50,"NM",(BM369/BE369-1)*100)))</f>
        <v>0</v>
      </c>
      <c r="BO369" s="95"/>
      <c r="BP369" s="81"/>
      <c r="BQ369" s="95"/>
      <c r="BR369" s="81"/>
      <c r="BS369" s="95"/>
      <c r="BT369" s="81"/>
      <c r="BU369" s="95"/>
      <c r="BV369" s="81"/>
      <c r="BW369" s="95"/>
      <c r="BX369" s="81"/>
      <c r="BY369" s="95"/>
      <c r="BZ369" s="81"/>
      <c r="CA369" s="95"/>
      <c r="CB369" s="81"/>
      <c r="CC369" s="95"/>
      <c r="CD369" s="81"/>
      <c r="CE369" s="95"/>
      <c r="CF369" s="81"/>
      <c r="CG369" s="95"/>
      <c r="CH369" s="81"/>
      <c r="CI369" s="95"/>
      <c r="CJ369" s="81"/>
      <c r="CK369" s="95"/>
      <c r="CL369" s="81"/>
      <c r="CM369" s="95"/>
      <c r="CN369" s="81"/>
      <c r="CO369" s="95"/>
      <c r="CP369" s="81"/>
      <c r="CQ369" s="95"/>
      <c r="CR369" s="81"/>
      <c r="CS369" s="95"/>
      <c r="CT369" s="81"/>
      <c r="CU369" s="95"/>
      <c r="CV369" s="81"/>
      <c r="CW369" s="95"/>
      <c r="CX369" s="81"/>
      <c r="CY369" s="95"/>
      <c r="CZ369" s="81"/>
      <c r="DA369" s="95"/>
      <c r="DB369" s="81"/>
      <c r="DC369" s="95"/>
      <c r="DD369" s="81"/>
      <c r="DE369" s="95"/>
      <c r="DF369" s="81"/>
      <c r="DG369" s="95"/>
      <c r="DH369" s="81"/>
      <c r="DI369" s="95"/>
      <c r="DJ369" s="81"/>
      <c r="DK369" s="95"/>
      <c r="DL369" s="81"/>
      <c r="DM369" s="95"/>
      <c r="DN369" s="81"/>
      <c r="DO369" s="95"/>
      <c r="DP369" s="81"/>
      <c r="DQ369" s="95"/>
      <c r="DR369" s="81"/>
      <c r="DS369" s="95"/>
      <c r="DT369" s="81"/>
      <c r="DU369" s="95"/>
      <c r="DV369" s="81"/>
      <c r="DW369" s="95"/>
      <c r="DX369" s="81"/>
      <c r="DY369" s="95"/>
      <c r="DZ369" s="81"/>
      <c r="EA369" s="95"/>
      <c r="EB369" s="81"/>
      <c r="EC369" s="95"/>
      <c r="ED369" s="81"/>
      <c r="EE369" s="95"/>
      <c r="EF369" s="81"/>
      <c r="EG369" s="95"/>
      <c r="EH369" s="81"/>
      <c r="EI369" s="95"/>
      <c r="EJ369" s="81"/>
      <c r="EK369" s="95"/>
      <c r="EL369" s="81"/>
      <c r="EM369" s="95"/>
      <c r="EN369" s="81"/>
      <c r="EO369" s="95"/>
      <c r="EP369" s="81"/>
      <c r="EQ369" s="95"/>
      <c r="ER369" s="81"/>
      <c r="ES369" s="129"/>
      <c r="ET369" s="469"/>
      <c r="EU369" s="129"/>
      <c r="EV369" s="75"/>
      <c r="EW369" s="79"/>
      <c r="EX369" s="75"/>
      <c r="EY369" s="79"/>
      <c r="EZ369" s="75"/>
      <c r="FA369" s="79"/>
      <c r="FB369" s="75"/>
      <c r="FC369" s="79"/>
      <c r="FD369" s="75"/>
      <c r="FE369" s="79"/>
      <c r="FF369" s="75"/>
      <c r="FG369" s="79"/>
      <c r="FH369" s="75"/>
      <c r="FI369" s="79"/>
      <c r="FJ369" s="75"/>
      <c r="FK369" s="79"/>
      <c r="FL369" s="93">
        <f>AY369</f>
        <v>300</v>
      </c>
      <c r="FM369" s="79"/>
      <c r="FN369" s="93">
        <f>BG369</f>
        <v>300</v>
      </c>
      <c r="FO369" s="79"/>
      <c r="FP369" s="93">
        <f>BO369</f>
        <v>0</v>
      </c>
      <c r="FQ369" s="79"/>
      <c r="FR369" s="93"/>
      <c r="FS369" s="79"/>
      <c r="FT369" s="93"/>
      <c r="FU369" s="79"/>
      <c r="FV369" s="93"/>
      <c r="FW369" s="79"/>
      <c r="FX369" s="93"/>
      <c r="FY369" s="79"/>
      <c r="FZ369" s="93"/>
      <c r="GA369" s="79"/>
      <c r="GB369" s="93"/>
      <c r="GC369" s="79"/>
      <c r="GD369" s="93"/>
      <c r="GE369" s="79"/>
      <c r="GF369" s="93"/>
      <c r="GG369" s="79"/>
      <c r="GH369" s="93"/>
      <c r="GI369" s="79"/>
      <c r="GJ369" s="93"/>
      <c r="GK369" s="79"/>
      <c r="GL369" s="95"/>
      <c r="GM369" s="79"/>
      <c r="GN369" s="95"/>
      <c r="GO369" s="79"/>
      <c r="GP369" s="95"/>
      <c r="GQ369" s="79"/>
      <c r="GR369" s="95"/>
      <c r="GS369" s="79"/>
      <c r="GT369" s="79"/>
    </row>
    <row r="370" spans="1:286" ht="12.75" hidden="1" customHeight="1" outlineLevel="1" x14ac:dyDescent="0.2">
      <c r="A370" s="1"/>
      <c r="B370" s="10" t="s">
        <v>187</v>
      </c>
      <c r="C370" s="79"/>
      <c r="D370" s="79"/>
      <c r="E370" s="75"/>
      <c r="F370" s="75"/>
      <c r="G370" s="75"/>
      <c r="H370" s="104"/>
      <c r="I370" s="75"/>
      <c r="J370" s="104"/>
      <c r="K370" s="75"/>
      <c r="L370" s="79"/>
      <c r="M370" s="75"/>
      <c r="N370" s="79"/>
      <c r="O370" s="75"/>
      <c r="P370" s="79"/>
      <c r="Q370" s="75"/>
      <c r="R370" s="79"/>
      <c r="S370" s="75"/>
      <c r="T370" s="79"/>
      <c r="U370" s="75"/>
      <c r="V370" s="79"/>
      <c r="W370" s="75"/>
      <c r="X370" s="79"/>
      <c r="Y370" s="75"/>
      <c r="Z370" s="79"/>
      <c r="AA370" s="267"/>
      <c r="AB370" s="79"/>
      <c r="AC370" s="75"/>
      <c r="AD370" s="79"/>
      <c r="AE370" s="75"/>
      <c r="AF370" s="79"/>
      <c r="AG370" s="75"/>
      <c r="AH370" s="79"/>
      <c r="AI370" s="75"/>
      <c r="AJ370" s="79"/>
      <c r="AK370" s="75"/>
      <c r="AL370" s="79"/>
      <c r="AM370" s="75"/>
      <c r="AN370" s="79" t="str">
        <f t="shared" si="1102"/>
        <v>NA</v>
      </c>
      <c r="AO370" s="75"/>
      <c r="AP370" s="79" t="str">
        <f t="shared" si="1102"/>
        <v>NA</v>
      </c>
      <c r="AQ370" s="297">
        <v>8.25</v>
      </c>
      <c r="AR370" s="79" t="str">
        <f t="shared" si="1102"/>
        <v>NA</v>
      </c>
      <c r="AS370" s="95">
        <v>8.25</v>
      </c>
      <c r="AT370" s="81" t="str">
        <f t="shared" si="1102"/>
        <v>NA</v>
      </c>
      <c r="AU370" s="95">
        <v>8.25</v>
      </c>
      <c r="AV370" s="81" t="str">
        <f t="shared" si="1102"/>
        <v>NA</v>
      </c>
      <c r="AW370" s="95">
        <v>8.25</v>
      </c>
      <c r="AX370" s="81" t="str">
        <f t="shared" si="1102"/>
        <v>NA</v>
      </c>
      <c r="AY370" s="95">
        <v>8.25</v>
      </c>
      <c r="AZ370" s="81">
        <f t="shared" si="1102"/>
        <v>0</v>
      </c>
      <c r="BA370" s="95">
        <v>8.25</v>
      </c>
      <c r="BB370" s="81">
        <f t="shared" si="1102"/>
        <v>0</v>
      </c>
      <c r="BC370" s="95">
        <v>8.25</v>
      </c>
      <c r="BD370" s="81">
        <f t="shared" si="1102"/>
        <v>0</v>
      </c>
      <c r="BE370" s="95">
        <v>8.25</v>
      </c>
      <c r="BF370" s="81">
        <f>IF(ISERROR((BE370/AW370-1)*100),"NA",IF(((BE370/AW370-1)*100)&gt;100,"NM",IF(((BE370/AW370-1)*100)&lt;-50,"NM",(BE370/AW370-1)*100)))</f>
        <v>0</v>
      </c>
      <c r="BG370" s="95">
        <v>8.25</v>
      </c>
      <c r="BH370" s="81">
        <f>IF(ISERROR((BG370/AY370-1)*100),"NA",IF(((BG370/AY370-1)*100)&gt;100,"NM",IF(((BG370/AY370-1)*100)&lt;-50,"NM",(BG370/AY370-1)*100)))</f>
        <v>0</v>
      </c>
      <c r="BI370" s="95">
        <v>8.25</v>
      </c>
      <c r="BJ370" s="81">
        <f t="shared" si="1097"/>
        <v>0</v>
      </c>
      <c r="BK370" s="95">
        <v>8.25</v>
      </c>
      <c r="BL370" s="81">
        <f>IF(ISERROR((BK370/BC370-1)*100),"NA",IF(((BK370/BC370-1)*100)&gt;100,"NM",IF(((BK370/BC370-1)*100)&lt;-50,"NM",(BK370/BC370-1)*100)))</f>
        <v>0</v>
      </c>
      <c r="BM370" s="95">
        <v>8.25</v>
      </c>
      <c r="BN370" s="81">
        <f>IF(ISERROR((BM370/BE370-1)*100),"NA",IF(((BM370/BE370-1)*100)&gt;100,"NM",IF(((BM370/BE370-1)*100)&lt;-50,"NM",(BM370/BE370-1)*100)))</f>
        <v>0</v>
      </c>
      <c r="BO370" s="95"/>
      <c r="BP370" s="81"/>
      <c r="BQ370" s="95"/>
      <c r="BR370" s="81"/>
      <c r="BS370" s="95"/>
      <c r="BT370" s="81"/>
      <c r="BU370" s="95"/>
      <c r="BV370" s="81"/>
      <c r="BW370" s="95"/>
      <c r="BX370" s="81"/>
      <c r="BY370" s="95"/>
      <c r="BZ370" s="81"/>
      <c r="CA370" s="95"/>
      <c r="CB370" s="81"/>
      <c r="CC370" s="95"/>
      <c r="CD370" s="81"/>
      <c r="CE370" s="95"/>
      <c r="CF370" s="81"/>
      <c r="CG370" s="95"/>
      <c r="CH370" s="81"/>
      <c r="CI370" s="95"/>
      <c r="CJ370" s="81"/>
      <c r="CK370" s="95"/>
      <c r="CL370" s="81"/>
      <c r="CM370" s="95"/>
      <c r="CN370" s="81"/>
      <c r="CO370" s="95"/>
      <c r="CP370" s="81"/>
      <c r="CQ370" s="95"/>
      <c r="CR370" s="81"/>
      <c r="CS370" s="95"/>
      <c r="CT370" s="81"/>
      <c r="CU370" s="95"/>
      <c r="CV370" s="81"/>
      <c r="CW370" s="95"/>
      <c r="CX370" s="81"/>
      <c r="CY370" s="95"/>
      <c r="CZ370" s="81"/>
      <c r="DA370" s="95"/>
      <c r="DB370" s="81"/>
      <c r="DC370" s="95"/>
      <c r="DD370" s="81"/>
      <c r="DE370" s="95"/>
      <c r="DF370" s="81"/>
      <c r="DG370" s="95"/>
      <c r="DH370" s="81"/>
      <c r="DI370" s="95"/>
      <c r="DJ370" s="81"/>
      <c r="DK370" s="95"/>
      <c r="DL370" s="81"/>
      <c r="DM370" s="95"/>
      <c r="DN370" s="81"/>
      <c r="DO370" s="95"/>
      <c r="DP370" s="81"/>
      <c r="DQ370" s="95"/>
      <c r="DR370" s="81"/>
      <c r="DS370" s="95"/>
      <c r="DT370" s="81"/>
      <c r="DU370" s="95"/>
      <c r="DV370" s="81"/>
      <c r="DW370" s="95"/>
      <c r="DX370" s="81"/>
      <c r="DY370" s="95"/>
      <c r="DZ370" s="81"/>
      <c r="EA370" s="95"/>
      <c r="EB370" s="81"/>
      <c r="EC370" s="95"/>
      <c r="ED370" s="81"/>
      <c r="EE370" s="95"/>
      <c r="EF370" s="81"/>
      <c r="EG370" s="95"/>
      <c r="EH370" s="81"/>
      <c r="EI370" s="95"/>
      <c r="EJ370" s="81"/>
      <c r="EK370" s="95"/>
      <c r="EL370" s="81"/>
      <c r="EM370" s="95"/>
      <c r="EN370" s="81"/>
      <c r="EO370" s="95"/>
      <c r="EP370" s="81"/>
      <c r="EQ370" s="95"/>
      <c r="ER370" s="81"/>
      <c r="ES370" s="105"/>
      <c r="ET370" s="475"/>
      <c r="EU370" s="105"/>
      <c r="EV370" s="104"/>
      <c r="EW370" s="201"/>
      <c r="EX370" s="104"/>
      <c r="EY370" s="201"/>
      <c r="EZ370" s="104"/>
      <c r="FA370" s="201"/>
      <c r="FB370" s="104"/>
      <c r="FC370" s="201"/>
      <c r="FD370" s="104"/>
      <c r="FE370" s="201"/>
      <c r="FF370" s="104"/>
      <c r="FG370" s="201"/>
      <c r="FH370" s="104"/>
      <c r="FI370" s="201"/>
      <c r="FJ370" s="104"/>
      <c r="FK370" s="201"/>
      <c r="FL370" s="295">
        <f>AY370</f>
        <v>8.25</v>
      </c>
      <c r="FM370" s="201"/>
      <c r="FN370" s="295">
        <f>BG370</f>
        <v>8.25</v>
      </c>
      <c r="FO370" s="201"/>
      <c r="FP370" s="295">
        <f>BO370</f>
        <v>0</v>
      </c>
      <c r="FQ370" s="201"/>
      <c r="FR370" s="93"/>
      <c r="FS370" s="201"/>
      <c r="FT370" s="93"/>
      <c r="FU370" s="201"/>
      <c r="FV370" s="93"/>
      <c r="FW370" s="201"/>
      <c r="FX370" s="93"/>
      <c r="FY370" s="201"/>
      <c r="FZ370" s="93"/>
      <c r="GA370" s="201"/>
      <c r="GB370" s="93"/>
      <c r="GC370" s="201"/>
      <c r="GD370" s="93"/>
      <c r="GE370" s="201"/>
      <c r="GF370" s="93"/>
      <c r="GG370" s="201"/>
      <c r="GH370" s="93"/>
      <c r="GI370" s="201"/>
      <c r="GJ370" s="93"/>
      <c r="GK370" s="201"/>
      <c r="GL370" s="95"/>
      <c r="GM370" s="201"/>
      <c r="GN370" s="95"/>
      <c r="GO370" s="201"/>
      <c r="GP370" s="95"/>
      <c r="GQ370" s="201"/>
      <c r="GR370" s="95"/>
      <c r="GS370" s="201"/>
      <c r="GT370" s="79"/>
    </row>
    <row r="371" spans="1:286" ht="12.75" hidden="1" customHeight="1" outlineLevel="1" x14ac:dyDescent="0.2">
      <c r="A371" s="1"/>
      <c r="B371" s="10" t="s">
        <v>184</v>
      </c>
      <c r="C371" s="79"/>
      <c r="D371" s="79"/>
      <c r="E371" s="75"/>
      <c r="F371" s="75"/>
      <c r="G371" s="75"/>
      <c r="H371" s="104"/>
      <c r="I371" s="75"/>
      <c r="J371" s="104"/>
      <c r="K371" s="75"/>
      <c r="L371" s="79"/>
      <c r="M371" s="75"/>
      <c r="N371" s="79"/>
      <c r="O371" s="75"/>
      <c r="P371" s="79"/>
      <c r="Q371" s="75"/>
      <c r="R371" s="79"/>
      <c r="S371" s="75"/>
      <c r="T371" s="79"/>
      <c r="U371" s="75"/>
      <c r="V371" s="79"/>
      <c r="W371" s="75"/>
      <c r="X371" s="79"/>
      <c r="Y371" s="75"/>
      <c r="Z371" s="79"/>
      <c r="AA371" s="267"/>
      <c r="AB371" s="79"/>
      <c r="AC371" s="75"/>
      <c r="AD371" s="79"/>
      <c r="AE371" s="75"/>
      <c r="AF371" s="79"/>
      <c r="AG371" s="75"/>
      <c r="AH371" s="79"/>
      <c r="AI371" s="75"/>
      <c r="AJ371" s="79"/>
      <c r="AK371" s="75"/>
      <c r="AL371" s="79"/>
      <c r="AM371" s="75"/>
      <c r="AN371" s="79" t="str">
        <f t="shared" si="1102"/>
        <v>NA</v>
      </c>
      <c r="AO371" s="75"/>
      <c r="AP371" s="79" t="str">
        <f t="shared" si="1102"/>
        <v>NA</v>
      </c>
      <c r="AQ371" s="75">
        <f>AQ369*AQ370/400</f>
        <v>6.1875</v>
      </c>
      <c r="AR371" s="79" t="str">
        <f t="shared" si="1102"/>
        <v>NA</v>
      </c>
      <c r="AS371" s="75">
        <f>AS369*AS370/400</f>
        <v>6.1875</v>
      </c>
      <c r="AT371" s="81" t="str">
        <f t="shared" si="1102"/>
        <v>NA</v>
      </c>
      <c r="AU371" s="75">
        <f>AU369*AU370/400</f>
        <v>6.1875</v>
      </c>
      <c r="AV371" s="81" t="str">
        <f t="shared" si="1102"/>
        <v>NA</v>
      </c>
      <c r="AW371" s="75">
        <f>AW369*AW370/400</f>
        <v>6.1875</v>
      </c>
      <c r="AX371" s="81" t="str">
        <f t="shared" si="1102"/>
        <v>NA</v>
      </c>
      <c r="AY371" s="75">
        <f>AY369*AY370/400</f>
        <v>6.1875</v>
      </c>
      <c r="AZ371" s="81">
        <f t="shared" si="1102"/>
        <v>0</v>
      </c>
      <c r="BA371" s="75">
        <f>BA369*BA370/400</f>
        <v>6.1875</v>
      </c>
      <c r="BB371" s="81">
        <f t="shared" si="1102"/>
        <v>0</v>
      </c>
      <c r="BC371" s="75">
        <f>BC369*BC370/400</f>
        <v>6.1875</v>
      </c>
      <c r="BD371" s="81">
        <f t="shared" si="1102"/>
        <v>0</v>
      </c>
      <c r="BE371" s="75">
        <f>BE369*BE370/400</f>
        <v>6.1875</v>
      </c>
      <c r="BF371" s="81">
        <f>IF(ISERROR((BE371/AW371-1)*100),"NA",IF(((BE371/AW371-1)*100)&gt;100,"NM",IF(((BE371/AW371-1)*100)&lt;-50,"NM",(BE371/AW371-1)*100)))</f>
        <v>0</v>
      </c>
      <c r="BG371" s="75">
        <f>BG369*BG370/400</f>
        <v>6.1875</v>
      </c>
      <c r="BH371" s="81">
        <f>IF(ISERROR((BG371/AY371-1)*100),"NA",IF(((BG371/AY371-1)*100)&gt;100,"NM",IF(((BG371/AY371-1)*100)&lt;-50,"NM",(BG371/AY371-1)*100)))</f>
        <v>0</v>
      </c>
      <c r="BI371" s="75">
        <f>BI369*BI370/400</f>
        <v>6.1875</v>
      </c>
      <c r="BJ371" s="81">
        <f t="shared" si="1097"/>
        <v>0</v>
      </c>
      <c r="BK371" s="75">
        <f>BK369*BK370/400</f>
        <v>6.1875</v>
      </c>
      <c r="BL371" s="81">
        <f>IF(ISERROR((BK371/BC371-1)*100),"NA",IF(((BK371/BC371-1)*100)&gt;100,"NM",IF(((BK371/BC371-1)*100)&lt;-50,"NM",(BK371/BC371-1)*100)))</f>
        <v>0</v>
      </c>
      <c r="BM371" s="75">
        <f>BM369*BM370/400</f>
        <v>6.1875</v>
      </c>
      <c r="BN371" s="81">
        <f>IF(ISERROR((BM371/BE371-1)*100),"NA",IF(((BM371/BE371-1)*100)&gt;100,"NM",IF(((BM371/BE371-1)*100)&lt;-50,"NM",(BM371/BE371-1)*100)))</f>
        <v>0</v>
      </c>
      <c r="BO371" s="75"/>
      <c r="BP371" s="81"/>
      <c r="BQ371" s="75"/>
      <c r="BR371" s="81"/>
      <c r="BS371" s="75"/>
      <c r="BT371" s="81"/>
      <c r="BU371" s="75"/>
      <c r="BV371" s="81"/>
      <c r="BW371" s="75"/>
      <c r="BX371" s="81"/>
      <c r="BY371" s="75"/>
      <c r="BZ371" s="81"/>
      <c r="CA371" s="75"/>
      <c r="CB371" s="81"/>
      <c r="CC371" s="75"/>
      <c r="CD371" s="81"/>
      <c r="CE371" s="75"/>
      <c r="CF371" s="81"/>
      <c r="CG371" s="75"/>
      <c r="CH371" s="81"/>
      <c r="CI371" s="75"/>
      <c r="CJ371" s="81"/>
      <c r="CK371" s="75"/>
      <c r="CL371" s="81"/>
      <c r="CM371" s="75"/>
      <c r="CN371" s="81"/>
      <c r="CO371" s="75"/>
      <c r="CP371" s="81"/>
      <c r="CQ371" s="75"/>
      <c r="CR371" s="81"/>
      <c r="CS371" s="75"/>
      <c r="CT371" s="81"/>
      <c r="CU371" s="75"/>
      <c r="CV371" s="81"/>
      <c r="CW371" s="75"/>
      <c r="CX371" s="81"/>
      <c r="CY371" s="75"/>
      <c r="CZ371" s="81"/>
      <c r="DA371" s="75"/>
      <c r="DB371" s="81"/>
      <c r="DC371" s="75"/>
      <c r="DD371" s="81"/>
      <c r="DE371" s="75"/>
      <c r="DF371" s="81"/>
      <c r="DG371" s="75"/>
      <c r="DH371" s="81"/>
      <c r="DI371" s="75"/>
      <c r="DJ371" s="81"/>
      <c r="DK371" s="75"/>
      <c r="DL371" s="81"/>
      <c r="DM371" s="75"/>
      <c r="DN371" s="81"/>
      <c r="DO371" s="75"/>
      <c r="DP371" s="81"/>
      <c r="DQ371" s="75"/>
      <c r="DR371" s="81"/>
      <c r="DS371" s="75"/>
      <c r="DT371" s="81"/>
      <c r="DU371" s="75"/>
      <c r="DV371" s="81"/>
      <c r="DW371" s="75"/>
      <c r="DX371" s="81"/>
      <c r="DY371" s="75"/>
      <c r="DZ371" s="81"/>
      <c r="EA371" s="75"/>
      <c r="EB371" s="81"/>
      <c r="EC371" s="75"/>
      <c r="ED371" s="81"/>
      <c r="EE371" s="75"/>
      <c r="EF371" s="81"/>
      <c r="EG371" s="75"/>
      <c r="EH371" s="81"/>
      <c r="EI371" s="75"/>
      <c r="EJ371" s="81"/>
      <c r="EK371" s="75"/>
      <c r="EL371" s="81"/>
      <c r="EM371" s="75"/>
      <c r="EN371" s="81"/>
      <c r="EO371" s="75"/>
      <c r="EP371" s="81"/>
      <c r="EQ371" s="75"/>
      <c r="ER371" s="81"/>
      <c r="ES371" s="105"/>
      <c r="ET371" s="475"/>
      <c r="EU371" s="105"/>
      <c r="EV371" s="104"/>
      <c r="EW371" s="201"/>
      <c r="EX371" s="104"/>
      <c r="EY371" s="201"/>
      <c r="EZ371" s="104"/>
      <c r="FA371" s="201"/>
      <c r="FB371" s="104"/>
      <c r="FC371" s="201"/>
      <c r="FD371" s="104"/>
      <c r="FE371" s="201"/>
      <c r="FF371" s="104"/>
      <c r="FG371" s="201"/>
      <c r="FH371" s="104"/>
      <c r="FI371" s="201"/>
      <c r="FJ371" s="104"/>
      <c r="FK371" s="201"/>
      <c r="FL371" s="93">
        <f>SUM(AY371,AW371,AU371,AS371)</f>
        <v>24.75</v>
      </c>
      <c r="FM371" s="201"/>
      <c r="FN371" s="93">
        <f>BA371+BC371+BE371+BG371</f>
        <v>24.75</v>
      </c>
      <c r="FO371" s="201"/>
      <c r="FP371" s="93">
        <f>BI371+BK371+BM371+BO371</f>
        <v>18.5625</v>
      </c>
      <c r="FQ371" s="201"/>
      <c r="FR371" s="75"/>
      <c r="FS371" s="201"/>
      <c r="FT371" s="75"/>
      <c r="FU371" s="201"/>
      <c r="FV371" s="75"/>
      <c r="FW371" s="201"/>
      <c r="FX371" s="75"/>
      <c r="FY371" s="201"/>
      <c r="FZ371" s="75"/>
      <c r="GA371" s="201"/>
      <c r="GB371" s="75"/>
      <c r="GC371" s="201"/>
      <c r="GD371" s="75"/>
      <c r="GE371" s="201"/>
      <c r="GF371" s="75"/>
      <c r="GG371" s="201"/>
      <c r="GH371" s="75"/>
      <c r="GI371" s="201"/>
      <c r="GJ371" s="75"/>
      <c r="GK371" s="201"/>
      <c r="GL371" s="75"/>
      <c r="GM371" s="201"/>
      <c r="GN371" s="75"/>
      <c r="GO371" s="201"/>
      <c r="GP371" s="75"/>
      <c r="GQ371" s="201"/>
      <c r="GR371" s="75"/>
      <c r="GS371" s="201"/>
      <c r="GT371" s="79"/>
    </row>
    <row r="372" spans="1:286" ht="12.75" hidden="1" customHeight="1" outlineLevel="1" x14ac:dyDescent="0.2">
      <c r="A372" s="1"/>
      <c r="C372" s="79"/>
      <c r="D372" s="79"/>
      <c r="E372" s="75"/>
      <c r="F372" s="75"/>
      <c r="G372" s="75"/>
      <c r="H372" s="104"/>
      <c r="I372" s="75"/>
      <c r="J372" s="104"/>
      <c r="K372" s="75"/>
      <c r="L372" s="79"/>
      <c r="M372" s="75"/>
      <c r="N372" s="79"/>
      <c r="O372" s="75"/>
      <c r="P372" s="79"/>
      <c r="Q372" s="75"/>
      <c r="R372" s="79"/>
      <c r="S372" s="75"/>
      <c r="T372" s="79"/>
      <c r="U372" s="75"/>
      <c r="V372" s="79"/>
      <c r="W372" s="75"/>
      <c r="X372" s="79"/>
      <c r="Y372" s="75"/>
      <c r="Z372" s="79"/>
      <c r="AA372" s="267"/>
      <c r="AB372" s="79"/>
      <c r="AC372" s="75"/>
      <c r="AD372" s="79"/>
      <c r="AE372" s="75"/>
      <c r="AF372" s="79"/>
      <c r="AG372" s="75"/>
      <c r="AH372" s="79"/>
      <c r="AI372" s="75"/>
      <c r="AJ372" s="79"/>
      <c r="AK372" s="75"/>
      <c r="AL372" s="79"/>
      <c r="AM372" s="75"/>
      <c r="AN372" s="79"/>
      <c r="AO372" s="75"/>
      <c r="AP372" s="79"/>
      <c r="AQ372" s="75"/>
      <c r="AR372" s="79"/>
      <c r="AS372" s="75"/>
      <c r="AT372" s="81"/>
      <c r="AU372" s="75"/>
      <c r="AV372" s="81"/>
      <c r="AW372" s="75"/>
      <c r="AX372" s="81"/>
      <c r="AY372" s="75"/>
      <c r="AZ372" s="81"/>
      <c r="BA372" s="75"/>
      <c r="BB372" s="81"/>
      <c r="BC372" s="75"/>
      <c r="BD372" s="81"/>
      <c r="BE372" s="75"/>
      <c r="BF372" s="81"/>
      <c r="BG372" s="75"/>
      <c r="BH372" s="81"/>
      <c r="BI372" s="75"/>
      <c r="BJ372" s="81"/>
      <c r="BK372" s="75"/>
      <c r="BL372" s="81"/>
      <c r="BM372" s="75"/>
      <c r="BN372" s="81"/>
      <c r="BO372" s="75"/>
      <c r="BP372" s="81"/>
      <c r="BQ372" s="75"/>
      <c r="BR372" s="81"/>
      <c r="BS372" s="75"/>
      <c r="BT372" s="81"/>
      <c r="BU372" s="75"/>
      <c r="BV372" s="81"/>
      <c r="BW372" s="75"/>
      <c r="BX372" s="81"/>
      <c r="BY372" s="75"/>
      <c r="BZ372" s="81"/>
      <c r="CA372" s="75"/>
      <c r="CB372" s="81"/>
      <c r="CC372" s="75"/>
      <c r="CD372" s="81"/>
      <c r="CE372" s="75"/>
      <c r="CF372" s="81"/>
      <c r="CG372" s="75"/>
      <c r="CH372" s="81"/>
      <c r="CI372" s="75"/>
      <c r="CJ372" s="81"/>
      <c r="CK372" s="75"/>
      <c r="CL372" s="81"/>
      <c r="CM372" s="75"/>
      <c r="CN372" s="81"/>
      <c r="CO372" s="75"/>
      <c r="CP372" s="81"/>
      <c r="CQ372" s="75"/>
      <c r="CR372" s="81"/>
      <c r="CS372" s="75"/>
      <c r="CT372" s="81"/>
      <c r="CU372" s="75"/>
      <c r="CV372" s="81"/>
      <c r="CW372" s="75"/>
      <c r="CX372" s="81"/>
      <c r="CY372" s="75"/>
      <c r="CZ372" s="81"/>
      <c r="DA372" s="75"/>
      <c r="DB372" s="81"/>
      <c r="DC372" s="75"/>
      <c r="DD372" s="81"/>
      <c r="DE372" s="75"/>
      <c r="DF372" s="81"/>
      <c r="DG372" s="75"/>
      <c r="DH372" s="81"/>
      <c r="DI372" s="75"/>
      <c r="DJ372" s="81"/>
      <c r="DK372" s="75"/>
      <c r="DL372" s="81"/>
      <c r="DM372" s="75"/>
      <c r="DN372" s="81"/>
      <c r="DO372" s="75"/>
      <c r="DP372" s="81"/>
      <c r="DQ372" s="75"/>
      <c r="DR372" s="81"/>
      <c r="DS372" s="75"/>
      <c r="DT372" s="81"/>
      <c r="DU372" s="75"/>
      <c r="DV372" s="81"/>
      <c r="DW372" s="75"/>
      <c r="DX372" s="81"/>
      <c r="DY372" s="75"/>
      <c r="DZ372" s="81"/>
      <c r="EA372" s="75"/>
      <c r="EB372" s="81"/>
      <c r="EC372" s="75"/>
      <c r="ED372" s="81"/>
      <c r="EE372" s="75"/>
      <c r="EF372" s="81"/>
      <c r="EG372" s="75"/>
      <c r="EH372" s="81"/>
      <c r="EI372" s="75"/>
      <c r="EJ372" s="81"/>
      <c r="EK372" s="75"/>
      <c r="EL372" s="81"/>
      <c r="EM372" s="75"/>
      <c r="EN372" s="81"/>
      <c r="EO372" s="75"/>
      <c r="EP372" s="81"/>
      <c r="EQ372" s="75"/>
      <c r="ER372" s="81"/>
      <c r="ES372" s="129"/>
      <c r="ET372" s="469"/>
      <c r="EU372" s="129"/>
      <c r="EV372" s="75"/>
      <c r="EW372" s="79"/>
      <c r="EX372" s="75"/>
      <c r="EY372" s="79"/>
      <c r="EZ372" s="75"/>
      <c r="FA372" s="79"/>
      <c r="FB372" s="75"/>
      <c r="FC372" s="79"/>
      <c r="FD372" s="75"/>
      <c r="FE372" s="79"/>
      <c r="FF372" s="75"/>
      <c r="FG372" s="79"/>
      <c r="FH372" s="75"/>
      <c r="FI372" s="79"/>
      <c r="FJ372" s="75"/>
      <c r="FK372" s="79"/>
      <c r="FL372" s="93"/>
      <c r="FM372" s="79"/>
      <c r="FN372" s="93"/>
      <c r="FO372" s="79"/>
      <c r="FP372" s="93"/>
      <c r="FQ372" s="79"/>
      <c r="FR372" s="75"/>
      <c r="FS372" s="79"/>
      <c r="FT372" s="75"/>
      <c r="FU372" s="79"/>
      <c r="FV372" s="75"/>
      <c r="FW372" s="79"/>
      <c r="FX372" s="75"/>
      <c r="FY372" s="79"/>
      <c r="FZ372" s="75"/>
      <c r="GA372" s="79"/>
      <c r="GB372" s="75"/>
      <c r="GC372" s="79"/>
      <c r="GD372" s="75"/>
      <c r="GE372" s="79"/>
      <c r="GF372" s="75"/>
      <c r="GG372" s="79"/>
      <c r="GH372" s="75"/>
      <c r="GI372" s="79"/>
      <c r="GJ372" s="75"/>
      <c r="GK372" s="79"/>
      <c r="GL372" s="75"/>
      <c r="GM372" s="79"/>
      <c r="GN372" s="75"/>
      <c r="GO372" s="79"/>
      <c r="GP372" s="75"/>
      <c r="GQ372" s="79"/>
      <c r="GR372" s="75"/>
      <c r="GS372" s="79"/>
      <c r="GT372" s="79"/>
    </row>
    <row r="373" spans="1:286" ht="12.75" hidden="1" customHeight="1" outlineLevel="1" x14ac:dyDescent="0.2">
      <c r="A373" s="1"/>
      <c r="B373" s="10" t="s">
        <v>189</v>
      </c>
      <c r="C373" s="79"/>
      <c r="D373" s="79"/>
      <c r="E373" s="75"/>
      <c r="F373" s="75"/>
      <c r="G373" s="75"/>
      <c r="H373" s="104"/>
      <c r="I373" s="75"/>
      <c r="J373" s="104"/>
      <c r="K373" s="75"/>
      <c r="L373" s="79"/>
      <c r="M373" s="75"/>
      <c r="N373" s="79"/>
      <c r="O373" s="75"/>
      <c r="P373" s="79"/>
      <c r="Q373" s="75"/>
      <c r="R373" s="79"/>
      <c r="S373" s="75"/>
      <c r="T373" s="79"/>
      <c r="U373" s="75"/>
      <c r="V373" s="79"/>
      <c r="W373" s="75"/>
      <c r="X373" s="79"/>
      <c r="Y373" s="75"/>
      <c r="Z373" s="79"/>
      <c r="AA373" s="267"/>
      <c r="AB373" s="79"/>
      <c r="AC373" s="75"/>
      <c r="AD373" s="79"/>
      <c r="AE373" s="75"/>
      <c r="AF373" s="79"/>
      <c r="AG373" s="75"/>
      <c r="AH373" s="79"/>
      <c r="AI373" s="75"/>
      <c r="AJ373" s="79"/>
      <c r="AK373" s="75"/>
      <c r="AL373" s="79"/>
      <c r="AM373" s="75"/>
      <c r="AN373" s="79"/>
      <c r="AO373" s="75"/>
      <c r="AP373" s="79"/>
      <c r="AQ373" s="75"/>
      <c r="AR373" s="79"/>
      <c r="AS373" s="75"/>
      <c r="AT373" s="81"/>
      <c r="AU373" s="75"/>
      <c r="AV373" s="81"/>
      <c r="AW373" s="75"/>
      <c r="AX373" s="81"/>
      <c r="AY373" s="75"/>
      <c r="AZ373" s="81"/>
      <c r="BA373" s="75"/>
      <c r="BB373" s="81"/>
      <c r="BC373" s="75"/>
      <c r="BD373" s="81"/>
      <c r="BE373" s="75"/>
      <c r="BF373" s="81"/>
      <c r="BG373" s="75"/>
      <c r="BH373" s="81"/>
      <c r="BI373" s="75"/>
      <c r="BJ373" s="81"/>
      <c r="BK373" s="75"/>
      <c r="BL373" s="81"/>
      <c r="BM373" s="75"/>
      <c r="BN373" s="81"/>
      <c r="BO373" s="75"/>
      <c r="BP373" s="81"/>
      <c r="BQ373" s="75"/>
      <c r="BR373" s="81"/>
      <c r="BS373" s="75"/>
      <c r="BT373" s="81"/>
      <c r="BU373" s="75"/>
      <c r="BV373" s="81"/>
      <c r="BW373" s="75"/>
      <c r="BX373" s="81"/>
      <c r="BY373" s="75"/>
      <c r="BZ373" s="81"/>
      <c r="CA373" s="75"/>
      <c r="CB373" s="81"/>
      <c r="CC373" s="75"/>
      <c r="CD373" s="81"/>
      <c r="CE373" s="75"/>
      <c r="CF373" s="81"/>
      <c r="CG373" s="75"/>
      <c r="CH373" s="81"/>
      <c r="CI373" s="75"/>
      <c r="CJ373" s="81"/>
      <c r="CK373" s="75"/>
      <c r="CL373" s="81"/>
      <c r="CM373" s="75"/>
      <c r="CN373" s="81"/>
      <c r="CO373" s="75"/>
      <c r="CP373" s="81"/>
      <c r="CQ373" s="75"/>
      <c r="CR373" s="81"/>
      <c r="CS373" s="75"/>
      <c r="CT373" s="81"/>
      <c r="CU373" s="75"/>
      <c r="CV373" s="81"/>
      <c r="CW373" s="75"/>
      <c r="CX373" s="81"/>
      <c r="CY373" s="75"/>
      <c r="CZ373" s="81"/>
      <c r="DA373" s="75"/>
      <c r="DB373" s="81"/>
      <c r="DC373" s="75"/>
      <c r="DD373" s="81"/>
      <c r="DE373" s="75"/>
      <c r="DF373" s="81"/>
      <c r="DG373" s="75"/>
      <c r="DH373" s="81"/>
      <c r="DI373" s="75"/>
      <c r="DJ373" s="81"/>
      <c r="DK373" s="75"/>
      <c r="DL373" s="81"/>
      <c r="DM373" s="75"/>
      <c r="DN373" s="81"/>
      <c r="DO373" s="75"/>
      <c r="DP373" s="81"/>
      <c r="DQ373" s="75"/>
      <c r="DR373" s="81"/>
      <c r="DS373" s="75"/>
      <c r="DT373" s="81"/>
      <c r="DU373" s="75"/>
      <c r="DV373" s="81"/>
      <c r="DW373" s="75"/>
      <c r="DX373" s="81"/>
      <c r="DY373" s="75"/>
      <c r="DZ373" s="81"/>
      <c r="EA373" s="75"/>
      <c r="EB373" s="81"/>
      <c r="EC373" s="75"/>
      <c r="ED373" s="81"/>
      <c r="EE373" s="75"/>
      <c r="EF373" s="81"/>
      <c r="EG373" s="75"/>
      <c r="EH373" s="81"/>
      <c r="EI373" s="75"/>
      <c r="EJ373" s="81"/>
      <c r="EK373" s="75"/>
      <c r="EL373" s="81"/>
      <c r="EM373" s="75"/>
      <c r="EN373" s="81"/>
      <c r="EO373" s="75"/>
      <c r="EP373" s="81"/>
      <c r="EQ373" s="75"/>
      <c r="ER373" s="81"/>
      <c r="ES373" s="129"/>
      <c r="ET373" s="469"/>
      <c r="EU373" s="129"/>
      <c r="EV373" s="75"/>
      <c r="EW373" s="79"/>
      <c r="EX373" s="75"/>
      <c r="EY373" s="79"/>
      <c r="EZ373" s="75"/>
      <c r="FA373" s="79"/>
      <c r="FB373" s="75"/>
      <c r="FC373" s="79"/>
      <c r="FD373" s="75"/>
      <c r="FE373" s="79"/>
      <c r="FF373" s="75"/>
      <c r="FG373" s="79"/>
      <c r="FH373" s="75"/>
      <c r="FI373" s="79"/>
      <c r="FJ373" s="75"/>
      <c r="FK373" s="79"/>
      <c r="FL373" s="93"/>
      <c r="FM373" s="79"/>
      <c r="FN373" s="93"/>
      <c r="FO373" s="79"/>
      <c r="FP373" s="93"/>
      <c r="FQ373" s="79"/>
      <c r="FR373" s="75"/>
      <c r="FS373" s="79"/>
      <c r="FT373" s="75"/>
      <c r="FU373" s="79"/>
      <c r="FV373" s="75"/>
      <c r="FW373" s="79"/>
      <c r="FX373" s="75"/>
      <c r="FY373" s="79"/>
      <c r="FZ373" s="75"/>
      <c r="GA373" s="79"/>
      <c r="GB373" s="75"/>
      <c r="GC373" s="79"/>
      <c r="GD373" s="75"/>
      <c r="GE373" s="79"/>
      <c r="GF373" s="75"/>
      <c r="GG373" s="79"/>
      <c r="GH373" s="75"/>
      <c r="GI373" s="79"/>
      <c r="GJ373" s="75"/>
      <c r="GK373" s="79"/>
      <c r="GL373" s="75"/>
      <c r="GM373" s="79"/>
      <c r="GN373" s="75"/>
      <c r="GO373" s="79"/>
      <c r="GP373" s="75"/>
      <c r="GQ373" s="79"/>
      <c r="GR373" s="75"/>
      <c r="GS373" s="79"/>
      <c r="GT373" s="79"/>
    </row>
    <row r="374" spans="1:286" ht="12.75" hidden="1" customHeight="1" outlineLevel="1" x14ac:dyDescent="0.2">
      <c r="A374" s="1"/>
      <c r="B374" s="10" t="s">
        <v>190</v>
      </c>
      <c r="C374" s="79"/>
      <c r="D374" s="79"/>
      <c r="E374" s="75"/>
      <c r="F374" s="75"/>
      <c r="G374" s="75"/>
      <c r="H374" s="104"/>
      <c r="I374" s="75"/>
      <c r="J374" s="104"/>
      <c r="K374" s="75"/>
      <c r="L374" s="79"/>
      <c r="M374" s="75"/>
      <c r="N374" s="79"/>
      <c r="O374" s="75"/>
      <c r="P374" s="79"/>
      <c r="Q374" s="75"/>
      <c r="R374" s="79"/>
      <c r="S374" s="75"/>
      <c r="T374" s="79"/>
      <c r="U374" s="75"/>
      <c r="V374" s="79"/>
      <c r="W374" s="75"/>
      <c r="X374" s="79"/>
      <c r="Y374" s="75"/>
      <c r="Z374" s="79"/>
      <c r="AA374" s="267"/>
      <c r="AB374" s="79"/>
      <c r="AC374" s="75"/>
      <c r="AD374" s="79"/>
      <c r="AE374" s="75"/>
      <c r="AF374" s="79"/>
      <c r="AG374" s="75"/>
      <c r="AH374" s="79"/>
      <c r="AI374" s="75"/>
      <c r="AJ374" s="79"/>
      <c r="AK374" s="75"/>
      <c r="AL374" s="79"/>
      <c r="AM374" s="75"/>
      <c r="AN374" s="211"/>
      <c r="AO374" s="75"/>
      <c r="AP374" s="211"/>
      <c r="AQ374" s="95">
        <v>400</v>
      </c>
      <c r="AR374" s="211"/>
      <c r="AS374" s="95">
        <v>400</v>
      </c>
      <c r="AT374" s="212"/>
      <c r="AU374" s="95">
        <v>400</v>
      </c>
      <c r="AV374" s="212"/>
      <c r="AW374" s="95">
        <v>400</v>
      </c>
      <c r="AX374" s="212"/>
      <c r="AY374" s="95">
        <v>400</v>
      </c>
      <c r="AZ374" s="212"/>
      <c r="BA374" s="95">
        <v>400</v>
      </c>
      <c r="BB374" s="212"/>
      <c r="BC374" s="95">
        <v>400</v>
      </c>
      <c r="BD374" s="212"/>
      <c r="BE374" s="95">
        <v>400</v>
      </c>
      <c r="BF374" s="212"/>
      <c r="BG374" s="95">
        <v>400</v>
      </c>
      <c r="BH374" s="81">
        <f t="shared" ref="BH374:BH379" si="1103">IF(ISERROR((BG374/AY374-1)*100),"NA",IF(((BG374/AY374-1)*100)&gt;100,"NM",IF(((BG374/AY374-1)*100)&lt;-50,"NM",(BG374/AY374-1)*100)))</f>
        <v>0</v>
      </c>
      <c r="BI374" s="95">
        <v>400</v>
      </c>
      <c r="BJ374" s="81">
        <f t="shared" si="1097"/>
        <v>0</v>
      </c>
      <c r="BK374" s="95">
        <v>400</v>
      </c>
      <c r="BL374" s="81">
        <f t="shared" ref="BL374:BL379" si="1104">IF(ISERROR((BK374/BC374-1)*100),"NA",IF(((BK374/BC374-1)*100)&gt;100,"NM",IF(((BK374/BC374-1)*100)&lt;-50,"NM",(BK374/BC374-1)*100)))</f>
        <v>0</v>
      </c>
      <c r="BM374" s="95">
        <v>400</v>
      </c>
      <c r="BN374" s="81">
        <f t="shared" ref="BN374:BN379" si="1105">IF(ISERROR((BM374/BE374-1)*100),"NA",IF(((BM374/BE374-1)*100)&gt;100,"NM",IF(((BM374/BE374-1)*100)&lt;-50,"NM",(BM374/BE374-1)*100)))</f>
        <v>0</v>
      </c>
      <c r="BO374" s="95"/>
      <c r="BP374" s="81"/>
      <c r="BQ374" s="95"/>
      <c r="BR374" s="81"/>
      <c r="BS374" s="95"/>
      <c r="BT374" s="81"/>
      <c r="BU374" s="95"/>
      <c r="BV374" s="81"/>
      <c r="BW374" s="95"/>
      <c r="BX374" s="81"/>
      <c r="BY374" s="95"/>
      <c r="BZ374" s="81"/>
      <c r="CA374" s="95"/>
      <c r="CB374" s="81"/>
      <c r="CC374" s="95"/>
      <c r="CD374" s="81"/>
      <c r="CE374" s="95"/>
      <c r="CF374" s="81"/>
      <c r="CG374" s="95"/>
      <c r="CH374" s="81"/>
      <c r="CI374" s="95"/>
      <c r="CJ374" s="81"/>
      <c r="CK374" s="95"/>
      <c r="CL374" s="81"/>
      <c r="CM374" s="95"/>
      <c r="CN374" s="81"/>
      <c r="CO374" s="95"/>
      <c r="CP374" s="81"/>
      <c r="CQ374" s="95"/>
      <c r="CR374" s="81"/>
      <c r="CS374" s="95"/>
      <c r="CT374" s="81"/>
      <c r="CU374" s="95"/>
      <c r="CV374" s="81"/>
      <c r="CW374" s="95"/>
      <c r="CX374" s="81"/>
      <c r="CY374" s="95"/>
      <c r="CZ374" s="81"/>
      <c r="DA374" s="95"/>
      <c r="DB374" s="81"/>
      <c r="DC374" s="95"/>
      <c r="DD374" s="81"/>
      <c r="DE374" s="95"/>
      <c r="DF374" s="81"/>
      <c r="DG374" s="95"/>
      <c r="DH374" s="81"/>
      <c r="DI374" s="95"/>
      <c r="DJ374" s="81"/>
      <c r="DK374" s="95"/>
      <c r="DL374" s="81"/>
      <c r="DM374" s="95"/>
      <c r="DN374" s="81"/>
      <c r="DO374" s="95"/>
      <c r="DP374" s="81"/>
      <c r="DQ374" s="95"/>
      <c r="DR374" s="81"/>
      <c r="DS374" s="95"/>
      <c r="DT374" s="81"/>
      <c r="DU374" s="95"/>
      <c r="DV374" s="81"/>
      <c r="DW374" s="95"/>
      <c r="DX374" s="81"/>
      <c r="DY374" s="95"/>
      <c r="DZ374" s="81"/>
      <c r="EA374" s="95"/>
      <c r="EB374" s="81"/>
      <c r="EC374" s="95"/>
      <c r="ED374" s="81"/>
      <c r="EE374" s="95"/>
      <c r="EF374" s="81"/>
      <c r="EG374" s="95"/>
      <c r="EH374" s="81"/>
      <c r="EI374" s="95"/>
      <c r="EJ374" s="81"/>
      <c r="EK374" s="95"/>
      <c r="EL374" s="81"/>
      <c r="EM374" s="95"/>
      <c r="EN374" s="81"/>
      <c r="EO374" s="95"/>
      <c r="EP374" s="81"/>
      <c r="EQ374" s="95"/>
      <c r="ER374" s="81"/>
      <c r="ES374" s="129"/>
      <c r="ET374" s="469"/>
      <c r="EU374" s="129"/>
      <c r="EV374" s="95"/>
      <c r="EW374" s="211"/>
      <c r="EX374" s="95"/>
      <c r="EY374" s="211"/>
      <c r="EZ374" s="95"/>
      <c r="FA374" s="211"/>
      <c r="FB374" s="95"/>
      <c r="FC374" s="211"/>
      <c r="FD374" s="95"/>
      <c r="FE374" s="211"/>
      <c r="FF374" s="95"/>
      <c r="FG374" s="211"/>
      <c r="FH374" s="95"/>
      <c r="FI374" s="211"/>
      <c r="FJ374" s="95"/>
      <c r="FK374" s="211"/>
      <c r="FL374" s="93">
        <f>AVERAGE(AY374,AU374,AS374,AW374)</f>
        <v>400</v>
      </c>
      <c r="FM374" s="211"/>
      <c r="FN374" s="93">
        <f>AVERAGE(BG374,BC374,BA374,BE374)</f>
        <v>400</v>
      </c>
      <c r="FO374" s="211"/>
      <c r="FP374" s="93">
        <f>AVERAGE(BO374,BK374,BI374,BM374)</f>
        <v>400</v>
      </c>
      <c r="FQ374" s="211"/>
      <c r="FR374" s="93"/>
      <c r="FS374" s="211"/>
      <c r="FT374" s="93"/>
      <c r="FU374" s="211"/>
      <c r="FV374" s="93"/>
      <c r="FW374" s="211"/>
      <c r="FX374" s="93"/>
      <c r="FY374" s="211"/>
      <c r="FZ374" s="93"/>
      <c r="GA374" s="211"/>
      <c r="GB374" s="93"/>
      <c r="GC374" s="211"/>
      <c r="GD374" s="93"/>
      <c r="GE374" s="211"/>
      <c r="GF374" s="93"/>
      <c r="GG374" s="211"/>
      <c r="GH374" s="93"/>
      <c r="GI374" s="211"/>
      <c r="GJ374" s="93"/>
      <c r="GK374" s="211"/>
      <c r="GL374" s="95"/>
      <c r="GM374" s="211"/>
      <c r="GN374" s="95"/>
      <c r="GO374" s="211"/>
      <c r="GP374" s="95"/>
      <c r="GQ374" s="211"/>
      <c r="GR374" s="95"/>
      <c r="GS374" s="211"/>
      <c r="GT374" s="79"/>
    </row>
    <row r="375" spans="1:286" ht="12.75" hidden="1" customHeight="1" outlineLevel="1" x14ac:dyDescent="0.2">
      <c r="A375" s="1"/>
      <c r="B375" s="10" t="s">
        <v>191</v>
      </c>
      <c r="C375" s="79"/>
      <c r="D375" s="79"/>
      <c r="E375" s="75"/>
      <c r="F375" s="75"/>
      <c r="G375" s="75"/>
      <c r="H375" s="104"/>
      <c r="I375" s="75"/>
      <c r="J375" s="104"/>
      <c r="K375" s="75"/>
      <c r="L375" s="79"/>
      <c r="M375" s="75"/>
      <c r="N375" s="79"/>
      <c r="O375" s="75"/>
      <c r="P375" s="79"/>
      <c r="Q375" s="75"/>
      <c r="R375" s="79"/>
      <c r="S375" s="75"/>
      <c r="T375" s="79"/>
      <c r="U375" s="75"/>
      <c r="V375" s="79"/>
      <c r="W375" s="75"/>
      <c r="X375" s="79"/>
      <c r="Y375" s="75"/>
      <c r="Z375" s="79"/>
      <c r="AA375" s="267"/>
      <c r="AB375" s="79"/>
      <c r="AC375" s="75"/>
      <c r="AD375" s="79"/>
      <c r="AE375" s="75"/>
      <c r="AF375" s="79"/>
      <c r="AG375" s="75"/>
      <c r="AH375" s="79"/>
      <c r="AI375" s="75"/>
      <c r="AJ375" s="79"/>
      <c r="AK375" s="75"/>
      <c r="AL375" s="79"/>
      <c r="AM375" s="75"/>
      <c r="AN375" s="211"/>
      <c r="AO375" s="75"/>
      <c r="AP375" s="211"/>
      <c r="AQ375" s="75">
        <v>0</v>
      </c>
      <c r="AR375" s="211"/>
      <c r="AS375" s="224">
        <v>0</v>
      </c>
      <c r="AT375" s="212"/>
      <c r="AU375" s="224">
        <v>0</v>
      </c>
      <c r="AV375" s="212"/>
      <c r="AW375" s="224">
        <v>0</v>
      </c>
      <c r="AX375" s="212"/>
      <c r="AY375" s="224">
        <v>0</v>
      </c>
      <c r="AZ375" s="212"/>
      <c r="BA375" s="224">
        <v>0</v>
      </c>
      <c r="BB375" s="212"/>
      <c r="BC375" s="224">
        <v>0</v>
      </c>
      <c r="BD375" s="212"/>
      <c r="BE375" s="224">
        <v>0</v>
      </c>
      <c r="BF375" s="212"/>
      <c r="BG375" s="224">
        <v>0</v>
      </c>
      <c r="BH375" s="81" t="str">
        <f t="shared" si="1103"/>
        <v>NA</v>
      </c>
      <c r="BI375" s="224">
        <v>0</v>
      </c>
      <c r="BJ375" s="81" t="str">
        <f t="shared" si="1097"/>
        <v>NA</v>
      </c>
      <c r="BK375" s="224">
        <v>0</v>
      </c>
      <c r="BL375" s="81" t="str">
        <f t="shared" si="1104"/>
        <v>NA</v>
      </c>
      <c r="BM375" s="224">
        <v>0</v>
      </c>
      <c r="BN375" s="81" t="str">
        <f t="shared" si="1105"/>
        <v>NA</v>
      </c>
      <c r="BO375" s="224"/>
      <c r="BP375" s="81"/>
      <c r="BQ375" s="224"/>
      <c r="BR375" s="81"/>
      <c r="BS375" s="224"/>
      <c r="BT375" s="81"/>
      <c r="BU375" s="224"/>
      <c r="BV375" s="81"/>
      <c r="BW375" s="224"/>
      <c r="BX375" s="81"/>
      <c r="BY375" s="224"/>
      <c r="BZ375" s="81"/>
      <c r="CA375" s="224"/>
      <c r="CB375" s="81"/>
      <c r="CC375" s="224"/>
      <c r="CD375" s="81"/>
      <c r="CE375" s="224"/>
      <c r="CF375" s="81"/>
      <c r="CG375" s="224"/>
      <c r="CH375" s="81"/>
      <c r="CI375" s="224"/>
      <c r="CJ375" s="81"/>
      <c r="CK375" s="224"/>
      <c r="CL375" s="81"/>
      <c r="CM375" s="224"/>
      <c r="CN375" s="81"/>
      <c r="CO375" s="224"/>
      <c r="CP375" s="81"/>
      <c r="CQ375" s="224"/>
      <c r="CR375" s="81"/>
      <c r="CS375" s="224"/>
      <c r="CT375" s="81"/>
      <c r="CU375" s="224"/>
      <c r="CV375" s="81"/>
      <c r="CW375" s="224"/>
      <c r="CX375" s="81"/>
      <c r="CY375" s="224"/>
      <c r="CZ375" s="81"/>
      <c r="DA375" s="224"/>
      <c r="DB375" s="81"/>
      <c r="DC375" s="224"/>
      <c r="DD375" s="81"/>
      <c r="DE375" s="224"/>
      <c r="DF375" s="81"/>
      <c r="DG375" s="224"/>
      <c r="DH375" s="81"/>
      <c r="DI375" s="224"/>
      <c r="DJ375" s="81"/>
      <c r="DK375" s="224"/>
      <c r="DL375" s="81"/>
      <c r="DM375" s="224"/>
      <c r="DN375" s="81"/>
      <c r="DO375" s="224"/>
      <c r="DP375" s="81"/>
      <c r="DQ375" s="224"/>
      <c r="DR375" s="81"/>
      <c r="DS375" s="224"/>
      <c r="DT375" s="81"/>
      <c r="DU375" s="224"/>
      <c r="DV375" s="81"/>
      <c r="DW375" s="224"/>
      <c r="DX375" s="81"/>
      <c r="DY375" s="224"/>
      <c r="DZ375" s="81"/>
      <c r="EA375" s="224"/>
      <c r="EB375" s="81"/>
      <c r="EC375" s="224"/>
      <c r="ED375" s="81"/>
      <c r="EE375" s="224"/>
      <c r="EF375" s="81"/>
      <c r="EG375" s="224"/>
      <c r="EH375" s="81"/>
      <c r="EI375" s="224"/>
      <c r="EJ375" s="81"/>
      <c r="EK375" s="224"/>
      <c r="EL375" s="81"/>
      <c r="EM375" s="224"/>
      <c r="EN375" s="81"/>
      <c r="EO375" s="224"/>
      <c r="EP375" s="81"/>
      <c r="EQ375" s="224"/>
      <c r="ER375" s="81"/>
      <c r="ES375" s="129"/>
      <c r="ET375" s="469"/>
      <c r="EU375" s="129"/>
      <c r="EV375" s="95"/>
      <c r="EW375" s="211"/>
      <c r="EX375" s="95"/>
      <c r="EY375" s="211"/>
      <c r="EZ375" s="95"/>
      <c r="FA375" s="211"/>
      <c r="FB375" s="95"/>
      <c r="FC375" s="211"/>
      <c r="FD375" s="95"/>
      <c r="FE375" s="211"/>
      <c r="FF375" s="95"/>
      <c r="FG375" s="211"/>
      <c r="FH375" s="95"/>
      <c r="FI375" s="211"/>
      <c r="FJ375" s="95"/>
      <c r="FK375" s="211"/>
      <c r="FL375" s="93">
        <f>AVERAGE(AY375,AU375,AS375,AW375)</f>
        <v>0</v>
      </c>
      <c r="FM375" s="211"/>
      <c r="FN375" s="93">
        <f>AVERAGE(BG375,BC375,BA375,BE375)</f>
        <v>0</v>
      </c>
      <c r="FO375" s="211"/>
      <c r="FP375" s="93">
        <f>AVERAGE(BO375,BK375,BI375,BM375)</f>
        <v>0</v>
      </c>
      <c r="FQ375" s="211"/>
      <c r="FR375" s="224"/>
      <c r="FS375" s="211"/>
      <c r="FT375" s="224"/>
      <c r="FU375" s="211"/>
      <c r="FV375" s="224"/>
      <c r="FW375" s="211"/>
      <c r="FX375" s="224"/>
      <c r="FY375" s="211"/>
      <c r="FZ375" s="224"/>
      <c r="GA375" s="211"/>
      <c r="GB375" s="224"/>
      <c r="GC375" s="211"/>
      <c r="GD375" s="224"/>
      <c r="GE375" s="211"/>
      <c r="GF375" s="224"/>
      <c r="GG375" s="211"/>
      <c r="GH375" s="224"/>
      <c r="GI375" s="211"/>
      <c r="GJ375" s="224"/>
      <c r="GK375" s="211"/>
      <c r="GL375" s="224"/>
      <c r="GM375" s="211"/>
      <c r="GN375" s="224"/>
      <c r="GO375" s="211"/>
      <c r="GP375" s="224"/>
      <c r="GQ375" s="211"/>
      <c r="GR375" s="224"/>
      <c r="GS375" s="211"/>
      <c r="GT375" s="79"/>
    </row>
    <row r="376" spans="1:286" ht="12.75" hidden="1" customHeight="1" outlineLevel="1" x14ac:dyDescent="0.2">
      <c r="A376" s="1"/>
      <c r="B376" s="10" t="s">
        <v>299</v>
      </c>
      <c r="C376" s="79"/>
      <c r="D376" s="79"/>
      <c r="E376" s="75"/>
      <c r="F376" s="75"/>
      <c r="G376" s="75"/>
      <c r="H376" s="104"/>
      <c r="I376" s="75"/>
      <c r="J376" s="104"/>
      <c r="K376" s="75"/>
      <c r="L376" s="79"/>
      <c r="M376" s="75"/>
      <c r="N376" s="79"/>
      <c r="O376" s="75"/>
      <c r="P376" s="79"/>
      <c r="Q376" s="75"/>
      <c r="R376" s="79"/>
      <c r="S376" s="75"/>
      <c r="T376" s="79"/>
      <c r="U376" s="75"/>
      <c r="V376" s="79"/>
      <c r="W376" s="75"/>
      <c r="X376" s="79"/>
      <c r="Y376" s="75"/>
      <c r="Z376" s="79"/>
      <c r="AA376" s="267"/>
      <c r="AB376" s="79"/>
      <c r="AC376" s="75"/>
      <c r="AD376" s="79"/>
      <c r="AE376" s="75"/>
      <c r="AF376" s="79"/>
      <c r="AG376" s="75"/>
      <c r="AH376" s="79"/>
      <c r="AI376" s="75"/>
      <c r="AJ376" s="79"/>
      <c r="AK376" s="75"/>
      <c r="AL376" s="79"/>
      <c r="AM376" s="75"/>
      <c r="AN376" s="211"/>
      <c r="AO376" s="75"/>
      <c r="AP376" s="211"/>
      <c r="AQ376" s="75">
        <v>0</v>
      </c>
      <c r="AR376" s="211"/>
      <c r="AS376" s="224">
        <v>0</v>
      </c>
      <c r="AT376" s="212"/>
      <c r="AU376" s="224">
        <v>0</v>
      </c>
      <c r="AV376" s="212"/>
      <c r="AW376" s="224">
        <v>0</v>
      </c>
      <c r="AX376" s="212"/>
      <c r="AY376" s="224">
        <v>0</v>
      </c>
      <c r="AZ376" s="212"/>
      <c r="BA376" s="224">
        <v>0</v>
      </c>
      <c r="BB376" s="212"/>
      <c r="BC376" s="224">
        <v>0</v>
      </c>
      <c r="BD376" s="212"/>
      <c r="BE376" s="224">
        <v>0</v>
      </c>
      <c r="BF376" s="212"/>
      <c r="BG376" s="224">
        <v>0</v>
      </c>
      <c r="BH376" s="81" t="str">
        <f t="shared" si="1103"/>
        <v>NA</v>
      </c>
      <c r="BI376" s="224">
        <v>0</v>
      </c>
      <c r="BJ376" s="81" t="str">
        <f t="shared" si="1097"/>
        <v>NA</v>
      </c>
      <c r="BK376" s="224">
        <v>0</v>
      </c>
      <c r="BL376" s="81" t="str">
        <f t="shared" si="1104"/>
        <v>NA</v>
      </c>
      <c r="BM376" s="224">
        <v>0</v>
      </c>
      <c r="BN376" s="81" t="str">
        <f t="shared" si="1105"/>
        <v>NA</v>
      </c>
      <c r="BO376" s="224"/>
      <c r="BP376" s="81"/>
      <c r="BQ376" s="224"/>
      <c r="BR376" s="81"/>
      <c r="BS376" s="224"/>
      <c r="BT376" s="81"/>
      <c r="BU376" s="224"/>
      <c r="BV376" s="81"/>
      <c r="BW376" s="224"/>
      <c r="BX376" s="81"/>
      <c r="BY376" s="224"/>
      <c r="BZ376" s="81"/>
      <c r="CA376" s="224"/>
      <c r="CB376" s="81"/>
      <c r="CC376" s="224"/>
      <c r="CD376" s="81"/>
      <c r="CE376" s="224"/>
      <c r="CF376" s="81"/>
      <c r="CG376" s="224"/>
      <c r="CH376" s="81"/>
      <c r="CI376" s="224"/>
      <c r="CJ376" s="81"/>
      <c r="CK376" s="224"/>
      <c r="CL376" s="81"/>
      <c r="CM376" s="224"/>
      <c r="CN376" s="81"/>
      <c r="CO376" s="224"/>
      <c r="CP376" s="81"/>
      <c r="CQ376" s="224"/>
      <c r="CR376" s="81"/>
      <c r="CS376" s="224"/>
      <c r="CT376" s="81"/>
      <c r="CU376" s="224"/>
      <c r="CV376" s="81"/>
      <c r="CW376" s="224"/>
      <c r="CX376" s="81"/>
      <c r="CY376" s="224"/>
      <c r="CZ376" s="81"/>
      <c r="DA376" s="224"/>
      <c r="DB376" s="81"/>
      <c r="DC376" s="224"/>
      <c r="DD376" s="81"/>
      <c r="DE376" s="224"/>
      <c r="DF376" s="81"/>
      <c r="DG376" s="224"/>
      <c r="DH376" s="81"/>
      <c r="DI376" s="224"/>
      <c r="DJ376" s="81"/>
      <c r="DK376" s="224"/>
      <c r="DL376" s="81"/>
      <c r="DM376" s="224"/>
      <c r="DN376" s="81"/>
      <c r="DO376" s="224"/>
      <c r="DP376" s="81"/>
      <c r="DQ376" s="224"/>
      <c r="DR376" s="81"/>
      <c r="DS376" s="224"/>
      <c r="DT376" s="81"/>
      <c r="DU376" s="224"/>
      <c r="DV376" s="81"/>
      <c r="DW376" s="224"/>
      <c r="DX376" s="81"/>
      <c r="DY376" s="224"/>
      <c r="DZ376" s="81"/>
      <c r="EA376" s="224"/>
      <c r="EB376" s="81"/>
      <c r="EC376" s="224"/>
      <c r="ED376" s="81"/>
      <c r="EE376" s="224"/>
      <c r="EF376" s="81"/>
      <c r="EG376" s="224"/>
      <c r="EH376" s="81"/>
      <c r="EI376" s="224"/>
      <c r="EJ376" s="81"/>
      <c r="EK376" s="224"/>
      <c r="EL376" s="81"/>
      <c r="EM376" s="224"/>
      <c r="EN376" s="81"/>
      <c r="EO376" s="224"/>
      <c r="EP376" s="81"/>
      <c r="EQ376" s="224"/>
      <c r="ER376" s="81"/>
      <c r="ES376" s="129"/>
      <c r="ET376" s="469"/>
      <c r="EU376" s="129"/>
      <c r="EV376" s="95"/>
      <c r="EW376" s="211"/>
      <c r="EX376" s="95"/>
      <c r="EY376" s="211"/>
      <c r="EZ376" s="95"/>
      <c r="FA376" s="211"/>
      <c r="FB376" s="95"/>
      <c r="FC376" s="211"/>
      <c r="FD376" s="95"/>
      <c r="FE376" s="211"/>
      <c r="FF376" s="95"/>
      <c r="FG376" s="211"/>
      <c r="FH376" s="95"/>
      <c r="FI376" s="211"/>
      <c r="FJ376" s="95"/>
      <c r="FK376" s="211"/>
      <c r="FL376" s="93">
        <f>AVERAGE(AY376,AU376,AS376,AW376)</f>
        <v>0</v>
      </c>
      <c r="FM376" s="211"/>
      <c r="FN376" s="93">
        <f>AVERAGE(BG376,BC376,BA376,BE376)</f>
        <v>0</v>
      </c>
      <c r="FO376" s="211"/>
      <c r="FP376" s="93">
        <f>AVERAGE(BO376,BK376,BI376,BM376)</f>
        <v>0</v>
      </c>
      <c r="FQ376" s="211"/>
      <c r="FR376" s="224"/>
      <c r="FS376" s="211"/>
      <c r="FT376" s="224"/>
      <c r="FU376" s="211"/>
      <c r="FV376" s="224"/>
      <c r="FW376" s="211"/>
      <c r="FX376" s="224"/>
      <c r="FY376" s="211"/>
      <c r="FZ376" s="224"/>
      <c r="GA376" s="211"/>
      <c r="GB376" s="224"/>
      <c r="GC376" s="211"/>
      <c r="GD376" s="224"/>
      <c r="GE376" s="211"/>
      <c r="GF376" s="224"/>
      <c r="GG376" s="211"/>
      <c r="GH376" s="224"/>
      <c r="GI376" s="211"/>
      <c r="GJ376" s="224"/>
      <c r="GK376" s="211"/>
      <c r="GL376" s="224"/>
      <c r="GM376" s="211"/>
      <c r="GN376" s="224"/>
      <c r="GO376" s="211"/>
      <c r="GP376" s="224"/>
      <c r="GQ376" s="211"/>
      <c r="GR376" s="224"/>
      <c r="GS376" s="211"/>
      <c r="GT376" s="79"/>
    </row>
    <row r="377" spans="1:286" ht="12.75" hidden="1" customHeight="1" outlineLevel="1" x14ac:dyDescent="0.2">
      <c r="A377" s="1"/>
      <c r="B377" s="10" t="s">
        <v>300</v>
      </c>
      <c r="C377" s="79"/>
      <c r="D377" s="79"/>
      <c r="E377" s="75"/>
      <c r="F377" s="75"/>
      <c r="G377" s="75"/>
      <c r="H377" s="104"/>
      <c r="I377" s="75"/>
      <c r="J377" s="104"/>
      <c r="K377" s="75"/>
      <c r="L377" s="79"/>
      <c r="M377" s="75"/>
      <c r="N377" s="79"/>
      <c r="O377" s="75"/>
      <c r="P377" s="79"/>
      <c r="Q377" s="75"/>
      <c r="R377" s="79"/>
      <c r="S377" s="75"/>
      <c r="T377" s="79"/>
      <c r="U377" s="75"/>
      <c r="V377" s="79"/>
      <c r="W377" s="75"/>
      <c r="X377" s="79"/>
      <c r="Y377" s="75"/>
      <c r="Z377" s="79"/>
      <c r="AA377" s="267"/>
      <c r="AB377" s="79"/>
      <c r="AC377" s="75"/>
      <c r="AD377" s="79"/>
      <c r="AE377" s="75"/>
      <c r="AF377" s="79"/>
      <c r="AG377" s="75"/>
      <c r="AH377" s="79"/>
      <c r="AI377" s="75"/>
      <c r="AJ377" s="79"/>
      <c r="AK377" s="75"/>
      <c r="AL377" s="79"/>
      <c r="AM377" s="75"/>
      <c r="AN377" s="79"/>
      <c r="AO377" s="75"/>
      <c r="AP377" s="79"/>
      <c r="AQ377" s="75">
        <f>SUM(AQ374:AQ376)</f>
        <v>400</v>
      </c>
      <c r="AR377" s="79"/>
      <c r="AS377" s="75">
        <f>SUM(AS374:AS376)</f>
        <v>400</v>
      </c>
      <c r="AT377" s="81"/>
      <c r="AU377" s="75">
        <f>SUM(AU374:AU376)</f>
        <v>400</v>
      </c>
      <c r="AV377" s="81"/>
      <c r="AW377" s="75">
        <f>SUM(AW374:AW376)</f>
        <v>400</v>
      </c>
      <c r="AX377" s="81"/>
      <c r="AY377" s="75">
        <f>SUM(AY374:AY376)</f>
        <v>400</v>
      </c>
      <c r="AZ377" s="81"/>
      <c r="BA377" s="75">
        <f>SUM(BA374:BA376)</f>
        <v>400</v>
      </c>
      <c r="BB377" s="81"/>
      <c r="BC377" s="75">
        <f>SUM(BC374:BC376)</f>
        <v>400</v>
      </c>
      <c r="BD377" s="81"/>
      <c r="BE377" s="75">
        <f>SUM(BE374:BE376)</f>
        <v>400</v>
      </c>
      <c r="BF377" s="81"/>
      <c r="BG377" s="75">
        <f>SUM(BG374:BG376)</f>
        <v>400</v>
      </c>
      <c r="BH377" s="81">
        <f t="shared" si="1103"/>
        <v>0</v>
      </c>
      <c r="BI377" s="75">
        <f>SUM(BI374:BI376)</f>
        <v>400</v>
      </c>
      <c r="BJ377" s="81">
        <f t="shared" si="1097"/>
        <v>0</v>
      </c>
      <c r="BK377" s="75">
        <f>SUM(BK374:BK376)</f>
        <v>400</v>
      </c>
      <c r="BL377" s="81">
        <f t="shared" si="1104"/>
        <v>0</v>
      </c>
      <c r="BM377" s="75">
        <f>SUM(BM374:BM376)</f>
        <v>400</v>
      </c>
      <c r="BN377" s="81">
        <f t="shared" si="1105"/>
        <v>0</v>
      </c>
      <c r="BO377" s="75"/>
      <c r="BP377" s="81"/>
      <c r="BQ377" s="75"/>
      <c r="BR377" s="81"/>
      <c r="BS377" s="75"/>
      <c r="BT377" s="81"/>
      <c r="BU377" s="75"/>
      <c r="BV377" s="81"/>
      <c r="BW377" s="75"/>
      <c r="BX377" s="81"/>
      <c r="BY377" s="75"/>
      <c r="BZ377" s="81"/>
      <c r="CA377" s="75"/>
      <c r="CB377" s="81"/>
      <c r="CC377" s="75"/>
      <c r="CD377" s="81"/>
      <c r="CE377" s="75"/>
      <c r="CF377" s="81"/>
      <c r="CG377" s="75"/>
      <c r="CH377" s="81"/>
      <c r="CI377" s="75"/>
      <c r="CJ377" s="81"/>
      <c r="CK377" s="75"/>
      <c r="CL377" s="81"/>
      <c r="CM377" s="75"/>
      <c r="CN377" s="81"/>
      <c r="CO377" s="75"/>
      <c r="CP377" s="81"/>
      <c r="CQ377" s="75"/>
      <c r="CR377" s="81"/>
      <c r="CS377" s="75"/>
      <c r="CT377" s="81"/>
      <c r="CU377" s="75"/>
      <c r="CV377" s="81"/>
      <c r="CW377" s="75"/>
      <c r="CX377" s="81"/>
      <c r="CY377" s="75"/>
      <c r="CZ377" s="81"/>
      <c r="DA377" s="75"/>
      <c r="DB377" s="81"/>
      <c r="DC377" s="75"/>
      <c r="DD377" s="81"/>
      <c r="DE377" s="75"/>
      <c r="DF377" s="81"/>
      <c r="DG377" s="75"/>
      <c r="DH377" s="81"/>
      <c r="DI377" s="75"/>
      <c r="DJ377" s="81"/>
      <c r="DK377" s="75"/>
      <c r="DL377" s="81"/>
      <c r="DM377" s="75"/>
      <c r="DN377" s="81"/>
      <c r="DO377" s="75"/>
      <c r="DP377" s="81"/>
      <c r="DQ377" s="75"/>
      <c r="DR377" s="81"/>
      <c r="DS377" s="75"/>
      <c r="DT377" s="81"/>
      <c r="DU377" s="75"/>
      <c r="DV377" s="81"/>
      <c r="DW377" s="75"/>
      <c r="DX377" s="81"/>
      <c r="DY377" s="75"/>
      <c r="DZ377" s="81"/>
      <c r="EA377" s="75"/>
      <c r="EB377" s="81"/>
      <c r="EC377" s="75"/>
      <c r="ED377" s="81"/>
      <c r="EE377" s="75"/>
      <c r="EF377" s="81"/>
      <c r="EG377" s="75"/>
      <c r="EH377" s="81"/>
      <c r="EI377" s="75"/>
      <c r="EJ377" s="81"/>
      <c r="EK377" s="75"/>
      <c r="EL377" s="81"/>
      <c r="EM377" s="75"/>
      <c r="EN377" s="81"/>
      <c r="EO377" s="75"/>
      <c r="EP377" s="81"/>
      <c r="EQ377" s="75"/>
      <c r="ER377" s="81"/>
      <c r="ES377" s="129"/>
      <c r="ET377" s="469"/>
      <c r="EU377" s="129"/>
      <c r="EV377" s="75"/>
      <c r="EW377" s="79"/>
      <c r="EX377" s="75"/>
      <c r="EY377" s="79"/>
      <c r="EZ377" s="75"/>
      <c r="FA377" s="79"/>
      <c r="FB377" s="75"/>
      <c r="FC377" s="79"/>
      <c r="FD377" s="75"/>
      <c r="FE377" s="79"/>
      <c r="FF377" s="75"/>
      <c r="FG377" s="79"/>
      <c r="FH377" s="75"/>
      <c r="FI377" s="79"/>
      <c r="FJ377" s="75"/>
      <c r="FK377" s="79"/>
      <c r="FL377" s="93">
        <f>AVERAGE(AY377,AU377,AS377,AW377)</f>
        <v>400</v>
      </c>
      <c r="FM377" s="79"/>
      <c r="FN377" s="93">
        <f>AVERAGE(BG377,BC377,BA377,BE377)</f>
        <v>400</v>
      </c>
      <c r="FO377" s="79"/>
      <c r="FP377" s="93">
        <f>AVERAGE(BO377,BK377,BI377,BM377)</f>
        <v>400</v>
      </c>
      <c r="FQ377" s="79"/>
      <c r="FR377" s="75"/>
      <c r="FS377" s="79"/>
      <c r="FT377" s="75"/>
      <c r="FU377" s="79"/>
      <c r="FV377" s="75"/>
      <c r="FW377" s="79"/>
      <c r="FX377" s="75"/>
      <c r="FY377" s="79"/>
      <c r="FZ377" s="75"/>
      <c r="GA377" s="79"/>
      <c r="GB377" s="75"/>
      <c r="GC377" s="79"/>
      <c r="GD377" s="75"/>
      <c r="GE377" s="79"/>
      <c r="GF377" s="75"/>
      <c r="GG377" s="79"/>
      <c r="GH377" s="75"/>
      <c r="GI377" s="79"/>
      <c r="GJ377" s="75"/>
      <c r="GK377" s="79"/>
      <c r="GL377" s="75"/>
      <c r="GM377" s="79"/>
      <c r="GN377" s="75"/>
      <c r="GO377" s="79"/>
      <c r="GP377" s="75"/>
      <c r="GQ377" s="79"/>
      <c r="GR377" s="75"/>
      <c r="GS377" s="79"/>
      <c r="GT377" s="79"/>
    </row>
    <row r="378" spans="1:286" s="299" customFormat="1" ht="12.75" hidden="1" customHeight="1" outlineLevel="1" x14ac:dyDescent="0.2">
      <c r="A378" s="298"/>
      <c r="B378" s="299" t="s">
        <v>301</v>
      </c>
      <c r="C378" s="300"/>
      <c r="D378" s="300"/>
      <c r="E378" s="301"/>
      <c r="F378" s="301"/>
      <c r="G378" s="301"/>
      <c r="H378" s="301"/>
      <c r="I378" s="301"/>
      <c r="J378" s="301"/>
      <c r="K378" s="301"/>
      <c r="L378" s="300"/>
      <c r="M378" s="301"/>
      <c r="N378" s="300"/>
      <c r="O378" s="301"/>
      <c r="P378" s="300"/>
      <c r="Q378" s="301"/>
      <c r="R378" s="300"/>
      <c r="S378" s="301"/>
      <c r="T378" s="300"/>
      <c r="U378" s="301"/>
      <c r="V378" s="300"/>
      <c r="W378" s="301"/>
      <c r="X378" s="300"/>
      <c r="Y378" s="301"/>
      <c r="Z378" s="300"/>
      <c r="AA378" s="302"/>
      <c r="AB378" s="300"/>
      <c r="AC378" s="301"/>
      <c r="AD378" s="300"/>
      <c r="AE378" s="301"/>
      <c r="AF378" s="300"/>
      <c r="AG378" s="301"/>
      <c r="AH378" s="300"/>
      <c r="AI378" s="301"/>
      <c r="AJ378" s="300"/>
      <c r="AK378" s="301"/>
      <c r="AL378" s="300"/>
      <c r="AM378" s="301"/>
      <c r="AN378" s="303"/>
      <c r="AO378" s="301"/>
      <c r="AP378" s="303"/>
      <c r="AQ378" s="304">
        <v>5</v>
      </c>
      <c r="AR378" s="303"/>
      <c r="AS378" s="213">
        <v>5</v>
      </c>
      <c r="AT378" s="305"/>
      <c r="AU378" s="213">
        <v>5</v>
      </c>
      <c r="AV378" s="305"/>
      <c r="AW378" s="213">
        <v>5</v>
      </c>
      <c r="AX378" s="305"/>
      <c r="AY378" s="213">
        <v>5</v>
      </c>
      <c r="AZ378" s="305"/>
      <c r="BA378" s="213">
        <v>5</v>
      </c>
      <c r="BB378" s="305"/>
      <c r="BC378" s="213">
        <v>5</v>
      </c>
      <c r="BD378" s="305"/>
      <c r="BE378" s="213">
        <v>5</v>
      </c>
      <c r="BF378" s="305"/>
      <c r="BG378" s="213">
        <v>5</v>
      </c>
      <c r="BH378" s="81">
        <f t="shared" si="1103"/>
        <v>0</v>
      </c>
      <c r="BI378" s="213">
        <v>5</v>
      </c>
      <c r="BJ378" s="81">
        <f t="shared" si="1097"/>
        <v>0</v>
      </c>
      <c r="BK378" s="213">
        <v>5</v>
      </c>
      <c r="BL378" s="81">
        <f t="shared" si="1104"/>
        <v>0</v>
      </c>
      <c r="BM378" s="213">
        <v>5</v>
      </c>
      <c r="BN378" s="81">
        <f t="shared" si="1105"/>
        <v>0</v>
      </c>
      <c r="BO378" s="213"/>
      <c r="BP378" s="81"/>
      <c r="BQ378" s="213"/>
      <c r="BR378" s="81"/>
      <c r="BS378" s="213"/>
      <c r="BT378" s="81"/>
      <c r="BU378" s="213"/>
      <c r="BV378" s="81"/>
      <c r="BW378" s="213"/>
      <c r="BX378" s="81"/>
      <c r="BY378" s="213"/>
      <c r="BZ378" s="81"/>
      <c r="CA378" s="213"/>
      <c r="CB378" s="81"/>
      <c r="CC378" s="213"/>
      <c r="CD378" s="81"/>
      <c r="CE378" s="213"/>
      <c r="CF378" s="81"/>
      <c r="CG378" s="213"/>
      <c r="CH378" s="81"/>
      <c r="CI378" s="213"/>
      <c r="CJ378" s="81"/>
      <c r="CK378" s="213"/>
      <c r="CL378" s="81"/>
      <c r="CM378" s="213"/>
      <c r="CN378" s="81"/>
      <c r="CO378" s="213"/>
      <c r="CP378" s="81"/>
      <c r="CQ378" s="213"/>
      <c r="CR378" s="81"/>
      <c r="CS378" s="213"/>
      <c r="CT378" s="81"/>
      <c r="CU378" s="213"/>
      <c r="CV378" s="81"/>
      <c r="CW378" s="213"/>
      <c r="CX378" s="81"/>
      <c r="CY378" s="213"/>
      <c r="CZ378" s="81"/>
      <c r="DA378" s="213"/>
      <c r="DB378" s="81"/>
      <c r="DC378" s="213"/>
      <c r="DD378" s="81"/>
      <c r="DE378" s="213"/>
      <c r="DF378" s="81"/>
      <c r="DG378" s="213"/>
      <c r="DH378" s="81"/>
      <c r="DI378" s="213"/>
      <c r="DJ378" s="81"/>
      <c r="DK378" s="213"/>
      <c r="DL378" s="81"/>
      <c r="DM378" s="213"/>
      <c r="DN378" s="81"/>
      <c r="DO378" s="213"/>
      <c r="DP378" s="81"/>
      <c r="DQ378" s="213"/>
      <c r="DR378" s="81"/>
      <c r="DS378" s="213"/>
      <c r="DT378" s="81"/>
      <c r="DU378" s="213"/>
      <c r="DV378" s="81"/>
      <c r="DW378" s="213"/>
      <c r="DX378" s="81"/>
      <c r="DY378" s="213"/>
      <c r="DZ378" s="81"/>
      <c r="EA378" s="213"/>
      <c r="EB378" s="81"/>
      <c r="EC378" s="213"/>
      <c r="ED378" s="81"/>
      <c r="EE378" s="213"/>
      <c r="EF378" s="81"/>
      <c r="EG378" s="213"/>
      <c r="EH378" s="81"/>
      <c r="EI378" s="213"/>
      <c r="EJ378" s="81"/>
      <c r="EK378" s="213"/>
      <c r="EL378" s="81"/>
      <c r="EM378" s="213"/>
      <c r="EN378" s="81"/>
      <c r="EO378" s="213"/>
      <c r="EP378" s="81"/>
      <c r="EQ378" s="213"/>
      <c r="ER378" s="81"/>
      <c r="ES378" s="306"/>
      <c r="ET378" s="486"/>
      <c r="EU378" s="306"/>
      <c r="EV378" s="306"/>
      <c r="EW378" s="307"/>
      <c r="EX378" s="306"/>
      <c r="EY378" s="307"/>
      <c r="EZ378" s="306"/>
      <c r="FA378" s="307"/>
      <c r="FB378" s="306"/>
      <c r="FC378" s="307"/>
      <c r="FD378" s="306"/>
      <c r="FE378" s="307"/>
      <c r="FF378" s="306"/>
      <c r="FG378" s="307"/>
      <c r="FH378" s="306"/>
      <c r="FI378" s="307"/>
      <c r="FJ378" s="306"/>
      <c r="FK378" s="307"/>
      <c r="FL378" s="308">
        <f>FL379/FL377*100</f>
        <v>5</v>
      </c>
      <c r="FM378" s="307"/>
      <c r="FN378" s="308">
        <f>FN379/FN377*100</f>
        <v>5</v>
      </c>
      <c r="FO378" s="307"/>
      <c r="FP378" s="308">
        <f>FP379/FP377*100</f>
        <v>3.75</v>
      </c>
      <c r="FQ378" s="307"/>
      <c r="FR378" s="308"/>
      <c r="FS378" s="307"/>
      <c r="FT378" s="308"/>
      <c r="FU378" s="307"/>
      <c r="FV378" s="308"/>
      <c r="FW378" s="307"/>
      <c r="FX378" s="308"/>
      <c r="FY378" s="307"/>
      <c r="FZ378" s="308"/>
      <c r="GA378" s="307"/>
      <c r="GB378" s="308"/>
      <c r="GC378" s="307"/>
      <c r="GD378" s="308"/>
      <c r="GE378" s="307"/>
      <c r="GF378" s="308"/>
      <c r="GG378" s="307"/>
      <c r="GH378" s="308"/>
      <c r="GI378" s="307"/>
      <c r="GJ378" s="308"/>
      <c r="GK378" s="307"/>
      <c r="GL378" s="213"/>
      <c r="GM378" s="307"/>
      <c r="GN378" s="213"/>
      <c r="GO378" s="307"/>
      <c r="GP378" s="213"/>
      <c r="GQ378" s="307"/>
      <c r="GR378" s="213"/>
      <c r="GS378" s="307"/>
      <c r="GT378" s="300"/>
      <c r="GU378" s="562"/>
      <c r="GV378" s="562"/>
      <c r="GW378"/>
      <c r="GX378"/>
      <c r="GY378"/>
      <c r="GZ378"/>
      <c r="HA378"/>
      <c r="HB378"/>
      <c r="HC378" s="562"/>
      <c r="HD378" s="562"/>
      <c r="HE378" s="562"/>
      <c r="HF378" s="562"/>
      <c r="HG378" s="562"/>
      <c r="HH378" s="562"/>
      <c r="HI378" s="562"/>
      <c r="HJ378" s="562"/>
      <c r="HK378" s="562"/>
      <c r="HL378" s="562"/>
      <c r="HM378" s="562"/>
      <c r="HN378" s="562"/>
      <c r="HO378" s="562"/>
      <c r="HP378" s="562"/>
      <c r="HQ378" s="562"/>
      <c r="HR378" s="562"/>
      <c r="HS378" s="562"/>
      <c r="HT378" s="562"/>
      <c r="HU378" s="562"/>
      <c r="HV378" s="562"/>
      <c r="HW378" s="562"/>
      <c r="HX378" s="562"/>
      <c r="HY378" s="562"/>
      <c r="HZ378" s="562"/>
      <c r="IA378" s="562"/>
      <c r="IB378" s="562"/>
      <c r="IC378" s="562"/>
      <c r="ID378" s="562"/>
      <c r="IE378" s="562"/>
      <c r="IF378" s="562"/>
      <c r="IG378" s="562"/>
      <c r="IH378" s="562"/>
      <c r="II378" s="562"/>
      <c r="IJ378" s="562"/>
      <c r="IK378" s="562"/>
      <c r="IL378" s="562"/>
      <c r="IM378" s="562"/>
      <c r="IN378" s="562"/>
      <c r="IO378" s="562"/>
      <c r="IP378" s="562"/>
      <c r="IQ378" s="562"/>
      <c r="IR378" s="562"/>
      <c r="IS378" s="562"/>
      <c r="IT378" s="562"/>
      <c r="IU378" s="562"/>
      <c r="IV378" s="562"/>
      <c r="IW378" s="562"/>
      <c r="IX378" s="562"/>
      <c r="IY378" s="562"/>
      <c r="IZ378" s="562"/>
      <c r="JA378" s="562"/>
      <c r="JB378" s="562"/>
      <c r="JC378" s="562"/>
      <c r="JD378" s="562"/>
      <c r="JE378" s="562"/>
      <c r="JF378" s="562"/>
      <c r="JG378" s="562"/>
      <c r="JH378" s="562"/>
      <c r="JI378" s="562"/>
      <c r="JJ378" s="562"/>
      <c r="JK378" s="562"/>
      <c r="JL378" s="562"/>
      <c r="JM378" s="562"/>
      <c r="JN378" s="562"/>
      <c r="JO378" s="562"/>
      <c r="JP378" s="562"/>
      <c r="JQ378" s="562"/>
      <c r="JR378" s="562"/>
      <c r="JS378" s="562"/>
      <c r="JT378" s="562"/>
      <c r="JU378" s="562"/>
      <c r="JV378" s="562"/>
      <c r="JW378" s="562"/>
      <c r="JX378" s="562"/>
      <c r="JY378" s="562"/>
      <c r="JZ378" s="562"/>
    </row>
    <row r="379" spans="1:286" ht="12.75" hidden="1" customHeight="1" outlineLevel="1" x14ac:dyDescent="0.2">
      <c r="A379" s="1"/>
      <c r="B379" s="10" t="s">
        <v>277</v>
      </c>
      <c r="C379" s="79"/>
      <c r="D379" s="79"/>
      <c r="E379" s="75"/>
      <c r="F379" s="75"/>
      <c r="G379" s="75"/>
      <c r="H379" s="104"/>
      <c r="I379" s="75"/>
      <c r="J379" s="104"/>
      <c r="K379" s="75"/>
      <c r="L379" s="79"/>
      <c r="M379" s="75"/>
      <c r="N379" s="79"/>
      <c r="O379" s="75"/>
      <c r="P379" s="79"/>
      <c r="Q379" s="75"/>
      <c r="R379" s="79"/>
      <c r="S379" s="75"/>
      <c r="T379" s="79"/>
      <c r="U379" s="75"/>
      <c r="V379" s="79"/>
      <c r="W379" s="75"/>
      <c r="X379" s="79"/>
      <c r="Y379" s="75"/>
      <c r="Z379" s="79"/>
      <c r="AA379" s="267"/>
      <c r="AB379" s="79"/>
      <c r="AC379" s="75"/>
      <c r="AD379" s="79"/>
      <c r="AE379" s="75"/>
      <c r="AF379" s="79"/>
      <c r="AG379" s="75"/>
      <c r="AH379" s="79"/>
      <c r="AI379" s="75"/>
      <c r="AJ379" s="79"/>
      <c r="AK379" s="75"/>
      <c r="AL379" s="79"/>
      <c r="AM379" s="75"/>
      <c r="AN379" s="79"/>
      <c r="AO379" s="75"/>
      <c r="AP379" s="79"/>
      <c r="AQ379" s="75">
        <f>AQ377*AQ378/400</f>
        <v>5</v>
      </c>
      <c r="AR379" s="79"/>
      <c r="AS379" s="75">
        <f>AS377*AS378/400</f>
        <v>5</v>
      </c>
      <c r="AT379" s="81"/>
      <c r="AU379" s="75">
        <f>AU377*AU378/400</f>
        <v>5</v>
      </c>
      <c r="AV379" s="81"/>
      <c r="AW379" s="75">
        <f>AW377*AW378/400</f>
        <v>5</v>
      </c>
      <c r="AX379" s="81"/>
      <c r="AY379" s="75">
        <f>AY377*AY378/400</f>
        <v>5</v>
      </c>
      <c r="AZ379" s="81"/>
      <c r="BA379" s="75">
        <f>BA377*BA378/400</f>
        <v>5</v>
      </c>
      <c r="BB379" s="81"/>
      <c r="BC379" s="75">
        <f>BC377*BC378/400</f>
        <v>5</v>
      </c>
      <c r="BD379" s="81"/>
      <c r="BE379" s="75">
        <f>BE377*BE378/400</f>
        <v>5</v>
      </c>
      <c r="BF379" s="81"/>
      <c r="BG379" s="75">
        <f>BG377*BG378/400</f>
        <v>5</v>
      </c>
      <c r="BH379" s="81">
        <f t="shared" si="1103"/>
        <v>0</v>
      </c>
      <c r="BI379" s="75">
        <f>BI377*BI378/400</f>
        <v>5</v>
      </c>
      <c r="BJ379" s="81">
        <f t="shared" si="1097"/>
        <v>0</v>
      </c>
      <c r="BK379" s="75">
        <f>BK377*BK378/400</f>
        <v>5</v>
      </c>
      <c r="BL379" s="81">
        <f t="shared" si="1104"/>
        <v>0</v>
      </c>
      <c r="BM379" s="75">
        <f>BM377*BM378/400</f>
        <v>5</v>
      </c>
      <c r="BN379" s="81">
        <f t="shared" si="1105"/>
        <v>0</v>
      </c>
      <c r="BO379" s="75"/>
      <c r="BP379" s="81"/>
      <c r="BQ379" s="75"/>
      <c r="BR379" s="81"/>
      <c r="BS379" s="75"/>
      <c r="BT379" s="81"/>
      <c r="BU379" s="75"/>
      <c r="BV379" s="81"/>
      <c r="BW379" s="75"/>
      <c r="BX379" s="81"/>
      <c r="BY379" s="75"/>
      <c r="BZ379" s="81"/>
      <c r="CA379" s="75"/>
      <c r="CB379" s="81"/>
      <c r="CC379" s="75"/>
      <c r="CD379" s="81"/>
      <c r="CE379" s="75"/>
      <c r="CF379" s="81"/>
      <c r="CG379" s="75"/>
      <c r="CH379" s="81"/>
      <c r="CI379" s="75"/>
      <c r="CJ379" s="81"/>
      <c r="CK379" s="75"/>
      <c r="CL379" s="81"/>
      <c r="CM379" s="75"/>
      <c r="CN379" s="81"/>
      <c r="CO379" s="75"/>
      <c r="CP379" s="81"/>
      <c r="CQ379" s="75"/>
      <c r="CR379" s="81"/>
      <c r="CS379" s="75"/>
      <c r="CT379" s="81"/>
      <c r="CU379" s="75"/>
      <c r="CV379" s="81"/>
      <c r="CW379" s="75"/>
      <c r="CX379" s="81"/>
      <c r="CY379" s="75"/>
      <c r="CZ379" s="81"/>
      <c r="DA379" s="75"/>
      <c r="DB379" s="81"/>
      <c r="DC379" s="75"/>
      <c r="DD379" s="81"/>
      <c r="DE379" s="75"/>
      <c r="DF379" s="81"/>
      <c r="DG379" s="75"/>
      <c r="DH379" s="81"/>
      <c r="DI379" s="75"/>
      <c r="DJ379" s="81"/>
      <c r="DK379" s="75"/>
      <c r="DL379" s="81"/>
      <c r="DM379" s="75"/>
      <c r="DN379" s="81"/>
      <c r="DO379" s="75"/>
      <c r="DP379" s="81"/>
      <c r="DQ379" s="75"/>
      <c r="DR379" s="81"/>
      <c r="DS379" s="75"/>
      <c r="DT379" s="81"/>
      <c r="DU379" s="75"/>
      <c r="DV379" s="81"/>
      <c r="DW379" s="75"/>
      <c r="DX379" s="81"/>
      <c r="DY379" s="75"/>
      <c r="DZ379" s="81"/>
      <c r="EA379" s="75"/>
      <c r="EB379" s="81"/>
      <c r="EC379" s="75"/>
      <c r="ED379" s="81"/>
      <c r="EE379" s="75"/>
      <c r="EF379" s="81"/>
      <c r="EG379" s="75"/>
      <c r="EH379" s="81"/>
      <c r="EI379" s="75"/>
      <c r="EJ379" s="81"/>
      <c r="EK379" s="75"/>
      <c r="EL379" s="81"/>
      <c r="EM379" s="75"/>
      <c r="EN379" s="81"/>
      <c r="EO379" s="75"/>
      <c r="EP379" s="81"/>
      <c r="EQ379" s="75"/>
      <c r="ER379" s="81"/>
      <c r="ES379" s="129"/>
      <c r="ET379" s="469"/>
      <c r="EU379" s="129"/>
      <c r="EV379" s="75"/>
      <c r="EW379" s="79"/>
      <c r="EX379" s="75"/>
      <c r="EY379" s="79"/>
      <c r="EZ379" s="75"/>
      <c r="FA379" s="79"/>
      <c r="FB379" s="75"/>
      <c r="FC379" s="79"/>
      <c r="FD379" s="75"/>
      <c r="FE379" s="79"/>
      <c r="FF379" s="75"/>
      <c r="FG379" s="79"/>
      <c r="FH379" s="75"/>
      <c r="FI379" s="79"/>
      <c r="FJ379" s="75"/>
      <c r="FK379" s="79"/>
      <c r="FL379" s="93">
        <f>SUM(AY379,AW379,AU379,AS379)</f>
        <v>20</v>
      </c>
      <c r="FM379" s="79"/>
      <c r="FN379" s="93">
        <f>BA379+BC379+BE379+BG379</f>
        <v>20</v>
      </c>
      <c r="FO379" s="79"/>
      <c r="FP379" s="103">
        <f>BI379+BK379+BM379+BO379</f>
        <v>15</v>
      </c>
      <c r="FQ379" s="79"/>
      <c r="FR379" s="75"/>
      <c r="FS379" s="79"/>
      <c r="FT379" s="75"/>
      <c r="FU379" s="79"/>
      <c r="FV379" s="75"/>
      <c r="FW379" s="79"/>
      <c r="FX379" s="75"/>
      <c r="FY379" s="79"/>
      <c r="FZ379" s="75"/>
      <c r="GA379" s="79"/>
      <c r="GB379" s="75"/>
      <c r="GC379" s="79"/>
      <c r="GD379" s="75"/>
      <c r="GE379" s="79"/>
      <c r="GF379" s="75"/>
      <c r="GG379" s="79"/>
      <c r="GH379" s="75"/>
      <c r="GI379" s="79"/>
      <c r="GJ379" s="75"/>
      <c r="GK379" s="79"/>
      <c r="GL379" s="75"/>
      <c r="GM379" s="79"/>
      <c r="GN379" s="75"/>
      <c r="GO379" s="79"/>
      <c r="GP379" s="75"/>
      <c r="GQ379" s="79"/>
      <c r="GR379" s="75"/>
      <c r="GS379" s="79"/>
      <c r="GT379" s="79"/>
    </row>
    <row r="380" spans="1:286" ht="12.75" hidden="1" customHeight="1" outlineLevel="1" x14ac:dyDescent="0.2">
      <c r="A380" s="1"/>
      <c r="C380" s="79"/>
      <c r="D380" s="79"/>
      <c r="E380" s="75"/>
      <c r="F380" s="75"/>
      <c r="G380" s="75"/>
      <c r="H380" s="104"/>
      <c r="I380" s="75"/>
      <c r="J380" s="104"/>
      <c r="K380" s="75"/>
      <c r="L380" s="79"/>
      <c r="M380" s="75"/>
      <c r="N380" s="79"/>
      <c r="O380" s="75"/>
      <c r="P380" s="79"/>
      <c r="Q380" s="75"/>
      <c r="R380" s="79"/>
      <c r="S380" s="75"/>
      <c r="T380" s="79"/>
      <c r="U380" s="75"/>
      <c r="V380" s="79"/>
      <c r="W380" s="75"/>
      <c r="X380" s="79"/>
      <c r="Y380" s="75"/>
      <c r="Z380" s="79"/>
      <c r="AA380" s="267"/>
      <c r="AB380" s="79"/>
      <c r="AC380" s="75"/>
      <c r="AD380" s="79"/>
      <c r="AE380" s="75"/>
      <c r="AF380" s="79"/>
      <c r="AG380" s="75"/>
      <c r="AH380" s="79"/>
      <c r="AI380" s="75"/>
      <c r="AJ380" s="79"/>
      <c r="AK380" s="75"/>
      <c r="AL380" s="79"/>
      <c r="AM380" s="75"/>
      <c r="AN380" s="79"/>
      <c r="AO380" s="75"/>
      <c r="AP380" s="79"/>
      <c r="AQ380" s="75"/>
      <c r="AR380" s="79"/>
      <c r="AS380" s="75"/>
      <c r="AT380" s="81"/>
      <c r="AU380" s="75"/>
      <c r="AV380" s="81"/>
      <c r="AW380" s="75"/>
      <c r="AX380" s="81"/>
      <c r="AY380" s="75"/>
      <c r="AZ380" s="81"/>
      <c r="BA380" s="75"/>
      <c r="BB380" s="81"/>
      <c r="BC380" s="75"/>
      <c r="BD380" s="81"/>
      <c r="BE380" s="75"/>
      <c r="BF380" s="81"/>
      <c r="BG380" s="75"/>
      <c r="BH380" s="81"/>
      <c r="BI380" s="75"/>
      <c r="BJ380" s="81"/>
      <c r="BK380" s="75"/>
      <c r="BL380" s="81"/>
      <c r="BM380" s="75"/>
      <c r="BN380" s="81"/>
      <c r="BO380" s="75"/>
      <c r="BP380" s="81"/>
      <c r="BQ380" s="75"/>
      <c r="BR380" s="81"/>
      <c r="BS380" s="75"/>
      <c r="BT380" s="81"/>
      <c r="BU380" s="75"/>
      <c r="BV380" s="81"/>
      <c r="BW380" s="75"/>
      <c r="BX380" s="81"/>
      <c r="BY380" s="75"/>
      <c r="BZ380" s="81"/>
      <c r="CA380" s="75"/>
      <c r="CB380" s="81"/>
      <c r="CC380" s="75"/>
      <c r="CD380" s="81"/>
      <c r="CE380" s="75"/>
      <c r="CF380" s="81"/>
      <c r="CG380" s="75"/>
      <c r="CH380" s="81"/>
      <c r="CI380" s="75"/>
      <c r="CJ380" s="81"/>
      <c r="CK380" s="75"/>
      <c r="CL380" s="81"/>
      <c r="CM380" s="75"/>
      <c r="CN380" s="81"/>
      <c r="CO380" s="75"/>
      <c r="CP380" s="81"/>
      <c r="CQ380" s="75"/>
      <c r="CR380" s="81"/>
      <c r="CS380" s="75"/>
      <c r="CT380" s="81"/>
      <c r="CU380" s="75"/>
      <c r="CV380" s="81"/>
      <c r="CW380" s="75"/>
      <c r="CX380" s="81"/>
      <c r="CY380" s="75"/>
      <c r="CZ380" s="81"/>
      <c r="DA380" s="75"/>
      <c r="DB380" s="81"/>
      <c r="DC380" s="75"/>
      <c r="DD380" s="81"/>
      <c r="DE380" s="75"/>
      <c r="DF380" s="81"/>
      <c r="DG380" s="75"/>
      <c r="DH380" s="81"/>
      <c r="DI380" s="75"/>
      <c r="DJ380" s="81"/>
      <c r="DK380" s="75"/>
      <c r="DL380" s="81"/>
      <c r="DM380" s="75"/>
      <c r="DN380" s="81"/>
      <c r="DO380" s="75"/>
      <c r="DP380" s="81"/>
      <c r="DQ380" s="75"/>
      <c r="DR380" s="81"/>
      <c r="DS380" s="75"/>
      <c r="DT380" s="81"/>
      <c r="DU380" s="75"/>
      <c r="DV380" s="81"/>
      <c r="DW380" s="75"/>
      <c r="DX380" s="81"/>
      <c r="DY380" s="75"/>
      <c r="DZ380" s="81"/>
      <c r="EA380" s="75"/>
      <c r="EB380" s="81"/>
      <c r="EC380" s="75"/>
      <c r="ED380" s="81"/>
      <c r="EE380" s="75"/>
      <c r="EF380" s="81"/>
      <c r="EG380" s="75"/>
      <c r="EH380" s="81"/>
      <c r="EI380" s="75"/>
      <c r="EJ380" s="81"/>
      <c r="EK380" s="75"/>
      <c r="EL380" s="81"/>
      <c r="EM380" s="75"/>
      <c r="EN380" s="81"/>
      <c r="EO380" s="75"/>
      <c r="EP380" s="81"/>
      <c r="EQ380" s="75"/>
      <c r="ER380" s="81"/>
      <c r="ES380" s="129"/>
      <c r="ET380" s="469"/>
      <c r="EU380" s="129"/>
      <c r="EV380" s="75"/>
      <c r="EW380" s="79"/>
      <c r="EX380" s="75"/>
      <c r="EY380" s="79"/>
      <c r="EZ380" s="75"/>
      <c r="FA380" s="79"/>
      <c r="FB380" s="75"/>
      <c r="FC380" s="79"/>
      <c r="FD380" s="75"/>
      <c r="FE380" s="79"/>
      <c r="FF380" s="75"/>
      <c r="FG380" s="79"/>
      <c r="FH380" s="75"/>
      <c r="FI380" s="79"/>
      <c r="FJ380" s="75"/>
      <c r="FK380" s="79"/>
      <c r="FL380" s="75"/>
      <c r="FM380" s="79"/>
      <c r="FN380" s="75"/>
      <c r="FO380" s="79"/>
      <c r="FP380" s="75"/>
      <c r="FQ380" s="79"/>
      <c r="FR380" s="75"/>
      <c r="FS380" s="79"/>
      <c r="FT380" s="75"/>
      <c r="FU380" s="79"/>
      <c r="FV380" s="75"/>
      <c r="FW380" s="79"/>
      <c r="FX380" s="75"/>
      <c r="FY380" s="79"/>
      <c r="FZ380" s="75"/>
      <c r="GA380" s="79"/>
      <c r="GB380" s="75"/>
      <c r="GC380" s="79"/>
      <c r="GD380" s="75"/>
      <c r="GE380" s="79"/>
      <c r="GF380" s="75"/>
      <c r="GG380" s="79"/>
      <c r="GH380" s="75"/>
      <c r="GI380" s="79"/>
      <c r="GJ380" s="75"/>
      <c r="GK380" s="79"/>
      <c r="GL380" s="75"/>
      <c r="GM380" s="79"/>
      <c r="GN380" s="75"/>
      <c r="GO380" s="79"/>
      <c r="GP380" s="75"/>
      <c r="GQ380" s="79"/>
      <c r="GR380" s="75"/>
      <c r="GS380" s="79"/>
      <c r="GT380" s="79"/>
    </row>
    <row r="381" spans="1:286" s="589" customFormat="1" ht="12.75" customHeight="1" collapsed="1" x14ac:dyDescent="0.2">
      <c r="A381" s="581"/>
      <c r="B381" s="582" t="s">
        <v>513</v>
      </c>
      <c r="C381" s="583"/>
      <c r="D381" s="583"/>
      <c r="E381" s="584"/>
      <c r="F381" s="584"/>
      <c r="G381" s="584"/>
      <c r="H381" s="584"/>
      <c r="I381" s="584"/>
      <c r="J381" s="584"/>
      <c r="K381" s="584"/>
      <c r="L381" s="584"/>
      <c r="M381" s="584"/>
      <c r="N381" s="585"/>
      <c r="O381" s="584"/>
      <c r="P381" s="583"/>
      <c r="Q381" s="584"/>
      <c r="R381" s="583"/>
      <c r="S381" s="584"/>
      <c r="T381" s="583"/>
      <c r="U381" s="584"/>
      <c r="V381" s="583"/>
      <c r="W381" s="584"/>
      <c r="X381" s="583"/>
      <c r="Y381" s="584"/>
      <c r="Z381" s="583"/>
      <c r="AA381" s="586"/>
      <c r="AB381" s="583"/>
      <c r="AC381" s="584"/>
      <c r="AD381" s="583"/>
      <c r="AE381" s="586"/>
      <c r="AF381" s="583"/>
      <c r="AG381" s="586"/>
      <c r="AH381" s="583"/>
      <c r="AI381" s="586"/>
      <c r="AJ381" s="583"/>
      <c r="AK381" s="586"/>
      <c r="AL381" s="583"/>
      <c r="AM381" s="586"/>
      <c r="AN381" s="583"/>
      <c r="AO381" s="586"/>
      <c r="AP381" s="583"/>
      <c r="AQ381" s="586"/>
      <c r="AR381" s="583"/>
      <c r="AS381" s="586"/>
      <c r="AT381" s="587"/>
      <c r="AU381" s="586"/>
      <c r="AV381" s="587"/>
      <c r="AW381" s="586"/>
      <c r="AX381" s="587"/>
      <c r="AY381" s="586"/>
      <c r="AZ381" s="587"/>
      <c r="BA381" s="586"/>
      <c r="BB381" s="587"/>
      <c r="BC381" s="586"/>
      <c r="BD381" s="587"/>
      <c r="BE381" s="586"/>
      <c r="BF381" s="587"/>
      <c r="BG381" s="586"/>
      <c r="BH381" s="587"/>
      <c r="BI381" s="586"/>
      <c r="BJ381" s="587"/>
      <c r="BK381" s="586"/>
      <c r="BL381" s="587"/>
      <c r="BM381" s="586"/>
      <c r="BN381" s="587"/>
      <c r="BO381" s="586"/>
      <c r="BP381" s="587"/>
      <c r="BQ381" s="586"/>
      <c r="BR381" s="587"/>
      <c r="BS381" s="586"/>
      <c r="BT381" s="587"/>
      <c r="BU381" s="586"/>
      <c r="BV381" s="587"/>
      <c r="BW381" s="586"/>
      <c r="BX381" s="587"/>
      <c r="BY381" s="586"/>
      <c r="BZ381" s="587"/>
      <c r="CA381" s="586"/>
      <c r="CB381" s="587"/>
      <c r="CC381" s="586"/>
      <c r="CD381" s="587"/>
      <c r="CE381" s="586"/>
      <c r="CF381" s="587"/>
      <c r="CG381" s="586"/>
      <c r="CH381" s="587"/>
      <c r="CI381" s="586"/>
      <c r="CJ381" s="587"/>
      <c r="CK381" s="586"/>
      <c r="CL381" s="587"/>
      <c r="CM381" s="586"/>
      <c r="CN381" s="587"/>
      <c r="CO381" s="586"/>
      <c r="CP381" s="587"/>
      <c r="CQ381" s="586"/>
      <c r="CR381" s="587"/>
      <c r="CS381" s="586"/>
      <c r="CT381" s="587"/>
      <c r="CU381" s="586"/>
      <c r="CV381" s="587"/>
      <c r="CW381" s="586"/>
      <c r="CX381" s="587"/>
      <c r="CY381" s="586"/>
      <c r="CZ381" s="587"/>
      <c r="DA381" s="586"/>
      <c r="DB381" s="587"/>
      <c r="DC381" s="586"/>
      <c r="DD381" s="587"/>
      <c r="DE381" s="586"/>
      <c r="DF381" s="587"/>
      <c r="DG381" s="586"/>
      <c r="DH381" s="587"/>
      <c r="DI381" s="586"/>
      <c r="DJ381" s="587"/>
      <c r="DK381" s="586"/>
      <c r="DL381" s="587"/>
      <c r="DM381" s="586"/>
      <c r="DN381" s="587"/>
      <c r="DO381" s="586"/>
      <c r="DP381" s="587"/>
      <c r="DQ381" s="586"/>
      <c r="DR381" s="587"/>
      <c r="DS381" s="586"/>
      <c r="DT381" s="587"/>
      <c r="DU381" s="586"/>
      <c r="DV381" s="587"/>
      <c r="DW381" s="586"/>
      <c r="DX381" s="587"/>
      <c r="DY381" s="586"/>
      <c r="DZ381" s="587"/>
      <c r="EA381" s="586"/>
      <c r="EB381" s="587"/>
      <c r="EC381" s="586"/>
      <c r="ED381" s="587"/>
      <c r="EE381" s="586"/>
      <c r="EF381" s="587"/>
      <c r="EG381" s="586"/>
      <c r="EH381" s="587"/>
      <c r="EI381" s="586"/>
      <c r="EJ381" s="587"/>
      <c r="EK381" s="586"/>
      <c r="EL381" s="587"/>
      <c r="EM381" s="586"/>
      <c r="EN381" s="587"/>
      <c r="EO381" s="586"/>
      <c r="EP381" s="587"/>
      <c r="EQ381" s="586"/>
      <c r="ER381" s="587"/>
      <c r="ES381" s="584"/>
      <c r="ET381" s="588"/>
      <c r="EU381" s="584"/>
      <c r="EV381" s="584"/>
      <c r="EW381" s="583"/>
      <c r="EX381" s="584"/>
      <c r="EY381" s="583"/>
      <c r="EZ381" s="584"/>
      <c r="FA381" s="583"/>
      <c r="FB381" s="584"/>
      <c r="FC381" s="583"/>
      <c r="FD381" s="584"/>
      <c r="FE381" s="583"/>
      <c r="FF381" s="584"/>
      <c r="FG381" s="583"/>
      <c r="FH381" s="584"/>
      <c r="FI381" s="583"/>
      <c r="FJ381" s="584"/>
      <c r="FK381" s="583"/>
      <c r="FL381" s="584"/>
      <c r="FM381" s="583"/>
      <c r="FN381" s="584"/>
      <c r="FO381" s="583"/>
      <c r="FP381" s="584"/>
      <c r="FQ381" s="583"/>
      <c r="FR381" s="584"/>
      <c r="FS381" s="583"/>
      <c r="FT381" s="584"/>
      <c r="FU381" s="583"/>
      <c r="FV381" s="584"/>
      <c r="FW381" s="583"/>
      <c r="FX381" s="584"/>
      <c r="FY381" s="583"/>
      <c r="FZ381" s="584"/>
      <c r="GA381" s="583"/>
      <c r="GB381" s="584"/>
      <c r="GC381" s="583"/>
      <c r="GD381" s="584"/>
      <c r="GE381" s="583"/>
      <c r="GF381" s="584"/>
      <c r="GG381" s="583"/>
      <c r="GH381" s="584"/>
      <c r="GI381" s="583"/>
      <c r="GJ381" s="584"/>
      <c r="GK381" s="583"/>
      <c r="GL381" s="584"/>
      <c r="GM381" s="583"/>
      <c r="GN381" s="584"/>
      <c r="GO381" s="583"/>
      <c r="GP381" s="584"/>
      <c r="GQ381" s="583"/>
      <c r="GR381" s="584"/>
      <c r="GS381" s="583"/>
      <c r="GT381" s="583"/>
      <c r="GU381" s="562"/>
      <c r="GV381" s="562"/>
      <c r="GW381"/>
      <c r="GX381"/>
      <c r="GY381"/>
      <c r="GZ381"/>
      <c r="HA381"/>
      <c r="HB381"/>
      <c r="HC381" s="562"/>
      <c r="HD381" s="562"/>
      <c r="HE381" s="562"/>
      <c r="HF381" s="562"/>
      <c r="HG381" s="562"/>
      <c r="HH381" s="562"/>
      <c r="HI381" s="562"/>
      <c r="HJ381" s="562"/>
      <c r="HK381" s="562"/>
      <c r="HL381" s="562"/>
      <c r="HM381" s="562"/>
      <c r="HN381" s="562"/>
      <c r="HO381" s="562"/>
      <c r="HP381" s="562"/>
      <c r="HQ381" s="562"/>
      <c r="HR381" s="562"/>
      <c r="HS381" s="562"/>
      <c r="HT381" s="562"/>
      <c r="HU381" s="562"/>
      <c r="HV381" s="562"/>
      <c r="HW381" s="562"/>
      <c r="HX381" s="562"/>
      <c r="HY381" s="562"/>
      <c r="HZ381" s="562"/>
      <c r="IA381" s="562"/>
      <c r="IB381" s="562"/>
      <c r="IC381" s="562"/>
      <c r="ID381" s="562"/>
      <c r="IE381" s="562"/>
      <c r="IF381" s="562"/>
      <c r="IG381" s="562"/>
      <c r="IH381" s="562"/>
      <c r="II381" s="562"/>
      <c r="IJ381" s="562"/>
      <c r="IK381" s="562"/>
      <c r="IL381" s="562"/>
      <c r="IM381" s="562"/>
      <c r="IN381" s="562"/>
      <c r="IO381" s="562"/>
      <c r="IP381" s="562"/>
      <c r="IQ381" s="562"/>
      <c r="IR381" s="562"/>
      <c r="IS381" s="562"/>
      <c r="IT381" s="562"/>
      <c r="IU381" s="562"/>
      <c r="IV381" s="562"/>
      <c r="IW381" s="562"/>
      <c r="IX381" s="562"/>
      <c r="IY381" s="562"/>
      <c r="IZ381" s="562"/>
      <c r="JA381" s="562"/>
      <c r="JB381" s="562"/>
      <c r="JC381" s="562"/>
      <c r="JD381" s="562"/>
      <c r="JE381" s="562"/>
      <c r="JF381" s="562"/>
      <c r="JG381" s="562"/>
      <c r="JH381" s="562"/>
      <c r="JI381" s="562"/>
      <c r="JJ381" s="562"/>
      <c r="JK381" s="562"/>
      <c r="JL381" s="562"/>
      <c r="JM381" s="562"/>
      <c r="JN381" s="562"/>
      <c r="JO381" s="562"/>
      <c r="JP381" s="562"/>
      <c r="JQ381" s="562"/>
      <c r="JR381" s="562"/>
      <c r="JS381" s="562"/>
      <c r="JT381" s="562"/>
      <c r="JU381" s="562"/>
      <c r="JV381" s="562"/>
      <c r="JW381" s="562"/>
      <c r="JX381" s="562"/>
      <c r="JY381" s="562"/>
      <c r="JZ381" s="562"/>
    </row>
    <row r="382" spans="1:286" ht="12.75" customHeight="1" x14ac:dyDescent="0.2">
      <c r="A382" s="1"/>
      <c r="C382" s="79"/>
      <c r="D382" s="79"/>
      <c r="E382" s="129"/>
      <c r="F382" s="129"/>
      <c r="G382" s="129"/>
      <c r="H382" s="129"/>
      <c r="I382" s="129"/>
      <c r="J382" s="129"/>
      <c r="K382" s="129"/>
      <c r="L382" s="79"/>
      <c r="M382" s="129"/>
      <c r="N382" s="79"/>
      <c r="O382" s="129"/>
      <c r="P382" s="79"/>
      <c r="Q382" s="129"/>
      <c r="R382" s="79"/>
      <c r="S382" s="129"/>
      <c r="T382" s="79"/>
      <c r="U382" s="129"/>
      <c r="V382" s="79"/>
      <c r="W382" s="129"/>
      <c r="X382" s="79"/>
      <c r="Y382" s="129"/>
      <c r="Z382" s="79"/>
      <c r="AA382" s="130"/>
      <c r="AB382" s="79"/>
      <c r="AC382" s="129"/>
      <c r="AD382" s="79"/>
      <c r="AE382" s="129"/>
      <c r="AF382" s="79"/>
      <c r="AG382" s="129"/>
      <c r="AH382" s="79"/>
      <c r="AI382" s="129"/>
      <c r="AJ382" s="79"/>
      <c r="AK382" s="129"/>
      <c r="AL382" s="79"/>
      <c r="AM382" s="129"/>
      <c r="AN382" s="79"/>
      <c r="AO382" s="129"/>
      <c r="AP382" s="79"/>
      <c r="AQ382" s="129"/>
      <c r="AR382" s="79"/>
      <c r="AS382" s="129"/>
      <c r="AT382" s="81"/>
      <c r="AU382" s="129"/>
      <c r="AV382" s="81"/>
      <c r="AW382" s="129"/>
      <c r="AX382" s="81"/>
      <c r="AY382" s="129"/>
      <c r="AZ382" s="81"/>
      <c r="BA382" s="129"/>
      <c r="BB382" s="81"/>
      <c r="BC382" s="129"/>
      <c r="BD382" s="81"/>
      <c r="BE382" s="129"/>
      <c r="BF382" s="81"/>
      <c r="BG382" s="215"/>
      <c r="BH382" s="81"/>
      <c r="BI382" s="129"/>
      <c r="BJ382" s="81"/>
      <c r="BK382" s="129"/>
      <c r="BL382" s="81"/>
      <c r="BM382" s="129"/>
      <c r="BN382" s="81"/>
      <c r="BO382" s="129"/>
      <c r="BP382" s="81"/>
      <c r="BQ382" s="129"/>
      <c r="BR382" s="81"/>
      <c r="BS382" s="129"/>
      <c r="BT382" s="81"/>
      <c r="BU382" s="129"/>
      <c r="BV382" s="81"/>
      <c r="BW382" s="129"/>
      <c r="BX382" s="81"/>
      <c r="BY382" s="129"/>
      <c r="BZ382" s="81"/>
      <c r="CA382" s="129"/>
      <c r="CB382" s="81"/>
      <c r="CC382" s="129"/>
      <c r="CD382" s="81"/>
      <c r="CE382" s="129"/>
      <c r="CF382" s="81"/>
      <c r="CG382" s="129"/>
      <c r="CH382" s="81"/>
      <c r="CI382" s="129"/>
      <c r="CJ382" s="81"/>
      <c r="CK382" s="129"/>
      <c r="CL382" s="81"/>
      <c r="CM382" s="129"/>
      <c r="CN382" s="81"/>
      <c r="CO382" s="129"/>
      <c r="CP382" s="81"/>
      <c r="CQ382" s="129"/>
      <c r="CR382" s="81"/>
      <c r="CS382" s="129"/>
      <c r="CT382" s="81"/>
      <c r="CU382" s="129"/>
      <c r="CV382" s="81"/>
      <c r="CW382" s="129"/>
      <c r="CX382" s="81"/>
      <c r="CY382" s="129"/>
      <c r="CZ382" s="81"/>
      <c r="DA382" s="129"/>
      <c r="DB382" s="81"/>
      <c r="DC382" s="129"/>
      <c r="DD382" s="81"/>
      <c r="DE382" s="129"/>
      <c r="DF382" s="81"/>
      <c r="DG382" s="129"/>
      <c r="DH382" s="81"/>
      <c r="DI382" s="129"/>
      <c r="DJ382" s="81"/>
      <c r="DK382" s="129"/>
      <c r="DL382" s="81"/>
      <c r="DM382" s="129"/>
      <c r="DN382" s="81"/>
      <c r="DO382" s="129"/>
      <c r="DP382" s="81"/>
      <c r="DQ382" s="129"/>
      <c r="DR382" s="81"/>
      <c r="DS382" s="129"/>
      <c r="DT382" s="81"/>
      <c r="DU382" s="129"/>
      <c r="DV382" s="81"/>
      <c r="DW382" s="129"/>
      <c r="DX382" s="81"/>
      <c r="DY382" s="129"/>
      <c r="DZ382" s="81"/>
      <c r="EA382" s="129"/>
      <c r="EB382" s="81"/>
      <c r="EC382" s="129"/>
      <c r="ED382" s="81"/>
      <c r="EE382" s="129"/>
      <c r="EF382" s="81"/>
      <c r="EG382" s="129"/>
      <c r="EH382" s="81"/>
      <c r="EI382" s="129"/>
      <c r="EJ382" s="81"/>
      <c r="EK382" s="129"/>
      <c r="EL382" s="81"/>
      <c r="EM382" s="129"/>
      <c r="EN382" s="81"/>
      <c r="EO382" s="129"/>
      <c r="EP382" s="81"/>
      <c r="EQ382" s="129"/>
      <c r="ER382" s="81"/>
      <c r="ES382" s="129"/>
      <c r="ET382" s="470"/>
      <c r="EU382" s="129"/>
      <c r="EV382" s="129"/>
      <c r="EW382" s="79"/>
      <c r="EX382" s="129"/>
      <c r="EY382" s="79"/>
      <c r="EZ382" s="129"/>
      <c r="FA382" s="79"/>
      <c r="FB382" s="129"/>
      <c r="FC382" s="79"/>
      <c r="FD382" s="129"/>
      <c r="FE382" s="79"/>
      <c r="FF382" s="129"/>
      <c r="FG382" s="79"/>
      <c r="FH382" s="129"/>
      <c r="FI382" s="79"/>
      <c r="FJ382" s="129"/>
      <c r="FK382" s="79"/>
      <c r="FL382" s="129"/>
      <c r="FM382" s="79"/>
      <c r="FN382" s="129"/>
      <c r="FO382" s="79"/>
      <c r="FP382" s="129"/>
      <c r="FQ382" s="79"/>
      <c r="FR382" s="129"/>
      <c r="FS382" s="79"/>
      <c r="FT382" s="129"/>
      <c r="FU382" s="79"/>
      <c r="FV382" s="129"/>
      <c r="FW382" s="79"/>
      <c r="FX382" s="129"/>
      <c r="FY382" s="79"/>
      <c r="FZ382" s="129"/>
      <c r="GA382" s="79"/>
      <c r="GB382" s="129"/>
      <c r="GC382" s="79"/>
      <c r="GD382" s="129"/>
      <c r="GE382" s="79"/>
      <c r="GF382" s="129"/>
      <c r="GG382" s="79"/>
      <c r="GH382" s="129"/>
      <c r="GI382" s="79"/>
      <c r="GJ382" s="129"/>
      <c r="GK382" s="79"/>
      <c r="GL382" s="129"/>
      <c r="GM382" s="79"/>
      <c r="GN382" s="129"/>
      <c r="GO382" s="79"/>
      <c r="GP382" s="129"/>
      <c r="GQ382" s="79"/>
      <c r="GR382" s="129"/>
      <c r="GS382" s="79"/>
      <c r="GT382" s="79"/>
    </row>
    <row r="383" spans="1:286" ht="12.75" customHeight="1" x14ac:dyDescent="0.2">
      <c r="A383" s="1"/>
      <c r="B383" s="309" t="s">
        <v>285</v>
      </c>
      <c r="C383" s="79"/>
      <c r="D383" s="79"/>
      <c r="E383" s="129"/>
      <c r="F383" s="129"/>
      <c r="G383" s="129"/>
      <c r="H383" s="129"/>
      <c r="I383" s="129"/>
      <c r="J383" s="129"/>
      <c r="K383" s="129"/>
      <c r="L383" s="79"/>
      <c r="M383" s="129"/>
      <c r="N383" s="79"/>
      <c r="O383" s="129"/>
      <c r="P383" s="79"/>
      <c r="Q383" s="129"/>
      <c r="R383" s="79"/>
      <c r="S383" s="129"/>
      <c r="T383" s="79"/>
      <c r="U383" s="129"/>
      <c r="V383" s="79"/>
      <c r="W383" s="129"/>
      <c r="X383" s="79"/>
      <c r="Y383" s="129"/>
      <c r="Z383" s="79"/>
      <c r="AA383" s="130"/>
      <c r="AB383" s="79"/>
      <c r="AC383" s="129"/>
      <c r="AD383" s="79"/>
      <c r="AE383" s="129"/>
      <c r="AF383" s="79"/>
      <c r="AG383" s="129"/>
      <c r="AH383" s="79"/>
      <c r="AI383" s="129"/>
      <c r="AJ383" s="79"/>
      <c r="AK383" s="129"/>
      <c r="AL383" s="79"/>
      <c r="AM383" s="129"/>
      <c r="AN383" s="79"/>
      <c r="AO383" s="129"/>
      <c r="AP383" s="79"/>
      <c r="AQ383" s="129"/>
      <c r="AR383" s="79"/>
      <c r="AS383" s="129"/>
      <c r="AT383" s="81"/>
      <c r="AU383" s="129"/>
      <c r="AV383" s="81"/>
      <c r="AW383" s="129"/>
      <c r="AX383" s="81"/>
      <c r="AY383" s="129"/>
      <c r="AZ383" s="81"/>
      <c r="BA383" s="129"/>
      <c r="BB383" s="81"/>
      <c r="BC383" s="129"/>
      <c r="BD383" s="81"/>
      <c r="BE383" s="129"/>
      <c r="BF383" s="81"/>
      <c r="BG383" s="129"/>
      <c r="BH383" s="81"/>
      <c r="BI383" s="129"/>
      <c r="BJ383" s="81"/>
      <c r="BK383" s="129"/>
      <c r="BL383" s="81"/>
      <c r="BM383" s="129"/>
      <c r="BN383" s="81"/>
      <c r="BO383" s="129"/>
      <c r="BP383" s="81"/>
      <c r="BQ383" s="129"/>
      <c r="BR383" s="81"/>
      <c r="BS383" s="129"/>
      <c r="BT383" s="81"/>
      <c r="BU383" s="129"/>
      <c r="BV383" s="81"/>
      <c r="BW383" s="129"/>
      <c r="BX383" s="81"/>
      <c r="BY383" s="129"/>
      <c r="BZ383" s="81"/>
      <c r="CA383" s="129"/>
      <c r="CB383" s="81"/>
      <c r="CC383" s="129"/>
      <c r="CD383" s="81"/>
      <c r="CE383" s="129"/>
      <c r="CF383" s="81"/>
      <c r="CG383" s="129"/>
      <c r="CH383" s="81"/>
      <c r="CI383" s="129"/>
      <c r="CJ383" s="81"/>
      <c r="CK383" s="129"/>
      <c r="CL383" s="81"/>
      <c r="CM383" s="129"/>
      <c r="CN383" s="81"/>
      <c r="CO383" s="129"/>
      <c r="CP383" s="81"/>
      <c r="CQ383" s="129"/>
      <c r="CR383" s="81"/>
      <c r="CS383" s="129"/>
      <c r="CT383" s="81"/>
      <c r="CU383" s="129"/>
      <c r="CV383" s="81"/>
      <c r="CW383" s="129"/>
      <c r="CX383" s="81"/>
      <c r="CY383" s="129"/>
      <c r="CZ383" s="81"/>
      <c r="DA383" s="129"/>
      <c r="DB383" s="81"/>
      <c r="DC383" s="129"/>
      <c r="DD383" s="81"/>
      <c r="DE383" s="129"/>
      <c r="DF383" s="81"/>
      <c r="DG383" s="129"/>
      <c r="DH383" s="81"/>
      <c r="DI383" s="129"/>
      <c r="DJ383" s="81"/>
      <c r="DK383" s="129"/>
      <c r="DL383" s="81"/>
      <c r="DM383" s="129"/>
      <c r="DN383" s="81"/>
      <c r="DO383" s="129"/>
      <c r="DP383" s="81"/>
      <c r="DQ383" s="912"/>
      <c r="DR383" s="81"/>
      <c r="DS383" s="912"/>
      <c r="DT383" s="81"/>
      <c r="DU383" s="912"/>
      <c r="DV383" s="81"/>
      <c r="DW383" s="912"/>
      <c r="DX383" s="81"/>
      <c r="DY383" s="912"/>
      <c r="DZ383" s="81"/>
      <c r="EA383" s="912"/>
      <c r="EB383" s="81"/>
      <c r="EC383" s="912"/>
      <c r="ED383" s="81"/>
      <c r="EE383" s="912"/>
      <c r="EF383" s="81"/>
      <c r="EG383" s="912"/>
      <c r="EH383" s="81"/>
      <c r="EI383" s="912"/>
      <c r="EJ383" s="81"/>
      <c r="EK383" s="129"/>
      <c r="EL383" s="81"/>
      <c r="EM383" s="129"/>
      <c r="EN383" s="81"/>
      <c r="EO383" s="129"/>
      <c r="EP383" s="81"/>
      <c r="EQ383" s="129"/>
      <c r="ER383" s="81"/>
      <c r="ES383" s="129"/>
      <c r="ET383" s="470"/>
      <c r="EU383" s="129"/>
      <c r="EV383" s="129"/>
      <c r="EW383" s="79"/>
      <c r="EX383" s="129"/>
      <c r="EY383" s="79"/>
      <c r="EZ383" s="129"/>
      <c r="FA383" s="79"/>
      <c r="FB383" s="129"/>
      <c r="FC383" s="79"/>
      <c r="FD383" s="129"/>
      <c r="FE383" s="79"/>
      <c r="FF383" s="129"/>
      <c r="FG383" s="79"/>
      <c r="FH383" s="129"/>
      <c r="FI383" s="79"/>
      <c r="FJ383" s="129"/>
      <c r="FK383" s="79"/>
      <c r="FL383" s="129"/>
      <c r="FM383" s="79"/>
      <c r="FN383" s="129"/>
      <c r="FO383" s="79"/>
      <c r="FP383" s="129"/>
      <c r="FQ383" s="79"/>
      <c r="FR383" s="129"/>
      <c r="FS383" s="79"/>
      <c r="FT383" s="129"/>
      <c r="FU383" s="79"/>
      <c r="FV383" s="129"/>
      <c r="FW383" s="79"/>
      <c r="FX383" s="129"/>
      <c r="FY383" s="79"/>
      <c r="FZ383" s="129"/>
      <c r="GA383" s="79"/>
      <c r="GB383" s="129"/>
      <c r="GC383" s="79"/>
      <c r="GD383" s="129"/>
      <c r="GE383" s="79"/>
      <c r="GF383" s="129"/>
      <c r="GG383" s="79"/>
      <c r="GH383" s="129"/>
      <c r="GI383" s="79"/>
      <c r="GJ383" s="129"/>
      <c r="GK383" s="79"/>
      <c r="GL383" s="129"/>
      <c r="GM383" s="79"/>
      <c r="GN383" s="129"/>
      <c r="GO383" s="79"/>
      <c r="GP383" s="129"/>
      <c r="GQ383" s="79"/>
      <c r="GR383" s="129"/>
      <c r="GS383" s="79"/>
      <c r="GT383" s="79"/>
    </row>
    <row r="384" spans="1:286" ht="12.75" customHeight="1" x14ac:dyDescent="0.2">
      <c r="A384" s="1"/>
      <c r="B384" s="2" t="s">
        <v>269</v>
      </c>
      <c r="C384" s="79"/>
      <c r="D384" s="79"/>
      <c r="E384" s="35">
        <v>1746.9</v>
      </c>
      <c r="F384" s="129"/>
      <c r="G384" s="35">
        <v>1769.8</v>
      </c>
      <c r="H384" s="129"/>
      <c r="I384" s="35">
        <v>1792.2</v>
      </c>
      <c r="J384" s="129"/>
      <c r="K384" s="35">
        <v>1769.3</v>
      </c>
      <c r="L384" s="79"/>
      <c r="M384" s="35">
        <v>1753.2</v>
      </c>
      <c r="N384" s="79">
        <v>0.3606388459557186</v>
      </c>
      <c r="O384" s="35">
        <v>1789.3</v>
      </c>
      <c r="P384" s="79">
        <v>1.1018194146231508</v>
      </c>
      <c r="Q384" s="35">
        <v>1805.6</v>
      </c>
      <c r="R384" s="79">
        <v>0.74768441022206034</v>
      </c>
      <c r="S384" s="35">
        <v>1803</v>
      </c>
      <c r="T384" s="79">
        <v>1.9047080766404711</v>
      </c>
      <c r="U384" s="35">
        <v>1871.3</v>
      </c>
      <c r="V384" s="79">
        <v>6.7362537075062789</v>
      </c>
      <c r="W384" s="35">
        <v>1911.2</v>
      </c>
      <c r="X384" s="79">
        <v>6.8127200581232783</v>
      </c>
      <c r="Y384" s="35">
        <v>1921.3</v>
      </c>
      <c r="Z384" s="79">
        <v>6.4078422684979985</v>
      </c>
      <c r="AA384" s="34">
        <v>1911.9</v>
      </c>
      <c r="AB384" s="79">
        <f>IF(ISERROR((AA384/S384-1)*100),"NA",IF(((AA384/S384-1)*100)&gt;100,"NM",IF(((AA384/S384-1)*100)&lt;-50,"NM",(AA384/S384-1)*100)))</f>
        <v>6.0399334442595709</v>
      </c>
      <c r="AC384" s="35">
        <f>AC142+AC188+AC221+AC252+AC285</f>
        <v>1956.1999999999996</v>
      </c>
      <c r="AD384" s="79">
        <f>IF(ISERROR((AC384/U384-1)*100),"NA",IF(((AC384/U384-1)*100)&gt;100,"NM",IF(((AC384/U384-1)*100)&lt;-50,"NM",(AC384/U384-1)*100)))</f>
        <v>4.5369529204296377</v>
      </c>
      <c r="AE384" s="35">
        <f>AE142+AE188+AE221+AE252+AE285</f>
        <v>1956.8000000000002</v>
      </c>
      <c r="AF384" s="79">
        <f>IF(ISERROR((AE384/W384-1)*100),"NA",IF(((AE384/W384-1)*100)&gt;100,"NM",IF(((AE384/W384-1)*100)&lt;-50,"NM",(AE384/W384-1)*100)))</f>
        <v>2.3859355378819558</v>
      </c>
      <c r="AG384" s="35">
        <f>AG142+AG188+AG221+AG252+AG285</f>
        <v>1962.3</v>
      </c>
      <c r="AH384" s="79">
        <f>IF(ISERROR((AG384/Y384-1)*100),"NA",IF(((AG384/Y384-1)*100)&gt;100,"NM",IF(((AG384/Y384-1)*100)&lt;-50,"NM",(AG384/Y384-1)*100)))</f>
        <v>2.1339717899339083</v>
      </c>
      <c r="AI384" s="35">
        <f>AI142+AI188+AI221+AI252+AI285</f>
        <v>1964.3</v>
      </c>
      <c r="AJ384" s="79">
        <f>IF(ISERROR((AI384/AA384-1)*100),"NA",IF(((AI384/AA384-1)*100)&gt;100,"NM",IF(((AI384/AA384-1)*100)&lt;-50,"NM",(AI384/AA384-1)*100)))</f>
        <v>2.7407291176316573</v>
      </c>
      <c r="AK384" s="35">
        <f>AK142+AK188+AK221+AK252+AK285</f>
        <v>1935.0000000000002</v>
      </c>
      <c r="AL384" s="79">
        <f>IF(ISERROR((AK384/AC384-1)*100),"NA",IF(((AK384/AC384-1)*100)&gt;100,"NM",IF(((AK384/AC384-1)*100)&lt;-50,"NM",(AK384/AC384-1)*100)))</f>
        <v>-1.0837337695531857</v>
      </c>
      <c r="AM384" s="35">
        <f>AM142+AM188+AM221+AM252+AM285</f>
        <v>1939.9999999999998</v>
      </c>
      <c r="AN384" s="79">
        <f>IF(ISERROR((AM384/AE384-1)*100),"NA",IF(((AM384/AE384-1)*100)&gt;100,"NM",IF(((AM384/AE384-1)*100)&lt;-50,"NM",(AM384/AE384-1)*100)))</f>
        <v>-0.85854456255112233</v>
      </c>
      <c r="AO384" s="35">
        <f>AO142+AO188+AO221+AO252+AO285</f>
        <v>1952.2</v>
      </c>
      <c r="AP384" s="79">
        <f>IF(ISERROR((AO384/AG384-1)*100),"NA",IF(((AO384/AG384-1)*100)&gt;100,"NM",IF(((AO384/AG384-1)*100)&lt;-50,"NM",(AO384/AG384-1)*100)))</f>
        <v>-0.51470213524944519</v>
      </c>
      <c r="AQ384" s="35">
        <f>AQ142+AQ188+AQ221+AQ252+AQ285</f>
        <v>1988.4</v>
      </c>
      <c r="AR384" s="79">
        <f>IF(ISERROR((AQ384/AI384-1)*100),"NA",IF(((AQ384/AI384-1)*100)&gt;100,"NM",IF(((AQ384/AI384-1)*100)&lt;-50,"NM",(AQ384/AI384-1)*100)))</f>
        <v>1.226900167998779</v>
      </c>
      <c r="AS384" s="35">
        <f>AS142+AS188+AS221+AS252+AS285</f>
        <v>1970</v>
      </c>
      <c r="AT384" s="81">
        <f>IF(ISERROR((AS384/AK384-1)*100),"NA",IF(((AS384/AK384-1)*100)&gt;100,"NM",IF(((AS384/AK384-1)*100)&lt;-50,"NM",(AS384/AK384-1)*100)))</f>
        <v>1.8087855297157507</v>
      </c>
      <c r="AU384" s="35">
        <f>AU142+AU188+AU221+AU252+AU285</f>
        <v>1987.2</v>
      </c>
      <c r="AV384" s="81">
        <f>IF(ISERROR((AU384/AM384-1)*100),"NA",IF(((AU384/AM384-1)*100)&gt;100,"NM",IF(((AU384/AM384-1)*100)&lt;-50,"NM",(AU384/AM384-1)*100)))</f>
        <v>2.4329896907216542</v>
      </c>
      <c r="AW384" s="35">
        <f>AW142+AW188+AW221+AW252+AW285</f>
        <v>1969</v>
      </c>
      <c r="AX384" s="81">
        <f>IF(ISERROR((AW384/AO384-1)*100),"NA",IF(((AW384/AO384-1)*100)&gt;100,"NM",IF(((AW384/AO384-1)*100)&lt;-50,"NM",(AW384/AO384-1)*100)))</f>
        <v>0.86056756479868657</v>
      </c>
      <c r="AY384" s="35">
        <f>AY142+AY188+AY221+AY252+AY285</f>
        <v>2022</v>
      </c>
      <c r="AZ384" s="81">
        <f>IF(ISERROR((AY384/AQ384-1)*100),"NA",IF(((AY384/AQ384-1)*100)&gt;100,"NM",IF(((AY384/AQ384-1)*100)&lt;-50,"NM",(AY384/AQ384-1)*100)))</f>
        <v>1.6898008449004243</v>
      </c>
      <c r="BA384" s="35">
        <f>BA142+BA188+BA221+BA252+BA285</f>
        <v>1944</v>
      </c>
      <c r="BB384" s="81">
        <f>IF(ISERROR((BA384/AS384-1)*100),"NA",IF(((BA384/AS384-1)*100)&gt;100,"NM",IF(((BA384/AS384-1)*100)&lt;-50,"NM",(BA384/AS384-1)*100)))</f>
        <v>-1.3197969543147225</v>
      </c>
      <c r="BC384" s="35">
        <f>BC142+BC188+BC221+BC252+BC285</f>
        <v>1986.7</v>
      </c>
      <c r="BD384" s="81">
        <f>IF(ISERROR((BC384/AU384-1)*100),"NA",IF(((BC384/AU384-1)*100)&gt;100,"NM",IF(((BC384/AU384-1)*100)&lt;-50,"NM",(BC384/AU384-1)*100)))</f>
        <v>-2.5161030595810541E-2</v>
      </c>
      <c r="BE384" s="35">
        <f>BE142+BE188+BE221+BE252+BE285</f>
        <v>1986.4999999999998</v>
      </c>
      <c r="BF384" s="81">
        <f>IF(ISERROR((BE384/AW384-1)*100),"NA",IF(((BE384/AW384-1)*100)&gt;100,"NM",IF(((BE384/AW384-1)*100)&lt;-50,"NM",(BE384/AW384-1)*100)))</f>
        <v>0.8887760284408186</v>
      </c>
      <c r="BG384" s="35">
        <f>BG142+BG188+BG221+BG252+BG285</f>
        <v>1983.9</v>
      </c>
      <c r="BH384" s="81">
        <f>IF(ISERROR((BG384/AY384-1)*100),"NA",IF(((BG384/AY384-1)*100)&gt;100,"NM",IF(((BG384/AY384-1)*100)&lt;-50,"NM",(BG384/AY384-1)*100)))</f>
        <v>-1.8842729970326322</v>
      </c>
      <c r="BI384" s="35">
        <f>BI142+BI188+BI221+BI252+BI285</f>
        <v>1950.5000000000002</v>
      </c>
      <c r="BJ384" s="81">
        <f>IF(ISERROR((BI384/BA384-1)*100),"NA",IF(((BI384/BA384-1)*100)&gt;100,"NM",IF(((BI384/BA384-1)*100)&lt;-50,"NM",(BI384/BA384-1)*100)))</f>
        <v>0.33436213991770991</v>
      </c>
      <c r="BK384" s="35">
        <f>BK142+BK188+BK221+BK252+BK285</f>
        <v>1968.6000000000001</v>
      </c>
      <c r="BL384" s="81">
        <f>IF(ISERROR((BK384/BC384-1)*100),"NA",IF(((BK384/BC384-1)*100)&gt;100,"NM",IF(((BK384/BC384-1)*100)&lt;-50,"NM",(BK384/BC384-1)*100)))</f>
        <v>-0.91105853928624692</v>
      </c>
      <c r="BM384" s="35">
        <f>BM142+BM188+BM221+BM252+BM285</f>
        <v>1946.5</v>
      </c>
      <c r="BN384" s="81">
        <f>IF(ISERROR((BM384/BE384-1)*100),"NA",IF(((BM384/BE384-1)*100)&gt;100,"NM",IF(((BM384/BE384-1)*100)&lt;-50,"NM",(BM384/BE384-1)*100)))</f>
        <v>-2.0135917442738349</v>
      </c>
      <c r="BO384" s="35">
        <f>BO142+BO188+BO221+BO252+BO285</f>
        <v>1917.7</v>
      </c>
      <c r="BP384" s="81">
        <f>IF(ISERROR((BO384/BG384-1)*100),"NA",IF(((BO384/BG384-1)*100)&gt;100,"NM",IF(((BO384/BG384-1)*100)&lt;-50,"NM",(BO384/BG384-1)*100)))</f>
        <v>-3.3368617369827103</v>
      </c>
      <c r="BQ384" s="35">
        <f>BQ142+BQ188+BQ221+BQ252+BQ285</f>
        <v>1872.8000000000002</v>
      </c>
      <c r="BR384" s="81">
        <f>IF(ISERROR((BQ384/BI384-1)*100),"NA",IF(((BQ384/BI384-1)*100)&gt;100,"NM",IF(((BQ384/BI384-1)*100)&lt;-50,"NM",(BQ384/BI384-1)*100)))</f>
        <v>-3.9835939502691597</v>
      </c>
      <c r="BS384" s="35">
        <f>BS142+BS188+BS221+BS252+BS285</f>
        <v>1875.8999999999999</v>
      </c>
      <c r="BT384" s="81">
        <f>IF(ISERROR((BS384/BK384-1)*100),"NA",IF(((BS384/BK384-1)*100)&gt;100,"NM",IF(((BS384/BK384-1)*100)&lt;-50,"NM",(BS384/BK384-1)*100)))</f>
        <v>-4.7089302042060517</v>
      </c>
      <c r="BU384" s="35">
        <f>BU142+BU188+BU221+BU252+BU285</f>
        <v>1861.1</v>
      </c>
      <c r="BV384" s="81">
        <f>IF(ISERROR((BU384/BM384-1)*100),"NA",IF(((BU384/BM384-1)*100)&gt;100,"NM",IF(((BU384/BM384-1)*100)&lt;-50,"NM",(BU384/BM384-1)*100)))</f>
        <v>-4.3873619316722401</v>
      </c>
      <c r="BW384" s="35">
        <f>BW142+BW188+BW221+BW252+BW285</f>
        <v>1865.7000000000003</v>
      </c>
      <c r="BX384" s="81">
        <f>IF(ISERROR((BW384/BO384-1)*100),"NA",IF(((BW384/BO384-1)*100)&gt;100,"NM",IF(((BW384/BO384-1)*100)&lt;-50,"NM",(BW384/BO384-1)*100)))</f>
        <v>-2.7115815821035505</v>
      </c>
      <c r="BY384" s="35">
        <f>BY142+BY188+BY221+BY252+BY285</f>
        <v>1863.2000000000003</v>
      </c>
      <c r="BZ384" s="81">
        <f>IF(ISERROR((BY384/BQ384-1)*100),"NA",IF(((BY384/BQ384-1)*100)&gt;100,"NM",IF(((BY384/BQ384-1)*100)&lt;-50,"NM",(BY384/BQ384-1)*100)))</f>
        <v>-0.51260145237077559</v>
      </c>
      <c r="CA384" s="35">
        <f>CA142+CA188+CA221+CA252+CA285</f>
        <v>1849.8000000000002</v>
      </c>
      <c r="CB384" s="81">
        <f>IF(ISERROR((CA384/BS384-1)*100),"NA",IF(((CA384/BS384-1)*100)&gt;100,"NM",IF(((CA384/BS384-1)*100)&lt;-50,"NM",(CA384/BS384-1)*100)))</f>
        <v>-1.3913321605629081</v>
      </c>
      <c r="CC384" s="35">
        <f>CC142+CC188+CC221+CC252+CC285</f>
        <v>1850.2</v>
      </c>
      <c r="CD384" s="81">
        <f>IF(ISERROR((CC384/BU384-1)*100),"NA",IF(((CC384/BU384-1)*100)&gt;100,"NM",IF(((CC384/BU384-1)*100)&lt;-50,"NM",(CC384/BU384-1)*100)))</f>
        <v>-0.58567513835903195</v>
      </c>
      <c r="CE384" s="35">
        <f>CE142+CE188+CE221+CE252+CE285</f>
        <v>1868.2</v>
      </c>
      <c r="CF384" s="81">
        <f>IF(ISERROR((CE384/BW384-1)*100),"NA",IF(((CE384/BW384-1)*100)&gt;100,"NM",IF(((CE384/BW384-1)*100)&lt;-50,"NM",(CE384/BW384-1)*100)))</f>
        <v>0.13399796323094737</v>
      </c>
      <c r="CG384" s="35">
        <f>CG142+CG188+CG221+CG252+CG285</f>
        <v>1869.4999999999998</v>
      </c>
      <c r="CH384" s="81">
        <f>IF(ISERROR((CG384/BY384-1)*100),"NA",IF(((CG384/BY384-1)*100)&gt;100,"NM",IF(((CG384/BY384-1)*100)&lt;-50,"NM",(CG384/BY384-1)*100)))</f>
        <v>0.33812795191066058</v>
      </c>
      <c r="CI384" s="35">
        <f>CI142+CI188+CI221+CI252+CI285</f>
        <v>1875</v>
      </c>
      <c r="CJ384" s="81">
        <f>IF(ISERROR((CI384/CA384-1)*100),"NA",IF(((CI384/CA384-1)*100)&gt;100,"NM",IF(((CI384/CA384-1)*100)&lt;-50,"NM",(CI384/CA384-1)*100)))</f>
        <v>1.3623094388582446</v>
      </c>
      <c r="CK384" s="35">
        <f>CK142+CK188+CK221+CK252+CK285</f>
        <v>1881.2000000000003</v>
      </c>
      <c r="CL384" s="81">
        <f>IF(ISERROR((CK384/CC384-1)*100),"NA",IF(((CK384/CC384-1)*100)&gt;100,"NM",IF(((CK384/CC384-1)*100)&lt;-50,"NM",(CK384/CC384-1)*100)))</f>
        <v>1.6754945411306954</v>
      </c>
      <c r="CM384" s="35">
        <f>CM142+CM188+CM221+CM252+CM285</f>
        <v>1888.5</v>
      </c>
      <c r="CN384" s="81">
        <f>IF(ISERROR((CM384/CE384-1)*100),"NA",IF(((CM384/CE384-1)*100)&gt;100,"NM",IF(((CM384/CE384-1)*100)&lt;-50,"NM",(CM384/CE384-1)*100)))</f>
        <v>1.086607429611397</v>
      </c>
      <c r="CO384" s="35">
        <f>CO142+CO188+CO221+CO252+CO285</f>
        <v>1921.9</v>
      </c>
      <c r="CP384" s="81">
        <f>IF(ISERROR((CO384/CG384-1)*100),"NA",IF(((CO384/CG384-1)*100)&gt;100,"NM",IF(((CO384/CG384-1)*100)&lt;-50,"NM",(CO384/CG384-1)*100)))</f>
        <v>2.8028884728537262</v>
      </c>
      <c r="CQ384" s="35">
        <f>CQ142+CQ188+CQ221+CQ252+CQ285</f>
        <v>1927.6</v>
      </c>
      <c r="CR384" s="81">
        <f>IF(ISERROR((CQ384/CI384-1)*100),"NA",IF(((CQ384/CI384-1)*100)&gt;100,"NM",IF(((CQ384/CI384-1)*100)&lt;-50,"NM",(CQ384/CI384-1)*100)))</f>
        <v>2.8053333333333264</v>
      </c>
      <c r="CS384" s="35">
        <f>CS142+CS188+CS221+CS252+CS285</f>
        <v>1929.4</v>
      </c>
      <c r="CT384" s="81">
        <f>IF(ISERROR((CS384/CK384-1)*100),"NA",IF(((CS384/CK384-1)*100)&gt;100,"NM",IF(((CS384/CK384-1)*100)&lt;-50,"NM",(CS384/CK384-1)*100)))</f>
        <v>2.5621943440357065</v>
      </c>
      <c r="CU384" s="35">
        <f>CU142+CU188+CU221+CU252+CU285</f>
        <v>1937.2</v>
      </c>
      <c r="CV384" s="81">
        <f>IF(ISERROR((CU384/CM384-1)*100),"NA",IF(((CU384/CM384-1)*100)&gt;100,"NM",IF(((CU384/CM384-1)*100)&lt;-50,"NM",(CU384/CM384-1)*100)))</f>
        <v>2.5787662165740022</v>
      </c>
      <c r="CW384" s="35">
        <f>CW142+CW188+CW221+CW252+CW285</f>
        <v>1930.8999999999999</v>
      </c>
      <c r="CX384" s="265">
        <f>IF(ISERROR((CW384/CO384-1)*100),"NA",IF(((CW384/CO384-1)*100)&gt;100,"NM",IF(((CW384/CO384-1)*100)&lt;-50,"NM",(CW384/CO384-1)*100)))</f>
        <v>0.46828659139392936</v>
      </c>
      <c r="CY384" s="35">
        <f>CY142+CY188+CY221+CY252+CY285</f>
        <v>1905.8</v>
      </c>
      <c r="CZ384" s="265">
        <f>IF(ISERROR((CY384/CQ384-1)*100),"NA",IF(((CY384/CQ384-1)*100)&gt;100,"NM",IF(((CY384/CQ384-1)*100)&lt;-50,"NM",(CY384/CQ384-1)*100)))</f>
        <v>-1.1309400290516636</v>
      </c>
      <c r="DA384" s="35">
        <f>DA142+DA188+DA221+DA252+DA285</f>
        <v>1897.3</v>
      </c>
      <c r="DB384" s="265">
        <f>IF(ISERROR((DA384/CS384-1)*100),"NA",IF(((DA384/CS384-1)*100)&gt;100,"NM",IF(((DA384/CS384-1)*100)&lt;-50,"NM",(DA384/CS384-1)*100)))</f>
        <v>-1.6637296568881577</v>
      </c>
      <c r="DC384" s="35">
        <f>DC142+DC188+DC221+DC252+DC285</f>
        <v>1890.7000000000003</v>
      </c>
      <c r="DD384" s="265">
        <f>IF(ISERROR((DC384/CU384-1)*100),"NA",IF(((DC384/CU384-1)*100)&gt;100,"NM",IF(((DC384/CU384-1)*100)&lt;-50,"NM",(DC384/CU384-1)*100)))</f>
        <v>-2.4003716704521838</v>
      </c>
      <c r="DE384" s="35">
        <f>DE142+DE188+DE221+DE252+DE285</f>
        <v>1938.5</v>
      </c>
      <c r="DF384" s="265">
        <f>IF(ISERROR((DE384/CW384-1)*100),"NA",IF(((DE384/CW384-1)*100)&gt;100,"NM",IF(((DE384/CW384-1)*100)&lt;-50,"NM",(DE384/CW384-1)*100)))</f>
        <v>0.39359883991920697</v>
      </c>
      <c r="DG384" s="35">
        <f>DG142+DG188+DG221+DG252+DG285</f>
        <v>1943.6</v>
      </c>
      <c r="DH384" s="265">
        <f>IF(ISERROR((DG384/CY384-1)*100),"NA",IF(((DG384/CY384-1)*100)&gt;100,"NM",IF(((DG384/CY384-1)*100)&lt;-50,"NM",(DG384/CY384-1)*100)))</f>
        <v>1.9834190366250448</v>
      </c>
      <c r="DI384" s="35">
        <f>DI142+DI188+DI221+DI252+DI285</f>
        <v>1947.1999999999998</v>
      </c>
      <c r="DJ384" s="265">
        <f>IF(ISERROR((DI384/DA384-1)*100),"NA",IF(((DI384/DA384-1)*100)&gt;100,"NM",IF(((DI384/DA384-1)*100)&lt;-50,"NM",(DI384/DA384-1)*100)))</f>
        <v>2.6300532335423954</v>
      </c>
      <c r="DK384" s="35">
        <f>DK142+DK188+DK221+DK252+DK285</f>
        <v>1967.9</v>
      </c>
      <c r="DL384" s="81">
        <f>IF(ISERROR((DK384/DC384-1)*100),"NA",IF(((DK384/DC384-1)*100)&gt;100,"NM",IF(((DK384/DC384-1)*100)&lt;-50,"NM",(DK384/DC384-1)*100)))</f>
        <v>4.0831438091711858</v>
      </c>
      <c r="DM384" s="35">
        <f>DM142+DM188+DM221+DM252+DM285</f>
        <v>2006.3000000000002</v>
      </c>
      <c r="DN384" s="81">
        <f>IF(ISERROR((DM384/DE384-1)*100),"NA",IF(((DM384/DE384-1)*100)&gt;100,"NM",IF(((DM384/DE384-1)*100)&lt;-50,"NM",(DM384/DE384-1)*100)))</f>
        <v>3.4975496517926308</v>
      </c>
      <c r="DO384" s="35">
        <f>DO142+DO188+DO221+DO252+DO285</f>
        <v>2017.5</v>
      </c>
      <c r="DP384" s="81">
        <f>IF(ISERROR((DO384/DG384-1)*100),"NA",IF(((DO384/DG384-1)*100)&gt;100,"NM",IF(((DO384/DG384-1)*100)&lt;-50,"NM",(DO384/DG384-1)*100)))</f>
        <v>3.8022226795636938</v>
      </c>
      <c r="DQ384" s="35">
        <f>DQ142+DQ188+DQ221+DQ252+DQ285</f>
        <v>2020.8</v>
      </c>
      <c r="DR384" s="81">
        <f>IF(ISERROR((DQ384/DI384-1)*100),"NA",IF(((DQ384/DI384-1)*100)&gt;100,"NM",IF(((DQ384/DI384-1)*100)&lt;-50,"NM",(DQ384/DI384-1)*100)))</f>
        <v>3.7797863599013937</v>
      </c>
      <c r="DS384" s="35">
        <f>DS142+DS188+DS221+DS252+DS285</f>
        <v>2037.8000000000002</v>
      </c>
      <c r="DT384" s="81">
        <f>IF(ISERROR((DS384/DK384-1)*100),"NA",IF(((DS384/DK384-1)*100)&gt;100,"NM",IF(((DS384/DK384-1)*100)&lt;-50,"NM",(DS384/DK384-1)*100)))</f>
        <v>3.5520097565933328</v>
      </c>
      <c r="DU384" s="35">
        <f>DU142+DU188+DU221+DU252+DU285</f>
        <v>2087.5</v>
      </c>
      <c r="DV384" s="81">
        <f>IF(ISERROR((DU384/DM384-1)*100),"NA",IF(((DU384/DM384-1)*100)&gt;100,"NM",IF(((DU384/DM384-1)*100)&lt;-50,"NM",(DU384/DM384-1)*100)))</f>
        <v>4.0472511588496074</v>
      </c>
      <c r="DW384" s="35">
        <f>DW142+DW188+DW221+DW252+DW285</f>
        <v>2081.6</v>
      </c>
      <c r="DX384" s="81">
        <f>IF(ISERROR((DW384/DO384-1)*100),"NA",IF(((DW384/DO384-1)*100)&gt;100,"NM",IF(((DW384/DO384-1)*100)&lt;-50,"NM",(DW384/DO384-1)*100)))</f>
        <v>3.177199504337036</v>
      </c>
      <c r="DY384" s="35">
        <f>DY142+DY188+DY221+DY252+DY285</f>
        <v>2089.4</v>
      </c>
      <c r="DZ384" s="81">
        <f>IF(ISERROR((DY384/DQ384-1)*100),"NA",IF(((DY384/DQ384-1)*100)&gt;100,"NM",IF(((DY384/DQ384-1)*100)&lt;-50,"NM",(DY384/DQ384-1)*100)))</f>
        <v>3.3946951702296113</v>
      </c>
      <c r="EA384" s="35">
        <f>EA142+EA188+EA221+EA252+EA285</f>
        <v>2099.1999999999998</v>
      </c>
      <c r="EB384" s="81">
        <f>IF(ISERROR((EA384/DS384-1)*100),"NA",IF(((EA384/DS384-1)*100)&gt;100,"NM",IF(((EA384/DS384-1)*100)&lt;-50,"NM",(EA384/DS384-1)*100)))</f>
        <v>3.0130532927666875</v>
      </c>
      <c r="EC384" s="35">
        <f>EC142+EC188+EC221+EC252+EC285</f>
        <v>2142.8999999999996</v>
      </c>
      <c r="ED384" s="81">
        <f t="shared" ref="ED384:ED387" si="1106">IF(ISERROR((EC384/DU384-1)*100),"NA",IF(((EC384/DU384-1)*100)&gt;100,"NM",IF(((EC384/DU384-1)*100)&lt;-50,"NM",(EC384/DU384-1)*100)))</f>
        <v>2.6538922155688427</v>
      </c>
      <c r="EE384" s="35">
        <f>EE142+EE188+EE221+EE252+EE285</f>
        <v>2142.1999999999998</v>
      </c>
      <c r="EF384" s="81">
        <f t="shared" ref="EF384:EF387" si="1107">IF(ISERROR((EE384/DW384-1)*100),"NA",IF(((EE384/DW384-1)*100)&gt;100,"NM",IF(((EE384/DW384-1)*100)&lt;-50,"NM",(EE384/DW384-1)*100)))</f>
        <v>2.9112221368178259</v>
      </c>
      <c r="EG384" s="35">
        <f>EG142+EG188+EG221+EG252+EG285</f>
        <v>2153.6000000000004</v>
      </c>
      <c r="EH384" s="81">
        <f t="shared" ref="EH384:EH387" si="1108">IF(ISERROR((EG384/DY384-1)*100),"NA",IF(((EG384/DY384-1)*100)&gt;100,"NM",IF(((EG384/DY384-1)*100)&lt;-50,"NM",(EG384/DY384-1)*100)))</f>
        <v>3.0726524361060825</v>
      </c>
      <c r="EI384" s="35">
        <f>EI142+EI188+EI221+EI252+EI285</f>
        <v>2158.4</v>
      </c>
      <c r="EJ384" s="81">
        <f t="shared" ref="EJ384:EJ387" si="1109">IF(ISERROR((EI384/EA384-1)*100),"NA",IF(((EI384/EA384-1)*100)&gt;100,"NM",IF(((EI384/EA384-1)*100)&lt;-50,"NM",(EI384/EA384-1)*100)))</f>
        <v>2.820121951219523</v>
      </c>
      <c r="EK384" s="35">
        <f t="shared" ref="EK384:EQ384" si="1110">EK142+EK188+EK221+EK252+EK285</f>
        <v>2216.955117770055</v>
      </c>
      <c r="EL384" s="81">
        <f t="shared" ref="EL384:EL387" si="1111">IF(ISERROR((EK384/EC384-1)*100),"NA",IF(((EK384/EC384-1)*100)&gt;100,"NM",IF(((EK384/EC384-1)*100)&lt;-50,"NM",(EK384/EC384-1)*100)))</f>
        <v>3.4558363792083435</v>
      </c>
      <c r="EM384" s="35">
        <f t="shared" si="1110"/>
        <v>2230.6134688243146</v>
      </c>
      <c r="EN384" s="81">
        <f t="shared" ref="EN384:EN387" si="1112">IF(ISERROR((EM384/EE384-1)*100),"NA",IF(((EM384/EE384-1)*100)&gt;100,"NM",IF(((EM384/EE384-1)*100)&lt;-50,"NM",(EM384/EE384-1)*100)))</f>
        <v>4.1272275615869214</v>
      </c>
      <c r="EO384" s="35">
        <f t="shared" si="1110"/>
        <v>2250.5226833727065</v>
      </c>
      <c r="EP384" s="81">
        <f t="shared" ref="EP384:EP387" si="1113">IF(ISERROR((EO384/EG384-1)*100),"NA",IF(((EO384/EG384-1)*100)&gt;100,"NM",IF(((EO384/EG384-1)*100)&lt;-50,"NM",(EO384/EG384-1)*100)))</f>
        <v>4.5004960704265518</v>
      </c>
      <c r="EQ384" s="35">
        <f t="shared" si="1110"/>
        <v>2255.4793090810704</v>
      </c>
      <c r="ER384" s="81">
        <f t="shared" ref="ER384:ER387" si="1114">IF(ISERROR((EQ384/EI384-1)*100),"NA",IF(((EQ384/EI384-1)*100)&gt;100,"NM",IF(((EQ384/EI384-1)*100)&lt;-50,"NM",(EQ384/EI384-1)*100)))</f>
        <v>4.497744119767888</v>
      </c>
      <c r="ES384" s="129"/>
      <c r="ET384" s="470"/>
      <c r="EU384" s="129"/>
      <c r="EV384" s="129"/>
      <c r="EW384" s="79"/>
      <c r="EX384" s="35"/>
      <c r="EY384" s="79"/>
      <c r="EZ384" s="35"/>
      <c r="FA384" s="79"/>
      <c r="FB384" s="35">
        <f>FB142+FB188+FB221+FB252+FB313</f>
        <v>723.8</v>
      </c>
      <c r="FC384" s="79" t="str">
        <f>IF(ISERROR((FB384/EZ384-1)*100),"NA",IF(((FB384/EZ384-1)*100)&gt;100,"NM",IF(((FB384/EZ384-1)*100)&lt;-50,"NM",(FB384/EZ384-1)*100)))</f>
        <v>NA</v>
      </c>
      <c r="FD384" s="35">
        <f>FD142+FD188+FD221+FD252+FD313</f>
        <v>7151.1000000000013</v>
      </c>
      <c r="FE384" s="79" t="str">
        <f>IF(ISERROR((FD384/FB384-1)*100),"NA",IF(((FD384/FB384-1)*100)&gt;100,"NM",IF(((FD384/FB384-1)*100)&lt;-50,"NM",(FD384/FB384-1)*100)))</f>
        <v>NM</v>
      </c>
      <c r="FF384" s="35">
        <f>FF142+FF188+FF221+FF252+FF313</f>
        <v>7615.7</v>
      </c>
      <c r="FG384" s="79">
        <f>IF(ISERROR((FF384/FD384-1)*100),"NA",IF(((FF384/FD384-1)*100)&gt;100,"NM",IF(((FF384/FD384-1)*100)&lt;-50,"NM",(FF384/FD384-1)*100)))</f>
        <v>6.4969025744290976</v>
      </c>
      <c r="FH384" s="35">
        <f>FH142+FH188+FH221+FH252+FH313</f>
        <v>7839.6000000000013</v>
      </c>
      <c r="FI384" s="79">
        <f>IF(ISERROR((FH384/FF384-1)*100),"NA",IF(((FH384/FF384-1)*100)&gt;100,"NM",IF(((FH384/FF384-1)*100)&lt;-50,"NM",(FH384/FF384-1)*100)))</f>
        <v>2.9399792533844726</v>
      </c>
      <c r="FJ384" s="35">
        <f>FJ142+FJ188+FJ221+FJ252+FJ285</f>
        <v>7815.6</v>
      </c>
      <c r="FK384" s="79">
        <f>IF(ISERROR((FJ384/FH384-1)*100),"NA",IF(((FJ384/FH384-1)*100)&gt;100,"NM",IF(((FJ384/FH384-1)*100)&lt;-50,"NM",(FJ384/FH384-1)*100)))</f>
        <v>-0.30613806826880197</v>
      </c>
      <c r="FL384" s="35">
        <f>FL142+FL188+FL221+FL252+FL285</f>
        <v>7948.2000000000007</v>
      </c>
      <c r="FM384" s="79">
        <f>IF(ISERROR((FL384/FJ384-1)*100),"NA",IF(((FL384/FJ384-1)*100)&gt;100,"NM",IF(((FL384/FJ384-1)*100)&lt;-50,"NM",(FL384/FJ384-1)*100)))</f>
        <v>1.6966067864271572</v>
      </c>
      <c r="FN384" s="35">
        <f>FN142+FN188+FN221+FN252+FN285</f>
        <v>7901.0999999999995</v>
      </c>
      <c r="FO384" s="79">
        <f>IF(ISERROR((FN384/FL384-1)*100),"NA",IF(((FN384/FL384-1)*100)&gt;100,"NM",IF(((FN384/FL384-1)*100)&lt;-50,"NM",(FN384/FL384-1)*100)))</f>
        <v>-0.59258700083039129</v>
      </c>
      <c r="FP384" s="35">
        <f>FP142+FP188+FP221+FP252+FP285</f>
        <v>7783.3</v>
      </c>
      <c r="FQ384" s="79">
        <f>IF(ISERROR((FP384/FN384-1)*100),"NA",IF(((FP384/FN384-1)*100)&gt;100,"NM",IF(((FP384/FN384-1)*100)&lt;-50,"NM",(FP384/FN384-1)*100)))</f>
        <v>-1.4909316424295271</v>
      </c>
      <c r="FR384" s="35">
        <f>FR142+FR188+FR221+FR252+FR285</f>
        <v>7475.5</v>
      </c>
      <c r="FS384" s="79">
        <f>IF(ISERROR((FR384/FP384-1)*100),"NA",IF(((FR384/FP384-1)*100)&gt;100,"NM",IF(((FR384/FP384-1)*100)&lt;-50,"NM",(FR384/FP384-1)*100)))</f>
        <v>-3.954620790667196</v>
      </c>
      <c r="FT384" s="35">
        <f>FT142+FT188+FT221+FT252+FT285</f>
        <v>7431.4000000000005</v>
      </c>
      <c r="FU384" s="79">
        <f>IF(ISERROR((FT384/FR384-1)*100),"NA",IF(((FT384/FR384-1)*100)&gt;100,"NM",IF(((FT384/FR384-1)*100)&lt;-50,"NM",(FT384/FR384-1)*100)))</f>
        <v>-0.58992709517757813</v>
      </c>
      <c r="FV384" s="35">
        <f>FV142+FV188+FV221+FV252+FV285</f>
        <v>7514.2000000000007</v>
      </c>
      <c r="FW384" s="79">
        <f>IF(ISERROR((FV384/FT384-1)*100),"NA",IF(((FV384/FT384-1)*100)&gt;100,"NM",IF(((FV384/FT384-1)*100)&lt;-50,"NM",(FV384/FT384-1)*100)))</f>
        <v>1.1141911349140221</v>
      </c>
      <c r="FX384" s="35">
        <f>FX142+FX188+FX221+FX252+FX285</f>
        <v>7716.1</v>
      </c>
      <c r="FY384" s="79">
        <f>IF(ISERROR((FX384/FV384-1)*100),"NA",IF(((FX384/FV384-1)*100)&gt;100,"NM",IF(((FX384/FV384-1)*100)&lt;-50,"NM",(FX384/FV384-1)*100)))</f>
        <v>2.6869127784727498</v>
      </c>
      <c r="FZ384" s="35">
        <f>FZ142+FZ188+FZ221+FZ252+FZ285</f>
        <v>7624.7000000000007</v>
      </c>
      <c r="GA384" s="79">
        <f>IF(ISERROR((FZ384/FX384-1)*100),"NA",IF(((FZ384/FX384-1)*100)&gt;100,"NM",IF(((FZ384/FX384-1)*100)&lt;-50,"NM",(FZ384/FX384-1)*100)))</f>
        <v>-1.1845362294423345</v>
      </c>
      <c r="GB384" s="35">
        <f>GB142+GB188+GB221+GB252+GB285</f>
        <v>7797.1999999999989</v>
      </c>
      <c r="GC384" s="79">
        <f>IF(ISERROR((GB384/FZ384-1)*100),"NA",IF(((GB384/FZ384-1)*100)&gt;100,"NM",IF(((GB384/FZ384-1)*100)&lt;-50,"NM",(GB384/FZ384-1)*100)))</f>
        <v>2.2623840938003958</v>
      </c>
      <c r="GD384" s="35">
        <f>GD142+GD188+GD221+GD252+GD285</f>
        <v>8082.4</v>
      </c>
      <c r="GE384" s="79">
        <f>IF(ISERROR((GD384/GB384-1)*100),"NA",IF(((GD384/GB384-1)*100)&gt;100,"NM",IF(((GD384/GB384-1)*100)&lt;-50,"NM",(GD384/GB384-1)*100)))</f>
        <v>3.6577232852819108</v>
      </c>
      <c r="GF384" s="35">
        <f>GF142+GF188+GF221+GF252+GF285</f>
        <v>8357.7000000000007</v>
      </c>
      <c r="GG384" s="79">
        <f>IF(ISERROR((GF384/GD384-1)*100),"NA",IF(((GF384/GD384-1)*100)&gt;100,"NM",IF(((GF384/GD384-1)*100)&lt;-50,"NM",(GF384/GD384-1)*100)))</f>
        <v>3.406166485202422</v>
      </c>
      <c r="GH384" s="35">
        <f>GH142+GH188+GH221+GH252+GH285</f>
        <v>8597.0999999999985</v>
      </c>
      <c r="GI384" s="79">
        <f>IF(ISERROR((GH384/GF384-1)*100),"NA",IF(((GH384/GF384-1)*100)&gt;100,"NM",IF(((GH384/GF384-1)*100)&lt;-50,"NM",(GH384/GF384-1)*100)))</f>
        <v>2.8644244229871552</v>
      </c>
      <c r="GJ384" s="35">
        <f>GJ142+GJ188+GJ221+GJ252+GJ285</f>
        <v>8953.5705790481479</v>
      </c>
      <c r="GK384" s="79">
        <f>IF(ISERROR((GJ384/GH384-1)*100),"NA",IF(((GJ384/GH384-1)*100)&gt;100,"NM",IF(((GJ384/GH384-1)*100)&lt;-50,"NM",(GJ384/GH384-1)*100)))</f>
        <v>4.1464049394348113</v>
      </c>
      <c r="GL384" s="35">
        <f>GL142+GL188+GL221+GL252+GL285</f>
        <v>9198.8176727498867</v>
      </c>
      <c r="GM384" s="79">
        <f>IF(ISERROR((GL384/GJ384-1)*100),"NA",IF(((GL384/GJ384-1)*100)&gt;100,"NM",IF(((GL384/GJ384-1)*100)&lt;-50,"NM",(GL384/GJ384-1)*100)))</f>
        <v>2.7390982350173232</v>
      </c>
      <c r="GN384" s="35">
        <f>GN142+GN188+GN221+GN252+GN285</f>
        <v>9459.2194721365086</v>
      </c>
      <c r="GO384" s="79">
        <f>IF(ISERROR((GN384/GL384-1)*100),"NA",IF(((GN384/GL384-1)*100)&gt;100,"NM",IF(((GN384/GL384-1)*100)&lt;-50,"NM",(GN384/GL384-1)*100)))</f>
        <v>2.8308181404445465</v>
      </c>
      <c r="GP384" s="35">
        <f>GP142+GP188+GP221+GP252+GP285</f>
        <v>9735.0730219599664</v>
      </c>
      <c r="GQ384" s="79">
        <f>IF(ISERROR((GP384/GN384-1)*100),"NA",IF(((GP384/GN384-1)*100)&gt;100,"NM",IF(((GP384/GN384-1)*100)&lt;-50,"NM",(GP384/GN384-1)*100)))</f>
        <v>2.9162400834024771</v>
      </c>
      <c r="GR384" s="35">
        <f>GR142+GR188+GR221+GR252+GR285</f>
        <v>10026.73393078072</v>
      </c>
      <c r="GS384" s="79">
        <f>IF(ISERROR((GR384/GP384-1)*100),"NA",IF(((GR384/GP384-1)*100)&gt;100,"NM",IF(((GR384/GP384-1)*100)&lt;-50,"NM",(GR384/GP384-1)*100)))</f>
        <v>2.9959806995061733</v>
      </c>
      <c r="GT384" s="79">
        <f>IF(ISERROR(((GR384/GH384)^0.2-1)*100),"NA",(IF(OR(((GR384/GH384)^0.2-1)*100&gt;99,((GR384/GH384)^0.2-1)*100&lt;-50),"NM",(((GR384/GH384)^0.2-1)*100))))</f>
        <v>3.1244160767589513</v>
      </c>
    </row>
    <row r="385" spans="1:286" ht="12.75" customHeight="1" x14ac:dyDescent="0.2">
      <c r="A385" s="1" t="s">
        <v>414</v>
      </c>
      <c r="B385" s="2" t="s">
        <v>406</v>
      </c>
      <c r="C385" s="79"/>
      <c r="D385" s="79"/>
      <c r="E385" s="35">
        <v>494.5</v>
      </c>
      <c r="F385" s="129"/>
      <c r="G385" s="35">
        <v>500</v>
      </c>
      <c r="H385" s="129"/>
      <c r="I385" s="35">
        <v>515.5</v>
      </c>
      <c r="J385" s="129"/>
      <c r="K385" s="35">
        <v>492.9</v>
      </c>
      <c r="L385" s="79"/>
      <c r="M385" s="35">
        <v>486.3</v>
      </c>
      <c r="N385" s="79">
        <v>-1.6582406471183031</v>
      </c>
      <c r="O385" s="35">
        <v>501.5</v>
      </c>
      <c r="P385" s="79">
        <v>0.30000000000001137</v>
      </c>
      <c r="Q385" s="35">
        <v>518.4</v>
      </c>
      <c r="R385" s="79">
        <v>0.562560620756547</v>
      </c>
      <c r="S385" s="35">
        <v>522.70000000000005</v>
      </c>
      <c r="T385" s="79">
        <v>6.0458510854128678</v>
      </c>
      <c r="U385" s="35">
        <v>519.29999999999995</v>
      </c>
      <c r="V385" s="79">
        <v>6.7859346082665084</v>
      </c>
      <c r="W385" s="35">
        <v>535</v>
      </c>
      <c r="X385" s="79">
        <v>6.6799601196410707</v>
      </c>
      <c r="Y385" s="35">
        <v>555.29999999999995</v>
      </c>
      <c r="Z385" s="79">
        <v>7.118055555555558</v>
      </c>
      <c r="AA385" s="34">
        <v>548.79999999999995</v>
      </c>
      <c r="AB385" s="79">
        <f>IF(ISERROR((AA385/S385-1)*100),"NA",IF(((AA385/S385-1)*100)&gt;100,"NM",IF(((AA385/S385-1)*100)&lt;-50,"NM",(AA385/S385-1)*100)))</f>
        <v>4.9933039984694672</v>
      </c>
      <c r="AC385" s="35">
        <f>AC143+AC189+AC222+AC253+AC286+AC287</f>
        <v>534.1</v>
      </c>
      <c r="AD385" s="79">
        <f>IF(ISERROR((AC385/U385-1)*100),"NA",IF(((AC385/U385-1)*100)&gt;100,"NM",IF(((AC385/U385-1)*100)&lt;-50,"NM",(AC385/U385-1)*100)))</f>
        <v>2.8499903716541652</v>
      </c>
      <c r="AE385" s="35">
        <f>AE143+AE189+AE222+AE253+AE286+AE287</f>
        <v>532.90000000000009</v>
      </c>
      <c r="AF385" s="79">
        <f>IF(ISERROR((AE385/W385-1)*100),"NA",IF(((AE385/W385-1)*100)&gt;100,"NM",IF(((AE385/W385-1)*100)&lt;-50,"NM",(AE385/W385-1)*100)))</f>
        <v>-0.39252336448596381</v>
      </c>
      <c r="AG385" s="35">
        <f>AG143+AG189+AG222+AG253+AG286+AG287</f>
        <v>527.20000000000005</v>
      </c>
      <c r="AH385" s="79">
        <f>IF(ISERROR((AG385/Y385-1)*100),"NA",IF(((AG385/Y385-1)*100)&gt;100,"NM",IF(((AG385/Y385-1)*100)&lt;-50,"NM",(AG385/Y385-1)*100)))</f>
        <v>-5.060327750765337</v>
      </c>
      <c r="AI385" s="35">
        <f>AI143+AI189+AI222+AI253+AI286+AI287</f>
        <v>564.5</v>
      </c>
      <c r="AJ385" s="79">
        <f>IF(ISERROR((AI385/AA385-1)*100),"NA",IF(((AI385/AA385-1)*100)&gt;100,"NM",IF(((AI385/AA385-1)*100)&lt;-50,"NM",(AI385/AA385-1)*100)))</f>
        <v>2.8607871720116806</v>
      </c>
      <c r="AK385" s="35">
        <f>AK143+AK189+AK222+AK253+AK286+AK287</f>
        <v>528</v>
      </c>
      <c r="AL385" s="79">
        <f>IF(ISERROR((AK385/AC385-1)*100),"NA",IF(((AK385/AC385-1)*100)&gt;100,"NM",IF(((AK385/AC385-1)*100)&lt;-50,"NM",(AK385/AC385-1)*100)))</f>
        <v>-1.1421082194345678</v>
      </c>
      <c r="AM385" s="35">
        <f>AM143+AM189+AM222+AM253+AM286+AM287</f>
        <v>548.20000000000005</v>
      </c>
      <c r="AN385" s="79">
        <f>IF(ISERROR((AM385/AE385-1)*100),"NA",IF(((AM385/AE385-1)*100)&gt;100,"NM",IF(((AM385/AE385-1)*100)&lt;-50,"NM",(AM385/AE385-1)*100)))</f>
        <v>2.8710827547382189</v>
      </c>
      <c r="AO385" s="35">
        <f>AO143+AO189+AO222+AO253+AO286+AO287</f>
        <v>547.19999999999993</v>
      </c>
      <c r="AP385" s="79">
        <f>IF(ISERROR((AO385/AG385-1)*100),"NA",IF(((AO385/AG385-1)*100)&gt;100,"NM",IF(((AO385/AG385-1)*100)&lt;-50,"NM",(AO385/AG385-1)*100)))</f>
        <v>3.7936267071319918</v>
      </c>
      <c r="AQ385" s="35">
        <f>AQ143+AQ189+AQ222+AQ253+AQ286+AQ287</f>
        <v>564.90000000000009</v>
      </c>
      <c r="AR385" s="79">
        <f>IF(ISERROR((AQ385/AI385-1)*100),"NA",IF(((AQ385/AI385-1)*100)&gt;100,"NM",IF(((AQ385/AI385-1)*100)&lt;-50,"NM",(AQ385/AI385-1)*100)))</f>
        <v>7.0859167404790924E-2</v>
      </c>
      <c r="AS385" s="35">
        <f>AS143+AS189+AS222+AS253+AS286+AS287</f>
        <v>563.79999999999995</v>
      </c>
      <c r="AT385" s="81">
        <f>IF(ISERROR((AS385/AK385-1)*100),"NA",IF(((AS385/AK385-1)*100)&gt;100,"NM",IF(((AS385/AK385-1)*100)&lt;-50,"NM",(AS385/AK385-1)*100)))</f>
        <v>6.7803030303030143</v>
      </c>
      <c r="AU385" s="35">
        <f>AU143+AU189+AU222+AU253+AU286+AU287</f>
        <v>576.59999999999991</v>
      </c>
      <c r="AV385" s="81">
        <f>IF(ISERROR((AU385/AM385-1)*100),"NA",IF(((AU385/AM385-1)*100)&gt;100,"NM",IF(((AU385/AM385-1)*100)&lt;-50,"NM",(AU385/AM385-1)*100)))</f>
        <v>5.1805910251732756</v>
      </c>
      <c r="AW385" s="35">
        <f>AW143+AW189+AW222+AW253+AW286+AW287</f>
        <v>578.79999999999995</v>
      </c>
      <c r="AX385" s="81">
        <f>IF(ISERROR((AW385/AO385-1)*100),"NA",IF(((AW385/AO385-1)*100)&gt;100,"NM",IF(((AW385/AO385-1)*100)&lt;-50,"NM",(AW385/AO385-1)*100)))</f>
        <v>5.7748538011695993</v>
      </c>
      <c r="AY385" s="35">
        <f>AY143+AY189+AY222+AY253+AY286+AY287</f>
        <v>601.4</v>
      </c>
      <c r="AZ385" s="81">
        <f>IF(ISERROR((AY385/AQ385-1)*100),"NA",IF(((AY385/AQ385-1)*100)&gt;100,"NM",IF(((AY385/AQ385-1)*100)&lt;-50,"NM",(AY385/AQ385-1)*100)))</f>
        <v>6.4613205877146251</v>
      </c>
      <c r="BA385" s="35">
        <f>BA143+BA189+BA222+BA253+BA286+BA287</f>
        <v>589.50000000000011</v>
      </c>
      <c r="BB385" s="81">
        <f>IF(ISERROR((BA385/AS385-1)*100),"NA",IF(((BA385/AS385-1)*100)&gt;100,"NM",IF(((BA385/AS385-1)*100)&lt;-50,"NM",(BA385/AS385-1)*100)))</f>
        <v>4.5583540262504663</v>
      </c>
      <c r="BC385" s="35">
        <f>BC143+BC189+BC222+BC253+BC286</f>
        <v>597.79999999999995</v>
      </c>
      <c r="BD385" s="81">
        <f>IF(ISERROR((BC385/AU385-1)*100),"NA",IF(((BC385/AU385-1)*100)&gt;100,"NM",IF(((BC385/AU385-1)*100)&lt;-50,"NM",(BC385/AU385-1)*100)))</f>
        <v>3.6767256330211717</v>
      </c>
      <c r="BE385" s="35">
        <f>BE143+BE189+BE222+BE253+BE286</f>
        <v>603.1</v>
      </c>
      <c r="BF385" s="81">
        <f>IF(ISERROR((BE385/AW385-1)*100),"NA",IF(((BE385/AW385-1)*100)&gt;100,"NM",IF(((BE385/AW385-1)*100)&lt;-50,"NM",(BE385/AW385-1)*100)))</f>
        <v>4.1983413959917115</v>
      </c>
      <c r="BG385" s="35">
        <f>BG143+BG189+BG222+BG253+BG286</f>
        <v>619.40000000000009</v>
      </c>
      <c r="BH385" s="81">
        <f>IF(ISERROR((BG385/AY385-1)*100),"NA",IF(((BG385/AY385-1)*100)&gt;100,"NM",IF(((BG385/AY385-1)*100)&lt;-50,"NM",(BG385/AY385-1)*100)))</f>
        <v>2.9930162953109685</v>
      </c>
      <c r="BI385" s="35">
        <f>BI143+BI189+BI222+BI253+BI286</f>
        <v>591.4</v>
      </c>
      <c r="BJ385" s="81">
        <f>IF(ISERROR((BI385/BA385-1)*100),"NA",IF(((BI385/BA385-1)*100)&gt;100,"NM",IF(((BI385/BA385-1)*100)&lt;-50,"NM",(BI385/BA385-1)*100)))</f>
        <v>0.3223070398642669</v>
      </c>
      <c r="BK385" s="35">
        <f>BK143+BK189+BK222+BK253+BK286</f>
        <v>616.49999999999989</v>
      </c>
      <c r="BL385" s="81">
        <f>IF(ISERROR((BK385/BC385-1)*100),"NA",IF(((BK385/BC385-1)*100)&gt;100,"NM",IF(((BK385/BC385-1)*100)&lt;-50,"NM",(BK385/BC385-1)*100)))</f>
        <v>3.1281365005018325</v>
      </c>
      <c r="BM385" s="35">
        <f>BM143+BM189+BM222+BM253+BM286</f>
        <v>594.69999999999993</v>
      </c>
      <c r="BN385" s="81">
        <f>IF(ISERROR((BM385/BE385-1)*100),"NA",IF(((BM385/BE385-1)*100)&gt;100,"NM",IF(((BM385/BE385-1)*100)&lt;-50,"NM",(BM385/BE385-1)*100)))</f>
        <v>-1.3928038467915904</v>
      </c>
      <c r="BO385" s="35">
        <f>BO143+BO189+BO222+BO253+BO286</f>
        <v>589.79999999999995</v>
      </c>
      <c r="BP385" s="81">
        <f>IF(ISERROR((BO385/BG385-1)*100),"NA",IF(((BO385/BG385-1)*100)&gt;100,"NM",IF(((BO385/BG385-1)*100)&lt;-50,"NM",(BO385/BG385-1)*100)))</f>
        <v>-4.77881821117212</v>
      </c>
      <c r="BQ385" s="35">
        <f>BQ143+BQ189+BQ222+BQ253+BQ286</f>
        <v>573.70000000000005</v>
      </c>
      <c r="BR385" s="81">
        <f>IF(ISERROR((BQ385/BI385-1)*100),"NA",IF(((BQ385/BI385-1)*100)&gt;100,"NM",IF(((BQ385/BI385-1)*100)&lt;-50,"NM",(BQ385/BI385-1)*100)))</f>
        <v>-2.992898207642869</v>
      </c>
      <c r="BS385" s="35">
        <f>BS143+BS189+BS222+BS253+BS286</f>
        <v>597.6</v>
      </c>
      <c r="BT385" s="81">
        <f>IF(ISERROR((BS385/BK385-1)*100),"NA",IF(((BS385/BK385-1)*100)&gt;100,"NM",IF(((BS385/BK385-1)*100)&lt;-50,"NM",(BS385/BK385-1)*100)))</f>
        <v>-3.0656934306569128</v>
      </c>
      <c r="BU385" s="35">
        <f>BU143+BU189+BU222+BU253+BU286</f>
        <v>579.6</v>
      </c>
      <c r="BV385" s="81">
        <f>IF(ISERROR((BU385/BM385-1)*100),"NA",IF(((BU385/BM385-1)*100)&gt;100,"NM",IF(((BU385/BM385-1)*100)&lt;-50,"NM",(BU385/BM385-1)*100)))</f>
        <v>-2.5390953421893236</v>
      </c>
      <c r="BW385" s="35">
        <f>BW143+BW189+BW222+BW253+BW286</f>
        <v>595.69999999999993</v>
      </c>
      <c r="BX385" s="81">
        <f>IF(ISERROR((BW385/BO385-1)*100),"NA",IF(((BW385/BO385-1)*100)&gt;100,"NM",IF(((BW385/BO385-1)*100)&lt;-50,"NM",(BW385/BO385-1)*100)))</f>
        <v>1.0003390979993254</v>
      </c>
      <c r="BY385" s="35">
        <f>BY143+BY189+BY222+BY253+BY286</f>
        <v>613</v>
      </c>
      <c r="BZ385" s="81">
        <f>IF(ISERROR((BY385/BQ385-1)*100),"NA",IF(((BY385/BQ385-1)*100)&gt;100,"NM",IF(((BY385/BQ385-1)*100)&lt;-50,"NM",(BY385/BQ385-1)*100)))</f>
        <v>6.8502701760501994</v>
      </c>
      <c r="CA385" s="35">
        <f>CA143+CA189+CA222+CA253+CA286</f>
        <v>629.80000000000007</v>
      </c>
      <c r="CB385" s="81">
        <f>IF(ISERROR((CA385/BS385-1)*100),"NA",IF(((CA385/BS385-1)*100)&gt;100,"NM",IF(((CA385/BS385-1)*100)&lt;-50,"NM",(CA385/BS385-1)*100)))</f>
        <v>5.3882195448460513</v>
      </c>
      <c r="CC385" s="35">
        <f>CC143+CC189+CC222+CC253+CC286</f>
        <v>618.4</v>
      </c>
      <c r="CD385" s="81">
        <f>IF(ISERROR((CC385/BU385-1)*100),"NA",IF(((CC385/BU385-1)*100)&gt;100,"NM",IF(((CC385/BU385-1)*100)&lt;-50,"NM",(CC385/BU385-1)*100)))</f>
        <v>6.6942719116632077</v>
      </c>
      <c r="CE385" s="35">
        <f>CE143+CE189+CE222+CE253+CE286</f>
        <v>634.30000000000007</v>
      </c>
      <c r="CF385" s="81">
        <f>IF(ISERROR((CE385/BW385-1)*100),"NA",IF(((CE385/BW385-1)*100)&gt;100,"NM",IF(((CE385/BW385-1)*100)&lt;-50,"NM",(CE385/BW385-1)*100)))</f>
        <v>6.4797716971630281</v>
      </c>
      <c r="CG385" s="35">
        <f>CG143+CG189+CG222+CG253+CG286</f>
        <v>618.70000000000005</v>
      </c>
      <c r="CH385" s="81">
        <f>IF(ISERROR((CG385/BY385-1)*100),"NA",IF(((CG385/BY385-1)*100)&gt;100,"NM",IF(((CG385/BY385-1)*100)&lt;-50,"NM",(CG385/BY385-1)*100)))</f>
        <v>0.92985318107667858</v>
      </c>
      <c r="CI385" s="35">
        <f>CI143+CI189+CI222+CI253+CI286</f>
        <v>637.09999999999991</v>
      </c>
      <c r="CJ385" s="81">
        <f>IF(ISERROR((CI385/CA385-1)*100),"NA",IF(((CI385/CA385-1)*100)&gt;100,"NM",IF(((CI385/CA385-1)*100)&lt;-50,"NM",(CI385/CA385-1)*100)))</f>
        <v>1.1590981263893019</v>
      </c>
      <c r="CK385" s="35">
        <f>CK143+CK189+CK222+CK253+CK286</f>
        <v>629.20000000000005</v>
      </c>
      <c r="CL385" s="81">
        <f>IF(ISERROR((CK385/CC385-1)*100),"NA",IF(((CK385/CC385-1)*100)&gt;100,"NM",IF(((CK385/CC385-1)*100)&lt;-50,"NM",(CK385/CC385-1)*100)))</f>
        <v>1.7464424320827954</v>
      </c>
      <c r="CM385" s="35">
        <f>CM143+CM189+CM222+CM253+CM286</f>
        <v>634.6</v>
      </c>
      <c r="CN385" s="81">
        <f>IF(ISERROR((CM385/CE385-1)*100),"NA",IF(((CM385/CE385-1)*100)&gt;100,"NM",IF(((CM385/CE385-1)*100)&lt;-50,"NM",(CM385/CE385-1)*100)))</f>
        <v>4.7296232066829091E-2</v>
      </c>
      <c r="CO385" s="35">
        <f>CO143+CO189+CO222+CO253+CO286</f>
        <v>619.50000000000011</v>
      </c>
      <c r="CP385" s="81">
        <f>IF(ISERROR((CO385/CG385-1)*100),"NA",IF(((CO385/CG385-1)*100)&gt;100,"NM",IF(((CO385/CG385-1)*100)&lt;-50,"NM",(CO385/CG385-1)*100)))</f>
        <v>0.1293033780507713</v>
      </c>
      <c r="CQ385" s="35">
        <f>CQ143+CQ189+CQ222+CQ253+CQ286</f>
        <v>633.49999999999989</v>
      </c>
      <c r="CR385" s="81">
        <f>IF(ISERROR((CQ385/CI385-1)*100),"NA",IF(((CQ385/CI385-1)*100)&gt;100,"NM",IF(((CQ385/CI385-1)*100)&lt;-50,"NM",(CQ385/CI385-1)*100)))</f>
        <v>-0.5650604300737716</v>
      </c>
      <c r="CS385" s="35">
        <f>CS143+CS189+CS222+CS253+CS286</f>
        <v>619.19999999999993</v>
      </c>
      <c r="CT385" s="81">
        <f>IF(ISERROR((CS385/CK385-1)*100),"NA",IF(((CS385/CK385-1)*100)&gt;100,"NM",IF(((CS385/CK385-1)*100)&lt;-50,"NM",(CS385/CK385-1)*100)))</f>
        <v>-1.5893197711379758</v>
      </c>
      <c r="CU385" s="35">
        <f>CU143+CU189+CU222+CU253+CU286</f>
        <v>643</v>
      </c>
      <c r="CV385" s="81">
        <f>IF(ISERROR((CU385/CM385-1)*100),"NA",IF(((CU385/CM385-1)*100)&gt;100,"NM",IF(((CU385/CM385-1)*100)&lt;-50,"NM",(CU385/CM385-1)*100)))</f>
        <v>1.3236684525685494</v>
      </c>
      <c r="CW385" s="35">
        <f>CW143+CW189+CW222+CW253+CW286</f>
        <v>624.69999999999993</v>
      </c>
      <c r="CX385" s="265">
        <f>IF(ISERROR((CW385/CO385-1)*100),"NA",IF(((CW385/CO385-1)*100)&gt;100,"NM",IF(((CW385/CO385-1)*100)&lt;-50,"NM",(CW385/CO385-1)*100)))</f>
        <v>0.8393866020984353</v>
      </c>
      <c r="CY385" s="35">
        <f>CY143+CY189+CY222+CY253+CY286</f>
        <v>629.90000000000009</v>
      </c>
      <c r="CZ385" s="265">
        <f>IF(ISERROR((CY385/CQ385-1)*100),"NA",IF(((CY385/CQ385-1)*100)&gt;100,"NM",IF(((CY385/CQ385-1)*100)&lt;-50,"NM",(CY385/CQ385-1)*100)))</f>
        <v>-0.56827150749799715</v>
      </c>
      <c r="DA385" s="35">
        <f>DA143+DA189+DA222+DA253+DA286</f>
        <v>618.99999999999989</v>
      </c>
      <c r="DB385" s="265">
        <f>IF(ISERROR((DA385/CS385-1)*100),"NA",IF(((DA385/CS385-1)*100)&gt;100,"NM",IF(((DA385/CS385-1)*100)&lt;-50,"NM",(DA385/CS385-1)*100)))</f>
        <v>-3.2299741602070942E-2</v>
      </c>
      <c r="DC385" s="35">
        <f>DC143+DC189+DC222+DC253+DC286</f>
        <v>633.29999999999995</v>
      </c>
      <c r="DD385" s="265">
        <f>IF(ISERROR((DC385/CU385-1)*100),"NA",IF(((DC385/CU385-1)*100)&gt;100,"NM",IF(((DC385/CU385-1)*100)&lt;-50,"NM",(DC385/CU385-1)*100)))</f>
        <v>-1.5085536547433942</v>
      </c>
      <c r="DE385" s="35">
        <f>DE143+DE189+DE222+DE253+DE286</f>
        <v>615.79999999999995</v>
      </c>
      <c r="DF385" s="265">
        <f>IF(ISERROR((DE385/CW385-1)*100),"NA",IF(((DE385/CW385-1)*100)&gt;100,"NM",IF(((DE385/CW385-1)*100)&lt;-50,"NM",(DE385/CW385-1)*100)))</f>
        <v>-1.4246838482471547</v>
      </c>
      <c r="DG385" s="35">
        <f>DG143+DG189+DG222+DG253+DG286</f>
        <v>632.4</v>
      </c>
      <c r="DH385" s="265">
        <f>IF(ISERROR((DG385/CY385-1)*100),"NA",IF(((DG385/CY385-1)*100)&gt;100,"NM",IF(((DG385/CY385-1)*100)&lt;-50,"NM",(DG385/CY385-1)*100)))</f>
        <v>0.39688839498330797</v>
      </c>
      <c r="DI385" s="35">
        <f>DI143+DI189+DI222+DI253+DI286</f>
        <v>611.29999999999995</v>
      </c>
      <c r="DJ385" s="265">
        <f>IF(ISERROR((DI385/DA385-1)*100),"NA",IF(((DI385/DA385-1)*100)&gt;100,"NM",IF(((DI385/DA385-1)*100)&lt;-50,"NM",(DI385/DA385-1)*100)))</f>
        <v>-1.2439418416801185</v>
      </c>
      <c r="DK385" s="35">
        <f>DK143+DK189+DK222+DK253+DK286</f>
        <v>632.70000000000005</v>
      </c>
      <c r="DL385" s="81">
        <f>IF(ISERROR((DK385/DC385-1)*100),"NA",IF(((DK385/DC385-1)*100)&gt;100,"NM",IF(((DK385/DC385-1)*100)&lt;-50,"NM",(DK385/DC385-1)*100)))</f>
        <v>-9.4741828517275195E-2</v>
      </c>
      <c r="DM385" s="35">
        <f>DM143+DM189+DM222+DM253+DM286</f>
        <v>602</v>
      </c>
      <c r="DN385" s="81">
        <f>IF(ISERROR((DM385/DE385-1)*100),"NA",IF(((DM385/DE385-1)*100)&gt;100,"NM",IF(((DM385/DE385-1)*100)&lt;-50,"NM",(DM385/DE385-1)*100)))</f>
        <v>-2.2409873335498487</v>
      </c>
      <c r="DO385" s="35">
        <f>DO143+DO189+DO222+DO253+DO286</f>
        <v>630.69999999999993</v>
      </c>
      <c r="DP385" s="81">
        <f>IF(ISERROR((DO385/DG385-1)*100),"NA",IF(((DO385/DG385-1)*100)&gt;100,"NM",IF(((DO385/DG385-1)*100)&lt;-50,"NM",(DO385/DG385-1)*100)))</f>
        <v>-0.26881720430108613</v>
      </c>
      <c r="DQ385" s="35">
        <f>DQ143+DQ189+DQ222+DQ253+DQ286</f>
        <v>612.1</v>
      </c>
      <c r="DR385" s="81">
        <f>IF(ISERROR((DQ385/DI385-1)*100),"NA",IF(((DQ385/DI385-1)*100)&gt;100,"NM",IF(((DQ385/DI385-1)*100)&lt;-50,"NM",(DQ385/DI385-1)*100)))</f>
        <v>0.13086864060201098</v>
      </c>
      <c r="DS385" s="35">
        <f>DS143+DS189+DS222+DS253+DS286</f>
        <v>636.39999999999986</v>
      </c>
      <c r="DT385" s="81">
        <f>IF(ISERROR((DS385/DK385-1)*100),"NA",IF(((DS385/DK385-1)*100)&gt;100,"NM",IF(((DS385/DK385-1)*100)&lt;-50,"NM",(DS385/DK385-1)*100)))</f>
        <v>0.58479532163739911</v>
      </c>
      <c r="DU385" s="35">
        <f>DU143+DU189+DU222+DU253+DU286</f>
        <v>606.4</v>
      </c>
      <c r="DV385" s="81">
        <f>IF(ISERROR((DU385/DM385-1)*100),"NA",IF(((DU385/DM385-1)*100)&gt;100,"NM",IF(((DU385/DM385-1)*100)&lt;-50,"NM",(DU385/DM385-1)*100)))</f>
        <v>0.73089700996677998</v>
      </c>
      <c r="DW385" s="35">
        <f>DW143+DW189+DW222+DW253+DW286</f>
        <v>623.30000000000007</v>
      </c>
      <c r="DX385" s="81">
        <f>IF(ISERROR((DW385/DO385-1)*100),"NA",IF(((DW385/DO385-1)*100)&gt;100,"NM",IF(((DW385/DO385-1)*100)&lt;-50,"NM",(DW385/DO385-1)*100)))</f>
        <v>-1.173299508482617</v>
      </c>
      <c r="DY385" s="35">
        <f>DY143+DY189+DY222+DY253+DY286</f>
        <v>611.4</v>
      </c>
      <c r="DZ385" s="81">
        <f>IF(ISERROR((DY385/DQ385-1)*100),"NA",IF(((DY385/DQ385-1)*100)&gt;100,"NM",IF(((DY385/DQ385-1)*100)&lt;-50,"NM",(DY385/DQ385-1)*100)))</f>
        <v>-0.11436039862767755</v>
      </c>
      <c r="EA385" s="35">
        <f>EA143+EA189+EA222+EA253+EA286</f>
        <v>617.9</v>
      </c>
      <c r="EB385" s="81">
        <f>IF(ISERROR((EA385/DS385-1)*100),"NA",IF(((EA385/DS385-1)*100)&gt;100,"NM",IF(((EA385/DS385-1)*100)&lt;-50,"NM",(EA385/DS385-1)*100)))</f>
        <v>-2.9069767441860295</v>
      </c>
      <c r="EC385" s="35">
        <f>EC143+EC189+EC222+EC253+EC286</f>
        <v>602.4</v>
      </c>
      <c r="ED385" s="81">
        <f t="shared" si="1106"/>
        <v>-0.65963060686016206</v>
      </c>
      <c r="EE385" s="35">
        <f>EE143+EE189+EE222+EE253+EE286</f>
        <v>620.5</v>
      </c>
      <c r="EF385" s="81">
        <f t="shared" si="1107"/>
        <v>-0.4492218835231987</v>
      </c>
      <c r="EG385" s="35">
        <f>EG143+EG189+EG222+EG253+EG286</f>
        <v>609</v>
      </c>
      <c r="EH385" s="81">
        <f t="shared" si="1108"/>
        <v>-0.39254170755642637</v>
      </c>
      <c r="EI385" s="35">
        <f>EI143+EI189+EI222+EI253+EI286</f>
        <v>619.80000000000007</v>
      </c>
      <c r="EJ385" s="81">
        <f t="shared" si="1109"/>
        <v>0.30749312186439948</v>
      </c>
      <c r="EK385" s="35">
        <f t="shared" ref="EK385:EQ385" si="1115">EK143+EK189+EK222+EK253+EK286</f>
        <v>620.05328958492203</v>
      </c>
      <c r="EL385" s="81">
        <f t="shared" si="1111"/>
        <v>2.9304929589843987</v>
      </c>
      <c r="EM385" s="35">
        <f t="shared" si="1115"/>
        <v>619.73888645992201</v>
      </c>
      <c r="EN385" s="81">
        <f t="shared" si="1112"/>
        <v>-0.12266132797389417</v>
      </c>
      <c r="EO385" s="35">
        <f t="shared" si="1115"/>
        <v>619.74236007710954</v>
      </c>
      <c r="EP385" s="81">
        <f t="shared" si="1113"/>
        <v>1.7639343312166655</v>
      </c>
      <c r="EQ385" s="35">
        <f t="shared" si="1115"/>
        <v>619.47678518588691</v>
      </c>
      <c r="ER385" s="81">
        <f t="shared" si="1114"/>
        <v>-5.2148243645233627E-2</v>
      </c>
      <c r="ES385" s="129"/>
      <c r="ET385" s="470"/>
      <c r="EU385" s="129"/>
      <c r="EV385" s="129"/>
      <c r="EW385" s="79"/>
      <c r="EX385" s="129"/>
      <c r="EY385" s="79"/>
      <c r="EZ385" s="129"/>
      <c r="FA385" s="79"/>
      <c r="FB385" s="35">
        <f>FB143+FB189+FB222+FB253+FB314+FB338</f>
        <v>286.7</v>
      </c>
      <c r="FC385" s="79" t="str">
        <f>IF(ISERROR((FB385/EZ385-1)*100),"NA",IF(((FB385/EZ385-1)*100)&gt;100,"NM",IF(((FB385/EZ385-1)*100)&lt;-50,"NM",(FB385/EZ385-1)*100)))</f>
        <v>NA</v>
      </c>
      <c r="FD385" s="35">
        <f>FD143+FD189+FD222+FD253+FD314+FD338</f>
        <v>2028.9</v>
      </c>
      <c r="FE385" s="79" t="str">
        <f>IF(ISERROR((FD385/FB385-1)*100),"NA",IF(((FD385/FB385-1)*100)&gt;100,"NM",IF(((FD385/FB385-1)*100)&lt;-50,"NM",(FD385/FB385-1)*100)))</f>
        <v>NM</v>
      </c>
      <c r="FF385" s="35">
        <f>FF143+FF189+FF222+FF253+FF314+FF338</f>
        <v>2158.4</v>
      </c>
      <c r="FG385" s="79">
        <f>IF(ISERROR((FF385/FD385-1)*100),"NA",IF(((FF385/FD385-1)*100)&gt;100,"NM",IF(((FF385/FD385-1)*100)&lt;-50,"NM",(FF385/FD385-1)*100)))</f>
        <v>6.3827689881216454</v>
      </c>
      <c r="FH385" s="35">
        <f>FH143+FH189+FH222+FH253+FH314+FH338</f>
        <v>2158.7000000000003</v>
      </c>
      <c r="FI385" s="79">
        <f>IF(ISERROR((FH385/FF385-1)*100),"NA",IF(((FH385/FF385-1)*100)&gt;100,"NM",IF(((FH385/FF385-1)*100)&lt;-50,"NM",(FH385/FF385-1)*100)))</f>
        <v>1.3899184581189772E-2</v>
      </c>
      <c r="FJ385" s="35">
        <f>FJ143+FJ189+FJ222+FJ253+FJ286</f>
        <v>2183.3000000000002</v>
      </c>
      <c r="FK385" s="79">
        <f>IF(ISERROR((FJ385/FH385-1)*100),"NA",IF(((FJ385/FH385-1)*100)&gt;100,"NM",IF(((FJ385/FH385-1)*100)&lt;-50,"NM",(FJ385/FH385-1)*100)))</f>
        <v>1.1395747440589243</v>
      </c>
      <c r="FL385" s="35">
        <f>FL143+FL189+FL222+FL253+FL286</f>
        <v>2300.6</v>
      </c>
      <c r="FM385" s="79">
        <f>IF(ISERROR((FL385/FJ385-1)*100),"NA",IF(((FL385/FJ385-1)*100)&gt;100,"NM",IF(((FL385/FJ385-1)*100)&lt;-50,"NM",(FL385/FJ385-1)*100)))</f>
        <v>5.3726011084138658</v>
      </c>
      <c r="FN385" s="35">
        <f>FN143+FN189+FN222+FN253+FN286</f>
        <v>2404.8000000000002</v>
      </c>
      <c r="FO385" s="79">
        <f>IF(ISERROR((FN385/FL385-1)*100),"NA",IF(((FN385/FL385-1)*100)&gt;100,"NM",IF(((FN385/FL385-1)*100)&lt;-50,"NM",(FN385/FL385-1)*100)))</f>
        <v>4.5292532382856798</v>
      </c>
      <c r="FP385" s="35">
        <f>FP143+FP189+FP222+FP253+FP286</f>
        <v>2392.4</v>
      </c>
      <c r="FQ385" s="79">
        <f>IF(ISERROR((FP385/FN385-1)*100),"NA",IF(((FP385/FN385-1)*100)&gt;100,"NM",IF(((FP385/FN385-1)*100)&lt;-50,"NM",(FP385/FN385-1)*100)))</f>
        <v>-0.51563539587492491</v>
      </c>
      <c r="FR385" s="35">
        <f>FR143+FR189+FR222+FR253+FR286</f>
        <v>2346.5999999999995</v>
      </c>
      <c r="FS385" s="79">
        <f>IF(ISERROR((FR385/FP385-1)*100),"NA",IF(((FR385/FP385-1)*100)&gt;100,"NM",IF(((FR385/FP385-1)*100)&lt;-50,"NM",(FR385/FP385-1)*100)))</f>
        <v>-1.9143955860224326</v>
      </c>
      <c r="FT385" s="35">
        <f>FT143+FT189+FT222+FT253+FT286</f>
        <v>2495.4999999999995</v>
      </c>
      <c r="FU385" s="79">
        <f>IF(ISERROR((FT385/FR385-1)*100),"NA",IF(((FT385/FR385-1)*100)&gt;100,"NM",IF(((FT385/FR385-1)*100)&lt;-50,"NM",(FT385/FR385-1)*100)))</f>
        <v>6.3453507201909121</v>
      </c>
      <c r="FV385" s="35">
        <f>FV143+FV189+FV222+FV253+FV286</f>
        <v>2519.5999999999995</v>
      </c>
      <c r="FW385" s="79">
        <f>IF(ISERROR((FV385/FT385-1)*100),"NA",IF(((FV385/FT385-1)*100)&gt;100,"NM",IF(((FV385/FT385-1)*100)&lt;-50,"NM",(FV385/FT385-1)*100)))</f>
        <v>0.96573832899218282</v>
      </c>
      <c r="FX385" s="35">
        <f>FX143+FX189+FX222+FX253+FX286</f>
        <v>2531.2999999999997</v>
      </c>
      <c r="FY385" s="79">
        <f>IF(ISERROR((FX385/FV385-1)*100),"NA",IF(((FX385/FV385-1)*100)&gt;100,"NM",IF(((FX385/FV385-1)*100)&lt;-50,"NM",(FX385/FV385-1)*100)))</f>
        <v>0.4643594221305003</v>
      </c>
      <c r="FZ385" s="35">
        <f>FZ143+FZ189+FZ222+FZ253+FZ286</f>
        <v>2506.8999999999996</v>
      </c>
      <c r="GA385" s="79">
        <f>IF(ISERROR((FZ385/FX385-1)*100),"NA",IF(((FZ385/FX385-1)*100)&gt;100,"NM",IF(((FZ385/FX385-1)*100)&lt;-50,"NM",(FZ385/FX385-1)*100)))</f>
        <v>-0.96393157666021523</v>
      </c>
      <c r="GB385" s="35">
        <f>GB143+GB189+GB222+GB253+GB286</f>
        <v>2492.2000000000003</v>
      </c>
      <c r="GC385" s="79">
        <f>IF(ISERROR((GB385/FZ385-1)*100),"NA",IF(((GB385/FZ385-1)*100)&gt;100,"NM",IF(((GB385/FZ385-1)*100)&lt;-50,"NM",(GB385/FZ385-1)*100)))</f>
        <v>-0.58638158682035035</v>
      </c>
      <c r="GD385" s="35">
        <f>GD143+GD189+GD222+GD253+GD286</f>
        <v>2481.1999999999998</v>
      </c>
      <c r="GE385" s="79">
        <f>IF(ISERROR((GD385/GB385-1)*100),"NA",IF(((GD385/GB385-1)*100)&gt;100,"NM",IF(((GD385/GB385-1)*100)&lt;-50,"NM",(GD385/GB385-1)*100)))</f>
        <v>-0.44137709654122892</v>
      </c>
      <c r="GF385" s="35">
        <f>GF143+GF189+GF222+GF253+GF286</f>
        <v>2459</v>
      </c>
      <c r="GG385" s="79">
        <f>IF(ISERROR((GF385/GD385-1)*100),"NA",IF(((GF385/GD385-1)*100)&gt;100,"NM",IF(((GF385/GD385-1)*100)&lt;-50,"NM",(GF385/GD385-1)*100)))</f>
        <v>-0.89472835724648814</v>
      </c>
      <c r="GH385" s="35">
        <f>GH143+GH189+GH222+GH253+GH286</f>
        <v>2451.7000000000003</v>
      </c>
      <c r="GI385" s="79">
        <f>IF(ISERROR((GH385/GF385-1)*100),"NA",IF(((GH385/GF385-1)*100)&gt;100,"NM",IF(((GH385/GF385-1)*100)&lt;-50,"NM",(GH385/GF385-1)*100)))</f>
        <v>-0.29686864579095973</v>
      </c>
      <c r="GJ385" s="35">
        <f>GJ143+GJ189+GJ222+GJ253+GJ286</f>
        <v>2479.0113213078403</v>
      </c>
      <c r="GK385" s="79">
        <f>IF(ISERROR((GJ385/GH385-1)*100),"NA",IF(((GJ385/GH385-1)*100)&gt;100,"NM",IF(((GJ385/GH385-1)*100)&lt;-50,"NM",(GJ385/GH385-1)*100)))</f>
        <v>1.1139748463449894</v>
      </c>
      <c r="GL385" s="35">
        <f>GL143+GL189+GL222+GL253+GL286</f>
        <v>2468.4773500271876</v>
      </c>
      <c r="GM385" s="79">
        <f>IF(ISERROR((GL385/GJ385-1)*100),"NA",IF(((GL385/GJ385-1)*100)&gt;100,"NM",IF(((GL385/GJ385-1)*100)&lt;-50,"NM",(GL385/GJ385-1)*100)))</f>
        <v>-0.42492630792404507</v>
      </c>
      <c r="GN385" s="35">
        <f>GN143+GN189+GN222+GN253+GN286</f>
        <v>2460.0156220572003</v>
      </c>
      <c r="GO385" s="79">
        <f>IF(ISERROR((GN385/GL385-1)*100),"NA",IF(((GN385/GL385-1)*100)&gt;100,"NM",IF(((GN385/GL385-1)*100)&lt;-50,"NM",(GN385/GL385-1)*100)))</f>
        <v>-0.34279139607638065</v>
      </c>
      <c r="GP385" s="35">
        <f>GP143+GP189+GP222+GP253+GP286</f>
        <v>2453.6173802492385</v>
      </c>
      <c r="GQ385" s="79">
        <f>IF(ISERROR((GP385/GN385-1)*100),"NA",IF(((GP385/GN385-1)*100)&gt;100,"NM",IF(((GP385/GN385-1)*100)&lt;-50,"NM",(GP385/GN385-1)*100)))</f>
        <v>-0.26008947872498966</v>
      </c>
      <c r="GR385" s="35">
        <f>GR143+GR189+GR222+GR253+GR286</f>
        <v>2449.2758843102747</v>
      </c>
      <c r="GS385" s="79">
        <f>IF(ISERROR((GR385/GP385-1)*100),"NA",IF(((GR385/GP385-1)*100)&gt;100,"NM",IF(((GR385/GP385-1)*100)&lt;-50,"NM",(GR385/GP385-1)*100)))</f>
        <v>-0.17694266326573338</v>
      </c>
      <c r="GT385" s="79">
        <f>IF(ISERROR(((GR385/GH385)^0.2-1)*100),"NA",(IF(OR(((GR385/GH385)^0.2-1)*100&gt;99,((GR385/GH385)^0.2-1)*100&lt;-50),"NM",(((GR385/GH385)^0.2-1)*100))))</f>
        <v>-1.9782803732781851E-2</v>
      </c>
    </row>
    <row r="386" spans="1:286" ht="12.75" customHeight="1" x14ac:dyDescent="0.2">
      <c r="A386" s="1"/>
      <c r="B386" s="2" t="s">
        <v>407</v>
      </c>
      <c r="C386" s="79"/>
      <c r="D386" s="79"/>
      <c r="E386" s="35">
        <v>100.7</v>
      </c>
      <c r="F386" s="129"/>
      <c r="G386" s="35">
        <v>94.7</v>
      </c>
      <c r="H386" s="129"/>
      <c r="I386" s="35">
        <v>78.8</v>
      </c>
      <c r="J386" s="129"/>
      <c r="K386" s="35">
        <v>80.099999999999994</v>
      </c>
      <c r="L386" s="79"/>
      <c r="M386" s="35">
        <v>90.9</v>
      </c>
      <c r="N386" s="79">
        <v>-9.7318768619662386</v>
      </c>
      <c r="O386" s="35">
        <v>105.2</v>
      </c>
      <c r="P386" s="79">
        <v>11.087645195353746</v>
      </c>
      <c r="Q386" s="35">
        <v>99</v>
      </c>
      <c r="R386" s="79">
        <v>25.634517766497432</v>
      </c>
      <c r="S386" s="35">
        <v>93.1</v>
      </c>
      <c r="T386" s="79">
        <v>16.229712858926337</v>
      </c>
      <c r="U386" s="35">
        <v>89.3</v>
      </c>
      <c r="V386" s="79">
        <v>-1.7601760176017667</v>
      </c>
      <c r="W386" s="35">
        <v>109.5</v>
      </c>
      <c r="X386" s="79">
        <v>4.0874524714828775</v>
      </c>
      <c r="Y386" s="35">
        <v>105.5</v>
      </c>
      <c r="Z386" s="79">
        <v>6.5656565656565746</v>
      </c>
      <c r="AA386" s="34">
        <v>87</v>
      </c>
      <c r="AB386" s="79">
        <f>IF(ISERROR((AA386/S386-1)*100),"NA",IF(((AA386/S386-1)*100)&gt;100,"NM",IF(((AA386/S386-1)*100)&lt;-50,"NM",(AA386/S386-1)*100)))</f>
        <v>-6.552094522019325</v>
      </c>
      <c r="AC386" s="35">
        <f>AC144+AC190+AC223+AC254+AC288</f>
        <v>108</v>
      </c>
      <c r="AD386" s="79">
        <f>IF(ISERROR((AC386/U386-1)*100),"NA",IF(((AC386/U386-1)*100)&gt;100,"NM",IF(((AC386/U386-1)*100)&lt;-50,"NM",(AC386/U386-1)*100)))</f>
        <v>20.940649496080631</v>
      </c>
      <c r="AE386" s="35">
        <f>AE144+AE190+AE223+AE254+AE288</f>
        <v>106.1</v>
      </c>
      <c r="AF386" s="79">
        <f>IF(ISERROR((AE386/W386-1)*100),"NA",IF(((AE386/W386-1)*100)&gt;100,"NM",IF(((AE386/W386-1)*100)&lt;-50,"NM",(AE386/W386-1)*100)))</f>
        <v>-3.1050228310502304</v>
      </c>
      <c r="AG386" s="35">
        <f>AG144+AG190+AG223+AG254+AG288</f>
        <v>101.3</v>
      </c>
      <c r="AH386" s="79">
        <f>IF(ISERROR((AG386/Y386-1)*100),"NA",IF(((AG386/Y386-1)*100)&gt;100,"NM",IF(((AG386/Y386-1)*100)&lt;-50,"NM",(AG386/Y386-1)*100)))</f>
        <v>-3.9810426540284438</v>
      </c>
      <c r="AI386" s="35">
        <f>AI144+AI190+AI223+AI254+AI288</f>
        <v>121.99999999999999</v>
      </c>
      <c r="AJ386" s="79">
        <f>IF(ISERROR((AI386/AA386-1)*100),"NA",IF(((AI386/AA386-1)*100)&gt;100,"NM",IF(((AI386/AA386-1)*100)&lt;-50,"NM",(AI386/AA386-1)*100)))</f>
        <v>40.22988505747125</v>
      </c>
      <c r="AK386" s="35">
        <f>AK144+AK190+AK223+AK254+AK288</f>
        <v>112.1</v>
      </c>
      <c r="AL386" s="79">
        <f>IF(ISERROR((AK386/AC386-1)*100),"NA",IF(((AK386/AC386-1)*100)&gt;100,"NM",IF(((AK386/AC386-1)*100)&lt;-50,"NM",(AK386/AC386-1)*100)))</f>
        <v>3.7962962962962976</v>
      </c>
      <c r="AM386" s="35">
        <f>AM144+AM190+AM223+AM254+AM288</f>
        <v>103</v>
      </c>
      <c r="AN386" s="79">
        <f>IF(ISERROR((AM386/AE386-1)*100),"NA",IF(((AM386/AE386-1)*100)&gt;100,"NM",IF(((AM386/AE386-1)*100)&lt;-50,"NM",(AM386/AE386-1)*100)))</f>
        <v>-2.9217719132893394</v>
      </c>
      <c r="AO386" s="35">
        <f>AO144+AO190+AO223+AO254+AO288</f>
        <v>110.19999999999999</v>
      </c>
      <c r="AP386" s="79">
        <f>IF(ISERROR((AO386/AG386-1)*100),"NA",IF(((AO386/AG386-1)*100)&gt;100,"NM",IF(((AO386/AG386-1)*100)&lt;-50,"NM",(AO386/AG386-1)*100)))</f>
        <v>8.7857847976307912</v>
      </c>
      <c r="AQ386" s="35">
        <f>AQ144+AQ190+AQ223+AQ254+AQ288</f>
        <v>64.5</v>
      </c>
      <c r="AR386" s="79">
        <f>IF(ISERROR((AQ386/AI386-1)*100),"NA",IF(((AQ386/AI386-1)*100)&gt;100,"NM",IF(((AQ386/AI386-1)*100)&lt;-50,"NM",(AQ386/AI386-1)*100)))</f>
        <v>-47.131147540983598</v>
      </c>
      <c r="AS386" s="35">
        <f>AS144+AS190+AS223+AS254+AS288</f>
        <v>63.800000000000004</v>
      </c>
      <c r="AT386" s="81">
        <f>IF(ISERROR((AS386/AK386-1)*100),"NA",IF(((AS386/AK386-1)*100)&gt;100,"NM",IF(((AS386/AK386-1)*100)&lt;-50,"NM",(AS386/AK386-1)*100)))</f>
        <v>-43.08652988403211</v>
      </c>
      <c r="AU386" s="35">
        <f>AU144+AU190+AU223+AU254+AU288</f>
        <v>110</v>
      </c>
      <c r="AV386" s="81">
        <f>IF(ISERROR((AU386/AM386-1)*100),"NA",IF(((AU386/AM386-1)*100)&gt;100,"NM",IF(((AU386/AM386-1)*100)&lt;-50,"NM",(AU386/AM386-1)*100)))</f>
        <v>6.7961165048543659</v>
      </c>
      <c r="AW386" s="35">
        <f>AW144+AW190+AW223+AW254+AW288</f>
        <v>110.4</v>
      </c>
      <c r="AX386" s="81">
        <f>IF(ISERROR((AW386/AO386-1)*100),"NA",IF(((AW386/AO386-1)*100)&gt;100,"NM",IF(((AW386/AO386-1)*100)&lt;-50,"NM",(AW386/AO386-1)*100)))</f>
        <v>0.18148820326679971</v>
      </c>
      <c r="AY386" s="35">
        <f>AY144+AY190+AY223+AY254+AY288</f>
        <v>72</v>
      </c>
      <c r="AZ386" s="81">
        <f>IF(ISERROR((AY386/AQ386-1)*100),"NA",IF(((AY386/AQ386-1)*100)&gt;100,"NM",IF(((AY386/AQ386-1)*100)&lt;-50,"NM",(AY386/AQ386-1)*100)))</f>
        <v>11.627906976744185</v>
      </c>
      <c r="BA386" s="35">
        <f>BA144+BA190+BA223+BA254+BA288</f>
        <v>70.800000000000011</v>
      </c>
      <c r="BB386" s="81">
        <f>IF(ISERROR((BA386/AS386-1)*100),"NA",IF(((BA386/AS386-1)*100)&gt;100,"NM",IF(((BA386/AS386-1)*100)&lt;-50,"NM",(BA386/AS386-1)*100)))</f>
        <v>10.971786833855802</v>
      </c>
      <c r="BC386" s="35">
        <f>BC144+BC190+BC223+BC254+BC288</f>
        <v>70.7</v>
      </c>
      <c r="BD386" s="81">
        <f>IF(ISERROR((BC386/AU386-1)*100),"NA",IF(((BC386/AU386-1)*100)&gt;100,"NM",IF(((BC386/AU386-1)*100)&lt;-50,"NM",(BC386/AU386-1)*100)))</f>
        <v>-35.727272727272727</v>
      </c>
      <c r="BE386" s="35">
        <f>BE144+BE190+BE223+BE254+BE288</f>
        <v>66.599999999999994</v>
      </c>
      <c r="BF386" s="81">
        <f>IF(ISERROR((BE386/AW386-1)*100),"NA",IF(((BE386/AW386-1)*100)&gt;100,"NM",IF(((BE386/AW386-1)*100)&lt;-50,"NM",(BE386/AW386-1)*100)))</f>
        <v>-39.673913043478272</v>
      </c>
      <c r="BG386" s="35">
        <f>BG144+BG190+BG223+BG254+BG288</f>
        <v>66</v>
      </c>
      <c r="BH386" s="81">
        <f>IF(ISERROR((BG386/AY386-1)*100),"NA",IF(((BG386/AY386-1)*100)&gt;100,"NM",IF(((BG386/AY386-1)*100)&lt;-50,"NM",(BG386/AY386-1)*100)))</f>
        <v>-8.3333333333333375</v>
      </c>
      <c r="BI386" s="35">
        <f>BI144+BI190+BI223+BI254+BI288</f>
        <v>67.2</v>
      </c>
      <c r="BJ386" s="81">
        <f>IF(ISERROR((BI386/BA386-1)*100),"NA",IF(((BI386/BA386-1)*100)&gt;100,"NM",IF(((BI386/BA386-1)*100)&lt;-50,"NM",(BI386/BA386-1)*100)))</f>
        <v>-5.0847457627118731</v>
      </c>
      <c r="BK386" s="35">
        <f>BK144+BK190+BK223+BK254+BK288</f>
        <v>64.100000000000009</v>
      </c>
      <c r="BL386" s="81">
        <f>IF(ISERROR((BK386/BC386-1)*100),"NA",IF(((BK386/BC386-1)*100)&gt;100,"NM",IF(((BK386/BC386-1)*100)&lt;-50,"NM",(BK386/BC386-1)*100)))</f>
        <v>-9.3352192362093245</v>
      </c>
      <c r="BM386" s="35">
        <f>BM144+BM190+BM223+BM254+BM288</f>
        <v>67.3</v>
      </c>
      <c r="BN386" s="81">
        <f>IF(ISERROR((BM386/BE386-1)*100),"NA",IF(((BM386/BE386-1)*100)&gt;100,"NM",IF(((BM386/BE386-1)*100)&lt;-50,"NM",(BM386/BE386-1)*100)))</f>
        <v>1.0510510510510551</v>
      </c>
      <c r="BO386" s="35">
        <f>BO144+BO190+BO223+BO254+BO288</f>
        <v>73.900000000000006</v>
      </c>
      <c r="BP386" s="81">
        <f>IF(ISERROR((BO386/BG386-1)*100),"NA",IF(((BO386/BG386-1)*100)&gt;100,"NM",IF(((BO386/BG386-1)*100)&lt;-50,"NM",(BO386/BG386-1)*100)))</f>
        <v>11.969696969696987</v>
      </c>
      <c r="BQ386" s="35">
        <f>BQ144+BQ190+BQ223+BQ254+BQ288</f>
        <v>67</v>
      </c>
      <c r="BR386" s="81">
        <f>IF(ISERROR((BQ386/BI386-1)*100),"NA",IF(((BQ386/BI386-1)*100)&gt;100,"NM",IF(((BQ386/BI386-1)*100)&lt;-50,"NM",(BQ386/BI386-1)*100)))</f>
        <v>-0.29761904761904656</v>
      </c>
      <c r="BS386" s="35">
        <f>BS144+BS190+BS223+BS254+BS288</f>
        <v>67.2</v>
      </c>
      <c r="BT386" s="81">
        <f>IF(ISERROR((BS386/BK386-1)*100),"NA",IF(((BS386/BK386-1)*100)&gt;100,"NM",IF(((BS386/BK386-1)*100)&lt;-50,"NM",(BS386/BK386-1)*100)))</f>
        <v>4.8361934477378909</v>
      </c>
      <c r="BU386" s="35">
        <f>BU144+BU190+BU223+BU254+BU288</f>
        <v>61.9</v>
      </c>
      <c r="BV386" s="81">
        <f>IF(ISERROR((BU386/BM386-1)*100),"NA",IF(((BU386/BM386-1)*100)&gt;100,"NM",IF(((BU386/BM386-1)*100)&lt;-50,"NM",(BU386/BM386-1)*100)))</f>
        <v>-8.0237741456166347</v>
      </c>
      <c r="BW386" s="35">
        <f>BW144+BW190+BW223+BW254+BW288</f>
        <v>61.100000000000009</v>
      </c>
      <c r="BX386" s="81">
        <f>IF(ISERROR((BW386/BO386-1)*100),"NA",IF(((BW386/BO386-1)*100)&gt;100,"NM",IF(((BW386/BO386-1)*100)&lt;-50,"NM",(BW386/BO386-1)*100)))</f>
        <v>-17.320703653585923</v>
      </c>
      <c r="BY386" s="35">
        <f>BY144+BY190+BY223+BY254+BY288</f>
        <v>59.8</v>
      </c>
      <c r="BZ386" s="81">
        <f>IF(ISERROR((BY386/BQ386-1)*100),"NA",IF(((BY386/BQ386-1)*100)&gt;100,"NM",IF(((BY386/BQ386-1)*100)&lt;-50,"NM",(BY386/BQ386-1)*100)))</f>
        <v>-10.746268656716417</v>
      </c>
      <c r="CA386" s="35">
        <f>CA144+CA190+CA223+CA254+CA288</f>
        <v>60.5</v>
      </c>
      <c r="CB386" s="81">
        <f>IF(ISERROR((CA386/BS386-1)*100),"NA",IF(((CA386/BS386-1)*100)&gt;100,"NM",IF(((CA386/BS386-1)*100)&lt;-50,"NM",(CA386/BS386-1)*100)))</f>
        <v>-9.9702380952381038</v>
      </c>
      <c r="CC386" s="35">
        <f>CC144+CC190+CC223+CC254+CC288</f>
        <v>58.199999999999996</v>
      </c>
      <c r="CD386" s="81">
        <f>IF(ISERROR((CC386/BU386-1)*100),"NA",IF(((CC386/BU386-1)*100)&gt;100,"NM",IF(((CC386/BU386-1)*100)&lt;-50,"NM",(CC386/BU386-1)*100)))</f>
        <v>-5.9773828756058194</v>
      </c>
      <c r="CE386" s="35">
        <f>CE144+CE190+CE223+CE254+CE288</f>
        <v>63.100000000000009</v>
      </c>
      <c r="CF386" s="81">
        <f>IF(ISERROR((CE386/BW386-1)*100),"NA",IF(((CE386/BW386-1)*100)&gt;100,"NM",IF(((CE386/BW386-1)*100)&lt;-50,"NM",(CE386/BW386-1)*100)))</f>
        <v>3.2733224222585955</v>
      </c>
      <c r="CG386" s="35">
        <f>CG144+CG190+CG223+CG254+CG288</f>
        <v>59.7</v>
      </c>
      <c r="CH386" s="81">
        <f>IF(ISERROR((CG386/BY386-1)*100),"NA",IF(((CG386/BY386-1)*100)&gt;100,"NM",IF(((CG386/BY386-1)*100)&lt;-50,"NM",(CG386/BY386-1)*100)))</f>
        <v>-0.16722408026754731</v>
      </c>
      <c r="CI386" s="35">
        <f>CI144+CI190+CI223+CI254+CI288</f>
        <v>56</v>
      </c>
      <c r="CJ386" s="81">
        <f>IF(ISERROR((CI386/CA386-1)*100),"NA",IF(((CI386/CA386-1)*100)&gt;100,"NM",IF(((CI386/CA386-1)*100)&lt;-50,"NM",(CI386/CA386-1)*100)))</f>
        <v>-7.4380165289256173</v>
      </c>
      <c r="CK386" s="35">
        <f>CK144+CK190+CK223+CK254+CK288</f>
        <v>59.100000000000009</v>
      </c>
      <c r="CL386" s="81">
        <f>IF(ISERROR((CK386/CC386-1)*100),"NA",IF(((CK386/CC386-1)*100)&gt;100,"NM",IF(((CK386/CC386-1)*100)&lt;-50,"NM",(CK386/CC386-1)*100)))</f>
        <v>1.5463917525773363</v>
      </c>
      <c r="CM386" s="35">
        <f>CM144+CM190+CM223+CM254+CM288</f>
        <v>74.3</v>
      </c>
      <c r="CN386" s="81">
        <f>IF(ISERROR((CM386/CE386-1)*100),"NA",IF(((CM386/CE386-1)*100)&gt;100,"NM",IF(((CM386/CE386-1)*100)&lt;-50,"NM",(CM386/CE386-1)*100)))</f>
        <v>17.749603803486515</v>
      </c>
      <c r="CO386" s="35">
        <f>CO144+CO190+CO223+CO254+CO288</f>
        <v>57.5</v>
      </c>
      <c r="CP386" s="81">
        <f>IF(ISERROR((CO386/CG386-1)*100),"NA",IF(((CO386/CG386-1)*100)&gt;100,"NM",IF(((CO386/CG386-1)*100)&lt;-50,"NM",(CO386/CG386-1)*100)))</f>
        <v>-3.6850921273031911</v>
      </c>
      <c r="CQ386" s="35">
        <f>CQ144+CQ190+CQ223+CQ254+CQ288</f>
        <v>58.900000000000006</v>
      </c>
      <c r="CR386" s="81">
        <f>IF(ISERROR((CQ386/CI386-1)*100),"NA",IF(((CQ386/CI386-1)*100)&gt;100,"NM",IF(((CQ386/CI386-1)*100)&lt;-50,"NM",(CQ386/CI386-1)*100)))</f>
        <v>5.1785714285714324</v>
      </c>
      <c r="CS386" s="35">
        <f>CS144+CS190+CS223+CS254+CS288</f>
        <v>58.1</v>
      </c>
      <c r="CT386" s="81">
        <f>IF(ISERROR((CS386/CK386-1)*100),"NA",IF(((CS386/CK386-1)*100)&gt;100,"NM",IF(((CS386/CK386-1)*100)&lt;-50,"NM",(CS386/CK386-1)*100)))</f>
        <v>-1.6920473773265776</v>
      </c>
      <c r="CU386" s="35">
        <f>CU144+CU190+CU223+CU254+CU288</f>
        <v>53.4</v>
      </c>
      <c r="CV386" s="81">
        <f>IF(ISERROR((CU386/CM386-1)*100),"NA",IF(((CU386/CM386-1)*100)&gt;100,"NM",IF(((CU386/CM386-1)*100)&lt;-50,"NM",(CU386/CM386-1)*100)))</f>
        <v>-28.129205921938084</v>
      </c>
      <c r="CW386" s="35">
        <f>CW144+CW190+CW223+CW254+CW288</f>
        <v>62.500000000000007</v>
      </c>
      <c r="CX386" s="265">
        <f>IF(ISERROR((CW386/CO386-1)*100),"NA",IF(((CW386/CO386-1)*100)&gt;100,"NM",IF(((CW386/CO386-1)*100)&lt;-50,"NM",(CW386/CO386-1)*100)))</f>
        <v>8.6956521739130608</v>
      </c>
      <c r="CY386" s="35">
        <f>CY144+CY190+CY223+CY254+CY288</f>
        <v>56.699999999999989</v>
      </c>
      <c r="CZ386" s="265">
        <f>IF(ISERROR((CY386/CQ386-1)*100),"NA",IF(((CY386/CQ386-1)*100)&gt;100,"NM",IF(((CY386/CQ386-1)*100)&lt;-50,"NM",(CY386/CQ386-1)*100)))</f>
        <v>-3.7351443123939121</v>
      </c>
      <c r="DA386" s="35">
        <f>DA144+DA190+DA223+DA254+DA288</f>
        <v>54.2</v>
      </c>
      <c r="DB386" s="265">
        <f>IF(ISERROR((DA386/CS386-1)*100),"NA",IF(((DA386/CS386-1)*100)&gt;100,"NM",IF(((DA386/CS386-1)*100)&lt;-50,"NM",(DA386/CS386-1)*100)))</f>
        <v>-6.7125645438898429</v>
      </c>
      <c r="DC386" s="35">
        <f>DC144+DC190+DC223+DC254+DC288</f>
        <v>56.8</v>
      </c>
      <c r="DD386" s="265">
        <f>IF(ISERROR((DC386/CU386-1)*100),"NA",IF(((DC386/CU386-1)*100)&gt;100,"NM",IF(((DC386/CU386-1)*100)&lt;-50,"NM",(DC386/CU386-1)*100)))</f>
        <v>6.367041198501866</v>
      </c>
      <c r="DE386" s="35">
        <f>DE144+DE190+DE223+DE254+DE288</f>
        <v>53.8</v>
      </c>
      <c r="DF386" s="265">
        <f>IF(ISERROR((DE386/CW386-1)*100),"NA",IF(((DE386/CW386-1)*100)&gt;100,"NM",IF(((DE386/CW386-1)*100)&lt;-50,"NM",(DE386/CW386-1)*100)))</f>
        <v>-13.920000000000011</v>
      </c>
      <c r="DG386" s="35">
        <f>DG144+DG190+DG223+DG254+DG288</f>
        <v>54.899999999999991</v>
      </c>
      <c r="DH386" s="265">
        <f>IF(ISERROR((DG386/CY386-1)*100),"NA",IF(((DG386/CY386-1)*100)&gt;100,"NM",IF(((DG386/CY386-1)*100)&lt;-50,"NM",(DG386/CY386-1)*100)))</f>
        <v>-3.1746031746031744</v>
      </c>
      <c r="DI386" s="35">
        <f>DI144+DI190+DI223+DI254+DI288</f>
        <v>54.599999999999994</v>
      </c>
      <c r="DJ386" s="265">
        <f>IF(ISERROR((DI386/DA386-1)*100),"NA",IF(((DI386/DA386-1)*100)&gt;100,"NM",IF(((DI386/DA386-1)*100)&lt;-50,"NM",(DI386/DA386-1)*100)))</f>
        <v>0.73800738007379074</v>
      </c>
      <c r="DK386" s="35">
        <f>DK144+DK190+DK223+DK254+DK288</f>
        <v>55.699999999999989</v>
      </c>
      <c r="DL386" s="81">
        <f>IF(ISERROR((DK386/DC386-1)*100),"NA",IF(((DK386/DC386-1)*100)&gt;100,"NM",IF(((DK386/DC386-1)*100)&lt;-50,"NM",(DK386/DC386-1)*100)))</f>
        <v>-1.9366197183098732</v>
      </c>
      <c r="DM386" s="35">
        <f>DM144+DM190+DM223+DM254+DM288</f>
        <v>54.4</v>
      </c>
      <c r="DN386" s="81">
        <f>IF(ISERROR((DM386/DE386-1)*100),"NA",IF(((DM386/DE386-1)*100)&gt;100,"NM",IF(((DM386/DE386-1)*100)&lt;-50,"NM",(DM386/DE386-1)*100)))</f>
        <v>1.1152416356877248</v>
      </c>
      <c r="DO386" s="35">
        <f>DO144+DO190+DO223+DO254+DO288</f>
        <v>54.7</v>
      </c>
      <c r="DP386" s="81">
        <f>IF(ISERROR((DO386/DG386-1)*100),"NA",IF(((DO386/DG386-1)*100)&gt;100,"NM",IF(((DO386/DG386-1)*100)&lt;-50,"NM",(DO386/DG386-1)*100)))</f>
        <v>-0.36429872495443716</v>
      </c>
      <c r="DQ386" s="35">
        <f>DQ144+DQ190+DQ223+DQ254+DQ288</f>
        <v>51.5</v>
      </c>
      <c r="DR386" s="81">
        <f>IF(ISERROR((DQ386/DI386-1)*100),"NA",IF(((DQ386/DI386-1)*100)&gt;100,"NM",IF(((DQ386/DI386-1)*100)&lt;-50,"NM",(DQ386/DI386-1)*100)))</f>
        <v>-5.6776556776556681</v>
      </c>
      <c r="DS386" s="35">
        <f>DS144+DS190+DS223+DS254+DS288</f>
        <v>50.9</v>
      </c>
      <c r="DT386" s="81">
        <f>IF(ISERROR((DS386/DK386-1)*100),"NA",IF(((DS386/DK386-1)*100)&gt;100,"NM",IF(((DS386/DK386-1)*100)&lt;-50,"NM",(DS386/DK386-1)*100)))</f>
        <v>-8.6175942549371438</v>
      </c>
      <c r="DU386" s="35">
        <f>DU144+DU190+DU223+DU254+DU288</f>
        <v>52</v>
      </c>
      <c r="DV386" s="81">
        <f>IF(ISERROR((DU386/DM386-1)*100),"NA",IF(((DU386/DM386-1)*100)&gt;100,"NM",IF(((DU386/DM386-1)*100)&lt;-50,"NM",(DU386/DM386-1)*100)))</f>
        <v>-4.4117647058823479</v>
      </c>
      <c r="DW386" s="35">
        <f>DW144+DW190+DW223+DW254+DW288</f>
        <v>51.099999999999994</v>
      </c>
      <c r="DX386" s="81">
        <f>IF(ISERROR((DW386/DO386-1)*100),"NA",IF(((DW386/DO386-1)*100)&gt;100,"NM",IF(((DW386/DO386-1)*100)&lt;-50,"NM",(DW386/DO386-1)*100)))</f>
        <v>-6.5813528336380429</v>
      </c>
      <c r="DY386" s="35">
        <f>DY144+DY190+DY223+DY254+DY288</f>
        <v>51.5</v>
      </c>
      <c r="DZ386" s="81">
        <f>IF(ISERROR((DY386/DQ386-1)*100),"NA",IF(((DY386/DQ386-1)*100)&gt;100,"NM",IF(((DY386/DQ386-1)*100)&lt;-50,"NM",(DY386/DQ386-1)*100)))</f>
        <v>0</v>
      </c>
      <c r="EA386" s="35">
        <f>EA144+EA190+EA223+EA254+EA288</f>
        <v>50.999999999999993</v>
      </c>
      <c r="EB386" s="81">
        <f>IF(ISERROR((EA386/DS386-1)*100),"NA",IF(((EA386/DS386-1)*100)&gt;100,"NM",IF(((EA386/DS386-1)*100)&lt;-50,"NM",(EA386/DS386-1)*100)))</f>
        <v>0.19646365422396617</v>
      </c>
      <c r="EC386" s="35">
        <f>EC144+EC190+EC223+EC254+EC288</f>
        <v>50.199999999999996</v>
      </c>
      <c r="ED386" s="81">
        <f t="shared" si="1106"/>
        <v>-3.4615384615384714</v>
      </c>
      <c r="EE386" s="35">
        <f>EE144+EE190+EE223+EE254+EE288</f>
        <v>51.2</v>
      </c>
      <c r="EF386" s="81">
        <f t="shared" si="1107"/>
        <v>0.19569471624267809</v>
      </c>
      <c r="EG386" s="35">
        <f>EG144+EG190+EG223+EG254+EG288</f>
        <v>46.1</v>
      </c>
      <c r="EH386" s="81">
        <f t="shared" si="1108"/>
        <v>-10.485436893203881</v>
      </c>
      <c r="EI386" s="35">
        <f>EI144+EI190+EI223+EI254+EI288</f>
        <v>49.6</v>
      </c>
      <c r="EJ386" s="81">
        <f t="shared" si="1109"/>
        <v>-2.7450980392156654</v>
      </c>
      <c r="EK386" s="35">
        <f t="shared" ref="EK386:EQ386" si="1116">EK144+EK190+EK223+EK254+EK288</f>
        <v>48.131499999999996</v>
      </c>
      <c r="EL386" s="81">
        <f t="shared" si="1111"/>
        <v>-4.1205179282868487</v>
      </c>
      <c r="EM386" s="35">
        <f t="shared" si="1116"/>
        <v>48.418707499999996</v>
      </c>
      <c r="EN386" s="81">
        <f t="shared" si="1112"/>
        <v>-5.4322119140625125</v>
      </c>
      <c r="EO386" s="35">
        <f t="shared" si="1116"/>
        <v>48.923659312499993</v>
      </c>
      <c r="EP386" s="81">
        <f t="shared" si="1113"/>
        <v>6.1250744305856752</v>
      </c>
      <c r="EQ386" s="35">
        <f t="shared" si="1116"/>
        <v>48.915392799437498</v>
      </c>
      <c r="ER386" s="81">
        <f t="shared" si="1114"/>
        <v>-1.3802564527469863</v>
      </c>
      <c r="ES386" s="129"/>
      <c r="ET386" s="470"/>
      <c r="EU386" s="129"/>
      <c r="EV386" s="129"/>
      <c r="EW386" s="79"/>
      <c r="EX386" s="129"/>
      <c r="EY386" s="79"/>
      <c r="EZ386" s="129"/>
      <c r="FA386" s="79"/>
      <c r="FB386" s="35">
        <f>FB144+FB190+FB223+FB254+FB315+FB340</f>
        <v>229.70000000000002</v>
      </c>
      <c r="FC386" s="79" t="str">
        <f>IF(ISERROR((FB386/EZ386-1)*100),"NA",IF(((FB386/EZ386-1)*100)&gt;100,"NM",IF(((FB386/EZ386-1)*100)&lt;-50,"NM",(FB386/EZ386-1)*100)))</f>
        <v>NA</v>
      </c>
      <c r="FD386" s="35">
        <f>FD144+FD190+FD223+FD254+FD315+FD340</f>
        <v>388.20000000000005</v>
      </c>
      <c r="FE386" s="79">
        <f>IF(ISERROR((FD386/FB386-1)*100),"NA",IF(((FD386/FB386-1)*100)&gt;100,"NM",IF(((FD386/FB386-1)*100)&lt;-50,"NM",(FD386/FB386-1)*100)))</f>
        <v>69.003047453199827</v>
      </c>
      <c r="FF386" s="35">
        <f>FF144+FF190+FF223+FF254+FF315+FF340</f>
        <v>391.29999999999995</v>
      </c>
      <c r="FG386" s="79">
        <f>IF(ISERROR((FF386/FD386-1)*100),"NA",IF(((FF386/FD386-1)*100)&gt;100,"NM",IF(((FF386/FD386-1)*100)&lt;-50,"NM",(FF386/FD386-1)*100)))</f>
        <v>0.79855744461614364</v>
      </c>
      <c r="FH386" s="35">
        <f>FH144+FH190+FH223+FH254+FH315+FH340</f>
        <v>437.4</v>
      </c>
      <c r="FI386" s="79">
        <f>IF(ISERROR((FH386/FF386-1)*100),"NA",IF(((FH386/FF386-1)*100)&gt;100,"NM",IF(((FH386/FF386-1)*100)&lt;-50,"NM",(FH386/FF386-1)*100)))</f>
        <v>11.781242013800153</v>
      </c>
      <c r="FJ386" s="35">
        <f>FJ144+FJ190+FJ223+FJ254+FJ288</f>
        <v>389.8</v>
      </c>
      <c r="FK386" s="79">
        <f>IF(ISERROR((FJ386/FH386-1)*100),"NA",IF(((FJ386/FH386-1)*100)&gt;100,"NM",IF(((FJ386/FH386-1)*100)&lt;-50,"NM",(FJ386/FH386-1)*100)))</f>
        <v>-10.882487425697295</v>
      </c>
      <c r="FL386" s="35">
        <f>FL144+FL190+FL223+FL254+FL288</f>
        <v>356.20000000000005</v>
      </c>
      <c r="FM386" s="79">
        <f>IF(ISERROR((FL386/FJ386-1)*100),"NA",IF(((FL386/FJ386-1)*100)&gt;100,"NM",IF(((FL386/FJ386-1)*100)&lt;-50,"NM",(FL386/FJ386-1)*100)))</f>
        <v>-8.619805028219595</v>
      </c>
      <c r="FN386" s="35">
        <f>FN144+FN190+FN223+FN254+FN288</f>
        <v>274.09999999999997</v>
      </c>
      <c r="FO386" s="79">
        <f>IF(ISERROR((FN386/FL386-1)*100),"NA",IF(((FN386/FL386-1)*100)&gt;100,"NM",IF(((FN386/FL386-1)*100)&lt;-50,"NM",(FN386/FL386-1)*100)))</f>
        <v>-23.04884896125774</v>
      </c>
      <c r="FP386" s="35">
        <f>FP144+FP190+FP223+FP254+FP288</f>
        <v>272.5</v>
      </c>
      <c r="FQ386" s="79">
        <f>IF(ISERROR((FP386/FN386-1)*100),"NA",IF(((FP386/FN386-1)*100)&gt;100,"NM",IF(((FP386/FN386-1)*100)&lt;-50,"NM",(FP386/FN386-1)*100)))</f>
        <v>-0.58372856621670133</v>
      </c>
      <c r="FR386" s="35">
        <f>FR144+FR190+FR223+FR254+FR288</f>
        <v>257.2</v>
      </c>
      <c r="FS386" s="79">
        <f>IF(ISERROR((FR386/FP386-1)*100),"NA",IF(((FR386/FP386-1)*100)&gt;100,"NM",IF(((FR386/FP386-1)*100)&lt;-50,"NM",(FR386/FP386-1)*100)))</f>
        <v>-5.6146788990825698</v>
      </c>
      <c r="FT386" s="35">
        <f>FT144+FT190+FT223+FT254+FT288</f>
        <v>241.60000000000002</v>
      </c>
      <c r="FU386" s="79">
        <f>IF(ISERROR((FT386/FR386-1)*100),"NA",IF(((FT386/FR386-1)*100)&gt;100,"NM",IF(((FT386/FR386-1)*100)&lt;-50,"NM",(FT386/FR386-1)*100)))</f>
        <v>-6.0653188180404216</v>
      </c>
      <c r="FV386" s="35">
        <f>FV144+FV190+FV223+FV254+FV288</f>
        <v>249.1</v>
      </c>
      <c r="FW386" s="79">
        <f>IF(ISERROR((FV386/FT386-1)*100),"NA",IF(((FV386/FT386-1)*100)&gt;100,"NM",IF(((FV386/FT386-1)*100)&lt;-50,"NM",(FV386/FT386-1)*100)))</f>
        <v>3.1043046357615678</v>
      </c>
      <c r="FX386" s="35">
        <f>FX144+FX190+FX223+FX254+FX288</f>
        <v>227.90000000000003</v>
      </c>
      <c r="FY386" s="79">
        <f>IF(ISERROR((FX386/FV386-1)*100),"NA",IF(((FX386/FV386-1)*100)&gt;100,"NM",IF(((FX386/FV386-1)*100)&lt;-50,"NM",(FX386/FV386-1)*100)))</f>
        <v>-8.510638297872319</v>
      </c>
      <c r="FZ386" s="35">
        <f>FZ144+FZ190+FZ223+FZ254+FZ288</f>
        <v>230.19999999999996</v>
      </c>
      <c r="GA386" s="79">
        <f>IF(ISERROR((FZ386/FX386-1)*100),"NA",IF(((FZ386/FX386-1)*100)&gt;100,"NM",IF(((FZ386/FX386-1)*100)&lt;-50,"NM",(FZ386/FX386-1)*100)))</f>
        <v>1.0092145677928599</v>
      </c>
      <c r="GB386" s="35">
        <f>GB144+GB190+GB223+GB254+GB288</f>
        <v>219</v>
      </c>
      <c r="GC386" s="79">
        <f>IF(ISERROR((GB386/FZ386-1)*100),"NA",IF(((GB386/FZ386-1)*100)&gt;100,"NM",IF(((GB386/FZ386-1)*100)&lt;-50,"NM",(GB386/FZ386-1)*100)))</f>
        <v>-4.8653344917462871</v>
      </c>
      <c r="GD386" s="35">
        <f>GD144+GD190+GD223+GD254+GD288</f>
        <v>211.5</v>
      </c>
      <c r="GE386" s="79">
        <f>IF(ISERROR((GD386/GB386-1)*100),"NA",IF(((GD386/GB386-1)*100)&gt;100,"NM",IF(((GD386/GB386-1)*100)&lt;-50,"NM",(GD386/GB386-1)*100)))</f>
        <v>-3.4246575342465779</v>
      </c>
      <c r="GF386" s="35">
        <f>GF144+GF190+GF223+GF254+GF288</f>
        <v>205.6</v>
      </c>
      <c r="GG386" s="79">
        <f>IF(ISERROR((GF386/GD386-1)*100),"NA",IF(((GF386/GD386-1)*100)&gt;100,"NM",IF(((GF386/GD386-1)*100)&lt;-50,"NM",(GF386/GD386-1)*100)))</f>
        <v>-2.7895981087470489</v>
      </c>
      <c r="GH386" s="35">
        <f>GH144+GH190+GH223+GH254+GH288</f>
        <v>197.1</v>
      </c>
      <c r="GI386" s="79">
        <f>IF(ISERROR((GH386/GF386-1)*100),"NA",IF(((GH386/GF386-1)*100)&gt;100,"NM",IF(((GH386/GF386-1)*100)&lt;-50,"NM",(GH386/GF386-1)*100)))</f>
        <v>-4.1342412451361827</v>
      </c>
      <c r="GJ386" s="35">
        <f>GJ144+GJ190+GJ223+GJ254+GJ288</f>
        <v>194.38925961193749</v>
      </c>
      <c r="GK386" s="79">
        <f>IF(ISERROR((GJ386/GH386-1)*100),"NA",IF(((GJ386/GH386-1)*100)&gt;100,"NM",IF(((GJ386/GH386-1)*100)&lt;-50,"NM",(GJ386/GH386-1)*100)))</f>
        <v>-1.3753122212392221</v>
      </c>
      <c r="GL386" s="35">
        <f>GL144+GL190+GL223+GL254+GL288</f>
        <v>197.55921496479874</v>
      </c>
      <c r="GM386" s="79">
        <f>IF(ISERROR((GL386/GJ386-1)*100),"NA",IF(((GL386/GJ386-1)*100)&gt;100,"NM",IF(((GL386/GJ386-1)*100)&lt;-50,"NM",(GL386/GJ386-1)*100)))</f>
        <v>1.63072556538848</v>
      </c>
      <c r="GN386" s="35">
        <f>GN144+GN190+GN223+GN254+GN288</f>
        <v>200.95655582300839</v>
      </c>
      <c r="GO386" s="79">
        <f>IF(ISERROR((GN386/GL386-1)*100),"NA",IF(((GN386/GL386-1)*100)&gt;100,"NM",IF(((GN386/GL386-1)*100)&lt;-50,"NM",(GN386/GL386-1)*100)))</f>
        <v>1.719656994392782</v>
      </c>
      <c r="GP386" s="35">
        <f>GP144+GP190+GP223+GP254+GP288</f>
        <v>204.58885316848574</v>
      </c>
      <c r="GQ386" s="79">
        <f>IF(ISERROR((GP386/GN386-1)*100),"NA",IF(((GP386/GN386-1)*100)&gt;100,"NM",IF(((GP386/GN386-1)*100)&lt;-50,"NM",(GP386/GN386-1)*100)))</f>
        <v>1.8075037814026196</v>
      </c>
      <c r="GR386" s="35">
        <f>GR144+GR190+GR223+GR254+GR288</f>
        <v>208.46404012562928</v>
      </c>
      <c r="GS386" s="79">
        <f>IF(ISERROR((GR386/GP386-1)*100),"NA",IF(((GR386/GP386-1)*100)&gt;100,"NM",IF(((GR386/GP386-1)*100)&lt;-50,"NM",(GR386/GP386-1)*100)))</f>
        <v>1.8941339653300693</v>
      </c>
      <c r="GT386" s="79">
        <f>IF(ISERROR(((GR386/GH386)^0.2-1)*100),"NA",(IF(OR(((GR386/GH386)^0.2-1)*100&gt;99,((GR386/GH386)^0.2-1)*100&lt;-50),"NM",(((GR386/GH386)^0.2-1)*100))))</f>
        <v>1.1274148095208991</v>
      </c>
    </row>
    <row r="387" spans="1:286" ht="12.75" customHeight="1" x14ac:dyDescent="0.2">
      <c r="A387" s="1" t="s">
        <v>119</v>
      </c>
      <c r="B387" s="310" t="s">
        <v>267</v>
      </c>
      <c r="C387" s="79"/>
      <c r="D387" s="79"/>
      <c r="E387" s="35">
        <v>2342.1</v>
      </c>
      <c r="F387" s="129"/>
      <c r="G387" s="35">
        <v>2364.5</v>
      </c>
      <c r="H387" s="129"/>
      <c r="I387" s="35">
        <v>2386.5</v>
      </c>
      <c r="J387" s="129"/>
      <c r="K387" s="35">
        <v>2342.3000000000002</v>
      </c>
      <c r="L387" s="79"/>
      <c r="M387" s="35">
        <v>2330.4</v>
      </c>
      <c r="N387" s="79">
        <v>-0.49955168438575726</v>
      </c>
      <c r="O387" s="35">
        <v>2396</v>
      </c>
      <c r="P387" s="79">
        <v>1.332205540283371</v>
      </c>
      <c r="Q387" s="35">
        <v>2423</v>
      </c>
      <c r="R387" s="79">
        <v>1.5294364131573479</v>
      </c>
      <c r="S387" s="35">
        <v>2418.8000000000002</v>
      </c>
      <c r="T387" s="79">
        <v>3.2660205780642881</v>
      </c>
      <c r="U387" s="35">
        <v>2479.9</v>
      </c>
      <c r="V387" s="79">
        <v>6.4152076896670129</v>
      </c>
      <c r="W387" s="35">
        <v>2555.6999999999998</v>
      </c>
      <c r="X387" s="79">
        <v>6.6652754590984964</v>
      </c>
      <c r="Y387" s="35">
        <v>2582.1</v>
      </c>
      <c r="Z387" s="79">
        <v>6.566240198101525</v>
      </c>
      <c r="AA387" s="34">
        <v>2547.6999999999998</v>
      </c>
      <c r="AB387" s="79">
        <f>IF(ISERROR((AA387/S387-1)*100),"NA",IF(((AA387/S387-1)*100)&gt;100,"NM",IF(((AA387/S387-1)*100)&lt;-50,"NM",(AA387/S387-1)*100)))</f>
        <v>5.329088804365778</v>
      </c>
      <c r="AC387" s="35">
        <f>SUM(AC384:AC386)</f>
        <v>2598.2999999999997</v>
      </c>
      <c r="AD387" s="79">
        <f>IF(ISERROR((AC387/U387-1)*100),"NA",IF(((AC387/U387-1)*100)&gt;100,"NM",IF(((AC387/U387-1)*100)&lt;-50,"NM",(AC387/U387-1)*100)))</f>
        <v>4.7743860639541724</v>
      </c>
      <c r="AE387" s="35">
        <f>SUM(AE384:AE386)</f>
        <v>2595.8000000000002</v>
      </c>
      <c r="AF387" s="79">
        <f>IF(ISERROR((AE387/W387-1)*100),"NA",IF(((AE387/W387-1)*100)&gt;100,"NM",IF(((AE387/W387-1)*100)&lt;-50,"NM",(AE387/W387-1)*100)))</f>
        <v>1.5690417498141596</v>
      </c>
      <c r="AG387" s="35">
        <f>SUM(AG384:AG386)</f>
        <v>2590.8000000000002</v>
      </c>
      <c r="AH387" s="79">
        <f>IF(ISERROR((AG387/Y387-1)*100),"NA",IF(((AG387/Y387-1)*100)&gt;100,"NM",IF(((AG387/Y387-1)*100)&lt;-50,"NM",(AG387/Y387-1)*100)))</f>
        <v>0.33693505286396253</v>
      </c>
      <c r="AI387" s="35">
        <f>SUM(AI384:AI386)</f>
        <v>2650.8</v>
      </c>
      <c r="AJ387" s="79">
        <f>IF(ISERROR((AI387/AA387-1)*100),"NA",IF(((AI387/AA387-1)*100)&gt;100,"NM",IF(((AI387/AA387-1)*100)&lt;-50,"NM",(AI387/AA387-1)*100)))</f>
        <v>4.0467872983475539</v>
      </c>
      <c r="AK387" s="35">
        <f>SUM(AK384:AK386)</f>
        <v>2575.1</v>
      </c>
      <c r="AL387" s="79">
        <f>IF(ISERROR((AK387/AC387-1)*100),"NA",IF(((AK387/AC387-1)*100)&gt;100,"NM",IF(((AK387/AC387-1)*100)&lt;-50,"NM",(AK387/AC387-1)*100)))</f>
        <v>-0.89289150598467204</v>
      </c>
      <c r="AM387" s="35">
        <f>SUM(AM384:AM386)</f>
        <v>2591.1999999999998</v>
      </c>
      <c r="AN387" s="79">
        <f>IF(ISERROR((AM387/AE387-1)*100),"NA",IF(((AM387/AE387-1)*100)&gt;100,"NM",IF(((AM387/AE387-1)*100)&lt;-50,"NM",(AM387/AE387-1)*100)))</f>
        <v>-0.17720933816165463</v>
      </c>
      <c r="AO387" s="35">
        <f>SUM(AO384:AO386)</f>
        <v>2609.6</v>
      </c>
      <c r="AP387" s="79">
        <f>IF(ISERROR((AO387/AG387-1)*100),"NA",IF(((AO387/AG387-1)*100)&gt;100,"NM",IF(((AO387/AG387-1)*100)&lt;-50,"NM",(AO387/AG387-1)*100)))</f>
        <v>0.7256445885440721</v>
      </c>
      <c r="AQ387" s="35">
        <f>SUM(AQ384:AQ386)</f>
        <v>2617.8000000000002</v>
      </c>
      <c r="AR387" s="79">
        <f>IF(ISERROR((AQ387/AI387-1)*100),"NA",IF(((AQ387/AI387-1)*100)&gt;100,"NM",IF(((AQ387/AI387-1)*100)&lt;-50,"NM",(AQ387/AI387-1)*100)))</f>
        <v>-1.244907197827072</v>
      </c>
      <c r="AS387" s="35">
        <f>SUM(AS384:AS386)</f>
        <v>2597.6000000000004</v>
      </c>
      <c r="AT387" s="81">
        <f>IF(ISERROR((AS387/AK387-1)*100),"NA",IF(((AS387/AK387-1)*100)&gt;100,"NM",IF(((AS387/AK387-1)*100)&lt;-50,"NM",(AS387/AK387-1)*100)))</f>
        <v>0.87375247563203917</v>
      </c>
      <c r="AU387" s="35">
        <f>SUM(AU384:AU386)</f>
        <v>2673.8</v>
      </c>
      <c r="AV387" s="81">
        <f>IF(ISERROR((AU387/AM387-1)*100),"NA",IF(((AU387/AM387-1)*100)&gt;100,"NM",IF(((AU387/AM387-1)*100)&lt;-50,"NM",(AU387/AM387-1)*100)))</f>
        <v>3.1877122568694238</v>
      </c>
      <c r="AW387" s="35">
        <f>SUM(AW384:AW386)</f>
        <v>2658.2000000000003</v>
      </c>
      <c r="AX387" s="81">
        <f>IF(ISERROR((AW387/AO387-1)*100),"NA",IF(((AW387/AO387-1)*100)&gt;100,"NM",IF(((AW387/AO387-1)*100)&lt;-50,"NM",(AW387/AO387-1)*100)))</f>
        <v>1.8623543838136358</v>
      </c>
      <c r="AY387" s="35">
        <f>SUM(AY384:AY386)</f>
        <v>2695.4</v>
      </c>
      <c r="AZ387" s="81">
        <f>IF(ISERROR((AY387/AQ387-1)*100),"NA",IF(((AY387/AQ387-1)*100)&gt;100,"NM",IF(((AY387/AQ387-1)*100)&lt;-50,"NM",(AY387/AQ387-1)*100)))</f>
        <v>2.964321185728469</v>
      </c>
      <c r="BA387" s="35">
        <f>SUM(BA384:BA386)</f>
        <v>2604.3000000000002</v>
      </c>
      <c r="BB387" s="81">
        <f>IF(ISERROR((BA387/AS387-1)*100),"NA",IF(((BA387/AS387-1)*100)&gt;100,"NM",IF(((BA387/AS387-1)*100)&lt;-50,"NM",(BA387/AS387-1)*100)))</f>
        <v>0.25793039728980727</v>
      </c>
      <c r="BC387" s="35">
        <f>SUM(BC384:BC386)</f>
        <v>2655.2</v>
      </c>
      <c r="BD387" s="81">
        <f>IF(ISERROR((BC387/AU387-1)*100),"NA",IF(((BC387/AU387-1)*100)&gt;100,"NM",IF(((BC387/AU387-1)*100)&lt;-50,"NM",(BC387/AU387-1)*100)))</f>
        <v>-0.69563916523301961</v>
      </c>
      <c r="BE387" s="35">
        <f>SUM(BE384:BE386)</f>
        <v>2656.2</v>
      </c>
      <c r="BF387" s="81">
        <f>IF(ISERROR((BE387/AW387-1)*100),"NA",IF(((BE387/AW387-1)*100)&gt;100,"NM",IF(((BE387/AW387-1)*100)&lt;-50,"NM",(BE387/AW387-1)*100)))</f>
        <v>-7.5238883454986638E-2</v>
      </c>
      <c r="BG387" s="35">
        <f>SUM(BG384:BG386)</f>
        <v>2669.3</v>
      </c>
      <c r="BH387" s="81">
        <f>IF(ISERROR((BG387/AY387-1)*100),"NA",IF(((BG387/AY387-1)*100)&gt;100,"NM",IF(((BG387/AY387-1)*100)&lt;-50,"NM",(BG387/AY387-1)*100)))</f>
        <v>-0.96831639088817978</v>
      </c>
      <c r="BI387" s="35">
        <f>SUM(BI384:BI386)</f>
        <v>2609.1</v>
      </c>
      <c r="BJ387" s="81">
        <f>IF(ISERROR((BI387/BA387-1)*100),"NA",IF(((BI387/BA387-1)*100)&gt;100,"NM",IF(((BI387/BA387-1)*100)&lt;-50,"NM",(BI387/BA387-1)*100)))</f>
        <v>0.18431056329915041</v>
      </c>
      <c r="BK387" s="35">
        <f>SUM(BK384:BK386)</f>
        <v>2649.2</v>
      </c>
      <c r="BL387" s="81">
        <f>IF(ISERROR((BK387/BC387-1)*100),"NA",IF(((BK387/BC387-1)*100)&gt;100,"NM",IF(((BK387/BC387-1)*100)&lt;-50,"NM",(BK387/BC387-1)*100)))</f>
        <v>-0.22597167821633013</v>
      </c>
      <c r="BM387" s="35">
        <f>SUM(BM384:BM386)</f>
        <v>2608.5</v>
      </c>
      <c r="BN387" s="81">
        <f>IF(ISERROR((BM387/BE387-1)*100),"NA",IF(((BM387/BE387-1)*100)&gt;100,"NM",IF(((BM387/BE387-1)*100)&lt;-50,"NM",(BM387/BE387-1)*100)))</f>
        <v>-1.7957985091484052</v>
      </c>
      <c r="BO387" s="35">
        <f>SUM(BO384:BO386)</f>
        <v>2581.4</v>
      </c>
      <c r="BP387" s="81">
        <f>IF(ISERROR((BO387/BG387-1)*100),"NA",IF(((BO387/BG387-1)*100)&gt;100,"NM",IF(((BO387/BG387-1)*100)&lt;-50,"NM",(BO387/BG387-1)*100)))</f>
        <v>-3.2929981643127437</v>
      </c>
      <c r="BQ387" s="35">
        <f>SUM(BQ384:BQ386)</f>
        <v>2513.5</v>
      </c>
      <c r="BR387" s="81">
        <f>IF(ISERROR((BQ387/BI387-1)*100),"NA",IF(((BQ387/BI387-1)*100)&gt;100,"NM",IF(((BQ387/BI387-1)*100)&lt;-50,"NM",(BQ387/BI387-1)*100)))</f>
        <v>-3.6640987313632967</v>
      </c>
      <c r="BS387" s="35">
        <f>SUM(BS384:BS386)</f>
        <v>2540.6999999999998</v>
      </c>
      <c r="BT387" s="81">
        <f>IF(ISERROR((BS387/BK387-1)*100),"NA",IF(((BS387/BK387-1)*100)&gt;100,"NM",IF(((BS387/BK387-1)*100)&lt;-50,"NM",(BS387/BK387-1)*100)))</f>
        <v>-4.0955760229503202</v>
      </c>
      <c r="BU387" s="35">
        <f>SUM(BU384:BU386)</f>
        <v>2502.6</v>
      </c>
      <c r="BV387" s="81">
        <f>IF(ISERROR((BU387/BM387-1)*100),"NA",IF(((BU387/BM387-1)*100)&gt;100,"NM",IF(((BU387/BM387-1)*100)&lt;-50,"NM",(BU387/BM387-1)*100)))</f>
        <v>-4.0598044853364046</v>
      </c>
      <c r="BW387" s="35">
        <f>SUM(BW384:BW386)</f>
        <v>2522.5</v>
      </c>
      <c r="BX387" s="81">
        <f>IF(ISERROR((BW387/BO387-1)*100),"NA",IF(((BW387/BO387-1)*100)&gt;100,"NM",IF(((BW387/BO387-1)*100)&lt;-50,"NM",(BW387/BO387-1)*100)))</f>
        <v>-2.28170760052685</v>
      </c>
      <c r="BY387" s="35">
        <f>SUM(BY384:BY386)</f>
        <v>2536.0000000000005</v>
      </c>
      <c r="BZ387" s="81">
        <f>IF(ISERROR((BY387/BQ387-1)*100),"NA",IF(((BY387/BQ387-1)*100)&gt;100,"NM",IF(((BY387/BQ387-1)*100)&lt;-50,"NM",(BY387/BQ387-1)*100)))</f>
        <v>0.89516610304358757</v>
      </c>
      <c r="CA387" s="35">
        <f>SUM(CA384:CA386)</f>
        <v>2540.1000000000004</v>
      </c>
      <c r="CB387" s="81">
        <f>IF(ISERROR((CA387/BS387-1)*100),"NA",IF(((CA387/BS387-1)*100)&gt;100,"NM",IF(((CA387/BS387-1)*100)&lt;-50,"NM",(CA387/BS387-1)*100)))</f>
        <v>-2.3615539024657295E-2</v>
      </c>
      <c r="CC387" s="35">
        <f>SUM(CC384:CC386)</f>
        <v>2526.7999999999997</v>
      </c>
      <c r="CD387" s="81">
        <f>IF(ISERROR((CC387/BU387-1)*100),"NA",IF(((CC387/BU387-1)*100)&gt;100,"NM",IF(((CC387/BU387-1)*100)&lt;-50,"NM",(CC387/BU387-1)*100)))</f>
        <v>0.96699432590106049</v>
      </c>
      <c r="CE387" s="35">
        <f>SUM(CE384:CE386)</f>
        <v>2565.6</v>
      </c>
      <c r="CF387" s="81">
        <f>IF(ISERROR((CE387/BW387-1)*100),"NA",IF(((CE387/BW387-1)*100)&gt;100,"NM",IF(((CE387/BW387-1)*100)&lt;-50,"NM",(CE387/BW387-1)*100)))</f>
        <v>1.7086223984142723</v>
      </c>
      <c r="CG387" s="35">
        <f>SUM(CG384:CG386)</f>
        <v>2547.8999999999996</v>
      </c>
      <c r="CH387" s="81">
        <f>IF(ISERROR((CG387/BY387-1)*100),"NA",IF(((CG387/BY387-1)*100)&gt;100,"NM",IF(((CG387/BY387-1)*100)&lt;-50,"NM",(CG387/BY387-1)*100)))</f>
        <v>0.46924290220817788</v>
      </c>
      <c r="CI387" s="35">
        <f>SUM(CI384:CI386)</f>
        <v>2568.1</v>
      </c>
      <c r="CJ387" s="81">
        <f>IF(ISERROR((CI387/CA387-1)*100),"NA",IF(((CI387/CA387-1)*100)&gt;100,"NM",IF(((CI387/CA387-1)*100)&lt;-50,"NM",(CI387/CA387-1)*100)))</f>
        <v>1.1023188063461919</v>
      </c>
      <c r="CK387" s="35">
        <f>SUM(CK384:CK386)</f>
        <v>2569.5000000000005</v>
      </c>
      <c r="CL387" s="81">
        <f>IF(ISERROR((CK387/CC387-1)*100),"NA",IF(((CK387/CC387-1)*100)&gt;100,"NM",IF(((CK387/CC387-1)*100)&lt;-50,"NM",(CK387/CC387-1)*100)))</f>
        <v>1.6898844388159251</v>
      </c>
      <c r="CM387" s="35">
        <f>SUM(CM384:CM386)</f>
        <v>2597.4</v>
      </c>
      <c r="CN387" s="81">
        <f>IF(ISERROR((CM387/CE387-1)*100),"NA",IF(((CM387/CE387-1)*100)&gt;100,"NM",IF(((CM387/CE387-1)*100)&lt;-50,"NM",(CM387/CE387-1)*100)))</f>
        <v>1.2394761459307846</v>
      </c>
      <c r="CO387" s="35">
        <f>SUM(CO384:CO386)</f>
        <v>2598.9</v>
      </c>
      <c r="CP387" s="81">
        <f>IF(ISERROR((CO387/CG387-1)*100),"NA",IF(((CO387/CG387-1)*100)&gt;100,"NM",IF(((CO387/CG387-1)*100)&lt;-50,"NM",(CO387/CG387-1)*100)))</f>
        <v>2.0016484163428938</v>
      </c>
      <c r="CQ387" s="35">
        <f>SUM(CQ384:CQ386)</f>
        <v>2620</v>
      </c>
      <c r="CR387" s="81">
        <f>IF(ISERROR((CQ387/CI387-1)*100),"NA",IF(((CQ387/CI387-1)*100)&gt;100,"NM",IF(((CQ387/CI387-1)*100)&lt;-50,"NM",(CQ387/CI387-1)*100)))</f>
        <v>2.0209493399789835</v>
      </c>
      <c r="CS387" s="35">
        <f>SUM(CS384:CS386)</f>
        <v>2606.6999999999998</v>
      </c>
      <c r="CT387" s="81">
        <f>IF(ISERROR((CS387/CK387-1)*100),"NA",IF(((CS387/CK387-1)*100)&gt;100,"NM",IF(((CS387/CK387-1)*100)&lt;-50,"NM",(CS387/CK387-1)*100)))</f>
        <v>1.44775248102742</v>
      </c>
      <c r="CU387" s="35">
        <f>SUM(CU384:CU386)</f>
        <v>2633.6</v>
      </c>
      <c r="CV387" s="81">
        <f>IF(ISERROR((CU387/CM387-1)*100),"NA",IF(((CU387/CM387-1)*100)&gt;100,"NM",IF(((CU387/CM387-1)*100)&lt;-50,"NM",(CU387/CM387-1)*100)))</f>
        <v>1.3937013937013853</v>
      </c>
      <c r="CW387" s="35">
        <f>SUM(CW384:CW386)</f>
        <v>2618.1</v>
      </c>
      <c r="CX387" s="81">
        <f>IF(ISERROR((CW387/CO387-1)*100),"NA",IF(((CW387/CO387-1)*100)&gt;100,"NM",IF(((CW387/CO387-1)*100)&lt;-50,"NM",(CW387/CO387-1)*100)))</f>
        <v>0.73877409673321903</v>
      </c>
      <c r="CY387" s="35">
        <f>SUM(CY384:CY386)</f>
        <v>2592.3999999999996</v>
      </c>
      <c r="CZ387" s="81">
        <f>IF(ISERROR((CY387/CQ387-1)*100),"NA",IF(((CY387/CQ387-1)*100)&gt;100,"NM",IF(((CY387/CQ387-1)*100)&lt;-50,"NM",(CY387/CQ387-1)*100)))</f>
        <v>-1.0534351145038312</v>
      </c>
      <c r="DA387" s="35">
        <f>SUM(DA384:DA386)</f>
        <v>2570.4999999999995</v>
      </c>
      <c r="DB387" s="81">
        <f>IF(ISERROR((DA387/CS387-1)*100),"NA",IF(((DA387/CS387-1)*100)&gt;100,"NM",IF(((DA387/CS387-1)*100)&lt;-50,"NM",(DA387/CS387-1)*100)))</f>
        <v>-1.3887290443856282</v>
      </c>
      <c r="DC387" s="35">
        <f>SUM(DC384:DC386)</f>
        <v>2580.8000000000002</v>
      </c>
      <c r="DD387" s="81">
        <f>IF(ISERROR((DC387/CU387-1)*100),"NA",IF(((DC387/CU387-1)*100)&gt;100,"NM",IF(((DC387/CU387-1)*100)&lt;-50,"NM",(DC387/CU387-1)*100)))</f>
        <v>-2.0048602673146898</v>
      </c>
      <c r="DE387" s="35">
        <f>SUM(DE384:DE386)</f>
        <v>2608.1000000000004</v>
      </c>
      <c r="DF387" s="81">
        <f>IF(ISERROR((DE387/CW387-1)*100),"NA",IF(((DE387/CW387-1)*100)&gt;100,"NM",IF(((DE387/CW387-1)*100)&lt;-50,"NM",(DE387/CW387-1)*100)))</f>
        <v>-0.38195638058131642</v>
      </c>
      <c r="DG387" s="35">
        <f>SUM(DG384:DG386)</f>
        <v>2630.9</v>
      </c>
      <c r="DH387" s="81">
        <f>IF(ISERROR((DG387/CY387-1)*100),"NA",IF(((DG387/CY387-1)*100)&gt;100,"NM",IF(((DG387/CY387-1)*100)&lt;-50,"NM",(DG387/CY387-1)*100)))</f>
        <v>1.4851103224811091</v>
      </c>
      <c r="DI387" s="35">
        <f>SUM(DI384:DI386)</f>
        <v>2613.1</v>
      </c>
      <c r="DJ387" s="81">
        <f>IF(ISERROR((DI387/DA387-1)*100),"NA",IF(((DI387/DA387-1)*100)&gt;100,"NM",IF(((DI387/DA387-1)*100)&lt;-50,"NM",(DI387/DA387-1)*100)))</f>
        <v>1.657265123516849</v>
      </c>
      <c r="DK387" s="35">
        <f>SUM(DK384:DK386)</f>
        <v>2656.3</v>
      </c>
      <c r="DL387" s="81">
        <f>IF(ISERROR((DK387/DC387-1)*100),"NA",IF(((DK387/DC387-1)*100)&gt;100,"NM",IF(((DK387/DC387-1)*100)&lt;-50,"NM",(DK387/DC387-1)*100)))</f>
        <v>2.9254494730316161</v>
      </c>
      <c r="DM387" s="35">
        <f>SUM(DM384:DM386)</f>
        <v>2662.7000000000003</v>
      </c>
      <c r="DN387" s="81">
        <f>IF(ISERROR((DM387/DE387-1)*100),"NA",IF(((DM387/DE387-1)*100)&gt;100,"NM",IF(((DM387/DE387-1)*100)&lt;-50,"NM",(DM387/DE387-1)*100)))</f>
        <v>2.0934780108124551</v>
      </c>
      <c r="DO387" s="35">
        <f>SUM(DO384:DO386)</f>
        <v>2702.8999999999996</v>
      </c>
      <c r="DP387" s="81">
        <f>IF(ISERROR((DO387/DG387-1)*100),"NA",IF(((DO387/DG387-1)*100)&gt;100,"NM",IF(((DO387/DG387-1)*100)&lt;-50,"NM",(DO387/DG387-1)*100)))</f>
        <v>2.736706070166095</v>
      </c>
      <c r="DQ387" s="35">
        <f>SUM(DQ384:DQ386)</f>
        <v>2684.4</v>
      </c>
      <c r="DR387" s="81">
        <f>IF(ISERROR((DQ387/DI387-1)*100),"NA",IF(((DQ387/DI387-1)*100)&gt;100,"NM",IF(((DQ387/DI387-1)*100)&lt;-50,"NM",(DQ387/DI387-1)*100)))</f>
        <v>2.7285599479545342</v>
      </c>
      <c r="DS387" s="35">
        <f>SUM(DS384:DS386)</f>
        <v>2725.1</v>
      </c>
      <c r="DT387" s="81">
        <f>IF(ISERROR((DS387/DK387-1)*100),"NA",IF(((DS387/DK387-1)*100)&gt;100,"NM",IF(((DS387/DK387-1)*100)&lt;-50,"NM",(DS387/DK387-1)*100)))</f>
        <v>2.5900688928208293</v>
      </c>
      <c r="DU387" s="35">
        <f>SUM(DU384:DU386)</f>
        <v>2745.9</v>
      </c>
      <c r="DV387" s="81">
        <f>IF(ISERROR((DU387/DM387-1)*100),"NA",IF(((DU387/DM387-1)*100)&gt;100,"NM",IF(((DU387/DM387-1)*100)&lt;-50,"NM",(DU387/DM387-1)*100)))</f>
        <v>3.1246479137717387</v>
      </c>
      <c r="DW387" s="35">
        <f>SUM(DW384:DW386)</f>
        <v>2756</v>
      </c>
      <c r="DX387" s="81">
        <f>IF(ISERROR((DW387/DO387-1)*100),"NA",IF(((DW387/DO387-1)*100)&gt;100,"NM",IF(((DW387/DO387-1)*100)&lt;-50,"NM",(DW387/DO387-1)*100)))</f>
        <v>1.9645565873691373</v>
      </c>
      <c r="DY387" s="35">
        <f>SUM(DY384:DY386)</f>
        <v>2752.3</v>
      </c>
      <c r="DZ387" s="81">
        <f>IF(ISERROR((DY387/DQ387-1)*100),"NA",IF(((DY387/DQ387-1)*100)&gt;100,"NM",IF(((DY387/DQ387-1)*100)&lt;-50,"NM",(DY387/DQ387-1)*100)))</f>
        <v>2.5294292951870023</v>
      </c>
      <c r="EA387" s="35">
        <f>SUM(EA384:EA386)</f>
        <v>2768.1</v>
      </c>
      <c r="EB387" s="81">
        <f>IF(ISERROR((EA387/DS387-1)*100),"NA",IF(((EA387/DS387-1)*100)&gt;100,"NM",IF(((EA387/DS387-1)*100)&lt;-50,"NM",(EA387/DS387-1)*100)))</f>
        <v>1.5779237459175866</v>
      </c>
      <c r="EC387" s="35">
        <f>SUM(EC384:EC386)</f>
        <v>2795.4999999999995</v>
      </c>
      <c r="ED387" s="81">
        <f t="shared" si="1106"/>
        <v>1.8063294366145621</v>
      </c>
      <c r="EE387" s="35">
        <f>SUM(EE384:EE386)</f>
        <v>2813.8999999999996</v>
      </c>
      <c r="EF387" s="81">
        <f t="shared" si="1107"/>
        <v>2.1008708272859167</v>
      </c>
      <c r="EG387" s="35">
        <f>SUM(EG384:EG386)</f>
        <v>2808.7000000000003</v>
      </c>
      <c r="EH387" s="81">
        <f t="shared" si="1108"/>
        <v>2.0491952185444973</v>
      </c>
      <c r="EI387" s="35">
        <f>SUM(EI384:EI386)</f>
        <v>2827.8</v>
      </c>
      <c r="EJ387" s="81">
        <f t="shared" si="1109"/>
        <v>2.156713991546555</v>
      </c>
      <c r="EK387" s="35">
        <f t="shared" ref="EK387:EQ387" si="1117">SUM(EK384:EK386)</f>
        <v>2885.1399073549769</v>
      </c>
      <c r="EL387" s="81">
        <f t="shared" si="1111"/>
        <v>3.2065786927196305</v>
      </c>
      <c r="EM387" s="35">
        <f t="shared" si="1117"/>
        <v>2898.7710627842366</v>
      </c>
      <c r="EN387" s="81">
        <f t="shared" si="1112"/>
        <v>3.0161364221982678</v>
      </c>
      <c r="EO387" s="35">
        <f t="shared" si="1117"/>
        <v>2919.1887027623161</v>
      </c>
      <c r="EP387" s="81">
        <f t="shared" si="1113"/>
        <v>3.9338022132059614</v>
      </c>
      <c r="EQ387" s="35">
        <f t="shared" si="1117"/>
        <v>2923.8714870663948</v>
      </c>
      <c r="ER387" s="81">
        <f t="shared" si="1114"/>
        <v>3.3973932762711101</v>
      </c>
      <c r="ES387" s="129"/>
      <c r="ET387" s="470"/>
      <c r="EU387" s="129"/>
      <c r="EV387" s="129"/>
      <c r="EW387" s="79"/>
      <c r="EX387" s="129"/>
      <c r="EY387" s="79"/>
      <c r="EZ387" s="129"/>
      <c r="FA387" s="79"/>
      <c r="FB387" s="35">
        <f>SUM(FB384:FB386)</f>
        <v>1240.2</v>
      </c>
      <c r="FC387" s="79" t="str">
        <f>IF(ISERROR((FB387/EZ387-1)*100),"NA",IF(((FB387/EZ387-1)*100)&gt;100,"NM",IF(((FB387/EZ387-1)*100)&lt;-50,"NM",(FB387/EZ387-1)*100)))</f>
        <v>NA</v>
      </c>
      <c r="FD387" s="35">
        <f>SUM(FD384:FD386)</f>
        <v>9568.2000000000025</v>
      </c>
      <c r="FE387" s="79" t="str">
        <f>IF(ISERROR((FD387/FB387-1)*100),"NA",IF(((FD387/FB387-1)*100)&gt;100,"NM",IF(((FD387/FB387-1)*100)&lt;-50,"NM",(FD387/FB387-1)*100)))</f>
        <v>NM</v>
      </c>
      <c r="FF387" s="35">
        <f>SUM(FF384:FF386)</f>
        <v>10165.4</v>
      </c>
      <c r="FG387" s="79">
        <f>IF(ISERROR((FF387/FD387-1)*100),"NA",IF(((FF387/FD387-1)*100)&gt;100,"NM",IF(((FF387/FD387-1)*100)&lt;-50,"NM",(FF387/FD387-1)*100)))</f>
        <v>6.2415083296753604</v>
      </c>
      <c r="FH387" s="35">
        <f>SUM(FH384:FH386)</f>
        <v>10435.700000000001</v>
      </c>
      <c r="FI387" s="79">
        <f>IF(ISERROR((FH387/FF387-1)*100),"NA",IF(((FH387/FF387-1)*100)&gt;100,"NM",IF(((FH387/FF387-1)*100)&lt;-50,"NM",(FH387/FF387-1)*100)))</f>
        <v>2.6590198123044972</v>
      </c>
      <c r="FJ387" s="35">
        <f>SUM(FJ384:FJ386)</f>
        <v>10388.700000000001</v>
      </c>
      <c r="FK387" s="79">
        <f>IF(ISERROR((FJ387/FH387-1)*100),"NA",IF(((FJ387/FH387-1)*100)&gt;100,"NM",IF(((FJ387/FH387-1)*100)&lt;-50,"NM",(FJ387/FH387-1)*100)))</f>
        <v>-0.45037707101583946</v>
      </c>
      <c r="FL387" s="35">
        <f>SUM(FL384:FL386)</f>
        <v>10605.000000000002</v>
      </c>
      <c r="FM387" s="79">
        <f>IF(ISERROR((FL387/FJ387-1)*100),"NA",IF(((FL387/FJ387-1)*100)&gt;100,"NM",IF(((FL387/FJ387-1)*100)&lt;-50,"NM",(FL387/FJ387-1)*100)))</f>
        <v>2.0820699413786281</v>
      </c>
      <c r="FN387" s="35">
        <f>SUM(FN384:FN386)</f>
        <v>10580</v>
      </c>
      <c r="FO387" s="79">
        <f>IF(ISERROR((FN387/FL387-1)*100),"NA",IF(((FN387/FL387-1)*100)&gt;100,"NM",IF(((FN387/FL387-1)*100)&lt;-50,"NM",(FN387/FL387-1)*100)))</f>
        <v>-0.23573785950025128</v>
      </c>
      <c r="FP387" s="35">
        <f>SUM(FP384:FP386)</f>
        <v>10448.200000000001</v>
      </c>
      <c r="FQ387" s="79">
        <f>IF(ISERROR((FP387/FN387-1)*100),"NA",IF(((FP387/FN387-1)*100)&gt;100,"NM",IF(((FP387/FN387-1)*100)&lt;-50,"NM",(FP387/FN387-1)*100)))</f>
        <v>-1.2457466918714521</v>
      </c>
      <c r="FR387" s="35">
        <f>SUM(FR384:FR386)</f>
        <v>10079.299999999999</v>
      </c>
      <c r="FS387" s="79">
        <f>IF(ISERROR((FR387/FP387-1)*100),"NA",IF(((FR387/FP387-1)*100)&gt;100,"NM",IF(((FR387/FP387-1)*100)&lt;-50,"NM",(FR387/FP387-1)*100)))</f>
        <v>-3.5307517084282591</v>
      </c>
      <c r="FT387" s="35">
        <f>SUM(FT384:FT386)</f>
        <v>10168.5</v>
      </c>
      <c r="FU387" s="79">
        <f>IF(ISERROR((FT387/FR387-1)*100),"NA",IF(((FT387/FR387-1)*100)&gt;100,"NM",IF(((FT387/FR387-1)*100)&lt;-50,"NM",(FT387/FR387-1)*100)))</f>
        <v>0.88498209201035571</v>
      </c>
      <c r="FV387" s="35">
        <f>SUM(FV384:FV386)</f>
        <v>10282.9</v>
      </c>
      <c r="FW387" s="79">
        <f>IF(ISERROR((FV387/FT387-1)*100),"NA",IF(((FV387/FT387-1)*100)&gt;100,"NM",IF(((FV387/FT387-1)*100)&lt;-50,"NM",(FV387/FT387-1)*100)))</f>
        <v>1.1250430250282717</v>
      </c>
      <c r="FX387" s="35">
        <f>SUM(FX384:FX386)</f>
        <v>10475.299999999999</v>
      </c>
      <c r="FY387" s="79">
        <f>IF(ISERROR((FX387/FV387-1)*100),"NA",IF(((FX387/FV387-1)*100)&gt;100,"NM",IF(((FX387/FV387-1)*100)&lt;-50,"NM",(FX387/FV387-1)*100)))</f>
        <v>1.8710675004133037</v>
      </c>
      <c r="FZ387" s="35">
        <f>SUM(FZ384:FZ386)</f>
        <v>10361.800000000001</v>
      </c>
      <c r="GA387" s="79">
        <f>IF(ISERROR((FZ387/FX387-1)*100),"NA",IF(((FZ387/FX387-1)*100)&gt;100,"NM",IF(((FZ387/FX387-1)*100)&lt;-50,"NM",(FZ387/FX387-1)*100)))</f>
        <v>-1.0835011885100942</v>
      </c>
      <c r="GB387" s="35">
        <f>SUM(GB384:GB386)</f>
        <v>10508.4</v>
      </c>
      <c r="GC387" s="79">
        <f>IF(ISERROR((GB387/FZ387-1)*100),"NA",IF(((GB387/FZ387-1)*100)&gt;100,"NM",IF(((GB387/FZ387-1)*100)&lt;-50,"NM",(GB387/FZ387-1)*100)))</f>
        <v>1.4148120982840684</v>
      </c>
      <c r="GD387" s="35">
        <f>SUM(GD384:GD386)</f>
        <v>10775.099999999999</v>
      </c>
      <c r="GE387" s="79">
        <f>IF(ISERROR((GD387/GB387-1)*100),"NA",IF(((GD387/GB387-1)*100)&gt;100,"NM",IF(((GD387/GB387-1)*100)&lt;-50,"NM",(GD387/GB387-1)*100)))</f>
        <v>2.5379696243005512</v>
      </c>
      <c r="GF387" s="35">
        <f>SUM(GF384:GF386)</f>
        <v>11022.300000000001</v>
      </c>
      <c r="GG387" s="79">
        <f>IF(ISERROR((GF387/GD387-1)*100),"NA",IF(((GF387/GD387-1)*100)&gt;100,"NM",IF(((GF387/GD387-1)*100)&lt;-50,"NM",(GF387/GD387-1)*100)))</f>
        <v>2.2941782442854608</v>
      </c>
      <c r="GH387" s="35">
        <f>SUM(GH384:GH386)</f>
        <v>11245.9</v>
      </c>
      <c r="GI387" s="79">
        <f>IF(ISERROR((GH387/GF387-1)*100),"NA",IF(((GH387/GF387-1)*100)&gt;100,"NM",IF(((GH387/GF387-1)*100)&lt;-50,"NM",(GH387/GF387-1)*100)))</f>
        <v>2.0286147174364499</v>
      </c>
      <c r="GJ387" s="35">
        <f>SUM(GJ384:GJ386)</f>
        <v>11626.971159967925</v>
      </c>
      <c r="GK387" s="79">
        <f>IF(ISERROR((GJ387/GH387-1)*100),"NA",IF(((GJ387/GH387-1)*100)&gt;100,"NM",IF(((GJ387/GH387-1)*100)&lt;-50,"NM",(GJ387/GH387-1)*100)))</f>
        <v>3.388534132154164</v>
      </c>
      <c r="GL387" s="35">
        <f>SUM(GL384:GL386)</f>
        <v>11864.854237741873</v>
      </c>
      <c r="GM387" s="79">
        <f>IF(ISERROR((GL387/GJ387-1)*100),"NA",IF(((GL387/GJ387-1)*100)&gt;100,"NM",IF(((GL387/GJ387-1)*100)&lt;-50,"NM",(GL387/GJ387-1)*100)))</f>
        <v>2.0459591281432488</v>
      </c>
      <c r="GN387" s="35">
        <f>SUM(GN384:GN386)</f>
        <v>12120.191650016717</v>
      </c>
      <c r="GO387" s="79">
        <f>IF(ISERROR((GN387/GL387-1)*100),"NA",IF(((GN387/GL387-1)*100)&gt;100,"NM",IF(((GN387/GL387-1)*100)&lt;-50,"NM",(GN387/GL387-1)*100)))</f>
        <v>2.1520484546925234</v>
      </c>
      <c r="GP387" s="35">
        <f>SUM(GP384:GP386)</f>
        <v>12393.279255377691</v>
      </c>
      <c r="GQ387" s="79">
        <f>IF(ISERROR((GP387/GN387-1)*100),"NA",IF(((GP387/GN387-1)*100)&gt;100,"NM",IF(((GP387/GN387-1)*100)&lt;-50,"NM",(GP387/GN387-1)*100)))</f>
        <v>2.2531624354355628</v>
      </c>
      <c r="GR387" s="35">
        <f>SUM(GR384:GR386)</f>
        <v>12684.473855216624</v>
      </c>
      <c r="GS387" s="79">
        <f>IF(ISERROR((GR387/GP387-1)*100),"NA",IF(((GR387/GP387-1)*100)&gt;100,"NM",IF(((GR387/GP387-1)*100)&lt;-50,"NM",(GR387/GP387-1)*100)))</f>
        <v>2.3496170290246532</v>
      </c>
      <c r="GT387" s="79">
        <f>IF(ISERROR(((GR387/GH387)^0.2-1)*100),"NA",(IF(OR(((GR387/GH387)^0.2-1)*100&gt;99,((GR387/GH387)^0.2-1)*100&lt;-50),"NM",(((GR387/GH387)^0.2-1)*100))))</f>
        <v>2.436716235631109</v>
      </c>
    </row>
    <row r="388" spans="1:286" ht="12.75" customHeight="1" x14ac:dyDescent="0.2">
      <c r="A388" s="1"/>
      <c r="C388" s="79"/>
      <c r="D388" s="79"/>
      <c r="E388" s="35"/>
      <c r="F388" s="129"/>
      <c r="G388" s="35"/>
      <c r="H388" s="129"/>
      <c r="I388" s="35"/>
      <c r="J388" s="129"/>
      <c r="K388" s="35"/>
      <c r="L388" s="79"/>
      <c r="M388" s="35"/>
      <c r="N388" s="79"/>
      <c r="O388" s="35"/>
      <c r="P388" s="79"/>
      <c r="Q388" s="35"/>
      <c r="R388" s="79"/>
      <c r="S388" s="35"/>
      <c r="T388" s="79"/>
      <c r="U388" s="35"/>
      <c r="V388" s="79"/>
      <c r="W388" s="35"/>
      <c r="X388" s="79"/>
      <c r="Y388" s="35"/>
      <c r="Z388" s="79"/>
      <c r="AA388" s="34"/>
      <c r="AB388" s="79"/>
      <c r="AC388" s="35"/>
      <c r="AD388" s="79"/>
      <c r="AE388" s="35"/>
      <c r="AF388" s="79"/>
      <c r="AG388" s="35"/>
      <c r="AH388" s="79"/>
      <c r="AI388" s="35"/>
      <c r="AJ388" s="79"/>
      <c r="AK388" s="35"/>
      <c r="AL388" s="79"/>
      <c r="AM388" s="35"/>
      <c r="AN388" s="79"/>
      <c r="AO388" s="35"/>
      <c r="AP388" s="79"/>
      <c r="AQ388" s="35"/>
      <c r="AR388" s="79"/>
      <c r="AS388" s="35"/>
      <c r="AT388" s="81"/>
      <c r="AU388" s="35"/>
      <c r="AV388" s="81"/>
      <c r="AW388" s="35"/>
      <c r="AX388" s="81"/>
      <c r="AY388" s="35"/>
      <c r="AZ388" s="81"/>
      <c r="BA388" s="35"/>
      <c r="BB388" s="81"/>
      <c r="BC388" s="35"/>
      <c r="BD388" s="81"/>
      <c r="BE388" s="35"/>
      <c r="BF388" s="81"/>
      <c r="BG388" s="35"/>
      <c r="BH388" s="81"/>
      <c r="BI388" s="35"/>
      <c r="BJ388" s="81"/>
      <c r="BK388" s="35"/>
      <c r="BL388" s="81"/>
      <c r="BM388" s="35"/>
      <c r="BN388" s="81"/>
      <c r="BO388" s="35"/>
      <c r="BP388" s="81"/>
      <c r="BQ388" s="35"/>
      <c r="BR388" s="81"/>
      <c r="BS388" s="35"/>
      <c r="BT388" s="81"/>
      <c r="BU388" s="35"/>
      <c r="BV388" s="81"/>
      <c r="BW388" s="35"/>
      <c r="BX388" s="81"/>
      <c r="BY388" s="35"/>
      <c r="BZ388" s="81"/>
      <c r="CA388" s="35"/>
      <c r="CB388" s="81"/>
      <c r="CC388" s="35"/>
      <c r="CD388" s="81"/>
      <c r="CE388" s="35"/>
      <c r="CF388" s="81"/>
      <c r="CG388" s="35"/>
      <c r="CH388" s="81"/>
      <c r="CI388" s="35"/>
      <c r="CJ388" s="81"/>
      <c r="CK388" s="35"/>
      <c r="CL388" s="81"/>
      <c r="CM388" s="35"/>
      <c r="CN388" s="81"/>
      <c r="CO388" s="35"/>
      <c r="CP388" s="81"/>
      <c r="CQ388" s="35"/>
      <c r="CR388" s="81"/>
      <c r="CS388" s="35"/>
      <c r="CT388" s="81"/>
      <c r="CU388" s="35"/>
      <c r="CV388" s="81"/>
      <c r="CW388" s="35"/>
      <c r="CX388" s="81"/>
      <c r="CY388" s="35"/>
      <c r="CZ388" s="81"/>
      <c r="DA388" s="35"/>
      <c r="DB388" s="81"/>
      <c r="DC388" s="35"/>
      <c r="DD388" s="81"/>
      <c r="DE388" s="35"/>
      <c r="DF388" s="81"/>
      <c r="DG388" s="35"/>
      <c r="DH388" s="81"/>
      <c r="DI388" s="35"/>
      <c r="DJ388" s="81"/>
      <c r="DK388" s="35"/>
      <c r="DL388" s="81"/>
      <c r="DM388" s="35"/>
      <c r="DN388" s="81"/>
      <c r="DO388" s="35"/>
      <c r="DP388" s="81"/>
      <c r="DQ388" s="35"/>
      <c r="DR388" s="81"/>
      <c r="DS388" s="35"/>
      <c r="DT388" s="81"/>
      <c r="DU388" s="35"/>
      <c r="DV388" s="81"/>
      <c r="DW388" s="35"/>
      <c r="DX388" s="81"/>
      <c r="DY388" s="35"/>
      <c r="DZ388" s="81"/>
      <c r="EA388" s="35"/>
      <c r="EB388" s="81"/>
      <c r="EC388" s="35"/>
      <c r="ED388" s="81"/>
      <c r="EE388" s="35"/>
      <c r="EF388" s="81"/>
      <c r="EG388" s="35"/>
      <c r="EH388" s="81"/>
      <c r="EI388" s="35"/>
      <c r="EJ388" s="81"/>
      <c r="EK388" s="35"/>
      <c r="EL388" s="81"/>
      <c r="EM388" s="35"/>
      <c r="EN388" s="81"/>
      <c r="EO388" s="35"/>
      <c r="EP388" s="81"/>
      <c r="EQ388" s="35"/>
      <c r="ER388" s="81"/>
      <c r="ES388" s="129"/>
      <c r="ET388" s="470"/>
      <c r="EU388" s="129"/>
      <c r="EV388" s="129"/>
      <c r="EW388" s="79"/>
      <c r="EX388" s="129"/>
      <c r="EY388" s="79"/>
      <c r="EZ388" s="129"/>
      <c r="FA388" s="79"/>
      <c r="FB388" s="35"/>
      <c r="FC388" s="79"/>
      <c r="FD388" s="35"/>
      <c r="FE388" s="79"/>
      <c r="FF388" s="35"/>
      <c r="FG388" s="79"/>
      <c r="FH388" s="35"/>
      <c r="FI388" s="79"/>
      <c r="FJ388" s="35"/>
      <c r="FK388" s="79"/>
      <c r="FL388" s="35"/>
      <c r="FM388" s="79"/>
      <c r="FN388" s="35"/>
      <c r="FO388" s="79"/>
      <c r="FP388" s="35"/>
      <c r="FQ388" s="79"/>
      <c r="FR388" s="35"/>
      <c r="FS388" s="79"/>
      <c r="FT388" s="35"/>
      <c r="FU388" s="79"/>
      <c r="FV388" s="35"/>
      <c r="FW388" s="79"/>
      <c r="FX388" s="35"/>
      <c r="FY388" s="79"/>
      <c r="FZ388" s="35"/>
      <c r="GA388" s="79"/>
      <c r="GB388" s="35"/>
      <c r="GC388" s="79"/>
      <c r="GD388" s="35"/>
      <c r="GE388" s="79"/>
      <c r="GF388" s="35"/>
      <c r="GG388" s="79"/>
      <c r="GH388" s="35"/>
      <c r="GI388" s="79"/>
      <c r="GJ388" s="35"/>
      <c r="GK388" s="79"/>
      <c r="GL388" s="35"/>
      <c r="GM388" s="79"/>
      <c r="GN388" s="35"/>
      <c r="GO388" s="79"/>
      <c r="GP388" s="35"/>
      <c r="GQ388" s="79"/>
      <c r="GR388" s="35"/>
      <c r="GS388" s="79"/>
      <c r="GT388" s="79"/>
    </row>
    <row r="389" spans="1:286" ht="12.75" customHeight="1" x14ac:dyDescent="0.2">
      <c r="A389" s="1"/>
      <c r="B389" s="311" t="s">
        <v>454</v>
      </c>
      <c r="C389" s="79"/>
      <c r="D389" s="79"/>
      <c r="E389" s="35"/>
      <c r="F389" s="129"/>
      <c r="G389" s="35"/>
      <c r="H389" s="129"/>
      <c r="I389" s="35"/>
      <c r="J389" s="129"/>
      <c r="K389" s="35"/>
      <c r="L389" s="79"/>
      <c r="M389" s="35"/>
      <c r="N389" s="79"/>
      <c r="O389" s="35"/>
      <c r="P389" s="79"/>
      <c r="Q389" s="35"/>
      <c r="R389" s="79"/>
      <c r="S389" s="35"/>
      <c r="T389" s="79"/>
      <c r="U389" s="35"/>
      <c r="V389" s="79"/>
      <c r="W389" s="35"/>
      <c r="X389" s="79"/>
      <c r="Y389" s="35"/>
      <c r="Z389" s="79"/>
      <c r="AA389" s="34"/>
      <c r="AB389" s="79"/>
      <c r="AC389" s="35"/>
      <c r="AD389" s="79"/>
      <c r="AE389" s="35"/>
      <c r="AF389" s="79"/>
      <c r="AG389" s="35"/>
      <c r="AH389" s="79"/>
      <c r="AI389" s="35"/>
      <c r="AJ389" s="79"/>
      <c r="AK389" s="35"/>
      <c r="AL389" s="79"/>
      <c r="AM389" s="35"/>
      <c r="AN389" s="79"/>
      <c r="AO389" s="35"/>
      <c r="AP389" s="79"/>
      <c r="AQ389" s="35"/>
      <c r="AR389" s="79"/>
      <c r="AS389" s="35"/>
      <c r="AT389" s="81"/>
      <c r="AU389" s="35"/>
      <c r="AV389" s="81"/>
      <c r="AW389" s="35"/>
      <c r="AX389" s="81"/>
      <c r="AY389" s="35"/>
      <c r="AZ389" s="81"/>
      <c r="BA389" s="35"/>
      <c r="BB389" s="81"/>
      <c r="BC389" s="35"/>
      <c r="BD389" s="81"/>
      <c r="BE389" s="35"/>
      <c r="BF389" s="81"/>
      <c r="BG389" s="35"/>
      <c r="BH389" s="81"/>
      <c r="BI389" s="35"/>
      <c r="BJ389" s="81"/>
      <c r="BK389" s="35"/>
      <c r="BL389" s="81"/>
      <c r="BM389" s="35"/>
      <c r="BN389" s="81"/>
      <c r="BO389" s="35"/>
      <c r="BP389" s="81"/>
      <c r="BQ389" s="35"/>
      <c r="BR389" s="81"/>
      <c r="BS389" s="35"/>
      <c r="BT389" s="81"/>
      <c r="BU389" s="35"/>
      <c r="BV389" s="81"/>
      <c r="BW389" s="35"/>
      <c r="BX389" s="81"/>
      <c r="BY389" s="35"/>
      <c r="BZ389" s="81"/>
      <c r="CA389" s="35"/>
      <c r="CB389" s="81"/>
      <c r="CC389" s="35"/>
      <c r="CD389" s="81"/>
      <c r="CE389" s="35"/>
      <c r="CF389" s="81"/>
      <c r="CG389" s="35"/>
      <c r="CH389" s="81"/>
      <c r="CI389" s="35"/>
      <c r="CJ389" s="81"/>
      <c r="CK389" s="35"/>
      <c r="CL389" s="81"/>
      <c r="CM389" s="35"/>
      <c r="CN389" s="81"/>
      <c r="CO389" s="35"/>
      <c r="CP389" s="81"/>
      <c r="CQ389" s="35"/>
      <c r="CR389" s="81"/>
      <c r="CS389" s="35"/>
      <c r="CT389" s="81"/>
      <c r="CU389" s="35"/>
      <c r="CV389" s="81"/>
      <c r="CW389" s="35"/>
      <c r="CX389" s="81"/>
      <c r="CY389" s="35"/>
      <c r="CZ389" s="81"/>
      <c r="DA389" s="35"/>
      <c r="DB389" s="81"/>
      <c r="DC389" s="35"/>
      <c r="DD389" s="81"/>
      <c r="DE389" s="35"/>
      <c r="DF389" s="81"/>
      <c r="DG389" s="35"/>
      <c r="DH389" s="81"/>
      <c r="DI389" s="35"/>
      <c r="DJ389" s="81"/>
      <c r="DK389" s="35"/>
      <c r="DL389" s="81"/>
      <c r="DM389" s="35"/>
      <c r="DN389" s="81"/>
      <c r="DO389" s="35"/>
      <c r="DP389" s="81"/>
      <c r="DQ389" s="35"/>
      <c r="DR389" s="81"/>
      <c r="DS389" s="35"/>
      <c r="DT389" s="81"/>
      <c r="DU389" s="35"/>
      <c r="DV389" s="81"/>
      <c r="DW389" s="35"/>
      <c r="DX389" s="81"/>
      <c r="DY389" s="35"/>
      <c r="DZ389" s="81"/>
      <c r="EA389" s="35"/>
      <c r="EB389" s="81"/>
      <c r="EC389" s="35"/>
      <c r="ED389" s="81"/>
      <c r="EE389" s="35"/>
      <c r="EF389" s="81"/>
      <c r="EG389" s="35"/>
      <c r="EH389" s="81"/>
      <c r="EI389" s="35"/>
      <c r="EJ389" s="81"/>
      <c r="EK389" s="35"/>
      <c r="EL389" s="81"/>
      <c r="EM389" s="35"/>
      <c r="EN389" s="81"/>
      <c r="EO389" s="35"/>
      <c r="EP389" s="81"/>
      <c r="EQ389" s="35"/>
      <c r="ER389" s="81"/>
      <c r="ES389" s="129"/>
      <c r="ET389" s="470"/>
      <c r="EU389" s="129"/>
      <c r="EV389" s="129"/>
      <c r="EW389" s="79"/>
      <c r="EX389" s="129"/>
      <c r="EY389" s="79"/>
      <c r="EZ389" s="129"/>
      <c r="FA389" s="79"/>
      <c r="FB389" s="35"/>
      <c r="FC389" s="79"/>
      <c r="FD389" s="35"/>
      <c r="FE389" s="79"/>
      <c r="FF389" s="35"/>
      <c r="FG389" s="79"/>
      <c r="FH389" s="35"/>
      <c r="FI389" s="79"/>
      <c r="FJ389" s="35"/>
      <c r="FK389" s="79"/>
      <c r="FL389" s="35"/>
      <c r="FM389" s="79"/>
      <c r="FN389" s="35"/>
      <c r="FO389" s="79"/>
      <c r="FP389" s="35"/>
      <c r="FQ389" s="79"/>
      <c r="FR389" s="35"/>
      <c r="FS389" s="79"/>
      <c r="FT389" s="35"/>
      <c r="FU389" s="79"/>
      <c r="FV389" s="35"/>
      <c r="FW389" s="79"/>
      <c r="FX389" s="35"/>
      <c r="FY389" s="79"/>
      <c r="FZ389" s="35"/>
      <c r="GA389" s="79"/>
      <c r="GB389" s="35"/>
      <c r="GC389" s="79"/>
      <c r="GD389" s="35"/>
      <c r="GE389" s="79"/>
      <c r="GF389" s="35"/>
      <c r="GG389" s="79"/>
      <c r="GH389" s="35"/>
      <c r="GI389" s="79"/>
      <c r="GJ389" s="35"/>
      <c r="GK389" s="79"/>
      <c r="GL389" s="35"/>
      <c r="GM389" s="79"/>
      <c r="GN389" s="35"/>
      <c r="GO389" s="79"/>
      <c r="GP389" s="35"/>
      <c r="GQ389" s="79"/>
      <c r="GR389" s="35"/>
      <c r="GS389" s="79"/>
      <c r="GT389" s="79"/>
    </row>
    <row r="390" spans="1:286" ht="12.75" customHeight="1" x14ac:dyDescent="0.2">
      <c r="A390" s="1"/>
      <c r="B390" s="312" t="s">
        <v>498</v>
      </c>
      <c r="C390" s="79"/>
      <c r="D390" s="79"/>
      <c r="E390" s="35">
        <v>1518.1</v>
      </c>
      <c r="F390" s="129"/>
      <c r="G390" s="35">
        <v>1571.2</v>
      </c>
      <c r="H390" s="129"/>
      <c r="I390" s="35">
        <v>1611</v>
      </c>
      <c r="J390" s="129"/>
      <c r="K390" s="35">
        <v>1534</v>
      </c>
      <c r="L390" s="79"/>
      <c r="M390" s="35">
        <v>1526.2</v>
      </c>
      <c r="N390" s="79">
        <v>0.53356168895331013</v>
      </c>
      <c r="O390" s="35">
        <v>1582.5</v>
      </c>
      <c r="P390" s="79">
        <v>0.71919551934824799</v>
      </c>
      <c r="Q390" s="35">
        <v>1611.5</v>
      </c>
      <c r="R390" s="79">
        <v>3.1036623215419112E-2</v>
      </c>
      <c r="S390" s="35">
        <v>1604.6</v>
      </c>
      <c r="T390" s="79">
        <v>4.6023468057366346</v>
      </c>
      <c r="U390" s="35">
        <v>2143.4</v>
      </c>
      <c r="V390" s="79">
        <v>40.440309264840771</v>
      </c>
      <c r="W390" s="35">
        <v>1765.8</v>
      </c>
      <c r="X390" s="79">
        <v>11.582938388625607</v>
      </c>
      <c r="Y390" s="35">
        <v>1765.9</v>
      </c>
      <c r="Z390" s="79">
        <v>9.5811355879614979</v>
      </c>
      <c r="AA390" s="34">
        <v>2193</v>
      </c>
      <c r="AB390" s="79">
        <f t="shared" ref="AB390:AB395" si="1118">IF(ISERROR((AA390/S390-1)*100),"NA",IF(((AA390/S390-1)*100)&gt;100,"NM",IF(((AA390/S390-1)*100)&lt;-50,"NM",(AA390/S390-1)*100)))</f>
        <v>36.66957497195564</v>
      </c>
      <c r="AC390" s="35">
        <f>AC148+AC194+AC227+AC259+AC292</f>
        <v>1879.3</v>
      </c>
      <c r="AD390" s="79">
        <f t="shared" ref="AD390:AD395" si="1119">IF(ISERROR((AC390/U390-1)*100),"NA",IF(((AC390/U390-1)*100)&gt;100,"NM",IF(((AC390/U390-1)*100)&lt;-50,"NM",(AC390/U390-1)*100)))</f>
        <v>-12.321545208547169</v>
      </c>
      <c r="AE390" s="35">
        <f>AE148+AE194+AE227+AE259+AE292</f>
        <v>1756.7999999999997</v>
      </c>
      <c r="AF390" s="79">
        <f t="shared" ref="AF390:AF395" si="1120">IF(ISERROR((AE390/W390-1)*100),"NA",IF(((AE390/W390-1)*100)&gt;100,"NM",IF(((AE390/W390-1)*100)&lt;-50,"NM",(AE390/W390-1)*100)))</f>
        <v>-0.50968399592253855</v>
      </c>
      <c r="AG390" s="35">
        <f>AG148+AG194+AG227+AG259+AG292</f>
        <v>1764.2</v>
      </c>
      <c r="AH390" s="79">
        <f t="shared" ref="AH390:AH395" si="1121">IF(ISERROR((AG390/Y390-1)*100),"NA",IF(((AG390/Y390-1)*100)&gt;100,"NM",IF(((AG390/Y390-1)*100)&lt;-50,"NM",(AG390/Y390-1)*100)))</f>
        <v>-9.6268191856840879E-2</v>
      </c>
      <c r="AI390" s="35">
        <f>AI148+AI194+AI227+AI259+AI292</f>
        <v>1848.1</v>
      </c>
      <c r="AJ390" s="79">
        <f t="shared" ref="AJ390:AJ395" si="1122">IF(ISERROR((AI390/AA390-1)*100),"NA",IF(((AI390/AA390-1)*100)&gt;100,"NM",IF(((AI390/AA390-1)*100)&lt;-50,"NM",(AI390/AA390-1)*100)))</f>
        <v>-15.727314181486552</v>
      </c>
      <c r="AK390" s="35">
        <f>AK148+AK194+AK227+AK259+AK292</f>
        <v>1737.8999999999999</v>
      </c>
      <c r="AL390" s="79">
        <f t="shared" ref="AL390:AL395" si="1123">IF(ISERROR((AK390/AC390-1)*100),"NA",IF(((AK390/AC390-1)*100)&gt;100,"NM",IF(((AK390/AC390-1)*100)&lt;-50,"NM",(AK390/AC390-1)*100)))</f>
        <v>-7.5240781141914574</v>
      </c>
      <c r="AM390" s="35">
        <f>AM148+AM194+AM227+AM259+AM292</f>
        <v>1730.6000000000004</v>
      </c>
      <c r="AN390" s="79">
        <f t="shared" ref="AN390:BD395" si="1124">IF(ISERROR((AM390/AE390-1)*100),"NA",IF(((AM390/AE390-1)*100)&gt;100,"NM",IF(((AM390/AE390-1)*100)&lt;-50,"NM",(AM390/AE390-1)*100)))</f>
        <v>-1.491347905282292</v>
      </c>
      <c r="AO390" s="35">
        <f>AO148+AO194+AO227+AO259+AO292</f>
        <v>1759.4</v>
      </c>
      <c r="AP390" s="79">
        <f t="shared" si="1124"/>
        <v>-0.27207799569209934</v>
      </c>
      <c r="AQ390" s="35">
        <f>AQ148+AQ194+AQ227+AQ259+AQ292</f>
        <v>1802.6</v>
      </c>
      <c r="AR390" s="79">
        <f t="shared" si="1124"/>
        <v>-2.4619879876630058</v>
      </c>
      <c r="AS390" s="35">
        <f>AS148+AS194+AS227+AS259+AS292</f>
        <v>1781.5000000000002</v>
      </c>
      <c r="AT390" s="81">
        <f t="shared" si="1124"/>
        <v>2.508774958283011</v>
      </c>
      <c r="AU390" s="35">
        <f>AU148+AU194+AU227+AU259+AU292</f>
        <v>1807.8999999999999</v>
      </c>
      <c r="AV390" s="81">
        <f t="shared" si="1124"/>
        <v>4.4666589622096131</v>
      </c>
      <c r="AW390" s="35">
        <f>AW148+AW194+AW227+AW259+AW292</f>
        <v>1763.4999999999998</v>
      </c>
      <c r="AX390" s="81">
        <f t="shared" si="1124"/>
        <v>0.23303398885980986</v>
      </c>
      <c r="AY390" s="35">
        <f>AY148+AY194+AY227+AY259+AY292</f>
        <v>1812.9</v>
      </c>
      <c r="AZ390" s="81">
        <f t="shared" si="1124"/>
        <v>0.57139687118608062</v>
      </c>
      <c r="BA390" s="35">
        <f>BA148+BA194+BA227+BA259+BA292</f>
        <v>1729.2999999999997</v>
      </c>
      <c r="BB390" s="81">
        <f t="shared" si="1124"/>
        <v>-2.9301150715689284</v>
      </c>
      <c r="BC390" s="35">
        <f>BC148+BC194+BC227+BC259+BC292</f>
        <v>1763.8999999999999</v>
      </c>
      <c r="BD390" s="81">
        <f t="shared" si="1124"/>
        <v>-2.4337629293655572</v>
      </c>
      <c r="BE390" s="35">
        <f>BE148+BE194+BE227+BE259+BE292</f>
        <v>1726.3000000000002</v>
      </c>
      <c r="BF390" s="81">
        <f t="shared" ref="BF390:BF395" si="1125">IF(ISERROR((BE390/AW390-1)*100),"NA",IF(((BE390/AW390-1)*100)&gt;100,"NM",IF(((BE390/AW390-1)*100)&lt;-50,"NM",(BE390/AW390-1)*100)))</f>
        <v>-2.1094414516586113</v>
      </c>
      <c r="BG390" s="35">
        <f>BG148+BG194+BG227+BG259+BG292</f>
        <v>1715.7000000000003</v>
      </c>
      <c r="BH390" s="81">
        <f t="shared" ref="BH390:BH395" si="1126">IF(ISERROR((BG390/AY390-1)*100),"NA",IF(((BG390/AY390-1)*100)&gt;100,"NM",IF(((BG390/AY390-1)*100)&lt;-50,"NM",(BG390/AY390-1)*100)))</f>
        <v>-5.3615753764686307</v>
      </c>
      <c r="BI390" s="35">
        <f>BI148+BI194+BI227+BI259+BI292</f>
        <v>1656.9</v>
      </c>
      <c r="BJ390" s="81">
        <f t="shared" ref="BJ390:BJ395" si="1127">IF(ISERROR((BI390/BA390-1)*100),"NA",IF(((BI390/BA390-1)*100)&gt;100,"NM",IF(((BI390/BA390-1)*100)&lt;-50,"NM",(BI390/BA390-1)*100)))</f>
        <v>-4.1866651246168729</v>
      </c>
      <c r="BK390" s="35">
        <f>BK148+BK194+BK227+BK259+BK292</f>
        <v>1674.6999999999998</v>
      </c>
      <c r="BL390" s="81">
        <f t="shared" ref="BL390:BL395" si="1128">IF(ISERROR((BK390/BC390-1)*100),"NA",IF(((BK390/BC390-1)*100)&gt;100,"NM",IF(((BK390/BC390-1)*100)&lt;-50,"NM",(BK390/BC390-1)*100)))</f>
        <v>-5.0569760190486974</v>
      </c>
      <c r="BM390" s="35">
        <f>BM148+BM194+BM227+BM259+BM292</f>
        <v>1646.3</v>
      </c>
      <c r="BN390" s="81">
        <f t="shared" ref="BN390:BN395" si="1129">IF(ISERROR((BM390/BE390-1)*100),"NA",IF(((BM390/BE390-1)*100)&gt;100,"NM",IF(((BM390/BE390-1)*100)&lt;-50,"NM",(BM390/BE390-1)*100)))</f>
        <v>-4.6341887273359301</v>
      </c>
      <c r="BO390" s="35">
        <f>BO148+BO194+BO227+BO259+BO292</f>
        <v>1648.5</v>
      </c>
      <c r="BP390" s="81">
        <f t="shared" ref="BP390:BP395" si="1130">IF(ISERROR((BO390/BG390-1)*100),"NA",IF(((BO390/BG390-1)*100)&gt;100,"NM",IF(((BO390/BG390-1)*100)&lt;-50,"NM",(BO390/BG390-1)*100)))</f>
        <v>-3.9167686658506895</v>
      </c>
      <c r="BQ390" s="35">
        <f>BQ148+BQ194+BQ227+BQ259+BQ292</f>
        <v>1575.7</v>
      </c>
      <c r="BR390" s="81">
        <f t="shared" ref="BR390:BR395" si="1131">IF(ISERROR((BQ390/BI390-1)*100),"NA",IF(((BQ390/BI390-1)*100)&gt;100,"NM",IF(((BQ390/BI390-1)*100)&lt;-50,"NM",(BQ390/BI390-1)*100)))</f>
        <v>-4.9007182087030028</v>
      </c>
      <c r="BS390" s="35">
        <f>BS148+BS194+BS227+BS259+BS292</f>
        <v>1584.2</v>
      </c>
      <c r="BT390" s="81">
        <f t="shared" ref="BT390:BT395" si="1132">IF(ISERROR((BS390/BK390-1)*100),"NA",IF(((BS390/BK390-1)*100)&gt;100,"NM",IF(((BS390/BK390-1)*100)&lt;-50,"NM",(BS390/BK390-1)*100)))</f>
        <v>-5.4039529467964309</v>
      </c>
      <c r="BU390" s="35">
        <f>BU148+BU194+BU227+BU259+BU292</f>
        <v>1565.1</v>
      </c>
      <c r="BV390" s="81">
        <f t="shared" ref="BV390:BV395" si="1133">IF(ISERROR((BU390/BM390-1)*100),"NA",IF(((BU390/BM390-1)*100)&gt;100,"NM",IF(((BU390/BM390-1)*100)&lt;-50,"NM",(BU390/BM390-1)*100)))</f>
        <v>-4.9322723683411285</v>
      </c>
      <c r="BW390" s="35">
        <f>BW148+BW194+BW227+BW259+BW292</f>
        <v>1566.6</v>
      </c>
      <c r="BX390" s="81">
        <f t="shared" ref="BX390:BX395" si="1134">IF(ISERROR((BW390/BO390-1)*100),"NA",IF(((BW390/BO390-1)*100)&gt;100,"NM",IF(((BW390/BO390-1)*100)&lt;-50,"NM",(BW390/BO390-1)*100)))</f>
        <v>-4.9681528662420487</v>
      </c>
      <c r="BY390" s="35">
        <f>BY148+BY194+BY227+BY259+BY292</f>
        <v>1568.9</v>
      </c>
      <c r="BZ390" s="81">
        <f t="shared" ref="BZ390:BZ395" si="1135">IF(ISERROR((BY390/BQ390-1)*100),"NA",IF(((BY390/BQ390-1)*100)&gt;100,"NM",IF(((BY390/BQ390-1)*100)&lt;-50,"NM",(BY390/BQ390-1)*100)))</f>
        <v>-0.43155422986609349</v>
      </c>
      <c r="CA390" s="35">
        <f>CA148+CA194+CA227+CA259+CA292</f>
        <v>1579.6</v>
      </c>
      <c r="CB390" s="81">
        <f t="shared" ref="CB390:CB395" si="1136">IF(ISERROR((CA390/BS390-1)*100),"NA",IF(((CA390/BS390-1)*100)&gt;100,"NM",IF(((CA390/BS390-1)*100)&lt;-50,"NM",(CA390/BS390-1)*100)))</f>
        <v>-0.29036737785633759</v>
      </c>
      <c r="CC390" s="35">
        <f>CC148+CC194+CC227+CC259+CC292</f>
        <v>1587.5</v>
      </c>
      <c r="CD390" s="81">
        <f t="shared" ref="CD390:CD395" si="1137">IF(ISERROR((CC390/BU390-1)*100),"NA",IF(((CC390/BU390-1)*100)&gt;100,"NM",IF(((CC390/BU390-1)*100)&lt;-50,"NM",(CC390/BU390-1)*100)))</f>
        <v>1.4312184524950533</v>
      </c>
      <c r="CE390" s="35">
        <f>CE148+CE194+CE227+CE259+CE292</f>
        <v>1618.1</v>
      </c>
      <c r="CF390" s="81">
        <f t="shared" ref="CF390:CF395" si="1138">IF(ISERROR((CE390/BW390-1)*100),"NA",IF(((CE390/BW390-1)*100)&gt;100,"NM",IF(((CE390/BW390-1)*100)&lt;-50,"NM",(CE390/BW390-1)*100)))</f>
        <v>3.2873739308055594</v>
      </c>
      <c r="CG390" s="35">
        <f>CG148+CG194+CG227+CG259+CG292</f>
        <v>1593</v>
      </c>
      <c r="CH390" s="81">
        <f t="shared" ref="CH390:CH395" si="1139">IF(ISERROR((CG390/BY390-1)*100),"NA",IF(((CG390/BY390-1)*100)&gt;100,"NM",IF(((CG390/BY390-1)*100)&lt;-50,"NM",(CG390/BY390-1)*100)))</f>
        <v>1.5361081012174038</v>
      </c>
      <c r="CI390" s="35">
        <f>CI148+CI194+CI227+CI259+CI292</f>
        <v>1599.4</v>
      </c>
      <c r="CJ390" s="81">
        <f t="shared" ref="CJ390:CJ395" si="1140">IF(ISERROR((CI390/CA390-1)*100),"NA",IF(((CI390/CA390-1)*100)&gt;100,"NM",IF(((CI390/CA390-1)*100)&lt;-50,"NM",(CI390/CA390-1)*100)))</f>
        <v>1.2534818941504211</v>
      </c>
      <c r="CK390" s="35">
        <f>CK148+CK194+CK227+CK259+CK292</f>
        <v>1635.6</v>
      </c>
      <c r="CL390" s="81">
        <f t="shared" ref="CL390:CL395" si="1141">IF(ISERROR((CK390/CC390-1)*100),"NA",IF(((CK390/CC390-1)*100)&gt;100,"NM",IF(((CK390/CC390-1)*100)&lt;-50,"NM",(CK390/CC390-1)*100)))</f>
        <v>3.0299212598425163</v>
      </c>
      <c r="CM390" s="35">
        <f>CM148+CM194+CM227+CM259+CM292</f>
        <v>2381.5</v>
      </c>
      <c r="CN390" s="81">
        <f t="shared" ref="CN390:CN395" si="1142">IF(ISERROR((CM390/CE390-1)*100),"NA",IF(((CM390/CE390-1)*100)&gt;100,"NM",IF(((CM390/CE390-1)*100)&lt;-50,"NM",(CM390/CE390-1)*100)))</f>
        <v>47.178789938817147</v>
      </c>
      <c r="CO390" s="35">
        <f>CO148+CO194+CO227+CO259+CO292</f>
        <v>1662.9</v>
      </c>
      <c r="CP390" s="81">
        <f t="shared" ref="CP390:CP395" si="1143">IF(ISERROR((CO390/CG390-1)*100),"NA",IF(((CO390/CG390-1)*100)&gt;100,"NM",IF(((CO390/CG390-1)*100)&lt;-50,"NM",(CO390/CG390-1)*100)))</f>
        <v>4.3879472693032051</v>
      </c>
      <c r="CQ390" s="35">
        <f>CQ148+CQ194+CQ227+CQ259+CQ292</f>
        <v>1683.1999999999998</v>
      </c>
      <c r="CR390" s="81">
        <f t="shared" ref="CR390:CR395" si="1144">IF(ISERROR((CQ390/CI390-1)*100),"NA",IF(((CQ390/CI390-1)*100)&gt;100,"NM",IF(((CQ390/CI390-1)*100)&lt;-50,"NM",(CQ390/CI390-1)*100)))</f>
        <v>5.239464799299709</v>
      </c>
      <c r="CS390" s="35">
        <f>CS148+CS194+CS227+CS259+CS292</f>
        <v>1686.9</v>
      </c>
      <c r="CT390" s="81">
        <f t="shared" ref="CT390:CT395" si="1145">IF(ISERROR((CS390/CK390-1)*100),"NA",IF(((CS390/CK390-1)*100)&gt;100,"NM",IF(((CS390/CK390-1)*100)&lt;-50,"NM",(CS390/CK390-1)*100)))</f>
        <v>3.1364636830520931</v>
      </c>
      <c r="CU390" s="35">
        <f>CU148+CU194+CU227+CU259+CU292</f>
        <v>1689.1999999999998</v>
      </c>
      <c r="CV390" s="81">
        <f t="shared" ref="CV390:CV395" si="1146">IF(ISERROR((CU390/CM390-1)*100),"NA",IF(((CU390/CM390-1)*100)&gt;100,"NM",IF(((CU390/CM390-1)*100)&lt;-50,"NM",(CU390/CM390-1)*100)))</f>
        <v>-29.069913919798452</v>
      </c>
      <c r="CW390" s="35">
        <f>CW148+CW194+CW227+CW259+CW292</f>
        <v>1648.5</v>
      </c>
      <c r="CX390" s="81">
        <f t="shared" ref="CX390:CX395" si="1147">IF(ISERROR((CW390/CO390-1)*100),"NA",IF(((CW390/CO390-1)*100)&gt;100,"NM",IF(((CW390/CO390-1)*100)&lt;-50,"NM",(CW390/CO390-1)*100)))</f>
        <v>-0.86595706296229702</v>
      </c>
      <c r="CY390" s="35">
        <f>CY148+CY194+CY227+CY259+CY292</f>
        <v>1661.8</v>
      </c>
      <c r="CZ390" s="81">
        <f t="shared" ref="CZ390:CZ395" si="1148">IF(ISERROR((CY390/CQ390-1)*100),"NA",IF(((CY390/CQ390-1)*100)&gt;100,"NM",IF(((CY390/CQ390-1)*100)&lt;-50,"NM",(CY390/CQ390-1)*100)))</f>
        <v>-1.2713878326996109</v>
      </c>
      <c r="DA390" s="35">
        <f>DA148+DA194+DA227+DA259+DA292</f>
        <v>1641.6000000000001</v>
      </c>
      <c r="DB390" s="81">
        <f t="shared" ref="DB390:DB395" si="1149">IF(ISERROR((DA390/CS390-1)*100),"NA",IF(((DA390/CS390-1)*100)&gt;100,"NM",IF(((DA390/CS390-1)*100)&lt;-50,"NM",(DA390/CS390-1)*100)))</f>
        <v>-2.6853992530677551</v>
      </c>
      <c r="DC390" s="35">
        <f>DC148+DC194+DC227+DC259+DC292</f>
        <v>1643.8</v>
      </c>
      <c r="DD390" s="81">
        <f t="shared" ref="DD390:DD395" si="1150">IF(ISERROR((DC390/CU390-1)*100),"NA",IF(((DC390/CU390-1)*100)&gt;100,"NM",IF(((DC390/CU390-1)*100)&lt;-50,"NM",(DC390/CU390-1)*100)))</f>
        <v>-2.6876627989580792</v>
      </c>
      <c r="DE390" s="35">
        <f>DE148+DE194+DE227+DE259+DE292</f>
        <v>1631.3000000000002</v>
      </c>
      <c r="DF390" s="81">
        <f t="shared" ref="DF390:DF395" si="1151">IF(ISERROR((DE390/CW390-1)*100),"NA",IF(((DE390/CW390-1)*100)&gt;100,"NM",IF(((DE390/CW390-1)*100)&lt;-50,"NM",(DE390/CW390-1)*100)))</f>
        <v>-1.0433727631179779</v>
      </c>
      <c r="DG390" s="35">
        <f>DG148+DG194+DG227+DG259+DG292</f>
        <v>1653.3999999999999</v>
      </c>
      <c r="DH390" s="81">
        <f t="shared" ref="DH390:DH395" si="1152">IF(ISERROR((DG390/CY390-1)*100),"NA",IF(((DG390/CY390-1)*100)&gt;100,"NM",IF(((DG390/CY390-1)*100)&lt;-50,"NM",(DG390/CY390-1)*100)))</f>
        <v>-0.50547598989048037</v>
      </c>
      <c r="DI390" s="35">
        <f>DI148+DI194+DI227+DI259+DI292</f>
        <v>1653.6</v>
      </c>
      <c r="DJ390" s="81">
        <f t="shared" ref="DJ390:DJ395" si="1153">IF(ISERROR((DI390/DA390-1)*100),"NA",IF(((DI390/DA390-1)*100)&gt;100,"NM",IF(((DI390/DA390-1)*100)&lt;-50,"NM",(DI390/DA390-1)*100)))</f>
        <v>0.73099415204675999</v>
      </c>
      <c r="DK390" s="35">
        <f>DK148+DK194+DK227+DK259+DK292</f>
        <v>2372.5</v>
      </c>
      <c r="DL390" s="81">
        <f t="shared" ref="DL390:DL395" si="1154">IF(ISERROR((DK390/DC390-1)*100),"NA",IF(((DK390/DC390-1)*100)&gt;100,"NM",IF(((DK390/DC390-1)*100)&lt;-50,"NM",(DK390/DC390-1)*100)))</f>
        <v>44.330210487893915</v>
      </c>
      <c r="DM390" s="35">
        <f>DM148+DM194+DM227+DM259+DM292</f>
        <v>1653.9</v>
      </c>
      <c r="DN390" s="81">
        <f t="shared" ref="DN390:DP395" si="1155">IF(ISERROR((DM390/DE390-1)*100),"NA",IF(((DM390/DE390-1)*100)&gt;100,"NM",IF(((DM390/DE390-1)*100)&lt;-50,"NM",(DM390/DE390-1)*100)))</f>
        <v>1.3853981487157441</v>
      </c>
      <c r="DO390" s="35">
        <f>DO148+DO194+DO227+DO259+DO292</f>
        <v>1702.8000000000002</v>
      </c>
      <c r="DP390" s="81">
        <f t="shared" si="1155"/>
        <v>2.9877827506955557</v>
      </c>
      <c r="DQ390" s="35">
        <f>DQ148+DQ194+DQ227+DQ259+DQ292</f>
        <v>1690.9</v>
      </c>
      <c r="DR390" s="81">
        <f t="shared" ref="DR390:DR395" si="1156">IF(ISERROR((DQ390/DI390-1)*100),"NA",IF(((DQ390/DI390-1)*100)&gt;100,"NM",IF(((DQ390/DI390-1)*100)&lt;-50,"NM",(DQ390/DI390-1)*100)))</f>
        <v>2.2556845670053338</v>
      </c>
      <c r="DS390" s="35">
        <f>DS148+DS194+DS227+DS259+DS292</f>
        <v>1735.2</v>
      </c>
      <c r="DT390" s="81">
        <f t="shared" ref="DT390:DT395" si="1157">IF(ISERROR((DS390/DK390-1)*100),"NA",IF(((DS390/DK390-1)*100)&gt;100,"NM",IF(((DS390/DK390-1)*100)&lt;-50,"NM",(DS390/DK390-1)*100)))</f>
        <v>-26.861959957850367</v>
      </c>
      <c r="DU390" s="35">
        <f>DU148+DU194+DU227+DU259+DU292</f>
        <v>1729.8000000000002</v>
      </c>
      <c r="DV390" s="81">
        <f t="shared" ref="DV390:DV395" si="1158">IF(ISERROR((DU390/DM390-1)*100),"NA",IF(((DU390/DM390-1)*100)&gt;100,"NM",IF(((DU390/DM390-1)*100)&lt;-50,"NM",(DU390/DM390-1)*100)))</f>
        <v>4.5891529113005758</v>
      </c>
      <c r="DW390" s="35">
        <f>DW148+DW194+DW227+DW259+DW292</f>
        <v>1733.5</v>
      </c>
      <c r="DX390" s="81">
        <f t="shared" ref="DX390:DX395" si="1159">IF(ISERROR((DW390/DO390-1)*100),"NA",IF(((DW390/DO390-1)*100)&gt;100,"NM",IF(((DW390/DO390-1)*100)&lt;-50,"NM",(DW390/DO390-1)*100)))</f>
        <v>1.8029128494244651</v>
      </c>
      <c r="DY390" s="35">
        <f>DY148+DY194+DY227+DY259+DY292</f>
        <v>1742.6</v>
      </c>
      <c r="DZ390" s="81">
        <f t="shared" ref="DZ390:DZ395" si="1160">IF(ISERROR((DY390/DQ390-1)*100),"NA",IF(((DY390/DQ390-1)*100)&gt;100,"NM",IF(((DY390/DQ390-1)*100)&lt;-50,"NM",(DY390/DQ390-1)*100)))</f>
        <v>3.0575433201253555</v>
      </c>
      <c r="EA390" s="35">
        <f>EA148+EA194+EA227+EA259+EA292</f>
        <v>1735.9</v>
      </c>
      <c r="EB390" s="81">
        <f t="shared" ref="EB390:EB395" si="1161">IF(ISERROR((EA390/DS390-1)*100),"NA",IF(((EA390/DS390-1)*100)&gt;100,"NM",IF(((EA390/DS390-1)*100)&lt;-50,"NM",(EA390/DS390-1)*100)))</f>
        <v>4.0341171046565094E-2</v>
      </c>
      <c r="EC390" s="35">
        <f>EC148+EC194+EC227+EC259+EC292</f>
        <v>1749</v>
      </c>
      <c r="ED390" s="81">
        <f t="shared" ref="ED390:ED395" si="1162">IF(ISERROR((EC390/DU390-1)*100),"NA",IF(((EC390/DU390-1)*100)&gt;100,"NM",IF(((EC390/DU390-1)*100)&lt;-50,"NM",(EC390/DU390-1)*100)))</f>
        <v>1.109954908081856</v>
      </c>
      <c r="EE390" s="35">
        <f>EE148+EE194+EE227+EE259+EE292</f>
        <v>1752</v>
      </c>
      <c r="EF390" s="81">
        <f t="shared" ref="EF390:EF395" si="1163">IF(ISERROR((EE390/DW390-1)*100),"NA",IF(((EE390/DW390-1)*100)&gt;100,"NM",IF(((EE390/DW390-1)*100)&lt;-50,"NM",(EE390/DW390-1)*100)))</f>
        <v>1.0672050764349628</v>
      </c>
      <c r="EG390" s="35">
        <f>EG148+EG194+EG227+EG259+EG292</f>
        <v>1765.6</v>
      </c>
      <c r="EH390" s="81">
        <f t="shared" ref="EH390:EH395" si="1164">IF(ISERROR((EG390/DY390-1)*100),"NA",IF(((EG390/DY390-1)*100)&gt;100,"NM",IF(((EG390/DY390-1)*100)&lt;-50,"NM",(EG390/DY390-1)*100)))</f>
        <v>1.3198668656031254</v>
      </c>
      <c r="EI390" s="35">
        <f>EI148+EI194+EI227+EI259+EI292</f>
        <v>1789.1</v>
      </c>
      <c r="EJ390" s="81">
        <f t="shared" ref="EJ390:EJ395" si="1165">IF(ISERROR((EI390/EA390-1)*100),"NA",IF(((EI390/EA390-1)*100)&gt;100,"NM",IF(((EI390/EA390-1)*100)&lt;-50,"NM",(EI390/EA390-1)*100)))</f>
        <v>3.0646926666282548</v>
      </c>
      <c r="EK390" s="35">
        <f t="shared" ref="EK390:EQ390" si="1166">EK148+EK194+EK227+EK259+EK292</f>
        <v>1801.6733503587916</v>
      </c>
      <c r="EL390" s="81">
        <f t="shared" ref="EL390:EL395" si="1167">IF(ISERROR((EK390/EC390-1)*100),"NA",IF(((EK390/EC390-1)*100)&gt;100,"NM",IF(((EK390/EC390-1)*100)&lt;-50,"NM",(EK390/EC390-1)*100)))</f>
        <v>3.0116266643105627</v>
      </c>
      <c r="EM390" s="35">
        <f t="shared" si="1166"/>
        <v>1806.5095744570506</v>
      </c>
      <c r="EN390" s="81">
        <f t="shared" ref="EN390:EN395" si="1168">IF(ISERROR((EM390/EE390-1)*100),"NA",IF(((EM390/EE390-1)*100)&gt;100,"NM",IF(((EM390/EE390-1)*100)&lt;-50,"NM",(EM390/EE390-1)*100)))</f>
        <v>3.1112770808818802</v>
      </c>
      <c r="EO390" s="35">
        <f t="shared" si="1166"/>
        <v>1815.488159223255</v>
      </c>
      <c r="EP390" s="81">
        <f t="shared" ref="EP390:EP395" si="1169">IF(ISERROR((EO390/EG390-1)*100),"NA",IF(((EO390/EG390-1)*100)&gt;100,"NM",IF(((EO390/EG390-1)*100)&lt;-50,"NM",(EO390/EG390-1)*100)))</f>
        <v>2.8255640701889018</v>
      </c>
      <c r="EQ390" s="35">
        <f t="shared" si="1166"/>
        <v>1813.4421543263566</v>
      </c>
      <c r="ER390" s="81">
        <f t="shared" ref="ER390:ER395" si="1170">IF(ISERROR((EQ390/EI390-1)*100),"NA",IF(((EQ390/EI390-1)*100)&gt;100,"NM",IF(((EQ390/EI390-1)*100)&lt;-50,"NM",(EQ390/EI390-1)*100)))</f>
        <v>1.3605809807365032</v>
      </c>
      <c r="ES390" s="129"/>
      <c r="ET390" s="470"/>
      <c r="EU390" s="129"/>
      <c r="EV390" s="129"/>
      <c r="EW390" s="79"/>
      <c r="EX390" s="129"/>
      <c r="EY390" s="79"/>
      <c r="EZ390" s="129"/>
      <c r="FA390" s="79"/>
      <c r="FB390" s="35">
        <f>FB148+FB194+FB227+FB259+FB319</f>
        <v>559.4</v>
      </c>
      <c r="FC390" s="79" t="str">
        <f t="shared" ref="FC390:FC395" si="1171">IF(ISERROR((FB390/EZ390-1)*100),"NA",IF(((FB390/EZ390-1)*100)&gt;100,"NM",IF(((FB390/EZ390-1)*100)&lt;-50,"NM",(FB390/EZ390-1)*100)))</f>
        <v>NA</v>
      </c>
      <c r="FD390" s="35">
        <f>FD148+FD194+FD227+FD259+FD319</f>
        <v>6324.8</v>
      </c>
      <c r="FE390" s="79" t="str">
        <f t="shared" ref="FE390:FE395" si="1172">IF(ISERROR((FD390/FB390-1)*100),"NA",IF(((FD390/FB390-1)*100)&gt;100,"NM",IF(((FD390/FB390-1)*100)&lt;-50,"NM",(FD390/FB390-1)*100)))</f>
        <v>NM</v>
      </c>
      <c r="FF390" s="35">
        <f>FF148+FF194+FF227+FF259+FF319</f>
        <v>7868.1</v>
      </c>
      <c r="FG390" s="79">
        <f t="shared" ref="FG390:FG395" si="1173">IF(ISERROR((FF390/FD390-1)*100),"NA",IF(((FF390/FD390-1)*100)&gt;100,"NM",IF(((FF390/FD390-1)*100)&lt;-50,"NM",(FF390/FD390-1)*100)))</f>
        <v>24.400771565899326</v>
      </c>
      <c r="FH390" s="35">
        <f>FH148+FH194+FH227+FH259+FH319</f>
        <v>7248.4000000000005</v>
      </c>
      <c r="FI390" s="79">
        <f t="shared" ref="FI390:GQ395" si="1174">IF(ISERROR((FH390/FF390-1)*100),"NA",IF(((FH390/FF390-1)*100)&gt;100,"NM",IF(((FH390/FF390-1)*100)&lt;-50,"NM",(FH390/FF390-1)*100)))</f>
        <v>-7.8761073194290816</v>
      </c>
      <c r="FJ390" s="35">
        <f>FJ148+FJ194+FJ227+FJ259+FJ292</f>
        <v>7030.4999999999991</v>
      </c>
      <c r="FK390" s="79">
        <f t="shared" si="1174"/>
        <v>-3.0061806743557407</v>
      </c>
      <c r="FL390" s="35">
        <f>FL148+FL194+FL227+FL259+FL292</f>
        <v>7165.8</v>
      </c>
      <c r="FM390" s="79">
        <f t="shared" si="1174"/>
        <v>1.9244719436739999</v>
      </c>
      <c r="FN390" s="35">
        <f>FN148+FN194+FN227+FN259+FN292</f>
        <v>6935.2</v>
      </c>
      <c r="FO390" s="79">
        <f t="shared" si="1174"/>
        <v>-3.2180635797817492</v>
      </c>
      <c r="FP390" s="35">
        <f>FP148+FP194+FP227+FP259+FP292</f>
        <v>6626.4000000000005</v>
      </c>
      <c r="FQ390" s="79">
        <f t="shared" si="1174"/>
        <v>-4.4526473641711695</v>
      </c>
      <c r="FR390" s="35">
        <f>FR148+FR194+FR227+FR259+FR292</f>
        <v>6291.6</v>
      </c>
      <c r="FS390" s="79">
        <f t="shared" si="1174"/>
        <v>-5.0525172039116324</v>
      </c>
      <c r="FT390" s="35">
        <f>FT148+FT194+FT227+FT259+FT292</f>
        <v>6354.1</v>
      </c>
      <c r="FU390" s="79">
        <f t="shared" si="1174"/>
        <v>0.99338800940937944</v>
      </c>
      <c r="FV390" s="35">
        <f>FV148+FV194+FV227+FV259+FV292</f>
        <v>7209.5</v>
      </c>
      <c r="FW390" s="79">
        <f t="shared" si="1174"/>
        <v>13.462174029366869</v>
      </c>
      <c r="FX390" s="35">
        <f>FX148+FX194+FX227+FX259+FX292</f>
        <v>6722.2000000000007</v>
      </c>
      <c r="FY390" s="79">
        <f t="shared" si="1174"/>
        <v>-6.7591372494625102</v>
      </c>
      <c r="FZ390" s="35">
        <f>FZ148+FZ194+FZ227+FZ259+FZ292</f>
        <v>6595.7000000000007</v>
      </c>
      <c r="GA390" s="79">
        <f t="shared" si="1174"/>
        <v>-1.8818244027252962</v>
      </c>
      <c r="GB390" s="35">
        <f>GB148+GB194+GB227+GB259+GB292</f>
        <v>7310.7999999999993</v>
      </c>
      <c r="GC390" s="79">
        <f t="shared" si="1174"/>
        <v>10.841912154888767</v>
      </c>
      <c r="GD390" s="35">
        <f>GD148+GD194+GD227+GD259+GD292</f>
        <v>6782.8</v>
      </c>
      <c r="GE390" s="79">
        <f t="shared" si="1174"/>
        <v>-7.2221918257919686</v>
      </c>
      <c r="GF390" s="35">
        <f>GF148+GF194+GF227+GF259+GF292</f>
        <v>6941.8</v>
      </c>
      <c r="GG390" s="79">
        <f t="shared" si="1174"/>
        <v>2.344164651766234</v>
      </c>
      <c r="GH390" s="35">
        <f>GH148+GH194+GH227+GH259+GH292</f>
        <v>7055.7000000000007</v>
      </c>
      <c r="GI390" s="79">
        <f t="shared" si="1174"/>
        <v>1.6407848108559886</v>
      </c>
      <c r="GJ390" s="35">
        <f>GJ148+GJ194+GJ227+GJ259+GJ292</f>
        <v>7237.1132383654531</v>
      </c>
      <c r="GK390" s="79">
        <f t="shared" si="1174"/>
        <v>2.5711586145308329</v>
      </c>
      <c r="GL390" s="35">
        <f>GL148+GL194+GL227+GL259+GL292</f>
        <v>7355.669826588628</v>
      </c>
      <c r="GM390" s="79">
        <f t="shared" si="1174"/>
        <v>1.6381751164909364</v>
      </c>
      <c r="GN390" s="35">
        <f>GN148+GN194+GN227+GN259+GN292</f>
        <v>7482.4243427600186</v>
      </c>
      <c r="GO390" s="79">
        <f t="shared" si="1174"/>
        <v>1.7232219384454961</v>
      </c>
      <c r="GP390" s="35">
        <f>GP148+GP194+GP227+GP259+GP292</f>
        <v>7617.2058432249878</v>
      </c>
      <c r="GQ390" s="79">
        <f t="shared" si="1174"/>
        <v>1.8013078955537054</v>
      </c>
      <c r="GR390" s="35">
        <f>GR148+GR194+GR227+GR259+GR292</f>
        <v>7769.6060080091847</v>
      </c>
      <c r="GS390" s="79">
        <f t="shared" ref="GS390:GS395" si="1175">IF(ISERROR((GR390/GP390-1)*100),"NA",IF(((GR390/GP390-1)*100)&gt;100,"NM",IF(((GR390/GP390-1)*100)&lt;-50,"NM",(GR390/GP390-1)*100)))</f>
        <v>2.0007358068148795</v>
      </c>
      <c r="GT390" s="79">
        <f t="shared" ref="GT390:GT395" si="1176">IF(ISERROR(((GR390/GH390)^0.2-1)*100),"NA",(IF(OR(((GR390/GH390)^0.2-1)*100&gt;99,((GR390/GH390)^0.2-1)*100&lt;-50),"NM",(((GR390/GH390)^0.2-1)*100))))</f>
        <v>1.9463726900206257</v>
      </c>
    </row>
    <row r="391" spans="1:286" ht="12.75" customHeight="1" x14ac:dyDescent="0.2">
      <c r="A391" s="1"/>
      <c r="B391" s="312" t="s">
        <v>499</v>
      </c>
      <c r="C391" s="79"/>
      <c r="D391" s="79"/>
      <c r="E391" s="35">
        <v>198.9</v>
      </c>
      <c r="F391" s="129"/>
      <c r="G391" s="35">
        <v>196.4</v>
      </c>
      <c r="H391" s="129"/>
      <c r="I391" s="35">
        <v>191.3</v>
      </c>
      <c r="J391" s="129"/>
      <c r="K391" s="35">
        <v>196.2</v>
      </c>
      <c r="L391" s="79"/>
      <c r="M391" s="35">
        <v>204.1</v>
      </c>
      <c r="N391" s="79">
        <v>2.6143790849673332</v>
      </c>
      <c r="O391" s="35">
        <v>208.6</v>
      </c>
      <c r="P391" s="79">
        <v>6.2118126272912466</v>
      </c>
      <c r="Q391" s="35">
        <v>202.1</v>
      </c>
      <c r="R391" s="79">
        <v>5.6455828541557951</v>
      </c>
      <c r="S391" s="35">
        <v>205.4</v>
      </c>
      <c r="T391" s="79">
        <v>4.6890927624872569</v>
      </c>
      <c r="U391" s="35">
        <v>221.2</v>
      </c>
      <c r="V391" s="79">
        <v>8.3782459578637827</v>
      </c>
      <c r="W391" s="35">
        <v>214.1</v>
      </c>
      <c r="X391" s="79">
        <v>2.6366251198465918</v>
      </c>
      <c r="Y391" s="35">
        <v>207.5</v>
      </c>
      <c r="Z391" s="79">
        <v>2.671944581890151</v>
      </c>
      <c r="AA391" s="34">
        <v>201.3</v>
      </c>
      <c r="AB391" s="79">
        <f t="shared" si="1118"/>
        <v>-1.9961051606621205</v>
      </c>
      <c r="AC391" s="35">
        <f>AC149+AC195+AC228+AC260+AC293</f>
        <v>221.3</v>
      </c>
      <c r="AD391" s="79">
        <f t="shared" si="1119"/>
        <v>4.5207956600368249E-2</v>
      </c>
      <c r="AE391" s="35">
        <f>AE149+AE195+AE228+AE260+AE293</f>
        <v>212.4</v>
      </c>
      <c r="AF391" s="79">
        <f t="shared" si="1120"/>
        <v>-0.79402148528724403</v>
      </c>
      <c r="AG391" s="35">
        <f>AG149+AG195+AG228+AG260+AG293</f>
        <v>207.8</v>
      </c>
      <c r="AH391" s="79">
        <f t="shared" si="1121"/>
        <v>0.14457831325300763</v>
      </c>
      <c r="AI391" s="35">
        <f>AI149+AI195+AI228+AI260+AI293</f>
        <v>200.8</v>
      </c>
      <c r="AJ391" s="79">
        <f t="shared" si="1122"/>
        <v>-0.24838549428712886</v>
      </c>
      <c r="AK391" s="35">
        <f>AK149+AK195+AK228+AK260+AK293</f>
        <v>207.70000000000002</v>
      </c>
      <c r="AL391" s="79">
        <f t="shared" si="1123"/>
        <v>-6.1455038409399032</v>
      </c>
      <c r="AM391" s="35">
        <f>AM149+AM195+AM228+AM260+AM293</f>
        <v>210.2</v>
      </c>
      <c r="AN391" s="79">
        <f t="shared" si="1124"/>
        <v>-1.0357815442561313</v>
      </c>
      <c r="AO391" s="35">
        <f>AO149+AO195+AO228+AO260+AO293</f>
        <v>191.5</v>
      </c>
      <c r="AP391" s="79">
        <f t="shared" si="1124"/>
        <v>-7.8440808469682484</v>
      </c>
      <c r="AQ391" s="35">
        <f>AQ149+AQ195+AQ228+AQ260+AQ293</f>
        <v>195.3</v>
      </c>
      <c r="AR391" s="79">
        <f t="shared" si="1124"/>
        <v>-2.7390438247011928</v>
      </c>
      <c r="AS391" s="35">
        <f>AS149+AS195+AS228+AS260+AS293</f>
        <v>210.9</v>
      </c>
      <c r="AT391" s="81">
        <f t="shared" si="1124"/>
        <v>1.5406836783822708</v>
      </c>
      <c r="AU391" s="35">
        <f>AU149+AU195+AU228+AU260+AU293</f>
        <v>203.70000000000002</v>
      </c>
      <c r="AV391" s="81">
        <f t="shared" si="1124"/>
        <v>-3.0922930542340521</v>
      </c>
      <c r="AW391" s="35">
        <f>AW149+AW195+AW228+AW260+AW293</f>
        <v>198.90000000000003</v>
      </c>
      <c r="AX391" s="81">
        <f t="shared" si="1124"/>
        <v>3.864229765013083</v>
      </c>
      <c r="AY391" s="35">
        <f>AY149+AY195+AY228+AY260+AY293</f>
        <v>205.5</v>
      </c>
      <c r="AZ391" s="81">
        <f t="shared" si="1124"/>
        <v>5.2227342549923117</v>
      </c>
      <c r="BA391" s="35">
        <f>BA149+BA195+BA228+BA260+BA293</f>
        <v>213</v>
      </c>
      <c r="BB391" s="81">
        <f t="shared" si="1124"/>
        <v>0.99573257467993059</v>
      </c>
      <c r="BC391" s="35">
        <f>BC149+BC195+BC228+BC260+BC293</f>
        <v>208.29999999999998</v>
      </c>
      <c r="BD391" s="81">
        <f t="shared" si="1124"/>
        <v>2.2582228767795698</v>
      </c>
      <c r="BE391" s="35">
        <f>BE149+BE195+BE228+BE260+BE293</f>
        <v>209.20000000000002</v>
      </c>
      <c r="BF391" s="81">
        <f t="shared" si="1125"/>
        <v>5.178481649069866</v>
      </c>
      <c r="BG391" s="35">
        <f>BG149+BG195+BG228+BG260+BG293</f>
        <v>210.59999999999997</v>
      </c>
      <c r="BH391" s="81">
        <f t="shared" si="1126"/>
        <v>2.4817518248174908</v>
      </c>
      <c r="BI391" s="35">
        <f>BI149+BI195+BI228+BI260+BI293</f>
        <v>218.89999999999998</v>
      </c>
      <c r="BJ391" s="81">
        <f t="shared" si="1127"/>
        <v>2.7699530516431814</v>
      </c>
      <c r="BK391" s="35">
        <f>BK149+BK195+BK228+BK260+BK293</f>
        <v>212.9</v>
      </c>
      <c r="BL391" s="81">
        <f t="shared" si="1128"/>
        <v>2.2083533365338637</v>
      </c>
      <c r="BM391" s="35">
        <f>BM149+BM195+BM228+BM260+BM293</f>
        <v>213.00000000000003</v>
      </c>
      <c r="BN391" s="81">
        <f t="shared" si="1129"/>
        <v>1.8164435946462776</v>
      </c>
      <c r="BO391" s="35">
        <f>BO149+BO195+BO228+BO260+BO293</f>
        <v>208.5</v>
      </c>
      <c r="BP391" s="81">
        <f t="shared" si="1130"/>
        <v>-0.99715099715098621</v>
      </c>
      <c r="BQ391" s="35">
        <f>BQ149+BQ195+BQ228+BQ260+BQ293</f>
        <v>216.2</v>
      </c>
      <c r="BR391" s="81">
        <f t="shared" si="1131"/>
        <v>-1.2334399269072538</v>
      </c>
      <c r="BS391" s="35">
        <f>BS149+BS195+BS228+BS260+BS293</f>
        <v>212.40000000000003</v>
      </c>
      <c r="BT391" s="81">
        <f t="shared" si="1132"/>
        <v>-0.23485204321276321</v>
      </c>
      <c r="BU391" s="35">
        <f>BU149+BU195+BU228+BU260+BU293</f>
        <v>203.6</v>
      </c>
      <c r="BV391" s="81">
        <f t="shared" si="1133"/>
        <v>-4.4131455399061164</v>
      </c>
      <c r="BW391" s="35">
        <f>BW149+BW195+BW228+BW260+BW293</f>
        <v>204.90000000000003</v>
      </c>
      <c r="BX391" s="81">
        <f t="shared" si="1134"/>
        <v>-1.7266187050359538</v>
      </c>
      <c r="BY391" s="35">
        <f>BY149+BY195+BY228+BY260+BY293</f>
        <v>218.3</v>
      </c>
      <c r="BZ391" s="81">
        <f t="shared" si="1135"/>
        <v>0.97132284921370715</v>
      </c>
      <c r="CA391" s="35">
        <f>CA149+CA195+CA228+CA260+CA293</f>
        <v>207.8</v>
      </c>
      <c r="CB391" s="81">
        <f t="shared" si="1136"/>
        <v>-2.1657250470809908</v>
      </c>
      <c r="CC391" s="35">
        <f>CC149+CC195+CC228+CC260+CC293</f>
        <v>214</v>
      </c>
      <c r="CD391" s="81">
        <f t="shared" si="1137"/>
        <v>5.1080550098231869</v>
      </c>
      <c r="CE391" s="35">
        <f>CE149+CE195+CE228+CE260+CE293</f>
        <v>215.3</v>
      </c>
      <c r="CF391" s="81">
        <f t="shared" si="1138"/>
        <v>5.0756466569057856</v>
      </c>
      <c r="CG391" s="35">
        <f>CG149+CG195+CG228+CG260+CG293</f>
        <v>224.3</v>
      </c>
      <c r="CH391" s="81">
        <f t="shared" si="1139"/>
        <v>2.748511223087502</v>
      </c>
      <c r="CI391" s="35">
        <f>CI149+CI195+CI228+CI260+CI293</f>
        <v>217.9</v>
      </c>
      <c r="CJ391" s="81">
        <f t="shared" si="1140"/>
        <v>4.8604427333974964</v>
      </c>
      <c r="CK391" s="35">
        <f>CK149+CK195+CK228+CK260+CK293</f>
        <v>220.5</v>
      </c>
      <c r="CL391" s="81">
        <f t="shared" si="1141"/>
        <v>3.0373831775700966</v>
      </c>
      <c r="CM391" s="35">
        <f>CM149+CM195+CM228+CM260+CM293</f>
        <v>216.5</v>
      </c>
      <c r="CN391" s="81">
        <f t="shared" si="1142"/>
        <v>0.55736182071528528</v>
      </c>
      <c r="CO391" s="35">
        <f>CO149+CO195+CO228+CO260+CO293</f>
        <v>232.3</v>
      </c>
      <c r="CP391" s="81">
        <f t="shared" si="1143"/>
        <v>3.5666518056174823</v>
      </c>
      <c r="CQ391" s="35">
        <f>CQ149+CQ195+CQ228+CQ260+CQ293</f>
        <v>230.8</v>
      </c>
      <c r="CR391" s="81">
        <f t="shared" si="1144"/>
        <v>5.9201468563561344</v>
      </c>
      <c r="CS391" s="35">
        <f>CS149+CS195+CS228+CS260+CS293</f>
        <v>227.7</v>
      </c>
      <c r="CT391" s="81">
        <f t="shared" si="1145"/>
        <v>3.2653061224489743</v>
      </c>
      <c r="CU391" s="35">
        <f>CU149+CU195+CU228+CU260+CU293</f>
        <v>226.4</v>
      </c>
      <c r="CV391" s="81">
        <f t="shared" si="1146"/>
        <v>4.5727482678983966</v>
      </c>
      <c r="CW391" s="35">
        <f>CW149+CW195+CW228+CW260+CW293</f>
        <v>238.20000000000002</v>
      </c>
      <c r="CX391" s="81">
        <f t="shared" si="1147"/>
        <v>2.5398191993112329</v>
      </c>
      <c r="CY391" s="35">
        <f>CY149+CY195+CY228+CY260+CY293</f>
        <v>220.79999999999998</v>
      </c>
      <c r="CZ391" s="81">
        <f t="shared" si="1148"/>
        <v>-4.3327556325823302</v>
      </c>
      <c r="DA391" s="35">
        <f>DA149+DA195+DA228+DA260+DA293</f>
        <v>222.6</v>
      </c>
      <c r="DB391" s="81">
        <f t="shared" si="1149"/>
        <v>-2.2397891963109373</v>
      </c>
      <c r="DC391" s="35">
        <f>DC149+DC195+DC228+DC260+DC293</f>
        <v>227.9</v>
      </c>
      <c r="DD391" s="81">
        <f t="shared" si="1150"/>
        <v>0.66254416961131213</v>
      </c>
      <c r="DE391" s="35">
        <f>DE149+DE195+DE228+DE260+DE293</f>
        <v>236</v>
      </c>
      <c r="DF391" s="81">
        <f t="shared" si="1151"/>
        <v>-0.92359361880772761</v>
      </c>
      <c r="DG391" s="35">
        <f>DG149+DG195+DG228+DG260+DG293</f>
        <v>229.2</v>
      </c>
      <c r="DH391" s="81">
        <f t="shared" si="1152"/>
        <v>3.8043478260869623</v>
      </c>
      <c r="DI391" s="35">
        <f>DI149+DI195+DI228+DI260+DI293</f>
        <v>232</v>
      </c>
      <c r="DJ391" s="81">
        <f t="shared" si="1153"/>
        <v>4.2228212039532753</v>
      </c>
      <c r="DK391" s="35">
        <f>DK149+DK195+DK228+DK260+DK293</f>
        <v>238.1</v>
      </c>
      <c r="DL391" s="81">
        <f t="shared" si="1154"/>
        <v>4.4756472136902037</v>
      </c>
      <c r="DM391" s="35">
        <f>DM149+DM195+DM228+DM260+DM293</f>
        <v>256.89999999999998</v>
      </c>
      <c r="DN391" s="81">
        <f t="shared" si="1155"/>
        <v>8.8559322033898269</v>
      </c>
      <c r="DO391" s="35">
        <f>DO149+DO195+DO228+DO260+DO293</f>
        <v>244.6</v>
      </c>
      <c r="DP391" s="81">
        <f t="shared" si="1155"/>
        <v>6.7190226876090886</v>
      </c>
      <c r="DQ391" s="35">
        <f>DQ149+DQ195+DQ228+DQ260+DQ293</f>
        <v>246.30000000000004</v>
      </c>
      <c r="DR391" s="81">
        <f t="shared" si="1156"/>
        <v>6.1637931034483007</v>
      </c>
      <c r="DS391" s="35">
        <f>DS149+DS195+DS228+DS260+DS293</f>
        <v>248.5</v>
      </c>
      <c r="DT391" s="81">
        <f t="shared" si="1157"/>
        <v>4.3679126417471625</v>
      </c>
      <c r="DU391" s="35">
        <f>DU149+DU195+DU228+DU260+DU293</f>
        <v>259.90000000000003</v>
      </c>
      <c r="DV391" s="81">
        <f t="shared" si="1158"/>
        <v>1.1677695601401528</v>
      </c>
      <c r="DW391" s="35">
        <f>DW149+DW195+DW228+DW260+DW293</f>
        <v>254.99999999999997</v>
      </c>
      <c r="DX391" s="81">
        <f t="shared" si="1159"/>
        <v>4.2518397383483064</v>
      </c>
      <c r="DY391" s="35">
        <f>DY149+DY195+DY228+DY260+DY293</f>
        <v>256.8</v>
      </c>
      <c r="DZ391" s="81">
        <f t="shared" si="1160"/>
        <v>4.2630937880633324</v>
      </c>
      <c r="EA391" s="35">
        <f>EA149+EA195+EA228+EA260+EA293</f>
        <v>255.00000000000003</v>
      </c>
      <c r="EB391" s="81">
        <f t="shared" si="1161"/>
        <v>2.6156941649899457</v>
      </c>
      <c r="EC391" s="35">
        <f>EC149+EC195+EC228+EC260+EC293</f>
        <v>270.2</v>
      </c>
      <c r="ED391" s="81">
        <f t="shared" si="1162"/>
        <v>3.9630627164293886</v>
      </c>
      <c r="EE391" s="35">
        <f>EE149+EE195+EE228+EE260+EE293</f>
        <v>261.29999999999995</v>
      </c>
      <c r="EF391" s="81">
        <f t="shared" si="1163"/>
        <v>2.4705882352941133</v>
      </c>
      <c r="EG391" s="35">
        <f>EG149+EG195+EG228+EG260+EG293</f>
        <v>262.39999999999998</v>
      </c>
      <c r="EH391" s="81">
        <f t="shared" si="1164"/>
        <v>2.1806853582554409</v>
      </c>
      <c r="EI391" s="35">
        <f>EI149+EI195+EI228+EI260+EI293</f>
        <v>266.89999999999998</v>
      </c>
      <c r="EJ391" s="81">
        <f t="shared" si="1165"/>
        <v>4.6666666666666412</v>
      </c>
      <c r="EK391" s="35">
        <f t="shared" ref="EK391:EQ391" si="1177">EK149+EK195+EK228+EK260+EK293</f>
        <v>271.03482393859105</v>
      </c>
      <c r="EL391" s="81">
        <f t="shared" si="1167"/>
        <v>0.30896518822762786</v>
      </c>
      <c r="EM391" s="35">
        <f t="shared" si="1177"/>
        <v>274.20005651809208</v>
      </c>
      <c r="EN391" s="81">
        <f t="shared" si="1168"/>
        <v>4.9368758201653762</v>
      </c>
      <c r="EO391" s="35">
        <f t="shared" si="1177"/>
        <v>278.12709437652336</v>
      </c>
      <c r="EP391" s="81">
        <f t="shared" si="1169"/>
        <v>5.9935573081262961</v>
      </c>
      <c r="EQ391" s="35">
        <f t="shared" si="1177"/>
        <v>280.72650854755227</v>
      </c>
      <c r="ER391" s="81">
        <f t="shared" si="1170"/>
        <v>5.1804078484646965</v>
      </c>
      <c r="ES391" s="129"/>
      <c r="ET391" s="470"/>
      <c r="EU391" s="129"/>
      <c r="EV391" s="129"/>
      <c r="EW391" s="79"/>
      <c r="EX391" s="129"/>
      <c r="EY391" s="79"/>
      <c r="EZ391" s="129"/>
      <c r="FA391" s="79"/>
      <c r="FB391" s="35">
        <f>FB149+FB195+FB228+FB260+FB320</f>
        <v>141.20000000000002</v>
      </c>
      <c r="FC391" s="79" t="str">
        <f t="shared" si="1171"/>
        <v>NA</v>
      </c>
      <c r="FD391" s="35">
        <f>FD149+FD195+FD228+FD260+FD320</f>
        <v>820.2</v>
      </c>
      <c r="FE391" s="79" t="str">
        <f t="shared" si="1172"/>
        <v>NM</v>
      </c>
      <c r="FF391" s="35">
        <f>FF149+FF195+FF228+FF260+FF320</f>
        <v>844.09999999999991</v>
      </c>
      <c r="FG391" s="79">
        <f t="shared" si="1173"/>
        <v>2.9139234333089403</v>
      </c>
      <c r="FH391" s="35">
        <f>FH149+FH195+FH228+FH260+FH320</f>
        <v>842.29999999999984</v>
      </c>
      <c r="FI391" s="79">
        <f t="shared" si="1174"/>
        <v>-0.21324487619951427</v>
      </c>
      <c r="FJ391" s="35">
        <f>FJ149+FJ195+FJ228+FJ260+FJ293</f>
        <v>804.7</v>
      </c>
      <c r="FK391" s="79">
        <f t="shared" si="1174"/>
        <v>-4.4639677074676198</v>
      </c>
      <c r="FL391" s="35">
        <f>FL149+FL195+FL228+FL260+FL293</f>
        <v>819</v>
      </c>
      <c r="FM391" s="79">
        <f t="shared" si="1174"/>
        <v>1.7770597738287597</v>
      </c>
      <c r="FN391" s="35">
        <f>FN149+FN195+FN228+FN260+FN293</f>
        <v>841.1</v>
      </c>
      <c r="FO391" s="79">
        <f t="shared" si="1174"/>
        <v>2.698412698412711</v>
      </c>
      <c r="FP391" s="35">
        <f>FP149+FP195+FP228+FP260+FP293</f>
        <v>853.3</v>
      </c>
      <c r="FQ391" s="79">
        <f t="shared" si="1174"/>
        <v>1.4504815123053127</v>
      </c>
      <c r="FR391" s="35">
        <f>FR149+FR195+FR228+FR260+FR293</f>
        <v>837.09999999999991</v>
      </c>
      <c r="FS391" s="79">
        <f t="shared" si="1174"/>
        <v>-1.8985116606117458</v>
      </c>
      <c r="FT391" s="35">
        <f>FT149+FT195+FT228+FT260+FT293</f>
        <v>855.40000000000009</v>
      </c>
      <c r="FU391" s="79">
        <f t="shared" si="1174"/>
        <v>2.1861187432803852</v>
      </c>
      <c r="FV391" s="35">
        <f>FV149+FV195+FV228+FV260+FV293</f>
        <v>879.2</v>
      </c>
      <c r="FW391" s="79">
        <f t="shared" si="1174"/>
        <v>2.7823240589198051</v>
      </c>
      <c r="FX391" s="35">
        <f>FX149+FX195+FX228+FX260+FX293</f>
        <v>917.2</v>
      </c>
      <c r="FY391" s="79">
        <f t="shared" si="1174"/>
        <v>4.3221110100090998</v>
      </c>
      <c r="FZ391" s="35">
        <f>FZ149+FZ195+FZ228+FZ260+FZ293</f>
        <v>909.5</v>
      </c>
      <c r="GA391" s="79">
        <f t="shared" si="1174"/>
        <v>-0.83951155691234236</v>
      </c>
      <c r="GB391" s="35">
        <f>GB149+GB195+GB228+GB260+GB293</f>
        <v>935.3</v>
      </c>
      <c r="GC391" s="79">
        <f t="shared" si="1174"/>
        <v>2.8367234744365089</v>
      </c>
      <c r="GD391" s="35">
        <f>GD149+GD195+GD228+GD260+GD293</f>
        <v>996.29999999999984</v>
      </c>
      <c r="GE391" s="79">
        <f t="shared" si="1174"/>
        <v>6.5219715599272865</v>
      </c>
      <c r="GF391" s="35">
        <f>GF149+GF195+GF228+GF260+GF293</f>
        <v>1026.7</v>
      </c>
      <c r="GG391" s="79">
        <f t="shared" si="1174"/>
        <v>3.0512897721570065</v>
      </c>
      <c r="GH391" s="35">
        <f>GH149+GH195+GH228+GH260+GH293</f>
        <v>1060.8</v>
      </c>
      <c r="GI391" s="79">
        <f t="shared" si="1174"/>
        <v>3.3213207363397279</v>
      </c>
      <c r="GJ391" s="35">
        <f>GJ149+GJ195+GJ228+GJ260+GJ293</f>
        <v>1104.0884833807588</v>
      </c>
      <c r="GK391" s="79">
        <f t="shared" si="1174"/>
        <v>4.0807393835557093</v>
      </c>
      <c r="GL391" s="35">
        <f>GL149+GL195+GL228+GL260+GL293</f>
        <v>1133.763204541304</v>
      </c>
      <c r="GM391" s="79">
        <f t="shared" si="1174"/>
        <v>2.6877122266215636</v>
      </c>
      <c r="GN391" s="35">
        <f>GN149+GN195+GN228+GN260+GN293</f>
        <v>1164.6975067784197</v>
      </c>
      <c r="GO391" s="79">
        <f t="shared" si="1174"/>
        <v>2.7284623555613674</v>
      </c>
      <c r="GP391" s="35">
        <f>GP149+GP195+GP228+GP260+GP293</f>
        <v>1196.9375974393633</v>
      </c>
      <c r="GQ391" s="79">
        <f t="shared" si="1174"/>
        <v>2.7681084979842119</v>
      </c>
      <c r="GR391" s="35">
        <f>GR149+GR195+GR228+GR260+GR293</f>
        <v>1230.5319158376651</v>
      </c>
      <c r="GS391" s="79">
        <f t="shared" si="1175"/>
        <v>2.8066892100449436</v>
      </c>
      <c r="GT391" s="79">
        <f t="shared" si="1176"/>
        <v>3.0129618441458117</v>
      </c>
    </row>
    <row r="392" spans="1:286" ht="12.75" customHeight="1" x14ac:dyDescent="0.2">
      <c r="A392" s="1"/>
      <c r="B392" s="312" t="s">
        <v>311</v>
      </c>
      <c r="C392" s="79"/>
      <c r="D392" s="79"/>
      <c r="E392" s="35">
        <v>-63.9</v>
      </c>
      <c r="F392" s="129"/>
      <c r="G392" s="35">
        <v>-69.099999999999994</v>
      </c>
      <c r="H392" s="129"/>
      <c r="I392" s="35">
        <v>-60.4</v>
      </c>
      <c r="J392" s="129"/>
      <c r="K392" s="35">
        <v>-69.8</v>
      </c>
      <c r="L392" s="79"/>
      <c r="M392" s="35">
        <v>-58.2</v>
      </c>
      <c r="N392" s="79">
        <v>-8.920187793427214</v>
      </c>
      <c r="O392" s="35">
        <v>-72.8</v>
      </c>
      <c r="P392" s="79">
        <v>5.3545586107091481</v>
      </c>
      <c r="Q392" s="35">
        <v>-63</v>
      </c>
      <c r="R392" s="79">
        <v>4.3046357615893927</v>
      </c>
      <c r="S392" s="35">
        <v>-78.5</v>
      </c>
      <c r="T392" s="79">
        <v>12.464183381088812</v>
      </c>
      <c r="U392" s="35">
        <v>-58.7</v>
      </c>
      <c r="V392" s="79">
        <v>0.85910652920959674</v>
      </c>
      <c r="W392" s="35">
        <v>-56.8</v>
      </c>
      <c r="X392" s="79">
        <v>-21.978021978021999</v>
      </c>
      <c r="Y392" s="35">
        <v>-45.6</v>
      </c>
      <c r="Z392" s="79">
        <v>-27.61904761904761</v>
      </c>
      <c r="AA392" s="34">
        <v>-46.2</v>
      </c>
      <c r="AB392" s="79">
        <f t="shared" si="1118"/>
        <v>-41.146496815286618</v>
      </c>
      <c r="AC392" s="96">
        <f>AC150+AC196+AC229+AC261+AC294</f>
        <v>-39.700000000000003</v>
      </c>
      <c r="AD392" s="79">
        <f t="shared" si="1119"/>
        <v>-32.367972742759797</v>
      </c>
      <c r="AE392" s="96">
        <f>AE150+AE196+AE229+AE261+AE294</f>
        <v>-36.5</v>
      </c>
      <c r="AF392" s="79">
        <f t="shared" si="1120"/>
        <v>-35.739436619718305</v>
      </c>
      <c r="AG392" s="96">
        <f>AG150+AG196+AG229+AG261+AG294</f>
        <v>-30.329999999999995</v>
      </c>
      <c r="AH392" s="79">
        <f t="shared" si="1121"/>
        <v>-33.486842105263172</v>
      </c>
      <c r="AI392" s="96">
        <f>AI150+AI196+AI229+AI261+AI294</f>
        <v>-14.070000000000006</v>
      </c>
      <c r="AJ392" s="79" t="str">
        <f t="shared" si="1122"/>
        <v>NM</v>
      </c>
      <c r="AK392" s="96">
        <f>AK150+AK196+AK229+AK261+AK294</f>
        <v>-21.800000000000004</v>
      </c>
      <c r="AL392" s="79">
        <f t="shared" si="1123"/>
        <v>-45.088161209067998</v>
      </c>
      <c r="AM392" s="96">
        <f>AM150+AM196+AM229+AM261+AM294</f>
        <v>-23.899999999999991</v>
      </c>
      <c r="AN392" s="79">
        <f t="shared" si="1124"/>
        <v>-34.520547945205507</v>
      </c>
      <c r="AO392" s="96">
        <f>AO150+AO196+AO229+AO261+AO294</f>
        <v>-6.9999999999999938</v>
      </c>
      <c r="AP392" s="79" t="str">
        <f t="shared" si="1124"/>
        <v>NM</v>
      </c>
      <c r="AQ392" s="96">
        <f>AQ150+AQ196+AQ229+AQ261+AQ294</f>
        <v>-2.9999999999999902</v>
      </c>
      <c r="AR392" s="79" t="str">
        <f t="shared" si="1124"/>
        <v>NM</v>
      </c>
      <c r="AS392" s="96">
        <f>AS150+AS196+AS229+AS261+AS294</f>
        <v>-16.100000000000001</v>
      </c>
      <c r="AT392" s="81">
        <f t="shared" si="1124"/>
        <v>-26.146788990825698</v>
      </c>
      <c r="AU392" s="96">
        <f>AU150+AU196+AU229+AU261+AU294</f>
        <v>-11.400000000000006</v>
      </c>
      <c r="AV392" s="81" t="str">
        <f t="shared" si="1124"/>
        <v>NM</v>
      </c>
      <c r="AW392" s="96">
        <f>AW150+AW196+AW229+AW261+AW294</f>
        <v>-9.5999999999999943</v>
      </c>
      <c r="AX392" s="81">
        <f t="shared" si="1124"/>
        <v>37.142857142857189</v>
      </c>
      <c r="AY392" s="96">
        <f>AY150+AY196+AY229+AY261+AY294</f>
        <v>-8.5000000000000018</v>
      </c>
      <c r="AZ392" s="81" t="str">
        <f t="shared" si="1124"/>
        <v>NM</v>
      </c>
      <c r="BA392" s="96">
        <f>BA150+BA196+BA229+BA261+BA294</f>
        <v>-21.499999999999996</v>
      </c>
      <c r="BB392" s="81">
        <f t="shared" si="1124"/>
        <v>33.540372670807429</v>
      </c>
      <c r="BC392" s="96">
        <f>BC150+BC196+BC229+BC261+BC294</f>
        <v>-13.999999999999996</v>
      </c>
      <c r="BD392" s="81">
        <f t="shared" si="1124"/>
        <v>22.807017543859565</v>
      </c>
      <c r="BE392" s="96">
        <f>BE150+BE196+BE229+BE261+BE294</f>
        <v>-17.999999999999996</v>
      </c>
      <c r="BF392" s="81">
        <f t="shared" si="1125"/>
        <v>87.500000000000071</v>
      </c>
      <c r="BG392" s="96">
        <f>BG150+BG196+BG229+BG261+BG294</f>
        <v>-22.4</v>
      </c>
      <c r="BH392" s="81" t="str">
        <f t="shared" si="1126"/>
        <v>NM</v>
      </c>
      <c r="BI392" s="96">
        <f>BI150+BI196+BI229+BI261+BI294</f>
        <v>-15.600000000000001</v>
      </c>
      <c r="BJ392" s="81">
        <f t="shared" si="1127"/>
        <v>-27.441860465116264</v>
      </c>
      <c r="BK392" s="96">
        <f>BK150+BK196+BK229+BK261+BK294</f>
        <v>-26.299999999999997</v>
      </c>
      <c r="BL392" s="81">
        <f t="shared" si="1128"/>
        <v>87.857142857142875</v>
      </c>
      <c r="BM392" s="96">
        <f>BM150+BM196+BM229+BM261+BM294</f>
        <v>-16.100000000000001</v>
      </c>
      <c r="BN392" s="81">
        <f t="shared" si="1129"/>
        <v>-10.555555555555529</v>
      </c>
      <c r="BO392" s="96">
        <f>BO150+BO196+BO229+BO261+BO294</f>
        <v>-13.800000000000004</v>
      </c>
      <c r="BP392" s="81">
        <f t="shared" si="1130"/>
        <v>-38.392857142857117</v>
      </c>
      <c r="BQ392" s="96">
        <f>BQ150+BQ196+BQ229+BQ261+BQ294</f>
        <v>-21.800000000000004</v>
      </c>
      <c r="BR392" s="81">
        <f t="shared" si="1131"/>
        <v>39.743589743589759</v>
      </c>
      <c r="BS392" s="96">
        <f>BS150+BS196+BS229+BS261+BS294</f>
        <v>-15.900000000000002</v>
      </c>
      <c r="BT392" s="81">
        <f t="shared" si="1132"/>
        <v>-39.543726235741431</v>
      </c>
      <c r="BU392" s="96">
        <f>BU150+BU196+BU229+BU261+BU294</f>
        <v>-13.100000000000005</v>
      </c>
      <c r="BV392" s="81">
        <f t="shared" si="1133"/>
        <v>-18.633540372670787</v>
      </c>
      <c r="BW392" s="96">
        <f>BW150+BW196+BW229+BW261+BW294</f>
        <v>-16.599999999999994</v>
      </c>
      <c r="BX392" s="81">
        <f t="shared" si="1134"/>
        <v>20.289855072463681</v>
      </c>
      <c r="BY392" s="96">
        <f>BY150+BY196+BY229+BY261+BY294</f>
        <v>-10.199999999999998</v>
      </c>
      <c r="BZ392" s="81" t="str">
        <f t="shared" si="1135"/>
        <v>NM</v>
      </c>
      <c r="CA392" s="96">
        <f>CA150+CA196+CA229+CA261+CA294</f>
        <v>-11.699999999999996</v>
      </c>
      <c r="CB392" s="81">
        <f t="shared" si="1136"/>
        <v>-26.41509433962268</v>
      </c>
      <c r="CC392" s="96">
        <f>CC150+CC196+CC229+CC261+CC294</f>
        <v>-17.299999999999997</v>
      </c>
      <c r="CD392" s="81">
        <f t="shared" si="1137"/>
        <v>32.061068702289994</v>
      </c>
      <c r="CE392" s="96">
        <f>CE150+CE196+CE229+CE261+CE294</f>
        <v>-9.9999999999999929</v>
      </c>
      <c r="CF392" s="81">
        <f t="shared" si="1138"/>
        <v>-39.759036144578332</v>
      </c>
      <c r="CG392" s="96">
        <f>CG150+CG196+CG229+CG261+CG294</f>
        <v>-17.199999999999996</v>
      </c>
      <c r="CH392" s="81">
        <f t="shared" si="1139"/>
        <v>68.627450980392155</v>
      </c>
      <c r="CI392" s="96">
        <f>CI150+CI196+CI229+CI261+CI294</f>
        <v>-17.799999999999997</v>
      </c>
      <c r="CJ392" s="81">
        <f t="shared" si="1140"/>
        <v>52.136752136752172</v>
      </c>
      <c r="CK392" s="96">
        <f>CK150+CK196+CK229+CK261+CK294</f>
        <v>-25.799999999999994</v>
      </c>
      <c r="CL392" s="81">
        <f t="shared" si="1141"/>
        <v>49.132947976878597</v>
      </c>
      <c r="CM392" s="96">
        <f>CM150+CM196+CM229+CM261+CM294</f>
        <v>180</v>
      </c>
      <c r="CN392" s="81" t="str">
        <f t="shared" si="1142"/>
        <v>NM</v>
      </c>
      <c r="CO392" s="96">
        <f>CO150+CO196+CO229+CO261+CO294</f>
        <v>-18.000000000000004</v>
      </c>
      <c r="CP392" s="81">
        <f t="shared" si="1143"/>
        <v>4.6511627906977271</v>
      </c>
      <c r="CQ392" s="96">
        <f>CQ150+CQ196+CQ229+CQ261+CQ294</f>
        <v>-20</v>
      </c>
      <c r="CR392" s="81">
        <f t="shared" si="1144"/>
        <v>12.359550561797761</v>
      </c>
      <c r="CS392" s="96">
        <f>CS150+CS196+CS229+CS261+CS294</f>
        <v>-24.000000000000007</v>
      </c>
      <c r="CT392" s="81">
        <f t="shared" si="1145"/>
        <v>-6.9767441860464574</v>
      </c>
      <c r="CU392" s="96">
        <f>CU150+CU196+CU229+CU261+CU294</f>
        <v>-26.600000000000009</v>
      </c>
      <c r="CV392" s="81" t="str">
        <f t="shared" si="1146"/>
        <v>NM</v>
      </c>
      <c r="CW392" s="96">
        <f>CW150+CW196+CW229+CW261+CW294</f>
        <v>5.600000000000005</v>
      </c>
      <c r="CX392" s="81" t="str">
        <f t="shared" si="1147"/>
        <v>NM</v>
      </c>
      <c r="CY392" s="96">
        <f>CY150+CY196+CY229+CY261+CY294</f>
        <v>-12.000000000000005</v>
      </c>
      <c r="CZ392" s="81">
        <f t="shared" si="1148"/>
        <v>-39.999999999999972</v>
      </c>
      <c r="DA392" s="35">
        <f>DA150+DA196+DA229+DA261+DA294</f>
        <v>-19.200000000000006</v>
      </c>
      <c r="DB392" s="81">
        <f t="shared" si="1149"/>
        <v>-19.999999999999996</v>
      </c>
      <c r="DC392" s="35">
        <f>DC150+DC196+DC229+DC261+DC294</f>
        <v>-22.3</v>
      </c>
      <c r="DD392" s="81">
        <f t="shared" si="1150"/>
        <v>-16.165413533834617</v>
      </c>
      <c r="DE392" s="35">
        <f>DE150+DE196+DE229+DE261+DE294</f>
        <v>-10.400000000000002</v>
      </c>
      <c r="DF392" s="81" t="str">
        <f t="shared" si="1151"/>
        <v>NM</v>
      </c>
      <c r="DG392" s="96">
        <f>DG150+DG196+DG229+DG261+DG294</f>
        <v>-18.400000000000006</v>
      </c>
      <c r="DH392" s="81">
        <f t="shared" si="1152"/>
        <v>53.333333333333321</v>
      </c>
      <c r="DI392" s="96">
        <f>DI150+DI196+DI229+DI261+DI294</f>
        <v>-19.899999999999999</v>
      </c>
      <c r="DJ392" s="81">
        <f t="shared" si="1153"/>
        <v>3.6458333333332815</v>
      </c>
      <c r="DK392" s="96">
        <f>DK150+DK196+DK229+DK261+DK294</f>
        <v>-34.5</v>
      </c>
      <c r="DL392" s="81">
        <f t="shared" si="1154"/>
        <v>54.708520179372201</v>
      </c>
      <c r="DM392" s="96">
        <f>DM150+DM196+DM229+DM261+DM294</f>
        <v>-10.7</v>
      </c>
      <c r="DN392" s="81">
        <f t="shared" si="1155"/>
        <v>2.8846153846153522</v>
      </c>
      <c r="DO392" s="96">
        <f>DO150+DO196+DO229+DO261+DO294</f>
        <v>-16.600000000000009</v>
      </c>
      <c r="DP392" s="81">
        <f t="shared" si="1155"/>
        <v>-9.7826086956521507</v>
      </c>
      <c r="DQ392" s="96">
        <f>DQ150+DQ196+DQ229+DQ261+DQ294</f>
        <v>-22.400000000000006</v>
      </c>
      <c r="DR392" s="81">
        <f t="shared" si="1156"/>
        <v>12.562814070351802</v>
      </c>
      <c r="DS392" s="96">
        <f>DS150+DS196+DS229+DS261+DS294</f>
        <v>-37.699999999999996</v>
      </c>
      <c r="DT392" s="81">
        <f t="shared" si="1157"/>
        <v>9.2753623188405641</v>
      </c>
      <c r="DU392" s="96">
        <f>DU150+DU196+DU229+DU261+DU294</f>
        <v>-20.3</v>
      </c>
      <c r="DV392" s="81">
        <f t="shared" si="1158"/>
        <v>89.719626168224309</v>
      </c>
      <c r="DW392" s="96">
        <f>DW150+DW196+DW229+DW261+DW294</f>
        <v>-20.5</v>
      </c>
      <c r="DX392" s="81">
        <f t="shared" si="1159"/>
        <v>23.493975903614395</v>
      </c>
      <c r="DY392" s="96">
        <f>DY150+DY196+DY229+DY261+DY294</f>
        <v>-29</v>
      </c>
      <c r="DZ392" s="81">
        <f t="shared" si="1160"/>
        <v>29.464285714285676</v>
      </c>
      <c r="EA392" s="96">
        <f>EA150+EA196+EA229+EA261+EA294</f>
        <v>-29.6</v>
      </c>
      <c r="EB392" s="81">
        <f t="shared" si="1161"/>
        <v>-21.485411140583544</v>
      </c>
      <c r="EC392" s="96">
        <f>EC150+EC196+EC229+EC261+EC294</f>
        <v>-20.6</v>
      </c>
      <c r="ED392" s="81">
        <f t="shared" si="1162"/>
        <v>1.4778325123152802</v>
      </c>
      <c r="EE392" s="96">
        <f>EE150+EE196+EE229+EE261+EE294</f>
        <v>-14.899999999999999</v>
      </c>
      <c r="EF392" s="81">
        <f t="shared" si="1163"/>
        <v>-27.31707317073171</v>
      </c>
      <c r="EG392" s="96">
        <f>EG150+EG196+EG229+EG261+EG294</f>
        <v>-31.099999999999998</v>
      </c>
      <c r="EH392" s="81">
        <f t="shared" si="1164"/>
        <v>7.241379310344831</v>
      </c>
      <c r="EI392" s="96">
        <f>EI150+EI196+EI229+EI261+EI294</f>
        <v>-34.299999999999997</v>
      </c>
      <c r="EJ392" s="81">
        <f t="shared" si="1165"/>
        <v>15.878378378378354</v>
      </c>
      <c r="EK392" s="96">
        <f t="shared" ref="EK392:EQ392" si="1178">EK150+EK196+EK229+EK261+EK294</f>
        <v>-17.582361109490208</v>
      </c>
      <c r="EL392" s="81">
        <f t="shared" si="1167"/>
        <v>-14.648732478202886</v>
      </c>
      <c r="EM392" s="96">
        <f t="shared" si="1178"/>
        <v>-17.674560226456421</v>
      </c>
      <c r="EN392" s="81">
        <f t="shared" si="1168"/>
        <v>18.621209573533037</v>
      </c>
      <c r="EO392" s="96">
        <f t="shared" si="1178"/>
        <v>-17.230422503274628</v>
      </c>
      <c r="EP392" s="81">
        <f t="shared" si="1169"/>
        <v>-44.596712208120159</v>
      </c>
      <c r="EQ392" s="96">
        <f t="shared" si="1178"/>
        <v>-17.210450515427794</v>
      </c>
      <c r="ER392" s="81">
        <f t="shared" si="1170"/>
        <v>-49.823759430239669</v>
      </c>
      <c r="ES392" s="188"/>
      <c r="ET392" s="487"/>
      <c r="EU392" s="188"/>
      <c r="EV392" s="188"/>
      <c r="EW392" s="208"/>
      <c r="EX392" s="188"/>
      <c r="EY392" s="208"/>
      <c r="EZ392" s="188"/>
      <c r="FA392" s="208"/>
      <c r="FB392" s="96">
        <f>FB150+FB196+FB229+FB261+FB321</f>
        <v>-4.5999999999999979</v>
      </c>
      <c r="FC392" s="208" t="str">
        <f t="shared" si="1171"/>
        <v>NA</v>
      </c>
      <c r="FD392" s="96">
        <f>FD150+FD196+FD229+FD261+FD321</f>
        <v>-272.5</v>
      </c>
      <c r="FE392" s="208" t="str">
        <f t="shared" si="1172"/>
        <v>NM</v>
      </c>
      <c r="FF392" s="96">
        <f>FF150+FF196+FF229+FF261+FF321</f>
        <v>-207.29999999999998</v>
      </c>
      <c r="FG392" s="208">
        <f t="shared" si="1173"/>
        <v>-23.926605504587162</v>
      </c>
      <c r="FH392" s="96">
        <f>FH150+FH196+FH229+FH261+FH321</f>
        <v>-120.60000000000001</v>
      </c>
      <c r="FI392" s="208">
        <f t="shared" si="1174"/>
        <v>-41.823444283646879</v>
      </c>
      <c r="FJ392" s="96">
        <f>FJ150+FJ196+FJ229+FJ261+FJ294</f>
        <v>-55.699999999999974</v>
      </c>
      <c r="FK392" s="208" t="str">
        <f t="shared" si="1174"/>
        <v>NM</v>
      </c>
      <c r="FL392" s="96">
        <f>FL150+FL196+FL229+FL261+FL294</f>
        <v>-45.599999999999994</v>
      </c>
      <c r="FM392" s="208">
        <f t="shared" si="1174"/>
        <v>-18.132854578096925</v>
      </c>
      <c r="FN392" s="96">
        <f>FN150+FN196+FN229+FN261+FN294</f>
        <v>-75.899999999999977</v>
      </c>
      <c r="FO392" s="208">
        <f t="shared" si="1174"/>
        <v>66.447368421052616</v>
      </c>
      <c r="FP392" s="96">
        <f>FP150+FP196+FP229+FP261+FP294</f>
        <v>-71.8</v>
      </c>
      <c r="FQ392" s="208">
        <f t="shared" si="1174"/>
        <v>-5.4018445322792878</v>
      </c>
      <c r="FR392" s="96">
        <f>FR150+FR196+FR229+FR261+FR294</f>
        <v>-59.000000000000036</v>
      </c>
      <c r="FS392" s="208">
        <f t="shared" si="1174"/>
        <v>-17.827298050139216</v>
      </c>
      <c r="FT392" s="96">
        <f>FT150+FT196+FT229+FT261+FT294</f>
        <v>-49.199999999999989</v>
      </c>
      <c r="FU392" s="208">
        <f t="shared" si="1174"/>
        <v>-16.610169491525497</v>
      </c>
      <c r="FV392" s="96">
        <f>FV150+FV196+FV229+FV261+FV294</f>
        <v>119.19999999999999</v>
      </c>
      <c r="FW392" s="208" t="str">
        <f t="shared" si="1174"/>
        <v>NM</v>
      </c>
      <c r="FX392" s="96">
        <f>FX150+FX196+FX229+FX261+FX294</f>
        <v>-88.600000000000023</v>
      </c>
      <c r="FY392" s="208" t="str">
        <f t="shared" si="1174"/>
        <v>NM</v>
      </c>
      <c r="FZ392" s="96">
        <f>FZ150+FZ196+FZ229+FZ261+FZ294</f>
        <v>-47.900000000000006</v>
      </c>
      <c r="GA392" s="79">
        <f t="shared" si="1174"/>
        <v>-45.936794582392778</v>
      </c>
      <c r="GB392" s="96">
        <f>GB150+GB196+GB229+GB261+GB294</f>
        <v>-83.2</v>
      </c>
      <c r="GC392" s="79">
        <f t="shared" si="1174"/>
        <v>73.695198329853852</v>
      </c>
      <c r="GD392" s="96">
        <f>GD150+GD196+GD229+GD261+GD294</f>
        <v>-87.4</v>
      </c>
      <c r="GE392" s="79">
        <f t="shared" si="1174"/>
        <v>5.0480769230769162</v>
      </c>
      <c r="GF392" s="96">
        <f>GF150+GF196+GF229+GF261+GF294</f>
        <v>-99.4</v>
      </c>
      <c r="GG392" s="79">
        <f t="shared" si="1174"/>
        <v>13.729977116704806</v>
      </c>
      <c r="GH392" s="96">
        <f>GH150+GH196+GH229+GH261+GH294</f>
        <v>-100.89999999999999</v>
      </c>
      <c r="GI392" s="79">
        <f t="shared" si="1174"/>
        <v>1.5090543259557165</v>
      </c>
      <c r="GJ392" s="96">
        <f>GJ150+GJ196+GJ229+GJ261+GJ294</f>
        <v>-69.697794354649048</v>
      </c>
      <c r="GK392" s="79">
        <f t="shared" si="1174"/>
        <v>-30.923890629683793</v>
      </c>
      <c r="GL392" s="96">
        <f>GL150+GL196+GL229+GL261+GL294</f>
        <v>-70.842916633526102</v>
      </c>
      <c r="GM392" s="79">
        <f t="shared" si="1174"/>
        <v>1.6429820907247539</v>
      </c>
      <c r="GN392" s="96">
        <f>GN150+GN196+GN229+GN261+GN294</f>
        <v>-71.99591178577711</v>
      </c>
      <c r="GO392" s="79">
        <f t="shared" si="1174"/>
        <v>1.6275376664903751</v>
      </c>
      <c r="GP392" s="96">
        <f>GP150+GP196+GP229+GP261+GP294</f>
        <v>-73.156178007373029</v>
      </c>
      <c r="GQ392" s="79">
        <f t="shared" si="1174"/>
        <v>1.6115723696204842</v>
      </c>
      <c r="GR392" s="96">
        <f>GR150+GR196+GR229+GR261+GR294</f>
        <v>-74.323063300557308</v>
      </c>
      <c r="GS392" s="79">
        <f t="shared" si="1175"/>
        <v>1.5950604924531042</v>
      </c>
      <c r="GT392" s="79">
        <f t="shared" si="1176"/>
        <v>-5.9310087254048955</v>
      </c>
    </row>
    <row r="393" spans="1:286" ht="12.75" customHeight="1" x14ac:dyDescent="0.2">
      <c r="A393" s="1"/>
      <c r="B393" s="312" t="s">
        <v>500</v>
      </c>
      <c r="C393" s="79"/>
      <c r="D393" s="79"/>
      <c r="E393" s="35">
        <v>7.3</v>
      </c>
      <c r="F393" s="129"/>
      <c r="G393" s="35">
        <v>7.3</v>
      </c>
      <c r="H393" s="129"/>
      <c r="I393" s="35">
        <v>7.3</v>
      </c>
      <c r="J393" s="129"/>
      <c r="K393" s="35">
        <v>7.3</v>
      </c>
      <c r="L393" s="79"/>
      <c r="M393" s="35">
        <v>10.7</v>
      </c>
      <c r="N393" s="79">
        <v>46.575342465753408</v>
      </c>
      <c r="O393" s="35">
        <v>11.4</v>
      </c>
      <c r="P393" s="79">
        <v>56.164383561643838</v>
      </c>
      <c r="Q393" s="35">
        <v>11.1</v>
      </c>
      <c r="R393" s="79">
        <v>52.054794520547951</v>
      </c>
      <c r="S393" s="35">
        <v>9.6999999999999993</v>
      </c>
      <c r="T393" s="79">
        <v>32.876712328767141</v>
      </c>
      <c r="U393" s="35">
        <v>10.4</v>
      </c>
      <c r="V393" s="79">
        <v>-2.8037383177569986</v>
      </c>
      <c r="W393" s="35">
        <v>10.9</v>
      </c>
      <c r="X393" s="79">
        <v>-4.3859649122807038</v>
      </c>
      <c r="Y393" s="35">
        <v>10.4</v>
      </c>
      <c r="Z393" s="79">
        <v>-6.306306306306297</v>
      </c>
      <c r="AA393" s="34">
        <v>7</v>
      </c>
      <c r="AB393" s="79">
        <f t="shared" si="1118"/>
        <v>-27.835051546391743</v>
      </c>
      <c r="AC393" s="35">
        <f>AC262+AC295</f>
        <v>856.4</v>
      </c>
      <c r="AD393" s="79" t="str">
        <f t="shared" si="1119"/>
        <v>NM</v>
      </c>
      <c r="AE393" s="35">
        <f>AE262+AE295</f>
        <v>0</v>
      </c>
      <c r="AF393" s="79" t="str">
        <f t="shared" si="1120"/>
        <v>NM</v>
      </c>
      <c r="AG393" s="35">
        <f>AG262+AG295</f>
        <v>0</v>
      </c>
      <c r="AH393" s="79" t="str">
        <f t="shared" si="1121"/>
        <v>NM</v>
      </c>
      <c r="AI393" s="35">
        <f>AI262+AI295</f>
        <v>0</v>
      </c>
      <c r="AJ393" s="79" t="str">
        <f t="shared" si="1122"/>
        <v>NM</v>
      </c>
      <c r="AK393" s="35">
        <f>AK262+AK295</f>
        <v>0</v>
      </c>
      <c r="AL393" s="79" t="str">
        <f t="shared" si="1123"/>
        <v>NM</v>
      </c>
      <c r="AM393" s="35">
        <f>AM262+AM295</f>
        <v>0</v>
      </c>
      <c r="AN393" s="79" t="str">
        <f t="shared" si="1124"/>
        <v>NA</v>
      </c>
      <c r="AO393" s="35">
        <f>AO262+AO295</f>
        <v>0</v>
      </c>
      <c r="AP393" s="79" t="str">
        <f t="shared" si="1124"/>
        <v>NA</v>
      </c>
      <c r="AQ393" s="35">
        <f>AQ262+AQ295</f>
        <v>0</v>
      </c>
      <c r="AR393" s="79" t="str">
        <f t="shared" si="1124"/>
        <v>NA</v>
      </c>
      <c r="AS393" s="35">
        <f>AS262+AS295</f>
        <v>0</v>
      </c>
      <c r="AT393" s="81" t="str">
        <f t="shared" si="1124"/>
        <v>NA</v>
      </c>
      <c r="AU393" s="35">
        <f>AU262+AU295</f>
        <v>0</v>
      </c>
      <c r="AV393" s="81" t="str">
        <f t="shared" si="1124"/>
        <v>NA</v>
      </c>
      <c r="AW393" s="35">
        <f>AW262+AW295</f>
        <v>0</v>
      </c>
      <c r="AX393" s="81" t="str">
        <f t="shared" si="1124"/>
        <v>NA</v>
      </c>
      <c r="AY393" s="35">
        <f>AY262+AY295</f>
        <v>0</v>
      </c>
      <c r="AZ393" s="81" t="str">
        <f t="shared" si="1124"/>
        <v>NA</v>
      </c>
      <c r="BA393" s="35">
        <f>BA262+BA295</f>
        <v>0</v>
      </c>
      <c r="BB393" s="81" t="str">
        <f t="shared" si="1124"/>
        <v>NA</v>
      </c>
      <c r="BC393" s="35">
        <f>BC262+BC295</f>
        <v>0</v>
      </c>
      <c r="BD393" s="81" t="str">
        <f t="shared" si="1124"/>
        <v>NA</v>
      </c>
      <c r="BE393" s="35">
        <f>BE262+BE295</f>
        <v>0</v>
      </c>
      <c r="BF393" s="81" t="str">
        <f t="shared" si="1125"/>
        <v>NA</v>
      </c>
      <c r="BG393" s="35">
        <f>BG262+BG295</f>
        <v>0</v>
      </c>
      <c r="BH393" s="81" t="str">
        <f t="shared" si="1126"/>
        <v>NA</v>
      </c>
      <c r="BI393" s="35">
        <f>BI262+BI295</f>
        <v>0</v>
      </c>
      <c r="BJ393" s="81" t="str">
        <f t="shared" si="1127"/>
        <v>NA</v>
      </c>
      <c r="BK393" s="35">
        <f>BK262+BK295</f>
        <v>0</v>
      </c>
      <c r="BL393" s="81" t="str">
        <f t="shared" si="1128"/>
        <v>NA</v>
      </c>
      <c r="BM393" s="35">
        <f>BM262+BM295</f>
        <v>0</v>
      </c>
      <c r="BN393" s="81" t="str">
        <f t="shared" si="1129"/>
        <v>NA</v>
      </c>
      <c r="BO393" s="35">
        <f>BO262+BO295</f>
        <v>0</v>
      </c>
      <c r="BP393" s="81" t="str">
        <f t="shared" si="1130"/>
        <v>NA</v>
      </c>
      <c r="BQ393" s="35">
        <f>BQ262+BQ295</f>
        <v>0</v>
      </c>
      <c r="BR393" s="81" t="str">
        <f t="shared" si="1131"/>
        <v>NA</v>
      </c>
      <c r="BS393" s="35">
        <f>BS262+BS295</f>
        <v>0</v>
      </c>
      <c r="BT393" s="81" t="str">
        <f t="shared" si="1132"/>
        <v>NA</v>
      </c>
      <c r="BU393" s="35">
        <f>BU262+BU295</f>
        <v>0</v>
      </c>
      <c r="BV393" s="81" t="str">
        <f t="shared" si="1133"/>
        <v>NA</v>
      </c>
      <c r="BW393" s="35">
        <f>BW262+BW295</f>
        <v>0</v>
      </c>
      <c r="BX393" s="81" t="str">
        <f t="shared" si="1134"/>
        <v>NA</v>
      </c>
      <c r="BY393" s="35">
        <f>BY262+BY295</f>
        <v>0</v>
      </c>
      <c r="BZ393" s="81" t="str">
        <f t="shared" si="1135"/>
        <v>NA</v>
      </c>
      <c r="CA393" s="35">
        <f>CA262+CA295</f>
        <v>0</v>
      </c>
      <c r="CB393" s="81" t="str">
        <f t="shared" si="1136"/>
        <v>NA</v>
      </c>
      <c r="CC393" s="35">
        <f>CC262+CC295</f>
        <v>0</v>
      </c>
      <c r="CD393" s="81" t="str">
        <f t="shared" si="1137"/>
        <v>NA</v>
      </c>
      <c r="CE393" s="35">
        <f>CE262+CE295</f>
        <v>0</v>
      </c>
      <c r="CF393" s="81" t="str">
        <f t="shared" si="1138"/>
        <v>NA</v>
      </c>
      <c r="CG393" s="35">
        <f>CG262+CG295</f>
        <v>0</v>
      </c>
      <c r="CH393" s="81" t="str">
        <f t="shared" si="1139"/>
        <v>NA</v>
      </c>
      <c r="CI393" s="35">
        <f>CI262+CI295</f>
        <v>0</v>
      </c>
      <c r="CJ393" s="81" t="str">
        <f t="shared" si="1140"/>
        <v>NA</v>
      </c>
      <c r="CK393" s="35">
        <f>CK262+CK295</f>
        <v>0</v>
      </c>
      <c r="CL393" s="81" t="str">
        <f t="shared" si="1141"/>
        <v>NA</v>
      </c>
      <c r="CM393" s="35">
        <f>CM262+CM295</f>
        <v>0</v>
      </c>
      <c r="CN393" s="81" t="str">
        <f t="shared" si="1142"/>
        <v>NA</v>
      </c>
      <c r="CO393" s="35">
        <f>CO262+CO295</f>
        <v>0</v>
      </c>
      <c r="CP393" s="81" t="str">
        <f t="shared" si="1143"/>
        <v>NA</v>
      </c>
      <c r="CQ393" s="35">
        <f>CQ262+CQ295</f>
        <v>0</v>
      </c>
      <c r="CR393" s="81" t="str">
        <f t="shared" si="1144"/>
        <v>NA</v>
      </c>
      <c r="CS393" s="35">
        <f>CS262+CS295</f>
        <v>0</v>
      </c>
      <c r="CT393" s="81" t="str">
        <f t="shared" si="1145"/>
        <v>NA</v>
      </c>
      <c r="CU393" s="35">
        <f>CU262+CU295</f>
        <v>0</v>
      </c>
      <c r="CV393" s="81" t="str">
        <f t="shared" si="1146"/>
        <v>NA</v>
      </c>
      <c r="CW393" s="35">
        <f>CW262+CW295</f>
        <v>0</v>
      </c>
      <c r="CX393" s="81" t="str">
        <f t="shared" si="1147"/>
        <v>NA</v>
      </c>
      <c r="CY393" s="35">
        <f>CY262+CY295</f>
        <v>0</v>
      </c>
      <c r="CZ393" s="81" t="str">
        <f t="shared" si="1148"/>
        <v>NA</v>
      </c>
      <c r="DA393" s="35">
        <f>DA262+DA295</f>
        <v>0</v>
      </c>
      <c r="DB393" s="81" t="str">
        <f t="shared" si="1149"/>
        <v>NA</v>
      </c>
      <c r="DC393" s="35">
        <f>DC262+DC295</f>
        <v>0</v>
      </c>
      <c r="DD393" s="81" t="str">
        <f t="shared" si="1150"/>
        <v>NA</v>
      </c>
      <c r="DE393" s="35">
        <f>DE262+DE295</f>
        <v>0</v>
      </c>
      <c r="DF393" s="81" t="str">
        <f t="shared" si="1151"/>
        <v>NA</v>
      </c>
      <c r="DG393" s="35">
        <f>DG262+DG295</f>
        <v>0</v>
      </c>
      <c r="DH393" s="81" t="str">
        <f t="shared" si="1152"/>
        <v>NA</v>
      </c>
      <c r="DI393" s="35">
        <f>DI262+DI295</f>
        <v>0</v>
      </c>
      <c r="DJ393" s="81" t="str">
        <f t="shared" si="1153"/>
        <v>NA</v>
      </c>
      <c r="DK393" s="35">
        <f>DK262+DK295</f>
        <v>0</v>
      </c>
      <c r="DL393" s="81" t="str">
        <f t="shared" si="1154"/>
        <v>NA</v>
      </c>
      <c r="DM393" s="35">
        <f>DM262+DM295</f>
        <v>0</v>
      </c>
      <c r="DN393" s="81" t="str">
        <f t="shared" si="1155"/>
        <v>NA</v>
      </c>
      <c r="DO393" s="35">
        <f>DO262+DO295</f>
        <v>0</v>
      </c>
      <c r="DP393" s="81" t="str">
        <f t="shared" si="1155"/>
        <v>NA</v>
      </c>
      <c r="DQ393" s="35">
        <f>DQ262+DQ295</f>
        <v>0</v>
      </c>
      <c r="DR393" s="81" t="str">
        <f t="shared" si="1156"/>
        <v>NA</v>
      </c>
      <c r="DS393" s="35">
        <f>DS262+DS295</f>
        <v>0</v>
      </c>
      <c r="DT393" s="81" t="str">
        <f t="shared" si="1157"/>
        <v>NA</v>
      </c>
      <c r="DU393" s="35">
        <f>DU262+DU295</f>
        <v>0</v>
      </c>
      <c r="DV393" s="81" t="str">
        <f t="shared" si="1158"/>
        <v>NA</v>
      </c>
      <c r="DW393" s="35">
        <f>DW262+DW295</f>
        <v>0</v>
      </c>
      <c r="DX393" s="81" t="str">
        <f t="shared" si="1159"/>
        <v>NA</v>
      </c>
      <c r="DY393" s="35">
        <f>DY262+DY295</f>
        <v>0</v>
      </c>
      <c r="DZ393" s="81" t="str">
        <f t="shared" si="1160"/>
        <v>NA</v>
      </c>
      <c r="EA393" s="35">
        <f>EA262+EA295</f>
        <v>0</v>
      </c>
      <c r="EB393" s="81" t="str">
        <f t="shared" si="1161"/>
        <v>NA</v>
      </c>
      <c r="EC393" s="35">
        <f>EC262+EC295</f>
        <v>0</v>
      </c>
      <c r="ED393" s="81" t="str">
        <f t="shared" si="1162"/>
        <v>NA</v>
      </c>
      <c r="EE393" s="35">
        <f>EE262+EE295</f>
        <v>0</v>
      </c>
      <c r="EF393" s="81" t="str">
        <f t="shared" si="1163"/>
        <v>NA</v>
      </c>
      <c r="EG393" s="35">
        <f>EG262+EG295</f>
        <v>0</v>
      </c>
      <c r="EH393" s="81" t="str">
        <f t="shared" si="1164"/>
        <v>NA</v>
      </c>
      <c r="EI393" s="35">
        <f>EI262+EI295</f>
        <v>0</v>
      </c>
      <c r="EJ393" s="81" t="str">
        <f t="shared" si="1165"/>
        <v>NA</v>
      </c>
      <c r="EK393" s="35">
        <f t="shared" ref="EK393:EQ393" si="1179">EK262+EK295</f>
        <v>0</v>
      </c>
      <c r="EL393" s="81" t="str">
        <f t="shared" si="1167"/>
        <v>NA</v>
      </c>
      <c r="EM393" s="35">
        <f t="shared" si="1179"/>
        <v>0</v>
      </c>
      <c r="EN393" s="81" t="str">
        <f t="shared" si="1168"/>
        <v>NA</v>
      </c>
      <c r="EO393" s="35">
        <f t="shared" si="1179"/>
        <v>0</v>
      </c>
      <c r="EP393" s="81" t="str">
        <f t="shared" si="1169"/>
        <v>NA</v>
      </c>
      <c r="EQ393" s="35">
        <f t="shared" si="1179"/>
        <v>0</v>
      </c>
      <c r="ER393" s="81" t="str">
        <f t="shared" si="1170"/>
        <v>NA</v>
      </c>
      <c r="ES393" s="129"/>
      <c r="ET393" s="470"/>
      <c r="EU393" s="129"/>
      <c r="EV393" s="129"/>
      <c r="EW393" s="265"/>
      <c r="EX393" s="129"/>
      <c r="EY393" s="265"/>
      <c r="EZ393" s="129"/>
      <c r="FA393" s="265"/>
      <c r="FB393" s="35">
        <f>FB262+FB348</f>
        <v>21.199999999999996</v>
      </c>
      <c r="FC393" s="265" t="str">
        <f t="shared" si="1171"/>
        <v>NA</v>
      </c>
      <c r="FD393" s="35">
        <f>FD262+FD348</f>
        <v>34.900000000000006</v>
      </c>
      <c r="FE393" s="265">
        <f t="shared" si="1172"/>
        <v>64.622641509434018</v>
      </c>
      <c r="FF393" s="35">
        <f>FF262+FF348</f>
        <v>32.700000000000003</v>
      </c>
      <c r="FG393" s="265">
        <f t="shared" si="1173"/>
        <v>-6.3037249283667718</v>
      </c>
      <c r="FH393" s="35">
        <f>FH262+FH348</f>
        <v>856.4</v>
      </c>
      <c r="FI393" s="265" t="str">
        <f t="shared" si="1174"/>
        <v>NM</v>
      </c>
      <c r="FJ393" s="35">
        <f>FJ262+FJ295</f>
        <v>0</v>
      </c>
      <c r="FK393" s="265" t="str">
        <f t="shared" si="1174"/>
        <v>NM</v>
      </c>
      <c r="FL393" s="35">
        <f>FL262+FL295</f>
        <v>0</v>
      </c>
      <c r="FM393" s="265" t="str">
        <f t="shared" si="1174"/>
        <v>NA</v>
      </c>
      <c r="FN393" s="35">
        <f>FN262+FN295</f>
        <v>0</v>
      </c>
      <c r="FO393" s="265" t="str">
        <f t="shared" si="1174"/>
        <v>NA</v>
      </c>
      <c r="FP393" s="35">
        <f>FP262+FP295</f>
        <v>0</v>
      </c>
      <c r="FQ393" s="265" t="str">
        <f t="shared" si="1174"/>
        <v>NA</v>
      </c>
      <c r="FR393" s="35">
        <f>FR262+FR295</f>
        <v>0</v>
      </c>
      <c r="FS393" s="265" t="str">
        <f t="shared" si="1174"/>
        <v>NA</v>
      </c>
      <c r="FT393" s="35">
        <f>FT262+FT295</f>
        <v>0</v>
      </c>
      <c r="FU393" s="265" t="str">
        <f t="shared" si="1174"/>
        <v>NA</v>
      </c>
      <c r="FV393" s="35">
        <f>FV262+FV295</f>
        <v>0</v>
      </c>
      <c r="FW393" s="265" t="str">
        <f t="shared" si="1174"/>
        <v>NA</v>
      </c>
      <c r="FX393" s="35">
        <f>FX262+FX295</f>
        <v>0</v>
      </c>
      <c r="FY393" s="265" t="str">
        <f t="shared" si="1174"/>
        <v>NA</v>
      </c>
      <c r="FZ393" s="35">
        <f>FZ262+FZ295</f>
        <v>0</v>
      </c>
      <c r="GA393" s="79" t="str">
        <f t="shared" si="1174"/>
        <v>NA</v>
      </c>
      <c r="GB393" s="35">
        <f>GB262+GB295</f>
        <v>0</v>
      </c>
      <c r="GC393" s="79" t="str">
        <f t="shared" si="1174"/>
        <v>NA</v>
      </c>
      <c r="GD393" s="35">
        <f>GD262+GD295</f>
        <v>0</v>
      </c>
      <c r="GE393" s="79" t="str">
        <f t="shared" si="1174"/>
        <v>NA</v>
      </c>
      <c r="GF393" s="35">
        <f>GF262+GF295</f>
        <v>0</v>
      </c>
      <c r="GG393" s="79" t="str">
        <f t="shared" si="1174"/>
        <v>NA</v>
      </c>
      <c r="GH393" s="35">
        <f>GH262+GH295</f>
        <v>0</v>
      </c>
      <c r="GI393" s="79" t="str">
        <f t="shared" si="1174"/>
        <v>NA</v>
      </c>
      <c r="GJ393" s="35">
        <f>GJ262+GJ295</f>
        <v>0</v>
      </c>
      <c r="GK393" s="79" t="str">
        <f t="shared" si="1174"/>
        <v>NA</v>
      </c>
      <c r="GL393" s="35">
        <f>GL262+GL295</f>
        <v>0</v>
      </c>
      <c r="GM393" s="79" t="str">
        <f t="shared" si="1174"/>
        <v>NA</v>
      </c>
      <c r="GN393" s="35">
        <f>GN262+GN295</f>
        <v>0</v>
      </c>
      <c r="GO393" s="79" t="str">
        <f t="shared" si="1174"/>
        <v>NA</v>
      </c>
      <c r="GP393" s="35">
        <f>GP262+GP295</f>
        <v>0</v>
      </c>
      <c r="GQ393" s="79" t="str">
        <f t="shared" si="1174"/>
        <v>NA</v>
      </c>
      <c r="GR393" s="35">
        <f>GR262+GR295</f>
        <v>0</v>
      </c>
      <c r="GS393" s="79" t="str">
        <f t="shared" si="1175"/>
        <v>NA</v>
      </c>
      <c r="GT393" s="79" t="str">
        <f t="shared" si="1176"/>
        <v>NA</v>
      </c>
    </row>
    <row r="394" spans="1:286" ht="12.75" customHeight="1" x14ac:dyDescent="0.2">
      <c r="A394" s="1"/>
      <c r="B394" s="313" t="s">
        <v>293</v>
      </c>
      <c r="C394" s="79"/>
      <c r="D394" s="79"/>
      <c r="E394" s="35">
        <v>455</v>
      </c>
      <c r="F394" s="129"/>
      <c r="G394" s="35">
        <v>446.3</v>
      </c>
      <c r="H394" s="129"/>
      <c r="I394" s="35">
        <v>459</v>
      </c>
      <c r="J394" s="129"/>
      <c r="K394" s="35">
        <v>449.4</v>
      </c>
      <c r="L394" s="79"/>
      <c r="M394" s="35">
        <v>432.2</v>
      </c>
      <c r="N394" s="79">
        <v>-5.0109890109890092</v>
      </c>
      <c r="O394" s="35">
        <v>438.5</v>
      </c>
      <c r="P394" s="79">
        <v>-1.7477033385615126</v>
      </c>
      <c r="Q394" s="35">
        <v>429.3</v>
      </c>
      <c r="R394" s="79">
        <v>-6.4705882352941169</v>
      </c>
      <c r="S394" s="35">
        <v>450.5</v>
      </c>
      <c r="T394" s="79">
        <v>0.24477080551847941</v>
      </c>
      <c r="U394" s="35">
        <v>468</v>
      </c>
      <c r="V394" s="79">
        <v>8.2832022211938963</v>
      </c>
      <c r="W394" s="35">
        <v>457.8</v>
      </c>
      <c r="X394" s="79">
        <v>4.4013683010262206</v>
      </c>
      <c r="Y394" s="35">
        <v>470.4</v>
      </c>
      <c r="Z394" s="79">
        <v>9.5737246680642762</v>
      </c>
      <c r="AA394" s="34">
        <v>487</v>
      </c>
      <c r="AB394" s="79">
        <f t="shared" si="1118"/>
        <v>8.1021087680355208</v>
      </c>
      <c r="AC394" s="35">
        <f>AC322+AC263+AC230+AC197+AC151+AC296+AC297+AC298+AC299+AC301</f>
        <v>476.5</v>
      </c>
      <c r="AD394" s="79">
        <f t="shared" si="1119"/>
        <v>1.8162393162393098</v>
      </c>
      <c r="AE394" s="35">
        <f>AE322+AE263+AE230+AE197+AE151+AE296+AE297+AE298+AE299+AE301</f>
        <v>464.5</v>
      </c>
      <c r="AF394" s="79">
        <f t="shared" si="1120"/>
        <v>1.4635211882918275</v>
      </c>
      <c r="AG394" s="35">
        <f>AG322+AG263+AG230+AG197+AG151+AG296+AG297+AG298+AG299+AG301</f>
        <v>457.2</v>
      </c>
      <c r="AH394" s="79">
        <f t="shared" si="1121"/>
        <v>-2.8061224489795866</v>
      </c>
      <c r="AI394" s="35">
        <f>AI322+AI263+AI230+AI197+AI151+AI296+AI297+AI298+AI299+AI301</f>
        <v>499.69999999999993</v>
      </c>
      <c r="AJ394" s="79">
        <f t="shared" si="1122"/>
        <v>2.6078028747433146</v>
      </c>
      <c r="AK394" s="35">
        <f>AK322+AK263+AK230+AK197+AK151+AK296+AK297+AK298+AK299+AK301</f>
        <v>466.5</v>
      </c>
      <c r="AL394" s="79">
        <f t="shared" si="1123"/>
        <v>-2.098635886673661</v>
      </c>
      <c r="AM394" s="35">
        <f>AM322+AM263+AM230+AM197+AM151+AM296+AM297+AM298+AM299+AM301</f>
        <v>474</v>
      </c>
      <c r="AN394" s="79">
        <f t="shared" si="1124"/>
        <v>2.0452099031216253</v>
      </c>
      <c r="AO394" s="35">
        <f>AO322+AO263+AO230+AO197+AO151+AO296+AO297+AO298+AO299+AO301</f>
        <v>456.70000000000005</v>
      </c>
      <c r="AP394" s="79">
        <f t="shared" si="1124"/>
        <v>-0.10936132983375701</v>
      </c>
      <c r="AQ394" s="35">
        <f>AQ322+AQ263+AQ230+AQ197+AQ151+AQ296+AQ297+AQ298+AQ299+AQ301</f>
        <v>435.6</v>
      </c>
      <c r="AR394" s="79">
        <f t="shared" si="1124"/>
        <v>-12.827696617970762</v>
      </c>
      <c r="AS394" s="35">
        <f>AS322+AS263+AS230+AS197+AS151+AS296+AS297+AS298+AS299+AS301</f>
        <v>419.6</v>
      </c>
      <c r="AT394" s="81">
        <f t="shared" si="1124"/>
        <v>-10.053590568060011</v>
      </c>
      <c r="AU394" s="35">
        <f>AU322+AU263+AU230+AU197+AU151+AU296+AU297+AU298+AU299+AU301</f>
        <v>457.1</v>
      </c>
      <c r="AV394" s="81">
        <f t="shared" si="1124"/>
        <v>-3.5654008438818496</v>
      </c>
      <c r="AW394" s="35">
        <f>AW322+AW263+AW230+AW197+AW151+AW296+AW297+AW298+AW299+AW301</f>
        <v>460.9</v>
      </c>
      <c r="AX394" s="81">
        <f t="shared" si="1124"/>
        <v>0.91964090212390825</v>
      </c>
      <c r="AY394" s="35">
        <f>AY322+AY263+AY230+AY197+AY151+AY296+AY297+AY298+AY299+AY301</f>
        <v>420.50000000000006</v>
      </c>
      <c r="AZ394" s="81">
        <f t="shared" si="1124"/>
        <v>-3.4664830119375489</v>
      </c>
      <c r="BA394" s="35">
        <f>BA322+BA263+BA230+BA197+BA151+BA296+BA297+BA298+BA299+BA301</f>
        <v>419.9</v>
      </c>
      <c r="BB394" s="81">
        <f t="shared" si="1124"/>
        <v>7.1496663489023504E-2</v>
      </c>
      <c r="BC394" s="35">
        <f>BC322+BC263+BC230+BC197+BC151+BC296+BC297+BC298+BC299+BC301</f>
        <v>421.50000000000006</v>
      </c>
      <c r="BD394" s="81">
        <f t="shared" si="1124"/>
        <v>-7.788230146576236</v>
      </c>
      <c r="BE394" s="35">
        <f>BE322+BE263+BE230+BE197+BE151+BE296+BE297+BE298+BE299+BE301</f>
        <v>413.70000000000005</v>
      </c>
      <c r="BF394" s="81">
        <f t="shared" si="1125"/>
        <v>-10.240833152527651</v>
      </c>
      <c r="BG394" s="35">
        <f>BG322+BG263+BG230+BG197+BG151+BG296+BG297+BG298+BG299+BG301</f>
        <v>458.6</v>
      </c>
      <c r="BH394" s="81">
        <f t="shared" si="1126"/>
        <v>9.060642092746729</v>
      </c>
      <c r="BI394" s="35">
        <f>BI322+BI263+BI230+BI197+BI151+BI296+BI297+BI298+BI299+BI301</f>
        <v>435.7</v>
      </c>
      <c r="BJ394" s="81">
        <f t="shared" si="1127"/>
        <v>3.7628006668254388</v>
      </c>
      <c r="BK394" s="35">
        <f>BK322+BK263+BK230+BK197+BK151+BK296+BK297+BK298+BK299+BK301</f>
        <v>447</v>
      </c>
      <c r="BL394" s="81">
        <f t="shared" si="1128"/>
        <v>6.0498220640569311</v>
      </c>
      <c r="BM394" s="35">
        <f>BM322+BM263+BM230+BM197+BM151+BM296+BM297+BM298+BM299+BM301</f>
        <v>439.7</v>
      </c>
      <c r="BN394" s="81">
        <f t="shared" si="1129"/>
        <v>6.2847474014986471</v>
      </c>
      <c r="BO394" s="35">
        <f>BO263+BO230+BO197+BO151+BO296+BO297+BO298+BO299+BO301</f>
        <v>427.99999999999994</v>
      </c>
      <c r="BP394" s="81">
        <f t="shared" si="1130"/>
        <v>-6.672481465329283</v>
      </c>
      <c r="BQ394" s="35">
        <f>BQ263+BQ230+BQ197+BQ151+BQ296+BQ297+BQ298+BQ299+BQ301</f>
        <v>428.2</v>
      </c>
      <c r="BR394" s="81">
        <f t="shared" si="1131"/>
        <v>-1.7213679137020876</v>
      </c>
      <c r="BS394" s="35">
        <f>BS263+BS230+BS197+BS151+BS296+BS297+BS298+BS299+BS301</f>
        <v>436.1</v>
      </c>
      <c r="BT394" s="81">
        <f t="shared" si="1132"/>
        <v>-2.4384787472035763</v>
      </c>
      <c r="BU394" s="35">
        <f>BU263+BU230+BU197+BU151+BU296+BU297+BU298+BU299+BU301</f>
        <v>427.3</v>
      </c>
      <c r="BV394" s="81">
        <f t="shared" si="1133"/>
        <v>-2.8201046167841692</v>
      </c>
      <c r="BW394" s="35">
        <f>BW263+BW230+BW197+BW151+BW296+BW297+BW298+BW299+BW301</f>
        <v>445.8</v>
      </c>
      <c r="BX394" s="81">
        <f t="shared" si="1134"/>
        <v>4.1588785046729138</v>
      </c>
      <c r="BY394" s="35">
        <f>BY263+BY230+BY197+BY151+BY296+BY297+BY298+BY299+BY301</f>
        <v>418.90000000000003</v>
      </c>
      <c r="BZ394" s="81">
        <f t="shared" si="1135"/>
        <v>-2.1718822979915786</v>
      </c>
      <c r="CA394" s="35">
        <f>CA263+CA230+CA197+CA151+CA296+CA297+CA298+CA299+CA301</f>
        <v>420.8</v>
      </c>
      <c r="CB394" s="81">
        <f t="shared" si="1136"/>
        <v>-3.5083696399908271</v>
      </c>
      <c r="CC394" s="35">
        <f>CC263+CC230+CC197+CC151+CC296+CC297+CC298+CC299+CC301</f>
        <v>412.20000000000005</v>
      </c>
      <c r="CD394" s="81">
        <f t="shared" si="1137"/>
        <v>-3.5338169904048589</v>
      </c>
      <c r="CE394" s="35">
        <f>CE263+CE230+CE197+CE151+CE296+CE297+CE298+CE299+CE301</f>
        <v>428.6</v>
      </c>
      <c r="CF394" s="81">
        <f t="shared" si="1138"/>
        <v>-3.8582323912068173</v>
      </c>
      <c r="CG394" s="35">
        <f>CG263+CG230+CG197+CG151+CG296+CG297+CG298+CG299+CG301</f>
        <v>427.59999999999997</v>
      </c>
      <c r="CH394" s="81">
        <f t="shared" si="1139"/>
        <v>2.0768679875865281</v>
      </c>
      <c r="CI394" s="35">
        <f>CI263+CI230+CI197+CI151+CI296+CI297+CI298+CI299+CI301</f>
        <v>422.5</v>
      </c>
      <c r="CJ394" s="81">
        <f t="shared" si="1140"/>
        <v>0.40399239543726928</v>
      </c>
      <c r="CK394" s="35">
        <f>CK263+CK230+CK197+CK151+CK296+CK297+CK298+CK299+CK301</f>
        <v>418.6</v>
      </c>
      <c r="CL394" s="81">
        <f t="shared" si="1141"/>
        <v>1.552644347404164</v>
      </c>
      <c r="CM394" s="35">
        <f>CM263+CM230+CM197+CM151+CM296+CM297+CM298+CM299+CM301</f>
        <v>436.2</v>
      </c>
      <c r="CN394" s="81">
        <f t="shared" si="1142"/>
        <v>1.7732151189920664</v>
      </c>
      <c r="CO394" s="35">
        <f>CO263+CO230+CO197+CO151+CO296+CO297+CO298+CO299+CO301</f>
        <v>412.50000000000006</v>
      </c>
      <c r="CP394" s="81">
        <f t="shared" si="1143"/>
        <v>-3.5313376987838874</v>
      </c>
      <c r="CQ394" s="35">
        <f>CQ263+CQ230+CQ197+CQ151+CQ296+CQ297+CQ298+CQ299+CQ301</f>
        <v>415.9</v>
      </c>
      <c r="CR394" s="81">
        <f t="shared" si="1144"/>
        <v>-1.5621301775147978</v>
      </c>
      <c r="CS394" s="35">
        <f>CS263+CS230+CS197+CS151+CS296+CS297+CS298+CS299+CS301</f>
        <v>405.4</v>
      </c>
      <c r="CT394" s="81">
        <f t="shared" si="1145"/>
        <v>-3.1533683707596905</v>
      </c>
      <c r="CU394" s="35">
        <f>CU263+CU230+CU197+CU151+CU296+CU297+CU298+CU299+CU301</f>
        <v>434.9</v>
      </c>
      <c r="CV394" s="81">
        <f t="shared" si="1146"/>
        <v>-0.29802842732691293</v>
      </c>
      <c r="CW394" s="35">
        <f>CW263+CW230+CW197+CW151+CW296+CW297+CW298+CW299+CW301</f>
        <v>413.8</v>
      </c>
      <c r="CX394" s="81">
        <f t="shared" si="1147"/>
        <v>0.31515151515151274</v>
      </c>
      <c r="CY394" s="35">
        <f>CY263+CY230+CY197+CY151+CY296+CY297+CY298+CY299+CY301</f>
        <v>406.89999999999992</v>
      </c>
      <c r="CZ394" s="81">
        <f t="shared" si="1148"/>
        <v>-2.1639817263765515</v>
      </c>
      <c r="DA394" s="35">
        <f>DA263+DA230+DA197+DA151+DA296+DA297+DA298+DA299+DA301</f>
        <v>409.1</v>
      </c>
      <c r="DB394" s="81">
        <f t="shared" si="1149"/>
        <v>0.91267883571781727</v>
      </c>
      <c r="DC394" s="35">
        <f>DC263+DC230+DC197+DC151+DC296+DC297+DC298+DC299+DC301</f>
        <v>428.59999999999997</v>
      </c>
      <c r="DD394" s="81">
        <f t="shared" si="1150"/>
        <v>-1.4486088756035853</v>
      </c>
      <c r="DE394" s="35">
        <f>DE263+DE230+DE197+DE151+DE296+DE297+DE298+DE299+DE301</f>
        <v>426.29999999999995</v>
      </c>
      <c r="DF394" s="81">
        <f t="shared" si="1151"/>
        <v>3.0207829869502101</v>
      </c>
      <c r="DG394" s="35">
        <f>DG263+DG230+DG197+DG151+DG296+DG297+DG298+DG299+DG301</f>
        <v>441.40000000000003</v>
      </c>
      <c r="DH394" s="81">
        <f t="shared" si="1152"/>
        <v>8.4787417055787841</v>
      </c>
      <c r="DI394" s="35">
        <f>DI263+DI230+DI197+DI151+DI296+DI297+DI298+DI299+DI301</f>
        <v>430.2</v>
      </c>
      <c r="DJ394" s="81">
        <f t="shared" si="1153"/>
        <v>5.1576631630408043</v>
      </c>
      <c r="DK394" s="35">
        <f>DK263+DK230+DK197+DK151+DK296+DK297+DK298+DK299+DK301</f>
        <v>453.1</v>
      </c>
      <c r="DL394" s="81">
        <f t="shared" si="1154"/>
        <v>5.7162855809612889</v>
      </c>
      <c r="DM394" s="35">
        <f>DM263+DM230+DM197+DM151+DM296+DM297+DM298+DM299+DM301</f>
        <v>444.3</v>
      </c>
      <c r="DN394" s="81">
        <f t="shared" si="1155"/>
        <v>4.2223786066150737</v>
      </c>
      <c r="DO394" s="35">
        <f>DO263+DO230+DO197+DO151+DO296+DO297+DO298+DO299+DO301</f>
        <v>453.1</v>
      </c>
      <c r="DP394" s="81">
        <f t="shared" si="1155"/>
        <v>2.6506570004531049</v>
      </c>
      <c r="DQ394" s="35">
        <f>DQ263+DQ230+DQ197+DQ151+DQ296+DQ297+DQ298+DQ299+DQ301</f>
        <v>444.1</v>
      </c>
      <c r="DR394" s="81">
        <f t="shared" si="1156"/>
        <v>3.2310553231055472</v>
      </c>
      <c r="DS394" s="35">
        <f>DS263+DS230+DS197+DS151+DS296+DS297+DS298+DS299+DS301</f>
        <v>459.79999999999995</v>
      </c>
      <c r="DT394" s="81">
        <f t="shared" si="1157"/>
        <v>1.4787022732288602</v>
      </c>
      <c r="DU394" s="35">
        <f>DU263+DU230+DU197+DU151+DU296+DU297+DU298+DU299+DU301</f>
        <v>451.8</v>
      </c>
      <c r="DV394" s="81">
        <f t="shared" si="1158"/>
        <v>1.6880486158001418</v>
      </c>
      <c r="DW394" s="35">
        <f>DW263+DW230+DW197+DW151+DW296+DW297+DW298+DW299+DW301</f>
        <v>453.09999999999997</v>
      </c>
      <c r="DX394" s="81">
        <f t="shared" si="1159"/>
        <v>-1.1102230246251565E-14</v>
      </c>
      <c r="DY394" s="35">
        <f>DY263+DY230+DY197+DY151+DY296+DY297+DY298+DY299+DY301</f>
        <v>460.79999999999995</v>
      </c>
      <c r="DZ394" s="81">
        <f t="shared" si="1160"/>
        <v>3.7604143210988372</v>
      </c>
      <c r="EA394" s="35">
        <f>EA263+EA230+EA197+EA151+EA296+EA297+EA298+EA299+EA301</f>
        <v>464</v>
      </c>
      <c r="EB394" s="81">
        <f t="shared" si="1161"/>
        <v>0.91344062635929646</v>
      </c>
      <c r="EC394" s="35">
        <f>EC263+EC230+EC197+EC151+EC296+EC297+EC298+EC299+EC301</f>
        <v>477.59999999999997</v>
      </c>
      <c r="ED394" s="81">
        <f t="shared" si="1162"/>
        <v>5.7104913678618807</v>
      </c>
      <c r="EE394" s="35">
        <f>EE263+EE230+EE197+EE151+EE296+EE297+EE298+EE299+EE301</f>
        <v>462.00000000000006</v>
      </c>
      <c r="EF394" s="81">
        <f t="shared" si="1163"/>
        <v>1.9642463032443436</v>
      </c>
      <c r="EG394" s="35">
        <f>EG263+EG230+EG197+EG151+EG296+EG297+EG298+EG299+EG301</f>
        <v>455.40000000000003</v>
      </c>
      <c r="EH394" s="81">
        <f t="shared" si="1164"/>
        <v>-1.1718749999999778</v>
      </c>
      <c r="EI394" s="35">
        <f>EI263+EI230+EI197+EI151+EI296+EI297+EI298+EI299+EI301</f>
        <v>472.20000000000005</v>
      </c>
      <c r="EJ394" s="81">
        <f t="shared" si="1165"/>
        <v>1.767241379310347</v>
      </c>
      <c r="EK394" s="35">
        <f t="shared" ref="EK394:EQ394" si="1180">EK263+EK230+EK197+EK151+EK296+EK297+EK298+EK299+EK301</f>
        <v>479.3089594851366</v>
      </c>
      <c r="EL394" s="81">
        <f t="shared" si="1167"/>
        <v>0.35782233775891736</v>
      </c>
      <c r="EM394" s="35">
        <f t="shared" si="1180"/>
        <v>482.71053763677094</v>
      </c>
      <c r="EN394" s="81">
        <f t="shared" si="1168"/>
        <v>4.4828003542794148</v>
      </c>
      <c r="EO394" s="35">
        <f t="shared" si="1180"/>
        <v>488.37350042997065</v>
      </c>
      <c r="EP394" s="81">
        <f t="shared" si="1169"/>
        <v>7.2405578458433428</v>
      </c>
      <c r="EQ394" s="35">
        <f t="shared" si="1180"/>
        <v>490.17712860732746</v>
      </c>
      <c r="ER394" s="81">
        <f t="shared" si="1170"/>
        <v>3.8071005098109678</v>
      </c>
      <c r="ES394" s="129"/>
      <c r="ET394" s="470"/>
      <c r="EU394" s="129"/>
      <c r="EV394" s="129"/>
      <c r="EW394" s="79"/>
      <c r="EX394" s="129"/>
      <c r="EY394" s="79"/>
      <c r="EZ394" s="129"/>
      <c r="FA394" s="79"/>
      <c r="FB394" s="35">
        <f>FB344+FB346+FB347+FB349+FB322+FB263+FB230+FB197+FB151</f>
        <v>510.3</v>
      </c>
      <c r="FC394" s="79" t="str">
        <f t="shared" si="1171"/>
        <v>NA</v>
      </c>
      <c r="FD394" s="35">
        <f>FD263+FD230+FD197+FD151+FD296+FD297+FD298+FD299+FD300+FD301</f>
        <v>1758.5</v>
      </c>
      <c r="FE394" s="79" t="str">
        <f t="shared" si="1172"/>
        <v>NM</v>
      </c>
      <c r="FF394" s="35">
        <f>FF263+FF230+FF197+FF151+FF296+FF297+FF298+FF299+FF300+FF301</f>
        <v>1889.2000000000003</v>
      </c>
      <c r="FG394" s="79">
        <f t="shared" si="1173"/>
        <v>7.4324708558430652</v>
      </c>
      <c r="FH394" s="35">
        <f>FH263+FH230+FH197+FH151+FH296+FH297+FH298+FH299+FH300+FH301</f>
        <v>1897.8999999999999</v>
      </c>
      <c r="FI394" s="79">
        <f t="shared" si="1174"/>
        <v>0.46051238619519985</v>
      </c>
      <c r="FJ394" s="35">
        <f>FJ263+FJ230+FJ197+FJ151+FJ296+FJ297+FJ298+FJ299+FJ300+FJ301</f>
        <v>1832.8</v>
      </c>
      <c r="FK394" s="79">
        <f t="shared" si="1174"/>
        <v>-3.4301069603245637</v>
      </c>
      <c r="FL394" s="35">
        <f>FL263+FL230+FL197+FL151+FL296+FL297+FL298+FL299+FL300+FL301</f>
        <v>1758.1</v>
      </c>
      <c r="FM394" s="79">
        <f t="shared" si="1174"/>
        <v>-4.0757311217808789</v>
      </c>
      <c r="FN394" s="35">
        <f>FN263+FN230+FN197+FN151+FN296+FN297+FN298+FN299+FN300+FN301</f>
        <v>1713.6999999999998</v>
      </c>
      <c r="FO394" s="79">
        <f t="shared" si="1174"/>
        <v>-2.5254536146976925</v>
      </c>
      <c r="FP394" s="35">
        <f>FP263+FP230+FP197+FP151+FP296+FP297+FP298+FP299+FP300+FP301</f>
        <v>1750.4</v>
      </c>
      <c r="FQ394" s="79">
        <f t="shared" si="1174"/>
        <v>2.1415650347202053</v>
      </c>
      <c r="FR394" s="35">
        <f>FR263+FR230+FR197+FR151+FR296+FR297+FR298+FR299+FR300+FR301</f>
        <v>1693.9</v>
      </c>
      <c r="FS394" s="79">
        <f t="shared" si="1174"/>
        <v>-3.2278336380255901</v>
      </c>
      <c r="FT394" s="35">
        <f>FT263+FT230+FT197+FT151+FT296+FT297+FT298+FT299+FT300+FT301</f>
        <v>1680.5000000000002</v>
      </c>
      <c r="FU394" s="79">
        <f t="shared" si="1174"/>
        <v>-0.79107385323807788</v>
      </c>
      <c r="FV394" s="35">
        <f>FV263+FV230+FV197+FV151+FV296+FV297+FV298+FV299+FV300+FV301</f>
        <v>1704.8999999999999</v>
      </c>
      <c r="FW394" s="79">
        <f t="shared" si="1174"/>
        <v>1.4519488247545231</v>
      </c>
      <c r="FX394" s="35">
        <f>FX263+FX230+FX197+FX151+FX296+FX297+FX298+FX299+FX300+FX301</f>
        <v>1668.7000000000003</v>
      </c>
      <c r="FY394" s="79">
        <f t="shared" si="1174"/>
        <v>-2.1232916886620656</v>
      </c>
      <c r="FZ394" s="35">
        <f>FZ263+FZ230+FZ197+FZ151+FZ296+FZ297+FZ298+FZ299+FZ300+FZ301</f>
        <v>1658.4</v>
      </c>
      <c r="GA394" s="79">
        <f t="shared" si="1174"/>
        <v>-0.61724695871038238</v>
      </c>
      <c r="GB394" s="35">
        <f>GB263+GB230+GB197+GB151+GB296+GB297+GB298+GB299+GB300+GB301</f>
        <v>1750.9999999999998</v>
      </c>
      <c r="GC394" s="79">
        <f t="shared" si="1174"/>
        <v>5.5836951278340319</v>
      </c>
      <c r="GD394" s="35">
        <f>GD263+GD230+GD197+GD151+GD296+GD297+GD298+GD299+GD300+GD301</f>
        <v>1801.3</v>
      </c>
      <c r="GE394" s="79">
        <f t="shared" si="1174"/>
        <v>2.8726442033124133</v>
      </c>
      <c r="GF394" s="35">
        <f>GF263+GF230+GF197+GF151+GF296+GF297+GF298+GF299+GF300+GF301</f>
        <v>1829.7000000000003</v>
      </c>
      <c r="GG394" s="79">
        <f t="shared" si="1174"/>
        <v>1.5766390939876862</v>
      </c>
      <c r="GH394" s="35">
        <f>GH263+GH230+GH197+GH151+GH296+GH297+GH298+GH299+GH300+GH301</f>
        <v>1867.2</v>
      </c>
      <c r="GI394" s="79">
        <f t="shared" si="1174"/>
        <v>2.0495163141498463</v>
      </c>
      <c r="GJ394" s="35">
        <f>GJ263+GJ230+GJ197+GJ151+GJ296+GJ297+GJ298+GJ299+GJ300+GJ301</f>
        <v>1940.5701261592058</v>
      </c>
      <c r="GK394" s="79">
        <f t="shared" si="1174"/>
        <v>3.9294197814484733</v>
      </c>
      <c r="GL394" s="35">
        <f>GL263+GL230+GL197+GL151+GL296+GL297+GL298+GL299+GL300+GL301</f>
        <v>1997.352410079179</v>
      </c>
      <c r="GM394" s="79">
        <f t="shared" si="1174"/>
        <v>2.9260619420312883</v>
      </c>
      <c r="GN394" s="35">
        <f>GN263+GN230+GN197+GN151+GN296+GN297+GN298+GN299+GN300+GN301</f>
        <v>2055.4800976781894</v>
      </c>
      <c r="GO394" s="79">
        <f t="shared" si="1174"/>
        <v>2.9102369369412351</v>
      </c>
      <c r="GP394" s="35">
        <f>GP263+GP230+GP197+GP151+GP296+GP297+GP298+GP299+GP300+GP301</f>
        <v>2116.7964464538954</v>
      </c>
      <c r="GQ394" s="79">
        <f t="shared" si="1174"/>
        <v>2.9830670141232307</v>
      </c>
      <c r="GR394" s="35">
        <f>GR263+GR230+GR197+GR151+GR296+GR297+GR298+GR299+GR300+GR301</f>
        <v>2183.1948978400956</v>
      </c>
      <c r="GS394" s="79">
        <f t="shared" si="1175"/>
        <v>3.1367423871781375</v>
      </c>
      <c r="GT394" s="79">
        <f t="shared" si="1176"/>
        <v>3.1763912746587852</v>
      </c>
    </row>
    <row r="395" spans="1:286" ht="12.75" customHeight="1" x14ac:dyDescent="0.2">
      <c r="A395" s="1"/>
      <c r="B395" s="311" t="s">
        <v>294</v>
      </c>
      <c r="C395" s="79"/>
      <c r="D395" s="79"/>
      <c r="E395" s="35">
        <v>2115.4</v>
      </c>
      <c r="F395" s="129"/>
      <c r="G395" s="35">
        <v>2152.1</v>
      </c>
      <c r="H395" s="129"/>
      <c r="I395" s="35">
        <v>2208.1999999999998</v>
      </c>
      <c r="J395" s="129"/>
      <c r="K395" s="35">
        <v>2117.1</v>
      </c>
      <c r="L395" s="79"/>
      <c r="M395" s="35">
        <v>2115</v>
      </c>
      <c r="N395" s="79">
        <v>-1.8908953389418226E-2</v>
      </c>
      <c r="O395" s="35">
        <v>2168.1999999999998</v>
      </c>
      <c r="P395" s="79">
        <v>0.7481065006272658</v>
      </c>
      <c r="Q395" s="35">
        <v>2191</v>
      </c>
      <c r="R395" s="79">
        <v>-0.7789149533556694</v>
      </c>
      <c r="S395" s="35">
        <v>2191.6999999999998</v>
      </c>
      <c r="T395" s="79">
        <v>3.5236880638609636</v>
      </c>
      <c r="U395" s="35">
        <v>2784.3</v>
      </c>
      <c r="V395" s="79">
        <v>31.645390070921998</v>
      </c>
      <c r="W395" s="35">
        <v>2391.8000000000002</v>
      </c>
      <c r="X395" s="79">
        <v>10.312701780278587</v>
      </c>
      <c r="Y395" s="35">
        <v>2408.6</v>
      </c>
      <c r="Z395" s="79">
        <v>9.931538110451843</v>
      </c>
      <c r="AA395" s="34">
        <v>2842.1</v>
      </c>
      <c r="AB395" s="79">
        <f t="shared" si="1118"/>
        <v>29.675594287539365</v>
      </c>
      <c r="AC395" s="35">
        <f>SUM(AC390:AC394)</f>
        <v>3393.8</v>
      </c>
      <c r="AD395" s="79">
        <f t="shared" si="1119"/>
        <v>21.890600869159215</v>
      </c>
      <c r="AE395" s="35">
        <f>SUM(AE390:AE394)</f>
        <v>2397.1999999999998</v>
      </c>
      <c r="AF395" s="79">
        <f t="shared" si="1120"/>
        <v>0.22577138556734155</v>
      </c>
      <c r="AG395" s="35">
        <f>SUM(AG390:AG394)</f>
        <v>2398.87</v>
      </c>
      <c r="AH395" s="79">
        <f t="shared" si="1121"/>
        <v>-0.40396911068670827</v>
      </c>
      <c r="AI395" s="35">
        <f>SUM(AI390:AI394)</f>
        <v>2534.5300000000002</v>
      </c>
      <c r="AJ395" s="79">
        <f t="shared" si="1122"/>
        <v>-10.821927448013779</v>
      </c>
      <c r="AK395" s="35">
        <f>SUM(AK390:AK394)</f>
        <v>2390.3000000000002</v>
      </c>
      <c r="AL395" s="79">
        <f t="shared" si="1123"/>
        <v>-29.568625139961103</v>
      </c>
      <c r="AM395" s="35">
        <f>SUM(AM390:AM394)</f>
        <v>2390.9000000000005</v>
      </c>
      <c r="AN395" s="79">
        <f t="shared" si="1124"/>
        <v>-0.26280660770896525</v>
      </c>
      <c r="AO395" s="35">
        <f>SUM(AO390:AO394)</f>
        <v>2400.6000000000004</v>
      </c>
      <c r="AP395" s="79">
        <f t="shared" si="1124"/>
        <v>7.211728855671673E-2</v>
      </c>
      <c r="AQ395" s="35">
        <f>SUM(AQ390:AQ394)</f>
        <v>2430.5</v>
      </c>
      <c r="AR395" s="79">
        <f t="shared" si="1124"/>
        <v>-4.1045085282083953</v>
      </c>
      <c r="AS395" s="35">
        <f>SUM(AS390:AS394)</f>
        <v>2395.9000000000005</v>
      </c>
      <c r="AT395" s="81">
        <f t="shared" si="1124"/>
        <v>0.23428021587250658</v>
      </c>
      <c r="AU395" s="35">
        <f>SUM(AU390:AU394)</f>
        <v>2457.2999999999997</v>
      </c>
      <c r="AV395" s="81">
        <f t="shared" si="1124"/>
        <v>2.777196871470955</v>
      </c>
      <c r="AW395" s="35">
        <f>SUM(AW390:AW394)</f>
        <v>2413.6999999999998</v>
      </c>
      <c r="AX395" s="81">
        <f t="shared" si="1124"/>
        <v>0.54569690910604152</v>
      </c>
      <c r="AY395" s="35">
        <f>SUM(AY390:AY394)</f>
        <v>2430.4</v>
      </c>
      <c r="AZ395" s="81">
        <f t="shared" si="1124"/>
        <v>-4.1143797572473773E-3</v>
      </c>
      <c r="BA395" s="35">
        <f>SUM(BA390:BA394)</f>
        <v>2340.6999999999998</v>
      </c>
      <c r="BB395" s="81">
        <f t="shared" si="1124"/>
        <v>-2.3039358904796026</v>
      </c>
      <c r="BC395" s="35">
        <f>SUM(BC390:BC394)</f>
        <v>2379.6999999999998</v>
      </c>
      <c r="BD395" s="81">
        <f t="shared" si="1124"/>
        <v>-3.157937573759817</v>
      </c>
      <c r="BE395" s="35">
        <f>SUM(BE390:BE394)</f>
        <v>2331.2000000000003</v>
      </c>
      <c r="BF395" s="81">
        <f t="shared" si="1125"/>
        <v>-3.4179889795749041</v>
      </c>
      <c r="BG395" s="35">
        <f>SUM(BG390:BG394)</f>
        <v>2362.5</v>
      </c>
      <c r="BH395" s="81">
        <f t="shared" si="1126"/>
        <v>-2.7937788018433163</v>
      </c>
      <c r="BI395" s="35">
        <f>SUM(BI390:BI394)</f>
        <v>2295.9</v>
      </c>
      <c r="BJ395" s="81">
        <f t="shared" si="1127"/>
        <v>-1.9139573631819395</v>
      </c>
      <c r="BK395" s="35">
        <f>SUM(BK390:BK394)</f>
        <v>2308.3000000000002</v>
      </c>
      <c r="BL395" s="81">
        <f t="shared" si="1128"/>
        <v>-3.0003781989326184</v>
      </c>
      <c r="BM395" s="35">
        <f>SUM(BM390:BM394)</f>
        <v>2282.9</v>
      </c>
      <c r="BN395" s="81">
        <f t="shared" si="1129"/>
        <v>-2.0718943033630866</v>
      </c>
      <c r="BO395" s="35">
        <f>SUM(BO390:BO394)</f>
        <v>2271.1999999999998</v>
      </c>
      <c r="BP395" s="81">
        <f t="shared" si="1130"/>
        <v>-3.8645502645502705</v>
      </c>
      <c r="BQ395" s="35">
        <f>SUM(BQ390:BQ394)</f>
        <v>2198.3000000000002</v>
      </c>
      <c r="BR395" s="81">
        <f t="shared" si="1131"/>
        <v>-4.2510562306720683</v>
      </c>
      <c r="BS395" s="35">
        <f>SUM(BS390:BS394)</f>
        <v>2216.8000000000002</v>
      </c>
      <c r="BT395" s="81">
        <f t="shared" si="1132"/>
        <v>-3.9639561582116678</v>
      </c>
      <c r="BU395" s="35">
        <f>SUM(BU390:BU394)</f>
        <v>2182.9</v>
      </c>
      <c r="BV395" s="81">
        <f t="shared" si="1133"/>
        <v>-4.3803933593236639</v>
      </c>
      <c r="BW395" s="35">
        <f>SUM(BW390:BW394)</f>
        <v>2200.7000000000003</v>
      </c>
      <c r="BX395" s="81">
        <f t="shared" si="1134"/>
        <v>-3.1040859457555303</v>
      </c>
      <c r="BY395" s="35">
        <f>SUM(BY390:BY394)</f>
        <v>2195.9</v>
      </c>
      <c r="BZ395" s="81">
        <f t="shared" si="1135"/>
        <v>-0.10917527180094311</v>
      </c>
      <c r="CA395" s="35">
        <f>SUM(CA390:CA394)</f>
        <v>2196.5</v>
      </c>
      <c r="CB395" s="81">
        <f t="shared" si="1136"/>
        <v>-0.91573439191627859</v>
      </c>
      <c r="CC395" s="35">
        <f>SUM(CC390:CC394)</f>
        <v>2196.4</v>
      </c>
      <c r="CD395" s="81">
        <f t="shared" si="1137"/>
        <v>0.61844335516971771</v>
      </c>
      <c r="CE395" s="35">
        <f>SUM(CE390:CE394)</f>
        <v>2252</v>
      </c>
      <c r="CF395" s="81">
        <f t="shared" si="1138"/>
        <v>2.3310764756668156</v>
      </c>
      <c r="CG395" s="35">
        <f>SUM(CG390:CG394)</f>
        <v>2227.6999999999998</v>
      </c>
      <c r="CH395" s="81">
        <f t="shared" si="1139"/>
        <v>1.4481533767475518</v>
      </c>
      <c r="CI395" s="35">
        <f>SUM(CI390:CI394)</f>
        <v>2222</v>
      </c>
      <c r="CJ395" s="81">
        <f t="shared" si="1140"/>
        <v>1.1609378556795003</v>
      </c>
      <c r="CK395" s="35">
        <f>SUM(CK390:CK394)</f>
        <v>2248.9</v>
      </c>
      <c r="CL395" s="81">
        <f t="shared" si="1141"/>
        <v>2.3902749954471059</v>
      </c>
      <c r="CM395" s="35">
        <f>SUM(CM390:CM394)</f>
        <v>3214.2</v>
      </c>
      <c r="CN395" s="81">
        <f t="shared" si="1142"/>
        <v>42.72646536412077</v>
      </c>
      <c r="CO395" s="35">
        <f>SUM(CO390:CO394)</f>
        <v>2289.7000000000003</v>
      </c>
      <c r="CP395" s="81">
        <f t="shared" si="1143"/>
        <v>2.7831395609821952</v>
      </c>
      <c r="CQ395" s="35">
        <f>SUM(CQ390:CQ394)</f>
        <v>2309.8999999999996</v>
      </c>
      <c r="CR395" s="81">
        <f t="shared" si="1144"/>
        <v>3.9558955895589332</v>
      </c>
      <c r="CS395" s="35">
        <f>SUM(CS390:CS394)</f>
        <v>2296</v>
      </c>
      <c r="CT395" s="81">
        <f t="shared" si="1145"/>
        <v>2.0943572413179679</v>
      </c>
      <c r="CU395" s="35">
        <f>SUM(CU390:CU394)</f>
        <v>2323.9</v>
      </c>
      <c r="CV395" s="81">
        <f t="shared" si="1146"/>
        <v>-27.698960861178513</v>
      </c>
      <c r="CW395" s="35">
        <f>SUM(CW390:CW394)</f>
        <v>2306.1</v>
      </c>
      <c r="CX395" s="81">
        <f t="shared" si="1147"/>
        <v>0.71625103725376782</v>
      </c>
      <c r="CY395" s="35">
        <f>SUM(CY390:CY394)</f>
        <v>2277.5</v>
      </c>
      <c r="CZ395" s="81">
        <f t="shared" si="1148"/>
        <v>-1.4026581237282842</v>
      </c>
      <c r="DA395" s="35">
        <f>SUM(DA390:DA394)</f>
        <v>2254.1</v>
      </c>
      <c r="DB395" s="81">
        <f t="shared" si="1149"/>
        <v>-1.8249128919860635</v>
      </c>
      <c r="DC395" s="35">
        <f>SUM(DC390:DC394)</f>
        <v>2278</v>
      </c>
      <c r="DD395" s="81">
        <f t="shared" si="1150"/>
        <v>-1.9751280175566932</v>
      </c>
      <c r="DE395" s="35">
        <f>SUM(DE390:DE394)</f>
        <v>2283.1999999999998</v>
      </c>
      <c r="DF395" s="81">
        <f t="shared" si="1151"/>
        <v>-0.99301851610945624</v>
      </c>
      <c r="DG395" s="35">
        <f>SUM(DG390:DG394)</f>
        <v>2305.6</v>
      </c>
      <c r="DH395" s="81">
        <f t="shared" si="1152"/>
        <v>1.2338090010976854</v>
      </c>
      <c r="DI395" s="35">
        <f>SUM(DI390:DI394)</f>
        <v>2295.8999999999996</v>
      </c>
      <c r="DJ395" s="81">
        <f t="shared" si="1153"/>
        <v>1.8543986513464228</v>
      </c>
      <c r="DK395" s="35">
        <f>SUM(DK390:DK394)</f>
        <v>3029.2</v>
      </c>
      <c r="DL395" s="81">
        <f t="shared" si="1154"/>
        <v>32.976294995610168</v>
      </c>
      <c r="DM395" s="35">
        <f>SUM(DM390:DM394)</f>
        <v>2344.4</v>
      </c>
      <c r="DN395" s="81">
        <f t="shared" si="1155"/>
        <v>2.6804484933426798</v>
      </c>
      <c r="DO395" s="35">
        <f>SUM(DO390:DO394)</f>
        <v>2383.9</v>
      </c>
      <c r="DP395" s="81">
        <f t="shared" si="1155"/>
        <v>3.3960791117279676</v>
      </c>
      <c r="DQ395" s="35">
        <f>SUM(DQ390:DQ394)</f>
        <v>2358.9</v>
      </c>
      <c r="DR395" s="81">
        <f t="shared" si="1156"/>
        <v>2.7440219521756459</v>
      </c>
      <c r="DS395" s="35">
        <f>SUM(DS390:DS394)</f>
        <v>2405.8000000000002</v>
      </c>
      <c r="DT395" s="81">
        <f t="shared" si="1157"/>
        <v>-20.579691007526723</v>
      </c>
      <c r="DU395" s="35">
        <f>SUM(DU390:DU394)</f>
        <v>2421.2000000000003</v>
      </c>
      <c r="DV395" s="81">
        <f t="shared" si="1158"/>
        <v>3.2758914860945287</v>
      </c>
      <c r="DW395" s="35">
        <f>SUM(DW390:DW394)</f>
        <v>2421.1</v>
      </c>
      <c r="DX395" s="81">
        <f t="shared" si="1159"/>
        <v>1.5604681404421283</v>
      </c>
      <c r="DY395" s="35">
        <f>SUM(DY390:DY394)</f>
        <v>2431.1999999999998</v>
      </c>
      <c r="DZ395" s="81">
        <f t="shared" si="1160"/>
        <v>3.0649879180974171</v>
      </c>
      <c r="EA395" s="35">
        <f>SUM(EA390:EA394)</f>
        <v>2425.3000000000002</v>
      </c>
      <c r="EB395" s="81">
        <f t="shared" si="1161"/>
        <v>0.81054119211905196</v>
      </c>
      <c r="EC395" s="35">
        <f>SUM(EC390:EC394)</f>
        <v>2476.2000000000003</v>
      </c>
      <c r="ED395" s="81">
        <f t="shared" si="1162"/>
        <v>2.2716008590781378</v>
      </c>
      <c r="EE395" s="35">
        <f>SUM(EE390:EE394)</f>
        <v>2460.4</v>
      </c>
      <c r="EF395" s="81">
        <f t="shared" si="1163"/>
        <v>1.6232291107348029</v>
      </c>
      <c r="EG395" s="35">
        <f>SUM(EG390:EG394)</f>
        <v>2452.3000000000002</v>
      </c>
      <c r="EH395" s="81">
        <f t="shared" si="1164"/>
        <v>0.86788417242515958</v>
      </c>
      <c r="EI395" s="35">
        <f>SUM(EI390:EI394)</f>
        <v>2493.9</v>
      </c>
      <c r="EJ395" s="81">
        <f t="shared" si="1165"/>
        <v>2.8285160598688686</v>
      </c>
      <c r="EK395" s="35">
        <f t="shared" ref="EK395:EQ395" si="1181">SUM(EK390:EK394)</f>
        <v>2534.4347726730293</v>
      </c>
      <c r="EL395" s="81">
        <f t="shared" si="1167"/>
        <v>2.3517798511036636</v>
      </c>
      <c r="EM395" s="35">
        <f t="shared" si="1181"/>
        <v>2545.7456083854572</v>
      </c>
      <c r="EN395" s="81">
        <f t="shared" si="1168"/>
        <v>3.4687696466207507</v>
      </c>
      <c r="EO395" s="35">
        <f t="shared" si="1181"/>
        <v>2564.7583315264746</v>
      </c>
      <c r="EP395" s="81">
        <f t="shared" si="1169"/>
        <v>4.5858309149155563</v>
      </c>
      <c r="EQ395" s="35">
        <f t="shared" si="1181"/>
        <v>2567.1353409658086</v>
      </c>
      <c r="ER395" s="81">
        <f t="shared" si="1170"/>
        <v>2.9365788911266844</v>
      </c>
      <c r="ES395" s="129"/>
      <c r="ET395" s="470"/>
      <c r="EU395" s="129"/>
      <c r="EV395" s="129"/>
      <c r="EW395" s="79"/>
      <c r="EX395" s="129"/>
      <c r="EY395" s="79"/>
      <c r="EZ395" s="129"/>
      <c r="FA395" s="79"/>
      <c r="FB395" s="35">
        <f>SUM(FB390:FB394)</f>
        <v>1227.5</v>
      </c>
      <c r="FC395" s="79" t="str">
        <f t="shared" si="1171"/>
        <v>NA</v>
      </c>
      <c r="FD395" s="35">
        <f>SUM(FD390:FD394)</f>
        <v>8665.9</v>
      </c>
      <c r="FE395" s="79" t="str">
        <f t="shared" si="1172"/>
        <v>NM</v>
      </c>
      <c r="FF395" s="35">
        <f>SUM(FF390:FF394)</f>
        <v>10426.800000000003</v>
      </c>
      <c r="FG395" s="79">
        <f t="shared" si="1173"/>
        <v>20.319874450432195</v>
      </c>
      <c r="FH395" s="35">
        <f>SUM(FH390:FH394)</f>
        <v>10724.4</v>
      </c>
      <c r="FI395" s="79">
        <f t="shared" si="1174"/>
        <v>2.8541834503394758</v>
      </c>
      <c r="FJ395" s="35">
        <f>SUM(FJ390:FJ394)</f>
        <v>9612.2999999999993</v>
      </c>
      <c r="FK395" s="79">
        <f t="shared" si="1174"/>
        <v>-10.369810898511812</v>
      </c>
      <c r="FL395" s="35">
        <f>SUM(FL390:FL394)</f>
        <v>9697.2999999999993</v>
      </c>
      <c r="FM395" s="79">
        <f t="shared" si="1174"/>
        <v>0.88428367820396758</v>
      </c>
      <c r="FN395" s="35">
        <f>SUM(FN390:FN394)</f>
        <v>9414.1</v>
      </c>
      <c r="FO395" s="79">
        <f t="shared" si="1174"/>
        <v>-2.9204005238571473</v>
      </c>
      <c r="FP395" s="35">
        <f>SUM(FP390:FP394)</f>
        <v>9158.3000000000011</v>
      </c>
      <c r="FQ395" s="79">
        <f t="shared" si="1174"/>
        <v>-2.7172007945528431</v>
      </c>
      <c r="FR395" s="35">
        <f>SUM(FR390:FR394)</f>
        <v>8763.6</v>
      </c>
      <c r="FS395" s="79">
        <f t="shared" si="1174"/>
        <v>-4.3097518098337062</v>
      </c>
      <c r="FT395" s="35">
        <f>SUM(FT390:FT394)</f>
        <v>8840.8000000000011</v>
      </c>
      <c r="FU395" s="79">
        <f t="shared" si="1174"/>
        <v>0.88091651832580276</v>
      </c>
      <c r="FV395" s="35">
        <f>SUM(FV390:FV394)</f>
        <v>9912.7999999999993</v>
      </c>
      <c r="FW395" s="79">
        <f t="shared" si="1174"/>
        <v>12.125599493258509</v>
      </c>
      <c r="FX395" s="35">
        <f>SUM(FX390:FX394)</f>
        <v>9219.5</v>
      </c>
      <c r="FY395" s="79">
        <f t="shared" si="1174"/>
        <v>-6.9939875716245599</v>
      </c>
      <c r="FZ395" s="35">
        <f>SUM(FZ390:FZ394)</f>
        <v>9115.7000000000007</v>
      </c>
      <c r="GA395" s="79">
        <f t="shared" si="1174"/>
        <v>-1.1258745051250019</v>
      </c>
      <c r="GB395" s="35">
        <f>SUM(GB390:GB394)</f>
        <v>9913.8999999999978</v>
      </c>
      <c r="GC395" s="79">
        <f t="shared" si="1174"/>
        <v>8.7563215112388182</v>
      </c>
      <c r="GD395" s="35">
        <f>SUM(GD390:GD394)</f>
        <v>9493</v>
      </c>
      <c r="GE395" s="79">
        <f t="shared" si="1174"/>
        <v>-4.2455542218501119</v>
      </c>
      <c r="GF395" s="35">
        <f>SUM(GF390:GF394)</f>
        <v>9698.8000000000011</v>
      </c>
      <c r="GG395" s="79">
        <f t="shared" si="1174"/>
        <v>2.1679131991994227</v>
      </c>
      <c r="GH395" s="35">
        <f>SUM(GH390:GH394)</f>
        <v>9882.8000000000011</v>
      </c>
      <c r="GI395" s="79">
        <f t="shared" si="1174"/>
        <v>1.8971419144636403</v>
      </c>
      <c r="GJ395" s="35">
        <f>SUM(GJ390:GJ394)</f>
        <v>10212.074053550768</v>
      </c>
      <c r="GK395" s="79">
        <f t="shared" si="1174"/>
        <v>3.3317891038042502</v>
      </c>
      <c r="GL395" s="35">
        <f>SUM(GL390:GL394)</f>
        <v>10415.942524575585</v>
      </c>
      <c r="GM395" s="79">
        <f t="shared" si="1174"/>
        <v>1.9963473625020489</v>
      </c>
      <c r="GN395" s="35">
        <f>SUM(GN390:GN394)</f>
        <v>10630.60603543085</v>
      </c>
      <c r="GO395" s="79">
        <f t="shared" si="1174"/>
        <v>2.0609129740182919</v>
      </c>
      <c r="GP395" s="35">
        <f>SUM(GP390:GP394)</f>
        <v>10857.783709110874</v>
      </c>
      <c r="GQ395" s="79">
        <f t="shared" si="1174"/>
        <v>2.1370152644436313</v>
      </c>
      <c r="GR395" s="35">
        <f>SUM(GR390:GR394)</f>
        <v>11109.00975838639</v>
      </c>
      <c r="GS395" s="79">
        <f t="shared" si="1175"/>
        <v>2.3137875648113093</v>
      </c>
      <c r="GT395" s="79">
        <f t="shared" si="1176"/>
        <v>2.3667860805020258</v>
      </c>
    </row>
    <row r="396" spans="1:286" ht="12.75" customHeight="1" x14ac:dyDescent="0.2">
      <c r="A396" s="1"/>
      <c r="B396" s="311"/>
      <c r="C396" s="79"/>
      <c r="D396" s="79"/>
      <c r="E396" s="129"/>
      <c r="F396" s="129"/>
      <c r="G396" s="129"/>
      <c r="H396" s="129"/>
      <c r="I396" s="129"/>
      <c r="J396" s="129"/>
      <c r="K396" s="129"/>
      <c r="L396" s="79"/>
      <c r="M396" s="35"/>
      <c r="N396" s="79"/>
      <c r="O396" s="35"/>
      <c r="P396" s="79"/>
      <c r="Q396" s="35"/>
      <c r="R396" s="79"/>
      <c r="S396" s="35"/>
      <c r="T396" s="79"/>
      <c r="U396" s="35"/>
      <c r="V396" s="79"/>
      <c r="W396" s="35"/>
      <c r="X396" s="79"/>
      <c r="Y396" s="35"/>
      <c r="Z396" s="79"/>
      <c r="AA396" s="34"/>
      <c r="AB396" s="79"/>
      <c r="AC396" s="35"/>
      <c r="AD396" s="79"/>
      <c r="AE396" s="35"/>
      <c r="AF396" s="79"/>
      <c r="AG396" s="35"/>
      <c r="AH396" s="79"/>
      <c r="AI396" s="35"/>
      <c r="AJ396" s="79"/>
      <c r="AK396" s="35"/>
      <c r="AL396" s="79"/>
      <c r="AM396" s="35"/>
      <c r="AN396" s="79"/>
      <c r="AO396" s="35"/>
      <c r="AP396" s="79"/>
      <c r="AQ396" s="35"/>
      <c r="AR396" s="79"/>
      <c r="AS396" s="35"/>
      <c r="AT396" s="81"/>
      <c r="AU396" s="35"/>
      <c r="AV396" s="81"/>
      <c r="AW396" s="35"/>
      <c r="AX396" s="81"/>
      <c r="AY396" s="35"/>
      <c r="AZ396" s="81"/>
      <c r="BA396" s="35"/>
      <c r="BB396" s="81"/>
      <c r="BC396" s="35"/>
      <c r="BD396" s="81"/>
      <c r="BE396" s="35"/>
      <c r="BF396" s="81"/>
      <c r="BG396" s="35"/>
      <c r="BH396" s="81"/>
      <c r="BI396" s="35"/>
      <c r="BJ396" s="81"/>
      <c r="BK396" s="35"/>
      <c r="BL396" s="81"/>
      <c r="BM396" s="35"/>
      <c r="BN396" s="81"/>
      <c r="BO396" s="35"/>
      <c r="BP396" s="81"/>
      <c r="BQ396" s="35"/>
      <c r="BR396" s="81"/>
      <c r="BS396" s="35"/>
      <c r="BT396" s="81"/>
      <c r="BU396" s="35"/>
      <c r="BV396" s="81"/>
      <c r="BW396" s="35"/>
      <c r="BX396" s="81"/>
      <c r="BY396" s="35"/>
      <c r="BZ396" s="81"/>
      <c r="CA396" s="35"/>
      <c r="CB396" s="81"/>
      <c r="CC396" s="35"/>
      <c r="CD396" s="81"/>
      <c r="CE396" s="35"/>
      <c r="CF396" s="81"/>
      <c r="CG396" s="35"/>
      <c r="CH396" s="81"/>
      <c r="CI396" s="35"/>
      <c r="CJ396" s="81"/>
      <c r="CK396" s="35"/>
      <c r="CL396" s="81"/>
      <c r="CM396" s="35"/>
      <c r="CN396" s="81"/>
      <c r="CO396" s="35"/>
      <c r="CP396" s="81"/>
      <c r="CQ396" s="35"/>
      <c r="CR396" s="81"/>
      <c r="CS396" s="35"/>
      <c r="CT396" s="81"/>
      <c r="CU396" s="35"/>
      <c r="CV396" s="81"/>
      <c r="CW396" s="35"/>
      <c r="CX396" s="81"/>
      <c r="CY396" s="35"/>
      <c r="CZ396" s="81"/>
      <c r="DA396" s="35"/>
      <c r="DB396" s="81"/>
      <c r="DC396" s="35"/>
      <c r="DD396" s="81"/>
      <c r="DE396" s="35"/>
      <c r="DF396" s="81"/>
      <c r="DG396" s="35"/>
      <c r="DH396" s="81"/>
      <c r="DI396" s="35"/>
      <c r="DJ396" s="81"/>
      <c r="DK396" s="35"/>
      <c r="DL396" s="81"/>
      <c r="DM396" s="35"/>
      <c r="DN396" s="81"/>
      <c r="DO396" s="35"/>
      <c r="DP396" s="81"/>
      <c r="DQ396" s="35"/>
      <c r="DR396" s="81"/>
      <c r="DS396" s="35"/>
      <c r="DT396" s="81"/>
      <c r="DU396" s="35"/>
      <c r="DV396" s="81"/>
      <c r="DW396" s="35"/>
      <c r="DX396" s="81"/>
      <c r="DY396" s="35"/>
      <c r="DZ396" s="81"/>
      <c r="EA396" s="35"/>
      <c r="EB396" s="81"/>
      <c r="EC396" s="35"/>
      <c r="ED396" s="81"/>
      <c r="EE396" s="35"/>
      <c r="EF396" s="81"/>
      <c r="EG396" s="35"/>
      <c r="EH396" s="81"/>
      <c r="EI396" s="35"/>
      <c r="EJ396" s="81"/>
      <c r="EK396" s="35"/>
      <c r="EL396" s="81"/>
      <c r="EM396" s="35"/>
      <c r="EN396" s="81"/>
      <c r="EO396" s="35"/>
      <c r="EP396" s="81"/>
      <c r="EQ396" s="35"/>
      <c r="ER396" s="81"/>
      <c r="ES396" s="129"/>
      <c r="ET396" s="470"/>
      <c r="EU396" s="129"/>
      <c r="EV396" s="129"/>
      <c r="EW396" s="79"/>
      <c r="EX396" s="129"/>
      <c r="EY396" s="79"/>
      <c r="EZ396" s="129"/>
      <c r="FA396" s="79"/>
      <c r="FB396" s="129"/>
      <c r="FC396" s="79"/>
      <c r="FD396" s="35"/>
      <c r="FE396" s="79"/>
      <c r="FF396" s="35"/>
      <c r="FG396" s="79"/>
      <c r="FH396" s="35"/>
      <c r="FI396" s="79"/>
      <c r="FJ396" s="35"/>
      <c r="FK396" s="79"/>
      <c r="FL396" s="35"/>
      <c r="FM396" s="79"/>
      <c r="FN396" s="35"/>
      <c r="FO396" s="79"/>
      <c r="FP396" s="35"/>
      <c r="FQ396" s="79"/>
      <c r="FR396" s="35"/>
      <c r="FS396" s="79"/>
      <c r="FT396" s="35"/>
      <c r="FU396" s="79"/>
      <c r="FV396" s="35"/>
      <c r="FW396" s="79"/>
      <c r="FX396" s="35"/>
      <c r="FY396" s="79"/>
      <c r="FZ396" s="35"/>
      <c r="GA396" s="79"/>
      <c r="GB396" s="35"/>
      <c r="GC396" s="79"/>
      <c r="GD396" s="35"/>
      <c r="GE396" s="79"/>
      <c r="GF396" s="35"/>
      <c r="GG396" s="79"/>
      <c r="GH396" s="35"/>
      <c r="GI396" s="79"/>
      <c r="GJ396" s="35"/>
      <c r="GK396" s="79"/>
      <c r="GL396" s="35"/>
      <c r="GM396" s="79"/>
      <c r="GN396" s="35"/>
      <c r="GO396" s="79"/>
      <c r="GP396" s="35"/>
      <c r="GQ396" s="79"/>
      <c r="GR396" s="35"/>
      <c r="GS396" s="79"/>
      <c r="GT396" s="79"/>
    </row>
    <row r="397" spans="1:286" ht="12.75" customHeight="1" x14ac:dyDescent="0.2">
      <c r="A397" s="1"/>
      <c r="B397" s="2" t="s">
        <v>575</v>
      </c>
      <c r="C397" s="79"/>
      <c r="D397" s="79"/>
      <c r="E397" s="129"/>
      <c r="F397" s="129"/>
      <c r="G397" s="129"/>
      <c r="H397" s="129"/>
      <c r="I397" s="129"/>
      <c r="J397" s="129"/>
      <c r="K397" s="129"/>
      <c r="L397" s="79"/>
      <c r="M397" s="35"/>
      <c r="N397" s="79"/>
      <c r="O397" s="35"/>
      <c r="P397" s="79"/>
      <c r="Q397" s="35"/>
      <c r="R397" s="79"/>
      <c r="S397" s="35"/>
      <c r="T397" s="79"/>
      <c r="U397" s="35"/>
      <c r="V397" s="79"/>
      <c r="W397" s="35"/>
      <c r="X397" s="79"/>
      <c r="Y397" s="35"/>
      <c r="Z397" s="79"/>
      <c r="AA397" s="34"/>
      <c r="AB397" s="79"/>
      <c r="AC397" s="35"/>
      <c r="AD397" s="79"/>
      <c r="AE397" s="35"/>
      <c r="AF397" s="79"/>
      <c r="AG397" s="35"/>
      <c r="AH397" s="79"/>
      <c r="AI397" s="35"/>
      <c r="AJ397" s="79"/>
      <c r="AK397" s="35"/>
      <c r="AL397" s="79"/>
      <c r="AM397" s="35"/>
      <c r="AN397" s="79"/>
      <c r="AO397" s="35"/>
      <c r="AP397" s="79"/>
      <c r="AQ397" s="35"/>
      <c r="AR397" s="79"/>
      <c r="AS397" s="35"/>
      <c r="AT397" s="81"/>
      <c r="AU397" s="35"/>
      <c r="AV397" s="81"/>
      <c r="AW397" s="35"/>
      <c r="AX397" s="81"/>
      <c r="AY397" s="35"/>
      <c r="AZ397" s="81"/>
      <c r="BA397" s="35"/>
      <c r="BB397" s="81"/>
      <c r="BC397" s="35"/>
      <c r="BD397" s="81"/>
      <c r="BE397" s="35"/>
      <c r="BF397" s="81"/>
      <c r="BG397" s="35"/>
      <c r="BH397" s="81"/>
      <c r="BI397" s="35"/>
      <c r="BJ397" s="81"/>
      <c r="BK397" s="35"/>
      <c r="BL397" s="81"/>
      <c r="BM397" s="35"/>
      <c r="BN397" s="81"/>
      <c r="BO397" s="35"/>
      <c r="BP397" s="81"/>
      <c r="BQ397" s="35"/>
      <c r="BR397" s="81"/>
      <c r="BS397" s="35"/>
      <c r="BT397" s="81"/>
      <c r="BU397" s="35"/>
      <c r="BV397" s="81"/>
      <c r="BW397" s="35"/>
      <c r="BX397" s="81"/>
      <c r="BY397" s="35"/>
      <c r="BZ397" s="81"/>
      <c r="CA397" s="35"/>
      <c r="CB397" s="81"/>
      <c r="CC397" s="35"/>
      <c r="CD397" s="81"/>
      <c r="CE397" s="35"/>
      <c r="CF397" s="81"/>
      <c r="CG397" s="35"/>
      <c r="CH397" s="81"/>
      <c r="CI397" s="35"/>
      <c r="CJ397" s="81"/>
      <c r="CK397" s="35"/>
      <c r="CL397" s="81"/>
      <c r="CM397" s="35"/>
      <c r="CN397" s="81"/>
      <c r="CO397" s="35"/>
      <c r="CP397" s="81"/>
      <c r="CQ397" s="35"/>
      <c r="CR397" s="81"/>
      <c r="CS397" s="35"/>
      <c r="CT397" s="81"/>
      <c r="CU397" s="35"/>
      <c r="CV397" s="81"/>
      <c r="CW397" s="35">
        <f>CW158+CW238+CW275+CW304</f>
        <v>0</v>
      </c>
      <c r="CX397" s="81"/>
      <c r="CY397" s="35">
        <f>CY158+CY238+CY275+CY304</f>
        <v>0</v>
      </c>
      <c r="CZ397" s="81"/>
      <c r="DA397" s="35">
        <f>DA158+DA238+DA275+DA304</f>
        <v>0</v>
      </c>
      <c r="DB397" s="81"/>
      <c r="DC397" s="35">
        <f>DC158+DC238+DC275+DC304</f>
        <v>0</v>
      </c>
      <c r="DD397" s="81"/>
      <c r="DE397" s="35">
        <f>DE158+DE238+DE275+DE304</f>
        <v>0</v>
      </c>
      <c r="DF397" s="81"/>
      <c r="DG397" s="35">
        <f>DG158+DG238+DG275+DG304</f>
        <v>0</v>
      </c>
      <c r="DH397" s="81"/>
      <c r="DI397" s="35">
        <f>DI158+DI238+DI275+DI304</f>
        <v>0</v>
      </c>
      <c r="DJ397" s="81"/>
      <c r="DK397" s="35">
        <f>DK158+DK238+DK275+DK304</f>
        <v>0</v>
      </c>
      <c r="DL397" s="81"/>
      <c r="DM397" s="35">
        <f>DM158+DM238+DM275+DM304</f>
        <v>0</v>
      </c>
      <c r="DN397" s="81"/>
      <c r="DO397" s="35">
        <f>DO158+DO238+DO275+DO304</f>
        <v>0</v>
      </c>
      <c r="DP397" s="81"/>
      <c r="DQ397" s="35">
        <f>DQ158+DQ238+DQ275+DQ304</f>
        <v>0</v>
      </c>
      <c r="DR397" s="81"/>
      <c r="DS397" s="35">
        <f>DS158+DS238+DS275+DS304</f>
        <v>0</v>
      </c>
      <c r="DT397" s="81"/>
      <c r="DU397" s="35">
        <f>DU158+DU238+DU275+DU304</f>
        <v>0</v>
      </c>
      <c r="DV397" s="81"/>
      <c r="DW397" s="35">
        <f>DW158+DW238+DW275+DW304</f>
        <v>0</v>
      </c>
      <c r="DX397" s="81"/>
      <c r="DY397" s="35">
        <f>DY158+DY238+DY275+DY304</f>
        <v>0</v>
      </c>
      <c r="DZ397" s="81"/>
      <c r="EA397" s="35">
        <f>EA158+EA238+EA275+EA304</f>
        <v>0</v>
      </c>
      <c r="EB397" s="81"/>
      <c r="EC397" s="35">
        <f>EC158+EC238+EC275+EC304</f>
        <v>20.6</v>
      </c>
      <c r="ED397" s="81"/>
      <c r="EE397" s="35">
        <f>EE158+EE238+EE275+EE304</f>
        <v>0</v>
      </c>
      <c r="EF397" s="81"/>
      <c r="EG397" s="35">
        <f>EG158+EG238+EG275+EG304</f>
        <v>0</v>
      </c>
      <c r="EH397" s="81"/>
      <c r="EI397" s="35">
        <f>EI158+EI238+EI275+EI304</f>
        <v>39</v>
      </c>
      <c r="EJ397" s="81"/>
      <c r="EK397" s="35">
        <f t="shared" ref="EK397:EQ397" si="1182">EK158+EK238+EK275+EK304</f>
        <v>0</v>
      </c>
      <c r="EL397" s="81"/>
      <c r="EM397" s="35">
        <f t="shared" si="1182"/>
        <v>0</v>
      </c>
      <c r="EN397" s="81"/>
      <c r="EO397" s="35">
        <f t="shared" si="1182"/>
        <v>0</v>
      </c>
      <c r="EP397" s="81"/>
      <c r="EQ397" s="35">
        <f t="shared" si="1182"/>
        <v>0</v>
      </c>
      <c r="ER397" s="81"/>
      <c r="ES397" s="129"/>
      <c r="ET397" s="470"/>
      <c r="EU397" s="129"/>
      <c r="EV397" s="129"/>
      <c r="EW397" s="79"/>
      <c r="EX397" s="129"/>
      <c r="EY397" s="79"/>
      <c r="EZ397" s="129"/>
      <c r="FA397" s="79"/>
      <c r="FB397" s="129"/>
      <c r="FC397" s="79"/>
      <c r="FD397" s="35"/>
      <c r="FE397" s="79"/>
      <c r="FF397" s="35"/>
      <c r="FG397" s="79"/>
      <c r="FH397" s="35"/>
      <c r="FI397" s="79"/>
      <c r="FJ397" s="35"/>
      <c r="FK397" s="79"/>
      <c r="FL397" s="35"/>
      <c r="FM397" s="79"/>
      <c r="FN397" s="35"/>
      <c r="FO397" s="79"/>
      <c r="FP397" s="35"/>
      <c r="FQ397" s="79"/>
      <c r="FR397" s="35"/>
      <c r="FS397" s="79"/>
      <c r="FT397" s="35"/>
      <c r="FU397" s="79"/>
      <c r="FV397" s="35"/>
      <c r="FW397" s="79"/>
      <c r="FX397" s="35">
        <f>FX158+FX238+FX275+FX304</f>
        <v>0</v>
      </c>
      <c r="FY397" s="79"/>
      <c r="FZ397" s="35">
        <f>FZ158+FZ238+FZ275+FZ304</f>
        <v>0</v>
      </c>
      <c r="GA397" s="79"/>
      <c r="GB397" s="35">
        <f>GB158+GB238+GB275+GB304</f>
        <v>0</v>
      </c>
      <c r="GC397" s="79"/>
      <c r="GD397" s="35">
        <f>GD158+GD238+GD275+GD304</f>
        <v>0</v>
      </c>
      <c r="GE397" s="79"/>
      <c r="GF397" s="35">
        <f>GF158+GF238+GF275+GF304</f>
        <v>0</v>
      </c>
      <c r="GG397" s="79"/>
      <c r="GH397" s="35">
        <f>GH158+GH238+GH275+GH304</f>
        <v>59.6</v>
      </c>
      <c r="GI397" s="79"/>
      <c r="GJ397" s="35">
        <f>GJ158+GJ238+GJ275+GJ304</f>
        <v>0</v>
      </c>
      <c r="GK397" s="79"/>
      <c r="GL397" s="35">
        <f>GL158+GL238+GL275+GL304</f>
        <v>0</v>
      </c>
      <c r="GM397" s="79"/>
      <c r="GN397" s="35">
        <f>GN158+GN238+GN275+GN304</f>
        <v>0</v>
      </c>
      <c r="GO397" s="79"/>
      <c r="GP397" s="35">
        <f>GP158+GP238+GP275+GP304</f>
        <v>0</v>
      </c>
      <c r="GQ397" s="79"/>
      <c r="GR397" s="35">
        <f>GR158+GR238+GR275+GR304</f>
        <v>0</v>
      </c>
      <c r="GS397" s="79"/>
      <c r="GT397" s="79"/>
    </row>
    <row r="398" spans="1:286" s="83" customFormat="1" ht="12.75" customHeight="1" x14ac:dyDescent="0.2">
      <c r="A398" s="77"/>
      <c r="B398" s="83" t="s">
        <v>306</v>
      </c>
      <c r="C398" s="140"/>
      <c r="D398" s="140"/>
      <c r="E398" s="243">
        <v>226.7</v>
      </c>
      <c r="F398" s="140"/>
      <c r="G398" s="243">
        <v>212.39999999999918</v>
      </c>
      <c r="H398" s="140"/>
      <c r="I398" s="243">
        <v>178.3</v>
      </c>
      <c r="J398" s="140"/>
      <c r="K398" s="243">
        <v>225.2</v>
      </c>
      <c r="L398" s="140"/>
      <c r="M398" s="243">
        <v>215.40000000000055</v>
      </c>
      <c r="N398" s="79">
        <v>-4.9845610939564526</v>
      </c>
      <c r="O398" s="243">
        <v>227.8</v>
      </c>
      <c r="P398" s="79">
        <v>7.2504708097933523</v>
      </c>
      <c r="Q398" s="243">
        <v>232</v>
      </c>
      <c r="R398" s="79">
        <v>30.117779024116519</v>
      </c>
      <c r="S398" s="243">
        <v>227.09999999999945</v>
      </c>
      <c r="T398" s="79">
        <v>0.84369449378314254</v>
      </c>
      <c r="U398" s="243">
        <v>-304.39999999999998</v>
      </c>
      <c r="V398" s="79" t="s">
        <v>282</v>
      </c>
      <c r="W398" s="243">
        <v>163.9</v>
      </c>
      <c r="X398" s="79">
        <v>-28.050921861282042</v>
      </c>
      <c r="Y398" s="243">
        <v>173.5</v>
      </c>
      <c r="Z398" s="79">
        <v>-25.215517241379317</v>
      </c>
      <c r="AA398" s="280">
        <v>-294.40000000000055</v>
      </c>
      <c r="AB398" s="79" t="str">
        <f>IF(ISERROR((AA398/S398-1)*100),"NA",IF(((AA398/S398-1)*100)&gt;100,"NM",IF(((AA398/S398-1)*100)&lt;-50,"NM",(AA398/S398-1)*100)))</f>
        <v>NM</v>
      </c>
      <c r="AC398" s="243">
        <f>+AC387-AC395</f>
        <v>-795.50000000000045</v>
      </c>
      <c r="AD398" s="79" t="str">
        <f>IF(ISERROR((AC398/U398-1)*100),"NA",IF(((AC398/U398-1)*100)&gt;100,"NM",IF(((AC398/U398-1)*100)&lt;-50,"NM",(AC398/U398-1)*100)))</f>
        <v>NM</v>
      </c>
      <c r="AE398" s="243">
        <f>+AE387-AE395</f>
        <v>198.60000000000036</v>
      </c>
      <c r="AF398" s="79">
        <f>IF(ISERROR((AE398/W398-1)*100),"NA",IF(((AE398/W398-1)*100)&gt;100,"NM",IF(((AE398/W398-1)*100)&lt;-50,"NM",(AE398/W398-1)*100)))</f>
        <v>21.171446003660989</v>
      </c>
      <c r="AG398" s="243">
        <f>+AG387-AG395</f>
        <v>191.93000000000029</v>
      </c>
      <c r="AH398" s="79">
        <f>IF(ISERROR((AG398/Y398-1)*100),"NA",IF(((AG398/Y398-1)*100)&gt;100,"NM",IF(((AG398/Y398-1)*100)&lt;-50,"NM",(AG398/Y398-1)*100)))</f>
        <v>10.622478386167323</v>
      </c>
      <c r="AI398" s="243">
        <f>+AI387-AI395</f>
        <v>116.26999999999998</v>
      </c>
      <c r="AJ398" s="79" t="str">
        <f>IF(ISERROR((AI398/AA398-1)*100),"NA",IF(((AI398/AA398-1)*100)&gt;100,"NM",IF(((AI398/AA398-1)*100)&lt;-50,"NM",(AI398/AA398-1)*100)))</f>
        <v>NM</v>
      </c>
      <c r="AK398" s="243">
        <f>+AK387-AK395</f>
        <v>184.79999999999973</v>
      </c>
      <c r="AL398" s="79" t="str">
        <f>IF(ISERROR((AK398/AC398-1)*100),"NA",IF(((AK398/AC398-1)*100)&gt;100,"NM",IF(((AK398/AC398-1)*100)&lt;-50,"NM",(AK398/AC398-1)*100)))</f>
        <v>NM</v>
      </c>
      <c r="AM398" s="243">
        <f>+AM387-AM395</f>
        <v>200.29999999999927</v>
      </c>
      <c r="AN398" s="79">
        <f>IF(ISERROR((AM398/AE398-1)*100),"NA",IF(((AM398/AE398-1)*100)&gt;100,"NM",IF(((AM398/AE398-1)*100)&lt;-50,"NM",(AM398/AE398-1)*100)))</f>
        <v>0.85599194360468367</v>
      </c>
      <c r="AO398" s="243">
        <f>+AO387-AO395</f>
        <v>208.99999999999955</v>
      </c>
      <c r="AP398" s="79">
        <f>IF(ISERROR((AO398/AG398-1)*100),"NA",IF(((AO398/AG398-1)*100)&gt;100,"NM",IF(((AO398/AG398-1)*100)&lt;-50,"NM",(AO398/AG398-1)*100)))</f>
        <v>8.8938675558793534</v>
      </c>
      <c r="AQ398" s="243">
        <f>+AQ387-AQ395</f>
        <v>187.30000000000018</v>
      </c>
      <c r="AR398" s="79">
        <f>IF(ISERROR((AQ398/AI398-1)*100),"NA",IF(((AQ398/AI398-1)*100)&gt;100,"NM",IF(((AQ398/AI398-1)*100)&lt;-50,"NM",(AQ398/AI398-1)*100)))</f>
        <v>61.090565064075179</v>
      </c>
      <c r="AS398" s="242">
        <f>+AS387-AS395</f>
        <v>201.69999999999982</v>
      </c>
      <c r="AT398" s="146">
        <f>IF(ISERROR((AS398/AK398-1)*100),"NA",IF(((AS398/AK398-1)*100)&gt;100,"NM",IF(((AS398/AK398-1)*100)&lt;-50,"NM",(AS398/AK398-1)*100)))</f>
        <v>9.1450216450217106</v>
      </c>
      <c r="AU398" s="242">
        <f>+AU387-AU395</f>
        <v>216.50000000000045</v>
      </c>
      <c r="AV398" s="146">
        <f>IF(ISERROR((AU398/AM398-1)*100),"NA",IF(((AU398/AM398-1)*100)&gt;100,"NM",IF(((AU398/AM398-1)*100)&lt;-50,"NM",(AU398/AM398-1)*100)))</f>
        <v>8.0878681977040614</v>
      </c>
      <c r="AW398" s="242">
        <f>+AW387-AW395</f>
        <v>244.50000000000045</v>
      </c>
      <c r="AX398" s="146">
        <f>IF(ISERROR((AW398/AO398-1)*100),"NA",IF(((AW398/AO398-1)*100)&gt;100,"NM",IF(((AW398/AO398-1)*100)&lt;-50,"NM",(AW398/AO398-1)*100)))</f>
        <v>16.985645933014837</v>
      </c>
      <c r="AY398" s="242">
        <f>+AY387-AY395</f>
        <v>265</v>
      </c>
      <c r="AZ398" s="146">
        <f>IF(ISERROR((AY398/AQ398-1)*100),"NA",IF(((AY398/AQ398-1)*100)&gt;100,"NM",IF(((AY398/AQ398-1)*100)&lt;-50,"NM",(AY398/AQ398-1)*100)))</f>
        <v>41.484249866524145</v>
      </c>
      <c r="BA398" s="242">
        <f>+BA387-BA395</f>
        <v>263.60000000000036</v>
      </c>
      <c r="BB398" s="146">
        <f>IF(ISERROR((BA398/AS398-1)*100),"NA",IF(((BA398/AS398-1)*100)&gt;100,"NM",IF(((BA398/AS398-1)*100)&lt;-50,"NM",(BA398/AS398-1)*100)))</f>
        <v>30.689142290530789</v>
      </c>
      <c r="BC398" s="242">
        <f>+BC387-BC395</f>
        <v>275.5</v>
      </c>
      <c r="BD398" s="146">
        <f>IF(ISERROR((BC398/AU398-1)*100),"NA",IF(((BC398/AU398-1)*100)&gt;100,"NM",IF(((BC398/AU398-1)*100)&lt;-50,"NM",(BC398/AU398-1)*100)))</f>
        <v>27.251732101616355</v>
      </c>
      <c r="BE398" s="242">
        <f>+BE387-BE395</f>
        <v>324.99999999999955</v>
      </c>
      <c r="BF398" s="146">
        <f>IF(ISERROR((BE398/AW398-1)*100),"NA",IF(((BE398/AW398-1)*100)&gt;100,"NM",IF(((BE398/AW398-1)*100)&lt;-50,"NM",(BE398/AW398-1)*100)))</f>
        <v>32.924335378322667</v>
      </c>
      <c r="BG398" s="242">
        <f>+BG387-BG395</f>
        <v>306.80000000000018</v>
      </c>
      <c r="BH398" s="146">
        <f>IF(ISERROR((BG398/AY398-1)*100),"NA",IF(((BG398/AY398-1)*100)&gt;100,"NM",IF(((BG398/AY398-1)*100)&lt;-50,"NM",(BG398/AY398-1)*100)))</f>
        <v>15.773584905660453</v>
      </c>
      <c r="BI398" s="242">
        <f>+BI387-BI395</f>
        <v>313.19999999999982</v>
      </c>
      <c r="BJ398" s="146">
        <f>IF(ISERROR((BI398/BA398-1)*100),"NA",IF(((BI398/BA398-1)*100)&gt;100,"NM",IF(((BI398/BA398-1)*100)&lt;-50,"NM",(BI398/BA398-1)*100)))</f>
        <v>18.816388467374566</v>
      </c>
      <c r="BK398" s="242">
        <f>+BK387-BK395</f>
        <v>340.89999999999964</v>
      </c>
      <c r="BL398" s="146">
        <f>IF(ISERROR((BK398/BC398-1)*100),"NA",IF(((BK398/BC398-1)*100)&gt;100,"NM",IF(((BK398/BC398-1)*100)&lt;-50,"NM",(BK398/BC398-1)*100)))</f>
        <v>23.738656987295691</v>
      </c>
      <c r="BM398" s="242">
        <f>+BM387-BM395</f>
        <v>325.59999999999991</v>
      </c>
      <c r="BN398" s="146">
        <f>IF(ISERROR((BM398/BE398-1)*100),"NA",IF(((BM398/BE398-1)*100)&gt;100,"NM",IF(((BM398/BE398-1)*100)&lt;-50,"NM",(BM398/BE398-1)*100)))</f>
        <v>0.18461538461549409</v>
      </c>
      <c r="BO398" s="242">
        <f>+BO387-BO395</f>
        <v>310.20000000000027</v>
      </c>
      <c r="BP398" s="146">
        <f>IF(ISERROR((BO398/BG398-1)*100),"NA",IF(((BO398/BG398-1)*100)&gt;100,"NM",IF(((BO398/BG398-1)*100)&lt;-50,"NM",(BO398/BG398-1)*100)))</f>
        <v>1.1082138200782632</v>
      </c>
      <c r="BQ398" s="242">
        <f>+BQ387-BQ395</f>
        <v>315.19999999999982</v>
      </c>
      <c r="BR398" s="146">
        <f>IF(ISERROR((BQ398/BI398-1)*100),"NA",IF(((BQ398/BI398-1)*100)&gt;100,"NM",IF(((BQ398/BI398-1)*100)&lt;-50,"NM",(BQ398/BI398-1)*100)))</f>
        <v>0.63856960408683605</v>
      </c>
      <c r="BS398" s="242">
        <f>+BS387-BS395</f>
        <v>323.89999999999964</v>
      </c>
      <c r="BT398" s="146">
        <f>IF(ISERROR((BS398/BK398-1)*100),"NA",IF(((BS398/BK398-1)*100)&gt;100,"NM",IF(((BS398/BK398-1)*100)&lt;-50,"NM",(BS398/BK398-1)*100)))</f>
        <v>-4.9867996479906136</v>
      </c>
      <c r="BU398" s="242">
        <f>+BU387-BU395</f>
        <v>319.69999999999982</v>
      </c>
      <c r="BV398" s="79">
        <f>IF(ISERROR((BU398/BM398-1)*100),"NA",IF(((BU398/BM398-1)*100)&gt;100,"NM",IF(((BU398/BM398-1)*100)&lt;-50,"NM",(BU398/BM398-1)*100)))</f>
        <v>-1.8120393120393374</v>
      </c>
      <c r="BW398" s="242">
        <f>+BW387-BW395</f>
        <v>321.79999999999973</v>
      </c>
      <c r="BX398" s="79">
        <f>IF(ISERROR((BW398/BO398-1)*100),"NA",IF(((BW398/BO398-1)*100)&gt;100,"NM",IF(((BW398/BO398-1)*100)&lt;-50,"NM",(BW398/BO398-1)*100)))</f>
        <v>3.7395228884588905</v>
      </c>
      <c r="BY398" s="242">
        <f>+BY387-BY395</f>
        <v>340.10000000000036</v>
      </c>
      <c r="BZ398" s="79">
        <f>IF(ISERROR((BY398/BQ398-1)*100),"NA",IF(((BY398/BQ398-1)*100)&gt;100,"NM",IF(((BY398/BQ398-1)*100)&lt;-50,"NM",(BY398/BQ398-1)*100)))</f>
        <v>7.8997461928935753</v>
      </c>
      <c r="CA398" s="242">
        <f>+CA387-CA395</f>
        <v>343.60000000000036</v>
      </c>
      <c r="CB398" s="79">
        <f>IF(ISERROR((CA398/BS398-1)*100),"NA",IF(((CA398/BS398-1)*100)&gt;100,"NM",IF(((CA398/BS398-1)*100)&lt;-50,"NM",(CA398/BS398-1)*100)))</f>
        <v>6.0821241123806047</v>
      </c>
      <c r="CC398" s="242">
        <f>+CC387-CC395</f>
        <v>330.39999999999964</v>
      </c>
      <c r="CD398" s="79">
        <f>IF(ISERROR((CC398/BU398-1)*100),"NA",IF(((CC398/BU398-1)*100)&gt;100,"NM",IF(((CC398/BU398-1)*100)&lt;-50,"NM",(CC398/BU398-1)*100)))</f>
        <v>3.3468877072254655</v>
      </c>
      <c r="CE398" s="242">
        <f>+CE387-CE395</f>
        <v>313.59999999999991</v>
      </c>
      <c r="CF398" s="79">
        <f>IF(ISERROR((CE398/BW398-1)*100),"NA",IF(((CE398/BW398-1)*100)&gt;100,"NM",IF(((CE398/BW398-1)*100)&lt;-50,"NM",(CE398/BW398-1)*100)))</f>
        <v>-2.54816656308261</v>
      </c>
      <c r="CG398" s="242">
        <f>+CG387-CG395</f>
        <v>320.19999999999982</v>
      </c>
      <c r="CH398" s="79">
        <f>IF(ISERROR((CG398/BY398-1)*100),"NA",IF(((CG398/BY398-1)*100)&gt;100,"NM",IF(((CG398/BY398-1)*100)&lt;-50,"NM",(CG398/BY398-1)*100)))</f>
        <v>-5.8512202293444666</v>
      </c>
      <c r="CI398" s="242">
        <f>+CI387-CI395</f>
        <v>346.09999999999991</v>
      </c>
      <c r="CJ398" s="79">
        <f>IF(ISERROR((CI398/CA398-1)*100),"NA",IF(((CI398/CA398-1)*100)&gt;100,"NM",IF(((CI398/CA398-1)*100)&lt;-50,"NM",(CI398/CA398-1)*100)))</f>
        <v>0.72759022118729089</v>
      </c>
      <c r="CK398" s="242">
        <f>+CK387-CK395</f>
        <v>320.60000000000036</v>
      </c>
      <c r="CL398" s="79">
        <f>IF(ISERROR((CK398/CC398-1)*100),"NA",IF(((CK398/CC398-1)*100)&gt;100,"NM",IF(((CK398/CC398-1)*100)&lt;-50,"NM",(CK398/CC398-1)*100)))</f>
        <v>-2.9661016949150354</v>
      </c>
      <c r="CM398" s="242">
        <f>+CM387-CM395</f>
        <v>-616.79999999999973</v>
      </c>
      <c r="CN398" s="79" t="str">
        <f>IF(ISERROR((CM398/CE398-1)*100),"NA",IF(((CM398/CE398-1)*100)&gt;100,"NM",IF(((CM398/CE398-1)*100)&lt;-50,"NM",(CM398/CE398-1)*100)))</f>
        <v>NM</v>
      </c>
      <c r="CO398" s="242">
        <f>+CO387-CO395</f>
        <v>309.19999999999982</v>
      </c>
      <c r="CP398" s="79">
        <f>IF(ISERROR((CO398/CG398-1)*100),"NA",IF(((CO398/CG398-1)*100)&gt;100,"NM",IF(((CO398/CG398-1)*100)&lt;-50,"NM",(CO398/CG398-1)*100)))</f>
        <v>-3.4353529044347297</v>
      </c>
      <c r="CQ398" s="242">
        <f>+CQ387-CQ395</f>
        <v>310.10000000000036</v>
      </c>
      <c r="CR398" s="79">
        <f>IF(ISERROR((CQ398/CI398-1)*100),"NA",IF(((CQ398/CI398-1)*100)&gt;100,"NM",IF(((CQ398/CI398-1)*100)&lt;-50,"NM",(CQ398/CI398-1)*100)))</f>
        <v>-10.401618029471127</v>
      </c>
      <c r="CS398" s="242">
        <f>+CS387-CS395</f>
        <v>310.69999999999982</v>
      </c>
      <c r="CT398" s="79">
        <f>IF(ISERROR((CS398/CK398-1)*100),"NA",IF(((CS398/CK398-1)*100)&gt;100,"NM",IF(((CS398/CK398-1)*100)&lt;-50,"NM",(CS398/CK398-1)*100)))</f>
        <v>-3.0879600748598079</v>
      </c>
      <c r="CU398" s="242">
        <f>+CU387-CU395</f>
        <v>309.69999999999982</v>
      </c>
      <c r="CV398" s="79" t="str">
        <f>IF(ISERROR((CU398/CM398-1)*100),"NA",IF(((CU398/CM398-1)*100)&gt;100,"NM",IF(((CU398/CM398-1)*100)&lt;-50,"NM",(CU398/CM398-1)*100)))</f>
        <v>NM</v>
      </c>
      <c r="CW398" s="242">
        <f>+CW387-CW395+CW397</f>
        <v>312</v>
      </c>
      <c r="CX398" s="146">
        <f>IF(ISERROR((CW398/CO398-1)*100),"NA",IF(((CW398/CO398-1)*100)&gt;100,"NM",IF(((CW398/CO398-1)*100)&lt;-50,"NM",(CW398/CO398-1)*100)))</f>
        <v>0.90556274256150537</v>
      </c>
      <c r="CY398" s="242">
        <f>+CY387-CY395+CY397</f>
        <v>314.89999999999964</v>
      </c>
      <c r="CZ398" s="146">
        <f>IF(ISERROR((CY398/CQ398-1)*100),"NA",IF(((CY398/CQ398-1)*100)&gt;100,"NM",IF(((CY398/CQ398-1)*100)&lt;-50,"NM",(CY398/CQ398-1)*100)))</f>
        <v>1.5478877781358591</v>
      </c>
      <c r="DA398" s="242">
        <f>+DA387-DA395+DA397</f>
        <v>316.39999999999964</v>
      </c>
      <c r="DB398" s="146">
        <f>IF(ISERROR((DA398/CS398-1)*100),"NA",IF(((DA398/CS398-1)*100)&gt;100,"NM",IF(((DA398/CS398-1)*100)&lt;-50,"NM",(DA398/CS398-1)*100)))</f>
        <v>1.83456710653358</v>
      </c>
      <c r="DC398" s="242">
        <f>+DC387-DC395+DC397</f>
        <v>302.80000000000018</v>
      </c>
      <c r="DD398" s="146">
        <f>IF(ISERROR((DC398/CU398-1)*100),"NA",IF(((DC398/CU398-1)*100)&gt;100,"NM",IF(((DC398/CU398-1)*100)&lt;-50,"NM",(DC398/CU398-1)*100)))</f>
        <v>-2.227962544397688</v>
      </c>
      <c r="DE398" s="242">
        <f>+DE387-DE395+DE397</f>
        <v>324.90000000000055</v>
      </c>
      <c r="DF398" s="146">
        <f>IF(ISERROR((DE398/CW398-1)*100),"NA",IF(((DE398/CW398-1)*100)&gt;100,"NM",IF(((DE398/CW398-1)*100)&lt;-50,"NM",(DE398/CW398-1)*100)))</f>
        <v>4.1346153846155698</v>
      </c>
      <c r="DG398" s="242">
        <f>+DG387-DG395+DG397</f>
        <v>325.30000000000018</v>
      </c>
      <c r="DH398" s="146">
        <f>IF(ISERROR((DG398/CY398-1)*100),"NA",IF(((DG398/CY398-1)*100)&gt;100,"NM",IF(((DG398/CY398-1)*100)&lt;-50,"NM",(DG398/CY398-1)*100)))</f>
        <v>3.3026357573834764</v>
      </c>
      <c r="DI398" s="242">
        <f>+DI387-DI395+DI397</f>
        <v>317.20000000000027</v>
      </c>
      <c r="DJ398" s="146">
        <f>IF(ISERROR((DI398/DA398-1)*100),"NA",IF(((DI398/DA398-1)*100)&gt;100,"NM",IF(((DI398/DA398-1)*100)&lt;-50,"NM",(DI398/DA398-1)*100)))</f>
        <v>0.252844500632321</v>
      </c>
      <c r="DK398" s="242">
        <f>+DK387-DK395+DK397</f>
        <v>-372.89999999999964</v>
      </c>
      <c r="DL398" s="79" t="str">
        <f>IF(ISERROR((DK398/DC398-1)*100),"NA",IF(((DK398/DC398-1)*100)&gt;100,"NM",IF(((DK398/DC398-1)*100)&lt;-50,"NM",(DK398/DC398-1)*100)))</f>
        <v>NM</v>
      </c>
      <c r="DM398" s="242">
        <f>+DM387-DM395+DM397</f>
        <v>318.30000000000018</v>
      </c>
      <c r="DN398" s="79">
        <f>IF(ISERROR((DM398/DE398-1)*100),"NA",IF(((DM398/DE398-1)*100)&gt;100,"NM",IF(((DM398/DE398-1)*100)&lt;-50,"NM",(DM398/DE398-1)*100)))</f>
        <v>-2.031394275161702</v>
      </c>
      <c r="DO398" s="242">
        <f>+DO387-DO395+DO397</f>
        <v>318.99999999999955</v>
      </c>
      <c r="DP398" s="79">
        <f>IF(ISERROR((DO398/DG398-1)*100),"NA",IF(((DO398/DG398-1)*100)&gt;100,"NM",IF(((DO398/DG398-1)*100)&lt;-50,"NM",(DO398/DG398-1)*100)))</f>
        <v>-1.9366738395329319</v>
      </c>
      <c r="DQ398" s="242">
        <f>+DQ387-DQ395+DQ397</f>
        <v>325.5</v>
      </c>
      <c r="DR398" s="79">
        <f>IF(ISERROR((DQ398/DI398-1)*100),"NA",IF(((DQ398/DI398-1)*100)&gt;100,"NM",IF(((DQ398/DI398-1)*100)&lt;-50,"NM",(DQ398/DI398-1)*100)))</f>
        <v>2.6166456494324475</v>
      </c>
      <c r="DS398" s="242">
        <f>+DS387-DS395+DS397</f>
        <v>319.29999999999973</v>
      </c>
      <c r="DT398" s="79" t="str">
        <f>IF(ISERROR((DS398/DK398-1)*100),"NA",IF(((DS398/DK398-1)*100)&gt;100,"NM",IF(((DS398/DK398-1)*100)&lt;-50,"NM",(DS398/DK398-1)*100)))</f>
        <v>NM</v>
      </c>
      <c r="DU398" s="242">
        <f>+DU387-DU395+DU397</f>
        <v>324.69999999999982</v>
      </c>
      <c r="DV398" s="79">
        <f>IF(ISERROR((DU398/DM398-1)*100),"NA",IF(((DU398/DM398-1)*100)&gt;100,"NM",IF(((DU398/DM398-1)*100)&lt;-50,"NM",(DU398/DM398-1)*100)))</f>
        <v>2.0106817467796523</v>
      </c>
      <c r="DW398" s="242">
        <f>+DW387-DW395+DW397</f>
        <v>334.90000000000009</v>
      </c>
      <c r="DX398" s="79">
        <f>IF(ISERROR((DW398/DO398-1)*100),"NA",IF(((DW398/DO398-1)*100)&gt;100,"NM",IF(((DW398/DO398-1)*100)&lt;-50,"NM",(DW398/DO398-1)*100)))</f>
        <v>4.98432601880896</v>
      </c>
      <c r="DY398" s="242">
        <f>+DY387-DY395+DY397</f>
        <v>321.10000000000036</v>
      </c>
      <c r="DZ398" s="79">
        <f>IF(ISERROR((DY398/DQ398-1)*100),"NA",IF(((DY398/DQ398-1)*100)&gt;100,"NM",IF(((DY398/DQ398-1)*100)&lt;-50,"NM",(DY398/DQ398-1)*100)))</f>
        <v>-1.3517665130567291</v>
      </c>
      <c r="EA398" s="242">
        <f>+EA387-EA395+EA397</f>
        <v>342.79999999999973</v>
      </c>
      <c r="EB398" s="79">
        <f>IF(ISERROR((EA398/DS398-1)*100),"NA",IF(((EA398/DS398-1)*100)&gt;100,"NM",IF(((EA398/DS398-1)*100)&lt;-50,"NM",(EA398/DS398-1)*100)))</f>
        <v>7.3598496711556605</v>
      </c>
      <c r="EC398" s="242">
        <f>+EC387-EC395+EC397</f>
        <v>339.8999999999993</v>
      </c>
      <c r="ED398" s="79">
        <f t="shared" ref="ED398" si="1183">IF(ISERROR((EC398/DU398-1)*100),"NA",IF(((EC398/DU398-1)*100)&gt;100,"NM",IF(((EC398/DU398-1)*100)&lt;-50,"NM",(EC398/DU398-1)*100)))</f>
        <v>4.6812442254387188</v>
      </c>
      <c r="EE398" s="242">
        <f>+EE387-EE395+EE397</f>
        <v>353.49999999999955</v>
      </c>
      <c r="EF398" s="79">
        <f t="shared" ref="EF398" si="1184">IF(ISERROR((EE398/DW398-1)*100),"NA",IF(((EE398/DW398-1)*100)&gt;100,"NM",IF(((EE398/DW398-1)*100)&lt;-50,"NM",(EE398/DW398-1)*100)))</f>
        <v>5.5538966855776195</v>
      </c>
      <c r="EG398" s="242">
        <f>+EG387-EG395+EG397</f>
        <v>356.40000000000009</v>
      </c>
      <c r="EH398" s="79">
        <f t="shared" ref="EH398" si="1185">IF(ISERROR((EG398/DY398-1)*100),"NA",IF(((EG398/DY398-1)*100)&gt;100,"NM",IF(((EG398/DY398-1)*100)&lt;-50,"NM",(EG398/DY398-1)*100)))</f>
        <v>10.993459981314135</v>
      </c>
      <c r="EI398" s="242">
        <f>+EI387-EI395+EI397</f>
        <v>372.90000000000009</v>
      </c>
      <c r="EJ398" s="79">
        <f t="shared" ref="EJ398" si="1186">IF(ISERROR((EI398/EA398-1)*100),"NA",IF(((EI398/EA398-1)*100)&gt;100,"NM",IF(((EI398/EA398-1)*100)&lt;-50,"NM",(EI398/EA398-1)*100)))</f>
        <v>8.7806301050176181</v>
      </c>
      <c r="EK398" s="242">
        <f t="shared" ref="EK398:EQ398" si="1187">+EK387-EK395+EK397</f>
        <v>350.70513468194758</v>
      </c>
      <c r="EL398" s="79">
        <f t="shared" ref="EL398" si="1188">IF(ISERROR((EK398/EC398-1)*100),"NA",IF(((EK398/EC398-1)*100)&gt;100,"NM",IF(((EK398/EC398-1)*100)&lt;-50,"NM",(EK398/EC398-1)*100)))</f>
        <v>3.1789157640330412</v>
      </c>
      <c r="EM398" s="242">
        <f t="shared" si="1187"/>
        <v>353.0254543987794</v>
      </c>
      <c r="EN398" s="79">
        <f t="shared" ref="EN398" si="1189">IF(ISERROR((EM398/EE398-1)*100),"NA",IF(((EM398/EE398-1)*100)&gt;100,"NM",IF(((EM398/EE398-1)*100)&lt;-50,"NM",(EM398/EE398-1)*100)))</f>
        <v>-0.13424203712026905</v>
      </c>
      <c r="EO398" s="242">
        <f t="shared" si="1187"/>
        <v>354.43037123584145</v>
      </c>
      <c r="EP398" s="79">
        <f t="shared" ref="EP398" si="1190">IF(ISERROR((EO398/EG398-1)*100),"NA",IF(((EO398/EG398-1)*100)&gt;100,"NM",IF(((EO398/EG398-1)*100)&lt;-50,"NM",(EO398/EG398-1)*100)))</f>
        <v>-0.55264555672239757</v>
      </c>
      <c r="EQ398" s="242">
        <f t="shared" si="1187"/>
        <v>356.73614610058621</v>
      </c>
      <c r="ER398" s="79">
        <f t="shared" ref="ER398" si="1191">IF(ISERROR((EQ398/EI398-1)*100),"NA",IF(((EQ398/EI398-1)*100)&gt;100,"NM",IF(((EQ398/EI398-1)*100)&lt;-50,"NM",(EQ398/EI398-1)*100)))</f>
        <v>-4.3346349958202968</v>
      </c>
      <c r="ES398" s="139"/>
      <c r="ET398" s="482"/>
      <c r="EU398" s="139"/>
      <c r="EV398" s="242"/>
      <c r="EW398" s="281"/>
      <c r="EX398" s="242"/>
      <c r="EY398" s="146"/>
      <c r="EZ398" s="242"/>
      <c r="FA398" s="146"/>
      <c r="FB398" s="242">
        <f>+FB387-FB395</f>
        <v>12.700000000000045</v>
      </c>
      <c r="FC398" s="146" t="str">
        <f>IF(ISERROR((FB398/EZ398-1)*100),"NA",IF(((FB398/EZ398-1)*100)&gt;100,"NM",IF(((FB398/EZ398-1)*100)&lt;-50,"NM",(FB398/EZ398-1)*100)))</f>
        <v>NA</v>
      </c>
      <c r="FD398" s="242">
        <f>+FD387-FD395</f>
        <v>902.30000000000291</v>
      </c>
      <c r="FE398" s="79" t="str">
        <f>IF(ISERROR((FD398/FB398-1)*100),"NA",IF(((FD398/FB398-1)*100)&gt;100,"NM",IF(((FD398/FB398-1)*100)&lt;-50,"NM",(FD398/FB398-1)*100)))</f>
        <v>NM</v>
      </c>
      <c r="FF398" s="242">
        <f>+FF387-FF395</f>
        <v>-261.40000000000327</v>
      </c>
      <c r="FG398" s="79" t="str">
        <f>IF(ISERROR((FF398/FD398-1)*100),"NA",IF(((FF398/FD398-1)*100)&gt;100,"NM",IF(((FF398/FD398-1)*100)&lt;-50,"NM",(FF398/FD398-1)*100)))</f>
        <v>NM</v>
      </c>
      <c r="FH398" s="242">
        <f>+FH387-FH395</f>
        <v>-288.69999999999891</v>
      </c>
      <c r="FI398" s="146">
        <f>IF(ISERROR((FH398/FF398-1)*100),"NA",IF(((FH398/FF398-1)*100)&gt;100,"NM",IF(((FH398/FF398-1)*100)&lt;-50,"NM",(FH398/FF398-1)*100)))</f>
        <v>10.443764345828344</v>
      </c>
      <c r="FJ398" s="242">
        <f>+FJ387-FJ395</f>
        <v>776.40000000000146</v>
      </c>
      <c r="FK398" s="146" t="str">
        <f>IF(ISERROR((FJ398/FH398-1)*100),"NA",IF(((FJ398/FH398-1)*100)&gt;100,"NM",IF(((FJ398/FH398-1)*100)&lt;-50,"NM",(FJ398/FH398-1)*100)))</f>
        <v>NM</v>
      </c>
      <c r="FL398" s="242">
        <f>+FL387-FL395</f>
        <v>907.70000000000255</v>
      </c>
      <c r="FM398" s="146">
        <f>IF(ISERROR((FL398/FJ398-1)*100),"NA",IF(((FL398/FJ398-1)*100)&gt;100,"NM",IF(((FL398/FJ398-1)*100)&lt;-50,"NM",(FL398/FJ398-1)*100)))</f>
        <v>16.911385883565288</v>
      </c>
      <c r="FN398" s="242">
        <f>+FN387-FN395</f>
        <v>1165.8999999999996</v>
      </c>
      <c r="FO398" s="146">
        <f>IF(ISERROR((FN398/FL398-1)*100),"NA",IF(((FN398/FL398-1)*100)&gt;100,"NM",IF(((FN398/FL398-1)*100)&lt;-50,"NM",(FN398/FL398-1)*100)))</f>
        <v>28.445521648121218</v>
      </c>
      <c r="FP398" s="242">
        <f>+FP387-FP395</f>
        <v>1289.8999999999996</v>
      </c>
      <c r="FQ398" s="146">
        <f>IF(ISERROR((FP398/FN398-1)*100),"NA",IF(((FP398/FN398-1)*100)&gt;100,"NM",IF(((FP398/FN398-1)*100)&lt;-50,"NM",(FP398/FN398-1)*100)))</f>
        <v>10.635560511193077</v>
      </c>
      <c r="FR398" s="242">
        <f>+FR387-FR395</f>
        <v>1315.6999999999989</v>
      </c>
      <c r="FS398" s="146">
        <f>IF(ISERROR((FR398/FP398-1)*100),"NA",IF(((FR398/FP398-1)*100)&gt;100,"NM",IF(((FR398/FP398-1)*100)&lt;-50,"NM",(FR398/FP398-1)*100)))</f>
        <v>2.0001550507790844</v>
      </c>
      <c r="FT398" s="242">
        <f>+FT387-FT395</f>
        <v>1327.6999999999989</v>
      </c>
      <c r="FU398" s="146">
        <f>IF(ISERROR((FT398/FR398-1)*100),"NA",IF(((FT398/FR398-1)*100)&gt;100,"NM",IF(((FT398/FR398-1)*100)&lt;-50,"NM",(FT398/FR398-1)*100)))</f>
        <v>0.91206202021738569</v>
      </c>
      <c r="FV398" s="242">
        <f>+FV387-FV395</f>
        <v>370.10000000000036</v>
      </c>
      <c r="FW398" s="146" t="str">
        <f>IF(ISERROR((FV398/FT398-1)*100),"NA",IF(((FV398/FT398-1)*100)&gt;100,"NM",IF(((FV398/FT398-1)*100)&lt;-50,"NM",(FV398/FT398-1)*100)))</f>
        <v>NM</v>
      </c>
      <c r="FX398" s="242">
        <f>+FX387-FX395+FX397</f>
        <v>1255.7999999999993</v>
      </c>
      <c r="FY398" s="146" t="str">
        <f>IF(ISERROR((FX398/FV398-1)*100),"NA",IF(((FX398/FV398-1)*100)&gt;100,"NM",IF(((FX398/FV398-1)*100)&lt;-50,"NM",(FX398/FV398-1)*100)))</f>
        <v>NM</v>
      </c>
      <c r="FZ398" s="242">
        <f>+FZ387-FZ395+FZ397</f>
        <v>1246.1000000000004</v>
      </c>
      <c r="GA398" s="146">
        <f>IF(ISERROR((FZ398/FX398-1)*100),"NA",IF(((FZ398/FX398-1)*100)&gt;100,"NM",IF(((FZ398/FX398-1)*100)&lt;-50,"NM",(FZ398/FX398-1)*100)))</f>
        <v>-0.77241598980720694</v>
      </c>
      <c r="GB398" s="242">
        <f>+GB387-GB395+GB397</f>
        <v>594.50000000000182</v>
      </c>
      <c r="GC398" s="146" t="str">
        <f>IF(ISERROR((GB398/FZ398-1)*100),"NA",IF(((GB398/FZ398-1)*100)&gt;100,"NM",IF(((GB398/FZ398-1)*100)&lt;-50,"NM",(GB398/FZ398-1)*100)))</f>
        <v>NM</v>
      </c>
      <c r="GD398" s="242">
        <f>+GD387-GD395+GD397</f>
        <v>1282.0999999999985</v>
      </c>
      <c r="GE398" s="146" t="str">
        <f>IF(ISERROR((GD398/GB398-1)*100),"NA",IF(((GD398/GB398-1)*100)&gt;100,"NM",IF(((GD398/GB398-1)*100)&lt;-50,"NM",(GD398/GB398-1)*100)))</f>
        <v>NM</v>
      </c>
      <c r="GF398" s="242">
        <f>+GF387-GF395+GF397</f>
        <v>1323.5</v>
      </c>
      <c r="GG398" s="146">
        <f>IF(ISERROR((GF398/GD398-1)*100),"NA",IF(((GF398/GD398-1)*100)&gt;100,"NM",IF(((GF398/GD398-1)*100)&lt;-50,"NM",(GF398/GD398-1)*100)))</f>
        <v>3.2290772950628988</v>
      </c>
      <c r="GH398" s="242">
        <f>+GH387-GH395+GH397</f>
        <v>1422.6999999999985</v>
      </c>
      <c r="GI398" s="146">
        <f>IF(ISERROR((GH398/GF398-1)*100),"NA",IF(((GH398/GF398-1)*100)&gt;100,"NM",IF(((GH398/GF398-1)*100)&lt;-50,"NM",(GH398/GF398-1)*100)))</f>
        <v>7.495277672837064</v>
      </c>
      <c r="GJ398" s="242">
        <f>+GJ387-GJ395+GJ397</f>
        <v>1414.8971064171565</v>
      </c>
      <c r="GK398" s="146">
        <f>IF(ISERROR((GJ398/GH398-1)*100),"NA",IF(((GJ398/GH398-1)*100)&gt;100,"NM",IF(((GJ398/GH398-1)*100)&lt;-50,"NM",(GJ398/GH398-1)*100)))</f>
        <v>-0.54845670786828338</v>
      </c>
      <c r="GL398" s="242">
        <f>+GL387-GL395+GL397</f>
        <v>1448.9117131662879</v>
      </c>
      <c r="GM398" s="146">
        <f>IF(ISERROR((GL398/GJ398-1)*100),"NA",IF(((GL398/GJ398-1)*100)&gt;100,"NM",IF(((GL398/GJ398-1)*100)&lt;-50,"NM",(GL398/GJ398-1)*100)))</f>
        <v>2.4040339466990801</v>
      </c>
      <c r="GN398" s="242">
        <f>+GN387-GN395+GN397</f>
        <v>1489.585614585867</v>
      </c>
      <c r="GO398" s="146">
        <f>IF(ISERROR((GN398/GL398-1)*100),"NA",IF(((GN398/GL398-1)*100)&gt;100,"NM",IF(((GN398/GL398-1)*100)&lt;-50,"NM",(GN398/GL398-1)*100)))</f>
        <v>2.8072035756198765</v>
      </c>
      <c r="GP398" s="242">
        <f>+GP387-GP395+GP397</f>
        <v>1535.4955462668167</v>
      </c>
      <c r="GQ398" s="146">
        <f>IF(ISERROR((GP398/GN398-1)*100),"NA",IF(((GP398/GN398-1)*100)&gt;100,"NM",IF(((GP398/GN398-1)*100)&lt;-50,"NM",(GP398/GN398-1)*100)))</f>
        <v>3.0820606235321124</v>
      </c>
      <c r="GR398" s="242">
        <f>+GR387-GR395+GR397</f>
        <v>1575.4640968302338</v>
      </c>
      <c r="GS398" s="146">
        <f>IF(ISERROR((GR398/GP398-1)*100),"NA",IF(((GR398/GP398-1)*100)&gt;100,"NM",IF(((GR398/GP398-1)*100)&lt;-50,"NM",(GR398/GP398-1)*100)))</f>
        <v>2.6029740470814744</v>
      </c>
      <c r="GT398" s="146">
        <f>IF(ISERROR(((GR398/GH398)^0.2-1)*100),"NA",(IF(OR(((GR398/GH398)^0.2-1)*100&gt;99,((GR398/GH398)^0.2-1)*100&lt;-50),"NM",(((GR398/GH398)^0.2-1)*100))))</f>
        <v>2.0608158834128032</v>
      </c>
      <c r="GU398" s="562"/>
      <c r="GV398" s="562"/>
      <c r="GW398"/>
      <c r="GX398"/>
      <c r="GY398"/>
      <c r="GZ398"/>
      <c r="HA398"/>
      <c r="HB398"/>
      <c r="HC398" s="562"/>
      <c r="HD398" s="562"/>
      <c r="HE398" s="562"/>
      <c r="HF398" s="562"/>
      <c r="HG398" s="562"/>
      <c r="HH398" s="562"/>
      <c r="HI398" s="562"/>
      <c r="HJ398" s="562"/>
      <c r="HK398" s="562"/>
      <c r="HL398" s="562"/>
      <c r="HM398" s="562"/>
      <c r="HN398" s="562"/>
      <c r="HO398" s="562"/>
      <c r="HP398" s="562"/>
      <c r="HQ398" s="562"/>
      <c r="HR398" s="562"/>
      <c r="HS398" s="562"/>
      <c r="HT398" s="562"/>
      <c r="HU398" s="562"/>
      <c r="HV398" s="562"/>
      <c r="HW398" s="562"/>
      <c r="HX398" s="562"/>
      <c r="HY398" s="562"/>
      <c r="HZ398" s="562"/>
      <c r="IA398" s="562"/>
      <c r="IB398" s="562"/>
      <c r="IC398" s="562"/>
      <c r="ID398" s="562"/>
      <c r="IE398" s="562"/>
      <c r="IF398" s="562"/>
      <c r="IG398" s="562"/>
      <c r="IH398" s="562"/>
      <c r="II398" s="562"/>
      <c r="IJ398" s="562"/>
      <c r="IK398" s="562"/>
      <c r="IL398" s="562"/>
      <c r="IM398" s="562"/>
      <c r="IN398" s="562"/>
      <c r="IO398" s="562"/>
      <c r="IP398" s="562"/>
      <c r="IQ398" s="562"/>
      <c r="IR398" s="562"/>
      <c r="IS398" s="562"/>
      <c r="IT398" s="562"/>
      <c r="IU398" s="562"/>
      <c r="IV398" s="562"/>
      <c r="IW398" s="562"/>
      <c r="IX398" s="562"/>
      <c r="IY398" s="562"/>
      <c r="IZ398" s="562"/>
      <c r="JA398" s="562"/>
      <c r="JB398" s="562"/>
      <c r="JC398" s="562"/>
      <c r="JD398" s="562"/>
      <c r="JE398" s="562"/>
      <c r="JF398" s="562"/>
      <c r="JG398" s="562"/>
      <c r="JH398" s="562"/>
      <c r="JI398" s="562"/>
      <c r="JJ398" s="562"/>
      <c r="JK398" s="562"/>
      <c r="JL398" s="562"/>
      <c r="JM398" s="562"/>
      <c r="JN398" s="562"/>
      <c r="JO398" s="562"/>
      <c r="JP398" s="562"/>
      <c r="JQ398" s="562"/>
      <c r="JR398" s="562"/>
      <c r="JS398" s="562"/>
      <c r="JT398" s="562"/>
      <c r="JU398" s="562"/>
      <c r="JV398" s="562"/>
      <c r="JW398" s="562"/>
      <c r="JX398" s="562"/>
      <c r="JY398" s="562"/>
      <c r="JZ398" s="562"/>
    </row>
    <row r="399" spans="1:286" ht="12.75" customHeight="1" x14ac:dyDescent="0.2">
      <c r="A399" s="1"/>
      <c r="B399" s="311"/>
      <c r="C399" s="79"/>
      <c r="D399" s="79"/>
      <c r="E399" s="129"/>
      <c r="F399" s="129"/>
      <c r="G399" s="129"/>
      <c r="H399" s="129"/>
      <c r="I399" s="129"/>
      <c r="J399" s="129"/>
      <c r="K399" s="129"/>
      <c r="L399" s="79"/>
      <c r="M399" s="129"/>
      <c r="N399" s="79"/>
      <c r="O399" s="129"/>
      <c r="P399" s="79"/>
      <c r="Q399" s="129"/>
      <c r="R399" s="79"/>
      <c r="S399" s="129"/>
      <c r="T399" s="79"/>
      <c r="U399" s="215"/>
      <c r="V399" s="79"/>
      <c r="W399" s="215"/>
      <c r="X399" s="79"/>
      <c r="Y399" s="215"/>
      <c r="Z399" s="79"/>
      <c r="AA399" s="314"/>
      <c r="AB399" s="79"/>
      <c r="AC399" s="215"/>
      <c r="AD399" s="79"/>
      <c r="AE399" s="215"/>
      <c r="AF399" s="79"/>
      <c r="AG399" s="215"/>
      <c r="AH399" s="79"/>
      <c r="AI399" s="215"/>
      <c r="AJ399" s="79"/>
      <c r="AK399" s="215"/>
      <c r="AL399" s="79"/>
      <c r="AM399" s="215"/>
      <c r="AN399" s="79"/>
      <c r="AO399" s="215"/>
      <c r="AP399" s="79"/>
      <c r="AQ399" s="215"/>
      <c r="AR399" s="79"/>
      <c r="AS399" s="215"/>
      <c r="AT399" s="81"/>
      <c r="AU399" s="215"/>
      <c r="AV399" s="81"/>
      <c r="AW399" s="215"/>
      <c r="AX399" s="81"/>
      <c r="AY399" s="215"/>
      <c r="AZ399" s="81"/>
      <c r="BA399" s="215"/>
      <c r="BB399" s="81"/>
      <c r="BC399" s="215"/>
      <c r="BD399" s="81"/>
      <c r="BE399" s="215"/>
      <c r="BF399" s="81"/>
      <c r="BG399" s="215"/>
      <c r="BH399" s="81"/>
      <c r="BI399" s="215"/>
      <c r="BJ399" s="81"/>
      <c r="BK399" s="215"/>
      <c r="BL399" s="81"/>
      <c r="BM399" s="215"/>
      <c r="BN399" s="81"/>
      <c r="BO399" s="215"/>
      <c r="BP399" s="81"/>
      <c r="BQ399" s="215"/>
      <c r="BR399" s="81"/>
      <c r="BS399" s="215"/>
      <c r="BT399" s="81"/>
      <c r="BU399" s="215"/>
      <c r="BV399" s="81"/>
      <c r="BW399" s="215"/>
      <c r="BX399" s="81"/>
      <c r="BY399" s="215"/>
      <c r="BZ399" s="81"/>
      <c r="CA399" s="215"/>
      <c r="CB399" s="81"/>
      <c r="CC399" s="215"/>
      <c r="CD399" s="81"/>
      <c r="CE399" s="215"/>
      <c r="CF399" s="81"/>
      <c r="CG399" s="215"/>
      <c r="CH399" s="81"/>
      <c r="CI399" s="215"/>
      <c r="CJ399" s="81"/>
      <c r="CK399" s="215"/>
      <c r="CL399" s="81"/>
      <c r="CM399" s="215"/>
      <c r="CN399" s="81"/>
      <c r="CO399" s="215"/>
      <c r="CP399" s="81"/>
      <c r="CQ399" s="215"/>
      <c r="CR399" s="81"/>
      <c r="CS399" s="215"/>
      <c r="CT399" s="81"/>
      <c r="CU399" s="215"/>
      <c r="CV399" s="81"/>
      <c r="CW399" s="215"/>
      <c r="CX399" s="81"/>
      <c r="CY399" s="215"/>
      <c r="CZ399" s="81"/>
      <c r="DA399" s="215"/>
      <c r="DB399" s="81"/>
      <c r="DC399" s="215"/>
      <c r="DD399" s="81"/>
      <c r="DE399" s="215"/>
      <c r="DF399" s="81"/>
      <c r="DG399" s="215"/>
      <c r="DH399" s="81"/>
      <c r="DI399" s="215"/>
      <c r="DJ399" s="81"/>
      <c r="DK399" s="215"/>
      <c r="DL399" s="81"/>
      <c r="DM399" s="215"/>
      <c r="DN399" s="81"/>
      <c r="DO399" s="215"/>
      <c r="DP399" s="81"/>
      <c r="DQ399" s="913"/>
      <c r="DR399" s="81"/>
      <c r="DS399" s="913"/>
      <c r="DT399" s="81"/>
      <c r="DU399" s="913"/>
      <c r="DV399" s="81"/>
      <c r="DW399" s="913"/>
      <c r="DX399" s="81"/>
      <c r="DY399" s="913"/>
      <c r="DZ399" s="81"/>
      <c r="EA399" s="913"/>
      <c r="EB399" s="81"/>
      <c r="EC399" s="913"/>
      <c r="ED399" s="81"/>
      <c r="EE399" s="913"/>
      <c r="EF399" s="81"/>
      <c r="EG399" s="913"/>
      <c r="EH399" s="81"/>
      <c r="EI399" s="913"/>
      <c r="EJ399" s="81"/>
      <c r="EK399" s="215"/>
      <c r="EL399" s="81"/>
      <c r="EM399" s="215"/>
      <c r="EN399" s="81"/>
      <c r="EO399" s="215"/>
      <c r="EP399" s="81"/>
      <c r="EQ399" s="215"/>
      <c r="ER399" s="81"/>
      <c r="ES399" s="129"/>
      <c r="ET399" s="470"/>
      <c r="EU399" s="129"/>
      <c r="EV399" s="129"/>
      <c r="EW399" s="79"/>
      <c r="EX399" s="129"/>
      <c r="EY399" s="79"/>
      <c r="EZ399" s="129"/>
      <c r="FA399" s="79"/>
      <c r="FB399" s="129"/>
      <c r="FC399" s="79"/>
      <c r="FD399" s="215"/>
      <c r="FE399" s="79"/>
      <c r="FF399" s="215"/>
      <c r="FG399" s="79"/>
      <c r="FH399" s="215"/>
      <c r="FI399" s="79"/>
      <c r="FJ399" s="215"/>
      <c r="FK399" s="79"/>
      <c r="FL399" s="215"/>
      <c r="FM399" s="79"/>
      <c r="FN399" s="215"/>
      <c r="FO399" s="79"/>
      <c r="FP399" s="215"/>
      <c r="FQ399" s="79"/>
      <c r="FR399" s="215"/>
      <c r="FS399" s="79"/>
      <c r="FT399" s="215"/>
      <c r="FU399" s="79"/>
      <c r="FV399" s="215"/>
      <c r="FW399" s="79"/>
      <c r="FX399" s="215"/>
      <c r="FY399" s="79"/>
      <c r="FZ399" s="215"/>
      <c r="GA399" s="79"/>
      <c r="GB399" s="215"/>
      <c r="GC399" s="79"/>
      <c r="GD399" s="215"/>
      <c r="GE399" s="79"/>
      <c r="GF399" s="215"/>
      <c r="GG399" s="79"/>
      <c r="GH399" s="215"/>
      <c r="GI399" s="79"/>
      <c r="GJ399" s="215"/>
      <c r="GK399" s="79"/>
      <c r="GL399" s="215"/>
      <c r="GM399" s="79"/>
      <c r="GN399" s="215"/>
      <c r="GO399" s="79"/>
      <c r="GP399" s="215"/>
      <c r="GQ399" s="79"/>
      <c r="GR399" s="215"/>
      <c r="GS399" s="79"/>
      <c r="GT399" s="79"/>
    </row>
    <row r="400" spans="1:286" s="589" customFormat="1" ht="12.75" customHeight="1" collapsed="1" x14ac:dyDescent="0.2">
      <c r="A400" s="581"/>
      <c r="B400" s="582" t="s">
        <v>514</v>
      </c>
      <c r="C400" s="583"/>
      <c r="D400" s="583"/>
      <c r="E400" s="584"/>
      <c r="F400" s="584"/>
      <c r="G400" s="584"/>
      <c r="H400" s="584"/>
      <c r="I400" s="584"/>
      <c r="J400" s="584"/>
      <c r="K400" s="584"/>
      <c r="L400" s="584"/>
      <c r="M400" s="584"/>
      <c r="N400" s="585"/>
      <c r="O400" s="584"/>
      <c r="P400" s="583"/>
      <c r="Q400" s="584"/>
      <c r="R400" s="583"/>
      <c r="S400" s="584"/>
      <c r="T400" s="583"/>
      <c r="U400" s="584"/>
      <c r="V400" s="583"/>
      <c r="W400" s="584"/>
      <c r="X400" s="583"/>
      <c r="Y400" s="584"/>
      <c r="Z400" s="583"/>
      <c r="AA400" s="586"/>
      <c r="AB400" s="583"/>
      <c r="AC400" s="584"/>
      <c r="AD400" s="583"/>
      <c r="AE400" s="586"/>
      <c r="AF400" s="583"/>
      <c r="AG400" s="586"/>
      <c r="AH400" s="583"/>
      <c r="AI400" s="586"/>
      <c r="AJ400" s="583"/>
      <c r="AK400" s="586"/>
      <c r="AL400" s="583"/>
      <c r="AM400" s="586"/>
      <c r="AN400" s="583"/>
      <c r="AO400" s="586"/>
      <c r="AP400" s="583"/>
      <c r="AQ400" s="586"/>
      <c r="AR400" s="583"/>
      <c r="AS400" s="586"/>
      <c r="AT400" s="587"/>
      <c r="AU400" s="586"/>
      <c r="AV400" s="587"/>
      <c r="AW400" s="586"/>
      <c r="AX400" s="587"/>
      <c r="AY400" s="586"/>
      <c r="AZ400" s="587"/>
      <c r="BA400" s="586"/>
      <c r="BB400" s="587"/>
      <c r="BC400" s="586"/>
      <c r="BD400" s="587"/>
      <c r="BE400" s="586"/>
      <c r="BF400" s="587"/>
      <c r="BG400" s="586"/>
      <c r="BH400" s="587"/>
      <c r="BI400" s="586"/>
      <c r="BJ400" s="587"/>
      <c r="BK400" s="586"/>
      <c r="BL400" s="587"/>
      <c r="BM400" s="586"/>
      <c r="BN400" s="587"/>
      <c r="BO400" s="586"/>
      <c r="BP400" s="587"/>
      <c r="BQ400" s="586"/>
      <c r="BR400" s="587"/>
      <c r="BS400" s="586"/>
      <c r="BT400" s="587"/>
      <c r="BU400" s="586"/>
      <c r="BV400" s="587"/>
      <c r="BW400" s="586"/>
      <c r="BX400" s="587"/>
      <c r="BY400" s="586"/>
      <c r="BZ400" s="587"/>
      <c r="CA400" s="586"/>
      <c r="CB400" s="587"/>
      <c r="CC400" s="586"/>
      <c r="CD400" s="587"/>
      <c r="CE400" s="586"/>
      <c r="CF400" s="587"/>
      <c r="CG400" s="586"/>
      <c r="CH400" s="587"/>
      <c r="CI400" s="586"/>
      <c r="CJ400" s="587"/>
      <c r="CK400" s="586"/>
      <c r="CL400" s="587"/>
      <c r="CM400" s="586"/>
      <c r="CN400" s="587"/>
      <c r="CO400" s="586"/>
      <c r="CP400" s="587"/>
      <c r="CQ400" s="586"/>
      <c r="CR400" s="587"/>
      <c r="CS400" s="586"/>
      <c r="CT400" s="587"/>
      <c r="CU400" s="586"/>
      <c r="CV400" s="587"/>
      <c r="CW400" s="586"/>
      <c r="CX400" s="587"/>
      <c r="CY400" s="586"/>
      <c r="CZ400" s="587"/>
      <c r="DA400" s="586"/>
      <c r="DB400" s="587"/>
      <c r="DC400" s="586"/>
      <c r="DD400" s="587"/>
      <c r="DE400" s="586"/>
      <c r="DF400" s="587"/>
      <c r="DG400" s="586"/>
      <c r="DH400" s="587"/>
      <c r="DI400" s="586"/>
      <c r="DJ400" s="587"/>
      <c r="DK400" s="586"/>
      <c r="DL400" s="587"/>
      <c r="DM400" s="586"/>
      <c r="DN400" s="587"/>
      <c r="DO400" s="586"/>
      <c r="DP400" s="587"/>
      <c r="DQ400" s="586"/>
      <c r="DR400" s="587"/>
      <c r="DS400" s="586"/>
      <c r="DT400" s="587"/>
      <c r="DU400" s="586"/>
      <c r="DV400" s="587"/>
      <c r="DW400" s="586"/>
      <c r="DX400" s="587"/>
      <c r="DY400" s="586"/>
      <c r="DZ400" s="587"/>
      <c r="EA400" s="586"/>
      <c r="EB400" s="587"/>
      <c r="EC400" s="586"/>
      <c r="ED400" s="587"/>
      <c r="EE400" s="586"/>
      <c r="EF400" s="587"/>
      <c r="EG400" s="586"/>
      <c r="EH400" s="587"/>
      <c r="EI400" s="586"/>
      <c r="EJ400" s="587"/>
      <c r="EK400" s="586"/>
      <c r="EL400" s="587"/>
      <c r="EM400" s="586"/>
      <c r="EN400" s="587"/>
      <c r="EO400" s="586"/>
      <c r="EP400" s="587"/>
      <c r="EQ400" s="586"/>
      <c r="ER400" s="587"/>
      <c r="ES400" s="584"/>
      <c r="ET400" s="588"/>
      <c r="EU400" s="584"/>
      <c r="EV400" s="584"/>
      <c r="EW400" s="583"/>
      <c r="EX400" s="584"/>
      <c r="EY400" s="583"/>
      <c r="EZ400" s="584"/>
      <c r="FA400" s="583"/>
      <c r="FB400" s="584"/>
      <c r="FC400" s="583"/>
      <c r="FD400" s="584"/>
      <c r="FE400" s="583"/>
      <c r="FF400" s="584"/>
      <c r="FG400" s="583"/>
      <c r="FH400" s="584"/>
      <c r="FI400" s="583"/>
      <c r="FJ400" s="584"/>
      <c r="FK400" s="583"/>
      <c r="FL400" s="584"/>
      <c r="FM400" s="583"/>
      <c r="FN400" s="584"/>
      <c r="FO400" s="583"/>
      <c r="FP400" s="584"/>
      <c r="FQ400" s="583"/>
      <c r="FR400" s="584"/>
      <c r="FS400" s="583"/>
      <c r="FT400" s="584"/>
      <c r="FU400" s="583"/>
      <c r="FV400" s="584"/>
      <c r="FW400" s="583"/>
      <c r="FX400" s="584"/>
      <c r="FY400" s="583"/>
      <c r="FZ400" s="584"/>
      <c r="GA400" s="583"/>
      <c r="GB400" s="584"/>
      <c r="GC400" s="583"/>
      <c r="GD400" s="584"/>
      <c r="GE400" s="583"/>
      <c r="GF400" s="584"/>
      <c r="GG400" s="583"/>
      <c r="GH400" s="584"/>
      <c r="GI400" s="583"/>
      <c r="GJ400" s="584"/>
      <c r="GK400" s="583"/>
      <c r="GL400" s="584"/>
      <c r="GM400" s="583"/>
      <c r="GN400" s="584"/>
      <c r="GO400" s="583"/>
      <c r="GP400" s="584"/>
      <c r="GQ400" s="583"/>
      <c r="GR400" s="584"/>
      <c r="GS400" s="583"/>
      <c r="GT400" s="583"/>
      <c r="GU400" s="562"/>
      <c r="GV400" s="562"/>
      <c r="GW400"/>
      <c r="GX400"/>
      <c r="GY400"/>
      <c r="GZ400"/>
      <c r="HA400"/>
      <c r="HB400"/>
      <c r="HC400" s="562"/>
      <c r="HD400" s="562"/>
      <c r="HE400" s="562"/>
      <c r="HF400" s="562"/>
      <c r="HG400" s="562"/>
      <c r="HH400" s="562"/>
      <c r="HI400" s="562"/>
      <c r="HJ400" s="562"/>
      <c r="HK400" s="562"/>
      <c r="HL400" s="562"/>
      <c r="HM400" s="562"/>
      <c r="HN400" s="562"/>
      <c r="HO400" s="562"/>
      <c r="HP400" s="562"/>
      <c r="HQ400" s="562"/>
      <c r="HR400" s="562"/>
      <c r="HS400" s="562"/>
      <c r="HT400" s="562"/>
      <c r="HU400" s="562"/>
      <c r="HV400" s="562"/>
      <c r="HW400" s="562"/>
      <c r="HX400" s="562"/>
      <c r="HY400" s="562"/>
      <c r="HZ400" s="562"/>
      <c r="IA400" s="562"/>
      <c r="IB400" s="562"/>
      <c r="IC400" s="562"/>
      <c r="ID400" s="562"/>
      <c r="IE400" s="562"/>
      <c r="IF400" s="562"/>
      <c r="IG400" s="562"/>
      <c r="IH400" s="562"/>
      <c r="II400" s="562"/>
      <c r="IJ400" s="562"/>
      <c r="IK400" s="562"/>
      <c r="IL400" s="562"/>
      <c r="IM400" s="562"/>
      <c r="IN400" s="562"/>
      <c r="IO400" s="562"/>
      <c r="IP400" s="562"/>
      <c r="IQ400" s="562"/>
      <c r="IR400" s="562"/>
      <c r="IS400" s="562"/>
      <c r="IT400" s="562"/>
      <c r="IU400" s="562"/>
      <c r="IV400" s="562"/>
      <c r="IW400" s="562"/>
      <c r="IX400" s="562"/>
      <c r="IY400" s="562"/>
      <c r="IZ400" s="562"/>
      <c r="JA400" s="562"/>
      <c r="JB400" s="562"/>
      <c r="JC400" s="562"/>
      <c r="JD400" s="562"/>
      <c r="JE400" s="562"/>
      <c r="JF400" s="562"/>
      <c r="JG400" s="562"/>
      <c r="JH400" s="562"/>
      <c r="JI400" s="562"/>
      <c r="JJ400" s="562"/>
      <c r="JK400" s="562"/>
      <c r="JL400" s="562"/>
      <c r="JM400" s="562"/>
      <c r="JN400" s="562"/>
      <c r="JO400" s="562"/>
      <c r="JP400" s="562"/>
      <c r="JQ400" s="562"/>
      <c r="JR400" s="562"/>
      <c r="JS400" s="562"/>
      <c r="JT400" s="562"/>
      <c r="JU400" s="562"/>
      <c r="JV400" s="562"/>
      <c r="JW400" s="562"/>
      <c r="JX400" s="562"/>
      <c r="JY400" s="562"/>
      <c r="JZ400" s="562"/>
    </row>
    <row r="401" spans="1:286" s="83" customFormat="1" ht="12.75" customHeight="1" x14ac:dyDescent="0.2">
      <c r="A401" s="77"/>
      <c r="C401" s="79"/>
      <c r="D401" s="79"/>
      <c r="E401" s="129"/>
      <c r="F401" s="129"/>
      <c r="G401" s="129"/>
      <c r="H401" s="129"/>
      <c r="I401" s="129"/>
      <c r="J401" s="129"/>
      <c r="K401" s="129"/>
      <c r="L401" s="79"/>
      <c r="M401" s="129"/>
      <c r="N401" s="79"/>
      <c r="O401" s="129"/>
      <c r="P401" s="79"/>
      <c r="Q401" s="129"/>
      <c r="R401" s="79"/>
      <c r="S401" s="129"/>
      <c r="T401" s="79"/>
      <c r="U401" s="129"/>
      <c r="V401" s="79"/>
      <c r="W401" s="129"/>
      <c r="X401" s="79"/>
      <c r="Y401" s="129"/>
      <c r="Z401" s="79"/>
      <c r="AA401" s="130"/>
      <c r="AB401" s="79"/>
      <c r="AC401" s="129"/>
      <c r="AD401" s="79"/>
      <c r="AE401" s="129"/>
      <c r="AF401" s="79"/>
      <c r="AG401" s="129"/>
      <c r="AH401" s="79"/>
      <c r="AI401" s="129"/>
      <c r="AJ401" s="79"/>
      <c r="AK401" s="129"/>
      <c r="AL401" s="79"/>
      <c r="AM401" s="129"/>
      <c r="AN401" s="79"/>
      <c r="AO401" s="129"/>
      <c r="AP401" s="79"/>
      <c r="AQ401" s="129"/>
      <c r="AR401" s="79"/>
      <c r="AS401" s="129"/>
      <c r="AT401" s="81"/>
      <c r="AU401" s="129"/>
      <c r="AV401" s="81"/>
      <c r="AW401" s="129"/>
      <c r="AX401" s="81"/>
      <c r="AY401" s="129"/>
      <c r="AZ401" s="81"/>
      <c r="BA401" s="129"/>
      <c r="BB401" s="81"/>
      <c r="BC401" s="129"/>
      <c r="BD401" s="81"/>
      <c r="BE401" s="129"/>
      <c r="BF401" s="81"/>
      <c r="BG401" s="129"/>
      <c r="BH401" s="81"/>
      <c r="BI401" s="129"/>
      <c r="BJ401" s="81"/>
      <c r="BK401" s="129"/>
      <c r="BL401" s="81"/>
      <c r="BM401" s="129"/>
      <c r="BN401" s="81"/>
      <c r="BO401" s="129"/>
      <c r="BP401" s="81"/>
      <c r="BQ401" s="129"/>
      <c r="BR401" s="81"/>
      <c r="BS401" s="129"/>
      <c r="BT401" s="81"/>
      <c r="BU401" s="129"/>
      <c r="BV401" s="81"/>
      <c r="BW401" s="129"/>
      <c r="BX401" s="81"/>
      <c r="BY401" s="129"/>
      <c r="BZ401" s="81"/>
      <c r="CA401" s="129"/>
      <c r="CB401" s="81"/>
      <c r="CC401" s="129"/>
      <c r="CD401" s="81"/>
      <c r="CE401" s="129"/>
      <c r="CF401" s="81"/>
      <c r="CG401" s="129"/>
      <c r="CH401" s="81"/>
      <c r="CI401" s="129"/>
      <c r="CJ401" s="81"/>
      <c r="CK401" s="129"/>
      <c r="CL401" s="81"/>
      <c r="CM401" s="129"/>
      <c r="CN401" s="81"/>
      <c r="CO401" s="129"/>
      <c r="CP401" s="81"/>
      <c r="CQ401" s="129"/>
      <c r="CR401" s="81"/>
      <c r="CS401" s="129"/>
      <c r="CT401" s="81"/>
      <c r="CU401" s="129"/>
      <c r="CV401" s="81"/>
      <c r="CW401" s="129"/>
      <c r="CX401" s="81"/>
      <c r="CY401" s="129"/>
      <c r="CZ401" s="81"/>
      <c r="DA401" s="129"/>
      <c r="DB401" s="81"/>
      <c r="DC401" s="129"/>
      <c r="DD401" s="81"/>
      <c r="DE401" s="129"/>
      <c r="DF401" s="81"/>
      <c r="DG401" s="129"/>
      <c r="DH401" s="81"/>
      <c r="DI401" s="129"/>
      <c r="DJ401" s="81"/>
      <c r="DK401" s="129"/>
      <c r="DL401" s="81"/>
      <c r="DM401" s="129"/>
      <c r="DN401" s="81"/>
      <c r="DO401" s="129"/>
      <c r="DP401" s="81"/>
      <c r="DQ401" s="129"/>
      <c r="DR401" s="81"/>
      <c r="DS401" s="129"/>
      <c r="DT401" s="81"/>
      <c r="DU401" s="129"/>
      <c r="DV401" s="81"/>
      <c r="DW401" s="129"/>
      <c r="DX401" s="81"/>
      <c r="DY401" s="129"/>
      <c r="DZ401" s="81"/>
      <c r="EA401" s="129"/>
      <c r="EB401" s="81"/>
      <c r="EC401" s="129"/>
      <c r="ED401" s="81"/>
      <c r="EE401" s="129"/>
      <c r="EF401" s="81"/>
      <c r="EG401" s="129"/>
      <c r="EH401" s="81"/>
      <c r="EI401" s="129"/>
      <c r="EJ401" s="81"/>
      <c r="EK401" s="129"/>
      <c r="EL401" s="81"/>
      <c r="EM401" s="129"/>
      <c r="EN401" s="81"/>
      <c r="EO401" s="129"/>
      <c r="EP401" s="81"/>
      <c r="EQ401" s="129"/>
      <c r="ER401" s="81"/>
      <c r="ES401" s="129"/>
      <c r="ET401" s="469"/>
      <c r="EU401" s="129"/>
      <c r="EV401" s="129"/>
      <c r="EW401" s="79"/>
      <c r="EX401" s="129"/>
      <c r="EY401" s="79"/>
      <c r="EZ401" s="129"/>
      <c r="FA401" s="79"/>
      <c r="FB401" s="129"/>
      <c r="FC401" s="79"/>
      <c r="FD401" s="129"/>
      <c r="FE401" s="79"/>
      <c r="FF401" s="129"/>
      <c r="FG401" s="79"/>
      <c r="FH401" s="129"/>
      <c r="FI401" s="79"/>
      <c r="FJ401" s="129"/>
      <c r="FK401" s="79"/>
      <c r="FL401" s="129"/>
      <c r="FM401" s="79"/>
      <c r="FN401" s="129"/>
      <c r="FO401" s="79"/>
      <c r="FP401" s="129"/>
      <c r="FQ401" s="79"/>
      <c r="FR401" s="129"/>
      <c r="FS401" s="79"/>
      <c r="FT401" s="129"/>
      <c r="FU401" s="79"/>
      <c r="FV401" s="129"/>
      <c r="FW401" s="79"/>
      <c r="FX401" s="129"/>
      <c r="FY401" s="79"/>
      <c r="FZ401" s="129"/>
      <c r="GA401" s="79"/>
      <c r="GB401" s="187"/>
      <c r="GC401" s="79"/>
      <c r="GD401" s="187"/>
      <c r="GE401" s="79"/>
      <c r="GF401" s="187"/>
      <c r="GG401" s="79"/>
      <c r="GH401" s="187"/>
      <c r="GI401" s="79"/>
      <c r="GJ401" s="187"/>
      <c r="GK401" s="79"/>
      <c r="GL401" s="129"/>
      <c r="GM401" s="79"/>
      <c r="GN401" s="129"/>
      <c r="GO401" s="79"/>
      <c r="GP401" s="129"/>
      <c r="GQ401" s="79"/>
      <c r="GR401" s="129"/>
      <c r="GS401" s="79"/>
      <c r="GT401" s="79"/>
      <c r="GU401" s="562"/>
      <c r="GV401" s="562"/>
      <c r="GW401"/>
      <c r="GX401"/>
      <c r="GY401"/>
      <c r="GZ401"/>
      <c r="HA401"/>
      <c r="HB401"/>
      <c r="HC401" s="562"/>
      <c r="HD401" s="562"/>
      <c r="HE401" s="562"/>
      <c r="HF401" s="562"/>
      <c r="HG401" s="562"/>
      <c r="HH401" s="562"/>
      <c r="HI401" s="562"/>
      <c r="HJ401" s="562"/>
      <c r="HK401" s="562"/>
      <c r="HL401" s="562"/>
      <c r="HM401" s="562"/>
      <c r="HN401" s="562"/>
      <c r="HO401" s="562"/>
      <c r="HP401" s="562"/>
      <c r="HQ401" s="562"/>
      <c r="HR401" s="562"/>
      <c r="HS401" s="562"/>
      <c r="HT401" s="562"/>
      <c r="HU401" s="562"/>
      <c r="HV401" s="562"/>
      <c r="HW401" s="562"/>
      <c r="HX401" s="562"/>
      <c r="HY401" s="562"/>
      <c r="HZ401" s="562"/>
      <c r="IA401" s="562"/>
      <c r="IB401" s="562"/>
      <c r="IC401" s="562"/>
      <c r="ID401" s="562"/>
      <c r="IE401" s="562"/>
      <c r="IF401" s="562"/>
      <c r="IG401" s="562"/>
      <c r="IH401" s="562"/>
      <c r="II401" s="562"/>
      <c r="IJ401" s="562"/>
      <c r="IK401" s="562"/>
      <c r="IL401" s="562"/>
      <c r="IM401" s="562"/>
      <c r="IN401" s="562"/>
      <c r="IO401" s="562"/>
      <c r="IP401" s="562"/>
      <c r="IQ401" s="562"/>
      <c r="IR401" s="562"/>
      <c r="IS401" s="562"/>
      <c r="IT401" s="562"/>
      <c r="IU401" s="562"/>
      <c r="IV401" s="562"/>
      <c r="IW401" s="562"/>
      <c r="IX401" s="562"/>
      <c r="IY401" s="562"/>
      <c r="IZ401" s="562"/>
      <c r="JA401" s="562"/>
      <c r="JB401" s="562"/>
      <c r="JC401" s="562"/>
      <c r="JD401" s="562"/>
      <c r="JE401" s="562"/>
      <c r="JF401" s="562"/>
      <c r="JG401" s="562"/>
      <c r="JH401" s="562"/>
      <c r="JI401" s="562"/>
      <c r="JJ401" s="562"/>
      <c r="JK401" s="562"/>
      <c r="JL401" s="562"/>
      <c r="JM401" s="562"/>
      <c r="JN401" s="562"/>
      <c r="JO401" s="562"/>
      <c r="JP401" s="562"/>
      <c r="JQ401" s="562"/>
      <c r="JR401" s="562"/>
      <c r="JS401" s="562"/>
      <c r="JT401" s="562"/>
      <c r="JU401" s="562"/>
      <c r="JV401" s="562"/>
      <c r="JW401" s="562"/>
      <c r="JX401" s="562"/>
      <c r="JY401" s="562"/>
      <c r="JZ401" s="562"/>
    </row>
    <row r="402" spans="1:286" ht="12.75" customHeight="1" x14ac:dyDescent="0.2">
      <c r="A402" s="1"/>
      <c r="B402" s="83" t="s">
        <v>344</v>
      </c>
      <c r="C402" s="79"/>
      <c r="D402" s="79"/>
      <c r="E402" s="129"/>
      <c r="F402" s="129"/>
      <c r="G402" s="129"/>
      <c r="H402" s="129"/>
      <c r="I402" s="129"/>
      <c r="J402" s="129"/>
      <c r="K402" s="129"/>
      <c r="L402" s="79"/>
      <c r="M402" s="129"/>
      <c r="N402" s="79"/>
      <c r="O402" s="129"/>
      <c r="P402" s="79"/>
      <c r="Q402" s="129"/>
      <c r="R402" s="79"/>
      <c r="S402" s="129"/>
      <c r="T402" s="79"/>
      <c r="U402" s="129"/>
      <c r="V402" s="79"/>
      <c r="W402" s="129"/>
      <c r="X402" s="79"/>
      <c r="Y402" s="129"/>
      <c r="Z402" s="79"/>
      <c r="AA402" s="130"/>
      <c r="AB402" s="79"/>
      <c r="AC402" s="129"/>
      <c r="AD402" s="79"/>
      <c r="AE402" s="129"/>
      <c r="AF402" s="79"/>
      <c r="AG402" s="129"/>
      <c r="AH402" s="79"/>
      <c r="AI402" s="129"/>
      <c r="AJ402" s="79"/>
      <c r="AK402" s="129"/>
      <c r="AL402" s="79"/>
      <c r="AM402" s="129"/>
      <c r="AN402" s="79"/>
      <c r="AO402" s="129"/>
      <c r="AP402" s="79"/>
      <c r="AQ402" s="129"/>
      <c r="AR402" s="79"/>
      <c r="AS402" s="129"/>
      <c r="AT402" s="81"/>
      <c r="AU402" s="129"/>
      <c r="AV402" s="81"/>
      <c r="AW402" s="129"/>
      <c r="AX402" s="81"/>
      <c r="AY402" s="129"/>
      <c r="AZ402" s="81"/>
      <c r="BA402" s="129"/>
      <c r="BB402" s="81"/>
      <c r="BC402" s="129"/>
      <c r="BD402" s="81"/>
      <c r="BE402" s="129"/>
      <c r="BF402" s="81"/>
      <c r="BG402" s="129"/>
      <c r="BH402" s="81"/>
      <c r="BI402" s="129"/>
      <c r="BJ402" s="81"/>
      <c r="BK402" s="129"/>
      <c r="BL402" s="81"/>
      <c r="BM402" s="129"/>
      <c r="BN402" s="81"/>
      <c r="BO402" s="129"/>
      <c r="BP402" s="81"/>
      <c r="BQ402" s="129"/>
      <c r="BR402" s="81"/>
      <c r="BS402" s="129"/>
      <c r="BT402" s="81"/>
      <c r="BU402" s="129"/>
      <c r="BV402" s="81"/>
      <c r="BW402" s="129"/>
      <c r="BX402" s="81"/>
      <c r="BY402" s="129"/>
      <c r="BZ402" s="81"/>
      <c r="CA402" s="129"/>
      <c r="CB402" s="81"/>
      <c r="CC402" s="129"/>
      <c r="CD402" s="81"/>
      <c r="CE402" s="129"/>
      <c r="CF402" s="81"/>
      <c r="CG402" s="129"/>
      <c r="CH402" s="81"/>
      <c r="CI402" s="129"/>
      <c r="CJ402" s="81"/>
      <c r="CK402" s="129"/>
      <c r="CL402" s="81"/>
      <c r="CM402" s="129"/>
      <c r="CN402" s="81"/>
      <c r="CO402" s="129"/>
      <c r="CP402" s="81"/>
      <c r="CQ402" s="129"/>
      <c r="CR402" s="81"/>
      <c r="CS402" s="129"/>
      <c r="CT402" s="81"/>
      <c r="CU402" s="129"/>
      <c r="CV402" s="81"/>
      <c r="CW402" s="129"/>
      <c r="CX402" s="81"/>
      <c r="CY402" s="129"/>
      <c r="CZ402" s="81"/>
      <c r="DA402" s="129"/>
      <c r="DB402" s="81"/>
      <c r="DC402" s="129"/>
      <c r="DD402" s="81"/>
      <c r="DE402" s="129"/>
      <c r="DF402" s="81"/>
      <c r="DG402" s="129"/>
      <c r="DH402" s="81"/>
      <c r="DI402" s="129"/>
      <c r="DJ402" s="81"/>
      <c r="DK402" s="129"/>
      <c r="DL402" s="81"/>
      <c r="DM402" s="129"/>
      <c r="DN402" s="81"/>
      <c r="DO402" s="129"/>
      <c r="DP402" s="81"/>
      <c r="DQ402" s="129"/>
      <c r="DR402" s="81"/>
      <c r="DS402" s="129"/>
      <c r="DT402" s="81"/>
      <c r="DU402" s="129"/>
      <c r="DV402" s="81"/>
      <c r="DW402" s="129"/>
      <c r="DX402" s="81"/>
      <c r="DY402" s="129"/>
      <c r="DZ402" s="81"/>
      <c r="EA402" s="129"/>
      <c r="EB402" s="81"/>
      <c r="EC402" s="129"/>
      <c r="ED402" s="81"/>
      <c r="EE402" s="129"/>
      <c r="EF402" s="81"/>
      <c r="EG402" s="129"/>
      <c r="EH402" s="81"/>
      <c r="EI402" s="129"/>
      <c r="EJ402" s="81"/>
      <c r="EK402" s="129"/>
      <c r="EL402" s="81"/>
      <c r="EM402" s="129"/>
      <c r="EN402" s="81"/>
      <c r="EO402" s="129"/>
      <c r="EP402" s="81"/>
      <c r="EQ402" s="129"/>
      <c r="ER402" s="81"/>
      <c r="ES402" s="129"/>
      <c r="ET402" s="465"/>
      <c r="EU402" s="129"/>
      <c r="EV402" s="129"/>
      <c r="EW402" s="79"/>
      <c r="EX402" s="129"/>
      <c r="EY402" s="79"/>
      <c r="EZ402" s="129"/>
      <c r="FA402" s="79"/>
      <c r="FB402" s="129"/>
      <c r="FC402" s="79"/>
      <c r="FD402" s="129"/>
      <c r="FE402" s="79"/>
      <c r="FF402" s="129"/>
      <c r="FG402" s="79"/>
      <c r="FH402" s="129"/>
      <c r="FI402" s="79"/>
      <c r="FJ402" s="129"/>
      <c r="FK402" s="79"/>
      <c r="FL402" s="129"/>
      <c r="FM402" s="79"/>
      <c r="FN402" s="129"/>
      <c r="FO402" s="79"/>
      <c r="FP402" s="129"/>
      <c r="FQ402" s="79"/>
      <c r="FR402" s="129"/>
      <c r="FS402" s="79"/>
      <c r="FT402" s="129"/>
      <c r="FU402" s="79"/>
      <c r="FV402" s="129"/>
      <c r="FW402" s="79"/>
      <c r="FX402" s="129"/>
      <c r="FY402" s="79"/>
      <c r="FZ402" s="129"/>
      <c r="GA402" s="79"/>
      <c r="GB402" s="129"/>
      <c r="GC402" s="881"/>
      <c r="GD402" s="129"/>
      <c r="GE402" s="79"/>
      <c r="GF402" s="129"/>
      <c r="GG402" s="79"/>
      <c r="GH402" s="129"/>
      <c r="GI402" s="79"/>
      <c r="GJ402" s="129"/>
      <c r="GK402" s="79"/>
      <c r="GL402" s="129"/>
      <c r="GM402" s="79"/>
      <c r="GN402" s="129"/>
      <c r="GO402" s="79"/>
      <c r="GP402" s="129"/>
      <c r="GQ402" s="79"/>
      <c r="GR402" s="129"/>
      <c r="GS402" s="79"/>
      <c r="GT402" s="79"/>
    </row>
    <row r="403" spans="1:286" ht="12.75" customHeight="1" x14ac:dyDescent="0.2">
      <c r="A403" s="1"/>
      <c r="B403" s="10" t="s">
        <v>104</v>
      </c>
      <c r="C403" s="79"/>
      <c r="D403" s="79"/>
      <c r="E403" s="75">
        <f>E163</f>
        <v>0</v>
      </c>
      <c r="F403" s="75"/>
      <c r="G403" s="75">
        <f>G163</f>
        <v>0</v>
      </c>
      <c r="H403" s="75"/>
      <c r="I403" s="75">
        <f>I163</f>
        <v>0</v>
      </c>
      <c r="J403" s="75"/>
      <c r="K403" s="75">
        <f>K163</f>
        <v>0</v>
      </c>
      <c r="L403" s="146"/>
      <c r="M403" s="75">
        <f>M163</f>
        <v>0</v>
      </c>
      <c r="N403" s="146" t="str">
        <f t="shared" ref="N403:V403" si="1192">IF(ISERROR((M403/E403-1)*100),"NA",IF(((M403/E403-1)*100)&gt;100,"NM",IF(((M403/E403-1)*100)&lt;-50,"NM",(M403/E403-1)*100)))</f>
        <v>NA</v>
      </c>
      <c r="O403" s="75">
        <f>O163</f>
        <v>0</v>
      </c>
      <c r="P403" s="146" t="str">
        <f t="shared" si="1192"/>
        <v>NA</v>
      </c>
      <c r="Q403" s="75">
        <f>Q163</f>
        <v>0</v>
      </c>
      <c r="R403" s="146" t="str">
        <f t="shared" si="1192"/>
        <v>NA</v>
      </c>
      <c r="S403" s="75">
        <f>S163</f>
        <v>0</v>
      </c>
      <c r="T403" s="146" t="str">
        <f t="shared" si="1192"/>
        <v>NA</v>
      </c>
      <c r="U403" s="75">
        <f>U163</f>
        <v>-339.30000000000064</v>
      </c>
      <c r="V403" s="146" t="str">
        <f t="shared" si="1192"/>
        <v>NA</v>
      </c>
      <c r="W403" s="75">
        <f>W163</f>
        <v>127.20000000000005</v>
      </c>
      <c r="X403" s="146" t="str">
        <f t="shared" ref="X403:X412" si="1193">IF(ISERROR((W403/O403-1)*100),"NA",IF(((W403/O403-1)*100)&gt;100,"NM",IF(((W403/O403-1)*100)&lt;-50,"NM",(W403/O403-1)*100)))</f>
        <v>NA</v>
      </c>
      <c r="Y403" s="75">
        <f>Y163</f>
        <v>122.50000000000023</v>
      </c>
      <c r="Z403" s="146" t="str">
        <f t="shared" ref="Z403:Z412" si="1194">IF(ISERROR((Y403/Q403-1)*100),"NA",IF(((Y403/Q403-1)*100)&gt;100,"NM",IF(((Y403/Q403-1)*100)&lt;-50,"NM",(Y403/Q403-1)*100)))</f>
        <v>NA</v>
      </c>
      <c r="AA403" s="267">
        <f>AA163</f>
        <v>-341.59999999999991</v>
      </c>
      <c r="AB403" s="146" t="str">
        <f t="shared" ref="AB403:AB412" si="1195">IF(ISERROR((AA403/S403-1)*100),"NA",IF(((AA403/S403-1)*100)&gt;100,"NM",IF(((AA403/S403-1)*100)&lt;-50,"NM",(AA403/S403-1)*100)))</f>
        <v>NA</v>
      </c>
      <c r="AC403" s="75">
        <f>AC163</f>
        <v>92.799999999999955</v>
      </c>
      <c r="AD403" s="146" t="str">
        <f t="shared" ref="AD403:AD412" si="1196">IF(ISERROR((AC403/U403-1)*100),"NA",IF(((AC403/U403-1)*100)&gt;100,"NM",IF(((AC403/U403-1)*100)&lt;-50,"NM",(AC403/U403-1)*100)))</f>
        <v>NM</v>
      </c>
      <c r="AE403" s="75">
        <f>AE163</f>
        <v>113.60000000000014</v>
      </c>
      <c r="AF403" s="146">
        <f t="shared" ref="AF403:AF412" si="1197">IF(ISERROR((AE403/W403-1)*100),"NA",IF(((AE403/W403-1)*100)&gt;100,"NM",IF(((AE403/W403-1)*100)&lt;-50,"NM",(AE403/W403-1)*100)))</f>
        <v>-10.69182389937099</v>
      </c>
      <c r="AG403" s="75">
        <f>AG163</f>
        <v>114.13000000000011</v>
      </c>
      <c r="AH403" s="146">
        <f t="shared" ref="AH403:AH412" si="1198">IF(ISERROR((AG403/Y403-1)*100),"NA",IF(((AG403/Y403-1)*100)&gt;100,"NM",IF(((AG403/Y403-1)*100)&lt;-50,"NM",(AG403/Y403-1)*100)))</f>
        <v>-6.8326530612245691</v>
      </c>
      <c r="AI403" s="75">
        <f>AI163</f>
        <v>14.970000000000027</v>
      </c>
      <c r="AJ403" s="146" t="str">
        <f t="shared" ref="AJ403:AJ412" si="1199">IF(ISERROR((AI403/AA403-1)*100),"NA",IF(((AI403/AA403-1)*100)&gt;100,"NM",IF(((AI403/AA403-1)*100)&lt;-50,"NM",(AI403/AA403-1)*100)))</f>
        <v>NM</v>
      </c>
      <c r="AK403" s="75">
        <f>AK163</f>
        <v>100.50000000000023</v>
      </c>
      <c r="AL403" s="146">
        <f t="shared" ref="AL403:AL412" si="1200">IF(ISERROR((AK403/AC403-1)*100),"NA",IF(((AK403/AC403-1)*100)&gt;100,"NM",IF(((AK403/AC403-1)*100)&lt;-50,"NM",(AK403/AC403-1)*100)))</f>
        <v>8.2974137931037362</v>
      </c>
      <c r="AM403" s="75">
        <f>AM163</f>
        <v>111.40000000000009</v>
      </c>
      <c r="AN403" s="146">
        <f>IF(ISERROR((AM403/AE403-1)*100),"NA",IF(((AM403/AE403-1)*100)&gt;100,"NM",IF(((AM403/AE403-1)*100)&lt;-50,"NM",(AM403/AE403-1)*100)))</f>
        <v>-1.9366197183098954</v>
      </c>
      <c r="AO403" s="75">
        <f>AO163</f>
        <v>112.59999999999991</v>
      </c>
      <c r="AP403" s="146">
        <f>IF(ISERROR((AO403/AG403-1)*100),"NA",IF(((AO403/AG403-1)*100)&gt;100,"NM",IF(((AO403/AG403-1)*100)&lt;-50,"NM",(AO403/AG403-1)*100)))</f>
        <v>-1.340576535529836</v>
      </c>
      <c r="AQ403" s="75">
        <f>AQ163</f>
        <v>103.90000000000009</v>
      </c>
      <c r="AR403" s="146" t="str">
        <f>IF(ISERROR((AQ403/AI403-1)*100),"NA",IF(((AQ403/AI403-1)*100)&gt;100,"NM",IF(((AQ403/AI403-1)*100)&lt;-50,"NM",(AQ403/AI403-1)*100)))</f>
        <v>NM</v>
      </c>
      <c r="AS403" s="75">
        <f>AS163</f>
        <v>101.29999999999973</v>
      </c>
      <c r="AT403" s="146">
        <f>IF(ISERROR((AS403/AK403-1)*100),"NA",IF(((AS403/AK403-1)*100)&gt;100,"NM",IF(((AS403/AK403-1)*100)&lt;-50,"NM",(AS403/AK403-1)*100)))</f>
        <v>0.79601990049700255</v>
      </c>
      <c r="AU403" s="75">
        <f>AU163</f>
        <v>104.5</v>
      </c>
      <c r="AV403" s="146">
        <f>IF(ISERROR((AU403/AM403-1)*100),"NA",IF(((AU403/AM403-1)*100)&gt;100,"NM",IF(((AU403/AM403-1)*100)&lt;-50,"NM",(AU403/AM403-1)*100)))</f>
        <v>-6.1938958707361653</v>
      </c>
      <c r="AW403" s="75">
        <f>AW163</f>
        <v>118.20000000000005</v>
      </c>
      <c r="AX403" s="146">
        <f>IF(ISERROR((AW403/AO403-1)*100),"NA",IF(((AW403/AO403-1)*100)&gt;100,"NM",IF(((AW403/AO403-1)*100)&lt;-50,"NM",(AW403/AO403-1)*100)))</f>
        <v>4.9733570159859131</v>
      </c>
      <c r="AY403" s="75">
        <f>AY163</f>
        <v>123.89999999999986</v>
      </c>
      <c r="AZ403" s="146">
        <f>IF(ISERROR((AY403/AQ403-1)*100),"NA",IF(((AY403/AQ403-1)*100)&gt;100,"NM",IF(((AY403/AQ403-1)*100)&lt;-50,"NM",(AY403/AQ403-1)*100)))</f>
        <v>19.249278152069071</v>
      </c>
      <c r="BA403" s="75">
        <f>BA163</f>
        <v>136.89999999999986</v>
      </c>
      <c r="BB403" s="146">
        <f>IF(ISERROR((BA403/AS403-1)*100),"NA",IF(((BA403/AS403-1)*100)&gt;100,"NM",IF(((BA403/AS403-1)*100)&lt;-50,"NM",(BA403/AS403-1)*100)))</f>
        <v>35.143139190523428</v>
      </c>
      <c r="BC403" s="75">
        <f>BC163</f>
        <v>152.69999999999982</v>
      </c>
      <c r="BD403" s="146">
        <f>IF(ISERROR((BC403/AU403-1)*100),"NA",IF(((BC403/AU403-1)*100)&gt;100,"NM",IF(((BC403/AU403-1)*100)&lt;-50,"NM",(BC403/AU403-1)*100)))</f>
        <v>46.124401913875431</v>
      </c>
      <c r="BE403" s="75">
        <f>BE163</f>
        <v>157.79999999999995</v>
      </c>
      <c r="BF403" s="146">
        <f>IF(ISERROR((BE403/AW403-1)*100),"NA",IF(((BE403/AW403-1)*100)&gt;100,"NM",IF(((BE403/AW403-1)*100)&lt;-50,"NM",(BE403/AW403-1)*100)))</f>
        <v>33.502538071065892</v>
      </c>
      <c r="BG403" s="75">
        <f>BG163</f>
        <v>173.39999999999986</v>
      </c>
      <c r="BH403" s="146">
        <f>IF(ISERROR((BG403/AY403-1)*100),"NA",IF(((BG403/AY403-1)*100)&gt;100,"NM",IF(((BG403/AY403-1)*100)&lt;-50,"NM",(BG403/AY403-1)*100)))</f>
        <v>39.951573849878976</v>
      </c>
      <c r="BI403" s="75">
        <f>BI163</f>
        <v>158.29999999999995</v>
      </c>
      <c r="BJ403" s="146">
        <f t="shared" ref="BJ403:BJ416" si="1201">IF(ISERROR((BI403/BA403-1)*100),"NA",IF(((BI403/BA403-1)*100)&gt;100,"NM",IF(((BI403/BA403-1)*100)&lt;-50,"NM",(BI403/BA403-1)*100)))</f>
        <v>15.631848064280573</v>
      </c>
      <c r="BK403" s="75">
        <f>BK163</f>
        <v>176.60000000000036</v>
      </c>
      <c r="BL403" s="146">
        <f t="shared" ref="BL403:BL416" si="1202">IF(ISERROR((BK403/BC403-1)*100),"NA",IF(((BK403/BC403-1)*100)&gt;100,"NM",IF(((BK403/BC403-1)*100)&lt;-50,"NM",(BK403/BC403-1)*100)))</f>
        <v>15.651604453176549</v>
      </c>
      <c r="BM403" s="75">
        <f>BM163</f>
        <v>171.59999999999968</v>
      </c>
      <c r="BN403" s="146">
        <f t="shared" ref="BN403:BN416" si="1203">IF(ISERROR((BM403/BE403-1)*100),"NA",IF(((BM403/BE403-1)*100)&gt;100,"NM",IF(((BM403/BE403-1)*100)&lt;-50,"NM",(BM403/BE403-1)*100)))</f>
        <v>8.7452471482887937</v>
      </c>
      <c r="BO403" s="75">
        <f>BO163</f>
        <v>182.60000000000036</v>
      </c>
      <c r="BP403" s="146">
        <f t="shared" ref="BP403:BP416" si="1204">IF(ISERROR((BO403/BG403-1)*100),"NA",IF(((BO403/BG403-1)*100)&gt;100,"NM",IF(((BO403/BG403-1)*100)&lt;-50,"NM",(BO403/BG403-1)*100)))</f>
        <v>5.3056516724339753</v>
      </c>
      <c r="BQ403" s="75">
        <f>BQ163</f>
        <v>183.60000000000014</v>
      </c>
      <c r="BR403" s="81">
        <f t="shared" ref="BR403:BR416" si="1205">IF(ISERROR((BQ403/BI403-1)*100),"NA",IF(((BQ403/BI403-1)*100)&gt;100,"NM",IF(((BQ403/BI403-1)*100)&lt;-50,"NM",(BQ403/BI403-1)*100)))</f>
        <v>15.982312065698157</v>
      </c>
      <c r="BS403" s="75">
        <f>BS163</f>
        <v>191.2999999999995</v>
      </c>
      <c r="BT403" s="81">
        <f t="shared" ref="BT403:BT416" si="1206">IF(ISERROR((BS403/BK403-1)*100),"NA",IF(((BS403/BK403-1)*100)&gt;100,"NM",IF(((BS403/BK403-1)*100)&lt;-50,"NM",(BS403/BK403-1)*100)))</f>
        <v>8.3238958097390245</v>
      </c>
      <c r="BU403" s="75">
        <f>BU163</f>
        <v>197.09999999999945</v>
      </c>
      <c r="BV403" s="81">
        <f t="shared" ref="BV403:BV416" si="1207">IF(ISERROR((BU403/BM403-1)*100),"NA",IF(((BU403/BM403-1)*100)&gt;100,"NM",IF(((BU403/BM403-1)*100)&lt;-50,"NM",(BU403/BM403-1)*100)))</f>
        <v>14.860139860139764</v>
      </c>
      <c r="BW403" s="75">
        <f>BW163</f>
        <v>203</v>
      </c>
      <c r="BX403" s="81">
        <f t="shared" ref="BX403:BX416" si="1208">IF(ISERROR((BW403/BO403-1)*100),"NA",IF(((BW403/BO403-1)*100)&gt;100,"NM",IF(((BW403/BO403-1)*100)&lt;-50,"NM",(BW403/BO403-1)*100)))</f>
        <v>11.171960569550698</v>
      </c>
      <c r="BY403" s="75">
        <f>BY163</f>
        <v>182.5</v>
      </c>
      <c r="BZ403" s="81">
        <f t="shared" ref="BZ403:BZ416" si="1209">IF(ISERROR((BY403/BQ403-1)*100),"NA",IF(((BY403/BQ403-1)*100)&gt;100,"NM",IF(((BY403/BQ403-1)*100)&lt;-50,"NM",(BY403/BQ403-1)*100)))</f>
        <v>-0.59912854030508278</v>
      </c>
      <c r="CA403" s="75">
        <f>CA163</f>
        <v>200.79999999999995</v>
      </c>
      <c r="CB403" s="81">
        <f t="shared" ref="CB403:CB416" si="1210">IF(ISERROR((CA403/BS403-1)*100),"NA",IF(((CA403/BS403-1)*100)&gt;100,"NM",IF(((CA403/BS403-1)*100)&lt;-50,"NM",(CA403/BS403-1)*100)))</f>
        <v>4.9660219550446749</v>
      </c>
      <c r="CC403" s="75">
        <f>CC163</f>
        <v>190.99999999999977</v>
      </c>
      <c r="CD403" s="81">
        <f t="shared" ref="CD403:CD416" si="1211">IF(ISERROR((CC403/BU403-1)*100),"NA",IF(((CC403/BU403-1)*100)&gt;100,"NM",IF(((CC403/BU403-1)*100)&lt;-50,"NM",(CC403/BU403-1)*100)))</f>
        <v>-3.0948756976152736</v>
      </c>
      <c r="CE403" s="75">
        <f>CE163</f>
        <v>195.00000000000023</v>
      </c>
      <c r="CF403" s="81">
        <f t="shared" ref="CF403:CF416" si="1212">IF(ISERROR((CE403/BW403-1)*100),"NA",IF(((CE403/BW403-1)*100)&gt;100,"NM",IF(((CE403/BW403-1)*100)&lt;-50,"NM",(CE403/BW403-1)*100)))</f>
        <v>-3.9408866995072733</v>
      </c>
      <c r="CG403" s="75">
        <f>CG163</f>
        <v>194.70000000000005</v>
      </c>
      <c r="CH403" s="81">
        <f t="shared" ref="CH403:CH416" si="1213">IF(ISERROR((CG403/BY403-1)*100),"NA",IF(((CG403/BY403-1)*100)&gt;100,"NM",IF(((CG403/BY403-1)*100)&lt;-50,"NM",(CG403/BY403-1)*100)))</f>
        <v>6.6849315068493453</v>
      </c>
      <c r="CI403" s="75">
        <f>CI163</f>
        <v>205.59999999999991</v>
      </c>
      <c r="CJ403" s="81">
        <f t="shared" ref="CJ403:CJ416" si="1214">IF(ISERROR((CI403/CA403-1)*100),"NA",IF(((CI403/CA403-1)*100)&gt;100,"NM",IF(((CI403/CA403-1)*100)&lt;-50,"NM",(CI403/CA403-1)*100)))</f>
        <v>2.3904382470119279</v>
      </c>
      <c r="CK403" s="75">
        <f>CK163</f>
        <v>203.70000000000027</v>
      </c>
      <c r="CL403" s="81">
        <f t="shared" ref="CL403:CL416" si="1215">IF(ISERROR((CK403/CC403-1)*100),"NA",IF(((CK403/CC403-1)*100)&gt;100,"NM",IF(((CK403/CC403-1)*100)&lt;-50,"NM",(CK403/CC403-1)*100)))</f>
        <v>6.6492146596861312</v>
      </c>
      <c r="CM403" s="75">
        <f>CM163</f>
        <v>207.40000000000009</v>
      </c>
      <c r="CN403" s="81">
        <f t="shared" ref="CN403:CN416" si="1216">IF(ISERROR((CM403/CE403-1)*100),"NA",IF(((CM403/CE403-1)*100)&gt;100,"NM",IF(((CM403/CE403-1)*100)&lt;-50,"NM",(CM403/CE403-1)*100)))</f>
        <v>6.3589743589742787</v>
      </c>
      <c r="CO403" s="75">
        <f>CO163</f>
        <v>205.89999999999964</v>
      </c>
      <c r="CP403" s="81">
        <f t="shared" ref="CP403:CP416" si="1217">IF(ISERROR((CO403/CG403-1)*100),"NA",IF(((CO403/CG403-1)*100)&gt;100,"NM",IF(((CO403/CG403-1)*100)&lt;-50,"NM",(CO403/CG403-1)*100)))</f>
        <v>5.752439650744523</v>
      </c>
      <c r="CQ403" s="75">
        <f>CQ163</f>
        <v>212.70000000000027</v>
      </c>
      <c r="CR403" s="81">
        <f t="shared" ref="CR403:CR416" si="1218">IF(ISERROR((CQ403/CI403-1)*100),"NA",IF(((CQ403/CI403-1)*100)&gt;100,"NM",IF(((CQ403/CI403-1)*100)&lt;-50,"NM",(CQ403/CI403-1)*100)))</f>
        <v>3.4533073929962965</v>
      </c>
      <c r="CS403" s="75">
        <f>CS163</f>
        <v>216.29999999999995</v>
      </c>
      <c r="CT403" s="81">
        <f t="shared" ref="CT403:CT416" si="1219">IF(ISERROR((CS403/CK403-1)*100),"NA",IF(((CS403/CK403-1)*100)&gt;100,"NM",IF(((CS403/CK403-1)*100)&lt;-50,"NM",(CS403/CK403-1)*100)))</f>
        <v>6.1855670103091231</v>
      </c>
      <c r="CU403" s="75">
        <f>CU163</f>
        <v>212.19999999999982</v>
      </c>
      <c r="CV403" s="81">
        <f t="shared" ref="CV403:CV416" si="1220">IF(ISERROR((CU403/CM403-1)*100),"NA",IF(((CU403/CM403-1)*100)&gt;100,"NM",IF(((CU403/CM403-1)*100)&lt;-50,"NM",(CU403/CM403-1)*100)))</f>
        <v>2.3143683702988138</v>
      </c>
      <c r="CW403" s="104">
        <f>CW163</f>
        <v>211.20000000000005</v>
      </c>
      <c r="CX403" s="81">
        <f t="shared" ref="CX403:CX416" si="1221">IF(ISERROR((CW403/CO403-1)*100),"NA",IF(((CW403/CO403-1)*100)&gt;100,"NM",IF(((CW403/CO403-1)*100)&lt;-50,"NM",(CW403/CO403-1)*100)))</f>
        <v>2.5740650801362008</v>
      </c>
      <c r="CY403" s="104">
        <f>CY163</f>
        <v>211.09999999999991</v>
      </c>
      <c r="CZ403" s="81">
        <f t="shared" ref="CZ403:CZ416" si="1222">IF(ISERROR((CY403/CQ403-1)*100),"NA",IF(((CY403/CQ403-1)*100)&gt;100,"NM",IF(((CY403/CQ403-1)*100)&lt;-50,"NM",(CY403/CQ403-1)*100)))</f>
        <v>-0.75223319228977514</v>
      </c>
      <c r="DA403" s="104">
        <f>DA163</f>
        <v>216.90000000000009</v>
      </c>
      <c r="DB403" s="81">
        <f t="shared" ref="DB403:DB416" si="1223">IF(ISERROR((DA403/CS403-1)*100),"NA",IF(((DA403/CS403-1)*100)&gt;100,"NM",IF(((DA403/CS403-1)*100)&lt;-50,"NM",(DA403/CS403-1)*100)))</f>
        <v>0.27739251040228563</v>
      </c>
      <c r="DC403" s="104">
        <f>DC163</f>
        <v>215.60000000000005</v>
      </c>
      <c r="DD403" s="81">
        <f t="shared" ref="DD403:DD416" si="1224">IF(ISERROR((DC403/CU403-1)*100),"NA",IF(((DC403/CU403-1)*100)&gt;100,"NM",IF(((DC403/CU403-1)*100)&lt;-50,"NM",(DC403/CU403-1)*100)))</f>
        <v>1.602262016965228</v>
      </c>
      <c r="DE403" s="104">
        <f>DE163</f>
        <v>207.5</v>
      </c>
      <c r="DF403" s="81">
        <f t="shared" ref="DF403:DF416" si="1225">IF(ISERROR((DE403/CW403-1)*100),"NA",IF(((DE403/CW403-1)*100)&gt;100,"NM",IF(((DE403/CW403-1)*100)&lt;-50,"NM",(DE403/CW403-1)*100)))</f>
        <v>-1.7518939393939559</v>
      </c>
      <c r="DG403" s="104">
        <f>DG163</f>
        <v>215.79999999999973</v>
      </c>
      <c r="DH403" s="81">
        <f t="shared" ref="DH403:DH416" si="1226">IF(ISERROR((DG403/CY403-1)*100),"NA",IF(((DG403/CY403-1)*100)&gt;100,"NM",IF(((DG403/CY403-1)*100)&lt;-50,"NM",(DG403/CY403-1)*100)))</f>
        <v>2.2264329701562335</v>
      </c>
      <c r="DI403" s="104">
        <f>DI163</f>
        <v>212.10000000000014</v>
      </c>
      <c r="DJ403" s="81">
        <f t="shared" ref="DJ403:DJ416" si="1227">IF(ISERROR((DI403/DA403-1)*100),"NA",IF(((DI403/DA403-1)*100)&gt;100,"NM",IF(((DI403/DA403-1)*100)&lt;-50,"NM",(DI403/DA403-1)*100)))</f>
        <v>-2.2130013831258455</v>
      </c>
      <c r="DK403" s="104">
        <f>DK163</f>
        <v>209.5</v>
      </c>
      <c r="DL403" s="81">
        <f t="shared" ref="DL403:DL416" si="1228">IF(ISERROR((DK403/DC403-1)*100),"NA",IF(((DK403/DC403-1)*100)&gt;100,"NM",IF(((DK403/DC403-1)*100)&lt;-50,"NM",(DK403/DC403-1)*100)))</f>
        <v>-2.8293135435992767</v>
      </c>
      <c r="DM403" s="104">
        <f>DM163</f>
        <v>214.30000000000018</v>
      </c>
      <c r="DN403" s="81">
        <f t="shared" ref="DN403:DP416" si="1229">IF(ISERROR((DM403/DE403-1)*100),"NA",IF(((DM403/DE403-1)*100)&gt;100,"NM",IF(((DM403/DE403-1)*100)&lt;-50,"NM",(DM403/DE403-1)*100)))</f>
        <v>3.277108433735032</v>
      </c>
      <c r="DO403" s="104">
        <f>DO163</f>
        <v>202.80000000000018</v>
      </c>
      <c r="DP403" s="81">
        <f t="shared" si="1229"/>
        <v>-6.0240963855419665</v>
      </c>
      <c r="DQ403" s="104">
        <f>DQ163</f>
        <v>218.69999999999982</v>
      </c>
      <c r="DR403" s="81">
        <f t="shared" ref="DR403:DR416" si="1230">IF(ISERROR((DQ403/DI403-1)*100),"NA",IF(((DQ403/DI403-1)*100)&gt;100,"NM",IF(((DQ403/DI403-1)*100)&lt;-50,"NM",(DQ403/DI403-1)*100)))</f>
        <v>3.1117397454029527</v>
      </c>
      <c r="DS403" s="104">
        <f>DS163</f>
        <v>214.19999999999982</v>
      </c>
      <c r="DT403" s="81">
        <f t="shared" ref="DT403:DT416" si="1231">IF(ISERROR((DS403/DK403-1)*100),"NA",IF(((DS403/DK403-1)*100)&gt;100,"NM",IF(((DS403/DK403-1)*100)&lt;-50,"NM",(DS403/DK403-1)*100)))</f>
        <v>2.243436754176531</v>
      </c>
      <c r="DU403" s="104">
        <f>DU163</f>
        <v>215.90000000000032</v>
      </c>
      <c r="DV403" s="81">
        <f t="shared" ref="DV403:DV416" si="1232">IF(ISERROR((DU403/DM403-1)*100),"NA",IF(((DU403/DM403-1)*100)&gt;100,"NM",IF(((DU403/DM403-1)*100)&lt;-50,"NM",(DU403/DM403-1)*100)))</f>
        <v>0.74661689220725247</v>
      </c>
      <c r="DW403" s="104">
        <f>DW163</f>
        <v>227.20000000000027</v>
      </c>
      <c r="DX403" s="81">
        <f t="shared" ref="DX403:DX416" si="1233">IF(ISERROR((DW403/DO403-1)*100),"NA",IF(((DW403/DO403-1)*100)&gt;100,"NM",IF(((DW403/DO403-1)*100)&lt;-50,"NM",(DW403/DO403-1)*100)))</f>
        <v>12.031558185404378</v>
      </c>
      <c r="DY403" s="104">
        <f>DY163</f>
        <v>231</v>
      </c>
      <c r="DZ403" s="81">
        <f t="shared" ref="DZ403:DZ416" si="1234">IF(ISERROR((DY403/DQ403-1)*100),"NA",IF(((DY403/DQ403-1)*100)&gt;100,"NM",IF(((DY403/DQ403-1)*100)&lt;-50,"NM",(DY403/DQ403-1)*100)))</f>
        <v>5.6241426611797873</v>
      </c>
      <c r="EA403" s="104">
        <f>EA163</f>
        <v>240.09999999999945</v>
      </c>
      <c r="EB403" s="81">
        <f t="shared" ref="EB403:EB416" si="1235">IF(ISERROR((EA403/DS403-1)*100),"NA",IF(((EA403/DS403-1)*100)&gt;100,"NM",IF(((EA403/DS403-1)*100)&lt;-50,"NM",(EA403/DS403-1)*100)))</f>
        <v>12.091503267973703</v>
      </c>
      <c r="EC403" s="104">
        <f>EC163</f>
        <v>239.09999999999991</v>
      </c>
      <c r="ED403" s="81">
        <f t="shared" ref="ED403:ED416" si="1236">IF(ISERROR((EC403/DU403-1)*100),"NA",IF(((EC403/DU403-1)*100)&gt;100,"NM",IF(((EC403/DU403-1)*100)&lt;-50,"NM",(EC403/DU403-1)*100)))</f>
        <v>10.745715609078065</v>
      </c>
      <c r="EE403" s="104">
        <f>EE163</f>
        <v>247.80000000000018</v>
      </c>
      <c r="EF403" s="81">
        <f t="shared" ref="EF403:EF416" si="1237">IF(ISERROR((EE403/DW403-1)*100),"NA",IF(((EE403/DW403-1)*100)&gt;100,"NM",IF(((EE403/DW403-1)*100)&lt;-50,"NM",(EE403/DW403-1)*100)))</f>
        <v>9.0669014084506561</v>
      </c>
      <c r="EG403" s="104">
        <f>EG163</f>
        <v>258.40000000000009</v>
      </c>
      <c r="EH403" s="81">
        <f t="shared" ref="EH403:EH416" si="1238">IF(ISERROR((EG403/DY403-1)*100),"NA",IF(((EG403/DY403-1)*100)&gt;100,"NM",IF(((EG403/DY403-1)*100)&lt;-50,"NM",(EG403/DY403-1)*100)))</f>
        <v>11.861471861471905</v>
      </c>
      <c r="EI403" s="104">
        <f>EI163</f>
        <v>244.70000000000016</v>
      </c>
      <c r="EJ403" s="81">
        <f t="shared" ref="EJ403:EJ416" si="1239">IF(ISERROR((EI403/EA403-1)*100),"NA",IF(((EI403/EA403-1)*100)&gt;100,"NM",IF(((EI403/EA403-1)*100)&lt;-50,"NM",(EI403/EA403-1)*100)))</f>
        <v>1.9158683881719041</v>
      </c>
      <c r="EK403" s="75">
        <f t="shared" ref="EK403:EQ403" si="1240">EK163</f>
        <v>247.75395908854307</v>
      </c>
      <c r="EL403" s="81">
        <f t="shared" ref="EL403:EL416" si="1241">IF(ISERROR((EK403/EC403-1)*100),"NA",IF(((EK403/EC403-1)*100)&gt;100,"NM",IF(((EK403/EC403-1)*100)&lt;-50,"NM",(EK403/EC403-1)*100)))</f>
        <v>3.6193889956265934</v>
      </c>
      <c r="EM403" s="75">
        <f t="shared" si="1240"/>
        <v>249.92341271997634</v>
      </c>
      <c r="EN403" s="81">
        <f t="shared" ref="EN403:EN416" si="1242">IF(ISERROR((EM403/EE403-1)*100),"NA",IF(((EM403/EE403-1)*100)&gt;100,"NM",IF(((EM403/EE403-1)*100)&lt;-50,"NM",(EM403/EE403-1)*100)))</f>
        <v>0.85690585955453535</v>
      </c>
      <c r="EO403" s="75">
        <f t="shared" si="1240"/>
        <v>253.27590306912748</v>
      </c>
      <c r="EP403" s="81">
        <f t="shared" ref="EP403:EP416" si="1243">IF(ISERROR((EO403/EG403-1)*100),"NA",IF(((EO403/EG403-1)*100)&gt;100,"NM",IF(((EO403/EG403-1)*100)&lt;-50,"NM",(EO403/EG403-1)*100)))</f>
        <v>-1.9830096481705195</v>
      </c>
      <c r="EQ403" s="75">
        <f t="shared" si="1240"/>
        <v>256.21326921042373</v>
      </c>
      <c r="ER403" s="81">
        <f t="shared" ref="ER403:ER416" si="1244">IF(ISERROR((EQ403/EI403-1)*100),"NA",IF(((EQ403/EI403-1)*100)&gt;100,"NM",IF(((EQ403/EI403-1)*100)&lt;-50,"NM",(EQ403/EI403-1)*100)))</f>
        <v>4.7050548469242282</v>
      </c>
      <c r="ES403" s="129"/>
      <c r="ET403" s="465"/>
      <c r="EU403" s="129"/>
      <c r="EV403" s="75"/>
      <c r="EW403" s="79"/>
      <c r="EX403" s="75"/>
      <c r="EY403" s="79"/>
      <c r="EZ403" s="75"/>
      <c r="FA403" s="79"/>
      <c r="FB403" s="75">
        <f>FB159</f>
        <v>0</v>
      </c>
      <c r="FC403" s="79" t="str">
        <f t="shared" ref="FC403:FC412" si="1245">IF(ISERROR((FB403/EZ403-1)*100),"NA",IF(((FB403/EZ403-1)*100)&gt;100,"NM",IF(((FB403/EZ403-1)*100)&lt;-50,"NM",(FB403/EZ403-1)*100)))</f>
        <v>NA</v>
      </c>
      <c r="FD403" s="75">
        <f>FD159</f>
        <v>703.00000000000091</v>
      </c>
      <c r="FE403" s="79" t="str">
        <f t="shared" ref="FE403:FE412" si="1246">IF(ISERROR((FD403/FB403-1)*100),"NA",IF(((FD403/FB403-1)*100)&gt;100,"NM",IF(((FD403/FB403-1)*100)&lt;-50,"NM",(FD403/FB403-1)*100)))</f>
        <v>NA</v>
      </c>
      <c r="FF403" s="75">
        <f>FF159</f>
        <v>-431.19999999999982</v>
      </c>
      <c r="FG403" s="79" t="str">
        <f t="shared" ref="FG403:FG412" si="1247">IF(ISERROR((FF403/FD403-1)*100),"NA",IF(((FF403/FD403-1)*100)&gt;100,"NM",IF(((FF403/FD403-1)*100)&lt;-50,"NM",(FF403/FD403-1)*100)))</f>
        <v>NM</v>
      </c>
      <c r="FH403" s="75">
        <f>FH159</f>
        <v>335.50000000000091</v>
      </c>
      <c r="FI403" s="79" t="str">
        <f t="shared" ref="FI403:FI416" si="1248">IF(ISERROR((FH403/FF403-1)*100),"NA",IF(((FH403/FF403-1)*100)&gt;100,"NM",IF(((FH403/FF403-1)*100)&lt;-50,"NM",(FH403/FF403-1)*100)))</f>
        <v>NM</v>
      </c>
      <c r="FJ403" s="75">
        <f>FJ163</f>
        <v>428.39999999999964</v>
      </c>
      <c r="FK403" s="79">
        <f t="shared" ref="FK403:FK416" si="1249">IF(ISERROR((FJ403/FH403-1)*100),"NA",IF(((FJ403/FH403-1)*100)&gt;100,"NM",IF(((FJ403/FH403-1)*100)&lt;-50,"NM",(FJ403/FH403-1)*100)))</f>
        <v>27.69001490312921</v>
      </c>
      <c r="FL403" s="75">
        <f>FL163</f>
        <v>447.89999999999964</v>
      </c>
      <c r="FM403" s="79">
        <f t="shared" ref="FM403:FM416" si="1250">IF(ISERROR((FL403/FJ403-1)*100),"NA",IF(((FL403/FJ403-1)*100)&gt;100,"NM",IF(((FL403/FJ403-1)*100)&lt;-50,"NM",(FL403/FJ403-1)*100)))</f>
        <v>4.5518207282913226</v>
      </c>
      <c r="FN403" s="75">
        <f>FN163</f>
        <v>620.80000000000109</v>
      </c>
      <c r="FO403" s="79">
        <f t="shared" ref="FO403:FO416" si="1251">IF(ISERROR((FN403/FL403-1)*100),"NA",IF(((FN403/FL403-1)*100)&gt;100,"NM",IF(((FN403/FL403-1)*100)&lt;-50,"NM",(FN403/FL403-1)*100)))</f>
        <v>38.602366599687784</v>
      </c>
      <c r="FP403" s="75">
        <f>FP163</f>
        <v>689.09999999999945</v>
      </c>
      <c r="FQ403" s="79">
        <f t="shared" ref="FQ403:FQ416" si="1252">IF(ISERROR((FP403/FN403-1)*100),"NA",IF(((FP403/FN403-1)*100)&gt;100,"NM",IF(((FP403/FN403-1)*100)&lt;-50,"NM",(FP403/FN403-1)*100)))</f>
        <v>11.001932989690433</v>
      </c>
      <c r="FR403" s="75">
        <f>FR163</f>
        <v>718.99999999999909</v>
      </c>
      <c r="FS403" s="79">
        <f t="shared" ref="FS403:FS416" si="1253">IF(ISERROR((FR403/FP403-1)*100),"NA",IF(((FR403/FP403-1)*100)&gt;100,"NM",IF(((FR403/FP403-1)*100)&lt;-50,"NM",(FR403/FP403-1)*100)))</f>
        <v>4.3389928892758167</v>
      </c>
      <c r="FT403" s="75">
        <f>FT163</f>
        <v>769.30000000000018</v>
      </c>
      <c r="FU403" s="79">
        <f t="shared" ref="FU403:FU416" si="1254">IF(ISERROR((FT403/FR403-1)*100),"NA",IF(((FT403/FR403-1)*100)&gt;100,"NM",IF(((FT403/FR403-1)*100)&lt;-50,"NM",(FT403/FR403-1)*100)))</f>
        <v>6.9958275382477231</v>
      </c>
      <c r="FV403" s="75">
        <f>FV163</f>
        <v>811.39999999999964</v>
      </c>
      <c r="FW403" s="79">
        <f t="shared" ref="FW403:FW416" si="1255">IF(ISERROR((FV403/FT403-1)*100),"NA",IF(((FV403/FT403-1)*100)&gt;100,"NM",IF(((FV403/FT403-1)*100)&lt;-50,"NM",(FV403/FT403-1)*100)))</f>
        <v>5.4725074743272373</v>
      </c>
      <c r="FX403" s="75">
        <f>FX163</f>
        <v>842.79999999999927</v>
      </c>
      <c r="FY403" s="79">
        <f t="shared" ref="FY403:FY416" si="1256">IF(ISERROR((FX403/FV403-1)*100),"NA",IF(((FX403/FV403-1)*100)&gt;100,"NM",IF(((FX403/FV403-1)*100)&lt;-50,"NM",(FX403/FV403-1)*100)))</f>
        <v>3.8698545723440558</v>
      </c>
      <c r="FZ403" s="75">
        <f>FZ163</f>
        <v>854.80000000000052</v>
      </c>
      <c r="GA403" s="79">
        <f t="shared" ref="GA403:GQ417" si="1257">IF(ISERROR((FZ403/FX403-1)*100),"NA",IF(((FZ403/FX403-1)*100)&gt;100,"NM",IF(((FZ403/FX403-1)*100)&lt;-50,"NM",(FZ403/FX403-1)*100)))</f>
        <v>1.4238253440912674</v>
      </c>
      <c r="GB403" s="75">
        <f>GB163</f>
        <v>844.90000000000055</v>
      </c>
      <c r="GC403" s="79">
        <f t="shared" si="1257"/>
        <v>-1.158165652784271</v>
      </c>
      <c r="GD403" s="75">
        <f>GD163</f>
        <v>850</v>
      </c>
      <c r="GE403" s="79">
        <f t="shared" si="1257"/>
        <v>0.60362173038222</v>
      </c>
      <c r="GF403" s="75">
        <f>GF163</f>
        <v>914.19999999999982</v>
      </c>
      <c r="GG403" s="79">
        <f t="shared" si="1257"/>
        <v>7.5529411764705623</v>
      </c>
      <c r="GH403" s="75">
        <f>GH163</f>
        <v>989.99999999999966</v>
      </c>
      <c r="GI403" s="79">
        <f t="shared" si="1257"/>
        <v>8.2914023189673891</v>
      </c>
      <c r="GJ403" s="75">
        <f>GJ163</f>
        <v>1007.1665440880697</v>
      </c>
      <c r="GK403" s="79">
        <f t="shared" si="1257"/>
        <v>1.7339943523303036</v>
      </c>
      <c r="GL403" s="75">
        <f>GL163</f>
        <v>1038.8742678077633</v>
      </c>
      <c r="GM403" s="79">
        <f t="shared" si="1257"/>
        <v>3.1482105820346717</v>
      </c>
      <c r="GN403" s="75">
        <f>GN163</f>
        <v>1071.830784140473</v>
      </c>
      <c r="GO403" s="79">
        <f t="shared" si="1257"/>
        <v>3.1723296412235369</v>
      </c>
      <c r="GP403" s="75">
        <f>GP163</f>
        <v>1107.8845811916553</v>
      </c>
      <c r="GQ403" s="79">
        <f t="shared" si="1257"/>
        <v>3.3637583081824518</v>
      </c>
      <c r="GR403" s="75">
        <f>GR163</f>
        <v>1139.8795837842745</v>
      </c>
      <c r="GS403" s="79">
        <f t="shared" ref="GS403:GS416" si="1258">IF(ISERROR((GR403/GP403-1)*100),"NA",IF(((GR403/GP403-1)*100)&gt;100,"NM",IF(((GR403/GP403-1)*100)&lt;-50,"NM",(GR403/GP403-1)*100)))</f>
        <v>2.8879364453474832</v>
      </c>
      <c r="GT403" s="79">
        <f t="shared" ref="GT403:GT416" si="1259">IF(ISERROR(((GR403/GH403)^0.2-1)*100),"NA",(IF(OR(((GR403/GH403)^0.2-1)*100&gt;99,((GR403/GH403)^0.2-1)*100&lt;-50),"NM",(((GR403/GH403)^0.2-1)*100))))</f>
        <v>2.8595822375925284</v>
      </c>
      <c r="GU403" s="857"/>
    </row>
    <row r="404" spans="1:286" ht="12.75" customHeight="1" x14ac:dyDescent="0.2">
      <c r="A404" s="1"/>
      <c r="B404" s="10" t="s">
        <v>105</v>
      </c>
      <c r="C404" s="79"/>
      <c r="D404" s="79"/>
      <c r="E404" s="75">
        <f>E59</f>
        <v>0</v>
      </c>
      <c r="F404" s="75"/>
      <c r="G404" s="75">
        <f>G59</f>
        <v>0</v>
      </c>
      <c r="H404" s="75"/>
      <c r="I404" s="75">
        <f>I59</f>
        <v>0</v>
      </c>
      <c r="J404" s="75"/>
      <c r="K404" s="75">
        <f>K59</f>
        <v>0</v>
      </c>
      <c r="L404" s="146"/>
      <c r="M404" s="75">
        <f>M59</f>
        <v>0</v>
      </c>
      <c r="N404" s="146"/>
      <c r="O404" s="75">
        <f>O59</f>
        <v>0</v>
      </c>
      <c r="P404" s="146"/>
      <c r="Q404" s="75">
        <f>Q59</f>
        <v>0</v>
      </c>
      <c r="R404" s="146"/>
      <c r="S404" s="75">
        <f>S59</f>
        <v>0</v>
      </c>
      <c r="T404" s="146"/>
      <c r="U404" s="75">
        <f>U59</f>
        <v>0</v>
      </c>
      <c r="V404" s="146"/>
      <c r="W404" s="75">
        <f>W59</f>
        <v>0</v>
      </c>
      <c r="X404" s="146" t="str">
        <f t="shared" si="1193"/>
        <v>NA</v>
      </c>
      <c r="Y404" s="75">
        <f>Y59</f>
        <v>0</v>
      </c>
      <c r="Z404" s="146" t="str">
        <f t="shared" si="1194"/>
        <v>NA</v>
      </c>
      <c r="AA404" s="267">
        <f>AA59</f>
        <v>0</v>
      </c>
      <c r="AB404" s="146" t="str">
        <f t="shared" si="1195"/>
        <v>NA</v>
      </c>
      <c r="AC404" s="75">
        <f>AC59</f>
        <v>-5.0999999999999091</v>
      </c>
      <c r="AD404" s="146" t="str">
        <f t="shared" si="1196"/>
        <v>NA</v>
      </c>
      <c r="AE404" s="75">
        <f>AE59</f>
        <v>19.000000000000114</v>
      </c>
      <c r="AF404" s="146" t="str">
        <f t="shared" si="1197"/>
        <v>NA</v>
      </c>
      <c r="AG404" s="75">
        <f>AG59</f>
        <v>16.700000000000045</v>
      </c>
      <c r="AH404" s="146" t="str">
        <f t="shared" si="1198"/>
        <v>NA</v>
      </c>
      <c r="AI404" s="75">
        <f>AI59</f>
        <v>-88.600000000000136</v>
      </c>
      <c r="AJ404" s="146" t="str">
        <f t="shared" si="1199"/>
        <v>NA</v>
      </c>
      <c r="AK404" s="75">
        <f>AK59</f>
        <v>3.5000000000003411</v>
      </c>
      <c r="AL404" s="146" t="str">
        <f t="shared" si="1200"/>
        <v>NM</v>
      </c>
      <c r="AM404" s="75">
        <f>AM59</f>
        <v>20.099999999999795</v>
      </c>
      <c r="AN404" s="146">
        <f t="shared" ref="AN404:BD412" si="1260">IF(ISERROR((AM404/AE404-1)*100),"NA",IF(((AM404/AE404-1)*100)&gt;100,"NM",IF(((AM404/AE404-1)*100)&lt;-50,"NM",(AM404/AE404-1)*100)))</f>
        <v>5.7894736842088124</v>
      </c>
      <c r="AO404" s="75">
        <f>AO59</f>
        <v>31.199999999999932</v>
      </c>
      <c r="AP404" s="146">
        <f t="shared" si="1260"/>
        <v>86.826347305388296</v>
      </c>
      <c r="AQ404" s="75">
        <f>AQ59</f>
        <v>13.599999999999909</v>
      </c>
      <c r="AR404" s="146" t="str">
        <f t="shared" si="1260"/>
        <v>NM</v>
      </c>
      <c r="AS404" s="75">
        <f>AS59</f>
        <v>1.1999999999998181</v>
      </c>
      <c r="AT404" s="146" t="str">
        <f t="shared" si="1260"/>
        <v>NM</v>
      </c>
      <c r="AU404" s="75">
        <f>AU59</f>
        <v>10.399999999999864</v>
      </c>
      <c r="AV404" s="146">
        <f t="shared" si="1260"/>
        <v>-48.258706467661838</v>
      </c>
      <c r="AW404" s="75">
        <f>AW59</f>
        <v>16.400000000000091</v>
      </c>
      <c r="AX404" s="146">
        <f t="shared" si="1260"/>
        <v>-47.435897435897033</v>
      </c>
      <c r="AY404" s="75">
        <f>AY59</f>
        <v>23.100000000000023</v>
      </c>
      <c r="AZ404" s="146">
        <f t="shared" si="1260"/>
        <v>69.852941176471887</v>
      </c>
      <c r="BA404" s="75">
        <f>BA59</f>
        <v>29.700000000000045</v>
      </c>
      <c r="BB404" s="146" t="str">
        <f t="shared" si="1260"/>
        <v>NM</v>
      </c>
      <c r="BC404" s="75">
        <f>BC59</f>
        <v>51.899999999999977</v>
      </c>
      <c r="BD404" s="146" t="str">
        <f t="shared" si="1260"/>
        <v>NM</v>
      </c>
      <c r="BE404" s="75">
        <f>BE59</f>
        <v>51.499999999999886</v>
      </c>
      <c r="BF404" s="146" t="str">
        <f t="shared" ref="BF404:BF412" si="1261">IF(ISERROR((BE404/AW404-1)*100),"NA",IF(((BE404/AW404-1)*100)&gt;100,"NM",IF(((BE404/AW404-1)*100)&lt;-50,"NM",(BE404/AW404-1)*100)))</f>
        <v>NM</v>
      </c>
      <c r="BG404" s="75">
        <f>BG59</f>
        <v>52.200000000000045</v>
      </c>
      <c r="BH404" s="146" t="str">
        <f t="shared" ref="BH404:BH412" si="1262">IF(ISERROR((BG404/AY404-1)*100),"NA",IF(((BG404/AY404-1)*100)&gt;100,"NM",IF(((BG404/AY404-1)*100)&lt;-50,"NM",(BG404/AY404-1)*100)))</f>
        <v>NM</v>
      </c>
      <c r="BI404" s="75">
        <f>BI59</f>
        <v>40.100000000000023</v>
      </c>
      <c r="BJ404" s="146">
        <f t="shared" si="1201"/>
        <v>35.016835016834882</v>
      </c>
      <c r="BK404" s="75">
        <f>BK59</f>
        <v>50.999999999999886</v>
      </c>
      <c r="BL404" s="146">
        <f t="shared" si="1202"/>
        <v>-1.7341040462429458</v>
      </c>
      <c r="BM404" s="75">
        <f>BM59</f>
        <v>54.599999999999909</v>
      </c>
      <c r="BN404" s="146">
        <f t="shared" si="1203"/>
        <v>6.019417475728206</v>
      </c>
      <c r="BO404" s="75">
        <f>BO59</f>
        <v>59.700000000000159</v>
      </c>
      <c r="BP404" s="146">
        <f t="shared" si="1204"/>
        <v>14.367816091954232</v>
      </c>
      <c r="BQ404" s="75">
        <f>BQ59</f>
        <v>57.699999999999932</v>
      </c>
      <c r="BR404" s="81">
        <f t="shared" si="1205"/>
        <v>43.890274314214217</v>
      </c>
      <c r="BS404" s="75">
        <f>BS59</f>
        <v>68.300000000000068</v>
      </c>
      <c r="BT404" s="81">
        <f t="shared" si="1206"/>
        <v>33.921568627451414</v>
      </c>
      <c r="BU404" s="75">
        <f>BU59</f>
        <v>75</v>
      </c>
      <c r="BV404" s="81">
        <f t="shared" si="1207"/>
        <v>37.362637362637585</v>
      </c>
      <c r="BW404" s="75">
        <f>BW59</f>
        <v>72.599999999999909</v>
      </c>
      <c r="BX404" s="81">
        <f t="shared" si="1208"/>
        <v>21.608040201004552</v>
      </c>
      <c r="BY404" s="75">
        <f>BY59</f>
        <v>75.799999999999955</v>
      </c>
      <c r="BZ404" s="81">
        <f t="shared" si="1209"/>
        <v>31.369150779896081</v>
      </c>
      <c r="CA404" s="75">
        <f>CA59</f>
        <v>84.700000000000045</v>
      </c>
      <c r="CB404" s="81">
        <f t="shared" si="1210"/>
        <v>24.011713030746652</v>
      </c>
      <c r="CC404" s="75">
        <f>CC59</f>
        <v>78.5</v>
      </c>
      <c r="CD404" s="81">
        <f t="shared" si="1211"/>
        <v>4.6666666666666634</v>
      </c>
      <c r="CE404" s="75">
        <f>CE59</f>
        <v>78.200000000000045</v>
      </c>
      <c r="CF404" s="81">
        <f t="shared" si="1212"/>
        <v>7.7134986225897206</v>
      </c>
      <c r="CG404" s="75">
        <f>CG59</f>
        <v>73.800000000000068</v>
      </c>
      <c r="CH404" s="81">
        <f t="shared" si="1213"/>
        <v>-2.6385224274404817</v>
      </c>
      <c r="CI404" s="75">
        <f>CI59</f>
        <v>78.699999999999932</v>
      </c>
      <c r="CJ404" s="81">
        <f t="shared" si="1214"/>
        <v>-7.083825265643573</v>
      </c>
      <c r="CK404" s="75">
        <f>CK59</f>
        <v>72.700000000000045</v>
      </c>
      <c r="CL404" s="81">
        <f t="shared" si="1215"/>
        <v>-7.3885350318470771</v>
      </c>
      <c r="CM404" s="75">
        <f>CM59</f>
        <v>77.100000000000023</v>
      </c>
      <c r="CN404" s="81">
        <f t="shared" si="1216"/>
        <v>-1.4066496163683162</v>
      </c>
      <c r="CO404" s="75">
        <f>CO59</f>
        <v>74.700000000000045</v>
      </c>
      <c r="CP404" s="81">
        <f t="shared" si="1217"/>
        <v>1.2195121951219301</v>
      </c>
      <c r="CQ404" s="75">
        <f>CQ59</f>
        <v>70.399999999999977</v>
      </c>
      <c r="CR404" s="81">
        <f t="shared" si="1218"/>
        <v>-10.546378653113042</v>
      </c>
      <c r="CS404" s="75">
        <f>CS59</f>
        <v>74.5</v>
      </c>
      <c r="CT404" s="81">
        <f t="shared" si="1219"/>
        <v>2.475928473177369</v>
      </c>
      <c r="CU404" s="75">
        <f>CU59</f>
        <v>73.5</v>
      </c>
      <c r="CV404" s="81">
        <f t="shared" si="1220"/>
        <v>-4.6692607003891329</v>
      </c>
      <c r="CW404" s="104">
        <f>CW59</f>
        <v>73.199999999999932</v>
      </c>
      <c r="CX404" s="81">
        <f t="shared" si="1221"/>
        <v>-2.0080321285142033</v>
      </c>
      <c r="CY404" s="104">
        <f>CY59</f>
        <v>72</v>
      </c>
      <c r="CZ404" s="81">
        <f t="shared" si="1222"/>
        <v>2.2727272727273151</v>
      </c>
      <c r="DA404" s="104">
        <f>DA59</f>
        <v>77.899999999999977</v>
      </c>
      <c r="DB404" s="81">
        <f t="shared" si="1223"/>
        <v>4.5637583892617073</v>
      </c>
      <c r="DC404" s="104">
        <f>DC59</f>
        <v>68.600000000000023</v>
      </c>
      <c r="DD404" s="81">
        <f t="shared" si="1224"/>
        <v>-6.6666666666666323</v>
      </c>
      <c r="DE404" s="104">
        <f>DE59</f>
        <v>67.599999999999909</v>
      </c>
      <c r="DF404" s="81">
        <f t="shared" si="1225"/>
        <v>-7.6502732240437581</v>
      </c>
      <c r="DG404" s="104">
        <f>DG59</f>
        <v>72.699999999999932</v>
      </c>
      <c r="DH404" s="81">
        <f t="shared" si="1226"/>
        <v>0.97222222222212995</v>
      </c>
      <c r="DI404" s="104">
        <f>DI59</f>
        <v>68.600000000000023</v>
      </c>
      <c r="DJ404" s="81">
        <f t="shared" si="1227"/>
        <v>-11.938382541720093</v>
      </c>
      <c r="DK404" s="104">
        <f>DK59</f>
        <v>65.899999999999977</v>
      </c>
      <c r="DL404" s="81">
        <f t="shared" si="1228"/>
        <v>-3.9358600583091041</v>
      </c>
      <c r="DM404" s="104">
        <f>DM59</f>
        <v>74.300000000000068</v>
      </c>
      <c r="DN404" s="81">
        <f t="shared" si="1229"/>
        <v>9.9112426035505408</v>
      </c>
      <c r="DO404" s="104">
        <f>DO59</f>
        <v>61.200000000000045</v>
      </c>
      <c r="DP404" s="81">
        <f t="shared" si="1229"/>
        <v>-15.818431911966846</v>
      </c>
      <c r="DQ404" s="104">
        <f>DQ59</f>
        <v>70.800000000000068</v>
      </c>
      <c r="DR404" s="81">
        <f t="shared" si="1230"/>
        <v>3.2069970845481688</v>
      </c>
      <c r="DS404" s="104">
        <f>DS59</f>
        <v>66.100000000000023</v>
      </c>
      <c r="DT404" s="81">
        <f t="shared" si="1231"/>
        <v>0.30349013657062773</v>
      </c>
      <c r="DU404" s="104">
        <f>DU59</f>
        <v>70.399999999999864</v>
      </c>
      <c r="DV404" s="81">
        <f t="shared" si="1232"/>
        <v>-5.2489905787351248</v>
      </c>
      <c r="DW404" s="104">
        <f>DW59</f>
        <v>74.399999999999977</v>
      </c>
      <c r="DX404" s="81">
        <f t="shared" si="1233"/>
        <v>21.568627450980273</v>
      </c>
      <c r="DY404" s="104">
        <f>DY59</f>
        <v>85.400000000000091</v>
      </c>
      <c r="DZ404" s="81">
        <f t="shared" si="1234"/>
        <v>20.621468926553675</v>
      </c>
      <c r="EA404" s="104">
        <f>EA59</f>
        <v>89.499999999999886</v>
      </c>
      <c r="EB404" s="81">
        <f t="shared" si="1235"/>
        <v>35.400907715582242</v>
      </c>
      <c r="EC404" s="104">
        <f>EC59</f>
        <v>88.699999999999932</v>
      </c>
      <c r="ED404" s="81">
        <f t="shared" si="1236"/>
        <v>25.994318181818322</v>
      </c>
      <c r="EE404" s="104">
        <f>EE59</f>
        <v>92.400000000000091</v>
      </c>
      <c r="EF404" s="81">
        <f t="shared" si="1237"/>
        <v>24.193548387096932</v>
      </c>
      <c r="EG404" s="104">
        <f>EG59</f>
        <v>89.999999999999886</v>
      </c>
      <c r="EH404" s="81">
        <f t="shared" si="1238"/>
        <v>5.3864168618264596</v>
      </c>
      <c r="EI404" s="104">
        <f>EI59</f>
        <v>86.699999999999932</v>
      </c>
      <c r="EJ404" s="81">
        <f t="shared" si="1239"/>
        <v>-3.1284916201116841</v>
      </c>
      <c r="EK404" s="75">
        <f t="shared" ref="EK404:EQ404" si="1263">EK59</f>
        <v>89.938064861141925</v>
      </c>
      <c r="EL404" s="81">
        <f t="shared" si="1241"/>
        <v>1.3957890204532086</v>
      </c>
      <c r="EM404" s="75">
        <f t="shared" si="1263"/>
        <v>90.726812279734759</v>
      </c>
      <c r="EN404" s="81">
        <f t="shared" si="1242"/>
        <v>-1.8108092210663784</v>
      </c>
      <c r="EO404" s="75">
        <f t="shared" si="1263"/>
        <v>91.341679842858866</v>
      </c>
      <c r="EP404" s="81">
        <f t="shared" si="1243"/>
        <v>1.4907553809544227</v>
      </c>
      <c r="EQ404" s="75">
        <f t="shared" si="1263"/>
        <v>93.245098932349492</v>
      </c>
      <c r="ER404" s="81">
        <f t="shared" si="1244"/>
        <v>7.5491337166661676</v>
      </c>
      <c r="ES404" s="129"/>
      <c r="ET404" s="465"/>
      <c r="EU404" s="129"/>
      <c r="EV404" s="75"/>
      <c r="EW404" s="79"/>
      <c r="EX404" s="75"/>
      <c r="EY404" s="79"/>
      <c r="EZ404" s="75"/>
      <c r="FA404" s="79"/>
      <c r="FB404" s="75">
        <f>FB59</f>
        <v>0</v>
      </c>
      <c r="FC404" s="79" t="str">
        <f t="shared" si="1245"/>
        <v>NA</v>
      </c>
      <c r="FD404" s="75">
        <f>FD59</f>
        <v>289.900000000001</v>
      </c>
      <c r="FE404" s="79" t="str">
        <f t="shared" si="1246"/>
        <v>NA</v>
      </c>
      <c r="FF404" s="75">
        <f>FF59</f>
        <v>-869.99999999999955</v>
      </c>
      <c r="FG404" s="79" t="str">
        <f t="shared" si="1247"/>
        <v>NM</v>
      </c>
      <c r="FH404" s="75">
        <f>FH59</f>
        <v>-58</v>
      </c>
      <c r="FI404" s="79" t="str">
        <f t="shared" si="1248"/>
        <v>NM</v>
      </c>
      <c r="FJ404" s="75">
        <f>FJ59</f>
        <v>68.400000000000546</v>
      </c>
      <c r="FK404" s="79" t="str">
        <f t="shared" si="1249"/>
        <v>NM</v>
      </c>
      <c r="FL404" s="75">
        <f>FL59</f>
        <v>51.099999999999909</v>
      </c>
      <c r="FM404" s="79">
        <f t="shared" si="1250"/>
        <v>-25.292397660819443</v>
      </c>
      <c r="FN404" s="75">
        <f>FN59</f>
        <v>185.30000000000018</v>
      </c>
      <c r="FO404" s="79" t="str">
        <f t="shared" si="1251"/>
        <v>NM</v>
      </c>
      <c r="FP404" s="75">
        <f>FP59</f>
        <v>205.40000000000009</v>
      </c>
      <c r="FQ404" s="79">
        <f t="shared" si="1252"/>
        <v>10.847274689692332</v>
      </c>
      <c r="FR404" s="75">
        <f>FR59</f>
        <v>278.29999999999973</v>
      </c>
      <c r="FS404" s="79">
        <f t="shared" si="1253"/>
        <v>35.49172346640681</v>
      </c>
      <c r="FT404" s="75">
        <f>FT59</f>
        <v>317.19999999999936</v>
      </c>
      <c r="FU404" s="79">
        <f t="shared" si="1254"/>
        <v>13.977721882860106</v>
      </c>
      <c r="FV404" s="75">
        <f>FV59</f>
        <v>302.30000000000018</v>
      </c>
      <c r="FW404" s="79">
        <f t="shared" si="1255"/>
        <v>-4.6973518284991194</v>
      </c>
      <c r="FX404" s="75">
        <f>FX59</f>
        <v>291.79999999999973</v>
      </c>
      <c r="FY404" s="79">
        <f t="shared" si="1256"/>
        <v>-3.473370823685229</v>
      </c>
      <c r="FZ404" s="75">
        <f>FZ59</f>
        <v>291.69999999999982</v>
      </c>
      <c r="GA404" s="79">
        <f t="shared" si="1257"/>
        <v>-3.4270047978035567E-2</v>
      </c>
      <c r="GB404" s="75">
        <f>GB59</f>
        <v>274.80000000000018</v>
      </c>
      <c r="GC404" s="79">
        <f t="shared" si="1257"/>
        <v>-5.793623585875773</v>
      </c>
      <c r="GD404" s="75">
        <f>GD59</f>
        <v>272.40000000000009</v>
      </c>
      <c r="GE404" s="79">
        <f t="shared" si="1257"/>
        <v>-0.8733624454148825</v>
      </c>
      <c r="GF404" s="75">
        <f>GF59</f>
        <v>319.70000000000027</v>
      </c>
      <c r="GG404" s="79">
        <f t="shared" si="1257"/>
        <v>17.36417033773867</v>
      </c>
      <c r="GH404" s="75">
        <f>GH59</f>
        <v>357.79999999999973</v>
      </c>
      <c r="GI404" s="79">
        <f t="shared" si="1257"/>
        <v>11.91742258367201</v>
      </c>
      <c r="GJ404" s="75">
        <f>GJ59</f>
        <v>365.25165591608538</v>
      </c>
      <c r="GK404" s="79">
        <f t="shared" si="1257"/>
        <v>2.0826316143336188</v>
      </c>
      <c r="GL404" s="75">
        <f>GL59</f>
        <v>374.3973455964051</v>
      </c>
      <c r="GM404" s="79">
        <f t="shared" si="1257"/>
        <v>2.5039420170132942</v>
      </c>
      <c r="GN404" s="75">
        <f>GN59</f>
        <v>383.9427207232352</v>
      </c>
      <c r="GO404" s="79">
        <f t="shared" si="1257"/>
        <v>2.5495306628375181</v>
      </c>
      <c r="GP404" s="75">
        <f>GP59</f>
        <v>393.89341677023685</v>
      </c>
      <c r="GQ404" s="79">
        <f t="shared" si="1257"/>
        <v>2.5917136879838321</v>
      </c>
      <c r="GR404" s="75">
        <f>GR59</f>
        <v>404.25685154490748</v>
      </c>
      <c r="GS404" s="79">
        <f t="shared" si="1258"/>
        <v>2.6310251284843655</v>
      </c>
      <c r="GT404" s="79">
        <f t="shared" si="1259"/>
        <v>2.4715748100562429</v>
      </c>
      <c r="GU404" s="857"/>
    </row>
    <row r="405" spans="1:286" ht="12.75" customHeight="1" x14ac:dyDescent="0.2">
      <c r="A405" s="1"/>
      <c r="B405" s="10" t="s">
        <v>106</v>
      </c>
      <c r="C405" s="79"/>
      <c r="D405" s="79"/>
      <c r="E405" s="75">
        <f>E97</f>
        <v>0</v>
      </c>
      <c r="F405" s="75"/>
      <c r="G405" s="75">
        <f>G97</f>
        <v>0</v>
      </c>
      <c r="H405" s="75"/>
      <c r="I405" s="75">
        <f>I97</f>
        <v>0</v>
      </c>
      <c r="J405" s="75"/>
      <c r="K405" s="75">
        <f>K97</f>
        <v>0</v>
      </c>
      <c r="L405" s="146"/>
      <c r="M405" s="75">
        <f>M97</f>
        <v>0</v>
      </c>
      <c r="N405" s="146"/>
      <c r="O405" s="75">
        <f>O97</f>
        <v>0</v>
      </c>
      <c r="P405" s="146"/>
      <c r="Q405" s="75">
        <f>Q97</f>
        <v>0</v>
      </c>
      <c r="R405" s="146"/>
      <c r="S405" s="75">
        <f>S97</f>
        <v>0</v>
      </c>
      <c r="T405" s="146"/>
      <c r="U405" s="75">
        <f>U97</f>
        <v>0</v>
      </c>
      <c r="V405" s="146"/>
      <c r="W405" s="75">
        <f>W97</f>
        <v>0</v>
      </c>
      <c r="X405" s="146" t="str">
        <f t="shared" si="1193"/>
        <v>NA</v>
      </c>
      <c r="Y405" s="75">
        <f>Y97</f>
        <v>0</v>
      </c>
      <c r="Z405" s="146" t="str">
        <f t="shared" si="1194"/>
        <v>NA</v>
      </c>
      <c r="AA405" s="267">
        <f>AA97</f>
        <v>0</v>
      </c>
      <c r="AB405" s="146" t="str">
        <f t="shared" si="1195"/>
        <v>NA</v>
      </c>
      <c r="AC405" s="75">
        <f>AC97</f>
        <v>46.60000000000008</v>
      </c>
      <c r="AD405" s="146" t="str">
        <f t="shared" si="1196"/>
        <v>NA</v>
      </c>
      <c r="AE405" s="75">
        <f>AE97</f>
        <v>50.100000000000023</v>
      </c>
      <c r="AF405" s="146" t="str">
        <f t="shared" si="1197"/>
        <v>NA</v>
      </c>
      <c r="AG405" s="75">
        <f>AG97</f>
        <v>55.230000000000018</v>
      </c>
      <c r="AH405" s="146" t="str">
        <f t="shared" si="1198"/>
        <v>NA</v>
      </c>
      <c r="AI405" s="75">
        <f>AI97</f>
        <v>61.470000000000198</v>
      </c>
      <c r="AJ405" s="146" t="str">
        <f t="shared" si="1199"/>
        <v>NA</v>
      </c>
      <c r="AK405" s="75">
        <f>AK97</f>
        <v>55.500000000000057</v>
      </c>
      <c r="AL405" s="146">
        <f t="shared" si="1200"/>
        <v>19.09871244635184</v>
      </c>
      <c r="AM405" s="75">
        <f>AM97</f>
        <v>47.899999999999977</v>
      </c>
      <c r="AN405" s="146">
        <f t="shared" si="1260"/>
        <v>-4.3912175648703533</v>
      </c>
      <c r="AO405" s="75">
        <f>AO97</f>
        <v>41.899999999999977</v>
      </c>
      <c r="AP405" s="146">
        <f t="shared" si="1260"/>
        <v>-24.135433641137126</v>
      </c>
      <c r="AQ405" s="75">
        <f>AQ97</f>
        <v>43.500000000000057</v>
      </c>
      <c r="AR405" s="146">
        <f t="shared" si="1260"/>
        <v>-29.233772571986471</v>
      </c>
      <c r="AS405" s="75">
        <f>AS97</f>
        <v>43.899999999999977</v>
      </c>
      <c r="AT405" s="146">
        <f t="shared" si="1260"/>
        <v>-20.900900900901021</v>
      </c>
      <c r="AU405" s="75">
        <f>AU97</f>
        <v>44.799999999999955</v>
      </c>
      <c r="AV405" s="146">
        <f t="shared" si="1260"/>
        <v>-6.4718162839248912</v>
      </c>
      <c r="AW405" s="75">
        <f>AW97</f>
        <v>43</v>
      </c>
      <c r="AX405" s="146">
        <f t="shared" si="1260"/>
        <v>2.6252983293556742</v>
      </c>
      <c r="AY405" s="75">
        <f>AY97</f>
        <v>46.300000000000068</v>
      </c>
      <c r="AZ405" s="146">
        <f t="shared" si="1260"/>
        <v>6.43678160919543</v>
      </c>
      <c r="BA405" s="75">
        <f>BA97</f>
        <v>49.399999999999977</v>
      </c>
      <c r="BB405" s="146">
        <f t="shared" si="1260"/>
        <v>12.528473804100226</v>
      </c>
      <c r="BC405" s="75">
        <f>BC97</f>
        <v>51.500000000000057</v>
      </c>
      <c r="BD405" s="146">
        <f t="shared" si="1260"/>
        <v>14.955357142857384</v>
      </c>
      <c r="BE405" s="75">
        <f>BE97</f>
        <v>56.200000000000045</v>
      </c>
      <c r="BF405" s="146">
        <f t="shared" si="1261"/>
        <v>30.697674418604759</v>
      </c>
      <c r="BG405" s="75">
        <f>BG97</f>
        <v>64.099999999999966</v>
      </c>
      <c r="BH405" s="146">
        <f t="shared" si="1262"/>
        <v>38.444924406047235</v>
      </c>
      <c r="BI405" s="75">
        <f>BI97</f>
        <v>55.399999999999977</v>
      </c>
      <c r="BJ405" s="146">
        <f t="shared" si="1201"/>
        <v>12.145748987854255</v>
      </c>
      <c r="BK405" s="75">
        <f>BK97</f>
        <v>55.299999999999955</v>
      </c>
      <c r="BL405" s="146">
        <f t="shared" si="1202"/>
        <v>7.3786407766988305</v>
      </c>
      <c r="BM405" s="75">
        <f>BM97</f>
        <v>50.900000000000034</v>
      </c>
      <c r="BN405" s="146">
        <f t="shared" si="1203"/>
        <v>-9.4306049822064146</v>
      </c>
      <c r="BO405" s="75">
        <f>BO97</f>
        <v>50.300000000000011</v>
      </c>
      <c r="BP405" s="146">
        <f t="shared" si="1204"/>
        <v>-21.528861154446123</v>
      </c>
      <c r="BQ405" s="75">
        <f>BQ97</f>
        <v>48.300000000000011</v>
      </c>
      <c r="BR405" s="81">
        <f t="shared" si="1205"/>
        <v>-12.815884476534245</v>
      </c>
      <c r="BS405" s="75">
        <f>BS97</f>
        <v>48.700000000000102</v>
      </c>
      <c r="BT405" s="81">
        <f t="shared" si="1206"/>
        <v>-11.934900542495219</v>
      </c>
      <c r="BU405" s="75">
        <f>BU97</f>
        <v>49.999999999999943</v>
      </c>
      <c r="BV405" s="81">
        <f t="shared" si="1207"/>
        <v>-1.7681728880158953</v>
      </c>
      <c r="BW405" s="75">
        <f>BW97</f>
        <v>47.699999999999989</v>
      </c>
      <c r="BX405" s="81">
        <f t="shared" si="1208"/>
        <v>-5.1689860834990498</v>
      </c>
      <c r="BY405" s="75">
        <f>BY97</f>
        <v>50.500000000000057</v>
      </c>
      <c r="BZ405" s="81">
        <f t="shared" si="1209"/>
        <v>4.5548654244307318</v>
      </c>
      <c r="CA405" s="75">
        <f>CA97</f>
        <v>50.400000000000034</v>
      </c>
      <c r="CB405" s="81">
        <f t="shared" si="1210"/>
        <v>3.4907597535932755</v>
      </c>
      <c r="CC405" s="75">
        <f>CC97</f>
        <v>51.100000000000023</v>
      </c>
      <c r="CD405" s="81">
        <f t="shared" si="1211"/>
        <v>2.2000000000001574</v>
      </c>
      <c r="CE405" s="75">
        <f>CE97</f>
        <v>52.000000000000057</v>
      </c>
      <c r="CF405" s="81">
        <f t="shared" si="1212"/>
        <v>9.0146750524110466</v>
      </c>
      <c r="CG405" s="75">
        <f>CG97</f>
        <v>51.599999999999966</v>
      </c>
      <c r="CH405" s="81">
        <f t="shared" si="1213"/>
        <v>2.1782178217820025</v>
      </c>
      <c r="CI405" s="75">
        <f>CI97</f>
        <v>52</v>
      </c>
      <c r="CJ405" s="81">
        <f t="shared" si="1214"/>
        <v>3.1746031746030967</v>
      </c>
      <c r="CK405" s="75">
        <f>CK97</f>
        <v>52.300000000000011</v>
      </c>
      <c r="CL405" s="81">
        <f t="shared" si="1215"/>
        <v>2.348336594911915</v>
      </c>
      <c r="CM405" s="75">
        <f>CM97</f>
        <v>52.599999999999966</v>
      </c>
      <c r="CN405" s="81">
        <f t="shared" si="1216"/>
        <v>1.1538461538459721</v>
      </c>
      <c r="CO405" s="75">
        <f>CO97</f>
        <v>52.399999999999977</v>
      </c>
      <c r="CP405" s="81">
        <f t="shared" si="1217"/>
        <v>1.5503875968992498</v>
      </c>
      <c r="CQ405" s="75">
        <f>CQ97</f>
        <v>57.299999999999955</v>
      </c>
      <c r="CR405" s="81">
        <f t="shared" si="1218"/>
        <v>10.192307692307612</v>
      </c>
      <c r="CS405" s="75">
        <f>CS97</f>
        <v>56.100000000000023</v>
      </c>
      <c r="CT405" s="81">
        <f t="shared" si="1219"/>
        <v>7.2657743785851103</v>
      </c>
      <c r="CU405" s="75">
        <f>CU97</f>
        <v>55.100000000000023</v>
      </c>
      <c r="CV405" s="81">
        <f t="shared" si="1220"/>
        <v>4.7528517110267288</v>
      </c>
      <c r="CW405" s="104">
        <f>CW97</f>
        <v>57.000000000000057</v>
      </c>
      <c r="CX405" s="81">
        <f t="shared" si="1221"/>
        <v>8.7786259541986276</v>
      </c>
      <c r="CY405" s="104">
        <f>CY97</f>
        <v>56.099999999999966</v>
      </c>
      <c r="CZ405" s="81">
        <f t="shared" si="1222"/>
        <v>-2.0942408376963151</v>
      </c>
      <c r="DA405" s="104">
        <f>DA97</f>
        <v>57.700000000000045</v>
      </c>
      <c r="DB405" s="81">
        <f t="shared" si="1223"/>
        <v>2.8520499108734887</v>
      </c>
      <c r="DC405" s="104">
        <f>DC97</f>
        <v>61.79999999999999</v>
      </c>
      <c r="DD405" s="81">
        <f t="shared" si="1224"/>
        <v>12.159709618874714</v>
      </c>
      <c r="DE405" s="104">
        <f>DE97</f>
        <v>58.699999999999989</v>
      </c>
      <c r="DF405" s="81">
        <f t="shared" si="1225"/>
        <v>2.9824561403507532</v>
      </c>
      <c r="DG405" s="104">
        <f>DG97</f>
        <v>60.599999999999966</v>
      </c>
      <c r="DH405" s="81">
        <f t="shared" si="1226"/>
        <v>8.0213903743315598</v>
      </c>
      <c r="DI405" s="104">
        <f>DI97</f>
        <v>61.800000000000011</v>
      </c>
      <c r="DJ405" s="81">
        <f t="shared" si="1227"/>
        <v>7.1057192374349487</v>
      </c>
      <c r="DK405" s="104">
        <f>DK97</f>
        <v>59.300000000000011</v>
      </c>
      <c r="DL405" s="81">
        <f t="shared" si="1228"/>
        <v>-4.0453074433656644</v>
      </c>
      <c r="DM405" s="104">
        <f>DM97</f>
        <v>57.900000000000034</v>
      </c>
      <c r="DN405" s="81">
        <f t="shared" si="1229"/>
        <v>-1.3628620102213884</v>
      </c>
      <c r="DO405" s="104">
        <f>DO97</f>
        <v>52.500000000000057</v>
      </c>
      <c r="DP405" s="81">
        <f t="shared" si="1229"/>
        <v>-13.366336633663224</v>
      </c>
      <c r="DQ405" s="104">
        <f>DQ97</f>
        <v>60.199999999999989</v>
      </c>
      <c r="DR405" s="81">
        <f t="shared" si="1230"/>
        <v>-2.5889967637540812</v>
      </c>
      <c r="DS405" s="104">
        <f>DS97</f>
        <v>54.300000000000068</v>
      </c>
      <c r="DT405" s="81">
        <f t="shared" si="1231"/>
        <v>-8.4317032040471247</v>
      </c>
      <c r="DU405" s="104">
        <f>DU97</f>
        <v>55.400000000000034</v>
      </c>
      <c r="DV405" s="81">
        <f t="shared" si="1232"/>
        <v>-4.3177892918825567</v>
      </c>
      <c r="DW405" s="104">
        <f>DW97</f>
        <v>56.900000000000034</v>
      </c>
      <c r="DX405" s="81">
        <f t="shared" si="1233"/>
        <v>8.3809523809523334</v>
      </c>
      <c r="DY405" s="104">
        <f>DY97</f>
        <v>53.400000000000091</v>
      </c>
      <c r="DZ405" s="81">
        <f t="shared" si="1234"/>
        <v>-11.295681063122753</v>
      </c>
      <c r="EA405" s="104">
        <f>EA97</f>
        <v>56.099999999999966</v>
      </c>
      <c r="EB405" s="81">
        <f t="shared" si="1235"/>
        <v>3.3149171270716371</v>
      </c>
      <c r="EC405" s="104">
        <f>EC97</f>
        <v>56</v>
      </c>
      <c r="ED405" s="81">
        <f t="shared" si="1236"/>
        <v>1.083032490974678</v>
      </c>
      <c r="EE405" s="104">
        <f>EE97</f>
        <v>60.899999999999977</v>
      </c>
      <c r="EF405" s="81">
        <f t="shared" si="1237"/>
        <v>7.0298769771528047</v>
      </c>
      <c r="EG405" s="104">
        <f>EG97</f>
        <v>60.099999999999966</v>
      </c>
      <c r="EH405" s="81">
        <f t="shared" si="1238"/>
        <v>12.546816479400501</v>
      </c>
      <c r="EI405" s="104">
        <f>EI97</f>
        <v>57</v>
      </c>
      <c r="EJ405" s="81">
        <f t="shared" si="1239"/>
        <v>1.604278074866361</v>
      </c>
      <c r="EK405" s="75">
        <f t="shared" ref="EK405:EQ405" si="1264">EK97</f>
        <v>59.34967282740115</v>
      </c>
      <c r="EL405" s="81">
        <f t="shared" si="1241"/>
        <v>5.9815586203592064</v>
      </c>
      <c r="EM405" s="75">
        <f t="shared" si="1264"/>
        <v>59.445351055041499</v>
      </c>
      <c r="EN405" s="81">
        <f t="shared" si="1242"/>
        <v>-2.3885861165163891</v>
      </c>
      <c r="EO405" s="75">
        <f t="shared" si="1264"/>
        <v>60.879614772134801</v>
      </c>
      <c r="EP405" s="81">
        <f t="shared" si="1243"/>
        <v>1.2971959602908978</v>
      </c>
      <c r="EQ405" s="75">
        <f t="shared" si="1264"/>
        <v>61.023887542128818</v>
      </c>
      <c r="ER405" s="81">
        <f t="shared" si="1244"/>
        <v>7.0594518282961705</v>
      </c>
      <c r="ES405" s="129"/>
      <c r="ET405" s="465"/>
      <c r="EU405" s="129"/>
      <c r="EV405" s="75"/>
      <c r="EW405" s="79"/>
      <c r="EX405" s="75"/>
      <c r="EY405" s="79"/>
      <c r="EZ405" s="75"/>
      <c r="FA405" s="79"/>
      <c r="FB405" s="75">
        <f>FB97</f>
        <v>0</v>
      </c>
      <c r="FC405" s="79" t="str">
        <f t="shared" si="1245"/>
        <v>NA</v>
      </c>
      <c r="FD405" s="75">
        <f>FD97</f>
        <v>224.09999999999991</v>
      </c>
      <c r="FE405" s="79" t="str">
        <f t="shared" si="1246"/>
        <v>NA</v>
      </c>
      <c r="FF405" s="75">
        <f>FF97</f>
        <v>222.70000000000005</v>
      </c>
      <c r="FG405" s="79">
        <f t="shared" si="1247"/>
        <v>-0.62472110664876235</v>
      </c>
      <c r="FH405" s="75">
        <f>FH97</f>
        <v>213.40000000000032</v>
      </c>
      <c r="FI405" s="79">
        <f t="shared" si="1248"/>
        <v>-4.1760215536595036</v>
      </c>
      <c r="FJ405" s="75">
        <f>FJ97</f>
        <v>188.80000000000018</v>
      </c>
      <c r="FK405" s="79">
        <f t="shared" si="1249"/>
        <v>-11.527647610121882</v>
      </c>
      <c r="FL405" s="75">
        <f>FL97</f>
        <v>178.00000000000023</v>
      </c>
      <c r="FM405" s="79">
        <f t="shared" si="1250"/>
        <v>-5.7203389830508211</v>
      </c>
      <c r="FN405" s="75">
        <f>FN97</f>
        <v>221.20000000000027</v>
      </c>
      <c r="FO405" s="79">
        <f t="shared" si="1251"/>
        <v>24.269662921348313</v>
      </c>
      <c r="FP405" s="75">
        <f>FP97</f>
        <v>211.90000000000009</v>
      </c>
      <c r="FQ405" s="79">
        <f t="shared" si="1252"/>
        <v>-4.2043399638337142</v>
      </c>
      <c r="FR405" s="75">
        <f>FR97</f>
        <v>193.60000000000014</v>
      </c>
      <c r="FS405" s="79">
        <f t="shared" si="1253"/>
        <v>-8.6361491269466466</v>
      </c>
      <c r="FT405" s="75">
        <f>FT97</f>
        <v>204</v>
      </c>
      <c r="FU405" s="79">
        <f t="shared" si="1254"/>
        <v>5.3719008264462076</v>
      </c>
      <c r="FV405" s="75">
        <f>FV97</f>
        <v>208.50000000000023</v>
      </c>
      <c r="FW405" s="79">
        <f t="shared" si="1255"/>
        <v>2.2058823529412797</v>
      </c>
      <c r="FX405" s="75">
        <f>FX97</f>
        <v>219.40000000000009</v>
      </c>
      <c r="FY405" s="79">
        <f t="shared" si="1256"/>
        <v>5.227817745803276</v>
      </c>
      <c r="FZ405" s="75">
        <f>FZ97</f>
        <v>232.59999999999977</v>
      </c>
      <c r="GA405" s="79">
        <f t="shared" si="1257"/>
        <v>6.0164083865085205</v>
      </c>
      <c r="GB405" s="75">
        <f>GB97</f>
        <v>240.40000000000009</v>
      </c>
      <c r="GC405" s="79">
        <f t="shared" si="1257"/>
        <v>3.3533963886501761</v>
      </c>
      <c r="GD405" s="75">
        <f>GD97</f>
        <v>224.89999999999964</v>
      </c>
      <c r="GE405" s="79">
        <f t="shared" si="1257"/>
        <v>-6.4475873544095013</v>
      </c>
      <c r="GF405" s="75">
        <f>GF97</f>
        <v>221.80000000000041</v>
      </c>
      <c r="GG405" s="79">
        <f t="shared" si="1257"/>
        <v>-1.3783903957310994</v>
      </c>
      <c r="GH405" s="75">
        <f>GH97</f>
        <v>234.00000000000023</v>
      </c>
      <c r="GI405" s="79">
        <f t="shared" si="1257"/>
        <v>5.5004508566274923</v>
      </c>
      <c r="GJ405" s="75">
        <f>GJ97</f>
        <v>240.69852619670655</v>
      </c>
      <c r="GK405" s="79">
        <f t="shared" si="1257"/>
        <v>2.8626180327804729</v>
      </c>
      <c r="GL405" s="75">
        <f>GL97</f>
        <v>248.25402536248612</v>
      </c>
      <c r="GM405" s="79">
        <f t="shared" si="1257"/>
        <v>3.1389885451998945</v>
      </c>
      <c r="GN405" s="75">
        <f>GN97</f>
        <v>256.05993344784497</v>
      </c>
      <c r="GO405" s="79">
        <f t="shared" si="1257"/>
        <v>3.1443228660486433</v>
      </c>
      <c r="GP405" s="75">
        <f>GP97</f>
        <v>265.93371702713944</v>
      </c>
      <c r="GQ405" s="79">
        <f t="shared" si="1257"/>
        <v>3.8560439528137147</v>
      </c>
      <c r="GR405" s="75">
        <f>GR97</f>
        <v>274.31214129214072</v>
      </c>
      <c r="GS405" s="79">
        <f t="shared" si="1258"/>
        <v>3.1505686299064584</v>
      </c>
      <c r="GT405" s="79">
        <f t="shared" si="1259"/>
        <v>3.2299779496921976</v>
      </c>
      <c r="GU405" s="857"/>
    </row>
    <row r="406" spans="1:286" ht="12.75" customHeight="1" x14ac:dyDescent="0.2">
      <c r="A406" s="1"/>
      <c r="B406" s="10" t="s">
        <v>107</v>
      </c>
      <c r="C406" s="79"/>
      <c r="D406" s="79"/>
      <c r="E406" s="75">
        <f>E129</f>
        <v>0</v>
      </c>
      <c r="F406" s="75"/>
      <c r="G406" s="75">
        <f>G129</f>
        <v>0</v>
      </c>
      <c r="H406" s="75"/>
      <c r="I406" s="75">
        <f>I129</f>
        <v>0</v>
      </c>
      <c r="J406" s="75"/>
      <c r="K406" s="75">
        <f>K129</f>
        <v>0</v>
      </c>
      <c r="L406" s="146"/>
      <c r="M406" s="75">
        <f>M129</f>
        <v>0</v>
      </c>
      <c r="N406" s="146"/>
      <c r="O406" s="75">
        <f>O129</f>
        <v>0</v>
      </c>
      <c r="P406" s="146"/>
      <c r="Q406" s="75">
        <f>Q129</f>
        <v>0</v>
      </c>
      <c r="R406" s="146"/>
      <c r="S406" s="75">
        <f>S129</f>
        <v>0</v>
      </c>
      <c r="T406" s="146"/>
      <c r="U406" s="75">
        <f>U129</f>
        <v>0</v>
      </c>
      <c r="V406" s="146"/>
      <c r="W406" s="75">
        <f>W129</f>
        <v>0</v>
      </c>
      <c r="X406" s="146" t="str">
        <f t="shared" si="1193"/>
        <v>NA</v>
      </c>
      <c r="Y406" s="75">
        <f>Y129</f>
        <v>0</v>
      </c>
      <c r="Z406" s="146" t="str">
        <f t="shared" si="1194"/>
        <v>NA</v>
      </c>
      <c r="AA406" s="267">
        <f>AA129</f>
        <v>0</v>
      </c>
      <c r="AB406" s="146" t="str">
        <f t="shared" si="1195"/>
        <v>NA</v>
      </c>
      <c r="AC406" s="75">
        <f>AC129</f>
        <v>51.299999999999955</v>
      </c>
      <c r="AD406" s="146" t="str">
        <f t="shared" si="1196"/>
        <v>NA</v>
      </c>
      <c r="AE406" s="75">
        <f>AE129</f>
        <v>44.5</v>
      </c>
      <c r="AF406" s="146" t="str">
        <f t="shared" si="1197"/>
        <v>NA</v>
      </c>
      <c r="AG406" s="75">
        <f>AG129</f>
        <v>42.199999999999989</v>
      </c>
      <c r="AH406" s="146" t="str">
        <f t="shared" si="1198"/>
        <v>NA</v>
      </c>
      <c r="AI406" s="75">
        <f>AI129</f>
        <v>42.200000000000138</v>
      </c>
      <c r="AJ406" s="146" t="str">
        <f t="shared" si="1199"/>
        <v>NA</v>
      </c>
      <c r="AK406" s="75">
        <f>AK129</f>
        <v>41.500000000000057</v>
      </c>
      <c r="AL406" s="146">
        <f t="shared" si="1200"/>
        <v>-19.103313840155767</v>
      </c>
      <c r="AM406" s="75">
        <f>AM129</f>
        <v>43.399999999999977</v>
      </c>
      <c r="AN406" s="146">
        <f t="shared" si="1260"/>
        <v>-2.4719101123595988</v>
      </c>
      <c r="AO406" s="75">
        <f>AO129</f>
        <v>39.5</v>
      </c>
      <c r="AP406" s="146">
        <f t="shared" si="1260"/>
        <v>-6.3981042654028153</v>
      </c>
      <c r="AQ406" s="75">
        <f>AQ129</f>
        <v>46.800000000000011</v>
      </c>
      <c r="AR406" s="146">
        <f t="shared" si="1260"/>
        <v>10.900473933648946</v>
      </c>
      <c r="AS406" s="75">
        <f>AS129</f>
        <v>56.199999999999989</v>
      </c>
      <c r="AT406" s="146">
        <f t="shared" si="1260"/>
        <v>35.421686746987731</v>
      </c>
      <c r="AU406" s="75">
        <f>AU129</f>
        <v>49.299999999999898</v>
      </c>
      <c r="AV406" s="146">
        <f t="shared" si="1260"/>
        <v>13.594470046082762</v>
      </c>
      <c r="AW406" s="75">
        <f>AW129</f>
        <v>58.800000000000011</v>
      </c>
      <c r="AX406" s="146">
        <f t="shared" si="1260"/>
        <v>48.860759493670926</v>
      </c>
      <c r="AY406" s="75">
        <f>AY129</f>
        <v>54.500000000000057</v>
      </c>
      <c r="AZ406" s="146">
        <f t="shared" si="1260"/>
        <v>16.452991452991551</v>
      </c>
      <c r="BA406" s="75">
        <f>BA129</f>
        <v>57.799999999999955</v>
      </c>
      <c r="BB406" s="146">
        <f t="shared" si="1260"/>
        <v>2.846975088967918</v>
      </c>
      <c r="BC406" s="75">
        <f>BC129</f>
        <v>49.299999999999898</v>
      </c>
      <c r="BD406" s="146">
        <f t="shared" si="1260"/>
        <v>0</v>
      </c>
      <c r="BE406" s="75">
        <f>BE129</f>
        <v>50.099999999999909</v>
      </c>
      <c r="BF406" s="146">
        <f t="shared" si="1261"/>
        <v>-14.795918367347106</v>
      </c>
      <c r="BG406" s="75">
        <f>BG129</f>
        <v>57.10000000000008</v>
      </c>
      <c r="BH406" s="146">
        <f t="shared" si="1262"/>
        <v>4.770642201834896</v>
      </c>
      <c r="BI406" s="75">
        <f>BI129</f>
        <v>62.800000000000011</v>
      </c>
      <c r="BJ406" s="146">
        <f t="shared" si="1201"/>
        <v>8.6505190311419788</v>
      </c>
      <c r="BK406" s="75">
        <f>BK129</f>
        <v>70.299999999999898</v>
      </c>
      <c r="BL406" s="146">
        <f t="shared" si="1202"/>
        <v>42.59634888438142</v>
      </c>
      <c r="BM406" s="75">
        <f>BM129</f>
        <v>66.099999999999966</v>
      </c>
      <c r="BN406" s="146">
        <f t="shared" si="1203"/>
        <v>31.936127744511154</v>
      </c>
      <c r="BO406" s="75">
        <f>BO129</f>
        <v>72.599999999999966</v>
      </c>
      <c r="BP406" s="146">
        <f t="shared" si="1204"/>
        <v>27.145359019264205</v>
      </c>
      <c r="BQ406" s="75">
        <f>BQ129</f>
        <v>77.599999999999966</v>
      </c>
      <c r="BR406" s="81">
        <f t="shared" si="1205"/>
        <v>23.566878980891648</v>
      </c>
      <c r="BS406" s="75">
        <f>BS129</f>
        <v>74.299999999999955</v>
      </c>
      <c r="BT406" s="81">
        <f t="shared" si="1206"/>
        <v>5.6899004267426223</v>
      </c>
      <c r="BU406" s="75">
        <f>BU129</f>
        <v>72.099999999999909</v>
      </c>
      <c r="BV406" s="81">
        <f t="shared" si="1207"/>
        <v>9.0771558245082318</v>
      </c>
      <c r="BW406" s="75">
        <f>BW129</f>
        <v>82.699999999999932</v>
      </c>
      <c r="BX406" s="81">
        <f t="shared" si="1208"/>
        <v>13.911845730027505</v>
      </c>
      <c r="BY406" s="75">
        <f>BY129</f>
        <v>56.199999999999989</v>
      </c>
      <c r="BZ406" s="81">
        <f t="shared" si="1209"/>
        <v>-27.577319587628846</v>
      </c>
      <c r="CA406" s="75">
        <f>CA129</f>
        <v>65.699999999999989</v>
      </c>
      <c r="CB406" s="81">
        <f t="shared" si="1210"/>
        <v>-11.574697173620418</v>
      </c>
      <c r="CC406" s="75">
        <f>CC129</f>
        <v>61.400000000000006</v>
      </c>
      <c r="CD406" s="81">
        <f t="shared" si="1211"/>
        <v>-14.840499306518605</v>
      </c>
      <c r="CE406" s="75">
        <f>CE129</f>
        <v>64.800000000000011</v>
      </c>
      <c r="CF406" s="81">
        <f t="shared" si="1212"/>
        <v>-21.644498186215156</v>
      </c>
      <c r="CG406" s="75">
        <f>CG129</f>
        <v>69.300000000000011</v>
      </c>
      <c r="CH406" s="81">
        <f t="shared" si="1213"/>
        <v>23.309608540925318</v>
      </c>
      <c r="CI406" s="75">
        <f>CI129</f>
        <v>74.900000000000006</v>
      </c>
      <c r="CJ406" s="81">
        <f t="shared" si="1214"/>
        <v>14.003044140030463</v>
      </c>
      <c r="CK406" s="75">
        <f>CK129</f>
        <v>78.699999999999989</v>
      </c>
      <c r="CL406" s="81">
        <f t="shared" si="1215"/>
        <v>28.17589576547228</v>
      </c>
      <c r="CM406" s="75">
        <f>CM129</f>
        <v>77.699999999999989</v>
      </c>
      <c r="CN406" s="81">
        <f t="shared" si="1216"/>
        <v>19.907407407407373</v>
      </c>
      <c r="CO406" s="75">
        <f>CO129</f>
        <v>78.800000000000011</v>
      </c>
      <c r="CP406" s="81">
        <f t="shared" si="1217"/>
        <v>13.708513708513713</v>
      </c>
      <c r="CQ406" s="75">
        <f>CQ129</f>
        <v>85</v>
      </c>
      <c r="CR406" s="81">
        <f t="shared" si="1218"/>
        <v>13.484646194926553</v>
      </c>
      <c r="CS406" s="75">
        <f>CS129</f>
        <v>85.699999999999989</v>
      </c>
      <c r="CT406" s="81">
        <f t="shared" si="1219"/>
        <v>8.8945362134688732</v>
      </c>
      <c r="CU406" s="75">
        <f>CU129</f>
        <v>83.599999999999966</v>
      </c>
      <c r="CV406" s="81">
        <f t="shared" si="1220"/>
        <v>7.5933075933075633</v>
      </c>
      <c r="CW406" s="104">
        <f>CW129</f>
        <v>80.999999999999943</v>
      </c>
      <c r="CX406" s="81">
        <f t="shared" si="1221"/>
        <v>2.7918781725887465</v>
      </c>
      <c r="CY406" s="104">
        <f>CY129</f>
        <v>83</v>
      </c>
      <c r="CZ406" s="81">
        <f t="shared" si="1222"/>
        <v>-2.352941176470591</v>
      </c>
      <c r="DA406" s="104">
        <f>DA129</f>
        <v>81.299999999999955</v>
      </c>
      <c r="DB406" s="81">
        <f t="shared" si="1223"/>
        <v>-5.1341890315052874</v>
      </c>
      <c r="DC406" s="104">
        <f>DC129</f>
        <v>85.199999999999974</v>
      </c>
      <c r="DD406" s="81">
        <f t="shared" si="1224"/>
        <v>1.9138755980861344</v>
      </c>
      <c r="DE406" s="104">
        <f>DE129</f>
        <v>81.199999999999989</v>
      </c>
      <c r="DF406" s="81">
        <f t="shared" si="1225"/>
        <v>0.24691358024697685</v>
      </c>
      <c r="DG406" s="104">
        <f>DG129</f>
        <v>82.5</v>
      </c>
      <c r="DH406" s="81">
        <f t="shared" si="1226"/>
        <v>-0.60240963855421326</v>
      </c>
      <c r="DI406" s="104">
        <f>DI129</f>
        <v>81.699999999999989</v>
      </c>
      <c r="DJ406" s="81">
        <f t="shared" si="1227"/>
        <v>0.49200492004923824</v>
      </c>
      <c r="DK406" s="104">
        <f>DK129</f>
        <v>84.300000000000011</v>
      </c>
      <c r="DL406" s="81">
        <f t="shared" si="1228"/>
        <v>-1.0563380281689683</v>
      </c>
      <c r="DM406" s="104">
        <f>DM129</f>
        <v>82.100000000000023</v>
      </c>
      <c r="DN406" s="81">
        <f t="shared" si="1229"/>
        <v>1.108374384236499</v>
      </c>
      <c r="DO406" s="104">
        <f>DO129</f>
        <v>89.100000000000023</v>
      </c>
      <c r="DP406" s="81">
        <f t="shared" si="1229"/>
        <v>8.0000000000000284</v>
      </c>
      <c r="DQ406" s="104">
        <f>DQ129</f>
        <v>87.699999999999989</v>
      </c>
      <c r="DR406" s="81">
        <f t="shared" si="1230"/>
        <v>7.3439412484700206</v>
      </c>
      <c r="DS406" s="104">
        <f>DS129</f>
        <v>93.800000000000011</v>
      </c>
      <c r="DT406" s="81">
        <f t="shared" si="1231"/>
        <v>11.26927639383155</v>
      </c>
      <c r="DU406" s="104">
        <f>DU129</f>
        <v>90.10000000000008</v>
      </c>
      <c r="DV406" s="81">
        <f t="shared" si="1232"/>
        <v>9.7442143727162644</v>
      </c>
      <c r="DW406" s="104">
        <f>DW129</f>
        <v>95.899999999999977</v>
      </c>
      <c r="DX406" s="81">
        <f t="shared" si="1233"/>
        <v>7.6318742985409083</v>
      </c>
      <c r="DY406" s="104">
        <f>DY129</f>
        <v>92.199999999999989</v>
      </c>
      <c r="DZ406" s="81">
        <f t="shared" si="1234"/>
        <v>5.1311288483466333</v>
      </c>
      <c r="EA406" s="104">
        <f>EA129</f>
        <v>94.500000000000057</v>
      </c>
      <c r="EB406" s="81">
        <f t="shared" si="1235"/>
        <v>0.74626865671647558</v>
      </c>
      <c r="EC406" s="104">
        <f>EC129</f>
        <v>94.39999999999992</v>
      </c>
      <c r="ED406" s="81">
        <f t="shared" si="1236"/>
        <v>4.7724750277467587</v>
      </c>
      <c r="EE406" s="104">
        <f>EE129</f>
        <v>94.5</v>
      </c>
      <c r="EF406" s="81">
        <f t="shared" si="1237"/>
        <v>-1.4598540145985162</v>
      </c>
      <c r="EG406" s="104">
        <f>EG129</f>
        <v>108.30000000000001</v>
      </c>
      <c r="EH406" s="81">
        <f t="shared" si="1238"/>
        <v>17.462039045553169</v>
      </c>
      <c r="EI406" s="104">
        <f>EI129</f>
        <v>100.99999999999997</v>
      </c>
      <c r="EJ406" s="81">
        <f t="shared" si="1239"/>
        <v>6.8783068783067947</v>
      </c>
      <c r="EK406" s="75">
        <f t="shared" ref="EK406:EQ406" si="1265">EK129</f>
        <v>98.466221399999995</v>
      </c>
      <c r="EL406" s="81">
        <f t="shared" si="1241"/>
        <v>4.3074379237288962</v>
      </c>
      <c r="EM406" s="75">
        <f t="shared" si="1265"/>
        <v>99.751249385200083</v>
      </c>
      <c r="EN406" s="81">
        <f t="shared" si="1242"/>
        <v>5.5568776562963773</v>
      </c>
      <c r="EO406" s="75">
        <f t="shared" si="1265"/>
        <v>101.05460845413364</v>
      </c>
      <c r="EP406" s="81">
        <f t="shared" si="1243"/>
        <v>-6.6901122307168714</v>
      </c>
      <c r="EQ406" s="75">
        <f t="shared" si="1265"/>
        <v>101.94428273594559</v>
      </c>
      <c r="ER406" s="81">
        <f t="shared" si="1244"/>
        <v>0.93493340192636332</v>
      </c>
      <c r="ES406" s="129"/>
      <c r="ET406" s="465"/>
      <c r="EU406" s="129"/>
      <c r="EV406" s="75"/>
      <c r="EW406" s="79"/>
      <c r="EX406" s="75"/>
      <c r="EY406" s="79"/>
      <c r="EZ406" s="75"/>
      <c r="FA406" s="79"/>
      <c r="FB406" s="75">
        <f>FB129</f>
        <v>0</v>
      </c>
      <c r="FC406" s="79" t="str">
        <f t="shared" si="1245"/>
        <v>NA</v>
      </c>
      <c r="FD406" s="75">
        <f>FD129</f>
        <v>188.99999999999977</v>
      </c>
      <c r="FE406" s="79" t="str">
        <f t="shared" si="1246"/>
        <v>NA</v>
      </c>
      <c r="FF406" s="75">
        <f>FF129</f>
        <v>216.09999999999991</v>
      </c>
      <c r="FG406" s="79">
        <f t="shared" si="1247"/>
        <v>14.338624338624427</v>
      </c>
      <c r="FH406" s="75">
        <f>FH129</f>
        <v>180.09999999999991</v>
      </c>
      <c r="FI406" s="79">
        <f t="shared" si="1248"/>
        <v>-16.658954187875985</v>
      </c>
      <c r="FJ406" s="75">
        <f>FJ129</f>
        <v>171.20000000000005</v>
      </c>
      <c r="FK406" s="79">
        <f t="shared" si="1249"/>
        <v>-4.9416990560798846</v>
      </c>
      <c r="FL406" s="75">
        <f>FL129</f>
        <v>218.80000000000041</v>
      </c>
      <c r="FM406" s="79">
        <f t="shared" si="1250"/>
        <v>27.803738317757222</v>
      </c>
      <c r="FN406" s="75">
        <f>FN129</f>
        <v>214.29999999999973</v>
      </c>
      <c r="FO406" s="79">
        <f t="shared" si="1251"/>
        <v>-2.0566727605121904</v>
      </c>
      <c r="FP406" s="75">
        <f>FP129</f>
        <v>271.79999999999995</v>
      </c>
      <c r="FQ406" s="79">
        <f t="shared" si="1252"/>
        <v>26.831544563695896</v>
      </c>
      <c r="FR406" s="75">
        <f>FR129</f>
        <v>247.10000000000002</v>
      </c>
      <c r="FS406" s="79">
        <f t="shared" si="1253"/>
        <v>-9.0875643855776076</v>
      </c>
      <c r="FT406" s="75">
        <f>FT129</f>
        <v>248.10000000000014</v>
      </c>
      <c r="FU406" s="79">
        <f t="shared" si="1254"/>
        <v>0.40469445568600548</v>
      </c>
      <c r="FV406" s="75">
        <f>FV129</f>
        <v>300.59999999999991</v>
      </c>
      <c r="FW406" s="79">
        <f t="shared" si="1255"/>
        <v>21.160822249093016</v>
      </c>
      <c r="FX406" s="75">
        <f>FX129</f>
        <v>331.59999999999968</v>
      </c>
      <c r="FY406" s="79">
        <f t="shared" si="1256"/>
        <v>10.312707917498255</v>
      </c>
      <c r="FZ406" s="75">
        <f>FZ129</f>
        <v>330.50000000000028</v>
      </c>
      <c r="GA406" s="79">
        <f t="shared" si="1257"/>
        <v>-0.33172496984300581</v>
      </c>
      <c r="GB406" s="75">
        <f>GB129</f>
        <v>329.69999999999982</v>
      </c>
      <c r="GC406" s="79">
        <f t="shared" si="1257"/>
        <v>-0.24205748865369081</v>
      </c>
      <c r="GD406" s="75">
        <f>GD129</f>
        <v>352.70000000000027</v>
      </c>
      <c r="GE406" s="79">
        <f t="shared" si="1257"/>
        <v>6.9760388231727255</v>
      </c>
      <c r="GF406" s="75">
        <f>GF129</f>
        <v>372.70000000000005</v>
      </c>
      <c r="GG406" s="79">
        <f t="shared" si="1257"/>
        <v>5.6705415367166889</v>
      </c>
      <c r="GH406" s="75">
        <f>GH129</f>
        <v>398.19999999999993</v>
      </c>
      <c r="GI406" s="79">
        <f t="shared" si="1257"/>
        <v>6.8419640461496956</v>
      </c>
      <c r="GJ406" s="75">
        <f>GJ129</f>
        <v>401.21636197527914</v>
      </c>
      <c r="GK406" s="79">
        <f t="shared" si="1257"/>
        <v>0.75749924040160455</v>
      </c>
      <c r="GL406" s="75">
        <f>GL129</f>
        <v>416.22289684887323</v>
      </c>
      <c r="GM406" s="79">
        <f t="shared" si="1257"/>
        <v>3.7402599434662953</v>
      </c>
      <c r="GN406" s="75">
        <f>GN129</f>
        <v>431.82812996939197</v>
      </c>
      <c r="GO406" s="79">
        <f t="shared" si="1257"/>
        <v>3.7492490775164811</v>
      </c>
      <c r="GP406" s="75">
        <f>GP129</f>
        <v>448.05744739427882</v>
      </c>
      <c r="GQ406" s="79">
        <f t="shared" si="1257"/>
        <v>3.7582816631323235</v>
      </c>
      <c r="GR406" s="75">
        <f>GR129</f>
        <v>461.31059094722605</v>
      </c>
      <c r="GS406" s="79">
        <f t="shared" si="1258"/>
        <v>2.9579116762866287</v>
      </c>
      <c r="GT406" s="79">
        <f t="shared" si="1259"/>
        <v>2.9860577590697046</v>
      </c>
      <c r="GU406" s="857"/>
    </row>
    <row r="407" spans="1:286" ht="12.75" customHeight="1" x14ac:dyDescent="0.2">
      <c r="A407" s="1"/>
      <c r="B407" s="10" t="s">
        <v>108</v>
      </c>
      <c r="C407" s="79"/>
      <c r="D407" s="79"/>
      <c r="E407" s="75">
        <f>E209</f>
        <v>0</v>
      </c>
      <c r="F407" s="75"/>
      <c r="G407" s="75">
        <f>G209</f>
        <v>0</v>
      </c>
      <c r="H407" s="75"/>
      <c r="I407" s="75">
        <f>I209</f>
        <v>0</v>
      </c>
      <c r="J407" s="75"/>
      <c r="K407" s="75">
        <f>K209</f>
        <v>0</v>
      </c>
      <c r="L407" s="146"/>
      <c r="M407" s="75">
        <f>M209</f>
        <v>0</v>
      </c>
      <c r="N407" s="146"/>
      <c r="O407" s="75">
        <f>O209</f>
        <v>0</v>
      </c>
      <c r="P407" s="146"/>
      <c r="Q407" s="75">
        <f>Q209</f>
        <v>0</v>
      </c>
      <c r="R407" s="146"/>
      <c r="S407" s="75">
        <f>S209</f>
        <v>0</v>
      </c>
      <c r="T407" s="146"/>
      <c r="U407" s="75">
        <f>U209</f>
        <v>22.700000000000003</v>
      </c>
      <c r="V407" s="146" t="str">
        <f t="shared" ref="V407:V412" si="1266">IF(ISERROR((U407/M407-1)*100),"NA",IF(((U407/M407-1)*100)&gt;100,"NM",IF(((U407/M407-1)*100)&lt;-50,"NM",(U407/M407-1)*100)))</f>
        <v>NA</v>
      </c>
      <c r="W407" s="75">
        <f>W209</f>
        <v>29.600000000000009</v>
      </c>
      <c r="X407" s="146" t="str">
        <f t="shared" si="1193"/>
        <v>NA</v>
      </c>
      <c r="Y407" s="75">
        <f>Y209</f>
        <v>27.599999999999994</v>
      </c>
      <c r="Z407" s="146" t="str">
        <f t="shared" si="1194"/>
        <v>NA</v>
      </c>
      <c r="AA407" s="267">
        <f>AA209</f>
        <v>32.099999999999994</v>
      </c>
      <c r="AB407" s="146" t="str">
        <f t="shared" si="1195"/>
        <v>NA</v>
      </c>
      <c r="AC407" s="75">
        <f>AC209</f>
        <v>34.799999999999983</v>
      </c>
      <c r="AD407" s="146">
        <f t="shared" si="1196"/>
        <v>53.303964757709153</v>
      </c>
      <c r="AE407" s="75">
        <f>AE209</f>
        <v>31.700000000000017</v>
      </c>
      <c r="AF407" s="146">
        <f t="shared" si="1197"/>
        <v>7.0945945945946276</v>
      </c>
      <c r="AG407" s="75">
        <f>AG209</f>
        <v>38.099999999999966</v>
      </c>
      <c r="AH407" s="146">
        <f t="shared" si="1198"/>
        <v>38.04347826086947</v>
      </c>
      <c r="AI407" s="75">
        <f>AI209</f>
        <v>46.699999999999989</v>
      </c>
      <c r="AJ407" s="146">
        <f t="shared" si="1199"/>
        <v>45.48286604361369</v>
      </c>
      <c r="AK407" s="75">
        <f>AK209</f>
        <v>47.30000000000004</v>
      </c>
      <c r="AL407" s="146">
        <f t="shared" si="1200"/>
        <v>35.919540229885236</v>
      </c>
      <c r="AM407" s="75">
        <f>AM209</f>
        <v>41.299999999999983</v>
      </c>
      <c r="AN407" s="146">
        <f t="shared" si="1260"/>
        <v>30.283911671924169</v>
      </c>
      <c r="AO407" s="75">
        <f>AO209</f>
        <v>44.100000000000023</v>
      </c>
      <c r="AP407" s="146">
        <f t="shared" si="1260"/>
        <v>15.748031496063163</v>
      </c>
      <c r="AQ407" s="75">
        <f>AQ209</f>
        <v>49.299999999999955</v>
      </c>
      <c r="AR407" s="146">
        <f t="shared" si="1260"/>
        <v>5.5674518201284107</v>
      </c>
      <c r="AS407" s="75">
        <f>AS209</f>
        <v>54.400000000000006</v>
      </c>
      <c r="AT407" s="146">
        <f t="shared" si="1260"/>
        <v>15.010570824524239</v>
      </c>
      <c r="AU407" s="75">
        <f>AU209</f>
        <v>56.100000000000023</v>
      </c>
      <c r="AV407" s="146">
        <f t="shared" si="1260"/>
        <v>35.835351089588485</v>
      </c>
      <c r="AW407" s="75">
        <f>AW209</f>
        <v>65.5</v>
      </c>
      <c r="AX407" s="146">
        <f t="shared" si="1260"/>
        <v>48.526077097505585</v>
      </c>
      <c r="AY407" s="75">
        <f>AY209</f>
        <v>70.799999999999983</v>
      </c>
      <c r="AZ407" s="146">
        <f t="shared" si="1260"/>
        <v>43.610547667342892</v>
      </c>
      <c r="BA407" s="75">
        <f>BA209</f>
        <v>72.400000000000006</v>
      </c>
      <c r="BB407" s="146">
        <f t="shared" si="1260"/>
        <v>33.088235294117638</v>
      </c>
      <c r="BC407" s="75">
        <f>BC209</f>
        <v>74.100000000000023</v>
      </c>
      <c r="BD407" s="146">
        <f t="shared" si="1260"/>
        <v>32.085561497326196</v>
      </c>
      <c r="BE407" s="75">
        <f>BE209</f>
        <v>97.600000000000023</v>
      </c>
      <c r="BF407" s="146">
        <f t="shared" si="1261"/>
        <v>49.007633587786302</v>
      </c>
      <c r="BG407" s="75">
        <f>BG209</f>
        <v>80.699999999999989</v>
      </c>
      <c r="BH407" s="146">
        <f t="shared" si="1262"/>
        <v>13.983050847457633</v>
      </c>
      <c r="BI407" s="75">
        <f>BI209</f>
        <v>84.300000000000011</v>
      </c>
      <c r="BJ407" s="146">
        <f t="shared" si="1201"/>
        <v>16.436464088397805</v>
      </c>
      <c r="BK407" s="75">
        <f>BK209</f>
        <v>86.599999999999966</v>
      </c>
      <c r="BL407" s="146">
        <f t="shared" si="1202"/>
        <v>16.869095816464164</v>
      </c>
      <c r="BM407" s="75">
        <f>BM209</f>
        <v>82.1</v>
      </c>
      <c r="BN407" s="146">
        <f t="shared" si="1203"/>
        <v>-15.881147540983632</v>
      </c>
      <c r="BO407" s="75">
        <f>BO209</f>
        <v>54.600000000000023</v>
      </c>
      <c r="BP407" s="146">
        <f t="shared" si="1204"/>
        <v>-32.3420074349442</v>
      </c>
      <c r="BQ407" s="75">
        <f>BQ209</f>
        <v>62.300000000000011</v>
      </c>
      <c r="BR407" s="81">
        <f t="shared" si="1205"/>
        <v>-26.097271648873065</v>
      </c>
      <c r="BS407" s="75">
        <f>BS209</f>
        <v>67.300000000000011</v>
      </c>
      <c r="BT407" s="81">
        <f t="shared" si="1206"/>
        <v>-22.286374133949149</v>
      </c>
      <c r="BU407" s="75">
        <f>BU209</f>
        <v>58.699999999999989</v>
      </c>
      <c r="BV407" s="81">
        <f t="shared" si="1207"/>
        <v>-28.501827040194893</v>
      </c>
      <c r="BW407" s="75">
        <f>BW209</f>
        <v>61.299999999999983</v>
      </c>
      <c r="BX407" s="81">
        <f t="shared" si="1208"/>
        <v>12.271062271062183</v>
      </c>
      <c r="BY407" s="75">
        <f>BY209</f>
        <v>60.600000000000023</v>
      </c>
      <c r="BZ407" s="81">
        <f t="shared" si="1209"/>
        <v>-2.728731942215068</v>
      </c>
      <c r="CA407" s="75">
        <f>CA209</f>
        <v>52.799999999999983</v>
      </c>
      <c r="CB407" s="81">
        <f t="shared" si="1210"/>
        <v>-21.545319465081757</v>
      </c>
      <c r="CC407" s="75">
        <f>CC209</f>
        <v>47.800000000000011</v>
      </c>
      <c r="CD407" s="81">
        <f t="shared" si="1211"/>
        <v>-18.568994889267433</v>
      </c>
      <c r="CE407" s="75">
        <f>CE209</f>
        <v>47.800000000000011</v>
      </c>
      <c r="CF407" s="81">
        <f t="shared" si="1212"/>
        <v>-22.022838499184296</v>
      </c>
      <c r="CG407" s="75">
        <f>CG209</f>
        <v>48.900000000000006</v>
      </c>
      <c r="CH407" s="81">
        <f t="shared" si="1213"/>
        <v>-19.306930693069326</v>
      </c>
      <c r="CI407" s="75">
        <f>CI209</f>
        <v>55.200000000000017</v>
      </c>
      <c r="CJ407" s="81">
        <f t="shared" si="1214"/>
        <v>4.545454545454608</v>
      </c>
      <c r="CK407" s="75">
        <f>CK209</f>
        <v>34.699999999999989</v>
      </c>
      <c r="CL407" s="81">
        <f t="shared" si="1215"/>
        <v>-27.405857740585816</v>
      </c>
      <c r="CM407" s="75">
        <f>CM209</f>
        <v>51.900000000000006</v>
      </c>
      <c r="CN407" s="81">
        <f t="shared" si="1216"/>
        <v>8.5774058577405619</v>
      </c>
      <c r="CO407" s="75">
        <f>CO209</f>
        <v>38.799999999999983</v>
      </c>
      <c r="CP407" s="81">
        <f t="shared" si="1217"/>
        <v>-20.654396728016401</v>
      </c>
      <c r="CQ407" s="75">
        <f>CQ209</f>
        <v>29.999999999999972</v>
      </c>
      <c r="CR407" s="81">
        <f t="shared" si="1218"/>
        <v>-45.652173913043548</v>
      </c>
      <c r="CS407" s="75">
        <f>CS209</f>
        <v>27.5</v>
      </c>
      <c r="CT407" s="81">
        <f t="shared" si="1219"/>
        <v>-20.749279538904876</v>
      </c>
      <c r="CU407" s="75">
        <f>CU209</f>
        <v>35</v>
      </c>
      <c r="CV407" s="81">
        <f t="shared" si="1220"/>
        <v>-32.562620423892106</v>
      </c>
      <c r="CW407" s="104">
        <f>CW209</f>
        <v>31.300000000000011</v>
      </c>
      <c r="CX407" s="81">
        <f t="shared" si="1221"/>
        <v>-19.329896907216426</v>
      </c>
      <c r="CY407" s="104">
        <f>CY209</f>
        <v>33.5</v>
      </c>
      <c r="CZ407" s="81">
        <f t="shared" si="1222"/>
        <v>11.666666666666782</v>
      </c>
      <c r="DA407" s="104">
        <f>DA209</f>
        <v>31.300000000000011</v>
      </c>
      <c r="DB407" s="81">
        <f t="shared" si="1223"/>
        <v>13.818181818181863</v>
      </c>
      <c r="DC407" s="104">
        <f>DC209</f>
        <v>35.900000000000006</v>
      </c>
      <c r="DD407" s="81">
        <f t="shared" si="1224"/>
        <v>2.5714285714285801</v>
      </c>
      <c r="DE407" s="104">
        <f>DE209</f>
        <v>36.499999999999972</v>
      </c>
      <c r="DF407" s="81">
        <f t="shared" si="1225"/>
        <v>16.613418530351296</v>
      </c>
      <c r="DG407" s="104">
        <f>DG209</f>
        <v>39.599999999999994</v>
      </c>
      <c r="DH407" s="81">
        <f t="shared" si="1226"/>
        <v>18.208955223880572</v>
      </c>
      <c r="DI407" s="104">
        <f>DI209</f>
        <v>33.5</v>
      </c>
      <c r="DJ407" s="81">
        <f t="shared" si="1227"/>
        <v>7.0287539936101817</v>
      </c>
      <c r="DK407" s="104">
        <f>DK209</f>
        <v>38.200000000000017</v>
      </c>
      <c r="DL407" s="81">
        <f t="shared" si="1228"/>
        <v>6.4066852367688387</v>
      </c>
      <c r="DM407" s="104">
        <f>DM209</f>
        <v>32.599999999999994</v>
      </c>
      <c r="DN407" s="81">
        <f t="shared" si="1229"/>
        <v>-10.68493150684926</v>
      </c>
      <c r="DO407" s="104">
        <f>DO209</f>
        <v>38.299999999999983</v>
      </c>
      <c r="DP407" s="81">
        <f t="shared" si="1229"/>
        <v>-3.2828282828283095</v>
      </c>
      <c r="DQ407" s="104">
        <f>DQ209</f>
        <v>32.700000000000017</v>
      </c>
      <c r="DR407" s="81">
        <f t="shared" si="1230"/>
        <v>-2.3880597014924843</v>
      </c>
      <c r="DS407" s="104">
        <f>DS209</f>
        <v>37</v>
      </c>
      <c r="DT407" s="81">
        <f t="shared" si="1231"/>
        <v>-3.1413612565445503</v>
      </c>
      <c r="DU407" s="104">
        <f>DU209</f>
        <v>33.600000000000023</v>
      </c>
      <c r="DV407" s="81">
        <f t="shared" si="1232"/>
        <v>3.0674846625767804</v>
      </c>
      <c r="DW407" s="104">
        <f>DW209</f>
        <v>36.900000000000006</v>
      </c>
      <c r="DX407" s="81">
        <f t="shared" si="1233"/>
        <v>-3.6553524804176951</v>
      </c>
      <c r="DY407" s="104">
        <f>DY209</f>
        <v>28.200000000000017</v>
      </c>
      <c r="DZ407" s="81">
        <f t="shared" si="1234"/>
        <v>-13.761467889908252</v>
      </c>
      <c r="EA407" s="104">
        <f>EA209</f>
        <v>29.90000000000002</v>
      </c>
      <c r="EB407" s="81">
        <f t="shared" si="1235"/>
        <v>-19.189189189189136</v>
      </c>
      <c r="EC407" s="104">
        <f>EC209</f>
        <v>26.599999999999994</v>
      </c>
      <c r="ED407" s="81">
        <f t="shared" si="1236"/>
        <v>-20.833333333333403</v>
      </c>
      <c r="EE407" s="104">
        <f>EE209</f>
        <v>28.900000000000006</v>
      </c>
      <c r="EF407" s="81">
        <f t="shared" si="1237"/>
        <v>-21.680216802168019</v>
      </c>
      <c r="EG407" s="104">
        <f>EG209</f>
        <v>25.899999999999977</v>
      </c>
      <c r="EH407" s="81">
        <f t="shared" si="1238"/>
        <v>-8.1560283687944661</v>
      </c>
      <c r="EI407" s="104">
        <f>EI209</f>
        <v>29.700000000000017</v>
      </c>
      <c r="EJ407" s="81">
        <f t="shared" si="1239"/>
        <v>-0.66889632107024477</v>
      </c>
      <c r="EK407" s="75">
        <f t="shared" ref="EK407:EQ407" si="1267">EK209</f>
        <v>30.230456366771932</v>
      </c>
      <c r="EL407" s="81">
        <f t="shared" si="1241"/>
        <v>13.648332205909552</v>
      </c>
      <c r="EM407" s="75">
        <f t="shared" si="1267"/>
        <v>30.389841129286168</v>
      </c>
      <c r="EN407" s="81">
        <f t="shared" si="1242"/>
        <v>5.1551596169071345</v>
      </c>
      <c r="EO407" s="75">
        <f t="shared" si="1267"/>
        <v>30.005496626384883</v>
      </c>
      <c r="EP407" s="81">
        <f t="shared" si="1243"/>
        <v>15.851338325810449</v>
      </c>
      <c r="EQ407" s="75">
        <f t="shared" si="1267"/>
        <v>29.255547131776524</v>
      </c>
      <c r="ER407" s="81">
        <f t="shared" si="1244"/>
        <v>-1.4964743037828021</v>
      </c>
      <c r="ES407" s="129"/>
      <c r="ET407" s="465"/>
      <c r="EU407" s="129"/>
      <c r="EV407" s="75"/>
      <c r="EW407" s="79"/>
      <c r="EX407" s="75"/>
      <c r="EY407" s="79"/>
      <c r="EZ407" s="75"/>
      <c r="FA407" s="79"/>
      <c r="FB407" s="75">
        <f>FB209</f>
        <v>0</v>
      </c>
      <c r="FC407" s="79" t="str">
        <f t="shared" si="1245"/>
        <v>NA</v>
      </c>
      <c r="FD407" s="75">
        <f>FD209</f>
        <v>69.5</v>
      </c>
      <c r="FE407" s="79" t="str">
        <f t="shared" si="1246"/>
        <v>NA</v>
      </c>
      <c r="FF407" s="75">
        <f>FF209</f>
        <v>112</v>
      </c>
      <c r="FG407" s="79">
        <f t="shared" si="1247"/>
        <v>61.151079136690647</v>
      </c>
      <c r="FH407" s="75">
        <f>FH209</f>
        <v>151.29999999999995</v>
      </c>
      <c r="FI407" s="79">
        <f t="shared" si="1248"/>
        <v>35.089285714285666</v>
      </c>
      <c r="FJ407" s="75">
        <f>FJ209</f>
        <v>182.00000000000011</v>
      </c>
      <c r="FK407" s="79">
        <f t="shared" si="1249"/>
        <v>20.290812954395342</v>
      </c>
      <c r="FL407" s="75">
        <f>FL209</f>
        <v>246.79999999999995</v>
      </c>
      <c r="FM407" s="79">
        <f t="shared" si="1250"/>
        <v>35.604395604395499</v>
      </c>
      <c r="FN407" s="75">
        <f>FN209</f>
        <v>324.79999999999995</v>
      </c>
      <c r="FO407" s="79">
        <f t="shared" si="1251"/>
        <v>31.604538087520261</v>
      </c>
      <c r="FP407" s="75">
        <f>FP209</f>
        <v>307.5999999999998</v>
      </c>
      <c r="FQ407" s="79">
        <f t="shared" si="1252"/>
        <v>-5.2955665024631005</v>
      </c>
      <c r="FR407" s="75">
        <f>FR209</f>
        <v>251.99999999999989</v>
      </c>
      <c r="FS407" s="79">
        <f t="shared" si="1253"/>
        <v>-18.075422626788018</v>
      </c>
      <c r="FT407" s="75">
        <f>FT209</f>
        <v>209</v>
      </c>
      <c r="FU407" s="79">
        <f t="shared" si="1254"/>
        <v>-17.063492063492024</v>
      </c>
      <c r="FV407" s="75">
        <f>FV209</f>
        <v>190.70000000000005</v>
      </c>
      <c r="FW407" s="79">
        <f t="shared" si="1255"/>
        <v>-8.7559808612439944</v>
      </c>
      <c r="FX407" s="75">
        <f>FX209</f>
        <v>131.29999999999984</v>
      </c>
      <c r="FY407" s="79">
        <f t="shared" si="1256"/>
        <v>-31.148400629260721</v>
      </c>
      <c r="FZ407" s="75">
        <f>FZ209</f>
        <v>132</v>
      </c>
      <c r="GA407" s="79">
        <f t="shared" si="1257"/>
        <v>0.53313023610066512</v>
      </c>
      <c r="GB407" s="75">
        <f>GB209</f>
        <v>147.79999999999995</v>
      </c>
      <c r="GC407" s="79">
        <f t="shared" si="1257"/>
        <v>11.96969696969694</v>
      </c>
      <c r="GD407" s="75">
        <f>GD209</f>
        <v>140.59999999999991</v>
      </c>
      <c r="GE407" s="79">
        <f t="shared" si="1257"/>
        <v>-4.8714479025710684</v>
      </c>
      <c r="GF407" s="75">
        <f>GF209</f>
        <v>128.60000000000002</v>
      </c>
      <c r="GG407" s="79">
        <f t="shared" si="1257"/>
        <v>-8.5348506401137225</v>
      </c>
      <c r="GH407" s="75">
        <f>GH209</f>
        <v>111.09999999999991</v>
      </c>
      <c r="GI407" s="79">
        <f t="shared" si="1257"/>
        <v>-13.60808709175747</v>
      </c>
      <c r="GJ407" s="75">
        <f>GJ209</f>
        <v>119.88134125421936</v>
      </c>
      <c r="GK407" s="79">
        <f t="shared" si="1257"/>
        <v>7.9039975285503772</v>
      </c>
      <c r="GL407" s="75">
        <f>GL209</f>
        <v>125.35277280935134</v>
      </c>
      <c r="GM407" s="79">
        <f t="shared" si="1257"/>
        <v>4.564039322457436</v>
      </c>
      <c r="GN407" s="75">
        <f>GN209</f>
        <v>131.06646622074265</v>
      </c>
      <c r="GO407" s="79">
        <f t="shared" si="1257"/>
        <v>4.5580909646739665</v>
      </c>
      <c r="GP407" s="75">
        <f>GP209</f>
        <v>137.03304814640614</v>
      </c>
      <c r="GQ407" s="79">
        <f t="shared" si="1257"/>
        <v>4.5523329480895214</v>
      </c>
      <c r="GR407" s="75">
        <f>GR209</f>
        <v>142.60543312586753</v>
      </c>
      <c r="GS407" s="79">
        <f t="shared" si="1258"/>
        <v>4.0664533518278478</v>
      </c>
      <c r="GT407" s="79">
        <f t="shared" si="1259"/>
        <v>5.119770151790215</v>
      </c>
      <c r="GU407" s="857"/>
    </row>
    <row r="408" spans="1:286" ht="12.75" customHeight="1" x14ac:dyDescent="0.2">
      <c r="A408" s="1"/>
      <c r="B408" s="10" t="s">
        <v>134</v>
      </c>
      <c r="C408" s="79"/>
      <c r="D408" s="79"/>
      <c r="E408" s="75">
        <f>E243</f>
        <v>31.699999999999989</v>
      </c>
      <c r="F408" s="75"/>
      <c r="G408" s="75">
        <f>G243</f>
        <v>35.099999999999994</v>
      </c>
      <c r="H408" s="75"/>
      <c r="I408" s="75">
        <f>I243</f>
        <v>34.500000000000028</v>
      </c>
      <c r="J408" s="75"/>
      <c r="K408" s="75">
        <f>K243</f>
        <v>36.699999999999989</v>
      </c>
      <c r="L408" s="146"/>
      <c r="M408" s="75">
        <f>M243</f>
        <v>33</v>
      </c>
      <c r="N408" s="146">
        <f>IF(ISERROR((M408/E408-1)*100),"NA",IF(((M408/E408-1)*100)&gt;100,"NM",IF(((M408/E408-1)*100)&lt;-50,"NM",(M408/E408-1)*100)))</f>
        <v>4.1009463722397888</v>
      </c>
      <c r="O408" s="75">
        <f>O243</f>
        <v>33.900000000000006</v>
      </c>
      <c r="P408" s="146">
        <f>IF(ISERROR((O408/G408-1)*100),"NA",IF(((O408/G408-1)*100)&gt;100,"NM",IF(((O408/G408-1)*100)&lt;-50,"NM",(O408/G408-1)*100)))</f>
        <v>-3.4188034188033845</v>
      </c>
      <c r="Q408" s="75">
        <f>Q243</f>
        <v>34.400000000000006</v>
      </c>
      <c r="R408" s="146">
        <f>IF(ISERROR((Q408/I408-1)*100),"NA",IF(((Q408/I408-1)*100)&gt;100,"NM",IF(((Q408/I408-1)*100)&lt;-50,"NM",(Q408/I408-1)*100)))</f>
        <v>-0.28985507246382936</v>
      </c>
      <c r="S408" s="75">
        <f>S243</f>
        <v>36.200000000000017</v>
      </c>
      <c r="T408" s="146">
        <f>IF(ISERROR((S408/K408-1)*100),"NA",IF(((S408/K408-1)*100)&gt;100,"NM",IF(((S408/K408-1)*100)&lt;-50,"NM",(S408/K408-1)*100)))</f>
        <v>-1.3623978201634079</v>
      </c>
      <c r="U408" s="75">
        <f>U243</f>
        <v>35.19999999999996</v>
      </c>
      <c r="V408" s="146">
        <f t="shared" si="1266"/>
        <v>6.6666666666665542</v>
      </c>
      <c r="W408" s="75">
        <f>W243</f>
        <v>35.399999999999977</v>
      </c>
      <c r="X408" s="146">
        <f t="shared" si="1193"/>
        <v>4.424778761061865</v>
      </c>
      <c r="Y408" s="75">
        <f>Y243</f>
        <v>38.5</v>
      </c>
      <c r="Z408" s="146">
        <f t="shared" si="1194"/>
        <v>11.918604651162767</v>
      </c>
      <c r="AA408" s="267">
        <f>AA243</f>
        <v>37.599999999999994</v>
      </c>
      <c r="AB408" s="146">
        <f t="shared" si="1195"/>
        <v>3.8674033149170617</v>
      </c>
      <c r="AC408" s="75">
        <f>AC243</f>
        <v>36.599999999999966</v>
      </c>
      <c r="AD408" s="146">
        <f t="shared" si="1196"/>
        <v>3.9772727272727515</v>
      </c>
      <c r="AE408" s="75">
        <f>AE243</f>
        <v>39.400000000000006</v>
      </c>
      <c r="AF408" s="146">
        <f t="shared" si="1197"/>
        <v>11.299435028248684</v>
      </c>
      <c r="AG408" s="75">
        <f>AG243</f>
        <v>39.599999999999994</v>
      </c>
      <c r="AH408" s="146">
        <f t="shared" si="1198"/>
        <v>2.857142857142847</v>
      </c>
      <c r="AI408" s="75">
        <f>AI243</f>
        <v>40</v>
      </c>
      <c r="AJ408" s="146">
        <f t="shared" si="1199"/>
        <v>6.3829787234042756</v>
      </c>
      <c r="AK408" s="75">
        <f>AK243</f>
        <v>43.800000000000011</v>
      </c>
      <c r="AL408" s="146">
        <f t="shared" si="1200"/>
        <v>19.672131147541116</v>
      </c>
      <c r="AM408" s="75">
        <f>AM243</f>
        <v>43.600000000000023</v>
      </c>
      <c r="AN408" s="146">
        <f t="shared" si="1260"/>
        <v>10.659898477157403</v>
      </c>
      <c r="AO408" s="75">
        <f>AO243</f>
        <v>42</v>
      </c>
      <c r="AP408" s="146">
        <f t="shared" si="1260"/>
        <v>6.0606060606060774</v>
      </c>
      <c r="AQ408" s="75">
        <f>AQ243</f>
        <v>49.159999999999989</v>
      </c>
      <c r="AR408" s="146">
        <f t="shared" si="1260"/>
        <v>22.899999999999963</v>
      </c>
      <c r="AS408" s="75">
        <f>AS243</f>
        <v>46.200000000000017</v>
      </c>
      <c r="AT408" s="146">
        <f t="shared" si="1260"/>
        <v>5.4794520547945424</v>
      </c>
      <c r="AU408" s="75">
        <f>AU243</f>
        <v>49.900000000000006</v>
      </c>
      <c r="AV408" s="146">
        <f t="shared" si="1260"/>
        <v>14.449541284403633</v>
      </c>
      <c r="AW408" s="75">
        <f>AW243</f>
        <v>52.100000000000023</v>
      </c>
      <c r="AX408" s="146">
        <f t="shared" si="1260"/>
        <v>24.047619047619094</v>
      </c>
      <c r="AY408" s="75">
        <f>AY243</f>
        <v>50.5</v>
      </c>
      <c r="AZ408" s="146">
        <f t="shared" si="1260"/>
        <v>2.7257933279088986</v>
      </c>
      <c r="BA408" s="75">
        <f>BA243</f>
        <v>59.599999999999994</v>
      </c>
      <c r="BB408" s="146">
        <f t="shared" si="1260"/>
        <v>29.004329004328945</v>
      </c>
      <c r="BC408" s="75">
        <f>BC243</f>
        <v>64.900000000000034</v>
      </c>
      <c r="BD408" s="146">
        <f t="shared" si="1260"/>
        <v>30.060120240481012</v>
      </c>
      <c r="BE408" s="75">
        <f>BE243</f>
        <v>62.399999999999977</v>
      </c>
      <c r="BF408" s="146">
        <f t="shared" si="1261"/>
        <v>19.769673704414494</v>
      </c>
      <c r="BG408" s="75">
        <f>BG243</f>
        <v>58.80000000000004</v>
      </c>
      <c r="BH408" s="146">
        <f t="shared" si="1262"/>
        <v>16.435643564356518</v>
      </c>
      <c r="BI408" s="75">
        <f>BI243</f>
        <v>67.399999999999977</v>
      </c>
      <c r="BJ408" s="146">
        <f t="shared" si="1201"/>
        <v>13.087248322147627</v>
      </c>
      <c r="BK408" s="75">
        <f>BK243</f>
        <v>68.200000000000045</v>
      </c>
      <c r="BL408" s="146">
        <f t="shared" si="1202"/>
        <v>5.0847457627118731</v>
      </c>
      <c r="BM408" s="75">
        <f>BM243</f>
        <v>66.200000000000045</v>
      </c>
      <c r="BN408" s="146">
        <f t="shared" si="1203"/>
        <v>6.0897435897437013</v>
      </c>
      <c r="BO408" s="75">
        <f>BO243</f>
        <v>66.300000000000011</v>
      </c>
      <c r="BP408" s="146">
        <f t="shared" si="1204"/>
        <v>12.755102040816269</v>
      </c>
      <c r="BQ408" s="75">
        <f>BQ243</f>
        <v>70.900000000000034</v>
      </c>
      <c r="BR408" s="81">
        <f t="shared" si="1205"/>
        <v>5.1928783382790167</v>
      </c>
      <c r="BS408" s="75">
        <f>BS243</f>
        <v>71.30000000000004</v>
      </c>
      <c r="BT408" s="81">
        <f t="shared" si="1206"/>
        <v>4.5454545454545414</v>
      </c>
      <c r="BU408" s="75">
        <f>BU243</f>
        <v>70.400000000000006</v>
      </c>
      <c r="BV408" s="81">
        <f t="shared" si="1207"/>
        <v>6.3444108761328666</v>
      </c>
      <c r="BW408" s="75">
        <f>BW243</f>
        <v>68.299999999999955</v>
      </c>
      <c r="BX408" s="81">
        <f t="shared" si="1208"/>
        <v>3.0165912518852922</v>
      </c>
      <c r="BY408" s="75">
        <f>BY243</f>
        <v>70.200000000000045</v>
      </c>
      <c r="BZ408" s="81">
        <f t="shared" si="1209"/>
        <v>-0.9873060648801002</v>
      </c>
      <c r="CA408" s="75">
        <f>CA243</f>
        <v>71.099999999999937</v>
      </c>
      <c r="CB408" s="81">
        <f t="shared" si="1210"/>
        <v>-0.2805049088360434</v>
      </c>
      <c r="CC408" s="75">
        <f>CC243</f>
        <v>71.000000000000028</v>
      </c>
      <c r="CD408" s="81">
        <f t="shared" si="1211"/>
        <v>0.8522727272727515</v>
      </c>
      <c r="CE408" s="75">
        <f>CE243</f>
        <v>57.400000000000034</v>
      </c>
      <c r="CF408" s="81">
        <f t="shared" si="1212"/>
        <v>-15.959004392386422</v>
      </c>
      <c r="CG408" s="75">
        <f>CG243</f>
        <v>66.499999999999943</v>
      </c>
      <c r="CH408" s="81">
        <f t="shared" si="1213"/>
        <v>-5.2706552706554106</v>
      </c>
      <c r="CI408" s="75">
        <f>CI243</f>
        <v>67.899999999999977</v>
      </c>
      <c r="CJ408" s="81">
        <f t="shared" si="1214"/>
        <v>-4.5007032348803993</v>
      </c>
      <c r="CK408" s="75">
        <f>CK243</f>
        <v>66.700000000000045</v>
      </c>
      <c r="CL408" s="81">
        <f t="shared" si="1215"/>
        <v>-6.0563380281689838</v>
      </c>
      <c r="CM408" s="75">
        <f>CM243</f>
        <v>64.999999999999943</v>
      </c>
      <c r="CN408" s="81">
        <f t="shared" si="1216"/>
        <v>13.240418118466724</v>
      </c>
      <c r="CO408" s="75">
        <f>CO243</f>
        <v>69.699999999999989</v>
      </c>
      <c r="CP408" s="81">
        <f t="shared" si="1217"/>
        <v>4.8120300751880452</v>
      </c>
      <c r="CQ408" s="75">
        <f>CQ243</f>
        <v>67.599999999999966</v>
      </c>
      <c r="CR408" s="81">
        <f t="shared" si="1218"/>
        <v>-0.44182621502211195</v>
      </c>
      <c r="CS408" s="75">
        <f>CS243</f>
        <v>68.699999999999932</v>
      </c>
      <c r="CT408" s="81">
        <f t="shared" si="1219"/>
        <v>2.9985007496250216</v>
      </c>
      <c r="CU408" s="75">
        <f>CU243</f>
        <v>68.300000000000011</v>
      </c>
      <c r="CV408" s="81">
        <f t="shared" si="1220"/>
        <v>5.0769230769231788</v>
      </c>
      <c r="CW408" s="104">
        <f>CW243</f>
        <v>70.100000000000023</v>
      </c>
      <c r="CX408" s="81">
        <f t="shared" si="1221"/>
        <v>0.57388809182215006</v>
      </c>
      <c r="CY408" s="104">
        <f>CY243</f>
        <v>70.799999999999955</v>
      </c>
      <c r="CZ408" s="81">
        <f t="shared" si="1222"/>
        <v>4.7337278106508673</v>
      </c>
      <c r="DA408" s="104">
        <f>DA243</f>
        <v>68.600000000000023</v>
      </c>
      <c r="DB408" s="81">
        <f t="shared" si="1223"/>
        <v>-0.14556040756901201</v>
      </c>
      <c r="DC408" s="104">
        <f>DC243</f>
        <v>69.099999999999994</v>
      </c>
      <c r="DD408" s="81">
        <f t="shared" si="1224"/>
        <v>1.1713030746705488</v>
      </c>
      <c r="DE408" s="104">
        <f>DE243</f>
        <v>79.099999999999966</v>
      </c>
      <c r="DF408" s="81">
        <f t="shared" si="1225"/>
        <v>12.838801711840153</v>
      </c>
      <c r="DG408" s="104">
        <f>DG243</f>
        <v>74.899999999999977</v>
      </c>
      <c r="DH408" s="81">
        <f t="shared" si="1226"/>
        <v>5.7909604519774449</v>
      </c>
      <c r="DI408" s="104">
        <f>DI243</f>
        <v>71</v>
      </c>
      <c r="DJ408" s="81">
        <f t="shared" si="1227"/>
        <v>3.4985422740524408</v>
      </c>
      <c r="DK408" s="104">
        <f>DK243</f>
        <v>74</v>
      </c>
      <c r="DL408" s="81">
        <f t="shared" si="1228"/>
        <v>7.0911722141823619</v>
      </c>
      <c r="DM408" s="104">
        <f>DM243</f>
        <v>77.599999999999966</v>
      </c>
      <c r="DN408" s="81">
        <f t="shared" si="1229"/>
        <v>-1.896333754740831</v>
      </c>
      <c r="DO408" s="104">
        <f>DO243</f>
        <v>77.599999999999966</v>
      </c>
      <c r="DP408" s="81">
        <f t="shared" si="1229"/>
        <v>3.6048064085447029</v>
      </c>
      <c r="DQ408" s="104">
        <f>DQ243</f>
        <v>76.300000000000068</v>
      </c>
      <c r="DR408" s="81">
        <f t="shared" si="1230"/>
        <v>7.4647887323944673</v>
      </c>
      <c r="DS408" s="104">
        <f>DS243</f>
        <v>77.600000000000023</v>
      </c>
      <c r="DT408" s="81">
        <f t="shared" si="1231"/>
        <v>4.864864864864904</v>
      </c>
      <c r="DU408" s="104">
        <f>DU243</f>
        <v>77.399999999999977</v>
      </c>
      <c r="DV408" s="81">
        <f t="shared" si="1232"/>
        <v>-0.25773195876287458</v>
      </c>
      <c r="DW408" s="104">
        <f>DW243</f>
        <v>77.899999999999977</v>
      </c>
      <c r="DX408" s="81">
        <f t="shared" si="1233"/>
        <v>0.38659793814435073</v>
      </c>
      <c r="DY408" s="104">
        <f>DY243</f>
        <v>79</v>
      </c>
      <c r="DZ408" s="81">
        <f t="shared" si="1234"/>
        <v>3.5386631716906036</v>
      </c>
      <c r="EA408" s="104">
        <f>EA243</f>
        <v>79.899999999999977</v>
      </c>
      <c r="EB408" s="81">
        <f t="shared" si="1235"/>
        <v>2.9639175257731409</v>
      </c>
      <c r="EC408" s="104">
        <f>EC243</f>
        <v>82.400000000000034</v>
      </c>
      <c r="ED408" s="81">
        <f t="shared" si="1236"/>
        <v>6.4599483204135222</v>
      </c>
      <c r="EE408" s="104">
        <f>EE243</f>
        <v>81.800000000000068</v>
      </c>
      <c r="EF408" s="81">
        <f t="shared" si="1237"/>
        <v>5.0064184852375959</v>
      </c>
      <c r="EG408" s="104">
        <f>EG243</f>
        <v>81.700000000000045</v>
      </c>
      <c r="EH408" s="81">
        <f t="shared" si="1238"/>
        <v>3.4177215189874044</v>
      </c>
      <c r="EI408" s="104">
        <f>EI243</f>
        <v>79.099999999999994</v>
      </c>
      <c r="EJ408" s="81">
        <f t="shared" si="1239"/>
        <v>-1.001251564455552</v>
      </c>
      <c r="EK408" s="75">
        <f t="shared" ref="EK408:EQ408" si="1268">EK243</f>
        <v>77.960626999999988</v>
      </c>
      <c r="EL408" s="81">
        <f t="shared" si="1241"/>
        <v>-5.3875885922330617</v>
      </c>
      <c r="EM408" s="75">
        <f t="shared" si="1268"/>
        <v>78.590878084999986</v>
      </c>
      <c r="EN408" s="81">
        <f t="shared" si="1242"/>
        <v>-3.9231319254279695</v>
      </c>
      <c r="EO408" s="75">
        <f t="shared" si="1268"/>
        <v>79.409102620624992</v>
      </c>
      <c r="EP408" s="81">
        <f t="shared" si="1243"/>
        <v>-2.8040359600673859</v>
      </c>
      <c r="EQ408" s="75">
        <f t="shared" si="1268"/>
        <v>80.151668422632156</v>
      </c>
      <c r="ER408" s="81">
        <f t="shared" si="1244"/>
        <v>1.3295428857549529</v>
      </c>
      <c r="ES408" s="129"/>
      <c r="ET408" s="465"/>
      <c r="EU408" s="129"/>
      <c r="EV408" s="75"/>
      <c r="EW408" s="79"/>
      <c r="EX408" s="75"/>
      <c r="EY408" s="79"/>
      <c r="EZ408" s="75"/>
      <c r="FA408" s="79"/>
      <c r="FB408" s="75">
        <f>FB243</f>
        <v>0</v>
      </c>
      <c r="FC408" s="79" t="str">
        <f t="shared" si="1245"/>
        <v>NA</v>
      </c>
      <c r="FD408" s="75">
        <f>FD243</f>
        <v>137.50000000000011</v>
      </c>
      <c r="FE408" s="79" t="str">
        <f t="shared" si="1246"/>
        <v>NA</v>
      </c>
      <c r="FF408" s="75">
        <f>FF243</f>
        <v>146.70000000000005</v>
      </c>
      <c r="FG408" s="79">
        <f t="shared" si="1247"/>
        <v>6.6909090909090363</v>
      </c>
      <c r="FH408" s="75">
        <f>FH243</f>
        <v>155.60000000000002</v>
      </c>
      <c r="FI408" s="79">
        <f t="shared" si="1248"/>
        <v>6.0668029993183215</v>
      </c>
      <c r="FJ408" s="75">
        <f>FJ243</f>
        <v>178.55999999999992</v>
      </c>
      <c r="FK408" s="79">
        <f t="shared" si="1249"/>
        <v>14.755784061696598</v>
      </c>
      <c r="FL408" s="75">
        <f>FL243</f>
        <v>198.70000000000027</v>
      </c>
      <c r="FM408" s="79">
        <f t="shared" si="1250"/>
        <v>11.279121863799491</v>
      </c>
      <c r="FN408" s="75">
        <f>FN243</f>
        <v>245.70000000000005</v>
      </c>
      <c r="FO408" s="79">
        <f t="shared" si="1251"/>
        <v>23.653749370910781</v>
      </c>
      <c r="FP408" s="75">
        <f>FP243</f>
        <v>268.10000000000014</v>
      </c>
      <c r="FQ408" s="79">
        <f t="shared" si="1252"/>
        <v>9.1168091168091436</v>
      </c>
      <c r="FR408" s="75">
        <f>FR243</f>
        <v>269.10000000000014</v>
      </c>
      <c r="FS408" s="79">
        <f t="shared" si="1253"/>
        <v>0.37299515106303804</v>
      </c>
      <c r="FT408" s="75">
        <f>FT243</f>
        <v>269.69999999999982</v>
      </c>
      <c r="FU408" s="79">
        <f t="shared" si="1254"/>
        <v>0.22296544035662613</v>
      </c>
      <c r="FV408" s="75">
        <f>FV243</f>
        <v>266.09999999999991</v>
      </c>
      <c r="FW408" s="79">
        <f t="shared" si="1255"/>
        <v>-1.3348164627363435</v>
      </c>
      <c r="FX408" s="75">
        <f>FX243</f>
        <v>273.39999999999986</v>
      </c>
      <c r="FY408" s="79">
        <f t="shared" si="1256"/>
        <v>2.7433295753475972</v>
      </c>
      <c r="FZ408" s="75">
        <f>FZ243</f>
        <v>278.60000000000002</v>
      </c>
      <c r="GA408" s="79">
        <f t="shared" si="1257"/>
        <v>1.9019751280176189</v>
      </c>
      <c r="GB408" s="75">
        <f>GB243</f>
        <v>298.99999999999977</v>
      </c>
      <c r="GC408" s="79">
        <f t="shared" si="1257"/>
        <v>7.3223259152906506</v>
      </c>
      <c r="GD408" s="75">
        <f>GD243</f>
        <v>309.09999999999991</v>
      </c>
      <c r="GE408" s="79">
        <f t="shared" si="1257"/>
        <v>3.3779264214047311</v>
      </c>
      <c r="GF408" s="75">
        <f>GF243</f>
        <v>314.20000000000005</v>
      </c>
      <c r="GG408" s="79">
        <f t="shared" si="1257"/>
        <v>1.649951472015565</v>
      </c>
      <c r="GH408" s="75">
        <f>GH243</f>
        <v>325.00000000000011</v>
      </c>
      <c r="GI408" s="79">
        <f t="shared" si="1257"/>
        <v>3.437301082113331</v>
      </c>
      <c r="GJ408" s="75">
        <f>GJ243</f>
        <v>316.11227612825701</v>
      </c>
      <c r="GK408" s="79">
        <f t="shared" si="1257"/>
        <v>-2.7346842682286487</v>
      </c>
      <c r="GL408" s="75">
        <f>GL243</f>
        <v>319.20591431074467</v>
      </c>
      <c r="GM408" s="79">
        <f t="shared" si="1257"/>
        <v>0.9786517057732036</v>
      </c>
      <c r="GN408" s="75">
        <f>GN243</f>
        <v>325.64179352595966</v>
      </c>
      <c r="GO408" s="79">
        <f t="shared" si="1257"/>
        <v>2.0162155294371154</v>
      </c>
      <c r="GP408" s="75">
        <f>GP243</f>
        <v>333.91469964775729</v>
      </c>
      <c r="GQ408" s="79">
        <f t="shared" si="1257"/>
        <v>2.540492739651401</v>
      </c>
      <c r="GR408" s="75">
        <f>GR243</f>
        <v>340.65225472832435</v>
      </c>
      <c r="GS408" s="79">
        <f t="shared" si="1258"/>
        <v>2.0177473731088913</v>
      </c>
      <c r="GT408" s="79">
        <f t="shared" si="1259"/>
        <v>0.94517874140382929</v>
      </c>
      <c r="GU408" s="857"/>
    </row>
    <row r="409" spans="1:286" ht="12.75" customHeight="1" x14ac:dyDescent="0.2">
      <c r="A409" s="1"/>
      <c r="B409" s="10" t="s">
        <v>207</v>
      </c>
      <c r="C409" s="79"/>
      <c r="D409" s="79"/>
      <c r="E409" s="75">
        <f>+E280</f>
        <v>0</v>
      </c>
      <c r="F409" s="75"/>
      <c r="G409" s="75">
        <f>+G280</f>
        <v>0</v>
      </c>
      <c r="H409" s="75"/>
      <c r="I409" s="75">
        <f>+I280</f>
        <v>0</v>
      </c>
      <c r="J409" s="75"/>
      <c r="K409" s="75">
        <f>+K280</f>
        <v>0</v>
      </c>
      <c r="L409" s="146"/>
      <c r="M409" s="75">
        <f>+M280</f>
        <v>25.900000000000034</v>
      </c>
      <c r="N409" s="146" t="str">
        <f>IF(ISERROR((M409/E409-1)*100),"NA",IF(((M409/E409-1)*100)&gt;100,"NM",IF(((M409/E409-1)*100)&lt;-50,"NM",(M409/E409-1)*100)))</f>
        <v>NA</v>
      </c>
      <c r="O409" s="75">
        <f>+O280</f>
        <v>19.600000000000023</v>
      </c>
      <c r="P409" s="146" t="str">
        <f>IF(ISERROR((O409/G409-1)*100),"NA",IF(((O409/G409-1)*100)&gt;100,"NM",IF(((O409/G409-1)*100)&lt;-50,"NM",(O409/G409-1)*100)))</f>
        <v>NA</v>
      </c>
      <c r="Q409" s="75">
        <f>+Q280</f>
        <v>19.099999999999966</v>
      </c>
      <c r="R409" s="146" t="str">
        <f>IF(ISERROR((Q409/I409-1)*100),"NA",IF(((Q409/I409-1)*100)&gt;100,"NM",IF(((Q409/I409-1)*100)&lt;-50,"NM",(Q409/I409-1)*100)))</f>
        <v>NA</v>
      </c>
      <c r="S409" s="75">
        <f>+S280</f>
        <v>18.399999999999977</v>
      </c>
      <c r="T409" s="146" t="str">
        <f>IF(ISERROR((S409/K409-1)*100),"NA",IF(((S409/K409-1)*100)&gt;100,"NM",IF(((S409/K409-1)*100)&lt;-50,"NM",(S409/K409-1)*100)))</f>
        <v>NA</v>
      </c>
      <c r="U409" s="75">
        <f>+U280</f>
        <v>15.800000000000068</v>
      </c>
      <c r="V409" s="146">
        <f t="shared" si="1266"/>
        <v>-38.996138996138818</v>
      </c>
      <c r="W409" s="75">
        <f>+W280</f>
        <v>5.2999999999998977</v>
      </c>
      <c r="X409" s="146" t="str">
        <f t="shared" si="1193"/>
        <v>NM</v>
      </c>
      <c r="Y409" s="75">
        <f>+Y280</f>
        <v>19.200000000000045</v>
      </c>
      <c r="Z409" s="146">
        <f t="shared" si="1194"/>
        <v>0.52356020942450066</v>
      </c>
      <c r="AA409" s="267">
        <f>+AA280</f>
        <v>22.199999999999932</v>
      </c>
      <c r="AB409" s="146">
        <f t="shared" si="1195"/>
        <v>20.65217391304326</v>
      </c>
      <c r="AC409" s="75">
        <f>+AC280</f>
        <v>-923.80000000000007</v>
      </c>
      <c r="AD409" s="146" t="str">
        <f t="shared" si="1196"/>
        <v>NM</v>
      </c>
      <c r="AE409" s="75">
        <f>+AE280</f>
        <v>30.000000000000057</v>
      </c>
      <c r="AF409" s="146" t="str">
        <f t="shared" si="1197"/>
        <v>NM</v>
      </c>
      <c r="AG409" s="75">
        <f>+AG280</f>
        <v>33.199999999999989</v>
      </c>
      <c r="AH409" s="146">
        <f t="shared" si="1198"/>
        <v>72.916666666666202</v>
      </c>
      <c r="AI409" s="75">
        <f>+AI280</f>
        <v>37.799999999999955</v>
      </c>
      <c r="AJ409" s="146">
        <f t="shared" si="1199"/>
        <v>70.270270270270601</v>
      </c>
      <c r="AK409" s="75">
        <f>+AK280</f>
        <v>23.099999999999966</v>
      </c>
      <c r="AL409" s="146" t="str">
        <f t="shared" si="1200"/>
        <v>NM</v>
      </c>
      <c r="AM409" s="75">
        <f>+AM280</f>
        <v>27.699999999999989</v>
      </c>
      <c r="AN409" s="146">
        <f t="shared" si="1260"/>
        <v>-7.6666666666668775</v>
      </c>
      <c r="AO409" s="75">
        <f>+AO280</f>
        <v>29.699999999999989</v>
      </c>
      <c r="AP409" s="146">
        <f t="shared" si="1260"/>
        <v>-10.542168674698804</v>
      </c>
      <c r="AQ409" s="75">
        <f>+AQ280</f>
        <v>33.700000000000045</v>
      </c>
      <c r="AR409" s="146">
        <f t="shared" si="1260"/>
        <v>-10.846560846560616</v>
      </c>
      <c r="AS409" s="75">
        <f>+AS280</f>
        <v>27.900000000000034</v>
      </c>
      <c r="AT409" s="146">
        <f t="shared" si="1260"/>
        <v>20.779220779221099</v>
      </c>
      <c r="AU409" s="75">
        <f>+AU280</f>
        <v>33.199999999999989</v>
      </c>
      <c r="AV409" s="146">
        <f t="shared" si="1260"/>
        <v>19.855595667870052</v>
      </c>
      <c r="AW409" s="75">
        <f>+AW280</f>
        <v>28.699999999999989</v>
      </c>
      <c r="AX409" s="146">
        <f t="shared" si="1260"/>
        <v>-3.3670033670033628</v>
      </c>
      <c r="AY409" s="75">
        <f>+AY280</f>
        <v>28.699999999999989</v>
      </c>
      <c r="AZ409" s="146">
        <f t="shared" si="1260"/>
        <v>-14.836795252225665</v>
      </c>
      <c r="BA409" s="75">
        <f>+BA280</f>
        <v>22.5</v>
      </c>
      <c r="BB409" s="146">
        <f t="shared" si="1260"/>
        <v>-19.354838709677512</v>
      </c>
      <c r="BC409" s="75">
        <f>+BC280</f>
        <v>29.400000000000034</v>
      </c>
      <c r="BD409" s="146">
        <f t="shared" si="1260"/>
        <v>-11.445783132529986</v>
      </c>
      <c r="BE409" s="75">
        <f>+BE280</f>
        <v>29.399999999999977</v>
      </c>
      <c r="BF409" s="146">
        <f t="shared" si="1261"/>
        <v>2.4390243902438602</v>
      </c>
      <c r="BG409" s="75">
        <f>+BG280</f>
        <v>15</v>
      </c>
      <c r="BH409" s="146">
        <f t="shared" si="1262"/>
        <v>-47.735191637630635</v>
      </c>
      <c r="BI409" s="75">
        <f>+BI280</f>
        <v>2.8999999999999773</v>
      </c>
      <c r="BJ409" s="146" t="str">
        <f t="shared" si="1201"/>
        <v>NM</v>
      </c>
      <c r="BK409" s="75">
        <f>+BK280</f>
        <v>3.1999999999999886</v>
      </c>
      <c r="BL409" s="146" t="str">
        <f t="shared" si="1202"/>
        <v>NM</v>
      </c>
      <c r="BM409" s="75">
        <f>+BM280</f>
        <v>7.1999999999999433</v>
      </c>
      <c r="BN409" s="146" t="str">
        <f t="shared" si="1203"/>
        <v>NM</v>
      </c>
      <c r="BO409" s="75">
        <f>+BO280</f>
        <v>7.1000000000000227</v>
      </c>
      <c r="BP409" s="146" t="str">
        <f t="shared" si="1204"/>
        <v>NM</v>
      </c>
      <c r="BQ409" s="75">
        <f>+BQ280</f>
        <v>11.299999999999955</v>
      </c>
      <c r="BR409" s="81" t="str">
        <f t="shared" si="1205"/>
        <v>NM</v>
      </c>
      <c r="BS409" s="75">
        <f>+BS280</f>
        <v>9.9999999999999432</v>
      </c>
      <c r="BT409" s="81" t="str">
        <f t="shared" si="1206"/>
        <v>NM</v>
      </c>
      <c r="BU409" s="75">
        <f>+BU280</f>
        <v>7.1999999999999886</v>
      </c>
      <c r="BV409" s="81">
        <f t="shared" si="1207"/>
        <v>6.2172489379008766E-13</v>
      </c>
      <c r="BW409" s="75">
        <f>+BW280</f>
        <v>5.8000000000000114</v>
      </c>
      <c r="BX409" s="81">
        <f t="shared" si="1208"/>
        <v>-18.309859154929676</v>
      </c>
      <c r="BY409" s="75">
        <f>+BY280</f>
        <v>35.899999999999977</v>
      </c>
      <c r="BZ409" s="81" t="str">
        <f t="shared" si="1209"/>
        <v>NM</v>
      </c>
      <c r="CA409" s="75">
        <f>+CA280</f>
        <v>23.799999999999955</v>
      </c>
      <c r="CB409" s="81" t="str">
        <f t="shared" si="1210"/>
        <v>NM</v>
      </c>
      <c r="CC409" s="75">
        <f>+CC280</f>
        <v>29.700000000000045</v>
      </c>
      <c r="CD409" s="81" t="str">
        <f t="shared" si="1211"/>
        <v>NM</v>
      </c>
      <c r="CE409" s="75">
        <f>+CE280</f>
        <v>29.200000000000159</v>
      </c>
      <c r="CF409" s="81" t="str">
        <f t="shared" si="1212"/>
        <v>NM</v>
      </c>
      <c r="CG409" s="75">
        <f>+CG280</f>
        <v>31.899999999999864</v>
      </c>
      <c r="CH409" s="81">
        <f t="shared" si="1213"/>
        <v>-11.142061281337368</v>
      </c>
      <c r="CI409" s="75">
        <f>+CI280</f>
        <v>30.400000000000205</v>
      </c>
      <c r="CJ409" s="81">
        <f t="shared" si="1214"/>
        <v>27.731092436975892</v>
      </c>
      <c r="CK409" s="75">
        <f>+CK280</f>
        <v>30.799999999999955</v>
      </c>
      <c r="CL409" s="81">
        <f t="shared" si="1215"/>
        <v>3.7037037037033871</v>
      </c>
      <c r="CM409" s="75">
        <f>+CM280</f>
        <v>30.799999999999841</v>
      </c>
      <c r="CN409" s="81">
        <f t="shared" si="1216"/>
        <v>5.47945205479341</v>
      </c>
      <c r="CO409" s="75">
        <f>+CO280</f>
        <v>15.399999999999977</v>
      </c>
      <c r="CP409" s="81" t="str">
        <f t="shared" si="1217"/>
        <v>NM</v>
      </c>
      <c r="CQ409" s="75">
        <f>+CQ280</f>
        <v>25.700000000000045</v>
      </c>
      <c r="CR409" s="81">
        <f t="shared" si="1218"/>
        <v>-15.460526315789892</v>
      </c>
      <c r="CS409" s="75">
        <f>+CS280</f>
        <v>25.600000000000023</v>
      </c>
      <c r="CT409" s="81">
        <f t="shared" si="1219"/>
        <v>-16.883116883116688</v>
      </c>
      <c r="CU409" s="75">
        <f>+CU280</f>
        <v>28.799999999999955</v>
      </c>
      <c r="CV409" s="81">
        <f t="shared" si="1220"/>
        <v>-6.4935064935061622</v>
      </c>
      <c r="CW409" s="104">
        <f>+CW280</f>
        <v>26.600000000000136</v>
      </c>
      <c r="CX409" s="81">
        <f t="shared" si="1221"/>
        <v>72.727272727273856</v>
      </c>
      <c r="CY409" s="104">
        <f>+CY280</f>
        <v>29.100000000000023</v>
      </c>
      <c r="CZ409" s="81">
        <f t="shared" si="1222"/>
        <v>13.229571984435683</v>
      </c>
      <c r="DA409" s="104">
        <f>+DA280</f>
        <v>25</v>
      </c>
      <c r="DB409" s="81">
        <f t="shared" si="1223"/>
        <v>-2.3437500000000888</v>
      </c>
      <c r="DC409" s="104">
        <f>+DC280</f>
        <v>26.600000000000023</v>
      </c>
      <c r="DD409" s="81">
        <f t="shared" si="1224"/>
        <v>-7.6388888888886619</v>
      </c>
      <c r="DE409" s="104">
        <f>+DE280</f>
        <v>28.299999999999955</v>
      </c>
      <c r="DF409" s="81">
        <f t="shared" si="1225"/>
        <v>6.3909774436083033</v>
      </c>
      <c r="DG409" s="104">
        <f>+DG280</f>
        <v>36.600000000000136</v>
      </c>
      <c r="DH409" s="81">
        <f t="shared" si="1226"/>
        <v>25.773195876289034</v>
      </c>
      <c r="DI409" s="104">
        <f>+DI280</f>
        <v>25.700000000000045</v>
      </c>
      <c r="DJ409" s="81">
        <f t="shared" si="1227"/>
        <v>2.8000000000001801</v>
      </c>
      <c r="DK409" s="104">
        <f>+DK280</f>
        <v>29.399999999999977</v>
      </c>
      <c r="DL409" s="81">
        <f t="shared" si="1228"/>
        <v>10.526315789473495</v>
      </c>
      <c r="DM409" s="104">
        <f>+DM280</f>
        <v>26.699999999999932</v>
      </c>
      <c r="DN409" s="81">
        <f t="shared" si="1229"/>
        <v>-5.6537102473499079</v>
      </c>
      <c r="DO409" s="104">
        <f>+DO280</f>
        <v>36.599999999999909</v>
      </c>
      <c r="DP409" s="81">
        <f t="shared" si="1229"/>
        <v>-6.2172489379008766E-13</v>
      </c>
      <c r="DQ409" s="104">
        <f>+DQ280</f>
        <v>27.700000000000045</v>
      </c>
      <c r="DR409" s="81">
        <f t="shared" si="1230"/>
        <v>7.7821011673151697</v>
      </c>
      <c r="DS409" s="104">
        <f>+DS280</f>
        <v>28.099999999999795</v>
      </c>
      <c r="DT409" s="81">
        <f t="shared" si="1231"/>
        <v>-4.4217687074836203</v>
      </c>
      <c r="DU409" s="104">
        <f>+DU280</f>
        <v>33.699999999999818</v>
      </c>
      <c r="DV409" s="81">
        <f t="shared" si="1232"/>
        <v>26.217228464419119</v>
      </c>
      <c r="DW409" s="104">
        <f>+DW280</f>
        <v>32.599999999999909</v>
      </c>
      <c r="DX409" s="81">
        <f t="shared" si="1233"/>
        <v>-10.928961748633903</v>
      </c>
      <c r="DY409" s="104">
        <f>+DY280</f>
        <v>28.600000000000023</v>
      </c>
      <c r="DZ409" s="81">
        <f t="shared" si="1234"/>
        <v>3.2490974729241007</v>
      </c>
      <c r="EA409" s="104">
        <f>+EA280</f>
        <v>34.600000000000023</v>
      </c>
      <c r="EB409" s="81">
        <f t="shared" si="1235"/>
        <v>23.131672597865748</v>
      </c>
      <c r="EC409" s="104">
        <f>+EC280</f>
        <v>31.599999999999909</v>
      </c>
      <c r="ED409" s="81">
        <f t="shared" si="1236"/>
        <v>-6.2314540059344781</v>
      </c>
      <c r="EE409" s="104">
        <f>+EE280</f>
        <v>32.600000000000023</v>
      </c>
      <c r="EF409" s="81">
        <f t="shared" si="1237"/>
        <v>3.5527136788005009E-13</v>
      </c>
      <c r="EG409" s="104">
        <f>+EG280</f>
        <v>26.600000000000023</v>
      </c>
      <c r="EH409" s="81">
        <f t="shared" si="1238"/>
        <v>-6.9930069930069898</v>
      </c>
      <c r="EI409" s="104">
        <f>+EI280</f>
        <v>33.099999999999909</v>
      </c>
      <c r="EJ409" s="81">
        <f t="shared" si="1239"/>
        <v>-4.3352601156072641</v>
      </c>
      <c r="EK409" s="75">
        <f t="shared" ref="EK409:EQ409" si="1269">+EK280</f>
        <v>30.080092226633383</v>
      </c>
      <c r="EL409" s="81">
        <f t="shared" si="1241"/>
        <v>-4.8098347258434533</v>
      </c>
      <c r="EM409" s="75">
        <f t="shared" si="1269"/>
        <v>29.441322464516929</v>
      </c>
      <c r="EN409" s="81">
        <f t="shared" si="1242"/>
        <v>-9.6891948941199129</v>
      </c>
      <c r="EO409" s="75">
        <f t="shared" si="1269"/>
        <v>28.809868919704627</v>
      </c>
      <c r="EP409" s="81">
        <f t="shared" si="1243"/>
        <v>8.3077778936263336</v>
      </c>
      <c r="EQ409" s="75">
        <f t="shared" si="1269"/>
        <v>28.185661335753935</v>
      </c>
      <c r="ER409" s="81">
        <f t="shared" si="1244"/>
        <v>-14.846944604972778</v>
      </c>
      <c r="ES409" s="129"/>
      <c r="ET409" s="465"/>
      <c r="EU409" s="129"/>
      <c r="EV409" s="75"/>
      <c r="EW409" s="79"/>
      <c r="EX409" s="75"/>
      <c r="EY409" s="79"/>
      <c r="EZ409" s="75"/>
      <c r="FA409" s="79"/>
      <c r="FB409" s="75">
        <f>+FB280</f>
        <v>0</v>
      </c>
      <c r="FC409" s="79" t="str">
        <f t="shared" si="1245"/>
        <v>NA</v>
      </c>
      <c r="FD409" s="75">
        <f>+FD280</f>
        <v>83</v>
      </c>
      <c r="FE409" s="79" t="str">
        <f t="shared" si="1246"/>
        <v>NA</v>
      </c>
      <c r="FF409" s="75">
        <f>+FF280</f>
        <v>62.500000000000227</v>
      </c>
      <c r="FG409" s="79">
        <f t="shared" si="1247"/>
        <v>-24.69879518072262</v>
      </c>
      <c r="FH409" s="75">
        <f>+FH280</f>
        <v>-822.80000000000041</v>
      </c>
      <c r="FI409" s="79" t="str">
        <f t="shared" si="1248"/>
        <v>NM</v>
      </c>
      <c r="FJ409" s="75">
        <f>+FJ280</f>
        <v>114.20000000000005</v>
      </c>
      <c r="FK409" s="79" t="str">
        <f t="shared" si="1249"/>
        <v>NM</v>
      </c>
      <c r="FL409" s="75">
        <f>+FL280</f>
        <v>118.49999999999955</v>
      </c>
      <c r="FM409" s="79">
        <f t="shared" si="1250"/>
        <v>3.7653239929942961</v>
      </c>
      <c r="FN409" s="75">
        <f>+FN280</f>
        <v>96.299999999999955</v>
      </c>
      <c r="FO409" s="79">
        <f t="shared" si="1251"/>
        <v>-18.734177215189597</v>
      </c>
      <c r="FP409" s="75">
        <f>+FP280</f>
        <v>20.39999999999959</v>
      </c>
      <c r="FQ409" s="79" t="str">
        <f t="shared" si="1252"/>
        <v>NM</v>
      </c>
      <c r="FR409" s="75">
        <f>+FR280</f>
        <v>123.99999999999909</v>
      </c>
      <c r="FS409" s="79" t="str">
        <f t="shared" si="1253"/>
        <v>NM</v>
      </c>
      <c r="FT409" s="75">
        <f>+FT280</f>
        <v>118.59999999999991</v>
      </c>
      <c r="FU409" s="79">
        <f t="shared" si="1254"/>
        <v>-4.3548387096767893</v>
      </c>
      <c r="FV409" s="75">
        <f>+FV280</f>
        <v>123.89999999999975</v>
      </c>
      <c r="FW409" s="79">
        <f t="shared" si="1255"/>
        <v>4.4688026981448914</v>
      </c>
      <c r="FX409" s="75">
        <f>+FX280</f>
        <v>94.699999999999818</v>
      </c>
      <c r="FY409" s="79">
        <f t="shared" si="1256"/>
        <v>-23.567393058918473</v>
      </c>
      <c r="FZ409" s="75">
        <f>+FZ280</f>
        <v>107.29999999999973</v>
      </c>
      <c r="GA409" s="79">
        <f t="shared" si="1257"/>
        <v>13.305174234424433</v>
      </c>
      <c r="GB409" s="75">
        <f>+GB280</f>
        <v>120.00000000000023</v>
      </c>
      <c r="GC409" s="79">
        <f t="shared" si="1257"/>
        <v>11.835973904939912</v>
      </c>
      <c r="GD409" s="75">
        <f>+GD280</f>
        <v>119.09999999999991</v>
      </c>
      <c r="GE409" s="79">
        <f t="shared" si="1257"/>
        <v>-0.75000000000026157</v>
      </c>
      <c r="GF409" s="75">
        <f>+GF280</f>
        <v>129.50000000000045</v>
      </c>
      <c r="GG409" s="79">
        <f t="shared" si="1257"/>
        <v>8.7321578505462192</v>
      </c>
      <c r="GH409" s="75">
        <f>+GH280</f>
        <v>123.89999999999964</v>
      </c>
      <c r="GI409" s="79">
        <f t="shared" si="1257"/>
        <v>-4.3243243243249463</v>
      </c>
      <c r="GJ409" s="75">
        <f>+GJ280</f>
        <v>116.51694494660887</v>
      </c>
      <c r="GK409" s="79">
        <f t="shared" si="1257"/>
        <v>-5.9588822061265372</v>
      </c>
      <c r="GL409" s="75">
        <f>+GL280</f>
        <v>113.75875823842989</v>
      </c>
      <c r="GM409" s="79">
        <f t="shared" si="1257"/>
        <v>-2.3671979294023315</v>
      </c>
      <c r="GN409" s="75">
        <f>+GN280</f>
        <v>111.06857069869147</v>
      </c>
      <c r="GO409" s="79">
        <f t="shared" si="1257"/>
        <v>-2.3648179545877168</v>
      </c>
      <c r="GP409" s="75">
        <f>+GP280</f>
        <v>108.44463728099754</v>
      </c>
      <c r="GQ409" s="79">
        <f t="shared" si="1257"/>
        <v>-2.3624445702215668</v>
      </c>
      <c r="GR409" s="75">
        <f>+GR280</f>
        <v>105.88525939176861</v>
      </c>
      <c r="GS409" s="79">
        <f t="shared" si="1258"/>
        <v>-2.3600778732812411</v>
      </c>
      <c r="GT409" s="79">
        <f t="shared" si="1259"/>
        <v>-3.0935153109152957</v>
      </c>
      <c r="GU409" s="857"/>
    </row>
    <row r="410" spans="1:286" ht="12.75" customHeight="1" x14ac:dyDescent="0.2">
      <c r="A410" s="1"/>
      <c r="B410" s="10" t="s">
        <v>194</v>
      </c>
      <c r="C410" s="79"/>
      <c r="D410" s="79"/>
      <c r="E410" s="75">
        <f>E308</f>
        <v>-31.099999999999966</v>
      </c>
      <c r="F410" s="75"/>
      <c r="G410" s="75">
        <f>G308</f>
        <v>-21.700000000000017</v>
      </c>
      <c r="H410" s="75"/>
      <c r="I410" s="75">
        <f>I308</f>
        <v>-43.599999999999966</v>
      </c>
      <c r="J410" s="75"/>
      <c r="K410" s="75">
        <f>K308</f>
        <v>-28.899999999999991</v>
      </c>
      <c r="L410" s="146"/>
      <c r="M410" s="75">
        <f>M308</f>
        <v>-15.500000000000014</v>
      </c>
      <c r="N410" s="146" t="str">
        <f>IF(ISERROR((M410/E410-1)*100),"NA",IF(((M410/E410-1)*100)&gt;100,"NM",IF(((M410/E410-1)*100)&lt;-50,"NM",(M410/E410-1)*100)))</f>
        <v>NM</v>
      </c>
      <c r="O410" s="75">
        <f>O308</f>
        <v>-19.90000000000002</v>
      </c>
      <c r="P410" s="146">
        <f>IF(ISERROR((O410/G410-1)*100),"NA",IF(((O410/G410-1)*100)&gt;100,"NM",IF(((O410/G410-1)*100)&lt;-50,"NM",(O410/G410-1)*100)))</f>
        <v>-8.2949308755760125</v>
      </c>
      <c r="Q410" s="75">
        <f>Q308</f>
        <v>-18.500000000000014</v>
      </c>
      <c r="R410" s="146" t="str">
        <f>IF(ISERROR((Q410/I410-1)*100),"NA",IF(((Q410/I410-1)*100)&gt;100,"NM",IF(((Q410/I410-1)*100)&lt;-50,"NM",(Q410/I410-1)*100)))</f>
        <v>NM</v>
      </c>
      <c r="S410" s="75">
        <f>S308</f>
        <v>-36.799999999999983</v>
      </c>
      <c r="T410" s="146">
        <f>IF(ISERROR((S410/K410-1)*100),"NA",IF(((S410/K410-1)*100)&gt;100,"NM",IF(((S410/K410-1)*100)&lt;-50,"NM",(S410/K410-1)*100)))</f>
        <v>27.33564013840828</v>
      </c>
      <c r="U410" s="75">
        <f>U308</f>
        <v>-38.800000000000011</v>
      </c>
      <c r="V410" s="146" t="str">
        <f t="shared" si="1266"/>
        <v>NM</v>
      </c>
      <c r="W410" s="75">
        <f>W308</f>
        <v>-33.599999999999966</v>
      </c>
      <c r="X410" s="146">
        <f t="shared" si="1193"/>
        <v>68.844221105527311</v>
      </c>
      <c r="Y410" s="75">
        <f>Y308</f>
        <v>-34.299999999999997</v>
      </c>
      <c r="Z410" s="146">
        <f t="shared" si="1194"/>
        <v>85.405405405405247</v>
      </c>
      <c r="AA410" s="267">
        <f>AA308</f>
        <v>-44.699999999999989</v>
      </c>
      <c r="AB410" s="146">
        <f t="shared" si="1195"/>
        <v>21.467391304347849</v>
      </c>
      <c r="AC410" s="75">
        <f>AC308</f>
        <v>-35.899999999999977</v>
      </c>
      <c r="AD410" s="146">
        <f t="shared" si="1196"/>
        <v>-7.4742268041237958</v>
      </c>
      <c r="AE410" s="75">
        <f>AE308</f>
        <v>-16.099999999999994</v>
      </c>
      <c r="AF410" s="146" t="str">
        <f t="shared" si="1197"/>
        <v>NM</v>
      </c>
      <c r="AG410" s="75">
        <f>AG308</f>
        <v>-33.100000000000023</v>
      </c>
      <c r="AH410" s="146">
        <f t="shared" si="1198"/>
        <v>-3.4985422740524075</v>
      </c>
      <c r="AI410" s="75">
        <f>AI308</f>
        <v>-23.200000000000003</v>
      </c>
      <c r="AJ410" s="146">
        <f t="shared" si="1199"/>
        <v>-48.098434004474257</v>
      </c>
      <c r="AK410" s="75">
        <f>AK308</f>
        <v>-61.899999999999977</v>
      </c>
      <c r="AL410" s="146">
        <f t="shared" si="1200"/>
        <v>72.423398328690851</v>
      </c>
      <c r="AM410" s="75">
        <f>AM308</f>
        <v>-23.700000000000003</v>
      </c>
      <c r="AN410" s="146">
        <f t="shared" si="1260"/>
        <v>47.204968944099448</v>
      </c>
      <c r="AO410" s="75">
        <f>AO308</f>
        <v>-19.399999999999977</v>
      </c>
      <c r="AP410" s="146">
        <f t="shared" si="1260"/>
        <v>-41.389728096676848</v>
      </c>
      <c r="AQ410" s="75">
        <f>AQ308</f>
        <v>-33.820000000000007</v>
      </c>
      <c r="AR410" s="146">
        <f t="shared" si="1260"/>
        <v>45.775862068965537</v>
      </c>
      <c r="AS410" s="75">
        <f>AS308</f>
        <v>-28.09999999999998</v>
      </c>
      <c r="AT410" s="146" t="str">
        <f t="shared" si="1260"/>
        <v>NM</v>
      </c>
      <c r="AU410" s="75">
        <f>AU308</f>
        <v>-27.200000000000003</v>
      </c>
      <c r="AV410" s="146">
        <f t="shared" si="1260"/>
        <v>14.767932489451475</v>
      </c>
      <c r="AW410" s="75">
        <f>AW308</f>
        <v>-20</v>
      </c>
      <c r="AX410" s="146">
        <f t="shared" si="1260"/>
        <v>3.0927835051547614</v>
      </c>
      <c r="AY410" s="75">
        <f>AY308</f>
        <v>-25.9</v>
      </c>
      <c r="AZ410" s="146">
        <f t="shared" si="1260"/>
        <v>-23.418095801301032</v>
      </c>
      <c r="BA410" s="75">
        <f>BA308</f>
        <v>-27.800000000000004</v>
      </c>
      <c r="BB410" s="146">
        <f t="shared" si="1260"/>
        <v>-1.0676156583629082</v>
      </c>
      <c r="BC410" s="75">
        <f>BC308</f>
        <v>-45.600000000000009</v>
      </c>
      <c r="BD410" s="146">
        <f t="shared" si="1260"/>
        <v>67.64705882352942</v>
      </c>
      <c r="BE410" s="75">
        <f>BE308</f>
        <v>-22.200000000000003</v>
      </c>
      <c r="BF410" s="146">
        <f t="shared" si="1261"/>
        <v>11.000000000000011</v>
      </c>
      <c r="BG410" s="75">
        <f>BG308</f>
        <v>-9.5999999999999943</v>
      </c>
      <c r="BH410" s="146" t="str">
        <f t="shared" si="1262"/>
        <v>NM</v>
      </c>
      <c r="BI410" s="75">
        <f>BI308</f>
        <v>0.29999999999999716</v>
      </c>
      <c r="BJ410" s="146" t="str">
        <f t="shared" si="1201"/>
        <v>NM</v>
      </c>
      <c r="BK410" s="75">
        <f>BK308</f>
        <v>-6.6999999999999957</v>
      </c>
      <c r="BL410" s="146" t="str">
        <f t="shared" si="1202"/>
        <v>NM</v>
      </c>
      <c r="BM410" s="75">
        <f>BM308</f>
        <v>-7.2000000000000171</v>
      </c>
      <c r="BN410" s="146" t="str">
        <f t="shared" si="1203"/>
        <v>NM</v>
      </c>
      <c r="BO410" s="75">
        <f>BO308</f>
        <v>-0.39999999999999858</v>
      </c>
      <c r="BP410" s="146" t="str">
        <f t="shared" si="1204"/>
        <v>NM</v>
      </c>
      <c r="BQ410" s="75">
        <f>BQ308</f>
        <v>-12.900000000000006</v>
      </c>
      <c r="BR410" s="81" t="str">
        <f t="shared" si="1205"/>
        <v>NM</v>
      </c>
      <c r="BS410" s="75">
        <f>BS308</f>
        <v>-16</v>
      </c>
      <c r="BT410" s="81" t="str">
        <f t="shared" si="1206"/>
        <v>NM</v>
      </c>
      <c r="BU410" s="75">
        <f>BU308</f>
        <v>-13.699999999999996</v>
      </c>
      <c r="BV410" s="81">
        <f t="shared" si="1207"/>
        <v>90.27777777777726</v>
      </c>
      <c r="BW410" s="75">
        <f>BW308</f>
        <v>-16.600000000000009</v>
      </c>
      <c r="BX410" s="81" t="str">
        <f t="shared" si="1208"/>
        <v>NM</v>
      </c>
      <c r="BY410" s="75">
        <f>BY308</f>
        <v>-9.0999999999999979</v>
      </c>
      <c r="BZ410" s="81">
        <f t="shared" si="1209"/>
        <v>-29.457364341085324</v>
      </c>
      <c r="CA410" s="75">
        <f>CA308</f>
        <v>-4.899999999999995</v>
      </c>
      <c r="CB410" s="81" t="str">
        <f t="shared" si="1210"/>
        <v>NM</v>
      </c>
      <c r="CC410" s="75">
        <f>CC308</f>
        <v>-9.1000000000000014</v>
      </c>
      <c r="CD410" s="81">
        <f t="shared" si="1211"/>
        <v>-33.576642335766394</v>
      </c>
      <c r="CE410" s="75">
        <f>CE308</f>
        <v>-15.8</v>
      </c>
      <c r="CF410" s="81">
        <f t="shared" si="1212"/>
        <v>-4.8192771084337842</v>
      </c>
      <c r="CG410" s="75">
        <f>CG308</f>
        <v>-21.799999999999997</v>
      </c>
      <c r="CH410" s="81" t="str">
        <f t="shared" si="1213"/>
        <v>NM</v>
      </c>
      <c r="CI410" s="75">
        <f>CI308</f>
        <v>-16.999999999999996</v>
      </c>
      <c r="CJ410" s="81" t="str">
        <f t="shared" si="1214"/>
        <v>NM</v>
      </c>
      <c r="CK410" s="75">
        <f>CK308</f>
        <v>-20.800000000000004</v>
      </c>
      <c r="CL410" s="81" t="str">
        <f t="shared" si="1215"/>
        <v>NM</v>
      </c>
      <c r="CM410" s="75">
        <f>CM308</f>
        <v>-18.799999999999997</v>
      </c>
      <c r="CN410" s="81">
        <f t="shared" si="1216"/>
        <v>18.987341772151865</v>
      </c>
      <c r="CO410" s="75">
        <f>CO308</f>
        <v>-20.6</v>
      </c>
      <c r="CP410" s="81">
        <f t="shared" si="1217"/>
        <v>-5.5045871559632804</v>
      </c>
      <c r="CQ410" s="75">
        <f>CQ308</f>
        <v>-25.900000000000006</v>
      </c>
      <c r="CR410" s="81">
        <f t="shared" si="1218"/>
        <v>52.352941176470644</v>
      </c>
      <c r="CS410" s="75">
        <f>CS308</f>
        <v>-27.399999999999995</v>
      </c>
      <c r="CT410" s="81">
        <f t="shared" si="1219"/>
        <v>31.730769230769184</v>
      </c>
      <c r="CU410" s="75">
        <f>CU308</f>
        <v>-34.599999999999994</v>
      </c>
      <c r="CV410" s="81">
        <f t="shared" si="1220"/>
        <v>84.042553191489361</v>
      </c>
      <c r="CW410" s="104">
        <f>CW308</f>
        <v>-26.199999999999996</v>
      </c>
      <c r="CX410" s="81">
        <f t="shared" si="1221"/>
        <v>27.184466019417442</v>
      </c>
      <c r="CY410" s="104">
        <f>CY308</f>
        <v>-29.6</v>
      </c>
      <c r="CZ410" s="81">
        <f t="shared" si="1222"/>
        <v>14.285714285714256</v>
      </c>
      <c r="DA410" s="104">
        <f>DA308</f>
        <v>-25.4</v>
      </c>
      <c r="DB410" s="81">
        <f t="shared" si="1223"/>
        <v>-7.2992700729926918</v>
      </c>
      <c r="DC410" s="104">
        <f>DC308</f>
        <v>-33.900000000000006</v>
      </c>
      <c r="DD410" s="81">
        <f t="shared" si="1224"/>
        <v>-2.0231213872831999</v>
      </c>
      <c r="DE410" s="104">
        <f>DE308</f>
        <v>-26.5</v>
      </c>
      <c r="DF410" s="81">
        <f t="shared" si="1225"/>
        <v>1.1450381679389388</v>
      </c>
      <c r="DG410" s="104">
        <f>DG308</f>
        <v>-28.400000000000002</v>
      </c>
      <c r="DH410" s="81">
        <f t="shared" si="1226"/>
        <v>-4.0540540540540455</v>
      </c>
      <c r="DI410" s="104">
        <f>DI308</f>
        <v>-25.099999999999994</v>
      </c>
      <c r="DJ410" s="81">
        <f t="shared" si="1227"/>
        <v>-1.1811023622047445</v>
      </c>
      <c r="DK410" s="104">
        <f>DK308</f>
        <v>-25.799999999999997</v>
      </c>
      <c r="DL410" s="81">
        <f t="shared" si="1228"/>
        <v>-23.893805309734539</v>
      </c>
      <c r="DM410" s="104">
        <f>DM308</f>
        <v>-32.9</v>
      </c>
      <c r="DN410" s="81">
        <f t="shared" si="1229"/>
        <v>24.15094339622641</v>
      </c>
      <c r="DO410" s="104">
        <f>DO308</f>
        <v>-36.299999999999997</v>
      </c>
      <c r="DP410" s="81">
        <f t="shared" si="1229"/>
        <v>27.816901408450679</v>
      </c>
      <c r="DQ410" s="104">
        <f>DQ308</f>
        <v>-29.9</v>
      </c>
      <c r="DR410" s="81">
        <f t="shared" si="1230"/>
        <v>19.123505976095643</v>
      </c>
      <c r="DS410" s="104">
        <f>DS308</f>
        <v>-37.6</v>
      </c>
      <c r="DT410" s="81">
        <f t="shared" si="1231"/>
        <v>45.736434108527149</v>
      </c>
      <c r="DU410" s="104">
        <f>DU308</f>
        <v>-35.9</v>
      </c>
      <c r="DV410" s="81">
        <f t="shared" si="1232"/>
        <v>9.1185410334346564</v>
      </c>
      <c r="DW410" s="104">
        <f>DW308</f>
        <v>-39.699999999999996</v>
      </c>
      <c r="DX410" s="81">
        <f t="shared" si="1233"/>
        <v>9.3663911845730077</v>
      </c>
      <c r="DY410" s="104">
        <f>DY308</f>
        <v>-45.7</v>
      </c>
      <c r="DZ410" s="81">
        <f t="shared" si="1234"/>
        <v>52.842809364548501</v>
      </c>
      <c r="EA410" s="104">
        <f>EA308</f>
        <v>-41.7</v>
      </c>
      <c r="EB410" s="81">
        <f t="shared" si="1235"/>
        <v>10.904255319148938</v>
      </c>
      <c r="EC410" s="104">
        <f>EC308</f>
        <v>-39.800000000000004</v>
      </c>
      <c r="ED410" s="81">
        <f t="shared" si="1236"/>
        <v>10.863509749303635</v>
      </c>
      <c r="EE410" s="104">
        <f>EE308</f>
        <v>-37.599999999999994</v>
      </c>
      <c r="EF410" s="81">
        <f t="shared" si="1237"/>
        <v>-5.2896725440806041</v>
      </c>
      <c r="EG410" s="104">
        <f>EG308</f>
        <v>-36.199999999999996</v>
      </c>
      <c r="EH410" s="81">
        <f t="shared" si="1238"/>
        <v>-20.787746170678357</v>
      </c>
      <c r="EI410" s="104">
        <f>EI308</f>
        <v>-33.199999999999996</v>
      </c>
      <c r="EJ410" s="81">
        <f t="shared" si="1239"/>
        <v>-20.383693045563568</v>
      </c>
      <c r="EK410" s="75">
        <f t="shared" ref="EK410:EQ410" si="1270">EK308</f>
        <v>-35.319999999999993</v>
      </c>
      <c r="EL410" s="81">
        <f t="shared" si="1241"/>
        <v>-11.256281407035207</v>
      </c>
      <c r="EM410" s="75">
        <f t="shared" si="1270"/>
        <v>-35.319999999999993</v>
      </c>
      <c r="EN410" s="81">
        <f t="shared" si="1242"/>
        <v>-6.0638297872340434</v>
      </c>
      <c r="EO410" s="75">
        <f t="shared" si="1270"/>
        <v>-37.069999999999993</v>
      </c>
      <c r="EP410" s="81">
        <f t="shared" si="1243"/>
        <v>2.403314917127064</v>
      </c>
      <c r="EQ410" s="75">
        <f t="shared" si="1270"/>
        <v>-37.069999999999993</v>
      </c>
      <c r="ER410" s="81">
        <f t="shared" si="1244"/>
        <v>11.656626506024082</v>
      </c>
      <c r="ES410" s="95"/>
      <c r="ET410" s="488"/>
      <c r="EU410" s="95"/>
      <c r="EV410" s="75"/>
      <c r="EW410" s="146"/>
      <c r="EX410" s="75"/>
      <c r="EY410" s="146"/>
      <c r="EZ410" s="75"/>
      <c r="FA410" s="146"/>
      <c r="FB410" s="75">
        <f>FB333</f>
        <v>67</v>
      </c>
      <c r="FC410" s="146" t="str">
        <f t="shared" si="1245"/>
        <v>NA</v>
      </c>
      <c r="FD410" s="75">
        <f>FD333</f>
        <v>64.300000000000011</v>
      </c>
      <c r="FE410" s="146">
        <f t="shared" si="1246"/>
        <v>-4.0298507462686377</v>
      </c>
      <c r="FF410" s="75">
        <f>FF333</f>
        <v>42.099999999999966</v>
      </c>
      <c r="FG410" s="146">
        <f t="shared" si="1247"/>
        <v>-34.525660964230234</v>
      </c>
      <c r="FH410" s="75">
        <f>FH333</f>
        <v>45.400000000000034</v>
      </c>
      <c r="FI410" s="146">
        <f t="shared" si="1248"/>
        <v>7.8384798099764064</v>
      </c>
      <c r="FJ410" s="75">
        <f>FJ308</f>
        <v>-138.81999999999996</v>
      </c>
      <c r="FK410" s="146" t="str">
        <f t="shared" si="1249"/>
        <v>NM</v>
      </c>
      <c r="FL410" s="75">
        <f>FL308</f>
        <v>-101.19999999999999</v>
      </c>
      <c r="FM410" s="146">
        <f t="shared" si="1250"/>
        <v>-27.099841521394595</v>
      </c>
      <c r="FN410" s="75">
        <f>FN308</f>
        <v>-105.20000000000005</v>
      </c>
      <c r="FO410" s="146">
        <f t="shared" si="1251"/>
        <v>3.9525691699605403</v>
      </c>
      <c r="FP410" s="75">
        <f>FP308</f>
        <v>-13.999999999999972</v>
      </c>
      <c r="FQ410" s="146" t="str">
        <f t="shared" si="1252"/>
        <v>NM</v>
      </c>
      <c r="FR410" s="75">
        <f>FR308</f>
        <v>-48.399999999999991</v>
      </c>
      <c r="FS410" s="146" t="str">
        <f t="shared" si="1253"/>
        <v>NM</v>
      </c>
      <c r="FT410" s="75">
        <f>FT308</f>
        <v>-38.900000000000006</v>
      </c>
      <c r="FU410" s="146">
        <f t="shared" si="1254"/>
        <v>-19.628099173553693</v>
      </c>
      <c r="FV410" s="75">
        <f>FV308</f>
        <v>-78.399999999999977</v>
      </c>
      <c r="FW410" s="146" t="str">
        <f t="shared" si="1255"/>
        <v>NM</v>
      </c>
      <c r="FX410" s="75">
        <f>FX308</f>
        <v>-86.399999999999977</v>
      </c>
      <c r="FY410" s="146">
        <f t="shared" si="1256"/>
        <v>10.204081632653072</v>
      </c>
      <c r="FZ410" s="75">
        <f>FZ308</f>
        <v>-115.1</v>
      </c>
      <c r="GA410" s="79">
        <f t="shared" si="1257"/>
        <v>33.217592592592624</v>
      </c>
      <c r="GB410" s="75">
        <f>GB308</f>
        <v>-105.80000000000001</v>
      </c>
      <c r="GC410" s="79">
        <f t="shared" si="1257"/>
        <v>-8.0799304952215323</v>
      </c>
      <c r="GD410" s="75">
        <f>GD308</f>
        <v>-136.69999999999999</v>
      </c>
      <c r="GE410" s="79">
        <f t="shared" si="1257"/>
        <v>29.206049149338355</v>
      </c>
      <c r="GF410" s="75">
        <f>GF308</f>
        <v>-163</v>
      </c>
      <c r="GG410" s="79">
        <f t="shared" si="1257"/>
        <v>19.239209948792979</v>
      </c>
      <c r="GH410" s="75">
        <f>GH308</f>
        <v>-146.79999999999998</v>
      </c>
      <c r="GI410" s="79">
        <f t="shared" si="1257"/>
        <v>-9.9386503067484746</v>
      </c>
      <c r="GJ410" s="75">
        <f>GJ308</f>
        <v>-144.77999999999997</v>
      </c>
      <c r="GK410" s="79">
        <f t="shared" si="1257"/>
        <v>-1.3760217983651346</v>
      </c>
      <c r="GL410" s="75">
        <f>GL308</f>
        <v>-148.27999999999997</v>
      </c>
      <c r="GM410" s="79">
        <f t="shared" si="1257"/>
        <v>2.4174609752728227</v>
      </c>
      <c r="GN410" s="75">
        <f>GN308</f>
        <v>-150.02199999999999</v>
      </c>
      <c r="GO410" s="79">
        <f t="shared" si="1257"/>
        <v>1.1748044240625921</v>
      </c>
      <c r="GP410" s="75">
        <f>GP308</f>
        <v>-151.78141999999997</v>
      </c>
      <c r="GQ410" s="79">
        <f t="shared" si="1257"/>
        <v>1.1727746597165689</v>
      </c>
      <c r="GR410" s="75">
        <f>GR308</f>
        <v>-153.55843419999997</v>
      </c>
      <c r="GS410" s="79">
        <f t="shared" si="1258"/>
        <v>1.1707718902616682</v>
      </c>
      <c r="GT410" s="79">
        <f t="shared" si="1259"/>
        <v>0.90426514075188091</v>
      </c>
      <c r="GU410" s="857"/>
    </row>
    <row r="411" spans="1:286" ht="12.75" customHeight="1" x14ac:dyDescent="0.2">
      <c r="A411" s="1"/>
      <c r="B411" s="83" t="s">
        <v>540</v>
      </c>
      <c r="C411" s="79"/>
      <c r="D411" s="79"/>
      <c r="E411" s="199">
        <f>SUM(E403:E410)</f>
        <v>0.60000000000002274</v>
      </c>
      <c r="F411" s="129"/>
      <c r="G411" s="199">
        <f>SUM(G403:G410)</f>
        <v>13.399999999999977</v>
      </c>
      <c r="H411" s="129"/>
      <c r="I411" s="199">
        <f>SUM(I403:I410)</f>
        <v>-9.0999999999999375</v>
      </c>
      <c r="J411" s="129"/>
      <c r="K411" s="199">
        <f>SUM(K403:K410)</f>
        <v>7.7999999999999972</v>
      </c>
      <c r="L411" s="79"/>
      <c r="M411" s="199">
        <f>SUM(M403:M410)</f>
        <v>43.40000000000002</v>
      </c>
      <c r="N411" s="79" t="str">
        <f>IF(ISERROR((M411/E411-1)*100),"NA",IF(((M411/E411-1)*100)&gt;100,"NM",IF(((M411/E411-1)*100)&lt;-50,"NM",(M411/E411-1)*100)))</f>
        <v>NM</v>
      </c>
      <c r="O411" s="199">
        <f>SUM(O403:O410)</f>
        <v>33.600000000000009</v>
      </c>
      <c r="P411" s="79" t="str">
        <f>IF(ISERROR((O412/G412-1)*100),"NA",IF(((O412/G412-1)*100)&gt;100,"NM",IF(((O412/G412-1)*100)&lt;-50,"NM",(O412/G412-1)*100)))</f>
        <v>NA</v>
      </c>
      <c r="Q411" s="199">
        <f>SUM(Q403:Q410)</f>
        <v>34.999999999999957</v>
      </c>
      <c r="R411" s="79" t="str">
        <f>IF(ISERROR((Q411/I411-1)*100),"NA",IF(((Q411/I411-1)*100)&gt;100,"NM",IF(((Q411/I411-1)*100)&lt;-50,"NM",(Q411/I411-1)*100)))</f>
        <v>NM</v>
      </c>
      <c r="S411" s="199">
        <f>SUM(S403:S410)</f>
        <v>17.800000000000011</v>
      </c>
      <c r="T411" s="79" t="str">
        <f>IF(ISERROR((S411/K411-1)*100),"NA",IF(((S411/K411-1)*100)&gt;100,"NM",IF(((S411/K411-1)*100)&lt;-50,"NM",(S411/K411-1)*100)))</f>
        <v>NM</v>
      </c>
      <c r="U411" s="199">
        <f>SUM(U403:U410)</f>
        <v>-304.4000000000006</v>
      </c>
      <c r="V411" s="79" t="str">
        <f t="shared" si="1266"/>
        <v>NM</v>
      </c>
      <c r="W411" s="199">
        <f>SUM(W403:W410)</f>
        <v>163.89999999999998</v>
      </c>
      <c r="X411" s="79" t="str">
        <f t="shared" si="1193"/>
        <v>NM</v>
      </c>
      <c r="Y411" s="199">
        <f>SUM(Y403:Y410)</f>
        <v>173.50000000000028</v>
      </c>
      <c r="Z411" s="79" t="str">
        <f t="shared" si="1194"/>
        <v>NM</v>
      </c>
      <c r="AA411" s="203">
        <f>SUM(AA403:AA410)</f>
        <v>-294.39999999999992</v>
      </c>
      <c r="AB411" s="79" t="str">
        <f t="shared" si="1195"/>
        <v>NM</v>
      </c>
      <c r="AC411" s="199">
        <f>SUM(AC404:AC410)</f>
        <v>-795.5</v>
      </c>
      <c r="AD411" s="79" t="str">
        <f t="shared" si="1196"/>
        <v>NM</v>
      </c>
      <c r="AE411" s="199">
        <f>SUM(AE404:AE410)</f>
        <v>198.60000000000022</v>
      </c>
      <c r="AF411" s="79">
        <f t="shared" si="1197"/>
        <v>21.171446003660922</v>
      </c>
      <c r="AG411" s="199">
        <f>SUM(AG404:AG410)</f>
        <v>191.92999999999998</v>
      </c>
      <c r="AH411" s="79">
        <f t="shared" si="1198"/>
        <v>10.622478386166945</v>
      </c>
      <c r="AI411" s="199">
        <f>SUM(AI404:AI410)</f>
        <v>116.37000000000013</v>
      </c>
      <c r="AJ411" s="79" t="str">
        <f t="shared" si="1199"/>
        <v>NM</v>
      </c>
      <c r="AK411" s="199">
        <f>SUM(AK404:AK410)</f>
        <v>152.80000000000049</v>
      </c>
      <c r="AL411" s="79" t="str">
        <f t="shared" si="1200"/>
        <v>NM</v>
      </c>
      <c r="AM411" s="199">
        <f>SUM(AM404:AM410)</f>
        <v>200.29999999999973</v>
      </c>
      <c r="AN411" s="79">
        <f t="shared" si="1260"/>
        <v>0.85599194360499453</v>
      </c>
      <c r="AO411" s="199">
        <f>SUM(AO404:AO410)</f>
        <v>208.99999999999994</v>
      </c>
      <c r="AP411" s="79">
        <f t="shared" si="1260"/>
        <v>8.89386755587973</v>
      </c>
      <c r="AQ411" s="199">
        <f>SUM(AQ404:AQ410)</f>
        <v>202.23999999999995</v>
      </c>
      <c r="AR411" s="79">
        <f t="shared" si="1260"/>
        <v>73.790495832258941</v>
      </c>
      <c r="AS411" s="199">
        <f>SUM(AS404:AS410)</f>
        <v>201.69999999999987</v>
      </c>
      <c r="AT411" s="81">
        <f t="shared" si="1260"/>
        <v>32.002617801046604</v>
      </c>
      <c r="AU411" s="199">
        <f>SUM(AU404:AU410)</f>
        <v>216.49999999999972</v>
      </c>
      <c r="AV411" s="81">
        <f t="shared" si="1260"/>
        <v>8.0878681977034397</v>
      </c>
      <c r="AW411" s="199">
        <f>SUM(AW404:AW410)</f>
        <v>244.50000000000011</v>
      </c>
      <c r="AX411" s="81">
        <f t="shared" si="1260"/>
        <v>16.985645933014439</v>
      </c>
      <c r="AY411" s="199">
        <f>SUM(AY404:AY410)</f>
        <v>248.00000000000009</v>
      </c>
      <c r="AZ411" s="81">
        <f t="shared" si="1260"/>
        <v>22.626582278481088</v>
      </c>
      <c r="BA411" s="199">
        <f>SUM(BA404:BA410)</f>
        <v>263.59999999999997</v>
      </c>
      <c r="BB411" s="81">
        <f t="shared" si="1260"/>
        <v>30.689142290530548</v>
      </c>
      <c r="BC411" s="199">
        <f>SUM(BC404:BC410)</f>
        <v>275.5</v>
      </c>
      <c r="BD411" s="81">
        <f t="shared" si="1260"/>
        <v>27.251732101616799</v>
      </c>
      <c r="BE411" s="199">
        <f>SUM(BE404:BE410)</f>
        <v>324.99999999999983</v>
      </c>
      <c r="BF411" s="81">
        <f t="shared" si="1261"/>
        <v>32.924335378322979</v>
      </c>
      <c r="BG411" s="199">
        <f>SUM(BG404:BG410)</f>
        <v>318.30000000000007</v>
      </c>
      <c r="BH411" s="81">
        <f t="shared" si="1262"/>
        <v>28.346774193548363</v>
      </c>
      <c r="BI411" s="199">
        <f>SUM(BI404:BI410)</f>
        <v>313.2</v>
      </c>
      <c r="BJ411" s="81">
        <f t="shared" si="1201"/>
        <v>18.816388467374811</v>
      </c>
      <c r="BK411" s="199">
        <f>SUM(BK404:BK410)</f>
        <v>327.89999999999975</v>
      </c>
      <c r="BL411" s="81">
        <f t="shared" si="1202"/>
        <v>19.019963702359256</v>
      </c>
      <c r="BM411" s="199">
        <f>SUM(BM404:BM410)</f>
        <v>319.89999999999986</v>
      </c>
      <c r="BN411" s="81">
        <f t="shared" si="1203"/>
        <v>-1.5692307692307561</v>
      </c>
      <c r="BO411" s="199">
        <f>SUM(BO404:BO410)</f>
        <v>310.20000000000022</v>
      </c>
      <c r="BP411" s="81">
        <f t="shared" si="1204"/>
        <v>-2.5447690857680949</v>
      </c>
      <c r="BQ411" s="199">
        <f>SUM(BQ404:BQ410)</f>
        <v>315.19999999999993</v>
      </c>
      <c r="BR411" s="81">
        <f t="shared" si="1205"/>
        <v>0.63856960408683605</v>
      </c>
      <c r="BS411" s="199">
        <f>SUM(BS404:BS410)</f>
        <v>323.90000000000015</v>
      </c>
      <c r="BT411" s="81">
        <f t="shared" si="1206"/>
        <v>-1.2198841110093284</v>
      </c>
      <c r="BU411" s="199">
        <f>SUM(BU404:BU410)</f>
        <v>319.69999999999982</v>
      </c>
      <c r="BV411" s="81">
        <f t="shared" si="1207"/>
        <v>-6.2519537355443244E-2</v>
      </c>
      <c r="BW411" s="199">
        <f>SUM(BW404:BW410)</f>
        <v>321.79999999999978</v>
      </c>
      <c r="BX411" s="81">
        <f t="shared" si="1208"/>
        <v>3.7395228884589127</v>
      </c>
      <c r="BY411" s="199">
        <f>SUM(BY404:BY410)</f>
        <v>340.1</v>
      </c>
      <c r="BZ411" s="81">
        <f t="shared" si="1209"/>
        <v>7.899746192893442</v>
      </c>
      <c r="CA411" s="199">
        <f>SUM(CA404:CA410)</f>
        <v>343.59999999999997</v>
      </c>
      <c r="CB411" s="81">
        <f t="shared" si="1210"/>
        <v>6.082124112380316</v>
      </c>
      <c r="CC411" s="199">
        <f>SUM(CC404:CC410)</f>
        <v>330.40000000000009</v>
      </c>
      <c r="CD411" s="81">
        <f t="shared" si="1211"/>
        <v>3.3468877072256209</v>
      </c>
      <c r="CE411" s="199">
        <f>SUM(CE404:CE410)</f>
        <v>313.60000000000031</v>
      </c>
      <c r="CF411" s="81">
        <f t="shared" si="1212"/>
        <v>-2.548166563082499</v>
      </c>
      <c r="CG411" s="199">
        <f>SUM(CG404:CG410)</f>
        <v>320.19999999999987</v>
      </c>
      <c r="CH411" s="81">
        <f t="shared" si="1213"/>
        <v>-5.8512202293443565</v>
      </c>
      <c r="CI411" s="199">
        <f>SUM(CI404:CI410)</f>
        <v>342.10000000000014</v>
      </c>
      <c r="CJ411" s="81">
        <f t="shared" si="1214"/>
        <v>-0.43655413271240784</v>
      </c>
      <c r="CK411" s="199">
        <f>SUM(CK404:CK410)</f>
        <v>315.10000000000002</v>
      </c>
      <c r="CL411" s="81">
        <f t="shared" si="1215"/>
        <v>-4.6307506053268943</v>
      </c>
      <c r="CM411" s="199">
        <f>SUM(CM404:CM410)</f>
        <v>336.29999999999973</v>
      </c>
      <c r="CN411" s="81">
        <f t="shared" si="1216"/>
        <v>7.2385204081630627</v>
      </c>
      <c r="CO411" s="199">
        <f>SUM(CO404:CO410)</f>
        <v>309.19999999999993</v>
      </c>
      <c r="CP411" s="81">
        <f t="shared" si="1217"/>
        <v>-3.4353529044347075</v>
      </c>
      <c r="CQ411" s="199">
        <f>SUM(CQ404:CQ410)</f>
        <v>310.09999999999991</v>
      </c>
      <c r="CR411" s="81">
        <f t="shared" si="1218"/>
        <v>-9.3539900613856197</v>
      </c>
      <c r="CS411" s="199">
        <f>SUM(CS404:CS410)</f>
        <v>310.7</v>
      </c>
      <c r="CT411" s="81">
        <f t="shared" si="1219"/>
        <v>-1.396382100920357</v>
      </c>
      <c r="CU411" s="199">
        <f>SUM(CU404:CU410)</f>
        <v>309.69999999999993</v>
      </c>
      <c r="CV411" s="81">
        <f t="shared" si="1220"/>
        <v>-7.9096045197739606</v>
      </c>
      <c r="CW411" s="500">
        <f>SUM(CW404:CW410)</f>
        <v>313.00000000000011</v>
      </c>
      <c r="CX411" s="81">
        <f t="shared" si="1221"/>
        <v>1.2289780077620271</v>
      </c>
      <c r="CY411" s="500">
        <f>SUM(CY404:CY410)</f>
        <v>314.89999999999992</v>
      </c>
      <c r="CZ411" s="81">
        <f t="shared" si="1222"/>
        <v>1.5478877781360811</v>
      </c>
      <c r="DA411" s="500">
        <f>SUM(DA404:DA410)</f>
        <v>316.40000000000003</v>
      </c>
      <c r="DB411" s="81">
        <f t="shared" si="1223"/>
        <v>1.8345671065336466</v>
      </c>
      <c r="DC411" s="500">
        <f>SUM(DC404:DC410)</f>
        <v>313.29999999999995</v>
      </c>
      <c r="DD411" s="81">
        <f t="shared" si="1224"/>
        <v>1.1624152405553811</v>
      </c>
      <c r="DE411" s="500">
        <f>SUM(DE404:DE410)</f>
        <v>324.89999999999975</v>
      </c>
      <c r="DF411" s="81">
        <f t="shared" si="1225"/>
        <v>3.8019169329072344</v>
      </c>
      <c r="DG411" s="500">
        <f>SUM(DG404:DG410)</f>
        <v>338.5</v>
      </c>
      <c r="DH411" s="81">
        <f t="shared" si="1226"/>
        <v>7.4944426802159736</v>
      </c>
      <c r="DI411" s="500">
        <f>SUM(DI404:DI410)</f>
        <v>317.20000000000005</v>
      </c>
      <c r="DJ411" s="81">
        <f t="shared" si="1227"/>
        <v>0.25284450063212116</v>
      </c>
      <c r="DK411" s="500">
        <f>SUM(DK404:DK410)</f>
        <v>325.3</v>
      </c>
      <c r="DL411" s="81">
        <f t="shared" si="1228"/>
        <v>3.8301947015640048</v>
      </c>
      <c r="DM411" s="500">
        <f>SUM(DM404:DM410)</f>
        <v>318.30000000000007</v>
      </c>
      <c r="DN411" s="81">
        <f t="shared" si="1229"/>
        <v>-2.0313942751614911</v>
      </c>
      <c r="DO411" s="500">
        <f>SUM(DO404:DO410)</f>
        <v>318.99999999999994</v>
      </c>
      <c r="DP411" s="81">
        <f t="shared" si="1229"/>
        <v>-5.7607090103397489</v>
      </c>
      <c r="DQ411" s="500">
        <f>SUM(DQ404:DQ410)</f>
        <v>325.50000000000023</v>
      </c>
      <c r="DR411" s="81">
        <f t="shared" si="1230"/>
        <v>2.6166456494325807</v>
      </c>
      <c r="DS411" s="500">
        <f>SUM(DS404:DS410)</f>
        <v>319.2999999999999</v>
      </c>
      <c r="DT411" s="81">
        <f t="shared" si="1231"/>
        <v>-1.8444512757454956</v>
      </c>
      <c r="DU411" s="500">
        <f>SUM(DU404:DU410)</f>
        <v>324.69999999999982</v>
      </c>
      <c r="DV411" s="81">
        <f t="shared" si="1232"/>
        <v>2.0106817467796967</v>
      </c>
      <c r="DW411" s="500">
        <f>SUM(DW404:DW410)</f>
        <v>334.89999999999992</v>
      </c>
      <c r="DX411" s="81">
        <f t="shared" si="1233"/>
        <v>4.9843260188087601</v>
      </c>
      <c r="DY411" s="500">
        <f>SUM(DY404:DY410)</f>
        <v>321.10000000000019</v>
      </c>
      <c r="DZ411" s="81">
        <f t="shared" si="1234"/>
        <v>-1.3517665130568401</v>
      </c>
      <c r="EA411" s="500">
        <f>SUM(EA404:EA410)</f>
        <v>342.79999999999995</v>
      </c>
      <c r="EB411" s="81">
        <f t="shared" si="1235"/>
        <v>7.3598496711556827</v>
      </c>
      <c r="EC411" s="500">
        <f>SUM(EC404:EC410)</f>
        <v>339.89999999999975</v>
      </c>
      <c r="ED411" s="81">
        <f t="shared" si="1236"/>
        <v>4.681244225438852</v>
      </c>
      <c r="EE411" s="500">
        <f>SUM(EE404:EE410)</f>
        <v>353.50000000000011</v>
      </c>
      <c r="EF411" s="81">
        <f t="shared" si="1237"/>
        <v>5.5538966855778416</v>
      </c>
      <c r="EG411" s="500">
        <f>SUM(EG404:EG410)</f>
        <v>356.39999999999992</v>
      </c>
      <c r="EH411" s="81">
        <f t="shared" si="1238"/>
        <v>10.993459981314135</v>
      </c>
      <c r="EI411" s="500">
        <f>SUM(EI404:EI410)</f>
        <v>353.39999999999981</v>
      </c>
      <c r="EJ411" s="81">
        <f t="shared" si="1239"/>
        <v>3.0921820303383418</v>
      </c>
      <c r="EK411" s="199">
        <f t="shared" ref="EK411:EQ411" si="1271">SUM(EK404:EK410)</f>
        <v>350.70513468194838</v>
      </c>
      <c r="EL411" s="81">
        <f t="shared" si="1241"/>
        <v>3.17891576403313</v>
      </c>
      <c r="EM411" s="199">
        <f t="shared" si="1271"/>
        <v>353.02545439877946</v>
      </c>
      <c r="EN411" s="81">
        <f t="shared" si="1242"/>
        <v>-0.13424203712041338</v>
      </c>
      <c r="EO411" s="199">
        <f t="shared" si="1271"/>
        <v>354.43037123584179</v>
      </c>
      <c r="EP411" s="81">
        <f t="shared" si="1243"/>
        <v>-0.55264555672226434</v>
      </c>
      <c r="EQ411" s="199">
        <f t="shared" si="1271"/>
        <v>356.7361461005865</v>
      </c>
      <c r="ER411" s="81">
        <f t="shared" si="1244"/>
        <v>0.94401417673646293</v>
      </c>
      <c r="ES411" s="129"/>
      <c r="ET411" s="465"/>
      <c r="EU411" s="129"/>
      <c r="EV411" s="129"/>
      <c r="EW411" s="79"/>
      <c r="EX411" s="129"/>
      <c r="EY411" s="79"/>
      <c r="EZ411" s="129"/>
      <c r="FA411" s="79"/>
      <c r="FB411" s="199">
        <f>SUM(FB404:FB410)</f>
        <v>67</v>
      </c>
      <c r="FC411" s="79" t="str">
        <f t="shared" si="1245"/>
        <v>NA</v>
      </c>
      <c r="FD411" s="199">
        <f>SUM(FD404:FD410)</f>
        <v>1057.3000000000009</v>
      </c>
      <c r="FE411" s="79" t="str">
        <f t="shared" si="1246"/>
        <v>NM</v>
      </c>
      <c r="FF411" s="199">
        <f>SUM(FF404:FF410)</f>
        <v>-67.899999999999352</v>
      </c>
      <c r="FG411" s="79" t="str">
        <f t="shared" si="1247"/>
        <v>NM</v>
      </c>
      <c r="FH411" s="199">
        <f>SUM(FH404:FH410)</f>
        <v>-135.00000000000017</v>
      </c>
      <c r="FI411" s="79">
        <f t="shared" si="1248"/>
        <v>98.821796759943254</v>
      </c>
      <c r="FJ411" s="199">
        <f>SUM(FJ404:FJ410)</f>
        <v>764.34000000000094</v>
      </c>
      <c r="FK411" s="79" t="str">
        <f t="shared" si="1249"/>
        <v>NM</v>
      </c>
      <c r="FL411" s="199">
        <f>SUM(FL404:FL410)</f>
        <v>910.70000000000027</v>
      </c>
      <c r="FM411" s="79">
        <f t="shared" si="1250"/>
        <v>19.148546458382288</v>
      </c>
      <c r="FN411" s="199">
        <f>SUM(FN404:FN410)</f>
        <v>1182.4000000000001</v>
      </c>
      <c r="FO411" s="79">
        <f t="shared" si="1251"/>
        <v>29.834193477544723</v>
      </c>
      <c r="FP411" s="199">
        <f>SUM(FP404:FP410)</f>
        <v>1271.1999999999998</v>
      </c>
      <c r="FQ411" s="79">
        <f t="shared" si="1252"/>
        <v>7.5101488497969937</v>
      </c>
      <c r="FR411" s="199">
        <f>SUM(FR404:FR410)</f>
        <v>1315.6999999999989</v>
      </c>
      <c r="FS411" s="79">
        <f t="shared" si="1253"/>
        <v>3.5006293266204525</v>
      </c>
      <c r="FT411" s="199">
        <f>SUM(FT404:FT410)</f>
        <v>1327.6999999999991</v>
      </c>
      <c r="FU411" s="79">
        <f t="shared" si="1254"/>
        <v>0.91206202021738569</v>
      </c>
      <c r="FV411" s="199">
        <f>SUM(FV404:FV410)</f>
        <v>1313.6999999999998</v>
      </c>
      <c r="FW411" s="79">
        <f t="shared" si="1255"/>
        <v>-1.0544550726820257</v>
      </c>
      <c r="FX411" s="199">
        <f>SUM(FX404:FX410)</f>
        <v>1255.7999999999988</v>
      </c>
      <c r="FY411" s="79">
        <f t="shared" si="1256"/>
        <v>-4.4073989495319381</v>
      </c>
      <c r="FZ411" s="199">
        <f>SUM(FZ404:FZ410)</f>
        <v>1257.5999999999999</v>
      </c>
      <c r="GA411" s="79">
        <f t="shared" si="1257"/>
        <v>0.14333492594371666</v>
      </c>
      <c r="GB411" s="199">
        <f>SUM(GB404:GB410)</f>
        <v>1305.9000000000001</v>
      </c>
      <c r="GC411" s="79">
        <f t="shared" si="1257"/>
        <v>3.8406488549618478</v>
      </c>
      <c r="GD411" s="199">
        <f>SUM(GD404:GD410)</f>
        <v>1282.0999999999997</v>
      </c>
      <c r="GE411" s="79">
        <f t="shared" si="1257"/>
        <v>-1.8224978941726366</v>
      </c>
      <c r="GF411" s="199">
        <f>SUM(GF404:GF410)</f>
        <v>1323.5000000000011</v>
      </c>
      <c r="GG411" s="79">
        <f t="shared" si="1257"/>
        <v>3.2290772950628988</v>
      </c>
      <c r="GH411" s="199">
        <f>SUM(GH404:GH410)</f>
        <v>1403.1999999999996</v>
      </c>
      <c r="GI411" s="79">
        <f t="shared" si="1257"/>
        <v>6.021911598035401</v>
      </c>
      <c r="GJ411" s="199">
        <f>SUM(GJ404:GJ410)</f>
        <v>1414.8971064171565</v>
      </c>
      <c r="GK411" s="79">
        <f t="shared" si="1257"/>
        <v>0.83360222471187129</v>
      </c>
      <c r="GL411" s="199">
        <f>SUM(GL404:GL410)</f>
        <v>1448.9117131662904</v>
      </c>
      <c r="GM411" s="79">
        <f t="shared" si="1257"/>
        <v>2.4040339466992577</v>
      </c>
      <c r="GN411" s="199">
        <f>SUM(GN404:GN410)</f>
        <v>1489.5856145858661</v>
      </c>
      <c r="GO411" s="79">
        <f t="shared" si="1257"/>
        <v>2.8072035756196323</v>
      </c>
      <c r="GP411" s="199">
        <f>SUM(GP404:GP410)</f>
        <v>1535.4955462668161</v>
      </c>
      <c r="GQ411" s="79">
        <f t="shared" si="1257"/>
        <v>3.0820606235321346</v>
      </c>
      <c r="GR411" s="199">
        <f>SUM(GR404:GR410)</f>
        <v>1575.4640968302349</v>
      </c>
      <c r="GS411" s="79">
        <f t="shared" si="1258"/>
        <v>2.6029740470815854</v>
      </c>
      <c r="GT411" s="79">
        <f t="shared" si="1259"/>
        <v>2.3429159936003474</v>
      </c>
      <c r="GU411" s="857"/>
    </row>
    <row r="412" spans="1:286" ht="12.75" customHeight="1" x14ac:dyDescent="0.2">
      <c r="A412" s="1"/>
      <c r="B412" s="10" t="s">
        <v>345</v>
      </c>
      <c r="C412" s="79"/>
      <c r="D412" s="79"/>
      <c r="E412" s="290">
        <f>E162+E208+E242+E279+E332+E354</f>
        <v>0</v>
      </c>
      <c r="F412" s="129"/>
      <c r="G412" s="290">
        <f>G162+G208+G242+G279+G332+G354</f>
        <v>0</v>
      </c>
      <c r="H412" s="129"/>
      <c r="I412" s="290">
        <f>I162+I208+I242+I279+I332+I354</f>
        <v>0</v>
      </c>
      <c r="J412" s="129"/>
      <c r="K412" s="290">
        <f>K162+K208+K242+K279+K332+K354</f>
        <v>0</v>
      </c>
      <c r="L412" s="79"/>
      <c r="M412" s="290">
        <f>M162+M208+M242+M279+M332+M354</f>
        <v>0</v>
      </c>
      <c r="N412" s="79" t="str">
        <f>IF(ISERROR((M412/E412-1)*100),"NA",IF(((M412/E412-1)*100)&gt;100,"NM",IF(((M412/E412-1)*100)&lt;-50,"NM",(M412/E412-1)*100)))</f>
        <v>NA</v>
      </c>
      <c r="O412" s="290">
        <f>O162+O208+O242+O279+O332+O354</f>
        <v>0</v>
      </c>
      <c r="P412" s="79">
        <f>IF(ISERROR((O413/G413-1)*100),"NA",IF(((O413/G413-1)*100)&gt;100,"NM",IF(((O413/G413-1)*100)&lt;-50,"NM",(O413/G413-1)*100)))</f>
        <v>7.2504708097928416</v>
      </c>
      <c r="Q412" s="290">
        <f>Q162+Q208+Q242+Q279+Q332+Q354</f>
        <v>0</v>
      </c>
      <c r="R412" s="79" t="str">
        <f>IF(ISERROR((Q412/I412-1)*100),"NA",IF(((Q412/I412-1)*100)&gt;100,"NM",IF(((Q412/I412-1)*100)&lt;-50,"NM",(Q412/I412-1)*100)))</f>
        <v>NA</v>
      </c>
      <c r="S412" s="290">
        <f>S162+S208+S242+S279+S332+S354</f>
        <v>0</v>
      </c>
      <c r="T412" s="79" t="str">
        <f>IF(ISERROR((S412/K412-1)*100),"NA",IF(((S412/K412-1)*100)&gt;100,"NM",IF(((S412/K412-1)*100)&lt;-50,"NM",(S412/K412-1)*100)))</f>
        <v>NA</v>
      </c>
      <c r="U412" s="290">
        <f>U162+U208+U242+U279+U332+U354</f>
        <v>0</v>
      </c>
      <c r="V412" s="79" t="str">
        <f t="shared" si="1266"/>
        <v>NA</v>
      </c>
      <c r="W412" s="290">
        <f>W162+W208+W242+W279+W332+W354</f>
        <v>0</v>
      </c>
      <c r="X412" s="79" t="str">
        <f t="shared" si="1193"/>
        <v>NA</v>
      </c>
      <c r="Y412" s="290">
        <f>Y162+Y208+Y242+Y279+Y332+Y354</f>
        <v>0</v>
      </c>
      <c r="Z412" s="79" t="str">
        <f t="shared" si="1194"/>
        <v>NA</v>
      </c>
      <c r="AA412" s="315">
        <f>AA162+AA208+AA242+AA279+AA332+AA354</f>
        <v>0</v>
      </c>
      <c r="AB412" s="79" t="str">
        <f t="shared" si="1195"/>
        <v>NA</v>
      </c>
      <c r="AC412" s="290">
        <f>AC162+AC208+AC242+AC279+AC332+AC354</f>
        <v>0</v>
      </c>
      <c r="AD412" s="79" t="str">
        <f t="shared" si="1196"/>
        <v>NA</v>
      </c>
      <c r="AE412" s="290">
        <f>AE162+AE208+AE242+AE279+AE332+AE354</f>
        <v>0</v>
      </c>
      <c r="AF412" s="79" t="str">
        <f t="shared" si="1197"/>
        <v>NA</v>
      </c>
      <c r="AG412" s="290">
        <f>AG162+AG208+AG242+AG279+AG332+AG354</f>
        <v>0</v>
      </c>
      <c r="AH412" s="79" t="str">
        <f t="shared" si="1198"/>
        <v>NA</v>
      </c>
      <c r="AI412" s="290">
        <f>AI162+AI208+AI242+AI279+AI332+AI354</f>
        <v>0</v>
      </c>
      <c r="AJ412" s="79" t="str">
        <f t="shared" si="1199"/>
        <v>NA</v>
      </c>
      <c r="AK412" s="290">
        <f>AK162+AK208+AK242+AK279+AK332+AK354</f>
        <v>32</v>
      </c>
      <c r="AL412" s="79" t="str">
        <f t="shared" si="1200"/>
        <v>NA</v>
      </c>
      <c r="AM412" s="290">
        <f>AM162+AM208+AM242+AM279+AM332+AM354</f>
        <v>0</v>
      </c>
      <c r="AN412" s="79" t="str">
        <f t="shared" si="1260"/>
        <v>NA</v>
      </c>
      <c r="AO412" s="290">
        <f>AO162+AO208+AO242+AO279+AO332+AO354</f>
        <v>0</v>
      </c>
      <c r="AP412" s="79" t="str">
        <f t="shared" si="1260"/>
        <v>NA</v>
      </c>
      <c r="AQ412" s="290">
        <f>AQ162+AQ208+AQ242+AQ279+AQ332+AQ354</f>
        <v>-14.940000000000001</v>
      </c>
      <c r="AR412" s="79" t="str">
        <f t="shared" si="1260"/>
        <v>NA</v>
      </c>
      <c r="AS412" s="290">
        <f>AS162+AS208+AS242+AS279+AS332+AS354</f>
        <v>0</v>
      </c>
      <c r="AT412" s="81" t="str">
        <f t="shared" si="1260"/>
        <v>NM</v>
      </c>
      <c r="AU412" s="290">
        <f>AU162+AU208+AU242+AU279+AU332+AU354</f>
        <v>0</v>
      </c>
      <c r="AV412" s="81" t="str">
        <f t="shared" si="1260"/>
        <v>NA</v>
      </c>
      <c r="AW412" s="290">
        <f>AW162+AW208+AW242+AW279+AW332+AW354</f>
        <v>0</v>
      </c>
      <c r="AX412" s="81" t="str">
        <f t="shared" si="1260"/>
        <v>NA</v>
      </c>
      <c r="AY412" s="290">
        <f>AY162+AY208+AY242+AY279+AY332+AY354</f>
        <v>17</v>
      </c>
      <c r="AZ412" s="81" t="str">
        <f t="shared" si="1260"/>
        <v>NM</v>
      </c>
      <c r="BA412" s="290">
        <f>BA162+BA208+BA242+BA279+BA332+BA354</f>
        <v>0</v>
      </c>
      <c r="BB412" s="81" t="str">
        <f t="shared" si="1260"/>
        <v>NA</v>
      </c>
      <c r="BC412" s="290">
        <f>BC162+BC208+BC242+BC279+BC332+BC354</f>
        <v>0</v>
      </c>
      <c r="BD412" s="81" t="str">
        <f t="shared" si="1260"/>
        <v>NA</v>
      </c>
      <c r="BE412" s="290">
        <f>BE162+BE208+BE242+BE279+BE332+BE354</f>
        <v>0</v>
      </c>
      <c r="BF412" s="81" t="str">
        <f t="shared" si="1261"/>
        <v>NA</v>
      </c>
      <c r="BG412" s="290">
        <f>BG162+BG208+BG242+BG279+BG332+BG354</f>
        <v>-11.5</v>
      </c>
      <c r="BH412" s="81" t="str">
        <f t="shared" si="1262"/>
        <v>NM</v>
      </c>
      <c r="BI412" s="290">
        <f>BI162+BI208+BI242+BI279+BI332+BI354</f>
        <v>0</v>
      </c>
      <c r="BJ412" s="81" t="str">
        <f t="shared" si="1201"/>
        <v>NA</v>
      </c>
      <c r="BK412" s="290">
        <f>BK162+BK208+BK242+BK279+BK332+BK354</f>
        <v>13</v>
      </c>
      <c r="BL412" s="81" t="str">
        <f t="shared" si="1202"/>
        <v>NA</v>
      </c>
      <c r="BM412" s="290">
        <f>BM162+BM208+BM242+BM279+BM332+BM354</f>
        <v>5.7</v>
      </c>
      <c r="BN412" s="81" t="str">
        <f t="shared" si="1203"/>
        <v>NA</v>
      </c>
      <c r="BO412" s="290">
        <f>BO162+BO208+BO242+BO279+BO332+BO354</f>
        <v>0</v>
      </c>
      <c r="BP412" s="81" t="str">
        <f t="shared" si="1204"/>
        <v>NM</v>
      </c>
      <c r="BQ412" s="290">
        <f>BQ162+BQ208+BQ242+BQ279+BQ332+BQ354</f>
        <v>0</v>
      </c>
      <c r="BR412" s="81" t="str">
        <f t="shared" si="1205"/>
        <v>NA</v>
      </c>
      <c r="BS412" s="290">
        <f>BS162+BS208+BS242+BS279+BS332+BS354</f>
        <v>0</v>
      </c>
      <c r="BT412" s="81" t="str">
        <f t="shared" si="1206"/>
        <v>NM</v>
      </c>
      <c r="BU412" s="290">
        <f>BU162+BU208+BU242+BU279+BU332+BU354</f>
        <v>0</v>
      </c>
      <c r="BV412" s="81" t="str">
        <f t="shared" si="1207"/>
        <v>NM</v>
      </c>
      <c r="BW412" s="290">
        <f>BW162+BW208+BW242+BW279+BW332+BW354</f>
        <v>0</v>
      </c>
      <c r="BX412" s="81" t="str">
        <f t="shared" si="1208"/>
        <v>NA</v>
      </c>
      <c r="BY412" s="290">
        <f>BY162+BY208+BY242+BY279+BY332+BY354</f>
        <v>0</v>
      </c>
      <c r="BZ412" s="81" t="str">
        <f t="shared" si="1209"/>
        <v>NA</v>
      </c>
      <c r="CA412" s="290">
        <f>CA162+CA208+CA242+CA279+CA332+CA354</f>
        <v>0</v>
      </c>
      <c r="CB412" s="81" t="str">
        <f t="shared" si="1210"/>
        <v>NA</v>
      </c>
      <c r="CC412" s="290">
        <f>CC162+CC208+CC242+CC279+CC332+CC354</f>
        <v>0</v>
      </c>
      <c r="CD412" s="81" t="str">
        <f t="shared" si="1211"/>
        <v>NA</v>
      </c>
      <c r="CE412" s="290">
        <f>CE162+CE208+CE242+CE279+CE332+CE354</f>
        <v>0</v>
      </c>
      <c r="CF412" s="81" t="str">
        <f t="shared" si="1212"/>
        <v>NA</v>
      </c>
      <c r="CG412" s="290">
        <f>CG162+CG208+CG242+CG279+CG332+CG354</f>
        <v>0</v>
      </c>
      <c r="CH412" s="81" t="str">
        <f t="shared" si="1213"/>
        <v>NA</v>
      </c>
      <c r="CI412" s="290">
        <f>CI162+CI208+CI242+CI279+CI332+CI354</f>
        <v>4</v>
      </c>
      <c r="CJ412" s="81" t="str">
        <f t="shared" si="1214"/>
        <v>NA</v>
      </c>
      <c r="CK412" s="290">
        <f>CK162+CK208+CK242+CK279+CK332+CK354</f>
        <v>5.5</v>
      </c>
      <c r="CL412" s="81" t="str">
        <f t="shared" si="1215"/>
        <v>NA</v>
      </c>
      <c r="CM412" s="290">
        <f>CM162+CM208+CM242+CM279+CM332+CM354</f>
        <v>-953.1</v>
      </c>
      <c r="CN412" s="81" t="str">
        <f t="shared" si="1216"/>
        <v>NA</v>
      </c>
      <c r="CO412" s="290">
        <f>CO162+CO208+CO242+CO279+CO332+CO354</f>
        <v>0</v>
      </c>
      <c r="CP412" s="81" t="str">
        <f t="shared" si="1217"/>
        <v>NA</v>
      </c>
      <c r="CQ412" s="290">
        <f>CQ162+CQ208+CQ242+CQ279+CQ332+CQ354</f>
        <v>0</v>
      </c>
      <c r="CR412" s="81" t="str">
        <f t="shared" si="1218"/>
        <v>NM</v>
      </c>
      <c r="CS412" s="290">
        <f>CS162+CS208+CS242+CS279+CS332+CS354</f>
        <v>0</v>
      </c>
      <c r="CT412" s="81" t="str">
        <f t="shared" si="1219"/>
        <v>NM</v>
      </c>
      <c r="CU412" s="290">
        <f>CU162+CU208+CU242+CU279+CU332+CU354</f>
        <v>0</v>
      </c>
      <c r="CV412" s="81" t="str">
        <f t="shared" si="1220"/>
        <v>NM</v>
      </c>
      <c r="CW412" s="290">
        <f>CW162+CW208+CW242+CW279+CW332+CW354</f>
        <v>-1</v>
      </c>
      <c r="CX412" s="81" t="str">
        <f t="shared" si="1221"/>
        <v>NA</v>
      </c>
      <c r="CY412" s="290">
        <f>CY162+CY208+CY242+CY279+CY332+CY354</f>
        <v>0</v>
      </c>
      <c r="CZ412" s="81" t="str">
        <f t="shared" si="1222"/>
        <v>NA</v>
      </c>
      <c r="DA412" s="290">
        <f>DA162+DA208+DA242+DA279+DA332+DA354</f>
        <v>0</v>
      </c>
      <c r="DB412" s="81" t="str">
        <f t="shared" si="1223"/>
        <v>NA</v>
      </c>
      <c r="DC412" s="290">
        <f>DC162+DC208+DC242+DC279+DC332+DC354</f>
        <v>-10.500000000000004</v>
      </c>
      <c r="DD412" s="81" t="str">
        <f t="shared" si="1224"/>
        <v>NA</v>
      </c>
      <c r="DE412" s="290">
        <f>DE162+DE208+DE242+DE279+DE332+DE354</f>
        <v>0</v>
      </c>
      <c r="DF412" s="81" t="str">
        <f t="shared" si="1225"/>
        <v>NM</v>
      </c>
      <c r="DG412" s="290">
        <f>DG162+DG208+DG242+DG279+DG332+DG354+DG307</f>
        <v>-13.2</v>
      </c>
      <c r="DH412" s="81" t="str">
        <f t="shared" si="1226"/>
        <v>NA</v>
      </c>
      <c r="DI412" s="290">
        <f>DI162+DI208+DI242+DI279+DI332+DI354+DI307</f>
        <v>0</v>
      </c>
      <c r="DJ412" s="81" t="str">
        <f t="shared" si="1227"/>
        <v>NA</v>
      </c>
      <c r="DK412" s="290">
        <f>DK162+DK208+DK242+DK279+DK332+DK354+DK307</f>
        <v>-698.2</v>
      </c>
      <c r="DL412" s="81" t="str">
        <f t="shared" si="1228"/>
        <v>NM</v>
      </c>
      <c r="DM412" s="290">
        <f>DM162+DM208+DM242+DM279+DM332+DM354+DM307</f>
        <v>0</v>
      </c>
      <c r="DN412" s="81" t="str">
        <f t="shared" si="1229"/>
        <v>NA</v>
      </c>
      <c r="DO412" s="290">
        <f>DO162+DO208+DO242+DO279+DO332+DO354+DO307</f>
        <v>0</v>
      </c>
      <c r="DP412" s="81" t="str">
        <f t="shared" si="1229"/>
        <v>NM</v>
      </c>
      <c r="DQ412" s="290">
        <f>DQ162+DQ208+DQ242+DQ279+DQ332+DQ354+DQ307</f>
        <v>0</v>
      </c>
      <c r="DR412" s="81" t="str">
        <f t="shared" si="1230"/>
        <v>NA</v>
      </c>
      <c r="DS412" s="290">
        <f>DS162+DS208+DS242+DS279+DS332+DS354+DS307</f>
        <v>0</v>
      </c>
      <c r="DT412" s="81" t="str">
        <f t="shared" si="1231"/>
        <v>NM</v>
      </c>
      <c r="DU412" s="290">
        <f>DU162+DU208+DU242+DU279+DU332+DU354+DU307</f>
        <v>0</v>
      </c>
      <c r="DV412" s="81" t="str">
        <f t="shared" si="1232"/>
        <v>NA</v>
      </c>
      <c r="DW412" s="290">
        <f>DW162+DW208+DW242+DW279+DW332+DW354+DW307</f>
        <v>0</v>
      </c>
      <c r="DX412" s="81" t="str">
        <f t="shared" si="1233"/>
        <v>NA</v>
      </c>
      <c r="DY412" s="290">
        <f>DY162+DY208+DY242+DY279+DY332+DY354+DY307</f>
        <v>0</v>
      </c>
      <c r="DZ412" s="81" t="str">
        <f t="shared" si="1234"/>
        <v>NA</v>
      </c>
      <c r="EA412" s="290">
        <f>EA162+EA208+EA242+EA279+EA332+EA354+EA307</f>
        <v>0</v>
      </c>
      <c r="EB412" s="81" t="str">
        <f t="shared" si="1235"/>
        <v>NA</v>
      </c>
      <c r="EC412" s="290">
        <f>EC162+EC208+EC242+EC279+EC332+EC354+EC307</f>
        <v>0</v>
      </c>
      <c r="ED412" s="81" t="str">
        <f t="shared" si="1236"/>
        <v>NA</v>
      </c>
      <c r="EE412" s="290">
        <f>EE162+EE208+EE242+EE279+EE332+EE354+EE307</f>
        <v>0</v>
      </c>
      <c r="EF412" s="81" t="str">
        <f t="shared" si="1237"/>
        <v>NA</v>
      </c>
      <c r="EG412" s="290">
        <f>EG162+EG208+EG242+EG279+EG332+EG354+EG307</f>
        <v>0</v>
      </c>
      <c r="EH412" s="81" t="str">
        <f t="shared" si="1238"/>
        <v>NA</v>
      </c>
      <c r="EI412" s="290">
        <f>EI162+EI208+EI242+EI279+EI332+EI354+EI307</f>
        <v>19.5</v>
      </c>
      <c r="EJ412" s="81" t="str">
        <f t="shared" si="1239"/>
        <v>NA</v>
      </c>
      <c r="EK412" s="290">
        <f t="shared" ref="EK412:EQ412" si="1272">EK162+EK208+EK242+EK279+EK332+EK354+EK307</f>
        <v>0</v>
      </c>
      <c r="EL412" s="81" t="str">
        <f t="shared" si="1241"/>
        <v>NA</v>
      </c>
      <c r="EM412" s="290">
        <f t="shared" si="1272"/>
        <v>0</v>
      </c>
      <c r="EN412" s="81" t="str">
        <f t="shared" si="1242"/>
        <v>NA</v>
      </c>
      <c r="EO412" s="290">
        <f t="shared" si="1272"/>
        <v>0</v>
      </c>
      <c r="EP412" s="81" t="str">
        <f t="shared" si="1243"/>
        <v>NA</v>
      </c>
      <c r="EQ412" s="290">
        <f t="shared" si="1272"/>
        <v>0</v>
      </c>
      <c r="ER412" s="81" t="str">
        <f t="shared" si="1244"/>
        <v>NM</v>
      </c>
      <c r="ES412" s="316"/>
      <c r="ET412" s="473"/>
      <c r="EU412" s="316"/>
      <c r="EV412" s="316"/>
      <c r="EW412" s="176"/>
      <c r="EX412" s="316"/>
      <c r="EY412" s="176"/>
      <c r="EZ412" s="316"/>
      <c r="FA412" s="176"/>
      <c r="FB412" s="290">
        <f>FB162+FB208+FB242+FB279+FB332+FB354</f>
        <v>0</v>
      </c>
      <c r="FC412" s="176" t="str">
        <f t="shared" si="1245"/>
        <v>NA</v>
      </c>
      <c r="FD412" s="290">
        <f>FD162+FD208+FD242+FD279+FD332+FD354</f>
        <v>0</v>
      </c>
      <c r="FE412" s="176" t="str">
        <f t="shared" si="1246"/>
        <v>NA</v>
      </c>
      <c r="FF412" s="290">
        <f>FF162+FF208+FF242+FF279+FF332+FF354</f>
        <v>0</v>
      </c>
      <c r="FG412" s="176" t="str">
        <f t="shared" si="1247"/>
        <v>NA</v>
      </c>
      <c r="FH412" s="290">
        <f>FH162+FH208+FH242+FH279+FH332+FH354</f>
        <v>0</v>
      </c>
      <c r="FI412" s="176" t="str">
        <f t="shared" si="1248"/>
        <v>NA</v>
      </c>
      <c r="FJ412" s="290">
        <f>FJ162+FJ208+FJ242+FJ279+FJ332+FJ354</f>
        <v>17.059999999999999</v>
      </c>
      <c r="FK412" s="176" t="str">
        <f t="shared" si="1249"/>
        <v>NA</v>
      </c>
      <c r="FL412" s="290">
        <f>FL162+FL208+FL242+FL279+FL332+FL354</f>
        <v>17</v>
      </c>
      <c r="FM412" s="176">
        <f t="shared" si="1250"/>
        <v>-0.35169988276669839</v>
      </c>
      <c r="FN412" s="290">
        <f>FN162+FN208+FN242+FN279+FN332+FN354</f>
        <v>-11.5</v>
      </c>
      <c r="FO412" s="176" t="str">
        <f t="shared" si="1251"/>
        <v>NM</v>
      </c>
      <c r="FP412" s="290">
        <f>FP162+FP208+FP242+FP279+FP332+FP354</f>
        <v>18.7</v>
      </c>
      <c r="FQ412" s="176" t="str">
        <f t="shared" si="1252"/>
        <v>NM</v>
      </c>
      <c r="FR412" s="290">
        <f>FR162+FR208+FR242+FR279+FR332+FR354</f>
        <v>0</v>
      </c>
      <c r="FS412" s="176" t="str">
        <f t="shared" si="1253"/>
        <v>NM</v>
      </c>
      <c r="FT412" s="290">
        <f>FT162+FT208+FT242+FT279+FT332+FT354</f>
        <v>0</v>
      </c>
      <c r="FU412" s="176" t="str">
        <f t="shared" si="1254"/>
        <v>NA</v>
      </c>
      <c r="FV412" s="290">
        <f>FV162+FV208+FV242+FV279+FV332+FV354</f>
        <v>-943.6</v>
      </c>
      <c r="FW412" s="176" t="str">
        <f t="shared" si="1255"/>
        <v>NA</v>
      </c>
      <c r="FX412" s="290">
        <f>FX162+FX208+FX242+FX279+FX332+FX354</f>
        <v>0</v>
      </c>
      <c r="FY412" s="176" t="str">
        <f t="shared" si="1256"/>
        <v>NM</v>
      </c>
      <c r="FZ412" s="290">
        <f>FZ162+FZ208+FZ242+FZ279+FZ332+FZ354</f>
        <v>-11.5</v>
      </c>
      <c r="GA412" s="79" t="str">
        <f t="shared" si="1257"/>
        <v>NA</v>
      </c>
      <c r="GB412" s="290">
        <f>GB162+GB208+GB242+GB279+GB332+GB354+GB307</f>
        <v>-711.40000000000009</v>
      </c>
      <c r="GC412" s="79" t="str">
        <f t="shared" si="1257"/>
        <v>NM</v>
      </c>
      <c r="GD412" s="290">
        <f>GD162+GD208+GD242+GD279+GD332+GD354+GD307</f>
        <v>0</v>
      </c>
      <c r="GE412" s="79" t="str">
        <f t="shared" si="1257"/>
        <v>NM</v>
      </c>
      <c r="GF412" s="290">
        <f>GF162+GF208+GF242+GF279+GF332+GF354+GF307</f>
        <v>0</v>
      </c>
      <c r="GG412" s="79" t="str">
        <f t="shared" si="1257"/>
        <v>NA</v>
      </c>
      <c r="GH412" s="290">
        <f>GH162+GH208+GH242+GH279+GH332+GH354+GH307</f>
        <v>19.5</v>
      </c>
      <c r="GI412" s="79" t="str">
        <f t="shared" si="1257"/>
        <v>NA</v>
      </c>
      <c r="GJ412" s="290">
        <f>GJ162+GJ208+GJ242+GJ279+GJ332+GJ354+GJ307</f>
        <v>0</v>
      </c>
      <c r="GK412" s="79" t="str">
        <f t="shared" si="1257"/>
        <v>NM</v>
      </c>
      <c r="GL412" s="290">
        <f>GL162+GL208+GL242+GL279+GL332+GL354+GL307</f>
        <v>0</v>
      </c>
      <c r="GM412" s="79" t="str">
        <f t="shared" si="1257"/>
        <v>NA</v>
      </c>
      <c r="GN412" s="290">
        <f>GN162+GN208+GN242+GN279+GN332+GN354+GN307</f>
        <v>0</v>
      </c>
      <c r="GO412" s="79" t="str">
        <f t="shared" si="1257"/>
        <v>NA</v>
      </c>
      <c r="GP412" s="290">
        <f>GP162+GP208+GP242+GP279+GP332+GP354+GP307</f>
        <v>0</v>
      </c>
      <c r="GQ412" s="79" t="str">
        <f t="shared" si="1257"/>
        <v>NA</v>
      </c>
      <c r="GR412" s="290">
        <f>GR162+GR208+GR242+GR279+GR332+GR354+GR307</f>
        <v>0</v>
      </c>
      <c r="GS412" s="79" t="str">
        <f t="shared" si="1258"/>
        <v>NA</v>
      </c>
      <c r="GT412" s="79" t="str">
        <f t="shared" si="1259"/>
        <v>NM</v>
      </c>
      <c r="GU412" s="857"/>
    </row>
    <row r="413" spans="1:286" ht="12.75" customHeight="1" x14ac:dyDescent="0.2">
      <c r="A413" s="1" t="s">
        <v>323</v>
      </c>
      <c r="B413" s="83" t="s">
        <v>346</v>
      </c>
      <c r="C413" s="79"/>
      <c r="D413" s="79"/>
      <c r="E413" s="199">
        <v>226.7</v>
      </c>
      <c r="F413" s="129"/>
      <c r="G413" s="199">
        <v>212.4</v>
      </c>
      <c r="H413" s="129"/>
      <c r="I413" s="199">
        <v>178.3</v>
      </c>
      <c r="J413" s="129"/>
      <c r="K413" s="199">
        <v>225.2</v>
      </c>
      <c r="L413" s="79"/>
      <c r="M413" s="199">
        <v>215.4</v>
      </c>
      <c r="N413" s="79">
        <f t="shared" ref="N413:V415" si="1273">IF(ISERROR((M413/E413-1)*100),"NA",IF(((M413/E413-1)*100)&gt;100,"NM",IF(((M413/E413-1)*100)&lt;-50,"NM",(M413/E413-1)*100)))</f>
        <v>-4.9845610939567635</v>
      </c>
      <c r="O413" s="199">
        <v>227.8</v>
      </c>
      <c r="P413" s="79">
        <f t="shared" si="1273"/>
        <v>7.2504708097928416</v>
      </c>
      <c r="Q413" s="199">
        <v>232</v>
      </c>
      <c r="R413" s="79">
        <f t="shared" si="1273"/>
        <v>30.117779024116654</v>
      </c>
      <c r="S413" s="199">
        <v>227.1</v>
      </c>
      <c r="T413" s="79">
        <f t="shared" si="1273"/>
        <v>0.84369449378329797</v>
      </c>
      <c r="U413" s="199">
        <f>U411+U412</f>
        <v>-304.4000000000006</v>
      </c>
      <c r="V413" s="79" t="str">
        <f t="shared" si="1273"/>
        <v>NM</v>
      </c>
      <c r="W413" s="199">
        <f>W411+W412</f>
        <v>163.89999999999998</v>
      </c>
      <c r="X413" s="79">
        <f>IF(ISERROR((W413/O413-1)*100),"NA",IF(((W413/O413-1)*100)&gt;100,"NM",IF(((W413/O413-1)*100)&lt;-50,"NM",(W413/O413-1)*100)))</f>
        <v>-28.050921861281843</v>
      </c>
      <c r="Y413" s="199">
        <f>Y411+Y412</f>
        <v>173.50000000000028</v>
      </c>
      <c r="Z413" s="79">
        <f>IF(ISERROR((Y413/Q413-1)*100),"NA",IF(((Y413/Q413-1)*100)&gt;100,"NM",IF(((Y413/Q413-1)*100)&lt;-50,"NM",(Y413/Q413-1)*100)))</f>
        <v>-25.215517241379192</v>
      </c>
      <c r="AA413" s="203">
        <f>AA411+AA412</f>
        <v>-294.39999999999992</v>
      </c>
      <c r="AB413" s="79" t="str">
        <f>IF(ISERROR((AA413/S413-1)*100),"NA",IF(((AA413/S413-1)*100)&gt;100,"NM",IF(((AA413/S413-1)*100)&lt;-50,"NM",(AA413/S413-1)*100)))</f>
        <v>NM</v>
      </c>
      <c r="AC413" s="199">
        <f>AC411+AC412</f>
        <v>-795.5</v>
      </c>
      <c r="AD413" s="79" t="str">
        <f>IF(ISERROR((AC413/U413-1)*100),"NA",IF(((AC413/U413-1)*100)&gt;100,"NM",IF(((AC413/U413-1)*100)&lt;-50,"NM",(AC413/U413-1)*100)))</f>
        <v>NM</v>
      </c>
      <c r="AE413" s="199">
        <f>AE411+AE412</f>
        <v>198.60000000000022</v>
      </c>
      <c r="AF413" s="79">
        <f>IF(ISERROR((AE413/W413-1)*100),"NA",IF(((AE413/W413-1)*100)&gt;100,"NM",IF(((AE413/W413-1)*100)&lt;-50,"NM",(AE413/W413-1)*100)))</f>
        <v>21.171446003660922</v>
      </c>
      <c r="AG413" s="199">
        <f>AG411+AG412</f>
        <v>191.92999999999998</v>
      </c>
      <c r="AH413" s="79">
        <f>IF(ISERROR((AG413/Y413-1)*100),"NA",IF(((AG413/Y413-1)*100)&gt;100,"NM",IF(((AG413/Y413-1)*100)&lt;-50,"NM",(AG413/Y413-1)*100)))</f>
        <v>10.622478386166945</v>
      </c>
      <c r="AI413" s="199">
        <f>AI411+AI412</f>
        <v>116.37000000000013</v>
      </c>
      <c r="AJ413" s="79" t="str">
        <f>IF(ISERROR((AI413/AA413-1)*100),"NA",IF(((AI413/AA413-1)*100)&gt;100,"NM",IF(((AI413/AA413-1)*100)&lt;-50,"NM",(AI413/AA413-1)*100)))</f>
        <v>NM</v>
      </c>
      <c r="AK413" s="199">
        <f>AK411+AK412</f>
        <v>184.80000000000049</v>
      </c>
      <c r="AL413" s="79" t="str">
        <f>IF(ISERROR((AK413/AC413-1)*100),"NA",IF(((AK413/AC413-1)*100)&gt;100,"NM",IF(((AK413/AC413-1)*100)&lt;-50,"NM",(AK413/AC413-1)*100)))</f>
        <v>NM</v>
      </c>
      <c r="AM413" s="199">
        <f>AM411+AM412</f>
        <v>200.29999999999973</v>
      </c>
      <c r="AN413" s="79">
        <f>IF(ISERROR((AM413/AE413-1)*100),"NA",IF(((AM413/AE413-1)*100)&gt;100,"NM",IF(((AM413/AE413-1)*100)&lt;-50,"NM",(AM413/AE413-1)*100)))</f>
        <v>0.85599194360499453</v>
      </c>
      <c r="AO413" s="199">
        <f>AO411+AO412</f>
        <v>208.99999999999994</v>
      </c>
      <c r="AP413" s="79">
        <f>IF(ISERROR((AO413/AG413-1)*100),"NA",IF(((AO413/AG413-1)*100)&gt;100,"NM",IF(((AO413/AG413-1)*100)&lt;-50,"NM",(AO413/AG413-1)*100)))</f>
        <v>8.89386755587973</v>
      </c>
      <c r="AQ413" s="199">
        <f>AQ411+AQ412</f>
        <v>187.29999999999995</v>
      </c>
      <c r="AR413" s="79">
        <f>IF(ISERROR((AQ413/AI413-1)*100),"NA",IF(((AQ413/AI413-1)*100)&gt;100,"NM",IF(((AQ413/AI413-1)*100)&lt;-50,"NM",(AQ413/AI413-1)*100)))</f>
        <v>60.952135430093435</v>
      </c>
      <c r="AS413" s="199">
        <f>AS411+AS412</f>
        <v>201.69999999999987</v>
      </c>
      <c r="AT413" s="81">
        <f>IF(ISERROR((AS413/AK413-1)*100),"NA",IF(((AS413/AK413-1)*100)&gt;100,"NM",IF(((AS413/AK413-1)*100)&lt;-50,"NM",(AS413/AK413-1)*100)))</f>
        <v>9.1450216450212896</v>
      </c>
      <c r="AU413" s="199">
        <f>AU411+AU412</f>
        <v>216.49999999999972</v>
      </c>
      <c r="AV413" s="81">
        <f>IF(ISERROR((AU413/AM413-1)*100),"NA",IF(((AU413/AM413-1)*100)&gt;100,"NM",IF(((AU413/AM413-1)*100)&lt;-50,"NM",(AU413/AM413-1)*100)))</f>
        <v>8.0878681977034397</v>
      </c>
      <c r="AW413" s="199">
        <f>AW411+AW412</f>
        <v>244.50000000000011</v>
      </c>
      <c r="AX413" s="81">
        <f>IF(ISERROR((AW413/AO413-1)*100),"NA",IF(((AW413/AO413-1)*100)&gt;100,"NM",IF(((AW413/AO413-1)*100)&lt;-50,"NM",(AW413/AO413-1)*100)))</f>
        <v>16.985645933014439</v>
      </c>
      <c r="AY413" s="199">
        <f>AY411+AY412</f>
        <v>265.00000000000011</v>
      </c>
      <c r="AZ413" s="81">
        <f>IF(ISERROR((AY413/AQ413-1)*100),"NA",IF(((AY413/AQ413-1)*100)&gt;100,"NM",IF(((AY413/AQ413-1)*100)&lt;-50,"NM",(AY413/AQ413-1)*100)))</f>
        <v>41.484249866524394</v>
      </c>
      <c r="BA413" s="199">
        <f>BA411+BA412</f>
        <v>263.59999999999997</v>
      </c>
      <c r="BB413" s="81">
        <f>IF(ISERROR((BA413/AS413-1)*100),"NA",IF(((BA413/AS413-1)*100)&gt;100,"NM",IF(((BA413/AS413-1)*100)&lt;-50,"NM",(BA413/AS413-1)*100)))</f>
        <v>30.689142290530548</v>
      </c>
      <c r="BC413" s="199">
        <f>BC411+BC412</f>
        <v>275.5</v>
      </c>
      <c r="BD413" s="81">
        <f>IF(ISERROR((BC413/AU413-1)*100),"NA",IF(((BC413/AU413-1)*100)&gt;100,"NM",IF(((BC413/AU413-1)*100)&lt;-50,"NM",(BC413/AU413-1)*100)))</f>
        <v>27.251732101616799</v>
      </c>
      <c r="BE413" s="199">
        <f>BE411+BE412</f>
        <v>324.99999999999983</v>
      </c>
      <c r="BF413" s="81">
        <f>IF(ISERROR((BE413/AW413-1)*100),"NA",IF(((BE413/AW413-1)*100)&gt;100,"NM",IF(((BE413/AW413-1)*100)&lt;-50,"NM",(BE413/AW413-1)*100)))</f>
        <v>32.924335378322979</v>
      </c>
      <c r="BG413" s="199">
        <f>BG411+BG412</f>
        <v>306.80000000000007</v>
      </c>
      <c r="BH413" s="81">
        <f>IF(ISERROR((BG413/AY413-1)*100),"NA",IF(((BG413/AY413-1)*100)&gt;100,"NM",IF(((BG413/AY413-1)*100)&lt;-50,"NM",(BG413/AY413-1)*100)))</f>
        <v>15.773584905660343</v>
      </c>
      <c r="BI413" s="199">
        <f>BI411+BI412</f>
        <v>313.2</v>
      </c>
      <c r="BJ413" s="81">
        <f t="shared" si="1201"/>
        <v>18.816388467374811</v>
      </c>
      <c r="BK413" s="199">
        <f>BK411+BK412</f>
        <v>340.89999999999975</v>
      </c>
      <c r="BL413" s="81">
        <f t="shared" si="1202"/>
        <v>23.738656987295737</v>
      </c>
      <c r="BM413" s="199">
        <f>BM411+BM412</f>
        <v>325.59999999999985</v>
      </c>
      <c r="BN413" s="81">
        <f t="shared" si="1203"/>
        <v>0.18461538461538307</v>
      </c>
      <c r="BO413" s="199">
        <f>BO411+BO412</f>
        <v>310.20000000000022</v>
      </c>
      <c r="BP413" s="81">
        <f t="shared" si="1204"/>
        <v>1.1082138200782854</v>
      </c>
      <c r="BQ413" s="199">
        <f>BQ411+BQ412</f>
        <v>315.19999999999993</v>
      </c>
      <c r="BR413" s="81">
        <f t="shared" si="1205"/>
        <v>0.63856960408683605</v>
      </c>
      <c r="BS413" s="199">
        <f>BS411+BS412</f>
        <v>323.90000000000015</v>
      </c>
      <c r="BT413" s="81">
        <f t="shared" si="1206"/>
        <v>-4.9867996479905035</v>
      </c>
      <c r="BU413" s="199">
        <f>BU411+BU412</f>
        <v>319.69999999999982</v>
      </c>
      <c r="BV413" s="81">
        <f t="shared" si="1207"/>
        <v>-1.8120393120393263</v>
      </c>
      <c r="BW413" s="199">
        <f>BW411+BW412</f>
        <v>321.79999999999978</v>
      </c>
      <c r="BX413" s="81">
        <f t="shared" si="1208"/>
        <v>3.7395228884589127</v>
      </c>
      <c r="BY413" s="199">
        <f>BY411+BY412</f>
        <v>340.1</v>
      </c>
      <c r="BZ413" s="81">
        <f t="shared" si="1209"/>
        <v>7.899746192893442</v>
      </c>
      <c r="CA413" s="199">
        <f>CA411+CA412</f>
        <v>343.59999999999997</v>
      </c>
      <c r="CB413" s="81">
        <f t="shared" si="1210"/>
        <v>6.082124112380316</v>
      </c>
      <c r="CC413" s="199">
        <f>CC411+CC412</f>
        <v>330.40000000000009</v>
      </c>
      <c r="CD413" s="81">
        <f t="shared" si="1211"/>
        <v>3.3468877072256209</v>
      </c>
      <c r="CE413" s="199">
        <f>CE411+CE412</f>
        <v>313.60000000000031</v>
      </c>
      <c r="CF413" s="81">
        <f t="shared" si="1212"/>
        <v>-2.548166563082499</v>
      </c>
      <c r="CG413" s="199">
        <f>CG411+CG412</f>
        <v>320.19999999999987</v>
      </c>
      <c r="CH413" s="81">
        <f t="shared" si="1213"/>
        <v>-5.8512202293443565</v>
      </c>
      <c r="CI413" s="199">
        <f>CI411+CI412</f>
        <v>346.10000000000014</v>
      </c>
      <c r="CJ413" s="81">
        <f t="shared" si="1214"/>
        <v>0.72759022118746852</v>
      </c>
      <c r="CK413" s="199">
        <f>CK411+CK412</f>
        <v>320.60000000000002</v>
      </c>
      <c r="CL413" s="81">
        <f t="shared" si="1215"/>
        <v>-2.9661016949152685</v>
      </c>
      <c r="CM413" s="199">
        <f>CM411+CM412</f>
        <v>-616.8000000000003</v>
      </c>
      <c r="CN413" s="81" t="str">
        <f t="shared" si="1216"/>
        <v>NM</v>
      </c>
      <c r="CO413" s="199">
        <f>CO411+CO412</f>
        <v>309.19999999999993</v>
      </c>
      <c r="CP413" s="81">
        <f t="shared" si="1217"/>
        <v>-3.4353529044347075</v>
      </c>
      <c r="CQ413" s="199">
        <f>CQ411+CQ412</f>
        <v>310.09999999999991</v>
      </c>
      <c r="CR413" s="81">
        <f t="shared" si="1218"/>
        <v>-10.401618029471315</v>
      </c>
      <c r="CS413" s="199">
        <f>CS411+CS412</f>
        <v>310.7</v>
      </c>
      <c r="CT413" s="81">
        <f t="shared" si="1219"/>
        <v>-3.0879600748596525</v>
      </c>
      <c r="CU413" s="199">
        <f>CU411+CU412</f>
        <v>309.69999999999993</v>
      </c>
      <c r="CV413" s="81" t="str">
        <f t="shared" si="1220"/>
        <v>NM</v>
      </c>
      <c r="CW413" s="199">
        <f>CW411+CW412</f>
        <v>312.00000000000011</v>
      </c>
      <c r="CX413" s="81">
        <f t="shared" si="1221"/>
        <v>0.90556274256150537</v>
      </c>
      <c r="CY413" s="199">
        <f>CY411+CY412</f>
        <v>314.89999999999992</v>
      </c>
      <c r="CZ413" s="81">
        <f t="shared" si="1222"/>
        <v>1.5478877781360811</v>
      </c>
      <c r="DA413" s="199">
        <f>DA411+DA412</f>
        <v>316.40000000000003</v>
      </c>
      <c r="DB413" s="81">
        <f t="shared" si="1223"/>
        <v>1.8345671065336466</v>
      </c>
      <c r="DC413" s="199">
        <f>DC411+DC412</f>
        <v>302.79999999999995</v>
      </c>
      <c r="DD413" s="81">
        <f t="shared" si="1224"/>
        <v>-2.2279625443977991</v>
      </c>
      <c r="DE413" s="199">
        <f>DE411+DE412</f>
        <v>324.89999999999975</v>
      </c>
      <c r="DF413" s="81">
        <f t="shared" si="1225"/>
        <v>4.1346153846152589</v>
      </c>
      <c r="DG413" s="199">
        <f>DG411+DG412</f>
        <v>325.3</v>
      </c>
      <c r="DH413" s="81">
        <f t="shared" si="1226"/>
        <v>3.3026357573833209</v>
      </c>
      <c r="DI413" s="199">
        <f>DI411+DI412</f>
        <v>317.20000000000005</v>
      </c>
      <c r="DJ413" s="81">
        <f t="shared" si="1227"/>
        <v>0.25284450063212116</v>
      </c>
      <c r="DK413" s="199">
        <f>DK411+DK412</f>
        <v>-372.90000000000003</v>
      </c>
      <c r="DL413" s="81" t="str">
        <f t="shared" si="1228"/>
        <v>NM</v>
      </c>
      <c r="DM413" s="199">
        <f>DM411+DM412</f>
        <v>318.30000000000007</v>
      </c>
      <c r="DN413" s="81">
        <f t="shared" si="1229"/>
        <v>-2.0313942751614911</v>
      </c>
      <c r="DO413" s="199">
        <f>DO411+DO412</f>
        <v>318.99999999999994</v>
      </c>
      <c r="DP413" s="81">
        <f t="shared" si="1229"/>
        <v>-1.9366738395327654</v>
      </c>
      <c r="DQ413" s="199">
        <f>DQ411+DQ412</f>
        <v>325.50000000000023</v>
      </c>
      <c r="DR413" s="81">
        <f t="shared" si="1230"/>
        <v>2.6166456494325807</v>
      </c>
      <c r="DS413" s="199">
        <f>DS411+DS412</f>
        <v>319.2999999999999</v>
      </c>
      <c r="DT413" s="81" t="str">
        <f t="shared" si="1231"/>
        <v>NM</v>
      </c>
      <c r="DU413" s="199">
        <f>DU411+DU412</f>
        <v>324.69999999999982</v>
      </c>
      <c r="DV413" s="81">
        <f t="shared" si="1232"/>
        <v>2.0106817467796967</v>
      </c>
      <c r="DW413" s="199">
        <f>DW411+DW412</f>
        <v>334.89999999999992</v>
      </c>
      <c r="DX413" s="81">
        <f t="shared" si="1233"/>
        <v>4.9843260188087601</v>
      </c>
      <c r="DY413" s="199">
        <f>DY411+DY412</f>
        <v>321.10000000000019</v>
      </c>
      <c r="DZ413" s="81">
        <f t="shared" si="1234"/>
        <v>-1.3517665130568401</v>
      </c>
      <c r="EA413" s="199">
        <f>EA411+EA412</f>
        <v>342.79999999999995</v>
      </c>
      <c r="EB413" s="81">
        <f t="shared" si="1235"/>
        <v>7.3598496711556827</v>
      </c>
      <c r="EC413" s="199">
        <f>EC411+EC412</f>
        <v>339.89999999999975</v>
      </c>
      <c r="ED413" s="81">
        <f t="shared" si="1236"/>
        <v>4.681244225438852</v>
      </c>
      <c r="EE413" s="199">
        <f>EE411+EE412</f>
        <v>353.50000000000011</v>
      </c>
      <c r="EF413" s="81">
        <f t="shared" si="1237"/>
        <v>5.5538966855778416</v>
      </c>
      <c r="EG413" s="199">
        <f>EG411+EG412</f>
        <v>356.39999999999992</v>
      </c>
      <c r="EH413" s="81">
        <f t="shared" si="1238"/>
        <v>10.993459981314135</v>
      </c>
      <c r="EI413" s="199">
        <f>EI411+EI412</f>
        <v>372.89999999999981</v>
      </c>
      <c r="EJ413" s="81">
        <f t="shared" si="1239"/>
        <v>8.7806301050174618</v>
      </c>
      <c r="EK413" s="199">
        <f t="shared" ref="EK413:EQ413" si="1274">EK411+EK412</f>
        <v>350.70513468194838</v>
      </c>
      <c r="EL413" s="81">
        <f t="shared" si="1241"/>
        <v>3.17891576403313</v>
      </c>
      <c r="EM413" s="199">
        <f t="shared" si="1274"/>
        <v>353.02545439877946</v>
      </c>
      <c r="EN413" s="81">
        <f t="shared" si="1242"/>
        <v>-0.13424203712041338</v>
      </c>
      <c r="EO413" s="199">
        <f t="shared" si="1274"/>
        <v>354.43037123584179</v>
      </c>
      <c r="EP413" s="81">
        <f t="shared" si="1243"/>
        <v>-0.55264555672226434</v>
      </c>
      <c r="EQ413" s="199">
        <f t="shared" si="1274"/>
        <v>356.7361461005865</v>
      </c>
      <c r="ER413" s="81">
        <f t="shared" si="1244"/>
        <v>-4.3346349958201413</v>
      </c>
      <c r="ES413" s="129"/>
      <c r="ET413" s="465"/>
      <c r="EU413" s="129"/>
      <c r="EV413" s="129"/>
      <c r="EW413" s="79"/>
      <c r="EX413" s="129"/>
      <c r="EY413" s="79"/>
      <c r="EZ413" s="129"/>
      <c r="FA413" s="79"/>
      <c r="FB413" s="199">
        <f>FB411+FB412</f>
        <v>67</v>
      </c>
      <c r="FC413" s="79" t="str">
        <f>IF(ISERROR((FB413/EZ413-1)*100),"NA",IF(((FB413/EZ413-1)*100)&gt;100,"NM",IF(((FB413/EZ413-1)*100)&lt;-50,"NM",(FB413/EZ413-1)*100)))</f>
        <v>NA</v>
      </c>
      <c r="FD413" s="199">
        <f>FD411+FD412</f>
        <v>1057.3000000000009</v>
      </c>
      <c r="FE413" s="79" t="str">
        <f>IF(ISERROR((FD413/FB413-1)*100),"NA",IF(((FD413/FB413-1)*100)&gt;100,"NM",IF(((FD413/FB413-1)*100)&lt;-50,"NM",(FD413/FB413-1)*100)))</f>
        <v>NM</v>
      </c>
      <c r="FF413" s="199">
        <f>FF411+FF412</f>
        <v>-67.899999999999352</v>
      </c>
      <c r="FG413" s="79" t="str">
        <f>IF(ISERROR((FF413/FD413-1)*100),"NA",IF(((FF413/FD413-1)*100)&gt;100,"NM",IF(((FF413/FD413-1)*100)&lt;-50,"NM",(FF413/FD413-1)*100)))</f>
        <v>NM</v>
      </c>
      <c r="FH413" s="199">
        <f>FH411+FH412</f>
        <v>-135.00000000000017</v>
      </c>
      <c r="FI413" s="79">
        <f t="shared" si="1248"/>
        <v>98.821796759943254</v>
      </c>
      <c r="FJ413" s="199">
        <f>FJ411+FJ412</f>
        <v>781.40000000000089</v>
      </c>
      <c r="FK413" s="79" t="str">
        <f t="shared" si="1249"/>
        <v>NM</v>
      </c>
      <c r="FL413" s="199">
        <f>FL411+FL412</f>
        <v>927.70000000000027</v>
      </c>
      <c r="FM413" s="79">
        <f t="shared" si="1250"/>
        <v>18.722805221397397</v>
      </c>
      <c r="FN413" s="199">
        <f>FN411+FN412</f>
        <v>1170.9000000000001</v>
      </c>
      <c r="FO413" s="79">
        <f t="shared" si="1251"/>
        <v>26.215371348496252</v>
      </c>
      <c r="FP413" s="199">
        <f>FP411+FP412</f>
        <v>1289.8999999999999</v>
      </c>
      <c r="FQ413" s="79">
        <f t="shared" si="1252"/>
        <v>10.163122384490553</v>
      </c>
      <c r="FR413" s="199">
        <f>FR411+FR412</f>
        <v>1315.6999999999989</v>
      </c>
      <c r="FS413" s="79">
        <f t="shared" si="1253"/>
        <v>2.0001550507790622</v>
      </c>
      <c r="FT413" s="199">
        <f>FT411+FT412</f>
        <v>1327.6999999999991</v>
      </c>
      <c r="FU413" s="79">
        <f t="shared" si="1254"/>
        <v>0.91206202021738569</v>
      </c>
      <c r="FV413" s="199">
        <f>FV411+FV412</f>
        <v>370.0999999999998</v>
      </c>
      <c r="FW413" s="79" t="str">
        <f t="shared" si="1255"/>
        <v>NM</v>
      </c>
      <c r="FX413" s="199">
        <f>FX411+FX412</f>
        <v>1255.7999999999988</v>
      </c>
      <c r="FY413" s="79" t="str">
        <f t="shared" si="1256"/>
        <v>NM</v>
      </c>
      <c r="FZ413" s="199">
        <f>FZ411+FZ412</f>
        <v>1246.0999999999999</v>
      </c>
      <c r="GA413" s="79">
        <f t="shared" si="1257"/>
        <v>-0.77241598980720694</v>
      </c>
      <c r="GB413" s="199">
        <f>GB411+GB412</f>
        <v>594.5</v>
      </c>
      <c r="GC413" s="79" t="str">
        <f t="shared" si="1257"/>
        <v>NM</v>
      </c>
      <c r="GD413" s="199">
        <f>GD411+GD412</f>
        <v>1282.0999999999997</v>
      </c>
      <c r="GE413" s="79" t="str">
        <f t="shared" si="1257"/>
        <v>NM</v>
      </c>
      <c r="GF413" s="199">
        <f>GF411+GF412</f>
        <v>1323.5000000000011</v>
      </c>
      <c r="GG413" s="79">
        <f t="shared" si="1257"/>
        <v>3.2290772950628988</v>
      </c>
      <c r="GH413" s="199">
        <f>GH411+GH412</f>
        <v>1422.6999999999996</v>
      </c>
      <c r="GI413" s="79">
        <f t="shared" si="1257"/>
        <v>7.4952776728370418</v>
      </c>
      <c r="GJ413" s="199">
        <f>GJ411+GJ412</f>
        <v>1414.8971064171565</v>
      </c>
      <c r="GK413" s="79">
        <f t="shared" si="1257"/>
        <v>-0.54845670786836109</v>
      </c>
      <c r="GL413" s="199">
        <f>GL411+GL412</f>
        <v>1448.9117131662904</v>
      </c>
      <c r="GM413" s="79">
        <f t="shared" si="1257"/>
        <v>2.4040339466992577</v>
      </c>
      <c r="GN413" s="199">
        <f>GN411+GN412</f>
        <v>1489.5856145858661</v>
      </c>
      <c r="GO413" s="79">
        <f t="shared" si="1257"/>
        <v>2.8072035756196323</v>
      </c>
      <c r="GP413" s="199">
        <f>GP411+GP412</f>
        <v>1535.4955462668161</v>
      </c>
      <c r="GQ413" s="79">
        <f t="shared" si="1257"/>
        <v>3.0820606235321346</v>
      </c>
      <c r="GR413" s="199">
        <f>GR411+GR412</f>
        <v>1575.4640968302349</v>
      </c>
      <c r="GS413" s="79">
        <f t="shared" si="1258"/>
        <v>2.6029740470815854</v>
      </c>
      <c r="GT413" s="79">
        <f t="shared" si="1259"/>
        <v>2.0608158834128032</v>
      </c>
      <c r="GU413" s="857"/>
    </row>
    <row r="414" spans="1:286" ht="12.75" customHeight="1" x14ac:dyDescent="0.2">
      <c r="A414" s="1" t="s">
        <v>48</v>
      </c>
      <c r="B414" s="2" t="s">
        <v>48</v>
      </c>
      <c r="C414" s="79"/>
      <c r="D414" s="79"/>
      <c r="E414" s="131">
        <v>43.9</v>
      </c>
      <c r="F414" s="131"/>
      <c r="G414" s="131">
        <v>66.099999999999994</v>
      </c>
      <c r="H414" s="131"/>
      <c r="I414" s="131">
        <v>69.3</v>
      </c>
      <c r="J414" s="131"/>
      <c r="K414" s="131">
        <v>77.2</v>
      </c>
      <c r="L414" s="79"/>
      <c r="M414" s="131">
        <f>38.3+87.2-57.1</f>
        <v>68.400000000000006</v>
      </c>
      <c r="N414" s="79">
        <f t="shared" si="1273"/>
        <v>55.808656036446493</v>
      </c>
      <c r="O414" s="131">
        <f>51.1+77.5-50.5</f>
        <v>78.099999999999994</v>
      </c>
      <c r="P414" s="79">
        <f t="shared" si="1273"/>
        <v>18.154311649016641</v>
      </c>
      <c r="Q414" s="131">
        <f>59.3+63.6-41.5</f>
        <v>81.400000000000006</v>
      </c>
      <c r="R414" s="79">
        <f t="shared" si="1273"/>
        <v>17.460317460317466</v>
      </c>
      <c r="S414" s="131">
        <f>47.6+80.8-52.6</f>
        <v>75.800000000000011</v>
      </c>
      <c r="T414" s="79">
        <f t="shared" si="1273"/>
        <v>-1.8134715025906578</v>
      </c>
      <c r="U414" s="131">
        <f>-140.5+(85.1-55.6)</f>
        <v>-111</v>
      </c>
      <c r="V414" s="79" t="str">
        <f t="shared" si="1273"/>
        <v>NM</v>
      </c>
      <c r="W414" s="131">
        <f>43.3+26.5-17.3</f>
        <v>52.5</v>
      </c>
      <c r="X414" s="79">
        <f>IF(ISERROR((W414/O414-1)*100),"NA",IF(((W414/O414-1)*100)&gt;100,"NM",IF(((W414/O414-1)*100)&lt;-50,"NM",(W414/O414-1)*100)))</f>
        <v>-32.778489116517285</v>
      </c>
      <c r="Y414" s="131">
        <f>49.4+25.8-16.5</f>
        <v>58.7</v>
      </c>
      <c r="Z414" s="79">
        <f>IF(ISERROR((Y414/Q414-1)*100),"NA",IF(((Y414/Q414-1)*100)&gt;100,"NM",IF(((Y414/Q414-1)*100)&lt;-50,"NM",(Y414/Q414-1)*100)))</f>
        <v>-27.886977886977892</v>
      </c>
      <c r="AA414" s="317">
        <f>-110.3</f>
        <v>-110.3</v>
      </c>
      <c r="AB414" s="79" t="str">
        <f>IF(ISERROR((AA414/S414-1)*100),"NA",IF(((AA414/S414-1)*100)&gt;100,"NM",IF(((AA414/S414-1)*100)&lt;-50,"NM",(AA414/S414-1)*100)))</f>
        <v>NM</v>
      </c>
      <c r="AC414" s="131">
        <v>-210.2</v>
      </c>
      <c r="AD414" s="79">
        <f>IF(ISERROR((AC414/U414-1)*100),"NA",IF(((AC414/U414-1)*100)&gt;100,"NM",IF(((AC414/U414-1)*100)&lt;-50,"NM",(AC414/U414-1)*100)))</f>
        <v>89.369369369369366</v>
      </c>
      <c r="AE414" s="131">
        <v>67.7</v>
      </c>
      <c r="AF414" s="79">
        <f>IF(ISERROR((AE414/W414-1)*100),"NA",IF(((AE414/W414-1)*100)&gt;100,"NM",IF(((AE414/W414-1)*100)&lt;-50,"NM",(AE414/W414-1)*100)))</f>
        <v>28.952380952380953</v>
      </c>
      <c r="AG414" s="131">
        <v>65.5</v>
      </c>
      <c r="AH414" s="79">
        <f>IF(ISERROR((AG414/Y414-1)*100),"NA",IF(((AG414/Y414-1)*100)&gt;100,"NM",IF(((AG414/Y414-1)*100)&lt;-50,"NM",(AG414/Y414-1)*100)))</f>
        <v>11.584327086882439</v>
      </c>
      <c r="AI414" s="131">
        <v>-0.7</v>
      </c>
      <c r="AJ414" s="79" t="str">
        <f>IF(ISERROR((AI414/AA414-1)*100),"NA",IF(((AI414/AA414-1)*100)&gt;100,"NM",IF(((AI414/AA414-1)*100)&lt;-50,"NM",(AI414/AA414-1)*100)))</f>
        <v>NM</v>
      </c>
      <c r="AK414" s="131">
        <v>30.5</v>
      </c>
      <c r="AL414" s="79" t="str">
        <f>IF(ISERROR((AK414/AC414-1)*100),"NA",IF(((AK414/AC414-1)*100)&gt;100,"NM",IF(((AK414/AC414-1)*100)&lt;-50,"NM",(AK414/AC414-1)*100)))</f>
        <v>NM</v>
      </c>
      <c r="AM414" s="131">
        <v>71.599999999999994</v>
      </c>
      <c r="AN414" s="79">
        <f>IF(ISERROR((AM414/AE414-1)*100),"NA",IF(((AM414/AE414-1)*100)&gt;100,"NM",IF(((AM414/AE414-1)*100)&lt;-50,"NM",(AM414/AE414-1)*100)))</f>
        <v>5.7607090103397152</v>
      </c>
      <c r="AO414" s="131">
        <v>73.3</v>
      </c>
      <c r="AP414" s="79">
        <f>IF(ISERROR((AO414/AG414-1)*100),"NA",IF(((AO414/AG414-1)*100)&gt;100,"NM",IF(((AO414/AG414-1)*100)&lt;-50,"NM",(AO414/AG414-1)*100)))</f>
        <v>11.908396946564892</v>
      </c>
      <c r="AQ414" s="131">
        <v>54</v>
      </c>
      <c r="AR414" s="79" t="str">
        <f>IF(ISERROR((AQ414/AI414-1)*100),"NA",IF(((AQ414/AI414-1)*100)&gt;100,"NM",IF(((AQ414/AI414-1)*100)&lt;-50,"NM",(AQ414/AI414-1)*100)))</f>
        <v>NM</v>
      </c>
      <c r="AS414" s="131">
        <f>36.6+30.1+1.9</f>
        <v>68.600000000000009</v>
      </c>
      <c r="AT414" s="81" t="str">
        <f>IF(ISERROR((AS414/AK414-1)*100),"NA",IF(((AS414/AK414-1)*100)&gt;100,"NM",IF(((AS414/AK414-1)*100)&lt;-50,"NM",(AS414/AK414-1)*100)))</f>
        <v>NM</v>
      </c>
      <c r="AU414" s="131">
        <f>69.9+(17.8*0.35)</f>
        <v>76.13000000000001</v>
      </c>
      <c r="AV414" s="81">
        <f>IF(ISERROR((AU414/AM414-1)*100),"NA",IF(((AU414/AM414-1)*100)&gt;100,"NM",IF(((AU414/AM414-1)*100)&lt;-50,"NM",(AU414/AM414-1)*100)))</f>
        <v>6.3268156424581168</v>
      </c>
      <c r="AW414" s="131">
        <f>-32.6+325.4*0.348+18.5*0.348</f>
        <v>87.077199999999991</v>
      </c>
      <c r="AX414" s="81">
        <f>IF(ISERROR((AW414/AO414-1)*100),"NA",IF(((AW414/AO414-1)*100)&gt;100,"NM",IF(((AW414/AO414-1)*100)&lt;-50,"NM",(AW414/AO414-1)*100)))</f>
        <v>18.795634379263305</v>
      </c>
      <c r="AY414" s="131">
        <f>-8.8+91.9+2.1</f>
        <v>85.2</v>
      </c>
      <c r="AZ414" s="81">
        <f>IF(ISERROR((AY414/AQ414-1)*100),"NA",IF(((AY414/AQ414-1)*100)&gt;100,"NM",IF(((AY414/AQ414-1)*100)&lt;-50,"NM",(AY414/AQ414-1)*100)))</f>
        <v>57.777777777777771</v>
      </c>
      <c r="BA414" s="131">
        <v>89</v>
      </c>
      <c r="BB414" s="81">
        <f>IF(ISERROR((BA414/AS414-1)*100),"NA",IF(((BA414/AS414-1)*100)&gt;100,"NM",IF(((BA414/AS414-1)*100)&lt;-50,"NM",(BA414/AS414-1)*100)))</f>
        <v>29.737609329446045</v>
      </c>
      <c r="BC414" s="131">
        <f>75.5+(53-34.5)</f>
        <v>94</v>
      </c>
      <c r="BD414" s="81">
        <f>IF(ISERROR((BC414/AU414-1)*100),"NA",IF(((BC414/AU414-1)*100)&gt;100,"NM",IF(((BC414/AU414-1)*100)&lt;-50,"NM",(BC414/AU414-1)*100)))</f>
        <v>23.473006699067376</v>
      </c>
      <c r="BE414" s="131">
        <v>108.1</v>
      </c>
      <c r="BF414" s="81">
        <f>IF(ISERROR((BE414/AW414-1)*100),"NA",IF(((BE414/AW414-1)*100)&gt;100,"NM",IF(((BE414/AW414-1)*100)&lt;-50,"NM",(BE414/AW414-1)*100)))</f>
        <v>24.142714740483171</v>
      </c>
      <c r="BG414" s="131">
        <f>74.2+19.5</f>
        <v>93.7</v>
      </c>
      <c r="BH414" s="81">
        <f>IF(ISERROR((BG414/AY414-1)*100),"NA",IF(((BG414/AY414-1)*100)&gt;100,"NM",IF(((BG414/AY414-1)*100)&lt;-50,"NM",(BG414/AY414-1)*100)))</f>
        <v>9.9765258215962493</v>
      </c>
      <c r="BI414" s="131">
        <v>105.4</v>
      </c>
      <c r="BJ414" s="81">
        <f t="shared" si="1201"/>
        <v>18.426966292134829</v>
      </c>
      <c r="BK414" s="131">
        <v>117.7</v>
      </c>
      <c r="BL414" s="81">
        <f t="shared" si="1202"/>
        <v>25.212765957446813</v>
      </c>
      <c r="BM414" s="131">
        <v>108.7</v>
      </c>
      <c r="BN414" s="81">
        <f t="shared" si="1203"/>
        <v>0.55504162812212154</v>
      </c>
      <c r="BO414" s="131">
        <v>100.8</v>
      </c>
      <c r="BP414" s="81">
        <f t="shared" si="1204"/>
        <v>7.5773745997865571</v>
      </c>
      <c r="BQ414" s="131">
        <v>108.5</v>
      </c>
      <c r="BR414" s="81">
        <f t="shared" si="1205"/>
        <v>2.9411764705882248</v>
      </c>
      <c r="BS414" s="131">
        <v>108.1</v>
      </c>
      <c r="BT414" s="81">
        <f t="shared" si="1206"/>
        <v>-8.1563296516567583</v>
      </c>
      <c r="BU414" s="131">
        <v>108.1</v>
      </c>
      <c r="BV414" s="81">
        <f t="shared" si="1207"/>
        <v>-0.55197792088317321</v>
      </c>
      <c r="BW414" s="131">
        <v>103.5</v>
      </c>
      <c r="BX414" s="81">
        <f t="shared" si="1208"/>
        <v>2.6785714285714413</v>
      </c>
      <c r="BY414" s="131">
        <f>123.5-10</f>
        <v>113.5</v>
      </c>
      <c r="BZ414" s="81">
        <f t="shared" si="1209"/>
        <v>4.6082949308755783</v>
      </c>
      <c r="CA414" s="131">
        <v>111.1</v>
      </c>
      <c r="CB414" s="81">
        <f t="shared" si="1210"/>
        <v>2.7752081406105411</v>
      </c>
      <c r="CC414" s="131">
        <v>107.1</v>
      </c>
      <c r="CD414" s="81">
        <f t="shared" si="1211"/>
        <v>-0.9250693802035137</v>
      </c>
      <c r="CE414" s="131">
        <v>101.3</v>
      </c>
      <c r="CF414" s="81">
        <f t="shared" si="1212"/>
        <v>-2.1256038647343045</v>
      </c>
      <c r="CG414" s="131">
        <v>101.1</v>
      </c>
      <c r="CH414" s="81">
        <f t="shared" si="1213"/>
        <v>-10.925110132158601</v>
      </c>
      <c r="CI414" s="131">
        <v>111.1</v>
      </c>
      <c r="CJ414" s="81">
        <f t="shared" si="1214"/>
        <v>0</v>
      </c>
      <c r="CK414" s="131">
        <v>97.5</v>
      </c>
      <c r="CL414" s="81">
        <f t="shared" si="1215"/>
        <v>-8.9635854341736589</v>
      </c>
      <c r="CM414" s="131">
        <v>-248.1</v>
      </c>
      <c r="CN414" s="81" t="str">
        <f t="shared" si="1216"/>
        <v>NM</v>
      </c>
      <c r="CO414" s="131">
        <v>96</v>
      </c>
      <c r="CP414" s="81">
        <f t="shared" si="1217"/>
        <v>-5.0445103857566735</v>
      </c>
      <c r="CQ414" s="131">
        <v>84.8</v>
      </c>
      <c r="CR414" s="81">
        <f t="shared" si="1218"/>
        <v>-23.672367236723669</v>
      </c>
      <c r="CS414" s="131">
        <v>86.7</v>
      </c>
      <c r="CT414" s="81">
        <f t="shared" si="1219"/>
        <v>-11.076923076923073</v>
      </c>
      <c r="CU414" s="131">
        <v>84.7</v>
      </c>
      <c r="CV414" s="81" t="str">
        <f t="shared" si="1220"/>
        <v>NM</v>
      </c>
      <c r="CW414" s="891">
        <v>99.3</v>
      </c>
      <c r="CX414" s="428">
        <f t="shared" si="1221"/>
        <v>3.4375000000000044</v>
      </c>
      <c r="CY414" s="891">
        <v>99</v>
      </c>
      <c r="CZ414" s="428">
        <f t="shared" si="1222"/>
        <v>16.74528301886793</v>
      </c>
      <c r="DA414" s="891">
        <v>94.8</v>
      </c>
      <c r="DB414" s="428">
        <f t="shared" si="1223"/>
        <v>9.3425605536332057</v>
      </c>
      <c r="DC414" s="891">
        <v>88.5</v>
      </c>
      <c r="DD414" s="428">
        <f t="shared" si="1224"/>
        <v>4.4864226682408415</v>
      </c>
      <c r="DE414" s="891">
        <v>102.3</v>
      </c>
      <c r="DF414" s="428">
        <f t="shared" si="1225"/>
        <v>3.0211480362537735</v>
      </c>
      <c r="DG414" s="891">
        <v>104</v>
      </c>
      <c r="DH414" s="428">
        <f t="shared" si="1226"/>
        <v>5.0505050505050608</v>
      </c>
      <c r="DI414" s="891">
        <v>98.1</v>
      </c>
      <c r="DJ414" s="428">
        <f t="shared" si="1227"/>
        <v>3.4810126582278444</v>
      </c>
      <c r="DK414" s="891">
        <v>-143.80000000000001</v>
      </c>
      <c r="DL414" s="81" t="str">
        <f t="shared" si="1228"/>
        <v>NM</v>
      </c>
      <c r="DM414" s="891">
        <v>95.4</v>
      </c>
      <c r="DN414" s="81">
        <f t="shared" si="1229"/>
        <v>-6.7448680351906098</v>
      </c>
      <c r="DO414" s="891">
        <v>98.4</v>
      </c>
      <c r="DP414" s="81">
        <f t="shared" si="1229"/>
        <v>-5.3846153846153761</v>
      </c>
      <c r="DQ414" s="891">
        <v>104.4</v>
      </c>
      <c r="DR414" s="81">
        <f t="shared" si="1230"/>
        <v>6.4220183486238591</v>
      </c>
      <c r="DS414" s="891">
        <v>90.7</v>
      </c>
      <c r="DT414" s="81" t="str">
        <f t="shared" si="1231"/>
        <v>NM</v>
      </c>
      <c r="DU414" s="891">
        <v>100.5</v>
      </c>
      <c r="DV414" s="81">
        <f t="shared" si="1232"/>
        <v>5.3459119496855223</v>
      </c>
      <c r="DW414" s="891">
        <v>101.9</v>
      </c>
      <c r="DX414" s="81">
        <f t="shared" si="1233"/>
        <v>3.5569105691056979</v>
      </c>
      <c r="DY414" s="891">
        <v>92.4</v>
      </c>
      <c r="DZ414" s="81">
        <f t="shared" si="1234"/>
        <v>-11.494252873563216</v>
      </c>
      <c r="EA414" s="891">
        <v>113.1</v>
      </c>
      <c r="EB414" s="81">
        <f t="shared" si="1235"/>
        <v>24.696802646085981</v>
      </c>
      <c r="EC414" s="891">
        <v>103.8</v>
      </c>
      <c r="ED414" s="81">
        <f t="shared" si="1236"/>
        <v>3.2835820895522394</v>
      </c>
      <c r="EE414" s="891">
        <v>113.1</v>
      </c>
      <c r="EF414" s="81">
        <f t="shared" si="1237"/>
        <v>10.99116781157996</v>
      </c>
      <c r="EG414" s="891">
        <v>110.9</v>
      </c>
      <c r="EH414" s="81">
        <f t="shared" si="1238"/>
        <v>20.021645021645028</v>
      </c>
      <c r="EI414" s="891">
        <f>74.2+31.5+13.6</f>
        <v>119.3</v>
      </c>
      <c r="EJ414" s="81">
        <f t="shared" si="1239"/>
        <v>5.4818744473916992</v>
      </c>
      <c r="EK414" s="192">
        <f t="shared" ref="EK414:EQ414" si="1275">+EK413*EK415/100</f>
        <v>68.387501262979924</v>
      </c>
      <c r="EL414" s="81">
        <f t="shared" si="1241"/>
        <v>-34.116087415240912</v>
      </c>
      <c r="EM414" s="192">
        <f t="shared" si="1275"/>
        <v>68.839963607761987</v>
      </c>
      <c r="EN414" s="81">
        <f t="shared" si="1242"/>
        <v>-39.13354234503803</v>
      </c>
      <c r="EO414" s="192">
        <f t="shared" si="1275"/>
        <v>69.113922390989146</v>
      </c>
      <c r="EP414" s="81">
        <f t="shared" si="1243"/>
        <v>-37.679060062228011</v>
      </c>
      <c r="EQ414" s="192">
        <f t="shared" si="1275"/>
        <v>69.563548489614362</v>
      </c>
      <c r="ER414" s="81">
        <f t="shared" si="1244"/>
        <v>-41.69023596847078</v>
      </c>
      <c r="ES414" s="82"/>
      <c r="ET414" s="465"/>
      <c r="EU414" s="82"/>
      <c r="EV414" s="131"/>
      <c r="EW414" s="79"/>
      <c r="EX414" s="145"/>
      <c r="EY414" s="79"/>
      <c r="EZ414" s="145"/>
      <c r="FA414" s="79"/>
      <c r="FB414" s="145">
        <f>+Q414+O414+M414+K414</f>
        <v>305.10000000000002</v>
      </c>
      <c r="FC414" s="79" t="str">
        <f>IF(ISERROR((FB414/EZ414-1)*100),"NA",IF(((FB414/EZ414-1)*100)&gt;100,"NM",IF(((FB414/EZ414-1)*100)&lt;-50,"NM",(FB414/EZ414-1)*100)))</f>
        <v>NA</v>
      </c>
      <c r="FD414" s="145">
        <f>+S414+Q414+O414+M414</f>
        <v>303.70000000000005</v>
      </c>
      <c r="FE414" s="79">
        <f>IF(ISERROR((FD414/FB414-1)*100),"NA",IF(((FD414/FB414-1)*100)&gt;100,"NM",IF(((FD414/FB414-1)*100)&lt;-50,"NM",(FD414/FB414-1)*100)))</f>
        <v>-0.45886594559160221</v>
      </c>
      <c r="FF414" s="145">
        <f>+AA414+Y414+W414+U414</f>
        <v>-110.1</v>
      </c>
      <c r="FG414" s="79" t="str">
        <f>IF(ISERROR((FF414/FD414-1)*100),"NA",IF(((FF414/FD414-1)*100)&gt;100,"NM",IF(((FF414/FD414-1)*100)&lt;-50,"NM",(FF414/FD414-1)*100)))</f>
        <v>NM</v>
      </c>
      <c r="FH414" s="145">
        <f>+AI414+AG414+AE414+AC414</f>
        <v>-77.699999999999989</v>
      </c>
      <c r="FI414" s="79">
        <f t="shared" si="1248"/>
        <v>-29.427792915531338</v>
      </c>
      <c r="FJ414" s="35">
        <f>+AQ414+AO414+AM414+AK414</f>
        <v>229.39999999999998</v>
      </c>
      <c r="FK414" s="79" t="str">
        <f t="shared" si="1249"/>
        <v>NM</v>
      </c>
      <c r="FL414" s="35">
        <f>+AY414+AW414+AU414+AS414</f>
        <v>317.00720000000001</v>
      </c>
      <c r="FM414" s="79">
        <f t="shared" si="1250"/>
        <v>38.189712292938125</v>
      </c>
      <c r="FN414" s="35">
        <f>BA414+BC414+BE414+BG414</f>
        <v>384.8</v>
      </c>
      <c r="FO414" s="79">
        <f t="shared" si="1251"/>
        <v>21.385255603027311</v>
      </c>
      <c r="FP414" s="75">
        <f>BI414+BK414+BM414+BO414</f>
        <v>432.6</v>
      </c>
      <c r="FQ414" s="79">
        <f t="shared" si="1252"/>
        <v>12.422037422037423</v>
      </c>
      <c r="FR414" s="131">
        <f>436.6+FR432</f>
        <v>455.1529792147806</v>
      </c>
      <c r="FS414" s="79">
        <f t="shared" si="1253"/>
        <v>5.2133562678642109</v>
      </c>
      <c r="FT414" s="192">
        <f>BY414+CA414+CC414+CE414</f>
        <v>433</v>
      </c>
      <c r="FU414" s="79">
        <f t="shared" si="1254"/>
        <v>-4.8671502168344372</v>
      </c>
      <c r="FV414" s="192">
        <f>CG414+CI414+CK414+CM414</f>
        <v>61.599999999999994</v>
      </c>
      <c r="FW414" s="79" t="str">
        <f t="shared" si="1255"/>
        <v>NM</v>
      </c>
      <c r="FX414" s="192">
        <f>FX413-FX416</f>
        <v>374.59999999999877</v>
      </c>
      <c r="FY414" s="79" t="str">
        <f t="shared" si="1256"/>
        <v>NM</v>
      </c>
      <c r="FZ414" s="192">
        <f>CW414+CY414+DA414+DC414</f>
        <v>381.6</v>
      </c>
      <c r="GA414" s="79">
        <f t="shared" si="1257"/>
        <v>1.8686599038978402</v>
      </c>
      <c r="GB414" s="192">
        <f>DE414+DG414+DI414+DK414</f>
        <v>160.59999999999997</v>
      </c>
      <c r="GC414" s="79" t="str">
        <f t="shared" si="1257"/>
        <v>NM</v>
      </c>
      <c r="GD414" s="192">
        <f>DM414+DO414+DQ414+DS414</f>
        <v>388.90000000000003</v>
      </c>
      <c r="GE414" s="79" t="str">
        <f t="shared" si="1257"/>
        <v>NM</v>
      </c>
      <c r="GF414" s="192">
        <f>DU414+DW414+DY414+EA414</f>
        <v>407.9</v>
      </c>
      <c r="GG414" s="79">
        <f t="shared" si="1257"/>
        <v>4.8855746978657688</v>
      </c>
      <c r="GH414" s="192">
        <f>EC414+EE414+EG414+EI414</f>
        <v>447.09999999999997</v>
      </c>
      <c r="GI414" s="79">
        <f t="shared" si="1257"/>
        <v>9.6101985780828514</v>
      </c>
      <c r="GJ414" s="192">
        <f>EK414+EM414+EO414+EQ414</f>
        <v>275.90493575134542</v>
      </c>
      <c r="GK414" s="79">
        <f t="shared" si="1257"/>
        <v>-38.290106072166083</v>
      </c>
      <c r="GL414" s="192">
        <f>+GL413*GL415/100</f>
        <v>282.53778406742651</v>
      </c>
      <c r="GM414" s="79">
        <f t="shared" si="1257"/>
        <v>2.4040339466992577</v>
      </c>
      <c r="GN414" s="192">
        <f>+GN413*GN415/100</f>
        <v>290.46919484424382</v>
      </c>
      <c r="GO414" s="79">
        <f t="shared" si="1257"/>
        <v>2.8072035756196323</v>
      </c>
      <c r="GP414" s="192">
        <f>+GP413*GP415/100</f>
        <v>299.42163152202903</v>
      </c>
      <c r="GQ414" s="79">
        <f t="shared" si="1257"/>
        <v>3.0820606235321124</v>
      </c>
      <c r="GR414" s="192">
        <f>+GR413*GR415/100</f>
        <v>307.21549888189571</v>
      </c>
      <c r="GS414" s="79">
        <f t="shared" si="1258"/>
        <v>2.6029740470815854</v>
      </c>
      <c r="GT414" s="79">
        <f t="shared" si="1259"/>
        <v>-7.2299714182083807</v>
      </c>
      <c r="GU414" s="857"/>
    </row>
    <row r="415" spans="1:286" ht="12.75" customHeight="1" x14ac:dyDescent="0.2">
      <c r="A415" s="1" t="s">
        <v>202</v>
      </c>
      <c r="B415" s="2" t="s">
        <v>284</v>
      </c>
      <c r="C415" s="79"/>
      <c r="D415" s="79"/>
      <c r="E415" s="75">
        <f>E414/E413*100</f>
        <v>19.364799294221438</v>
      </c>
      <c r="F415" s="318"/>
      <c r="G415" s="75">
        <f>G414/G413*100</f>
        <v>31.120527306967983</v>
      </c>
      <c r="H415" s="318"/>
      <c r="I415" s="75">
        <f>I414/I413*100</f>
        <v>38.867077958496907</v>
      </c>
      <c r="J415" s="75"/>
      <c r="K415" s="75">
        <f>K414/K413*100</f>
        <v>34.280639431616343</v>
      </c>
      <c r="L415" s="79"/>
      <c r="M415" s="75">
        <f>M414/M413*100</f>
        <v>31.754874651810589</v>
      </c>
      <c r="N415" s="79">
        <f t="shared" si="1273"/>
        <v>63.982462040215495</v>
      </c>
      <c r="O415" s="75">
        <f>O414/O413*100</f>
        <v>34.284460052677787</v>
      </c>
      <c r="P415" s="79">
        <f t="shared" si="1273"/>
        <v>10.166706735079622</v>
      </c>
      <c r="Q415" s="75">
        <f>Q414/Q413*100</f>
        <v>35.086206896551722</v>
      </c>
      <c r="R415" s="79">
        <f t="shared" si="1273"/>
        <v>-9.7276956759715265</v>
      </c>
      <c r="S415" s="75">
        <f>S414/S413*100</f>
        <v>33.377366798767063</v>
      </c>
      <c r="T415" s="79">
        <f t="shared" si="1273"/>
        <v>-2.6349351932339116</v>
      </c>
      <c r="U415" s="75">
        <f>U414/U413*100</f>
        <v>36.465177398160243</v>
      </c>
      <c r="V415" s="79">
        <f t="shared" si="1273"/>
        <v>14.833321806487065</v>
      </c>
      <c r="W415" s="75">
        <f>W414/W413*100</f>
        <v>32.031726662599155</v>
      </c>
      <c r="X415" s="79">
        <f>IF(ISERROR((W415/O415-1)*100),"NA",IF(((W415/O415-1)*100)&gt;100,"NM",IF(((W415/O415-1)*100)&lt;-50,"NM",(W415/O415-1)*100)))</f>
        <v>-6.570712756208863</v>
      </c>
      <c r="Y415" s="75">
        <f>Y414/Y413*100</f>
        <v>33.832853025936544</v>
      </c>
      <c r="Z415" s="79">
        <f>IF(ISERROR((Y415/Q415-1)*100),"NA",IF(((Y415/Q415-1)*100)&gt;100,"NM",IF(((Y415/Q415-1)*100)&lt;-50,"NM",(Y415/Q415-1)*100)))</f>
        <v>-3.572212505930239</v>
      </c>
      <c r="AA415" s="267">
        <f>AA414/AA413*100</f>
        <v>37.466032608695663</v>
      </c>
      <c r="AB415" s="79">
        <f>IF(ISERROR((AA415/S415-1)*100),"NA",IF(((AA415/S415-1)*100)&gt;100,"NM",IF(((AA415/S415-1)*100)&lt;-50,"NM",(AA415/S415-1)*100)))</f>
        <v>12.249815375129081</v>
      </c>
      <c r="AC415" s="75">
        <f>AC414/AC413*100</f>
        <v>26.423632935260844</v>
      </c>
      <c r="AD415" s="79">
        <f>IF(ISERROR((AC415/U415-1)*100),"NA",IF(((AC415/U415-1)*100)&gt;100,"NM",IF(((AC415/U415-1)*100)&lt;-50,"NM",(AC415/U415-1)*100)))</f>
        <v>-27.537352563122376</v>
      </c>
      <c r="AE415" s="75">
        <f>AE414/AE413*100</f>
        <v>34.088620342396744</v>
      </c>
      <c r="AF415" s="79">
        <f>IF(ISERROR((AE415/W415-1)*100),"NA",IF(((AE415/W415-1)*100)&gt;100,"NM",IF(((AE415/W415-1)*100)&lt;-50,"NM",(AE415/W415-1)*100)))</f>
        <v>6.4214261736919021</v>
      </c>
      <c r="AG415" s="75">
        <f>AG414/AG413*100</f>
        <v>34.127025478038874</v>
      </c>
      <c r="AH415" s="79">
        <f>IF(ISERROR((AG415/Y415-1)*100),"NA",IF(((AG415/Y415-1)*100)&gt;100,"NM",IF(((AG415/Y415-1)*100)&lt;-50,"NM",(AG415/Y415-1)*100)))</f>
        <v>0.86948757137570443</v>
      </c>
      <c r="AI415" s="75">
        <f>AI414/AI413*100</f>
        <v>-0.60152960384978871</v>
      </c>
      <c r="AJ415" s="79" t="str">
        <f>IF(ISERROR((AI415/AA415-1)*100),"NA",IF(((AI415/AA415-1)*100)&gt;100,"NM",IF(((AI415/AA415-1)*100)&lt;-50,"NM",(AI415/AA415-1)*100)))</f>
        <v>NM</v>
      </c>
      <c r="AK415" s="75">
        <f>AK414/AK413*100</f>
        <v>16.504329004328959</v>
      </c>
      <c r="AL415" s="79">
        <f>IF(ISERROR((AK415/AC415-1)*100),"NA",IF(((AK415/AC415-1)*100)&gt;100,"NM",IF(((AK415/AC415-1)*100)&lt;-50,"NM",(AK415/AC415-1)*100)))</f>
        <v>-37.539516065919663</v>
      </c>
      <c r="AM415" s="75">
        <f>AM414/AM413*100</f>
        <v>35.746380429356009</v>
      </c>
      <c r="AN415" s="79">
        <f>IF(ISERROR((AM415/AE415-1)*100),"NA",IF(((AM415/AE415-1)*100)&gt;100,"NM",IF(((AM415/AE415-1)*100)&lt;-50,"NM",(AM415/AE415-1)*100)))</f>
        <v>4.8630894131478586</v>
      </c>
      <c r="AO415" s="75">
        <f>AO414/AO413*100</f>
        <v>35.071770334928239</v>
      </c>
      <c r="AP415" s="79">
        <f>IF(ISERROR((AO415/AG415-1)*100),"NA",IF(((AO415/AG415-1)*100)&gt;100,"NM",IF(((AO415/AG415-1)*100)&lt;-50,"NM",(AO415/AG415-1)*100)))</f>
        <v>2.7683187844698587</v>
      </c>
      <c r="AQ415" s="75">
        <f>AQ414/AQ413*100</f>
        <v>28.830752802989863</v>
      </c>
      <c r="AR415" s="79" t="str">
        <f>IF(ISERROR((AQ415/AI415-1)*100),"NA",IF(((AQ415/AI415-1)*100)&gt;100,"NM",IF(((AQ415/AI415-1)*100)&lt;-50,"NM",(AQ415/AI415-1)*100)))</f>
        <v>NM</v>
      </c>
      <c r="AS415" s="104">
        <f>AS414/AS413*100</f>
        <v>34.010907288051591</v>
      </c>
      <c r="AT415" s="81" t="str">
        <f>IF(ISERROR((AS415/AK415-1)*100),"NA",IF(((AS415/AK415-1)*100)&gt;100,"NM",IF(((AS415/AK415-1)*100)&lt;-50,"NM",(AS415/AK415-1)*100)))</f>
        <v>NM</v>
      </c>
      <c r="AU415" s="104">
        <f>AU414/AU413*100</f>
        <v>35.163972286374182</v>
      </c>
      <c r="AV415" s="81">
        <f>IF(ISERROR((AU415/AM415-1)*100),"NA",IF(((AU415/AM415-1)*100)&gt;100,"NM",IF(((AU415/AM415-1)*100)&lt;-50,"NM",(AU415/AM415-1)*100)))</f>
        <v>-1.6292786457997144</v>
      </c>
      <c r="AW415" s="104">
        <f>AW414/AW413*100</f>
        <v>35.614396728016338</v>
      </c>
      <c r="AX415" s="81">
        <f>IF(ISERROR((AW415/AO415-1)*100),"NA",IF(((AW415/AO415-1)*100)&gt;100,"NM",IF(((AW415/AO415-1)*100)&lt;-50,"NM",(AW415/AO415-1)*100)))</f>
        <v>1.5471884877955366</v>
      </c>
      <c r="AY415" s="104">
        <f>AY414/AY413*100</f>
        <v>32.150943396226403</v>
      </c>
      <c r="AZ415" s="81">
        <f>IF(ISERROR((AY415/AQ415-1)*100),"NA",IF(((AY415/AQ415-1)*100)&gt;100,"NM",IF(((AY415/AQ415-1)*100)&lt;-50,"NM",(AY415/AQ415-1)*100)))</f>
        <v>11.516142557651921</v>
      </c>
      <c r="BA415" s="104">
        <f>BA414/BA413*100</f>
        <v>33.763277693474969</v>
      </c>
      <c r="BB415" s="81">
        <f>IF(ISERROR((BA415/AS415-1)*100),"NA",IF(((BA415/AS415-1)*100)&gt;100,"NM",IF(((BA415/AS415-1)*100)&lt;-50,"NM",(BA415/AS415-1)*100)))</f>
        <v>-0.7280887642289291</v>
      </c>
      <c r="BC415" s="104">
        <f>BC414/BC413*100</f>
        <v>34.119782214156082</v>
      </c>
      <c r="BD415" s="81">
        <f>IF(ISERROR((BC415/AU415-1)*100),"NA",IF(((BC415/AU415-1)*100)&gt;100,"NM",IF(((BC415/AU415-1)*100)&lt;-50,"NM",(BC415/AU415-1)*100)))</f>
        <v>-2.9694883834916364</v>
      </c>
      <c r="BE415" s="104">
        <f>BE414/BE413*100</f>
        <v>33.261538461538478</v>
      </c>
      <c r="BF415" s="81">
        <f>IF(ISERROR((BE415/AW415-1)*100),"NA",IF(((BE415/AW415-1)*100)&gt;100,"NM",IF(((BE415/AW415-1)*100)&lt;-50,"NM",(BE415/AW415-1)*100)))</f>
        <v>-6.606480756774868</v>
      </c>
      <c r="BG415" s="104">
        <f>BG414/BG413*100</f>
        <v>30.541069100391127</v>
      </c>
      <c r="BH415" s="81">
        <f>IF(ISERROR((BG415/AY415-1)*100),"NA",IF(((BG415/AY415-1)*100)&gt;100,"NM",IF(((BG415/AY415-1)*100)&lt;-50,"NM",(BG415/AY415-1)*100)))</f>
        <v>-5.0072381267177057</v>
      </c>
      <c r="BI415" s="104">
        <f>BI414/BI413*100</f>
        <v>33.652618135376763</v>
      </c>
      <c r="BJ415" s="81">
        <f t="shared" si="1201"/>
        <v>-0.32775123050210464</v>
      </c>
      <c r="BK415" s="104">
        <f>BK414/BK413*100</f>
        <v>34.526254033440921</v>
      </c>
      <c r="BL415" s="81">
        <f t="shared" si="1202"/>
        <v>1.1913083639677913</v>
      </c>
      <c r="BM415" s="104">
        <f>BM414/BM413*100</f>
        <v>33.384520884520903</v>
      </c>
      <c r="BN415" s="81">
        <f t="shared" si="1203"/>
        <v>0.36974363986390646</v>
      </c>
      <c r="BO415" s="104">
        <f>BO414/BO413*100</f>
        <v>32.495164410058003</v>
      </c>
      <c r="BP415" s="81">
        <f t="shared" si="1204"/>
        <v>6.3982544397630514</v>
      </c>
      <c r="BQ415" s="104">
        <f>BQ414/BQ413*100</f>
        <v>34.422588832487314</v>
      </c>
      <c r="BR415" s="81">
        <f t="shared" si="1205"/>
        <v>2.2879964168408318</v>
      </c>
      <c r="BS415" s="104">
        <f>BS414/BS413*100</f>
        <v>33.374498301945025</v>
      </c>
      <c r="BT415" s="81">
        <f t="shared" si="1206"/>
        <v>-3.335883847637644</v>
      </c>
      <c r="BU415" s="104">
        <f>BU414/BU413*100</f>
        <v>33.81294964028779</v>
      </c>
      <c r="BV415" s="81">
        <f t="shared" si="1207"/>
        <v>1.283315573851862</v>
      </c>
      <c r="BW415" s="104">
        <f>BW414/BW413*100</f>
        <v>32.162834058421403</v>
      </c>
      <c r="BX415" s="81">
        <f t="shared" si="1208"/>
        <v>-1.0227070940245331</v>
      </c>
      <c r="BY415" s="104">
        <f>BY414/BY413*100</f>
        <v>33.372537488973833</v>
      </c>
      <c r="BZ415" s="81">
        <f t="shared" si="1209"/>
        <v>-3.0504717371009127</v>
      </c>
      <c r="CA415" s="104">
        <f>CA414/CA413*100</f>
        <v>32.334109429569267</v>
      </c>
      <c r="CB415" s="81">
        <f t="shared" si="1210"/>
        <v>-3.117316889569921</v>
      </c>
      <c r="CC415" s="104">
        <f>CC414/CC413*100</f>
        <v>32.415254237288124</v>
      </c>
      <c r="CD415" s="81">
        <f t="shared" si="1211"/>
        <v>-4.133609808871352</v>
      </c>
      <c r="CE415" s="104">
        <f>CE414/CE413*100</f>
        <v>32.302295918367314</v>
      </c>
      <c r="CF415" s="81">
        <f t="shared" si="1212"/>
        <v>0.43361185053714113</v>
      </c>
      <c r="CG415" s="104">
        <f>CG414/CG413*100</f>
        <v>31.574016239850106</v>
      </c>
      <c r="CH415" s="81">
        <f t="shared" si="1213"/>
        <v>-5.3892253464932089</v>
      </c>
      <c r="CI415" s="104">
        <f>CI414/CI413*100</f>
        <v>32.100548974284877</v>
      </c>
      <c r="CJ415" s="81">
        <f t="shared" si="1214"/>
        <v>-0.72233458537999118</v>
      </c>
      <c r="CK415" s="104">
        <f>CK414/CK413*100</f>
        <v>30.411728009981282</v>
      </c>
      <c r="CL415" s="81">
        <f t="shared" si="1215"/>
        <v>-6.1808129365283015</v>
      </c>
      <c r="CM415" s="104">
        <f>CM414/CM413*100</f>
        <v>40.223735408560287</v>
      </c>
      <c r="CN415" s="81">
        <f t="shared" si="1216"/>
        <v>24.522837355622109</v>
      </c>
      <c r="CO415" s="104">
        <f>CO414/CO413*100</f>
        <v>31.047865459249685</v>
      </c>
      <c r="CP415" s="81">
        <f t="shared" si="1217"/>
        <v>-1.6664043516147808</v>
      </c>
      <c r="CQ415" s="104">
        <f>CQ414/CQ413*100</f>
        <v>27.34601741373751</v>
      </c>
      <c r="CR415" s="81">
        <f t="shared" si="1218"/>
        <v>-14.811371495098513</v>
      </c>
      <c r="CS415" s="104">
        <f>CS414/CS413*100</f>
        <v>27.90473125201159</v>
      </c>
      <c r="CT415" s="81">
        <f t="shared" si="1219"/>
        <v>-8.2435195959495662</v>
      </c>
      <c r="CU415" s="104">
        <f>CU414/CU413*100</f>
        <v>27.349047465288994</v>
      </c>
      <c r="CV415" s="81">
        <f t="shared" si="1220"/>
        <v>-32.007688526439892</v>
      </c>
      <c r="CW415" s="104">
        <f>CW414/CW413*100</f>
        <v>31.826923076923062</v>
      </c>
      <c r="CX415" s="81">
        <f t="shared" si="1221"/>
        <v>2.5092147435896717</v>
      </c>
      <c r="CY415" s="104">
        <f>CY414/CY413*100</f>
        <v>31.438551921244844</v>
      </c>
      <c r="CZ415" s="81">
        <f t="shared" si="1222"/>
        <v>14.965742344080478</v>
      </c>
      <c r="DA415" s="104">
        <f>DA414/DA413*100</f>
        <v>29.96207332490518</v>
      </c>
      <c r="DB415" s="81">
        <f t="shared" si="1223"/>
        <v>7.3727356637605324</v>
      </c>
      <c r="DC415" s="104">
        <f>DC414/DC413*100</f>
        <v>29.227212681638047</v>
      </c>
      <c r="DD415" s="81">
        <f t="shared" si="1224"/>
        <v>6.8673880460838443</v>
      </c>
      <c r="DE415" s="104">
        <f>DE414/DE413*100</f>
        <v>31.486611265004637</v>
      </c>
      <c r="DF415" s="81">
        <f t="shared" si="1225"/>
        <v>-1.0692576567829737</v>
      </c>
      <c r="DG415" s="104">
        <f>DG414/DG413*100</f>
        <v>31.97048877958807</v>
      </c>
      <c r="DH415" s="81">
        <f t="shared" si="1226"/>
        <v>1.6919890574977892</v>
      </c>
      <c r="DI415" s="104">
        <f>DI414/DI413*100</f>
        <v>30.926860025220677</v>
      </c>
      <c r="DJ415" s="81">
        <f t="shared" si="1227"/>
        <v>3.2200264976774529</v>
      </c>
      <c r="DK415" s="104">
        <f>DK414/DK413*100</f>
        <v>38.56261732367927</v>
      </c>
      <c r="DL415" s="81">
        <f t="shared" si="1228"/>
        <v>31.940796899548939</v>
      </c>
      <c r="DM415" s="104">
        <f>DM414/DM413*100</f>
        <v>29.971724787935905</v>
      </c>
      <c r="DN415" s="81">
        <f t="shared" si="1229"/>
        <v>-4.8112083714528904</v>
      </c>
      <c r="DO415" s="104">
        <f>DO414/DO413*100</f>
        <v>30.846394984326025</v>
      </c>
      <c r="DP415" s="81">
        <f t="shared" si="1229"/>
        <v>-3.5160356884494592</v>
      </c>
      <c r="DQ415" s="104">
        <f>DQ414/DQ413*100</f>
        <v>32.073732718893986</v>
      </c>
      <c r="DR415" s="81">
        <f t="shared" si="1230"/>
        <v>3.7083386180751576</v>
      </c>
      <c r="DS415" s="104">
        <f>DS414/DS413*100</f>
        <v>28.405887879736934</v>
      </c>
      <c r="DT415" s="81">
        <f t="shared" si="1231"/>
        <v>-26.338278231196778</v>
      </c>
      <c r="DU415" s="104">
        <f>DU414/DU413*100</f>
        <v>30.951647674776734</v>
      </c>
      <c r="DV415" s="81">
        <f t="shared" si="1232"/>
        <v>3.2694911413148509</v>
      </c>
      <c r="DW415" s="104">
        <f>DW414/DW413*100</f>
        <v>30.426993132278302</v>
      </c>
      <c r="DX415" s="81">
        <f t="shared" si="1233"/>
        <v>-1.3596462480002458</v>
      </c>
      <c r="DY415" s="104">
        <f>DY414/DY413*100</f>
        <v>28.776082217377745</v>
      </c>
      <c r="DZ415" s="81">
        <f t="shared" si="1234"/>
        <v>-10.281467799267595</v>
      </c>
      <c r="EA415" s="104">
        <f>EA414/EA413*100</f>
        <v>32.992998833138856</v>
      </c>
      <c r="EB415" s="81">
        <f t="shared" si="1235"/>
        <v>16.148451239484384</v>
      </c>
      <c r="EC415" s="104">
        <f>EC414/EC413*100</f>
        <v>30.538393645189782</v>
      </c>
      <c r="ED415" s="81">
        <f t="shared" si="1236"/>
        <v>-1.3351600338993297</v>
      </c>
      <c r="EE415" s="104">
        <f>EE414/EE413*100</f>
        <v>31.994342291371979</v>
      </c>
      <c r="EF415" s="81">
        <f t="shared" si="1237"/>
        <v>5.1511799154118965</v>
      </c>
      <c r="EG415" s="104">
        <f>EG414/EG413*100</f>
        <v>31.116722783389463</v>
      </c>
      <c r="EH415" s="81">
        <f t="shared" si="1238"/>
        <v>8.1339792829693067</v>
      </c>
      <c r="EI415" s="104">
        <f>EI414/EI413*100</f>
        <v>31.992491284526697</v>
      </c>
      <c r="EJ415" s="81">
        <f t="shared" si="1239"/>
        <v>-3.0324844178978627</v>
      </c>
      <c r="EK415" s="105">
        <v>19.5</v>
      </c>
      <c r="EL415" s="81">
        <f t="shared" si="1241"/>
        <v>-36.145953757225477</v>
      </c>
      <c r="EM415" s="105">
        <f t="shared" ref="EM415" si="1276">EK415</f>
        <v>19.5</v>
      </c>
      <c r="EN415" s="81">
        <f t="shared" si="1242"/>
        <v>-39.051724137931011</v>
      </c>
      <c r="EO415" s="105">
        <f t="shared" ref="EO415" si="1277">EM415</f>
        <v>19.5</v>
      </c>
      <c r="EP415" s="81">
        <f t="shared" si="1243"/>
        <v>-37.332732191163231</v>
      </c>
      <c r="EQ415" s="105">
        <f t="shared" ref="EQ415" si="1278">EO415</f>
        <v>19.5</v>
      </c>
      <c r="ER415" s="81">
        <f t="shared" si="1244"/>
        <v>-39.04819782062031</v>
      </c>
      <c r="ES415" s="202"/>
      <c r="ET415" s="489"/>
      <c r="EU415" s="202"/>
      <c r="EV415" s="241"/>
      <c r="EW415" s="201"/>
      <c r="EX415" s="241"/>
      <c r="EY415" s="201"/>
      <c r="EZ415" s="241"/>
      <c r="FA415" s="201"/>
      <c r="FB415" s="104">
        <f>FB414/FB413*100</f>
        <v>455.37313432835828</v>
      </c>
      <c r="FC415" s="201" t="str">
        <f>IF(ISERROR((FB415/EZ415-1)*100),"NA",IF(((FB415/EZ415-1)*100)&gt;100,"NM",IF(((FB415/EZ415-1)*100)&lt;-50,"NM",(FB415/EZ415-1)*100)))</f>
        <v>NA</v>
      </c>
      <c r="FD415" s="104">
        <f>FD414/FD413*100</f>
        <v>28.724108578454533</v>
      </c>
      <c r="FE415" s="201" t="str">
        <f>IF(ISERROR((FD415/FB415-1)*100),"NA",IF(((FD415/FB415-1)*100)&gt;100,"NM",IF(((FD415/FB415-1)*100)&lt;-50,"NM",(FD415/FB415-1)*100)))</f>
        <v>NM</v>
      </c>
      <c r="FF415" s="104">
        <f>FF414/FF413*100</f>
        <v>162.15022091310905</v>
      </c>
      <c r="FG415" s="201" t="str">
        <f>IF(ISERROR((FF415/FD415-1)*100),"NA",IF(((FF415/FD415-1)*100)&gt;100,"NM",IF(((FF415/FD415-1)*100)&lt;-50,"NM",(FF415/FD415-1)*100)))</f>
        <v>NM</v>
      </c>
      <c r="FH415" s="104">
        <f>FH414/FH413*100</f>
        <v>57.555555555555472</v>
      </c>
      <c r="FI415" s="201" t="str">
        <f t="shared" si="1248"/>
        <v>NM</v>
      </c>
      <c r="FJ415" s="104">
        <f>FJ414/FJ413*100</f>
        <v>29.357563347837178</v>
      </c>
      <c r="FK415" s="201">
        <f t="shared" si="1249"/>
        <v>-48.992650553950782</v>
      </c>
      <c r="FL415" s="75">
        <f>FL414/FL413*100</f>
        <v>34.171305378894026</v>
      </c>
      <c r="FM415" s="201">
        <f t="shared" si="1250"/>
        <v>16.396939943626098</v>
      </c>
      <c r="FN415" s="75">
        <f>FN414/FN413*100</f>
        <v>32.863609189512339</v>
      </c>
      <c r="FO415" s="201">
        <f t="shared" si="1251"/>
        <v>-3.8268839158523527</v>
      </c>
      <c r="FP415" s="104">
        <f>(FP414/FP413*100)</f>
        <v>33.537483525854725</v>
      </c>
      <c r="FQ415" s="201">
        <f t="shared" si="1252"/>
        <v>2.0505183482933953</v>
      </c>
      <c r="FR415" s="104">
        <f>(FR414/FR413*100)</f>
        <v>34.59397881088249</v>
      </c>
      <c r="FS415" s="201">
        <f t="shared" si="1253"/>
        <v>3.1501924830266148</v>
      </c>
      <c r="FT415" s="104">
        <f>(FT414/FT413*100)</f>
        <v>32.612789033667269</v>
      </c>
      <c r="FU415" s="201">
        <f t="shared" si="1254"/>
        <v>-5.7269786399706701</v>
      </c>
      <c r="FV415" s="104">
        <f>(FV414/FV413*100)</f>
        <v>16.644150229667666</v>
      </c>
      <c r="FW415" s="201">
        <f t="shared" si="1255"/>
        <v>-48.964345820023695</v>
      </c>
      <c r="FX415" s="104">
        <f>(FX414/FX413*100)</f>
        <v>29.829590699155844</v>
      </c>
      <c r="FY415" s="201">
        <f t="shared" si="1256"/>
        <v>79.219667496064488</v>
      </c>
      <c r="FZ415" s="104">
        <f>(FZ414/FZ413*100)</f>
        <v>30.623545461840944</v>
      </c>
      <c r="GA415" s="79">
        <f t="shared" si="1257"/>
        <v>2.6616347863853473</v>
      </c>
      <c r="GB415" s="104">
        <f>(GB414/GB413*100)</f>
        <v>27.014297729184182</v>
      </c>
      <c r="GC415" s="79">
        <f t="shared" si="1257"/>
        <v>-11.785858489684465</v>
      </c>
      <c r="GD415" s="104">
        <f>(GD414/GD413*100)</f>
        <v>30.333047344200931</v>
      </c>
      <c r="GE415" s="79">
        <f t="shared" si="1257"/>
        <v>12.285159689461134</v>
      </c>
      <c r="GF415" s="104">
        <f>(GF414/GF413*100)</f>
        <v>30.819795995466535</v>
      </c>
      <c r="GG415" s="79">
        <f t="shared" si="1257"/>
        <v>1.6046810125678324</v>
      </c>
      <c r="GH415" s="104">
        <f>(GH414/GH413*100)</f>
        <v>31.426161523863083</v>
      </c>
      <c r="GI415" s="79">
        <f t="shared" si="1257"/>
        <v>1.9674547115293706</v>
      </c>
      <c r="GJ415" s="104">
        <f>(GJ414/GJ413*100)</f>
        <v>19.499999999999993</v>
      </c>
      <c r="GK415" s="79">
        <f t="shared" si="1257"/>
        <v>-37.949787519570599</v>
      </c>
      <c r="GL415" s="105">
        <f>GJ415</f>
        <v>19.499999999999993</v>
      </c>
      <c r="GM415" s="79">
        <f t="shared" si="1257"/>
        <v>0</v>
      </c>
      <c r="GN415" s="105">
        <f>GL415</f>
        <v>19.499999999999993</v>
      </c>
      <c r="GO415" s="79">
        <f t="shared" si="1257"/>
        <v>0</v>
      </c>
      <c r="GP415" s="105">
        <f>GN415</f>
        <v>19.499999999999993</v>
      </c>
      <c r="GQ415" s="79">
        <f t="shared" si="1257"/>
        <v>0</v>
      </c>
      <c r="GR415" s="105">
        <f>GP415</f>
        <v>19.499999999999993</v>
      </c>
      <c r="GS415" s="79">
        <f t="shared" si="1258"/>
        <v>0</v>
      </c>
      <c r="GT415" s="79">
        <f t="shared" si="1259"/>
        <v>-9.1031873703952613</v>
      </c>
    </row>
    <row r="416" spans="1:286" s="83" customFormat="1" ht="12.75" customHeight="1" x14ac:dyDescent="0.2">
      <c r="A416" s="77" t="s">
        <v>203</v>
      </c>
      <c r="B416" s="68" t="s">
        <v>347</v>
      </c>
      <c r="C416" s="140"/>
      <c r="D416" s="140"/>
      <c r="E416" s="142">
        <f>E413-E414</f>
        <v>182.79999999999998</v>
      </c>
      <c r="F416" s="142"/>
      <c r="G416" s="142">
        <f>G413-G414</f>
        <v>146.30000000000001</v>
      </c>
      <c r="H416" s="142"/>
      <c r="I416" s="142">
        <f>I413-I414</f>
        <v>109.00000000000001</v>
      </c>
      <c r="J416" s="142"/>
      <c r="K416" s="142">
        <f>K413-K414</f>
        <v>148</v>
      </c>
      <c r="L416" s="140"/>
      <c r="M416" s="142">
        <f>M413-M414</f>
        <v>147</v>
      </c>
      <c r="N416" s="79">
        <f>IF(ISERROR((M416/E416-1)*100),"NA",IF(((M416/E416-1)*100)&gt;100,"NM",IF(((M416/E416-1)*100)&lt;-50,"NM",(M416/E416-1)*100)))</f>
        <v>-19.584245076586427</v>
      </c>
      <c r="O416" s="142">
        <f>O413-O414</f>
        <v>149.70000000000002</v>
      </c>
      <c r="P416" s="79">
        <f>IF(ISERROR((O416/G416-1)*100),"NA",IF(((O416/G416-1)*100)&gt;100,"NM",IF(((O416/G416-1)*100)&lt;-50,"NM",(O416/G416-1)*100)))</f>
        <v>2.3239917976760172</v>
      </c>
      <c r="Q416" s="142">
        <f>Q413-Q414</f>
        <v>150.6</v>
      </c>
      <c r="R416" s="79">
        <f>IF(ISERROR((Q416/I416-1)*100),"NA",IF(((Q416/I416-1)*100)&gt;100,"NM",IF(((Q416/I416-1)*100)&lt;-50,"NM",(Q416/I416-1)*100)))</f>
        <v>38.165137614678876</v>
      </c>
      <c r="S416" s="142">
        <f>S413-S414</f>
        <v>151.29999999999998</v>
      </c>
      <c r="T416" s="79">
        <f>IF(ISERROR((S416/K416-1)*100),"NA",IF(((S416/K416-1)*100)&gt;100,"NM",IF(((S416/K416-1)*100)&lt;-50,"NM",(S416/K416-1)*100)))</f>
        <v>2.2297297297297236</v>
      </c>
      <c r="U416" s="142">
        <f>U413-U414</f>
        <v>-193.4000000000006</v>
      </c>
      <c r="V416" s="79" t="str">
        <f>IF(ISERROR((U416/M416-1)*100),"NA",IF(((U416/M416-1)*100)&gt;100,"NM",IF(((U416/M416-1)*100)&lt;-50,"NM",(U416/M416-1)*100)))</f>
        <v>NM</v>
      </c>
      <c r="W416" s="142">
        <f>W413-W414</f>
        <v>111.39999999999998</v>
      </c>
      <c r="X416" s="79">
        <f>IF(ISERROR((W416/O416-1)*100),"NA",IF(((W416/O416-1)*100)&gt;100,"NM",IF(((W416/O416-1)*100)&lt;-50,"NM",(W416/O416-1)*100)))</f>
        <v>-25.584502338009372</v>
      </c>
      <c r="Y416" s="142">
        <f>Y413-Y414</f>
        <v>114.80000000000028</v>
      </c>
      <c r="Z416" s="79">
        <f>IF(ISERROR((Y416/Q416-1)*100),"NA",IF(((Y416/Q416-1)*100)&gt;100,"NM",IF(((Y416/Q416-1)*100)&lt;-50,"NM",(Y416/Q416-1)*100)))</f>
        <v>-23.771580345285336</v>
      </c>
      <c r="AA416" s="319">
        <f>AA413-AA414</f>
        <v>-184.09999999999991</v>
      </c>
      <c r="AB416" s="79" t="str">
        <f>IF(ISERROR((AA416/S416-1)*100),"NA",IF(((AA416/S416-1)*100)&gt;100,"NM",IF(((AA416/S416-1)*100)&lt;-50,"NM",(AA416/S416-1)*100)))</f>
        <v>NM</v>
      </c>
      <c r="AC416" s="142">
        <f>AC413-AC414</f>
        <v>-585.29999999999995</v>
      </c>
      <c r="AD416" s="79" t="str">
        <f>IF(ISERROR((AC416/U416-1)*100),"NA",IF(((AC416/U416-1)*100)&gt;100,"NM",IF(((AC416/U416-1)*100)&lt;-50,"NM",(AC416/U416-1)*100)))</f>
        <v>NM</v>
      </c>
      <c r="AE416" s="142">
        <f>AE413-AE414</f>
        <v>130.9000000000002</v>
      </c>
      <c r="AF416" s="79">
        <f>IF(ISERROR((AE416/W416-1)*100),"NA",IF(((AE416/W416-1)*100)&gt;100,"NM",IF(((AE416/W416-1)*100)&lt;-50,"NM",(AE416/W416-1)*100)))</f>
        <v>17.504488330341328</v>
      </c>
      <c r="AG416" s="142">
        <f>AG413-AG414</f>
        <v>126.42999999999998</v>
      </c>
      <c r="AH416" s="79">
        <f>IF(ISERROR((AG416/Y416-1)*100),"NA",IF(((AG416/Y416-1)*100)&gt;100,"NM",IF(((AG416/Y416-1)*100)&lt;-50,"NM",(AG416/Y416-1)*100)))</f>
        <v>10.130662020905646</v>
      </c>
      <c r="AI416" s="142">
        <f>AI413-AI414</f>
        <v>117.07000000000014</v>
      </c>
      <c r="AJ416" s="79" t="str">
        <f>IF(ISERROR((AI416/AA416-1)*100),"NA",IF(((AI416/AA416-1)*100)&gt;100,"NM",IF(((AI416/AA416-1)*100)&lt;-50,"NM",(AI416/AA416-1)*100)))</f>
        <v>NM</v>
      </c>
      <c r="AK416" s="142">
        <f>AK413-AK414</f>
        <v>154.30000000000049</v>
      </c>
      <c r="AL416" s="79" t="str">
        <f>IF(ISERROR((AK416/AC416-1)*100),"NA",IF(((AK416/AC416-1)*100)&gt;100,"NM",IF(((AK416/AC416-1)*100)&lt;-50,"NM",(AK416/AC416-1)*100)))</f>
        <v>NM</v>
      </c>
      <c r="AM416" s="142">
        <f>AM413-AM414</f>
        <v>128.69999999999973</v>
      </c>
      <c r="AN416" s="79">
        <f>IF(ISERROR((AM416/AE416-1)*100),"NA",IF(((AM416/AE416-1)*100)&gt;100,"NM",IF(((AM416/AE416-1)*100)&lt;-50,"NM",(AM416/AE416-1)*100)))</f>
        <v>-1.6806722689079234</v>
      </c>
      <c r="AO416" s="142">
        <f>AO413-AO414</f>
        <v>135.69999999999993</v>
      </c>
      <c r="AP416" s="79">
        <f>IF(ISERROR((AO416/AG416-1)*100),"NA",IF(((AO416/AG416-1)*100)&gt;100,"NM",IF(((AO416/AG416-1)*100)&lt;-50,"NM",(AO416/AG416-1)*100)))</f>
        <v>7.3321205410108004</v>
      </c>
      <c r="AQ416" s="142">
        <f>AQ413-AQ414</f>
        <v>133.29999999999995</v>
      </c>
      <c r="AR416" s="79">
        <f>IF(ISERROR((AQ416/AI416-1)*100),"NA",IF(((AQ416/AI416-1)*100)&gt;100,"NM",IF(((AQ416/AI416-1)*100)&lt;-50,"NM",(AQ416/AI416-1)*100)))</f>
        <v>13.863500469804224</v>
      </c>
      <c r="AS416" s="142">
        <f>AS413-AS414</f>
        <v>133.09999999999985</v>
      </c>
      <c r="AT416" s="81">
        <f>IF(ISERROR((AS416/AK416-1)*100),"NA",IF(((AS416/AK416-1)*100)&gt;100,"NM",IF(((AS416/AK416-1)*100)&lt;-50,"NM",(AS416/AK416-1)*100)))</f>
        <v>-13.739468567725588</v>
      </c>
      <c r="AU416" s="142">
        <f>AU413-AU414</f>
        <v>140.36999999999972</v>
      </c>
      <c r="AV416" s="81">
        <f>IF(ISERROR((AU416/AM416-1)*100),"NA",IF(((AU416/AM416-1)*100)&gt;100,"NM",IF(((AU416/AM416-1)*100)&lt;-50,"NM",(AU416/AM416-1)*100)))</f>
        <v>9.0675990675990867</v>
      </c>
      <c r="AW416" s="142">
        <f>AW413-AW414</f>
        <v>157.42280000000011</v>
      </c>
      <c r="AX416" s="81">
        <f>IF(ISERROR((AW416/AO416-1)*100),"NA",IF(((AW416/AO416-1)*100)&gt;100,"NM",IF(((AW416/AO416-1)*100)&lt;-50,"NM",(AW416/AO416-1)*100)))</f>
        <v>16.007958732498295</v>
      </c>
      <c r="AY416" s="142">
        <f>AY413-AY414</f>
        <v>179.80000000000013</v>
      </c>
      <c r="AZ416" s="81">
        <f>IF(ISERROR((AY416/AQ416-1)*100),"NA",IF(((AY416/AQ416-1)*100)&gt;100,"NM",IF(((AY416/AQ416-1)*100)&lt;-50,"NM",(AY416/AQ416-1)*100)))</f>
        <v>34.883720930232712</v>
      </c>
      <c r="BA416" s="142">
        <f>BA413-BA414</f>
        <v>174.59999999999997</v>
      </c>
      <c r="BB416" s="81">
        <f>IF(ISERROR((BA416/AS416-1)*100),"NA",IF(((BA416/AS416-1)*100)&gt;100,"NM",IF(((BA416/AS416-1)*100)&lt;-50,"NM",(BA416/AS416-1)*100)))</f>
        <v>31.17956423741559</v>
      </c>
      <c r="BC416" s="142">
        <f>BC413-BC414</f>
        <v>181.5</v>
      </c>
      <c r="BD416" s="81">
        <f>IF(ISERROR((BC416/AU416-1)*100),"NA",IF(((BC416/AU416-1)*100)&gt;100,"NM",IF(((BC416/AU416-1)*100)&lt;-50,"NM",(BC416/AU416-1)*100)))</f>
        <v>29.301132720667056</v>
      </c>
      <c r="BE416" s="142">
        <f>BE413-BE414</f>
        <v>216.89999999999984</v>
      </c>
      <c r="BF416" s="81">
        <f>IF(ISERROR((BE416/AW416-1)*100),"NA",IF(((BE416/AW416-1)*100)&gt;100,"NM",IF(((BE416/AW416-1)*100)&lt;-50,"NM",(BE416/AW416-1)*100)))</f>
        <v>37.781820676547298</v>
      </c>
      <c r="BG416" s="142">
        <f>BG413-BG414</f>
        <v>213.10000000000008</v>
      </c>
      <c r="BH416" s="81">
        <f>IF(ISERROR((BG416/AY416-1)*100),"NA",IF(((BG416/AY416-1)*100)&gt;100,"NM",IF(((BG416/AY416-1)*100)&lt;-50,"NM",(BG416/AY416-1)*100)))</f>
        <v>18.52057842046715</v>
      </c>
      <c r="BI416" s="142">
        <f>BI413-BI414</f>
        <v>207.79999999999998</v>
      </c>
      <c r="BJ416" s="81">
        <f t="shared" si="1201"/>
        <v>19.014891179839655</v>
      </c>
      <c r="BK416" s="142">
        <f>BK413-BK414</f>
        <v>223.19999999999976</v>
      </c>
      <c r="BL416" s="81">
        <f t="shared" si="1202"/>
        <v>22.975206611570108</v>
      </c>
      <c r="BM416" s="142">
        <f>BM413-BM414</f>
        <v>216.89999999999986</v>
      </c>
      <c r="BN416" s="81">
        <f t="shared" si="1203"/>
        <v>2.2204460492503131E-14</v>
      </c>
      <c r="BO416" s="142">
        <f>BO413-BO414</f>
        <v>209.4000000000002</v>
      </c>
      <c r="BP416" s="81">
        <f t="shared" si="1204"/>
        <v>-1.7362740497418483</v>
      </c>
      <c r="BQ416" s="142">
        <f>BQ413-BQ414</f>
        <v>206.69999999999993</v>
      </c>
      <c r="BR416" s="81">
        <f t="shared" si="1205"/>
        <v>-0.52935514918193149</v>
      </c>
      <c r="BS416" s="142">
        <f>BS413-BS414</f>
        <v>215.80000000000015</v>
      </c>
      <c r="BT416" s="81">
        <f t="shared" si="1206"/>
        <v>-3.3154121863797514</v>
      </c>
      <c r="BU416" s="142">
        <f>BU413-BU414</f>
        <v>211.59999999999982</v>
      </c>
      <c r="BV416" s="81">
        <f t="shared" si="1207"/>
        <v>-2.4435223605348333</v>
      </c>
      <c r="BW416" s="142">
        <f>BW413-BW414</f>
        <v>218.29999999999978</v>
      </c>
      <c r="BX416" s="81">
        <f t="shared" si="1208"/>
        <v>4.2502387774592032</v>
      </c>
      <c r="BY416" s="142">
        <f>BY413-BY414</f>
        <v>226.60000000000002</v>
      </c>
      <c r="BZ416" s="81">
        <f t="shared" si="1209"/>
        <v>9.6274794388002469</v>
      </c>
      <c r="CA416" s="142">
        <f>CA413-CA414</f>
        <v>232.49999999999997</v>
      </c>
      <c r="CB416" s="81">
        <f t="shared" si="1210"/>
        <v>7.7386468952733045</v>
      </c>
      <c r="CC416" s="142">
        <f>CC413-CC414</f>
        <v>223.3000000000001</v>
      </c>
      <c r="CD416" s="81">
        <f t="shared" si="1211"/>
        <v>5.5293005671078754</v>
      </c>
      <c r="CE416" s="142">
        <f>CE413-CE414</f>
        <v>212.3000000000003</v>
      </c>
      <c r="CF416" s="81">
        <f t="shared" si="1212"/>
        <v>-2.7485112230872577</v>
      </c>
      <c r="CG416" s="142">
        <f>CG413-CG414</f>
        <v>219.09999999999988</v>
      </c>
      <c r="CH416" s="81">
        <f t="shared" si="1213"/>
        <v>-3.3097969991174536</v>
      </c>
      <c r="CI416" s="142">
        <f>CI413-CI414</f>
        <v>235.00000000000014</v>
      </c>
      <c r="CJ416" s="81">
        <f t="shared" si="1214"/>
        <v>1.0752688172043667</v>
      </c>
      <c r="CK416" s="142">
        <f>CK413-CK414</f>
        <v>223.10000000000002</v>
      </c>
      <c r="CL416" s="81">
        <f t="shared" si="1215"/>
        <v>-8.9565606807018305E-2</v>
      </c>
      <c r="CM416" s="142">
        <f>CM413-CM414</f>
        <v>-368.70000000000027</v>
      </c>
      <c r="CN416" s="81" t="str">
        <f t="shared" si="1216"/>
        <v>NM</v>
      </c>
      <c r="CO416" s="142">
        <f>CO413-CO414</f>
        <v>213.19999999999993</v>
      </c>
      <c r="CP416" s="81">
        <f t="shared" si="1217"/>
        <v>-2.6928343222272666</v>
      </c>
      <c r="CQ416" s="142">
        <f>CQ413-CQ414</f>
        <v>225.2999999999999</v>
      </c>
      <c r="CR416" s="81">
        <f t="shared" si="1218"/>
        <v>-4.1276595744681899</v>
      </c>
      <c r="CS416" s="142">
        <f>CS413-CS414</f>
        <v>224</v>
      </c>
      <c r="CT416" s="81">
        <f t="shared" si="1219"/>
        <v>0.4034065441505863</v>
      </c>
      <c r="CU416" s="142">
        <f>CU413-CU414</f>
        <v>224.99999999999994</v>
      </c>
      <c r="CV416" s="81" t="str">
        <f t="shared" si="1220"/>
        <v>NM</v>
      </c>
      <c r="CW416" s="142">
        <f>CW413-CW414</f>
        <v>212.7000000000001</v>
      </c>
      <c r="CX416" s="81">
        <f t="shared" si="1221"/>
        <v>-0.23452157598491397</v>
      </c>
      <c r="CY416" s="142">
        <f>CY413-CY414</f>
        <v>215.89999999999992</v>
      </c>
      <c r="CZ416" s="81">
        <f t="shared" si="1222"/>
        <v>-4.1722148246781998</v>
      </c>
      <c r="DA416" s="142">
        <f>DA413-DA414</f>
        <v>221.60000000000002</v>
      </c>
      <c r="DB416" s="81">
        <f t="shared" si="1223"/>
        <v>-1.0714285714285565</v>
      </c>
      <c r="DC416" s="142">
        <f>DC413-DC414</f>
        <v>214.29999999999995</v>
      </c>
      <c r="DD416" s="81">
        <f t="shared" si="1224"/>
        <v>-4.7555555555555458</v>
      </c>
      <c r="DE416" s="142">
        <f>DE413-DE414</f>
        <v>222.59999999999974</v>
      </c>
      <c r="DF416" s="81">
        <f t="shared" si="1225"/>
        <v>4.6544428772917978</v>
      </c>
      <c r="DG416" s="142">
        <f>DG413-DG414</f>
        <v>221.3</v>
      </c>
      <c r="DH416" s="81">
        <f t="shared" si="1226"/>
        <v>2.5011579434923936</v>
      </c>
      <c r="DI416" s="142">
        <f>DI413-DI414</f>
        <v>219.10000000000005</v>
      </c>
      <c r="DJ416" s="81">
        <f t="shared" si="1227"/>
        <v>-1.1281588447653257</v>
      </c>
      <c r="DK416" s="142">
        <f>DK413-DK414</f>
        <v>-229.10000000000002</v>
      </c>
      <c r="DL416" s="81" t="str">
        <f t="shared" si="1228"/>
        <v>NM</v>
      </c>
      <c r="DM416" s="142">
        <f>DM413-DM414</f>
        <v>222.90000000000006</v>
      </c>
      <c r="DN416" s="81">
        <f t="shared" si="1229"/>
        <v>0.13477088948801175</v>
      </c>
      <c r="DO416" s="142">
        <f>DO413-DO414</f>
        <v>220.59999999999994</v>
      </c>
      <c r="DP416" s="81">
        <f t="shared" si="1229"/>
        <v>-0.31631269769546444</v>
      </c>
      <c r="DQ416" s="142">
        <f>DQ413-DQ414</f>
        <v>221.10000000000022</v>
      </c>
      <c r="DR416" s="81">
        <f t="shared" si="1230"/>
        <v>0.91282519397544171</v>
      </c>
      <c r="DS416" s="142">
        <f>DS413-DS414</f>
        <v>228.59999999999991</v>
      </c>
      <c r="DT416" s="81" t="str">
        <f t="shared" si="1231"/>
        <v>NM</v>
      </c>
      <c r="DU416" s="142">
        <f>DU413-DU414</f>
        <v>224.19999999999982</v>
      </c>
      <c r="DV416" s="81">
        <f t="shared" si="1232"/>
        <v>0.58322117541487195</v>
      </c>
      <c r="DW416" s="142">
        <f>DW413-DW414</f>
        <v>232.99999999999991</v>
      </c>
      <c r="DX416" s="81">
        <f t="shared" si="1233"/>
        <v>5.6210335448775961</v>
      </c>
      <c r="DY416" s="142">
        <f>DY413-DY414</f>
        <v>228.70000000000019</v>
      </c>
      <c r="DZ416" s="81">
        <f t="shared" si="1234"/>
        <v>3.4373586612392426</v>
      </c>
      <c r="EA416" s="142">
        <f>EA413-EA414</f>
        <v>229.69999999999996</v>
      </c>
      <c r="EB416" s="81">
        <f t="shared" si="1235"/>
        <v>0.48118985126861524</v>
      </c>
      <c r="EC416" s="142">
        <f>EC413-EC414</f>
        <v>236.09999999999974</v>
      </c>
      <c r="ED416" s="81">
        <f t="shared" si="1236"/>
        <v>5.3077609277430549</v>
      </c>
      <c r="EE416" s="142">
        <f>EE413-EE414</f>
        <v>240.40000000000012</v>
      </c>
      <c r="EF416" s="81">
        <f t="shared" si="1237"/>
        <v>3.1759656652361468</v>
      </c>
      <c r="EG416" s="142">
        <f>EG413-EG414</f>
        <v>245.49999999999991</v>
      </c>
      <c r="EH416" s="81">
        <f t="shared" si="1238"/>
        <v>7.3458679492784063</v>
      </c>
      <c r="EI416" s="142">
        <f>EI413-EI414</f>
        <v>253.5999999999998</v>
      </c>
      <c r="EJ416" s="81">
        <f t="shared" si="1239"/>
        <v>10.404875925119651</v>
      </c>
      <c r="EK416" s="142">
        <f t="shared" ref="EK416:EQ416" si="1279">EK413-EK414</f>
        <v>282.31763341896846</v>
      </c>
      <c r="EL416" s="81">
        <f t="shared" si="1241"/>
        <v>19.57544829265936</v>
      </c>
      <c r="EM416" s="142">
        <f t="shared" si="1279"/>
        <v>284.18549079101746</v>
      </c>
      <c r="EN416" s="81">
        <f t="shared" si="1242"/>
        <v>18.213598498759275</v>
      </c>
      <c r="EO416" s="142">
        <f t="shared" si="1279"/>
        <v>285.31644884485263</v>
      </c>
      <c r="EP416" s="81">
        <f t="shared" si="1243"/>
        <v>16.218512767760785</v>
      </c>
      <c r="EQ416" s="142">
        <f t="shared" si="1279"/>
        <v>287.17259761097216</v>
      </c>
      <c r="ER416" s="81">
        <f t="shared" si="1244"/>
        <v>13.238405998017511</v>
      </c>
      <c r="ES416" s="236"/>
      <c r="ET416" s="465"/>
      <c r="EU416" s="236"/>
      <c r="EV416" s="142"/>
      <c r="EW416" s="140"/>
      <c r="EX416" s="141"/>
      <c r="EY416" s="79"/>
      <c r="EZ416" s="142"/>
      <c r="FA416" s="79"/>
      <c r="FB416" s="142">
        <f>+FB413-FB414</f>
        <v>-238.10000000000002</v>
      </c>
      <c r="FC416" s="79" t="str">
        <f>IF(ISERROR((FB416/EZ416-1)*100),"NA",IF(((FB416/EZ416-1)*100)&gt;100,"NM",IF(((FB416/EZ416-1)*100)&lt;-50,"NM",(FB416/EZ416-1)*100)))</f>
        <v>NA</v>
      </c>
      <c r="FD416" s="142">
        <f>+FD413-FD414</f>
        <v>753.60000000000082</v>
      </c>
      <c r="FE416" s="79" t="str">
        <f>IF(ISERROR((FD416/FB416-1)*100),"NA",IF(((FD416/FB416-1)*100)&gt;100,"NM",IF(((FD416/FB416-1)*100)&lt;-50,"NM",(FD416/FB416-1)*100)))</f>
        <v>NM</v>
      </c>
      <c r="FF416" s="142">
        <f>+FF413-FF414</f>
        <v>42.200000000000642</v>
      </c>
      <c r="FG416" s="79" t="str">
        <f>IF(ISERROR((FF416/FD416-1)*100),"NA",IF(((FF416/FD416-1)*100)&gt;100,"NM",IF(((FF416/FD416-1)*100)&lt;-50,"NM",(FF416/FD416-1)*100)))</f>
        <v>NM</v>
      </c>
      <c r="FH416" s="142">
        <f>+FH413-FH414</f>
        <v>-57.300000000000182</v>
      </c>
      <c r="FI416" s="79" t="str">
        <f t="shared" si="1248"/>
        <v>NM</v>
      </c>
      <c r="FJ416" s="142">
        <f>+FJ413-FJ414</f>
        <v>552.00000000000091</v>
      </c>
      <c r="FK416" s="79" t="str">
        <f t="shared" si="1249"/>
        <v>NM</v>
      </c>
      <c r="FL416" s="142">
        <f>+FL413-FL414</f>
        <v>610.69280000000026</v>
      </c>
      <c r="FM416" s="79">
        <f t="shared" si="1250"/>
        <v>10.632753623188274</v>
      </c>
      <c r="FN416" s="142">
        <f>+FN413-FN414</f>
        <v>786.10000000000014</v>
      </c>
      <c r="FO416" s="79">
        <f t="shared" si="1251"/>
        <v>28.722657283662056</v>
      </c>
      <c r="FP416" s="142">
        <f>+FP413-FP414</f>
        <v>857.29999999999984</v>
      </c>
      <c r="FQ416" s="79">
        <f t="shared" si="1252"/>
        <v>9.0573718356442789</v>
      </c>
      <c r="FR416" s="142">
        <f>+FR413-FR414</f>
        <v>860.54702078521836</v>
      </c>
      <c r="FS416" s="79">
        <f t="shared" si="1253"/>
        <v>0.37874965417223905</v>
      </c>
      <c r="FT416" s="142">
        <f>+FT413-FT414</f>
        <v>894.69999999999914</v>
      </c>
      <c r="FU416" s="79">
        <f t="shared" si="1254"/>
        <v>3.9687522459397329</v>
      </c>
      <c r="FV416" s="142">
        <f>+FV413-FV414</f>
        <v>308.49999999999977</v>
      </c>
      <c r="FW416" s="79" t="str">
        <f t="shared" si="1255"/>
        <v>NM</v>
      </c>
      <c r="FX416" s="905">
        <v>881.2</v>
      </c>
      <c r="FY416" s="79" t="str">
        <f t="shared" si="1256"/>
        <v>NM</v>
      </c>
      <c r="FZ416" s="142">
        <f>+FZ413-FZ414</f>
        <v>864.49999999999989</v>
      </c>
      <c r="GA416" s="79">
        <f t="shared" si="1257"/>
        <v>-1.8951429868361513</v>
      </c>
      <c r="GB416" s="142">
        <f>+GB413-GB414</f>
        <v>433.90000000000003</v>
      </c>
      <c r="GC416" s="79">
        <f t="shared" si="1257"/>
        <v>-49.809138230190854</v>
      </c>
      <c r="GD416" s="142">
        <f>+GD413-GD414</f>
        <v>893.19999999999959</v>
      </c>
      <c r="GE416" s="79" t="str">
        <f t="shared" si="1257"/>
        <v>NM</v>
      </c>
      <c r="GF416" s="142">
        <f>+GF413-GF414</f>
        <v>915.60000000000116</v>
      </c>
      <c r="GG416" s="79">
        <f t="shared" si="1257"/>
        <v>2.5078369905957798</v>
      </c>
      <c r="GH416" s="142">
        <f>+GH413-GH414</f>
        <v>975.59999999999968</v>
      </c>
      <c r="GI416" s="79">
        <f t="shared" si="1257"/>
        <v>6.5530799475751911</v>
      </c>
      <c r="GJ416" s="142">
        <f>+GJ413-GJ414</f>
        <v>1138.992170665811</v>
      </c>
      <c r="GK416" s="79">
        <f t="shared" si="1257"/>
        <v>16.7478649718954</v>
      </c>
      <c r="GL416" s="142">
        <f>+GL413-GL414</f>
        <v>1166.3739290988638</v>
      </c>
      <c r="GM416" s="79">
        <f t="shared" si="1257"/>
        <v>2.4040339466992355</v>
      </c>
      <c r="GN416" s="142">
        <f>+GN413-GN414</f>
        <v>1199.1164197416224</v>
      </c>
      <c r="GO416" s="79">
        <f t="shared" si="1257"/>
        <v>2.8072035756196545</v>
      </c>
      <c r="GP416" s="142">
        <f>+GP413-GP414</f>
        <v>1236.0739147447871</v>
      </c>
      <c r="GQ416" s="79">
        <f t="shared" si="1257"/>
        <v>3.0820606235321124</v>
      </c>
      <c r="GR416" s="142">
        <f>+GR413-GR414</f>
        <v>1268.2485979483392</v>
      </c>
      <c r="GS416" s="79">
        <f t="shared" si="1258"/>
        <v>2.6029740470815854</v>
      </c>
      <c r="GT416" s="79">
        <f t="shared" si="1259"/>
        <v>5.3868733319542672</v>
      </c>
      <c r="GU416" s="857"/>
      <c r="GV416" s="562"/>
      <c r="GW416"/>
      <c r="GX416"/>
      <c r="GY416"/>
      <c r="GZ416"/>
      <c r="HA416"/>
      <c r="HB416"/>
      <c r="HC416" s="562"/>
      <c r="HD416" s="562"/>
      <c r="HE416" s="562"/>
      <c r="HF416" s="562"/>
      <c r="HG416" s="562"/>
      <c r="HH416" s="562"/>
      <c r="HI416" s="562"/>
      <c r="HJ416" s="562"/>
      <c r="HK416" s="562"/>
      <c r="HL416" s="562"/>
      <c r="HM416" s="562"/>
      <c r="HN416" s="562"/>
      <c r="HO416" s="562"/>
      <c r="HP416" s="562"/>
      <c r="HQ416" s="562"/>
      <c r="HR416" s="562"/>
      <c r="HS416" s="562"/>
      <c r="HT416" s="562"/>
      <c r="HU416" s="562"/>
      <c r="HV416" s="562"/>
      <c r="HW416" s="562"/>
      <c r="HX416" s="562"/>
      <c r="HY416" s="562"/>
      <c r="HZ416" s="562"/>
      <c r="IA416" s="562"/>
      <c r="IB416" s="562"/>
      <c r="IC416" s="562"/>
      <c r="ID416" s="562"/>
      <c r="IE416" s="562"/>
      <c r="IF416" s="562"/>
      <c r="IG416" s="562"/>
      <c r="IH416" s="562"/>
      <c r="II416" s="562"/>
      <c r="IJ416" s="562"/>
      <c r="IK416" s="562"/>
      <c r="IL416" s="562"/>
      <c r="IM416" s="562"/>
      <c r="IN416" s="562"/>
      <c r="IO416" s="562"/>
      <c r="IP416" s="562"/>
      <c r="IQ416" s="562"/>
      <c r="IR416" s="562"/>
      <c r="IS416" s="562"/>
      <c r="IT416" s="562"/>
      <c r="IU416" s="562"/>
      <c r="IV416" s="562"/>
      <c r="IW416" s="562"/>
      <c r="IX416" s="562"/>
      <c r="IY416" s="562"/>
      <c r="IZ416" s="562"/>
      <c r="JA416" s="562"/>
      <c r="JB416" s="562"/>
      <c r="JC416" s="562"/>
      <c r="JD416" s="562"/>
      <c r="JE416" s="562"/>
      <c r="JF416" s="562"/>
      <c r="JG416" s="562"/>
      <c r="JH416" s="562"/>
      <c r="JI416" s="562"/>
      <c r="JJ416" s="562"/>
      <c r="JK416" s="562"/>
      <c r="JL416" s="562"/>
      <c r="JM416" s="562"/>
      <c r="JN416" s="562"/>
      <c r="JO416" s="562"/>
      <c r="JP416" s="562"/>
      <c r="JQ416" s="562"/>
      <c r="JR416" s="562"/>
      <c r="JS416" s="562"/>
      <c r="JT416" s="562"/>
      <c r="JU416" s="562"/>
      <c r="JV416" s="562"/>
      <c r="JW416" s="562"/>
      <c r="JX416" s="562"/>
      <c r="JY416" s="562"/>
      <c r="JZ416" s="562"/>
    </row>
    <row r="417" spans="1:286" s="83" customFormat="1" ht="12.75" customHeight="1" x14ac:dyDescent="0.2">
      <c r="A417" s="77"/>
      <c r="B417" s="68" t="s">
        <v>565</v>
      </c>
      <c r="C417" s="140"/>
      <c r="D417" s="140"/>
      <c r="E417" s="142">
        <f t="shared" ref="E417" si="1280">E416-(E412*0.65)</f>
        <v>182.79999999999998</v>
      </c>
      <c r="F417" s="81"/>
      <c r="G417" s="142">
        <f t="shared" ref="G417" si="1281">G416-(G412*0.65)</f>
        <v>146.30000000000001</v>
      </c>
      <c r="H417" s="81"/>
      <c r="I417" s="142">
        <f t="shared" ref="I417" si="1282">I416-(I412*0.65)</f>
        <v>109.00000000000001</v>
      </c>
      <c r="J417" s="81"/>
      <c r="K417" s="142">
        <f t="shared" ref="K417" si="1283">K416-(K412*0.65)</f>
        <v>148</v>
      </c>
      <c r="L417" s="81"/>
      <c r="M417" s="142">
        <f t="shared" ref="M417" si="1284">M416-(M412*0.65)</f>
        <v>147</v>
      </c>
      <c r="N417" s="81"/>
      <c r="O417" s="142">
        <f t="shared" ref="O417" si="1285">O416-(O412*0.65)</f>
        <v>149.70000000000002</v>
      </c>
      <c r="P417" s="81"/>
      <c r="Q417" s="142">
        <f t="shared" ref="Q417" si="1286">Q416-(Q412*0.65)</f>
        <v>150.6</v>
      </c>
      <c r="R417" s="81"/>
      <c r="S417" s="142">
        <f t="shared" ref="S417" si="1287">S416-(S412*0.65)</f>
        <v>151.29999999999998</v>
      </c>
      <c r="T417" s="81"/>
      <c r="U417" s="142">
        <f t="shared" ref="U417" si="1288">U416-(U412*0.65)</f>
        <v>-193.4000000000006</v>
      </c>
      <c r="V417" s="81"/>
      <c r="W417" s="142">
        <f t="shared" ref="W417" si="1289">W416-(W412*0.65)</f>
        <v>111.39999999999998</v>
      </c>
      <c r="X417" s="81"/>
      <c r="Y417" s="142">
        <f t="shared" ref="Y417" si="1290">Y416-(Y412*0.65)</f>
        <v>114.80000000000028</v>
      </c>
      <c r="Z417" s="81"/>
      <c r="AA417" s="142">
        <f t="shared" ref="AA417" si="1291">AA416-(AA412*0.65)</f>
        <v>-184.09999999999991</v>
      </c>
      <c r="AB417" s="81"/>
      <c r="AC417" s="142">
        <f t="shared" ref="AC417" si="1292">AC416-(AC412*0.65)</f>
        <v>-585.29999999999995</v>
      </c>
      <c r="AD417" s="81"/>
      <c r="AE417" s="142">
        <f t="shared" ref="AE417" si="1293">AE416-(AE412*0.65)</f>
        <v>130.9000000000002</v>
      </c>
      <c r="AF417" s="81"/>
      <c r="AG417" s="142">
        <f t="shared" ref="AG417" si="1294">AG416-(AG412*0.65)</f>
        <v>126.42999999999998</v>
      </c>
      <c r="AH417" s="81"/>
      <c r="AI417" s="142">
        <f t="shared" ref="AI417" si="1295">AI416-(AI412*0.65)</f>
        <v>117.07000000000014</v>
      </c>
      <c r="AJ417" s="81"/>
      <c r="AK417" s="142">
        <f t="shared" ref="AK417" si="1296">AK416-(AK412*0.65)</f>
        <v>133.50000000000048</v>
      </c>
      <c r="AL417" s="81"/>
      <c r="AM417" s="142">
        <f t="shared" ref="AM417" si="1297">AM416-(AM412*0.65)</f>
        <v>128.69999999999973</v>
      </c>
      <c r="AN417" s="81"/>
      <c r="AO417" s="142">
        <f t="shared" ref="AO417" si="1298">AO416-(AO412*0.65)</f>
        <v>135.69999999999993</v>
      </c>
      <c r="AP417" s="81"/>
      <c r="AQ417" s="142">
        <f t="shared" ref="AQ417" si="1299">AQ416-(AQ412*0.65)</f>
        <v>143.01099999999997</v>
      </c>
      <c r="AR417" s="81"/>
      <c r="AS417" s="142">
        <f t="shared" ref="AS417" si="1300">AS416-(AS412*0.65)</f>
        <v>133.09999999999985</v>
      </c>
      <c r="AT417" s="81"/>
      <c r="AU417" s="142">
        <f t="shared" ref="AU417" si="1301">AU416-(AU412*0.65)</f>
        <v>140.36999999999972</v>
      </c>
      <c r="AV417" s="81"/>
      <c r="AW417" s="142">
        <f t="shared" ref="AW417" si="1302">AW416-(AW412*0.65)</f>
        <v>157.42280000000011</v>
      </c>
      <c r="AX417" s="81"/>
      <c r="AY417" s="142">
        <f t="shared" ref="AY417" si="1303">AY416-(AY412*0.65)</f>
        <v>168.75000000000011</v>
      </c>
      <c r="AZ417" s="81"/>
      <c r="BA417" s="142">
        <f t="shared" ref="BA417" si="1304">BA416-(BA412*0.65)</f>
        <v>174.59999999999997</v>
      </c>
      <c r="BB417" s="81"/>
      <c r="BC417" s="142">
        <f t="shared" ref="BC417" si="1305">BC416-(BC412*0.65)</f>
        <v>181.5</v>
      </c>
      <c r="BD417" s="81"/>
      <c r="BE417" s="142">
        <f t="shared" ref="BE417" si="1306">BE416-(BE412*0.65)</f>
        <v>216.89999999999984</v>
      </c>
      <c r="BF417" s="81"/>
      <c r="BG417" s="142">
        <f>BG416-(BG412*0.65)</f>
        <v>220.57500000000007</v>
      </c>
      <c r="BH417" s="81"/>
      <c r="BI417" s="142">
        <f>BI416-(BI412*0.65)</f>
        <v>207.79999999999998</v>
      </c>
      <c r="BJ417" s="81"/>
      <c r="BK417" s="142">
        <f>BK416-(BK412*0.65)</f>
        <v>214.74999999999977</v>
      </c>
      <c r="BL417" s="81"/>
      <c r="BM417" s="142">
        <f>BM416-(BM412*0.65)</f>
        <v>213.19499999999985</v>
      </c>
      <c r="BN417" s="81"/>
      <c r="BO417" s="142">
        <f>BO416-(BO412*0.65)</f>
        <v>209.4000000000002</v>
      </c>
      <c r="BP417" s="81"/>
      <c r="BQ417" s="142">
        <f>BQ416-(BQ412*0.65)</f>
        <v>206.69999999999993</v>
      </c>
      <c r="BR417" s="81"/>
      <c r="BS417" s="142">
        <f>BS416-(BS412*0.65)</f>
        <v>215.80000000000015</v>
      </c>
      <c r="BT417" s="81"/>
      <c r="BU417" s="142">
        <f>BU416-(BU412*0.65)</f>
        <v>211.59999999999982</v>
      </c>
      <c r="BV417" s="81"/>
      <c r="BW417" s="142">
        <f>BW416-(BW412*0.65)</f>
        <v>218.29999999999978</v>
      </c>
      <c r="BX417" s="81"/>
      <c r="BY417" s="142">
        <f>BY416-(BY412*0.65)</f>
        <v>226.60000000000002</v>
      </c>
      <c r="BZ417" s="81"/>
      <c r="CA417" s="142">
        <f>CA416-(CA412*0.65)</f>
        <v>232.49999999999997</v>
      </c>
      <c r="CB417" s="81"/>
      <c r="CC417" s="142">
        <f>CC416-(CC412*0.65)</f>
        <v>223.3000000000001</v>
      </c>
      <c r="CD417" s="81"/>
      <c r="CE417" s="142">
        <f>CE416-(CE412*0.65)</f>
        <v>212.3000000000003</v>
      </c>
      <c r="CF417" s="81"/>
      <c r="CG417" s="142">
        <f>CG416-(CG412*0.65)</f>
        <v>219.09999999999988</v>
      </c>
      <c r="CH417" s="81"/>
      <c r="CI417" s="142">
        <f>CI416-(CI412*0.65)</f>
        <v>232.40000000000015</v>
      </c>
      <c r="CJ417" s="81"/>
      <c r="CK417" s="142">
        <f>CK416-(CK412*0.65)</f>
        <v>219.52500000000003</v>
      </c>
      <c r="CL417" s="81"/>
      <c r="CM417" s="142">
        <f>CM416-(CM412*0.65)</f>
        <v>250.81499999999971</v>
      </c>
      <c r="CN417" s="81"/>
      <c r="CO417" s="142">
        <f>CO416-(CO412*0.65)</f>
        <v>213.19999999999993</v>
      </c>
      <c r="CP417" s="81"/>
      <c r="CQ417" s="142">
        <f>CQ416-(CQ412*0.65)</f>
        <v>225.2999999999999</v>
      </c>
      <c r="CR417" s="81"/>
      <c r="CS417" s="142">
        <f>CS416-(CS412*0.65)</f>
        <v>224</v>
      </c>
      <c r="CT417" s="81"/>
      <c r="CU417" s="142">
        <f>CU416-(CU412*0.65)</f>
        <v>224.99999999999994</v>
      </c>
      <c r="CV417" s="81"/>
      <c r="CW417" s="142">
        <f>CW416-(CW412*0.65)</f>
        <v>213.35000000000011</v>
      </c>
      <c r="CX417" s="81"/>
      <c r="CY417" s="142">
        <f>CY416-(CY412*0.65)</f>
        <v>215.89999999999992</v>
      </c>
      <c r="CZ417" s="81"/>
      <c r="DA417" s="142">
        <f>DA416-(DA412*0.65)</f>
        <v>221.60000000000002</v>
      </c>
      <c r="DB417" s="81"/>
      <c r="DC417" s="142">
        <f>DC416-(DC412*0.65)</f>
        <v>221.12499999999994</v>
      </c>
      <c r="DD417" s="81"/>
      <c r="DE417" s="142">
        <f>DE416-(DE412*0.65)</f>
        <v>222.59999999999974</v>
      </c>
      <c r="DF417" s="81"/>
      <c r="DG417" s="142">
        <f>DG416-(DG412*0.65)</f>
        <v>229.88000000000002</v>
      </c>
      <c r="DH417" s="81"/>
      <c r="DI417" s="142">
        <f>DI416-(DI412*0.65)</f>
        <v>219.10000000000005</v>
      </c>
      <c r="DJ417" s="81"/>
      <c r="DK417" s="142">
        <f>DK416-(DK412*0.65)</f>
        <v>224.73000000000002</v>
      </c>
      <c r="DL417" s="81"/>
      <c r="DM417" s="142">
        <f>DM416-(DM412*0.65)</f>
        <v>222.90000000000006</v>
      </c>
      <c r="DN417" s="81"/>
      <c r="DO417" s="142">
        <f>DO416-(DO412*0.65)</f>
        <v>220.59999999999994</v>
      </c>
      <c r="DP417" s="81"/>
      <c r="DQ417" s="142">
        <f>DQ416-(DQ412*0.65)</f>
        <v>221.10000000000022</v>
      </c>
      <c r="DR417" s="81"/>
      <c r="DS417" s="142">
        <f>DS416-(DS412*0.65)</f>
        <v>228.59999999999991</v>
      </c>
      <c r="DT417" s="81"/>
      <c r="DU417" s="142">
        <f>DU416-(DU412*0.65)</f>
        <v>224.19999999999982</v>
      </c>
      <c r="DV417" s="81"/>
      <c r="DW417" s="142">
        <f>DW416-(DW412*0.65)</f>
        <v>232.99999999999991</v>
      </c>
      <c r="DX417" s="81"/>
      <c r="DY417" s="142">
        <f>DY416-(DY412*0.65)</f>
        <v>228.70000000000019</v>
      </c>
      <c r="DZ417" s="81"/>
      <c r="EA417" s="142">
        <f>EA416-(EA412*0.65)</f>
        <v>229.69999999999996</v>
      </c>
      <c r="EB417" s="81"/>
      <c r="EC417" s="142">
        <f>EC416-(EC412*0.65)</f>
        <v>236.09999999999974</v>
      </c>
      <c r="ED417" s="81"/>
      <c r="EE417" s="142">
        <f>EE416-(EE412*0.65)</f>
        <v>240.40000000000012</v>
      </c>
      <c r="EF417" s="81"/>
      <c r="EG417" s="142">
        <f>EG416-(EG412*0.65)</f>
        <v>245.49999999999991</v>
      </c>
      <c r="EH417" s="81"/>
      <c r="EI417" s="142">
        <f>EI416-(EI412*0.65)</f>
        <v>240.92499999999978</v>
      </c>
      <c r="EJ417" s="81"/>
      <c r="EK417" s="142">
        <f t="shared" ref="EK417:EQ417" si="1307">EK416-(EK412*0.65)</f>
        <v>282.31763341896846</v>
      </c>
      <c r="EL417" s="81"/>
      <c r="EM417" s="142">
        <f t="shared" si="1307"/>
        <v>284.18549079101746</v>
      </c>
      <c r="EN417" s="81"/>
      <c r="EO417" s="142">
        <f t="shared" si="1307"/>
        <v>285.31644884485263</v>
      </c>
      <c r="EP417" s="81"/>
      <c r="EQ417" s="142">
        <f t="shared" si="1307"/>
        <v>287.17259761097216</v>
      </c>
      <c r="ER417" s="81"/>
      <c r="ES417" s="236"/>
      <c r="ET417" s="465"/>
      <c r="EU417" s="236"/>
      <c r="EV417" s="142"/>
      <c r="EW417" s="140"/>
      <c r="EX417" s="141"/>
      <c r="EY417" s="79"/>
      <c r="EZ417" s="142"/>
      <c r="FA417" s="79"/>
      <c r="FB417" s="142"/>
      <c r="FC417" s="79"/>
      <c r="FD417" s="142"/>
      <c r="FE417" s="79"/>
      <c r="FF417" s="142"/>
      <c r="FG417" s="79"/>
      <c r="FH417" s="142"/>
      <c r="FI417" s="79"/>
      <c r="FJ417" s="142">
        <f>FJ416-(FJ412*0.65)</f>
        <v>540.91100000000085</v>
      </c>
      <c r="FK417" s="79"/>
      <c r="FL417" s="142">
        <f>FL416-(FL412*0.65)</f>
        <v>599.64280000000031</v>
      </c>
      <c r="FM417" s="79"/>
      <c r="FN417" s="142">
        <f>FN416-(FN412*0.65)</f>
        <v>793.57500000000016</v>
      </c>
      <c r="FO417" s="79"/>
      <c r="FP417" s="142">
        <f>FP416-(FP412*0.65)</f>
        <v>845.14499999999987</v>
      </c>
      <c r="FQ417" s="79"/>
      <c r="FR417" s="142">
        <f>FR416-(FR412*0.65)</f>
        <v>860.54702078521836</v>
      </c>
      <c r="FS417" s="79"/>
      <c r="FT417" s="142">
        <f>FT416-(FT412*0.65)</f>
        <v>894.69999999999914</v>
      </c>
      <c r="FU417" s="79"/>
      <c r="FV417" s="142">
        <f>FV416-(FV412*0.65)</f>
        <v>921.8399999999998</v>
      </c>
      <c r="FW417" s="79"/>
      <c r="FX417" s="142">
        <f>FX416-(FX412*0.65)</f>
        <v>881.2</v>
      </c>
      <c r="FY417" s="79"/>
      <c r="FZ417" s="142">
        <f>FZ416-(FZ412*0.65)</f>
        <v>871.97499999999991</v>
      </c>
      <c r="GA417" s="79">
        <f t="shared" si="1257"/>
        <v>-1.0468679073990184</v>
      </c>
      <c r="GB417" s="142">
        <f>GB416-(GB412*0.65)</f>
        <v>896.31000000000017</v>
      </c>
      <c r="GC417" s="79">
        <f t="shared" si="1257"/>
        <v>2.7907910203847974</v>
      </c>
      <c r="GD417" s="142">
        <f>GD416-(GD412*0.65)</f>
        <v>893.19999999999959</v>
      </c>
      <c r="GE417" s="79">
        <f>IF(ISERROR((GD417/GB417-1)*100),"NA",IF(((GD417/GB417-1)*100)&gt;100,"NM",IF(((GD417/GB417-1)*100)&lt;-50,"NM",(GD417/GB417-1)*100)))</f>
        <v>-0.34697816603637133</v>
      </c>
      <c r="GF417" s="142">
        <f>GF416-(GF412*0.65)</f>
        <v>915.60000000000116</v>
      </c>
      <c r="GG417" s="79">
        <f>IF(ISERROR((GF417/GD417-1)*100),"NA",IF(((GF417/GD417-1)*100)&gt;100,"NM",IF(((GF417/GD417-1)*100)&lt;-50,"NM",(GF417/GD417-1)*100)))</f>
        <v>2.5078369905957798</v>
      </c>
      <c r="GH417" s="142">
        <f>GH416-(GH412*0.65)</f>
        <v>962.92499999999973</v>
      </c>
      <c r="GI417" s="79">
        <f>IF(ISERROR((GH417/GF417-1)*100),"NA",IF(((GH417/GF417-1)*100)&gt;100,"NM",IF(((GH417/GF417-1)*100)&lt;-50,"NM",(GH417/GF417-1)*100)))</f>
        <v>5.1687418086499015</v>
      </c>
      <c r="GJ417" s="142">
        <f>GJ416-(GJ412*0.65)</f>
        <v>1138.992170665811</v>
      </c>
      <c r="GK417" s="79">
        <f>IF(ISERROR((GJ417/GH417-1)*100),"NA",IF(((GJ417/GH417-1)*100)&gt;100,"NM",IF(((GJ417/GH417-1)*100)&lt;-50,"NM",(GJ417/GH417-1)*100)))</f>
        <v>18.284619328173157</v>
      </c>
      <c r="GL417" s="142">
        <f>GL416-(GL412*0.65)</f>
        <v>1166.3739290988638</v>
      </c>
      <c r="GM417" s="79">
        <f>IF(ISERROR((GL417/GJ417-1)*100),"NA",IF(((GL417/GJ417-1)*100)&gt;100,"NM",IF(((GL417/GJ417-1)*100)&lt;-50,"NM",(GL417/GJ417-1)*100)))</f>
        <v>2.4040339466992355</v>
      </c>
      <c r="GN417" s="142">
        <f>GN416-(GN412*0.65)</f>
        <v>1199.1164197416224</v>
      </c>
      <c r="GO417" s="79">
        <f>IF(ISERROR((GN417/GL417-1)*100),"NA",IF(((GN417/GL417-1)*100)&gt;100,"NM",IF(((GN417/GL417-1)*100)&lt;-50,"NM",(GN417/GL417-1)*100)))</f>
        <v>2.8072035756196545</v>
      </c>
      <c r="GP417" s="142">
        <f>GP416-(GP412*0.65)</f>
        <v>1236.0739147447871</v>
      </c>
      <c r="GQ417" s="79">
        <f>IF(ISERROR((GP417/GN417-1)*100),"NA",IF(((GP417/GN417-1)*100)&gt;100,"NM",IF(((GP417/GN417-1)*100)&lt;-50,"NM",(GP417/GN417-1)*100)))</f>
        <v>3.0820606235321124</v>
      </c>
      <c r="GR417" s="142">
        <f>GR416-(GR412*0.65)</f>
        <v>1268.2485979483392</v>
      </c>
      <c r="GS417" s="79">
        <f>IF(ISERROR((GR417/GP417-1)*100),"NA",IF(((GR417/GP417-1)*100)&gt;100,"NM",IF(((GR417/GP417-1)*100)&lt;-50,"NM",(GR417/GP417-1)*100)))</f>
        <v>2.6029740470815854</v>
      </c>
      <c r="GT417" s="79"/>
      <c r="GU417" s="562"/>
      <c r="GV417" s="562"/>
      <c r="GW417"/>
      <c r="GX417"/>
      <c r="GY417"/>
      <c r="GZ417"/>
      <c r="HA417"/>
      <c r="HB417"/>
      <c r="HC417" s="562"/>
      <c r="HD417" s="562"/>
      <c r="HE417" s="562"/>
      <c r="HF417" s="562"/>
      <c r="HG417" s="562"/>
      <c r="HH417" s="562"/>
      <c r="HI417" s="562"/>
      <c r="HJ417" s="562"/>
      <c r="HK417" s="562"/>
      <c r="HL417" s="562"/>
      <c r="HM417" s="562"/>
      <c r="HN417" s="562"/>
      <c r="HO417" s="562"/>
      <c r="HP417" s="562"/>
      <c r="HQ417" s="562"/>
      <c r="HR417" s="562"/>
      <c r="HS417" s="562"/>
      <c r="HT417" s="562"/>
      <c r="HU417" s="562"/>
      <c r="HV417" s="562"/>
      <c r="HW417" s="562"/>
      <c r="HX417" s="562"/>
      <c r="HY417" s="562"/>
      <c r="HZ417" s="562"/>
      <c r="IA417" s="562"/>
      <c r="IB417" s="562"/>
      <c r="IC417" s="562"/>
      <c r="ID417" s="562"/>
      <c r="IE417" s="562"/>
      <c r="IF417" s="562"/>
      <c r="IG417" s="562"/>
      <c r="IH417" s="562"/>
      <c r="II417" s="562"/>
      <c r="IJ417" s="562"/>
      <c r="IK417" s="562"/>
      <c r="IL417" s="562"/>
      <c r="IM417" s="562"/>
      <c r="IN417" s="562"/>
      <c r="IO417" s="562"/>
      <c r="IP417" s="562"/>
      <c r="IQ417" s="562"/>
      <c r="IR417" s="562"/>
      <c r="IS417" s="562"/>
      <c r="IT417" s="562"/>
      <c r="IU417" s="562"/>
      <c r="IV417" s="562"/>
      <c r="IW417" s="562"/>
      <c r="IX417" s="562"/>
      <c r="IY417" s="562"/>
      <c r="IZ417" s="562"/>
      <c r="JA417" s="562"/>
      <c r="JB417" s="562"/>
      <c r="JC417" s="562"/>
      <c r="JD417" s="562"/>
      <c r="JE417" s="562"/>
      <c r="JF417" s="562"/>
      <c r="JG417" s="562"/>
      <c r="JH417" s="562"/>
      <c r="JI417" s="562"/>
      <c r="JJ417" s="562"/>
      <c r="JK417" s="562"/>
      <c r="JL417" s="562"/>
      <c r="JM417" s="562"/>
      <c r="JN417" s="562"/>
      <c r="JO417" s="562"/>
      <c r="JP417" s="562"/>
      <c r="JQ417" s="562"/>
      <c r="JR417" s="562"/>
      <c r="JS417" s="562"/>
      <c r="JT417" s="562"/>
      <c r="JU417" s="562"/>
      <c r="JV417" s="562"/>
      <c r="JW417" s="562"/>
      <c r="JX417" s="562"/>
      <c r="JY417" s="562"/>
      <c r="JZ417" s="562"/>
    </row>
    <row r="418" spans="1:286" s="10" customFormat="1" ht="12.75" customHeight="1" x14ac:dyDescent="0.2">
      <c r="A418" s="1"/>
      <c r="B418" s="2" t="s">
        <v>530</v>
      </c>
      <c r="C418" s="79"/>
      <c r="D418" s="79"/>
      <c r="E418" s="145">
        <f t="shared" ref="E418" si="1308">(E485*E495)-E416</f>
        <v>-182.79999999999998</v>
      </c>
      <c r="F418" s="145"/>
      <c r="G418" s="145">
        <f t="shared" ref="G418" si="1309">(G485*G495)-G416</f>
        <v>-146.30000000000001</v>
      </c>
      <c r="H418" s="145"/>
      <c r="I418" s="145">
        <f t="shared" ref="I418" si="1310">(I485*I495)-I416</f>
        <v>-109.00000000000001</v>
      </c>
      <c r="J418" s="145"/>
      <c r="K418" s="145">
        <f t="shared" ref="K418" si="1311">(K485*K495)-K416</f>
        <v>-148</v>
      </c>
      <c r="L418" s="145"/>
      <c r="M418" s="145">
        <f t="shared" ref="M418" si="1312">(M485*M495)-M416</f>
        <v>-147</v>
      </c>
      <c r="N418" s="145"/>
      <c r="O418" s="145">
        <f t="shared" ref="O418" si="1313">(O485*O495)-O416</f>
        <v>-149.70000000000002</v>
      </c>
      <c r="P418" s="145"/>
      <c r="Q418" s="145">
        <f t="shared" ref="Q418" si="1314">(Q485*Q495)-Q416</f>
        <v>-150.6</v>
      </c>
      <c r="R418" s="145"/>
      <c r="S418" s="145">
        <f t="shared" ref="S418" si="1315">(S485*S495)-S416</f>
        <v>-151.29999999999998</v>
      </c>
      <c r="T418" s="145"/>
      <c r="U418" s="145">
        <f t="shared" ref="U418" si="1316">(U485*U495)-U416</f>
        <v>193.4000000000006</v>
      </c>
      <c r="V418" s="145"/>
      <c r="W418" s="145">
        <f t="shared" ref="W418" si="1317">(W485*W495)-W416</f>
        <v>-111.39999999999998</v>
      </c>
      <c r="X418" s="145"/>
      <c r="Y418" s="145">
        <f t="shared" ref="Y418" si="1318">(Y485*Y495)-Y416</f>
        <v>-114.80000000000028</v>
      </c>
      <c r="Z418" s="145"/>
      <c r="AA418" s="145">
        <f t="shared" ref="AA418" si="1319">(AA485*AA495)-AA416</f>
        <v>184.09999999999991</v>
      </c>
      <c r="AB418" s="145"/>
      <c r="AC418" s="145">
        <f t="shared" ref="AC418" si="1320">(AC485*AC495)-AC416</f>
        <v>585.29999999999995</v>
      </c>
      <c r="AD418" s="145"/>
      <c r="AE418" s="145">
        <f t="shared" ref="AE418" si="1321">(AE485*AE495)-AE416</f>
        <v>-130.9000000000002</v>
      </c>
      <c r="AF418" s="145"/>
      <c r="AG418" s="145">
        <f t="shared" ref="AG418" si="1322">(AG485*AG495)-AG416</f>
        <v>-126.42999999999998</v>
      </c>
      <c r="AH418" s="145"/>
      <c r="AI418" s="145">
        <f t="shared" ref="AI418" si="1323">(AI485*AI495)-AI416</f>
        <v>-117.07000000000014</v>
      </c>
      <c r="AJ418" s="145"/>
      <c r="AK418" s="145">
        <f t="shared" ref="AK418" si="1324">(AK485*AK495)-AK416</f>
        <v>-154.30000000000049</v>
      </c>
      <c r="AL418" s="145"/>
      <c r="AM418" s="145">
        <f t="shared" ref="AM418" si="1325">(AM485*AM495)-AM416</f>
        <v>-128.69999999999973</v>
      </c>
      <c r="AN418" s="145"/>
      <c r="AO418" s="145">
        <f t="shared" ref="AO418" si="1326">(AO485*AO495)-AO416</f>
        <v>-135.69999999999993</v>
      </c>
      <c r="AP418" s="145"/>
      <c r="AQ418" s="145">
        <f t="shared" ref="AQ418" si="1327">(AQ485*AQ495)-AQ416</f>
        <v>-133.29999999999995</v>
      </c>
      <c r="AR418" s="145"/>
      <c r="AS418" s="145">
        <f t="shared" ref="AS418" si="1328">(AS485*AS495)-AS416</f>
        <v>1.1474698600001432</v>
      </c>
      <c r="AT418" s="145"/>
      <c r="AU418" s="145">
        <f t="shared" ref="AU418" si="1329">(AU485*AU495)-AU416</f>
        <v>1.4891396800002781</v>
      </c>
      <c r="AV418" s="145"/>
      <c r="AW418" s="145">
        <f t="shared" ref="AW418" si="1330">(AW485*AW495)-AW416</f>
        <v>-0.68807410000010805</v>
      </c>
      <c r="AX418" s="145"/>
      <c r="AY418" s="145">
        <f t="shared" ref="AY418" si="1331">(AY485*AY495)-AY416</f>
        <v>-0.12552060000010101</v>
      </c>
      <c r="AZ418" s="145"/>
      <c r="BA418" s="145">
        <f t="shared" ref="BA418" si="1332">(BA485*BA495)-BA416</f>
        <v>-1.4098704999999541</v>
      </c>
      <c r="BB418" s="145"/>
      <c r="BC418" s="145">
        <f t="shared" ref="BC418" si="1333">(BC485*BC495)-BC416</f>
        <v>-0.5329514999999958</v>
      </c>
      <c r="BD418" s="145"/>
      <c r="BE418" s="145">
        <f t="shared" ref="BE418" si="1334">(BE485*BE495)-BE416</f>
        <v>-0.3562187999998514</v>
      </c>
      <c r="BF418" s="145"/>
      <c r="BG418" s="145">
        <f>(BG485*BG495)-BG416</f>
        <v>-0.2825059700000736</v>
      </c>
      <c r="BH418" s="81"/>
      <c r="BI418" s="145">
        <f>(BI485*BI495)-BI416</f>
        <v>-0.43516560999998433</v>
      </c>
      <c r="BJ418" s="145"/>
      <c r="BK418" s="145">
        <f>(BK485*BK495)-BK416</f>
        <v>1.7230230000002393</v>
      </c>
      <c r="BL418" s="145"/>
      <c r="BM418" s="145">
        <f>(BM485*BM495)-BM416</f>
        <v>-0.63582719999985216</v>
      </c>
      <c r="BN418" s="145"/>
      <c r="BO418" s="145">
        <f>(BO485*BO495)-BO416</f>
        <v>-0.88167327000019213</v>
      </c>
      <c r="BP418" s="81"/>
      <c r="BQ418" s="145">
        <f>(BQ485*BQ495)-BQ416</f>
        <v>-1.5020013199999198</v>
      </c>
      <c r="BR418" s="145"/>
      <c r="BS418" s="145">
        <f>(BS485*BS495)-BS416</f>
        <v>-2.9103750000160744E-2</v>
      </c>
      <c r="BT418" s="145"/>
      <c r="BU418" s="145">
        <f>(BU485*BU495)-BU416</f>
        <v>1.2781747200001803</v>
      </c>
      <c r="BV418" s="145"/>
      <c r="BW418" s="145">
        <f>(BW485*BW495)-BW416</f>
        <v>1.4789968000002034</v>
      </c>
      <c r="BX418" s="81"/>
      <c r="BY418" s="145">
        <f>(BY485*BY495)-BY416</f>
        <v>0</v>
      </c>
      <c r="BZ418" s="145"/>
      <c r="CA418" s="145">
        <f>(CA485*CA495)-CA416</f>
        <v>0</v>
      </c>
      <c r="CB418" s="145"/>
      <c r="CC418" s="145">
        <f>(CC485*CC495)-CC416</f>
        <v>0</v>
      </c>
      <c r="CD418" s="145"/>
      <c r="CE418" s="145">
        <f>(CE485*CE495)-CE416</f>
        <v>0</v>
      </c>
      <c r="CF418" s="145"/>
      <c r="CG418" s="145">
        <f>(CG485*CG495)-CG416</f>
        <v>0</v>
      </c>
      <c r="CH418" s="145"/>
      <c r="CI418" s="145">
        <f>(CI485*CI495)-CI416</f>
        <v>0</v>
      </c>
      <c r="CJ418" s="145"/>
      <c r="CK418" s="145">
        <f>(CK485*CK495)-CK416</f>
        <v>0</v>
      </c>
      <c r="CL418" s="145"/>
      <c r="CM418" s="145">
        <f>(CM483*CM495)-CM416</f>
        <v>0</v>
      </c>
      <c r="CN418" s="145"/>
      <c r="CO418" s="145">
        <f>(CO485*CO495)-CO416</f>
        <v>0</v>
      </c>
      <c r="CP418" s="145"/>
      <c r="CQ418" s="145">
        <f>(CQ485*CQ495)-CQ416</f>
        <v>0</v>
      </c>
      <c r="CR418" s="145"/>
      <c r="CS418" s="145">
        <f>(CS485*CS495)-CS416</f>
        <v>0</v>
      </c>
      <c r="CT418" s="145"/>
      <c r="CU418" s="145">
        <f>(CU485*CU495)-CU416</f>
        <v>0</v>
      </c>
      <c r="CV418" s="145"/>
      <c r="CW418" s="145">
        <f>(CW485*CW495)-CW416</f>
        <v>0</v>
      </c>
      <c r="CX418" s="145"/>
      <c r="CY418" s="145">
        <f>(CY485*CY495)-CY416</f>
        <v>0</v>
      </c>
      <c r="CZ418" s="145"/>
      <c r="DA418" s="145">
        <f>(DA485*DA495)-DA416</f>
        <v>0</v>
      </c>
      <c r="DB418" s="145"/>
      <c r="DC418" s="145">
        <f>(DC485*DC495)-DC416</f>
        <v>0</v>
      </c>
      <c r="DD418" s="145"/>
      <c r="DE418" s="145">
        <f>(DE485*DE495)-DE416</f>
        <v>0</v>
      </c>
      <c r="DF418" s="145"/>
      <c r="DG418" s="145">
        <f>(DG485*DG495)-DG416</f>
        <v>0</v>
      </c>
      <c r="DH418" s="145"/>
      <c r="DI418" s="145">
        <f>(DI485*DI495)-DI416</f>
        <v>0</v>
      </c>
      <c r="DJ418" s="145"/>
      <c r="DK418" s="145">
        <f>(DK485*DK495)-DK416</f>
        <v>0</v>
      </c>
      <c r="DL418" s="81"/>
      <c r="DM418" s="145">
        <f>(DM485*DM495)-DM416</f>
        <v>0</v>
      </c>
      <c r="DN418" s="81"/>
      <c r="DO418" s="145">
        <f>(DO485*DO495)-DO416</f>
        <v>0</v>
      </c>
      <c r="DP418" s="81"/>
      <c r="DQ418" s="145">
        <f>(DQ485*DQ495)-DQ416</f>
        <v>0</v>
      </c>
      <c r="DR418" s="81"/>
      <c r="DS418" s="145">
        <f>(DS485*DS495)-DS416</f>
        <v>0</v>
      </c>
      <c r="DT418" s="81"/>
      <c r="DU418" s="145">
        <f>(DU485*DU495)-DU416</f>
        <v>0</v>
      </c>
      <c r="DV418" s="81"/>
      <c r="DW418" s="145">
        <f>(DW485*DW495)-DW416</f>
        <v>0</v>
      </c>
      <c r="DX418" s="81"/>
      <c r="DY418" s="145">
        <f>(DY485*DY495)-DY416</f>
        <v>0</v>
      </c>
      <c r="DZ418" s="81"/>
      <c r="EA418" s="145">
        <f>(EA485*EA495)-EA416</f>
        <v>0</v>
      </c>
      <c r="EB418" s="81"/>
      <c r="EC418" s="145">
        <f>(EC485*EC495)-EC416</f>
        <v>0</v>
      </c>
      <c r="ED418" s="81"/>
      <c r="EE418" s="145">
        <f>(EE485*EE495)-EE416</f>
        <v>0</v>
      </c>
      <c r="EF418" s="81"/>
      <c r="EG418" s="145">
        <f>(EG485*EG495)-EG416</f>
        <v>0</v>
      </c>
      <c r="EH418" s="81"/>
      <c r="EI418" s="145">
        <f>(EI485*EI495)-EI416</f>
        <v>0</v>
      </c>
      <c r="EJ418" s="81"/>
      <c r="EK418" s="145">
        <f t="shared" ref="EK418:EQ418" si="1335">(EK485*EK495)-EK416</f>
        <v>0</v>
      </c>
      <c r="EL418" s="81"/>
      <c r="EM418" s="145">
        <f t="shared" si="1335"/>
        <v>0</v>
      </c>
      <c r="EN418" s="81"/>
      <c r="EO418" s="145">
        <f t="shared" si="1335"/>
        <v>0</v>
      </c>
      <c r="EP418" s="81"/>
      <c r="EQ418" s="145">
        <f t="shared" si="1335"/>
        <v>0</v>
      </c>
      <c r="ER418" s="81"/>
      <c r="ES418" s="82"/>
      <c r="ET418" s="465"/>
      <c r="EU418" s="82"/>
      <c r="EV418" s="145"/>
      <c r="EW418" s="79"/>
      <c r="EX418" s="131"/>
      <c r="EY418" s="79"/>
      <c r="EZ418" s="145"/>
      <c r="FA418" s="79"/>
      <c r="FB418" s="145"/>
      <c r="FC418" s="79"/>
      <c r="FD418" s="145"/>
      <c r="FE418" s="79"/>
      <c r="FF418" s="145"/>
      <c r="FG418" s="79"/>
      <c r="FH418" s="145"/>
      <c r="FI418" s="79"/>
      <c r="FJ418" s="145"/>
      <c r="FK418" s="79"/>
      <c r="FL418" s="145"/>
      <c r="FM418" s="79"/>
      <c r="FN418" s="145"/>
      <c r="FO418" s="79"/>
      <c r="FP418" s="145"/>
      <c r="FQ418" s="79"/>
      <c r="FR418" s="145"/>
      <c r="FS418" s="79"/>
      <c r="FT418" s="145">
        <f>FT419-FT416</f>
        <v>1.2505552149377763E-12</v>
      </c>
      <c r="FU418" s="145"/>
      <c r="FV418" s="145">
        <f>FV419-FV416</f>
        <v>0</v>
      </c>
      <c r="FW418" s="145"/>
      <c r="FX418" s="145">
        <f>FX419-FX416</f>
        <v>6.2999999999997272</v>
      </c>
      <c r="FY418" s="145"/>
      <c r="FZ418" s="145">
        <f>FZ419-FZ416</f>
        <v>0</v>
      </c>
      <c r="GA418" s="145"/>
      <c r="GB418" s="145">
        <f>GB419-GB416</f>
        <v>0</v>
      </c>
      <c r="GC418" s="145"/>
      <c r="GD418" s="145">
        <f>GD419-GD416</f>
        <v>0</v>
      </c>
      <c r="GE418" s="145"/>
      <c r="GF418" s="145">
        <f>GF419-GF416</f>
        <v>-1.3642420526593924E-12</v>
      </c>
      <c r="GG418" s="145"/>
      <c r="GH418" s="145">
        <f>GH419-GH416</f>
        <v>0</v>
      </c>
      <c r="GI418" s="145"/>
      <c r="GJ418" s="145">
        <f>GJ419-GJ416</f>
        <v>0</v>
      </c>
      <c r="GK418" s="145"/>
      <c r="GL418" s="145">
        <f>(GL485*GL495)-GL416</f>
        <v>0</v>
      </c>
      <c r="GM418" s="145"/>
      <c r="GN418" s="145">
        <f>(GN485*GN495)-GN416</f>
        <v>0</v>
      </c>
      <c r="GO418" s="145"/>
      <c r="GP418" s="145">
        <f>(GP485*GP495)-GP416</f>
        <v>0</v>
      </c>
      <c r="GQ418" s="145"/>
      <c r="GR418" s="145">
        <f>(GR485*GR495)-GR416</f>
        <v>0</v>
      </c>
      <c r="GS418" s="145"/>
      <c r="GT418" s="79"/>
      <c r="GU418" s="562"/>
      <c r="GV418" s="562"/>
      <c r="GW418"/>
      <c r="GX418"/>
      <c r="GY418"/>
      <c r="GZ418"/>
      <c r="HA418"/>
      <c r="HB418"/>
      <c r="HC418" s="562"/>
      <c r="HD418" s="562"/>
      <c r="HE418" s="562"/>
      <c r="HF418" s="562"/>
      <c r="HG418" s="562"/>
      <c r="HH418" s="562"/>
      <c r="HI418" s="562"/>
      <c r="HJ418" s="562"/>
      <c r="HK418" s="562"/>
      <c r="HL418" s="562"/>
      <c r="HM418" s="562"/>
      <c r="HN418" s="562"/>
      <c r="HO418" s="562"/>
      <c r="HP418" s="562"/>
      <c r="HQ418" s="562"/>
      <c r="HR418" s="562"/>
      <c r="HS418" s="562"/>
      <c r="HT418" s="562"/>
      <c r="HU418" s="562"/>
      <c r="HV418" s="562"/>
      <c r="HW418" s="562"/>
      <c r="HX418" s="562"/>
      <c r="HY418" s="562"/>
      <c r="HZ418" s="562"/>
      <c r="IA418" s="562"/>
      <c r="IB418" s="562"/>
      <c r="IC418" s="562"/>
      <c r="ID418" s="562"/>
      <c r="IE418" s="562"/>
      <c r="IF418" s="562"/>
      <c r="IG418" s="562"/>
      <c r="IH418" s="562"/>
      <c r="II418" s="562"/>
      <c r="IJ418" s="562"/>
      <c r="IK418" s="562"/>
      <c r="IL418" s="562"/>
      <c r="IM418" s="562"/>
      <c r="IN418" s="562"/>
      <c r="IO418" s="562"/>
      <c r="IP418" s="562"/>
      <c r="IQ418" s="562"/>
      <c r="IR418" s="562"/>
      <c r="IS418" s="562"/>
      <c r="IT418" s="562"/>
      <c r="IU418" s="562"/>
      <c r="IV418" s="562"/>
      <c r="IW418" s="562"/>
      <c r="IX418" s="562"/>
      <c r="IY418" s="562"/>
      <c r="IZ418" s="562"/>
      <c r="JA418" s="562"/>
      <c r="JB418" s="562"/>
      <c r="JC418" s="562"/>
      <c r="JD418" s="562"/>
      <c r="JE418" s="562"/>
      <c r="JF418" s="562"/>
      <c r="JG418" s="562"/>
      <c r="JH418" s="562"/>
      <c r="JI418" s="562"/>
      <c r="JJ418" s="562"/>
      <c r="JK418" s="562"/>
      <c r="JL418" s="562"/>
      <c r="JM418" s="562"/>
      <c r="JN418" s="562"/>
      <c r="JO418" s="562"/>
      <c r="JP418" s="562"/>
      <c r="JQ418" s="562"/>
      <c r="JR418" s="562"/>
      <c r="JS418" s="562"/>
      <c r="JT418" s="562"/>
      <c r="JU418" s="562"/>
      <c r="JV418" s="562"/>
      <c r="JW418" s="562"/>
      <c r="JX418" s="562"/>
      <c r="JY418" s="562"/>
      <c r="JZ418" s="562"/>
    </row>
    <row r="419" spans="1:286" s="10" customFormat="1" ht="12.75" customHeight="1" x14ac:dyDescent="0.2">
      <c r="A419" s="1"/>
      <c r="B419" s="2" t="s">
        <v>604</v>
      </c>
      <c r="C419" s="79"/>
      <c r="D419" s="79"/>
      <c r="E419" s="145">
        <f t="shared" ref="E419" si="1336">E416+E418</f>
        <v>0</v>
      </c>
      <c r="F419" s="145"/>
      <c r="G419" s="145">
        <f t="shared" ref="G419" si="1337">G416+G418</f>
        <v>0</v>
      </c>
      <c r="H419" s="145"/>
      <c r="I419" s="145">
        <f t="shared" ref="I419" si="1338">I416+I418</f>
        <v>0</v>
      </c>
      <c r="J419" s="145"/>
      <c r="K419" s="145">
        <f t="shared" ref="K419" si="1339">K416+K418</f>
        <v>0</v>
      </c>
      <c r="L419" s="145"/>
      <c r="M419" s="145">
        <f t="shared" ref="M419" si="1340">M416+M418</f>
        <v>0</v>
      </c>
      <c r="N419" s="145"/>
      <c r="O419" s="145">
        <f t="shared" ref="O419" si="1341">O416+O418</f>
        <v>0</v>
      </c>
      <c r="P419" s="145"/>
      <c r="Q419" s="145">
        <f t="shared" ref="Q419" si="1342">Q416+Q418</f>
        <v>0</v>
      </c>
      <c r="R419" s="145"/>
      <c r="S419" s="145">
        <f t="shared" ref="S419" si="1343">S416+S418</f>
        <v>0</v>
      </c>
      <c r="T419" s="145"/>
      <c r="U419" s="145">
        <f t="shared" ref="U419" si="1344">U416+U418</f>
        <v>0</v>
      </c>
      <c r="V419" s="145"/>
      <c r="W419" s="145">
        <f t="shared" ref="W419" si="1345">W416+W418</f>
        <v>0</v>
      </c>
      <c r="X419" s="145"/>
      <c r="Y419" s="145">
        <f t="shared" ref="Y419" si="1346">Y416+Y418</f>
        <v>0</v>
      </c>
      <c r="Z419" s="145"/>
      <c r="AA419" s="145">
        <f t="shared" ref="AA419" si="1347">AA416+AA418</f>
        <v>0</v>
      </c>
      <c r="AB419" s="145"/>
      <c r="AC419" s="145">
        <f t="shared" ref="AC419" si="1348">AC416+AC418</f>
        <v>0</v>
      </c>
      <c r="AD419" s="145"/>
      <c r="AE419" s="145">
        <f t="shared" ref="AE419" si="1349">AE416+AE418</f>
        <v>0</v>
      </c>
      <c r="AF419" s="145"/>
      <c r="AG419" s="145">
        <f t="shared" ref="AG419" si="1350">AG416+AG418</f>
        <v>0</v>
      </c>
      <c r="AH419" s="145"/>
      <c r="AI419" s="145">
        <f t="shared" ref="AI419" si="1351">AI416+AI418</f>
        <v>0</v>
      </c>
      <c r="AJ419" s="145"/>
      <c r="AK419" s="145">
        <f t="shared" ref="AK419" si="1352">AK416+AK418</f>
        <v>0</v>
      </c>
      <c r="AL419" s="145"/>
      <c r="AM419" s="145">
        <f t="shared" ref="AM419" si="1353">AM416+AM418</f>
        <v>0</v>
      </c>
      <c r="AN419" s="145"/>
      <c r="AO419" s="145">
        <f t="shared" ref="AO419" si="1354">AO416+AO418</f>
        <v>0</v>
      </c>
      <c r="AP419" s="145"/>
      <c r="AQ419" s="145">
        <f t="shared" ref="AQ419" si="1355">AQ416+AQ418</f>
        <v>0</v>
      </c>
      <c r="AR419" s="145"/>
      <c r="AS419" s="145">
        <f t="shared" ref="AS419" si="1356">AS416+AS418</f>
        <v>134.24746986</v>
      </c>
      <c r="AT419" s="145"/>
      <c r="AU419" s="145">
        <f t="shared" ref="AU419" si="1357">AU416+AU418</f>
        <v>141.85913968</v>
      </c>
      <c r="AV419" s="145"/>
      <c r="AW419" s="145">
        <f t="shared" ref="AW419" si="1358">AW416+AW418</f>
        <v>156.7347259</v>
      </c>
      <c r="AX419" s="145"/>
      <c r="AY419" s="145">
        <f t="shared" ref="AY419" si="1359">AY416+AY418</f>
        <v>179.67447940000002</v>
      </c>
      <c r="AZ419" s="145"/>
      <c r="BA419" s="145">
        <f t="shared" ref="BA419" si="1360">BA416+BA418</f>
        <v>173.19012950000001</v>
      </c>
      <c r="BB419" s="145"/>
      <c r="BC419" s="145">
        <f t="shared" ref="BC419" si="1361">BC416+BC418</f>
        <v>180.9670485</v>
      </c>
      <c r="BD419" s="145"/>
      <c r="BE419" s="145">
        <f t="shared" ref="BE419" si="1362">BE416+BE418</f>
        <v>216.54378119999998</v>
      </c>
      <c r="BF419" s="145"/>
      <c r="BG419" s="145">
        <f>BG416+BG418</f>
        <v>212.81749403000001</v>
      </c>
      <c r="BH419" s="81"/>
      <c r="BI419" s="145">
        <f>BI416+BI418</f>
        <v>207.36483439</v>
      </c>
      <c r="BJ419" s="145"/>
      <c r="BK419" s="145">
        <f>BK416+BK418</f>
        <v>224.923023</v>
      </c>
      <c r="BL419" s="145"/>
      <c r="BM419" s="145">
        <f>BM416+BM418</f>
        <v>216.26417280000001</v>
      </c>
      <c r="BN419" s="145"/>
      <c r="BO419" s="145">
        <f>BO416+BO418</f>
        <v>208.51832673000001</v>
      </c>
      <c r="BP419" s="81"/>
      <c r="BQ419" s="145">
        <f>BQ416+BQ418</f>
        <v>205.19799868000001</v>
      </c>
      <c r="BR419" s="145"/>
      <c r="BS419" s="145">
        <f>BS416+BS418</f>
        <v>215.77089624999999</v>
      </c>
      <c r="BT419" s="145"/>
      <c r="BU419" s="145">
        <f>BU416+BU418</f>
        <v>212.87817472</v>
      </c>
      <c r="BV419" s="145"/>
      <c r="BW419" s="145">
        <f>BW416+BW418</f>
        <v>219.77899679999999</v>
      </c>
      <c r="BX419" s="81"/>
      <c r="BY419" s="145">
        <f>BY416+BY418</f>
        <v>226.60000000000002</v>
      </c>
      <c r="BZ419" s="145"/>
      <c r="CA419" s="145">
        <f>CA416+CA418</f>
        <v>232.49999999999997</v>
      </c>
      <c r="CB419" s="145"/>
      <c r="CC419" s="145">
        <f>CC416+CC418</f>
        <v>223.3000000000001</v>
      </c>
      <c r="CD419" s="145"/>
      <c r="CE419" s="145">
        <f>CE416+CE418</f>
        <v>212.3000000000003</v>
      </c>
      <c r="CF419" s="145"/>
      <c r="CG419" s="145">
        <f>CG416+CG418</f>
        <v>219.09999999999988</v>
      </c>
      <c r="CH419" s="145"/>
      <c r="CI419" s="145">
        <f>CI416+CI418</f>
        <v>235.00000000000014</v>
      </c>
      <c r="CJ419" s="145"/>
      <c r="CK419" s="145">
        <f>CK416+CK418</f>
        <v>223.10000000000002</v>
      </c>
      <c r="CL419" s="145"/>
      <c r="CM419" s="145">
        <f>CM416+CM418</f>
        <v>-368.70000000000027</v>
      </c>
      <c r="CN419" s="145"/>
      <c r="CO419" s="145">
        <f>CO416+CO418</f>
        <v>213.19999999999993</v>
      </c>
      <c r="CP419" s="145"/>
      <c r="CQ419" s="145">
        <f>CQ416+CQ418</f>
        <v>225.2999999999999</v>
      </c>
      <c r="CR419" s="145"/>
      <c r="CS419" s="145">
        <f>CS416+CS418</f>
        <v>224</v>
      </c>
      <c r="CT419" s="145"/>
      <c r="CU419" s="145">
        <f>CU416+CU418</f>
        <v>224.99999999999994</v>
      </c>
      <c r="CV419" s="145"/>
      <c r="CW419" s="145">
        <f>CW416+CW418</f>
        <v>212.7000000000001</v>
      </c>
      <c r="CX419" s="145"/>
      <c r="CY419" s="145">
        <f>CY416+CY418</f>
        <v>215.89999999999992</v>
      </c>
      <c r="CZ419" s="145"/>
      <c r="DA419" s="145">
        <f>DA416+DA418</f>
        <v>221.60000000000002</v>
      </c>
      <c r="DB419" s="145"/>
      <c r="DC419" s="145">
        <f>DC416+DC418</f>
        <v>214.29999999999995</v>
      </c>
      <c r="DD419" s="145"/>
      <c r="DE419" s="145">
        <f>DE416+DE418</f>
        <v>222.59999999999974</v>
      </c>
      <c r="DF419" s="145"/>
      <c r="DG419" s="145">
        <f>DG416+DG418</f>
        <v>221.3</v>
      </c>
      <c r="DH419" s="145"/>
      <c r="DI419" s="145">
        <f>DI416+DI418</f>
        <v>219.10000000000005</v>
      </c>
      <c r="DJ419" s="145"/>
      <c r="DK419" s="145">
        <f>DK416+DK418</f>
        <v>-229.10000000000002</v>
      </c>
      <c r="DL419" s="81"/>
      <c r="DM419" s="145">
        <f>DM416+DM418</f>
        <v>222.90000000000006</v>
      </c>
      <c r="DN419" s="81"/>
      <c r="DO419" s="145">
        <f>DO416+DO418</f>
        <v>220.59999999999994</v>
      </c>
      <c r="DP419" s="81"/>
      <c r="DQ419" s="145">
        <f>DQ416+DQ418</f>
        <v>221.10000000000022</v>
      </c>
      <c r="DR419" s="81"/>
      <c r="DS419" s="145">
        <f>DS416+DS418</f>
        <v>228.59999999999991</v>
      </c>
      <c r="DT419" s="81"/>
      <c r="DU419" s="145">
        <f>DU416+DU418</f>
        <v>224.19999999999982</v>
      </c>
      <c r="DV419" s="81"/>
      <c r="DW419" s="145">
        <f>DW416+DW418</f>
        <v>232.99999999999991</v>
      </c>
      <c r="DX419" s="81"/>
      <c r="DY419" s="145">
        <f>DY416+DY418</f>
        <v>228.70000000000019</v>
      </c>
      <c r="DZ419" s="81"/>
      <c r="EA419" s="145">
        <f>EA416+EA418</f>
        <v>229.69999999999996</v>
      </c>
      <c r="EB419" s="81"/>
      <c r="EC419" s="145">
        <f>EC416+EC418</f>
        <v>236.09999999999974</v>
      </c>
      <c r="ED419" s="81"/>
      <c r="EE419" s="145">
        <f>EE416+EE418</f>
        <v>240.40000000000012</v>
      </c>
      <c r="EF419" s="81"/>
      <c r="EG419" s="145">
        <f>EG416+EG418</f>
        <v>245.49999999999991</v>
      </c>
      <c r="EH419" s="81"/>
      <c r="EI419" s="145">
        <f>EI416+EI418</f>
        <v>253.5999999999998</v>
      </c>
      <c r="EJ419" s="81"/>
      <c r="EK419" s="145">
        <f t="shared" ref="EK419:EQ419" si="1363">EK416+EK418</f>
        <v>282.31763341896846</v>
      </c>
      <c r="EL419" s="81"/>
      <c r="EM419" s="145">
        <f t="shared" si="1363"/>
        <v>284.18549079101746</v>
      </c>
      <c r="EN419" s="81"/>
      <c r="EO419" s="145">
        <f t="shared" si="1363"/>
        <v>285.31644884485263</v>
      </c>
      <c r="EP419" s="81"/>
      <c r="EQ419" s="145">
        <f t="shared" si="1363"/>
        <v>287.17259761097216</v>
      </c>
      <c r="ER419" s="81"/>
      <c r="ES419" s="82"/>
      <c r="ET419" s="465"/>
      <c r="EU419" s="82"/>
      <c r="EV419" s="145"/>
      <c r="EW419" s="79"/>
      <c r="EX419" s="131"/>
      <c r="EY419" s="79"/>
      <c r="EZ419" s="145"/>
      <c r="FA419" s="79"/>
      <c r="FB419" s="145"/>
      <c r="FC419" s="79"/>
      <c r="FD419" s="145"/>
      <c r="FE419" s="79"/>
      <c r="FF419" s="145"/>
      <c r="FG419" s="79"/>
      <c r="FH419" s="145"/>
      <c r="FI419" s="79"/>
      <c r="FJ419" s="145"/>
      <c r="FK419" s="79"/>
      <c r="FL419" s="145"/>
      <c r="FM419" s="79"/>
      <c r="FN419" s="145"/>
      <c r="FO419" s="79"/>
      <c r="FP419" s="145"/>
      <c r="FQ419" s="79"/>
      <c r="FR419" s="145"/>
      <c r="FS419" s="79"/>
      <c r="FT419" s="145">
        <f>BY419+CA419+CC419+CE419</f>
        <v>894.70000000000039</v>
      </c>
      <c r="FU419" s="145"/>
      <c r="FV419" s="145">
        <f>CG419+CI419+CK419+CM419</f>
        <v>308.49999999999977</v>
      </c>
      <c r="FW419" s="145"/>
      <c r="FX419" s="145">
        <f>CO419+CQ419+CS419+CU419</f>
        <v>887.49999999999977</v>
      </c>
      <c r="FY419" s="145"/>
      <c r="FZ419" s="145">
        <f>CW419+CY419+DA419+DC419</f>
        <v>864.5</v>
      </c>
      <c r="GA419" s="145"/>
      <c r="GB419" s="145">
        <f>DE419+DG419+DI419+DK419</f>
        <v>433.89999999999975</v>
      </c>
      <c r="GC419" s="145"/>
      <c r="GD419" s="145">
        <f>DM419+DO419+DQ419+DS419</f>
        <v>893.20000000000016</v>
      </c>
      <c r="GE419" s="145"/>
      <c r="GF419" s="145">
        <f>DU419+DW419+DY419+EA419</f>
        <v>915.5999999999998</v>
      </c>
      <c r="GG419" s="145"/>
      <c r="GH419" s="145">
        <f>EC419+EE419+EG419+EI419</f>
        <v>975.59999999999957</v>
      </c>
      <c r="GI419" s="145"/>
      <c r="GJ419" s="145">
        <f>EK419+EM419+EO419+EQ419</f>
        <v>1138.9921706658106</v>
      </c>
      <c r="GK419" s="145"/>
      <c r="GL419" s="145">
        <f>GL416+GL418</f>
        <v>1166.3739290988638</v>
      </c>
      <c r="GM419" s="145"/>
      <c r="GN419" s="145">
        <f>GN416+GN418</f>
        <v>1199.1164197416224</v>
      </c>
      <c r="GO419" s="145"/>
      <c r="GP419" s="145">
        <f>GP416+GP418</f>
        <v>1236.0739147447871</v>
      </c>
      <c r="GQ419" s="145"/>
      <c r="GR419" s="145">
        <f>GR416+GR418</f>
        <v>1268.2485979483392</v>
      </c>
      <c r="GS419" s="145"/>
      <c r="GT419" s="79"/>
      <c r="GU419" s="857"/>
      <c r="GV419" s="562"/>
      <c r="GW419"/>
      <c r="GX419"/>
      <c r="GY419"/>
      <c r="GZ419"/>
      <c r="HA419"/>
      <c r="HB419"/>
      <c r="HC419" s="562"/>
      <c r="HD419" s="562"/>
      <c r="HE419" s="562"/>
      <c r="HF419" s="562"/>
      <c r="HG419" s="562"/>
      <c r="HH419" s="562"/>
      <c r="HI419" s="562"/>
      <c r="HJ419" s="562"/>
      <c r="HK419" s="562"/>
      <c r="HL419" s="562"/>
      <c r="HM419" s="562"/>
      <c r="HN419" s="562"/>
      <c r="HO419" s="562"/>
      <c r="HP419" s="562"/>
      <c r="HQ419" s="562"/>
      <c r="HR419" s="562"/>
      <c r="HS419" s="562"/>
      <c r="HT419" s="562"/>
      <c r="HU419" s="562"/>
      <c r="HV419" s="562"/>
      <c r="HW419" s="562"/>
      <c r="HX419" s="562"/>
      <c r="HY419" s="562"/>
      <c r="HZ419" s="562"/>
      <c r="IA419" s="562"/>
      <c r="IB419" s="562"/>
      <c r="IC419" s="562"/>
      <c r="ID419" s="562"/>
      <c r="IE419" s="562"/>
      <c r="IF419" s="562"/>
      <c r="IG419" s="562"/>
      <c r="IH419" s="562"/>
      <c r="II419" s="562"/>
      <c r="IJ419" s="562"/>
      <c r="IK419" s="562"/>
      <c r="IL419" s="562"/>
      <c r="IM419" s="562"/>
      <c r="IN419" s="562"/>
      <c r="IO419" s="562"/>
      <c r="IP419" s="562"/>
      <c r="IQ419" s="562"/>
      <c r="IR419" s="562"/>
      <c r="IS419" s="562"/>
      <c r="IT419" s="562"/>
      <c r="IU419" s="562"/>
      <c r="IV419" s="562"/>
      <c r="IW419" s="562"/>
      <c r="IX419" s="562"/>
      <c r="IY419" s="562"/>
      <c r="IZ419" s="562"/>
      <c r="JA419" s="562"/>
      <c r="JB419" s="562"/>
      <c r="JC419" s="562"/>
      <c r="JD419" s="562"/>
      <c r="JE419" s="562"/>
      <c r="JF419" s="562"/>
      <c r="JG419" s="562"/>
      <c r="JH419" s="562"/>
      <c r="JI419" s="562"/>
      <c r="JJ419" s="562"/>
      <c r="JK419" s="562"/>
      <c r="JL419" s="562"/>
      <c r="JM419" s="562"/>
      <c r="JN419" s="562"/>
      <c r="JO419" s="562"/>
      <c r="JP419" s="562"/>
      <c r="JQ419" s="562"/>
      <c r="JR419" s="562"/>
      <c r="JS419" s="562"/>
      <c r="JT419" s="562"/>
      <c r="JU419" s="562"/>
      <c r="JV419" s="562"/>
      <c r="JW419" s="562"/>
      <c r="JX419" s="562"/>
      <c r="JY419" s="562"/>
      <c r="JZ419" s="562"/>
    </row>
    <row r="420" spans="1:286" ht="12.75" customHeight="1" x14ac:dyDescent="0.2">
      <c r="A420" s="1"/>
      <c r="B420" s="2"/>
      <c r="C420" s="79"/>
      <c r="D420" s="79"/>
      <c r="E420" s="82"/>
      <c r="F420" s="82"/>
      <c r="G420" s="82"/>
      <c r="H420" s="82"/>
      <c r="I420" s="82"/>
      <c r="J420" s="82"/>
      <c r="K420" s="82"/>
      <c r="L420" s="79"/>
      <c r="M420" s="236"/>
      <c r="N420" s="79"/>
      <c r="O420" s="236"/>
      <c r="P420" s="79"/>
      <c r="Q420" s="236"/>
      <c r="R420" s="79"/>
      <c r="S420" s="236"/>
      <c r="T420" s="79"/>
      <c r="U420" s="236"/>
      <c r="V420" s="79"/>
      <c r="W420" s="236"/>
      <c r="X420" s="79"/>
      <c r="Y420" s="236"/>
      <c r="Z420" s="79"/>
      <c r="AA420" s="209"/>
      <c r="AB420" s="79"/>
      <c r="AC420" s="236"/>
      <c r="AD420" s="79"/>
      <c r="AE420" s="236"/>
      <c r="AF420" s="79"/>
      <c r="AG420" s="236"/>
      <c r="AH420" s="79"/>
      <c r="AI420" s="236"/>
      <c r="AJ420" s="79"/>
      <c r="AK420" s="236"/>
      <c r="AL420" s="79"/>
      <c r="AM420" s="236"/>
      <c r="AN420" s="79"/>
      <c r="AO420" s="236"/>
      <c r="AP420" s="79"/>
      <c r="AQ420" s="236"/>
      <c r="AR420" s="79"/>
      <c r="AS420" s="236"/>
      <c r="AT420" s="81"/>
      <c r="AU420" s="236"/>
      <c r="AV420" s="81"/>
      <c r="AW420" s="236"/>
      <c r="AX420" s="81"/>
      <c r="AY420" s="236"/>
      <c r="AZ420" s="81"/>
      <c r="BA420" s="236"/>
      <c r="BB420" s="81"/>
      <c r="BC420" s="236"/>
      <c r="BD420" s="81"/>
      <c r="BE420" s="236"/>
      <c r="BF420" s="81"/>
      <c r="BG420" s="236"/>
      <c r="BH420" s="81"/>
      <c r="BI420" s="236"/>
      <c r="BJ420" s="81"/>
      <c r="BK420" s="236"/>
      <c r="BL420" s="81"/>
      <c r="BM420" s="236"/>
      <c r="BN420" s="81"/>
      <c r="BO420" s="236"/>
      <c r="BP420" s="81"/>
      <c r="BQ420" s="236"/>
      <c r="BR420" s="81"/>
      <c r="BS420" s="236"/>
      <c r="BT420" s="81"/>
      <c r="BU420" s="236"/>
      <c r="BV420" s="81"/>
      <c r="BW420" s="236"/>
      <c r="BX420" s="81"/>
      <c r="BY420" s="320"/>
      <c r="BZ420" s="81"/>
      <c r="CA420" s="320"/>
      <c r="CB420" s="81"/>
      <c r="CC420" s="320"/>
      <c r="CD420" s="81"/>
      <c r="CE420" s="320"/>
      <c r="CF420" s="81"/>
      <c r="CG420" s="320"/>
      <c r="CH420" s="81"/>
      <c r="CI420" s="320"/>
      <c r="CJ420" s="81"/>
      <c r="CK420" s="320"/>
      <c r="CL420" s="81"/>
      <c r="CM420" s="320"/>
      <c r="CN420" s="81"/>
      <c r="CO420" s="320"/>
      <c r="CP420" s="81"/>
      <c r="CQ420" s="320"/>
      <c r="CR420" s="81"/>
      <c r="CS420" s="320"/>
      <c r="CT420" s="81"/>
      <c r="CU420" s="320"/>
      <c r="CV420" s="81"/>
      <c r="CW420" s="320"/>
      <c r="CX420" s="81"/>
      <c r="CY420" s="320"/>
      <c r="CZ420" s="81"/>
      <c r="DA420" s="320"/>
      <c r="DB420" s="81"/>
      <c r="DC420" s="320"/>
      <c r="DD420" s="81"/>
      <c r="DE420" s="320"/>
      <c r="DF420" s="81"/>
      <c r="DG420" s="320"/>
      <c r="DH420" s="81"/>
      <c r="DI420" s="320"/>
      <c r="DJ420" s="81"/>
      <c r="DK420" s="320"/>
      <c r="DL420" s="81"/>
      <c r="DM420" s="320"/>
      <c r="DN420" s="81"/>
      <c r="DO420" s="320"/>
      <c r="DP420" s="81"/>
      <c r="DQ420" s="913"/>
      <c r="DR420" s="81"/>
      <c r="DS420" s="913"/>
      <c r="DT420" s="81"/>
      <c r="DU420" s="913"/>
      <c r="DV420" s="81"/>
      <c r="DW420" s="913"/>
      <c r="DX420" s="81"/>
      <c r="DY420" s="913"/>
      <c r="DZ420" s="81"/>
      <c r="EA420" s="913"/>
      <c r="EB420" s="81"/>
      <c r="EC420" s="913"/>
      <c r="ED420" s="81"/>
      <c r="EE420" s="913"/>
      <c r="EF420" s="81"/>
      <c r="EG420" s="913"/>
      <c r="EH420" s="81"/>
      <c r="EI420" s="913"/>
      <c r="EJ420" s="81"/>
      <c r="EK420" s="236"/>
      <c r="EL420" s="81"/>
      <c r="EM420" s="236"/>
      <c r="EN420" s="81"/>
      <c r="EO420" s="236"/>
      <c r="EP420" s="81"/>
      <c r="EQ420" s="236"/>
      <c r="ER420" s="81"/>
      <c r="ES420" s="82"/>
      <c r="ET420" s="469"/>
      <c r="EU420" s="82"/>
      <c r="EV420" s="82"/>
      <c r="EW420" s="79"/>
      <c r="EX420" s="82"/>
      <c r="EY420" s="79"/>
      <c r="EZ420" s="82"/>
      <c r="FA420" s="79"/>
      <c r="FB420" s="82"/>
      <c r="FC420" s="79"/>
      <c r="FD420" s="82"/>
      <c r="FE420" s="79"/>
      <c r="FF420" s="278"/>
      <c r="FG420" s="79"/>
      <c r="FH420" s="278"/>
      <c r="FI420" s="79"/>
      <c r="FJ420" s="278"/>
      <c r="FK420" s="79"/>
      <c r="FL420" s="278"/>
      <c r="FM420" s="79"/>
      <c r="FN420" s="278"/>
      <c r="FO420" s="79"/>
      <c r="FP420" s="278"/>
      <c r="FQ420" s="79"/>
      <c r="FR420" s="236"/>
      <c r="FS420" s="79"/>
      <c r="FT420" s="236"/>
      <c r="FU420" s="79"/>
      <c r="FV420" s="236"/>
      <c r="FW420" s="79"/>
      <c r="FX420" s="236"/>
      <c r="FY420" s="79"/>
      <c r="FZ420" s="236"/>
      <c r="GA420" s="79"/>
      <c r="GB420" s="236"/>
      <c r="GC420" s="79"/>
      <c r="GD420" s="236"/>
      <c r="GE420" s="79"/>
      <c r="GF420" s="236"/>
      <c r="GG420" s="79"/>
      <c r="GH420" s="236"/>
      <c r="GI420" s="79"/>
      <c r="GJ420" s="236"/>
      <c r="GK420" s="79"/>
      <c r="GL420" s="236"/>
      <c r="GM420" s="79"/>
      <c r="GN420" s="236"/>
      <c r="GO420" s="79"/>
      <c r="GP420" s="236"/>
      <c r="GQ420" s="79"/>
      <c r="GR420" s="236"/>
      <c r="GS420" s="79"/>
      <c r="GT420" s="79"/>
    </row>
    <row r="421" spans="1:286" ht="12.75" customHeight="1" x14ac:dyDescent="0.2">
      <c r="A421" s="1"/>
      <c r="B421" s="68" t="s">
        <v>49</v>
      </c>
      <c r="C421" s="79"/>
      <c r="D421" s="79"/>
      <c r="E421" s="82"/>
      <c r="F421" s="82"/>
      <c r="G421" s="82"/>
      <c r="H421" s="82"/>
      <c r="I421" s="82"/>
      <c r="J421" s="82"/>
      <c r="K421" s="82"/>
      <c r="L421" s="79"/>
      <c r="M421" s="82"/>
      <c r="N421" s="79"/>
      <c r="O421" s="82"/>
      <c r="P421" s="79"/>
      <c r="Q421" s="82"/>
      <c r="R421" s="79"/>
      <c r="S421" s="82"/>
      <c r="T421" s="79"/>
      <c r="U421" s="82"/>
      <c r="V421" s="79"/>
      <c r="W421" s="82"/>
      <c r="X421" s="79"/>
      <c r="Y421" s="82"/>
      <c r="Z421" s="79"/>
      <c r="AA421" s="130"/>
      <c r="AB421" s="79"/>
      <c r="AC421" s="82"/>
      <c r="AD421" s="79"/>
      <c r="AE421" s="82"/>
      <c r="AF421" s="79"/>
      <c r="AG421" s="82"/>
      <c r="AH421" s="79"/>
      <c r="AI421" s="82"/>
      <c r="AJ421" s="79"/>
      <c r="AK421" s="82"/>
      <c r="AL421" s="79"/>
      <c r="AM421" s="82"/>
      <c r="AN421" s="79"/>
      <c r="AO421" s="82"/>
      <c r="AP421" s="79"/>
      <c r="AQ421" s="82"/>
      <c r="AR421" s="79"/>
      <c r="AS421" s="82"/>
      <c r="AT421" s="81"/>
      <c r="AU421" s="82"/>
      <c r="AV421" s="81"/>
      <c r="AW421" s="82"/>
      <c r="AX421" s="81"/>
      <c r="AY421" s="82"/>
      <c r="AZ421" s="81"/>
      <c r="BA421" s="82"/>
      <c r="BB421" s="81"/>
      <c r="BC421" s="82"/>
      <c r="BD421" s="81"/>
      <c r="BE421" s="82"/>
      <c r="BF421" s="81"/>
      <c r="BG421" s="82"/>
      <c r="BH421" s="81"/>
      <c r="BI421" s="82"/>
      <c r="BJ421" s="81"/>
      <c r="BK421" s="82"/>
      <c r="BL421" s="81"/>
      <c r="BM421" s="82"/>
      <c r="BN421" s="81"/>
      <c r="BO421" s="82"/>
      <c r="BP421" s="81"/>
      <c r="BQ421" s="82"/>
      <c r="BR421" s="81"/>
      <c r="BS421" s="82"/>
      <c r="BT421" s="81"/>
      <c r="BU421" s="82"/>
      <c r="BV421" s="81"/>
      <c r="BW421" s="82"/>
      <c r="BX421" s="81"/>
      <c r="BY421" s="82"/>
      <c r="BZ421" s="81"/>
      <c r="CA421" s="82"/>
      <c r="CB421" s="81"/>
      <c r="CC421" s="82"/>
      <c r="CD421" s="81"/>
      <c r="CE421" s="82"/>
      <c r="CF421" s="81"/>
      <c r="CG421" s="82"/>
      <c r="CH421" s="81"/>
      <c r="CI421" s="82"/>
      <c r="CJ421" s="81"/>
      <c r="CK421" s="82"/>
      <c r="CL421" s="81"/>
      <c r="CM421" s="278"/>
      <c r="CN421" s="81"/>
      <c r="CO421" s="278"/>
      <c r="CP421" s="81"/>
      <c r="CQ421" s="278"/>
      <c r="CR421" s="81"/>
      <c r="CS421" s="278"/>
      <c r="CT421" s="81"/>
      <c r="CU421" s="278"/>
      <c r="CV421" s="81"/>
      <c r="CW421" s="884"/>
      <c r="CX421" s="885"/>
      <c r="CY421" s="884"/>
      <c r="CZ421" s="885"/>
      <c r="DA421" s="884"/>
      <c r="DB421" s="885"/>
      <c r="DC421" s="884"/>
      <c r="DD421" s="885"/>
      <c r="DE421" s="884"/>
      <c r="DF421" s="885"/>
      <c r="DG421" s="884"/>
      <c r="DH421" s="885"/>
      <c r="DI421" s="884"/>
      <c r="DJ421" s="885"/>
      <c r="DK421" s="884"/>
      <c r="DL421" s="81"/>
      <c r="DM421" s="884"/>
      <c r="DN421" s="81"/>
      <c r="DO421" s="884"/>
      <c r="DP421" s="81"/>
      <c r="DQ421" s="884"/>
      <c r="DR421" s="81"/>
      <c r="DS421" s="884"/>
      <c r="DT421" s="81"/>
      <c r="DU421" s="884"/>
      <c r="DV421" s="81"/>
      <c r="DW421" s="884"/>
      <c r="DX421" s="81"/>
      <c r="DY421" s="884"/>
      <c r="DZ421" s="81"/>
      <c r="EA421" s="884"/>
      <c r="EB421" s="81"/>
      <c r="EC421" s="884"/>
      <c r="ED421" s="81"/>
      <c r="EE421" s="884"/>
      <c r="EF421" s="81"/>
      <c r="EG421" s="884"/>
      <c r="EH421" s="81"/>
      <c r="EI421" s="884"/>
      <c r="EJ421" s="81"/>
      <c r="EK421" s="82"/>
      <c r="EL421" s="81"/>
      <c r="EM421" s="82"/>
      <c r="EN421" s="81"/>
      <c r="EO421" s="82"/>
      <c r="EP421" s="81"/>
      <c r="EQ421" s="82"/>
      <c r="ER421" s="81"/>
      <c r="ES421" s="82"/>
      <c r="ET421" s="469"/>
      <c r="EU421" s="82"/>
      <c r="EV421" s="82"/>
      <c r="EW421" s="79"/>
      <c r="EX421" s="82"/>
      <c r="EY421" s="79"/>
      <c r="EZ421" s="82"/>
      <c r="FA421" s="79"/>
      <c r="FB421" s="82"/>
      <c r="FC421" s="79"/>
      <c r="FD421" s="82"/>
      <c r="FE421" s="79"/>
      <c r="FF421" s="82"/>
      <c r="FG421" s="79"/>
      <c r="FH421" s="82"/>
      <c r="FI421" s="79"/>
      <c r="FJ421" s="82"/>
      <c r="FK421" s="79"/>
      <c r="FL421" s="82"/>
      <c r="FM421" s="79"/>
      <c r="FN421" s="82"/>
      <c r="FO421" s="79"/>
      <c r="FP421" s="82"/>
      <c r="FQ421" s="79"/>
      <c r="FR421" s="82"/>
      <c r="FS421" s="79"/>
      <c r="FT421" s="82"/>
      <c r="FU421" s="79"/>
      <c r="FV421" s="82"/>
      <c r="FW421" s="79"/>
      <c r="FX421" s="82"/>
      <c r="FY421" s="79"/>
      <c r="FZ421" s="82"/>
      <c r="GA421" s="79"/>
      <c r="GB421" s="82"/>
      <c r="GC421" s="79"/>
      <c r="GD421" s="82"/>
      <c r="GE421" s="79"/>
      <c r="GF421" s="82"/>
      <c r="GG421" s="79"/>
      <c r="GH421" s="82"/>
      <c r="GI421" s="79"/>
      <c r="GJ421" s="82"/>
      <c r="GK421" s="79"/>
      <c r="GL421" s="82"/>
      <c r="GM421" s="79"/>
      <c r="GN421" s="82"/>
      <c r="GO421" s="79"/>
      <c r="GP421" s="82"/>
      <c r="GQ421" s="79"/>
      <c r="GR421" s="82"/>
      <c r="GS421" s="79"/>
      <c r="GT421" s="79"/>
    </row>
    <row r="422" spans="1:286" s="249" customFormat="1" ht="12.75" hidden="1" customHeight="1" outlineLevel="1" x14ac:dyDescent="0.2">
      <c r="A422" s="248"/>
      <c r="B422" s="2" t="s">
        <v>489</v>
      </c>
      <c r="C422" s="79"/>
      <c r="D422" s="79"/>
      <c r="E422" s="131">
        <v>0</v>
      </c>
      <c r="F422" s="131"/>
      <c r="G422" s="131">
        <v>0</v>
      </c>
      <c r="H422" s="131"/>
      <c r="I422" s="131">
        <v>0</v>
      </c>
      <c r="J422" s="131"/>
      <c r="K422" s="131">
        <v>0</v>
      </c>
      <c r="L422" s="79"/>
      <c r="M422" s="131">
        <v>0</v>
      </c>
      <c r="N422" s="79" t="str">
        <f t="shared" ref="N422:V436" si="1364">IF(ISERROR((M422/E422-1)*100),"NA",IF(((M422/E422-1)*100)&gt;100,"NM",IF(((M422/E422-1)*100)&lt;-50,"NM",(M422/E422-1)*100)))</f>
        <v>NA</v>
      </c>
      <c r="O422" s="131">
        <v>0</v>
      </c>
      <c r="P422" s="79" t="str">
        <f t="shared" si="1364"/>
        <v>NA</v>
      </c>
      <c r="Q422" s="131">
        <v>0</v>
      </c>
      <c r="R422" s="79" t="str">
        <f t="shared" si="1364"/>
        <v>NA</v>
      </c>
      <c r="S422" s="131">
        <v>0</v>
      </c>
      <c r="T422" s="79" t="str">
        <f t="shared" si="1364"/>
        <v>NA</v>
      </c>
      <c r="U422" s="131">
        <v>0</v>
      </c>
      <c r="V422" s="79" t="str">
        <f t="shared" si="1364"/>
        <v>NA</v>
      </c>
      <c r="W422" s="131">
        <v>0</v>
      </c>
      <c r="X422" s="79" t="str">
        <f t="shared" ref="X422:X436" si="1365">IF(ISERROR((W422/O422-1)*100),"NA",IF(((W422/O422-1)*100)&gt;100,"NM",IF(((W422/O422-1)*100)&lt;-50,"NM",(W422/O422-1)*100)))</f>
        <v>NA</v>
      </c>
      <c r="Y422" s="131">
        <v>0</v>
      </c>
      <c r="Z422" s="79" t="str">
        <f t="shared" ref="Z422:Z436" si="1366">IF(ISERROR((Y422/Q422-1)*100),"NA",IF(((Y422/Q422-1)*100)&gt;100,"NM",IF(((Y422/Q422-1)*100)&lt;-50,"NM",(Y422/Q422-1)*100)))</f>
        <v>NA</v>
      </c>
      <c r="AA422" s="126">
        <v>0</v>
      </c>
      <c r="AB422" s="79" t="str">
        <f t="shared" ref="AB422:AB436" si="1367">IF(ISERROR((AA422/S422-1)*100),"NA",IF(((AA422/S422-1)*100)&gt;100,"NM",IF(((AA422/S422-1)*100)&lt;-50,"NM",(AA422/S422-1)*100)))</f>
        <v>NA</v>
      </c>
      <c r="AC422" s="131">
        <v>0</v>
      </c>
      <c r="AD422" s="79" t="str">
        <f t="shared" ref="AD422:AD436" si="1368">IF(ISERROR((AC422/U422-1)*100),"NA",IF(((AC422/U422-1)*100)&gt;100,"NM",IF(((AC422/U422-1)*100)&lt;-50,"NM",(AC422/U422-1)*100)))</f>
        <v>NA</v>
      </c>
      <c r="AE422" s="131">
        <v>0</v>
      </c>
      <c r="AF422" s="79" t="str">
        <f t="shared" ref="AF422:AF436" si="1369">IF(ISERROR((AE422/W422-1)*100),"NA",IF(((AE422/W422-1)*100)&gt;100,"NM",IF(((AE422/W422-1)*100)&lt;-50,"NM",(AE422/W422-1)*100)))</f>
        <v>NA</v>
      </c>
      <c r="AG422" s="131">
        <v>0</v>
      </c>
      <c r="AH422" s="79" t="str">
        <f t="shared" ref="AH422:AH436" si="1370">IF(ISERROR((AG422/Y422-1)*100),"NA",IF(((AG422/Y422-1)*100)&gt;100,"NM",IF(((AG422/Y422-1)*100)&lt;-50,"NM",(AG422/Y422-1)*100)))</f>
        <v>NA</v>
      </c>
      <c r="AI422" s="131">
        <v>0</v>
      </c>
      <c r="AJ422" s="79" t="str">
        <f t="shared" ref="AJ422:AJ436" si="1371">IF(ISERROR((AI422/AA422-1)*100),"NA",IF(((AI422/AA422-1)*100)&gt;100,"NM",IF(((AI422/AA422-1)*100)&lt;-50,"NM",(AI422/AA422-1)*100)))</f>
        <v>NA</v>
      </c>
      <c r="AK422" s="131">
        <v>0</v>
      </c>
      <c r="AL422" s="79" t="str">
        <f t="shared" ref="AL422:AL436" si="1372">IF(ISERROR((AK422/AC422-1)*100),"NA",IF(((AK422/AC422-1)*100)&gt;100,"NM",IF(((AK422/AC422-1)*100)&lt;-50,"NM",(AK422/AC422-1)*100)))</f>
        <v>NA</v>
      </c>
      <c r="AM422" s="131">
        <v>0</v>
      </c>
      <c r="AN422" s="79" t="str">
        <f t="shared" ref="AN422:BD436" si="1373">IF(ISERROR((AM422/AE422-1)*100),"NA",IF(((AM422/AE422-1)*100)&gt;100,"NM",IF(((AM422/AE422-1)*100)&lt;-50,"NM",(AM422/AE422-1)*100)))</f>
        <v>NA</v>
      </c>
      <c r="AO422" s="131">
        <v>0</v>
      </c>
      <c r="AP422" s="79" t="str">
        <f t="shared" si="1373"/>
        <v>NA</v>
      </c>
      <c r="AQ422" s="202">
        <v>0</v>
      </c>
      <c r="AR422" s="79" t="str">
        <f t="shared" si="1373"/>
        <v>NA</v>
      </c>
      <c r="AS422" s="202">
        <v>0</v>
      </c>
      <c r="AT422" s="81" t="str">
        <f t="shared" si="1373"/>
        <v>NA</v>
      </c>
      <c r="AU422" s="202">
        <v>0</v>
      </c>
      <c r="AV422" s="81" t="str">
        <f t="shared" si="1373"/>
        <v>NA</v>
      </c>
      <c r="AW422" s="202">
        <v>0</v>
      </c>
      <c r="AX422" s="81" t="str">
        <f t="shared" si="1373"/>
        <v>NA</v>
      </c>
      <c r="AY422" s="202">
        <v>0</v>
      </c>
      <c r="AZ422" s="81" t="str">
        <f t="shared" si="1373"/>
        <v>NA</v>
      </c>
      <c r="BA422" s="202">
        <v>0</v>
      </c>
      <c r="BB422" s="81" t="str">
        <f t="shared" si="1373"/>
        <v>NA</v>
      </c>
      <c r="BC422" s="202">
        <v>0</v>
      </c>
      <c r="BD422" s="81" t="str">
        <f t="shared" si="1373"/>
        <v>NA</v>
      </c>
      <c r="BE422" s="202">
        <v>0</v>
      </c>
      <c r="BF422" s="81" t="str">
        <f t="shared" ref="BF422:BF436" si="1374">IF(ISERROR((BE422/AW422-1)*100),"NA",IF(((BE422/AW422-1)*100)&gt;100,"NM",IF(((BE422/AW422-1)*100)&lt;-50,"NM",(BE422/AW422-1)*100)))</f>
        <v>NA</v>
      </c>
      <c r="BG422" s="202">
        <v>0</v>
      </c>
      <c r="BH422" s="81" t="str">
        <f t="shared" ref="BH422:BH436" si="1375">IF(ISERROR((BG422/AY422-1)*100),"NA",IF(((BG422/AY422-1)*100)&gt;100,"NM",IF(((BG422/AY422-1)*100)&lt;-50,"NM",(BG422/AY422-1)*100)))</f>
        <v>NA</v>
      </c>
      <c r="BI422" s="202">
        <v>0</v>
      </c>
      <c r="BJ422" s="81" t="str">
        <f t="shared" ref="BJ422:BJ436" si="1376">IF(ISERROR((BI422/BA422-1)*100),"NA",IF(((BI422/BA422-1)*100)&gt;100,"NM",IF(((BI422/BA422-1)*100)&lt;-50,"NM",(BI422/BA422-1)*100)))</f>
        <v>NA</v>
      </c>
      <c r="BK422" s="202">
        <v>0</v>
      </c>
      <c r="BL422" s="81" t="str">
        <f t="shared" ref="BL422:BL436" si="1377">IF(ISERROR((BK422/BC422-1)*100),"NA",IF(((BK422/BC422-1)*100)&gt;100,"NM",IF(((BK422/BC422-1)*100)&lt;-50,"NM",(BK422/BC422-1)*100)))</f>
        <v>NA</v>
      </c>
      <c r="BM422" s="202">
        <v>0</v>
      </c>
      <c r="BN422" s="81" t="str">
        <f t="shared" ref="BN422:BN436" si="1378">IF(ISERROR((BM422/BE422-1)*100),"NA",IF(((BM422/BE422-1)*100)&gt;100,"NM",IF(((BM422/BE422-1)*100)&lt;-50,"NM",(BM422/BE422-1)*100)))</f>
        <v>NA</v>
      </c>
      <c r="BO422" s="202">
        <v>0</v>
      </c>
      <c r="BP422" s="81" t="str">
        <f t="shared" ref="BP422:BP436" si="1379">IF(ISERROR((BO422/BG422-1)*100),"NA",IF(((BO422/BG422-1)*100)&gt;100,"NM",IF(((BO422/BG422-1)*100)&lt;-50,"NM",(BO422/BG422-1)*100)))</f>
        <v>NA</v>
      </c>
      <c r="BQ422" s="131">
        <v>0</v>
      </c>
      <c r="BR422" s="81" t="str">
        <f t="shared" ref="BR422:BR436" si="1380">IF(ISERROR((BQ422/BI422-1)*100),"NA",IF(((BQ422/BI422-1)*100)&gt;100,"NM",IF(((BQ422/BI422-1)*100)&lt;-50,"NM",(BQ422/BI422-1)*100)))</f>
        <v>NA</v>
      </c>
      <c r="BS422" s="131">
        <v>0</v>
      </c>
      <c r="BT422" s="81" t="str">
        <f t="shared" ref="BT422:BT436" si="1381">IF(ISERROR((BS422/BK422-1)*100),"NA",IF(((BS422/BK422-1)*100)&gt;100,"NM",IF(((BS422/BK422-1)*100)&lt;-50,"NM",(BS422/BK422-1)*100)))</f>
        <v>NA</v>
      </c>
      <c r="BU422" s="131">
        <v>0</v>
      </c>
      <c r="BV422" s="81" t="str">
        <f t="shared" ref="BV422:BV436" si="1382">IF(ISERROR((BU422/BM422-1)*100),"NA",IF(((BU422/BM422-1)*100)&gt;100,"NM",IF(((BU422/BM422-1)*100)&lt;-50,"NM",(BU422/BM422-1)*100)))</f>
        <v>NA</v>
      </c>
      <c r="BW422" s="131">
        <v>0</v>
      </c>
      <c r="BX422" s="81" t="str">
        <f t="shared" ref="BX422:BX436" si="1383">IF(ISERROR((BW422/BO422-1)*100),"NA",IF(((BW422/BO422-1)*100)&gt;100,"NM",IF(((BW422/BO422-1)*100)&lt;-50,"NM",(BW422/BO422-1)*100)))</f>
        <v>NA</v>
      </c>
      <c r="BY422" s="131">
        <v>0</v>
      </c>
      <c r="BZ422" s="81" t="str">
        <f t="shared" ref="BZ422:BZ436" si="1384">IF(ISERROR((BY422/BQ422-1)*100),"NA",IF(((BY422/BQ422-1)*100)&gt;100,"NM",IF(((BY422/BQ422-1)*100)&lt;-50,"NM",(BY422/BQ422-1)*100)))</f>
        <v>NA</v>
      </c>
      <c r="CA422" s="131">
        <v>0</v>
      </c>
      <c r="CB422" s="81" t="str">
        <f t="shared" ref="CB422:CB436" si="1385">IF(ISERROR((CA422/BS422-1)*100),"NA",IF(((CA422/BS422-1)*100)&gt;100,"NM",IF(((CA422/BS422-1)*100)&lt;-50,"NM",(CA422/BS422-1)*100)))</f>
        <v>NA</v>
      </c>
      <c r="CC422" s="131">
        <v>0</v>
      </c>
      <c r="CD422" s="81" t="str">
        <f t="shared" ref="CD422:CD436" si="1386">IF(ISERROR((CC422/BU422-1)*100),"NA",IF(((CC422/BU422-1)*100)&gt;100,"NM",IF(((CC422/BU422-1)*100)&lt;-50,"NM",(CC422/BU422-1)*100)))</f>
        <v>NA</v>
      </c>
      <c r="CE422" s="131">
        <v>0</v>
      </c>
      <c r="CF422" s="81" t="str">
        <f t="shared" ref="CF422:CF436" si="1387">IF(ISERROR((CE422/BW422-1)*100),"NA",IF(((CE422/BW422-1)*100)&gt;100,"NM",IF(((CE422/BW422-1)*100)&lt;-50,"NM",(CE422/BW422-1)*100)))</f>
        <v>NA</v>
      </c>
      <c r="CG422" s="131">
        <v>0</v>
      </c>
      <c r="CH422" s="81" t="str">
        <f t="shared" ref="CH422:CH436" si="1388">IF(ISERROR((CG422/BY422-1)*100),"NA",IF(((CG422/BY422-1)*100)&gt;100,"NM",IF(((CG422/BY422-1)*100)&lt;-50,"NM",(CG422/BY422-1)*100)))</f>
        <v>NA</v>
      </c>
      <c r="CI422" s="131">
        <v>0</v>
      </c>
      <c r="CJ422" s="81" t="str">
        <f t="shared" ref="CJ422:CJ436" si="1389">IF(ISERROR((CI422/CA422-1)*100),"NA",IF(((CI422/CA422-1)*100)&gt;100,"NM",IF(((CI422/CA422-1)*100)&lt;-50,"NM",(CI422/CA422-1)*100)))</f>
        <v>NA</v>
      </c>
      <c r="CK422" s="131">
        <v>0</v>
      </c>
      <c r="CL422" s="81" t="str">
        <f t="shared" ref="CL422:CL436" si="1390">IF(ISERROR((CK422/CC422-1)*100),"NA",IF(((CK422/CC422-1)*100)&gt;100,"NM",IF(((CK422/CC422-1)*100)&lt;-50,"NM",(CK422/CC422-1)*100)))</f>
        <v>NA</v>
      </c>
      <c r="CM422" s="131">
        <v>0</v>
      </c>
      <c r="CN422" s="81" t="str">
        <f t="shared" ref="CN422:CN436" si="1391">IF(ISERROR((CM422/CE422-1)*100),"NA",IF(((CM422/CE422-1)*100)&gt;100,"NM",IF(((CM422/CE422-1)*100)&lt;-50,"NM",(CM422/CE422-1)*100)))</f>
        <v>NA</v>
      </c>
      <c r="CO422" s="131">
        <v>0</v>
      </c>
      <c r="CP422" s="81" t="str">
        <f t="shared" ref="CP422:CP436" si="1392">IF(ISERROR((CO422/CG422-1)*100),"NA",IF(((CO422/CG422-1)*100)&gt;100,"NM",IF(((CO422/CG422-1)*100)&lt;-50,"NM",(CO422/CG422-1)*100)))</f>
        <v>NA</v>
      </c>
      <c r="CQ422" s="131">
        <v>0</v>
      </c>
      <c r="CR422" s="81" t="str">
        <f t="shared" ref="CR422:CR436" si="1393">IF(ISERROR((CQ422/CI422-1)*100),"NA",IF(((CQ422/CI422-1)*100)&gt;100,"NM",IF(((CQ422/CI422-1)*100)&lt;-50,"NM",(CQ422/CI422-1)*100)))</f>
        <v>NA</v>
      </c>
      <c r="CS422" s="131">
        <v>0</v>
      </c>
      <c r="CT422" s="81" t="str">
        <f t="shared" ref="CT422:CT436" si="1394">IF(ISERROR((CS422/CK422-1)*100),"NA",IF(((CS422/CK422-1)*100)&gt;100,"NM",IF(((CS422/CK422-1)*100)&lt;-50,"NM",(CS422/CK422-1)*100)))</f>
        <v>NA</v>
      </c>
      <c r="CU422" s="131">
        <v>0</v>
      </c>
      <c r="CV422" s="81" t="str">
        <f t="shared" ref="CV422:CV436" si="1395">IF(ISERROR((CU422/CM422-1)*100),"NA",IF(((CU422/CM422-1)*100)&gt;100,"NM",IF(((CU422/CM422-1)*100)&lt;-50,"NM",(CU422/CM422-1)*100)))</f>
        <v>NA</v>
      </c>
      <c r="CW422" s="131">
        <v>0</v>
      </c>
      <c r="CX422" s="81" t="str">
        <f t="shared" ref="CX422:CX436" si="1396">IF(ISERROR((CW422/CO422-1)*100),"NA",IF(((CW422/CO422-1)*100)&gt;100,"NM",IF(((CW422/CO422-1)*100)&lt;-50,"NM",(CW422/CO422-1)*100)))</f>
        <v>NA</v>
      </c>
      <c r="CY422" s="131">
        <v>0</v>
      </c>
      <c r="CZ422" s="81" t="str">
        <f t="shared" ref="CZ422:CZ436" si="1397">IF(ISERROR((CY422/CQ422-1)*100),"NA",IF(((CY422/CQ422-1)*100)&gt;100,"NM",IF(((CY422/CQ422-1)*100)&lt;-50,"NM",(CY422/CQ422-1)*100)))</f>
        <v>NA</v>
      </c>
      <c r="DA422" s="131">
        <v>0</v>
      </c>
      <c r="DB422" s="81" t="str">
        <f t="shared" ref="DB422:DB436" si="1398">IF(ISERROR((DA422/CS422-1)*100),"NA",IF(((DA422/CS422-1)*100)&gt;100,"NM",IF(((DA422/CS422-1)*100)&lt;-50,"NM",(DA422/CS422-1)*100)))</f>
        <v>NA</v>
      </c>
      <c r="DC422" s="131">
        <v>0</v>
      </c>
      <c r="DD422" s="81" t="str">
        <f t="shared" ref="DD422:DD436" si="1399">IF(ISERROR((DC422/CU422-1)*100),"NA",IF(((DC422/CU422-1)*100)&gt;100,"NM",IF(((DC422/CU422-1)*100)&lt;-50,"NM",(DC422/CU422-1)*100)))</f>
        <v>NA</v>
      </c>
      <c r="DE422" s="131">
        <v>0</v>
      </c>
      <c r="DF422" s="81" t="str">
        <f t="shared" ref="DF422:DF436" si="1400">IF(ISERROR((DE422/CW422-1)*100),"NA",IF(((DE422/CW422-1)*100)&gt;100,"NM",IF(((DE422/CW422-1)*100)&lt;-50,"NM",(DE422/CW422-1)*100)))</f>
        <v>NA</v>
      </c>
      <c r="DG422" s="131">
        <v>0</v>
      </c>
      <c r="DH422" s="81" t="str">
        <f t="shared" ref="DH422:DH436" si="1401">IF(ISERROR((DG422/CY422-1)*100),"NA",IF(((DG422/CY422-1)*100)&gt;100,"NM",IF(((DG422/CY422-1)*100)&lt;-50,"NM",(DG422/CY422-1)*100)))</f>
        <v>NA</v>
      </c>
      <c r="DI422" s="131">
        <v>0</v>
      </c>
      <c r="DJ422" s="81" t="str">
        <f t="shared" ref="DJ422:DJ436" si="1402">IF(ISERROR((DI422/DA422-1)*100),"NA",IF(((DI422/DA422-1)*100)&gt;100,"NM",IF(((DI422/DA422-1)*100)&lt;-50,"NM",(DI422/DA422-1)*100)))</f>
        <v>NA</v>
      </c>
      <c r="DK422" s="131">
        <v>0</v>
      </c>
      <c r="DL422" s="81" t="str">
        <f t="shared" ref="DL422:DL436" si="1403">IF(ISERROR((DK422/DC422-1)*100),"NA",IF(((DK422/DC422-1)*100)&gt;100,"NM",IF(((DK422/DC422-1)*100)&lt;-50,"NM",(DK422/DC422-1)*100)))</f>
        <v>NA</v>
      </c>
      <c r="DM422" s="131">
        <v>0</v>
      </c>
      <c r="DN422" s="81" t="str">
        <f t="shared" ref="DN422:DP436" si="1404">IF(ISERROR((DM422/DE422-1)*100),"NA",IF(((DM422/DE422-1)*100)&gt;100,"NM",IF(((DM422/DE422-1)*100)&lt;-50,"NM",(DM422/DE422-1)*100)))</f>
        <v>NA</v>
      </c>
      <c r="DO422" s="131">
        <v>0</v>
      </c>
      <c r="DP422" s="81" t="str">
        <f t="shared" si="1404"/>
        <v>NA</v>
      </c>
      <c r="DQ422" s="131">
        <v>0</v>
      </c>
      <c r="DR422" s="81" t="str">
        <f t="shared" ref="DR422:DR436" si="1405">IF(ISERROR((DQ422/DI422-1)*100),"NA",IF(((DQ422/DI422-1)*100)&gt;100,"NM",IF(((DQ422/DI422-1)*100)&lt;-50,"NM",(DQ422/DI422-1)*100)))</f>
        <v>NA</v>
      </c>
      <c r="DS422" s="131">
        <v>0</v>
      </c>
      <c r="DT422" s="81" t="str">
        <f t="shared" ref="DT422:DT436" si="1406">IF(ISERROR((DS422/DK422-1)*100),"NA",IF(((DS422/DK422-1)*100)&gt;100,"NM",IF(((DS422/DK422-1)*100)&lt;-50,"NM",(DS422/DK422-1)*100)))</f>
        <v>NA</v>
      </c>
      <c r="DU422" s="131">
        <v>0</v>
      </c>
      <c r="DV422" s="81" t="str">
        <f t="shared" ref="DV422:DV436" si="1407">IF(ISERROR((DU422/DM422-1)*100),"NA",IF(((DU422/DM422-1)*100)&gt;100,"NM",IF(((DU422/DM422-1)*100)&lt;-50,"NM",(DU422/DM422-1)*100)))</f>
        <v>NA</v>
      </c>
      <c r="DW422" s="131">
        <v>0</v>
      </c>
      <c r="DX422" s="81" t="str">
        <f t="shared" ref="DX422:DX436" si="1408">IF(ISERROR((DW422/DO422-1)*100),"NA",IF(((DW422/DO422-1)*100)&gt;100,"NM",IF(((DW422/DO422-1)*100)&lt;-50,"NM",(DW422/DO422-1)*100)))</f>
        <v>NA</v>
      </c>
      <c r="DY422" s="131">
        <v>0</v>
      </c>
      <c r="DZ422" s="81" t="str">
        <f t="shared" ref="DZ422:DZ436" si="1409">IF(ISERROR((DY422/DQ422-1)*100),"NA",IF(((DY422/DQ422-1)*100)&gt;100,"NM",IF(((DY422/DQ422-1)*100)&lt;-50,"NM",(DY422/DQ422-1)*100)))</f>
        <v>NA</v>
      </c>
      <c r="EA422" s="131">
        <v>0</v>
      </c>
      <c r="EB422" s="81" t="str">
        <f t="shared" ref="EB422:EB436" si="1410">IF(ISERROR((EA422/DS422-1)*100),"NA",IF(((EA422/DS422-1)*100)&gt;100,"NM",IF(((EA422/DS422-1)*100)&lt;-50,"NM",(EA422/DS422-1)*100)))</f>
        <v>NA</v>
      </c>
      <c r="EC422" s="131">
        <v>0</v>
      </c>
      <c r="ED422" s="81" t="str">
        <f t="shared" ref="ED422:ED436" si="1411">IF(ISERROR((EC422/DU422-1)*100),"NA",IF(((EC422/DU422-1)*100)&gt;100,"NM",IF(((EC422/DU422-1)*100)&lt;-50,"NM",(EC422/DU422-1)*100)))</f>
        <v>NA</v>
      </c>
      <c r="EE422" s="131">
        <v>0</v>
      </c>
      <c r="EF422" s="81" t="str">
        <f t="shared" ref="EF422:EF436" si="1412">IF(ISERROR((EE422/DW422-1)*100),"NA",IF(((EE422/DW422-1)*100)&gt;100,"NM",IF(((EE422/DW422-1)*100)&lt;-50,"NM",(EE422/DW422-1)*100)))</f>
        <v>NA</v>
      </c>
      <c r="EG422" s="131">
        <v>0</v>
      </c>
      <c r="EH422" s="81" t="str">
        <f t="shared" ref="EH422:EH436" si="1413">IF(ISERROR((EG422/DY422-1)*100),"NA",IF(((EG422/DY422-1)*100)&gt;100,"NM",IF(((EG422/DY422-1)*100)&lt;-50,"NM",(EG422/DY422-1)*100)))</f>
        <v>NA</v>
      </c>
      <c r="EI422" s="131">
        <v>0</v>
      </c>
      <c r="EJ422" s="81" t="str">
        <f t="shared" ref="EJ422:EJ436" si="1414">IF(ISERROR((EI422/EA422-1)*100),"NA",IF(((EI422/EA422-1)*100)&gt;100,"NM",IF(((EI422/EA422-1)*100)&lt;-50,"NM",(EI422/EA422-1)*100)))</f>
        <v>NA</v>
      </c>
      <c r="EK422" s="131">
        <v>0</v>
      </c>
      <c r="EL422" s="81" t="str">
        <f t="shared" ref="EL422:EL436" si="1415">IF(ISERROR((EK422/EC422-1)*100),"NA",IF(((EK422/EC422-1)*100)&gt;100,"NM",IF(((EK422/EC422-1)*100)&lt;-50,"NM",(EK422/EC422-1)*100)))</f>
        <v>NA</v>
      </c>
      <c r="EM422" s="131">
        <v>0</v>
      </c>
      <c r="EN422" s="81" t="str">
        <f t="shared" ref="EN422:EN436" si="1416">IF(ISERROR((EM422/EE422-1)*100),"NA",IF(((EM422/EE422-1)*100)&gt;100,"NM",IF(((EM422/EE422-1)*100)&lt;-50,"NM",(EM422/EE422-1)*100)))</f>
        <v>NA</v>
      </c>
      <c r="EO422" s="131">
        <v>0</v>
      </c>
      <c r="EP422" s="81" t="str">
        <f t="shared" ref="EP422:EP436" si="1417">IF(ISERROR((EO422/EG422-1)*100),"NA",IF(((EO422/EG422-1)*100)&gt;100,"NM",IF(((EO422/EG422-1)*100)&lt;-50,"NM",(EO422/EG422-1)*100)))</f>
        <v>NA</v>
      </c>
      <c r="EQ422" s="131">
        <v>0</v>
      </c>
      <c r="ER422" s="81" t="str">
        <f t="shared" ref="ER422:ER436" si="1418">IF(ISERROR((EQ422/EI422-1)*100),"NA",IF(((EQ422/EI422-1)*100)&gt;100,"NM",IF(((EQ422/EI422-1)*100)&lt;-50,"NM",(EQ422/EI422-1)*100)))</f>
        <v>NA</v>
      </c>
      <c r="ES422" s="82"/>
      <c r="ET422" s="469"/>
      <c r="EU422" s="82"/>
      <c r="EV422" s="131"/>
      <c r="EW422" s="79"/>
      <c r="EX422" s="131"/>
      <c r="EY422" s="79"/>
      <c r="EZ422" s="145"/>
      <c r="FA422" s="79"/>
      <c r="FB422" s="145">
        <f t="shared" ref="FB422:FB432" si="1419">+Q422+O422+M422+K422</f>
        <v>0</v>
      </c>
      <c r="FC422" s="79" t="str">
        <f t="shared" ref="FC422:FC436" si="1420">IF(ISERROR((FB422/EZ422-1)*100),"NA",IF(((FB422/EZ422-1)*100)&gt;100,"NM",IF(((FB422/EZ422-1)*100)&lt;-50,"NM",(FB422/EZ422-1)*100)))</f>
        <v>NA</v>
      </c>
      <c r="FD422" s="145">
        <f t="shared" ref="FD422:FD432" si="1421">+S422+Q422+O422+M422</f>
        <v>0</v>
      </c>
      <c r="FE422" s="79" t="str">
        <f t="shared" ref="FE422:FE436" si="1422">IF(ISERROR((FD422/FB422-1)*100),"NA",IF(((FD422/FB422-1)*100)&gt;100,"NM",IF(((FD422/FB422-1)*100)&lt;-50,"NM",(FD422/FB422-1)*100)))</f>
        <v>NA</v>
      </c>
      <c r="FF422" s="145">
        <f t="shared" ref="FF422:FF435" si="1423">+AA422+Y422+W422+U422</f>
        <v>0</v>
      </c>
      <c r="FG422" s="79" t="str">
        <f t="shared" ref="FG422:FG436" si="1424">IF(ISERROR((FF422/FD422-1)*100),"NA",IF(((FF422/FD422-1)*100)&gt;100,"NM",IF(((FF422/FD422-1)*100)&lt;-50,"NM",(FF422/FD422-1)*100)))</f>
        <v>NA</v>
      </c>
      <c r="FH422" s="145">
        <f t="shared" ref="FH422:FH435" si="1425">+AI422+AG422+AE422+AC422</f>
        <v>0</v>
      </c>
      <c r="FI422" s="79" t="str">
        <f t="shared" ref="FI422:GQ436" si="1426">IF(ISERROR((FH422/FF422-1)*100),"NA",IF(((FH422/FF422-1)*100)&gt;100,"NM",IF(((FH422/FF422-1)*100)&lt;-50,"NM",(FH422/FF422-1)*100)))</f>
        <v>NA</v>
      </c>
      <c r="FJ422" s="145">
        <f t="shared" ref="FJ422:FJ435" si="1427">+AQ422+AO422+AM422+AK422</f>
        <v>0</v>
      </c>
      <c r="FK422" s="79" t="str">
        <f t="shared" si="1426"/>
        <v>NA</v>
      </c>
      <c r="FL422" s="145">
        <f t="shared" ref="FL422:FL435" si="1428">AS422+AU422+AW422+AY422</f>
        <v>0</v>
      </c>
      <c r="FM422" s="79" t="str">
        <f t="shared" si="1426"/>
        <v>NA</v>
      </c>
      <c r="FN422" s="145">
        <f t="shared" ref="FN422:FN435" si="1429">BA422+BC422+BE422+BG422</f>
        <v>0</v>
      </c>
      <c r="FO422" s="79" t="str">
        <f t="shared" si="1426"/>
        <v>NA</v>
      </c>
      <c r="FP422" s="145">
        <f t="shared" ref="FP422:FP435" si="1430">BI422+BK422+BM422+BO422</f>
        <v>0</v>
      </c>
      <c r="FQ422" s="79" t="str">
        <f t="shared" si="1426"/>
        <v>NA</v>
      </c>
      <c r="FR422" s="145">
        <f t="shared" ref="FR422:FR431" si="1431">BQ422+BS422+BU422+BW422</f>
        <v>0</v>
      </c>
      <c r="FS422" s="79" t="str">
        <f t="shared" si="1426"/>
        <v>NA</v>
      </c>
      <c r="FT422" s="145">
        <f t="shared" ref="FT422:FT432" si="1432">BY422+CA422+CC422+CE422</f>
        <v>0</v>
      </c>
      <c r="FU422" s="79" t="str">
        <f t="shared" si="1426"/>
        <v>NA</v>
      </c>
      <c r="FV422" s="145">
        <f t="shared" ref="FV422:FV432" si="1433">CG422+CI422+CK422+CM422</f>
        <v>0</v>
      </c>
      <c r="FW422" s="79" t="str">
        <f t="shared" si="1426"/>
        <v>NA</v>
      </c>
      <c r="FX422" s="145">
        <f t="shared" ref="FX422:FX431" si="1434">CO422+CQ422+CS422+CU422</f>
        <v>0</v>
      </c>
      <c r="FY422" s="79" t="str">
        <f t="shared" si="1426"/>
        <v>NA</v>
      </c>
      <c r="FZ422" s="145">
        <f t="shared" ref="FZ422:FZ431" si="1435">CW422+CY422+DA422+DC422</f>
        <v>0</v>
      </c>
      <c r="GA422" s="79" t="str">
        <f t="shared" si="1426"/>
        <v>NA</v>
      </c>
      <c r="GB422" s="145">
        <f t="shared" ref="GB422:GB431" si="1436">DE422+DG422+DI422+DK422</f>
        <v>0</v>
      </c>
      <c r="GC422" s="79" t="str">
        <f t="shared" si="1426"/>
        <v>NA</v>
      </c>
      <c r="GD422" s="145">
        <f t="shared" ref="GD422:GD431" si="1437">DM422+DO422+DQ422+DS422</f>
        <v>0</v>
      </c>
      <c r="GE422" s="79" t="str">
        <f t="shared" si="1426"/>
        <v>NA</v>
      </c>
      <c r="GF422" s="145">
        <f t="shared" ref="GF422:GF431" si="1438">DU422+DW422+DY422+EA422</f>
        <v>0</v>
      </c>
      <c r="GG422" s="79" t="str">
        <f t="shared" si="1426"/>
        <v>NA</v>
      </c>
      <c r="GH422" s="145">
        <f t="shared" ref="GH422:GH431" si="1439">EC422+EE422+EG422+EI422</f>
        <v>0</v>
      </c>
      <c r="GI422" s="79" t="str">
        <f t="shared" si="1426"/>
        <v>NA</v>
      </c>
      <c r="GJ422" s="145">
        <f t="shared" ref="GJ422:GJ431" si="1440">EK422+EM422+EO422+EQ422</f>
        <v>0</v>
      </c>
      <c r="GK422" s="79" t="str">
        <f t="shared" si="1426"/>
        <v>NA</v>
      </c>
      <c r="GL422" s="131">
        <v>0</v>
      </c>
      <c r="GM422" s="79" t="str">
        <f t="shared" si="1426"/>
        <v>NA</v>
      </c>
      <c r="GN422" s="131">
        <v>0</v>
      </c>
      <c r="GO422" s="79" t="str">
        <f t="shared" si="1426"/>
        <v>NA</v>
      </c>
      <c r="GP422" s="131">
        <v>0</v>
      </c>
      <c r="GQ422" s="79" t="str">
        <f t="shared" si="1426"/>
        <v>NA</v>
      </c>
      <c r="GR422" s="131">
        <v>0</v>
      </c>
      <c r="GS422" s="79" t="str">
        <f t="shared" ref="GS422:GS436" si="1441">IF(ISERROR((GR422/GP422-1)*100),"NA",IF(((GR422/GP422-1)*100)&gt;100,"NM",IF(((GR422/GP422-1)*100)&lt;-50,"NM",(GR422/GP422-1)*100)))</f>
        <v>NA</v>
      </c>
      <c r="GT422" s="79" t="str">
        <f t="shared" ref="GT422:GT431" si="1442">IF(ISERROR(((GR422/GH422)^0.2-1)*100),"NA",(IF(OR(((GR422/GH422)^0.2-1)*100&gt;99,((GR422/GH422)^0.2-1)*100&lt;-50),"NM",(((GR422/GH422)^0.2-1)*100))))</f>
        <v>NA</v>
      </c>
      <c r="GU422" s="562"/>
      <c r="GV422" s="562"/>
      <c r="GW422"/>
      <c r="GX422"/>
      <c r="GY422"/>
      <c r="GZ422"/>
      <c r="HA422"/>
      <c r="HB422"/>
      <c r="HC422" s="562"/>
      <c r="HD422" s="562"/>
      <c r="HE422" s="562"/>
      <c r="HF422" s="562"/>
      <c r="HG422" s="562"/>
      <c r="HH422" s="562"/>
      <c r="HI422" s="562"/>
      <c r="HJ422" s="562"/>
      <c r="HK422" s="562"/>
      <c r="HL422" s="562"/>
      <c r="HM422" s="562"/>
      <c r="HN422" s="562"/>
      <c r="HO422" s="562"/>
      <c r="HP422" s="562"/>
      <c r="HQ422" s="562"/>
      <c r="HR422" s="562"/>
      <c r="HS422" s="562"/>
      <c r="HT422" s="562"/>
      <c r="HU422" s="562"/>
      <c r="HV422" s="562"/>
      <c r="HW422" s="562"/>
      <c r="HX422" s="562"/>
      <c r="HY422" s="562"/>
      <c r="HZ422" s="562"/>
      <c r="IA422" s="562"/>
      <c r="IB422" s="562"/>
      <c r="IC422" s="562"/>
      <c r="ID422" s="562"/>
      <c r="IE422" s="562"/>
      <c r="IF422" s="562"/>
      <c r="IG422" s="562"/>
      <c r="IH422" s="562"/>
      <c r="II422" s="562"/>
      <c r="IJ422" s="562"/>
      <c r="IK422" s="562"/>
      <c r="IL422" s="562"/>
      <c r="IM422" s="562"/>
      <c r="IN422" s="562"/>
      <c r="IO422" s="562"/>
      <c r="IP422" s="562"/>
      <c r="IQ422" s="562"/>
      <c r="IR422" s="562"/>
      <c r="IS422" s="562"/>
      <c r="IT422" s="562"/>
      <c r="IU422" s="562"/>
      <c r="IV422" s="562"/>
      <c r="IW422" s="562"/>
      <c r="IX422" s="562"/>
      <c r="IY422" s="562"/>
      <c r="IZ422" s="562"/>
      <c r="JA422" s="562"/>
      <c r="JB422" s="562"/>
      <c r="JC422" s="562"/>
      <c r="JD422" s="562"/>
      <c r="JE422" s="562"/>
      <c r="JF422" s="562"/>
      <c r="JG422" s="562"/>
      <c r="JH422" s="562"/>
      <c r="JI422" s="562"/>
      <c r="JJ422" s="562"/>
      <c r="JK422" s="562"/>
      <c r="JL422" s="562"/>
      <c r="JM422" s="562"/>
      <c r="JN422" s="562"/>
      <c r="JO422" s="562"/>
      <c r="JP422" s="562"/>
      <c r="JQ422" s="562"/>
      <c r="JR422" s="562"/>
      <c r="JS422" s="562"/>
      <c r="JT422" s="562"/>
      <c r="JU422" s="562"/>
      <c r="JV422" s="562"/>
      <c r="JW422" s="562"/>
      <c r="JX422" s="562"/>
      <c r="JY422" s="562"/>
      <c r="JZ422" s="562"/>
    </row>
    <row r="423" spans="1:286" s="249" customFormat="1" ht="12.75" hidden="1" customHeight="1" outlineLevel="1" x14ac:dyDescent="0.2">
      <c r="A423" s="248"/>
      <c r="B423" s="2" t="s">
        <v>388</v>
      </c>
      <c r="C423" s="79"/>
      <c r="D423" s="79"/>
      <c r="E423" s="131">
        <v>0</v>
      </c>
      <c r="F423" s="131"/>
      <c r="G423" s="131">
        <v>0</v>
      </c>
      <c r="H423" s="131"/>
      <c r="I423" s="131">
        <v>0</v>
      </c>
      <c r="J423" s="131"/>
      <c r="K423" s="131">
        <v>0</v>
      </c>
      <c r="L423" s="79"/>
      <c r="M423" s="131">
        <v>0</v>
      </c>
      <c r="N423" s="79" t="str">
        <f t="shared" si="1364"/>
        <v>NA</v>
      </c>
      <c r="O423" s="131">
        <v>0</v>
      </c>
      <c r="P423" s="79" t="str">
        <f t="shared" si="1364"/>
        <v>NA</v>
      </c>
      <c r="Q423" s="131">
        <v>0</v>
      </c>
      <c r="R423" s="79" t="str">
        <f t="shared" si="1364"/>
        <v>NA</v>
      </c>
      <c r="S423" s="131">
        <v>0</v>
      </c>
      <c r="T423" s="79" t="str">
        <f t="shared" si="1364"/>
        <v>NA</v>
      </c>
      <c r="U423" s="131">
        <v>0</v>
      </c>
      <c r="V423" s="79" t="str">
        <f t="shared" si="1364"/>
        <v>NA</v>
      </c>
      <c r="W423" s="131">
        <v>0</v>
      </c>
      <c r="X423" s="79" t="str">
        <f t="shared" si="1365"/>
        <v>NA</v>
      </c>
      <c r="Y423" s="131">
        <v>0</v>
      </c>
      <c r="Z423" s="79" t="str">
        <f t="shared" si="1366"/>
        <v>NA</v>
      </c>
      <c r="AA423" s="126">
        <v>0</v>
      </c>
      <c r="AB423" s="79" t="str">
        <f t="shared" si="1367"/>
        <v>NA</v>
      </c>
      <c r="AC423" s="131">
        <v>0</v>
      </c>
      <c r="AD423" s="79" t="str">
        <f t="shared" si="1368"/>
        <v>NA</v>
      </c>
      <c r="AE423" s="131">
        <v>0</v>
      </c>
      <c r="AF423" s="79" t="str">
        <f t="shared" si="1369"/>
        <v>NA</v>
      </c>
      <c r="AG423" s="131">
        <v>0</v>
      </c>
      <c r="AH423" s="79" t="str">
        <f t="shared" si="1370"/>
        <v>NA</v>
      </c>
      <c r="AI423" s="131">
        <v>0</v>
      </c>
      <c r="AJ423" s="79" t="str">
        <f t="shared" si="1371"/>
        <v>NA</v>
      </c>
      <c r="AK423" s="131">
        <v>0</v>
      </c>
      <c r="AL423" s="79" t="str">
        <f t="shared" si="1372"/>
        <v>NA</v>
      </c>
      <c r="AM423" s="131">
        <v>0</v>
      </c>
      <c r="AN423" s="79" t="str">
        <f t="shared" si="1373"/>
        <v>NA</v>
      </c>
      <c r="AO423" s="131">
        <v>0</v>
      </c>
      <c r="AP423" s="79" t="str">
        <f t="shared" si="1373"/>
        <v>NA</v>
      </c>
      <c r="AQ423" s="202">
        <v>0</v>
      </c>
      <c r="AR423" s="79" t="str">
        <f t="shared" si="1373"/>
        <v>NA</v>
      </c>
      <c r="AS423" s="202">
        <v>0</v>
      </c>
      <c r="AT423" s="81" t="str">
        <f t="shared" si="1373"/>
        <v>NA</v>
      </c>
      <c r="AU423" s="202">
        <v>0</v>
      </c>
      <c r="AV423" s="81" t="str">
        <f t="shared" si="1373"/>
        <v>NA</v>
      </c>
      <c r="AW423" s="202">
        <v>0</v>
      </c>
      <c r="AX423" s="81" t="str">
        <f t="shared" si="1373"/>
        <v>NA</v>
      </c>
      <c r="AY423" s="202">
        <v>0</v>
      </c>
      <c r="AZ423" s="81" t="str">
        <f t="shared" si="1373"/>
        <v>NA</v>
      </c>
      <c r="BA423" s="202">
        <v>0</v>
      </c>
      <c r="BB423" s="81" t="str">
        <f t="shared" si="1373"/>
        <v>NA</v>
      </c>
      <c r="BC423" s="202">
        <v>0</v>
      </c>
      <c r="BD423" s="81" t="str">
        <f t="shared" si="1373"/>
        <v>NA</v>
      </c>
      <c r="BE423" s="202">
        <v>0</v>
      </c>
      <c r="BF423" s="81" t="str">
        <f t="shared" si="1374"/>
        <v>NA</v>
      </c>
      <c r="BG423" s="202">
        <v>0</v>
      </c>
      <c r="BH423" s="81" t="str">
        <f t="shared" si="1375"/>
        <v>NA</v>
      </c>
      <c r="BI423" s="202">
        <v>0</v>
      </c>
      <c r="BJ423" s="81" t="str">
        <f t="shared" si="1376"/>
        <v>NA</v>
      </c>
      <c r="BK423" s="202">
        <v>0</v>
      </c>
      <c r="BL423" s="81" t="str">
        <f t="shared" si="1377"/>
        <v>NA</v>
      </c>
      <c r="BM423" s="202">
        <v>0</v>
      </c>
      <c r="BN423" s="81" t="str">
        <f t="shared" si="1378"/>
        <v>NA</v>
      </c>
      <c r="BO423" s="202">
        <v>0</v>
      </c>
      <c r="BP423" s="81" t="str">
        <f t="shared" si="1379"/>
        <v>NA</v>
      </c>
      <c r="BQ423" s="131">
        <v>0</v>
      </c>
      <c r="BR423" s="81" t="str">
        <f t="shared" si="1380"/>
        <v>NA</v>
      </c>
      <c r="BS423" s="131">
        <v>0</v>
      </c>
      <c r="BT423" s="81" t="str">
        <f t="shared" si="1381"/>
        <v>NA</v>
      </c>
      <c r="BU423" s="131">
        <v>0</v>
      </c>
      <c r="BV423" s="81" t="str">
        <f t="shared" si="1382"/>
        <v>NA</v>
      </c>
      <c r="BW423" s="131">
        <v>0</v>
      </c>
      <c r="BX423" s="81" t="str">
        <f t="shared" si="1383"/>
        <v>NA</v>
      </c>
      <c r="BY423" s="131">
        <v>0</v>
      </c>
      <c r="BZ423" s="81" t="str">
        <f t="shared" si="1384"/>
        <v>NA</v>
      </c>
      <c r="CA423" s="131">
        <v>0</v>
      </c>
      <c r="CB423" s="81" t="str">
        <f t="shared" si="1385"/>
        <v>NA</v>
      </c>
      <c r="CC423" s="131">
        <v>0</v>
      </c>
      <c r="CD423" s="81" t="str">
        <f t="shared" si="1386"/>
        <v>NA</v>
      </c>
      <c r="CE423" s="131">
        <v>0</v>
      </c>
      <c r="CF423" s="81" t="str">
        <f t="shared" si="1387"/>
        <v>NA</v>
      </c>
      <c r="CG423" s="131">
        <v>0</v>
      </c>
      <c r="CH423" s="81" t="str">
        <f t="shared" si="1388"/>
        <v>NA</v>
      </c>
      <c r="CI423" s="131">
        <v>0</v>
      </c>
      <c r="CJ423" s="81" t="str">
        <f t="shared" si="1389"/>
        <v>NA</v>
      </c>
      <c r="CK423" s="131">
        <v>0</v>
      </c>
      <c r="CL423" s="81" t="str">
        <f t="shared" si="1390"/>
        <v>NA</v>
      </c>
      <c r="CM423" s="131">
        <v>0</v>
      </c>
      <c r="CN423" s="81" t="str">
        <f t="shared" si="1391"/>
        <v>NA</v>
      </c>
      <c r="CO423" s="131">
        <v>0</v>
      </c>
      <c r="CP423" s="81" t="str">
        <f t="shared" si="1392"/>
        <v>NA</v>
      </c>
      <c r="CQ423" s="131">
        <v>0</v>
      </c>
      <c r="CR423" s="81" t="str">
        <f t="shared" si="1393"/>
        <v>NA</v>
      </c>
      <c r="CS423" s="131">
        <v>0</v>
      </c>
      <c r="CT423" s="81" t="str">
        <f t="shared" si="1394"/>
        <v>NA</v>
      </c>
      <c r="CU423" s="131">
        <v>0</v>
      </c>
      <c r="CV423" s="81" t="str">
        <f t="shared" si="1395"/>
        <v>NA</v>
      </c>
      <c r="CW423" s="131">
        <v>0</v>
      </c>
      <c r="CX423" s="81" t="str">
        <f t="shared" si="1396"/>
        <v>NA</v>
      </c>
      <c r="CY423" s="131">
        <v>0</v>
      </c>
      <c r="CZ423" s="81" t="str">
        <f t="shared" si="1397"/>
        <v>NA</v>
      </c>
      <c r="DA423" s="131">
        <v>0</v>
      </c>
      <c r="DB423" s="81" t="str">
        <f t="shared" si="1398"/>
        <v>NA</v>
      </c>
      <c r="DC423" s="131">
        <v>0</v>
      </c>
      <c r="DD423" s="81" t="str">
        <f t="shared" si="1399"/>
        <v>NA</v>
      </c>
      <c r="DE423" s="131">
        <v>0</v>
      </c>
      <c r="DF423" s="81" t="str">
        <f t="shared" si="1400"/>
        <v>NA</v>
      </c>
      <c r="DG423" s="131">
        <v>0</v>
      </c>
      <c r="DH423" s="81" t="str">
        <f t="shared" si="1401"/>
        <v>NA</v>
      </c>
      <c r="DI423" s="131">
        <v>0</v>
      </c>
      <c r="DJ423" s="81" t="str">
        <f t="shared" si="1402"/>
        <v>NA</v>
      </c>
      <c r="DK423" s="131">
        <v>0</v>
      </c>
      <c r="DL423" s="81" t="str">
        <f t="shared" si="1403"/>
        <v>NA</v>
      </c>
      <c r="DM423" s="131">
        <v>0</v>
      </c>
      <c r="DN423" s="81" t="str">
        <f t="shared" si="1404"/>
        <v>NA</v>
      </c>
      <c r="DO423" s="131">
        <v>0</v>
      </c>
      <c r="DP423" s="81" t="str">
        <f t="shared" si="1404"/>
        <v>NA</v>
      </c>
      <c r="DQ423" s="131">
        <v>0</v>
      </c>
      <c r="DR423" s="81" t="str">
        <f t="shared" si="1405"/>
        <v>NA</v>
      </c>
      <c r="DS423" s="131">
        <v>0</v>
      </c>
      <c r="DT423" s="81" t="str">
        <f t="shared" si="1406"/>
        <v>NA</v>
      </c>
      <c r="DU423" s="131">
        <v>0</v>
      </c>
      <c r="DV423" s="81" t="str">
        <f t="shared" si="1407"/>
        <v>NA</v>
      </c>
      <c r="DW423" s="131">
        <v>0</v>
      </c>
      <c r="DX423" s="81" t="str">
        <f t="shared" si="1408"/>
        <v>NA</v>
      </c>
      <c r="DY423" s="131">
        <v>0</v>
      </c>
      <c r="DZ423" s="81" t="str">
        <f t="shared" si="1409"/>
        <v>NA</v>
      </c>
      <c r="EA423" s="131">
        <v>0</v>
      </c>
      <c r="EB423" s="81" t="str">
        <f t="shared" si="1410"/>
        <v>NA</v>
      </c>
      <c r="EC423" s="131">
        <v>0</v>
      </c>
      <c r="ED423" s="81" t="str">
        <f t="shared" si="1411"/>
        <v>NA</v>
      </c>
      <c r="EE423" s="131">
        <v>0</v>
      </c>
      <c r="EF423" s="81" t="str">
        <f t="shared" si="1412"/>
        <v>NA</v>
      </c>
      <c r="EG423" s="131">
        <v>0</v>
      </c>
      <c r="EH423" s="81" t="str">
        <f t="shared" si="1413"/>
        <v>NA</v>
      </c>
      <c r="EI423" s="131">
        <v>0</v>
      </c>
      <c r="EJ423" s="81" t="str">
        <f t="shared" si="1414"/>
        <v>NA</v>
      </c>
      <c r="EK423" s="131">
        <v>0</v>
      </c>
      <c r="EL423" s="81" t="str">
        <f t="shared" si="1415"/>
        <v>NA</v>
      </c>
      <c r="EM423" s="131">
        <v>0</v>
      </c>
      <c r="EN423" s="81" t="str">
        <f t="shared" si="1416"/>
        <v>NA</v>
      </c>
      <c r="EO423" s="131">
        <v>0</v>
      </c>
      <c r="EP423" s="81" t="str">
        <f t="shared" si="1417"/>
        <v>NA</v>
      </c>
      <c r="EQ423" s="131">
        <v>0</v>
      </c>
      <c r="ER423" s="81" t="str">
        <f t="shared" si="1418"/>
        <v>NA</v>
      </c>
      <c r="ES423" s="82"/>
      <c r="ET423" s="469"/>
      <c r="EU423" s="82"/>
      <c r="EV423" s="131"/>
      <c r="EW423" s="79"/>
      <c r="EX423" s="131"/>
      <c r="EY423" s="79"/>
      <c r="EZ423" s="145"/>
      <c r="FA423" s="79"/>
      <c r="FB423" s="145">
        <f t="shared" si="1419"/>
        <v>0</v>
      </c>
      <c r="FC423" s="79" t="str">
        <f t="shared" si="1420"/>
        <v>NA</v>
      </c>
      <c r="FD423" s="145">
        <f t="shared" si="1421"/>
        <v>0</v>
      </c>
      <c r="FE423" s="79" t="str">
        <f t="shared" si="1422"/>
        <v>NA</v>
      </c>
      <c r="FF423" s="145">
        <f t="shared" si="1423"/>
        <v>0</v>
      </c>
      <c r="FG423" s="79" t="str">
        <f t="shared" si="1424"/>
        <v>NA</v>
      </c>
      <c r="FH423" s="145">
        <f t="shared" si="1425"/>
        <v>0</v>
      </c>
      <c r="FI423" s="79" t="str">
        <f t="shared" si="1426"/>
        <v>NA</v>
      </c>
      <c r="FJ423" s="145">
        <f t="shared" si="1427"/>
        <v>0</v>
      </c>
      <c r="FK423" s="79" t="str">
        <f t="shared" si="1426"/>
        <v>NA</v>
      </c>
      <c r="FL423" s="145">
        <f t="shared" si="1428"/>
        <v>0</v>
      </c>
      <c r="FM423" s="79" t="str">
        <f t="shared" si="1426"/>
        <v>NA</v>
      </c>
      <c r="FN423" s="145">
        <f t="shared" si="1429"/>
        <v>0</v>
      </c>
      <c r="FO423" s="79" t="str">
        <f t="shared" si="1426"/>
        <v>NA</v>
      </c>
      <c r="FP423" s="145">
        <f t="shared" si="1430"/>
        <v>0</v>
      </c>
      <c r="FQ423" s="79" t="str">
        <f t="shared" si="1426"/>
        <v>NA</v>
      </c>
      <c r="FR423" s="145">
        <f t="shared" si="1431"/>
        <v>0</v>
      </c>
      <c r="FS423" s="79" t="str">
        <f t="shared" si="1426"/>
        <v>NA</v>
      </c>
      <c r="FT423" s="145">
        <f t="shared" si="1432"/>
        <v>0</v>
      </c>
      <c r="FU423" s="79" t="str">
        <f t="shared" si="1426"/>
        <v>NA</v>
      </c>
      <c r="FV423" s="145">
        <f t="shared" si="1433"/>
        <v>0</v>
      </c>
      <c r="FW423" s="79" t="str">
        <f t="shared" si="1426"/>
        <v>NA</v>
      </c>
      <c r="FX423" s="145">
        <f t="shared" si="1434"/>
        <v>0</v>
      </c>
      <c r="FY423" s="79" t="str">
        <f t="shared" si="1426"/>
        <v>NA</v>
      </c>
      <c r="FZ423" s="145">
        <f t="shared" si="1435"/>
        <v>0</v>
      </c>
      <c r="GA423" s="79" t="str">
        <f t="shared" si="1426"/>
        <v>NA</v>
      </c>
      <c r="GB423" s="145">
        <f t="shared" si="1436"/>
        <v>0</v>
      </c>
      <c r="GC423" s="79" t="str">
        <f t="shared" si="1426"/>
        <v>NA</v>
      </c>
      <c r="GD423" s="145">
        <f t="shared" si="1437"/>
        <v>0</v>
      </c>
      <c r="GE423" s="79" t="str">
        <f t="shared" si="1426"/>
        <v>NA</v>
      </c>
      <c r="GF423" s="145">
        <f t="shared" si="1438"/>
        <v>0</v>
      </c>
      <c r="GG423" s="79" t="str">
        <f t="shared" si="1426"/>
        <v>NA</v>
      </c>
      <c r="GH423" s="145">
        <f t="shared" si="1439"/>
        <v>0</v>
      </c>
      <c r="GI423" s="79" t="str">
        <f t="shared" si="1426"/>
        <v>NA</v>
      </c>
      <c r="GJ423" s="145">
        <f t="shared" si="1440"/>
        <v>0</v>
      </c>
      <c r="GK423" s="79" t="str">
        <f t="shared" si="1426"/>
        <v>NA</v>
      </c>
      <c r="GL423" s="131">
        <v>0</v>
      </c>
      <c r="GM423" s="79" t="str">
        <f t="shared" si="1426"/>
        <v>NA</v>
      </c>
      <c r="GN423" s="131">
        <v>0</v>
      </c>
      <c r="GO423" s="79" t="str">
        <f t="shared" si="1426"/>
        <v>NA</v>
      </c>
      <c r="GP423" s="131">
        <v>0</v>
      </c>
      <c r="GQ423" s="79" t="str">
        <f t="shared" si="1426"/>
        <v>NA</v>
      </c>
      <c r="GR423" s="131">
        <v>0</v>
      </c>
      <c r="GS423" s="79" t="str">
        <f t="shared" si="1441"/>
        <v>NA</v>
      </c>
      <c r="GT423" s="79" t="str">
        <f t="shared" si="1442"/>
        <v>NA</v>
      </c>
      <c r="GU423" s="562"/>
      <c r="GV423" s="562"/>
      <c r="GW423"/>
      <c r="GX423"/>
      <c r="GY423"/>
      <c r="GZ423"/>
      <c r="HA423"/>
      <c r="HB423"/>
      <c r="HC423" s="562"/>
      <c r="HD423" s="562"/>
      <c r="HE423" s="562"/>
      <c r="HF423" s="562"/>
      <c r="HG423" s="562"/>
      <c r="HH423" s="562"/>
      <c r="HI423" s="562"/>
      <c r="HJ423" s="562"/>
      <c r="HK423" s="562"/>
      <c r="HL423" s="562"/>
      <c r="HM423" s="562"/>
      <c r="HN423" s="562"/>
      <c r="HO423" s="562"/>
      <c r="HP423" s="562"/>
      <c r="HQ423" s="562"/>
      <c r="HR423" s="562"/>
      <c r="HS423" s="562"/>
      <c r="HT423" s="562"/>
      <c r="HU423" s="562"/>
      <c r="HV423" s="562"/>
      <c r="HW423" s="562"/>
      <c r="HX423" s="562"/>
      <c r="HY423" s="562"/>
      <c r="HZ423" s="562"/>
      <c r="IA423" s="562"/>
      <c r="IB423" s="562"/>
      <c r="IC423" s="562"/>
      <c r="ID423" s="562"/>
      <c r="IE423" s="562"/>
      <c r="IF423" s="562"/>
      <c r="IG423" s="562"/>
      <c r="IH423" s="562"/>
      <c r="II423" s="562"/>
      <c r="IJ423" s="562"/>
      <c r="IK423" s="562"/>
      <c r="IL423" s="562"/>
      <c r="IM423" s="562"/>
      <c r="IN423" s="562"/>
      <c r="IO423" s="562"/>
      <c r="IP423" s="562"/>
      <c r="IQ423" s="562"/>
      <c r="IR423" s="562"/>
      <c r="IS423" s="562"/>
      <c r="IT423" s="562"/>
      <c r="IU423" s="562"/>
      <c r="IV423" s="562"/>
      <c r="IW423" s="562"/>
      <c r="IX423" s="562"/>
      <c r="IY423" s="562"/>
      <c r="IZ423" s="562"/>
      <c r="JA423" s="562"/>
      <c r="JB423" s="562"/>
      <c r="JC423" s="562"/>
      <c r="JD423" s="562"/>
      <c r="JE423" s="562"/>
      <c r="JF423" s="562"/>
      <c r="JG423" s="562"/>
      <c r="JH423" s="562"/>
      <c r="JI423" s="562"/>
      <c r="JJ423" s="562"/>
      <c r="JK423" s="562"/>
      <c r="JL423" s="562"/>
      <c r="JM423" s="562"/>
      <c r="JN423" s="562"/>
      <c r="JO423" s="562"/>
      <c r="JP423" s="562"/>
      <c r="JQ423" s="562"/>
      <c r="JR423" s="562"/>
      <c r="JS423" s="562"/>
      <c r="JT423" s="562"/>
      <c r="JU423" s="562"/>
      <c r="JV423" s="562"/>
      <c r="JW423" s="562"/>
      <c r="JX423" s="562"/>
      <c r="JY423" s="562"/>
      <c r="JZ423" s="562"/>
    </row>
    <row r="424" spans="1:286" s="239" customFormat="1" ht="12.75" hidden="1" customHeight="1" outlineLevel="1" x14ac:dyDescent="0.2">
      <c r="A424" s="240"/>
      <c r="B424" s="2" t="s">
        <v>200</v>
      </c>
      <c r="C424" s="79"/>
      <c r="D424" s="79"/>
      <c r="E424" s="131">
        <v>0</v>
      </c>
      <c r="F424" s="131"/>
      <c r="G424" s="131">
        <v>0</v>
      </c>
      <c r="H424" s="131"/>
      <c r="I424" s="131">
        <v>0</v>
      </c>
      <c r="J424" s="131"/>
      <c r="K424" s="131">
        <v>0</v>
      </c>
      <c r="L424" s="79"/>
      <c r="M424" s="131">
        <v>0</v>
      </c>
      <c r="N424" s="79" t="str">
        <f t="shared" si="1364"/>
        <v>NA</v>
      </c>
      <c r="O424" s="131">
        <v>0</v>
      </c>
      <c r="P424" s="79" t="str">
        <f t="shared" si="1364"/>
        <v>NA</v>
      </c>
      <c r="Q424" s="131">
        <v>0</v>
      </c>
      <c r="R424" s="79" t="str">
        <f t="shared" si="1364"/>
        <v>NA</v>
      </c>
      <c r="S424" s="131">
        <v>0</v>
      </c>
      <c r="T424" s="79" t="str">
        <f t="shared" si="1364"/>
        <v>NA</v>
      </c>
      <c r="U424" s="131">
        <v>0</v>
      </c>
      <c r="V424" s="79" t="str">
        <f t="shared" si="1364"/>
        <v>NA</v>
      </c>
      <c r="W424" s="131">
        <v>0</v>
      </c>
      <c r="X424" s="79" t="str">
        <f t="shared" si="1365"/>
        <v>NA</v>
      </c>
      <c r="Y424" s="131">
        <v>0</v>
      </c>
      <c r="Z424" s="79" t="str">
        <f t="shared" si="1366"/>
        <v>NA</v>
      </c>
      <c r="AA424" s="126">
        <v>0</v>
      </c>
      <c r="AB424" s="79" t="str">
        <f t="shared" si="1367"/>
        <v>NA</v>
      </c>
      <c r="AC424" s="131">
        <v>0</v>
      </c>
      <c r="AD424" s="79" t="str">
        <f t="shared" si="1368"/>
        <v>NA</v>
      </c>
      <c r="AE424" s="131">
        <v>0</v>
      </c>
      <c r="AF424" s="79" t="str">
        <f t="shared" si="1369"/>
        <v>NA</v>
      </c>
      <c r="AG424" s="131">
        <v>0</v>
      </c>
      <c r="AH424" s="79" t="str">
        <f t="shared" si="1370"/>
        <v>NA</v>
      </c>
      <c r="AI424" s="131">
        <v>0</v>
      </c>
      <c r="AJ424" s="79" t="str">
        <f t="shared" si="1371"/>
        <v>NA</v>
      </c>
      <c r="AK424" s="131">
        <v>0</v>
      </c>
      <c r="AL424" s="79" t="str">
        <f t="shared" si="1372"/>
        <v>NA</v>
      </c>
      <c r="AM424" s="131">
        <v>0</v>
      </c>
      <c r="AN424" s="79" t="str">
        <f t="shared" si="1373"/>
        <v>NA</v>
      </c>
      <c r="AO424" s="131">
        <v>0</v>
      </c>
      <c r="AP424" s="79" t="str">
        <f t="shared" si="1373"/>
        <v>NA</v>
      </c>
      <c r="AQ424" s="202">
        <v>0</v>
      </c>
      <c r="AR424" s="79" t="str">
        <f t="shared" si="1373"/>
        <v>NA</v>
      </c>
      <c r="AS424" s="202">
        <v>0</v>
      </c>
      <c r="AT424" s="81" t="str">
        <f t="shared" si="1373"/>
        <v>NA</v>
      </c>
      <c r="AU424" s="202">
        <v>0</v>
      </c>
      <c r="AV424" s="81" t="str">
        <f t="shared" si="1373"/>
        <v>NA</v>
      </c>
      <c r="AW424" s="202">
        <v>0</v>
      </c>
      <c r="AX424" s="81" t="str">
        <f t="shared" si="1373"/>
        <v>NA</v>
      </c>
      <c r="AY424" s="202">
        <v>0</v>
      </c>
      <c r="AZ424" s="81" t="str">
        <f t="shared" si="1373"/>
        <v>NA</v>
      </c>
      <c r="BA424" s="202">
        <v>0</v>
      </c>
      <c r="BB424" s="81" t="str">
        <f t="shared" si="1373"/>
        <v>NA</v>
      </c>
      <c r="BC424" s="202">
        <v>0</v>
      </c>
      <c r="BD424" s="81" t="str">
        <f t="shared" si="1373"/>
        <v>NA</v>
      </c>
      <c r="BE424" s="202">
        <v>0</v>
      </c>
      <c r="BF424" s="81" t="str">
        <f t="shared" si="1374"/>
        <v>NA</v>
      </c>
      <c r="BG424" s="202">
        <v>0</v>
      </c>
      <c r="BH424" s="81" t="str">
        <f t="shared" si="1375"/>
        <v>NA</v>
      </c>
      <c r="BI424" s="202">
        <v>0</v>
      </c>
      <c r="BJ424" s="81" t="str">
        <f t="shared" si="1376"/>
        <v>NA</v>
      </c>
      <c r="BK424" s="202">
        <v>0</v>
      </c>
      <c r="BL424" s="81" t="str">
        <f t="shared" si="1377"/>
        <v>NA</v>
      </c>
      <c r="BM424" s="202">
        <v>0</v>
      </c>
      <c r="BN424" s="81" t="str">
        <f t="shared" si="1378"/>
        <v>NA</v>
      </c>
      <c r="BO424" s="202">
        <v>0</v>
      </c>
      <c r="BP424" s="81" t="str">
        <f t="shared" si="1379"/>
        <v>NA</v>
      </c>
      <c r="BQ424" s="131">
        <v>0</v>
      </c>
      <c r="BR424" s="81" t="str">
        <f t="shared" si="1380"/>
        <v>NA</v>
      </c>
      <c r="BS424" s="131">
        <v>0</v>
      </c>
      <c r="BT424" s="81" t="str">
        <f t="shared" si="1381"/>
        <v>NA</v>
      </c>
      <c r="BU424" s="131">
        <v>0</v>
      </c>
      <c r="BV424" s="81" t="str">
        <f t="shared" si="1382"/>
        <v>NA</v>
      </c>
      <c r="BW424" s="131">
        <v>0</v>
      </c>
      <c r="BX424" s="81" t="str">
        <f t="shared" si="1383"/>
        <v>NA</v>
      </c>
      <c r="BY424" s="131">
        <v>0</v>
      </c>
      <c r="BZ424" s="81" t="str">
        <f t="shared" si="1384"/>
        <v>NA</v>
      </c>
      <c r="CA424" s="131">
        <v>0</v>
      </c>
      <c r="CB424" s="81" t="str">
        <f t="shared" si="1385"/>
        <v>NA</v>
      </c>
      <c r="CC424" s="131">
        <v>0</v>
      </c>
      <c r="CD424" s="81" t="str">
        <f t="shared" si="1386"/>
        <v>NA</v>
      </c>
      <c r="CE424" s="131">
        <v>0</v>
      </c>
      <c r="CF424" s="81" t="str">
        <f t="shared" si="1387"/>
        <v>NA</v>
      </c>
      <c r="CG424" s="131">
        <v>0</v>
      </c>
      <c r="CH424" s="81" t="str">
        <f t="shared" si="1388"/>
        <v>NA</v>
      </c>
      <c r="CI424" s="131">
        <v>0</v>
      </c>
      <c r="CJ424" s="81" t="str">
        <f t="shared" si="1389"/>
        <v>NA</v>
      </c>
      <c r="CK424" s="131">
        <v>0</v>
      </c>
      <c r="CL424" s="81" t="str">
        <f t="shared" si="1390"/>
        <v>NA</v>
      </c>
      <c r="CM424" s="131">
        <v>0</v>
      </c>
      <c r="CN424" s="81" t="str">
        <f t="shared" si="1391"/>
        <v>NA</v>
      </c>
      <c r="CO424" s="131">
        <v>0</v>
      </c>
      <c r="CP424" s="81" t="str">
        <f t="shared" si="1392"/>
        <v>NA</v>
      </c>
      <c r="CQ424" s="131">
        <v>0</v>
      </c>
      <c r="CR424" s="81" t="str">
        <f t="shared" si="1393"/>
        <v>NA</v>
      </c>
      <c r="CS424" s="131">
        <v>0</v>
      </c>
      <c r="CT424" s="81" t="str">
        <f t="shared" si="1394"/>
        <v>NA</v>
      </c>
      <c r="CU424" s="131">
        <v>0</v>
      </c>
      <c r="CV424" s="81" t="str">
        <f t="shared" si="1395"/>
        <v>NA</v>
      </c>
      <c r="CW424" s="131">
        <v>0</v>
      </c>
      <c r="CX424" s="81" t="str">
        <f t="shared" si="1396"/>
        <v>NA</v>
      </c>
      <c r="CY424" s="131">
        <v>0</v>
      </c>
      <c r="CZ424" s="81" t="str">
        <f t="shared" si="1397"/>
        <v>NA</v>
      </c>
      <c r="DA424" s="131">
        <v>0</v>
      </c>
      <c r="DB424" s="81" t="str">
        <f t="shared" si="1398"/>
        <v>NA</v>
      </c>
      <c r="DC424" s="131">
        <v>0</v>
      </c>
      <c r="DD424" s="81" t="str">
        <f t="shared" si="1399"/>
        <v>NA</v>
      </c>
      <c r="DE424" s="131">
        <v>0</v>
      </c>
      <c r="DF424" s="81" t="str">
        <f t="shared" si="1400"/>
        <v>NA</v>
      </c>
      <c r="DG424" s="131">
        <v>0</v>
      </c>
      <c r="DH424" s="81" t="str">
        <f t="shared" si="1401"/>
        <v>NA</v>
      </c>
      <c r="DI424" s="131">
        <v>0</v>
      </c>
      <c r="DJ424" s="81" t="str">
        <f t="shared" si="1402"/>
        <v>NA</v>
      </c>
      <c r="DK424" s="131">
        <v>0</v>
      </c>
      <c r="DL424" s="81" t="str">
        <f t="shared" si="1403"/>
        <v>NA</v>
      </c>
      <c r="DM424" s="131">
        <v>0</v>
      </c>
      <c r="DN424" s="81" t="str">
        <f t="shared" si="1404"/>
        <v>NA</v>
      </c>
      <c r="DO424" s="131">
        <v>0</v>
      </c>
      <c r="DP424" s="81" t="str">
        <f t="shared" si="1404"/>
        <v>NA</v>
      </c>
      <c r="DQ424" s="131">
        <v>0</v>
      </c>
      <c r="DR424" s="81" t="str">
        <f t="shared" si="1405"/>
        <v>NA</v>
      </c>
      <c r="DS424" s="131">
        <v>0</v>
      </c>
      <c r="DT424" s="81" t="str">
        <f t="shared" si="1406"/>
        <v>NA</v>
      </c>
      <c r="DU424" s="131">
        <v>0</v>
      </c>
      <c r="DV424" s="81" t="str">
        <f t="shared" si="1407"/>
        <v>NA</v>
      </c>
      <c r="DW424" s="131">
        <v>0</v>
      </c>
      <c r="DX424" s="81" t="str">
        <f t="shared" si="1408"/>
        <v>NA</v>
      </c>
      <c r="DY424" s="131">
        <v>0</v>
      </c>
      <c r="DZ424" s="81" t="str">
        <f t="shared" si="1409"/>
        <v>NA</v>
      </c>
      <c r="EA424" s="131">
        <v>0</v>
      </c>
      <c r="EB424" s="81" t="str">
        <f t="shared" si="1410"/>
        <v>NA</v>
      </c>
      <c r="EC424" s="131">
        <v>0</v>
      </c>
      <c r="ED424" s="81" t="str">
        <f t="shared" si="1411"/>
        <v>NA</v>
      </c>
      <c r="EE424" s="131">
        <v>0</v>
      </c>
      <c r="EF424" s="81" t="str">
        <f t="shared" si="1412"/>
        <v>NA</v>
      </c>
      <c r="EG424" s="131">
        <v>0</v>
      </c>
      <c r="EH424" s="81" t="str">
        <f t="shared" si="1413"/>
        <v>NA</v>
      </c>
      <c r="EI424" s="131">
        <v>0</v>
      </c>
      <c r="EJ424" s="81" t="str">
        <f t="shared" si="1414"/>
        <v>NA</v>
      </c>
      <c r="EK424" s="131">
        <v>0</v>
      </c>
      <c r="EL424" s="81" t="str">
        <f t="shared" si="1415"/>
        <v>NA</v>
      </c>
      <c r="EM424" s="131">
        <v>0</v>
      </c>
      <c r="EN424" s="81" t="str">
        <f t="shared" si="1416"/>
        <v>NA</v>
      </c>
      <c r="EO424" s="131">
        <v>0</v>
      </c>
      <c r="EP424" s="81" t="str">
        <f t="shared" si="1417"/>
        <v>NA</v>
      </c>
      <c r="EQ424" s="131">
        <v>0</v>
      </c>
      <c r="ER424" s="81" t="str">
        <f t="shared" si="1418"/>
        <v>NA</v>
      </c>
      <c r="ES424" s="82"/>
      <c r="ET424" s="469"/>
      <c r="EU424" s="82"/>
      <c r="EV424" s="131"/>
      <c r="EW424" s="79"/>
      <c r="EX424" s="131"/>
      <c r="EY424" s="79"/>
      <c r="EZ424" s="145"/>
      <c r="FA424" s="79"/>
      <c r="FB424" s="145">
        <f t="shared" si="1419"/>
        <v>0</v>
      </c>
      <c r="FC424" s="79" t="str">
        <f t="shared" si="1420"/>
        <v>NA</v>
      </c>
      <c r="FD424" s="145">
        <f t="shared" si="1421"/>
        <v>0</v>
      </c>
      <c r="FE424" s="79" t="str">
        <f t="shared" si="1422"/>
        <v>NA</v>
      </c>
      <c r="FF424" s="145">
        <f t="shared" si="1423"/>
        <v>0</v>
      </c>
      <c r="FG424" s="79" t="str">
        <f t="shared" si="1424"/>
        <v>NA</v>
      </c>
      <c r="FH424" s="145">
        <f t="shared" si="1425"/>
        <v>0</v>
      </c>
      <c r="FI424" s="79" t="str">
        <f t="shared" si="1426"/>
        <v>NA</v>
      </c>
      <c r="FJ424" s="145">
        <f t="shared" si="1427"/>
        <v>0</v>
      </c>
      <c r="FK424" s="79" t="str">
        <f t="shared" si="1426"/>
        <v>NA</v>
      </c>
      <c r="FL424" s="145">
        <f t="shared" si="1428"/>
        <v>0</v>
      </c>
      <c r="FM424" s="79" t="str">
        <f t="shared" si="1426"/>
        <v>NA</v>
      </c>
      <c r="FN424" s="145">
        <f t="shared" si="1429"/>
        <v>0</v>
      </c>
      <c r="FO424" s="79" t="str">
        <f t="shared" si="1426"/>
        <v>NA</v>
      </c>
      <c r="FP424" s="145">
        <f t="shared" si="1430"/>
        <v>0</v>
      </c>
      <c r="FQ424" s="79" t="str">
        <f t="shared" si="1426"/>
        <v>NA</v>
      </c>
      <c r="FR424" s="145">
        <f t="shared" si="1431"/>
        <v>0</v>
      </c>
      <c r="FS424" s="79" t="str">
        <f t="shared" si="1426"/>
        <v>NA</v>
      </c>
      <c r="FT424" s="145">
        <f t="shared" si="1432"/>
        <v>0</v>
      </c>
      <c r="FU424" s="79" t="str">
        <f t="shared" si="1426"/>
        <v>NA</v>
      </c>
      <c r="FV424" s="145">
        <f t="shared" si="1433"/>
        <v>0</v>
      </c>
      <c r="FW424" s="79" t="str">
        <f t="shared" si="1426"/>
        <v>NA</v>
      </c>
      <c r="FX424" s="145">
        <f t="shared" si="1434"/>
        <v>0</v>
      </c>
      <c r="FY424" s="79" t="str">
        <f t="shared" si="1426"/>
        <v>NA</v>
      </c>
      <c r="FZ424" s="145">
        <f t="shared" si="1435"/>
        <v>0</v>
      </c>
      <c r="GA424" s="79" t="str">
        <f t="shared" si="1426"/>
        <v>NA</v>
      </c>
      <c r="GB424" s="145">
        <f t="shared" si="1436"/>
        <v>0</v>
      </c>
      <c r="GC424" s="79" t="str">
        <f t="shared" si="1426"/>
        <v>NA</v>
      </c>
      <c r="GD424" s="145">
        <f t="shared" si="1437"/>
        <v>0</v>
      </c>
      <c r="GE424" s="79" t="str">
        <f t="shared" si="1426"/>
        <v>NA</v>
      </c>
      <c r="GF424" s="145">
        <f t="shared" si="1438"/>
        <v>0</v>
      </c>
      <c r="GG424" s="79" t="str">
        <f t="shared" si="1426"/>
        <v>NA</v>
      </c>
      <c r="GH424" s="145">
        <f t="shared" si="1439"/>
        <v>0</v>
      </c>
      <c r="GI424" s="79" t="str">
        <f t="shared" si="1426"/>
        <v>NA</v>
      </c>
      <c r="GJ424" s="145">
        <f t="shared" si="1440"/>
        <v>0</v>
      </c>
      <c r="GK424" s="79" t="str">
        <f t="shared" si="1426"/>
        <v>NA</v>
      </c>
      <c r="GL424" s="131">
        <v>0</v>
      </c>
      <c r="GM424" s="79" t="str">
        <f t="shared" si="1426"/>
        <v>NA</v>
      </c>
      <c r="GN424" s="131">
        <v>0</v>
      </c>
      <c r="GO424" s="79" t="str">
        <f t="shared" si="1426"/>
        <v>NA</v>
      </c>
      <c r="GP424" s="131">
        <v>0</v>
      </c>
      <c r="GQ424" s="79" t="str">
        <f t="shared" si="1426"/>
        <v>NA</v>
      </c>
      <c r="GR424" s="131">
        <v>0</v>
      </c>
      <c r="GS424" s="79" t="str">
        <f t="shared" si="1441"/>
        <v>NA</v>
      </c>
      <c r="GT424" s="79" t="str">
        <f t="shared" si="1442"/>
        <v>NA</v>
      </c>
      <c r="GU424" s="562"/>
      <c r="GV424" s="562"/>
      <c r="GW424"/>
      <c r="GX424"/>
      <c r="GY424"/>
      <c r="GZ424"/>
      <c r="HA424"/>
      <c r="HB424"/>
      <c r="HC424" s="562"/>
      <c r="HD424" s="562"/>
      <c r="HE424" s="562"/>
      <c r="HF424" s="562"/>
      <c r="HG424" s="562"/>
      <c r="HH424" s="562"/>
      <c r="HI424" s="562"/>
      <c r="HJ424" s="562"/>
      <c r="HK424" s="562"/>
      <c r="HL424" s="562"/>
      <c r="HM424" s="562"/>
      <c r="HN424" s="562"/>
      <c r="HO424" s="562"/>
      <c r="HP424" s="562"/>
      <c r="HQ424" s="562"/>
      <c r="HR424" s="562"/>
      <c r="HS424" s="562"/>
      <c r="HT424" s="562"/>
      <c r="HU424" s="562"/>
      <c r="HV424" s="562"/>
      <c r="HW424" s="562"/>
      <c r="HX424" s="562"/>
      <c r="HY424" s="562"/>
      <c r="HZ424" s="562"/>
      <c r="IA424" s="562"/>
      <c r="IB424" s="562"/>
      <c r="IC424" s="562"/>
      <c r="ID424" s="562"/>
      <c r="IE424" s="562"/>
      <c r="IF424" s="562"/>
      <c r="IG424" s="562"/>
      <c r="IH424" s="562"/>
      <c r="II424" s="562"/>
      <c r="IJ424" s="562"/>
      <c r="IK424" s="562"/>
      <c r="IL424" s="562"/>
      <c r="IM424" s="562"/>
      <c r="IN424" s="562"/>
      <c r="IO424" s="562"/>
      <c r="IP424" s="562"/>
      <c r="IQ424" s="562"/>
      <c r="IR424" s="562"/>
      <c r="IS424" s="562"/>
      <c r="IT424" s="562"/>
      <c r="IU424" s="562"/>
      <c r="IV424" s="562"/>
      <c r="IW424" s="562"/>
      <c r="IX424" s="562"/>
      <c r="IY424" s="562"/>
      <c r="IZ424" s="562"/>
      <c r="JA424" s="562"/>
      <c r="JB424" s="562"/>
      <c r="JC424" s="562"/>
      <c r="JD424" s="562"/>
      <c r="JE424" s="562"/>
      <c r="JF424" s="562"/>
      <c r="JG424" s="562"/>
      <c r="JH424" s="562"/>
      <c r="JI424" s="562"/>
      <c r="JJ424" s="562"/>
      <c r="JK424" s="562"/>
      <c r="JL424" s="562"/>
      <c r="JM424" s="562"/>
      <c r="JN424" s="562"/>
      <c r="JO424" s="562"/>
      <c r="JP424" s="562"/>
      <c r="JQ424" s="562"/>
      <c r="JR424" s="562"/>
      <c r="JS424" s="562"/>
      <c r="JT424" s="562"/>
      <c r="JU424" s="562"/>
      <c r="JV424" s="562"/>
      <c r="JW424" s="562"/>
      <c r="JX424" s="562"/>
      <c r="JY424" s="562"/>
      <c r="JZ424" s="562"/>
    </row>
    <row r="425" spans="1:286" s="239" customFormat="1" ht="12.75" hidden="1" customHeight="1" outlineLevel="1" x14ac:dyDescent="0.2">
      <c r="A425" s="240"/>
      <c r="B425" s="2" t="s">
        <v>50</v>
      </c>
      <c r="C425" s="79"/>
      <c r="D425" s="79"/>
      <c r="E425" s="131">
        <v>0</v>
      </c>
      <c r="F425" s="131"/>
      <c r="G425" s="131">
        <v>0</v>
      </c>
      <c r="H425" s="131"/>
      <c r="I425" s="131">
        <v>0</v>
      </c>
      <c r="J425" s="131"/>
      <c r="K425" s="131">
        <v>0</v>
      </c>
      <c r="L425" s="79"/>
      <c r="M425" s="131">
        <v>0</v>
      </c>
      <c r="N425" s="79" t="str">
        <f t="shared" si="1364"/>
        <v>NA</v>
      </c>
      <c r="O425" s="131">
        <v>0</v>
      </c>
      <c r="P425" s="79" t="str">
        <f t="shared" si="1364"/>
        <v>NA</v>
      </c>
      <c r="Q425" s="131">
        <v>0</v>
      </c>
      <c r="R425" s="79" t="str">
        <f t="shared" si="1364"/>
        <v>NA</v>
      </c>
      <c r="S425" s="131">
        <v>0</v>
      </c>
      <c r="T425" s="79" t="str">
        <f t="shared" si="1364"/>
        <v>NA</v>
      </c>
      <c r="U425" s="131">
        <v>0</v>
      </c>
      <c r="V425" s="79" t="str">
        <f t="shared" si="1364"/>
        <v>NA</v>
      </c>
      <c r="W425" s="131">
        <v>0</v>
      </c>
      <c r="X425" s="79" t="str">
        <f t="shared" si="1365"/>
        <v>NA</v>
      </c>
      <c r="Y425" s="131">
        <v>0</v>
      </c>
      <c r="Z425" s="79" t="str">
        <f t="shared" si="1366"/>
        <v>NA</v>
      </c>
      <c r="AA425" s="126">
        <v>0</v>
      </c>
      <c r="AB425" s="79" t="str">
        <f t="shared" si="1367"/>
        <v>NA</v>
      </c>
      <c r="AC425" s="131">
        <v>0</v>
      </c>
      <c r="AD425" s="79" t="str">
        <f t="shared" si="1368"/>
        <v>NA</v>
      </c>
      <c r="AE425" s="131">
        <v>0</v>
      </c>
      <c r="AF425" s="79" t="str">
        <f t="shared" si="1369"/>
        <v>NA</v>
      </c>
      <c r="AG425" s="131">
        <v>0</v>
      </c>
      <c r="AH425" s="79" t="str">
        <f t="shared" si="1370"/>
        <v>NA</v>
      </c>
      <c r="AI425" s="131">
        <v>0</v>
      </c>
      <c r="AJ425" s="79" t="str">
        <f t="shared" si="1371"/>
        <v>NA</v>
      </c>
      <c r="AK425" s="131">
        <v>0</v>
      </c>
      <c r="AL425" s="79" t="str">
        <f t="shared" si="1372"/>
        <v>NA</v>
      </c>
      <c r="AM425" s="131">
        <v>0</v>
      </c>
      <c r="AN425" s="79" t="str">
        <f t="shared" si="1373"/>
        <v>NA</v>
      </c>
      <c r="AO425" s="131">
        <v>0</v>
      </c>
      <c r="AP425" s="79" t="str">
        <f t="shared" si="1373"/>
        <v>NA</v>
      </c>
      <c r="AQ425" s="202">
        <v>0</v>
      </c>
      <c r="AR425" s="79" t="str">
        <f t="shared" si="1373"/>
        <v>NA</v>
      </c>
      <c r="AS425" s="202">
        <v>0</v>
      </c>
      <c r="AT425" s="81" t="str">
        <f t="shared" si="1373"/>
        <v>NA</v>
      </c>
      <c r="AU425" s="202">
        <v>0</v>
      </c>
      <c r="AV425" s="81" t="str">
        <f t="shared" si="1373"/>
        <v>NA</v>
      </c>
      <c r="AW425" s="202">
        <v>0</v>
      </c>
      <c r="AX425" s="81" t="str">
        <f t="shared" si="1373"/>
        <v>NA</v>
      </c>
      <c r="AY425" s="202">
        <v>0</v>
      </c>
      <c r="AZ425" s="81" t="str">
        <f t="shared" si="1373"/>
        <v>NA</v>
      </c>
      <c r="BA425" s="202">
        <v>0</v>
      </c>
      <c r="BB425" s="81" t="str">
        <f t="shared" si="1373"/>
        <v>NA</v>
      </c>
      <c r="BC425" s="202">
        <v>0</v>
      </c>
      <c r="BD425" s="81" t="str">
        <f t="shared" si="1373"/>
        <v>NA</v>
      </c>
      <c r="BE425" s="202">
        <v>0</v>
      </c>
      <c r="BF425" s="81" t="str">
        <f t="shared" si="1374"/>
        <v>NA</v>
      </c>
      <c r="BG425" s="202">
        <v>0</v>
      </c>
      <c r="BH425" s="81" t="str">
        <f t="shared" si="1375"/>
        <v>NA</v>
      </c>
      <c r="BI425" s="202">
        <v>0</v>
      </c>
      <c r="BJ425" s="81" t="str">
        <f t="shared" si="1376"/>
        <v>NA</v>
      </c>
      <c r="BK425" s="202">
        <v>0</v>
      </c>
      <c r="BL425" s="81" t="str">
        <f t="shared" si="1377"/>
        <v>NA</v>
      </c>
      <c r="BM425" s="202">
        <v>0</v>
      </c>
      <c r="BN425" s="81" t="str">
        <f t="shared" si="1378"/>
        <v>NA</v>
      </c>
      <c r="BO425" s="202">
        <v>0</v>
      </c>
      <c r="BP425" s="81" t="str">
        <f t="shared" si="1379"/>
        <v>NA</v>
      </c>
      <c r="BQ425" s="131">
        <v>0</v>
      </c>
      <c r="BR425" s="81" t="str">
        <f t="shared" si="1380"/>
        <v>NA</v>
      </c>
      <c r="BS425" s="131">
        <v>0</v>
      </c>
      <c r="BT425" s="81" t="str">
        <f t="shared" si="1381"/>
        <v>NA</v>
      </c>
      <c r="BU425" s="131">
        <v>0</v>
      </c>
      <c r="BV425" s="81" t="str">
        <f t="shared" si="1382"/>
        <v>NA</v>
      </c>
      <c r="BW425" s="131">
        <v>0</v>
      </c>
      <c r="BX425" s="81" t="str">
        <f t="shared" si="1383"/>
        <v>NA</v>
      </c>
      <c r="BY425" s="131">
        <v>0</v>
      </c>
      <c r="BZ425" s="81" t="str">
        <f t="shared" si="1384"/>
        <v>NA</v>
      </c>
      <c r="CA425" s="131">
        <v>0</v>
      </c>
      <c r="CB425" s="81" t="str">
        <f t="shared" si="1385"/>
        <v>NA</v>
      </c>
      <c r="CC425" s="131">
        <v>0</v>
      </c>
      <c r="CD425" s="81" t="str">
        <f t="shared" si="1386"/>
        <v>NA</v>
      </c>
      <c r="CE425" s="131">
        <v>0</v>
      </c>
      <c r="CF425" s="81" t="str">
        <f t="shared" si="1387"/>
        <v>NA</v>
      </c>
      <c r="CG425" s="131">
        <v>0</v>
      </c>
      <c r="CH425" s="81" t="str">
        <f t="shared" si="1388"/>
        <v>NA</v>
      </c>
      <c r="CI425" s="131">
        <v>0</v>
      </c>
      <c r="CJ425" s="81" t="str">
        <f t="shared" si="1389"/>
        <v>NA</v>
      </c>
      <c r="CK425" s="131">
        <v>0</v>
      </c>
      <c r="CL425" s="81" t="str">
        <f t="shared" si="1390"/>
        <v>NA</v>
      </c>
      <c r="CM425" s="131">
        <v>0</v>
      </c>
      <c r="CN425" s="81" t="str">
        <f t="shared" si="1391"/>
        <v>NA</v>
      </c>
      <c r="CO425" s="131">
        <v>0</v>
      </c>
      <c r="CP425" s="81" t="str">
        <f t="shared" si="1392"/>
        <v>NA</v>
      </c>
      <c r="CQ425" s="131">
        <v>0</v>
      </c>
      <c r="CR425" s="81" t="str">
        <f t="shared" si="1393"/>
        <v>NA</v>
      </c>
      <c r="CS425" s="131">
        <v>0</v>
      </c>
      <c r="CT425" s="81" t="str">
        <f t="shared" si="1394"/>
        <v>NA</v>
      </c>
      <c r="CU425" s="131">
        <v>0</v>
      </c>
      <c r="CV425" s="81" t="str">
        <f t="shared" si="1395"/>
        <v>NA</v>
      </c>
      <c r="CW425" s="131">
        <v>0</v>
      </c>
      <c r="CX425" s="81" t="str">
        <f t="shared" si="1396"/>
        <v>NA</v>
      </c>
      <c r="CY425" s="131">
        <v>0</v>
      </c>
      <c r="CZ425" s="81" t="str">
        <f t="shared" si="1397"/>
        <v>NA</v>
      </c>
      <c r="DA425" s="131">
        <v>0</v>
      </c>
      <c r="DB425" s="81" t="str">
        <f t="shared" si="1398"/>
        <v>NA</v>
      </c>
      <c r="DC425" s="131">
        <v>0</v>
      </c>
      <c r="DD425" s="81" t="str">
        <f t="shared" si="1399"/>
        <v>NA</v>
      </c>
      <c r="DE425" s="131">
        <v>0</v>
      </c>
      <c r="DF425" s="81" t="str">
        <f t="shared" si="1400"/>
        <v>NA</v>
      </c>
      <c r="DG425" s="131">
        <v>0</v>
      </c>
      <c r="DH425" s="81" t="str">
        <f t="shared" si="1401"/>
        <v>NA</v>
      </c>
      <c r="DI425" s="131">
        <v>0</v>
      </c>
      <c r="DJ425" s="81" t="str">
        <f t="shared" si="1402"/>
        <v>NA</v>
      </c>
      <c r="DK425" s="131">
        <v>0</v>
      </c>
      <c r="DL425" s="81" t="str">
        <f t="shared" si="1403"/>
        <v>NA</v>
      </c>
      <c r="DM425" s="131">
        <v>0</v>
      </c>
      <c r="DN425" s="81" t="str">
        <f t="shared" si="1404"/>
        <v>NA</v>
      </c>
      <c r="DO425" s="131">
        <v>0</v>
      </c>
      <c r="DP425" s="81" t="str">
        <f t="shared" si="1404"/>
        <v>NA</v>
      </c>
      <c r="DQ425" s="131">
        <v>0</v>
      </c>
      <c r="DR425" s="81" t="str">
        <f t="shared" si="1405"/>
        <v>NA</v>
      </c>
      <c r="DS425" s="131">
        <v>0</v>
      </c>
      <c r="DT425" s="81" t="str">
        <f t="shared" si="1406"/>
        <v>NA</v>
      </c>
      <c r="DU425" s="131">
        <v>0</v>
      </c>
      <c r="DV425" s="81" t="str">
        <f t="shared" si="1407"/>
        <v>NA</v>
      </c>
      <c r="DW425" s="131">
        <v>0</v>
      </c>
      <c r="DX425" s="81" t="str">
        <f t="shared" si="1408"/>
        <v>NA</v>
      </c>
      <c r="DY425" s="131">
        <v>0</v>
      </c>
      <c r="DZ425" s="81" t="str">
        <f t="shared" si="1409"/>
        <v>NA</v>
      </c>
      <c r="EA425" s="131">
        <v>0</v>
      </c>
      <c r="EB425" s="81" t="str">
        <f t="shared" si="1410"/>
        <v>NA</v>
      </c>
      <c r="EC425" s="131">
        <v>0</v>
      </c>
      <c r="ED425" s="81" t="str">
        <f t="shared" si="1411"/>
        <v>NA</v>
      </c>
      <c r="EE425" s="131">
        <v>0</v>
      </c>
      <c r="EF425" s="81" t="str">
        <f t="shared" si="1412"/>
        <v>NA</v>
      </c>
      <c r="EG425" s="131">
        <v>0</v>
      </c>
      <c r="EH425" s="81" t="str">
        <f t="shared" si="1413"/>
        <v>NA</v>
      </c>
      <c r="EI425" s="131">
        <v>0</v>
      </c>
      <c r="EJ425" s="81" t="str">
        <f t="shared" si="1414"/>
        <v>NA</v>
      </c>
      <c r="EK425" s="131">
        <v>0</v>
      </c>
      <c r="EL425" s="81" t="str">
        <f t="shared" si="1415"/>
        <v>NA</v>
      </c>
      <c r="EM425" s="131">
        <v>0</v>
      </c>
      <c r="EN425" s="81" t="str">
        <f t="shared" si="1416"/>
        <v>NA</v>
      </c>
      <c r="EO425" s="131">
        <v>0</v>
      </c>
      <c r="EP425" s="81" t="str">
        <f t="shared" si="1417"/>
        <v>NA</v>
      </c>
      <c r="EQ425" s="131">
        <v>0</v>
      </c>
      <c r="ER425" s="81" t="str">
        <f t="shared" si="1418"/>
        <v>NA</v>
      </c>
      <c r="ES425" s="82"/>
      <c r="ET425" s="469"/>
      <c r="EU425" s="82"/>
      <c r="EV425" s="131"/>
      <c r="EW425" s="79"/>
      <c r="EX425" s="131"/>
      <c r="EY425" s="79"/>
      <c r="EZ425" s="145"/>
      <c r="FA425" s="79"/>
      <c r="FB425" s="145">
        <f t="shared" si="1419"/>
        <v>0</v>
      </c>
      <c r="FC425" s="79" t="str">
        <f t="shared" si="1420"/>
        <v>NA</v>
      </c>
      <c r="FD425" s="145">
        <f t="shared" si="1421"/>
        <v>0</v>
      </c>
      <c r="FE425" s="79" t="str">
        <f t="shared" si="1422"/>
        <v>NA</v>
      </c>
      <c r="FF425" s="145">
        <f t="shared" si="1423"/>
        <v>0</v>
      </c>
      <c r="FG425" s="79" t="str">
        <f t="shared" si="1424"/>
        <v>NA</v>
      </c>
      <c r="FH425" s="145">
        <f t="shared" si="1425"/>
        <v>0</v>
      </c>
      <c r="FI425" s="79" t="str">
        <f t="shared" si="1426"/>
        <v>NA</v>
      </c>
      <c r="FJ425" s="145">
        <f t="shared" si="1427"/>
        <v>0</v>
      </c>
      <c r="FK425" s="79" t="str">
        <f t="shared" si="1426"/>
        <v>NA</v>
      </c>
      <c r="FL425" s="145">
        <f t="shared" si="1428"/>
        <v>0</v>
      </c>
      <c r="FM425" s="79" t="str">
        <f t="shared" si="1426"/>
        <v>NA</v>
      </c>
      <c r="FN425" s="145">
        <f t="shared" si="1429"/>
        <v>0</v>
      </c>
      <c r="FO425" s="79" t="str">
        <f t="shared" si="1426"/>
        <v>NA</v>
      </c>
      <c r="FP425" s="145">
        <f t="shared" si="1430"/>
        <v>0</v>
      </c>
      <c r="FQ425" s="79" t="str">
        <f t="shared" si="1426"/>
        <v>NA</v>
      </c>
      <c r="FR425" s="145">
        <f t="shared" si="1431"/>
        <v>0</v>
      </c>
      <c r="FS425" s="79" t="str">
        <f t="shared" si="1426"/>
        <v>NA</v>
      </c>
      <c r="FT425" s="145">
        <f t="shared" si="1432"/>
        <v>0</v>
      </c>
      <c r="FU425" s="79" t="str">
        <f t="shared" si="1426"/>
        <v>NA</v>
      </c>
      <c r="FV425" s="145">
        <f t="shared" si="1433"/>
        <v>0</v>
      </c>
      <c r="FW425" s="79" t="str">
        <f t="shared" si="1426"/>
        <v>NA</v>
      </c>
      <c r="FX425" s="145">
        <f t="shared" si="1434"/>
        <v>0</v>
      </c>
      <c r="FY425" s="79" t="str">
        <f t="shared" si="1426"/>
        <v>NA</v>
      </c>
      <c r="FZ425" s="145">
        <f t="shared" si="1435"/>
        <v>0</v>
      </c>
      <c r="GA425" s="79" t="str">
        <f t="shared" si="1426"/>
        <v>NA</v>
      </c>
      <c r="GB425" s="145">
        <f t="shared" si="1436"/>
        <v>0</v>
      </c>
      <c r="GC425" s="79" t="str">
        <f t="shared" si="1426"/>
        <v>NA</v>
      </c>
      <c r="GD425" s="145">
        <f t="shared" si="1437"/>
        <v>0</v>
      </c>
      <c r="GE425" s="79" t="str">
        <f t="shared" si="1426"/>
        <v>NA</v>
      </c>
      <c r="GF425" s="145">
        <f t="shared" si="1438"/>
        <v>0</v>
      </c>
      <c r="GG425" s="79" t="str">
        <f t="shared" si="1426"/>
        <v>NA</v>
      </c>
      <c r="GH425" s="145">
        <f t="shared" si="1439"/>
        <v>0</v>
      </c>
      <c r="GI425" s="79" t="str">
        <f t="shared" si="1426"/>
        <v>NA</v>
      </c>
      <c r="GJ425" s="145">
        <f t="shared" si="1440"/>
        <v>0</v>
      </c>
      <c r="GK425" s="79" t="str">
        <f t="shared" si="1426"/>
        <v>NA</v>
      </c>
      <c r="GL425" s="131">
        <v>0</v>
      </c>
      <c r="GM425" s="79" t="str">
        <f t="shared" si="1426"/>
        <v>NA</v>
      </c>
      <c r="GN425" s="131">
        <v>0</v>
      </c>
      <c r="GO425" s="79" t="str">
        <f t="shared" si="1426"/>
        <v>NA</v>
      </c>
      <c r="GP425" s="131">
        <v>0</v>
      </c>
      <c r="GQ425" s="79" t="str">
        <f t="shared" si="1426"/>
        <v>NA</v>
      </c>
      <c r="GR425" s="131">
        <v>0</v>
      </c>
      <c r="GS425" s="79" t="str">
        <f t="shared" si="1441"/>
        <v>NA</v>
      </c>
      <c r="GT425" s="79" t="str">
        <f t="shared" si="1442"/>
        <v>NA</v>
      </c>
      <c r="GU425" s="562"/>
      <c r="GV425" s="562"/>
      <c r="GW425"/>
      <c r="GX425"/>
      <c r="GY425"/>
      <c r="GZ425"/>
      <c r="HA425"/>
      <c r="HB425"/>
      <c r="HC425" s="562"/>
      <c r="HD425" s="562"/>
      <c r="HE425" s="562"/>
      <c r="HF425" s="562"/>
      <c r="HG425" s="562"/>
      <c r="HH425" s="562"/>
      <c r="HI425" s="562"/>
      <c r="HJ425" s="562"/>
      <c r="HK425" s="562"/>
      <c r="HL425" s="562"/>
      <c r="HM425" s="562"/>
      <c r="HN425" s="562"/>
      <c r="HO425" s="562"/>
      <c r="HP425" s="562"/>
      <c r="HQ425" s="562"/>
      <c r="HR425" s="562"/>
      <c r="HS425" s="562"/>
      <c r="HT425" s="562"/>
      <c r="HU425" s="562"/>
      <c r="HV425" s="562"/>
      <c r="HW425" s="562"/>
      <c r="HX425" s="562"/>
      <c r="HY425" s="562"/>
      <c r="HZ425" s="562"/>
      <c r="IA425" s="562"/>
      <c r="IB425" s="562"/>
      <c r="IC425" s="562"/>
      <c r="ID425" s="562"/>
      <c r="IE425" s="562"/>
      <c r="IF425" s="562"/>
      <c r="IG425" s="562"/>
      <c r="IH425" s="562"/>
      <c r="II425" s="562"/>
      <c r="IJ425" s="562"/>
      <c r="IK425" s="562"/>
      <c r="IL425" s="562"/>
      <c r="IM425" s="562"/>
      <c r="IN425" s="562"/>
      <c r="IO425" s="562"/>
      <c r="IP425" s="562"/>
      <c r="IQ425" s="562"/>
      <c r="IR425" s="562"/>
      <c r="IS425" s="562"/>
      <c r="IT425" s="562"/>
      <c r="IU425" s="562"/>
      <c r="IV425" s="562"/>
      <c r="IW425" s="562"/>
      <c r="IX425" s="562"/>
      <c r="IY425" s="562"/>
      <c r="IZ425" s="562"/>
      <c r="JA425" s="562"/>
      <c r="JB425" s="562"/>
      <c r="JC425" s="562"/>
      <c r="JD425" s="562"/>
      <c r="JE425" s="562"/>
      <c r="JF425" s="562"/>
      <c r="JG425" s="562"/>
      <c r="JH425" s="562"/>
      <c r="JI425" s="562"/>
      <c r="JJ425" s="562"/>
      <c r="JK425" s="562"/>
      <c r="JL425" s="562"/>
      <c r="JM425" s="562"/>
      <c r="JN425" s="562"/>
      <c r="JO425" s="562"/>
      <c r="JP425" s="562"/>
      <c r="JQ425" s="562"/>
      <c r="JR425" s="562"/>
      <c r="JS425" s="562"/>
      <c r="JT425" s="562"/>
      <c r="JU425" s="562"/>
      <c r="JV425" s="562"/>
      <c r="JW425" s="562"/>
      <c r="JX425" s="562"/>
      <c r="JY425" s="562"/>
      <c r="JZ425" s="562"/>
    </row>
    <row r="426" spans="1:286" s="239" customFormat="1" ht="12.75" hidden="1" customHeight="1" outlineLevel="1" x14ac:dyDescent="0.2">
      <c r="A426" s="240"/>
      <c r="B426" s="2" t="s">
        <v>466</v>
      </c>
      <c r="C426" s="79"/>
      <c r="D426" s="79"/>
      <c r="E426" s="131">
        <v>0</v>
      </c>
      <c r="F426" s="131"/>
      <c r="G426" s="131">
        <v>0</v>
      </c>
      <c r="H426" s="131"/>
      <c r="I426" s="131">
        <v>0</v>
      </c>
      <c r="J426" s="131"/>
      <c r="K426" s="131">
        <v>0</v>
      </c>
      <c r="L426" s="79"/>
      <c r="M426" s="131">
        <v>0</v>
      </c>
      <c r="N426" s="79" t="str">
        <f t="shared" si="1364"/>
        <v>NA</v>
      </c>
      <c r="O426" s="131">
        <v>0</v>
      </c>
      <c r="P426" s="79" t="str">
        <f t="shared" si="1364"/>
        <v>NA</v>
      </c>
      <c r="Q426" s="131">
        <v>0</v>
      </c>
      <c r="R426" s="79" t="str">
        <f t="shared" si="1364"/>
        <v>NA</v>
      </c>
      <c r="S426" s="131">
        <v>0</v>
      </c>
      <c r="T426" s="79" t="str">
        <f t="shared" si="1364"/>
        <v>NA</v>
      </c>
      <c r="U426" s="131">
        <v>0</v>
      </c>
      <c r="V426" s="79" t="str">
        <f t="shared" si="1364"/>
        <v>NA</v>
      </c>
      <c r="W426" s="131">
        <v>0</v>
      </c>
      <c r="X426" s="79" t="str">
        <f t="shared" si="1365"/>
        <v>NA</v>
      </c>
      <c r="Y426" s="131">
        <v>0</v>
      </c>
      <c r="Z426" s="79" t="str">
        <f t="shared" si="1366"/>
        <v>NA</v>
      </c>
      <c r="AA426" s="126">
        <v>0</v>
      </c>
      <c r="AB426" s="79" t="str">
        <f t="shared" si="1367"/>
        <v>NA</v>
      </c>
      <c r="AC426" s="131">
        <v>0</v>
      </c>
      <c r="AD426" s="79" t="str">
        <f t="shared" si="1368"/>
        <v>NA</v>
      </c>
      <c r="AE426" s="131">
        <v>0</v>
      </c>
      <c r="AF426" s="79" t="str">
        <f t="shared" si="1369"/>
        <v>NA</v>
      </c>
      <c r="AG426" s="131">
        <v>0</v>
      </c>
      <c r="AH426" s="79" t="str">
        <f t="shared" si="1370"/>
        <v>NA</v>
      </c>
      <c r="AI426" s="131">
        <v>0</v>
      </c>
      <c r="AJ426" s="79" t="str">
        <f t="shared" si="1371"/>
        <v>NA</v>
      </c>
      <c r="AK426" s="131">
        <v>0</v>
      </c>
      <c r="AL426" s="79" t="str">
        <f t="shared" si="1372"/>
        <v>NA</v>
      </c>
      <c r="AM426" s="131">
        <v>0</v>
      </c>
      <c r="AN426" s="79" t="str">
        <f t="shared" si="1373"/>
        <v>NA</v>
      </c>
      <c r="AO426" s="131">
        <v>0</v>
      </c>
      <c r="AP426" s="79" t="str">
        <f t="shared" si="1373"/>
        <v>NA</v>
      </c>
      <c r="AQ426" s="202">
        <v>0</v>
      </c>
      <c r="AR426" s="79" t="str">
        <f t="shared" si="1373"/>
        <v>NA</v>
      </c>
      <c r="AS426" s="202">
        <v>0</v>
      </c>
      <c r="AT426" s="81" t="str">
        <f t="shared" si="1373"/>
        <v>NA</v>
      </c>
      <c r="AU426" s="202">
        <v>0</v>
      </c>
      <c r="AV426" s="81" t="str">
        <f t="shared" si="1373"/>
        <v>NA</v>
      </c>
      <c r="AW426" s="202">
        <v>0</v>
      </c>
      <c r="AX426" s="81" t="str">
        <f t="shared" si="1373"/>
        <v>NA</v>
      </c>
      <c r="AY426" s="202">
        <v>0</v>
      </c>
      <c r="AZ426" s="81" t="str">
        <f t="shared" si="1373"/>
        <v>NA</v>
      </c>
      <c r="BA426" s="202">
        <v>0</v>
      </c>
      <c r="BB426" s="81" t="str">
        <f t="shared" si="1373"/>
        <v>NA</v>
      </c>
      <c r="BC426" s="202">
        <v>0</v>
      </c>
      <c r="BD426" s="81" t="str">
        <f t="shared" si="1373"/>
        <v>NA</v>
      </c>
      <c r="BE426" s="202">
        <v>0</v>
      </c>
      <c r="BF426" s="81" t="str">
        <f t="shared" si="1374"/>
        <v>NA</v>
      </c>
      <c r="BG426" s="202">
        <v>0</v>
      </c>
      <c r="BH426" s="81" t="str">
        <f t="shared" si="1375"/>
        <v>NA</v>
      </c>
      <c r="BI426" s="202">
        <v>0</v>
      </c>
      <c r="BJ426" s="81" t="str">
        <f t="shared" si="1376"/>
        <v>NA</v>
      </c>
      <c r="BK426" s="202">
        <v>0</v>
      </c>
      <c r="BL426" s="81" t="str">
        <f t="shared" si="1377"/>
        <v>NA</v>
      </c>
      <c r="BM426" s="202">
        <v>0</v>
      </c>
      <c r="BN426" s="81" t="str">
        <f t="shared" si="1378"/>
        <v>NA</v>
      </c>
      <c r="BO426" s="202">
        <v>0</v>
      </c>
      <c r="BP426" s="81" t="str">
        <f t="shared" si="1379"/>
        <v>NA</v>
      </c>
      <c r="BQ426" s="131">
        <v>0</v>
      </c>
      <c r="BR426" s="81" t="str">
        <f t="shared" si="1380"/>
        <v>NA</v>
      </c>
      <c r="BS426" s="131">
        <v>0</v>
      </c>
      <c r="BT426" s="81" t="str">
        <f t="shared" si="1381"/>
        <v>NA</v>
      </c>
      <c r="BU426" s="131">
        <v>0</v>
      </c>
      <c r="BV426" s="81" t="str">
        <f t="shared" si="1382"/>
        <v>NA</v>
      </c>
      <c r="BW426" s="131">
        <v>0</v>
      </c>
      <c r="BX426" s="81" t="str">
        <f t="shared" si="1383"/>
        <v>NA</v>
      </c>
      <c r="BY426" s="131">
        <v>0</v>
      </c>
      <c r="BZ426" s="81" t="str">
        <f t="shared" si="1384"/>
        <v>NA</v>
      </c>
      <c r="CA426" s="131">
        <v>0</v>
      </c>
      <c r="CB426" s="81" t="str">
        <f t="shared" si="1385"/>
        <v>NA</v>
      </c>
      <c r="CC426" s="131">
        <v>0</v>
      </c>
      <c r="CD426" s="81" t="str">
        <f t="shared" si="1386"/>
        <v>NA</v>
      </c>
      <c r="CE426" s="131">
        <v>0</v>
      </c>
      <c r="CF426" s="81" t="str">
        <f t="shared" si="1387"/>
        <v>NA</v>
      </c>
      <c r="CG426" s="131">
        <v>0</v>
      </c>
      <c r="CH426" s="81" t="str">
        <f t="shared" si="1388"/>
        <v>NA</v>
      </c>
      <c r="CI426" s="131">
        <v>0</v>
      </c>
      <c r="CJ426" s="81" t="str">
        <f t="shared" si="1389"/>
        <v>NA</v>
      </c>
      <c r="CK426" s="131">
        <v>0</v>
      </c>
      <c r="CL426" s="81" t="str">
        <f t="shared" si="1390"/>
        <v>NA</v>
      </c>
      <c r="CM426" s="131">
        <v>0</v>
      </c>
      <c r="CN426" s="81" t="str">
        <f t="shared" si="1391"/>
        <v>NA</v>
      </c>
      <c r="CO426" s="131">
        <v>0</v>
      </c>
      <c r="CP426" s="81" t="str">
        <f t="shared" si="1392"/>
        <v>NA</v>
      </c>
      <c r="CQ426" s="131">
        <v>0</v>
      </c>
      <c r="CR426" s="81" t="str">
        <f t="shared" si="1393"/>
        <v>NA</v>
      </c>
      <c r="CS426" s="131">
        <v>0</v>
      </c>
      <c r="CT426" s="81" t="str">
        <f t="shared" si="1394"/>
        <v>NA</v>
      </c>
      <c r="CU426" s="131">
        <v>0</v>
      </c>
      <c r="CV426" s="81" t="str">
        <f t="shared" si="1395"/>
        <v>NA</v>
      </c>
      <c r="CW426" s="131">
        <v>0</v>
      </c>
      <c r="CX426" s="81" t="str">
        <f t="shared" si="1396"/>
        <v>NA</v>
      </c>
      <c r="CY426" s="131">
        <v>0</v>
      </c>
      <c r="CZ426" s="81" t="str">
        <f t="shared" si="1397"/>
        <v>NA</v>
      </c>
      <c r="DA426" s="131">
        <v>0</v>
      </c>
      <c r="DB426" s="81" t="str">
        <f t="shared" si="1398"/>
        <v>NA</v>
      </c>
      <c r="DC426" s="131">
        <v>0</v>
      </c>
      <c r="DD426" s="81" t="str">
        <f t="shared" si="1399"/>
        <v>NA</v>
      </c>
      <c r="DE426" s="131">
        <v>0</v>
      </c>
      <c r="DF426" s="81" t="str">
        <f t="shared" si="1400"/>
        <v>NA</v>
      </c>
      <c r="DG426" s="131">
        <v>0</v>
      </c>
      <c r="DH426" s="81" t="str">
        <f t="shared" si="1401"/>
        <v>NA</v>
      </c>
      <c r="DI426" s="131">
        <v>0</v>
      </c>
      <c r="DJ426" s="81" t="str">
        <f t="shared" si="1402"/>
        <v>NA</v>
      </c>
      <c r="DK426" s="131">
        <v>0</v>
      </c>
      <c r="DL426" s="81" t="str">
        <f t="shared" si="1403"/>
        <v>NA</v>
      </c>
      <c r="DM426" s="131">
        <v>0</v>
      </c>
      <c r="DN426" s="81" t="str">
        <f t="shared" si="1404"/>
        <v>NA</v>
      </c>
      <c r="DO426" s="131">
        <v>0</v>
      </c>
      <c r="DP426" s="81" t="str">
        <f t="shared" si="1404"/>
        <v>NA</v>
      </c>
      <c r="DQ426" s="131">
        <v>0</v>
      </c>
      <c r="DR426" s="81" t="str">
        <f t="shared" si="1405"/>
        <v>NA</v>
      </c>
      <c r="DS426" s="131">
        <v>0</v>
      </c>
      <c r="DT426" s="81" t="str">
        <f t="shared" si="1406"/>
        <v>NA</v>
      </c>
      <c r="DU426" s="131">
        <v>0</v>
      </c>
      <c r="DV426" s="81" t="str">
        <f t="shared" si="1407"/>
        <v>NA</v>
      </c>
      <c r="DW426" s="131">
        <v>0</v>
      </c>
      <c r="DX426" s="81" t="str">
        <f t="shared" si="1408"/>
        <v>NA</v>
      </c>
      <c r="DY426" s="131">
        <v>0</v>
      </c>
      <c r="DZ426" s="81" t="str">
        <f t="shared" si="1409"/>
        <v>NA</v>
      </c>
      <c r="EA426" s="131">
        <v>0</v>
      </c>
      <c r="EB426" s="81" t="str">
        <f t="shared" si="1410"/>
        <v>NA</v>
      </c>
      <c r="EC426" s="131">
        <v>0</v>
      </c>
      <c r="ED426" s="81" t="str">
        <f t="shared" si="1411"/>
        <v>NA</v>
      </c>
      <c r="EE426" s="131">
        <v>0</v>
      </c>
      <c r="EF426" s="81" t="str">
        <f t="shared" si="1412"/>
        <v>NA</v>
      </c>
      <c r="EG426" s="131">
        <v>0</v>
      </c>
      <c r="EH426" s="81" t="str">
        <f t="shared" si="1413"/>
        <v>NA</v>
      </c>
      <c r="EI426" s="131">
        <v>0</v>
      </c>
      <c r="EJ426" s="81" t="str">
        <f t="shared" si="1414"/>
        <v>NA</v>
      </c>
      <c r="EK426" s="131">
        <v>0</v>
      </c>
      <c r="EL426" s="81" t="str">
        <f t="shared" si="1415"/>
        <v>NA</v>
      </c>
      <c r="EM426" s="131">
        <v>0</v>
      </c>
      <c r="EN426" s="81" t="str">
        <f t="shared" si="1416"/>
        <v>NA</v>
      </c>
      <c r="EO426" s="131">
        <v>0</v>
      </c>
      <c r="EP426" s="81" t="str">
        <f t="shared" si="1417"/>
        <v>NA</v>
      </c>
      <c r="EQ426" s="131">
        <v>0</v>
      </c>
      <c r="ER426" s="81" t="str">
        <f t="shared" si="1418"/>
        <v>NA</v>
      </c>
      <c r="ES426" s="82"/>
      <c r="ET426" s="469"/>
      <c r="EU426" s="82"/>
      <c r="EV426" s="131"/>
      <c r="EW426" s="79"/>
      <c r="EX426" s="131"/>
      <c r="EY426" s="79"/>
      <c r="EZ426" s="145"/>
      <c r="FA426" s="79"/>
      <c r="FB426" s="145">
        <f t="shared" si="1419"/>
        <v>0</v>
      </c>
      <c r="FC426" s="79" t="str">
        <f t="shared" si="1420"/>
        <v>NA</v>
      </c>
      <c r="FD426" s="145">
        <f t="shared" si="1421"/>
        <v>0</v>
      </c>
      <c r="FE426" s="79" t="str">
        <f t="shared" si="1422"/>
        <v>NA</v>
      </c>
      <c r="FF426" s="145">
        <f t="shared" si="1423"/>
        <v>0</v>
      </c>
      <c r="FG426" s="79" t="str">
        <f t="shared" si="1424"/>
        <v>NA</v>
      </c>
      <c r="FH426" s="145">
        <f t="shared" si="1425"/>
        <v>0</v>
      </c>
      <c r="FI426" s="79" t="str">
        <f t="shared" si="1426"/>
        <v>NA</v>
      </c>
      <c r="FJ426" s="145">
        <f t="shared" si="1427"/>
        <v>0</v>
      </c>
      <c r="FK426" s="79" t="str">
        <f t="shared" si="1426"/>
        <v>NA</v>
      </c>
      <c r="FL426" s="145">
        <f t="shared" si="1428"/>
        <v>0</v>
      </c>
      <c r="FM426" s="79" t="str">
        <f t="shared" si="1426"/>
        <v>NA</v>
      </c>
      <c r="FN426" s="145">
        <f t="shared" si="1429"/>
        <v>0</v>
      </c>
      <c r="FO426" s="79" t="str">
        <f t="shared" si="1426"/>
        <v>NA</v>
      </c>
      <c r="FP426" s="145">
        <f t="shared" si="1430"/>
        <v>0</v>
      </c>
      <c r="FQ426" s="79" t="str">
        <f t="shared" si="1426"/>
        <v>NA</v>
      </c>
      <c r="FR426" s="145">
        <f t="shared" si="1431"/>
        <v>0</v>
      </c>
      <c r="FS426" s="79" t="str">
        <f t="shared" si="1426"/>
        <v>NA</v>
      </c>
      <c r="FT426" s="145">
        <f t="shared" si="1432"/>
        <v>0</v>
      </c>
      <c r="FU426" s="79" t="str">
        <f t="shared" si="1426"/>
        <v>NA</v>
      </c>
      <c r="FV426" s="145">
        <f t="shared" si="1433"/>
        <v>0</v>
      </c>
      <c r="FW426" s="79" t="str">
        <f t="shared" si="1426"/>
        <v>NA</v>
      </c>
      <c r="FX426" s="145">
        <f t="shared" si="1434"/>
        <v>0</v>
      </c>
      <c r="FY426" s="79" t="str">
        <f t="shared" si="1426"/>
        <v>NA</v>
      </c>
      <c r="FZ426" s="145">
        <f t="shared" si="1435"/>
        <v>0</v>
      </c>
      <c r="GA426" s="79" t="str">
        <f t="shared" si="1426"/>
        <v>NA</v>
      </c>
      <c r="GB426" s="145">
        <f t="shared" si="1436"/>
        <v>0</v>
      </c>
      <c r="GC426" s="79" t="str">
        <f t="shared" si="1426"/>
        <v>NA</v>
      </c>
      <c r="GD426" s="145">
        <f t="shared" si="1437"/>
        <v>0</v>
      </c>
      <c r="GE426" s="79" t="str">
        <f t="shared" si="1426"/>
        <v>NA</v>
      </c>
      <c r="GF426" s="145">
        <f t="shared" si="1438"/>
        <v>0</v>
      </c>
      <c r="GG426" s="79" t="str">
        <f t="shared" si="1426"/>
        <v>NA</v>
      </c>
      <c r="GH426" s="145">
        <f t="shared" si="1439"/>
        <v>0</v>
      </c>
      <c r="GI426" s="79" t="str">
        <f t="shared" si="1426"/>
        <v>NA</v>
      </c>
      <c r="GJ426" s="145">
        <f t="shared" si="1440"/>
        <v>0</v>
      </c>
      <c r="GK426" s="79" t="str">
        <f t="shared" si="1426"/>
        <v>NA</v>
      </c>
      <c r="GL426" s="131">
        <v>0</v>
      </c>
      <c r="GM426" s="79" t="str">
        <f t="shared" si="1426"/>
        <v>NA</v>
      </c>
      <c r="GN426" s="131">
        <v>0</v>
      </c>
      <c r="GO426" s="79" t="str">
        <f t="shared" si="1426"/>
        <v>NA</v>
      </c>
      <c r="GP426" s="131">
        <v>0</v>
      </c>
      <c r="GQ426" s="79" t="str">
        <f t="shared" si="1426"/>
        <v>NA</v>
      </c>
      <c r="GR426" s="131">
        <v>0</v>
      </c>
      <c r="GS426" s="79" t="str">
        <f t="shared" si="1441"/>
        <v>NA</v>
      </c>
      <c r="GT426" s="79" t="str">
        <f t="shared" si="1442"/>
        <v>NA</v>
      </c>
      <c r="GU426" s="562"/>
      <c r="GV426" s="562"/>
      <c r="GW426"/>
      <c r="GX426"/>
      <c r="GY426"/>
      <c r="GZ426"/>
      <c r="HA426"/>
      <c r="HB426"/>
      <c r="HC426" s="562"/>
      <c r="HD426" s="562"/>
      <c r="HE426" s="562"/>
      <c r="HF426" s="562"/>
      <c r="HG426" s="562"/>
      <c r="HH426" s="562"/>
      <c r="HI426" s="562"/>
      <c r="HJ426" s="562"/>
      <c r="HK426" s="562"/>
      <c r="HL426" s="562"/>
      <c r="HM426" s="562"/>
      <c r="HN426" s="562"/>
      <c r="HO426" s="562"/>
      <c r="HP426" s="562"/>
      <c r="HQ426" s="562"/>
      <c r="HR426" s="562"/>
      <c r="HS426" s="562"/>
      <c r="HT426" s="562"/>
      <c r="HU426" s="562"/>
      <c r="HV426" s="562"/>
      <c r="HW426" s="562"/>
      <c r="HX426" s="562"/>
      <c r="HY426" s="562"/>
      <c r="HZ426" s="562"/>
      <c r="IA426" s="562"/>
      <c r="IB426" s="562"/>
      <c r="IC426" s="562"/>
      <c r="ID426" s="562"/>
      <c r="IE426" s="562"/>
      <c r="IF426" s="562"/>
      <c r="IG426" s="562"/>
      <c r="IH426" s="562"/>
      <c r="II426" s="562"/>
      <c r="IJ426" s="562"/>
      <c r="IK426" s="562"/>
      <c r="IL426" s="562"/>
      <c r="IM426" s="562"/>
      <c r="IN426" s="562"/>
      <c r="IO426" s="562"/>
      <c r="IP426" s="562"/>
      <c r="IQ426" s="562"/>
      <c r="IR426" s="562"/>
      <c r="IS426" s="562"/>
      <c r="IT426" s="562"/>
      <c r="IU426" s="562"/>
      <c r="IV426" s="562"/>
      <c r="IW426" s="562"/>
      <c r="IX426" s="562"/>
      <c r="IY426" s="562"/>
      <c r="IZ426" s="562"/>
      <c r="JA426" s="562"/>
      <c r="JB426" s="562"/>
      <c r="JC426" s="562"/>
      <c r="JD426" s="562"/>
      <c r="JE426" s="562"/>
      <c r="JF426" s="562"/>
      <c r="JG426" s="562"/>
      <c r="JH426" s="562"/>
      <c r="JI426" s="562"/>
      <c r="JJ426" s="562"/>
      <c r="JK426" s="562"/>
      <c r="JL426" s="562"/>
      <c r="JM426" s="562"/>
      <c r="JN426" s="562"/>
      <c r="JO426" s="562"/>
      <c r="JP426" s="562"/>
      <c r="JQ426" s="562"/>
      <c r="JR426" s="562"/>
      <c r="JS426" s="562"/>
      <c r="JT426" s="562"/>
      <c r="JU426" s="562"/>
      <c r="JV426" s="562"/>
      <c r="JW426" s="562"/>
      <c r="JX426" s="562"/>
      <c r="JY426" s="562"/>
      <c r="JZ426" s="562"/>
    </row>
    <row r="427" spans="1:286" s="239" customFormat="1" ht="12.75" hidden="1" customHeight="1" outlineLevel="1" x14ac:dyDescent="0.2">
      <c r="A427" s="240"/>
      <c r="B427" s="2" t="s">
        <v>51</v>
      </c>
      <c r="C427" s="79"/>
      <c r="D427" s="79"/>
      <c r="E427" s="131">
        <v>0</v>
      </c>
      <c r="F427" s="131"/>
      <c r="G427" s="131">
        <v>0</v>
      </c>
      <c r="H427" s="131"/>
      <c r="I427" s="131">
        <v>0</v>
      </c>
      <c r="J427" s="131"/>
      <c r="K427" s="131">
        <v>0</v>
      </c>
      <c r="L427" s="79"/>
      <c r="M427" s="131">
        <v>0</v>
      </c>
      <c r="N427" s="79" t="str">
        <f t="shared" si="1364"/>
        <v>NA</v>
      </c>
      <c r="O427" s="131">
        <v>0</v>
      </c>
      <c r="P427" s="79" t="str">
        <f t="shared" si="1364"/>
        <v>NA</v>
      </c>
      <c r="Q427" s="131">
        <v>0</v>
      </c>
      <c r="R427" s="79" t="str">
        <f t="shared" si="1364"/>
        <v>NA</v>
      </c>
      <c r="S427" s="131">
        <v>0</v>
      </c>
      <c r="T427" s="79" t="str">
        <f t="shared" si="1364"/>
        <v>NA</v>
      </c>
      <c r="U427" s="131">
        <v>0</v>
      </c>
      <c r="V427" s="79" t="str">
        <f t="shared" si="1364"/>
        <v>NA</v>
      </c>
      <c r="W427" s="131">
        <v>0</v>
      </c>
      <c r="X427" s="79" t="str">
        <f t="shared" si="1365"/>
        <v>NA</v>
      </c>
      <c r="Y427" s="131">
        <v>0</v>
      </c>
      <c r="Z427" s="79" t="str">
        <f t="shared" si="1366"/>
        <v>NA</v>
      </c>
      <c r="AA427" s="126">
        <v>0</v>
      </c>
      <c r="AB427" s="79" t="str">
        <f t="shared" si="1367"/>
        <v>NA</v>
      </c>
      <c r="AC427" s="131">
        <v>0</v>
      </c>
      <c r="AD427" s="79" t="str">
        <f t="shared" si="1368"/>
        <v>NA</v>
      </c>
      <c r="AE427" s="131">
        <v>0</v>
      </c>
      <c r="AF427" s="79" t="str">
        <f t="shared" si="1369"/>
        <v>NA</v>
      </c>
      <c r="AG427" s="131">
        <v>0</v>
      </c>
      <c r="AH427" s="79" t="str">
        <f t="shared" si="1370"/>
        <v>NA</v>
      </c>
      <c r="AI427" s="131">
        <v>0</v>
      </c>
      <c r="AJ427" s="79" t="str">
        <f t="shared" si="1371"/>
        <v>NA</v>
      </c>
      <c r="AK427" s="131">
        <v>0</v>
      </c>
      <c r="AL427" s="79" t="str">
        <f t="shared" si="1372"/>
        <v>NA</v>
      </c>
      <c r="AM427" s="131">
        <v>0</v>
      </c>
      <c r="AN427" s="79" t="str">
        <f t="shared" si="1373"/>
        <v>NA</v>
      </c>
      <c r="AO427" s="131">
        <v>0</v>
      </c>
      <c r="AP427" s="79" t="str">
        <f t="shared" si="1373"/>
        <v>NA</v>
      </c>
      <c r="AQ427" s="202">
        <v>0</v>
      </c>
      <c r="AR427" s="79" t="str">
        <f t="shared" si="1373"/>
        <v>NA</v>
      </c>
      <c r="AS427" s="202">
        <v>0</v>
      </c>
      <c r="AT427" s="81" t="str">
        <f t="shared" si="1373"/>
        <v>NA</v>
      </c>
      <c r="AU427" s="202">
        <v>0</v>
      </c>
      <c r="AV427" s="81" t="str">
        <f t="shared" si="1373"/>
        <v>NA</v>
      </c>
      <c r="AW427" s="202">
        <v>0</v>
      </c>
      <c r="AX427" s="81" t="str">
        <f t="shared" si="1373"/>
        <v>NA</v>
      </c>
      <c r="AY427" s="202">
        <v>0</v>
      </c>
      <c r="AZ427" s="81" t="str">
        <f t="shared" si="1373"/>
        <v>NA</v>
      </c>
      <c r="BA427" s="202">
        <v>0</v>
      </c>
      <c r="BB427" s="81" t="str">
        <f t="shared" si="1373"/>
        <v>NA</v>
      </c>
      <c r="BC427" s="202">
        <v>0</v>
      </c>
      <c r="BD427" s="81" t="str">
        <f t="shared" si="1373"/>
        <v>NA</v>
      </c>
      <c r="BE427" s="202">
        <v>0</v>
      </c>
      <c r="BF427" s="81" t="str">
        <f t="shared" si="1374"/>
        <v>NA</v>
      </c>
      <c r="BG427" s="202">
        <v>0</v>
      </c>
      <c r="BH427" s="81" t="str">
        <f t="shared" si="1375"/>
        <v>NA</v>
      </c>
      <c r="BI427" s="202">
        <v>0</v>
      </c>
      <c r="BJ427" s="81" t="str">
        <f t="shared" si="1376"/>
        <v>NA</v>
      </c>
      <c r="BK427" s="202">
        <v>0</v>
      </c>
      <c r="BL427" s="81" t="str">
        <f t="shared" si="1377"/>
        <v>NA</v>
      </c>
      <c r="BM427" s="202">
        <v>0</v>
      </c>
      <c r="BN427" s="81" t="str">
        <f t="shared" si="1378"/>
        <v>NA</v>
      </c>
      <c r="BO427" s="202">
        <v>0</v>
      </c>
      <c r="BP427" s="81" t="str">
        <f t="shared" si="1379"/>
        <v>NA</v>
      </c>
      <c r="BQ427" s="131">
        <v>0</v>
      </c>
      <c r="BR427" s="81" t="str">
        <f t="shared" si="1380"/>
        <v>NA</v>
      </c>
      <c r="BS427" s="131">
        <v>0</v>
      </c>
      <c r="BT427" s="81" t="str">
        <f t="shared" si="1381"/>
        <v>NA</v>
      </c>
      <c r="BU427" s="131">
        <v>0</v>
      </c>
      <c r="BV427" s="81" t="str">
        <f t="shared" si="1382"/>
        <v>NA</v>
      </c>
      <c r="BW427" s="131">
        <v>0</v>
      </c>
      <c r="BX427" s="81" t="str">
        <f t="shared" si="1383"/>
        <v>NA</v>
      </c>
      <c r="BY427" s="131">
        <v>0</v>
      </c>
      <c r="BZ427" s="81" t="str">
        <f t="shared" si="1384"/>
        <v>NA</v>
      </c>
      <c r="CA427" s="131">
        <v>0</v>
      </c>
      <c r="CB427" s="81" t="str">
        <f t="shared" si="1385"/>
        <v>NA</v>
      </c>
      <c r="CC427" s="131">
        <v>0</v>
      </c>
      <c r="CD427" s="81" t="str">
        <f t="shared" si="1386"/>
        <v>NA</v>
      </c>
      <c r="CE427" s="131">
        <v>0</v>
      </c>
      <c r="CF427" s="81" t="str">
        <f t="shared" si="1387"/>
        <v>NA</v>
      </c>
      <c r="CG427" s="131">
        <v>0</v>
      </c>
      <c r="CH427" s="81" t="str">
        <f t="shared" si="1388"/>
        <v>NA</v>
      </c>
      <c r="CI427" s="131">
        <v>0</v>
      </c>
      <c r="CJ427" s="81" t="str">
        <f t="shared" si="1389"/>
        <v>NA</v>
      </c>
      <c r="CK427" s="131">
        <v>0</v>
      </c>
      <c r="CL427" s="81" t="str">
        <f t="shared" si="1390"/>
        <v>NA</v>
      </c>
      <c r="CM427" s="131">
        <v>0</v>
      </c>
      <c r="CN427" s="81" t="str">
        <f t="shared" si="1391"/>
        <v>NA</v>
      </c>
      <c r="CO427" s="131">
        <v>0</v>
      </c>
      <c r="CP427" s="81" t="str">
        <f t="shared" si="1392"/>
        <v>NA</v>
      </c>
      <c r="CQ427" s="131">
        <v>0</v>
      </c>
      <c r="CR427" s="81" t="str">
        <f t="shared" si="1393"/>
        <v>NA</v>
      </c>
      <c r="CS427" s="131">
        <v>0</v>
      </c>
      <c r="CT427" s="81" t="str">
        <f t="shared" si="1394"/>
        <v>NA</v>
      </c>
      <c r="CU427" s="131">
        <v>0</v>
      </c>
      <c r="CV427" s="81" t="str">
        <f t="shared" si="1395"/>
        <v>NA</v>
      </c>
      <c r="CW427" s="131">
        <v>0</v>
      </c>
      <c r="CX427" s="81" t="str">
        <f t="shared" si="1396"/>
        <v>NA</v>
      </c>
      <c r="CY427" s="131">
        <v>0</v>
      </c>
      <c r="CZ427" s="81" t="str">
        <f t="shared" si="1397"/>
        <v>NA</v>
      </c>
      <c r="DA427" s="131">
        <v>0</v>
      </c>
      <c r="DB427" s="81" t="str">
        <f t="shared" si="1398"/>
        <v>NA</v>
      </c>
      <c r="DC427" s="131">
        <v>0</v>
      </c>
      <c r="DD427" s="81" t="str">
        <f t="shared" si="1399"/>
        <v>NA</v>
      </c>
      <c r="DE427" s="131">
        <v>0</v>
      </c>
      <c r="DF427" s="81" t="str">
        <f t="shared" si="1400"/>
        <v>NA</v>
      </c>
      <c r="DG427" s="131">
        <v>0</v>
      </c>
      <c r="DH427" s="81" t="str">
        <f t="shared" si="1401"/>
        <v>NA</v>
      </c>
      <c r="DI427" s="131">
        <v>0</v>
      </c>
      <c r="DJ427" s="81" t="str">
        <f t="shared" si="1402"/>
        <v>NA</v>
      </c>
      <c r="DK427" s="131">
        <v>0</v>
      </c>
      <c r="DL427" s="81" t="str">
        <f t="shared" si="1403"/>
        <v>NA</v>
      </c>
      <c r="DM427" s="131">
        <v>0</v>
      </c>
      <c r="DN427" s="81" t="str">
        <f t="shared" si="1404"/>
        <v>NA</v>
      </c>
      <c r="DO427" s="131">
        <v>0</v>
      </c>
      <c r="DP427" s="81" t="str">
        <f t="shared" si="1404"/>
        <v>NA</v>
      </c>
      <c r="DQ427" s="131">
        <v>0</v>
      </c>
      <c r="DR427" s="81" t="str">
        <f t="shared" si="1405"/>
        <v>NA</v>
      </c>
      <c r="DS427" s="131">
        <v>0</v>
      </c>
      <c r="DT427" s="81" t="str">
        <f t="shared" si="1406"/>
        <v>NA</v>
      </c>
      <c r="DU427" s="131">
        <v>0</v>
      </c>
      <c r="DV427" s="81" t="str">
        <f t="shared" si="1407"/>
        <v>NA</v>
      </c>
      <c r="DW427" s="131">
        <v>0</v>
      </c>
      <c r="DX427" s="81" t="str">
        <f t="shared" si="1408"/>
        <v>NA</v>
      </c>
      <c r="DY427" s="131">
        <v>0</v>
      </c>
      <c r="DZ427" s="81" t="str">
        <f t="shared" si="1409"/>
        <v>NA</v>
      </c>
      <c r="EA427" s="131">
        <v>0</v>
      </c>
      <c r="EB427" s="81" t="str">
        <f t="shared" si="1410"/>
        <v>NA</v>
      </c>
      <c r="EC427" s="131">
        <v>0</v>
      </c>
      <c r="ED427" s="81" t="str">
        <f t="shared" si="1411"/>
        <v>NA</v>
      </c>
      <c r="EE427" s="131">
        <v>0</v>
      </c>
      <c r="EF427" s="81" t="str">
        <f t="shared" si="1412"/>
        <v>NA</v>
      </c>
      <c r="EG427" s="131">
        <v>0</v>
      </c>
      <c r="EH427" s="81" t="str">
        <f t="shared" si="1413"/>
        <v>NA</v>
      </c>
      <c r="EI427" s="131">
        <v>0</v>
      </c>
      <c r="EJ427" s="81" t="str">
        <f t="shared" si="1414"/>
        <v>NA</v>
      </c>
      <c r="EK427" s="131">
        <v>0</v>
      </c>
      <c r="EL427" s="81" t="str">
        <f t="shared" si="1415"/>
        <v>NA</v>
      </c>
      <c r="EM427" s="131">
        <v>0</v>
      </c>
      <c r="EN427" s="81" t="str">
        <f t="shared" si="1416"/>
        <v>NA</v>
      </c>
      <c r="EO427" s="131">
        <v>0</v>
      </c>
      <c r="EP427" s="81" t="str">
        <f t="shared" si="1417"/>
        <v>NA</v>
      </c>
      <c r="EQ427" s="131">
        <v>0</v>
      </c>
      <c r="ER427" s="81" t="str">
        <f t="shared" si="1418"/>
        <v>NA</v>
      </c>
      <c r="ES427" s="82"/>
      <c r="ET427" s="469"/>
      <c r="EU427" s="82"/>
      <c r="EV427" s="131"/>
      <c r="EW427" s="79"/>
      <c r="EX427" s="131"/>
      <c r="EY427" s="79"/>
      <c r="EZ427" s="145"/>
      <c r="FA427" s="79"/>
      <c r="FB427" s="145">
        <f t="shared" si="1419"/>
        <v>0</v>
      </c>
      <c r="FC427" s="79" t="str">
        <f t="shared" si="1420"/>
        <v>NA</v>
      </c>
      <c r="FD427" s="145">
        <f t="shared" si="1421"/>
        <v>0</v>
      </c>
      <c r="FE427" s="79" t="str">
        <f t="shared" si="1422"/>
        <v>NA</v>
      </c>
      <c r="FF427" s="145">
        <f t="shared" si="1423"/>
        <v>0</v>
      </c>
      <c r="FG427" s="79" t="str">
        <f t="shared" si="1424"/>
        <v>NA</v>
      </c>
      <c r="FH427" s="145">
        <f t="shared" si="1425"/>
        <v>0</v>
      </c>
      <c r="FI427" s="79" t="str">
        <f t="shared" si="1426"/>
        <v>NA</v>
      </c>
      <c r="FJ427" s="145">
        <f t="shared" si="1427"/>
        <v>0</v>
      </c>
      <c r="FK427" s="79" t="str">
        <f t="shared" si="1426"/>
        <v>NA</v>
      </c>
      <c r="FL427" s="145">
        <f t="shared" si="1428"/>
        <v>0</v>
      </c>
      <c r="FM427" s="79" t="str">
        <f t="shared" si="1426"/>
        <v>NA</v>
      </c>
      <c r="FN427" s="145">
        <f t="shared" si="1429"/>
        <v>0</v>
      </c>
      <c r="FO427" s="79" t="str">
        <f t="shared" si="1426"/>
        <v>NA</v>
      </c>
      <c r="FP427" s="145">
        <f t="shared" si="1430"/>
        <v>0</v>
      </c>
      <c r="FQ427" s="79" t="str">
        <f t="shared" si="1426"/>
        <v>NA</v>
      </c>
      <c r="FR427" s="145">
        <f t="shared" si="1431"/>
        <v>0</v>
      </c>
      <c r="FS427" s="79" t="str">
        <f t="shared" si="1426"/>
        <v>NA</v>
      </c>
      <c r="FT427" s="145">
        <f t="shared" si="1432"/>
        <v>0</v>
      </c>
      <c r="FU427" s="79" t="str">
        <f t="shared" si="1426"/>
        <v>NA</v>
      </c>
      <c r="FV427" s="145">
        <f t="shared" si="1433"/>
        <v>0</v>
      </c>
      <c r="FW427" s="79" t="str">
        <f t="shared" si="1426"/>
        <v>NA</v>
      </c>
      <c r="FX427" s="145">
        <f t="shared" si="1434"/>
        <v>0</v>
      </c>
      <c r="FY427" s="79" t="str">
        <f t="shared" si="1426"/>
        <v>NA</v>
      </c>
      <c r="FZ427" s="145">
        <f t="shared" si="1435"/>
        <v>0</v>
      </c>
      <c r="GA427" s="79" t="str">
        <f t="shared" si="1426"/>
        <v>NA</v>
      </c>
      <c r="GB427" s="145">
        <f t="shared" si="1436"/>
        <v>0</v>
      </c>
      <c r="GC427" s="79" t="str">
        <f t="shared" si="1426"/>
        <v>NA</v>
      </c>
      <c r="GD427" s="145">
        <f t="shared" si="1437"/>
        <v>0</v>
      </c>
      <c r="GE427" s="79" t="str">
        <f t="shared" si="1426"/>
        <v>NA</v>
      </c>
      <c r="GF427" s="145">
        <f t="shared" si="1438"/>
        <v>0</v>
      </c>
      <c r="GG427" s="79" t="str">
        <f t="shared" si="1426"/>
        <v>NA</v>
      </c>
      <c r="GH427" s="145">
        <f t="shared" si="1439"/>
        <v>0</v>
      </c>
      <c r="GI427" s="79" t="str">
        <f t="shared" si="1426"/>
        <v>NA</v>
      </c>
      <c r="GJ427" s="145">
        <f t="shared" si="1440"/>
        <v>0</v>
      </c>
      <c r="GK427" s="79" t="str">
        <f t="shared" si="1426"/>
        <v>NA</v>
      </c>
      <c r="GL427" s="131">
        <v>0</v>
      </c>
      <c r="GM427" s="79" t="str">
        <f t="shared" si="1426"/>
        <v>NA</v>
      </c>
      <c r="GN427" s="131">
        <v>0</v>
      </c>
      <c r="GO427" s="79" t="str">
        <f t="shared" si="1426"/>
        <v>NA</v>
      </c>
      <c r="GP427" s="131">
        <v>0</v>
      </c>
      <c r="GQ427" s="79" t="str">
        <f t="shared" si="1426"/>
        <v>NA</v>
      </c>
      <c r="GR427" s="131">
        <v>0</v>
      </c>
      <c r="GS427" s="79" t="str">
        <f t="shared" si="1441"/>
        <v>NA</v>
      </c>
      <c r="GT427" s="79" t="str">
        <f t="shared" si="1442"/>
        <v>NA</v>
      </c>
      <c r="GU427" s="562"/>
      <c r="GV427" s="562"/>
      <c r="GW427"/>
      <c r="GX427"/>
      <c r="GY427"/>
      <c r="GZ427"/>
      <c r="HA427"/>
      <c r="HB427"/>
      <c r="HC427" s="562"/>
      <c r="HD427" s="562"/>
      <c r="HE427" s="562"/>
      <c r="HF427" s="562"/>
      <c r="HG427" s="562"/>
      <c r="HH427" s="562"/>
      <c r="HI427" s="562"/>
      <c r="HJ427" s="562"/>
      <c r="HK427" s="562"/>
      <c r="HL427" s="562"/>
      <c r="HM427" s="562"/>
      <c r="HN427" s="562"/>
      <c r="HO427" s="562"/>
      <c r="HP427" s="562"/>
      <c r="HQ427" s="562"/>
      <c r="HR427" s="562"/>
      <c r="HS427" s="562"/>
      <c r="HT427" s="562"/>
      <c r="HU427" s="562"/>
      <c r="HV427" s="562"/>
      <c r="HW427" s="562"/>
      <c r="HX427" s="562"/>
      <c r="HY427" s="562"/>
      <c r="HZ427" s="562"/>
      <c r="IA427" s="562"/>
      <c r="IB427" s="562"/>
      <c r="IC427" s="562"/>
      <c r="ID427" s="562"/>
      <c r="IE427" s="562"/>
      <c r="IF427" s="562"/>
      <c r="IG427" s="562"/>
      <c r="IH427" s="562"/>
      <c r="II427" s="562"/>
      <c r="IJ427" s="562"/>
      <c r="IK427" s="562"/>
      <c r="IL427" s="562"/>
      <c r="IM427" s="562"/>
      <c r="IN427" s="562"/>
      <c r="IO427" s="562"/>
      <c r="IP427" s="562"/>
      <c r="IQ427" s="562"/>
      <c r="IR427" s="562"/>
      <c r="IS427" s="562"/>
      <c r="IT427" s="562"/>
      <c r="IU427" s="562"/>
      <c r="IV427" s="562"/>
      <c r="IW427" s="562"/>
      <c r="IX427" s="562"/>
      <c r="IY427" s="562"/>
      <c r="IZ427" s="562"/>
      <c r="JA427" s="562"/>
      <c r="JB427" s="562"/>
      <c r="JC427" s="562"/>
      <c r="JD427" s="562"/>
      <c r="JE427" s="562"/>
      <c r="JF427" s="562"/>
      <c r="JG427" s="562"/>
      <c r="JH427" s="562"/>
      <c r="JI427" s="562"/>
      <c r="JJ427" s="562"/>
      <c r="JK427" s="562"/>
      <c r="JL427" s="562"/>
      <c r="JM427" s="562"/>
      <c r="JN427" s="562"/>
      <c r="JO427" s="562"/>
      <c r="JP427" s="562"/>
      <c r="JQ427" s="562"/>
      <c r="JR427" s="562"/>
      <c r="JS427" s="562"/>
      <c r="JT427" s="562"/>
      <c r="JU427" s="562"/>
      <c r="JV427" s="562"/>
      <c r="JW427" s="562"/>
      <c r="JX427" s="562"/>
      <c r="JY427" s="562"/>
      <c r="JZ427" s="562"/>
    </row>
    <row r="428" spans="1:286" s="239" customFormat="1" ht="12.75" hidden="1" customHeight="1" outlineLevel="1" x14ac:dyDescent="0.2">
      <c r="A428" s="240"/>
      <c r="B428" s="2" t="s">
        <v>52</v>
      </c>
      <c r="C428" s="79"/>
      <c r="D428" s="79"/>
      <c r="E428" s="131">
        <v>0</v>
      </c>
      <c r="F428" s="131"/>
      <c r="G428" s="131">
        <v>0</v>
      </c>
      <c r="H428" s="131"/>
      <c r="I428" s="131">
        <v>0</v>
      </c>
      <c r="J428" s="131"/>
      <c r="K428" s="131">
        <v>0</v>
      </c>
      <c r="L428" s="79"/>
      <c r="M428" s="131">
        <v>0</v>
      </c>
      <c r="N428" s="79" t="str">
        <f t="shared" si="1364"/>
        <v>NA</v>
      </c>
      <c r="O428" s="131">
        <v>0</v>
      </c>
      <c r="P428" s="79" t="str">
        <f t="shared" si="1364"/>
        <v>NA</v>
      </c>
      <c r="Q428" s="131">
        <v>0</v>
      </c>
      <c r="R428" s="79" t="str">
        <f t="shared" si="1364"/>
        <v>NA</v>
      </c>
      <c r="S428" s="131">
        <v>0</v>
      </c>
      <c r="T428" s="79" t="str">
        <f t="shared" si="1364"/>
        <v>NA</v>
      </c>
      <c r="U428" s="131">
        <v>0</v>
      </c>
      <c r="V428" s="79" t="str">
        <f t="shared" si="1364"/>
        <v>NA</v>
      </c>
      <c r="W428" s="131">
        <v>0</v>
      </c>
      <c r="X428" s="79" t="str">
        <f t="shared" si="1365"/>
        <v>NA</v>
      </c>
      <c r="Y428" s="131">
        <v>0</v>
      </c>
      <c r="Z428" s="79" t="str">
        <f t="shared" si="1366"/>
        <v>NA</v>
      </c>
      <c r="AA428" s="126">
        <v>0</v>
      </c>
      <c r="AB428" s="79" t="str">
        <f t="shared" si="1367"/>
        <v>NA</v>
      </c>
      <c r="AC428" s="131">
        <v>0</v>
      </c>
      <c r="AD428" s="79" t="str">
        <f t="shared" si="1368"/>
        <v>NA</v>
      </c>
      <c r="AE428" s="131">
        <v>0</v>
      </c>
      <c r="AF428" s="79" t="str">
        <f t="shared" si="1369"/>
        <v>NA</v>
      </c>
      <c r="AG428" s="131">
        <v>0</v>
      </c>
      <c r="AH428" s="79" t="str">
        <f t="shared" si="1370"/>
        <v>NA</v>
      </c>
      <c r="AI428" s="131">
        <v>0</v>
      </c>
      <c r="AJ428" s="79" t="str">
        <f t="shared" si="1371"/>
        <v>NA</v>
      </c>
      <c r="AK428" s="131">
        <v>0</v>
      </c>
      <c r="AL428" s="79" t="str">
        <f t="shared" si="1372"/>
        <v>NA</v>
      </c>
      <c r="AM428" s="131">
        <v>0</v>
      </c>
      <c r="AN428" s="79" t="str">
        <f t="shared" si="1373"/>
        <v>NA</v>
      </c>
      <c r="AO428" s="131">
        <v>0</v>
      </c>
      <c r="AP428" s="79" t="str">
        <f t="shared" si="1373"/>
        <v>NA</v>
      </c>
      <c r="AQ428" s="202">
        <v>0</v>
      </c>
      <c r="AR428" s="79" t="str">
        <f t="shared" si="1373"/>
        <v>NA</v>
      </c>
      <c r="AS428" s="202">
        <v>-55.9</v>
      </c>
      <c r="AT428" s="81" t="str">
        <f t="shared" si="1373"/>
        <v>NA</v>
      </c>
      <c r="AU428" s="202">
        <v>0</v>
      </c>
      <c r="AV428" s="81" t="str">
        <f t="shared" si="1373"/>
        <v>NA</v>
      </c>
      <c r="AW428" s="202">
        <f>-325.4*0.652</f>
        <v>-212.16079999999999</v>
      </c>
      <c r="AX428" s="81" t="str">
        <f t="shared" si="1373"/>
        <v>NA</v>
      </c>
      <c r="AY428" s="202">
        <v>0</v>
      </c>
      <c r="AZ428" s="81" t="str">
        <f t="shared" si="1373"/>
        <v>NA</v>
      </c>
      <c r="BA428" s="202">
        <v>0</v>
      </c>
      <c r="BB428" s="81" t="str">
        <f t="shared" si="1373"/>
        <v>NM</v>
      </c>
      <c r="BC428" s="202">
        <v>0</v>
      </c>
      <c r="BD428" s="81" t="str">
        <f t="shared" si="1373"/>
        <v>NA</v>
      </c>
      <c r="BE428" s="202">
        <v>0</v>
      </c>
      <c r="BF428" s="81" t="str">
        <f t="shared" si="1374"/>
        <v>NM</v>
      </c>
      <c r="BG428" s="202">
        <v>0</v>
      </c>
      <c r="BH428" s="81" t="str">
        <f t="shared" si="1375"/>
        <v>NA</v>
      </c>
      <c r="BI428" s="202">
        <v>0</v>
      </c>
      <c r="BJ428" s="81" t="str">
        <f t="shared" si="1376"/>
        <v>NA</v>
      </c>
      <c r="BK428" s="202">
        <v>0</v>
      </c>
      <c r="BL428" s="81" t="str">
        <f t="shared" si="1377"/>
        <v>NA</v>
      </c>
      <c r="BM428" s="202">
        <v>0</v>
      </c>
      <c r="BN428" s="81" t="str">
        <f t="shared" si="1378"/>
        <v>NA</v>
      </c>
      <c r="BO428" s="202">
        <v>0</v>
      </c>
      <c r="BP428" s="81" t="str">
        <f t="shared" si="1379"/>
        <v>NA</v>
      </c>
      <c r="BQ428" s="131">
        <v>0</v>
      </c>
      <c r="BR428" s="81" t="str">
        <f t="shared" si="1380"/>
        <v>NA</v>
      </c>
      <c r="BS428" s="131">
        <v>0</v>
      </c>
      <c r="BT428" s="81" t="str">
        <f t="shared" si="1381"/>
        <v>NA</v>
      </c>
      <c r="BU428" s="131">
        <v>0</v>
      </c>
      <c r="BV428" s="81" t="str">
        <f t="shared" si="1382"/>
        <v>NA</v>
      </c>
      <c r="BW428" s="131">
        <v>0</v>
      </c>
      <c r="BX428" s="81" t="str">
        <f t="shared" si="1383"/>
        <v>NA</v>
      </c>
      <c r="BY428" s="131">
        <v>0</v>
      </c>
      <c r="BZ428" s="81" t="str">
        <f t="shared" si="1384"/>
        <v>NA</v>
      </c>
      <c r="CA428" s="131">
        <v>0</v>
      </c>
      <c r="CB428" s="81" t="str">
        <f t="shared" si="1385"/>
        <v>NA</v>
      </c>
      <c r="CC428" s="131">
        <v>0</v>
      </c>
      <c r="CD428" s="81" t="str">
        <f t="shared" si="1386"/>
        <v>NA</v>
      </c>
      <c r="CE428" s="131">
        <v>0</v>
      </c>
      <c r="CF428" s="81" t="str">
        <f t="shared" si="1387"/>
        <v>NA</v>
      </c>
      <c r="CG428" s="131">
        <v>0</v>
      </c>
      <c r="CH428" s="81" t="str">
        <f t="shared" si="1388"/>
        <v>NA</v>
      </c>
      <c r="CI428" s="131">
        <v>0</v>
      </c>
      <c r="CJ428" s="81" t="str">
        <f t="shared" si="1389"/>
        <v>NA</v>
      </c>
      <c r="CK428" s="131">
        <v>0</v>
      </c>
      <c r="CL428" s="81" t="str">
        <f t="shared" si="1390"/>
        <v>NA</v>
      </c>
      <c r="CM428" s="131">
        <v>0</v>
      </c>
      <c r="CN428" s="81" t="str">
        <f t="shared" si="1391"/>
        <v>NA</v>
      </c>
      <c r="CO428" s="131">
        <v>0</v>
      </c>
      <c r="CP428" s="81" t="str">
        <f t="shared" si="1392"/>
        <v>NA</v>
      </c>
      <c r="CQ428" s="131">
        <v>0</v>
      </c>
      <c r="CR428" s="81" t="str">
        <f t="shared" si="1393"/>
        <v>NA</v>
      </c>
      <c r="CS428" s="131">
        <v>0</v>
      </c>
      <c r="CT428" s="81" t="str">
        <f t="shared" si="1394"/>
        <v>NA</v>
      </c>
      <c r="CU428" s="131">
        <v>0</v>
      </c>
      <c r="CV428" s="81" t="str">
        <f t="shared" si="1395"/>
        <v>NA</v>
      </c>
      <c r="CW428" s="131">
        <v>0</v>
      </c>
      <c r="CX428" s="81" t="str">
        <f t="shared" si="1396"/>
        <v>NA</v>
      </c>
      <c r="CY428" s="131">
        <v>0</v>
      </c>
      <c r="CZ428" s="81" t="str">
        <f t="shared" si="1397"/>
        <v>NA</v>
      </c>
      <c r="DA428" s="131">
        <v>0</v>
      </c>
      <c r="DB428" s="81" t="str">
        <f t="shared" si="1398"/>
        <v>NA</v>
      </c>
      <c r="DC428" s="131">
        <v>0</v>
      </c>
      <c r="DD428" s="81" t="str">
        <f t="shared" si="1399"/>
        <v>NA</v>
      </c>
      <c r="DE428" s="131">
        <v>0</v>
      </c>
      <c r="DF428" s="81" t="str">
        <f t="shared" si="1400"/>
        <v>NA</v>
      </c>
      <c r="DG428" s="131">
        <v>0</v>
      </c>
      <c r="DH428" s="81" t="str">
        <f t="shared" si="1401"/>
        <v>NA</v>
      </c>
      <c r="DI428" s="131">
        <v>0</v>
      </c>
      <c r="DJ428" s="81" t="str">
        <f t="shared" si="1402"/>
        <v>NA</v>
      </c>
      <c r="DK428" s="131">
        <v>0</v>
      </c>
      <c r="DL428" s="81" t="str">
        <f t="shared" si="1403"/>
        <v>NA</v>
      </c>
      <c r="DM428" s="131">
        <v>0</v>
      </c>
      <c r="DN428" s="81" t="str">
        <f t="shared" si="1404"/>
        <v>NA</v>
      </c>
      <c r="DO428" s="131">
        <v>0</v>
      </c>
      <c r="DP428" s="81" t="str">
        <f t="shared" si="1404"/>
        <v>NA</v>
      </c>
      <c r="DQ428" s="131">
        <v>0</v>
      </c>
      <c r="DR428" s="81" t="str">
        <f t="shared" si="1405"/>
        <v>NA</v>
      </c>
      <c r="DS428" s="131">
        <v>0</v>
      </c>
      <c r="DT428" s="81" t="str">
        <f t="shared" si="1406"/>
        <v>NA</v>
      </c>
      <c r="DU428" s="131">
        <v>0</v>
      </c>
      <c r="DV428" s="81" t="str">
        <f t="shared" si="1407"/>
        <v>NA</v>
      </c>
      <c r="DW428" s="131">
        <v>0</v>
      </c>
      <c r="DX428" s="81" t="str">
        <f t="shared" si="1408"/>
        <v>NA</v>
      </c>
      <c r="DY428" s="131">
        <v>0</v>
      </c>
      <c r="DZ428" s="81" t="str">
        <f t="shared" si="1409"/>
        <v>NA</v>
      </c>
      <c r="EA428" s="131">
        <v>0</v>
      </c>
      <c r="EB428" s="81" t="str">
        <f t="shared" si="1410"/>
        <v>NA</v>
      </c>
      <c r="EC428" s="131">
        <v>0</v>
      </c>
      <c r="ED428" s="81" t="str">
        <f t="shared" si="1411"/>
        <v>NA</v>
      </c>
      <c r="EE428" s="131">
        <v>0</v>
      </c>
      <c r="EF428" s="81" t="str">
        <f t="shared" si="1412"/>
        <v>NA</v>
      </c>
      <c r="EG428" s="131">
        <v>0</v>
      </c>
      <c r="EH428" s="81" t="str">
        <f t="shared" si="1413"/>
        <v>NA</v>
      </c>
      <c r="EI428" s="131">
        <v>0</v>
      </c>
      <c r="EJ428" s="81" t="str">
        <f t="shared" si="1414"/>
        <v>NA</v>
      </c>
      <c r="EK428" s="131">
        <v>0</v>
      </c>
      <c r="EL428" s="81" t="str">
        <f t="shared" si="1415"/>
        <v>NA</v>
      </c>
      <c r="EM428" s="131">
        <v>0</v>
      </c>
      <c r="EN428" s="81" t="str">
        <f t="shared" si="1416"/>
        <v>NA</v>
      </c>
      <c r="EO428" s="131">
        <v>0</v>
      </c>
      <c r="EP428" s="81" t="str">
        <f t="shared" si="1417"/>
        <v>NA</v>
      </c>
      <c r="EQ428" s="131">
        <v>0</v>
      </c>
      <c r="ER428" s="81" t="str">
        <f t="shared" si="1418"/>
        <v>NA</v>
      </c>
      <c r="ES428" s="131"/>
      <c r="ET428" s="471"/>
      <c r="EU428" s="131"/>
      <c r="EV428" s="131"/>
      <c r="EW428" s="146"/>
      <c r="EX428" s="131"/>
      <c r="EY428" s="146"/>
      <c r="EZ428" s="145"/>
      <c r="FA428" s="146"/>
      <c r="FB428" s="145">
        <f t="shared" si="1419"/>
        <v>0</v>
      </c>
      <c r="FC428" s="146" t="str">
        <f t="shared" si="1420"/>
        <v>NA</v>
      </c>
      <c r="FD428" s="145">
        <f t="shared" si="1421"/>
        <v>0</v>
      </c>
      <c r="FE428" s="146" t="str">
        <f t="shared" si="1422"/>
        <v>NA</v>
      </c>
      <c r="FF428" s="145">
        <f t="shared" si="1423"/>
        <v>0</v>
      </c>
      <c r="FG428" s="146" t="str">
        <f t="shared" si="1424"/>
        <v>NA</v>
      </c>
      <c r="FH428" s="145">
        <f t="shared" si="1425"/>
        <v>0</v>
      </c>
      <c r="FI428" s="146" t="str">
        <f t="shared" si="1426"/>
        <v>NA</v>
      </c>
      <c r="FJ428" s="145">
        <f t="shared" si="1427"/>
        <v>0</v>
      </c>
      <c r="FK428" s="146" t="str">
        <f t="shared" si="1426"/>
        <v>NA</v>
      </c>
      <c r="FL428" s="145">
        <f t="shared" si="1428"/>
        <v>-268.06079999999997</v>
      </c>
      <c r="FM428" s="146" t="str">
        <f t="shared" si="1426"/>
        <v>NA</v>
      </c>
      <c r="FN428" s="145">
        <f t="shared" si="1429"/>
        <v>0</v>
      </c>
      <c r="FO428" s="146" t="str">
        <f t="shared" si="1426"/>
        <v>NM</v>
      </c>
      <c r="FP428" s="145">
        <f t="shared" si="1430"/>
        <v>0</v>
      </c>
      <c r="FQ428" s="146" t="str">
        <f t="shared" si="1426"/>
        <v>NA</v>
      </c>
      <c r="FR428" s="145">
        <f t="shared" si="1431"/>
        <v>0</v>
      </c>
      <c r="FS428" s="146" t="str">
        <f t="shared" si="1426"/>
        <v>NA</v>
      </c>
      <c r="FT428" s="145">
        <f t="shared" si="1432"/>
        <v>0</v>
      </c>
      <c r="FU428" s="146" t="str">
        <f t="shared" si="1426"/>
        <v>NA</v>
      </c>
      <c r="FV428" s="145">
        <f t="shared" si="1433"/>
        <v>0</v>
      </c>
      <c r="FW428" s="146" t="str">
        <f t="shared" si="1426"/>
        <v>NA</v>
      </c>
      <c r="FX428" s="145">
        <f t="shared" si="1434"/>
        <v>0</v>
      </c>
      <c r="FY428" s="146" t="str">
        <f t="shared" si="1426"/>
        <v>NA</v>
      </c>
      <c r="FZ428" s="145">
        <f t="shared" si="1435"/>
        <v>0</v>
      </c>
      <c r="GA428" s="146" t="str">
        <f t="shared" si="1426"/>
        <v>NA</v>
      </c>
      <c r="GB428" s="145">
        <f t="shared" si="1436"/>
        <v>0</v>
      </c>
      <c r="GC428" s="146" t="str">
        <f t="shared" si="1426"/>
        <v>NA</v>
      </c>
      <c r="GD428" s="145">
        <f t="shared" si="1437"/>
        <v>0</v>
      </c>
      <c r="GE428" s="146" t="str">
        <f t="shared" si="1426"/>
        <v>NA</v>
      </c>
      <c r="GF428" s="145">
        <f t="shared" si="1438"/>
        <v>0</v>
      </c>
      <c r="GG428" s="146" t="str">
        <f t="shared" si="1426"/>
        <v>NA</v>
      </c>
      <c r="GH428" s="145">
        <f t="shared" si="1439"/>
        <v>0</v>
      </c>
      <c r="GI428" s="146" t="str">
        <f t="shared" si="1426"/>
        <v>NA</v>
      </c>
      <c r="GJ428" s="145">
        <f t="shared" si="1440"/>
        <v>0</v>
      </c>
      <c r="GK428" s="146" t="str">
        <f t="shared" si="1426"/>
        <v>NA</v>
      </c>
      <c r="GL428" s="131">
        <v>0</v>
      </c>
      <c r="GM428" s="146" t="str">
        <f t="shared" si="1426"/>
        <v>NA</v>
      </c>
      <c r="GN428" s="131">
        <v>0</v>
      </c>
      <c r="GO428" s="146" t="str">
        <f t="shared" si="1426"/>
        <v>NA</v>
      </c>
      <c r="GP428" s="131">
        <v>0</v>
      </c>
      <c r="GQ428" s="146" t="str">
        <f t="shared" si="1426"/>
        <v>NA</v>
      </c>
      <c r="GR428" s="131">
        <v>0</v>
      </c>
      <c r="GS428" s="146" t="str">
        <f t="shared" si="1441"/>
        <v>NA</v>
      </c>
      <c r="GT428" s="79" t="str">
        <f t="shared" si="1442"/>
        <v>NA</v>
      </c>
      <c r="GU428" s="562"/>
      <c r="GV428" s="562"/>
      <c r="GW428"/>
      <c r="GX428"/>
      <c r="GY428"/>
      <c r="GZ428"/>
      <c r="HA428"/>
      <c r="HB428"/>
      <c r="HC428" s="562"/>
      <c r="HD428" s="562"/>
      <c r="HE428" s="562"/>
      <c r="HF428" s="562"/>
      <c r="HG428" s="562"/>
      <c r="HH428" s="562"/>
      <c r="HI428" s="562"/>
      <c r="HJ428" s="562"/>
      <c r="HK428" s="562"/>
      <c r="HL428" s="562"/>
      <c r="HM428" s="562"/>
      <c r="HN428" s="562"/>
      <c r="HO428" s="562"/>
      <c r="HP428" s="562"/>
      <c r="HQ428" s="562"/>
      <c r="HR428" s="562"/>
      <c r="HS428" s="562"/>
      <c r="HT428" s="562"/>
      <c r="HU428" s="562"/>
      <c r="HV428" s="562"/>
      <c r="HW428" s="562"/>
      <c r="HX428" s="562"/>
      <c r="HY428" s="562"/>
      <c r="HZ428" s="562"/>
      <c r="IA428" s="562"/>
      <c r="IB428" s="562"/>
      <c r="IC428" s="562"/>
      <c r="ID428" s="562"/>
      <c r="IE428" s="562"/>
      <c r="IF428" s="562"/>
      <c r="IG428" s="562"/>
      <c r="IH428" s="562"/>
      <c r="II428" s="562"/>
      <c r="IJ428" s="562"/>
      <c r="IK428" s="562"/>
      <c r="IL428" s="562"/>
      <c r="IM428" s="562"/>
      <c r="IN428" s="562"/>
      <c r="IO428" s="562"/>
      <c r="IP428" s="562"/>
      <c r="IQ428" s="562"/>
      <c r="IR428" s="562"/>
      <c r="IS428" s="562"/>
      <c r="IT428" s="562"/>
      <c r="IU428" s="562"/>
      <c r="IV428" s="562"/>
      <c r="IW428" s="562"/>
      <c r="IX428" s="562"/>
      <c r="IY428" s="562"/>
      <c r="IZ428" s="562"/>
      <c r="JA428" s="562"/>
      <c r="JB428" s="562"/>
      <c r="JC428" s="562"/>
      <c r="JD428" s="562"/>
      <c r="JE428" s="562"/>
      <c r="JF428" s="562"/>
      <c r="JG428" s="562"/>
      <c r="JH428" s="562"/>
      <c r="JI428" s="562"/>
      <c r="JJ428" s="562"/>
      <c r="JK428" s="562"/>
      <c r="JL428" s="562"/>
      <c r="JM428" s="562"/>
      <c r="JN428" s="562"/>
      <c r="JO428" s="562"/>
      <c r="JP428" s="562"/>
      <c r="JQ428" s="562"/>
      <c r="JR428" s="562"/>
      <c r="JS428" s="562"/>
      <c r="JT428" s="562"/>
      <c r="JU428" s="562"/>
      <c r="JV428" s="562"/>
      <c r="JW428" s="562"/>
      <c r="JX428" s="562"/>
      <c r="JY428" s="562"/>
      <c r="JZ428" s="562"/>
    </row>
    <row r="429" spans="1:286" s="249" customFormat="1" ht="12.75" hidden="1" customHeight="1" outlineLevel="1" x14ac:dyDescent="0.2">
      <c r="A429" s="248"/>
      <c r="B429" s="2" t="s">
        <v>276</v>
      </c>
      <c r="C429" s="79"/>
      <c r="D429" s="79"/>
      <c r="E429" s="131">
        <v>0</v>
      </c>
      <c r="F429" s="131"/>
      <c r="G429" s="131">
        <v>0</v>
      </c>
      <c r="H429" s="131"/>
      <c r="I429" s="131">
        <v>0</v>
      </c>
      <c r="J429" s="131"/>
      <c r="K429" s="131">
        <v>0</v>
      </c>
      <c r="L429" s="79"/>
      <c r="M429" s="131">
        <v>0</v>
      </c>
      <c r="N429" s="79" t="str">
        <f t="shared" si="1364"/>
        <v>NA</v>
      </c>
      <c r="O429" s="131">
        <v>0</v>
      </c>
      <c r="P429" s="79" t="str">
        <f t="shared" si="1364"/>
        <v>NA</v>
      </c>
      <c r="Q429" s="131">
        <v>0</v>
      </c>
      <c r="R429" s="79" t="str">
        <f t="shared" si="1364"/>
        <v>NA</v>
      </c>
      <c r="S429" s="131">
        <v>0</v>
      </c>
      <c r="T429" s="79" t="str">
        <f t="shared" si="1364"/>
        <v>NA</v>
      </c>
      <c r="U429" s="131">
        <v>0</v>
      </c>
      <c r="V429" s="79" t="str">
        <f t="shared" si="1364"/>
        <v>NA</v>
      </c>
      <c r="W429" s="131">
        <v>0</v>
      </c>
      <c r="X429" s="79" t="str">
        <f t="shared" si="1365"/>
        <v>NA</v>
      </c>
      <c r="Y429" s="131">
        <v>0</v>
      </c>
      <c r="Z429" s="79" t="str">
        <f t="shared" si="1366"/>
        <v>NA</v>
      </c>
      <c r="AA429" s="126">
        <v>0</v>
      </c>
      <c r="AB429" s="79" t="str">
        <f t="shared" si="1367"/>
        <v>NA</v>
      </c>
      <c r="AC429" s="131">
        <v>0</v>
      </c>
      <c r="AD429" s="79" t="str">
        <f t="shared" si="1368"/>
        <v>NA</v>
      </c>
      <c r="AE429" s="131">
        <v>0</v>
      </c>
      <c r="AF429" s="79" t="str">
        <f t="shared" si="1369"/>
        <v>NA</v>
      </c>
      <c r="AG429" s="131">
        <v>0</v>
      </c>
      <c r="AH429" s="79" t="str">
        <f t="shared" si="1370"/>
        <v>NA</v>
      </c>
      <c r="AI429" s="131">
        <v>0</v>
      </c>
      <c r="AJ429" s="79" t="str">
        <f t="shared" si="1371"/>
        <v>NA</v>
      </c>
      <c r="AK429" s="131">
        <v>0</v>
      </c>
      <c r="AL429" s="79" t="str">
        <f t="shared" si="1372"/>
        <v>NA</v>
      </c>
      <c r="AM429" s="131">
        <v>0</v>
      </c>
      <c r="AN429" s="79" t="str">
        <f t="shared" si="1373"/>
        <v>NA</v>
      </c>
      <c r="AO429" s="131">
        <v>0</v>
      </c>
      <c r="AP429" s="79" t="str">
        <f t="shared" si="1373"/>
        <v>NA</v>
      </c>
      <c r="AQ429" s="202">
        <v>0</v>
      </c>
      <c r="AR429" s="79" t="str">
        <f t="shared" si="1373"/>
        <v>NA</v>
      </c>
      <c r="AS429" s="202">
        <v>0</v>
      </c>
      <c r="AT429" s="81" t="str">
        <f t="shared" si="1373"/>
        <v>NA</v>
      </c>
      <c r="AU429" s="202">
        <v>0</v>
      </c>
      <c r="AV429" s="81" t="str">
        <f t="shared" si="1373"/>
        <v>NA</v>
      </c>
      <c r="AW429" s="202">
        <v>0</v>
      </c>
      <c r="AX429" s="81" t="str">
        <f t="shared" si="1373"/>
        <v>NA</v>
      </c>
      <c r="AY429" s="202">
        <v>0</v>
      </c>
      <c r="AZ429" s="81" t="str">
        <f t="shared" si="1373"/>
        <v>NA</v>
      </c>
      <c r="BA429" s="202">
        <v>0</v>
      </c>
      <c r="BB429" s="81" t="str">
        <f t="shared" si="1373"/>
        <v>NA</v>
      </c>
      <c r="BC429" s="202">
        <v>0</v>
      </c>
      <c r="BD429" s="81" t="str">
        <f t="shared" si="1373"/>
        <v>NA</v>
      </c>
      <c r="BE429" s="202">
        <v>0</v>
      </c>
      <c r="BF429" s="81" t="str">
        <f t="shared" si="1374"/>
        <v>NA</v>
      </c>
      <c r="BG429" s="202">
        <v>0</v>
      </c>
      <c r="BH429" s="81" t="str">
        <f t="shared" si="1375"/>
        <v>NA</v>
      </c>
      <c r="BI429" s="202">
        <v>0</v>
      </c>
      <c r="BJ429" s="81" t="str">
        <f t="shared" si="1376"/>
        <v>NA</v>
      </c>
      <c r="BK429" s="202">
        <v>0</v>
      </c>
      <c r="BL429" s="81" t="str">
        <f t="shared" si="1377"/>
        <v>NA</v>
      </c>
      <c r="BM429" s="202">
        <v>0</v>
      </c>
      <c r="BN429" s="81" t="str">
        <f t="shared" si="1378"/>
        <v>NA</v>
      </c>
      <c r="BO429" s="202">
        <v>0</v>
      </c>
      <c r="BP429" s="81" t="str">
        <f t="shared" si="1379"/>
        <v>NA</v>
      </c>
      <c r="BQ429" s="131">
        <v>0</v>
      </c>
      <c r="BR429" s="81" t="str">
        <f t="shared" si="1380"/>
        <v>NA</v>
      </c>
      <c r="BS429" s="131">
        <v>0</v>
      </c>
      <c r="BT429" s="81" t="str">
        <f t="shared" si="1381"/>
        <v>NA</v>
      </c>
      <c r="BU429" s="131">
        <v>0</v>
      </c>
      <c r="BV429" s="81" t="str">
        <f t="shared" si="1382"/>
        <v>NA</v>
      </c>
      <c r="BW429" s="131">
        <v>0</v>
      </c>
      <c r="BX429" s="81" t="str">
        <f t="shared" si="1383"/>
        <v>NA</v>
      </c>
      <c r="BY429" s="131">
        <v>0</v>
      </c>
      <c r="BZ429" s="81" t="str">
        <f t="shared" si="1384"/>
        <v>NA</v>
      </c>
      <c r="CA429" s="131">
        <v>0</v>
      </c>
      <c r="CB429" s="81" t="str">
        <f t="shared" si="1385"/>
        <v>NA</v>
      </c>
      <c r="CC429" s="131">
        <v>0</v>
      </c>
      <c r="CD429" s="81" t="str">
        <f t="shared" si="1386"/>
        <v>NA</v>
      </c>
      <c r="CE429" s="131">
        <v>0</v>
      </c>
      <c r="CF429" s="81" t="str">
        <f t="shared" si="1387"/>
        <v>NA</v>
      </c>
      <c r="CG429" s="131">
        <v>0</v>
      </c>
      <c r="CH429" s="81" t="str">
        <f t="shared" si="1388"/>
        <v>NA</v>
      </c>
      <c r="CI429" s="131">
        <v>0</v>
      </c>
      <c r="CJ429" s="81" t="str">
        <f t="shared" si="1389"/>
        <v>NA</v>
      </c>
      <c r="CK429" s="131">
        <v>0</v>
      </c>
      <c r="CL429" s="81" t="str">
        <f t="shared" si="1390"/>
        <v>NA</v>
      </c>
      <c r="CM429" s="131">
        <v>0</v>
      </c>
      <c r="CN429" s="81" t="str">
        <f t="shared" si="1391"/>
        <v>NA</v>
      </c>
      <c r="CO429" s="131">
        <v>0</v>
      </c>
      <c r="CP429" s="81" t="str">
        <f t="shared" si="1392"/>
        <v>NA</v>
      </c>
      <c r="CQ429" s="131">
        <v>0</v>
      </c>
      <c r="CR429" s="81" t="str">
        <f t="shared" si="1393"/>
        <v>NA</v>
      </c>
      <c r="CS429" s="131">
        <v>0</v>
      </c>
      <c r="CT429" s="81" t="str">
        <f t="shared" si="1394"/>
        <v>NA</v>
      </c>
      <c r="CU429" s="131">
        <v>0</v>
      </c>
      <c r="CV429" s="81" t="str">
        <f t="shared" si="1395"/>
        <v>NA</v>
      </c>
      <c r="CW429" s="131">
        <v>0</v>
      </c>
      <c r="CX429" s="81" t="str">
        <f t="shared" si="1396"/>
        <v>NA</v>
      </c>
      <c r="CY429" s="131">
        <v>0</v>
      </c>
      <c r="CZ429" s="81" t="str">
        <f t="shared" si="1397"/>
        <v>NA</v>
      </c>
      <c r="DA429" s="131">
        <v>0</v>
      </c>
      <c r="DB429" s="81" t="str">
        <f t="shared" si="1398"/>
        <v>NA</v>
      </c>
      <c r="DC429" s="131">
        <v>0</v>
      </c>
      <c r="DD429" s="81" t="str">
        <f t="shared" si="1399"/>
        <v>NA</v>
      </c>
      <c r="DE429" s="131">
        <v>0</v>
      </c>
      <c r="DF429" s="81" t="str">
        <f t="shared" si="1400"/>
        <v>NA</v>
      </c>
      <c r="DG429" s="131">
        <v>0</v>
      </c>
      <c r="DH429" s="81" t="str">
        <f t="shared" si="1401"/>
        <v>NA</v>
      </c>
      <c r="DI429" s="131">
        <v>0</v>
      </c>
      <c r="DJ429" s="81" t="str">
        <f t="shared" si="1402"/>
        <v>NA</v>
      </c>
      <c r="DK429" s="131">
        <v>0</v>
      </c>
      <c r="DL429" s="81" t="str">
        <f t="shared" si="1403"/>
        <v>NA</v>
      </c>
      <c r="DM429" s="131">
        <v>0</v>
      </c>
      <c r="DN429" s="81" t="str">
        <f t="shared" si="1404"/>
        <v>NA</v>
      </c>
      <c r="DO429" s="131">
        <v>0</v>
      </c>
      <c r="DP429" s="81" t="str">
        <f t="shared" si="1404"/>
        <v>NA</v>
      </c>
      <c r="DQ429" s="131">
        <v>0</v>
      </c>
      <c r="DR429" s="81" t="str">
        <f t="shared" si="1405"/>
        <v>NA</v>
      </c>
      <c r="DS429" s="131">
        <v>0</v>
      </c>
      <c r="DT429" s="81" t="str">
        <f t="shared" si="1406"/>
        <v>NA</v>
      </c>
      <c r="DU429" s="131">
        <v>0</v>
      </c>
      <c r="DV429" s="81" t="str">
        <f t="shared" si="1407"/>
        <v>NA</v>
      </c>
      <c r="DW429" s="131">
        <v>0</v>
      </c>
      <c r="DX429" s="81" t="str">
        <f t="shared" si="1408"/>
        <v>NA</v>
      </c>
      <c r="DY429" s="131">
        <v>0</v>
      </c>
      <c r="DZ429" s="81" t="str">
        <f t="shared" si="1409"/>
        <v>NA</v>
      </c>
      <c r="EA429" s="131">
        <v>0</v>
      </c>
      <c r="EB429" s="81" t="str">
        <f t="shared" si="1410"/>
        <v>NA</v>
      </c>
      <c r="EC429" s="131">
        <v>0</v>
      </c>
      <c r="ED429" s="81" t="str">
        <f t="shared" si="1411"/>
        <v>NA</v>
      </c>
      <c r="EE429" s="131">
        <v>0</v>
      </c>
      <c r="EF429" s="81" t="str">
        <f t="shared" si="1412"/>
        <v>NA</v>
      </c>
      <c r="EG429" s="131">
        <v>0</v>
      </c>
      <c r="EH429" s="81" t="str">
        <f t="shared" si="1413"/>
        <v>NA</v>
      </c>
      <c r="EI429" s="131">
        <v>0</v>
      </c>
      <c r="EJ429" s="81" t="str">
        <f t="shared" si="1414"/>
        <v>NA</v>
      </c>
      <c r="EK429" s="131">
        <v>0</v>
      </c>
      <c r="EL429" s="81" t="str">
        <f t="shared" si="1415"/>
        <v>NA</v>
      </c>
      <c r="EM429" s="131">
        <v>0</v>
      </c>
      <c r="EN429" s="81" t="str">
        <f t="shared" si="1416"/>
        <v>NA</v>
      </c>
      <c r="EO429" s="131">
        <v>0</v>
      </c>
      <c r="EP429" s="81" t="str">
        <f t="shared" si="1417"/>
        <v>NA</v>
      </c>
      <c r="EQ429" s="131">
        <v>0</v>
      </c>
      <c r="ER429" s="81" t="str">
        <f t="shared" si="1418"/>
        <v>NA</v>
      </c>
      <c r="ES429" s="131"/>
      <c r="ET429" s="471"/>
      <c r="EU429" s="131"/>
      <c r="EV429" s="131"/>
      <c r="EW429" s="146"/>
      <c r="EX429" s="131"/>
      <c r="EY429" s="146"/>
      <c r="EZ429" s="145"/>
      <c r="FA429" s="146"/>
      <c r="FB429" s="145">
        <f t="shared" si="1419"/>
        <v>0</v>
      </c>
      <c r="FC429" s="146" t="str">
        <f t="shared" si="1420"/>
        <v>NA</v>
      </c>
      <c r="FD429" s="145">
        <f t="shared" si="1421"/>
        <v>0</v>
      </c>
      <c r="FE429" s="146" t="str">
        <f t="shared" si="1422"/>
        <v>NA</v>
      </c>
      <c r="FF429" s="145">
        <f t="shared" si="1423"/>
        <v>0</v>
      </c>
      <c r="FG429" s="146" t="str">
        <f t="shared" si="1424"/>
        <v>NA</v>
      </c>
      <c r="FH429" s="145">
        <f t="shared" si="1425"/>
        <v>0</v>
      </c>
      <c r="FI429" s="146" t="str">
        <f t="shared" si="1426"/>
        <v>NA</v>
      </c>
      <c r="FJ429" s="145">
        <f t="shared" si="1427"/>
        <v>0</v>
      </c>
      <c r="FK429" s="146" t="str">
        <f t="shared" si="1426"/>
        <v>NA</v>
      </c>
      <c r="FL429" s="145">
        <f t="shared" si="1428"/>
        <v>0</v>
      </c>
      <c r="FM429" s="146" t="str">
        <f t="shared" si="1426"/>
        <v>NA</v>
      </c>
      <c r="FN429" s="145">
        <f t="shared" si="1429"/>
        <v>0</v>
      </c>
      <c r="FO429" s="146" t="str">
        <f t="shared" si="1426"/>
        <v>NA</v>
      </c>
      <c r="FP429" s="145">
        <f t="shared" si="1430"/>
        <v>0</v>
      </c>
      <c r="FQ429" s="146" t="str">
        <f t="shared" si="1426"/>
        <v>NA</v>
      </c>
      <c r="FR429" s="145">
        <f t="shared" si="1431"/>
        <v>0</v>
      </c>
      <c r="FS429" s="146" t="str">
        <f t="shared" si="1426"/>
        <v>NA</v>
      </c>
      <c r="FT429" s="145">
        <f t="shared" si="1432"/>
        <v>0</v>
      </c>
      <c r="FU429" s="146" t="str">
        <f t="shared" si="1426"/>
        <v>NA</v>
      </c>
      <c r="FV429" s="145">
        <f t="shared" si="1433"/>
        <v>0</v>
      </c>
      <c r="FW429" s="146" t="str">
        <f t="shared" si="1426"/>
        <v>NA</v>
      </c>
      <c r="FX429" s="145">
        <f t="shared" si="1434"/>
        <v>0</v>
      </c>
      <c r="FY429" s="146" t="str">
        <f t="shared" si="1426"/>
        <v>NA</v>
      </c>
      <c r="FZ429" s="145">
        <f t="shared" si="1435"/>
        <v>0</v>
      </c>
      <c r="GA429" s="146" t="str">
        <f t="shared" si="1426"/>
        <v>NA</v>
      </c>
      <c r="GB429" s="145">
        <f t="shared" si="1436"/>
        <v>0</v>
      </c>
      <c r="GC429" s="146" t="str">
        <f t="shared" si="1426"/>
        <v>NA</v>
      </c>
      <c r="GD429" s="145">
        <f t="shared" si="1437"/>
        <v>0</v>
      </c>
      <c r="GE429" s="146" t="str">
        <f t="shared" si="1426"/>
        <v>NA</v>
      </c>
      <c r="GF429" s="145">
        <f t="shared" si="1438"/>
        <v>0</v>
      </c>
      <c r="GG429" s="146" t="str">
        <f t="shared" si="1426"/>
        <v>NA</v>
      </c>
      <c r="GH429" s="145">
        <f t="shared" si="1439"/>
        <v>0</v>
      </c>
      <c r="GI429" s="146" t="str">
        <f t="shared" si="1426"/>
        <v>NA</v>
      </c>
      <c r="GJ429" s="145">
        <f t="shared" si="1440"/>
        <v>0</v>
      </c>
      <c r="GK429" s="146" t="str">
        <f t="shared" si="1426"/>
        <v>NA</v>
      </c>
      <c r="GL429" s="131">
        <v>0</v>
      </c>
      <c r="GM429" s="146" t="str">
        <f t="shared" si="1426"/>
        <v>NA</v>
      </c>
      <c r="GN429" s="131">
        <v>0</v>
      </c>
      <c r="GO429" s="146" t="str">
        <f t="shared" si="1426"/>
        <v>NA</v>
      </c>
      <c r="GP429" s="131">
        <v>0</v>
      </c>
      <c r="GQ429" s="146" t="str">
        <f t="shared" si="1426"/>
        <v>NA</v>
      </c>
      <c r="GR429" s="131">
        <v>0</v>
      </c>
      <c r="GS429" s="146" t="str">
        <f t="shared" si="1441"/>
        <v>NA</v>
      </c>
      <c r="GT429" s="79" t="str">
        <f t="shared" si="1442"/>
        <v>NA</v>
      </c>
      <c r="GU429" s="562"/>
      <c r="GV429" s="562"/>
      <c r="GW429"/>
      <c r="GX429"/>
      <c r="GY429"/>
      <c r="GZ429"/>
      <c r="HA429"/>
      <c r="HB429"/>
      <c r="HC429" s="562"/>
      <c r="HD429" s="562"/>
      <c r="HE429" s="562"/>
      <c r="HF429" s="562"/>
      <c r="HG429" s="562"/>
      <c r="HH429" s="562"/>
      <c r="HI429" s="562"/>
      <c r="HJ429" s="562"/>
      <c r="HK429" s="562"/>
      <c r="HL429" s="562"/>
      <c r="HM429" s="562"/>
      <c r="HN429" s="562"/>
      <c r="HO429" s="562"/>
      <c r="HP429" s="562"/>
      <c r="HQ429" s="562"/>
      <c r="HR429" s="562"/>
      <c r="HS429" s="562"/>
      <c r="HT429" s="562"/>
      <c r="HU429" s="562"/>
      <c r="HV429" s="562"/>
      <c r="HW429" s="562"/>
      <c r="HX429" s="562"/>
      <c r="HY429" s="562"/>
      <c r="HZ429" s="562"/>
      <c r="IA429" s="562"/>
      <c r="IB429" s="562"/>
      <c r="IC429" s="562"/>
      <c r="ID429" s="562"/>
      <c r="IE429" s="562"/>
      <c r="IF429" s="562"/>
      <c r="IG429" s="562"/>
      <c r="IH429" s="562"/>
      <c r="II429" s="562"/>
      <c r="IJ429" s="562"/>
      <c r="IK429" s="562"/>
      <c r="IL429" s="562"/>
      <c r="IM429" s="562"/>
      <c r="IN429" s="562"/>
      <c r="IO429" s="562"/>
      <c r="IP429" s="562"/>
      <c r="IQ429" s="562"/>
      <c r="IR429" s="562"/>
      <c r="IS429" s="562"/>
      <c r="IT429" s="562"/>
      <c r="IU429" s="562"/>
      <c r="IV429" s="562"/>
      <c r="IW429" s="562"/>
      <c r="IX429" s="562"/>
      <c r="IY429" s="562"/>
      <c r="IZ429" s="562"/>
      <c r="JA429" s="562"/>
      <c r="JB429" s="562"/>
      <c r="JC429" s="562"/>
      <c r="JD429" s="562"/>
      <c r="JE429" s="562"/>
      <c r="JF429" s="562"/>
      <c r="JG429" s="562"/>
      <c r="JH429" s="562"/>
      <c r="JI429" s="562"/>
      <c r="JJ429" s="562"/>
      <c r="JK429" s="562"/>
      <c r="JL429" s="562"/>
      <c r="JM429" s="562"/>
      <c r="JN429" s="562"/>
      <c r="JO429" s="562"/>
      <c r="JP429" s="562"/>
      <c r="JQ429" s="562"/>
      <c r="JR429" s="562"/>
      <c r="JS429" s="562"/>
      <c r="JT429" s="562"/>
      <c r="JU429" s="562"/>
      <c r="JV429" s="562"/>
      <c r="JW429" s="562"/>
      <c r="JX429" s="562"/>
      <c r="JY429" s="562"/>
      <c r="JZ429" s="562"/>
    </row>
    <row r="430" spans="1:286" s="249" customFormat="1" ht="12.75" hidden="1" customHeight="1" outlineLevel="1" x14ac:dyDescent="0.2">
      <c r="A430" s="248"/>
      <c r="B430" s="2" t="s">
        <v>444</v>
      </c>
      <c r="C430" s="79"/>
      <c r="D430" s="79"/>
      <c r="E430" s="131">
        <v>0</v>
      </c>
      <c r="F430" s="131"/>
      <c r="G430" s="131">
        <v>0</v>
      </c>
      <c r="H430" s="131"/>
      <c r="I430" s="131">
        <v>0</v>
      </c>
      <c r="J430" s="131"/>
      <c r="K430" s="131">
        <v>0</v>
      </c>
      <c r="L430" s="79"/>
      <c r="M430" s="131">
        <v>0</v>
      </c>
      <c r="N430" s="79" t="str">
        <f t="shared" si="1364"/>
        <v>NA</v>
      </c>
      <c r="O430" s="131">
        <v>0</v>
      </c>
      <c r="P430" s="79" t="str">
        <f t="shared" si="1364"/>
        <v>NA</v>
      </c>
      <c r="Q430" s="131">
        <v>0</v>
      </c>
      <c r="R430" s="79" t="str">
        <f t="shared" si="1364"/>
        <v>NA</v>
      </c>
      <c r="S430" s="131">
        <v>0</v>
      </c>
      <c r="T430" s="79" t="str">
        <f t="shared" si="1364"/>
        <v>NA</v>
      </c>
      <c r="U430" s="131">
        <v>0</v>
      </c>
      <c r="V430" s="79" t="str">
        <f t="shared" si="1364"/>
        <v>NA</v>
      </c>
      <c r="W430" s="131">
        <v>0</v>
      </c>
      <c r="X430" s="79" t="str">
        <f t="shared" si="1365"/>
        <v>NA</v>
      </c>
      <c r="Y430" s="131">
        <v>0</v>
      </c>
      <c r="Z430" s="79" t="str">
        <f t="shared" si="1366"/>
        <v>NA</v>
      </c>
      <c r="AA430" s="126">
        <v>0</v>
      </c>
      <c r="AB430" s="79" t="str">
        <f t="shared" si="1367"/>
        <v>NA</v>
      </c>
      <c r="AC430" s="131">
        <v>0</v>
      </c>
      <c r="AD430" s="79" t="str">
        <f t="shared" si="1368"/>
        <v>NA</v>
      </c>
      <c r="AE430" s="131">
        <v>0</v>
      </c>
      <c r="AF430" s="79" t="str">
        <f t="shared" si="1369"/>
        <v>NA</v>
      </c>
      <c r="AG430" s="131">
        <v>0</v>
      </c>
      <c r="AH430" s="79" t="str">
        <f t="shared" si="1370"/>
        <v>NA</v>
      </c>
      <c r="AI430" s="131">
        <v>0</v>
      </c>
      <c r="AJ430" s="79" t="str">
        <f t="shared" si="1371"/>
        <v>NA</v>
      </c>
      <c r="AK430" s="131">
        <v>0</v>
      </c>
      <c r="AL430" s="79" t="str">
        <f t="shared" si="1372"/>
        <v>NA</v>
      </c>
      <c r="AM430" s="131">
        <v>0</v>
      </c>
      <c r="AN430" s="79" t="str">
        <f t="shared" si="1373"/>
        <v>NA</v>
      </c>
      <c r="AO430" s="131">
        <v>0</v>
      </c>
      <c r="AP430" s="79" t="str">
        <f t="shared" si="1373"/>
        <v>NA</v>
      </c>
      <c r="AQ430" s="202">
        <v>0</v>
      </c>
      <c r="AR430" s="79" t="str">
        <f t="shared" si="1373"/>
        <v>NA</v>
      </c>
      <c r="AS430" s="202">
        <v>-3.4</v>
      </c>
      <c r="AT430" s="81" t="str">
        <f t="shared" si="1373"/>
        <v>NA</v>
      </c>
      <c r="AU430" s="202">
        <f>-17.8*0.65</f>
        <v>-11.57</v>
      </c>
      <c r="AV430" s="81" t="str">
        <f t="shared" si="1373"/>
        <v>NA</v>
      </c>
      <c r="AW430" s="202">
        <f>-18.5*0.652</f>
        <v>-12.062000000000001</v>
      </c>
      <c r="AX430" s="81" t="str">
        <f t="shared" si="1373"/>
        <v>NA</v>
      </c>
      <c r="AY430" s="202">
        <f>-1.9+3.9+91.9</f>
        <v>93.9</v>
      </c>
      <c r="AZ430" s="81" t="str">
        <f t="shared" si="1373"/>
        <v>NA</v>
      </c>
      <c r="BA430" s="202">
        <v>0</v>
      </c>
      <c r="BB430" s="81" t="str">
        <f t="shared" si="1373"/>
        <v>NM</v>
      </c>
      <c r="BC430" s="202">
        <v>0</v>
      </c>
      <c r="BD430" s="81" t="str">
        <f t="shared" si="1373"/>
        <v>NM</v>
      </c>
      <c r="BE430" s="202">
        <v>0</v>
      </c>
      <c r="BF430" s="81" t="str">
        <f t="shared" si="1374"/>
        <v>NM</v>
      </c>
      <c r="BG430" s="202">
        <f>-36.1</f>
        <v>-36.1</v>
      </c>
      <c r="BH430" s="81" t="str">
        <f t="shared" si="1375"/>
        <v>NM</v>
      </c>
      <c r="BI430" s="202">
        <v>0</v>
      </c>
      <c r="BJ430" s="81" t="str">
        <f t="shared" si="1376"/>
        <v>NA</v>
      </c>
      <c r="BK430" s="202">
        <v>0</v>
      </c>
      <c r="BL430" s="81" t="str">
        <f t="shared" si="1377"/>
        <v>NA</v>
      </c>
      <c r="BM430" s="202">
        <v>0</v>
      </c>
      <c r="BN430" s="81" t="str">
        <f t="shared" si="1378"/>
        <v>NA</v>
      </c>
      <c r="BO430" s="202">
        <v>0</v>
      </c>
      <c r="BP430" s="81" t="str">
        <f t="shared" si="1379"/>
        <v>NM</v>
      </c>
      <c r="BQ430" s="202">
        <v>0</v>
      </c>
      <c r="BR430" s="81" t="str">
        <f t="shared" si="1380"/>
        <v>NA</v>
      </c>
      <c r="BS430" s="202">
        <v>0</v>
      </c>
      <c r="BT430" s="81" t="str">
        <f t="shared" si="1381"/>
        <v>NA</v>
      </c>
      <c r="BU430" s="202">
        <v>0</v>
      </c>
      <c r="BV430" s="81" t="str">
        <f t="shared" si="1382"/>
        <v>NA</v>
      </c>
      <c r="BW430" s="202">
        <v>0</v>
      </c>
      <c r="BX430" s="81" t="str">
        <f t="shared" si="1383"/>
        <v>NA</v>
      </c>
      <c r="BY430" s="202">
        <v>0</v>
      </c>
      <c r="BZ430" s="81" t="str">
        <f t="shared" si="1384"/>
        <v>NA</v>
      </c>
      <c r="CA430" s="202">
        <v>0</v>
      </c>
      <c r="CB430" s="81" t="str">
        <f t="shared" si="1385"/>
        <v>NA</v>
      </c>
      <c r="CC430" s="202">
        <v>0</v>
      </c>
      <c r="CD430" s="81" t="str">
        <f t="shared" si="1386"/>
        <v>NA</v>
      </c>
      <c r="CE430" s="202">
        <v>0</v>
      </c>
      <c r="CF430" s="81" t="str">
        <f t="shared" si="1387"/>
        <v>NA</v>
      </c>
      <c r="CG430" s="202">
        <v>0</v>
      </c>
      <c r="CH430" s="81" t="str">
        <f t="shared" si="1388"/>
        <v>NA</v>
      </c>
      <c r="CI430" s="202">
        <v>0</v>
      </c>
      <c r="CJ430" s="81" t="str">
        <f t="shared" si="1389"/>
        <v>NA</v>
      </c>
      <c r="CK430" s="202">
        <v>0</v>
      </c>
      <c r="CL430" s="81" t="str">
        <f t="shared" si="1390"/>
        <v>NA</v>
      </c>
      <c r="CM430" s="202">
        <v>0</v>
      </c>
      <c r="CN430" s="81" t="str">
        <f t="shared" si="1391"/>
        <v>NA</v>
      </c>
      <c r="CO430" s="202">
        <v>0</v>
      </c>
      <c r="CP430" s="81" t="str">
        <f t="shared" si="1392"/>
        <v>NA</v>
      </c>
      <c r="CQ430" s="202">
        <v>0</v>
      </c>
      <c r="CR430" s="81" t="str">
        <f t="shared" si="1393"/>
        <v>NA</v>
      </c>
      <c r="CS430" s="202">
        <v>0</v>
      </c>
      <c r="CT430" s="81" t="str">
        <f t="shared" si="1394"/>
        <v>NA</v>
      </c>
      <c r="CU430" s="202">
        <v>0</v>
      </c>
      <c r="CV430" s="81" t="str">
        <f t="shared" si="1395"/>
        <v>NA</v>
      </c>
      <c r="CW430" s="202">
        <v>0</v>
      </c>
      <c r="CX430" s="81" t="str">
        <f t="shared" si="1396"/>
        <v>NA</v>
      </c>
      <c r="CY430" s="202">
        <v>0</v>
      </c>
      <c r="CZ430" s="81" t="str">
        <f t="shared" si="1397"/>
        <v>NA</v>
      </c>
      <c r="DA430" s="202">
        <v>0</v>
      </c>
      <c r="DB430" s="81" t="str">
        <f t="shared" si="1398"/>
        <v>NA</v>
      </c>
      <c r="DC430" s="202">
        <v>0</v>
      </c>
      <c r="DD430" s="81" t="str">
        <f t="shared" si="1399"/>
        <v>NA</v>
      </c>
      <c r="DE430" s="202">
        <v>0</v>
      </c>
      <c r="DF430" s="81" t="str">
        <f t="shared" si="1400"/>
        <v>NA</v>
      </c>
      <c r="DG430" s="202">
        <v>0</v>
      </c>
      <c r="DH430" s="81" t="str">
        <f t="shared" si="1401"/>
        <v>NA</v>
      </c>
      <c r="DI430" s="202">
        <v>0</v>
      </c>
      <c r="DJ430" s="81" t="str">
        <f t="shared" si="1402"/>
        <v>NA</v>
      </c>
      <c r="DK430" s="202">
        <v>0</v>
      </c>
      <c r="DL430" s="81" t="str">
        <f t="shared" si="1403"/>
        <v>NA</v>
      </c>
      <c r="DM430" s="202">
        <v>0</v>
      </c>
      <c r="DN430" s="81" t="str">
        <f t="shared" si="1404"/>
        <v>NA</v>
      </c>
      <c r="DO430" s="202">
        <v>0</v>
      </c>
      <c r="DP430" s="81" t="str">
        <f t="shared" si="1404"/>
        <v>NA</v>
      </c>
      <c r="DQ430" s="202">
        <v>0</v>
      </c>
      <c r="DR430" s="81" t="str">
        <f t="shared" si="1405"/>
        <v>NA</v>
      </c>
      <c r="DS430" s="202">
        <v>0</v>
      </c>
      <c r="DT430" s="81" t="str">
        <f t="shared" si="1406"/>
        <v>NA</v>
      </c>
      <c r="DU430" s="202">
        <v>0</v>
      </c>
      <c r="DV430" s="81" t="str">
        <f t="shared" si="1407"/>
        <v>NA</v>
      </c>
      <c r="DW430" s="202">
        <v>0</v>
      </c>
      <c r="DX430" s="81" t="str">
        <f t="shared" si="1408"/>
        <v>NA</v>
      </c>
      <c r="DY430" s="202">
        <v>0</v>
      </c>
      <c r="DZ430" s="81" t="str">
        <f t="shared" si="1409"/>
        <v>NA</v>
      </c>
      <c r="EA430" s="202">
        <v>0</v>
      </c>
      <c r="EB430" s="81" t="str">
        <f t="shared" si="1410"/>
        <v>NA</v>
      </c>
      <c r="EC430" s="202">
        <v>0</v>
      </c>
      <c r="ED430" s="81" t="str">
        <f t="shared" si="1411"/>
        <v>NA</v>
      </c>
      <c r="EE430" s="202">
        <v>0</v>
      </c>
      <c r="EF430" s="81" t="str">
        <f t="shared" si="1412"/>
        <v>NA</v>
      </c>
      <c r="EG430" s="202">
        <v>0</v>
      </c>
      <c r="EH430" s="81" t="str">
        <f t="shared" si="1413"/>
        <v>NA</v>
      </c>
      <c r="EI430" s="202">
        <v>0</v>
      </c>
      <c r="EJ430" s="81" t="str">
        <f t="shared" si="1414"/>
        <v>NA</v>
      </c>
      <c r="EK430" s="202">
        <v>0</v>
      </c>
      <c r="EL430" s="81" t="str">
        <f t="shared" si="1415"/>
        <v>NA</v>
      </c>
      <c r="EM430" s="202">
        <v>0</v>
      </c>
      <c r="EN430" s="81" t="str">
        <f t="shared" si="1416"/>
        <v>NA</v>
      </c>
      <c r="EO430" s="202">
        <v>0</v>
      </c>
      <c r="EP430" s="81" t="str">
        <f t="shared" si="1417"/>
        <v>NA</v>
      </c>
      <c r="EQ430" s="202">
        <v>0</v>
      </c>
      <c r="ER430" s="81" t="str">
        <f t="shared" si="1418"/>
        <v>NA</v>
      </c>
      <c r="ES430" s="202"/>
      <c r="ET430" s="475"/>
      <c r="EU430" s="202"/>
      <c r="EV430" s="202"/>
      <c r="EW430" s="201"/>
      <c r="EX430" s="202"/>
      <c r="EY430" s="201"/>
      <c r="EZ430" s="241"/>
      <c r="FA430" s="201"/>
      <c r="FB430" s="241">
        <f t="shared" si="1419"/>
        <v>0</v>
      </c>
      <c r="FC430" s="201" t="str">
        <f t="shared" si="1420"/>
        <v>NA</v>
      </c>
      <c r="FD430" s="241">
        <f t="shared" si="1421"/>
        <v>0</v>
      </c>
      <c r="FE430" s="201" t="str">
        <f t="shared" si="1422"/>
        <v>NA</v>
      </c>
      <c r="FF430" s="241">
        <f t="shared" si="1423"/>
        <v>0</v>
      </c>
      <c r="FG430" s="201" t="str">
        <f t="shared" si="1424"/>
        <v>NA</v>
      </c>
      <c r="FH430" s="241">
        <f t="shared" si="1425"/>
        <v>0</v>
      </c>
      <c r="FI430" s="201" t="str">
        <f t="shared" si="1426"/>
        <v>NA</v>
      </c>
      <c r="FJ430" s="241">
        <f t="shared" si="1427"/>
        <v>0</v>
      </c>
      <c r="FK430" s="201" t="str">
        <f t="shared" si="1426"/>
        <v>NA</v>
      </c>
      <c r="FL430" s="241">
        <f t="shared" si="1428"/>
        <v>66.867999999999995</v>
      </c>
      <c r="FM430" s="201" t="str">
        <f t="shared" si="1426"/>
        <v>NA</v>
      </c>
      <c r="FN430" s="241">
        <f t="shared" si="1429"/>
        <v>-36.1</v>
      </c>
      <c r="FO430" s="201" t="str">
        <f t="shared" si="1426"/>
        <v>NM</v>
      </c>
      <c r="FP430" s="241">
        <f t="shared" si="1430"/>
        <v>0</v>
      </c>
      <c r="FQ430" s="201" t="str">
        <f t="shared" si="1426"/>
        <v>NM</v>
      </c>
      <c r="FR430" s="241">
        <f t="shared" si="1431"/>
        <v>0</v>
      </c>
      <c r="FS430" s="201" t="str">
        <f t="shared" si="1426"/>
        <v>NA</v>
      </c>
      <c r="FT430" s="241">
        <f t="shared" si="1432"/>
        <v>0</v>
      </c>
      <c r="FU430" s="201" t="str">
        <f t="shared" si="1426"/>
        <v>NA</v>
      </c>
      <c r="FV430" s="241">
        <f t="shared" si="1433"/>
        <v>0</v>
      </c>
      <c r="FW430" s="201" t="str">
        <f t="shared" si="1426"/>
        <v>NA</v>
      </c>
      <c r="FX430" s="241">
        <f t="shared" si="1434"/>
        <v>0</v>
      </c>
      <c r="FY430" s="201" t="str">
        <f t="shared" si="1426"/>
        <v>NA</v>
      </c>
      <c r="FZ430" s="241">
        <f t="shared" si="1435"/>
        <v>0</v>
      </c>
      <c r="GA430" s="201" t="str">
        <f t="shared" si="1426"/>
        <v>NA</v>
      </c>
      <c r="GB430" s="241">
        <f t="shared" si="1436"/>
        <v>0</v>
      </c>
      <c r="GC430" s="201" t="str">
        <f t="shared" si="1426"/>
        <v>NA</v>
      </c>
      <c r="GD430" s="241">
        <f t="shared" si="1437"/>
        <v>0</v>
      </c>
      <c r="GE430" s="201" t="str">
        <f t="shared" si="1426"/>
        <v>NA</v>
      </c>
      <c r="GF430" s="241">
        <f t="shared" si="1438"/>
        <v>0</v>
      </c>
      <c r="GG430" s="201" t="str">
        <f t="shared" si="1426"/>
        <v>NA</v>
      </c>
      <c r="GH430" s="241">
        <f t="shared" si="1439"/>
        <v>0</v>
      </c>
      <c r="GI430" s="201" t="str">
        <f t="shared" si="1426"/>
        <v>NA</v>
      </c>
      <c r="GJ430" s="241">
        <f t="shared" si="1440"/>
        <v>0</v>
      </c>
      <c r="GK430" s="201" t="str">
        <f t="shared" si="1426"/>
        <v>NA</v>
      </c>
      <c r="GL430" s="202">
        <v>0</v>
      </c>
      <c r="GM430" s="201" t="str">
        <f t="shared" si="1426"/>
        <v>NA</v>
      </c>
      <c r="GN430" s="202">
        <v>0</v>
      </c>
      <c r="GO430" s="201" t="str">
        <f t="shared" si="1426"/>
        <v>NA</v>
      </c>
      <c r="GP430" s="202">
        <v>0</v>
      </c>
      <c r="GQ430" s="201" t="str">
        <f t="shared" si="1426"/>
        <v>NA</v>
      </c>
      <c r="GR430" s="202">
        <v>0</v>
      </c>
      <c r="GS430" s="201" t="str">
        <f t="shared" si="1441"/>
        <v>NA</v>
      </c>
      <c r="GT430" s="79" t="str">
        <f t="shared" si="1442"/>
        <v>NA</v>
      </c>
      <c r="GU430" s="562"/>
      <c r="GV430" s="562"/>
      <c r="GW430"/>
      <c r="GX430"/>
      <c r="GY430"/>
      <c r="GZ430"/>
      <c r="HA430"/>
      <c r="HB430"/>
      <c r="HC430" s="562"/>
      <c r="HD430" s="562"/>
      <c r="HE430" s="562"/>
      <c r="HF430" s="562"/>
      <c r="HG430" s="562"/>
      <c r="HH430" s="562"/>
      <c r="HI430" s="562"/>
      <c r="HJ430" s="562"/>
      <c r="HK430" s="562"/>
      <c r="HL430" s="562"/>
      <c r="HM430" s="562"/>
      <c r="HN430" s="562"/>
      <c r="HO430" s="562"/>
      <c r="HP430" s="562"/>
      <c r="HQ430" s="562"/>
      <c r="HR430" s="562"/>
      <c r="HS430" s="562"/>
      <c r="HT430" s="562"/>
      <c r="HU430" s="562"/>
      <c r="HV430" s="562"/>
      <c r="HW430" s="562"/>
      <c r="HX430" s="562"/>
      <c r="HY430" s="562"/>
      <c r="HZ430" s="562"/>
      <c r="IA430" s="562"/>
      <c r="IB430" s="562"/>
      <c r="IC430" s="562"/>
      <c r="ID430" s="562"/>
      <c r="IE430" s="562"/>
      <c r="IF430" s="562"/>
      <c r="IG430" s="562"/>
      <c r="IH430" s="562"/>
      <c r="II430" s="562"/>
      <c r="IJ430" s="562"/>
      <c r="IK430" s="562"/>
      <c r="IL430" s="562"/>
      <c r="IM430" s="562"/>
      <c r="IN430" s="562"/>
      <c r="IO430" s="562"/>
      <c r="IP430" s="562"/>
      <c r="IQ430" s="562"/>
      <c r="IR430" s="562"/>
      <c r="IS430" s="562"/>
      <c r="IT430" s="562"/>
      <c r="IU430" s="562"/>
      <c r="IV430" s="562"/>
      <c r="IW430" s="562"/>
      <c r="IX430" s="562"/>
      <c r="IY430" s="562"/>
      <c r="IZ430" s="562"/>
      <c r="JA430" s="562"/>
      <c r="JB430" s="562"/>
      <c r="JC430" s="562"/>
      <c r="JD430" s="562"/>
      <c r="JE430" s="562"/>
      <c r="JF430" s="562"/>
      <c r="JG430" s="562"/>
      <c r="JH430" s="562"/>
      <c r="JI430" s="562"/>
      <c r="JJ430" s="562"/>
      <c r="JK430" s="562"/>
      <c r="JL430" s="562"/>
      <c r="JM430" s="562"/>
      <c r="JN430" s="562"/>
      <c r="JO430" s="562"/>
      <c r="JP430" s="562"/>
      <c r="JQ430" s="562"/>
      <c r="JR430" s="562"/>
      <c r="JS430" s="562"/>
      <c r="JT430" s="562"/>
      <c r="JU430" s="562"/>
      <c r="JV430" s="562"/>
      <c r="JW430" s="562"/>
      <c r="JX430" s="562"/>
      <c r="JY430" s="562"/>
      <c r="JZ430" s="562"/>
    </row>
    <row r="431" spans="1:286" s="249" customFormat="1" ht="12.75" hidden="1" customHeight="1" outlineLevel="1" x14ac:dyDescent="0.2">
      <c r="A431" s="248"/>
      <c r="B431" s="2" t="s">
        <v>349</v>
      </c>
      <c r="C431" s="79"/>
      <c r="D431" s="79"/>
      <c r="E431" s="131">
        <v>0</v>
      </c>
      <c r="F431" s="131"/>
      <c r="G431" s="131">
        <v>0</v>
      </c>
      <c r="H431" s="131"/>
      <c r="I431" s="131">
        <v>0</v>
      </c>
      <c r="J431" s="131"/>
      <c r="K431" s="131">
        <v>0</v>
      </c>
      <c r="L431" s="79"/>
      <c r="M431" s="131">
        <v>-7.1</v>
      </c>
      <c r="N431" s="79" t="str">
        <f t="shared" si="1364"/>
        <v>NA</v>
      </c>
      <c r="O431" s="131">
        <v>0</v>
      </c>
      <c r="P431" s="79" t="str">
        <f t="shared" si="1364"/>
        <v>NA</v>
      </c>
      <c r="Q431" s="131">
        <v>0</v>
      </c>
      <c r="R431" s="79" t="str">
        <f t="shared" si="1364"/>
        <v>NA</v>
      </c>
      <c r="S431" s="131">
        <v>0</v>
      </c>
      <c r="T431" s="79" t="str">
        <f t="shared" si="1364"/>
        <v>NA</v>
      </c>
      <c r="U431" s="131">
        <v>0</v>
      </c>
      <c r="V431" s="79" t="str">
        <f t="shared" si="1364"/>
        <v>NM</v>
      </c>
      <c r="W431" s="131">
        <v>0</v>
      </c>
      <c r="X431" s="79" t="str">
        <f t="shared" si="1365"/>
        <v>NA</v>
      </c>
      <c r="Y431" s="131">
        <v>0</v>
      </c>
      <c r="Z431" s="79" t="str">
        <f t="shared" si="1366"/>
        <v>NA</v>
      </c>
      <c r="AA431" s="126">
        <v>39.9</v>
      </c>
      <c r="AB431" s="79" t="str">
        <f t="shared" si="1367"/>
        <v>NA</v>
      </c>
      <c r="AC431" s="131">
        <v>0</v>
      </c>
      <c r="AD431" s="79" t="str">
        <f t="shared" si="1368"/>
        <v>NA</v>
      </c>
      <c r="AE431" s="131">
        <v>0</v>
      </c>
      <c r="AF431" s="79" t="str">
        <f t="shared" si="1369"/>
        <v>NA</v>
      </c>
      <c r="AG431" s="131">
        <v>0</v>
      </c>
      <c r="AH431" s="79" t="str">
        <f t="shared" si="1370"/>
        <v>NA</v>
      </c>
      <c r="AI431" s="131">
        <v>0</v>
      </c>
      <c r="AJ431" s="79" t="str">
        <f t="shared" si="1371"/>
        <v>NM</v>
      </c>
      <c r="AK431" s="131">
        <v>0</v>
      </c>
      <c r="AL431" s="79" t="str">
        <f t="shared" si="1372"/>
        <v>NA</v>
      </c>
      <c r="AM431" s="131">
        <v>0</v>
      </c>
      <c r="AN431" s="79" t="str">
        <f t="shared" si="1373"/>
        <v>NA</v>
      </c>
      <c r="AO431" s="131">
        <v>0</v>
      </c>
      <c r="AP431" s="79" t="str">
        <f t="shared" si="1373"/>
        <v>NA</v>
      </c>
      <c r="AQ431" s="202">
        <v>0</v>
      </c>
      <c r="AR431" s="79" t="str">
        <f t="shared" si="1373"/>
        <v>NA</v>
      </c>
      <c r="AS431" s="202">
        <v>0</v>
      </c>
      <c r="AT431" s="81" t="str">
        <f t="shared" si="1373"/>
        <v>NA</v>
      </c>
      <c r="AU431" s="202">
        <v>0</v>
      </c>
      <c r="AV431" s="81" t="str">
        <f t="shared" si="1373"/>
        <v>NA</v>
      </c>
      <c r="AW431" s="202">
        <v>0</v>
      </c>
      <c r="AX431" s="81" t="str">
        <f t="shared" si="1373"/>
        <v>NA</v>
      </c>
      <c r="AY431" s="202">
        <v>0</v>
      </c>
      <c r="AZ431" s="81" t="str">
        <f t="shared" si="1373"/>
        <v>NA</v>
      </c>
      <c r="BA431" s="202">
        <v>0</v>
      </c>
      <c r="BB431" s="81" t="str">
        <f t="shared" si="1373"/>
        <v>NA</v>
      </c>
      <c r="BC431" s="202">
        <v>0</v>
      </c>
      <c r="BD431" s="81" t="str">
        <f t="shared" si="1373"/>
        <v>NA</v>
      </c>
      <c r="BE431" s="202">
        <v>0</v>
      </c>
      <c r="BF431" s="81" t="str">
        <f t="shared" si="1374"/>
        <v>NA</v>
      </c>
      <c r="BG431" s="202">
        <v>0</v>
      </c>
      <c r="BH431" s="81" t="str">
        <f t="shared" si="1375"/>
        <v>NA</v>
      </c>
      <c r="BI431" s="202">
        <v>0</v>
      </c>
      <c r="BJ431" s="81" t="str">
        <f t="shared" si="1376"/>
        <v>NA</v>
      </c>
      <c r="BK431" s="202">
        <v>0</v>
      </c>
      <c r="BL431" s="81" t="str">
        <f t="shared" si="1377"/>
        <v>NA</v>
      </c>
      <c r="BM431" s="202">
        <v>0</v>
      </c>
      <c r="BN431" s="81" t="str">
        <f t="shared" si="1378"/>
        <v>NA</v>
      </c>
      <c r="BO431" s="202">
        <v>0</v>
      </c>
      <c r="BP431" s="81" t="str">
        <f t="shared" si="1379"/>
        <v>NA</v>
      </c>
      <c r="BQ431" s="131">
        <v>0</v>
      </c>
      <c r="BR431" s="81" t="str">
        <f t="shared" si="1380"/>
        <v>NA</v>
      </c>
      <c r="BS431" s="131">
        <v>0</v>
      </c>
      <c r="BT431" s="81" t="str">
        <f t="shared" si="1381"/>
        <v>NA</v>
      </c>
      <c r="BU431" s="131">
        <v>0</v>
      </c>
      <c r="BV431" s="81" t="str">
        <f t="shared" si="1382"/>
        <v>NA</v>
      </c>
      <c r="BW431" s="131">
        <v>0</v>
      </c>
      <c r="BX431" s="81" t="str">
        <f t="shared" si="1383"/>
        <v>NA</v>
      </c>
      <c r="BY431" s="131">
        <v>0</v>
      </c>
      <c r="BZ431" s="81" t="str">
        <f t="shared" si="1384"/>
        <v>NA</v>
      </c>
      <c r="CA431" s="131">
        <v>0</v>
      </c>
      <c r="CB431" s="81" t="str">
        <f t="shared" si="1385"/>
        <v>NA</v>
      </c>
      <c r="CC431" s="131">
        <v>0</v>
      </c>
      <c r="CD431" s="81" t="str">
        <f t="shared" si="1386"/>
        <v>NA</v>
      </c>
      <c r="CE431" s="131">
        <v>0</v>
      </c>
      <c r="CF431" s="81" t="str">
        <f t="shared" si="1387"/>
        <v>NA</v>
      </c>
      <c r="CG431" s="131">
        <v>0</v>
      </c>
      <c r="CH431" s="81" t="str">
        <f t="shared" si="1388"/>
        <v>NA</v>
      </c>
      <c r="CI431" s="131">
        <v>0</v>
      </c>
      <c r="CJ431" s="81" t="str">
        <f t="shared" si="1389"/>
        <v>NA</v>
      </c>
      <c r="CK431" s="131">
        <v>0</v>
      </c>
      <c r="CL431" s="81" t="str">
        <f t="shared" si="1390"/>
        <v>NA</v>
      </c>
      <c r="CM431" s="131">
        <v>0</v>
      </c>
      <c r="CN431" s="81" t="str">
        <f t="shared" si="1391"/>
        <v>NA</v>
      </c>
      <c r="CO431" s="131">
        <v>0</v>
      </c>
      <c r="CP431" s="81" t="str">
        <f t="shared" si="1392"/>
        <v>NA</v>
      </c>
      <c r="CQ431" s="131">
        <v>0</v>
      </c>
      <c r="CR431" s="81" t="str">
        <f t="shared" si="1393"/>
        <v>NA</v>
      </c>
      <c r="CS431" s="131">
        <v>0</v>
      </c>
      <c r="CT431" s="81" t="str">
        <f t="shared" si="1394"/>
        <v>NA</v>
      </c>
      <c r="CU431" s="131">
        <v>0</v>
      </c>
      <c r="CV431" s="81" t="str">
        <f t="shared" si="1395"/>
        <v>NA</v>
      </c>
      <c r="CW431" s="131">
        <v>0</v>
      </c>
      <c r="CX431" s="81" t="str">
        <f t="shared" si="1396"/>
        <v>NA</v>
      </c>
      <c r="CY431" s="131">
        <v>0</v>
      </c>
      <c r="CZ431" s="81" t="str">
        <f t="shared" si="1397"/>
        <v>NA</v>
      </c>
      <c r="DA431" s="131">
        <v>0</v>
      </c>
      <c r="DB431" s="81" t="str">
        <f t="shared" si="1398"/>
        <v>NA</v>
      </c>
      <c r="DC431" s="131">
        <v>0</v>
      </c>
      <c r="DD431" s="81" t="str">
        <f t="shared" si="1399"/>
        <v>NA</v>
      </c>
      <c r="DE431" s="131">
        <v>0</v>
      </c>
      <c r="DF431" s="81" t="str">
        <f t="shared" si="1400"/>
        <v>NA</v>
      </c>
      <c r="DG431" s="131">
        <v>0</v>
      </c>
      <c r="DH431" s="81" t="str">
        <f t="shared" si="1401"/>
        <v>NA</v>
      </c>
      <c r="DI431" s="131">
        <v>0</v>
      </c>
      <c r="DJ431" s="81" t="str">
        <f t="shared" si="1402"/>
        <v>NA</v>
      </c>
      <c r="DK431" s="131">
        <v>0</v>
      </c>
      <c r="DL431" s="81" t="str">
        <f t="shared" si="1403"/>
        <v>NA</v>
      </c>
      <c r="DM431" s="131">
        <v>0</v>
      </c>
      <c r="DN431" s="81" t="str">
        <f t="shared" si="1404"/>
        <v>NA</v>
      </c>
      <c r="DO431" s="131">
        <v>0</v>
      </c>
      <c r="DP431" s="81" t="str">
        <f t="shared" si="1404"/>
        <v>NA</v>
      </c>
      <c r="DQ431" s="131">
        <v>0</v>
      </c>
      <c r="DR431" s="81" t="str">
        <f t="shared" si="1405"/>
        <v>NA</v>
      </c>
      <c r="DS431" s="131">
        <v>0</v>
      </c>
      <c r="DT431" s="81" t="str">
        <f t="shared" si="1406"/>
        <v>NA</v>
      </c>
      <c r="DU431" s="131">
        <v>0</v>
      </c>
      <c r="DV431" s="81" t="str">
        <f t="shared" si="1407"/>
        <v>NA</v>
      </c>
      <c r="DW431" s="131">
        <v>0</v>
      </c>
      <c r="DX431" s="81" t="str">
        <f t="shared" si="1408"/>
        <v>NA</v>
      </c>
      <c r="DY431" s="131">
        <v>0</v>
      </c>
      <c r="DZ431" s="81" t="str">
        <f t="shared" si="1409"/>
        <v>NA</v>
      </c>
      <c r="EA431" s="131">
        <v>0</v>
      </c>
      <c r="EB431" s="81" t="str">
        <f t="shared" si="1410"/>
        <v>NA</v>
      </c>
      <c r="EC431" s="131">
        <v>0</v>
      </c>
      <c r="ED431" s="81" t="str">
        <f t="shared" si="1411"/>
        <v>NA</v>
      </c>
      <c r="EE431" s="131">
        <v>0</v>
      </c>
      <c r="EF431" s="81" t="str">
        <f t="shared" si="1412"/>
        <v>NA</v>
      </c>
      <c r="EG431" s="131">
        <v>0</v>
      </c>
      <c r="EH431" s="81" t="str">
        <f t="shared" si="1413"/>
        <v>NA</v>
      </c>
      <c r="EI431" s="131">
        <v>0</v>
      </c>
      <c r="EJ431" s="81" t="str">
        <f t="shared" si="1414"/>
        <v>NA</v>
      </c>
      <c r="EK431" s="131">
        <v>0</v>
      </c>
      <c r="EL431" s="81" t="str">
        <f t="shared" si="1415"/>
        <v>NA</v>
      </c>
      <c r="EM431" s="131">
        <v>0</v>
      </c>
      <c r="EN431" s="81" t="str">
        <f t="shared" si="1416"/>
        <v>NA</v>
      </c>
      <c r="EO431" s="131">
        <v>0</v>
      </c>
      <c r="EP431" s="81" t="str">
        <f t="shared" si="1417"/>
        <v>NA</v>
      </c>
      <c r="EQ431" s="131">
        <v>0</v>
      </c>
      <c r="ER431" s="81" t="str">
        <f t="shared" si="1418"/>
        <v>NA</v>
      </c>
      <c r="ES431" s="82"/>
      <c r="ET431" s="469"/>
      <c r="EU431" s="82"/>
      <c r="EV431" s="131"/>
      <c r="EW431" s="79"/>
      <c r="EX431" s="131"/>
      <c r="EY431" s="79"/>
      <c r="EZ431" s="145"/>
      <c r="FA431" s="79"/>
      <c r="FB431" s="145">
        <f t="shared" si="1419"/>
        <v>-7.1</v>
      </c>
      <c r="FC431" s="79" t="str">
        <f t="shared" si="1420"/>
        <v>NA</v>
      </c>
      <c r="FD431" s="145">
        <f t="shared" si="1421"/>
        <v>-7.1</v>
      </c>
      <c r="FE431" s="79">
        <f t="shared" si="1422"/>
        <v>0</v>
      </c>
      <c r="FF431" s="145">
        <f t="shared" si="1423"/>
        <v>39.9</v>
      </c>
      <c r="FG431" s="79" t="str">
        <f t="shared" si="1424"/>
        <v>NM</v>
      </c>
      <c r="FH431" s="145">
        <f t="shared" si="1425"/>
        <v>0</v>
      </c>
      <c r="FI431" s="79" t="str">
        <f t="shared" si="1426"/>
        <v>NM</v>
      </c>
      <c r="FJ431" s="145">
        <f t="shared" si="1427"/>
        <v>0</v>
      </c>
      <c r="FK431" s="79" t="str">
        <f t="shared" si="1426"/>
        <v>NA</v>
      </c>
      <c r="FL431" s="145">
        <f t="shared" si="1428"/>
        <v>0</v>
      </c>
      <c r="FM431" s="79" t="str">
        <f t="shared" si="1426"/>
        <v>NA</v>
      </c>
      <c r="FN431" s="145">
        <f t="shared" si="1429"/>
        <v>0</v>
      </c>
      <c r="FO431" s="79" t="str">
        <f t="shared" si="1426"/>
        <v>NA</v>
      </c>
      <c r="FP431" s="145">
        <f t="shared" si="1430"/>
        <v>0</v>
      </c>
      <c r="FQ431" s="79" t="str">
        <f t="shared" si="1426"/>
        <v>NA</v>
      </c>
      <c r="FR431" s="145">
        <f t="shared" si="1431"/>
        <v>0</v>
      </c>
      <c r="FS431" s="79" t="str">
        <f t="shared" si="1426"/>
        <v>NA</v>
      </c>
      <c r="FT431" s="145">
        <f t="shared" si="1432"/>
        <v>0</v>
      </c>
      <c r="FU431" s="79" t="str">
        <f t="shared" si="1426"/>
        <v>NA</v>
      </c>
      <c r="FV431" s="145">
        <f t="shared" si="1433"/>
        <v>0</v>
      </c>
      <c r="FW431" s="79" t="str">
        <f t="shared" si="1426"/>
        <v>NA</v>
      </c>
      <c r="FX431" s="145">
        <f t="shared" si="1434"/>
        <v>0</v>
      </c>
      <c r="FY431" s="79" t="str">
        <f t="shared" si="1426"/>
        <v>NA</v>
      </c>
      <c r="FZ431" s="145">
        <f t="shared" si="1435"/>
        <v>0</v>
      </c>
      <c r="GA431" s="79" t="str">
        <f t="shared" si="1426"/>
        <v>NA</v>
      </c>
      <c r="GB431" s="145">
        <f t="shared" si="1436"/>
        <v>0</v>
      </c>
      <c r="GC431" s="79" t="str">
        <f t="shared" si="1426"/>
        <v>NA</v>
      </c>
      <c r="GD431" s="145">
        <f t="shared" si="1437"/>
        <v>0</v>
      </c>
      <c r="GE431" s="79" t="str">
        <f t="shared" si="1426"/>
        <v>NA</v>
      </c>
      <c r="GF431" s="145">
        <f t="shared" si="1438"/>
        <v>0</v>
      </c>
      <c r="GG431" s="79" t="str">
        <f t="shared" si="1426"/>
        <v>NA</v>
      </c>
      <c r="GH431" s="145">
        <f t="shared" si="1439"/>
        <v>0</v>
      </c>
      <c r="GI431" s="79" t="str">
        <f t="shared" si="1426"/>
        <v>NA</v>
      </c>
      <c r="GJ431" s="145">
        <f t="shared" si="1440"/>
        <v>0</v>
      </c>
      <c r="GK431" s="79" t="str">
        <f t="shared" si="1426"/>
        <v>NA</v>
      </c>
      <c r="GL431" s="131">
        <v>0</v>
      </c>
      <c r="GM431" s="79" t="str">
        <f t="shared" si="1426"/>
        <v>NA</v>
      </c>
      <c r="GN431" s="131">
        <v>0</v>
      </c>
      <c r="GO431" s="79" t="str">
        <f t="shared" si="1426"/>
        <v>NA</v>
      </c>
      <c r="GP431" s="131">
        <v>0</v>
      </c>
      <c r="GQ431" s="79" t="str">
        <f t="shared" si="1426"/>
        <v>NA</v>
      </c>
      <c r="GR431" s="131">
        <v>0</v>
      </c>
      <c r="GS431" s="79" t="str">
        <f t="shared" si="1441"/>
        <v>NA</v>
      </c>
      <c r="GT431" s="79" t="str">
        <f t="shared" si="1442"/>
        <v>NA</v>
      </c>
      <c r="GU431" s="562"/>
      <c r="GV431" s="562"/>
      <c r="GW431"/>
      <c r="GX431"/>
      <c r="GY431"/>
      <c r="GZ431"/>
      <c r="HA431"/>
      <c r="HB431"/>
      <c r="HC431" s="562"/>
      <c r="HD431" s="562"/>
      <c r="HE431" s="562"/>
      <c r="HF431" s="562"/>
      <c r="HG431" s="562"/>
      <c r="HH431" s="562"/>
      <c r="HI431" s="562"/>
      <c r="HJ431" s="562"/>
      <c r="HK431" s="562"/>
      <c r="HL431" s="562"/>
      <c r="HM431" s="562"/>
      <c r="HN431" s="562"/>
      <c r="HO431" s="562"/>
      <c r="HP431" s="562"/>
      <c r="HQ431" s="562"/>
      <c r="HR431" s="562"/>
      <c r="HS431" s="562"/>
      <c r="HT431" s="562"/>
      <c r="HU431" s="562"/>
      <c r="HV431" s="562"/>
      <c r="HW431" s="562"/>
      <c r="HX431" s="562"/>
      <c r="HY431" s="562"/>
      <c r="HZ431" s="562"/>
      <c r="IA431" s="562"/>
      <c r="IB431" s="562"/>
      <c r="IC431" s="562"/>
      <c r="ID431" s="562"/>
      <c r="IE431" s="562"/>
      <c r="IF431" s="562"/>
      <c r="IG431" s="562"/>
      <c r="IH431" s="562"/>
      <c r="II431" s="562"/>
      <c r="IJ431" s="562"/>
      <c r="IK431" s="562"/>
      <c r="IL431" s="562"/>
      <c r="IM431" s="562"/>
      <c r="IN431" s="562"/>
      <c r="IO431" s="562"/>
      <c r="IP431" s="562"/>
      <c r="IQ431" s="562"/>
      <c r="IR431" s="562"/>
      <c r="IS431" s="562"/>
      <c r="IT431" s="562"/>
      <c r="IU431" s="562"/>
      <c r="IV431" s="562"/>
      <c r="IW431" s="562"/>
      <c r="IX431" s="562"/>
      <c r="IY431" s="562"/>
      <c r="IZ431" s="562"/>
      <c r="JA431" s="562"/>
      <c r="JB431" s="562"/>
      <c r="JC431" s="562"/>
      <c r="JD431" s="562"/>
      <c r="JE431" s="562"/>
      <c r="JF431" s="562"/>
      <c r="JG431" s="562"/>
      <c r="JH431" s="562"/>
      <c r="JI431" s="562"/>
      <c r="JJ431" s="562"/>
      <c r="JK431" s="562"/>
      <c r="JL431" s="562"/>
      <c r="JM431" s="562"/>
      <c r="JN431" s="562"/>
      <c r="JO431" s="562"/>
      <c r="JP431" s="562"/>
      <c r="JQ431" s="562"/>
      <c r="JR431" s="562"/>
      <c r="JS431" s="562"/>
      <c r="JT431" s="562"/>
      <c r="JU431" s="562"/>
      <c r="JV431" s="562"/>
      <c r="JW431" s="562"/>
      <c r="JX431" s="562"/>
      <c r="JY431" s="562"/>
      <c r="JZ431" s="562"/>
    </row>
    <row r="432" spans="1:286" s="249" customFormat="1" ht="12.75" hidden="1" customHeight="1" outlineLevel="1" collapsed="1" x14ac:dyDescent="0.2">
      <c r="A432" s="248"/>
      <c r="B432" s="2" t="s">
        <v>128</v>
      </c>
      <c r="C432" s="79"/>
      <c r="D432" s="79"/>
      <c r="E432" s="131">
        <v>2.1</v>
      </c>
      <c r="F432" s="131"/>
      <c r="G432" s="131">
        <v>3</v>
      </c>
      <c r="H432" s="131"/>
      <c r="I432" s="131">
        <v>6</v>
      </c>
      <c r="J432" s="131"/>
      <c r="K432" s="131">
        <v>24.5</v>
      </c>
      <c r="L432" s="79"/>
      <c r="M432" s="131">
        <v>0</v>
      </c>
      <c r="N432" s="79" t="str">
        <f t="shared" si="1364"/>
        <v>NM</v>
      </c>
      <c r="O432" s="131">
        <v>0</v>
      </c>
      <c r="P432" s="79" t="str">
        <f t="shared" si="1364"/>
        <v>NM</v>
      </c>
      <c r="Q432" s="131">
        <v>0</v>
      </c>
      <c r="R432" s="79" t="str">
        <f t="shared" si="1364"/>
        <v>NM</v>
      </c>
      <c r="S432" s="131">
        <v>0</v>
      </c>
      <c r="T432" s="79" t="str">
        <f t="shared" si="1364"/>
        <v>NM</v>
      </c>
      <c r="U432" s="131">
        <v>0</v>
      </c>
      <c r="V432" s="79" t="str">
        <f t="shared" si="1364"/>
        <v>NA</v>
      </c>
      <c r="W432" s="131">
        <v>0</v>
      </c>
      <c r="X432" s="79" t="str">
        <f t="shared" si="1365"/>
        <v>NA</v>
      </c>
      <c r="Y432" s="131">
        <v>0</v>
      </c>
      <c r="Z432" s="79" t="str">
        <f t="shared" si="1366"/>
        <v>NA</v>
      </c>
      <c r="AA432" s="317">
        <v>0</v>
      </c>
      <c r="AB432" s="79" t="str">
        <f t="shared" si="1367"/>
        <v>NA</v>
      </c>
      <c r="AC432" s="131">
        <v>0</v>
      </c>
      <c r="AD432" s="79" t="str">
        <f t="shared" si="1368"/>
        <v>NA</v>
      </c>
      <c r="AE432" s="131">
        <v>0</v>
      </c>
      <c r="AF432" s="79" t="str">
        <f t="shared" si="1369"/>
        <v>NA</v>
      </c>
      <c r="AG432" s="131">
        <v>0</v>
      </c>
      <c r="AH432" s="79" t="str">
        <f t="shared" si="1370"/>
        <v>NA</v>
      </c>
      <c r="AI432" s="131">
        <v>0</v>
      </c>
      <c r="AJ432" s="79" t="str">
        <f t="shared" si="1371"/>
        <v>NA</v>
      </c>
      <c r="AK432" s="131">
        <v>0</v>
      </c>
      <c r="AL432" s="79" t="str">
        <f t="shared" si="1372"/>
        <v>NA</v>
      </c>
      <c r="AM432" s="131">
        <v>0</v>
      </c>
      <c r="AN432" s="79" t="str">
        <f t="shared" si="1373"/>
        <v>NA</v>
      </c>
      <c r="AO432" s="131">
        <v>0</v>
      </c>
      <c r="AP432" s="79" t="str">
        <f t="shared" si="1373"/>
        <v>NA</v>
      </c>
      <c r="AQ432" s="202">
        <v>0</v>
      </c>
      <c r="AR432" s="79" t="str">
        <f t="shared" si="1373"/>
        <v>NA</v>
      </c>
      <c r="AS432" s="202">
        <v>0</v>
      </c>
      <c r="AT432" s="81" t="str">
        <f t="shared" si="1373"/>
        <v>NA</v>
      </c>
      <c r="AU432" s="202">
        <v>0</v>
      </c>
      <c r="AV432" s="81" t="str">
        <f t="shared" si="1373"/>
        <v>NA</v>
      </c>
      <c r="AW432" s="202">
        <v>0</v>
      </c>
      <c r="AX432" s="81" t="str">
        <f t="shared" si="1373"/>
        <v>NA</v>
      </c>
      <c r="AY432" s="202">
        <v>0</v>
      </c>
      <c r="AZ432" s="81" t="str">
        <f t="shared" si="1373"/>
        <v>NA</v>
      </c>
      <c r="BA432" s="202">
        <v>0</v>
      </c>
      <c r="BB432" s="81" t="str">
        <f t="shared" si="1373"/>
        <v>NA</v>
      </c>
      <c r="BC432" s="202">
        <v>0</v>
      </c>
      <c r="BD432" s="81" t="str">
        <f t="shared" si="1373"/>
        <v>NA</v>
      </c>
      <c r="BE432" s="202">
        <v>0</v>
      </c>
      <c r="BF432" s="81" t="str">
        <f t="shared" si="1374"/>
        <v>NA</v>
      </c>
      <c r="BG432" s="202">
        <v>0</v>
      </c>
      <c r="BH432" s="81" t="str">
        <f t="shared" si="1375"/>
        <v>NA</v>
      </c>
      <c r="BI432" s="202">
        <v>0</v>
      </c>
      <c r="BJ432" s="81" t="str">
        <f t="shared" si="1376"/>
        <v>NA</v>
      </c>
      <c r="BK432" s="202">
        <v>0</v>
      </c>
      <c r="BL432" s="81" t="str">
        <f t="shared" si="1377"/>
        <v>NA</v>
      </c>
      <c r="BM432" s="202">
        <v>0</v>
      </c>
      <c r="BN432" s="81" t="str">
        <f t="shared" si="1378"/>
        <v>NA</v>
      </c>
      <c r="BO432" s="202">
        <v>0</v>
      </c>
      <c r="BP432" s="81" t="str">
        <f t="shared" si="1379"/>
        <v>NA</v>
      </c>
      <c r="BQ432" s="131">
        <v>0</v>
      </c>
      <c r="BR432" s="81" t="str">
        <f t="shared" si="1380"/>
        <v>NA</v>
      </c>
      <c r="BS432" s="131">
        <v>0</v>
      </c>
      <c r="BT432" s="81" t="str">
        <f t="shared" si="1381"/>
        <v>NA</v>
      </c>
      <c r="BU432" s="131">
        <v>0</v>
      </c>
      <c r="BV432" s="81" t="str">
        <f t="shared" si="1382"/>
        <v>NA</v>
      </c>
      <c r="BW432" s="131">
        <v>0</v>
      </c>
      <c r="BX432" s="81" t="str">
        <f t="shared" si="1383"/>
        <v>NA</v>
      </c>
      <c r="BY432" s="131">
        <v>10</v>
      </c>
      <c r="BZ432" s="81" t="str">
        <f t="shared" si="1384"/>
        <v>NA</v>
      </c>
      <c r="CA432" s="131">
        <f>10.6+2.8</f>
        <v>13.399999999999999</v>
      </c>
      <c r="CB432" s="81" t="str">
        <f t="shared" si="1385"/>
        <v>NA</v>
      </c>
      <c r="CC432" s="131">
        <f>-0.2+2.7</f>
        <v>2.5</v>
      </c>
      <c r="CD432" s="81" t="str">
        <f t="shared" si="1386"/>
        <v>NA</v>
      </c>
      <c r="CE432" s="131">
        <f>-10.3+2.8</f>
        <v>-7.5000000000000009</v>
      </c>
      <c r="CF432" s="81" t="str">
        <f t="shared" si="1387"/>
        <v>NA</v>
      </c>
      <c r="CG432" s="131">
        <f>-5.5+2.8</f>
        <v>-2.7</v>
      </c>
      <c r="CH432" s="81" t="str">
        <f t="shared" si="1388"/>
        <v>NM</v>
      </c>
      <c r="CI432" s="131">
        <f>1.4+2.8</f>
        <v>4.1999999999999993</v>
      </c>
      <c r="CJ432" s="81" t="str">
        <f t="shared" si="1389"/>
        <v>NM</v>
      </c>
      <c r="CK432" s="131">
        <f>8+2.8</f>
        <v>10.8</v>
      </c>
      <c r="CL432" s="81" t="str">
        <f t="shared" si="1390"/>
        <v>NM</v>
      </c>
      <c r="CM432" s="131">
        <f>-2.6+2.8</f>
        <v>0.19999999999999973</v>
      </c>
      <c r="CN432" s="81" t="str">
        <f t="shared" si="1391"/>
        <v>NM</v>
      </c>
      <c r="CO432" s="131">
        <f>-4.1+4</f>
        <v>-9.9999999999999645E-2</v>
      </c>
      <c r="CP432" s="81" t="str">
        <f t="shared" si="1392"/>
        <v>NM</v>
      </c>
      <c r="CQ432" s="131">
        <f>0.7+4.1</f>
        <v>4.8</v>
      </c>
      <c r="CR432" s="81">
        <f t="shared" si="1393"/>
        <v>14.285714285714302</v>
      </c>
      <c r="CS432" s="131">
        <f>-7.5+4</f>
        <v>-3.5</v>
      </c>
      <c r="CT432" s="81" t="str">
        <f t="shared" si="1394"/>
        <v>NM</v>
      </c>
      <c r="CU432" s="131">
        <v>0</v>
      </c>
      <c r="CV432" s="81" t="str">
        <f t="shared" si="1395"/>
        <v>NM</v>
      </c>
      <c r="CW432" s="131"/>
      <c r="CX432" s="81"/>
      <c r="CY432" s="131"/>
      <c r="CZ432" s="81"/>
      <c r="DA432" s="131"/>
      <c r="DB432" s="81"/>
      <c r="DC432" s="131"/>
      <c r="DD432" s="81"/>
      <c r="DE432" s="131"/>
      <c r="DF432" s="81"/>
      <c r="DG432" s="131"/>
      <c r="DH432" s="81"/>
      <c r="DI432" s="131"/>
      <c r="DJ432" s="81"/>
      <c r="DK432" s="131"/>
      <c r="DL432" s="81" t="str">
        <f t="shared" si="1403"/>
        <v>NA</v>
      </c>
      <c r="DM432" s="131"/>
      <c r="DN432" s="81"/>
      <c r="DO432" s="131"/>
      <c r="DP432" s="81"/>
      <c r="DQ432" s="131"/>
      <c r="DR432" s="81"/>
      <c r="DS432" s="131"/>
      <c r="DT432" s="81" t="str">
        <f t="shared" si="1406"/>
        <v>NA</v>
      </c>
      <c r="DU432" s="131"/>
      <c r="DV432" s="81" t="str">
        <f t="shared" si="1407"/>
        <v>NA</v>
      </c>
      <c r="DW432" s="131"/>
      <c r="DX432" s="81" t="str">
        <f t="shared" si="1408"/>
        <v>NA</v>
      </c>
      <c r="DY432" s="131"/>
      <c r="DZ432" s="81" t="str">
        <f t="shared" si="1409"/>
        <v>NA</v>
      </c>
      <c r="EA432" s="131"/>
      <c r="EB432" s="81" t="str">
        <f t="shared" si="1410"/>
        <v>NA</v>
      </c>
      <c r="EC432" s="131"/>
      <c r="ED432" s="81" t="str">
        <f t="shared" si="1411"/>
        <v>NA</v>
      </c>
      <c r="EE432" s="131"/>
      <c r="EF432" s="81" t="str">
        <f t="shared" si="1412"/>
        <v>NA</v>
      </c>
      <c r="EG432" s="131"/>
      <c r="EH432" s="81" t="str">
        <f t="shared" si="1413"/>
        <v>NA</v>
      </c>
      <c r="EI432" s="131"/>
      <c r="EJ432" s="81" t="str">
        <f t="shared" si="1414"/>
        <v>NA</v>
      </c>
      <c r="EK432" s="131"/>
      <c r="EL432" s="81" t="str">
        <f t="shared" si="1415"/>
        <v>NA</v>
      </c>
      <c r="EM432" s="131"/>
      <c r="EN432" s="81" t="str">
        <f t="shared" si="1416"/>
        <v>NA</v>
      </c>
      <c r="EO432" s="131"/>
      <c r="EP432" s="81" t="str">
        <f t="shared" si="1417"/>
        <v>NA</v>
      </c>
      <c r="EQ432" s="131"/>
      <c r="ER432" s="81" t="str">
        <f t="shared" si="1418"/>
        <v>NA</v>
      </c>
      <c r="ES432" s="82"/>
      <c r="ET432" s="469"/>
      <c r="EU432" s="82"/>
      <c r="EV432" s="131"/>
      <c r="EW432" s="79"/>
      <c r="EX432" s="131"/>
      <c r="EY432" s="79"/>
      <c r="EZ432" s="145"/>
      <c r="FA432" s="79"/>
      <c r="FB432" s="145">
        <f t="shared" si="1419"/>
        <v>24.5</v>
      </c>
      <c r="FC432" s="79" t="str">
        <f t="shared" si="1420"/>
        <v>NA</v>
      </c>
      <c r="FD432" s="145">
        <f t="shared" si="1421"/>
        <v>0</v>
      </c>
      <c r="FE432" s="79" t="str">
        <f t="shared" si="1422"/>
        <v>NM</v>
      </c>
      <c r="FF432" s="145">
        <f t="shared" si="1423"/>
        <v>0</v>
      </c>
      <c r="FG432" s="79" t="str">
        <f t="shared" si="1424"/>
        <v>NA</v>
      </c>
      <c r="FH432" s="145">
        <f t="shared" si="1425"/>
        <v>0</v>
      </c>
      <c r="FI432" s="79" t="str">
        <f t="shared" si="1426"/>
        <v>NA</v>
      </c>
      <c r="FJ432" s="145">
        <f t="shared" si="1427"/>
        <v>0</v>
      </c>
      <c r="FK432" s="79" t="str">
        <f t="shared" si="1426"/>
        <v>NA</v>
      </c>
      <c r="FL432" s="145">
        <f t="shared" si="1428"/>
        <v>0</v>
      </c>
      <c r="FM432" s="79" t="str">
        <f t="shared" si="1426"/>
        <v>NA</v>
      </c>
      <c r="FN432" s="145">
        <f t="shared" si="1429"/>
        <v>0</v>
      </c>
      <c r="FO432" s="79" t="str">
        <f t="shared" si="1426"/>
        <v>NA</v>
      </c>
      <c r="FP432" s="145">
        <f t="shared" si="1430"/>
        <v>0</v>
      </c>
      <c r="FQ432" s="79" t="str">
        <f t="shared" si="1426"/>
        <v>NA</v>
      </c>
      <c r="FR432" s="131">
        <f>436.6*(FT432/FT414)</f>
        <v>18.552979214780599</v>
      </c>
      <c r="FS432" s="79" t="str">
        <f t="shared" si="1426"/>
        <v>NA</v>
      </c>
      <c r="FT432" s="145">
        <f t="shared" si="1432"/>
        <v>18.399999999999999</v>
      </c>
      <c r="FU432" s="79">
        <f t="shared" si="1426"/>
        <v>-0.82455336692625059</v>
      </c>
      <c r="FV432" s="145">
        <f t="shared" si="1433"/>
        <v>12.5</v>
      </c>
      <c r="FW432" s="79">
        <f t="shared" si="1426"/>
        <v>-32.065217391304344</v>
      </c>
      <c r="FX432" s="131"/>
      <c r="FY432" s="79" t="str">
        <f t="shared" si="1426"/>
        <v>NM</v>
      </c>
      <c r="FZ432" s="145"/>
      <c r="GA432" s="79"/>
      <c r="GB432" s="145"/>
      <c r="GC432" s="79"/>
      <c r="GD432" s="145"/>
      <c r="GE432" s="79"/>
      <c r="GF432" s="145"/>
      <c r="GG432" s="79"/>
      <c r="GH432" s="145"/>
      <c r="GI432" s="79"/>
      <c r="GJ432" s="145"/>
      <c r="GK432" s="79"/>
      <c r="GL432" s="131"/>
      <c r="GM432" s="79"/>
      <c r="GN432" s="131"/>
      <c r="GO432" s="79"/>
      <c r="GP432" s="131"/>
      <c r="GQ432" s="79"/>
      <c r="GR432" s="131"/>
      <c r="GS432" s="79"/>
      <c r="GT432" s="79"/>
      <c r="GU432" s="562"/>
      <c r="GV432" s="562"/>
      <c r="GW432"/>
      <c r="GX432"/>
      <c r="GY432"/>
      <c r="GZ432"/>
      <c r="HA432"/>
      <c r="HB432"/>
      <c r="HC432" s="562"/>
      <c r="HD432" s="562"/>
      <c r="HE432" s="562"/>
      <c r="HF432" s="562"/>
      <c r="HG432" s="562"/>
      <c r="HH432" s="562"/>
      <c r="HI432" s="562"/>
      <c r="HJ432" s="562"/>
      <c r="HK432" s="562"/>
      <c r="HL432" s="562"/>
      <c r="HM432" s="562"/>
      <c r="HN432" s="562"/>
      <c r="HO432" s="562"/>
      <c r="HP432" s="562"/>
      <c r="HQ432" s="562"/>
      <c r="HR432" s="562"/>
      <c r="HS432" s="562"/>
      <c r="HT432" s="562"/>
      <c r="HU432" s="562"/>
      <c r="HV432" s="562"/>
      <c r="HW432" s="562"/>
      <c r="HX432" s="562"/>
      <c r="HY432" s="562"/>
      <c r="HZ432" s="562"/>
      <c r="IA432" s="562"/>
      <c r="IB432" s="562"/>
      <c r="IC432" s="562"/>
      <c r="ID432" s="562"/>
      <c r="IE432" s="562"/>
      <c r="IF432" s="562"/>
      <c r="IG432" s="562"/>
      <c r="IH432" s="562"/>
      <c r="II432" s="562"/>
      <c r="IJ432" s="562"/>
      <c r="IK432" s="562"/>
      <c r="IL432" s="562"/>
      <c r="IM432" s="562"/>
      <c r="IN432" s="562"/>
      <c r="IO432" s="562"/>
      <c r="IP432" s="562"/>
      <c r="IQ432" s="562"/>
      <c r="IR432" s="562"/>
      <c r="IS432" s="562"/>
      <c r="IT432" s="562"/>
      <c r="IU432" s="562"/>
      <c r="IV432" s="562"/>
      <c r="IW432" s="562"/>
      <c r="IX432" s="562"/>
      <c r="IY432" s="562"/>
      <c r="IZ432" s="562"/>
      <c r="JA432" s="562"/>
      <c r="JB432" s="562"/>
      <c r="JC432" s="562"/>
      <c r="JD432" s="562"/>
      <c r="JE432" s="562"/>
      <c r="JF432" s="562"/>
      <c r="JG432" s="562"/>
      <c r="JH432" s="562"/>
      <c r="JI432" s="562"/>
      <c r="JJ432" s="562"/>
      <c r="JK432" s="562"/>
      <c r="JL432" s="562"/>
      <c r="JM432" s="562"/>
      <c r="JN432" s="562"/>
      <c r="JO432" s="562"/>
      <c r="JP432" s="562"/>
      <c r="JQ432" s="562"/>
      <c r="JR432" s="562"/>
      <c r="JS432" s="562"/>
      <c r="JT432" s="562"/>
      <c r="JU432" s="562"/>
      <c r="JV432" s="562"/>
      <c r="JW432" s="562"/>
      <c r="JX432" s="562"/>
      <c r="JY432" s="562"/>
      <c r="JZ432" s="562"/>
    </row>
    <row r="433" spans="1:286" s="249" customFormat="1" ht="12.75" customHeight="1" collapsed="1" x14ac:dyDescent="0.2">
      <c r="A433" s="248"/>
      <c r="B433" s="2" t="s">
        <v>288</v>
      </c>
      <c r="C433" s="79"/>
      <c r="D433" s="79"/>
      <c r="E433" s="145">
        <f>SUM(E422:E432)</f>
        <v>2.1</v>
      </c>
      <c r="F433" s="145"/>
      <c r="G433" s="145">
        <f>SUM(G422:G432)</f>
        <v>3</v>
      </c>
      <c r="H433" s="145"/>
      <c r="I433" s="145">
        <f>SUM(I422:I432)</f>
        <v>6</v>
      </c>
      <c r="J433" s="145"/>
      <c r="K433" s="145">
        <v>0</v>
      </c>
      <c r="L433" s="79"/>
      <c r="M433" s="145">
        <f>SUM(M422:M432)</f>
        <v>-7.1</v>
      </c>
      <c r="N433" s="79" t="str">
        <f t="shared" si="1364"/>
        <v>NM</v>
      </c>
      <c r="O433" s="145">
        <f>SUM(O422:O432)</f>
        <v>0</v>
      </c>
      <c r="P433" s="79" t="str">
        <f t="shared" si="1364"/>
        <v>NM</v>
      </c>
      <c r="Q433" s="145">
        <f>SUM(Q422:Q432)</f>
        <v>0</v>
      </c>
      <c r="R433" s="79" t="str">
        <f t="shared" si="1364"/>
        <v>NM</v>
      </c>
      <c r="S433" s="145">
        <f>SUM(S422:S432)</f>
        <v>0</v>
      </c>
      <c r="T433" s="79" t="str">
        <f t="shared" si="1364"/>
        <v>NA</v>
      </c>
      <c r="U433" s="145">
        <f>SUM(U422:U432)</f>
        <v>0</v>
      </c>
      <c r="V433" s="79" t="str">
        <f t="shared" si="1364"/>
        <v>NM</v>
      </c>
      <c r="W433" s="145">
        <f>SUM(W422:W432)</f>
        <v>0</v>
      </c>
      <c r="X433" s="79" t="str">
        <f t="shared" si="1365"/>
        <v>NA</v>
      </c>
      <c r="Y433" s="145">
        <f>SUM(Y422:Y432)</f>
        <v>0</v>
      </c>
      <c r="Z433" s="79" t="str">
        <f t="shared" si="1366"/>
        <v>NA</v>
      </c>
      <c r="AA433" s="267">
        <f>SUM(AA422:AA432)</f>
        <v>39.9</v>
      </c>
      <c r="AB433" s="79" t="str">
        <f t="shared" si="1367"/>
        <v>NA</v>
      </c>
      <c r="AC433" s="145">
        <f>SUM(AC422:AC432)</f>
        <v>0</v>
      </c>
      <c r="AD433" s="79" t="str">
        <f t="shared" si="1368"/>
        <v>NA</v>
      </c>
      <c r="AE433" s="145">
        <f>SUM(AE422:AE432)</f>
        <v>0</v>
      </c>
      <c r="AF433" s="79" t="str">
        <f t="shared" si="1369"/>
        <v>NA</v>
      </c>
      <c r="AG433" s="145">
        <f>SUM(AG422:AG432)</f>
        <v>0</v>
      </c>
      <c r="AH433" s="79" t="str">
        <f t="shared" si="1370"/>
        <v>NA</v>
      </c>
      <c r="AI433" s="145">
        <f>SUM(AI422:AI432)</f>
        <v>0</v>
      </c>
      <c r="AJ433" s="79" t="str">
        <f t="shared" si="1371"/>
        <v>NM</v>
      </c>
      <c r="AK433" s="145">
        <f>SUM(AK422:AK432)</f>
        <v>0</v>
      </c>
      <c r="AL433" s="79" t="str">
        <f t="shared" si="1372"/>
        <v>NA</v>
      </c>
      <c r="AM433" s="145">
        <f>SUM(AM422:AM432)</f>
        <v>0</v>
      </c>
      <c r="AN433" s="79" t="str">
        <f t="shared" si="1373"/>
        <v>NA</v>
      </c>
      <c r="AO433" s="145">
        <f>SUM(AO422:AO432)</f>
        <v>0</v>
      </c>
      <c r="AP433" s="79" t="str">
        <f t="shared" si="1373"/>
        <v>NA</v>
      </c>
      <c r="AQ433" s="402">
        <f>SUM(AQ422:AQ432)</f>
        <v>0</v>
      </c>
      <c r="AR433" s="79" t="str">
        <f t="shared" si="1373"/>
        <v>NA</v>
      </c>
      <c r="AS433" s="402">
        <f>SUM(AS422:AS432)</f>
        <v>-59.3</v>
      </c>
      <c r="AT433" s="81" t="str">
        <f t="shared" si="1373"/>
        <v>NA</v>
      </c>
      <c r="AU433" s="402">
        <f>SUM(AU422:AU432)</f>
        <v>-11.57</v>
      </c>
      <c r="AV433" s="81" t="str">
        <f t="shared" si="1373"/>
        <v>NA</v>
      </c>
      <c r="AW433" s="402">
        <f>SUM(AW422:AW432)</f>
        <v>-224.22280000000001</v>
      </c>
      <c r="AX433" s="81" t="str">
        <f t="shared" si="1373"/>
        <v>NA</v>
      </c>
      <c r="AY433" s="402">
        <f>SUM(AY422:AY432)</f>
        <v>93.9</v>
      </c>
      <c r="AZ433" s="81" t="str">
        <f t="shared" si="1373"/>
        <v>NA</v>
      </c>
      <c r="BA433" s="402">
        <f>SUM(BA422:BA432)</f>
        <v>0</v>
      </c>
      <c r="BB433" s="81" t="str">
        <f t="shared" si="1373"/>
        <v>NM</v>
      </c>
      <c r="BC433" s="402">
        <f>SUM(BC422:BC432)</f>
        <v>0</v>
      </c>
      <c r="BD433" s="81" t="str">
        <f t="shared" si="1373"/>
        <v>NM</v>
      </c>
      <c r="BE433" s="402">
        <f>SUM(BE422:BE432)</f>
        <v>0</v>
      </c>
      <c r="BF433" s="81" t="str">
        <f t="shared" si="1374"/>
        <v>NM</v>
      </c>
      <c r="BG433" s="402">
        <f>SUM(BG422:BG432)</f>
        <v>-36.1</v>
      </c>
      <c r="BH433" s="81" t="str">
        <f t="shared" si="1375"/>
        <v>NM</v>
      </c>
      <c r="BI433" s="402">
        <f>SUM(BI422:BI432)</f>
        <v>0</v>
      </c>
      <c r="BJ433" s="81" t="str">
        <f t="shared" si="1376"/>
        <v>NA</v>
      </c>
      <c r="BK433" s="402">
        <f>SUM(BK422:BK432)</f>
        <v>0</v>
      </c>
      <c r="BL433" s="81" t="str">
        <f t="shared" si="1377"/>
        <v>NA</v>
      </c>
      <c r="BM433" s="402">
        <f>SUM(BM422:BM432)</f>
        <v>0</v>
      </c>
      <c r="BN433" s="81" t="str">
        <f t="shared" si="1378"/>
        <v>NA</v>
      </c>
      <c r="BO433" s="402">
        <f>SUM(BO422:BO432)</f>
        <v>0</v>
      </c>
      <c r="BP433" s="81" t="str">
        <f t="shared" si="1379"/>
        <v>NM</v>
      </c>
      <c r="BQ433" s="145">
        <f>SUM(BQ422:BQ432)</f>
        <v>0</v>
      </c>
      <c r="BR433" s="81" t="str">
        <f t="shared" si="1380"/>
        <v>NA</v>
      </c>
      <c r="BS433" s="145">
        <f>SUM(BS422:BS432)</f>
        <v>0</v>
      </c>
      <c r="BT433" s="81" t="str">
        <f t="shared" si="1381"/>
        <v>NA</v>
      </c>
      <c r="BU433" s="145">
        <f>SUM(BU422:BU432)</f>
        <v>0</v>
      </c>
      <c r="BV433" s="81" t="str">
        <f t="shared" si="1382"/>
        <v>NA</v>
      </c>
      <c r="BW433" s="145">
        <f>SUM(BW422:BW432)</f>
        <v>0</v>
      </c>
      <c r="BX433" s="81" t="str">
        <f t="shared" si="1383"/>
        <v>NA</v>
      </c>
      <c r="BY433" s="145">
        <f>SUM(BY422:BY432)</f>
        <v>10</v>
      </c>
      <c r="BZ433" s="81" t="str">
        <f t="shared" si="1384"/>
        <v>NA</v>
      </c>
      <c r="CA433" s="145">
        <f>SUM(CA422:CA432)</f>
        <v>13.399999999999999</v>
      </c>
      <c r="CB433" s="81" t="str">
        <f t="shared" si="1385"/>
        <v>NA</v>
      </c>
      <c r="CC433" s="145">
        <f>SUM(CC422:CC432)</f>
        <v>2.5</v>
      </c>
      <c r="CD433" s="81" t="str">
        <f t="shared" si="1386"/>
        <v>NA</v>
      </c>
      <c r="CE433" s="145">
        <f>SUM(CE422:CE432)</f>
        <v>-7.5000000000000009</v>
      </c>
      <c r="CF433" s="81" t="str">
        <f t="shared" si="1387"/>
        <v>NA</v>
      </c>
      <c r="CG433" s="145">
        <f>SUM(CG422:CG432)</f>
        <v>-2.7</v>
      </c>
      <c r="CH433" s="81" t="str">
        <f t="shared" si="1388"/>
        <v>NM</v>
      </c>
      <c r="CI433" s="145">
        <f>SUM(CI422:CI432)</f>
        <v>4.1999999999999993</v>
      </c>
      <c r="CJ433" s="81" t="str">
        <f t="shared" si="1389"/>
        <v>NM</v>
      </c>
      <c r="CK433" s="145">
        <f>SUM(CK422:CK432)</f>
        <v>10.8</v>
      </c>
      <c r="CL433" s="81" t="str">
        <f t="shared" si="1390"/>
        <v>NM</v>
      </c>
      <c r="CM433" s="145">
        <f>SUM(CM422:CM432)</f>
        <v>0.19999999999999973</v>
      </c>
      <c r="CN433" s="81" t="str">
        <f t="shared" si="1391"/>
        <v>NM</v>
      </c>
      <c r="CO433" s="145">
        <f>SUM(CO422:CO432)</f>
        <v>-9.9999999999999645E-2</v>
      </c>
      <c r="CP433" s="81" t="str">
        <f t="shared" si="1392"/>
        <v>NM</v>
      </c>
      <c r="CQ433" s="145">
        <f>SUM(CQ422:CQ432)</f>
        <v>4.8</v>
      </c>
      <c r="CR433" s="81">
        <f t="shared" si="1393"/>
        <v>14.285714285714302</v>
      </c>
      <c r="CS433" s="145">
        <f>SUM(CS422:CS432)</f>
        <v>-3.5</v>
      </c>
      <c r="CT433" s="81" t="str">
        <f t="shared" si="1394"/>
        <v>NM</v>
      </c>
      <c r="CU433" s="145">
        <f>SUM(CU422:CU432)</f>
        <v>0</v>
      </c>
      <c r="CV433" s="81" t="str">
        <f t="shared" si="1395"/>
        <v>NM</v>
      </c>
      <c r="CW433" s="891">
        <v>0</v>
      </c>
      <c r="CX433" s="81"/>
      <c r="CY433" s="891">
        <v>0</v>
      </c>
      <c r="CZ433" s="81"/>
      <c r="DA433" s="891">
        <v>0</v>
      </c>
      <c r="DB433" s="81"/>
      <c r="DC433" s="891">
        <v>0</v>
      </c>
      <c r="DD433" s="81"/>
      <c r="DE433" s="891">
        <v>0</v>
      </c>
      <c r="DF433" s="81"/>
      <c r="DG433" s="891">
        <v>0</v>
      </c>
      <c r="DH433" s="81"/>
      <c r="DI433" s="891">
        <v>0</v>
      </c>
      <c r="DJ433" s="81"/>
      <c r="DK433" s="891">
        <v>0</v>
      </c>
      <c r="DL433" s="81" t="str">
        <f t="shared" si="1403"/>
        <v>NA</v>
      </c>
      <c r="DM433" s="891">
        <v>0</v>
      </c>
      <c r="DN433" s="81" t="str">
        <f t="shared" si="1404"/>
        <v>NA</v>
      </c>
      <c r="DO433" s="891">
        <v>0</v>
      </c>
      <c r="DP433" s="81" t="str">
        <f t="shared" si="1404"/>
        <v>NA</v>
      </c>
      <c r="DQ433" s="891">
        <v>0</v>
      </c>
      <c r="DR433" s="81" t="str">
        <f t="shared" si="1405"/>
        <v>NA</v>
      </c>
      <c r="DS433" s="891">
        <v>0</v>
      </c>
      <c r="DT433" s="81" t="str">
        <f t="shared" si="1406"/>
        <v>NA</v>
      </c>
      <c r="DU433" s="891">
        <v>0</v>
      </c>
      <c r="DV433" s="81" t="str">
        <f t="shared" si="1407"/>
        <v>NA</v>
      </c>
      <c r="DW433" s="891">
        <v>0</v>
      </c>
      <c r="DX433" s="81" t="str">
        <f t="shared" si="1408"/>
        <v>NA</v>
      </c>
      <c r="DY433" s="891">
        <v>0</v>
      </c>
      <c r="DZ433" s="81" t="str">
        <f t="shared" si="1409"/>
        <v>NA</v>
      </c>
      <c r="EA433" s="891">
        <f>SUM(EA422:EA432)</f>
        <v>0</v>
      </c>
      <c r="EB433" s="81" t="str">
        <f t="shared" si="1410"/>
        <v>NA</v>
      </c>
      <c r="EC433" s="891">
        <v>-13.4</v>
      </c>
      <c r="ED433" s="81" t="str">
        <f t="shared" si="1411"/>
        <v>NA</v>
      </c>
      <c r="EE433" s="891">
        <f t="shared" ref="EE433:EG433" si="1443">SUM(EE422:EE432)</f>
        <v>0</v>
      </c>
      <c r="EF433" s="81" t="str">
        <f t="shared" si="1412"/>
        <v>NA</v>
      </c>
      <c r="EG433" s="891">
        <f t="shared" si="1443"/>
        <v>0</v>
      </c>
      <c r="EH433" s="81" t="str">
        <f t="shared" si="1413"/>
        <v>NA</v>
      </c>
      <c r="EI433" s="891">
        <f>-25.4+31.5</f>
        <v>6.1000000000000014</v>
      </c>
      <c r="EJ433" s="81" t="str">
        <f t="shared" si="1414"/>
        <v>NA</v>
      </c>
      <c r="EK433" s="145">
        <f>EC433</f>
        <v>-13.4</v>
      </c>
      <c r="EL433" s="81">
        <f t="shared" si="1415"/>
        <v>0</v>
      </c>
      <c r="EM433" s="145">
        <f t="shared" ref="EM433:EQ433" si="1444">SUM(EM422:EM432)</f>
        <v>0</v>
      </c>
      <c r="EN433" s="81" t="str">
        <f t="shared" si="1416"/>
        <v>NA</v>
      </c>
      <c r="EO433" s="145">
        <f t="shared" si="1444"/>
        <v>0</v>
      </c>
      <c r="EP433" s="81" t="str">
        <f t="shared" si="1417"/>
        <v>NA</v>
      </c>
      <c r="EQ433" s="145">
        <f t="shared" si="1444"/>
        <v>0</v>
      </c>
      <c r="ER433" s="81" t="str">
        <f t="shared" si="1418"/>
        <v>NM</v>
      </c>
      <c r="ES433" s="82"/>
      <c r="ET433" s="469"/>
      <c r="EU433" s="82"/>
      <c r="EV433" s="145"/>
      <c r="EW433" s="79"/>
      <c r="EX433" s="145"/>
      <c r="EY433" s="79"/>
      <c r="EZ433" s="145"/>
      <c r="FA433" s="79"/>
      <c r="FB433" s="145">
        <f>SUM(FB422:FB432)</f>
        <v>17.399999999999999</v>
      </c>
      <c r="FC433" s="79" t="str">
        <f t="shared" si="1420"/>
        <v>NA</v>
      </c>
      <c r="FD433" s="145">
        <f>SUM(FD422:FD432)</f>
        <v>-7.1</v>
      </c>
      <c r="FE433" s="79" t="str">
        <f t="shared" si="1422"/>
        <v>NM</v>
      </c>
      <c r="FF433" s="145">
        <f t="shared" si="1423"/>
        <v>39.9</v>
      </c>
      <c r="FG433" s="79" t="str">
        <f t="shared" si="1424"/>
        <v>NM</v>
      </c>
      <c r="FH433" s="145">
        <f t="shared" si="1425"/>
        <v>0</v>
      </c>
      <c r="FI433" s="79" t="str">
        <f t="shared" si="1426"/>
        <v>NM</v>
      </c>
      <c r="FJ433" s="145">
        <f t="shared" si="1427"/>
        <v>0</v>
      </c>
      <c r="FK433" s="79" t="str">
        <f t="shared" si="1426"/>
        <v>NA</v>
      </c>
      <c r="FL433" s="145">
        <f t="shared" si="1428"/>
        <v>-201.19280000000001</v>
      </c>
      <c r="FM433" s="79" t="str">
        <f t="shared" si="1426"/>
        <v>NA</v>
      </c>
      <c r="FN433" s="145">
        <f t="shared" si="1429"/>
        <v>-36.1</v>
      </c>
      <c r="FO433" s="79" t="str">
        <f t="shared" si="1426"/>
        <v>NM</v>
      </c>
      <c r="FP433" s="145">
        <f t="shared" si="1430"/>
        <v>0</v>
      </c>
      <c r="FQ433" s="79" t="str">
        <f t="shared" si="1426"/>
        <v>NM</v>
      </c>
      <c r="FR433" s="145">
        <f>SUM(FR422:FR432)</f>
        <v>18.552979214780599</v>
      </c>
      <c r="FS433" s="79" t="str">
        <f t="shared" si="1426"/>
        <v>NA</v>
      </c>
      <c r="FT433" s="145">
        <f>SUM(FT422:FT432)</f>
        <v>18.399999999999999</v>
      </c>
      <c r="FU433" s="79">
        <f t="shared" si="1426"/>
        <v>-0.82455336692625059</v>
      </c>
      <c r="FV433" s="145">
        <f>SUM(FV422:FV432)</f>
        <v>12.5</v>
      </c>
      <c r="FW433" s="79">
        <f t="shared" si="1426"/>
        <v>-32.065217391304344</v>
      </c>
      <c r="FX433" s="891">
        <v>-30.2</v>
      </c>
      <c r="FY433" s="79" t="str">
        <f t="shared" si="1426"/>
        <v>NM</v>
      </c>
      <c r="FZ433" s="192">
        <f>CW433+CY433+DA433+DC433</f>
        <v>0</v>
      </c>
      <c r="GA433" s="79" t="str">
        <f t="shared" ref="GA433:GA435" si="1445">IF(ISERROR((FZ433/FX433-1)*100),"NA",IF(((FZ433/FX433-1)*100)&gt;100,"NM",IF(((FZ433/FX433-1)*100)&lt;-50,"NM",(FZ433/FX433-1)*100)))</f>
        <v>NM</v>
      </c>
      <c r="GB433" s="192">
        <f>DE433+DG433+DI433+DK433</f>
        <v>0</v>
      </c>
      <c r="GC433" s="79" t="str">
        <f t="shared" si="1426"/>
        <v>NA</v>
      </c>
      <c r="GD433" s="145">
        <f>DM433+DO433+DQ433+DS433</f>
        <v>0</v>
      </c>
      <c r="GE433" s="79" t="str">
        <f t="shared" si="1426"/>
        <v>NA</v>
      </c>
      <c r="GF433" s="145">
        <f>DU433+DW433+DY433+EA433</f>
        <v>0</v>
      </c>
      <c r="GG433" s="79" t="str">
        <f t="shared" si="1426"/>
        <v>NA</v>
      </c>
      <c r="GH433" s="145">
        <f>EC433+EE433+EG433+EI433</f>
        <v>-7.2999999999999989</v>
      </c>
      <c r="GI433" s="79" t="str">
        <f t="shared" si="1426"/>
        <v>NA</v>
      </c>
      <c r="GJ433" s="145">
        <f>EK433+EM433+EO433+EQ433</f>
        <v>-13.4</v>
      </c>
      <c r="GK433" s="79">
        <f t="shared" si="1426"/>
        <v>83.561643835616465</v>
      </c>
      <c r="GL433" s="145">
        <f>GJ433</f>
        <v>-13.4</v>
      </c>
      <c r="GM433" s="79">
        <f t="shared" si="1426"/>
        <v>0</v>
      </c>
      <c r="GN433" s="145">
        <f>GL433</f>
        <v>-13.4</v>
      </c>
      <c r="GO433" s="79">
        <f t="shared" si="1426"/>
        <v>0</v>
      </c>
      <c r="GP433" s="145">
        <f>GN433</f>
        <v>-13.4</v>
      </c>
      <c r="GQ433" s="79">
        <f t="shared" si="1426"/>
        <v>0</v>
      </c>
      <c r="GR433" s="145">
        <f>GP433</f>
        <v>-13.4</v>
      </c>
      <c r="GS433" s="79">
        <f t="shared" si="1441"/>
        <v>0</v>
      </c>
      <c r="GT433" s="79">
        <f>IF(ISERROR(((GR433/GH433)^0.2-1)*100),"NA",(IF(OR(((GR433/GH433)^0.2-1)*100&gt;99,((GR433/GH433)^0.2-1)*100&lt;-50),"NM",(((GR433/GH433)^0.2-1)*100))))</f>
        <v>12.916234673483572</v>
      </c>
      <c r="GU433" s="562"/>
      <c r="GV433" s="562"/>
      <c r="GW433"/>
      <c r="GX433"/>
      <c r="GY433"/>
      <c r="GZ433"/>
      <c r="HA433"/>
      <c r="HB433"/>
      <c r="HC433" s="562"/>
      <c r="HD433" s="562"/>
      <c r="HE433" s="562"/>
      <c r="HF433" s="562"/>
      <c r="HG433" s="562"/>
      <c r="HH433" s="562"/>
      <c r="HI433" s="562"/>
      <c r="HJ433" s="562"/>
      <c r="HK433" s="562"/>
      <c r="HL433" s="562"/>
      <c r="HM433" s="562"/>
      <c r="HN433" s="562"/>
      <c r="HO433" s="562"/>
      <c r="HP433" s="562"/>
      <c r="HQ433" s="562"/>
      <c r="HR433" s="562"/>
      <c r="HS433" s="562"/>
      <c r="HT433" s="562"/>
      <c r="HU433" s="562"/>
      <c r="HV433" s="562"/>
      <c r="HW433" s="562"/>
      <c r="HX433" s="562"/>
      <c r="HY433" s="562"/>
      <c r="HZ433" s="562"/>
      <c r="IA433" s="562"/>
      <c r="IB433" s="562"/>
      <c r="IC433" s="562"/>
      <c r="ID433" s="562"/>
      <c r="IE433" s="562"/>
      <c r="IF433" s="562"/>
      <c r="IG433" s="562"/>
      <c r="IH433" s="562"/>
      <c r="II433" s="562"/>
      <c r="IJ433" s="562"/>
      <c r="IK433" s="562"/>
      <c r="IL433" s="562"/>
      <c r="IM433" s="562"/>
      <c r="IN433" s="562"/>
      <c r="IO433" s="562"/>
      <c r="IP433" s="562"/>
      <c r="IQ433" s="562"/>
      <c r="IR433" s="562"/>
      <c r="IS433" s="562"/>
      <c r="IT433" s="562"/>
      <c r="IU433" s="562"/>
      <c r="IV433" s="562"/>
      <c r="IW433" s="562"/>
      <c r="IX433" s="562"/>
      <c r="IY433" s="562"/>
      <c r="IZ433" s="562"/>
      <c r="JA433" s="562"/>
      <c r="JB433" s="562"/>
      <c r="JC433" s="562"/>
      <c r="JD433" s="562"/>
      <c r="JE433" s="562"/>
      <c r="JF433" s="562"/>
      <c r="JG433" s="562"/>
      <c r="JH433" s="562"/>
      <c r="JI433" s="562"/>
      <c r="JJ433" s="562"/>
      <c r="JK433" s="562"/>
      <c r="JL433" s="562"/>
      <c r="JM433" s="562"/>
      <c r="JN433" s="562"/>
      <c r="JO433" s="562"/>
      <c r="JP433" s="562"/>
      <c r="JQ433" s="562"/>
      <c r="JR433" s="562"/>
      <c r="JS433" s="562"/>
      <c r="JT433" s="562"/>
      <c r="JU433" s="562"/>
      <c r="JV433" s="562"/>
      <c r="JW433" s="562"/>
      <c r="JX433" s="562"/>
      <c r="JY433" s="562"/>
      <c r="JZ433" s="562"/>
    </row>
    <row r="434" spans="1:286" s="249" customFormat="1" ht="12.75" customHeight="1" x14ac:dyDescent="0.2">
      <c r="A434" s="1" t="s">
        <v>64</v>
      </c>
      <c r="B434" s="2" t="s">
        <v>503</v>
      </c>
      <c r="C434" s="79"/>
      <c r="D434" s="79"/>
      <c r="E434" s="131">
        <v>-6.2</v>
      </c>
      <c r="F434" s="131"/>
      <c r="G434" s="131">
        <v>-6.2</v>
      </c>
      <c r="H434" s="131"/>
      <c r="I434" s="131">
        <v>-17.2</v>
      </c>
      <c r="J434" s="131"/>
      <c r="K434" s="131">
        <v>-69.5</v>
      </c>
      <c r="L434" s="79"/>
      <c r="M434" s="131">
        <v>-57.1</v>
      </c>
      <c r="N434" s="79" t="str">
        <f t="shared" si="1364"/>
        <v>NM</v>
      </c>
      <c r="O434" s="131">
        <v>-50.5</v>
      </c>
      <c r="P434" s="79" t="str">
        <f t="shared" si="1364"/>
        <v>NM</v>
      </c>
      <c r="Q434" s="131">
        <v>-41.5</v>
      </c>
      <c r="R434" s="79" t="str">
        <f t="shared" si="1364"/>
        <v>NM</v>
      </c>
      <c r="S434" s="131">
        <v>-52.6</v>
      </c>
      <c r="T434" s="79">
        <f t="shared" si="1364"/>
        <v>-24.31654676258993</v>
      </c>
      <c r="U434" s="131">
        <v>-55.6</v>
      </c>
      <c r="V434" s="79">
        <f t="shared" si="1364"/>
        <v>-2.6269702276707552</v>
      </c>
      <c r="W434" s="131">
        <v>-17.3</v>
      </c>
      <c r="X434" s="79" t="str">
        <f t="shared" si="1365"/>
        <v>NM</v>
      </c>
      <c r="Y434" s="131">
        <v>-16.5</v>
      </c>
      <c r="Z434" s="79" t="str">
        <f t="shared" si="1366"/>
        <v>NM</v>
      </c>
      <c r="AA434" s="126">
        <v>-23.9</v>
      </c>
      <c r="AB434" s="79" t="str">
        <f t="shared" si="1367"/>
        <v>NM</v>
      </c>
      <c r="AC434" s="131">
        <f>25.4-9.3</f>
        <v>16.099999999999998</v>
      </c>
      <c r="AD434" s="79" t="str">
        <f t="shared" si="1368"/>
        <v>NM</v>
      </c>
      <c r="AE434" s="131">
        <v>-55.9</v>
      </c>
      <c r="AF434" s="79" t="str">
        <f t="shared" si="1369"/>
        <v>NM</v>
      </c>
      <c r="AG434" s="131">
        <f>64.5-22.7</f>
        <v>41.8</v>
      </c>
      <c r="AH434" s="79" t="str">
        <f t="shared" si="1370"/>
        <v>NM</v>
      </c>
      <c r="AI434" s="131">
        <f>25.8-9</f>
        <v>16.8</v>
      </c>
      <c r="AJ434" s="79" t="str">
        <f t="shared" si="1371"/>
        <v>NM</v>
      </c>
      <c r="AK434" s="131">
        <f>-3.2+1.1</f>
        <v>-2.1</v>
      </c>
      <c r="AL434" s="79" t="str">
        <f t="shared" si="1372"/>
        <v>NM</v>
      </c>
      <c r="AM434" s="131">
        <f>65.5-22.9</f>
        <v>42.6</v>
      </c>
      <c r="AN434" s="79" t="str">
        <f t="shared" si="1373"/>
        <v>NM</v>
      </c>
      <c r="AO434" s="202">
        <f>-75-5.7</f>
        <v>-80.7</v>
      </c>
      <c r="AP434" s="79" t="str">
        <f t="shared" si="1373"/>
        <v>NM</v>
      </c>
      <c r="AQ434" s="202">
        <f>2.4-0.9</f>
        <v>1.5</v>
      </c>
      <c r="AR434" s="79" t="str">
        <f t="shared" si="1373"/>
        <v>NM</v>
      </c>
      <c r="AS434" s="202">
        <f>2.5-1</f>
        <v>1.5</v>
      </c>
      <c r="AT434" s="81" t="str">
        <f t="shared" si="1373"/>
        <v>NM</v>
      </c>
      <c r="AU434" s="202">
        <f>-5.8+2.2</f>
        <v>-3.5999999999999996</v>
      </c>
      <c r="AV434" s="81" t="str">
        <f t="shared" si="1373"/>
        <v>NM</v>
      </c>
      <c r="AW434" s="202">
        <f>4.8-1.7</f>
        <v>3.0999999999999996</v>
      </c>
      <c r="AX434" s="81" t="str">
        <f t="shared" si="1373"/>
        <v>NM</v>
      </c>
      <c r="AY434" s="202">
        <f>0.7-0.2</f>
        <v>0.49999999999999994</v>
      </c>
      <c r="AZ434" s="81" t="str">
        <f t="shared" si="1373"/>
        <v>NM</v>
      </c>
      <c r="BA434" s="202">
        <f>-3.7+0.5</f>
        <v>-3.2</v>
      </c>
      <c r="BB434" s="81" t="str">
        <f t="shared" si="1373"/>
        <v>NM</v>
      </c>
      <c r="BC434" s="202">
        <f>10.4-3.9</f>
        <v>6.5</v>
      </c>
      <c r="BD434" s="81" t="str">
        <f t="shared" si="1373"/>
        <v>NM</v>
      </c>
      <c r="BE434" s="202">
        <f>-46.1+16.1</f>
        <v>-30</v>
      </c>
      <c r="BF434" s="81" t="str">
        <f t="shared" si="1374"/>
        <v>NM</v>
      </c>
      <c r="BG434" s="202">
        <f>-25.8--9.3</f>
        <v>-16.5</v>
      </c>
      <c r="BH434" s="81" t="str">
        <f t="shared" si="1375"/>
        <v>NM</v>
      </c>
      <c r="BI434" s="202">
        <f>-68.5--23.8</f>
        <v>-44.7</v>
      </c>
      <c r="BJ434" s="81" t="str">
        <f t="shared" si="1376"/>
        <v>NM</v>
      </c>
      <c r="BK434" s="202">
        <f>26.1-9</f>
        <v>17.100000000000001</v>
      </c>
      <c r="BL434" s="81" t="str">
        <f t="shared" si="1377"/>
        <v>NM</v>
      </c>
      <c r="BM434" s="202">
        <f>-165.8+56.9</f>
        <v>-108.9</v>
      </c>
      <c r="BN434" s="81" t="str">
        <f t="shared" si="1378"/>
        <v>NM</v>
      </c>
      <c r="BO434" s="202">
        <f>-257.7+90.1</f>
        <v>-167.6</v>
      </c>
      <c r="BP434" s="81" t="str">
        <f t="shared" si="1379"/>
        <v>NM</v>
      </c>
      <c r="BQ434" s="131">
        <f>-64.6+22.8</f>
        <v>-41.8</v>
      </c>
      <c r="BR434" s="81">
        <f t="shared" si="1380"/>
        <v>-6.487695749440725</v>
      </c>
      <c r="BS434" s="131">
        <f>87.3-35.9</f>
        <v>51.4</v>
      </c>
      <c r="BT434" s="81" t="str">
        <f t="shared" si="1381"/>
        <v>NM</v>
      </c>
      <c r="BU434" s="131">
        <f>14.9-5.4</f>
        <v>9.5</v>
      </c>
      <c r="BV434" s="81" t="str">
        <f t="shared" si="1382"/>
        <v>NM</v>
      </c>
      <c r="BW434" s="131">
        <f>-25.9+7</f>
        <v>-18.899999999999999</v>
      </c>
      <c r="BX434" s="81" t="str">
        <f t="shared" si="1383"/>
        <v>NM</v>
      </c>
      <c r="BY434" s="131">
        <v>-10</v>
      </c>
      <c r="BZ434" s="81" t="str">
        <f t="shared" si="1384"/>
        <v>NM</v>
      </c>
      <c r="CA434" s="131">
        <f>-29.5-8.1</f>
        <v>-37.6</v>
      </c>
      <c r="CB434" s="81" t="str">
        <f t="shared" si="1385"/>
        <v>NM</v>
      </c>
      <c r="CC434" s="131">
        <f>1.1-8</f>
        <v>-6.9</v>
      </c>
      <c r="CD434" s="81" t="str">
        <f t="shared" si="1386"/>
        <v>NM</v>
      </c>
      <c r="CE434" s="131">
        <f>27.5-8.1</f>
        <v>19.399999999999999</v>
      </c>
      <c r="CF434" s="81" t="str">
        <f t="shared" si="1387"/>
        <v>NM</v>
      </c>
      <c r="CG434" s="131">
        <f>15.2-8</f>
        <v>7.1999999999999993</v>
      </c>
      <c r="CH434" s="81" t="str">
        <f t="shared" si="1388"/>
        <v>NM</v>
      </c>
      <c r="CI434" s="131">
        <f>-3.6-8</f>
        <v>-11.6</v>
      </c>
      <c r="CJ434" s="81" t="str">
        <f t="shared" si="1389"/>
        <v>NM</v>
      </c>
      <c r="CK434" s="131">
        <f>-23.9-8</f>
        <v>-31.9</v>
      </c>
      <c r="CL434" s="81" t="str">
        <f t="shared" si="1390"/>
        <v>NM</v>
      </c>
      <c r="CM434" s="131">
        <f>7.4-7.9</f>
        <v>-0.5</v>
      </c>
      <c r="CN434" s="81" t="str">
        <f t="shared" si="1391"/>
        <v>NM</v>
      </c>
      <c r="CO434" s="131">
        <f>12.4-11.6</f>
        <v>0.80000000000000071</v>
      </c>
      <c r="CP434" s="81" t="str">
        <f t="shared" si="1392"/>
        <v>NM</v>
      </c>
      <c r="CQ434" s="131">
        <f>-2.1-11.6</f>
        <v>-13.7</v>
      </c>
      <c r="CR434" s="81">
        <f t="shared" si="1393"/>
        <v>18.103448275862078</v>
      </c>
      <c r="CS434" s="131">
        <f>21.3-11.6</f>
        <v>9.7000000000000011</v>
      </c>
      <c r="CT434" s="81" t="str">
        <f t="shared" si="1394"/>
        <v>NM</v>
      </c>
      <c r="CU434" s="131">
        <f>16.4-7.5</f>
        <v>8.8999999999999986</v>
      </c>
      <c r="CV434" s="81" t="str">
        <f t="shared" si="1395"/>
        <v>NM</v>
      </c>
      <c r="CW434" s="891">
        <f>6.7-9.7</f>
        <v>-2.9999999999999991</v>
      </c>
      <c r="CX434" s="81"/>
      <c r="CY434" s="891">
        <f>8.6-8.5</f>
        <v>9.9999999999999645E-2</v>
      </c>
      <c r="CZ434" s="81"/>
      <c r="DA434" s="891">
        <f>-17.2-1.7</f>
        <v>-18.899999999999999</v>
      </c>
      <c r="DB434" s="81"/>
      <c r="DC434" s="891">
        <f>5.8-1.5</f>
        <v>4.3</v>
      </c>
      <c r="DD434" s="81"/>
      <c r="DE434" s="891">
        <f>4.1-0.9</f>
        <v>3.1999999999999997</v>
      </c>
      <c r="DF434" s="81"/>
      <c r="DG434" s="891">
        <f>19-0.9</f>
        <v>18.100000000000001</v>
      </c>
      <c r="DH434" s="81"/>
      <c r="DI434" s="891">
        <f>0.9-0.9</f>
        <v>0</v>
      </c>
      <c r="DJ434" s="81"/>
      <c r="DK434" s="891">
        <f>-11.2-41.9</f>
        <v>-53.099999999999994</v>
      </c>
      <c r="DL434" s="81" t="str">
        <f t="shared" si="1403"/>
        <v>NM</v>
      </c>
      <c r="DM434" s="891">
        <f>-10</f>
        <v>-10</v>
      </c>
      <c r="DN434" s="81" t="str">
        <f t="shared" si="1404"/>
        <v>NM</v>
      </c>
      <c r="DO434" s="891">
        <f>3.7</f>
        <v>3.7</v>
      </c>
      <c r="DP434" s="81" t="str">
        <f t="shared" si="1404"/>
        <v>NM</v>
      </c>
      <c r="DQ434" s="891">
        <f>-17.3</f>
        <v>-17.3</v>
      </c>
      <c r="DR434" s="81" t="str">
        <f t="shared" si="1405"/>
        <v>NA</v>
      </c>
      <c r="DS434" s="891">
        <f>-2.5</f>
        <v>-2.5</v>
      </c>
      <c r="DT434" s="81" t="str">
        <f t="shared" si="1406"/>
        <v>NM</v>
      </c>
      <c r="DU434" s="891">
        <f>-13.6</f>
        <v>-13.6</v>
      </c>
      <c r="DV434" s="81">
        <f t="shared" si="1407"/>
        <v>35.999999999999986</v>
      </c>
      <c r="DW434" s="891">
        <f>3.8</f>
        <v>3.8</v>
      </c>
      <c r="DX434" s="81">
        <f t="shared" si="1408"/>
        <v>2.7027027027026973</v>
      </c>
      <c r="DY434" s="891">
        <f>7.3</f>
        <v>7.3</v>
      </c>
      <c r="DZ434" s="81" t="str">
        <f t="shared" si="1409"/>
        <v>NM</v>
      </c>
      <c r="EA434" s="891">
        <f>18.3</f>
        <v>18.3</v>
      </c>
      <c r="EB434" s="81" t="str">
        <f t="shared" si="1410"/>
        <v>NM</v>
      </c>
      <c r="EC434" s="891">
        <v>7.2</v>
      </c>
      <c r="ED434" s="81" t="str">
        <f t="shared" si="1411"/>
        <v>NM</v>
      </c>
      <c r="EE434" s="891">
        <v>4.7</v>
      </c>
      <c r="EF434" s="81">
        <f t="shared" si="1412"/>
        <v>23.684210526315795</v>
      </c>
      <c r="EG434" s="891">
        <v>6.2</v>
      </c>
      <c r="EH434" s="81">
        <f t="shared" si="1413"/>
        <v>-15.068493150684926</v>
      </c>
      <c r="EI434" s="891">
        <v>7.2</v>
      </c>
      <c r="EJ434" s="81" t="str">
        <f t="shared" si="1414"/>
        <v>NM</v>
      </c>
      <c r="EK434" s="891">
        <v>-7.1</v>
      </c>
      <c r="EL434" s="81" t="str">
        <f t="shared" si="1415"/>
        <v>NM</v>
      </c>
      <c r="EM434" s="145">
        <f>EK434</f>
        <v>-7.1</v>
      </c>
      <c r="EN434" s="81" t="str">
        <f t="shared" si="1416"/>
        <v>NM</v>
      </c>
      <c r="EO434" s="145">
        <f>EM434</f>
        <v>-7.1</v>
      </c>
      <c r="EP434" s="81" t="str">
        <f t="shared" si="1417"/>
        <v>NM</v>
      </c>
      <c r="EQ434" s="145">
        <f>EO434+1</f>
        <v>-6.1</v>
      </c>
      <c r="ER434" s="81" t="str">
        <f t="shared" si="1418"/>
        <v>NM</v>
      </c>
      <c r="ES434" s="82"/>
      <c r="ET434" s="469"/>
      <c r="EU434" s="82"/>
      <c r="EV434" s="131"/>
      <c r="EW434" s="79"/>
      <c r="EX434" s="131"/>
      <c r="EY434" s="79"/>
      <c r="EZ434" s="145"/>
      <c r="FA434" s="79"/>
      <c r="FB434" s="145">
        <f>+Q434+O434+M434+K434</f>
        <v>-218.6</v>
      </c>
      <c r="FC434" s="79" t="str">
        <f t="shared" si="1420"/>
        <v>NA</v>
      </c>
      <c r="FD434" s="145">
        <f>+S434+Q434+O434+M434</f>
        <v>-201.7</v>
      </c>
      <c r="FE434" s="79">
        <f t="shared" si="1422"/>
        <v>-7.731015553522413</v>
      </c>
      <c r="FF434" s="145">
        <f t="shared" si="1423"/>
        <v>-113.30000000000001</v>
      </c>
      <c r="FG434" s="79">
        <f t="shared" si="1424"/>
        <v>-43.827466534457102</v>
      </c>
      <c r="FH434" s="145">
        <f t="shared" si="1425"/>
        <v>18.799999999999994</v>
      </c>
      <c r="FI434" s="79" t="str">
        <f t="shared" si="1426"/>
        <v>NM</v>
      </c>
      <c r="FJ434" s="145">
        <f t="shared" si="1427"/>
        <v>-38.700000000000003</v>
      </c>
      <c r="FK434" s="79" t="str">
        <f t="shared" si="1426"/>
        <v>NM</v>
      </c>
      <c r="FL434" s="145">
        <f t="shared" si="1428"/>
        <v>1.5</v>
      </c>
      <c r="FM434" s="79" t="str">
        <f t="shared" si="1426"/>
        <v>NM</v>
      </c>
      <c r="FN434" s="145">
        <f t="shared" si="1429"/>
        <v>-43.2</v>
      </c>
      <c r="FO434" s="79" t="str">
        <f t="shared" si="1426"/>
        <v>NM</v>
      </c>
      <c r="FP434" s="145">
        <f t="shared" si="1430"/>
        <v>-304.10000000000002</v>
      </c>
      <c r="FQ434" s="79" t="str">
        <f t="shared" si="1426"/>
        <v>NM</v>
      </c>
      <c r="FR434" s="131">
        <f>11.7-43.5</f>
        <v>-31.8</v>
      </c>
      <c r="FS434" s="79" t="str">
        <f t="shared" si="1426"/>
        <v>NM</v>
      </c>
      <c r="FT434" s="145">
        <f>BY434+CA434+CC434+CE434</f>
        <v>-35.1</v>
      </c>
      <c r="FU434" s="79">
        <f t="shared" si="1426"/>
        <v>10.377358490566046</v>
      </c>
      <c r="FV434" s="145">
        <f>CG434+CI434+CK434+CM434</f>
        <v>-36.799999999999997</v>
      </c>
      <c r="FW434" s="79">
        <f t="shared" si="1426"/>
        <v>4.8433048433048409</v>
      </c>
      <c r="FX434" s="891">
        <v>37.1</v>
      </c>
      <c r="FY434" s="79" t="str">
        <f t="shared" si="1426"/>
        <v>NM</v>
      </c>
      <c r="FZ434" s="192">
        <f>CW434+CY434+DA434+DC434</f>
        <v>-17.499999999999996</v>
      </c>
      <c r="GA434" s="79" t="str">
        <f t="shared" si="1445"/>
        <v>NM</v>
      </c>
      <c r="GB434" s="192">
        <f>DE434+DG434+DI434+DK434</f>
        <v>-31.799999999999994</v>
      </c>
      <c r="GC434" s="79">
        <f t="shared" si="1426"/>
        <v>81.714285714285722</v>
      </c>
      <c r="GD434" s="145">
        <f>DM434+DO434+DQ434+DS434</f>
        <v>-26.1</v>
      </c>
      <c r="GE434" s="79">
        <f t="shared" si="1426"/>
        <v>-17.924528301886767</v>
      </c>
      <c r="GF434" s="145">
        <f>DU434+DW434+DY434+EA434</f>
        <v>15.8</v>
      </c>
      <c r="GG434" s="79" t="str">
        <f t="shared" si="1426"/>
        <v>NM</v>
      </c>
      <c r="GH434" s="145">
        <f>EC434+EE434+EG434+EI434</f>
        <v>25.3</v>
      </c>
      <c r="GI434" s="79">
        <f t="shared" si="1426"/>
        <v>60.126582278481003</v>
      </c>
      <c r="GJ434" s="145">
        <f>EK434+EM434+EO434+EQ434</f>
        <v>-27.4</v>
      </c>
      <c r="GK434" s="79" t="str">
        <f t="shared" si="1426"/>
        <v>NM</v>
      </c>
      <c r="GL434" s="145">
        <f>GL442*GL501/100</f>
        <v>-27.865535155935923</v>
      </c>
      <c r="GM434" s="79">
        <f t="shared" si="1426"/>
        <v>1.6990334158245357</v>
      </c>
      <c r="GN434" s="145">
        <f>GN442*GN501/100</f>
        <v>-28.562173534834319</v>
      </c>
      <c r="GO434" s="79">
        <f t="shared" si="1426"/>
        <v>2.4999999999999911</v>
      </c>
      <c r="GP434" s="145">
        <f>GP442*GP501/100</f>
        <v>-29.276227873205173</v>
      </c>
      <c r="GQ434" s="79">
        <f t="shared" ref="GQ434:GQ436" si="1446">IF(ISERROR((GP434/GN434-1)*100),"NA",IF(((GP434/GN434-1)*100)&gt;100,"NM",IF(((GP434/GN434-1)*100)&lt;-50,"NM",(GP434/GN434-1)*100)))</f>
        <v>2.4999999999999911</v>
      </c>
      <c r="GR434" s="145">
        <f>GR442*GR501/100</f>
        <v>-30.008133570035298</v>
      </c>
      <c r="GS434" s="79">
        <f t="shared" si="1441"/>
        <v>2.4999999999999911</v>
      </c>
      <c r="GT434" s="79" t="str">
        <f>IF(ISERROR(((GR434/GH434)^0.2-1)*100),"NA",(IF(OR(((GR434/GH434)^0.2-1)*100&gt;99,((GR434/GH434)^0.2-1)*100&lt;-50),"NM",(((GR434/GH434)^0.2-1)*100))))</f>
        <v>NM</v>
      </c>
      <c r="GU434" s="562"/>
      <c r="GV434" s="562"/>
      <c r="GW434"/>
      <c r="GX434"/>
      <c r="GY434"/>
      <c r="GZ434"/>
      <c r="HA434"/>
      <c r="HB434"/>
      <c r="HC434" s="562"/>
      <c r="HD434" s="562"/>
      <c r="HE434" s="562"/>
      <c r="HF434" s="562"/>
      <c r="HG434" s="562"/>
      <c r="HH434" s="562"/>
      <c r="HI434" s="562"/>
      <c r="HJ434" s="562"/>
      <c r="HK434" s="562"/>
      <c r="HL434" s="562"/>
      <c r="HM434" s="562"/>
      <c r="HN434" s="562"/>
      <c r="HO434" s="562"/>
      <c r="HP434" s="562"/>
      <c r="HQ434" s="562"/>
      <c r="HR434" s="562"/>
      <c r="HS434" s="562"/>
      <c r="HT434" s="562"/>
      <c r="HU434" s="562"/>
      <c r="HV434" s="562"/>
      <c r="HW434" s="562"/>
      <c r="HX434" s="562"/>
      <c r="HY434" s="562"/>
      <c r="HZ434" s="562"/>
      <c r="IA434" s="562"/>
      <c r="IB434" s="562"/>
      <c r="IC434" s="562"/>
      <c r="ID434" s="562"/>
      <c r="IE434" s="562"/>
      <c r="IF434" s="562"/>
      <c r="IG434" s="562"/>
      <c r="IH434" s="562"/>
      <c r="II434" s="562"/>
      <c r="IJ434" s="562"/>
      <c r="IK434" s="562"/>
      <c r="IL434" s="562"/>
      <c r="IM434" s="562"/>
      <c r="IN434" s="562"/>
      <c r="IO434" s="562"/>
      <c r="IP434" s="562"/>
      <c r="IQ434" s="562"/>
      <c r="IR434" s="562"/>
      <c r="IS434" s="562"/>
      <c r="IT434" s="562"/>
      <c r="IU434" s="562"/>
      <c r="IV434" s="562"/>
      <c r="IW434" s="562"/>
      <c r="IX434" s="562"/>
      <c r="IY434" s="562"/>
      <c r="IZ434" s="562"/>
      <c r="JA434" s="562"/>
      <c r="JB434" s="562"/>
      <c r="JC434" s="562"/>
      <c r="JD434" s="562"/>
      <c r="JE434" s="562"/>
      <c r="JF434" s="562"/>
      <c r="JG434" s="562"/>
      <c r="JH434" s="562"/>
      <c r="JI434" s="562"/>
      <c r="JJ434" s="562"/>
      <c r="JK434" s="562"/>
      <c r="JL434" s="562"/>
      <c r="JM434" s="562"/>
      <c r="JN434" s="562"/>
      <c r="JO434" s="562"/>
      <c r="JP434" s="562"/>
      <c r="JQ434" s="562"/>
      <c r="JR434" s="562"/>
      <c r="JS434" s="562"/>
      <c r="JT434" s="562"/>
      <c r="JU434" s="562"/>
      <c r="JV434" s="562"/>
      <c r="JW434" s="562"/>
      <c r="JX434" s="562"/>
      <c r="JY434" s="562"/>
      <c r="JZ434" s="562"/>
    </row>
    <row r="435" spans="1:286" s="249" customFormat="1" ht="12.75" customHeight="1" x14ac:dyDescent="0.2">
      <c r="A435" s="1"/>
      <c r="B435" s="2" t="s">
        <v>59</v>
      </c>
      <c r="C435" s="79"/>
      <c r="D435" s="79"/>
      <c r="E435" s="131"/>
      <c r="F435" s="131"/>
      <c r="G435" s="131"/>
      <c r="H435" s="131"/>
      <c r="I435" s="131"/>
      <c r="J435" s="131"/>
      <c r="K435" s="131"/>
      <c r="L435" s="79"/>
      <c r="M435" s="131">
        <f>4.1+1</f>
        <v>5.0999999999999996</v>
      </c>
      <c r="N435" s="79" t="str">
        <f t="shared" si="1364"/>
        <v>NA</v>
      </c>
      <c r="O435" s="131">
        <f>3-4.5</f>
        <v>-1.5</v>
      </c>
      <c r="P435" s="79" t="str">
        <f t="shared" si="1364"/>
        <v>NA</v>
      </c>
      <c r="Q435" s="131">
        <f>4.4-0.1</f>
        <v>4.3000000000000007</v>
      </c>
      <c r="R435" s="79" t="str">
        <f t="shared" si="1364"/>
        <v>NA</v>
      </c>
      <c r="S435" s="131">
        <f>3.8-0.3</f>
        <v>3.5</v>
      </c>
      <c r="T435" s="79" t="str">
        <f t="shared" si="1364"/>
        <v>NA</v>
      </c>
      <c r="U435" s="131">
        <f>4.6-2</f>
        <v>2.5999999999999996</v>
      </c>
      <c r="V435" s="79">
        <f t="shared" si="1364"/>
        <v>-49.019607843137258</v>
      </c>
      <c r="W435" s="131">
        <v>4.4000000000000004</v>
      </c>
      <c r="X435" s="79" t="str">
        <f t="shared" si="1365"/>
        <v>NM</v>
      </c>
      <c r="Y435" s="131">
        <f>9.9+0.5</f>
        <v>10.4</v>
      </c>
      <c r="Z435" s="79" t="str">
        <f t="shared" si="1366"/>
        <v>NM</v>
      </c>
      <c r="AA435" s="126">
        <f>18.2-196.9-0.4</f>
        <v>-179.10000000000002</v>
      </c>
      <c r="AB435" s="79" t="str">
        <f t="shared" si="1367"/>
        <v>NM</v>
      </c>
      <c r="AC435" s="131">
        <v>7</v>
      </c>
      <c r="AD435" s="79" t="str">
        <f t="shared" si="1368"/>
        <v>NM</v>
      </c>
      <c r="AE435" s="131">
        <v>-67.8</v>
      </c>
      <c r="AF435" s="79" t="str">
        <f t="shared" si="1369"/>
        <v>NM</v>
      </c>
      <c r="AG435" s="131">
        <v>0</v>
      </c>
      <c r="AH435" s="79" t="str">
        <f t="shared" si="1370"/>
        <v>NM</v>
      </c>
      <c r="AI435" s="131">
        <v>0</v>
      </c>
      <c r="AJ435" s="79" t="str">
        <f t="shared" si="1371"/>
        <v>NM</v>
      </c>
      <c r="AK435" s="131">
        <v>0</v>
      </c>
      <c r="AL435" s="79" t="str">
        <f t="shared" si="1372"/>
        <v>NM</v>
      </c>
      <c r="AM435" s="131">
        <v>0</v>
      </c>
      <c r="AN435" s="79" t="str">
        <f t="shared" si="1373"/>
        <v>NM</v>
      </c>
      <c r="AO435" s="131">
        <v>0</v>
      </c>
      <c r="AP435" s="79" t="str">
        <f t="shared" si="1373"/>
        <v>NA</v>
      </c>
      <c r="AQ435" s="131">
        <v>2.7</v>
      </c>
      <c r="AR435" s="79" t="str">
        <f t="shared" si="1373"/>
        <v>NA</v>
      </c>
      <c r="AS435" s="131">
        <v>0</v>
      </c>
      <c r="AT435" s="81" t="str">
        <f t="shared" si="1373"/>
        <v>NA</v>
      </c>
      <c r="AU435" s="131">
        <v>0</v>
      </c>
      <c r="AV435" s="81" t="str">
        <f t="shared" si="1373"/>
        <v>NA</v>
      </c>
      <c r="AW435" s="131">
        <v>0</v>
      </c>
      <c r="AX435" s="81" t="str">
        <f t="shared" si="1373"/>
        <v>NA</v>
      </c>
      <c r="AY435" s="131">
        <v>1.9</v>
      </c>
      <c r="AZ435" s="81">
        <f t="shared" si="1373"/>
        <v>-29.62962962962964</v>
      </c>
      <c r="BA435" s="131">
        <v>6.9</v>
      </c>
      <c r="BB435" s="81" t="str">
        <f t="shared" si="1373"/>
        <v>NA</v>
      </c>
      <c r="BC435" s="131">
        <v>0</v>
      </c>
      <c r="BD435" s="81" t="str">
        <f t="shared" si="1373"/>
        <v>NA</v>
      </c>
      <c r="BE435" s="131">
        <v>0</v>
      </c>
      <c r="BF435" s="81" t="str">
        <f t="shared" si="1374"/>
        <v>NA</v>
      </c>
      <c r="BG435" s="131">
        <v>0</v>
      </c>
      <c r="BH435" s="81" t="str">
        <f t="shared" si="1375"/>
        <v>NM</v>
      </c>
      <c r="BI435" s="131">
        <v>0</v>
      </c>
      <c r="BJ435" s="81" t="str">
        <f t="shared" si="1376"/>
        <v>NM</v>
      </c>
      <c r="BK435" s="131">
        <v>0</v>
      </c>
      <c r="BL435" s="81" t="str">
        <f t="shared" si="1377"/>
        <v>NA</v>
      </c>
      <c r="BM435" s="131">
        <v>0</v>
      </c>
      <c r="BN435" s="81" t="str">
        <f t="shared" si="1378"/>
        <v>NA</v>
      </c>
      <c r="BO435" s="131">
        <v>0</v>
      </c>
      <c r="BP435" s="81" t="str">
        <f t="shared" si="1379"/>
        <v>NA</v>
      </c>
      <c r="BQ435" s="145">
        <v>0</v>
      </c>
      <c r="BR435" s="81" t="str">
        <f t="shared" si="1380"/>
        <v>NA</v>
      </c>
      <c r="BS435" s="145">
        <v>0</v>
      </c>
      <c r="BT435" s="81" t="str">
        <f t="shared" si="1381"/>
        <v>NA</v>
      </c>
      <c r="BU435" s="145">
        <v>0</v>
      </c>
      <c r="BV435" s="81" t="str">
        <f t="shared" si="1382"/>
        <v>NA</v>
      </c>
      <c r="BW435" s="145">
        <v>0</v>
      </c>
      <c r="BX435" s="81" t="str">
        <f t="shared" si="1383"/>
        <v>NA</v>
      </c>
      <c r="BY435" s="145">
        <v>0</v>
      </c>
      <c r="BZ435" s="81" t="str">
        <f t="shared" si="1384"/>
        <v>NA</v>
      </c>
      <c r="CA435" s="145">
        <v>0</v>
      </c>
      <c r="CB435" s="81" t="str">
        <f t="shared" si="1385"/>
        <v>NA</v>
      </c>
      <c r="CC435" s="145">
        <v>0</v>
      </c>
      <c r="CD435" s="81" t="str">
        <f t="shared" si="1386"/>
        <v>NA</v>
      </c>
      <c r="CE435" s="145">
        <v>0</v>
      </c>
      <c r="CF435" s="81" t="str">
        <f t="shared" si="1387"/>
        <v>NA</v>
      </c>
      <c r="CG435" s="145">
        <v>0</v>
      </c>
      <c r="CH435" s="81" t="str">
        <f t="shared" si="1388"/>
        <v>NA</v>
      </c>
      <c r="CI435" s="145">
        <v>0</v>
      </c>
      <c r="CJ435" s="81" t="str">
        <f t="shared" si="1389"/>
        <v>NA</v>
      </c>
      <c r="CK435" s="145">
        <v>0</v>
      </c>
      <c r="CL435" s="81" t="str">
        <f t="shared" si="1390"/>
        <v>NA</v>
      </c>
      <c r="CM435" s="145">
        <v>0</v>
      </c>
      <c r="CN435" s="81" t="str">
        <f t="shared" si="1391"/>
        <v>NA</v>
      </c>
      <c r="CO435" s="145">
        <v>0</v>
      </c>
      <c r="CP435" s="81" t="str">
        <f t="shared" si="1392"/>
        <v>NA</v>
      </c>
      <c r="CQ435" s="145">
        <v>0</v>
      </c>
      <c r="CR435" s="81" t="str">
        <f t="shared" si="1393"/>
        <v>NA</v>
      </c>
      <c r="CS435" s="145">
        <v>0</v>
      </c>
      <c r="CT435" s="81" t="str">
        <f t="shared" si="1394"/>
        <v>NA</v>
      </c>
      <c r="CU435" s="145">
        <v>0</v>
      </c>
      <c r="CV435" s="81" t="str">
        <f t="shared" si="1395"/>
        <v>NA</v>
      </c>
      <c r="CW435" s="891">
        <v>0</v>
      </c>
      <c r="CX435" s="81"/>
      <c r="CY435" s="891">
        <v>0</v>
      </c>
      <c r="CZ435" s="81"/>
      <c r="DA435" s="891">
        <v>0</v>
      </c>
      <c r="DB435" s="81"/>
      <c r="DC435" s="891">
        <v>0</v>
      </c>
      <c r="DD435" s="81"/>
      <c r="DE435" s="891">
        <v>0</v>
      </c>
      <c r="DF435" s="81"/>
      <c r="DG435" s="891">
        <v>0</v>
      </c>
      <c r="DH435" s="81"/>
      <c r="DI435" s="891">
        <v>0</v>
      </c>
      <c r="DJ435" s="81"/>
      <c r="DK435" s="891">
        <v>0</v>
      </c>
      <c r="DL435" s="81" t="str">
        <f t="shared" si="1403"/>
        <v>NA</v>
      </c>
      <c r="DM435" s="891">
        <v>0</v>
      </c>
      <c r="DN435" s="81" t="str">
        <f t="shared" si="1404"/>
        <v>NA</v>
      </c>
      <c r="DO435" s="891">
        <v>0</v>
      </c>
      <c r="DP435" s="81" t="str">
        <f t="shared" si="1404"/>
        <v>NA</v>
      </c>
      <c r="DQ435" s="891">
        <v>0</v>
      </c>
      <c r="DR435" s="81" t="str">
        <f t="shared" si="1405"/>
        <v>NA</v>
      </c>
      <c r="DS435" s="891">
        <v>0</v>
      </c>
      <c r="DT435" s="81" t="str">
        <f t="shared" si="1406"/>
        <v>NA</v>
      </c>
      <c r="DU435" s="891">
        <v>0</v>
      </c>
      <c r="DV435" s="81" t="str">
        <f t="shared" si="1407"/>
        <v>NA</v>
      </c>
      <c r="DW435" s="891">
        <v>0</v>
      </c>
      <c r="DX435" s="81" t="str">
        <f t="shared" si="1408"/>
        <v>NA</v>
      </c>
      <c r="DY435" s="891">
        <v>0</v>
      </c>
      <c r="DZ435" s="81" t="str">
        <f t="shared" si="1409"/>
        <v>NA</v>
      </c>
      <c r="EA435" s="891"/>
      <c r="EB435" s="81" t="str">
        <f t="shared" si="1410"/>
        <v>NA</v>
      </c>
      <c r="EC435" s="891"/>
      <c r="ED435" s="81" t="str">
        <f t="shared" si="1411"/>
        <v>NA</v>
      </c>
      <c r="EE435" s="891"/>
      <c r="EF435" s="81" t="str">
        <f t="shared" si="1412"/>
        <v>NA</v>
      </c>
      <c r="EG435" s="891"/>
      <c r="EH435" s="81" t="str">
        <f t="shared" si="1413"/>
        <v>NA</v>
      </c>
      <c r="EI435" s="891"/>
      <c r="EJ435" s="81" t="str">
        <f t="shared" si="1414"/>
        <v>NA</v>
      </c>
      <c r="EK435" s="145"/>
      <c r="EL435" s="81" t="str">
        <f t="shared" si="1415"/>
        <v>NA</v>
      </c>
      <c r="EM435" s="145"/>
      <c r="EN435" s="81" t="str">
        <f t="shared" si="1416"/>
        <v>NA</v>
      </c>
      <c r="EO435" s="145"/>
      <c r="EP435" s="81" t="str">
        <f t="shared" si="1417"/>
        <v>NA</v>
      </c>
      <c r="EQ435" s="145"/>
      <c r="ER435" s="81" t="str">
        <f t="shared" si="1418"/>
        <v>NA</v>
      </c>
      <c r="ES435" s="82"/>
      <c r="ET435" s="469"/>
      <c r="EU435" s="82"/>
      <c r="EV435" s="131"/>
      <c r="EW435" s="79"/>
      <c r="EX435" s="131"/>
      <c r="EY435" s="79"/>
      <c r="EZ435" s="145"/>
      <c r="FA435" s="79"/>
      <c r="FB435" s="145"/>
      <c r="FC435" s="79" t="str">
        <f t="shared" si="1420"/>
        <v>NA</v>
      </c>
      <c r="FD435" s="145">
        <f>+S435+Q435+O435+M435</f>
        <v>11.4</v>
      </c>
      <c r="FE435" s="79" t="str">
        <f t="shared" si="1422"/>
        <v>NA</v>
      </c>
      <c r="FF435" s="145">
        <f t="shared" si="1423"/>
        <v>-161.70000000000002</v>
      </c>
      <c r="FG435" s="79" t="str">
        <f t="shared" si="1424"/>
        <v>NM</v>
      </c>
      <c r="FH435" s="145">
        <f t="shared" si="1425"/>
        <v>-60.8</v>
      </c>
      <c r="FI435" s="79" t="str">
        <f t="shared" si="1426"/>
        <v>NM</v>
      </c>
      <c r="FJ435" s="145">
        <f t="shared" si="1427"/>
        <v>2.7</v>
      </c>
      <c r="FK435" s="79" t="str">
        <f t="shared" si="1426"/>
        <v>NM</v>
      </c>
      <c r="FL435" s="145">
        <f t="shared" si="1428"/>
        <v>1.9</v>
      </c>
      <c r="FM435" s="79">
        <f t="shared" si="1426"/>
        <v>-29.62962962962964</v>
      </c>
      <c r="FN435" s="145">
        <f t="shared" si="1429"/>
        <v>6.9</v>
      </c>
      <c r="FO435" s="79" t="str">
        <f t="shared" si="1426"/>
        <v>NM</v>
      </c>
      <c r="FP435" s="145">
        <f t="shared" si="1430"/>
        <v>0</v>
      </c>
      <c r="FQ435" s="79" t="str">
        <f t="shared" si="1426"/>
        <v>NM</v>
      </c>
      <c r="FR435" s="145">
        <f>BQ435+BS435+BU435+BW435</f>
        <v>0</v>
      </c>
      <c r="FS435" s="79" t="str">
        <f t="shared" si="1426"/>
        <v>NA</v>
      </c>
      <c r="FT435" s="145">
        <f>BY435+CA435+CC435+CE435</f>
        <v>0</v>
      </c>
      <c r="FU435" s="79" t="str">
        <f t="shared" si="1426"/>
        <v>NA</v>
      </c>
      <c r="FV435" s="145">
        <f>CG435+CI435+CK435+CM435</f>
        <v>0</v>
      </c>
      <c r="FW435" s="79" t="str">
        <f t="shared" si="1426"/>
        <v>NA</v>
      </c>
      <c r="FX435" s="891">
        <v>0</v>
      </c>
      <c r="FY435" s="79" t="str">
        <f t="shared" si="1426"/>
        <v>NA</v>
      </c>
      <c r="FZ435" s="192">
        <f>CW435+CY435+DA435+DC435</f>
        <v>0</v>
      </c>
      <c r="GA435" s="79" t="str">
        <f t="shared" si="1445"/>
        <v>NA</v>
      </c>
      <c r="GB435" s="192">
        <f>DE435+DG435+DI435+DK435</f>
        <v>0</v>
      </c>
      <c r="GC435" s="79" t="str">
        <f t="shared" si="1426"/>
        <v>NA</v>
      </c>
      <c r="GD435" s="145">
        <f>DM435+DO435+DQ435+DS435</f>
        <v>0</v>
      </c>
      <c r="GE435" s="79" t="str">
        <f t="shared" si="1426"/>
        <v>NA</v>
      </c>
      <c r="GF435" s="145">
        <f>DU435+DW435+DY435+EA435</f>
        <v>0</v>
      </c>
      <c r="GG435" s="79" t="str">
        <f t="shared" si="1426"/>
        <v>NA</v>
      </c>
      <c r="GH435" s="145">
        <f>EC435+EE435+EG435+EI435</f>
        <v>0</v>
      </c>
      <c r="GI435" s="79" t="str">
        <f t="shared" si="1426"/>
        <v>NA</v>
      </c>
      <c r="GJ435" s="145">
        <f>EK435+EM435+EO435+EQ435</f>
        <v>0</v>
      </c>
      <c r="GK435" s="79" t="str">
        <f t="shared" si="1426"/>
        <v>NA</v>
      </c>
      <c r="GL435" s="145"/>
      <c r="GM435" s="79" t="str">
        <f t="shared" si="1426"/>
        <v>NA</v>
      </c>
      <c r="GN435" s="145"/>
      <c r="GO435" s="79" t="str">
        <f t="shared" si="1426"/>
        <v>NA</v>
      </c>
      <c r="GP435" s="145"/>
      <c r="GQ435" s="79" t="str">
        <f t="shared" si="1446"/>
        <v>NA</v>
      </c>
      <c r="GR435" s="145"/>
      <c r="GS435" s="79" t="str">
        <f t="shared" si="1441"/>
        <v>NA</v>
      </c>
      <c r="GT435" s="79" t="str">
        <f>IF(ISERROR(((GR435/GH435)^0.2-1)*100),"NA",(IF(OR(((GR435/GH435)^0.2-1)*100&gt;99,((GR435/GH435)^0.2-1)*100&lt;-50),"NM",(((GR435/GH435)^0.2-1)*100))))</f>
        <v>NA</v>
      </c>
      <c r="GU435" s="562"/>
      <c r="GV435" s="562"/>
      <c r="GW435"/>
      <c r="GX435"/>
      <c r="GY435"/>
      <c r="GZ435"/>
      <c r="HA435"/>
      <c r="HB435"/>
      <c r="HC435" s="562"/>
      <c r="HD435" s="562"/>
      <c r="HE435" s="562"/>
      <c r="HF435" s="562"/>
      <c r="HG435" s="562"/>
      <c r="HH435" s="562"/>
      <c r="HI435" s="562"/>
      <c r="HJ435" s="562"/>
      <c r="HK435" s="562"/>
      <c r="HL435" s="562"/>
      <c r="HM435" s="562"/>
      <c r="HN435" s="562"/>
      <c r="HO435" s="562"/>
      <c r="HP435" s="562"/>
      <c r="HQ435" s="562"/>
      <c r="HR435" s="562"/>
      <c r="HS435" s="562"/>
      <c r="HT435" s="562"/>
      <c r="HU435" s="562"/>
      <c r="HV435" s="562"/>
      <c r="HW435" s="562"/>
      <c r="HX435" s="562"/>
      <c r="HY435" s="562"/>
      <c r="HZ435" s="562"/>
      <c r="IA435" s="562"/>
      <c r="IB435" s="562"/>
      <c r="IC435" s="562"/>
      <c r="ID435" s="562"/>
      <c r="IE435" s="562"/>
      <c r="IF435" s="562"/>
      <c r="IG435" s="562"/>
      <c r="IH435" s="562"/>
      <c r="II435" s="562"/>
      <c r="IJ435" s="562"/>
      <c r="IK435" s="562"/>
      <c r="IL435" s="562"/>
      <c r="IM435" s="562"/>
      <c r="IN435" s="562"/>
      <c r="IO435" s="562"/>
      <c r="IP435" s="562"/>
      <c r="IQ435" s="562"/>
      <c r="IR435" s="562"/>
      <c r="IS435" s="562"/>
      <c r="IT435" s="562"/>
      <c r="IU435" s="562"/>
      <c r="IV435" s="562"/>
      <c r="IW435" s="562"/>
      <c r="IX435" s="562"/>
      <c r="IY435" s="562"/>
      <c r="IZ435" s="562"/>
      <c r="JA435" s="562"/>
      <c r="JB435" s="562"/>
      <c r="JC435" s="562"/>
      <c r="JD435" s="562"/>
      <c r="JE435" s="562"/>
      <c r="JF435" s="562"/>
      <c r="JG435" s="562"/>
      <c r="JH435" s="562"/>
      <c r="JI435" s="562"/>
      <c r="JJ435" s="562"/>
      <c r="JK435" s="562"/>
      <c r="JL435" s="562"/>
      <c r="JM435" s="562"/>
      <c r="JN435" s="562"/>
      <c r="JO435" s="562"/>
      <c r="JP435" s="562"/>
      <c r="JQ435" s="562"/>
      <c r="JR435" s="562"/>
      <c r="JS435" s="562"/>
      <c r="JT435" s="562"/>
      <c r="JU435" s="562"/>
      <c r="JV435" s="562"/>
      <c r="JW435" s="562"/>
      <c r="JX435" s="562"/>
      <c r="JY435" s="562"/>
      <c r="JZ435" s="562"/>
    </row>
    <row r="436" spans="1:286" s="249" customFormat="1" ht="12.75" customHeight="1" x14ac:dyDescent="0.2">
      <c r="A436" s="1" t="s">
        <v>63</v>
      </c>
      <c r="B436" s="2" t="s">
        <v>49</v>
      </c>
      <c r="C436" s="79"/>
      <c r="D436" s="79"/>
      <c r="E436" s="145">
        <f>SUM(E433:E434)</f>
        <v>-4.0999999999999996</v>
      </c>
      <c r="F436" s="145"/>
      <c r="G436" s="145">
        <f>SUM(G433:G434)</f>
        <v>-3.2</v>
      </c>
      <c r="H436" s="145"/>
      <c r="I436" s="145">
        <f>SUM(I433:I434)</f>
        <v>-11.2</v>
      </c>
      <c r="J436" s="145"/>
      <c r="K436" s="145">
        <f>SUM(K433:K434)</f>
        <v>-69.5</v>
      </c>
      <c r="L436" s="79"/>
      <c r="M436" s="145">
        <f>SUM(M433:M435)</f>
        <v>-59.1</v>
      </c>
      <c r="N436" s="79" t="str">
        <f t="shared" si="1364"/>
        <v>NM</v>
      </c>
      <c r="O436" s="145">
        <f>SUM(O433:O435)</f>
        <v>-52</v>
      </c>
      <c r="P436" s="79" t="str">
        <f t="shared" si="1364"/>
        <v>NM</v>
      </c>
      <c r="Q436" s="145">
        <f>SUM(Q433:Q435)</f>
        <v>-37.200000000000003</v>
      </c>
      <c r="R436" s="79" t="str">
        <f t="shared" si="1364"/>
        <v>NM</v>
      </c>
      <c r="S436" s="145">
        <f>SUM(S433:S435)</f>
        <v>-49.1</v>
      </c>
      <c r="T436" s="79">
        <f t="shared" si="1364"/>
        <v>-29.352517985611502</v>
      </c>
      <c r="U436" s="145">
        <f>SUM(U433:U435)</f>
        <v>-53</v>
      </c>
      <c r="V436" s="79">
        <f t="shared" si="1364"/>
        <v>-10.321489001692052</v>
      </c>
      <c r="W436" s="145">
        <f>SUM(W433:W435)</f>
        <v>-12.9</v>
      </c>
      <c r="X436" s="79" t="str">
        <f t="shared" si="1365"/>
        <v>NM</v>
      </c>
      <c r="Y436" s="145">
        <f>SUM(Y433:Y435)</f>
        <v>-6.1</v>
      </c>
      <c r="Z436" s="79" t="str">
        <f t="shared" si="1366"/>
        <v>NM</v>
      </c>
      <c r="AA436" s="267">
        <f>SUM(AA433:AA435)</f>
        <v>-163.10000000000002</v>
      </c>
      <c r="AB436" s="79" t="str">
        <f t="shared" si="1367"/>
        <v>NM</v>
      </c>
      <c r="AC436" s="145">
        <f>SUM(AC433:AC435)</f>
        <v>23.099999999999998</v>
      </c>
      <c r="AD436" s="79" t="str">
        <f t="shared" si="1368"/>
        <v>NM</v>
      </c>
      <c r="AE436" s="145">
        <f>SUM(AE433:AE435)</f>
        <v>-123.69999999999999</v>
      </c>
      <c r="AF436" s="79" t="str">
        <f t="shared" si="1369"/>
        <v>NM</v>
      </c>
      <c r="AG436" s="145">
        <f>SUM(AG433:AG435)</f>
        <v>41.8</v>
      </c>
      <c r="AH436" s="79" t="str">
        <f t="shared" si="1370"/>
        <v>NM</v>
      </c>
      <c r="AI436" s="145">
        <f>SUM(AI433:AI435)</f>
        <v>16.8</v>
      </c>
      <c r="AJ436" s="79" t="str">
        <f t="shared" si="1371"/>
        <v>NM</v>
      </c>
      <c r="AK436" s="145">
        <f>SUM(AK433:AK435)</f>
        <v>-2.1</v>
      </c>
      <c r="AL436" s="79" t="str">
        <f t="shared" si="1372"/>
        <v>NM</v>
      </c>
      <c r="AM436" s="145">
        <f>SUM(AM433:AM435)</f>
        <v>42.6</v>
      </c>
      <c r="AN436" s="79" t="str">
        <f t="shared" si="1373"/>
        <v>NM</v>
      </c>
      <c r="AO436" s="145">
        <f>SUM(AO433:AO435)</f>
        <v>-80.7</v>
      </c>
      <c r="AP436" s="79" t="str">
        <f t="shared" si="1373"/>
        <v>NM</v>
      </c>
      <c r="AQ436" s="145">
        <f>SUM(AQ433:AQ435)</f>
        <v>4.2</v>
      </c>
      <c r="AR436" s="79" t="str">
        <f t="shared" si="1373"/>
        <v>NM</v>
      </c>
      <c r="AS436" s="145">
        <f>SUM(AS433:AS435)</f>
        <v>-57.8</v>
      </c>
      <c r="AT436" s="81" t="str">
        <f t="shared" si="1373"/>
        <v>NM</v>
      </c>
      <c r="AU436" s="145">
        <f>SUM(AU433:AU435)</f>
        <v>-15.17</v>
      </c>
      <c r="AV436" s="81" t="str">
        <f t="shared" si="1373"/>
        <v>NM</v>
      </c>
      <c r="AW436" s="145">
        <f>SUM(AW433:AW435)</f>
        <v>-221.12280000000001</v>
      </c>
      <c r="AX436" s="81" t="str">
        <f t="shared" si="1373"/>
        <v>NM</v>
      </c>
      <c r="AY436" s="145">
        <f>SUM(AY433:AY435)</f>
        <v>96.300000000000011</v>
      </c>
      <c r="AZ436" s="81" t="str">
        <f t="shared" si="1373"/>
        <v>NM</v>
      </c>
      <c r="BA436" s="145">
        <f>SUM(BA433:BA435)</f>
        <v>3.7</v>
      </c>
      <c r="BB436" s="81" t="str">
        <f t="shared" si="1373"/>
        <v>NM</v>
      </c>
      <c r="BC436" s="145">
        <f>SUM(BC433:BC435)</f>
        <v>6.5</v>
      </c>
      <c r="BD436" s="81" t="str">
        <f t="shared" si="1373"/>
        <v>NM</v>
      </c>
      <c r="BE436" s="145">
        <f>SUM(BE433:BE435)</f>
        <v>-30</v>
      </c>
      <c r="BF436" s="81" t="str">
        <f t="shared" si="1374"/>
        <v>NM</v>
      </c>
      <c r="BG436" s="145">
        <f>SUM(BG433:BG435)</f>
        <v>-52.6</v>
      </c>
      <c r="BH436" s="81" t="str">
        <f t="shared" si="1375"/>
        <v>NM</v>
      </c>
      <c r="BI436" s="145">
        <f>SUM(BI433:BI435)</f>
        <v>-44.7</v>
      </c>
      <c r="BJ436" s="81" t="str">
        <f t="shared" si="1376"/>
        <v>NM</v>
      </c>
      <c r="BK436" s="145">
        <f>SUM(BK433:BK435)</f>
        <v>17.100000000000001</v>
      </c>
      <c r="BL436" s="81" t="str">
        <f t="shared" si="1377"/>
        <v>NM</v>
      </c>
      <c r="BM436" s="145">
        <f>SUM(BM433:BM435)</f>
        <v>-108.9</v>
      </c>
      <c r="BN436" s="81" t="str">
        <f t="shared" si="1378"/>
        <v>NM</v>
      </c>
      <c r="BO436" s="145">
        <f>SUM(BO433:BO435)</f>
        <v>-167.6</v>
      </c>
      <c r="BP436" s="81" t="str">
        <f t="shared" si="1379"/>
        <v>NM</v>
      </c>
      <c r="BQ436" s="145">
        <f>SUM(BQ433:BQ435)</f>
        <v>-41.8</v>
      </c>
      <c r="BR436" s="81">
        <f t="shared" si="1380"/>
        <v>-6.487695749440725</v>
      </c>
      <c r="BS436" s="145">
        <f>SUM(BS433:BS435)</f>
        <v>51.4</v>
      </c>
      <c r="BT436" s="81" t="str">
        <f t="shared" si="1381"/>
        <v>NM</v>
      </c>
      <c r="BU436" s="145">
        <f>SUM(BU433:BU435)</f>
        <v>9.5</v>
      </c>
      <c r="BV436" s="81" t="str">
        <f t="shared" si="1382"/>
        <v>NM</v>
      </c>
      <c r="BW436" s="145">
        <f>SUM(BW433:BW435)</f>
        <v>-18.899999999999999</v>
      </c>
      <c r="BX436" s="81" t="str">
        <f t="shared" si="1383"/>
        <v>NM</v>
      </c>
      <c r="BY436" s="145">
        <f>SUM(BY433:BY435)</f>
        <v>0</v>
      </c>
      <c r="BZ436" s="81" t="str">
        <f t="shared" si="1384"/>
        <v>NM</v>
      </c>
      <c r="CA436" s="145">
        <f>SUM(CA433:CA435)</f>
        <v>-24.200000000000003</v>
      </c>
      <c r="CB436" s="81" t="str">
        <f t="shared" si="1385"/>
        <v>NM</v>
      </c>
      <c r="CC436" s="145">
        <f>SUM(CC433:CC435)</f>
        <v>-4.4000000000000004</v>
      </c>
      <c r="CD436" s="81" t="str">
        <f t="shared" si="1386"/>
        <v>NM</v>
      </c>
      <c r="CE436" s="145">
        <f>SUM(CE433:CE435)</f>
        <v>11.899999999999999</v>
      </c>
      <c r="CF436" s="81" t="str">
        <f t="shared" si="1387"/>
        <v>NM</v>
      </c>
      <c r="CG436" s="145">
        <f>SUM(CG433:CG435)</f>
        <v>4.4999999999999991</v>
      </c>
      <c r="CH436" s="81" t="str">
        <f t="shared" si="1388"/>
        <v>NA</v>
      </c>
      <c r="CI436" s="145">
        <f>SUM(CI433:CI435)</f>
        <v>-7.4</v>
      </c>
      <c r="CJ436" s="81" t="str">
        <f t="shared" si="1389"/>
        <v>NM</v>
      </c>
      <c r="CK436" s="145">
        <f>SUM(CK433:CK435)</f>
        <v>-21.099999999999998</v>
      </c>
      <c r="CL436" s="81" t="str">
        <f t="shared" si="1390"/>
        <v>NM</v>
      </c>
      <c r="CM436" s="145">
        <f>SUM(CM433:CM435)</f>
        <v>-0.30000000000000027</v>
      </c>
      <c r="CN436" s="81" t="str">
        <f t="shared" si="1391"/>
        <v>NM</v>
      </c>
      <c r="CO436" s="145">
        <f>SUM(CO433:CO435)</f>
        <v>0.70000000000000107</v>
      </c>
      <c r="CP436" s="81" t="str">
        <f t="shared" si="1392"/>
        <v>NM</v>
      </c>
      <c r="CQ436" s="145">
        <f>SUM(CQ433:CQ435)</f>
        <v>-8.8999999999999986</v>
      </c>
      <c r="CR436" s="81">
        <f t="shared" si="1393"/>
        <v>20.270270270270242</v>
      </c>
      <c r="CS436" s="145">
        <f>SUM(CS433:CS435)</f>
        <v>6.2000000000000011</v>
      </c>
      <c r="CT436" s="81" t="str">
        <f t="shared" si="1394"/>
        <v>NM</v>
      </c>
      <c r="CU436" s="145">
        <f>SUM(CU433:CU435)</f>
        <v>8.8999999999999986</v>
      </c>
      <c r="CV436" s="81" t="str">
        <f t="shared" si="1395"/>
        <v>NM</v>
      </c>
      <c r="CW436" s="145">
        <f>SUM(CW433:CW435)</f>
        <v>-2.9999999999999991</v>
      </c>
      <c r="CX436" s="81" t="str">
        <f t="shared" si="1396"/>
        <v>NM</v>
      </c>
      <c r="CY436" s="145">
        <f>SUM(CY433:CY435)</f>
        <v>9.9999999999999645E-2</v>
      </c>
      <c r="CZ436" s="81" t="str">
        <f t="shared" si="1397"/>
        <v>NM</v>
      </c>
      <c r="DA436" s="145">
        <f>SUM(DA433:DA435)</f>
        <v>-18.899999999999999</v>
      </c>
      <c r="DB436" s="81" t="str">
        <f t="shared" si="1398"/>
        <v>NM</v>
      </c>
      <c r="DC436" s="145">
        <f>SUM(DC433:DC435)</f>
        <v>4.3</v>
      </c>
      <c r="DD436" s="81" t="str">
        <f t="shared" si="1399"/>
        <v>NM</v>
      </c>
      <c r="DE436" s="145">
        <f>SUM(DE433:DE435)</f>
        <v>3.1999999999999997</v>
      </c>
      <c r="DF436" s="81" t="str">
        <f t="shared" si="1400"/>
        <v>NM</v>
      </c>
      <c r="DG436" s="145">
        <f>SUM(DG433:DG435)</f>
        <v>18.100000000000001</v>
      </c>
      <c r="DH436" s="81" t="str">
        <f t="shared" si="1401"/>
        <v>NM</v>
      </c>
      <c r="DI436" s="145">
        <f>SUM(DI433:DI435)</f>
        <v>0</v>
      </c>
      <c r="DJ436" s="81" t="str">
        <f t="shared" si="1402"/>
        <v>NM</v>
      </c>
      <c r="DK436" s="145">
        <f>SUM(DK433:DK435)</f>
        <v>-53.099999999999994</v>
      </c>
      <c r="DL436" s="81" t="str">
        <f t="shared" si="1403"/>
        <v>NM</v>
      </c>
      <c r="DM436" s="145">
        <f>SUM(DM433:DM435)</f>
        <v>-10</v>
      </c>
      <c r="DN436" s="81" t="str">
        <f t="shared" si="1404"/>
        <v>NM</v>
      </c>
      <c r="DO436" s="145">
        <f>SUM(DO433:DO435)</f>
        <v>3.7</v>
      </c>
      <c r="DP436" s="81" t="str">
        <f t="shared" si="1404"/>
        <v>NM</v>
      </c>
      <c r="DQ436" s="145">
        <f>SUM(DQ433:DQ435)</f>
        <v>-17.3</v>
      </c>
      <c r="DR436" s="81" t="str">
        <f t="shared" si="1405"/>
        <v>NA</v>
      </c>
      <c r="DS436" s="145">
        <f>SUM(DS433:DS435)</f>
        <v>-2.5</v>
      </c>
      <c r="DT436" s="81" t="str">
        <f t="shared" si="1406"/>
        <v>NM</v>
      </c>
      <c r="DU436" s="145">
        <f>SUM(DU433:DU435)</f>
        <v>-13.6</v>
      </c>
      <c r="DV436" s="81">
        <f t="shared" si="1407"/>
        <v>35.999999999999986</v>
      </c>
      <c r="DW436" s="145">
        <f>SUM(DW433:DW435)</f>
        <v>3.8</v>
      </c>
      <c r="DX436" s="81">
        <f t="shared" si="1408"/>
        <v>2.7027027027026973</v>
      </c>
      <c r="DY436" s="145">
        <f>SUM(DY433:DY435)</f>
        <v>7.3</v>
      </c>
      <c r="DZ436" s="81" t="str">
        <f t="shared" si="1409"/>
        <v>NM</v>
      </c>
      <c r="EA436" s="145">
        <f>SUM(EA433:EA435)</f>
        <v>18.3</v>
      </c>
      <c r="EB436" s="81" t="str">
        <f t="shared" si="1410"/>
        <v>NM</v>
      </c>
      <c r="EC436" s="145">
        <f>SUM(EC433:EC435)</f>
        <v>-6.2</v>
      </c>
      <c r="ED436" s="81" t="str">
        <f t="shared" si="1411"/>
        <v>NM</v>
      </c>
      <c r="EE436" s="145">
        <f>SUM(EE433:EE435)</f>
        <v>4.7</v>
      </c>
      <c r="EF436" s="81">
        <f t="shared" si="1412"/>
        <v>23.684210526315795</v>
      </c>
      <c r="EG436" s="145">
        <f>SUM(EG433:EG435)</f>
        <v>6.2</v>
      </c>
      <c r="EH436" s="81">
        <f t="shared" si="1413"/>
        <v>-15.068493150684926</v>
      </c>
      <c r="EI436" s="145">
        <f>SUM(EI433:EI435)</f>
        <v>13.3</v>
      </c>
      <c r="EJ436" s="81">
        <f t="shared" si="1414"/>
        <v>-27.322404371584696</v>
      </c>
      <c r="EK436" s="145">
        <f t="shared" ref="EK436:EQ436" si="1447">SUM(EK433:EK435)</f>
        <v>-20.5</v>
      </c>
      <c r="EL436" s="81" t="str">
        <f t="shared" si="1415"/>
        <v>NM</v>
      </c>
      <c r="EM436" s="145">
        <f t="shared" si="1447"/>
        <v>-7.1</v>
      </c>
      <c r="EN436" s="81" t="str">
        <f t="shared" si="1416"/>
        <v>NM</v>
      </c>
      <c r="EO436" s="145">
        <f t="shared" si="1447"/>
        <v>-7.1</v>
      </c>
      <c r="EP436" s="81" t="str">
        <f t="shared" si="1417"/>
        <v>NM</v>
      </c>
      <c r="EQ436" s="145">
        <f t="shared" si="1447"/>
        <v>-6.1</v>
      </c>
      <c r="ER436" s="81" t="str">
        <f t="shared" si="1418"/>
        <v>NM</v>
      </c>
      <c r="ES436" s="82"/>
      <c r="ET436" s="469"/>
      <c r="EU436" s="82"/>
      <c r="EV436" s="145"/>
      <c r="EW436" s="79"/>
      <c r="EX436" s="145"/>
      <c r="EY436" s="79"/>
      <c r="EZ436" s="145"/>
      <c r="FA436" s="79"/>
      <c r="FB436" s="145">
        <f>SUM(FB433:FB434)</f>
        <v>-201.2</v>
      </c>
      <c r="FC436" s="79" t="str">
        <f t="shared" si="1420"/>
        <v>NA</v>
      </c>
      <c r="FD436" s="145">
        <f>SUM(FD433:FD435)</f>
        <v>-197.39999999999998</v>
      </c>
      <c r="FE436" s="79">
        <f t="shared" si="1422"/>
        <v>-1.8886679920477212</v>
      </c>
      <c r="FF436" s="145">
        <f>SUM(FF433:FF435)</f>
        <v>-235.10000000000002</v>
      </c>
      <c r="FG436" s="79">
        <f t="shared" si="1424"/>
        <v>19.098277608915936</v>
      </c>
      <c r="FH436" s="145">
        <f>SUM(FH433:FH435)</f>
        <v>-42</v>
      </c>
      <c r="FI436" s="79" t="str">
        <f t="shared" si="1426"/>
        <v>NM</v>
      </c>
      <c r="FJ436" s="145">
        <f>SUM(FJ433:FJ435)</f>
        <v>-36</v>
      </c>
      <c r="FK436" s="79">
        <f t="shared" si="1426"/>
        <v>-14.28571428571429</v>
      </c>
      <c r="FL436" s="145">
        <f>SUM(FL433:FL435)</f>
        <v>-197.7928</v>
      </c>
      <c r="FM436" s="79" t="str">
        <f t="shared" si="1426"/>
        <v>NM</v>
      </c>
      <c r="FN436" s="145">
        <f>SUM(FN433:FN435)</f>
        <v>-72.400000000000006</v>
      </c>
      <c r="FO436" s="79" t="str">
        <f t="shared" si="1426"/>
        <v>NM</v>
      </c>
      <c r="FP436" s="145">
        <f>SUM(FP433:FP435)</f>
        <v>-304.10000000000002</v>
      </c>
      <c r="FQ436" s="79" t="str">
        <f t="shared" si="1426"/>
        <v>NM</v>
      </c>
      <c r="FR436" s="145">
        <f>SUM(FR433:FR435)</f>
        <v>-13.247020785219402</v>
      </c>
      <c r="FS436" s="79" t="str">
        <f t="shared" si="1426"/>
        <v>NM</v>
      </c>
      <c r="FT436" s="145">
        <f>SUM(FT433:FT435)</f>
        <v>-16.700000000000003</v>
      </c>
      <c r="FU436" s="79">
        <f t="shared" si="1426"/>
        <v>26.066081353426451</v>
      </c>
      <c r="FV436" s="145">
        <f>SUM(FV433:FV435)</f>
        <v>-24.299999999999997</v>
      </c>
      <c r="FW436" s="79">
        <f t="shared" si="1426"/>
        <v>45.508982035928099</v>
      </c>
      <c r="FX436" s="145">
        <f>SUM(FX433:FX435)</f>
        <v>6.9000000000000021</v>
      </c>
      <c r="FY436" s="79" t="str">
        <f t="shared" si="1426"/>
        <v>NM</v>
      </c>
      <c r="FZ436" s="145">
        <f>SUM(FZ433:FZ435)</f>
        <v>-17.499999999999996</v>
      </c>
      <c r="GA436" s="79" t="str">
        <f t="shared" si="1426"/>
        <v>NM</v>
      </c>
      <c r="GB436" s="145">
        <f>SUM(GB433:GB435)</f>
        <v>-31.799999999999994</v>
      </c>
      <c r="GC436" s="79">
        <f t="shared" si="1426"/>
        <v>81.714285714285722</v>
      </c>
      <c r="GD436" s="145">
        <f>SUM(GD433:GD435)</f>
        <v>-26.1</v>
      </c>
      <c r="GE436" s="79">
        <f t="shared" si="1426"/>
        <v>-17.924528301886767</v>
      </c>
      <c r="GF436" s="145">
        <f>SUM(GF433:GF435)</f>
        <v>15.8</v>
      </c>
      <c r="GG436" s="79" t="str">
        <f t="shared" si="1426"/>
        <v>NM</v>
      </c>
      <c r="GH436" s="145">
        <f>SUM(GH433:GH435)</f>
        <v>18</v>
      </c>
      <c r="GI436" s="79">
        <f t="shared" si="1426"/>
        <v>13.924050632911378</v>
      </c>
      <c r="GJ436" s="145">
        <f>SUM(GJ433:GJ435)</f>
        <v>-40.799999999999997</v>
      </c>
      <c r="GK436" s="79" t="str">
        <f t="shared" si="1426"/>
        <v>NM</v>
      </c>
      <c r="GL436" s="145">
        <f>SUM(GL433:GL435)</f>
        <v>-41.265535155935922</v>
      </c>
      <c r="GM436" s="79">
        <f t="shared" si="1426"/>
        <v>1.1410175390586419</v>
      </c>
      <c r="GN436" s="145">
        <f>SUM(GN433:GN435)</f>
        <v>-41.962173534834321</v>
      </c>
      <c r="GO436" s="79">
        <f t="shared" si="1426"/>
        <v>1.6881845255754202</v>
      </c>
      <c r="GP436" s="145">
        <f>SUM(GP433:GP435)</f>
        <v>-42.676227873205171</v>
      </c>
      <c r="GQ436" s="79">
        <f t="shared" si="1446"/>
        <v>1.7016619450803461</v>
      </c>
      <c r="GR436" s="145">
        <f>SUM(GR433:GR435)</f>
        <v>-43.408133570035297</v>
      </c>
      <c r="GS436" s="79">
        <f t="shared" si="1441"/>
        <v>1.7150196568559872</v>
      </c>
      <c r="GT436" s="79" t="str">
        <f>IF(ISERROR(((GR436/GH436)^0.2-1)*100),"NA",(IF(OR(((GR436/GH436)^0.2-1)*100&gt;99,((GR436/GH436)^0.2-1)*100&lt;-50),"NM",(((GR436/GH436)^0.2-1)*100))))</f>
        <v>NM</v>
      </c>
      <c r="GU436" s="562"/>
      <c r="GV436" s="562"/>
      <c r="GW436"/>
      <c r="GX436"/>
      <c r="GY436"/>
      <c r="GZ436"/>
      <c r="HA436"/>
      <c r="HB436"/>
      <c r="HC436" s="562"/>
      <c r="HD436" s="562"/>
      <c r="HE436" s="562"/>
      <c r="HF436" s="562"/>
      <c r="HG436" s="562"/>
      <c r="HH436" s="562"/>
      <c r="HI436" s="562"/>
      <c r="HJ436" s="562"/>
      <c r="HK436" s="562"/>
      <c r="HL436" s="562"/>
      <c r="HM436" s="562"/>
      <c r="HN436" s="562"/>
      <c r="HO436" s="562"/>
      <c r="HP436" s="562"/>
      <c r="HQ436" s="562"/>
      <c r="HR436" s="562"/>
      <c r="HS436" s="562"/>
      <c r="HT436" s="562"/>
      <c r="HU436" s="562"/>
      <c r="HV436" s="562"/>
      <c r="HW436" s="562"/>
      <c r="HX436" s="562"/>
      <c r="HY436" s="562"/>
      <c r="HZ436" s="562"/>
      <c r="IA436" s="562"/>
      <c r="IB436" s="562"/>
      <c r="IC436" s="562"/>
      <c r="ID436" s="562"/>
      <c r="IE436" s="562"/>
      <c r="IF436" s="562"/>
      <c r="IG436" s="562"/>
      <c r="IH436" s="562"/>
      <c r="II436" s="562"/>
      <c r="IJ436" s="562"/>
      <c r="IK436" s="562"/>
      <c r="IL436" s="562"/>
      <c r="IM436" s="562"/>
      <c r="IN436" s="562"/>
      <c r="IO436" s="562"/>
      <c r="IP436" s="562"/>
      <c r="IQ436" s="562"/>
      <c r="IR436" s="562"/>
      <c r="IS436" s="562"/>
      <c r="IT436" s="562"/>
      <c r="IU436" s="562"/>
      <c r="IV436" s="562"/>
      <c r="IW436" s="562"/>
      <c r="IX436" s="562"/>
      <c r="IY436" s="562"/>
      <c r="IZ436" s="562"/>
      <c r="JA436" s="562"/>
      <c r="JB436" s="562"/>
      <c r="JC436" s="562"/>
      <c r="JD436" s="562"/>
      <c r="JE436" s="562"/>
      <c r="JF436" s="562"/>
      <c r="JG436" s="562"/>
      <c r="JH436" s="562"/>
      <c r="JI436" s="562"/>
      <c r="JJ436" s="562"/>
      <c r="JK436" s="562"/>
      <c r="JL436" s="562"/>
      <c r="JM436" s="562"/>
      <c r="JN436" s="562"/>
      <c r="JO436" s="562"/>
      <c r="JP436" s="562"/>
      <c r="JQ436" s="562"/>
      <c r="JR436" s="562"/>
      <c r="JS436" s="562"/>
      <c r="JT436" s="562"/>
      <c r="JU436" s="562"/>
      <c r="JV436" s="562"/>
      <c r="JW436" s="562"/>
      <c r="JX436" s="562"/>
      <c r="JY436" s="562"/>
      <c r="JZ436" s="562"/>
    </row>
    <row r="437" spans="1:286" s="249" customFormat="1" ht="12.75" customHeight="1" x14ac:dyDescent="0.2">
      <c r="A437" s="248"/>
      <c r="B437" s="2"/>
      <c r="C437" s="79"/>
      <c r="D437" s="79"/>
      <c r="E437" s="82"/>
      <c r="F437" s="82"/>
      <c r="G437" s="82"/>
      <c r="H437" s="82"/>
      <c r="I437" s="82"/>
      <c r="J437" s="82"/>
      <c r="K437" s="82"/>
      <c r="L437" s="79"/>
      <c r="M437" s="82"/>
      <c r="N437" s="79"/>
      <c r="O437" s="82"/>
      <c r="P437" s="79"/>
      <c r="Q437" s="82"/>
      <c r="R437" s="79"/>
      <c r="S437" s="82"/>
      <c r="T437" s="79"/>
      <c r="U437" s="82"/>
      <c r="V437" s="79"/>
      <c r="W437" s="82"/>
      <c r="X437" s="79"/>
      <c r="Y437" s="82"/>
      <c r="Z437" s="79"/>
      <c r="AA437" s="889"/>
      <c r="AB437" s="79"/>
      <c r="AC437" s="82"/>
      <c r="AD437" s="79"/>
      <c r="AE437" s="82"/>
      <c r="AF437" s="79"/>
      <c r="AG437" s="82"/>
      <c r="AH437" s="79"/>
      <c r="AI437" s="82"/>
      <c r="AJ437" s="79"/>
      <c r="AK437" s="82"/>
      <c r="AL437" s="79"/>
      <c r="AM437" s="82"/>
      <c r="AN437" s="79"/>
      <c r="AO437" s="82"/>
      <c r="AP437" s="79"/>
      <c r="AQ437" s="82"/>
      <c r="AR437" s="79"/>
      <c r="AS437" s="82"/>
      <c r="AT437" s="81"/>
      <c r="AU437" s="82"/>
      <c r="AV437" s="81"/>
      <c r="AW437" s="82"/>
      <c r="AX437" s="81"/>
      <c r="AY437" s="82"/>
      <c r="AZ437" s="81"/>
      <c r="BA437" s="82"/>
      <c r="BB437" s="81"/>
      <c r="BC437" s="82"/>
      <c r="BD437" s="81"/>
      <c r="BE437" s="82"/>
      <c r="BF437" s="81"/>
      <c r="BG437" s="82"/>
      <c r="BH437" s="81"/>
      <c r="BI437" s="82"/>
      <c r="BJ437" s="81"/>
      <c r="BK437" s="82"/>
      <c r="BL437" s="81"/>
      <c r="BM437" s="82"/>
      <c r="BN437" s="81"/>
      <c r="BO437" s="82"/>
      <c r="BP437" s="81"/>
      <c r="BQ437" s="82"/>
      <c r="BR437" s="81"/>
      <c r="BS437" s="82"/>
      <c r="BT437" s="81"/>
      <c r="BU437" s="82"/>
      <c r="BV437" s="81"/>
      <c r="BW437" s="82"/>
      <c r="BX437" s="81"/>
      <c r="BY437" s="82"/>
      <c r="BZ437" s="81"/>
      <c r="CA437" s="82"/>
      <c r="CB437" s="81"/>
      <c r="CC437" s="82"/>
      <c r="CD437" s="81"/>
      <c r="CE437" s="82"/>
      <c r="CF437" s="81"/>
      <c r="CG437" s="82"/>
      <c r="CH437" s="81"/>
      <c r="CI437" s="82"/>
      <c r="CJ437" s="81"/>
      <c r="CK437" s="82"/>
      <c r="CL437" s="81"/>
      <c r="CM437" s="278"/>
      <c r="CN437" s="81"/>
      <c r="CO437" s="82"/>
      <c r="CP437" s="81"/>
      <c r="CQ437" s="82"/>
      <c r="CR437" s="81"/>
      <c r="CS437" s="82"/>
      <c r="CT437" s="81"/>
      <c r="CU437" s="82"/>
      <c r="CV437" s="81"/>
      <c r="CW437" s="82"/>
      <c r="CX437" s="81"/>
      <c r="CY437" s="82"/>
      <c r="CZ437" s="81"/>
      <c r="DA437" s="82"/>
      <c r="DB437" s="81"/>
      <c r="DC437" s="82"/>
      <c r="DD437" s="81"/>
      <c r="DE437" s="82"/>
      <c r="DF437" s="81"/>
      <c r="DG437" s="82"/>
      <c r="DH437" s="81"/>
      <c r="DI437" s="82"/>
      <c r="DJ437" s="81"/>
      <c r="DK437" s="82"/>
      <c r="DL437" s="81"/>
      <c r="DM437" s="82"/>
      <c r="DN437" s="81"/>
      <c r="DO437" s="82"/>
      <c r="DP437" s="81"/>
      <c r="DQ437" s="82"/>
      <c r="DR437" s="81"/>
      <c r="DS437" s="82"/>
      <c r="DT437" s="81"/>
      <c r="DU437" s="82"/>
      <c r="DV437" s="81"/>
      <c r="DW437" s="82"/>
      <c r="DX437" s="81"/>
      <c r="DY437" s="82"/>
      <c r="DZ437" s="81"/>
      <c r="EA437" s="82"/>
      <c r="EB437" s="81"/>
      <c r="EC437" s="82"/>
      <c r="ED437" s="81"/>
      <c r="EE437" s="82"/>
      <c r="EF437" s="81"/>
      <c r="EG437" s="82"/>
      <c r="EH437" s="81"/>
      <c r="EI437" s="82"/>
      <c r="EJ437" s="81"/>
      <c r="EK437" s="82"/>
      <c r="EL437" s="81"/>
      <c r="EM437" s="82"/>
      <c r="EN437" s="81"/>
      <c r="EO437" s="82"/>
      <c r="EP437" s="81"/>
      <c r="EQ437" s="82"/>
      <c r="ER437" s="81"/>
      <c r="ES437" s="82"/>
      <c r="ET437" s="469"/>
      <c r="EU437" s="82"/>
      <c r="EV437" s="82"/>
      <c r="EW437" s="79"/>
      <c r="EX437" s="82"/>
      <c r="EY437" s="79"/>
      <c r="EZ437" s="82"/>
      <c r="FA437" s="79"/>
      <c r="FB437" s="82"/>
      <c r="FC437" s="79"/>
      <c r="FD437" s="82"/>
      <c r="FE437" s="79"/>
      <c r="FF437" s="82"/>
      <c r="FG437" s="79"/>
      <c r="FH437" s="82"/>
      <c r="FI437" s="79"/>
      <c r="FJ437" s="82"/>
      <c r="FK437" s="79"/>
      <c r="FL437" s="82"/>
      <c r="FM437" s="79"/>
      <c r="FN437" s="82"/>
      <c r="FO437" s="79"/>
      <c r="FP437" s="82"/>
      <c r="FQ437" s="79"/>
      <c r="FR437" s="82"/>
      <c r="FS437" s="79"/>
      <c r="FT437" s="82"/>
      <c r="FU437" s="79"/>
      <c r="FV437" s="82"/>
      <c r="FW437" s="79"/>
      <c r="FX437" s="82"/>
      <c r="FY437" s="79"/>
      <c r="FZ437" s="82"/>
      <c r="GA437" s="79"/>
      <c r="GB437" s="82"/>
      <c r="GC437" s="79"/>
      <c r="GD437" s="82"/>
      <c r="GE437" s="79"/>
      <c r="GF437" s="82"/>
      <c r="GG437" s="79"/>
      <c r="GH437" s="82"/>
      <c r="GI437" s="79"/>
      <c r="GJ437" s="82"/>
      <c r="GK437" s="79"/>
      <c r="GL437" s="82"/>
      <c r="GM437" s="79"/>
      <c r="GN437" s="82"/>
      <c r="GO437" s="79"/>
      <c r="GP437" s="82"/>
      <c r="GQ437" s="79"/>
      <c r="GR437" s="82"/>
      <c r="GS437" s="79"/>
      <c r="GT437" s="79"/>
      <c r="GU437" s="562"/>
      <c r="GV437" s="562"/>
      <c r="GW437"/>
      <c r="GX437"/>
      <c r="GY437"/>
      <c r="GZ437"/>
      <c r="HA437"/>
      <c r="HB437"/>
      <c r="HC437" s="562"/>
      <c r="HD437" s="562"/>
      <c r="HE437" s="562"/>
      <c r="HF437" s="562"/>
      <c r="HG437" s="562"/>
      <c r="HH437" s="562"/>
      <c r="HI437" s="562"/>
      <c r="HJ437" s="562"/>
      <c r="HK437" s="562"/>
      <c r="HL437" s="562"/>
      <c r="HM437" s="562"/>
      <c r="HN437" s="562"/>
      <c r="HO437" s="562"/>
      <c r="HP437" s="562"/>
      <c r="HQ437" s="562"/>
      <c r="HR437" s="562"/>
      <c r="HS437" s="562"/>
      <c r="HT437" s="562"/>
      <c r="HU437" s="562"/>
      <c r="HV437" s="562"/>
      <c r="HW437" s="562"/>
      <c r="HX437" s="562"/>
      <c r="HY437" s="562"/>
      <c r="HZ437" s="562"/>
      <c r="IA437" s="562"/>
      <c r="IB437" s="562"/>
      <c r="IC437" s="562"/>
      <c r="ID437" s="562"/>
      <c r="IE437" s="562"/>
      <c r="IF437" s="562"/>
      <c r="IG437" s="562"/>
      <c r="IH437" s="562"/>
      <c r="II437" s="562"/>
      <c r="IJ437" s="562"/>
      <c r="IK437" s="562"/>
      <c r="IL437" s="562"/>
      <c r="IM437" s="562"/>
      <c r="IN437" s="562"/>
      <c r="IO437" s="562"/>
      <c r="IP437" s="562"/>
      <c r="IQ437" s="562"/>
      <c r="IR437" s="562"/>
      <c r="IS437" s="562"/>
      <c r="IT437" s="562"/>
      <c r="IU437" s="562"/>
      <c r="IV437" s="562"/>
      <c r="IW437" s="562"/>
      <c r="IX437" s="562"/>
      <c r="IY437" s="562"/>
      <c r="IZ437" s="562"/>
      <c r="JA437" s="562"/>
      <c r="JB437" s="562"/>
      <c r="JC437" s="562"/>
      <c r="JD437" s="562"/>
      <c r="JE437" s="562"/>
      <c r="JF437" s="562"/>
      <c r="JG437" s="562"/>
      <c r="JH437" s="562"/>
      <c r="JI437" s="562"/>
      <c r="JJ437" s="562"/>
      <c r="JK437" s="562"/>
      <c r="JL437" s="562"/>
      <c r="JM437" s="562"/>
      <c r="JN437" s="562"/>
      <c r="JO437" s="562"/>
      <c r="JP437" s="562"/>
      <c r="JQ437" s="562"/>
      <c r="JR437" s="562"/>
      <c r="JS437" s="562"/>
      <c r="JT437" s="562"/>
      <c r="JU437" s="562"/>
      <c r="JV437" s="562"/>
      <c r="JW437" s="562"/>
      <c r="JX437" s="562"/>
      <c r="JY437" s="562"/>
      <c r="JZ437" s="562"/>
    </row>
    <row r="438" spans="1:286" s="83" customFormat="1" ht="12.75" customHeight="1" x14ac:dyDescent="0.2">
      <c r="A438" s="1" t="s">
        <v>62</v>
      </c>
      <c r="B438" s="68" t="s">
        <v>289</v>
      </c>
      <c r="C438" s="79"/>
      <c r="D438" s="79"/>
      <c r="E438" s="142">
        <f>E416+E436</f>
        <v>178.7</v>
      </c>
      <c r="F438" s="142"/>
      <c r="G438" s="142">
        <f>G416+G436</f>
        <v>143.10000000000002</v>
      </c>
      <c r="H438" s="142"/>
      <c r="I438" s="142">
        <f>I416+I436</f>
        <v>97.800000000000011</v>
      </c>
      <c r="J438" s="142"/>
      <c r="K438" s="142">
        <f>K416+K436</f>
        <v>78.5</v>
      </c>
      <c r="L438" s="79"/>
      <c r="M438" s="142">
        <f>M416+M436</f>
        <v>87.9</v>
      </c>
      <c r="N438" s="79" t="str">
        <f t="shared" ref="N438:V438" si="1448">IF(ISERROR((M438/E438-1)*100),"NA",IF(((M438/E438-1)*100)&gt;100,"NM",IF(((M438/E438-1)*100)&lt;-50,"NM",(M438/E438-1)*100)))</f>
        <v>NM</v>
      </c>
      <c r="O438" s="142">
        <f>O416+O436</f>
        <v>97.700000000000017</v>
      </c>
      <c r="P438" s="79">
        <f t="shared" si="1448"/>
        <v>-31.72606568832984</v>
      </c>
      <c r="Q438" s="142">
        <f>Q416+Q436</f>
        <v>113.39999999999999</v>
      </c>
      <c r="R438" s="79">
        <f t="shared" si="1448"/>
        <v>15.950920245398748</v>
      </c>
      <c r="S438" s="142">
        <f>S416+S436</f>
        <v>102.19999999999999</v>
      </c>
      <c r="T438" s="79">
        <f t="shared" si="1448"/>
        <v>30.191082802547765</v>
      </c>
      <c r="U438" s="142">
        <f>U416+U436</f>
        <v>-246.4000000000006</v>
      </c>
      <c r="V438" s="79" t="str">
        <f t="shared" si="1448"/>
        <v>NM</v>
      </c>
      <c r="W438" s="142">
        <f>W416+W436</f>
        <v>98.499999999999972</v>
      </c>
      <c r="X438" s="79">
        <f>IF(ISERROR((W438/O438-1)*100),"NA",IF(((W438/O438-1)*100)&gt;100,"NM",IF(((W438/O438-1)*100)&lt;-50,"NM",(W438/O438-1)*100)))</f>
        <v>0.81883316274304896</v>
      </c>
      <c r="Y438" s="142">
        <f>Y416+Y436</f>
        <v>108.70000000000029</v>
      </c>
      <c r="Z438" s="79">
        <f>IF(ISERROR((Y438/Q438-1)*100),"NA",IF(((Y438/Q438-1)*100)&gt;100,"NM",IF(((Y438/Q438-1)*100)&lt;-50,"NM",(Y438/Q438-1)*100)))</f>
        <v>-4.144620811287214</v>
      </c>
      <c r="AA438" s="888">
        <f>AA416+AA436</f>
        <v>-347.19999999999993</v>
      </c>
      <c r="AB438" s="79" t="str">
        <f>IF(ISERROR((AA438/S438-1)*100),"NA",IF(((AA438/S438-1)*100)&gt;100,"NM",IF(((AA438/S438-1)*100)&lt;-50,"NM",(AA438/S438-1)*100)))</f>
        <v>NM</v>
      </c>
      <c r="AC438" s="142">
        <f>AC416+AC436</f>
        <v>-562.19999999999993</v>
      </c>
      <c r="AD438" s="79" t="str">
        <f>IF(ISERROR((AC438/U438-1)*100),"NA",IF(((AC438/U438-1)*100)&gt;100,"NM",IF(((AC438/U438-1)*100)&lt;-50,"NM",(AC438/U438-1)*100)))</f>
        <v>NM</v>
      </c>
      <c r="AE438" s="142">
        <f>AE416+AE436</f>
        <v>7.200000000000216</v>
      </c>
      <c r="AF438" s="79" t="str">
        <f>IF(ISERROR((AE438/W438-1)*100),"NA",IF(((AE438/W438-1)*100)&gt;100,"NM",IF(((AE438/W438-1)*100)&lt;-50,"NM",(AE438/W438-1)*100)))</f>
        <v>NM</v>
      </c>
      <c r="AG438" s="142">
        <f>AG416+AG436</f>
        <v>168.22999999999996</v>
      </c>
      <c r="AH438" s="79">
        <f>IF(ISERROR((AG438/Y438-1)*100),"NA",IF(((AG438/Y438-1)*100)&gt;100,"NM",IF(((AG438/Y438-1)*100)&lt;-50,"NM",(AG438/Y438-1)*100)))</f>
        <v>54.765409383624217</v>
      </c>
      <c r="AI438" s="142">
        <f>AI416+AI436</f>
        <v>133.87000000000015</v>
      </c>
      <c r="AJ438" s="79" t="str">
        <f>IF(ISERROR((AI438/AA438-1)*100),"NA",IF(((AI438/AA438-1)*100)&gt;100,"NM",IF(((AI438/AA438-1)*100)&lt;-50,"NM",(AI438/AA438-1)*100)))</f>
        <v>NM</v>
      </c>
      <c r="AK438" s="142">
        <f>AK416+AK436</f>
        <v>152.2000000000005</v>
      </c>
      <c r="AL438" s="79" t="str">
        <f>IF(ISERROR((AK438/AC438-1)*100),"NA",IF(((AK438/AC438-1)*100)&gt;100,"NM",IF(((AK438/AC438-1)*100)&lt;-50,"NM",(AK438/AC438-1)*100)))</f>
        <v>NM</v>
      </c>
      <c r="AM438" s="142">
        <f>AM416+AM436</f>
        <v>171.29999999999973</v>
      </c>
      <c r="AN438" s="79" t="str">
        <f>IF(ISERROR((AM438/AE438-1)*100),"NA",IF(((AM438/AE438-1)*100)&gt;100,"NM",IF(((AM438/AE438-1)*100)&lt;-50,"NM",(AM438/AE438-1)*100)))</f>
        <v>NM</v>
      </c>
      <c r="AO438" s="142">
        <f>AO416+AO436</f>
        <v>54.999999999999929</v>
      </c>
      <c r="AP438" s="79" t="str">
        <f>IF(ISERROR((AO438/AG438-1)*100),"NA",IF(((AO438/AG438-1)*100)&gt;100,"NM",IF(((AO438/AG438-1)*100)&lt;-50,"NM",(AO438/AG438-1)*100)))</f>
        <v>NM</v>
      </c>
      <c r="AQ438" s="142">
        <f>AQ416+AQ436</f>
        <v>137.49999999999994</v>
      </c>
      <c r="AR438" s="79">
        <f>IF(ISERROR((AQ438/AI438-1)*100),"NA",IF(((AQ438/AI438-1)*100)&gt;100,"NM",IF(((AQ438/AI438-1)*100)&lt;-50,"NM",(AQ438/AI438-1)*100)))</f>
        <v>2.7115858668856241</v>
      </c>
      <c r="AS438" s="142">
        <f>AS416+AS436</f>
        <v>75.299999999999855</v>
      </c>
      <c r="AT438" s="81" t="str">
        <f>IF(ISERROR((AS438/AK438-1)*100),"NA",IF(((AS438/AK438-1)*100)&gt;100,"NM",IF(((AS438/AK438-1)*100)&lt;-50,"NM",(AS438/AK438-1)*100)))</f>
        <v>NM</v>
      </c>
      <c r="AU438" s="142">
        <f>AU416+AU436</f>
        <v>125.19999999999972</v>
      </c>
      <c r="AV438" s="81">
        <f>IF(ISERROR((AU438/AM438-1)*100),"NA",IF(((AU438/AM438-1)*100)&gt;100,"NM",IF(((AU438/AM438-1)*100)&lt;-50,"NM",(AU438/AM438-1)*100)))</f>
        <v>-26.911850554582649</v>
      </c>
      <c r="AW438" s="142">
        <f>AW416+AW436</f>
        <v>-63.699999999999903</v>
      </c>
      <c r="AX438" s="81" t="str">
        <f>IF(ISERROR((AW438/AO438-1)*100),"NA",IF(((AW438/AO438-1)*100)&gt;100,"NM",IF(((AW438/AO438-1)*100)&lt;-50,"NM",(AW438/AO438-1)*100)))</f>
        <v>NM</v>
      </c>
      <c r="AY438" s="142">
        <f>AY416+AY436</f>
        <v>276.10000000000014</v>
      </c>
      <c r="AZ438" s="81" t="str">
        <f>IF(ISERROR((AY438/AQ438-1)*100),"NA",IF(((AY438/AQ438-1)*100)&gt;100,"NM",IF(((AY438/AQ438-1)*100)&lt;-50,"NM",(AY438/AQ438-1)*100)))</f>
        <v>NM</v>
      </c>
      <c r="BA438" s="142">
        <f>BA416+BA436</f>
        <v>178.29999999999995</v>
      </c>
      <c r="BB438" s="81" t="str">
        <f>IF(ISERROR((BA438/AS438-1)*100),"NA",IF(((BA438/AS438-1)*100)&gt;100,"NM",IF(((BA438/AS438-1)*100)&lt;-50,"NM",(BA438/AS438-1)*100)))</f>
        <v>NM</v>
      </c>
      <c r="BC438" s="142">
        <f>BC416+BC436</f>
        <v>188</v>
      </c>
      <c r="BD438" s="81">
        <f>IF(ISERROR((BC438/AU438-1)*100),"NA",IF(((BC438/AU438-1)*100)&gt;100,"NM",IF(((BC438/AU438-1)*100)&lt;-50,"NM",(BC438/AU438-1)*100)))</f>
        <v>50.159744408946018</v>
      </c>
      <c r="BE438" s="142">
        <f>BE416+BE436</f>
        <v>186.89999999999984</v>
      </c>
      <c r="BF438" s="81" t="str">
        <f>IF(ISERROR((BE438/AW438-1)*100),"NA",IF(((BE438/AW438-1)*100)&gt;100,"NM",IF(((BE438/AW438-1)*100)&lt;-50,"NM",(BE438/AW438-1)*100)))</f>
        <v>NM</v>
      </c>
      <c r="BG438" s="142">
        <f>BG416+BG436</f>
        <v>160.50000000000009</v>
      </c>
      <c r="BH438" s="81">
        <f>IF(ISERROR((BG438/AY438-1)*100),"NA",IF(((BG438/AY438-1)*100)&gt;100,"NM",IF(((BG438/AY438-1)*100)&lt;-50,"NM",(BG438/AY438-1)*100)))</f>
        <v>-41.868888084027525</v>
      </c>
      <c r="BI438" s="142">
        <f>BI416+BI436</f>
        <v>163.09999999999997</v>
      </c>
      <c r="BJ438" s="81">
        <f>IF(ISERROR((BI438/BA438-1)*100),"NA",IF(((BI438/BA438-1)*100)&gt;100,"NM",IF(((BI438/BA438-1)*100)&lt;-50,"NM",(BI438/BA438-1)*100)))</f>
        <v>-8.5249579360628154</v>
      </c>
      <c r="BK438" s="142">
        <f>BK416+BK436</f>
        <v>240.29999999999976</v>
      </c>
      <c r="BL438" s="81">
        <f>IF(ISERROR((BK438/BC438-1)*100),"NA",IF(((BK438/BC438-1)*100)&gt;100,"NM",IF(((BK438/BC438-1)*100)&lt;-50,"NM",(BK438/BC438-1)*100)))</f>
        <v>27.81914893617008</v>
      </c>
      <c r="BM438" s="142">
        <f>BM416+BM436</f>
        <v>107.99999999999986</v>
      </c>
      <c r="BN438" s="81">
        <f>IF(ISERROR((BM438/BE438-1)*100),"NA",IF(((BM438/BE438-1)*100)&gt;100,"NM",IF(((BM438/BE438-1)*100)&lt;-50,"NM",(BM438/BE438-1)*100)))</f>
        <v>-42.215088282504041</v>
      </c>
      <c r="BO438" s="142">
        <f>BO416+BO436</f>
        <v>41.80000000000021</v>
      </c>
      <c r="BP438" s="81" t="str">
        <f>IF(ISERROR((BO438/BG438-1)*100),"NA",IF(((BO438/BG438-1)*100)&gt;100,"NM",IF(((BO438/BG438-1)*100)&lt;-50,"NM",(BO438/BG438-1)*100)))</f>
        <v>NM</v>
      </c>
      <c r="BQ438" s="142">
        <f>BQ416+BQ436</f>
        <v>164.89999999999992</v>
      </c>
      <c r="BR438" s="81">
        <f>IF(ISERROR((BQ438/BI438-1)*100),"NA",IF(((BQ438/BI438-1)*100)&gt;100,"NM",IF(((BQ438/BI438-1)*100)&lt;-50,"NM",(BQ438/BI438-1)*100)))</f>
        <v>1.1036174126302534</v>
      </c>
      <c r="BS438" s="142">
        <f>BS416+BS436</f>
        <v>267.20000000000016</v>
      </c>
      <c r="BT438" s="81">
        <f>IF(ISERROR((BS438/BK438-1)*100),"NA",IF(((BS438/BK438-1)*100)&gt;100,"NM",IF(((BS438/BK438-1)*100)&lt;-50,"NM",(BS438/BK438-1)*100)))</f>
        <v>11.194340407823745</v>
      </c>
      <c r="BU438" s="142">
        <f>BU416+BU436</f>
        <v>221.09999999999982</v>
      </c>
      <c r="BV438" s="81" t="str">
        <f>IF(ISERROR((BU438/BM438-1)*100),"NA",IF(((BU438/BM438-1)*100)&gt;100,"NM",IF(((BU438/BM438-1)*100)&lt;-50,"NM",(BU438/BM438-1)*100)))</f>
        <v>NM</v>
      </c>
      <c r="BW438" s="142">
        <f>BW416+BW436</f>
        <v>199.39999999999978</v>
      </c>
      <c r="BX438" s="81" t="str">
        <f>IF(ISERROR((BW438/BO438-1)*100),"NA",IF(((BW438/BO438-1)*100)&gt;100,"NM",IF(((BW438/BO438-1)*100)&lt;-50,"NM",(BW438/BO438-1)*100)))</f>
        <v>NM</v>
      </c>
      <c r="BY438" s="142">
        <f>BY416+BY436</f>
        <v>226.60000000000002</v>
      </c>
      <c r="BZ438" s="81">
        <f>IF(ISERROR((BY438/BQ438-1)*100),"NA",IF(((BY438/BQ438-1)*100)&gt;100,"NM",IF(((BY438/BQ438-1)*100)&lt;-50,"NM",(BY438/BQ438-1)*100)))</f>
        <v>37.416616130988565</v>
      </c>
      <c r="CA438" s="142">
        <f>CA416+CA436</f>
        <v>208.29999999999995</v>
      </c>
      <c r="CB438" s="81">
        <f>IF(ISERROR((CA438/BS438-1)*100),"NA",IF(((CA438/BS438-1)*100)&gt;100,"NM",IF(((CA438/BS438-1)*100)&lt;-50,"NM",(CA438/BS438-1)*100)))</f>
        <v>-22.043413173652759</v>
      </c>
      <c r="CC438" s="142">
        <f>CC416+CC436</f>
        <v>218.90000000000009</v>
      </c>
      <c r="CD438" s="81">
        <f>IF(ISERROR((CC438/BU438-1)*100),"NA",IF(((CC438/BU438-1)*100)&gt;100,"NM",IF(((CC438/BU438-1)*100)&lt;-50,"NM",(CC438/BU438-1)*100)))</f>
        <v>-0.995024875621775</v>
      </c>
      <c r="CE438" s="142">
        <f>CE416+CE436</f>
        <v>224.2000000000003</v>
      </c>
      <c r="CF438" s="81">
        <f>IF(ISERROR((CE438/BW438-1)*100),"NA",IF(((CE438/BW438-1)*100)&gt;100,"NM",IF(((CE438/BW438-1)*100)&lt;-50,"NM",(CE438/BW438-1)*100)))</f>
        <v>12.437311935807704</v>
      </c>
      <c r="CG438" s="142">
        <f>CG416+CG436</f>
        <v>223.59999999999988</v>
      </c>
      <c r="CH438" s="81">
        <f>IF(ISERROR((CG438/BY438-1)*100),"NA",IF(((CG438/BY438-1)*100)&gt;100,"NM",IF(((CG438/BY438-1)*100)&lt;-50,"NM",(CG438/BY438-1)*100)))</f>
        <v>-1.323918799647017</v>
      </c>
      <c r="CI438" s="142">
        <f>CI416+CI436</f>
        <v>227.60000000000014</v>
      </c>
      <c r="CJ438" s="81">
        <f>IF(ISERROR((CI438/CA438-1)*100),"NA",IF(((CI438/CA438-1)*100)&gt;100,"NM",IF(((CI438/CA438-1)*100)&lt;-50,"NM",(CI438/CA438-1)*100)))</f>
        <v>9.2654824771964517</v>
      </c>
      <c r="CK438" s="142">
        <f>CK416+CK436</f>
        <v>202.00000000000003</v>
      </c>
      <c r="CL438" s="81">
        <f>IF(ISERROR((CK438/CC438-1)*100),"NA",IF(((CK438/CC438-1)*100)&gt;100,"NM",IF(((CK438/CC438-1)*100)&lt;-50,"NM",(CK438/CC438-1)*100)))</f>
        <v>-7.7204202832343753</v>
      </c>
      <c r="CM438" s="142">
        <f>CM416+CM436</f>
        <v>-369.00000000000028</v>
      </c>
      <c r="CN438" s="81" t="str">
        <f>IF(ISERROR((CM438/CE438-1)*100),"NA",IF(((CM438/CE438-1)*100)&gt;100,"NM",IF(((CM438/CE438-1)*100)&lt;-50,"NM",(CM438/CE438-1)*100)))</f>
        <v>NM</v>
      </c>
      <c r="CO438" s="142">
        <f>CO416+CO436</f>
        <v>213.89999999999992</v>
      </c>
      <c r="CP438" s="81">
        <f>IF(ISERROR((CO438/CG438-1)*100),"NA",IF(((CO438/CG438-1)*100)&gt;100,"NM",IF(((CO438/CG438-1)*100)&lt;-50,"NM",(CO438/CG438-1)*100)))</f>
        <v>-4.3381037567083887</v>
      </c>
      <c r="CQ438" s="142">
        <f>CQ416+CQ436</f>
        <v>216.39999999999989</v>
      </c>
      <c r="CR438" s="81">
        <f>IF(ISERROR((CQ438/CI438-1)*100),"NA",IF(((CQ438/CI438-1)*100)&gt;100,"NM",IF(((CQ438/CI438-1)*100)&lt;-50,"NM",(CQ438/CI438-1)*100)))</f>
        <v>-4.9209138840071383</v>
      </c>
      <c r="CS438" s="142">
        <f>CS416+CS436</f>
        <v>230.2</v>
      </c>
      <c r="CT438" s="81">
        <f>IF(ISERROR((CS438/CK438-1)*100),"NA",IF(((CS438/CK438-1)*100)&gt;100,"NM",IF(((CS438/CK438-1)*100)&lt;-50,"NM",(CS438/CK438-1)*100)))</f>
        <v>13.960396039603928</v>
      </c>
      <c r="CU438" s="142">
        <f>CU416+CU436</f>
        <v>233.89999999999995</v>
      </c>
      <c r="CV438" s="81" t="str">
        <f>IF(ISERROR((CU438/CM438-1)*100),"NA",IF(((CU438/CM438-1)*100)&gt;100,"NM",IF(((CU438/CM438-1)*100)&lt;-50,"NM",(CU438/CM438-1)*100)))</f>
        <v>NM</v>
      </c>
      <c r="CW438" s="142">
        <f>CW416+CW436</f>
        <v>209.7000000000001</v>
      </c>
      <c r="CX438" s="146">
        <f>IF(ISERROR((CW438/CO438-1)*100),"NA",IF(((CW438/CO438-1)*100)&gt;100,"NM",IF(((CW438/CO438-1)*100)&lt;-50,"NM",(CW438/CO438-1)*100)))</f>
        <v>-1.9635343618512491</v>
      </c>
      <c r="CY438" s="142">
        <f>CY416+CY436</f>
        <v>215.99999999999991</v>
      </c>
      <c r="CZ438" s="146">
        <f>IF(ISERROR((CY438/CQ438-1)*100),"NA",IF(((CY438/CQ438-1)*100)&gt;100,"NM",IF(((CY438/CQ438-1)*100)&lt;-50,"NM",(CY438/CQ438-1)*100)))</f>
        <v>-0.1848428835489746</v>
      </c>
      <c r="DA438" s="142">
        <f>DA416+DA436</f>
        <v>202.70000000000002</v>
      </c>
      <c r="DB438" s="146">
        <f>IF(ISERROR((DA438/CS438-1)*100),"NA",IF(((DA438/CS438-1)*100)&gt;100,"NM",IF(((DA438/CS438-1)*100)&lt;-50,"NM",(DA438/CS438-1)*100)))</f>
        <v>-11.946133796698511</v>
      </c>
      <c r="DC438" s="142">
        <f>DC416+DC436</f>
        <v>218.59999999999997</v>
      </c>
      <c r="DD438" s="146">
        <f>IF(ISERROR((DC438/CU438-1)*100),"NA",IF(((DC438/CU438-1)*100)&gt;100,"NM",IF(((DC438/CU438-1)*100)&lt;-50,"NM",(DC438/CU438-1)*100)))</f>
        <v>-6.5412569474134212</v>
      </c>
      <c r="DE438" s="142">
        <f>DE416+DE436</f>
        <v>225.79999999999973</v>
      </c>
      <c r="DF438" s="146">
        <f>IF(ISERROR((DE438/CW438-1)*100),"NA",IF(((DE438/CW438-1)*100)&gt;100,"NM",IF(((DE438/CW438-1)*100)&lt;-50,"NM",(DE438/CW438-1)*100)))</f>
        <v>7.6776347162611502</v>
      </c>
      <c r="DG438" s="142">
        <f>DG416+DG436</f>
        <v>239.4</v>
      </c>
      <c r="DH438" s="146">
        <f>IF(ISERROR((DG438/CY438-1)*100),"NA",IF(((DG438/CY438-1)*100)&gt;100,"NM",IF(((DG438/CY438-1)*100)&lt;-50,"NM",(DG438/CY438-1)*100)))</f>
        <v>10.833333333333384</v>
      </c>
      <c r="DI438" s="142">
        <f>DI416+DI436</f>
        <v>219.10000000000005</v>
      </c>
      <c r="DJ438" s="146">
        <f>IF(ISERROR((DI438/DA438-1)*100),"NA",IF(((DI438/DA438-1)*100)&gt;100,"NM",IF(((DI438/DA438-1)*100)&lt;-50,"NM",(DI438/DA438-1)*100)))</f>
        <v>8.090774543660606</v>
      </c>
      <c r="DK438" s="142">
        <f>DK416+DK436</f>
        <v>-282.20000000000005</v>
      </c>
      <c r="DL438" s="81" t="str">
        <f>IF(ISERROR((DK438/DC438-1)*100),"NA",IF(((DK438/DC438-1)*100)&gt;100,"NM",IF(((DK438/DC438-1)*100)&lt;-50,"NM",(DK438/DC438-1)*100)))</f>
        <v>NM</v>
      </c>
      <c r="DM438" s="142">
        <f>DM416+DM436</f>
        <v>212.90000000000006</v>
      </c>
      <c r="DN438" s="81">
        <f>IF(ISERROR((DM438/DE438-1)*100),"NA",IF(((DM438/DE438-1)*100)&gt;100,"NM",IF(((DM438/DE438-1)*100)&lt;-50,"NM",(DM438/DE438-1)*100)))</f>
        <v>-5.7130203720104911</v>
      </c>
      <c r="DO438" s="142">
        <f>DO416+DO436</f>
        <v>224.29999999999993</v>
      </c>
      <c r="DP438" s="81">
        <f>IF(ISERROR((DO438/DG438-1)*100),"NA",IF(((DO438/DG438-1)*100)&gt;100,"NM",IF(((DO438/DG438-1)*100)&lt;-50,"NM",(DO438/DG438-1)*100)))</f>
        <v>-6.307435254803706</v>
      </c>
      <c r="DQ438" s="142">
        <f>DQ416+DQ436</f>
        <v>203.80000000000021</v>
      </c>
      <c r="DR438" s="81">
        <f>IF(ISERROR((DQ438/DI438-1)*100),"NA",IF(((DQ438/DI438-1)*100)&gt;100,"NM",IF(((DQ438/DI438-1)*100)&lt;-50,"NM",(DQ438/DI438-1)*100)))</f>
        <v>-6.9831127339113781</v>
      </c>
      <c r="DS438" s="142">
        <f>DS416+DS436</f>
        <v>226.09999999999991</v>
      </c>
      <c r="DT438" s="81" t="str">
        <f>IF(ISERROR((DS438/DK438-1)*100),"NA",IF(((DS438/DK438-1)*100)&gt;100,"NM",IF(((DS438/DK438-1)*100)&lt;-50,"NM",(DS438/DK438-1)*100)))</f>
        <v>NM</v>
      </c>
      <c r="DU438" s="142">
        <f>DU416+DU436</f>
        <v>210.59999999999982</v>
      </c>
      <c r="DV438" s="81">
        <f>IF(ISERROR((DU438/DM438-1)*100),"NA",IF(((DU438/DM438-1)*100)&gt;100,"NM",IF(((DU438/DM438-1)*100)&lt;-50,"NM",(DU438/DM438-1)*100)))</f>
        <v>-1.0803193987788839</v>
      </c>
      <c r="DW438" s="142">
        <f>DW416+DW436</f>
        <v>236.79999999999993</v>
      </c>
      <c r="DX438" s="81">
        <f>IF(ISERROR((DW438/DO438-1)*100),"NA",IF(((DW438/DO438-1)*100)&gt;100,"NM",IF(((DW438/DO438-1)*100)&lt;-50,"NM",(DW438/DO438-1)*100)))</f>
        <v>5.5728934462773161</v>
      </c>
      <c r="DY438" s="142">
        <f>DY416+DY436</f>
        <v>236.0000000000002</v>
      </c>
      <c r="DZ438" s="81">
        <f>IF(ISERROR((DY438/DQ438-1)*100),"NA",IF(((DY438/DQ438-1)*100)&gt;100,"NM",IF(((DY438/DQ438-1)*100)&lt;-50,"NM",(DY438/DQ438-1)*100)))</f>
        <v>15.7998037291462</v>
      </c>
      <c r="EA438" s="142">
        <f>EA416+EA436</f>
        <v>247.99999999999997</v>
      </c>
      <c r="EB438" s="81">
        <f>IF(ISERROR((EA438/DS438-1)*100),"NA",IF(((EA438/DS438-1)*100)&gt;100,"NM",IF(((EA438/DS438-1)*100)&lt;-50,"NM",(EA438/DS438-1)*100)))</f>
        <v>9.6859796550199384</v>
      </c>
      <c r="EC438" s="142">
        <f>EC416+EC436</f>
        <v>229.89999999999975</v>
      </c>
      <c r="ED438" s="81">
        <f t="shared" ref="ED438" si="1449">IF(ISERROR((EC438/DU438-1)*100),"NA",IF(((EC438/DU438-1)*100)&gt;100,"NM",IF(((EC438/DU438-1)*100)&lt;-50,"NM",(EC438/DU438-1)*100)))</f>
        <v>9.1642924976258033</v>
      </c>
      <c r="EE438" s="142">
        <f>EE416+EE436</f>
        <v>245.10000000000011</v>
      </c>
      <c r="EF438" s="81">
        <f t="shared" ref="EF438" si="1450">IF(ISERROR((EE438/DW438-1)*100),"NA",IF(((EE438/DW438-1)*100)&gt;100,"NM",IF(((EE438/DW438-1)*100)&lt;-50,"NM",(EE438/DW438-1)*100)))</f>
        <v>3.5050675675676546</v>
      </c>
      <c r="EG438" s="142">
        <f>EG416+EG436</f>
        <v>251.6999999999999</v>
      </c>
      <c r="EH438" s="81">
        <f t="shared" ref="EH438" si="1451">IF(ISERROR((EG438/DY438-1)*100),"NA",IF(((EG438/DY438-1)*100)&gt;100,"NM",IF(((EG438/DY438-1)*100)&lt;-50,"NM",(EG438/DY438-1)*100)))</f>
        <v>6.6525423728812205</v>
      </c>
      <c r="EI438" s="142">
        <f>EI416+EI436</f>
        <v>266.89999999999981</v>
      </c>
      <c r="EJ438" s="81">
        <f t="shared" ref="EJ438" si="1452">IF(ISERROR((EI438/EA438-1)*100),"NA",IF(((EI438/EA438-1)*100)&gt;100,"NM",IF(((EI438/EA438-1)*100)&lt;-50,"NM",(EI438/EA438-1)*100)))</f>
        <v>7.6209677419354138</v>
      </c>
      <c r="EK438" s="142">
        <f t="shared" ref="EK438:EQ438" si="1453">EK416+EK436</f>
        <v>261.81763341896846</v>
      </c>
      <c r="EL438" s="81">
        <f t="shared" ref="EL438" si="1454">IF(ISERROR((EK438/EC438-1)*100),"NA",IF(((EK438/EC438-1)*100)&gt;100,"NM",IF(((EK438/EC438-1)*100)&lt;-50,"NM",(EK438/EC438-1)*100)))</f>
        <v>13.883268124823278</v>
      </c>
      <c r="EM438" s="142">
        <f t="shared" si="1453"/>
        <v>277.08549079101743</v>
      </c>
      <c r="EN438" s="81">
        <f t="shared" ref="EN438" si="1455">IF(ISERROR((EM438/EE438-1)*100),"NA",IF(((EM438/EE438-1)*100)&gt;100,"NM",IF(((EM438/EE438-1)*100)&lt;-50,"NM",(EM438/EE438-1)*100)))</f>
        <v>13.04997584292833</v>
      </c>
      <c r="EO438" s="142">
        <f t="shared" si="1453"/>
        <v>278.21644884485261</v>
      </c>
      <c r="EP438" s="81">
        <f t="shared" ref="EP438" si="1456">IF(ISERROR((EO438/EG438-1)*100),"NA",IF(((EO438/EG438-1)*100)&gt;100,"NM",IF(((EO438/EG438-1)*100)&lt;-50,"NM",(EO438/EG438-1)*100)))</f>
        <v>10.53494193279807</v>
      </c>
      <c r="EQ438" s="142">
        <f t="shared" si="1453"/>
        <v>281.07259761097214</v>
      </c>
      <c r="ER438" s="81">
        <f t="shared" ref="ER438" si="1457">IF(ISERROR((EQ438/EI438-1)*100),"NA",IF(((EQ438/EI438-1)*100)&gt;100,"NM",IF(((EQ438/EI438-1)*100)&lt;-50,"NM",(EQ438/EI438-1)*100)))</f>
        <v>5.3100777860518367</v>
      </c>
      <c r="ES438" s="82"/>
      <c r="ET438" s="469"/>
      <c r="EU438" s="82"/>
      <c r="EV438" s="142"/>
      <c r="EW438" s="79"/>
      <c r="EX438" s="142"/>
      <c r="EY438" s="79"/>
      <c r="EZ438" s="142"/>
      <c r="FA438" s="79"/>
      <c r="FB438" s="142">
        <f>FB416+FB436</f>
        <v>-439.3</v>
      </c>
      <c r="FC438" s="79" t="str">
        <f>IF(ISERROR((FB438/EZ438-1)*100),"NA",IF(((FB438/EZ438-1)*100)&gt;100,"NM",IF(((FB438/EZ438-1)*100)&lt;-50,"NM",(FB438/EZ438-1)*100)))</f>
        <v>NA</v>
      </c>
      <c r="FD438" s="142">
        <f>FD416+FD436</f>
        <v>556.20000000000084</v>
      </c>
      <c r="FE438" s="79" t="str">
        <f>IF(ISERROR((FD438/FB438-1)*100),"NA",IF(((FD438/FB438-1)*100)&gt;100,"NM",IF(((FD438/FB438-1)*100)&lt;-50,"NM",(FD438/FB438-1)*100)))</f>
        <v>NM</v>
      </c>
      <c r="FF438" s="142">
        <f>FF416+FF436</f>
        <v>-192.89999999999938</v>
      </c>
      <c r="FG438" s="79" t="str">
        <f>IF(ISERROR((FF438/FD438-1)*100),"NA",IF(((FF438/FD438-1)*100)&gt;100,"NM",IF(((FF438/FD438-1)*100)&lt;-50,"NM",(FF438/FD438-1)*100)))</f>
        <v>NM</v>
      </c>
      <c r="FH438" s="142">
        <f>FH416+FH436</f>
        <v>-99.300000000000182</v>
      </c>
      <c r="FI438" s="79">
        <f>IF(ISERROR((FH438/FF438-1)*100),"NA",IF(((FH438/FF438-1)*100)&gt;100,"NM",IF(((FH438/FF438-1)*100)&lt;-50,"NM",(FH438/FF438-1)*100)))</f>
        <v>-48.522550544323231</v>
      </c>
      <c r="FJ438" s="142">
        <f>FJ416+FJ436</f>
        <v>516.00000000000091</v>
      </c>
      <c r="FK438" s="79" t="str">
        <f>IF(ISERROR((FJ438/FH438-1)*100),"NA",IF(((FJ438/FH438-1)*100)&gt;100,"NM",IF(((FJ438/FH438-1)*100)&lt;-50,"NM",(FJ438/FH438-1)*100)))</f>
        <v>NM</v>
      </c>
      <c r="FL438" s="142">
        <f>FL416+FL436</f>
        <v>412.90000000000026</v>
      </c>
      <c r="FM438" s="79">
        <f>IF(ISERROR((FL438/FJ438-1)*100),"NA",IF(((FL438/FJ438-1)*100)&gt;100,"NM",IF(((FL438/FJ438-1)*100)&lt;-50,"NM",(FL438/FJ438-1)*100)))</f>
        <v>-19.980620155038853</v>
      </c>
      <c r="FN438" s="142">
        <f>FN416+FN436</f>
        <v>713.70000000000016</v>
      </c>
      <c r="FO438" s="79">
        <f>IF(ISERROR((FN438/FL438-1)*100),"NA",IF(((FN438/FL438-1)*100)&gt;100,"NM",IF(((FN438/FL438-1)*100)&lt;-50,"NM",(FN438/FL438-1)*100)))</f>
        <v>72.850569145071375</v>
      </c>
      <c r="FP438" s="142">
        <f>FP416+FP436</f>
        <v>553.19999999999982</v>
      </c>
      <c r="FQ438" s="79">
        <f>IF(ISERROR((FP438/FN438-1)*100),"NA",IF(((FP438/FN438-1)*100)&gt;100,"NM",IF(((FP438/FN438-1)*100)&lt;-50,"NM",(FP438/FN438-1)*100)))</f>
        <v>-22.488440521227449</v>
      </c>
      <c r="FR438" s="142">
        <f>FR416+FR436</f>
        <v>847.29999999999893</v>
      </c>
      <c r="FS438" s="79">
        <f>IF(ISERROR((FR438/FP438-1)*100),"NA",IF(((FR438/FP438-1)*100)&gt;100,"NM",IF(((FR438/FP438-1)*100)&lt;-50,"NM",(FR438/FP438-1)*100)))</f>
        <v>53.163412870571072</v>
      </c>
      <c r="FT438" s="142">
        <f>FT416+FT436</f>
        <v>877.99999999999909</v>
      </c>
      <c r="FU438" s="79">
        <f>IF(ISERROR((FT438/FR438-1)*100),"NA",IF(((FT438/FR438-1)*100)&gt;100,"NM",IF(((FT438/FR438-1)*100)&lt;-50,"NM",(FT438/FR438-1)*100)))</f>
        <v>3.6232739289508098</v>
      </c>
      <c r="FV438" s="142">
        <f>FV416+FV436</f>
        <v>284.19999999999976</v>
      </c>
      <c r="FW438" s="79" t="str">
        <f>IF(ISERROR((FV438/FT438-1)*100),"NA",IF(((FV438/FT438-1)*100)&gt;100,"NM",IF(((FV438/FT438-1)*100)&lt;-50,"NM",(FV438/FT438-1)*100)))</f>
        <v>NM</v>
      </c>
      <c r="FX438" s="142">
        <f>FX416+FX436</f>
        <v>888.1</v>
      </c>
      <c r="FY438" s="79" t="str">
        <f>IF(ISERROR((FX438/FV438-1)*100),"NA",IF(((FX438/FV438-1)*100)&gt;100,"NM",IF(((FX438/FV438-1)*100)&lt;-50,"NM",(FX438/FV438-1)*100)))</f>
        <v>NM</v>
      </c>
      <c r="FZ438" s="142">
        <f>FZ416+FZ436</f>
        <v>846.99999999999989</v>
      </c>
      <c r="GA438" s="79">
        <f>IF(ISERROR((FZ438/FX438-1)*100),"NA",IF(((FZ438/FX438-1)*100)&gt;100,"NM",IF(((FZ438/FX438-1)*100)&lt;-50,"NM",(FZ438/FX438-1)*100)))</f>
        <v>-4.6278572232856803</v>
      </c>
      <c r="GB438" s="142">
        <f>GB416+GB436</f>
        <v>402.1</v>
      </c>
      <c r="GC438" s="79" t="str">
        <f>IF(ISERROR((GB438/FZ438-1)*100),"NA",IF(((GB438/FZ438-1)*100)&gt;100,"NM",IF(((GB438/FZ438-1)*100)&lt;-50,"NM",(GB438/FZ438-1)*100)))</f>
        <v>NM</v>
      </c>
      <c r="GD438" s="142">
        <f>GD416+GD436</f>
        <v>867.09999999999957</v>
      </c>
      <c r="GE438" s="79" t="str">
        <f>IF(ISERROR((GD438/GB438-1)*100),"NA",IF(((GD438/GB438-1)*100)&gt;100,"NM",IF(((GD438/GB438-1)*100)&lt;-50,"NM",(GD438/GB438-1)*100)))</f>
        <v>NM</v>
      </c>
      <c r="GF438" s="142">
        <f>GF416+GF436</f>
        <v>931.40000000000111</v>
      </c>
      <c r="GG438" s="79">
        <f>IF(ISERROR((GF438/GD438-1)*100),"NA",IF(((GF438/GD438-1)*100)&gt;100,"NM",IF(((GF438/GD438-1)*100)&lt;-50,"NM",(GF438/GD438-1)*100)))</f>
        <v>7.4155230077270984</v>
      </c>
      <c r="GH438" s="142">
        <f>GH416+GH436</f>
        <v>993.59999999999968</v>
      </c>
      <c r="GI438" s="79">
        <f>IF(ISERROR((GH438/GF438-1)*100),"NA",IF(((GH438/GF438-1)*100)&gt;100,"NM",IF(((GH438/GF438-1)*100)&lt;-50,"NM",(GH438/GF438-1)*100)))</f>
        <v>6.6781189607041602</v>
      </c>
      <c r="GJ438" s="142">
        <f>GJ416+GJ436</f>
        <v>1098.1921706658111</v>
      </c>
      <c r="GK438" s="79">
        <f>IF(ISERROR((GJ438/GH438-1)*100),"NA",IF(((GJ438/GH438-1)*100)&gt;100,"NM",IF(((GJ438/GH438-1)*100)&lt;-50,"NM",(GJ438/GH438-1)*100)))</f>
        <v>10.526587224819984</v>
      </c>
      <c r="GL438" s="142">
        <f>GL416+GL436</f>
        <v>1125.1083939429279</v>
      </c>
      <c r="GM438" s="79">
        <f>IF(ISERROR((GL438/GJ438-1)*100),"NA",IF(((GL438/GJ438-1)*100)&gt;100,"NM",IF(((GL438/GJ438-1)*100)&lt;-50,"NM",(GL438/GJ438-1)*100)))</f>
        <v>2.4509574914195698</v>
      </c>
      <c r="GN438" s="142">
        <f>GN416+GN436</f>
        <v>1157.154246206788</v>
      </c>
      <c r="GO438" s="79">
        <f>IF(ISERROR((GN438/GL438-1)*100),"NA",IF(((GN438/GL438-1)*100)&gt;100,"NM",IF(((GN438/GL438-1)*100)&lt;-50,"NM",(GN438/GL438-1)*100)))</f>
        <v>2.8482457722633914</v>
      </c>
      <c r="GP438" s="142">
        <f>GP416+GP436</f>
        <v>1193.397686871582</v>
      </c>
      <c r="GQ438" s="79">
        <f>IF(ISERROR((GP438/GN438-1)*100),"NA",IF(((GP438/GN438-1)*100)&gt;100,"NM",IF(((GP438/GN438-1)*100)&lt;-50,"NM",(GP438/GN438-1)*100)))</f>
        <v>3.1321183656890961</v>
      </c>
      <c r="GR438" s="142">
        <f>GR416+GR436</f>
        <v>1224.840464378304</v>
      </c>
      <c r="GS438" s="79">
        <f>IF(ISERROR((GR438/GP438-1)*100),"NA",IF(((GR438/GP438-1)*100)&gt;100,"NM",IF(((GR438/GP438-1)*100)&lt;-50,"NM",(GR438/GP438-1)*100)))</f>
        <v>2.6347275390777192</v>
      </c>
      <c r="GT438" s="79">
        <f>IF(ISERROR(((GR438/GH438)^0.2-1)*100),"NA",(IF(OR(((GR438/GH438)^0.2-1)*100&gt;99,((GR438/GH438)^0.2-1)*100&lt;-50),"NM",(((GR438/GH438)^0.2-1)*100))))</f>
        <v>4.2734129399745635</v>
      </c>
      <c r="GU438" s="890"/>
      <c r="GV438" s="562"/>
      <c r="GW438"/>
      <c r="GX438"/>
      <c r="GY438"/>
      <c r="GZ438"/>
      <c r="HA438"/>
      <c r="HB438"/>
      <c r="HC438" s="562"/>
      <c r="HD438" s="562"/>
      <c r="HE438" s="562"/>
      <c r="HF438" s="562"/>
      <c r="HG438" s="562"/>
      <c r="HH438" s="562"/>
      <c r="HI438" s="562"/>
      <c r="HJ438" s="562"/>
      <c r="HK438" s="562"/>
      <c r="HL438" s="562"/>
      <c r="HM438" s="562"/>
      <c r="HN438" s="562"/>
      <c r="HO438" s="562"/>
      <c r="HP438" s="562"/>
      <c r="HQ438" s="562"/>
      <c r="HR438" s="562"/>
      <c r="HS438" s="562"/>
      <c r="HT438" s="562"/>
      <c r="HU438" s="562"/>
      <c r="HV438" s="562"/>
      <c r="HW438" s="562"/>
      <c r="HX438" s="562"/>
      <c r="HY438" s="562"/>
      <c r="HZ438" s="562"/>
      <c r="IA438" s="562"/>
      <c r="IB438" s="562"/>
      <c r="IC438" s="562"/>
      <c r="ID438" s="562"/>
      <c r="IE438" s="562"/>
      <c r="IF438" s="562"/>
      <c r="IG438" s="562"/>
      <c r="IH438" s="562"/>
      <c r="II438" s="562"/>
      <c r="IJ438" s="562"/>
      <c r="IK438" s="562"/>
      <c r="IL438" s="562"/>
      <c r="IM438" s="562"/>
      <c r="IN438" s="562"/>
      <c r="IO438" s="562"/>
      <c r="IP438" s="562"/>
      <c r="IQ438" s="562"/>
      <c r="IR438" s="562"/>
      <c r="IS438" s="562"/>
      <c r="IT438" s="562"/>
      <c r="IU438" s="562"/>
      <c r="IV438" s="562"/>
      <c r="IW438" s="562"/>
      <c r="IX438" s="562"/>
      <c r="IY438" s="562"/>
      <c r="IZ438" s="562"/>
      <c r="JA438" s="562"/>
      <c r="JB438" s="562"/>
      <c r="JC438" s="562"/>
      <c r="JD438" s="562"/>
      <c r="JE438" s="562"/>
      <c r="JF438" s="562"/>
      <c r="JG438" s="562"/>
      <c r="JH438" s="562"/>
      <c r="JI438" s="562"/>
      <c r="JJ438" s="562"/>
      <c r="JK438" s="562"/>
      <c r="JL438" s="562"/>
      <c r="JM438" s="562"/>
      <c r="JN438" s="562"/>
      <c r="JO438" s="562"/>
      <c r="JP438" s="562"/>
      <c r="JQ438" s="562"/>
      <c r="JR438" s="562"/>
      <c r="JS438" s="562"/>
      <c r="JT438" s="562"/>
      <c r="JU438" s="562"/>
      <c r="JV438" s="562"/>
      <c r="JW438" s="562"/>
      <c r="JX438" s="562"/>
      <c r="JY438" s="562"/>
      <c r="JZ438" s="562"/>
    </row>
    <row r="439" spans="1:286" s="83" customFormat="1" ht="12.75" customHeight="1" x14ac:dyDescent="0.2">
      <c r="A439" s="1"/>
      <c r="B439" s="68"/>
      <c r="C439" s="79"/>
      <c r="D439" s="79"/>
      <c r="E439" s="142"/>
      <c r="F439" s="142"/>
      <c r="G439" s="142"/>
      <c r="H439" s="142"/>
      <c r="I439" s="142"/>
      <c r="J439" s="142"/>
      <c r="K439" s="142"/>
      <c r="L439" s="79"/>
      <c r="M439" s="142"/>
      <c r="N439" s="79"/>
      <c r="O439" s="142"/>
      <c r="P439" s="79"/>
      <c r="Q439" s="142"/>
      <c r="R439" s="79"/>
      <c r="S439" s="142"/>
      <c r="T439" s="79"/>
      <c r="U439" s="142"/>
      <c r="V439" s="79"/>
      <c r="W439" s="142"/>
      <c r="X439" s="79"/>
      <c r="Y439" s="142"/>
      <c r="Z439" s="79"/>
      <c r="AA439" s="319"/>
      <c r="AB439" s="79"/>
      <c r="AC439" s="142"/>
      <c r="AD439" s="79"/>
      <c r="AE439" s="142"/>
      <c r="AF439" s="79"/>
      <c r="AG439" s="142"/>
      <c r="AH439" s="79"/>
      <c r="AI439" s="142"/>
      <c r="AJ439" s="79"/>
      <c r="AK439" s="142"/>
      <c r="AL439" s="79"/>
      <c r="AM439" s="142"/>
      <c r="AN439" s="79"/>
      <c r="AO439" s="142"/>
      <c r="AP439" s="79"/>
      <c r="AQ439" s="142"/>
      <c r="AR439" s="79"/>
      <c r="AS439" s="142"/>
      <c r="AT439" s="81"/>
      <c r="AU439" s="142"/>
      <c r="AV439" s="81"/>
      <c r="AW439" s="142"/>
      <c r="AX439" s="81"/>
      <c r="AY439" s="142"/>
      <c r="AZ439" s="81"/>
      <c r="BA439" s="142"/>
      <c r="BB439" s="81"/>
      <c r="BC439" s="142"/>
      <c r="BD439" s="81"/>
      <c r="BE439" s="142"/>
      <c r="BF439" s="81"/>
      <c r="BG439" s="142"/>
      <c r="BH439" s="81"/>
      <c r="BI439" s="142"/>
      <c r="BJ439" s="81"/>
      <c r="BK439" s="142"/>
      <c r="BL439" s="81"/>
      <c r="BM439" s="142"/>
      <c r="BN439" s="81"/>
      <c r="BO439" s="142"/>
      <c r="BP439" s="81"/>
      <c r="BQ439" s="142"/>
      <c r="BR439" s="81"/>
      <c r="BS439" s="142"/>
      <c r="BT439" s="81"/>
      <c r="BU439" s="142"/>
      <c r="BV439" s="81"/>
      <c r="BW439" s="142"/>
      <c r="BX439" s="81"/>
      <c r="BY439" s="142"/>
      <c r="BZ439" s="81"/>
      <c r="CA439" s="142"/>
      <c r="CB439" s="81"/>
      <c r="CC439" s="142"/>
      <c r="CD439" s="81"/>
      <c r="CE439" s="142"/>
      <c r="CF439" s="81"/>
      <c r="CG439" s="142"/>
      <c r="CH439" s="81"/>
      <c r="CI439" s="142"/>
      <c r="CJ439" s="81"/>
      <c r="CK439" s="142"/>
      <c r="CL439" s="81"/>
      <c r="CM439" s="142"/>
      <c r="CN439" s="81"/>
      <c r="CO439" s="142"/>
      <c r="CP439" s="81"/>
      <c r="CQ439" s="142"/>
      <c r="CR439" s="81"/>
      <c r="CS439" s="142"/>
      <c r="CT439" s="81"/>
      <c r="CU439" s="142"/>
      <c r="CV439" s="81"/>
      <c r="CW439" s="142"/>
      <c r="CX439" s="81"/>
      <c r="CY439" s="142"/>
      <c r="CZ439" s="81"/>
      <c r="DA439" s="142"/>
      <c r="DB439" s="81"/>
      <c r="DC439" s="142"/>
      <c r="DD439" s="81"/>
      <c r="DE439" s="142"/>
      <c r="DF439" s="81"/>
      <c r="DG439" s="142"/>
      <c r="DH439" s="81"/>
      <c r="DI439" s="142"/>
      <c r="DJ439" s="81"/>
      <c r="DK439" s="142"/>
      <c r="DL439" s="81"/>
      <c r="DM439" s="142"/>
      <c r="DN439" s="81"/>
      <c r="DO439" s="142"/>
      <c r="DP439" s="81"/>
      <c r="DQ439" s="142"/>
      <c r="DR439" s="81"/>
      <c r="DS439" s="142"/>
      <c r="DT439" s="81"/>
      <c r="DU439" s="142"/>
      <c r="DV439" s="81"/>
      <c r="DW439" s="142"/>
      <c r="DX439" s="81"/>
      <c r="DY439" s="142"/>
      <c r="DZ439" s="81"/>
      <c r="EA439" s="142"/>
      <c r="EB439" s="81"/>
      <c r="EC439" s="142"/>
      <c r="ED439" s="81"/>
      <c r="EE439" s="142"/>
      <c r="EF439" s="81"/>
      <c r="EG439" s="142"/>
      <c r="EH439" s="81"/>
      <c r="EI439" s="142"/>
      <c r="EJ439" s="81"/>
      <c r="EK439" s="142"/>
      <c r="EL439" s="81"/>
      <c r="EM439" s="142"/>
      <c r="EN439" s="81"/>
      <c r="EO439" s="142"/>
      <c r="EP439" s="81"/>
      <c r="EQ439" s="142"/>
      <c r="ER439" s="81"/>
      <c r="ES439" s="82"/>
      <c r="ET439" s="469"/>
      <c r="EU439" s="82"/>
      <c r="EV439" s="142"/>
      <c r="EW439" s="79"/>
      <c r="EX439" s="142"/>
      <c r="EY439" s="79"/>
      <c r="EZ439" s="142"/>
      <c r="FA439" s="79"/>
      <c r="FB439" s="142"/>
      <c r="FC439" s="79"/>
      <c r="FD439" s="142"/>
      <c r="FE439" s="79"/>
      <c r="FF439" s="142"/>
      <c r="FG439" s="79"/>
      <c r="FH439" s="142"/>
      <c r="FI439" s="79"/>
      <c r="FJ439" s="142"/>
      <c r="FK439" s="79"/>
      <c r="FL439" s="142"/>
      <c r="FM439" s="79"/>
      <c r="FN439" s="142"/>
      <c r="FO439" s="79"/>
      <c r="FP439" s="142"/>
      <c r="FQ439" s="79"/>
      <c r="FR439" s="142"/>
      <c r="FS439" s="79"/>
      <c r="FT439" s="142"/>
      <c r="FU439" s="79"/>
      <c r="FV439" s="142"/>
      <c r="FW439" s="79"/>
      <c r="FX439" s="142"/>
      <c r="FY439" s="79"/>
      <c r="FZ439" s="142"/>
      <c r="GA439" s="79"/>
      <c r="GB439" s="142"/>
      <c r="GC439" s="79"/>
      <c r="GD439" s="142"/>
      <c r="GE439" s="79"/>
      <c r="GF439" s="142"/>
      <c r="GG439" s="79"/>
      <c r="GH439" s="142"/>
      <c r="GI439" s="79"/>
      <c r="GJ439" s="142"/>
      <c r="GK439" s="79"/>
      <c r="GL439" s="142"/>
      <c r="GM439" s="79"/>
      <c r="GN439" s="142"/>
      <c r="GO439" s="79"/>
      <c r="GP439" s="142"/>
      <c r="GQ439" s="79"/>
      <c r="GR439" s="142"/>
      <c r="GS439" s="79"/>
      <c r="GT439" s="79"/>
      <c r="GU439" s="562"/>
      <c r="GV439" s="562"/>
      <c r="GW439"/>
      <c r="GX439"/>
      <c r="GY439"/>
      <c r="GZ439"/>
      <c r="HA439"/>
      <c r="HB439"/>
      <c r="HC439" s="562"/>
      <c r="HD439" s="562"/>
      <c r="HE439" s="562"/>
      <c r="HF439" s="562"/>
      <c r="HG439" s="562"/>
      <c r="HH439" s="562"/>
      <c r="HI439" s="562"/>
      <c r="HJ439" s="562"/>
      <c r="HK439" s="562"/>
      <c r="HL439" s="562"/>
      <c r="HM439" s="562"/>
      <c r="HN439" s="562"/>
      <c r="HO439" s="562"/>
      <c r="HP439" s="562"/>
      <c r="HQ439" s="562"/>
      <c r="HR439" s="562"/>
      <c r="HS439" s="562"/>
      <c r="HT439" s="562"/>
      <c r="HU439" s="562"/>
      <c r="HV439" s="562"/>
      <c r="HW439" s="562"/>
      <c r="HX439" s="562"/>
      <c r="HY439" s="562"/>
      <c r="HZ439" s="562"/>
      <c r="IA439" s="562"/>
      <c r="IB439" s="562"/>
      <c r="IC439" s="562"/>
      <c r="ID439" s="562"/>
      <c r="IE439" s="562"/>
      <c r="IF439" s="562"/>
      <c r="IG439" s="562"/>
      <c r="IH439" s="562"/>
      <c r="II439" s="562"/>
      <c r="IJ439" s="562"/>
      <c r="IK439" s="562"/>
      <c r="IL439" s="562"/>
      <c r="IM439" s="562"/>
      <c r="IN439" s="562"/>
      <c r="IO439" s="562"/>
      <c r="IP439" s="562"/>
      <c r="IQ439" s="562"/>
      <c r="IR439" s="562"/>
      <c r="IS439" s="562"/>
      <c r="IT439" s="562"/>
      <c r="IU439" s="562"/>
      <c r="IV439" s="562"/>
      <c r="IW439" s="562"/>
      <c r="IX439" s="562"/>
      <c r="IY439" s="562"/>
      <c r="IZ439" s="562"/>
      <c r="JA439" s="562"/>
      <c r="JB439" s="562"/>
      <c r="JC439" s="562"/>
      <c r="JD439" s="562"/>
      <c r="JE439" s="562"/>
      <c r="JF439" s="562"/>
      <c r="JG439" s="562"/>
      <c r="JH439" s="562"/>
      <c r="JI439" s="562"/>
      <c r="JJ439" s="562"/>
      <c r="JK439" s="562"/>
      <c r="JL439" s="562"/>
      <c r="JM439" s="562"/>
      <c r="JN439" s="562"/>
      <c r="JO439" s="562"/>
      <c r="JP439" s="562"/>
      <c r="JQ439" s="562"/>
      <c r="JR439" s="562"/>
      <c r="JS439" s="562"/>
      <c r="JT439" s="562"/>
      <c r="JU439" s="562"/>
      <c r="JV439" s="562"/>
      <c r="JW439" s="562"/>
      <c r="JX439" s="562"/>
      <c r="JY439" s="562"/>
      <c r="JZ439" s="562"/>
    </row>
    <row r="440" spans="1:286" s="10" customFormat="1" ht="12.75" customHeight="1" x14ac:dyDescent="0.2">
      <c r="A440" s="1"/>
      <c r="B440" s="2" t="s">
        <v>529</v>
      </c>
      <c r="C440" s="79"/>
      <c r="D440" s="79"/>
      <c r="E440" s="145"/>
      <c r="F440" s="145"/>
      <c r="G440" s="145"/>
      <c r="H440" s="145"/>
      <c r="I440" s="145"/>
      <c r="J440" s="145"/>
      <c r="K440" s="145"/>
      <c r="L440" s="79"/>
      <c r="M440" s="145"/>
      <c r="N440" s="79"/>
      <c r="O440" s="145"/>
      <c r="P440" s="79"/>
      <c r="Q440" s="145"/>
      <c r="R440" s="79"/>
      <c r="S440" s="145"/>
      <c r="T440" s="79"/>
      <c r="U440" s="145"/>
      <c r="V440" s="79"/>
      <c r="W440" s="145"/>
      <c r="X440" s="79"/>
      <c r="Y440" s="145"/>
      <c r="Z440" s="79"/>
      <c r="AA440" s="561"/>
      <c r="AB440" s="79"/>
      <c r="AC440" s="145"/>
      <c r="AD440" s="79"/>
      <c r="AE440" s="145"/>
      <c r="AF440" s="79"/>
      <c r="AG440" s="145"/>
      <c r="AH440" s="79"/>
      <c r="AI440" s="145"/>
      <c r="AJ440" s="79"/>
      <c r="AK440" s="145"/>
      <c r="AL440" s="79"/>
      <c r="AM440" s="145"/>
      <c r="AN440" s="79"/>
      <c r="AO440" s="145"/>
      <c r="AP440" s="79"/>
      <c r="AQ440" s="145"/>
      <c r="AR440" s="79"/>
      <c r="AS440" s="145">
        <f>AS438+AS418</f>
        <v>76.447469859999998</v>
      </c>
      <c r="AT440" s="145"/>
      <c r="AU440" s="145">
        <f>AU438+AU418</f>
        <v>126.68913968</v>
      </c>
      <c r="AV440" s="145"/>
      <c r="AW440" s="145">
        <f>AW438+AW418</f>
        <v>-64.388074100000011</v>
      </c>
      <c r="AX440" s="145"/>
      <c r="AY440" s="145">
        <f>AY438+AY418</f>
        <v>275.97447940000006</v>
      </c>
      <c r="AZ440" s="145"/>
      <c r="BA440" s="145">
        <f>BA438+BA418</f>
        <v>176.8901295</v>
      </c>
      <c r="BB440" s="145"/>
      <c r="BC440" s="145">
        <f>BC438+BC418</f>
        <v>187.4670485</v>
      </c>
      <c r="BD440" s="145"/>
      <c r="BE440" s="145">
        <f>BE438+BE418</f>
        <v>186.54378119999998</v>
      </c>
      <c r="BF440" s="145"/>
      <c r="BG440" s="145">
        <f>BG438+BG418</f>
        <v>160.21749403000001</v>
      </c>
      <c r="BH440" s="145"/>
      <c r="BI440" s="145">
        <f>BI438+BI418</f>
        <v>162.66483438999998</v>
      </c>
      <c r="BJ440" s="145"/>
      <c r="BK440" s="145">
        <f>BK438+BK418</f>
        <v>242.02302299999999</v>
      </c>
      <c r="BL440" s="145"/>
      <c r="BM440" s="145">
        <f>BM438+BM418</f>
        <v>107.36417280000001</v>
      </c>
      <c r="BN440" s="145"/>
      <c r="BO440" s="145">
        <f>BO438+BO418</f>
        <v>40.918326730000018</v>
      </c>
      <c r="BP440" s="145"/>
      <c r="BQ440" s="145">
        <f>BQ438+BQ418</f>
        <v>163.39799868</v>
      </c>
      <c r="BR440" s="145"/>
      <c r="BS440" s="145">
        <f>BS438+BS418</f>
        <v>267.17089625</v>
      </c>
      <c r="BT440" s="145"/>
      <c r="BU440" s="145">
        <f>BU438+BU418</f>
        <v>222.37817472</v>
      </c>
      <c r="BV440" s="145"/>
      <c r="BW440" s="145">
        <f>BW438+BW418</f>
        <v>200.87899679999998</v>
      </c>
      <c r="BX440" s="145"/>
      <c r="BY440" s="145">
        <f>BY438+BY418</f>
        <v>226.60000000000002</v>
      </c>
      <c r="BZ440" s="145"/>
      <c r="CA440" s="145">
        <f>CA438+CA418</f>
        <v>208.29999999999995</v>
      </c>
      <c r="CB440" s="145"/>
      <c r="CC440" s="145">
        <f>CC438+CC418</f>
        <v>218.90000000000009</v>
      </c>
      <c r="CD440" s="145"/>
      <c r="CE440" s="145">
        <f>CE438+CE418</f>
        <v>224.2000000000003</v>
      </c>
      <c r="CF440" s="145"/>
      <c r="CG440" s="145">
        <f>CG438+CG418</f>
        <v>223.59999999999988</v>
      </c>
      <c r="CH440" s="145"/>
      <c r="CI440" s="145">
        <f>CI438+CI418</f>
        <v>227.60000000000014</v>
      </c>
      <c r="CJ440" s="145"/>
      <c r="CK440" s="145">
        <f>CK438+CK418</f>
        <v>202.00000000000003</v>
      </c>
      <c r="CL440" s="145"/>
      <c r="CM440" s="145">
        <f>CM438+CM418</f>
        <v>-369.00000000000028</v>
      </c>
      <c r="CN440" s="145"/>
      <c r="CO440" s="145">
        <f>CO438+CO418</f>
        <v>213.89999999999992</v>
      </c>
      <c r="CP440" s="145"/>
      <c r="CQ440" s="145">
        <f>CQ438+CQ418</f>
        <v>216.39999999999989</v>
      </c>
      <c r="CR440" s="145"/>
      <c r="CS440" s="145">
        <f>CS438+CS418</f>
        <v>230.2</v>
      </c>
      <c r="CT440" s="145"/>
      <c r="CU440" s="145">
        <f>CU438+CU418</f>
        <v>233.89999999999995</v>
      </c>
      <c r="CV440" s="145"/>
      <c r="CW440" s="145">
        <f>CW438+CW418</f>
        <v>209.7000000000001</v>
      </c>
      <c r="CX440" s="145"/>
      <c r="CY440" s="145">
        <f>CY438+CY418</f>
        <v>215.99999999999991</v>
      </c>
      <c r="CZ440" s="145"/>
      <c r="DA440" s="145">
        <f>DA438+DA418</f>
        <v>202.70000000000002</v>
      </c>
      <c r="DB440" s="145"/>
      <c r="DC440" s="145">
        <f>DC438+DC418</f>
        <v>218.59999999999997</v>
      </c>
      <c r="DD440" s="145"/>
      <c r="DE440" s="145">
        <f>DE438+DE418</f>
        <v>225.79999999999973</v>
      </c>
      <c r="DF440" s="145"/>
      <c r="DG440" s="145">
        <f>DG438+DG418</f>
        <v>239.4</v>
      </c>
      <c r="DH440" s="145"/>
      <c r="DI440" s="145">
        <f>DI438+DI418</f>
        <v>219.10000000000005</v>
      </c>
      <c r="DJ440" s="145"/>
      <c r="DK440" s="145">
        <f>DK438+DK418</f>
        <v>-282.20000000000005</v>
      </c>
      <c r="DL440" s="81"/>
      <c r="DM440" s="145">
        <f>DM438+DM418</f>
        <v>212.90000000000006</v>
      </c>
      <c r="DN440" s="81"/>
      <c r="DO440" s="145">
        <f>DO438+DO418</f>
        <v>224.29999999999993</v>
      </c>
      <c r="DP440" s="81"/>
      <c r="DQ440" s="145">
        <f>DQ438+DQ418</f>
        <v>203.80000000000021</v>
      </c>
      <c r="DR440" s="81"/>
      <c r="DS440" s="145">
        <f>DS438+DS418</f>
        <v>226.09999999999991</v>
      </c>
      <c r="DT440" s="81"/>
      <c r="DU440" s="145">
        <f>DU438+DU418</f>
        <v>210.59999999999982</v>
      </c>
      <c r="DV440" s="81"/>
      <c r="DW440" s="145">
        <f>DW438+DW418</f>
        <v>236.79999999999993</v>
      </c>
      <c r="DX440" s="81"/>
      <c r="DY440" s="145">
        <f>DY438+DY418</f>
        <v>236.0000000000002</v>
      </c>
      <c r="DZ440" s="81"/>
      <c r="EA440" s="145">
        <f>EA438+EA418</f>
        <v>247.99999999999997</v>
      </c>
      <c r="EB440" s="81"/>
      <c r="EC440" s="145">
        <f>EC438+EC418</f>
        <v>229.89999999999975</v>
      </c>
      <c r="ED440" s="81"/>
      <c r="EE440" s="145">
        <f>EE438+EE418</f>
        <v>245.10000000000011</v>
      </c>
      <c r="EF440" s="81"/>
      <c r="EG440" s="145">
        <f>EG438+EG418</f>
        <v>251.6999999999999</v>
      </c>
      <c r="EH440" s="81"/>
      <c r="EI440" s="145">
        <f>EI438+EI418</f>
        <v>266.89999999999981</v>
      </c>
      <c r="EJ440" s="81"/>
      <c r="EK440" s="145">
        <f t="shared" ref="EK440:EQ440" si="1458">EK438+EK418</f>
        <v>261.81763341896846</v>
      </c>
      <c r="EL440" s="81"/>
      <c r="EM440" s="145">
        <f t="shared" si="1458"/>
        <v>277.08549079101743</v>
      </c>
      <c r="EN440" s="81"/>
      <c r="EO440" s="145">
        <f t="shared" si="1458"/>
        <v>278.21644884485261</v>
      </c>
      <c r="EP440" s="81"/>
      <c r="EQ440" s="145">
        <f t="shared" si="1458"/>
        <v>281.07259761097214</v>
      </c>
      <c r="ER440" s="81"/>
      <c r="ES440" s="82"/>
      <c r="ET440" s="469"/>
      <c r="EU440" s="82"/>
      <c r="EV440" s="145"/>
      <c r="EW440" s="79"/>
      <c r="EX440" s="145"/>
      <c r="EY440" s="79"/>
      <c r="EZ440" s="145"/>
      <c r="FA440" s="79"/>
      <c r="FB440" s="145"/>
      <c r="FC440" s="79"/>
      <c r="FD440" s="145"/>
      <c r="FE440" s="79"/>
      <c r="FF440" s="145"/>
      <c r="FG440" s="79"/>
      <c r="FH440" s="145"/>
      <c r="FI440" s="79"/>
      <c r="FJ440" s="145"/>
      <c r="FK440" s="79"/>
      <c r="FL440" s="145"/>
      <c r="FM440" s="79"/>
      <c r="FN440" s="145"/>
      <c r="FO440" s="79"/>
      <c r="FP440" s="145">
        <f>FP438+FP418</f>
        <v>553.19999999999982</v>
      </c>
      <c r="FQ440" s="145"/>
      <c r="FR440" s="145">
        <f>FR438+FR418</f>
        <v>847.29999999999893</v>
      </c>
      <c r="FS440" s="145"/>
      <c r="FT440" s="145">
        <f>FT438+FT418</f>
        <v>878.00000000000034</v>
      </c>
      <c r="FU440" s="145"/>
      <c r="FV440" s="145">
        <f>FV438+FV418</f>
        <v>284.19999999999976</v>
      </c>
      <c r="FW440" s="145"/>
      <c r="FX440" s="145">
        <f>FX438+FX418</f>
        <v>894.39999999999975</v>
      </c>
      <c r="FY440" s="145"/>
      <c r="FZ440" s="145">
        <f>FZ438+FZ418</f>
        <v>846.99999999999989</v>
      </c>
      <c r="GA440" s="145"/>
      <c r="GB440" s="145">
        <f>GB438+GB418</f>
        <v>402.1</v>
      </c>
      <c r="GC440" s="145"/>
      <c r="GD440" s="145">
        <f>GD438+GD418</f>
        <v>867.09999999999957</v>
      </c>
      <c r="GE440" s="145"/>
      <c r="GF440" s="145">
        <f>GF438+GF418</f>
        <v>931.39999999999975</v>
      </c>
      <c r="GG440" s="145"/>
      <c r="GH440" s="145">
        <f>GH438+GH418</f>
        <v>993.59999999999968</v>
      </c>
      <c r="GI440" s="145"/>
      <c r="GJ440" s="145">
        <f>GJ438+GJ418</f>
        <v>1098.1921706658111</v>
      </c>
      <c r="GK440" s="145"/>
      <c r="GL440" s="145">
        <f>GL438+GL418</f>
        <v>1125.1083939429279</v>
      </c>
      <c r="GM440" s="145"/>
      <c r="GN440" s="145">
        <f>GN438+GN418</f>
        <v>1157.154246206788</v>
      </c>
      <c r="GO440" s="145"/>
      <c r="GP440" s="145">
        <f>GP438+GP418</f>
        <v>1193.397686871582</v>
      </c>
      <c r="GQ440" s="145"/>
      <c r="GR440" s="145">
        <f>GR438+GR418</f>
        <v>1224.840464378304</v>
      </c>
      <c r="GS440" s="145"/>
      <c r="GT440" s="79"/>
      <c r="GU440" s="562"/>
      <c r="GV440" s="562"/>
      <c r="GW440"/>
      <c r="GX440"/>
      <c r="GY440"/>
      <c r="GZ440"/>
      <c r="HA440"/>
      <c r="HB440"/>
      <c r="HC440" s="562"/>
      <c r="HD440" s="562"/>
      <c r="HE440" s="562"/>
      <c r="HF440" s="562"/>
      <c r="HG440" s="562"/>
      <c r="HH440" s="562"/>
      <c r="HI440" s="562"/>
      <c r="HJ440" s="562"/>
      <c r="HK440" s="562"/>
      <c r="HL440" s="562"/>
      <c r="HM440" s="562"/>
      <c r="HN440" s="562"/>
      <c r="HO440" s="562"/>
      <c r="HP440" s="562"/>
      <c r="HQ440" s="562"/>
      <c r="HR440" s="562"/>
      <c r="HS440" s="562"/>
      <c r="HT440" s="562"/>
      <c r="HU440" s="562"/>
      <c r="HV440" s="562"/>
      <c r="HW440" s="562"/>
      <c r="HX440" s="562"/>
      <c r="HY440" s="562"/>
      <c r="HZ440" s="562"/>
      <c r="IA440" s="562"/>
      <c r="IB440" s="562"/>
      <c r="IC440" s="562"/>
      <c r="ID440" s="562"/>
      <c r="IE440" s="562"/>
      <c r="IF440" s="562"/>
      <c r="IG440" s="562"/>
      <c r="IH440" s="562"/>
      <c r="II440" s="562"/>
      <c r="IJ440" s="562"/>
      <c r="IK440" s="562"/>
      <c r="IL440" s="562"/>
      <c r="IM440" s="562"/>
      <c r="IN440" s="562"/>
      <c r="IO440" s="562"/>
      <c r="IP440" s="562"/>
      <c r="IQ440" s="562"/>
      <c r="IR440" s="562"/>
      <c r="IS440" s="562"/>
      <c r="IT440" s="562"/>
      <c r="IU440" s="562"/>
      <c r="IV440" s="562"/>
      <c r="IW440" s="562"/>
      <c r="IX440" s="562"/>
      <c r="IY440" s="562"/>
      <c r="IZ440" s="562"/>
      <c r="JA440" s="562"/>
      <c r="JB440" s="562"/>
      <c r="JC440" s="562"/>
      <c r="JD440" s="562"/>
      <c r="JE440" s="562"/>
      <c r="JF440" s="562"/>
      <c r="JG440" s="562"/>
      <c r="JH440" s="562"/>
      <c r="JI440" s="562"/>
      <c r="JJ440" s="562"/>
      <c r="JK440" s="562"/>
      <c r="JL440" s="562"/>
      <c r="JM440" s="562"/>
      <c r="JN440" s="562"/>
      <c r="JO440" s="562"/>
      <c r="JP440" s="562"/>
      <c r="JQ440" s="562"/>
      <c r="JR440" s="562"/>
      <c r="JS440" s="562"/>
      <c r="JT440" s="562"/>
      <c r="JU440" s="562"/>
      <c r="JV440" s="562"/>
      <c r="JW440" s="562"/>
      <c r="JX440" s="562"/>
      <c r="JY440" s="562"/>
      <c r="JZ440" s="562"/>
    </row>
    <row r="441" spans="1:286" s="83" customFormat="1" ht="12.75" customHeight="1" x14ac:dyDescent="0.2">
      <c r="A441" s="1"/>
      <c r="B441" s="68"/>
      <c r="C441" s="79"/>
      <c r="D441" s="79"/>
      <c r="E441" s="142"/>
      <c r="F441" s="142"/>
      <c r="G441" s="142"/>
      <c r="H441" s="142"/>
      <c r="I441" s="142"/>
      <c r="J441" s="142"/>
      <c r="K441" s="142"/>
      <c r="L441" s="79"/>
      <c r="M441" s="142"/>
      <c r="N441" s="79"/>
      <c r="O441" s="142"/>
      <c r="P441" s="79"/>
      <c r="Q441" s="142"/>
      <c r="R441" s="79"/>
      <c r="S441" s="142"/>
      <c r="T441" s="79"/>
      <c r="U441" s="142"/>
      <c r="V441" s="79"/>
      <c r="W441" s="142"/>
      <c r="X441" s="79"/>
      <c r="Y441" s="142"/>
      <c r="Z441" s="79"/>
      <c r="AA441" s="280"/>
      <c r="AB441" s="79"/>
      <c r="AC441" s="142"/>
      <c r="AD441" s="79"/>
      <c r="AE441" s="142"/>
      <c r="AF441" s="79"/>
      <c r="AG441" s="142"/>
      <c r="AH441" s="79"/>
      <c r="AI441" s="142"/>
      <c r="AJ441" s="79"/>
      <c r="AK441" s="142"/>
      <c r="AL441" s="79"/>
      <c r="AM441" s="142"/>
      <c r="AN441" s="79"/>
      <c r="AO441" s="142"/>
      <c r="AP441" s="79"/>
      <c r="AQ441" s="142"/>
      <c r="AR441" s="79"/>
      <c r="AS441" s="142"/>
      <c r="AT441" s="81"/>
      <c r="AU441" s="142"/>
      <c r="AV441" s="81"/>
      <c r="AW441" s="142"/>
      <c r="AX441" s="81"/>
      <c r="AY441" s="142"/>
      <c r="AZ441" s="81"/>
      <c r="BA441" s="142"/>
      <c r="BB441" s="81"/>
      <c r="BC441" s="142"/>
      <c r="BD441" s="81"/>
      <c r="BE441" s="142"/>
      <c r="BF441" s="81"/>
      <c r="BG441" s="142"/>
      <c r="BH441" s="81"/>
      <c r="BI441" s="142"/>
      <c r="BJ441" s="81"/>
      <c r="BK441" s="142"/>
      <c r="BL441" s="81"/>
      <c r="BM441" s="142"/>
      <c r="BN441" s="81"/>
      <c r="BO441" s="142"/>
      <c r="BP441" s="81"/>
      <c r="BQ441" s="142"/>
      <c r="BR441" s="81"/>
      <c r="BS441" s="142"/>
      <c r="BT441" s="81"/>
      <c r="BU441" s="142"/>
      <c r="BV441" s="81"/>
      <c r="BW441" s="142"/>
      <c r="BX441" s="81"/>
      <c r="BY441" s="141"/>
      <c r="BZ441" s="212">
        <v>38.023044269254179</v>
      </c>
      <c r="CA441" s="141"/>
      <c r="CB441" s="212">
        <v>-22.043413173652759</v>
      </c>
      <c r="CC441" s="141"/>
      <c r="CD441" s="212">
        <v>-0.995024875621775</v>
      </c>
      <c r="CE441" s="141"/>
      <c r="CF441" s="212">
        <v>12.437311935807704</v>
      </c>
      <c r="CG441" s="141"/>
      <c r="CH441" s="212">
        <v>-1.7574692442883011</v>
      </c>
      <c r="CI441" s="141"/>
      <c r="CJ441" s="212">
        <v>9.4095055208834424</v>
      </c>
      <c r="CK441" s="141"/>
      <c r="CL441" s="212">
        <v>-7.7204202832343753</v>
      </c>
      <c r="CM441" s="141"/>
      <c r="CN441" s="81"/>
      <c r="CO441" s="141"/>
      <c r="CP441" s="81"/>
      <c r="CQ441" s="141"/>
      <c r="CR441" s="81"/>
      <c r="CS441" s="141"/>
      <c r="CT441" s="81"/>
      <c r="CU441" s="141"/>
      <c r="CV441" s="81"/>
      <c r="CW441" s="141"/>
      <c r="CX441" s="81"/>
      <c r="CY441" s="141"/>
      <c r="CZ441" s="81"/>
      <c r="DA441" s="141"/>
      <c r="DB441" s="81"/>
      <c r="DC441" s="141"/>
      <c r="DD441" s="81"/>
      <c r="DE441" s="141"/>
      <c r="DF441" s="81"/>
      <c r="DG441" s="141"/>
      <c r="DH441" s="81"/>
      <c r="DI441" s="141"/>
      <c r="DJ441" s="81"/>
      <c r="DK441" s="141"/>
      <c r="DL441" s="81"/>
      <c r="DM441" s="141"/>
      <c r="DN441" s="81"/>
      <c r="DO441" s="141"/>
      <c r="DP441" s="81"/>
      <c r="DQ441" s="141"/>
      <c r="DR441" s="81"/>
      <c r="DS441" s="141"/>
      <c r="DT441" s="81"/>
      <c r="DU441" s="141"/>
      <c r="DV441" s="81"/>
      <c r="DW441" s="141"/>
      <c r="DX441" s="81"/>
      <c r="DY441" s="141"/>
      <c r="DZ441" s="81"/>
      <c r="EA441" s="141"/>
      <c r="EB441" s="81"/>
      <c r="EC441" s="141"/>
      <c r="ED441" s="81"/>
      <c r="EE441" s="141"/>
      <c r="EF441" s="81"/>
      <c r="EG441" s="141"/>
      <c r="EH441" s="81"/>
      <c r="EI441" s="141"/>
      <c r="EJ441" s="81"/>
      <c r="EK441" s="142"/>
      <c r="EL441" s="81"/>
      <c r="EM441" s="142"/>
      <c r="EN441" s="81"/>
      <c r="EO441" s="142"/>
      <c r="EP441" s="81"/>
      <c r="EQ441" s="142"/>
      <c r="ER441" s="81"/>
      <c r="ES441" s="82"/>
      <c r="ET441" s="469"/>
      <c r="EU441" s="82"/>
      <c r="EV441" s="142"/>
      <c r="EW441" s="79"/>
      <c r="EX441" s="142"/>
      <c r="EY441" s="79"/>
      <c r="EZ441" s="142"/>
      <c r="FA441" s="79"/>
      <c r="FB441" s="142"/>
      <c r="FC441" s="79"/>
      <c r="FD441" s="142"/>
      <c r="FE441" s="79"/>
      <c r="FF441" s="321"/>
      <c r="FG441" s="79"/>
      <c r="FH441" s="321"/>
      <c r="FI441" s="79"/>
      <c r="FJ441" s="321"/>
      <c r="FK441" s="79"/>
      <c r="FL441" s="142"/>
      <c r="FM441" s="79"/>
      <c r="FN441" s="142"/>
      <c r="FO441" s="79"/>
      <c r="FP441" s="142"/>
      <c r="FQ441" s="79"/>
      <c r="FR441" s="142"/>
      <c r="FS441" s="79"/>
      <c r="FT441" s="142"/>
      <c r="FU441" s="79"/>
      <c r="FV441" s="142"/>
      <c r="FW441" s="79"/>
      <c r="FX441" s="142"/>
      <c r="FY441" s="79"/>
      <c r="FZ441" s="142"/>
      <c r="GA441" s="79"/>
      <c r="GB441" s="142"/>
      <c r="GC441" s="79"/>
      <c r="GD441" s="142"/>
      <c r="GE441" s="79"/>
      <c r="GF441" s="142"/>
      <c r="GG441" s="79"/>
      <c r="GH441" s="142"/>
      <c r="GI441" s="79"/>
      <c r="GJ441" s="142"/>
      <c r="GK441" s="79"/>
      <c r="GL441" s="142"/>
      <c r="GM441" s="79"/>
      <c r="GN441" s="142"/>
      <c r="GO441" s="79"/>
      <c r="GP441" s="142"/>
      <c r="GQ441" s="79"/>
      <c r="GR441" s="142"/>
      <c r="GS441" s="79"/>
      <c r="GT441" s="79"/>
      <c r="GU441" s="562"/>
      <c r="GV441" s="562"/>
      <c r="GW441"/>
      <c r="GX441"/>
      <c r="GY441"/>
      <c r="GZ441"/>
      <c r="HA441"/>
      <c r="HB441"/>
      <c r="HC441" s="562"/>
      <c r="HD441" s="562"/>
      <c r="HE441" s="562"/>
      <c r="HF441" s="562"/>
      <c r="HG441" s="562"/>
      <c r="HH441" s="562"/>
      <c r="HI441" s="562"/>
      <c r="HJ441" s="562"/>
      <c r="HK441" s="562"/>
      <c r="HL441" s="562"/>
      <c r="HM441" s="562"/>
      <c r="HN441" s="562"/>
      <c r="HO441" s="562"/>
      <c r="HP441" s="562"/>
      <c r="HQ441" s="562"/>
      <c r="HR441" s="562"/>
      <c r="HS441" s="562"/>
      <c r="HT441" s="562"/>
      <c r="HU441" s="562"/>
      <c r="HV441" s="562"/>
      <c r="HW441" s="562"/>
      <c r="HX441" s="562"/>
      <c r="HY441" s="562"/>
      <c r="HZ441" s="562"/>
      <c r="IA441" s="562"/>
      <c r="IB441" s="562"/>
      <c r="IC441" s="562"/>
      <c r="ID441" s="562"/>
      <c r="IE441" s="562"/>
      <c r="IF441" s="562"/>
      <c r="IG441" s="562"/>
      <c r="IH441" s="562"/>
      <c r="II441" s="562"/>
      <c r="IJ441" s="562"/>
      <c r="IK441" s="562"/>
      <c r="IL441" s="562"/>
      <c r="IM441" s="562"/>
      <c r="IN441" s="562"/>
      <c r="IO441" s="562"/>
      <c r="IP441" s="562"/>
      <c r="IQ441" s="562"/>
      <c r="IR441" s="562"/>
      <c r="IS441" s="562"/>
      <c r="IT441" s="562"/>
      <c r="IU441" s="562"/>
      <c r="IV441" s="562"/>
      <c r="IW441" s="562"/>
      <c r="IX441" s="562"/>
      <c r="IY441" s="562"/>
      <c r="IZ441" s="562"/>
      <c r="JA441" s="562"/>
      <c r="JB441" s="562"/>
      <c r="JC441" s="562"/>
      <c r="JD441" s="562"/>
      <c r="JE441" s="562"/>
      <c r="JF441" s="562"/>
      <c r="JG441" s="562"/>
      <c r="JH441" s="562"/>
      <c r="JI441" s="562"/>
      <c r="JJ441" s="562"/>
      <c r="JK441" s="562"/>
      <c r="JL441" s="562"/>
      <c r="JM441" s="562"/>
      <c r="JN441" s="562"/>
      <c r="JO441" s="562"/>
      <c r="JP441" s="562"/>
      <c r="JQ441" s="562"/>
      <c r="JR441" s="562"/>
      <c r="JS441" s="562"/>
      <c r="JT441" s="562"/>
      <c r="JU441" s="562"/>
      <c r="JV441" s="562"/>
      <c r="JW441" s="562"/>
      <c r="JX441" s="562"/>
      <c r="JY441" s="562"/>
      <c r="JZ441" s="562"/>
    </row>
    <row r="442" spans="1:286" ht="12.75" customHeight="1" x14ac:dyDescent="0.2">
      <c r="A442" s="1"/>
      <c r="B442" s="10" t="s">
        <v>111</v>
      </c>
      <c r="C442" s="79"/>
      <c r="D442" s="79"/>
      <c r="E442" s="318">
        <f>E434/E501*400</f>
        <v>-9.0717878372199356E-2</v>
      </c>
      <c r="F442" s="82"/>
      <c r="G442" s="318">
        <f>G434/G501*400</f>
        <v>-9.0484860204539566E-2</v>
      </c>
      <c r="H442" s="82"/>
      <c r="I442" s="318">
        <f>I434/I501*400</f>
        <v>-0.24210092934382907</v>
      </c>
      <c r="J442" s="82"/>
      <c r="K442" s="318">
        <f>K434/K501*400</f>
        <v>-0.98149978816551331</v>
      </c>
      <c r="L442" s="79"/>
      <c r="M442" s="318">
        <f>M434/M501*400</f>
        <v>-0.81148009848611358</v>
      </c>
      <c r="N442" s="79" t="str">
        <f t="shared" ref="N442:V443" si="1459">IF(ISERROR((M442/E442-1)*100),"NA",IF(((M442/E442-1)*100)&gt;100,"NM",IF(((M442/E442-1)*100)&lt;-50,"NM",(M442/E442-1)*100)))</f>
        <v>NM</v>
      </c>
      <c r="O442" s="318">
        <f>O434/O501*400</f>
        <v>-0.70663466987567425</v>
      </c>
      <c r="P442" s="79" t="str">
        <f t="shared" si="1459"/>
        <v>NM</v>
      </c>
      <c r="Q442" s="318">
        <f>Q434/Q501*400</f>
        <v>-0.54649486097302413</v>
      </c>
      <c r="R442" s="79" t="str">
        <f t="shared" si="1459"/>
        <v>NM</v>
      </c>
      <c r="S442" s="318">
        <f>S434/S501*400</f>
        <v>-0.6753980482794042</v>
      </c>
      <c r="T442" s="79">
        <f t="shared" si="1459"/>
        <v>-31.187142735734376</v>
      </c>
      <c r="U442" s="318">
        <f>U434/U501*400</f>
        <v>-0.70199582716509223</v>
      </c>
      <c r="V442" s="79">
        <f t="shared" si="1459"/>
        <v>-13.491923156867768</v>
      </c>
      <c r="W442" s="318">
        <f>W434/W501*400</f>
        <v>-0.19992719414317334</v>
      </c>
      <c r="X442" s="79" t="str">
        <f>IF(ISERROR((W442/O442-1)*100),"NA",IF(((W442/O442-1)*100)&gt;100,"NM",IF(((W442/O442-1)*100)&lt;-50,"NM",(W442/O442-1)*100)))</f>
        <v>NM</v>
      </c>
      <c r="Y442" s="318">
        <f>Y434/Y501*400</f>
        <v>-0.19064730537365426</v>
      </c>
      <c r="Z442" s="79" t="str">
        <f>IF(ISERROR((Y442/Q442-1)*100),"NA",IF(((Y442/Q442-1)*100)&gt;100,"NM",IF(((Y442/Q442-1)*100)&lt;-50,"NM",(Y442/Q442-1)*100)))</f>
        <v>NM</v>
      </c>
      <c r="AA442" s="322">
        <f>AA434/AA501*400</f>
        <v>-0.27292218006583241</v>
      </c>
      <c r="AB442" s="79" t="str">
        <f>IF(ISERROR((AA442/S442-1)*100),"NA",IF(((AA442/S442-1)*100)&gt;100,"NM",IF(((AA442/S442-1)*100)&lt;-50,"NM",(AA442/S442-1)*100)))</f>
        <v>NM</v>
      </c>
      <c r="AC442" s="318">
        <f>AC434/AC501*400</f>
        <v>0.17621290020713223</v>
      </c>
      <c r="AD442" s="79" t="str">
        <f>IF(ISERROR((AC442/U442-1)*100),"NA",IF(((AC442/U442-1)*100)&gt;100,"NM",IF(((AC442/U442-1)*100)&lt;-50,"NM",(AC442/U442-1)*100)))</f>
        <v>NM</v>
      </c>
      <c r="AE442" s="318">
        <f>AE434/AE501*400</f>
        <v>-0.65588966035123542</v>
      </c>
      <c r="AF442" s="79" t="str">
        <f>IF(ISERROR((AE442/W442-1)*100),"NA",IF(((AE442/W442-1)*100)&gt;100,"NM",IF(((AE442/W442-1)*100)&lt;-50,"NM",(AE442/W442-1)*100)))</f>
        <v>NM</v>
      </c>
      <c r="AG442" s="318">
        <f>AG434/AG501*400</f>
        <v>0.47283998099590496</v>
      </c>
      <c r="AH442" s="79" t="str">
        <f>IF(ISERROR((AG442/Y442-1)*100),"NA",IF(((AG442/Y442-1)*100)&gt;100,"NM",IF(((AG442/Y442-1)*100)&lt;-50,"NM",(AG442/Y442-1)*100)))</f>
        <v>NM</v>
      </c>
      <c r="AI442" s="318">
        <f>AI434/AI501*400</f>
        <v>0.18366828196361076</v>
      </c>
      <c r="AJ442" s="79" t="str">
        <f>IF(ISERROR((AI442/AA442-1)*100),"NA",IF(((AI442/AA442-1)*100)&gt;100,"NM",IF(((AI442/AA442-1)*100)&lt;-50,"NM",(AI442/AA442-1)*100)))</f>
        <v>NM</v>
      </c>
      <c r="AK442" s="318">
        <f>AK434/AK501*400</f>
        <v>-2.2967135123311642E-2</v>
      </c>
      <c r="AL442" s="79" t="str">
        <f>IF(ISERROR((AK442/AC442-1)*100),"NA",IF(((AK442/AC442-1)*100)&gt;100,"NM",IF(((AK442/AC442-1)*100)&lt;-50,"NM",(AK442/AC442-1)*100)))</f>
        <v>NM</v>
      </c>
      <c r="AM442" s="318">
        <f>AM434/AM501*400</f>
        <v>0.44794128394062149</v>
      </c>
      <c r="AN442" s="79" t="str">
        <f>IF(ISERROR((AM442/AE442-1)*100),"NA",IF(((AM442/AE442-1)*100)&gt;100,"NM",IF(((AM442/AE442-1)*100)&lt;-50,"NM",(AM442/AE442-1)*100)))</f>
        <v>NM</v>
      </c>
      <c r="AO442" s="318">
        <f>AO434/AO501*400</f>
        <v>-0.83442116555298496</v>
      </c>
      <c r="AP442" s="79" t="str">
        <f>IF(ISERROR((AO442/AG442-1)*100),"NA",IF(((AO442/AG442-1)*100)&gt;100,"NM",IF(((AO442/AG442-1)*100)&lt;-50,"NM",(AO442/AG442-1)*100)))</f>
        <v>NM</v>
      </c>
      <c r="AQ442" s="318">
        <f>AQ434/AQ501*400</f>
        <v>1.5245258089515074E-2</v>
      </c>
      <c r="AR442" s="79" t="str">
        <f>IF(ISERROR((AQ442/AI442-1)*100),"NA",IF(((AQ442/AI442-1)*100)&gt;100,"NM",IF(((AQ442/AI442-1)*100)&lt;-50,"NM",(AQ442/AI442-1)*100)))</f>
        <v>NM</v>
      </c>
      <c r="AS442" s="318">
        <f>AS434/AS501*400</f>
        <v>1.5825998422675489E-2</v>
      </c>
      <c r="AT442" s="81" t="str">
        <f>IF(ISERROR((AS442/AK442-1)*100),"NA",IF(((AS442/AK442-1)*100)&gt;100,"NM",IF(((AS442/AK442-1)*100)&lt;-50,"NM",(AS442/AK442-1)*100)))</f>
        <v>NM</v>
      </c>
      <c r="AU442" s="318">
        <f>AU434/AU501*400</f>
        <v>-3.808727805564445E-2</v>
      </c>
      <c r="AV442" s="81" t="str">
        <f>IF(ISERROR((AU442/AM442-1)*100),"NA",IF(((AU442/AM442-1)*100)&gt;100,"NM",IF(((AU442/AM442-1)*100)&lt;-50,"NM",(AU442/AM442-1)*100)))</f>
        <v>NM</v>
      </c>
      <c r="AW442" s="318">
        <f>AW434/AW501*400</f>
        <v>3.1344871953670257E-2</v>
      </c>
      <c r="AX442" s="81" t="str">
        <f>IF(ISERROR((AW442/AO442-1)*100),"NA",IF(((AW442/AO442-1)*100)&gt;100,"NM",IF(((AW442/AO442-1)*100)&lt;-50,"NM",(AW442/AO442-1)*100)))</f>
        <v>NM</v>
      </c>
      <c r="AY442" s="318">
        <f>AY434/AY501*400</f>
        <v>4.9796704952033317E-3</v>
      </c>
      <c r="AZ442" s="81" t="str">
        <f>IF(ISERROR((AY442/AQ442-1)*100),"NA",IF(((AY442/AQ442-1)*100)&gt;100,"NM",IF(((AY442/AQ442-1)*100)&lt;-50,"NM",(AY442/AQ442-1)*100)))</f>
        <v>NM</v>
      </c>
      <c r="BA442" s="318">
        <f>BA434/BA501*400</f>
        <v>-3.165644839380622E-2</v>
      </c>
      <c r="BB442" s="81" t="str">
        <f>IF(ISERROR((BA442/AS442-1)*100),"NA",IF(((BA442/AS442-1)*100)&gt;100,"NM",IF(((BA442/AS442-1)*100)&lt;-50,"NM",(BA442/AS442-1)*100)))</f>
        <v>NM</v>
      </c>
      <c r="BC442" s="318">
        <f>BC434/BC501*400</f>
        <v>6.4878514980698646E-2</v>
      </c>
      <c r="BD442" s="81" t="str">
        <f>IF(ISERROR((BC442/AU442-1)*100),"NA",IF(((BC442/AU442-1)*100)&gt;100,"NM",IF(((BC442/AU442-1)*100)&lt;-50,"NM",(BC442/AU442-1)*100)))</f>
        <v>NM</v>
      </c>
      <c r="BE442" s="318">
        <f>BE434/BE501*400</f>
        <v>-0.29303170603059253</v>
      </c>
      <c r="BF442" s="81" t="str">
        <f>IF(ISERROR((BE442/AW442-1)*100),"NA",IF(((BE442/AW442-1)*100)&gt;100,"NM",IF(((BE442/AW442-1)*100)&lt;-50,"NM",(BE442/AW442-1)*100)))</f>
        <v>NM</v>
      </c>
      <c r="BG442" s="318">
        <f>BG434/BG501*400</f>
        <v>-0.16116822544016018</v>
      </c>
      <c r="BH442" s="81" t="str">
        <f>IF(ISERROR((BG442/AY442-1)*100),"NA",IF(((BG442/AY442-1)*100)&gt;100,"NM",IF(((BG442/AY442-1)*100)&lt;-50,"NM",(BG442/AY442-1)*100)))</f>
        <v>NM</v>
      </c>
      <c r="BI442" s="318">
        <f>BI434/BI501*400</f>
        <v>-0.43987404054320023</v>
      </c>
      <c r="BJ442" s="81" t="str">
        <f>IF(ISERROR((BI442/BA442-1)*100),"NA",IF(((BI442/BA442-1)*100)&gt;100,"NM",IF(((BI442/BA442-1)*100)&lt;-50,"NM",(BI442/BA442-1)*100)))</f>
        <v>NM</v>
      </c>
      <c r="BK442" s="318">
        <f>BK434/BK501*400</f>
        <v>0.16939078751857356</v>
      </c>
      <c r="BL442" s="81" t="str">
        <f>IF(ISERROR((BK442/BC442-1)*100),"NA",IF(((BK442/BC442-1)*100)&gt;100,"NM",IF(((BK442/BC442-1)*100)&lt;-50,"NM",(BK442/BC442-1)*100)))</f>
        <v>NM</v>
      </c>
      <c r="BM442" s="318">
        <f>BM434/BM501*400</f>
        <v>-1.1383146358098732</v>
      </c>
      <c r="BN442" s="81" t="str">
        <f>IF(ISERROR((BM442/BE442-1)*100),"NA",IF(((BM442/BE442-1)*100)&gt;100,"NM",IF(((BM442/BE442-1)*100)&lt;-50,"NM",(BM442/BE442-1)*100)))</f>
        <v>NM</v>
      </c>
      <c r="BO442" s="318">
        <f>BO434/BO501*400</f>
        <v>-1.7704583807594696</v>
      </c>
      <c r="BP442" s="81" t="str">
        <f>IF(ISERROR((BO442/BG442-1)*100),"NA",IF(((BO442/BG442-1)*100)&gt;100,"NM",IF(((BO442/BG442-1)*100)&lt;-50,"NM",(BO442/BG442-1)*100)))</f>
        <v>NM</v>
      </c>
      <c r="BQ442" s="318">
        <f>BQ434/BQ501*400</f>
        <v>-0.44470095722412978</v>
      </c>
      <c r="BR442" s="81">
        <f>IF(ISERROR((BQ442/BI442-1)*100),"NA",IF(((BQ442/BI442-1)*100)&gt;100,"NM",IF(((BQ442/BI442-1)*100)&lt;-50,"NM",(BQ442/BI442-1)*100)))</f>
        <v>1.0973406557406307</v>
      </c>
      <c r="BS442" s="318">
        <f>BS434/BS501*400</f>
        <v>0.51300733081487315</v>
      </c>
      <c r="BT442" s="81" t="str">
        <f>IF(ISERROR((BS442/BK442-1)*100),"NA",IF(((BS442/BK442-1)*100)&gt;100,"NM",IF(((BS442/BK442-1)*100)&lt;-50,"NM",(BS442/BK442-1)*100)))</f>
        <v>NM</v>
      </c>
      <c r="BU442" s="318">
        <f>BU434/BU501*400</f>
        <v>8.8132700014843399E-2</v>
      </c>
      <c r="BV442" s="81" t="str">
        <f>IF(ISERROR((BU442/BM442-1)*100),"NA",IF(((BU442/BM442-1)*100)&gt;100,"NM",IF(((BU442/BM442-1)*100)&lt;-50,"NM",(BU442/BM442-1)*100)))</f>
        <v>NM</v>
      </c>
      <c r="BW442" s="318">
        <f>BW434/BW501*400</f>
        <v>-0.17461439321498357</v>
      </c>
      <c r="BX442" s="81" t="str">
        <f>IF(ISERROR((BW442/BO442-1)*100),"NA",IF(((BW442/BO442-1)*100)&gt;100,"NM",IF(((BW442/BO442-1)*100)&lt;-50,"NM",(BW442/BO442-1)*100)))</f>
        <v>NM</v>
      </c>
      <c r="BY442" s="318">
        <f>BY434/BY501*400</f>
        <v>-9.1099986790501908E-2</v>
      </c>
      <c r="BZ442" s="81" t="str">
        <f>IF(ISERROR((BY442/BQ442-1)*100),"NA",IF(((BY442/BQ442-1)*100)&gt;100,"NM",IF(((BY442/BQ442-1)*100)&lt;-50,"NM",(BY442/BQ442-1)*100)))</f>
        <v>NM</v>
      </c>
      <c r="CA442" s="318">
        <f>CA434/CA501*400</f>
        <v>-0.33125199599149846</v>
      </c>
      <c r="CB442" s="81" t="str">
        <f>IF(ISERROR((CA442/BS442-1)*100),"NA",IF(((CA442/BS442-1)*100)&gt;100,"NM",IF(((CA442/BS442-1)*100)&lt;-50,"NM",(CA442/BS442-1)*100)))</f>
        <v>NM</v>
      </c>
      <c r="CC442" s="318">
        <f>CC434/CC501*400</f>
        <v>-5.7835445584389467E-2</v>
      </c>
      <c r="CD442" s="81" t="str">
        <f>IF(ISERROR((CC442/BU442-1)*100),"NA",IF(((CC442/BU442-1)*100)&gt;100,"NM",IF(((CC442/BU442-1)*100)&lt;-50,"NM",(CC442/BU442-1)*100)))</f>
        <v>NM</v>
      </c>
      <c r="CE442" s="318">
        <f>CE434/CE501*400</f>
        <v>0.16781680287364648</v>
      </c>
      <c r="CF442" s="81" t="str">
        <f>IF(ISERROR((CE442/BW442-1)*100),"NA",IF(((CE442/BW442-1)*100)&gt;100,"NM",IF(((CE442/BW442-1)*100)&lt;-50,"NM",(CE442/BW442-1)*100)))</f>
        <v>NM</v>
      </c>
      <c r="CG442" s="318">
        <f>CG434/CG501*400</f>
        <v>6.2621764542165323E-2</v>
      </c>
      <c r="CH442" s="81" t="str">
        <f>IF(ISERROR((CG442/BY442-1)*100),"NA",IF(((CG442/BY442-1)*100)&gt;100,"NM",IF(((CG442/BY442-1)*100)&lt;-50,"NM",(CG442/BY442-1)*100)))</f>
        <v>NM</v>
      </c>
      <c r="CI442" s="318">
        <f>CI434/CI501*400</f>
        <v>-9.9153773826822805E-2</v>
      </c>
      <c r="CJ442" s="81" t="str">
        <f>IF(ISERROR((CI442/CA442-1)*100),"NA",IF(((CI442/CA442-1)*100)&gt;100,"NM",IF(((CI442/CA442-1)*100)&lt;-50,"NM",(CI442/CA442-1)*100)))</f>
        <v>NM</v>
      </c>
      <c r="CK442" s="318">
        <f>CK434/CK501*400</f>
        <v>-0.26167005374899771</v>
      </c>
      <c r="CL442" s="81" t="str">
        <f>IF(ISERROR((CK442/CC442-1)*100),"NA",IF(((CK442/CC442-1)*100)&gt;100,"NM",IF(((CK442/CC442-1)*100)&lt;-50,"NM",(CK442/CC442-1)*100)))</f>
        <v>NM</v>
      </c>
      <c r="CM442" s="318">
        <f>CM434/CM501*400</f>
        <v>-4.0639585801341511E-3</v>
      </c>
      <c r="CN442" s="81" t="str">
        <f>IF(ISERROR((CM442/CE442-1)*100),"NA",IF(((CM442/CE442-1)*100)&gt;100,"NM",IF(((CM442/CE442-1)*100)&lt;-50,"NM",(CM442/CE442-1)*100)))</f>
        <v>NM</v>
      </c>
      <c r="CO442" s="318">
        <f>CO434/CO501*400</f>
        <v>6.5103107045783818E-3</v>
      </c>
      <c r="CP442" s="81" t="str">
        <f>IF(ISERROR((CO442/CG442-1)*100),"NA",IF(((CO442/CG442-1)*100)&gt;100,"NM",IF(((CO442/CG442-1)*100)&lt;-50,"NM",(CO442/CG442-1)*100)))</f>
        <v>NM</v>
      </c>
      <c r="CQ442" s="318">
        <f>CQ434/CQ501*400</f>
        <v>-0.10891579100093214</v>
      </c>
      <c r="CR442" s="81">
        <f>IF(ISERROR((CQ442/CI442-1)*100),"NA",IF(((CQ442/CI442-1)*100)&gt;100,"NM",IF(((CQ442/CI442-1)*100)&lt;-50,"NM",(CQ442/CI442-1)*100)))</f>
        <v>9.8453309413711221</v>
      </c>
      <c r="CS442" s="318">
        <f>CS434/CS501*400</f>
        <v>7.4949775923350351E-2</v>
      </c>
      <c r="CT442" s="81" t="str">
        <f>IF(ISERROR((CS442/CK442-1)*100),"NA",IF(((CS442/CK442-1)*100)&gt;100,"NM",IF(((CS442/CK442-1)*100)&lt;-50,"NM",(CS442/CK442-1)*100)))</f>
        <v>NM</v>
      </c>
      <c r="CU442" s="318">
        <f>CU434/CU501*400</f>
        <v>6.858710562414265E-2</v>
      </c>
      <c r="CV442" s="81" t="str">
        <f>IF(ISERROR((CU442/CM442-1)*100),"NA",IF(((CU442/CM442-1)*100)&gt;100,"NM",IF(((CU442/CM442-1)*100)&lt;-50,"NM",(CU442/CM442-1)*100)))</f>
        <v>NM</v>
      </c>
      <c r="CW442" s="318">
        <f>CW434/CW501*400</f>
        <v>-2.3482630680839733E-2</v>
      </c>
      <c r="CX442" s="81" t="str">
        <f>IF(ISERROR((CW442/CO442-1)*100),"NA",IF(((CW442/CO442-1)*100)&gt;100,"NM",IF(((CW442/CO442-1)*100)&lt;-50,"NM",(CW442/CO442-1)*100)))</f>
        <v>NM</v>
      </c>
      <c r="CY442" s="318">
        <f>CY434/CY501*400</f>
        <v>8.1809628993332229E-4</v>
      </c>
      <c r="CZ442" s="81" t="str">
        <f>IF(ISERROR((CY442/CQ442-1)*100),"NA",IF(((CY442/CQ442-1)*100)&gt;100,"NM",IF(((CY442/CQ442-1)*100)&lt;-50,"NM",(CY442/CQ442-1)*100)))</f>
        <v>NM</v>
      </c>
      <c r="DA442" s="318">
        <f>DA434/DA501*400</f>
        <v>-0.15390346832458976</v>
      </c>
      <c r="DB442" s="81" t="str">
        <f>IF(ISERROR((DA442/CS442-1)*100),"NA",IF(((DA442/CS442-1)*100)&gt;100,"NM",IF(((DA442/CS442-1)*100)&lt;-50,"NM",(DA442/CS442-1)*100)))</f>
        <v>NM</v>
      </c>
      <c r="DC442" s="318">
        <f>DC434/DC501*400</f>
        <v>3.5184329063483163E-2</v>
      </c>
      <c r="DD442" s="81">
        <f>IF(ISERROR((DC442/CU442-1)*100),"NA",IF(((DC442/CU442-1)*100)&gt;100,"NM",IF(((DC442/CU442-1)*100)&lt;-50,"NM",(DC442/CU442-1)*100)))</f>
        <v>-48.701248225441539</v>
      </c>
      <c r="DE442" s="318">
        <f>DE434/DE501*400</f>
        <v>2.533003251347142E-2</v>
      </c>
      <c r="DF442" s="81" t="str">
        <f>IF(ISERROR((DE442/CW442-1)*100),"NA",IF(((DE442/CW442-1)*100)&gt;100,"NM",IF(((DE442/CW442-1)*100)&lt;-50,"NM",(DE442/CW442-1)*100)))</f>
        <v>NM</v>
      </c>
      <c r="DG442" s="318">
        <f>DG434/DG501*400</f>
        <v>0.14040558597030151</v>
      </c>
      <c r="DH442" s="81" t="str">
        <f>IF(ISERROR((DG442/CY442-1)*100),"NA",IF(((DG442/CY442-1)*100)&gt;100,"NM",IF(((DG442/CY442-1)*100)&lt;-50,"NM",(DG442/CY442-1)*100)))</f>
        <v>NM</v>
      </c>
      <c r="DI442" s="318">
        <f>DI434/DI501*400</f>
        <v>0</v>
      </c>
      <c r="DJ442" s="81" t="str">
        <f>IF(ISERROR((DI442/DA442-1)*100),"NA",IF(((DI442/DA442-1)*100)&gt;100,"NM",IF(((DI442/DA442-1)*100)&lt;-50,"NM",(DI442/DA442-1)*100)))</f>
        <v>NM</v>
      </c>
      <c r="DK442" s="318">
        <f>DK434/DK501*400</f>
        <v>-0.41045540452273926</v>
      </c>
      <c r="DL442" s="81" t="str">
        <f>IF(ISERROR((DK442/DC442-1)*100),"NA",IF(((DK442/DC442-1)*100)&gt;100,"NM",IF(((DK442/DC442-1)*100)&lt;-50,"NM",(DK442/DC442-1)*100)))</f>
        <v>NM</v>
      </c>
      <c r="DM442" s="318">
        <f>DM434/DM501*400</f>
        <v>-7.6420173397373434E-2</v>
      </c>
      <c r="DN442" s="81" t="str">
        <f>IF(ISERROR((DM442/DE442-1)*100),"NA",IF(((DM442/DE442-1)*100)&gt;100,"NM",IF(((DM442/DE442-1)*100)&lt;-50,"NM",(DM442/DE442-1)*100)))</f>
        <v>NM</v>
      </c>
      <c r="DO442" s="318">
        <f>DO434/DO501*400</f>
        <v>2.900646961866292E-2</v>
      </c>
      <c r="DP442" s="81" t="str">
        <f>IF(ISERROR((DO442/DG442-1)*100),"NA",IF(((DO442/DG442-1)*100)&gt;100,"NM",IF(((DO442/DG442-1)*100)&lt;-50,"NM",(DO442/DG442-1)*100)))</f>
        <v>NM</v>
      </c>
      <c r="DQ442" s="318">
        <f>DQ434/DQ501*400</f>
        <v>-0.13589491317061295</v>
      </c>
      <c r="DR442" s="81" t="str">
        <f>IF(ISERROR((DQ442/DI442-1)*100),"NA",IF(((DQ442/DI442-1)*100)&gt;100,"NM",IF(((DQ442/DI442-1)*100)&lt;-50,"NM",(DQ442/DI442-1)*100)))</f>
        <v>NA</v>
      </c>
      <c r="DS442" s="318">
        <f>DS434/DS501*400</f>
        <v>-1.9990524491391083E-2</v>
      </c>
      <c r="DT442" s="81" t="str">
        <f>IF(ISERROR((DS442/DK442-1)*100),"NA",IF(((DS442/DK442-1)*100)&gt;100,"NM",IF(((DS442/DK442-1)*100)&lt;-50,"NM",(DS442/DK442-1)*100)))</f>
        <v>NM</v>
      </c>
      <c r="DU442" s="318">
        <f>DU434/DU501*400</f>
        <v>-0.10616726418279504</v>
      </c>
      <c r="DV442" s="81">
        <f>IF(ISERROR((DU442/DM442-1)*100),"NA",IF(((DU442/DM442-1)*100)&gt;100,"NM",IF(((DU442/DM442-1)*100)&lt;-50,"NM",(DU442/DM442-1)*100)))</f>
        <v>38.925704382717363</v>
      </c>
      <c r="DW442" s="318">
        <f>DW434/DW501*400</f>
        <v>2.8617690251157884E-2</v>
      </c>
      <c r="DX442" s="81">
        <f>IF(ISERROR((DW442/DO442-1)*100),"NA",IF(((DW442/DO442-1)*100)&gt;100,"NM",IF(((DW442/DO442-1)*100)&lt;-50,"NM",(DW442/DO442-1)*100)))</f>
        <v>-1.3403194963612308</v>
      </c>
      <c r="DY442" s="318">
        <f>DY434/DY501*400</f>
        <v>5.4981679050097342E-2</v>
      </c>
      <c r="DZ442" s="81" t="str">
        <f>IF(ISERROR((DY442/DQ442-1)*100),"NA",IF(((DY442/DQ442-1)*100)&gt;100,"NM",IF(((DY442/DQ442-1)*100)&lt;-50,"NM",(DY442/DQ442-1)*100)))</f>
        <v>NM</v>
      </c>
      <c r="EA442" s="318">
        <f>EA434/EA501*400</f>
        <v>0.14316196272703982</v>
      </c>
      <c r="EB442" s="81" t="str">
        <f>IF(ISERROR((EA442/DS442-1)*100),"NA",IF(((EA442/DS442-1)*100)&gt;100,"NM",IF(((EA442/DS442-1)*100)&lt;-50,"NM",(EA442/DS442-1)*100)))</f>
        <v>NM</v>
      </c>
      <c r="EC442" s="318">
        <f>EC434/EC501*400</f>
        <v>5.58608289514263E-2</v>
      </c>
      <c r="ED442" s="81" t="str">
        <f t="shared" ref="ED442:ED443" si="1460">IF(ISERROR((EC442/DU442-1)*100),"NA",IF(((EC442/DU442-1)*100)&gt;100,"NM",IF(((EC442/DU442-1)*100)&lt;-50,"NM",(EC442/DU442-1)*100)))</f>
        <v>NM</v>
      </c>
      <c r="EE442" s="318">
        <f>EE434/EE501*400</f>
        <v>3.5883546439607804E-2</v>
      </c>
      <c r="EF442" s="81">
        <f t="shared" ref="EF442:EF443" si="1461">IF(ISERROR((EE442/DW442-1)*100),"NA",IF(((EE442/DW442-1)*100)&gt;100,"NM",IF(((EE442/DW442-1)*100)&lt;-50,"NM",(EE442/DW442-1)*100)))</f>
        <v>25.389387210087435</v>
      </c>
      <c r="EG442" s="318">
        <f>EG434/EG501*400</f>
        <v>4.6937338652898383E-2</v>
      </c>
      <c r="EH442" s="81">
        <f t="shared" ref="EH442:EH443" si="1462">IF(ISERROR((EG442/DY442-1)*100),"NA",IF(((EG442/DY442-1)*100)&gt;100,"NM",IF(((EG442/DY442-1)*100)&lt;-50,"NM",(EG442/DY442-1)*100)))</f>
        <v>-14.630947137626048</v>
      </c>
      <c r="EI442" s="318">
        <f>EI434/EI501*400</f>
        <v>5.4294547922479446E-2</v>
      </c>
      <c r="EJ442" s="81" t="str">
        <f t="shared" ref="EJ442:EJ443" si="1463">IF(ISERROR((EI442/EA442-1)*100),"NA",IF(((EI442/EA442-1)*100)&gt;100,"NM",IF(((EI442/EA442-1)*100)&lt;-50,"NM",(EI442/EA442-1)*100)))</f>
        <v>NM</v>
      </c>
      <c r="EK442" s="323">
        <f t="shared" ref="EK442" si="1464">+EI442</f>
        <v>5.4294547922479446E-2</v>
      </c>
      <c r="EL442" s="81">
        <f t="shared" ref="EL442:EL443" si="1465">IF(ISERROR((EK442/EC442-1)*100),"NA",IF(((EK442/EC442-1)*100)&gt;100,"NM",IF(((EK442/EC442-1)*100)&lt;-50,"NM",(EK442/EC442-1)*100)))</f>
        <v>-2.8038986501772278</v>
      </c>
      <c r="EM442" s="323">
        <f t="shared" ref="EM442" si="1466">+EK442</f>
        <v>5.4294547922479446E-2</v>
      </c>
      <c r="EN442" s="81">
        <f t="shared" ref="EN442:EN443" si="1467">IF(ISERROR((EM442/EE442-1)*100),"NA",IF(((EM442/EE442-1)*100)&gt;100,"NM",IF(((EM442/EE442-1)*100)&lt;-50,"NM",(EM442/EE442-1)*100)))</f>
        <v>51.307641829264149</v>
      </c>
      <c r="EO442" s="323">
        <f t="shared" ref="EO442" si="1468">+EM442</f>
        <v>5.4294547922479446E-2</v>
      </c>
      <c r="EP442" s="81">
        <f t="shared" ref="EP442:EP443" si="1469">IF(ISERROR((EO442/EG442-1)*100),"NA",IF(((EO442/EG442-1)*100)&gt;100,"NM",IF(((EO442/EG442-1)*100)&lt;-50,"NM",(EO442/EG442-1)*100)))</f>
        <v>15.67453434884245</v>
      </c>
      <c r="EQ442" s="323">
        <f t="shared" ref="EQ442" si="1470">+EO442</f>
        <v>5.4294547922479446E-2</v>
      </c>
      <c r="ER442" s="81">
        <f t="shared" ref="ER442:ER443" si="1471">IF(ISERROR((EQ442/EI442-1)*100),"NA",IF(((EQ442/EI442-1)*100)&gt;100,"NM",IF(((EQ442/EI442-1)*100)&lt;-50,"NM",(EQ442/EI442-1)*100)))</f>
        <v>0</v>
      </c>
      <c r="ES442" s="324"/>
      <c r="ET442" s="480"/>
      <c r="EU442" s="324"/>
      <c r="EV442" s="324">
        <f>EV434/EV501*100</f>
        <v>0</v>
      </c>
      <c r="EW442" s="274"/>
      <c r="EX442" s="324">
        <f>EX434/EX501*100</f>
        <v>0</v>
      </c>
      <c r="EY442" s="274"/>
      <c r="EZ442" s="324">
        <f>EZ434/EZ501*100</f>
        <v>0</v>
      </c>
      <c r="FA442" s="274"/>
      <c r="FB442" s="325">
        <f>FB434/FB501*100</f>
        <v>-0.77178364637763031</v>
      </c>
      <c r="FC442" s="274" t="str">
        <f>IF(ISERROR((FB442/EZ442-1)*100),"NA",IF(((FB442/EZ442-1)*100)&gt;100,"NM",IF(((FB442/EZ442-1)*100)&lt;-50,"NM",(FB442/EZ442-1)*100)))</f>
        <v>NA</v>
      </c>
      <c r="FD442" s="325">
        <f>FD434/FD501*100</f>
        <v>-0.64747046738572156</v>
      </c>
      <c r="FE442" s="274">
        <f>IF(ISERROR((FD442/FB442-1)*100),"NA",IF(((FD442/FB442-1)*100)&gt;100,"NM",IF(((FD442/FB442-1)*100)&lt;-50,"NM",(FD442/FB442-1)*100)))</f>
        <v>-16.10725746462408</v>
      </c>
      <c r="FF442" s="325">
        <f>FF434/FF501*100</f>
        <v>-0.32345275106128474</v>
      </c>
      <c r="FG442" s="274" t="str">
        <f>IF(ISERROR((FF442/FD442-1)*100),"NA",IF(((FF442/FD442-1)*100)&gt;100,"NM",IF(((FF442/FD442-1)*100)&lt;-50,"NM",(FF442/FD442-1)*100)))</f>
        <v>NM</v>
      </c>
      <c r="FH442" s="325">
        <f>FH434/FH501*100</f>
        <v>5.1383388406486319E-2</v>
      </c>
      <c r="FI442" s="274" t="str">
        <f>IF(ISERROR((FH442/FF442-1)*100),"NA",IF(((FH442/FF442-1)*100)&gt;100,"NM",IF(((FH442/FF442-1)*100)&lt;-50,"NM",(FH442/FF442-1)*100)))</f>
        <v>NM</v>
      </c>
      <c r="FJ442" s="325">
        <f>FJ434/FJ501*100</f>
        <v>-9.8331914677372234E-2</v>
      </c>
      <c r="FK442" s="274" t="str">
        <f>IF(ISERROR((FJ442/FH442-1)*100),"NA",IF(((FJ442/FH442-1)*100)&gt;100,"NM",IF(((FJ442/FH442-1)*100)&lt;-50,"NM",(FJ442/FH442-1)*100)))</f>
        <v>NM</v>
      </c>
      <c r="FL442" s="318">
        <f>FL434/FL501*100</f>
        <v>3.7347528714024988E-3</v>
      </c>
      <c r="FM442" s="274" t="str">
        <f>IF(ISERROR((FL442/FJ442-1)*100),"NA",IF(((FL442/FJ442-1)*100)&gt;100,"NM",IF(((FL442/FJ442-1)*100)&lt;-50,"NM",(FL442/FJ442-1)*100)))</f>
        <v>NM</v>
      </c>
      <c r="FN442" s="318">
        <f>FN434/FN501*100</f>
        <v>-0.10549192937901394</v>
      </c>
      <c r="FO442" s="274" t="str">
        <f>IF(ISERROR((FN442/FL442-1)*100),"NA",IF(((FN442/FL442-1)*100)&gt;100,"NM",IF(((FN442/FL442-1)*100)&lt;-50,"NM",(FN442/FL442-1)*100)))</f>
        <v>NM</v>
      </c>
      <c r="FP442" s="318">
        <f>FP434/FP501*100</f>
        <v>-0.80309724580691333</v>
      </c>
      <c r="FQ442" s="274" t="str">
        <f>IF(ISERROR((FP442/FN442-1)*100),"NA",IF(((FP442/FN442-1)*100)&gt;100,"NM",IF(((FP442/FN442-1)*100)&lt;-50,"NM",(FP442/FN442-1)*100)))</f>
        <v>NM</v>
      </c>
      <c r="FR442" s="318">
        <f>FR434/FR501*100</f>
        <v>-7.3448911431699446E-2</v>
      </c>
      <c r="FS442" s="274" t="str">
        <f>IF(ISERROR((FR442/FP442-1)*100),"NA",IF(((FR442/FP442-1)*100)&gt;100,"NM",IF(((FR442/FP442-1)*100)&lt;-50,"NM",(FR442/FP442-1)*100)))</f>
        <v>NM</v>
      </c>
      <c r="FT442" s="318">
        <f>FT434/FT501*100</f>
        <v>-7.5906827073002475E-2</v>
      </c>
      <c r="FU442" s="274">
        <f>IF(ISERROR((FT442/FR442-1)*100),"NA",IF(((FT442/FR442-1)*100)&gt;100,"NM",IF(((FT442/FR442-1)*100)&lt;-50,"NM",(FT442/FR442-1)*100)))</f>
        <v>3.3464289577506579</v>
      </c>
      <c r="FV442" s="318">
        <f>FV434/FV501*100</f>
        <v>-7.4776837874468385E-2</v>
      </c>
      <c r="FW442" s="274">
        <f>IF(ISERROR((FV442/FT442-1)*100),"NA",IF(((FV442/FT442-1)*100)&gt;100,"NM",IF(((FV442/FT442-1)*100)&lt;-50,"NM",(FV442/FT442-1)*100)))</f>
        <v>-1.4886529210967225</v>
      </c>
      <c r="FX442" s="318">
        <f>FX434/FX501*100</f>
        <v>7.1477011759991368E-2</v>
      </c>
      <c r="FY442" s="274" t="str">
        <f>IF(ISERROR((FX442/FV442-1)*100),"NA",IF(((FX442/FV442-1)*100)&gt;100,"NM",IF(((FX442/FV442-1)*100)&lt;-50,"NM",(FX442/FV442-1)*100)))</f>
        <v>NM</v>
      </c>
      <c r="FZ442" s="318">
        <f>FZ434/FZ501*100</f>
        <v>-3.5798009221567166E-2</v>
      </c>
      <c r="GA442" s="274" t="str">
        <f>IF(ISERROR((FZ442/FX442-1)*100),"NA",IF(((FZ442/FX442-1)*100)&gt;100,"NM",IF(((FZ442/FX442-1)*100)&lt;-50,"NM",(FZ442/FX442-1)*100)))</f>
        <v>NM</v>
      </c>
      <c r="GB442" s="318">
        <f>GB434/GB501*100</f>
        <v>-6.1452362824025927E-2</v>
      </c>
      <c r="GC442" s="274">
        <f>IF(ISERROR((GB442/FZ442-1)*100),"NA",IF(((GB442/FZ442-1)*100)&gt;100,"NM",IF(((GB442/FZ442-1)*100)&lt;-50,"NM",(GB442/FZ442-1)*100)))</f>
        <v>71.664190719865033</v>
      </c>
      <c r="GD442" s="318">
        <f>GD434/GD501*100</f>
        <v>-5.2175268922530722E-2</v>
      </c>
      <c r="GE442" s="274">
        <f>IF(ISERROR((GD442/GB442-1)*100),"NA",IF(((GD442/GB442-1)*100)&gt;100,"NM",IF(((GD442/GB442-1)*100)&lt;-50,"NM",(GD442/GB442-1)*100)))</f>
        <v>-15.096399023843809</v>
      </c>
      <c r="GF442" s="318">
        <f>GF434/GF501*100</f>
        <v>3.0901079386437557E-2</v>
      </c>
      <c r="GG442" s="274" t="str">
        <f>IF(ISERROR((GF442/GD442-1)*100),"NA",IF(((GF442/GD442-1)*100)&gt;100,"NM",IF(((GF442/GD442-1)*100)&lt;-50,"NM",(GF442/GD442-1)*100)))</f>
        <v>NM</v>
      </c>
      <c r="GH442" s="318">
        <f>GH434/GH501*100</f>
        <v>4.769625216801146E-2</v>
      </c>
      <c r="GI442" s="274">
        <f>IF(ISERROR((GH442/GF442-1)*100),"NA",IF(((GH442/GF442-1)*100)&gt;100,"NM",IF(((GH442/GF442-1)*100)&lt;-50,"NM",(GH442/GF442-1)*100)))</f>
        <v>54.35141139097324</v>
      </c>
      <c r="GJ442" s="318">
        <f>GJ434/GJ501*100</f>
        <v>-5.0393792623819975E-2</v>
      </c>
      <c r="GK442" s="274" t="str">
        <f>IF(ISERROR((GJ442/GH442-1)*100),"NA",IF(((GJ442/GH442-1)*100)&gt;100,"NM",IF(((GJ442/GH442-1)*100)&lt;-50,"NM",(GJ442/GH442-1)*100)))</f>
        <v>NM</v>
      </c>
      <c r="GL442" s="323">
        <v>-0.05</v>
      </c>
      <c r="GM442" s="274">
        <f>IF(ISERROR((GL442/GJ442-1)*100),"NA",IF(((GL442/GJ442-1)*100)&gt;100,"NM",IF(((GL442/GJ442-1)*100)&lt;-50,"NM",(GL442/GJ442-1)*100)))</f>
        <v>-0.7814308138297088</v>
      </c>
      <c r="GN442" s="323">
        <v>-0.05</v>
      </c>
      <c r="GO442" s="274">
        <f>IF(ISERROR((GN442/GL442-1)*100),"NA",IF(((GN442/GL442-1)*100)&gt;100,"NM",IF(((GN442/GL442-1)*100)&lt;-50,"NM",(GN442/GL442-1)*100)))</f>
        <v>0</v>
      </c>
      <c r="GP442" s="323">
        <v>-0.05</v>
      </c>
      <c r="GQ442" s="274">
        <f>IF(ISERROR((GP442/GN442-1)*100),"NA",IF(((GP442/GN442-1)*100)&gt;100,"NM",IF(((GP442/GN442-1)*100)&lt;-50,"NM",(GP442/GN442-1)*100)))</f>
        <v>0</v>
      </c>
      <c r="GR442" s="323">
        <v>-0.05</v>
      </c>
      <c r="GS442" s="274">
        <f>IF(ISERROR((GR442/GP442-1)*100),"NA",IF(((GR442/GP442-1)*100)&gt;100,"NM",IF(((GR442/GP442-1)*100)&lt;-50,"NM",(GR442/GP442-1)*100)))</f>
        <v>0</v>
      </c>
      <c r="GT442" s="79" t="str">
        <f>IF(ISERROR(((GR442/GH442)^0.2-1)*100),"NA",(IF(OR(((GR442/GH442)^0.2-1)*100&gt;99,((GR442/GH442)^0.2-1)*100&lt;-50),"NM",(((GR442/GH442)^0.2-1)*100))))</f>
        <v>NM</v>
      </c>
    </row>
    <row r="443" spans="1:286" ht="12.75" customHeight="1" x14ac:dyDescent="0.2">
      <c r="A443" s="1"/>
      <c r="B443" s="10" t="s">
        <v>446</v>
      </c>
      <c r="C443" s="79"/>
      <c r="D443" s="79"/>
      <c r="E443" s="318">
        <f>E434/E416*100</f>
        <v>-3.391684901531729</v>
      </c>
      <c r="F443" s="82"/>
      <c r="G443" s="318">
        <f>G434/G416*100</f>
        <v>-4.237867395762132</v>
      </c>
      <c r="H443" s="82"/>
      <c r="I443" s="318">
        <f>I434/I416*100</f>
        <v>-15.779816513761466</v>
      </c>
      <c r="J443" s="82"/>
      <c r="K443" s="318">
        <f>K434/K416*100</f>
        <v>-46.95945945945946</v>
      </c>
      <c r="L443" s="79"/>
      <c r="M443" s="318">
        <f>M434/M416*100</f>
        <v>-38.843537414965986</v>
      </c>
      <c r="N443" s="79" t="str">
        <f t="shared" si="1459"/>
        <v>NM</v>
      </c>
      <c r="O443" s="318">
        <f>O434/O416*100</f>
        <v>-33.734134936539746</v>
      </c>
      <c r="P443" s="79" t="str">
        <f t="shared" si="1459"/>
        <v>NM</v>
      </c>
      <c r="Q443" s="318">
        <f>Q434/Q416*100</f>
        <v>-27.556440903054451</v>
      </c>
      <c r="R443" s="79">
        <f t="shared" si="1459"/>
        <v>74.630933629821826</v>
      </c>
      <c r="S443" s="318">
        <f>S434/S416*100</f>
        <v>-34.76536682088566</v>
      </c>
      <c r="T443" s="79">
        <f t="shared" si="1459"/>
        <v>-25.967276410200324</v>
      </c>
      <c r="U443" s="318">
        <f>U434/U416*100</f>
        <v>28.74870734229567</v>
      </c>
      <c r="V443" s="79" t="str">
        <f t="shared" si="1459"/>
        <v>NM</v>
      </c>
      <c r="W443" s="318">
        <f>W434/W416*100</f>
        <v>-15.52962298025135</v>
      </c>
      <c r="X443" s="79" t="str">
        <f>IF(ISERROR((W443/O443-1)*100),"NA",IF(((W443/O443-1)*100)&gt;100,"NM",IF(((W443/O443-1)*100)&lt;-50,"NM",(W443/O443-1)*100)))</f>
        <v>NM</v>
      </c>
      <c r="Y443" s="318">
        <f>Y434/Y416*100</f>
        <v>-14.372822299651533</v>
      </c>
      <c r="Z443" s="79">
        <f>IF(ISERROR((Y443/Q443-1)*100),"NA",IF(((Y443/Q443-1)*100)&gt;100,"NM",IF(((Y443/Q443-1)*100)&lt;-50,"NM",(Y443/Q443-1)*100)))</f>
        <v>-47.842240040300709</v>
      </c>
      <c r="AA443" s="322">
        <f>AA434/AA416*100</f>
        <v>12.982074959261277</v>
      </c>
      <c r="AB443" s="79" t="str">
        <f>IF(ISERROR((AA443/S443-1)*100),"NA",IF(((AA443/S443-1)*100)&gt;100,"NM",IF(((AA443/S443-1)*100)&lt;-50,"NM",(AA443/S443-1)*100)))</f>
        <v>NM</v>
      </c>
      <c r="AC443" s="318">
        <f>AC434/AC416*100</f>
        <v>-2.7507261233555442</v>
      </c>
      <c r="AD443" s="79" t="str">
        <f>IF(ISERROR((AC443/U443-1)*100),"NA",IF(((AC443/U443-1)*100)&gt;100,"NM",IF(((AC443/U443-1)*100)&lt;-50,"NM",(AC443/U443-1)*100)))</f>
        <v>NM</v>
      </c>
      <c r="AE443" s="318">
        <f>AE434/AE416*100</f>
        <v>-42.704354469060284</v>
      </c>
      <c r="AF443" s="79" t="str">
        <f>IF(ISERROR((AE443/W443-1)*100),"NA",IF(((AE443/W443-1)*100)&gt;100,"NM",IF(((AE443/W443-1)*100)&lt;-50,"NM",(AE443/W443-1)*100)))</f>
        <v>NM</v>
      </c>
      <c r="AG443" s="318">
        <f>AG434/AG416*100</f>
        <v>33.061773313295902</v>
      </c>
      <c r="AH443" s="79" t="str">
        <f>IF(ISERROR((AG443/Y443-1)*100),"NA",IF(((AG443/Y443-1)*100)&gt;100,"NM",IF(((AG443/Y443-1)*100)&lt;-50,"NM",(AG443/Y443-1)*100)))</f>
        <v>NM</v>
      </c>
      <c r="AI443" s="318">
        <f>AI434/AI416*100</f>
        <v>14.350388656359428</v>
      </c>
      <c r="AJ443" s="79">
        <f>IF(ISERROR((AI443/AA443-1)*100),"NA",IF(((AI443/AA443-1)*100)&gt;100,"NM",IF(((AI443/AA443-1)*100)&lt;-50,"NM",(AI443/AA443-1)*100)))</f>
        <v>10.540023080994532</v>
      </c>
      <c r="AK443" s="318">
        <f>AK434/AK416*100</f>
        <v>-1.3609850939727761</v>
      </c>
      <c r="AL443" s="79" t="str">
        <f>IF(ISERROR((AK443/AC443-1)*100),"NA",IF(((AK443/AC443-1)*100)&gt;100,"NM",IF(((AK443/AC443-1)*100)&lt;-50,"NM",(AK443/AC443-1)*100)))</f>
        <v>NM</v>
      </c>
      <c r="AM443" s="318">
        <f>AM434/AM416*100</f>
        <v>33.100233100233169</v>
      </c>
      <c r="AN443" s="79" t="str">
        <f>IF(ISERROR((AM443/AE443-1)*100),"NA",IF(((AM443/AE443-1)*100)&gt;100,"NM",IF(((AM443/AE443-1)*100)&lt;-50,"NM",(AM443/AE443-1)*100)))</f>
        <v>NM</v>
      </c>
      <c r="AO443" s="318">
        <f>AO434/AO416*100</f>
        <v>-59.469417833456184</v>
      </c>
      <c r="AP443" s="79" t="str">
        <f>IF(ISERROR((AO443/AG443-1)*100),"NA",IF(((AO443/AG443-1)*100)&gt;100,"NM",IF(((AO443/AG443-1)*100)&lt;-50,"NM",(AO443/AG443-1)*100)))</f>
        <v>NM</v>
      </c>
      <c r="AQ443" s="318">
        <f>AQ434/AQ416*100</f>
        <v>1.1252813203300829</v>
      </c>
      <c r="AR443" s="79" t="str">
        <f>IF(ISERROR((AQ443/AI443-1)*100),"NA",IF(((AQ443/AI443-1)*100)&gt;100,"NM",IF(((AQ443/AI443-1)*100)&lt;-50,"NM",(AQ443/AI443-1)*100)))</f>
        <v>NM</v>
      </c>
      <c r="AS443" s="318">
        <f>AS434/AS416*100</f>
        <v>1.1269722013523678</v>
      </c>
      <c r="AT443" s="81" t="str">
        <f>IF(ISERROR((AS443/AK443-1)*100),"NA",IF(((AS443/AK443-1)*100)&gt;100,"NM",IF(((AS443/AK443-1)*100)&lt;-50,"NM",(AS443/AK443-1)*100)))</f>
        <v>NM</v>
      </c>
      <c r="AU443" s="318">
        <f>AU434/AU416*100</f>
        <v>-2.5646505663603385</v>
      </c>
      <c r="AV443" s="81" t="str">
        <f>IF(ISERROR((AU443/AM443-1)*100),"NA",IF(((AU443/AM443-1)*100)&gt;100,"NM",IF(((AU443/AM443-1)*100)&lt;-50,"NM",(AU443/AM443-1)*100)))</f>
        <v>NM</v>
      </c>
      <c r="AW443" s="318">
        <f>AW434/AW416*100</f>
        <v>1.9692191982355782</v>
      </c>
      <c r="AX443" s="81" t="str">
        <f>IF(ISERROR((AW443/AO443-1)*100),"NA",IF(((AW443/AO443-1)*100)&gt;100,"NM",IF(((AW443/AO443-1)*100)&lt;-50,"NM",(AW443/AO443-1)*100)))</f>
        <v>NM</v>
      </c>
      <c r="AY443" s="318">
        <f>AY434/AY416*100</f>
        <v>0.27808676307007768</v>
      </c>
      <c r="AZ443" s="81" t="str">
        <f>IF(ISERROR((AY443/AQ443-1)*100),"NA",IF(((AY443/AQ443-1)*100)&gt;100,"NM",IF(((AY443/AQ443-1)*100)&lt;-50,"NM",(AY443/AQ443-1)*100)))</f>
        <v>NM</v>
      </c>
      <c r="BA443" s="318">
        <f>BA434/BA416*100</f>
        <v>-1.832760595647194</v>
      </c>
      <c r="BB443" s="81" t="str">
        <f>IF(ISERROR((BA443/AS443-1)*100),"NA",IF(((BA443/AS443-1)*100)&gt;100,"NM",IF(((BA443/AS443-1)*100)&lt;-50,"NM",(BA443/AS443-1)*100)))</f>
        <v>NM</v>
      </c>
      <c r="BC443" s="318">
        <f>BC434/BC416*100</f>
        <v>3.5812672176308542</v>
      </c>
      <c r="BD443" s="81" t="str">
        <f>IF(ISERROR((BC443/AU443-1)*100),"NA",IF(((BC443/AU443-1)*100)&gt;100,"NM",IF(((BC443/AU443-1)*100)&lt;-50,"NM",(BC443/AU443-1)*100)))</f>
        <v>NM</v>
      </c>
      <c r="BE443" s="318">
        <f>BE434/BE416*100</f>
        <v>-13.831258644536662</v>
      </c>
      <c r="BF443" s="81" t="str">
        <f>IF(ISERROR((BE443/AW443-1)*100),"NA",IF(((BE443/AW443-1)*100)&gt;100,"NM",IF(((BE443/AW443-1)*100)&lt;-50,"NM",(BE443/AW443-1)*100)))</f>
        <v>NM</v>
      </c>
      <c r="BG443" s="318">
        <f>BG434/BG416*100</f>
        <v>-7.7428437353355211</v>
      </c>
      <c r="BH443" s="81" t="str">
        <f>IF(ISERROR((BG443/AY443-1)*100),"NA",IF(((BG443/AY443-1)*100)&gt;100,"NM",IF(((BG443/AY443-1)*100)&lt;-50,"NM",(BG443/AY443-1)*100)))</f>
        <v>NM</v>
      </c>
      <c r="BI443" s="318">
        <f>BI434/BI416*100</f>
        <v>-21.511068334937445</v>
      </c>
      <c r="BJ443" s="81" t="str">
        <f>IF(ISERROR((BI443/BA443-1)*100),"NA",IF(((BI443/BA443-1)*100)&gt;100,"NM",IF(((BI443/BA443-1)*100)&lt;-50,"NM",(BI443/BA443-1)*100)))</f>
        <v>NM</v>
      </c>
      <c r="BK443" s="318">
        <f>BK434/BK416*100</f>
        <v>7.6612903225806539</v>
      </c>
      <c r="BL443" s="81" t="str">
        <f>IF(ISERROR((BK443/BC443-1)*100),"NA",IF(((BK443/BC443-1)*100)&gt;100,"NM",IF(((BK443/BC443-1)*100)&lt;-50,"NM",(BK443/BC443-1)*100)))</f>
        <v>NM</v>
      </c>
      <c r="BM443" s="318">
        <f>BM434/BM416*100</f>
        <v>-50.207468879668085</v>
      </c>
      <c r="BN443" s="81" t="str">
        <f>IF(ISERROR((BM443/BE443-1)*100),"NA",IF(((BM443/BE443-1)*100)&gt;100,"NM",IF(((BM443/BE443-1)*100)&lt;-50,"NM",(BM443/BE443-1)*100)))</f>
        <v>NM</v>
      </c>
      <c r="BO443" s="318">
        <f>BO434/BO416*100</f>
        <v>-80.038204393505168</v>
      </c>
      <c r="BP443" s="81" t="str">
        <f>IF(ISERROR((BO443/BG443-1)*100),"NA",IF(((BO443/BG443-1)*100)&gt;100,"NM",IF(((BO443/BG443-1)*100)&lt;-50,"NM",(BO443/BG443-1)*100)))</f>
        <v>NM</v>
      </c>
      <c r="BQ443" s="318">
        <f>BQ434/BQ416*100</f>
        <v>-20.222544750846644</v>
      </c>
      <c r="BR443" s="81">
        <f>IF(ISERROR((BQ443/BI443-1)*100),"NA",IF(((BQ443/BI443-1)*100)&gt;100,"NM",IF(((BQ443/BI443-1)*100)&lt;-50,"NM",(BQ443/BI443-1)*100)))</f>
        <v>-5.9900492343191942</v>
      </c>
      <c r="BS443" s="318">
        <f>BS434/BS416*100</f>
        <v>23.818350324374403</v>
      </c>
      <c r="BT443" s="81" t="str">
        <f>IF(ISERROR((BS443/BK443-1)*100),"NA",IF(((BS443/BK443-1)*100)&gt;100,"NM",IF(((BS443/BK443-1)*100)&lt;-50,"NM",(BS443/BK443-1)*100)))</f>
        <v>NM</v>
      </c>
      <c r="BU443" s="318">
        <f>BU434/BU416*100</f>
        <v>4.4896030245746736</v>
      </c>
      <c r="BV443" s="81" t="str">
        <f>IF(ISERROR((BU443/BM443-1)*100),"NA",IF(((BU443/BM443-1)*100)&gt;100,"NM",IF(((BU443/BM443-1)*100)&lt;-50,"NM",(BU443/BM443-1)*100)))</f>
        <v>NM</v>
      </c>
      <c r="BW443" s="318">
        <f>BW434/BW416*100</f>
        <v>-8.6578103527256154</v>
      </c>
      <c r="BX443" s="81" t="str">
        <f>IF(ISERROR((BW443/BO443-1)*100),"NA",IF(((BW443/BO443-1)*100)&gt;100,"NM",IF(((BW443/BO443-1)*100)&lt;-50,"NM",(BW443/BO443-1)*100)))</f>
        <v>NM</v>
      </c>
      <c r="BY443" s="318">
        <f>BY434/BY416*100</f>
        <v>-4.4130626654898499</v>
      </c>
      <c r="BZ443" s="81" t="str">
        <f>IF(ISERROR((BY443/BQ443-1)*100),"NA",IF(((BY443/BQ443-1)*100)&gt;100,"NM",IF(((BY443/BQ443-1)*100)&lt;-50,"NM",(BY443/BQ443-1)*100)))</f>
        <v>NM</v>
      </c>
      <c r="CA443" s="318">
        <f>CA434/CA416*100</f>
        <v>-16.172043010752692</v>
      </c>
      <c r="CB443" s="81" t="str">
        <f>IF(ISERROR((CA443/BS443-1)*100),"NA",IF(((CA443/BS443-1)*100)&gt;100,"NM",IF(((CA443/BS443-1)*100)&lt;-50,"NM",(CA443/BS443-1)*100)))</f>
        <v>NM</v>
      </c>
      <c r="CC443" s="318">
        <f>CC434/CC416*100</f>
        <v>-3.09001343484102</v>
      </c>
      <c r="CD443" s="81" t="str">
        <f>IF(ISERROR((CC443/BU443-1)*100),"NA",IF(((CC443/BU443-1)*100)&gt;100,"NM",IF(((CC443/BU443-1)*100)&lt;-50,"NM",(CC443/BU443-1)*100)))</f>
        <v>NM</v>
      </c>
      <c r="CE443" s="318">
        <f>CE434/CE416*100</f>
        <v>9.1380122468205229</v>
      </c>
      <c r="CF443" s="81" t="str">
        <f>IF(ISERROR((CE443/BW443-1)*100),"NA",IF(((CE443/BW443-1)*100)&gt;100,"NM",IF(((CE443/BW443-1)*100)&lt;-50,"NM",(CE443/BW443-1)*100)))</f>
        <v>NM</v>
      </c>
      <c r="CG443" s="318">
        <f>CG434/CG416*100</f>
        <v>3.2861706983112748</v>
      </c>
      <c r="CH443" s="81" t="str">
        <f>IF(ISERROR((CG443/BY443-1)*100),"NA",IF(((CG443/BY443-1)*100)&gt;100,"NM",IF(((CG443/BY443-1)*100)&lt;-50,"NM",(CG443/BY443-1)*100)))</f>
        <v>NM</v>
      </c>
      <c r="CI443" s="318">
        <f>CI434/CI416*100</f>
        <v>-4.9361702127659539</v>
      </c>
      <c r="CJ443" s="81" t="str">
        <f>IF(ISERROR((CI443/CA443-1)*100),"NA",IF(((CI443/CA443-1)*100)&gt;100,"NM",IF(((CI443/CA443-1)*100)&lt;-50,"NM",(CI443/CA443-1)*100)))</f>
        <v>NM</v>
      </c>
      <c r="CK443" s="318">
        <f>CK434/CK416*100</f>
        <v>-14.298520842671444</v>
      </c>
      <c r="CL443" s="81" t="str">
        <f>IF(ISERROR((CK443/CC443-1)*100),"NA",IF(((CK443/CC443-1)*100)&gt;100,"NM",IF(((CK443/CC443-1)*100)&lt;-50,"NM",(CK443/CC443-1)*100)))</f>
        <v>NM</v>
      </c>
      <c r="CM443" s="318">
        <f>CM434/CM416*100</f>
        <v>0.13561160835367497</v>
      </c>
      <c r="CN443" s="81" t="str">
        <f>IF(ISERROR((CM443/CE443-1)*100),"NA",IF(((CM443/CE443-1)*100)&gt;100,"NM",IF(((CM443/CE443-1)*100)&lt;-50,"NM",(CM443/CE443-1)*100)))</f>
        <v>NM</v>
      </c>
      <c r="CO443" s="318">
        <f>CO434/CO416*100</f>
        <v>0.37523452157598541</v>
      </c>
      <c r="CP443" s="81" t="str">
        <f>IF(ISERROR((CO443/CG443-1)*100),"NA",IF(((CO443/CG443-1)*100)&gt;100,"NM",IF(((CO443/CG443-1)*100)&lt;-50,"NM",(CO443/CG443-1)*100)))</f>
        <v>NM</v>
      </c>
      <c r="CQ443" s="318">
        <f>CQ434/CQ416*100</f>
        <v>-6.0807811806480272</v>
      </c>
      <c r="CR443" s="81">
        <f>IF(ISERROR((CQ443/CI443-1)*100),"NA",IF(((CQ443/CI443-1)*100)&gt;100,"NM",IF(((CQ443/CI443-1)*100)&lt;-50,"NM",(CQ443/CI443-1)*100)))</f>
        <v>23.188239435542023</v>
      </c>
      <c r="CS443" s="318">
        <f>CS434/CS416*100</f>
        <v>4.3303571428571432</v>
      </c>
      <c r="CT443" s="81" t="str">
        <f>IF(ISERROR((CS443/CK443-1)*100),"NA",IF(((CS443/CK443-1)*100)&gt;100,"NM",IF(((CS443/CK443-1)*100)&lt;-50,"NM",(CS443/CK443-1)*100)))</f>
        <v>NM</v>
      </c>
      <c r="CU443" s="318">
        <f>CU434/CU416*100</f>
        <v>3.9555555555555557</v>
      </c>
      <c r="CV443" s="81" t="str">
        <f>IF(ISERROR((CU443/CM443-1)*100),"NA",IF(((CU443/CM443-1)*100)&gt;100,"NM",IF(((CU443/CM443-1)*100)&lt;-50,"NM",(CU443/CM443-1)*100)))</f>
        <v>NM</v>
      </c>
      <c r="CW443" s="318">
        <f>CW434/CW416*100</f>
        <v>-1.4104372355430173</v>
      </c>
      <c r="CX443" s="81" t="str">
        <f>IF(ISERROR((CW443/CO443-1)*100),"NA",IF(((CW443/CO443-1)*100)&gt;100,"NM",IF(((CW443/CO443-1)*100)&lt;-50,"NM",(CW443/CO443-1)*100)))</f>
        <v>NM</v>
      </c>
      <c r="CY443" s="318">
        <f>CY434/CY416*100</f>
        <v>4.6317739694302772E-2</v>
      </c>
      <c r="CZ443" s="81" t="str">
        <f>IF(ISERROR((CY443/CQ443-1)*100),"NA",IF(((CY443/CQ443-1)*100)&gt;100,"NM",IF(((CY443/CQ443-1)*100)&lt;-50,"NM",(CY443/CQ443-1)*100)))</f>
        <v>NM</v>
      </c>
      <c r="DA443" s="318">
        <f>DA434/DA416*100</f>
        <v>-8.5288808664259914</v>
      </c>
      <c r="DB443" s="81" t="str">
        <f>IF(ISERROR((DA443/CS443-1)*100),"NA",IF(((DA443/CS443-1)*100)&gt;100,"NM",IF(((DA443/CS443-1)*100)&lt;-50,"NM",(DA443/CS443-1)*100)))</f>
        <v>NM</v>
      </c>
      <c r="DC443" s="318">
        <f>DC434/DC416*100</f>
        <v>2.0065328978068133</v>
      </c>
      <c r="DD443" s="81">
        <f>IF(ISERROR((DC443/CU443-1)*100),"NA",IF(((DC443/CU443-1)*100)&gt;100,"NM",IF(((DC443/CU443-1)*100)&lt;-50,"NM",(DC443/CU443-1)*100)))</f>
        <v>-49.273044718367075</v>
      </c>
      <c r="DE443" s="318">
        <f>DE434/DE416*100</f>
        <v>1.4375561545372884</v>
      </c>
      <c r="DF443" s="81" t="str">
        <f>IF(ISERROR((DE443/CW443-1)*100),"NA",IF(((DE443/CW443-1)*100)&gt;100,"NM",IF(((DE443/CW443-1)*100)&lt;-50,"NM",(DE443/CW443-1)*100)))</f>
        <v>NM</v>
      </c>
      <c r="DG443" s="318">
        <f>DG434/DG416*100</f>
        <v>8.1789426118391315</v>
      </c>
      <c r="DH443" s="81" t="str">
        <f>IF(ISERROR((DG443/CY443-1)*100),"NA",IF(((DG443/CY443-1)*100)&gt;100,"NM",IF(((DG443/CY443-1)*100)&lt;-50,"NM",(DG443/CY443-1)*100)))</f>
        <v>NM</v>
      </c>
      <c r="DI443" s="318">
        <f>DI434/DI416*100</f>
        <v>0</v>
      </c>
      <c r="DJ443" s="81" t="str">
        <f>IF(ISERROR((DI443/DA443-1)*100),"NA",IF(((DI443/DA443-1)*100)&gt;100,"NM",IF(((DI443/DA443-1)*100)&lt;-50,"NM",(DI443/DA443-1)*100)))</f>
        <v>NM</v>
      </c>
      <c r="DK443" s="318">
        <f>DK434/DK416*100</f>
        <v>23.177651680488864</v>
      </c>
      <c r="DL443" s="81" t="str">
        <f>IF(ISERROR((DK443/DC443-1)*100),"NA",IF(((DK443/DC443-1)*100)&gt;100,"NM",IF(((DK443/DC443-1)*100)&lt;-50,"NM",(DK443/DC443-1)*100)))</f>
        <v>NM</v>
      </c>
      <c r="DM443" s="318">
        <f>DM434/DM416*100</f>
        <v>-4.4863167339614165</v>
      </c>
      <c r="DN443" s="81" t="str">
        <f>IF(ISERROR((DM443/DE443-1)*100),"NA",IF(((DM443/DE443-1)*100)&gt;100,"NM",IF(((DM443/DE443-1)*100)&lt;-50,"NM",(DM443/DE443-1)*100)))</f>
        <v>NM</v>
      </c>
      <c r="DO443" s="318">
        <f>DO434/DO416*100</f>
        <v>1.6772438803263832</v>
      </c>
      <c r="DP443" s="81" t="str">
        <f>IF(ISERROR((DO443/DG443-1)*100),"NA",IF(((DO443/DG443-1)*100)&gt;100,"NM",IF(((DO443/DG443-1)*100)&lt;-50,"NM",(DO443/DG443-1)*100)))</f>
        <v>NM</v>
      </c>
      <c r="DQ443" s="318">
        <f>DQ434/DQ416*100</f>
        <v>-7.8245137946630408</v>
      </c>
      <c r="DR443" s="81" t="str">
        <f>IF(ISERROR((DQ443/DI443-1)*100),"NA",IF(((DQ443/DI443-1)*100)&gt;100,"NM",IF(((DQ443/DI443-1)*100)&lt;-50,"NM",(DQ443/DI443-1)*100)))</f>
        <v>NA</v>
      </c>
      <c r="DS443" s="318">
        <f>DS434/DS416*100</f>
        <v>-1.0936132983377083</v>
      </c>
      <c r="DT443" s="81" t="str">
        <f>IF(ISERROR((DS443/DK443-1)*100),"NA",IF(((DS443/DK443-1)*100)&gt;100,"NM",IF(((DS443/DK443-1)*100)&lt;-50,"NM",(DS443/DK443-1)*100)))</f>
        <v>NM</v>
      </c>
      <c r="DU443" s="318">
        <f>DU434/DU416*100</f>
        <v>-6.0660124888492462</v>
      </c>
      <c r="DV443" s="81">
        <f>IF(ISERROR((DU443/DM443-1)*100),"NA",IF(((DU443/DM443-1)*100)&gt;100,"NM",IF(((DU443/DM443-1)*100)&lt;-50,"NM",(DU443/DM443-1)*100)))</f>
        <v>35.211418376449721</v>
      </c>
      <c r="DW443" s="318">
        <f>DW434/DW416*100</f>
        <v>1.6309012875536484</v>
      </c>
      <c r="DX443" s="81">
        <f>IF(ISERROR((DW443/DO443-1)*100),"NA",IF(((DW443/DO443-1)*100)&gt;100,"NM",IF(((DW443/DO443-1)*100)&lt;-50,"NM",(DW443/DO443-1)*100)))</f>
        <v>-2.7630205312608846</v>
      </c>
      <c r="DY443" s="318">
        <f>DY434/DY416*100</f>
        <v>3.1919545255793587</v>
      </c>
      <c r="DZ443" s="81" t="str">
        <f>IF(ISERROR((DY443/DQ443-1)*100),"NA",IF(((DY443/DQ443-1)*100)&gt;100,"NM",IF(((DY443/DQ443-1)*100)&lt;-50,"NM",(DY443/DQ443-1)*100)))</f>
        <v>NM</v>
      </c>
      <c r="EA443" s="318">
        <f>EA434/EA416*100</f>
        <v>7.9669133652590345</v>
      </c>
      <c r="EB443" s="81" t="str">
        <f>IF(ISERROR((EA443/DS443-1)*100),"NA",IF(((EA443/DS443-1)*100)&gt;100,"NM",IF(((EA443/DS443-1)*100)&lt;-50,"NM",(EA443/DS443-1)*100)))</f>
        <v>NM</v>
      </c>
      <c r="EC443" s="318">
        <f>EC434/EC416*100</f>
        <v>3.0495552731893301</v>
      </c>
      <c r="ED443" s="81" t="str">
        <f t="shared" si="1460"/>
        <v>NM</v>
      </c>
      <c r="EE443" s="318">
        <f>EE434/EE416*100</f>
        <v>1.9550748752079856</v>
      </c>
      <c r="EF443" s="81">
        <f t="shared" si="1461"/>
        <v>19.876959453542241</v>
      </c>
      <c r="EG443" s="318">
        <f>EG434/EG416*100</f>
        <v>2.5254582484725061</v>
      </c>
      <c r="EH443" s="81">
        <f t="shared" si="1462"/>
        <v>-20.880506654018816</v>
      </c>
      <c r="EI443" s="318">
        <f>EI434/EI416*100</f>
        <v>2.8391167192429045</v>
      </c>
      <c r="EJ443" s="81" t="str">
        <f t="shared" si="1463"/>
        <v>NM</v>
      </c>
      <c r="EK443" s="318">
        <f t="shared" ref="EK443:EQ443" si="1472">EK434/EK416*100</f>
        <v>-2.5148978170496954</v>
      </c>
      <c r="EL443" s="81" t="str">
        <f t="shared" si="1465"/>
        <v>NM</v>
      </c>
      <c r="EM443" s="318">
        <f t="shared" si="1472"/>
        <v>-2.4983682243021876</v>
      </c>
      <c r="EN443" s="81" t="str">
        <f t="shared" si="1467"/>
        <v>NM</v>
      </c>
      <c r="EO443" s="318">
        <f t="shared" si="1472"/>
        <v>-2.4884650109537803</v>
      </c>
      <c r="EP443" s="81" t="str">
        <f t="shared" si="1469"/>
        <v>NM</v>
      </c>
      <c r="EQ443" s="318">
        <f t="shared" si="1472"/>
        <v>-2.124158102390941</v>
      </c>
      <c r="ER443" s="81" t="str">
        <f t="shared" si="1471"/>
        <v>NM</v>
      </c>
      <c r="ES443" s="324"/>
      <c r="ET443" s="480"/>
      <c r="EU443" s="324"/>
      <c r="EV443" s="324"/>
      <c r="EW443" s="274"/>
      <c r="EX443" s="324"/>
      <c r="EY443" s="274"/>
      <c r="EZ443" s="324"/>
      <c r="FA443" s="274"/>
      <c r="FB443" s="325">
        <f>FB434/FB416*100</f>
        <v>91.810163796724055</v>
      </c>
      <c r="FC443" s="274" t="str">
        <f>IF(ISERROR((FB443/EZ443-1)*100),"NA",IF(((FB443/EZ443-1)*100)&gt;100,"NM",IF(((FB443/EZ443-1)*100)&lt;-50,"NM",(FB443/EZ443-1)*100)))</f>
        <v>NA</v>
      </c>
      <c r="FD443" s="325">
        <f>FD434/FD416*100</f>
        <v>-26.764861995753687</v>
      </c>
      <c r="FE443" s="274" t="str">
        <f>IF(ISERROR((FD443/FB443-1)*100),"NA",IF(((FD443/FB443-1)*100)&gt;100,"NM",IF(((FD443/FB443-1)*100)&lt;-50,"NM",(FD443/FB443-1)*100)))</f>
        <v>NM</v>
      </c>
      <c r="FF443" s="325">
        <f>FF434/FF416*100</f>
        <v>-268.48341232227085</v>
      </c>
      <c r="FG443" s="274" t="str">
        <f>IF(ISERROR((FF443/FD443-1)*100),"NA",IF(((FF443/FD443-1)*100)&gt;100,"NM",IF(((FF443/FD443-1)*100)&lt;-50,"NM",(FF443/FD443-1)*100)))</f>
        <v>NM</v>
      </c>
      <c r="FH443" s="325">
        <f>FH434/FH416*100</f>
        <v>-32.809773123909139</v>
      </c>
      <c r="FI443" s="274" t="str">
        <f>IF(ISERROR((FH443/FF443-1)*100),"NA",IF(((FH443/FF443-1)*100)&gt;100,"NM",IF(((FH443/FF443-1)*100)&lt;-50,"NM",(FH443/FF443-1)*100)))</f>
        <v>NM</v>
      </c>
      <c r="FJ443" s="325">
        <f>FJ434/FJ416*100</f>
        <v>-7.01086956521738</v>
      </c>
      <c r="FK443" s="274" t="str">
        <f>IF(ISERROR((FJ443/FH443-1)*100),"NA",IF(((FJ443/FH443-1)*100)&gt;100,"NM",IF(((FJ443/FH443-1)*100)&lt;-50,"NM",(FJ443/FH443-1)*100)))</f>
        <v>NM</v>
      </c>
      <c r="FL443" s="318">
        <f>FL434/FL416*100</f>
        <v>0.24562267640948104</v>
      </c>
      <c r="FM443" s="274" t="str">
        <f>IF(ISERROR((FL443/FJ443-1)*100),"NA",IF(((FL443/FJ443-1)*100)&gt;100,"NM",IF(((FL443/FJ443-1)*100)&lt;-50,"NM",(FL443/FJ443-1)*100)))</f>
        <v>NM</v>
      </c>
      <c r="FN443" s="318">
        <f>FN434/FN416*100</f>
        <v>-5.495484035110036</v>
      </c>
      <c r="FO443" s="274" t="str">
        <f>IF(ISERROR((FN443/FL443-1)*100),"NA",IF(((FN443/FL443-1)*100)&gt;100,"NM",IF(((FN443/FL443-1)*100)&lt;-50,"NM",(FN443/FL443-1)*100)))</f>
        <v>NM</v>
      </c>
      <c r="FP443" s="318">
        <f>FP434/FP416*100</f>
        <v>-35.471830164469857</v>
      </c>
      <c r="FQ443" s="274" t="str">
        <f>IF(ISERROR((FP443/FN443-1)*100),"NA",IF(((FP443/FN443-1)*100)&gt;100,"NM",IF(((FP443/FN443-1)*100)&lt;-50,"NM",(FP443/FN443-1)*100)))</f>
        <v>NM</v>
      </c>
      <c r="FR443" s="318">
        <f>FR434/FR416*100</f>
        <v>-3.6953239313969899</v>
      </c>
      <c r="FS443" s="274" t="str">
        <f>IF(ISERROR((FR443/FP443-1)*100),"NA",IF(((FR443/FP443-1)*100)&gt;100,"NM",IF(((FR443/FP443-1)*100)&lt;-50,"NM",(FR443/FP443-1)*100)))</f>
        <v>NM</v>
      </c>
      <c r="FT443" s="318">
        <f>FT434/FT416*100</f>
        <v>-3.923102715994192</v>
      </c>
      <c r="FU443" s="274">
        <f>IF(ISERROR((FT443/FR443-1)*100),"NA",IF(((FT443/FR443-1)*100)&gt;100,"NM",IF(((FT443/FR443-1)*100)&lt;-50,"NM",(FT443/FR443-1)*100)))</f>
        <v>6.1639734114213862</v>
      </c>
      <c r="FV443" s="318">
        <f>FV434/FV416*100</f>
        <v>-11.928687196110218</v>
      </c>
      <c r="FW443" s="274" t="str">
        <f>IF(ISERROR((FV443/FT443-1)*100),"NA",IF(((FV443/FT443-1)*100)&gt;100,"NM",IF(((FV443/FT443-1)*100)&lt;-50,"NM",(FV443/FT443-1)*100)))</f>
        <v>NM</v>
      </c>
      <c r="FX443" s="318">
        <f>FX434/FX416*100</f>
        <v>4.2101679527916476</v>
      </c>
      <c r="FY443" s="274" t="str">
        <f>IF(ISERROR((FX443/FV443-1)*100),"NA",IF(((FX443/FV443-1)*100)&gt;100,"NM",IF(((FX443/FV443-1)*100)&lt;-50,"NM",(FX443/FV443-1)*100)))</f>
        <v>NM</v>
      </c>
      <c r="FZ443" s="318">
        <f>FZ434/FZ416*100</f>
        <v>-2.0242914979757085</v>
      </c>
      <c r="GA443" s="274" t="str">
        <f>IF(ISERROR((FZ443/FX443-1)*100),"NA",IF(((FZ443/FX443-1)*100)&gt;100,"NM",IF(((FZ443/FX443-1)*100)&lt;-50,"NM",(FZ443/FX443-1)*100)))</f>
        <v>NM</v>
      </c>
      <c r="GB443" s="318">
        <f>GB434/GB416*100</f>
        <v>-7.328877621571789</v>
      </c>
      <c r="GC443" s="274" t="str">
        <f>IF(ISERROR((GB443/FZ443-1)*100),"NA",IF(((GB443/FZ443-1)*100)&gt;100,"NM",IF(((GB443/FZ443-1)*100)&lt;-50,"NM",(GB443/FZ443-1)*100)))</f>
        <v>NM</v>
      </c>
      <c r="GD443" s="318">
        <f>GD434/GD416*100</f>
        <v>-2.9220779220779236</v>
      </c>
      <c r="GE443" s="274" t="str">
        <f>IF(ISERROR((GD443/GB443-1)*100),"NA",IF(((GD443/GB443-1)*100)&gt;100,"NM",IF(((GD443/GB443-1)*100)&lt;-50,"NM",(GD443/GB443-1)*100)))</f>
        <v>NM</v>
      </c>
      <c r="GF443" s="318">
        <f>GF434/GF416*100</f>
        <v>1.7256443861948429</v>
      </c>
      <c r="GG443" s="274" t="str">
        <f>IF(ISERROR((GF443/GD443-1)*100),"NA",IF(((GF443/GD443-1)*100)&gt;100,"NM",IF(((GF443/GD443-1)*100)&lt;-50,"NM",(GF443/GD443-1)*100)))</f>
        <v>NM</v>
      </c>
      <c r="GH443" s="318">
        <f>GH434/GH416*100</f>
        <v>2.5932759327593287</v>
      </c>
      <c r="GI443" s="274">
        <f>IF(ISERROR((GH443/GF443-1)*100),"NA",IF(((GH443/GF443-1)*100)&gt;100,"NM",IF(((GH443/GF443-1)*100)&lt;-50,"NM",(GH443/GF443-1)*100)))</f>
        <v>50.278698989521772</v>
      </c>
      <c r="GJ443" s="318">
        <f>GJ434/GJ416*100</f>
        <v>-2.405635500021305</v>
      </c>
      <c r="GK443" s="274" t="str">
        <f>IF(ISERROR((GJ443/GH443-1)*100),"NA",IF(((GJ443/GH443-1)*100)&gt;100,"NM",IF(((GJ443/GH443-1)*100)&lt;-50,"NM",(GJ443/GH443-1)*100)))</f>
        <v>NM</v>
      </c>
      <c r="GL443" s="318">
        <f>GL434/GL416*100</f>
        <v>-2.3890739033806021</v>
      </c>
      <c r="GM443" s="274">
        <f>IF(ISERROR((GL443/GJ443-1)*100),"NA",IF(((GL443/GJ443-1)*100)&gt;100,"NM",IF(((GL443/GJ443-1)*100)&lt;-50,"NM",(GL443/GJ443-1)*100)))</f>
        <v>-0.68844996012721316</v>
      </c>
      <c r="GN443" s="318">
        <f>GN434/GN416*100</f>
        <v>-2.3819349868454562</v>
      </c>
      <c r="GO443" s="274">
        <f>IF(ISERROR((GN443/GL443-1)*100),"NA",IF(((GN443/GL443-1)*100)&gt;100,"NM",IF(((GN443/GL443-1)*100)&lt;-50,"NM",(GN443/GL443-1)*100)))</f>
        <v>-0.29881522396791871</v>
      </c>
      <c r="GP443" s="318">
        <f>GP434/GP416*100</f>
        <v>-2.3684852114406003</v>
      </c>
      <c r="GQ443" s="274">
        <f>IF(ISERROR((GP443/GN443-1)*100),"NA",IF(((GP443/GN443-1)*100)&gt;100,"NM",IF(((GP443/GN443-1)*100)&lt;-50,"NM",(GP443/GN443-1)*100)))</f>
        <v>-0.56465753595853485</v>
      </c>
      <c r="GR443" s="318">
        <f>GR434/GR416*100</f>
        <v>-2.3661081603858904</v>
      </c>
      <c r="GS443" s="274">
        <f>IF(ISERROR((GR443/GP443-1)*100),"NA",IF(((GR443/GP443-1)*100)&gt;100,"NM",IF(((GR443/GP443-1)*100)&lt;-50,"NM",(GR443/GP443-1)*100)))</f>
        <v>-0.10036165914095729</v>
      </c>
      <c r="GT443" s="79" t="str">
        <f>IF(ISERROR(((GR443/GH443)^0.2-1)*100),"NA",(IF(OR(((GR443/GH443)^0.2-1)*100&gt;99,((GR443/GH443)^0.2-1)*100&lt;-50),"NM",(((GR443/GH443)^0.2-1)*100))))</f>
        <v>NM</v>
      </c>
    </row>
    <row r="444" spans="1:286" ht="12.75" customHeight="1" x14ac:dyDescent="0.2">
      <c r="A444" s="1"/>
      <c r="B444" s="2"/>
      <c r="C444" s="79"/>
      <c r="D444" s="79"/>
      <c r="E444" s="82"/>
      <c r="F444" s="82"/>
      <c r="G444" s="82"/>
      <c r="H444" s="82"/>
      <c r="I444" s="82"/>
      <c r="J444" s="82"/>
      <c r="K444" s="82"/>
      <c r="L444" s="79"/>
      <c r="M444" s="82"/>
      <c r="N444" s="79"/>
      <c r="O444" s="82"/>
      <c r="P444" s="79"/>
      <c r="Q444" s="82"/>
      <c r="R444" s="79"/>
      <c r="S444" s="82"/>
      <c r="T444" s="79"/>
      <c r="U444" s="79"/>
      <c r="V444" s="79"/>
      <c r="W444" s="82"/>
      <c r="X444" s="79"/>
      <c r="Y444" s="82"/>
      <c r="Z444" s="79"/>
      <c r="AA444" s="130"/>
      <c r="AB444" s="79"/>
      <c r="AC444" s="79"/>
      <c r="AD444" s="79"/>
      <c r="AE444" s="82"/>
      <c r="AF444" s="79"/>
      <c r="AG444" s="82"/>
      <c r="AH444" s="79"/>
      <c r="AI444" s="82"/>
      <c r="AJ444" s="79"/>
      <c r="AK444" s="82"/>
      <c r="AL444" s="79"/>
      <c r="AM444" s="82"/>
      <c r="AN444" s="79"/>
      <c r="AO444" s="82"/>
      <c r="AP444" s="79"/>
      <c r="AQ444" s="82"/>
      <c r="AR444" s="79"/>
      <c r="AS444" s="82"/>
      <c r="AT444" s="81"/>
      <c r="AU444" s="82"/>
      <c r="AV444" s="81"/>
      <c r="AW444" s="82"/>
      <c r="AX444" s="81"/>
      <c r="AY444" s="82"/>
      <c r="AZ444" s="81"/>
      <c r="BA444" s="82"/>
      <c r="BB444" s="81"/>
      <c r="BC444" s="82"/>
      <c r="BD444" s="81"/>
      <c r="BE444" s="82"/>
      <c r="BF444" s="81"/>
      <c r="BG444" s="82"/>
      <c r="BH444" s="81"/>
      <c r="BI444" s="82"/>
      <c r="BJ444" s="81"/>
      <c r="BK444" s="82"/>
      <c r="BL444" s="81"/>
      <c r="BM444" s="82"/>
      <c r="BN444" s="81"/>
      <c r="BO444" s="82"/>
      <c r="BP444" s="81"/>
      <c r="BQ444" s="82"/>
      <c r="BR444" s="81"/>
      <c r="BS444" s="82"/>
      <c r="BT444" s="81"/>
      <c r="BU444" s="82"/>
      <c r="BV444" s="81"/>
      <c r="BW444" s="82"/>
      <c r="BX444" s="81"/>
      <c r="BY444" s="82"/>
      <c r="BZ444" s="81"/>
      <c r="CA444" s="82"/>
      <c r="CB444" s="81"/>
      <c r="CC444" s="82"/>
      <c r="CD444" s="81"/>
      <c r="CE444" s="82"/>
      <c r="CF444" s="81"/>
      <c r="CG444" s="82"/>
      <c r="CH444" s="81"/>
      <c r="CI444" s="82"/>
      <c r="CJ444" s="81"/>
      <c r="CK444" s="82"/>
      <c r="CL444" s="81"/>
      <c r="CM444" s="82"/>
      <c r="CN444" s="81"/>
      <c r="CO444" s="82"/>
      <c r="CP444" s="81"/>
      <c r="CQ444" s="82"/>
      <c r="CR444" s="81"/>
      <c r="CS444" s="82"/>
      <c r="CT444" s="81"/>
      <c r="CU444" s="82"/>
      <c r="CV444" s="81"/>
      <c r="CW444" s="82"/>
      <c r="CX444" s="81"/>
      <c r="CY444" s="82"/>
      <c r="CZ444" s="81"/>
      <c r="DA444" s="82"/>
      <c r="DB444" s="81"/>
      <c r="DC444" s="82"/>
      <c r="DD444" s="81"/>
      <c r="DE444" s="82"/>
      <c r="DF444" s="81"/>
      <c r="DG444" s="82"/>
      <c r="DH444" s="81"/>
      <c r="DI444" s="82"/>
      <c r="DJ444" s="81"/>
      <c r="DK444" s="82"/>
      <c r="DL444" s="81"/>
      <c r="DM444" s="82"/>
      <c r="DN444" s="81"/>
      <c r="DO444" s="82"/>
      <c r="DP444" s="81"/>
      <c r="DQ444" s="82"/>
      <c r="DR444" s="81"/>
      <c r="DS444" s="82"/>
      <c r="DT444" s="81"/>
      <c r="DU444" s="82"/>
      <c r="DV444" s="81"/>
      <c r="DW444" s="82"/>
      <c r="DX444" s="81"/>
      <c r="DY444" s="82"/>
      <c r="DZ444" s="81"/>
      <c r="EA444" s="82"/>
      <c r="EB444" s="81"/>
      <c r="EC444" s="82"/>
      <c r="ED444" s="81"/>
      <c r="EE444" s="82"/>
      <c r="EF444" s="81"/>
      <c r="EG444" s="82"/>
      <c r="EH444" s="81"/>
      <c r="EI444" s="82"/>
      <c r="EJ444" s="81"/>
      <c r="EK444" s="82"/>
      <c r="EL444" s="81"/>
      <c r="EM444" s="82"/>
      <c r="EN444" s="81"/>
      <c r="EO444" s="82"/>
      <c r="EP444" s="81"/>
      <c r="EQ444" s="82"/>
      <c r="ER444" s="81"/>
      <c r="ES444" s="82"/>
      <c r="ET444" s="469"/>
      <c r="EU444" s="82"/>
      <c r="EV444" s="82"/>
      <c r="EW444" s="79"/>
      <c r="EX444" s="82"/>
      <c r="EY444" s="79"/>
      <c r="EZ444" s="82"/>
      <c r="FA444" s="79"/>
      <c r="FB444" s="82"/>
      <c r="FC444" s="79"/>
      <c r="FD444" s="82"/>
      <c r="FE444" s="79"/>
      <c r="FF444" s="82"/>
      <c r="FG444" s="79"/>
      <c r="FH444" s="82"/>
      <c r="FI444" s="79"/>
      <c r="FJ444" s="82"/>
      <c r="FK444" s="79"/>
      <c r="FL444" s="82"/>
      <c r="FM444" s="79"/>
      <c r="FN444" s="82"/>
      <c r="FO444" s="79"/>
      <c r="FP444" s="82"/>
      <c r="FQ444" s="79"/>
      <c r="FR444" s="82"/>
      <c r="FS444" s="79"/>
      <c r="FT444" s="82"/>
      <c r="FU444" s="79"/>
      <c r="FV444" s="82"/>
      <c r="FW444" s="79"/>
      <c r="FX444" s="82"/>
      <c r="FY444" s="79"/>
      <c r="FZ444" s="82"/>
      <c r="GA444" s="79"/>
      <c r="GB444" s="82"/>
      <c r="GC444" s="79"/>
      <c r="GD444" s="82"/>
      <c r="GE444" s="79"/>
      <c r="GF444" s="82"/>
      <c r="GG444" s="79"/>
      <c r="GH444" s="82"/>
      <c r="GI444" s="79"/>
      <c r="GJ444" s="82"/>
      <c r="GK444" s="79"/>
      <c r="GL444" s="82"/>
      <c r="GM444" s="79"/>
      <c r="GN444" s="82"/>
      <c r="GO444" s="79"/>
      <c r="GP444" s="82"/>
      <c r="GQ444" s="79"/>
      <c r="GR444" s="82"/>
      <c r="GS444" s="79"/>
      <c r="GT444" s="79"/>
    </row>
    <row r="445" spans="1:286" ht="12.75" customHeight="1" x14ac:dyDescent="0.2">
      <c r="A445" s="1"/>
      <c r="B445" s="68" t="s">
        <v>539</v>
      </c>
      <c r="C445" s="79"/>
      <c r="D445" s="79"/>
      <c r="E445" s="82"/>
      <c r="F445" s="82"/>
      <c r="G445" s="82"/>
      <c r="H445" s="82"/>
      <c r="I445" s="82"/>
      <c r="J445" s="82"/>
      <c r="K445" s="82"/>
      <c r="L445" s="79"/>
      <c r="M445" s="82"/>
      <c r="N445" s="79"/>
      <c r="O445" s="82"/>
      <c r="P445" s="79"/>
      <c r="Q445" s="82"/>
      <c r="R445" s="79"/>
      <c r="S445" s="82"/>
      <c r="T445" s="79"/>
      <c r="U445" s="82"/>
      <c r="V445" s="79"/>
      <c r="W445" s="82"/>
      <c r="X445" s="79"/>
      <c r="Y445" s="82"/>
      <c r="Z445" s="79"/>
      <c r="AA445" s="130"/>
      <c r="AB445" s="79"/>
      <c r="AC445" s="82"/>
      <c r="AD445" s="79"/>
      <c r="AE445" s="82"/>
      <c r="AF445" s="79"/>
      <c r="AG445" s="82"/>
      <c r="AH445" s="79"/>
      <c r="AI445" s="82"/>
      <c r="AJ445" s="79"/>
      <c r="AK445" s="82"/>
      <c r="AL445" s="79"/>
      <c r="AM445" s="82"/>
      <c r="AN445" s="79"/>
      <c r="AO445" s="82"/>
      <c r="AP445" s="79"/>
      <c r="AQ445" s="82"/>
      <c r="AR445" s="79"/>
      <c r="AS445" s="82"/>
      <c r="AT445" s="81"/>
      <c r="AU445" s="82"/>
      <c r="AV445" s="81"/>
      <c r="AW445" s="82"/>
      <c r="AX445" s="81"/>
      <c r="AY445" s="82"/>
      <c r="AZ445" s="81"/>
      <c r="BA445" s="82"/>
      <c r="BB445" s="81"/>
      <c r="BC445" s="82"/>
      <c r="BD445" s="81"/>
      <c r="BE445" s="82"/>
      <c r="BF445" s="81"/>
      <c r="BG445" s="82"/>
      <c r="BH445" s="81"/>
      <c r="BI445" s="82"/>
      <c r="BJ445" s="81"/>
      <c r="BK445" s="82"/>
      <c r="BL445" s="81"/>
      <c r="BM445" s="82"/>
      <c r="BN445" s="81"/>
      <c r="BO445" s="82"/>
      <c r="BP445" s="81"/>
      <c r="BQ445" s="82"/>
      <c r="BR445" s="81"/>
      <c r="BS445" s="82"/>
      <c r="BT445" s="81"/>
      <c r="BU445" s="82"/>
      <c r="BV445" s="81"/>
      <c r="BW445" s="82"/>
      <c r="BX445" s="81"/>
      <c r="BY445" s="82"/>
      <c r="BZ445" s="81"/>
      <c r="CA445" s="82"/>
      <c r="CB445" s="81"/>
      <c r="CC445" s="82"/>
      <c r="CD445" s="81"/>
      <c r="CE445" s="82"/>
      <c r="CF445" s="81"/>
      <c r="CG445" s="82"/>
      <c r="CH445" s="81"/>
      <c r="CI445" s="82"/>
      <c r="CJ445" s="81"/>
      <c r="CK445" s="82"/>
      <c r="CL445" s="81"/>
      <c r="CM445" s="82"/>
      <c r="CN445" s="81"/>
      <c r="CO445" s="82"/>
      <c r="CP445" s="81"/>
      <c r="CQ445" s="82"/>
      <c r="CR445" s="81"/>
      <c r="CS445" s="82"/>
      <c r="CT445" s="81"/>
      <c r="CU445" s="82"/>
      <c r="CV445" s="81"/>
      <c r="CW445" s="82"/>
      <c r="CX445" s="81"/>
      <c r="CY445" s="82"/>
      <c r="CZ445" s="81"/>
      <c r="DA445" s="82"/>
      <c r="DB445" s="81"/>
      <c r="DC445" s="82"/>
      <c r="DD445" s="81"/>
      <c r="DE445" s="82"/>
      <c r="DF445" s="81"/>
      <c r="DG445" s="82"/>
      <c r="DH445" s="81"/>
      <c r="DI445" s="82"/>
      <c r="DJ445" s="81"/>
      <c r="DK445" s="82"/>
      <c r="DL445" s="81"/>
      <c r="DM445" s="82"/>
      <c r="DN445" s="81"/>
      <c r="DO445" s="82"/>
      <c r="DP445" s="81"/>
      <c r="DQ445" s="82"/>
      <c r="DR445" s="81"/>
      <c r="DS445" s="82"/>
      <c r="DT445" s="81"/>
      <c r="DU445" s="82"/>
      <c r="DV445" s="81"/>
      <c r="DW445" s="82"/>
      <c r="DX445" s="81"/>
      <c r="DY445" s="82"/>
      <c r="DZ445" s="81"/>
      <c r="EA445" s="82"/>
      <c r="EB445" s="81"/>
      <c r="EC445" s="82"/>
      <c r="ED445" s="81"/>
      <c r="EE445" s="82"/>
      <c r="EF445" s="81"/>
      <c r="EG445" s="82"/>
      <c r="EH445" s="81"/>
      <c r="EI445" s="82"/>
      <c r="EJ445" s="81"/>
      <c r="EK445" s="82"/>
      <c r="EL445" s="81"/>
      <c r="EM445" s="82"/>
      <c r="EN445" s="81"/>
      <c r="EO445" s="82"/>
      <c r="EP445" s="81"/>
      <c r="EQ445" s="82"/>
      <c r="ER445" s="81"/>
      <c r="ES445" s="82"/>
      <c r="ET445" s="469"/>
      <c r="EU445" s="82"/>
      <c r="EV445" s="82"/>
      <c r="EW445" s="79"/>
      <c r="EX445" s="82"/>
      <c r="EY445" s="79"/>
      <c r="EZ445" s="82"/>
      <c r="FA445" s="79"/>
      <c r="FB445" s="82"/>
      <c r="FC445" s="79"/>
      <c r="FD445" s="82"/>
      <c r="FE445" s="79"/>
      <c r="FF445" s="82"/>
      <c r="FG445" s="79"/>
      <c r="FH445" s="82"/>
      <c r="FI445" s="79"/>
      <c r="FJ445" s="82"/>
      <c r="FK445" s="79"/>
      <c r="FL445" s="82"/>
      <c r="FM445" s="79"/>
      <c r="FN445" s="82"/>
      <c r="FO445" s="79"/>
      <c r="FP445" s="82"/>
      <c r="FQ445" s="79"/>
      <c r="FR445" s="82"/>
      <c r="FS445" s="79"/>
      <c r="FT445" s="82"/>
      <c r="FU445" s="79"/>
      <c r="FV445" s="82"/>
      <c r="FW445" s="79"/>
      <c r="FX445" s="82"/>
      <c r="FY445" s="79"/>
      <c r="FZ445" s="82"/>
      <c r="GA445" s="79"/>
      <c r="GB445" s="82"/>
      <c r="GC445" s="79"/>
      <c r="GD445" s="82"/>
      <c r="GE445" s="79"/>
      <c r="GF445" s="82"/>
      <c r="GG445" s="79"/>
      <c r="GH445" s="82"/>
      <c r="GI445" s="79"/>
      <c r="GJ445" s="82"/>
      <c r="GK445" s="79"/>
      <c r="GL445" s="82"/>
      <c r="GM445" s="79"/>
      <c r="GN445" s="82"/>
      <c r="GO445" s="79"/>
      <c r="GP445" s="82"/>
      <c r="GQ445" s="79"/>
      <c r="GR445" s="82"/>
      <c r="GS445" s="79"/>
      <c r="GT445" s="79"/>
    </row>
    <row r="446" spans="1:286" ht="12.75" customHeight="1" x14ac:dyDescent="0.2">
      <c r="A446" s="1"/>
      <c r="B446" s="10" t="s">
        <v>109</v>
      </c>
      <c r="C446" s="79"/>
      <c r="D446" s="79"/>
      <c r="E446" s="75">
        <f t="shared" ref="E446:E453" si="1473">E403/E$413*100</f>
        <v>0</v>
      </c>
      <c r="F446" s="75"/>
      <c r="G446" s="75">
        <f t="shared" ref="G446:G453" si="1474">G403/G$413*100</f>
        <v>0</v>
      </c>
      <c r="H446" s="75"/>
      <c r="I446" s="75">
        <f t="shared" ref="I446:I453" si="1475">I403/I$413*100</f>
        <v>0</v>
      </c>
      <c r="J446" s="75"/>
      <c r="K446" s="75">
        <f t="shared" ref="K446:K453" si="1476">K403/K$413*100</f>
        <v>0</v>
      </c>
      <c r="L446" s="146"/>
      <c r="M446" s="75">
        <f t="shared" ref="M446:M453" si="1477">M403/M$413*100</f>
        <v>0</v>
      </c>
      <c r="N446" s="146" t="str">
        <f t="shared" ref="N446:N454" si="1478">IF(ISERROR((M446/E446-1)*100),"NA",IF(((M446/E446-1)*100)&gt;100,"NM",IF(((M446/E446-1)*100)&lt;-50,"NM",(M446/E446-1)*100)))</f>
        <v>NA</v>
      </c>
      <c r="O446" s="75">
        <f t="shared" ref="O446:O453" si="1479">O403/O$413*100</f>
        <v>0</v>
      </c>
      <c r="P446" s="146" t="str">
        <f t="shared" ref="P446:P454" si="1480">IF(ISERROR((O446/G446-1)*100),"NA",IF(((O446/G446-1)*100)&gt;100,"NM",IF(((O446/G446-1)*100)&lt;-50,"NM",(O446/G446-1)*100)))</f>
        <v>NA</v>
      </c>
      <c r="Q446" s="75">
        <f t="shared" ref="Q446:Q453" si="1481">Q403/Q$413*100</f>
        <v>0</v>
      </c>
      <c r="R446" s="146" t="str">
        <f t="shared" ref="R446:R454" si="1482">IF(ISERROR((Q446/I446-1)*100),"NA",IF(((Q446/I446-1)*100)&gt;100,"NM",IF(((Q446/I446-1)*100)&lt;-50,"NM",(Q446/I446-1)*100)))</f>
        <v>NA</v>
      </c>
      <c r="S446" s="75">
        <f t="shared" ref="S446:S453" si="1483">S403/S$413*100</f>
        <v>0</v>
      </c>
      <c r="T446" s="146" t="str">
        <f t="shared" ref="T446:T454" si="1484">IF(ISERROR((S446/K446-1)*100),"NA",IF(((S446/K446-1)*100)&gt;100,"NM",IF(((S446/K446-1)*100)&lt;-50,"NM",(S446/K446-1)*100)))</f>
        <v>NA</v>
      </c>
      <c r="U446" s="75">
        <f t="shared" ref="U446:U453" si="1485">U403/U$413*100</f>
        <v>111.46517739816031</v>
      </c>
      <c r="V446" s="146" t="str">
        <f t="shared" ref="V446:V454" si="1486">IF(ISERROR((U446/M446-1)*100),"NA",IF(((U446/M446-1)*100)&gt;100,"NM",IF(((U446/M446-1)*100)&lt;-50,"NM",(U446/M446-1)*100)))</f>
        <v>NA</v>
      </c>
      <c r="W446" s="75">
        <f t="shared" ref="W446:W453" si="1487">W403/W$413*100</f>
        <v>77.608297742525963</v>
      </c>
      <c r="X446" s="146" t="str">
        <f t="shared" ref="X446:X454" si="1488">IF(ISERROR((W446/O446-1)*100),"NA",IF(((W446/O446-1)*100)&gt;100,"NM",IF(((W446/O446-1)*100)&lt;-50,"NM",(W446/O446-1)*100)))</f>
        <v>NA</v>
      </c>
      <c r="Y446" s="75">
        <f t="shared" ref="Y446:Y453" si="1489">Y403/Y$413*100</f>
        <v>70.605187319884749</v>
      </c>
      <c r="Z446" s="146" t="str">
        <f t="shared" ref="Z446:Z454" si="1490">IF(ISERROR((Y446/Q446-1)*100),"NA",IF(((Y446/Q446-1)*100)&gt;100,"NM",IF(((Y446/Q446-1)*100)&lt;-50,"NM",(Y446/Q446-1)*100)))</f>
        <v>NA</v>
      </c>
      <c r="AA446" s="267">
        <f t="shared" ref="AA446:AA453" si="1491">AA403/AA$413*100</f>
        <v>116.03260869565217</v>
      </c>
      <c r="AB446" s="146" t="str">
        <f t="shared" ref="AB446:AB454" si="1492">IF(ISERROR((AA446/S446-1)*100),"NA",IF(((AA446/S446-1)*100)&gt;100,"NM",IF(((AA446/S446-1)*100)&lt;-50,"NM",(AA446/S446-1)*100)))</f>
        <v>NA</v>
      </c>
      <c r="AC446" s="75">
        <f t="shared" ref="AC446:AC453" si="1493">AC403/AC$413*100</f>
        <v>-11.665619107479566</v>
      </c>
      <c r="AD446" s="146" t="str">
        <f t="shared" ref="AD446:AD454" si="1494">IF(ISERROR((AC446/U446-1)*100),"NA",IF(((AC446/U446-1)*100)&gt;100,"NM",IF(((AC446/U446-1)*100)&lt;-50,"NM",(AC446/U446-1)*100)))</f>
        <v>NM</v>
      </c>
      <c r="AE446" s="75">
        <f t="shared" ref="AE446:AE453" si="1495">AE403/AE$413*100</f>
        <v>57.200402819738173</v>
      </c>
      <c r="AF446" s="146">
        <f t="shared" ref="AF446:AF454" si="1496">IF(ISERROR((AE446/W446-1)*100),"NA",IF(((AE446/W446-1)*100)&gt;100,"NM",IF(((AE446/W446-1)*100)&lt;-50,"NM",(AE446/W446-1)*100)))</f>
        <v>-26.296021838403437</v>
      </c>
      <c r="AG446" s="75">
        <f t="shared" ref="AG446:AG453" si="1497">AG403/AG$413*100</f>
        <v>59.46438805814627</v>
      </c>
      <c r="AH446" s="146">
        <f t="shared" ref="AH446:AH454" si="1498">IF(ISERROR((AG446/Y446-1)*100),"NA",IF(((AG446/Y446-1)*100)&gt;100,"NM",IF(((AG446/Y446-1)*100)&lt;-50,"NM",(AG446/Y446-1)*100)))</f>
        <v>-15.779009566625513</v>
      </c>
      <c r="AI446" s="75">
        <f t="shared" ref="AI446:AI453" si="1499">AI403/AI$413*100</f>
        <v>12.864140242330507</v>
      </c>
      <c r="AJ446" s="146" t="str">
        <f t="shared" ref="AJ446:AJ454" si="1500">IF(ISERROR((AI446/AA446-1)*100),"NA",IF(((AI446/AA446-1)*100)&gt;100,"NM",IF(((AI446/AA446-1)*100)&lt;-50,"NM",(AI446/AA446-1)*100)))</f>
        <v>NM</v>
      </c>
      <c r="AK446" s="75">
        <f t="shared" ref="AK446:AK453" si="1501">AK403/AK$413*100</f>
        <v>54.383116883116855</v>
      </c>
      <c r="AL446" s="146" t="str">
        <f t="shared" ref="AL446:AL454" si="1502">IF(ISERROR((AK446/AC446-1)*100),"NA",IF(((AK446/AC446-1)*100)&gt;100,"NM",IF(((AK446/AC446-1)*100)&lt;-50,"NM",(AK446/AC446-1)*100)))</f>
        <v>NM</v>
      </c>
      <c r="AM446" s="75">
        <f t="shared" ref="AM446:AM453" si="1503">AM403/AM$413*100</f>
        <v>55.616575137294177</v>
      </c>
      <c r="AN446" s="146">
        <f t="shared" ref="AN446:BD454" si="1504">IF(ISERROR((AM446/AE446-1)*100),"NA",IF(((AM446/AE446-1)*100)&gt;100,"NM",IF(((AM446/AE446-1)*100)&lt;-50,"NM",(AM446/AE446-1)*100)))</f>
        <v>-2.7689100152586077</v>
      </c>
      <c r="AO446" s="75">
        <f t="shared" ref="AO446:AO453" si="1505">AO403/AO$413*100</f>
        <v>53.875598086124377</v>
      </c>
      <c r="AP446" s="146">
        <f t="shared" si="1504"/>
        <v>-9.3985495428911001</v>
      </c>
      <c r="AQ446" s="75">
        <f t="shared" ref="AQ446:AQ453" si="1506">AQ403/AQ$413*100</f>
        <v>55.472504004271286</v>
      </c>
      <c r="AR446" s="146" t="str">
        <f t="shared" si="1504"/>
        <v>NM</v>
      </c>
      <c r="AS446" s="75">
        <f t="shared" ref="AS446:AS453" si="1507">AS403/AS$413*100</f>
        <v>50.223103619236383</v>
      </c>
      <c r="AT446" s="146">
        <f t="shared" si="1504"/>
        <v>-7.6494572255235038</v>
      </c>
      <c r="AU446" s="75">
        <f t="shared" ref="AU446:AU453" si="1508">AU403/AU$413*100</f>
        <v>48.267898383371886</v>
      </c>
      <c r="AV446" s="146">
        <f t="shared" si="1504"/>
        <v>-13.213105509969768</v>
      </c>
      <c r="AW446" s="75">
        <f t="shared" ref="AW446:AW453" si="1509">AW403/AW$413*100</f>
        <v>48.343558282208591</v>
      </c>
      <c r="AX446" s="146">
        <f t="shared" si="1504"/>
        <v>-10.268173348298404</v>
      </c>
      <c r="AY446" s="75">
        <f t="shared" ref="AY446:AY453" si="1510">AY403/AY$413*100</f>
        <v>46.754716981132006</v>
      </c>
      <c r="AZ446" s="146">
        <f t="shared" si="1504"/>
        <v>-15.715510196669735</v>
      </c>
      <c r="BA446" s="75">
        <f t="shared" ref="BA446:BA453" si="1511">BA403/BA$413*100</f>
        <v>51.934749620637291</v>
      </c>
      <c r="BB446" s="146">
        <f t="shared" si="1504"/>
        <v>3.4080848813678566</v>
      </c>
      <c r="BC446" s="75">
        <f t="shared" ref="BC446:BC453" si="1512">BC403/BC$413*100</f>
        <v>55.426497277676887</v>
      </c>
      <c r="BD446" s="146">
        <f t="shared" si="1504"/>
        <v>14.830972828871115</v>
      </c>
      <c r="BE446" s="75">
        <f t="shared" ref="BE446:BE453" si="1513">BE403/BE$413*100</f>
        <v>48.553846153846166</v>
      </c>
      <c r="BF446" s="146">
        <f t="shared" ref="BF446:BF454" si="1514">IF(ISERROR((BE446/AW446-1)*100),"NA",IF(((BE446/AW446-1)*100)&gt;100,"NM",IF(((BE446/AW446-1)*100)&lt;-50,"NM",(BE446/AW446-1)*100)))</f>
        <v>0.43498633346350513</v>
      </c>
      <c r="BG446" s="75">
        <f t="shared" ref="BG446:BG453" si="1515">BG403/BG$413*100</f>
        <v>56.518904823989516</v>
      </c>
      <c r="BH446" s="146">
        <f t="shared" ref="BH446:BH454" si="1516">IF(ISERROR((BG446/AY446-1)*100),"NA",IF(((BG446/AY446-1)*100)&gt;100,"NM",IF(((BG446/AY446-1)*100)&lt;-50,"NM",(BG446/AY446-1)*100)))</f>
        <v>20.883856161075421</v>
      </c>
      <c r="BI446" s="75">
        <f t="shared" ref="BI446:BI453" si="1517">BI403/BI$413*100</f>
        <v>50.542784163473812</v>
      </c>
      <c r="BJ446" s="146">
        <f t="shared" ref="BJ446:BJ454" si="1518">IF(ISERROR((BI446/BA446-1)*100),"NA",IF(((BI446/BA446-1)*100)&gt;100,"NM",IF(((BI446/BA446-1)*100)&lt;-50,"NM",(BI446/BA446-1)*100)))</f>
        <v>-2.6802198284024303</v>
      </c>
      <c r="BK446" s="75">
        <f t="shared" ref="BK446:BK453" si="1519">BK403/BK$413*100</f>
        <v>51.804048107949683</v>
      </c>
      <c r="BL446" s="146">
        <f t="shared" ref="BL446:BL454" si="1520">IF(ISERROR((BK446/BC446-1)*100),"NA",IF(((BK446/BC446-1)*100)&gt;100,"NM",IF(((BK446/BC446-1)*100)&lt;-50,"NM",(BK446/BC446-1)*100)))</f>
        <v>-6.5355910036663083</v>
      </c>
      <c r="BM446" s="75">
        <f t="shared" ref="BM446:BM453" si="1521">BM403/BM$413*100</f>
        <v>52.702702702702631</v>
      </c>
      <c r="BN446" s="146">
        <f t="shared" ref="BN446:BN454" si="1522">IF(ISERROR((BM446/BE446-1)*100),"NA",IF(((BM446/BE446-1)*100)&gt;100,"NM",IF(((BM446/BE446-1)*100)&lt;-50,"NM",(BM446/BE446-1)*100)))</f>
        <v>8.5448566437157822</v>
      </c>
      <c r="BO446" s="75">
        <f t="shared" ref="BO446:BO453" si="1523">BO403/BO$413*100</f>
        <v>58.865248226950428</v>
      </c>
      <c r="BP446" s="146">
        <f t="shared" ref="BP446:BP454" si="1524">IF(ISERROR((BO446/BG446-1)*100),"NA",IF(((BO446/BG446-1)*100)&gt;100,"NM",IF(((BO446/BG446-1)*100)&lt;-50,"NM",(BO446/BG446-1)*100)))</f>
        <v>4.1514311189642994</v>
      </c>
      <c r="BQ446" s="75">
        <f t="shared" ref="BQ446:BQ453" si="1525">BQ403/BQ$413*100</f>
        <v>58.248730964467065</v>
      </c>
      <c r="BR446" s="81">
        <f t="shared" ref="BR446:BR454" si="1526">IF(ISERROR((BQ446/BI446-1)*100),"NA",IF(((BQ446/BI446-1)*100)&gt;100,"NM",IF(((BQ446/BI446-1)*100)&lt;-50,"NM",(BQ446/BI446-1)*100)))</f>
        <v>15.246383689646791</v>
      </c>
      <c r="BS446" s="75">
        <f t="shared" ref="BS446:BS453" si="1527">BS403/BS$413*100</f>
        <v>59.061438715652805</v>
      </c>
      <c r="BT446" s="81">
        <f t="shared" ref="BT446:BT454" si="1528">IF(ISERROR((BS446/BK446-1)*100),"NA",IF(((BS446/BK446-1)*100)&gt;100,"NM",IF(((BS446/BK446-1)*100)&lt;-50,"NM",(BS446/BK446-1)*100)))</f>
        <v>14.009311767644327</v>
      </c>
      <c r="BU446" s="75">
        <f t="shared" ref="BU446:BU453" si="1529">BU403/BU$413*100</f>
        <v>61.651548326556018</v>
      </c>
      <c r="BV446" s="81">
        <f t="shared" ref="BV446:BV454" si="1530">IF(ISERROR((BU446/BM446-1)*100),"NA",IF(((BU446/BM446-1)*100)&gt;100,"NM",IF(((BU446/BM446-1)*100)&lt;-50,"NM",(BU446/BM446-1)*100)))</f>
        <v>16.979860927311584</v>
      </c>
      <c r="BW446" s="75">
        <f t="shared" ref="BW446:BW453" si="1531">BW403/BW$413*100</f>
        <v>63.082660037290282</v>
      </c>
      <c r="BX446" s="81">
        <f t="shared" ref="BX446:BX454" si="1532">IF(ISERROR((BW446/BO446-1)*100),"NA",IF(((BW446/BO446-1)*100)&gt;100,"NM",IF(((BW446/BO446-1)*100)&lt;-50,"NM",(BW446/BO446-1)*100)))</f>
        <v>7.1645188585291342</v>
      </c>
      <c r="BY446" s="75">
        <f t="shared" ref="BY446:BY453" si="1533">BY403/BY$413*100</f>
        <v>53.660688032931489</v>
      </c>
      <c r="BZ446" s="81">
        <f t="shared" ref="BZ446:BZ454" si="1534">IF(ISERROR((BY446/BQ446-1)*100),"NA",IF(((BY446/BQ446-1)*100)&gt;100,"NM",IF(((BY446/BQ446-1)*100)&lt;-50,"NM",(BY446/BQ446-1)*100)))</f>
        <v>-7.8766401526144447</v>
      </c>
      <c r="CA446" s="75">
        <f t="shared" ref="CA446:CA453" si="1535">CA403/CA$413*100</f>
        <v>58.440046565774153</v>
      </c>
      <c r="CB446" s="81">
        <f t="shared" ref="CB446:CB454" si="1536">IF(ISERROR((CA446/BS446-1)*100),"NA",IF(((CA446/BS446-1)*100)&gt;100,"NM",IF(((CA446/BS446-1)*100)&lt;-50,"NM",(CA446/BS446-1)*100)))</f>
        <v>-1.0521114341123683</v>
      </c>
      <c r="CC446" s="75">
        <f t="shared" ref="CC446:CC453" si="1537">CC403/CC$413*100</f>
        <v>57.808716707021709</v>
      </c>
      <c r="CD446" s="81">
        <f t="shared" ref="CD446:CD454" si="1538">IF(ISERROR((CC446/BU446-1)*100),"NA",IF(((CC446/BU446-1)*100)&gt;100,"NM",IF(((CC446/BU446-1)*100)&lt;-50,"NM",(CC446/BU446-1)*100)))</f>
        <v>-6.2331469749625672</v>
      </c>
      <c r="CE446" s="75">
        <f t="shared" ref="CE446:CE453" si="1539">CE403/CE$413*100</f>
        <v>62.181122448979607</v>
      </c>
      <c r="CF446" s="81">
        <f t="shared" ref="CF446:CF454" si="1540">IF(ISERROR((CE446/BW446-1)*100),"NA",IF(((CE446/BW446-1)*100)&gt;100,"NM",IF(((CE446/BW446-1)*100)&lt;-50,"NM",(CE446/BW446-1)*100)))</f>
        <v>-1.4291369257062758</v>
      </c>
      <c r="CG446" s="75">
        <f t="shared" ref="CG446:CG453" si="1541">CG403/CG$413*100</f>
        <v>60.805746408494734</v>
      </c>
      <c r="CH446" s="81">
        <f t="shared" ref="CH446:CH454" si="1542">IF(ISERROR((CG446/BY446-1)*100),"NA",IF(((CG446/BY446-1)*100)&gt;100,"NM",IF(((CG446/BY446-1)*100)&lt;-50,"NM",(CG446/BY446-1)*100)))</f>
        <v>13.31525673166607</v>
      </c>
      <c r="CI446" s="75">
        <f t="shared" ref="CI446:CI453" si="1543">CI403/CI$413*100</f>
        <v>59.404796301646876</v>
      </c>
      <c r="CJ446" s="81">
        <f t="shared" ref="CJ446:CJ454" si="1544">IF(ISERROR((CI446/CA446-1)*100),"NA",IF(((CI446/CA446-1)*100)&gt;100,"NM",IF(((CI446/CA446-1)*100)&lt;-50,"NM",(CI446/CA446-1)*100)))</f>
        <v>1.6508366994316015</v>
      </c>
      <c r="CK446" s="75">
        <f t="shared" ref="CK446:CK453" si="1545">CK403/CK$413*100</f>
        <v>63.537117903930209</v>
      </c>
      <c r="CL446" s="81">
        <f t="shared" ref="CL446:CL454" si="1546">IF(ISERROR((CK446/CC446-1)*100),"NA",IF(((CK446/CC446-1)*100)&gt;100,"NM",IF(((CK446/CC446-1)*100)&lt;-50,"NM",(CK446/CC446-1)*100)))</f>
        <v>9.9092343217726189</v>
      </c>
      <c r="CM446" s="75">
        <f t="shared" ref="CM446:CM453" si="1547">CM403/CM$413*100</f>
        <v>-33.62516212710765</v>
      </c>
      <c r="CN446" s="81" t="str">
        <f t="shared" ref="CN446:CN454" si="1548">IF(ISERROR((CM446/CE446-1)*100),"NA",IF(((CM446/CE446-1)*100)&gt;100,"NM",IF(((CM446/CE446-1)*100)&lt;-50,"NM",(CM446/CE446-1)*100)))</f>
        <v>NM</v>
      </c>
      <c r="CO446" s="75">
        <f t="shared" ref="CO446:CO453" si="1549">CO403/CO$413*100</f>
        <v>66.591203104786445</v>
      </c>
      <c r="CP446" s="81">
        <f t="shared" ref="CP446:CP454" si="1550">IF(ISERROR((CO446/CG446-1)*100),"NA",IF(((CO446/CG446-1)*100)&gt;100,"NM",IF(((CO446/CG446-1)*100)&lt;-50,"NM",(CO446/CG446-1)*100)))</f>
        <v>9.5146545154217055</v>
      </c>
      <c r="CQ446" s="75">
        <f t="shared" ref="CQ446:CQ453" si="1551">CQ403/CQ$413*100</f>
        <v>68.590777168655379</v>
      </c>
      <c r="CR446" s="81">
        <f t="shared" ref="CR446:CR454" si="1552">IF(ISERROR((CQ446/CI446-1)*100),"NA",IF(((CQ446/CI446-1)*100)&gt;100,"NM",IF(((CQ446/CI446-1)*100)&lt;-50,"NM",(CQ446/CI446-1)*100)))</f>
        <v>15.463365652099448</v>
      </c>
      <c r="CS446" s="75">
        <f t="shared" ref="CS446:CS453" si="1553">CS403/CS$413*100</f>
        <v>69.616993884776306</v>
      </c>
      <c r="CT446" s="81">
        <f t="shared" ref="CT446:CT454" si="1554">IF(ISERROR((CS446/CK446-1)*100),"NA",IF(((CS446/CK446-1)*100)&gt;100,"NM",IF(((CS446/CK446-1)*100)&lt;-50,"NM",(CS446/CK446-1)*100)))</f>
        <v>9.5690144303350877</v>
      </c>
      <c r="CU446" s="75">
        <f t="shared" ref="CU446:CU453" si="1555">CU403/CU$413*100</f>
        <v>68.517920568291856</v>
      </c>
      <c r="CV446" s="81" t="str">
        <f t="shared" ref="CV446:CV454" si="1556">IF(ISERROR((CU446/CM446-1)*100),"NA",IF(((CU446/CM446-1)*100)&gt;100,"NM",IF(((CU446/CM446-1)*100)&lt;-50,"NM",(CU446/CM446-1)*100)))</f>
        <v>NM</v>
      </c>
      <c r="CW446" s="75">
        <f t="shared" ref="CW446:CW453" si="1557">CW403/CW$413*100</f>
        <v>67.692307692307679</v>
      </c>
      <c r="CX446" s="81">
        <f t="shared" ref="CX446:CX454" si="1558">IF(ISERROR((CW446/CO446-1)*100),"NA",IF(((CW446/CO446-1)*100)&gt;100,"NM",IF(((CW446/CO446-1)*100)&lt;-50,"NM",(CW446/CO446-1)*100)))</f>
        <v>1.6535285986477133</v>
      </c>
      <c r="CY446" s="75">
        <f t="shared" ref="CY446:CY453" si="1559">CY403/CY$413*100</f>
        <v>67.037154652270544</v>
      </c>
      <c r="CZ446" s="81">
        <f t="shared" ref="CZ446:CZ454" si="1560">IF(ISERROR((CY446/CQ446-1)*100),"NA",IF(((CY446/CQ446-1)*100)&gt;100,"NM",IF(((CY446/CQ446-1)*100)&lt;-50,"NM",(CY446/CQ446-1)*100)))</f>
        <v>-2.2650603776724787</v>
      </c>
      <c r="DA446" s="75">
        <f t="shared" ref="DA446:DA453" si="1561">DA403/DA$413*100</f>
        <v>68.552465233881193</v>
      </c>
      <c r="DB446" s="81">
        <f t="shared" ref="DB446:DB454" si="1562">IF(ISERROR((DA446/CS446-1)*100),"NA",IF(((DA446/CS446-1)*100)&gt;100,"NM",IF(((DA446/CS446-1)*100)&lt;-50,"NM",(DA446/CS446-1)*100)))</f>
        <v>-1.529121830019009</v>
      </c>
      <c r="DC446" s="75">
        <f t="shared" ref="DC446:DC453" si="1563">DC403/DC$413*100</f>
        <v>71.202113606340845</v>
      </c>
      <c r="DD446" s="81">
        <f t="shared" ref="DD446:DD454" si="1564">IF(ISERROR((DC446/CU446-1)*100),"NA",IF(((DC446/CU446-1)*100)&gt;100,"NM",IF(((DC446/CU446-1)*100)&lt;-50,"NM",(DC446/CU446-1)*100)))</f>
        <v>3.9175051078405909</v>
      </c>
      <c r="DE446" s="75">
        <f t="shared" ref="DE446:DE453" si="1565">DE403/DE$413*100</f>
        <v>63.865804863034825</v>
      </c>
      <c r="DF446" s="81">
        <f t="shared" ref="DF446:DF454" si="1566">IF(ISERROR((DE446/CW446-1)*100),"NA",IF(((DE446/CW446-1)*100)&gt;100,"NM",IF(((DE446/CW446-1)*100)&lt;-50,"NM",(DE446/CW446-1)*100)))</f>
        <v>-5.6527882705167176</v>
      </c>
      <c r="DG446" s="75">
        <f t="shared" ref="DG446:DG453" si="1567">DG403/DG$413*100</f>
        <v>66.338764217645164</v>
      </c>
      <c r="DH446" s="81">
        <f t="shared" ref="DH446:DH454" si="1568">IF(ISERROR((DG446/CY446-1)*100),"NA",IF(((DG446/CY446-1)*100)&gt;100,"NM",IF(((DG446/CY446-1)*100)&lt;-50,"NM",(DG446/CY446-1)*100)))</f>
        <v>-1.0417960580934693</v>
      </c>
      <c r="DI446" s="75">
        <f t="shared" ref="DI446:DI453" si="1569">DI403/DI$413*100</f>
        <v>66.866330390920595</v>
      </c>
      <c r="DJ446" s="81">
        <f t="shared" ref="DJ446:DJ454" si="1570">IF(ISERROR((DI446/DA446-1)*100),"NA",IF(((DI446/DA446-1)*100)&gt;100,"NM",IF(((DI446/DA446-1)*100)&lt;-50,"NM",(DI446/DA446-1)*100)))</f>
        <v>-2.4596268525252762</v>
      </c>
      <c r="DK446" s="75">
        <f t="shared" ref="DK446:DM453" si="1571">DK403/DK$413*100</f>
        <v>-56.181281844998651</v>
      </c>
      <c r="DL446" s="81" t="str">
        <f t="shared" ref="DL446:DL454" si="1572">IF(ISERROR((DK446/DC446-1)*100),"NA",IF(((DK446/DC446-1)*100)&gt;100,"NM",IF(((DK446/DC446-1)*100)&lt;-50,"NM",(DK446/DC446-1)*100)))</f>
        <v>NM</v>
      </c>
      <c r="DM446" s="75">
        <f t="shared" si="1571"/>
        <v>67.326421614828831</v>
      </c>
      <c r="DN446" s="81">
        <f t="shared" ref="DN446:DP454" si="1573">IF(ISERROR((DM446/DE446-1)*100),"NA",IF(((DM446/DE446-1)*100)&gt;100,"NM",IF(((DM446/DE446-1)*100)&lt;-50,"NM",(DM446/DE446-1)*100)))</f>
        <v>5.418575338110232</v>
      </c>
      <c r="DO446" s="75">
        <f t="shared" ref="DO446:DQ453" si="1574">DO403/DO$413*100</f>
        <v>63.573667711598816</v>
      </c>
      <c r="DP446" s="81">
        <f t="shared" si="1573"/>
        <v>-4.1681459379836809</v>
      </c>
      <c r="DQ446" s="75">
        <f t="shared" si="1574"/>
        <v>67.188940092165794</v>
      </c>
      <c r="DR446" s="81">
        <f t="shared" ref="DR446:DR454" si="1575">IF(ISERROR((DQ446/DI446-1)*100),"NA",IF(((DQ446/DI446-1)*100)&gt;100,"NM",IF(((DQ446/DI446-1)*100)&lt;-50,"NM",(DQ446/DI446-1)*100)))</f>
        <v>0.48246957677970936</v>
      </c>
      <c r="DS446" s="75">
        <f t="shared" ref="DS446:DU446" si="1576">DS403/DS$413*100</f>
        <v>67.08424678985277</v>
      </c>
      <c r="DT446" s="81" t="str">
        <f t="shared" ref="DT446:DT454" si="1577">IF(ISERROR((DS446/DK446-1)*100),"NA",IF(((DS446/DK446-1)*100)&gt;100,"NM",IF(((DS446/DK446-1)*100)&lt;-50,"NM",(DS446/DK446-1)*100)))</f>
        <v>NM</v>
      </c>
      <c r="DU446" s="75">
        <f t="shared" si="1576"/>
        <v>66.492146596858774</v>
      </c>
      <c r="DV446" s="81">
        <f t="shared" ref="DV446:DV454" si="1578">IF(ISERROR((DU446/DM446-1)*100),"NA",IF(((DU446/DM446-1)*100)&gt;100,"NM",IF(((DU446/DM446-1)*100)&lt;-50,"NM",(DU446/DM446-1)*100)))</f>
        <v>-1.2391495017259446</v>
      </c>
      <c r="DW446" s="75">
        <f t="shared" ref="DW446" si="1579">DW403/DW$413*100</f>
        <v>67.841146610928732</v>
      </c>
      <c r="DX446" s="81">
        <f t="shared" ref="DX446:DX454" si="1580">IF(ISERROR((DW446/DO446-1)*100),"NA",IF(((DW446/DO446-1)*100)&gt;100,"NM",IF(((DW446/DO446-1)*100)&lt;-50,"NM",(DW446/DO446-1)*100)))</f>
        <v>6.7126517203463631</v>
      </c>
      <c r="DY446" s="75">
        <f t="shared" ref="DY446:EA446" si="1581">DY403/DY$413*100</f>
        <v>71.940205543444364</v>
      </c>
      <c r="DZ446" s="81">
        <f t="shared" ref="DZ446:DZ454" si="1582">IF(ISERROR((DY446/DQ446-1)*100),"NA",IF(((DY446/DQ446-1)*100)&gt;100,"NM",IF(((DY446/DQ446-1)*100)&lt;-50,"NM",(DY446/DQ446-1)*100)))</f>
        <v>7.0714993342074761</v>
      </c>
      <c r="EA446" s="75">
        <f t="shared" si="1581"/>
        <v>70.040840140023192</v>
      </c>
      <c r="EB446" s="81">
        <f t="shared" ref="EB446:EB454" si="1583">IF(ISERROR((EA446/DS446-1)*100),"NA",IF(((EA446/DS446-1)*100)&gt;100,"NM",IF(((EA446/DS446-1)*100)&lt;-50,"NM",(EA446/DS446-1)*100)))</f>
        <v>4.407284111621923</v>
      </c>
      <c r="EC446" s="75">
        <f t="shared" ref="EC446:EE446" si="1584">EC403/EC$413*100</f>
        <v>70.344218887908241</v>
      </c>
      <c r="ED446" s="81">
        <f t="shared" ref="ED446:ED454" si="1585">IF(ISERROR((EC446/DU446-1)*100),"NA",IF(((EC446/DU446-1)*100)&gt;100,"NM",IF(((EC446/DU446-1)*100)&lt;-50,"NM",(EC446/DU446-1)*100)))</f>
        <v>5.7932740755153311</v>
      </c>
      <c r="EE446" s="75">
        <f t="shared" si="1584"/>
        <v>70.099009900990126</v>
      </c>
      <c r="EF446" s="81">
        <f t="shared" ref="EF446:EF454" si="1586">IF(ISERROR((EE446/DW446-1)*100),"NA",IF(((EE446/DW446-1)*100)&gt;100,"NM",IF(((EE446/DW446-1)*100)&lt;-50,"NM",(EE446/DW446-1)*100)))</f>
        <v>3.3281620415561708</v>
      </c>
      <c r="EG446" s="75">
        <f t="shared" ref="EG446:EI446" si="1587">EG403/EG$413*100</f>
        <v>72.502805836139203</v>
      </c>
      <c r="EH446" s="81">
        <f t="shared" ref="EH446:EH454" si="1588">IF(ISERROR((EG446/DY446-1)*100),"NA",IF(((EG446/DY446-1)*100)&gt;100,"NM",IF(((EG446/DY446-1)*100)&lt;-50,"NM",(EG446/DY446-1)*100)))</f>
        <v>0.78203876183684518</v>
      </c>
      <c r="EI446" s="75">
        <f t="shared" si="1587"/>
        <v>65.620809868597547</v>
      </c>
      <c r="EJ446" s="81">
        <f t="shared" ref="EJ446:EJ454" si="1589">IF(ISERROR((EI446/EA446-1)*100),"NA",IF(((EI446/EA446-1)*100)&gt;100,"NM",IF(((EI446/EA446-1)*100)&lt;-50,"NM",(EI446/EA446-1)*100)))</f>
        <v>-6.3106471347135091</v>
      </c>
      <c r="EK446" s="75">
        <f t="shared" ref="EK446" si="1590">EK403/EK$413*100</f>
        <v>70.644520021992008</v>
      </c>
      <c r="EL446" s="81">
        <f t="shared" ref="EL446:EL454" si="1591">IF(ISERROR((EK446/EC446-1)*100),"NA",IF(((EK446/EC446-1)*100)&gt;100,"NM",IF(((EK446/EC446-1)*100)&lt;-50,"NM",(EK446/EC446-1)*100)))</f>
        <v>0.42690236501494727</v>
      </c>
      <c r="EM446" s="75">
        <f t="shared" ref="EM446" si="1592">EM403/EM$413*100</f>
        <v>70.794728710316022</v>
      </c>
      <c r="EN446" s="81">
        <f t="shared" ref="EN446:EN454" si="1593">IF(ISERROR((EM446/EE446-1)*100),"NA",IF(((EM446/EE446-1)*100)&gt;100,"NM",IF(((EM446/EE446-1)*100)&lt;-50,"NM",(EM446/EE446-1)*100)))</f>
        <v>0.99248022234343924</v>
      </c>
      <c r="EO446" s="75">
        <f t="shared" ref="EO446" si="1594">EO403/EO$413*100</f>
        <v>71.459988653341156</v>
      </c>
      <c r="EP446" s="81">
        <f t="shared" ref="EP446:EP454" si="1595">IF(ISERROR((EO446/EG446-1)*100),"NA",IF(((EO446/EG446-1)*100)&gt;100,"NM",IF(((EO446/EG446-1)*100)&lt;-50,"NM",(EO446/EG446-1)*100)))</f>
        <v>-1.438312863580582</v>
      </c>
      <c r="EQ446" s="75">
        <f t="shared" ref="EQ446" si="1596">EQ403/EQ$413*100</f>
        <v>71.821505056619912</v>
      </c>
      <c r="ER446" s="81">
        <f t="shared" ref="ER446:ER454" si="1597">IF(ISERROR((EQ446/EI446-1)*100),"NA",IF(((EQ446/EI446-1)*100)&gt;100,"NM",IF(((EQ446/EI446-1)*100)&lt;-50,"NM",(EQ446/EI446-1)*100)))</f>
        <v>9.4492817148080768</v>
      </c>
      <c r="ES446" s="129"/>
      <c r="ET446" s="465"/>
      <c r="EU446" s="129"/>
      <c r="EV446" s="75"/>
      <c r="EW446" s="79"/>
      <c r="EX446" s="75"/>
      <c r="EY446" s="79"/>
      <c r="EZ446" s="75"/>
      <c r="FA446" s="79"/>
      <c r="FB446" s="75">
        <f t="shared" ref="FB446:FB453" si="1598">FB403/FB$413*100</f>
        <v>0</v>
      </c>
      <c r="FC446" s="79" t="str">
        <f t="shared" ref="FC446:FC454" si="1599">IF(ISERROR((FB446/EZ446-1)*100),"NA",IF(((FB446/EZ446-1)*100)&gt;100,"NM",IF(((FB446/EZ446-1)*100)&lt;-50,"NM",(FB446/EZ446-1)*100)))</f>
        <v>NA</v>
      </c>
      <c r="FD446" s="75">
        <f t="shared" ref="FD446:FD453" si="1600">FD403/FD$413*100</f>
        <v>66.490116334058484</v>
      </c>
      <c r="FE446" s="79" t="str">
        <f t="shared" ref="FE446:FE454" si="1601">IF(ISERROR((FD446/FB446-1)*100),"NA",IF(((FD446/FB446-1)*100)&gt;100,"NM",IF(((FD446/FB446-1)*100)&lt;-50,"NM",(FD446/FB446-1)*100)))</f>
        <v>NA</v>
      </c>
      <c r="FF446" s="75">
        <f t="shared" ref="FF446:FF453" si="1602">FF403/FF$413*100</f>
        <v>635.05154639175839</v>
      </c>
      <c r="FG446" s="79" t="str">
        <f t="shared" ref="FG446:FG454" si="1603">IF(ISERROR((FF446/FD446-1)*100),"NA",IF(((FF446/FD446-1)*100)&gt;100,"NM",IF(((FF446/FD446-1)*100)&lt;-50,"NM",(FF446/FD446-1)*100)))</f>
        <v>NM</v>
      </c>
      <c r="FH446" s="75">
        <f t="shared" ref="FH446:FH453" si="1604">FH403/FH$413*100</f>
        <v>-248.5185185185189</v>
      </c>
      <c r="FI446" s="79" t="str">
        <f t="shared" ref="FI446:GQ454" si="1605">IF(ISERROR((FH446/FF446-1)*100),"NA",IF(((FH446/FF446-1)*100)&gt;100,"NM",IF(((FH446/FF446-1)*100)&lt;-50,"NM",(FH446/FF446-1)*100)))</f>
        <v>NM</v>
      </c>
      <c r="FJ446" s="75">
        <f t="shared" ref="FJ446:FJ453" si="1606">FJ403/FJ$413*100</f>
        <v>54.824673662656664</v>
      </c>
      <c r="FK446" s="79" t="str">
        <f t="shared" si="1605"/>
        <v>NM</v>
      </c>
      <c r="FL446" s="75">
        <f t="shared" ref="FL446:FL453" si="1607">FL403/FL$413*100</f>
        <v>48.280694189932035</v>
      </c>
      <c r="FM446" s="79">
        <f t="shared" si="1605"/>
        <v>-11.936194117616793</v>
      </c>
      <c r="FN446" s="75">
        <f t="shared" ref="FN446:FN453" si="1608">FN403/FN$413*100</f>
        <v>53.019045178922283</v>
      </c>
      <c r="FO446" s="79">
        <f t="shared" si="1605"/>
        <v>9.8141732808355808</v>
      </c>
      <c r="FP446" s="75">
        <f t="shared" ref="FP446:FP453" si="1609">FP403/FP$413*100</f>
        <v>53.422745949298353</v>
      </c>
      <c r="FQ446" s="79">
        <f t="shared" si="1605"/>
        <v>0.76142595366195387</v>
      </c>
      <c r="FR446" s="75">
        <f t="shared" ref="FR446:FR453" si="1610">FR403/FR$413*100</f>
        <v>54.647716044691016</v>
      </c>
      <c r="FS446" s="79">
        <f t="shared" si="1605"/>
        <v>2.2929747874720574</v>
      </c>
      <c r="FT446" s="75">
        <f t="shared" ref="FT446:FT453" si="1611">FT403/FT$413*100</f>
        <v>57.942306243880445</v>
      </c>
      <c r="FU446" s="79">
        <f t="shared" si="1605"/>
        <v>6.028779311646093</v>
      </c>
      <c r="FV446" s="75">
        <f t="shared" ref="FV446:FV453" si="1612">FV403/FV$413*100</f>
        <v>219.23804377195353</v>
      </c>
      <c r="FW446" s="79" t="str">
        <f t="shared" si="1605"/>
        <v>NM</v>
      </c>
      <c r="FX446" s="75">
        <f t="shared" ref="FX446:FX453" si="1613">FX403/FX$413*100</f>
        <v>67.112597547380162</v>
      </c>
      <c r="FY446" s="79" t="str">
        <f t="shared" si="1605"/>
        <v>NM</v>
      </c>
      <c r="FZ446" s="75">
        <f t="shared" ref="FZ446:FZ453" si="1614">FZ403/FZ$413*100</f>
        <v>68.598025840622796</v>
      </c>
      <c r="GA446" s="79">
        <f t="shared" si="1605"/>
        <v>2.2133375067087124</v>
      </c>
      <c r="GB446" s="75">
        <f t="shared" ref="GB446:GB453" si="1615">GB403/GB$413*100</f>
        <v>142.11942809083274</v>
      </c>
      <c r="GC446" s="79" t="str">
        <f t="shared" si="1605"/>
        <v>NM</v>
      </c>
      <c r="GD446" s="75">
        <f t="shared" ref="GD446:GD453" si="1616">GD403/GD$413*100</f>
        <v>66.297480695733583</v>
      </c>
      <c r="GE446" s="79" t="str">
        <f t="shared" si="1605"/>
        <v>NM</v>
      </c>
      <c r="GF446" s="75">
        <f t="shared" ref="GF446:GF453" si="1617">GF403/GF$413*100</f>
        <v>69.074423876086072</v>
      </c>
      <c r="GG446" s="79">
        <f t="shared" si="1605"/>
        <v>4.1886104135646196</v>
      </c>
      <c r="GH446" s="75">
        <f t="shared" ref="GH446:GH453" si="1618">GH403/GH$413*100</f>
        <v>69.585998453644464</v>
      </c>
      <c r="GI446" s="79">
        <f t="shared" si="1605"/>
        <v>0.74061360030466261</v>
      </c>
      <c r="GJ446" s="75">
        <f t="shared" ref="GJ446:GJ453" si="1619">GJ403/GJ$413*100</f>
        <v>71.183023805769594</v>
      </c>
      <c r="GK446" s="79">
        <f t="shared" si="1605"/>
        <v>2.2950383519882989</v>
      </c>
      <c r="GL446" s="75">
        <f t="shared" ref="GL446:GN453" si="1620">GL403/GL$413*100</f>
        <v>71.700315372392367</v>
      </c>
      <c r="GM446" s="79">
        <f t="shared" si="1605"/>
        <v>0.72670636756630991</v>
      </c>
      <c r="GN446" s="75">
        <f t="shared" si="1620"/>
        <v>71.954963423734654</v>
      </c>
      <c r="GO446" s="79">
        <f t="shared" si="1605"/>
        <v>0.35515611056897711</v>
      </c>
      <c r="GP446" s="75">
        <f t="shared" ref="GP446:GR446" si="1621">GP403/GP$413*100</f>
        <v>72.151598478107431</v>
      </c>
      <c r="GQ446" s="79">
        <f t="shared" si="1605"/>
        <v>0.27327517799544676</v>
      </c>
      <c r="GR446" s="75">
        <f t="shared" si="1621"/>
        <v>72.351987333615696</v>
      </c>
      <c r="GS446" s="79">
        <f t="shared" ref="GS446:GS454" si="1622">IF(ISERROR((GR446/GP446-1)*100),"NA",IF(((GR446/GP446-1)*100)&gt;100,"NM",IF(((GR446/GP446-1)*100)&lt;-50,"NM",(GR446/GP446-1)*100)))</f>
        <v>0.27773307831713279</v>
      </c>
      <c r="GT446" s="79">
        <f t="shared" ref="GT446:GT454" si="1623">IF(ISERROR(((GR446/GH446)^0.2-1)*100),"NA",(IF(OR(((GR446/GH446)^0.2-1)*100&gt;99,((GR446/GH446)^0.2-1)*100&lt;-50),"NM",(((GR446/GH446)^0.2-1)*100))))</f>
        <v>0.78263763351860138</v>
      </c>
    </row>
    <row r="447" spans="1:286" ht="12.75" customHeight="1" x14ac:dyDescent="0.2">
      <c r="A447" s="1" t="s">
        <v>426</v>
      </c>
      <c r="B447" s="10" t="s">
        <v>110</v>
      </c>
      <c r="C447" s="79"/>
      <c r="D447" s="79"/>
      <c r="E447" s="75">
        <f t="shared" si="1473"/>
        <v>0</v>
      </c>
      <c r="F447" s="75"/>
      <c r="G447" s="75">
        <f t="shared" si="1474"/>
        <v>0</v>
      </c>
      <c r="H447" s="75"/>
      <c r="I447" s="75">
        <f t="shared" si="1475"/>
        <v>0</v>
      </c>
      <c r="J447" s="75"/>
      <c r="K447" s="75">
        <f t="shared" si="1476"/>
        <v>0</v>
      </c>
      <c r="L447" s="146"/>
      <c r="M447" s="75">
        <f t="shared" si="1477"/>
        <v>0</v>
      </c>
      <c r="N447" s="146" t="str">
        <f t="shared" si="1478"/>
        <v>NA</v>
      </c>
      <c r="O447" s="75">
        <f t="shared" si="1479"/>
        <v>0</v>
      </c>
      <c r="P447" s="146" t="str">
        <f t="shared" si="1480"/>
        <v>NA</v>
      </c>
      <c r="Q447" s="75">
        <f t="shared" si="1481"/>
        <v>0</v>
      </c>
      <c r="R447" s="146" t="str">
        <f t="shared" si="1482"/>
        <v>NA</v>
      </c>
      <c r="S447" s="75">
        <f t="shared" si="1483"/>
        <v>0</v>
      </c>
      <c r="T447" s="146" t="str">
        <f t="shared" si="1484"/>
        <v>NA</v>
      </c>
      <c r="U447" s="75">
        <f t="shared" si="1485"/>
        <v>0</v>
      </c>
      <c r="V447" s="146" t="str">
        <f t="shared" si="1486"/>
        <v>NA</v>
      </c>
      <c r="W447" s="75">
        <f t="shared" si="1487"/>
        <v>0</v>
      </c>
      <c r="X447" s="146" t="str">
        <f t="shared" si="1488"/>
        <v>NA</v>
      </c>
      <c r="Y447" s="75">
        <f t="shared" si="1489"/>
        <v>0</v>
      </c>
      <c r="Z447" s="146" t="str">
        <f t="shared" si="1490"/>
        <v>NA</v>
      </c>
      <c r="AA447" s="267">
        <f t="shared" si="1491"/>
        <v>0</v>
      </c>
      <c r="AB447" s="146" t="str">
        <f t="shared" si="1492"/>
        <v>NA</v>
      </c>
      <c r="AC447" s="75">
        <f t="shared" si="1493"/>
        <v>0.64110622250155991</v>
      </c>
      <c r="AD447" s="146" t="str">
        <f t="shared" si="1494"/>
        <v>NA</v>
      </c>
      <c r="AE447" s="75">
        <f t="shared" si="1495"/>
        <v>9.5669687814703384</v>
      </c>
      <c r="AF447" s="146" t="str">
        <f t="shared" si="1496"/>
        <v>NA</v>
      </c>
      <c r="AG447" s="75">
        <f t="shared" si="1497"/>
        <v>8.7010889386755821</v>
      </c>
      <c r="AH447" s="146" t="str">
        <f t="shared" si="1498"/>
        <v>NA</v>
      </c>
      <c r="AI447" s="75">
        <f t="shared" si="1499"/>
        <v>-76.136461287273377</v>
      </c>
      <c r="AJ447" s="146" t="str">
        <f t="shared" si="1500"/>
        <v>NA</v>
      </c>
      <c r="AK447" s="75">
        <f t="shared" si="1501"/>
        <v>1.8939393939395734</v>
      </c>
      <c r="AL447" s="146" t="str">
        <f t="shared" si="1502"/>
        <v>NM</v>
      </c>
      <c r="AM447" s="75">
        <f t="shared" si="1503"/>
        <v>10.034947578631963</v>
      </c>
      <c r="AN447" s="146">
        <f t="shared" si="1504"/>
        <v>4.8916099534893842</v>
      </c>
      <c r="AO447" s="75">
        <f t="shared" si="1505"/>
        <v>14.92822966507174</v>
      </c>
      <c r="AP447" s="146">
        <f t="shared" si="1504"/>
        <v>71.567372432168355</v>
      </c>
      <c r="AQ447" s="75">
        <f t="shared" si="1506"/>
        <v>7.2610784837159175</v>
      </c>
      <c r="AR447" s="146" t="str">
        <f t="shared" si="1504"/>
        <v>NM</v>
      </c>
      <c r="AS447" s="75">
        <f t="shared" si="1507"/>
        <v>0.59494298463054984</v>
      </c>
      <c r="AT447" s="146" t="str">
        <f t="shared" si="1504"/>
        <v>NM</v>
      </c>
      <c r="AU447" s="75">
        <f t="shared" si="1508"/>
        <v>4.8036951501154164</v>
      </c>
      <c r="AV447" s="146" t="str">
        <f t="shared" si="1504"/>
        <v>NM</v>
      </c>
      <c r="AW447" s="75">
        <f t="shared" si="1509"/>
        <v>6.7075664621677227</v>
      </c>
      <c r="AX447" s="146" t="str">
        <f t="shared" si="1504"/>
        <v>NM</v>
      </c>
      <c r="AY447" s="75">
        <f t="shared" si="1510"/>
        <v>8.7169811320754764</v>
      </c>
      <c r="AZ447" s="146">
        <f t="shared" si="1504"/>
        <v>20.050776914540226</v>
      </c>
      <c r="BA447" s="75">
        <f t="shared" si="1511"/>
        <v>11.267071320182112</v>
      </c>
      <c r="BB447" s="146" t="str">
        <f t="shared" si="1504"/>
        <v>NM</v>
      </c>
      <c r="BC447" s="75">
        <f t="shared" si="1512"/>
        <v>18.838475499092549</v>
      </c>
      <c r="BD447" s="146" t="str">
        <f t="shared" si="1504"/>
        <v>NM</v>
      </c>
      <c r="BE447" s="75">
        <f t="shared" si="1513"/>
        <v>15.846153846153818</v>
      </c>
      <c r="BF447" s="146" t="str">
        <f t="shared" si="1514"/>
        <v>NM</v>
      </c>
      <c r="BG447" s="75">
        <f t="shared" si="1515"/>
        <v>17.014341590612787</v>
      </c>
      <c r="BH447" s="146">
        <f t="shared" si="1516"/>
        <v>95.186169762440969</v>
      </c>
      <c r="BI447" s="75">
        <f t="shared" si="1517"/>
        <v>12.803320561941259</v>
      </c>
      <c r="BJ447" s="146">
        <f t="shared" si="1518"/>
        <v>13.634858590158604</v>
      </c>
      <c r="BK447" s="75">
        <f t="shared" si="1519"/>
        <v>14.960398943971818</v>
      </c>
      <c r="BL447" s="146">
        <f t="shared" si="1520"/>
        <v>-20.585936241536839</v>
      </c>
      <c r="BM447" s="75">
        <f t="shared" si="1521"/>
        <v>16.769041769041749</v>
      </c>
      <c r="BN447" s="146">
        <f t="shared" si="1522"/>
        <v>5.8240499988073458</v>
      </c>
      <c r="BO447" s="75">
        <f t="shared" si="1523"/>
        <v>19.245647969052264</v>
      </c>
      <c r="BP447" s="146">
        <f t="shared" si="1524"/>
        <v>13.114268139946962</v>
      </c>
      <c r="BQ447" s="75">
        <f t="shared" si="1525"/>
        <v>18.30583756345176</v>
      </c>
      <c r="BR447" s="81">
        <f t="shared" si="1526"/>
        <v>42.977264959428616</v>
      </c>
      <c r="BS447" s="75">
        <f t="shared" si="1527"/>
        <v>21.086755171349196</v>
      </c>
      <c r="BT447" s="81">
        <f t="shared" si="1528"/>
        <v>40.950487017901004</v>
      </c>
      <c r="BU447" s="75">
        <f t="shared" si="1529"/>
        <v>23.459493274945274</v>
      </c>
      <c r="BV447" s="81">
        <f t="shared" si="1530"/>
        <v>39.897637551688469</v>
      </c>
      <c r="BW447" s="75">
        <f t="shared" si="1531"/>
        <v>22.560596643878171</v>
      </c>
      <c r="BX447" s="81">
        <f t="shared" si="1532"/>
        <v>17.224406682261218</v>
      </c>
      <c r="BY447" s="75">
        <f t="shared" si="1533"/>
        <v>22.287562481623038</v>
      </c>
      <c r="BZ447" s="81">
        <f t="shared" si="1534"/>
        <v>21.751121216769278</v>
      </c>
      <c r="CA447" s="75">
        <f t="shared" si="1535"/>
        <v>24.650756693830051</v>
      </c>
      <c r="CB447" s="81">
        <f t="shared" si="1536"/>
        <v>16.901611905293535</v>
      </c>
      <c r="CC447" s="75">
        <f t="shared" si="1537"/>
        <v>23.759079903147693</v>
      </c>
      <c r="CD447" s="81">
        <f t="shared" si="1538"/>
        <v>1.2770379338175042</v>
      </c>
      <c r="CE447" s="75">
        <f t="shared" si="1539"/>
        <v>24.936224489795908</v>
      </c>
      <c r="CF447" s="81">
        <f t="shared" si="1540"/>
        <v>10.529986788103706</v>
      </c>
      <c r="CG447" s="75">
        <f t="shared" si="1541"/>
        <v>23.048094940662118</v>
      </c>
      <c r="CH447" s="81">
        <f t="shared" si="1542"/>
        <v>3.4123626559260156</v>
      </c>
      <c r="CI447" s="75">
        <f t="shared" si="1543"/>
        <v>22.739092747760733</v>
      </c>
      <c r="CJ447" s="81">
        <f t="shared" si="1544"/>
        <v>-7.754990931161954</v>
      </c>
      <c r="CK447" s="75">
        <f t="shared" si="1545"/>
        <v>22.676232064878366</v>
      </c>
      <c r="CL447" s="81">
        <f t="shared" si="1546"/>
        <v>-4.5576168887157431</v>
      </c>
      <c r="CM447" s="75">
        <f t="shared" si="1547"/>
        <v>-12.499999999999996</v>
      </c>
      <c r="CN447" s="81" t="str">
        <f t="shared" si="1548"/>
        <v>NM</v>
      </c>
      <c r="CO447" s="75">
        <f t="shared" si="1549"/>
        <v>24.159120310478674</v>
      </c>
      <c r="CP447" s="81">
        <f t="shared" si="1550"/>
        <v>4.8204650869276611</v>
      </c>
      <c r="CQ447" s="75">
        <f t="shared" si="1551"/>
        <v>22.702354079329247</v>
      </c>
      <c r="CR447" s="81">
        <f t="shared" si="1552"/>
        <v>-0.1615661136485036</v>
      </c>
      <c r="CS447" s="75">
        <f t="shared" si="1553"/>
        <v>23.978113936272933</v>
      </c>
      <c r="CT447" s="81">
        <f t="shared" si="1554"/>
        <v>5.7411736997124985</v>
      </c>
      <c r="CU447" s="75">
        <f t="shared" si="1555"/>
        <v>23.732644494672268</v>
      </c>
      <c r="CV447" s="81" t="str">
        <f t="shared" si="1556"/>
        <v>NM</v>
      </c>
      <c r="CW447" s="75">
        <f t="shared" si="1557"/>
        <v>23.461538461538431</v>
      </c>
      <c r="CX447" s="81">
        <f t="shared" si="1558"/>
        <v>-2.8874472247968241</v>
      </c>
      <c r="CY447" s="75">
        <f t="shared" si="1559"/>
        <v>22.864401397268981</v>
      </c>
      <c r="CZ447" s="81">
        <f t="shared" si="1560"/>
        <v>0.71379081382261234</v>
      </c>
      <c r="DA447" s="75">
        <f t="shared" si="1561"/>
        <v>24.620733249051824</v>
      </c>
      <c r="DB447" s="81">
        <f t="shared" si="1562"/>
        <v>2.6800244359785452</v>
      </c>
      <c r="DC447" s="75">
        <f t="shared" si="1563"/>
        <v>22.655217965653907</v>
      </c>
      <c r="DD447" s="81">
        <f t="shared" si="1564"/>
        <v>-4.5398502862174954</v>
      </c>
      <c r="DE447" s="75">
        <f t="shared" si="1565"/>
        <v>20.806401969836859</v>
      </c>
      <c r="DF447" s="81">
        <f t="shared" si="1566"/>
        <v>-11.316975210531311</v>
      </c>
      <c r="DG447" s="75">
        <f t="shared" si="1567"/>
        <v>22.348601291115873</v>
      </c>
      <c r="DH447" s="81">
        <f t="shared" si="1568"/>
        <v>-2.255909075383522</v>
      </c>
      <c r="DI447" s="75">
        <f t="shared" si="1569"/>
        <v>21.626733921815894</v>
      </c>
      <c r="DJ447" s="81">
        <f t="shared" si="1570"/>
        <v>-12.160479937579572</v>
      </c>
      <c r="DK447" s="75">
        <f t="shared" si="1571"/>
        <v>-17.672298203271648</v>
      </c>
      <c r="DL447" s="81" t="str">
        <f t="shared" si="1572"/>
        <v>NM</v>
      </c>
      <c r="DM447" s="75">
        <f t="shared" si="1571"/>
        <v>23.342758404021382</v>
      </c>
      <c r="DN447" s="81">
        <f t="shared" si="1573"/>
        <v>12.190269311635383</v>
      </c>
      <c r="DO447" s="75">
        <f t="shared" si="1574"/>
        <v>19.184952978056444</v>
      </c>
      <c r="DP447" s="81">
        <f t="shared" si="1573"/>
        <v>-14.155911915243923</v>
      </c>
      <c r="DQ447" s="75">
        <f t="shared" si="1574"/>
        <v>21.751152073732722</v>
      </c>
      <c r="DR447" s="81">
        <f t="shared" si="1575"/>
        <v>0.57529792693904458</v>
      </c>
      <c r="DS447" s="75">
        <f t="shared" ref="DS447:DU447" si="1624">DS404/DS$413*100</f>
        <v>20.701534606952723</v>
      </c>
      <c r="DT447" s="81" t="str">
        <f t="shared" si="1577"/>
        <v>NM</v>
      </c>
      <c r="DU447" s="75">
        <f t="shared" si="1624"/>
        <v>21.681552202032616</v>
      </c>
      <c r="DV447" s="81">
        <f t="shared" si="1578"/>
        <v>-7.1165805396100072</v>
      </c>
      <c r="DW447" s="75">
        <f t="shared" ref="DW447" si="1625">DW404/DW$413*100</f>
        <v>22.215586742311135</v>
      </c>
      <c r="DX447" s="81">
        <f t="shared" si="1580"/>
        <v>15.796930895379834</v>
      </c>
      <c r="DY447" s="75">
        <f t="shared" ref="DY447:EA447" si="1626">DY404/DY$413*100</f>
        <v>26.596075988788552</v>
      </c>
      <c r="DZ447" s="81">
        <f t="shared" si="1582"/>
        <v>22.274332406082941</v>
      </c>
      <c r="EA447" s="75">
        <f t="shared" si="1626"/>
        <v>26.108518086347694</v>
      </c>
      <c r="EB447" s="81">
        <f t="shared" si="1583"/>
        <v>26.118756807425303</v>
      </c>
      <c r="EC447" s="75">
        <f t="shared" ref="EC447:EE447" si="1627">EC404/EC$413*100</f>
        <v>26.09591056192998</v>
      </c>
      <c r="ED447" s="81">
        <f t="shared" si="1585"/>
        <v>20.3599738559471</v>
      </c>
      <c r="EE447" s="75">
        <f t="shared" si="1627"/>
        <v>26.138613861386155</v>
      </c>
      <c r="EF447" s="81">
        <f t="shared" si="1586"/>
        <v>17.658894921750324</v>
      </c>
      <c r="EG447" s="75">
        <f t="shared" ref="EG447:EI447" si="1628">EG404/EG$413*100</f>
        <v>25.252525252525228</v>
      </c>
      <c r="EH447" s="81">
        <f t="shared" si="1588"/>
        <v>-5.0516878385732262</v>
      </c>
      <c r="EI447" s="75">
        <f t="shared" si="1628"/>
        <v>23.250201126307317</v>
      </c>
      <c r="EJ447" s="81">
        <f t="shared" si="1589"/>
        <v>-10.94783300448986</v>
      </c>
      <c r="EK447" s="75">
        <f t="shared" ref="EK447" si="1629">EK404/EK$413*100</f>
        <v>25.644923888184877</v>
      </c>
      <c r="EL447" s="81">
        <f t="shared" si="1591"/>
        <v>-1.7281890688383372</v>
      </c>
      <c r="EM447" s="75">
        <f t="shared" ref="EM447" si="1630">EM404/EM$413*100</f>
        <v>25.699793357464038</v>
      </c>
      <c r="EN447" s="81">
        <f t="shared" si="1593"/>
        <v>-1.6788208672777971</v>
      </c>
      <c r="EO447" s="75">
        <f t="shared" ref="EO447" si="1631">EO404/EO$413*100</f>
        <v>25.771403145945165</v>
      </c>
      <c r="EP447" s="81">
        <f t="shared" si="1595"/>
        <v>2.0547564579429523</v>
      </c>
      <c r="EQ447" s="75">
        <f t="shared" ref="EQ447" si="1632">EQ404/EQ$413*100</f>
        <v>26.138393866613619</v>
      </c>
      <c r="ER447" s="81">
        <f t="shared" si="1597"/>
        <v>12.422226907268975</v>
      </c>
      <c r="ES447" s="129"/>
      <c r="ET447" s="465"/>
      <c r="EU447" s="129"/>
      <c r="EV447" s="75"/>
      <c r="EW447" s="79"/>
      <c r="EX447" s="75"/>
      <c r="EY447" s="79"/>
      <c r="EZ447" s="75"/>
      <c r="FA447" s="79"/>
      <c r="FB447" s="75">
        <f t="shared" si="1598"/>
        <v>0</v>
      </c>
      <c r="FC447" s="79" t="str">
        <f t="shared" si="1599"/>
        <v>NA</v>
      </c>
      <c r="FD447" s="75">
        <f t="shared" si="1600"/>
        <v>27.418897190958173</v>
      </c>
      <c r="FE447" s="79" t="str">
        <f t="shared" si="1601"/>
        <v>NA</v>
      </c>
      <c r="FF447" s="75">
        <f t="shared" si="1602"/>
        <v>1281.2960235640764</v>
      </c>
      <c r="FG447" s="79" t="str">
        <f t="shared" si="1603"/>
        <v>NM</v>
      </c>
      <c r="FH447" s="75">
        <f t="shared" si="1604"/>
        <v>42.962962962962905</v>
      </c>
      <c r="FI447" s="79" t="str">
        <f t="shared" si="1605"/>
        <v>NM</v>
      </c>
      <c r="FJ447" s="75">
        <f t="shared" si="1606"/>
        <v>8.7535193242897957</v>
      </c>
      <c r="FK447" s="79" t="str">
        <f t="shared" si="1605"/>
        <v>NM</v>
      </c>
      <c r="FL447" s="75">
        <f t="shared" si="1607"/>
        <v>5.5082462002802517</v>
      </c>
      <c r="FM447" s="79">
        <f t="shared" si="1605"/>
        <v>-37.073924255863169</v>
      </c>
      <c r="FN447" s="75">
        <f t="shared" si="1608"/>
        <v>15.825433427278176</v>
      </c>
      <c r="FO447" s="79" t="str">
        <f t="shared" si="1605"/>
        <v>NM</v>
      </c>
      <c r="FP447" s="75">
        <f t="shared" si="1609"/>
        <v>15.923715016667966</v>
      </c>
      <c r="FQ447" s="79">
        <f t="shared" si="1605"/>
        <v>0.62103568816247456</v>
      </c>
      <c r="FR447" s="75">
        <f t="shared" si="1610"/>
        <v>21.152238352207949</v>
      </c>
      <c r="FS447" s="79">
        <f t="shared" si="1605"/>
        <v>32.834821083315589</v>
      </c>
      <c r="FT447" s="75">
        <f t="shared" si="1611"/>
        <v>23.890939218196849</v>
      </c>
      <c r="FU447" s="79">
        <f t="shared" si="1605"/>
        <v>12.947569994184672</v>
      </c>
      <c r="FV447" s="75">
        <f t="shared" si="1612"/>
        <v>81.680626857606143</v>
      </c>
      <c r="FW447" s="79" t="str">
        <f t="shared" si="1605"/>
        <v>NM</v>
      </c>
      <c r="FX447" s="75">
        <f t="shared" si="1613"/>
        <v>23.236184105749324</v>
      </c>
      <c r="FY447" s="79" t="str">
        <f t="shared" si="1605"/>
        <v>NM</v>
      </c>
      <c r="FZ447" s="75">
        <f t="shared" si="1614"/>
        <v>23.409036192921903</v>
      </c>
      <c r="GA447" s="79">
        <f t="shared" si="1605"/>
        <v>0.74389188167005571</v>
      </c>
      <c r="GB447" s="75">
        <f t="shared" si="1615"/>
        <v>46.22371740958792</v>
      </c>
      <c r="GC447" s="79">
        <f t="shared" si="1605"/>
        <v>97.461001933793412</v>
      </c>
      <c r="GD447" s="75">
        <f t="shared" si="1616"/>
        <v>21.246392637079804</v>
      </c>
      <c r="GE447" s="79" t="str">
        <f t="shared" si="1605"/>
        <v>NM</v>
      </c>
      <c r="GF447" s="75">
        <f t="shared" si="1617"/>
        <v>24.155647903286738</v>
      </c>
      <c r="GG447" s="79">
        <f t="shared" si="1605"/>
        <v>13.692937506622282</v>
      </c>
      <c r="GH447" s="75">
        <f t="shared" si="1618"/>
        <v>25.149363885569681</v>
      </c>
      <c r="GI447" s="79">
        <f t="shared" si="1605"/>
        <v>4.1138038866170623</v>
      </c>
      <c r="GJ447" s="75">
        <f t="shared" si="1619"/>
        <v>25.814715024825109</v>
      </c>
      <c r="GK447" s="79">
        <f t="shared" si="1605"/>
        <v>2.6455982834508118</v>
      </c>
      <c r="GL447" s="75">
        <f t="shared" si="1620"/>
        <v>25.839900540125999</v>
      </c>
      <c r="GM447" s="79">
        <f t="shared" si="1605"/>
        <v>9.7562631532710498E-2</v>
      </c>
      <c r="GN447" s="75">
        <f t="shared" si="1620"/>
        <v>25.775136183090673</v>
      </c>
      <c r="GO447" s="79">
        <f t="shared" si="1605"/>
        <v>-0.25063702135678101</v>
      </c>
      <c r="GP447" s="75">
        <f t="shared" ref="GP447:GR447" si="1633">GP404/GP$413*100</f>
        <v>25.652527467623916</v>
      </c>
      <c r="GQ447" s="79">
        <f t="shared" si="1605"/>
        <v>-0.47568600451155518</v>
      </c>
      <c r="GR447" s="75">
        <f t="shared" si="1633"/>
        <v>25.659540725698204</v>
      </c>
      <c r="GS447" s="79">
        <f t="shared" si="1622"/>
        <v>2.7339442802043479E-2</v>
      </c>
      <c r="GT447" s="79">
        <f t="shared" si="1623"/>
        <v>0.40246486674442306</v>
      </c>
    </row>
    <row r="448" spans="1:286" ht="12.75" customHeight="1" x14ac:dyDescent="0.2">
      <c r="A448" s="1" t="s">
        <v>425</v>
      </c>
      <c r="B448" s="10" t="s">
        <v>334</v>
      </c>
      <c r="C448" s="79"/>
      <c r="D448" s="79"/>
      <c r="E448" s="75">
        <f t="shared" si="1473"/>
        <v>0</v>
      </c>
      <c r="F448" s="75"/>
      <c r="G448" s="75">
        <f t="shared" si="1474"/>
        <v>0</v>
      </c>
      <c r="H448" s="75"/>
      <c r="I448" s="75">
        <f t="shared" si="1475"/>
        <v>0</v>
      </c>
      <c r="J448" s="75"/>
      <c r="K448" s="75">
        <f t="shared" si="1476"/>
        <v>0</v>
      </c>
      <c r="L448" s="146"/>
      <c r="M448" s="75">
        <f t="shared" si="1477"/>
        <v>0</v>
      </c>
      <c r="N448" s="146" t="str">
        <f t="shared" si="1478"/>
        <v>NA</v>
      </c>
      <c r="O448" s="75">
        <f t="shared" si="1479"/>
        <v>0</v>
      </c>
      <c r="P448" s="146" t="str">
        <f t="shared" si="1480"/>
        <v>NA</v>
      </c>
      <c r="Q448" s="75">
        <f t="shared" si="1481"/>
        <v>0</v>
      </c>
      <c r="R448" s="146" t="str">
        <f t="shared" si="1482"/>
        <v>NA</v>
      </c>
      <c r="S448" s="75">
        <f t="shared" si="1483"/>
        <v>0</v>
      </c>
      <c r="T448" s="146" t="str">
        <f t="shared" si="1484"/>
        <v>NA</v>
      </c>
      <c r="U448" s="75">
        <f t="shared" si="1485"/>
        <v>0</v>
      </c>
      <c r="V448" s="146" t="str">
        <f t="shared" si="1486"/>
        <v>NA</v>
      </c>
      <c r="W448" s="75">
        <f t="shared" si="1487"/>
        <v>0</v>
      </c>
      <c r="X448" s="146" t="str">
        <f t="shared" si="1488"/>
        <v>NA</v>
      </c>
      <c r="Y448" s="75">
        <f t="shared" si="1489"/>
        <v>0</v>
      </c>
      <c r="Z448" s="146" t="str">
        <f t="shared" si="1490"/>
        <v>NA</v>
      </c>
      <c r="AA448" s="267">
        <f t="shared" si="1491"/>
        <v>0</v>
      </c>
      <c r="AB448" s="146" t="str">
        <f t="shared" si="1492"/>
        <v>NA</v>
      </c>
      <c r="AC448" s="75">
        <f t="shared" si="1493"/>
        <v>-5.8579509742300546</v>
      </c>
      <c r="AD448" s="146" t="str">
        <f t="shared" si="1494"/>
        <v>NA</v>
      </c>
      <c r="AE448" s="75">
        <f t="shared" si="1495"/>
        <v>25.226586102719018</v>
      </c>
      <c r="AF448" s="146" t="str">
        <f t="shared" si="1496"/>
        <v>NA</v>
      </c>
      <c r="AG448" s="75">
        <f t="shared" si="1497"/>
        <v>28.776116292398285</v>
      </c>
      <c r="AH448" s="146" t="str">
        <f t="shared" si="1498"/>
        <v>NA</v>
      </c>
      <c r="AI448" s="75">
        <f t="shared" si="1499"/>
        <v>52.822892498066622</v>
      </c>
      <c r="AJ448" s="146" t="str">
        <f t="shared" si="1500"/>
        <v>NA</v>
      </c>
      <c r="AK448" s="75">
        <f t="shared" si="1501"/>
        <v>30.032467532467482</v>
      </c>
      <c r="AL448" s="146" t="str">
        <f t="shared" si="1502"/>
        <v>NM</v>
      </c>
      <c r="AM448" s="75">
        <f t="shared" si="1503"/>
        <v>23.914128806789837</v>
      </c>
      <c r="AN448" s="146">
        <f t="shared" si="1504"/>
        <v>-5.2026750293719726</v>
      </c>
      <c r="AO448" s="75">
        <f t="shared" si="1505"/>
        <v>20.047846889952147</v>
      </c>
      <c r="AP448" s="146">
        <f t="shared" si="1504"/>
        <v>-30.331644874370568</v>
      </c>
      <c r="AQ448" s="75">
        <f t="shared" si="1506"/>
        <v>23.224773091297422</v>
      </c>
      <c r="AR448" s="146" t="str">
        <f t="shared" si="1504"/>
        <v>NM</v>
      </c>
      <c r="AS448" s="75">
        <f t="shared" si="1507"/>
        <v>21.764997521070899</v>
      </c>
      <c r="AT448" s="146">
        <f t="shared" si="1504"/>
        <v>-27.528440686596234</v>
      </c>
      <c r="AU448" s="75">
        <f t="shared" si="1508"/>
        <v>20.692840646651277</v>
      </c>
      <c r="AV448" s="146">
        <f t="shared" si="1504"/>
        <v>-13.470230030809038</v>
      </c>
      <c r="AW448" s="75">
        <f t="shared" si="1509"/>
        <v>17.586912065439662</v>
      </c>
      <c r="AX448" s="146">
        <f t="shared" si="1504"/>
        <v>-12.275307358546762</v>
      </c>
      <c r="AY448" s="75">
        <f t="shared" si="1510"/>
        <v>17.471698113207566</v>
      </c>
      <c r="AZ448" s="146">
        <f t="shared" si="1504"/>
        <v>-24.771286055085707</v>
      </c>
      <c r="BA448" s="75">
        <f t="shared" si="1511"/>
        <v>18.740515933232164</v>
      </c>
      <c r="BB448" s="146">
        <f t="shared" si="1504"/>
        <v>-13.89608055278071</v>
      </c>
      <c r="BC448" s="75">
        <f t="shared" si="1512"/>
        <v>18.693284936479149</v>
      </c>
      <c r="BD448" s="146">
        <f t="shared" si="1504"/>
        <v>-9.6630315011666408</v>
      </c>
      <c r="BE448" s="75">
        <f t="shared" si="1513"/>
        <v>17.292307692307716</v>
      </c>
      <c r="BF448" s="146">
        <f t="shared" si="1514"/>
        <v>-1.6751341681572329</v>
      </c>
      <c r="BG448" s="75">
        <f t="shared" si="1515"/>
        <v>20.893089960886556</v>
      </c>
      <c r="BH448" s="146">
        <f t="shared" si="1516"/>
        <v>19.582480337687503</v>
      </c>
      <c r="BI448" s="75">
        <f t="shared" si="1517"/>
        <v>17.688378033205613</v>
      </c>
      <c r="BJ448" s="146">
        <f t="shared" si="1518"/>
        <v>-5.6142419118825675</v>
      </c>
      <c r="BK448" s="75">
        <f t="shared" si="1519"/>
        <v>16.2217659137577</v>
      </c>
      <c r="BL448" s="146">
        <f t="shared" si="1520"/>
        <v>-13.22142700504385</v>
      </c>
      <c r="BM448" s="75">
        <f t="shared" si="1521"/>
        <v>15.63267813267815</v>
      </c>
      <c r="BN448" s="146">
        <f t="shared" si="1522"/>
        <v>-9.5975019017723877</v>
      </c>
      <c r="BO448" s="75">
        <f t="shared" si="1523"/>
        <v>16.215344938749187</v>
      </c>
      <c r="BP448" s="146">
        <f t="shared" si="1524"/>
        <v>-22.38895745384939</v>
      </c>
      <c r="BQ448" s="75">
        <f t="shared" si="1525"/>
        <v>15.323604060913713</v>
      </c>
      <c r="BR448" s="81">
        <f t="shared" si="1526"/>
        <v>-13.369083179094288</v>
      </c>
      <c r="BS448" s="75">
        <f t="shared" si="1527"/>
        <v>15.035504785427625</v>
      </c>
      <c r="BT448" s="81">
        <f t="shared" si="1528"/>
        <v>-7.3127742974271719</v>
      </c>
      <c r="BU448" s="75">
        <f t="shared" si="1529"/>
        <v>15.639662183296831</v>
      </c>
      <c r="BV448" s="81">
        <f t="shared" si="1530"/>
        <v>4.4675970165863887E-2</v>
      </c>
      <c r="BW448" s="75">
        <f t="shared" si="1531"/>
        <v>14.822871348663771</v>
      </c>
      <c r="BX448" s="81">
        <f t="shared" si="1532"/>
        <v>-8.5873818617196118</v>
      </c>
      <c r="BY448" s="75">
        <f t="shared" si="1533"/>
        <v>14.848573948838592</v>
      </c>
      <c r="BZ448" s="81">
        <f t="shared" si="1534"/>
        <v>-3.0999894684488161</v>
      </c>
      <c r="CA448" s="75">
        <f t="shared" si="1535"/>
        <v>14.668218859138543</v>
      </c>
      <c r="CB448" s="81">
        <f t="shared" si="1536"/>
        <v>-2.4427907910684499</v>
      </c>
      <c r="CC448" s="75">
        <f t="shared" si="1537"/>
        <v>15.466101694915258</v>
      </c>
      <c r="CD448" s="81">
        <f t="shared" si="1538"/>
        <v>-1.1097457627117779</v>
      </c>
      <c r="CE448" s="75">
        <f t="shared" si="1539"/>
        <v>16.581632653061227</v>
      </c>
      <c r="CF448" s="81">
        <f t="shared" si="1540"/>
        <v>11.865186326102762</v>
      </c>
      <c r="CG448" s="75">
        <f t="shared" si="1541"/>
        <v>16.114928169893812</v>
      </c>
      <c r="CH448" s="81">
        <f t="shared" si="1542"/>
        <v>8.5284568431857508</v>
      </c>
      <c r="CI448" s="75">
        <f t="shared" si="1543"/>
        <v>15.024559375902912</v>
      </c>
      <c r="CJ448" s="81">
        <f t="shared" si="1544"/>
        <v>2.429337332544379</v>
      </c>
      <c r="CK448" s="75">
        <f t="shared" si="1545"/>
        <v>16.313162819713039</v>
      </c>
      <c r="CL448" s="81">
        <f t="shared" si="1546"/>
        <v>5.4768883685555103</v>
      </c>
      <c r="CM448" s="75">
        <f t="shared" si="1547"/>
        <v>-8.5278858625162037</v>
      </c>
      <c r="CN448" s="81" t="str">
        <f t="shared" si="1548"/>
        <v>NM</v>
      </c>
      <c r="CO448" s="75">
        <f t="shared" si="1549"/>
        <v>16.94695989650711</v>
      </c>
      <c r="CP448" s="81">
        <f t="shared" si="1550"/>
        <v>5.1631116058445281</v>
      </c>
      <c r="CQ448" s="75">
        <f t="shared" si="1551"/>
        <v>18.477910351499506</v>
      </c>
      <c r="CR448" s="81">
        <f t="shared" si="1552"/>
        <v>22.984707166422737</v>
      </c>
      <c r="CS448" s="75">
        <f t="shared" si="1553"/>
        <v>18.056002574831034</v>
      </c>
      <c r="CT448" s="81">
        <f t="shared" si="1554"/>
        <v>10.683641022769198</v>
      </c>
      <c r="CU448" s="75">
        <f t="shared" si="1555"/>
        <v>17.791411042944798</v>
      </c>
      <c r="CV448" s="81" t="str">
        <f t="shared" si="1556"/>
        <v>NM</v>
      </c>
      <c r="CW448" s="75">
        <f t="shared" si="1557"/>
        <v>18.269230769230781</v>
      </c>
      <c r="CX448" s="81">
        <f t="shared" si="1558"/>
        <v>7.8024075161480688</v>
      </c>
      <c r="CY448" s="75">
        <f t="shared" si="1559"/>
        <v>17.815179422038735</v>
      </c>
      <c r="CZ448" s="81">
        <f t="shared" si="1560"/>
        <v>-3.586611888757163</v>
      </c>
      <c r="DA448" s="75">
        <f t="shared" si="1561"/>
        <v>18.236409608091037</v>
      </c>
      <c r="DB448" s="81">
        <f t="shared" si="1562"/>
        <v>0.99915267796581997</v>
      </c>
      <c r="DC448" s="75">
        <f t="shared" si="1563"/>
        <v>20.409511228533685</v>
      </c>
      <c r="DD448" s="81">
        <f t="shared" si="1564"/>
        <v>14.715528629344421</v>
      </c>
      <c r="DE448" s="75">
        <f t="shared" si="1565"/>
        <v>18.06709756848262</v>
      </c>
      <c r="DF448" s="81">
        <f t="shared" si="1566"/>
        <v>-1.1064133093583561</v>
      </c>
      <c r="DG448" s="75">
        <f t="shared" si="1567"/>
        <v>18.628957885029195</v>
      </c>
      <c r="DH448" s="81">
        <f t="shared" si="1568"/>
        <v>4.5678937254134633</v>
      </c>
      <c r="DI448" s="75">
        <f t="shared" si="1569"/>
        <v>19.48297604035309</v>
      </c>
      <c r="DJ448" s="81">
        <f t="shared" si="1570"/>
        <v>6.8355913200643492</v>
      </c>
      <c r="DK448" s="75">
        <f t="shared" si="1571"/>
        <v>-15.902386698846877</v>
      </c>
      <c r="DL448" s="81" t="str">
        <f t="shared" si="1572"/>
        <v>NM</v>
      </c>
      <c r="DM448" s="75">
        <f t="shared" si="1571"/>
        <v>18.190386427898218</v>
      </c>
      <c r="DN448" s="81">
        <f t="shared" si="1573"/>
        <v>0.68239438541954911</v>
      </c>
      <c r="DO448" s="75">
        <f t="shared" si="1574"/>
        <v>16.457680250783721</v>
      </c>
      <c r="DP448" s="81">
        <f t="shared" si="1573"/>
        <v>-11.655389676898565</v>
      </c>
      <c r="DQ448" s="75">
        <f t="shared" si="1574"/>
        <v>18.494623655913962</v>
      </c>
      <c r="DR448" s="81">
        <f t="shared" si="1575"/>
        <v>-5.0729025298396735</v>
      </c>
      <c r="DS448" s="75">
        <f t="shared" ref="DS448:DU448" si="1634">DS405/DS$413*100</f>
        <v>17.00595051675543</v>
      </c>
      <c r="DT448" s="81" t="str">
        <f t="shared" si="1577"/>
        <v>NM</v>
      </c>
      <c r="DU448" s="75">
        <f t="shared" si="1634"/>
        <v>17.061903295349573</v>
      </c>
      <c r="DV448" s="81">
        <f t="shared" si="1578"/>
        <v>-6.2037336975860669</v>
      </c>
      <c r="DW448" s="75">
        <f t="shared" ref="DW448" si="1635">DW405/DW$413*100</f>
        <v>16.990146312332051</v>
      </c>
      <c r="DX448" s="81">
        <f t="shared" si="1580"/>
        <v>3.2353652120746146</v>
      </c>
      <c r="DY448" s="75">
        <f t="shared" ref="DY448:EA448" si="1636">DY405/DY$413*100</f>
        <v>16.630333229523529</v>
      </c>
      <c r="DZ448" s="81">
        <f t="shared" si="1582"/>
        <v>-10.080174979901768</v>
      </c>
      <c r="EA448" s="75">
        <f t="shared" si="1636"/>
        <v>16.36522753792298</v>
      </c>
      <c r="EB448" s="81">
        <f t="shared" si="1583"/>
        <v>-3.7676399105193492</v>
      </c>
      <c r="EC448" s="75">
        <f t="shared" ref="EC448:EE448" si="1637">EC405/EC$413*100</f>
        <v>16.47543395116212</v>
      </c>
      <c r="ED448" s="81">
        <f t="shared" si="1585"/>
        <v>-3.4373031779362018</v>
      </c>
      <c r="EE448" s="75">
        <f t="shared" si="1637"/>
        <v>17.227722772277215</v>
      </c>
      <c r="EF448" s="81">
        <f t="shared" si="1586"/>
        <v>1.398319093772149</v>
      </c>
      <c r="EG448" s="75">
        <f t="shared" ref="EG448:EI448" si="1638">EG405/EG$413*100</f>
        <v>16.863075196408523</v>
      </c>
      <c r="EH448" s="81">
        <f t="shared" si="1588"/>
        <v>1.3995027259695147</v>
      </c>
      <c r="EI448" s="75">
        <f t="shared" si="1638"/>
        <v>15.285599356395824</v>
      </c>
      <c r="EJ448" s="81">
        <f t="shared" si="1589"/>
        <v>-6.5970862856953527</v>
      </c>
      <c r="EK448" s="75">
        <f t="shared" ref="EK448" si="1639">EK405/EK$413*100</f>
        <v>16.922955200306632</v>
      </c>
      <c r="EL448" s="81">
        <f t="shared" si="1591"/>
        <v>2.7162941532896223</v>
      </c>
      <c r="EM448" s="75">
        <f t="shared" ref="EM448" si="1640">EM405/EM$413*100</f>
        <v>16.838828564438789</v>
      </c>
      <c r="EN448" s="81">
        <f t="shared" si="1593"/>
        <v>-2.2573744248092553</v>
      </c>
      <c r="EO448" s="75">
        <f t="shared" ref="EO448" si="1641">EO405/EO$413*100</f>
        <v>17.176748866034636</v>
      </c>
      <c r="EP448" s="81">
        <f t="shared" si="1595"/>
        <v>1.8601213952536888</v>
      </c>
      <c r="EQ448" s="75">
        <f t="shared" ref="EQ448" si="1642">EQ405/EQ$413*100</f>
        <v>17.106168861543491</v>
      </c>
      <c r="ER448" s="81">
        <f t="shared" si="1597"/>
        <v>11.910357341571309</v>
      </c>
      <c r="ES448" s="129"/>
      <c r="ET448" s="465"/>
      <c r="EU448" s="129"/>
      <c r="EV448" s="75"/>
      <c r="EW448" s="79"/>
      <c r="EX448" s="75"/>
      <c r="EY448" s="79"/>
      <c r="EZ448" s="75"/>
      <c r="FA448" s="79"/>
      <c r="FB448" s="75">
        <f t="shared" si="1598"/>
        <v>0</v>
      </c>
      <c r="FC448" s="79" t="str">
        <f t="shared" si="1599"/>
        <v>NA</v>
      </c>
      <c r="FD448" s="75">
        <f t="shared" si="1600"/>
        <v>21.195497966518463</v>
      </c>
      <c r="FE448" s="79" t="str">
        <f t="shared" si="1601"/>
        <v>NA</v>
      </c>
      <c r="FF448" s="75">
        <f t="shared" si="1602"/>
        <v>-327.98232695140229</v>
      </c>
      <c r="FG448" s="79" t="str">
        <f t="shared" si="1603"/>
        <v>NM</v>
      </c>
      <c r="FH448" s="75">
        <f t="shared" si="1604"/>
        <v>-158.0740740740741</v>
      </c>
      <c r="FI448" s="79" t="str">
        <f t="shared" si="1605"/>
        <v>NM</v>
      </c>
      <c r="FJ448" s="75">
        <f t="shared" si="1606"/>
        <v>24.161760941899153</v>
      </c>
      <c r="FK448" s="79" t="str">
        <f t="shared" si="1605"/>
        <v>NM</v>
      </c>
      <c r="FL448" s="75">
        <f t="shared" si="1607"/>
        <v>19.187237253422463</v>
      </c>
      <c r="FM448" s="79">
        <f t="shared" si="1605"/>
        <v>-20.588415308133932</v>
      </c>
      <c r="FN448" s="75">
        <f t="shared" si="1608"/>
        <v>18.89145102058248</v>
      </c>
      <c r="FO448" s="79">
        <f t="shared" si="1605"/>
        <v>-1.5415780236272547</v>
      </c>
      <c r="FP448" s="75">
        <f t="shared" si="1609"/>
        <v>16.427630048841007</v>
      </c>
      <c r="FQ448" s="79">
        <f t="shared" si="1605"/>
        <v>-13.041989040741807</v>
      </c>
      <c r="FR448" s="75">
        <f t="shared" si="1610"/>
        <v>14.714600592840336</v>
      </c>
      <c r="FS448" s="79">
        <f t="shared" si="1605"/>
        <v>-10.427733342592093</v>
      </c>
      <c r="FT448" s="75">
        <f t="shared" si="1611"/>
        <v>15.364916773367487</v>
      </c>
      <c r="FU448" s="79">
        <f t="shared" si="1605"/>
        <v>4.4195299520638942</v>
      </c>
      <c r="FV448" s="75">
        <f t="shared" si="1612"/>
        <v>56.336125371521305</v>
      </c>
      <c r="FW448" s="79" t="str">
        <f t="shared" si="1605"/>
        <v>NM</v>
      </c>
      <c r="FX448" s="75">
        <f t="shared" si="1613"/>
        <v>17.470934862239236</v>
      </c>
      <c r="FY448" s="79" t="str">
        <f t="shared" si="1605"/>
        <v>NM</v>
      </c>
      <c r="FZ448" s="75">
        <f t="shared" si="1614"/>
        <v>18.666238664633639</v>
      </c>
      <c r="GA448" s="79">
        <f t="shared" si="1605"/>
        <v>6.8416705334862771</v>
      </c>
      <c r="GB448" s="75">
        <f t="shared" si="1615"/>
        <v>40.437342304457538</v>
      </c>
      <c r="GC448" s="79" t="str">
        <f t="shared" si="1605"/>
        <v>NM</v>
      </c>
      <c r="GD448" s="75">
        <f t="shared" si="1616"/>
        <v>17.541533421729948</v>
      </c>
      <c r="GE448" s="79" t="str">
        <f t="shared" si="1605"/>
        <v>NM</v>
      </c>
      <c r="GF448" s="75">
        <f t="shared" si="1617"/>
        <v>16.75859463543636</v>
      </c>
      <c r="GG448" s="79">
        <f t="shared" si="1605"/>
        <v>-4.4633428986527779</v>
      </c>
      <c r="GH448" s="75">
        <f t="shared" si="1618"/>
        <v>16.447599634497806</v>
      </c>
      <c r="GI448" s="79">
        <f t="shared" si="1605"/>
        <v>-1.8557343721468667</v>
      </c>
      <c r="GJ448" s="75">
        <f t="shared" si="1619"/>
        <v>17.011733581547166</v>
      </c>
      <c r="GK448" s="79">
        <f t="shared" si="1605"/>
        <v>3.4298861814834325</v>
      </c>
      <c r="GL448" s="75">
        <f t="shared" si="1620"/>
        <v>17.133826934146278</v>
      </c>
      <c r="GM448" s="79">
        <f t="shared" si="1605"/>
        <v>0.71770082698419113</v>
      </c>
      <c r="GN448" s="75">
        <f t="shared" si="1620"/>
        <v>17.190011164214596</v>
      </c>
      <c r="GO448" s="79">
        <f t="shared" si="1605"/>
        <v>0.32791407479637602</v>
      </c>
      <c r="GP448" s="75">
        <f t="shared" ref="GP448:GR448" si="1643">GP405/GP$413*100</f>
        <v>17.319080975108822</v>
      </c>
      <c r="GQ448" s="79">
        <f t="shared" si="1605"/>
        <v>0.7508419259373067</v>
      </c>
      <c r="GR448" s="75">
        <f t="shared" si="1643"/>
        <v>17.411513334010266</v>
      </c>
      <c r="GS448" s="79">
        <f t="shared" si="1622"/>
        <v>0.53370244664996402</v>
      </c>
      <c r="GT448" s="79">
        <f t="shared" si="1623"/>
        <v>1.1455543012853786</v>
      </c>
    </row>
    <row r="449" spans="1:286" ht="12.75" customHeight="1" x14ac:dyDescent="0.2">
      <c r="A449" s="1" t="s">
        <v>377</v>
      </c>
      <c r="B449" s="10" t="s">
        <v>348</v>
      </c>
      <c r="C449" s="79"/>
      <c r="D449" s="79"/>
      <c r="E449" s="75">
        <f t="shared" si="1473"/>
        <v>0</v>
      </c>
      <c r="F449" s="75"/>
      <c r="G449" s="75">
        <f t="shared" si="1474"/>
        <v>0</v>
      </c>
      <c r="H449" s="75"/>
      <c r="I449" s="75">
        <f t="shared" si="1475"/>
        <v>0</v>
      </c>
      <c r="J449" s="75"/>
      <c r="K449" s="75">
        <f t="shared" si="1476"/>
        <v>0</v>
      </c>
      <c r="L449" s="146"/>
      <c r="M449" s="75">
        <f t="shared" si="1477"/>
        <v>0</v>
      </c>
      <c r="N449" s="146" t="str">
        <f t="shared" si="1478"/>
        <v>NA</v>
      </c>
      <c r="O449" s="75">
        <f t="shared" si="1479"/>
        <v>0</v>
      </c>
      <c r="P449" s="146" t="str">
        <f t="shared" si="1480"/>
        <v>NA</v>
      </c>
      <c r="Q449" s="75">
        <f t="shared" si="1481"/>
        <v>0</v>
      </c>
      <c r="R449" s="146" t="str">
        <f t="shared" si="1482"/>
        <v>NA</v>
      </c>
      <c r="S449" s="75">
        <f t="shared" si="1483"/>
        <v>0</v>
      </c>
      <c r="T449" s="146" t="str">
        <f t="shared" si="1484"/>
        <v>NA</v>
      </c>
      <c r="U449" s="75">
        <f t="shared" si="1485"/>
        <v>0</v>
      </c>
      <c r="V449" s="146" t="str">
        <f t="shared" si="1486"/>
        <v>NA</v>
      </c>
      <c r="W449" s="75">
        <f t="shared" si="1487"/>
        <v>0</v>
      </c>
      <c r="X449" s="146" t="str">
        <f t="shared" si="1488"/>
        <v>NA</v>
      </c>
      <c r="Y449" s="75">
        <f t="shared" si="1489"/>
        <v>0</v>
      </c>
      <c r="Z449" s="146" t="str">
        <f t="shared" si="1490"/>
        <v>NA</v>
      </c>
      <c r="AA449" s="267">
        <f t="shared" si="1491"/>
        <v>0</v>
      </c>
      <c r="AB449" s="146" t="str">
        <f t="shared" si="1492"/>
        <v>NA</v>
      </c>
      <c r="AC449" s="75">
        <f t="shared" si="1493"/>
        <v>-6.4487743557510937</v>
      </c>
      <c r="AD449" s="146" t="str">
        <f t="shared" si="1494"/>
        <v>NA</v>
      </c>
      <c r="AE449" s="75">
        <f t="shared" si="1495"/>
        <v>22.406847935548818</v>
      </c>
      <c r="AF449" s="146" t="str">
        <f t="shared" si="1496"/>
        <v>NA</v>
      </c>
      <c r="AG449" s="75">
        <f t="shared" si="1497"/>
        <v>21.987182827072367</v>
      </c>
      <c r="AH449" s="146" t="str">
        <f t="shared" si="1498"/>
        <v>NA</v>
      </c>
      <c r="AI449" s="75">
        <f t="shared" si="1499"/>
        <v>36.263641832087387</v>
      </c>
      <c r="AJ449" s="146" t="str">
        <f t="shared" si="1500"/>
        <v>NA</v>
      </c>
      <c r="AK449" s="75">
        <f t="shared" si="1501"/>
        <v>22.456709956709929</v>
      </c>
      <c r="AL449" s="146" t="str">
        <f t="shared" si="1502"/>
        <v>NM</v>
      </c>
      <c r="AM449" s="75">
        <f t="shared" si="1503"/>
        <v>21.667498751872209</v>
      </c>
      <c r="AN449" s="146">
        <f t="shared" si="1504"/>
        <v>-3.2996572556893145</v>
      </c>
      <c r="AO449" s="75">
        <f t="shared" si="1505"/>
        <v>18.899521531100483</v>
      </c>
      <c r="AP449" s="146">
        <f t="shared" si="1504"/>
        <v>-14.043005510328999</v>
      </c>
      <c r="AQ449" s="75">
        <f t="shared" si="1506"/>
        <v>24.986652429257887</v>
      </c>
      <c r="AR449" s="146">
        <f t="shared" si="1504"/>
        <v>-31.0972335736319</v>
      </c>
      <c r="AS449" s="75">
        <f t="shared" si="1507"/>
        <v>27.863163113534966</v>
      </c>
      <c r="AT449" s="146">
        <f t="shared" si="1504"/>
        <v>24.075001045331756</v>
      </c>
      <c r="AU449" s="75">
        <f t="shared" si="1508"/>
        <v>22.771362586605061</v>
      </c>
      <c r="AV449" s="146">
        <f t="shared" si="1504"/>
        <v>5.0945605091472279</v>
      </c>
      <c r="AW449" s="75">
        <f t="shared" si="1509"/>
        <v>24.049079754601223</v>
      </c>
      <c r="AX449" s="146">
        <f t="shared" si="1504"/>
        <v>27.247029587636828</v>
      </c>
      <c r="AY449" s="75">
        <f t="shared" si="1510"/>
        <v>20.566037735849068</v>
      </c>
      <c r="AZ449" s="146">
        <f t="shared" si="1504"/>
        <v>-17.691904531527168</v>
      </c>
      <c r="BA449" s="75">
        <f t="shared" si="1511"/>
        <v>21.927162367223051</v>
      </c>
      <c r="BB449" s="146">
        <f t="shared" si="1504"/>
        <v>-21.304116557493114</v>
      </c>
      <c r="BC449" s="75">
        <f t="shared" si="1512"/>
        <v>17.894736842105228</v>
      </c>
      <c r="BD449" s="146">
        <f t="shared" si="1504"/>
        <v>-21.415607985481032</v>
      </c>
      <c r="BE449" s="75">
        <f t="shared" si="1513"/>
        <v>15.415384615384594</v>
      </c>
      <c r="BF449" s="146">
        <f t="shared" si="1514"/>
        <v>-35.900313971742627</v>
      </c>
      <c r="BG449" s="75">
        <f t="shared" si="1515"/>
        <v>18.611473272490244</v>
      </c>
      <c r="BH449" s="146">
        <f t="shared" si="1516"/>
        <v>-9.5038455557814316</v>
      </c>
      <c r="BI449" s="75">
        <f t="shared" si="1517"/>
        <v>20.05108556832695</v>
      </c>
      <c r="BJ449" s="146">
        <f t="shared" si="1518"/>
        <v>-8.5559488614015962</v>
      </c>
      <c r="BK449" s="75">
        <f t="shared" si="1519"/>
        <v>20.621883250219991</v>
      </c>
      <c r="BL449" s="146">
        <f t="shared" si="1520"/>
        <v>15.239935810053119</v>
      </c>
      <c r="BM449" s="75">
        <f t="shared" si="1521"/>
        <v>20.300982800982801</v>
      </c>
      <c r="BN449" s="146">
        <f t="shared" si="1522"/>
        <v>31.69300220198441</v>
      </c>
      <c r="BO449" s="75">
        <f t="shared" si="1523"/>
        <v>23.404255319148909</v>
      </c>
      <c r="BP449" s="146">
        <f t="shared" si="1524"/>
        <v>25.75176062898208</v>
      </c>
      <c r="BQ449" s="75">
        <f t="shared" si="1525"/>
        <v>24.619289340101517</v>
      </c>
      <c r="BR449" s="81">
        <f t="shared" si="1526"/>
        <v>22.7828251802515</v>
      </c>
      <c r="BS449" s="75">
        <f t="shared" si="1527"/>
        <v>22.939178758876171</v>
      </c>
      <c r="BT449" s="81">
        <f t="shared" si="1528"/>
        <v>11.237070254635739</v>
      </c>
      <c r="BU449" s="75">
        <f t="shared" si="1529"/>
        <v>22.552392868314026</v>
      </c>
      <c r="BV449" s="81">
        <f t="shared" si="1530"/>
        <v>11.09015306994019</v>
      </c>
      <c r="BW449" s="75">
        <f t="shared" si="1531"/>
        <v>25.699192044748287</v>
      </c>
      <c r="BX449" s="81">
        <f t="shared" si="1532"/>
        <v>9.8056387366519004</v>
      </c>
      <c r="BY449" s="75">
        <f t="shared" si="1533"/>
        <v>16.52455160246986</v>
      </c>
      <c r="BZ449" s="81">
        <f t="shared" si="1534"/>
        <v>-32.879656377596632</v>
      </c>
      <c r="CA449" s="75">
        <f t="shared" si="1535"/>
        <v>19.121071012805587</v>
      </c>
      <c r="CB449" s="81">
        <f t="shared" si="1536"/>
        <v>-16.644483162210822</v>
      </c>
      <c r="CC449" s="75">
        <f t="shared" si="1537"/>
        <v>18.583535108958834</v>
      </c>
      <c r="CD449" s="81">
        <f t="shared" si="1538"/>
        <v>-17.598388705490375</v>
      </c>
      <c r="CE449" s="75">
        <f t="shared" si="1539"/>
        <v>20.663265306122433</v>
      </c>
      <c r="CF449" s="81">
        <f t="shared" si="1540"/>
        <v>-19.595661722972192</v>
      </c>
      <c r="CG449" s="75">
        <f t="shared" si="1541"/>
        <v>21.642723297938801</v>
      </c>
      <c r="CH449" s="81">
        <f t="shared" si="1542"/>
        <v>30.973135117953497</v>
      </c>
      <c r="CI449" s="75">
        <f t="shared" si="1543"/>
        <v>21.641144177983236</v>
      </c>
      <c r="CJ449" s="81">
        <f t="shared" si="1544"/>
        <v>13.179560723821005</v>
      </c>
      <c r="CK449" s="75">
        <f t="shared" si="1545"/>
        <v>24.547723019338736</v>
      </c>
      <c r="CL449" s="81">
        <f t="shared" si="1546"/>
        <v>32.093936247386324</v>
      </c>
      <c r="CM449" s="75">
        <f t="shared" si="1547"/>
        <v>-12.59727626459143</v>
      </c>
      <c r="CN449" s="81" t="str">
        <f t="shared" si="1548"/>
        <v>NM</v>
      </c>
      <c r="CO449" s="75">
        <f t="shared" si="1549"/>
        <v>25.485122897800789</v>
      </c>
      <c r="CP449" s="81">
        <f t="shared" si="1550"/>
        <v>17.753771311339218</v>
      </c>
      <c r="CQ449" s="75">
        <f t="shared" si="1551"/>
        <v>27.410512737826515</v>
      </c>
      <c r="CR449" s="81">
        <f t="shared" si="1552"/>
        <v>26.659258458768488</v>
      </c>
      <c r="CS449" s="75">
        <f t="shared" si="1553"/>
        <v>27.58287737367235</v>
      </c>
      <c r="CT449" s="81">
        <f t="shared" si="1554"/>
        <v>12.364300965684327</v>
      </c>
      <c r="CU449" s="75">
        <f t="shared" si="1555"/>
        <v>26.99386503067484</v>
      </c>
      <c r="CV449" s="81" t="str">
        <f t="shared" si="1556"/>
        <v>NM</v>
      </c>
      <c r="CW449" s="75">
        <f t="shared" si="1557"/>
        <v>25.961538461538435</v>
      </c>
      <c r="CX449" s="81">
        <f t="shared" si="1558"/>
        <v>1.869386958219299</v>
      </c>
      <c r="CY449" s="75">
        <f t="shared" si="1559"/>
        <v>26.357573832962849</v>
      </c>
      <c r="CZ449" s="81">
        <f t="shared" si="1560"/>
        <v>-3.84136887527321</v>
      </c>
      <c r="DA449" s="75">
        <f t="shared" si="1561"/>
        <v>25.695322376738289</v>
      </c>
      <c r="DB449" s="81">
        <f t="shared" si="1562"/>
        <v>-6.843212806854293</v>
      </c>
      <c r="DC449" s="75">
        <f t="shared" si="1563"/>
        <v>28.137384412153231</v>
      </c>
      <c r="DD449" s="81">
        <f t="shared" si="1564"/>
        <v>4.2362195268404124</v>
      </c>
      <c r="DE449" s="75">
        <f t="shared" si="1565"/>
        <v>24.992305324715314</v>
      </c>
      <c r="DF449" s="81">
        <f t="shared" si="1566"/>
        <v>-3.7333424529483183</v>
      </c>
      <c r="DG449" s="75">
        <f t="shared" si="1567"/>
        <v>25.361205041500153</v>
      </c>
      <c r="DH449" s="81">
        <f t="shared" si="1568"/>
        <v>-3.7801991859229278</v>
      </c>
      <c r="DI449" s="75">
        <f t="shared" si="1569"/>
        <v>25.756620428751571</v>
      </c>
      <c r="DJ449" s="81">
        <f t="shared" si="1570"/>
        <v>0.23855724055352745</v>
      </c>
      <c r="DK449" s="75">
        <f t="shared" si="1571"/>
        <v>-22.606596942880131</v>
      </c>
      <c r="DL449" s="81" t="str">
        <f t="shared" si="1572"/>
        <v>NM</v>
      </c>
      <c r="DM449" s="75">
        <f t="shared" si="1571"/>
        <v>25.793276782909206</v>
      </c>
      <c r="DN449" s="81">
        <f t="shared" si="1573"/>
        <v>3.2048722508275285</v>
      </c>
      <c r="DO449" s="75">
        <f t="shared" si="1574"/>
        <v>27.931034482758633</v>
      </c>
      <c r="DP449" s="81">
        <f t="shared" si="1573"/>
        <v>10.132915360501627</v>
      </c>
      <c r="DQ449" s="75">
        <f t="shared" si="1574"/>
        <v>26.943164362519177</v>
      </c>
      <c r="DR449" s="81">
        <f t="shared" si="1575"/>
        <v>4.6067531920573446</v>
      </c>
      <c r="DS449" s="75">
        <f t="shared" ref="DS449:DU449" si="1644">DS406/DS$413*100</f>
        <v>29.376761666144702</v>
      </c>
      <c r="DT449" s="81" t="str">
        <f t="shared" si="1577"/>
        <v>NM</v>
      </c>
      <c r="DU449" s="75">
        <f t="shared" si="1644"/>
        <v>27.748691099476481</v>
      </c>
      <c r="DV449" s="81">
        <f t="shared" si="1578"/>
        <v>7.5811008156317028</v>
      </c>
      <c r="DW449" s="75">
        <f t="shared" ref="DW449" si="1645">DW406/DW$413*100</f>
        <v>28.63541355628546</v>
      </c>
      <c r="DX449" s="81">
        <f t="shared" si="1580"/>
        <v>2.5218510039849429</v>
      </c>
      <c r="DY449" s="75">
        <f t="shared" ref="DY449:EA449" si="1646">DY406/DY$413*100</f>
        <v>28.713796325132336</v>
      </c>
      <c r="DZ449" s="81">
        <f t="shared" si="1582"/>
        <v>6.571729804225579</v>
      </c>
      <c r="EA449" s="75">
        <f t="shared" si="1646"/>
        <v>27.567094515752643</v>
      </c>
      <c r="EB449" s="81">
        <f t="shared" si="1583"/>
        <v>-6.1601995855030349</v>
      </c>
      <c r="EC449" s="75">
        <f t="shared" ref="EC449:EE449" si="1647">EC406/EC$413*100</f>
        <v>27.772874374816119</v>
      </c>
      <c r="ED449" s="81">
        <f t="shared" si="1585"/>
        <v>8.7151048865496961E-2</v>
      </c>
      <c r="EE449" s="75">
        <f t="shared" si="1647"/>
        <v>26.732673267326724</v>
      </c>
      <c r="EF449" s="81">
        <f t="shared" si="1586"/>
        <v>-6.6447103521614199</v>
      </c>
      <c r="EG449" s="75">
        <f t="shared" ref="EG449:EI449" si="1648">EG406/EG$413*100</f>
        <v>30.387205387205395</v>
      </c>
      <c r="EH449" s="81">
        <f t="shared" si="1588"/>
        <v>5.8278920806036805</v>
      </c>
      <c r="EI449" s="75">
        <f t="shared" si="1648"/>
        <v>27.085009385894349</v>
      </c>
      <c r="EJ449" s="81">
        <f t="shared" si="1589"/>
        <v>-1.7487701853483917</v>
      </c>
      <c r="EK449" s="75">
        <f t="shared" ref="EK449" si="1649">EK406/EK$413*100</f>
        <v>28.076640933500506</v>
      </c>
      <c r="EL449" s="81">
        <f t="shared" si="1591"/>
        <v>1.0937526832290656</v>
      </c>
      <c r="EM449" s="75">
        <f t="shared" ref="EM449" si="1650">EM406/EM$413*100</f>
        <v>28.256106788413206</v>
      </c>
      <c r="EN449" s="81">
        <f t="shared" si="1593"/>
        <v>5.6987698381383289</v>
      </c>
      <c r="EO449" s="75">
        <f t="shared" ref="EO449" si="1651">EO406/EO$413*100</f>
        <v>28.511836641361306</v>
      </c>
      <c r="EP449" s="81">
        <f t="shared" si="1595"/>
        <v>-6.1715736012819322</v>
      </c>
      <c r="EQ449" s="75">
        <f t="shared" ref="EQ449" si="1652">EQ406/EQ$413*100</f>
        <v>28.576942328462856</v>
      </c>
      <c r="ER449" s="81">
        <f t="shared" si="1597"/>
        <v>5.5083345968692576</v>
      </c>
      <c r="ES449" s="129"/>
      <c r="ET449" s="465"/>
      <c r="EU449" s="129"/>
      <c r="EV449" s="75"/>
      <c r="EW449" s="79"/>
      <c r="EX449" s="75"/>
      <c r="EY449" s="79"/>
      <c r="EZ449" s="75"/>
      <c r="FA449" s="79"/>
      <c r="FB449" s="75">
        <f t="shared" si="1598"/>
        <v>0</v>
      </c>
      <c r="FC449" s="79" t="str">
        <f t="shared" si="1599"/>
        <v>NA</v>
      </c>
      <c r="FD449" s="75">
        <f t="shared" si="1600"/>
        <v>17.875721176581823</v>
      </c>
      <c r="FE449" s="79" t="str">
        <f t="shared" si="1601"/>
        <v>NA</v>
      </c>
      <c r="FF449" s="75">
        <f t="shared" si="1602"/>
        <v>-318.262150220916</v>
      </c>
      <c r="FG449" s="79" t="str">
        <f t="shared" si="1603"/>
        <v>NM</v>
      </c>
      <c r="FH449" s="75">
        <f t="shared" si="1604"/>
        <v>-133.40740740740716</v>
      </c>
      <c r="FI449" s="79" t="str">
        <f t="shared" si="1605"/>
        <v>NM</v>
      </c>
      <c r="FJ449" s="75">
        <f t="shared" si="1606"/>
        <v>21.909393396467859</v>
      </c>
      <c r="FK449" s="79" t="str">
        <f t="shared" si="1605"/>
        <v>NM</v>
      </c>
      <c r="FL449" s="75">
        <f t="shared" si="1607"/>
        <v>23.585210736229424</v>
      </c>
      <c r="FM449" s="79">
        <f t="shared" si="1605"/>
        <v>7.6488532084677985</v>
      </c>
      <c r="FN449" s="75">
        <f t="shared" si="1608"/>
        <v>18.302160731061552</v>
      </c>
      <c r="FO449" s="79">
        <f t="shared" si="1605"/>
        <v>-22.399842275110725</v>
      </c>
      <c r="FP449" s="75">
        <f t="shared" si="1609"/>
        <v>21.07140088378944</v>
      </c>
      <c r="FQ449" s="79">
        <f t="shared" si="1605"/>
        <v>15.130673330980349</v>
      </c>
      <c r="FR449" s="75">
        <f t="shared" si="1610"/>
        <v>18.780877099642794</v>
      </c>
      <c r="FS449" s="79">
        <f t="shared" si="1605"/>
        <v>-10.870296648899046</v>
      </c>
      <c r="FT449" s="75">
        <f t="shared" si="1611"/>
        <v>18.68645025231606</v>
      </c>
      <c r="FU449" s="79">
        <f t="shared" si="1605"/>
        <v>-0.50278188194166074</v>
      </c>
      <c r="FV449" s="75">
        <f t="shared" si="1612"/>
        <v>81.221291542826279</v>
      </c>
      <c r="FW449" s="79" t="str">
        <f t="shared" si="1605"/>
        <v>NM</v>
      </c>
      <c r="FX449" s="75">
        <f t="shared" si="1613"/>
        <v>26.405478579391623</v>
      </c>
      <c r="FY449" s="79" t="str">
        <f t="shared" si="1605"/>
        <v>NM</v>
      </c>
      <c r="FZ449" s="75">
        <f t="shared" si="1614"/>
        <v>26.522750983067194</v>
      </c>
      <c r="GA449" s="79">
        <f t="shared" si="1605"/>
        <v>0.44412148533106155</v>
      </c>
      <c r="GB449" s="75">
        <f t="shared" si="1615"/>
        <v>55.458368376787185</v>
      </c>
      <c r="GC449" s="79" t="str">
        <f t="shared" si="1605"/>
        <v>NM</v>
      </c>
      <c r="GD449" s="75">
        <f t="shared" si="1616"/>
        <v>27.509554636923827</v>
      </c>
      <c r="GE449" s="79" t="str">
        <f t="shared" si="1605"/>
        <v>NM</v>
      </c>
      <c r="GF449" s="75">
        <f t="shared" si="1617"/>
        <v>28.160181337363031</v>
      </c>
      <c r="GG449" s="79">
        <f t="shared" si="1605"/>
        <v>2.3650935430482134</v>
      </c>
      <c r="GH449" s="75">
        <f t="shared" si="1618"/>
        <v>27.989034933577006</v>
      </c>
      <c r="GI449" s="79">
        <f t="shared" si="1605"/>
        <v>-0.60776030429515737</v>
      </c>
      <c r="GJ449" s="75">
        <f t="shared" si="1619"/>
        <v>28.356575199397422</v>
      </c>
      <c r="GK449" s="79">
        <f t="shared" si="1605"/>
        <v>1.3131580516893671</v>
      </c>
      <c r="GL449" s="75">
        <f t="shared" si="1620"/>
        <v>28.726587898120172</v>
      </c>
      <c r="GM449" s="79">
        <f t="shared" si="1605"/>
        <v>1.3048567964251578</v>
      </c>
      <c r="GN449" s="75">
        <f t="shared" si="1620"/>
        <v>28.989816076429324</v>
      </c>
      <c r="GO449" s="79">
        <f t="shared" si="1605"/>
        <v>0.91632246489803393</v>
      </c>
      <c r="GP449" s="75">
        <f t="shared" ref="GP449:GR449" si="1653">GP406/GP$413*100</f>
        <v>29.179990035374669</v>
      </c>
      <c r="GQ449" s="79">
        <f t="shared" si="1605"/>
        <v>0.65600264052716462</v>
      </c>
      <c r="GR449" s="75">
        <f t="shared" si="1653"/>
        <v>29.280933273907216</v>
      </c>
      <c r="GS449" s="79">
        <f t="shared" si="1622"/>
        <v>0.34593308088926022</v>
      </c>
      <c r="GT449" s="79">
        <f t="shared" si="1623"/>
        <v>0.90655935644667895</v>
      </c>
    </row>
    <row r="450" spans="1:286" ht="12.75" customHeight="1" x14ac:dyDescent="0.2">
      <c r="A450" s="1" t="s">
        <v>163</v>
      </c>
      <c r="B450" s="10" t="s">
        <v>309</v>
      </c>
      <c r="C450" s="79"/>
      <c r="D450" s="79"/>
      <c r="E450" s="75">
        <f t="shared" si="1473"/>
        <v>0</v>
      </c>
      <c r="F450" s="75"/>
      <c r="G450" s="75">
        <f t="shared" si="1474"/>
        <v>0</v>
      </c>
      <c r="H450" s="75"/>
      <c r="I450" s="75">
        <f t="shared" si="1475"/>
        <v>0</v>
      </c>
      <c r="J450" s="75"/>
      <c r="K450" s="75">
        <f t="shared" si="1476"/>
        <v>0</v>
      </c>
      <c r="L450" s="146"/>
      <c r="M450" s="75">
        <f t="shared" si="1477"/>
        <v>0</v>
      </c>
      <c r="N450" s="146" t="str">
        <f t="shared" si="1478"/>
        <v>NA</v>
      </c>
      <c r="O450" s="75">
        <f t="shared" si="1479"/>
        <v>0</v>
      </c>
      <c r="P450" s="146" t="str">
        <f t="shared" si="1480"/>
        <v>NA</v>
      </c>
      <c r="Q450" s="75">
        <f t="shared" si="1481"/>
        <v>0</v>
      </c>
      <c r="R450" s="146" t="str">
        <f t="shared" si="1482"/>
        <v>NA</v>
      </c>
      <c r="S450" s="75">
        <f t="shared" si="1483"/>
        <v>0</v>
      </c>
      <c r="T450" s="146" t="str">
        <f t="shared" si="1484"/>
        <v>NA</v>
      </c>
      <c r="U450" s="75">
        <f t="shared" si="1485"/>
        <v>-7.4572930354796192</v>
      </c>
      <c r="V450" s="146" t="str">
        <f t="shared" si="1486"/>
        <v>NA</v>
      </c>
      <c r="W450" s="75">
        <f t="shared" si="1487"/>
        <v>18.059792556436861</v>
      </c>
      <c r="X450" s="146" t="str">
        <f t="shared" si="1488"/>
        <v>NA</v>
      </c>
      <c r="Y450" s="75">
        <f t="shared" si="1489"/>
        <v>15.907780979827061</v>
      </c>
      <c r="Z450" s="146" t="str">
        <f t="shared" si="1490"/>
        <v>NA</v>
      </c>
      <c r="AA450" s="267">
        <f t="shared" si="1491"/>
        <v>-10.903532608695652</v>
      </c>
      <c r="AB450" s="146" t="str">
        <f t="shared" si="1492"/>
        <v>NA</v>
      </c>
      <c r="AC450" s="75">
        <f t="shared" si="1493"/>
        <v>-4.3746071653048375</v>
      </c>
      <c r="AD450" s="146">
        <f t="shared" si="1494"/>
        <v>-41.337866911066314</v>
      </c>
      <c r="AE450" s="75">
        <f t="shared" si="1495"/>
        <v>15.961732124874109</v>
      </c>
      <c r="AF450" s="146">
        <f t="shared" si="1496"/>
        <v>-11.617300835578881</v>
      </c>
      <c r="AG450" s="75">
        <f t="shared" si="1497"/>
        <v>19.850987339134043</v>
      </c>
      <c r="AH450" s="146">
        <f t="shared" si="1498"/>
        <v>24.78790954129575</v>
      </c>
      <c r="AI450" s="75">
        <f t="shared" si="1499"/>
        <v>40.130617856835897</v>
      </c>
      <c r="AJ450" s="146" t="str">
        <f t="shared" si="1500"/>
        <v>NM</v>
      </c>
      <c r="AK450" s="75">
        <f t="shared" si="1501"/>
        <v>25.595238095238049</v>
      </c>
      <c r="AL450" s="146" t="str">
        <f t="shared" si="1502"/>
        <v>NM</v>
      </c>
      <c r="AM450" s="75">
        <f t="shared" si="1503"/>
        <v>20.619071392910655</v>
      </c>
      <c r="AN450" s="146">
        <f t="shared" si="1504"/>
        <v>29.178157054639065</v>
      </c>
      <c r="AO450" s="75">
        <f t="shared" si="1505"/>
        <v>21.100478468899539</v>
      </c>
      <c r="AP450" s="146">
        <f t="shared" si="1504"/>
        <v>6.2943525599971517</v>
      </c>
      <c r="AQ450" s="75">
        <f t="shared" si="1506"/>
        <v>26.321409503470349</v>
      </c>
      <c r="AR450" s="146">
        <f t="shared" si="1504"/>
        <v>-34.410654734071755</v>
      </c>
      <c r="AS450" s="75">
        <f t="shared" si="1507"/>
        <v>26.970748636589015</v>
      </c>
      <c r="AT450" s="146">
        <f t="shared" si="1504"/>
        <v>5.3740876964409878</v>
      </c>
      <c r="AU450" s="75">
        <f t="shared" si="1508"/>
        <v>25.91224018475755</v>
      </c>
      <c r="AV450" s="146">
        <f t="shared" si="1504"/>
        <v>25.671227820991092</v>
      </c>
      <c r="AW450" s="75">
        <f t="shared" si="1509"/>
        <v>26.789366053169722</v>
      </c>
      <c r="AX450" s="146">
        <f t="shared" si="1504"/>
        <v>26.960941159012862</v>
      </c>
      <c r="AY450" s="75">
        <f t="shared" si="1510"/>
        <v>26.71698113207545</v>
      </c>
      <c r="AZ450" s="146">
        <f t="shared" si="1504"/>
        <v>1.5028512380879322</v>
      </c>
      <c r="BA450" s="75">
        <f t="shared" si="1511"/>
        <v>27.46585735963582</v>
      </c>
      <c r="BB450" s="146">
        <f t="shared" si="1504"/>
        <v>1.8357248058555209</v>
      </c>
      <c r="BC450" s="75">
        <f t="shared" si="1512"/>
        <v>26.896551724137939</v>
      </c>
      <c r="BD450" s="146">
        <f t="shared" si="1504"/>
        <v>3.7986354416373214</v>
      </c>
      <c r="BE450" s="75">
        <f t="shared" si="1513"/>
        <v>30.030769230769256</v>
      </c>
      <c r="BF450" s="146">
        <f t="shared" si="1514"/>
        <v>12.099588960657815</v>
      </c>
      <c r="BG450" s="75">
        <f t="shared" si="1515"/>
        <v>26.303780964797909</v>
      </c>
      <c r="BH450" s="146">
        <f t="shared" si="1516"/>
        <v>-1.5465825470133976</v>
      </c>
      <c r="BI450" s="75">
        <f t="shared" si="1517"/>
        <v>26.91570881226054</v>
      </c>
      <c r="BJ450" s="146">
        <f t="shared" si="1518"/>
        <v>-2.0030270316039211</v>
      </c>
      <c r="BK450" s="75">
        <f t="shared" si="1519"/>
        <v>25.403344089175722</v>
      </c>
      <c r="BL450" s="146">
        <f t="shared" si="1520"/>
        <v>-5.5516694120390175</v>
      </c>
      <c r="BM450" s="75">
        <f t="shared" si="1521"/>
        <v>25.214987714987725</v>
      </c>
      <c r="BN450" s="146">
        <f t="shared" si="1522"/>
        <v>-16.036157711362662</v>
      </c>
      <c r="BO450" s="75">
        <f t="shared" si="1523"/>
        <v>17.601547388781427</v>
      </c>
      <c r="BP450" s="146">
        <f t="shared" si="1524"/>
        <v>-33.083584400518674</v>
      </c>
      <c r="BQ450" s="75">
        <f t="shared" si="1525"/>
        <v>19.765228426395947</v>
      </c>
      <c r="BR450" s="81">
        <f t="shared" si="1526"/>
        <v>-26.566197590187311</v>
      </c>
      <c r="BS450" s="75">
        <f t="shared" si="1527"/>
        <v>20.778017906761338</v>
      </c>
      <c r="BT450" s="81">
        <f t="shared" si="1528"/>
        <v>-18.207548447864465</v>
      </c>
      <c r="BU450" s="75">
        <f t="shared" si="1529"/>
        <v>18.360963403190496</v>
      </c>
      <c r="BV450" s="81">
        <f t="shared" si="1530"/>
        <v>-27.182342459454045</v>
      </c>
      <c r="BW450" s="75">
        <f t="shared" si="1531"/>
        <v>19.049098819142333</v>
      </c>
      <c r="BX450" s="81">
        <f t="shared" si="1532"/>
        <v>8.2240009834789962</v>
      </c>
      <c r="BY450" s="75">
        <f t="shared" si="1533"/>
        <v>17.818288738606299</v>
      </c>
      <c r="BZ450" s="81">
        <f t="shared" si="1534"/>
        <v>-9.8503272807591742</v>
      </c>
      <c r="CA450" s="75">
        <f t="shared" si="1535"/>
        <v>15.366705471478459</v>
      </c>
      <c r="CB450" s="81">
        <f t="shared" si="1536"/>
        <v>-26.043448704132622</v>
      </c>
      <c r="CC450" s="75">
        <f t="shared" si="1537"/>
        <v>14.46731234866828</v>
      </c>
      <c r="CD450" s="81">
        <f t="shared" si="1538"/>
        <v>-21.206137003931048</v>
      </c>
      <c r="CE450" s="75">
        <f t="shared" si="1539"/>
        <v>15.2423469387755</v>
      </c>
      <c r="CF450" s="81">
        <f t="shared" si="1540"/>
        <v>-19.983894863002394</v>
      </c>
      <c r="CG450" s="75">
        <f t="shared" si="1541"/>
        <v>15.271705184259845</v>
      </c>
      <c r="CH450" s="81">
        <f t="shared" si="1542"/>
        <v>-14.291964799228197</v>
      </c>
      <c r="CI450" s="75">
        <f t="shared" si="1543"/>
        <v>15.949147645189251</v>
      </c>
      <c r="CJ450" s="81">
        <f t="shared" si="1544"/>
        <v>3.7902865698300703</v>
      </c>
      <c r="CK450" s="75">
        <f t="shared" si="1545"/>
        <v>10.823456019962565</v>
      </c>
      <c r="CL450" s="81">
        <f t="shared" si="1546"/>
        <v>-25.186822824359169</v>
      </c>
      <c r="CM450" s="75">
        <f t="shared" si="1547"/>
        <v>-8.4143968871595298</v>
      </c>
      <c r="CN450" s="81" t="str">
        <f t="shared" si="1548"/>
        <v>NM</v>
      </c>
      <c r="CO450" s="75">
        <f t="shared" si="1549"/>
        <v>12.548512289780076</v>
      </c>
      <c r="CP450" s="81">
        <f t="shared" si="1550"/>
        <v>-17.831623002299011</v>
      </c>
      <c r="CQ450" s="75">
        <f t="shared" si="1551"/>
        <v>9.6742986133505244</v>
      </c>
      <c r="CR450" s="81">
        <f t="shared" si="1552"/>
        <v>-39.342848730423604</v>
      </c>
      <c r="CS450" s="75">
        <f t="shared" si="1553"/>
        <v>8.850981654328935</v>
      </c>
      <c r="CT450" s="81">
        <f t="shared" si="1554"/>
        <v>-18.224071516488248</v>
      </c>
      <c r="CU450" s="75">
        <f t="shared" si="1555"/>
        <v>11.30125928317727</v>
      </c>
      <c r="CV450" s="81" t="str">
        <f t="shared" si="1556"/>
        <v>NM</v>
      </c>
      <c r="CW450" s="75">
        <f t="shared" si="1557"/>
        <v>10.032051282051283</v>
      </c>
      <c r="CX450" s="81">
        <f t="shared" si="1558"/>
        <v>-20.053859370869663</v>
      </c>
      <c r="CY450" s="75">
        <f t="shared" si="1559"/>
        <v>10.638297872340429</v>
      </c>
      <c r="CZ450" s="81">
        <f t="shared" si="1560"/>
        <v>9.9645390070923092</v>
      </c>
      <c r="DA450" s="75">
        <f t="shared" si="1561"/>
        <v>9.8925410872313542</v>
      </c>
      <c r="DB450" s="81">
        <f t="shared" si="1562"/>
        <v>11.767727847373877</v>
      </c>
      <c r="DC450" s="75">
        <f t="shared" si="1563"/>
        <v>11.856010568031708</v>
      </c>
      <c r="DD450" s="81">
        <f t="shared" si="1564"/>
        <v>4.9087563691262659</v>
      </c>
      <c r="DE450" s="75">
        <f t="shared" si="1565"/>
        <v>11.234225915666359</v>
      </c>
      <c r="DF450" s="81">
        <f t="shared" si="1566"/>
        <v>11.983338200891502</v>
      </c>
      <c r="DG450" s="75">
        <f t="shared" si="1567"/>
        <v>12.173378419920072</v>
      </c>
      <c r="DH450" s="81">
        <f t="shared" si="1568"/>
        <v>14.429757147248633</v>
      </c>
      <c r="DI450" s="75">
        <f t="shared" si="1569"/>
        <v>10.561160151324083</v>
      </c>
      <c r="DJ450" s="81">
        <f t="shared" si="1570"/>
        <v>6.7588201878255427</v>
      </c>
      <c r="DK450" s="75">
        <f t="shared" si="1571"/>
        <v>-10.244033252882815</v>
      </c>
      <c r="DL450" s="81" t="str">
        <f t="shared" si="1572"/>
        <v>NM</v>
      </c>
      <c r="DM450" s="75">
        <f t="shared" si="1571"/>
        <v>10.241910147659437</v>
      </c>
      <c r="DN450" s="81">
        <f t="shared" si="1573"/>
        <v>-8.8329696719301012</v>
      </c>
      <c r="DO450" s="75">
        <f t="shared" si="1574"/>
        <v>12.006269592476485</v>
      </c>
      <c r="DP450" s="81">
        <f t="shared" si="1573"/>
        <v>-1.3727399385706773</v>
      </c>
      <c r="DQ450" s="75">
        <f t="shared" si="1574"/>
        <v>10.046082949308754</v>
      </c>
      <c r="DR450" s="81">
        <f t="shared" si="1575"/>
        <v>-4.8770892083361828</v>
      </c>
      <c r="DS450" s="75">
        <f t="shared" ref="DS450:DU450" si="1654">DS407/DS$413*100</f>
        <v>11.587848418415287</v>
      </c>
      <c r="DT450" s="81" t="str">
        <f t="shared" si="1577"/>
        <v>NM</v>
      </c>
      <c r="DU450" s="75">
        <f t="shared" si="1654"/>
        <v>10.348013550970139</v>
      </c>
      <c r="DV450" s="81">
        <f t="shared" si="1578"/>
        <v>1.0359727998096924</v>
      </c>
      <c r="DW450" s="75">
        <f t="shared" ref="DW450" si="1655">DW407/DW$413*100</f>
        <v>11.018214392355931</v>
      </c>
      <c r="DX450" s="81">
        <f t="shared" si="1580"/>
        <v>-8.2294937033539632</v>
      </c>
      <c r="DY450" s="75">
        <f t="shared" ref="DY450:EA450" si="1656">DY407/DY$413*100</f>
        <v>8.7823108066023039</v>
      </c>
      <c r="DZ450" s="81">
        <f t="shared" si="1582"/>
        <v>-12.579750227857788</v>
      </c>
      <c r="EA450" s="75">
        <f t="shared" si="1656"/>
        <v>8.7222870478413128</v>
      </c>
      <c r="EB450" s="81">
        <f t="shared" si="1583"/>
        <v>-24.729020152007287</v>
      </c>
      <c r="EC450" s="75">
        <f t="shared" ref="EC450:EE450" si="1657">EC407/EC$413*100</f>
        <v>7.8258311268020044</v>
      </c>
      <c r="ED450" s="81">
        <f t="shared" si="1585"/>
        <v>-24.373590271648581</v>
      </c>
      <c r="EE450" s="75">
        <f t="shared" si="1657"/>
        <v>8.175388967468173</v>
      </c>
      <c r="EF450" s="81">
        <f t="shared" si="1586"/>
        <v>-25.801144574387802</v>
      </c>
      <c r="EG450" s="75">
        <f t="shared" ref="EG450:EI450" si="1658">EG407/EG$413*100</f>
        <v>7.2671156004489283</v>
      </c>
      <c r="EH450" s="81">
        <f t="shared" si="1588"/>
        <v>-17.252807826093928</v>
      </c>
      <c r="EI450" s="75">
        <f t="shared" si="1658"/>
        <v>7.9646017699115124</v>
      </c>
      <c r="EJ450" s="81">
        <f t="shared" si="1589"/>
        <v>-8.6867730192085375</v>
      </c>
      <c r="EK450" s="75">
        <f t="shared" ref="EK450" si="1659">EK407/EK$413*100</f>
        <v>8.6199069751823529</v>
      </c>
      <c r="EL450" s="81">
        <f t="shared" si="1591"/>
        <v>10.146856423476702</v>
      </c>
      <c r="EM450" s="75">
        <f t="shared" ref="EM450" si="1660">EM407/EM$413*100</f>
        <v>8.608399408773975</v>
      </c>
      <c r="EN450" s="81">
        <f t="shared" si="1593"/>
        <v>5.2965117993633681</v>
      </c>
      <c r="EO450" s="75">
        <f t="shared" ref="EO450" si="1661">EO407/EO$413*100</f>
        <v>8.4658367514500892</v>
      </c>
      <c r="EP450" s="81">
        <f t="shared" si="1595"/>
        <v>16.495143560494753</v>
      </c>
      <c r="EQ450" s="75">
        <f t="shared" ref="EQ450" si="1662">EQ407/EQ$413*100</f>
        <v>8.2008922985694674</v>
      </c>
      <c r="ER450" s="81">
        <f t="shared" si="1597"/>
        <v>2.9667588598165429</v>
      </c>
      <c r="ES450" s="129"/>
      <c r="ET450" s="465"/>
      <c r="EU450" s="129"/>
      <c r="EV450" s="75"/>
      <c r="EW450" s="79"/>
      <c r="EX450" s="75"/>
      <c r="EY450" s="79"/>
      <c r="EZ450" s="75"/>
      <c r="FA450" s="79"/>
      <c r="FB450" s="75">
        <f t="shared" si="1598"/>
        <v>0</v>
      </c>
      <c r="FC450" s="79" t="str">
        <f t="shared" si="1599"/>
        <v>NA</v>
      </c>
      <c r="FD450" s="75">
        <f t="shared" si="1600"/>
        <v>6.5733472051451765</v>
      </c>
      <c r="FE450" s="79" t="str">
        <f t="shared" si="1601"/>
        <v>NA</v>
      </c>
      <c r="FF450" s="75">
        <f t="shared" si="1602"/>
        <v>-164.948453608249</v>
      </c>
      <c r="FG450" s="79" t="str">
        <f t="shared" si="1603"/>
        <v>NM</v>
      </c>
      <c r="FH450" s="75">
        <f t="shared" si="1604"/>
        <v>-112.07407407407391</v>
      </c>
      <c r="FI450" s="79">
        <f t="shared" si="1605"/>
        <v>-32.055092592593347</v>
      </c>
      <c r="FJ450" s="75">
        <f t="shared" si="1606"/>
        <v>23.291528026618877</v>
      </c>
      <c r="FK450" s="79" t="str">
        <f t="shared" si="1605"/>
        <v>NM</v>
      </c>
      <c r="FL450" s="75">
        <f t="shared" si="1607"/>
        <v>26.603427832273351</v>
      </c>
      <c r="FM450" s="79">
        <f t="shared" si="1605"/>
        <v>14.21933246229894</v>
      </c>
      <c r="FN450" s="75">
        <f t="shared" si="1608"/>
        <v>27.739345802374238</v>
      </c>
      <c r="FO450" s="79">
        <f t="shared" si="1605"/>
        <v>4.2698180748079073</v>
      </c>
      <c r="FP450" s="75">
        <f t="shared" si="1609"/>
        <v>23.846809830219385</v>
      </c>
      <c r="FQ450" s="79">
        <f t="shared" si="1605"/>
        <v>-14.032544241983125</v>
      </c>
      <c r="FR450" s="75">
        <f t="shared" si="1610"/>
        <v>19.153302424564878</v>
      </c>
      <c r="FS450" s="79">
        <f t="shared" si="1605"/>
        <v>-19.681908980993988</v>
      </c>
      <c r="FT450" s="75">
        <f t="shared" si="1611"/>
        <v>15.741507870753946</v>
      </c>
      <c r="FU450" s="79">
        <f t="shared" si="1605"/>
        <v>-17.813087676385088</v>
      </c>
      <c r="FV450" s="75">
        <f t="shared" si="1612"/>
        <v>51.526614428532866</v>
      </c>
      <c r="FW450" s="79" t="str">
        <f t="shared" si="1605"/>
        <v>NM</v>
      </c>
      <c r="FX450" s="75">
        <f t="shared" si="1613"/>
        <v>10.455486542443062</v>
      </c>
      <c r="FY450" s="79" t="str">
        <f t="shared" si="1605"/>
        <v>NM</v>
      </c>
      <c r="FZ450" s="75">
        <f t="shared" si="1614"/>
        <v>10.593050316989007</v>
      </c>
      <c r="GA450" s="79">
        <f t="shared" si="1605"/>
        <v>1.3157089723899285</v>
      </c>
      <c r="GB450" s="75">
        <f t="shared" si="1615"/>
        <v>24.861227922624046</v>
      </c>
      <c r="GC450" s="79" t="str">
        <f t="shared" si="1605"/>
        <v>NM</v>
      </c>
      <c r="GD450" s="75">
        <f t="shared" si="1616"/>
        <v>10.966383277435453</v>
      </c>
      <c r="GE450" s="79" t="str">
        <f t="shared" si="1605"/>
        <v>NM</v>
      </c>
      <c r="GF450" s="75">
        <f t="shared" si="1617"/>
        <v>9.7166603702304428</v>
      </c>
      <c r="GG450" s="79">
        <f t="shared" si="1605"/>
        <v>-11.395944091945543</v>
      </c>
      <c r="GH450" s="75">
        <f t="shared" si="1618"/>
        <v>7.8090953820200983</v>
      </c>
      <c r="GI450" s="79">
        <f t="shared" si="1605"/>
        <v>-19.631899392662465</v>
      </c>
      <c r="GJ450" s="75">
        <f t="shared" si="1619"/>
        <v>8.4727957044018822</v>
      </c>
      <c r="GK450" s="79">
        <f t="shared" si="1605"/>
        <v>8.4990679446675479</v>
      </c>
      <c r="GL450" s="75">
        <f t="shared" si="1620"/>
        <v>8.6515121432360669</v>
      </c>
      <c r="GM450" s="79">
        <f t="shared" si="1605"/>
        <v>2.1092971560890517</v>
      </c>
      <c r="GN450" s="75">
        <f t="shared" si="1620"/>
        <v>8.7988541871882742</v>
      </c>
      <c r="GO450" s="79">
        <f t="shared" si="1605"/>
        <v>1.7030785082744471</v>
      </c>
      <c r="GP450" s="75">
        <f t="shared" ref="GP450:GR450" si="1663">GP407/GP$413*100</f>
        <v>8.9243533450532411</v>
      </c>
      <c r="GQ450" s="79">
        <f t="shared" si="1605"/>
        <v>1.4263125083684436</v>
      </c>
      <c r="GR450" s="75">
        <f t="shared" si="1663"/>
        <v>9.0516460141988286</v>
      </c>
      <c r="GS450" s="79">
        <f t="shared" si="1622"/>
        <v>1.4263517391559288</v>
      </c>
      <c r="GT450" s="79">
        <f t="shared" si="1623"/>
        <v>2.9971877472268371</v>
      </c>
    </row>
    <row r="451" spans="1:286" ht="12.75" customHeight="1" x14ac:dyDescent="0.2">
      <c r="A451" s="1" t="s">
        <v>61</v>
      </c>
      <c r="B451" s="10" t="s">
        <v>365</v>
      </c>
      <c r="C451" s="79"/>
      <c r="D451" s="79"/>
      <c r="E451" s="75">
        <f t="shared" si="1473"/>
        <v>13.983237759153061</v>
      </c>
      <c r="F451" s="75"/>
      <c r="G451" s="75">
        <f t="shared" si="1474"/>
        <v>16.525423728813557</v>
      </c>
      <c r="H451" s="75"/>
      <c r="I451" s="75">
        <f t="shared" si="1475"/>
        <v>19.349411104879433</v>
      </c>
      <c r="J451" s="75"/>
      <c r="K451" s="75">
        <f t="shared" si="1476"/>
        <v>16.296625222024865</v>
      </c>
      <c r="L451" s="146"/>
      <c r="M451" s="75">
        <f t="shared" si="1477"/>
        <v>15.32033426183844</v>
      </c>
      <c r="N451" s="146">
        <f t="shared" si="1478"/>
        <v>9.5621380807184622</v>
      </c>
      <c r="O451" s="75">
        <f t="shared" si="1479"/>
        <v>14.881474978050925</v>
      </c>
      <c r="P451" s="146">
        <f t="shared" si="1480"/>
        <v>-9.9479975687174704</v>
      </c>
      <c r="Q451" s="75">
        <f t="shared" si="1481"/>
        <v>14.827586206896553</v>
      </c>
      <c r="R451" s="146">
        <f t="shared" si="1482"/>
        <v>-23.369315342328889</v>
      </c>
      <c r="S451" s="75">
        <f t="shared" si="1483"/>
        <v>15.940114487010135</v>
      </c>
      <c r="T451" s="146">
        <f t="shared" si="1484"/>
        <v>-2.1876353549132754</v>
      </c>
      <c r="U451" s="75">
        <f t="shared" si="1485"/>
        <v>-11.563731931668821</v>
      </c>
      <c r="V451" s="146" t="str">
        <f t="shared" si="1486"/>
        <v>NM</v>
      </c>
      <c r="W451" s="75">
        <f t="shared" si="1487"/>
        <v>21.598535692495414</v>
      </c>
      <c r="X451" s="146">
        <f t="shared" si="1488"/>
        <v>45.137062853995701</v>
      </c>
      <c r="Y451" s="75">
        <f t="shared" si="1489"/>
        <v>22.190201729106594</v>
      </c>
      <c r="Z451" s="146">
        <f t="shared" si="1490"/>
        <v>49.654848870718872</v>
      </c>
      <c r="AA451" s="267">
        <f t="shared" si="1491"/>
        <v>-12.771739130434783</v>
      </c>
      <c r="AB451" s="146" t="str">
        <f t="shared" si="1492"/>
        <v>NM</v>
      </c>
      <c r="AC451" s="75">
        <f t="shared" si="1493"/>
        <v>-4.6008799497171546</v>
      </c>
      <c r="AD451" s="146" t="str">
        <f t="shared" si="1494"/>
        <v>NM</v>
      </c>
      <c r="AE451" s="75">
        <f t="shared" si="1495"/>
        <v>19.838872104733113</v>
      </c>
      <c r="AF451" s="146">
        <f t="shared" si="1496"/>
        <v>-8.1471429953175463</v>
      </c>
      <c r="AG451" s="75">
        <f t="shared" si="1497"/>
        <v>20.632522273745636</v>
      </c>
      <c r="AH451" s="146">
        <f t="shared" si="1498"/>
        <v>-7.0196723507825132</v>
      </c>
      <c r="AI451" s="75">
        <f t="shared" si="1499"/>
        <v>34.373120219987932</v>
      </c>
      <c r="AJ451" s="146" t="str">
        <f t="shared" si="1500"/>
        <v>NM</v>
      </c>
      <c r="AK451" s="75">
        <f t="shared" si="1501"/>
        <v>23.701298701298647</v>
      </c>
      <c r="AL451" s="146" t="str">
        <f t="shared" si="1502"/>
        <v>NM</v>
      </c>
      <c r="AM451" s="75">
        <f t="shared" si="1503"/>
        <v>21.767348976535239</v>
      </c>
      <c r="AN451" s="146">
        <f t="shared" si="1504"/>
        <v>9.7206981406066539</v>
      </c>
      <c r="AO451" s="75">
        <f t="shared" si="1505"/>
        <v>20.095693779904312</v>
      </c>
      <c r="AP451" s="146">
        <f t="shared" si="1504"/>
        <v>-2.6018558793678093</v>
      </c>
      <c r="AQ451" s="75">
        <f t="shared" si="1506"/>
        <v>26.246663107314472</v>
      </c>
      <c r="AR451" s="146">
        <f t="shared" si="1504"/>
        <v>-23.641895355045296</v>
      </c>
      <c r="AS451" s="75">
        <f t="shared" si="1507"/>
        <v>22.905304908279646</v>
      </c>
      <c r="AT451" s="146">
        <f t="shared" si="1504"/>
        <v>-3.3584395650664733</v>
      </c>
      <c r="AU451" s="75">
        <f t="shared" si="1508"/>
        <v>23.048498845265623</v>
      </c>
      <c r="AV451" s="146">
        <f t="shared" si="1504"/>
        <v>5.8856495116214491</v>
      </c>
      <c r="AW451" s="75">
        <f t="shared" si="1509"/>
        <v>21.308793456032717</v>
      </c>
      <c r="AX451" s="146">
        <f t="shared" si="1504"/>
        <v>6.0366150550199116</v>
      </c>
      <c r="AY451" s="75">
        <f t="shared" si="1510"/>
        <v>19.0566037735849</v>
      </c>
      <c r="AZ451" s="146">
        <f t="shared" si="1504"/>
        <v>-27.394184564840284</v>
      </c>
      <c r="BA451" s="75">
        <f t="shared" si="1511"/>
        <v>22.610015174506827</v>
      </c>
      <c r="BB451" s="146">
        <f t="shared" si="1504"/>
        <v>-1.2891761753674791</v>
      </c>
      <c r="BC451" s="75">
        <f t="shared" si="1512"/>
        <v>23.557168784029052</v>
      </c>
      <c r="BD451" s="146">
        <f t="shared" si="1504"/>
        <v>2.2069547443343218</v>
      </c>
      <c r="BE451" s="75">
        <f t="shared" si="1513"/>
        <v>19.200000000000003</v>
      </c>
      <c r="BF451" s="146">
        <f t="shared" si="1514"/>
        <v>-9.8963531669865379</v>
      </c>
      <c r="BG451" s="75">
        <f t="shared" si="1515"/>
        <v>19.165580182529343</v>
      </c>
      <c r="BH451" s="146">
        <f t="shared" si="1516"/>
        <v>0.57185640337182875</v>
      </c>
      <c r="BI451" s="75">
        <f t="shared" si="1517"/>
        <v>21.519795657726686</v>
      </c>
      <c r="BJ451" s="146">
        <f t="shared" si="1518"/>
        <v>-4.8218433661618381</v>
      </c>
      <c r="BK451" s="75">
        <f t="shared" si="1519"/>
        <v>20.005866823115312</v>
      </c>
      <c r="BL451" s="146">
        <f t="shared" si="1520"/>
        <v>-15.075249464279427</v>
      </c>
      <c r="BM451" s="75">
        <f t="shared" si="1521"/>
        <v>20.331695331695354</v>
      </c>
      <c r="BN451" s="146">
        <f t="shared" si="1522"/>
        <v>5.8942465192466154</v>
      </c>
      <c r="BO451" s="75">
        <f t="shared" si="1523"/>
        <v>21.373307543520298</v>
      </c>
      <c r="BP451" s="146">
        <f t="shared" si="1524"/>
        <v>11.519230516190904</v>
      </c>
      <c r="BQ451" s="75">
        <f t="shared" si="1525"/>
        <v>22.493654822335042</v>
      </c>
      <c r="BR451" s="81">
        <f t="shared" si="1526"/>
        <v>4.525410836132604</v>
      </c>
      <c r="BS451" s="75">
        <f t="shared" si="1527"/>
        <v>22.012966965112689</v>
      </c>
      <c r="BT451" s="81">
        <f t="shared" si="1528"/>
        <v>10.032557747901837</v>
      </c>
      <c r="BU451" s="75">
        <f t="shared" si="1529"/>
        <v>22.020644354081966</v>
      </c>
      <c r="BV451" s="81">
        <f t="shared" si="1530"/>
        <v>8.3069758563305118</v>
      </c>
      <c r="BW451" s="75">
        <f t="shared" si="1531"/>
        <v>21.224362958359229</v>
      </c>
      <c r="BX451" s="81">
        <f t="shared" si="1532"/>
        <v>-0.69687195048210304</v>
      </c>
      <c r="BY451" s="75">
        <f t="shared" si="1533"/>
        <v>20.640987944722152</v>
      </c>
      <c r="BZ451" s="81">
        <f t="shared" si="1534"/>
        <v>-8.236397740812162</v>
      </c>
      <c r="CA451" s="75">
        <f t="shared" si="1535"/>
        <v>20.692665890570414</v>
      </c>
      <c r="CB451" s="81">
        <f t="shared" si="1536"/>
        <v>-5.9978333526541805</v>
      </c>
      <c r="CC451" s="75">
        <f t="shared" si="1537"/>
        <v>21.489104116222762</v>
      </c>
      <c r="CD451" s="81">
        <f t="shared" si="1538"/>
        <v>-2.4138269040282267</v>
      </c>
      <c r="CE451" s="75">
        <f t="shared" si="1539"/>
        <v>18.303571428571423</v>
      </c>
      <c r="CF451" s="81">
        <f t="shared" si="1540"/>
        <v>-13.761503869483393</v>
      </c>
      <c r="CG451" s="75">
        <f t="shared" si="1541"/>
        <v>20.768269831355394</v>
      </c>
      <c r="CH451" s="81">
        <f t="shared" si="1542"/>
        <v>0.61664629122457626</v>
      </c>
      <c r="CI451" s="75">
        <f t="shared" si="1543"/>
        <v>19.618607338919372</v>
      </c>
      <c r="CJ451" s="81">
        <f t="shared" si="1544"/>
        <v>-5.1905276842095454</v>
      </c>
      <c r="CK451" s="75">
        <f t="shared" si="1545"/>
        <v>20.804741110417979</v>
      </c>
      <c r="CL451" s="81">
        <f t="shared" si="1546"/>
        <v>-3.1846977058859194</v>
      </c>
      <c r="CM451" s="75">
        <f t="shared" si="1547"/>
        <v>-10.538261997405952</v>
      </c>
      <c r="CN451" s="81" t="str">
        <f t="shared" si="1548"/>
        <v>NM</v>
      </c>
      <c r="CO451" s="75">
        <f t="shared" si="1549"/>
        <v>22.542043984476066</v>
      </c>
      <c r="CP451" s="81">
        <f t="shared" si="1550"/>
        <v>8.5407892305148891</v>
      </c>
      <c r="CQ451" s="75">
        <f t="shared" si="1551"/>
        <v>21.799419542083196</v>
      </c>
      <c r="CR451" s="81">
        <f t="shared" si="1552"/>
        <v>11.116039816126655</v>
      </c>
      <c r="CS451" s="75">
        <f t="shared" si="1553"/>
        <v>22.111361441905352</v>
      </c>
      <c r="CT451" s="81">
        <f t="shared" si="1554"/>
        <v>6.2803969756349609</v>
      </c>
      <c r="CU451" s="75">
        <f t="shared" si="1555"/>
        <v>22.053600258314507</v>
      </c>
      <c r="CV451" s="81" t="str">
        <f t="shared" si="1556"/>
        <v>NM</v>
      </c>
      <c r="CW451" s="75">
        <f t="shared" si="1557"/>
        <v>22.467948717948715</v>
      </c>
      <c r="CX451" s="81">
        <f t="shared" si="1558"/>
        <v>-0.32869808336093431</v>
      </c>
      <c r="CY451" s="75">
        <f t="shared" si="1559"/>
        <v>22.483328040647816</v>
      </c>
      <c r="CZ451" s="81">
        <f t="shared" si="1560"/>
        <v>3.1372784823208377</v>
      </c>
      <c r="DA451" s="75">
        <f t="shared" si="1561"/>
        <v>21.681415929203546</v>
      </c>
      <c r="DB451" s="81">
        <f t="shared" si="1562"/>
        <v>-1.9444551789876474</v>
      </c>
      <c r="DC451" s="75">
        <f t="shared" si="1563"/>
        <v>22.820343461030383</v>
      </c>
      <c r="DD451" s="81">
        <f t="shared" si="1564"/>
        <v>3.4767257669269025</v>
      </c>
      <c r="DE451" s="75">
        <f t="shared" si="1565"/>
        <v>24.345952600800256</v>
      </c>
      <c r="DF451" s="81">
        <f t="shared" si="1566"/>
        <v>8.3585907482122792</v>
      </c>
      <c r="DG451" s="75">
        <f t="shared" si="1567"/>
        <v>23.024900092222556</v>
      </c>
      <c r="DH451" s="81">
        <f t="shared" si="1568"/>
        <v>2.4087717378656226</v>
      </c>
      <c r="DI451" s="75">
        <f t="shared" si="1569"/>
        <v>22.383354350567462</v>
      </c>
      <c r="DJ451" s="81">
        <f t="shared" si="1570"/>
        <v>3.2375119026172516</v>
      </c>
      <c r="DK451" s="75">
        <f t="shared" si="1571"/>
        <v>-19.844462322338426</v>
      </c>
      <c r="DL451" s="81" t="str">
        <f t="shared" si="1572"/>
        <v>NM</v>
      </c>
      <c r="DM451" s="75">
        <f t="shared" si="1571"/>
        <v>24.379516179704666</v>
      </c>
      <c r="DN451" s="81">
        <f t="shared" si="1573"/>
        <v>0.13786102131532196</v>
      </c>
      <c r="DO451" s="75">
        <f t="shared" si="1574"/>
        <v>24.326018808777423</v>
      </c>
      <c r="DP451" s="81">
        <f t="shared" si="1573"/>
        <v>5.6509201401241382</v>
      </c>
      <c r="DQ451" s="75">
        <f t="shared" si="1574"/>
        <v>23.440860215053767</v>
      </c>
      <c r="DR451" s="81">
        <f t="shared" si="1575"/>
        <v>4.7245191579585288</v>
      </c>
      <c r="DS451" s="75">
        <f t="shared" ref="DS451:DU451" si="1664">DS408/DS$413*100</f>
        <v>24.303163169433152</v>
      </c>
      <c r="DT451" s="81" t="str">
        <f t="shared" si="1577"/>
        <v>NM</v>
      </c>
      <c r="DU451" s="75">
        <f t="shared" si="1664"/>
        <v>23.837388358484763</v>
      </c>
      <c r="DV451" s="81">
        <f t="shared" si="1578"/>
        <v>-2.223702132658445</v>
      </c>
      <c r="DW451" s="75">
        <f t="shared" ref="DW451" si="1665">DW408/DW$413*100</f>
        <v>23.260674828306957</v>
      </c>
      <c r="DX451" s="81">
        <f t="shared" si="1580"/>
        <v>-4.379442393944311</v>
      </c>
      <c r="DY451" s="75">
        <f t="shared" ref="DY451:EA451" si="1666">DY408/DY$413*100</f>
        <v>24.60292743693552</v>
      </c>
      <c r="DZ451" s="81">
        <f t="shared" si="1582"/>
        <v>4.9574427355505879</v>
      </c>
      <c r="EA451" s="75">
        <f t="shared" si="1666"/>
        <v>23.308051341890312</v>
      </c>
      <c r="EB451" s="81">
        <f t="shared" si="1583"/>
        <v>-4.0945774037941751</v>
      </c>
      <c r="EC451" s="75">
        <f t="shared" ref="EC451:EE451" si="1667">EC408/EC$413*100</f>
        <v>24.242424242424271</v>
      </c>
      <c r="ED451" s="81">
        <f t="shared" si="1585"/>
        <v>1.6991621642785226</v>
      </c>
      <c r="EE451" s="75">
        <f t="shared" si="1667"/>
        <v>23.140028288543153</v>
      </c>
      <c r="EF451" s="81">
        <f t="shared" si="1586"/>
        <v>-0.51867170945953944</v>
      </c>
      <c r="EG451" s="75">
        <f t="shared" ref="EG451:EI451" si="1668">EG408/EG$413*100</f>
        <v>22.923681257014607</v>
      </c>
      <c r="EH451" s="81">
        <f t="shared" si="1588"/>
        <v>-6.825391751551968</v>
      </c>
      <c r="EI451" s="75">
        <f t="shared" si="1668"/>
        <v>21.212121212121222</v>
      </c>
      <c r="EJ451" s="81">
        <f t="shared" si="1589"/>
        <v>-8.9923009822884143</v>
      </c>
      <c r="EK451" s="75">
        <f t="shared" ref="EK451" si="1669">EK408/EK$413*100</f>
        <v>22.22967937743536</v>
      </c>
      <c r="EL451" s="81">
        <f t="shared" si="1591"/>
        <v>-8.3025725680792473</v>
      </c>
      <c r="EM451" s="75">
        <f t="shared" ref="EM451" si="1670">EM408/EM$413*100</f>
        <v>22.262099547140107</v>
      </c>
      <c r="EN451" s="81">
        <f t="shared" si="1593"/>
        <v>-3.793983008386026</v>
      </c>
      <c r="EO451" s="75">
        <f t="shared" ref="EO451" si="1671">EO408/EO$413*100</f>
        <v>22.404711634541417</v>
      </c>
      <c r="EP451" s="81">
        <f t="shared" si="1595"/>
        <v>-2.2639017558071517</v>
      </c>
      <c r="EQ451" s="75">
        <f t="shared" ref="EQ451" si="1672">EQ408/EQ$413*100</f>
        <v>22.468053573699908</v>
      </c>
      <c r="ER451" s="81">
        <f t="shared" si="1597"/>
        <v>5.9208239902995174</v>
      </c>
      <c r="ES451" s="129"/>
      <c r="ET451" s="465"/>
      <c r="EU451" s="129"/>
      <c r="EV451" s="75"/>
      <c r="EW451" s="79"/>
      <c r="EX451" s="75"/>
      <c r="EY451" s="79"/>
      <c r="EZ451" s="75"/>
      <c r="FA451" s="79"/>
      <c r="FB451" s="75">
        <f t="shared" si="1598"/>
        <v>0</v>
      </c>
      <c r="FC451" s="79" t="str">
        <f t="shared" si="1599"/>
        <v>NA</v>
      </c>
      <c r="FD451" s="75">
        <f t="shared" si="1600"/>
        <v>13.004823607301619</v>
      </c>
      <c r="FE451" s="79" t="str">
        <f t="shared" si="1601"/>
        <v>NA</v>
      </c>
      <c r="FF451" s="75">
        <f t="shared" si="1602"/>
        <v>-216.05301914580477</v>
      </c>
      <c r="FG451" s="79" t="str">
        <f t="shared" si="1603"/>
        <v>NM</v>
      </c>
      <c r="FH451" s="75">
        <f t="shared" si="1604"/>
        <v>-115.25925925925912</v>
      </c>
      <c r="FI451" s="79">
        <f t="shared" si="1605"/>
        <v>-46.652326491454545</v>
      </c>
      <c r="FJ451" s="75">
        <f t="shared" si="1606"/>
        <v>22.851292551830014</v>
      </c>
      <c r="FK451" s="79" t="str">
        <f t="shared" si="1605"/>
        <v>NM</v>
      </c>
      <c r="FL451" s="75">
        <f t="shared" si="1607"/>
        <v>21.418562035140692</v>
      </c>
      <c r="FM451" s="79">
        <f t="shared" si="1605"/>
        <v>-6.269800771399181</v>
      </c>
      <c r="FN451" s="75">
        <f t="shared" si="1608"/>
        <v>20.983858570330518</v>
      </c>
      <c r="FO451" s="79">
        <f t="shared" si="1605"/>
        <v>-2.0295641887488558</v>
      </c>
      <c r="FP451" s="75">
        <f t="shared" si="1609"/>
        <v>20.784556942398648</v>
      </c>
      <c r="FQ451" s="79">
        <f t="shared" si="1605"/>
        <v>-0.94978541369730163</v>
      </c>
      <c r="FR451" s="75">
        <f t="shared" si="1610"/>
        <v>20.452990803374657</v>
      </c>
      <c r="FS451" s="79">
        <f t="shared" si="1605"/>
        <v>-1.5952523786909589</v>
      </c>
      <c r="FT451" s="75">
        <f t="shared" si="1611"/>
        <v>20.313323793025532</v>
      </c>
      <c r="FU451" s="79">
        <f t="shared" si="1605"/>
        <v>-0.68286839656761522</v>
      </c>
      <c r="FV451" s="75">
        <f t="shared" si="1612"/>
        <v>71.899486625236449</v>
      </c>
      <c r="FW451" s="79" t="str">
        <f t="shared" si="1605"/>
        <v>NM</v>
      </c>
      <c r="FX451" s="75">
        <f t="shared" si="1613"/>
        <v>21.770982640547867</v>
      </c>
      <c r="FY451" s="79" t="str">
        <f t="shared" si="1605"/>
        <v>NM</v>
      </c>
      <c r="FZ451" s="75">
        <f t="shared" si="1614"/>
        <v>22.357756199341949</v>
      </c>
      <c r="GA451" s="79">
        <f t="shared" si="1605"/>
        <v>2.6952093457703219</v>
      </c>
      <c r="GB451" s="75">
        <f t="shared" si="1615"/>
        <v>50.294365012615607</v>
      </c>
      <c r="GC451" s="79" t="str">
        <f t="shared" si="1605"/>
        <v>NM</v>
      </c>
      <c r="GD451" s="75">
        <f t="shared" si="1616"/>
        <v>24.108883862413226</v>
      </c>
      <c r="GE451" s="79" t="str">
        <f t="shared" si="1605"/>
        <v>NM</v>
      </c>
      <c r="GF451" s="75">
        <f t="shared" si="1617"/>
        <v>23.74008311295805</v>
      </c>
      <c r="GG451" s="79">
        <f t="shared" si="1605"/>
        <v>-1.5297296696100915</v>
      </c>
      <c r="GH451" s="75">
        <f t="shared" si="1618"/>
        <v>22.843888381246941</v>
      </c>
      <c r="GI451" s="79">
        <f t="shared" si="1605"/>
        <v>-3.7750277766379847</v>
      </c>
      <c r="GJ451" s="75">
        <f t="shared" si="1619"/>
        <v>22.341714792867567</v>
      </c>
      <c r="GK451" s="79">
        <f t="shared" si="1605"/>
        <v>-2.1982841974994893</v>
      </c>
      <c r="GL451" s="75">
        <f t="shared" si="1620"/>
        <v>22.030735993788582</v>
      </c>
      <c r="GM451" s="79">
        <f t="shared" si="1605"/>
        <v>-1.3919200113424735</v>
      </c>
      <c r="GN451" s="75">
        <f t="shared" si="1620"/>
        <v>21.86123377785804</v>
      </c>
      <c r="GO451" s="79">
        <f t="shared" si="1605"/>
        <v>-0.76938971071294215</v>
      </c>
      <c r="GP451" s="75">
        <f t="shared" ref="GP451:GR451" si="1673">GP408/GP$413*100</f>
        <v>21.74638021318848</v>
      </c>
      <c r="GQ451" s="79">
        <f t="shared" si="1605"/>
        <v>-0.52537549269469075</v>
      </c>
      <c r="GR451" s="75">
        <f t="shared" si="1673"/>
        <v>21.622343245631672</v>
      </c>
      <c r="GS451" s="79">
        <f t="shared" si="1622"/>
        <v>-0.57037983490044741</v>
      </c>
      <c r="GT451" s="79">
        <f t="shared" si="1623"/>
        <v>-1.0931101543254385</v>
      </c>
    </row>
    <row r="452" spans="1:286" ht="12.75" customHeight="1" x14ac:dyDescent="0.2">
      <c r="A452" s="1" t="s">
        <v>350</v>
      </c>
      <c r="B452" s="10" t="s">
        <v>213</v>
      </c>
      <c r="C452" s="79"/>
      <c r="D452" s="79"/>
      <c r="E452" s="75">
        <f t="shared" si="1473"/>
        <v>0</v>
      </c>
      <c r="F452" s="75"/>
      <c r="G452" s="75">
        <f t="shared" si="1474"/>
        <v>0</v>
      </c>
      <c r="H452" s="75"/>
      <c r="I452" s="75">
        <f t="shared" si="1475"/>
        <v>0</v>
      </c>
      <c r="J452" s="75"/>
      <c r="K452" s="75">
        <f t="shared" si="1476"/>
        <v>0</v>
      </c>
      <c r="L452" s="146"/>
      <c r="M452" s="75">
        <f t="shared" si="1477"/>
        <v>12.024141132776247</v>
      </c>
      <c r="N452" s="146" t="str">
        <f t="shared" si="1478"/>
        <v>NA</v>
      </c>
      <c r="O452" s="75">
        <f t="shared" si="1479"/>
        <v>8.6040386303775342</v>
      </c>
      <c r="P452" s="146" t="str">
        <f t="shared" si="1480"/>
        <v>NA</v>
      </c>
      <c r="Q452" s="75">
        <f t="shared" si="1481"/>
        <v>8.2327586206896406</v>
      </c>
      <c r="R452" s="146" t="str">
        <f t="shared" si="1482"/>
        <v>NA</v>
      </c>
      <c r="S452" s="75">
        <f t="shared" si="1483"/>
        <v>8.1021576398062436</v>
      </c>
      <c r="T452" s="146" t="str">
        <f t="shared" si="1484"/>
        <v>NA</v>
      </c>
      <c r="U452" s="75">
        <f t="shared" si="1485"/>
        <v>-5.1905387647831924</v>
      </c>
      <c r="V452" s="146" t="str">
        <f t="shared" si="1486"/>
        <v>NM</v>
      </c>
      <c r="W452" s="75">
        <f t="shared" si="1487"/>
        <v>3.2336790726051849</v>
      </c>
      <c r="X452" s="146" t="str">
        <f t="shared" si="1488"/>
        <v>NM</v>
      </c>
      <c r="Y452" s="75">
        <f t="shared" si="1489"/>
        <v>11.066282420749287</v>
      </c>
      <c r="Z452" s="146">
        <f t="shared" si="1490"/>
        <v>34.417671288682669</v>
      </c>
      <c r="AA452" s="267">
        <f t="shared" si="1491"/>
        <v>-7.5407608695651964</v>
      </c>
      <c r="AB452" s="146" t="str">
        <f t="shared" si="1492"/>
        <v>NM</v>
      </c>
      <c r="AC452" s="75">
        <f t="shared" si="1493"/>
        <v>116.12822124450032</v>
      </c>
      <c r="AD452" s="146" t="str">
        <f t="shared" si="1494"/>
        <v>NM</v>
      </c>
      <c r="AE452" s="75">
        <f t="shared" si="1495"/>
        <v>15.105740181268896</v>
      </c>
      <c r="AF452" s="146" t="str">
        <f t="shared" si="1496"/>
        <v>NM</v>
      </c>
      <c r="AG452" s="75">
        <f t="shared" si="1497"/>
        <v>17.297973219402905</v>
      </c>
      <c r="AH452" s="146">
        <f t="shared" si="1498"/>
        <v>56.312414248250107</v>
      </c>
      <c r="AI452" s="75">
        <f t="shared" si="1499"/>
        <v>32.482598607888555</v>
      </c>
      <c r="AJ452" s="146" t="str">
        <f t="shared" si="1500"/>
        <v>NM</v>
      </c>
      <c r="AK452" s="75">
        <f t="shared" si="1501"/>
        <v>12.499999999999948</v>
      </c>
      <c r="AL452" s="146" t="str">
        <f t="shared" si="1502"/>
        <v>NM</v>
      </c>
      <c r="AM452" s="75">
        <f t="shared" si="1503"/>
        <v>13.829256115826274</v>
      </c>
      <c r="AN452" s="146">
        <f t="shared" si="1504"/>
        <v>-8.4503245132301448</v>
      </c>
      <c r="AO452" s="75">
        <f t="shared" si="1505"/>
        <v>14.210526315789473</v>
      </c>
      <c r="AP452" s="146">
        <f t="shared" si="1504"/>
        <v>-17.848604946100188</v>
      </c>
      <c r="AQ452" s="75">
        <f t="shared" si="1506"/>
        <v>17.992525360384441</v>
      </c>
      <c r="AR452" s="146">
        <f t="shared" si="1504"/>
        <v>-44.608725497673483</v>
      </c>
      <c r="AS452" s="75">
        <f t="shared" si="1507"/>
        <v>13.832424392662396</v>
      </c>
      <c r="AT452" s="146">
        <f t="shared" si="1504"/>
        <v>10.659395141299633</v>
      </c>
      <c r="AU452" s="75">
        <f t="shared" si="1508"/>
        <v>15.334872979214795</v>
      </c>
      <c r="AV452" s="146">
        <f t="shared" si="1504"/>
        <v>10.887186199881604</v>
      </c>
      <c r="AW452" s="75">
        <f t="shared" si="1509"/>
        <v>11.738241308793446</v>
      </c>
      <c r="AX452" s="146">
        <f t="shared" si="1504"/>
        <v>-17.397561160342413</v>
      </c>
      <c r="AY452" s="75">
        <f t="shared" si="1510"/>
        <v>10.830188679245275</v>
      </c>
      <c r="AZ452" s="146">
        <f t="shared" si="1504"/>
        <v>-39.807289625441058</v>
      </c>
      <c r="BA452" s="75">
        <f t="shared" si="1511"/>
        <v>8.5356600910470419</v>
      </c>
      <c r="BB452" s="146">
        <f t="shared" si="1504"/>
        <v>-38.292378481570431</v>
      </c>
      <c r="BC452" s="75">
        <f t="shared" si="1512"/>
        <v>10.671506352087127</v>
      </c>
      <c r="BD452" s="146">
        <f t="shared" si="1504"/>
        <v>-30.410207071480102</v>
      </c>
      <c r="BE452" s="75">
        <f t="shared" si="1513"/>
        <v>9.0461538461538442</v>
      </c>
      <c r="BF452" s="146">
        <f t="shared" si="1514"/>
        <v>-22.934333958724153</v>
      </c>
      <c r="BG452" s="75">
        <f t="shared" si="1515"/>
        <v>4.8891786179921768</v>
      </c>
      <c r="BH452" s="146" t="str">
        <f t="shared" si="1516"/>
        <v>NM</v>
      </c>
      <c r="BI452" s="75">
        <f t="shared" si="1517"/>
        <v>0.92592592592591871</v>
      </c>
      <c r="BJ452" s="146" t="str">
        <f t="shared" si="1518"/>
        <v>NM</v>
      </c>
      <c r="BK452" s="75">
        <f t="shared" si="1519"/>
        <v>0.93869169844528932</v>
      </c>
      <c r="BL452" s="146" t="str">
        <f t="shared" si="1520"/>
        <v>NM</v>
      </c>
      <c r="BM452" s="75">
        <f t="shared" si="1521"/>
        <v>2.2113022113021947</v>
      </c>
      <c r="BN452" s="146" t="str">
        <f t="shared" si="1522"/>
        <v>NM</v>
      </c>
      <c r="BO452" s="75">
        <f t="shared" si="1523"/>
        <v>2.2888459058671882</v>
      </c>
      <c r="BP452" s="146" t="str">
        <f t="shared" si="1524"/>
        <v>NM</v>
      </c>
      <c r="BQ452" s="75">
        <f t="shared" si="1525"/>
        <v>3.5850253807106465</v>
      </c>
      <c r="BR452" s="81" t="str">
        <f t="shared" si="1526"/>
        <v>NM</v>
      </c>
      <c r="BS452" s="75">
        <f t="shared" si="1527"/>
        <v>3.0873726458783386</v>
      </c>
      <c r="BT452" s="81" t="str">
        <f t="shared" si="1528"/>
        <v>NM</v>
      </c>
      <c r="BU452" s="75">
        <f t="shared" si="1529"/>
        <v>2.2521113543947426</v>
      </c>
      <c r="BV452" s="81">
        <f t="shared" si="1530"/>
        <v>1.8454801376296848</v>
      </c>
      <c r="BW452" s="75">
        <f t="shared" si="1531"/>
        <v>1.8023617153511546</v>
      </c>
      <c r="BX452" s="81">
        <f t="shared" si="1532"/>
        <v>-21.254562802545529</v>
      </c>
      <c r="BY452" s="75">
        <f t="shared" si="1533"/>
        <v>10.555718906204051</v>
      </c>
      <c r="BZ452" s="81" t="str">
        <f t="shared" si="1534"/>
        <v>NM</v>
      </c>
      <c r="CA452" s="75">
        <f t="shared" si="1535"/>
        <v>6.9266589057042944</v>
      </c>
      <c r="CB452" s="81" t="str">
        <f t="shared" si="1536"/>
        <v>NM</v>
      </c>
      <c r="CC452" s="75">
        <f t="shared" si="1537"/>
        <v>8.9891041162227729</v>
      </c>
      <c r="CD452" s="81" t="str">
        <f t="shared" si="1538"/>
        <v>NM</v>
      </c>
      <c r="CE452" s="75">
        <f t="shared" si="1539"/>
        <v>9.3112244897959613</v>
      </c>
      <c r="CF452" s="81" t="str">
        <f t="shared" si="1540"/>
        <v>NM</v>
      </c>
      <c r="CG452" s="75">
        <f t="shared" si="1541"/>
        <v>9.9625234228606736</v>
      </c>
      <c r="CH452" s="81">
        <f t="shared" si="1542"/>
        <v>-5.6196597182474273</v>
      </c>
      <c r="CI452" s="75">
        <f t="shared" si="1543"/>
        <v>8.7835885582202238</v>
      </c>
      <c r="CJ452" s="81">
        <f t="shared" si="1544"/>
        <v>26.808446580019929</v>
      </c>
      <c r="CK452" s="75">
        <f t="shared" si="1545"/>
        <v>9.606986899563303</v>
      </c>
      <c r="CL452" s="81">
        <f t="shared" si="1546"/>
        <v>6.8736859129868932</v>
      </c>
      <c r="CM452" s="75">
        <f t="shared" si="1547"/>
        <v>-4.9935149156938756</v>
      </c>
      <c r="CN452" s="81" t="str">
        <f t="shared" si="1548"/>
        <v>NM</v>
      </c>
      <c r="CO452" s="75">
        <f t="shared" si="1549"/>
        <v>4.9805950840879625</v>
      </c>
      <c r="CP452" s="81" t="str">
        <f t="shared" si="1550"/>
        <v>NM</v>
      </c>
      <c r="CQ452" s="75">
        <f t="shared" si="1551"/>
        <v>8.2876491454369727</v>
      </c>
      <c r="CR452" s="81">
        <f t="shared" si="1552"/>
        <v>-5.6462049593513868</v>
      </c>
      <c r="CS452" s="75">
        <f t="shared" si="1553"/>
        <v>8.2394592854843971</v>
      </c>
      <c r="CT452" s="81">
        <f t="shared" si="1554"/>
        <v>-14.234719255639538</v>
      </c>
      <c r="CU452" s="75">
        <f t="shared" si="1555"/>
        <v>9.2993219244429959</v>
      </c>
      <c r="CV452" s="81" t="str">
        <f t="shared" si="1556"/>
        <v>NM</v>
      </c>
      <c r="CW452" s="75">
        <f t="shared" si="1557"/>
        <v>8.5256410256410664</v>
      </c>
      <c r="CX452" s="81">
        <f t="shared" si="1558"/>
        <v>71.177156177157201</v>
      </c>
      <c r="CY452" s="75">
        <f t="shared" si="1559"/>
        <v>9.2410288980628863</v>
      </c>
      <c r="CZ452" s="81">
        <f t="shared" si="1560"/>
        <v>11.503621061840285</v>
      </c>
      <c r="DA452" s="75">
        <f t="shared" si="1561"/>
        <v>7.9013906447534756</v>
      </c>
      <c r="DB452" s="81">
        <f t="shared" si="1562"/>
        <v>-4.1030440107459825</v>
      </c>
      <c r="DC452" s="75">
        <f t="shared" si="1563"/>
        <v>8.7846763540290702</v>
      </c>
      <c r="DD452" s="81">
        <f t="shared" si="1564"/>
        <v>-5.5342268457358674</v>
      </c>
      <c r="DE452" s="75">
        <f t="shared" si="1565"/>
        <v>8.710372422283772</v>
      </c>
      <c r="DF452" s="81">
        <f t="shared" si="1566"/>
        <v>2.1667742764106768</v>
      </c>
      <c r="DG452" s="75">
        <f t="shared" si="1567"/>
        <v>11.251152782047383</v>
      </c>
      <c r="DH452" s="81">
        <f t="shared" si="1568"/>
        <v>21.752165328753172</v>
      </c>
      <c r="DI452" s="75">
        <f t="shared" si="1569"/>
        <v>8.1021437578814766</v>
      </c>
      <c r="DJ452" s="81">
        <f t="shared" si="1570"/>
        <v>2.5407313997479752</v>
      </c>
      <c r="DK452" s="75">
        <f t="shared" si="1571"/>
        <v>-7.8841512469830981</v>
      </c>
      <c r="DL452" s="81" t="str">
        <f t="shared" si="1572"/>
        <v>NM</v>
      </c>
      <c r="DM452" s="75">
        <f t="shared" si="1571"/>
        <v>8.3883129123468194</v>
      </c>
      <c r="DN452" s="81">
        <f t="shared" si="1573"/>
        <v>-3.6974252571913779</v>
      </c>
      <c r="DO452" s="75">
        <f t="shared" si="1574"/>
        <v>11.473354231974895</v>
      </c>
      <c r="DP452" s="81">
        <f t="shared" si="1573"/>
        <v>1.9749216300934291</v>
      </c>
      <c r="DQ452" s="75">
        <f t="shared" si="1574"/>
        <v>8.5099846390169063</v>
      </c>
      <c r="DR452" s="81">
        <f t="shared" si="1575"/>
        <v>5.0337403695003058</v>
      </c>
      <c r="DS452" s="75">
        <f t="shared" ref="DS452:DU452" si="1674">DS409/DS$413*100</f>
        <v>8.8005010961477623</v>
      </c>
      <c r="DT452" s="81" t="str">
        <f t="shared" si="1577"/>
        <v>NM</v>
      </c>
      <c r="DU452" s="75">
        <f t="shared" si="1674"/>
        <v>10.378811210347964</v>
      </c>
      <c r="DV452" s="81">
        <f t="shared" si="1578"/>
        <v>23.729423530103588</v>
      </c>
      <c r="DW452" s="75">
        <f t="shared" ref="DW452" si="1675">DW409/DW$413*100</f>
        <v>9.7342490295610382</v>
      </c>
      <c r="DX452" s="81">
        <f t="shared" si="1580"/>
        <v>-15.157774851639939</v>
      </c>
      <c r="DY452" s="75">
        <f t="shared" ref="DY452:EA452" si="1676">DY409/DY$413*100</f>
        <v>8.9068825910931189</v>
      </c>
      <c r="DZ452" s="81">
        <f t="shared" si="1582"/>
        <v>4.6639091480435768</v>
      </c>
      <c r="EA452" s="75">
        <f t="shared" si="1676"/>
        <v>10.093348891481922</v>
      </c>
      <c r="EB452" s="81">
        <f t="shared" si="1583"/>
        <v>14.690615695736664</v>
      </c>
      <c r="EC452" s="75">
        <f t="shared" ref="EC452:EE452" si="1677">EC409/EC$413*100</f>
        <v>9.2968520152985974</v>
      </c>
      <c r="ED452" s="81">
        <f t="shared" si="1585"/>
        <v>-10.424692897107747</v>
      </c>
      <c r="EE452" s="75">
        <f t="shared" si="1677"/>
        <v>9.2220650636492252</v>
      </c>
      <c r="EF452" s="81">
        <f t="shared" si="1586"/>
        <v>-5.2616690240449904</v>
      </c>
      <c r="EG452" s="75">
        <f t="shared" ref="EG452:EI452" si="1678">EG409/EG$413*100</f>
        <v>7.4635241301908044</v>
      </c>
      <c r="EH452" s="81">
        <f t="shared" si="1588"/>
        <v>-16.20497908376689</v>
      </c>
      <c r="EI452" s="75">
        <f t="shared" si="1678"/>
        <v>8.8763743631000072</v>
      </c>
      <c r="EJ452" s="81">
        <f t="shared" si="1589"/>
        <v>-12.057192726280929</v>
      </c>
      <c r="EK452" s="75">
        <f t="shared" ref="EK452" si="1679">EK409/EK$413*100</f>
        <v>8.5770321708898773</v>
      </c>
      <c r="EL452" s="81">
        <f t="shared" si="1591"/>
        <v>-7.7426191491938079</v>
      </c>
      <c r="EM452" s="75">
        <f t="shared" ref="EM452" si="1680">EM409/EM$413*100</f>
        <v>8.3397166118395116</v>
      </c>
      <c r="EN452" s="81">
        <f t="shared" si="1593"/>
        <v>-9.567796862415145</v>
      </c>
      <c r="EO452" s="75">
        <f t="shared" ref="EO452" si="1681">EO409/EO$413*100</f>
        <v>8.1284989261076142</v>
      </c>
      <c r="EP452" s="81">
        <f t="shared" si="1595"/>
        <v>8.9096623031861277</v>
      </c>
      <c r="EQ452" s="75">
        <f t="shared" ref="EQ452" si="1682">EQ409/EQ$413*100</f>
        <v>7.9009827414031131</v>
      </c>
      <c r="ER452" s="81">
        <f t="shared" si="1597"/>
        <v>-10.98862645712304</v>
      </c>
      <c r="ES452" s="129"/>
      <c r="ET452" s="465"/>
      <c r="EU452" s="129"/>
      <c r="EV452" s="75"/>
      <c r="EW452" s="79"/>
      <c r="EX452" s="75"/>
      <c r="EY452" s="79"/>
      <c r="EZ452" s="75"/>
      <c r="FA452" s="79"/>
      <c r="FB452" s="75">
        <f t="shared" si="1598"/>
        <v>0</v>
      </c>
      <c r="FC452" s="79" t="str">
        <f t="shared" si="1599"/>
        <v>NA</v>
      </c>
      <c r="FD452" s="75">
        <f t="shared" si="1600"/>
        <v>7.8501844320438785</v>
      </c>
      <c r="FE452" s="79" t="str">
        <f t="shared" si="1601"/>
        <v>NA</v>
      </c>
      <c r="FF452" s="75">
        <f t="shared" si="1602"/>
        <v>-92.047128129603578</v>
      </c>
      <c r="FG452" s="79" t="str">
        <f t="shared" si="1603"/>
        <v>NM</v>
      </c>
      <c r="FH452" s="75">
        <f t="shared" si="1604"/>
        <v>609.48148148148096</v>
      </c>
      <c r="FI452" s="79" t="str">
        <f t="shared" si="1605"/>
        <v>NM</v>
      </c>
      <c r="FJ452" s="75">
        <f t="shared" si="1606"/>
        <v>14.614793959559755</v>
      </c>
      <c r="FK452" s="79" t="str">
        <f t="shared" si="1605"/>
        <v>NM</v>
      </c>
      <c r="FL452" s="75">
        <f t="shared" si="1607"/>
        <v>12.773525924328933</v>
      </c>
      <c r="FM452" s="79">
        <f t="shared" si="1605"/>
        <v>-12.598658868032974</v>
      </c>
      <c r="FN452" s="75">
        <f t="shared" si="1608"/>
        <v>8.224442736356643</v>
      </c>
      <c r="FO452" s="79">
        <f t="shared" si="1605"/>
        <v>-35.613371084235531</v>
      </c>
      <c r="FP452" s="75">
        <f t="shared" si="1609"/>
        <v>1.5815179471276526</v>
      </c>
      <c r="FQ452" s="79" t="str">
        <f t="shared" si="1605"/>
        <v>NM</v>
      </c>
      <c r="FR452" s="75">
        <f t="shared" si="1610"/>
        <v>9.4246408755794775</v>
      </c>
      <c r="FS452" s="79" t="str">
        <f t="shared" si="1605"/>
        <v>NM</v>
      </c>
      <c r="FT452" s="75">
        <f t="shared" si="1611"/>
        <v>8.932740830006777</v>
      </c>
      <c r="FU452" s="79">
        <f t="shared" si="1605"/>
        <v>-5.2192974996774666</v>
      </c>
      <c r="FV452" s="75">
        <f t="shared" si="1612"/>
        <v>33.477438530126946</v>
      </c>
      <c r="FW452" s="79" t="str">
        <f t="shared" si="1605"/>
        <v>NM</v>
      </c>
      <c r="FX452" s="75">
        <f t="shared" si="1613"/>
        <v>7.5410097149227511</v>
      </c>
      <c r="FY452" s="79" t="str">
        <f t="shared" si="1605"/>
        <v>NM</v>
      </c>
      <c r="FZ452" s="75">
        <f t="shared" si="1614"/>
        <v>8.6108659016130122</v>
      </c>
      <c r="GA452" s="79">
        <f t="shared" si="1605"/>
        <v>14.187174226458609</v>
      </c>
      <c r="GB452" s="75">
        <f t="shared" si="1615"/>
        <v>20.185029436501299</v>
      </c>
      <c r="GC452" s="79" t="str">
        <f t="shared" si="1605"/>
        <v>NM</v>
      </c>
      <c r="GD452" s="75">
        <f t="shared" si="1616"/>
        <v>9.289447001013956</v>
      </c>
      <c r="GE452" s="79" t="str">
        <f t="shared" si="1605"/>
        <v>NM</v>
      </c>
      <c r="GF452" s="75">
        <f t="shared" si="1617"/>
        <v>9.7846618813751682</v>
      </c>
      <c r="GG452" s="79">
        <f t="shared" si="1605"/>
        <v>5.3309403703703628</v>
      </c>
      <c r="GH452" s="75">
        <f t="shared" si="1618"/>
        <v>8.708793139804575</v>
      </c>
      <c r="GI452" s="79">
        <f t="shared" si="1605"/>
        <v>-10.995461617518732</v>
      </c>
      <c r="GJ452" s="75">
        <f t="shared" si="1619"/>
        <v>8.2350118901335847</v>
      </c>
      <c r="GK452" s="79">
        <f t="shared" si="1605"/>
        <v>-5.4402629855279994</v>
      </c>
      <c r="GL452" s="75">
        <f t="shared" si="1620"/>
        <v>7.8513243563911956</v>
      </c>
      <c r="GM452" s="79">
        <f t="shared" si="1605"/>
        <v>-4.6592225835409788</v>
      </c>
      <c r="GN452" s="75">
        <f t="shared" si="1620"/>
        <v>7.4563401801896898</v>
      </c>
      <c r="GO452" s="79">
        <f t="shared" si="1605"/>
        <v>-5.0307968219396981</v>
      </c>
      <c r="GP452" s="75">
        <f t="shared" ref="GP452:GR452" si="1683">GP409/GP$413*100</f>
        <v>7.062517214371236</v>
      </c>
      <c r="GQ452" s="79">
        <f t="shared" si="1605"/>
        <v>-5.2817193998843877</v>
      </c>
      <c r="GR452" s="75">
        <f t="shared" si="1683"/>
        <v>6.7208932025049091</v>
      </c>
      <c r="GS452" s="79">
        <f t="shared" si="1622"/>
        <v>-4.8371423601088033</v>
      </c>
      <c r="GT452" s="79">
        <f t="shared" si="1623"/>
        <v>-5.0502547424430277</v>
      </c>
    </row>
    <row r="453" spans="1:286" ht="12.75" customHeight="1" x14ac:dyDescent="0.2">
      <c r="A453" s="1" t="s">
        <v>378</v>
      </c>
      <c r="B453" s="10" t="s">
        <v>195</v>
      </c>
      <c r="C453" s="79"/>
      <c r="D453" s="79"/>
      <c r="E453" s="75">
        <f t="shared" si="1473"/>
        <v>-13.718570798411983</v>
      </c>
      <c r="F453" s="75"/>
      <c r="G453" s="75">
        <f t="shared" si="1474"/>
        <v>-10.216572504708106</v>
      </c>
      <c r="H453" s="75"/>
      <c r="I453" s="75">
        <f t="shared" si="1475"/>
        <v>-24.453168816601213</v>
      </c>
      <c r="J453" s="75"/>
      <c r="K453" s="75">
        <f t="shared" si="1476"/>
        <v>-12.833037300177615</v>
      </c>
      <c r="L453" s="146"/>
      <c r="M453" s="75">
        <f t="shared" si="1477"/>
        <v>-7.195914577530182</v>
      </c>
      <c r="N453" s="146">
        <f t="shared" si="1478"/>
        <v>-47.546178947714012</v>
      </c>
      <c r="O453" s="75">
        <f t="shared" si="1479"/>
        <v>-8.7357330992098419</v>
      </c>
      <c r="P453" s="146">
        <f t="shared" si="1480"/>
        <v>-14.494483397595904</v>
      </c>
      <c r="Q453" s="75">
        <f t="shared" si="1481"/>
        <v>-7.9741379310344893</v>
      </c>
      <c r="R453" s="146" t="str">
        <f t="shared" si="1482"/>
        <v>NM</v>
      </c>
      <c r="S453" s="75">
        <f t="shared" si="1483"/>
        <v>-16.204315279612498</v>
      </c>
      <c r="T453" s="146">
        <f t="shared" si="1484"/>
        <v>26.270304531790178</v>
      </c>
      <c r="U453" s="75">
        <f t="shared" si="1485"/>
        <v>12.746386333771332</v>
      </c>
      <c r="V453" s="146" t="str">
        <f t="shared" si="1486"/>
        <v>NM</v>
      </c>
      <c r="W453" s="75">
        <f t="shared" si="1487"/>
        <v>-20.500305064063433</v>
      </c>
      <c r="X453" s="146" t="str">
        <f t="shared" si="1488"/>
        <v>NM</v>
      </c>
      <c r="Y453" s="75">
        <f t="shared" si="1489"/>
        <v>-19.769452449567691</v>
      </c>
      <c r="Z453" s="146" t="str">
        <f t="shared" si="1490"/>
        <v>NM</v>
      </c>
      <c r="AA453" s="267">
        <f t="shared" si="1491"/>
        <v>15.183423913043478</v>
      </c>
      <c r="AB453" s="146" t="str">
        <f t="shared" si="1492"/>
        <v>NM</v>
      </c>
      <c r="AC453" s="75">
        <f t="shared" si="1493"/>
        <v>4.5128849780012539</v>
      </c>
      <c r="AD453" s="146" t="str">
        <f t="shared" si="1494"/>
        <v>NM</v>
      </c>
      <c r="AE453" s="75">
        <f t="shared" si="1495"/>
        <v>-8.1067472306142871</v>
      </c>
      <c r="AF453" s="146" t="str">
        <f t="shared" si="1496"/>
        <v>NM</v>
      </c>
      <c r="AG453" s="75">
        <f t="shared" si="1497"/>
        <v>-17.245870890428815</v>
      </c>
      <c r="AH453" s="146">
        <f t="shared" si="1498"/>
        <v>-12.765055408472181</v>
      </c>
      <c r="AI453" s="75">
        <f t="shared" si="1499"/>
        <v>-19.936409727593002</v>
      </c>
      <c r="AJ453" s="146" t="str">
        <f t="shared" si="1500"/>
        <v>NM</v>
      </c>
      <c r="AK453" s="75">
        <f t="shared" si="1501"/>
        <v>-33.495670995670892</v>
      </c>
      <c r="AL453" s="146" t="str">
        <f t="shared" si="1502"/>
        <v>NM</v>
      </c>
      <c r="AM453" s="75">
        <f t="shared" si="1503"/>
        <v>-11.832251622566169</v>
      </c>
      <c r="AN453" s="146">
        <f t="shared" si="1504"/>
        <v>45.955600760350613</v>
      </c>
      <c r="AO453" s="75">
        <f t="shared" si="1505"/>
        <v>-9.2822966507176954</v>
      </c>
      <c r="AP453" s="146">
        <f t="shared" si="1504"/>
        <v>-46.176701021986531</v>
      </c>
      <c r="AQ453" s="75">
        <f t="shared" si="1506"/>
        <v>-18.056593699946617</v>
      </c>
      <c r="AR453" s="146">
        <f t="shared" si="1504"/>
        <v>-9.4290599628107703</v>
      </c>
      <c r="AS453" s="75">
        <f t="shared" si="1507"/>
        <v>-13.931581556767474</v>
      </c>
      <c r="AT453" s="146" t="str">
        <f t="shared" si="1504"/>
        <v>NM</v>
      </c>
      <c r="AU453" s="75">
        <f t="shared" si="1508"/>
        <v>-12.563510392609716</v>
      </c>
      <c r="AV453" s="146">
        <f t="shared" si="1504"/>
        <v>6.1802165248828089</v>
      </c>
      <c r="AW453" s="75">
        <f t="shared" si="1509"/>
        <v>-8.1799591002044956</v>
      </c>
      <c r="AX453" s="146">
        <f t="shared" si="1504"/>
        <v>-11.875698353466957</v>
      </c>
      <c r="AY453" s="75">
        <f t="shared" si="1510"/>
        <v>-9.773584905660373</v>
      </c>
      <c r="AZ453" s="146">
        <f t="shared" si="1504"/>
        <v>-45.872488088995055</v>
      </c>
      <c r="BA453" s="75">
        <f t="shared" si="1511"/>
        <v>-10.546282245827014</v>
      </c>
      <c r="BB453" s="146">
        <f t="shared" si="1504"/>
        <v>-24.29946160201748</v>
      </c>
      <c r="BC453" s="75">
        <f t="shared" si="1512"/>
        <v>-16.551724137931036</v>
      </c>
      <c r="BD453" s="146">
        <f t="shared" si="1504"/>
        <v>31.744421906693553</v>
      </c>
      <c r="BE453" s="75">
        <f t="shared" si="1513"/>
        <v>-6.8307692307692349</v>
      </c>
      <c r="BF453" s="146">
        <f t="shared" si="1514"/>
        <v>-16.493846153846071</v>
      </c>
      <c r="BG453" s="75">
        <f t="shared" si="1515"/>
        <v>-3.1290743155149912</v>
      </c>
      <c r="BH453" s="146" t="str">
        <f t="shared" si="1516"/>
        <v>NM</v>
      </c>
      <c r="BI453" s="75">
        <f t="shared" si="1517"/>
        <v>9.5785440613025921E-2</v>
      </c>
      <c r="BJ453" s="146" t="str">
        <f t="shared" si="1518"/>
        <v>NM</v>
      </c>
      <c r="BK453" s="75">
        <f t="shared" si="1519"/>
        <v>-1.9653857436198301</v>
      </c>
      <c r="BL453" s="146" t="str">
        <f t="shared" si="1520"/>
        <v>NM</v>
      </c>
      <c r="BM453" s="75">
        <f t="shared" si="1521"/>
        <v>-2.2113022113022174</v>
      </c>
      <c r="BN453" s="146" t="str">
        <f t="shared" si="1522"/>
        <v>NM</v>
      </c>
      <c r="BO453" s="75">
        <f t="shared" si="1523"/>
        <v>-0.12894906511927734</v>
      </c>
      <c r="BP453" s="146" t="str">
        <f t="shared" si="1524"/>
        <v>NM</v>
      </c>
      <c r="BQ453" s="75">
        <f t="shared" si="1525"/>
        <v>-4.0926395939086317</v>
      </c>
      <c r="BR453" s="81" t="str">
        <f t="shared" si="1526"/>
        <v>NM</v>
      </c>
      <c r="BS453" s="75">
        <f t="shared" si="1527"/>
        <v>-4.93979623340537</v>
      </c>
      <c r="BT453" s="81" t="str">
        <f t="shared" si="1528"/>
        <v>NM</v>
      </c>
      <c r="BU453" s="75">
        <f t="shared" si="1529"/>
        <v>-4.285267438223336</v>
      </c>
      <c r="BV453" s="81">
        <f t="shared" si="1530"/>
        <v>93.789316372988111</v>
      </c>
      <c r="BW453" s="75">
        <f t="shared" si="1531"/>
        <v>-5.1584835301429521</v>
      </c>
      <c r="BX453" s="81" t="str">
        <f t="shared" si="1532"/>
        <v>NM</v>
      </c>
      <c r="BY453" s="75">
        <f t="shared" si="1533"/>
        <v>-2.6756836224639802</v>
      </c>
      <c r="BZ453" s="81">
        <f t="shared" si="1534"/>
        <v>-34.622055984446042</v>
      </c>
      <c r="CA453" s="75">
        <f t="shared" si="1535"/>
        <v>-1.4260768335273561</v>
      </c>
      <c r="CB453" s="81" t="str">
        <f t="shared" si="1536"/>
        <v>NM</v>
      </c>
      <c r="CC453" s="75">
        <f t="shared" si="1537"/>
        <v>-2.754237288135593</v>
      </c>
      <c r="CD453" s="81">
        <f t="shared" si="1538"/>
        <v>-35.727761969565783</v>
      </c>
      <c r="CE453" s="75">
        <f t="shared" si="1539"/>
        <v>-5.0382653061224438</v>
      </c>
      <c r="CF453" s="81">
        <f t="shared" si="1540"/>
        <v>-2.3304954511927378</v>
      </c>
      <c r="CG453" s="75">
        <f t="shared" si="1541"/>
        <v>-6.8082448469706458</v>
      </c>
      <c r="CH453" s="81" t="str">
        <f t="shared" si="1542"/>
        <v>NM</v>
      </c>
      <c r="CI453" s="75">
        <f t="shared" si="1543"/>
        <v>-4.9118751805836434</v>
      </c>
      <c r="CJ453" s="81" t="str">
        <f t="shared" si="1544"/>
        <v>NM</v>
      </c>
      <c r="CK453" s="75">
        <f t="shared" si="1545"/>
        <v>-6.4878353087960079</v>
      </c>
      <c r="CL453" s="81" t="str">
        <f t="shared" si="1546"/>
        <v>NM</v>
      </c>
      <c r="CM453" s="75">
        <f t="shared" si="1547"/>
        <v>3.0479896238651083</v>
      </c>
      <c r="CN453" s="81" t="str">
        <f t="shared" si="1548"/>
        <v>NM</v>
      </c>
      <c r="CO453" s="75">
        <f t="shared" si="1549"/>
        <v>-6.6623544631306615</v>
      </c>
      <c r="CP453" s="81">
        <f t="shared" si="1550"/>
        <v>-2.1428486653927936</v>
      </c>
      <c r="CQ453" s="75">
        <f t="shared" si="1551"/>
        <v>-8.3521444695259639</v>
      </c>
      <c r="CR453" s="81">
        <f t="shared" si="1552"/>
        <v>70.039835347231644</v>
      </c>
      <c r="CS453" s="75">
        <f t="shared" si="1553"/>
        <v>-8.8187962664950099</v>
      </c>
      <c r="CT453" s="81">
        <f t="shared" si="1554"/>
        <v>35.928177069149037</v>
      </c>
      <c r="CU453" s="75">
        <f t="shared" si="1555"/>
        <v>-11.172102034226672</v>
      </c>
      <c r="CV453" s="81" t="str">
        <f t="shared" si="1556"/>
        <v>NM</v>
      </c>
      <c r="CW453" s="75">
        <f t="shared" si="1557"/>
        <v>-8.3974358974358925</v>
      </c>
      <c r="CX453" s="81">
        <f t="shared" si="1558"/>
        <v>26.043066965396953</v>
      </c>
      <c r="CY453" s="75">
        <f t="shared" si="1559"/>
        <v>-9.3998094633216933</v>
      </c>
      <c r="CZ453" s="81">
        <f t="shared" si="1560"/>
        <v>12.543664655446163</v>
      </c>
      <c r="DA453" s="75">
        <f t="shared" si="1561"/>
        <v>-8.0278128950695304</v>
      </c>
      <c r="DB453" s="81">
        <f t="shared" si="1562"/>
        <v>-8.9692895438648339</v>
      </c>
      <c r="DC453" s="75">
        <f t="shared" si="1563"/>
        <v>-11.195508586525763</v>
      </c>
      <c r="DD453" s="81">
        <f t="shared" si="1564"/>
        <v>0.20950893777538226</v>
      </c>
      <c r="DE453" s="75">
        <f t="shared" si="1565"/>
        <v>-8.1563558017851712</v>
      </c>
      <c r="DF453" s="81">
        <f t="shared" si="1566"/>
        <v>-2.8708774749246269</v>
      </c>
      <c r="DG453" s="75">
        <f t="shared" si="1567"/>
        <v>-8.7304027051952051</v>
      </c>
      <c r="DH453" s="81">
        <f t="shared" si="1568"/>
        <v>-7.1214928423659174</v>
      </c>
      <c r="DI453" s="75">
        <f t="shared" si="1569"/>
        <v>-7.9129886506935661</v>
      </c>
      <c r="DJ453" s="81">
        <f t="shared" si="1570"/>
        <v>-1.4303303512029575</v>
      </c>
      <c r="DK453" s="75">
        <f t="shared" si="1571"/>
        <v>6.9187449718423153</v>
      </c>
      <c r="DL453" s="81" t="str">
        <f t="shared" si="1572"/>
        <v>NM</v>
      </c>
      <c r="DM453" s="75">
        <f t="shared" si="1571"/>
        <v>-10.33616085453974</v>
      </c>
      <c r="DN453" s="81">
        <f t="shared" si="1573"/>
        <v>26.725232514715437</v>
      </c>
      <c r="DO453" s="75">
        <f t="shared" si="1574"/>
        <v>-11.379310344827587</v>
      </c>
      <c r="DP453" s="81">
        <f t="shared" si="1573"/>
        <v>30.341185041282181</v>
      </c>
      <c r="DQ453" s="75">
        <f t="shared" si="1574"/>
        <v>-9.1858678955453072</v>
      </c>
      <c r="DR453" s="81">
        <f t="shared" si="1575"/>
        <v>16.085948066413238</v>
      </c>
      <c r="DS453" s="75">
        <f t="shared" ref="DS453:DU453" si="1684">DS410/DS$413*100</f>
        <v>-11.775759473849048</v>
      </c>
      <c r="DT453" s="81" t="str">
        <f t="shared" si="1577"/>
        <v>NM</v>
      </c>
      <c r="DU453" s="75">
        <f t="shared" si="1684"/>
        <v>-11.056359716661539</v>
      </c>
      <c r="DV453" s="81">
        <f t="shared" si="1578"/>
        <v>6.9677598119564976</v>
      </c>
      <c r="DW453" s="75">
        <f t="shared" ref="DW453" si="1685">DW410/DW$413*100</f>
        <v>-11.854284861152586</v>
      </c>
      <c r="DX453" s="81">
        <f t="shared" si="1580"/>
        <v>4.174018476795438</v>
      </c>
      <c r="DY453" s="75">
        <f t="shared" ref="DY453:EA453" si="1686">DY410/DY$413*100</f>
        <v>-14.232326378075358</v>
      </c>
      <c r="DZ453" s="81">
        <f t="shared" si="1582"/>
        <v>54.937198530552948</v>
      </c>
      <c r="EA453" s="75">
        <f t="shared" si="1686"/>
        <v>-12.164527421236876</v>
      </c>
      <c r="EB453" s="81">
        <f t="shared" si="1583"/>
        <v>3.3014256808759024</v>
      </c>
      <c r="EC453" s="75">
        <f t="shared" ref="EC453:EE453" si="1687">EC410/EC$413*100</f>
        <v>-11.709326272433078</v>
      </c>
      <c r="ED453" s="81">
        <f t="shared" si="1585"/>
        <v>5.9058005754601295</v>
      </c>
      <c r="EE453" s="75">
        <f t="shared" si="1687"/>
        <v>-10.636492220650631</v>
      </c>
      <c r="EF453" s="81">
        <f t="shared" si="1586"/>
        <v>-10.273016506400623</v>
      </c>
      <c r="EG453" s="75">
        <f t="shared" ref="EG453:EI453" si="1688">EG410/EG$413*100</f>
        <v>-10.157126823793492</v>
      </c>
      <c r="EH453" s="81">
        <f t="shared" si="1588"/>
        <v>-28.633404308094267</v>
      </c>
      <c r="EI453" s="75">
        <f t="shared" si="1688"/>
        <v>-8.9031912040761636</v>
      </c>
      <c r="EJ453" s="81">
        <f t="shared" si="1589"/>
        <v>-26.810217152102922</v>
      </c>
      <c r="EK453" s="75">
        <f t="shared" ref="EK453" si="1689">EK410/EK$413*100</f>
        <v>-10.071138545499601</v>
      </c>
      <c r="EL453" s="81">
        <f t="shared" si="1591"/>
        <v>-13.9904524719771</v>
      </c>
      <c r="EM453" s="75">
        <f t="shared" ref="EM453" si="1690">EM410/EM$413*100</f>
        <v>-10.00494427806963</v>
      </c>
      <c r="EN453" s="81">
        <f t="shared" si="1593"/>
        <v>-5.9375584495314886</v>
      </c>
      <c r="EO453" s="75">
        <f t="shared" ref="EO453" si="1691">EO410/EO$413*100</f>
        <v>-10.459035965440224</v>
      </c>
      <c r="EP453" s="81">
        <f t="shared" si="1595"/>
        <v>2.9723872398589757</v>
      </c>
      <c r="EQ453" s="75">
        <f t="shared" ref="EQ453" si="1692">EQ410/EQ$413*100</f>
        <v>-10.391433670292445</v>
      </c>
      <c r="ER453" s="81">
        <f t="shared" si="1597"/>
        <v>16.715831796748514</v>
      </c>
      <c r="ES453" s="129"/>
      <c r="ET453" s="465"/>
      <c r="EU453" s="129"/>
      <c r="EV453" s="75"/>
      <c r="EW453" s="79"/>
      <c r="EX453" s="75"/>
      <c r="EY453" s="79"/>
      <c r="EZ453" s="75"/>
      <c r="FA453" s="79"/>
      <c r="FB453" s="75">
        <f t="shared" si="1598"/>
        <v>100</v>
      </c>
      <c r="FC453" s="79" t="str">
        <f t="shared" si="1599"/>
        <v>NA</v>
      </c>
      <c r="FD453" s="75">
        <f t="shared" si="1600"/>
        <v>6.0815284214508614</v>
      </c>
      <c r="FE453" s="79" t="str">
        <f t="shared" si="1601"/>
        <v>NM</v>
      </c>
      <c r="FF453" s="75">
        <f t="shared" si="1602"/>
        <v>-62.002945508100694</v>
      </c>
      <c r="FG453" s="79" t="str">
        <f t="shared" si="1603"/>
        <v>NM</v>
      </c>
      <c r="FH453" s="75">
        <f t="shared" si="1604"/>
        <v>-33.629629629629612</v>
      </c>
      <c r="FI453" s="79">
        <f t="shared" si="1605"/>
        <v>-45.761238673353198</v>
      </c>
      <c r="FJ453" s="75">
        <f t="shared" si="1606"/>
        <v>-17.765549014589173</v>
      </c>
      <c r="FK453" s="79">
        <f t="shared" si="1605"/>
        <v>-47.17292693899693</v>
      </c>
      <c r="FL453" s="75">
        <f t="shared" si="1607"/>
        <v>-10.908698932844665</v>
      </c>
      <c r="FM453" s="79">
        <f t="shared" si="1605"/>
        <v>-38.596330888021654</v>
      </c>
      <c r="FN453" s="75">
        <f t="shared" si="1608"/>
        <v>-8.9845418054488029</v>
      </c>
      <c r="FO453" s="79">
        <f t="shared" si="1605"/>
        <v>-17.638740781473739</v>
      </c>
      <c r="FP453" s="75">
        <f t="shared" si="1609"/>
        <v>-1.0853554539111538</v>
      </c>
      <c r="FQ453" s="79" t="str">
        <f t="shared" si="1605"/>
        <v>NM</v>
      </c>
      <c r="FR453" s="75">
        <f t="shared" si="1610"/>
        <v>-3.6786501482100809</v>
      </c>
      <c r="FS453" s="79" t="str">
        <f t="shared" si="1605"/>
        <v>NM</v>
      </c>
      <c r="FT453" s="75">
        <f t="shared" si="1611"/>
        <v>-2.9298787376666438</v>
      </c>
      <c r="FU453" s="79">
        <f t="shared" si="1605"/>
        <v>-20.354515389504122</v>
      </c>
      <c r="FV453" s="75">
        <f t="shared" si="1612"/>
        <v>-21.183463928667933</v>
      </c>
      <c r="FW453" s="79" t="str">
        <f t="shared" si="1605"/>
        <v>NM</v>
      </c>
      <c r="FX453" s="75">
        <f t="shared" si="1613"/>
        <v>-6.8800764452938408</v>
      </c>
      <c r="FY453" s="79" t="str">
        <f t="shared" si="1605"/>
        <v>NM</v>
      </c>
      <c r="FZ453" s="75">
        <f t="shared" si="1614"/>
        <v>-9.2368188748896554</v>
      </c>
      <c r="GA453" s="79">
        <f t="shared" si="1605"/>
        <v>34.25459656350025</v>
      </c>
      <c r="GB453" s="75">
        <f t="shared" si="1615"/>
        <v>-17.796467619848613</v>
      </c>
      <c r="GC453" s="79">
        <f t="shared" si="1605"/>
        <v>92.668794970402772</v>
      </c>
      <c r="GD453" s="75">
        <f t="shared" si="1616"/>
        <v>-10.662194836596212</v>
      </c>
      <c r="GE453" s="79">
        <f t="shared" si="1605"/>
        <v>-40.088139599655506</v>
      </c>
      <c r="GF453" s="75">
        <f t="shared" si="1617"/>
        <v>-12.315829240649782</v>
      </c>
      <c r="GG453" s="79">
        <f t="shared" si="1605"/>
        <v>15.509324575252958</v>
      </c>
      <c r="GH453" s="75">
        <f t="shared" si="1618"/>
        <v>-10.31840865959092</v>
      </c>
      <c r="GI453" s="79">
        <f t="shared" si="1605"/>
        <v>-16.218319871358311</v>
      </c>
      <c r="GJ453" s="75">
        <f t="shared" si="1619"/>
        <v>-10.232546193172738</v>
      </c>
      <c r="GK453" s="79">
        <f t="shared" si="1605"/>
        <v>-0.83212895758275618</v>
      </c>
      <c r="GL453" s="75">
        <f t="shared" si="1620"/>
        <v>-10.233887865808287</v>
      </c>
      <c r="GM453" s="79">
        <f t="shared" si="1605"/>
        <v>1.3111816064359516E-2</v>
      </c>
      <c r="GN453" s="75">
        <f t="shared" si="1620"/>
        <v>-10.071391568970611</v>
      </c>
      <c r="GO453" s="79">
        <f t="shared" si="1605"/>
        <v>-1.5878256530500012</v>
      </c>
      <c r="GP453" s="75">
        <f t="shared" ref="GP453:GR453" si="1693">GP410/GP$413*100</f>
        <v>-9.8848492507203662</v>
      </c>
      <c r="GQ453" s="79">
        <f t="shared" si="1605"/>
        <v>-1.8522000358418333</v>
      </c>
      <c r="GR453" s="75">
        <f t="shared" si="1693"/>
        <v>-9.7468697959511008</v>
      </c>
      <c r="GS453" s="79">
        <f t="shared" si="1622"/>
        <v>-1.3958680731444684</v>
      </c>
      <c r="GT453" s="79">
        <f t="shared" si="1623"/>
        <v>-1.1331976259939758</v>
      </c>
    </row>
    <row r="454" spans="1:286" ht="12.75" customHeight="1" x14ac:dyDescent="0.2">
      <c r="A454" s="1"/>
      <c r="B454" s="10" t="s">
        <v>266</v>
      </c>
      <c r="C454" s="79"/>
      <c r="D454" s="79"/>
      <c r="E454" s="75">
        <f>SUM(E447:E453)</f>
        <v>0.26466696074107787</v>
      </c>
      <c r="F454" s="75"/>
      <c r="G454" s="75">
        <f>SUM(G447:G453)</f>
        <v>6.3088512241054513</v>
      </c>
      <c r="H454" s="75"/>
      <c r="I454" s="75">
        <f>SUM(I447:I453)</f>
        <v>-5.1037577117217801</v>
      </c>
      <c r="J454" s="75"/>
      <c r="K454" s="75">
        <f>SUM(K447:K453)</f>
        <v>3.4635879218472496</v>
      </c>
      <c r="L454" s="146"/>
      <c r="M454" s="75">
        <f>SUM(M447:M453)</f>
        <v>20.148560817084505</v>
      </c>
      <c r="N454" s="146" t="str">
        <f t="shared" si="1478"/>
        <v>NM</v>
      </c>
      <c r="O454" s="75">
        <f>SUM(O447:O453)</f>
        <v>14.749780509218617</v>
      </c>
      <c r="P454" s="146" t="str">
        <f t="shared" si="1480"/>
        <v>NM</v>
      </c>
      <c r="Q454" s="75">
        <f>SUM(Q447:Q453)</f>
        <v>15.086206896551703</v>
      </c>
      <c r="R454" s="146" t="str">
        <f t="shared" si="1482"/>
        <v>NM</v>
      </c>
      <c r="S454" s="75">
        <f>SUM(S447:S453)</f>
        <v>7.8379568472038805</v>
      </c>
      <c r="T454" s="146" t="str">
        <f t="shared" si="1484"/>
        <v>NM</v>
      </c>
      <c r="U454" s="75">
        <f>SUM(U447:U453)</f>
        <v>-11.465177398160302</v>
      </c>
      <c r="V454" s="146" t="str">
        <f t="shared" si="1486"/>
        <v>NM</v>
      </c>
      <c r="W454" s="75">
        <f>SUM(W447:W453)</f>
        <v>22.39170225747403</v>
      </c>
      <c r="X454" s="146">
        <f t="shared" si="1488"/>
        <v>51.810409947993527</v>
      </c>
      <c r="Y454" s="75">
        <f>SUM(Y447:Y453)</f>
        <v>29.394812680115255</v>
      </c>
      <c r="Z454" s="146">
        <f t="shared" si="1490"/>
        <v>94.845615479621387</v>
      </c>
      <c r="AA454" s="267">
        <f>SUM(AA447:AA453)</f>
        <v>-16.032608695652158</v>
      </c>
      <c r="AB454" s="146" t="str">
        <f t="shared" si="1492"/>
        <v>NM</v>
      </c>
      <c r="AC454" s="75">
        <f>SUM(AC447:AC453)</f>
        <v>100</v>
      </c>
      <c r="AD454" s="146" t="str">
        <f t="shared" si="1494"/>
        <v>NM</v>
      </c>
      <c r="AE454" s="75">
        <f>SUM(AE447:AE453)</f>
        <v>100</v>
      </c>
      <c r="AF454" s="146" t="str">
        <f t="shared" si="1496"/>
        <v>NM</v>
      </c>
      <c r="AG454" s="75">
        <f>SUM(AG447:AG453)</f>
        <v>100</v>
      </c>
      <c r="AH454" s="146" t="str">
        <f t="shared" si="1498"/>
        <v>NM</v>
      </c>
      <c r="AI454" s="75">
        <f>SUM(AI447:AI453)</f>
        <v>100</v>
      </c>
      <c r="AJ454" s="146" t="str">
        <f t="shared" si="1500"/>
        <v>NM</v>
      </c>
      <c r="AK454" s="75">
        <f>SUM(AK447:AK453)</f>
        <v>82.683982683982734</v>
      </c>
      <c r="AL454" s="146">
        <f t="shared" si="1502"/>
        <v>-17.316017316017263</v>
      </c>
      <c r="AM454" s="75">
        <f>SUM(AM447:AM453)</f>
        <v>100</v>
      </c>
      <c r="AN454" s="146">
        <f t="shared" si="1504"/>
        <v>0</v>
      </c>
      <c r="AO454" s="75">
        <f>SUM(AO447:AO453)</f>
        <v>99.999999999999986</v>
      </c>
      <c r="AP454" s="146">
        <f t="shared" si="1504"/>
        <v>-1.1102230246251565E-14</v>
      </c>
      <c r="AQ454" s="75">
        <f>SUM(AQ447:AQ453)</f>
        <v>107.97650827549388</v>
      </c>
      <c r="AR454" s="146">
        <f t="shared" si="1504"/>
        <v>7.9765082754938765</v>
      </c>
      <c r="AS454" s="75">
        <f>SUM(AS447:AS453)</f>
        <v>100</v>
      </c>
      <c r="AT454" s="146">
        <f t="shared" si="1504"/>
        <v>20.942408376963286</v>
      </c>
      <c r="AU454" s="75">
        <f>SUM(AU447:AU453)</f>
        <v>100.00000000000001</v>
      </c>
      <c r="AV454" s="146">
        <f t="shared" si="1504"/>
        <v>2.2204460492503131E-14</v>
      </c>
      <c r="AW454" s="75">
        <f>SUM(AW447:AW453)</f>
        <v>100</v>
      </c>
      <c r="AX454" s="146">
        <f t="shared" si="1504"/>
        <v>2.2204460492503131E-14</v>
      </c>
      <c r="AY454" s="75">
        <f>SUM(AY447:AY453)</f>
        <v>93.584905660377345</v>
      </c>
      <c r="AZ454" s="146">
        <f t="shared" si="1504"/>
        <v>-13.328457129209493</v>
      </c>
      <c r="BA454" s="75">
        <f>SUM(BA447:BA453)</f>
        <v>100.00000000000001</v>
      </c>
      <c r="BB454" s="146">
        <f t="shared" si="1504"/>
        <v>2.2204460492503131E-14</v>
      </c>
      <c r="BC454" s="75">
        <f>SUM(BC447:BC453)</f>
        <v>100</v>
      </c>
      <c r="BD454" s="146">
        <f t="shared" si="1504"/>
        <v>-1.1102230246251565E-14</v>
      </c>
      <c r="BE454" s="75">
        <f>SUM(BE447:BE453)</f>
        <v>100</v>
      </c>
      <c r="BF454" s="146">
        <f t="shared" si="1514"/>
        <v>0</v>
      </c>
      <c r="BG454" s="75">
        <f>SUM(BG447:BG453)</f>
        <v>103.74837027379402</v>
      </c>
      <c r="BH454" s="146">
        <f t="shared" si="1516"/>
        <v>10.860153719981525</v>
      </c>
      <c r="BI454" s="75">
        <f>SUM(BI447:BI453)</f>
        <v>100.00000000000001</v>
      </c>
      <c r="BJ454" s="146">
        <f t="shared" si="1518"/>
        <v>0</v>
      </c>
      <c r="BK454" s="75">
        <f>SUM(BK447:BK453)</f>
        <v>96.186564975065991</v>
      </c>
      <c r="BL454" s="146">
        <f t="shared" si="1520"/>
        <v>-3.8134350249340088</v>
      </c>
      <c r="BM454" s="75">
        <f>SUM(BM447:BM453)</f>
        <v>98.249385749385766</v>
      </c>
      <c r="BN454" s="146">
        <f t="shared" si="1522"/>
        <v>-1.7506142506142353</v>
      </c>
      <c r="BO454" s="75">
        <f>SUM(BO447:BO453)</f>
        <v>100.00000000000001</v>
      </c>
      <c r="BP454" s="146">
        <f t="shared" si="1524"/>
        <v>-3.6129437637449024</v>
      </c>
      <c r="BQ454" s="75">
        <f>SUM(BQ447:BQ453)</f>
        <v>100</v>
      </c>
      <c r="BR454" s="81">
        <f t="shared" si="1526"/>
        <v>-1.1102230246251565E-14</v>
      </c>
      <c r="BS454" s="75">
        <f>SUM(BS447:BS453)</f>
        <v>99.999999999999986</v>
      </c>
      <c r="BT454" s="81">
        <f t="shared" si="1528"/>
        <v>3.9646233607807169</v>
      </c>
      <c r="BU454" s="75">
        <f>SUM(BU447:BU453)</f>
        <v>100</v>
      </c>
      <c r="BV454" s="81">
        <f t="shared" si="1530"/>
        <v>1.7818068146295607</v>
      </c>
      <c r="BW454" s="75">
        <f>SUM(BW447:BW453)</f>
        <v>99.999999999999972</v>
      </c>
      <c r="BX454" s="81">
        <f t="shared" si="1532"/>
        <v>-4.4408920985006262E-14</v>
      </c>
      <c r="BY454" s="75">
        <f>SUM(BY447:BY453)</f>
        <v>100.00000000000001</v>
      </c>
      <c r="BZ454" s="81">
        <f t="shared" si="1534"/>
        <v>2.2204460492503131E-14</v>
      </c>
      <c r="CA454" s="75">
        <f>SUM(CA447:CA453)</f>
        <v>99.999999999999986</v>
      </c>
      <c r="CB454" s="81">
        <f t="shared" si="1536"/>
        <v>0</v>
      </c>
      <c r="CC454" s="75">
        <f>SUM(CC447:CC453)</f>
        <v>100</v>
      </c>
      <c r="CD454" s="81">
        <f t="shared" si="1538"/>
        <v>0</v>
      </c>
      <c r="CE454" s="75">
        <f>SUM(CE447:CE453)</f>
        <v>100.00000000000003</v>
      </c>
      <c r="CF454" s="81">
        <f t="shared" si="1540"/>
        <v>6.6613381477509392E-14</v>
      </c>
      <c r="CG454" s="75">
        <f>SUM(CG447:CG453)</f>
        <v>99.999999999999986</v>
      </c>
      <c r="CH454" s="81">
        <f t="shared" si="1542"/>
        <v>-3.3306690738754696E-14</v>
      </c>
      <c r="CI454" s="75">
        <f>SUM(CI447:CI453)</f>
        <v>98.844264663392096</v>
      </c>
      <c r="CJ454" s="81">
        <f t="shared" si="1544"/>
        <v>-1.1557353366078882</v>
      </c>
      <c r="CK454" s="75">
        <f>SUM(CK447:CK453)</f>
        <v>98.284466625077982</v>
      </c>
      <c r="CL454" s="81">
        <f t="shared" si="1546"/>
        <v>-1.7155333749220181</v>
      </c>
      <c r="CM454" s="75">
        <f>SUM(CM447:CM453)</f>
        <v>-54.523346303501881</v>
      </c>
      <c r="CN454" s="81" t="str">
        <f t="shared" si="1548"/>
        <v>NM</v>
      </c>
      <c r="CO454" s="75">
        <f>SUM(CO447:CO453)</f>
        <v>100.00000000000003</v>
      </c>
      <c r="CP454" s="81">
        <f t="shared" si="1550"/>
        <v>4.4408920985006262E-14</v>
      </c>
      <c r="CQ454" s="75">
        <f>SUM(CQ447:CQ453)</f>
        <v>100.00000000000001</v>
      </c>
      <c r="CR454" s="81">
        <f t="shared" si="1552"/>
        <v>1.1692487576731914</v>
      </c>
      <c r="CS454" s="75">
        <f>SUM(CS447:CS453)</f>
        <v>100</v>
      </c>
      <c r="CT454" s="81">
        <f t="shared" si="1554"/>
        <v>1.7454776261504268</v>
      </c>
      <c r="CU454" s="75">
        <f>SUM(CU447:CU453)</f>
        <v>100.00000000000001</v>
      </c>
      <c r="CV454" s="81" t="str">
        <f t="shared" si="1556"/>
        <v>NM</v>
      </c>
      <c r="CW454" s="75">
        <f>SUM(CW447:CW453)</f>
        <v>100.32051282051282</v>
      </c>
      <c r="CX454" s="81">
        <f t="shared" si="1558"/>
        <v>0.32051282051279717</v>
      </c>
      <c r="CY454" s="75">
        <f>SUM(CY447:CY453)</f>
        <v>100.00000000000001</v>
      </c>
      <c r="CZ454" s="81">
        <f t="shared" si="1560"/>
        <v>0</v>
      </c>
      <c r="DA454" s="75">
        <f>SUM(DA447:DA453)</f>
        <v>99.999999999999986</v>
      </c>
      <c r="DB454" s="81">
        <f t="shared" si="1562"/>
        <v>-1.1102230246251565E-14</v>
      </c>
      <c r="DC454" s="75">
        <f>SUM(DC447:DC453)</f>
        <v>103.46763540290621</v>
      </c>
      <c r="DD454" s="81">
        <f t="shared" si="1564"/>
        <v>3.4676354029061995</v>
      </c>
      <c r="DE454" s="75">
        <f>SUM(DE447:DE453)</f>
        <v>100.00000000000001</v>
      </c>
      <c r="DF454" s="81">
        <f t="shared" si="1566"/>
        <v>-0.31948881789135575</v>
      </c>
      <c r="DG454" s="75">
        <f>SUM(DG447:DG453)</f>
        <v>104.05779280664002</v>
      </c>
      <c r="DH454" s="81">
        <f t="shared" si="1568"/>
        <v>4.0577928066400037</v>
      </c>
      <c r="DI454" s="75">
        <f>SUM(DI447:DI453)</f>
        <v>100.00000000000001</v>
      </c>
      <c r="DJ454" s="81">
        <f t="shared" si="1570"/>
        <v>2.2204460492503131E-14</v>
      </c>
      <c r="DK454" s="75">
        <f>SUM(DK447:DK453)</f>
        <v>-87.235183695360689</v>
      </c>
      <c r="DL454" s="81" t="str">
        <f t="shared" si="1572"/>
        <v>NM</v>
      </c>
      <c r="DM454" s="75">
        <f>SUM(DM447:DM453)</f>
        <v>99.999999999999986</v>
      </c>
      <c r="DN454" s="81">
        <f t="shared" si="1573"/>
        <v>-3.3306690738754696E-14</v>
      </c>
      <c r="DO454" s="75">
        <f>SUM(DO447:DO453)</f>
        <v>100.00000000000001</v>
      </c>
      <c r="DP454" s="81">
        <f t="shared" si="1573"/>
        <v>-3.8995568685376458</v>
      </c>
      <c r="DQ454" s="75">
        <f>SUM(DQ447:DQ453)</f>
        <v>99.999999999999972</v>
      </c>
      <c r="DR454" s="81">
        <f t="shared" si="1575"/>
        <v>-4.4408920985006262E-14</v>
      </c>
      <c r="DS454" s="75">
        <f>SUM(DS447:DS453)</f>
        <v>100.00000000000001</v>
      </c>
      <c r="DT454" s="81" t="str">
        <f t="shared" si="1577"/>
        <v>NM</v>
      </c>
      <c r="DU454" s="75">
        <f>SUM(DU447:DU453)</f>
        <v>100</v>
      </c>
      <c r="DV454" s="81">
        <f t="shared" si="1578"/>
        <v>2.2204460492503131E-14</v>
      </c>
      <c r="DW454" s="75">
        <f>SUM(DW447:DW453)</f>
        <v>100</v>
      </c>
      <c r="DX454" s="81">
        <f t="shared" si="1580"/>
        <v>-1.1102230246251565E-14</v>
      </c>
      <c r="DY454" s="75">
        <f>SUM(DY447:DY453)</f>
        <v>100.00000000000001</v>
      </c>
      <c r="DZ454" s="81">
        <f t="shared" si="1582"/>
        <v>4.4408920985006262E-14</v>
      </c>
      <c r="EA454" s="75">
        <f>SUM(EA447:EA453)</f>
        <v>100</v>
      </c>
      <c r="EB454" s="81">
        <f t="shared" si="1583"/>
        <v>-1.1102230246251565E-14</v>
      </c>
      <c r="EC454" s="75">
        <f>SUM(EC447:EC453)</f>
        <v>100.00000000000003</v>
      </c>
      <c r="ED454" s="81">
        <f t="shared" si="1585"/>
        <v>2.2204460492503131E-14</v>
      </c>
      <c r="EE454" s="75">
        <f>SUM(EE447:EE453)</f>
        <v>100</v>
      </c>
      <c r="EF454" s="81">
        <f t="shared" si="1586"/>
        <v>0</v>
      </c>
      <c r="EG454" s="75">
        <f>SUM(EG447:EG453)</f>
        <v>100</v>
      </c>
      <c r="EH454" s="81">
        <f t="shared" si="1588"/>
        <v>-1.1102230246251565E-14</v>
      </c>
      <c r="EI454" s="75">
        <f>SUM(EI447:EI453)</f>
        <v>94.770716009654066</v>
      </c>
      <c r="EJ454" s="81">
        <f t="shared" si="1589"/>
        <v>-5.2292839903459338</v>
      </c>
      <c r="EK454" s="75">
        <f t="shared" ref="EK454:EQ454" si="1694">SUM(EK447:EK453)</f>
        <v>100</v>
      </c>
      <c r="EL454" s="81">
        <f t="shared" si="1591"/>
        <v>-3.3306690738754696E-14</v>
      </c>
      <c r="EM454" s="75">
        <f t="shared" si="1694"/>
        <v>100</v>
      </c>
      <c r="EN454" s="81">
        <f t="shared" si="1593"/>
        <v>0</v>
      </c>
      <c r="EO454" s="75">
        <f t="shared" si="1694"/>
        <v>99.999999999999986</v>
      </c>
      <c r="EP454" s="81">
        <f t="shared" si="1595"/>
        <v>-1.1102230246251565E-14</v>
      </c>
      <c r="EQ454" s="75">
        <f t="shared" si="1694"/>
        <v>100.00000000000001</v>
      </c>
      <c r="ER454" s="81">
        <f t="shared" si="1597"/>
        <v>5.5178268251273366</v>
      </c>
      <c r="ES454" s="129"/>
      <c r="ET454" s="465"/>
      <c r="EU454" s="129"/>
      <c r="EV454" s="75"/>
      <c r="EW454" s="79"/>
      <c r="EX454" s="75"/>
      <c r="EY454" s="79"/>
      <c r="EZ454" s="75"/>
      <c r="FA454" s="79"/>
      <c r="FB454" s="75">
        <f>SUM(FB447:FB453)</f>
        <v>100</v>
      </c>
      <c r="FC454" s="79" t="str">
        <f t="shared" si="1599"/>
        <v>NA</v>
      </c>
      <c r="FD454" s="75">
        <f>SUM(FD447:FD453)</f>
        <v>99.999999999999986</v>
      </c>
      <c r="FE454" s="79">
        <f t="shared" si="1601"/>
        <v>-1.1102230246251565E-14</v>
      </c>
      <c r="FF454" s="75">
        <f>SUM(FF447:FF453)</f>
        <v>100.00000000000013</v>
      </c>
      <c r="FG454" s="79">
        <f t="shared" si="1603"/>
        <v>1.3322676295501878E-13</v>
      </c>
      <c r="FH454" s="75">
        <f>SUM(FH447:FH453)</f>
        <v>99.999999999999943</v>
      </c>
      <c r="FI454" s="79">
        <f t="shared" si="1605"/>
        <v>-1.8873791418627661E-13</v>
      </c>
      <c r="FJ454" s="75">
        <f>SUM(FJ447:FJ453)</f>
        <v>97.81673918607629</v>
      </c>
      <c r="FK454" s="79">
        <f t="shared" si="1605"/>
        <v>-2.1832608139236487</v>
      </c>
      <c r="FL454" s="75">
        <f>SUM(FL447:FL453)</f>
        <v>98.167511048830448</v>
      </c>
      <c r="FM454" s="79">
        <f t="shared" si="1605"/>
        <v>0.35860105915705986</v>
      </c>
      <c r="FN454" s="75">
        <f>SUM(FN447:FN453)</f>
        <v>100.98215048253482</v>
      </c>
      <c r="FO454" s="79">
        <f t="shared" si="1605"/>
        <v>2.8671801939689656</v>
      </c>
      <c r="FP454" s="75">
        <f>SUM(FP447:FP453)</f>
        <v>98.550275215132956</v>
      </c>
      <c r="FQ454" s="79">
        <f t="shared" si="1605"/>
        <v>-2.4082228946218254</v>
      </c>
      <c r="FR454" s="75">
        <f>SUM(FR447:FR453)</f>
        <v>100.00000000000001</v>
      </c>
      <c r="FS454" s="79">
        <f t="shared" si="1605"/>
        <v>1.4710509754562784</v>
      </c>
      <c r="FT454" s="75">
        <f>SUM(FT447:FT453)</f>
        <v>100.00000000000001</v>
      </c>
      <c r="FU454" s="79">
        <f t="shared" si="1605"/>
        <v>0</v>
      </c>
      <c r="FV454" s="75">
        <f>SUM(FV447:FV453)</f>
        <v>354.95811942718206</v>
      </c>
      <c r="FW454" s="79" t="str">
        <f t="shared" si="1605"/>
        <v>NM</v>
      </c>
      <c r="FX454" s="75">
        <f>SUM(FX447:FX453)</f>
        <v>100.00000000000004</v>
      </c>
      <c r="FY454" s="79" t="str">
        <f t="shared" si="1605"/>
        <v>NM</v>
      </c>
      <c r="FZ454" s="75">
        <f>SUM(FZ447:FZ453)</f>
        <v>100.92287938367706</v>
      </c>
      <c r="GA454" s="79">
        <f t="shared" si="1605"/>
        <v>0.92287938367701106</v>
      </c>
      <c r="GB454" s="75">
        <f>SUM(GB447:GB453)</f>
        <v>219.66358284272496</v>
      </c>
      <c r="GC454" s="79" t="str">
        <f t="shared" si="1605"/>
        <v>NM</v>
      </c>
      <c r="GD454" s="75">
        <f>SUM(GD447:GD453)</f>
        <v>100</v>
      </c>
      <c r="GE454" s="79" t="str">
        <f t="shared" si="1605"/>
        <v>NM</v>
      </c>
      <c r="GF454" s="75">
        <f>SUM(GF447:GF453)</f>
        <v>100.00000000000001</v>
      </c>
      <c r="GG454" s="79">
        <f t="shared" si="1605"/>
        <v>2.2204460492503131E-14</v>
      </c>
      <c r="GH454" s="75">
        <f>SUM(GH447:GH453)</f>
        <v>98.629366697125192</v>
      </c>
      <c r="GI454" s="79">
        <f t="shared" si="1605"/>
        <v>-1.3706333028748241</v>
      </c>
      <c r="GJ454" s="75">
        <f>SUM(GJ447:GJ453)</f>
        <v>99.999999999999972</v>
      </c>
      <c r="GK454" s="79">
        <f t="shared" si="1605"/>
        <v>1.3896807297605118</v>
      </c>
      <c r="GL454" s="75">
        <f>SUM(GL447:GL453)</f>
        <v>100.00000000000001</v>
      </c>
      <c r="GM454" s="79">
        <f t="shared" si="1605"/>
        <v>4.4408920985006262E-14</v>
      </c>
      <c r="GN454" s="75">
        <f>SUM(GN447:GN453)</f>
        <v>99.999999999999972</v>
      </c>
      <c r="GO454" s="79">
        <f t="shared" si="1605"/>
        <v>-4.4408920985006262E-14</v>
      </c>
      <c r="GP454" s="75">
        <f>SUM(GP447:GP453)</f>
        <v>99.999999999999986</v>
      </c>
      <c r="GQ454" s="79">
        <f t="shared" si="1605"/>
        <v>2.2204460492503131E-14</v>
      </c>
      <c r="GR454" s="75">
        <f>SUM(GR447:GR453)</f>
        <v>99.999999999999986</v>
      </c>
      <c r="GS454" s="79">
        <f t="shared" si="1622"/>
        <v>0</v>
      </c>
      <c r="GT454" s="79">
        <f t="shared" si="1623"/>
        <v>0.27640393401302532</v>
      </c>
    </row>
    <row r="455" spans="1:286" ht="12.75" customHeight="1" x14ac:dyDescent="0.2">
      <c r="A455" s="1"/>
      <c r="B455" s="2"/>
      <c r="C455" s="79"/>
      <c r="D455" s="79"/>
      <c r="E455" s="82"/>
      <c r="F455" s="82"/>
      <c r="G455" s="82"/>
      <c r="H455" s="82"/>
      <c r="I455" s="82"/>
      <c r="J455" s="82"/>
      <c r="K455" s="82"/>
      <c r="L455" s="79"/>
      <c r="M455" s="82"/>
      <c r="N455" s="79"/>
      <c r="O455" s="82"/>
      <c r="P455" s="79"/>
      <c r="Q455" s="82"/>
      <c r="R455" s="79"/>
      <c r="S455" s="82"/>
      <c r="T455" s="79"/>
      <c r="U455" s="82"/>
      <c r="V455" s="79"/>
      <c r="W455" s="82"/>
      <c r="X455" s="79"/>
      <c r="Y455" s="82"/>
      <c r="Z455" s="79"/>
      <c r="AA455" s="130"/>
      <c r="AB455" s="79"/>
      <c r="AC455" s="82"/>
      <c r="AD455" s="79"/>
      <c r="AE455" s="82"/>
      <c r="AF455" s="79"/>
      <c r="AG455" s="82"/>
      <c r="AH455" s="79"/>
      <c r="AI455" s="82"/>
      <c r="AJ455" s="79"/>
      <c r="AK455" s="82"/>
      <c r="AL455" s="79"/>
      <c r="AM455" s="82"/>
      <c r="AN455" s="79"/>
      <c r="AO455" s="82"/>
      <c r="AP455" s="79"/>
      <c r="AQ455" s="82"/>
      <c r="AR455" s="79"/>
      <c r="AS455" s="82"/>
      <c r="AT455" s="81"/>
      <c r="AU455" s="82"/>
      <c r="AV455" s="81"/>
      <c r="AW455" s="82"/>
      <c r="AX455" s="81"/>
      <c r="AY455" s="82"/>
      <c r="AZ455" s="81"/>
      <c r="BA455" s="82"/>
      <c r="BB455" s="81"/>
      <c r="BC455" s="82"/>
      <c r="BD455" s="81"/>
      <c r="BE455" s="82"/>
      <c r="BF455" s="81"/>
      <c r="BG455" s="82"/>
      <c r="BH455" s="81"/>
      <c r="BI455" s="82"/>
      <c r="BJ455" s="81"/>
      <c r="BK455" s="82"/>
      <c r="BL455" s="81"/>
      <c r="BM455" s="82"/>
      <c r="BN455" s="81"/>
      <c r="BO455" s="82"/>
      <c r="BP455" s="81"/>
      <c r="BQ455" s="82"/>
      <c r="BR455" s="81"/>
      <c r="BS455" s="82"/>
      <c r="BT455" s="81"/>
      <c r="BU455" s="82"/>
      <c r="BV455" s="81"/>
      <c r="BW455" s="82"/>
      <c r="BX455" s="81"/>
      <c r="BY455" s="82"/>
      <c r="BZ455" s="81"/>
      <c r="CA455" s="82"/>
      <c r="CB455" s="81"/>
      <c r="CC455" s="82"/>
      <c r="CD455" s="81"/>
      <c r="CE455" s="82"/>
      <c r="CF455" s="81"/>
      <c r="CG455" s="82"/>
      <c r="CH455" s="81"/>
      <c r="CI455" s="82"/>
      <c r="CJ455" s="81"/>
      <c r="CK455" s="82"/>
      <c r="CL455" s="81"/>
      <c r="CM455" s="82"/>
      <c r="CN455" s="81"/>
      <c r="CO455" s="82"/>
      <c r="CP455" s="81"/>
      <c r="CQ455" s="82"/>
      <c r="CR455" s="81"/>
      <c r="CS455" s="82"/>
      <c r="CT455" s="81"/>
      <c r="CU455" s="82"/>
      <c r="CV455" s="81"/>
      <c r="CW455" s="82"/>
      <c r="CX455" s="81"/>
      <c r="CY455" s="82"/>
      <c r="CZ455" s="81"/>
      <c r="DA455" s="82"/>
      <c r="DB455" s="81"/>
      <c r="DC455" s="82"/>
      <c r="DD455" s="81"/>
      <c r="DE455" s="82"/>
      <c r="DF455" s="81"/>
      <c r="DG455" s="82"/>
      <c r="DH455" s="81"/>
      <c r="DI455" s="82"/>
      <c r="DJ455" s="81"/>
      <c r="DK455" s="82"/>
      <c r="DL455" s="81"/>
      <c r="DM455" s="82"/>
      <c r="DN455" s="81"/>
      <c r="DO455" s="82"/>
      <c r="DP455" s="81"/>
      <c r="DQ455" s="82"/>
      <c r="DR455" s="81"/>
      <c r="DS455" s="82"/>
      <c r="DT455" s="81"/>
      <c r="DU455" s="82"/>
      <c r="DV455" s="81"/>
      <c r="DW455" s="82"/>
      <c r="DX455" s="81"/>
      <c r="DY455" s="82"/>
      <c r="DZ455" s="81"/>
      <c r="EA455" s="82"/>
      <c r="EB455" s="81"/>
      <c r="EC455" s="82"/>
      <c r="ED455" s="81"/>
      <c r="EE455" s="82"/>
      <c r="EF455" s="81"/>
      <c r="EG455" s="82"/>
      <c r="EH455" s="81"/>
      <c r="EI455" s="82"/>
      <c r="EJ455" s="81"/>
      <c r="EK455" s="82"/>
      <c r="EL455" s="81"/>
      <c r="EM455" s="82"/>
      <c r="EN455" s="81"/>
      <c r="EO455" s="82"/>
      <c r="EP455" s="81"/>
      <c r="EQ455" s="82"/>
      <c r="ER455" s="81"/>
      <c r="ES455" s="82"/>
      <c r="ET455" s="469"/>
      <c r="EU455" s="82"/>
      <c r="EV455" s="82"/>
      <c r="EW455" s="79"/>
      <c r="EX455" s="82"/>
      <c r="EY455" s="79"/>
      <c r="EZ455" s="82"/>
      <c r="FA455" s="79"/>
      <c r="FB455" s="82"/>
      <c r="FC455" s="79"/>
      <c r="FD455" s="82"/>
      <c r="FE455" s="79"/>
      <c r="FF455" s="82"/>
      <c r="FG455" s="79"/>
      <c r="FH455" s="82"/>
      <c r="FI455" s="79"/>
      <c r="FJ455" s="82"/>
      <c r="FK455" s="79"/>
      <c r="FL455" s="82"/>
      <c r="FM455" s="79"/>
      <c r="FN455" s="82"/>
      <c r="FO455" s="79"/>
      <c r="FP455" s="82"/>
      <c r="FQ455" s="79"/>
      <c r="FR455" s="82"/>
      <c r="FS455" s="79"/>
      <c r="FT455" s="82"/>
      <c r="FU455" s="79"/>
      <c r="FV455" s="82"/>
      <c r="FW455" s="79"/>
      <c r="FX455" s="82"/>
      <c r="FY455" s="79"/>
      <c r="FZ455" s="82"/>
      <c r="GA455" s="79"/>
      <c r="GB455" s="82"/>
      <c r="GC455" s="79"/>
      <c r="GD455" s="82"/>
      <c r="GE455" s="79"/>
      <c r="GF455" s="82"/>
      <c r="GG455" s="79"/>
      <c r="GH455" s="82"/>
      <c r="GI455" s="79"/>
      <c r="GJ455" s="82"/>
      <c r="GK455" s="79"/>
      <c r="GL455" s="82"/>
      <c r="GM455" s="79"/>
      <c r="GN455" s="82"/>
      <c r="GO455" s="79"/>
      <c r="GP455" s="82"/>
      <c r="GQ455" s="79"/>
      <c r="GR455" s="82"/>
      <c r="GS455" s="79"/>
      <c r="GT455" s="79"/>
    </row>
    <row r="456" spans="1:286" s="589" customFormat="1" ht="12.75" customHeight="1" collapsed="1" x14ac:dyDescent="0.2">
      <c r="A456" s="581"/>
      <c r="B456" s="582" t="s">
        <v>515</v>
      </c>
      <c r="C456" s="583"/>
      <c r="D456" s="583"/>
      <c r="E456" s="584"/>
      <c r="F456" s="584"/>
      <c r="G456" s="584"/>
      <c r="H456" s="584"/>
      <c r="I456" s="584"/>
      <c r="J456" s="584"/>
      <c r="K456" s="584"/>
      <c r="L456" s="584"/>
      <c r="M456" s="584"/>
      <c r="N456" s="585"/>
      <c r="O456" s="584"/>
      <c r="P456" s="583"/>
      <c r="Q456" s="584"/>
      <c r="R456" s="583"/>
      <c r="S456" s="584"/>
      <c r="T456" s="583"/>
      <c r="U456" s="584"/>
      <c r="V456" s="583"/>
      <c r="W456" s="584"/>
      <c r="X456" s="583"/>
      <c r="Y456" s="584"/>
      <c r="Z456" s="583"/>
      <c r="AA456" s="586"/>
      <c r="AB456" s="583"/>
      <c r="AC456" s="584"/>
      <c r="AD456" s="583"/>
      <c r="AE456" s="586"/>
      <c r="AF456" s="583"/>
      <c r="AG456" s="586"/>
      <c r="AH456" s="583"/>
      <c r="AI456" s="586"/>
      <c r="AJ456" s="583"/>
      <c r="AK456" s="586"/>
      <c r="AL456" s="583"/>
      <c r="AM456" s="586"/>
      <c r="AN456" s="583"/>
      <c r="AO456" s="586"/>
      <c r="AP456" s="583"/>
      <c r="AQ456" s="586"/>
      <c r="AR456" s="583"/>
      <c r="AS456" s="586"/>
      <c r="AT456" s="587"/>
      <c r="AU456" s="586"/>
      <c r="AV456" s="587"/>
      <c r="AW456" s="586"/>
      <c r="AX456" s="587"/>
      <c r="AY456" s="586"/>
      <c r="AZ456" s="587"/>
      <c r="BA456" s="586"/>
      <c r="BB456" s="587"/>
      <c r="BC456" s="586"/>
      <c r="BD456" s="587"/>
      <c r="BE456" s="586"/>
      <c r="BF456" s="587"/>
      <c r="BG456" s="586"/>
      <c r="BH456" s="587"/>
      <c r="BI456" s="586"/>
      <c r="BJ456" s="587"/>
      <c r="BK456" s="586"/>
      <c r="BL456" s="587"/>
      <c r="BM456" s="586"/>
      <c r="BN456" s="587"/>
      <c r="BO456" s="586"/>
      <c r="BP456" s="587"/>
      <c r="BQ456" s="586"/>
      <c r="BR456" s="587"/>
      <c r="BS456" s="586"/>
      <c r="BT456" s="587"/>
      <c r="BU456" s="586"/>
      <c r="BV456" s="587"/>
      <c r="BW456" s="586"/>
      <c r="BX456" s="587"/>
      <c r="BY456" s="586"/>
      <c r="BZ456" s="587"/>
      <c r="CA456" s="586"/>
      <c r="CB456" s="587"/>
      <c r="CC456" s="586"/>
      <c r="CD456" s="587"/>
      <c r="CE456" s="586"/>
      <c r="CF456" s="587"/>
      <c r="CG456" s="586"/>
      <c r="CH456" s="587"/>
      <c r="CI456" s="586"/>
      <c r="CJ456" s="587"/>
      <c r="CK456" s="586"/>
      <c r="CL456" s="587"/>
      <c r="CM456" s="586"/>
      <c r="CN456" s="587"/>
      <c r="CO456" s="586"/>
      <c r="CP456" s="587"/>
      <c r="CQ456" s="586"/>
      <c r="CR456" s="587"/>
      <c r="CS456" s="586"/>
      <c r="CT456" s="587"/>
      <c r="CU456" s="586"/>
      <c r="CV456" s="587"/>
      <c r="CW456" s="586"/>
      <c r="CX456" s="587"/>
      <c r="CY456" s="586"/>
      <c r="CZ456" s="587"/>
      <c r="DA456" s="586"/>
      <c r="DB456" s="587"/>
      <c r="DC456" s="586"/>
      <c r="DD456" s="587"/>
      <c r="DE456" s="586"/>
      <c r="DF456" s="587"/>
      <c r="DG456" s="586"/>
      <c r="DH456" s="587"/>
      <c r="DI456" s="586"/>
      <c r="DJ456" s="587"/>
      <c r="DK456" s="586"/>
      <c r="DL456" s="587"/>
      <c r="DM456" s="586"/>
      <c r="DN456" s="587"/>
      <c r="DO456" s="586"/>
      <c r="DP456" s="587"/>
      <c r="DQ456" s="586"/>
      <c r="DR456" s="587"/>
      <c r="DS456" s="586"/>
      <c r="DT456" s="587"/>
      <c r="DU456" s="586"/>
      <c r="DV456" s="587"/>
      <c r="DW456" s="586"/>
      <c r="DX456" s="587"/>
      <c r="DY456" s="586"/>
      <c r="DZ456" s="587"/>
      <c r="EA456" s="586"/>
      <c r="EB456" s="587"/>
      <c r="EC456" s="586"/>
      <c r="ED456" s="587"/>
      <c r="EE456" s="586"/>
      <c r="EF456" s="587"/>
      <c r="EG456" s="586"/>
      <c r="EH456" s="587"/>
      <c r="EI456" s="586"/>
      <c r="EJ456" s="587"/>
      <c r="EK456" s="586"/>
      <c r="EL456" s="587"/>
      <c r="EM456" s="586"/>
      <c r="EN456" s="587"/>
      <c r="EO456" s="586"/>
      <c r="EP456" s="587"/>
      <c r="EQ456" s="586"/>
      <c r="ER456" s="587"/>
      <c r="ES456" s="584"/>
      <c r="ET456" s="588"/>
      <c r="EU456" s="584"/>
      <c r="EV456" s="584"/>
      <c r="EW456" s="583"/>
      <c r="EX456" s="584"/>
      <c r="EY456" s="583"/>
      <c r="EZ456" s="584"/>
      <c r="FA456" s="583"/>
      <c r="FB456" s="584"/>
      <c r="FC456" s="583"/>
      <c r="FD456" s="584"/>
      <c r="FE456" s="583"/>
      <c r="FF456" s="584"/>
      <c r="FG456" s="583"/>
      <c r="FH456" s="584"/>
      <c r="FI456" s="583"/>
      <c r="FJ456" s="584"/>
      <c r="FK456" s="583"/>
      <c r="FL456" s="584"/>
      <c r="FM456" s="583"/>
      <c r="FN456" s="584"/>
      <c r="FO456" s="583"/>
      <c r="FP456" s="584"/>
      <c r="FQ456" s="583"/>
      <c r="FR456" s="584"/>
      <c r="FS456" s="583"/>
      <c r="FT456" s="584"/>
      <c r="FU456" s="583"/>
      <c r="FV456" s="584"/>
      <c r="FW456" s="583"/>
      <c r="FX456" s="584"/>
      <c r="FY456" s="583"/>
      <c r="FZ456" s="584"/>
      <c r="GA456" s="583"/>
      <c r="GB456" s="584"/>
      <c r="GC456" s="583"/>
      <c r="GD456" s="584"/>
      <c r="GE456" s="583"/>
      <c r="GF456" s="584"/>
      <c r="GG456" s="583"/>
      <c r="GH456" s="584"/>
      <c r="GI456" s="583"/>
      <c r="GJ456" s="584"/>
      <c r="GK456" s="583"/>
      <c r="GL456" s="584"/>
      <c r="GM456" s="583"/>
      <c r="GN456" s="584"/>
      <c r="GO456" s="583"/>
      <c r="GP456" s="584"/>
      <c r="GQ456" s="583"/>
      <c r="GR456" s="584"/>
      <c r="GS456" s="583"/>
      <c r="GT456" s="583"/>
      <c r="GU456" s="562"/>
      <c r="GV456" s="562"/>
      <c r="GW456"/>
      <c r="GX456"/>
      <c r="GY456"/>
      <c r="GZ456"/>
      <c r="HA456"/>
      <c r="HB456"/>
      <c r="HC456" s="562"/>
      <c r="HD456" s="562"/>
      <c r="HE456" s="562"/>
      <c r="HF456" s="562"/>
      <c r="HG456" s="562"/>
      <c r="HH456" s="562"/>
      <c r="HI456" s="562"/>
      <c r="HJ456" s="562"/>
      <c r="HK456" s="562"/>
      <c r="HL456" s="562"/>
      <c r="HM456" s="562"/>
      <c r="HN456" s="562"/>
      <c r="HO456" s="562"/>
      <c r="HP456" s="562"/>
      <c r="HQ456" s="562"/>
      <c r="HR456" s="562"/>
      <c r="HS456" s="562"/>
      <c r="HT456" s="562"/>
      <c r="HU456" s="562"/>
      <c r="HV456" s="562"/>
      <c r="HW456" s="562"/>
      <c r="HX456" s="562"/>
      <c r="HY456" s="562"/>
      <c r="HZ456" s="562"/>
      <c r="IA456" s="562"/>
      <c r="IB456" s="562"/>
      <c r="IC456" s="562"/>
      <c r="ID456" s="562"/>
      <c r="IE456" s="562"/>
      <c r="IF456" s="562"/>
      <c r="IG456" s="562"/>
      <c r="IH456" s="562"/>
      <c r="II456" s="562"/>
      <c r="IJ456" s="562"/>
      <c r="IK456" s="562"/>
      <c r="IL456" s="562"/>
      <c r="IM456" s="562"/>
      <c r="IN456" s="562"/>
      <c r="IO456" s="562"/>
      <c r="IP456" s="562"/>
      <c r="IQ456" s="562"/>
      <c r="IR456" s="562"/>
      <c r="IS456" s="562"/>
      <c r="IT456" s="562"/>
      <c r="IU456" s="562"/>
      <c r="IV456" s="562"/>
      <c r="IW456" s="562"/>
      <c r="IX456" s="562"/>
      <c r="IY456" s="562"/>
      <c r="IZ456" s="562"/>
      <c r="JA456" s="562"/>
      <c r="JB456" s="562"/>
      <c r="JC456" s="562"/>
      <c r="JD456" s="562"/>
      <c r="JE456" s="562"/>
      <c r="JF456" s="562"/>
      <c r="JG456" s="562"/>
      <c r="JH456" s="562"/>
      <c r="JI456" s="562"/>
      <c r="JJ456" s="562"/>
      <c r="JK456" s="562"/>
      <c r="JL456" s="562"/>
      <c r="JM456" s="562"/>
      <c r="JN456" s="562"/>
      <c r="JO456" s="562"/>
      <c r="JP456" s="562"/>
      <c r="JQ456" s="562"/>
      <c r="JR456" s="562"/>
      <c r="JS456" s="562"/>
      <c r="JT456" s="562"/>
      <c r="JU456" s="562"/>
      <c r="JV456" s="562"/>
      <c r="JW456" s="562"/>
      <c r="JX456" s="562"/>
      <c r="JY456" s="562"/>
      <c r="JZ456" s="562"/>
    </row>
    <row r="457" spans="1:286" ht="12.75" customHeight="1" x14ac:dyDescent="0.2">
      <c r="A457" s="1"/>
      <c r="B457" s="326"/>
      <c r="C457" s="79"/>
      <c r="D457" s="79"/>
      <c r="E457" s="327"/>
      <c r="F457" s="327"/>
      <c r="G457" s="327"/>
      <c r="H457" s="327"/>
      <c r="I457" s="327"/>
      <c r="J457" s="327"/>
      <c r="K457" s="327"/>
      <c r="L457" s="79"/>
      <c r="M457" s="327"/>
      <c r="N457" s="79"/>
      <c r="O457" s="327"/>
      <c r="P457" s="79"/>
      <c r="Q457" s="327"/>
      <c r="R457" s="79"/>
      <c r="S457" s="327"/>
      <c r="T457" s="79"/>
      <c r="U457" s="327"/>
      <c r="V457" s="79"/>
      <c r="W457" s="327"/>
      <c r="X457" s="79"/>
      <c r="Y457" s="327"/>
      <c r="Z457" s="79"/>
      <c r="AA457" s="66"/>
      <c r="AB457" s="79"/>
      <c r="AC457" s="327"/>
      <c r="AD457" s="79"/>
      <c r="AE457" s="327"/>
      <c r="AF457" s="79"/>
      <c r="AG457" s="327"/>
      <c r="AH457" s="79"/>
      <c r="AI457" s="327"/>
      <c r="AJ457" s="79"/>
      <c r="AK457" s="327"/>
      <c r="AL457" s="79"/>
      <c r="AM457" s="327"/>
      <c r="AN457" s="79"/>
      <c r="AO457" s="327"/>
      <c r="AP457" s="79"/>
      <c r="AQ457" s="327"/>
      <c r="AR457" s="79"/>
      <c r="AS457" s="327"/>
      <c r="AT457" s="81"/>
      <c r="AU457" s="327"/>
      <c r="AV457" s="81"/>
      <c r="AW457" s="327"/>
      <c r="AX457" s="81"/>
      <c r="AY457" s="327"/>
      <c r="AZ457" s="81"/>
      <c r="BA457" s="327"/>
      <c r="BB457" s="81"/>
      <c r="BC457" s="327"/>
      <c r="BD457" s="81"/>
      <c r="BE457" s="327"/>
      <c r="BF457" s="81"/>
      <c r="BG457" s="327"/>
      <c r="BH457" s="81"/>
      <c r="BI457" s="327"/>
      <c r="BJ457" s="81"/>
      <c r="BK457" s="327"/>
      <c r="BL457" s="81"/>
      <c r="BM457" s="327"/>
      <c r="BN457" s="81"/>
      <c r="BO457" s="327"/>
      <c r="BP457" s="81"/>
      <c r="BQ457" s="327"/>
      <c r="BR457" s="81"/>
      <c r="BS457" s="327"/>
      <c r="BT457" s="81"/>
      <c r="BU457" s="327"/>
      <c r="BV457" s="81"/>
      <c r="BW457" s="327"/>
      <c r="BX457" s="81"/>
      <c r="BY457" s="327"/>
      <c r="BZ457" s="81"/>
      <c r="CA457" s="327"/>
      <c r="CB457" s="81"/>
      <c r="CC457" s="327"/>
      <c r="CD457" s="81"/>
      <c r="CE457" s="327"/>
      <c r="CF457" s="81"/>
      <c r="CG457" s="327"/>
      <c r="CH457" s="81"/>
      <c r="CI457" s="327"/>
      <c r="CJ457" s="81"/>
      <c r="CK457" s="327"/>
      <c r="CL457" s="81"/>
      <c r="CM457" s="327"/>
      <c r="CN457" s="81"/>
      <c r="CO457" s="327"/>
      <c r="CP457" s="81"/>
      <c r="CQ457" s="327"/>
      <c r="CR457" s="81"/>
      <c r="CS457" s="327"/>
      <c r="CT457" s="81"/>
      <c r="CU457" s="327"/>
      <c r="CV457" s="81"/>
      <c r="CW457" s="327"/>
      <c r="CX457" s="81"/>
      <c r="CY457" s="327"/>
      <c r="CZ457" s="81"/>
      <c r="DA457" s="327"/>
      <c r="DB457" s="81"/>
      <c r="DC457" s="327"/>
      <c r="DD457" s="81"/>
      <c r="DE457" s="327"/>
      <c r="DF457" s="81"/>
      <c r="DG457" s="327"/>
      <c r="DH457" s="81"/>
      <c r="DI457" s="327"/>
      <c r="DJ457" s="81"/>
      <c r="DK457" s="327"/>
      <c r="DL457" s="81"/>
      <c r="DM457" s="327"/>
      <c r="DN457" s="81"/>
      <c r="DO457" s="327"/>
      <c r="DP457" s="81"/>
      <c r="DQ457" s="327"/>
      <c r="DR457" s="81"/>
      <c r="DS457" s="327"/>
      <c r="DT457" s="81"/>
      <c r="DU457" s="327"/>
      <c r="DV457" s="81"/>
      <c r="DW457" s="327"/>
      <c r="DX457" s="81"/>
      <c r="DY457" s="327"/>
      <c r="DZ457" s="81"/>
      <c r="EA457" s="327"/>
      <c r="EB457" s="81"/>
      <c r="EC457" s="327"/>
      <c r="ED457" s="81"/>
      <c r="EE457" s="327"/>
      <c r="EF457" s="81"/>
      <c r="EG457" s="327"/>
      <c r="EH457" s="81"/>
      <c r="EI457" s="327"/>
      <c r="EJ457" s="81"/>
      <c r="EK457" s="327"/>
      <c r="EL457" s="81"/>
      <c r="EM457" s="327"/>
      <c r="EN457" s="81"/>
      <c r="EO457" s="327"/>
      <c r="EP457" s="81"/>
      <c r="EQ457" s="327"/>
      <c r="ER457" s="81"/>
      <c r="ES457" s="327"/>
      <c r="ET457" s="490"/>
      <c r="EU457" s="327"/>
      <c r="EV457" s="327"/>
      <c r="EW457" s="79"/>
      <c r="EX457" s="327"/>
      <c r="EY457" s="79"/>
      <c r="EZ457" s="327"/>
      <c r="FA457" s="79"/>
      <c r="FB457" s="327"/>
      <c r="FC457" s="79"/>
      <c r="FD457" s="327"/>
      <c r="FE457" s="79"/>
      <c r="FF457" s="327"/>
      <c r="FG457" s="79"/>
      <c r="FH457" s="327"/>
      <c r="FI457" s="79"/>
      <c r="FJ457" s="327"/>
      <c r="FK457" s="79"/>
      <c r="FL457" s="327"/>
      <c r="FM457" s="79"/>
      <c r="FN457" s="327"/>
      <c r="FO457" s="79"/>
      <c r="FP457" s="327"/>
      <c r="FQ457" s="79"/>
      <c r="FR457" s="327"/>
      <c r="FS457" s="79"/>
      <c r="FT457" s="327"/>
      <c r="FU457" s="79"/>
      <c r="FV457" s="327"/>
      <c r="FW457" s="79"/>
      <c r="FX457" s="327"/>
      <c r="FY457" s="79"/>
      <c r="FZ457" s="327"/>
      <c r="GA457" s="79"/>
      <c r="GB457" s="327"/>
      <c r="GC457" s="79"/>
      <c r="GD457" s="327"/>
      <c r="GE457" s="79"/>
      <c r="GF457" s="327"/>
      <c r="GG457" s="79"/>
      <c r="GH457" s="327"/>
      <c r="GI457" s="79"/>
      <c r="GJ457" s="327"/>
      <c r="GK457" s="79"/>
      <c r="GL457" s="327"/>
      <c r="GM457" s="79"/>
      <c r="GN457" s="327"/>
      <c r="GO457" s="79"/>
      <c r="GP457" s="327"/>
      <c r="GQ457" s="79"/>
      <c r="GR457" s="327"/>
      <c r="GS457" s="79"/>
      <c r="GT457" s="79"/>
    </row>
    <row r="458" spans="1:286" ht="12.75" customHeight="1" x14ac:dyDescent="0.2">
      <c r="A458" s="1"/>
      <c r="B458" s="237" t="s">
        <v>197</v>
      </c>
      <c r="C458" s="79"/>
      <c r="D458" s="79"/>
      <c r="E458" s="327"/>
      <c r="F458" s="327"/>
      <c r="G458" s="246"/>
      <c r="H458" s="246"/>
      <c r="I458" s="246"/>
      <c r="J458" s="246"/>
      <c r="K458" s="246"/>
      <c r="L458" s="79"/>
      <c r="M458" s="327"/>
      <c r="N458" s="79"/>
      <c r="O458" s="327"/>
      <c r="P458" s="79"/>
      <c r="Q458" s="246"/>
      <c r="R458" s="79"/>
      <c r="S458" s="246"/>
      <c r="T458" s="79"/>
      <c r="U458" s="327"/>
      <c r="V458" s="79"/>
      <c r="W458" s="327"/>
      <c r="X458" s="79"/>
      <c r="Y458" s="246"/>
      <c r="Z458" s="79"/>
      <c r="AA458" s="66"/>
      <c r="AB458" s="79"/>
      <c r="AC458" s="327"/>
      <c r="AD458" s="79"/>
      <c r="AE458" s="327"/>
      <c r="AF458" s="79"/>
      <c r="AG458" s="246"/>
      <c r="AH458" s="79"/>
      <c r="AI458" s="246"/>
      <c r="AJ458" s="79"/>
      <c r="AK458" s="246"/>
      <c r="AL458" s="79"/>
      <c r="AM458" s="246"/>
      <c r="AN458" s="79"/>
      <c r="AO458" s="246"/>
      <c r="AP458" s="79"/>
      <c r="AQ458" s="246"/>
      <c r="AR458" s="79"/>
      <c r="AS458" s="246"/>
      <c r="AT458" s="81"/>
      <c r="AU458" s="246"/>
      <c r="AV458" s="81"/>
      <c r="AW458" s="246"/>
      <c r="AX458" s="81"/>
      <c r="AY458" s="246"/>
      <c r="AZ458" s="81"/>
      <c r="BA458" s="246"/>
      <c r="BB458" s="81"/>
      <c r="BC458" s="246"/>
      <c r="BD458" s="81"/>
      <c r="BE458" s="246"/>
      <c r="BF458" s="81"/>
      <c r="BG458" s="246"/>
      <c r="BH458" s="81"/>
      <c r="BI458" s="246"/>
      <c r="BJ458" s="81"/>
      <c r="BK458" s="246"/>
      <c r="BL458" s="81"/>
      <c r="BM458" s="246"/>
      <c r="BN458" s="81"/>
      <c r="BO458" s="246"/>
      <c r="BP458" s="81"/>
      <c r="BQ458" s="246"/>
      <c r="BR458" s="81"/>
      <c r="BS458" s="246"/>
      <c r="BT458" s="81"/>
      <c r="BU458" s="246"/>
      <c r="BV458" s="81"/>
      <c r="BW458" s="246"/>
      <c r="BX458" s="81"/>
      <c r="BY458" s="246"/>
      <c r="BZ458" s="81"/>
      <c r="CA458" s="246"/>
      <c r="CB458" s="81"/>
      <c r="CC458" s="246"/>
      <c r="CD458" s="81"/>
      <c r="CE458" s="246"/>
      <c r="CF458" s="81"/>
      <c r="CG458" s="246"/>
      <c r="CH458" s="81"/>
      <c r="CI458" s="246"/>
      <c r="CJ458" s="81"/>
      <c r="CK458" s="246"/>
      <c r="CL458" s="81"/>
      <c r="CM458" s="246"/>
      <c r="CN458" s="81"/>
      <c r="CO458" s="246"/>
      <c r="CP458" s="81"/>
      <c r="CQ458" s="246"/>
      <c r="CR458" s="81"/>
      <c r="CS458" s="246"/>
      <c r="CT458" s="81"/>
      <c r="CU458" s="246"/>
      <c r="CV458" s="81"/>
      <c r="CW458" s="246"/>
      <c r="CX458" s="81"/>
      <c r="CY458" s="246"/>
      <c r="CZ458" s="81"/>
      <c r="DA458" s="246"/>
      <c r="DB458" s="81"/>
      <c r="DC458" s="246"/>
      <c r="DD458" s="81"/>
      <c r="DE458" s="246"/>
      <c r="DF458" s="81"/>
      <c r="DG458" s="246"/>
      <c r="DH458" s="81"/>
      <c r="DI458" s="246"/>
      <c r="DJ458" s="81"/>
      <c r="DK458" s="246"/>
      <c r="DL458" s="81"/>
      <c r="DM458" s="246"/>
      <c r="DN458" s="81"/>
      <c r="DO458" s="246"/>
      <c r="DP458" s="81"/>
      <c r="DQ458" s="246"/>
      <c r="DR458" s="81"/>
      <c r="DS458" s="246"/>
      <c r="DT458" s="81"/>
      <c r="DU458" s="246"/>
      <c r="DV458" s="81"/>
      <c r="DW458" s="246"/>
      <c r="DX458" s="81"/>
      <c r="DY458" s="246"/>
      <c r="DZ458" s="81"/>
      <c r="EA458" s="246"/>
      <c r="EB458" s="81"/>
      <c r="EC458" s="246"/>
      <c r="ED458" s="81"/>
      <c r="EE458" s="246"/>
      <c r="EF458" s="81"/>
      <c r="EG458" s="1028"/>
      <c r="EH458" s="81"/>
      <c r="EI458" s="1028"/>
      <c r="EJ458" s="81"/>
      <c r="EK458" s="246"/>
      <c r="EL458" s="81"/>
      <c r="EM458" s="246"/>
      <c r="EN458" s="81"/>
      <c r="EO458" s="246"/>
      <c r="EP458" s="81"/>
      <c r="EQ458" s="246"/>
      <c r="ER458" s="81"/>
      <c r="ES458" s="328"/>
      <c r="ET458" s="490"/>
      <c r="EU458" s="328"/>
      <c r="EV458" s="327"/>
      <c r="EW458" s="79"/>
      <c r="EX458" s="327"/>
      <c r="EY458" s="79"/>
      <c r="EZ458" s="327"/>
      <c r="FA458" s="79"/>
      <c r="FB458" s="327"/>
      <c r="FC458" s="79"/>
      <c r="FD458" s="327"/>
      <c r="FE458" s="79"/>
      <c r="FF458" s="327"/>
      <c r="FG458" s="79"/>
      <c r="FH458" s="327"/>
      <c r="FI458" s="79"/>
      <c r="FJ458" s="327"/>
      <c r="FK458" s="79"/>
      <c r="FL458" s="327"/>
      <c r="FM458" s="79"/>
      <c r="FN458" s="327"/>
      <c r="FO458" s="79"/>
      <c r="FP458" s="327"/>
      <c r="FQ458" s="79"/>
      <c r="FR458" s="246"/>
      <c r="FS458" s="79"/>
      <c r="FT458" s="246"/>
      <c r="FU458" s="79"/>
      <c r="FV458" s="246"/>
      <c r="FW458" s="79"/>
      <c r="FX458" s="246"/>
      <c r="FY458" s="79"/>
      <c r="FZ458" s="246"/>
      <c r="GA458" s="79"/>
      <c r="GB458" s="246"/>
      <c r="GC458" s="79"/>
      <c r="GD458" s="246"/>
      <c r="GE458" s="79"/>
      <c r="GF458" s="246"/>
      <c r="GG458" s="79"/>
      <c r="GH458" s="246"/>
      <c r="GI458" s="79"/>
      <c r="GJ458" s="246"/>
      <c r="GK458" s="79"/>
      <c r="GL458" s="246"/>
      <c r="GM458" s="79"/>
      <c r="GN458" s="246"/>
      <c r="GO458" s="79"/>
      <c r="GP458" s="246"/>
      <c r="GQ458" s="79"/>
      <c r="GR458" s="246"/>
      <c r="GS458" s="79"/>
      <c r="GT458" s="79"/>
    </row>
    <row r="459" spans="1:286" ht="12.75" customHeight="1" x14ac:dyDescent="0.2">
      <c r="A459" s="1" t="s">
        <v>264</v>
      </c>
      <c r="B459" s="2" t="s">
        <v>198</v>
      </c>
      <c r="C459" s="79"/>
      <c r="D459" s="79"/>
      <c r="E459" s="329">
        <v>0.14749999999999999</v>
      </c>
      <c r="F459" s="329"/>
      <c r="G459" s="329">
        <v>0.14749999999999999</v>
      </c>
      <c r="H459" s="329"/>
      <c r="I459" s="329">
        <v>0.14749999999999999</v>
      </c>
      <c r="J459" s="329"/>
      <c r="K459" s="329">
        <v>0.14749999999999999</v>
      </c>
      <c r="L459" s="79"/>
      <c r="M459" s="329">
        <v>0.14749999999999999</v>
      </c>
      <c r="N459" s="79">
        <f>IF(ISERROR((M459/E459-1)*100),"NA",IF(((M459/E459-1)*100)&gt;100,"NM",IF(((M459/E459-1)*100)&lt;-50,"NM",(M459/E459-1)*100)))</f>
        <v>0</v>
      </c>
      <c r="O459" s="329">
        <v>0.14749999999999999</v>
      </c>
      <c r="P459" s="79">
        <f>IF(ISERROR((O459/G459-1)*100),"NA",IF(((O459/G459-1)*100)&gt;100,"NM",IF(((O459/G459-1)*100)&lt;-50,"NM",(O459/G459-1)*100)))</f>
        <v>0</v>
      </c>
      <c r="Q459" s="329">
        <v>0.14749999999999999</v>
      </c>
      <c r="R459" s="79">
        <f>IF(ISERROR((Q459/I459-1)*100),"NA",IF(((Q459/I459-1)*100)&gt;100,"NM",IF(((Q459/I459-1)*100)&lt;-50,"NM",(Q459/I459-1)*100)))</f>
        <v>0</v>
      </c>
      <c r="S459" s="329">
        <v>0.14749999999999999</v>
      </c>
      <c r="T459" s="79">
        <f>IF(ISERROR((S459/K459-1)*100),"NA",IF(((S459/K459-1)*100)&gt;100,"NM",IF(((S459/K459-1)*100)&lt;-50,"NM",(S459/K459-1)*100)))</f>
        <v>0</v>
      </c>
      <c r="U459" s="329">
        <v>7.4999999999999997E-2</v>
      </c>
      <c r="V459" s="79">
        <f>IF(ISERROR((U459/M459-1)*100),"NA",IF(((U459/M459-1)*100)&gt;100,"NM",IF(((U459/M459-1)*100)&lt;-50,"NM",(U459/M459-1)*100)))</f>
        <v>-49.152542372881356</v>
      </c>
      <c r="W459" s="329">
        <v>7.4999999999999997E-2</v>
      </c>
      <c r="X459" s="79">
        <f>IF(ISERROR((W459/O459-1)*100),"NA",IF(((W459/O459-1)*100)&gt;100,"NM",IF(((W459/O459-1)*100)&lt;-50,"NM",(W459/O459-1)*100)))</f>
        <v>-49.152542372881356</v>
      </c>
      <c r="Y459" s="329">
        <v>7.4999999999999997E-2</v>
      </c>
      <c r="Z459" s="79">
        <f>IF(ISERROR((Y459/Q459-1)*100),"NA",IF(((Y459/Q459-1)*100)&gt;100,"NM",IF(((Y459/Q459-1)*100)&lt;-50,"NM",(Y459/Q459-1)*100)))</f>
        <v>-49.152542372881356</v>
      </c>
      <c r="AA459" s="17">
        <v>7.4999999999999997E-2</v>
      </c>
      <c r="AB459" s="79">
        <f>IF(ISERROR((AA459/S459-1)*100),"NA",IF(((AA459/S459-1)*100)&gt;100,"NM",IF(((AA459/S459-1)*100)&lt;-50,"NM",(AA459/S459-1)*100)))</f>
        <v>-49.152542372881356</v>
      </c>
      <c r="AC459" s="329">
        <v>7.4999999999999997E-2</v>
      </c>
      <c r="AD459" s="79">
        <f>IF(ISERROR((AC459/U459-1)*100),"NA",IF(((AC459/U459-1)*100)&gt;100,"NM",IF(((AC459/U459-1)*100)&lt;-50,"NM",(AC459/U459-1)*100)))</f>
        <v>0</v>
      </c>
      <c r="AE459" s="329">
        <v>7.4999999999999997E-2</v>
      </c>
      <c r="AF459" s="79">
        <f>IF(ISERROR((AE459/W459-1)*100),"NA",IF(((AE459/W459-1)*100)&gt;100,"NM",IF(((AE459/W459-1)*100)&lt;-50,"NM",(AE459/W459-1)*100)))</f>
        <v>0</v>
      </c>
      <c r="AG459" s="329">
        <v>7.4999999999999997E-2</v>
      </c>
      <c r="AH459" s="79">
        <f>IF(ISERROR((AG459/Y459-1)*100),"NA",IF(((AG459/Y459-1)*100)&gt;100,"NM",IF(((AG459/Y459-1)*100)&lt;-50,"NM",(AG459/Y459-1)*100)))</f>
        <v>0</v>
      </c>
      <c r="AI459" s="329">
        <v>7.4999999999999997E-2</v>
      </c>
      <c r="AJ459" s="79">
        <f>IF(ISERROR((AI459/AA459-1)*100),"NA",IF(((AI459/AA459-1)*100)&gt;100,"NM",IF(((AI459/AA459-1)*100)&lt;-50,"NM",(AI459/AA459-1)*100)))</f>
        <v>0</v>
      </c>
      <c r="AK459" s="329">
        <v>7.4999999999999997E-2</v>
      </c>
      <c r="AL459" s="79">
        <f>IF(ISERROR((AK459/AC459-1)*100),"NA",IF(((AK459/AC459-1)*100)&gt;100,"NM",IF(((AK459/AC459-1)*100)&lt;-50,"NM",(AK459/AC459-1)*100)))</f>
        <v>0</v>
      </c>
      <c r="AM459" s="329">
        <v>7.4999999999999997E-2</v>
      </c>
      <c r="AN459" s="79">
        <f>IF(ISERROR((AM459/AE459-1)*100),"NA",IF(((AM459/AE459-1)*100)&gt;100,"NM",IF(((AM459/AE459-1)*100)&lt;-50,"NM",(AM459/AE459-1)*100)))</f>
        <v>0</v>
      </c>
      <c r="AO459" s="329">
        <v>7.4999999999999997E-2</v>
      </c>
      <c r="AP459" s="79">
        <f>IF(ISERROR((AO459/AG459-1)*100),"NA",IF(((AO459/AG459-1)*100)&gt;100,"NM",IF(((AO459/AG459-1)*100)&lt;-50,"NM",(AO459/AG459-1)*100)))</f>
        <v>0</v>
      </c>
      <c r="AQ459" s="329">
        <v>7.4999999999999997E-2</v>
      </c>
      <c r="AR459" s="79">
        <f>IF(ISERROR((AQ459/AI459-1)*100),"NA",IF(((AQ459/AI459-1)*100)&gt;100,"NM",IF(((AQ459/AI459-1)*100)&lt;-50,"NM",(AQ459/AI459-1)*100)))</f>
        <v>0</v>
      </c>
      <c r="AS459" s="329">
        <v>7.4999999999999997E-2</v>
      </c>
      <c r="AT459" s="81">
        <f>IF(ISERROR((AS459/AK459-1)*100),"NA",IF(((AS459/AK459-1)*100)&gt;100,"NM",IF(((AS459/AK459-1)*100)&lt;-50,"NM",(AS459/AK459-1)*100)))</f>
        <v>0</v>
      </c>
      <c r="AU459" s="329">
        <v>7.4999999999999997E-2</v>
      </c>
      <c r="AV459" s="81">
        <f>IF(ISERROR((AU459/AM459-1)*100),"NA",IF(((AU459/AM459-1)*100)&gt;100,"NM",IF(((AU459/AM459-1)*100)&lt;-50,"NM",(AU459/AM459-1)*100)))</f>
        <v>0</v>
      </c>
      <c r="AW459" s="329">
        <v>7.4999999999999997E-2</v>
      </c>
      <c r="AX459" s="81">
        <f>IF(ISERROR((AW459/AO459-1)*100),"NA",IF(((AW459/AO459-1)*100)&gt;100,"NM",IF(((AW459/AO459-1)*100)&lt;-50,"NM",(AW459/AO459-1)*100)))</f>
        <v>0</v>
      </c>
      <c r="AY459" s="329">
        <v>7.4999999999999997E-2</v>
      </c>
      <c r="AZ459" s="81">
        <f>IF(ISERROR((AY459/AQ459-1)*100),"NA",IF(((AY459/AQ459-1)*100)&gt;100,"NM",IF(((AY459/AQ459-1)*100)&lt;-50,"NM",(AY459/AQ459-1)*100)))</f>
        <v>0</v>
      </c>
      <c r="BA459" s="329">
        <v>7.4999999999999997E-2</v>
      </c>
      <c r="BB459" s="81">
        <f>IF(ISERROR((BA459/AS459-1)*100),"NA",IF(((BA459/AS459-1)*100)&gt;100,"NM",IF(((BA459/AS459-1)*100)&lt;-50,"NM",(BA459/AS459-1)*100)))</f>
        <v>0</v>
      </c>
      <c r="BC459" s="329">
        <v>7.4999999999999997E-2</v>
      </c>
      <c r="BD459" s="81">
        <f>IF(ISERROR((BC459/AU459-1)*100),"NA",IF(((BC459/AU459-1)*100)&gt;100,"NM",IF(((BC459/AU459-1)*100)&lt;-50,"NM",(BC459/AU459-1)*100)))</f>
        <v>0</v>
      </c>
      <c r="BE459" s="329">
        <v>7.4999999999999997E-2</v>
      </c>
      <c r="BF459" s="81">
        <f>IF(ISERROR((BE459/AW459-1)*100),"NA",IF(((BE459/AW459-1)*100)&gt;100,"NM",IF(((BE459/AW459-1)*100)&lt;-50,"NM",(BE459/AW459-1)*100)))</f>
        <v>0</v>
      </c>
      <c r="BG459" s="329">
        <v>7.4999999999999997E-2</v>
      </c>
      <c r="BH459" s="81">
        <f>IF(ISERROR((BG459/AY459-1)*100),"NA",IF(((BG459/AY459-1)*100)&gt;100,"NM",IF(((BG459/AY459-1)*100)&lt;-50,"NM",(BG459/AY459-1)*100)))</f>
        <v>0</v>
      </c>
      <c r="BI459" s="329">
        <v>7.4999999999999997E-2</v>
      </c>
      <c r="BJ459" s="81">
        <f>IF(ISERROR((BI459/BA459-1)*100),"NA",IF(((BI459/BA459-1)*100)&gt;100,"NM",IF(((BI459/BA459-1)*100)&lt;-50,"NM",(BI459/BA459-1)*100)))</f>
        <v>0</v>
      </c>
      <c r="BK459" s="329">
        <v>7.4999999999999997E-2</v>
      </c>
      <c r="BL459" s="81">
        <f>IF(ISERROR((BK459/BC459-1)*100),"NA",IF(((BK459/BC459-1)*100)&gt;100,"NM",IF(((BK459/BC459-1)*100)&lt;-50,"NM",(BK459/BC459-1)*100)))</f>
        <v>0</v>
      </c>
      <c r="BM459" s="329">
        <v>7.4999999999999997E-2</v>
      </c>
      <c r="BN459" s="81">
        <f>IF(ISERROR((BM459/BE459-1)*100),"NA",IF(((BM459/BE459-1)*100)&gt;100,"NM",IF(((BM459/BE459-1)*100)&lt;-50,"NM",(BM459/BE459-1)*100)))</f>
        <v>0</v>
      </c>
      <c r="BO459" s="329">
        <v>7.4999999999999997E-2</v>
      </c>
      <c r="BP459" s="81">
        <f>IF(ISERROR((BO459/BG459-1)*100),"NA",IF(((BO459/BG459-1)*100)&gt;100,"NM",IF(((BO459/BG459-1)*100)&lt;-50,"NM",(BO459/BG459-1)*100)))</f>
        <v>0</v>
      </c>
      <c r="BQ459" s="329">
        <v>7.4999999999999997E-2</v>
      </c>
      <c r="BR459" s="81">
        <f>IF(ISERROR((BQ459/BI459-1)*100),"NA",IF(((BQ459/BI459-1)*100)&gt;100,"NM",IF(((BQ459/BI459-1)*100)&lt;-50,"NM",(BQ459/BI459-1)*100)))</f>
        <v>0</v>
      </c>
      <c r="BS459" s="329">
        <v>7.4999999999999997E-2</v>
      </c>
      <c r="BT459" s="81">
        <f>IF(ISERROR((BS459/BK459-1)*100),"NA",IF(((BS459/BK459-1)*100)&gt;100,"NM",IF(((BS459/BK459-1)*100)&lt;-50,"NM",(BS459/BK459-1)*100)))</f>
        <v>0</v>
      </c>
      <c r="BU459" s="329">
        <v>8.2500000000000004E-2</v>
      </c>
      <c r="BV459" s="81">
        <f>IF(ISERROR((BU459/BM459-1)*100),"NA",IF(((BU459/BM459-1)*100)&gt;100,"NM",IF(((BU459/BM459-1)*100)&lt;-50,"NM",(BU459/BM459-1)*100)))</f>
        <v>10.000000000000009</v>
      </c>
      <c r="BW459" s="329">
        <v>8.2500000000000004E-2</v>
      </c>
      <c r="BX459" s="81">
        <f>IF(ISERROR((BW459/BO459-1)*100),"NA",IF(((BW459/BO459-1)*100)&gt;100,"NM",IF(((BW459/BO459-1)*100)&lt;-50,"NM",(BW459/BO459-1)*100)))</f>
        <v>10.000000000000009</v>
      </c>
      <c r="BY459" s="329">
        <v>8.2500000000000004E-2</v>
      </c>
      <c r="BZ459" s="81">
        <f>IF(ISERROR((BY459/BQ459-1)*100),"NA",IF(((BY459/BQ459-1)*100)&gt;100,"NM",IF(((BY459/BQ459-1)*100)&lt;-50,"NM",(BY459/BQ459-1)*100)))</f>
        <v>10.000000000000009</v>
      </c>
      <c r="CA459" s="329">
        <v>8.2500000000000004E-2</v>
      </c>
      <c r="CB459" s="81">
        <f>IF(ISERROR((CA459/BS459-1)*100),"NA",IF(((CA459/BS459-1)*100)&gt;100,"NM",IF(((CA459/BS459-1)*100)&lt;-50,"NM",(CA459/BS459-1)*100)))</f>
        <v>10.000000000000009</v>
      </c>
      <c r="CC459" s="329">
        <v>9.2499999999999999E-2</v>
      </c>
      <c r="CD459" s="81">
        <f>IF(ISERROR((CC459/BU459-1)*100),"NA",IF(((CC459/BU459-1)*100)&gt;100,"NM",IF(((CC459/BU459-1)*100)&lt;-50,"NM",(CC459/BU459-1)*100)))</f>
        <v>12.12121212121211</v>
      </c>
      <c r="CE459" s="329">
        <v>9.2499999999999999E-2</v>
      </c>
      <c r="CF459" s="81">
        <f>IF(ISERROR((CE459/BW459-1)*100),"NA",IF(((CE459/BW459-1)*100)&gt;100,"NM",IF(((CE459/BW459-1)*100)&lt;-50,"NM",(CE459/BW459-1)*100)))</f>
        <v>12.12121212121211</v>
      </c>
      <c r="CG459" s="329">
        <v>9.2499999999999999E-2</v>
      </c>
      <c r="CH459" s="81">
        <f>IF(ISERROR((CG459/BY459-1)*100),"NA",IF(((CG459/BY459-1)*100)&gt;100,"NM",IF(((CG459/BY459-1)*100)&lt;-50,"NM",(CG459/BY459-1)*100)))</f>
        <v>12.12121212121211</v>
      </c>
      <c r="CI459" s="329">
        <v>9.2499999999999999E-2</v>
      </c>
      <c r="CJ459" s="81">
        <f>IF(ISERROR((CI459/CA459-1)*100),"NA",IF(((CI459/CA459-1)*100)&gt;100,"NM",IF(((CI459/CA459-1)*100)&lt;-50,"NM",(CI459/CA459-1)*100)))</f>
        <v>12.12121212121211</v>
      </c>
      <c r="CK459" s="329">
        <v>0.105</v>
      </c>
      <c r="CL459" s="81">
        <f>IF(ISERROR((CK459/CC459-1)*100),"NA",IF(((CK459/CC459-1)*100)&gt;100,"NM",IF(((CK459/CC459-1)*100)&lt;-50,"NM",(CK459/CC459-1)*100)))</f>
        <v>13.513513513513509</v>
      </c>
      <c r="CM459" s="329">
        <v>0.105</v>
      </c>
      <c r="CN459" s="81">
        <f>IF(ISERROR((CM459/CE459-1)*100),"NA",IF(((CM459/CE459-1)*100)&gt;100,"NM",IF(((CM459/CE459-1)*100)&lt;-50,"NM",(CM459/CE459-1)*100)))</f>
        <v>13.513513513513509</v>
      </c>
      <c r="CO459" s="329">
        <v>0.105</v>
      </c>
      <c r="CP459" s="81">
        <f>IF(ISERROR((CO459/CG459-1)*100),"NA",IF(((CO459/CG459-1)*100)&gt;100,"NM",IF(((CO459/CG459-1)*100)&lt;-50,"NM",(CO459/CG459-1)*100)))</f>
        <v>13.513513513513509</v>
      </c>
      <c r="CQ459" s="329">
        <v>0.105</v>
      </c>
      <c r="CR459" s="81">
        <f>IF(ISERROR((CQ459/CI459-1)*100),"NA",IF(((CQ459/CI459-1)*100)&gt;100,"NM",IF(((CQ459/CI459-1)*100)&lt;-50,"NM",(CQ459/CI459-1)*100)))</f>
        <v>13.513513513513509</v>
      </c>
      <c r="CS459" s="329">
        <v>0.13</v>
      </c>
      <c r="CT459" s="81">
        <f>IF(ISERROR((CS459/CK459-1)*100),"NA",IF(((CS459/CK459-1)*100)&gt;100,"NM",IF(((CS459/CK459-1)*100)&lt;-50,"NM",(CS459/CK459-1)*100)))</f>
        <v>23.809523809523814</v>
      </c>
      <c r="CU459" s="329">
        <v>0.13</v>
      </c>
      <c r="CV459" s="81">
        <f>IF(ISERROR((CU459/CM459-1)*100),"NA",IF(((CU459/CM459-1)*100)&gt;100,"NM",IF(((CU459/CM459-1)*100)&lt;-50,"NM",(CU459/CM459-1)*100)))</f>
        <v>23.809523809523814</v>
      </c>
      <c r="CW459" s="329">
        <v>0.13</v>
      </c>
      <c r="CX459" s="81">
        <f>IF(ISERROR((CW459/CO459-1)*100),"NA",IF(((CW459/CO459-1)*100)&gt;100,"NM",IF(((CW459/CO459-1)*100)&lt;-50,"NM",(CW459/CO459-1)*100)))</f>
        <v>23.809523809523814</v>
      </c>
      <c r="CY459" s="329">
        <v>0.14499999999999999</v>
      </c>
      <c r="CZ459" s="81">
        <f>IF(ISERROR((CY459/CQ459-1)*100),"NA",IF(((CY459/CQ459-1)*100)&gt;100,"NM",IF(((CY459/CQ459-1)*100)&lt;-50,"NM",(CY459/CQ459-1)*100)))</f>
        <v>38.095238095238095</v>
      </c>
      <c r="DA459" s="329">
        <v>0.14499999999999999</v>
      </c>
      <c r="DB459" s="81">
        <f>IF(ISERROR((DA459/CS459-1)*100),"NA",IF(((DA459/CS459-1)*100)&gt;100,"NM",IF(((DA459/CS459-1)*100)&lt;-50,"NM",(DA459/CS459-1)*100)))</f>
        <v>11.538461538461519</v>
      </c>
      <c r="DC459" s="329">
        <v>0.14499999999999999</v>
      </c>
      <c r="DD459" s="81">
        <f>IF(ISERROR((DC459/CU459-1)*100),"NA",IF(((DC459/CU459-1)*100)&gt;100,"NM",IF(((DC459/CU459-1)*100)&lt;-50,"NM",(DC459/CU459-1)*100)))</f>
        <v>11.538461538461519</v>
      </c>
      <c r="DE459" s="329">
        <v>0.14499999999999999</v>
      </c>
      <c r="DF459" s="81">
        <f>IF(ISERROR((DE459/CW459-1)*100),"NA",IF(((DE459/CW459-1)*100)&gt;100,"NM",IF(((DE459/CW459-1)*100)&lt;-50,"NM",(DE459/CW459-1)*100)))</f>
        <v>11.538461538461519</v>
      </c>
      <c r="DG459" s="329">
        <v>0.14499999999999999</v>
      </c>
      <c r="DH459" s="81">
        <f>IF(ISERROR((DG459/CY459-1)*100),"NA",IF(((DG459/CY459-1)*100)&gt;100,"NM",IF(((DG459/CY459-1)*100)&lt;-50,"NM",(DG459/CY459-1)*100)))</f>
        <v>0</v>
      </c>
      <c r="DI459" s="329">
        <v>0.16500000000000001</v>
      </c>
      <c r="DJ459" s="81">
        <f>IF(ISERROR((DI459/DA459-1)*100),"NA",IF(((DI459/DA459-1)*100)&gt;100,"NM",IF(((DI459/DA459-1)*100)&lt;-50,"NM",(DI459/DA459-1)*100)))</f>
        <v>13.793103448275868</v>
      </c>
      <c r="DK459" s="329">
        <v>0.16500000000000001</v>
      </c>
      <c r="DL459" s="81">
        <f>IF(ISERROR((DK459/DC459-1)*100),"NA",IF(((DK459/DC459-1)*100)&gt;100,"NM",IF(((DK459/DC459-1)*100)&lt;-50,"NM",(DK459/DC459-1)*100)))</f>
        <v>13.793103448275868</v>
      </c>
      <c r="DM459" s="329">
        <v>0.16500000000000001</v>
      </c>
      <c r="DN459" s="81">
        <f>IF(ISERROR((DM459/DE459-1)*100),"NA",IF(((DM459/DE459-1)*100)&gt;100,"NM",IF(((DM459/DE459-1)*100)&lt;-50,"NM",(DM459/DE459-1)*100)))</f>
        <v>13.793103448275868</v>
      </c>
      <c r="DO459" s="329">
        <v>0.16500000000000001</v>
      </c>
      <c r="DP459" s="81">
        <f>IF(ISERROR((DO459/DG459-1)*100),"NA",IF(((DO459/DG459-1)*100)&gt;100,"NM",IF(((DO459/DG459-1)*100)&lt;-50,"NM",(DO459/DG459-1)*100)))</f>
        <v>13.793103448275868</v>
      </c>
      <c r="DQ459" s="329">
        <v>0.16500000000000001</v>
      </c>
      <c r="DR459" s="81">
        <f>IF(ISERROR((DQ459/DI459-1)*100),"NA",IF(((DQ459/DI459-1)*100)&gt;100,"NM",IF(((DQ459/DI459-1)*100)&lt;-50,"NM",(DQ459/DI459-1)*100)))</f>
        <v>0</v>
      </c>
      <c r="DS459" s="329">
        <v>0.16500000000000001</v>
      </c>
      <c r="DT459" s="81">
        <f>IF(ISERROR((DS459/DK459-1)*100),"NA",IF(((DS459/DK459-1)*100)&gt;100,"NM",IF(((DS459/DK459-1)*100)&lt;-50,"NM",(DS459/DK459-1)*100)))</f>
        <v>0</v>
      </c>
      <c r="DU459" s="329">
        <v>0.185</v>
      </c>
      <c r="DV459" s="81">
        <f>IF(ISERROR((DU459/DM459-1)*100),"NA",IF(((DU459/DM459-1)*100)&gt;100,"NM",IF(((DU459/DM459-1)*100)&lt;-50,"NM",(DU459/DM459-1)*100)))</f>
        <v>12.12121212121211</v>
      </c>
      <c r="DW459" s="329">
        <v>0.185</v>
      </c>
      <c r="DX459" s="81">
        <f>IF(ISERROR((DW459/DO459-1)*100),"NA",IF(((DW459/DO459-1)*100)&gt;100,"NM",IF(((DW459/DO459-1)*100)&lt;-50,"NM",(DW459/DO459-1)*100)))</f>
        <v>12.12121212121211</v>
      </c>
      <c r="DY459" s="329">
        <v>0.185</v>
      </c>
      <c r="DZ459" s="81">
        <f>IF(ISERROR((DY459/DQ459-1)*100),"NA",IF(((DY459/DQ459-1)*100)&gt;100,"NM",IF(((DY459/DQ459-1)*100)&lt;-50,"NM",(DY459/DQ459-1)*100)))</f>
        <v>12.12121212121211</v>
      </c>
      <c r="EA459" s="329">
        <v>0.19</v>
      </c>
      <c r="EB459" s="81">
        <f>IF(ISERROR((EA459/DS459-1)*100),"NA",IF(((EA459/DS459-1)*100)&gt;100,"NM",IF(((EA459/DS459-1)*100)&lt;-50,"NM",(EA459/DS459-1)*100)))</f>
        <v>15.151515151515138</v>
      </c>
      <c r="EC459" s="329">
        <v>0.2</v>
      </c>
      <c r="ED459" s="81">
        <f t="shared" ref="ED459:ED461" si="1695">IF(ISERROR((EC459/DU459-1)*100),"NA",IF(((EC459/DU459-1)*100)&gt;100,"NM",IF(((EC459/DU459-1)*100)&lt;-50,"NM",(EC459/DU459-1)*100)))</f>
        <v>8.1081081081081141</v>
      </c>
      <c r="EE459" s="329">
        <v>0.2</v>
      </c>
      <c r="EF459" s="81">
        <f t="shared" ref="EF459:EF461" si="1696">IF(ISERROR((EE459/DW459-1)*100),"NA",IF(((EE459/DW459-1)*100)&gt;100,"NM",IF(((EE459/DW459-1)*100)&lt;-50,"NM",(EE459/DW459-1)*100)))</f>
        <v>8.1081081081081141</v>
      </c>
      <c r="EG459" s="329">
        <v>0.23</v>
      </c>
      <c r="EH459" s="81">
        <f t="shared" ref="EH459:EH461" si="1697">IF(ISERROR((EG459/DY459-1)*100),"NA",IF(((EG459/DY459-1)*100)&gt;100,"NM",IF(((EG459/DY459-1)*100)&lt;-50,"NM",(EG459/DY459-1)*100)))</f>
        <v>24.324324324324319</v>
      </c>
      <c r="EI459" s="329">
        <v>0.23</v>
      </c>
      <c r="EJ459" s="81">
        <f t="shared" ref="EJ459:EJ461" si="1698">IF(ISERROR((EI459/EA459-1)*100),"NA",IF(((EI459/EA459-1)*100)&gt;100,"NM",IF(((EI459/EA459-1)*100)&lt;-50,"NM",(EI459/EA459-1)*100)))</f>
        <v>21.052631578947366</v>
      </c>
      <c r="EK459" s="329">
        <f t="shared" ref="EK459" si="1699">+EI459</f>
        <v>0.23</v>
      </c>
      <c r="EL459" s="81">
        <f t="shared" ref="EL459:EL461" si="1700">IF(ISERROR((EK459/EC459-1)*100),"NA",IF(((EK459/EC459-1)*100)&gt;100,"NM",IF(((EK459/EC459-1)*100)&lt;-50,"NM",(EK459/EC459-1)*100)))</f>
        <v>14.999999999999991</v>
      </c>
      <c r="EM459" s="329">
        <f t="shared" ref="EM459" si="1701">+EK459</f>
        <v>0.23</v>
      </c>
      <c r="EN459" s="81">
        <f t="shared" ref="EN459:EN461" si="1702">IF(ISERROR((EM459/EE459-1)*100),"NA",IF(((EM459/EE459-1)*100)&gt;100,"NM",IF(((EM459/EE459-1)*100)&lt;-50,"NM",(EM459/EE459-1)*100)))</f>
        <v>14.999999999999991</v>
      </c>
      <c r="EO459" s="329">
        <f>+EM459*1.15</f>
        <v>0.26450000000000001</v>
      </c>
      <c r="EP459" s="81">
        <f t="shared" ref="EP459:EP461" si="1703">IF(ISERROR((EO459/EG459-1)*100),"NA",IF(((EO459/EG459-1)*100)&gt;100,"NM",IF(((EO459/EG459-1)*100)&lt;-50,"NM",(EO459/EG459-1)*100)))</f>
        <v>14.999999999999991</v>
      </c>
      <c r="EQ459" s="329">
        <f t="shared" ref="EQ459" si="1704">+EO459</f>
        <v>0.26450000000000001</v>
      </c>
      <c r="ER459" s="81">
        <f t="shared" ref="ER459:ER461" si="1705">IF(ISERROR((EQ459/EI459-1)*100),"NA",IF(((EQ459/EI459-1)*100)&gt;100,"NM",IF(((EQ459/EI459-1)*100)&lt;-50,"NM",(EQ459/EI459-1)*100)))</f>
        <v>14.999999999999991</v>
      </c>
      <c r="ES459" s="82"/>
      <c r="ET459" s="469"/>
      <c r="EU459" s="82"/>
      <c r="EV459" s="329"/>
      <c r="EW459" s="79"/>
      <c r="EX459" s="329"/>
      <c r="EY459" s="79"/>
      <c r="EZ459" s="330"/>
      <c r="FA459" s="79"/>
      <c r="FB459" s="331">
        <f>+E459+G459+I459+K459</f>
        <v>0.59</v>
      </c>
      <c r="FC459" s="79" t="str">
        <f>IF(ISERROR((FB459/EZ459-1)*100),"NA",IF(((FB459/EZ459-1)*100)&gt;100,"NM",IF(((FB459/EZ459-1)*100)&lt;-50,"NM",(FB459/EZ459-1)*100)))</f>
        <v>NA</v>
      </c>
      <c r="FD459" s="330">
        <f>+S459+Q459+O459+M459</f>
        <v>0.59</v>
      </c>
      <c r="FE459" s="79">
        <f>IF(ISERROR((FD459/FB459-1)*100),"NA",IF(((FD459/FB459-1)*100)&gt;100,"NM",IF(((FD459/FB459-1)*100)&lt;-50,"NM",(FD459/FB459-1)*100)))</f>
        <v>0</v>
      </c>
      <c r="FF459" s="330">
        <f>+AA459+Y459+W459+U459</f>
        <v>0.3</v>
      </c>
      <c r="FG459" s="79">
        <f>IF(ISERROR((FF459/FD459-1)*100),"NA",IF(((FF459/FD459-1)*100)&gt;100,"NM",IF(((FF459/FD459-1)*100)&lt;-50,"NM",(FF459/FD459-1)*100)))</f>
        <v>-49.152542372881356</v>
      </c>
      <c r="FH459" s="330">
        <f>+AI459+AG459+AE459+AC459</f>
        <v>0.3</v>
      </c>
      <c r="FI459" s="79">
        <f>IF(ISERROR((FH459/FF459-1)*100),"NA",IF(((FH459/FF459-1)*100)&gt;100,"NM",IF(((FH459/FF459-1)*100)&lt;-50,"NM",(FH459/FF459-1)*100)))</f>
        <v>0</v>
      </c>
      <c r="FJ459" s="331">
        <f>+AQ459+AO459+AM459+AK459</f>
        <v>0.3</v>
      </c>
      <c r="FK459" s="79">
        <f>IF(ISERROR((FJ459/FH459-1)*100),"NA",IF(((FJ459/FH459-1)*100)&gt;100,"NM",IF(((FJ459/FH459-1)*100)&lt;-50,"NM",(FJ459/FH459-1)*100)))</f>
        <v>0</v>
      </c>
      <c r="FL459" s="331">
        <f>AS459+AU459+AW459+AY459</f>
        <v>0.3</v>
      </c>
      <c r="FM459" s="79">
        <f>IF(ISERROR((FL459/FJ459-1)*100),"NA",IF(((FL459/FJ459-1)*100)&gt;100,"NM",IF(((FL459/FJ459-1)*100)&lt;-50,"NM",(FL459/FJ459-1)*100)))</f>
        <v>0</v>
      </c>
      <c r="FN459" s="331">
        <f>BA459+BC459+BE459+BG459</f>
        <v>0.3</v>
      </c>
      <c r="FO459" s="79">
        <f>IF(ISERROR((FN459/FL459-1)*100),"NA",IF(((FN459/FL459-1)*100)&gt;100,"NM",IF(((FN459/FL459-1)*100)&lt;-50,"NM",(FN459/FL459-1)*100)))</f>
        <v>0</v>
      </c>
      <c r="FP459" s="331">
        <f>BI459+BK459+BM459+BO459</f>
        <v>0.3</v>
      </c>
      <c r="FQ459" s="79">
        <f>IF(ISERROR((FP459/FN459-1)*100),"NA",IF(((FP459/FN459-1)*100)&gt;100,"NM",IF(((FP459/FN459-1)*100)&lt;-50,"NM",(FP459/FN459-1)*100)))</f>
        <v>0</v>
      </c>
      <c r="FR459" s="6">
        <f>BQ459+BS459+BU459+BW459</f>
        <v>0.315</v>
      </c>
      <c r="FS459" s="79">
        <f>IF(ISERROR((FR459/FP459-1)*100),"NA",IF(((FR459/FP459-1)*100)&gt;100,"NM",IF(((FR459/FP459-1)*100)&lt;-50,"NM",(FR459/FP459-1)*100)))</f>
        <v>5.0000000000000044</v>
      </c>
      <c r="FT459" s="6">
        <f>BY459+CA459+CC459+CE459</f>
        <v>0.35</v>
      </c>
      <c r="FU459" s="79">
        <f>IF(ISERROR((FT459/FR459-1)*100),"NA",IF(((FT459/FR459-1)*100)&gt;100,"NM",IF(((FT459/FR459-1)*100)&lt;-50,"NM",(FT459/FR459-1)*100)))</f>
        <v>11.111111111111093</v>
      </c>
      <c r="FV459" s="6">
        <f>CG459+CI459+CK459+CM459</f>
        <v>0.39499999999999996</v>
      </c>
      <c r="FW459" s="79">
        <f>IF(ISERROR((FV459/FT459-1)*100),"NA",IF(((FV459/FT459-1)*100)&gt;100,"NM",IF(((FV459/FT459-1)*100)&lt;-50,"NM",(FV459/FT459-1)*100)))</f>
        <v>12.857142857142856</v>
      </c>
      <c r="FX459" s="6">
        <f>CO459+CQ459+CS459+CU459</f>
        <v>0.47</v>
      </c>
      <c r="FY459" s="79">
        <f>IF(ISERROR((FX459/FV459-1)*100),"NA",IF(((FX459/FV459-1)*100)&gt;100,"NM",IF(((FX459/FV459-1)*100)&lt;-50,"NM",(FX459/FV459-1)*100)))</f>
        <v>18.987341772151911</v>
      </c>
      <c r="FZ459" s="6">
        <f>CW459+CY459+DA459+DC459</f>
        <v>0.56500000000000006</v>
      </c>
      <c r="GA459" s="79">
        <f>IF(ISERROR((FZ459/FX459-1)*100),"NA",IF(((FZ459/FX459-1)*100)&gt;100,"NM",IF(((FZ459/FX459-1)*100)&lt;-50,"NM",(FZ459/FX459-1)*100)))</f>
        <v>20.212765957446834</v>
      </c>
      <c r="GB459" s="6">
        <f>DE459+DG459+DI459+DK459</f>
        <v>0.62</v>
      </c>
      <c r="GC459" s="79">
        <f>IF(ISERROR((GB459/FZ459-1)*100),"NA",IF(((GB459/FZ459-1)*100)&gt;100,"NM",IF(((GB459/FZ459-1)*100)&lt;-50,"NM",(GB459/FZ459-1)*100)))</f>
        <v>9.7345132743362761</v>
      </c>
      <c r="GD459" s="6">
        <f>DM459+DO459+DQ459+DS459</f>
        <v>0.66</v>
      </c>
      <c r="GE459" s="79">
        <f>IF(ISERROR((GD459/GB459-1)*100),"NA",IF(((GD459/GB459-1)*100)&gt;100,"NM",IF(((GD459/GB459-1)*100)&lt;-50,"NM",(GD459/GB459-1)*100)))</f>
        <v>6.4516129032258229</v>
      </c>
      <c r="GF459" s="6">
        <f>DU459+DW459+DY459+EA459</f>
        <v>0.74499999999999988</v>
      </c>
      <c r="GG459" s="79">
        <f>IF(ISERROR((GF459/GD459-1)*100),"NA",IF(((GF459/GD459-1)*100)&gt;100,"NM",IF(((GF459/GD459-1)*100)&lt;-50,"NM",(GF459/GD459-1)*100)))</f>
        <v>12.878787878787845</v>
      </c>
      <c r="GH459" s="6">
        <f>EC459+EE459+EG459+EI459</f>
        <v>0.86</v>
      </c>
      <c r="GI459" s="79">
        <f>IF(ISERROR((GH459/GF459-1)*100),"NA",IF(((GH459/GF459-1)*100)&gt;100,"NM",IF(((GH459/GF459-1)*100)&lt;-50,"NM",(GH459/GF459-1)*100)))</f>
        <v>15.436241610738266</v>
      </c>
      <c r="GJ459" s="6">
        <f>EK459+EM459+EO459+EQ459</f>
        <v>0.9890000000000001</v>
      </c>
      <c r="GK459" s="79">
        <f>IF(ISERROR((GJ459/GH459-1)*100),"NA",IF(((GJ459/GH459-1)*100)&gt;100,"NM",IF(((GJ459/GH459-1)*100)&lt;-50,"NM",(GJ459/GH459-1)*100)))</f>
        <v>15.000000000000014</v>
      </c>
      <c r="GL459" s="329">
        <f>GJ459*1.1</f>
        <v>1.0879000000000001</v>
      </c>
      <c r="GM459" s="79">
        <f>IF(ISERROR((GL459/GJ459-1)*100),"NA",IF(((GL459/GJ459-1)*100)&gt;100,"NM",IF(((GL459/GJ459-1)*100)&lt;-50,"NM",(GL459/GJ459-1)*100)))</f>
        <v>9.9999999999999858</v>
      </c>
      <c r="GN459" s="329">
        <f>GL459*1.1</f>
        <v>1.1966900000000003</v>
      </c>
      <c r="GO459" s="79">
        <f>IF(ISERROR((GN459/GL459-1)*100),"NA",IF(((GN459/GL459-1)*100)&gt;100,"NM",IF(((GN459/GL459-1)*100)&lt;-50,"NM",(GN459/GL459-1)*100)))</f>
        <v>10.000000000000009</v>
      </c>
      <c r="GP459" s="329">
        <f>GN459*1.1</f>
        <v>1.3163590000000003</v>
      </c>
      <c r="GQ459" s="79">
        <f>IF(ISERROR((GP459/GN459-1)*100),"NA",IF(((GP459/GN459-1)*100)&gt;100,"NM",IF(((GP459/GN459-1)*100)&lt;-50,"NM",(GP459/GN459-1)*100)))</f>
        <v>10.000000000000009</v>
      </c>
      <c r="GR459" s="329">
        <f>GP459*1.1</f>
        <v>1.4479949000000005</v>
      </c>
      <c r="GS459" s="79">
        <f>IF(ISERROR((GR459/GP459-1)*100),"NA",IF(((GR459/GP459-1)*100)&gt;100,"NM",IF(((GR459/GP459-1)*100)&lt;-50,"NM",(GR459/GP459-1)*100)))</f>
        <v>10.000000000000009</v>
      </c>
      <c r="GT459" s="79">
        <f>IF(ISERROR(((GR459/GH459)^0.2-1)*100),"NA",(IF(OR(((GR459/GH459)^0.2-1)*100&gt;99,((GR459/GH459)^0.2-1)*100&lt;-50),"NM",(((GR459/GH459)^0.2-1)*100))))</f>
        <v>10.98229879791961</v>
      </c>
    </row>
    <row r="460" spans="1:286" ht="12.75" customHeight="1" x14ac:dyDescent="0.2">
      <c r="A460" s="1" t="s">
        <v>265</v>
      </c>
      <c r="B460" s="2" t="s">
        <v>150</v>
      </c>
      <c r="C460" s="79"/>
      <c r="D460" s="79"/>
      <c r="E460" s="318">
        <f>E459/E488*100</f>
        <v>19.666666666666664</v>
      </c>
      <c r="F460" s="318"/>
      <c r="G460" s="318">
        <f>G459/G488*100</f>
        <v>24.583333333333332</v>
      </c>
      <c r="H460" s="318"/>
      <c r="I460" s="318">
        <f>I459/I488*100</f>
        <v>32.777777777777779</v>
      </c>
      <c r="J460" s="318"/>
      <c r="K460" s="318">
        <f>K459/K488*100</f>
        <v>24.180327868852459</v>
      </c>
      <c r="L460" s="79"/>
      <c r="M460" s="318">
        <f>M459/M488*100</f>
        <v>24.583333333333332</v>
      </c>
      <c r="N460" s="79">
        <f>IF(ISERROR((M460/E460-1)*100),"NA",IF(((M460/E460-1)*100)&gt;100,"NM",IF(((M460/E460-1)*100)&lt;-50,"NM",(M460/E460-1)*100)))</f>
        <v>25</v>
      </c>
      <c r="O460" s="318">
        <f>O459/O488*100</f>
        <v>24.180327868852459</v>
      </c>
      <c r="P460" s="79">
        <f>IF(ISERROR((O460/G460-1)*100),"NA",IF(((O460/G460-1)*100)&gt;100,"NM",IF(((O460/G460-1)*100)&lt;-50,"NM",(O460/G460-1)*100)))</f>
        <v>-1.6393442622950838</v>
      </c>
      <c r="Q460" s="318">
        <f>Q459/Q488*100</f>
        <v>23.79032258064516</v>
      </c>
      <c r="R460" s="79">
        <f>IF(ISERROR((Q460/I460-1)*100),"NA",IF(((Q460/I460-1)*100)&gt;100,"NM",IF(((Q460/I460-1)*100)&lt;-50,"NM",(Q460/I460-1)*100)))</f>
        <v>-27.419354838709687</v>
      </c>
      <c r="S460" s="318">
        <f>S459/S488*100</f>
        <v>23.79032258064516</v>
      </c>
      <c r="T460" s="79">
        <f>IF(ISERROR((S460/K460-1)*100),"NA",IF(((S460/K460-1)*100)&gt;100,"NM",IF(((S460/K460-1)*100)&lt;-50,"NM",(S460/K460-1)*100)))</f>
        <v>-1.6129032258064502</v>
      </c>
      <c r="U460" s="318">
        <f>U459/U488*100</f>
        <v>-9.3749999999999982</v>
      </c>
      <c r="V460" s="79" t="str">
        <f>IF(ISERROR((U460/M460-1)*100),"NA",IF(((U460/M460-1)*100)&gt;100,"NM",IF(((U460/M460-1)*100)&lt;-50,"NM",(U460/M460-1)*100)))</f>
        <v>NM</v>
      </c>
      <c r="W460" s="318">
        <f>W459/W488*100</f>
        <v>18.292682926829269</v>
      </c>
      <c r="X460" s="79">
        <f>IF(ISERROR((W460/O460-1)*100),"NA",IF(((W460/O460-1)*100)&gt;100,"NM",IF(((W460/O460-1)*100)&lt;-50,"NM",(W460/O460-1)*100)))</f>
        <v>-24.348904505994206</v>
      </c>
      <c r="Y460" s="318">
        <f>Y459/Y488*100</f>
        <v>19.736842105263158</v>
      </c>
      <c r="Z460" s="79">
        <f>IF(ISERROR((Y460/Q460-1)*100),"NA",IF(((Y460/Q460-1)*100)&gt;100,"NM",IF(((Y460/Q460-1)*100)&lt;-50,"NM",(Y460/Q460-1)*100)))</f>
        <v>-17.038358608385373</v>
      </c>
      <c r="AA460" s="252">
        <f>AA459/AA488*100</f>
        <v>-12.096774193548386</v>
      </c>
      <c r="AB460" s="79" t="str">
        <f>IF(ISERROR((AA460/S460-1)*100),"NA",IF(((AA460/S460-1)*100)&gt;100,"NM",IF(((AA460/S460-1)*100)&lt;-50,"NM",(AA460/S460-1)*100)))</f>
        <v>NM</v>
      </c>
      <c r="AC460" s="318">
        <f>AC459/AC488*100</f>
        <v>-3.7878787878787881</v>
      </c>
      <c r="AD460" s="79" t="str">
        <f>IF(ISERROR((AC460/U460-1)*100),"NA",IF(((AC460/U460-1)*100)&gt;100,"NM",IF(((AC460/U460-1)*100)&lt;-50,"NM",(AC460/U460-1)*100)))</f>
        <v>NM</v>
      </c>
      <c r="AE460" s="318">
        <f>AE459/AE488*100</f>
        <v>17.441860465116278</v>
      </c>
      <c r="AF460" s="79">
        <f>IF(ISERROR((AE460/W460-1)*100),"NA",IF(((AE460/W460-1)*100)&gt;100,"NM",IF(((AE460/W460-1)*100)&lt;-50,"NM",(AE460/W460-1)*100)))</f>
        <v>-4.6511627906976827</v>
      </c>
      <c r="AG460" s="318">
        <f>AG459/AG488*100</f>
        <v>17.857142857142858</v>
      </c>
      <c r="AH460" s="79">
        <f>IF(ISERROR((AG460/Y460-1)*100),"NA",IF(((AG460/Y460-1)*100)&gt;100,"NM",IF(((AG460/Y460-1)*100)&lt;-50,"NM",(AG460/Y460-1)*100)))</f>
        <v>-9.5238095238095237</v>
      </c>
      <c r="AI460" s="318">
        <f>AI459/AI488*100</f>
        <v>19.23076923076923</v>
      </c>
      <c r="AJ460" s="79" t="str">
        <f>IF(ISERROR((AI460/AA460-1)*100),"NA",IF(((AI460/AA460-1)*100)&gt;100,"NM",IF(((AI460/AA460-1)*100)&lt;-50,"NM",(AI460/AA460-1)*100)))</f>
        <v>NM</v>
      </c>
      <c r="AK460" s="318">
        <f>AK459/AK488*100</f>
        <v>15</v>
      </c>
      <c r="AL460" s="79" t="str">
        <f>IF(ISERROR((AK460/AC460-1)*100),"NA",IF(((AK460/AC460-1)*100)&gt;100,"NM",IF(((AK460/AC460-1)*100)&lt;-50,"NM",(AK460/AC460-1)*100)))</f>
        <v>NM</v>
      </c>
      <c r="AM460" s="318">
        <f>AM459/AM488*100</f>
        <v>17.857142857142858</v>
      </c>
      <c r="AN460" s="79">
        <f>IF(ISERROR((AM460/AE460-1)*100),"NA",IF(((AM460/AE460-1)*100)&gt;100,"NM",IF(((AM460/AE460-1)*100)&lt;-50,"NM",(AM460/AE460-1)*100)))</f>
        <v>2.3809523809523947</v>
      </c>
      <c r="AO460" s="318">
        <f>AO459/AO488*100</f>
        <v>17.441860465116278</v>
      </c>
      <c r="AP460" s="79">
        <f>IF(ISERROR((AO460/AG460-1)*100),"NA",IF(((AO460/AG460-1)*100)&gt;100,"NM",IF(((AO460/AG460-1)*100)&lt;-50,"NM",(AO460/AG460-1)*100)))</f>
        <v>-2.3255813953488413</v>
      </c>
      <c r="AQ460" s="318">
        <f>AQ459/AQ488*100</f>
        <v>17.857142857142858</v>
      </c>
      <c r="AR460" s="79">
        <f>IF(ISERROR((AQ460/AI460-1)*100),"NA",IF(((AQ460/AI460-1)*100)&gt;100,"NM",IF(((AQ460/AI460-1)*100)&lt;-50,"NM",(AQ460/AI460-1)*100)))</f>
        <v>-7.1428571428571397</v>
      </c>
      <c r="AS460" s="318">
        <f>AS459/AS488*100</f>
        <v>17.857142857142858</v>
      </c>
      <c r="AT460" s="81">
        <f>IF(ISERROR((AS460/AK460-1)*100),"NA",IF(((AS460/AK460-1)*100)&gt;100,"NM",IF(((AS460/AK460-1)*100)&lt;-50,"NM",(AS460/AK460-1)*100)))</f>
        <v>19.047619047619047</v>
      </c>
      <c r="AU460" s="318">
        <f>AU459/AU488*100</f>
        <v>17.441860465116278</v>
      </c>
      <c r="AV460" s="81">
        <f>IF(ISERROR((AU460/AM460-1)*100),"NA",IF(((AU460/AM460-1)*100)&gt;100,"NM",IF(((AU460/AM460-1)*100)&lt;-50,"NM",(AU460/AM460-1)*100)))</f>
        <v>-2.3255813953488413</v>
      </c>
      <c r="AW460" s="318">
        <f>AW459/AW488*100</f>
        <v>16.304347826086953</v>
      </c>
      <c r="AX460" s="81">
        <f>IF(ISERROR((AW460/AO460-1)*100),"NA",IF(((AW460/AO460-1)*100)&gt;100,"NM",IF(((AW460/AO460-1)*100)&lt;-50,"NM",(AW460/AO460-1)*100)))</f>
        <v>-6.5217391304348009</v>
      </c>
      <c r="AY460" s="318">
        <f>AY459/AY488*100</f>
        <v>14.423076923076922</v>
      </c>
      <c r="AZ460" s="81">
        <f>IF(ISERROR((AY460/AQ460-1)*100),"NA",IF(((AY460/AQ460-1)*100)&gt;100,"NM",IF(((AY460/AQ460-1)*100)&lt;-50,"NM",(AY460/AQ460-1)*100)))</f>
        <v>-19.230769230769241</v>
      </c>
      <c r="BA460" s="318">
        <f>BA459/BA488*100</f>
        <v>15</v>
      </c>
      <c r="BB460" s="81">
        <f>IF(ISERROR((BA460/AS460-1)*100),"NA",IF(((BA460/AS460-1)*100)&gt;100,"NM",IF(((BA460/AS460-1)*100)&lt;-50,"NM",(BA460/AS460-1)*100)))</f>
        <v>-16.000000000000004</v>
      </c>
      <c r="BC460" s="318">
        <f>BC459/BC488*100</f>
        <v>14.705882352941178</v>
      </c>
      <c r="BD460" s="81">
        <f>IF(ISERROR((BC460/AU460-1)*100),"NA",IF(((BC460/AU460-1)*100)&gt;100,"NM",IF(((BC460/AU460-1)*100)&lt;-50,"NM",(BC460/AU460-1)*100)))</f>
        <v>-15.68627450980391</v>
      </c>
      <c r="BE460" s="318">
        <f>BE459/BE488*100</f>
        <v>12.5</v>
      </c>
      <c r="BF460" s="81">
        <f>IF(ISERROR((BE460/AW460-1)*100),"NA",IF(((BE460/AW460-1)*100)&gt;100,"NM",IF(((BE460/AW460-1)*100)&lt;-50,"NM",(BE460/AW460-1)*100)))</f>
        <v>-23.333333333333318</v>
      </c>
      <c r="BG460" s="318">
        <f>BG459/BG488*100</f>
        <v>12.711864406779661</v>
      </c>
      <c r="BH460" s="81">
        <f>IF(ISERROR((BG460/AY460-1)*100),"NA",IF(((BG460/AY460-1)*100)&gt;100,"NM",IF(((BG460/AY460-1)*100)&lt;-50,"NM",(BG460/AY460-1)*100)))</f>
        <v>-11.864406779661007</v>
      </c>
      <c r="BI460" s="318">
        <f>BI459/BI488*100</f>
        <v>12.711864406779661</v>
      </c>
      <c r="BJ460" s="81">
        <f>IF(ISERROR((BI460/BA460-1)*100),"NA",IF(((BI460/BA460-1)*100)&gt;100,"NM",IF(((BI460/BA460-1)*100)&lt;-50,"NM",(BI460/BA460-1)*100)))</f>
        <v>-15.254237288135597</v>
      </c>
      <c r="BK460" s="318">
        <f>BK459/BK488*100</f>
        <v>11.538461538461538</v>
      </c>
      <c r="BL460" s="81">
        <f>IF(ISERROR((BK460/BC460-1)*100),"NA",IF(((BK460/BC460-1)*100)&gt;100,"NM",IF(((BK460/BC460-1)*100)&lt;-50,"NM",(BK460/BC460-1)*100)))</f>
        <v>-21.53846153846154</v>
      </c>
      <c r="BM460" s="318">
        <f>BM459/BM488*100</f>
        <v>11.71875</v>
      </c>
      <c r="BN460" s="81">
        <f>IF(ISERROR((BM460/BE460-1)*100),"NA",IF(((BM460/BE460-1)*100)&gt;100,"NM",IF(((BM460/BE460-1)*100)&lt;-50,"NM",(BM460/BE460-1)*100)))</f>
        <v>-6.25</v>
      </c>
      <c r="BO460" s="318">
        <f>BO459/BO488*100</f>
        <v>11.904761904761903</v>
      </c>
      <c r="BP460" s="81">
        <f>IF(ISERROR((BO460/BG460-1)*100),"NA",IF(((BO460/BG460-1)*100)&gt;100,"NM",IF(((BO460/BG460-1)*100)&lt;-50,"NM",(BO460/BG460-1)*100)))</f>
        <v>-6.3492063492063604</v>
      </c>
      <c r="BQ460" s="318">
        <f>BQ459/BQ488*100</f>
        <v>12.096774193548386</v>
      </c>
      <c r="BR460" s="81">
        <f>IF(ISERROR((BQ460/BI460-1)*100),"NA",IF(((BQ460/BI460-1)*100)&gt;100,"NM",IF(((BQ460/BI460-1)*100)&lt;-50,"NM",(BQ460/BI460-1)*100)))</f>
        <v>-4.8387096774193612</v>
      </c>
      <c r="BS460" s="318">
        <f>BS459/BS488*100</f>
        <v>11.538461538461538</v>
      </c>
      <c r="BT460" s="81">
        <f>IF(ISERROR((BS460/BK460-1)*100),"NA",IF(((BS460/BK460-1)*100)&gt;100,"NM",IF(((BS460/BK460-1)*100)&lt;-50,"NM",(BS460/BK460-1)*100)))</f>
        <v>0</v>
      </c>
      <c r="BU460" s="318">
        <f>BU459/BU488*100</f>
        <v>12.890625</v>
      </c>
      <c r="BV460" s="81">
        <f>IF(ISERROR((BU460/BM460-1)*100),"NA",IF(((BU460/BM460-1)*100)&gt;100,"NM",IF(((BU460/BM460-1)*100)&lt;-50,"NM",(BU460/BM460-1)*100)))</f>
        <v>10.000000000000009</v>
      </c>
      <c r="BW460" s="318">
        <f>BW459/BW488*100</f>
        <v>12.5</v>
      </c>
      <c r="BX460" s="81">
        <f>IF(ISERROR((BW460/BO460-1)*100),"NA",IF(((BW460/BO460-1)*100)&gt;100,"NM",IF(((BW460/BO460-1)*100)&lt;-50,"NM",(BW460/BO460-1)*100)))</f>
        <v>5.0000000000000044</v>
      </c>
      <c r="BY460" s="318">
        <f>BY459/BY488*100</f>
        <v>12.142889854368931</v>
      </c>
      <c r="BZ460" s="81">
        <f>IF(ISERROR((BY460/BQ460-1)*100),"NA",IF(((BY460/BQ460-1)*100)&gt;100,"NM",IF(((BY460/BQ460-1)*100)&lt;-50,"NM",(BY460/BQ460-1)*100)))</f>
        <v>0.38122279611649823</v>
      </c>
      <c r="CA460" s="318">
        <f>CA459/CA488*100</f>
        <v>11.818878677419356</v>
      </c>
      <c r="CB460" s="81">
        <f>IF(ISERROR((CA460/BS460-1)*100),"NA",IF(((CA460/BS460-1)*100)&gt;100,"NM",IF(((CA460/BS460-1)*100)&lt;-50,"NM",(CA460/BS460-1)*100)))</f>
        <v>2.4302818709677432</v>
      </c>
      <c r="CC460" s="318">
        <f>CC459/CC488*100</f>
        <v>13.440750403045223</v>
      </c>
      <c r="CD460" s="81">
        <f>IF(ISERROR((CC460/BU460-1)*100),"NA",IF(((CC460/BU460-1)*100)&gt;100,"NM",IF(((CC460/BU460-1)*100)&lt;-50,"NM",(CC460/BU460-1)*100)))</f>
        <v>4.2676394902902093</v>
      </c>
      <c r="CE460" s="318">
        <f>CE459/CE488*100</f>
        <v>13.875563801224661</v>
      </c>
      <c r="CF460" s="81">
        <f>IF(ISERROR((CE460/BW460-1)*100),"NA",IF(((CE460/BW460-1)*100)&gt;100,"NM",IF(((CE460/BW460-1)*100)&lt;-50,"NM",(CE460/BW460-1)*100)))</f>
        <v>11.004510409797286</v>
      </c>
      <c r="CG460" s="318">
        <f>CG459/CG488*100</f>
        <v>13.270533693518949</v>
      </c>
      <c r="CH460" s="81">
        <f>IF(ISERROR((CG460/BY460-1)*100),"NA",IF(((CG460/BY460-1)*100)&gt;100,"NM",IF(((CG460/BY460-1)*100)&lt;-50,"NM",(CG460/BY460-1)*100)))</f>
        <v>9.2864536586758195</v>
      </c>
      <c r="CI460" s="318">
        <f>CI459/CI488*100</f>
        <v>12.100218795744674</v>
      </c>
      <c r="CJ460" s="81">
        <f>IF(ISERROR((CI460/CA460-1)*100),"NA",IF(((CI460/CA460-1)*100)&gt;100,"NM",IF(((CI460/CA460-1)*100)&lt;-50,"NM",(CI460/CA460-1)*100)))</f>
        <v>2.3804298699066528</v>
      </c>
      <c r="CK460" s="318">
        <f>CK459/CK488*100</f>
        <v>14.080302330793366</v>
      </c>
      <c r="CL460" s="81">
        <f>IF(ISERROR((CK460/CC460-1)*100),"NA",IF(((CK460/CC460-1)*100)&gt;100,"NM",IF(((CK460/CC460-1)*100)&lt;-50,"NM",(CK460/CC460-1)*100)))</f>
        <v>4.7583052178637342</v>
      </c>
      <c r="CM460" s="318">
        <f>CM459/CM488*100</f>
        <v>-8.6118733970707826</v>
      </c>
      <c r="CN460" s="81" t="str">
        <f>IF(ISERROR((CM460/CE460-1)*100),"NA",IF(((CM460/CE460-1)*100)&gt;100,"NM",IF(((CM460/CE460-1)*100)&lt;-50,"NM",(CM460/CE460-1)*100)))</f>
        <v>NM</v>
      </c>
      <c r="CO460" s="318">
        <f>CO459/CO488*100</f>
        <v>14.34560214821764</v>
      </c>
      <c r="CP460" s="81">
        <f>IF(ISERROR((CO460/CG460-1)*100),"NA",IF(((CO460/CG460-1)*100)&gt;100,"NM",IF(((CO460/CG460-1)*100)&lt;-50,"NM",(CO460/CG460-1)*100)))</f>
        <v>8.1011697006860608</v>
      </c>
      <c r="CQ460" s="318">
        <f>CQ459/CQ488*100</f>
        <v>13.223598029294278</v>
      </c>
      <c r="CR460" s="81">
        <f>IF(ISERROR((CQ460/CI460-1)*100),"NA",IF(((CQ460/CI460-1)*100)&gt;100,"NM",IF(((CQ460/CI460-1)*100)&lt;-50,"NM",(CQ460/CI460-1)*100)))</f>
        <v>9.2839580218555096</v>
      </c>
      <c r="CS460" s="318">
        <f>CS459/CS488*100</f>
        <v>16.16358708482143</v>
      </c>
      <c r="CT460" s="81">
        <f>IF(ISERROR((CS460/CK460-1)*100),"NA",IF(((CS460/CK460-1)*100)&gt;100,"NM",IF(((CS460/CK460-1)*100)&lt;-50,"NM",(CS460/CK460-1)*100)))</f>
        <v>14.79573879228402</v>
      </c>
      <c r="CU460" s="318">
        <f>CU459/CU488*100</f>
        <v>15.808000000000005</v>
      </c>
      <c r="CV460" s="81" t="str">
        <f>IF(ISERROR((CU460/CM460-1)*100),"NA",IF(((CU460/CM460-1)*100)&gt;100,"NM",IF(((CU460/CM460-1)*100)&lt;-50,"NM",(CU460/CM460-1)*100)))</f>
        <v>NM</v>
      </c>
      <c r="CW460" s="318">
        <f>CW459/CW488*100</f>
        <v>16.523775905030554</v>
      </c>
      <c r="CX460" s="81">
        <f>IF(ISERROR((CW460/CO460-1)*100),"NA",IF(((CW460/CO460-1)*100)&gt;100,"NM",IF(((CW460/CO460-1)*100)&lt;-50,"NM",(CW460/CO460-1)*100)))</f>
        <v>15.183564512023917</v>
      </c>
      <c r="CY460" s="318">
        <f>CY459/CY488*100</f>
        <v>17.914202774432614</v>
      </c>
      <c r="CZ460" s="81">
        <f>IF(ISERROR((CY460/CQ460-1)*100),"NA",IF(((CY460/CQ460-1)*100)&gt;100,"NM",IF(((CY460/CQ460-1)*100)&lt;-50,"NM",(CY460/CQ460-1)*100)))</f>
        <v>35.471471037967305</v>
      </c>
      <c r="DA460" s="318">
        <f>DA459/DA488*100</f>
        <v>17.291383810920575</v>
      </c>
      <c r="DB460" s="81">
        <f>IF(ISERROR((DA460/CS460-1)*100),"NA",IF(((DA460/CS460-1)*100)&gt;100,"NM",IF(((DA460/CS460-1)*100)&lt;-50,"NM",(DA460/CS460-1)*100)))</f>
        <v>6.9773913437705559</v>
      </c>
      <c r="DC460" s="318">
        <f>DC459/DC488*100</f>
        <v>17.768082127858147</v>
      </c>
      <c r="DD460" s="81">
        <f>IF(ISERROR((DC460/CU460-1)*100),"NA",IF(((DC460/CU460-1)*100)&gt;100,"NM",IF(((DC460/CU460-1)*100)&lt;-50,"NM",(DC460/CU460-1)*100)))</f>
        <v>12.399304958616785</v>
      </c>
      <c r="DE460" s="318">
        <f>DE459/DE488*100</f>
        <v>16.981805929919155</v>
      </c>
      <c r="DF460" s="81">
        <f>IF(ISERROR((DE460/CW460-1)*100),"NA",IF(((DE460/CW460-1)*100)&gt;100,"NM",IF(((DE460/CW460-1)*100)&lt;-50,"NM",(DE460/CW460-1)*100)))</f>
        <v>2.7719452715959214</v>
      </c>
      <c r="DG460" s="318">
        <f>DG459/DG488*100</f>
        <v>16.898102123813825</v>
      </c>
      <c r="DH460" s="81">
        <f>IF(ISERROR((DG460/CY460-1)*100),"NA",IF(((DG460/CY460-1)*100)&gt;100,"NM",IF(((DG460/CY460-1)*100)&lt;-50,"NM",(DG460/CY460-1)*100)))</f>
        <v>-5.6720394617224112</v>
      </c>
      <c r="DI460" s="318">
        <f>DI459/DI488*100</f>
        <v>19.188498402555908</v>
      </c>
      <c r="DJ460" s="81">
        <f>IF(ISERROR((DI460/DA460-1)*100),"NA",IF(((DI460/DA460-1)*100)&gt;100,"NM",IF(((DI460/DA460-1)*100)&lt;-50,"NM",(DI460/DA460-1)*100)))</f>
        <v>10.971444578294465</v>
      </c>
      <c r="DK460" s="318">
        <f>DK459/DK488*100</f>
        <v>-18.178088171104321</v>
      </c>
      <c r="DL460" s="81" t="str">
        <f>IF(ISERROR((DK460/DC460-1)*100),"NA",IF(((DK460/DC460-1)*100)&gt;100,"NM",IF(((DK460/DC460-1)*100)&lt;-50,"NM",(DK460/DC460-1)*100)))</f>
        <v>NM</v>
      </c>
      <c r="DM460" s="318">
        <f>DM459/DM488*100</f>
        <v>18.668909825033641</v>
      </c>
      <c r="DN460" s="81">
        <f>IF(ISERROR((DM460/DE460-1)*100),"NA",IF(((DM460/DE460-1)*100)&gt;100,"NM",IF(((DM460/DE460-1)*100)&lt;-50,"NM",(DM460/DE460-1)*100)))</f>
        <v>9.9347731453112829</v>
      </c>
      <c r="DO460" s="318">
        <f>DO459/DO488*100</f>
        <v>18.646645512239353</v>
      </c>
      <c r="DP460" s="81">
        <f>IF(ISERROR((DO460/DG460-1)*100),"NA",IF(((DO460/DG460-1)*100)&gt;100,"NM",IF(((DO460/DG460-1)*100)&lt;-50,"NM",(DO460/DG460-1)*100)))</f>
        <v>10.347572618592338</v>
      </c>
      <c r="DQ460" s="318">
        <f>DQ459/DQ488*100</f>
        <v>18.380597014925357</v>
      </c>
      <c r="DR460" s="81">
        <f>IF(ISERROR((DQ460/DI460-1)*100),"NA",IF(((DQ460/DI460-1)*100)&gt;100,"NM",IF(((DQ460/DI460-1)*100)&lt;-50,"NM",(DQ460/DI460-1)*100)))</f>
        <v>-4.2103418969091315</v>
      </c>
      <c r="DS460" s="318">
        <f>DS459/DS488*100</f>
        <v>17.597112860892398</v>
      </c>
      <c r="DT460" s="81" t="str">
        <f>IF(ISERROR((DS460/DK460-1)*100),"NA",IF(((DS460/DK460-1)*100)&gt;100,"NM",IF(((DS460/DK460-1)*100)&lt;-50,"NM",(DS460/DK460-1)*100)))</f>
        <v>NM</v>
      </c>
      <c r="DU460" s="318">
        <f>DU459/DU488*100</f>
        <v>19.778991971454076</v>
      </c>
      <c r="DV460" s="81">
        <f>IF(ISERROR((DU460/DM460-1)*100),"NA",IF(((DU460/DM460-1)*100)&gt;100,"NM",IF(((DU460/DM460-1)*100)&lt;-50,"NM",(DU460/DM460-1)*100)))</f>
        <v>5.9461540969676596</v>
      </c>
      <c r="DW460" s="318">
        <f>DW459/DW488*100</f>
        <v>18.841416309012885</v>
      </c>
      <c r="DX460" s="81">
        <f>IF(ISERROR((DW460/DO460-1)*100),"NA",IF(((DW460/DO460-1)*100)&gt;100,"NM",IF(((DW460/DO460-1)*100)&lt;-50,"NM",(DW460/DO460-1)*100)))</f>
        <v>1.0445353114354461</v>
      </c>
      <c r="DY460" s="318">
        <f>DY459/DY488*100</f>
        <v>18.944905990380395</v>
      </c>
      <c r="DZ460" s="81">
        <f>IF(ISERROR((DY460/DQ460-1)*100),"NA",IF(((DY460/DQ460-1)*100)&gt;100,"NM",IF(((DY460/DQ460-1)*100)&lt;-50,"NM",(DY460/DQ460-1)*100)))</f>
        <v>3.0701340930156418</v>
      </c>
      <c r="EA460" s="318">
        <f>EA459/EA488*100</f>
        <v>19.223334784501528</v>
      </c>
      <c r="EB460" s="81">
        <f>IF(ISERROR((EA460/DS460-1)*100),"NA",IF(((EA460/DS460-1)*100)&gt;100,"NM",IF(((EA460/DS460-1)*100)&lt;-50,"NM",(EA460/DS460-1)*100)))</f>
        <v>9.2414132731013297</v>
      </c>
      <c r="EC460" s="318">
        <f>EC459/EC488*100</f>
        <v>19.517153748411715</v>
      </c>
      <c r="ED460" s="81">
        <f t="shared" si="1695"/>
        <v>-1.3238198560384551</v>
      </c>
      <c r="EE460" s="318">
        <f>EE459/EE488*100</f>
        <v>18.985024958402654</v>
      </c>
      <c r="EF460" s="81">
        <f t="shared" si="1696"/>
        <v>0.76219667903136834</v>
      </c>
      <c r="EG460" s="318">
        <f>EG459/EG488*100</f>
        <v>21.173116089613043</v>
      </c>
      <c r="EH460" s="81">
        <f t="shared" si="1697"/>
        <v>11.761526292946822</v>
      </c>
      <c r="EI460" s="318">
        <f>EI459/EI488*100</f>
        <v>20.388012618296546</v>
      </c>
      <c r="EJ460" s="81">
        <f t="shared" si="1698"/>
        <v>6.0586669631016221</v>
      </c>
      <c r="EK460" s="318">
        <f t="shared" ref="EK460:EQ460" si="1706">EK459/EK488*100</f>
        <v>18.08137200968995</v>
      </c>
      <c r="EL460" s="81">
        <f t="shared" si="1700"/>
        <v>-7.3565119034767479</v>
      </c>
      <c r="EM460" s="318">
        <f t="shared" si="1706"/>
        <v>17.808820878474524</v>
      </c>
      <c r="EN460" s="81">
        <f t="shared" si="1702"/>
        <v>-6.1954307803401054</v>
      </c>
      <c r="EO460" s="318">
        <f t="shared" si="1706"/>
        <v>20.225554226413617</v>
      </c>
      <c r="EP460" s="81">
        <f t="shared" si="1703"/>
        <v>-4.4753066066844704</v>
      </c>
      <c r="EQ460" s="318">
        <f t="shared" si="1706"/>
        <v>19.925092318665559</v>
      </c>
      <c r="ER460" s="81">
        <f t="shared" si="1705"/>
        <v>-2.2705513690704393</v>
      </c>
      <c r="ES460" s="82"/>
      <c r="ET460" s="469"/>
      <c r="EU460" s="82"/>
      <c r="EV460" s="330"/>
      <c r="EW460" s="79"/>
      <c r="EX460" s="318"/>
      <c r="EY460" s="79"/>
      <c r="EZ460" s="318"/>
      <c r="FA460" s="79"/>
      <c r="FB460" s="318">
        <f>FB459/FB488*100</f>
        <v>-60.204081632653065</v>
      </c>
      <c r="FC460" s="79" t="str">
        <f>IF(ISERROR((FB460/EZ460-1)*100),"NA",IF(((FB460/EZ460-1)*100)&gt;100,"NM",IF(((FB460/EZ460-1)*100)&lt;-50,"NM",(FB460/EZ460-1)*100)))</f>
        <v>NA</v>
      </c>
      <c r="FD460" s="318">
        <f>FD459/FD488*100</f>
        <v>19.032258064516128</v>
      </c>
      <c r="FE460" s="79" t="str">
        <f>IF(ISERROR((FD460/FB460-1)*100),"NA",IF(((FD460/FB460-1)*100)&gt;100,"NM",IF(((FD460/FB460-1)*100)&lt;-50,"NM",(FD460/FB460-1)*100)))</f>
        <v>NM</v>
      </c>
      <c r="FF460" s="318">
        <f>FF459/FF488*100</f>
        <v>200</v>
      </c>
      <c r="FG460" s="79" t="str">
        <f>IF(ISERROR((FF460/FD460-1)*100),"NA",IF(((FF460/FD460-1)*100)&gt;100,"NM",IF(((FF460/FD460-1)*100)&lt;-50,"NM",(FF460/FD460-1)*100)))</f>
        <v>NM</v>
      </c>
      <c r="FH460" s="318">
        <f>FH459/FH488*100</f>
        <v>-157.89473684210526</v>
      </c>
      <c r="FI460" s="79" t="str">
        <f>IF(ISERROR((FH460/FF460-1)*100),"NA",IF(((FH460/FF460-1)*100)&gt;100,"NM",IF(((FH460/FF460-1)*100)&lt;-50,"NM",(FH460/FF460-1)*100)))</f>
        <v>NM</v>
      </c>
      <c r="FJ460" s="318">
        <f>FJ459/FJ488*100</f>
        <v>16.949152542372879</v>
      </c>
      <c r="FK460" s="79" t="str">
        <f>IF(ISERROR((FJ460/FH460-1)*100),"NA",IF(((FJ460/FH460-1)*100)&gt;100,"NM",IF(((FJ460/FH460-1)*100)&lt;-50,"NM",(FJ460/FH460-1)*100)))</f>
        <v>NM</v>
      </c>
      <c r="FL460" s="318">
        <f>FL459/FL488*100</f>
        <v>16.393442622950818</v>
      </c>
      <c r="FM460" s="79">
        <f>IF(ISERROR((FL460/FJ460-1)*100),"NA",IF(((FL460/FJ460-1)*100)&gt;100,"NM",IF(((FL460/FJ460-1)*100)&lt;-50,"NM",(FL460/FJ460-1)*100)))</f>
        <v>-3.2786885245901565</v>
      </c>
      <c r="FN460" s="318">
        <f>FN459/FN488*100</f>
        <v>13.574660633484163</v>
      </c>
      <c r="FO460" s="79">
        <f>IF(ISERROR((FN460/FL460-1)*100),"NA",IF(((FN460/FL460-1)*100)&gt;100,"NM",IF(((FN460/FL460-1)*100)&lt;-50,"NM",(FN460/FL460-1)*100)))</f>
        <v>-17.194570135746602</v>
      </c>
      <c r="FP460" s="318">
        <f>FP459/FP488*100</f>
        <v>11.952191235059761</v>
      </c>
      <c r="FQ460" s="79">
        <f>IF(ISERROR((FP460/FN460-1)*100),"NA",IF(((FP460/FN460-1)*100)&gt;100,"NM",IF(((FP460/FN460-1)*100)&lt;-50,"NM",(FP460/FN460-1)*100)))</f>
        <v>-11.952191235059761</v>
      </c>
      <c r="FR460" s="318">
        <f>FR459/FR488*100</f>
        <v>12.162162162162163</v>
      </c>
      <c r="FS460" s="79">
        <f>IF(ISERROR((FR460/FP460-1)*100),"NA",IF(((FR460/FP460-1)*100)&gt;100,"NM",IF(((FR460/FP460-1)*100)&lt;-50,"NM",(FR460/FP460-1)*100)))</f>
        <v>1.7567567567567721</v>
      </c>
      <c r="FT460" s="318">
        <f>FT459/FT488*100</f>
        <v>12.806981147311959</v>
      </c>
      <c r="FU460" s="79">
        <f>IF(ISERROR((FT460/FR460-1)*100),"NA",IF(((FT460/FR460-1)*100)&gt;100,"NM",IF(((FT460/FR460-1)*100)&lt;-50,"NM",(FT460/FR460-1)*100)))</f>
        <v>5.3018449890094299</v>
      </c>
      <c r="FV460" s="318">
        <f>FV459/FV488*100</f>
        <v>39.19549834116696</v>
      </c>
      <c r="FW460" s="79" t="str">
        <f>IF(ISERROR((FV460/FT460-1)*100),"NA",IF(((FV460/FT460-1)*100)&gt;100,"NM",IF(((FV460/FT460-1)*100)&lt;-50,"NM",(FV460/FT460-1)*100)))</f>
        <v>NM</v>
      </c>
      <c r="FX460" s="318">
        <f>FX459/FX488*100</f>
        <v>15.029328821209711</v>
      </c>
      <c r="FY460" s="79" t="str">
        <f>IF(ISERROR((FX460/FV460-1)*100),"NA",IF(((FX460/FV460-1)*100)&gt;100,"NM",IF(((FX460/FV460-1)*100)&lt;-50,"NM",(FX460/FV460-1)*100)))</f>
        <v>NM</v>
      </c>
      <c r="FZ460" s="318">
        <f>FZ459/FZ488*100</f>
        <v>17.383810561885486</v>
      </c>
      <c r="GA460" s="79">
        <f>IF(ISERROR((FZ460/FX460-1)*100),"NA",IF(((FZ460/FX460-1)*100)&gt;100,"NM",IF(((FZ460/FX460-1)*100)&lt;-50,"NM",(FZ460/FX460-1)*100)))</f>
        <v>15.665914084952881</v>
      </c>
      <c r="GB460" s="318">
        <f>GB459/GB488*100</f>
        <v>36.644157640009219</v>
      </c>
      <c r="GC460" s="79" t="str">
        <f>IF(ISERROR((GB460/FZ460-1)*100),"NA",IF(((GB460/FZ460-1)*100)&gt;100,"NM",IF(((GB460/FZ460-1)*100)&lt;-50,"NM",(GB460/FZ460-1)*100)))</f>
        <v>NM</v>
      </c>
      <c r="GD460" s="318">
        <f>GD459/GD488*100</f>
        <v>18.31773399014779</v>
      </c>
      <c r="GE460" s="79" t="str">
        <f>IF(ISERROR((GD460/GB460-1)*100),"NA",IF(((GD460/GB460-1)*100)&gt;100,"NM",IF(((GD460/GB460-1)*100)&lt;-50,"NM",(GD460/GB460-1)*100)))</f>
        <v>NM</v>
      </c>
      <c r="GF460" s="318">
        <f>GF459/GF488*100</f>
        <v>19.1945718654434</v>
      </c>
      <c r="GG460" s="79">
        <f>IF(ISERROR((GF460/GD460-1)*100),"NA",IF(((GF460/GD460-1)*100)&gt;100,"NM",IF(((GF460/GD460-1)*100)&lt;-50,"NM",(GF460/GD460-1)*100)))</f>
        <v>4.7868250285063585</v>
      </c>
      <c r="GH460" s="318">
        <f>GH459/GH488*100</f>
        <v>20.041102911029114</v>
      </c>
      <c r="GI460" s="79">
        <f>IF(ISERROR((GH460/GF460-1)*100),"NA",IF(((GH460/GF460-1)*100)&gt;100,"NM",IF(((GH460/GF460-1)*100)&lt;-50,"NM",(GH460/GF460-1)*100)))</f>
        <v>4.410262711354096</v>
      </c>
      <c r="GJ460" s="318">
        <f>GJ459/GJ488*100</f>
        <v>19.026672434849463</v>
      </c>
      <c r="GK460" s="79">
        <f>IF(ISERROR((GJ460/GH460-1)*100),"NA",IF(((GJ460/GH460-1)*100)&gt;100,"NM",IF(((GJ460/GH460-1)*100)&lt;-50,"NM",(GJ460/GH460-1)*100)))</f>
        <v>-5.0617497484202083</v>
      </c>
      <c r="GL460" s="318">
        <f>GL459/GL488*100</f>
        <v>19.762985307551162</v>
      </c>
      <c r="GM460" s="79">
        <f>IF(ISERROR((GL460/GJ460-1)*100),"NA",IF(((GL460/GJ460-1)*100)&gt;100,"NM",IF(((GL460/GJ460-1)*100)&lt;-50,"NM",(GL460/GJ460-1)*100)))</f>
        <v>3.8698982978918606</v>
      </c>
      <c r="GN460" s="318">
        <f>GN459/GN488*100</f>
        <v>20.439829823503398</v>
      </c>
      <c r="GO460" s="79">
        <f>IF(ISERROR((GN460/GL460-1)*100),"NA",IF(((GN460/GL460-1)*100)&gt;100,"NM",IF(((GN460/GL460-1)*100)&lt;-50,"NM",(GN460/GL460-1)*100)))</f>
        <v>3.4248090833403744</v>
      </c>
      <c r="GP460" s="318">
        <f>GP459/GP488*100</f>
        <v>21.077758355842789</v>
      </c>
      <c r="GQ460" s="79">
        <f>IF(ISERROR((GP460/GN460-1)*100),"NA",IF(((GP460/GN460-1)*100)&gt;100,"NM",IF(((GP460/GN460-1)*100)&lt;-50,"NM",(GP460/GN460-1)*100)))</f>
        <v>3.1210070624259734</v>
      </c>
      <c r="GR460" s="318">
        <f>GR459/GR488*100</f>
        <v>21.770963767232089</v>
      </c>
      <c r="GS460" s="79">
        <f>IF(ISERROR((GR460/GP460-1)*100),"NA",IF(((GR460/GP460-1)*100)&gt;100,"NM",IF(((GR460/GP460-1)*100)&lt;-50,"NM",(GR460/GP460-1)*100)))</f>
        <v>3.2888004487305667</v>
      </c>
      <c r="GT460" s="79">
        <f>IF(ISERROR(((GR460/GH460)^0.2-1)*100),"NA",(IF(OR(((GR460/GH460)^0.2-1)*100&gt;99,((GR460/GH460)^0.2-1)*100&lt;-50),"NM",(((GR460/GH460)^0.2-1)*100))))</f>
        <v>1.6696216463231384</v>
      </c>
    </row>
    <row r="461" spans="1:286" ht="12.75" customHeight="1" x14ac:dyDescent="0.2">
      <c r="A461" s="1" t="s">
        <v>424</v>
      </c>
      <c r="B461" s="2" t="s">
        <v>151</v>
      </c>
      <c r="C461" s="79"/>
      <c r="D461" s="79"/>
      <c r="E461" s="145">
        <f>E459*E485</f>
        <v>35.872177295</v>
      </c>
      <c r="F461" s="145"/>
      <c r="G461" s="145">
        <f>G459*G485</f>
        <v>35.991326762499995</v>
      </c>
      <c r="H461" s="145"/>
      <c r="I461" s="145">
        <f>I459*I485</f>
        <v>35.958307854999994</v>
      </c>
      <c r="J461" s="145"/>
      <c r="K461" s="145">
        <f>K459*K485</f>
        <v>35.911922054999998</v>
      </c>
      <c r="L461" s="79"/>
      <c r="M461" s="145">
        <f>M459*M485</f>
        <v>36.007636427500003</v>
      </c>
      <c r="N461" s="79">
        <f>IF(ISERROR((M461/E461-1)*100),"NA",IF(((M461/E461-1)*100)&gt;100,"NM",IF(((M461/E461-1)*100)&lt;-50,"NM",(M461/E461-1)*100)))</f>
        <v>0.37761614352547213</v>
      </c>
      <c r="O461" s="145">
        <f>O459*O485</f>
        <v>35.956506289999993</v>
      </c>
      <c r="P461" s="79">
        <f>IF(ISERROR((O461/G461-1)*100),"NA",IF(((O461/G461-1)*100)&gt;100,"NM",IF(((O461/G461-1)*100)&lt;-50,"NM",(O461/G461-1)*100)))</f>
        <v>-9.6746843287487394E-2</v>
      </c>
      <c r="Q461" s="145">
        <f>Q459*Q485</f>
        <v>35.735796139999998</v>
      </c>
      <c r="R461" s="79">
        <f>IF(ISERROR((Q461/I461-1)*100),"NA",IF(((Q461/I461-1)*100)&gt;100,"NM",IF(((Q461/I461-1)*100)&lt;-50,"NM",(Q461/I461-1)*100)))</f>
        <v>-0.61880474436467603</v>
      </c>
      <c r="S461" s="145">
        <f>S459*S485</f>
        <v>35.714049772499997</v>
      </c>
      <c r="T461" s="79">
        <f>IF(ISERROR((S461/K461-1)*100),"NA",IF(((S461/K461-1)*100)&gt;100,"NM",IF(((S461/K461-1)*100)&lt;-50,"NM",(S461/K461-1)*100)))</f>
        <v>-0.55099329464168845</v>
      </c>
      <c r="U461" s="145">
        <f>U459*U485</f>
        <v>18.121453424999999</v>
      </c>
      <c r="V461" s="79">
        <f>IF(ISERROR((U461/M461-1)*100),"NA",IF(((U461/M461-1)*100)&gt;100,"NM",IF(((U461/M461-1)*100)&lt;-50,"NM",(U461/M461-1)*100)))</f>
        <v>-49.673304823861876</v>
      </c>
      <c r="W461" s="145">
        <f>W459*W485</f>
        <v>20.533021724999998</v>
      </c>
      <c r="X461" s="79">
        <f>IF(ISERROR((W461/O461-1)*100),"NA",IF(((W461/O461-1)*100)&gt;100,"NM",IF(((W461/O461-1)*100)&lt;-50,"NM",(W461/O461-1)*100)))</f>
        <v>-42.894836446580683</v>
      </c>
      <c r="Y461" s="145">
        <f>Y459*Y485</f>
        <v>22.403050349999997</v>
      </c>
      <c r="Z461" s="79">
        <f>IF(ISERROR((Y461/Q461-1)*100),"NA",IF(((Y461/Q461-1)*100)&gt;100,"NM",IF(((Y461/Q461-1)*100)&lt;-50,"NM",(Y461/Q461-1)*100)))</f>
        <v>-37.309217171955808</v>
      </c>
      <c r="AA461" s="267">
        <f>AA459*AA485</f>
        <v>22.111680674999999</v>
      </c>
      <c r="AB461" s="79">
        <f>IF(ISERROR((AA461/S461-1)*100),"NA",IF(((AA461/S461-1)*100)&gt;100,"NM",IF(((AA461/S461-1)*100)&lt;-50,"NM",(AA461/S461-1)*100)))</f>
        <v>-38.086885089055045</v>
      </c>
      <c r="AC461" s="145">
        <f>AC459*AC485</f>
        <v>22.124232825</v>
      </c>
      <c r="AD461" s="79">
        <f>IF(ISERROR((AC461/U461-1)*100),"NA",IF(((AC461/U461-1)*100)&gt;100,"NM",IF(((AC461/U461-1)*100)&lt;-50,"NM",(AC461/U461-1)*100)))</f>
        <v>22.088622287204874</v>
      </c>
      <c r="AE461" s="145">
        <f>AE459*AE485</f>
        <v>22.6108653</v>
      </c>
      <c r="AF461" s="79">
        <f>IF(ISERROR((AE461/W461-1)*100),"NA",IF(((AE461/W461-1)*100)&gt;100,"NM",IF(((AE461/W461-1)*100)&lt;-50,"NM",(AE461/W461-1)*100)))</f>
        <v>10.119521631198204</v>
      </c>
      <c r="AG461" s="145">
        <f>AG459*AG485</f>
        <v>22.772143199999999</v>
      </c>
      <c r="AH461" s="79">
        <f>IF(ISERROR((AG461/Y461-1)*100),"NA",IF(((AG461/Y461-1)*100)&gt;100,"NM",IF(((AG461/Y461-1)*100)&lt;-50,"NM",(AG461/Y461-1)*100)))</f>
        <v>1.6475115854033717</v>
      </c>
      <c r="AI461" s="145">
        <f>AI459*AI485</f>
        <v>22.668600074999997</v>
      </c>
      <c r="AJ461" s="79">
        <f>IF(ISERROR((AI461/AA461-1)*100),"NA",IF(((AI461/AA461-1)*100)&gt;100,"NM",IF(((AI461/AA461-1)*100)&lt;-50,"NM",(AI461/AA461-1)*100)))</f>
        <v>2.5186660760240898</v>
      </c>
      <c r="AK461" s="145">
        <f>AK459*AK485</f>
        <v>23.070813900000001</v>
      </c>
      <c r="AL461" s="79">
        <f>IF(ISERROR((AK461/AC461-1)*100),"NA",IF(((AK461/AC461-1)*100)&gt;100,"NM",IF(((AK461/AC461-1)*100)&lt;-50,"NM",(AK461/AC461-1)*100)))</f>
        <v>4.2784808968850729</v>
      </c>
      <c r="AM461" s="145">
        <f>AM459*AM485</f>
        <v>23.1831222</v>
      </c>
      <c r="AN461" s="79">
        <f>IF(ISERROR((AM461/AE461-1)*100),"NA",IF(((AM461/AE461-1)*100)&gt;100,"NM",IF(((AM461/AE461-1)*100)&lt;-50,"NM",(AM461/AE461-1)*100)))</f>
        <v>2.5308934107886483</v>
      </c>
      <c r="AO461" s="145">
        <f>AO459*AO485</f>
        <v>23.5986096</v>
      </c>
      <c r="AP461" s="79">
        <f>IF(ISERROR((AO461/AG461-1)*100),"NA",IF(((AO461/AG461-1)*100)&gt;100,"NM",IF(((AO461/AG461-1)*100)&lt;-50,"NM",(AO461/AG461-1)*100)))</f>
        <v>3.6292868560566571</v>
      </c>
      <c r="AQ461" s="145">
        <f>AQ459*AQ485</f>
        <v>23.901107024999998</v>
      </c>
      <c r="AR461" s="79">
        <f>IF(ISERROR((AQ461/AI461-1)*100),"NA",IF(((AQ461/AI461-1)*100)&gt;100,"NM",IF(((AQ461/AI461-1)*100)&lt;-50,"NM",(AQ461/AI461-1)*100)))</f>
        <v>5.4370668939511146</v>
      </c>
      <c r="AS461" s="145">
        <f>AS459*AS485</f>
        <v>23.972762475</v>
      </c>
      <c r="AT461" s="81">
        <f>IF(ISERROR((AS461/AK461-1)*100),"NA",IF(((AS461/AK461-1)*100)&gt;100,"NM",IF(((AS461/AK461-1)*100)&lt;-50,"NM",(AS461/AK461-1)*100)))</f>
        <v>3.9094787852282931</v>
      </c>
      <c r="AU461" s="145">
        <f>AU459*AU485</f>
        <v>24.742873199999998</v>
      </c>
      <c r="AV461" s="81">
        <f>IF(ISERROR((AU461/AM461-1)*100),"NA",IF(((AU461/AM461-1)*100)&gt;100,"NM",IF(((AU461/AM461-1)*100)&lt;-50,"NM",(AU461/AM461-1)*100)))</f>
        <v>6.727959187481658</v>
      </c>
      <c r="AW461" s="145">
        <f>AW459*AW485</f>
        <v>25.554574875</v>
      </c>
      <c r="AX461" s="81">
        <f>IF(ISERROR((AW461/AO461-1)*100),"NA",IF(((AW461/AO461-1)*100)&gt;100,"NM",IF(((AW461/AO461-1)*100)&lt;-50,"NM",(AW461/AO461-1)*100)))</f>
        <v>8.2884767711060459</v>
      </c>
      <c r="AY461" s="145">
        <f>AY459*AY485</f>
        <v>25.914588375000001</v>
      </c>
      <c r="AZ461" s="81">
        <f>IF(ISERROR((AY461/AQ461-1)*100),"NA",IF(((AY461/AQ461-1)*100)&gt;100,"NM",IF(((AY461/AQ461-1)*100)&lt;-50,"NM",(AY461/AQ461-1)*100)))</f>
        <v>8.4242179573270413</v>
      </c>
      <c r="BA461" s="145">
        <f>BA459*BA485</f>
        <v>25.978519425000002</v>
      </c>
      <c r="BB461" s="81">
        <f>IF(ISERROR((BA461/AS461-1)*100),"NA",IF(((BA461/AS461-1)*100)&gt;100,"NM",IF(((BA461/AS461-1)*100)&lt;-50,"NM",(BA461/AS461-1)*100)))</f>
        <v>8.3668160984438309</v>
      </c>
      <c r="BC461" s="145">
        <f>BC459*BC485</f>
        <v>26.61280125</v>
      </c>
      <c r="BD461" s="81">
        <f>IF(ISERROR((BC461/AU461-1)*100),"NA",IF(((BC461/AU461-1)*100)&gt;100,"NM",IF(((BC461/AU461-1)*100)&lt;-50,"NM",(BC461/AU461-1)*100)))</f>
        <v>7.5574410250786928</v>
      </c>
      <c r="BE461" s="145">
        <f>BE459*BE485</f>
        <v>27.067972649999998</v>
      </c>
      <c r="BF461" s="81">
        <f>IF(ISERROR((BE461/AW461-1)*100),"NA",IF(((BE461/AW461-1)*100)&gt;100,"NM",IF(((BE461/AW461-1)*100)&lt;-50,"NM",(BE461/AW461-1)*100)))</f>
        <v>5.9222185553967188</v>
      </c>
      <c r="BG461" s="145">
        <f>BG459*BG485</f>
        <v>27.053071275000001</v>
      </c>
      <c r="BH461" s="81">
        <f>IF(ISERROR((BG461/AY461-1)*100),"NA",IF(((BG461/AY461-1)*100)&gt;100,"NM",IF(((BG461/AY461-1)*100)&lt;-50,"NM",(BG461/AY461-1)*100)))</f>
        <v>4.3932123617996588</v>
      </c>
      <c r="BI461" s="145">
        <f>BI459*BI485</f>
        <v>26.359936574999999</v>
      </c>
      <c r="BJ461" s="81">
        <f>IF(ISERROR((BI461/BA461-1)*100),"NA",IF(((BI461/BA461-1)*100)&gt;100,"NM",IF(((BI461/BA461-1)*100)&lt;-50,"NM",(BI461/BA461-1)*100)))</f>
        <v>1.4682020316867828</v>
      </c>
      <c r="BK461" s="145">
        <f>BK459*BK485</f>
        <v>25.9526565</v>
      </c>
      <c r="BL461" s="81">
        <f>IF(ISERROR((BK461/BC461-1)*100),"NA",IF(((BK461/BC461-1)*100)&gt;100,"NM",IF(((BK461/BC461-1)*100)&lt;-50,"NM",(BK461/BC461-1)*100)))</f>
        <v>-2.4805534141205898</v>
      </c>
      <c r="BM461" s="145">
        <f>BM459*BM485</f>
        <v>25.343457750000002</v>
      </c>
      <c r="BN461" s="81">
        <f>IF(ISERROR((BM461/BE461-1)*100),"NA",IF(((BM461/BE461-1)*100)&gt;100,"NM",IF(((BM461/BE461-1)*100)&lt;-50,"NM",(BM461/BE461-1)*100)))</f>
        <v>-6.3710530607470339</v>
      </c>
      <c r="BO461" s="145">
        <f>BO459*BO485</f>
        <v>24.823610325000001</v>
      </c>
      <c r="BP461" s="81">
        <f>IF(ISERROR((BO461/BG461-1)*100),"NA",IF(((BO461/BG461-1)*100)&gt;100,"NM",IF(((BO461/BG461-1)*100)&lt;-50,"NM",(BO461/BG461-1)*100)))</f>
        <v>-8.241064119253128</v>
      </c>
      <c r="BQ461" s="145">
        <f>BQ459*BQ485</f>
        <v>24.822338550000001</v>
      </c>
      <c r="BR461" s="81">
        <f>IF(ISERROR((BQ461/BI461-1)*100),"NA",IF(((BQ461/BI461-1)*100)&gt;100,"NM",IF(((BQ461/BI461-1)*100)&lt;-50,"NM",(BQ461/BI461-1)*100)))</f>
        <v>-5.8330869675091268</v>
      </c>
      <c r="BS461" s="145">
        <f>BS459*BS485</f>
        <v>24.896641874999997</v>
      </c>
      <c r="BT461" s="81">
        <f>IF(ISERROR((BS461/BK461-1)*100),"NA",IF(((BS461/BK461-1)*100)&gt;100,"NM",IF(((BS461/BK461-1)*100)&lt;-50,"NM",(BS461/BK461-1)*100)))</f>
        <v>-4.0690039765293502</v>
      </c>
      <c r="BU461" s="145">
        <f>BU459*BU485</f>
        <v>27.441327210000001</v>
      </c>
      <c r="BV461" s="81">
        <f>IF(ISERROR((BU461/BM461-1)*100),"NA",IF(((BU461/BM461-1)*100)&gt;100,"NM",IF(((BU461/BM461-1)*100)&lt;-50,"NM",(BU461/BM461-1)*100)))</f>
        <v>8.2777554692591071</v>
      </c>
      <c r="BW461" s="145">
        <f>BW459*BW485</f>
        <v>27.472374599999998</v>
      </c>
      <c r="BX461" s="81">
        <f>IF(ISERROR((BW461/BO461-1)*100),"NA",IF(((BW461/BO461-1)*100)&gt;100,"NM",IF(((BW461/BO461-1)*100)&lt;-50,"NM",(BW461/BO461-1)*100)))</f>
        <v>10.670342630751062</v>
      </c>
      <c r="BY461" s="145">
        <f>BY459*BY485</f>
        <v>27.515788409999999</v>
      </c>
      <c r="BZ461" s="81">
        <f>IF(ISERROR((BY461/BQ461-1)*100),"NA",IF(((BY461/BQ461-1)*100)&gt;100,"NM",IF(((BY461/BQ461-1)*100)&lt;-50,"NM",(BY461/BQ461-1)*100)))</f>
        <v>10.850910983163576</v>
      </c>
      <c r="CA461" s="145">
        <f>CA459*CA485</f>
        <v>27.478892925000004</v>
      </c>
      <c r="CB461" s="81">
        <f>IF(ISERROR((CA461/BS461-1)*100),"NA",IF(((CA461/BS461-1)*100)&gt;100,"NM",IF(((CA461/BS461-1)*100)&lt;-50,"NM",(CA461/BS461-1)*100)))</f>
        <v>10.371884943217902</v>
      </c>
      <c r="CC461" s="145">
        <f>CC459*CC485</f>
        <v>30.013195649999997</v>
      </c>
      <c r="CD461" s="81">
        <f>IF(ISERROR((CC461/BU461-1)*100),"NA",IF(((CC461/BU461-1)*100)&gt;100,"NM",IF(((CC461/BU461-1)*100)&lt;-50,"NM",(CC461/BU461-1)*100)))</f>
        <v>9.3722450824563985</v>
      </c>
      <c r="CE461" s="145">
        <f>CE459*CE485</f>
        <v>29.45782195</v>
      </c>
      <c r="CF461" s="81">
        <f>IF(ISERROR((CE461/BW461-1)*100),"NA",IF(((CE461/BW461-1)*100)&gt;100,"NM",IF(((CE461/BW461-1)*100)&lt;-50,"NM",(CE461/BW461-1)*100)))</f>
        <v>7.2270685694566739</v>
      </c>
      <c r="CG461" s="145">
        <f>CG459*CG485</f>
        <v>29.075739322499999</v>
      </c>
      <c r="CH461" s="81">
        <f>IF(ISERROR((CG461/BY461-1)*100),"NA",IF(((CG461/BY461-1)*100)&gt;100,"NM",IF(((CG461/BY461-1)*100)&lt;-50,"NM",(CG461/BY461-1)*100)))</f>
        <v>5.6692938950390737</v>
      </c>
      <c r="CI461" s="145">
        <f>CI459*CI485</f>
        <v>28.435514169999998</v>
      </c>
      <c r="CJ461" s="81">
        <f>IF(ISERROR((CI461/CA461-1)*100),"NA",IF(((CI461/CA461-1)*100)&gt;100,"NM",IF(((CI461/CA461-1)*100)&lt;-50,"NM",(CI461/CA461-1)*100)))</f>
        <v>3.4812947072175193</v>
      </c>
      <c r="CK461" s="145">
        <f>CK459*CK485</f>
        <v>31.413154500000001</v>
      </c>
      <c r="CL461" s="81">
        <f>IF(ISERROR((CK461/CC461-1)*100),"NA",IF(((CK461/CC461-1)*100)&gt;100,"NM",IF(((CK461/CC461-1)*100)&lt;-50,"NM",(CK461/CC461-1)*100)))</f>
        <v>4.6644778061146086</v>
      </c>
      <c r="CM461" s="145">
        <f>CM459*CM485</f>
        <v>31.874958464999999</v>
      </c>
      <c r="CN461" s="81">
        <f>IF(ISERROR((CM461/CE461-1)*100),"NA",IF(((CM461/CE461-1)*100)&gt;100,"NM",IF(((CM461/CE461-1)*100)&lt;-50,"NM",(CM461/CE461-1)*100)))</f>
        <v>8.2054149118787834</v>
      </c>
      <c r="CO461" s="145">
        <f>CO459*CO485</f>
        <v>30.584823780000001</v>
      </c>
      <c r="CP461" s="81">
        <f>IF(ISERROR((CO461/CG461-1)*100),"NA",IF(((CO461/CG461-1)*100)&gt;100,"NM",IF(((CO461/CG461-1)*100)&lt;-50,"NM",(CO461/CG461-1)*100)))</f>
        <v>5.1901843002568393</v>
      </c>
      <c r="CQ461" s="145">
        <f>CQ459*CQ485</f>
        <v>29.792766359999998</v>
      </c>
      <c r="CR461" s="81">
        <f>IF(ISERROR((CQ461/CI461-1)*100),"NA",IF(((CQ461/CI461-1)*100)&gt;100,"NM",IF(((CQ461/CI461-1)*100)&lt;-50,"NM",(CQ461/CI461-1)*100)))</f>
        <v>4.7730882652086137</v>
      </c>
      <c r="CS461" s="145">
        <f>CS459*CS485</f>
        <v>36.206435069999998</v>
      </c>
      <c r="CT461" s="81">
        <f>IF(ISERROR((CS461/CK461-1)*100),"NA",IF(((CS461/CK461-1)*100)&gt;100,"NM",IF(((CS461/CK461-1)*100)&lt;-50,"NM",(CS461/CK461-1)*100)))</f>
        <v>15.258832314978088</v>
      </c>
      <c r="CU461" s="145">
        <f>CU459*CU485</f>
        <v>35.568000000000005</v>
      </c>
      <c r="CV461" s="81">
        <f>IF(ISERROR((CU461/CM461-1)*100),"NA",IF(((CU461/CM461-1)*100)&gt;100,"NM",IF(((CU461/CM461-1)*100)&lt;-50,"NM",(CU461/CM461-1)*100)))</f>
        <v>11.586027756099249</v>
      </c>
      <c r="CW461" s="145">
        <f>CW459*CW482</f>
        <v>34.705813740000004</v>
      </c>
      <c r="CX461" s="81">
        <f>IF(ISERROR((CW461/CO461-1)*100),"NA",IF(((CW461/CO461-1)*100)&gt;100,"NM",IF(((CW461/CO461-1)*100)&lt;-50,"NM",(CW461/CO461-1)*100)))</f>
        <v>13.473969932417251</v>
      </c>
      <c r="CY461" s="145">
        <f>CY459*CY482</f>
        <v>38.216916444999995</v>
      </c>
      <c r="CZ461" s="81">
        <f>IF(ISERROR((CY461/CQ461-1)*100),"NA",IF(((CY461/CQ461-1)*100)&gt;100,"NM",IF(((CY461/CQ461-1)*100)&lt;-50,"NM",(CY461/CQ461-1)*100)))</f>
        <v>28.275823678832079</v>
      </c>
      <c r="DA461" s="145">
        <f>DA459*DA482</f>
        <v>37.865247509999996</v>
      </c>
      <c r="DB461" s="81">
        <f>IF(ISERROR((DA461/CS461-1)*100),"NA",IF(((DA461/CS461-1)*100)&gt;100,"NM",IF(((DA461/CS461-1)*100)&lt;-50,"NM",(DA461/CS461-1)*100)))</f>
        <v>4.5815403720165238</v>
      </c>
      <c r="DC461" s="145">
        <f>DC459*DC482</f>
        <v>37.699999999999996</v>
      </c>
      <c r="DD461" s="81">
        <f>IF(ISERROR((DC461/CU461-1)*100),"NA",IF(((DC461/CU461-1)*100)&gt;100,"NM",IF(((DC461/CU461-1)*100)&lt;-50,"NM",(DC461/CU461-1)*100)))</f>
        <v>5.9941520467835963</v>
      </c>
      <c r="DE461" s="145">
        <f>DE459*DE482</f>
        <v>37.352000000000004</v>
      </c>
      <c r="DF461" s="81">
        <f>IF(ISERROR((DE461/CW461-1)*100),"NA",IF(((DE461/CW461-1)*100)&gt;100,"NM",IF(((DE461/CW461-1)*100)&lt;-50,"NM",(DE461/CW461-1)*100)))</f>
        <v>7.6246195517097215</v>
      </c>
      <c r="DG461" s="145">
        <f>DG459*DG482</f>
        <v>36.945999999999998</v>
      </c>
      <c r="DH461" s="81">
        <f>IF(ISERROR((DG461/CY461-1)*100),"NA",IF(((DG461/CY461-1)*100)&gt;100,"NM",IF(((DG461/CY461-1)*100)&lt;-50,"NM",(DG461/CY461-1)*100)))</f>
        <v>-3.3255337249122108</v>
      </c>
      <c r="DI461" s="145">
        <f>DI459*DI482</f>
        <v>41.563500000000005</v>
      </c>
      <c r="DJ461" s="81">
        <f>IF(ISERROR((DI461/DA461-1)*100),"NA",IF(((DI461/DA461-1)*100)&gt;100,"NM",IF(((DI461/DA461-1)*100)&lt;-50,"NM",(DI461/DA461-1)*100)))</f>
        <v>9.7668778977961779</v>
      </c>
      <c r="DK461" s="145">
        <f>DK459*DK482</f>
        <v>41.629500000000007</v>
      </c>
      <c r="DL461" s="81">
        <f>IF(ISERROR((DK461/DC461-1)*100),"NA",IF(((DK461/DC461-1)*100)&gt;100,"NM",IF(((DK461/DC461-1)*100)&lt;-50,"NM",(DK461/DC461-1)*100)))</f>
        <v>10.423076923076957</v>
      </c>
      <c r="DM461" s="145">
        <f>DM459*DM482</f>
        <v>41.167500000000004</v>
      </c>
      <c r="DN461" s="81">
        <f>IF(ISERROR((DM461/DE461-1)*100),"NA",IF(((DM461/DE461-1)*100)&gt;100,"NM",IF(((DM461/DE461-1)*100)&lt;-50,"NM",(DM461/DE461-1)*100)))</f>
        <v>10.214981794816879</v>
      </c>
      <c r="DO461" s="145">
        <f>DO459*DO482</f>
        <v>40.689</v>
      </c>
      <c r="DP461" s="81">
        <f>IF(ISERROR((DO461/DG461-1)*100),"NA",IF(((DO461/DG461-1)*100)&gt;100,"NM",IF(((DO461/DG461-1)*100)&lt;-50,"NM",(DO461/DG461-1)*100)))</f>
        <v>10.131002002923184</v>
      </c>
      <c r="DQ461" s="145">
        <f>DQ459*DQ482</f>
        <v>40.161000000000001</v>
      </c>
      <c r="DR461" s="81">
        <f>IF(ISERROR((DQ461/DI461-1)*100),"NA",IF(((DQ461/DI461-1)*100)&gt;100,"NM",IF(((DQ461/DI461-1)*100)&lt;-50,"NM",(DQ461/DI461-1)*100)))</f>
        <v>-3.374354902739185</v>
      </c>
      <c r="DS461" s="145">
        <f>DS459*DS482</f>
        <v>39.7485</v>
      </c>
      <c r="DT461" s="81">
        <f>IF(ISERROR((DS461/DK461-1)*100),"NA",IF(((DS461/DK461-1)*100)&gt;100,"NM",IF(((DS461/DK461-1)*100)&lt;-50,"NM",(DS461/DK461-1)*100)))</f>
        <v>-4.5184304399524589</v>
      </c>
      <c r="DU461" s="145">
        <f>DU459*DU482</f>
        <v>43.981900000000003</v>
      </c>
      <c r="DV461" s="81">
        <f>IF(ISERROR((DU461/DM461-1)*100),"NA",IF(((DU461/DM461-1)*100)&gt;100,"NM",IF(((DU461/DM461-1)*100)&lt;-50,"NM",(DU461/DM461-1)*100)))</f>
        <v>6.836460800388644</v>
      </c>
      <c r="DW461" s="145">
        <f>DW459*DW482</f>
        <v>43.480550000000001</v>
      </c>
      <c r="DX461" s="81">
        <f>IF(ISERROR((DW461/DO461-1)*100),"NA",IF(((DW461/DO461-1)*100)&gt;100,"NM",IF(((DW461/DO461-1)*100)&lt;-50,"NM",(DW461/DO461-1)*100)))</f>
        <v>6.8606994519403219</v>
      </c>
      <c r="DY461" s="145">
        <f>DY459*DY482</f>
        <v>42.938499999999998</v>
      </c>
      <c r="DZ461" s="81">
        <f>IF(ISERROR((DY461/DQ461-1)*100),"NA",IF(((DY461/DQ461-1)*100)&gt;100,"NM",IF(((DY461/DQ461-1)*100)&lt;-50,"NM",(DY461/DQ461-1)*100)))</f>
        <v>6.9159134483703033</v>
      </c>
      <c r="EA461" s="145">
        <f>EA459*EA482</f>
        <v>43.662000000000006</v>
      </c>
      <c r="EB461" s="81">
        <f>IF(ISERROR((EA461/DS461-1)*100),"NA",IF(((EA461/DS461-1)*100)&gt;100,"NM",IF(((EA461/DS461-1)*100)&lt;-50,"NM",(EA461/DS461-1)*100)))</f>
        <v>9.8456545530020136</v>
      </c>
      <c r="EC461" s="145">
        <f>EC459*EC482</f>
        <v>45.620000000000005</v>
      </c>
      <c r="ED461" s="81">
        <f t="shared" si="1695"/>
        <v>3.7244866638321605</v>
      </c>
      <c r="EE461" s="145">
        <f>EE459*EE482</f>
        <v>45.22</v>
      </c>
      <c r="EF461" s="81">
        <f t="shared" si="1696"/>
        <v>4.0005243723917783</v>
      </c>
      <c r="EG461" s="145">
        <f>EG459*EG482</f>
        <v>51.612000000000002</v>
      </c>
      <c r="EH461" s="81">
        <f t="shared" si="1697"/>
        <v>20.199820673754342</v>
      </c>
      <c r="EI461" s="145">
        <f>EI459*EI482</f>
        <v>51.175000000000004</v>
      </c>
      <c r="EJ461" s="81">
        <f t="shared" si="1698"/>
        <v>17.207182446979054</v>
      </c>
      <c r="EK461" s="145">
        <f t="shared" ref="EK461:EQ461" si="1707">EK459*EK482</f>
        <v>50.734803094872895</v>
      </c>
      <c r="EL461" s="81">
        <f t="shared" si="1700"/>
        <v>11.211756016819141</v>
      </c>
      <c r="EM461" s="145">
        <f t="shared" si="1707"/>
        <v>50.301366940299133</v>
      </c>
      <c r="EN461" s="81">
        <f t="shared" si="1702"/>
        <v>11.236990137768977</v>
      </c>
      <c r="EO461" s="145">
        <f t="shared" si="1707"/>
        <v>57.355494174642672</v>
      </c>
      <c r="EP461" s="81">
        <f t="shared" si="1703"/>
        <v>11.128214707127547</v>
      </c>
      <c r="EQ461" s="145">
        <f t="shared" si="1707"/>
        <v>56.871716201149667</v>
      </c>
      <c r="ER461" s="81">
        <f t="shared" si="1705"/>
        <v>11.131834296335441</v>
      </c>
      <c r="ES461" s="82"/>
      <c r="ET461" s="490"/>
      <c r="EU461" s="82"/>
      <c r="EV461" s="145"/>
      <c r="EW461" s="79"/>
      <c r="EX461" s="145"/>
      <c r="EY461" s="79"/>
      <c r="EZ461" s="145"/>
      <c r="FA461" s="79"/>
      <c r="FB461" s="145">
        <f>FB459*FB485</f>
        <v>143.73373396749997</v>
      </c>
      <c r="FC461" s="79" t="str">
        <f>IF(ISERROR((FB461/EZ461-1)*100),"NA",IF(((FB461/EZ461-1)*100)&gt;100,"NM",IF(((FB461/EZ461-1)*100)&lt;-50,"NM",(FB461/EZ461-1)*100)))</f>
        <v>NA</v>
      </c>
      <c r="FD461" s="145">
        <f>FD459*FD485</f>
        <v>143.41398863000001</v>
      </c>
      <c r="FE461" s="79">
        <f>IF(ISERROR((FD461/FB461-1)*100),"NA",IF(((FD461/FB461-1)*100)&gt;100,"NM",IF(((FD461/FB461-1)*100)&lt;-50,"NM",(FD461/FB461-1)*100)))</f>
        <v>-0.22245671122150812</v>
      </c>
      <c r="FF461" s="145">
        <f>FF459*FF482</f>
        <v>88.843026599999988</v>
      </c>
      <c r="FG461" s="79">
        <f>IF(ISERROR((FF461/FD461-1)*100),"NA",IF(((FF461/FD461-1)*100)&gt;100,"NM",IF(((FF461/FD461-1)*100)&lt;-50,"NM",(FF461/FD461-1)*100)))</f>
        <v>-38.05135227832622</v>
      </c>
      <c r="FH461" s="145">
        <f>FH459*FH482</f>
        <v>88.963773899999993</v>
      </c>
      <c r="FI461" s="79">
        <f>IF(ISERROR((FH461/FF461-1)*100),"NA",IF(((FH461/FF461-1)*100)&gt;100,"NM",IF(((FH461/FF461-1)*100)&lt;-50,"NM",(FH461/FF461-1)*100)))</f>
        <v>0.13591083579767016</v>
      </c>
      <c r="FJ461" s="145">
        <f>FJ459*FJ482</f>
        <v>89.567329200000003</v>
      </c>
      <c r="FK461" s="79">
        <f>IF(ISERROR((FJ461/FH461-1)*100),"NA",IF(((FJ461/FH461-1)*100)&gt;100,"NM",IF(((FJ461/FH461-1)*100)&lt;-50,"NM",(FJ461/FH461-1)*100)))</f>
        <v>0.6784281663662739</v>
      </c>
      <c r="FL461" s="145">
        <f>FL459*FL482</f>
        <v>102.7882563</v>
      </c>
      <c r="FM461" s="79">
        <f>IF(ISERROR((FL461/FJ461-1)*100),"NA",IF(((FL461/FJ461-1)*100)&gt;100,"NM",IF(((FL461/FJ461-1)*100)&lt;-50,"NM",(FL461/FJ461-1)*100)))</f>
        <v>14.760881247757474</v>
      </c>
      <c r="FN461" s="145">
        <f>FN459*FN482</f>
        <v>108.26804250000001</v>
      </c>
      <c r="FO461" s="79">
        <f>IF(ISERROR((FN461/FL461-1)*100),"NA",IF(((FN461/FL461-1)*100)&gt;100,"NM",IF(((FN461/FL461-1)*100)&lt;-50,"NM",(FN461/FL461-1)*100)))</f>
        <v>5.3311403435102322</v>
      </c>
      <c r="FP461" s="145">
        <f>FP459*FP482</f>
        <v>99.336103499999993</v>
      </c>
      <c r="FQ461" s="79">
        <f>IF(ISERROR((FP461/FN461-1)*100),"NA",IF(((FP461/FN461-1)*100)&gt;100,"NM",IF(((FP461/FN461-1)*100)&lt;-50,"NM",(FP461/FN461-1)*100)))</f>
        <v>-8.2498388201670991</v>
      </c>
      <c r="FR461" s="145">
        <f>FR459*FR482</f>
        <v>104.519912805</v>
      </c>
      <c r="FS461" s="79">
        <f>IF(ISERROR((FR461/FP461-1)*100),"NA",IF(((FR461/FP461-1)*100)&gt;100,"NM",IF(((FR461/FP461-1)*100)&lt;-50,"NM",(FR461/FP461-1)*100)))</f>
        <v>5.2184544413905076</v>
      </c>
      <c r="FT461" s="145">
        <f>FT459*FT482</f>
        <v>110.80070819999999</v>
      </c>
      <c r="FU461" s="79">
        <f>IF(ISERROR((FT461/FR461-1)*100),"NA",IF(((FT461/FR461-1)*100)&gt;100,"NM",IF(((FT461/FR461-1)*100)&lt;-50,"NM",(FT461/FR461-1)*100)))</f>
        <v>6.0091854522667854</v>
      </c>
      <c r="FV461" s="145">
        <f>FV459*FV482</f>
        <v>115.62280183</v>
      </c>
      <c r="FW461" s="79">
        <f>IF(ISERROR((FV461/FT461-1)*100),"NA",IF(((FV461/FT461-1)*100)&gt;100,"NM",IF(((FV461/FT461-1)*100)&lt;-50,"NM",(FV461/FT461-1)*100)))</f>
        <v>4.3520422462426156</v>
      </c>
      <c r="FX461" s="145">
        <f>FX459*FX482</f>
        <v>126.99643694999997</v>
      </c>
      <c r="FY461" s="79">
        <f>IF(ISERROR((FX461/FV461-1)*100),"NA",IF(((FX461/FV461-1)*100)&gt;100,"NM",IF(((FX461/FV461-1)*100)&lt;-50,"NM",(FX461/FV461-1)*100)))</f>
        <v>9.8368444112975304</v>
      </c>
      <c r="FZ461" s="145">
        <f>FZ459*FZ482</f>
        <v>146.9</v>
      </c>
      <c r="GA461" s="79">
        <f>IF(ISERROR((FZ461/FX461-1)*100),"NA",IF(((FZ461/FX461-1)*100)&gt;100,"NM",IF(((FZ461/FX461-1)*100)&lt;-50,"NM",(FZ461/FX461-1)*100)))</f>
        <v>15.672536590799236</v>
      </c>
      <c r="GB461" s="145">
        <f>GB459*GB482</f>
        <v>156.42600000000002</v>
      </c>
      <c r="GC461" s="79">
        <f>IF(ISERROR((GB461/FZ461-1)*100),"NA",IF(((GB461/FZ461-1)*100)&gt;100,"NM",IF(((GB461/FZ461-1)*100)&lt;-50,"NM",(GB461/FZ461-1)*100)))</f>
        <v>6.484683458134799</v>
      </c>
      <c r="GD461" s="145">
        <f>GD459*GD482</f>
        <v>158.994</v>
      </c>
      <c r="GE461" s="79">
        <f>IF(ISERROR((GD461/GB461-1)*100),"NA",IF(((GD461/GB461-1)*100)&gt;100,"NM",IF(((GD461/GB461-1)*100)&lt;-50,"NM",(GD461/GB461-1)*100)))</f>
        <v>1.6416708219860965</v>
      </c>
      <c r="GF461" s="145">
        <f>GF459*GF482</f>
        <v>171.20099999999999</v>
      </c>
      <c r="GG461" s="79">
        <f>IF(ISERROR((GF461/GD461-1)*100),"NA",IF(((GF461/GD461-1)*100)&gt;100,"NM",IF(((GF461/GD461-1)*100)&lt;-50,"NM",(GF461/GD461-1)*100)))</f>
        <v>7.6776482131401202</v>
      </c>
      <c r="GH461" s="145">
        <f>GH459*GH482</f>
        <v>191.35</v>
      </c>
      <c r="GI461" s="79">
        <f>IF(ISERROR((GH461/GF461-1)*100),"NA",IF(((GH461/GF461-1)*100)&gt;100,"NM",IF(((GH461/GF461-1)*100)&lt;-50,"NM",(GH461/GF461-1)*100)))</f>
        <v>11.769206955566847</v>
      </c>
      <c r="GJ461" s="145">
        <f>GJ459*GJ482</f>
        <v>212.65076492603791</v>
      </c>
      <c r="GK461" s="79">
        <f>IF(ISERROR((GJ461/GH461-1)*100),"NA",IF(((GJ461/GH461-1)*100)&gt;100,"NM",IF(((GJ461/GH461-1)*100)&lt;-50,"NM",(GJ461/GH461-1)*100)))</f>
        <v>11.131834296335462</v>
      </c>
      <c r="GL461" s="145">
        <f>GL459*GL482</f>
        <v>226.23445505918966</v>
      </c>
      <c r="GM461" s="79">
        <f>IF(ISERROR((GL461/GJ461-1)*100),"NA",IF(((GL461/GJ461-1)*100)&gt;100,"NM",IF(((GL461/GJ461-1)*100)&lt;-50,"NM",(GL461/GJ461-1)*100)))</f>
        <v>6.3877927445388227</v>
      </c>
      <c r="GN461" s="145">
        <f>GN459*GN482</f>
        <v>240.37945859664006</v>
      </c>
      <c r="GO461" s="79">
        <f>IF(ISERROR((GN461/GL461-1)*100),"NA",IF(((GN461/GL461-1)*100)&gt;100,"NM",IF(((GN461/GL461-1)*100)&lt;-50,"NM",(GN461/GL461-1)*100)))</f>
        <v>6.2523648459071657</v>
      </c>
      <c r="GP461" s="145">
        <f>GP459*GP482</f>
        <v>255.60285404272076</v>
      </c>
      <c r="GQ461" s="79">
        <f>IF(ISERROR((GP461/GN461-1)*100),"NA",IF(((GP461/GN461-1)*100)&gt;100,"NM",IF(((GP461/GN461-1)*100)&lt;-50,"NM",(GP461/GN461-1)*100)))</f>
        <v>6.3330683640592467</v>
      </c>
      <c r="GR461" s="145">
        <f>GR459*GR482</f>
        <v>271.45211415521538</v>
      </c>
      <c r="GS461" s="79">
        <f>IF(ISERROR((GR461/GP461-1)*100),"NA",IF(((GR461/GP461-1)*100)&gt;100,"NM",IF(((GR461/GP461-1)*100)&lt;-50,"NM",(GR461/GP461-1)*100)))</f>
        <v>6.2007367530589441</v>
      </c>
      <c r="GT461" s="79">
        <f>IF(ISERROR(((GR461/GH461)^0.2-1)*100),"NA",(IF(OR(((GR461/GH461)^0.2-1)*100&gt;99,((GR461/GH461)^0.2-1)*100&lt;-50),"NM",(((GR461/GH461)^0.2-1)*100))))</f>
        <v>7.2439872558021534</v>
      </c>
    </row>
    <row r="462" spans="1:286" ht="12.75" customHeight="1" x14ac:dyDescent="0.2">
      <c r="A462" s="1"/>
      <c r="B462" s="68"/>
      <c r="C462" s="79"/>
      <c r="D462" s="79"/>
      <c r="E462" s="129"/>
      <c r="F462" s="129"/>
      <c r="G462" s="129"/>
      <c r="H462" s="129"/>
      <c r="I462" s="129"/>
      <c r="J462" s="129"/>
      <c r="K462" s="129"/>
      <c r="L462" s="79"/>
      <c r="M462" s="129"/>
      <c r="N462" s="79"/>
      <c r="O462" s="129"/>
      <c r="P462" s="79"/>
      <c r="Q462" s="129"/>
      <c r="R462" s="79"/>
      <c r="S462" s="129"/>
      <c r="T462" s="79"/>
      <c r="U462" s="129"/>
      <c r="V462" s="79"/>
      <c r="W462" s="129"/>
      <c r="X462" s="79"/>
      <c r="Y462" s="129"/>
      <c r="Z462" s="79"/>
      <c r="AA462" s="130"/>
      <c r="AB462" s="79"/>
      <c r="AC462" s="129"/>
      <c r="AD462" s="79"/>
      <c r="AE462" s="129"/>
      <c r="AF462" s="79"/>
      <c r="AG462" s="129"/>
      <c r="AH462" s="79"/>
      <c r="AI462" s="129"/>
      <c r="AJ462" s="79"/>
      <c r="AK462" s="129"/>
      <c r="AL462" s="79"/>
      <c r="AM462" s="129"/>
      <c r="AN462" s="79"/>
      <c r="AO462" s="129"/>
      <c r="AP462" s="79"/>
      <c r="AQ462" s="129"/>
      <c r="AR462" s="79"/>
      <c r="AS462" s="129"/>
      <c r="AT462" s="81"/>
      <c r="AU462" s="129"/>
      <c r="AV462" s="81"/>
      <c r="AW462" s="129"/>
      <c r="AX462" s="81"/>
      <c r="AY462" s="129"/>
      <c r="AZ462" s="81"/>
      <c r="BA462" s="129"/>
      <c r="BB462" s="81"/>
      <c r="BC462" s="129"/>
      <c r="BD462" s="81"/>
      <c r="BE462" s="129"/>
      <c r="BF462" s="81"/>
      <c r="BG462" s="129"/>
      <c r="BH462" s="81"/>
      <c r="BI462" s="129"/>
      <c r="BJ462" s="81"/>
      <c r="BK462" s="129"/>
      <c r="BL462" s="81"/>
      <c r="BM462" s="129"/>
      <c r="BN462" s="81"/>
      <c r="BO462" s="129"/>
      <c r="BP462" s="81"/>
      <c r="BQ462" s="129"/>
      <c r="BR462" s="81"/>
      <c r="BS462" s="129"/>
      <c r="BT462" s="81"/>
      <c r="BU462" s="129"/>
      <c r="BV462" s="81"/>
      <c r="BW462" s="129"/>
      <c r="BX462" s="81"/>
      <c r="BY462" s="129"/>
      <c r="BZ462" s="81"/>
      <c r="CA462" s="129"/>
      <c r="CB462" s="81"/>
      <c r="CC462" s="129"/>
      <c r="CD462" s="81"/>
      <c r="CE462" s="129"/>
      <c r="CF462" s="81"/>
      <c r="CG462" s="129"/>
      <c r="CH462" s="81"/>
      <c r="CI462" s="129"/>
      <c r="CJ462" s="81"/>
      <c r="CK462" s="129"/>
      <c r="CL462" s="81"/>
      <c r="CM462" s="129"/>
      <c r="CN462" s="81"/>
      <c r="CO462" s="129"/>
      <c r="CP462" s="81"/>
      <c r="CQ462" s="129"/>
      <c r="CR462" s="81"/>
      <c r="CS462" s="129"/>
      <c r="CT462" s="81"/>
      <c r="CU462" s="129"/>
      <c r="CV462" s="81"/>
      <c r="CW462" s="129"/>
      <c r="CX462" s="81"/>
      <c r="CY462" s="129"/>
      <c r="CZ462" s="81"/>
      <c r="DA462" s="129"/>
      <c r="DB462" s="81"/>
      <c r="DC462" s="129"/>
      <c r="DD462" s="81"/>
      <c r="DE462" s="129"/>
      <c r="DF462" s="81"/>
      <c r="DG462" s="129"/>
      <c r="DH462" s="81"/>
      <c r="DI462" s="129"/>
      <c r="DJ462" s="81"/>
      <c r="DK462" s="129"/>
      <c r="DL462" s="81"/>
      <c r="DM462" s="129"/>
      <c r="DN462" s="81"/>
      <c r="DO462" s="129"/>
      <c r="DP462" s="81"/>
      <c r="DQ462" s="129"/>
      <c r="DR462" s="81"/>
      <c r="DS462" s="129"/>
      <c r="DT462" s="81"/>
      <c r="DU462" s="129"/>
      <c r="DV462" s="81"/>
      <c r="DW462" s="129"/>
      <c r="DX462" s="81"/>
      <c r="DY462" s="129"/>
      <c r="DZ462" s="81"/>
      <c r="EA462" s="129"/>
      <c r="EB462" s="81"/>
      <c r="EC462" s="129"/>
      <c r="ED462" s="81"/>
      <c r="EE462" s="129"/>
      <c r="EF462" s="81"/>
      <c r="EG462" s="129"/>
      <c r="EH462" s="81"/>
      <c r="EI462" s="129"/>
      <c r="EJ462" s="81"/>
      <c r="EK462" s="129"/>
      <c r="EL462" s="81"/>
      <c r="EM462" s="129"/>
      <c r="EN462" s="81"/>
      <c r="EO462" s="129"/>
      <c r="EP462" s="81"/>
      <c r="EQ462" s="129"/>
      <c r="ER462" s="81"/>
      <c r="ES462" s="328"/>
      <c r="ET462" s="490"/>
      <c r="EU462" s="328"/>
      <c r="EV462" s="327"/>
      <c r="EW462" s="79"/>
      <c r="EX462" s="327"/>
      <c r="EY462" s="79"/>
      <c r="EZ462" s="327"/>
      <c r="FA462" s="79"/>
      <c r="FB462" s="327"/>
      <c r="FC462" s="79"/>
      <c r="FD462" s="327"/>
      <c r="FE462" s="79"/>
      <c r="FF462" s="327"/>
      <c r="FG462" s="79"/>
      <c r="FH462" s="327"/>
      <c r="FI462" s="79"/>
      <c r="FJ462" s="327"/>
      <c r="FK462" s="79"/>
      <c r="FL462" s="327"/>
      <c r="FM462" s="79"/>
      <c r="FN462" s="327"/>
      <c r="FO462" s="79"/>
      <c r="FP462" s="327"/>
      <c r="FQ462" s="79"/>
      <c r="FR462" s="129"/>
      <c r="FS462" s="79"/>
      <c r="FT462" s="129"/>
      <c r="FU462" s="79"/>
      <c r="FV462" s="129"/>
      <c r="FW462" s="79"/>
      <c r="FX462" s="129"/>
      <c r="FY462" s="79"/>
      <c r="FZ462" s="129"/>
      <c r="GA462" s="79"/>
      <c r="GB462" s="129"/>
      <c r="GC462" s="79"/>
      <c r="GD462" s="129"/>
      <c r="GE462" s="79"/>
      <c r="GF462" s="129"/>
      <c r="GG462" s="79"/>
      <c r="GH462" s="129"/>
      <c r="GI462" s="79"/>
      <c r="GJ462" s="129"/>
      <c r="GK462" s="79"/>
      <c r="GL462" s="129"/>
      <c r="GM462" s="79"/>
      <c r="GN462" s="129"/>
      <c r="GO462" s="79"/>
      <c r="GP462" s="129"/>
      <c r="GQ462" s="79"/>
      <c r="GR462" s="129"/>
      <c r="GS462" s="79"/>
      <c r="GT462" s="79"/>
    </row>
    <row r="463" spans="1:286" ht="12.75" customHeight="1" x14ac:dyDescent="0.2">
      <c r="A463" s="1"/>
      <c r="B463" s="68" t="s">
        <v>152</v>
      </c>
      <c r="C463" s="79"/>
      <c r="D463" s="79"/>
      <c r="E463" s="82"/>
      <c r="F463" s="82"/>
      <c r="G463" s="82"/>
      <c r="H463" s="82"/>
      <c r="I463" s="82"/>
      <c r="J463" s="82"/>
      <c r="K463" s="82"/>
      <c r="L463" s="79"/>
      <c r="M463" s="82"/>
      <c r="N463" s="79"/>
      <c r="O463" s="82"/>
      <c r="P463" s="79"/>
      <c r="Q463" s="82"/>
      <c r="R463" s="79"/>
      <c r="S463" s="82"/>
      <c r="T463" s="79"/>
      <c r="U463" s="82"/>
      <c r="V463" s="79"/>
      <c r="W463" s="82"/>
      <c r="X463" s="79"/>
      <c r="Y463" s="82"/>
      <c r="Z463" s="79"/>
      <c r="AA463" s="130"/>
      <c r="AB463" s="79"/>
      <c r="AC463" s="82"/>
      <c r="AD463" s="79"/>
      <c r="AE463" s="82"/>
      <c r="AF463" s="79"/>
      <c r="AG463" s="82"/>
      <c r="AH463" s="79"/>
      <c r="AI463" s="82"/>
      <c r="AJ463" s="79"/>
      <c r="AK463" s="82"/>
      <c r="AL463" s="79"/>
      <c r="AM463" s="82"/>
      <c r="AN463" s="79"/>
      <c r="AO463" s="82"/>
      <c r="AP463" s="79"/>
      <c r="AQ463" s="82"/>
      <c r="AR463" s="79"/>
      <c r="AS463" s="82"/>
      <c r="AT463" s="81"/>
      <c r="AU463" s="82"/>
      <c r="AV463" s="81"/>
      <c r="AW463" s="82"/>
      <c r="AX463" s="81"/>
      <c r="AY463" s="82"/>
      <c r="AZ463" s="81"/>
      <c r="BA463" s="82"/>
      <c r="BB463" s="81"/>
      <c r="BC463" s="82"/>
      <c r="BD463" s="81"/>
      <c r="BE463" s="82"/>
      <c r="BF463" s="81"/>
      <c r="BG463" s="82"/>
      <c r="BH463" s="81"/>
      <c r="BI463" s="82"/>
      <c r="BJ463" s="81"/>
      <c r="BK463" s="82"/>
      <c r="BL463" s="81"/>
      <c r="BM463" s="82"/>
      <c r="BN463" s="81"/>
      <c r="BO463" s="82"/>
      <c r="BP463" s="81"/>
      <c r="BQ463" s="82"/>
      <c r="BR463" s="81"/>
      <c r="BS463" s="82"/>
      <c r="BT463" s="81"/>
      <c r="BU463" s="82"/>
      <c r="BV463" s="81"/>
      <c r="BW463" s="82"/>
      <c r="BX463" s="81"/>
      <c r="BY463" s="82"/>
      <c r="BZ463" s="81"/>
      <c r="CA463" s="82"/>
      <c r="CB463" s="81"/>
      <c r="CC463" s="82"/>
      <c r="CD463" s="81"/>
      <c r="CE463" s="82"/>
      <c r="CF463" s="81"/>
      <c r="CG463" s="82"/>
      <c r="CH463" s="81"/>
      <c r="CI463" s="82"/>
      <c r="CJ463" s="81"/>
      <c r="CK463" s="82"/>
      <c r="CL463" s="81"/>
      <c r="CM463" s="82"/>
      <c r="CN463" s="81"/>
      <c r="CO463" s="82"/>
      <c r="CP463" s="81"/>
      <c r="CQ463" s="82"/>
      <c r="CR463" s="81"/>
      <c r="CS463" s="82"/>
      <c r="CT463" s="81"/>
      <c r="CU463" s="82"/>
      <c r="CV463" s="81"/>
      <c r="CW463" s="82"/>
      <c r="CX463" s="81"/>
      <c r="CY463" s="82"/>
      <c r="CZ463" s="81"/>
      <c r="DA463" s="82"/>
      <c r="DB463" s="81"/>
      <c r="DC463" s="82"/>
      <c r="DD463" s="81"/>
      <c r="DE463" s="82"/>
      <c r="DF463" s="81"/>
      <c r="DG463" s="82"/>
      <c r="DH463" s="81"/>
      <c r="DI463" s="82"/>
      <c r="DJ463" s="81"/>
      <c r="DK463" s="82"/>
      <c r="DL463" s="81"/>
      <c r="DM463" s="82"/>
      <c r="DN463" s="81"/>
      <c r="DO463" s="82"/>
      <c r="DP463" s="81"/>
      <c r="DQ463" s="82"/>
      <c r="DR463" s="81"/>
      <c r="DS463" s="82"/>
      <c r="DT463" s="81"/>
      <c r="DU463" s="82"/>
      <c r="DV463" s="81"/>
      <c r="DW463" s="82"/>
      <c r="DX463" s="81"/>
      <c r="DY463" s="82"/>
      <c r="DZ463" s="81"/>
      <c r="EA463" s="82"/>
      <c r="EB463" s="81"/>
      <c r="EC463" s="82"/>
      <c r="ED463" s="81"/>
      <c r="EE463" s="82"/>
      <c r="EF463" s="81"/>
      <c r="EG463" s="82"/>
      <c r="EH463" s="81"/>
      <c r="EI463" s="82"/>
      <c r="EJ463" s="81"/>
      <c r="EK463" s="82"/>
      <c r="EL463" s="81"/>
      <c r="EM463" s="82"/>
      <c r="EN463" s="81"/>
      <c r="EO463" s="82"/>
      <c r="EP463" s="81"/>
      <c r="EQ463" s="82"/>
      <c r="ER463" s="81"/>
      <c r="ES463" s="328"/>
      <c r="ET463" s="490"/>
      <c r="EU463" s="328"/>
      <c r="EV463" s="327"/>
      <c r="EW463" s="79"/>
      <c r="EX463" s="327"/>
      <c r="EY463" s="79"/>
      <c r="EZ463" s="327"/>
      <c r="FA463" s="79"/>
      <c r="FB463" s="327"/>
      <c r="FC463" s="79"/>
      <c r="FD463" s="327"/>
      <c r="FE463" s="79"/>
      <c r="FF463" s="327"/>
      <c r="FG463" s="79"/>
      <c r="FH463" s="327"/>
      <c r="FI463" s="79"/>
      <c r="FJ463" s="327"/>
      <c r="FK463" s="79"/>
      <c r="FL463" s="327"/>
      <c r="FM463" s="79"/>
      <c r="FN463" s="327"/>
      <c r="FO463" s="79"/>
      <c r="FP463" s="327"/>
      <c r="FQ463" s="79"/>
      <c r="FR463" s="82"/>
      <c r="FS463" s="79"/>
      <c r="FT463" s="82"/>
      <c r="FU463" s="79"/>
      <c r="FV463" s="82"/>
      <c r="FW463" s="79"/>
      <c r="FX463" s="82"/>
      <c r="FY463" s="79"/>
      <c r="FZ463" s="82"/>
      <c r="GA463" s="79"/>
      <c r="GB463" s="82"/>
      <c r="GC463" s="79"/>
      <c r="GD463" s="82"/>
      <c r="GE463" s="79"/>
      <c r="GF463" s="82"/>
      <c r="GG463" s="79"/>
      <c r="GH463" s="82"/>
      <c r="GI463" s="79"/>
      <c r="GJ463" s="82"/>
      <c r="GK463" s="79"/>
      <c r="GL463" s="82"/>
      <c r="GM463" s="79"/>
      <c r="GN463" s="82"/>
      <c r="GO463" s="79"/>
      <c r="GP463" s="82"/>
      <c r="GQ463" s="79"/>
      <c r="GR463" s="82"/>
      <c r="GS463" s="79"/>
      <c r="GT463" s="79"/>
    </row>
    <row r="464" spans="1:286" ht="12.75" customHeight="1" x14ac:dyDescent="0.2">
      <c r="A464" s="1"/>
      <c r="B464" s="2"/>
      <c r="C464" s="79"/>
      <c r="D464" s="79"/>
      <c r="E464" s="129"/>
      <c r="F464" s="129"/>
      <c r="G464" s="129"/>
      <c r="H464" s="129"/>
      <c r="I464" s="129"/>
      <c r="J464" s="129"/>
      <c r="K464" s="129"/>
      <c r="L464" s="79"/>
      <c r="M464" s="129"/>
      <c r="N464" s="79"/>
      <c r="O464" s="129"/>
      <c r="P464" s="79"/>
      <c r="Q464" s="129"/>
      <c r="R464" s="79"/>
      <c r="S464" s="129"/>
      <c r="T464" s="79"/>
      <c r="U464" s="129"/>
      <c r="V464" s="79"/>
      <c r="W464" s="129"/>
      <c r="X464" s="79"/>
      <c r="Y464" s="129"/>
      <c r="Z464" s="79"/>
      <c r="AA464" s="130"/>
      <c r="AB464" s="79"/>
      <c r="AC464" s="129"/>
      <c r="AD464" s="79"/>
      <c r="AE464" s="129"/>
      <c r="AF464" s="79"/>
      <c r="AG464" s="129"/>
      <c r="AH464" s="79"/>
      <c r="AI464" s="129"/>
      <c r="AJ464" s="79"/>
      <c r="AK464" s="129"/>
      <c r="AL464" s="79"/>
      <c r="AM464" s="129"/>
      <c r="AN464" s="79"/>
      <c r="AO464" s="129"/>
      <c r="AP464" s="79"/>
      <c r="AQ464" s="129"/>
      <c r="AR464" s="79"/>
      <c r="AS464" s="129"/>
      <c r="AT464" s="81"/>
      <c r="AU464" s="129"/>
      <c r="AV464" s="81"/>
      <c r="AW464" s="129"/>
      <c r="AX464" s="81"/>
      <c r="AY464" s="129"/>
      <c r="AZ464" s="81"/>
      <c r="BA464" s="129"/>
      <c r="BB464" s="81"/>
      <c r="BC464" s="129"/>
      <c r="BD464" s="81"/>
      <c r="BE464" s="129"/>
      <c r="BF464" s="81"/>
      <c r="BG464" s="129"/>
      <c r="BH464" s="81"/>
      <c r="BI464" s="129"/>
      <c r="BJ464" s="81"/>
      <c r="BK464" s="129"/>
      <c r="BL464" s="81"/>
      <c r="BM464" s="129"/>
      <c r="BN464" s="81"/>
      <c r="BO464" s="129"/>
      <c r="BP464" s="81"/>
      <c r="BQ464" s="129"/>
      <c r="BR464" s="81"/>
      <c r="BS464" s="129"/>
      <c r="BT464" s="81"/>
      <c r="BU464" s="129"/>
      <c r="BV464" s="81"/>
      <c r="BW464" s="129"/>
      <c r="BX464" s="81"/>
      <c r="BY464" s="129"/>
      <c r="BZ464" s="81"/>
      <c r="CA464" s="129"/>
      <c r="CB464" s="81"/>
      <c r="CC464" s="129"/>
      <c r="CD464" s="81"/>
      <c r="CE464" s="129"/>
      <c r="CF464" s="81"/>
      <c r="CG464" s="129"/>
      <c r="CH464" s="81"/>
      <c r="CI464" s="129"/>
      <c r="CJ464" s="81"/>
      <c r="CK464" s="129"/>
      <c r="CL464" s="81"/>
      <c r="CM464" s="129"/>
      <c r="CN464" s="81"/>
      <c r="CO464" s="129"/>
      <c r="CP464" s="81"/>
      <c r="CQ464" s="129"/>
      <c r="CR464" s="81"/>
      <c r="CS464" s="129"/>
      <c r="CT464" s="81"/>
      <c r="CU464" s="129"/>
      <c r="CV464" s="81"/>
      <c r="CW464" s="129"/>
      <c r="CX464" s="81"/>
      <c r="CY464" s="129"/>
      <c r="CZ464" s="81"/>
      <c r="DA464" s="129"/>
      <c r="DB464" s="81"/>
      <c r="DC464" s="129"/>
      <c r="DD464" s="81"/>
      <c r="DE464" s="129"/>
      <c r="DF464" s="81"/>
      <c r="DG464" s="129"/>
      <c r="DH464" s="81"/>
      <c r="DI464" s="129"/>
      <c r="DJ464" s="81"/>
      <c r="DK464" s="129"/>
      <c r="DL464" s="81"/>
      <c r="DM464" s="129"/>
      <c r="DN464" s="81"/>
      <c r="DO464" s="129"/>
      <c r="DP464" s="81"/>
      <c r="DQ464" s="129"/>
      <c r="DR464" s="81"/>
      <c r="DS464" s="129"/>
      <c r="DT464" s="81"/>
      <c r="DU464" s="129"/>
      <c r="DV464" s="81"/>
      <c r="DW464" s="129"/>
      <c r="DX464" s="81"/>
      <c r="DY464" s="129"/>
      <c r="DZ464" s="81"/>
      <c r="EA464" s="129"/>
      <c r="EB464" s="81"/>
      <c r="EC464" s="129"/>
      <c r="ED464" s="81"/>
      <c r="EE464" s="129"/>
      <c r="EF464" s="81"/>
      <c r="EG464" s="129"/>
      <c r="EH464" s="81"/>
      <c r="EI464" s="129"/>
      <c r="EJ464" s="81"/>
      <c r="EK464" s="129"/>
      <c r="EL464" s="81"/>
      <c r="EM464" s="129"/>
      <c r="EN464" s="81"/>
      <c r="EO464" s="129"/>
      <c r="EP464" s="81"/>
      <c r="EQ464" s="129"/>
      <c r="ER464" s="81"/>
      <c r="ES464" s="328"/>
      <c r="ET464" s="490"/>
      <c r="EU464" s="328"/>
      <c r="EV464" s="327"/>
      <c r="EW464" s="79"/>
      <c r="EX464" s="327"/>
      <c r="EY464" s="79"/>
      <c r="EZ464" s="327"/>
      <c r="FA464" s="79"/>
      <c r="FB464" s="327"/>
      <c r="FC464" s="79"/>
      <c r="FD464" s="327"/>
      <c r="FE464" s="79"/>
      <c r="FF464" s="327"/>
      <c r="FG464" s="79"/>
      <c r="FH464" s="327"/>
      <c r="FI464" s="79"/>
      <c r="FJ464" s="327"/>
      <c r="FK464" s="79"/>
      <c r="FL464" s="327"/>
      <c r="FM464" s="79"/>
      <c r="FN464" s="327"/>
      <c r="FO464" s="79"/>
      <c r="FP464" s="327"/>
      <c r="FQ464" s="79"/>
      <c r="FR464" s="129"/>
      <c r="FS464" s="79"/>
      <c r="FT464" s="129"/>
      <c r="FU464" s="79"/>
      <c r="FV464" s="129"/>
      <c r="FW464" s="79"/>
      <c r="FX464" s="129"/>
      <c r="FY464" s="79"/>
      <c r="FZ464" s="129"/>
      <c r="GA464" s="79"/>
      <c r="GB464" s="129"/>
      <c r="GC464" s="79"/>
      <c r="GD464" s="129"/>
      <c r="GE464" s="79"/>
      <c r="GF464" s="129"/>
      <c r="GG464" s="79"/>
      <c r="GH464" s="129"/>
      <c r="GI464" s="79"/>
      <c r="GJ464" s="129"/>
      <c r="GK464" s="79"/>
      <c r="GL464" s="129"/>
      <c r="GM464" s="79"/>
      <c r="GN464" s="129"/>
      <c r="GO464" s="79"/>
      <c r="GP464" s="129"/>
      <c r="GQ464" s="79"/>
      <c r="GR464" s="129"/>
      <c r="GS464" s="79"/>
      <c r="GT464" s="79"/>
    </row>
    <row r="465" spans="1:286" ht="12.75" customHeight="1" x14ac:dyDescent="0.2">
      <c r="A465" s="1" t="s">
        <v>354</v>
      </c>
      <c r="B465" s="68" t="s">
        <v>153</v>
      </c>
      <c r="C465" s="79"/>
      <c r="D465" s="79"/>
      <c r="E465" s="332">
        <v>0</v>
      </c>
      <c r="F465" s="332"/>
      <c r="G465" s="332">
        <v>0</v>
      </c>
      <c r="H465" s="332"/>
      <c r="I465" s="332">
        <v>0</v>
      </c>
      <c r="J465" s="332"/>
      <c r="K465" s="332">
        <v>0</v>
      </c>
      <c r="L465" s="79"/>
      <c r="M465" s="332">
        <v>0</v>
      </c>
      <c r="N465" s="79" t="str">
        <f>IF(ISERROR((M465/E465-1)*100),"NA",IF(((M465/E465-1)*100)&gt;100,"NM",IF(((M465/E465-1)*100)&lt;-50,"NM",(M465/E465-1)*100)))</f>
        <v>NA</v>
      </c>
      <c r="O465" s="332">
        <v>0</v>
      </c>
      <c r="P465" s="79" t="str">
        <f>IF(ISERROR((O465/G465-1)*100),"NA",IF(((O465/G465-1)*100)&gt;100,"NM",IF(((O465/G465-1)*100)&lt;-50,"NM",(O465/G465-1)*100)))</f>
        <v>NA</v>
      </c>
      <c r="Q465" s="332">
        <v>0</v>
      </c>
      <c r="R465" s="79" t="str">
        <f>IF(ISERROR((Q465/I465-1)*100),"NA",IF(((Q465/I465-1)*100)&gt;100,"NM",IF(((Q465/I465-1)*100)&lt;-50,"NM",(Q465/I465-1)*100)))</f>
        <v>NA</v>
      </c>
      <c r="S465" s="332">
        <v>0</v>
      </c>
      <c r="T465" s="79" t="str">
        <f>IF(ISERROR((S465/K465-1)*100),"NA",IF(((S465/K465-1)*100)&gt;100,"NM",IF(((S465/K465-1)*100)&lt;-50,"NM",(S465/K465-1)*100)))</f>
        <v>NA</v>
      </c>
      <c r="U465" s="332">
        <v>0</v>
      </c>
      <c r="V465" s="79" t="str">
        <f>IF(ISERROR((U465/M465-1)*100),"NA",IF(((U465/M465-1)*100)&gt;100,"NM",IF(((U465/M465-1)*100)&lt;-50,"NM",(U465/M465-1)*100)))</f>
        <v>NA</v>
      </c>
      <c r="W465" s="332">
        <v>0</v>
      </c>
      <c r="X465" s="79" t="str">
        <f>IF(ISERROR((W465/O465-1)*100),"NA",IF(((W465/O465-1)*100)&gt;100,"NM",IF(((W465/O465-1)*100)&lt;-50,"NM",(W465/O465-1)*100)))</f>
        <v>NA</v>
      </c>
      <c r="Y465" s="332">
        <v>0</v>
      </c>
      <c r="Z465" s="79" t="str">
        <f>IF(ISERROR((Y465/Q465-1)*100),"NA",IF(((Y465/Q465-1)*100)&gt;100,"NM",IF(((Y465/Q465-1)*100)&lt;-50,"NM",(Y465/Q465-1)*100)))</f>
        <v>NA</v>
      </c>
      <c r="AA465" s="333">
        <v>0</v>
      </c>
      <c r="AB465" s="79" t="str">
        <f>IF(ISERROR((AA465/S465-1)*100),"NA",IF(((AA465/S465-1)*100)&gt;100,"NM",IF(((AA465/S465-1)*100)&lt;-50,"NM",(AA465/S465-1)*100)))</f>
        <v>NA</v>
      </c>
      <c r="AC465" s="332">
        <v>0</v>
      </c>
      <c r="AD465" s="79" t="str">
        <f>IF(ISERROR((AC465/U465-1)*100),"NA",IF(((AC465/U465-1)*100)&gt;100,"NM",IF(((AC465/U465-1)*100)&lt;-50,"NM",(AC465/U465-1)*100)))</f>
        <v>NA</v>
      </c>
      <c r="AE465" s="332">
        <v>0</v>
      </c>
      <c r="AF465" s="79" t="str">
        <f>IF(ISERROR((AE465/W465-1)*100),"NA",IF(((AE465/W465-1)*100)&gt;100,"NM",IF(((AE465/W465-1)*100)&lt;-50,"NM",(AE465/W465-1)*100)))</f>
        <v>NA</v>
      </c>
      <c r="AG465" s="332">
        <v>0</v>
      </c>
      <c r="AH465" s="79" t="str">
        <f>IF(ISERROR((AG465/Y465-1)*100),"NA",IF(((AG465/Y465-1)*100)&gt;100,"NM",IF(((AG465/Y465-1)*100)&lt;-50,"NM",(AG465/Y465-1)*100)))</f>
        <v>NA</v>
      </c>
      <c r="AI465" s="332">
        <v>0</v>
      </c>
      <c r="AJ465" s="79" t="str">
        <f>IF(ISERROR((AI465/AA465-1)*100),"NA",IF(((AI465/AA465-1)*100)&gt;100,"NM",IF(((AI465/AA465-1)*100)&lt;-50,"NM",(AI465/AA465-1)*100)))</f>
        <v>NA</v>
      </c>
      <c r="AK465" s="332">
        <v>0</v>
      </c>
      <c r="AL465" s="79" t="str">
        <f>IF(ISERROR((AK465/AC465-1)*100),"NA",IF(((AK465/AC465-1)*100)&gt;100,"NM",IF(((AK465/AC465-1)*100)&lt;-50,"NM",(AK465/AC465-1)*100)))</f>
        <v>NA</v>
      </c>
      <c r="AM465" s="332">
        <v>0</v>
      </c>
      <c r="AN465" s="79" t="str">
        <f>IF(ISERROR((AM465/AE465-1)*100),"NA",IF(((AM465/AE465-1)*100)&gt;100,"NM",IF(((AM465/AE465-1)*100)&lt;-50,"NM",(AM465/AE465-1)*100)))</f>
        <v>NA</v>
      </c>
      <c r="AO465" s="332">
        <v>0</v>
      </c>
      <c r="AP465" s="79" t="str">
        <f>IF(ISERROR((AO465/AG465-1)*100),"NA",IF(((AO465/AG465-1)*100)&gt;100,"NM",IF(((AO465/AG465-1)*100)&lt;-50,"NM",(AO465/AG465-1)*100)))</f>
        <v>NA</v>
      </c>
      <c r="AQ465" s="332">
        <v>0</v>
      </c>
      <c r="AR465" s="79" t="str">
        <f>IF(ISERROR((AQ465/AI465-1)*100),"NA",IF(((AQ465/AI465-1)*100)&gt;100,"NM",IF(((AQ465/AI465-1)*100)&lt;-50,"NM",(AQ465/AI465-1)*100)))</f>
        <v>NA</v>
      </c>
      <c r="AS465" s="334">
        <v>0</v>
      </c>
      <c r="AT465" s="81" t="str">
        <f>IF(ISERROR((AS465/AK465-1)*100),"NA",IF(((AS465/AK465-1)*100)&gt;100,"NM",IF(((AS465/AK465-1)*100)&lt;-50,"NM",(AS465/AK465-1)*100)))</f>
        <v>NA</v>
      </c>
      <c r="AU465" s="334">
        <v>0</v>
      </c>
      <c r="AV465" s="81" t="str">
        <f>IF(ISERROR((AU465/AM465-1)*100),"NA",IF(((AU465/AM465-1)*100)&gt;100,"NM",IF(((AU465/AM465-1)*100)&lt;-50,"NM",(AU465/AM465-1)*100)))</f>
        <v>NA</v>
      </c>
      <c r="AW465" s="334">
        <v>0</v>
      </c>
      <c r="AX465" s="81" t="str">
        <f>IF(ISERROR((AW465/AO465-1)*100),"NA",IF(((AW465/AO465-1)*100)&gt;100,"NM",IF(((AW465/AO465-1)*100)&lt;-50,"NM",(AW465/AO465-1)*100)))</f>
        <v>NA</v>
      </c>
      <c r="AY465" s="334">
        <v>0</v>
      </c>
      <c r="AZ465" s="81" t="str">
        <f>IF(ISERROR((AY465/AQ465-1)*100),"NA",IF(((AY465/AQ465-1)*100)&gt;100,"NM",IF(((AY465/AQ465-1)*100)&lt;-50,"NM",(AY465/AQ465-1)*100)))</f>
        <v>NA</v>
      </c>
      <c r="BA465" s="334">
        <v>0</v>
      </c>
      <c r="BB465" s="81" t="str">
        <f>IF(ISERROR((BA465/AS465-1)*100),"NA",IF(((BA465/AS465-1)*100)&gt;100,"NM",IF(((BA465/AS465-1)*100)&lt;-50,"NM",(BA465/AS465-1)*100)))</f>
        <v>NA</v>
      </c>
      <c r="BC465" s="334">
        <v>17.7</v>
      </c>
      <c r="BD465" s="81" t="str">
        <f>IF(ISERROR((BC465/AU465-1)*100),"NA",IF(((BC465/AU465-1)*100)&gt;100,"NM",IF(((BC465/AU465-1)*100)&lt;-50,"NM",(BC465/AU465-1)*100)))</f>
        <v>NA</v>
      </c>
      <c r="BE465" s="334">
        <v>0</v>
      </c>
      <c r="BF465" s="81" t="str">
        <f>IF(ISERROR((BE465/AW465-1)*100),"NA",IF(((BE465/AW465-1)*100)&gt;100,"NM",IF(((BE465/AW465-1)*100)&lt;-50,"NM",(BE465/AW465-1)*100)))</f>
        <v>NA</v>
      </c>
      <c r="BG465" s="334">
        <v>0</v>
      </c>
      <c r="BH465" s="81" t="str">
        <f>IF(ISERROR((BG465/AY465-1)*100),"NA",IF(((BG465/AY465-1)*100)&gt;100,"NM",IF(((BG465/AY465-1)*100)&lt;-50,"NM",(BG465/AY465-1)*100)))</f>
        <v>NA</v>
      </c>
      <c r="BI465" s="334">
        <v>0</v>
      </c>
      <c r="BJ465" s="81" t="str">
        <f>IF(ISERROR((BI465/BA465-1)*100),"NA",IF(((BI465/BA465-1)*100)&gt;100,"NM",IF(((BI465/BA465-1)*100)&lt;-50,"NM",(BI465/BA465-1)*100)))</f>
        <v>NA</v>
      </c>
      <c r="BK465" s="334">
        <v>0</v>
      </c>
      <c r="BL465" s="81" t="str">
        <f>IF(ISERROR((BK465/BC465-1)*100),"NA",IF(((BK465/BC465-1)*100)&gt;100,"NM",IF(((BK465/BC465-1)*100)&lt;-50,"NM",(BK465/BC465-1)*100)))</f>
        <v>NM</v>
      </c>
      <c r="BM465" s="334">
        <v>0</v>
      </c>
      <c r="BN465" s="81" t="str">
        <f>IF(ISERROR((BM465/BE465-1)*100),"NA",IF(((BM465/BE465-1)*100)&gt;100,"NM",IF(((BM465/BE465-1)*100)&lt;-50,"NM",(BM465/BE465-1)*100)))</f>
        <v>NA</v>
      </c>
      <c r="BO465" s="334">
        <v>0</v>
      </c>
      <c r="BP465" s="81" t="str">
        <f>IF(ISERROR((BO465/BG465-1)*100),"NA",IF(((BO465/BG465-1)*100)&gt;100,"NM",IF(((BO465/BG465-1)*100)&lt;-50,"NM",(BO465/BG465-1)*100)))</f>
        <v>NA</v>
      </c>
      <c r="BQ465" s="334">
        <v>0</v>
      </c>
      <c r="BR465" s="81" t="str">
        <f>IF(ISERROR((BQ465/BI465-1)*100),"NA",IF(((BQ465/BI465-1)*100)&gt;100,"NM",IF(((BQ465/BI465-1)*100)&lt;-50,"NM",(BQ465/BI465-1)*100)))</f>
        <v>NA</v>
      </c>
      <c r="BS465" s="334">
        <v>0</v>
      </c>
      <c r="BT465" s="81" t="str">
        <f>IF(ISERROR((BS465/BK465-1)*100),"NA",IF(((BS465/BK465-1)*100)&gt;100,"NM",IF(((BS465/BK465-1)*100)&lt;-50,"NM",(BS465/BK465-1)*100)))</f>
        <v>NA</v>
      </c>
      <c r="BU465" s="334">
        <v>0</v>
      </c>
      <c r="BV465" s="81" t="str">
        <f>IF(ISERROR((BU465/BM465-1)*100),"NA",IF(((BU465/BM465-1)*100)&gt;100,"NM",IF(((BU465/BM465-1)*100)&lt;-50,"NM",(BU465/BM465-1)*100)))</f>
        <v>NA</v>
      </c>
      <c r="BW465" s="334">
        <v>0</v>
      </c>
      <c r="BX465" s="81" t="str">
        <f>IF(ISERROR((BW465/BO465-1)*100),"NA",IF(((BW465/BO465-1)*100)&gt;100,"NM",IF(((BW465/BO465-1)*100)&lt;-50,"NM",(BW465/BO465-1)*100)))</f>
        <v>NA</v>
      </c>
      <c r="BY465" s="334">
        <v>0</v>
      </c>
      <c r="BZ465" s="81" t="str">
        <f>IF(ISERROR((BY465/BQ465-1)*100),"NA",IF(((BY465/BQ465-1)*100)&gt;100,"NM",IF(((BY465/BQ465-1)*100)&lt;-50,"NM",(BY465/BQ465-1)*100)))</f>
        <v>NA</v>
      </c>
      <c r="CA465" s="334">
        <v>0</v>
      </c>
      <c r="CB465" s="81" t="str">
        <f>IF(ISERROR((CA465/BS465-1)*100),"NA",IF(((CA465/BS465-1)*100)&gt;100,"NM",IF(((CA465/BS465-1)*100)&lt;-50,"NM",(CA465/BS465-1)*100)))</f>
        <v>NA</v>
      </c>
      <c r="CC465" s="334">
        <v>0</v>
      </c>
      <c r="CD465" s="81" t="str">
        <f>IF(ISERROR((CC465/BU465-1)*100),"NA",IF(((CC465/BU465-1)*100)&gt;100,"NM",IF(((CC465/BU465-1)*100)&lt;-50,"NM",(CC465/BU465-1)*100)))</f>
        <v>NA</v>
      </c>
      <c r="CE465" s="334">
        <v>0</v>
      </c>
      <c r="CF465" s="81" t="str">
        <f>IF(ISERROR((CE465/BW465-1)*100),"NA",IF(((CE465/BW465-1)*100)&gt;100,"NM",IF(((CE465/BW465-1)*100)&lt;-50,"NM",(CE465/BW465-1)*100)))</f>
        <v>NA</v>
      </c>
      <c r="CG465" s="334">
        <v>0</v>
      </c>
      <c r="CH465" s="81" t="str">
        <f>IF(ISERROR((CG465/BY465-1)*100),"NA",IF(((CG465/BY465-1)*100)&gt;100,"NM",IF(((CG465/BY465-1)*100)&lt;-50,"NM",(CG465/BY465-1)*100)))</f>
        <v>NA</v>
      </c>
      <c r="CI465" s="334">
        <v>0</v>
      </c>
      <c r="CJ465" s="81" t="str">
        <f>IF(ISERROR((CI465/CA465-1)*100),"NA",IF(((CI465/CA465-1)*100)&gt;100,"NM",IF(((CI465/CA465-1)*100)&lt;-50,"NM",(CI465/CA465-1)*100)))</f>
        <v>NA</v>
      </c>
      <c r="CK465" s="334">
        <v>0</v>
      </c>
      <c r="CL465" s="81" t="str">
        <f>IF(ISERROR((CK465/CC465-1)*100),"NA",IF(((CK465/CC465-1)*100)&gt;100,"NM",IF(((CK465/CC465-1)*100)&lt;-50,"NM",(CK465/CC465-1)*100)))</f>
        <v>NA</v>
      </c>
      <c r="CM465" s="334">
        <v>0</v>
      </c>
      <c r="CN465" s="81" t="str">
        <f>IF(ISERROR((CM465/CE465-1)*100),"NA",IF(((CM465/CE465-1)*100)&gt;100,"NM",IF(((CM465/CE465-1)*100)&lt;-50,"NM",(CM465/CE465-1)*100)))</f>
        <v>NA</v>
      </c>
      <c r="CO465" s="334">
        <v>0</v>
      </c>
      <c r="CP465" s="81" t="str">
        <f>IF(ISERROR((CO465/CG465-1)*100),"NA",IF(((CO465/CG465-1)*100)&gt;100,"NM",IF(((CO465/CG465-1)*100)&lt;-50,"NM",(CO465/CG465-1)*100)))</f>
        <v>NA</v>
      </c>
      <c r="CQ465" s="334">
        <v>0</v>
      </c>
      <c r="CR465" s="81" t="str">
        <f>IF(ISERROR((CQ465/CI465-1)*100),"NA",IF(((CQ465/CI465-1)*100)&gt;100,"NM",IF(((CQ465/CI465-1)*100)&lt;-50,"NM",(CQ465/CI465-1)*100)))</f>
        <v>NA</v>
      </c>
      <c r="CS465" s="334">
        <v>0</v>
      </c>
      <c r="CT465" s="81" t="str">
        <f>IF(ISERROR((CS465/CK465-1)*100),"NA",IF(((CS465/CK465-1)*100)&gt;100,"NM",IF(((CS465/CK465-1)*100)&lt;-50,"NM",(CS465/CK465-1)*100)))</f>
        <v>NA</v>
      </c>
      <c r="CU465" s="334">
        <v>0</v>
      </c>
      <c r="CV465" s="81" t="str">
        <f>IF(ISERROR((CU465/CM465-1)*100),"NA",IF(((CU465/CM465-1)*100)&gt;100,"NM",IF(((CU465/CM465-1)*100)&lt;-50,"NM",(CU465/CM465-1)*100)))</f>
        <v>NA</v>
      </c>
      <c r="CW465" s="334">
        <v>0</v>
      </c>
      <c r="CX465" s="81" t="str">
        <f>IF(ISERROR((CW465/CO465-1)*100),"NA",IF(((CW465/CO465-1)*100)&gt;100,"NM",IF(((CW465/CO465-1)*100)&lt;-50,"NM",(CW465/CO465-1)*100)))</f>
        <v>NA</v>
      </c>
      <c r="CY465" s="334">
        <v>0</v>
      </c>
      <c r="CZ465" s="81" t="str">
        <f>IF(ISERROR((CY465/CQ465-1)*100),"NA",IF(((CY465/CQ465-1)*100)&gt;100,"NM",IF(((CY465/CQ465-1)*100)&lt;-50,"NM",(CY465/CQ465-1)*100)))</f>
        <v>NA</v>
      </c>
      <c r="DA465" s="334">
        <v>0</v>
      </c>
      <c r="DB465" s="81" t="str">
        <f>IF(ISERROR((DA465/CS465-1)*100),"NA",IF(((DA465/CS465-1)*100)&gt;100,"NM",IF(((DA465/CS465-1)*100)&lt;-50,"NM",(DA465/CS465-1)*100)))</f>
        <v>NA</v>
      </c>
      <c r="DC465" s="334">
        <v>0</v>
      </c>
      <c r="DD465" s="81" t="str">
        <f>IF(ISERROR((DC465/CU465-1)*100),"NA",IF(((DC465/CU465-1)*100)&gt;100,"NM",IF(((DC465/CU465-1)*100)&lt;-50,"NM",(DC465/CU465-1)*100)))</f>
        <v>NA</v>
      </c>
      <c r="DE465" s="334">
        <v>0</v>
      </c>
      <c r="DF465" s="81" t="str">
        <f>IF(ISERROR((DE465/CW465-1)*100),"NA",IF(((DE465/CW465-1)*100)&gt;100,"NM",IF(((DE465/CW465-1)*100)&lt;-50,"NM",(DE465/CW465-1)*100)))</f>
        <v>NA</v>
      </c>
      <c r="DG465" s="334">
        <v>0</v>
      </c>
      <c r="DH465" s="81" t="str">
        <f>IF(ISERROR((DG465/CY465-1)*100),"NA",IF(((DG465/CY465-1)*100)&gt;100,"NM",IF(((DG465/CY465-1)*100)&lt;-50,"NM",(DG465/CY465-1)*100)))</f>
        <v>NA</v>
      </c>
      <c r="DI465" s="334">
        <v>0</v>
      </c>
      <c r="DJ465" s="81" t="str">
        <f>IF(ISERROR((DI465/DA465-1)*100),"NA",IF(((DI465/DA465-1)*100)&gt;100,"NM",IF(((DI465/DA465-1)*100)&lt;-50,"NM",(DI465/DA465-1)*100)))</f>
        <v>NA</v>
      </c>
      <c r="DK465" s="334">
        <v>0</v>
      </c>
      <c r="DL465" s="81" t="str">
        <f>IF(ISERROR((DK465/DC465-1)*100),"NA",IF(((DK465/DC465-1)*100)&gt;100,"NM",IF(((DK465/DC465-1)*100)&lt;-50,"NM",(DK465/DC465-1)*100)))</f>
        <v>NA</v>
      </c>
      <c r="DM465" s="334">
        <v>0</v>
      </c>
      <c r="DN465" s="81" t="str">
        <f>IF(ISERROR((DM465/DE465-1)*100),"NA",IF(((DM465/DE465-1)*100)&gt;100,"NM",IF(((DM465/DE465-1)*100)&lt;-50,"NM",(DM465/DE465-1)*100)))</f>
        <v>NA</v>
      </c>
      <c r="DO465" s="334">
        <v>0</v>
      </c>
      <c r="DP465" s="81" t="str">
        <f>IF(ISERROR((DO465/DG465-1)*100),"NA",IF(((DO465/DG465-1)*100)&gt;100,"NM",IF(((DO465/DG465-1)*100)&lt;-50,"NM",(DO465/DG465-1)*100)))</f>
        <v>NA</v>
      </c>
      <c r="DQ465" s="334">
        <v>0</v>
      </c>
      <c r="DR465" s="81" t="str">
        <f>IF(ISERROR((DQ465/DI465-1)*100),"NA",IF(((DQ465/DI465-1)*100)&gt;100,"NM",IF(((DQ465/DI465-1)*100)&lt;-50,"NM",(DQ465/DI465-1)*100)))</f>
        <v>NA</v>
      </c>
      <c r="DS465" s="334">
        <v>0</v>
      </c>
      <c r="DT465" s="81" t="str">
        <f>IF(ISERROR((DS465/DK465-1)*100),"NA",IF(((DS465/DK465-1)*100)&gt;100,"NM",IF(((DS465/DK465-1)*100)&lt;-50,"NM",(DS465/DK465-1)*100)))</f>
        <v>NA</v>
      </c>
      <c r="DU465" s="334">
        <v>0</v>
      </c>
      <c r="DV465" s="81" t="str">
        <f>IF(ISERROR((DU465/DM465-1)*100),"NA",IF(((DU465/DM465-1)*100)&gt;100,"NM",IF(((DU465/DM465-1)*100)&lt;-50,"NM",(DU465/DM465-1)*100)))</f>
        <v>NA</v>
      </c>
      <c r="DW465" s="334">
        <v>0</v>
      </c>
      <c r="DX465" s="81" t="str">
        <f>IF(ISERROR((DW465/DO465-1)*100),"NA",IF(((DW465/DO465-1)*100)&gt;100,"NM",IF(((DW465/DO465-1)*100)&lt;-50,"NM",(DW465/DO465-1)*100)))</f>
        <v>NA</v>
      </c>
      <c r="DY465" s="334">
        <v>0</v>
      </c>
      <c r="DZ465" s="81" t="str">
        <f>IF(ISERROR((DY465/DQ465-1)*100),"NA",IF(((DY465/DQ465-1)*100)&gt;100,"NM",IF(((DY465/DQ465-1)*100)&lt;-50,"NM",(DY465/DQ465-1)*100)))</f>
        <v>NA</v>
      </c>
      <c r="EA465" s="334">
        <v>0.22</v>
      </c>
      <c r="EB465" s="81" t="str">
        <f>IF(ISERROR((EA465/DS465-1)*100),"NA",IF(((EA465/DS465-1)*100)&gt;100,"NM",IF(((EA465/DS465-1)*100)&lt;-50,"NM",(EA465/DS465-1)*100)))</f>
        <v>NA</v>
      </c>
      <c r="EC465" s="334">
        <v>0</v>
      </c>
      <c r="ED465" s="81" t="str">
        <f t="shared" ref="ED465:ED468" si="1708">IF(ISERROR((EC465/DU465-1)*100),"NA",IF(((EC465/DU465-1)*100)&gt;100,"NM",IF(((EC465/DU465-1)*100)&lt;-50,"NM",(EC465/DU465-1)*100)))</f>
        <v>NA</v>
      </c>
      <c r="EE465" s="334">
        <v>0</v>
      </c>
      <c r="EF465" s="81" t="str">
        <f t="shared" ref="EF465:EF468" si="1709">IF(ISERROR((EE465/DW465-1)*100),"NA",IF(((EE465/DW465-1)*100)&gt;100,"NM",IF(((EE465/DW465-1)*100)&lt;-50,"NM",(EE465/DW465-1)*100)))</f>
        <v>NA</v>
      </c>
      <c r="EG465" s="334">
        <v>0</v>
      </c>
      <c r="EH465" s="81" t="str">
        <f t="shared" ref="EH465:EH468" si="1710">IF(ISERROR((EG465/DY465-1)*100),"NA",IF(((EG465/DY465-1)*100)&gt;100,"NM",IF(((EG465/DY465-1)*100)&lt;-50,"NM",(EG465/DY465-1)*100)))</f>
        <v>NA</v>
      </c>
      <c r="EI465" s="334">
        <v>0</v>
      </c>
      <c r="EJ465" s="81" t="str">
        <f t="shared" ref="EJ465:EJ468" si="1711">IF(ISERROR((EI465/EA465-1)*100),"NA",IF(((EI465/EA465-1)*100)&gt;100,"NM",IF(((EI465/EA465-1)*100)&lt;-50,"NM",(EI465/EA465-1)*100)))</f>
        <v>NM</v>
      </c>
      <c r="EK465" s="334">
        <v>0</v>
      </c>
      <c r="EL465" s="81" t="str">
        <f t="shared" ref="EL465:EL468" si="1712">IF(ISERROR((EK465/EC465-1)*100),"NA",IF(((EK465/EC465-1)*100)&gt;100,"NM",IF(((EK465/EC465-1)*100)&lt;-50,"NM",(EK465/EC465-1)*100)))</f>
        <v>NA</v>
      </c>
      <c r="EM465" s="334">
        <v>0</v>
      </c>
      <c r="EN465" s="81" t="str">
        <f t="shared" ref="EN465:EN468" si="1713">IF(ISERROR((EM465/EE465-1)*100),"NA",IF(((EM465/EE465-1)*100)&gt;100,"NM",IF(((EM465/EE465-1)*100)&lt;-50,"NM",(EM465/EE465-1)*100)))</f>
        <v>NA</v>
      </c>
      <c r="EO465" s="334">
        <v>0</v>
      </c>
      <c r="EP465" s="81" t="str">
        <f t="shared" ref="EP465:EP468" si="1714">IF(ISERROR((EO465/EG465-1)*100),"NA",IF(((EO465/EG465-1)*100)&gt;100,"NM",IF(((EO465/EG465-1)*100)&lt;-50,"NM",(EO465/EG465-1)*100)))</f>
        <v>NA</v>
      </c>
      <c r="EQ465" s="334">
        <v>0</v>
      </c>
      <c r="ER465" s="81" t="str">
        <f t="shared" ref="ER465:ER468" si="1715">IF(ISERROR((EQ465/EI465-1)*100),"NA",IF(((EQ465/EI465-1)*100)&gt;100,"NM",IF(((EQ465/EI465-1)*100)&lt;-50,"NM",(EQ465/EI465-1)*100)))</f>
        <v>NA</v>
      </c>
      <c r="ES465" s="335"/>
      <c r="ET465" s="491"/>
      <c r="EU465" s="335"/>
      <c r="EV465" s="336"/>
      <c r="EW465" s="296"/>
      <c r="EX465" s="336"/>
      <c r="EY465" s="296"/>
      <c r="EZ465" s="337"/>
      <c r="FA465" s="296"/>
      <c r="FB465" s="295">
        <f>+E465+G465+I465+K465</f>
        <v>0</v>
      </c>
      <c r="FC465" s="296" t="str">
        <f>IF(ISERROR((FB465/EZ465-1)*100),"NA",IF(((FB465/EZ465-1)*100)&gt;100,"NM",IF(((FB465/EZ465-1)*100)&lt;-50,"NM",(FB465/EZ465-1)*100)))</f>
        <v>NA</v>
      </c>
      <c r="FD465" s="337">
        <f>+S465+Q465+O465+M465</f>
        <v>0</v>
      </c>
      <c r="FE465" s="296" t="str">
        <f>IF(ISERROR((FD465/FB465-1)*100),"NA",IF(((FD465/FB465-1)*100)&gt;100,"NM",IF(((FD465/FB465-1)*100)&lt;-50,"NM",(FD465/FB465-1)*100)))</f>
        <v>NA</v>
      </c>
      <c r="FF465" s="337">
        <f>+U465+W465+Y465+AA465</f>
        <v>0</v>
      </c>
      <c r="FG465" s="296" t="str">
        <f>IF(ISERROR((FF465/FD465-1)*100),"NA",IF(((FF465/FD465-1)*100)&gt;100,"NM",IF(((FF465/FD465-1)*100)&lt;-50,"NM",(FF465/FD465-1)*100)))</f>
        <v>NA</v>
      </c>
      <c r="FH465" s="337">
        <f>+AI465+AG465+AE465+AC465</f>
        <v>0</v>
      </c>
      <c r="FI465" s="296" t="str">
        <f>IF(ISERROR((FH465/FF465-1)*100),"NA",IF(((FH465/FF465-1)*100)&gt;100,"NM",IF(((FH465/FF465-1)*100)&lt;-50,"NM",(FH465/FF465-1)*100)))</f>
        <v>NA</v>
      </c>
      <c r="FJ465" s="295">
        <f>+AQ465+AO465+AM465+AK465</f>
        <v>0</v>
      </c>
      <c r="FK465" s="296" t="str">
        <f>IF(ISERROR((FJ465/FH465-1)*100),"NA",IF(((FJ465/FH465-1)*100)&gt;100,"NM",IF(((FJ465/FH465-1)*100)&lt;-50,"NM",(FJ465/FH465-1)*100)))</f>
        <v>NA</v>
      </c>
      <c r="FL465" s="35">
        <f>AS465+AU465+AW465+AY465</f>
        <v>0</v>
      </c>
      <c r="FM465" s="296" t="str">
        <f>IF(ISERROR((FL465/FJ465-1)*100),"NA",IF(((FL465/FJ465-1)*100)&gt;100,"NM",IF(((FL465/FJ465-1)*100)&lt;-50,"NM",(FL465/FJ465-1)*100)))</f>
        <v>NA</v>
      </c>
      <c r="FN465" s="35">
        <f>BA465+BC465+BE465+BG465</f>
        <v>17.7</v>
      </c>
      <c r="FO465" s="296" t="str">
        <f>IF(ISERROR((FN465/FL465-1)*100),"NA",IF(((FN465/FL465-1)*100)&gt;100,"NM",IF(((FN465/FL465-1)*100)&lt;-50,"NM",(FN465/FL465-1)*100)))</f>
        <v>NA</v>
      </c>
      <c r="FP465" s="35">
        <f>BI465+BK465+BM465+BO465</f>
        <v>0</v>
      </c>
      <c r="FQ465" s="296" t="str">
        <f>IF(ISERROR((FP465/FN465-1)*100),"NA",IF(((FP465/FN465-1)*100)&gt;100,"NM",IF(((FP465/FN465-1)*100)&lt;-50,"NM",(FP465/FN465-1)*100)))</f>
        <v>NM</v>
      </c>
      <c r="FR465" s="338">
        <f>BQ465+BS465+BU465+BW465</f>
        <v>0</v>
      </c>
      <c r="FS465" s="296" t="str">
        <f>IF(ISERROR((FR465/FP465-1)*100),"NA",IF(((FR465/FP465-1)*100)&gt;100,"NM",IF(((FR465/FP465-1)*100)&lt;-50,"NM",(FR465/FP465-1)*100)))</f>
        <v>NA</v>
      </c>
      <c r="FT465" s="338">
        <f>BY465+CA465+CC465+CE465</f>
        <v>0</v>
      </c>
      <c r="FU465" s="296" t="str">
        <f>IF(ISERROR((FT465/FR465-1)*100),"NA",IF(((FT465/FR465-1)*100)&gt;100,"NM",IF(((FT465/FR465-1)*100)&lt;-50,"NM",(FT465/FR465-1)*100)))</f>
        <v>NA</v>
      </c>
      <c r="FV465" s="338">
        <f>CG465+CI465+CK465+CM465</f>
        <v>0</v>
      </c>
      <c r="FW465" s="296" t="str">
        <f>IF(ISERROR((FV465/FT465-1)*100),"NA",IF(((FV465/FT465-1)*100)&gt;100,"NM",IF(((FV465/FT465-1)*100)&lt;-50,"NM",(FV465/FT465-1)*100)))</f>
        <v>NA</v>
      </c>
      <c r="FX465" s="338">
        <f>CO465+CQ465+CS465+CU465</f>
        <v>0</v>
      </c>
      <c r="FY465" s="296" t="str">
        <f>IF(ISERROR((FX465/FV465-1)*100),"NA",IF(((FX465/FV465-1)*100)&gt;100,"NM",IF(((FX465/FV465-1)*100)&lt;-50,"NM",(FX465/FV465-1)*100)))</f>
        <v>NA</v>
      </c>
      <c r="FZ465" s="78">
        <f>CW465+CY465+DA465+DC465</f>
        <v>0</v>
      </c>
      <c r="GA465" s="296" t="str">
        <f>IF(ISERROR((FZ465/FX465-1)*100),"NA",IF(((FZ465/FX465-1)*100)&gt;100,"NM",IF(((FZ465/FX465-1)*100)&lt;-50,"NM",(FZ465/FX465-1)*100)))</f>
        <v>NA</v>
      </c>
      <c r="GB465" s="338">
        <v>0</v>
      </c>
      <c r="GC465" s="338">
        <v>0</v>
      </c>
      <c r="GD465" s="338">
        <v>0</v>
      </c>
      <c r="GE465" s="296" t="str">
        <f>IF(ISERROR((GD465/GB465-1)*100),"NA",IF(((GD465/GB465-1)*100)&gt;100,"NM",IF(((GD465/GB465-1)*100)&lt;-50,"NM",(GD465/GB465-1)*100)))</f>
        <v>NA</v>
      </c>
      <c r="GF465" s="338">
        <f>EA465+DY465+DU465+DW465</f>
        <v>0.22</v>
      </c>
      <c r="GG465" s="296" t="str">
        <f>IF(ISERROR((GF465/GD465-1)*100),"NA",IF(((GF465/GD465-1)*100)&gt;100,"NM",IF(((GF465/GD465-1)*100)&lt;-50,"NM",(GF465/GD465-1)*100)))</f>
        <v>NA</v>
      </c>
      <c r="GH465" s="338">
        <f>EI465+EG465+EC465+EE465</f>
        <v>0</v>
      </c>
      <c r="GI465" s="79" t="str">
        <f>IF(ISERROR((GH465/GF465-1)*100),"NA",IF(((GH465/GF465-1)*100)&gt;100,"NM",IF(((GH465/GF465-1)*100)&lt;-50,"NM",(GH465/GF465-1)*100)))</f>
        <v>NM</v>
      </c>
      <c r="GJ465" s="338">
        <f>EQ465+EO465+EK465+EM465</f>
        <v>0</v>
      </c>
      <c r="GK465" s="79" t="str">
        <f>IF(ISERROR((GJ465/GH465-1)*100),"NA",IF(((GJ465/GH465-1)*100)&gt;100,"NM",IF(((GJ465/GH465-1)*100)&lt;-50,"NM",(GJ465/GH465-1)*100)))</f>
        <v>NA</v>
      </c>
      <c r="GL465" s="334">
        <f>GJ465*1.05</f>
        <v>0</v>
      </c>
      <c r="GM465" s="79" t="str">
        <f>IF(ISERROR((GL465/GJ465-1)*100),"NA",IF(((GL465/GJ465-1)*100)&gt;100,"NM",IF(((GL465/GJ465-1)*100)&lt;-50,"NM",(GL465/GJ465-1)*100)))</f>
        <v>NA</v>
      </c>
      <c r="GN465" s="334">
        <f>GL465*1.05</f>
        <v>0</v>
      </c>
      <c r="GO465" s="296" t="str">
        <f>IF(ISERROR((GN465/GL465-1)*100),"NA",IF(((GN465/GL465-1)*100)&gt;100,"NM",IF(((GN465/GL465-1)*100)&lt;-50,"NM",(GN465/GL465-1)*100)))</f>
        <v>NA</v>
      </c>
      <c r="GP465" s="334">
        <f>GN465*1.05</f>
        <v>0</v>
      </c>
      <c r="GQ465" s="296" t="str">
        <f>IF(ISERROR((GP465/GN465-1)*100),"NA",IF(((GP465/GN465-1)*100)&gt;100,"NM",IF(((GP465/GN465-1)*100)&lt;-50,"NM",(GP465/GN465-1)*100)))</f>
        <v>NA</v>
      </c>
      <c r="GR465" s="334">
        <f>GP465*1.05</f>
        <v>0</v>
      </c>
      <c r="GS465" s="296" t="str">
        <f>IF(ISERROR((GR465/GP465-1)*100),"NA",IF(((GR465/GP465-1)*100)&gt;100,"NM",IF(((GR465/GP465-1)*100)&lt;-50,"NM",(GR465/GP465-1)*100)))</f>
        <v>NA</v>
      </c>
      <c r="GT465" s="79" t="str">
        <f>IF(ISERROR(((GR465/GH465)^0.2-1)*100),"NA",(IF(OR(((GR465/GH465)^0.2-1)*100&gt;99,((GR465/GH465)^0.2-1)*100&lt;-50),"NM",(((GR465/GH465)^0.2-1)*100))))</f>
        <v>NA</v>
      </c>
    </row>
    <row r="466" spans="1:286" ht="12.75" customHeight="1" x14ac:dyDescent="0.2">
      <c r="A466" s="1"/>
      <c r="B466" s="2" t="s">
        <v>154</v>
      </c>
      <c r="C466" s="79"/>
      <c r="D466" s="79"/>
      <c r="E466" s="131">
        <v>0</v>
      </c>
      <c r="F466" s="131"/>
      <c r="G466" s="131">
        <v>0</v>
      </c>
      <c r="H466" s="131"/>
      <c r="I466" s="131">
        <v>0</v>
      </c>
      <c r="J466" s="131"/>
      <c r="K466" s="131">
        <v>0</v>
      </c>
      <c r="L466" s="79"/>
      <c r="M466" s="131">
        <v>0</v>
      </c>
      <c r="N466" s="79" t="str">
        <f>IF(ISERROR((M466/E466-1)*100),"NA",IF(((M466/E466-1)*100)&gt;100,"NM",IF(((M466/E466-1)*100)&lt;-50,"NM",(M466/E466-1)*100)))</f>
        <v>NA</v>
      </c>
      <c r="O466" s="131">
        <v>0</v>
      </c>
      <c r="P466" s="79" t="str">
        <f>IF(ISERROR((O466/G466-1)*100),"NA",IF(((O466/G466-1)*100)&gt;100,"NM",IF(((O466/G466-1)*100)&lt;-50,"NM",(O466/G466-1)*100)))</f>
        <v>NA</v>
      </c>
      <c r="Q466" s="131">
        <v>0</v>
      </c>
      <c r="R466" s="79" t="str">
        <f>IF(ISERROR((Q466/I466-1)*100),"NA",IF(((Q466/I466-1)*100)&gt;100,"NM",IF(((Q466/I466-1)*100)&lt;-50,"NM",(Q466/I466-1)*100)))</f>
        <v>NA</v>
      </c>
      <c r="S466" s="131">
        <v>0</v>
      </c>
      <c r="T466" s="79" t="str">
        <f>IF(ISERROR((S466/K466-1)*100),"NA",IF(((S466/K466-1)*100)&gt;100,"NM",IF(((S466/K466-1)*100)&lt;-50,"NM",(S466/K466-1)*100)))</f>
        <v>NA</v>
      </c>
      <c r="U466" s="131">
        <v>0</v>
      </c>
      <c r="V466" s="79" t="str">
        <f>IF(ISERROR((U466/M466-1)*100),"NA",IF(((U466/M466-1)*100)&gt;100,"NM",IF(((U466/M466-1)*100)&lt;-50,"NM",(U466/M466-1)*100)))</f>
        <v>NA</v>
      </c>
      <c r="W466" s="131">
        <v>0</v>
      </c>
      <c r="X466" s="79" t="str">
        <f>IF(ISERROR((W466/O466-1)*100),"NA",IF(((W466/O466-1)*100)&gt;100,"NM",IF(((W466/O466-1)*100)&lt;-50,"NM",(W466/O466-1)*100)))</f>
        <v>NA</v>
      </c>
      <c r="Y466" s="131">
        <v>0</v>
      </c>
      <c r="Z466" s="79" t="str">
        <f>IF(ISERROR((Y466/Q466-1)*100),"NA",IF(((Y466/Q466-1)*100)&gt;100,"NM",IF(((Y466/Q466-1)*100)&lt;-50,"NM",(Y466/Q466-1)*100)))</f>
        <v>NA</v>
      </c>
      <c r="AA466" s="126">
        <v>0</v>
      </c>
      <c r="AB466" s="79" t="str">
        <f>IF(ISERROR((AA466/S466-1)*100),"NA",IF(((AA466/S466-1)*100)&gt;100,"NM",IF(((AA466/S466-1)*100)&lt;-50,"NM",(AA466/S466-1)*100)))</f>
        <v>NA</v>
      </c>
      <c r="AC466" s="131">
        <v>0</v>
      </c>
      <c r="AD466" s="79" t="str">
        <f>IF(ISERROR((AC466/U466-1)*100),"NA",IF(((AC466/U466-1)*100)&gt;100,"NM",IF(((AC466/U466-1)*100)&lt;-50,"NM",(AC466/U466-1)*100)))</f>
        <v>NA</v>
      </c>
      <c r="AE466" s="131">
        <v>0</v>
      </c>
      <c r="AF466" s="79" t="str">
        <f>IF(ISERROR((AE466/W466-1)*100),"NA",IF(((AE466/W466-1)*100)&gt;100,"NM",IF(((AE466/W466-1)*100)&lt;-50,"NM",(AE466/W466-1)*100)))</f>
        <v>NA</v>
      </c>
      <c r="AG466" s="131">
        <v>0</v>
      </c>
      <c r="AH466" s="79" t="str">
        <f>IF(ISERROR((AG466/Y466-1)*100),"NA",IF(((AG466/Y466-1)*100)&gt;100,"NM",IF(((AG466/Y466-1)*100)&lt;-50,"NM",(AG466/Y466-1)*100)))</f>
        <v>NA</v>
      </c>
      <c r="AI466" s="131">
        <v>0</v>
      </c>
      <c r="AJ466" s="79" t="str">
        <f>IF(ISERROR((AI466/AA466-1)*100),"NA",IF(((AI466/AA466-1)*100)&gt;100,"NM",IF(((AI466/AA466-1)*100)&lt;-50,"NM",(AI466/AA466-1)*100)))</f>
        <v>NA</v>
      </c>
      <c r="AK466" s="131">
        <v>0</v>
      </c>
      <c r="AL466" s="79" t="str">
        <f>IF(ISERROR((AK466/AC466-1)*100),"NA",IF(((AK466/AC466-1)*100)&gt;100,"NM",IF(((AK466/AC466-1)*100)&lt;-50,"NM",(AK466/AC466-1)*100)))</f>
        <v>NA</v>
      </c>
      <c r="AM466" s="131">
        <v>0</v>
      </c>
      <c r="AN466" s="79" t="str">
        <f>IF(ISERROR((AM466/AE466-1)*100),"NA",IF(((AM466/AE466-1)*100)&gt;100,"NM",IF(((AM466/AE466-1)*100)&lt;-50,"NM",(AM466/AE466-1)*100)))</f>
        <v>NA</v>
      </c>
      <c r="AO466" s="131">
        <v>0</v>
      </c>
      <c r="AP466" s="79" t="str">
        <f>IF(ISERROR((AO466/AG466-1)*100),"NA",IF(((AO466/AG466-1)*100)&gt;100,"NM",IF(((AO466/AG466-1)*100)&lt;-50,"NM",(AO466/AG466-1)*100)))</f>
        <v>NA</v>
      </c>
      <c r="AQ466" s="131">
        <v>0</v>
      </c>
      <c r="AR466" s="79" t="str">
        <f>IF(ISERROR((AQ466/AI466-1)*100),"NA",IF(((AQ466/AI466-1)*100)&gt;100,"NM",IF(((AQ466/AI466-1)*100)&lt;-50,"NM",(AQ466/AI466-1)*100)))</f>
        <v>NA</v>
      </c>
      <c r="AS466" s="339">
        <v>0</v>
      </c>
      <c r="AT466" s="81" t="str">
        <f>IF(ISERROR((AS466/AK466-1)*100),"NA",IF(((AS466/AK466-1)*100)&gt;100,"NM",IF(((AS466/AK466-1)*100)&lt;-50,"NM",(AS466/AK466-1)*100)))</f>
        <v>NA</v>
      </c>
      <c r="AU466" s="339">
        <v>0</v>
      </c>
      <c r="AV466" s="81" t="str">
        <f>IF(ISERROR((AU466/AM466-1)*100),"NA",IF(((AU466/AM466-1)*100)&gt;100,"NM",IF(((AU466/AM466-1)*100)&lt;-50,"NM",(AU466/AM466-1)*100)))</f>
        <v>NA</v>
      </c>
      <c r="AW466" s="339">
        <v>0</v>
      </c>
      <c r="AX466" s="81" t="str">
        <f>IF(ISERROR((AW466/AO466-1)*100),"NA",IF(((AW466/AO466-1)*100)&gt;100,"NM",IF(((AW466/AO466-1)*100)&lt;-50,"NM",(AW466/AO466-1)*100)))</f>
        <v>NA</v>
      </c>
      <c r="AY466" s="339">
        <v>0</v>
      </c>
      <c r="AZ466" s="81" t="str">
        <f>IF(ISERROR((AY466/AQ466-1)*100),"NA",IF(((AY466/AQ466-1)*100)&gt;100,"NM",IF(((AY466/AQ466-1)*100)&lt;-50,"NM",(AY466/AQ466-1)*100)))</f>
        <v>NA</v>
      </c>
      <c r="BA466" s="339">
        <v>0</v>
      </c>
      <c r="BB466" s="81" t="str">
        <f>IF(ISERROR((BA466/AS466-1)*100),"NA",IF(((BA466/AS466-1)*100)&gt;100,"NM",IF(((BA466/AS466-1)*100)&lt;-50,"NM",(BA466/AS466-1)*100)))</f>
        <v>NA</v>
      </c>
      <c r="BC466" s="342">
        <f>BC468/BC465</f>
        <v>16.949152542372882</v>
      </c>
      <c r="BD466" s="81" t="str">
        <f>IF(ISERROR((BC466/AU466-1)*100),"NA",IF(((BC466/AU466-1)*100)&gt;100,"NM",IF(((BC466/AU466-1)*100)&lt;-50,"NM",(BC466/AU466-1)*100)))</f>
        <v>NA</v>
      </c>
      <c r="BE466" s="339">
        <v>0</v>
      </c>
      <c r="BF466" s="81" t="str">
        <f>IF(ISERROR((BE466/AW466-1)*100),"NA",IF(((BE466/AW466-1)*100)&gt;100,"NM",IF(((BE466/AW466-1)*100)&lt;-50,"NM",(BE466/AW466-1)*100)))</f>
        <v>NA</v>
      </c>
      <c r="BG466" s="339">
        <v>0</v>
      </c>
      <c r="BH466" s="81" t="str">
        <f>IF(ISERROR((BG466/AY466-1)*100),"NA",IF(((BG466/AY466-1)*100)&gt;100,"NM",IF(((BG466/AY466-1)*100)&lt;-50,"NM",(BG466/AY466-1)*100)))</f>
        <v>NA</v>
      </c>
      <c r="BI466" s="339">
        <v>0</v>
      </c>
      <c r="BJ466" s="81" t="str">
        <f>IF(ISERROR((BI466/BA466-1)*100),"NA",IF(((BI466/BA466-1)*100)&gt;100,"NM",IF(((BI466/BA466-1)*100)&lt;-50,"NM",(BI466/BA466-1)*100)))</f>
        <v>NA</v>
      </c>
      <c r="BK466" s="339">
        <v>0</v>
      </c>
      <c r="BL466" s="81" t="str">
        <f>IF(ISERROR((BK466/BC466-1)*100),"NA",IF(((BK466/BC466-1)*100)&gt;100,"NM",IF(((BK466/BC466-1)*100)&lt;-50,"NM",(BK466/BC466-1)*100)))</f>
        <v>NM</v>
      </c>
      <c r="BM466" s="339">
        <v>0</v>
      </c>
      <c r="BN466" s="81" t="str">
        <f>IF(ISERROR((BM466/BE466-1)*100),"NA",IF(((BM466/BE466-1)*100)&gt;100,"NM",IF(((BM466/BE466-1)*100)&lt;-50,"NM",(BM466/BE466-1)*100)))</f>
        <v>NA</v>
      </c>
      <c r="BO466" s="339">
        <v>0</v>
      </c>
      <c r="BP466" s="81" t="str">
        <f>IF(ISERROR((BO466/BG466-1)*100),"NA",IF(((BO466/BG466-1)*100)&gt;100,"NM",IF(((BO466/BG466-1)*100)&lt;-50,"NM",(BO466/BG466-1)*100)))</f>
        <v>NA</v>
      </c>
      <c r="BQ466" s="339">
        <v>0</v>
      </c>
      <c r="BR466" s="81" t="str">
        <f>IF(ISERROR((BQ466/BI466-1)*100),"NA",IF(((BQ466/BI466-1)*100)&gt;100,"NM",IF(((BQ466/BI466-1)*100)&lt;-50,"NM",(BQ466/BI466-1)*100)))</f>
        <v>NA</v>
      </c>
      <c r="BS466" s="339">
        <v>0</v>
      </c>
      <c r="BT466" s="81" t="str">
        <f>IF(ISERROR((BS466/BK466-1)*100),"NA",IF(((BS466/BK466-1)*100)&gt;100,"NM",IF(((BS466/BK466-1)*100)&lt;-50,"NM",(BS466/BK466-1)*100)))</f>
        <v>NA</v>
      </c>
      <c r="BU466" s="339">
        <v>0</v>
      </c>
      <c r="BV466" s="81" t="str">
        <f>IF(ISERROR((BU466/BM466-1)*100),"NA",IF(((BU466/BM466-1)*100)&gt;100,"NM",IF(((BU466/BM466-1)*100)&lt;-50,"NM",(BU466/BM466-1)*100)))</f>
        <v>NA</v>
      </c>
      <c r="BW466" s="339">
        <v>0</v>
      </c>
      <c r="BX466" s="81" t="str">
        <f>IF(ISERROR((BW466/BO466-1)*100),"NA",IF(((BW466/BO466-1)*100)&gt;100,"NM",IF(((BW466/BO466-1)*100)&lt;-50,"NM",(BW466/BO466-1)*100)))</f>
        <v>NA</v>
      </c>
      <c r="BY466" s="339">
        <v>0</v>
      </c>
      <c r="BZ466" s="81" t="str">
        <f>IF(ISERROR((BY466/BQ466-1)*100),"NA",IF(((BY466/BQ466-1)*100)&gt;100,"NM",IF(((BY466/BQ466-1)*100)&lt;-50,"NM",(BY466/BQ466-1)*100)))</f>
        <v>NA</v>
      </c>
      <c r="CA466" s="339">
        <v>0</v>
      </c>
      <c r="CB466" s="81" t="str">
        <f>IF(ISERROR((CA466/BS466-1)*100),"NA",IF(((CA466/BS466-1)*100)&gt;100,"NM",IF(((CA466/BS466-1)*100)&lt;-50,"NM",(CA466/BS466-1)*100)))</f>
        <v>NA</v>
      </c>
      <c r="CC466" s="339">
        <v>0</v>
      </c>
      <c r="CD466" s="81" t="str">
        <f>IF(ISERROR((CC466/BU466-1)*100),"NA",IF(((CC466/BU466-1)*100)&gt;100,"NM",IF(((CC466/BU466-1)*100)&lt;-50,"NM",(CC466/BU466-1)*100)))</f>
        <v>NA</v>
      </c>
      <c r="CE466" s="339">
        <v>0</v>
      </c>
      <c r="CF466" s="81" t="str">
        <f>IF(ISERROR((CE466/BW466-1)*100),"NA",IF(((CE466/BW466-1)*100)&gt;100,"NM",IF(((CE466/BW466-1)*100)&lt;-50,"NM",(CE466/BW466-1)*100)))</f>
        <v>NA</v>
      </c>
      <c r="CG466" s="339">
        <v>0</v>
      </c>
      <c r="CH466" s="81" t="str">
        <f>IF(ISERROR((CG466/BY466-1)*100),"NA",IF(((CG466/BY466-1)*100)&gt;100,"NM",IF(((CG466/BY466-1)*100)&lt;-50,"NM",(CG466/BY466-1)*100)))</f>
        <v>NA</v>
      </c>
      <c r="CI466" s="339">
        <v>0</v>
      </c>
      <c r="CJ466" s="81" t="str">
        <f>IF(ISERROR((CI466/CA466-1)*100),"NA",IF(((CI466/CA466-1)*100)&gt;100,"NM",IF(((CI466/CA466-1)*100)&lt;-50,"NM",(CI466/CA466-1)*100)))</f>
        <v>NA</v>
      </c>
      <c r="CK466" s="339">
        <v>0</v>
      </c>
      <c r="CL466" s="81" t="str">
        <f>IF(ISERROR((CK466/CC466-1)*100),"NA",IF(((CK466/CC466-1)*100)&gt;100,"NM",IF(((CK466/CC466-1)*100)&lt;-50,"NM",(CK466/CC466-1)*100)))</f>
        <v>NA</v>
      </c>
      <c r="CM466" s="339">
        <v>0</v>
      </c>
      <c r="CN466" s="81" t="str">
        <f>IF(ISERROR((CM466/CE466-1)*100),"NA",IF(((CM466/CE466-1)*100)&gt;100,"NM",IF(((CM466/CE466-1)*100)&lt;-50,"NM",(CM466/CE466-1)*100)))</f>
        <v>NA</v>
      </c>
      <c r="CO466" s="339">
        <v>0</v>
      </c>
      <c r="CP466" s="81" t="str">
        <f>IF(ISERROR((CO466/CG466-1)*100),"NA",IF(((CO466/CG466-1)*100)&gt;100,"NM",IF(((CO466/CG466-1)*100)&lt;-50,"NM",(CO466/CG466-1)*100)))</f>
        <v>NA</v>
      </c>
      <c r="CQ466" s="339">
        <v>0</v>
      </c>
      <c r="CR466" s="81" t="str">
        <f>IF(ISERROR((CQ466/CI466-1)*100),"NA",IF(((CQ466/CI466-1)*100)&gt;100,"NM",IF(((CQ466/CI466-1)*100)&lt;-50,"NM",(CQ466/CI466-1)*100)))</f>
        <v>NA</v>
      </c>
      <c r="CS466" s="339">
        <v>0</v>
      </c>
      <c r="CT466" s="81" t="str">
        <f>IF(ISERROR((CS466/CK466-1)*100),"NA",IF(((CS466/CK466-1)*100)&gt;100,"NM",IF(((CS466/CK466-1)*100)&lt;-50,"NM",(CS466/CK466-1)*100)))</f>
        <v>NA</v>
      </c>
      <c r="CU466" s="339">
        <v>0</v>
      </c>
      <c r="CV466" s="81" t="str">
        <f>IF(ISERROR((CU466/CM466-1)*100),"NA",IF(((CU466/CM466-1)*100)&gt;100,"NM",IF(((CU466/CM466-1)*100)&lt;-50,"NM",(CU466/CM466-1)*100)))</f>
        <v>NA</v>
      </c>
      <c r="CW466" s="339">
        <v>0</v>
      </c>
      <c r="CX466" s="81" t="str">
        <f>IF(ISERROR((CW466/CO466-1)*100),"NA",IF(((CW466/CO466-1)*100)&gt;100,"NM",IF(((CW466/CO466-1)*100)&lt;-50,"NM",(CW466/CO466-1)*100)))</f>
        <v>NA</v>
      </c>
      <c r="CY466" s="339">
        <v>0</v>
      </c>
      <c r="CZ466" s="81" t="str">
        <f>IF(ISERROR((CY466/CQ466-1)*100),"NA",IF(((CY466/CQ466-1)*100)&gt;100,"NM",IF(((CY466/CQ466-1)*100)&lt;-50,"NM",(CY466/CQ466-1)*100)))</f>
        <v>NA</v>
      </c>
      <c r="DA466" s="339">
        <v>0</v>
      </c>
      <c r="DB466" s="81" t="str">
        <f>IF(ISERROR((DA466/CS466-1)*100),"NA",IF(((DA466/CS466-1)*100)&gt;100,"NM",IF(((DA466/CS466-1)*100)&lt;-50,"NM",(DA466/CS466-1)*100)))</f>
        <v>NA</v>
      </c>
      <c r="DC466" s="339">
        <v>0</v>
      </c>
      <c r="DD466" s="81" t="str">
        <f>IF(ISERROR((DC466/CU466-1)*100),"NA",IF(((DC466/CU466-1)*100)&gt;100,"NM",IF(((DC466/CU466-1)*100)&lt;-50,"NM",(DC466/CU466-1)*100)))</f>
        <v>NA</v>
      </c>
      <c r="DE466" s="339">
        <v>0</v>
      </c>
      <c r="DF466" s="81" t="str">
        <f>IF(ISERROR((DE466/CW466-1)*100),"NA",IF(((DE466/CW466-1)*100)&gt;100,"NM",IF(((DE466/CW466-1)*100)&lt;-50,"NM",(DE466/CW466-1)*100)))</f>
        <v>NA</v>
      </c>
      <c r="DG466" s="339">
        <v>0</v>
      </c>
      <c r="DH466" s="81" t="str">
        <f>IF(ISERROR((DG466/CY466-1)*100),"NA",IF(((DG466/CY466-1)*100)&gt;100,"NM",IF(((DG466/CY466-1)*100)&lt;-50,"NM",(DG466/CY466-1)*100)))</f>
        <v>NA</v>
      </c>
      <c r="DI466" s="339">
        <v>0</v>
      </c>
      <c r="DJ466" s="81" t="str">
        <f>IF(ISERROR((DI466/DA466-1)*100),"NA",IF(((DI466/DA466-1)*100)&gt;100,"NM",IF(((DI466/DA466-1)*100)&lt;-50,"NM",(DI466/DA466-1)*100)))</f>
        <v>NA</v>
      </c>
      <c r="DK466" s="339">
        <v>0</v>
      </c>
      <c r="DL466" s="81" t="str">
        <f>IF(ISERROR((DK466/DC466-1)*100),"NA",IF(((DK466/DC466-1)*100)&gt;100,"NM",IF(((DK466/DC466-1)*100)&lt;-50,"NM",(DK466/DC466-1)*100)))</f>
        <v>NA</v>
      </c>
      <c r="DM466" s="339">
        <v>0</v>
      </c>
      <c r="DN466" s="81" t="str">
        <f>IF(ISERROR((DM466/DE466-1)*100),"NA",IF(((DM466/DE466-1)*100)&gt;100,"NM",IF(((DM466/DE466-1)*100)&lt;-50,"NM",(DM466/DE466-1)*100)))</f>
        <v>NA</v>
      </c>
      <c r="DO466" s="339">
        <v>0</v>
      </c>
      <c r="DP466" s="81" t="str">
        <f>IF(ISERROR((DO466/DG466-1)*100),"NA",IF(((DO466/DG466-1)*100)&gt;100,"NM",IF(((DO466/DG466-1)*100)&lt;-50,"NM",(DO466/DG466-1)*100)))</f>
        <v>NA</v>
      </c>
      <c r="DQ466" s="339">
        <v>0</v>
      </c>
      <c r="DR466" s="81" t="str">
        <f>IF(ISERROR((DQ466/DI466-1)*100),"NA",IF(((DQ466/DI466-1)*100)&gt;100,"NM",IF(((DQ466/DI466-1)*100)&lt;-50,"NM",(DQ466/DI466-1)*100)))</f>
        <v>NA</v>
      </c>
      <c r="DS466" s="339">
        <v>0</v>
      </c>
      <c r="DT466" s="81" t="str">
        <f>IF(ISERROR((DS466/DK466-1)*100),"NA",IF(((DS466/DK466-1)*100)&gt;100,"NM",IF(((DS466/DK466-1)*100)&lt;-50,"NM",(DS466/DK466-1)*100)))</f>
        <v>NA</v>
      </c>
      <c r="DU466" s="339">
        <v>0</v>
      </c>
      <c r="DV466" s="81" t="str">
        <f>IF(ISERROR((DU466/DM466-1)*100),"NA",IF(((DU466/DM466-1)*100)&gt;100,"NM",IF(((DU466/DM466-1)*100)&lt;-50,"NM",(DU466/DM466-1)*100)))</f>
        <v>NA</v>
      </c>
      <c r="DW466" s="339">
        <v>0</v>
      </c>
      <c r="DX466" s="81" t="str">
        <f>IF(ISERROR((DW466/DO466-1)*100),"NA",IF(((DW466/DO466-1)*100)&gt;100,"NM",IF(((DW466/DO466-1)*100)&lt;-50,"NM",(DW466/DO466-1)*100)))</f>
        <v>NA</v>
      </c>
      <c r="DY466" s="339">
        <v>0</v>
      </c>
      <c r="DZ466" s="81" t="str">
        <f>IF(ISERROR((DY466/DQ466-1)*100),"NA",IF(((DY466/DQ466-1)*100)&gt;100,"NM",IF(((DY466/DQ466-1)*100)&lt;-50,"NM",(DY466/DQ466-1)*100)))</f>
        <v>NA</v>
      </c>
      <c r="EA466" s="339">
        <f t="shared" ref="EA466" si="1716">EA471*0.75</f>
        <v>30.900000000000002</v>
      </c>
      <c r="EB466" s="81" t="str">
        <f>IF(ISERROR((EA466/DS466-1)*100),"NA",IF(((EA466/DS466-1)*100)&gt;100,"NM",IF(((EA466/DS466-1)*100)&lt;-50,"NM",(EA466/DS466-1)*100)))</f>
        <v>NA</v>
      </c>
      <c r="EC466" s="339">
        <f t="shared" ref="EC466" si="1717">EC471*0.75</f>
        <v>35.714285714285715</v>
      </c>
      <c r="ED466" s="81" t="str">
        <f t="shared" si="1708"/>
        <v>NA</v>
      </c>
      <c r="EE466" s="339">
        <f t="shared" ref="EE466:EG466" si="1718">EE471*0.75</f>
        <v>34.090909090909093</v>
      </c>
      <c r="EF466" s="81" t="str">
        <f t="shared" si="1709"/>
        <v>NA</v>
      </c>
      <c r="EG466" s="339">
        <f t="shared" si="1718"/>
        <v>37.5</v>
      </c>
      <c r="EH466" s="81" t="str">
        <f t="shared" si="1710"/>
        <v>NA</v>
      </c>
      <c r="EI466" s="339">
        <f t="shared" ref="EI466" si="1719">EI471*0.75</f>
        <v>39.513157894736842</v>
      </c>
      <c r="EJ466" s="81">
        <f t="shared" si="1711"/>
        <v>27.874297393970359</v>
      </c>
      <c r="EK466" s="339">
        <f t="shared" ref="EK466:EQ466" si="1720">EK471*0.75</f>
        <v>39.187008811475415</v>
      </c>
      <c r="EL466" s="81">
        <f t="shared" si="1712"/>
        <v>9.7236246721311694</v>
      </c>
      <c r="EM466" s="339">
        <f t="shared" si="1720"/>
        <v>39.79824898770493</v>
      </c>
      <c r="EN466" s="81">
        <f t="shared" si="1713"/>
        <v>16.741530363934444</v>
      </c>
      <c r="EO466" s="339">
        <f t="shared" si="1720"/>
        <v>40.395838967459028</v>
      </c>
      <c r="EP466" s="81">
        <f t="shared" si="1714"/>
        <v>7.7222372465574063</v>
      </c>
      <c r="EQ466" s="339">
        <f t="shared" si="1720"/>
        <v>41.005380746808214</v>
      </c>
      <c r="ER466" s="81">
        <f t="shared" si="1715"/>
        <v>3.7765213705436063</v>
      </c>
      <c r="ES466" s="82"/>
      <c r="ET466" s="490"/>
      <c r="EU466" s="82"/>
      <c r="EV466" s="129"/>
      <c r="EW466" s="79"/>
      <c r="EX466" s="332"/>
      <c r="EY466" s="79"/>
      <c r="EZ466" s="340"/>
      <c r="FA466" s="79"/>
      <c r="FB466" s="331">
        <f>+E466+G466+I466+K466</f>
        <v>0</v>
      </c>
      <c r="FC466" s="79" t="str">
        <f>IF(ISERROR((FB466/EZ466-1)*100),"NA",IF(((FB466/EZ466-1)*100)&gt;100,"NM",IF(((FB466/EZ466-1)*100)&lt;-50,"NM",(FB466/EZ466-1)*100)))</f>
        <v>NA</v>
      </c>
      <c r="FD466" s="340">
        <f>AVERAGE(S466,Q466,O466,M466)</f>
        <v>0</v>
      </c>
      <c r="FE466" s="79" t="str">
        <f>IF(ISERROR((FD466/FB466-1)*100),"NA",IF(((FD466/FB466-1)*100)&gt;100,"NM",IF(((FD466/FB466-1)*100)&lt;-50,"NM",(FD466/FB466-1)*100)))</f>
        <v>NA</v>
      </c>
      <c r="FF466" s="340">
        <f>AVERAGE(AA466,Y466,W466,U466)</f>
        <v>0</v>
      </c>
      <c r="FG466" s="79" t="str">
        <f>IF(ISERROR((FF466/FD466-1)*100),"NA",IF(((FF466/FD466-1)*100)&gt;100,"NM",IF(((FF466/FD466-1)*100)&lt;-50,"NM",(FF466/FD466-1)*100)))</f>
        <v>NA</v>
      </c>
      <c r="FH466" s="336">
        <f>AVERAGE(AI466,AG466,AE466,AC466)</f>
        <v>0</v>
      </c>
      <c r="FI466" s="79" t="str">
        <f>IF(ISERROR((FH466/FF466-1)*100),"NA",IF(((FH466/FF466-1)*100)&gt;100,"NM",IF(((FH466/FF466-1)*100)&lt;-50,"NM",(FH466/FF466-1)*100)))</f>
        <v>NA</v>
      </c>
      <c r="FJ466" s="341">
        <f>AVERAGE(AQ466,AO466,AM466,AK466)</f>
        <v>0</v>
      </c>
      <c r="FK466" s="79" t="str">
        <f>IF(ISERROR((FJ466/FH466-1)*100),"NA",IF(((FJ466/FH466-1)*100)&gt;100,"NM",IF(((FJ466/FH466-1)*100)&lt;-50,"NM",(FJ466/FH466-1)*100)))</f>
        <v>NA</v>
      </c>
      <c r="FL466" s="341">
        <f>AU466</f>
        <v>0</v>
      </c>
      <c r="FM466" s="79" t="str">
        <f>IF(ISERROR((FL466/FJ466-1)*100),"NA",IF(((FL466/FJ466-1)*100)&gt;100,"NM",IF(((FL466/FJ466-1)*100)&lt;-50,"NM",(FL466/FJ466-1)*100)))</f>
        <v>NA</v>
      </c>
      <c r="FN466" s="341">
        <f>BK466</f>
        <v>0</v>
      </c>
      <c r="FO466" s="79" t="str">
        <f>IF(ISERROR((FN466/FL466-1)*100),"NA",IF(((FN466/FL466-1)*100)&gt;100,"NM",IF(((FN466/FL466-1)*100)&lt;-50,"NM",(FN466/FL466-1)*100)))</f>
        <v>NA</v>
      </c>
      <c r="FP466" s="341">
        <f>BO466</f>
        <v>0</v>
      </c>
      <c r="FQ466" s="79" t="str">
        <f>IF(ISERROR((FP466/FN466-1)*100),"NA",IF(((FP466/FN466-1)*100)&gt;100,"NM",IF(((FP466/FN466-1)*100)&lt;-50,"NM",(FP466/FN466-1)*100)))</f>
        <v>NA</v>
      </c>
      <c r="FR466" s="192">
        <f>BW466</f>
        <v>0</v>
      </c>
      <c r="FS466" s="79" t="str">
        <f>IF(ISERROR((FR466/FP466-1)*100),"NA",IF(((FR466/FP466-1)*100)&gt;100,"NM",IF(((FR466/FP466-1)*100)&lt;-50,"NM",(FR466/FP466-1)*100)))</f>
        <v>NA</v>
      </c>
      <c r="FT466" s="342">
        <f>BY466</f>
        <v>0</v>
      </c>
      <c r="FU466" s="79" t="str">
        <f>IF(ISERROR((FT466/FR466-1)*100),"NA",IF(((FT466/FR466-1)*100)&gt;100,"NM",IF(((FT466/FR466-1)*100)&lt;-50,"NM",(FT466/FR466-1)*100)))</f>
        <v>NA</v>
      </c>
      <c r="FV466" s="342">
        <f>CG466</f>
        <v>0</v>
      </c>
      <c r="FW466" s="79" t="str">
        <f>IF(ISERROR((FV466/FT466-1)*100),"NA",IF(((FV466/FT466-1)*100)&gt;100,"NM",IF(((FV466/FT466-1)*100)&lt;-50,"NM",(FV466/FT466-1)*100)))</f>
        <v>NA</v>
      </c>
      <c r="FX466" s="342">
        <f>CO466</f>
        <v>0</v>
      </c>
      <c r="FY466" s="79" t="str">
        <f>IF(ISERROR((FX466/FV466-1)*100),"NA",IF(((FX466/FV466-1)*100)&gt;100,"NM",IF(((FX466/FV466-1)*100)&lt;-50,"NM",(FX466/FV466-1)*100)))</f>
        <v>NA</v>
      </c>
      <c r="FZ466" s="342">
        <f>AVERAGE(CW466,CY466,DA466,DC466)</f>
        <v>0</v>
      </c>
      <c r="GA466" s="79" t="str">
        <f>IF(ISERROR((FZ466/FX466-1)*100),"NA",IF(((FZ466/FX466-1)*100)&gt;100,"NM",IF(((FZ466/FX466-1)*100)&lt;-50,"NM",(FZ466/FX466-1)*100)))</f>
        <v>NA</v>
      </c>
      <c r="GB466" s="342">
        <f>AVERAGE(DE466,DG466,DI466,DK466)</f>
        <v>0</v>
      </c>
      <c r="GC466" s="79" t="str">
        <f>IF(ISERROR((GB466/FZ466-1)*100),"NA",IF(((GB466/FZ466-1)*100)&gt;100,"NM",IF(((GB466/FZ466-1)*100)&lt;-50,"NM",(GB466/FZ466-1)*100)))</f>
        <v>NA</v>
      </c>
      <c r="GD466" s="342">
        <f>AVERAGE(DM466,DO466,DQ466,DS466)</f>
        <v>0</v>
      </c>
      <c r="GE466" s="79" t="str">
        <f>IF(ISERROR((GD466/GB466-1)*100),"NA",IF(((GD466/GB466-1)*100)&gt;100,"NM",IF(((GD466/GB466-1)*100)&lt;-50,"NM",(GD466/GB466-1)*100)))</f>
        <v>NA</v>
      </c>
      <c r="GF466" s="342">
        <f>AVERAGE(DU466,DW466,DY466,EA466)</f>
        <v>7.7250000000000005</v>
      </c>
      <c r="GG466" s="79" t="str">
        <f>IF(ISERROR((GF466/GD466-1)*100),"NA",IF(((GF466/GD466-1)*100)&gt;100,"NM",IF(((GF466/GD466-1)*100)&lt;-50,"NM",(GF466/GD466-1)*100)))</f>
        <v>NA</v>
      </c>
      <c r="GH466" s="342">
        <f>AVERAGE(EC466,EE466,EG466,EI466)</f>
        <v>36.704588174982916</v>
      </c>
      <c r="GI466" s="79" t="str">
        <f>IF(ISERROR((GH466/GF466-1)*100),"NA",IF(((GH466/GF466-1)*100)&gt;100,"NM",IF(((GH466/GF466-1)*100)&lt;-50,"NM",(GH466/GF466-1)*100)))</f>
        <v>NM</v>
      </c>
      <c r="GJ466" s="342">
        <f>AVERAGE(EK466,EM466,EO466,EQ466)</f>
        <v>40.096619378361893</v>
      </c>
      <c r="GK466" s="79">
        <f>IF(ISERROR((GJ466/GH466-1)*100),"NA",IF(((GJ466/GH466-1)*100)&gt;100,"NM",IF(((GJ466/GH466-1)*100)&lt;-50,"NM",(GJ466/GH466-1)*100)))</f>
        <v>9.2414364852918105</v>
      </c>
      <c r="GL466" s="339">
        <f>GL471*0.75</f>
        <v>42.488423928630851</v>
      </c>
      <c r="GM466" s="79">
        <f>IF(ISERROR((GL466/GJ466-1)*100),"NA",IF(((GL466/GJ466-1)*100)&gt;100,"NM",IF(((GL466/GJ466-1)*100)&lt;-50,"NM",(GL466/GJ466-1)*100)))</f>
        <v>5.9651027626525854</v>
      </c>
      <c r="GN466" s="339">
        <f>GN471*0.75</f>
        <v>44.989980342921328</v>
      </c>
      <c r="GO466" s="79">
        <f>IF(ISERROR((GN466/GL466-1)*100),"NA",IF(((GN466/GL466-1)*100)&gt;100,"NM",IF(((GN466/GL466-1)*100)&lt;-50,"NM",(GN466/GL466-1)*100)))</f>
        <v>5.8876187511507139</v>
      </c>
      <c r="GP466" s="339">
        <f>GP471*0.75</f>
        <v>47.601909520355036</v>
      </c>
      <c r="GQ466" s="79">
        <f>IF(ISERROR((GP466/GN466-1)*100),"NA",IF(((GP466/GN466-1)*100)&gt;100,"NM",IF(((GP466/GN466-1)*100)&lt;-50,"NM",(GP466/GN466-1)*100)))</f>
        <v>5.8055797258081521</v>
      </c>
      <c r="GR466" s="339">
        <f>GR471*0.75</f>
        <v>50.324066106983445</v>
      </c>
      <c r="GS466" s="79">
        <f>IF(ISERROR((GR466/GP466-1)*100),"NA",IF(((GR466/GP466-1)*100)&gt;100,"NM",IF(((GR466/GP466-1)*100)&lt;-50,"NM",(GR466/GP466-1)*100)))</f>
        <v>5.7185869517784482</v>
      </c>
      <c r="GT466" s="79">
        <f>IF(ISERROR(((GR466/GH466)^0.2-1)*100),"NA",(IF(OR(((GR466/GH466)^0.2-1)*100&gt;99,((GR466/GH466)^0.2-1)*100&lt;-50),"NM",(((GR466/GH466)^0.2-1)*100))))</f>
        <v>6.5150740685697484</v>
      </c>
    </row>
    <row r="467" spans="1:286" ht="12.75" customHeight="1" x14ac:dyDescent="0.2">
      <c r="A467" s="1"/>
      <c r="B467" s="2" t="s">
        <v>321</v>
      </c>
      <c r="C467" s="79"/>
      <c r="D467" s="79"/>
      <c r="E467" s="332">
        <v>50</v>
      </c>
      <c r="F467" s="332"/>
      <c r="G467" s="332">
        <v>50</v>
      </c>
      <c r="H467" s="332"/>
      <c r="I467" s="332">
        <v>50</v>
      </c>
      <c r="J467" s="332"/>
      <c r="K467" s="332">
        <v>50</v>
      </c>
      <c r="L467" s="79"/>
      <c r="M467" s="332">
        <v>50</v>
      </c>
      <c r="N467" s="79">
        <f>IF(ISERROR((M467/E467-1)*100),"NA",IF(((M467/E467-1)*100)&gt;100,"NM",IF(((M467/E467-1)*100)&lt;-50,"NM",(M467/E467-1)*100)))</f>
        <v>0</v>
      </c>
      <c r="O467" s="332">
        <v>50</v>
      </c>
      <c r="P467" s="79">
        <f>IF(ISERROR((O467/G467-1)*100),"NA",IF(((O467/G467-1)*100)&gt;100,"NM",IF(((O467/G467-1)*100)&lt;-50,"NM",(O467/G467-1)*100)))</f>
        <v>0</v>
      </c>
      <c r="Q467" s="332">
        <v>50</v>
      </c>
      <c r="R467" s="79">
        <f>IF(ISERROR((Q467/I467-1)*100),"NA",IF(((Q467/I467-1)*100)&gt;100,"NM",IF(((Q467/I467-1)*100)&lt;-50,"NM",(Q467/I467-1)*100)))</f>
        <v>0</v>
      </c>
      <c r="S467" s="332">
        <v>50</v>
      </c>
      <c r="T467" s="79">
        <f>IF(ISERROR((S467/K467-1)*100),"NA",IF(((S467/K467-1)*100)&gt;100,"NM",IF(((S467/K467-1)*100)&lt;-50,"NM",(S467/K467-1)*100)))</f>
        <v>0</v>
      </c>
      <c r="U467" s="332">
        <v>50</v>
      </c>
      <c r="V467" s="79">
        <f>IF(ISERROR((U467/M467-1)*100),"NA",IF(((U467/M467-1)*100)&gt;100,"NM",IF(((U467/M467-1)*100)&lt;-50,"NM",(U467/M467-1)*100)))</f>
        <v>0</v>
      </c>
      <c r="W467" s="332">
        <v>50</v>
      </c>
      <c r="X467" s="79">
        <f>IF(ISERROR((W467/O467-1)*100),"NA",IF(((W467/O467-1)*100)&gt;100,"NM",IF(((W467/O467-1)*100)&lt;-50,"NM",(W467/O467-1)*100)))</f>
        <v>0</v>
      </c>
      <c r="Y467" s="332">
        <v>50</v>
      </c>
      <c r="Z467" s="79">
        <f>IF(ISERROR((Y467/Q467-1)*100),"NA",IF(((Y467/Q467-1)*100)&gt;100,"NM",IF(((Y467/Q467-1)*100)&lt;-50,"NM",(Y467/Q467-1)*100)))</f>
        <v>0</v>
      </c>
      <c r="AA467" s="343">
        <v>50</v>
      </c>
      <c r="AB467" s="79">
        <f>IF(ISERROR((AA467/S467-1)*100),"NA",IF(((AA467/S467-1)*100)&gt;100,"NM",IF(((AA467/S467-1)*100)&lt;-50,"NM",(AA467/S467-1)*100)))</f>
        <v>0</v>
      </c>
      <c r="AC467" s="332">
        <v>50</v>
      </c>
      <c r="AD467" s="79">
        <f>IF(ISERROR((AC467/U467-1)*100),"NA",IF(((AC467/U467-1)*100)&gt;100,"NM",IF(((AC467/U467-1)*100)&lt;-50,"NM",(AC467/U467-1)*100)))</f>
        <v>0</v>
      </c>
      <c r="AE467" s="332">
        <v>50</v>
      </c>
      <c r="AF467" s="79">
        <f>IF(ISERROR((AE467/W467-1)*100),"NA",IF(((AE467/W467-1)*100)&gt;100,"NM",IF(((AE467/W467-1)*100)&lt;-50,"NM",(AE467/W467-1)*100)))</f>
        <v>0</v>
      </c>
      <c r="AG467" s="332">
        <v>50</v>
      </c>
      <c r="AH467" s="79">
        <f>IF(ISERROR((AG467/Y467-1)*100),"NA",IF(((AG467/Y467-1)*100)&gt;100,"NM",IF(((AG467/Y467-1)*100)&lt;-50,"NM",(AG467/Y467-1)*100)))</f>
        <v>0</v>
      </c>
      <c r="AI467" s="332">
        <v>50</v>
      </c>
      <c r="AJ467" s="79">
        <f>IF(ISERROR((AI467/AA467-1)*100),"NA",IF(((AI467/AA467-1)*100)&gt;100,"NM",IF(((AI467/AA467-1)*100)&lt;-50,"NM",(AI467/AA467-1)*100)))</f>
        <v>0</v>
      </c>
      <c r="AK467" s="332">
        <v>50</v>
      </c>
      <c r="AL467" s="79">
        <f>IF(ISERROR((AK467/AC467-1)*100),"NA",IF(((AK467/AC467-1)*100)&gt;100,"NM",IF(((AK467/AC467-1)*100)&lt;-50,"NM",(AK467/AC467-1)*100)))</f>
        <v>0</v>
      </c>
      <c r="AM467" s="332">
        <v>50</v>
      </c>
      <c r="AN467" s="79">
        <f>IF(ISERROR((AM467/AE467-1)*100),"NA",IF(((AM467/AE467-1)*100)&gt;100,"NM",IF(((AM467/AE467-1)*100)&lt;-50,"NM",(AM467/AE467-1)*100)))</f>
        <v>0</v>
      </c>
      <c r="AO467" s="332">
        <v>50</v>
      </c>
      <c r="AP467" s="79">
        <f>IF(ISERROR((AO467/AG467-1)*100),"NA",IF(((AO467/AG467-1)*100)&gt;100,"NM",IF(((AO467/AG467-1)*100)&lt;-50,"NM",(AO467/AG467-1)*100)))</f>
        <v>0</v>
      </c>
      <c r="AQ467" s="332">
        <v>50</v>
      </c>
      <c r="AR467" s="79">
        <f>IF(ISERROR((AQ467/AI467-1)*100),"NA",IF(((AQ467/AI467-1)*100)&gt;100,"NM",IF(((AQ467/AI467-1)*100)&lt;-50,"NM",(AQ467/AI467-1)*100)))</f>
        <v>0</v>
      </c>
      <c r="AS467" s="332">
        <v>50</v>
      </c>
      <c r="AT467" s="81">
        <f>IF(ISERROR((AS467/AK467-1)*100),"NA",IF(((AS467/AK467-1)*100)&gt;100,"NM",IF(((AS467/AK467-1)*100)&lt;-50,"NM",(AS467/AK467-1)*100)))</f>
        <v>0</v>
      </c>
      <c r="AU467" s="332">
        <v>50</v>
      </c>
      <c r="AV467" s="81">
        <f>IF(ISERROR((AU467/AM467-1)*100),"NA",IF(((AU467/AM467-1)*100)&gt;100,"NM",IF(((AU467/AM467-1)*100)&lt;-50,"NM",(AU467/AM467-1)*100)))</f>
        <v>0</v>
      </c>
      <c r="AW467" s="332">
        <v>50</v>
      </c>
      <c r="AX467" s="81">
        <f>IF(ISERROR((AW467/AO467-1)*100),"NA",IF(((AW467/AO467-1)*100)&gt;100,"NM",IF(((AW467/AO467-1)*100)&lt;-50,"NM",(AW467/AO467-1)*100)))</f>
        <v>0</v>
      </c>
      <c r="AY467" s="332">
        <v>50</v>
      </c>
      <c r="AZ467" s="81">
        <f>IF(ISERROR((AY467/AQ467-1)*100),"NA",IF(((AY467/AQ467-1)*100)&gt;100,"NM",IF(((AY467/AQ467-1)*100)&lt;-50,"NM",(AY467/AQ467-1)*100)))</f>
        <v>0</v>
      </c>
      <c r="BA467" s="332">
        <v>50</v>
      </c>
      <c r="BB467" s="81">
        <f>IF(ISERROR((BA467/AS467-1)*100),"NA",IF(((BA467/AS467-1)*100)&gt;100,"NM",IF(((BA467/AS467-1)*100)&lt;-50,"NM",(BA467/AS467-1)*100)))</f>
        <v>0</v>
      </c>
      <c r="BC467" s="332">
        <v>50</v>
      </c>
      <c r="BD467" s="81">
        <f>IF(ISERROR((BC467/AU467-1)*100),"NA",IF(((BC467/AU467-1)*100)&gt;100,"NM",IF(((BC467/AU467-1)*100)&lt;-50,"NM",(BC467/AU467-1)*100)))</f>
        <v>0</v>
      </c>
      <c r="BE467" s="332">
        <v>50</v>
      </c>
      <c r="BF467" s="81">
        <f>IF(ISERROR((BE467/AW467-1)*100),"NA",IF(((BE467/AW467-1)*100)&gt;100,"NM",IF(((BE467/AW467-1)*100)&lt;-50,"NM",(BE467/AW467-1)*100)))</f>
        <v>0</v>
      </c>
      <c r="BG467" s="332">
        <v>50</v>
      </c>
      <c r="BH467" s="81">
        <f>IF(ISERROR((BG467/AY467-1)*100),"NA",IF(((BG467/AY467-1)*100)&gt;100,"NM",IF(((BG467/AY467-1)*100)&lt;-50,"NM",(BG467/AY467-1)*100)))</f>
        <v>0</v>
      </c>
      <c r="BI467" s="332">
        <v>50</v>
      </c>
      <c r="BJ467" s="81">
        <f>IF(ISERROR((BI467/BA467-1)*100),"NA",IF(((BI467/BA467-1)*100)&gt;100,"NM",IF(((BI467/BA467-1)*100)&lt;-50,"NM",(BI467/BA467-1)*100)))</f>
        <v>0</v>
      </c>
      <c r="BK467" s="332">
        <v>50</v>
      </c>
      <c r="BL467" s="81">
        <f>IF(ISERROR((BK467/BC467-1)*100),"NA",IF(((BK467/BC467-1)*100)&gt;100,"NM",IF(((BK467/BC467-1)*100)&lt;-50,"NM",(BK467/BC467-1)*100)))</f>
        <v>0</v>
      </c>
      <c r="BM467" s="332">
        <v>50</v>
      </c>
      <c r="BN467" s="81">
        <f>IF(ISERROR((BM467/BE467-1)*100),"NA",IF(((BM467/BE467-1)*100)&gt;100,"NM",IF(((BM467/BE467-1)*100)&lt;-50,"NM",(BM467/BE467-1)*100)))</f>
        <v>0</v>
      </c>
      <c r="BO467" s="332">
        <v>50</v>
      </c>
      <c r="BP467" s="81">
        <f>IF(ISERROR((BO467/BG467-1)*100),"NA",IF(((BO467/BG467-1)*100)&gt;100,"NM",IF(((BO467/BG467-1)*100)&lt;-50,"NM",(BO467/BG467-1)*100)))</f>
        <v>0</v>
      </c>
      <c r="BQ467" s="332">
        <v>50</v>
      </c>
      <c r="BR467" s="81">
        <f>IF(ISERROR((BQ467/BI467-1)*100),"NA",IF(((BQ467/BI467-1)*100)&gt;100,"NM",IF(((BQ467/BI467-1)*100)&lt;-50,"NM",(BQ467/BI467-1)*100)))</f>
        <v>0</v>
      </c>
      <c r="BS467" s="332">
        <v>50</v>
      </c>
      <c r="BT467" s="81">
        <f>IF(ISERROR((BS467/BK467-1)*100),"NA",IF(((BS467/BK467-1)*100)&gt;100,"NM",IF(((BS467/BK467-1)*100)&lt;-50,"NM",(BS467/BK467-1)*100)))</f>
        <v>0</v>
      </c>
      <c r="BU467" s="332">
        <v>50</v>
      </c>
      <c r="BV467" s="81">
        <f>IF(ISERROR((BU467/BM467-1)*100),"NA",IF(((BU467/BM467-1)*100)&gt;100,"NM",IF(((BU467/BM467-1)*100)&lt;-50,"NM",(BU467/BM467-1)*100)))</f>
        <v>0</v>
      </c>
      <c r="BW467" s="332">
        <v>50</v>
      </c>
      <c r="BX467" s="81">
        <f>IF(ISERROR((BW467/BO467-1)*100),"NA",IF(((BW467/BO467-1)*100)&gt;100,"NM",IF(((BW467/BO467-1)*100)&lt;-50,"NM",(BW467/BO467-1)*100)))</f>
        <v>0</v>
      </c>
      <c r="BY467" s="332">
        <v>50</v>
      </c>
      <c r="BZ467" s="81">
        <f>IF(ISERROR((BY467/BQ467-1)*100),"NA",IF(((BY467/BQ467-1)*100)&gt;100,"NM",IF(((BY467/BQ467-1)*100)&lt;-50,"NM",(BY467/BQ467-1)*100)))</f>
        <v>0</v>
      </c>
      <c r="CA467" s="332">
        <v>50</v>
      </c>
      <c r="CB467" s="81">
        <f>IF(ISERROR((CA467/BS467-1)*100),"NA",IF(((CA467/BS467-1)*100)&gt;100,"NM",IF(((CA467/BS467-1)*100)&lt;-50,"NM",(CA467/BS467-1)*100)))</f>
        <v>0</v>
      </c>
      <c r="CC467" s="332">
        <v>50</v>
      </c>
      <c r="CD467" s="81">
        <f>IF(ISERROR((CC467/BU467-1)*100),"NA",IF(((CC467/BU467-1)*100)&gt;100,"NM",IF(((CC467/BU467-1)*100)&lt;-50,"NM",(CC467/BU467-1)*100)))</f>
        <v>0</v>
      </c>
      <c r="CE467" s="332">
        <v>50</v>
      </c>
      <c r="CF467" s="81">
        <f>IF(ISERROR((CE467/BW467-1)*100),"NA",IF(((CE467/BW467-1)*100)&gt;100,"NM",IF(((CE467/BW467-1)*100)&lt;-50,"NM",(CE467/BW467-1)*100)))</f>
        <v>0</v>
      </c>
      <c r="CG467" s="332">
        <v>50</v>
      </c>
      <c r="CH467" s="81">
        <f>IF(ISERROR((CG467/BY467-1)*100),"NA",IF(((CG467/BY467-1)*100)&gt;100,"NM",IF(((CG467/BY467-1)*100)&lt;-50,"NM",(CG467/BY467-1)*100)))</f>
        <v>0</v>
      </c>
      <c r="CI467" s="332">
        <v>50</v>
      </c>
      <c r="CJ467" s="81">
        <f>IF(ISERROR((CI467/CA467-1)*100),"NA",IF(((CI467/CA467-1)*100)&gt;100,"NM",IF(((CI467/CA467-1)*100)&lt;-50,"NM",(CI467/CA467-1)*100)))</f>
        <v>0</v>
      </c>
      <c r="CK467" s="332">
        <v>50</v>
      </c>
      <c r="CL467" s="81">
        <f>IF(ISERROR((CK467/CC467-1)*100),"NA",IF(((CK467/CC467-1)*100)&gt;100,"NM",IF(((CK467/CC467-1)*100)&lt;-50,"NM",(CK467/CC467-1)*100)))</f>
        <v>0</v>
      </c>
      <c r="CM467" s="332">
        <v>50</v>
      </c>
      <c r="CN467" s="81">
        <f>IF(ISERROR((CM467/CE467-1)*100),"NA",IF(((CM467/CE467-1)*100)&gt;100,"NM",IF(((CM467/CE467-1)*100)&lt;-50,"NM",(CM467/CE467-1)*100)))</f>
        <v>0</v>
      </c>
      <c r="CO467" s="332">
        <v>50</v>
      </c>
      <c r="CP467" s="81">
        <f>IF(ISERROR((CO467/CG467-1)*100),"NA",IF(((CO467/CG467-1)*100)&gt;100,"NM",IF(((CO467/CG467-1)*100)&lt;-50,"NM",(CO467/CG467-1)*100)))</f>
        <v>0</v>
      </c>
      <c r="CQ467" s="332">
        <v>50</v>
      </c>
      <c r="CR467" s="81">
        <f>IF(ISERROR((CQ467/CI467-1)*100),"NA",IF(((CQ467/CI467-1)*100)&gt;100,"NM",IF(((CQ467/CI467-1)*100)&lt;-50,"NM",(CQ467/CI467-1)*100)))</f>
        <v>0</v>
      </c>
      <c r="CS467" s="332">
        <v>50</v>
      </c>
      <c r="CT467" s="81">
        <f>IF(ISERROR((CS467/CK467-1)*100),"NA",IF(((CS467/CK467-1)*100)&gt;100,"NM",IF(((CS467/CK467-1)*100)&lt;-50,"NM",(CS467/CK467-1)*100)))</f>
        <v>0</v>
      </c>
      <c r="CU467" s="332">
        <v>50</v>
      </c>
      <c r="CV467" s="81">
        <f>IF(ISERROR((CU467/CM467-1)*100),"NA",IF(((CU467/CM467-1)*100)&gt;100,"NM",IF(((CU467/CM467-1)*100)&lt;-50,"NM",(CU467/CM467-1)*100)))</f>
        <v>0</v>
      </c>
      <c r="CW467" s="332">
        <v>50</v>
      </c>
      <c r="CX467" s="81">
        <f>IF(ISERROR((CW467/CO467-1)*100),"NA",IF(((CW467/CO467-1)*100)&gt;100,"NM",IF(((CW467/CO467-1)*100)&lt;-50,"NM",(CW467/CO467-1)*100)))</f>
        <v>0</v>
      </c>
      <c r="CY467" s="332">
        <v>50</v>
      </c>
      <c r="CZ467" s="81">
        <f>IF(ISERROR((CY467/CQ467-1)*100),"NA",IF(((CY467/CQ467-1)*100)&gt;100,"NM",IF(((CY467/CQ467-1)*100)&lt;-50,"NM",(CY467/CQ467-1)*100)))</f>
        <v>0</v>
      </c>
      <c r="DA467" s="332">
        <v>50</v>
      </c>
      <c r="DB467" s="81">
        <f>IF(ISERROR((DA467/CS467-1)*100),"NA",IF(((DA467/CS467-1)*100)&gt;100,"NM",IF(((DA467/CS467-1)*100)&lt;-50,"NM",(DA467/CS467-1)*100)))</f>
        <v>0</v>
      </c>
      <c r="DC467" s="332">
        <v>50</v>
      </c>
      <c r="DD467" s="81">
        <f>IF(ISERROR((DC467/CU467-1)*100),"NA",IF(((DC467/CU467-1)*100)&gt;100,"NM",IF(((DC467/CU467-1)*100)&lt;-50,"NM",(DC467/CU467-1)*100)))</f>
        <v>0</v>
      </c>
      <c r="DE467" s="332">
        <v>50</v>
      </c>
      <c r="DF467" s="81">
        <f>IF(ISERROR((DE467/CW467-1)*100),"NA",IF(((DE467/CW467-1)*100)&gt;100,"NM",IF(((DE467/CW467-1)*100)&lt;-50,"NM",(DE467/CW467-1)*100)))</f>
        <v>0</v>
      </c>
      <c r="DG467" s="332">
        <v>50</v>
      </c>
      <c r="DH467" s="81">
        <f>IF(ISERROR((DG467/CY467-1)*100),"NA",IF(((DG467/CY467-1)*100)&gt;100,"NM",IF(((DG467/CY467-1)*100)&lt;-50,"NM",(DG467/CY467-1)*100)))</f>
        <v>0</v>
      </c>
      <c r="DI467" s="332">
        <v>50</v>
      </c>
      <c r="DJ467" s="81">
        <f>IF(ISERROR((DI467/DA467-1)*100),"NA",IF(((DI467/DA467-1)*100)&gt;100,"NM",IF(((DI467/DA467-1)*100)&lt;-50,"NM",(DI467/DA467-1)*100)))</f>
        <v>0</v>
      </c>
      <c r="DK467" s="332">
        <v>50</v>
      </c>
      <c r="DL467" s="81">
        <f>IF(ISERROR((DK467/DC467-1)*100),"NA",IF(((DK467/DC467-1)*100)&gt;100,"NM",IF(((DK467/DC467-1)*100)&lt;-50,"NM",(DK467/DC467-1)*100)))</f>
        <v>0</v>
      </c>
      <c r="DM467" s="332">
        <v>50</v>
      </c>
      <c r="DN467" s="81">
        <f>IF(ISERROR((DM467/DE467-1)*100),"NA",IF(((DM467/DE467-1)*100)&gt;100,"NM",IF(((DM467/DE467-1)*100)&lt;-50,"NM",(DM467/DE467-1)*100)))</f>
        <v>0</v>
      </c>
      <c r="DO467" s="332">
        <v>50</v>
      </c>
      <c r="DP467" s="81">
        <f>IF(ISERROR((DO467/DG467-1)*100),"NA",IF(((DO467/DG467-1)*100)&gt;100,"NM",IF(((DO467/DG467-1)*100)&lt;-50,"NM",(DO467/DG467-1)*100)))</f>
        <v>0</v>
      </c>
      <c r="DQ467" s="332">
        <v>50</v>
      </c>
      <c r="DR467" s="81">
        <f>IF(ISERROR((DQ467/DI467-1)*100),"NA",IF(((DQ467/DI467-1)*100)&gt;100,"NM",IF(((DQ467/DI467-1)*100)&lt;-50,"NM",(DQ467/DI467-1)*100)))</f>
        <v>0</v>
      </c>
      <c r="DS467" s="332">
        <v>50</v>
      </c>
      <c r="DT467" s="81">
        <f>IF(ISERROR((DS467/DK467-1)*100),"NA",IF(((DS467/DK467-1)*100)&gt;100,"NM",IF(((DS467/DK467-1)*100)&lt;-50,"NM",(DS467/DK467-1)*100)))</f>
        <v>0</v>
      </c>
      <c r="DU467" s="332">
        <v>50</v>
      </c>
      <c r="DV467" s="81">
        <f>IF(ISERROR((DU467/DM467-1)*100),"NA",IF(((DU467/DM467-1)*100)&gt;100,"NM",IF(((DU467/DM467-1)*100)&lt;-50,"NM",(DU467/DM467-1)*100)))</f>
        <v>0</v>
      </c>
      <c r="DW467" s="332">
        <v>50</v>
      </c>
      <c r="DX467" s="81">
        <f>IF(ISERROR((DW467/DO467-1)*100),"NA",IF(((DW467/DO467-1)*100)&gt;100,"NM",IF(((DW467/DO467-1)*100)&lt;-50,"NM",(DW467/DO467-1)*100)))</f>
        <v>0</v>
      </c>
      <c r="DY467" s="332">
        <v>50</v>
      </c>
      <c r="DZ467" s="81">
        <f>IF(ISERROR((DY467/DQ467-1)*100),"NA",IF(((DY467/DQ467-1)*100)&gt;100,"NM",IF(((DY467/DQ467-1)*100)&lt;-50,"NM",(DY467/DQ467-1)*100)))</f>
        <v>0</v>
      </c>
      <c r="EA467" s="332">
        <v>50</v>
      </c>
      <c r="EB467" s="81">
        <f>IF(ISERROR((EA467/DS467-1)*100),"NA",IF(((EA467/DS467-1)*100)&gt;100,"NM",IF(((EA467/DS467-1)*100)&lt;-50,"NM",(EA467/DS467-1)*100)))</f>
        <v>0</v>
      </c>
      <c r="EC467" s="332">
        <v>50</v>
      </c>
      <c r="ED467" s="81">
        <f t="shared" si="1708"/>
        <v>0</v>
      </c>
      <c r="EE467" s="332">
        <v>50</v>
      </c>
      <c r="EF467" s="81">
        <f t="shared" si="1709"/>
        <v>0</v>
      </c>
      <c r="EG467" s="332">
        <v>50</v>
      </c>
      <c r="EH467" s="81">
        <f t="shared" si="1710"/>
        <v>0</v>
      </c>
      <c r="EI467" s="332">
        <v>50</v>
      </c>
      <c r="EJ467" s="81">
        <f t="shared" si="1711"/>
        <v>0</v>
      </c>
      <c r="EK467" s="332">
        <v>50</v>
      </c>
      <c r="EL467" s="81">
        <f t="shared" si="1712"/>
        <v>0</v>
      </c>
      <c r="EM467" s="332">
        <v>50</v>
      </c>
      <c r="EN467" s="81">
        <f t="shared" si="1713"/>
        <v>0</v>
      </c>
      <c r="EO467" s="332">
        <v>50</v>
      </c>
      <c r="EP467" s="81">
        <f t="shared" si="1714"/>
        <v>0</v>
      </c>
      <c r="EQ467" s="332">
        <v>50</v>
      </c>
      <c r="ER467" s="81">
        <f t="shared" si="1715"/>
        <v>0</v>
      </c>
      <c r="ES467" s="82"/>
      <c r="ET467" s="490"/>
      <c r="EU467" s="82"/>
      <c r="EV467" s="332"/>
      <c r="EW467" s="79"/>
      <c r="EX467" s="332"/>
      <c r="EY467" s="79"/>
      <c r="EZ467" s="332"/>
      <c r="FA467" s="79"/>
      <c r="FB467" s="222"/>
      <c r="FC467" s="79" t="str">
        <f>IF(ISERROR((FB467/EZ467-1)*100),"NA",IF(((FB467/EZ467-1)*100)&gt;100,"NM",IF(((FB467/EZ467-1)*100)&lt;-50,"NM",(FB467/EZ467-1)*100)))</f>
        <v>NA</v>
      </c>
      <c r="FD467" s="222">
        <v>50</v>
      </c>
      <c r="FE467" s="79" t="str">
        <f>IF(ISERROR((FD467/FB467-1)*100),"NA",IF(((FD467/FB467-1)*100)&gt;100,"NM",IF(((FD467/FB467-1)*100)&lt;-50,"NM",(FD467/FB467-1)*100)))</f>
        <v>NA</v>
      </c>
      <c r="FF467" s="222">
        <v>50</v>
      </c>
      <c r="FG467" s="79">
        <f>IF(ISERROR((FF467/FD467-1)*100),"NA",IF(((FF467/FD467-1)*100)&gt;100,"NM",IF(((FF467/FD467-1)*100)&lt;-50,"NM",(FF467/FD467-1)*100)))</f>
        <v>0</v>
      </c>
      <c r="FH467" s="222">
        <v>50</v>
      </c>
      <c r="FI467" s="79">
        <f>IF(ISERROR((FH467/FF467-1)*100),"NA",IF(((FH467/FF467-1)*100)&gt;100,"NM",IF(((FH467/FF467-1)*100)&lt;-50,"NM",(FH467/FF467-1)*100)))</f>
        <v>0</v>
      </c>
      <c r="FJ467" s="251">
        <v>50</v>
      </c>
      <c r="FK467" s="79">
        <f>IF(ISERROR((FJ467/FH467-1)*100),"NA",IF(((FJ467/FH467-1)*100)&gt;100,"NM",IF(((FJ467/FH467-1)*100)&lt;-50,"NM",(FJ467/FH467-1)*100)))</f>
        <v>0</v>
      </c>
      <c r="FL467" s="251">
        <f>135/365*100</f>
        <v>36.986301369863014</v>
      </c>
      <c r="FM467" s="79">
        <f>IF(ISERROR((FL467/FJ467-1)*100),"NA",IF(((FL467/FJ467-1)*100)&gt;100,"NM",IF(((FL467/FJ467-1)*100)&lt;-50,"NM",(FL467/FJ467-1)*100)))</f>
        <v>-26.027397260273975</v>
      </c>
      <c r="FN467" s="251">
        <v>37</v>
      </c>
      <c r="FO467" s="79">
        <f>IF(ISERROR((FN467/FL467-1)*100),"NA",IF(((FN467/FL467-1)*100)&gt;100,"NM",IF(((FN467/FL467-1)*100)&lt;-50,"NM",(FN467/FL467-1)*100)))</f>
        <v>3.7037037037035425E-2</v>
      </c>
      <c r="FP467" s="251">
        <v>37</v>
      </c>
      <c r="FQ467" s="79">
        <f>IF(ISERROR((FP467/FN467-1)*100),"NA",IF(((FP467/FN467-1)*100)&gt;100,"NM",IF(((FP467/FN467-1)*100)&lt;-50,"NM",(FP467/FN467-1)*100)))</f>
        <v>0</v>
      </c>
      <c r="FR467" s="332">
        <v>50</v>
      </c>
      <c r="FS467" s="79">
        <f>IF(ISERROR((FR467/FP467-1)*100),"NA",IF(((FR467/FP467-1)*100)&gt;100,"NM",IF(((FR467/FP467-1)*100)&lt;-50,"NM",(FR467/FP467-1)*100)))</f>
        <v>35.13513513513513</v>
      </c>
      <c r="FT467" s="332">
        <v>50</v>
      </c>
      <c r="FU467" s="79">
        <f>IF(ISERROR((FT467/FR467-1)*100),"NA",IF(((FT467/FR467-1)*100)&gt;100,"NM",IF(((FT467/FR467-1)*100)&lt;-50,"NM",(FT467/FR467-1)*100)))</f>
        <v>0</v>
      </c>
      <c r="FV467" s="332">
        <v>50</v>
      </c>
      <c r="FW467" s="79">
        <f>IF(ISERROR((FV467/FT467-1)*100),"NA",IF(((FV467/FT467-1)*100)&gt;100,"NM",IF(((FV467/FT467-1)*100)&lt;-50,"NM",(FV467/FT467-1)*100)))</f>
        <v>0</v>
      </c>
      <c r="FX467" s="332">
        <v>50</v>
      </c>
      <c r="FY467" s="79">
        <f>IF(ISERROR((FX467/FV467-1)*100),"NA",IF(((FX467/FV467-1)*100)&gt;100,"NM",IF(((FX467/FV467-1)*100)&lt;-50,"NM",(FX467/FV467-1)*100)))</f>
        <v>0</v>
      </c>
      <c r="FZ467" s="332">
        <v>50</v>
      </c>
      <c r="GA467" s="79">
        <f>IF(ISERROR((FZ467/FX467-1)*100),"NA",IF(((FZ467/FX467-1)*100)&gt;100,"NM",IF(((FZ467/FX467-1)*100)&lt;-50,"NM",(FZ467/FX467-1)*100)))</f>
        <v>0</v>
      </c>
      <c r="GB467" s="332">
        <v>50</v>
      </c>
      <c r="GC467" s="79">
        <f>IF(ISERROR((GB467/FZ467-1)*100),"NA",IF(((GB467/FZ467-1)*100)&gt;100,"NM",IF(((GB467/FZ467-1)*100)&lt;-50,"NM",(GB467/FZ467-1)*100)))</f>
        <v>0</v>
      </c>
      <c r="GD467" s="332">
        <v>50</v>
      </c>
      <c r="GE467" s="79">
        <f>IF(ISERROR((GD467/GB467-1)*100),"NA",IF(((GD467/GB467-1)*100)&gt;100,"NM",IF(((GD467/GB467-1)*100)&lt;-50,"NM",(GD467/GB467-1)*100)))</f>
        <v>0</v>
      </c>
      <c r="GF467" s="332">
        <v>50</v>
      </c>
      <c r="GG467" s="79">
        <f>IF(ISERROR((GF467/GD467-1)*100),"NA",IF(((GF467/GD467-1)*100)&gt;100,"NM",IF(((GF467/GD467-1)*100)&lt;-50,"NM",(GF467/GD467-1)*100)))</f>
        <v>0</v>
      </c>
      <c r="GH467" s="332">
        <v>50</v>
      </c>
      <c r="GI467" s="79">
        <f>IF(ISERROR((GH467/GF467-1)*100),"NA",IF(((GH467/GF467-1)*100)&gt;100,"NM",IF(((GH467/GF467-1)*100)&lt;-50,"NM",(GH467/GF467-1)*100)))</f>
        <v>0</v>
      </c>
      <c r="GJ467" s="332">
        <v>50</v>
      </c>
      <c r="GK467" s="79">
        <f>IF(ISERROR((GJ467/GH467-1)*100),"NA",IF(((GJ467/GH467-1)*100)&gt;100,"NM",IF(((GJ467/GH467-1)*100)&lt;-50,"NM",(GJ467/GH467-1)*100)))</f>
        <v>0</v>
      </c>
      <c r="GL467" s="332">
        <v>50</v>
      </c>
      <c r="GM467" s="79">
        <f>IF(ISERROR((GL467/GJ467-1)*100),"NA",IF(((GL467/GJ467-1)*100)&gt;100,"NM",IF(((GL467/GJ467-1)*100)&lt;-50,"NM",(GL467/GJ467-1)*100)))</f>
        <v>0</v>
      </c>
      <c r="GN467" s="332">
        <v>50</v>
      </c>
      <c r="GO467" s="79">
        <f>IF(ISERROR((GN467/GL467-1)*100),"NA",IF(((GN467/GL467-1)*100)&gt;100,"NM",IF(((GN467/GL467-1)*100)&lt;-50,"NM",(GN467/GL467-1)*100)))</f>
        <v>0</v>
      </c>
      <c r="GP467" s="332">
        <v>50</v>
      </c>
      <c r="GQ467" s="79">
        <f>IF(ISERROR((GP467/GN467-1)*100),"NA",IF(((GP467/GN467-1)*100)&gt;100,"NM",IF(((GP467/GN467-1)*100)&lt;-50,"NM",(GP467/GN467-1)*100)))</f>
        <v>0</v>
      </c>
      <c r="GR467" s="332">
        <v>50</v>
      </c>
      <c r="GS467" s="79">
        <f>IF(ISERROR((GR467/GP467-1)*100),"NA",IF(((GR467/GP467-1)*100)&gt;100,"NM",IF(((GR467/GP467-1)*100)&lt;-50,"NM",(GR467/GP467-1)*100)))</f>
        <v>0</v>
      </c>
      <c r="GT467" s="79">
        <f>IF(ISERROR(((GR467/GH467)^0.2-1)*100),"NA",(IF(OR(((GR467/GH467)^0.2-1)*100&gt;99,((GR467/GH467)^0.2-1)*100&lt;-50),"NM",(((GR467/GH467)^0.2-1)*100))))</f>
        <v>0</v>
      </c>
    </row>
    <row r="468" spans="1:286" ht="12.75" customHeight="1" x14ac:dyDescent="0.2">
      <c r="A468" s="1" t="s">
        <v>263</v>
      </c>
      <c r="B468" s="2" t="s">
        <v>155</v>
      </c>
      <c r="C468" s="79"/>
      <c r="D468" s="79"/>
      <c r="E468" s="340">
        <f>E465*E466</f>
        <v>0</v>
      </c>
      <c r="F468" s="340"/>
      <c r="G468" s="340">
        <f>G465*G466</f>
        <v>0</v>
      </c>
      <c r="H468" s="340"/>
      <c r="I468" s="340">
        <f>I465*I466</f>
        <v>0</v>
      </c>
      <c r="J468" s="340"/>
      <c r="K468" s="340">
        <f>K465*K466</f>
        <v>0</v>
      </c>
      <c r="L468" s="79"/>
      <c r="M468" s="340">
        <f>M465*M466</f>
        <v>0</v>
      </c>
      <c r="N468" s="79" t="str">
        <f>IF(ISERROR((M468/E468-1)*100),"NA",IF(((M468/E468-1)*100)&gt;100,"NM",IF(((M468/E468-1)*100)&lt;-50,"NM",(M468/E468-1)*100)))</f>
        <v>NA</v>
      </c>
      <c r="O468" s="340">
        <f>O465*O466</f>
        <v>0</v>
      </c>
      <c r="P468" s="79" t="str">
        <f>IF(ISERROR((O468/G468-1)*100),"NA",IF(((O468/G468-1)*100)&gt;100,"NM",IF(((O468/G468-1)*100)&lt;-50,"NM",(O468/G468-1)*100)))</f>
        <v>NA</v>
      </c>
      <c r="Q468" s="340">
        <f>Q465*Q466</f>
        <v>0</v>
      </c>
      <c r="R468" s="79" t="str">
        <f>IF(ISERROR((Q468/I468-1)*100),"NA",IF(((Q468/I468-1)*100)&gt;100,"NM",IF(((Q468/I468-1)*100)&lt;-50,"NM",(Q468/I468-1)*100)))</f>
        <v>NA</v>
      </c>
      <c r="S468" s="340">
        <f>S465*S466</f>
        <v>0</v>
      </c>
      <c r="T468" s="79" t="str">
        <f>IF(ISERROR((S468/K468-1)*100),"NA",IF(((S468/K468-1)*100)&gt;100,"NM",IF(((S468/K468-1)*100)&lt;-50,"NM",(S468/K468-1)*100)))</f>
        <v>NA</v>
      </c>
      <c r="U468" s="340">
        <f>U465*U466</f>
        <v>0</v>
      </c>
      <c r="V468" s="79" t="str">
        <f>IF(ISERROR((U468/M468-1)*100),"NA",IF(((U468/M468-1)*100)&gt;100,"NM",IF(((U468/M468-1)*100)&lt;-50,"NM",(U468/M468-1)*100)))</f>
        <v>NA</v>
      </c>
      <c r="W468" s="340">
        <f>W465*W466</f>
        <v>0</v>
      </c>
      <c r="X468" s="79" t="str">
        <f>IF(ISERROR((W468/O468-1)*100),"NA",IF(((W468/O468-1)*100)&gt;100,"NM",IF(((W468/O468-1)*100)&lt;-50,"NM",(W468/O468-1)*100)))</f>
        <v>NA</v>
      </c>
      <c r="Y468" s="340">
        <f>Y465*Y466</f>
        <v>0</v>
      </c>
      <c r="Z468" s="79" t="str">
        <f>IF(ISERROR((Y468/Q468-1)*100),"NA",IF(((Y468/Q468-1)*100)&gt;100,"NM",IF(((Y468/Q468-1)*100)&lt;-50,"NM",(Y468/Q468-1)*100)))</f>
        <v>NA</v>
      </c>
      <c r="AA468" s="345">
        <f>AA465*AA466</f>
        <v>0</v>
      </c>
      <c r="AB468" s="79" t="str">
        <f>IF(ISERROR((AA468/S468-1)*100),"NA",IF(((AA468/S468-1)*100)&gt;100,"NM",IF(((AA468/S468-1)*100)&lt;-50,"NM",(AA468/S468-1)*100)))</f>
        <v>NA</v>
      </c>
      <c r="AC468" s="340">
        <f>AC465*AC466</f>
        <v>0</v>
      </c>
      <c r="AD468" s="79" t="str">
        <f>IF(ISERROR((AC468/U468-1)*100),"NA",IF(((AC468/U468-1)*100)&gt;100,"NM",IF(((AC468/U468-1)*100)&lt;-50,"NM",(AC468/U468-1)*100)))</f>
        <v>NA</v>
      </c>
      <c r="AE468" s="340">
        <f>AE465*AE466</f>
        <v>0</v>
      </c>
      <c r="AF468" s="79" t="str">
        <f>IF(ISERROR((AE468/W468-1)*100),"NA",IF(((AE468/W468-1)*100)&gt;100,"NM",IF(((AE468/W468-1)*100)&lt;-50,"NM",(AE468/W468-1)*100)))</f>
        <v>NA</v>
      </c>
      <c r="AG468" s="340">
        <f>AG465*AG466</f>
        <v>0</v>
      </c>
      <c r="AH468" s="79" t="str">
        <f>IF(ISERROR((AG468/Y468-1)*100),"NA",IF(((AG468/Y468-1)*100)&gt;100,"NM",IF(((AG468/Y468-1)*100)&lt;-50,"NM",(AG468/Y468-1)*100)))</f>
        <v>NA</v>
      </c>
      <c r="AI468" s="340">
        <f>AI465*AI466</f>
        <v>0</v>
      </c>
      <c r="AJ468" s="79" t="str">
        <f>IF(ISERROR((AI468/AA468-1)*100),"NA",IF(((AI468/AA468-1)*100)&gt;100,"NM",IF(((AI468/AA468-1)*100)&lt;-50,"NM",(AI468/AA468-1)*100)))</f>
        <v>NA</v>
      </c>
      <c r="AK468" s="340">
        <f>AK465*AK466</f>
        <v>0</v>
      </c>
      <c r="AL468" s="79" t="str">
        <f>IF(ISERROR((AK468/AC468-1)*100),"NA",IF(((AK468/AC468-1)*100)&gt;100,"NM",IF(((AK468/AC468-1)*100)&lt;-50,"NM",(AK468/AC468-1)*100)))</f>
        <v>NA</v>
      </c>
      <c r="AM468" s="340">
        <f>AM465*AM466</f>
        <v>0</v>
      </c>
      <c r="AN468" s="79" t="str">
        <f>IF(ISERROR((AM468/AE468-1)*100),"NA",IF(((AM468/AE468-1)*100)&gt;100,"NM",IF(((AM468/AE468-1)*100)&lt;-50,"NM",(AM468/AE468-1)*100)))</f>
        <v>NA</v>
      </c>
      <c r="AO468" s="340">
        <f>AO465*AO466</f>
        <v>0</v>
      </c>
      <c r="AP468" s="79" t="str">
        <f>IF(ISERROR((AO468/AG468-1)*100),"NA",IF(((AO468/AG468-1)*100)&gt;100,"NM",IF(((AO468/AG468-1)*100)&lt;-50,"NM",(AO468/AG468-1)*100)))</f>
        <v>NA</v>
      </c>
      <c r="AQ468" s="340">
        <f>AQ465*AQ466</f>
        <v>0</v>
      </c>
      <c r="AR468" s="79" t="str">
        <f>IF(ISERROR((AQ468/AI468-1)*100),"NA",IF(((AQ468/AI468-1)*100)&gt;100,"NM",IF(((AQ468/AI468-1)*100)&lt;-50,"NM",(AQ468/AI468-1)*100)))</f>
        <v>NA</v>
      </c>
      <c r="AS468" s="346">
        <f>AS465*AS466</f>
        <v>0</v>
      </c>
      <c r="AT468" s="81" t="str">
        <f>IF(ISERROR((AS468/AK468-1)*100),"NA",IF(((AS468/AK468-1)*100)&gt;100,"NM",IF(((AS468/AK468-1)*100)&lt;-50,"NM",(AS468/AK468-1)*100)))</f>
        <v>NA</v>
      </c>
      <c r="AU468" s="346">
        <f>AU465*AU466</f>
        <v>0</v>
      </c>
      <c r="AV468" s="81" t="str">
        <f>IF(ISERROR((AU468/AM468-1)*100),"NA",IF(((AU468/AM468-1)*100)&gt;100,"NM",IF(((AU468/AM468-1)*100)&lt;-50,"NM",(AU468/AM468-1)*100)))</f>
        <v>NA</v>
      </c>
      <c r="AW468" s="346">
        <f>AW465*AW466</f>
        <v>0</v>
      </c>
      <c r="AX468" s="81" t="str">
        <f>IF(ISERROR((AW468/AO468-1)*100),"NA",IF(((AW468/AO468-1)*100)&gt;100,"NM",IF(((AW468/AO468-1)*100)&lt;-50,"NM",(AW468/AO468-1)*100)))</f>
        <v>NA</v>
      </c>
      <c r="AY468" s="346">
        <f>AY465*AY466</f>
        <v>0</v>
      </c>
      <c r="AZ468" s="81" t="str">
        <f>IF(ISERROR((AY468/AQ468-1)*100),"NA",IF(((AY468/AQ468-1)*100)&gt;100,"NM",IF(((AY468/AQ468-1)*100)&lt;-50,"NM",(AY468/AQ468-1)*100)))</f>
        <v>NA</v>
      </c>
      <c r="BA468" s="346">
        <f>BA465*BA466</f>
        <v>0</v>
      </c>
      <c r="BB468" s="81" t="str">
        <f>IF(ISERROR((BA468/AS468-1)*100),"NA",IF(((BA468/AS468-1)*100)&gt;100,"NM",IF(((BA468/AS468-1)*100)&lt;-50,"NM",(BA468/AS468-1)*100)))</f>
        <v>NA</v>
      </c>
      <c r="BC468" s="334">
        <v>300</v>
      </c>
      <c r="BD468" s="81" t="str">
        <f>IF(ISERROR((BC468/AU468-1)*100),"NA",IF(((BC468/AU468-1)*100)&gt;100,"NM",IF(((BC468/AU468-1)*100)&lt;-50,"NM",(BC468/AU468-1)*100)))</f>
        <v>NA</v>
      </c>
      <c r="BE468" s="346">
        <f>BE465*BE466</f>
        <v>0</v>
      </c>
      <c r="BF468" s="81" t="str">
        <f>IF(ISERROR((BE468/AW468-1)*100),"NA",IF(((BE468/AW468-1)*100)&gt;100,"NM",IF(((BE468/AW468-1)*100)&lt;-50,"NM",(BE468/AW468-1)*100)))</f>
        <v>NA</v>
      </c>
      <c r="BG468" s="346">
        <f>BG465*BG466</f>
        <v>0</v>
      </c>
      <c r="BH468" s="81" t="str">
        <f>IF(ISERROR((BG468/AY468-1)*100),"NA",IF(((BG468/AY468-1)*100)&gt;100,"NM",IF(((BG468/AY468-1)*100)&lt;-50,"NM",(BG468/AY468-1)*100)))</f>
        <v>NA</v>
      </c>
      <c r="BI468" s="346">
        <f>BI465*BI466</f>
        <v>0</v>
      </c>
      <c r="BJ468" s="81" t="str">
        <f>IF(ISERROR((BI468/BA468-1)*100),"NA",IF(((BI468/BA468-1)*100)&gt;100,"NM",IF(((BI468/BA468-1)*100)&lt;-50,"NM",(BI468/BA468-1)*100)))</f>
        <v>NA</v>
      </c>
      <c r="BK468" s="346">
        <f>BK465*BK466</f>
        <v>0</v>
      </c>
      <c r="BL468" s="81" t="str">
        <f>IF(ISERROR((BK468/BC468-1)*100),"NA",IF(((BK468/BC468-1)*100)&gt;100,"NM",IF(((BK468/BC468-1)*100)&lt;-50,"NM",(BK468/BC468-1)*100)))</f>
        <v>NM</v>
      </c>
      <c r="BM468" s="346">
        <f>BM465*BM466</f>
        <v>0</v>
      </c>
      <c r="BN468" s="81" t="str">
        <f>IF(ISERROR((BM468/BE468-1)*100),"NA",IF(((BM468/BE468-1)*100)&gt;100,"NM",IF(((BM468/BE468-1)*100)&lt;-50,"NM",(BM468/BE468-1)*100)))</f>
        <v>NA</v>
      </c>
      <c r="BO468" s="346">
        <f>BO465*BO466</f>
        <v>0</v>
      </c>
      <c r="BP468" s="81" t="str">
        <f>IF(ISERROR((BO468/BG468-1)*100),"NA",IF(((BO468/BG468-1)*100)&gt;100,"NM",IF(((BO468/BG468-1)*100)&lt;-50,"NM",(BO468/BG468-1)*100)))</f>
        <v>NA</v>
      </c>
      <c r="BQ468" s="346">
        <f>BQ465*BQ466</f>
        <v>0</v>
      </c>
      <c r="BR468" s="81" t="str">
        <f>IF(ISERROR((BQ468/BI468-1)*100),"NA",IF(((BQ468/BI468-1)*100)&gt;100,"NM",IF(((BQ468/BI468-1)*100)&lt;-50,"NM",(BQ468/BI468-1)*100)))</f>
        <v>NA</v>
      </c>
      <c r="BS468" s="346">
        <f>BS465*BS466</f>
        <v>0</v>
      </c>
      <c r="BT468" s="81" t="str">
        <f>IF(ISERROR((BS468/BK468-1)*100),"NA",IF(((BS468/BK468-1)*100)&gt;100,"NM",IF(((BS468/BK468-1)*100)&lt;-50,"NM",(BS468/BK468-1)*100)))</f>
        <v>NA</v>
      </c>
      <c r="BU468" s="346">
        <f>BU465*BU466</f>
        <v>0</v>
      </c>
      <c r="BV468" s="81" t="str">
        <f>IF(ISERROR((BU468/BM468-1)*100),"NA",IF(((BU468/BM468-1)*100)&gt;100,"NM",IF(((BU468/BM468-1)*100)&lt;-50,"NM",(BU468/BM468-1)*100)))</f>
        <v>NA</v>
      </c>
      <c r="BW468" s="346">
        <f>BW465*BW466</f>
        <v>0</v>
      </c>
      <c r="BX468" s="81" t="str">
        <f>IF(ISERROR((BW468/BO468-1)*100),"NA",IF(((BW468/BO468-1)*100)&gt;100,"NM",IF(((BW468/BO468-1)*100)&lt;-50,"NM",(BW468/BO468-1)*100)))</f>
        <v>NA</v>
      </c>
      <c r="BY468" s="346">
        <f>BY465*BY466</f>
        <v>0</v>
      </c>
      <c r="BZ468" s="81" t="str">
        <f>IF(ISERROR((BY468/BQ468-1)*100),"NA",IF(((BY468/BQ468-1)*100)&gt;100,"NM",IF(((BY468/BQ468-1)*100)&lt;-50,"NM",(BY468/BQ468-1)*100)))</f>
        <v>NA</v>
      </c>
      <c r="CA468" s="346">
        <f>CA465*CA466</f>
        <v>0</v>
      </c>
      <c r="CB468" s="81" t="str">
        <f>IF(ISERROR((CA468/BS468-1)*100),"NA",IF(((CA468/BS468-1)*100)&gt;100,"NM",IF(((CA468/BS468-1)*100)&lt;-50,"NM",(CA468/BS468-1)*100)))</f>
        <v>NA</v>
      </c>
      <c r="CC468" s="346">
        <f>CC465*CC466</f>
        <v>0</v>
      </c>
      <c r="CD468" s="81" t="str">
        <f>IF(ISERROR((CC468/BU468-1)*100),"NA",IF(((CC468/BU468-1)*100)&gt;100,"NM",IF(((CC468/BU468-1)*100)&lt;-50,"NM",(CC468/BU468-1)*100)))</f>
        <v>NA</v>
      </c>
      <c r="CE468" s="346">
        <f>CE465*CE466</f>
        <v>0</v>
      </c>
      <c r="CF468" s="81" t="str">
        <f>IF(ISERROR((CE468/BW468-1)*100),"NA",IF(((CE468/BW468-1)*100)&gt;100,"NM",IF(((CE468/BW468-1)*100)&lt;-50,"NM",(CE468/BW468-1)*100)))</f>
        <v>NA</v>
      </c>
      <c r="CG468" s="346">
        <f>CG465*CG466</f>
        <v>0</v>
      </c>
      <c r="CH468" s="81" t="str">
        <f>IF(ISERROR((CG468/BY468-1)*100),"NA",IF(((CG468/BY468-1)*100)&gt;100,"NM",IF(((CG468/BY468-1)*100)&lt;-50,"NM",(CG468/BY468-1)*100)))</f>
        <v>NA</v>
      </c>
      <c r="CI468" s="346">
        <f>CI465*CI466</f>
        <v>0</v>
      </c>
      <c r="CJ468" s="81" t="str">
        <f>IF(ISERROR((CI468/CA468-1)*100),"NA",IF(((CI468/CA468-1)*100)&gt;100,"NM",IF(((CI468/CA468-1)*100)&lt;-50,"NM",(CI468/CA468-1)*100)))</f>
        <v>NA</v>
      </c>
      <c r="CK468" s="346">
        <f>CK465*CK466</f>
        <v>0</v>
      </c>
      <c r="CL468" s="81" t="str">
        <f>IF(ISERROR((CK468/CC468-1)*100),"NA",IF(((CK468/CC468-1)*100)&gt;100,"NM",IF(((CK468/CC468-1)*100)&lt;-50,"NM",(CK468/CC468-1)*100)))</f>
        <v>NA</v>
      </c>
      <c r="CM468" s="346">
        <f>CM465*CM466</f>
        <v>0</v>
      </c>
      <c r="CN468" s="81" t="str">
        <f>IF(ISERROR((CM468/CE468-1)*100),"NA",IF(((CM468/CE468-1)*100)&gt;100,"NM",IF(((CM468/CE468-1)*100)&lt;-50,"NM",(CM468/CE468-1)*100)))</f>
        <v>NA</v>
      </c>
      <c r="CO468" s="346">
        <f>CO465*CO466</f>
        <v>0</v>
      </c>
      <c r="CP468" s="81" t="str">
        <f>IF(ISERROR((CO468/CG468-1)*100),"NA",IF(((CO468/CG468-1)*100)&gt;100,"NM",IF(((CO468/CG468-1)*100)&lt;-50,"NM",(CO468/CG468-1)*100)))</f>
        <v>NA</v>
      </c>
      <c r="CQ468" s="346">
        <f>CQ465*CQ466</f>
        <v>0</v>
      </c>
      <c r="CR468" s="81" t="str">
        <f>IF(ISERROR((CQ468/CI468-1)*100),"NA",IF(((CQ468/CI468-1)*100)&gt;100,"NM",IF(((CQ468/CI468-1)*100)&lt;-50,"NM",(CQ468/CI468-1)*100)))</f>
        <v>NA</v>
      </c>
      <c r="CS468" s="346">
        <f>CS465*CS466</f>
        <v>0</v>
      </c>
      <c r="CT468" s="81" t="str">
        <f>IF(ISERROR((CS468/CK468-1)*100),"NA",IF(((CS468/CK468-1)*100)&gt;100,"NM",IF(((CS468/CK468-1)*100)&lt;-50,"NM",(CS468/CK468-1)*100)))</f>
        <v>NA</v>
      </c>
      <c r="CU468" s="346">
        <f>CU465*CU466</f>
        <v>0</v>
      </c>
      <c r="CV468" s="81" t="str">
        <f>IF(ISERROR((CU468/CM468-1)*100),"NA",IF(((CU468/CM468-1)*100)&gt;100,"NM",IF(((CU468/CM468-1)*100)&lt;-50,"NM",(CU468/CM468-1)*100)))</f>
        <v>NA</v>
      </c>
      <c r="CW468" s="346">
        <f>CW465*CW466</f>
        <v>0</v>
      </c>
      <c r="CX468" s="81" t="str">
        <f>IF(ISERROR((CW468/CO468-1)*100),"NA",IF(((CW468/CO468-1)*100)&gt;100,"NM",IF(((CW468/CO468-1)*100)&lt;-50,"NM",(CW468/CO468-1)*100)))</f>
        <v>NA</v>
      </c>
      <c r="CY468" s="346">
        <f>CY465*CY466</f>
        <v>0</v>
      </c>
      <c r="CZ468" s="81" t="str">
        <f>IF(ISERROR((CY468/CQ468-1)*100),"NA",IF(((CY468/CQ468-1)*100)&gt;100,"NM",IF(((CY468/CQ468-1)*100)&lt;-50,"NM",(CY468/CQ468-1)*100)))</f>
        <v>NA</v>
      </c>
      <c r="DA468" s="346">
        <f>DA465*DA466</f>
        <v>0</v>
      </c>
      <c r="DB468" s="81" t="str">
        <f>IF(ISERROR((DA468/CS468-1)*100),"NA",IF(((DA468/CS468-1)*100)&gt;100,"NM",IF(((DA468/CS468-1)*100)&lt;-50,"NM",(DA468/CS468-1)*100)))</f>
        <v>NA</v>
      </c>
      <c r="DC468" s="346">
        <f>DC465*DC466</f>
        <v>0</v>
      </c>
      <c r="DD468" s="81" t="str">
        <f>IF(ISERROR((DC468/CU468-1)*100),"NA",IF(((DC468/CU468-1)*100)&gt;100,"NM",IF(((DC468/CU468-1)*100)&lt;-50,"NM",(DC468/CU468-1)*100)))</f>
        <v>NA</v>
      </c>
      <c r="DE468" s="346">
        <f>DE465*DE466</f>
        <v>0</v>
      </c>
      <c r="DF468" s="81" t="str">
        <f>IF(ISERROR((DE468/CW468-1)*100),"NA",IF(((DE468/CW468-1)*100)&gt;100,"NM",IF(((DE468/CW468-1)*100)&lt;-50,"NM",(DE468/CW468-1)*100)))</f>
        <v>NA</v>
      </c>
      <c r="DG468" s="346">
        <f>DG465*DG466</f>
        <v>0</v>
      </c>
      <c r="DH468" s="81" t="str">
        <f>IF(ISERROR((DG468/CY468-1)*100),"NA",IF(((DG468/CY468-1)*100)&gt;100,"NM",IF(((DG468/CY468-1)*100)&lt;-50,"NM",(DG468/CY468-1)*100)))</f>
        <v>NA</v>
      </c>
      <c r="DI468" s="346">
        <f>DI465*DI466</f>
        <v>0</v>
      </c>
      <c r="DJ468" s="81" t="str">
        <f>IF(ISERROR((DI468/DA468-1)*100),"NA",IF(((DI468/DA468-1)*100)&gt;100,"NM",IF(((DI468/DA468-1)*100)&lt;-50,"NM",(DI468/DA468-1)*100)))</f>
        <v>NA</v>
      </c>
      <c r="DK468" s="346">
        <f>DK465*DK466</f>
        <v>0</v>
      </c>
      <c r="DL468" s="81" t="str">
        <f>IF(ISERROR((DK468/DC468-1)*100),"NA",IF(((DK468/DC468-1)*100)&gt;100,"NM",IF(((DK468/DC468-1)*100)&lt;-50,"NM",(DK468/DC468-1)*100)))</f>
        <v>NA</v>
      </c>
      <c r="DM468" s="346">
        <f>DM465*DM466</f>
        <v>0</v>
      </c>
      <c r="DN468" s="81" t="str">
        <f>IF(ISERROR((DM468/DE468-1)*100),"NA",IF(((DM468/DE468-1)*100)&gt;100,"NM",IF(((DM468/DE468-1)*100)&lt;-50,"NM",(DM468/DE468-1)*100)))</f>
        <v>NA</v>
      </c>
      <c r="DO468" s="346">
        <f>DO465*DO466</f>
        <v>0</v>
      </c>
      <c r="DP468" s="81" t="str">
        <f>IF(ISERROR((DO468/DG468-1)*100),"NA",IF(((DO468/DG468-1)*100)&gt;100,"NM",IF(((DO468/DG468-1)*100)&lt;-50,"NM",(DO468/DG468-1)*100)))</f>
        <v>NA</v>
      </c>
      <c r="DQ468" s="346">
        <f>DQ465*DQ466</f>
        <v>0</v>
      </c>
      <c r="DR468" s="81" t="str">
        <f>IF(ISERROR((DQ468/DI468-1)*100),"NA",IF(((DQ468/DI468-1)*100)&gt;100,"NM",IF(((DQ468/DI468-1)*100)&lt;-50,"NM",(DQ468/DI468-1)*100)))</f>
        <v>NA</v>
      </c>
      <c r="DS468" s="346">
        <f>DS465*DS466</f>
        <v>0</v>
      </c>
      <c r="DT468" s="81" t="str">
        <f>IF(ISERROR((DS468/DK468-1)*100),"NA",IF(((DS468/DK468-1)*100)&gt;100,"NM",IF(((DS468/DK468-1)*100)&lt;-50,"NM",(DS468/DK468-1)*100)))</f>
        <v>NA</v>
      </c>
      <c r="DU468" s="346">
        <f>DU465*DU466</f>
        <v>0</v>
      </c>
      <c r="DV468" s="81" t="str">
        <f>IF(ISERROR((DU468/DM468-1)*100),"NA",IF(((DU468/DM468-1)*100)&gt;100,"NM",IF(((DU468/DM468-1)*100)&lt;-50,"NM",(DU468/DM468-1)*100)))</f>
        <v>NA</v>
      </c>
      <c r="DW468" s="346">
        <f>DW465*DW466</f>
        <v>0</v>
      </c>
      <c r="DX468" s="81" t="str">
        <f>IF(ISERROR((DW468/DO468-1)*100),"NA",IF(((DW468/DO468-1)*100)&gt;100,"NM",IF(((DW468/DO468-1)*100)&lt;-50,"NM",(DW468/DO468-1)*100)))</f>
        <v>NA</v>
      </c>
      <c r="DY468" s="346">
        <f>DY465*DY466</f>
        <v>0</v>
      </c>
      <c r="DZ468" s="81" t="str">
        <f>IF(ISERROR((DY468/DQ468-1)*100),"NA",IF(((DY468/DQ468-1)*100)&gt;100,"NM",IF(((DY468/DQ468-1)*100)&lt;-50,"NM",(DY468/DQ468-1)*100)))</f>
        <v>NA</v>
      </c>
      <c r="EA468" s="346">
        <f>EA465*EA466</f>
        <v>6.7980000000000009</v>
      </c>
      <c r="EB468" s="81" t="str">
        <f>IF(ISERROR((EA468/DS468-1)*100),"NA",IF(((EA468/DS468-1)*100)&gt;100,"NM",IF(((EA468/DS468-1)*100)&lt;-50,"NM",(EA468/DS468-1)*100)))</f>
        <v>NA</v>
      </c>
      <c r="EC468" s="346">
        <f>EC465*EC466</f>
        <v>0</v>
      </c>
      <c r="ED468" s="81" t="str">
        <f t="shared" si="1708"/>
        <v>NA</v>
      </c>
      <c r="EE468" s="346">
        <f t="shared" ref="EE468:EG468" si="1721">EE465*EE466</f>
        <v>0</v>
      </c>
      <c r="EF468" s="81" t="str">
        <f t="shared" si="1709"/>
        <v>NA</v>
      </c>
      <c r="EG468" s="346">
        <f t="shared" si="1721"/>
        <v>0</v>
      </c>
      <c r="EH468" s="81" t="str">
        <f t="shared" si="1710"/>
        <v>NA</v>
      </c>
      <c r="EI468" s="346">
        <f t="shared" ref="EI468" si="1722">EI465*EI466</f>
        <v>0</v>
      </c>
      <c r="EJ468" s="81" t="str">
        <f t="shared" si="1711"/>
        <v>NM</v>
      </c>
      <c r="EK468" s="346">
        <f t="shared" ref="EK468:EQ468" si="1723">EK465*EK466</f>
        <v>0</v>
      </c>
      <c r="EL468" s="81" t="str">
        <f t="shared" si="1712"/>
        <v>NA</v>
      </c>
      <c r="EM468" s="346">
        <f t="shared" si="1723"/>
        <v>0</v>
      </c>
      <c r="EN468" s="81" t="str">
        <f t="shared" si="1713"/>
        <v>NA</v>
      </c>
      <c r="EO468" s="346">
        <f t="shared" si="1723"/>
        <v>0</v>
      </c>
      <c r="EP468" s="81" t="str">
        <f t="shared" si="1714"/>
        <v>NA</v>
      </c>
      <c r="EQ468" s="346">
        <f t="shared" si="1723"/>
        <v>0</v>
      </c>
      <c r="ER468" s="81" t="str">
        <f t="shared" si="1715"/>
        <v>NA</v>
      </c>
      <c r="ES468" s="82"/>
      <c r="ET468" s="490"/>
      <c r="EU468" s="82"/>
      <c r="EV468" s="340"/>
      <c r="EW468" s="79"/>
      <c r="EX468" s="340"/>
      <c r="EY468" s="79"/>
      <c r="EZ468" s="340"/>
      <c r="FA468" s="79"/>
      <c r="FB468" s="331">
        <f>+E468+G468+I468+K468</f>
        <v>0</v>
      </c>
      <c r="FC468" s="79" t="str">
        <f>IF(ISERROR((FB468/EZ468-1)*100),"NA",IF(((FB468/EZ468-1)*100)&gt;100,"NM",IF(((FB468/EZ468-1)*100)&lt;-50,"NM",(FB468/EZ468-1)*100)))</f>
        <v>NA</v>
      </c>
      <c r="FD468" s="222">
        <f>FD465*FD466</f>
        <v>0</v>
      </c>
      <c r="FE468" s="79" t="str">
        <f>IF(ISERROR((FD468/FB468-1)*100),"NA",IF(((FD468/FB468-1)*100)&gt;100,"NM",IF(((FD468/FB468-1)*100)&lt;-50,"NM",(FD468/FB468-1)*100)))</f>
        <v>NA</v>
      </c>
      <c r="FF468" s="222">
        <f>+U468+W468+Y468+AA468</f>
        <v>0</v>
      </c>
      <c r="FG468" s="79" t="str">
        <f>IF(ISERROR((FF468/FD468-1)*100),"NA",IF(((FF468/FD468-1)*100)&gt;100,"NM",IF(((FF468/FD468-1)*100)&lt;-50,"NM",(FF468/FD468-1)*100)))</f>
        <v>NA</v>
      </c>
      <c r="FH468" s="222">
        <f>+AI468+AG468+AE468+AC468</f>
        <v>0</v>
      </c>
      <c r="FI468" s="79" t="str">
        <f>IF(ISERROR((FH468/FF468-1)*100),"NA",IF(((FH468/FF468-1)*100)&gt;100,"NM",IF(((FH468/FF468-1)*100)&lt;-50,"NM",(FH468/FF468-1)*100)))</f>
        <v>NA</v>
      </c>
      <c r="FJ468" s="35">
        <f>+AQ468+AO468+AM468+AK468</f>
        <v>0</v>
      </c>
      <c r="FK468" s="79" t="str">
        <f>IF(ISERROR((FJ468/FH468-1)*100),"NA",IF(((FJ468/FH468-1)*100)&gt;100,"NM",IF(((FJ468/FH468-1)*100)&lt;-50,"NM",(FJ468/FH468-1)*100)))</f>
        <v>NA</v>
      </c>
      <c r="FL468" s="35">
        <f>AS468+AU468+AW468+AY468</f>
        <v>0</v>
      </c>
      <c r="FM468" s="79" t="str">
        <f>IF(ISERROR((FL468/FJ468-1)*100),"NA",IF(((FL468/FJ468-1)*100)&gt;100,"NM",IF(((FL468/FJ468-1)*100)&lt;-50,"NM",(FL468/FJ468-1)*100)))</f>
        <v>NA</v>
      </c>
      <c r="FN468" s="35">
        <f>BA468+BC468+BE468+BG468</f>
        <v>300</v>
      </c>
      <c r="FO468" s="79" t="str">
        <f>IF(ISERROR((FN468/FL468-1)*100),"NA",IF(((FN468/FL468-1)*100)&gt;100,"NM",IF(((FN468/FL468-1)*100)&lt;-50,"NM",(FN468/FL468-1)*100)))</f>
        <v>NA</v>
      </c>
      <c r="FP468" s="35">
        <f>BI468+BK468+BM468+BO468</f>
        <v>0</v>
      </c>
      <c r="FQ468" s="79" t="str">
        <f>IF(ISERROR((FP468/FN468-1)*100),"NA",IF(((FP468/FN468-1)*100)&gt;100,"NM",IF(((FP468/FN468-1)*100)&lt;-50,"NM",(FP468/FN468-1)*100)))</f>
        <v>NM</v>
      </c>
      <c r="FR468" s="346">
        <f>BQ468+BS468+BU468+BW468</f>
        <v>0</v>
      </c>
      <c r="FS468" s="79" t="str">
        <f>IF(ISERROR((FR468/FP468-1)*100),"NA",IF(((FR468/FP468-1)*100)&gt;100,"NM",IF(((FR468/FP468-1)*100)&lt;-50,"NM",(FR468/FP468-1)*100)))</f>
        <v>NA</v>
      </c>
      <c r="FT468" s="346">
        <f>BY468+CA468+CC468+CE468</f>
        <v>0</v>
      </c>
      <c r="FU468" s="79" t="str">
        <f>IF(ISERROR((FT468/FR468-1)*100),"NA",IF(((FT468/FR468-1)*100)&gt;100,"NM",IF(((FT468/FR468-1)*100)&lt;-50,"NM",(FT468/FR468-1)*100)))</f>
        <v>NA</v>
      </c>
      <c r="FV468" s="346">
        <f>CG468+CI468+CK468+CM468</f>
        <v>0</v>
      </c>
      <c r="FW468" s="79" t="str">
        <f>IF(ISERROR((FV468/FT468-1)*100),"NA",IF(((FV468/FT468-1)*100)&gt;100,"NM",IF(((FV468/FT468-1)*100)&lt;-50,"NM",(FV468/FT468-1)*100)))</f>
        <v>NA</v>
      </c>
      <c r="FX468" s="346">
        <f>CO468+CQ468+CS468+CU468</f>
        <v>0</v>
      </c>
      <c r="FY468" s="79" t="str">
        <f>IF(ISERROR((FX468/FV468-1)*100),"NA",IF(((FX468/FV468-1)*100)&gt;100,"NM",IF(((FX468/FV468-1)*100)&lt;-50,"NM",(FX468/FV468-1)*100)))</f>
        <v>NA</v>
      </c>
      <c r="FZ468" s="346">
        <f>CW468+CY468+DA468+DC468</f>
        <v>0</v>
      </c>
      <c r="GA468" s="79" t="str">
        <f>IF(ISERROR((FZ468/FX468-1)*100),"NA",IF(((FZ468/FX468-1)*100)&gt;100,"NM",IF(((FZ468/FX468-1)*100)&lt;-50,"NM",(FZ468/FX468-1)*100)))</f>
        <v>NA</v>
      </c>
      <c r="GB468" s="346">
        <f>DE468+DG468+DI468+DK468</f>
        <v>0</v>
      </c>
      <c r="GC468" s="79" t="str">
        <f>IF(ISERROR((GB468/FZ468-1)*100),"NA",IF(((GB468/FZ468-1)*100)&gt;100,"NM",IF(((GB468/FZ468-1)*100)&lt;-50,"NM",(GB468/FZ468-1)*100)))</f>
        <v>NA</v>
      </c>
      <c r="GD468" s="346">
        <f>DM468+DO468+DQ468+DS468</f>
        <v>0</v>
      </c>
      <c r="GE468" s="79" t="str">
        <f>IF(ISERROR((GD468/GB468-1)*100),"NA",IF(((GD468/GB468-1)*100)&gt;100,"NM",IF(((GD468/GB468-1)*100)&lt;-50,"NM",(GD468/GB468-1)*100)))</f>
        <v>NA</v>
      </c>
      <c r="GF468" s="346">
        <f>DU468+DW468+DY468+EA468</f>
        <v>6.7980000000000009</v>
      </c>
      <c r="GG468" s="79" t="str">
        <f>IF(ISERROR((GF468/GD468-1)*100),"NA",IF(((GF468/GD468-1)*100)&gt;100,"NM",IF(((GF468/GD468-1)*100)&lt;-50,"NM",(GF468/GD468-1)*100)))</f>
        <v>NA</v>
      </c>
      <c r="GH468" s="346">
        <f>EC468+EE468+EG468+EI468</f>
        <v>0</v>
      </c>
      <c r="GI468" s="79" t="str">
        <f>IF(ISERROR((GH468/GF468-1)*100),"NA",IF(((GH468/GF468-1)*100)&gt;100,"NM",IF(((GH468/GF468-1)*100)&lt;-50,"NM",(GH468/GF468-1)*100)))</f>
        <v>NM</v>
      </c>
      <c r="GJ468" s="346">
        <f>EK468+EM468+EO468+EQ468</f>
        <v>0</v>
      </c>
      <c r="GK468" s="79" t="str">
        <f>IF(ISERROR((GJ468/GH468-1)*100),"NA",IF(((GJ468/GH468-1)*100)&gt;100,"NM",IF(((GJ468/GH468-1)*100)&lt;-50,"NM",(GJ468/GH468-1)*100)))</f>
        <v>NA</v>
      </c>
      <c r="GL468" s="346">
        <f>GL465*GL466</f>
        <v>0</v>
      </c>
      <c r="GM468" s="79" t="str">
        <f>IF(ISERROR((GL468/GJ468-1)*100),"NA",IF(((GL468/GJ468-1)*100)&gt;100,"NM",IF(((GL468/GJ468-1)*100)&lt;-50,"NM",(GL468/GJ468-1)*100)))</f>
        <v>NA</v>
      </c>
      <c r="GN468" s="346">
        <f>GN465*GN466</f>
        <v>0</v>
      </c>
      <c r="GO468" s="79" t="str">
        <f>IF(ISERROR((GN468/GL468-1)*100),"NA",IF(((GN468/GL468-1)*100)&gt;100,"NM",IF(((GN468/GL468-1)*100)&lt;-50,"NM",(GN468/GL468-1)*100)))</f>
        <v>NA</v>
      </c>
      <c r="GP468" s="346">
        <f>GP465*GP466</f>
        <v>0</v>
      </c>
      <c r="GQ468" s="79" t="str">
        <f>IF(ISERROR((GP468/GN468-1)*100),"NA",IF(((GP468/GN468-1)*100)&gt;100,"NM",IF(((GP468/GN468-1)*100)&lt;-50,"NM",(GP468/GN468-1)*100)))</f>
        <v>NA</v>
      </c>
      <c r="GR468" s="346">
        <f>GR465*GR466</f>
        <v>0</v>
      </c>
      <c r="GS468" s="79" t="str">
        <f>IF(ISERROR((GR468/GP468-1)*100),"NA",IF(((GR468/GP468-1)*100)&gt;100,"NM",IF(((GR468/GP468-1)*100)&lt;-50,"NM",(GR468/GP468-1)*100)))</f>
        <v>NA</v>
      </c>
      <c r="GT468" s="79" t="str">
        <f>IF(ISERROR(((GR468/GH468)^0.2-1)*100),"NA",(IF(OR(((GR468/GH468)^0.2-1)*100&gt;99,((GR468/GH468)^0.2-1)*100&lt;-50),"NM",(((GR468/GH468)^0.2-1)*100))))</f>
        <v>NA</v>
      </c>
    </row>
    <row r="469" spans="1:286" ht="12.75" customHeight="1" x14ac:dyDescent="0.2">
      <c r="A469" s="1"/>
      <c r="B469" s="2"/>
      <c r="C469" s="79"/>
      <c r="D469" s="79"/>
      <c r="E469" s="129"/>
      <c r="F469" s="129"/>
      <c r="G469" s="129"/>
      <c r="H469" s="129"/>
      <c r="I469" s="129"/>
      <c r="J469" s="129"/>
      <c r="K469" s="129"/>
      <c r="L469" s="79"/>
      <c r="M469" s="129"/>
      <c r="N469" s="79"/>
      <c r="O469" s="129"/>
      <c r="P469" s="79"/>
      <c r="Q469" s="129"/>
      <c r="R469" s="79"/>
      <c r="S469" s="129"/>
      <c r="T469" s="79"/>
      <c r="U469" s="129"/>
      <c r="V469" s="79"/>
      <c r="W469" s="129"/>
      <c r="X469" s="79"/>
      <c r="Y469" s="129"/>
      <c r="Z469" s="79"/>
      <c r="AA469" s="130"/>
      <c r="AB469" s="79"/>
      <c r="AC469" s="129"/>
      <c r="AD469" s="79"/>
      <c r="AE469" s="129"/>
      <c r="AF469" s="79"/>
      <c r="AG469" s="129"/>
      <c r="AH469" s="79"/>
      <c r="AI469" s="129"/>
      <c r="AJ469" s="79"/>
      <c r="AK469" s="129"/>
      <c r="AL469" s="79"/>
      <c r="AM469" s="129"/>
      <c r="AN469" s="79"/>
      <c r="AO469" s="129"/>
      <c r="AP469" s="79"/>
      <c r="AQ469" s="129"/>
      <c r="AR469" s="79"/>
      <c r="AS469" s="129"/>
      <c r="AT469" s="81"/>
      <c r="AU469" s="129"/>
      <c r="AV469" s="81"/>
      <c r="AW469" s="129"/>
      <c r="AX469" s="81"/>
      <c r="AY469" s="129"/>
      <c r="AZ469" s="81"/>
      <c r="BA469" s="129"/>
      <c r="BB469" s="81"/>
      <c r="BC469" s="129"/>
      <c r="BD469" s="81"/>
      <c r="BE469" s="129"/>
      <c r="BF469" s="81"/>
      <c r="BG469" s="129"/>
      <c r="BH469" s="81"/>
      <c r="BI469" s="129"/>
      <c r="BJ469" s="81"/>
      <c r="BK469" s="129"/>
      <c r="BL469" s="81"/>
      <c r="BM469" s="129"/>
      <c r="BN469" s="81"/>
      <c r="BO469" s="129"/>
      <c r="BP469" s="81"/>
      <c r="BQ469" s="129"/>
      <c r="BR469" s="81"/>
      <c r="BS469" s="129"/>
      <c r="BT469" s="81"/>
      <c r="BU469" s="129"/>
      <c r="BV469" s="81"/>
      <c r="BW469" s="129"/>
      <c r="BX469" s="81"/>
      <c r="BY469" s="129"/>
      <c r="BZ469" s="81"/>
      <c r="CA469" s="129"/>
      <c r="CB469" s="81"/>
      <c r="CC469" s="129"/>
      <c r="CD469" s="81"/>
      <c r="CE469" s="129"/>
      <c r="CF469" s="81"/>
      <c r="CG469" s="129"/>
      <c r="CH469" s="81"/>
      <c r="CI469" s="129"/>
      <c r="CJ469" s="81"/>
      <c r="CK469" s="129"/>
      <c r="CL469" s="81"/>
      <c r="CM469" s="129"/>
      <c r="CN469" s="81"/>
      <c r="CO469" s="129"/>
      <c r="CP469" s="81"/>
      <c r="CQ469" s="129"/>
      <c r="CR469" s="81"/>
      <c r="CS469" s="129"/>
      <c r="CT469" s="81"/>
      <c r="CU469" s="129"/>
      <c r="CV469" s="81"/>
      <c r="CW469" s="129"/>
      <c r="CX469" s="81"/>
      <c r="CY469" s="129"/>
      <c r="CZ469" s="81"/>
      <c r="DA469" s="129"/>
      <c r="DB469" s="81"/>
      <c r="DC469" s="129"/>
      <c r="DD469" s="81"/>
      <c r="DE469" s="129"/>
      <c r="DF469" s="81"/>
      <c r="DG469" s="129"/>
      <c r="DH469" s="81"/>
      <c r="DI469" s="129"/>
      <c r="DJ469" s="81"/>
      <c r="DK469" s="129"/>
      <c r="DL469" s="81"/>
      <c r="DM469" s="129"/>
      <c r="DN469" s="81"/>
      <c r="DO469" s="129"/>
      <c r="DP469" s="81"/>
      <c r="DQ469" s="129"/>
      <c r="DR469" s="81"/>
      <c r="DS469" s="129"/>
      <c r="DT469" s="81"/>
      <c r="DU469" s="129"/>
      <c r="DV469" s="81"/>
      <c r="DW469" s="129"/>
      <c r="DX469" s="81"/>
      <c r="DY469" s="129"/>
      <c r="DZ469" s="81"/>
      <c r="EA469" s="129"/>
      <c r="EB469" s="81"/>
      <c r="EC469" s="129"/>
      <c r="ED469" s="81"/>
      <c r="EE469" s="129"/>
      <c r="EF469" s="81"/>
      <c r="EG469" s="129"/>
      <c r="EH469" s="81"/>
      <c r="EI469" s="129"/>
      <c r="EJ469" s="81"/>
      <c r="EK469" s="129"/>
      <c r="EL469" s="81"/>
      <c r="EM469" s="129"/>
      <c r="EN469" s="81"/>
      <c r="EO469" s="129"/>
      <c r="EP469" s="81"/>
      <c r="EQ469" s="129"/>
      <c r="ER469" s="81"/>
      <c r="ES469" s="82"/>
      <c r="ET469" s="490"/>
      <c r="EU469" s="82"/>
      <c r="EV469" s="327"/>
      <c r="EW469" s="79"/>
      <c r="EX469" s="2"/>
      <c r="EY469" s="79"/>
      <c r="EZ469" s="327"/>
      <c r="FA469" s="79"/>
      <c r="FB469" s="327"/>
      <c r="FC469" s="79"/>
      <c r="FD469" s="327"/>
      <c r="FE469" s="79"/>
      <c r="FF469" s="327"/>
      <c r="FG469" s="79"/>
      <c r="FH469" s="327"/>
      <c r="FI469" s="79"/>
      <c r="FJ469" s="327"/>
      <c r="FK469" s="79"/>
      <c r="FL469" s="327"/>
      <c r="FM469" s="79"/>
      <c r="FN469" s="327"/>
      <c r="FO469" s="79"/>
      <c r="FP469" s="327"/>
      <c r="FQ469" s="79"/>
      <c r="FR469" s="129"/>
      <c r="FS469" s="79"/>
      <c r="FT469" s="129"/>
      <c r="FU469" s="79"/>
      <c r="FV469" s="129"/>
      <c r="FW469" s="79"/>
      <c r="FX469" s="129"/>
      <c r="FY469" s="79"/>
      <c r="FZ469" s="129"/>
      <c r="GA469" s="79"/>
      <c r="GB469" s="129"/>
      <c r="GC469" s="79"/>
      <c r="GD469" s="129"/>
      <c r="GE469" s="79"/>
      <c r="GF469" s="129"/>
      <c r="GG469" s="79"/>
      <c r="GH469" s="129"/>
      <c r="GI469" s="79"/>
      <c r="GJ469" s="129"/>
      <c r="GK469" s="79"/>
      <c r="GL469" s="129"/>
      <c r="GM469" s="79"/>
      <c r="GN469" s="129"/>
      <c r="GO469" s="79"/>
      <c r="GP469" s="129"/>
      <c r="GQ469" s="79"/>
      <c r="GR469" s="129"/>
      <c r="GS469" s="79"/>
      <c r="GT469" s="79"/>
    </row>
    <row r="470" spans="1:286" ht="12.75" customHeight="1" x14ac:dyDescent="0.2">
      <c r="A470" s="1" t="s">
        <v>230</v>
      </c>
      <c r="B470" s="68" t="s">
        <v>156</v>
      </c>
      <c r="C470" s="79"/>
      <c r="D470" s="79"/>
      <c r="E470" s="95">
        <v>0</v>
      </c>
      <c r="F470" s="95"/>
      <c r="G470" s="95">
        <v>0</v>
      </c>
      <c r="H470" s="95"/>
      <c r="I470" s="95">
        <v>0</v>
      </c>
      <c r="J470" s="95"/>
      <c r="K470" s="95">
        <v>0</v>
      </c>
      <c r="L470" s="79"/>
      <c r="M470" s="95">
        <v>0</v>
      </c>
      <c r="N470" s="79" t="str">
        <f>IF(ISERROR((M470/E470-1)*100),"NA",IF(((M470/E470-1)*100)&gt;100,"NM",IF(((M470/E470-1)*100)&lt;-50,"NM",(M470/E470-1)*100)))</f>
        <v>NA</v>
      </c>
      <c r="O470" s="95">
        <v>0</v>
      </c>
      <c r="P470" s="79" t="str">
        <f>IF(ISERROR((O470/G470-1)*100),"NA",IF(((O470/G470-1)*100)&gt;100,"NM",IF(((O470/G470-1)*100)&lt;-50,"NM",(O470/G470-1)*100)))</f>
        <v>NA</v>
      </c>
      <c r="Q470" s="95">
        <v>0</v>
      </c>
      <c r="R470" s="79" t="str">
        <f>IF(ISERROR((Q470/I470-1)*100),"NA",IF(((Q470/I470-1)*100)&gt;100,"NM",IF(((Q470/I470-1)*100)&lt;-50,"NM",(Q470/I470-1)*100)))</f>
        <v>NA</v>
      </c>
      <c r="S470" s="95">
        <v>0</v>
      </c>
      <c r="T470" s="79" t="str">
        <f>IF(ISERROR((S470/K470-1)*100),"NA",IF(((S470/K470-1)*100)&gt;100,"NM",IF(((S470/K470-1)*100)&lt;-50,"NM",(S470/K470-1)*100)))</f>
        <v>NA</v>
      </c>
      <c r="U470" s="95">
        <v>0</v>
      </c>
      <c r="V470" s="79" t="str">
        <f>IF(ISERROR((U470/M470-1)*100),"NA",IF(((U470/M470-1)*100)&gt;100,"NM",IF(((U470/M470-1)*100)&lt;-50,"NM",(U470/M470-1)*100)))</f>
        <v>NA</v>
      </c>
      <c r="W470" s="95">
        <v>0</v>
      </c>
      <c r="X470" s="79" t="str">
        <f>IF(ISERROR((W470/O470-1)*100),"NA",IF(((W470/O470-1)*100)&gt;100,"NM",IF(((W470/O470-1)*100)&lt;-50,"NM",(W470/O470-1)*100)))</f>
        <v>NA</v>
      </c>
      <c r="Y470" s="95">
        <v>0</v>
      </c>
      <c r="Z470" s="79" t="str">
        <f>IF(ISERROR((Y470/Q470-1)*100),"NA",IF(((Y470/Q470-1)*100)&gt;100,"NM",IF(((Y470/Q470-1)*100)&lt;-50,"NM",(Y470/Q470-1)*100)))</f>
        <v>NA</v>
      </c>
      <c r="AA470" s="126">
        <v>0</v>
      </c>
      <c r="AB470" s="79" t="str">
        <f>IF(ISERROR((AA470/S470-1)*100),"NA",IF(((AA470/S470-1)*100)&gt;100,"NM",IF(((AA470/S470-1)*100)&lt;-50,"NM",(AA470/S470-1)*100)))</f>
        <v>NA</v>
      </c>
      <c r="AC470" s="95">
        <v>0</v>
      </c>
      <c r="AD470" s="79" t="str">
        <f>IF(ISERROR((AC470/U470-1)*100),"NA",IF(((AC470/U470-1)*100)&gt;100,"NM",IF(((AC470/U470-1)*100)&lt;-50,"NM",(AC470/U470-1)*100)))</f>
        <v>NA</v>
      </c>
      <c r="AE470" s="95">
        <v>0</v>
      </c>
      <c r="AF470" s="79" t="str">
        <f>IF(ISERROR((AE470/W470-1)*100),"NA",IF(((AE470/W470-1)*100)&gt;100,"NM",IF(((AE470/W470-1)*100)&lt;-50,"NM",(AE470/W470-1)*100)))</f>
        <v>NA</v>
      </c>
      <c r="AG470" s="95">
        <v>0</v>
      </c>
      <c r="AH470" s="79" t="str">
        <f>IF(ISERROR((AG470/Y470-1)*100),"NA",IF(((AG470/Y470-1)*100)&gt;100,"NM",IF(((AG470/Y470-1)*100)&lt;-50,"NM",(AG470/Y470-1)*100)))</f>
        <v>NA</v>
      </c>
      <c r="AI470" s="95">
        <v>0</v>
      </c>
      <c r="AJ470" s="79" t="str">
        <f>IF(ISERROR((AI470/AA470-1)*100),"NA",IF(((AI470/AA470-1)*100)&gt;100,"NM",IF(((AI470/AA470-1)*100)&lt;-50,"NM",(AI470/AA470-1)*100)))</f>
        <v>NA</v>
      </c>
      <c r="AK470" s="95">
        <v>0</v>
      </c>
      <c r="AL470" s="79" t="str">
        <f>IF(ISERROR((AK470/AC470-1)*100),"NA",IF(((AK470/AC470-1)*100)&gt;100,"NM",IF(((AK470/AC470-1)*100)&lt;-50,"NM",(AK470/AC470-1)*100)))</f>
        <v>NA</v>
      </c>
      <c r="AM470" s="95">
        <v>0</v>
      </c>
      <c r="AN470" s="79" t="str">
        <f>IF(ISERROR((AM470/AE470-1)*100),"NA",IF(((AM470/AE470-1)*100)&gt;100,"NM",IF(((AM470/AE470-1)*100)&lt;-50,"NM",(AM470/AE470-1)*100)))</f>
        <v>NA</v>
      </c>
      <c r="AO470" s="95">
        <v>0</v>
      </c>
      <c r="AP470" s="79" t="str">
        <f>IF(ISERROR((AO470/AG470-1)*100),"NA",IF(((AO470/AG470-1)*100)&gt;100,"NM",IF(((AO470/AG470-1)*100)&lt;-50,"NM",(AO470/AG470-1)*100)))</f>
        <v>NA</v>
      </c>
      <c r="AQ470" s="95">
        <v>0</v>
      </c>
      <c r="AR470" s="79" t="str">
        <f>IF(ISERROR((AQ470/AI470-1)*100),"NA",IF(((AQ470/AI470-1)*100)&gt;100,"NM",IF(((AQ470/AI470-1)*100)&lt;-50,"NM",(AQ470/AI470-1)*100)))</f>
        <v>NA</v>
      </c>
      <c r="AS470" s="188">
        <v>0</v>
      </c>
      <c r="AT470" s="81" t="str">
        <f>IF(ISERROR((AS470/AK470-1)*100),"NA",IF(((AS470/AK470-1)*100)&gt;100,"NM",IF(((AS470/AK470-1)*100)&lt;-50,"NM",(AS470/AK470-1)*100)))</f>
        <v>NA</v>
      </c>
      <c r="AU470" s="188">
        <v>0</v>
      </c>
      <c r="AV470" s="81" t="str">
        <f>IF(ISERROR((AU470/AM470-1)*100),"NA",IF(((AU470/AM470-1)*100)&gt;100,"NM",IF(((AU470/AM470-1)*100)&lt;-50,"NM",(AU470/AM470-1)*100)))</f>
        <v>NA</v>
      </c>
      <c r="AW470" s="188">
        <v>0</v>
      </c>
      <c r="AX470" s="81" t="str">
        <f>IF(ISERROR((AW470/AO470-1)*100),"NA",IF(((AW470/AO470-1)*100)&gt;100,"NM",IF(((AW470/AO470-1)*100)&lt;-50,"NM",(AW470/AO470-1)*100)))</f>
        <v>NA</v>
      </c>
      <c r="AY470" s="188">
        <v>0</v>
      </c>
      <c r="AZ470" s="81" t="str">
        <f>IF(ISERROR((AY470/AQ470-1)*100),"NA",IF(((AY470/AQ470-1)*100)&gt;100,"NM",IF(((AY470/AQ470-1)*100)&lt;-50,"NM",(AY470/AQ470-1)*100)))</f>
        <v>NA</v>
      </c>
      <c r="BA470" s="188">
        <v>0</v>
      </c>
      <c r="BB470" s="81" t="str">
        <f>IF(ISERROR((BA470/AS470-1)*100),"NA",IF(((BA470/AS470-1)*100)&gt;100,"NM",IF(((BA470/AS470-1)*100)&lt;-50,"NM",(BA470/AS470-1)*100)))</f>
        <v>NA</v>
      </c>
      <c r="BC470" s="188">
        <v>0</v>
      </c>
      <c r="BD470" s="81" t="str">
        <f>IF(ISERROR((BC470/AU470-1)*100),"NA",IF(((BC470/AU470-1)*100)&gt;100,"NM",IF(((BC470/AU470-1)*100)&lt;-50,"NM",(BC470/AU470-1)*100)))</f>
        <v>NA</v>
      </c>
      <c r="BE470" s="188">
        <v>0</v>
      </c>
      <c r="BF470" s="81" t="str">
        <f>IF(ISERROR((BE470/AW470-1)*100),"NA",IF(((BE470/AW470-1)*100)&gt;100,"NM",IF(((BE470/AW470-1)*100)&lt;-50,"NM",(BE470/AW470-1)*100)))</f>
        <v>NA</v>
      </c>
      <c r="BG470" s="188">
        <v>0</v>
      </c>
      <c r="BH470" s="81" t="str">
        <f>IF(ISERROR((BG470/AY470-1)*100),"NA",IF(((BG470/AY470-1)*100)&gt;100,"NM",IF(((BG470/AY470-1)*100)&lt;-50,"NM",(BG470/AY470-1)*100)))</f>
        <v>NA</v>
      </c>
      <c r="BI470" s="188">
        <v>15.4</v>
      </c>
      <c r="BJ470" s="81" t="str">
        <f>IF(ISERROR((BI470/BA470-1)*100),"NA",IF(((BI470/BA470-1)*100)&gt;100,"NM",IF(((BI470/BA470-1)*100)&lt;-50,"NM",(BI470/BA470-1)*100)))</f>
        <v>NA</v>
      </c>
      <c r="BK470" s="188">
        <v>0</v>
      </c>
      <c r="BL470" s="81" t="str">
        <f>IF(ISERROR((BK470/BC470-1)*100),"NA",IF(((BK470/BC470-1)*100)&gt;100,"NM",IF(((BK470/BC470-1)*100)&lt;-50,"NM",(BK470/BC470-1)*100)))</f>
        <v>NA</v>
      </c>
      <c r="BM470" s="188">
        <v>0</v>
      </c>
      <c r="BN470" s="81" t="str">
        <f>IF(ISERROR((BM470/BE470-1)*100),"NA",IF(((BM470/BE470-1)*100)&gt;100,"NM",IF(((BM470/BE470-1)*100)&lt;-50,"NM",(BM470/BE470-1)*100)))</f>
        <v>NA</v>
      </c>
      <c r="BO470" s="188">
        <v>14.5</v>
      </c>
      <c r="BP470" s="81" t="str">
        <f>IF(ISERROR((BO470/BG470-1)*100),"NA",IF(((BO470/BG470-1)*100)&gt;100,"NM",IF(((BO470/BG470-1)*100)&lt;-50,"NM",(BO470/BG470-1)*100)))</f>
        <v>NA</v>
      </c>
      <c r="BQ470" s="188">
        <v>0</v>
      </c>
      <c r="BR470" s="81" t="str">
        <f>IF(ISERROR((BQ470/BI470-1)*100),"NA",IF(((BQ470/BI470-1)*100)&gt;100,"NM",IF(((BQ470/BI470-1)*100)&lt;-50,"NM",(BQ470/BI470-1)*100)))</f>
        <v>NM</v>
      </c>
      <c r="BS470" s="188">
        <v>0</v>
      </c>
      <c r="BT470" s="81" t="str">
        <f>IF(ISERROR((BS470/BK470-1)*100),"NA",IF(((BS470/BK470-1)*100)&gt;100,"NM",IF(((BS470/BK470-1)*100)&lt;-50,"NM",(BS470/BK470-1)*100)))</f>
        <v>NA</v>
      </c>
      <c r="BU470" s="188">
        <v>0</v>
      </c>
      <c r="BV470" s="81" t="str">
        <f>IF(ISERROR((BU470/BM470-1)*100),"NA",IF(((BU470/BM470-1)*100)&gt;100,"NM",IF(((BU470/BM470-1)*100)&lt;-50,"NM",(BU470/BM470-1)*100)))</f>
        <v>NA</v>
      </c>
      <c r="BW470" s="188">
        <v>0</v>
      </c>
      <c r="BX470" s="81" t="str">
        <f>IF(ISERROR((BW470/BO470-1)*100),"NA",IF(((BW470/BO470-1)*100)&gt;100,"NM",IF(((BW470/BO470-1)*100)&lt;-50,"NM",(BW470/BO470-1)*100)))</f>
        <v>NM</v>
      </c>
      <c r="BY470" s="188">
        <v>0</v>
      </c>
      <c r="BZ470" s="81" t="str">
        <f>IF(ISERROR((BY470/BQ470-1)*100),"NA",IF(((BY470/BQ470-1)*100)&gt;100,"NM",IF(((BY470/BQ470-1)*100)&lt;-50,"NM",(BY470/BQ470-1)*100)))</f>
        <v>NA</v>
      </c>
      <c r="CA470" s="188">
        <v>5.7</v>
      </c>
      <c r="CB470" s="81" t="str">
        <f>IF(ISERROR((CA470/BS470-1)*100),"NA",IF(((CA470/BS470-1)*100)&gt;100,"NM",IF(((CA470/BS470-1)*100)&lt;-50,"NM",(CA470/BS470-1)*100)))</f>
        <v>NA</v>
      </c>
      <c r="CC470" s="188">
        <v>9.5</v>
      </c>
      <c r="CD470" s="81" t="str">
        <f>IF(ISERROR((CC470/BU470-1)*100),"NA",IF(((CC470/BU470-1)*100)&gt;100,"NM",IF(((CC470/BU470-1)*100)&lt;-50,"NM",(CC470/BU470-1)*100)))</f>
        <v>NA</v>
      </c>
      <c r="CE470" s="188">
        <v>1.2</v>
      </c>
      <c r="CF470" s="81" t="str">
        <f>IF(ISERROR((CE470/BW470-1)*100),"NA",IF(((CE470/BW470-1)*100)&gt;100,"NM",IF(((CE470/BW470-1)*100)&lt;-50,"NM",(CE470/BW470-1)*100)))</f>
        <v>NA</v>
      </c>
      <c r="CG470" s="188">
        <v>8.6</v>
      </c>
      <c r="CH470" s="81" t="str">
        <f>IF(ISERROR((CG470/BY470-1)*100),"NA",IF(((CG470/BY470-1)*100)&gt;100,"NM",IF(((CG470/BY470-1)*100)&lt;-50,"NM",(CG470/BY470-1)*100)))</f>
        <v>NA</v>
      </c>
      <c r="CI470" s="188">
        <v>5.7</v>
      </c>
      <c r="CJ470" s="81">
        <f>IF(ISERROR((CI470/CA470-1)*100),"NA",IF(((CI470/CA470-1)*100)&gt;100,"NM",IF(((CI470/CA470-1)*100)&lt;-50,"NM",(CI470/CA470-1)*100)))</f>
        <v>0</v>
      </c>
      <c r="CK470" s="188">
        <v>11.1</v>
      </c>
      <c r="CL470" s="81">
        <f>IF(ISERROR((CK470/CC470-1)*100),"NA",IF(((CK470/CC470-1)*100)&gt;100,"NM",IF(((CK470/CC470-1)*100)&lt;-50,"NM",(CK470/CC470-1)*100)))</f>
        <v>16.84210526315788</v>
      </c>
      <c r="CM470" s="188">
        <v>0</v>
      </c>
      <c r="CN470" s="81" t="str">
        <f>IF(ISERROR((CM470/CE470-1)*100),"NA",IF(((CM470/CE470-1)*100)&gt;100,"NM",IF(((CM470/CE470-1)*100)&lt;-50,"NM",(CM470/CE470-1)*100)))</f>
        <v>NM</v>
      </c>
      <c r="CO470" s="188">
        <v>7.5</v>
      </c>
      <c r="CP470" s="81">
        <f>IF(ISERROR((CO470/CG470-1)*100),"NA",IF(((CO470/CG470-1)*100)&gt;100,"NM",IF(((CO470/CG470-1)*100)&lt;-50,"NM",(CO470/CG470-1)*100)))</f>
        <v>-12.790697674418606</v>
      </c>
      <c r="CQ470" s="188">
        <v>6</v>
      </c>
      <c r="CR470" s="81">
        <f>IF(ISERROR((CQ470/CI470-1)*100),"NA",IF(((CQ470/CI470-1)*100)&gt;100,"NM",IF(((CQ470/CI470-1)*100)&lt;-50,"NM",(CQ470/CI470-1)*100)))</f>
        <v>5.2631578947368363</v>
      </c>
      <c r="CS470" s="188">
        <v>5.0999999999999996</v>
      </c>
      <c r="CT470" s="81" t="str">
        <f>IF(ISERROR((CS470/CK470-1)*100),"NA",IF(((CS470/CK470-1)*100)&gt;100,"NM",IF(((CS470/CK470-1)*100)&lt;-50,"NM",(CS470/CK470-1)*100)))</f>
        <v>NM</v>
      </c>
      <c r="CU470" s="188">
        <v>4.9000000000000004</v>
      </c>
      <c r="CV470" s="81" t="str">
        <f>IF(ISERROR((CU470/CM470-1)*100),"NA",IF(((CU470/CM470-1)*100)&gt;100,"NM",IF(((CU470/CM470-1)*100)&lt;-50,"NM",(CU470/CM470-1)*100)))</f>
        <v>NA</v>
      </c>
      <c r="CW470" s="188">
        <v>3.7</v>
      </c>
      <c r="CX470" s="81" t="str">
        <f>IF(ISERROR((CW470/CO470-1)*100),"NA",IF(((CW470/CO470-1)*100)&gt;100,"NM",IF(((CW470/CO470-1)*100)&lt;-50,"NM",(CW470/CO470-1)*100)))</f>
        <v>NM</v>
      </c>
      <c r="CY470" s="188">
        <v>3.6</v>
      </c>
      <c r="CZ470" s="81">
        <f>IF(ISERROR((CY470/CQ470-1)*100),"NA",IF(((CY470/CQ470-1)*100)&gt;100,"NM",IF(((CY470/CQ470-1)*100)&lt;-50,"NM",(CY470/CQ470-1)*100)))</f>
        <v>-40</v>
      </c>
      <c r="DA470" s="188">
        <v>2.5</v>
      </c>
      <c r="DB470" s="81" t="str">
        <f>IF(ISERROR((DA470/CS470-1)*100),"NA",IF(((DA470/CS470-1)*100)&gt;100,"NM",IF(((DA470/CS470-1)*100)&lt;-50,"NM",(DA470/CS470-1)*100)))</f>
        <v>NM</v>
      </c>
      <c r="DC470" s="188">
        <v>1.4</v>
      </c>
      <c r="DD470" s="81" t="str">
        <f>IF(ISERROR((DC470/CU470-1)*100),"NA",IF(((DC470/CU470-1)*100)&gt;100,"NM",IF(((DC470/CU470-1)*100)&lt;-50,"NM",(DC470/CU470-1)*100)))</f>
        <v>NM</v>
      </c>
      <c r="DE470" s="188">
        <v>2.9</v>
      </c>
      <c r="DF470" s="81">
        <f>IF(ISERROR((DE470/CW470-1)*100),"NA",IF(((DE470/CW470-1)*100)&gt;100,"NM",IF(((DE470/CW470-1)*100)&lt;-50,"NM",(DE470/CW470-1)*100)))</f>
        <v>-21.621621621621621</v>
      </c>
      <c r="DG470" s="188">
        <v>2.9</v>
      </c>
      <c r="DH470" s="81">
        <f>IF(ISERROR((DG470/CY470-1)*100),"NA",IF(((DG470/CY470-1)*100)&gt;100,"NM",IF(((DG470/CY470-1)*100)&lt;-50,"NM",(DG470/CY470-1)*100)))</f>
        <v>-19.444444444444454</v>
      </c>
      <c r="DI470" s="188">
        <v>2.9</v>
      </c>
      <c r="DJ470" s="81">
        <f>IF(ISERROR((DI470/DA470-1)*100),"NA",IF(((DI470/DA470-1)*100)&gt;100,"NM",IF(((DI470/DA470-1)*100)&lt;-50,"NM",(DI470/DA470-1)*100)))</f>
        <v>15.999999999999993</v>
      </c>
      <c r="DK470" s="188">
        <v>0</v>
      </c>
      <c r="DL470" s="81" t="str">
        <f>IF(ISERROR((DK470/DC470-1)*100),"NA",IF(((DK470/DC470-1)*100)&gt;100,"NM",IF(((DK470/DC470-1)*100)&lt;-50,"NM",(DK470/DC470-1)*100)))</f>
        <v>NM</v>
      </c>
      <c r="DM470" s="188">
        <v>3.2</v>
      </c>
      <c r="DN470" s="81">
        <f>IF(ISERROR((DM470/DE470-1)*100),"NA",IF(((DM470/DE470-1)*100)&gt;100,"NM",IF(((DM470/DE470-1)*100)&lt;-50,"NM",(DM470/DE470-1)*100)))</f>
        <v>10.344827586206895</v>
      </c>
      <c r="DO470" s="188">
        <v>3</v>
      </c>
      <c r="DP470" s="81">
        <f>IF(ISERROR((DO470/DG470-1)*100),"NA",IF(((DO470/DG470-1)*100)&gt;100,"NM",IF(((DO470/DG470-1)*100)&lt;-50,"NM",(DO470/DG470-1)*100)))</f>
        <v>3.4482758620689724</v>
      </c>
      <c r="DQ470" s="188">
        <v>3.2</v>
      </c>
      <c r="DR470" s="81">
        <f>IF(ISERROR((DQ470/DI470-1)*100),"NA",IF(((DQ470/DI470-1)*100)&gt;100,"NM",IF(((DQ470/DI470-1)*100)&lt;-50,"NM",(DQ470/DI470-1)*100)))</f>
        <v>10.344827586206895</v>
      </c>
      <c r="DS470" s="188">
        <v>2.9</v>
      </c>
      <c r="DT470" s="81" t="str">
        <f>IF(ISERROR((DS470/DK470-1)*100),"NA",IF(((DS470/DK470-1)*100)&gt;100,"NM",IF(((DS470/DK470-1)*100)&lt;-50,"NM",(DS470/DK470-1)*100)))</f>
        <v>NA</v>
      </c>
      <c r="DU470" s="188">
        <v>3.7</v>
      </c>
      <c r="DV470" s="81">
        <f>IF(ISERROR((DU470/DM470-1)*100),"NA",IF(((DU470/DM470-1)*100)&gt;100,"NM",IF(((DU470/DM470-1)*100)&lt;-50,"NM",(DU470/DM470-1)*100)))</f>
        <v>15.625</v>
      </c>
      <c r="DW470" s="188">
        <v>2.8</v>
      </c>
      <c r="DX470" s="81">
        <f>IF(ISERROR((DW470/DO470-1)*100),"NA",IF(((DW470/DO470-1)*100)&gt;100,"NM",IF(((DW470/DO470-1)*100)&lt;-50,"NM",(DW470/DO470-1)*100)))</f>
        <v>-6.6666666666666767</v>
      </c>
      <c r="DY470" s="188">
        <v>2.9</v>
      </c>
      <c r="DZ470" s="81">
        <f>IF(ISERROR((DY470/DQ470-1)*100),"NA",IF(((DY470/DQ470-1)*100)&gt;100,"NM",IF(((DY470/DQ470-1)*100)&lt;-50,"NM",(DY470/DQ470-1)*100)))</f>
        <v>-9.3750000000000107</v>
      </c>
      <c r="EA470" s="188">
        <v>2.5</v>
      </c>
      <c r="EB470" s="81">
        <f>IF(ISERROR((EA470/DS470-1)*100),"NA",IF(((EA470/DS470-1)*100)&gt;100,"NM",IF(((EA470/DS470-1)*100)&lt;-50,"NM",(EA470/DS470-1)*100)))</f>
        <v>-13.793103448275856</v>
      </c>
      <c r="EC470" s="188">
        <v>2.1</v>
      </c>
      <c r="ED470" s="81">
        <f t="shared" ref="ED470:ED473" si="1724">IF(ISERROR((EC470/DU470-1)*100),"NA",IF(((EC470/DU470-1)*100)&gt;100,"NM",IF(((EC470/DU470-1)*100)&lt;-50,"NM",(EC470/DU470-1)*100)))</f>
        <v>-43.243243243243242</v>
      </c>
      <c r="EE470" s="188">
        <v>2.2000000000000002</v>
      </c>
      <c r="EF470" s="81">
        <f t="shared" ref="EF470:EF473" si="1725">IF(ISERROR((EE470/DW470-1)*100),"NA",IF(((EE470/DW470-1)*100)&gt;100,"NM",IF(((EE470/DW470-1)*100)&lt;-50,"NM",(EE470/DW470-1)*100)))</f>
        <v>-21.42857142857142</v>
      </c>
      <c r="EG470" s="188">
        <v>2</v>
      </c>
      <c r="EH470" s="81">
        <f t="shared" ref="EH470:EH473" si="1726">IF(ISERROR((EG470/DY470-1)*100),"NA",IF(((EG470/DY470-1)*100)&gt;100,"NM",IF(((EG470/DY470-1)*100)&lt;-50,"NM",(EG470/DY470-1)*100)))</f>
        <v>-31.034482758620683</v>
      </c>
      <c r="EI470" s="188">
        <v>1.9</v>
      </c>
      <c r="EJ470" s="81">
        <f t="shared" ref="EJ470:EJ473" si="1727">IF(ISERROR((EI470/EA470-1)*100),"NA",IF(((EI470/EA470-1)*100)&gt;100,"NM",IF(((EI470/EA470-1)*100)&lt;-50,"NM",(EI470/EA470-1)*100)))</f>
        <v>-24</v>
      </c>
      <c r="EK470" s="224">
        <f t="shared" ref="EK470:EQ470" si="1728">EK474/EK471</f>
        <v>1.9138995875091442</v>
      </c>
      <c r="EL470" s="81">
        <f t="shared" ref="EL470:EL473" si="1729">IF(ISERROR((EK470/EC470-1)*100),"NA",IF(((EK470/EC470-1)*100)&gt;100,"NM",IF(((EK470/EC470-1)*100)&lt;-50,"NM",(EK470/EC470-1)*100)))</f>
        <v>-8.8619244043264711</v>
      </c>
      <c r="EM470" s="224">
        <f t="shared" si="1728"/>
        <v>1.8845050198859283</v>
      </c>
      <c r="EN470" s="81">
        <f t="shared" ref="EN470:EN473" si="1730">IF(ISERROR((EM470/EE470-1)*100),"NA",IF(((EM470/EE470-1)*100)&gt;100,"NM",IF(((EM470/EE470-1)*100)&lt;-50,"NM",(EM470/EE470-1)*100)))</f>
        <v>-14.340680914275994</v>
      </c>
      <c r="EO470" s="224">
        <f t="shared" si="1728"/>
        <v>1.8566268684360396</v>
      </c>
      <c r="EP470" s="81">
        <f t="shared" ref="EP470:EP473" si="1731">IF(ISERROR((EO470/EG470-1)*100),"NA",IF(((EO470/EG470-1)*100)&gt;100,"NM",IF(((EO470/EG470-1)*100)&lt;-50,"NM",(EO470/EG470-1)*100)))</f>
        <v>-7.1686565781980178</v>
      </c>
      <c r="EQ470" s="224">
        <f t="shared" si="1728"/>
        <v>1.8290282551720451</v>
      </c>
      <c r="ER470" s="81">
        <f t="shared" ref="ER470:ER473" si="1732">IF(ISERROR((EQ470/EI470-1)*100),"NA",IF(((EQ470/EI470-1)*100)&gt;100,"NM",IF(((EQ470/EI470-1)*100)&lt;-50,"NM",(EQ470/EI470-1)*100)))</f>
        <v>-3.7353549909449835</v>
      </c>
      <c r="ES470" s="202"/>
      <c r="ET470" s="492"/>
      <c r="EU470" s="202"/>
      <c r="EV470" s="105"/>
      <c r="EW470" s="201"/>
      <c r="EX470" s="347"/>
      <c r="EY470" s="201"/>
      <c r="EZ470" s="348"/>
      <c r="FA470" s="201"/>
      <c r="FB470" s="103">
        <f>+E470+G470+I470+K470</f>
        <v>0</v>
      </c>
      <c r="FC470" s="201" t="str">
        <f>IF(ISERROR((FB470/EZ470-1)*100),"NA",IF(((FB470/EZ470-1)*100)&gt;100,"NM",IF(((FB470/EZ470-1)*100)&lt;-50,"NM",(FB470/EZ470-1)*100)))</f>
        <v>NA</v>
      </c>
      <c r="FD470" s="348">
        <f>+S470+Q470+O470+M470</f>
        <v>0</v>
      </c>
      <c r="FE470" s="201" t="str">
        <f>IF(ISERROR((FD470/FB470-1)*100),"NA",IF(((FD470/FB470-1)*100)&gt;100,"NM",IF(((FD470/FB470-1)*100)&lt;-50,"NM",(FD470/FB470-1)*100)))</f>
        <v>NA</v>
      </c>
      <c r="FF470" s="348">
        <f>+U470+W470+Y470+AA470</f>
        <v>0</v>
      </c>
      <c r="FG470" s="201" t="str">
        <f>IF(ISERROR((FF470/FD470-1)*100),"NA",IF(((FF470/FD470-1)*100)&gt;100,"NM",IF(((FF470/FD470-1)*100)&lt;-50,"NM",(FF470/FD470-1)*100)))</f>
        <v>NA</v>
      </c>
      <c r="FH470" s="348">
        <f>+AI470+AG470+AE470+AC470</f>
        <v>0</v>
      </c>
      <c r="FI470" s="201" t="str">
        <f>IF(ISERROR((FH470/FF470-1)*100),"NA",IF(((FH470/FF470-1)*100)&gt;100,"NM",IF(((FH470/FF470-1)*100)&lt;-50,"NM",(FH470/FF470-1)*100)))</f>
        <v>NA</v>
      </c>
      <c r="FJ470" s="103">
        <f>+AQ470+AO470+AM470+AK470</f>
        <v>0</v>
      </c>
      <c r="FK470" s="201" t="str">
        <f>IF(ISERROR((FJ470/FH470-1)*100),"NA",IF(((FJ470/FH470-1)*100)&gt;100,"NM",IF(((FJ470/FH470-1)*100)&lt;-50,"NM",(FJ470/FH470-1)*100)))</f>
        <v>NA</v>
      </c>
      <c r="FL470" s="35">
        <f>AS470+AU470+AW470+AY470</f>
        <v>0</v>
      </c>
      <c r="FM470" s="201" t="str">
        <f>IF(ISERROR((FL470/FJ470-1)*100),"NA",IF(((FL470/FJ470-1)*100)&gt;100,"NM",IF(((FL470/FJ470-1)*100)&lt;-50,"NM",(FL470/FJ470-1)*100)))</f>
        <v>NA</v>
      </c>
      <c r="FN470" s="35">
        <f>BA470+BC470+BE470+BG470</f>
        <v>0</v>
      </c>
      <c r="FO470" s="201" t="str">
        <f>IF(ISERROR((FN470/FL470-1)*100),"NA",IF(((FN470/FL470-1)*100)&gt;100,"NM",IF(((FN470/FL470-1)*100)&lt;-50,"NM",(FN470/FL470-1)*100)))</f>
        <v>NA</v>
      </c>
      <c r="FP470" s="35">
        <f>BI470+BK470+BM470+BO470</f>
        <v>29.9</v>
      </c>
      <c r="FQ470" s="201" t="str">
        <f>IF(ISERROR((FP470/FN470-1)*100),"NA",IF(((FP470/FN470-1)*100)&gt;100,"NM",IF(((FP470/FN470-1)*100)&lt;-50,"NM",(FP470/FN470-1)*100)))</f>
        <v>NA</v>
      </c>
      <c r="FR470" s="96">
        <f>BQ470+BS470+BU470+BW470</f>
        <v>0</v>
      </c>
      <c r="FS470" s="201" t="str">
        <f>IF(ISERROR((FR470/FP470-1)*100),"NA",IF(((FR470/FP470-1)*100)&gt;100,"NM",IF(((FR470/FP470-1)*100)&lt;-50,"NM",(FR470/FP470-1)*100)))</f>
        <v>NM</v>
      </c>
      <c r="FT470" s="96">
        <f>BY470+CA470+CC470+CE470</f>
        <v>16.399999999999999</v>
      </c>
      <c r="FU470" s="201" t="str">
        <f>IF(ISERROR((FT470/FR470-1)*100),"NA",IF(((FT470/FR470-1)*100)&gt;100,"NM",IF(((FT470/FR470-1)*100)&lt;-50,"NM",(FT470/FR470-1)*100)))</f>
        <v>NA</v>
      </c>
      <c r="FV470" s="96">
        <f>CG470+CI470+CK470+CM470</f>
        <v>25.4</v>
      </c>
      <c r="FW470" s="201">
        <f>IF(ISERROR((FV470/FT470-1)*100),"NA",IF(((FV470/FT470-1)*100)&gt;100,"NM",IF(((FV470/FT470-1)*100)&lt;-50,"NM",(FV470/FT470-1)*100)))</f>
        <v>54.878048780487809</v>
      </c>
      <c r="FX470" s="96">
        <f>CO470+CQ470+CS470+CU470</f>
        <v>23.5</v>
      </c>
      <c r="FY470" s="201">
        <f>IF(ISERROR((FX470/FV470-1)*100),"NA",IF(((FX470/FV470-1)*100)&gt;100,"NM",IF(((FX470/FV470-1)*100)&lt;-50,"NM",(FX470/FV470-1)*100)))</f>
        <v>-7.4803149606299186</v>
      </c>
      <c r="FZ470" s="96">
        <f>FZ473/FZ471</f>
        <v>10.720940967245795</v>
      </c>
      <c r="GA470" s="201" t="str">
        <f>IF(ISERROR((FZ470/FX470-1)*100),"NA",IF(((FZ470/FX470-1)*100)&gt;100,"NM",IF(((FZ470/FX470-1)*100)&lt;-50,"NM",(FZ470/FX470-1)*100)))</f>
        <v>NM</v>
      </c>
      <c r="GB470" s="96">
        <f>GB473/GB471</f>
        <v>8.7465452608516507</v>
      </c>
      <c r="GC470" s="201">
        <f>IF(ISERROR((GB470/FZ470-1)*100),"NA",IF(((GB470/FZ470-1)*100)&gt;100,"NM",IF(((GB470/FZ470-1)*100)&lt;-50,"NM",(GB470/FZ470-1)*100)))</f>
        <v>-18.416253875720813</v>
      </c>
      <c r="GD470" s="96">
        <f>GD473/GD471</f>
        <v>12.306641673516163</v>
      </c>
      <c r="GE470" s="201">
        <f>IF(ISERROR((GD470/GB470-1)*100),"NA",IF(((GD470/GB470-1)*100)&gt;100,"NM",IF(((GD470/GB470-1)*100)&lt;-50,"NM",(GD470/GB470-1)*100)))</f>
        <v>40.702886756889271</v>
      </c>
      <c r="GF470" s="96">
        <f>GF473/GF471</f>
        <v>11.645350815768799</v>
      </c>
      <c r="GG470" s="201">
        <f>IF(ISERROR((GF470/GD470-1)*100),"NA",IF(((GF470/GD470-1)*100)&gt;100,"NM",IF(((GF470/GD470-1)*100)&lt;-50,"NM",(GF470/GD470-1)*100)))</f>
        <v>-5.3734469182641353</v>
      </c>
      <c r="GH470" s="96">
        <f>GH473/GH471</f>
        <v>8.1754084412946746</v>
      </c>
      <c r="GI470" s="79">
        <f>IF(ISERROR((GH470/GF470-1)*100),"NA",IF(((GH470/GF470-1)*100)&gt;100,"NM",IF(((GH470/GF470-1)*100)&lt;-50,"NM",(GH470/GF470-1)*100)))</f>
        <v>-29.796804144152755</v>
      </c>
      <c r="GJ470" s="96">
        <f>GJ473/GJ471</f>
        <v>7.4819275203508733</v>
      </c>
      <c r="GK470" s="79">
        <f>IF(ISERROR((GJ470/GH470-1)*100),"NA",IF(((GJ470/GH470-1)*100)&gt;100,"NM",IF(((GJ470/GH470-1)*100)&lt;-50,"NM",(GJ470/GH470-1)*100)))</f>
        <v>-8.4825232393401997</v>
      </c>
      <c r="GL470" s="188">
        <f>GL474/GL471</f>
        <v>7.0607467225406966</v>
      </c>
      <c r="GM470" s="79">
        <f>IF(ISERROR((GL470/GJ470-1)*100),"NA",IF(((GL470/GJ470-1)*100)&gt;100,"NM",IF(((GL470/GJ470-1)*100)&lt;-50,"NM",(GL470/GJ470-1)*100)))</f>
        <v>-5.6293087130898201</v>
      </c>
      <c r="GN470" s="188">
        <f>GN474/GN471</f>
        <v>7.0849108528261846</v>
      </c>
      <c r="GO470" s="201">
        <f>IF(ISERROR((GN470/GL470-1)*100),"NA",IF(((GN470/GL470-1)*100)&gt;100,"NM",IF(((GN470/GL470-1)*100)&lt;-50,"NM",(GN470/GL470-1)*100)))</f>
        <v>0.34223193714548739</v>
      </c>
      <c r="GP470" s="188">
        <f>GP474/GP471</f>
        <v>6.6961599484512151</v>
      </c>
      <c r="GQ470" s="201">
        <f>IF(ISERROR((GP470/GN470-1)*100),"NA",IF(((GP470/GN470-1)*100)&gt;100,"NM",IF(((GP470/GN470-1)*100)&lt;-50,"NM",(GP470/GN470-1)*100)))</f>
        <v>-5.4870260536855735</v>
      </c>
      <c r="GR470" s="188">
        <f>GR474/GR471</f>
        <v>6.7065328004798346</v>
      </c>
      <c r="GS470" s="201">
        <f>IF(ISERROR((GR470/GP470-1)*100),"NA",IF(((GR470/GP470-1)*100)&gt;100,"NM",IF(((GR470/GP470-1)*100)&lt;-50,"NM",(GR470/GP470-1)*100)))</f>
        <v>0.15490747097548496</v>
      </c>
      <c r="GT470" s="79">
        <f>IF(ISERROR(((GR470/GH470)^0.2-1)*100),"NA",(IF(OR(((GR470/GH470)^0.2-1)*100&gt;99,((GR470/GH470)^0.2-1)*100&lt;-50),"NM",(((GR470/GH470)^0.2-1)*100))))</f>
        <v>-3.8835507221138599</v>
      </c>
    </row>
    <row r="471" spans="1:286" ht="12.75" customHeight="1" x14ac:dyDescent="0.2">
      <c r="A471" s="1"/>
      <c r="B471" s="2" t="s">
        <v>154</v>
      </c>
      <c r="C471" s="79"/>
      <c r="D471" s="79"/>
      <c r="E471" s="131">
        <v>27.5</v>
      </c>
      <c r="F471" s="131"/>
      <c r="G471" s="131">
        <v>0</v>
      </c>
      <c r="H471" s="131"/>
      <c r="I471" s="131">
        <v>0</v>
      </c>
      <c r="J471" s="131"/>
      <c r="K471" s="131">
        <v>0</v>
      </c>
      <c r="L471" s="79"/>
      <c r="M471" s="131">
        <v>0</v>
      </c>
      <c r="N471" s="79" t="str">
        <f>IF(ISERROR((M471/E471-1)*100),"NA",IF(((M471/E471-1)*100)&gt;100,"NM",IF(((M471/E471-1)*100)&lt;-50,"NM",(M471/E471-1)*100)))</f>
        <v>NM</v>
      </c>
      <c r="O471" s="131">
        <v>0</v>
      </c>
      <c r="P471" s="79" t="str">
        <f>IF(ISERROR((O471/G471-1)*100),"NA",IF(((O471/G471-1)*100)&gt;100,"NM",IF(((O471/G471-1)*100)&lt;-50,"NM",(O471/G471-1)*100)))</f>
        <v>NA</v>
      </c>
      <c r="Q471" s="131">
        <v>0</v>
      </c>
      <c r="R471" s="79" t="str">
        <f>IF(ISERROR((Q471/I471-1)*100),"NA",IF(((Q471/I471-1)*100)&gt;100,"NM",IF(((Q471/I471-1)*100)&lt;-50,"NM",(Q471/I471-1)*100)))</f>
        <v>NA</v>
      </c>
      <c r="S471" s="131">
        <v>0</v>
      </c>
      <c r="T471" s="79" t="str">
        <f>IF(ISERROR((S471/K471-1)*100),"NA",IF(((S471/K471-1)*100)&gt;100,"NM",IF(((S471/K471-1)*100)&lt;-50,"NM",(S471/K471-1)*100)))</f>
        <v>NA</v>
      </c>
      <c r="U471" s="131">
        <v>0</v>
      </c>
      <c r="V471" s="79" t="str">
        <f>IF(ISERROR((U471/M471-1)*100),"NA",IF(((U471/M471-1)*100)&gt;100,"NM",IF(((U471/M471-1)*100)&lt;-50,"NM",(U471/M471-1)*100)))</f>
        <v>NA</v>
      </c>
      <c r="W471" s="131">
        <v>0</v>
      </c>
      <c r="X471" s="79" t="str">
        <f>IF(ISERROR((W471/O471-1)*100),"NA",IF(((W471/O471-1)*100)&gt;100,"NM",IF(((W471/O471-1)*100)&lt;-50,"NM",(W471/O471-1)*100)))</f>
        <v>NA</v>
      </c>
      <c r="Y471" s="131">
        <v>0</v>
      </c>
      <c r="Z471" s="79" t="str">
        <f>IF(ISERROR((Y471/Q471-1)*100),"NA",IF(((Y471/Q471-1)*100)&gt;100,"NM",IF(((Y471/Q471-1)*100)&lt;-50,"NM",(Y471/Q471-1)*100)))</f>
        <v>NA</v>
      </c>
      <c r="AA471" s="126">
        <v>0</v>
      </c>
      <c r="AB471" s="79" t="str">
        <f>IF(ISERROR((AA471/S471-1)*100),"NA",IF(((AA471/S471-1)*100)&gt;100,"NM",IF(((AA471/S471-1)*100)&lt;-50,"NM",(AA471/S471-1)*100)))</f>
        <v>NA</v>
      </c>
      <c r="AC471" s="131">
        <v>0</v>
      </c>
      <c r="AD471" s="79" t="str">
        <f>IF(ISERROR((AC471/U471-1)*100),"NA",IF(((AC471/U471-1)*100)&gt;100,"NM",IF(((AC471/U471-1)*100)&lt;-50,"NM",(AC471/U471-1)*100)))</f>
        <v>NA</v>
      </c>
      <c r="AE471" s="131">
        <v>0</v>
      </c>
      <c r="AF471" s="79" t="str">
        <f>IF(ISERROR((AE471/W471-1)*100),"NA",IF(((AE471/W471-1)*100)&gt;100,"NM",IF(((AE471/W471-1)*100)&lt;-50,"NM",(AE471/W471-1)*100)))</f>
        <v>NA</v>
      </c>
      <c r="AG471" s="131">
        <v>0</v>
      </c>
      <c r="AH471" s="79" t="str">
        <f>IF(ISERROR((AG471/Y471-1)*100),"NA",IF(((AG471/Y471-1)*100)&gt;100,"NM",IF(((AG471/Y471-1)*100)&lt;-50,"NM",(AG471/Y471-1)*100)))</f>
        <v>NA</v>
      </c>
      <c r="AI471" s="131">
        <v>0</v>
      </c>
      <c r="AJ471" s="79" t="str">
        <f>IF(ISERROR((AI471/AA471-1)*100),"NA",IF(((AI471/AA471-1)*100)&gt;100,"NM",IF(((AI471/AA471-1)*100)&lt;-50,"NM",(AI471/AA471-1)*100)))</f>
        <v>NA</v>
      </c>
      <c r="AK471" s="131">
        <v>0</v>
      </c>
      <c r="AL471" s="79" t="str">
        <f>IF(ISERROR((AK471/AC471-1)*100),"NA",IF(((AK471/AC471-1)*100)&gt;100,"NM",IF(((AK471/AC471-1)*100)&lt;-50,"NM",(AK471/AC471-1)*100)))</f>
        <v>NA</v>
      </c>
      <c r="AM471" s="131">
        <v>0</v>
      </c>
      <c r="AN471" s="79" t="str">
        <f>IF(ISERROR((AM471/AE471-1)*100),"NA",IF(((AM471/AE471-1)*100)&gt;100,"NM",IF(((AM471/AE471-1)*100)&lt;-50,"NM",(AM471/AE471-1)*100)))</f>
        <v>NA</v>
      </c>
      <c r="AO471" s="131">
        <v>0</v>
      </c>
      <c r="AP471" s="79" t="str">
        <f>IF(ISERROR((AO471/AG471-1)*100),"NA",IF(((AO471/AG471-1)*100)&gt;100,"NM",IF(((AO471/AG471-1)*100)&lt;-50,"NM",(AO471/AG471-1)*100)))</f>
        <v>NA</v>
      </c>
      <c r="AQ471" s="131">
        <v>0</v>
      </c>
      <c r="AR471" s="79" t="str">
        <f>IF(ISERROR((AQ471/AI471-1)*100),"NA",IF(((AQ471/AI471-1)*100)&gt;100,"NM",IF(((AQ471/AI471-1)*100)&lt;-50,"NM",(AQ471/AI471-1)*100)))</f>
        <v>NA</v>
      </c>
      <c r="AS471" s="339">
        <v>18</v>
      </c>
      <c r="AT471" s="81" t="str">
        <f>IF(ISERROR((AS471/AK471-1)*100),"NA",IF(((AS471/AK471-1)*100)&gt;100,"NM",IF(((AS471/AK471-1)*100)&lt;-50,"NM",(AS471/AK471-1)*100)))</f>
        <v>NA</v>
      </c>
      <c r="AU471" s="339">
        <v>18</v>
      </c>
      <c r="AV471" s="81" t="str">
        <f>IF(ISERROR((AU471/AM471-1)*100),"NA",IF(((AU471/AM471-1)*100)&gt;100,"NM",IF(((AU471/AM471-1)*100)&lt;-50,"NM",(AU471/AM471-1)*100)))</f>
        <v>NA</v>
      </c>
      <c r="AW471" s="339">
        <v>18</v>
      </c>
      <c r="AX471" s="81" t="str">
        <f>IF(ISERROR((AW471/AO471-1)*100),"NA",IF(((AW471/AO471-1)*100)&gt;100,"NM",IF(((AW471/AO471-1)*100)&lt;-50,"NM",(AW471/AO471-1)*100)))</f>
        <v>NA</v>
      </c>
      <c r="AY471" s="339">
        <v>18</v>
      </c>
      <c r="AZ471" s="81" t="str">
        <f>IF(ISERROR((AY471/AQ471-1)*100),"NA",IF(((AY471/AQ471-1)*100)&gt;100,"NM",IF(((AY471/AQ471-1)*100)&lt;-50,"NM",(AY471/AQ471-1)*100)))</f>
        <v>NA</v>
      </c>
      <c r="BA471" s="339">
        <v>27.5</v>
      </c>
      <c r="BB471" s="81">
        <f>IF(ISERROR((BA471/AS471-1)*100),"NA",IF(((BA471/AS471-1)*100)&gt;100,"NM",IF(((BA471/AS471-1)*100)&lt;-50,"NM",(BA471/AS471-1)*100)))</f>
        <v>52.777777777777771</v>
      </c>
      <c r="BC471" s="339">
        <v>27.5</v>
      </c>
      <c r="BD471" s="81">
        <f>IF(ISERROR((BC471/AU471-1)*100),"NA",IF(((BC471/AU471-1)*100)&gt;100,"NM",IF(((BC471/AU471-1)*100)&lt;-50,"NM",(BC471/AU471-1)*100)))</f>
        <v>52.777777777777771</v>
      </c>
      <c r="BE471" s="339">
        <v>27.5</v>
      </c>
      <c r="BF471" s="81">
        <f>IF(ISERROR((BE471/AW471-1)*100),"NA",IF(((BE471/AW471-1)*100)&gt;100,"NM",IF(((BE471/AW471-1)*100)&lt;-50,"NM",(BE471/AW471-1)*100)))</f>
        <v>52.777777777777771</v>
      </c>
      <c r="BG471" s="339">
        <v>27.5</v>
      </c>
      <c r="BH471" s="81">
        <f>IF(ISERROR((BG471/AY471-1)*100),"NA",IF(((BG471/AY471-1)*100)&gt;100,"NM",IF(((BG471/AY471-1)*100)&lt;-50,"NM",(BG471/AY471-1)*100)))</f>
        <v>52.777777777777771</v>
      </c>
      <c r="BI471" s="342">
        <f>BI473/BI470</f>
        <v>22.727272727272727</v>
      </c>
      <c r="BJ471" s="81">
        <f>IF(ISERROR((BI471/BA471-1)*100),"NA",IF(((BI471/BA471-1)*100)&gt;100,"NM",IF(((BI471/BA471-1)*100)&lt;-50,"NM",(BI471/BA471-1)*100)))</f>
        <v>-17.355371900826444</v>
      </c>
      <c r="BK471" s="339">
        <v>22</v>
      </c>
      <c r="BL471" s="81">
        <f>IF(ISERROR((BK471/BC471-1)*100),"NA",IF(((BK471/BC471-1)*100)&gt;100,"NM",IF(((BK471/BC471-1)*100)&lt;-50,"NM",(BK471/BC471-1)*100)))</f>
        <v>-19.999999999999996</v>
      </c>
      <c r="BM471" s="339"/>
      <c r="BN471" s="81" t="str">
        <f>IF(ISERROR((BM471/BE471-1)*100),"NA",IF(((BM471/BE471-1)*100)&gt;100,"NM",IF(((BM471/BE471-1)*100)&lt;-50,"NM",(BM471/BE471-1)*100)))</f>
        <v>NM</v>
      </c>
      <c r="BO471" s="342">
        <f>BO473/BO470</f>
        <v>24.137931034482758</v>
      </c>
      <c r="BP471" s="81">
        <f>IF(ISERROR((BO471/BG471-1)*100),"NA",IF(((BO471/BG471-1)*100)&gt;100,"NM",IF(((BO471/BG471-1)*100)&lt;-50,"NM",(BO471/BG471-1)*100)))</f>
        <v>-12.225705329153602</v>
      </c>
      <c r="BQ471" s="339"/>
      <c r="BR471" s="81" t="str">
        <f>IF(ISERROR((BQ471/BI471-1)*100),"NA",IF(((BQ471/BI471-1)*100)&gt;100,"NM",IF(((BQ471/BI471-1)*100)&lt;-50,"NM",(BQ471/BI471-1)*100)))</f>
        <v>NM</v>
      </c>
      <c r="BS471" s="339"/>
      <c r="BT471" s="81" t="str">
        <f>IF(ISERROR((BS471/BK471-1)*100),"NA",IF(((BS471/BK471-1)*100)&gt;100,"NM",IF(((BS471/BK471-1)*100)&lt;-50,"NM",(BS471/BK471-1)*100)))</f>
        <v>NM</v>
      </c>
      <c r="BU471" s="339"/>
      <c r="BV471" s="81" t="str">
        <f>IF(ISERROR((BU471/BM471-1)*100),"NA",IF(((BU471/BM471-1)*100)&gt;100,"NM",IF(((BU471/BM471-1)*100)&lt;-50,"NM",(BU471/BM471-1)*100)))</f>
        <v>NA</v>
      </c>
      <c r="BW471" s="339"/>
      <c r="BX471" s="81" t="str">
        <f>IF(ISERROR((BW471/BO471-1)*100),"NA",IF(((BW471/BO471-1)*100)&gt;100,"NM",IF(((BW471/BO471-1)*100)&lt;-50,"NM",(BW471/BO471-1)*100)))</f>
        <v>NM</v>
      </c>
      <c r="BY471" s="339">
        <v>21.47</v>
      </c>
      <c r="BZ471" s="81" t="str">
        <f>IF(ISERROR((BY471/BQ471-1)*100),"NA",IF(((BY471/BQ471-1)*100)&gt;100,"NM",IF(((BY471/BQ471-1)*100)&lt;-50,"NM",(BY471/BQ471-1)*100)))</f>
        <v>NA</v>
      </c>
      <c r="CA471" s="339">
        <v>22.77</v>
      </c>
      <c r="CB471" s="81" t="str">
        <f>IF(ISERROR((CA471/BS471-1)*100),"NA",IF(((CA471/BS471-1)*100)&gt;100,"NM",IF(((CA471/BS471-1)*100)&lt;-50,"NM",(CA471/BS471-1)*100)))</f>
        <v>NA</v>
      </c>
      <c r="CC471" s="342">
        <f>CC473/CC470</f>
        <v>20.810526315789474</v>
      </c>
      <c r="CD471" s="81" t="str">
        <f>IF(ISERROR((CC471/BU471-1)*100),"NA",IF(((CC471/BU471-1)*100)&gt;100,"NM",IF(((CC471/BU471-1)*100)&lt;-50,"NM",(CC471/BU471-1)*100)))</f>
        <v>NA</v>
      </c>
      <c r="CE471" s="342">
        <f>CE473/CE470</f>
        <v>23.75</v>
      </c>
      <c r="CF471" s="81" t="str">
        <f>IF(ISERROR((CE471/BW471-1)*100),"NA",IF(((CE471/BW471-1)*100)&gt;100,"NM",IF(((CE471/BW471-1)*100)&lt;-50,"NM",(CE471/BW471-1)*100)))</f>
        <v>NA</v>
      </c>
      <c r="CG471" s="342">
        <f>CG473/CG470</f>
        <v>26</v>
      </c>
      <c r="CH471" s="81">
        <f>IF(ISERROR((CG471/BY471-1)*100),"NA",IF(((CG471/BY471-1)*100)&gt;100,"NM",IF(((CG471/BY471-1)*100)&lt;-50,"NM",(CG471/BY471-1)*100)))</f>
        <v>21.099208197484877</v>
      </c>
      <c r="CI471" s="342">
        <f>CI473/CI470</f>
        <v>25.631578947368418</v>
      </c>
      <c r="CJ471" s="81">
        <f>IF(ISERROR((CI471/CA471-1)*100),"NA",IF(((CI471/CA471-1)*100)&gt;100,"NM",IF(((CI471/CA471-1)*100)&lt;-50,"NM",(CI471/CA471-1)*100)))</f>
        <v>12.56732080530707</v>
      </c>
      <c r="CK471" s="342">
        <f>CK473/CK470</f>
        <v>22.54054054054054</v>
      </c>
      <c r="CL471" s="81">
        <f>IF(ISERROR((CK471/CC471-1)*100),"NA",IF(((CK471/CC471-1)*100)&gt;100,"NM",IF(((CK471/CC471-1)*100)&lt;-50,"NM",(CK471/CC471-1)*100)))</f>
        <v>8.3131690111963188</v>
      </c>
      <c r="CM471" s="339">
        <v>23</v>
      </c>
      <c r="CN471" s="81">
        <f>IF(ISERROR((CM471/CE471-1)*100),"NA",IF(((CM471/CE471-1)*100)&gt;100,"NM",IF(((CM471/CE471-1)*100)&lt;-50,"NM",(CM471/CE471-1)*100)))</f>
        <v>-3.157894736842104</v>
      </c>
      <c r="CO471" s="342">
        <f>CO473/CO470</f>
        <v>23.36</v>
      </c>
      <c r="CP471" s="81">
        <f>IF(ISERROR((CO471/CG471-1)*100),"NA",IF(((CO471/CG471-1)*100)&gt;100,"NM",IF(((CO471/CG471-1)*100)&lt;-50,"NM",(CO471/CG471-1)*100)))</f>
        <v>-10.153846153846157</v>
      </c>
      <c r="CQ471" s="342">
        <f>CQ473/CQ470</f>
        <v>20.849999999999998</v>
      </c>
      <c r="CR471" s="81">
        <f>IF(ISERROR((CQ471/CI471-1)*100),"NA",IF(((CQ471/CI471-1)*100)&gt;100,"NM",IF(((CQ471/CI471-1)*100)&lt;-50,"NM",(CQ471/CI471-1)*100)))</f>
        <v>-18.655030800821347</v>
      </c>
      <c r="CS471" s="342">
        <f>CS473/CS470</f>
        <v>19.647058823529413</v>
      </c>
      <c r="CT471" s="81">
        <f>IF(ISERROR((CS471/CK471-1)*100),"NA",IF(((CS471/CK471-1)*100)&gt;100,"NM",IF(((CS471/CK471-1)*100)&lt;-50,"NM",(CS471/CK471-1)*100)))</f>
        <v>-12.83678939201579</v>
      </c>
      <c r="CU471" s="342">
        <f>CU473/CU470</f>
        <v>20.428571428571427</v>
      </c>
      <c r="CV471" s="81">
        <f>IF(ISERROR((CU471/CM471-1)*100),"NA",IF(((CU471/CM471-1)*100)&gt;100,"NM",IF(((CU471/CM471-1)*100)&lt;-50,"NM",(CU471/CM471-1)*100)))</f>
        <v>-11.180124223602494</v>
      </c>
      <c r="CW471" s="342">
        <f>CW473/CW470</f>
        <v>25.675675675675674</v>
      </c>
      <c r="CX471" s="81">
        <f>IF(ISERROR((CW471/CO471-1)*100),"NA",IF(((CW471/CO471-1)*100)&gt;100,"NM",IF(((CW471/CO471-1)*100)&lt;-50,"NM",(CW471/CO471-1)*100)))</f>
        <v>9.9129951869677768</v>
      </c>
      <c r="CY471" s="342">
        <f>CY473/CY470</f>
        <v>27.222222222222221</v>
      </c>
      <c r="CZ471" s="81">
        <f>IF(ISERROR((CY471/CQ471-1)*100),"NA",IF(((CY471/CQ471-1)*100)&gt;100,"NM",IF(((CY471/CQ471-1)*100)&lt;-50,"NM",(CY471/CQ471-1)*100)))</f>
        <v>30.562216893152151</v>
      </c>
      <c r="DA471" s="342">
        <f>DA473/DA470</f>
        <v>30</v>
      </c>
      <c r="DB471" s="81">
        <f>IF(ISERROR((DA471/CS471-1)*100),"NA",IF(((DA471/CS471-1)*100)&gt;100,"NM",IF(((DA471/CS471-1)*100)&lt;-50,"NM",(DA471/CS471-1)*100)))</f>
        <v>52.694610778443106</v>
      </c>
      <c r="DC471" s="342">
        <f>DC473/DC470</f>
        <v>35.785714285714292</v>
      </c>
      <c r="DD471" s="81">
        <f>IF(ISERROR((DC471/CU471-1)*100),"NA",IF(((DC471/CU471-1)*100)&gt;100,"NM",IF(((DC471/CU471-1)*100)&lt;-50,"NM",(DC471/CU471-1)*100)))</f>
        <v>75.174825174825216</v>
      </c>
      <c r="DE471" s="342">
        <f>DE473/DE470</f>
        <v>34.517241379310342</v>
      </c>
      <c r="DF471" s="81">
        <f>IF(ISERROR((DE471/CW471-1)*100),"NA",IF(((DE471/CW471-1)*100)&gt;100,"NM",IF(((DE471/CW471-1)*100)&lt;-50,"NM",(DE471/CW471-1)*100)))</f>
        <v>34.43557168784028</v>
      </c>
      <c r="DG471" s="342">
        <f>DG473/DG470</f>
        <v>34.482758620689658</v>
      </c>
      <c r="DH471" s="81">
        <f>IF(ISERROR((DG471/CY471-1)*100),"NA",IF(((DG471/CY471-1)*100)&gt;100,"NM",IF(((DG471/CY471-1)*100)&lt;-50,"NM",(DG471/CY471-1)*100)))</f>
        <v>26.671358198451813</v>
      </c>
      <c r="DI471" s="342">
        <f>DI473/DI470</f>
        <v>34.482758620689658</v>
      </c>
      <c r="DJ471" s="81">
        <f>IF(ISERROR((DI471/DA471-1)*100),"NA",IF(((DI471/DA471-1)*100)&gt;100,"NM",IF(((DI471/DA471-1)*100)&lt;-50,"NM",(DI471/DA471-1)*100)))</f>
        <v>14.942528735632198</v>
      </c>
      <c r="DK471" s="342">
        <v>33.76</v>
      </c>
      <c r="DL471" s="81">
        <f>IF(ISERROR((DK471/DC471-1)*100),"NA",IF(((DK471/DC471-1)*100)&gt;100,"NM",IF(((DK471/DC471-1)*100)&lt;-50,"NM",(DK471/DC471-1)*100)))</f>
        <v>-5.6606786427145899</v>
      </c>
      <c r="DM471" s="907">
        <v>33.729999999999997</v>
      </c>
      <c r="DN471" s="81">
        <f>IF(ISERROR((DM471/DE471-1)*100),"NA",IF(((DM471/DE471-1)*100)&gt;100,"NM",IF(((DM471/DE471-1)*100)&lt;-50,"NM",(DM471/DE471-1)*100)))</f>
        <v>-2.2807192807192789</v>
      </c>
      <c r="DO471" s="907">
        <f>DO473/DO470</f>
        <v>34.366666666666667</v>
      </c>
      <c r="DP471" s="81">
        <f>IF(ISERROR((DO471/DG471-1)*100),"NA",IF(((DO471/DG471-1)*100)&gt;100,"NM",IF(((DO471/DG471-1)*100)&lt;-50,"NM",(DO471/DG471-1)*100)))</f>
        <v>-0.336666666666674</v>
      </c>
      <c r="DQ471" s="342">
        <f>DQ473/DQ470</f>
        <v>35.9375</v>
      </c>
      <c r="DR471" s="81">
        <f>IF(ISERROR((DQ471/DI471-1)*100),"NA",IF(((DQ471/DI471-1)*100)&gt;100,"NM",IF(((DQ471/DI471-1)*100)&lt;-50,"NM",(DQ471/DI471-1)*100)))</f>
        <v>4.2187499999999822</v>
      </c>
      <c r="DS471" s="342">
        <f>DS473/DS470</f>
        <v>34.655172413793103</v>
      </c>
      <c r="DT471" s="81">
        <f>IF(ISERROR((DS471/DK471-1)*100),"NA",IF(((DS471/DK471-1)*100)&gt;100,"NM",IF(((DS471/DK471-1)*100)&lt;-50,"NM",(DS471/DK471-1)*100)))</f>
        <v>2.6515770550743722</v>
      </c>
      <c r="DU471" s="342">
        <f>DU473/DU470</f>
        <v>27.027027027027025</v>
      </c>
      <c r="DV471" s="81">
        <f>IF(ISERROR((DU471/DM471-1)*100),"NA",IF(((DU471/DM471-1)*100)&gt;100,"NM",IF(((DU471/DM471-1)*100)&lt;-50,"NM",(DU471/DM471-1)*100)))</f>
        <v>-19.872436919575964</v>
      </c>
      <c r="DW471" s="342">
        <f>DW473/DW470</f>
        <v>35.714285714285715</v>
      </c>
      <c r="DX471" s="81">
        <f>IF(ISERROR((DW471/DO471-1)*100),"NA",IF(((DW471/DO471-1)*100)&gt;100,"NM",IF(((DW471/DO471-1)*100)&lt;-50,"NM",(DW471/DO471-1)*100)))</f>
        <v>3.9212969377857787</v>
      </c>
      <c r="DY471" s="342">
        <f>DY473/DY470</f>
        <v>34.551724137931039</v>
      </c>
      <c r="DZ471" s="81">
        <f>IF(ISERROR((DY471/DQ471-1)*100),"NA",IF(((DY471/DQ471-1)*100)&gt;100,"NM",IF(((DY471/DQ471-1)*100)&lt;-50,"NM",(DY471/DQ471-1)*100)))</f>
        <v>-3.8560719640179819</v>
      </c>
      <c r="EA471" s="342">
        <f>EA473/EA470</f>
        <v>41.2</v>
      </c>
      <c r="EB471" s="81">
        <f>IF(ISERROR((EA471/DS471-1)*100),"NA",IF(((EA471/DS471-1)*100)&gt;100,"NM",IF(((EA471/DS471-1)*100)&lt;-50,"NM",(EA471/DS471-1)*100)))</f>
        <v>18.885572139303484</v>
      </c>
      <c r="EC471" s="342">
        <f>EC473/EC470</f>
        <v>47.61904761904762</v>
      </c>
      <c r="ED471" s="81">
        <f t="shared" si="1724"/>
        <v>76.190476190476204</v>
      </c>
      <c r="EE471" s="342">
        <f>EE473/EE470</f>
        <v>45.454545454545453</v>
      </c>
      <c r="EF471" s="81">
        <f t="shared" si="1725"/>
        <v>27.27272727272727</v>
      </c>
      <c r="EG471" s="342">
        <f>EG473/EG470</f>
        <v>50</v>
      </c>
      <c r="EH471" s="81">
        <f t="shared" si="1726"/>
        <v>44.71057884231535</v>
      </c>
      <c r="EI471" s="342">
        <f>EI473/EI470</f>
        <v>52.684210526315788</v>
      </c>
      <c r="EJ471" s="81">
        <f t="shared" si="1727"/>
        <v>27.874297393970359</v>
      </c>
      <c r="EK471" s="339">
        <v>52.24934508196722</v>
      </c>
      <c r="EL471" s="81">
        <f t="shared" si="1729"/>
        <v>9.7236246721311694</v>
      </c>
      <c r="EM471" s="339">
        <f t="shared" ref="EM471" si="1733">+EK471*1.02-EM459</f>
        <v>53.064331983606571</v>
      </c>
      <c r="EN471" s="81">
        <f t="shared" si="1730"/>
        <v>16.741530363934466</v>
      </c>
      <c r="EO471" s="339">
        <f t="shared" ref="EO471" si="1734">+EM471*1.02-EO459</f>
        <v>53.861118623278706</v>
      </c>
      <c r="EP471" s="81">
        <f t="shared" si="1731"/>
        <v>7.7222372465574063</v>
      </c>
      <c r="EQ471" s="339">
        <f t="shared" ref="EQ471" si="1735">+EO471*1.02-EQ459</f>
        <v>54.673840995744285</v>
      </c>
      <c r="ER471" s="81">
        <f t="shared" si="1732"/>
        <v>3.7765213705436063</v>
      </c>
      <c r="ES471" s="82"/>
      <c r="ET471" s="490"/>
      <c r="EU471" s="82"/>
      <c r="EV471" s="129"/>
      <c r="EW471" s="79"/>
      <c r="EX471" s="332"/>
      <c r="EY471" s="79"/>
      <c r="EZ471" s="340"/>
      <c r="FA471" s="79"/>
      <c r="FB471" s="331">
        <f>+E471+G471+I471+K471</f>
        <v>27.5</v>
      </c>
      <c r="FC471" s="79" t="str">
        <f>IF(ISERROR((FB471/EZ471-1)*100),"NA",IF(((FB471/EZ471-1)*100)&gt;100,"NM",IF(((FB471/EZ471-1)*100)&lt;-50,"NM",(FB471/EZ471-1)*100)))</f>
        <v>NA</v>
      </c>
      <c r="FD471" s="340">
        <f>+S471</f>
        <v>0</v>
      </c>
      <c r="FE471" s="79" t="str">
        <f>IF(ISERROR((FD471/FB471-1)*100),"NA",IF(((FD471/FB471-1)*100)&gt;100,"NM",IF(((FD471/FB471-1)*100)&lt;-50,"NM",(FD471/FB471-1)*100)))</f>
        <v>NM</v>
      </c>
      <c r="FF471" s="340">
        <f>AVERAGE(AA471,Y471,W471,U471)</f>
        <v>0</v>
      </c>
      <c r="FG471" s="79" t="str">
        <f>IF(ISERROR((FF471/FD471-1)*100),"NA",IF(((FF471/FD471-1)*100)&gt;100,"NM",IF(((FF471/FD471-1)*100)&lt;-50,"NM",(FF471/FD471-1)*100)))</f>
        <v>NA</v>
      </c>
      <c r="FH471" s="336">
        <f>+AI471</f>
        <v>0</v>
      </c>
      <c r="FI471" s="79" t="str">
        <f>IF(ISERROR((FH471/FF471-1)*100),"NA",IF(((FH471/FF471-1)*100)&gt;100,"NM",IF(((FH471/FF471-1)*100)&lt;-50,"NM",(FH471/FF471-1)*100)))</f>
        <v>NA</v>
      </c>
      <c r="FJ471" s="341">
        <f>+AQ471</f>
        <v>0</v>
      </c>
      <c r="FK471" s="79" t="str">
        <f>IF(ISERROR((FJ471/FH471-1)*100),"NA",IF(((FJ471/FH471-1)*100)&gt;100,"NM",IF(((FJ471/FH471-1)*100)&lt;-50,"NM",(FJ471/FH471-1)*100)))</f>
        <v>NA</v>
      </c>
      <c r="FL471" s="341">
        <f>AY471</f>
        <v>18</v>
      </c>
      <c r="FM471" s="79" t="str">
        <f>IF(ISERROR((FL471/FJ471-1)*100),"NA",IF(((FL471/FJ471-1)*100)&gt;100,"NM",IF(((FL471/FJ471-1)*100)&lt;-50,"NM",(FL471/FJ471-1)*100)))</f>
        <v>NA</v>
      </c>
      <c r="FN471" s="341">
        <f>BG471</f>
        <v>27.5</v>
      </c>
      <c r="FO471" s="79">
        <f>IF(ISERROR((FN471/FL471-1)*100),"NA",IF(((FN471/FL471-1)*100)&gt;100,"NM",IF(((FN471/FL471-1)*100)&lt;-50,"NM",(FN471/FL471-1)*100)))</f>
        <v>52.777777777777771</v>
      </c>
      <c r="FP471" s="341">
        <f>BO471</f>
        <v>24.137931034482758</v>
      </c>
      <c r="FQ471" s="79">
        <f>IF(ISERROR((FP471/FN471-1)*100),"NA",IF(((FP471/FN471-1)*100)&gt;100,"NM",IF(((FP471/FN471-1)*100)&lt;-50,"NM",(FP471/FN471-1)*100)))</f>
        <v>-12.225705329153602</v>
      </c>
      <c r="FR471" s="192">
        <f>BW471</f>
        <v>0</v>
      </c>
      <c r="FS471" s="79" t="str">
        <f>IF(ISERROR((FR471/FP471-1)*100),"NA",IF(((FR471/FP471-1)*100)&gt;100,"NM",IF(((FR471/FP471-1)*100)&lt;-50,"NM",(FR471/FP471-1)*100)))</f>
        <v>NM</v>
      </c>
      <c r="FT471" s="342">
        <f>CE471</f>
        <v>23.75</v>
      </c>
      <c r="FU471" s="79" t="str">
        <f>IF(ISERROR((FT471/FR471-1)*100),"NA",IF(((FT471/FR471-1)*100)&gt;100,"NM",IF(((FT471/FR471-1)*100)&lt;-50,"NM",(FT471/FR471-1)*100)))</f>
        <v>NA</v>
      </c>
      <c r="FV471" s="342">
        <f>CM471</f>
        <v>23</v>
      </c>
      <c r="FW471" s="79">
        <f>IF(ISERROR((FV471/FT471-1)*100),"NA",IF(((FV471/FT471-1)*100)&gt;100,"NM",IF(((FV471/FT471-1)*100)&lt;-50,"NM",(FV471/FT471-1)*100)))</f>
        <v>-3.157894736842104</v>
      </c>
      <c r="FX471" s="342">
        <f>CU471</f>
        <v>20.428571428571427</v>
      </c>
      <c r="FY471" s="79">
        <f>IF(ISERROR((FX471/FV471-1)*100),"NA",IF(((FX471/FV471-1)*100)&gt;100,"NM",IF(((FX471/FV471-1)*100)&lt;-50,"NM",(FX471/FV471-1)*100)))</f>
        <v>-11.180124223602494</v>
      </c>
      <c r="FZ471" s="342">
        <f>AVERAGE(CW471,CY471,DA471,DC471)</f>
        <v>29.670903045903046</v>
      </c>
      <c r="GA471" s="79">
        <f>IF(ISERROR((FZ471/FX471-1)*100),"NA",IF(((FZ471/FX471-1)*100)&gt;100,"NM",IF(((FZ471/FX471-1)*100)&lt;-50,"NM",(FZ471/FX471-1)*100)))</f>
        <v>45.242182742182749</v>
      </c>
      <c r="GB471" s="342">
        <f>AVERAGE(DE471,DG471,DI471,DK471)</f>
        <v>34.310689655172411</v>
      </c>
      <c r="GC471" s="79">
        <f>IF(ISERROR((GB471/FZ471-1)*100),"NA",IF(((GB471/FZ471-1)*100)&gt;100,"NM",IF(((GB471/FZ471-1)*100)&lt;-50,"NM",(GB471/FZ471-1)*100)))</f>
        <v>15.637497119960519</v>
      </c>
      <c r="GD471" s="342">
        <f>AVERAGE(DM471,DO471,DQ471,DS471)</f>
        <v>34.672334770114944</v>
      </c>
      <c r="GE471" s="79">
        <f>IF(ISERROR((GD471/GB471-1)*100),"NA",IF(((GD471/GB471-1)*100)&gt;100,"NM",IF(((GD471/GB471-1)*100)&lt;-50,"NM",(GD471/GB471-1)*100)))</f>
        <v>1.0540304452551608</v>
      </c>
      <c r="GF471" s="342">
        <f>AVERAGE(DU471,DW471,DY471,EA471)</f>
        <v>34.623259219810947</v>
      </c>
      <c r="GG471" s="79">
        <f>IF(ISERROR((GF471/GD471-1)*100),"NA",IF(((GF471/GD471-1)*100)&gt;100,"NM",IF(((GF471/GD471-1)*100)&lt;-50,"NM",(GF471/GD471-1)*100)))</f>
        <v>-0.14154094504849057</v>
      </c>
      <c r="GH471" s="342">
        <f>AVERAGE(EC471,EE471,EG471,EI471)</f>
        <v>48.939450899977217</v>
      </c>
      <c r="GI471" s="79">
        <f>IF(ISERROR((GH471/GF471-1)*100),"NA",IF(((GH471/GF471-1)*100)&gt;100,"NM",IF(((GH471/GF471-1)*100)&lt;-50,"NM",(GH471/GF471-1)*100)))</f>
        <v>41.348480769178273</v>
      </c>
      <c r="GJ471" s="342">
        <f>AVERAGE(EK471,EM471,EO471,EQ471)</f>
        <v>53.462159171149196</v>
      </c>
      <c r="GK471" s="79">
        <f>IF(ISERROR((GJ471/GH471-1)*100),"NA",IF(((GJ471/GH471-1)*100)&gt;100,"NM",IF(((GJ471/GH471-1)*100)&lt;-50,"NM",(GJ471/GH471-1)*100)))</f>
        <v>9.2414364852918318</v>
      </c>
      <c r="GL471" s="339">
        <f>+GJ471*1.08-GL459</f>
        <v>56.65123190484114</v>
      </c>
      <c r="GM471" s="79">
        <f>IF(ISERROR((GL471/GJ471-1)*100),"NA",IF(((GL471/GJ471-1)*100)&gt;100,"NM",IF(((GL471/GJ471-1)*100)&lt;-50,"NM",(GL471/GJ471-1)*100)))</f>
        <v>5.9651027626525854</v>
      </c>
      <c r="GN471" s="339">
        <f>+GL471*1.08-GN459</f>
        <v>59.986640457228432</v>
      </c>
      <c r="GO471" s="79">
        <f>IF(ISERROR((GN471/GL471-1)*100),"NA",IF(((GN471/GL471-1)*100)&gt;100,"NM",IF(((GN471/GL471-1)*100)&lt;-50,"NM",(GN471/GL471-1)*100)))</f>
        <v>5.8876187511506917</v>
      </c>
      <c r="GP471" s="339">
        <f>+GN471*1.08-GP459</f>
        <v>63.469212693806718</v>
      </c>
      <c r="GQ471" s="79">
        <f>IF(ISERROR((GP471/GN471-1)*100),"NA",IF(((GP471/GN471-1)*100)&gt;100,"NM",IF(((GP471/GN471-1)*100)&lt;-50,"NM",(GP471/GN471-1)*100)))</f>
        <v>5.8055797258081521</v>
      </c>
      <c r="GR471" s="339">
        <f>+GP471*1.08-GR459</f>
        <v>67.098754809311259</v>
      </c>
      <c r="GS471" s="79">
        <f>IF(ISERROR((GR471/GP471-1)*100),"NA",IF(((GR471/GP471-1)*100)&gt;100,"NM",IF(((GR471/GP471-1)*100)&lt;-50,"NM",(GR471/GP471-1)*100)))</f>
        <v>5.7185869517784482</v>
      </c>
      <c r="GT471" s="79">
        <f>IF(ISERROR(((GR471/GH471)^0.2-1)*100),"NA",(IF(OR(((GR471/GH471)^0.2-1)*100&gt;99,((GR471/GH471)^0.2-1)*100&lt;-50),"NM",(((GR471/GH471)^0.2-1)*100))))</f>
        <v>6.5150740685697706</v>
      </c>
    </row>
    <row r="472" spans="1:286" ht="12.75" customHeight="1" x14ac:dyDescent="0.2">
      <c r="A472" s="1"/>
      <c r="B472" s="2" t="s">
        <v>321</v>
      </c>
      <c r="C472" s="79"/>
      <c r="D472" s="79"/>
      <c r="E472" s="332">
        <v>50</v>
      </c>
      <c r="F472" s="332"/>
      <c r="G472" s="332">
        <v>50</v>
      </c>
      <c r="H472" s="332"/>
      <c r="I472" s="332">
        <v>50</v>
      </c>
      <c r="J472" s="332"/>
      <c r="K472" s="332">
        <v>50</v>
      </c>
      <c r="L472" s="79"/>
      <c r="M472" s="332">
        <v>50</v>
      </c>
      <c r="N472" s="79">
        <f>IF(ISERROR((M472/E472-1)*100),"NA",IF(((M472/E472-1)*100)&gt;100,"NM",IF(((M472/E472-1)*100)&lt;-50,"NM",(M472/E472-1)*100)))</f>
        <v>0</v>
      </c>
      <c r="O472" s="332">
        <v>50</v>
      </c>
      <c r="P472" s="79">
        <f>IF(ISERROR((O472/G472-1)*100),"NA",IF(((O472/G472-1)*100)&gt;100,"NM",IF(((O472/G472-1)*100)&lt;-50,"NM",(O472/G472-1)*100)))</f>
        <v>0</v>
      </c>
      <c r="Q472" s="332">
        <v>50</v>
      </c>
      <c r="R472" s="79">
        <f>IF(ISERROR((Q472/I472-1)*100),"NA",IF(((Q472/I472-1)*100)&gt;100,"NM",IF(((Q472/I472-1)*100)&lt;-50,"NM",(Q472/I472-1)*100)))</f>
        <v>0</v>
      </c>
      <c r="S472" s="332">
        <v>50</v>
      </c>
      <c r="T472" s="79">
        <f>IF(ISERROR((S472/K472-1)*100),"NA",IF(((S472/K472-1)*100)&gt;100,"NM",IF(((S472/K472-1)*100)&lt;-50,"NM",(S472/K472-1)*100)))</f>
        <v>0</v>
      </c>
      <c r="U472" s="332">
        <v>50</v>
      </c>
      <c r="V472" s="79">
        <f>IF(ISERROR((U472/M472-1)*100),"NA",IF(((U472/M472-1)*100)&gt;100,"NM",IF(((U472/M472-1)*100)&lt;-50,"NM",(U472/M472-1)*100)))</f>
        <v>0</v>
      </c>
      <c r="W472" s="332">
        <v>50</v>
      </c>
      <c r="X472" s="79">
        <f>IF(ISERROR((W472/O472-1)*100),"NA",IF(((W472/O472-1)*100)&gt;100,"NM",IF(((W472/O472-1)*100)&lt;-50,"NM",(W472/O472-1)*100)))</f>
        <v>0</v>
      </c>
      <c r="Y472" s="332">
        <v>50</v>
      </c>
      <c r="Z472" s="79">
        <f>IF(ISERROR((Y472/Q472-1)*100),"NA",IF(((Y472/Q472-1)*100)&gt;100,"NM",IF(((Y472/Q472-1)*100)&lt;-50,"NM",(Y472/Q472-1)*100)))</f>
        <v>0</v>
      </c>
      <c r="AA472" s="343">
        <v>50</v>
      </c>
      <c r="AB472" s="79">
        <f>IF(ISERROR((AA472/S472-1)*100),"NA",IF(((AA472/S472-1)*100)&gt;100,"NM",IF(((AA472/S472-1)*100)&lt;-50,"NM",(AA472/S472-1)*100)))</f>
        <v>0</v>
      </c>
      <c r="AC472" s="332">
        <v>50</v>
      </c>
      <c r="AD472" s="79">
        <f>IF(ISERROR((AC472/U472-1)*100),"NA",IF(((AC472/U472-1)*100)&gt;100,"NM",IF(((AC472/U472-1)*100)&lt;-50,"NM",(AC472/U472-1)*100)))</f>
        <v>0</v>
      </c>
      <c r="AE472" s="332">
        <v>50</v>
      </c>
      <c r="AF472" s="79">
        <f>IF(ISERROR((AE472/W472-1)*100),"NA",IF(((AE472/W472-1)*100)&gt;100,"NM",IF(((AE472/W472-1)*100)&lt;-50,"NM",(AE472/W472-1)*100)))</f>
        <v>0</v>
      </c>
      <c r="AG472" s="332">
        <v>50</v>
      </c>
      <c r="AH472" s="79">
        <f>IF(ISERROR((AG472/Y472-1)*100),"NA",IF(((AG472/Y472-1)*100)&gt;100,"NM",IF(((AG472/Y472-1)*100)&lt;-50,"NM",(AG472/Y472-1)*100)))</f>
        <v>0</v>
      </c>
      <c r="AI472" s="332">
        <v>50</v>
      </c>
      <c r="AJ472" s="79">
        <f>IF(ISERROR((AI472/AA472-1)*100),"NA",IF(((AI472/AA472-1)*100)&gt;100,"NM",IF(((AI472/AA472-1)*100)&lt;-50,"NM",(AI472/AA472-1)*100)))</f>
        <v>0</v>
      </c>
      <c r="AK472" s="332">
        <v>50</v>
      </c>
      <c r="AL472" s="79">
        <f>IF(ISERROR((AK472/AC472-1)*100),"NA",IF(((AK472/AC472-1)*100)&gt;100,"NM",IF(((AK472/AC472-1)*100)&lt;-50,"NM",(AK472/AC472-1)*100)))</f>
        <v>0</v>
      </c>
      <c r="AM472" s="332">
        <v>50</v>
      </c>
      <c r="AN472" s="79">
        <f>IF(ISERROR((AM472/AE472-1)*100),"NA",IF(((AM472/AE472-1)*100)&gt;100,"NM",IF(((AM472/AE472-1)*100)&lt;-50,"NM",(AM472/AE472-1)*100)))</f>
        <v>0</v>
      </c>
      <c r="AO472" s="332">
        <v>50</v>
      </c>
      <c r="AP472" s="79">
        <f>IF(ISERROR((AO472/AG472-1)*100),"NA",IF(((AO472/AG472-1)*100)&gt;100,"NM",IF(((AO472/AG472-1)*100)&lt;-50,"NM",(AO472/AG472-1)*100)))</f>
        <v>0</v>
      </c>
      <c r="AQ472" s="332">
        <v>50</v>
      </c>
      <c r="AR472" s="79">
        <f>IF(ISERROR((AQ472/AI472-1)*100),"NA",IF(((AQ472/AI472-1)*100)&gt;100,"NM",IF(((AQ472/AI472-1)*100)&lt;-50,"NM",(AQ472/AI472-1)*100)))</f>
        <v>0</v>
      </c>
      <c r="AS472" s="332">
        <v>50</v>
      </c>
      <c r="AT472" s="81">
        <f>IF(ISERROR((AS472/AK472-1)*100),"NA",IF(((AS472/AK472-1)*100)&gt;100,"NM",IF(((AS472/AK472-1)*100)&lt;-50,"NM",(AS472/AK472-1)*100)))</f>
        <v>0</v>
      </c>
      <c r="AU472" s="332">
        <v>50</v>
      </c>
      <c r="AV472" s="81">
        <f>IF(ISERROR((AU472/AM472-1)*100),"NA",IF(((AU472/AM472-1)*100)&gt;100,"NM",IF(((AU472/AM472-1)*100)&lt;-50,"NM",(AU472/AM472-1)*100)))</f>
        <v>0</v>
      </c>
      <c r="AW472" s="332">
        <v>50</v>
      </c>
      <c r="AX472" s="81">
        <f>IF(ISERROR((AW472/AO472-1)*100),"NA",IF(((AW472/AO472-1)*100)&gt;100,"NM",IF(((AW472/AO472-1)*100)&lt;-50,"NM",(AW472/AO472-1)*100)))</f>
        <v>0</v>
      </c>
      <c r="AY472" s="332">
        <v>50</v>
      </c>
      <c r="AZ472" s="81">
        <f>IF(ISERROR((AY472/AQ472-1)*100),"NA",IF(((AY472/AQ472-1)*100)&gt;100,"NM",IF(((AY472/AQ472-1)*100)&lt;-50,"NM",(AY472/AQ472-1)*100)))</f>
        <v>0</v>
      </c>
      <c r="BA472" s="332">
        <v>50</v>
      </c>
      <c r="BB472" s="81">
        <f>IF(ISERROR((BA472/AS472-1)*100),"NA",IF(((BA472/AS472-1)*100)&gt;100,"NM",IF(((BA472/AS472-1)*100)&lt;-50,"NM",(BA472/AS472-1)*100)))</f>
        <v>0</v>
      </c>
      <c r="BC472" s="332">
        <v>50</v>
      </c>
      <c r="BD472" s="81">
        <f>IF(ISERROR((BC472/AU472-1)*100),"NA",IF(((BC472/AU472-1)*100)&gt;100,"NM",IF(((BC472/AU472-1)*100)&lt;-50,"NM",(BC472/AU472-1)*100)))</f>
        <v>0</v>
      </c>
      <c r="BE472" s="332">
        <v>50</v>
      </c>
      <c r="BF472" s="81">
        <f>IF(ISERROR((BE472/AW472-1)*100),"NA",IF(((BE472/AW472-1)*100)&gt;100,"NM",IF(((BE472/AW472-1)*100)&lt;-50,"NM",(BE472/AW472-1)*100)))</f>
        <v>0</v>
      </c>
      <c r="BG472" s="332">
        <v>50</v>
      </c>
      <c r="BH472" s="81">
        <f>IF(ISERROR((BG472/AY472-1)*100),"NA",IF(((BG472/AY472-1)*100)&gt;100,"NM",IF(((BG472/AY472-1)*100)&lt;-50,"NM",(BG472/AY472-1)*100)))</f>
        <v>0</v>
      </c>
      <c r="BI472" s="332">
        <v>50</v>
      </c>
      <c r="BJ472" s="81">
        <f>IF(ISERROR((BI472/BA472-1)*100),"NA",IF(((BI472/BA472-1)*100)&gt;100,"NM",IF(((BI472/BA472-1)*100)&lt;-50,"NM",(BI472/BA472-1)*100)))</f>
        <v>0</v>
      </c>
      <c r="BK472" s="332">
        <v>50</v>
      </c>
      <c r="BL472" s="81">
        <f>IF(ISERROR((BK472/BC472-1)*100),"NA",IF(((BK472/BC472-1)*100)&gt;100,"NM",IF(((BK472/BC472-1)*100)&lt;-50,"NM",(BK472/BC472-1)*100)))</f>
        <v>0</v>
      </c>
      <c r="BM472" s="332">
        <v>50</v>
      </c>
      <c r="BN472" s="81">
        <f>IF(ISERROR((BM472/BE472-1)*100),"NA",IF(((BM472/BE472-1)*100)&gt;100,"NM",IF(((BM472/BE472-1)*100)&lt;-50,"NM",(BM472/BE472-1)*100)))</f>
        <v>0</v>
      </c>
      <c r="BO472" s="332">
        <v>50</v>
      </c>
      <c r="BP472" s="81">
        <f>IF(ISERROR((BO472/BG472-1)*100),"NA",IF(((BO472/BG472-1)*100)&gt;100,"NM",IF(((BO472/BG472-1)*100)&lt;-50,"NM",(BO472/BG472-1)*100)))</f>
        <v>0</v>
      </c>
      <c r="BQ472" s="332">
        <v>50</v>
      </c>
      <c r="BR472" s="81">
        <f>IF(ISERROR((BQ472/BI472-1)*100),"NA",IF(((BQ472/BI472-1)*100)&gt;100,"NM",IF(((BQ472/BI472-1)*100)&lt;-50,"NM",(BQ472/BI472-1)*100)))</f>
        <v>0</v>
      </c>
      <c r="BS472" s="332">
        <v>50</v>
      </c>
      <c r="BT472" s="81">
        <f>IF(ISERROR((BS472/BK472-1)*100),"NA",IF(((BS472/BK472-1)*100)&gt;100,"NM",IF(((BS472/BK472-1)*100)&lt;-50,"NM",(BS472/BK472-1)*100)))</f>
        <v>0</v>
      </c>
      <c r="BU472" s="332">
        <v>50</v>
      </c>
      <c r="BV472" s="81">
        <f>IF(ISERROR((BU472/BM472-1)*100),"NA",IF(((BU472/BM472-1)*100)&gt;100,"NM",IF(((BU472/BM472-1)*100)&lt;-50,"NM",(BU472/BM472-1)*100)))</f>
        <v>0</v>
      </c>
      <c r="BW472" s="332">
        <v>50</v>
      </c>
      <c r="BX472" s="81">
        <f>IF(ISERROR((BW472/BO472-1)*100),"NA",IF(((BW472/BO472-1)*100)&gt;100,"NM",IF(((BW472/BO472-1)*100)&lt;-50,"NM",(BW472/BO472-1)*100)))</f>
        <v>0</v>
      </c>
      <c r="BY472" s="332">
        <v>50</v>
      </c>
      <c r="BZ472" s="81">
        <f>IF(ISERROR((BY472/BQ472-1)*100),"NA",IF(((BY472/BQ472-1)*100)&gt;100,"NM",IF(((BY472/BQ472-1)*100)&lt;-50,"NM",(BY472/BQ472-1)*100)))</f>
        <v>0</v>
      </c>
      <c r="CA472" s="332">
        <v>50</v>
      </c>
      <c r="CB472" s="81">
        <f>IF(ISERROR((CA472/BS472-1)*100),"NA",IF(((CA472/BS472-1)*100)&gt;100,"NM",IF(((CA472/BS472-1)*100)&lt;-50,"NM",(CA472/BS472-1)*100)))</f>
        <v>0</v>
      </c>
      <c r="CC472" s="332">
        <v>50</v>
      </c>
      <c r="CD472" s="81">
        <f>IF(ISERROR((CC472/BU472-1)*100),"NA",IF(((CC472/BU472-1)*100)&gt;100,"NM",IF(((CC472/BU472-1)*100)&lt;-50,"NM",(CC472/BU472-1)*100)))</f>
        <v>0</v>
      </c>
      <c r="CE472" s="332">
        <v>50</v>
      </c>
      <c r="CF472" s="81">
        <f>IF(ISERROR((CE472/BW472-1)*100),"NA",IF(((CE472/BW472-1)*100)&gt;100,"NM",IF(((CE472/BW472-1)*100)&lt;-50,"NM",(CE472/BW472-1)*100)))</f>
        <v>0</v>
      </c>
      <c r="CG472" s="332">
        <v>50</v>
      </c>
      <c r="CH472" s="81">
        <f>IF(ISERROR((CG472/BY472-1)*100),"NA",IF(((CG472/BY472-1)*100)&gt;100,"NM",IF(((CG472/BY472-1)*100)&lt;-50,"NM",(CG472/BY472-1)*100)))</f>
        <v>0</v>
      </c>
      <c r="CI472" s="332">
        <v>50</v>
      </c>
      <c r="CJ472" s="81">
        <f>IF(ISERROR((CI472/CA472-1)*100),"NA",IF(((CI472/CA472-1)*100)&gt;100,"NM",IF(((CI472/CA472-1)*100)&lt;-50,"NM",(CI472/CA472-1)*100)))</f>
        <v>0</v>
      </c>
      <c r="CK472" s="332">
        <v>50</v>
      </c>
      <c r="CL472" s="81">
        <f>IF(ISERROR((CK472/CC472-1)*100),"NA",IF(((CK472/CC472-1)*100)&gt;100,"NM",IF(((CK472/CC472-1)*100)&lt;-50,"NM",(CK472/CC472-1)*100)))</f>
        <v>0</v>
      </c>
      <c r="CM472" s="332">
        <v>50</v>
      </c>
      <c r="CN472" s="81">
        <f>IF(ISERROR((CM472/CE472-1)*100),"NA",IF(((CM472/CE472-1)*100)&gt;100,"NM",IF(((CM472/CE472-1)*100)&lt;-50,"NM",(CM472/CE472-1)*100)))</f>
        <v>0</v>
      </c>
      <c r="CO472" s="332">
        <v>50</v>
      </c>
      <c r="CP472" s="81">
        <f>IF(ISERROR((CO472/CG472-1)*100),"NA",IF(((CO472/CG472-1)*100)&gt;100,"NM",IF(((CO472/CG472-1)*100)&lt;-50,"NM",(CO472/CG472-1)*100)))</f>
        <v>0</v>
      </c>
      <c r="CQ472" s="332">
        <v>50</v>
      </c>
      <c r="CR472" s="81">
        <f>IF(ISERROR((CQ472/CI472-1)*100),"NA",IF(((CQ472/CI472-1)*100)&gt;100,"NM",IF(((CQ472/CI472-1)*100)&lt;-50,"NM",(CQ472/CI472-1)*100)))</f>
        <v>0</v>
      </c>
      <c r="CS472" s="332">
        <v>50</v>
      </c>
      <c r="CT472" s="81">
        <f>IF(ISERROR((CS472/CK472-1)*100),"NA",IF(((CS472/CK472-1)*100)&gt;100,"NM",IF(((CS472/CK472-1)*100)&lt;-50,"NM",(CS472/CK472-1)*100)))</f>
        <v>0</v>
      </c>
      <c r="CU472" s="332">
        <v>50</v>
      </c>
      <c r="CV472" s="81">
        <f>IF(ISERROR((CU472/CM472-1)*100),"NA",IF(((CU472/CM472-1)*100)&gt;100,"NM",IF(((CU472/CM472-1)*100)&lt;-50,"NM",(CU472/CM472-1)*100)))</f>
        <v>0</v>
      </c>
      <c r="CW472" s="332">
        <v>50</v>
      </c>
      <c r="CX472" s="81">
        <f>IF(ISERROR((CW472/CO472-1)*100),"NA",IF(((CW472/CO472-1)*100)&gt;100,"NM",IF(((CW472/CO472-1)*100)&lt;-50,"NM",(CW472/CO472-1)*100)))</f>
        <v>0</v>
      </c>
      <c r="CY472" s="332">
        <v>50</v>
      </c>
      <c r="CZ472" s="81">
        <f>IF(ISERROR((CY472/CQ472-1)*100),"NA",IF(((CY472/CQ472-1)*100)&gt;100,"NM",IF(((CY472/CQ472-1)*100)&lt;-50,"NM",(CY472/CQ472-1)*100)))</f>
        <v>0</v>
      </c>
      <c r="DA472" s="332">
        <v>50</v>
      </c>
      <c r="DB472" s="81">
        <f>IF(ISERROR((DA472/CS472-1)*100),"NA",IF(((DA472/CS472-1)*100)&gt;100,"NM",IF(((DA472/CS472-1)*100)&lt;-50,"NM",(DA472/CS472-1)*100)))</f>
        <v>0</v>
      </c>
      <c r="DC472" s="332">
        <v>50</v>
      </c>
      <c r="DD472" s="81">
        <f>IF(ISERROR((DC472/CU472-1)*100),"NA",IF(((DC472/CU472-1)*100)&gt;100,"NM",IF(((DC472/CU472-1)*100)&lt;-50,"NM",(DC472/CU472-1)*100)))</f>
        <v>0</v>
      </c>
      <c r="DE472" s="332">
        <v>50</v>
      </c>
      <c r="DF472" s="81">
        <f>IF(ISERROR((DE472/CW472-1)*100),"NA",IF(((DE472/CW472-1)*100)&gt;100,"NM",IF(((DE472/CW472-1)*100)&lt;-50,"NM",(DE472/CW472-1)*100)))</f>
        <v>0</v>
      </c>
      <c r="DG472" s="332">
        <v>50</v>
      </c>
      <c r="DH472" s="81">
        <f>IF(ISERROR((DG472/CY472-1)*100),"NA",IF(((DG472/CY472-1)*100)&gt;100,"NM",IF(((DG472/CY472-1)*100)&lt;-50,"NM",(DG472/CY472-1)*100)))</f>
        <v>0</v>
      </c>
      <c r="DI472" s="332">
        <v>50</v>
      </c>
      <c r="DJ472" s="81">
        <f>IF(ISERROR((DI472/DA472-1)*100),"NA",IF(((DI472/DA472-1)*100)&gt;100,"NM",IF(((DI472/DA472-1)*100)&lt;-50,"NM",(DI472/DA472-1)*100)))</f>
        <v>0</v>
      </c>
      <c r="DK472" s="332">
        <v>50</v>
      </c>
      <c r="DL472" s="81">
        <f>IF(ISERROR((DK472/DC472-1)*100),"NA",IF(((DK472/DC472-1)*100)&gt;100,"NM",IF(((DK472/DC472-1)*100)&lt;-50,"NM",(DK472/DC472-1)*100)))</f>
        <v>0</v>
      </c>
      <c r="DM472" s="332">
        <v>50</v>
      </c>
      <c r="DN472" s="81">
        <f>IF(ISERROR((DM472/DE472-1)*100),"NA",IF(((DM472/DE472-1)*100)&gt;100,"NM",IF(((DM472/DE472-1)*100)&lt;-50,"NM",(DM472/DE472-1)*100)))</f>
        <v>0</v>
      </c>
      <c r="DO472" s="332">
        <v>50</v>
      </c>
      <c r="DP472" s="81">
        <f>IF(ISERROR((DO472/DG472-1)*100),"NA",IF(((DO472/DG472-1)*100)&gt;100,"NM",IF(((DO472/DG472-1)*100)&lt;-50,"NM",(DO472/DG472-1)*100)))</f>
        <v>0</v>
      </c>
      <c r="DQ472" s="332">
        <v>50</v>
      </c>
      <c r="DR472" s="81">
        <f>IF(ISERROR((DQ472/DI472-1)*100),"NA",IF(((DQ472/DI472-1)*100)&gt;100,"NM",IF(((DQ472/DI472-1)*100)&lt;-50,"NM",(DQ472/DI472-1)*100)))</f>
        <v>0</v>
      </c>
      <c r="DS472" s="332">
        <v>50</v>
      </c>
      <c r="DT472" s="81">
        <f>IF(ISERROR((DS472/DK472-1)*100),"NA",IF(((DS472/DK472-1)*100)&gt;100,"NM",IF(((DS472/DK472-1)*100)&lt;-50,"NM",(DS472/DK472-1)*100)))</f>
        <v>0</v>
      </c>
      <c r="DU472" s="332">
        <v>50</v>
      </c>
      <c r="DV472" s="81">
        <f>IF(ISERROR((DU472/DM472-1)*100),"NA",IF(((DU472/DM472-1)*100)&gt;100,"NM",IF(((DU472/DM472-1)*100)&lt;-50,"NM",(DU472/DM472-1)*100)))</f>
        <v>0</v>
      </c>
      <c r="DW472" s="332">
        <v>50</v>
      </c>
      <c r="DX472" s="81">
        <f>IF(ISERROR((DW472/DO472-1)*100),"NA",IF(((DW472/DO472-1)*100)&gt;100,"NM",IF(((DW472/DO472-1)*100)&lt;-50,"NM",(DW472/DO472-1)*100)))</f>
        <v>0</v>
      </c>
      <c r="DY472" s="332">
        <v>50</v>
      </c>
      <c r="DZ472" s="81">
        <f>IF(ISERROR((DY472/DQ472-1)*100),"NA",IF(((DY472/DQ472-1)*100)&gt;100,"NM",IF(((DY472/DQ472-1)*100)&lt;-50,"NM",(DY472/DQ472-1)*100)))</f>
        <v>0</v>
      </c>
      <c r="EA472" s="332">
        <v>50</v>
      </c>
      <c r="EB472" s="81">
        <f>IF(ISERROR((EA472/DS472-1)*100),"NA",IF(((EA472/DS472-1)*100)&gt;100,"NM",IF(((EA472/DS472-1)*100)&lt;-50,"NM",(EA472/DS472-1)*100)))</f>
        <v>0</v>
      </c>
      <c r="EC472" s="332">
        <v>50</v>
      </c>
      <c r="ED472" s="81">
        <f t="shared" si="1724"/>
        <v>0</v>
      </c>
      <c r="EE472" s="332">
        <v>50</v>
      </c>
      <c r="EF472" s="81">
        <f t="shared" si="1725"/>
        <v>0</v>
      </c>
      <c r="EG472" s="332">
        <v>50</v>
      </c>
      <c r="EH472" s="81">
        <f t="shared" si="1726"/>
        <v>0</v>
      </c>
      <c r="EI472" s="332">
        <v>50</v>
      </c>
      <c r="EJ472" s="81">
        <f t="shared" si="1727"/>
        <v>0</v>
      </c>
      <c r="EK472" s="332">
        <v>50</v>
      </c>
      <c r="EL472" s="81">
        <f t="shared" si="1729"/>
        <v>0</v>
      </c>
      <c r="EM472" s="332">
        <v>50</v>
      </c>
      <c r="EN472" s="81">
        <f t="shared" si="1730"/>
        <v>0</v>
      </c>
      <c r="EO472" s="332">
        <v>50</v>
      </c>
      <c r="EP472" s="81">
        <f t="shared" si="1731"/>
        <v>0</v>
      </c>
      <c r="EQ472" s="332">
        <v>50</v>
      </c>
      <c r="ER472" s="81">
        <f t="shared" si="1732"/>
        <v>0</v>
      </c>
      <c r="ES472" s="82"/>
      <c r="ET472" s="490"/>
      <c r="EU472" s="82"/>
      <c r="EV472" s="332"/>
      <c r="EW472" s="79"/>
      <c r="EX472" s="332"/>
      <c r="EY472" s="79"/>
      <c r="EZ472" s="332"/>
      <c r="FA472" s="79"/>
      <c r="FB472" s="332"/>
      <c r="FC472" s="79" t="str">
        <f>IF(ISERROR((FB472/EZ472-1)*100),"NA",IF(((FB472/EZ472-1)*100)&gt;100,"NM",IF(((FB472/EZ472-1)*100)&lt;-50,"NM",(FB472/EZ472-1)*100)))</f>
        <v>NA</v>
      </c>
      <c r="FD472" s="222">
        <v>50</v>
      </c>
      <c r="FE472" s="79" t="str">
        <f>IF(ISERROR((FD472/FB472-1)*100),"NA",IF(((FD472/FB472-1)*100)&gt;100,"NM",IF(((FD472/FB472-1)*100)&lt;-50,"NM",(FD472/FB472-1)*100)))</f>
        <v>NA</v>
      </c>
      <c r="FF472" s="222">
        <v>50</v>
      </c>
      <c r="FG472" s="79">
        <f>IF(ISERROR((FF472/FD472-1)*100),"NA",IF(((FF472/FD472-1)*100)&gt;100,"NM",IF(((FF472/FD472-1)*100)&lt;-50,"NM",(FF472/FD472-1)*100)))</f>
        <v>0</v>
      </c>
      <c r="FH472" s="222">
        <v>50</v>
      </c>
      <c r="FI472" s="79">
        <f>IF(ISERROR((FH472/FF472-1)*100),"NA",IF(((FH472/FF472-1)*100)&gt;100,"NM",IF(((FH472/FF472-1)*100)&lt;-50,"NM",(FH472/FF472-1)*100)))</f>
        <v>0</v>
      </c>
      <c r="FJ472" s="251">
        <v>50</v>
      </c>
      <c r="FK472" s="79">
        <f>IF(ISERROR((FJ472/FH472-1)*100),"NA",IF(((FJ472/FH472-1)*100)&gt;100,"NM",IF(((FJ472/FH472-1)*100)&lt;-50,"NM",(FJ472/FH472-1)*100)))</f>
        <v>0</v>
      </c>
      <c r="FL472" s="251">
        <v>50</v>
      </c>
      <c r="FM472" s="79">
        <f>IF(ISERROR((FL472/FJ472-1)*100),"NA",IF(((FL472/FJ472-1)*100)&gt;100,"NM",IF(((FL472/FJ472-1)*100)&lt;-50,"NM",(FL472/FJ472-1)*100)))</f>
        <v>0</v>
      </c>
      <c r="FN472" s="251">
        <v>50</v>
      </c>
      <c r="FO472" s="79">
        <f>IF(ISERROR((FN472/FL472-1)*100),"NA",IF(((FN472/FL472-1)*100)&gt;100,"NM",IF(((FN472/FL472-1)*100)&lt;-50,"NM",(FN472/FL472-1)*100)))</f>
        <v>0</v>
      </c>
      <c r="FP472" s="222">
        <v>50</v>
      </c>
      <c r="FQ472" s="79">
        <f>IF(ISERROR((FP472/FN472-1)*100),"NA",IF(((FP472/FN472-1)*100)&gt;100,"NM",IF(((FP472/FN472-1)*100)&lt;-50,"NM",(FP472/FN472-1)*100)))</f>
        <v>0</v>
      </c>
      <c r="FR472" s="332">
        <v>50</v>
      </c>
      <c r="FS472" s="79">
        <f>IF(ISERROR((FR472/FP472-1)*100),"NA",IF(((FR472/FP472-1)*100)&gt;100,"NM",IF(((FR472/FP472-1)*100)&lt;-50,"NM",(FR472/FP472-1)*100)))</f>
        <v>0</v>
      </c>
      <c r="FT472" s="332">
        <v>50</v>
      </c>
      <c r="FU472" s="79">
        <f>IF(ISERROR((FT472/FR472-1)*100),"NA",IF(((FT472/FR472-1)*100)&gt;100,"NM",IF(((FT472/FR472-1)*100)&lt;-50,"NM",(FT472/FR472-1)*100)))</f>
        <v>0</v>
      </c>
      <c r="FV472" s="332">
        <f>AVERAGE(CM472,CK472,CI472,CG472)</f>
        <v>50</v>
      </c>
      <c r="FW472" s="79">
        <f>IF(ISERROR((FV472/FT472-1)*100),"NA",IF(((FV472/FT472-1)*100)&gt;100,"NM",IF(((FV472/FT472-1)*100)&lt;-50,"NM",(FV472/FT472-1)*100)))</f>
        <v>0</v>
      </c>
      <c r="FX472" s="332">
        <v>50</v>
      </c>
      <c r="FY472" s="79">
        <f>IF(ISERROR((FX472/FV472-1)*100),"NA",IF(((FX472/FV472-1)*100)&gt;100,"NM",IF(((FX472/FV472-1)*100)&lt;-50,"NM",(FX472/FV472-1)*100)))</f>
        <v>0</v>
      </c>
      <c r="FZ472" s="332">
        <v>50</v>
      </c>
      <c r="GA472" s="79">
        <f>IF(ISERROR((FZ472/FX472-1)*100),"NA",IF(((FZ472/FX472-1)*100)&gt;100,"NM",IF(((FZ472/FX472-1)*100)&lt;-50,"NM",(FZ472/FX472-1)*100)))</f>
        <v>0</v>
      </c>
      <c r="GB472" s="332">
        <v>50</v>
      </c>
      <c r="GC472" s="79">
        <f>IF(ISERROR((GB472/FZ472-1)*100),"NA",IF(((GB472/FZ472-1)*100)&gt;100,"NM",IF(((GB472/FZ472-1)*100)&lt;-50,"NM",(GB472/FZ472-1)*100)))</f>
        <v>0</v>
      </c>
      <c r="GD472" s="332">
        <v>50</v>
      </c>
      <c r="GE472" s="79">
        <f>IF(ISERROR((GD472/GB472-1)*100),"NA",IF(((GD472/GB472-1)*100)&gt;100,"NM",IF(((GD472/GB472-1)*100)&lt;-50,"NM",(GD472/GB472-1)*100)))</f>
        <v>0</v>
      </c>
      <c r="GF472" s="332">
        <v>50</v>
      </c>
      <c r="GG472" s="79">
        <f>IF(ISERROR((GF472/GD472-1)*100),"NA",IF(((GF472/GD472-1)*100)&gt;100,"NM",IF(((GF472/GD472-1)*100)&lt;-50,"NM",(GF472/GD472-1)*100)))</f>
        <v>0</v>
      </c>
      <c r="GH472" s="332">
        <v>50</v>
      </c>
      <c r="GI472" s="79">
        <f>IF(ISERROR((GH472/GF472-1)*100),"NA",IF(((GH472/GF472-1)*100)&gt;100,"NM",IF(((GH472/GF472-1)*100)&lt;-50,"NM",(GH472/GF472-1)*100)))</f>
        <v>0</v>
      </c>
      <c r="GJ472" s="332">
        <v>50</v>
      </c>
      <c r="GK472" s="79">
        <f>IF(ISERROR((GJ472/GH472-1)*100),"NA",IF(((GJ472/GH472-1)*100)&gt;100,"NM",IF(((GJ472/GH472-1)*100)&lt;-50,"NM",(GJ472/GH472-1)*100)))</f>
        <v>0</v>
      </c>
      <c r="GL472" s="332">
        <v>50</v>
      </c>
      <c r="GM472" s="79">
        <f>IF(ISERROR((GL472/GJ472-1)*100),"NA",IF(((GL472/GJ472-1)*100)&gt;100,"NM",IF(((GL472/GJ472-1)*100)&lt;-50,"NM",(GL472/GJ472-1)*100)))</f>
        <v>0</v>
      </c>
      <c r="GN472" s="332">
        <v>50</v>
      </c>
      <c r="GO472" s="79">
        <f>IF(ISERROR((GN472/GL472-1)*100),"NA",IF(((GN472/GL472-1)*100)&gt;100,"NM",IF(((GN472/GL472-1)*100)&lt;-50,"NM",(GN472/GL472-1)*100)))</f>
        <v>0</v>
      </c>
      <c r="GP472" s="332">
        <v>50</v>
      </c>
      <c r="GQ472" s="79">
        <f>IF(ISERROR((GP472/GN472-1)*100),"NA",IF(((GP472/GN472-1)*100)&gt;100,"NM",IF(((GP472/GN472-1)*100)&lt;-50,"NM",(GP472/GN472-1)*100)))</f>
        <v>0</v>
      </c>
      <c r="GR472" s="332">
        <v>42</v>
      </c>
      <c r="GS472" s="79">
        <f>IF(ISERROR((GR472/GP472-1)*100),"NA",IF(((GR472/GP472-1)*100)&gt;100,"NM",IF(((GR472/GP472-1)*100)&lt;-50,"NM",(GR472/GP472-1)*100)))</f>
        <v>-16.000000000000004</v>
      </c>
      <c r="GT472" s="79">
        <f>IF(ISERROR(((GR472/GH472)^0.2-1)*100),"NA",(IF(OR(((GR472/GH472)^0.2-1)*100&gt;99,((GR472/GH472)^0.2-1)*100&lt;-50),"NM",(((GR472/GH472)^0.2-1)*100))))</f>
        <v>-3.4269701092490057</v>
      </c>
    </row>
    <row r="473" spans="1:286" ht="12.75" customHeight="1" x14ac:dyDescent="0.2">
      <c r="A473" s="1" t="s">
        <v>231</v>
      </c>
      <c r="B473" s="2" t="s">
        <v>53</v>
      </c>
      <c r="C473" s="79"/>
      <c r="D473" s="79"/>
      <c r="E473" s="349">
        <v>0</v>
      </c>
      <c r="F473" s="349"/>
      <c r="G473" s="349">
        <v>0</v>
      </c>
      <c r="H473" s="349"/>
      <c r="I473" s="349">
        <v>0</v>
      </c>
      <c r="J473" s="349"/>
      <c r="K473" s="349">
        <v>0</v>
      </c>
      <c r="L473" s="79"/>
      <c r="M473" s="349">
        <v>0</v>
      </c>
      <c r="N473" s="79" t="str">
        <f>IF(ISERROR((M473/E473-1)*100),"NA",IF(((M473/E473-1)*100)&gt;100,"NM",IF(((M473/E473-1)*100)&lt;-50,"NM",(M473/E473-1)*100)))</f>
        <v>NA</v>
      </c>
      <c r="O473" s="349">
        <v>0</v>
      </c>
      <c r="P473" s="79" t="str">
        <f>IF(ISERROR((O473/G473-1)*100),"NA",IF(((O473/G473-1)*100)&gt;100,"NM",IF(((O473/G473-1)*100)&lt;-50,"NM",(O473/G473-1)*100)))</f>
        <v>NA</v>
      </c>
      <c r="Q473" s="349">
        <v>0</v>
      </c>
      <c r="R473" s="79" t="str">
        <f>IF(ISERROR((Q473/I473-1)*100),"NA",IF(((Q473/I473-1)*100)&gt;100,"NM",IF(((Q473/I473-1)*100)&lt;-50,"NM",(Q473/I473-1)*100)))</f>
        <v>NA</v>
      </c>
      <c r="S473" s="349">
        <v>0</v>
      </c>
      <c r="T473" s="79" t="str">
        <f>IF(ISERROR((S473/K473-1)*100),"NA",IF(((S473/K473-1)*100)&gt;100,"NM",IF(((S473/K473-1)*100)&lt;-50,"NM",(S473/K473-1)*100)))</f>
        <v>NA</v>
      </c>
      <c r="U473" s="349">
        <v>0</v>
      </c>
      <c r="V473" s="79" t="str">
        <f>IF(ISERROR((U473/M473-1)*100),"NA",IF(((U473/M473-1)*100)&gt;100,"NM",IF(((U473/M473-1)*100)&lt;-50,"NM",(U473/M473-1)*100)))</f>
        <v>NA</v>
      </c>
      <c r="W473" s="349">
        <v>0</v>
      </c>
      <c r="X473" s="79" t="str">
        <f>IF(ISERROR((W473/O473-1)*100),"NA",IF(((W473/O473-1)*100)&gt;100,"NM",IF(((W473/O473-1)*100)&lt;-50,"NM",(W473/O473-1)*100)))</f>
        <v>NA</v>
      </c>
      <c r="Y473" s="349">
        <v>0</v>
      </c>
      <c r="Z473" s="79" t="str">
        <f>IF(ISERROR((Y473/Q473-1)*100),"NA",IF(((Y473/Q473-1)*100)&gt;100,"NM",IF(((Y473/Q473-1)*100)&lt;-50,"NM",(Y473/Q473-1)*100)))</f>
        <v>NA</v>
      </c>
      <c r="AA473" s="333">
        <v>0</v>
      </c>
      <c r="AB473" s="79" t="str">
        <f>IF(ISERROR((AA473/S473-1)*100),"NA",IF(((AA473/S473-1)*100)&gt;100,"NM",IF(((AA473/S473-1)*100)&lt;-50,"NM",(AA473/S473-1)*100)))</f>
        <v>NA</v>
      </c>
      <c r="AC473" s="349">
        <v>0</v>
      </c>
      <c r="AD473" s="79" t="str">
        <f>IF(ISERROR((AC473/U473-1)*100),"NA",IF(((AC473/U473-1)*100)&gt;100,"NM",IF(((AC473/U473-1)*100)&lt;-50,"NM",(AC473/U473-1)*100)))</f>
        <v>NA</v>
      </c>
      <c r="AE473" s="349">
        <v>0</v>
      </c>
      <c r="AF473" s="79" t="str">
        <f>IF(ISERROR((AE473/W473-1)*100),"NA",IF(((AE473/W473-1)*100)&gt;100,"NM",IF(((AE473/W473-1)*100)&lt;-50,"NM",(AE473/W473-1)*100)))</f>
        <v>NA</v>
      </c>
      <c r="AG473" s="349">
        <v>0</v>
      </c>
      <c r="AH473" s="79" t="str">
        <f>IF(ISERROR((AG473/Y473-1)*100),"NA",IF(((AG473/Y473-1)*100)&gt;100,"NM",IF(((AG473/Y473-1)*100)&lt;-50,"NM",(AG473/Y473-1)*100)))</f>
        <v>NA</v>
      </c>
      <c r="AI473" s="349">
        <v>0</v>
      </c>
      <c r="AJ473" s="79" t="str">
        <f>IF(ISERROR((AI473/AA473-1)*100),"NA",IF(((AI473/AA473-1)*100)&gt;100,"NM",IF(((AI473/AA473-1)*100)&lt;-50,"NM",(AI473/AA473-1)*100)))</f>
        <v>NA</v>
      </c>
      <c r="AK473" s="349">
        <v>0</v>
      </c>
      <c r="AL473" s="79" t="str">
        <f>IF(ISERROR((AK473/AC473-1)*100),"NA",IF(((AK473/AC473-1)*100)&gt;100,"NM",IF(((AK473/AC473-1)*100)&lt;-50,"NM",(AK473/AC473-1)*100)))</f>
        <v>NA</v>
      </c>
      <c r="AM473" s="349">
        <v>0</v>
      </c>
      <c r="AN473" s="79" t="str">
        <f>IF(ISERROR((AM473/AE473-1)*100),"NA",IF(((AM473/AE473-1)*100)&gt;100,"NM",IF(((AM473/AE473-1)*100)&lt;-50,"NM",(AM473/AE473-1)*100)))</f>
        <v>NA</v>
      </c>
      <c r="AO473" s="349">
        <v>0</v>
      </c>
      <c r="AP473" s="79" t="str">
        <f>IF(ISERROR((AO473/AG473-1)*100),"NA",IF(((AO473/AG473-1)*100)&gt;100,"NM",IF(((AO473/AG473-1)*100)&lt;-50,"NM",(AO473/AG473-1)*100)))</f>
        <v>NA</v>
      </c>
      <c r="AQ473" s="349">
        <v>0</v>
      </c>
      <c r="AR473" s="79" t="str">
        <f>IF(ISERROR((AQ473/AI473-1)*100),"NA",IF(((AQ473/AI473-1)*100)&gt;100,"NM",IF(((AQ473/AI473-1)*100)&lt;-50,"NM",(AQ473/AI473-1)*100)))</f>
        <v>NA</v>
      </c>
      <c r="AS473" s="350">
        <v>0</v>
      </c>
      <c r="AT473" s="81" t="str">
        <f>IF(ISERROR((AS473/AK473-1)*100),"NA",IF(((AS473/AK473-1)*100)&gt;100,"NM",IF(((AS473/AK473-1)*100)&lt;-50,"NM",(AS473/AK473-1)*100)))</f>
        <v>NA</v>
      </c>
      <c r="AU473" s="350">
        <v>0</v>
      </c>
      <c r="AV473" s="81" t="str">
        <f>IF(ISERROR((AU473/AM473-1)*100),"NA",IF(((AU473/AM473-1)*100)&gt;100,"NM",IF(((AU473/AM473-1)*100)&lt;-50,"NM",(AU473/AM473-1)*100)))</f>
        <v>NA</v>
      </c>
      <c r="AW473" s="350">
        <v>0</v>
      </c>
      <c r="AX473" s="81" t="str">
        <f>IF(ISERROR((AW473/AO473-1)*100),"NA",IF(((AW473/AO473-1)*100)&gt;100,"NM",IF(((AW473/AO473-1)*100)&lt;-50,"NM",(AW473/AO473-1)*100)))</f>
        <v>NA</v>
      </c>
      <c r="AY473" s="350">
        <v>0</v>
      </c>
      <c r="AZ473" s="81" t="str">
        <f>IF(ISERROR((AY473/AQ473-1)*100),"NA",IF(((AY473/AQ473-1)*100)&gt;100,"NM",IF(((AY473/AQ473-1)*100)&lt;-50,"NM",(AY473/AQ473-1)*100)))</f>
        <v>NA</v>
      </c>
      <c r="BA473" s="350">
        <v>0</v>
      </c>
      <c r="BB473" s="81" t="str">
        <f>IF(ISERROR((BA473/AS473-1)*100),"NA",IF(((BA473/AS473-1)*100)&gt;100,"NM",IF(((BA473/AS473-1)*100)&lt;-50,"NM",(BA473/AS473-1)*100)))</f>
        <v>NA</v>
      </c>
      <c r="BC473" s="350">
        <v>0</v>
      </c>
      <c r="BD473" s="81" t="str">
        <f>IF(ISERROR((BC473/AU473-1)*100),"NA",IF(((BC473/AU473-1)*100)&gt;100,"NM",IF(((BC473/AU473-1)*100)&lt;-50,"NM",(BC473/AU473-1)*100)))</f>
        <v>NA</v>
      </c>
      <c r="BE473" s="350">
        <v>0</v>
      </c>
      <c r="BF473" s="81" t="str">
        <f>IF(ISERROR((BE473/AW473-1)*100),"NA",IF(((BE473/AW473-1)*100)&gt;100,"NM",IF(((BE473/AW473-1)*100)&lt;-50,"NM",(BE473/AW473-1)*100)))</f>
        <v>NA</v>
      </c>
      <c r="BG473" s="350">
        <v>0</v>
      </c>
      <c r="BH473" s="81" t="str">
        <f>IF(ISERROR((BG473/AY473-1)*100),"NA",IF(((BG473/AY473-1)*100)&gt;100,"NM",IF(((BG473/AY473-1)*100)&lt;-50,"NM",(BG473/AY473-1)*100)))</f>
        <v>NA</v>
      </c>
      <c r="BI473" s="350">
        <v>350</v>
      </c>
      <c r="BJ473" s="81" t="str">
        <f>IF(ISERROR((BI473/BA473-1)*100),"NA",IF(((BI473/BA473-1)*100)&gt;100,"NM",IF(((BI473/BA473-1)*100)&lt;-50,"NM",(BI473/BA473-1)*100)))</f>
        <v>NA</v>
      </c>
      <c r="BK473" s="350">
        <v>0</v>
      </c>
      <c r="BL473" s="81" t="str">
        <f>IF(ISERROR((BK473/BC473-1)*100),"NA",IF(((BK473/BC473-1)*100)&gt;100,"NM",IF(((BK473/BC473-1)*100)&lt;-50,"NM",(BK473/BC473-1)*100)))</f>
        <v>NA</v>
      </c>
      <c r="BM473" s="350"/>
      <c r="BN473" s="81" t="str">
        <f>IF(ISERROR((BM473/BE473-1)*100),"NA",IF(((BM473/BE473-1)*100)&gt;100,"NM",IF(((BM473/BE473-1)*100)&lt;-50,"NM",(BM473/BE473-1)*100)))</f>
        <v>NA</v>
      </c>
      <c r="BO473" s="350">
        <v>350</v>
      </c>
      <c r="BP473" s="81" t="str">
        <f>IF(ISERROR((BO473/BG473-1)*100),"NA",IF(((BO473/BG473-1)*100)&gt;100,"NM",IF(((BO473/BG473-1)*100)&lt;-50,"NM",(BO473/BG473-1)*100)))</f>
        <v>NA</v>
      </c>
      <c r="BQ473" s="350">
        <v>0</v>
      </c>
      <c r="BR473" s="81" t="str">
        <f>IF(ISERROR((BQ473/BI473-1)*100),"NA",IF(((BQ473/BI473-1)*100)&gt;100,"NM",IF(((BQ473/BI473-1)*100)&lt;-50,"NM",(BQ473/BI473-1)*100)))</f>
        <v>NM</v>
      </c>
      <c r="BS473" s="350">
        <v>0</v>
      </c>
      <c r="BT473" s="81" t="str">
        <f>IF(ISERROR((BS473/BK473-1)*100),"NA",IF(((BS473/BK473-1)*100)&gt;100,"NM",IF(((BS473/BK473-1)*100)&lt;-50,"NM",(BS473/BK473-1)*100)))</f>
        <v>NA</v>
      </c>
      <c r="BU473" s="350">
        <v>0</v>
      </c>
      <c r="BV473" s="81" t="str">
        <f>IF(ISERROR((BU473/BM473-1)*100),"NA",IF(((BU473/BM473-1)*100)&gt;100,"NM",IF(((BU473/BM473-1)*100)&lt;-50,"NM",(BU473/BM473-1)*100)))</f>
        <v>NA</v>
      </c>
      <c r="BW473" s="350">
        <v>0</v>
      </c>
      <c r="BX473" s="81" t="str">
        <f>IF(ISERROR((BW473/BO473-1)*100),"NA",IF(((BW473/BO473-1)*100)&gt;100,"NM",IF(((BW473/BO473-1)*100)&lt;-50,"NM",(BW473/BO473-1)*100)))</f>
        <v>NM</v>
      </c>
      <c r="BY473" s="350">
        <v>0</v>
      </c>
      <c r="BZ473" s="81" t="str">
        <f>IF(ISERROR((BY473/BQ473-1)*100),"NA",IF(((BY473/BQ473-1)*100)&gt;100,"NM",IF(((BY473/BQ473-1)*100)&lt;-50,"NM",(BY473/BQ473-1)*100)))</f>
        <v>NA</v>
      </c>
      <c r="CA473" s="350">
        <v>129.80000000000001</v>
      </c>
      <c r="CB473" s="81" t="str">
        <f>IF(ISERROR((CA473/BS473-1)*100),"NA",IF(((CA473/BS473-1)*100)&gt;100,"NM",IF(((CA473/BS473-1)*100)&lt;-50,"NM",(CA473/BS473-1)*100)))</f>
        <v>NA</v>
      </c>
      <c r="CC473" s="350">
        <v>197.7</v>
      </c>
      <c r="CD473" s="81" t="str">
        <f>IF(ISERROR((CC473/BU473-1)*100),"NA",IF(((CC473/BU473-1)*100)&gt;100,"NM",IF(((CC473/BU473-1)*100)&lt;-50,"NM",(CC473/BU473-1)*100)))</f>
        <v>NA</v>
      </c>
      <c r="CE473" s="350">
        <v>28.5</v>
      </c>
      <c r="CF473" s="81" t="str">
        <f>IF(ISERROR((CE473/BW473-1)*100),"NA",IF(((CE473/BW473-1)*100)&gt;100,"NM",IF(((CE473/BW473-1)*100)&lt;-50,"NM",(CE473/BW473-1)*100)))</f>
        <v>NA</v>
      </c>
      <c r="CG473" s="350">
        <f>223.6</f>
        <v>223.6</v>
      </c>
      <c r="CH473" s="81" t="str">
        <f>IF(ISERROR((CG473/BY473-1)*100),"NA",IF(((CG473/BY473-1)*100)&gt;100,"NM",IF(((CG473/BY473-1)*100)&lt;-50,"NM",(CG473/BY473-1)*100)))</f>
        <v>NA</v>
      </c>
      <c r="CI473" s="350">
        <v>146.1</v>
      </c>
      <c r="CJ473" s="81">
        <f>IF(ISERROR((CI473/CA473-1)*100),"NA",IF(((CI473/CA473-1)*100)&gt;100,"NM",IF(((CI473/CA473-1)*100)&lt;-50,"NM",(CI473/CA473-1)*100)))</f>
        <v>12.557781201848982</v>
      </c>
      <c r="CK473" s="350">
        <v>250.2</v>
      </c>
      <c r="CL473" s="81">
        <f>IF(ISERROR((CK473/CC473-1)*100),"NA",IF(((CK473/CC473-1)*100)&gt;100,"NM",IF(((CK473/CC473-1)*100)&lt;-50,"NM",(CK473/CC473-1)*100)))</f>
        <v>26.55538694992412</v>
      </c>
      <c r="CM473" s="350">
        <v>0</v>
      </c>
      <c r="CN473" s="81" t="str">
        <f>IF(ISERROR((CM473/CE473-1)*100),"NA",IF(((CM473/CE473-1)*100)&gt;100,"NM",IF(((CM473/CE473-1)*100)&lt;-50,"NM",(CM473/CE473-1)*100)))</f>
        <v>NM</v>
      </c>
      <c r="CO473" s="350">
        <v>175.2</v>
      </c>
      <c r="CP473" s="81">
        <f>IF(ISERROR((CO473/CG473-1)*100),"NA",IF(((CO473/CG473-1)*100)&gt;100,"NM",IF(((CO473/CG473-1)*100)&lt;-50,"NM",(CO473/CG473-1)*100)))</f>
        <v>-21.645796064400724</v>
      </c>
      <c r="CQ473" s="350">
        <v>125.1</v>
      </c>
      <c r="CR473" s="81">
        <f>IF(ISERROR((CQ473/CI473-1)*100),"NA",IF(((CQ473/CI473-1)*100)&gt;100,"NM",IF(((CQ473/CI473-1)*100)&lt;-50,"NM",(CQ473/CI473-1)*100)))</f>
        <v>-14.373716632443534</v>
      </c>
      <c r="CS473" s="350">
        <v>100.2</v>
      </c>
      <c r="CT473" s="81" t="str">
        <f>IF(ISERROR((CS473/CK473-1)*100),"NA",IF(((CS473/CK473-1)*100)&gt;100,"NM",IF(((CS473/CK473-1)*100)&lt;-50,"NM",(CS473/CK473-1)*100)))</f>
        <v>NM</v>
      </c>
      <c r="CU473" s="350">
        <v>100.1</v>
      </c>
      <c r="CV473" s="81" t="str">
        <f>IF(ISERROR((CU473/CM473-1)*100),"NA",IF(((CU473/CM473-1)*100)&gt;100,"NM",IF(((CU473/CM473-1)*100)&lt;-50,"NM",(CU473/CM473-1)*100)))</f>
        <v>NA</v>
      </c>
      <c r="CW473" s="350">
        <v>95</v>
      </c>
      <c r="CX473" s="81">
        <f>IF(ISERROR((CW473/CO473-1)*100),"NA",IF(((CW473/CO473-1)*100)&gt;100,"NM",IF(((CW473/CO473-1)*100)&lt;-50,"NM",(CW473/CO473-1)*100)))</f>
        <v>-45.776255707762559</v>
      </c>
      <c r="CY473" s="350">
        <v>98</v>
      </c>
      <c r="CZ473" s="81">
        <f>IF(ISERROR((CY473/CQ473-1)*100),"NA",IF(((CY473/CQ473-1)*100)&gt;100,"NM",IF(((CY473/CQ473-1)*100)&lt;-50,"NM",(CY473/CQ473-1)*100)))</f>
        <v>-21.662669864108707</v>
      </c>
      <c r="DA473" s="350">
        <v>75</v>
      </c>
      <c r="DB473" s="81">
        <f>IF(ISERROR((DA473/CS473-1)*100),"NA",IF(((DA473/CS473-1)*100)&gt;100,"NM",IF(((DA473/CS473-1)*100)&lt;-50,"NM",(DA473/CS473-1)*100)))</f>
        <v>-25.149700598802394</v>
      </c>
      <c r="DC473" s="350">
        <v>50.1</v>
      </c>
      <c r="DD473" s="81">
        <f>IF(ISERROR((DC473/CU473-1)*100),"NA",IF(((DC473/CU473-1)*100)&gt;100,"NM",IF(((DC473/CU473-1)*100)&lt;-50,"NM",(DC473/CU473-1)*100)))</f>
        <v>-49.950049950049944</v>
      </c>
      <c r="DE473" s="350">
        <v>100.1</v>
      </c>
      <c r="DF473" s="81">
        <f>IF(ISERROR((DE473/CW473-1)*100),"NA",IF(((DE473/CW473-1)*100)&gt;100,"NM",IF(((DE473/CW473-1)*100)&lt;-50,"NM",(DE473/CW473-1)*100)))</f>
        <v>5.3684210526315779</v>
      </c>
      <c r="DG473" s="350">
        <v>100</v>
      </c>
      <c r="DH473" s="81">
        <f>IF(ISERROR((DG473/CY473-1)*100),"NA",IF(((DG473/CY473-1)*100)&gt;100,"NM",IF(((DG473/CY473-1)*100)&lt;-50,"NM",(DG473/CY473-1)*100)))</f>
        <v>2.0408163265306145</v>
      </c>
      <c r="DI473" s="350">
        <v>100</v>
      </c>
      <c r="DJ473" s="81">
        <f>IF(ISERROR((DI473/DA473-1)*100),"NA",IF(((DI473/DA473-1)*100)&gt;100,"NM",IF(((DI473/DA473-1)*100)&lt;-50,"NM",(DI473/DA473-1)*100)))</f>
        <v>33.333333333333329</v>
      </c>
      <c r="DK473" s="350">
        <v>0</v>
      </c>
      <c r="DL473" s="81" t="str">
        <f>IF(ISERROR((DK473/DC473-1)*100),"NA",IF(((DK473/DC473-1)*100)&gt;100,"NM",IF(((DK473/DC473-1)*100)&lt;-50,"NM",(DK473/DC473-1)*100)))</f>
        <v>NM</v>
      </c>
      <c r="DM473" s="350">
        <v>108.1</v>
      </c>
      <c r="DN473" s="81">
        <f>IF(ISERROR((DM473/DE473-1)*100),"NA",IF(((DM473/DE473-1)*100)&gt;100,"NM",IF(((DM473/DE473-1)*100)&lt;-50,"NM",(DM473/DE473-1)*100)))</f>
        <v>7.9920079920079878</v>
      </c>
      <c r="DO473" s="350">
        <v>103.1</v>
      </c>
      <c r="DP473" s="81">
        <f>IF(ISERROR((DO473/DG473-1)*100),"NA",IF(((DO473/DG473-1)*100)&gt;100,"NM",IF(((DO473/DG473-1)*100)&lt;-50,"NM",(DO473/DG473-1)*100)))</f>
        <v>3.0999999999999917</v>
      </c>
      <c r="DQ473" s="350">
        <v>115</v>
      </c>
      <c r="DR473" s="81">
        <f>IF(ISERROR((DQ473/DI473-1)*100),"NA",IF(((DQ473/DI473-1)*100)&gt;100,"NM",IF(((DQ473/DI473-1)*100)&lt;-50,"NM",(DQ473/DI473-1)*100)))</f>
        <v>14.999999999999991</v>
      </c>
      <c r="DS473" s="350">
        <v>100.5</v>
      </c>
      <c r="DT473" s="81" t="str">
        <f>IF(ISERROR((DS473/DK473-1)*100),"NA",IF(((DS473/DK473-1)*100)&gt;100,"NM",IF(((DS473/DK473-1)*100)&lt;-50,"NM",(DS473/DK473-1)*100)))</f>
        <v>NA</v>
      </c>
      <c r="DU473" s="350">
        <v>100</v>
      </c>
      <c r="DV473" s="81">
        <f>IF(ISERROR((DU473/DM473-1)*100),"NA",IF(((DU473/DM473-1)*100)&gt;100,"NM",IF(((DU473/DM473-1)*100)&lt;-50,"NM",(DU473/DM473-1)*100)))</f>
        <v>-7.4930619796484743</v>
      </c>
      <c r="DW473" s="350">
        <v>100</v>
      </c>
      <c r="DX473" s="81">
        <f>IF(ISERROR((DW473/DO473-1)*100),"NA",IF(((DW473/DO473-1)*100)&gt;100,"NM",IF(((DW473/DO473-1)*100)&lt;-50,"NM",(DW473/DO473-1)*100)))</f>
        <v>-3.0067895247332665</v>
      </c>
      <c r="DY473" s="350">
        <v>100.2</v>
      </c>
      <c r="DZ473" s="81">
        <f>IF(ISERROR((DY473/DQ473-1)*100),"NA",IF(((DY473/DQ473-1)*100)&gt;100,"NM",IF(((DY473/DQ473-1)*100)&lt;-50,"NM",(DY473/DQ473-1)*100)))</f>
        <v>-12.869565217391299</v>
      </c>
      <c r="EA473" s="350">
        <v>103</v>
      </c>
      <c r="EB473" s="81">
        <f>IF(ISERROR((EA473/DS473-1)*100),"NA",IF(((EA473/DS473-1)*100)&gt;100,"NM",IF(((EA473/DS473-1)*100)&lt;-50,"NM",(EA473/DS473-1)*100)))</f>
        <v>2.4875621890547261</v>
      </c>
      <c r="EC473" s="350">
        <v>100</v>
      </c>
      <c r="ED473" s="81">
        <f t="shared" si="1724"/>
        <v>0</v>
      </c>
      <c r="EE473" s="350">
        <v>100</v>
      </c>
      <c r="EF473" s="81">
        <f t="shared" si="1725"/>
        <v>0</v>
      </c>
      <c r="EG473" s="350">
        <v>100</v>
      </c>
      <c r="EH473" s="81">
        <f t="shared" si="1726"/>
        <v>-0.19960079840319889</v>
      </c>
      <c r="EI473" s="350">
        <v>100.1</v>
      </c>
      <c r="EJ473" s="81">
        <f t="shared" si="1727"/>
        <v>-2.8155339805825297</v>
      </c>
      <c r="EK473" s="350">
        <v>100</v>
      </c>
      <c r="EL473" s="81">
        <f t="shared" si="1729"/>
        <v>0</v>
      </c>
      <c r="EM473" s="350">
        <v>100</v>
      </c>
      <c r="EN473" s="81">
        <f t="shared" si="1730"/>
        <v>0</v>
      </c>
      <c r="EO473" s="350">
        <v>100</v>
      </c>
      <c r="EP473" s="81">
        <f t="shared" si="1731"/>
        <v>0</v>
      </c>
      <c r="EQ473" s="350">
        <v>100</v>
      </c>
      <c r="ER473" s="81">
        <f t="shared" si="1732"/>
        <v>-9.9900099900096517E-2</v>
      </c>
      <c r="ES473" s="82">
        <v>1</v>
      </c>
      <c r="ET473" s="490"/>
      <c r="EU473" s="82"/>
      <c r="EV473" s="332"/>
      <c r="EW473" s="79"/>
      <c r="EX473" s="332"/>
      <c r="EY473" s="79"/>
      <c r="EZ473" s="340"/>
      <c r="FA473" s="79"/>
      <c r="FB473" s="331">
        <f>+E473+G473+I473+K473</f>
        <v>0</v>
      </c>
      <c r="FC473" s="79" t="str">
        <f>IF(ISERROR((FB473/EZ473-1)*100),"NA",IF(((FB473/EZ473-1)*100)&gt;100,"NM",IF(((FB473/EZ473-1)*100)&lt;-50,"NM",(FB473/EZ473-1)*100)))</f>
        <v>NA</v>
      </c>
      <c r="FD473" s="340">
        <f>+S473+Q473+O473+M473</f>
        <v>0</v>
      </c>
      <c r="FE473" s="79" t="str">
        <f>IF(ISERROR((FD473/FB473-1)*100),"NA",IF(((FD473/FB473-1)*100)&gt;100,"NM",IF(((FD473/FB473-1)*100)&lt;-50,"NM",(FD473/FB473-1)*100)))</f>
        <v>NA</v>
      </c>
      <c r="FF473" s="340">
        <f>+U473+W473+Y473+AA473</f>
        <v>0</v>
      </c>
      <c r="FG473" s="79" t="str">
        <f>IF(ISERROR((FF473/FD473-1)*100),"NA",IF(((FF473/FD473-1)*100)&gt;100,"NM",IF(((FF473/FD473-1)*100)&lt;-50,"NM",(FF473/FD473-1)*100)))</f>
        <v>NA</v>
      </c>
      <c r="FH473" s="340">
        <f>+AI473+AG473+AE473+AC473</f>
        <v>0</v>
      </c>
      <c r="FI473" s="79" t="str">
        <f>IF(ISERROR((FH473/FF473-1)*100),"NA",IF(((FH473/FF473-1)*100)&gt;100,"NM",IF(((FH473/FF473-1)*100)&lt;-50,"NM",(FH473/FF473-1)*100)))</f>
        <v>NA</v>
      </c>
      <c r="FJ473" s="35">
        <f>+AQ473+AO473+AM473+AK473</f>
        <v>0</v>
      </c>
      <c r="FK473" s="79" t="str">
        <f>IF(ISERROR((FJ473/FH473-1)*100),"NA",IF(((FJ473/FH473-1)*100)&gt;100,"NM",IF(((FJ473/FH473-1)*100)&lt;-50,"NM",(FJ473/FH473-1)*100)))</f>
        <v>NA</v>
      </c>
      <c r="FL473" s="35">
        <f>AS473+AU473+AW473+AY473</f>
        <v>0</v>
      </c>
      <c r="FM473" s="79" t="str">
        <f>IF(ISERROR((FL473/FJ473-1)*100),"NA",IF(((FL473/FJ473-1)*100)&gt;100,"NM",IF(((FL473/FJ473-1)*100)&lt;-50,"NM",(FL473/FJ473-1)*100)))</f>
        <v>NA</v>
      </c>
      <c r="FN473" s="35">
        <f>BA473+BC473+BE473+BG473</f>
        <v>0</v>
      </c>
      <c r="FO473" s="79" t="str">
        <f>IF(ISERROR((FN473/FL473-1)*100),"NA",IF(((FN473/FL473-1)*100)&gt;100,"NM",IF(((FN473/FL473-1)*100)&lt;-50,"NM",(FN473/FL473-1)*100)))</f>
        <v>NA</v>
      </c>
      <c r="FP473" s="35">
        <f>BI473+BK473+BM473+BO473</f>
        <v>700</v>
      </c>
      <c r="FQ473" s="79" t="str">
        <f>IF(ISERROR((FP473/FN473-1)*100),"NA",IF(((FP473/FN473-1)*100)&gt;100,"NM",IF(((FP473/FN473-1)*100)&lt;-50,"NM",(FP473/FN473-1)*100)))</f>
        <v>NA</v>
      </c>
      <c r="FR473" s="35">
        <f>BQ473+BS473+BU473+BW473</f>
        <v>0</v>
      </c>
      <c r="FS473" s="79" t="str">
        <f>IF(ISERROR((FR473/FP473-1)*100),"NA",IF(((FR473/FP473-1)*100)&gt;100,"NM",IF(((FR473/FP473-1)*100)&lt;-50,"NM",(FR473/FP473-1)*100)))</f>
        <v>NM</v>
      </c>
      <c r="FT473" s="35">
        <f>BY473+CA473+CC473+CE473</f>
        <v>356</v>
      </c>
      <c r="FU473" s="79" t="str">
        <f>IF(ISERROR((FT473/FR473-1)*100),"NA",IF(((FT473/FR473-1)*100)&gt;100,"NM",IF(((FT473/FR473-1)*100)&lt;-50,"NM",(FT473/FR473-1)*100)))</f>
        <v>NA</v>
      </c>
      <c r="FV473" s="35">
        <f>CG473+CI473+CK473+CM473</f>
        <v>619.9</v>
      </c>
      <c r="FW473" s="79">
        <f>IF(ISERROR((FV473/FT473-1)*100),"NA",IF(((FV473/FT473-1)*100)&gt;100,"NM",IF(((FV473/FT473-1)*100)&lt;-50,"NM",(FV473/FT473-1)*100)))</f>
        <v>74.129213483146046</v>
      </c>
      <c r="FX473" s="35">
        <f>CO473+CQ473+CS473+CU473</f>
        <v>500.59999999999991</v>
      </c>
      <c r="FY473" s="79">
        <f>IF(ISERROR((FX473/FV473-1)*100),"NA",IF(((FX473/FV473-1)*100)&gt;100,"NM",IF(((FX473/FV473-1)*100)&lt;-50,"NM",(FX473/FV473-1)*100)))</f>
        <v>-19.245039522503639</v>
      </c>
      <c r="FZ473" s="35">
        <f>CW473+CY473+DA473+DC473</f>
        <v>318.10000000000002</v>
      </c>
      <c r="GA473" s="79">
        <f>IF(ISERROR((FZ473/FX473-1)*100),"NA",IF(((FZ473/FX473-1)*100)&gt;100,"NM",IF(((FZ473/FX473-1)*100)&lt;-50,"NM",(FZ473/FX473-1)*100)))</f>
        <v>-36.456252497003582</v>
      </c>
      <c r="GB473" s="35">
        <f>DE473+DG473+DI473+DK473</f>
        <v>300.10000000000002</v>
      </c>
      <c r="GC473" s="79">
        <f>IF(ISERROR((GB473/FZ473-1)*100),"NA",IF(((GB473/FZ473-1)*100)&gt;100,"NM",IF(((GB473/FZ473-1)*100)&lt;-50,"NM",(GB473/FZ473-1)*100)))</f>
        <v>-5.6585979251807643</v>
      </c>
      <c r="GD473" s="35">
        <f>DM473+DO473+DQ473+DS473</f>
        <v>426.7</v>
      </c>
      <c r="GE473" s="79">
        <f>IF(ISERROR((GD473/GB473-1)*100),"NA",IF(((GD473/GB473-1)*100)&gt;100,"NM",IF(((GD473/GB473-1)*100)&lt;-50,"NM",(GD473/GB473-1)*100)))</f>
        <v>42.185938020659776</v>
      </c>
      <c r="GF473" s="35">
        <f>DU473+DW473+DY473+EA473</f>
        <v>403.2</v>
      </c>
      <c r="GG473" s="79">
        <f>IF(ISERROR((GF473/GD473-1)*100),"NA",IF(((GF473/GD473-1)*100)&gt;100,"NM",IF(((GF473/GD473-1)*100)&lt;-50,"NM",(GF473/GD473-1)*100)))</f>
        <v>-5.5073822357628366</v>
      </c>
      <c r="GH473" s="35">
        <f>EC473+EE473+EG473+EI473</f>
        <v>400.1</v>
      </c>
      <c r="GI473" s="79">
        <f>IF(ISERROR((GH473/GF473-1)*100),"NA",IF(((GH473/GF473-1)*100)&gt;100,"NM",IF(((GH473/GF473-1)*100)&lt;-50,"NM",(GH473/GF473-1)*100)))</f>
        <v>-0.76884920634919807</v>
      </c>
      <c r="GJ473" s="35">
        <f>EK473+EM473+EO473+EQ473</f>
        <v>400</v>
      </c>
      <c r="GK473" s="79">
        <f>IF(ISERROR((GJ473/GH473-1)*100),"NA",IF(((GJ473/GH473-1)*100)&gt;100,"NM",IF(((GJ473/GH473-1)*100)&lt;-50,"NM",(GJ473/GH473-1)*100)))</f>
        <v>-2.4993751562119026E-2</v>
      </c>
      <c r="GL473" s="350">
        <v>400</v>
      </c>
      <c r="GM473" s="79">
        <f>IF(ISERROR((GL473/GJ473-1)*100),"NA",IF(((GL473/GJ473-1)*100)&gt;100,"NM",IF(((GL473/GJ473-1)*100)&lt;-50,"NM",(GL473/GJ473-1)*100)))</f>
        <v>0</v>
      </c>
      <c r="GN473" s="350">
        <v>425</v>
      </c>
      <c r="GO473" s="79">
        <f>IF(ISERROR((GN473/GL473-1)*100),"NA",IF(((GN473/GL473-1)*100)&gt;100,"NM",IF(((GN473/GL473-1)*100)&lt;-50,"NM",(GN473/GL473-1)*100)))</f>
        <v>6.25</v>
      </c>
      <c r="GP473" s="350">
        <v>425</v>
      </c>
      <c r="GQ473" s="79">
        <f>IF(ISERROR((GP473/GN473-1)*100),"NA",IF(((GP473/GN473-1)*100)&gt;100,"NM",IF(((GP473/GN473-1)*100)&lt;-50,"NM",(GP473/GN473-1)*100)))</f>
        <v>0</v>
      </c>
      <c r="GR473" s="350">
        <v>450</v>
      </c>
      <c r="GS473" s="79">
        <f>IF(ISERROR((GR473/GP473-1)*100),"NA",IF(((GR473/GP473-1)*100)&gt;100,"NM",IF(((GR473/GP473-1)*100)&lt;-50,"NM",(GR473/GP473-1)*100)))</f>
        <v>5.8823529411764719</v>
      </c>
      <c r="GT473" s="79">
        <f>IF(ISERROR(((GR473/GH473)^0.2-1)*100),"NA",(IF(OR(((GR473/GH473)^0.2-1)*100&gt;99,((GR473/GH473)^0.2-1)*100&lt;-50),"NM",(((GR473/GH473)^0.2-1)*100))))</f>
        <v>2.3785071404197167</v>
      </c>
    </row>
    <row r="474" spans="1:286" s="165" customFormat="1" ht="12.75" hidden="1" customHeight="1" outlineLevel="1" x14ac:dyDescent="0.2">
      <c r="A474" s="157"/>
      <c r="B474" s="85" t="s">
        <v>329</v>
      </c>
      <c r="C474" s="87"/>
      <c r="D474" s="87"/>
      <c r="E474" s="412"/>
      <c r="F474" s="412"/>
      <c r="G474" s="412"/>
      <c r="H474" s="412"/>
      <c r="I474" s="412"/>
      <c r="J474" s="412"/>
      <c r="K474" s="412"/>
      <c r="L474" s="87"/>
      <c r="M474" s="412"/>
      <c r="N474" s="87"/>
      <c r="O474" s="412"/>
      <c r="P474" s="87"/>
      <c r="Q474" s="412"/>
      <c r="R474" s="87"/>
      <c r="S474" s="412"/>
      <c r="T474" s="87"/>
      <c r="U474" s="412"/>
      <c r="V474" s="87"/>
      <c r="W474" s="412"/>
      <c r="X474" s="87"/>
      <c r="Y474" s="412"/>
      <c r="Z474" s="87"/>
      <c r="AA474" s="413"/>
      <c r="AB474" s="87"/>
      <c r="AC474" s="412"/>
      <c r="AD474" s="87"/>
      <c r="AE474" s="412"/>
      <c r="AF474" s="87"/>
      <c r="AG474" s="412"/>
      <c r="AH474" s="87"/>
      <c r="AI474" s="412"/>
      <c r="AJ474" s="87"/>
      <c r="AK474" s="412"/>
      <c r="AL474" s="87"/>
      <c r="AM474" s="412"/>
      <c r="AN474" s="414"/>
      <c r="AO474" s="412"/>
      <c r="AP474" s="414"/>
      <c r="AQ474" s="412"/>
      <c r="AR474" s="414"/>
      <c r="AS474" s="412"/>
      <c r="AT474" s="89"/>
      <c r="AU474" s="412"/>
      <c r="AV474" s="89"/>
      <c r="AW474" s="412"/>
      <c r="AX474" s="89"/>
      <c r="AY474" s="412"/>
      <c r="AZ474" s="89"/>
      <c r="BA474" s="412"/>
      <c r="BB474" s="89"/>
      <c r="BC474" s="412"/>
      <c r="BD474" s="89"/>
      <c r="BE474" s="412"/>
      <c r="BF474" s="89"/>
      <c r="BG474" s="412"/>
      <c r="BH474" s="89"/>
      <c r="BI474" s="412"/>
      <c r="BJ474" s="89"/>
      <c r="BK474" s="412"/>
      <c r="BL474" s="89"/>
      <c r="BM474" s="412"/>
      <c r="BN474" s="89"/>
      <c r="BO474" s="412"/>
      <c r="BP474" s="89"/>
      <c r="BQ474" s="412"/>
      <c r="BR474" s="89"/>
      <c r="BS474" s="412"/>
      <c r="BT474" s="89"/>
      <c r="BU474" s="412"/>
      <c r="BV474" s="89"/>
      <c r="BW474" s="412"/>
      <c r="BX474" s="89"/>
      <c r="BY474" s="412"/>
      <c r="BZ474" s="89"/>
      <c r="CA474" s="412"/>
      <c r="CB474" s="89"/>
      <c r="CC474" s="412"/>
      <c r="CD474" s="89"/>
      <c r="CE474" s="412"/>
      <c r="CF474" s="89"/>
      <c r="CG474" s="412"/>
      <c r="CH474" s="89"/>
      <c r="CI474" s="412"/>
      <c r="CJ474" s="89"/>
      <c r="CK474" s="412"/>
      <c r="CL474" s="89"/>
      <c r="CM474" s="412"/>
      <c r="CN474" s="89"/>
      <c r="CO474" s="412"/>
      <c r="CP474" s="89"/>
      <c r="CQ474" s="412"/>
      <c r="CR474" s="89"/>
      <c r="CS474" s="412"/>
      <c r="CT474" s="89"/>
      <c r="CU474" s="412"/>
      <c r="CV474" s="89"/>
      <c r="CW474" s="412"/>
      <c r="CX474" s="89"/>
      <c r="CY474" s="412"/>
      <c r="CZ474" s="89"/>
      <c r="DA474" s="412"/>
      <c r="DB474" s="89"/>
      <c r="DC474" s="412"/>
      <c r="DD474" s="89"/>
      <c r="DE474" s="412"/>
      <c r="DF474" s="89"/>
      <c r="DG474" s="412"/>
      <c r="DH474" s="89"/>
      <c r="DI474" s="412"/>
      <c r="DJ474" s="89"/>
      <c r="DK474" s="412"/>
      <c r="DL474" s="89"/>
      <c r="DM474" s="412"/>
      <c r="DN474" s="89"/>
      <c r="DO474" s="412"/>
      <c r="DP474" s="89"/>
      <c r="DQ474" s="412"/>
      <c r="DR474" s="89"/>
      <c r="DS474" s="412"/>
      <c r="DT474" s="89"/>
      <c r="DU474" s="412"/>
      <c r="DV474" s="89"/>
      <c r="DW474" s="412"/>
      <c r="DX474" s="89"/>
      <c r="DY474" s="412"/>
      <c r="DZ474" s="89"/>
      <c r="EA474" s="412">
        <f>IF($B$6=1,EA473,IF($B$6=2,EA473+EA631,IF($B$6=3,EA473+EA632)))</f>
        <v>103</v>
      </c>
      <c r="EB474" s="89"/>
      <c r="EC474" s="412">
        <f>IF($B$6=1,EC473,IF($B$6=2,EC473+EC631,IF($B$6=3,EC473+EC632)))</f>
        <v>100</v>
      </c>
      <c r="ED474" s="89"/>
      <c r="EE474" s="412">
        <f t="shared" ref="EE474:EG474" si="1736">IF($B$6=1,EE473,IF($B$6=2,EE473+EE631,IF($B$6=3,EE473+EE632)))</f>
        <v>100</v>
      </c>
      <c r="EF474" s="89"/>
      <c r="EG474" s="412">
        <f t="shared" si="1736"/>
        <v>100</v>
      </c>
      <c r="EH474" s="89"/>
      <c r="EI474" s="412">
        <f t="shared" ref="EI474" si="1737">IF($B$6=1,EI473,IF($B$6=2,EI473+EI631,IF($B$6=3,EI473+EI632)))</f>
        <v>100.1</v>
      </c>
      <c r="EJ474" s="89"/>
      <c r="EK474" s="412">
        <f t="shared" ref="EK474:EQ474" si="1738">IF($B$6=1,EK473,IF($B$6=2,EK473+EK631,IF($B$6=3,EK473+EK632)))</f>
        <v>100</v>
      </c>
      <c r="EL474" s="89"/>
      <c r="EM474" s="412">
        <f t="shared" si="1738"/>
        <v>100</v>
      </c>
      <c r="EN474" s="89"/>
      <c r="EO474" s="412">
        <f t="shared" si="1738"/>
        <v>100</v>
      </c>
      <c r="EP474" s="89"/>
      <c r="EQ474" s="412">
        <f t="shared" si="1738"/>
        <v>100</v>
      </c>
      <c r="ER474" s="89"/>
      <c r="ES474" s="415"/>
      <c r="ET474" s="493"/>
      <c r="EU474" s="415"/>
      <c r="EV474" s="416"/>
      <c r="EW474" s="414"/>
      <c r="EX474" s="416"/>
      <c r="EY474" s="414"/>
      <c r="EZ474" s="416"/>
      <c r="FA474" s="414"/>
      <c r="FB474" s="417"/>
      <c r="FC474" s="414"/>
      <c r="FD474" s="416"/>
      <c r="FE474" s="414"/>
      <c r="FF474" s="416"/>
      <c r="FG474" s="414"/>
      <c r="FH474" s="416"/>
      <c r="FI474" s="414"/>
      <c r="FJ474" s="417"/>
      <c r="FK474" s="414"/>
      <c r="FL474" s="417"/>
      <c r="FM474" s="414"/>
      <c r="FN474" s="417"/>
      <c r="FO474" s="414"/>
      <c r="FP474" s="417"/>
      <c r="FQ474" s="414"/>
      <c r="FR474" s="412"/>
      <c r="FS474" s="414"/>
      <c r="FT474" s="412"/>
      <c r="FU474" s="414"/>
      <c r="FV474" s="412"/>
      <c r="FW474" s="414"/>
      <c r="FX474" s="412"/>
      <c r="FY474" s="414"/>
      <c r="FZ474" s="412"/>
      <c r="GA474" s="414"/>
      <c r="GB474" s="412"/>
      <c r="GC474" s="414"/>
      <c r="GD474" s="412"/>
      <c r="GE474" s="414"/>
      <c r="GF474" s="412"/>
      <c r="GG474" s="414"/>
      <c r="GH474" s="412"/>
      <c r="GI474" s="414"/>
      <c r="GJ474" s="412"/>
      <c r="GK474" s="414"/>
      <c r="GL474" s="412">
        <f>IF($B$6=1,GL473,IF($B$6=2,GL473+GL631,IF($B$6=3,GL473+GL632)))</f>
        <v>400</v>
      </c>
      <c r="GM474" s="414"/>
      <c r="GN474" s="412">
        <f>IF($B$6=1,GN473,IF($B$6=2,GN473+GN631,IF($B$6=3,GN473+GN632)))</f>
        <v>425</v>
      </c>
      <c r="GO474" s="414"/>
      <c r="GP474" s="412">
        <f>IF($B$6=1,GP473,IF($B$6=2,GP473+GP631,IF($B$6=3,GP473+GP632)))</f>
        <v>425</v>
      </c>
      <c r="GQ474" s="414"/>
      <c r="GR474" s="412">
        <f>IF($B$6=1,GR473,IF($B$6=2,GR473+GR631,IF($B$6=3,GR473+GR632)))</f>
        <v>450</v>
      </c>
      <c r="GS474" s="414"/>
      <c r="GT474" s="87"/>
      <c r="GU474" s="562"/>
      <c r="GV474" s="562"/>
      <c r="GW474"/>
      <c r="GX474"/>
      <c r="GY474"/>
      <c r="GZ474"/>
      <c r="HA474"/>
      <c r="HB474"/>
      <c r="HC474" s="562"/>
      <c r="HD474" s="562"/>
      <c r="HE474" s="562"/>
      <c r="HF474" s="562"/>
      <c r="HG474" s="562"/>
      <c r="HH474" s="562"/>
      <c r="HI474" s="562"/>
      <c r="HJ474" s="562"/>
      <c r="HK474" s="562"/>
      <c r="HL474" s="562"/>
      <c r="HM474" s="562"/>
      <c r="HN474" s="562"/>
      <c r="HO474" s="562"/>
      <c r="HP474" s="562"/>
      <c r="HQ474" s="562"/>
      <c r="HR474" s="562"/>
      <c r="HS474" s="562"/>
      <c r="HT474" s="562"/>
      <c r="HU474" s="562"/>
      <c r="HV474" s="562"/>
      <c r="HW474" s="562"/>
      <c r="HX474" s="562"/>
      <c r="HY474" s="562"/>
      <c r="HZ474" s="562"/>
      <c r="IA474" s="562"/>
      <c r="IB474" s="562"/>
      <c r="IC474" s="562"/>
      <c r="ID474" s="562"/>
      <c r="IE474" s="562"/>
      <c r="IF474" s="562"/>
      <c r="IG474" s="562"/>
      <c r="IH474" s="562"/>
      <c r="II474" s="562"/>
      <c r="IJ474" s="562"/>
      <c r="IK474" s="562"/>
      <c r="IL474" s="562"/>
      <c r="IM474" s="562"/>
      <c r="IN474" s="562"/>
      <c r="IO474" s="562"/>
      <c r="IP474" s="562"/>
      <c r="IQ474" s="562"/>
      <c r="IR474" s="562"/>
      <c r="IS474" s="562"/>
      <c r="IT474" s="562"/>
      <c r="IU474" s="562"/>
      <c r="IV474" s="562"/>
      <c r="IW474" s="562"/>
      <c r="IX474" s="562"/>
      <c r="IY474" s="562"/>
      <c r="IZ474" s="562"/>
      <c r="JA474" s="562"/>
      <c r="JB474" s="562"/>
      <c r="JC474" s="562"/>
      <c r="JD474" s="562"/>
      <c r="JE474" s="562"/>
      <c r="JF474" s="562"/>
      <c r="JG474" s="562"/>
      <c r="JH474" s="562"/>
      <c r="JI474" s="562"/>
      <c r="JJ474" s="562"/>
      <c r="JK474" s="562"/>
      <c r="JL474" s="562"/>
      <c r="JM474" s="562"/>
      <c r="JN474" s="562"/>
      <c r="JO474" s="562"/>
      <c r="JP474" s="562"/>
      <c r="JQ474" s="562"/>
      <c r="JR474" s="562"/>
      <c r="JS474" s="562"/>
      <c r="JT474" s="562"/>
      <c r="JU474" s="562"/>
      <c r="JV474" s="562"/>
      <c r="JW474" s="562"/>
      <c r="JX474" s="562"/>
      <c r="JY474" s="562"/>
      <c r="JZ474" s="562"/>
    </row>
    <row r="475" spans="1:286" ht="12.75" hidden="1" customHeight="1" outlineLevel="1" x14ac:dyDescent="0.2">
      <c r="A475" s="1"/>
      <c r="B475" s="2" t="s">
        <v>510</v>
      </c>
      <c r="C475" s="3"/>
      <c r="D475" s="3"/>
      <c r="E475" s="216"/>
      <c r="F475" s="216"/>
      <c r="G475" s="216"/>
      <c r="H475" s="216"/>
      <c r="I475" s="216"/>
      <c r="J475" s="216"/>
      <c r="K475" s="216"/>
      <c r="L475" s="3"/>
      <c r="M475" s="216"/>
      <c r="N475" s="3"/>
      <c r="O475" s="216"/>
      <c r="P475" s="3"/>
      <c r="Q475" s="216"/>
      <c r="R475" s="3"/>
      <c r="S475" s="216"/>
      <c r="T475" s="3"/>
      <c r="U475" s="216"/>
      <c r="V475" s="3"/>
      <c r="W475" s="216"/>
      <c r="X475" s="3"/>
      <c r="Y475" s="216"/>
      <c r="Z475" s="3"/>
      <c r="AA475" s="351"/>
      <c r="AB475" s="3"/>
      <c r="AC475" s="216"/>
      <c r="AD475" s="3"/>
      <c r="AE475" s="216"/>
      <c r="AF475" s="3"/>
      <c r="AG475" s="216"/>
      <c r="AH475" s="3"/>
      <c r="AI475" s="216"/>
      <c r="AJ475" s="3"/>
      <c r="AK475" s="216"/>
      <c r="AL475" s="3"/>
      <c r="AM475" s="216"/>
      <c r="AN475" s="3"/>
      <c r="AO475" s="216"/>
      <c r="AP475" s="3"/>
      <c r="AQ475" s="216"/>
      <c r="AR475" s="3"/>
      <c r="AS475" s="216"/>
      <c r="AT475" s="7"/>
      <c r="AU475" s="216"/>
      <c r="AV475" s="7"/>
      <c r="AW475" s="216"/>
      <c r="AX475" s="7"/>
      <c r="AY475" s="216"/>
      <c r="AZ475" s="7"/>
      <c r="BA475" s="216"/>
      <c r="BB475" s="7"/>
      <c r="BC475" s="216"/>
      <c r="BD475" s="7"/>
      <c r="BE475" s="216"/>
      <c r="BF475" s="7"/>
      <c r="BG475" s="216"/>
      <c r="BH475" s="7"/>
      <c r="BI475" s="216">
        <f>+BI529+BI461+(BG530-BI507)-BI440-BG529</f>
        <v>-344.00489781499982</v>
      </c>
      <c r="BJ475" s="7"/>
      <c r="BK475" s="216">
        <f>+BK529+BK461+(BI530-BK507)-BK440-BI529</f>
        <v>6.5296335000002728</v>
      </c>
      <c r="BL475" s="7"/>
      <c r="BM475" s="216">
        <f>+BM529+BM461+(BK530-BM507)-BM440-BK529</f>
        <v>-341.82071505000022</v>
      </c>
      <c r="BN475" s="7"/>
      <c r="BO475" s="216">
        <f>+BO529+BO461+(BM530-BO507)-BO440-BM529</f>
        <v>8.5052835950000372</v>
      </c>
      <c r="BP475" s="7"/>
      <c r="BQ475" s="216">
        <f>+BQ529+BQ461+(BO530-BQ507)-BQ440-BO529</f>
        <v>7.9243398700000398</v>
      </c>
      <c r="BR475" s="7"/>
      <c r="BS475" s="216">
        <f>+BS529+BS461+(BQ530-BS507)-BS440-BQ529</f>
        <v>25.425745624998854</v>
      </c>
      <c r="BT475" s="7"/>
      <c r="BU475" s="216">
        <f>+BU529+BU461+(BS530-BU507)-BU440-BS529</f>
        <v>12.863152489999266</v>
      </c>
      <c r="BV475" s="7"/>
      <c r="BW475" s="216">
        <f>+BW529+BW461+(BU530-BW507)-BW440-BU529</f>
        <v>7.5933777999998711</v>
      </c>
      <c r="BX475" s="7"/>
      <c r="BY475" s="216">
        <f>+BY529+BY461+(BW530-BY507)-BY440-BW529</f>
        <v>19.115788410001187</v>
      </c>
      <c r="BZ475" s="7"/>
      <c r="CA475" s="216">
        <f>+CA529+CA461+(BY530-CA507)-CA440-BY529</f>
        <v>-124.32110707499851</v>
      </c>
      <c r="CB475" s="7"/>
      <c r="CC475" s="216">
        <f>+CC529+CC461+(CA530-CC507)-CC440-CA529</f>
        <v>-192.38680434999878</v>
      </c>
      <c r="CD475" s="7"/>
      <c r="CE475" s="216">
        <f>+CE529+CE461+(CC530-CE507)-CE440-CC529</f>
        <v>-491.54217805000189</v>
      </c>
      <c r="CF475" s="7"/>
      <c r="CG475" s="216">
        <f>+CG529+CG461+(CE530-CG507)-CG440-CE529</f>
        <v>-212.12426067749948</v>
      </c>
      <c r="CH475" s="7"/>
      <c r="CI475" s="216">
        <f>+CI529+CI461+(CG530-CI507)-CI440-CG529</f>
        <v>-141.26448583000274</v>
      </c>
      <c r="CJ475" s="7"/>
      <c r="CK475" s="216">
        <f>+CK529+CK461+(CI530-CK507)-CK440-CI529</f>
        <v>229.51315450000038</v>
      </c>
      <c r="CL475" s="7"/>
      <c r="CM475" s="216">
        <f>+CM529+CM461+(CK530-CM507)-CM440-CK529</f>
        <v>-465.12504153500049</v>
      </c>
      <c r="CN475" s="7"/>
      <c r="CO475" s="216">
        <f>+CO529+CO461+(CM530-CO507)-CO440-CM529</f>
        <v>-166.7151762200001</v>
      </c>
      <c r="CP475" s="7"/>
      <c r="CQ475" s="216">
        <f>+CQ529+CQ461+(CO530-CQ507)-CQ440-CO529</f>
        <v>-125.70723363999969</v>
      </c>
      <c r="CR475" s="7"/>
      <c r="CS475" s="216">
        <f>+CS529+CS461+(CQ530-CS507)-CS440-CQ529</f>
        <v>-96.393564930000139</v>
      </c>
      <c r="CT475" s="7"/>
      <c r="CU475" s="216">
        <f>+CU529+CU461+(CS530-CU507)-CU440-CS529</f>
        <v>-96.731999999999971</v>
      </c>
      <c r="CV475" s="7"/>
      <c r="CW475" s="216">
        <f>+CW529+CW461+(CU530-CW507)-CW440-CU529</f>
        <v>-87.494186260002607</v>
      </c>
      <c r="CX475" s="7"/>
      <c r="CY475" s="216">
        <f>+CY529+CY461+(CW530-CY507)-CY440-CW529</f>
        <v>-85.983083554998302</v>
      </c>
      <c r="CZ475" s="7"/>
      <c r="DA475" s="216">
        <f>+DA529+DA461+(CY530-DA507)-DA440-CY529</f>
        <v>-68.434752490000392</v>
      </c>
      <c r="DB475" s="7"/>
      <c r="DC475" s="216">
        <f>+DC529+DC461+(DA530-DC507)-DC440-DA529</f>
        <v>-56.299999999999272</v>
      </c>
      <c r="DD475" s="7"/>
      <c r="DE475" s="216">
        <f>+DE529+DE461+(DC530-DE507)-DE440-DC529</f>
        <v>-93.347999999998137</v>
      </c>
      <c r="DF475" s="7"/>
      <c r="DG475" s="216">
        <f>+DG529+DG461+(DE530-DG507)-DG440-DE529</f>
        <v>-70.653999999998632</v>
      </c>
      <c r="DH475" s="7"/>
      <c r="DI475" s="216">
        <f>+DI529+DI461+(DG530-DI507)-DI440-DG529</f>
        <v>-94.936500000001615</v>
      </c>
      <c r="DJ475" s="7"/>
      <c r="DK475" s="216">
        <f>+DK529+DK461+(DI530-DK507)-DK440-DI529</f>
        <v>-15.070499999997992</v>
      </c>
      <c r="DL475" s="7"/>
      <c r="DM475" s="216">
        <f>+DM529+DM461+(DK530-DM507)-DM440-DK529</f>
        <v>-99.732500000000073</v>
      </c>
      <c r="DN475" s="7"/>
      <c r="DO475" s="216">
        <f>+DO529+DO461+(DM530-DO507)-DO440-DM529</f>
        <v>-99.810999999997875</v>
      </c>
      <c r="DP475" s="7"/>
      <c r="DQ475" s="216">
        <f>+DQ529+DQ461+(DO530-DQ507)-DQ440-DO529</f>
        <v>-115.83900000000176</v>
      </c>
      <c r="DR475" s="7"/>
      <c r="DS475" s="216">
        <f>+DS529+DS461+(DQ530-DS507)-DS440-DQ529</f>
        <v>-97.651500000001761</v>
      </c>
      <c r="DT475" s="7"/>
      <c r="DU475" s="216">
        <f>+DU529+DU461+(DS530-DU507)-DU440-DS529</f>
        <v>-94.818100000000413</v>
      </c>
      <c r="DV475" s="7"/>
      <c r="DW475" s="216">
        <f>+DW529+DW461+(DU530-DW507)-DW440-DU529</f>
        <v>-95.719449999998687</v>
      </c>
      <c r="DX475" s="7"/>
      <c r="DY475" s="216">
        <f>+DY529+DY461+(DW530-DY507)-DY440-DW529</f>
        <v>-99.761499999998705</v>
      </c>
      <c r="DZ475" s="7"/>
      <c r="EA475" s="216">
        <f>+EA529+EA461+(DY530-EA507)-EA440-DY529</f>
        <v>-95.837999999999738</v>
      </c>
      <c r="EB475" s="7"/>
      <c r="EC475" s="216">
        <f>+EC529+EC461+(EA530-EC507)-EC440-EA529</f>
        <v>-100</v>
      </c>
      <c r="ED475" s="7"/>
      <c r="EE475" s="216">
        <f t="shared" ref="EE475:EI475" si="1739">+EE529+EE461+(EC530-EE507)-EE440-EC529</f>
        <v>-91.459999999999127</v>
      </c>
      <c r="EF475" s="7"/>
      <c r="EG475" s="216">
        <f t="shared" si="1739"/>
        <v>-87.488000000001193</v>
      </c>
      <c r="EH475" s="7"/>
      <c r="EI475" s="216">
        <f t="shared" si="1739"/>
        <v>-92.625000000001819</v>
      </c>
      <c r="EJ475" s="7"/>
      <c r="EK475" s="216">
        <f t="shared" ref="EK475" si="1740">+EK529+EK461+(EI530-EK507)-EK440-EI529</f>
        <v>-100</v>
      </c>
      <c r="EL475" s="7"/>
      <c r="EM475" s="216">
        <f t="shared" ref="EM475" si="1741">+EM529+EM461+(EK530-EM507)-EM440-EK529</f>
        <v>-100</v>
      </c>
      <c r="EN475" s="7"/>
      <c r="EO475" s="216">
        <f t="shared" ref="EO475" si="1742">+EO529+EO461+(EM530-EO507)-EO440-EM529</f>
        <v>-100</v>
      </c>
      <c r="EP475" s="7"/>
      <c r="EQ475" s="216">
        <f t="shared" ref="EQ475" si="1743">+EQ529+EQ461+(EO530-EQ507)-EQ440-EO529</f>
        <v>-100</v>
      </c>
      <c r="ER475" s="7"/>
      <c r="ES475" s="78"/>
      <c r="ET475" s="494"/>
      <c r="EU475" s="78"/>
      <c r="EV475" s="344"/>
      <c r="EW475" s="3"/>
      <c r="EX475" s="344"/>
      <c r="EY475" s="3"/>
      <c r="EZ475" s="344"/>
      <c r="FA475" s="3"/>
      <c r="FB475" s="352"/>
      <c r="FC475" s="3"/>
      <c r="FD475" s="352"/>
      <c r="FE475" s="3"/>
      <c r="FF475" s="216"/>
      <c r="FG475" s="3"/>
      <c r="FH475" s="216"/>
      <c r="FI475" s="3"/>
      <c r="FJ475" s="216"/>
      <c r="FK475" s="3"/>
      <c r="FL475" s="216"/>
      <c r="FM475" s="3"/>
      <c r="FN475" s="216"/>
      <c r="FO475" s="3"/>
      <c r="FP475" s="216">
        <f>+FP529+FP461+(FN530-FP507)-FP438-FN529</f>
        <v>-674.16389650000019</v>
      </c>
      <c r="FQ475" s="3"/>
      <c r="FR475" s="216">
        <f>+FR529+FR461+(FP530-FR507)-FR438-FP529</f>
        <v>60.219912805002423</v>
      </c>
      <c r="FS475" s="3"/>
      <c r="FT475" s="216">
        <f>+FT529+FT461+(FR530-FT507)-FT438-FR529</f>
        <v>-792.79929179999908</v>
      </c>
      <c r="FU475" s="3"/>
      <c r="FV475" s="216">
        <f>+FV529+FV461+(FT530-FV507)-FV440-FT529</f>
        <v>-594.17719816999943</v>
      </c>
      <c r="FW475" s="3"/>
      <c r="FX475" s="216">
        <f>+FX529+FX461+(FV530-FX507)-FX440-FV529</f>
        <v>-490.70356305000041</v>
      </c>
      <c r="FY475" s="3"/>
      <c r="FZ475" s="216">
        <f>+FZ529+FZ461+(FX530-FZ507)-FZ440-FX529</f>
        <v>-299.80000000000109</v>
      </c>
      <c r="GA475" s="3"/>
      <c r="GB475" s="216">
        <f>+GB529+GB461+(FZ530-GB507)-GB440-FZ529</f>
        <v>-275.07400000000052</v>
      </c>
      <c r="GC475" s="3"/>
      <c r="GD475" s="216">
        <f>+GD529+GD461+(GB530-GD507)-GD440-GB529</f>
        <v>-415.80599999999959</v>
      </c>
      <c r="GE475" s="3"/>
      <c r="GF475" s="216">
        <f>+GF529+GF461+(GD530-GF507)-GF440-GD529</f>
        <v>-388.9989999999998</v>
      </c>
      <c r="GG475" s="3"/>
      <c r="GH475" s="216">
        <f>+GH529+GH461+(GF530-GH507)-GH440-GF529</f>
        <v>-373.85000000000036</v>
      </c>
      <c r="GI475" s="3"/>
      <c r="GJ475" s="216">
        <f>+GJ529+GJ461+(GH530-GJ507)-GJ440-GH529</f>
        <v>-402.61261548492439</v>
      </c>
      <c r="GK475" s="3"/>
      <c r="GL475" s="216">
        <f>+GL529+GL461+(GJ530-GL507)-GL440-GJ529</f>
        <v>-400</v>
      </c>
      <c r="GM475" s="3"/>
      <c r="GN475" s="216">
        <f>+GN529+GN461+(GL530-GN507)-GN440-GL529</f>
        <v>-425</v>
      </c>
      <c r="GO475" s="3"/>
      <c r="GP475" s="216">
        <f>+GP529+GP461+(GN530-GP507)-GP440-GN529</f>
        <v>-425</v>
      </c>
      <c r="GQ475" s="3"/>
      <c r="GR475" s="216">
        <f>+GR529+GR461+(GP530-GR507)-GR440-GP529</f>
        <v>-450</v>
      </c>
      <c r="GS475" s="3"/>
      <c r="GT475" s="3"/>
    </row>
    <row r="476" spans="1:286" ht="12.75" customHeight="1" collapsed="1" x14ac:dyDescent="0.2">
      <c r="A476" s="1"/>
      <c r="B476" s="2"/>
      <c r="C476" s="79"/>
      <c r="D476" s="79"/>
      <c r="E476" s="349"/>
      <c r="F476" s="349"/>
      <c r="G476" s="349"/>
      <c r="H476" s="349"/>
      <c r="I476" s="349"/>
      <c r="J476" s="349"/>
      <c r="K476" s="349"/>
      <c r="L476" s="79"/>
      <c r="M476" s="349"/>
      <c r="N476" s="79"/>
      <c r="O476" s="349"/>
      <c r="P476" s="79"/>
      <c r="Q476" s="349"/>
      <c r="R476" s="79"/>
      <c r="S476" s="349"/>
      <c r="T476" s="79"/>
      <c r="U476" s="349"/>
      <c r="V476" s="79"/>
      <c r="W476" s="349"/>
      <c r="X476" s="79"/>
      <c r="Y476" s="349"/>
      <c r="Z476" s="79"/>
      <c r="AA476" s="333"/>
      <c r="AB476" s="79"/>
      <c r="AC476" s="349"/>
      <c r="AD476" s="79"/>
      <c r="AE476" s="349"/>
      <c r="AF476" s="79"/>
      <c r="AG476" s="349"/>
      <c r="AH476" s="79"/>
      <c r="AI476" s="349"/>
      <c r="AJ476" s="79"/>
      <c r="AK476" s="349"/>
      <c r="AL476" s="79"/>
      <c r="AM476" s="349"/>
      <c r="AN476" s="79"/>
      <c r="AO476" s="349"/>
      <c r="AP476" s="79"/>
      <c r="AQ476" s="349"/>
      <c r="AR476" s="79"/>
      <c r="AS476" s="349"/>
      <c r="AT476" s="81"/>
      <c r="AU476" s="349"/>
      <c r="AV476" s="81"/>
      <c r="AW476" s="349"/>
      <c r="AX476" s="81"/>
      <c r="AY476" s="349"/>
      <c r="AZ476" s="81"/>
      <c r="BA476" s="349"/>
      <c r="BB476" s="81"/>
      <c r="BC476" s="349"/>
      <c r="BD476" s="81"/>
      <c r="BE476" s="349"/>
      <c r="BF476" s="81"/>
      <c r="BG476" s="349"/>
      <c r="BH476" s="81"/>
      <c r="BI476" s="349"/>
      <c r="BJ476" s="81"/>
      <c r="BK476" s="349"/>
      <c r="BL476" s="81"/>
      <c r="BM476" s="349"/>
      <c r="BN476" s="81"/>
      <c r="BO476" s="349"/>
      <c r="BP476" s="81"/>
      <c r="BQ476" s="349"/>
      <c r="BR476" s="81"/>
      <c r="BS476" s="349"/>
      <c r="BT476" s="81"/>
      <c r="BU476" s="349"/>
      <c r="BV476" s="81"/>
      <c r="BW476" s="349"/>
      <c r="BX476" s="81"/>
      <c r="BY476" s="349"/>
      <c r="BZ476" s="81"/>
      <c r="CA476" s="349"/>
      <c r="CB476" s="81"/>
      <c r="CC476" s="349"/>
      <c r="CD476" s="81"/>
      <c r="CE476" s="349"/>
      <c r="CF476" s="81"/>
      <c r="CG476" s="349"/>
      <c r="CH476" s="81"/>
      <c r="CI476" s="349"/>
      <c r="CJ476" s="81"/>
      <c r="CK476" s="349"/>
      <c r="CL476" s="81"/>
      <c r="CM476" s="349"/>
      <c r="CN476" s="81"/>
      <c r="CO476" s="349"/>
      <c r="CP476" s="81"/>
      <c r="CQ476" s="349"/>
      <c r="CR476" s="81"/>
      <c r="CS476" s="349"/>
      <c r="CT476" s="81"/>
      <c r="CU476" s="349"/>
      <c r="CV476" s="81"/>
      <c r="CW476" s="349"/>
      <c r="CX476" s="81"/>
      <c r="CY476" s="349"/>
      <c r="CZ476" s="81"/>
      <c r="DA476" s="349"/>
      <c r="DB476" s="81"/>
      <c r="DC476" s="349"/>
      <c r="DD476" s="81"/>
      <c r="DE476" s="349"/>
      <c r="DF476" s="81"/>
      <c r="DG476" s="349"/>
      <c r="DH476" s="81"/>
      <c r="DI476" s="349"/>
      <c r="DJ476" s="81"/>
      <c r="DK476" s="349"/>
      <c r="DL476" s="81"/>
      <c r="DM476" s="349"/>
      <c r="DN476" s="81"/>
      <c r="DO476" s="349"/>
      <c r="DP476" s="81"/>
      <c r="DQ476" s="914"/>
      <c r="DR476" s="81"/>
      <c r="DS476" s="914"/>
      <c r="DT476" s="81"/>
      <c r="DU476" s="914"/>
      <c r="DV476" s="81"/>
      <c r="DW476" s="914"/>
      <c r="DX476" s="81"/>
      <c r="DY476" s="914"/>
      <c r="DZ476" s="81"/>
      <c r="EA476" s="914"/>
      <c r="EB476" s="81"/>
      <c r="EC476" s="914"/>
      <c r="ED476" s="81"/>
      <c r="EE476" s="914"/>
      <c r="EF476" s="81"/>
      <c r="EG476" s="914"/>
      <c r="EH476" s="81"/>
      <c r="EI476" s="914"/>
      <c r="EJ476" s="81"/>
      <c r="EK476" s="349"/>
      <c r="EL476" s="81"/>
      <c r="EM476" s="349"/>
      <c r="EN476" s="81"/>
      <c r="EO476" s="349"/>
      <c r="EP476" s="81"/>
      <c r="EQ476" s="349"/>
      <c r="ER476" s="81"/>
      <c r="ES476" s="82"/>
      <c r="ET476" s="490"/>
      <c r="EU476" s="82"/>
      <c r="EV476" s="332"/>
      <c r="EW476" s="79"/>
      <c r="EX476" s="332"/>
      <c r="EY476" s="79"/>
      <c r="EZ476" s="340"/>
      <c r="FA476" s="79"/>
      <c r="FB476" s="331"/>
      <c r="FC476" s="79"/>
      <c r="FD476" s="340"/>
      <c r="FE476" s="79"/>
      <c r="FF476" s="340"/>
      <c r="FG476" s="79"/>
      <c r="FH476" s="340"/>
      <c r="FI476" s="79"/>
      <c r="FJ476" s="340"/>
      <c r="FK476" s="79"/>
      <c r="FL476" s="353"/>
      <c r="FM476" s="79"/>
      <c r="FN476" s="353"/>
      <c r="FO476" s="79"/>
      <c r="FP476" s="353"/>
      <c r="FQ476" s="79"/>
      <c r="FR476" s="349"/>
      <c r="FS476" s="79"/>
      <c r="FT476" s="349"/>
      <c r="FU476" s="79"/>
      <c r="FV476" s="349"/>
      <c r="FW476" s="79"/>
      <c r="FX476" s="349"/>
      <c r="FY476" s="79"/>
      <c r="FZ476" s="349"/>
      <c r="GA476" s="79"/>
      <c r="GB476" s="349"/>
      <c r="GC476" s="79"/>
      <c r="GD476" s="349"/>
      <c r="GE476" s="79"/>
      <c r="GF476" s="349"/>
      <c r="GG476" s="79"/>
      <c r="GH476" s="349"/>
      <c r="GI476" s="79"/>
      <c r="GJ476" s="349"/>
      <c r="GK476" s="79"/>
      <c r="GL476" s="349"/>
      <c r="GM476" s="79"/>
      <c r="GN476" s="349"/>
      <c r="GO476" s="79"/>
      <c r="GP476" s="349"/>
      <c r="GQ476" s="79"/>
      <c r="GR476" s="349"/>
      <c r="GS476" s="79"/>
      <c r="GT476" s="79"/>
    </row>
    <row r="477" spans="1:286" ht="12.75" customHeight="1" x14ac:dyDescent="0.2">
      <c r="A477" s="1"/>
      <c r="B477" s="77" t="s">
        <v>141</v>
      </c>
      <c r="C477" s="79"/>
      <c r="D477" s="79"/>
      <c r="E477" s="349"/>
      <c r="F477" s="349"/>
      <c r="G477" s="349"/>
      <c r="H477" s="349"/>
      <c r="I477" s="349"/>
      <c r="J477" s="349"/>
      <c r="K477" s="349"/>
      <c r="L477" s="79"/>
      <c r="M477" s="349"/>
      <c r="N477" s="79"/>
      <c r="O477" s="349"/>
      <c r="P477" s="79"/>
      <c r="Q477" s="349"/>
      <c r="R477" s="79"/>
      <c r="S477" s="349"/>
      <c r="T477" s="79"/>
      <c r="U477" s="349"/>
      <c r="V477" s="79"/>
      <c r="W477" s="349"/>
      <c r="X477" s="79"/>
      <c r="Y477" s="349"/>
      <c r="Z477" s="79"/>
      <c r="AA477" s="333"/>
      <c r="AB477" s="79"/>
      <c r="AC477" s="349"/>
      <c r="AD477" s="79"/>
      <c r="AE477" s="349"/>
      <c r="AF477" s="79"/>
      <c r="AG477" s="349"/>
      <c r="AH477" s="79"/>
      <c r="AI477" s="349"/>
      <c r="AJ477" s="79"/>
      <c r="AK477" s="349"/>
      <c r="AL477" s="79"/>
      <c r="AM477" s="349"/>
      <c r="AN477" s="79"/>
      <c r="AO477" s="349"/>
      <c r="AP477" s="79"/>
      <c r="AQ477" s="349"/>
      <c r="AR477" s="79"/>
      <c r="AS477" s="349"/>
      <c r="AT477" s="81"/>
      <c r="AU477" s="349"/>
      <c r="AV477" s="81"/>
      <c r="AW477" s="349"/>
      <c r="AX477" s="81"/>
      <c r="AY477" s="349"/>
      <c r="AZ477" s="81"/>
      <c r="BA477" s="349"/>
      <c r="BB477" s="81"/>
      <c r="BC477" s="349"/>
      <c r="BD477" s="81"/>
      <c r="BE477" s="349"/>
      <c r="BF477" s="81"/>
      <c r="BG477" s="349"/>
      <c r="BH477" s="81"/>
      <c r="BI477" s="349"/>
      <c r="BJ477" s="81"/>
      <c r="BK477" s="349"/>
      <c r="BL477" s="81"/>
      <c r="BM477" s="349"/>
      <c r="BN477" s="81"/>
      <c r="BO477" s="349"/>
      <c r="BP477" s="81"/>
      <c r="BQ477" s="349"/>
      <c r="BR477" s="81"/>
      <c r="BS477" s="349"/>
      <c r="BT477" s="81"/>
      <c r="BU477" s="349"/>
      <c r="BV477" s="81"/>
      <c r="BW477" s="349"/>
      <c r="BX477" s="81"/>
      <c r="BY477" s="349"/>
      <c r="BZ477" s="81"/>
      <c r="CA477" s="349"/>
      <c r="CB477" s="81"/>
      <c r="CC477" s="349"/>
      <c r="CD477" s="81"/>
      <c r="CE477" s="349"/>
      <c r="CF477" s="81"/>
      <c r="CG477" s="349"/>
      <c r="CH477" s="81"/>
      <c r="CI477" s="349"/>
      <c r="CJ477" s="81"/>
      <c r="CK477" s="349"/>
      <c r="CL477" s="81"/>
      <c r="CM477" s="349"/>
      <c r="CN477" s="81"/>
      <c r="CO477" s="349"/>
      <c r="CP477" s="81"/>
      <c r="CQ477" s="349"/>
      <c r="CR477" s="81"/>
      <c r="CS477" s="349"/>
      <c r="CT477" s="81"/>
      <c r="CU477" s="349"/>
      <c r="CV477" s="81"/>
      <c r="CW477" s="349"/>
      <c r="CX477" s="81"/>
      <c r="CY477" s="349"/>
      <c r="CZ477" s="81"/>
      <c r="DA477" s="349"/>
      <c r="DB477" s="81"/>
      <c r="DC477" s="349"/>
      <c r="DD477" s="81"/>
      <c r="DE477" s="349"/>
      <c r="DF477" s="81"/>
      <c r="DG477" s="349"/>
      <c r="DH477" s="81"/>
      <c r="DI477" s="349"/>
      <c r="DJ477" s="81"/>
      <c r="DK477" s="349"/>
      <c r="DL477" s="81"/>
      <c r="DM477" s="349"/>
      <c r="DN477" s="81"/>
      <c r="DO477" s="349"/>
      <c r="DP477" s="81"/>
      <c r="DQ477" s="349"/>
      <c r="DR477" s="81"/>
      <c r="DS477" s="349"/>
      <c r="DT477" s="81"/>
      <c r="DU477" s="349"/>
      <c r="DV477" s="81"/>
      <c r="DW477" s="349"/>
      <c r="DX477" s="81"/>
      <c r="DY477" s="349"/>
      <c r="DZ477" s="81"/>
      <c r="EA477" s="349"/>
      <c r="EB477" s="81"/>
      <c r="EC477" s="349"/>
      <c r="ED477" s="81"/>
      <c r="EE477" s="349"/>
      <c r="EF477" s="81"/>
      <c r="EG477" s="349"/>
      <c r="EH477" s="81"/>
      <c r="EI477" s="349"/>
      <c r="EJ477" s="81"/>
      <c r="EK477" s="349"/>
      <c r="EL477" s="81"/>
      <c r="EM477" s="349"/>
      <c r="EN477" s="81"/>
      <c r="EO477" s="349"/>
      <c r="EP477" s="81"/>
      <c r="EQ477" s="349"/>
      <c r="ER477" s="81"/>
      <c r="ES477" s="82"/>
      <c r="ET477" s="490"/>
      <c r="EU477" s="82"/>
      <c r="EV477" s="332"/>
      <c r="EW477" s="79"/>
      <c r="EX477" s="332"/>
      <c r="EY477" s="79"/>
      <c r="EZ477" s="340"/>
      <c r="FA477" s="79"/>
      <c r="FB477" s="331"/>
      <c r="FC477" s="79"/>
      <c r="FD477" s="340"/>
      <c r="FE477" s="79"/>
      <c r="FF477" s="340"/>
      <c r="FG477" s="79"/>
      <c r="FH477" s="340"/>
      <c r="FI477" s="79"/>
      <c r="FJ477" s="340"/>
      <c r="FK477" s="79"/>
      <c r="FL477" s="353"/>
      <c r="FM477" s="79"/>
      <c r="FN477" s="353"/>
      <c r="FO477" s="79"/>
      <c r="FP477" s="353"/>
      <c r="FQ477" s="79"/>
      <c r="FR477" s="349"/>
      <c r="FS477" s="79"/>
      <c r="FT477" s="349"/>
      <c r="FU477" s="79"/>
      <c r="FV477" s="349"/>
      <c r="FW477" s="79"/>
      <c r="FX477" s="349"/>
      <c r="FY477" s="79"/>
      <c r="FZ477" s="349"/>
      <c r="GA477" s="79"/>
      <c r="GB477" s="349"/>
      <c r="GC477" s="79"/>
      <c r="GD477" s="349"/>
      <c r="GE477" s="79"/>
      <c r="GF477" s="349"/>
      <c r="GG477" s="79"/>
      <c r="GH477" s="349"/>
      <c r="GI477" s="79"/>
      <c r="GJ477" s="349"/>
      <c r="GK477" s="79"/>
      <c r="GL477" s="349"/>
      <c r="GM477" s="79"/>
      <c r="GN477" s="349"/>
      <c r="GO477" s="79"/>
      <c r="GP477" s="349"/>
      <c r="GQ477" s="79"/>
      <c r="GR477" s="349"/>
      <c r="GS477" s="79"/>
      <c r="GT477" s="79"/>
    </row>
    <row r="478" spans="1:286" ht="12.75" customHeight="1" x14ac:dyDescent="0.2">
      <c r="A478" s="1"/>
      <c r="B478" s="77" t="s">
        <v>142</v>
      </c>
      <c r="C478" s="79"/>
      <c r="D478" s="79"/>
      <c r="E478" s="349"/>
      <c r="F478" s="349"/>
      <c r="G478" s="349"/>
      <c r="H478" s="349"/>
      <c r="I478" s="349"/>
      <c r="J478" s="349"/>
      <c r="K478" s="349"/>
      <c r="L478" s="79"/>
      <c r="M478" s="349"/>
      <c r="N478" s="79"/>
      <c r="O478" s="349"/>
      <c r="P478" s="79"/>
      <c r="Q478" s="349"/>
      <c r="R478" s="79"/>
      <c r="S478" s="349"/>
      <c r="T478" s="79"/>
      <c r="U478" s="349"/>
      <c r="V478" s="79"/>
      <c r="W478" s="349"/>
      <c r="X478" s="79"/>
      <c r="Y478" s="349"/>
      <c r="Z478" s="79"/>
      <c r="AA478" s="333"/>
      <c r="AB478" s="79"/>
      <c r="AC478" s="349"/>
      <c r="AD478" s="79"/>
      <c r="AE478" s="349"/>
      <c r="AF478" s="79"/>
      <c r="AG478" s="349"/>
      <c r="AH478" s="79"/>
      <c r="AI478" s="349"/>
      <c r="AJ478" s="79"/>
      <c r="AK478" s="349"/>
      <c r="AL478" s="79"/>
      <c r="AM478" s="349"/>
      <c r="AN478" s="79"/>
      <c r="AO478" s="349"/>
      <c r="AP478" s="79"/>
      <c r="AQ478" s="349"/>
      <c r="AR478" s="79"/>
      <c r="AS478" s="349"/>
      <c r="AT478" s="81"/>
      <c r="AU478" s="349"/>
      <c r="AV478" s="81"/>
      <c r="AW478" s="349"/>
      <c r="AX478" s="81"/>
      <c r="AY478" s="349"/>
      <c r="AZ478" s="81"/>
      <c r="BA478" s="349"/>
      <c r="BB478" s="81"/>
      <c r="BC478" s="349"/>
      <c r="BD478" s="81"/>
      <c r="BE478" s="349"/>
      <c r="BF478" s="81"/>
      <c r="BG478" s="349"/>
      <c r="BH478" s="81"/>
      <c r="BI478" s="349"/>
      <c r="BJ478" s="81"/>
      <c r="BK478" s="349"/>
      <c r="BL478" s="81"/>
      <c r="BM478" s="349"/>
      <c r="BN478" s="81"/>
      <c r="BO478" s="349"/>
      <c r="BP478" s="81"/>
      <c r="BQ478" s="349"/>
      <c r="BR478" s="81"/>
      <c r="BS478" s="349"/>
      <c r="BT478" s="81"/>
      <c r="BU478" s="349"/>
      <c r="BV478" s="81"/>
      <c r="BW478" s="349"/>
      <c r="BX478" s="81"/>
      <c r="BY478" s="349"/>
      <c r="BZ478" s="81"/>
      <c r="CA478" s="349"/>
      <c r="CB478" s="81"/>
      <c r="CC478" s="349"/>
      <c r="CD478" s="81"/>
      <c r="CE478" s="349"/>
      <c r="CF478" s="81"/>
      <c r="CG478" s="349"/>
      <c r="CH478" s="81"/>
      <c r="CI478" s="349"/>
      <c r="CJ478" s="81"/>
      <c r="CK478" s="349"/>
      <c r="CL478" s="81"/>
      <c r="CM478" s="349"/>
      <c r="CN478" s="81"/>
      <c r="CO478" s="349"/>
      <c r="CP478" s="81"/>
      <c r="CQ478" s="349"/>
      <c r="CR478" s="81"/>
      <c r="CS478" s="349"/>
      <c r="CT478" s="81"/>
      <c r="CU478" s="349"/>
      <c r="CV478" s="81"/>
      <c r="CW478" s="349"/>
      <c r="CX478" s="81"/>
      <c r="CY478" s="349"/>
      <c r="CZ478" s="81"/>
      <c r="DA478" s="349"/>
      <c r="DB478" s="81"/>
      <c r="DC478" s="349"/>
      <c r="DD478" s="81"/>
      <c r="DE478" s="349"/>
      <c r="DF478" s="81"/>
      <c r="DG478" s="349"/>
      <c r="DH478" s="81"/>
      <c r="DI478" s="349"/>
      <c r="DJ478" s="81"/>
      <c r="DK478" s="349"/>
      <c r="DL478" s="81"/>
      <c r="DM478" s="349"/>
      <c r="DN478" s="81"/>
      <c r="DO478" s="349"/>
      <c r="DP478" s="81"/>
      <c r="DQ478" s="349"/>
      <c r="DR478" s="81"/>
      <c r="DS478" s="349"/>
      <c r="DT478" s="81"/>
      <c r="DU478" s="349"/>
      <c r="DV478" s="81"/>
      <c r="DW478" s="349"/>
      <c r="DX478" s="81"/>
      <c r="DY478" s="349"/>
      <c r="DZ478" s="81"/>
      <c r="EA478" s="349"/>
      <c r="EB478" s="81"/>
      <c r="EC478" s="349"/>
      <c r="ED478" s="81"/>
      <c r="EE478" s="349"/>
      <c r="EF478" s="81"/>
      <c r="EG478" s="349"/>
      <c r="EH478" s="81"/>
      <c r="EI478" s="349"/>
      <c r="EJ478" s="81"/>
      <c r="EK478" s="349"/>
      <c r="EL478" s="81"/>
      <c r="EM478" s="349"/>
      <c r="EN478" s="81"/>
      <c r="EO478" s="349"/>
      <c r="EP478" s="81"/>
      <c r="EQ478" s="349"/>
      <c r="ER478" s="81"/>
      <c r="ES478" s="82"/>
      <c r="ET478" s="490"/>
      <c r="EU478" s="82"/>
      <c r="EV478" s="332"/>
      <c r="EW478" s="79"/>
      <c r="EX478" s="332"/>
      <c r="EY478" s="79"/>
      <c r="EZ478" s="340"/>
      <c r="FA478" s="79"/>
      <c r="FB478" s="331"/>
      <c r="FC478" s="79"/>
      <c r="FD478" s="340"/>
      <c r="FE478" s="79"/>
      <c r="FF478" s="340"/>
      <c r="FG478" s="79"/>
      <c r="FH478" s="340"/>
      <c r="FI478" s="79"/>
      <c r="FJ478" s="340"/>
      <c r="FK478" s="79"/>
      <c r="FL478" s="353"/>
      <c r="FM478" s="79"/>
      <c r="FN478" s="353"/>
      <c r="FO478" s="79"/>
      <c r="FP478" s="353"/>
      <c r="FQ478" s="79"/>
      <c r="FR478" s="349"/>
      <c r="FS478" s="79"/>
      <c r="FT478" s="349"/>
      <c r="FU478" s="79"/>
      <c r="FV478" s="349"/>
      <c r="FW478" s="79"/>
      <c r="FX478" s="349"/>
      <c r="FY478" s="79"/>
      <c r="FZ478" s="349"/>
      <c r="GA478" s="79"/>
      <c r="GB478" s="349"/>
      <c r="GC478" s="79"/>
      <c r="GD478" s="349"/>
      <c r="GE478" s="79"/>
      <c r="GF478" s="349"/>
      <c r="GG478" s="79"/>
      <c r="GH478" s="349"/>
      <c r="GI478" s="79"/>
      <c r="GJ478" s="349"/>
      <c r="GK478" s="79"/>
      <c r="GL478" s="349"/>
      <c r="GM478" s="79"/>
      <c r="GN478" s="349"/>
      <c r="GO478" s="79"/>
      <c r="GP478" s="349"/>
      <c r="GQ478" s="79"/>
      <c r="GR478" s="349"/>
      <c r="GS478" s="79"/>
      <c r="GT478" s="79"/>
    </row>
    <row r="479" spans="1:286" ht="12.75" customHeight="1" x14ac:dyDescent="0.2">
      <c r="A479" s="1"/>
      <c r="B479" s="1" t="s">
        <v>143</v>
      </c>
      <c r="C479" s="79"/>
      <c r="D479" s="79"/>
      <c r="E479" s="216">
        <f>(E473+E461)/E416*100</f>
        <v>19.623729373632386</v>
      </c>
      <c r="F479" s="79"/>
      <c r="G479" s="216">
        <f>(G473+G461)/G416*100</f>
        <v>24.60104358339029</v>
      </c>
      <c r="H479" s="79"/>
      <c r="I479" s="216">
        <f>(I473+I461)/I416*100</f>
        <v>32.989273261467879</v>
      </c>
      <c r="J479" s="79"/>
      <c r="K479" s="216">
        <f>(K473+K461)/K416*100</f>
        <v>24.264812199324322</v>
      </c>
      <c r="L479" s="79"/>
      <c r="M479" s="216">
        <f>(M473+M461)/M416*100</f>
        <v>24.494990767006804</v>
      </c>
      <c r="N479" s="79">
        <f>IF(ISERROR((M479/E479-1)*100),"NA",IF(((M479/E479-1)*100)&gt;100,"NM",IF(((M479/E479-1)*100)&lt;-50,"NM",(M479/E479-1)*100)))</f>
        <v>24.823321299567723</v>
      </c>
      <c r="O479" s="216">
        <f>(O473+O461)/O416*100</f>
        <v>24.019042277889106</v>
      </c>
      <c r="P479" s="79">
        <f>IF(ISERROR((O479/G479-1)*100),"NA",IF(((O479/G479-1)*100)&gt;100,"NM",IF(((O479/G479-1)*100)&lt;-50,"NM",(O479/G479-1)*100)))</f>
        <v>-2.3657586050297885</v>
      </c>
      <c r="Q479" s="216">
        <f>(Q473+Q461)/Q416*100</f>
        <v>23.728948300132803</v>
      </c>
      <c r="R479" s="79">
        <f>IF(ISERROR((Q479/I479-1)*100),"NA",IF(((Q479/I479-1)*100)&gt;100,"NM",IF(((Q479/I479-1)*100)&lt;-50,"NM",(Q479/I479-1)*100)))</f>
        <v>-28.070715253225409</v>
      </c>
      <c r="S479" s="216">
        <f>(S473+S461)/S416*100</f>
        <v>23.604791653998682</v>
      </c>
      <c r="T479" s="79">
        <f>IF(ISERROR((S479/K479-1)*100),"NA",IF(((S479/K479-1)*100)&gt;100,"NM",IF(((S479/K479-1)*100)&lt;-50,"NM",(S479/K479-1)*100)))</f>
        <v>-2.7200727535159674</v>
      </c>
      <c r="U479" s="216">
        <f>(U473+U461)/U416*100</f>
        <v>-9.3699345527404034</v>
      </c>
      <c r="V479" s="79" t="str">
        <f>IF(ISERROR((U479/M479-1)*100),"NA",IF(((U479/M479-1)*100)&gt;100,"NM",IF(((U479/M479-1)*100)&lt;-50,"NM",(U479/M479-1)*100)))</f>
        <v>NM</v>
      </c>
      <c r="W479" s="216">
        <f>(W473+W461)/W416*100</f>
        <v>18.431796880610417</v>
      </c>
      <c r="X479" s="79">
        <f>IF(ISERROR((W479/O479-1)*100),"NA",IF(((W479/O479-1)*100)&gt;100,"NM",IF(((W479/O479-1)*100)&lt;-50,"NM",(W479/O479-1)*100)))</f>
        <v>-23.26173263961514</v>
      </c>
      <c r="Y479" s="216">
        <f>(Y473+Y461)/Y416*100</f>
        <v>19.514852221254305</v>
      </c>
      <c r="Z479" s="79">
        <f>IF(ISERROR((Y479/Q479-1)*100),"NA",IF(((Y479/Q479-1)*100)&gt;100,"NM",IF(((Y479/Q479-1)*100)&lt;-50,"NM",(Y479/Q479-1)*100)))</f>
        <v>-17.759304060074644</v>
      </c>
      <c r="AA479" s="351">
        <f>(AA473+AA461)/AA416*100</f>
        <v>-12.010690209125482</v>
      </c>
      <c r="AB479" s="79" t="str">
        <f>IF(ISERROR((AA479/S479-1)*100),"NA",IF(((AA479/S479-1)*100)&gt;100,"NM",IF(((AA479/S479-1)*100)&lt;-50,"NM",(AA479/S479-1)*100)))</f>
        <v>NM</v>
      </c>
      <c r="AC479" s="216">
        <f>(AC473+AC461)/AC416*100</f>
        <v>-3.7799816888774993</v>
      </c>
      <c r="AD479" s="79" t="str">
        <f>IF(ISERROR((AC479/U479-1)*100),"NA",IF(((AC479/U479-1)*100)&gt;100,"NM",IF(((AC479/U479-1)*100)&lt;-50,"NM",(AC479/U479-1)*100)))</f>
        <v>NM</v>
      </c>
      <c r="AE479" s="216">
        <f>(AE473+AE461)/AE416*100</f>
        <v>17.273388311688283</v>
      </c>
      <c r="AF479" s="79">
        <f>IF(ISERROR((AE479/W479-1)*100),"NA",IF(((AE479/W479-1)*100)&gt;100,"NM",IF(((AE479/W479-1)*100)&lt;-50,"NM",(AE479/W479-1)*100)))</f>
        <v>-6.2848379700881862</v>
      </c>
      <c r="AG479" s="216">
        <f>(AG473+AG461)/AG416*100</f>
        <v>18.011661156371119</v>
      </c>
      <c r="AH479" s="79">
        <f>IF(ISERROR((AG479/Y479-1)*100),"NA",IF(((AG479/Y479-1)*100)&gt;100,"NM",IF(((AG479/Y479-1)*100)&lt;-50,"NM",(AG479/Y479-1)*100)))</f>
        <v>-7.702805267702761</v>
      </c>
      <c r="AI479" s="216">
        <f>(AI473+AI461)/AI416*100</f>
        <v>19.363286986418355</v>
      </c>
      <c r="AJ479" s="79" t="str">
        <f>IF(ISERROR((AI479/AA479-1)*100),"NA",IF(((AI479/AA479-1)*100)&gt;100,"NM",IF(((AI479/AA479-1)*100)&lt;-50,"NM",(AI479/AA479-1)*100)))</f>
        <v>NM</v>
      </c>
      <c r="AK479" s="216">
        <f>(AK473+AK461)/AK416*100</f>
        <v>14.951920868438059</v>
      </c>
      <c r="AL479" s="79" t="str">
        <f>IF(ISERROR((AK479/AC479-1)*100),"NA",IF(((AK479/AC479-1)*100)&gt;100,"NM",IF(((AK479/AC479-1)*100)&lt;-50,"NM",(AK479/AC479-1)*100)))</f>
        <v>NM</v>
      </c>
      <c r="AM479" s="216">
        <f>(AM473+AM461)/AM416*100</f>
        <v>18.013303962704001</v>
      </c>
      <c r="AN479" s="79">
        <f>IF(ISERROR((AM479/AE479-1)*100),"NA",IF(((AM479/AE479-1)*100)&gt;100,"NM",IF(((AM479/AE479-1)*100)&lt;-50,"NM",(AM479/AE479-1)*100)))</f>
        <v>4.2835582554179297</v>
      </c>
      <c r="AO479" s="216">
        <f>(AO473+AO461)/AO416*100</f>
        <v>17.390279734708926</v>
      </c>
      <c r="AP479" s="79">
        <f>IF(ISERROR((AO479/AG479-1)*100),"NA",IF(((AO479/AG479-1)*100)&gt;100,"NM",IF(((AO479/AG479-1)*100)&lt;-50,"NM",(AO479/AG479-1)*100)))</f>
        <v>-3.4498840293939015</v>
      </c>
      <c r="AQ479" s="216">
        <f>(AQ473+AQ461)/AQ416*100</f>
        <v>17.930312846961748</v>
      </c>
      <c r="AR479" s="79">
        <f>IF(ISERROR((AQ479/AI479-1)*100),"NA",IF(((AQ479/AI479-1)*100)&gt;100,"NM",IF(((AQ479/AI479-1)*100)&lt;-50,"NM",(AQ479/AI479-1)*100)))</f>
        <v>-7.4004694578028722</v>
      </c>
      <c r="AS479" s="216">
        <f>(AS473+AS461)/AS416*100</f>
        <v>18.011091265965458</v>
      </c>
      <c r="AT479" s="81">
        <f>IF(ISERROR((AS479/AK479-1)*100),"NA",IF(((AS479/AK479-1)*100)&gt;100,"NM",IF(((AS479/AK479-1)*100)&lt;-50,"NM",(AS479/AK479-1)*100)))</f>
        <v>20.460049410674628</v>
      </c>
      <c r="AU479" s="216">
        <f>(AU473+AU461)/AU416*100</f>
        <v>17.626895490489456</v>
      </c>
      <c r="AV479" s="81">
        <f>IF(ISERROR((AU479/AM479-1)*100),"NA",IF(((AU479/AM479-1)*100)&gt;100,"NM",IF(((AU479/AM479-1)*100)&lt;-50,"NM",(AU479/AM479-1)*100)))</f>
        <v>-2.1451282508449965</v>
      </c>
      <c r="AW479" s="216">
        <f>(AW473+AW461)/AW416*100</f>
        <v>16.233083692451146</v>
      </c>
      <c r="AX479" s="81">
        <f>IF(ISERROR((AW479/AO479-1)*100),"NA",IF(((AW479/AO479-1)*100)&gt;100,"NM",IF(((AW479/AO479-1)*100)&lt;-50,"NM",(AW479/AO479-1)*100)))</f>
        <v>-6.6542692809486876</v>
      </c>
      <c r="AY479" s="216">
        <f>(AY473+AY461)/AY416*100</f>
        <v>14.413007994994429</v>
      </c>
      <c r="AZ479" s="81">
        <f>IF(ISERROR((AY479/AQ479-1)*100),"NA",IF(((AY479/AQ479-1)*100)&gt;100,"NM",IF(((AY479/AQ479-1)*100)&lt;-50,"NM",(AY479/AQ479-1)*100)))</f>
        <v>-19.616528066119709</v>
      </c>
      <c r="BA479" s="216">
        <f>(BA473+BA461)/BA416*100</f>
        <v>14.878877104811</v>
      </c>
      <c r="BB479" s="81">
        <f>IF(ISERROR((BA479/AS479-1)*100),"NA",IF(((BA479/AS479-1)*100)&gt;100,"NM",IF(((BA479/AS479-1)*100)&lt;-50,"NM",(BA479/AS479-1)*100)))</f>
        <v>-17.390474096776277</v>
      </c>
      <c r="BC479" s="216">
        <f>(BC473+BC461)/BC416*100</f>
        <v>14.66270041322314</v>
      </c>
      <c r="BD479" s="81">
        <f>IF(ISERROR((BC479/AU479-1)*100),"NA",IF(((BC479/AU479-1)*100)&gt;100,"NM",IF(((BC479/AU479-1)*100)&lt;-50,"NM",(BC479/AU479-1)*100)))</f>
        <v>-16.81631957746411</v>
      </c>
      <c r="BE479" s="216">
        <f>(BE473+BE461)/BE416*100</f>
        <v>12.479471023513149</v>
      </c>
      <c r="BF479" s="81">
        <f>IF(ISERROR((BE479/AW479-1)*100),"NA",IF(((BE479/AW479-1)*100)&gt;100,"NM",IF(((BE479/AW479-1)*100)&lt;-50,"NM",(BE479/AW479-1)*100)))</f>
        <v>-23.123226246184736</v>
      </c>
      <c r="BG479" s="216">
        <f>(BG473+BG461)/BG416*100</f>
        <v>12.695012329892064</v>
      </c>
      <c r="BH479" s="81">
        <f>IF(ISERROR((BG479/AY479-1)*100),"NA",IF(((BG479/AY479-1)*100)&gt;100,"NM",IF(((BG479/AY479-1)*100)&lt;-50,"NM",(BG479/AY479-1)*100)))</f>
        <v>-11.919757941569287</v>
      </c>
      <c r="BI479" s="216">
        <f>(BI473+BI461)/BI416*100</f>
        <v>181.11642761068336</v>
      </c>
      <c r="BJ479" s="81" t="str">
        <f>IF(ISERROR((BI479/BA479-1)*100),"NA",IF(((BI479/BA479-1)*100)&gt;100,"NM",IF(((BI479/BA479-1)*100)&lt;-50,"NM",(BI479/BA479-1)*100)))</f>
        <v>NM</v>
      </c>
      <c r="BK479" s="216">
        <f>(BK473+BK461)/BK416*100</f>
        <v>11.627534274193561</v>
      </c>
      <c r="BL479" s="81">
        <f>IF(ISERROR((BK479/BC479-1)*100),"NA",IF(((BK479/BC479-1)*100)&gt;100,"NM",IF(((BK479/BC479-1)*100)&lt;-50,"NM",(BK479/BC479-1)*100)))</f>
        <v>-20.699912386482378</v>
      </c>
      <c r="BM479" s="216">
        <f>(BM473+BM461)/BM416*100</f>
        <v>11.684397302904573</v>
      </c>
      <c r="BN479" s="81">
        <f>IF(ISERROR((BM479/BE479-1)*100),"NA",IF(((BM479/BE479-1)*100)&gt;100,"NM",IF(((BM479/BE479-1)*100)&lt;-50,"NM",(BM479/BE479-1)*100)))</f>
        <v>-6.3710530607470561</v>
      </c>
      <c r="BO479" s="216">
        <f>(BO473+BO461)/BO416*100</f>
        <v>178.99885879894921</v>
      </c>
      <c r="BP479" s="81" t="str">
        <f>IF(ISERROR((BO479/BG479-1)*100),"NA",IF(((BO479/BG479-1)*100)&gt;100,"NM",IF(((BO479/BG479-1)*100)&lt;-50,"NM",(BO479/BG479-1)*100)))</f>
        <v>NM</v>
      </c>
      <c r="BQ479" s="216">
        <f>(BQ473+BQ461)/BQ416*100</f>
        <v>12.008872060957914</v>
      </c>
      <c r="BR479" s="81" t="str">
        <f>IF(ISERROR((BQ479/BI479-1)*100),"NA",IF(((BQ479/BI479-1)*100)&gt;100,"NM",IF(((BQ479/BI479-1)*100)&lt;-50,"NM",(BQ479/BI479-1)*100)))</f>
        <v>NM</v>
      </c>
      <c r="BS479" s="216">
        <f>(BS473+BS461)/BS416*100</f>
        <v>11.536905410101935</v>
      </c>
      <c r="BT479" s="81">
        <f>IF(ISERROR((BS479/BK479-1)*100),"NA",IF(((BS479/BK479-1)*100)&gt;100,"NM",IF(((BS479/BK479-1)*100)&lt;-50,"NM",(BS479/BK479-1)*100)))</f>
        <v>-0.77943321390820941</v>
      </c>
      <c r="BU479" s="216">
        <f>(BU473+BU461)/BU416*100</f>
        <v>12.968491120037818</v>
      </c>
      <c r="BV479" s="81">
        <f>IF(ISERROR((BU479/BM479-1)*100),"NA",IF(((BU479/BM479-1)*100)&gt;100,"NM",IF(((BU479/BM479-1)*100)&lt;-50,"NM",(BU479/BM479-1)*100)))</f>
        <v>10.989816452184819</v>
      </c>
      <c r="BW479" s="216">
        <f>(BW473+BW461)/BW416*100</f>
        <v>12.584688318827315</v>
      </c>
      <c r="BX479" s="81" t="str">
        <f>IF(ISERROR((BW479/BO479-1)*100),"NA",IF(((BW479/BO479-1)*100)&gt;100,"NM",IF(((BW479/BO479-1)*100)&lt;-50,"NM",(BW479/BO479-1)*100)))</f>
        <v>NM</v>
      </c>
      <c r="BY479" s="216">
        <f>(BY473+BY461)/BY416*100</f>
        <v>12.142889854368931</v>
      </c>
      <c r="BZ479" s="81">
        <f>IF(ISERROR((BY479/BQ479-1)*100),"NA",IF(((BY479/BQ479-1)*100)&gt;100,"NM",IF(((BY479/BQ479-1)*100)&lt;-50,"NM",(BY479/BQ479-1)*100)))</f>
        <v>1.1159898509263133</v>
      </c>
      <c r="CA479" s="216">
        <f>(CA473+CA461)/CA416*100</f>
        <v>67.646835666666689</v>
      </c>
      <c r="CB479" s="81" t="str">
        <f>IF(ISERROR((CA479/BS479-1)*100),"NA",IF(((CA479/BS479-1)*100)&gt;100,"NM",IF(((CA479/BS479-1)*100)&lt;-50,"NM",(CA479/BS479-1)*100)))</f>
        <v>NM</v>
      </c>
      <c r="CC479" s="216">
        <f>(CC473+CC461)/CC416*100</f>
        <v>101.97635273175096</v>
      </c>
      <c r="CD479" s="81" t="str">
        <f>IF(ISERROR((CC479/BU479-1)*100),"NA",IF(((CC479/BU479-1)*100)&gt;100,"NM",IF(((CC479/BU479-1)*100)&lt;-50,"NM",(CC479/BU479-1)*100)))</f>
        <v>NM</v>
      </c>
      <c r="CE479" s="216">
        <f>(CE473+CE461)/CE416*100</f>
        <v>27.299963235986773</v>
      </c>
      <c r="CF479" s="81" t="str">
        <f>IF(ISERROR((CE479/BW479-1)*100),"NA",IF(((CE479/BW479-1)*100)&gt;100,"NM",IF(((CE479/BW479-1)*100)&lt;-50,"NM",(CE479/BW479-1)*100)))</f>
        <v>NM</v>
      </c>
      <c r="CG479" s="216">
        <f>(CG473+CG461)/CG416*100</f>
        <v>115.32439037996353</v>
      </c>
      <c r="CH479" s="81" t="str">
        <f>IF(ISERROR((CG479/BY479-1)*100),"NA",IF(((CG479/BY479-1)*100)&gt;100,"NM",IF(((CG479/BY479-1)*100)&lt;-50,"NM",(CG479/BY479-1)*100)))</f>
        <v>NM</v>
      </c>
      <c r="CI479" s="216">
        <f>(CI473+CI461)/CI416*100</f>
        <v>74.270431561702082</v>
      </c>
      <c r="CJ479" s="81">
        <f>IF(ISERROR((CI479/CA479-1)*100),"NA",IF(((CI479/CA479-1)*100)&gt;100,"NM",IF(((CI479/CA479-1)*100)&lt;-50,"NM",(CI479/CA479-1)*100)))</f>
        <v>9.7914349278265043</v>
      </c>
      <c r="CK479" s="216">
        <f>(CK473+CK461)/CK416*100</f>
        <v>126.22732160466157</v>
      </c>
      <c r="CL479" s="81">
        <f>IF(ISERROR((CK479/CC479-1)*100),"NA",IF(((CK479/CC479-1)*100)&gt;100,"NM",IF(((CK479/CC479-1)*100)&lt;-50,"NM",(CK479/CC479-1)*100)))</f>
        <v>23.780972964097693</v>
      </c>
      <c r="CM479" s="216">
        <f>(CM473+CM461)/CM416*100</f>
        <v>-8.6452287672904742</v>
      </c>
      <c r="CN479" s="81" t="str">
        <f>IF(ISERROR((CM479/CE479-1)*100),"NA",IF(((CM479/CE479-1)*100)&gt;100,"NM",IF(((CM479/CE479-1)*100)&lt;-50,"NM",(CM479/CE479-1)*100)))</f>
        <v>NM</v>
      </c>
      <c r="CO479" s="216">
        <f>(CO473+CO461)/CO416*100</f>
        <v>96.521962373358377</v>
      </c>
      <c r="CP479" s="81">
        <f>IF(ISERROR((CO479/CG479-1)*100),"NA",IF(((CO479/CG479-1)*100)&gt;100,"NM",IF(((CO479/CG479-1)*100)&lt;-50,"NM",(CO479/CG479-1)*100)))</f>
        <v>-16.303947451754219</v>
      </c>
      <c r="CQ479" s="216">
        <f>(CQ473+CQ461)/CQ416*100</f>
        <v>68.749563408788319</v>
      </c>
      <c r="CR479" s="81">
        <f>IF(ISERROR((CQ479/CI479-1)*100),"NA",IF(((CQ479/CI479-1)*100)&gt;100,"NM",IF(((CQ479/CI479-1)*100)&lt;-50,"NM",(CQ479/CI479-1)*100)))</f>
        <v>-7.4334671777518295</v>
      </c>
      <c r="CS479" s="216">
        <f>(CS473+CS461)/CS416*100</f>
        <v>60.895729941964284</v>
      </c>
      <c r="CT479" s="81" t="str">
        <f>IF(ISERROR((CS479/CK479-1)*100),"NA",IF(((CS479/CK479-1)*100)&gt;100,"NM",IF(((CS479/CK479-1)*100)&lt;-50,"NM",(CS479/CK479-1)*100)))</f>
        <v>NM</v>
      </c>
      <c r="CU479" s="216">
        <f>(CU473+CU461)/CU416*100</f>
        <v>60.296888888888908</v>
      </c>
      <c r="CV479" s="81" t="str">
        <f>IF(ISERROR((CU479/CM479-1)*100),"NA",IF(((CU479/CM479-1)*100)&gt;100,"NM",IF(((CU479/CM479-1)*100)&lt;-50,"NM",(CU479/CM479-1)*100)))</f>
        <v>NM</v>
      </c>
      <c r="CW479" s="216">
        <f>(CW473+CW461)/CW416*100</f>
        <v>60.980636455101042</v>
      </c>
      <c r="CX479" s="81">
        <f>IF(ISERROR((CW479/CO479-1)*100),"NA",IF(((CW479/CO479-1)*100)&gt;100,"NM",IF(((CW479/CO479-1)*100)&lt;-50,"NM",(CW479/CO479-1)*100)))</f>
        <v>-36.822009255032839</v>
      </c>
      <c r="CY479" s="216">
        <f>(CY473+CY461)/CY416*100</f>
        <v>63.092596778601219</v>
      </c>
      <c r="CZ479" s="81">
        <f>IF(ISERROR((CY479/CQ479-1)*100),"NA",IF(((CY479/CQ479-1)*100)&gt;100,"NM",IF(((CY479/CQ479-1)*100)&lt;-50,"NM",(CY479/CQ479-1)*100)))</f>
        <v>-8.2283673520230138</v>
      </c>
      <c r="DA479" s="216">
        <f>(DA473+DA461)/DA416*100</f>
        <v>50.931970898014434</v>
      </c>
      <c r="DB479" s="81">
        <f>IF(ISERROR((DA479/CS479-1)*100),"NA",IF(((DA479/CS479-1)*100)&gt;100,"NM",IF(((DA479/CS479-1)*100)&lt;-50,"NM",(DA479/CS479-1)*100)))</f>
        <v>-16.361999525164826</v>
      </c>
      <c r="DC479" s="216">
        <f>(DC473+DC461)/DC416*100</f>
        <v>40.970601959869349</v>
      </c>
      <c r="DD479" s="81">
        <f>IF(ISERROR((DC479/CU479-1)*100),"NA",IF(((DC479/CU479-1)*100)&gt;100,"NM",IF(((DC479/CU479-1)*100)&lt;-50,"NM",(DC479/CU479-1)*100)))</f>
        <v>-32.051880760602344</v>
      </c>
      <c r="DE479" s="216">
        <f>(DE473+DE461)/DE416*100</f>
        <v>61.748427672956041</v>
      </c>
      <c r="DF479" s="81">
        <f>IF(ISERROR((DE479/CW479-1)*100),"NA",IF(((DE479/CW479-1)*100)&gt;100,"NM",IF(((DE479/CW479-1)*100)&lt;-50,"NM",(DE479/CW479-1)*100)))</f>
        <v>1.2590738019277792</v>
      </c>
      <c r="DG479" s="216">
        <f>(DG473+DG461)/DG416*100</f>
        <v>61.882512426570258</v>
      </c>
      <c r="DH479" s="81">
        <f>IF(ISERROR((DG479/CY479-1)*100),"NA",IF(((DG479/CY479-1)*100)&gt;100,"NM",IF(((DG479/CY479-1)*100)&lt;-50,"NM",(DG479/CY479-1)*100)))</f>
        <v>-1.9179498290065267</v>
      </c>
      <c r="DI479" s="216">
        <f>(DI473+DI461)/DI416*100</f>
        <v>64.61136467366498</v>
      </c>
      <c r="DJ479" s="81">
        <f>IF(ISERROR((DI479/DA479-1)*100),"NA",IF(((DI479/DA479-1)*100)&gt;100,"NM",IF(((DI479/DA479-1)*100)&lt;-50,"NM",(DI479/DA479-1)*100)))</f>
        <v>26.858166951838559</v>
      </c>
      <c r="DK479" s="216">
        <f>(DK473+DK461)/DK416*100</f>
        <v>-18.170886075949369</v>
      </c>
      <c r="DL479" s="81" t="str">
        <f>IF(ISERROR((DK479/DC479-1)*100),"NA",IF(((DK479/DC479-1)*100)&gt;100,"NM",IF(((DK479/DC479-1)*100)&lt;-50,"NM",(DK479/DC479-1)*100)))</f>
        <v>NM</v>
      </c>
      <c r="DM479" s="216">
        <f>(DM473+DM461)/DM416*100</f>
        <v>66.966128308658568</v>
      </c>
      <c r="DN479" s="81">
        <f>IF(ISERROR((DM479/DE479-1)*100),"NA",IF(((DM479/DE479-1)*100)&gt;100,"NM",IF(((DM479/DE479-1)*100)&lt;-50,"NM",(DM479/DE479-1)*100)))</f>
        <v>8.4499327874995025</v>
      </c>
      <c r="DO479" s="216">
        <f>(DO473+DO461)/DO416*100</f>
        <v>65.180870353581156</v>
      </c>
      <c r="DP479" s="81">
        <f>IF(ISERROR((DO479/DG479-1)*100),"NA",IF(((DO479/DG479-1)*100)&gt;100,"NM",IF(((DO479/DG479-1)*100)&lt;-50,"NM",(DO479/DG479-1)*100)))</f>
        <v>5.3300323430221619</v>
      </c>
      <c r="DQ479" s="216">
        <f>(DQ473+DQ461)/DQ416*100</f>
        <v>70.17684305744001</v>
      </c>
      <c r="DR479" s="81">
        <f>IF(ISERROR((DQ479/DI479-1)*100),"NA",IF(((DQ479/DI479-1)*100)&gt;100,"NM",IF(((DQ479/DI479-1)*100)&lt;-50,"NM",(DQ479/DI479-1)*100)))</f>
        <v>8.6137762480096072</v>
      </c>
      <c r="DS479" s="216">
        <f>(DS473+DS461)/DS416*100</f>
        <v>61.351049868766424</v>
      </c>
      <c r="DT479" s="81" t="str">
        <f>IF(ISERROR((DS479/DK479-1)*100),"NA",IF(((DS479/DK479-1)*100)&gt;100,"NM",IF(((DS479/DK479-1)*100)&lt;-50,"NM",(DS479/DK479-1)*100)))</f>
        <v>NM</v>
      </c>
      <c r="DU479" s="216">
        <f>(DU473+DU461)/DU416*100</f>
        <v>64.22029438001789</v>
      </c>
      <c r="DV479" s="81">
        <f>IF(ISERROR((DU479/DM479-1)*100),"NA",IF(((DU479/DM479-1)*100)&gt;100,"NM",IF(((DU479/DM479-1)*100)&lt;-50,"NM",(DU479/DM479-1)*100)))</f>
        <v>-4.1003325083759474</v>
      </c>
      <c r="DW479" s="216">
        <f>(DW473+DW461)/DW416*100</f>
        <v>61.579635193133065</v>
      </c>
      <c r="DX479" s="81">
        <f>IF(ISERROR((DW479/DO479-1)*100),"NA",IF(((DW479/DO479-1)*100)&gt;100,"NM",IF(((DW479/DO479-1)*100)&lt;-50,"NM",(DW479/DO479-1)*100)))</f>
        <v>-5.5249878390895564</v>
      </c>
      <c r="DY479" s="216">
        <f>(DY473+DY461)/DY416*100</f>
        <v>62.587888062964524</v>
      </c>
      <c r="DZ479" s="81">
        <f>IF(ISERROR((DY479/DQ479-1)*100),"NA",IF(((DY479/DQ479-1)*100)&gt;100,"NM",IF(((DY479/DQ479-1)*100)&lt;-50,"NM",(DY479/DQ479-1)*100)))</f>
        <v>-10.814044439508198</v>
      </c>
      <c r="EA479" s="216">
        <f>(EA473+EA461)/EA416*100</f>
        <v>63.849368741837196</v>
      </c>
      <c r="EB479" s="81">
        <f>IF(ISERROR((EA479/DS479-1)*100),"NA",IF(((EA479/DS479-1)*100)&gt;100,"NM",IF(((EA479/DS479-1)*100)&lt;-50,"NM",(EA479/DS479-1)*100)))</f>
        <v>4.0721697157829029</v>
      </c>
      <c r="EC479" s="216">
        <f>(EC473+EC461)/EC416*100</f>
        <v>61.677255400254204</v>
      </c>
      <c r="ED479" s="81">
        <f t="shared" ref="ED479:ED480" si="1744">IF(ISERROR((EC479/DU479-1)*100),"NA",IF(((EC479/DU479-1)*100)&gt;100,"NM",IF(((EC479/DU479-1)*100)&lt;-50,"NM",(EC479/DU479-1)*100)))</f>
        <v>-3.9598681449752871</v>
      </c>
      <c r="EE479" s="216">
        <f>(EE473+EE461)/EE416*100</f>
        <v>60.407653910149719</v>
      </c>
      <c r="EF479" s="81">
        <f t="shared" ref="EF479:EF480" si="1745">IF(ISERROR((EE479/DW479-1)*100),"NA",IF(((EE479/DW479-1)*100)&gt;100,"NM",IF(((EE479/DW479-1)*100)&lt;-50,"NM",(EE479/DW479-1)*100)))</f>
        <v>-1.903196209765845</v>
      </c>
      <c r="EG479" s="216">
        <f>(EG473+EG461)/EG416*100</f>
        <v>61.756415478615089</v>
      </c>
      <c r="EH479" s="81">
        <f t="shared" ref="EH479:EH480" si="1746">IF(ISERROR((EG479/DY479-1)*100),"NA",IF(((EG479/DY479-1)*100)&gt;100,"NM",IF(((EG479/DY479-1)*100)&lt;-50,"NM",(EG479/DY479-1)*100)))</f>
        <v>-1.3284880031627866</v>
      </c>
      <c r="EI479" s="216">
        <f>(EI473+EI461)/EI416*100</f>
        <v>59.651025236593114</v>
      </c>
      <c r="EJ479" s="81">
        <f t="shared" ref="EJ479:EJ480" si="1747">IF(ISERROR((EI479/EA479-1)*100),"NA",IF(((EI479/EA479-1)*100)&gt;100,"NM",IF(((EI479/EA479-1)*100)&lt;-50,"NM",(EI479/EA479-1)*100)))</f>
        <v>-6.575387647479003</v>
      </c>
      <c r="EK479" s="216">
        <f t="shared" ref="EK479:EQ479" si="1748">(EK474+EK461)/EK416*100</f>
        <v>53.391919331931206</v>
      </c>
      <c r="EL479" s="81">
        <f t="shared" ref="EL479:EL480" si="1749">IF(ISERROR((EK479/EC479-1)*100),"NA",IF(((EK479/EC479-1)*100)&gt;100,"NM",IF(((EK479/EC479-1)*100)&lt;-50,"NM",(EK479/EC479-1)*100)))</f>
        <v>-13.433373477070853</v>
      </c>
      <c r="EM479" s="216">
        <f t="shared" si="1748"/>
        <v>52.888473131384039</v>
      </c>
      <c r="EN479" s="81">
        <f t="shared" ref="EN479:EN480" si="1750">IF(ISERROR((EM479/EE479-1)*100),"NA",IF(((EM479/EE479-1)*100)&gt;100,"NM",IF(((EM479/EE479-1)*100)&lt;-50,"NM",(EM479/EE479-1)*100)))</f>
        <v>-12.447397460510057</v>
      </c>
      <c r="EO479" s="216">
        <f t="shared" si="1748"/>
        <v>55.151217117597149</v>
      </c>
      <c r="EP479" s="81">
        <f t="shared" ref="EP479:EP480" si="1751">IF(ISERROR((EO479/EG479-1)*100),"NA",IF(((EO479/EG479-1)*100)&gt;100,"NM",IF(((EO479/EG479-1)*100)&lt;-50,"NM",(EO479/EG479-1)*100)))</f>
        <v>-10.695566298379443</v>
      </c>
      <c r="EQ479" s="216">
        <f t="shared" si="1748"/>
        <v>54.62628311551547</v>
      </c>
      <c r="ER479" s="81">
        <f t="shared" ref="ER479:ER480" si="1752">IF(ISERROR((EQ479/EI479-1)*100),"NA",IF(((EQ479/EI479-1)*100)&gt;100,"NM",IF(((EQ479/EI479-1)*100)&lt;-50,"NM",(EQ479/EI479-1)*100)))</f>
        <v>-8.4235637210728136</v>
      </c>
      <c r="ES479" s="82"/>
      <c r="ET479" s="490"/>
      <c r="EU479" s="82"/>
      <c r="EV479" s="349"/>
      <c r="EW479" s="79"/>
      <c r="EX479" s="332"/>
      <c r="EY479" s="79"/>
      <c r="EZ479" s="340"/>
      <c r="FA479" s="79"/>
      <c r="FB479" s="216">
        <f>(FB473+FB461)/FB416*100</f>
        <v>-60.366960927131444</v>
      </c>
      <c r="FC479" s="79" t="str">
        <f>IF(ISERROR((FB479/EZ479-1)*100),"NA",IF(((FB479/EZ479-1)*100)&gt;100,"NM",IF(((FB479/EZ479-1)*100)&lt;-50,"NM",(FB479/EZ479-1)*100)))</f>
        <v>NA</v>
      </c>
      <c r="FD479" s="216">
        <f>(FD473+FD461)/FD416*100</f>
        <v>19.030518661093399</v>
      </c>
      <c r="FE479" s="79" t="str">
        <f>IF(ISERROR((FD479/FB479-1)*100),"NA",IF(((FD479/FB479-1)*100)&gt;100,"NM",IF(((FD479/FB479-1)*100)&lt;-50,"NM",(FD479/FB479-1)*100)))</f>
        <v>NM</v>
      </c>
      <c r="FF479" s="216">
        <f>(FF473+FF461)/FF416*100</f>
        <v>210.52849905212946</v>
      </c>
      <c r="FG479" s="79" t="str">
        <f>IF(ISERROR((FF479/FD479-1)*100),"NA",IF(((FF479/FD479-1)*100)&gt;100,"NM",IF(((FF479/FD479-1)*100)&lt;-50,"NM",(FF479/FD479-1)*100)))</f>
        <v>NM</v>
      </c>
      <c r="FH479" s="216">
        <f>(FH473+FH461)/FH416*100</f>
        <v>-155.25964031413562</v>
      </c>
      <c r="FI479" s="79" t="str">
        <f>IF(ISERROR((FH479/FF479-1)*100),"NA",IF(((FH479/FF479-1)*100)&gt;100,"NM",IF(((FH479/FF479-1)*100)&lt;-50,"NM",(FH479/FF479-1)*100)))</f>
        <v>NM</v>
      </c>
      <c r="FJ479" s="216">
        <f>(FJ473+FJ461)/FJ416*100</f>
        <v>16.225965434782584</v>
      </c>
      <c r="FK479" s="79" t="str">
        <f>IF(ISERROR((FJ479/FH479-1)*100),"NA",IF(((FJ479/FH479-1)*100)&gt;100,"NM",IF(((FJ479/FH479-1)*100)&lt;-50,"NM",(FJ479/FH479-1)*100)))</f>
        <v>NM</v>
      </c>
      <c r="FL479" s="216">
        <f>(FL473+FL461)/FL416*100</f>
        <v>16.831417743913136</v>
      </c>
      <c r="FM479" s="79">
        <f>IF(ISERROR((FL479/FJ479-1)*100),"NA",IF(((FL479/FJ479-1)*100)&gt;100,"NM",IF(((FL479/FJ479-1)*100)&lt;-50,"NM",(FL479/FJ479-1)*100)))</f>
        <v>3.7313792610002894</v>
      </c>
      <c r="FN479" s="216">
        <f>(FN473+FN461)/FN416*100</f>
        <v>13.772807848874189</v>
      </c>
      <c r="FO479" s="79">
        <f>IF(ISERROR((FN479/FL479-1)*100),"NA",IF(((FN479/FL479-1)*100)&gt;100,"NM",IF(((FN479/FL479-1)*100)&lt;-50,"NM",(FN479/FL479-1)*100)))</f>
        <v>-18.172027701855676</v>
      </c>
      <c r="FP479" s="216">
        <f>(FP473+FP461)/FP416*100</f>
        <v>93.238784964423218</v>
      </c>
      <c r="FQ479" s="79" t="str">
        <f>IF(ISERROR((FP479/FN479-1)*100),"NA",IF(((FP479/FN479-1)*100)&gt;100,"NM",IF(((FP479/FN479-1)*100)&lt;-50,"NM",(FP479/FN479-1)*100)))</f>
        <v>NM</v>
      </c>
      <c r="FR479" s="216">
        <f>(FR473+FR461)/FR416*100</f>
        <v>12.145752675969911</v>
      </c>
      <c r="FS479" s="79" t="str">
        <f>IF(ISERROR((FR479/FP479-1)*100),"NA",IF(((FR479/FP479-1)*100)&gt;100,"NM",IF(((FR479/FP479-1)*100)&lt;-50,"NM",(FR479/FP479-1)*100)))</f>
        <v>NM</v>
      </c>
      <c r="FT479" s="216">
        <f>(FT473+FT461)/FT416*100</f>
        <v>52.17399219850234</v>
      </c>
      <c r="FU479" s="79" t="str">
        <f>IF(ISERROR((FT479/FR479-1)*100),"NA",IF(((FT479/FR479-1)*100)&gt;100,"NM",IF(((FT479/FR479-1)*100)&lt;-50,"NM",(FT479/FR479-1)*100)))</f>
        <v>NM</v>
      </c>
      <c r="FV479" s="216">
        <f>(FV473+FV461)/FV416*100</f>
        <v>238.41906056077812</v>
      </c>
      <c r="FW479" s="79" t="str">
        <f>IF(ISERROR((FV479/FT479-1)*100),"NA",IF(((FV479/FT479-1)*100)&gt;100,"NM",IF(((FV479/FT479-1)*100)&lt;-50,"NM",(FV479/FT479-1)*100)))</f>
        <v>NM</v>
      </c>
      <c r="FX479" s="216">
        <f>(FX473+FX461)/FX416*100</f>
        <v>71.220657847253733</v>
      </c>
      <c r="FY479" s="79" t="str">
        <f>IF(ISERROR((FX479/FV479-1)*100),"NA",IF(((FX479/FV479-1)*100)&gt;100,"NM",IF(((FX479/FV479-1)*100)&lt;-50,"NM",(FX479/FV479-1)*100)))</f>
        <v>NM</v>
      </c>
      <c r="FZ479" s="216">
        <f>(FZ473+FZ461)/FZ416*100</f>
        <v>53.788316946211687</v>
      </c>
      <c r="GA479" s="79">
        <f>IF(ISERROR((FZ479/FX479-1)*100),"NA",IF(((FZ479/FX479-1)*100)&gt;100,"NM",IF(((FZ479/FX479-1)*100)&lt;-50,"NM",(FZ479/FX479-1)*100)))</f>
        <v>-24.476523284057585</v>
      </c>
      <c r="GB479" s="216">
        <f>(GB473+GB461)/GB416*100</f>
        <v>105.21456556810324</v>
      </c>
      <c r="GC479" s="79">
        <f>IF(ISERROR((GB479/FZ479-1)*100),"NA",IF(((GB479/FZ479-1)*100)&gt;100,"NM",IF(((GB479/FZ479-1)*100)&lt;-50,"NM",(GB479/FZ479-1)*100)))</f>
        <v>95.608584803495148</v>
      </c>
      <c r="GD479" s="216">
        <f>(GD473+GD461)/GD416*100</f>
        <v>65.572548141513693</v>
      </c>
      <c r="GE479" s="79">
        <f>IF(ISERROR((GD479/GB479-1)*100),"NA",IF(((GD479/GB479-1)*100)&gt;100,"NM",IF(((GD479/GB479-1)*100)&lt;-50,"NM",(GD479/GB479-1)*100)))</f>
        <v>-37.677309422458315</v>
      </c>
      <c r="GF479" s="216">
        <f>(GF473+GF461)/GF416*100</f>
        <v>62.734927916120498</v>
      </c>
      <c r="GG479" s="79">
        <f>IF(ISERROR((GF479/GD479-1)*100),"NA",IF(((GF479/GD479-1)*100)&gt;100,"NM",IF(((GF479/GD479-1)*100)&lt;-50,"NM",(GF479/GD479-1)*100)))</f>
        <v>-4.3274515110641403</v>
      </c>
      <c r="GH479" s="216">
        <f>(GH473+GH461)/GH416*100</f>
        <v>60.62423124231244</v>
      </c>
      <c r="GI479" s="79">
        <f>IF(ISERROR((GH479/GF479-1)*100),"NA",IF(((GH479/GF479-1)*100)&gt;100,"NM",IF(((GH479/GF479-1)*100)&lt;-50,"NM",(GH479/GF479-1)*100)))</f>
        <v>-3.3644681582007285</v>
      </c>
      <c r="GJ479" s="216">
        <f>(GJ473+GJ461)/GJ416*100</f>
        <v>53.788847781798701</v>
      </c>
      <c r="GK479" s="79">
        <f>IF(ISERROR((GJ479/GH479-1)*100),"NA",IF(((GJ479/GH479-1)*100)&gt;100,"NM",IF(((GJ479/GH479-1)*100)&lt;-50,"NM",(GJ479/GH479-1)*100)))</f>
        <v>-11.275002289419566</v>
      </c>
      <c r="GL479" s="216">
        <f>(GL474+GL461)/GL416*100</f>
        <v>53.690710966337882</v>
      </c>
      <c r="GM479" s="79">
        <f>IF(ISERROR((GL479/GJ479-1)*100),"NA",IF(((GL479/GJ479-1)*100)&gt;100,"NM",IF(((GL479/GJ479-1)*100)&lt;-50,"NM",(GL479/GJ479-1)*100)))</f>
        <v>-0.18244825741373649</v>
      </c>
      <c r="GN479" s="216">
        <f>(GN474+GN461)/GN416*100</f>
        <v>55.489145811214193</v>
      </c>
      <c r="GO479" s="79">
        <f>IF(ISERROR((GN479/GL479-1)*100),"NA",IF(((GN479/GL479-1)*100)&gt;100,"NM",IF(((GN479/GL479-1)*100)&lt;-50,"NM",(GN479/GL479-1)*100)))</f>
        <v>3.3496200972340739</v>
      </c>
      <c r="GP479" s="216">
        <f>(GP474+GP461)/GP416*100</f>
        <v>55.061663054611522</v>
      </c>
      <c r="GQ479" s="79">
        <f>IF(ISERROR((GP479/GN479-1)*100),"NA",IF(((GP479/GN479-1)*100)&gt;100,"NM",IF(((GP479/GN479-1)*100)&lt;-50,"NM",(GP479/GN479-1)*100)))</f>
        <v>-0.77038986697877121</v>
      </c>
      <c r="GR479" s="216">
        <f>(GR474+GR461)/GR416*100</f>
        <v>56.885701693052695</v>
      </c>
      <c r="GS479" s="79">
        <f>IF(ISERROR((GR479/GP479-1)*100),"NA",IF(((GR479/GP479-1)*100)&gt;100,"NM",IF(((GR479/GP479-1)*100)&lt;-50,"NM",(GR479/GP479-1)*100)))</f>
        <v>3.3127198439902639</v>
      </c>
      <c r="GT479" s="79">
        <f>IF(ISERROR(((GR479/GH479)^0.2-1)*100),"NA",(IF(OR(((GR479/GH479)^0.2-1)*100&gt;99,((GR479/GH479)^0.2-1)*100&lt;-50),"NM",(((GR479/GH479)^0.2-1)*100))))</f>
        <v>-1.264944412909097</v>
      </c>
    </row>
    <row r="480" spans="1:286" ht="12.75" customHeight="1" x14ac:dyDescent="0.2">
      <c r="A480" s="1"/>
      <c r="B480" s="1" t="s">
        <v>144</v>
      </c>
      <c r="C480" s="79"/>
      <c r="D480" s="79"/>
      <c r="E480" s="216">
        <f>(E461+E468)/E438*100</f>
        <v>20.073966029658646</v>
      </c>
      <c r="F480" s="79"/>
      <c r="G480" s="216">
        <f>(G461+G468)/G438*100</f>
        <v>25.151171741788954</v>
      </c>
      <c r="H480" s="79"/>
      <c r="I480" s="216">
        <f>(I461+I468)/I438*100</f>
        <v>36.767185945807761</v>
      </c>
      <c r="J480" s="79"/>
      <c r="K480" s="216">
        <f>(K461+K468)/K438*100</f>
        <v>45.74767140764331</v>
      </c>
      <c r="L480" s="79"/>
      <c r="M480" s="216">
        <f>(M461+M468)/M438*100</f>
        <v>40.964319030147891</v>
      </c>
      <c r="N480" s="79" t="str">
        <f>IF(ISERROR((M480/E480-1)*100),"NA",IF(((M480/E480-1)*100)&gt;100,"NM",IF(((M480/E480-1)*100)&lt;-50,"NM",(M480/E480-1)*100)))</f>
        <v>NM</v>
      </c>
      <c r="O480" s="216">
        <f>(O461+O468)/O438*100</f>
        <v>36.80297470829067</v>
      </c>
      <c r="P480" s="79">
        <f>IF(ISERROR((O480/G480-1)*100),"NA",IF(((O480/G480-1)*100)&gt;100,"NM",IF(((O480/G480-1)*100)&lt;-50,"NM",(O480/G480-1)*100)))</f>
        <v>46.327078062697623</v>
      </c>
      <c r="Q480" s="216">
        <f>(Q461+Q468)/Q438*100</f>
        <v>31.513047742504408</v>
      </c>
      <c r="R480" s="79">
        <f>IF(ISERROR((Q480/I480-1)*100),"NA",IF(((Q480/I480-1)*100)&gt;100,"NM",IF(((Q480/I480-1)*100)&lt;-50,"NM",(Q480/I480-1)*100)))</f>
        <v>-14.290291922388565</v>
      </c>
      <c r="S480" s="216">
        <f>(S461+S468)/S438*100</f>
        <v>34.94525418052838</v>
      </c>
      <c r="T480" s="79">
        <f>IF(ISERROR((S480/K480-1)*100),"NA",IF(((S480/K480-1)*100)&gt;100,"NM",IF(((S480/K480-1)*100)&lt;-50,"NM",(S480/K480-1)*100)))</f>
        <v>-23.613042794807939</v>
      </c>
      <c r="U480" s="216">
        <f>(U461+U468)/U438*100</f>
        <v>-7.3544859679382926</v>
      </c>
      <c r="V480" s="79" t="str">
        <f>IF(ISERROR((U480/M480-1)*100),"NA",IF(((U480/M480-1)*100)&gt;100,"NM",IF(((U480/M480-1)*100)&lt;-50,"NM",(U480/M480-1)*100)))</f>
        <v>NM</v>
      </c>
      <c r="W480" s="216">
        <f>(W461+W468)/W438*100</f>
        <v>20.845707335025384</v>
      </c>
      <c r="X480" s="79">
        <f>IF(ISERROR((W480/O480-1)*100),"NA",IF(((W480/O480-1)*100)&gt;100,"NM",IF(((W480/O480-1)*100)&lt;-50,"NM",(W480/O480-1)*100)))</f>
        <v>-43.358634729248024</v>
      </c>
      <c r="Y480" s="216">
        <f>(Y461+Y468)/Y438*100</f>
        <v>20.609981922723033</v>
      </c>
      <c r="Z480" s="79">
        <f>IF(ISERROR((Y480/Q480-1)*100),"NA",IF(((Y480/Q480-1)*100)&gt;100,"NM",IF(((Y480/Q480-1)*100)&lt;-50,"NM",(Y480/Q480-1)*100)))</f>
        <v>-34.598576148112315</v>
      </c>
      <c r="AA480" s="351">
        <f>(AA461+AA468)/AA438*100</f>
        <v>-6.3685716229838718</v>
      </c>
      <c r="AB480" s="79" t="str">
        <f>IF(ISERROR((AA480/S480-1)*100),"NA",IF(((AA480/S480-1)*100)&gt;100,"NM",IF(((AA480/S480-1)*100)&lt;-50,"NM",(AA480/S480-1)*100)))</f>
        <v>NM</v>
      </c>
      <c r="AC480" s="216">
        <f>(AC461+AC468)/AC438*100</f>
        <v>-3.9352957710779091</v>
      </c>
      <c r="AD480" s="79">
        <f>IF(ISERROR((AC480/U480-1)*100),"NA",IF(((AC480/U480-1)*100)&gt;100,"NM",IF(((AC480/U480-1)*100)&lt;-50,"NM",(AC480/U480-1)*100)))</f>
        <v>-46.491219260819349</v>
      </c>
      <c r="AE480" s="216">
        <f>(AE461+AE468)/AE438*100</f>
        <v>314.03979583332392</v>
      </c>
      <c r="AF480" s="79" t="str">
        <f>IF(ISERROR((AE480/W480-1)*100),"NA",IF(((AE480/W480-1)*100)&gt;100,"NM",IF(((AE480/W480-1)*100)&lt;-50,"NM",(AE480/W480-1)*100)))</f>
        <v>NM</v>
      </c>
      <c r="AG480" s="216">
        <f>(AG461+AG468)/AG438*100</f>
        <v>13.536315282648756</v>
      </c>
      <c r="AH480" s="79">
        <f>IF(ISERROR((AG480/Y480-1)*100),"NA",IF(((AG480/Y480-1)*100)&gt;100,"NM",IF(((AG480/Y480-1)*100)&lt;-50,"NM",(AG480/Y480-1)*100)))</f>
        <v>-34.321556741762002</v>
      </c>
      <c r="AI480" s="216">
        <f>(AI461+AI468)/AI438*100</f>
        <v>16.933293549712385</v>
      </c>
      <c r="AJ480" s="79" t="str">
        <f>IF(ISERROR((AI480/AA480-1)*100),"NA",IF(((AI480/AA480-1)*100)&gt;100,"NM",IF(((AI480/AA480-1)*100)&lt;-50,"NM",(AI480/AA480-1)*100)))</f>
        <v>NM</v>
      </c>
      <c r="AK480" s="216">
        <f>(AK461+AK473)/AK438*100</f>
        <v>15.158222010512434</v>
      </c>
      <c r="AL480" s="79" t="str">
        <f>IF(ISERROR((AK480/AC480-1)*100),"NA",IF(((AK480/AC480-1)*100)&gt;100,"NM",IF(((AK480/AC480-1)*100)&lt;-50,"NM",(AK480/AC480-1)*100)))</f>
        <v>NM</v>
      </c>
      <c r="AM480" s="216">
        <f>(AM461+AM473)/AM438*100</f>
        <v>13.533638178633996</v>
      </c>
      <c r="AN480" s="79" t="str">
        <f>IF(ISERROR((AM480/AE480-1)*100),"NA",IF(((AM480/AE480-1)*100)&gt;100,"NM",IF(((AM480/AE480-1)*100)&lt;-50,"NM",(AM480/AE480-1)*100)))</f>
        <v>NM</v>
      </c>
      <c r="AO480" s="216">
        <f>(AO461+AO473)/AO438*100</f>
        <v>42.906562909090965</v>
      </c>
      <c r="AP480" s="79" t="str">
        <f>IF(ISERROR((AO480/AG480-1)*100),"NA",IF(((AO480/AG480-1)*100)&gt;100,"NM",IF(((AO480/AG480-1)*100)&lt;-50,"NM",(AO480/AG480-1)*100)))</f>
        <v>NM</v>
      </c>
      <c r="AQ480" s="216">
        <f>(AQ461+AQ473)/AQ438*100</f>
        <v>17.382623290909098</v>
      </c>
      <c r="AR480" s="79">
        <f>IF(ISERROR((AQ480/AI480-1)*100),"NA",IF(((AQ480/AI480-1)*100)&gt;100,"NM",IF(((AQ480/AI480-1)*100)&lt;-50,"NM",(AQ480/AI480-1)*100)))</f>
        <v>2.6535283279509825</v>
      </c>
      <c r="AS480" s="216">
        <f>(AS461+AS473)/AS438*100</f>
        <v>31.836337948207234</v>
      </c>
      <c r="AT480" s="81" t="str">
        <f>IF(ISERROR((AS480/AK480-1)*100),"NA",IF(((AS480/AK480-1)*100)&gt;100,"NM",IF(((AS480/AK480-1)*100)&lt;-50,"NM",(AS480/AK480-1)*100)))</f>
        <v>NM</v>
      </c>
      <c r="AU480" s="216">
        <f>(AU461+AU473)/AU438*100</f>
        <v>19.762678274760425</v>
      </c>
      <c r="AV480" s="81">
        <f>IF(ISERROR((AU480/AM480-1)*100),"NA",IF(((AU480/AM480-1)*100)&gt;100,"NM",IF(((AU480/AM480-1)*100)&lt;-50,"NM",(AU480/AM480-1)*100)))</f>
        <v>46.026353105556048</v>
      </c>
      <c r="AW480" s="216">
        <f>(AW461+AW473)/AW438*100</f>
        <v>-40.117072017268505</v>
      </c>
      <c r="AX480" s="81" t="str">
        <f>IF(ISERROR((AW480/AO480-1)*100),"NA",IF(((AW480/AO480-1)*100)&gt;100,"NM",IF(((AW480/AO480-1)*100)&lt;-50,"NM",(AW480/AO480-1)*100)))</f>
        <v>NM</v>
      </c>
      <c r="AY480" s="216">
        <f>(AY461+AY473)/AY438*100</f>
        <v>9.3859429101774676</v>
      </c>
      <c r="AZ480" s="81">
        <f>IF(ISERROR((AY480/AQ480-1)*100),"NA",IF(((AY480/AQ480-1)*100)&gt;100,"NM",IF(((AY480/AQ480-1)*100)&lt;-50,"NM",(AY480/AQ480-1)*100)))</f>
        <v>-46.003875519259495</v>
      </c>
      <c r="BA480" s="216">
        <f>(BA461+BA473)/BA438*100</f>
        <v>14.570117456533938</v>
      </c>
      <c r="BB480" s="81" t="str">
        <f>IF(ISERROR((BA480/AS480-1)*100),"NA",IF(((BA480/AS480-1)*100)&gt;100,"NM",IF(((BA480/AS480-1)*100)&lt;-50,"NM",(BA480/AS480-1)*100)))</f>
        <v>NM</v>
      </c>
      <c r="BC480" s="216">
        <f>(BC461+BC473)/BC438*100</f>
        <v>14.15574534574468</v>
      </c>
      <c r="BD480" s="81">
        <f>IF(ISERROR((BC480/AU480-1)*100),"NA",IF(((BC480/AU480-1)*100)&gt;100,"NM",IF(((BC480/AU480-1)*100)&lt;-50,"NM",(BC480/AU480-1)*100)))</f>
        <v>-28.371321189681797</v>
      </c>
      <c r="BE480" s="216">
        <f>(BE461+BE473)/BE438*100</f>
        <v>14.482596388443028</v>
      </c>
      <c r="BF480" s="81" t="str">
        <f>IF(ISERROR((BE480/AW480-1)*100),"NA",IF(((BE480/AW480-1)*100)&gt;100,"NM",IF(((BE480/AW480-1)*100)&lt;-50,"NM",(BE480/AW480-1)*100)))</f>
        <v>NM</v>
      </c>
      <c r="BG480" s="216">
        <f>(BG461+BG473)/BG438*100</f>
        <v>16.855496121495321</v>
      </c>
      <c r="BH480" s="81">
        <f>IF(ISERROR((BG480/AY480-1)*100),"NA",IF(((BG480/AY480-1)*100)&gt;100,"NM",IF(((BG480/AY480-1)*100)&lt;-50,"NM",(BG480/AY480-1)*100)))</f>
        <v>79.582342262260994</v>
      </c>
      <c r="BI480" s="216">
        <f>(BI461+BI473)/BI438*100</f>
        <v>230.75409967811163</v>
      </c>
      <c r="BJ480" s="81" t="str">
        <f>IF(ISERROR((BI480/BA480-1)*100),"NA",IF(((BI480/BA480-1)*100)&gt;100,"NM",IF(((BI480/BA480-1)*100)&lt;-50,"NM",(BI480/BA480-1)*100)))</f>
        <v>NM</v>
      </c>
      <c r="BK480" s="216">
        <f>(BK461+BK473)/BK438*100</f>
        <v>10.800106741573044</v>
      </c>
      <c r="BL480" s="81">
        <f>IF(ISERROR((BK480/BC480-1)*100),"NA",IF(((BK480/BC480-1)*100)&gt;100,"NM",IF(((BK480/BC480-1)*100)&lt;-50,"NM",(BK480/BC480-1)*100)))</f>
        <v>-23.705135421783819</v>
      </c>
      <c r="BM480" s="216">
        <f>(BM461+BM473)/BM438*100</f>
        <v>23.466164583333367</v>
      </c>
      <c r="BN480" s="81">
        <f>IF(ISERROR((BM480/BE480-1)*100),"NA",IF(((BM480/BE480-1)*100)&gt;100,"NM",IF(((BM480/BE480-1)*100)&lt;-50,"NM",(BM480/BE480-1)*100)))</f>
        <v>62.030094286540624</v>
      </c>
      <c r="BO480" s="216">
        <f>(BO461+BO473)/BO438*100</f>
        <v>896.70720173444533</v>
      </c>
      <c r="BP480" s="81" t="str">
        <f>IF(ISERROR((BO480/BG480-1)*100),"NA",IF(((BO480/BG480-1)*100)&gt;100,"NM",IF(((BO480/BG480-1)*100)&lt;-50,"NM",(BO480/BG480-1)*100)))</f>
        <v>NM</v>
      </c>
      <c r="BQ480" s="216">
        <f>(BQ461+BQ473)/BQ438*100</f>
        <v>15.052964554275327</v>
      </c>
      <c r="BR480" s="81" t="str">
        <f>IF(ISERROR((BQ480/BI480-1)*100),"NA",IF(((BQ480/BI480-1)*100)&gt;100,"NM",IF(((BQ480/BI480-1)*100)&lt;-50,"NM",(BQ480/BI480-1)*100)))</f>
        <v>NM</v>
      </c>
      <c r="BS480" s="216">
        <f>(BS461+BS473)/BS438*100</f>
        <v>9.3176054921407108</v>
      </c>
      <c r="BT480" s="81">
        <f>IF(ISERROR((BS480/BK480-1)*100),"NA",IF(((BS480/BK480-1)*100)&gt;100,"NM",IF(((BS480/BK480-1)*100)&lt;-50,"NM",(BS480/BK480-1)*100)))</f>
        <v>-13.72672775284447</v>
      </c>
      <c r="BU480" s="216">
        <f>(BU461+BU473)/BU438*100</f>
        <v>12.411274179104488</v>
      </c>
      <c r="BV480" s="81">
        <f>IF(ISERROR((BU480/BM480-1)*100),"NA",IF(((BU480/BM480-1)*100)&gt;100,"NM",IF(((BU480/BM480-1)*100)&lt;-50,"NM",(BU480/BM480-1)*100)))</f>
        <v>-47.109915917322574</v>
      </c>
      <c r="BW480" s="216">
        <f>(BW461+BW473)/BW438*100</f>
        <v>13.777519859578751</v>
      </c>
      <c r="BX480" s="81" t="str">
        <f>IF(ISERROR((BW480/BO480-1)*100),"NA",IF(((BW480/BO480-1)*100)&gt;100,"NM",IF(((BW480/BO480-1)*100)&lt;-50,"NM",(BW480/BO480-1)*100)))</f>
        <v>NM</v>
      </c>
      <c r="BY480" s="216">
        <f>(BY461+BY473)/BY438*100</f>
        <v>12.142889854368931</v>
      </c>
      <c r="BZ480" s="81">
        <f>IF(ISERROR((BY480/BQ480-1)*100),"NA",IF(((BY480/BQ480-1)*100)&gt;100,"NM",IF(((BY480/BQ480-1)*100)&lt;-50,"NM",(BY480/BQ480-1)*100)))</f>
        <v>-19.332236446938811</v>
      </c>
      <c r="CA480" s="216">
        <f>(CA461+CA473)/CA438*100</f>
        <v>75.505949555928964</v>
      </c>
      <c r="CB480" s="81" t="str">
        <f>IF(ISERROR((CA480/BS480-1)*100),"NA",IF(((CA480/BS480-1)*100)&gt;100,"NM",IF(((CA480/BS480-1)*100)&lt;-50,"NM",(CA480/BS480-1)*100)))</f>
        <v>NM</v>
      </c>
      <c r="CC480" s="216">
        <f>(CC461+CC473)/CC438*100</f>
        <v>104.02612866605752</v>
      </c>
      <c r="CD480" s="81" t="str">
        <f>IF(ISERROR((CC480/BU480-1)*100),"NA",IF(((CC480/BU480-1)*100)&gt;100,"NM",IF(((CC480/BU480-1)*100)&lt;-50,"NM",(CC480/BU480-1)*100)))</f>
        <v>NM</v>
      </c>
      <c r="CE480" s="216">
        <f>(CE461+CE473)/CE438*100</f>
        <v>25.850946454058839</v>
      </c>
      <c r="CF480" s="81">
        <f>IF(ISERROR((CE480/BW480-1)*100),"NA",IF(((CE480/BW480-1)*100)&gt;100,"NM",IF(((CE480/BW480-1)*100)&lt;-50,"NM",(CE480/BW480-1)*100)))</f>
        <v>87.631349600894225</v>
      </c>
      <c r="CG480" s="216">
        <f>(CG461+CG473)/CG438*100</f>
        <v>113.00346123546517</v>
      </c>
      <c r="CH480" s="81" t="str">
        <f>IF(ISERROR((CG480/BY480-1)*100),"NA",IF(((CG480/BY480-1)*100)&gt;100,"NM",IF(((CG480/BY480-1)*100)&lt;-50,"NM",(CG480/BY480-1)*100)))</f>
        <v>NM</v>
      </c>
      <c r="CI480" s="216">
        <f>(CI461+CI473)/CI438*100</f>
        <v>76.685199547451617</v>
      </c>
      <c r="CJ480" s="81">
        <f>IF(ISERROR((CI480/CA480-1)*100),"NA",IF(((CI480/CA480-1)*100)&gt;100,"NM",IF(((CI480/CA480-1)*100)&lt;-50,"NM",(CI480/CA480-1)*100)))</f>
        <v>1.561797445708768</v>
      </c>
      <c r="CK480" s="216">
        <f>(CK461+CK473)/CK438*100</f>
        <v>139.41245272277226</v>
      </c>
      <c r="CL480" s="81">
        <f>IF(ISERROR((CK480/CC480-1)*100),"NA",IF(((CK480/CC480-1)*100)&gt;100,"NM",IF(((CK480/CC480-1)*100)&lt;-50,"NM",(CK480/CC480-1)*100)))</f>
        <v>34.016765317020671</v>
      </c>
      <c r="CM480" s="216">
        <f>(CM461+CM473)/CM438*100</f>
        <v>-8.6382001260162529</v>
      </c>
      <c r="CN480" s="81" t="str">
        <f>IF(ISERROR((CM480/CE480-1)*100),"NA",IF(((CM480/CE480-1)*100)&gt;100,"NM",IF(((CM480/CE480-1)*100)&lt;-50,"NM",(CM480/CE480-1)*100)))</f>
        <v>NM</v>
      </c>
      <c r="CO480" s="216">
        <f>(CO461+CO473)/CO438*100</f>
        <v>96.206088723702692</v>
      </c>
      <c r="CP480" s="81">
        <f>IF(ISERROR((CO480/CG480-1)*100),"NA",IF(((CO480/CG480-1)*100)&gt;100,"NM",IF(((CO480/CG480-1)*100)&lt;-50,"NM",(CO480/CG480-1)*100)))</f>
        <v>-14.864476121454206</v>
      </c>
      <c r="CQ480" s="216">
        <f>(CQ461+CQ473)/CQ438*100</f>
        <v>71.577063937153454</v>
      </c>
      <c r="CR480" s="81">
        <f>IF(ISERROR((CQ480/CI480-1)*100),"NA",IF(((CQ480/CI480-1)*100)&gt;100,"NM",IF(((CQ480/CI480-1)*100)&lt;-50,"NM",(CQ480/CI480-1)*100)))</f>
        <v>-6.661175351232318</v>
      </c>
      <c r="CS480" s="216">
        <f>(CS461+CS473)/CS438*100</f>
        <v>59.255619057341434</v>
      </c>
      <c r="CT480" s="81" t="str">
        <f>IF(ISERROR((CS480/CK480-1)*100),"NA",IF(((CS480/CK480-1)*100)&gt;100,"NM",IF(((CS480/CK480-1)*100)&lt;-50,"NM",(CS480/CK480-1)*100)))</f>
        <v>NM</v>
      </c>
      <c r="CU480" s="216">
        <f>(CU461+CU473)/CU438*100</f>
        <v>58.002565198802927</v>
      </c>
      <c r="CV480" s="81" t="str">
        <f>IF(ISERROR((CU480/CM480-1)*100),"NA",IF(((CU480/CM480-1)*100)&gt;100,"NM",IF(((CU480/CM480-1)*100)&lt;-50,"NM",(CU480/CM480-1)*100)))</f>
        <v>NM</v>
      </c>
      <c r="CW480" s="216">
        <f>(CW461+CW473)/CW438*100</f>
        <v>61.853034687648986</v>
      </c>
      <c r="CX480" s="81">
        <f>IF(ISERROR((CW480/CO480-1)*100),"NA",IF(((CW480/CO480-1)*100)&gt;100,"NM",IF(((CW480/CO480-1)*100)&lt;-50,"NM",(CW480/CO480-1)*100)))</f>
        <v>-35.707775351634275</v>
      </c>
      <c r="CY480" s="216">
        <f>(CY461+CY473)/CY438*100</f>
        <v>63.063387243055566</v>
      </c>
      <c r="CZ480" s="81">
        <f>IF(ISERROR((CY480/CQ480-1)*100),"NA",IF(((CY480/CQ480-1)*100)&gt;100,"NM",IF(((CY480/CQ480-1)*100)&lt;-50,"NM",(CY480/CQ480-1)*100)))</f>
        <v>-11.894420119793015</v>
      </c>
      <c r="DA480" s="216">
        <f>(DA461+DA473)/DA438*100</f>
        <v>55.680931184015783</v>
      </c>
      <c r="DB480" s="81">
        <f>IF(ISERROR((DA480/CS480-1)*100),"NA",IF(((DA480/CS480-1)*100)&gt;100,"NM",IF(((DA480/CS480-1)*100)&lt;-50,"NM",(DA480/CS480-1)*100)))</f>
        <v>-6.0326563627095648</v>
      </c>
      <c r="DC480" s="216">
        <f>(DC461+DC473)/DC438*100</f>
        <v>40.164684354986278</v>
      </c>
      <c r="DD480" s="81">
        <f>IF(ISERROR((DC480/CU480-1)*100),"NA",IF(((DC480/CU480-1)*100)&gt;100,"NM",IF(((DC480/CU480-1)*100)&lt;-50,"NM",(DC480/CU480-1)*100)))</f>
        <v>-30.753606814935818</v>
      </c>
      <c r="DE480" s="216">
        <f>(DE461+DE473)/DE438*100</f>
        <v>60.873339238264023</v>
      </c>
      <c r="DF480" s="81">
        <f>IF(ISERROR((DE480/CW480-1)*100),"NA",IF(((DE480/CW480-1)*100)&gt;100,"NM",IF(((DE480/CW480-1)*100)&lt;-50,"NM",(DE480/CW480-1)*100)))</f>
        <v>-1.5839084603242459</v>
      </c>
      <c r="DG480" s="216">
        <f>(DG461+DG473)/DG438*100</f>
        <v>57.203842940685043</v>
      </c>
      <c r="DH480" s="81">
        <f>IF(ISERROR((DG480/CY480-1)*100),"NA",IF(((DG480/CY480-1)*100)&gt;100,"NM",IF(((DG480/CY480-1)*100)&lt;-50,"NM",(DG480/CY480-1)*100)))</f>
        <v>-9.2915153443740355</v>
      </c>
      <c r="DI480" s="216">
        <f>(DI461+DI473)/DI438*100</f>
        <v>64.61136467366498</v>
      </c>
      <c r="DJ480" s="81">
        <f>IF(ISERROR((DI480/DA480-1)*100),"NA",IF(((DI480/DA480-1)*100)&gt;100,"NM",IF(((DI480/DA480-1)*100)&lt;-50,"NM",(DI480/DA480-1)*100)))</f>
        <v>16.038585023184449</v>
      </c>
      <c r="DK480" s="216">
        <f>(DK461+DK473)/DK438*100</f>
        <v>-14.751771793054571</v>
      </c>
      <c r="DL480" s="81" t="str">
        <f>IF(ISERROR((DK480/DC480-1)*100),"NA",IF(((DK480/DC480-1)*100)&gt;100,"NM",IF(((DK480/DC480-1)*100)&lt;-50,"NM",(DK480/DC480-1)*100)))</f>
        <v>NM</v>
      </c>
      <c r="DM480" s="216">
        <f>(DM461+DM473)/DM438*100</f>
        <v>70.111554720526044</v>
      </c>
      <c r="DN480" s="81">
        <f>IF(ISERROR((DM480/DE480-1)*100),"NA",IF(((DM480/DE480-1)*100)&gt;100,"NM",IF(((DM480/DE480-1)*100)&lt;-50,"NM",(DM480/DE480-1)*100)))</f>
        <v>15.176127345507972</v>
      </c>
      <c r="DO480" s="216">
        <f>(DO461+DO473)/DO438*100</f>
        <v>64.105662059741434</v>
      </c>
      <c r="DP480" s="81">
        <f>IF(ISERROR((DO480/DG480-1)*100),"NA",IF(((DO480/DG480-1)*100)&gt;100,"NM",IF(((DO480/DG480-1)*100)&lt;-50,"NM",(DO480/DG480-1)*100)))</f>
        <v>12.065306742088854</v>
      </c>
      <c r="DQ480" s="216">
        <f>(DQ461+DQ473)/DQ438*100</f>
        <v>76.133954857703557</v>
      </c>
      <c r="DR480" s="81">
        <f>IF(ISERROR((DQ480/DI480-1)*100),"NA",IF(((DQ480/DI480-1)*100)&gt;100,"NM",IF(((DQ480/DI480-1)*100)&lt;-50,"NM",(DQ480/DI480-1)*100)))</f>
        <v>17.833689540897566</v>
      </c>
      <c r="DS480" s="216">
        <f>(DS461+DS473)/DS438*100</f>
        <v>62.029411764705912</v>
      </c>
      <c r="DT480" s="81" t="str">
        <f>IF(ISERROR((DS480/DK480-1)*100),"NA",IF(((DS480/DK480-1)*100)&gt;100,"NM",IF(((DS480/DK480-1)*100)&lt;-50,"NM",(DS480/DK480-1)*100)))</f>
        <v>NM</v>
      </c>
      <c r="DU480" s="216">
        <f>(DU461+DU473)/DU438*100</f>
        <v>68.367473884140608</v>
      </c>
      <c r="DV480" s="81">
        <f>IF(ISERROR((DU480/DM480-1)*100),"NA",IF(((DU480/DM480-1)*100)&gt;100,"NM",IF(((DU480/DM480-1)*100)&lt;-50,"NM",(DU480/DM480-1)*100)))</f>
        <v>-2.4875797482135087</v>
      </c>
      <c r="DW480" s="216">
        <f>(DW461+DW473)/DW438*100</f>
        <v>60.591448479729749</v>
      </c>
      <c r="DX480" s="81">
        <f>IF(ISERROR((DW480/DO480-1)*100),"NA",IF(((DW480/DO480-1)*100)&gt;100,"NM",IF(((DW480/DO480-1)*100)&lt;-50,"NM",(DW480/DO480-1)*100)))</f>
        <v>-5.4819082544326765</v>
      </c>
      <c r="DY480" s="216">
        <f>(DY461+DY473)/DY438*100</f>
        <v>60.651906779660955</v>
      </c>
      <c r="DZ480" s="81">
        <f>IF(ISERROR((DY480/DQ480-1)*100),"NA",IF(((DY480/DQ480-1)*100)&gt;100,"NM",IF(((DY480/DQ480-1)*100)&lt;-50,"NM",(DY480/DQ480-1)*100)))</f>
        <v>-20.335273672540687</v>
      </c>
      <c r="EA480" s="216">
        <f>(EA461+EA473)/EA438*100</f>
        <v>59.137903225806468</v>
      </c>
      <c r="EB480" s="81">
        <f>IF(ISERROR((EA480/DS480-1)*100),"NA",IF(((EA480/DS480-1)*100)&gt;100,"NM",IF(((EA480/DS480-1)*100)&lt;-50,"NM",(EA480/DS480-1)*100)))</f>
        <v>-4.6615121063338538</v>
      </c>
      <c r="EC480" s="216">
        <f>(EC461+EC473)/EC438*100</f>
        <v>63.340582862114033</v>
      </c>
      <c r="ED480" s="81">
        <f t="shared" si="1744"/>
        <v>-7.3527523198318345</v>
      </c>
      <c r="EE480" s="216">
        <f>(EE461+EE473)/EE438*100</f>
        <v>59.24928600571193</v>
      </c>
      <c r="EF480" s="81">
        <f t="shared" si="1745"/>
        <v>-2.2151021434432705</v>
      </c>
      <c r="EG480" s="216">
        <f>(EG461+EG473)/EG438*100</f>
        <v>60.235200635677408</v>
      </c>
      <c r="EH480" s="81">
        <f t="shared" si="1746"/>
        <v>-0.68704541391810814</v>
      </c>
      <c r="EI480" s="216">
        <f>(EI461+EI473)/EI438*100</f>
        <v>56.678531285125558</v>
      </c>
      <c r="EJ480" s="81">
        <f t="shared" si="1747"/>
        <v>-4.1587066949098306</v>
      </c>
      <c r="EK480" s="216">
        <f t="shared" ref="EK480:EQ480" si="1753">(EK461+EK474)/EK438*100</f>
        <v>57.572441216616809</v>
      </c>
      <c r="EL480" s="81">
        <f t="shared" si="1749"/>
        <v>-9.1065496793009899</v>
      </c>
      <c r="EM480" s="216">
        <f t="shared" si="1753"/>
        <v>54.243679996098734</v>
      </c>
      <c r="EN480" s="81">
        <f t="shared" si="1750"/>
        <v>-8.4483819925368024</v>
      </c>
      <c r="EO480" s="216">
        <f t="shared" si="1753"/>
        <v>56.558659571703451</v>
      </c>
      <c r="EP480" s="81">
        <f t="shared" si="1751"/>
        <v>-6.1036420982656043</v>
      </c>
      <c r="EQ480" s="216">
        <f t="shared" si="1753"/>
        <v>55.811814290866288</v>
      </c>
      <c r="ER480" s="81">
        <f t="shared" si="1752"/>
        <v>-1.5291804050094115</v>
      </c>
      <c r="ES480" s="82"/>
      <c r="ET480" s="490"/>
      <c r="EU480" s="82"/>
      <c r="EV480" s="349"/>
      <c r="EW480" s="79"/>
      <c r="EX480" s="332"/>
      <c r="EY480" s="79"/>
      <c r="EZ480" s="340"/>
      <c r="FA480" s="79"/>
      <c r="FB480" s="349">
        <f>(FB461+FB468)/FB438*100</f>
        <v>-32.718810372752102</v>
      </c>
      <c r="FC480" s="79" t="str">
        <f>IF(ISERROR((FB480/EZ480-1)*100),"NA",IF(((FB480/EZ480-1)*100)&gt;100,"NM",IF(((FB480/EZ480-1)*100)&lt;-50,"NM",(FB480/EZ480-1)*100)))</f>
        <v>NA</v>
      </c>
      <c r="FD480" s="216">
        <f>(FD461+FD468)/FD438*100</f>
        <v>25.784607808342287</v>
      </c>
      <c r="FE480" s="79" t="str">
        <f>IF(ISERROR((FD480/FB480-1)*100),"NA",IF(((FD480/FB480-1)*100)&gt;100,"NM",IF(((FD480/FB480-1)*100)&lt;-50,"NM",(FD480/FB480-1)*100)))</f>
        <v>NM</v>
      </c>
      <c r="FF480" s="216">
        <f>(FF461+FF468)/FF438*100</f>
        <v>-46.056519751166547</v>
      </c>
      <c r="FG480" s="79" t="str">
        <f>IF(ISERROR((FF480/FD480-1)*100),"NA",IF(((FF480/FD480-1)*100)&gt;100,"NM",IF(((FF480/FD480-1)*100)&lt;-50,"NM",(FF480/FD480-1)*100)))</f>
        <v>NM</v>
      </c>
      <c r="FH480" s="216">
        <f>(FH461+FH473)/FH438*100</f>
        <v>-89.590910271903155</v>
      </c>
      <c r="FI480" s="79">
        <f>IF(ISERROR((FH480/FF480-1)*100),"NA",IF(((FH480/FF480-1)*100)&gt;100,"NM",IF(((FH480/FF480-1)*100)&lt;-50,"NM",(FH480/FF480-1)*100)))</f>
        <v>94.52383887437334</v>
      </c>
      <c r="FJ480" s="216">
        <f>(FJ461+FJ473)/FJ438*100</f>
        <v>17.358009534883692</v>
      </c>
      <c r="FK480" s="79" t="str">
        <f>IF(ISERROR((FJ480/FH480-1)*100),"NA",IF(((FJ480/FH480-1)*100)&gt;100,"NM",IF(((FJ480/FH480-1)*100)&lt;-50,"NM",(FJ480/FH480-1)*100)))</f>
        <v>NM</v>
      </c>
      <c r="FL480" s="216">
        <f>(FL461+FL473)/FL438*100</f>
        <v>24.894225308791459</v>
      </c>
      <c r="FM480" s="79">
        <f>IF(ISERROR((FL480/FJ480-1)*100),"NA",IF(((FL480/FJ480-1)*100)&gt;100,"NM",IF(((FL480/FJ480-1)*100)&lt;-50,"NM",(FL480/FJ480-1)*100)))</f>
        <v>43.416359224613508</v>
      </c>
      <c r="FN480" s="216">
        <f>(FN461+FN473)/FN438*100</f>
        <v>15.16996532156368</v>
      </c>
      <c r="FO480" s="79">
        <f>IF(ISERROR((FN480/FL480-1)*100),"NA",IF(((FN480/FL480-1)*100)&gt;100,"NM",IF(((FN480/FL480-1)*100)&lt;-50,"NM",(FN480/FL480-1)*100)))</f>
        <v>-39.062312108959787</v>
      </c>
      <c r="FP480" s="216">
        <f>(FP461+FP473)/FP438*100</f>
        <v>144.49314958423722</v>
      </c>
      <c r="FQ480" s="79" t="str">
        <f>IF(ISERROR((FP480/FN480-1)*100),"NA",IF(((FP480/FN480-1)*100)&gt;100,"NM",IF(((FP480/FN480-1)*100)&lt;-50,"NM",(FP480/FN480-1)*100)))</f>
        <v>NM</v>
      </c>
      <c r="FR480" s="216">
        <f>(FR461+FR473)/FR438*100</f>
        <v>12.335644140800204</v>
      </c>
      <c r="FS480" s="79" t="str">
        <f>IF(ISERROR((FR480/FP480-1)*100),"NA",IF(((FR480/FP480-1)*100)&gt;100,"NM",IF(((FR480/FP480-1)*100)&lt;-50,"NM",(FR480/FP480-1)*100)))</f>
        <v>NM</v>
      </c>
      <c r="FT480" s="216">
        <f>(FT461+FT473)/FT438*100</f>
        <v>53.166367676537639</v>
      </c>
      <c r="FU480" s="79" t="str">
        <f>IF(ISERROR((FT480/FR480-1)*100),"NA",IF(((FT480/FR480-1)*100)&gt;100,"NM",IF(((FT480/FR480-1)*100)&lt;-50,"NM",(FT480/FR480-1)*100)))</f>
        <v>NM</v>
      </c>
      <c r="FV480" s="216">
        <f>(FV461+FV473)/FV438*100</f>
        <v>258.80464526038025</v>
      </c>
      <c r="FW480" s="79" t="str">
        <f>IF(ISERROR((FV480/FT480-1)*100),"NA",IF(((FV480/FT480-1)*100)&gt;100,"NM",IF(((FV480/FT480-1)*100)&lt;-50,"NM",(FV480/FT480-1)*100)))</f>
        <v>NM</v>
      </c>
      <c r="FX480" s="216">
        <f>(FX461+FX473)/FX438*100</f>
        <v>70.667316400180141</v>
      </c>
      <c r="FY480" s="79" t="str">
        <f>IF(ISERROR((FX480/FV480-1)*100),"NA",IF(((FX480/FV480-1)*100)&gt;100,"NM",IF(((FX480/FV480-1)*100)&lt;-50,"NM",(FX480/FV480-1)*100)))</f>
        <v>NM</v>
      </c>
      <c r="FZ480" s="216">
        <f>(FZ461+FZ473)/FZ438*100</f>
        <v>54.899645808736729</v>
      </c>
      <c r="GA480" s="79">
        <f>IF(ISERROR((FZ480/FX480-1)*100),"NA",IF(((FZ480/FX480-1)*100)&gt;100,"NM",IF(((FZ480/FX480-1)*100)&lt;-50,"NM",(FZ480/FX480-1)*100)))</f>
        <v>-22.312536253892922</v>
      </c>
      <c r="GB480" s="216">
        <f>(GB461+GB473)/GB438*100</f>
        <v>113.53543894553594</v>
      </c>
      <c r="GC480" s="79" t="str">
        <f>IF(ISERROR((GB480/FZ480-1)*100),"NA",IF(((GB480/FZ480-1)*100)&gt;100,"NM",IF(((GB480/FZ480-1)*100)&lt;-50,"NM",(GB480/FZ480-1)*100)))</f>
        <v>NM</v>
      </c>
      <c r="GD480" s="216">
        <f>(GD461+GD473)/GD438*100</f>
        <v>67.546303771191347</v>
      </c>
      <c r="GE480" s="79">
        <f>IF(ISERROR((GD480/GB480-1)*100),"NA",IF(((GD480/GB480-1)*100)&gt;100,"NM",IF(((GD480/GB480-1)*100)&lt;-50,"NM",(GD480/GB480-1)*100)))</f>
        <v>-40.506414209933197</v>
      </c>
      <c r="GF480" s="216">
        <f>(GF461+GF473)/GF438*100</f>
        <v>61.670710757998634</v>
      </c>
      <c r="GG480" s="79">
        <f>IF(ISERROR((GF480/GD480-1)*100),"NA",IF(((GF480/GD480-1)*100)&gt;100,"NM",IF(((GF480/GD480-1)*100)&lt;-50,"NM",(GF480/GD480-1)*100)))</f>
        <v>-8.698615150128564</v>
      </c>
      <c r="GH480" s="216">
        <f>(GH461+GH473)/GH438*100</f>
        <v>59.525966183574909</v>
      </c>
      <c r="GI480" s="79">
        <f>IF(ISERROR((GH480/GF480-1)*100),"NA",IF(((GH480/GF480-1)*100)&gt;100,"NM",IF(((GH480/GF480-1)*100)&lt;-50,"NM",(GH480/GF480-1)*100)))</f>
        <v>-3.4777361052962363</v>
      </c>
      <c r="GJ480" s="216">
        <f>(GJ461+GJ473)/GJ438*100</f>
        <v>55.787209314613897</v>
      </c>
      <c r="GK480" s="79">
        <f>IF(ISERROR((GJ480/GH480-1)*100),"NA",IF(((GJ480/GH480-1)*100)&gt;100,"NM",IF(((GJ480/GH480-1)*100)&lt;-50,"NM",(GJ480/GH480-1)*100)))</f>
        <v>-6.2808839715946529</v>
      </c>
      <c r="GL480" s="216">
        <f>(GL461+GL474)/GL438*100</f>
        <v>55.659922051115373</v>
      </c>
      <c r="GM480" s="79">
        <f>IF(ISERROR((GL480/GJ480-1)*100),"NA",IF(((GL480/GJ480-1)*100)&gt;100,"NM",IF(((GL480/GJ480-1)*100)&lt;-50,"NM",(GL480/GJ480-1)*100)))</f>
        <v>-0.22816567643790808</v>
      </c>
      <c r="GN480" s="216">
        <f>(GN461+GN474)/GN438*100</f>
        <v>57.501362569232974</v>
      </c>
      <c r="GO480" s="79">
        <f>IF(ISERROR((GN480/GL480-1)*100),"NA",IF(((GN480/GL480-1)*100)&gt;100,"NM",IF(((GN480/GL480-1)*100)&lt;-50,"NM",(GN480/GL480-1)*100)))</f>
        <v>3.308377824220643</v>
      </c>
      <c r="GP480" s="216">
        <f>(GP461+GP474)/GP438*100</f>
        <v>57.030683193871354</v>
      </c>
      <c r="GQ480" s="79">
        <f>IF(ISERROR((GP480/GN480-1)*100),"NA",IF(((GP480/GN480-1)*100)&gt;100,"NM",IF(((GP480/GN480-1)*100)&lt;-50,"NM",(GP480/GN480-1)*100)))</f>
        <v>-0.81855342957292132</v>
      </c>
      <c r="GR480" s="216">
        <f>(GR461+GR474)/GR438*100</f>
        <v>58.901721092420402</v>
      </c>
      <c r="GS480" s="79">
        <f>IF(ISERROR((GR480/GP480-1)*100),"NA",IF(((GR480/GP480-1)*100)&gt;100,"NM",IF(((GR480/GP480-1)*100)&lt;-50,"NM",(GR480/GP480-1)*100)))</f>
        <v>3.2807565923567816</v>
      </c>
      <c r="GT480" s="79">
        <f>IF(ISERROR(((GR480/GH480)^0.2-1)*100),"NA",(IF(OR(((GR480/GH480)^0.2-1)*100&gt;99,((GR480/GH480)^0.2-1)*100&lt;-50),"NM",(((GR480/GH480)^0.2-1)*100))))</f>
        <v>-0.21062413512721312</v>
      </c>
    </row>
    <row r="481" spans="1:286" ht="12.75" customHeight="1" x14ac:dyDescent="0.2">
      <c r="A481" s="1"/>
      <c r="B481" s="2"/>
      <c r="C481" s="79"/>
      <c r="D481" s="79"/>
      <c r="E481" s="246"/>
      <c r="F481" s="246"/>
      <c r="G481" s="246"/>
      <c r="H481" s="246"/>
      <c r="I481" s="246"/>
      <c r="J481" s="246"/>
      <c r="K481" s="246"/>
      <c r="L481" s="79"/>
      <c r="M481" s="246"/>
      <c r="N481" s="79"/>
      <c r="O481" s="246"/>
      <c r="P481" s="79"/>
      <c r="Q481" s="246"/>
      <c r="R481" s="79"/>
      <c r="S481" s="246"/>
      <c r="T481" s="79"/>
      <c r="U481" s="246"/>
      <c r="V481" s="79"/>
      <c r="W481" s="246"/>
      <c r="X481" s="79"/>
      <c r="Y481" s="246"/>
      <c r="Z481" s="79"/>
      <c r="AA481" s="66"/>
      <c r="AB481" s="79"/>
      <c r="AC481" s="246"/>
      <c r="AD481" s="79"/>
      <c r="AE481" s="246"/>
      <c r="AF481" s="79"/>
      <c r="AG481" s="246"/>
      <c r="AH481" s="79"/>
      <c r="AI481" s="246"/>
      <c r="AJ481" s="79"/>
      <c r="AK481" s="246"/>
      <c r="AL481" s="79"/>
      <c r="AM481" s="246"/>
      <c r="AN481" s="79"/>
      <c r="AO481" s="246"/>
      <c r="AP481" s="79"/>
      <c r="AQ481" s="246"/>
      <c r="AR481" s="79"/>
      <c r="AS481" s="246"/>
      <c r="AT481" s="81"/>
      <c r="AU481" s="246"/>
      <c r="AV481" s="81"/>
      <c r="AW481" s="246"/>
      <c r="AX481" s="81"/>
      <c r="AY481" s="246"/>
      <c r="AZ481" s="81"/>
      <c r="BA481" s="246"/>
      <c r="BB481" s="81"/>
      <c r="BC481" s="246"/>
      <c r="BD481" s="81"/>
      <c r="BE481" s="246"/>
      <c r="BF481" s="81"/>
      <c r="BG481" s="246"/>
      <c r="BH481" s="81"/>
      <c r="BI481" s="246"/>
      <c r="BJ481" s="81"/>
      <c r="BK481" s="246"/>
      <c r="BL481" s="81"/>
      <c r="BM481" s="246"/>
      <c r="BN481" s="81"/>
      <c r="BO481" s="246"/>
      <c r="BP481" s="81"/>
      <c r="BQ481" s="246"/>
      <c r="BR481" s="81"/>
      <c r="BS481" s="246"/>
      <c r="BT481" s="81"/>
      <c r="BU481" s="246"/>
      <c r="BV481" s="81"/>
      <c r="BW481" s="246"/>
      <c r="BX481" s="81"/>
      <c r="BY481" s="246"/>
      <c r="BZ481" s="81"/>
      <c r="CA481" s="246"/>
      <c r="CB481" s="81"/>
      <c r="CC481" s="246"/>
      <c r="CD481" s="81"/>
      <c r="CE481" s="246"/>
      <c r="CF481" s="81"/>
      <c r="CG481" s="246"/>
      <c r="CH481" s="81"/>
      <c r="CI481" s="246"/>
      <c r="CJ481" s="81"/>
      <c r="CK481" s="246"/>
      <c r="CL481" s="81"/>
      <c r="CM481" s="246"/>
      <c r="CN481" s="81"/>
      <c r="CO481" s="246"/>
      <c r="CP481" s="81"/>
      <c r="CQ481" s="246"/>
      <c r="CR481" s="81"/>
      <c r="CS481" s="246"/>
      <c r="CT481" s="81"/>
      <c r="CU481" s="246"/>
      <c r="CV481" s="81"/>
      <c r="CW481" s="246"/>
      <c r="CX481" s="81"/>
      <c r="CY481" s="246"/>
      <c r="CZ481" s="81"/>
      <c r="DA481" s="246"/>
      <c r="DB481" s="81"/>
      <c r="DC481" s="246"/>
      <c r="DD481" s="81"/>
      <c r="DE481" s="246"/>
      <c r="DF481" s="81"/>
      <c r="DG481" s="246"/>
      <c r="DH481" s="81"/>
      <c r="DI481" s="246"/>
      <c r="DJ481" s="81"/>
      <c r="DK481" s="246"/>
      <c r="DL481" s="81"/>
      <c r="DM481" s="246"/>
      <c r="DN481" s="81"/>
      <c r="DO481" s="246"/>
      <c r="DP481" s="81"/>
      <c r="DQ481" s="246"/>
      <c r="DR481" s="81"/>
      <c r="DS481" s="246"/>
      <c r="DT481" s="81"/>
      <c r="DU481" s="246"/>
      <c r="DV481" s="81"/>
      <c r="DW481" s="246"/>
      <c r="DX481" s="81"/>
      <c r="DY481" s="246"/>
      <c r="DZ481" s="81"/>
      <c r="EA481" s="246"/>
      <c r="EB481" s="81"/>
      <c r="EC481" s="246"/>
      <c r="ED481" s="81"/>
      <c r="EE481" s="246"/>
      <c r="EF481" s="81"/>
      <c r="EG481" s="246"/>
      <c r="EH481" s="81"/>
      <c r="EI481" s="246"/>
      <c r="EJ481" s="81"/>
      <c r="EK481" s="246"/>
      <c r="EL481" s="81"/>
      <c r="EM481" s="246"/>
      <c r="EN481" s="81"/>
      <c r="EO481" s="246"/>
      <c r="EP481" s="81"/>
      <c r="EQ481" s="246"/>
      <c r="ER481" s="81"/>
      <c r="ES481" s="82"/>
      <c r="ET481" s="490"/>
      <c r="EU481" s="82"/>
      <c r="EV481" s="327"/>
      <c r="EW481" s="79"/>
      <c r="EX481" s="327"/>
      <c r="EY481" s="79"/>
      <c r="EZ481" s="327"/>
      <c r="FA481" s="79"/>
      <c r="FB481" s="327"/>
      <c r="FC481" s="79"/>
      <c r="FD481" s="327"/>
      <c r="FE481" s="79"/>
      <c r="FF481" s="327"/>
      <c r="FG481" s="79"/>
      <c r="FH481" s="327"/>
      <c r="FI481" s="79"/>
      <c r="FJ481" s="327"/>
      <c r="FK481" s="79"/>
      <c r="FL481" s="327"/>
      <c r="FM481" s="79"/>
      <c r="FN481" s="327"/>
      <c r="FO481" s="79"/>
      <c r="FP481" s="327"/>
      <c r="FQ481" s="79"/>
      <c r="FR481" s="246"/>
      <c r="FS481" s="79"/>
      <c r="FT481" s="246"/>
      <c r="FU481" s="79"/>
      <c r="FV481" s="246"/>
      <c r="FW481" s="79"/>
      <c r="FX481" s="246"/>
      <c r="FY481" s="79"/>
      <c r="FZ481" s="246"/>
      <c r="GA481" s="79"/>
      <c r="GB481" s="246"/>
      <c r="GC481" s="79"/>
      <c r="GD481" s="246"/>
      <c r="GE481" s="79"/>
      <c r="GF481" s="246"/>
      <c r="GG481" s="79"/>
      <c r="GH481" s="246"/>
      <c r="GI481" s="79"/>
      <c r="GJ481" s="246"/>
      <c r="GK481" s="79"/>
      <c r="GL481" s="246"/>
      <c r="GM481" s="79"/>
      <c r="GN481" s="246"/>
      <c r="GO481" s="79"/>
      <c r="GP481" s="246"/>
      <c r="GQ481" s="79"/>
      <c r="GR481" s="246"/>
      <c r="GS481" s="79"/>
      <c r="GT481" s="79"/>
    </row>
    <row r="482" spans="1:286" ht="12.75" customHeight="1" x14ac:dyDescent="0.2">
      <c r="A482" s="1" t="s">
        <v>493</v>
      </c>
      <c r="B482" s="2" t="s">
        <v>54</v>
      </c>
      <c r="C482" s="79"/>
      <c r="D482" s="79"/>
      <c r="E482" s="131">
        <v>241.37975499999999</v>
      </c>
      <c r="F482" s="131"/>
      <c r="G482" s="131">
        <v>241.98206200000001</v>
      </c>
      <c r="H482" s="131"/>
      <c r="I482" s="131">
        <v>242.05371</v>
      </c>
      <c r="J482" s="131"/>
      <c r="K482" s="131">
        <v>242.21870100000001</v>
      </c>
      <c r="L482" s="79"/>
      <c r="M482" s="131">
        <v>242.925119</v>
      </c>
      <c r="N482" s="79">
        <f>IF(ISERROR((M482/E482-1)*100),"NA",IF(((M482/E482-1)*100)&gt;100,"NM",IF(((M482/E482-1)*100)&lt;-50,"NM",(M482/E482-1)*100)))</f>
        <v>0.64022104919279066</v>
      </c>
      <c r="O482" s="131">
        <v>241.387655</v>
      </c>
      <c r="P482" s="79">
        <f>IF(ISERROR((O482/G482-1)*100),"NA",IF(((O482/G482-1)*100)&gt;100,"NM",IF(((O482/G482-1)*100)&lt;-50,"NM",(O482/G482-1)*100)))</f>
        <v>-0.24564093515329066</v>
      </c>
      <c r="Q482" s="131">
        <v>241.50400200000001</v>
      </c>
      <c r="R482" s="79">
        <f>IF(ISERROR((Q482/I482-1)*100),"NA",IF(((Q482/I482-1)*100)&gt;100,"NM",IF(((Q482/I482-1)*100)&lt;-50,"NM",(Q482/I482-1)*100)))</f>
        <v>-0.22710166268469223</v>
      </c>
      <c r="S482" s="131">
        <v>241.58725999999999</v>
      </c>
      <c r="T482" s="79">
        <f>IF(ISERROR((S482/K482-1)*100),"NA",IF(((S482/K482-1)*100)&gt;100,"NM",IF(((S482/K482-1)*100)&lt;-50,"NM",(S482/K482-1)*100)))</f>
        <v>-0.26069044107375205</v>
      </c>
      <c r="U482" s="131">
        <v>241.644012</v>
      </c>
      <c r="V482" s="79">
        <f>IF(ISERROR((U482/M482-1)*100),"NA",IF(((U482/M482-1)*100)&gt;100,"NM",IF(((U482/M482-1)*100)&lt;-50,"NM",(U482/M482-1)*100)))</f>
        <v>-0.52736703609477242</v>
      </c>
      <c r="W482" s="131">
        <v>295.96013199999999</v>
      </c>
      <c r="X482" s="79">
        <f>IF(ISERROR((W482/O482-1)*100),"NA",IF(((W482/O482-1)*100)&gt;100,"NM",IF(((W482/O482-1)*100)&lt;-50,"NM",(W482/O482-1)*100)))</f>
        <v>22.607816045936559</v>
      </c>
      <c r="Y482" s="131">
        <v>296.061937</v>
      </c>
      <c r="Z482" s="79">
        <f>IF(ISERROR((Y482/Q482-1)*100),"NA",IF(((Y482/Q482-1)*100)&gt;100,"NM",IF(((Y482/Q482-1)*100)&lt;-50,"NM",(Y482/Q482-1)*100)))</f>
        <v>22.590903069175639</v>
      </c>
      <c r="AA482" s="126">
        <v>296.14342199999999</v>
      </c>
      <c r="AB482" s="79">
        <f>IF(ISERROR((AA482/S482-1)*100),"NA",IF(((AA482/S482-1)*100)&gt;100,"NM",IF(((AA482/S482-1)*100)&lt;-50,"NM",(AA482/S482-1)*100)))</f>
        <v>22.582383690265793</v>
      </c>
      <c r="AC482" s="131">
        <v>296.291201</v>
      </c>
      <c r="AD482" s="79">
        <f>IF(ISERROR((AC482/U482-1)*100),"NA",IF(((AC482/U482-1)*100)&gt;100,"NM",IF(((AC482/U482-1)*100)&lt;-50,"NM",(AC482/U482-1)*100)))</f>
        <v>22.614749915673471</v>
      </c>
      <c r="AE482" s="131">
        <v>296.40553199999999</v>
      </c>
      <c r="AF482" s="79">
        <f>IF(ISERROR((AE482/W482-1)*100),"NA",IF(((AE482/W482-1)*100)&gt;100,"NM",IF(((AE482/W482-1)*100)&lt;-50,"NM",(AE482/W482-1)*100)))</f>
        <v>0.15049324278582077</v>
      </c>
      <c r="AG482" s="131">
        <v>296.491489</v>
      </c>
      <c r="AH482" s="79">
        <f>IF(ISERROR((AG482/Y482-1)*100),"NA",IF(((AG482/Y482-1)*100)&gt;100,"NM",IF(((AG482/Y482-1)*100)&lt;-50,"NM",(AG482/Y482-1)*100)))</f>
        <v>0.14508855962798162</v>
      </c>
      <c r="AI482" s="131">
        <v>296.54591299999998</v>
      </c>
      <c r="AJ482" s="79">
        <f>IF(ISERROR((AI482/AA482-1)*100),"NA",IF(((AI482/AA482-1)*100)&gt;100,"NM",IF(((AI482/AA482-1)*100)&lt;-50,"NM",(AI482/AA482-1)*100)))</f>
        <v>0.13591083579767016</v>
      </c>
      <c r="AK482" s="131">
        <v>297.80119300000001</v>
      </c>
      <c r="AL482" s="79">
        <f>IF(ISERROR((AK482/AC482-1)*100),"NA",IF(((AK482/AC482-1)*100)&gt;100,"NM",IF(((AK482/AC482-1)*100)&lt;-50,"NM",(AK482/AC482-1)*100)))</f>
        <v>0.50963106393429047</v>
      </c>
      <c r="AM482" s="131">
        <v>297.8</v>
      </c>
      <c r="AN482" s="79">
        <f>IF(ISERROR((AM482/AE482-1)*100),"NA",IF(((AM482/AE482-1)*100)&gt;100,"NM",IF(((AM482/AE482-1)*100)&lt;-50,"NM",(AM482/AE482-1)*100)))</f>
        <v>0.47045950545889781</v>
      </c>
      <c r="AO482" s="131">
        <v>298.01924700000001</v>
      </c>
      <c r="AP482" s="79">
        <f>IF(ISERROR((AO482/AG482-1)*100),"NA",IF(((AO482/AG482-1)*100)&gt;100,"NM",IF(((AO482/AG482-1)*100)&lt;-50,"NM",(AO482/AG482-1)*100)))</f>
        <v>0.51527887196789468</v>
      </c>
      <c r="AQ482" s="131">
        <v>298.55776400000002</v>
      </c>
      <c r="AR482" s="79">
        <f>IF(ISERROR((AQ482/AI482-1)*100),"NA",IF(((AQ482/AI482-1)*100)&gt;100,"NM",IF(((AQ482/AI482-1)*100)&lt;-50,"NM",(AQ482/AI482-1)*100)))</f>
        <v>0.6784281663662739</v>
      </c>
      <c r="AS482" s="131">
        <v>299.41765099999998</v>
      </c>
      <c r="AT482" s="81">
        <f>IF(ISERROR((AS482/AK482-1)*100),"NA",IF(((AS482/AK482-1)*100)&gt;100,"NM",IF(((AS482/AK482-1)*100)&lt;-50,"NM",(AS482/AK482-1)*100)))</f>
        <v>0.54279769121003962</v>
      </c>
      <c r="AU482" s="131">
        <v>342.51835</v>
      </c>
      <c r="AV482" s="81">
        <f>IF(ISERROR((AU482/AM482-1)*100),"NA",IF(((AU482/AM482-1)*100)&gt;100,"NM",IF(((AU482/AM482-1)*100)&lt;-50,"NM",(AU482/AM482-1)*100)))</f>
        <v>15.016235728676964</v>
      </c>
      <c r="AW482" s="131">
        <v>342.54172199999999</v>
      </c>
      <c r="AX482" s="81">
        <f>IF(ISERROR((AW482/AO482-1)*100),"NA",IF(((AW482/AO482-1)*100)&gt;100,"NM",IF(((AW482/AO482-1)*100)&lt;-50,"NM",(AW482/AO482-1)*100)))</f>
        <v>14.939462953545402</v>
      </c>
      <c r="AY482" s="131">
        <v>342.627521</v>
      </c>
      <c r="AZ482" s="81">
        <f>IF(ISERROR((AY482/AQ482-1)*100),"NA",IF(((AY482/AQ482-1)*100)&gt;100,"NM",IF(((AY482/AQ482-1)*100)&lt;-50,"NM",(AY482/AQ482-1)*100)))</f>
        <v>14.760881247757451</v>
      </c>
      <c r="BA482" s="131">
        <v>342.80295999999998</v>
      </c>
      <c r="BB482" s="81">
        <f>IF(ISERROR((BA482/AS482-1)*100),"NA",IF(((BA482/AS482-1)*100)&gt;100,"NM",IF(((BA482/AS482-1)*100)&lt;-50,"NM",(BA482/AS482-1)*100)))</f>
        <v>14.489896923277911</v>
      </c>
      <c r="BC482" s="131">
        <v>360.79715399999998</v>
      </c>
      <c r="BD482" s="81">
        <f>IF(ISERROR((BC482/AU482-1)*100),"NA",IF(((BC482/AU482-1)*100)&gt;100,"NM",IF(((BC482/AU482-1)*100)&lt;-50,"NM",(BC482/AU482-1)*100)))</f>
        <v>5.3365911636559016</v>
      </c>
      <c r="BE482" s="131">
        <v>360.79715399999998</v>
      </c>
      <c r="BF482" s="81">
        <f>IF(ISERROR((BE482/AW482-1)*100),"NA",IF(((BE482/AW482-1)*100)&gt;100,"NM",IF(((BE482/AW482-1)*100)&lt;-50,"NM",(BE482/AW482-1)*100)))</f>
        <v>5.3294039317055786</v>
      </c>
      <c r="BG482" s="131">
        <v>360.89347500000002</v>
      </c>
      <c r="BH482" s="81">
        <f>IF(ISERROR((BG482/AY482-1)*100),"NA",IF(((BG482/AY482-1)*100)&gt;100,"NM",IF(((BG482/AY482-1)*100)&lt;-50,"NM",(BG482/AY482-1)*100)))</f>
        <v>5.3311403435102322</v>
      </c>
      <c r="BI482" s="131">
        <v>346.29318599999999</v>
      </c>
      <c r="BJ482" s="81">
        <f>IF(ISERROR((BI482/BA482-1)*100),"NA",IF(((BI482/BA482-1)*100)&gt;100,"NM",IF(((BI482/BA482-1)*100)&lt;-50,"NM",(BI482/BA482-1)*100)))</f>
        <v>1.0181434839419135</v>
      </c>
      <c r="BK482" s="131">
        <v>345.45389899999998</v>
      </c>
      <c r="BL482" s="81">
        <f>IF(ISERROR((BK482/BC482-1)*100),"NA",IF(((BK482/BC482-1)*100)&gt;100,"NM",IF(((BK482/BC482-1)*100)&lt;-50,"NM",(BK482/BC482-1)*100)))</f>
        <v>-4.2525986776492104</v>
      </c>
      <c r="BM482" s="131">
        <v>333.05986000000001</v>
      </c>
      <c r="BN482" s="81">
        <f>IF(ISERROR((BM482/BE482-1)*100),"NA",IF(((BM482/BE482-1)*100)&gt;100,"NM",IF(((BM482/BE482-1)*100)&lt;-50,"NM",(BM482/BE482-1)*100)))</f>
        <v>-7.6877807079376197</v>
      </c>
      <c r="BO482" s="131">
        <v>331.12034499999999</v>
      </c>
      <c r="BP482" s="81">
        <f>IF(ISERROR((BO482/BG482-1)*100),"NA",IF(((BO482/BG482-1)*100)&gt;100,"NM",IF(((BO482/BG482-1)*100)&lt;-50,"NM",(BO482/BG482-1)*100)))</f>
        <v>-8.2498388201670991</v>
      </c>
      <c r="BQ482" s="131">
        <v>331.20752700000003</v>
      </c>
      <c r="BR482" s="81">
        <f>IF(ISERROR((BQ482/BI482-1)*100),"NA",IF(((BQ482/BI482-1)*100)&gt;100,"NM",IF(((BQ482/BI482-1)*100)&lt;-50,"NM",(BQ482/BI482-1)*100)))</f>
        <v>-4.3563256829431189</v>
      </c>
      <c r="BS482" s="131">
        <v>331.32810899999998</v>
      </c>
      <c r="BT482" s="81">
        <f>IF(ISERROR((BS482/BK482-1)*100),"NA",IF(((BS482/BK482-1)*100)&gt;100,"NM",IF(((BS482/BK482-1)*100)&lt;-50,"NM",(BS482/BK482-1)*100)))</f>
        <v>-4.0890521255920191</v>
      </c>
      <c r="BU482" s="131">
        <v>331.63181900000001</v>
      </c>
      <c r="BV482" s="81">
        <f>IF(ISERROR((BU482/BM482-1)*100),"NA",IF(((BU482/BM482-1)*100)&gt;100,"NM",IF(((BU482/BM482-1)*100)&lt;-50,"NM",(BU482/BM482-1)*100)))</f>
        <v>-0.42876406661553901</v>
      </c>
      <c r="BW482" s="131">
        <v>331.80924700000003</v>
      </c>
      <c r="BX482" s="81">
        <f>IF(ISERROR((BW482/BO482-1)*100),"NA",IF(((BW482/BO482-1)*100)&gt;100,"NM",IF(((BW482/BO482-1)*100)&lt;-50,"NM",(BW482/BO482-1)*100)))</f>
        <v>0.20805184894332474</v>
      </c>
      <c r="BY482" s="131">
        <v>332.77545199999997</v>
      </c>
      <c r="BZ482" s="81">
        <f>IF(ISERROR((BY482/BQ482-1)*100),"NA",IF(((BY482/BQ482-1)*100)&gt;100,"NM",IF(((BY482/BQ482-1)*100)&lt;-50,"NM",(BY482/BQ482-1)*100)))</f>
        <v>0.47339654814062548</v>
      </c>
      <c r="CA482" s="131">
        <v>327.14199300000001</v>
      </c>
      <c r="CB482" s="81">
        <f>IF(ISERROR((CA482/BS482-1)*100),"NA",IF(((CA482/BS482-1)*100)&gt;100,"NM",IF(((CA482/BS482-1)*100)&lt;-50,"NM",(CA482/BS482-1)*100)))</f>
        <v>-1.2634352130986737</v>
      </c>
      <c r="CC482" s="131">
        <v>317.79000000000002</v>
      </c>
      <c r="CD482" s="81">
        <f>IF(ISERROR((CC482/BU482-1)*100),"NA",IF(((CC482/BU482-1)*100)&gt;100,"NM",IF(((CC482/BU482-1)*100)&lt;-50,"NM",(CC482/BU482-1)*100)))</f>
        <v>-4.1738513034540787</v>
      </c>
      <c r="CE482" s="131">
        <v>316.57345199999997</v>
      </c>
      <c r="CF482" s="81">
        <f>IF(ISERROR((CE482/BW482-1)*100),"NA",IF(((CE482/BW482-1)*100)&gt;100,"NM",IF(((CE482/BW482-1)*100)&lt;-50,"NM",(CE482/BW482-1)*100)))</f>
        <v>-4.5917330929599043</v>
      </c>
      <c r="CG482" s="131">
        <v>308.96623699999998</v>
      </c>
      <c r="CH482" s="81">
        <f>IF(ISERROR((CG482/BY482-1)*100),"NA",IF(((CG482/BY482-1)*100)&gt;100,"NM",IF(((CG482/BY482-1)*100)&lt;-50,"NM",(CG482/BY482-1)*100)))</f>
        <v>-7.15473898597544</v>
      </c>
      <c r="CI482" s="131">
        <v>303.38691399999999</v>
      </c>
      <c r="CJ482" s="81">
        <f>IF(ISERROR((CI482/CA482-1)*100),"NA",IF(((CI482/CA482-1)*100)&gt;100,"NM",IF(((CI482/CA482-1)*100)&lt;-50,"NM",(CI482/CA482-1)*100)))</f>
        <v>-7.2613970411313122</v>
      </c>
      <c r="CK482" s="131">
        <v>292.33694500000001</v>
      </c>
      <c r="CL482" s="81">
        <f>IF(ISERROR((CK482/CC482-1)*100),"NA",IF(((CK482/CC482-1)*100)&gt;100,"NM",IF(((CK482/CC482-1)*100)&lt;-50,"NM",(CK482/CC482-1)*100)))</f>
        <v>-8.0093945687403689</v>
      </c>
      <c r="CM482" s="131">
        <v>292.71595400000001</v>
      </c>
      <c r="CN482" s="81">
        <f>IF(ISERROR((CM482/CE482-1)*100),"NA",IF(((CM482/CE482-1)*100)&gt;100,"NM",IF(((CM482/CE482-1)*100)&lt;-50,"NM",(CM482/CE482-1)*100)))</f>
        <v>-7.536165098266034</v>
      </c>
      <c r="CO482" s="131">
        <v>285.81240100000002</v>
      </c>
      <c r="CP482" s="81">
        <f>IF(ISERROR((CO482/CG482-1)*100),"NA",IF(((CO482/CG482-1)*100)&gt;100,"NM",IF(((CO482/CG482-1)*100)&lt;-50,"NM",(CO482/CG482-1)*100)))</f>
        <v>-7.4939696404432539</v>
      </c>
      <c r="CQ482" s="131">
        <v>280.04681299999999</v>
      </c>
      <c r="CR482" s="81">
        <f>IF(ISERROR((CQ482/CI482-1)*100),"NA",IF(((CQ482/CI482-1)*100)&gt;100,"NM",IF(((CQ482/CI482-1)*100)&lt;-50,"NM",(CQ482/CI482-1)*100)))</f>
        <v>-7.6931798712979393</v>
      </c>
      <c r="CS482" s="131">
        <v>275.08528699999999</v>
      </c>
      <c r="CT482" s="7">
        <f>IF(ISERROR((CS482/CK482-1)*100),"NA",IF(((CS482/CK482-1)*100)&gt;100,"NM",IF(((CS482/CK482-1)*100)&lt;-50,"NM",(CS482/CK482-1)*100)))</f>
        <v>-5.9012924281602537</v>
      </c>
      <c r="CU482" s="131">
        <v>270.20518499999997</v>
      </c>
      <c r="CV482" s="7">
        <f>IF(ISERROR((CU482/CM482-1)*100),"NA",IF(((CU482/CM482-1)*100)&gt;100,"NM",IF(((CU482/CM482-1)*100)&lt;-50,"NM",(CU482/CM482-1)*100)))</f>
        <v>-7.6903116117818531</v>
      </c>
      <c r="CW482" s="131">
        <v>266.96779800000002</v>
      </c>
      <c r="CX482" s="7">
        <f>IF(ISERROR((CW482/CO482-1)*100),"NA",IF(((CW482/CO482-1)*100)&gt;100,"NM",IF(((CW482/CO482-1)*100)&lt;-50,"NM",(CW482/CO482-1)*100)))</f>
        <v>-6.5933468716075749</v>
      </c>
      <c r="CY482" s="131">
        <v>263.56494099999998</v>
      </c>
      <c r="CZ482" s="7">
        <f>IF(ISERROR((CY482/CQ482-1)*100),"NA",IF(((CY482/CQ482-1)*100)&gt;100,"NM",IF(((CY482/CQ482-1)*100)&lt;-50,"NM",(CY482/CQ482-1)*100)))</f>
        <v>-5.8853988815077196</v>
      </c>
      <c r="DA482" s="131">
        <v>261.13963799999999</v>
      </c>
      <c r="DB482" s="7">
        <f>IF(ISERROR((DA482/CS482-1)*100),"NA",IF(((DA482/CS482-1)*100)&gt;100,"NM",IF(((DA482/CS482-1)*100)&lt;-50,"NM",(DA482/CS482-1)*100)))</f>
        <v>-5.0695728412403218</v>
      </c>
      <c r="DC482" s="131">
        <v>260</v>
      </c>
      <c r="DD482" s="81">
        <f>IF(ISERROR((DC482/CU482-1)*100),"NA",IF(((DC482/CU482-1)*100)&gt;100,"NM",IF(((DC482/CU482-1)*100)&lt;-50,"NM",(DC482/CU482-1)*100)))</f>
        <v>-3.7768279687156903</v>
      </c>
      <c r="DE482" s="131">
        <v>257.60000000000002</v>
      </c>
      <c r="DF482" s="81">
        <f>IF(ISERROR((DE482/CW482-1)*100),"NA",IF(((DE482/CW482-1)*100)&gt;100,"NM",IF(((DE482/CW482-1)*100)&lt;-50,"NM",(DE482/CW482-1)*100)))</f>
        <v>-3.5089617812257612</v>
      </c>
      <c r="DG482" s="131">
        <v>254.8</v>
      </c>
      <c r="DH482" s="81">
        <f>IF(ISERROR((DG482/CY482-1)*100),"NA",IF(((DG482/CY482-1)*100)&gt;100,"NM",IF(((DG482/CY482-1)*100)&lt;-50,"NM",(DG482/CY482-1)*100)))</f>
        <v>-3.3255337249122108</v>
      </c>
      <c r="DI482" s="131">
        <v>251.9</v>
      </c>
      <c r="DJ482" s="81">
        <f>IF(ISERROR((DI482/DA482-1)*100),"NA",IF(((DI482/DA482-1)*100)&gt;100,"NM",IF(((DI482/DA482-1)*100)&lt;-50,"NM",(DI482/DA482-1)*100)))</f>
        <v>-3.53819821102761</v>
      </c>
      <c r="DK482" s="131">
        <v>252.3</v>
      </c>
      <c r="DL482" s="81">
        <f>IF(ISERROR((DK482/DC482-1)*100),"NA",IF(((DK482/DC482-1)*100)&gt;100,"NM",IF(((DK482/DC482-1)*100)&lt;-50,"NM",(DK482/DC482-1)*100)))</f>
        <v>-2.9615384615384599</v>
      </c>
      <c r="DM482" s="131">
        <v>249.5</v>
      </c>
      <c r="DN482" s="81">
        <f>IF(ISERROR((DM482/DE482-1)*100),"NA",IF(((DM482/DE482-1)*100)&gt;100,"NM",IF(((DM482/DE482-1)*100)&lt;-50,"NM",(DM482/DE482-1)*100)))</f>
        <v>-3.144409937888204</v>
      </c>
      <c r="DO482" s="131">
        <v>246.6</v>
      </c>
      <c r="DP482" s="81">
        <f>IF(ISERROR((DO482/DG482-1)*100),"NA",IF(((DO482/DG482-1)*100)&gt;100,"NM",IF(((DO482/DG482-1)*100)&lt;-50,"NM",(DO482/DG482-1)*100)))</f>
        <v>-3.2182103610675084</v>
      </c>
      <c r="DQ482" s="131">
        <v>243.4</v>
      </c>
      <c r="DR482" s="81">
        <f>IF(ISERROR((DQ482/DI482-1)*100),"NA",IF(((DQ482/DI482-1)*100)&gt;100,"NM",IF(((DQ482/DI482-1)*100)&lt;-50,"NM",(DQ482/DI482-1)*100)))</f>
        <v>-3.374354902739185</v>
      </c>
      <c r="DS482" s="131">
        <v>240.9</v>
      </c>
      <c r="DT482" s="81">
        <f>IF(ISERROR((DS482/DK482-1)*100),"NA",IF(((DS482/DK482-1)*100)&gt;100,"NM",IF(((DS482/DK482-1)*100)&lt;-50,"NM",(DS482/DK482-1)*100)))</f>
        <v>-4.5184304399524367</v>
      </c>
      <c r="DU482" s="131">
        <v>237.74</v>
      </c>
      <c r="DV482" s="81">
        <f>IF(ISERROR((DU482/DM482-1)*100),"NA",IF(((DU482/DM482-1)*100)&gt;100,"NM",IF(((DU482/DM482-1)*100)&lt;-50,"NM",(DU482/DM482-1)*100)))</f>
        <v>-4.7134268537074142</v>
      </c>
      <c r="DW482" s="131">
        <v>235.03</v>
      </c>
      <c r="DX482" s="81">
        <f>IF(ISERROR((DW482/DO482-1)*100),"NA",IF(((DW482/DO482-1)*100)&gt;100,"NM",IF(((DW482/DO482-1)*100)&lt;-50,"NM",(DW482/DO482-1)*100)))</f>
        <v>-4.6918085969180794</v>
      </c>
      <c r="DY482" s="131">
        <v>232.1</v>
      </c>
      <c r="DZ482" s="81">
        <f>IF(ISERROR((DY482/DQ482-1)*100),"NA",IF(((DY482/DQ482-1)*100)&gt;100,"NM",IF(((DY482/DQ482-1)*100)&lt;-50,"NM",(DY482/DQ482-1)*100)))</f>
        <v>-4.6425636811832423</v>
      </c>
      <c r="EA482" s="131">
        <v>229.8</v>
      </c>
      <c r="EB482" s="81">
        <f>IF(ISERROR((EA482/DS482-1)*100),"NA",IF(((EA482/DS482-1)*100)&gt;100,"NM",IF(((EA482/DS482-1)*100)&lt;-50,"NM",(EA482/DS482-1)*100)))</f>
        <v>-4.6077210460772067</v>
      </c>
      <c r="EC482" s="131">
        <v>228.1</v>
      </c>
      <c r="ED482" s="81">
        <f t="shared" ref="ED482:ED483" si="1754">IF(ISERROR((EC482/DU482-1)*100),"NA",IF(((EC482/DU482-1)*100)&gt;100,"NM",IF(((EC482/DU482-1)*100)&lt;-50,"NM",(EC482/DU482-1)*100)))</f>
        <v>-4.0548498359552543</v>
      </c>
      <c r="EE482" s="131">
        <v>226.1</v>
      </c>
      <c r="EF482" s="81">
        <f t="shared" ref="EF482:EF483" si="1755">IF(ISERROR((EE482/DW482-1)*100),"NA",IF(((EE482/DW482-1)*100)&gt;100,"NM",IF(((EE482/DW482-1)*100)&lt;-50,"NM",(EE482/DW482-1)*100)))</f>
        <v>-3.7995149555375973</v>
      </c>
      <c r="EG482" s="131">
        <v>224.4</v>
      </c>
      <c r="EH482" s="81">
        <f t="shared" ref="EH482:EH483" si="1756">IF(ISERROR((EG482/DY482-1)*100),"NA",IF(((EG482/DY482-1)*100)&gt;100,"NM",IF(((EG482/DY482-1)*100)&lt;-50,"NM",(EG482/DY482-1)*100)))</f>
        <v>-3.3175355450236865</v>
      </c>
      <c r="EI482" s="131">
        <v>222.5</v>
      </c>
      <c r="EJ482" s="81">
        <f t="shared" ref="EJ482:EJ483" si="1757">IF(ISERROR((EI482/EA482-1)*100),"NA",IF(((EI482/EA482-1)*100)&gt;100,"NM",IF(((EI482/EA482-1)*100)&lt;-50,"NM",(EI482/EA482-1)*100)))</f>
        <v>-3.1766753698868611</v>
      </c>
      <c r="EK482" s="192">
        <f t="shared" ref="EK482" si="1758">EI482+EK465-EK470</f>
        <v>220.58610041249085</v>
      </c>
      <c r="EL482" s="81">
        <f t="shared" ref="EL482:EL483" si="1759">IF(ISERROR((EK482/EC482-1)*100),"NA",IF(((EK482/EC482-1)*100)&gt;100,"NM",IF(((EK482/EC482-1)*100)&lt;-50,"NM",(EK482/EC482-1)*100)))</f>
        <v>-3.2941252027659518</v>
      </c>
      <c r="EM482" s="192">
        <f t="shared" ref="EM482" si="1760">EK482+EM465-EM470</f>
        <v>218.70159539260493</v>
      </c>
      <c r="EN482" s="81">
        <f t="shared" ref="EN482:EN483" si="1761">IF(ISERROR((EM482/EE482-1)*100),"NA",IF(((EM482/EE482-1)*100)&gt;100,"NM",IF(((EM482/EE482-1)*100)&lt;-50,"NM",(EM482/EE482-1)*100)))</f>
        <v>-3.2721824888965356</v>
      </c>
      <c r="EO482" s="192">
        <f t="shared" ref="EO482" si="1762">EM482+EO465-EO470</f>
        <v>216.84496852416888</v>
      </c>
      <c r="EP482" s="81">
        <f t="shared" ref="EP482:EP483" si="1763">IF(ISERROR((EO482/EG482-1)*100),"NA",IF(((EO482/EG482-1)*100)&gt;100,"NM",IF(((EO482/EG482-1)*100)&lt;-50,"NM",(EO482/EG482-1)*100)))</f>
        <v>-3.3667698198890927</v>
      </c>
      <c r="EQ482" s="192">
        <f t="shared" ref="EQ482" si="1764">EO482+EQ465-EQ470</f>
        <v>215.01594026899684</v>
      </c>
      <c r="ER482" s="81">
        <f t="shared" ref="ER482:ER483" si="1765">IF(ISERROR((EQ482/EI482-1)*100),"NA",IF(((EQ482/EI482-1)*100)&gt;100,"NM",IF(((EQ482/EI482-1)*100)&lt;-50,"NM",(EQ482/EI482-1)*100)))</f>
        <v>-3.3636223510126517</v>
      </c>
      <c r="ES482" s="82"/>
      <c r="ET482" s="469"/>
      <c r="EU482" s="82"/>
      <c r="EV482" s="131"/>
      <c r="EW482" s="79"/>
      <c r="EX482" s="131"/>
      <c r="EY482" s="79"/>
      <c r="EZ482" s="75"/>
      <c r="FA482" s="79"/>
      <c r="FB482" s="35">
        <f>+K482</f>
        <v>242.21870100000001</v>
      </c>
      <c r="FC482" s="79" t="str">
        <f>IF(ISERROR((FB482/EZ482-1)*100),"NA",IF(((FB482/EZ482-1)*100)&gt;100,"NM",IF(((FB482/EZ482-1)*100)&lt;-50,"NM",(FB482/EZ482-1)*100)))</f>
        <v>NA</v>
      </c>
      <c r="FD482" s="75">
        <f>FB482+FD465-FD470</f>
        <v>242.21870100000001</v>
      </c>
      <c r="FE482" s="79">
        <f>IF(ISERROR((FD482/FB482-1)*100),"NA",IF(((FD482/FB482-1)*100)&gt;100,"NM",IF(((FD482/FB482-1)*100)&lt;-50,"NM",(FD482/FB482-1)*100)))</f>
        <v>0</v>
      </c>
      <c r="FF482" s="75">
        <f>+AA482</f>
        <v>296.14342199999999</v>
      </c>
      <c r="FG482" s="79">
        <f>IF(ISERROR((FF482/FD482-1)*100),"NA",IF(((FF482/FD482-1)*100)&gt;100,"NM",IF(((FF482/FD482-1)*100)&lt;-50,"NM",(FF482/FD482-1)*100)))</f>
        <v>22.262823133544906</v>
      </c>
      <c r="FH482" s="75">
        <f>+AI482</f>
        <v>296.54591299999998</v>
      </c>
      <c r="FI482" s="79">
        <f>IF(ISERROR((FH482/FF482-1)*100),"NA",IF(((FH482/FF482-1)*100)&gt;100,"NM",IF(((FH482/FF482-1)*100)&lt;-50,"NM",(FH482/FF482-1)*100)))</f>
        <v>0.13591083579767016</v>
      </c>
      <c r="FJ482" s="192">
        <f>+AQ482</f>
        <v>298.55776400000002</v>
      </c>
      <c r="FK482" s="79">
        <f>IF(ISERROR((FJ482/FH482-1)*100),"NA",IF(((FJ482/FH482-1)*100)&gt;100,"NM",IF(((FJ482/FH482-1)*100)&lt;-50,"NM",(FJ482/FH482-1)*100)))</f>
        <v>0.6784281663662739</v>
      </c>
      <c r="FL482" s="192">
        <f>AY482</f>
        <v>342.627521</v>
      </c>
      <c r="FM482" s="79">
        <f>IF(ISERROR((FL482/FJ482-1)*100),"NA",IF(((FL482/FJ482-1)*100)&gt;100,"NM",IF(((FL482/FJ482-1)*100)&lt;-50,"NM",(FL482/FJ482-1)*100)))</f>
        <v>14.760881247757451</v>
      </c>
      <c r="FN482" s="192">
        <f>BG482</f>
        <v>360.89347500000002</v>
      </c>
      <c r="FO482" s="79">
        <f>IF(ISERROR((FN482/FL482-1)*100),"NA",IF(((FN482/FL482-1)*100)&gt;100,"NM",IF(((FN482/FL482-1)*100)&lt;-50,"NM",(FN482/FL482-1)*100)))</f>
        <v>5.3311403435102322</v>
      </c>
      <c r="FP482" s="192">
        <f>BO482</f>
        <v>331.12034499999999</v>
      </c>
      <c r="FQ482" s="79">
        <f>IF(ISERROR((FP482/FN482-1)*100),"NA",IF(((FP482/FN482-1)*100)&gt;100,"NM",IF(((FP482/FN482-1)*100)&lt;-50,"NM",(FP482/FN482-1)*100)))</f>
        <v>-8.2498388201670991</v>
      </c>
      <c r="FR482" s="192">
        <f>BW482</f>
        <v>331.80924700000003</v>
      </c>
      <c r="FS482" s="79">
        <f>IF(ISERROR((FR482/FP482-1)*100),"NA",IF(((FR482/FP482-1)*100)&gt;100,"NM",IF(((FR482/FP482-1)*100)&lt;-50,"NM",(FR482/FP482-1)*100)))</f>
        <v>0.20805184894332474</v>
      </c>
      <c r="FT482" s="192">
        <f>CE482</f>
        <v>316.57345199999997</v>
      </c>
      <c r="FU482" s="79">
        <f>IF(ISERROR((FT482/FR482-1)*100),"NA",IF(((FT482/FR482-1)*100)&gt;100,"NM",IF(((FT482/FR482-1)*100)&lt;-50,"NM",(FT482/FR482-1)*100)))</f>
        <v>-4.5917330929599043</v>
      </c>
      <c r="FV482" s="192">
        <f>CM482</f>
        <v>292.71595400000001</v>
      </c>
      <c r="FW482" s="79">
        <f>IF(ISERROR((FV482/FT482-1)*100),"NA",IF(((FV482/FT482-1)*100)&gt;100,"NM",IF(((FV482/FT482-1)*100)&lt;-50,"NM",(FV482/FT482-1)*100)))</f>
        <v>-7.536165098266034</v>
      </c>
      <c r="FX482" s="192">
        <f>CU482</f>
        <v>270.20518499999997</v>
      </c>
      <c r="FY482" s="79">
        <f>IF(ISERROR((FX482/FV482-1)*100),"NA",IF(((FX482/FV482-1)*100)&gt;100,"NM",IF(((FX482/FV482-1)*100)&lt;-50,"NM",(FX482/FV482-1)*100)))</f>
        <v>-7.6903116117818531</v>
      </c>
      <c r="FZ482" s="192">
        <f>DC482</f>
        <v>260</v>
      </c>
      <c r="GA482" s="79">
        <f>IF(ISERROR((FZ482/FX482-1)*100),"NA",IF(((FZ482/FX482-1)*100)&gt;100,"NM",IF(((FZ482/FX482-1)*100)&lt;-50,"NM",(FZ482/FX482-1)*100)))</f>
        <v>-3.7768279687156903</v>
      </c>
      <c r="GB482" s="192">
        <f>DK482</f>
        <v>252.3</v>
      </c>
      <c r="GC482" s="79">
        <f>IF(ISERROR((GB482/FZ482-1)*100),"NA",IF(((GB482/FZ482-1)*100)&gt;100,"NM",IF(((GB482/FZ482-1)*100)&lt;-50,"NM",(GB482/FZ482-1)*100)))</f>
        <v>-2.9615384615384599</v>
      </c>
      <c r="GD482" s="192">
        <f>DS482</f>
        <v>240.9</v>
      </c>
      <c r="GE482" s="79">
        <f>IF(ISERROR((GD482/GB482-1)*100),"NA",IF(((GD482/GB482-1)*100)&gt;100,"NM",IF(((GD482/GB482-1)*100)&lt;-50,"NM",(GD482/GB482-1)*100)))</f>
        <v>-4.5184304399524367</v>
      </c>
      <c r="GF482" s="192">
        <f>EA482</f>
        <v>229.8</v>
      </c>
      <c r="GG482" s="79">
        <f>IF(ISERROR((GF482/GD482-1)*100),"NA",IF(((GF482/GD482-1)*100)&gt;100,"NM",IF(((GF482/GD482-1)*100)&lt;-50,"NM",(GF482/GD482-1)*100)))</f>
        <v>-4.6077210460772067</v>
      </c>
      <c r="GH482" s="192">
        <f>EI482</f>
        <v>222.5</v>
      </c>
      <c r="GI482" s="79">
        <f>IF(ISERROR((GH482/GF482-1)*100),"NA",IF(((GH482/GF482-1)*100)&gt;100,"NM",IF(((GH482/GF482-1)*100)&lt;-50,"NM",(GH482/GF482-1)*100)))</f>
        <v>-3.1766753698868611</v>
      </c>
      <c r="GJ482" s="192">
        <f>EQ482</f>
        <v>215.01594026899684</v>
      </c>
      <c r="GK482" s="79">
        <f>IF(ISERROR((GJ482/GH482-1)*100),"NA",IF(((GJ482/GH482-1)*100)&gt;100,"NM",IF(((GJ482/GH482-1)*100)&lt;-50,"NM",(GJ482/GH482-1)*100)))</f>
        <v>-3.3636223510126517</v>
      </c>
      <c r="GL482" s="192">
        <f>GJ482+GL465-GL470</f>
        <v>207.95519354645614</v>
      </c>
      <c r="GM482" s="79">
        <f>IF(ISERROR((GL482/GJ482-1)*100),"NA",IF(((GL482/GJ482-1)*100)&gt;100,"NM",IF(((GL482/GJ482-1)*100)&lt;-50,"NM",(GL482/GJ482-1)*100)))</f>
        <v>-3.2838247776919793</v>
      </c>
      <c r="GN482" s="192">
        <f>GL482+GN465-GN470</f>
        <v>200.87028269362995</v>
      </c>
      <c r="GO482" s="79">
        <f>IF(ISERROR((GN482/GL482-1)*100),"NA",IF(((GN482/GL482-1)*100)&gt;100,"NM",IF(((GN482/GL482-1)*100)&lt;-50,"NM",(GN482/GL482-1)*100)))</f>
        <v>-3.406941049175316</v>
      </c>
      <c r="GP482" s="192">
        <f>GN482+GP465-GP470</f>
        <v>194.17412274517872</v>
      </c>
      <c r="GQ482" s="79">
        <f>IF(ISERROR((GP482/GN482-1)*100),"NA",IF(((GP482/GN482-1)*100)&gt;100,"NM",IF(((GP482/GN482-1)*100)&lt;-50,"NM",(GP482/GN482-1)*100)))</f>
        <v>-3.333574214491597</v>
      </c>
      <c r="GR482" s="192">
        <f>GP482+GR465-GR470</f>
        <v>187.46758994469889</v>
      </c>
      <c r="GS482" s="79">
        <f>IF(ISERROR((GR482/GP482-1)*100),"NA",IF(((GR482/GP482-1)*100)&gt;100,"NM",IF(((GR482/GP482-1)*100)&lt;-50,"NM",(GR482/GP482-1)*100)))</f>
        <v>-3.4538756790373326</v>
      </c>
      <c r="GT482" s="79">
        <f>IF(ISERROR(((GR482/GH482)^0.2-1)*100),"NA",(IF(OR(((GR482/GH482)^0.2-1)*100&gt;99,((GR482/GH482)^0.2-1)*100&lt;-50),"NM",(((GR482/GH482)^0.2-1)*100))))</f>
        <v>-3.3683853935340569</v>
      </c>
    </row>
    <row r="483" spans="1:286" ht="12.75" customHeight="1" x14ac:dyDescent="0.2">
      <c r="A483" s="1"/>
      <c r="B483" s="68" t="s">
        <v>315</v>
      </c>
      <c r="C483" s="79"/>
      <c r="D483" s="79"/>
      <c r="E483" s="131">
        <v>241.4109</v>
      </c>
      <c r="F483" s="131"/>
      <c r="G483" s="131">
        <v>241.72049999999999</v>
      </c>
      <c r="H483" s="131"/>
      <c r="I483" s="131">
        <v>242.02080000000001</v>
      </c>
      <c r="J483" s="131"/>
      <c r="K483" s="354">
        <f>+K482</f>
        <v>242.21870100000001</v>
      </c>
      <c r="L483" s="79"/>
      <c r="M483" s="131">
        <v>242.59729999999999</v>
      </c>
      <c r="N483" s="79">
        <f>IF(ISERROR((M483/E483-1)*100),"NA",IF(((M483/E483-1)*100)&gt;100,"NM",IF(((M483/E483-1)*100)&lt;-50,"NM",(M483/E483-1)*100)))</f>
        <v>0.49144425541680636</v>
      </c>
      <c r="O483" s="131">
        <v>242.54079999999999</v>
      </c>
      <c r="P483" s="79">
        <f>IF(ISERROR((O483/G483-1)*100),"NA",IF(((O483/G483-1)*100)&gt;100,"NM",IF(((O483/G483-1)*100)&lt;-50,"NM",(O483/G483-1)*100)))</f>
        <v>0.33935888764089484</v>
      </c>
      <c r="Q483" s="131">
        <v>241.4538</v>
      </c>
      <c r="R483" s="79">
        <f>IF(ISERROR((Q483/I483-1)*100),"NA",IF(((Q483/I483-1)*100)&gt;100,"NM",IF(((Q483/I483-1)*100)&lt;-50,"NM",(Q483/I483-1)*100)))</f>
        <v>-0.23427738442316492</v>
      </c>
      <c r="S483" s="131">
        <f>+S482</f>
        <v>241.58725999999999</v>
      </c>
      <c r="T483" s="79">
        <f>IF(ISERROR((S483/K483-1)*100),"NA",IF(((S483/K483-1)*100)&gt;100,"NM",IF(((S483/K483-1)*100)&lt;-50,"NM",(S483/K483-1)*100)))</f>
        <v>-0.26069044107375205</v>
      </c>
      <c r="U483" s="131">
        <v>241.61937900000001</v>
      </c>
      <c r="V483" s="79">
        <f>IF(ISERROR((U483/M483-1)*100),"NA",IF(((U483/M483-1)*100)&gt;100,"NM",IF(((U483/M483-1)*100)&lt;-50,"NM",(U483/M483-1)*100)))</f>
        <v>-0.40310465120592109</v>
      </c>
      <c r="W483" s="131">
        <v>272.5641</v>
      </c>
      <c r="X483" s="79">
        <f>IF(ISERROR((W483/O483-1)*100),"NA",IF(((W483/O483-1)*100)&gt;100,"NM",IF(((W483/O483-1)*100)&lt;-50,"NM",(W483/O483-1)*100)))</f>
        <v>12.37865959046891</v>
      </c>
      <c r="Y483" s="131">
        <v>294.71980000000002</v>
      </c>
      <c r="Z483" s="79">
        <f>IF(ISERROR((Y483/Q483-1)*100),"NA",IF(((Y483/Q483-1)*100)&gt;100,"NM",IF(((Y483/Q483-1)*100)&lt;-50,"NM",(Y483/Q483-1)*100)))</f>
        <v>22.060534976049251</v>
      </c>
      <c r="AA483" s="126">
        <v>294.82240899999999</v>
      </c>
      <c r="AB483" s="79">
        <f>IF(ISERROR((AA483/S483-1)*100),"NA",IF(((AA483/S483-1)*100)&gt;100,"NM",IF(((AA483/S483-1)*100)&lt;-50,"NM",(AA483/S483-1)*100)))</f>
        <v>22.035577952247976</v>
      </c>
      <c r="AC483" s="131">
        <v>294.89877100000001</v>
      </c>
      <c r="AD483" s="79">
        <f>IF(ISERROR((AC483/U483-1)*100),"NA",IF(((AC483/U483-1)*100)&gt;100,"NM",IF(((AC483/U483-1)*100)&lt;-50,"NM",(AC483/U483-1)*100)))</f>
        <v>22.050959745244604</v>
      </c>
      <c r="AE483" s="131">
        <v>295.16129999999998</v>
      </c>
      <c r="AF483" s="79">
        <f>IF(ISERROR((AE483/W483-1)*100),"NA",IF(((AE483/W483-1)*100)&gt;100,"NM",IF(((AE483/W483-1)*100)&lt;-50,"NM",(AE483/W483-1)*100)))</f>
        <v>8.2906002661392364</v>
      </c>
      <c r="AG483" s="131">
        <v>295.26495199999999</v>
      </c>
      <c r="AH483" s="79">
        <f>IF(ISERROR((AG483/Y483-1)*100),"NA",IF(((AG483/Y483-1)*100)&gt;100,"NM",IF(((AG483/Y483-1)*100)&lt;-50,"NM",(AG483/Y483-1)*100)))</f>
        <v>0.18497298111628258</v>
      </c>
      <c r="AI483" s="131">
        <v>295.36966699999999</v>
      </c>
      <c r="AJ483" s="79">
        <f>IF(ISERROR((AI483/AA483-1)*100),"NA",IF(((AI483/AA483-1)*100)&gt;100,"NM",IF(((AI483/AA483-1)*100)&lt;-50,"NM",(AI483/AA483-1)*100)))</f>
        <v>0.18562293207502467</v>
      </c>
      <c r="AK483" s="131">
        <v>295.49045999999998</v>
      </c>
      <c r="AL483" s="79">
        <f>IF(ISERROR((AK483/AC483-1)*100),"NA",IF(((AK483/AC483-1)*100)&gt;100,"NM",IF(((AK483/AC483-1)*100)&lt;-50,"NM",(AK483/AC483-1)*100)))</f>
        <v>0.20064139229660771</v>
      </c>
      <c r="AM483" s="131">
        <v>295.60636299999999</v>
      </c>
      <c r="AN483" s="79">
        <f>IF(ISERROR((AM483/AE483-1)*100),"NA",IF(((AM483/AE483-1)*100)&gt;100,"NM",IF(((AM483/AE483-1)*100)&lt;-50,"NM",(AM483/AE483-1)*100)))</f>
        <v>0.15078636664087597</v>
      </c>
      <c r="AO483" s="131">
        <v>295.76717000000002</v>
      </c>
      <c r="AP483" s="79">
        <f>IF(ISERROR((AO483/AG483-1)*100),"NA",IF(((AO483/AG483-1)*100)&gt;100,"NM",IF(((AO483/AG483-1)*100)&lt;-50,"NM",(AO483/AG483-1)*100)))</f>
        <v>0.17009062423365418</v>
      </c>
      <c r="AQ483" s="131">
        <v>296.086409</v>
      </c>
      <c r="AR483" s="79">
        <f>IF(ISERROR((AQ483/AI483-1)*100),"NA",IF(((AQ483/AI483-1)*100)&gt;100,"NM",IF(((AQ483/AI483-1)*100)&lt;-50,"NM",(AQ483/AI483-1)*100)))</f>
        <v>0.24265931139098029</v>
      </c>
      <c r="AS483" s="131">
        <v>296.56037600000002</v>
      </c>
      <c r="AT483" s="81">
        <f>IF(ISERROR((AS483/AK483-1)*100),"NA",IF(((AS483/AK483-1)*100)&gt;100,"NM",IF(((AS483/AK483-1)*100)&lt;-50,"NM",(AS483/AK483-1)*100)))</f>
        <v>0.36208140188351834</v>
      </c>
      <c r="AU483" s="131">
        <v>319.20727299999999</v>
      </c>
      <c r="AV483" s="81">
        <f>IF(ISERROR((AU483/AM483-1)*100),"NA",IF(((AU483/AM483-1)*100)&gt;100,"NM",IF(((AU483/AM483-1)*100)&lt;-50,"NM",(AU483/AM483-1)*100)))</f>
        <v>7.9838978296959073</v>
      </c>
      <c r="AW483" s="131">
        <v>340.727665</v>
      </c>
      <c r="AX483" s="81">
        <f>IF(ISERROR((AW483/AO483-1)*100),"NA",IF(((AW483/AO483-1)*100)&gt;100,"NM",IF(((AW483/AO483-1)*100)&lt;-50,"NM",(AW483/AO483-1)*100)))</f>
        <v>15.201313587305854</v>
      </c>
      <c r="AY483" s="131">
        <v>340.81255099999998</v>
      </c>
      <c r="AZ483" s="81">
        <f>IF(ISERROR((AY483/AQ483-1)*100),"NA",IF(((AY483/AQ483-1)*100)&gt;100,"NM",IF(((AY483/AQ483-1)*100)&lt;-50,"NM",(AY483/AQ483-1)*100)))</f>
        <v>15.105773396035872</v>
      </c>
      <c r="BA483" s="131">
        <v>341.20799899999997</v>
      </c>
      <c r="BB483" s="81">
        <f>IF(ISERROR((BA483/AS483-1)*100),"NA",IF(((BA483/AS483-1)*100)&gt;100,"NM",IF(((BA483/AS483-1)*100)&lt;-50,"NM",(BA483/AS483-1)*100)))</f>
        <v>15.055154569941575</v>
      </c>
      <c r="BC483" s="131">
        <v>350.84383000000003</v>
      </c>
      <c r="BD483" s="81">
        <f>IF(ISERROR((BC483/AU483-1)*100),"NA",IF(((BC483/AU483-1)*100)&gt;100,"NM",IF(((BC483/AU483-1)*100)&lt;-50,"NM",(BC483/AU483-1)*100)))</f>
        <v>9.910976245206049</v>
      </c>
      <c r="BE483" s="131">
        <v>350.84383000000003</v>
      </c>
      <c r="BF483" s="81">
        <f>IF(ISERROR((BE483/AW483-1)*100),"NA",IF(((BE483/AW483-1)*100)&gt;100,"NM",IF(((BE483/AW483-1)*100)&lt;-50,"NM",(BE483/AW483-1)*100)))</f>
        <v>2.9689884441875369</v>
      </c>
      <c r="BG483" s="131">
        <v>359.809213</v>
      </c>
      <c r="BH483" s="81">
        <f>IF(ISERROR((BG483/AY483-1)*100),"NA",IF(((BG483/AY483-1)*100)&gt;100,"NM",IF(((BG483/AY483-1)*100)&lt;-50,"NM",(BG483/AY483-1)*100)))</f>
        <v>5.5739326337192363</v>
      </c>
      <c r="BI483" s="131">
        <v>350.71956</v>
      </c>
      <c r="BJ483" s="81">
        <f>IF(ISERROR((BI483/BA483-1)*100),"NA",IF(((BI483/BA483-1)*100)&gt;100,"NM",IF(((BI483/BA483-1)*100)&lt;-50,"NM",(BI483/BA483-1)*100)))</f>
        <v>2.787613721799076</v>
      </c>
      <c r="BK483" s="131">
        <v>345.44351699999999</v>
      </c>
      <c r="BL483" s="81">
        <f>IF(ISERROR((BK483/BC483-1)*100),"NA",IF(((BK483/BC483-1)*100)&gt;100,"NM",IF(((BK483/BC483-1)*100)&lt;-50,"NM",(BK483/BC483-1)*100)))</f>
        <v>-1.5392355624438525</v>
      </c>
      <c r="BM483" s="131">
        <v>337.23639100000003</v>
      </c>
      <c r="BN483" s="81">
        <f>IF(ISERROR((BM483/BE483-1)*100),"NA",IF(((BM483/BE483-1)*100)&gt;100,"NM",IF(((BM483/BE483-1)*100)&lt;-50,"NM",(BM483/BE483-1)*100)))</f>
        <v>-3.8784888991777344</v>
      </c>
      <c r="BO483" s="131">
        <v>330.84599600000001</v>
      </c>
      <c r="BP483" s="81">
        <f>IF(ISERROR((BO483/BG483-1)*100),"NA",IF(((BO483/BG483-1)*100)&gt;100,"NM",IF(((BO483/BG483-1)*100)&lt;-50,"NM",(BO483/BG483-1)*100)))</f>
        <v>-8.0496040550245738</v>
      </c>
      <c r="BQ483" s="131">
        <v>330.80480799999998</v>
      </c>
      <c r="BR483" s="81">
        <f>IF(ISERROR((BQ483/BI483-1)*100),"NA",IF(((BQ483/BI483-1)*100)&gt;100,"NM",IF(((BQ483/BI483-1)*100)&lt;-50,"NM",(BQ483/BI483-1)*100)))</f>
        <v>-5.6782552989060653</v>
      </c>
      <c r="BS483" s="131">
        <v>331.17183399999999</v>
      </c>
      <c r="BT483" s="81">
        <f>IF(ISERROR((BS483/BK483-1)*100),"NA",IF(((BS483/BK483-1)*100)&gt;100,"NM",IF(((BS483/BK483-1)*100)&lt;-50,"NM",(BS483/BK483-1)*100)))</f>
        <v>-4.1314085509382981</v>
      </c>
      <c r="BU483" s="131">
        <v>331.41123099999999</v>
      </c>
      <c r="BV483" s="81">
        <f>IF(ISERROR((BU483/BM483-1)*100),"NA",IF(((BU483/BM483-1)*100)&gt;100,"NM",IF(((BU483/BM483-1)*100)&lt;-50,"NM",(BU483/BM483-1)*100)))</f>
        <v>-1.7273224822288102</v>
      </c>
      <c r="BW483" s="131">
        <v>331.67275999999998</v>
      </c>
      <c r="BX483" s="81">
        <f>IF(ISERROR((BW483/BO483-1)*100),"NA",IF(((BW483/BO483-1)*100)&gt;100,"NM",IF(((BW483/BO483-1)*100)&lt;-50,"NM",(BW483/BO483-1)*100)))</f>
        <v>0.24989391136531758</v>
      </c>
      <c r="BY483" s="131">
        <v>332.270218</v>
      </c>
      <c r="BZ483" s="81">
        <f>IF(ISERROR((BY483/BQ483-1)*100),"NA",IF(((BY483/BQ483-1)*100)&gt;100,"NM",IF(((BY483/BQ483-1)*100)&lt;-50,"NM",(BY483/BQ483-1)*100)))</f>
        <v>0.44298328336267456</v>
      </c>
      <c r="CA483" s="131">
        <v>331.75255299999998</v>
      </c>
      <c r="CB483" s="81">
        <f>IF(ISERROR((CA483/BS483-1)*100),"NA",IF(((CA483/BS483-1)*100)&gt;100,"NM",IF(((CA483/BS483-1)*100)&lt;-50,"NM",(CA483/BS483-1)*100)))</f>
        <v>0.17535277471694144</v>
      </c>
      <c r="CC483" s="131">
        <v>323.08347600000002</v>
      </c>
      <c r="CD483" s="81">
        <f>IF(ISERROR((CC483/BU483-1)*100),"NA",IF(((CC483/BU483-1)*100)&gt;100,"NM",IF(((CC483/BU483-1)*100)&lt;-50,"NM",(CC483/BU483-1)*100)))</f>
        <v>-2.512816169467702</v>
      </c>
      <c r="CE483" s="131">
        <v>316.96800000000002</v>
      </c>
      <c r="CF483" s="81">
        <f>IF(ISERROR((CE483/BW483-1)*100),"NA",IF(((CE483/BW483-1)*100)&gt;100,"NM",IF(((CE483/BW483-1)*100)&lt;-50,"NM",(CE483/BW483-1)*100)))</f>
        <v>-4.4335145279943866</v>
      </c>
      <c r="CG483" s="131">
        <v>312.74227400000001</v>
      </c>
      <c r="CH483" s="81">
        <f>IF(ISERROR((CG483/BY483-1)*100),"NA",IF(((CG483/BY483-1)*100)&gt;100,"NM",IF(((CG483/BY483-1)*100)&lt;-50,"NM",(CG483/BY483-1)*100)))</f>
        <v>-5.8771273927415324</v>
      </c>
      <c r="CI483" s="131">
        <v>306.316215</v>
      </c>
      <c r="CJ483" s="81">
        <f>IF(ISERROR((CI483/CA483-1)*100),"NA",IF(((CI483/CA483-1)*100)&gt;100,"NM",IF(((CI483/CA483-1)*100)&lt;-50,"NM",(CI483/CA483-1)*100)))</f>
        <v>-7.6672621717548513</v>
      </c>
      <c r="CK483" s="131">
        <v>298.18575800000002</v>
      </c>
      <c r="CL483" s="81">
        <f>IF(ISERROR((CK483/CC483-1)*100),"NA",IF(((CK483/CC483-1)*100)&gt;100,"NM",IF(((CK483/CC483-1)*100)&lt;-50,"NM",(CK483/CC483-1)*100)))</f>
        <v>-7.706280218428752</v>
      </c>
      <c r="CM483" s="131">
        <v>302.39978300000001</v>
      </c>
      <c r="CN483" s="81">
        <f>IF(ISERROR((CM483/CE483-1)*100),"NA",IF(((CM483/CE483-1)*100)&gt;100,"NM",IF(((CM483/CE483-1)*100)&lt;-50,"NM",(CM483/CE483-1)*100)))</f>
        <v>-4.5961160117109596</v>
      </c>
      <c r="CO483" s="131">
        <v>290.42948799999999</v>
      </c>
      <c r="CP483" s="81">
        <f>IF(ISERROR((CO483/CG483-1)*100),"NA",IF(((CO483/CG483-1)*100)&gt;100,"NM",IF(((CO483/CG483-1)*100)&lt;-50,"NM",(CO483/CG483-1)*100)))</f>
        <v>-7.1345602609514831</v>
      </c>
      <c r="CQ483" s="131">
        <v>283.316596</v>
      </c>
      <c r="CR483" s="81">
        <f>IF(ISERROR((CQ483/CI483-1)*100),"NA",IF(((CQ483/CI483-1)*100)&gt;100,"NM",IF(((CQ483/CI483-1)*100)&lt;-50,"NM",(CQ483/CI483-1)*100)))</f>
        <v>-7.5084562532871431</v>
      </c>
      <c r="CS483" s="131">
        <v>278.35441600000001</v>
      </c>
      <c r="CT483" s="7">
        <f>IF(ISERROR((CS483/CK483-1)*100),"NA",IF(((CS483/CK483-1)*100)&gt;100,"NM",IF(((CS483/CK483-1)*100)&lt;-50,"NM",(CS483/CK483-1)*100)))</f>
        <v>-6.6506670650581583</v>
      </c>
      <c r="CU483" s="131">
        <v>273.39999999999998</v>
      </c>
      <c r="CV483" s="7">
        <f>IF(ISERROR((CU483/CM483-1)*100),"NA",IF(((CU483/CM483-1)*100)&gt;100,"NM",IF(((CU483/CM483-1)*100)&lt;-50,"NM",(CU483/CM483-1)*100)))</f>
        <v>-9.5898822123162812</v>
      </c>
      <c r="CW483" s="131">
        <v>269.36112600000001</v>
      </c>
      <c r="CX483" s="7">
        <f>IF(ISERROR((CW483/CO483-1)*100),"NA",IF(((CW483/CO483-1)*100)&gt;100,"NM",IF(((CW483/CO483-1)*100)&lt;-50,"NM",(CW483/CO483-1)*100)))</f>
        <v>-7.2542089803222627</v>
      </c>
      <c r="CY483" s="131">
        <v>265.56041699999997</v>
      </c>
      <c r="CZ483" s="7">
        <f>IF(ISERROR((CY483/CQ483-1)*100),"NA",IF(((CY483/CQ483-1)*100)&gt;100,"NM",IF(((CY483/CQ483-1)*100)&lt;-50,"NM",(CY483/CQ483-1)*100)))</f>
        <v>-6.2672569311823967</v>
      </c>
      <c r="DA483" s="131">
        <v>262.94593400000002</v>
      </c>
      <c r="DB483" s="7">
        <f>IF(ISERROR((DA483/CS483-1)*100),"NA",IF(((DA483/CS483-1)*100)&gt;100,"NM",IF(((DA483/CS483-1)*100)&lt;-50,"NM",(DA483/CS483-1)*100)))</f>
        <v>-5.5355622595906651</v>
      </c>
      <c r="DC483" s="131">
        <v>261.10000000000002</v>
      </c>
      <c r="DD483" s="81">
        <f>IF(ISERROR((DC483/CU483-1)*100),"NA",IF(((DC483/CU483-1)*100)&gt;100,"NM",IF(((DC483/CU483-1)*100)&lt;-50,"NM",(DC483/CU483-1)*100)))</f>
        <v>-4.4989027066568932</v>
      </c>
      <c r="DE483" s="131">
        <v>259.39999999999998</v>
      </c>
      <c r="DF483" s="81">
        <f>IF(ISERROR((DE483/CW483-1)*100),"NA",IF(((DE483/CW483-1)*100)&gt;100,"NM",IF(((DE483/CW483-1)*100)&lt;-50,"NM",(DE483/CW483-1)*100)))</f>
        <v>-3.6980562666641181</v>
      </c>
      <c r="DG483" s="131">
        <v>256.8</v>
      </c>
      <c r="DH483" s="81">
        <f>IF(ISERROR((DG483/CY483-1)*100),"NA",IF(((DG483/CY483-1)*100)&gt;100,"NM",IF(((DG483/CY483-1)*100)&lt;-50,"NM",(DG483/CY483-1)*100)))</f>
        <v>-3.2988414082811057</v>
      </c>
      <c r="DI483" s="131">
        <v>253.6</v>
      </c>
      <c r="DJ483" s="81">
        <f>IF(ISERROR((DI483/DA483-1)*100),"NA",IF(((DI483/DA483-1)*100)&gt;100,"NM",IF(((DI483/DA483-1)*100)&lt;-50,"NM",(DI483/DA483-1)*100)))</f>
        <v>-3.5543177480736543</v>
      </c>
      <c r="DK483" s="131">
        <v>252.4</v>
      </c>
      <c r="DL483" s="81">
        <f>IF(ISERROR((DK483/DC483-1)*100),"NA",IF(((DK483/DC483-1)*100)&gt;100,"NM",IF(((DK483/DC483-1)*100)&lt;-50,"NM",(DK483/DC483-1)*100)))</f>
        <v>-3.3320566832631293</v>
      </c>
      <c r="DM483" s="131">
        <v>251.5</v>
      </c>
      <c r="DN483" s="81">
        <f>IF(ISERROR((DM483/DE483-1)*100),"NA",IF(((DM483/DE483-1)*100)&gt;100,"NM",IF(((DM483/DE483-1)*100)&lt;-50,"NM",(DM483/DE483-1)*100)))</f>
        <v>-3.0454895913646807</v>
      </c>
      <c r="DO483" s="131">
        <v>248.3</v>
      </c>
      <c r="DP483" s="81">
        <f>IF(ISERROR((DO483/DG483-1)*100),"NA",IF(((DO483/DG483-1)*100)&gt;100,"NM",IF(((DO483/DG483-1)*100)&lt;-50,"NM",(DO483/DG483-1)*100)))</f>
        <v>-3.3099688473520295</v>
      </c>
      <c r="DQ483" s="131">
        <v>245.4</v>
      </c>
      <c r="DR483" s="81">
        <f>IF(ISERROR((DQ483/DI483-1)*100),"NA",IF(((DQ483/DI483-1)*100)&gt;100,"NM",IF(((DQ483/DI483-1)*100)&lt;-50,"NM",(DQ483/DI483-1)*100)))</f>
        <v>-3.2334384858044074</v>
      </c>
      <c r="DS483" s="131">
        <v>242.9</v>
      </c>
      <c r="DT483" s="81">
        <f>IF(ISERROR((DS483/DK483-1)*100),"NA",IF(((DS483/DK483-1)*100)&gt;100,"NM",IF(((DS483/DK483-1)*100)&lt;-50,"NM",(DS483/DK483-1)*100)))</f>
        <v>-3.7638668779714779</v>
      </c>
      <c r="DU483" s="131">
        <v>239.6</v>
      </c>
      <c r="DV483" s="81">
        <f>IF(ISERROR((DU483/DM483-1)*100),"NA",IF(((DU483/DM483-1)*100)&gt;100,"NM",IF(((DU483/DM483-1)*100)&lt;-50,"NM",(DU483/DM483-1)*100)))</f>
        <v>-4.7316103379721692</v>
      </c>
      <c r="DW483" s="131">
        <v>236.9</v>
      </c>
      <c r="DX483" s="81">
        <f>IF(ISERROR((DW483/DO483-1)*100),"NA",IF(((DW483/DO483-1)*100)&gt;100,"NM",IF(((DW483/DO483-1)*100)&lt;-50,"NM",(DW483/DO483-1)*100)))</f>
        <v>-4.5912202980265882</v>
      </c>
      <c r="DY483" s="131">
        <v>233.8</v>
      </c>
      <c r="DZ483" s="81">
        <f>IF(ISERROR((DY483/DQ483-1)*100),"NA",IF(((DY483/DQ483-1)*100)&gt;100,"NM",IF(((DY483/DQ483-1)*100)&lt;-50,"NM",(DY483/DQ483-1)*100)))</f>
        <v>-4.7269763651181744</v>
      </c>
      <c r="EA483" s="131">
        <v>231.5</v>
      </c>
      <c r="EB483" s="81">
        <f>IF(ISERROR((EA483/DS483-1)*100),"NA",IF(((EA483/DS483-1)*100)&gt;100,"NM",IF(((EA483/DS483-1)*100)&lt;-50,"NM",(EA483/DS483-1)*100)))</f>
        <v>-4.6932894195142012</v>
      </c>
      <c r="EC483" s="131">
        <v>229.4</v>
      </c>
      <c r="ED483" s="81">
        <f t="shared" si="1754"/>
        <v>-4.2570951585976573</v>
      </c>
      <c r="EE483" s="131">
        <v>227.5</v>
      </c>
      <c r="EF483" s="81">
        <f t="shared" si="1755"/>
        <v>-3.9679189531447889</v>
      </c>
      <c r="EG483" s="131">
        <v>225.3</v>
      </c>
      <c r="EH483" s="81">
        <f t="shared" si="1756"/>
        <v>-3.6355859709153115</v>
      </c>
      <c r="EI483" s="131">
        <v>223.9</v>
      </c>
      <c r="EJ483" s="81">
        <f t="shared" si="1757"/>
        <v>-3.2829373650107962</v>
      </c>
      <c r="EK483" s="872">
        <f t="shared" ref="EK483" si="1766">EI482+EK465*(1-EK467/100)-EK470*(1-EK472/100)</f>
        <v>221.54305020624543</v>
      </c>
      <c r="EL483" s="81">
        <f t="shared" si="1759"/>
        <v>-3.4249999100935402</v>
      </c>
      <c r="EM483" s="872">
        <f t="shared" ref="EM483" si="1767">EK482+EM465*(1-EM467/100)-EM470*(1-EM472/100)</f>
        <v>219.64384790254789</v>
      </c>
      <c r="EN483" s="81">
        <f t="shared" si="1761"/>
        <v>-3.4532536692097215</v>
      </c>
      <c r="EO483" s="872">
        <f t="shared" ref="EO483" si="1768">EM482+EO465*(1-EO467/100)-EO470*(1-EO472/100)</f>
        <v>217.77328195838692</v>
      </c>
      <c r="EP483" s="81">
        <f t="shared" si="1763"/>
        <v>-3.3407536802543714</v>
      </c>
      <c r="EQ483" s="872">
        <f t="shared" ref="EQ483" si="1769">EO482+EQ465*(1-EQ467/100)-EQ470*(1-EQ472/100)</f>
        <v>215.93045439658286</v>
      </c>
      <c r="ER483" s="81">
        <f t="shared" si="1765"/>
        <v>-3.5594218862961768</v>
      </c>
      <c r="ES483" s="82"/>
      <c r="ET483" s="469"/>
      <c r="EU483" s="82"/>
      <c r="EV483" s="131"/>
      <c r="EW483" s="79"/>
      <c r="EX483" s="131"/>
      <c r="EY483" s="79"/>
      <c r="EZ483" s="75"/>
      <c r="FA483" s="79"/>
      <c r="FB483" s="349">
        <v>241.82490000000001</v>
      </c>
      <c r="FC483" s="79" t="str">
        <f>IF(ISERROR((FB483/EZ483-1)*100),"NA",IF(((FB483/EZ483-1)*100)&gt;100,"NM",IF(((FB483/EZ483-1)*100)&lt;-50,"NM",(FB483/EZ483-1)*100)))</f>
        <v>NA</v>
      </c>
      <c r="FD483" s="349">
        <v>242.03290000000001</v>
      </c>
      <c r="FE483" s="79">
        <f>IF(ISERROR((FD483/FB483-1)*100),"NA",IF(((FD483/FB483-1)*100)&gt;100,"NM",IF(((FD483/FB483-1)*100)&lt;-50,"NM",(FD483/FB483-1)*100)))</f>
        <v>8.6012647994482272E-2</v>
      </c>
      <c r="FF483" s="349">
        <v>276.13217600000002</v>
      </c>
      <c r="FG483" s="79">
        <f>IF(ISERROR((FF483/FD483-1)*100),"NA",IF(((FF483/FD483-1)*100)&gt;100,"NM",IF(((FF483/FD483-1)*100)&lt;-50,"NM",(FF483/FD483-1)*100)))</f>
        <v>14.08869455350905</v>
      </c>
      <c r="FH483" s="129">
        <v>295.22430500000002</v>
      </c>
      <c r="FI483" s="79">
        <f>IF(ISERROR((FH483/FF483-1)*100),"NA",IF(((FH483/FF483-1)*100)&gt;100,"NM",IF(((FH483/FF483-1)*100)&lt;-50,"NM",(FH483/FF483-1)*100)))</f>
        <v>6.9141268781367948</v>
      </c>
      <c r="FJ483" s="872">
        <f>AVERAGE(AK483,AM483,AO483,AQ483)</f>
        <v>295.73760049999999</v>
      </c>
      <c r="FK483" s="79">
        <f>IF(ISERROR((FJ483/FH483-1)*100),"NA",IF(((FJ483/FH483-1)*100)&gt;100,"NM",IF(((FJ483/FH483-1)*100)&lt;-50,"NM",(FJ483/FH483-1)*100)))</f>
        <v>0.17386627432316448</v>
      </c>
      <c r="FL483" s="872">
        <f>AVERAGE(AS483,AU483,AW483,AY483)</f>
        <v>324.32696625</v>
      </c>
      <c r="FM483" s="79">
        <f>IF(ISERROR((FL483/FJ483-1)*100),"NA",IF(((FL483/FJ483-1)*100)&gt;100,"NM",IF(((FL483/FJ483-1)*100)&lt;-50,"NM",(FL483/FJ483-1)*100)))</f>
        <v>9.6671392821421129</v>
      </c>
      <c r="FN483" s="872">
        <f>AVERAGE(BG483,BC483,BA483,BE483)</f>
        <v>350.67621800000001</v>
      </c>
      <c r="FO483" s="79">
        <f>IF(ISERROR((FN483/FL483-1)*100),"NA",IF(((FN483/FL483-1)*100)&gt;100,"NM",IF(((FN483/FL483-1)*100)&lt;-50,"NM",(FN483/FL483-1)*100)))</f>
        <v>8.1242864429870831</v>
      </c>
      <c r="FP483" s="872">
        <f>AVERAGE(BO483,BK483,BI483,BM483)</f>
        <v>341.06136600000002</v>
      </c>
      <c r="FQ483" s="79">
        <f>IF(ISERROR((FP483/FN483-1)*100),"NA",IF(((FP483/FN483-1)*100)&gt;100,"NM",IF(((FP483/FN483-1)*100)&lt;-50,"NM",(FP483/FN483-1)*100)))</f>
        <v>-2.7418032665106451</v>
      </c>
      <c r="FR483" s="872">
        <f>AVERAGE(BW483,BS483,BQ483,BU483)</f>
        <v>331.26515824999996</v>
      </c>
      <c r="FS483" s="79">
        <f>IF(ISERROR((FR483/FP483-1)*100),"NA",IF(((FR483/FP483-1)*100)&gt;100,"NM",IF(((FR483/FP483-1)*100)&lt;-50,"NM",(FR483/FP483-1)*100)))</f>
        <v>-2.8722713055691185</v>
      </c>
      <c r="FT483" s="872">
        <f>AVERAGE(CE483,CA483,BY483,CC483)</f>
        <v>326.01856175</v>
      </c>
      <c r="FU483" s="79">
        <f>IF(ISERROR((FT483/FR483-1)*100),"NA",IF(((FT483/FR483-1)*100)&gt;100,"NM",IF(((FT483/FR483-1)*100)&lt;-50,"NM",(FT483/FR483-1)*100)))</f>
        <v>-1.5838057125345029</v>
      </c>
      <c r="FV483" s="872">
        <f>AVERAGE(CM483,CI483,CG483,CK483)</f>
        <v>304.91100750000004</v>
      </c>
      <c r="FW483" s="79">
        <f>IF(ISERROR((FV483/FT483-1)*100),"NA",IF(((FV483/FT483-1)*100)&gt;100,"NM",IF(((FV483/FT483-1)*100)&lt;-50,"NM",(FV483/FT483-1)*100)))</f>
        <v>-6.4743412573501917</v>
      </c>
      <c r="FX483" s="872">
        <f>AVERAGE(CU483,CQ483,CO483,CS483)</f>
        <v>281.37512500000003</v>
      </c>
      <c r="FY483" s="79">
        <f>IF(ISERROR((FX483/FV483-1)*100),"NA",IF(((FX483/FV483-1)*100)&gt;100,"NM",IF(((FX483/FV483-1)*100)&lt;-50,"NM",(FX483/FV483-1)*100)))</f>
        <v>-7.718935007618577</v>
      </c>
      <c r="FZ483" s="872">
        <f>AVERAGE(DC483,CY483,CW483,DA483)</f>
        <v>264.74186925000004</v>
      </c>
      <c r="GA483" s="79">
        <f>IF(ISERROR((FZ483/FX483-1)*100),"NA",IF(((FZ483/FX483-1)*100)&gt;100,"NM",IF(((FZ483/FX483-1)*100)&lt;-50,"NM",(FZ483/FX483-1)*100)))</f>
        <v>-5.9114165653413657</v>
      </c>
      <c r="GB483" s="872">
        <f>AVERAGE(DK483,DG483,DE483,DI483)</f>
        <v>255.55</v>
      </c>
      <c r="GC483" s="79">
        <f>IF(ISERROR((GB483/FZ483-1)*100),"NA",IF(((GB483/FZ483-1)*100)&gt;100,"NM",IF(((GB483/FZ483-1)*100)&lt;-50,"NM",(GB483/FZ483-1)*100)))</f>
        <v>-3.4720119171327557</v>
      </c>
      <c r="GD483" s="872">
        <f>AVERAGE(DS483,DO483,DM483,DQ483)</f>
        <v>247.02500000000001</v>
      </c>
      <c r="GE483" s="79">
        <f>IF(ISERROR((GD483/GB483-1)*100),"NA",IF(((GD483/GB483-1)*100)&gt;100,"NM",IF(((GD483/GB483-1)*100)&lt;-50,"NM",(GD483/GB483-1)*100)))</f>
        <v>-3.3359420856975186</v>
      </c>
      <c r="GF483" s="872">
        <f>AVERAGE(EA483,DW483,DU483,DY483)</f>
        <v>235.45</v>
      </c>
      <c r="GG483" s="79">
        <f>IF(ISERROR((GF483/GD483-1)*100),"NA",IF(((GF483/GD483-1)*100)&gt;100,"NM",IF(((GF483/GD483-1)*100)&lt;-50,"NM",(GF483/GD483-1)*100)))</f>
        <v>-4.6857605505515654</v>
      </c>
      <c r="GH483" s="872">
        <f>AVERAGE(EI483,EE483,EC483,EG483)</f>
        <v>226.52499999999998</v>
      </c>
      <c r="GI483" s="79">
        <f>IF(ISERROR((GH483/GF483-1)*100),"NA",IF(((GH483/GF483-1)*100)&gt;100,"NM",IF(((GH483/GF483-1)*100)&lt;-50,"NM",(GH483/GF483-1)*100)))</f>
        <v>-3.7906137184115618</v>
      </c>
      <c r="GJ483" s="872">
        <f>AVERAGE(EQ483,EM483,EK483,EO483)</f>
        <v>218.72265861594076</v>
      </c>
      <c r="GK483" s="79">
        <f>IF(ISERROR((GJ483/GH483-1)*100),"NA",IF(((GJ483/GH483-1)*100)&gt;100,"NM",IF(((GJ483/GH483-1)*100)&lt;-50,"NM",(GJ483/GH483-1)*100)))</f>
        <v>-3.4443621604940855</v>
      </c>
      <c r="GL483" s="872">
        <f>GJ482+GL465*(1-GL467/100)-GL470*(1-GL472/100)</f>
        <v>211.48556690772651</v>
      </c>
      <c r="GM483" s="79">
        <f>IF(ISERROR((GL483/GJ483-1)*100),"NA",IF(((GL483/GJ483-1)*100)&gt;100,"NM",IF(((GL483/GJ483-1)*100)&lt;-50,"NM",(GL483/GJ483-1)*100)))</f>
        <v>-3.3087983449039848</v>
      </c>
      <c r="GN483" s="872">
        <f>GL482+GN465*(1-GN467/100)-GN470*(1-GN472/100)</f>
        <v>204.41273812004306</v>
      </c>
      <c r="GO483" s="79">
        <f>IF(ISERROR((GN483/GL483-1)*100),"NA",IF(((GN483/GL483-1)*100)&gt;100,"NM",IF(((GN483/GL483-1)*100)&lt;-50,"NM",(GN483/GL483-1)*100)))</f>
        <v>-3.3443553104356316</v>
      </c>
      <c r="GP483" s="872">
        <f>GN482+GP465*(1-GP467/100)-GP470*(1-GP472/100)</f>
        <v>197.52220271940433</v>
      </c>
      <c r="GQ483" s="79">
        <f>IF(ISERROR((GP483/GN483-1)*100),"NA",IF(((GP483/GN483-1)*100)&gt;100,"NM",IF(((GP483/GN483-1)*100)&lt;-50,"NM",(GP483/GN483-1)*100)))</f>
        <v>-3.3708933523468598</v>
      </c>
      <c r="GR483" s="872">
        <f>GP482+GR465*(1-GR467/100)-GR470*(1-GR472/100)</f>
        <v>190.28433372090041</v>
      </c>
      <c r="GS483" s="79">
        <f>IF(ISERROR((GR483/GP483-1)*100),"NA",IF(((GR483/GP483-1)*100)&gt;100,"NM",IF(((GR483/GP483-1)*100)&lt;-50,"NM",(GR483/GP483-1)*100)))</f>
        <v>-3.6643318568018834</v>
      </c>
      <c r="GT483" s="79">
        <f>IF(ISERROR(((GR483/GH483)^0.2-1)*100),"NA",(IF(OR(((GR483/GH483)^0.2-1)*100&gt;99,((GR483/GH483)^0.2-1)*100&lt;-50),"NM",(((GR483/GH483)^0.2-1)*100))))</f>
        <v>-3.4266317199489804</v>
      </c>
    </row>
    <row r="484" spans="1:286" ht="12.75" customHeight="1" x14ac:dyDescent="0.2">
      <c r="A484" s="1"/>
      <c r="B484" s="2" t="s">
        <v>120</v>
      </c>
      <c r="C484" s="79"/>
      <c r="D484" s="79"/>
      <c r="E484" s="131"/>
      <c r="F484" s="131"/>
      <c r="G484" s="131"/>
      <c r="H484" s="131"/>
      <c r="I484" s="131"/>
      <c r="J484" s="131"/>
      <c r="K484" s="354"/>
      <c r="L484" s="79"/>
      <c r="M484" s="131"/>
      <c r="N484" s="79"/>
      <c r="O484" s="131"/>
      <c r="P484" s="79"/>
      <c r="Q484" s="131"/>
      <c r="R484" s="79"/>
      <c r="S484" s="131"/>
      <c r="T484" s="79"/>
      <c r="U484" s="192">
        <f>+U485-U483</f>
        <v>0</v>
      </c>
      <c r="V484" s="79"/>
      <c r="W484" s="192">
        <f>+W485-W483</f>
        <v>1.2095229999999901</v>
      </c>
      <c r="X484" s="79"/>
      <c r="Y484" s="192">
        <f>+Y485-Y483</f>
        <v>3.9875379999999723</v>
      </c>
      <c r="Z484" s="79"/>
      <c r="AA484" s="355">
        <f>+AA485-AA483</f>
        <v>0</v>
      </c>
      <c r="AB484" s="79"/>
      <c r="AC484" s="192">
        <f>+AC485-AC483</f>
        <v>9.1000000000008185E-2</v>
      </c>
      <c r="AD484" s="79"/>
      <c r="AE484" s="192">
        <f>+AE485-AE483</f>
        <v>6.3169040000000223</v>
      </c>
      <c r="AF484" s="79"/>
      <c r="AG484" s="192">
        <f>+AG485-AG483</f>
        <v>8.3636240000000157</v>
      </c>
      <c r="AH484" s="79"/>
      <c r="AI484" s="192">
        <f>+AI485-AI483</f>
        <v>6.8783339999999953</v>
      </c>
      <c r="AJ484" s="79"/>
      <c r="AK484" s="192">
        <f>+AK485-AK483</f>
        <v>12.120392000000038</v>
      </c>
      <c r="AL484" s="79"/>
      <c r="AM484" s="192">
        <f>+AM485-AM483</f>
        <v>13.501933000000008</v>
      </c>
      <c r="AN484" s="79"/>
      <c r="AO484" s="192">
        <f>+AO485-AO483</f>
        <v>18.880957999999964</v>
      </c>
      <c r="AP484" s="79"/>
      <c r="AQ484" s="192">
        <f>+AQ485-AQ483</f>
        <v>22.595017999999982</v>
      </c>
      <c r="AR484" s="79"/>
      <c r="AS484" s="356">
        <f>+AS485-AS483</f>
        <v>23.076457000000005</v>
      </c>
      <c r="AT484" s="81"/>
      <c r="AU484" s="216">
        <f>+AU485-AU483</f>
        <v>10.69770299999999</v>
      </c>
      <c r="AV484" s="81"/>
      <c r="AW484" s="216">
        <f>+AW485-AW483</f>
        <v>0</v>
      </c>
      <c r="AX484" s="81"/>
      <c r="AY484" s="216">
        <f>+AY485-AY483</f>
        <v>4.7152940000000285</v>
      </c>
      <c r="AZ484" s="81"/>
      <c r="BA484" s="216">
        <f>+BA485-BA483</f>
        <v>5.1722600000000511</v>
      </c>
      <c r="BB484" s="81"/>
      <c r="BC484" s="216">
        <f>+BC485-BC483</f>
        <v>3.9935199999999895</v>
      </c>
      <c r="BD484" s="81"/>
      <c r="BE484" s="216">
        <f>+BE485-BE483</f>
        <v>10.062471999999957</v>
      </c>
      <c r="BF484" s="81"/>
      <c r="BG484" s="216">
        <f>+BG485-BG483</f>
        <v>0.89840400000002774</v>
      </c>
      <c r="BH484" s="81"/>
      <c r="BI484" s="216">
        <f>+BI485-BI483</f>
        <v>0.74626100000000406</v>
      </c>
      <c r="BJ484" s="81"/>
      <c r="BK484" s="216">
        <f>+BK485-BK483</f>
        <v>0.59190300000000207</v>
      </c>
      <c r="BL484" s="81"/>
      <c r="BM484" s="216">
        <f>+BM485-BM483</f>
        <v>0.67637899999999718</v>
      </c>
      <c r="BN484" s="81"/>
      <c r="BO484" s="216">
        <f>+BO485-BO483</f>
        <v>0.13547499999998536</v>
      </c>
      <c r="BP484" s="81"/>
      <c r="BQ484" s="216">
        <f>+BQ485-BQ483</f>
        <v>0.15970600000002833</v>
      </c>
      <c r="BR484" s="81"/>
      <c r="BS484" s="216">
        <f>+BS485-BS483</f>
        <v>0.78339099999999462</v>
      </c>
      <c r="BT484" s="81"/>
      <c r="BU484" s="216">
        <f>+BU485-BU483</f>
        <v>1.2109169999999949</v>
      </c>
      <c r="BV484" s="81"/>
      <c r="BW484" s="216">
        <f>+BW485-BW483</f>
        <v>1.3257199999999898</v>
      </c>
      <c r="BX484" s="81"/>
      <c r="BY484" s="216">
        <f>+BY485-BY483</f>
        <v>1.2544899999999757</v>
      </c>
      <c r="BZ484" s="81"/>
      <c r="CA484" s="216">
        <f>+CA485-CA483</f>
        <v>1.324937000000034</v>
      </c>
      <c r="CB484" s="81"/>
      <c r="CC484" s="216">
        <f>+CC485-CC483</f>
        <v>1.3835039999999594</v>
      </c>
      <c r="CD484" s="81"/>
      <c r="CE484" s="216">
        <f>+CE485-CE483</f>
        <v>1.4949399999999855</v>
      </c>
      <c r="CF484" s="81"/>
      <c r="CG484" s="216">
        <f>+CG485-CG483</f>
        <v>1.5900429999999801</v>
      </c>
      <c r="CH484" s="81"/>
      <c r="CI484" s="216">
        <f>+CI485-CI483</f>
        <v>1.0947489999999789</v>
      </c>
      <c r="CJ484" s="81"/>
      <c r="CK484" s="216">
        <f>+CK485-CK483</f>
        <v>0.98714200000000574</v>
      </c>
      <c r="CL484" s="81"/>
      <c r="CM484" s="216">
        <f>+CM485-CM483</f>
        <v>1.1712499999999864</v>
      </c>
      <c r="CN484" s="81"/>
      <c r="CO484" s="216">
        <f>+CO485-CO483</f>
        <v>0.85454800000002251</v>
      </c>
      <c r="CP484" s="81"/>
      <c r="CQ484" s="216">
        <f>+CQ485-CQ483</f>
        <v>0.42403600000000097</v>
      </c>
      <c r="CR484" s="81"/>
      <c r="CS484" s="216">
        <f>+CS485-CS483</f>
        <v>0.15662299999996776</v>
      </c>
      <c r="CT484" s="7"/>
      <c r="CU484" s="216">
        <f>+CU485-CU483</f>
        <v>0.20000000000004547</v>
      </c>
      <c r="CV484" s="7"/>
      <c r="CW484" s="216">
        <f>+CW485-CW483</f>
        <v>0.99326899999999796</v>
      </c>
      <c r="CX484" s="556"/>
      <c r="CY484" s="216">
        <f>+CY485-CY483</f>
        <v>1.1758850000000507</v>
      </c>
      <c r="CZ484" s="7"/>
      <c r="DA484" s="216">
        <f>+DA485-DA483</f>
        <v>1.3141109999999685</v>
      </c>
      <c r="DB484" s="558"/>
      <c r="DC484" s="216">
        <f>+DC485-DC483</f>
        <v>1.5</v>
      </c>
      <c r="DD484" s="155"/>
      <c r="DE484" s="216">
        <f>+DE485-DE483</f>
        <v>1.3000000000000114</v>
      </c>
      <c r="DF484" s="155"/>
      <c r="DG484" s="216">
        <f>+DG485-DG483</f>
        <v>1.0999999999999659</v>
      </c>
      <c r="DH484" s="155"/>
      <c r="DI484" s="216">
        <f>+DI485-DI483</f>
        <v>1.2000000000000171</v>
      </c>
      <c r="DJ484" s="155"/>
      <c r="DK484" s="216">
        <f>+DK485-DK483</f>
        <v>0</v>
      </c>
      <c r="DL484" s="81"/>
      <c r="DM484" s="216">
        <f>+DM485-DM483</f>
        <v>0.69999999999998863</v>
      </c>
      <c r="DN484" s="81"/>
      <c r="DO484" s="216">
        <f>+DO485-DO483</f>
        <v>1</v>
      </c>
      <c r="DP484" s="81"/>
      <c r="DQ484" s="216">
        <f>+DQ485-DQ483</f>
        <v>0.90000000000000568</v>
      </c>
      <c r="DR484" s="81"/>
      <c r="DS484" s="216">
        <f>+DS485-DS483</f>
        <v>0.90000000000000568</v>
      </c>
      <c r="DT484" s="81"/>
      <c r="DU484" s="216">
        <f>+DU485-DU483</f>
        <v>9.9999999999994316E-2</v>
      </c>
      <c r="DV484" s="81"/>
      <c r="DW484" s="216">
        <f>+DW485-DW483</f>
        <v>0.40000000000000568</v>
      </c>
      <c r="DX484" s="81"/>
      <c r="DY484" s="216">
        <f>+DY485-DY483</f>
        <v>0.39999999999997726</v>
      </c>
      <c r="DZ484" s="81"/>
      <c r="EA484" s="216">
        <f>DY484</f>
        <v>0.39999999999997726</v>
      </c>
      <c r="EB484" s="81"/>
      <c r="EC484" s="216">
        <f>EA484</f>
        <v>0.39999999999997726</v>
      </c>
      <c r="ED484" s="81"/>
      <c r="EE484" s="216">
        <f t="shared" ref="EE484:EI484" si="1770">EC484</f>
        <v>0.39999999999997726</v>
      </c>
      <c r="EF484" s="81"/>
      <c r="EG484" s="216">
        <f t="shared" si="1770"/>
        <v>0.39999999999997726</v>
      </c>
      <c r="EH484" s="81"/>
      <c r="EI484" s="216">
        <f t="shared" si="1770"/>
        <v>0.39999999999997726</v>
      </c>
      <c r="EJ484" s="81"/>
      <c r="EK484" s="557">
        <f t="shared" ref="EK484" si="1771">EI484</f>
        <v>0.39999999999997726</v>
      </c>
      <c r="EL484" s="81"/>
      <c r="EM484" s="557">
        <f t="shared" ref="EM484" si="1772">EK484</f>
        <v>0.39999999999997726</v>
      </c>
      <c r="EN484" s="81"/>
      <c r="EO484" s="557">
        <f t="shared" ref="EO484" si="1773">EM484</f>
        <v>0.39999999999997726</v>
      </c>
      <c r="EP484" s="81"/>
      <c r="EQ484" s="557">
        <f t="shared" ref="EQ484" si="1774">EO484</f>
        <v>0.39999999999997726</v>
      </c>
      <c r="ER484" s="81"/>
      <c r="ES484" s="107"/>
      <c r="ET484" s="495"/>
      <c r="EU484" s="107"/>
      <c r="EV484" s="107"/>
      <c r="EW484" s="357"/>
      <c r="EX484" s="107"/>
      <c r="EY484" s="357"/>
      <c r="EZ484" s="358"/>
      <c r="FA484" s="357"/>
      <c r="FB484" s="359">
        <f>+FB485-FB483</f>
        <v>1.7915982499999643</v>
      </c>
      <c r="FC484" s="357" t="str">
        <f>IF(ISERROR((FB484/EZ484-1)*100),"NA",IF(((FB484/EZ484-1)*100)&gt;100,"NM",IF(((FB484/EZ484-1)*100)&lt;-50,"NM",(FB484/EZ484-1)*100)))</f>
        <v>NA</v>
      </c>
      <c r="FD484" s="359">
        <f>+FD485-FD483</f>
        <v>1.0416569999999865</v>
      </c>
      <c r="FE484" s="357">
        <f>IF(ISERROR((FD484/FB484-1)*100),"NA",IF(((FD484/FB484-1)*100)&gt;100,"NM",IF(((FD484/FB484-1)*100)&lt;-50,"NM",(FD484/FB484-1)*100)))</f>
        <v>-41.858784468001843</v>
      </c>
      <c r="FF484" s="359">
        <f>+FF485-FF483</f>
        <v>0</v>
      </c>
      <c r="FG484" s="357" t="str">
        <f>IF(ISERROR((FF484/FD484-1)*100),"NA",IF(((FF484/FD484-1)*100)&gt;100,"NM",IF(((FF484/FD484-1)*100)&lt;-50,"NM",(FF484/FD484-1)*100)))</f>
        <v>NM</v>
      </c>
      <c r="FH484" s="359">
        <f>+FH485-FH483</f>
        <v>0</v>
      </c>
      <c r="FI484" s="357" t="str">
        <f>IF(ISERROR((FH484/FF484-1)*100),"NA",IF(((FH484/FF484-1)*100)&gt;100,"NM",IF(((FH484/FF484-1)*100)&lt;-50,"NM",(FH484/FF484-1)*100)))</f>
        <v>NA</v>
      </c>
      <c r="FJ484" s="557">
        <f>+FJ485-FJ483</f>
        <v>16.774575249999998</v>
      </c>
      <c r="FK484" s="357" t="str">
        <f>IF(ISERROR((FJ484/FH484-1)*100),"NA",IF(((FJ484/FH484-1)*100)&gt;100,"NM",IF(((FJ484/FH484-1)*100)&lt;-50,"NM",(FJ484/FH484-1)*100)))</f>
        <v>NA</v>
      </c>
      <c r="FL484" s="557">
        <f>+FL485-FL483</f>
        <v>9.6223635000000058</v>
      </c>
      <c r="FM484" s="357">
        <f>IF(ISERROR((FL484/FJ484-1)*100),"NA",IF(((FL484/FJ484-1)*100)&gt;100,"NM",IF(((FL484/FJ484-1)*100)&lt;-50,"NM",(FL484/FJ484-1)*100)))</f>
        <v>-42.637215210560953</v>
      </c>
      <c r="FN484" s="557">
        <f>+FN485-FN483</f>
        <v>5.0316640000000348</v>
      </c>
      <c r="FO484" s="357">
        <f>IF(ISERROR((FN484/FL484-1)*100),"NA",IF(((FN484/FL484-1)*100)&gt;100,"NM",IF(((FN484/FL484-1)*100)&lt;-50,"NM",(FN484/FL484-1)*100)))</f>
        <v>-47.708647672684243</v>
      </c>
      <c r="FP484" s="557">
        <f>+FP485-FP483</f>
        <v>0.53750449999995453</v>
      </c>
      <c r="FQ484" s="357" t="str">
        <f>IF(ISERROR((FP484/FN484-1)*100),"NA",IF(((FP484/FN484-1)*100)&gt;100,"NM",IF(((FP484/FN484-1)*100)&lt;-50,"NM",(FP484/FN484-1)*100)))</f>
        <v>NM</v>
      </c>
      <c r="FR484" s="557">
        <f>+FR485-FR483</f>
        <v>0.86993350000000191</v>
      </c>
      <c r="FS484" s="357">
        <f>IF(ISERROR((FR484/FP484-1)*100),"NA",IF(((FR484/FP484-1)*100)&gt;100,"NM",IF(((FR484/FP484-1)*100)&lt;-50,"NM",(FR484/FP484-1)*100)))</f>
        <v>61.846738027323589</v>
      </c>
      <c r="FT484" s="557">
        <f>+FT485-FT483</f>
        <v>1.3644677499999602</v>
      </c>
      <c r="FU484" s="357">
        <f>IF(ISERROR((FT484/FR484-1)*100),"NA",IF(((FT484/FR484-1)*100)&gt;100,"NM",IF(((FT484/FR484-1)*100)&lt;-50,"NM",(FT484/FR484-1)*100)))</f>
        <v>56.84736247080464</v>
      </c>
      <c r="FV484" s="557">
        <f>+FV485-FV483</f>
        <v>1.2107959999999593</v>
      </c>
      <c r="FW484" s="357">
        <f>IF(ISERROR((FV484/FT484-1)*100),"NA",IF(((FV484/FT484-1)*100)&gt;100,"NM",IF(((FV484/FT484-1)*100)&lt;-50,"NM",(FV484/FT484-1)*100)))</f>
        <v>-11.262395172037253</v>
      </c>
      <c r="FX484" s="557">
        <f>+FX485-FX483</f>
        <v>0.40880174999995234</v>
      </c>
      <c r="FY484" s="357" t="str">
        <f>IF(ISERROR((FX484/FV484-1)*100),"NA",IF(((FX484/FV484-1)*100)&gt;100,"NM",IF(((FX484/FV484-1)*100)&lt;-50,"NM",(FX484/FV484-1)*100)))</f>
        <v>NM</v>
      </c>
      <c r="FZ484" s="557">
        <f>+FZ485-FZ483</f>
        <v>1.2458162499999617</v>
      </c>
      <c r="GA484" s="357" t="str">
        <f>IF(ISERROR((FZ484/FX484-1)*100),"NA",IF(((FZ484/FX484-1)*100)&gt;100,"NM",IF(((FZ484/FX484-1)*100)&lt;-50,"NM",(FZ484/FX484-1)*100)))</f>
        <v>NM</v>
      </c>
      <c r="GB484" s="557">
        <f>+GB485-GB483</f>
        <v>0.89999999999997726</v>
      </c>
      <c r="GC484" s="357">
        <f>IF(ISERROR((GB484/FZ484-1)*100),"NA",IF(((GB484/FZ484-1)*100)&gt;100,"NM",IF(((GB484/FZ484-1)*100)&lt;-50,"NM",(GB484/FZ484-1)*100)))</f>
        <v>-27.758206717884359</v>
      </c>
      <c r="GD484" s="557">
        <f>+GD485-GD483</f>
        <v>0.87499999999997158</v>
      </c>
      <c r="GE484" s="357">
        <f>IF(ISERROR((GD484/GB484-1)*100),"NA",IF(((GD484/GB484-1)*100)&gt;100,"NM",IF(((GD484/GB484-1)*100)&lt;-50,"NM",(GD484/GB484-1)*100)))</f>
        <v>-2.7777777777784785</v>
      </c>
      <c r="GF484" s="557">
        <f>+GF485-GF483</f>
        <v>0.45000000000004547</v>
      </c>
      <c r="GG484" s="357">
        <f>IF(ISERROR((GF484/GD484-1)*100),"NA",IF(((GF484/GD484-1)*100)&gt;100,"NM",IF(((GF484/GD484-1)*100)&lt;-50,"NM",(GF484/GD484-1)*100)))</f>
        <v>-48.571428571421706</v>
      </c>
      <c r="GH484" s="557">
        <f>+GH485-GH483</f>
        <v>0.82500000000001705</v>
      </c>
      <c r="GI484" s="79">
        <f>IF(ISERROR((GH484/GF484-1)*100),"NA",IF(((GH484/GF484-1)*100)&gt;100,"NM",IF(((GH484/GF484-1)*100)&lt;-50,"NM",(GH484/GF484-1)*100)))</f>
        <v>83.333333333318606</v>
      </c>
      <c r="GJ484" s="557">
        <f>+GJ485-GJ483</f>
        <v>0.39999999999997726</v>
      </c>
      <c r="GK484" s="79" t="str">
        <f>IF(ISERROR((GJ484/GH484-1)*100),"NA",IF(((GJ484/GH484-1)*100)&gt;100,"NM",IF(((GJ484/GH484-1)*100)&lt;-50,"NM",(GJ484/GH484-1)*100)))</f>
        <v>NM</v>
      </c>
      <c r="GL484" s="557">
        <f>GJ484</f>
        <v>0.39999999999997726</v>
      </c>
      <c r="GM484" s="79">
        <f>IF(ISERROR((GL484/GJ484-1)*100),"NA",IF(((GL484/GJ484-1)*100)&gt;100,"NM",IF(((GL484/GJ484-1)*100)&lt;-50,"NM",(GL484/GJ484-1)*100)))</f>
        <v>0</v>
      </c>
      <c r="GN484" s="557">
        <f>GL484</f>
        <v>0.39999999999997726</v>
      </c>
      <c r="GO484" s="357">
        <f>IF(ISERROR((GN484/GL484-1)*100),"NA",IF(((GN484/GL484-1)*100)&gt;100,"NM",IF(((GN484/GL484-1)*100)&lt;-50,"NM",(GN484/GL484-1)*100)))</f>
        <v>0</v>
      </c>
      <c r="GP484" s="557">
        <f>GN484</f>
        <v>0.39999999999997726</v>
      </c>
      <c r="GQ484" s="357">
        <f>IF(ISERROR((GP484/GN484-1)*100),"NA",IF(((GP484/GN484-1)*100)&gt;100,"NM",IF(((GP484/GN484-1)*100)&lt;-50,"NM",(GP484/GN484-1)*100)))</f>
        <v>0</v>
      </c>
      <c r="GR484" s="557">
        <f>GP484</f>
        <v>0.39999999999997726</v>
      </c>
      <c r="GS484" s="357">
        <f>IF(ISERROR((GR484/GP484-1)*100),"NA",IF(((GR484/GP484-1)*100)&gt;100,"NM",IF(((GR484/GP484-1)*100)&lt;-50,"NM",(GR484/GP484-1)*100)))</f>
        <v>0</v>
      </c>
      <c r="GT484" s="79">
        <f>IF(ISERROR(((GR484/GH484)^0.2-1)*100),"NA",(IF(OR(((GR484/GH484)^0.2-1)*100&gt;99,((GR484/GH484)^0.2-1)*100&lt;-50),"NM",(((GR484/GH484)^0.2-1)*100))))</f>
        <v>-13.479064103090577</v>
      </c>
    </row>
    <row r="485" spans="1:286" s="83" customFormat="1" ht="12.75" customHeight="1" x14ac:dyDescent="0.2">
      <c r="A485" s="1" t="s">
        <v>494</v>
      </c>
      <c r="B485" s="68" t="s">
        <v>316</v>
      </c>
      <c r="C485" s="79"/>
      <c r="D485" s="79"/>
      <c r="E485" s="141">
        <v>243.20120199999999</v>
      </c>
      <c r="F485" s="141"/>
      <c r="G485" s="141">
        <v>244.008995</v>
      </c>
      <c r="H485" s="141"/>
      <c r="I485" s="141">
        <v>243.78513799999999</v>
      </c>
      <c r="J485" s="141"/>
      <c r="K485" s="141">
        <v>243.47065799999999</v>
      </c>
      <c r="L485" s="79"/>
      <c r="M485" s="141">
        <v>244.11956900000001</v>
      </c>
      <c r="N485" s="79">
        <f>IF(ISERROR((M485/E485-1)*100),"NA",IF(((M485/E485-1)*100)&gt;100,"NM",IF(((M485/E485-1)*100)&lt;-50,"NM",(M485/E485-1)*100)))</f>
        <v>0.37761614352547213</v>
      </c>
      <c r="O485" s="141">
        <v>243.77292399999999</v>
      </c>
      <c r="P485" s="79">
        <f>IF(ISERROR((O485/G485-1)*100),"NA",IF(((O485/G485-1)*100)&gt;100,"NM",IF(((O485/G485-1)*100)&lt;-50,"NM",(O485/G485-1)*100)))</f>
        <v>-9.6746843287487394E-2</v>
      </c>
      <c r="Q485" s="141">
        <v>242.27658400000001</v>
      </c>
      <c r="R485" s="79">
        <f>IF(ISERROR((Q485/I485-1)*100),"NA",IF(((Q485/I485-1)*100)&gt;100,"NM",IF(((Q485/I485-1)*100)&lt;-50,"NM",(Q485/I485-1)*100)))</f>
        <v>-0.61880474436467603</v>
      </c>
      <c r="S485" s="141">
        <v>242.12915100000001</v>
      </c>
      <c r="T485" s="79">
        <f>IF(ISERROR((S485/K485-1)*100),"NA",IF(((S485/K485-1)*100)&gt;100,"NM",IF(((S485/K485-1)*100)&lt;-50,"NM",(S485/K485-1)*100)))</f>
        <v>-0.55099329464167734</v>
      </c>
      <c r="U485" s="141">
        <v>241.61937900000001</v>
      </c>
      <c r="V485" s="79">
        <f>IF(ISERROR((U485/M485-1)*100),"NA",IF(((U485/M485-1)*100)&gt;100,"NM",IF(((U485/M485-1)*100)&lt;-50,"NM",(U485/M485-1)*100)))</f>
        <v>-1.0241661535950075</v>
      </c>
      <c r="W485" s="141">
        <v>273.77362299999999</v>
      </c>
      <c r="X485" s="79">
        <f>IF(ISERROR((W485/O485-1)*100),"NA",IF(((W485/O485-1)*100)&gt;100,"NM",IF(((W485/O485-1)*100)&lt;-50,"NM",(W485/O485-1)*100)))</f>
        <v>12.306821655057965</v>
      </c>
      <c r="Y485" s="141">
        <v>298.70733799999999</v>
      </c>
      <c r="Z485" s="79">
        <f>IF(ISERROR((Y485/Q485-1)*100),"NA",IF(((Y485/Q485-1)*100)&gt;100,"NM",IF(((Y485/Q485-1)*100)&lt;-50,"NM",(Y485/Q485-1)*100)))</f>
        <v>23.291872895153574</v>
      </c>
      <c r="AA485" s="250">
        <v>294.82240899999999</v>
      </c>
      <c r="AB485" s="79">
        <f>IF(ISERROR((AA485/S485-1)*100),"NA",IF(((AA485/S485-1)*100)&gt;100,"NM",IF(((AA485/S485-1)*100)&lt;-50,"NM",(AA485/S485-1)*100)))</f>
        <v>21.762459324858408</v>
      </c>
      <c r="AC485" s="141">
        <v>294.98977100000002</v>
      </c>
      <c r="AD485" s="79">
        <f>IF(ISERROR((AC485/U485-1)*100),"NA",IF(((AC485/U485-1)*100)&gt;100,"NM",IF(((AC485/U485-1)*100)&lt;-50,"NM",(AC485/U485-1)*100)))</f>
        <v>22.088622287204874</v>
      </c>
      <c r="AE485" s="141">
        <v>301.47820400000001</v>
      </c>
      <c r="AF485" s="79">
        <f>IF(ISERROR((AE485/W485-1)*100),"NA",IF(((AE485/W485-1)*100)&gt;100,"NM",IF(((AE485/W485-1)*100)&lt;-50,"NM",(AE485/W485-1)*100)))</f>
        <v>10.119521631198204</v>
      </c>
      <c r="AG485" s="141">
        <v>303.62857600000001</v>
      </c>
      <c r="AH485" s="79">
        <f>IF(ISERROR((AG485/Y485-1)*100),"NA",IF(((AG485/Y485-1)*100)&gt;100,"NM",IF(((AG485/Y485-1)*100)&lt;-50,"NM",(AG485/Y485-1)*100)))</f>
        <v>1.6475115854033717</v>
      </c>
      <c r="AI485" s="141">
        <v>302.24800099999999</v>
      </c>
      <c r="AJ485" s="79">
        <f>IF(ISERROR((AI485/AA485-1)*100),"NA",IF(((AI485/AA485-1)*100)&gt;100,"NM",IF(((AI485/AA485-1)*100)&lt;-50,"NM",(AI485/AA485-1)*100)))</f>
        <v>2.5186660760240898</v>
      </c>
      <c r="AK485" s="141">
        <v>307.61085200000002</v>
      </c>
      <c r="AL485" s="79">
        <f>IF(ISERROR((AK485/AC485-1)*100),"NA",IF(((AK485/AC485-1)*100)&gt;100,"NM",IF(((AK485/AC485-1)*100)&lt;-50,"NM",(AK485/AC485-1)*100)))</f>
        <v>4.2784808968850729</v>
      </c>
      <c r="AM485" s="141">
        <v>309.108296</v>
      </c>
      <c r="AN485" s="79">
        <f>IF(ISERROR((AM485/AE485-1)*100),"NA",IF(((AM485/AE485-1)*100)&gt;100,"NM",IF(((AM485/AE485-1)*100)&lt;-50,"NM",(AM485/AE485-1)*100)))</f>
        <v>2.5308934107886483</v>
      </c>
      <c r="AO485" s="141">
        <v>314.64812799999999</v>
      </c>
      <c r="AP485" s="79">
        <f>IF(ISERROR((AO485/AG485-1)*100),"NA",IF(((AO485/AG485-1)*100)&gt;100,"NM",IF(((AO485/AG485-1)*100)&lt;-50,"NM",(AO485/AG485-1)*100)))</f>
        <v>3.6292868560566571</v>
      </c>
      <c r="AQ485" s="141">
        <v>318.68142699999999</v>
      </c>
      <c r="AR485" s="79">
        <f>IF(ISERROR((AQ485/AI485-1)*100),"NA",IF(((AQ485/AI485-1)*100)&gt;100,"NM",IF(((AQ485/AI485-1)*100)&lt;-50,"NM",(AQ485/AI485-1)*100)))</f>
        <v>5.4370668939510924</v>
      </c>
      <c r="AS485" s="141">
        <v>319.63683300000002</v>
      </c>
      <c r="AT485" s="81">
        <f>IF(ISERROR((AS485/AK485-1)*100),"NA",IF(((AS485/AK485-1)*100)&gt;100,"NM",IF(((AS485/AK485-1)*100)&lt;-50,"NM",(AS485/AK485-1)*100)))</f>
        <v>3.9094787852282931</v>
      </c>
      <c r="AU485" s="141">
        <v>329.90497599999998</v>
      </c>
      <c r="AV485" s="81">
        <f>IF(ISERROR((AU485/AM485-1)*100),"NA",IF(((AU485/AM485-1)*100)&gt;100,"NM",IF(((AU485/AM485-1)*100)&lt;-50,"NM",(AU485/AM485-1)*100)))</f>
        <v>6.727959187481658</v>
      </c>
      <c r="AW485" s="141">
        <v>340.727665</v>
      </c>
      <c r="AX485" s="81">
        <f>IF(ISERROR((AW485/AO485-1)*100),"NA",IF(((AW485/AO485-1)*100)&gt;100,"NM",IF(((AW485/AO485-1)*100)&lt;-50,"NM",(AW485/AO485-1)*100)))</f>
        <v>8.2884767711060459</v>
      </c>
      <c r="AY485" s="141">
        <v>345.52784500000001</v>
      </c>
      <c r="AZ485" s="81">
        <f>IF(ISERROR((AY485/AQ485-1)*100),"NA",IF(((AY485/AQ485-1)*100)&gt;100,"NM",IF(((AY485/AQ485-1)*100)&lt;-50,"NM",(AY485/AQ485-1)*100)))</f>
        <v>8.4242179573270413</v>
      </c>
      <c r="BA485" s="141">
        <v>346.38025900000002</v>
      </c>
      <c r="BB485" s="81">
        <f>IF(ISERROR((BA485/AS485-1)*100),"NA",IF(((BA485/AS485-1)*100)&gt;100,"NM",IF(((BA485/AS485-1)*100)&lt;-50,"NM",(BA485/AS485-1)*100)))</f>
        <v>8.3668160984438309</v>
      </c>
      <c r="BC485" s="141">
        <v>354.83735000000001</v>
      </c>
      <c r="BD485" s="81">
        <f>IF(ISERROR((BC485/AU485-1)*100),"NA",IF(((BC485/AU485-1)*100)&gt;100,"NM",IF(((BC485/AU485-1)*100)&lt;-50,"NM",(BC485/AU485-1)*100)))</f>
        <v>7.5574410250786928</v>
      </c>
      <c r="BE485" s="141">
        <v>360.90630199999998</v>
      </c>
      <c r="BF485" s="81">
        <f>IF(ISERROR((BE485/AW485-1)*100),"NA",IF(((BE485/AW485-1)*100)&gt;100,"NM",IF(((BE485/AW485-1)*100)&lt;-50,"NM",(BE485/AW485-1)*100)))</f>
        <v>5.9222185553967188</v>
      </c>
      <c r="BG485" s="141">
        <v>360.70761700000003</v>
      </c>
      <c r="BH485" s="81">
        <f>IF(ISERROR((BG485/AY485-1)*100),"NA",IF(((BG485/AY485-1)*100)&gt;100,"NM",IF(((BG485/AY485-1)*100)&lt;-50,"NM",(BG485/AY485-1)*100)))</f>
        <v>4.393212361799681</v>
      </c>
      <c r="BI485" s="141">
        <v>351.46582100000001</v>
      </c>
      <c r="BJ485" s="81">
        <f>IF(ISERROR((BI485/BA485-1)*100),"NA",IF(((BI485/BA485-1)*100)&gt;100,"NM",IF(((BI485/BA485-1)*100)&lt;-50,"NM",(BI485/BA485-1)*100)))</f>
        <v>1.468202031686805</v>
      </c>
      <c r="BK485" s="141">
        <v>346.03541999999999</v>
      </c>
      <c r="BL485" s="81">
        <f>IF(ISERROR((BK485/BC485-1)*100),"NA",IF(((BK485/BC485-1)*100)&gt;100,"NM",IF(((BK485/BC485-1)*100)&lt;-50,"NM",(BK485/BC485-1)*100)))</f>
        <v>-2.4805534141205898</v>
      </c>
      <c r="BM485" s="141">
        <v>337.91277000000002</v>
      </c>
      <c r="BN485" s="81">
        <f>IF(ISERROR((BM485/BE485-1)*100),"NA",IF(((BM485/BE485-1)*100)&gt;100,"NM",IF(((BM485/BE485-1)*100)&lt;-50,"NM",(BM485/BE485-1)*100)))</f>
        <v>-6.3710530607470446</v>
      </c>
      <c r="BO485" s="141">
        <v>330.981471</v>
      </c>
      <c r="BP485" s="81">
        <f>IF(ISERROR((BO485/BG485-1)*100),"NA",IF(((BO485/BG485-1)*100)&gt;100,"NM",IF(((BO485/BG485-1)*100)&lt;-50,"NM",(BO485/BG485-1)*100)))</f>
        <v>-8.2410641192531386</v>
      </c>
      <c r="BQ485" s="141">
        <v>330.96451400000001</v>
      </c>
      <c r="BR485" s="81">
        <f>IF(ISERROR((BQ485/BI485-1)*100),"NA",IF(((BQ485/BI485-1)*100)&gt;100,"NM",IF(((BQ485/BI485-1)*100)&lt;-50,"NM",(BQ485/BI485-1)*100)))</f>
        <v>-5.8330869675091375</v>
      </c>
      <c r="BS485" s="141">
        <v>331.95522499999998</v>
      </c>
      <c r="BT485" s="81">
        <f>IF(ISERROR((BS485/BK485-1)*100),"NA",IF(((BS485/BK485-1)*100)&gt;100,"NM",IF(((BS485/BK485-1)*100)&lt;-50,"NM",(BS485/BK485-1)*100)))</f>
        <v>-4.0690039765293395</v>
      </c>
      <c r="BU485" s="141">
        <v>332.62214799999998</v>
      </c>
      <c r="BV485" s="81">
        <f>IF(ISERROR((BU485/BM485-1)*100),"NA",IF(((BU485/BM485-1)*100)&gt;100,"NM",IF(((BU485/BM485-1)*100)&lt;-50,"NM",(BU485/BM485-1)*100)))</f>
        <v>-1.5656768461280834</v>
      </c>
      <c r="BW485" s="141">
        <v>332.99847999999997</v>
      </c>
      <c r="BX485" s="81">
        <f>IF(ISERROR((BW485/BO485-1)*100),"NA",IF(((BW485/BO485-1)*100)&gt;100,"NM",IF(((BW485/BO485-1)*100)&lt;-50,"NM",(BW485/BO485-1)*100)))</f>
        <v>0.60940239159188447</v>
      </c>
      <c r="BY485" s="141">
        <v>333.52470799999998</v>
      </c>
      <c r="BZ485" s="81">
        <f>IF(ISERROR((BY485/BQ485-1)*100),"NA",IF(((BY485/BQ485-1)*100)&gt;100,"NM",IF(((BY485/BQ485-1)*100)&lt;-50,"NM",(BY485/BQ485-1)*100)))</f>
        <v>0.773555439239626</v>
      </c>
      <c r="CA485" s="141">
        <v>333.07749000000001</v>
      </c>
      <c r="CB485" s="81">
        <f>IF(ISERROR((CA485/BS485-1)*100),"NA",IF(((CA485/BS485-1)*100)&gt;100,"NM",IF(((CA485/BS485-1)*100)&lt;-50,"NM",(CA485/BS485-1)*100)))</f>
        <v>0.3380772211071692</v>
      </c>
      <c r="CC485" s="141">
        <v>324.46697999999998</v>
      </c>
      <c r="CD485" s="81">
        <f>IF(ISERROR((CC485/BU485-1)*100),"NA",IF(((CC485/BU485-1)*100)&gt;100,"NM",IF(((CC485/BU485-1)*100)&lt;-50,"NM",(CC485/BU485-1)*100)))</f>
        <v>-2.4517814129442761</v>
      </c>
      <c r="CE485" s="141">
        <v>318.46294</v>
      </c>
      <c r="CF485" s="81">
        <f>IF(ISERROR((CE485/BW485-1)*100),"NA",IF(((CE485/BW485-1)*100)&gt;100,"NM",IF(((CE485/BW485-1)*100)&lt;-50,"NM",(CE485/BW485-1)*100)))</f>
        <v>-4.3650469515656543</v>
      </c>
      <c r="CG485" s="141">
        <v>314.33231699999999</v>
      </c>
      <c r="CH485" s="81">
        <f>IF(ISERROR((CG485/BY485-1)*100),"NA",IF(((CG485/BY485-1)*100)&gt;100,"NM",IF(((CG485/BY485-1)*100)&lt;-50,"NM",(CG485/BY485-1)*100)))</f>
        <v>-5.7544135530732561</v>
      </c>
      <c r="CI485" s="141">
        <v>307.41096399999998</v>
      </c>
      <c r="CJ485" s="81">
        <f>IF(ISERROR((CI485/CA485-1)*100),"NA",IF(((CI485/CA485-1)*100)&gt;100,"NM",IF(((CI485/CA485-1)*100)&lt;-50,"NM",(CI485/CA485-1)*100)))</f>
        <v>-7.7058722881573338</v>
      </c>
      <c r="CK485" s="141">
        <v>299.17290000000003</v>
      </c>
      <c r="CL485" s="81">
        <f>IF(ISERROR((CK485/CC485-1)*100),"NA",IF(((CK485/CC485-1)*100)&gt;100,"NM",IF(((CK485/CC485-1)*100)&lt;-50,"NM",(CK485/CC485-1)*100)))</f>
        <v>-7.7955790755657066</v>
      </c>
      <c r="CM485" s="141">
        <v>303.571033</v>
      </c>
      <c r="CN485" s="81">
        <f>IF(ISERROR((CM485/CE485-1)*100),"NA",IF(((CM485/CE485-1)*100)&gt;100,"NM",IF(((CM485/CE485-1)*100)&lt;-50,"NM",(CM485/CE485-1)*100)))</f>
        <v>-4.6761821014401299</v>
      </c>
      <c r="CO485" s="141">
        <v>291.28403600000001</v>
      </c>
      <c r="CP485" s="81">
        <f>IF(ISERROR((CO485/CG485-1)*100),"NA",IF(((CO485/CG485-1)*100)&gt;100,"NM",IF(((CO485/CG485-1)*100)&lt;-50,"NM",(CO485/CG485-1)*100)))</f>
        <v>-7.3324566878689605</v>
      </c>
      <c r="CQ485" s="141">
        <v>283.74063200000001</v>
      </c>
      <c r="CR485" s="81">
        <f>IF(ISERROR((CQ485/CI485-1)*100),"NA",IF(((CQ485/CI485-1)*100)&gt;100,"NM",IF(((CQ485/CI485-1)*100)&lt;-50,"NM",(CQ485/CI485-1)*100)))</f>
        <v>-7.6998984330305049</v>
      </c>
      <c r="CS485" s="141">
        <v>278.51103899999998</v>
      </c>
      <c r="CT485" s="7">
        <f>IF(ISERROR((CS485/CK485-1)*100),"NA",IF(((CS485/CK485-1)*100)&gt;100,"NM",IF(((CS485/CK485-1)*100)&lt;-50,"NM",(CS485/CK485-1)*100)))</f>
        <v>-6.9063277455946199</v>
      </c>
      <c r="CU485" s="141">
        <v>273.60000000000002</v>
      </c>
      <c r="CV485" s="7">
        <f>IF(ISERROR((CU485/CM485-1)*100),"NA",IF(((CU485/CM485-1)*100)&gt;100,"NM",IF(((CU485/CM485-1)*100)&lt;-50,"NM",(CU485/CM485-1)*100)))</f>
        <v>-9.8728237354583133</v>
      </c>
      <c r="CW485" s="141">
        <v>270.35439500000001</v>
      </c>
      <c r="CX485" s="7">
        <f>IF(ISERROR((CW485/CO485-1)*100),"NA",IF(((CW485/CO485-1)*100)&gt;100,"NM",IF(((CW485/CO485-1)*100)&lt;-50,"NM",(CW485/CO485-1)*100)))</f>
        <v>-7.1853031451404314</v>
      </c>
      <c r="CY485" s="141">
        <v>266.73630200000002</v>
      </c>
      <c r="CZ485" s="7">
        <f>IF(ISERROR((CY485/CQ485-1)*100),"NA",IF(((CY485/CQ485-1)*100)&gt;100,"NM",IF(((CY485/CQ485-1)*100)&lt;-50,"NM",(CY485/CQ485-1)*100)))</f>
        <v>-5.9929132744019453</v>
      </c>
      <c r="DA485" s="141">
        <v>264.26004499999999</v>
      </c>
      <c r="DB485" s="7">
        <f>IF(ISERROR((DA485/CS485-1)*100),"NA",IF(((DA485/CS485-1)*100)&gt;100,"NM",IF(((DA485/CS485-1)*100)&lt;-50,"NM",(DA485/CS485-1)*100)))</f>
        <v>-5.1168506825325473</v>
      </c>
      <c r="DC485" s="141">
        <v>262.60000000000002</v>
      </c>
      <c r="DD485" s="81">
        <f>IF(ISERROR((DC485/CU485-1)*100),"NA",IF(((DC485/CU485-1)*100)&gt;100,"NM",IF(((DC485/CU485-1)*100)&lt;-50,"NM",(DC485/CU485-1)*100)))</f>
        <v>-4.0204678362573132</v>
      </c>
      <c r="DE485" s="141">
        <v>260.7</v>
      </c>
      <c r="DF485" s="81">
        <f>IF(ISERROR((DE485/CW485-1)*100),"NA",IF(((DE485/CW485-1)*100)&gt;100,"NM",IF(((DE485/CW485-1)*100)&lt;-50,"NM",(DE485/CW485-1)*100)))</f>
        <v>-3.5710146306295543</v>
      </c>
      <c r="DG485" s="141">
        <v>257.89999999999998</v>
      </c>
      <c r="DH485" s="81">
        <f>IF(ISERROR((DG485/CY485-1)*100),"NA",IF(((DG485/CY485-1)*100)&gt;100,"NM",IF(((DG485/CY485-1)*100)&lt;-50,"NM",(DG485/CY485-1)*100)))</f>
        <v>-3.3127481837849193</v>
      </c>
      <c r="DI485" s="141">
        <v>254.8</v>
      </c>
      <c r="DJ485" s="81">
        <f>IF(ISERROR((DI485/DA485-1)*100),"NA",IF(((DI485/DA485-1)*100)&gt;100,"NM",IF(((DI485/DA485-1)*100)&lt;-50,"NM",(DI485/DA485-1)*100)))</f>
        <v>-3.5798241841667688</v>
      </c>
      <c r="DK485" s="141">
        <v>252.4</v>
      </c>
      <c r="DL485" s="81">
        <f>IF(ISERROR((DK485/DC485-1)*100),"NA",IF(((DK485/DC485-1)*100)&gt;100,"NM",IF(((DK485/DC485-1)*100)&lt;-50,"NM",(DK485/DC485-1)*100)))</f>
        <v>-3.8842345773038911</v>
      </c>
      <c r="DM485" s="141">
        <v>252.2</v>
      </c>
      <c r="DN485" s="81">
        <f>IF(ISERROR((DM485/DE485-1)*100),"NA",IF(((DM485/DE485-1)*100)&gt;100,"NM",IF(((DM485/DE485-1)*100)&lt;-50,"NM",(DM485/DE485-1)*100)))</f>
        <v>-3.2604526275412327</v>
      </c>
      <c r="DO485" s="141">
        <v>249.3</v>
      </c>
      <c r="DP485" s="81">
        <f>IF(ISERROR((DO485/DG485-1)*100),"NA",IF(((DO485/DG485-1)*100)&gt;100,"NM",IF(((DO485/DG485-1)*100)&lt;-50,"NM",(DO485/DG485-1)*100)))</f>
        <v>-3.3346258239627669</v>
      </c>
      <c r="DQ485" s="141">
        <v>246.3</v>
      </c>
      <c r="DR485" s="81">
        <f>IF(ISERROR((DQ485/DI485-1)*100),"NA",IF(((DQ485/DI485-1)*100)&gt;100,"NM",IF(((DQ485/DI485-1)*100)&lt;-50,"NM",(DQ485/DI485-1)*100)))</f>
        <v>-3.3359497645211955</v>
      </c>
      <c r="DS485" s="141">
        <v>243.8</v>
      </c>
      <c r="DT485" s="81">
        <f>IF(ISERROR((DS485/DK485-1)*100),"NA",IF(((DS485/DK485-1)*100)&gt;100,"NM",IF(((DS485/DK485-1)*100)&lt;-50,"NM",(DS485/DK485-1)*100)))</f>
        <v>-3.4072900158478636</v>
      </c>
      <c r="DU485" s="141">
        <v>239.7</v>
      </c>
      <c r="DV485" s="81">
        <f>IF(ISERROR((DU485/DM485-1)*100),"NA",IF(((DU485/DM485-1)*100)&gt;100,"NM",IF(((DU485/DM485-1)*100)&lt;-50,"NM",(DU485/DM485-1)*100)))</f>
        <v>-4.9563838223632084</v>
      </c>
      <c r="DW485" s="141">
        <v>237.3</v>
      </c>
      <c r="DX485" s="81">
        <f>IF(ISERROR((DW485/DO485-1)*100),"NA",IF(((DW485/DO485-1)*100)&gt;100,"NM",IF(((DW485/DO485-1)*100)&lt;-50,"NM",(DW485/DO485-1)*100)))</f>
        <v>-4.8134777376654618</v>
      </c>
      <c r="DY485" s="141">
        <v>234.2</v>
      </c>
      <c r="DZ485" s="81">
        <f>IF(ISERROR((DY485/DQ485-1)*100),"NA",IF(((DY485/DQ485-1)*100)&gt;100,"NM",IF(((DY485/DQ485-1)*100)&lt;-50,"NM",(DY485/DQ485-1)*100)))</f>
        <v>-4.9127080795777545</v>
      </c>
      <c r="EA485" s="141">
        <v>232.4</v>
      </c>
      <c r="EB485" s="81">
        <f>IF(ISERROR((EA485/DS485-1)*100),"NA",IF(((EA485/DS485-1)*100)&gt;100,"NM",IF(((EA485/DS485-1)*100)&lt;-50,"NM",(EA485/DS485-1)*100)))</f>
        <v>-4.6759639048400299</v>
      </c>
      <c r="EC485" s="141">
        <v>230.4</v>
      </c>
      <c r="ED485" s="81">
        <f t="shared" ref="ED485" si="1775">IF(ISERROR((EC485/DU485-1)*100),"NA",IF(((EC485/DU485-1)*100)&gt;100,"NM",IF(((EC485/DU485-1)*100)&lt;-50,"NM",(EC485/DU485-1)*100)))</f>
        <v>-3.8798498122653235</v>
      </c>
      <c r="EE485" s="141">
        <v>228.2</v>
      </c>
      <c r="EF485" s="81">
        <f t="shared" ref="EF485" si="1776">IF(ISERROR((EE485/DW485-1)*100),"NA",IF(((EE485/DW485-1)*100)&gt;100,"NM",IF(((EE485/DW485-1)*100)&lt;-50,"NM",(EE485/DW485-1)*100)))</f>
        <v>-3.8348082595870303</v>
      </c>
      <c r="EG485" s="141">
        <v>226</v>
      </c>
      <c r="EH485" s="81">
        <f t="shared" ref="EH485" si="1777">IF(ISERROR((EG485/DY485-1)*100),"NA",IF(((EG485/DY485-1)*100)&gt;100,"NM",IF(((EG485/DY485-1)*100)&lt;-50,"NM",(EG485/DY485-1)*100)))</f>
        <v>-3.5012809564474723</v>
      </c>
      <c r="EI485" s="141">
        <v>224.8</v>
      </c>
      <c r="EJ485" s="81">
        <f t="shared" ref="EJ485" si="1778">IF(ISERROR((EI485/EA485-1)*100),"NA",IF(((EI485/EA485-1)*100)&gt;100,"NM",IF(((EI485/EA485-1)*100)&lt;-50,"NM",(EI485/EA485-1)*100)))</f>
        <v>-3.2702237521514577</v>
      </c>
      <c r="EK485" s="362">
        <f t="shared" ref="EK485:EQ485" si="1779">EK483+EK484</f>
        <v>221.9430502062454</v>
      </c>
      <c r="EL485" s="81">
        <f t="shared" ref="EL485" si="1780">IF(ISERROR((EK485/EC485-1)*100),"NA",IF(((EK485/EC485-1)*100)&gt;100,"NM",IF(((EK485/EC485-1)*100)&lt;-50,"NM",(EK485/EC485-1)*100)))</f>
        <v>-3.6705511257615453</v>
      </c>
      <c r="EM485" s="362">
        <f t="shared" si="1779"/>
        <v>220.04384790254787</v>
      </c>
      <c r="EN485" s="81">
        <f t="shared" ref="EN485" si="1781">IF(ISERROR((EM485/EE485-1)*100),"NA",IF(((EM485/EE485-1)*100)&gt;100,"NM",IF(((EM485/EE485-1)*100)&lt;-50,"NM",(EM485/EE485-1)*100)))</f>
        <v>-3.574124494939579</v>
      </c>
      <c r="EO485" s="362">
        <f t="shared" si="1779"/>
        <v>218.17328195838689</v>
      </c>
      <c r="EP485" s="81">
        <f t="shared" ref="EP485" si="1782">IF(ISERROR((EO485/EG485-1)*100),"NA",IF(((EO485/EG485-1)*100)&gt;100,"NM",IF(((EO485/EG485-1)*100)&lt;-50,"NM",(EO485/EG485-1)*100)))</f>
        <v>-3.4631495759349984</v>
      </c>
      <c r="EQ485" s="362">
        <f t="shared" si="1779"/>
        <v>216.33045439658284</v>
      </c>
      <c r="ER485" s="81">
        <f t="shared" ref="ER485" si="1783">IF(ISERROR((EQ485/EI485-1)*100),"NA",IF(((EQ485/EI485-1)*100)&gt;100,"NM",IF(((EQ485/EI485-1)*100)&lt;-50,"NM",(EQ485/EI485-1)*100)))</f>
        <v>-3.7675914605948324</v>
      </c>
      <c r="ES485" s="74"/>
      <c r="ET485" s="469"/>
      <c r="EU485" s="74"/>
      <c r="EV485" s="141"/>
      <c r="EW485" s="79"/>
      <c r="EX485" s="141"/>
      <c r="EY485" s="79"/>
      <c r="EZ485" s="360"/>
      <c r="FA485" s="79"/>
      <c r="FB485" s="266">
        <f>AVERAGE(E485,G485,I485,K485)</f>
        <v>243.61649824999998</v>
      </c>
      <c r="FC485" s="79" t="str">
        <f>IF(ISERROR((FB485/EZ485-1)*100),"NA",IF(((FB485/EZ485-1)*100)&gt;100,"NM",IF(((FB485/EZ485-1)*100)&lt;-50,"NM",(FB485/EZ485-1)*100)))</f>
        <v>NA</v>
      </c>
      <c r="FD485" s="360">
        <f>+AVERAGE(M485,O485,Q485,S485)</f>
        <v>243.074557</v>
      </c>
      <c r="FE485" s="79">
        <f>IF(ISERROR((FD485/FB485-1)*100),"NA",IF(((FD485/FB485-1)*100)&gt;100,"NM",IF(((FD485/FB485-1)*100)&lt;-50,"NM",(FD485/FB485-1)*100)))</f>
        <v>-0.22245671122151922</v>
      </c>
      <c r="FF485" s="361">
        <v>276.13217600000002</v>
      </c>
      <c r="FG485" s="79">
        <f>IF(ISERROR((FF485/FD485-1)*100),"NA",IF(((FF485/FD485-1)*100)&gt;100,"NM",IF(((FF485/FD485-1)*100)&lt;-50,"NM",(FF485/FD485-1)*100)))</f>
        <v>13.599785764496941</v>
      </c>
      <c r="FH485" s="138">
        <v>295.22430500000002</v>
      </c>
      <c r="FI485" s="79">
        <f>IF(ISERROR((FH485/FF485-1)*100),"NA",IF(((FH485/FF485-1)*100)&gt;100,"NM",IF(((FH485/FF485-1)*100)&lt;-50,"NM",(FH485/FF485-1)*100)))</f>
        <v>6.9141268781367948</v>
      </c>
      <c r="FJ485" s="362">
        <f>AVERAGE(AK485,AM485,AO485,AQ485)</f>
        <v>312.51217574999998</v>
      </c>
      <c r="FK485" s="79">
        <f>IF(ISERROR((FJ485/FH485-1)*100),"NA",IF(((FJ485/FH485-1)*100)&gt;100,"NM",IF(((FJ485/FH485-1)*100)&lt;-50,"NM",(FJ485/FH485-1)*100)))</f>
        <v>5.8558426447984813</v>
      </c>
      <c r="FL485" s="362">
        <f>AVERAGE(AS485,AU485,AW485,AY485)</f>
        <v>333.94932975</v>
      </c>
      <c r="FM485" s="79">
        <f>IF(ISERROR((FL485/FJ485-1)*100),"NA",IF(((FL485/FJ485-1)*100)&gt;100,"NM",IF(((FL485/FJ485-1)*100)&lt;-50,"NM",(FL485/FJ485-1)*100)))</f>
        <v>6.8596220126633023</v>
      </c>
      <c r="FN485" s="362">
        <f>AVERAGE(BG485,BC485,BA485,BE485)</f>
        <v>355.70788200000004</v>
      </c>
      <c r="FO485" s="79">
        <f>IF(ISERROR((FN485/FL485-1)*100),"NA",IF(((FN485/FL485-1)*100)&gt;100,"NM",IF(((FN485/FL485-1)*100)&lt;-50,"NM",(FN485/FL485-1)*100)))</f>
        <v>6.515525054740734</v>
      </c>
      <c r="FP485" s="362">
        <f>AVERAGE(BO485,BK485,BI485,BM485)</f>
        <v>341.59887049999998</v>
      </c>
      <c r="FQ485" s="79">
        <f>IF(ISERROR((FP485/FN485-1)*100),"NA",IF(((FP485/FN485-1)*100)&gt;100,"NM",IF(((FP485/FN485-1)*100)&lt;-50,"NM",(FP485/FN485-1)*100)))</f>
        <v>-3.9664601809414113</v>
      </c>
      <c r="FR485" s="362">
        <f>AVERAGE(BW485,BS485,BQ485,BU485)</f>
        <v>332.13509174999996</v>
      </c>
      <c r="FS485" s="79">
        <f>IF(ISERROR((FR485/FP485-1)*100),"NA",IF(((FR485/FP485-1)*100)&gt;100,"NM",IF(((FR485/FP485-1)*100)&lt;-50,"NM",(FR485/FP485-1)*100)))</f>
        <v>-2.770436194987369</v>
      </c>
      <c r="FT485" s="362">
        <f>AVERAGE(CE485,CA485,BY485,CC485)</f>
        <v>327.38302949999996</v>
      </c>
      <c r="FU485" s="79">
        <f>IF(ISERROR((FT485/FR485-1)*100),"NA",IF(((FT485/FR485-1)*100)&gt;100,"NM",IF(((FT485/FR485-1)*100)&lt;-50,"NM",(FT485/FR485-1)*100)))</f>
        <v>-1.4307618701058233</v>
      </c>
      <c r="FV485" s="362">
        <f>AVERAGE(CM485,CI485,CG485,CK485)</f>
        <v>306.1218035</v>
      </c>
      <c r="FW485" s="79">
        <f>IF(ISERROR((FV485/FT485-1)*100),"NA",IF(((FV485/FT485-1)*100)&gt;100,"NM",IF(((FV485/FT485-1)*100)&lt;-50,"NM",(FV485/FT485-1)*100)))</f>
        <v>-6.494296919565878</v>
      </c>
      <c r="FX485" s="362">
        <f>AVERAGE(CU485,CQ485,CO485,CS485)</f>
        <v>281.78392674999998</v>
      </c>
      <c r="FY485" s="79">
        <f>IF(ISERROR((FX485/FV485-1)*100),"NA",IF(((FX485/FV485-1)*100)&gt;100,"NM",IF(((FX485/FV485-1)*100)&lt;-50,"NM",(FX485/FV485-1)*100)))</f>
        <v>-7.9503898355936631</v>
      </c>
      <c r="FZ485" s="362">
        <f>AVERAGE(DC485,CY485,CW485,DA485)</f>
        <v>265.9876855</v>
      </c>
      <c r="GA485" s="79">
        <f>IF(ISERROR((FZ485/FX485-1)*100),"NA",IF(((FZ485/FX485-1)*100)&gt;100,"NM",IF(((FZ485/FX485-1)*100)&lt;-50,"NM",(FZ485/FX485-1)*100)))</f>
        <v>-5.6057992491581938</v>
      </c>
      <c r="GB485" s="362">
        <f>AVERAGE(DK485,DG485,DE485,DI485)</f>
        <v>256.45</v>
      </c>
      <c r="GC485" s="79">
        <f>IF(ISERROR((GB485/FZ485-1)*100),"NA",IF(((GB485/FZ485-1)*100)&gt;100,"NM",IF(((GB485/FZ485-1)*100)&lt;-50,"NM",(GB485/FZ485-1)*100)))</f>
        <v>-3.5857620558903736</v>
      </c>
      <c r="GD485" s="362">
        <f>AVERAGE(DS485,DO485,DM485,DQ485)</f>
        <v>247.89999999999998</v>
      </c>
      <c r="GE485" s="79">
        <f>IF(ISERROR((GD485/GB485-1)*100),"NA",IF(((GD485/GB485-1)*100)&gt;100,"NM",IF(((GD485/GB485-1)*100)&lt;-50,"NM",(GD485/GB485-1)*100)))</f>
        <v>-3.3339832325989471</v>
      </c>
      <c r="GF485" s="362">
        <f>AVERAGE(EA485,DW485,DU485,DY485)</f>
        <v>235.90000000000003</v>
      </c>
      <c r="GG485" s="79">
        <f>IF(ISERROR((GF485/GD485-1)*100),"NA",IF(((GF485/GD485-1)*100)&gt;100,"NM",IF(((GF485/GD485-1)*100)&lt;-50,"NM",(GF485/GD485-1)*100)))</f>
        <v>-4.8406615570794393</v>
      </c>
      <c r="GH485" s="362">
        <f>AVERAGE(EI485,EE485,EC485,EG485)</f>
        <v>227.35</v>
      </c>
      <c r="GI485" s="79">
        <f>IF(ISERROR((GH485/GF485-1)*100),"NA",IF(((GH485/GF485-1)*100)&gt;100,"NM",IF(((GH485/GF485-1)*100)&lt;-50,"NM",(GH485/GF485-1)*100)))</f>
        <v>-3.6244171259008251</v>
      </c>
      <c r="GJ485" s="362">
        <f>AVERAGE(EQ485,EM485,EK485,EO485)</f>
        <v>219.12265861594074</v>
      </c>
      <c r="GK485" s="79">
        <f>IF(ISERROR((GJ485/GH485-1)*100),"NA",IF(((GJ485/GH485-1)*100)&gt;100,"NM",IF(((GJ485/GH485-1)*100)&lt;-50,"NM",(GJ485/GH485-1)*100)))</f>
        <v>-3.6187998170482794</v>
      </c>
      <c r="GL485" s="362">
        <f>GL483+GL484</f>
        <v>211.88556690772648</v>
      </c>
      <c r="GM485" s="79">
        <f>IF(ISERROR((GL485/GJ485-1)*100),"NA",IF(((GL485/GJ485-1)*100)&gt;100,"NM",IF(((GL485/GJ485-1)*100)&lt;-50,"NM",(GL485/GJ485-1)*100)))</f>
        <v>-3.3027582605680283</v>
      </c>
      <c r="GN485" s="362">
        <f>GN483+GN484</f>
        <v>204.81273812004304</v>
      </c>
      <c r="GO485" s="79">
        <f>IF(ISERROR((GN485/GL485-1)*100),"NA",IF(((GN485/GL485-1)*100)&gt;100,"NM",IF(((GN485/GL485-1)*100)&lt;-50,"NM",(GN485/GL485-1)*100)))</f>
        <v>-3.3380417981766386</v>
      </c>
      <c r="GP485" s="362">
        <f>GP483+GP484</f>
        <v>197.92220271940431</v>
      </c>
      <c r="GQ485" s="79">
        <f>IF(ISERROR((GP485/GN485-1)*100),"NA",IF(((GP485/GN485-1)*100)&gt;100,"NM",IF(((GP485/GN485-1)*100)&lt;-50,"NM",(GP485/GN485-1)*100)))</f>
        <v>-3.3643099857393222</v>
      </c>
      <c r="GR485" s="362">
        <f>GR483+GR484</f>
        <v>190.68433372090038</v>
      </c>
      <c r="GS485" s="79">
        <f>IF(ISERROR((GR485/GP485-1)*100),"NA",IF(((GR485/GP485-1)*100)&gt;100,"NM",IF(((GR485/GP485-1)*100)&lt;-50,"NM",(GR485/GP485-1)*100)))</f>
        <v>-3.6569262564064675</v>
      </c>
      <c r="GT485" s="79">
        <f>IF(ISERROR(((GR485/GH485)^0.2-1)*100),"NA",(IF(OR(((GR485/GH485)^0.2-1)*100&gt;99,((GR485/GH485)^0.2-1)*100&lt;-50),"NM",(((GR485/GH485)^0.2-1)*100))))</f>
        <v>-3.4562839822018576</v>
      </c>
      <c r="GU485" s="562"/>
      <c r="GV485" s="562"/>
      <c r="GW485"/>
      <c r="GX485"/>
      <c r="GY485"/>
      <c r="GZ485"/>
      <c r="HA485"/>
      <c r="HB485"/>
      <c r="HC485" s="562"/>
      <c r="HD485" s="562"/>
      <c r="HE485" s="562"/>
      <c r="HF485" s="562"/>
      <c r="HG485" s="562"/>
      <c r="HH485" s="562"/>
      <c r="HI485" s="562"/>
      <c r="HJ485" s="562"/>
      <c r="HK485" s="562"/>
      <c r="HL485" s="562"/>
      <c r="HM485" s="562"/>
      <c r="HN485" s="562"/>
      <c r="HO485" s="562"/>
      <c r="HP485" s="562"/>
      <c r="HQ485" s="562"/>
      <c r="HR485" s="562"/>
      <c r="HS485" s="562"/>
      <c r="HT485" s="562"/>
      <c r="HU485" s="562"/>
      <c r="HV485" s="562"/>
      <c r="HW485" s="562"/>
      <c r="HX485" s="562"/>
      <c r="HY485" s="562"/>
      <c r="HZ485" s="562"/>
      <c r="IA485" s="562"/>
      <c r="IB485" s="562"/>
      <c r="IC485" s="562"/>
      <c r="ID485" s="562"/>
      <c r="IE485" s="562"/>
      <c r="IF485" s="562"/>
      <c r="IG485" s="562"/>
      <c r="IH485" s="562"/>
      <c r="II485" s="562"/>
      <c r="IJ485" s="562"/>
      <c r="IK485" s="562"/>
      <c r="IL485" s="562"/>
      <c r="IM485" s="562"/>
      <c r="IN485" s="562"/>
      <c r="IO485" s="562"/>
      <c r="IP485" s="562"/>
      <c r="IQ485" s="562"/>
      <c r="IR485" s="562"/>
      <c r="IS485" s="562"/>
      <c r="IT485" s="562"/>
      <c r="IU485" s="562"/>
      <c r="IV485" s="562"/>
      <c r="IW485" s="562"/>
      <c r="IX485" s="562"/>
      <c r="IY485" s="562"/>
      <c r="IZ485" s="562"/>
      <c r="JA485" s="562"/>
      <c r="JB485" s="562"/>
      <c r="JC485" s="562"/>
      <c r="JD485" s="562"/>
      <c r="JE485" s="562"/>
      <c r="JF485" s="562"/>
      <c r="JG485" s="562"/>
      <c r="JH485" s="562"/>
      <c r="JI485" s="562"/>
      <c r="JJ485" s="562"/>
      <c r="JK485" s="562"/>
      <c r="JL485" s="562"/>
      <c r="JM485" s="562"/>
      <c r="JN485" s="562"/>
      <c r="JO485" s="562"/>
      <c r="JP485" s="562"/>
      <c r="JQ485" s="562"/>
      <c r="JR485" s="562"/>
      <c r="JS485" s="562"/>
      <c r="JT485" s="562"/>
      <c r="JU485" s="562"/>
      <c r="JV485" s="562"/>
      <c r="JW485" s="562"/>
      <c r="JX485" s="562"/>
      <c r="JY485" s="562"/>
      <c r="JZ485" s="562"/>
    </row>
    <row r="486" spans="1:286" s="83" customFormat="1" ht="12.75" customHeight="1" x14ac:dyDescent="0.2">
      <c r="A486" s="1"/>
      <c r="B486" s="68"/>
      <c r="C486" s="79"/>
      <c r="D486" s="79"/>
      <c r="E486" s="363"/>
      <c r="F486" s="363"/>
      <c r="G486" s="363"/>
      <c r="H486" s="363"/>
      <c r="I486" s="363"/>
      <c r="J486" s="363"/>
      <c r="K486" s="363"/>
      <c r="L486" s="79"/>
      <c r="M486" s="363"/>
      <c r="N486" s="79"/>
      <c r="O486" s="363"/>
      <c r="P486" s="79"/>
      <c r="Q486" s="363"/>
      <c r="R486" s="79"/>
      <c r="S486" s="363"/>
      <c r="T486" s="79"/>
      <c r="U486" s="363"/>
      <c r="V486" s="79"/>
      <c r="W486" s="363"/>
      <c r="X486" s="79"/>
      <c r="Y486" s="363"/>
      <c r="Z486" s="79"/>
      <c r="AA486" s="364"/>
      <c r="AB486" s="79"/>
      <c r="AC486" s="363"/>
      <c r="AD486" s="79"/>
      <c r="AE486" s="363"/>
      <c r="AF486" s="79"/>
      <c r="AG486" s="363"/>
      <c r="AH486" s="79"/>
      <c r="AI486" s="363"/>
      <c r="AJ486" s="79"/>
      <c r="AK486" s="363"/>
      <c r="AL486" s="79"/>
      <c r="AM486" s="363"/>
      <c r="AN486" s="79"/>
      <c r="AO486" s="363"/>
      <c r="AP486" s="79"/>
      <c r="AQ486" s="363"/>
      <c r="AR486" s="79"/>
      <c r="AS486" s="363"/>
      <c r="AT486" s="81"/>
      <c r="AU486" s="363"/>
      <c r="AV486" s="81"/>
      <c r="AW486" s="363"/>
      <c r="AX486" s="81"/>
      <c r="AY486" s="363"/>
      <c r="AZ486" s="81"/>
      <c r="BA486" s="363"/>
      <c r="BB486" s="81"/>
      <c r="BC486" s="363"/>
      <c r="BD486" s="81"/>
      <c r="BE486" s="363"/>
      <c r="BF486" s="81"/>
      <c r="BG486" s="363"/>
      <c r="BH486" s="81"/>
      <c r="BI486" s="363"/>
      <c r="BJ486" s="81"/>
      <c r="BK486" s="363"/>
      <c r="BL486" s="81"/>
      <c r="BM486" s="363"/>
      <c r="BN486" s="81"/>
      <c r="BO486" s="363"/>
      <c r="BP486" s="81"/>
      <c r="BQ486" s="363"/>
      <c r="BR486" s="81"/>
      <c r="BS486" s="363"/>
      <c r="BT486" s="81"/>
      <c r="BU486" s="363"/>
      <c r="BV486" s="81"/>
      <c r="BW486" s="363"/>
      <c r="BX486" s="81"/>
      <c r="BY486" s="363"/>
      <c r="BZ486" s="81"/>
      <c r="CA486" s="363"/>
      <c r="CB486" s="81"/>
      <c r="CC486" s="363"/>
      <c r="CD486" s="81"/>
      <c r="CE486" s="363"/>
      <c r="CF486" s="81"/>
      <c r="CG486" s="363"/>
      <c r="CH486" s="81"/>
      <c r="CI486" s="363"/>
      <c r="CJ486" s="81"/>
      <c r="CK486" s="363"/>
      <c r="CL486" s="365"/>
      <c r="CM486" s="363"/>
      <c r="CN486" s="81"/>
      <c r="CO486" s="363"/>
      <c r="CP486" s="81"/>
      <c r="CQ486" s="363"/>
      <c r="CR486" s="81"/>
      <c r="CS486" s="363"/>
      <c r="CT486" s="81"/>
      <c r="CU486" s="363"/>
      <c r="CV486" s="81"/>
      <c r="CW486" s="363"/>
      <c r="CX486" s="81"/>
      <c r="CY486" s="363"/>
      <c r="CZ486" s="81"/>
      <c r="DA486" s="363"/>
      <c r="DB486" s="81"/>
      <c r="DC486" s="363"/>
      <c r="DD486" s="81"/>
      <c r="DE486" s="363"/>
      <c r="DF486" s="81"/>
      <c r="DG486" s="363"/>
      <c r="DH486" s="81"/>
      <c r="DI486" s="363"/>
      <c r="DJ486" s="81"/>
      <c r="DK486" s="363"/>
      <c r="DL486" s="81"/>
      <c r="DM486" s="363"/>
      <c r="DN486" s="81"/>
      <c r="DO486" s="363"/>
      <c r="DP486" s="81"/>
      <c r="DQ486" s="363"/>
      <c r="DR486" s="81"/>
      <c r="DS486" s="363"/>
      <c r="DT486" s="81"/>
      <c r="DU486" s="363"/>
      <c r="DV486" s="81"/>
      <c r="DW486" s="363"/>
      <c r="DX486" s="81"/>
      <c r="DY486" s="363"/>
      <c r="DZ486" s="81"/>
      <c r="EA486" s="363"/>
      <c r="EB486" s="81"/>
      <c r="EC486" s="363"/>
      <c r="ED486" s="81"/>
      <c r="EE486" s="363"/>
      <c r="EF486" s="81"/>
      <c r="EG486" s="363"/>
      <c r="EH486" s="81"/>
      <c r="EI486" s="363"/>
      <c r="EJ486" s="81"/>
      <c r="EK486" s="363"/>
      <c r="EL486" s="81"/>
      <c r="EM486" s="363"/>
      <c r="EN486" s="81"/>
      <c r="EO486" s="363"/>
      <c r="EP486" s="81"/>
      <c r="EQ486" s="363"/>
      <c r="ER486" s="81"/>
      <c r="ES486" s="82"/>
      <c r="ET486" s="469"/>
      <c r="EU486" s="82"/>
      <c r="EV486" s="363"/>
      <c r="EW486" s="79"/>
      <c r="EX486" s="363"/>
      <c r="EY486" s="79"/>
      <c r="EZ486" s="363"/>
      <c r="FA486" s="79"/>
      <c r="FB486" s="363"/>
      <c r="FC486" s="79"/>
      <c r="FD486" s="363"/>
      <c r="FE486" s="79"/>
      <c r="FF486" s="363"/>
      <c r="FG486" s="79"/>
      <c r="FH486" s="363"/>
      <c r="FI486" s="79"/>
      <c r="FJ486" s="363"/>
      <c r="FK486" s="79"/>
      <c r="FL486" s="366"/>
      <c r="FM486" s="79"/>
      <c r="FN486" s="366"/>
      <c r="FO486" s="79"/>
      <c r="FP486" s="366"/>
      <c r="FQ486" s="79"/>
      <c r="FR486" s="363"/>
      <c r="FS486" s="79"/>
      <c r="FT486" s="363"/>
      <c r="FU486" s="79"/>
      <c r="FV486" s="363"/>
      <c r="FW486" s="79"/>
      <c r="FX486" s="363"/>
      <c r="FY486" s="79"/>
      <c r="FZ486" s="363"/>
      <c r="GA486" s="79"/>
      <c r="GB486" s="363"/>
      <c r="GC486" s="881"/>
      <c r="GD486" s="363"/>
      <c r="GE486" s="79"/>
      <c r="GF486" s="363"/>
      <c r="GG486" s="79"/>
      <c r="GH486" s="363"/>
      <c r="GI486" s="79"/>
      <c r="GJ486" s="363"/>
      <c r="GK486" s="79"/>
      <c r="GL486" s="363"/>
      <c r="GM486" s="79"/>
      <c r="GN486" s="363"/>
      <c r="GO486" s="79"/>
      <c r="GP486" s="363"/>
      <c r="GQ486" s="79"/>
      <c r="GR486" s="363"/>
      <c r="GS486" s="79"/>
      <c r="GT486" s="79"/>
      <c r="GU486" s="562"/>
      <c r="GV486" s="562"/>
      <c r="GW486"/>
      <c r="GX486"/>
      <c r="GY486"/>
      <c r="GZ486"/>
      <c r="HA486"/>
      <c r="HB486"/>
      <c r="HC486" s="562"/>
      <c r="HD486" s="562"/>
      <c r="HE486" s="562"/>
      <c r="HF486" s="562"/>
      <c r="HG486" s="562"/>
      <c r="HH486" s="562"/>
      <c r="HI486" s="562"/>
      <c r="HJ486" s="562"/>
      <c r="HK486" s="562"/>
      <c r="HL486" s="562"/>
      <c r="HM486" s="562"/>
      <c r="HN486" s="562"/>
      <c r="HO486" s="562"/>
      <c r="HP486" s="562"/>
      <c r="HQ486" s="562"/>
      <c r="HR486" s="562"/>
      <c r="HS486" s="562"/>
      <c r="HT486" s="562"/>
      <c r="HU486" s="562"/>
      <c r="HV486" s="562"/>
      <c r="HW486" s="562"/>
      <c r="HX486" s="562"/>
      <c r="HY486" s="562"/>
      <c r="HZ486" s="562"/>
      <c r="IA486" s="562"/>
      <c r="IB486" s="562"/>
      <c r="IC486" s="562"/>
      <c r="ID486" s="562"/>
      <c r="IE486" s="562"/>
      <c r="IF486" s="562"/>
      <c r="IG486" s="562"/>
      <c r="IH486" s="562"/>
      <c r="II486" s="562"/>
      <c r="IJ486" s="562"/>
      <c r="IK486" s="562"/>
      <c r="IL486" s="562"/>
      <c r="IM486" s="562"/>
      <c r="IN486" s="562"/>
      <c r="IO486" s="562"/>
      <c r="IP486" s="562"/>
      <c r="IQ486" s="562"/>
      <c r="IR486" s="562"/>
      <c r="IS486" s="562"/>
      <c r="IT486" s="562"/>
      <c r="IU486" s="562"/>
      <c r="IV486" s="562"/>
      <c r="IW486" s="562"/>
      <c r="IX486" s="562"/>
      <c r="IY486" s="562"/>
      <c r="IZ486" s="562"/>
      <c r="JA486" s="562"/>
      <c r="JB486" s="562"/>
      <c r="JC486" s="562"/>
      <c r="JD486" s="562"/>
      <c r="JE486" s="562"/>
      <c r="JF486" s="562"/>
      <c r="JG486" s="562"/>
      <c r="JH486" s="562"/>
      <c r="JI486" s="562"/>
      <c r="JJ486" s="562"/>
      <c r="JK486" s="562"/>
      <c r="JL486" s="562"/>
      <c r="JM486" s="562"/>
      <c r="JN486" s="562"/>
      <c r="JO486" s="562"/>
      <c r="JP486" s="562"/>
      <c r="JQ486" s="562"/>
      <c r="JR486" s="562"/>
      <c r="JS486" s="562"/>
      <c r="JT486" s="562"/>
      <c r="JU486" s="562"/>
      <c r="JV486" s="562"/>
      <c r="JW486" s="562"/>
      <c r="JX486" s="562"/>
      <c r="JY486" s="562"/>
      <c r="JZ486" s="562"/>
    </row>
    <row r="487" spans="1:286" ht="12.75" customHeight="1" x14ac:dyDescent="0.2">
      <c r="A487" s="1"/>
      <c r="B487" s="237" t="s">
        <v>412</v>
      </c>
      <c r="C487" s="79"/>
      <c r="D487" s="79"/>
      <c r="E487" s="246"/>
      <c r="F487" s="246"/>
      <c r="G487" s="246"/>
      <c r="H487" s="246"/>
      <c r="I487" s="246"/>
      <c r="J487" s="246"/>
      <c r="K487" s="246"/>
      <c r="L487" s="79"/>
      <c r="M487" s="246"/>
      <c r="N487" s="79"/>
      <c r="O487" s="246"/>
      <c r="P487" s="79"/>
      <c r="Q487" s="246"/>
      <c r="R487" s="79"/>
      <c r="S487" s="246"/>
      <c r="T487" s="79"/>
      <c r="U487" s="246"/>
      <c r="V487" s="79"/>
      <c r="W487" s="246"/>
      <c r="X487" s="79"/>
      <c r="Y487" s="246"/>
      <c r="Z487" s="79"/>
      <c r="AA487" s="66"/>
      <c r="AB487" s="79"/>
      <c r="AC487" s="246"/>
      <c r="AD487" s="79"/>
      <c r="AE487" s="246"/>
      <c r="AF487" s="79"/>
      <c r="AG487" s="246"/>
      <c r="AH487" s="79"/>
      <c r="AI487" s="246"/>
      <c r="AJ487" s="79"/>
      <c r="AK487" s="246"/>
      <c r="AL487" s="79"/>
      <c r="AM487" s="246"/>
      <c r="AN487" s="79"/>
      <c r="AO487" s="246"/>
      <c r="AP487" s="79"/>
      <c r="AQ487" s="246"/>
      <c r="AR487" s="79"/>
      <c r="AS487" s="246"/>
      <c r="AT487" s="81"/>
      <c r="AU487" s="246"/>
      <c r="AV487" s="81"/>
      <c r="AW487" s="246"/>
      <c r="AX487" s="81"/>
      <c r="AY487" s="246"/>
      <c r="AZ487" s="81"/>
      <c r="BA487" s="246"/>
      <c r="BB487" s="81"/>
      <c r="BC487" s="246"/>
      <c r="BD487" s="81"/>
      <c r="BE487" s="246"/>
      <c r="BF487" s="81"/>
      <c r="BG487" s="246"/>
      <c r="BH487" s="81"/>
      <c r="BI487" s="246"/>
      <c r="BJ487" s="81"/>
      <c r="BK487" s="246"/>
      <c r="BL487" s="81"/>
      <c r="BM487" s="246"/>
      <c r="BN487" s="81"/>
      <c r="BO487" s="246"/>
      <c r="BP487" s="81"/>
      <c r="BQ487" s="246"/>
      <c r="BR487" s="81"/>
      <c r="BS487" s="246"/>
      <c r="BT487" s="81"/>
      <c r="BU487" s="246"/>
      <c r="BV487" s="81"/>
      <c r="BW487" s="246"/>
      <c r="BX487" s="81"/>
      <c r="BY487" s="246"/>
      <c r="BZ487" s="81"/>
      <c r="CA487" s="246"/>
      <c r="CB487" s="81"/>
      <c r="CC487" s="246"/>
      <c r="CD487" s="81"/>
      <c r="CE487" s="246"/>
      <c r="CF487" s="81"/>
      <c r="CG487" s="246"/>
      <c r="CH487" s="81"/>
      <c r="CI487" s="246"/>
      <c r="CJ487" s="81"/>
      <c r="CK487" s="246"/>
      <c r="CL487" s="81"/>
      <c r="CM487" s="246"/>
      <c r="CN487" s="81"/>
      <c r="CO487" s="246"/>
      <c r="CP487" s="81"/>
      <c r="CQ487" s="246"/>
      <c r="CR487" s="81"/>
      <c r="CS487" s="246"/>
      <c r="CT487" s="81"/>
      <c r="CU487" s="246"/>
      <c r="CV487" s="81"/>
      <c r="CW487" s="246"/>
      <c r="CX487" s="81"/>
      <c r="CY487" s="246"/>
      <c r="CZ487" s="81"/>
      <c r="DA487" s="246"/>
      <c r="DB487" s="81"/>
      <c r="DC487" s="246"/>
      <c r="DD487" s="81"/>
      <c r="DE487" s="246"/>
      <c r="DF487" s="81"/>
      <c r="DG487" s="246"/>
      <c r="DH487" s="81"/>
      <c r="DI487" s="246"/>
      <c r="DJ487" s="81"/>
      <c r="DK487" s="246"/>
      <c r="DL487" s="81"/>
      <c r="DM487" s="246"/>
      <c r="DN487" s="81"/>
      <c r="DO487" s="246"/>
      <c r="DP487" s="81"/>
      <c r="DQ487" s="246"/>
      <c r="DR487" s="81"/>
      <c r="DS487" s="246"/>
      <c r="DT487" s="81"/>
      <c r="DU487" s="246"/>
      <c r="DV487" s="81"/>
      <c r="DW487" s="246"/>
      <c r="DX487" s="81"/>
      <c r="DY487" s="246"/>
      <c r="DZ487" s="81"/>
      <c r="EA487" s="246"/>
      <c r="EB487" s="81"/>
      <c r="EC487" s="246"/>
      <c r="ED487" s="81"/>
      <c r="EE487" s="246"/>
      <c r="EF487" s="81"/>
      <c r="EG487" s="246"/>
      <c r="EH487" s="81"/>
      <c r="EI487" s="246"/>
      <c r="EJ487" s="81"/>
      <c r="EK487" s="246"/>
      <c r="EL487" s="81"/>
      <c r="EM487" s="246"/>
      <c r="EN487" s="81"/>
      <c r="EO487" s="246"/>
      <c r="EP487" s="81"/>
      <c r="EQ487" s="246"/>
      <c r="ER487" s="81"/>
      <c r="ES487" s="82"/>
      <c r="ET487" s="490"/>
      <c r="EU487" s="82"/>
      <c r="EV487" s="327"/>
      <c r="EW487" s="79"/>
      <c r="EX487" s="327"/>
      <c r="EY487" s="79"/>
      <c r="EZ487" s="327"/>
      <c r="FA487" s="79"/>
      <c r="FB487" s="367"/>
      <c r="FC487" s="79"/>
      <c r="FD487" s="367"/>
      <c r="FE487" s="79"/>
      <c r="FF487" s="367"/>
      <c r="FG487" s="79"/>
      <c r="FH487" s="367"/>
      <c r="FI487" s="79"/>
      <c r="FJ487" s="367"/>
      <c r="FK487" s="79"/>
      <c r="FL487" s="367"/>
      <c r="FM487" s="79"/>
      <c r="FN487" s="367"/>
      <c r="FO487" s="79"/>
      <c r="FP487" s="367"/>
      <c r="FQ487" s="79"/>
      <c r="FR487" s="246"/>
      <c r="FS487" s="79"/>
      <c r="FT487" s="246"/>
      <c r="FU487" s="79"/>
      <c r="FV487" s="246"/>
      <c r="FW487" s="79"/>
      <c r="FX487" s="246"/>
      <c r="FY487" s="79"/>
      <c r="FZ487" s="246"/>
      <c r="GA487" s="79"/>
      <c r="GB487" s="376"/>
      <c r="GC487" s="79"/>
      <c r="GD487" s="376"/>
      <c r="GE487" s="79"/>
      <c r="GF487" s="376"/>
      <c r="GG487" s="79"/>
      <c r="GH487" s="376"/>
      <c r="GI487" s="79"/>
      <c r="GJ487" s="376"/>
      <c r="GK487" s="79"/>
      <c r="GL487" s="246"/>
      <c r="GM487" s="79"/>
      <c r="GN487" s="246"/>
      <c r="GO487" s="79"/>
      <c r="GP487" s="246"/>
      <c r="GQ487" s="79"/>
      <c r="GR487" s="246"/>
      <c r="GS487" s="79"/>
      <c r="GT487" s="79"/>
    </row>
    <row r="488" spans="1:286" s="83" customFormat="1" ht="12.75" customHeight="1" x14ac:dyDescent="0.2">
      <c r="A488" s="1" t="s">
        <v>228</v>
      </c>
      <c r="B488" s="68" t="s">
        <v>413</v>
      </c>
      <c r="C488" s="79"/>
      <c r="D488" s="79"/>
      <c r="E488" s="363">
        <f>ROUND(E416/E485,2)</f>
        <v>0.75</v>
      </c>
      <c r="F488" s="363"/>
      <c r="G488" s="363">
        <f>ROUND(G416/G485,2)</f>
        <v>0.6</v>
      </c>
      <c r="H488" s="363"/>
      <c r="I488" s="363">
        <f>ROUND(I416/I485,2)</f>
        <v>0.45</v>
      </c>
      <c r="J488" s="363"/>
      <c r="K488" s="363">
        <f>ROUND(K416/K485,2)</f>
        <v>0.61</v>
      </c>
      <c r="L488" s="79"/>
      <c r="M488" s="363">
        <f>ROUND(M416/M485,2)</f>
        <v>0.6</v>
      </c>
      <c r="N488" s="79">
        <f>IF(ISERROR((M488/E488-1)*100),"NA",IF(((M488/E488-1)*100)&gt;100,"NM",IF(((M488/E488-1)*100)&lt;-50,"NM",(M488/E488-1)*100)))</f>
        <v>-20.000000000000007</v>
      </c>
      <c r="O488" s="363">
        <f>ROUND(O416/O485,2)</f>
        <v>0.61</v>
      </c>
      <c r="P488" s="79">
        <f>IF(ISERROR((O488/G488-1)*100),"NA",IF(((O488/G488-1)*100)&gt;100,"NM",IF(((O488/G488-1)*100)&lt;-50,"NM",(O488/G488-1)*100)))</f>
        <v>1.6666666666666607</v>
      </c>
      <c r="Q488" s="363">
        <f>ROUND(Q416/Q485,2)</f>
        <v>0.62</v>
      </c>
      <c r="R488" s="79">
        <f>IF(ISERROR((Q488/I488-1)*100),"NA",IF(((Q488/I488-1)*100)&gt;100,"NM",IF(((Q488/I488-1)*100)&lt;-50,"NM",(Q488/I488-1)*100)))</f>
        <v>37.777777777777779</v>
      </c>
      <c r="S488" s="363">
        <f>ROUND(S416/S485,2)</f>
        <v>0.62</v>
      </c>
      <c r="T488" s="79">
        <f>IF(ISERROR((S488/K488-1)*100),"NA",IF(((S488/K488-1)*100)&gt;100,"NM",IF(((S488/K488-1)*100)&lt;-50,"NM",(S488/K488-1)*100)))</f>
        <v>1.6393442622950838</v>
      </c>
      <c r="U488" s="363">
        <f>ROUND(U416/U485,2)</f>
        <v>-0.8</v>
      </c>
      <c r="V488" s="79" t="str">
        <f>IF(ISERROR((U488/M488-1)*100),"NA",IF(((U488/M488-1)*100)&gt;100,"NM",IF(((U488/M488-1)*100)&lt;-50,"NM",(U488/M488-1)*100)))</f>
        <v>NM</v>
      </c>
      <c r="W488" s="363">
        <f>ROUND(W416/W485,2)</f>
        <v>0.41</v>
      </c>
      <c r="X488" s="79">
        <f>IF(ISERROR((W488/O488-1)*100),"NA",IF(((W488/O488-1)*100)&gt;100,"NM",IF(((W488/O488-1)*100)&lt;-50,"NM",(W488/O488-1)*100)))</f>
        <v>-32.786885245901644</v>
      </c>
      <c r="Y488" s="363">
        <f>ROUND(Y416/Y485,2)</f>
        <v>0.38</v>
      </c>
      <c r="Z488" s="79">
        <f>IF(ISERROR((Y488/Q488-1)*100),"NA",IF(((Y488/Q488-1)*100)&gt;100,"NM",IF(((Y488/Q488-1)*100)&lt;-50,"NM",(Y488/Q488-1)*100)))</f>
        <v>-38.70967741935484</v>
      </c>
      <c r="AA488" s="368">
        <f>ROUND(AA416/AA485,2)</f>
        <v>-0.62</v>
      </c>
      <c r="AB488" s="79" t="str">
        <f>IF(ISERROR((AA488/S488-1)*100),"NA",IF(((AA488/S488-1)*100)&gt;100,"NM",IF(((AA488/S488-1)*100)&lt;-50,"NM",(AA488/S488-1)*100)))</f>
        <v>NM</v>
      </c>
      <c r="AC488" s="363">
        <f>ROUND(AC416/AC485,2)</f>
        <v>-1.98</v>
      </c>
      <c r="AD488" s="79" t="str">
        <f>IF(ISERROR((AC488/U488-1)*100),"NA",IF(((AC488/U488-1)*100)&gt;100,"NM",IF(((AC488/U488-1)*100)&lt;-50,"NM",(AC488/U488-1)*100)))</f>
        <v>NM</v>
      </c>
      <c r="AE488" s="363">
        <f>ROUND(AE416/AE485,2)</f>
        <v>0.43</v>
      </c>
      <c r="AF488" s="79">
        <f>IF(ISERROR((AE488/W488-1)*100),"NA",IF(((AE488/W488-1)*100)&gt;100,"NM",IF(((AE488/W488-1)*100)&lt;-50,"NM",(AE488/W488-1)*100)))</f>
        <v>4.8780487804878092</v>
      </c>
      <c r="AG488" s="363">
        <f>ROUND(AG416/AG485,2)</f>
        <v>0.42</v>
      </c>
      <c r="AH488" s="79">
        <f>IF(ISERROR((AG488/Y488-1)*100),"NA",IF(((AG488/Y488-1)*100)&gt;100,"NM",IF(((AG488/Y488-1)*100)&lt;-50,"NM",(AG488/Y488-1)*100)))</f>
        <v>10.526315789473673</v>
      </c>
      <c r="AI488" s="363">
        <f>ROUND(AI416/AI485,2)</f>
        <v>0.39</v>
      </c>
      <c r="AJ488" s="79" t="str">
        <f>IF(ISERROR((AI488/AA488-1)*100),"NA",IF(((AI488/AA488-1)*100)&gt;100,"NM",IF(((AI488/AA488-1)*100)&lt;-50,"NM",(AI488/AA488-1)*100)))</f>
        <v>NM</v>
      </c>
      <c r="AK488" s="363">
        <f>ROUND(AK416/AK485,2)</f>
        <v>0.5</v>
      </c>
      <c r="AL488" s="79" t="str">
        <f>IF(ISERROR((AK488/AC488-1)*100),"NA",IF(((AK488/AC488-1)*100)&gt;100,"NM",IF(((AK488/AC488-1)*100)&lt;-50,"NM",(AK488/AC488-1)*100)))</f>
        <v>NM</v>
      </c>
      <c r="AM488" s="363">
        <f>ROUND(AM416/AM485,2)</f>
        <v>0.42</v>
      </c>
      <c r="AN488" s="79">
        <f>IF(ISERROR((AM488/AE488-1)*100),"NA",IF(((AM488/AE488-1)*100)&gt;100,"NM",IF(((AM488/AE488-1)*100)&lt;-50,"NM",(AM488/AE488-1)*100)))</f>
        <v>-2.3255813953488413</v>
      </c>
      <c r="AO488" s="363">
        <f>ROUND(AO416/AO485,2)</f>
        <v>0.43</v>
      </c>
      <c r="AP488" s="79">
        <f>IF(ISERROR((AO488/AG488-1)*100),"NA",IF(((AO488/AG488-1)*100)&gt;100,"NM",IF(((AO488/AG488-1)*100)&lt;-50,"NM",(AO488/AG488-1)*100)))</f>
        <v>2.3809523809523725</v>
      </c>
      <c r="AQ488" s="363">
        <f>ROUND(AQ416/AQ485,2)</f>
        <v>0.42</v>
      </c>
      <c r="AR488" s="79">
        <f>IF(ISERROR((AQ488/AI488-1)*100),"NA",IF(((AQ488/AI488-1)*100)&gt;100,"NM",IF(((AQ488/AI488-1)*100)&lt;-50,"NM",(AQ488/AI488-1)*100)))</f>
        <v>7.6923076923076872</v>
      </c>
      <c r="AS488" s="363">
        <f>ROUND(AS416/AS485,2)</f>
        <v>0.42</v>
      </c>
      <c r="AT488" s="81">
        <f>IF(ISERROR((AS488/AK488-1)*100),"NA",IF(((AS488/AK488-1)*100)&gt;100,"NM",IF(((AS488/AK488-1)*100)&lt;-50,"NM",(AS488/AK488-1)*100)))</f>
        <v>-16.000000000000004</v>
      </c>
      <c r="AU488" s="363">
        <f>ROUND(AU416/AU485,2)</f>
        <v>0.43</v>
      </c>
      <c r="AV488" s="81">
        <f>IF(ISERROR((AU488/AM488-1)*100),"NA",IF(((AU488/AM488-1)*100)&gt;100,"NM",IF(((AU488/AM488-1)*100)&lt;-50,"NM",(AU488/AM488-1)*100)))</f>
        <v>2.3809523809523725</v>
      </c>
      <c r="AW488" s="363">
        <f>ROUND(AW416/AW485,2)</f>
        <v>0.46</v>
      </c>
      <c r="AX488" s="81">
        <f>IF(ISERROR((AW488/AO488-1)*100),"NA",IF(((AW488/AO488-1)*100)&gt;100,"NM",IF(((AW488/AO488-1)*100)&lt;-50,"NM",(AW488/AO488-1)*100)))</f>
        <v>6.976744186046524</v>
      </c>
      <c r="AY488" s="363">
        <f>ROUND(AY416/AY485,2)</f>
        <v>0.52</v>
      </c>
      <c r="AZ488" s="81">
        <f>IF(ISERROR((AY488/AQ488-1)*100),"NA",IF(((AY488/AQ488-1)*100)&gt;100,"NM",IF(((AY488/AQ488-1)*100)&lt;-50,"NM",(AY488/AQ488-1)*100)))</f>
        <v>23.809523809523814</v>
      </c>
      <c r="BA488" s="363">
        <f>ROUND(BA416/BA485,2)</f>
        <v>0.5</v>
      </c>
      <c r="BB488" s="81">
        <f>IF(ISERROR((BA488/AS488-1)*100),"NA",IF(((BA488/AS488-1)*100)&gt;100,"NM",IF(((BA488/AS488-1)*100)&lt;-50,"NM",(BA488/AS488-1)*100)))</f>
        <v>19.047619047619047</v>
      </c>
      <c r="BC488" s="363">
        <f>ROUND(BC416/BC485,2)</f>
        <v>0.51</v>
      </c>
      <c r="BD488" s="81">
        <f>IF(ISERROR((BC488/AU488-1)*100),"NA",IF(((BC488/AU488-1)*100)&gt;100,"NM",IF(((BC488/AU488-1)*100)&lt;-50,"NM",(BC488/AU488-1)*100)))</f>
        <v>18.604651162790709</v>
      </c>
      <c r="BE488" s="363">
        <f>ROUND(BE416/BE485,2)</f>
        <v>0.6</v>
      </c>
      <c r="BF488" s="81">
        <f>IF(ISERROR((BE488/AW488-1)*100),"NA",IF(((BE488/AW488-1)*100)&gt;100,"NM",IF(((BE488/AW488-1)*100)&lt;-50,"NM",(BE488/AW488-1)*100)))</f>
        <v>30.434782608695631</v>
      </c>
      <c r="BG488" s="363">
        <f>ROUND(BG416/BG485,2)</f>
        <v>0.59</v>
      </c>
      <c r="BH488" s="81">
        <f>IF(ISERROR((BG488/AY488-1)*100),"NA",IF(((BG488/AY488-1)*100)&gt;100,"NM",IF(((BG488/AY488-1)*100)&lt;-50,"NM",(BG488/AY488-1)*100)))</f>
        <v>13.461538461538458</v>
      </c>
      <c r="BI488" s="363">
        <f>ROUND(BI416/BI485,2)</f>
        <v>0.59</v>
      </c>
      <c r="BJ488" s="81">
        <f>IF(ISERROR((BI488/BA488-1)*100),"NA",IF(((BI488/BA488-1)*100)&gt;100,"NM",IF(((BI488/BA488-1)*100)&lt;-50,"NM",(BI488/BA488-1)*100)))</f>
        <v>17.999999999999993</v>
      </c>
      <c r="BK488" s="363">
        <f>ROUND(BK416/BK485,2)</f>
        <v>0.65</v>
      </c>
      <c r="BL488" s="81">
        <f>IF(ISERROR((BK488/BC488-1)*100),"NA",IF(((BK488/BC488-1)*100)&gt;100,"NM",IF(((BK488/BC488-1)*100)&lt;-50,"NM",(BK488/BC488-1)*100)))</f>
        <v>27.450980392156854</v>
      </c>
      <c r="BM488" s="363">
        <f>ROUND(BM416/BM485,2)</f>
        <v>0.64</v>
      </c>
      <c r="BN488" s="81">
        <f>IF(ISERROR((BM488/BE488-1)*100),"NA",IF(((BM488/BE488-1)*100)&gt;100,"NM",IF(((BM488/BE488-1)*100)&lt;-50,"NM",(BM488/BE488-1)*100)))</f>
        <v>6.6666666666666652</v>
      </c>
      <c r="BO488" s="363">
        <f>ROUND(BO416/BO485,2)</f>
        <v>0.63</v>
      </c>
      <c r="BP488" s="81">
        <f>IF(ISERROR((BO488/BG488-1)*100),"NA",IF(((BO488/BG488-1)*100)&gt;100,"NM",IF(((BO488/BG488-1)*100)&lt;-50,"NM",(BO488/BG488-1)*100)))</f>
        <v>6.7796610169491567</v>
      </c>
      <c r="BQ488" s="363">
        <f>ROUND(BQ416/BQ485,2)</f>
        <v>0.62</v>
      </c>
      <c r="BR488" s="81">
        <f>IF(ISERROR((BQ488/BI488-1)*100),"NA",IF(((BQ488/BI488-1)*100)&gt;100,"NM",IF(((BQ488/BI488-1)*100)&lt;-50,"NM",(BQ488/BI488-1)*100)))</f>
        <v>5.0847457627118731</v>
      </c>
      <c r="BS488" s="363">
        <f>ROUND(BS416/BS485,2)</f>
        <v>0.65</v>
      </c>
      <c r="BT488" s="81">
        <f>IF(ISERROR((BS488/BK488-1)*100),"NA",IF(((BS488/BK488-1)*100)&gt;100,"NM",IF(((BS488/BK488-1)*100)&lt;-50,"NM",(BS488/BK488-1)*100)))</f>
        <v>0</v>
      </c>
      <c r="BU488" s="363">
        <f>ROUND(BU416/BU485,2)</f>
        <v>0.64</v>
      </c>
      <c r="BV488" s="81">
        <f>IF(ISERROR((BU488/BM488-1)*100),"NA",IF(((BU488/BM488-1)*100)&gt;100,"NM",IF(((BU488/BM488-1)*100)&lt;-50,"NM",(BU488/BM488-1)*100)))</f>
        <v>0</v>
      </c>
      <c r="BW488" s="363">
        <f>ROUND(BW416/BW485,2)</f>
        <v>0.66</v>
      </c>
      <c r="BX488" s="81">
        <f>IF(ISERROR((BW488/BO488-1)*100),"NA",IF(((BW488/BO488-1)*100)&gt;100,"NM",IF(((BW488/BO488-1)*100)&lt;-50,"NM",(BW488/BO488-1)*100)))</f>
        <v>4.7619047619047672</v>
      </c>
      <c r="BY488" s="363">
        <f>BY416/BY485</f>
        <v>0.67940993445079345</v>
      </c>
      <c r="BZ488" s="81">
        <f>IF(ISERROR((BY488/BQ488-1)*100),"NA",IF(((BY488/BQ488-1)*100)&gt;100,"NM",IF(((BY488/BQ488-1)*100)&lt;-50,"NM",(BY488/BQ488-1)*100)))</f>
        <v>9.5822474920634662</v>
      </c>
      <c r="CA488" s="363">
        <f>CA416/CA485</f>
        <v>0.69803576338947426</v>
      </c>
      <c r="CB488" s="81">
        <f>IF(ISERROR((CA488/BS488-1)*100),"NA",IF(((CA488/BS488-1)*100)&gt;100,"NM",IF(((CA488/BS488-1)*100)&lt;-50,"NM",(CA488/BS488-1)*100)))</f>
        <v>7.3901174445345053</v>
      </c>
      <c r="CC488" s="363">
        <f>CC416/CC485</f>
        <v>0.68820562264918328</v>
      </c>
      <c r="CD488" s="81">
        <f>IF(ISERROR((CC488/BU488-1)*100),"NA",IF(((CC488/BU488-1)*100)&gt;100,"NM",IF(((CC488/BU488-1)*100)&lt;-50,"NM",(CC488/BU488-1)*100)))</f>
        <v>7.5321285389348791</v>
      </c>
      <c r="CE488" s="363">
        <f>CE416/CE485</f>
        <v>0.66663957821905528</v>
      </c>
      <c r="CF488" s="81">
        <f>IF(ISERROR((CE488/BW488-1)*100),"NA",IF(((CE488/BW488-1)*100)&gt;100,"NM",IF(((CE488/BW488-1)*100)&lt;-50,"NM",(CE488/BW488-1)*100)))</f>
        <v>1.0059966998568592</v>
      </c>
      <c r="CG488" s="363">
        <f>CG416/CG485</f>
        <v>0.69703300663164036</v>
      </c>
      <c r="CH488" s="81">
        <f>IF(ISERROR((CG488/BY488-1)*100),"NA",IF(((CG488/BY488-1)*100)&gt;100,"NM",IF(((CG488/BY488-1)*100)&lt;-50,"NM",(CG488/BY488-1)*100)))</f>
        <v>2.5938790834862724</v>
      </c>
      <c r="CI488" s="363">
        <f>CI416/CI485</f>
        <v>0.76444898692682983</v>
      </c>
      <c r="CJ488" s="81">
        <f>IF(ISERROR((CI488/CA488-1)*100),"NA",IF(((CI488/CA488-1)*100)&gt;100,"NM",IF(((CI488/CA488-1)*100)&lt;-50,"NM",(CI488/CA488-1)*100)))</f>
        <v>9.5143009886586416</v>
      </c>
      <c r="CK488" s="363">
        <f>CK416/CK485</f>
        <v>0.74572262394087163</v>
      </c>
      <c r="CL488" s="81">
        <f>IF(ISERROR((CK488/CC488-1)*100),"NA",IF(((CK488/CC488-1)*100)&gt;100,"NM",IF(((CK488/CC488-1)*100)&lt;-50,"NM",(CK488/CC488-1)*100)))</f>
        <v>8.3575314410077048</v>
      </c>
      <c r="CM488" s="363">
        <f>CM416/CM483</f>
        <v>-1.2192469066685814</v>
      </c>
      <c r="CN488" s="81" t="str">
        <f>IF(ISERROR((CM488/CE488-1)*100),"NA",IF(((CM488/CE488-1)*100)&gt;100,"NM",IF(((CM488/CE488-1)*100)&lt;-50,"NM",(CM488/CE488-1)*100)))</f>
        <v>NM</v>
      </c>
      <c r="CO488" s="363">
        <f>CO416/CO485</f>
        <v>0.73193163253203453</v>
      </c>
      <c r="CP488" s="81">
        <f>IF(ISERROR((CO488/CG488-1)*100),"NA",IF(((CO488/CG488-1)*100)&gt;100,"NM",IF(((CO488/CG488-1)*100)&lt;-50,"NM",(CO488/CG488-1)*100)))</f>
        <v>5.0067393607426292</v>
      </c>
      <c r="CQ488" s="363">
        <f>CQ416/CQ485</f>
        <v>0.79403502562156802</v>
      </c>
      <c r="CR488" s="81">
        <f>IF(ISERROR((CQ488/CI488-1)*100),"NA",IF(((CQ488/CI488-1)*100)&gt;100,"NM",IF(((CQ488/CI488-1)*100)&lt;-50,"NM",(CQ488/CI488-1)*100)))</f>
        <v>3.8702436919535232</v>
      </c>
      <c r="CS488" s="363">
        <f>CS416/CS485</f>
        <v>0.80427691772748733</v>
      </c>
      <c r="CT488" s="81">
        <f>IF(ISERROR((CS488/CK488-1)*100),"NA",IF(((CS488/CK488-1)*100)&gt;100,"NM",IF(((CS488/CK488-1)*100)&lt;-50,"NM",(CS488/CK488-1)*100)))</f>
        <v>7.8520205645870922</v>
      </c>
      <c r="CU488" s="363">
        <f>CU416/CU485</f>
        <v>0.8223684210526313</v>
      </c>
      <c r="CV488" s="81" t="str">
        <f>IF(ISERROR((CU488/CM488-1)*100),"NA",IF(((CU488/CM488-1)*100)&gt;100,"NM",IF(((CU488/CM488-1)*100)&lt;-50,"NM",(CU488/CM488-1)*100)))</f>
        <v>NM</v>
      </c>
      <c r="CW488" s="363">
        <f>CW416/CW485</f>
        <v>0.78674511653490997</v>
      </c>
      <c r="CX488" s="81">
        <f>IF(ISERROR((CW488/CO488-1)*100),"NA",IF(((CW488/CO488-1)*100)&gt;100,"NM",IF(((CW488/CO488-1)*100)&lt;-50,"NM",(CW488/CO488-1)*100)))</f>
        <v>7.4888803225042322</v>
      </c>
      <c r="CY488" s="363">
        <f>CY416/CY485</f>
        <v>0.8094136357937507</v>
      </c>
      <c r="CZ488" s="81">
        <f>IF(ISERROR((CY488/CQ488-1)*100),"NA",IF(((CY488/CQ488-1)*100)&gt;100,"NM",IF(((CY488/CQ488-1)*100)&lt;-50,"NM",(CY488/CQ488-1)*100)))</f>
        <v>1.9367672301539018</v>
      </c>
      <c r="DA488" s="363">
        <f>DA416/DA485</f>
        <v>0.83856793409688568</v>
      </c>
      <c r="DB488" s="81">
        <f>IF(ISERROR((DA488/CS488-1)*100),"NA",IF(((DA488/CS488-1)*100)&gt;100,"NM",IF(((DA488/CS488-1)*100)&lt;-50,"NM",(DA488/CS488-1)*100)))</f>
        <v>4.263583302413898</v>
      </c>
      <c r="DC488" s="363">
        <f>DC416/DC485</f>
        <v>0.81607006854531583</v>
      </c>
      <c r="DD488" s="81">
        <f>IF(ISERROR((DC488/CU488-1)*100),"NA",IF(((DC488/CU488-1)*100)&gt;100,"NM",IF(((DC488/CU488-1)*100)&lt;-50,"NM",(DC488/CU488-1)*100)))</f>
        <v>-0.76587966488955717</v>
      </c>
      <c r="DE488" s="363">
        <f>DE416/DE485</f>
        <v>0.85385500575373896</v>
      </c>
      <c r="DF488" s="81">
        <f>IF(ISERROR((DE488/CW488-1)*100),"NA",IF(((DE488/CW488-1)*100)&gt;100,"NM",IF(((DE488/CW488-1)*100)&lt;-50,"NM",(DE488/CW488-1)*100)))</f>
        <v>8.5300674651027428</v>
      </c>
      <c r="DG488" s="363">
        <f>DG416/DG485</f>
        <v>0.85808452888716569</v>
      </c>
      <c r="DH488" s="81">
        <f>IF(ISERROR((DG488/CY488-1)*100),"NA",IF(((DG488/CY488-1)*100)&gt;100,"NM",IF(((DG488/CY488-1)*100)&lt;-50,"NM",(DG488/CY488-1)*100)))</f>
        <v>6.0131051592287488</v>
      </c>
      <c r="DI488" s="363">
        <f>DI416/DI485</f>
        <v>0.85989010989011005</v>
      </c>
      <c r="DJ488" s="81">
        <f>IF(ISERROR((DI488/DA488-1)*100),"NA",IF(((DI488/DA488-1)*100)&gt;100,"NM",IF(((DI488/DA488-1)*100)&lt;-50,"NM",(DI488/DA488-1)*100)))</f>
        <v>2.5426891401693963</v>
      </c>
      <c r="DK488" s="363">
        <f>DK416/DK485</f>
        <v>-0.90768621236133129</v>
      </c>
      <c r="DL488" s="81" t="str">
        <f>IF(ISERROR((DK488/DC488-1)*100),"NA",IF(((DK488/DC488-1)*100)&gt;100,"NM",IF(((DK488/DC488-1)*100)&lt;-50,"NM",(DK488/DC488-1)*100)))</f>
        <v>NM</v>
      </c>
      <c r="DM488" s="363">
        <f>DM416/DM485</f>
        <v>0.8838223632038068</v>
      </c>
      <c r="DN488" s="81">
        <f>IF(ISERROR((DM488/DE488-1)*100),"NA",IF(((DM488/DE488-1)*100)&gt;100,"NM",IF(((DM488/DE488-1)*100)&lt;-50,"NM",(DM488/DE488-1)*100)))</f>
        <v>3.5096541272384041</v>
      </c>
      <c r="DO488" s="363">
        <f>DO416/DO485</f>
        <v>0.88487765744083402</v>
      </c>
      <c r="DP488" s="81">
        <f>IF(ISERROR((DO488/DG488-1)*100),"NA",IF(((DO488/DG488-1)*100)&gt;100,"NM",IF(((DO488/DG488-1)*100)&lt;-50,"NM",(DO488/DG488-1)*100)))</f>
        <v>3.1224346380438694</v>
      </c>
      <c r="DQ488" s="363">
        <f>DQ416/DQ485</f>
        <v>0.8976857490864808</v>
      </c>
      <c r="DR488" s="81">
        <f>IF(ISERROR((DQ488/DI488-1)*100),"NA",IF(((DQ488/DI488-1)*100)&gt;100,"NM",IF(((DQ488/DI488-1)*100)&lt;-50,"NM",(DQ488/DI488-1)*100)))</f>
        <v>4.3954034081402416</v>
      </c>
      <c r="DS488" s="363">
        <f>DS416/DS485</f>
        <v>0.93765381460213248</v>
      </c>
      <c r="DT488" s="81" t="str">
        <f>IF(ISERROR((DS488/DK488-1)*100),"NA",IF(((DS488/DK488-1)*100)&gt;100,"NM",IF(((DS488/DK488-1)*100)&lt;-50,"NM",(DS488/DK488-1)*100)))</f>
        <v>NM</v>
      </c>
      <c r="DU488" s="363">
        <f>DU416/DU485</f>
        <v>0.93533583646224372</v>
      </c>
      <c r="DV488" s="81">
        <f>IF(ISERROR((DU488/DM488-1)*100),"NA",IF(((DU488/DM488-1)*100)&gt;100,"NM",IF(((DU488/DM488-1)*100)&lt;-50,"NM",(DU488/DM488-1)*100)))</f>
        <v>5.8284871941578276</v>
      </c>
      <c r="DW488" s="363">
        <f>DW416/DW485</f>
        <v>0.98187947745469828</v>
      </c>
      <c r="DX488" s="81">
        <f>IF(ISERROR((DW488/DO488-1)*100),"NA",IF(((DW488/DO488-1)*100)&gt;100,"NM",IF(((DW488/DO488-1)*100)&lt;-50,"NM",(DW488/DO488-1)*100)))</f>
        <v>10.962173041458012</v>
      </c>
      <c r="DY488" s="363">
        <f>DY416/DY485</f>
        <v>0.97651579846285308</v>
      </c>
      <c r="DZ488" s="81">
        <f>IF(ISERROR((DY488/DQ488-1)*100),"NA",IF(((DY488/DQ488-1)*100)&gt;100,"NM",IF(((DY488/DQ488-1)*100)&lt;-50,"NM",(DY488/DQ488-1)*100)))</f>
        <v>8.7814749712349602</v>
      </c>
      <c r="EA488" s="363">
        <f>EA416/EA485</f>
        <v>0.98838209982788272</v>
      </c>
      <c r="EB488" s="81">
        <f>IF(ISERROR((EA488/DS488-1)*100),"NA",IF(((EA488/DS488-1)*100)&gt;100,"NM",IF(((EA488/DS488-1)*100)&lt;-50,"NM",(EA488/DS488-1)*100)))</f>
        <v>5.4101294567094893</v>
      </c>
      <c r="EC488" s="363">
        <f>EC416/EC485</f>
        <v>1.0247395833333321</v>
      </c>
      <c r="ED488" s="81">
        <f t="shared" ref="ED488:ED491" si="1784">IF(ISERROR((EC488/DU488-1)*100),"NA",IF(((EC488/DU488-1)*100)&gt;100,"NM",IF(((EC488/DU488-1)*100)&lt;-50,"NM",(EC488/DU488-1)*100)))</f>
        <v>9.5584648193576705</v>
      </c>
      <c r="EE488" s="363">
        <f>EE416/EE485</f>
        <v>1.0534618755477656</v>
      </c>
      <c r="EF488" s="81">
        <f t="shared" ref="EF488:EF491" si="1785">IF(ISERROR((EE488/DW488-1)*100),"NA",IF(((EE488/DW488-1)*100)&gt;100,"NM",IF(((EE488/DW488-1)*100)&lt;-50,"NM",(EE488/DW488-1)*100)))</f>
        <v>7.2903446641566116</v>
      </c>
      <c r="EG488" s="363">
        <f>EG416/EG485</f>
        <v>1.0862831858407076</v>
      </c>
      <c r="EH488" s="81">
        <f t="shared" ref="EH488:EH491" si="1786">IF(ISERROR((EG488/DY488-1)*100),"NA",IF(((EG488/DY488-1)*100)&gt;100,"NM",IF(((EG488/DY488-1)*100)&lt;-50,"NM",(EG488/DY488-1)*100)))</f>
        <v>11.240718025314166</v>
      </c>
      <c r="EI488" s="363">
        <f>EI416/EI485</f>
        <v>1.1281138790035579</v>
      </c>
      <c r="EJ488" s="81">
        <f t="shared" ref="EJ488:EJ491" si="1787">IF(ISERROR((EI488/EA488-1)*100),"NA",IF(((EI488/EA488-1)*100)&gt;100,"NM",IF(((EI488/EA488-1)*100)&lt;-50,"NM",(EI488/EA488-1)*100)))</f>
        <v>14.137425111200219</v>
      </c>
      <c r="EK488" s="363">
        <f t="shared" ref="EK488:EQ488" si="1788">EK416/EK485</f>
        <v>1.2720273653832308</v>
      </c>
      <c r="EL488" s="81">
        <f t="shared" ref="EL488:EL491" si="1789">IF(ISERROR((EK488/EC488-1)*100),"NA",IF(((EK488/EC488-1)*100)&gt;100,"NM",IF(((EK488/EC488-1)*100)&lt;-50,"NM",(EK488/EC488-1)*100)))</f>
        <v>24.131768311857993</v>
      </c>
      <c r="EM488" s="363">
        <f t="shared" si="1788"/>
        <v>1.2914948247809064</v>
      </c>
      <c r="EN488" s="81">
        <f t="shared" ref="EN488:EN491" si="1790">IF(ISERROR((EM488/EE488-1)*100),"NA",IF(((EM488/EE488-1)*100)&gt;100,"NM",IF(((EM488/EE488-1)*100)&lt;-50,"NM",(EM488/EE488-1)*100)))</f>
        <v>22.595307410566857</v>
      </c>
      <c r="EO488" s="363">
        <f t="shared" si="1788"/>
        <v>1.3077515554781463</v>
      </c>
      <c r="EP488" s="81">
        <f t="shared" ref="EP488:EP491" si="1791">IF(ISERROR((EO488/EG488-1)*100),"NA",IF(((EO488/EG488-1)*100)&gt;100,"NM",IF(((EO488/EG488-1)*100)&lt;-50,"NM",(EO488/EG488-1)*100)))</f>
        <v>20.387719567438346</v>
      </c>
      <c r="EQ488" s="363">
        <f t="shared" si="1788"/>
        <v>1.327471892073594</v>
      </c>
      <c r="ER488" s="81">
        <f t="shared" ref="ER488:ER491" si="1792">IF(ISERROR((EQ488/EI488-1)*100),"NA",IF(((EQ488/EI488-1)*100)&gt;100,"NM",IF(((EQ488/EI488-1)*100)&lt;-50,"NM",(EQ488/EI488-1)*100)))</f>
        <v>17.671798634914882</v>
      </c>
      <c r="ES488" s="82"/>
      <c r="ET488" s="469"/>
      <c r="EU488" s="82"/>
      <c r="EV488" s="363"/>
      <c r="EW488" s="79"/>
      <c r="EX488" s="363"/>
      <c r="EY488" s="79"/>
      <c r="EZ488" s="363"/>
      <c r="FA488" s="79"/>
      <c r="FB488" s="363">
        <f>ROUND(FB416/FB485,2)</f>
        <v>-0.98</v>
      </c>
      <c r="FC488" s="79" t="str">
        <f>IF(ISERROR((FB488/EZ488-1)*100),"NA",IF(((FB488/EZ488-1)*100)&gt;100,"NM",IF(((FB488/EZ488-1)*100)&lt;-50,"NM",(FB488/EZ488-1)*100)))</f>
        <v>NA</v>
      </c>
      <c r="FD488" s="363">
        <f>ROUND(FD416/FD485,2)</f>
        <v>3.1</v>
      </c>
      <c r="FE488" s="79" t="str">
        <f>IF(ISERROR((FD488/FB488-1)*100),"NA",IF(((FD488/FB488-1)*100)&gt;100,"NM",IF(((FD488/FB488-1)*100)&lt;-50,"NM",(FD488/FB488-1)*100)))</f>
        <v>NM</v>
      </c>
      <c r="FF488" s="369">
        <f>ROUND(FF416/FF485,2)</f>
        <v>0.15</v>
      </c>
      <c r="FG488" s="79" t="str">
        <f>IF(ISERROR((FF488/FD488-1)*100),"NA",IF(((FF488/FD488-1)*100)&gt;100,"NM",IF(((FF488/FD488-1)*100)&lt;-50,"NM",(FF488/FD488-1)*100)))</f>
        <v>NM</v>
      </c>
      <c r="FH488" s="369">
        <f>ROUND(FH416/FH485,2)</f>
        <v>-0.19</v>
      </c>
      <c r="FI488" s="79" t="str">
        <f>IF(ISERROR((FH488/FF488-1)*100),"NA",IF(((FH488/FF488-1)*100)&gt;100,"NM",IF(((FH488/FF488-1)*100)&lt;-50,"NM",(FH488/FF488-1)*100)))</f>
        <v>NM</v>
      </c>
      <c r="FJ488" s="370">
        <f>+AQ488+AO488+AM488+AK488</f>
        <v>1.77</v>
      </c>
      <c r="FK488" s="79" t="str">
        <f>IF(ISERROR((FJ488/FH488-1)*100),"NA",IF(((FJ488/FH488-1)*100)&gt;100,"NM",IF(((FJ488/FH488-1)*100)&lt;-50,"NM",(FJ488/FH488-1)*100)))</f>
        <v>NM</v>
      </c>
      <c r="FL488" s="363">
        <f>ROUND(FL416/FL485,2)</f>
        <v>1.83</v>
      </c>
      <c r="FM488" s="79">
        <f>IF(ISERROR((FL488/FJ488-1)*100),"NA",IF(((FL488/FJ488-1)*100)&gt;100,"NM",IF(((FL488/FJ488-1)*100)&lt;-50,"NM",(FL488/FJ488-1)*100)))</f>
        <v>3.3898305084745894</v>
      </c>
      <c r="FN488" s="363">
        <f>ROUND(FN416/FN485,2)</f>
        <v>2.21</v>
      </c>
      <c r="FO488" s="79">
        <f>IF(ISERROR((FN488/FL488-1)*100),"NA",IF(((FN488/FL488-1)*100)&gt;100,"NM",IF(((FN488/FL488-1)*100)&lt;-50,"NM",(FN488/FL488-1)*100)))</f>
        <v>20.765027322404372</v>
      </c>
      <c r="FP488" s="363">
        <f>ROUND(FP416/FP485,2)</f>
        <v>2.5099999999999998</v>
      </c>
      <c r="FQ488" s="79">
        <f>IF(ISERROR((FP488/FN488-1)*100),"NA",IF(((FP488/FN488-1)*100)&gt;100,"NM",IF(((FP488/FN488-1)*100)&lt;-50,"NM",(FP488/FN488-1)*100)))</f>
        <v>13.574660633484159</v>
      </c>
      <c r="FR488" s="363">
        <f>ROUND(FR416/FR485,2)</f>
        <v>2.59</v>
      </c>
      <c r="FS488" s="79">
        <f>IF(ISERROR((FR488/FP488-1)*100),"NA",IF(((FR488/FP488-1)*100)&gt;100,"NM",IF(((FR488/FP488-1)*100)&lt;-50,"NM",(FR488/FP488-1)*100)))</f>
        <v>3.1872509960159334</v>
      </c>
      <c r="FT488" s="363">
        <f>FT416/FT485</f>
        <v>2.732884478973884</v>
      </c>
      <c r="FU488" s="79">
        <f>IF(ISERROR((FT488/FR488-1)*100),"NA",IF(((FT488/FR488-1)*100)&gt;100,"NM",IF(((FT488/FR488-1)*100)&lt;-50,"NM",(FT488/FR488-1)*100)))</f>
        <v>5.5167752499569067</v>
      </c>
      <c r="FV488" s="363">
        <f>FV416/FV485</f>
        <v>1.0077687916143476</v>
      </c>
      <c r="FW488" s="79" t="str">
        <f>IF(ISERROR((FV488/FT488-1)*100),"NA",IF(((FV488/FT488-1)*100)&gt;100,"NM",IF(((FV488/FT488-1)*100)&lt;-50,"NM",(FV488/FT488-1)*100)))</f>
        <v>NM</v>
      </c>
      <c r="FX488" s="554">
        <f>FX416/FX485</f>
        <v>3.127218823882048</v>
      </c>
      <c r="FY488" s="79" t="str">
        <f>IF(ISERROR((FX488/FV488-1)*100),"NA",IF(((FX488/FV488-1)*100)&gt;100,"NM",IF(((FX488/FV488-1)*100)&lt;-50,"NM",(FX488/FV488-1)*100)))</f>
        <v>NM</v>
      </c>
      <c r="FZ488" s="554">
        <f>FZ416/FZ485</f>
        <v>3.2501504660823852</v>
      </c>
      <c r="GA488" s="79">
        <f>IF(ISERROR((FZ488/FX488-1)*100),"NA",IF(((FZ488/FX488-1)*100)&gt;100,"NM",IF(((FZ488/FX488-1)*100)&lt;-50,"NM",(FZ488/FX488-1)*100)))</f>
        <v>3.9310214322556769</v>
      </c>
      <c r="GB488" s="369">
        <f>GB416/GB485</f>
        <v>1.6919477480990448</v>
      </c>
      <c r="GC488" s="79">
        <f>IF(ISERROR((GB488/FZ488-1)*100),"NA",IF(((GB488/FZ488-1)*100)&gt;100,"NM",IF(((GB488/FZ488-1)*100)&lt;-50,"NM",(GB488/FZ488-1)*100)))</f>
        <v>-47.942479409623829</v>
      </c>
      <c r="GD488" s="554">
        <f>GD416/GD485</f>
        <v>3.6030657523194822</v>
      </c>
      <c r="GE488" s="79" t="str">
        <f>IF(ISERROR((GD488/GB488-1)*100),"NA",IF(((GD488/GB488-1)*100)&gt;100,"NM",IF(((GD488/GB488-1)*100)&lt;-50,"NM",(GD488/GB488-1)*100)))</f>
        <v>NM</v>
      </c>
      <c r="GF488" s="554">
        <f>GF416/GF485</f>
        <v>3.8813056379822002</v>
      </c>
      <c r="GG488" s="79">
        <f>IF(ISERROR((GF488/GD488-1)*100),"NA",IF(((GF488/GD488-1)*100)&gt;100,"NM",IF(((GF488/GD488-1)*100)&lt;-50,"NM",(GF488/GD488-1)*100)))</f>
        <v>7.7223094106345425</v>
      </c>
      <c r="GH488" s="554">
        <f>GH416/GH485</f>
        <v>4.291180998460522</v>
      </c>
      <c r="GI488" s="79">
        <f>IF(ISERROR((GH488/GF488-1)*100),"NA",IF(((GH488/GF488-1)*100)&gt;100,"NM",IF(((GH488/GF488-1)*100)&lt;-50,"NM",(GH488/GF488-1)*100)))</f>
        <v>10.56024437929619</v>
      </c>
      <c r="GJ488" s="554">
        <f>GJ416/GJ485</f>
        <v>5.1979661887095761</v>
      </c>
      <c r="GK488" s="79">
        <f>IF(ISERROR((GJ488/GH488-1)*100),"NA",IF(((GJ488/GH488-1)*100)&gt;100,"NM",IF(((GJ488/GH488-1)*100)&lt;-50,"NM",(GJ488/GH488-1)*100)))</f>
        <v>21.131366646486516</v>
      </c>
      <c r="GL488" s="363">
        <f>GL416/GL485</f>
        <v>5.5047351554945934</v>
      </c>
      <c r="GM488" s="79">
        <f>IF(ISERROR((GL488/GJ488-1)*100),"NA",IF(((GL488/GJ488-1)*100)&gt;100,"NM",IF(((GL488/GJ488-1)*100)&lt;-50,"NM",(GL488/GJ488-1)*100)))</f>
        <v>5.901711470369797</v>
      </c>
      <c r="GN488" s="363">
        <f>GN416/GN485</f>
        <v>5.8546964937249504</v>
      </c>
      <c r="GO488" s="79">
        <f>IF(ISERROR((GN488/GL488-1)*100),"NA",IF(((GN488/GL488-1)*100)&gt;100,"NM",IF(((GN488/GL488-1)*100)&lt;-50,"NM",(GN488/GL488-1)*100)))</f>
        <v>6.3574600474836762</v>
      </c>
      <c r="GP488" s="363">
        <f>GP416/GP485</f>
        <v>6.2452514056605244</v>
      </c>
      <c r="GQ488" s="79">
        <f>IF(ISERROR((GP488/GN488-1)*100),"NA",IF(((GP488/GN488-1)*100)&gt;100,"NM",IF(((GP488/GN488-1)*100)&lt;-50,"NM",(GP488/GN488-1)*100)))</f>
        <v>6.670796895350084</v>
      </c>
      <c r="GR488" s="363">
        <f>GR416/GR485</f>
        <v>6.6510372047902013</v>
      </c>
      <c r="GS488" s="79">
        <f>IF(ISERROR((GR488/GP488-1)*100),"NA",IF(((GR488/GP488-1)*100)&gt;100,"NM",IF(((GR488/GP488-1)*100)&lt;-50,"NM",(GR488/GP488-1)*100)))</f>
        <v>6.4975094319162929</v>
      </c>
      <c r="GT488" s="79">
        <f>IF(ISERROR(((GR488/GH488)^0.2-1)*100),"NA",(IF(OR(((GR488/GH488)^0.2-1)*100&gt;99,((GR488/GH488)^0.2-1)*100&lt;-50),"NM",(((GR488/GH488)^0.2-1)*100))))</f>
        <v>9.1597440816612696</v>
      </c>
      <c r="GU488" s="562"/>
      <c r="GV488" s="562"/>
      <c r="GW488"/>
      <c r="GX488"/>
      <c r="GY488"/>
      <c r="GZ488"/>
      <c r="HA488"/>
      <c r="HB488"/>
      <c r="HC488" s="562"/>
      <c r="HD488" s="562"/>
      <c r="HE488" s="562"/>
      <c r="HF488" s="562"/>
      <c r="HG488" s="562"/>
      <c r="HH488" s="562"/>
      <c r="HI488" s="562"/>
      <c r="HJ488" s="562"/>
      <c r="HK488" s="562"/>
      <c r="HL488" s="562"/>
      <c r="HM488" s="562"/>
      <c r="HN488" s="562"/>
      <c r="HO488" s="562"/>
      <c r="HP488" s="562"/>
      <c r="HQ488" s="562"/>
      <c r="HR488" s="562"/>
      <c r="HS488" s="562"/>
      <c r="HT488" s="562"/>
      <c r="HU488" s="562"/>
      <c r="HV488" s="562"/>
      <c r="HW488" s="562"/>
      <c r="HX488" s="562"/>
      <c r="HY488" s="562"/>
      <c r="HZ488" s="562"/>
      <c r="IA488" s="562"/>
      <c r="IB488" s="562"/>
      <c r="IC488" s="562"/>
      <c r="ID488" s="562"/>
      <c r="IE488" s="562"/>
      <c r="IF488" s="562"/>
      <c r="IG488" s="562"/>
      <c r="IH488" s="562"/>
      <c r="II488" s="562"/>
      <c r="IJ488" s="562"/>
      <c r="IK488" s="562"/>
      <c r="IL488" s="562"/>
      <c r="IM488" s="562"/>
      <c r="IN488" s="562"/>
      <c r="IO488" s="562"/>
      <c r="IP488" s="562"/>
      <c r="IQ488" s="562"/>
      <c r="IR488" s="562"/>
      <c r="IS488" s="562"/>
      <c r="IT488" s="562"/>
      <c r="IU488" s="562"/>
      <c r="IV488" s="562"/>
      <c r="IW488" s="562"/>
      <c r="IX488" s="562"/>
      <c r="IY488" s="562"/>
      <c r="IZ488" s="562"/>
      <c r="JA488" s="562"/>
      <c r="JB488" s="562"/>
      <c r="JC488" s="562"/>
      <c r="JD488" s="562"/>
      <c r="JE488" s="562"/>
      <c r="JF488" s="562"/>
      <c r="JG488" s="562"/>
      <c r="JH488" s="562"/>
      <c r="JI488" s="562"/>
      <c r="JJ488" s="562"/>
      <c r="JK488" s="562"/>
      <c r="JL488" s="562"/>
      <c r="JM488" s="562"/>
      <c r="JN488" s="562"/>
      <c r="JO488" s="562"/>
      <c r="JP488" s="562"/>
      <c r="JQ488" s="562"/>
      <c r="JR488" s="562"/>
      <c r="JS488" s="562"/>
      <c r="JT488" s="562"/>
      <c r="JU488" s="562"/>
      <c r="JV488" s="562"/>
      <c r="JW488" s="562"/>
      <c r="JX488" s="562"/>
      <c r="JY488" s="562"/>
      <c r="JZ488" s="562"/>
    </row>
    <row r="489" spans="1:286" s="19" customFormat="1" ht="12.75" hidden="1" customHeight="1" outlineLevel="1" x14ac:dyDescent="0.2">
      <c r="A489" s="371"/>
      <c r="B489" s="2" t="s">
        <v>290</v>
      </c>
      <c r="C489" s="79"/>
      <c r="D489" s="79"/>
      <c r="E489" s="372">
        <f>ROUND((E436-E434)/E$485,2)</f>
        <v>0.01</v>
      </c>
      <c r="F489" s="372"/>
      <c r="G489" s="372">
        <f>ROUND((G436-G434)/G$485,2)</f>
        <v>0.01</v>
      </c>
      <c r="H489" s="372"/>
      <c r="I489" s="372">
        <f>ROUND((I436-I434)/I$485,2)</f>
        <v>0.02</v>
      </c>
      <c r="J489" s="372"/>
      <c r="K489" s="372">
        <f>ROUND((K436-K434)/K$485,2)</f>
        <v>0</v>
      </c>
      <c r="L489" s="79"/>
      <c r="M489" s="372">
        <f>ROUND((M436-M434)/M$485,2)</f>
        <v>-0.01</v>
      </c>
      <c r="N489" s="79" t="str">
        <f>IF(ISERROR((M489/E489-1)*100),"NA",IF(((M489/E489-1)*100)&gt;100,"NM",IF(((M489/E489-1)*100)&lt;-50,"NM",(M489/E489-1)*100)))</f>
        <v>NM</v>
      </c>
      <c r="O489" s="372">
        <f>ROUND((O436-O434)/O$485,2)</f>
        <v>-0.01</v>
      </c>
      <c r="P489" s="79" t="str">
        <f>IF(ISERROR((O489/G489-1)*100),"NA",IF(((O489/G489-1)*100)&gt;100,"NM",IF(((O489/G489-1)*100)&lt;-50,"NM",(O489/G489-1)*100)))</f>
        <v>NM</v>
      </c>
      <c r="Q489" s="372">
        <f>ROUND((Q436-Q434)/Q$485,2)</f>
        <v>0.02</v>
      </c>
      <c r="R489" s="79">
        <f>IF(ISERROR((Q489/I489-1)*100),"NA",IF(((Q489/I489-1)*100)&gt;100,"NM",IF(((Q489/I489-1)*100)&lt;-50,"NM",(Q489/I489-1)*100)))</f>
        <v>0</v>
      </c>
      <c r="S489" s="372">
        <f>ROUND((S436-S434)/S$485,2)</f>
        <v>0.01</v>
      </c>
      <c r="T489" s="79" t="str">
        <f>IF(ISERROR((S489/K489-1)*100),"NA",IF(((S489/K489-1)*100)&gt;100,"NM",IF(((S489/K489-1)*100)&lt;-50,"NM",(S489/K489-1)*100)))</f>
        <v>NA</v>
      </c>
      <c r="U489" s="372">
        <f>ROUND((U436-U434)/U$485,2)</f>
        <v>0.01</v>
      </c>
      <c r="V489" s="79" t="str">
        <f>IF(ISERROR((U489/M489-1)*100),"NA",IF(((U489/M489-1)*100)&gt;100,"NM",IF(((U489/M489-1)*100)&lt;-50,"NM",(U489/M489-1)*100)))</f>
        <v>NM</v>
      </c>
      <c r="W489" s="372">
        <f>ROUND((W436-W434)/W$485,2)</f>
        <v>0.02</v>
      </c>
      <c r="X489" s="79" t="str">
        <f>IF(ISERROR((W489/O489-1)*100),"NA",IF(((W489/O489-1)*100)&gt;100,"NM",IF(((W489/O489-1)*100)&lt;-50,"NM",(W489/O489-1)*100)))</f>
        <v>NM</v>
      </c>
      <c r="Y489" s="372">
        <f>ROUND((Y436-Y434)/Y$485,2)</f>
        <v>0.03</v>
      </c>
      <c r="Z489" s="79">
        <f>IF(ISERROR((Y489/Q489-1)*100),"NA",IF(((Y489/Q489-1)*100)&gt;100,"NM",IF(((Y489/Q489-1)*100)&lt;-50,"NM",(Y489/Q489-1)*100)))</f>
        <v>50</v>
      </c>
      <c r="AA489" s="373">
        <f>ROUND((AA436-AA434)/AA$485,2)</f>
        <v>-0.47</v>
      </c>
      <c r="AB489" s="79" t="str">
        <f>IF(ISERROR((AA489/S489-1)*100),"NA",IF(((AA489/S489-1)*100)&gt;100,"NM",IF(((AA489/S489-1)*100)&lt;-50,"NM",(AA489/S489-1)*100)))</f>
        <v>NM</v>
      </c>
      <c r="AC489" s="372">
        <f>ROUND((AC436-AC434)/AC$485,2)</f>
        <v>0.02</v>
      </c>
      <c r="AD489" s="79">
        <f>IF(ISERROR((AC489/U489-1)*100),"NA",IF(((AC489/U489-1)*100)&gt;100,"NM",IF(((AC489/U489-1)*100)&lt;-50,"NM",(AC489/U489-1)*100)))</f>
        <v>100</v>
      </c>
      <c r="AE489" s="372">
        <f>ROUND((AE436-AE434)/AE$485,2)</f>
        <v>-0.22</v>
      </c>
      <c r="AF489" s="79" t="str">
        <f>IF(ISERROR((AE489/W489-1)*100),"NA",IF(((AE489/W489-1)*100)&gt;100,"NM",IF(((AE489/W489-1)*100)&lt;-50,"NM",(AE489/W489-1)*100)))</f>
        <v>NM</v>
      </c>
      <c r="AG489" s="372">
        <f>ROUND((AG436-AG434)/AG$485,2)</f>
        <v>0</v>
      </c>
      <c r="AH489" s="79" t="str">
        <f>IF(ISERROR((AG489/Y489-1)*100),"NA",IF(((AG489/Y489-1)*100)&gt;100,"NM",IF(((AG489/Y489-1)*100)&lt;-50,"NM",(AG489/Y489-1)*100)))</f>
        <v>NM</v>
      </c>
      <c r="AI489" s="372">
        <f>ROUND((AI436-AI434)/AI$485,2)</f>
        <v>0</v>
      </c>
      <c r="AJ489" s="79" t="str">
        <f>IF(ISERROR((AI489/AA489-1)*100),"NA",IF(((AI489/AA489-1)*100)&gt;100,"NM",IF(((AI489/AA489-1)*100)&lt;-50,"NM",(AI489/AA489-1)*100)))</f>
        <v>NM</v>
      </c>
      <c r="AK489" s="372">
        <f>ROUND((AK436-AK434)/AK$485,2)</f>
        <v>0</v>
      </c>
      <c r="AL489" s="79" t="str">
        <f>IF(ISERROR((AK489/AC489-1)*100),"NA",IF(((AK489/AC489-1)*100)&gt;100,"NM",IF(((AK489/AC489-1)*100)&lt;-50,"NM",(AK489/AC489-1)*100)))</f>
        <v>NM</v>
      </c>
      <c r="AM489" s="372">
        <f>ROUND((AM436-AM434)/AM$485,2)</f>
        <v>0</v>
      </c>
      <c r="AN489" s="79" t="str">
        <f>IF(ISERROR((AM489/AE489-1)*100),"NA",IF(((AM489/AE489-1)*100)&gt;100,"NM",IF(((AM489/AE489-1)*100)&lt;-50,"NM",(AM489/AE489-1)*100)))</f>
        <v>NM</v>
      </c>
      <c r="AO489" s="372">
        <f>ROUND((AO436-AO434)/AO$485,2)</f>
        <v>0</v>
      </c>
      <c r="AP489" s="79" t="str">
        <f>IF(ISERROR((AO489/AG489-1)*100),"NA",IF(((AO489/AG489-1)*100)&gt;100,"NM",IF(((AO489/AG489-1)*100)&lt;-50,"NM",(AO489/AG489-1)*100)))</f>
        <v>NA</v>
      </c>
      <c r="AQ489" s="372">
        <f>ROUND((AQ436-AQ434)/AQ$485,2)</f>
        <v>0.01</v>
      </c>
      <c r="AR489" s="79" t="str">
        <f>IF(ISERROR((AQ489/AI489-1)*100),"NA",IF(((AQ489/AI489-1)*100)&gt;100,"NM",IF(((AQ489/AI489-1)*100)&lt;-50,"NM",(AQ489/AI489-1)*100)))</f>
        <v>NA</v>
      </c>
      <c r="AS489" s="372">
        <f>ROUND((AS436-AS434)/AS$485,2)</f>
        <v>-0.19</v>
      </c>
      <c r="AT489" s="81" t="str">
        <f>IF(ISERROR((AS489/AK489-1)*100),"NA",IF(((AS489/AK489-1)*100)&gt;100,"NM",IF(((AS489/AK489-1)*100)&lt;-50,"NM",(AS489/AK489-1)*100)))</f>
        <v>NA</v>
      </c>
      <c r="AU489" s="372">
        <f>ROUND((AU436-AU434)/AU$485,2)</f>
        <v>-0.04</v>
      </c>
      <c r="AV489" s="81" t="str">
        <f>IF(ISERROR((AU489/AM489-1)*100),"NA",IF(((AU489/AM489-1)*100)&gt;100,"NM",IF(((AU489/AM489-1)*100)&lt;-50,"NM",(AU489/AM489-1)*100)))</f>
        <v>NA</v>
      </c>
      <c r="AW489" s="372">
        <f>ROUND((AW436-AW434)/AW$485,2)</f>
        <v>-0.66</v>
      </c>
      <c r="AX489" s="81" t="str">
        <f>IF(ISERROR((AW489/AO489-1)*100),"NA",IF(((AW489/AO489-1)*100)&gt;100,"NM",IF(((AW489/AO489-1)*100)&lt;-50,"NM",(AW489/AO489-1)*100)))</f>
        <v>NA</v>
      </c>
      <c r="AY489" s="372">
        <f>ROUND((AY436-AY434)/AY$485,2)</f>
        <v>0.28000000000000003</v>
      </c>
      <c r="AZ489" s="81" t="str">
        <f>IF(ISERROR((AY489/AQ489-1)*100),"NA",IF(((AY489/AQ489-1)*100)&gt;100,"NM",IF(((AY489/AQ489-1)*100)&lt;-50,"NM",(AY489/AQ489-1)*100)))</f>
        <v>NM</v>
      </c>
      <c r="BA489" s="372">
        <f>ROUND((BA436-BA434)/BA$485,2)</f>
        <v>0.02</v>
      </c>
      <c r="BB489" s="81" t="str">
        <f>IF(ISERROR((BA489/AS489-1)*100),"NA",IF(((BA489/AS489-1)*100)&gt;100,"NM",IF(((BA489/AS489-1)*100)&lt;-50,"NM",(BA489/AS489-1)*100)))</f>
        <v>NM</v>
      </c>
      <c r="BC489" s="372">
        <f>ROUND((BC436-BC434)/BC$485,2)</f>
        <v>0</v>
      </c>
      <c r="BD489" s="81" t="str">
        <f>IF(ISERROR((BC489/AU489-1)*100),"NA",IF(((BC489/AU489-1)*100)&gt;100,"NM",IF(((BC489/AU489-1)*100)&lt;-50,"NM",(BC489/AU489-1)*100)))</f>
        <v>NM</v>
      </c>
      <c r="BE489" s="372">
        <f>ROUND((BE436-BE434)/BE$485,2)</f>
        <v>0</v>
      </c>
      <c r="BF489" s="81" t="str">
        <f>IF(ISERROR((BE489/AW489-1)*100),"NA",IF(((BE489/AW489-1)*100)&gt;100,"NM",IF(((BE489/AW489-1)*100)&lt;-50,"NM",(BE489/AW489-1)*100)))</f>
        <v>NM</v>
      </c>
      <c r="BG489" s="372">
        <f>ROUND((BG436-BG434)/BG$485,2)</f>
        <v>-0.1</v>
      </c>
      <c r="BH489" s="81" t="str">
        <f>IF(ISERROR((BG489/AY489-1)*100),"NA",IF(((BG489/AY489-1)*100)&gt;100,"NM",IF(((BG489/AY489-1)*100)&lt;-50,"NM",(BG489/AY489-1)*100)))</f>
        <v>NM</v>
      </c>
      <c r="BI489" s="372">
        <f>ROUND((BI436-BI434)/BI$485,2)</f>
        <v>0</v>
      </c>
      <c r="BJ489" s="81" t="str">
        <f>IF(ISERROR((BI489/BA489-1)*100),"NA",IF(((BI489/BA489-1)*100)&gt;100,"NM",IF(((BI489/BA489-1)*100)&lt;-50,"NM",(BI489/BA489-1)*100)))</f>
        <v>NM</v>
      </c>
      <c r="BK489" s="372">
        <f>ROUND((BK436-BK434)/BK$485,2)</f>
        <v>0</v>
      </c>
      <c r="BL489" s="81" t="str">
        <f>IF(ISERROR((BK489/BC489-1)*100),"NA",IF(((BK489/BC489-1)*100)&gt;100,"NM",IF(((BK489/BC489-1)*100)&lt;-50,"NM",(BK489/BC489-1)*100)))</f>
        <v>NA</v>
      </c>
      <c r="BM489" s="372">
        <f>ROUND((BM436-BM434)/BM$485,2)</f>
        <v>0</v>
      </c>
      <c r="BN489" s="81" t="str">
        <f>IF(ISERROR((BM489/BE489-1)*100),"NA",IF(((BM489/BE489-1)*100)&gt;100,"NM",IF(((BM489/BE489-1)*100)&lt;-50,"NM",(BM489/BE489-1)*100)))</f>
        <v>NA</v>
      </c>
      <c r="BO489" s="372">
        <f>ROUND((BO436-BO434)/BO$485,2)</f>
        <v>0</v>
      </c>
      <c r="BP489" s="81" t="str">
        <f>IF(ISERROR((BO489/BG489-1)*100),"NA",IF(((BO489/BG489-1)*100)&gt;100,"NM",IF(((BO489/BG489-1)*100)&lt;-50,"NM",(BO489/BG489-1)*100)))</f>
        <v>NM</v>
      </c>
      <c r="BQ489" s="372">
        <f>ROUND((BQ436-BQ434)/BQ$485,2)</f>
        <v>0</v>
      </c>
      <c r="BR489" s="81" t="str">
        <f>IF(ISERROR((BQ489/BI489-1)*100),"NA",IF(((BQ489/BI489-1)*100)&gt;100,"NM",IF(((BQ489/BI489-1)*100)&lt;-50,"NM",(BQ489/BI489-1)*100)))</f>
        <v>NA</v>
      </c>
      <c r="BS489" s="372">
        <f>ROUND((BS436-BS434)/BS$485,2)</f>
        <v>0</v>
      </c>
      <c r="BT489" s="81" t="str">
        <f>IF(ISERROR((BS489/BK489-1)*100),"NA",IF(((BS489/BK489-1)*100)&gt;100,"NM",IF(((BS489/BK489-1)*100)&lt;-50,"NM",(BS489/BK489-1)*100)))</f>
        <v>NA</v>
      </c>
      <c r="BU489" s="372">
        <f>ROUND((BU436-BU434)/BU$485,2)</f>
        <v>0</v>
      </c>
      <c r="BV489" s="81" t="str">
        <f>IF(ISERROR((BU489/BM489-1)*100),"NA",IF(((BU489/BM489-1)*100)&gt;100,"NM",IF(((BU489/BM489-1)*100)&lt;-50,"NM",(BU489/BM489-1)*100)))</f>
        <v>NA</v>
      </c>
      <c r="BW489" s="372">
        <f>ROUND((BW436-BW434)/BW$485,2)</f>
        <v>0</v>
      </c>
      <c r="BX489" s="81" t="str">
        <f>IF(ISERROR((BW489/BO489-1)*100),"NA",IF(((BW489/BO489-1)*100)&gt;100,"NM",IF(((BW489/BO489-1)*100)&lt;-50,"NM",(BW489/BO489-1)*100)))</f>
        <v>NA</v>
      </c>
      <c r="BY489" s="372">
        <f>ROUND((BY436-BY434)/BY$485,2)</f>
        <v>0.03</v>
      </c>
      <c r="BZ489" s="81" t="str">
        <f>IF(ISERROR((BY489/BQ489-1)*100),"NA",IF(((BY489/BQ489-1)*100)&gt;100,"NM",IF(((BY489/BQ489-1)*100)&lt;-50,"NM",(BY489/BQ489-1)*100)))</f>
        <v>NA</v>
      </c>
      <c r="CA489" s="372">
        <f>ROUND((CA436-CA434)/CA$485,2)</f>
        <v>0.04</v>
      </c>
      <c r="CB489" s="81" t="str">
        <f>IF(ISERROR((CA489/BS489-1)*100),"NA",IF(((CA489/BS489-1)*100)&gt;100,"NM",IF(((CA489/BS489-1)*100)&lt;-50,"NM",(CA489/BS489-1)*100)))</f>
        <v>NA</v>
      </c>
      <c r="CC489" s="372">
        <f>ROUND((CC436-CC434)/CC$485,2)</f>
        <v>0.01</v>
      </c>
      <c r="CD489" s="81" t="str">
        <f>IF(ISERROR((CC489/BU489-1)*100),"NA",IF(((CC489/BU489-1)*100)&gt;100,"NM",IF(((CC489/BU489-1)*100)&lt;-50,"NM",(CC489/BU489-1)*100)))</f>
        <v>NA</v>
      </c>
      <c r="CE489" s="372">
        <f>ROUND((CE436-CE434)/CE$485,2)</f>
        <v>-0.02</v>
      </c>
      <c r="CF489" s="81" t="str">
        <f>IF(ISERROR((CE489/BW489-1)*100),"NA",IF(((CE489/BW489-1)*100)&gt;100,"NM",IF(((CE489/BW489-1)*100)&lt;-50,"NM",(CE489/BW489-1)*100)))</f>
        <v>NA</v>
      </c>
      <c r="CG489" s="372">
        <f>ROUND((CG436-CG434)/CG$485,2)</f>
        <v>-0.01</v>
      </c>
      <c r="CH489" s="81" t="str">
        <f>IF(ISERROR((CG489/BY489-1)*100),"NA",IF(((CG489/BY489-1)*100)&gt;100,"NM",IF(((CG489/BY489-1)*100)&lt;-50,"NM",(CG489/BY489-1)*100)))</f>
        <v>NM</v>
      </c>
      <c r="CI489" s="372">
        <f>ROUND((CI436-CI434)/CI$485,2)</f>
        <v>0.01</v>
      </c>
      <c r="CJ489" s="81" t="str">
        <f>IF(ISERROR((CI489/CA489-1)*100),"NA",IF(((CI489/CA489-1)*100)&gt;100,"NM",IF(((CI489/CA489-1)*100)&lt;-50,"NM",(CI489/CA489-1)*100)))</f>
        <v>NM</v>
      </c>
      <c r="CK489" s="372">
        <f>ROUND((CK436-CK434)/CK$485,2)</f>
        <v>0.04</v>
      </c>
      <c r="CL489" s="81" t="str">
        <f>IF(ISERROR((CK489/CC489-1)*100),"NA",IF(((CK489/CC489-1)*100)&gt;100,"NM",IF(((CK489/CC489-1)*100)&lt;-50,"NM",(CK489/CC489-1)*100)))</f>
        <v>NM</v>
      </c>
      <c r="CM489" s="372">
        <f>ROUND((CM436-CM434)/CM$485,2)</f>
        <v>0</v>
      </c>
      <c r="CN489" s="81" t="str">
        <f>IF(ISERROR((CM489/CE489-1)*100),"NA",IF(((CM489/CE489-1)*100)&gt;100,"NM",IF(((CM489/CE489-1)*100)&lt;-50,"NM",(CM489/CE489-1)*100)))</f>
        <v>NM</v>
      </c>
      <c r="CO489" s="372">
        <f>ROUND((CO436-CO434)/CO$485,2)</f>
        <v>0</v>
      </c>
      <c r="CP489" s="81" t="str">
        <f>IF(ISERROR((CO489/CG489-1)*100),"NA",IF(((CO489/CG489-1)*100)&gt;100,"NM",IF(((CO489/CG489-1)*100)&lt;-50,"NM",(CO489/CG489-1)*100)))</f>
        <v>NM</v>
      </c>
      <c r="CQ489" s="372">
        <f>ROUND((CQ436-CQ434)/CQ$485,2)</f>
        <v>0.02</v>
      </c>
      <c r="CR489" s="81">
        <f>IF(ISERROR((CQ489/CI489-1)*100),"NA",IF(((CQ489/CI489-1)*100)&gt;100,"NM",IF(((CQ489/CI489-1)*100)&lt;-50,"NM",(CQ489/CI489-1)*100)))</f>
        <v>100</v>
      </c>
      <c r="CS489" s="372">
        <f>ROUND((CS436-CS434)/CS$485,2)</f>
        <v>-0.01</v>
      </c>
      <c r="CT489" s="81" t="str">
        <f>IF(ISERROR((CS489/CK489-1)*100),"NA",IF(((CS489/CK489-1)*100)&gt;100,"NM",IF(((CS489/CK489-1)*100)&lt;-50,"NM",(CS489/CK489-1)*100)))</f>
        <v>NM</v>
      </c>
      <c r="CU489" s="372">
        <f>ROUND((CU436-CU434)/CU$485,2)</f>
        <v>0</v>
      </c>
      <c r="CV489" s="81" t="str">
        <f>IF(ISERROR((CU489/CM489-1)*100),"NA",IF(((CU489/CM489-1)*100)&gt;100,"NM",IF(((CU489/CM489-1)*100)&lt;-50,"NM",(CU489/CM489-1)*100)))</f>
        <v>NA</v>
      </c>
      <c r="CW489" s="372">
        <f>ROUND((CW436-CW434)/CW$485,2)</f>
        <v>0</v>
      </c>
      <c r="CX489" s="81" t="str">
        <f>IF(ISERROR((CW489/CO489-1)*100),"NA",IF(((CW489/CO489-1)*100)&gt;100,"NM",IF(((CW489/CO489-1)*100)&lt;-50,"NM",(CW489/CO489-1)*100)))</f>
        <v>NA</v>
      </c>
      <c r="CY489" s="372">
        <f>ROUND((CY436-CY434)/CY$485,2)</f>
        <v>0</v>
      </c>
      <c r="CZ489" s="81" t="str">
        <f>IF(ISERROR((CY489/CQ489-1)*100),"NA",IF(((CY489/CQ489-1)*100)&gt;100,"NM",IF(((CY489/CQ489-1)*100)&lt;-50,"NM",(CY489/CQ489-1)*100)))</f>
        <v>NM</v>
      </c>
      <c r="DA489" s="372">
        <f>ROUND((DA436-DA434)/DA$485,2)</f>
        <v>0</v>
      </c>
      <c r="DB489" s="81" t="str">
        <f>IF(ISERROR((DA489/CS489-1)*100),"NA",IF(((DA489/CS489-1)*100)&gt;100,"NM",IF(((DA489/CS489-1)*100)&lt;-50,"NM",(DA489/CS489-1)*100)))</f>
        <v>NM</v>
      </c>
      <c r="DC489" s="372">
        <f>ROUND((DC436-DC434)/DC$485,2)</f>
        <v>0</v>
      </c>
      <c r="DD489" s="81" t="str">
        <f>IF(ISERROR((DC489/CU489-1)*100),"NA",IF(((DC489/CU489-1)*100)&gt;100,"NM",IF(((DC489/CU489-1)*100)&lt;-50,"NM",(DC489/CU489-1)*100)))</f>
        <v>NA</v>
      </c>
      <c r="DE489" s="372">
        <f>ROUND((DE436-DE434)/DE$485,2)</f>
        <v>0</v>
      </c>
      <c r="DF489" s="81" t="str">
        <f>IF(ISERROR((DE489/CW489-1)*100),"NA",IF(((DE489/CW489-1)*100)&gt;100,"NM",IF(((DE489/CW489-1)*100)&lt;-50,"NM",(DE489/CW489-1)*100)))</f>
        <v>NA</v>
      </c>
      <c r="DG489" s="372">
        <f>ROUND((DG436-DG434)/DG$485,2)</f>
        <v>0</v>
      </c>
      <c r="DH489" s="81" t="str">
        <f>IF(ISERROR((DG489/CY489-1)*100),"NA",IF(((DG489/CY489-1)*100)&gt;100,"NM",IF(((DG489/CY489-1)*100)&lt;-50,"NM",(DG489/CY489-1)*100)))</f>
        <v>NA</v>
      </c>
      <c r="DI489" s="372">
        <f>ROUND((DI436-DI434)/DI$485,2)</f>
        <v>0</v>
      </c>
      <c r="DJ489" s="81" t="str">
        <f>IF(ISERROR((DI489/DA489-1)*100),"NA",IF(((DI489/DA489-1)*100)&gt;100,"NM",IF(((DI489/DA489-1)*100)&lt;-50,"NM",(DI489/DA489-1)*100)))</f>
        <v>NA</v>
      </c>
      <c r="DK489" s="372">
        <f>ROUND((DK436-DK434)/DK$485,2)</f>
        <v>0</v>
      </c>
      <c r="DL489" s="81" t="str">
        <f>IF(ISERROR((DK489/DC489-1)*100),"NA",IF(((DK489/DC489-1)*100)&gt;100,"NM",IF(((DK489/DC489-1)*100)&lt;-50,"NM",(DK489/DC489-1)*100)))</f>
        <v>NA</v>
      </c>
      <c r="DM489" s="372">
        <f>ROUND((DM436-DM434)/DM$485,2)</f>
        <v>0</v>
      </c>
      <c r="DN489" s="81" t="str">
        <f>IF(ISERROR((DM489/DE489-1)*100),"NA",IF(((DM489/DE489-1)*100)&gt;100,"NM",IF(((DM489/DE489-1)*100)&lt;-50,"NM",(DM489/DE489-1)*100)))</f>
        <v>NA</v>
      </c>
      <c r="DO489" s="372">
        <f>ROUND((DO436-DO434)/DO$485,2)</f>
        <v>0</v>
      </c>
      <c r="DP489" s="81" t="str">
        <f>IF(ISERROR((DO489/DG489-1)*100),"NA",IF(((DO489/DG489-1)*100)&gt;100,"NM",IF(((DO489/DG489-1)*100)&lt;-50,"NM",(DO489/DG489-1)*100)))</f>
        <v>NA</v>
      </c>
      <c r="DQ489" s="372">
        <f>ROUND((DQ436-DQ434)/DQ$485,2)</f>
        <v>0</v>
      </c>
      <c r="DR489" s="81" t="str">
        <f>IF(ISERROR((DQ489/DI489-1)*100),"NA",IF(((DQ489/DI489-1)*100)&gt;100,"NM",IF(((DQ489/DI489-1)*100)&lt;-50,"NM",(DQ489/DI489-1)*100)))</f>
        <v>NA</v>
      </c>
      <c r="DS489" s="372">
        <f>ROUND((DS436-DS434)/DS$485,2)</f>
        <v>0</v>
      </c>
      <c r="DT489" s="81" t="str">
        <f>IF(ISERROR((DS489/DK489-1)*100),"NA",IF(((DS489/DK489-1)*100)&gt;100,"NM",IF(((DS489/DK489-1)*100)&lt;-50,"NM",(DS489/DK489-1)*100)))</f>
        <v>NA</v>
      </c>
      <c r="DU489" s="372">
        <f>ROUND((DU436-DU434)/DU$485,2)</f>
        <v>0</v>
      </c>
      <c r="DV489" s="81" t="str">
        <f>IF(ISERROR((DU489/DM489-1)*100),"NA",IF(((DU489/DM489-1)*100)&gt;100,"NM",IF(((DU489/DM489-1)*100)&lt;-50,"NM",(DU489/DM489-1)*100)))</f>
        <v>NA</v>
      </c>
      <c r="DW489" s="372">
        <f>ROUND((DW436-DW434)/DW$485,2)</f>
        <v>0</v>
      </c>
      <c r="DX489" s="81" t="str">
        <f>IF(ISERROR((DW489/DO489-1)*100),"NA",IF(((DW489/DO489-1)*100)&gt;100,"NM",IF(((DW489/DO489-1)*100)&lt;-50,"NM",(DW489/DO489-1)*100)))</f>
        <v>NA</v>
      </c>
      <c r="DY489" s="372">
        <f>ROUND((DY436-DY434)/DY$485,2)</f>
        <v>0</v>
      </c>
      <c r="DZ489" s="81" t="str">
        <f>IF(ISERROR((DY489/DQ489-1)*100),"NA",IF(((DY489/DQ489-1)*100)&gt;100,"NM",IF(((DY489/DQ489-1)*100)&lt;-50,"NM",(DY489/DQ489-1)*100)))</f>
        <v>NA</v>
      </c>
      <c r="EA489" s="372">
        <f>ROUND((EA436-EA434)/EA$485,2)</f>
        <v>0</v>
      </c>
      <c r="EB489" s="81" t="str">
        <f>IF(ISERROR((EA489/DS489-1)*100),"NA",IF(((EA489/DS489-1)*100)&gt;100,"NM",IF(((EA489/DS489-1)*100)&lt;-50,"NM",(EA489/DS489-1)*100)))</f>
        <v>NA</v>
      </c>
      <c r="EC489" s="372">
        <f>ROUND((EC436-EC434)/EC$485,2)</f>
        <v>-0.06</v>
      </c>
      <c r="ED489" s="81" t="str">
        <f t="shared" si="1784"/>
        <v>NA</v>
      </c>
      <c r="EE489" s="372">
        <f>ROUND((EE436-EE434)/EE$485,2)</f>
        <v>0</v>
      </c>
      <c r="EF489" s="81" t="str">
        <f t="shared" si="1785"/>
        <v>NA</v>
      </c>
      <c r="EG489" s="372">
        <f>ROUND((EG436-EG434)/EG$485,2)</f>
        <v>0</v>
      </c>
      <c r="EH489" s="81" t="str">
        <f t="shared" si="1786"/>
        <v>NA</v>
      </c>
      <c r="EI489" s="372">
        <f>ROUND((EI436-EI434)/EI$485,2)</f>
        <v>0.03</v>
      </c>
      <c r="EJ489" s="81" t="str">
        <f t="shared" si="1787"/>
        <v>NA</v>
      </c>
      <c r="EK489" s="372">
        <f t="shared" ref="EK489:EQ489" si="1793">ROUND((EK436-EK434)/EK$485,2)</f>
        <v>-0.06</v>
      </c>
      <c r="EL489" s="81">
        <f t="shared" si="1789"/>
        <v>0</v>
      </c>
      <c r="EM489" s="372">
        <f t="shared" si="1793"/>
        <v>0</v>
      </c>
      <c r="EN489" s="81" t="str">
        <f t="shared" si="1790"/>
        <v>NA</v>
      </c>
      <c r="EO489" s="372">
        <f t="shared" si="1793"/>
        <v>0</v>
      </c>
      <c r="EP489" s="81" t="str">
        <f t="shared" si="1791"/>
        <v>NA</v>
      </c>
      <c r="EQ489" s="372">
        <f t="shared" si="1793"/>
        <v>0</v>
      </c>
      <c r="ER489" s="81" t="str">
        <f t="shared" si="1792"/>
        <v>NM</v>
      </c>
      <c r="ES489" s="82"/>
      <c r="ET489" s="469"/>
      <c r="EU489" s="82"/>
      <c r="EV489" s="372"/>
      <c r="EW489" s="79"/>
      <c r="EX489" s="372"/>
      <c r="EY489" s="79"/>
      <c r="EZ489" s="372"/>
      <c r="FA489" s="79"/>
      <c r="FB489" s="372">
        <f>ROUND((FB436-FB434)/FB$485,2)</f>
        <v>7.0000000000000007E-2</v>
      </c>
      <c r="FC489" s="79" t="str">
        <f>IF(ISERROR((FB489/EZ489-1)*100),"NA",IF(((FB489/EZ489-1)*100)&gt;100,"NM",IF(((FB489/EZ489-1)*100)&lt;-50,"NM",(FB489/EZ489-1)*100)))</f>
        <v>NA</v>
      </c>
      <c r="FD489" s="372">
        <f>ROUND((FD436-FD434)/FD$485,2)</f>
        <v>0.02</v>
      </c>
      <c r="FE489" s="79" t="str">
        <f>IF(ISERROR((FD489/FB489-1)*100),"NA",IF(((FD489/FB489-1)*100)&gt;100,"NM",IF(((FD489/FB489-1)*100)&lt;-50,"NM",(FD489/FB489-1)*100)))</f>
        <v>NM</v>
      </c>
      <c r="FF489" s="372">
        <f>ROUND((FF436-FF434)/FF$485,2)</f>
        <v>-0.44</v>
      </c>
      <c r="FG489" s="79" t="str">
        <f>IF(ISERROR((FF489/FD489-1)*100),"NA",IF(((FF489/FD489-1)*100)&gt;100,"NM",IF(((FF489/FD489-1)*100)&lt;-50,"NM",(FF489/FD489-1)*100)))</f>
        <v>NM</v>
      </c>
      <c r="FH489" s="372">
        <f>ROUND((FH436-FH434)/FH$485,2)</f>
        <v>-0.21</v>
      </c>
      <c r="FI489" s="79" t="str">
        <f>IF(ISERROR((FH489/FF489-1)*100),"NA",IF(((FH489/FF489-1)*100)&gt;100,"NM",IF(((FH489/FF489-1)*100)&lt;-50,"NM",(FH489/FF489-1)*100)))</f>
        <v>NM</v>
      </c>
      <c r="FJ489" s="372">
        <f>ROUND((FJ436-FJ434)/FJ$485,2)</f>
        <v>0.01</v>
      </c>
      <c r="FK489" s="79" t="str">
        <f>IF(ISERROR((FJ489/FH489-1)*100),"NA",IF(((FJ489/FH489-1)*100)&gt;100,"NM",IF(((FJ489/FH489-1)*100)&lt;-50,"NM",(FJ489/FH489-1)*100)))</f>
        <v>NM</v>
      </c>
      <c r="FL489" s="372">
        <f>ROUND((FL436-FL434)/FL$485,2)</f>
        <v>-0.6</v>
      </c>
      <c r="FM489" s="79" t="str">
        <f>IF(ISERROR((FL489/FJ489-1)*100),"NA",IF(((FL489/FJ489-1)*100)&gt;100,"NM",IF(((FL489/FJ489-1)*100)&lt;-50,"NM",(FL489/FJ489-1)*100)))</f>
        <v>NM</v>
      </c>
      <c r="FN489" s="372">
        <f>ROUND((FN436-FN434)/FN$485,2)</f>
        <v>-0.08</v>
      </c>
      <c r="FO489" s="79" t="str">
        <f>IF(ISERROR((FN489/FL489-1)*100),"NA",IF(((FN489/FL489-1)*100)&gt;100,"NM",IF(((FN489/FL489-1)*100)&lt;-50,"NM",(FN489/FL489-1)*100)))</f>
        <v>NM</v>
      </c>
      <c r="FP489" s="372">
        <f>ROUND((FP436-FP434)/FP$485,2)</f>
        <v>0</v>
      </c>
      <c r="FQ489" s="79" t="str">
        <f>IF(ISERROR((FP489/FN489-1)*100),"NA",IF(((FP489/FN489-1)*100)&gt;100,"NM",IF(((FP489/FN489-1)*100)&lt;-50,"NM",(FP489/FN489-1)*100)))</f>
        <v>NM</v>
      </c>
      <c r="FR489" s="372">
        <f>ROUND((FR436-FR434)/FR$485,2)</f>
        <v>0.06</v>
      </c>
      <c r="FS489" s="79" t="str">
        <f>IF(ISERROR((FR489/FP489-1)*100),"NA",IF(((FR489/FP489-1)*100)&gt;100,"NM",IF(((FR489/FP489-1)*100)&lt;-50,"NM",(FR489/FP489-1)*100)))</f>
        <v>NA</v>
      </c>
      <c r="FT489" s="372">
        <f>ROUND((FT436-FT434)/FT$485,2)</f>
        <v>0.06</v>
      </c>
      <c r="FU489" s="79">
        <f>IF(ISERROR((FT489/FR489-1)*100),"NA",IF(((FT489/FR489-1)*100)&gt;100,"NM",IF(((FT489/FR489-1)*100)&lt;-50,"NM",(FT489/FR489-1)*100)))</f>
        <v>0</v>
      </c>
      <c r="FV489" s="372">
        <f>ROUND((FV436-FV434)/FV$485,2)</f>
        <v>0.04</v>
      </c>
      <c r="FW489" s="79">
        <f>IF(ISERROR((FV489/FT489-1)*100),"NA",IF(((FV489/FT489-1)*100)&gt;100,"NM",IF(((FV489/FT489-1)*100)&lt;-50,"NM",(FV489/FT489-1)*100)))</f>
        <v>-33.333333333333329</v>
      </c>
      <c r="FX489" s="372">
        <f>ROUND((FX436-FX434)/FX$485,2)</f>
        <v>-0.11</v>
      </c>
      <c r="FY489" s="79" t="str">
        <f>IF(ISERROR((FX489/FV489-1)*100),"NA",IF(((FX489/FV489-1)*100)&gt;100,"NM",IF(((FX489/FV489-1)*100)&lt;-50,"NM",(FX489/FV489-1)*100)))</f>
        <v>NM</v>
      </c>
      <c r="FZ489" s="372">
        <f>ROUND((FZ436-FZ434)/FZ$485,2)</f>
        <v>0</v>
      </c>
      <c r="GA489" s="79" t="str">
        <f>IF(ISERROR((FZ489/FX489-1)*100),"NA",IF(((FZ489/FX489-1)*100)&gt;100,"NM",IF(((FZ489/FX489-1)*100)&lt;-50,"NM",(FZ489/FX489-1)*100)))</f>
        <v>NM</v>
      </c>
      <c r="GB489" s="372">
        <f>ROUND((GB436-GB434)/GB$485,2)</f>
        <v>0</v>
      </c>
      <c r="GC489" s="79" t="str">
        <f>IF(ISERROR((GB489/FZ489-1)*100),"NA",IF(((GB489/FZ489-1)*100)&gt;100,"NM",IF(((GB489/FZ489-1)*100)&lt;-50,"NM",(GB489/FZ489-1)*100)))</f>
        <v>NA</v>
      </c>
      <c r="GD489" s="372">
        <f>ROUND((GD436-GD434)/GD$485,2)</f>
        <v>0</v>
      </c>
      <c r="GE489" s="79" t="str">
        <f>IF(ISERROR((GD489/GB489-1)*100),"NA",IF(((GD489/GB489-1)*100)&gt;100,"NM",IF(((GD489/GB489-1)*100)&lt;-50,"NM",(GD489/GB489-1)*100)))</f>
        <v>NA</v>
      </c>
      <c r="GF489" s="372">
        <f>ROUND((GF436-GF434)/GF$485,2)</f>
        <v>0</v>
      </c>
      <c r="GG489" s="79" t="str">
        <f>IF(ISERROR((GF489/GD489-1)*100),"NA",IF(((GF489/GD489-1)*100)&gt;100,"NM",IF(((GF489/GD489-1)*100)&lt;-50,"NM",(GF489/GD489-1)*100)))</f>
        <v>NA</v>
      </c>
      <c r="GH489" s="372">
        <f>ROUND((GH436-GH434)/GH$485,2)</f>
        <v>-0.03</v>
      </c>
      <c r="GI489" s="79" t="str">
        <f>IF(ISERROR((GH489/GF489-1)*100),"NA",IF(((GH489/GF489-1)*100)&gt;100,"NM",IF(((GH489/GF489-1)*100)&lt;-50,"NM",(GH489/GF489-1)*100)))</f>
        <v>NA</v>
      </c>
      <c r="GJ489" s="372">
        <f>ROUND((GJ436-GJ434)/GJ$485,2)</f>
        <v>-0.06</v>
      </c>
      <c r="GK489" s="79">
        <f>IF(ISERROR((GJ489/GH489-1)*100),"NA",IF(((GJ489/GH489-1)*100)&gt;100,"NM",IF(((GJ489/GH489-1)*100)&lt;-50,"NM",(GJ489/GH489-1)*100)))</f>
        <v>100</v>
      </c>
      <c r="GL489" s="372">
        <f>ROUND((GL436-GL434)/GL$485,2)</f>
        <v>-0.06</v>
      </c>
      <c r="GM489" s="79">
        <f>IF(ISERROR((GL489/GJ489-1)*100),"NA",IF(((GL489/GJ489-1)*100)&gt;100,"NM",IF(((GL489/GJ489-1)*100)&lt;-50,"NM",(GL489/GJ489-1)*100)))</f>
        <v>0</v>
      </c>
      <c r="GN489" s="372">
        <f>ROUND((GN436-GN434)/GN$485,2)</f>
        <v>-7.0000000000000007E-2</v>
      </c>
      <c r="GO489" s="79">
        <f>IF(ISERROR((GN489/GL489-1)*100),"NA",IF(((GN489/GL489-1)*100)&gt;100,"NM",IF(((GN489/GL489-1)*100)&lt;-50,"NM",(GN489/GL489-1)*100)))</f>
        <v>16.666666666666675</v>
      </c>
      <c r="GP489" s="372">
        <f>ROUND((GP436-GP434)/GP$485,2)</f>
        <v>-7.0000000000000007E-2</v>
      </c>
      <c r="GQ489" s="79">
        <f>IF(ISERROR((GP489/GN489-1)*100),"NA",IF(((GP489/GN489-1)*100)&gt;100,"NM",IF(((GP489/GN489-1)*100)&lt;-50,"NM",(GP489/GN489-1)*100)))</f>
        <v>0</v>
      </c>
      <c r="GR489" s="372">
        <f>ROUND((GR436-GR434)/GR$485,2)</f>
        <v>-7.0000000000000007E-2</v>
      </c>
      <c r="GS489" s="79">
        <f>IF(ISERROR((GR489/GP489-1)*100),"NA",IF(((GR489/GP489-1)*100)&gt;100,"NM",IF(((GR489/GP489-1)*100)&lt;-50,"NM",(GR489/GP489-1)*100)))</f>
        <v>0</v>
      </c>
      <c r="GT489" s="79">
        <f>IF(ISERROR(((GR489/GH489)^0.2-1)*100),"NA",(IF(OR(((GR489/GH489)^0.2-1)*100&gt;99,((GR489/GH489)^0.2-1)*100&lt;-50),"NM",(((GR489/GH489)^0.2-1)*100))))</f>
        <v>18.466445254224407</v>
      </c>
      <c r="GU489" s="562"/>
      <c r="GV489" s="562"/>
      <c r="GW489"/>
      <c r="GX489"/>
      <c r="GY489"/>
      <c r="GZ489"/>
      <c r="HA489"/>
      <c r="HB489"/>
      <c r="HC489" s="562"/>
      <c r="HD489" s="562"/>
      <c r="HE489" s="562"/>
      <c r="HF489" s="562"/>
      <c r="HG489" s="562"/>
      <c r="HH489" s="562"/>
      <c r="HI489" s="562"/>
      <c r="HJ489" s="562"/>
      <c r="HK489" s="562"/>
      <c r="HL489" s="562"/>
      <c r="HM489" s="562"/>
      <c r="HN489" s="562"/>
      <c r="HO489" s="562"/>
      <c r="HP489" s="562"/>
      <c r="HQ489" s="562"/>
      <c r="HR489" s="562"/>
      <c r="HS489" s="562"/>
      <c r="HT489" s="562"/>
      <c r="HU489" s="562"/>
      <c r="HV489" s="562"/>
      <c r="HW489" s="562"/>
      <c r="HX489" s="562"/>
      <c r="HY489" s="562"/>
      <c r="HZ489" s="562"/>
      <c r="IA489" s="562"/>
      <c r="IB489" s="562"/>
      <c r="IC489" s="562"/>
      <c r="ID489" s="562"/>
      <c r="IE489" s="562"/>
      <c r="IF489" s="562"/>
      <c r="IG489" s="562"/>
      <c r="IH489" s="562"/>
      <c r="II489" s="562"/>
      <c r="IJ489" s="562"/>
      <c r="IK489" s="562"/>
      <c r="IL489" s="562"/>
      <c r="IM489" s="562"/>
      <c r="IN489" s="562"/>
      <c r="IO489" s="562"/>
      <c r="IP489" s="562"/>
      <c r="IQ489" s="562"/>
      <c r="IR489" s="562"/>
      <c r="IS489" s="562"/>
      <c r="IT489" s="562"/>
      <c r="IU489" s="562"/>
      <c r="IV489" s="562"/>
      <c r="IW489" s="562"/>
      <c r="IX489" s="562"/>
      <c r="IY489" s="562"/>
      <c r="IZ489" s="562"/>
      <c r="JA489" s="562"/>
      <c r="JB489" s="562"/>
      <c r="JC489" s="562"/>
      <c r="JD489" s="562"/>
      <c r="JE489" s="562"/>
      <c r="JF489" s="562"/>
      <c r="JG489" s="562"/>
      <c r="JH489" s="562"/>
      <c r="JI489" s="562"/>
      <c r="JJ489" s="562"/>
      <c r="JK489" s="562"/>
      <c r="JL489" s="562"/>
      <c r="JM489" s="562"/>
      <c r="JN489" s="562"/>
      <c r="JO489" s="562"/>
      <c r="JP489" s="562"/>
      <c r="JQ489" s="562"/>
      <c r="JR489" s="562"/>
      <c r="JS489" s="562"/>
      <c r="JT489" s="562"/>
      <c r="JU489" s="562"/>
      <c r="JV489" s="562"/>
      <c r="JW489" s="562"/>
      <c r="JX489" s="562"/>
      <c r="JY489" s="562"/>
      <c r="JZ489" s="562"/>
    </row>
    <row r="490" spans="1:286" s="19" customFormat="1" ht="12.75" hidden="1" customHeight="1" outlineLevel="1" x14ac:dyDescent="0.2">
      <c r="A490" s="371"/>
      <c r="B490" s="2" t="s">
        <v>205</v>
      </c>
      <c r="C490" s="79"/>
      <c r="D490" s="79"/>
      <c r="E490" s="372">
        <f>ROUND(E434/E$485,2)</f>
        <v>-0.03</v>
      </c>
      <c r="F490" s="372"/>
      <c r="G490" s="372">
        <f>ROUND(G434/G$485,2)</f>
        <v>-0.03</v>
      </c>
      <c r="H490" s="372"/>
      <c r="I490" s="372">
        <f>ROUND(I434/I$485,2)</f>
        <v>-7.0000000000000007E-2</v>
      </c>
      <c r="J490" s="372"/>
      <c r="K490" s="372">
        <f>ROUND(K434/K$485,2)</f>
        <v>-0.28999999999999998</v>
      </c>
      <c r="L490" s="79"/>
      <c r="M490" s="372">
        <f>ROUND(M434/M$485,2)</f>
        <v>-0.23</v>
      </c>
      <c r="N490" s="79" t="str">
        <f>IF(ISERROR((M490/E490-1)*100),"NA",IF(((M490/E490-1)*100)&gt;100,"NM",IF(((M490/E490-1)*100)&lt;-50,"NM",(M490/E490-1)*100)))</f>
        <v>NM</v>
      </c>
      <c r="O490" s="372">
        <f>ROUND(O434/O$485,2)</f>
        <v>-0.21</v>
      </c>
      <c r="P490" s="79" t="str">
        <f>IF(ISERROR((O490/G490-1)*100),"NA",IF(((O490/G490-1)*100)&gt;100,"NM",IF(((O490/G490-1)*100)&lt;-50,"NM",(O490/G490-1)*100)))</f>
        <v>NM</v>
      </c>
      <c r="Q490" s="372">
        <f>ROUND(Q434/Q$485,2)</f>
        <v>-0.17</v>
      </c>
      <c r="R490" s="79" t="str">
        <f>IF(ISERROR((Q490/I490-1)*100),"NA",IF(((Q490/I490-1)*100)&gt;100,"NM",IF(((Q490/I490-1)*100)&lt;-50,"NM",(Q490/I490-1)*100)))</f>
        <v>NM</v>
      </c>
      <c r="S490" s="372">
        <f>ROUND(S434/S$485,2)</f>
        <v>-0.22</v>
      </c>
      <c r="T490" s="79">
        <f>IF(ISERROR((S490/K490-1)*100),"NA",IF(((S490/K490-1)*100)&gt;100,"NM",IF(((S490/K490-1)*100)&lt;-50,"NM",(S490/K490-1)*100)))</f>
        <v>-24.137931034482751</v>
      </c>
      <c r="U490" s="372">
        <f>ROUND(U434/U$485,2)</f>
        <v>-0.23</v>
      </c>
      <c r="V490" s="79">
        <f>IF(ISERROR((U490/M490-1)*100),"NA",IF(((U490/M490-1)*100)&gt;100,"NM",IF(((U490/M490-1)*100)&lt;-50,"NM",(U490/M490-1)*100)))</f>
        <v>0</v>
      </c>
      <c r="W490" s="372">
        <f>ROUND(W434/W$485,2)</f>
        <v>-0.06</v>
      </c>
      <c r="X490" s="79" t="str">
        <f>IF(ISERROR((W490/O490-1)*100),"NA",IF(((W490/O490-1)*100)&gt;100,"NM",IF(((W490/O490-1)*100)&lt;-50,"NM",(W490/O490-1)*100)))</f>
        <v>NM</v>
      </c>
      <c r="Y490" s="372">
        <f>ROUND(Y434/Y$485,2)</f>
        <v>-0.06</v>
      </c>
      <c r="Z490" s="79" t="str">
        <f>IF(ISERROR((Y490/Q490-1)*100),"NA",IF(((Y490/Q490-1)*100)&gt;100,"NM",IF(((Y490/Q490-1)*100)&lt;-50,"NM",(Y490/Q490-1)*100)))</f>
        <v>NM</v>
      </c>
      <c r="AA490" s="373">
        <f>ROUND(AA434/AA$485,2)</f>
        <v>-0.08</v>
      </c>
      <c r="AB490" s="79" t="str">
        <f>IF(ISERROR((AA490/S490-1)*100),"NA",IF(((AA490/S490-1)*100)&gt;100,"NM",IF(((AA490/S490-1)*100)&lt;-50,"NM",(AA490/S490-1)*100)))</f>
        <v>NM</v>
      </c>
      <c r="AC490" s="372">
        <f>ROUND(AC434/AC$485,2)</f>
        <v>0.05</v>
      </c>
      <c r="AD490" s="79" t="str">
        <f>IF(ISERROR((AC490/U490-1)*100),"NA",IF(((AC490/U490-1)*100)&gt;100,"NM",IF(((AC490/U490-1)*100)&lt;-50,"NM",(AC490/U490-1)*100)))</f>
        <v>NM</v>
      </c>
      <c r="AE490" s="372">
        <f>ROUND(AE434/AE$485,2)</f>
        <v>-0.19</v>
      </c>
      <c r="AF490" s="79" t="str">
        <f>IF(ISERROR((AE490/W490-1)*100),"NA",IF(((AE490/W490-1)*100)&gt;100,"NM",IF(((AE490/W490-1)*100)&lt;-50,"NM",(AE490/W490-1)*100)))</f>
        <v>NM</v>
      </c>
      <c r="AG490" s="372">
        <f>ROUND(AG434/AG$485,2)</f>
        <v>0.14000000000000001</v>
      </c>
      <c r="AH490" s="79" t="str">
        <f>IF(ISERROR((AG490/Y490-1)*100),"NA",IF(((AG490/Y490-1)*100)&gt;100,"NM",IF(((AG490/Y490-1)*100)&lt;-50,"NM",(AG490/Y490-1)*100)))</f>
        <v>NM</v>
      </c>
      <c r="AI490" s="372">
        <f>ROUND(AI434/AI$485,2)</f>
        <v>0.06</v>
      </c>
      <c r="AJ490" s="79" t="str">
        <f>IF(ISERROR((AI490/AA490-1)*100),"NA",IF(((AI490/AA490-1)*100)&gt;100,"NM",IF(((AI490/AA490-1)*100)&lt;-50,"NM",(AI490/AA490-1)*100)))</f>
        <v>NM</v>
      </c>
      <c r="AK490" s="372">
        <f>ROUND(AK434/AK$485,2)</f>
        <v>-0.01</v>
      </c>
      <c r="AL490" s="79" t="str">
        <f>IF(ISERROR((AK490/AC490-1)*100),"NA",IF(((AK490/AC490-1)*100)&gt;100,"NM",IF(((AK490/AC490-1)*100)&lt;-50,"NM",(AK490/AC490-1)*100)))</f>
        <v>NM</v>
      </c>
      <c r="AM490" s="372">
        <f>ROUND(AM434/AM$485,2)</f>
        <v>0.14000000000000001</v>
      </c>
      <c r="AN490" s="79" t="str">
        <f>IF(ISERROR((AM490/AE490-1)*100),"NA",IF(((AM490/AE490-1)*100)&gt;100,"NM",IF(((AM490/AE490-1)*100)&lt;-50,"NM",(AM490/AE490-1)*100)))</f>
        <v>NM</v>
      </c>
      <c r="AO490" s="372">
        <f>ROUND(AO434/AO$485,2)</f>
        <v>-0.26</v>
      </c>
      <c r="AP490" s="79" t="str">
        <f>IF(ISERROR((AO490/AG490-1)*100),"NA",IF(((AO490/AG490-1)*100)&gt;100,"NM",IF(((AO490/AG490-1)*100)&lt;-50,"NM",(AO490/AG490-1)*100)))</f>
        <v>NM</v>
      </c>
      <c r="AQ490" s="372">
        <f>ROUND(AQ434/AQ$485,2)</f>
        <v>0</v>
      </c>
      <c r="AR490" s="79" t="str">
        <f>IF(ISERROR((AQ490/AI490-1)*100),"NA",IF(((AQ490/AI490-1)*100)&gt;100,"NM",IF(((AQ490/AI490-1)*100)&lt;-50,"NM",(AQ490/AI490-1)*100)))</f>
        <v>NM</v>
      </c>
      <c r="AS490" s="372">
        <f>ROUND(AS434/AS$485,2)</f>
        <v>0</v>
      </c>
      <c r="AT490" s="81" t="str">
        <f>IF(ISERROR((AS490/AK490-1)*100),"NA",IF(((AS490/AK490-1)*100)&gt;100,"NM",IF(((AS490/AK490-1)*100)&lt;-50,"NM",(AS490/AK490-1)*100)))</f>
        <v>NM</v>
      </c>
      <c r="AU490" s="372">
        <f>ROUND(AU434/AU$485,2)</f>
        <v>-0.01</v>
      </c>
      <c r="AV490" s="81" t="str">
        <f>IF(ISERROR((AU490/AM490-1)*100),"NA",IF(((AU490/AM490-1)*100)&gt;100,"NM",IF(((AU490/AM490-1)*100)&lt;-50,"NM",(AU490/AM490-1)*100)))</f>
        <v>NM</v>
      </c>
      <c r="AW490" s="372">
        <f>ROUND(AW434/AW$485,2)</f>
        <v>0.01</v>
      </c>
      <c r="AX490" s="81" t="str">
        <f>IF(ISERROR((AW490/AO490-1)*100),"NA",IF(((AW490/AO490-1)*100)&gt;100,"NM",IF(((AW490/AO490-1)*100)&lt;-50,"NM",(AW490/AO490-1)*100)))</f>
        <v>NM</v>
      </c>
      <c r="AY490" s="372">
        <f>ROUND(AY434/AY$485,2)</f>
        <v>0</v>
      </c>
      <c r="AZ490" s="81" t="str">
        <f>IF(ISERROR((AY490/AQ490-1)*100),"NA",IF(((AY490/AQ490-1)*100)&gt;100,"NM",IF(((AY490/AQ490-1)*100)&lt;-50,"NM",(AY490/AQ490-1)*100)))</f>
        <v>NA</v>
      </c>
      <c r="BA490" s="372">
        <f>ROUND(BA434/BA$485,2)</f>
        <v>-0.01</v>
      </c>
      <c r="BB490" s="81" t="str">
        <f>IF(ISERROR((BA490/AS490-1)*100),"NA",IF(((BA490/AS490-1)*100)&gt;100,"NM",IF(((BA490/AS490-1)*100)&lt;-50,"NM",(BA490/AS490-1)*100)))</f>
        <v>NA</v>
      </c>
      <c r="BC490" s="372">
        <f>ROUND(BC434/BC$485,2)</f>
        <v>0.02</v>
      </c>
      <c r="BD490" s="81" t="str">
        <f>IF(ISERROR((BC490/AU490-1)*100),"NA",IF(((BC490/AU490-1)*100)&gt;100,"NM",IF(((BC490/AU490-1)*100)&lt;-50,"NM",(BC490/AU490-1)*100)))</f>
        <v>NM</v>
      </c>
      <c r="BE490" s="372">
        <f>ROUND(BE434/BE$485,2)</f>
        <v>-0.08</v>
      </c>
      <c r="BF490" s="81" t="str">
        <f>IF(ISERROR((BE490/AW490-1)*100),"NA",IF(((BE490/AW490-1)*100)&gt;100,"NM",IF(((BE490/AW490-1)*100)&lt;-50,"NM",(BE490/AW490-1)*100)))</f>
        <v>NM</v>
      </c>
      <c r="BG490" s="372">
        <f>ROUND(BG434/BG$485,2)</f>
        <v>-0.05</v>
      </c>
      <c r="BH490" s="81" t="str">
        <f>IF(ISERROR((BG490/AY490-1)*100),"NA",IF(((BG490/AY490-1)*100)&gt;100,"NM",IF(((BG490/AY490-1)*100)&lt;-50,"NM",(BG490/AY490-1)*100)))</f>
        <v>NA</v>
      </c>
      <c r="BI490" s="372">
        <f>ROUND(BI434/BI$485,2)</f>
        <v>-0.13</v>
      </c>
      <c r="BJ490" s="81" t="str">
        <f>IF(ISERROR((BI490/BA490-1)*100),"NA",IF(((BI490/BA490-1)*100)&gt;100,"NM",IF(((BI490/BA490-1)*100)&lt;-50,"NM",(BI490/BA490-1)*100)))</f>
        <v>NM</v>
      </c>
      <c r="BK490" s="372">
        <f>ROUND(BK434/BK$485,2)</f>
        <v>0.05</v>
      </c>
      <c r="BL490" s="81" t="str">
        <f>IF(ISERROR((BK490/BC490-1)*100),"NA",IF(((BK490/BC490-1)*100)&gt;100,"NM",IF(((BK490/BC490-1)*100)&lt;-50,"NM",(BK490/BC490-1)*100)))</f>
        <v>NM</v>
      </c>
      <c r="BM490" s="372">
        <f>ROUND(BM434/BM$485,2)</f>
        <v>-0.32</v>
      </c>
      <c r="BN490" s="81" t="str">
        <f>IF(ISERROR((BM490/BE490-1)*100),"NA",IF(((BM490/BE490-1)*100)&gt;100,"NM",IF(((BM490/BE490-1)*100)&lt;-50,"NM",(BM490/BE490-1)*100)))</f>
        <v>NM</v>
      </c>
      <c r="BO490" s="372">
        <f>ROUND(BO434/BO$485,2)</f>
        <v>-0.51</v>
      </c>
      <c r="BP490" s="81" t="str">
        <f>IF(ISERROR((BO490/BG490-1)*100),"NA",IF(((BO490/BG490-1)*100)&gt;100,"NM",IF(((BO490/BG490-1)*100)&lt;-50,"NM",(BO490/BG490-1)*100)))</f>
        <v>NM</v>
      </c>
      <c r="BQ490" s="372">
        <f>ROUND(BQ434/BQ$485,2)</f>
        <v>-0.13</v>
      </c>
      <c r="BR490" s="81">
        <f>IF(ISERROR((BQ490/BI490-1)*100),"NA",IF(((BQ490/BI490-1)*100)&gt;100,"NM",IF(((BQ490/BI490-1)*100)&lt;-50,"NM",(BQ490/BI490-1)*100)))</f>
        <v>0</v>
      </c>
      <c r="BS490" s="372">
        <f>ROUND(BS434/BS$485,2)</f>
        <v>0.15</v>
      </c>
      <c r="BT490" s="81" t="str">
        <f>IF(ISERROR((BS490/BK490-1)*100),"NA",IF(((BS490/BK490-1)*100)&gt;100,"NM",IF(((BS490/BK490-1)*100)&lt;-50,"NM",(BS490/BK490-1)*100)))</f>
        <v>NM</v>
      </c>
      <c r="BU490" s="372">
        <f>ROUND(BU434/BU$485,2)</f>
        <v>0.03</v>
      </c>
      <c r="BV490" s="81" t="str">
        <f>IF(ISERROR((BU490/BM490-1)*100),"NA",IF(((BU490/BM490-1)*100)&gt;100,"NM",IF(((BU490/BM490-1)*100)&lt;-50,"NM",(BU490/BM490-1)*100)))</f>
        <v>NM</v>
      </c>
      <c r="BW490" s="372">
        <f>ROUND(BW434/BW$485,2)</f>
        <v>-0.06</v>
      </c>
      <c r="BX490" s="81" t="str">
        <f>IF(ISERROR((BW490/BO490-1)*100),"NA",IF(((BW490/BO490-1)*100)&gt;100,"NM",IF(((BW490/BO490-1)*100)&lt;-50,"NM",(BW490/BO490-1)*100)))</f>
        <v>NM</v>
      </c>
      <c r="BY490" s="372">
        <f>ROUND(BY434/BY$485,2)</f>
        <v>-0.03</v>
      </c>
      <c r="BZ490" s="81" t="str">
        <f>IF(ISERROR((BY490/BQ490-1)*100),"NA",IF(((BY490/BQ490-1)*100)&gt;100,"NM",IF(((BY490/BQ490-1)*100)&lt;-50,"NM",(BY490/BQ490-1)*100)))</f>
        <v>NM</v>
      </c>
      <c r="CA490" s="372">
        <f>ROUND(CA434/CA$485,2)</f>
        <v>-0.11</v>
      </c>
      <c r="CB490" s="81" t="str">
        <f>IF(ISERROR((CA490/BS490-1)*100),"NA",IF(((CA490/BS490-1)*100)&gt;100,"NM",IF(((CA490/BS490-1)*100)&lt;-50,"NM",(CA490/BS490-1)*100)))</f>
        <v>NM</v>
      </c>
      <c r="CC490" s="372">
        <f>ROUND(CC434/CC$485,2)</f>
        <v>-0.02</v>
      </c>
      <c r="CD490" s="81" t="str">
        <f>IF(ISERROR((CC490/BU490-1)*100),"NA",IF(((CC490/BU490-1)*100)&gt;100,"NM",IF(((CC490/BU490-1)*100)&lt;-50,"NM",(CC490/BU490-1)*100)))</f>
        <v>NM</v>
      </c>
      <c r="CE490" s="372">
        <f>ROUND(CE434/CE$485,2)</f>
        <v>0.06</v>
      </c>
      <c r="CF490" s="81" t="str">
        <f>IF(ISERROR((CE490/BW490-1)*100),"NA",IF(((CE490/BW490-1)*100)&gt;100,"NM",IF(((CE490/BW490-1)*100)&lt;-50,"NM",(CE490/BW490-1)*100)))</f>
        <v>NM</v>
      </c>
      <c r="CG490" s="372">
        <f>ROUND(CG434/CG$485,2)</f>
        <v>0.02</v>
      </c>
      <c r="CH490" s="81" t="str">
        <f>IF(ISERROR((CG490/BY490-1)*100),"NA",IF(((CG490/BY490-1)*100)&gt;100,"NM",IF(((CG490/BY490-1)*100)&lt;-50,"NM",(CG490/BY490-1)*100)))</f>
        <v>NM</v>
      </c>
      <c r="CI490" s="372">
        <f>ROUND(CI434/CI$485,2)</f>
        <v>-0.04</v>
      </c>
      <c r="CJ490" s="81" t="str">
        <f>IF(ISERROR((CI490/CA490-1)*100),"NA",IF(((CI490/CA490-1)*100)&gt;100,"NM",IF(((CI490/CA490-1)*100)&lt;-50,"NM",(CI490/CA490-1)*100)))</f>
        <v>NM</v>
      </c>
      <c r="CK490" s="372">
        <f>ROUND(CK434/CK$485,2)</f>
        <v>-0.11</v>
      </c>
      <c r="CL490" s="81" t="str">
        <f>IF(ISERROR((CK490/CC490-1)*100),"NA",IF(((CK490/CC490-1)*100)&gt;100,"NM",IF(((CK490/CC490-1)*100)&lt;-50,"NM",(CK490/CC490-1)*100)))</f>
        <v>NM</v>
      </c>
      <c r="CM490" s="372">
        <f>ROUND(CM434/CM$485,2)</f>
        <v>0</v>
      </c>
      <c r="CN490" s="81" t="str">
        <f>IF(ISERROR((CM490/CE490-1)*100),"NA",IF(((CM490/CE490-1)*100)&gt;100,"NM",IF(((CM490/CE490-1)*100)&lt;-50,"NM",(CM490/CE490-1)*100)))</f>
        <v>NM</v>
      </c>
      <c r="CO490" s="372">
        <f>ROUND(CO434/CO$485,2)</f>
        <v>0</v>
      </c>
      <c r="CP490" s="81" t="str">
        <f>IF(ISERROR((CO490/CG490-1)*100),"NA",IF(((CO490/CG490-1)*100)&gt;100,"NM",IF(((CO490/CG490-1)*100)&lt;-50,"NM",(CO490/CG490-1)*100)))</f>
        <v>NM</v>
      </c>
      <c r="CQ490" s="372">
        <f>ROUND(CQ434/CQ$485,2)</f>
        <v>-0.05</v>
      </c>
      <c r="CR490" s="81">
        <f>IF(ISERROR((CQ490/CI490-1)*100),"NA",IF(((CQ490/CI490-1)*100)&gt;100,"NM",IF(((CQ490/CI490-1)*100)&lt;-50,"NM",(CQ490/CI490-1)*100)))</f>
        <v>25</v>
      </c>
      <c r="CS490" s="372">
        <f>ROUND(CS434/CS$485,2)</f>
        <v>0.03</v>
      </c>
      <c r="CT490" s="81" t="str">
        <f>IF(ISERROR((CS490/CK490-1)*100),"NA",IF(((CS490/CK490-1)*100)&gt;100,"NM",IF(((CS490/CK490-1)*100)&lt;-50,"NM",(CS490/CK490-1)*100)))</f>
        <v>NM</v>
      </c>
      <c r="CU490" s="372">
        <f>ROUND(CU434/CU$485,2)</f>
        <v>0.03</v>
      </c>
      <c r="CV490" s="81" t="str">
        <f>IF(ISERROR((CU490/CM490-1)*100),"NA",IF(((CU490/CM490-1)*100)&gt;100,"NM",IF(((CU490/CM490-1)*100)&lt;-50,"NM",(CU490/CM490-1)*100)))</f>
        <v>NA</v>
      </c>
      <c r="CW490" s="372">
        <f>ROUND(CW434/CW$485,2)</f>
        <v>-0.01</v>
      </c>
      <c r="CX490" s="81" t="str">
        <f>IF(ISERROR((CW490/CO490-1)*100),"NA",IF(((CW490/CO490-1)*100)&gt;100,"NM",IF(((CW490/CO490-1)*100)&lt;-50,"NM",(CW490/CO490-1)*100)))</f>
        <v>NA</v>
      </c>
      <c r="CY490" s="372">
        <f>ROUND(CY434/CY$485,2)</f>
        <v>0</v>
      </c>
      <c r="CZ490" s="81" t="str">
        <f>IF(ISERROR((CY490/CQ490-1)*100),"NA",IF(((CY490/CQ490-1)*100)&gt;100,"NM",IF(((CY490/CQ490-1)*100)&lt;-50,"NM",(CY490/CQ490-1)*100)))</f>
        <v>NM</v>
      </c>
      <c r="DA490" s="372">
        <f>ROUND(DA434/DA$485,2)</f>
        <v>-7.0000000000000007E-2</v>
      </c>
      <c r="DB490" s="81" t="str">
        <f>IF(ISERROR((DA490/CS490-1)*100),"NA",IF(((DA490/CS490-1)*100)&gt;100,"NM",IF(((DA490/CS490-1)*100)&lt;-50,"NM",(DA490/CS490-1)*100)))</f>
        <v>NM</v>
      </c>
      <c r="DC490" s="372">
        <f>ROUND(DC434/DC$485,2)</f>
        <v>0.02</v>
      </c>
      <c r="DD490" s="81">
        <f>IF(ISERROR((DC490/CU490-1)*100),"NA",IF(((DC490/CU490-1)*100)&gt;100,"NM",IF(((DC490/CU490-1)*100)&lt;-50,"NM",(DC490/CU490-1)*100)))</f>
        <v>-33.333333333333329</v>
      </c>
      <c r="DE490" s="372">
        <f>ROUND(DE434/DE$485,2)</f>
        <v>0.01</v>
      </c>
      <c r="DF490" s="81" t="str">
        <f>IF(ISERROR((DE490/CW490-1)*100),"NA",IF(((DE490/CW490-1)*100)&gt;100,"NM",IF(((DE490/CW490-1)*100)&lt;-50,"NM",(DE490/CW490-1)*100)))</f>
        <v>NM</v>
      </c>
      <c r="DG490" s="372">
        <f>ROUND(DG434/DG$485,2)</f>
        <v>7.0000000000000007E-2</v>
      </c>
      <c r="DH490" s="81" t="str">
        <f>IF(ISERROR((DG490/CY490-1)*100),"NA",IF(((DG490/CY490-1)*100)&gt;100,"NM",IF(((DG490/CY490-1)*100)&lt;-50,"NM",(DG490/CY490-1)*100)))</f>
        <v>NA</v>
      </c>
      <c r="DI490" s="372">
        <f>ROUND(DI434/DI$485,2)</f>
        <v>0</v>
      </c>
      <c r="DJ490" s="81" t="str">
        <f>IF(ISERROR((DI490/DA490-1)*100),"NA",IF(((DI490/DA490-1)*100)&gt;100,"NM",IF(((DI490/DA490-1)*100)&lt;-50,"NM",(DI490/DA490-1)*100)))</f>
        <v>NM</v>
      </c>
      <c r="DK490" s="372">
        <f>ROUND(DK434/DK$485,2)</f>
        <v>-0.21</v>
      </c>
      <c r="DL490" s="81" t="str">
        <f>IF(ISERROR((DK490/DC490-1)*100),"NA",IF(((DK490/DC490-1)*100)&gt;100,"NM",IF(((DK490/DC490-1)*100)&lt;-50,"NM",(DK490/DC490-1)*100)))</f>
        <v>NM</v>
      </c>
      <c r="DM490" s="372">
        <f>ROUND(DM434/DM$485,2)</f>
        <v>-0.04</v>
      </c>
      <c r="DN490" s="81" t="str">
        <f>IF(ISERROR((DM490/DE490-1)*100),"NA",IF(((DM490/DE490-1)*100)&gt;100,"NM",IF(((DM490/DE490-1)*100)&lt;-50,"NM",(DM490/DE490-1)*100)))</f>
        <v>NM</v>
      </c>
      <c r="DO490" s="372">
        <f>ROUND(DO434/DO$485,2)</f>
        <v>0.01</v>
      </c>
      <c r="DP490" s="81" t="str">
        <f>IF(ISERROR((DO490/DG490-1)*100),"NA",IF(((DO490/DG490-1)*100)&gt;100,"NM",IF(((DO490/DG490-1)*100)&lt;-50,"NM",(DO490/DG490-1)*100)))</f>
        <v>NM</v>
      </c>
      <c r="DQ490" s="372">
        <f>ROUND(DQ434/DQ$485,2)</f>
        <v>-7.0000000000000007E-2</v>
      </c>
      <c r="DR490" s="81" t="str">
        <f>IF(ISERROR((DQ490/DI490-1)*100),"NA",IF(((DQ490/DI490-1)*100)&gt;100,"NM",IF(((DQ490/DI490-1)*100)&lt;-50,"NM",(DQ490/DI490-1)*100)))</f>
        <v>NA</v>
      </c>
      <c r="DS490" s="372">
        <f>ROUND(DS434/DS$485,2)</f>
        <v>-0.01</v>
      </c>
      <c r="DT490" s="81" t="str">
        <f>IF(ISERROR((DS490/DK490-1)*100),"NA",IF(((DS490/DK490-1)*100)&gt;100,"NM",IF(((DS490/DK490-1)*100)&lt;-50,"NM",(DS490/DK490-1)*100)))</f>
        <v>NM</v>
      </c>
      <c r="DU490" s="372">
        <f>ROUND(DU434/DU$485,2)</f>
        <v>-0.06</v>
      </c>
      <c r="DV490" s="81">
        <f>IF(ISERROR((DU490/DM490-1)*100),"NA",IF(((DU490/DM490-1)*100)&gt;100,"NM",IF(((DU490/DM490-1)*100)&lt;-50,"NM",(DU490/DM490-1)*100)))</f>
        <v>50</v>
      </c>
      <c r="DW490" s="372">
        <f>ROUND(DW434/DW$485,2)</f>
        <v>0.02</v>
      </c>
      <c r="DX490" s="81">
        <f>IF(ISERROR((DW490/DO490-1)*100),"NA",IF(((DW490/DO490-1)*100)&gt;100,"NM",IF(((DW490/DO490-1)*100)&lt;-50,"NM",(DW490/DO490-1)*100)))</f>
        <v>100</v>
      </c>
      <c r="DY490" s="372">
        <f>ROUND(DY434/DY$485,2)</f>
        <v>0.03</v>
      </c>
      <c r="DZ490" s="81" t="str">
        <f>IF(ISERROR((DY490/DQ490-1)*100),"NA",IF(((DY490/DQ490-1)*100)&gt;100,"NM",IF(((DY490/DQ490-1)*100)&lt;-50,"NM",(DY490/DQ490-1)*100)))</f>
        <v>NM</v>
      </c>
      <c r="EA490" s="372">
        <f>ROUND(EA434/EA$485,2)</f>
        <v>0.08</v>
      </c>
      <c r="EB490" s="81" t="str">
        <f>IF(ISERROR((EA490/DS490-1)*100),"NA",IF(((EA490/DS490-1)*100)&gt;100,"NM",IF(((EA490/DS490-1)*100)&lt;-50,"NM",(EA490/DS490-1)*100)))</f>
        <v>NM</v>
      </c>
      <c r="EC490" s="372">
        <f>ROUND(EC434/EC$485,2)</f>
        <v>0.03</v>
      </c>
      <c r="ED490" s="81" t="str">
        <f t="shared" si="1784"/>
        <v>NM</v>
      </c>
      <c r="EE490" s="372">
        <f>ROUND(EE434/EE$485,2)</f>
        <v>0.02</v>
      </c>
      <c r="EF490" s="81">
        <f t="shared" si="1785"/>
        <v>0</v>
      </c>
      <c r="EG490" s="372">
        <f>ROUND(EG434/EG$485,2)</f>
        <v>0.03</v>
      </c>
      <c r="EH490" s="81">
        <f t="shared" si="1786"/>
        <v>0</v>
      </c>
      <c r="EI490" s="372">
        <f>ROUND(EI434/EI$485,2)</f>
        <v>0.03</v>
      </c>
      <c r="EJ490" s="81" t="str">
        <f t="shared" si="1787"/>
        <v>NM</v>
      </c>
      <c r="EK490" s="372">
        <f t="shared" ref="EK490:EQ490" si="1794">ROUND(EK434/EK$485,2)</f>
        <v>-0.03</v>
      </c>
      <c r="EL490" s="81" t="str">
        <f t="shared" si="1789"/>
        <v>NM</v>
      </c>
      <c r="EM490" s="372">
        <f t="shared" si="1794"/>
        <v>-0.03</v>
      </c>
      <c r="EN490" s="81" t="str">
        <f t="shared" si="1790"/>
        <v>NM</v>
      </c>
      <c r="EO490" s="372">
        <f t="shared" si="1794"/>
        <v>-0.03</v>
      </c>
      <c r="EP490" s="81" t="str">
        <f t="shared" si="1791"/>
        <v>NM</v>
      </c>
      <c r="EQ490" s="372">
        <f t="shared" si="1794"/>
        <v>-0.03</v>
      </c>
      <c r="ER490" s="81" t="str">
        <f t="shared" si="1792"/>
        <v>NM</v>
      </c>
      <c r="ES490" s="82"/>
      <c r="ET490" s="469"/>
      <c r="EU490" s="82"/>
      <c r="EV490" s="372"/>
      <c r="EW490" s="79"/>
      <c r="EX490" s="372"/>
      <c r="EY490" s="79"/>
      <c r="EZ490" s="372"/>
      <c r="FA490" s="79"/>
      <c r="FB490" s="372">
        <f>ROUND(FB434/FB$485,2)</f>
        <v>-0.9</v>
      </c>
      <c r="FC490" s="79" t="str">
        <f>IF(ISERROR((FB490/EZ490-1)*100),"NA",IF(((FB490/EZ490-1)*100)&gt;100,"NM",IF(((FB490/EZ490-1)*100)&lt;-50,"NM",(FB490/EZ490-1)*100)))</f>
        <v>NA</v>
      </c>
      <c r="FD490" s="372">
        <f>ROUND(FD434/FD$485,2)</f>
        <v>-0.83</v>
      </c>
      <c r="FE490" s="79">
        <f>IF(ISERROR((FD490/FB490-1)*100),"NA",IF(((FD490/FB490-1)*100)&gt;100,"NM",IF(((FD490/FB490-1)*100)&lt;-50,"NM",(FD490/FB490-1)*100)))</f>
        <v>-7.7777777777777839</v>
      </c>
      <c r="FF490" s="372">
        <f>ROUND(FF434/FF$485,2)</f>
        <v>-0.41</v>
      </c>
      <c r="FG490" s="79" t="str">
        <f>IF(ISERROR((FF490/FD490-1)*100),"NA",IF(((FF490/FD490-1)*100)&gt;100,"NM",IF(((FF490/FD490-1)*100)&lt;-50,"NM",(FF490/FD490-1)*100)))</f>
        <v>NM</v>
      </c>
      <c r="FH490" s="372">
        <f>ROUND(FH434/FH$485,2)</f>
        <v>0.06</v>
      </c>
      <c r="FI490" s="79" t="str">
        <f>IF(ISERROR((FH490/FF490-1)*100),"NA",IF(((FH490/FF490-1)*100)&gt;100,"NM",IF(((FH490/FF490-1)*100)&lt;-50,"NM",(FH490/FF490-1)*100)))</f>
        <v>NM</v>
      </c>
      <c r="FJ490" s="372">
        <f>ROUND(FJ434/FJ$485,2)</f>
        <v>-0.12</v>
      </c>
      <c r="FK490" s="79" t="str">
        <f>IF(ISERROR((FJ490/FH490-1)*100),"NA",IF(((FJ490/FH490-1)*100)&gt;100,"NM",IF(((FJ490/FH490-1)*100)&lt;-50,"NM",(FJ490/FH490-1)*100)))</f>
        <v>NM</v>
      </c>
      <c r="FL490" s="372">
        <f>ROUND(FL434/FL$485,2)</f>
        <v>0</v>
      </c>
      <c r="FM490" s="79" t="str">
        <f>IF(ISERROR((FL490/FJ490-1)*100),"NA",IF(((FL490/FJ490-1)*100)&gt;100,"NM",IF(((FL490/FJ490-1)*100)&lt;-50,"NM",(FL490/FJ490-1)*100)))</f>
        <v>NM</v>
      </c>
      <c r="FN490" s="372">
        <f>ROUND(FN434/FN$485,2)</f>
        <v>-0.12</v>
      </c>
      <c r="FO490" s="79" t="str">
        <f>IF(ISERROR((FN490/FL490-1)*100),"NA",IF(((FN490/FL490-1)*100)&gt;100,"NM",IF(((FN490/FL490-1)*100)&lt;-50,"NM",(FN490/FL490-1)*100)))</f>
        <v>NA</v>
      </c>
      <c r="FP490" s="372">
        <f>ROUND(FP434/FP$485,2)</f>
        <v>-0.89</v>
      </c>
      <c r="FQ490" s="79" t="str">
        <f>IF(ISERROR((FP490/FN490-1)*100),"NA",IF(((FP490/FN490-1)*100)&gt;100,"NM",IF(((FP490/FN490-1)*100)&lt;-50,"NM",(FP490/FN490-1)*100)))</f>
        <v>NM</v>
      </c>
      <c r="FR490" s="372">
        <f>ROUND(FR434/FR$485,2)</f>
        <v>-0.1</v>
      </c>
      <c r="FS490" s="79" t="str">
        <f>IF(ISERROR((FR490/FP490-1)*100),"NA",IF(((FR490/FP490-1)*100)&gt;100,"NM",IF(((FR490/FP490-1)*100)&lt;-50,"NM",(FR490/FP490-1)*100)))</f>
        <v>NM</v>
      </c>
      <c r="FT490" s="372">
        <f>ROUND(FT434/FT$485,2)</f>
        <v>-0.11</v>
      </c>
      <c r="FU490" s="79">
        <f>IF(ISERROR((FT490/FR490-1)*100),"NA",IF(((FT490/FR490-1)*100)&gt;100,"NM",IF(((FT490/FR490-1)*100)&lt;-50,"NM",(FT490/FR490-1)*100)))</f>
        <v>9.9999999999999858</v>
      </c>
      <c r="FV490" s="372">
        <f>ROUND(FV434/FV$485,2)</f>
        <v>-0.12</v>
      </c>
      <c r="FW490" s="79">
        <f>IF(ISERROR((FV490/FT490-1)*100),"NA",IF(((FV490/FT490-1)*100)&gt;100,"NM",IF(((FV490/FT490-1)*100)&lt;-50,"NM",(FV490/FT490-1)*100)))</f>
        <v>9.0909090909090828</v>
      </c>
      <c r="FX490" s="372">
        <f>ROUND(FX434/FX$485,2)</f>
        <v>0.13</v>
      </c>
      <c r="FY490" s="79" t="str">
        <f>IF(ISERROR((FX490/FV490-1)*100),"NA",IF(((FX490/FV490-1)*100)&gt;100,"NM",IF(((FX490/FV490-1)*100)&lt;-50,"NM",(FX490/FV490-1)*100)))</f>
        <v>NM</v>
      </c>
      <c r="FZ490" s="372">
        <f>ROUND(FZ434/FZ$485,2)</f>
        <v>-7.0000000000000007E-2</v>
      </c>
      <c r="GA490" s="79" t="str">
        <f>IF(ISERROR((FZ490/FX490-1)*100),"NA",IF(((FZ490/FX490-1)*100)&gt;100,"NM",IF(((FZ490/FX490-1)*100)&lt;-50,"NM",(FZ490/FX490-1)*100)))</f>
        <v>NM</v>
      </c>
      <c r="GB490" s="372">
        <f>ROUND(GB434/GB$485,2)</f>
        <v>-0.12</v>
      </c>
      <c r="GC490" s="79">
        <f>IF(ISERROR((GB490/FZ490-1)*100),"NA",IF(((GB490/FZ490-1)*100)&gt;100,"NM",IF(((GB490/FZ490-1)*100)&lt;-50,"NM",(GB490/FZ490-1)*100)))</f>
        <v>71.428571428571402</v>
      </c>
      <c r="GD490" s="372">
        <f>ROUND(GD434/GD$485,2)</f>
        <v>-0.11</v>
      </c>
      <c r="GE490" s="79">
        <f>IF(ISERROR((GD490/GB490-1)*100),"NA",IF(((GD490/GB490-1)*100)&gt;100,"NM",IF(((GD490/GB490-1)*100)&lt;-50,"NM",(GD490/GB490-1)*100)))</f>
        <v>-8.333333333333325</v>
      </c>
      <c r="GF490" s="372">
        <f>ROUND(GF434/GF$485,2)</f>
        <v>7.0000000000000007E-2</v>
      </c>
      <c r="GG490" s="79" t="str">
        <f>IF(ISERROR((GF490/GD490-1)*100),"NA",IF(((GF490/GD490-1)*100)&gt;100,"NM",IF(((GF490/GD490-1)*100)&lt;-50,"NM",(GF490/GD490-1)*100)))</f>
        <v>NM</v>
      </c>
      <c r="GH490" s="372">
        <f>ROUND(GH434/GH$485,2)</f>
        <v>0.11</v>
      </c>
      <c r="GI490" s="79">
        <f>IF(ISERROR((GH490/GF490-1)*100),"NA",IF(((GH490/GF490-1)*100)&gt;100,"NM",IF(((GH490/GF490-1)*100)&lt;-50,"NM",(GH490/GF490-1)*100)))</f>
        <v>57.142857142857139</v>
      </c>
      <c r="GJ490" s="372">
        <f>ROUND(GJ434/GJ$485,2)</f>
        <v>-0.13</v>
      </c>
      <c r="GK490" s="79" t="str">
        <f>IF(ISERROR((GJ490/GH490-1)*100),"NA",IF(((GJ490/GH490-1)*100)&gt;100,"NM",IF(((GJ490/GH490-1)*100)&lt;-50,"NM",(GJ490/GH490-1)*100)))</f>
        <v>NM</v>
      </c>
      <c r="GL490" s="372">
        <f>ROUND(GL434/GL$485,2)</f>
        <v>-0.13</v>
      </c>
      <c r="GM490" s="79">
        <f>IF(ISERROR((GL490/GJ490-1)*100),"NA",IF(((GL490/GJ490-1)*100)&gt;100,"NM",IF(((GL490/GJ490-1)*100)&lt;-50,"NM",(GL490/GJ490-1)*100)))</f>
        <v>0</v>
      </c>
      <c r="GN490" s="372">
        <f>ROUND(GN434/GN$485,2)</f>
        <v>-0.14000000000000001</v>
      </c>
      <c r="GO490" s="79">
        <f>IF(ISERROR((GN490/GL490-1)*100),"NA",IF(((GN490/GL490-1)*100)&gt;100,"NM",IF(((GN490/GL490-1)*100)&lt;-50,"NM",(GN490/GL490-1)*100)))</f>
        <v>7.6923076923077094</v>
      </c>
      <c r="GP490" s="372">
        <f>ROUND(GP434/GP$485,2)</f>
        <v>-0.15</v>
      </c>
      <c r="GQ490" s="79">
        <f>IF(ISERROR((GP490/GN490-1)*100),"NA",IF(((GP490/GN490-1)*100)&gt;100,"NM",IF(((GP490/GN490-1)*100)&lt;-50,"NM",(GP490/GN490-1)*100)))</f>
        <v>7.1428571428571397</v>
      </c>
      <c r="GR490" s="372">
        <f>ROUND(GR434/GR$485,2)</f>
        <v>-0.16</v>
      </c>
      <c r="GS490" s="79">
        <f>IF(ISERROR((GR490/GP490-1)*100),"NA",IF(((GR490/GP490-1)*100)&gt;100,"NM",IF(((GR490/GP490-1)*100)&lt;-50,"NM",(GR490/GP490-1)*100)))</f>
        <v>6.6666666666666652</v>
      </c>
      <c r="GT490" s="79" t="str">
        <f>IF(ISERROR(((GR490/GH490)^0.2-1)*100),"NA",(IF(OR(((GR490/GH490)^0.2-1)*100&gt;99,((GR490/GH490)^0.2-1)*100&lt;-50),"NM",(((GR490/GH490)^0.2-1)*100))))</f>
        <v>NM</v>
      </c>
      <c r="GU490" s="562"/>
      <c r="GV490" s="562"/>
      <c r="GW490"/>
      <c r="GX490"/>
      <c r="GY490"/>
      <c r="GZ490"/>
      <c r="HA490"/>
      <c r="HB490"/>
      <c r="HC490" s="562"/>
      <c r="HD490" s="562"/>
      <c r="HE490" s="562"/>
      <c r="HF490" s="562"/>
      <c r="HG490" s="562"/>
      <c r="HH490" s="562"/>
      <c r="HI490" s="562"/>
      <c r="HJ490" s="562"/>
      <c r="HK490" s="562"/>
      <c r="HL490" s="562"/>
      <c r="HM490" s="562"/>
      <c r="HN490" s="562"/>
      <c r="HO490" s="562"/>
      <c r="HP490" s="562"/>
      <c r="HQ490" s="562"/>
      <c r="HR490" s="562"/>
      <c r="HS490" s="562"/>
      <c r="HT490" s="562"/>
      <c r="HU490" s="562"/>
      <c r="HV490" s="562"/>
      <c r="HW490" s="562"/>
      <c r="HX490" s="562"/>
      <c r="HY490" s="562"/>
      <c r="HZ490" s="562"/>
      <c r="IA490" s="562"/>
      <c r="IB490" s="562"/>
      <c r="IC490" s="562"/>
      <c r="ID490" s="562"/>
      <c r="IE490" s="562"/>
      <c r="IF490" s="562"/>
      <c r="IG490" s="562"/>
      <c r="IH490" s="562"/>
      <c r="II490" s="562"/>
      <c r="IJ490" s="562"/>
      <c r="IK490" s="562"/>
      <c r="IL490" s="562"/>
      <c r="IM490" s="562"/>
      <c r="IN490" s="562"/>
      <c r="IO490" s="562"/>
      <c r="IP490" s="562"/>
      <c r="IQ490" s="562"/>
      <c r="IR490" s="562"/>
      <c r="IS490" s="562"/>
      <c r="IT490" s="562"/>
      <c r="IU490" s="562"/>
      <c r="IV490" s="562"/>
      <c r="IW490" s="562"/>
      <c r="IX490" s="562"/>
      <c r="IY490" s="562"/>
      <c r="IZ490" s="562"/>
      <c r="JA490" s="562"/>
      <c r="JB490" s="562"/>
      <c r="JC490" s="562"/>
      <c r="JD490" s="562"/>
      <c r="JE490" s="562"/>
      <c r="JF490" s="562"/>
      <c r="JG490" s="562"/>
      <c r="JH490" s="562"/>
      <c r="JI490" s="562"/>
      <c r="JJ490" s="562"/>
      <c r="JK490" s="562"/>
      <c r="JL490" s="562"/>
      <c r="JM490" s="562"/>
      <c r="JN490" s="562"/>
      <c r="JO490" s="562"/>
      <c r="JP490" s="562"/>
      <c r="JQ490" s="562"/>
      <c r="JR490" s="562"/>
      <c r="JS490" s="562"/>
      <c r="JT490" s="562"/>
      <c r="JU490" s="562"/>
      <c r="JV490" s="562"/>
      <c r="JW490" s="562"/>
      <c r="JX490" s="562"/>
      <c r="JY490" s="562"/>
      <c r="JZ490" s="562"/>
    </row>
    <row r="491" spans="1:286" s="83" customFormat="1" ht="12.75" customHeight="1" collapsed="1" x14ac:dyDescent="0.2">
      <c r="A491" s="1" t="s">
        <v>229</v>
      </c>
      <c r="B491" s="68" t="s">
        <v>206</v>
      </c>
      <c r="C491" s="79"/>
      <c r="D491" s="79"/>
      <c r="E491" s="363">
        <f>+E438/E485</f>
        <v>0.73478255259610104</v>
      </c>
      <c r="F491" s="363"/>
      <c r="G491" s="363">
        <f>+G438/G485</f>
        <v>0.58645379036129397</v>
      </c>
      <c r="H491" s="363"/>
      <c r="I491" s="363">
        <f>+I438/I485</f>
        <v>0.4011729377858958</v>
      </c>
      <c r="J491" s="363"/>
      <c r="K491" s="363">
        <f>+K438/K485</f>
        <v>0.32242078222008996</v>
      </c>
      <c r="L491" s="79"/>
      <c r="M491" s="363">
        <f>+M438/M485</f>
        <v>0.36006945432547444</v>
      </c>
      <c r="N491" s="79" t="str">
        <f>IF(ISERROR((M491/E491-1)*100),"NA",IF(((M491/E491-1)*100)&gt;100,"NM",IF(((M491/E491-1)*100)&lt;-50,"NM",(M491/E491-1)*100)))</f>
        <v>NM</v>
      </c>
      <c r="O491" s="363">
        <f>+O438/O485</f>
        <v>0.40078282032667428</v>
      </c>
      <c r="P491" s="79">
        <f>IF(ISERROR((O491/G491-1)*100),"NA",IF(((O491/G491-1)*100)&gt;100,"NM",IF(((O491/G491-1)*100)&lt;-50,"NM",(O491/G491-1)*100)))</f>
        <v>-31.659948846137421</v>
      </c>
      <c r="Q491" s="363">
        <f>+Q438/Q485</f>
        <v>0.46806009118900233</v>
      </c>
      <c r="R491" s="79">
        <f>IF(ISERROR((Q491/I491-1)*100),"NA",IF(((Q491/I491-1)*100)&gt;100,"NM",IF(((Q491/I491-1)*100)&lt;-50,"NM",(Q491/I491-1)*100)))</f>
        <v>16.672897671578202</v>
      </c>
      <c r="S491" s="363">
        <f>+S438/S485</f>
        <v>0.42208878847470943</v>
      </c>
      <c r="T491" s="79">
        <f>IF(ISERROR((S491/K491-1)*100),"NA",IF(((S491/K491-1)*100)&gt;100,"NM",IF(((S491/K491-1)*100)&lt;-50,"NM",(S491/K491-1)*100)))</f>
        <v>30.912401355873008</v>
      </c>
      <c r="U491" s="363">
        <f>+U438/U485</f>
        <v>-1.0197857515394102</v>
      </c>
      <c r="V491" s="79" t="str">
        <f>IF(ISERROR((U491/M491-1)*100),"NA",IF(((U491/M491-1)*100)&gt;100,"NM",IF(((U491/M491-1)*100)&lt;-50,"NM",(U491/M491-1)*100)))</f>
        <v>NM</v>
      </c>
      <c r="W491" s="363">
        <f>+W438/W485</f>
        <v>0.35978630417584084</v>
      </c>
      <c r="X491" s="79">
        <f>IF(ISERROR((W491/O491-1)*100),"NA",IF(((W491/O491-1)*100)&gt;100,"NM",IF(((W491/O491-1)*100)&lt;-50,"NM",(W491/O491-1)*100)))</f>
        <v>-10.229110149336629</v>
      </c>
      <c r="Y491" s="363">
        <f>+Y438/Y485</f>
        <v>0.36390133810505948</v>
      </c>
      <c r="Z491" s="79">
        <f>IF(ISERROR((Y491/Q491-1)*100),"NA",IF(((Y491/Q491-1)*100)&gt;100,"NM",IF(((Y491/Q491-1)*100)&lt;-50,"NM",(Y491/Q491-1)*100)))</f>
        <v>-22.253286499891654</v>
      </c>
      <c r="AA491" s="368">
        <f>+AA438/AA485</f>
        <v>-1.1776581067146763</v>
      </c>
      <c r="AB491" s="79" t="str">
        <f>IF(ISERROR((AA491/S491-1)*100),"NA",IF(((AA491/S491-1)*100)&gt;100,"NM",IF(((AA491/S491-1)*100)&lt;-50,"NM",(AA491/S491-1)*100)))</f>
        <v>NM</v>
      </c>
      <c r="AC491" s="363">
        <f>+AC438/AC485</f>
        <v>-1.9058287956703417</v>
      </c>
      <c r="AD491" s="79">
        <f>IF(ISERROR((AC491/U491-1)*100),"NA",IF(((AC491/U491-1)*100)&gt;100,"NM",IF(((AC491/U491-1)*100)&lt;-50,"NM",(AC491/U491-1)*100)))</f>
        <v>86.885215134003559</v>
      </c>
      <c r="AE491" s="363">
        <f>+AE438/AE485</f>
        <v>2.3882323512847435E-2</v>
      </c>
      <c r="AF491" s="79" t="str">
        <f>IF(ISERROR((AE491/W491-1)*100),"NA",IF(((AE491/W491-1)*100)&gt;100,"NM",IF(((AE491/W491-1)*100)&lt;-50,"NM",(AE491/W491-1)*100)))</f>
        <v>NM</v>
      </c>
      <c r="AG491" s="363">
        <f>+AG438/AG485</f>
        <v>0.55406510881241944</v>
      </c>
      <c r="AH491" s="79">
        <f>IF(ISERROR((AG491/Y491-1)*100),"NA",IF(((AG491/Y491-1)*100)&gt;100,"NM",IF(((AG491/Y491-1)*100)&lt;-50,"NM",(AG491/Y491-1)*100)))</f>
        <v>52.256958355140505</v>
      </c>
      <c r="AI491" s="363">
        <f>+AI438/AI485</f>
        <v>0.44291442642163298</v>
      </c>
      <c r="AJ491" s="79" t="str">
        <f>IF(ISERROR((AI491/AA491-1)*100),"NA",IF(((AI491/AA491-1)*100)&gt;100,"NM",IF(((AI491/AA491-1)*100)&lt;-50,"NM",(AI491/AA491-1)*100)))</f>
        <v>NM</v>
      </c>
      <c r="AK491" s="363">
        <f>+AK438/AK485</f>
        <v>0.49478098386464103</v>
      </c>
      <c r="AL491" s="79" t="str">
        <f>IF(ISERROR((AK491/AC491-1)*100),"NA",IF(((AK491/AC491-1)*100)&gt;100,"NM",IF(((AK491/AC491-1)*100)&lt;-50,"NM",(AK491/AC491-1)*100)))</f>
        <v>NM</v>
      </c>
      <c r="AM491" s="363">
        <f>+AM438/AM485</f>
        <v>0.55417470904760102</v>
      </c>
      <c r="AN491" s="79" t="str">
        <f>IF(ISERROR((AM491/AE491-1)*100),"NA",IF(((AM491/AE491-1)*100)&gt;100,"NM",IF(((AM491/AE491-1)*100)&lt;-50,"NM",(AM491/AE491-1)*100)))</f>
        <v>NM</v>
      </c>
      <c r="AO491" s="363">
        <f>+AO438/AO485</f>
        <v>0.17479843388739288</v>
      </c>
      <c r="AP491" s="79" t="str">
        <f>IF(ISERROR((AO491/AG491-1)*100),"NA",IF(((AO491/AG491-1)*100)&gt;100,"NM",IF(((AO491/AG491-1)*100)&lt;-50,"NM",(AO491/AG491-1)*100)))</f>
        <v>NM</v>
      </c>
      <c r="AQ491" s="363">
        <f>+AQ438/AQ485</f>
        <v>0.4314653705877875</v>
      </c>
      <c r="AR491" s="79">
        <f>IF(ISERROR((AQ491/AI491-1)*100),"NA",IF(((AQ491/AI491-1)*100)&gt;100,"NM",IF(((AQ491/AI491-1)*100)&lt;-50,"NM",(AQ491/AI491-1)*100)))</f>
        <v>-2.5849363106873691</v>
      </c>
      <c r="AS491" s="363">
        <f>+AS438/AS485</f>
        <v>0.23557985884561636</v>
      </c>
      <c r="AT491" s="81" t="str">
        <f>IF(ISERROR((AS491/AK491-1)*100),"NA",IF(((AS491/AK491-1)*100)&gt;100,"NM",IF(((AS491/AK491-1)*100)&lt;-50,"NM",(AS491/AK491-1)*100)))</f>
        <v>NM</v>
      </c>
      <c r="AU491" s="363">
        <f>+AU438/AU485</f>
        <v>0.37950321792054365</v>
      </c>
      <c r="AV491" s="81">
        <f>IF(ISERROR((AU491/AM491-1)*100),"NA",IF(((AU491/AM491-1)*100)&gt;100,"NM",IF(((AU491/AM491-1)*100)&lt;-50,"NM",(AU491/AM491-1)*100)))</f>
        <v>-31.519210147147636</v>
      </c>
      <c r="AW491" s="363">
        <f>+AW438/AW485</f>
        <v>-0.18695282638702057</v>
      </c>
      <c r="AX491" s="81" t="str">
        <f>IF(ISERROR((AW491/AO491-1)*100),"NA",IF(((AW491/AO491-1)*100)&gt;100,"NM",IF(((AW491/AO491-1)*100)&lt;-50,"NM",(AW491/AO491-1)*100)))</f>
        <v>NM</v>
      </c>
      <c r="AY491" s="363">
        <f>+AY438/AY485</f>
        <v>0.79906729369379803</v>
      </c>
      <c r="AZ491" s="81">
        <f>IF(ISERROR((AY491/AQ491-1)*100),"NA",IF(((AY491/AQ491-1)*100)&gt;100,"NM",IF(((AY491/AQ491-1)*100)&lt;-50,"NM",(AY491/AQ491-1)*100)))</f>
        <v>85.198476671540192</v>
      </c>
      <c r="BA491" s="363">
        <f>+BA438/BA485</f>
        <v>0.51475219896986091</v>
      </c>
      <c r="BB491" s="81" t="str">
        <f>IF(ISERROR((BA491/AS491-1)*100),"NA",IF(((BA491/AS491-1)*100)&gt;100,"NM",IF(((BA491/AS491-1)*100)&lt;-50,"NM",(BA491/AS491-1)*100)))</f>
        <v>NM</v>
      </c>
      <c r="BC491" s="363">
        <f>+BC438/BC485</f>
        <v>0.52982021199290319</v>
      </c>
      <c r="BD491" s="81">
        <f>IF(ISERROR((BC491/AU491-1)*100),"NA",IF(((BC491/AU491-1)*100)&gt;100,"NM",IF(((BC491/AU491-1)*100)&lt;-50,"NM",(BC491/AU491-1)*100)))</f>
        <v>39.608885241081481</v>
      </c>
      <c r="BE491" s="363">
        <f>+BE438/BE485</f>
        <v>0.51786294382856146</v>
      </c>
      <c r="BF491" s="81" t="str">
        <f>IF(ISERROR((BE491/AW491-1)*100),"NA",IF(((BE491/AW491-1)*100)&gt;100,"NM",IF(((BE491/AW491-1)*100)&lt;-50,"NM",(BE491/AW491-1)*100)))</f>
        <v>NM</v>
      </c>
      <c r="BG491" s="363">
        <f>+BG438/BG485</f>
        <v>0.44495872123487779</v>
      </c>
      <c r="BH491" s="81">
        <f>IF(ISERROR((BG491/AY491-1)*100),"NA",IF(((BG491/AY491-1)*100)&gt;100,"NM",IF(((BG491/AY491-1)*100)&lt;-50,"NM",(BG491/AY491-1)*100)))</f>
        <v>-44.315237934718219</v>
      </c>
      <c r="BI491" s="363">
        <f>+BI438/BI485</f>
        <v>0.46405650351986849</v>
      </c>
      <c r="BJ491" s="81">
        <f>IF(ISERROR((BI491/BA491-1)*100),"NA",IF(((BI491/BA491-1)*100)&gt;100,"NM",IF(((BI491/BA491-1)*100)&lt;-50,"NM",(BI491/BA491-1)*100)))</f>
        <v>-9.8485631632941661</v>
      </c>
      <c r="BK491" s="363">
        <f>+BK438/BK485</f>
        <v>0.69443758098520603</v>
      </c>
      <c r="BL491" s="81">
        <f>IF(ISERROR((BK491/BC491-1)*100),"NA",IF(((BK491/BC491-1)*100)&gt;100,"NM",IF(((BK491/BC491-1)*100)&lt;-50,"NM",(BK491/BC491-1)*100)))</f>
        <v>31.070420732553682</v>
      </c>
      <c r="BM491" s="363">
        <f>+BM438/BM485</f>
        <v>0.31960911095487704</v>
      </c>
      <c r="BN491" s="81">
        <f>IF(ISERROR((BM491/BE491-1)*100),"NA",IF(((BM491/BE491-1)*100)&gt;100,"NM",IF(((BM491/BE491-1)*100)&lt;-50,"NM",(BM491/BE491-1)*100)))</f>
        <v>-38.283069919618804</v>
      </c>
      <c r="BO491" s="363">
        <f>+BO438/BO485</f>
        <v>0.12629105754382308</v>
      </c>
      <c r="BP491" s="81" t="str">
        <f>IF(ISERROR((BO491/BG491-1)*100),"NA",IF(((BO491/BG491-1)*100)&gt;100,"NM",IF(((BO491/BG491-1)*100)&lt;-50,"NM",(BO491/BG491-1)*100)))</f>
        <v>NM</v>
      </c>
      <c r="BQ491" s="363">
        <f>+BQ438/BQ485</f>
        <v>0.49824072679888548</v>
      </c>
      <c r="BR491" s="81">
        <f>IF(ISERROR((BQ491/BI491-1)*100),"NA",IF(((BQ491/BI491-1)*100)&gt;100,"NM",IF(((BQ491/BI491-1)*100)&lt;-50,"NM",(BQ491/BI491-1)*100)))</f>
        <v>7.3663924586186535</v>
      </c>
      <c r="BS491" s="363">
        <f>+BS438/BS485</f>
        <v>0.80492783326426076</v>
      </c>
      <c r="BT491" s="81">
        <f>IF(ISERROR((BS491/BK491-1)*100),"NA",IF(((BS491/BK491-1)*100)&gt;100,"NM",IF(((BS491/BK491-1)*100)&lt;-50,"NM",(BS491/BK491-1)*100)))</f>
        <v>15.910753580228331</v>
      </c>
      <c r="BU491" s="363">
        <f>+BU438/BU485</f>
        <v>0.6647182135327917</v>
      </c>
      <c r="BV491" s="81" t="str">
        <f>IF(ISERROR((BU491/BM491-1)*100),"NA",IF(((BU491/BM491-1)*100)&gt;100,"NM",IF(((BU491/BM491-1)*100)&lt;-50,"NM",(BU491/BM491-1)*100)))</f>
        <v>NM</v>
      </c>
      <c r="BW491" s="363">
        <f>+BW438/BW485</f>
        <v>0.59880153206705267</v>
      </c>
      <c r="BX491" s="81" t="str">
        <f>IF(ISERROR((BW491/BO491-1)*100),"NA",IF(((BW491/BO491-1)*100)&gt;100,"NM",IF(((BW491/BO491-1)*100)&lt;-50,"NM",(BW491/BO491-1)*100)))</f>
        <v>NM</v>
      </c>
      <c r="BY491" s="363">
        <f>+BY438/BY485</f>
        <v>0.67940993445079345</v>
      </c>
      <c r="BZ491" s="81">
        <f>IF(ISERROR((BY491/BQ491-1)*100),"NA",IF(((BY491/BQ491-1)*100)&gt;100,"NM",IF(((BY491/BQ491-1)*100)&lt;-50,"NM",(BY491/BQ491-1)*100)))</f>
        <v>36.361782148137564</v>
      </c>
      <c r="CA491" s="363">
        <f>+CA438/CA485</f>
        <v>0.62537999790979559</v>
      </c>
      <c r="CB491" s="81">
        <f>IF(ISERROR((CA491/BS491-1)*100),"NA",IF(((CA491/BS491-1)*100)&gt;100,"NM",IF(((CA491/BS491-1)*100)&lt;-50,"NM",(CA491/BS491-1)*100)))</f>
        <v>-22.306078624009885</v>
      </c>
      <c r="CC491" s="363">
        <f>+CC438/CC485</f>
        <v>0.67464492072506144</v>
      </c>
      <c r="CD491" s="81">
        <f>IF(ISERROR((CC491/BU491-1)*100),"NA",IF(((CC491/BU491-1)*100)&gt;100,"NM",IF(((CC491/BU491-1)*100)&lt;-50,"NM",(CC491/BU491-1)*100)))</f>
        <v>1.4933707231387761</v>
      </c>
      <c r="CE491" s="363">
        <f>+CE438/CE485</f>
        <v>0.70400656352667068</v>
      </c>
      <c r="CF491" s="81">
        <f>IF(ISERROR((CE491/BW491-1)*100),"NA",IF(((CE491/BW491-1)*100)&gt;100,"NM",IF(((CE491/BW491-1)*100)&lt;-50,"NM",(CE491/BW491-1)*100)))</f>
        <v>17.569265578939319</v>
      </c>
      <c r="CG491" s="363">
        <f>+CG438/CG485</f>
        <v>0.71134906564506983</v>
      </c>
      <c r="CH491" s="81">
        <f>IF(ISERROR((CG491/BY491-1)*100),"NA",IF(((CG491/BY491-1)*100)&gt;100,"NM",IF(((CG491/BY491-1)*100)&lt;-50,"NM",(CG491/BY491-1)*100)))</f>
        <v>4.7010103289252925</v>
      </c>
      <c r="CI491" s="363">
        <f>+CI438/CI485</f>
        <v>0.74037697627466581</v>
      </c>
      <c r="CJ491" s="81">
        <f>IF(ISERROR((CI491/CA491-1)*100),"NA",IF(((CI491/CA491-1)*100)&gt;100,"NM",IF(((CI491/CA491-1)*100)&lt;-50,"NM",(CI491/CA491-1)*100)))</f>
        <v>18.388336491289149</v>
      </c>
      <c r="CK491" s="363">
        <f>+CK438/CK485</f>
        <v>0.67519484552243869</v>
      </c>
      <c r="CL491" s="81">
        <f>IF(ISERROR((CK491/CC491-1)*100),"NA",IF(((CK491/CC491-1)*100)&gt;100,"NM",IF(((CK491/CC491-1)*100)&lt;-50,"NM",(CK491/CC491-1)*100)))</f>
        <v>8.1513219841067297E-2</v>
      </c>
      <c r="CM491" s="363">
        <f>+CM438/CM485</f>
        <v>-1.215530995673096</v>
      </c>
      <c r="CN491" s="81" t="str">
        <f>IF(ISERROR((CM491/CE491-1)*100),"NA",IF(((CM491/CE491-1)*100)&gt;100,"NM",IF(((CM491/CE491-1)*100)&lt;-50,"NM",(CM491/CE491-1)*100)))</f>
        <v>NM</v>
      </c>
      <c r="CO491" s="363">
        <f>+CO438/CO485</f>
        <v>0.73433478517168005</v>
      </c>
      <c r="CP491" s="81">
        <f>IF(ISERROR((CO491/CG491-1)*100),"NA",IF(((CO491/CG491-1)*100)&gt;100,"NM",IF(((CO491/CG491-1)*100)&lt;-50,"NM",(CO491/CG491-1)*100)))</f>
        <v>3.2312855441464894</v>
      </c>
      <c r="CQ491" s="363">
        <f>+CQ438/CQ485</f>
        <v>0.76266835128498578</v>
      </c>
      <c r="CR491" s="81">
        <f>IF(ISERROR((CQ491/CI491-1)*100),"NA",IF(((CQ491/CI491-1)*100)&gt;100,"NM",IF(((CQ491/CI491-1)*100)&lt;-50,"NM",(CQ491/CI491-1)*100)))</f>
        <v>3.0108141831318047</v>
      </c>
      <c r="CS491" s="363">
        <f>+CS438/CS485</f>
        <v>0.82653815384315876</v>
      </c>
      <c r="CT491" s="81">
        <f>IF(ISERROR((CS491/CK491-1)*100),"NA",IF(((CS491/CK491-1)*100)&gt;100,"NM",IF(((CS491/CK491-1)*100)&lt;-50,"NM",(CS491/CK491-1)*100)))</f>
        <v>22.414760616784136</v>
      </c>
      <c r="CU491" s="363">
        <f>+CU438/CU485</f>
        <v>0.85489766081871321</v>
      </c>
      <c r="CV491" s="81" t="str">
        <f>IF(ISERROR((CU491/CM491-1)*100),"NA",IF(((CU491/CM491-1)*100)&gt;100,"NM",IF(((CU491/CM491-1)*100)&lt;-50,"NM",(CU491/CM491-1)*100)))</f>
        <v>NM</v>
      </c>
      <c r="CW491" s="363">
        <f>+CW438/CW485</f>
        <v>0.77564857046248536</v>
      </c>
      <c r="CX491" s="81">
        <f>IF(ISERROR((CW491/CO491-1)*100),"NA",IF(((CW491/CO491-1)*100)&gt;100,"NM",IF(((CW491/CO491-1)*100)&lt;-50,"NM",(CW491/CO491-1)*100)))</f>
        <v>5.6260150172712464</v>
      </c>
      <c r="CY491" s="363">
        <f>+CY438/CY485</f>
        <v>0.80978853789462779</v>
      </c>
      <c r="CZ491" s="81">
        <f>IF(ISERROR((CY491/CQ491-1)*100),"NA",IF(((CY491/CQ491-1)*100)&gt;100,"NM",IF(((CY491/CQ491-1)*100)&lt;-50,"NM",(CY491/CQ491-1)*100)))</f>
        <v>6.1783324993427868</v>
      </c>
      <c r="DA491" s="363">
        <f>+DA438/DA485</f>
        <v>0.76704747401371265</v>
      </c>
      <c r="DB491" s="81">
        <f>IF(ISERROR((DA491/CS491-1)*100),"NA",IF(((DA491/CS491-1)*100)&gt;100,"NM",IF(((DA491/CS491-1)*100)&lt;-50,"NM",(DA491/CS491-1)*100)))</f>
        <v>-7.1975721329780136</v>
      </c>
      <c r="DC491" s="363">
        <f>+DC438/DC485</f>
        <v>0.83244478293983226</v>
      </c>
      <c r="DD491" s="81">
        <f>IF(ISERROR((DC491/CU491-1)*100),"NA",IF(((DC491/CU491-1)*100)&gt;100,"NM",IF(((DC491/CU491-1)*100)&lt;-50,"NM",(DC491/CU491-1)*100)))</f>
        <v>-2.6263819528267729</v>
      </c>
      <c r="DE491" s="363">
        <f>+DE438/DE485</f>
        <v>0.86612965093977656</v>
      </c>
      <c r="DF491" s="81">
        <f>IF(ISERROR((DE491/CW491-1)*100),"NA",IF(((DE491/CW491-1)*100)&gt;100,"NM",IF(((DE491/CW491-1)*100)&lt;-50,"NM",(DE491/CW491-1)*100)))</f>
        <v>11.66521591386951</v>
      </c>
      <c r="DG491" s="363">
        <f>+DG438/DG485</f>
        <v>0.92826677006591718</v>
      </c>
      <c r="DH491" s="81">
        <f>IF(ISERROR((DG491/CY491-1)*100),"NA",IF(((DG491/CY491-1)*100)&gt;100,"NM",IF(((DG491/CY491-1)*100)&lt;-50,"NM",(DG491/CY491-1)*100)))</f>
        <v>14.630761813364446</v>
      </c>
      <c r="DI491" s="363">
        <f>+DI438/DI485</f>
        <v>0.85989010989011005</v>
      </c>
      <c r="DJ491" s="81">
        <f>IF(ISERROR((DI491/DA491-1)*100),"NA",IF(((DI491/DA491-1)*100)&gt;100,"NM",IF(((DI491/DA491-1)*100)&lt;-50,"NM",(DI491/DA491-1)*100)))</f>
        <v>12.10389695836971</v>
      </c>
      <c r="DK491" s="363">
        <f>+DK438/DK485</f>
        <v>-1.1180665610142633</v>
      </c>
      <c r="DL491" s="81" t="str">
        <f>IF(ISERROR((DK491/DC491-1)*100),"NA",IF(((DK491/DC491-1)*100)&gt;100,"NM",IF(((DK491/DC491-1)*100)&lt;-50,"NM",(DK491/DC491-1)*100)))</f>
        <v>NM</v>
      </c>
      <c r="DM491" s="363">
        <f>+DM438/DM485</f>
        <v>0.8441712926249012</v>
      </c>
      <c r="DN491" s="81">
        <f>IF(ISERROR((DM491/DE491-1)*100),"NA",IF(((DM491/DE491-1)*100)&gt;100,"NM",IF(((DM491/DE491-1)*100)&lt;-50,"NM",(DM491/DE491-1)*100)))</f>
        <v>-2.5352276406944263</v>
      </c>
      <c r="DO491" s="363">
        <f>+DO438/DO485</f>
        <v>0.89971921379863584</v>
      </c>
      <c r="DP491" s="81">
        <f>IF(ISERROR((DO491/DG491-1)*100),"NA",IF(((DO491/DG491-1)*100)&gt;100,"NM",IF(((DO491/DG491-1)*100)&lt;-50,"NM",(DO491/DG491-1)*100)))</f>
        <v>-3.075361220272288</v>
      </c>
      <c r="DQ491" s="363">
        <f>+DQ438/DQ485</f>
        <v>0.82744620381648482</v>
      </c>
      <c r="DR491" s="81">
        <f>IF(ISERROR((DQ491/DI491-1)*100),"NA",IF(((DQ491/DI491-1)*100)&gt;100,"NM",IF(((DQ491/DI491-1)*100)&lt;-50,"NM",(DQ491/DI491-1)*100)))</f>
        <v>-3.7730293325238251</v>
      </c>
      <c r="DS491" s="363">
        <f>+DS438/DS485</f>
        <v>0.92739950779327274</v>
      </c>
      <c r="DT491" s="81" t="str">
        <f>IF(ISERROR((DS491/DK491-1)*100),"NA",IF(((DS491/DK491-1)*100)&gt;100,"NM",IF(((DS491/DK491-1)*100)&lt;-50,"NM",(DS491/DK491-1)*100)))</f>
        <v>NM</v>
      </c>
      <c r="DU491" s="363">
        <f>+DU438/DU485</f>
        <v>0.87859824780976148</v>
      </c>
      <c r="DV491" s="81">
        <f>IF(ISERROR((DU491/DM491-1)*100),"NA",IF(((DU491/DM491-1)*100)&gt;100,"NM",IF(((DU491/DM491-1)*100)&lt;-50,"NM",(DU491/DM491-1)*100)))</f>
        <v>4.0781954427532963</v>
      </c>
      <c r="DW491" s="363">
        <f>+DW438/DW485</f>
        <v>0.99789296249473203</v>
      </c>
      <c r="DX491" s="81">
        <f>IF(ISERROR((DW491/DO491-1)*100),"NA",IF(((DW491/DO491-1)*100)&gt;100,"NM",IF(((DW491/DO491-1)*100)&lt;-50,"NM",(DW491/DO491-1)*100)))</f>
        <v>10.91159855101953</v>
      </c>
      <c r="DY491" s="363">
        <f>+DY438/DY485</f>
        <v>1.0076857386848856</v>
      </c>
      <c r="DZ491" s="81">
        <f>IF(ISERROR((DY491/DQ491-1)*100),"NA",IF(((DY491/DQ491-1)*100)&gt;100,"NM",IF(((DY491/DQ491-1)*100)&lt;-50,"NM",(DY491/DQ491-1)*100)))</f>
        <v>21.78262877236854</v>
      </c>
      <c r="EA491" s="363">
        <f>+EA438/EA485</f>
        <v>1.0671256454388982</v>
      </c>
      <c r="EB491" s="81">
        <f>IF(ISERROR((EA491/DS491-1)*100),"NA",IF(((EA491/DS491-1)*100)&gt;100,"NM",IF(((EA491/DS491-1)*100)&lt;-50,"NM",(EA491/DS491-1)*100)))</f>
        <v>15.066445094207648</v>
      </c>
      <c r="EC491" s="363">
        <f>+EC438/EC485</f>
        <v>0.99782986111111005</v>
      </c>
      <c r="ED491" s="81">
        <f t="shared" si="1784"/>
        <v>13.570663679170591</v>
      </c>
      <c r="EE491" s="363">
        <f>+EE438/EE485</f>
        <v>1.0740578439964947</v>
      </c>
      <c r="EF491" s="81">
        <f t="shared" si="1785"/>
        <v>7.6325702619798541</v>
      </c>
      <c r="EG491" s="363">
        <f>+EG438/EG485</f>
        <v>1.1137168141592917</v>
      </c>
      <c r="EH491" s="81">
        <f t="shared" si="1786"/>
        <v>10.522236388180461</v>
      </c>
      <c r="EI491" s="363">
        <f>+EI438/EI485</f>
        <v>1.1872775800711735</v>
      </c>
      <c r="EJ491" s="81">
        <f t="shared" si="1787"/>
        <v>11.259399035701922</v>
      </c>
      <c r="EK491" s="363">
        <f t="shared" ref="EK491:EQ491" si="1795">+EK438/EK485</f>
        <v>1.1796613283257518</v>
      </c>
      <c r="EL491" s="81">
        <f t="shared" si="1789"/>
        <v>18.222692495108085</v>
      </c>
      <c r="EM491" s="363">
        <f t="shared" si="1795"/>
        <v>1.2592285284600728</v>
      </c>
      <c r="EN491" s="81">
        <f t="shared" si="1790"/>
        <v>17.240289757074056</v>
      </c>
      <c r="EO491" s="363">
        <f t="shared" si="1795"/>
        <v>1.2752086155898685</v>
      </c>
      <c r="EP491" s="81">
        <f t="shared" si="1791"/>
        <v>14.500257101037107</v>
      </c>
      <c r="EQ491" s="363">
        <f t="shared" si="1795"/>
        <v>1.2992742903211503</v>
      </c>
      <c r="ER491" s="81">
        <f t="shared" si="1792"/>
        <v>9.4330687389264867</v>
      </c>
      <c r="ES491" s="82"/>
      <c r="ET491" s="469"/>
      <c r="EU491" s="82"/>
      <c r="EV491" s="363"/>
      <c r="EW491" s="79"/>
      <c r="EX491" s="363"/>
      <c r="EY491" s="79"/>
      <c r="EZ491" s="363"/>
      <c r="FA491" s="79"/>
      <c r="FB491" s="363">
        <f>+FB438/FB485</f>
        <v>-1.8032440460957166</v>
      </c>
      <c r="FC491" s="79" t="str">
        <f>IF(ISERROR((FB491/EZ491-1)*100),"NA",IF(((FB491/EZ491-1)*100)&gt;100,"NM",IF(((FB491/EZ491-1)*100)&lt;-50,"NM",(FB491/EZ491-1)*100)))</f>
        <v>NA</v>
      </c>
      <c r="FD491" s="363">
        <f>+FD438/FD485</f>
        <v>2.2881868298540224</v>
      </c>
      <c r="FE491" s="79" t="str">
        <f>IF(ISERROR((FD491/FB491-1)*100),"NA",IF(((FD491/FB491-1)*100)&gt;100,"NM",IF(((FD491/FB491-1)*100)&lt;-50,"NM",(FD491/FB491-1)*100)))</f>
        <v>NM</v>
      </c>
      <c r="FF491" s="363">
        <f>ROUND(FF438/FF485,2)</f>
        <v>-0.7</v>
      </c>
      <c r="FG491" s="79" t="str">
        <f>IF(ISERROR((FF491/FD491-1)*100),"NA",IF(((FF491/FD491-1)*100)&gt;100,"NM",IF(((FF491/FD491-1)*100)&lt;-50,"NM",(FF491/FD491-1)*100)))</f>
        <v>NM</v>
      </c>
      <c r="FH491" s="363">
        <f>ROUND(FH438/FH485,2)</f>
        <v>-0.34</v>
      </c>
      <c r="FI491" s="79" t="str">
        <f>IF(ISERROR((FH491/FF491-1)*100),"NA",IF(((FH491/FF491-1)*100)&gt;100,"NM",IF(((FH491/FF491-1)*100)&lt;-50,"NM",(FH491/FF491-1)*100)))</f>
        <v>NM</v>
      </c>
      <c r="FJ491" s="363">
        <f>ROUND(FJ438/FJ485,2)</f>
        <v>1.65</v>
      </c>
      <c r="FK491" s="79" t="str">
        <f>IF(ISERROR((FJ491/FH491-1)*100),"NA",IF(((FJ491/FH491-1)*100)&gt;100,"NM",IF(((FJ491/FH491-1)*100)&lt;-50,"NM",(FJ491/FH491-1)*100)))</f>
        <v>NM</v>
      </c>
      <c r="FL491" s="363">
        <f>ROUND(FL438/FL485,2)</f>
        <v>1.24</v>
      </c>
      <c r="FM491" s="79">
        <f>IF(ISERROR((FL491/FJ491-1)*100),"NA",IF(((FL491/FJ491-1)*100)&gt;100,"NM",IF(((FL491/FJ491-1)*100)&lt;-50,"NM",(FL491/FJ491-1)*100)))</f>
        <v>-24.848484848484841</v>
      </c>
      <c r="FN491" s="363">
        <f>ROUND(FN438/FN485,2)</f>
        <v>2.0099999999999998</v>
      </c>
      <c r="FO491" s="79">
        <f>IF(ISERROR((FN491/FL491-1)*100),"NA",IF(((FN491/FL491-1)*100)&gt;100,"NM",IF(((FN491/FL491-1)*100)&lt;-50,"NM",(FN491/FL491-1)*100)))</f>
        <v>62.096774193548377</v>
      </c>
      <c r="FP491" s="363">
        <f>ROUND(FP438/FP485,2)</f>
        <v>1.62</v>
      </c>
      <c r="FQ491" s="79">
        <f>IF(ISERROR((FP491/FN491-1)*100),"NA",IF(((FP491/FN491-1)*100)&gt;100,"NM",IF(((FP491/FN491-1)*100)&lt;-50,"NM",(FP491/FN491-1)*100)))</f>
        <v>-19.402985074626855</v>
      </c>
      <c r="FR491" s="363">
        <f>ROUND(FR438/FR485,2)</f>
        <v>2.5499999999999998</v>
      </c>
      <c r="FS491" s="79">
        <f>IF(ISERROR((FR491/FP491-1)*100),"NA",IF(((FR491/FP491-1)*100)&gt;100,"NM",IF(((FR491/FP491-1)*100)&lt;-50,"NM",(FR491/FP491-1)*100)))</f>
        <v>57.407407407407398</v>
      </c>
      <c r="FT491" s="363">
        <f>ROUND(FT438/FT485,2)</f>
        <v>2.68</v>
      </c>
      <c r="FU491" s="79">
        <f>IF(ISERROR((FT491/FR491-1)*100),"NA",IF(((FT491/FR491-1)*100)&gt;100,"NM",IF(((FT491/FR491-1)*100)&lt;-50,"NM",(FT491/FR491-1)*100)))</f>
        <v>5.0980392156862786</v>
      </c>
      <c r="FV491" s="363">
        <f>ROUND(FV438/FV485,2)</f>
        <v>0.93</v>
      </c>
      <c r="FW491" s="79" t="str">
        <f>IF(ISERROR((FV491/FT491-1)*100),"NA",IF(((FV491/FT491-1)*100)&gt;100,"NM",IF(((FV491/FT491-1)*100)&lt;-50,"NM",(FV491/FT491-1)*100)))</f>
        <v>NM</v>
      </c>
      <c r="FX491" s="363">
        <f>ROUND(FX438/FX485,2)</f>
        <v>3.15</v>
      </c>
      <c r="FY491" s="79" t="str">
        <f>IF(ISERROR((FX491/FV491-1)*100),"NA",IF(((FX491/FV491-1)*100)&gt;100,"NM",IF(((FX491/FV491-1)*100)&lt;-50,"NM",(FX491/FV491-1)*100)))</f>
        <v>NM</v>
      </c>
      <c r="FZ491" s="363">
        <f>ROUND(FZ438/FZ485,2)</f>
        <v>3.18</v>
      </c>
      <c r="GA491" s="79">
        <f>IF(ISERROR((FZ491/FX491-1)*100),"NA",IF(((FZ491/FX491-1)*100)&gt;100,"NM",IF(((FZ491/FX491-1)*100)&lt;-50,"NM",(FZ491/FX491-1)*100)))</f>
        <v>0.9523809523809712</v>
      </c>
      <c r="GB491" s="363">
        <f>ROUND(GB438/GB485,2)</f>
        <v>1.57</v>
      </c>
      <c r="GC491" s="79" t="str">
        <f>IF(ISERROR((GB491/FZ491-1)*100),"NA",IF(((GB491/FZ491-1)*100)&gt;100,"NM",IF(((GB491/FZ491-1)*100)&lt;-50,"NM",(GB491/FZ491-1)*100)))</f>
        <v>NM</v>
      </c>
      <c r="GD491" s="363">
        <f>ROUND(GD438/GD485,2)</f>
        <v>3.5</v>
      </c>
      <c r="GE491" s="79" t="str">
        <f>IF(ISERROR((GD491/GB491-1)*100),"NA",IF(((GD491/GB491-1)*100)&gt;100,"NM",IF(((GD491/GB491-1)*100)&lt;-50,"NM",(GD491/GB491-1)*100)))</f>
        <v>NM</v>
      </c>
      <c r="GF491" s="363">
        <f>ROUND(GF438/GF485,2)</f>
        <v>3.95</v>
      </c>
      <c r="GG491" s="79">
        <f>IF(ISERROR((GF491/GD491-1)*100),"NA",IF(((GF491/GD491-1)*100)&gt;100,"NM",IF(((GF491/GD491-1)*100)&lt;-50,"NM",(GF491/GD491-1)*100)))</f>
        <v>12.857142857142856</v>
      </c>
      <c r="GH491" s="363">
        <f>ROUND(GH438/GH485,2)</f>
        <v>4.37</v>
      </c>
      <c r="GI491" s="79">
        <f>IF(ISERROR((GH491/GF491-1)*100),"NA",IF(((GH491/GF491-1)*100)&gt;100,"NM",IF(((GH491/GF491-1)*100)&lt;-50,"NM",(GH491/GF491-1)*100)))</f>
        <v>10.632911392405052</v>
      </c>
      <c r="GJ491" s="363">
        <f>ROUND(GJ438/GJ485,2)</f>
        <v>5.01</v>
      </c>
      <c r="GK491" s="79">
        <f>IF(ISERROR((GJ491/GH491-1)*100),"NA",IF(((GJ491/GH491-1)*100)&gt;100,"NM",IF(((GJ491/GH491-1)*100)&lt;-50,"NM",(GJ491/GH491-1)*100)))</f>
        <v>14.645308924485123</v>
      </c>
      <c r="GL491" s="363">
        <f>+GL438/GL485</f>
        <v>5.309981280758489</v>
      </c>
      <c r="GM491" s="79">
        <f>IF(ISERROR((GL491/GJ491-1)*100),"NA",IF(((GL491/GJ491-1)*100)&gt;100,"NM",IF(((GL491/GJ491-1)*100)&lt;-50,"NM",(GL491/GJ491-1)*100)))</f>
        <v>5.9876503145406934</v>
      </c>
      <c r="GN491" s="363">
        <f>+GN438/GN485</f>
        <v>5.6498158114002015</v>
      </c>
      <c r="GO491" s="79">
        <f>IF(ISERROR((GN491/GL491-1)*100),"NA",IF(((GN491/GL491-1)*100)&gt;100,"NM",IF(((GN491/GL491-1)*100)&lt;-50,"NM",(GN491/GL491-1)*100)))</f>
        <v>6.3999195604164116</v>
      </c>
      <c r="GP491" s="363">
        <f>+GP438/GP485</f>
        <v>6.0296301803162038</v>
      </c>
      <c r="GQ491" s="79">
        <f>IF(ISERROR((GP491/GN491-1)*100),"NA",IF(((GP491/GN491-1)*100)&gt;100,"NM",IF(((GP491/GN491-1)*100)&lt;-50,"NM",(GP491/GN491-1)*100)))</f>
        <v>6.7225973659108096</v>
      </c>
      <c r="GR491" s="363">
        <f>+GR438/GR485</f>
        <v>6.4233932619292711</v>
      </c>
      <c r="GS491" s="79">
        <f>IF(ISERROR((GR491/GP491-1)*100),"NA",IF(((GR491/GP491-1)*100)&gt;100,"NM",IF(((GR491/GP491-1)*100)&lt;-50,"NM",(GR491/GP491-1)*100)))</f>
        <v>6.5304682018229032</v>
      </c>
      <c r="GT491" s="79">
        <f>IF(ISERROR(((GR491/GH491)^0.2-1)*100),"NA",(IF(OR(((GR491/GH491)^0.2-1)*100&gt;99,((GR491/GH491)^0.2-1)*100&lt;-50),"NM",(((GR491/GH491)^0.2-1)*100))))</f>
        <v>8.008171778241401</v>
      </c>
      <c r="GU491" s="562"/>
      <c r="GV491" s="562"/>
      <c r="GW491"/>
      <c r="GX491"/>
      <c r="GY491"/>
      <c r="GZ491"/>
      <c r="HA491"/>
      <c r="HB491"/>
      <c r="HC491" s="562"/>
      <c r="HD491" s="562"/>
      <c r="HE491" s="562"/>
      <c r="HF491" s="562"/>
      <c r="HG491" s="562"/>
      <c r="HH491" s="562"/>
      <c r="HI491" s="562"/>
      <c r="HJ491" s="562"/>
      <c r="HK491" s="562"/>
      <c r="HL491" s="562"/>
      <c r="HM491" s="562"/>
      <c r="HN491" s="562"/>
      <c r="HO491" s="562"/>
      <c r="HP491" s="562"/>
      <c r="HQ491" s="562"/>
      <c r="HR491" s="562"/>
      <c r="HS491" s="562"/>
      <c r="HT491" s="562"/>
      <c r="HU491" s="562"/>
      <c r="HV491" s="562"/>
      <c r="HW491" s="562"/>
      <c r="HX491" s="562"/>
      <c r="HY491" s="562"/>
      <c r="HZ491" s="562"/>
      <c r="IA491" s="562"/>
      <c r="IB491" s="562"/>
      <c r="IC491" s="562"/>
      <c r="ID491" s="562"/>
      <c r="IE491" s="562"/>
      <c r="IF491" s="562"/>
      <c r="IG491" s="562"/>
      <c r="IH491" s="562"/>
      <c r="II491" s="562"/>
      <c r="IJ491" s="562"/>
      <c r="IK491" s="562"/>
      <c r="IL491" s="562"/>
      <c r="IM491" s="562"/>
      <c r="IN491" s="562"/>
      <c r="IO491" s="562"/>
      <c r="IP491" s="562"/>
      <c r="IQ491" s="562"/>
      <c r="IR491" s="562"/>
      <c r="IS491" s="562"/>
      <c r="IT491" s="562"/>
      <c r="IU491" s="562"/>
      <c r="IV491" s="562"/>
      <c r="IW491" s="562"/>
      <c r="IX491" s="562"/>
      <c r="IY491" s="562"/>
      <c r="IZ491" s="562"/>
      <c r="JA491" s="562"/>
      <c r="JB491" s="562"/>
      <c r="JC491" s="562"/>
      <c r="JD491" s="562"/>
      <c r="JE491" s="562"/>
      <c r="JF491" s="562"/>
      <c r="JG491" s="562"/>
      <c r="JH491" s="562"/>
      <c r="JI491" s="562"/>
      <c r="JJ491" s="562"/>
      <c r="JK491" s="562"/>
      <c r="JL491" s="562"/>
      <c r="JM491" s="562"/>
      <c r="JN491" s="562"/>
      <c r="JO491" s="562"/>
      <c r="JP491" s="562"/>
      <c r="JQ491" s="562"/>
      <c r="JR491" s="562"/>
      <c r="JS491" s="562"/>
      <c r="JT491" s="562"/>
      <c r="JU491" s="562"/>
      <c r="JV491" s="562"/>
      <c r="JW491" s="562"/>
      <c r="JX491" s="562"/>
      <c r="JY491" s="562"/>
      <c r="JZ491" s="562"/>
    </row>
    <row r="492" spans="1:286" s="83" customFormat="1" ht="12.75" customHeight="1" x14ac:dyDescent="0.2">
      <c r="A492" s="1"/>
      <c r="B492" s="68"/>
      <c r="C492" s="79"/>
      <c r="D492" s="79"/>
      <c r="E492" s="363"/>
      <c r="F492" s="363"/>
      <c r="G492" s="363"/>
      <c r="H492" s="363"/>
      <c r="I492" s="363"/>
      <c r="J492" s="363"/>
      <c r="K492" s="363"/>
      <c r="L492" s="79"/>
      <c r="M492" s="363"/>
      <c r="N492" s="79"/>
      <c r="O492" s="363"/>
      <c r="P492" s="79"/>
      <c r="Q492" s="363"/>
      <c r="R492" s="79"/>
      <c r="S492" s="363"/>
      <c r="T492" s="79"/>
      <c r="U492" s="363"/>
      <c r="V492" s="79"/>
      <c r="W492" s="363"/>
      <c r="X492" s="79"/>
      <c r="Y492" s="363"/>
      <c r="Z492" s="79"/>
      <c r="AA492" s="368"/>
      <c r="AB492" s="79"/>
      <c r="AC492" s="363"/>
      <c r="AD492" s="79"/>
      <c r="AE492" s="363"/>
      <c r="AF492" s="79"/>
      <c r="AG492" s="363"/>
      <c r="AH492" s="79"/>
      <c r="AI492" s="363"/>
      <c r="AJ492" s="79"/>
      <c r="AK492" s="363"/>
      <c r="AL492" s="79"/>
      <c r="AM492" s="363"/>
      <c r="AN492" s="79"/>
      <c r="AO492" s="363"/>
      <c r="AP492" s="79"/>
      <c r="AQ492" s="363"/>
      <c r="AR492" s="79"/>
      <c r="AS492" s="363"/>
      <c r="AT492" s="81"/>
      <c r="AU492" s="363"/>
      <c r="AV492" s="81"/>
      <c r="AW492" s="363"/>
      <c r="AX492" s="81"/>
      <c r="AY492" s="363"/>
      <c r="AZ492" s="81"/>
      <c r="BA492" s="363"/>
      <c r="BB492" s="81"/>
      <c r="BC492" s="363"/>
      <c r="BD492" s="81"/>
      <c r="BE492" s="363"/>
      <c r="BF492" s="81"/>
      <c r="BG492" s="363"/>
      <c r="BH492" s="81"/>
      <c r="BI492" s="363"/>
      <c r="BJ492" s="81"/>
      <c r="BK492" s="363"/>
      <c r="BL492" s="81"/>
      <c r="BM492" s="363"/>
      <c r="BN492" s="81"/>
      <c r="BO492" s="363"/>
      <c r="BP492" s="81"/>
      <c r="BQ492" s="363"/>
      <c r="BR492" s="81"/>
      <c r="BS492" s="363"/>
      <c r="BT492" s="81"/>
      <c r="BU492" s="363"/>
      <c r="BV492" s="81"/>
      <c r="BW492" s="363"/>
      <c r="BX492" s="81"/>
      <c r="BY492" s="363"/>
      <c r="BZ492" s="81"/>
      <c r="CA492" s="363"/>
      <c r="CB492" s="81"/>
      <c r="CC492" s="363"/>
      <c r="CD492" s="81"/>
      <c r="CE492" s="363"/>
      <c r="CF492" s="81"/>
      <c r="CG492" s="363"/>
      <c r="CH492" s="81"/>
      <c r="CI492" s="363"/>
      <c r="CJ492" s="81"/>
      <c r="CK492" s="363"/>
      <c r="CL492" s="81"/>
      <c r="CM492" s="363"/>
      <c r="CN492" s="81"/>
      <c r="CO492" s="363"/>
      <c r="CP492" s="81"/>
      <c r="CQ492" s="363"/>
      <c r="CR492" s="81"/>
      <c r="CS492" s="363"/>
      <c r="CT492" s="81"/>
      <c r="CU492" s="363"/>
      <c r="CV492" s="81"/>
      <c r="CW492" s="363"/>
      <c r="CX492" s="81"/>
      <c r="CY492" s="363"/>
      <c r="CZ492" s="81"/>
      <c r="DA492" s="363"/>
      <c r="DB492" s="81"/>
      <c r="DC492" s="363"/>
      <c r="DD492" s="81"/>
      <c r="DE492" s="363"/>
      <c r="DF492" s="81"/>
      <c r="DG492" s="363"/>
      <c r="DH492" s="81"/>
      <c r="DI492" s="363"/>
      <c r="DJ492" s="81"/>
      <c r="DK492" s="363"/>
      <c r="DL492" s="81"/>
      <c r="DM492" s="363"/>
      <c r="DN492" s="81"/>
      <c r="DO492" s="363"/>
      <c r="DP492" s="81"/>
      <c r="DQ492" s="363"/>
      <c r="DR492" s="81"/>
      <c r="DS492" s="363"/>
      <c r="DT492" s="81"/>
      <c r="DU492" s="363"/>
      <c r="DV492" s="81"/>
      <c r="DW492" s="363"/>
      <c r="DX492" s="81"/>
      <c r="DY492" s="363"/>
      <c r="DZ492" s="81"/>
      <c r="EA492" s="363"/>
      <c r="EB492" s="81"/>
      <c r="EC492" s="363"/>
      <c r="ED492" s="81"/>
      <c r="EE492" s="363"/>
      <c r="EF492" s="81"/>
      <c r="EG492" s="363"/>
      <c r="EH492" s="81"/>
      <c r="EI492" s="363"/>
      <c r="EJ492" s="81"/>
      <c r="EK492" s="363"/>
      <c r="EL492" s="81"/>
      <c r="EM492" s="363"/>
      <c r="EN492" s="81"/>
      <c r="EO492" s="363"/>
      <c r="EP492" s="81"/>
      <c r="EQ492" s="363"/>
      <c r="ER492" s="81"/>
      <c r="ES492" s="82"/>
      <c r="ET492" s="469"/>
      <c r="EU492" s="82"/>
      <c r="EV492" s="363"/>
      <c r="EW492" s="79"/>
      <c r="EX492" s="363"/>
      <c r="EY492" s="79"/>
      <c r="EZ492" s="363"/>
      <c r="FA492" s="79"/>
      <c r="FB492" s="363"/>
      <c r="FC492" s="79"/>
      <c r="FD492" s="363"/>
      <c r="FE492" s="79"/>
      <c r="FF492" s="363"/>
      <c r="FG492" s="79"/>
      <c r="FH492" s="363"/>
      <c r="FI492" s="79"/>
      <c r="FJ492" s="363"/>
      <c r="FK492" s="79"/>
      <c r="FL492" s="363"/>
      <c r="FM492" s="79"/>
      <c r="FN492" s="363"/>
      <c r="FO492" s="79"/>
      <c r="FP492" s="363"/>
      <c r="FQ492" s="79"/>
      <c r="FR492" s="363"/>
      <c r="FS492" s="79"/>
      <c r="FT492" s="363"/>
      <c r="FU492" s="79"/>
      <c r="FV492" s="363"/>
      <c r="FW492" s="79"/>
      <c r="FX492" s="363"/>
      <c r="FY492" s="79"/>
      <c r="FZ492" s="363"/>
      <c r="GA492" s="79"/>
      <c r="GB492" s="363"/>
      <c r="GC492" s="79"/>
      <c r="GD492" s="363"/>
      <c r="GE492" s="79"/>
      <c r="GF492" s="363"/>
      <c r="GG492" s="79"/>
      <c r="GH492" s="363"/>
      <c r="GI492" s="79"/>
      <c r="GJ492" s="363"/>
      <c r="GK492" s="79"/>
      <c r="GL492" s="363"/>
      <c r="GM492" s="79"/>
      <c r="GN492" s="363"/>
      <c r="GO492" s="79"/>
      <c r="GP492" s="363"/>
      <c r="GQ492" s="79"/>
      <c r="GR492" s="363"/>
      <c r="GS492" s="79"/>
      <c r="GT492" s="79"/>
      <c r="GU492" s="562"/>
      <c r="GV492" s="562"/>
      <c r="GW492"/>
      <c r="GX492"/>
      <c r="GY492"/>
      <c r="GZ492"/>
      <c r="HA492"/>
      <c r="HB492"/>
      <c r="HC492" s="562"/>
      <c r="HD492" s="562"/>
      <c r="HE492" s="562"/>
      <c r="HF492" s="562"/>
      <c r="HG492" s="562"/>
      <c r="HH492" s="562"/>
      <c r="HI492" s="562"/>
      <c r="HJ492" s="562"/>
      <c r="HK492" s="562"/>
      <c r="HL492" s="562"/>
      <c r="HM492" s="562"/>
      <c r="HN492" s="562"/>
      <c r="HO492" s="562"/>
      <c r="HP492" s="562"/>
      <c r="HQ492" s="562"/>
      <c r="HR492" s="562"/>
      <c r="HS492" s="562"/>
      <c r="HT492" s="562"/>
      <c r="HU492" s="562"/>
      <c r="HV492" s="562"/>
      <c r="HW492" s="562"/>
      <c r="HX492" s="562"/>
      <c r="HY492" s="562"/>
      <c r="HZ492" s="562"/>
      <c r="IA492" s="562"/>
      <c r="IB492" s="562"/>
      <c r="IC492" s="562"/>
      <c r="ID492" s="562"/>
      <c r="IE492" s="562"/>
      <c r="IF492" s="562"/>
      <c r="IG492" s="562"/>
      <c r="IH492" s="562"/>
      <c r="II492" s="562"/>
      <c r="IJ492" s="562"/>
      <c r="IK492" s="562"/>
      <c r="IL492" s="562"/>
      <c r="IM492" s="562"/>
      <c r="IN492" s="562"/>
      <c r="IO492" s="562"/>
      <c r="IP492" s="562"/>
      <c r="IQ492" s="562"/>
      <c r="IR492" s="562"/>
      <c r="IS492" s="562"/>
      <c r="IT492" s="562"/>
      <c r="IU492" s="562"/>
      <c r="IV492" s="562"/>
      <c r="IW492" s="562"/>
      <c r="IX492" s="562"/>
      <c r="IY492" s="562"/>
      <c r="IZ492" s="562"/>
      <c r="JA492" s="562"/>
      <c r="JB492" s="562"/>
      <c r="JC492" s="562"/>
      <c r="JD492" s="562"/>
      <c r="JE492" s="562"/>
      <c r="JF492" s="562"/>
      <c r="JG492" s="562"/>
      <c r="JH492" s="562"/>
      <c r="JI492" s="562"/>
      <c r="JJ492" s="562"/>
      <c r="JK492" s="562"/>
      <c r="JL492" s="562"/>
      <c r="JM492" s="562"/>
      <c r="JN492" s="562"/>
      <c r="JO492" s="562"/>
      <c r="JP492" s="562"/>
      <c r="JQ492" s="562"/>
      <c r="JR492" s="562"/>
      <c r="JS492" s="562"/>
      <c r="JT492" s="562"/>
      <c r="JU492" s="562"/>
      <c r="JV492" s="562"/>
      <c r="JW492" s="562"/>
      <c r="JX492" s="562"/>
      <c r="JY492" s="562"/>
      <c r="JZ492" s="562"/>
    </row>
    <row r="493" spans="1:286" s="83" customFormat="1" ht="12.75" customHeight="1" x14ac:dyDescent="0.2">
      <c r="A493" s="245"/>
      <c r="B493" s="68" t="s">
        <v>279</v>
      </c>
      <c r="C493" s="79"/>
      <c r="D493" s="79"/>
      <c r="E493" s="363"/>
      <c r="F493" s="363"/>
      <c r="G493" s="363"/>
      <c r="H493" s="363"/>
      <c r="I493" s="363"/>
      <c r="J493" s="363"/>
      <c r="K493" s="363"/>
      <c r="L493" s="79"/>
      <c r="M493" s="363"/>
      <c r="N493" s="79"/>
      <c r="O493" s="363"/>
      <c r="P493" s="79"/>
      <c r="Q493" s="363"/>
      <c r="R493" s="79"/>
      <c r="S493" s="363"/>
      <c r="T493" s="79"/>
      <c r="U493" s="363"/>
      <c r="V493" s="79"/>
      <c r="W493" s="363"/>
      <c r="X493" s="79"/>
      <c r="Y493" s="363"/>
      <c r="Z493" s="79"/>
      <c r="AA493" s="368"/>
      <c r="AB493" s="79"/>
      <c r="AC493" s="363">
        <f>AC488+701/AC485</f>
        <v>0.39635358549432542</v>
      </c>
      <c r="AD493" s="79"/>
      <c r="AE493" s="363">
        <f>AE488</f>
        <v>0.43</v>
      </c>
      <c r="AF493" s="79"/>
      <c r="AG493" s="363">
        <f>AG488</f>
        <v>0.42</v>
      </c>
      <c r="AH493" s="79"/>
      <c r="AI493" s="363">
        <f>AI488</f>
        <v>0.39</v>
      </c>
      <c r="AJ493" s="79"/>
      <c r="AK493" s="374">
        <f>AK488-0.1</f>
        <v>0.4</v>
      </c>
      <c r="AL493" s="79">
        <f>IF(ISERROR((AK493/AC493-1)*100),"NA",IF(((AK493/AC493-1)*100)&gt;100,"NM",IF(((AK493/AC493-1)*100)&lt;-50,"NM",(AK493/AC493-1)*100)))</f>
        <v>0.9199902912766289</v>
      </c>
      <c r="AM493" s="374">
        <f>AM488+0</f>
        <v>0.42</v>
      </c>
      <c r="AN493" s="79">
        <f>IF(ISERROR((AM493/AE493-1)*100),"NA",IF(((AM493/AE493-1)*100)&gt;100,"NM",IF(((AM493/AE493-1)*100)&lt;-50,"NM",(AM493/AE493-1)*100)))</f>
        <v>-2.3255813953488413</v>
      </c>
      <c r="AO493" s="374">
        <f>AO488</f>
        <v>0.43</v>
      </c>
      <c r="AP493" s="79">
        <f>IF(ISERROR((AO493/AG493-1)*100),"NA",IF(((AO493/AG493-1)*100)&gt;100,"NM",IF(((AO493/AG493-1)*100)&lt;-50,"NM",(AO493/AG493-1)*100)))</f>
        <v>2.3809523809523725</v>
      </c>
      <c r="AQ493" s="374">
        <f>AQ488-0.001</f>
        <v>0.41899999999999998</v>
      </c>
      <c r="AR493" s="79">
        <f>IF(ISERROR((AQ493/AI493-1)*100),"NA",IF(((AQ493/AI493-1)*100)&gt;100,"NM",IF(((AQ493/AI493-1)*100)&lt;-50,"NM",(AQ493/AI493-1)*100)))</f>
        <v>7.4358974358974317</v>
      </c>
      <c r="AS493" s="374">
        <f>AS488</f>
        <v>0.42</v>
      </c>
      <c r="AT493" s="81">
        <f>IF(ISERROR((AS493/AK493-1)*100),"NA",IF(((AS493/AK493-1)*100)&gt;100,"NM",IF(((AS493/AK493-1)*100)&lt;-50,"NM",(AS493/AK493-1)*100)))</f>
        <v>4.9999999999999822</v>
      </c>
      <c r="AU493" s="374">
        <f>AU488</f>
        <v>0.43</v>
      </c>
      <c r="AV493" s="81">
        <f>IF(ISERROR((AU493/AM493-1)*100),"NA",IF(((AU493/AM493-1)*100)&gt;100,"NM",IF(((AU493/AM493-1)*100)&lt;-50,"NM",(AU493/AM493-1)*100)))</f>
        <v>2.3809523809523725</v>
      </c>
      <c r="AW493" s="374">
        <f>AW488</f>
        <v>0.46</v>
      </c>
      <c r="AX493" s="81">
        <f>IF(ISERROR((AW493/AO493-1)*100),"NA",IF(((AW493/AO493-1)*100)&gt;100,"NM",IF(((AW493/AO493-1)*100)&lt;-50,"NM",(AW493/AO493-1)*100)))</f>
        <v>6.976744186046524</v>
      </c>
      <c r="AY493" s="374">
        <v>0.47</v>
      </c>
      <c r="AZ493" s="81">
        <f>IF(ISERROR((AY493/AQ493-1)*100),"NA",IF(((AY493/AQ493-1)*100)&gt;100,"NM",IF(((AY493/AQ493-1)*100)&lt;-50,"NM",(AY493/AQ493-1)*100)))</f>
        <v>12.171837708830546</v>
      </c>
      <c r="BA493" s="374">
        <f>BA488</f>
        <v>0.5</v>
      </c>
      <c r="BB493" s="81">
        <f>IF(ISERROR((BA493/AS493-1)*100),"NA",IF(((BA493/AS493-1)*100)&gt;100,"NM",IF(((BA493/AS493-1)*100)&lt;-50,"NM",(BA493/AS493-1)*100)))</f>
        <v>19.047619047619047</v>
      </c>
      <c r="BC493" s="374">
        <v>0.51</v>
      </c>
      <c r="BD493" s="81">
        <f>IF(ISERROR((BC493/AU493-1)*100),"NA",IF(((BC493/AU493-1)*100)&gt;100,"NM",IF(((BC493/AU493-1)*100)&lt;-50,"NM",(BC493/AU493-1)*100)))</f>
        <v>18.604651162790709</v>
      </c>
      <c r="BE493" s="374">
        <v>0.56000000000000005</v>
      </c>
      <c r="BF493" s="81">
        <f>IF(ISERROR((BE493/AW493-1)*100),"NA",IF(((BE493/AW493-1)*100)&gt;100,"NM",IF(((BE493/AW493-1)*100)&lt;-50,"NM",(BE493/AW493-1)*100)))</f>
        <v>21.739130434782616</v>
      </c>
      <c r="BG493" s="374">
        <v>0.58499999999999996</v>
      </c>
      <c r="BH493" s="81">
        <f>IF(ISERROR((BG493/AY493-1)*100),"NA",IF(((BG493/AY493-1)*100)&gt;100,"NM",IF(((BG493/AY493-1)*100)&lt;-50,"NM",(BG493/AY493-1)*100)))</f>
        <v>24.468085106382986</v>
      </c>
      <c r="BI493" s="374">
        <v>0.58499999999999996</v>
      </c>
      <c r="BJ493" s="81">
        <f>IF(ISERROR((BI493/BA493-1)*100),"NA",IF(((BI493/BA493-1)*100)&gt;100,"NM",IF(((BI493/BA493-1)*100)&lt;-50,"NM",(BI493/BA493-1)*100)))</f>
        <v>16.999999999999993</v>
      </c>
      <c r="BK493" s="374">
        <v>0.65</v>
      </c>
      <c r="BL493" s="81">
        <f>IF(ISERROR((BK493/BC493-1)*100),"NA",IF(((BK493/BC493-1)*100)&gt;100,"NM",IF(((BK493/BC493-1)*100)&lt;-50,"NM",(BK493/BC493-1)*100)))</f>
        <v>27.450980392156854</v>
      </c>
      <c r="BM493" s="374">
        <v>0.63</v>
      </c>
      <c r="BN493" s="81">
        <f>IF(ISERROR((BM493/BE493-1)*100),"NA",IF(((BM493/BE493-1)*100)&gt;100,"NM",IF(((BM493/BE493-1)*100)&lt;-50,"NM",(BM493/BE493-1)*100)))</f>
        <v>12.5</v>
      </c>
      <c r="BO493" s="374">
        <v>0.6</v>
      </c>
      <c r="BP493" s="81">
        <f>IF(ISERROR((BO493/BG493-1)*100),"NA",IF(((BO493/BG493-1)*100)&gt;100,"NM",IF(((BO493/BG493-1)*100)&lt;-50,"NM",(BO493/BG493-1)*100)))</f>
        <v>2.5641025641025772</v>
      </c>
      <c r="BQ493" s="374">
        <v>0.6</v>
      </c>
      <c r="BR493" s="81">
        <f>IF(ISERROR((BQ493/BI493-1)*100),"NA",IF(((BQ493/BI493-1)*100)&gt;100,"NM",IF(((BQ493/BI493-1)*100)&lt;-50,"NM",(BQ493/BI493-1)*100)))</f>
        <v>2.5641025641025772</v>
      </c>
      <c r="BS493" s="369">
        <f>BS488</f>
        <v>0.65</v>
      </c>
      <c r="BT493" s="81">
        <f>IF(ISERROR((BS493/BK493-1)*100),"NA",IF(((BS493/BK493-1)*100)&gt;100,"NM",IF(((BS493/BK493-1)*100)&lt;-50,"NM",(BS493/BK493-1)*100)))</f>
        <v>0</v>
      </c>
      <c r="BU493" s="369">
        <f>BU488</f>
        <v>0.64</v>
      </c>
      <c r="BV493" s="81">
        <f>IF(ISERROR((BU493/BM493-1)*100),"NA",IF(((BU493/BM493-1)*100)&gt;100,"NM",IF(((BU493/BM493-1)*100)&lt;-50,"NM",(BU493/BM493-1)*100)))</f>
        <v>1.5873015873015817</v>
      </c>
      <c r="BW493" s="369">
        <f>BW488</f>
        <v>0.66</v>
      </c>
      <c r="BX493" s="81">
        <f>IF(ISERROR((BW493/BO493-1)*100),"NA",IF(((BW493/BO493-1)*100)&gt;100,"NM",IF(((BW493/BO493-1)*100)&lt;-50,"NM",(BW493/BO493-1)*100)))</f>
        <v>10.000000000000009</v>
      </c>
      <c r="BY493" s="374">
        <f>(BY416+10.2)/BY485</f>
        <v>0.70999237633692802</v>
      </c>
      <c r="BZ493" s="81">
        <f>IF(ISERROR((BY493/BQ493-1)*100),"NA",IF(((BY493/BQ493-1)*100)&gt;100,"NM",IF(((BY493/BQ493-1)*100)&lt;-50,"NM",(BY493/BQ493-1)*100)))</f>
        <v>18.332062722821352</v>
      </c>
      <c r="CA493" s="369">
        <f>(CA411*(1-CA415/100))/CA485</f>
        <v>0.69803576338947426</v>
      </c>
      <c r="CB493" s="81">
        <f>IF(ISERROR((CA493/BS493-1)*100),"NA",IF(((CA493/BS493-1)*100)&gt;100,"NM",IF(((CA493/BS493-1)*100)&lt;-50,"NM",(CA493/BS493-1)*100)))</f>
        <v>7.3901174445345053</v>
      </c>
      <c r="CC493" s="369">
        <f>(CC411*(1-CC415/100))/CC485</f>
        <v>0.68820562264918328</v>
      </c>
      <c r="CD493" s="81">
        <f>IF(ISERROR((CC493/BU493-1)*100),"NA",IF(((CC493/BU493-1)*100)&gt;100,"NM",IF(((CC493/BU493-1)*100)&lt;-50,"NM",(CC493/BU493-1)*100)))</f>
        <v>7.5321285389348791</v>
      </c>
      <c r="CE493" s="369">
        <f>(CE411*(1-CE415/100))/CE485</f>
        <v>0.66663957821905528</v>
      </c>
      <c r="CF493" s="81">
        <f>IF(ISERROR((CE493/BW493-1)*100),"NA",IF(((CE493/BW493-1)*100)&gt;100,"NM",IF(((CE493/BW493-1)*100)&lt;-50,"NM",(CE493/BW493-1)*100)))</f>
        <v>1.0059966998568592</v>
      </c>
      <c r="CG493" s="369">
        <f>(CG411*(1-CG415/100))/CG485</f>
        <v>0.69703300663164036</v>
      </c>
      <c r="CH493" s="81">
        <f>IF(ISERROR((CG493/BY493-1)*100),"NA",IF(((CG493/BY493-1)*100)&gt;100,"NM",IF(((CG493/BY493-1)*100)&lt;-50,"NM",(CG493/BY493-1)*100)))</f>
        <v>-1.8252829378463287</v>
      </c>
      <c r="CI493" s="369">
        <f>(CI411*(1-CI415/100))/CI485</f>
        <v>0.75561397985457524</v>
      </c>
      <c r="CJ493" s="81">
        <f>IF(ISERROR((CI493/CA493-1)*100),"NA",IF(((CI493/CA493-1)*100)&gt;100,"NM",IF(((CI493/CA493-1)*100)&lt;-50,"NM",(CI493/CA493-1)*100)))</f>
        <v>8.2486055134935565</v>
      </c>
      <c r="CK493" s="374">
        <f>(CK411*(1-0.32))/CK485</f>
        <v>0.716201233467336</v>
      </c>
      <c r="CL493" s="81">
        <f>IF(ISERROR((CK493/CC493-1)*100),"NA",IF(((CK493/CC493-1)*100)&gt;100,"NM",IF(((CK493/CC493-1)*100)&lt;-50,"NM",(CK493/CC493-1)*100)))</f>
        <v>4.0679137014873801</v>
      </c>
      <c r="CM493" s="374">
        <f>CM488-(-598/CM485)</f>
        <v>0.7506380131485213</v>
      </c>
      <c r="CN493" s="81">
        <f>IF(ISERROR((CM493/CE493-1)*100),"NA",IF(((CM493/CE493-1)*100)&gt;100,"NM",IF(((CM493/CE493-1)*100)&lt;-50,"NM",(CM493/CE493-1)*100)))</f>
        <v>12.600277222344047</v>
      </c>
      <c r="CO493" s="369">
        <f>(CO411*(1-CO415/100))/CO485</f>
        <v>0.73193163253203442</v>
      </c>
      <c r="CP493" s="81">
        <f>IF(ISERROR((CO493/CG493-1)*100),"NA",IF(((CO493/CG493-1)*100)&gt;100,"NM",IF(((CO493/CG493-1)*100)&lt;-50,"NM",(CO493/CG493-1)*100)))</f>
        <v>5.0067393607426292</v>
      </c>
      <c r="CQ493" s="374">
        <f>(CQ416-11.2)/CQ485</f>
        <v>0.75456235679350958</v>
      </c>
      <c r="CR493" s="81">
        <f>IF(ISERROR((CQ493/CI493-1)*100),"NA",IF(((CQ493/CI493-1)*100)&gt;100,"NM",IF(((CQ493/CI493-1)*100)&lt;-50,"NM",(CQ493/CI493-1)*100)))</f>
        <v>-0.13917464328386808</v>
      </c>
      <c r="CS493" s="374">
        <f>(CS411*(1-CS415/100)-9.3)/CS485</f>
        <v>0.77088506355398001</v>
      </c>
      <c r="CT493" s="7">
        <f>IF(ISERROR((CS493/CK493-1)*100),"NA",IF(((CS493/CK493-1)*100)&gt;100,"NM",IF(((CS493/CK493-1)*100)&lt;-50,"NM",(CS493/CK493-1)*100)))</f>
        <v>7.6352605289303765</v>
      </c>
      <c r="CU493" s="369">
        <f>(CU411*(1-CU415/100))/CU485</f>
        <v>0.8223684210526313</v>
      </c>
      <c r="CV493" s="7">
        <f>IF(ISERROR((CU493/CM493-1)*100),"NA",IF(((CU493/CM493-1)*100)&gt;100,"NM",IF(((CU493/CM493-1)*100)&lt;-50,"NM",(CU493/CM493-1)*100)))</f>
        <v>9.555925312553736</v>
      </c>
      <c r="CW493" s="369">
        <f>(CW411*(1-CW415/100))/CW485</f>
        <v>0.78926673549816306</v>
      </c>
      <c r="CX493" s="7">
        <f>IF(ISERROR((CW493/CO493-1)*100),"NA",IF(((CW493/CO493-1)*100)&gt;100,"NM",IF(((CW493/CO493-1)*100)&lt;-50,"NM",(CW493/CO493-1)*100)))</f>
        <v>7.8333959645635609</v>
      </c>
      <c r="CY493" s="369">
        <f>(CY411*(1-CY415/100))/CY485</f>
        <v>0.8094136357937507</v>
      </c>
      <c r="CZ493" s="7">
        <f>IF(ISERROR((CY493/CQ493-1)*100),"NA",IF(((CY493/CQ493-1)*100)&gt;100,"NM",IF(((CY493/CQ493-1)*100)&lt;-50,"NM",(CY493/CQ493-1)*100)))</f>
        <v>7.2692837783917552</v>
      </c>
      <c r="DA493" s="369">
        <f>(DA411*(1-DA415/100)-6.3)/DA485</f>
        <v>0.81472778073582797</v>
      </c>
      <c r="DB493" s="7">
        <f>IF(ISERROR((DA493/CS493-1)*100),"NA",IF(((DA493/CS493-1)*100)&gt;100,"NM",IF(((DA493/CS493-1)*100)&lt;-50,"NM",(DA493/CS493-1)*100)))</f>
        <v>5.6873221774101701</v>
      </c>
      <c r="DC493" s="369">
        <f>(DC411*(1-DC415/100))/DC485</f>
        <v>0.84436840315471418</v>
      </c>
      <c r="DD493" s="81">
        <f>IF(ISERROR((DC493/CU493-1)*100),"NA",IF(((DC493/CU493-1)*100)&gt;100,"NM",IF(((DC493/CU493-1)*100)&lt;-50,"NM",(DC493/CU493-1)*100)))</f>
        <v>2.6751978236132734</v>
      </c>
      <c r="DE493" s="369">
        <f>(DE411*(1-DE415/100))/DE485</f>
        <v>0.85385500575373907</v>
      </c>
      <c r="DF493" s="81">
        <f>IF(ISERROR((DE493/CW493-1)*100),"NA",IF(((DE493/CW493-1)*100)&gt;100,"NM",IF(((DE493/CW493-1)*100)&lt;-50,"NM",(DE493/CW493-1)*100)))</f>
        <v>8.183326035501759</v>
      </c>
      <c r="DG493" s="369">
        <f>(DG411*(1-DG415/100))/DG485</f>
        <v>0.89290382117524014</v>
      </c>
      <c r="DH493" s="81">
        <f>IF(ISERROR((DG493/CY493-1)*100),"NA",IF(((DG493/CY493-1)*100)&gt;100,"NM",IF(((DG493/CY493-1)*100)&lt;-50,"NM",(DG493/CY493-1)*100)))</f>
        <v>10.314897314475658</v>
      </c>
      <c r="DI493" s="369">
        <f>DI417/DI485</f>
        <v>0.85989010989011005</v>
      </c>
      <c r="DJ493" s="81">
        <f>IF(ISERROR((DI493/DA493-1)*100),"NA",IF(((DI493/DA493-1)*100)&gt;100,"NM",IF(((DI493/DA493-1)*100)&lt;-50,"NM",(DI493/DA493-1)*100)))</f>
        <v>5.5432415859802076</v>
      </c>
      <c r="DK493" s="369">
        <f>DK417/DK485</f>
        <v>0.89037242472266254</v>
      </c>
      <c r="DL493" s="81">
        <f>IF(ISERROR((DK493/DC493-1)*100),"NA",IF(((DK493/DC493-1)*100)&gt;100,"NM",IF(((DK493/DC493-1)*100)&lt;-50,"NM",(DK493/DC493-1)*100)))</f>
        <v>5.4483352759374881</v>
      </c>
      <c r="DM493" s="369">
        <f>DM417/DM485</f>
        <v>0.8838223632038068</v>
      </c>
      <c r="DN493" s="81">
        <f>IF(ISERROR((DM493/DE493-1)*100),"NA",IF(((DM493/DE493-1)*100)&gt;100,"NM",IF(((DM493/DE493-1)*100)&lt;-50,"NM",(DM493/DE493-1)*100)))</f>
        <v>3.5096541272384041</v>
      </c>
      <c r="DO493" s="369">
        <f>DO417/DO485</f>
        <v>0.88487765744083402</v>
      </c>
      <c r="DP493" s="81">
        <f>IF(ISERROR((DO493/DG493-1)*100),"NA",IF(((DO493/DG493-1)*100)&gt;100,"NM",IF(((DO493/DG493-1)*100)&lt;-50,"NM",(DO493/DG493-1)*100)))</f>
        <v>-0.89888334488725796</v>
      </c>
      <c r="DQ493" s="369">
        <f>DQ417/DQ485</f>
        <v>0.8976857490864808</v>
      </c>
      <c r="DR493" s="81">
        <f>IF(ISERROR((DQ493/DI493-1)*100),"NA",IF(((DQ493/DI493-1)*100)&gt;100,"NM",IF(((DQ493/DI493-1)*100)&lt;-50,"NM",(DQ493/DI493-1)*100)))</f>
        <v>4.3954034081402416</v>
      </c>
      <c r="DS493" s="369">
        <f>DS417/DS485</f>
        <v>0.93765381460213248</v>
      </c>
      <c r="DT493" s="81">
        <f>IF(ISERROR((DS493/DK493-1)*100),"NA",IF(((DS493/DK493-1)*100)&gt;100,"NM",IF(((DS493/DK493-1)*100)&lt;-50,"NM",(DS493/DK493-1)*100)))</f>
        <v>5.3102935992427325</v>
      </c>
      <c r="DU493" s="369">
        <f>DU417/DU485</f>
        <v>0.93533583646224372</v>
      </c>
      <c r="DV493" s="81">
        <f>IF(ISERROR((DU493/DM493-1)*100),"NA",IF(((DU493/DM493-1)*100)&gt;100,"NM",IF(((DU493/DM493-1)*100)&lt;-50,"NM",(DU493/DM493-1)*100)))</f>
        <v>5.8284871941578276</v>
      </c>
      <c r="DW493" s="369">
        <f>DW417/DW485</f>
        <v>0.98187947745469828</v>
      </c>
      <c r="DX493" s="81">
        <f>IF(ISERROR((DW493/DO493-1)*100),"NA",IF(((DW493/DO493-1)*100)&gt;100,"NM",IF(((DW493/DO493-1)*100)&lt;-50,"NM",(DW493/DO493-1)*100)))</f>
        <v>10.962173041458012</v>
      </c>
      <c r="DY493" s="369">
        <f>DY417/DY485</f>
        <v>0.97651579846285308</v>
      </c>
      <c r="DZ493" s="81">
        <f>IF(ISERROR((DY493/DQ493-1)*100),"NA",IF(((DY493/DQ493-1)*100)&gt;100,"NM",IF(((DY493/DQ493-1)*100)&lt;-50,"NM",(DY493/DQ493-1)*100)))</f>
        <v>8.7814749712349602</v>
      </c>
      <c r="EA493" s="369">
        <f>EA417/EA485</f>
        <v>0.98838209982788272</v>
      </c>
      <c r="EB493" s="81">
        <f>IF(ISERROR((EA493/DS493-1)*100),"NA",IF(((EA493/DS493-1)*100)&gt;100,"NM",IF(((EA493/DS493-1)*100)&lt;-50,"NM",(EA493/DS493-1)*100)))</f>
        <v>5.4101294567094893</v>
      </c>
      <c r="EC493" s="369">
        <f>EC417/EC485</f>
        <v>1.0247395833333321</v>
      </c>
      <c r="ED493" s="81">
        <f t="shared" ref="ED493" si="1796">IF(ISERROR((EC493/DU493-1)*100),"NA",IF(((EC493/DU493-1)*100)&gt;100,"NM",IF(((EC493/DU493-1)*100)&lt;-50,"NM",(EC493/DU493-1)*100)))</f>
        <v>9.5584648193576705</v>
      </c>
      <c r="EE493" s="369">
        <f>EE417/EE485</f>
        <v>1.0534618755477656</v>
      </c>
      <c r="EF493" s="81">
        <f t="shared" ref="EF493" si="1797">IF(ISERROR((EE493/DW493-1)*100),"NA",IF(((EE493/DW493-1)*100)&gt;100,"NM",IF(((EE493/DW493-1)*100)&lt;-50,"NM",(EE493/DW493-1)*100)))</f>
        <v>7.2903446641566116</v>
      </c>
      <c r="EG493" s="369">
        <f>EG417/EG485</f>
        <v>1.0862831858407076</v>
      </c>
      <c r="EH493" s="81">
        <f t="shared" ref="EH493" si="1798">IF(ISERROR((EG493/DY493-1)*100),"NA",IF(((EG493/DY493-1)*100)&gt;100,"NM",IF(((EG493/DY493-1)*100)&lt;-50,"NM",(EG493/DY493-1)*100)))</f>
        <v>11.240718025314166</v>
      </c>
      <c r="EI493" s="369">
        <f>EI417/EI485</f>
        <v>1.0717304270462624</v>
      </c>
      <c r="EJ493" s="81">
        <f t="shared" ref="EJ493" si="1799">IF(ISERROR((EI493/EA493-1)*100),"NA",IF(((EI493/EA493-1)*100)&gt;100,"NM",IF(((EI493/EA493-1)*100)&lt;-50,"NM",(EI493/EA493-1)*100)))</f>
        <v>8.4328041991952318</v>
      </c>
      <c r="EK493" s="369">
        <f t="shared" ref="EK493:EQ493" si="1800">EK417/EK485</f>
        <v>1.2720273653832308</v>
      </c>
      <c r="EL493" s="81">
        <f t="shared" ref="EL493" si="1801">IF(ISERROR((EK493/EC493-1)*100),"NA",IF(((EK493/EC493-1)*100)&gt;100,"NM",IF(((EK493/EC493-1)*100)&lt;-50,"NM",(EK493/EC493-1)*100)))</f>
        <v>24.131768311857993</v>
      </c>
      <c r="EM493" s="369">
        <f t="shared" si="1800"/>
        <v>1.2914948247809064</v>
      </c>
      <c r="EN493" s="81">
        <f t="shared" ref="EN493" si="1802">IF(ISERROR((EM493/EE493-1)*100),"NA",IF(((EM493/EE493-1)*100)&gt;100,"NM",IF(((EM493/EE493-1)*100)&lt;-50,"NM",(EM493/EE493-1)*100)))</f>
        <v>22.595307410566857</v>
      </c>
      <c r="EO493" s="369">
        <f t="shared" si="1800"/>
        <v>1.3077515554781463</v>
      </c>
      <c r="EP493" s="81">
        <f t="shared" ref="EP493" si="1803">IF(ISERROR((EO493/EG493-1)*100),"NA",IF(((EO493/EG493-1)*100)&gt;100,"NM",IF(((EO493/EG493-1)*100)&lt;-50,"NM",(EO493/EG493-1)*100)))</f>
        <v>20.387719567438346</v>
      </c>
      <c r="EQ493" s="369">
        <f t="shared" si="1800"/>
        <v>1.327471892073594</v>
      </c>
      <c r="ER493" s="81">
        <f t="shared" ref="ER493" si="1804">IF(ISERROR((EQ493/EI493-1)*100),"NA",IF(((EQ493/EI493-1)*100)&gt;100,"NM",IF(((EQ493/EI493-1)*100)&lt;-50,"NM",(EQ493/EI493-1)*100)))</f>
        <v>23.862480580323407</v>
      </c>
      <c r="ES493" s="82"/>
      <c r="ET493" s="465"/>
      <c r="EU493" s="82"/>
      <c r="EV493" s="363"/>
      <c r="EW493" s="79"/>
      <c r="EX493" s="363"/>
      <c r="EY493" s="79"/>
      <c r="EZ493" s="363"/>
      <c r="FA493" s="79"/>
      <c r="FB493" s="363"/>
      <c r="FC493" s="79"/>
      <c r="FD493" s="363"/>
      <c r="FE493" s="79"/>
      <c r="FF493" s="363"/>
      <c r="FG493" s="79"/>
      <c r="FH493" s="363"/>
      <c r="FI493" s="79" t="str">
        <f>IF(ISERROR((FH493/FF493-1)*100),"NA",IF(((FH493/FF493-1)*100)&gt;100,"NM",IF(((FH493/FF493-1)*100)&lt;-50,"NM",(FH493/FF493-1)*100)))</f>
        <v>NA</v>
      </c>
      <c r="FJ493" s="363">
        <f>SUM(AK493+AM493+AO493+AQ493)</f>
        <v>1.669</v>
      </c>
      <c r="FK493" s="79" t="str">
        <f>IF(ISERROR((FJ493/FH493-1)*100),"NA",IF(((FJ493/FH493-1)*100)&gt;100,"NM",IF(((FJ493/FH493-1)*100)&lt;-50,"NM",(FJ493/FH493-1)*100)))</f>
        <v>NA</v>
      </c>
      <c r="FL493" s="363">
        <f>SUM(AS493+AU493+AW493+AY493)</f>
        <v>1.78</v>
      </c>
      <c r="FM493" s="79">
        <f>IF(ISERROR((FL493/FJ493-1)*100),"NA",IF(((FL493/FJ493-1)*100)&gt;100,"NM",IF(((FL493/FJ493-1)*100)&lt;-50,"NM",(FL493/FJ493-1)*100)))</f>
        <v>6.6506890353505099</v>
      </c>
      <c r="FN493" s="363">
        <f>BA493+BC493+BE493+BG493</f>
        <v>2.1550000000000002</v>
      </c>
      <c r="FO493" s="79">
        <f>IF(ISERROR((FN493/FL493-1)*100),"NA",IF(((FN493/FL493-1)*100)&gt;100,"NM",IF(((FN493/FL493-1)*100)&lt;-50,"NM",(FN493/FL493-1)*100)))</f>
        <v>21.067415730337082</v>
      </c>
      <c r="FP493" s="369">
        <f>FP488</f>
        <v>2.5099999999999998</v>
      </c>
      <c r="FQ493" s="79">
        <f>IF(ISERROR((FP493/FN493-1)*100),"NA",IF(((FP493/FN493-1)*100)&gt;100,"NM",IF(((FP493/FN493-1)*100)&lt;-50,"NM",(FP493/FN493-1)*100)))</f>
        <v>16.473317865429205</v>
      </c>
      <c r="FR493" s="369">
        <f>(FR411*(1-FR415/100))/FR485</f>
        <v>2.5909548318157154</v>
      </c>
      <c r="FS493" s="79">
        <f>IF(ISERROR((FR493/FP493-1)*100),"NA",IF(((FR493/FP493-1)*100)&gt;100,"NM",IF(((FR493/FP493-1)*100)&lt;-50,"NM",(FR493/FP493-1)*100)))</f>
        <v>3.2252921042117855</v>
      </c>
      <c r="FT493" s="369">
        <f>(FT411*(1-FT415/100))/FT485</f>
        <v>2.732884478973884</v>
      </c>
      <c r="FU493" s="79">
        <f>IF(ISERROR((FT493/FR493-1)*100),"NA",IF(((FT493/FR493-1)*100)&gt;100,"NM",IF(((FT493/FR493-1)*100)&lt;-50,"NM",(FT493/FR493-1)*100)))</f>
        <v>5.4778896727700088</v>
      </c>
      <c r="FV493" s="374">
        <f>FV488-(-598/FV485)</f>
        <v>2.9612395773043971</v>
      </c>
      <c r="FW493" s="79">
        <f>IF(ISERROR((FV493/FT493-1)*100),"NA",IF(((FV493/FT493-1)*100)&gt;100,"NM",IF(((FV493/FT493-1)*100)&lt;-50,"NM",(FV493/FT493-1)*100)))</f>
        <v>8.3558269691755847</v>
      </c>
      <c r="FX493" s="369">
        <f>FX417/FX485</f>
        <v>3.127218823882048</v>
      </c>
      <c r="FY493" s="79">
        <f>IF(ISERROR((FX493/FV493-1)*100),"NA",IF(((FX493/FV493-1)*100)&gt;100,"NM",IF(((FX493/FV493-1)*100)&lt;-50,"NM",(FX493/FV493-1)*100)))</f>
        <v>5.6050597138358249</v>
      </c>
      <c r="FZ493" s="369">
        <f>FZ417/FZ485</f>
        <v>3.2782532708643006</v>
      </c>
      <c r="GA493" s="79">
        <f>IF(ISERROR((FZ493/FX493-1)*100),"NA",IF(((FZ493/FX493-1)*100)&gt;100,"NM",IF(((FZ493/FX493-1)*100)&lt;-50,"NM",(FZ493/FX493-1)*100)))</f>
        <v>4.8296731213315791</v>
      </c>
      <c r="GB493" s="369">
        <f>GB417/GB485</f>
        <v>3.4950672645739917</v>
      </c>
      <c r="GC493" s="79">
        <f>IF(ISERROR((GB493/FZ493-1)*100),"NA",IF(((GB493/FZ493-1)*100)&gt;100,"NM",IF(((GB493/FZ493-1)*100)&lt;-50,"NM",(GB493/FZ493-1)*100)))</f>
        <v>6.6137047932397497</v>
      </c>
      <c r="GD493" s="369">
        <f>GD417/GD485</f>
        <v>3.6030657523194822</v>
      </c>
      <c r="GE493" s="79">
        <f>IF(ISERROR((GD493/GB493-1)*100),"NA",IF(((GD493/GB493-1)*100)&gt;100,"NM",IF(((GD493/GB493-1)*100)&lt;-50,"NM",(GD493/GB493-1)*100)))</f>
        <v>3.0900260158127191</v>
      </c>
      <c r="GF493" s="369">
        <f>GF417/GF485</f>
        <v>3.8813056379822002</v>
      </c>
      <c r="GG493" s="79">
        <f>IF(ISERROR((GF493/GD493-1)*100),"NA",IF(((GF493/GD493-1)*100)&gt;100,"NM",IF(((GF493/GD493-1)*100)&lt;-50,"NM",(GF493/GD493-1)*100)))</f>
        <v>7.7223094106345425</v>
      </c>
      <c r="GH493" s="369">
        <f>GH417/GH485</f>
        <v>4.2354299538157019</v>
      </c>
      <c r="GI493" s="79">
        <f>IF(ISERROR((GH493/GF493-1)*100),"NA",IF(((GH493/GF493-1)*100)&gt;100,"NM",IF(((GH493/GF493-1)*100)&lt;-50,"NM",(GH493/GF493-1)*100)))</f>
        <v>9.1238451403585543</v>
      </c>
      <c r="GJ493" s="369">
        <f>GJ417/GJ485</f>
        <v>5.1979661887095761</v>
      </c>
      <c r="GK493" s="79">
        <f>IF(ISERROR((GJ493/GH493-1)*100),"NA",IF(((GJ493/GH493-1)*100)&gt;100,"NM",IF(((GJ493/GH493-1)*100)&lt;-50,"NM",(GJ493/GH493-1)*100)))</f>
        <v>22.725821118272172</v>
      </c>
      <c r="GL493" s="369">
        <f>GL417/GL485</f>
        <v>5.5047351554945934</v>
      </c>
      <c r="GM493" s="79">
        <f>IF(ISERROR((GL493/GJ493-1)*100),"NA",IF(((GL493/GJ493-1)*100)&gt;100,"NM",IF(((GL493/GJ493-1)*100)&lt;-50,"NM",(GL493/GJ493-1)*100)))</f>
        <v>5.901711470369797</v>
      </c>
      <c r="GN493" s="369">
        <f>GN417/GN485</f>
        <v>5.8546964937249504</v>
      </c>
      <c r="GO493" s="79">
        <f>IF(ISERROR((GN493/GL493-1)*100),"NA",IF(((GN493/GL493-1)*100)&gt;100,"NM",IF(((GN493/GL493-1)*100)&lt;-50,"NM",(GN493/GL493-1)*100)))</f>
        <v>6.3574600474836762</v>
      </c>
      <c r="GP493" s="369">
        <f>GP417/GP485</f>
        <v>6.2452514056605244</v>
      </c>
      <c r="GQ493" s="79">
        <f>IF(ISERROR((GP493/GN493-1)*100),"NA",IF(((GP493/GN493-1)*100)&gt;100,"NM",IF(((GP493/GN493-1)*100)&lt;-50,"NM",(GP493/GN493-1)*100)))</f>
        <v>6.670796895350084</v>
      </c>
      <c r="GR493" s="369">
        <f>GR417/GR485</f>
        <v>6.6510372047902013</v>
      </c>
      <c r="GS493" s="79">
        <f>IF(ISERROR((GR493/GP493-1)*100),"NA",IF(((GR493/GP493-1)*100)&gt;100,"NM",IF(((GR493/GP493-1)*100)&lt;-50,"NM",(GR493/GP493-1)*100)))</f>
        <v>6.4975094319162929</v>
      </c>
      <c r="GT493" s="79">
        <f>IF(ISERROR(((GR493/GH493)^0.2-1)*100),"NA",(IF(OR(((GR493/GH493)^0.2-1)*100&gt;99,((GR493/GH493)^0.2-1)*100&lt;-50),"NM",(((GR493/GH493)^0.2-1)*100))))</f>
        <v>9.44561719255117</v>
      </c>
      <c r="GU493" s="562"/>
      <c r="GV493" s="562"/>
      <c r="GW493"/>
      <c r="GX493"/>
      <c r="GY493"/>
      <c r="GZ493"/>
      <c r="HA493"/>
      <c r="HB493"/>
      <c r="HC493" s="562"/>
      <c r="HD493" s="562"/>
      <c r="HE493" s="562"/>
      <c r="HF493" s="562"/>
      <c r="HG493" s="562"/>
      <c r="HH493" s="562"/>
      <c r="HI493" s="562"/>
      <c r="HJ493" s="562"/>
      <c r="HK493" s="562"/>
      <c r="HL493" s="562"/>
      <c r="HM493" s="562"/>
      <c r="HN493" s="562"/>
      <c r="HO493" s="562"/>
      <c r="HP493" s="562"/>
      <c r="HQ493" s="562"/>
      <c r="HR493" s="562"/>
      <c r="HS493" s="562"/>
      <c r="HT493" s="562"/>
      <c r="HU493" s="562"/>
      <c r="HV493" s="562"/>
      <c r="HW493" s="562"/>
      <c r="HX493" s="562"/>
      <c r="HY493" s="562"/>
      <c r="HZ493" s="562"/>
      <c r="IA493" s="562"/>
      <c r="IB493" s="562"/>
      <c r="IC493" s="562"/>
      <c r="ID493" s="562"/>
      <c r="IE493" s="562"/>
      <c r="IF493" s="562"/>
      <c r="IG493" s="562"/>
      <c r="IH493" s="562"/>
      <c r="II493" s="562"/>
      <c r="IJ493" s="562"/>
      <c r="IK493" s="562"/>
      <c r="IL493" s="562"/>
      <c r="IM493" s="562"/>
      <c r="IN493" s="562"/>
      <c r="IO493" s="562"/>
      <c r="IP493" s="562"/>
      <c r="IQ493" s="562"/>
      <c r="IR493" s="562"/>
      <c r="IS493" s="562"/>
      <c r="IT493" s="562"/>
      <c r="IU493" s="562"/>
      <c r="IV493" s="562"/>
      <c r="IW493" s="562"/>
      <c r="IX493" s="562"/>
      <c r="IY493" s="562"/>
      <c r="IZ493" s="562"/>
      <c r="JA493" s="562"/>
      <c r="JB493" s="562"/>
      <c r="JC493" s="562"/>
      <c r="JD493" s="562"/>
      <c r="JE493" s="562"/>
      <c r="JF493" s="562"/>
      <c r="JG493" s="562"/>
      <c r="JH493" s="562"/>
      <c r="JI493" s="562"/>
      <c r="JJ493" s="562"/>
      <c r="JK493" s="562"/>
      <c r="JL493" s="562"/>
      <c r="JM493" s="562"/>
      <c r="JN493" s="562"/>
      <c r="JO493" s="562"/>
      <c r="JP493" s="562"/>
      <c r="JQ493" s="562"/>
      <c r="JR493" s="562"/>
      <c r="JS493" s="562"/>
      <c r="JT493" s="562"/>
      <c r="JU493" s="562"/>
      <c r="JV493" s="562"/>
      <c r="JW493" s="562"/>
      <c r="JX493" s="562"/>
      <c r="JY493" s="562"/>
      <c r="JZ493" s="562"/>
    </row>
    <row r="494" spans="1:286" s="83" customFormat="1" ht="12.75" customHeight="1" x14ac:dyDescent="0.2">
      <c r="A494" s="245"/>
      <c r="B494" s="68"/>
      <c r="C494" s="79"/>
      <c r="D494" s="79"/>
      <c r="E494" s="363"/>
      <c r="F494" s="363"/>
      <c r="G494" s="363"/>
      <c r="H494" s="363"/>
      <c r="I494" s="363"/>
      <c r="J494" s="363"/>
      <c r="K494" s="363"/>
      <c r="L494" s="79"/>
      <c r="M494" s="363"/>
      <c r="N494" s="79"/>
      <c r="O494" s="363"/>
      <c r="P494" s="79"/>
      <c r="Q494" s="363"/>
      <c r="R494" s="79"/>
      <c r="S494" s="363"/>
      <c r="T494" s="79"/>
      <c r="U494" s="363"/>
      <c r="V494" s="79"/>
      <c r="W494" s="363"/>
      <c r="X494" s="79"/>
      <c r="Y494" s="363"/>
      <c r="Z494" s="79"/>
      <c r="AA494" s="368"/>
      <c r="AB494" s="79"/>
      <c r="AC494" s="363"/>
      <c r="AD494" s="79"/>
      <c r="AE494" s="363"/>
      <c r="AF494" s="79"/>
      <c r="AG494" s="363"/>
      <c r="AH494" s="79"/>
      <c r="AI494" s="363"/>
      <c r="AJ494" s="79"/>
      <c r="AK494" s="374"/>
      <c r="AL494" s="79"/>
      <c r="AM494" s="374"/>
      <c r="AN494" s="79"/>
      <c r="AO494" s="374"/>
      <c r="AP494" s="79"/>
      <c r="AQ494" s="374"/>
      <c r="AR494" s="79"/>
      <c r="AS494" s="374"/>
      <c r="AT494" s="81"/>
      <c r="AU494" s="374"/>
      <c r="AV494" s="81"/>
      <c r="AW494" s="374"/>
      <c r="AX494" s="81"/>
      <c r="AY494" s="374"/>
      <c r="AZ494" s="81"/>
      <c r="BA494" s="374"/>
      <c r="BB494" s="81"/>
      <c r="BC494" s="374"/>
      <c r="BD494" s="81"/>
      <c r="BE494" s="374"/>
      <c r="BF494" s="81"/>
      <c r="BG494" s="374"/>
      <c r="BH494" s="81"/>
      <c r="BI494" s="374"/>
      <c r="BJ494" s="81"/>
      <c r="BK494" s="374"/>
      <c r="BL494" s="81"/>
      <c r="BM494" s="374"/>
      <c r="BN494" s="81"/>
      <c r="BO494" s="374"/>
      <c r="BP494" s="81"/>
      <c r="BQ494" s="374"/>
      <c r="BR494" s="81"/>
      <c r="BS494" s="369"/>
      <c r="BT494" s="81"/>
      <c r="BU494" s="369"/>
      <c r="BV494" s="81"/>
      <c r="BW494" s="369"/>
      <c r="BX494" s="81"/>
      <c r="BY494" s="374"/>
      <c r="BZ494" s="81"/>
      <c r="CA494" s="369"/>
      <c r="CB494" s="81"/>
      <c r="CC494" s="369"/>
      <c r="CD494" s="81"/>
      <c r="CE494" s="369"/>
      <c r="CF494" s="81"/>
      <c r="CG494" s="369"/>
      <c r="CH494" s="81"/>
      <c r="CI494" s="369"/>
      <c r="CJ494" s="81"/>
      <c r="CK494" s="374"/>
      <c r="CL494" s="81"/>
      <c r="CM494" s="374"/>
      <c r="CN494" s="81"/>
      <c r="CO494" s="369"/>
      <c r="CP494" s="81"/>
      <c r="CQ494" s="374"/>
      <c r="CR494" s="81"/>
      <c r="CS494" s="374"/>
      <c r="CT494" s="7"/>
      <c r="CU494" s="369"/>
      <c r="CV494" s="7"/>
      <c r="CW494" s="369"/>
      <c r="CX494" s="7"/>
      <c r="CY494" s="369"/>
      <c r="CZ494" s="7"/>
      <c r="DA494" s="369"/>
      <c r="DB494" s="7"/>
      <c r="DC494" s="369"/>
      <c r="DD494" s="81"/>
      <c r="DE494" s="369"/>
      <c r="DF494" s="81"/>
      <c r="DG494" s="369"/>
      <c r="DH494" s="81"/>
      <c r="DI494" s="369"/>
      <c r="DJ494" s="81"/>
      <c r="DK494" s="369"/>
      <c r="DL494" s="81"/>
      <c r="DM494" s="369"/>
      <c r="DN494" s="81"/>
      <c r="DO494" s="369"/>
      <c r="DP494" s="81"/>
      <c r="DQ494" s="369"/>
      <c r="DR494" s="81"/>
      <c r="DS494" s="369"/>
      <c r="DT494" s="81"/>
      <c r="DU494" s="369"/>
      <c r="DV494" s="81"/>
      <c r="DW494" s="369"/>
      <c r="DX494" s="81"/>
      <c r="DY494" s="369"/>
      <c r="DZ494" s="81"/>
      <c r="EA494" s="369"/>
      <c r="EB494" s="81"/>
      <c r="EC494" s="369"/>
      <c r="ED494" s="81"/>
      <c r="EE494" s="369"/>
      <c r="EF494" s="81"/>
      <c r="EG494" s="369"/>
      <c r="EH494" s="81"/>
      <c r="EI494" s="369"/>
      <c r="EJ494" s="81"/>
      <c r="EK494" s="369"/>
      <c r="EL494" s="81"/>
      <c r="EM494" s="369"/>
      <c r="EN494" s="81"/>
      <c r="EO494" s="369"/>
      <c r="EP494" s="81"/>
      <c r="EQ494" s="369"/>
      <c r="ER494" s="81"/>
      <c r="ES494" s="82"/>
      <c r="ET494" s="465"/>
      <c r="EU494" s="82"/>
      <c r="EV494" s="363"/>
      <c r="EW494" s="79"/>
      <c r="EX494" s="363"/>
      <c r="EY494" s="79"/>
      <c r="EZ494" s="363"/>
      <c r="FA494" s="79"/>
      <c r="FB494" s="363"/>
      <c r="FC494" s="79"/>
      <c r="FD494" s="363"/>
      <c r="FE494" s="79"/>
      <c r="FF494" s="363"/>
      <c r="FG494" s="79"/>
      <c r="FH494" s="363"/>
      <c r="FI494" s="79"/>
      <c r="FJ494" s="363"/>
      <c r="FK494" s="79"/>
      <c r="FL494" s="363"/>
      <c r="FM494" s="79"/>
      <c r="FN494" s="363"/>
      <c r="FO494" s="79"/>
      <c r="FP494" s="369"/>
      <c r="FQ494" s="79"/>
      <c r="FR494" s="369"/>
      <c r="FS494" s="79"/>
      <c r="FT494" s="369"/>
      <c r="FU494" s="79"/>
      <c r="FV494" s="374"/>
      <c r="FW494" s="79"/>
      <c r="FX494" s="369"/>
      <c r="FY494" s="79"/>
      <c r="FZ494" s="369"/>
      <c r="GA494" s="79"/>
      <c r="GB494" s="369"/>
      <c r="GC494" s="79"/>
      <c r="GD494" s="369"/>
      <c r="GE494" s="79"/>
      <c r="GF494" s="369"/>
      <c r="GG494" s="79"/>
      <c r="GH494" s="369"/>
      <c r="GI494" s="79"/>
      <c r="GJ494" s="369"/>
      <c r="GK494" s="79"/>
      <c r="GL494" s="369"/>
      <c r="GM494" s="79"/>
      <c r="GN494" s="369"/>
      <c r="GO494" s="79"/>
      <c r="GP494" s="369"/>
      <c r="GQ494" s="79"/>
      <c r="GR494" s="369"/>
      <c r="GS494" s="79"/>
      <c r="GT494" s="79"/>
      <c r="GU494" s="562"/>
      <c r="GV494" s="562"/>
      <c r="GW494"/>
      <c r="GX494"/>
      <c r="GY494"/>
      <c r="GZ494"/>
      <c r="HA494"/>
      <c r="HB494"/>
      <c r="HC494" s="562"/>
      <c r="HD494" s="562"/>
      <c r="HE494" s="562"/>
      <c r="HF494" s="562"/>
      <c r="HG494" s="562"/>
      <c r="HH494" s="562"/>
      <c r="HI494" s="562"/>
      <c r="HJ494" s="562"/>
      <c r="HK494" s="562"/>
      <c r="HL494" s="562"/>
      <c r="HM494" s="562"/>
      <c r="HN494" s="562"/>
      <c r="HO494" s="562"/>
      <c r="HP494" s="562"/>
      <c r="HQ494" s="562"/>
      <c r="HR494" s="562"/>
      <c r="HS494" s="562"/>
      <c r="HT494" s="562"/>
      <c r="HU494" s="562"/>
      <c r="HV494" s="562"/>
      <c r="HW494" s="562"/>
      <c r="HX494" s="562"/>
      <c r="HY494" s="562"/>
      <c r="HZ494" s="562"/>
      <c r="IA494" s="562"/>
      <c r="IB494" s="562"/>
      <c r="IC494" s="562"/>
      <c r="ID494" s="562"/>
      <c r="IE494" s="562"/>
      <c r="IF494" s="562"/>
      <c r="IG494" s="562"/>
      <c r="IH494" s="562"/>
      <c r="II494" s="562"/>
      <c r="IJ494" s="562"/>
      <c r="IK494" s="562"/>
      <c r="IL494" s="562"/>
      <c r="IM494" s="562"/>
      <c r="IN494" s="562"/>
      <c r="IO494" s="562"/>
      <c r="IP494" s="562"/>
      <c r="IQ494" s="562"/>
      <c r="IR494" s="562"/>
      <c r="IS494" s="562"/>
      <c r="IT494" s="562"/>
      <c r="IU494" s="562"/>
      <c r="IV494" s="562"/>
      <c r="IW494" s="562"/>
      <c r="IX494" s="562"/>
      <c r="IY494" s="562"/>
      <c r="IZ494" s="562"/>
      <c r="JA494" s="562"/>
      <c r="JB494" s="562"/>
      <c r="JC494" s="562"/>
      <c r="JD494" s="562"/>
      <c r="JE494" s="562"/>
      <c r="JF494" s="562"/>
      <c r="JG494" s="562"/>
      <c r="JH494" s="562"/>
      <c r="JI494" s="562"/>
      <c r="JJ494" s="562"/>
      <c r="JK494" s="562"/>
      <c r="JL494" s="562"/>
      <c r="JM494" s="562"/>
      <c r="JN494" s="562"/>
      <c r="JO494" s="562"/>
      <c r="JP494" s="562"/>
      <c r="JQ494" s="562"/>
      <c r="JR494" s="562"/>
      <c r="JS494" s="562"/>
      <c r="JT494" s="562"/>
      <c r="JU494" s="562"/>
      <c r="JV494" s="562"/>
      <c r="JW494" s="562"/>
      <c r="JX494" s="562"/>
      <c r="JY494" s="562"/>
      <c r="JZ494" s="562"/>
    </row>
    <row r="495" spans="1:286" s="871" customFormat="1" ht="12.75" customHeight="1" x14ac:dyDescent="0.2">
      <c r="A495" s="859"/>
      <c r="B495" s="860" t="s">
        <v>528</v>
      </c>
      <c r="C495" s="861"/>
      <c r="D495" s="861"/>
      <c r="E495" s="862"/>
      <c r="F495" s="862"/>
      <c r="G495" s="862"/>
      <c r="H495" s="862"/>
      <c r="I495" s="862"/>
      <c r="J495" s="862"/>
      <c r="K495" s="862"/>
      <c r="L495" s="861"/>
      <c r="M495" s="862"/>
      <c r="N495" s="861"/>
      <c r="O495" s="862"/>
      <c r="P495" s="861"/>
      <c r="Q495" s="862"/>
      <c r="R495" s="861"/>
      <c r="S495" s="862"/>
      <c r="T495" s="861"/>
      <c r="U495" s="862"/>
      <c r="V495" s="861"/>
      <c r="W495" s="862"/>
      <c r="X495" s="861"/>
      <c r="Y495" s="862"/>
      <c r="Z495" s="861"/>
      <c r="AA495" s="862"/>
      <c r="AB495" s="861"/>
      <c r="AC495" s="862"/>
      <c r="AD495" s="861"/>
      <c r="AE495" s="862"/>
      <c r="AF495" s="861"/>
      <c r="AG495" s="862"/>
      <c r="AH495" s="861"/>
      <c r="AI495" s="862"/>
      <c r="AJ495" s="861"/>
      <c r="AK495" s="863"/>
      <c r="AL495" s="861"/>
      <c r="AM495" s="863"/>
      <c r="AN495" s="861"/>
      <c r="AO495" s="863"/>
      <c r="AP495" s="861"/>
      <c r="AQ495" s="863"/>
      <c r="AR495" s="861"/>
      <c r="AS495" s="864">
        <f t="shared" ref="AS495:AY495" si="1805">AS488</f>
        <v>0.42</v>
      </c>
      <c r="AT495" s="865" t="str">
        <f>IF(ISERROR((AS495/AK495-1)*100),"NA",IF(((AS495/AK495-1)*100)&gt;100,"NM",IF(((AS495/AK495-1)*100)&lt;-50,"NM",(AS495/AK495-1)*100)))</f>
        <v>NA</v>
      </c>
      <c r="AU495" s="864">
        <f t="shared" si="1805"/>
        <v>0.43</v>
      </c>
      <c r="AV495" s="865" t="str">
        <f>IF(ISERROR((AU495/AM495-1)*100),"NA",IF(((AU495/AM495-1)*100)&gt;100,"NM",IF(((AU495/AM495-1)*100)&lt;-50,"NM",(AU495/AM495-1)*100)))</f>
        <v>NA</v>
      </c>
      <c r="AW495" s="864">
        <f t="shared" si="1805"/>
        <v>0.46</v>
      </c>
      <c r="AX495" s="865" t="str">
        <f>IF(ISERROR((AW495/AO495-1)*100),"NA",IF(((AW495/AO495-1)*100)&gt;100,"NM",IF(((AW495/AO495-1)*100)&lt;-50,"NM",(AW495/AO495-1)*100)))</f>
        <v>NA</v>
      </c>
      <c r="AY495" s="864">
        <f t="shared" si="1805"/>
        <v>0.52</v>
      </c>
      <c r="AZ495" s="865" t="str">
        <f>IF(ISERROR((AY495/AQ495-1)*100),"NA",IF(((AY495/AQ495-1)*100)&gt;100,"NM",IF(((AY495/AQ495-1)*100)&lt;-50,"NM",(AY495/AQ495-1)*100)))</f>
        <v>NA</v>
      </c>
      <c r="BA495" s="864">
        <f t="shared" ref="BA495:BW495" si="1806">BA488</f>
        <v>0.5</v>
      </c>
      <c r="BB495" s="865">
        <f>IF(ISERROR((BA495/AS495-1)*100),"NA",IF(((BA495/AS495-1)*100)&gt;100,"NM",IF(((BA495/AS495-1)*100)&lt;-50,"NM",(BA495/AS495-1)*100)))</f>
        <v>19.047619047619047</v>
      </c>
      <c r="BC495" s="864">
        <f t="shared" si="1806"/>
        <v>0.51</v>
      </c>
      <c r="BD495" s="865">
        <f>IF(ISERROR((BC495/AU495-1)*100),"NA",IF(((BC495/AU495-1)*100)&gt;100,"NM",IF(((BC495/AU495-1)*100)&lt;-50,"NM",(BC495/AU495-1)*100)))</f>
        <v>18.604651162790709</v>
      </c>
      <c r="BE495" s="864">
        <f t="shared" si="1806"/>
        <v>0.6</v>
      </c>
      <c r="BF495" s="865">
        <f>IF(ISERROR((BE495/AW495-1)*100),"NA",IF(((BE495/AW495-1)*100)&gt;100,"NM",IF(((BE495/AW495-1)*100)&lt;-50,"NM",(BE495/AW495-1)*100)))</f>
        <v>30.434782608695631</v>
      </c>
      <c r="BG495" s="864">
        <f t="shared" si="1806"/>
        <v>0.59</v>
      </c>
      <c r="BH495" s="865">
        <f>IF(ISERROR((BG495/AY495-1)*100),"NA",IF(((BG495/AY495-1)*100)&gt;100,"NM",IF(((BG495/AY495-1)*100)&lt;-50,"NM",(BG495/AY495-1)*100)))</f>
        <v>13.461538461538458</v>
      </c>
      <c r="BI495" s="864">
        <f t="shared" si="1806"/>
        <v>0.59</v>
      </c>
      <c r="BJ495" s="865">
        <f>IF(ISERROR((BI495/BA495-1)*100),"NA",IF(((BI495/BA495-1)*100)&gt;100,"NM",IF(((BI495/BA495-1)*100)&lt;-50,"NM",(BI495/BA495-1)*100)))</f>
        <v>17.999999999999993</v>
      </c>
      <c r="BK495" s="864">
        <f t="shared" si="1806"/>
        <v>0.65</v>
      </c>
      <c r="BL495" s="865">
        <f>IF(ISERROR((BK495/BC495-1)*100),"NA",IF(((BK495/BC495-1)*100)&gt;100,"NM",IF(((BK495/BC495-1)*100)&lt;-50,"NM",(BK495/BC495-1)*100)))</f>
        <v>27.450980392156854</v>
      </c>
      <c r="BM495" s="864">
        <f t="shared" si="1806"/>
        <v>0.64</v>
      </c>
      <c r="BN495" s="865">
        <f>IF(ISERROR((BM495/BE495-1)*100),"NA",IF(((BM495/BE495-1)*100)&gt;100,"NM",IF(((BM495/BE495-1)*100)&lt;-50,"NM",(BM495/BE495-1)*100)))</f>
        <v>6.6666666666666652</v>
      </c>
      <c r="BO495" s="864">
        <f t="shared" si="1806"/>
        <v>0.63</v>
      </c>
      <c r="BP495" s="865">
        <f>IF(ISERROR((BO495/BG495-1)*100),"NA",IF(((BO495/BG495-1)*100)&gt;100,"NM",IF(((BO495/BG495-1)*100)&lt;-50,"NM",(BO495/BG495-1)*100)))</f>
        <v>6.7796610169491567</v>
      </c>
      <c r="BQ495" s="864">
        <f t="shared" si="1806"/>
        <v>0.62</v>
      </c>
      <c r="BR495" s="865">
        <f>IF(ISERROR((BQ495/BI495-1)*100),"NA",IF(((BQ495/BI495-1)*100)&gt;100,"NM",IF(((BQ495/BI495-1)*100)&lt;-50,"NM",(BQ495/BI495-1)*100)))</f>
        <v>5.0847457627118731</v>
      </c>
      <c r="BS495" s="864">
        <f t="shared" si="1806"/>
        <v>0.65</v>
      </c>
      <c r="BT495" s="865">
        <f>IF(ISERROR((BS495/BK495-1)*100),"NA",IF(((BS495/BK495-1)*100)&gt;100,"NM",IF(((BS495/BK495-1)*100)&lt;-50,"NM",(BS495/BK495-1)*100)))</f>
        <v>0</v>
      </c>
      <c r="BU495" s="864">
        <f t="shared" si="1806"/>
        <v>0.64</v>
      </c>
      <c r="BV495" s="865">
        <f>IF(ISERROR((BU495/BM495-1)*100),"NA",IF(((BU495/BM495-1)*100)&gt;100,"NM",IF(((BU495/BM495-1)*100)&lt;-50,"NM",(BU495/BM495-1)*100)))</f>
        <v>0</v>
      </c>
      <c r="BW495" s="864">
        <f t="shared" si="1806"/>
        <v>0.66</v>
      </c>
      <c r="BX495" s="865">
        <f>IF(ISERROR((BW495/BO495-1)*100),"NA",IF(((BW495/BO495-1)*100)&gt;100,"NM",IF(((BW495/BO495-1)*100)&lt;-50,"NM",(BW495/BO495-1)*100)))</f>
        <v>4.7619047619047672</v>
      </c>
      <c r="BY495" s="864">
        <f t="shared" ref="BY495:CE495" si="1807">BY488</f>
        <v>0.67940993445079345</v>
      </c>
      <c r="BZ495" s="865">
        <f>IF(ISERROR((BY495/BQ495-1)*100),"NA",IF(((BY495/BQ495-1)*100)&gt;100,"NM",IF(((BY495/BQ495-1)*100)&lt;-50,"NM",(BY495/BQ495-1)*100)))</f>
        <v>9.5822474920634662</v>
      </c>
      <c r="CA495" s="864">
        <f t="shared" si="1807"/>
        <v>0.69803576338947426</v>
      </c>
      <c r="CB495" s="865">
        <f>IF(ISERROR((CA495/BS495-1)*100),"NA",IF(((CA495/BS495-1)*100)&gt;100,"NM",IF(((CA495/BS495-1)*100)&lt;-50,"NM",(CA495/BS495-1)*100)))</f>
        <v>7.3901174445345053</v>
      </c>
      <c r="CC495" s="864">
        <f t="shared" si="1807"/>
        <v>0.68820562264918328</v>
      </c>
      <c r="CD495" s="865">
        <f>IF(ISERROR((CC495/BU495-1)*100),"NA",IF(((CC495/BU495-1)*100)&gt;100,"NM",IF(((CC495/BU495-1)*100)&lt;-50,"NM",(CC495/BU495-1)*100)))</f>
        <v>7.5321285389348791</v>
      </c>
      <c r="CE495" s="864">
        <f t="shared" si="1807"/>
        <v>0.66663957821905528</v>
      </c>
      <c r="CF495" s="865">
        <f>IF(ISERROR((CE495/BW495-1)*100),"NA",IF(((CE495/BW495-1)*100)&gt;100,"NM",IF(((CE495/BW495-1)*100)&lt;-50,"NM",(CE495/BW495-1)*100)))</f>
        <v>1.0059966998568592</v>
      </c>
      <c r="CG495" s="864">
        <f>CG488</f>
        <v>0.69703300663164036</v>
      </c>
      <c r="CH495" s="865">
        <f>IF(ISERROR((CG495/BY495-1)*100),"NA",IF(((CG495/BY495-1)*100)&gt;100,"NM",IF(((CG495/BY495-1)*100)&lt;-50,"NM",(CG495/BY495-1)*100)))</f>
        <v>2.5938790834862724</v>
      </c>
      <c r="CI495" s="864">
        <f t="shared" ref="CI495:CY495" si="1808">CI488</f>
        <v>0.76444898692682983</v>
      </c>
      <c r="CJ495" s="865">
        <f>IF(ISERROR((CI495/CA495-1)*100),"NA",IF(((CI495/CA495-1)*100)&gt;100,"NM",IF(((CI495/CA495-1)*100)&lt;-50,"NM",(CI495/CA495-1)*100)))</f>
        <v>9.5143009886586416</v>
      </c>
      <c r="CK495" s="864">
        <f t="shared" si="1808"/>
        <v>0.74572262394087163</v>
      </c>
      <c r="CL495" s="865">
        <f>IF(ISERROR((CK495/CC495-1)*100),"NA",IF(((CK495/CC495-1)*100)&gt;100,"NM",IF(((CK495/CC495-1)*100)&lt;-50,"NM",(CK495/CC495-1)*100)))</f>
        <v>8.3575314410077048</v>
      </c>
      <c r="CM495" s="864">
        <f t="shared" si="1808"/>
        <v>-1.2192469066685814</v>
      </c>
      <c r="CN495" s="865" t="str">
        <f>IF(ISERROR((CM495/CE495-1)*100),"NA",IF(((CM495/CE495-1)*100)&gt;100,"NM",IF(((CM495/CE495-1)*100)&lt;-50,"NM",(CM495/CE495-1)*100)))</f>
        <v>NM</v>
      </c>
      <c r="CO495" s="864">
        <f t="shared" si="1808"/>
        <v>0.73193163253203453</v>
      </c>
      <c r="CP495" s="865">
        <f>IF(ISERROR((CO495/CG495-1)*100),"NA",IF(((CO495/CG495-1)*100)&gt;100,"NM",IF(((CO495/CG495-1)*100)&lt;-50,"NM",(CO495/CG495-1)*100)))</f>
        <v>5.0067393607426292</v>
      </c>
      <c r="CQ495" s="864">
        <f t="shared" si="1808"/>
        <v>0.79403502562156802</v>
      </c>
      <c r="CR495" s="865">
        <f>IF(ISERROR((CQ495/CI495-1)*100),"NA",IF(((CQ495/CI495-1)*100)&gt;100,"NM",IF(((CQ495/CI495-1)*100)&lt;-50,"NM",(CQ495/CI495-1)*100)))</f>
        <v>3.8702436919535232</v>
      </c>
      <c r="CS495" s="864">
        <f t="shared" si="1808"/>
        <v>0.80427691772748733</v>
      </c>
      <c r="CT495" s="866">
        <f>IF(ISERROR((CS495/CK495-1)*100),"NA",IF(((CS495/CK495-1)*100)&gt;100,"NM",IF(((CS495/CK495-1)*100)&lt;-50,"NM",(CS495/CK495-1)*100)))</f>
        <v>7.8520205645870922</v>
      </c>
      <c r="CU495" s="864">
        <f t="shared" si="1808"/>
        <v>0.8223684210526313</v>
      </c>
      <c r="CV495" s="866" t="str">
        <f>IF(ISERROR((CU495/CM495-1)*100),"NA",IF(((CU495/CM495-1)*100)&gt;100,"NM",IF(((CU495/CM495-1)*100)&lt;-50,"NM",(CU495/CM495-1)*100)))</f>
        <v>NM</v>
      </c>
      <c r="CW495" s="864">
        <f t="shared" si="1808"/>
        <v>0.78674511653490997</v>
      </c>
      <c r="CX495" s="866">
        <f>IF(ISERROR((CW495/CO495-1)*100),"NA",IF(((CW495/CO495-1)*100)&gt;100,"NM",IF(((CW495/CO495-1)*100)&lt;-50,"NM",(CW495/CO495-1)*100)))</f>
        <v>7.4888803225042322</v>
      </c>
      <c r="CY495" s="864">
        <f t="shared" si="1808"/>
        <v>0.8094136357937507</v>
      </c>
      <c r="CZ495" s="866">
        <f>IF(ISERROR((CY495/CQ495-1)*100),"NA",IF(((CY495/CQ495-1)*100)&gt;100,"NM",IF(((CY495/CQ495-1)*100)&lt;-50,"NM",(CY495/CQ495-1)*100)))</f>
        <v>1.9367672301539018</v>
      </c>
      <c r="DA495" s="864">
        <f>DA488</f>
        <v>0.83856793409688568</v>
      </c>
      <c r="DB495" s="866">
        <f>IF(ISERROR((DA495/CS495-1)*100),"NA",IF(((DA495/CS495-1)*100)&gt;100,"NM",IF(((DA495/CS495-1)*100)&lt;-50,"NM",(DA495/CS495-1)*100)))</f>
        <v>4.263583302413898</v>
      </c>
      <c r="DC495" s="864">
        <f>DC488</f>
        <v>0.81607006854531583</v>
      </c>
      <c r="DD495" s="865">
        <f>IF(ISERROR((DC495/CU495-1)*100),"NA",IF(((DC495/CU495-1)*100)&gt;100,"NM",IF(((DC495/CU495-1)*100)&lt;-50,"NM",(DC495/CU495-1)*100)))</f>
        <v>-0.76587966488955717</v>
      </c>
      <c r="DE495" s="864">
        <f>DE488</f>
        <v>0.85385500575373896</v>
      </c>
      <c r="DF495" s="865">
        <f>IF(ISERROR((DE495/CW495-1)*100),"NA",IF(((DE495/CW495-1)*100)&gt;100,"NM",IF(((DE495/CW495-1)*100)&lt;-50,"NM",(DE495/CW495-1)*100)))</f>
        <v>8.5300674651027428</v>
      </c>
      <c r="DG495" s="864">
        <f>DG488</f>
        <v>0.85808452888716569</v>
      </c>
      <c r="DH495" s="865">
        <f>IF(ISERROR((DG495/CY495-1)*100),"NA",IF(((DG495/CY495-1)*100)&gt;100,"NM",IF(((DG495/CY495-1)*100)&lt;-50,"NM",(DG495/CY495-1)*100)))</f>
        <v>6.0131051592287488</v>
      </c>
      <c r="DI495" s="864">
        <f>DI488</f>
        <v>0.85989010989011005</v>
      </c>
      <c r="DJ495" s="865">
        <f>IF(ISERROR((DI495/DA495-1)*100),"NA",IF(((DI495/DA495-1)*100)&gt;100,"NM",IF(((DI495/DA495-1)*100)&lt;-50,"NM",(DI495/DA495-1)*100)))</f>
        <v>2.5426891401693963</v>
      </c>
      <c r="DK495" s="864">
        <f>DK488</f>
        <v>-0.90768621236133129</v>
      </c>
      <c r="DL495" s="865" t="str">
        <f>IF(ISERROR((DK495/DC495-1)*100),"NA",IF(((DK495/DC495-1)*100)&gt;100,"NM",IF(((DK495/DC495-1)*100)&lt;-50,"NM",(DK495/DC495-1)*100)))</f>
        <v>NM</v>
      </c>
      <c r="DM495" s="864">
        <f>DM488</f>
        <v>0.8838223632038068</v>
      </c>
      <c r="DN495" s="865">
        <f>IF(ISERROR((DM495/DE495-1)*100),"NA",IF(((DM495/DE495-1)*100)&gt;100,"NM",IF(((DM495/DE495-1)*100)&lt;-50,"NM",(DM495/DE495-1)*100)))</f>
        <v>3.5096541272384041</v>
      </c>
      <c r="DO495" s="864">
        <f>DO488</f>
        <v>0.88487765744083402</v>
      </c>
      <c r="DP495" s="865">
        <f>IF(ISERROR((DO495/DG495-1)*100),"NA",IF(((DO495/DG495-1)*100)&gt;100,"NM",IF(((DO495/DG495-1)*100)&lt;-50,"NM",(DO495/DG495-1)*100)))</f>
        <v>3.1224346380438694</v>
      </c>
      <c r="DQ495" s="864">
        <f>DQ488</f>
        <v>0.8976857490864808</v>
      </c>
      <c r="DR495" s="865">
        <f>IF(ISERROR((DQ495/DI495-1)*100),"NA",IF(((DQ495/DI495-1)*100)&gt;100,"NM",IF(((DQ495/DI495-1)*100)&lt;-50,"NM",(DQ495/DI495-1)*100)))</f>
        <v>4.3954034081402416</v>
      </c>
      <c r="DS495" s="864">
        <f>DS488</f>
        <v>0.93765381460213248</v>
      </c>
      <c r="DT495" s="865" t="str">
        <f>IF(ISERROR((DS495/DK495-1)*100),"NA",IF(((DS495/DK495-1)*100)&gt;100,"NM",IF(((DS495/DK495-1)*100)&lt;-50,"NM",(DS495/DK495-1)*100)))</f>
        <v>NM</v>
      </c>
      <c r="DU495" s="864">
        <f>DU488</f>
        <v>0.93533583646224372</v>
      </c>
      <c r="DV495" s="865">
        <f>IF(ISERROR((DU495/DM495-1)*100),"NA",IF(((DU495/DM495-1)*100)&gt;100,"NM",IF(((DU495/DM495-1)*100)&lt;-50,"NM",(DU495/DM495-1)*100)))</f>
        <v>5.8284871941578276</v>
      </c>
      <c r="DW495" s="864">
        <f>DW488</f>
        <v>0.98187947745469828</v>
      </c>
      <c r="DX495" s="865">
        <f>IF(ISERROR((DW495/DO495-1)*100),"NA",IF(((DW495/DO495-1)*100)&gt;100,"NM",IF(((DW495/DO495-1)*100)&lt;-50,"NM",(DW495/DO495-1)*100)))</f>
        <v>10.962173041458012</v>
      </c>
      <c r="DY495" s="864">
        <f>DY488</f>
        <v>0.97651579846285308</v>
      </c>
      <c r="DZ495" s="865">
        <f>IF(ISERROR((DY495/DQ495-1)*100),"NA",IF(((DY495/DQ495-1)*100)&gt;100,"NM",IF(((DY495/DQ495-1)*100)&lt;-50,"NM",(DY495/DQ495-1)*100)))</f>
        <v>8.7814749712349602</v>
      </c>
      <c r="EA495" s="864">
        <f>EA488</f>
        <v>0.98838209982788272</v>
      </c>
      <c r="EB495" s="865">
        <f>IF(ISERROR((EA495/DS495-1)*100),"NA",IF(((EA495/DS495-1)*100)&gt;100,"NM",IF(((EA495/DS495-1)*100)&lt;-50,"NM",(EA495/DS495-1)*100)))</f>
        <v>5.4101294567094893</v>
      </c>
      <c r="EC495" s="864">
        <f>EC488</f>
        <v>1.0247395833333321</v>
      </c>
      <c r="ED495" s="865">
        <f t="shared" ref="ED495" si="1809">IF(ISERROR((EC495/DU495-1)*100),"NA",IF(((EC495/DU495-1)*100)&gt;100,"NM",IF(((EC495/DU495-1)*100)&lt;-50,"NM",(EC495/DU495-1)*100)))</f>
        <v>9.5584648193576705</v>
      </c>
      <c r="EE495" s="864">
        <f>EE488</f>
        <v>1.0534618755477656</v>
      </c>
      <c r="EF495" s="865">
        <f t="shared" ref="EF495" si="1810">IF(ISERROR((EE495/DW495-1)*100),"NA",IF(((EE495/DW495-1)*100)&gt;100,"NM",IF(((EE495/DW495-1)*100)&lt;-50,"NM",(EE495/DW495-1)*100)))</f>
        <v>7.2903446641566116</v>
      </c>
      <c r="EG495" s="864">
        <f>EG488</f>
        <v>1.0862831858407076</v>
      </c>
      <c r="EH495" s="865">
        <f t="shared" ref="EH495" si="1811">IF(ISERROR((EG495/DY495-1)*100),"NA",IF(((EG495/DY495-1)*100)&gt;100,"NM",IF(((EG495/DY495-1)*100)&lt;-50,"NM",(EG495/DY495-1)*100)))</f>
        <v>11.240718025314166</v>
      </c>
      <c r="EI495" s="864">
        <f>EI488</f>
        <v>1.1281138790035579</v>
      </c>
      <c r="EJ495" s="865">
        <f t="shared" ref="EJ495" si="1812">IF(ISERROR((EI495/EA495-1)*100),"NA",IF(((EI495/EA495-1)*100)&gt;100,"NM",IF(((EI495/EA495-1)*100)&lt;-50,"NM",(EI495/EA495-1)*100)))</f>
        <v>14.137425111200219</v>
      </c>
      <c r="EK495" s="856">
        <f t="shared" ref="EK495:EQ495" si="1813">EK493</f>
        <v>1.2720273653832308</v>
      </c>
      <c r="EL495" s="865">
        <f t="shared" ref="EL495" si="1814">IF(ISERROR((EK495/EC495-1)*100),"NA",IF(((EK495/EC495-1)*100)&gt;100,"NM",IF(((EK495/EC495-1)*100)&lt;-50,"NM",(EK495/EC495-1)*100)))</f>
        <v>24.131768311857993</v>
      </c>
      <c r="EM495" s="856">
        <f t="shared" si="1813"/>
        <v>1.2914948247809064</v>
      </c>
      <c r="EN495" s="865">
        <f t="shared" ref="EN495" si="1815">IF(ISERROR((EM495/EE495-1)*100),"NA",IF(((EM495/EE495-1)*100)&gt;100,"NM",IF(((EM495/EE495-1)*100)&lt;-50,"NM",(EM495/EE495-1)*100)))</f>
        <v>22.595307410566857</v>
      </c>
      <c r="EO495" s="856">
        <f t="shared" si="1813"/>
        <v>1.3077515554781463</v>
      </c>
      <c r="EP495" s="865">
        <f t="shared" ref="EP495" si="1816">IF(ISERROR((EO495/EG495-1)*100),"NA",IF(((EO495/EG495-1)*100)&gt;100,"NM",IF(((EO495/EG495-1)*100)&lt;-50,"NM",(EO495/EG495-1)*100)))</f>
        <v>20.387719567438346</v>
      </c>
      <c r="EQ495" s="856">
        <f t="shared" si="1813"/>
        <v>1.327471892073594</v>
      </c>
      <c r="ER495" s="865">
        <f t="shared" ref="ER495" si="1817">IF(ISERROR((EQ495/EI495-1)*100),"NA",IF(((EQ495/EI495-1)*100)&gt;100,"NM",IF(((EQ495/EI495-1)*100)&lt;-50,"NM",(EQ495/EI495-1)*100)))</f>
        <v>17.671798634914882</v>
      </c>
      <c r="ES495" s="867"/>
      <c r="ET495" s="868"/>
      <c r="EU495" s="867"/>
      <c r="EV495" s="862"/>
      <c r="EW495" s="861"/>
      <c r="EX495" s="862"/>
      <c r="EY495" s="861"/>
      <c r="EZ495" s="862"/>
      <c r="FA495" s="861"/>
      <c r="FB495" s="862"/>
      <c r="FC495" s="861"/>
      <c r="FD495" s="862"/>
      <c r="FE495" s="861"/>
      <c r="FF495" s="862"/>
      <c r="FG495" s="861"/>
      <c r="FH495" s="862"/>
      <c r="FI495" s="861"/>
      <c r="FJ495" s="862"/>
      <c r="FK495" s="861"/>
      <c r="FL495" s="862"/>
      <c r="FM495" s="861"/>
      <c r="FN495" s="862"/>
      <c r="FO495" s="861"/>
      <c r="FP495" s="864"/>
      <c r="FQ495" s="861"/>
      <c r="FR495" s="864"/>
      <c r="FS495" s="861"/>
      <c r="FT495" s="864">
        <f>FT419/FT485</f>
        <v>2.732884478973888</v>
      </c>
      <c r="FU495" s="861" t="str">
        <f>IF(ISERROR((FT495/FR495-1)*100),"NA",IF(((FT495/FR495-1)*100)&gt;100,"NM",IF(((FT495/FR495-1)*100)&lt;-50,"NM",(FT495/FR495-1)*100)))</f>
        <v>NA</v>
      </c>
      <c r="FV495" s="864">
        <f>FV419/FV485</f>
        <v>1.0077687916143476</v>
      </c>
      <c r="FW495" s="861" t="str">
        <f>IF(ISERROR((FV495/FT495-1)*100),"NA",IF(((FV495/FT495-1)*100)&gt;100,"NM",IF(((FV495/FT495-1)*100)&lt;-50,"NM",(FV495/FT495-1)*100)))</f>
        <v>NM</v>
      </c>
      <c r="FX495" s="864">
        <f>FX419/FX485</f>
        <v>3.1495763801580989</v>
      </c>
      <c r="FY495" s="861" t="str">
        <f>IF(ISERROR((FX495/FV495-1)*100),"NA",IF(((FX495/FV495-1)*100)&gt;100,"NM",IF(((FX495/FV495-1)*100)&lt;-50,"NM",(FX495/FV495-1)*100)))</f>
        <v>NM</v>
      </c>
      <c r="FZ495" s="864">
        <f>FZ419/FZ485</f>
        <v>3.2501504660823857</v>
      </c>
      <c r="GA495" s="861">
        <f>IF(ISERROR((FZ495/FX495-1)*100),"NA",IF(((FZ495/FX495-1)*100)&gt;100,"NM",IF(((FZ495/FX495-1)*100)&lt;-50,"NM",(FZ495/FX495-1)*100)))</f>
        <v>3.1932575618070391</v>
      </c>
      <c r="GB495" s="864">
        <f>GB419/GB485</f>
        <v>1.6919477480990437</v>
      </c>
      <c r="GC495" s="861">
        <f>IF(ISERROR((GB495/FZ495-1)*100),"NA",IF(((GB495/FZ495-1)*100)&gt;100,"NM",IF(((GB495/FZ495-1)*100)&lt;-50,"NM",(GB495/FZ495-1)*100)))</f>
        <v>-47.942479409623871</v>
      </c>
      <c r="GD495" s="864">
        <f>GD419/GD485</f>
        <v>3.6030657523194844</v>
      </c>
      <c r="GE495" s="861" t="str">
        <f>IF(ISERROR((GD495/GB495-1)*100),"NA",IF(((GD495/GB495-1)*100)&gt;100,"NM",IF(((GD495/GB495-1)*100)&lt;-50,"NM",(GD495/GB495-1)*100)))</f>
        <v>NM</v>
      </c>
      <c r="GF495" s="864">
        <f>GF419/GF485</f>
        <v>3.8813056379821944</v>
      </c>
      <c r="GG495" s="861">
        <f>IF(ISERROR((GF495/GD495-1)*100),"NA",IF(((GF495/GD495-1)*100)&gt;100,"NM",IF(((GF495/GD495-1)*100)&lt;-50,"NM",(GF495/GD495-1)*100)))</f>
        <v>7.7223094106343204</v>
      </c>
      <c r="GH495" s="864">
        <f>GH419/GH485</f>
        <v>4.291180998460522</v>
      </c>
      <c r="GI495" s="861">
        <f>IF(ISERROR((GH495/GF495-1)*100),"NA",IF(((GH495/GF495-1)*100)&gt;100,"NM",IF(((GH495/GF495-1)*100)&lt;-50,"NM",(GH495/GF495-1)*100)))</f>
        <v>10.560244379296368</v>
      </c>
      <c r="GJ495" s="864">
        <f>GJ419/GJ485</f>
        <v>5.1979661887095743</v>
      </c>
      <c r="GK495" s="861">
        <f>IF(ISERROR((GJ495/GH495-1)*100),"NA",IF(((GJ495/GH495-1)*100)&gt;100,"NM",IF(((GJ495/GH495-1)*100)&lt;-50,"NM",(GJ495/GH495-1)*100)))</f>
        <v>21.13136664648647</v>
      </c>
      <c r="GL495" s="856">
        <f>GL493</f>
        <v>5.5047351554945934</v>
      </c>
      <c r="GM495" s="861">
        <f>IF(ISERROR((GL495/GJ495-1)*100),"NA",IF(((GL495/GJ495-1)*100)&gt;100,"NM",IF(((GL495/GJ495-1)*100)&lt;-50,"NM",(GL495/GJ495-1)*100)))</f>
        <v>5.9017114703698415</v>
      </c>
      <c r="GN495" s="856">
        <f>GN493</f>
        <v>5.8546964937249504</v>
      </c>
      <c r="GO495" s="861">
        <f>IF(ISERROR((GN495/GL495-1)*100),"NA",IF(((GN495/GL495-1)*100)&gt;100,"NM",IF(((GN495/GL495-1)*100)&lt;-50,"NM",(GN495/GL495-1)*100)))</f>
        <v>6.3574600474836762</v>
      </c>
      <c r="GP495" s="856">
        <f>GP493</f>
        <v>6.2452514056605244</v>
      </c>
      <c r="GQ495" s="861">
        <f>IF(ISERROR((GP495/GN495-1)*100),"NA",IF(((GP495/GN495-1)*100)&gt;100,"NM",IF(((GP495/GN495-1)*100)&lt;-50,"NM",(GP495/GN495-1)*100)))</f>
        <v>6.670796895350084</v>
      </c>
      <c r="GR495" s="856">
        <f>GR493</f>
        <v>6.6510372047902013</v>
      </c>
      <c r="GS495" s="861">
        <f>IF(ISERROR((GR495/GP495-1)*100),"NA",IF(((GR495/GP495-1)*100)&gt;100,"NM",IF(((GR495/GP495-1)*100)&lt;-50,"NM",(GR495/GP495-1)*100)))</f>
        <v>6.4975094319162929</v>
      </c>
      <c r="GT495" s="861">
        <f>IF(ISERROR(((GR495/GH495)^0.2-1)*100),"NA",(IF(OR(((GR495/GH495)^0.2-1)*100&gt;99,((GR495/GH495)^0.2-1)*100&lt;-50),"NM",(((GR495/GH495)^0.2-1)*100))))</f>
        <v>9.1597440816612696</v>
      </c>
      <c r="GU495" s="869"/>
      <c r="GV495" s="869"/>
      <c r="GW495"/>
      <c r="GX495"/>
      <c r="GY495"/>
      <c r="GZ495"/>
      <c r="HA495"/>
      <c r="HB495"/>
      <c r="HC495" s="869"/>
      <c r="HD495" s="869"/>
      <c r="HE495" s="869"/>
      <c r="HF495" s="869"/>
      <c r="HG495" s="869"/>
      <c r="HH495" s="869"/>
      <c r="HI495" s="869"/>
      <c r="HJ495" s="869"/>
      <c r="HK495" s="869"/>
      <c r="HL495" s="869"/>
      <c r="HM495" s="869"/>
      <c r="HN495" s="869"/>
      <c r="HO495" s="869"/>
      <c r="HP495" s="869"/>
      <c r="HQ495" s="869"/>
      <c r="HR495" s="869"/>
      <c r="HS495" s="869"/>
      <c r="HT495" s="869"/>
      <c r="HU495" s="869"/>
      <c r="HV495" s="869"/>
      <c r="HW495" s="869"/>
      <c r="HX495" s="869"/>
      <c r="HY495" s="869"/>
      <c r="HZ495" s="869"/>
      <c r="IA495" s="869"/>
      <c r="IB495" s="869"/>
      <c r="IC495" s="869"/>
      <c r="ID495" s="869"/>
      <c r="IE495" s="869"/>
      <c r="IF495" s="869"/>
      <c r="IG495" s="869"/>
      <c r="IH495" s="869"/>
      <c r="II495" s="869"/>
      <c r="IJ495" s="869"/>
      <c r="IK495" s="869"/>
      <c r="IL495" s="869"/>
      <c r="IM495" s="869"/>
      <c r="IN495" s="869"/>
      <c r="IO495" s="869"/>
      <c r="IP495" s="869"/>
      <c r="IQ495" s="869"/>
      <c r="IR495" s="869"/>
      <c r="IS495" s="869"/>
      <c r="IT495" s="869"/>
      <c r="IU495" s="869"/>
      <c r="IV495" s="869"/>
      <c r="IW495" s="869"/>
      <c r="IX495" s="869"/>
      <c r="IY495" s="869"/>
      <c r="IZ495" s="869"/>
      <c r="JA495" s="869"/>
      <c r="JB495" s="869"/>
      <c r="JC495" s="869"/>
      <c r="JD495" s="869"/>
      <c r="JE495" s="869"/>
      <c r="JF495" s="869"/>
      <c r="JG495" s="869"/>
      <c r="JH495" s="869"/>
      <c r="JI495" s="869"/>
      <c r="JJ495" s="869"/>
      <c r="JK495" s="869"/>
      <c r="JL495" s="869"/>
      <c r="JM495" s="869"/>
      <c r="JN495" s="869"/>
      <c r="JO495" s="869"/>
      <c r="JP495" s="869"/>
      <c r="JQ495" s="869"/>
      <c r="JR495" s="869"/>
      <c r="JS495" s="869"/>
      <c r="JT495" s="869"/>
      <c r="JU495" s="869"/>
      <c r="JV495" s="869"/>
      <c r="JW495" s="869"/>
      <c r="JX495" s="869"/>
      <c r="JY495" s="869"/>
      <c r="JZ495" s="869"/>
    </row>
    <row r="496" spans="1:286" s="83" customFormat="1" ht="12.75" customHeight="1" x14ac:dyDescent="0.2">
      <c r="A496" s="245"/>
      <c r="B496" s="68"/>
      <c r="C496" s="79"/>
      <c r="D496" s="79"/>
      <c r="E496" s="363"/>
      <c r="F496" s="363"/>
      <c r="G496" s="363"/>
      <c r="H496" s="363"/>
      <c r="I496" s="363"/>
      <c r="J496" s="363"/>
      <c r="K496" s="363"/>
      <c r="L496" s="79"/>
      <c r="M496" s="363"/>
      <c r="N496" s="79"/>
      <c r="O496" s="363"/>
      <c r="P496" s="79"/>
      <c r="Q496" s="363"/>
      <c r="R496" s="79"/>
      <c r="S496" s="363"/>
      <c r="T496" s="79"/>
      <c r="U496" s="363"/>
      <c r="V496" s="79"/>
      <c r="W496" s="363"/>
      <c r="X496" s="79"/>
      <c r="Y496" s="363"/>
      <c r="Z496" s="79"/>
      <c r="AA496" s="368"/>
      <c r="AB496" s="79"/>
      <c r="AC496" s="363"/>
      <c r="AD496" s="79"/>
      <c r="AE496" s="363"/>
      <c r="AF496" s="79"/>
      <c r="AG496" s="363"/>
      <c r="AH496" s="79"/>
      <c r="AI496" s="363"/>
      <c r="AJ496" s="79"/>
      <c r="AK496" s="374"/>
      <c r="AL496" s="79"/>
      <c r="AM496" s="374"/>
      <c r="AN496" s="79"/>
      <c r="AO496" s="374"/>
      <c r="AP496" s="79"/>
      <c r="AQ496" s="374"/>
      <c r="AR496" s="79"/>
      <c r="AS496" s="374"/>
      <c r="AT496" s="81"/>
      <c r="AU496" s="374"/>
      <c r="AV496" s="81"/>
      <c r="AW496" s="374"/>
      <c r="AX496" s="81"/>
      <c r="AY496" s="374"/>
      <c r="AZ496" s="81"/>
      <c r="BA496" s="374"/>
      <c r="BB496" s="81"/>
      <c r="BC496" s="374"/>
      <c r="BD496" s="81"/>
      <c r="BE496" s="374"/>
      <c r="BF496" s="81"/>
      <c r="BG496" s="374"/>
      <c r="BH496" s="81"/>
      <c r="BI496" s="374"/>
      <c r="BJ496" s="81"/>
      <c r="BK496" s="374"/>
      <c r="BL496" s="81"/>
      <c r="BM496" s="374"/>
      <c r="BN496" s="81"/>
      <c r="BO496" s="374"/>
      <c r="BP496" s="81"/>
      <c r="BQ496" s="374"/>
      <c r="BR496" s="81"/>
      <c r="BS496" s="369"/>
      <c r="BT496" s="81"/>
      <c r="BU496" s="369"/>
      <c r="BV496" s="81"/>
      <c r="BW496" s="369"/>
      <c r="BX496" s="81"/>
      <c r="BY496" s="374"/>
      <c r="BZ496" s="81"/>
      <c r="CA496" s="369"/>
      <c r="CB496" s="81"/>
      <c r="CC496" s="369"/>
      <c r="CD496" s="81"/>
      <c r="CE496" s="369"/>
      <c r="CF496" s="81"/>
      <c r="CG496" s="369"/>
      <c r="CH496" s="81"/>
      <c r="CI496" s="369"/>
      <c r="CJ496" s="81"/>
      <c r="CK496" s="374"/>
      <c r="CL496" s="81"/>
      <c r="CM496" s="374"/>
      <c r="CN496" s="81"/>
      <c r="CO496" s="369"/>
      <c r="CP496" s="81"/>
      <c r="CQ496" s="374"/>
      <c r="CR496" s="81"/>
      <c r="CS496" s="374"/>
      <c r="CT496" s="7"/>
      <c r="CU496" s="369"/>
      <c r="CV496" s="7"/>
      <c r="CW496" s="369"/>
      <c r="CX496" s="7"/>
      <c r="CY496" s="369"/>
      <c r="CZ496" s="7"/>
      <c r="DA496" s="369"/>
      <c r="DB496" s="7"/>
      <c r="DC496" s="369"/>
      <c r="DD496" s="81"/>
      <c r="DE496" s="369"/>
      <c r="DF496" s="81"/>
      <c r="DG496" s="369"/>
      <c r="DH496" s="81"/>
      <c r="DI496" s="369"/>
      <c r="DJ496" s="81"/>
      <c r="DK496" s="369"/>
      <c r="DL496" s="81"/>
      <c r="DM496" s="369"/>
      <c r="DN496" s="81"/>
      <c r="DO496" s="369"/>
      <c r="DP496" s="81"/>
      <c r="DQ496" s="915"/>
      <c r="DR496" s="81"/>
      <c r="DS496" s="915"/>
      <c r="DT496" s="81"/>
      <c r="DU496" s="915"/>
      <c r="DV496" s="81"/>
      <c r="DW496" s="915"/>
      <c r="DX496" s="81"/>
      <c r="DY496" s="915"/>
      <c r="DZ496" s="81"/>
      <c r="EA496" s="915"/>
      <c r="EB496" s="81"/>
      <c r="EC496" s="915"/>
      <c r="ED496" s="81"/>
      <c r="EE496" s="915"/>
      <c r="EF496" s="81"/>
      <c r="EG496" s="915"/>
      <c r="EH496" s="81"/>
      <c r="EI496" s="915"/>
      <c r="EJ496" s="81"/>
      <c r="EK496" s="369"/>
      <c r="EL496" s="81"/>
      <c r="EM496" s="369"/>
      <c r="EN496" s="81"/>
      <c r="EO496" s="369"/>
      <c r="EP496" s="81"/>
      <c r="EQ496" s="369"/>
      <c r="ER496" s="81"/>
      <c r="ES496" s="82"/>
      <c r="ET496" s="465"/>
      <c r="EU496" s="82"/>
      <c r="EV496" s="363"/>
      <c r="EW496" s="79"/>
      <c r="EX496" s="363"/>
      <c r="EY496" s="79"/>
      <c r="EZ496" s="363"/>
      <c r="FA496" s="79"/>
      <c r="FB496" s="363"/>
      <c r="FC496" s="79"/>
      <c r="FD496" s="363"/>
      <c r="FE496" s="79"/>
      <c r="FF496" s="363"/>
      <c r="FG496" s="79"/>
      <c r="FH496" s="363"/>
      <c r="FI496" s="79"/>
      <c r="FJ496" s="363"/>
      <c r="FK496" s="79"/>
      <c r="FL496" s="363"/>
      <c r="FM496" s="79"/>
      <c r="FN496" s="363"/>
      <c r="FO496" s="79"/>
      <c r="FP496" s="369"/>
      <c r="FQ496" s="79"/>
      <c r="FR496" s="369"/>
      <c r="FS496" s="79"/>
      <c r="FT496" s="369"/>
      <c r="FU496" s="79"/>
      <c r="FV496" s="374"/>
      <c r="FW496" s="79"/>
      <c r="FX496" s="369"/>
      <c r="FY496" s="79"/>
      <c r="FZ496" s="369"/>
      <c r="GA496" s="79"/>
      <c r="GB496" s="369"/>
      <c r="GC496" s="79"/>
      <c r="GD496" s="369"/>
      <c r="GE496" s="79"/>
      <c r="GF496" s="369"/>
      <c r="GG496" s="79"/>
      <c r="GH496" s="369"/>
      <c r="GI496" s="79"/>
      <c r="GJ496" s="369"/>
      <c r="GK496" s="79"/>
      <c r="GL496" s="369"/>
      <c r="GM496" s="79"/>
      <c r="GN496" s="369"/>
      <c r="GO496" s="79"/>
      <c r="GP496" s="369"/>
      <c r="GQ496" s="79"/>
      <c r="GR496" s="369"/>
      <c r="GS496" s="79"/>
      <c r="GT496" s="79"/>
      <c r="GU496" s="562"/>
      <c r="GV496" s="562"/>
      <c r="GW496"/>
      <c r="GX496"/>
      <c r="GY496"/>
      <c r="GZ496"/>
      <c r="HA496"/>
      <c r="HB496"/>
      <c r="HC496" s="562"/>
      <c r="HD496" s="562"/>
      <c r="HE496" s="562"/>
      <c r="HF496" s="562"/>
      <c r="HG496" s="562"/>
      <c r="HH496" s="562"/>
      <c r="HI496" s="562"/>
      <c r="HJ496" s="562"/>
      <c r="HK496" s="562"/>
      <c r="HL496" s="562"/>
      <c r="HM496" s="562"/>
      <c r="HN496" s="562"/>
      <c r="HO496" s="562"/>
      <c r="HP496" s="562"/>
      <c r="HQ496" s="562"/>
      <c r="HR496" s="562"/>
      <c r="HS496" s="562"/>
      <c r="HT496" s="562"/>
      <c r="HU496" s="562"/>
      <c r="HV496" s="562"/>
      <c r="HW496" s="562"/>
      <c r="HX496" s="562"/>
      <c r="HY496" s="562"/>
      <c r="HZ496" s="562"/>
      <c r="IA496" s="562"/>
      <c r="IB496" s="562"/>
      <c r="IC496" s="562"/>
      <c r="ID496" s="562"/>
      <c r="IE496" s="562"/>
      <c r="IF496" s="562"/>
      <c r="IG496" s="562"/>
      <c r="IH496" s="562"/>
      <c r="II496" s="562"/>
      <c r="IJ496" s="562"/>
      <c r="IK496" s="562"/>
      <c r="IL496" s="562"/>
      <c r="IM496" s="562"/>
      <c r="IN496" s="562"/>
      <c r="IO496" s="562"/>
      <c r="IP496" s="562"/>
      <c r="IQ496" s="562"/>
      <c r="IR496" s="562"/>
      <c r="IS496" s="562"/>
      <c r="IT496" s="562"/>
      <c r="IU496" s="562"/>
      <c r="IV496" s="562"/>
      <c r="IW496" s="562"/>
      <c r="IX496" s="562"/>
      <c r="IY496" s="562"/>
      <c r="IZ496" s="562"/>
      <c r="JA496" s="562"/>
      <c r="JB496" s="562"/>
      <c r="JC496" s="562"/>
      <c r="JD496" s="562"/>
      <c r="JE496" s="562"/>
      <c r="JF496" s="562"/>
      <c r="JG496" s="562"/>
      <c r="JH496" s="562"/>
      <c r="JI496" s="562"/>
      <c r="JJ496" s="562"/>
      <c r="JK496" s="562"/>
      <c r="JL496" s="562"/>
      <c r="JM496" s="562"/>
      <c r="JN496" s="562"/>
      <c r="JO496" s="562"/>
      <c r="JP496" s="562"/>
      <c r="JQ496" s="562"/>
      <c r="JR496" s="562"/>
      <c r="JS496" s="562"/>
      <c r="JT496" s="562"/>
      <c r="JU496" s="562"/>
      <c r="JV496" s="562"/>
      <c r="JW496" s="562"/>
      <c r="JX496" s="562"/>
      <c r="JY496" s="562"/>
      <c r="JZ496" s="562"/>
    </row>
    <row r="497" spans="1:286" ht="12.75" customHeight="1" x14ac:dyDescent="0.2">
      <c r="A497" s="1"/>
      <c r="B497" s="2"/>
      <c r="C497" s="79"/>
      <c r="D497" s="79"/>
      <c r="E497" s="367"/>
      <c r="F497" s="367"/>
      <c r="G497" s="367"/>
      <c r="H497" s="367"/>
      <c r="I497" s="367"/>
      <c r="J497" s="367"/>
      <c r="K497" s="367"/>
      <c r="L497" s="279"/>
      <c r="M497" s="367"/>
      <c r="N497" s="279"/>
      <c r="O497" s="367"/>
      <c r="P497" s="279"/>
      <c r="Q497" s="367"/>
      <c r="R497" s="279"/>
      <c r="S497" s="367"/>
      <c r="T497" s="279"/>
      <c r="U497" s="367"/>
      <c r="V497" s="279"/>
      <c r="W497" s="367"/>
      <c r="X497" s="279"/>
      <c r="Y497" s="367"/>
      <c r="Z497" s="279"/>
      <c r="AA497" s="375"/>
      <c r="AB497" s="279"/>
      <c r="AC497" s="367"/>
      <c r="AD497" s="279"/>
      <c r="AE497" s="367"/>
      <c r="AF497" s="279"/>
      <c r="AG497" s="367"/>
      <c r="AH497" s="279"/>
      <c r="AI497" s="367"/>
      <c r="AJ497" s="279"/>
      <c r="AK497" s="367"/>
      <c r="AL497" s="279"/>
      <c r="AM497" s="367"/>
      <c r="AN497" s="279"/>
      <c r="AO497" s="367"/>
      <c r="AP497" s="279"/>
      <c r="AQ497" s="367"/>
      <c r="AR497" s="279"/>
      <c r="AS497" s="367"/>
      <c r="AT497" s="81"/>
      <c r="AU497" s="367"/>
      <c r="AV497" s="81"/>
      <c r="AW497" s="367"/>
      <c r="AX497" s="81"/>
      <c r="AY497" s="367"/>
      <c r="AZ497" s="81"/>
      <c r="BA497" s="367"/>
      <c r="BB497" s="81"/>
      <c r="BC497" s="367"/>
      <c r="BD497" s="81"/>
      <c r="BE497" s="367"/>
      <c r="BF497" s="81"/>
      <c r="BG497" s="367"/>
      <c r="BH497" s="81"/>
      <c r="BI497" s="367"/>
      <c r="BJ497" s="81"/>
      <c r="BK497" s="367"/>
      <c r="BL497" s="81"/>
      <c r="BM497" s="367"/>
      <c r="BN497" s="81"/>
      <c r="BO497" s="367"/>
      <c r="BP497" s="81"/>
      <c r="BQ497" s="367"/>
      <c r="BR497" s="81"/>
      <c r="BS497" s="367"/>
      <c r="BT497" s="81"/>
      <c r="BU497" s="367"/>
      <c r="BV497" s="81"/>
      <c r="BW497" s="367"/>
      <c r="BX497" s="81"/>
      <c r="BY497" s="367"/>
      <c r="BZ497" s="81"/>
      <c r="CA497" s="367"/>
      <c r="CB497" s="81"/>
      <c r="CC497" s="367"/>
      <c r="CD497" s="81"/>
      <c r="CE497" s="367"/>
      <c r="CF497" s="81"/>
      <c r="CG497" s="367"/>
      <c r="CH497" s="426"/>
      <c r="CI497" s="367"/>
      <c r="CJ497" s="426"/>
      <c r="CK497" s="367"/>
      <c r="CL497" s="426"/>
      <c r="CM497" s="367"/>
      <c r="CN497" s="81"/>
      <c r="CO497" s="367"/>
      <c r="CP497" s="81"/>
      <c r="CQ497" s="367"/>
      <c r="CR497" s="81"/>
      <c r="CS497" s="367"/>
      <c r="CT497" s="81"/>
      <c r="CU497" s="367"/>
      <c r="CV497" s="81"/>
      <c r="CW497" s="367"/>
      <c r="CX497" s="81"/>
      <c r="CY497" s="367"/>
      <c r="CZ497" s="81"/>
      <c r="DA497" s="367"/>
      <c r="DB497" s="81"/>
      <c r="DC497" s="367"/>
      <c r="DD497" s="81"/>
      <c r="DE497" s="367"/>
      <c r="DF497" s="81"/>
      <c r="DG497" s="367"/>
      <c r="DH497" s="81"/>
      <c r="DI497" s="367"/>
      <c r="DJ497" s="81"/>
      <c r="DK497" s="367"/>
      <c r="DL497" s="81"/>
      <c r="DM497" s="367"/>
      <c r="DN497" s="81"/>
      <c r="DO497" s="367"/>
      <c r="DP497" s="81"/>
      <c r="DQ497" s="367"/>
      <c r="DR497" s="81"/>
      <c r="DS497" s="367"/>
      <c r="DT497" s="81"/>
      <c r="DU497" s="367"/>
      <c r="DV497" s="81"/>
      <c r="DW497" s="367"/>
      <c r="DX497" s="81"/>
      <c r="DY497" s="367"/>
      <c r="DZ497" s="81"/>
      <c r="EA497" s="367"/>
      <c r="EB497" s="81"/>
      <c r="EC497" s="367"/>
      <c r="ED497" s="81"/>
      <c r="EE497" s="367"/>
      <c r="EF497" s="81"/>
      <c r="EG497" s="367"/>
      <c r="EH497" s="81"/>
      <c r="EI497" s="367"/>
      <c r="EJ497" s="81"/>
      <c r="EK497" s="367"/>
      <c r="EL497" s="81"/>
      <c r="EM497" s="367"/>
      <c r="EN497" s="81"/>
      <c r="EO497" s="367"/>
      <c r="EP497" s="81"/>
      <c r="EQ497" s="367"/>
      <c r="ER497" s="81"/>
      <c r="ES497" s="278"/>
      <c r="ET497" s="496"/>
      <c r="EU497" s="278"/>
      <c r="EV497" s="367"/>
      <c r="EW497" s="279"/>
      <c r="EX497" s="367"/>
      <c r="EY497" s="279"/>
      <c r="EZ497" s="367"/>
      <c r="FA497" s="279"/>
      <c r="FB497" s="367"/>
      <c r="FC497" s="279"/>
      <c r="FD497" s="367"/>
      <c r="FE497" s="279"/>
      <c r="FF497" s="367"/>
      <c r="FG497" s="279"/>
      <c r="FH497" s="367"/>
      <c r="FI497" s="279"/>
      <c r="FJ497" s="367"/>
      <c r="FK497" s="279"/>
      <c r="FL497" s="367"/>
      <c r="FM497" s="279"/>
      <c r="FN497" s="367"/>
      <c r="FO497" s="279"/>
      <c r="FP497" s="367"/>
      <c r="FQ497" s="279"/>
      <c r="FR497" s="367"/>
      <c r="FS497" s="279"/>
      <c r="FT497" s="367"/>
      <c r="FU497" s="279"/>
      <c r="FV497" s="367"/>
      <c r="FW497" s="279"/>
      <c r="FX497" s="367"/>
      <c r="FY497" s="279"/>
      <c r="FZ497" s="367"/>
      <c r="GA497" s="279"/>
      <c r="GB497" s="367"/>
      <c r="GC497" s="279"/>
      <c r="GD497" s="367"/>
      <c r="GE497" s="279"/>
      <c r="GF497" s="367"/>
      <c r="GG497" s="279"/>
      <c r="GH497" s="367"/>
      <c r="GI497" s="279"/>
      <c r="GJ497" s="367"/>
      <c r="GK497" s="279"/>
      <c r="GL497" s="367"/>
      <c r="GM497" s="279"/>
      <c r="GN497" s="367"/>
      <c r="GO497" s="279"/>
      <c r="GP497" s="367"/>
      <c r="GQ497" s="279"/>
      <c r="GR497" s="367"/>
      <c r="GS497" s="279"/>
      <c r="GT497" s="279"/>
    </row>
    <row r="498" spans="1:286" s="589" customFormat="1" ht="12.75" customHeight="1" collapsed="1" x14ac:dyDescent="0.2">
      <c r="A498" s="581"/>
      <c r="B498" s="582" t="s">
        <v>516</v>
      </c>
      <c r="C498" s="583"/>
      <c r="D498" s="583"/>
      <c r="E498" s="584"/>
      <c r="F498" s="584"/>
      <c r="G498" s="584"/>
      <c r="H498" s="584"/>
      <c r="I498" s="584"/>
      <c r="J498" s="584"/>
      <c r="K498" s="584"/>
      <c r="L498" s="584"/>
      <c r="M498" s="584"/>
      <c r="N498" s="585"/>
      <c r="O498" s="584"/>
      <c r="P498" s="583"/>
      <c r="Q498" s="584"/>
      <c r="R498" s="583"/>
      <c r="S498" s="584"/>
      <c r="T498" s="583"/>
      <c r="U498" s="584"/>
      <c r="V498" s="583"/>
      <c r="W498" s="584"/>
      <c r="X498" s="583"/>
      <c r="Y498" s="584"/>
      <c r="Z498" s="583"/>
      <c r="AA498" s="586"/>
      <c r="AB498" s="583"/>
      <c r="AC498" s="584"/>
      <c r="AD498" s="583"/>
      <c r="AE498" s="586"/>
      <c r="AF498" s="583"/>
      <c r="AG498" s="586"/>
      <c r="AH498" s="583"/>
      <c r="AI498" s="586"/>
      <c r="AJ498" s="583"/>
      <c r="AK498" s="586"/>
      <c r="AL498" s="583"/>
      <c r="AM498" s="586"/>
      <c r="AN498" s="583"/>
      <c r="AO498" s="586"/>
      <c r="AP498" s="583"/>
      <c r="AQ498" s="586"/>
      <c r="AR498" s="583"/>
      <c r="AS498" s="586"/>
      <c r="AT498" s="587"/>
      <c r="AU498" s="586"/>
      <c r="AV498" s="587"/>
      <c r="AW498" s="586"/>
      <c r="AX498" s="587"/>
      <c r="AY498" s="586"/>
      <c r="AZ498" s="587"/>
      <c r="BA498" s="586"/>
      <c r="BB498" s="587"/>
      <c r="BC498" s="586"/>
      <c r="BD498" s="587"/>
      <c r="BE498" s="586"/>
      <c r="BF498" s="587"/>
      <c r="BG498" s="586"/>
      <c r="BH498" s="587"/>
      <c r="BI498" s="586"/>
      <c r="BJ498" s="587"/>
      <c r="BK498" s="586"/>
      <c r="BL498" s="587"/>
      <c r="BM498" s="586"/>
      <c r="BN498" s="587"/>
      <c r="BO498" s="586"/>
      <c r="BP498" s="587"/>
      <c r="BQ498" s="586"/>
      <c r="BR498" s="587"/>
      <c r="BS498" s="586"/>
      <c r="BT498" s="587"/>
      <c r="BU498" s="586"/>
      <c r="BV498" s="587"/>
      <c r="BW498" s="586"/>
      <c r="BX498" s="587"/>
      <c r="BY498" s="586"/>
      <c r="BZ498" s="587"/>
      <c r="CA498" s="586"/>
      <c r="CB498" s="587"/>
      <c r="CC498" s="586"/>
      <c r="CD498" s="587"/>
      <c r="CE498" s="586"/>
      <c r="CF498" s="587"/>
      <c r="CG498" s="586"/>
      <c r="CH498" s="587"/>
      <c r="CI498" s="586"/>
      <c r="CJ498" s="587"/>
      <c r="CK498" s="586"/>
      <c r="CL498" s="587"/>
      <c r="CM498" s="586"/>
      <c r="CN498" s="587"/>
      <c r="CO498" s="586"/>
      <c r="CP498" s="587"/>
      <c r="CQ498" s="586"/>
      <c r="CR498" s="587"/>
      <c r="CS498" s="586"/>
      <c r="CT498" s="587"/>
      <c r="CU498" s="586"/>
      <c r="CV498" s="587"/>
      <c r="CW498" s="586"/>
      <c r="CX498" s="587"/>
      <c r="CY498" s="586"/>
      <c r="CZ498" s="587"/>
      <c r="DA498" s="586"/>
      <c r="DB498" s="587"/>
      <c r="DC498" s="586"/>
      <c r="DD498" s="587"/>
      <c r="DE498" s="586"/>
      <c r="DF498" s="587"/>
      <c r="DG498" s="586"/>
      <c r="DH498" s="587"/>
      <c r="DI498" s="586"/>
      <c r="DJ498" s="587"/>
      <c r="DK498" s="586"/>
      <c r="DL498" s="587"/>
      <c r="DM498" s="586"/>
      <c r="DN498" s="587"/>
      <c r="DO498" s="586"/>
      <c r="DP498" s="587"/>
      <c r="DQ498" s="586"/>
      <c r="DR498" s="587"/>
      <c r="DS498" s="586"/>
      <c r="DT498" s="587"/>
      <c r="DU498" s="586"/>
      <c r="DV498" s="587"/>
      <c r="DW498" s="586"/>
      <c r="DX498" s="587"/>
      <c r="DY498" s="586"/>
      <c r="DZ498" s="587"/>
      <c r="EA498" s="586"/>
      <c r="EB498" s="587"/>
      <c r="EC498" s="586"/>
      <c r="ED498" s="587"/>
      <c r="EE498" s="586"/>
      <c r="EF498" s="587"/>
      <c r="EG498" s="586"/>
      <c r="EH498" s="587"/>
      <c r="EI498" s="586"/>
      <c r="EJ498" s="587"/>
      <c r="EK498" s="586"/>
      <c r="EL498" s="587"/>
      <c r="EM498" s="586"/>
      <c r="EN498" s="587"/>
      <c r="EO498" s="586"/>
      <c r="EP498" s="587"/>
      <c r="EQ498" s="586"/>
      <c r="ER498" s="587"/>
      <c r="ES498" s="584"/>
      <c r="ET498" s="588"/>
      <c r="EU498" s="584"/>
      <c r="EV498" s="584"/>
      <c r="EW498" s="583"/>
      <c r="EX498" s="584"/>
      <c r="EY498" s="583"/>
      <c r="EZ498" s="584"/>
      <c r="FA498" s="583"/>
      <c r="FB498" s="584"/>
      <c r="FC498" s="583"/>
      <c r="FD498" s="584"/>
      <c r="FE498" s="583"/>
      <c r="FF498" s="584"/>
      <c r="FG498" s="583"/>
      <c r="FH498" s="584"/>
      <c r="FI498" s="583"/>
      <c r="FJ498" s="584"/>
      <c r="FK498" s="583"/>
      <c r="FL498" s="584"/>
      <c r="FM498" s="583"/>
      <c r="FN498" s="584"/>
      <c r="FO498" s="583"/>
      <c r="FP498" s="584"/>
      <c r="FQ498" s="583"/>
      <c r="FR498" s="584"/>
      <c r="FS498" s="583"/>
      <c r="FT498" s="584"/>
      <c r="FU498" s="583"/>
      <c r="FV498" s="584"/>
      <c r="FW498" s="583"/>
      <c r="FX498" s="584"/>
      <c r="FY498" s="583"/>
      <c r="FZ498" s="584"/>
      <c r="GA498" s="583"/>
      <c r="GB498" s="584"/>
      <c r="GC498" s="583"/>
      <c r="GD498" s="584"/>
      <c r="GE498" s="583"/>
      <c r="GF498" s="584"/>
      <c r="GG498" s="583"/>
      <c r="GH498" s="584"/>
      <c r="GI498" s="583"/>
      <c r="GJ498" s="584"/>
      <c r="GK498" s="583"/>
      <c r="GL498" s="584"/>
      <c r="GM498" s="583"/>
      <c r="GN498" s="584"/>
      <c r="GO498" s="583"/>
      <c r="GP498" s="584"/>
      <c r="GQ498" s="583"/>
      <c r="GR498" s="584"/>
      <c r="GS498" s="583"/>
      <c r="GT498" s="583"/>
      <c r="GU498" s="562"/>
      <c r="GV498" s="562"/>
      <c r="GW498"/>
      <c r="GX498"/>
      <c r="GY498"/>
      <c r="GZ498"/>
      <c r="HA498"/>
      <c r="HB498"/>
      <c r="HC498" s="562"/>
      <c r="HD498" s="562"/>
      <c r="HE498" s="562"/>
      <c r="HF498" s="562"/>
      <c r="HG498" s="562"/>
      <c r="HH498" s="562"/>
      <c r="HI498" s="562"/>
      <c r="HJ498" s="562"/>
      <c r="HK498" s="562"/>
      <c r="HL498" s="562"/>
      <c r="HM498" s="562"/>
      <c r="HN498" s="562"/>
      <c r="HO498" s="562"/>
      <c r="HP498" s="562"/>
      <c r="HQ498" s="562"/>
      <c r="HR498" s="562"/>
      <c r="HS498" s="562"/>
      <c r="HT498" s="562"/>
      <c r="HU498" s="562"/>
      <c r="HV498" s="562"/>
      <c r="HW498" s="562"/>
      <c r="HX498" s="562"/>
      <c r="HY498" s="562"/>
      <c r="HZ498" s="562"/>
      <c r="IA498" s="562"/>
      <c r="IB498" s="562"/>
      <c r="IC498" s="562"/>
      <c r="ID498" s="562"/>
      <c r="IE498" s="562"/>
      <c r="IF498" s="562"/>
      <c r="IG498" s="562"/>
      <c r="IH498" s="562"/>
      <c r="II498" s="562"/>
      <c r="IJ498" s="562"/>
      <c r="IK498" s="562"/>
      <c r="IL498" s="562"/>
      <c r="IM498" s="562"/>
      <c r="IN498" s="562"/>
      <c r="IO498" s="562"/>
      <c r="IP498" s="562"/>
      <c r="IQ498" s="562"/>
      <c r="IR498" s="562"/>
      <c r="IS498" s="562"/>
      <c r="IT498" s="562"/>
      <c r="IU498" s="562"/>
      <c r="IV498" s="562"/>
      <c r="IW498" s="562"/>
      <c r="IX498" s="562"/>
      <c r="IY498" s="562"/>
      <c r="IZ498" s="562"/>
      <c r="JA498" s="562"/>
      <c r="JB498" s="562"/>
      <c r="JC498" s="562"/>
      <c r="JD498" s="562"/>
      <c r="JE498" s="562"/>
      <c r="JF498" s="562"/>
      <c r="JG498" s="562"/>
      <c r="JH498" s="562"/>
      <c r="JI498" s="562"/>
      <c r="JJ498" s="562"/>
      <c r="JK498" s="562"/>
      <c r="JL498" s="562"/>
      <c r="JM498" s="562"/>
      <c r="JN498" s="562"/>
      <c r="JO498" s="562"/>
      <c r="JP498" s="562"/>
      <c r="JQ498" s="562"/>
      <c r="JR498" s="562"/>
      <c r="JS498" s="562"/>
      <c r="JT498" s="562"/>
      <c r="JU498" s="562"/>
      <c r="JV498" s="562"/>
      <c r="JW498" s="562"/>
      <c r="JX498" s="562"/>
      <c r="JY498" s="562"/>
      <c r="JZ498" s="562"/>
    </row>
    <row r="499" spans="1:286" ht="12.75" customHeight="1" x14ac:dyDescent="0.2">
      <c r="A499" s="1"/>
      <c r="B499" s="9"/>
      <c r="C499" s="79"/>
      <c r="D499" s="79"/>
      <c r="E499" s="327"/>
      <c r="F499" s="327"/>
      <c r="G499" s="327"/>
      <c r="H499" s="327"/>
      <c r="I499" s="327"/>
      <c r="J499" s="327"/>
      <c r="K499" s="327"/>
      <c r="L499" s="79"/>
      <c r="M499" s="327"/>
      <c r="N499" s="79"/>
      <c r="O499" s="327"/>
      <c r="P499" s="79"/>
      <c r="Q499" s="327"/>
      <c r="R499" s="79"/>
      <c r="S499" s="327"/>
      <c r="T499" s="79"/>
      <c r="U499" s="327"/>
      <c r="V499" s="79"/>
      <c r="W499" s="327"/>
      <c r="X499" s="79"/>
      <c r="Y499" s="327"/>
      <c r="Z499" s="79"/>
      <c r="AA499" s="66"/>
      <c r="AB499" s="79"/>
      <c r="AC499" s="327"/>
      <c r="AD499" s="79"/>
      <c r="AE499" s="327"/>
      <c r="AF499" s="79"/>
      <c r="AG499" s="327"/>
      <c r="AH499" s="79"/>
      <c r="AI499" s="327"/>
      <c r="AJ499" s="79"/>
      <c r="AK499" s="327"/>
      <c r="AL499" s="79"/>
      <c r="AM499" s="327"/>
      <c r="AN499" s="79"/>
      <c r="AO499" s="327"/>
      <c r="AP499" s="79"/>
      <c r="AQ499" s="327"/>
      <c r="AR499" s="79"/>
      <c r="AS499" s="327"/>
      <c r="AT499" s="81"/>
      <c r="AU499" s="327"/>
      <c r="AV499" s="81"/>
      <c r="AW499" s="327"/>
      <c r="AX499" s="81"/>
      <c r="AY499" s="327"/>
      <c r="AZ499" s="81"/>
      <c r="BA499" s="327"/>
      <c r="BB499" s="81"/>
      <c r="BC499" s="327"/>
      <c r="BD499" s="81"/>
      <c r="BE499" s="327"/>
      <c r="BF499" s="81"/>
      <c r="BG499" s="327"/>
      <c r="BH499" s="81"/>
      <c r="BI499" s="327"/>
      <c r="BJ499" s="81"/>
      <c r="BK499" s="327"/>
      <c r="BL499" s="81"/>
      <c r="BM499" s="327"/>
      <c r="BN499" s="81"/>
      <c r="BO499" s="327"/>
      <c r="BP499" s="81"/>
      <c r="BQ499" s="327"/>
      <c r="BR499" s="81"/>
      <c r="BS499" s="327"/>
      <c r="BT499" s="81"/>
      <c r="BU499" s="327"/>
      <c r="BV499" s="81"/>
      <c r="BW499" s="327"/>
      <c r="BX499" s="81"/>
      <c r="BY499" s="327"/>
      <c r="BZ499" s="81"/>
      <c r="CA499" s="327"/>
      <c r="CB499" s="81"/>
      <c r="CC499" s="327"/>
      <c r="CD499" s="81"/>
      <c r="CE499" s="327"/>
      <c r="CF499" s="81"/>
      <c r="CG499" s="327"/>
      <c r="CH499" s="81"/>
      <c r="CI499" s="327"/>
      <c r="CJ499" s="81"/>
      <c r="CK499" s="327"/>
      <c r="CL499" s="81"/>
      <c r="CM499" s="327"/>
      <c r="CN499" s="81"/>
      <c r="CO499" s="327"/>
      <c r="CP499" s="81"/>
      <c r="CQ499" s="327"/>
      <c r="CR499" s="81"/>
      <c r="CS499" s="327"/>
      <c r="CT499" s="81"/>
      <c r="CU499" s="327"/>
      <c r="CV499" s="81"/>
      <c r="CW499" s="327"/>
      <c r="CX499" s="81"/>
      <c r="CY499" s="327"/>
      <c r="CZ499" s="81"/>
      <c r="DA499" s="327"/>
      <c r="DB499" s="81"/>
      <c r="DC499" s="327"/>
      <c r="DD499" s="81"/>
      <c r="DE499" s="327"/>
      <c r="DF499" s="81"/>
      <c r="DG499" s="327"/>
      <c r="DH499" s="81"/>
      <c r="DI499" s="327"/>
      <c r="DJ499" s="81"/>
      <c r="DK499" s="327"/>
      <c r="DL499" s="81"/>
      <c r="DM499" s="327"/>
      <c r="DN499" s="81"/>
      <c r="DO499" s="327"/>
      <c r="DP499" s="81"/>
      <c r="DQ499" s="327"/>
      <c r="DR499" s="81"/>
      <c r="DS499" s="327"/>
      <c r="DT499" s="81"/>
      <c r="DU499" s="327"/>
      <c r="DV499" s="81"/>
      <c r="DW499" s="327"/>
      <c r="DX499" s="81"/>
      <c r="DY499" s="327"/>
      <c r="DZ499" s="81"/>
      <c r="EA499" s="327"/>
      <c r="EB499" s="81"/>
      <c r="EC499" s="327"/>
      <c r="ED499" s="81"/>
      <c r="EE499" s="327"/>
      <c r="EF499" s="81"/>
      <c r="EG499" s="327"/>
      <c r="EH499" s="81"/>
      <c r="EI499" s="327"/>
      <c r="EJ499" s="81"/>
      <c r="EK499" s="327"/>
      <c r="EL499" s="81"/>
      <c r="EM499" s="327"/>
      <c r="EN499" s="81"/>
      <c r="EO499" s="327"/>
      <c r="EP499" s="81"/>
      <c r="EQ499" s="327"/>
      <c r="ER499" s="81"/>
      <c r="ES499" s="82"/>
      <c r="ET499" s="490"/>
      <c r="EU499" s="82"/>
      <c r="EV499" s="327"/>
      <c r="EW499" s="79"/>
      <c r="EX499" s="327"/>
      <c r="EY499" s="79"/>
      <c r="EZ499" s="327"/>
      <c r="FA499" s="79"/>
      <c r="FB499" s="327"/>
      <c r="FC499" s="79"/>
      <c r="FD499" s="327"/>
      <c r="FE499" s="79"/>
      <c r="FF499" s="327"/>
      <c r="FG499" s="79"/>
      <c r="FH499" s="327"/>
      <c r="FI499" s="79"/>
      <c r="FJ499" s="327"/>
      <c r="FK499" s="79"/>
      <c r="FL499" s="327"/>
      <c r="FM499" s="79"/>
      <c r="FN499" s="327"/>
      <c r="FO499" s="79"/>
      <c r="FP499" s="327"/>
      <c r="FQ499" s="79"/>
      <c r="FR499" s="327"/>
      <c r="FS499" s="79"/>
      <c r="FT499" s="327"/>
      <c r="FU499" s="79"/>
      <c r="FV499" s="327"/>
      <c r="FW499" s="79"/>
      <c r="FX499" s="327"/>
      <c r="FY499" s="79"/>
      <c r="FZ499" s="327"/>
      <c r="GA499" s="79"/>
      <c r="GB499" s="327"/>
      <c r="GC499" s="79"/>
      <c r="GD499" s="327"/>
      <c r="GE499" s="79"/>
      <c r="GF499" s="327"/>
      <c r="GG499" s="79"/>
      <c r="GH499" s="327"/>
      <c r="GI499" s="79"/>
      <c r="GJ499" s="327"/>
      <c r="GK499" s="79"/>
      <c r="GL499" s="327"/>
      <c r="GM499" s="79"/>
      <c r="GN499" s="327"/>
      <c r="GO499" s="79"/>
      <c r="GP499" s="327"/>
      <c r="GQ499" s="79"/>
      <c r="GR499" s="327"/>
      <c r="GS499" s="79"/>
      <c r="GT499" s="79"/>
    </row>
    <row r="500" spans="1:286" ht="12.75" customHeight="1" x14ac:dyDescent="0.2">
      <c r="A500" s="1"/>
      <c r="B500" s="68" t="s">
        <v>308</v>
      </c>
      <c r="C500" s="79"/>
      <c r="D500" s="79"/>
      <c r="E500" s="246"/>
      <c r="F500" s="246"/>
      <c r="G500" s="246"/>
      <c r="H500" s="246"/>
      <c r="I500" s="246"/>
      <c r="J500" s="246"/>
      <c r="K500" s="246"/>
      <c r="L500" s="79"/>
      <c r="M500" s="246"/>
      <c r="N500" s="79"/>
      <c r="O500" s="246"/>
      <c r="P500" s="79"/>
      <c r="Q500" s="246"/>
      <c r="R500" s="79"/>
      <c r="S500" s="246"/>
      <c r="T500" s="79"/>
      <c r="U500" s="246"/>
      <c r="V500" s="79"/>
      <c r="W500" s="246"/>
      <c r="X500" s="79"/>
      <c r="Y500" s="246"/>
      <c r="Z500" s="79"/>
      <c r="AA500" s="66"/>
      <c r="AB500" s="79"/>
      <c r="AC500" s="246"/>
      <c r="AD500" s="79"/>
      <c r="AE500" s="246"/>
      <c r="AF500" s="79"/>
      <c r="AG500" s="246"/>
      <c r="AH500" s="79"/>
      <c r="AI500" s="246"/>
      <c r="AJ500" s="79"/>
      <c r="AK500" s="246"/>
      <c r="AL500" s="79"/>
      <c r="AM500" s="246"/>
      <c r="AN500" s="79"/>
      <c r="AO500" s="246"/>
      <c r="AP500" s="79"/>
      <c r="AQ500" s="246"/>
      <c r="AR500" s="79"/>
      <c r="AS500" s="246"/>
      <c r="AT500" s="81"/>
      <c r="AU500" s="246"/>
      <c r="AV500" s="81"/>
      <c r="AW500" s="246"/>
      <c r="AX500" s="81"/>
      <c r="AY500" s="246"/>
      <c r="AZ500" s="81"/>
      <c r="BA500" s="246"/>
      <c r="BB500" s="81"/>
      <c r="BC500" s="246"/>
      <c r="BD500" s="81"/>
      <c r="BE500" s="246"/>
      <c r="BF500" s="81"/>
      <c r="BG500" s="246"/>
      <c r="BH500" s="81"/>
      <c r="BI500" s="246"/>
      <c r="BJ500" s="81"/>
      <c r="BK500" s="246"/>
      <c r="BL500" s="81"/>
      <c r="BM500" s="246"/>
      <c r="BN500" s="81"/>
      <c r="BO500" s="246"/>
      <c r="BP500" s="81"/>
      <c r="BQ500" s="246"/>
      <c r="BR500" s="81"/>
      <c r="BS500" s="246"/>
      <c r="BT500" s="81"/>
      <c r="BU500" s="246"/>
      <c r="BV500" s="81"/>
      <c r="BW500" s="246"/>
      <c r="BX500" s="81"/>
      <c r="BY500" s="246"/>
      <c r="BZ500" s="81"/>
      <c r="CA500" s="246"/>
      <c r="CB500" s="81"/>
      <c r="CC500" s="246"/>
      <c r="CD500" s="81"/>
      <c r="CE500" s="246"/>
      <c r="CF500" s="81"/>
      <c r="CG500" s="246"/>
      <c r="CH500" s="81"/>
      <c r="CI500" s="246"/>
      <c r="CJ500" s="81"/>
      <c r="CK500" s="246"/>
      <c r="CL500" s="81"/>
      <c r="CM500" s="246"/>
      <c r="CN500" s="81"/>
      <c r="CO500" s="246"/>
      <c r="CP500" s="81"/>
      <c r="CQ500" s="246"/>
      <c r="CR500" s="81"/>
      <c r="CS500" s="246"/>
      <c r="CT500" s="81"/>
      <c r="CU500" s="246"/>
      <c r="CV500" s="81"/>
      <c r="CW500" s="246"/>
      <c r="CX500" s="81"/>
      <c r="CY500" s="246"/>
      <c r="CZ500" s="81"/>
      <c r="DA500" s="246"/>
      <c r="DB500" s="81"/>
      <c r="DC500" s="246"/>
      <c r="DD500" s="81"/>
      <c r="DE500" s="246"/>
      <c r="DF500" s="81"/>
      <c r="DG500" s="246"/>
      <c r="DH500" s="81"/>
      <c r="DI500" s="246"/>
      <c r="DJ500" s="81"/>
      <c r="DK500" s="246"/>
      <c r="DL500" s="81"/>
      <c r="DM500" s="246"/>
      <c r="DN500" s="81"/>
      <c r="DO500" s="246"/>
      <c r="DP500" s="81"/>
      <c r="DQ500" s="246"/>
      <c r="DR500" s="81"/>
      <c r="DS500" s="246"/>
      <c r="DT500" s="81"/>
      <c r="DU500" s="246"/>
      <c r="DV500" s="81"/>
      <c r="DW500" s="246"/>
      <c r="DX500" s="81"/>
      <c r="DY500" s="246"/>
      <c r="DZ500" s="81"/>
      <c r="EA500" s="246"/>
      <c r="EB500" s="81"/>
      <c r="EC500" s="246"/>
      <c r="ED500" s="81"/>
      <c r="EE500" s="246"/>
      <c r="EF500" s="81"/>
      <c r="EG500" s="246"/>
      <c r="EH500" s="81"/>
      <c r="EI500" s="246"/>
      <c r="EJ500" s="81"/>
      <c r="EK500" s="246"/>
      <c r="EL500" s="81"/>
      <c r="EM500" s="246"/>
      <c r="EN500" s="81"/>
      <c r="EO500" s="246"/>
      <c r="EP500" s="81"/>
      <c r="EQ500" s="246"/>
      <c r="ER500" s="81"/>
      <c r="ES500" s="82"/>
      <c r="ET500" s="490"/>
      <c r="EU500" s="82"/>
      <c r="EV500" s="327"/>
      <c r="EW500" s="79"/>
      <c r="EX500" s="327"/>
      <c r="EY500" s="79"/>
      <c r="EZ500" s="327"/>
      <c r="FA500" s="79"/>
      <c r="FB500" s="327"/>
      <c r="FC500" s="79"/>
      <c r="FD500" s="327"/>
      <c r="FE500" s="79"/>
      <c r="FF500" s="327"/>
      <c r="FG500" s="79"/>
      <c r="FH500" s="327"/>
      <c r="FI500" s="79"/>
      <c r="FJ500" s="327"/>
      <c r="FK500" s="79"/>
      <c r="FL500" s="327"/>
      <c r="FM500" s="79"/>
      <c r="FN500" s="327"/>
      <c r="FO500" s="79"/>
      <c r="FP500" s="327"/>
      <c r="FQ500" s="79"/>
      <c r="FR500" s="246"/>
      <c r="FS500" s="79"/>
      <c r="FT500" s="246"/>
      <c r="FU500" s="79"/>
      <c r="FV500" s="246"/>
      <c r="FW500" s="79"/>
      <c r="FX500" s="246"/>
      <c r="FY500" s="79"/>
      <c r="FZ500" s="246"/>
      <c r="GA500" s="79"/>
      <c r="GB500" s="246"/>
      <c r="GC500" s="79"/>
      <c r="GD500" s="246"/>
      <c r="GE500" s="79"/>
      <c r="GF500" s="246"/>
      <c r="GG500" s="79"/>
      <c r="GH500" s="246"/>
      <c r="GI500" s="79"/>
      <c r="GJ500" s="246"/>
      <c r="GK500" s="79"/>
      <c r="GL500" s="246"/>
      <c r="GM500" s="79"/>
      <c r="GN500" s="246"/>
      <c r="GO500" s="79"/>
      <c r="GP500" s="246"/>
      <c r="GQ500" s="79"/>
      <c r="GR500" s="246"/>
      <c r="GS500" s="79"/>
      <c r="GT500" s="79"/>
    </row>
    <row r="501" spans="1:286" ht="12.75" customHeight="1" x14ac:dyDescent="0.2">
      <c r="A501" s="1" t="s">
        <v>217</v>
      </c>
      <c r="B501" s="2" t="s">
        <v>121</v>
      </c>
      <c r="C501" s="79"/>
      <c r="D501" s="79"/>
      <c r="E501" s="131">
        <v>27337.5</v>
      </c>
      <c r="F501" s="131"/>
      <c r="G501" s="131">
        <v>27407.9</v>
      </c>
      <c r="H501" s="131"/>
      <c r="I501" s="131">
        <v>28417.9</v>
      </c>
      <c r="J501" s="131"/>
      <c r="K501" s="131">
        <v>28324</v>
      </c>
      <c r="L501" s="79"/>
      <c r="M501" s="131">
        <v>28146.1</v>
      </c>
      <c r="N501" s="79">
        <f t="shared" ref="N501:N510" si="1818">IF(ISERROR((M501/E501-1)*100),"NA",IF(((M501/E501-1)*100)&gt;100,"NM",IF(((M501/E501-1)*100)&lt;-50,"NM",(M501/E501-1)*100)))</f>
        <v>2.9578417924096989</v>
      </c>
      <c r="O501" s="131">
        <v>28586.2</v>
      </c>
      <c r="P501" s="79">
        <f t="shared" ref="P501:P510" si="1819">IF(ISERROR((O501/G501-1)*100),"NA",IF(((O501/G501-1)*100)&gt;100,"NM",IF(((O501/G501-1)*100)&lt;-50,"NM",(O501/G501-1)*100)))</f>
        <v>4.299125434637463</v>
      </c>
      <c r="Q501" s="131">
        <v>30375.4</v>
      </c>
      <c r="R501" s="79">
        <f t="shared" ref="R501:R510" si="1820">IF(ISERROR((Q501/I501-1)*100),"NA",IF(((Q501/I501-1)*100)&gt;100,"NM",IF(((Q501/I501-1)*100)&lt;-50,"NM",(Q501/I501-1)*100)))</f>
        <v>6.8882640870718825</v>
      </c>
      <c r="S501" s="131">
        <v>31152</v>
      </c>
      <c r="T501" s="79">
        <f t="shared" ref="T501:T510" si="1821">IF(ISERROR((S501/K501-1)*100),"NA",IF(((S501/K501-1)*100)&gt;100,"NM",IF(((S501/K501-1)*100)&lt;-50,"NM",(S501/K501-1)*100)))</f>
        <v>9.984465470978666</v>
      </c>
      <c r="U501" s="131">
        <v>31681.1</v>
      </c>
      <c r="V501" s="79">
        <f t="shared" ref="V501:V510" si="1822">IF(ISERROR((U501/M501-1)*100),"NA",IF(((U501/M501-1)*100)&gt;100,"NM",IF(((U501/M501-1)*100)&lt;-50,"NM",(U501/M501-1)*100)))</f>
        <v>12.55946649802282</v>
      </c>
      <c r="W501" s="131">
        <v>34612.6</v>
      </c>
      <c r="X501" s="79">
        <f t="shared" ref="X501:X510" si="1823">IF(ISERROR((W501/O501-1)*100),"NA",IF(((W501/O501-1)*100)&gt;100,"NM",IF(((W501/O501-1)*100)&lt;-50,"NM",(W501/O501-1)*100)))</f>
        <v>21.081500864053272</v>
      </c>
      <c r="Y501" s="131">
        <v>34618.9</v>
      </c>
      <c r="Z501" s="79">
        <f t="shared" ref="Z501:Z510" si="1824">IF(ISERROR((Y501/Q501-1)*100),"NA",IF(((Y501/Q501-1)*100)&gt;100,"NM",IF(((Y501/Q501-1)*100)&lt;-50,"NM",(Y501/Q501-1)*100)))</f>
        <v>13.970186400837514</v>
      </c>
      <c r="AA501" s="126">
        <v>35028.300000000003</v>
      </c>
      <c r="AB501" s="79">
        <f t="shared" ref="AB501:AB510" si="1825">IF(ISERROR((AA501/S501-1)*100),"NA",IF(((AA501/S501-1)*100)&gt;100,"NM",IF(((AA501/S501-1)*100)&lt;-50,"NM",(AA501/S501-1)*100)))</f>
        <v>12.443181818181825</v>
      </c>
      <c r="AC501" s="131">
        <v>36546.699999999997</v>
      </c>
      <c r="AD501" s="79">
        <f t="shared" ref="AD501:AD510" si="1826">IF(ISERROR((AC501/U501-1)*100),"NA",IF(((AC501/U501-1)*100)&gt;100,"NM",IF(((AC501/U501-1)*100)&lt;-50,"NM",(AC501/U501-1)*100)))</f>
        <v>15.35805259287082</v>
      </c>
      <c r="AE501" s="131">
        <v>34091.1</v>
      </c>
      <c r="AF501" s="79">
        <f t="shared" ref="AF501:AF510" si="1827">IF(ISERROR((AE501/W501-1)*100),"NA",IF(((AE501/W501-1)*100)&gt;100,"NM",IF(((AE501/W501-1)*100)&lt;-50,"NM",(AE501/W501-1)*100)))</f>
        <v>-1.5066767593304164</v>
      </c>
      <c r="AG501" s="131">
        <v>35360.800000000003</v>
      </c>
      <c r="AH501" s="79">
        <f t="shared" ref="AH501:AH510" si="1828">IF(ISERROR((AG501/Y501-1)*100),"NA",IF(((AG501/Y501-1)*100)&gt;100,"NM",IF(((AG501/Y501-1)*100)&lt;-50,"NM",(AG501/Y501-1)*100)))</f>
        <v>2.1430490281320269</v>
      </c>
      <c r="AI501" s="131">
        <v>36587.699999999997</v>
      </c>
      <c r="AJ501" s="79">
        <f t="shared" ref="AJ501:AJ510" si="1829">IF(ISERROR((AI501/AA501-1)*100),"NA",IF(((AI501/AA501-1)*100)&gt;100,"NM",IF(((AI501/AA501-1)*100)&lt;-50,"NM",(AI501/AA501-1)*100)))</f>
        <v>4.451828949734904</v>
      </c>
      <c r="AK501" s="131">
        <v>36574</v>
      </c>
      <c r="AL501" s="79">
        <f t="shared" ref="AL501:AL510" si="1830">IF(ISERROR((AK501/AC501-1)*100),"NA",IF(((AK501/AC501-1)*100)&gt;100,"NM",IF(((AK501/AC501-1)*100)&lt;-50,"NM",(AK501/AC501-1)*100)))</f>
        <v>7.4698946826945445E-2</v>
      </c>
      <c r="AM501" s="131">
        <v>38040.699999999997</v>
      </c>
      <c r="AN501" s="79">
        <f t="shared" ref="AN501:BD510" si="1831">IF(ISERROR((AM501/AE501-1)*100),"NA",IF(((AM501/AE501-1)*100)&gt;100,"NM",IF(((AM501/AE501-1)*100)&lt;-50,"NM",(AM501/AE501-1)*100)))</f>
        <v>11.585428454933977</v>
      </c>
      <c r="AO501" s="131">
        <v>38685.5</v>
      </c>
      <c r="AP501" s="79">
        <f t="shared" si="1831"/>
        <v>9.4022194068007501</v>
      </c>
      <c r="AQ501" s="131">
        <v>39356.5</v>
      </c>
      <c r="AR501" s="79">
        <f t="shared" si="1831"/>
        <v>7.5675705223340106</v>
      </c>
      <c r="AS501" s="131">
        <v>37912.300000000003</v>
      </c>
      <c r="AT501" s="81">
        <f t="shared" si="1831"/>
        <v>3.6591567780390521</v>
      </c>
      <c r="AU501" s="131">
        <v>37807.9</v>
      </c>
      <c r="AV501" s="81">
        <f t="shared" si="1831"/>
        <v>-0.61197612031322901</v>
      </c>
      <c r="AW501" s="131">
        <v>39559.9</v>
      </c>
      <c r="AX501" s="81">
        <f t="shared" si="1831"/>
        <v>2.2602783988832975</v>
      </c>
      <c r="AY501" s="131">
        <v>40163.300000000003</v>
      </c>
      <c r="AZ501" s="81">
        <f t="shared" si="1831"/>
        <v>2.0499790377701332</v>
      </c>
      <c r="BA501" s="131">
        <v>40434.1</v>
      </c>
      <c r="BB501" s="81">
        <f t="shared" si="1831"/>
        <v>6.6516671370504987</v>
      </c>
      <c r="BC501" s="131">
        <v>40074.9</v>
      </c>
      <c r="BD501" s="81">
        <f t="shared" si="1831"/>
        <v>5.9961013438990296</v>
      </c>
      <c r="BE501" s="131">
        <v>40951.199999999997</v>
      </c>
      <c r="BF501" s="81">
        <f t="shared" ref="BF501:BF510" si="1832">IF(ISERROR((BE501/AW501-1)*100),"NA",IF(((BE501/AW501-1)*100)&gt;100,"NM",IF(((BE501/AW501-1)*100)&lt;-50,"NM",(BE501/AW501-1)*100)))</f>
        <v>3.516945189446874</v>
      </c>
      <c r="BG501" s="131">
        <v>40951</v>
      </c>
      <c r="BH501" s="81">
        <f t="shared" ref="BH501:BH510" si="1833">IF(ISERROR((BG501/AY501-1)*100),"NA",IF(((BG501/AY501-1)*100)&gt;100,"NM",IF(((BG501/AY501-1)*100)&lt;-50,"NM",(BG501/AY501-1)*100)))</f>
        <v>1.9612432245358358</v>
      </c>
      <c r="BI501" s="131">
        <v>40648</v>
      </c>
      <c r="BJ501" s="81">
        <f t="shared" ref="BJ501:BJ510" si="1834">IF(ISERROR((BI501/BA501-1)*100),"NA",IF(((BI501/BA501-1)*100)&gt;100,"NM",IF(((BI501/BA501-1)*100)&lt;-50,"NM",(BI501/BA501-1)*100)))</f>
        <v>0.5290089305808765</v>
      </c>
      <c r="BK501" s="131">
        <v>40380</v>
      </c>
      <c r="BL501" s="81">
        <f t="shared" ref="BL501:BL514" si="1835">IF(ISERROR((BK501/BC501-1)*100),"NA",IF(((BK501/BC501-1)*100)&gt;100,"NM",IF(((BK501/BC501-1)*100)&lt;-50,"NM",(BK501/BC501-1)*100)))</f>
        <v>0.76132442002350142</v>
      </c>
      <c r="BM501" s="131">
        <v>38267.1</v>
      </c>
      <c r="BN501" s="81">
        <f t="shared" ref="BN501:BN510" si="1836">IF(ISERROR((BM501/BE501-1)*100),"NA",IF(((BM501/BE501-1)*100)&gt;100,"NM",IF(((BM501/BE501-1)*100)&lt;-50,"NM",(BM501/BE501-1)*100)))</f>
        <v>-6.5543866846392795</v>
      </c>
      <c r="BO501" s="131">
        <v>37865.9</v>
      </c>
      <c r="BP501" s="81">
        <f t="shared" ref="BP501:BP510" si="1837">IF(ISERROR((BO501/BG501-1)*100),"NA",IF(((BO501/BG501-1)*100)&gt;100,"NM",IF(((BO501/BG501-1)*100)&lt;-50,"NM",(BO501/BG501-1)*100)))</f>
        <v>-7.5336377622036039</v>
      </c>
      <c r="BQ501" s="131">
        <v>37598.300000000003</v>
      </c>
      <c r="BR501" s="81">
        <f t="shared" ref="BR501:BR510" si="1838">IF(ISERROR((BQ501/BI501-1)*100),"NA",IF(((BQ501/BI501-1)*100)&gt;100,"NM",IF(((BQ501/BI501-1)*100)&lt;-50,"NM",(BQ501/BI501-1)*100)))</f>
        <v>-7.5027061602046752</v>
      </c>
      <c r="BS501" s="131">
        <v>40077.4</v>
      </c>
      <c r="BT501" s="81">
        <f t="shared" ref="BT501:BT510" si="1839">IF(ISERROR((BS501/BK501-1)*100),"NA",IF(((BS501/BK501-1)*100)&gt;100,"NM",IF(((BS501/BK501-1)*100)&lt;-50,"NM",(BS501/BK501-1)*100)))</f>
        <v>-0.74938088162456173</v>
      </c>
      <c r="BU501" s="131">
        <v>43116.800000000003</v>
      </c>
      <c r="BV501" s="81">
        <f t="shared" ref="BV501:BV510" si="1840">IF(ISERROR((BU501/BM501-1)*100),"NA",IF(((BU501/BM501-1)*100)&gt;100,"NM",IF(((BU501/BM501-1)*100)&lt;-50,"NM",(BU501/BM501-1)*100)))</f>
        <v>12.673288542899797</v>
      </c>
      <c r="BW501" s="131">
        <v>43295.4</v>
      </c>
      <c r="BX501" s="81">
        <f t="shared" ref="BX501:BX510" si="1841">IF(ISERROR((BW501/BO501-1)*100),"NA",IF(((BW501/BO501-1)*100)&gt;100,"NM",IF(((BW501/BO501-1)*100)&lt;-50,"NM",(BW501/BO501-1)*100)))</f>
        <v>14.338758619232618</v>
      </c>
      <c r="BY501" s="131">
        <v>43907.8</v>
      </c>
      <c r="BZ501" s="81">
        <f t="shared" ref="BZ501:BZ510" si="1842">IF(ISERROR((BY501/BQ501-1)*100),"NA",IF(((BY501/BQ501-1)*100)&gt;100,"NM",IF(((BY501/BQ501-1)*100)&lt;-50,"NM",(BY501/BQ501-1)*100)))</f>
        <v>16.781343837354346</v>
      </c>
      <c r="CA501" s="131">
        <v>45403.5</v>
      </c>
      <c r="CB501" s="81">
        <f t="shared" ref="CB501:CB510" si="1843">IF(ISERROR((CA501/BS501-1)*100),"NA",IF(((CA501/BS501-1)*100)&gt;100,"NM",IF(((CA501/BS501-1)*100)&lt;-50,"NM",(CA501/BS501-1)*100)))</f>
        <v>13.289534750258248</v>
      </c>
      <c r="CC501" s="131">
        <v>47721.599999999999</v>
      </c>
      <c r="CD501" s="81">
        <f t="shared" ref="CD501:CD510" si="1844">IF(ISERROR((CC501/BU501-1)*100),"NA",IF(((CC501/BU501-1)*100)&gt;100,"NM",IF(((CC501/BU501-1)*100)&lt;-50,"NM",(CC501/BU501-1)*100)))</f>
        <v>10.679827816535536</v>
      </c>
      <c r="CE501" s="131">
        <v>46240.9</v>
      </c>
      <c r="CF501" s="81">
        <f t="shared" ref="CF501:CF510" si="1845">IF(ISERROR((CE501/BW501-1)*100),"NA",IF(((CE501/BW501-1)*100)&gt;100,"NM",IF(((CE501/BW501-1)*100)&lt;-50,"NM",(CE501/BW501-1)*100)))</f>
        <v>6.8032631642160668</v>
      </c>
      <c r="CG501" s="131">
        <v>45990.400000000001</v>
      </c>
      <c r="CH501" s="81">
        <f t="shared" ref="CH501:CH510" si="1846">IF(ISERROR((CG501/BY501-1)*100),"NA",IF(((CG501/BY501-1)*100)&gt;100,"NM",IF(((CG501/BY501-1)*100)&lt;-50,"NM",(CG501/BY501-1)*100)))</f>
        <v>4.7431208122474811</v>
      </c>
      <c r="CI501" s="131">
        <v>46796</v>
      </c>
      <c r="CJ501" s="81">
        <f t="shared" ref="CJ501:CJ510" si="1847">IF(ISERROR((CI501/CA501-1)*100),"NA",IF(((CI501/CA501-1)*100)&gt;100,"NM",IF(((CI501/CA501-1)*100)&lt;-50,"NM",(CI501/CA501-1)*100)))</f>
        <v>3.0669441783122364</v>
      </c>
      <c r="CK501" s="131">
        <v>48763.7</v>
      </c>
      <c r="CL501" s="81">
        <f t="shared" ref="CL501:CL510" si="1848">IF(ISERROR((CK501/CC501-1)*100),"NA",IF(((CK501/CC501-1)*100)&gt;100,"NM",IF(((CK501/CC501-1)*100)&lt;-50,"NM",(CK501/CC501-1)*100)))</f>
        <v>2.1837071682424769</v>
      </c>
      <c r="CM501" s="131">
        <v>49213.1</v>
      </c>
      <c r="CN501" s="81">
        <f t="shared" ref="CN501:CN510" si="1849">IF(ISERROR((CM501/CE501-1)*100),"NA",IF(((CM501/CE501-1)*100)&gt;100,"NM",IF(((CM501/CE501-1)*100)&lt;-50,"NM",(CM501/CE501-1)*100)))</f>
        <v>6.4276430605805679</v>
      </c>
      <c r="CO501" s="131">
        <v>49152.800000000003</v>
      </c>
      <c r="CP501" s="81">
        <f t="shared" ref="CP501:CP510" si="1850">IF(ISERROR((CO501/CG501-1)*100),"NA",IF(((CO501/CG501-1)*100)&gt;100,"NM",IF(((CO501/CG501-1)*100)&lt;-50,"NM",(CO501/CG501-1)*100)))</f>
        <v>6.8762176454216561</v>
      </c>
      <c r="CQ501" s="131">
        <v>50314.1</v>
      </c>
      <c r="CR501" s="81">
        <f t="shared" ref="CR501:CR510" si="1851">IF(ISERROR((CQ501/CI501-1)*100),"NA",IF(((CQ501/CI501-1)*100)&gt;100,"NM",IF(((CQ501/CI501-1)*100)&lt;-50,"NM",(CQ501/CI501-1)*100)))</f>
        <v>7.5179502521583119</v>
      </c>
      <c r="CS501" s="131">
        <v>51768</v>
      </c>
      <c r="CT501" s="81">
        <f t="shared" ref="CT501:CT510" si="1852">IF(ISERROR((CS501/CK501-1)*100),"NA",IF(((CS501/CK501-1)*100)&gt;100,"NM",IF(((CS501/CK501-1)*100)&lt;-50,"NM",(CS501/CK501-1)*100)))</f>
        <v>6.1609352858786437</v>
      </c>
      <c r="CU501" s="131">
        <v>51904.800000000003</v>
      </c>
      <c r="CV501" s="81">
        <f t="shared" ref="CV501:CV510" si="1853">IF(ISERROR((CU501/CM501-1)*100),"NA",IF(((CU501/CM501-1)*100)&gt;100,"NM",IF(((CU501/CM501-1)*100)&lt;-50,"NM",(CU501/CM501-1)*100)))</f>
        <v>5.4694786550735675</v>
      </c>
      <c r="CW501" s="131">
        <v>51101.599999999999</v>
      </c>
      <c r="CX501" s="81">
        <f t="shared" ref="CX501:CX510" si="1854">IF(ISERROR((CW501/CO501-1)*100),"NA",IF(((CW501/CO501-1)*100)&gt;100,"NM",IF(((CW501/CO501-1)*100)&lt;-50,"NM",(CW501/CO501-1)*100)))</f>
        <v>3.9647792190882214</v>
      </c>
      <c r="CY501" s="131">
        <v>48894</v>
      </c>
      <c r="CZ501" s="81">
        <f t="shared" ref="CZ501:CZ510" si="1855">IF(ISERROR((CY501/CQ501-1)*100),"NA",IF(((CY501/CQ501-1)*100)&gt;100,"NM",IF(((CY501/CQ501-1)*100)&lt;-50,"NM",(CY501/CQ501-1)*100)))</f>
        <v>-2.8224692481829128</v>
      </c>
      <c r="DA501" s="131">
        <v>49121.7</v>
      </c>
      <c r="DB501" s="81">
        <f t="shared" ref="DB501:DB510" si="1856">IF(ISERROR((DA501/CS501-1)*100),"NA",IF(((DA501/CS501-1)*100)&gt;100,"NM",IF(((DA501/CS501-1)*100)&lt;-50,"NM",(DA501/CS501-1)*100)))</f>
        <v>-5.1118451553083037</v>
      </c>
      <c r="DC501" s="131">
        <v>48885.4</v>
      </c>
      <c r="DD501" s="81">
        <f t="shared" ref="DD501:DD510" si="1857">IF(ISERROR((DC501/CU501-1)*100),"NA",IF(((DC501/CU501-1)*100)&gt;100,"NM",IF(((DC501/CU501-1)*100)&lt;-50,"NM",(DC501/CU501-1)*100)))</f>
        <v>-5.8171883910543958</v>
      </c>
      <c r="DE501" s="131">
        <v>50532.9</v>
      </c>
      <c r="DF501" s="81">
        <f t="shared" ref="DF501:DF510" si="1858">IF(ISERROR((DE501/CW501-1)*100),"NA",IF(((DE501/CW501-1)*100)&gt;100,"NM",IF(((DE501/CW501-1)*100)&lt;-50,"NM",(DE501/CW501-1)*100)))</f>
        <v>-1.1128810056827865</v>
      </c>
      <c r="DG501" s="131">
        <v>51564.9</v>
      </c>
      <c r="DH501" s="81">
        <f t="shared" ref="DH501:DH510" si="1859">IF(ISERROR((DG501/CY501-1)*100),"NA",IF(((DG501/CY501-1)*100)&gt;100,"NM",IF(((DG501/CY501-1)*100)&lt;-50,"NM",(DG501/CY501-1)*100)))</f>
        <v>5.4626334519572994</v>
      </c>
      <c r="DI501" s="131">
        <v>51379.4</v>
      </c>
      <c r="DJ501" s="81">
        <f t="shared" ref="DJ501:DJ510" si="1860">IF(ISERROR((DI501/DA501-1)*100),"NA",IF(((DI501/DA501-1)*100)&gt;100,"NM",IF(((DI501/DA501-1)*100)&lt;-50,"NM",(DI501/DA501-1)*100)))</f>
        <v>4.5961357200585473</v>
      </c>
      <c r="DK501" s="131">
        <v>51747.4</v>
      </c>
      <c r="DL501" s="81">
        <f t="shared" ref="DL501:DL510" si="1861">IF(ISERROR((DK501/DC501-1)*100),"NA",IF(((DK501/DC501-1)*100)&gt;100,"NM",IF(((DK501/DC501-1)*100)&lt;-50,"NM",(DK501/DC501-1)*100)))</f>
        <v>5.8545087081214531</v>
      </c>
      <c r="DM501" s="131">
        <v>52342.2</v>
      </c>
      <c r="DN501" s="81">
        <f t="shared" ref="DN501:DP510" si="1862">IF(ISERROR((DM501/DE501-1)*100),"NA",IF(((DM501/DE501-1)*100)&gt;100,"NM",IF(((DM501/DE501-1)*100)&lt;-50,"NM",(DM501/DE501-1)*100)))</f>
        <v>3.5804396739549826</v>
      </c>
      <c r="DO501" s="131">
        <v>51023.1</v>
      </c>
      <c r="DP501" s="81">
        <f t="shared" si="1862"/>
        <v>-1.0507147303689179</v>
      </c>
      <c r="DQ501" s="131">
        <v>50921.7</v>
      </c>
      <c r="DR501" s="81">
        <f t="shared" ref="DR501:DR510" si="1863">IF(ISERROR((DQ501/DI501-1)*100),"NA",IF(((DQ501/DI501-1)*100)&gt;100,"NM",IF(((DQ501/DI501-1)*100)&lt;-50,"NM",(DQ501/DI501-1)*100)))</f>
        <v>-0.89082394889781202</v>
      </c>
      <c r="DS501" s="131">
        <v>50023.7</v>
      </c>
      <c r="DT501" s="81">
        <f t="shared" ref="DT501:DT510" si="1864">IF(ISERROR((DS501/DK501-1)*100),"NA",IF(((DS501/DK501-1)*100)&gt;100,"NM",IF(((DS501/DK501-1)*100)&lt;-50,"NM",(DS501/DK501-1)*100)))</f>
        <v>-3.330988610055774</v>
      </c>
      <c r="DU501" s="131">
        <v>51239.9</v>
      </c>
      <c r="DV501" s="81">
        <f t="shared" ref="DV501:DV510" si="1865">IF(ISERROR((DU501/DM501-1)*100),"NA",IF(((DU501/DM501-1)*100)&gt;100,"NM",IF(((DU501/DM501-1)*100)&lt;-50,"NM",(DU501/DM501-1)*100)))</f>
        <v>-2.1059489283981048</v>
      </c>
      <c r="DW501" s="131">
        <v>53114</v>
      </c>
      <c r="DX501" s="81">
        <f t="shared" ref="DX501:DX510" si="1866">IF(ISERROR((DW501/DO501-1)*100),"NA",IF(((DW501/DO501-1)*100)&gt;100,"NM",IF(((DW501/DO501-1)*100)&lt;-50,"NM",(DW501/DO501-1)*100)))</f>
        <v>4.0979477922744811</v>
      </c>
      <c r="DY501" s="131">
        <v>53108.6</v>
      </c>
      <c r="DZ501" s="81">
        <f t="shared" ref="DZ501:DZ510" si="1867">IF(ISERROR((DY501/DQ501-1)*100),"NA",IF(((DY501/DQ501-1)*100)&gt;100,"NM",IF(((DY501/DQ501-1)*100)&lt;-50,"NM",(DY501/DQ501-1)*100)))</f>
        <v>4.2946327400695594</v>
      </c>
      <c r="EA501" s="131">
        <v>51130.9</v>
      </c>
      <c r="EB501" s="81">
        <f t="shared" ref="EB501:EB510" si="1868">IF(ISERROR((EA501/DS501-1)*100),"NA",IF(((EA501/DS501-1)*100)&gt;100,"NM",IF(((EA501/DS501-1)*100)&lt;-50,"NM",(EA501/DS501-1)*100)))</f>
        <v>2.2133508716868366</v>
      </c>
      <c r="EC501" s="131">
        <v>51556.7</v>
      </c>
      <c r="ED501" s="81">
        <f t="shared" ref="ED501:ED510" si="1869">IF(ISERROR((EC501/DU501-1)*100),"NA",IF(((EC501/DU501-1)*100)&gt;100,"NM",IF(((EC501/DU501-1)*100)&lt;-50,"NM",(EC501/DU501-1)*100)))</f>
        <v>0.61826818553509799</v>
      </c>
      <c r="EE501" s="131">
        <v>52391.7</v>
      </c>
      <c r="EF501" s="81">
        <f t="shared" ref="EF501:EF510" si="1870">IF(ISERROR((EE501/DW501-1)*100),"NA",IF(((EE501/DW501-1)*100)&gt;100,"NM",IF(((EE501/DW501-1)*100)&lt;-50,"NM",(EE501/DW501-1)*100)))</f>
        <v>-1.3599051097639148</v>
      </c>
      <c r="EG501" s="131">
        <v>52836.4</v>
      </c>
      <c r="EH501" s="81">
        <f t="shared" ref="EH501:EH510" si="1871">IF(ISERROR((EG501/DY501-1)*100),"NA",IF(((EG501/DY501-1)*100)&gt;100,"NM",IF(((EG501/DY501-1)*100)&lt;-50,"NM",(EG501/DY501-1)*100)))</f>
        <v>-0.51253469306289379</v>
      </c>
      <c r="EI501" s="131">
        <v>53044</v>
      </c>
      <c r="EJ501" s="81">
        <f t="shared" ref="EJ501:EJ510" si="1872">IF(ISERROR((EI501/EA501-1)*100),"NA",IF(((EI501/EA501-1)*100)&gt;100,"NM",IF(((EI501/EA501-1)*100)&lt;-50,"NM",(EI501/EA501-1)*100)))</f>
        <v>3.7415730996325003</v>
      </c>
      <c r="EK501" s="131">
        <f t="shared" ref="EK501" si="1873">EI501*1.0062</f>
        <v>53372.872799999997</v>
      </c>
      <c r="EL501" s="81">
        <f t="shared" ref="EL501:EL510" si="1874">IF(ISERROR((EK501/EC501-1)*100),"NA",IF(((EK501/EC501-1)*100)&gt;100,"NM",IF(((EK501/EC501-1)*100)&lt;-50,"NM",(EK501/EC501-1)*100)))</f>
        <v>3.5226707682997516</v>
      </c>
      <c r="EM501" s="131">
        <f t="shared" ref="EM501" si="1875">EK501*1.0062</f>
        <v>53703.784611359995</v>
      </c>
      <c r="EN501" s="81">
        <f t="shared" ref="EN501:EN510" si="1876">IF(ISERROR((EM501/EE501-1)*100),"NA",IF(((EM501/EE501-1)*100)&gt;100,"NM",IF(((EM501/EE501-1)*100)&lt;-50,"NM",(EM501/EE501-1)*100)))</f>
        <v>2.5043749512995372</v>
      </c>
      <c r="EO501" s="131">
        <f t="shared" ref="EO501" si="1877">EM501*1.0062</f>
        <v>54036.748075950425</v>
      </c>
      <c r="EP501" s="81">
        <f t="shared" ref="EP501:EP510" si="1878">IF(ISERROR((EO501/EG501-1)*100),"NA",IF(((EO501/EG501-1)*100)&gt;100,"NM",IF(((EO501/EG501-1)*100)&lt;-50,"NM",(EO501/EG501-1)*100)))</f>
        <v>2.2718203283161209</v>
      </c>
      <c r="EQ501" s="131">
        <f t="shared" ref="EQ501" si="1879">EO501*1.0062</f>
        <v>54371.775914021317</v>
      </c>
      <c r="ER501" s="81">
        <f t="shared" ref="ER501:ER510" si="1880">IF(ISERROR((EQ501/EI501-1)*100),"NA",IF(((EQ501/EI501-1)*100)&gt;100,"NM",IF(((EQ501/EI501-1)*100)&lt;-50,"NM",(EQ501/EI501-1)*100)))</f>
        <v>2.5031594789633349</v>
      </c>
      <c r="ES501" s="327"/>
      <c r="ET501" s="490"/>
      <c r="EU501" s="327"/>
      <c r="EV501" s="332">
        <v>27186</v>
      </c>
      <c r="EW501" s="79"/>
      <c r="EX501" s="131">
        <v>26549.3</v>
      </c>
      <c r="EY501" s="79">
        <f t="shared" ref="EY501:EY510" si="1881">IF(ISERROR((EX501/EV501-1)*100),"NA",IF(((EX501/EV501-1)*100)&gt;100,"NM",IF(((EX501/EV501-1)*100)&lt;-50,"NM",(EX501/EV501-1)*100)))</f>
        <v>-2.3420142720517956</v>
      </c>
      <c r="EZ501" s="332">
        <v>26604.1</v>
      </c>
      <c r="FA501" s="79">
        <f t="shared" ref="FA501:FA510" si="1882">IF(ISERROR((EZ501/EX501-1)*100),"NA",IF(((EZ501/EX501-1)*100)&gt;100,"NM",IF(((EZ501/EX501-1)*100)&lt;-50,"NM",(EZ501/EX501-1)*100)))</f>
        <v>0.2064084552135137</v>
      </c>
      <c r="FB501" s="340">
        <f>K501</f>
        <v>28324</v>
      </c>
      <c r="FC501" s="79">
        <f t="shared" ref="FC501:FC510" si="1883">IF(ISERROR((FB501/EZ501-1)*100),"NA",IF(((FB501/EZ501-1)*100)&gt;100,"NM",IF(((FB501/EZ501-1)*100)&lt;-50,"NM",(FB501/EZ501-1)*100)))</f>
        <v>6.4647930206246373</v>
      </c>
      <c r="FD501" s="340">
        <f>+S501</f>
        <v>31152</v>
      </c>
      <c r="FE501" s="79">
        <f t="shared" ref="FE501:FE510" si="1884">IF(ISERROR((FD501/FB501-1)*100),"NA",IF(((FD501/FB501-1)*100)&gt;100,"NM",IF(((FD501/FB501-1)*100)&lt;-50,"NM",(FD501/FB501-1)*100)))</f>
        <v>9.984465470978666</v>
      </c>
      <c r="FF501" s="340">
        <f>+AA501</f>
        <v>35028.300000000003</v>
      </c>
      <c r="FG501" s="79">
        <f t="shared" ref="FG501:FG510" si="1885">IF(ISERROR((FF501/FD501-1)*100),"NA",IF(((FF501/FD501-1)*100)&gt;100,"NM",IF(((FF501/FD501-1)*100)&lt;-50,"NM",(FF501/FD501-1)*100)))</f>
        <v>12.443181818181825</v>
      </c>
      <c r="FH501" s="340">
        <f>+AI501</f>
        <v>36587.699999999997</v>
      </c>
      <c r="FI501" s="79">
        <f t="shared" ref="FI501:FI510" si="1886">IF(ISERROR((FH501/FF501-1)*100),"NA",IF(((FH501/FF501-1)*100)&gt;100,"NM",IF(((FH501/FF501-1)*100)&lt;-50,"NM",(FH501/FF501-1)*100)))</f>
        <v>4.451828949734904</v>
      </c>
      <c r="FJ501" s="340">
        <f>+AQ501</f>
        <v>39356.5</v>
      </c>
      <c r="FK501" s="79">
        <f t="shared" ref="FK501:FK510" si="1887">IF(ISERROR((FJ501/FH501-1)*100),"NA",IF(((FJ501/FH501-1)*100)&gt;100,"NM",IF(((FJ501/FH501-1)*100)&lt;-50,"NM",(FJ501/FH501-1)*100)))</f>
        <v>7.5675705223340106</v>
      </c>
      <c r="FL501" s="344">
        <f>AY501</f>
        <v>40163.300000000003</v>
      </c>
      <c r="FM501" s="79">
        <f t="shared" ref="FM501:FM510" si="1888">IF(ISERROR((FL501/FJ501-1)*100),"NA",IF(((FL501/FJ501-1)*100)&gt;100,"NM",IF(((FL501/FJ501-1)*100)&lt;-50,"NM",(FL501/FJ501-1)*100)))</f>
        <v>2.0499790377701332</v>
      </c>
      <c r="FN501" s="344">
        <f>BG501</f>
        <v>40951</v>
      </c>
      <c r="FO501" s="79">
        <f t="shared" ref="FO501:FO510" si="1889">IF(ISERROR((FN501/FL501-1)*100),"NA",IF(((FN501/FL501-1)*100)&gt;100,"NM",IF(((FN501/FL501-1)*100)&lt;-50,"NM",(FN501/FL501-1)*100)))</f>
        <v>1.9612432245358358</v>
      </c>
      <c r="FP501" s="344">
        <f>BO501</f>
        <v>37865.9</v>
      </c>
      <c r="FQ501" s="79">
        <f t="shared" ref="FQ501:FQ510" si="1890">IF(ISERROR((FP501/FN501-1)*100),"NA",IF(((FP501/FN501-1)*100)&gt;100,"NM",IF(((FP501/FN501-1)*100)&lt;-50,"NM",(FP501/FN501-1)*100)))</f>
        <v>-7.5336377622036039</v>
      </c>
      <c r="FR501" s="192">
        <f>BW501</f>
        <v>43295.4</v>
      </c>
      <c r="FS501" s="79">
        <f t="shared" ref="FS501:FS510" si="1891">IF(ISERROR((FR501/FP501-1)*100),"NA",IF(((FR501/FP501-1)*100)&gt;100,"NM",IF(((FR501/FP501-1)*100)&lt;-50,"NM",(FR501/FP501-1)*100)))</f>
        <v>14.338758619232618</v>
      </c>
      <c r="FT501" s="192">
        <f>CE501</f>
        <v>46240.9</v>
      </c>
      <c r="FU501" s="79">
        <f t="shared" ref="FU501:FU510" si="1892">IF(ISERROR((FT501/FR501-1)*100),"NA",IF(((FT501/FR501-1)*100)&gt;100,"NM",IF(((FT501/FR501-1)*100)&lt;-50,"NM",(FT501/FR501-1)*100)))</f>
        <v>6.8032631642160668</v>
      </c>
      <c r="FV501" s="192">
        <f>CM501</f>
        <v>49213.1</v>
      </c>
      <c r="FW501" s="79">
        <f t="shared" ref="FW501:FW510" si="1893">IF(ISERROR((FV501/FT501-1)*100),"NA",IF(((FV501/FT501-1)*100)&gt;100,"NM",IF(((FV501/FT501-1)*100)&lt;-50,"NM",(FV501/FT501-1)*100)))</f>
        <v>6.4276430605805679</v>
      </c>
      <c r="FX501" s="192">
        <f>CU501</f>
        <v>51904.800000000003</v>
      </c>
      <c r="FY501" s="79">
        <f t="shared" ref="FY501:FY510" si="1894">IF(ISERROR((FX501/FV501-1)*100),"NA",IF(((FX501/FV501-1)*100)&gt;100,"NM",IF(((FX501/FV501-1)*100)&lt;-50,"NM",(FX501/FV501-1)*100)))</f>
        <v>5.4694786550735675</v>
      </c>
      <c r="FZ501" s="192">
        <f>DC501</f>
        <v>48885.4</v>
      </c>
      <c r="GA501" s="79">
        <f t="shared" ref="GA501:GQ510" si="1895">IF(ISERROR((FZ501/FX501-1)*100),"NA",IF(((FZ501/FX501-1)*100)&gt;100,"NM",IF(((FZ501/FX501-1)*100)&lt;-50,"NM",(FZ501/FX501-1)*100)))</f>
        <v>-5.8171883910543958</v>
      </c>
      <c r="GB501" s="192">
        <f>DK501</f>
        <v>51747.4</v>
      </c>
      <c r="GC501" s="79">
        <f t="shared" si="1895"/>
        <v>5.8545087081214531</v>
      </c>
      <c r="GD501" s="192">
        <f>DS501</f>
        <v>50023.7</v>
      </c>
      <c r="GE501" s="79">
        <f t="shared" si="1895"/>
        <v>-3.330988610055774</v>
      </c>
      <c r="GF501" s="192">
        <f>EA501</f>
        <v>51130.9</v>
      </c>
      <c r="GG501" s="79">
        <f t="shared" si="1895"/>
        <v>2.2133508716868366</v>
      </c>
      <c r="GH501" s="192">
        <f>EI501</f>
        <v>53044</v>
      </c>
      <c r="GI501" s="79">
        <f t="shared" si="1895"/>
        <v>3.7415730996325003</v>
      </c>
      <c r="GJ501" s="192">
        <f>EQ501</f>
        <v>54371.775914021317</v>
      </c>
      <c r="GK501" s="79">
        <f t="shared" si="1895"/>
        <v>2.5031594789633349</v>
      </c>
      <c r="GL501" s="131">
        <f>GJ501*1.025</f>
        <v>55731.070311871845</v>
      </c>
      <c r="GM501" s="79">
        <f t="shared" si="1895"/>
        <v>2.4999999999999911</v>
      </c>
      <c r="GN501" s="131">
        <f>GL501*1.025</f>
        <v>57124.347069668635</v>
      </c>
      <c r="GO501" s="79">
        <f t="shared" si="1895"/>
        <v>2.4999999999999911</v>
      </c>
      <c r="GP501" s="131">
        <f>GN501*1.025</f>
        <v>58552.455746410342</v>
      </c>
      <c r="GQ501" s="79">
        <f t="shared" si="1895"/>
        <v>2.4999999999999911</v>
      </c>
      <c r="GR501" s="131">
        <f>GP501*1.025</f>
        <v>60016.267140070595</v>
      </c>
      <c r="GS501" s="79">
        <f t="shared" ref="GS501:GS510" si="1896">IF(ISERROR((GR501/GP501-1)*100),"NA",IF(((GR501/GP501-1)*100)&gt;100,"NM",IF(((GR501/GP501-1)*100)&lt;-50,"NM",(GR501/GP501-1)*100)))</f>
        <v>2.4999999999999911</v>
      </c>
      <c r="GT501" s="79">
        <f t="shared" ref="GT501:GT510" si="1897">IF(ISERROR(((GR501/GH501)^0.2-1)*100),"NA",(IF(OR(((GR501/GH501)^0.2-1)*100&gt;99,((GR501/GH501)^0.2-1)*100&lt;-50),"NM",(((GR501/GH501)^0.2-1)*100))))</f>
        <v>2.5006318880017364</v>
      </c>
    </row>
    <row r="502" spans="1:286" ht="12.75" customHeight="1" x14ac:dyDescent="0.2">
      <c r="A502" s="1" t="s">
        <v>218</v>
      </c>
      <c r="B502" s="2" t="s">
        <v>122</v>
      </c>
      <c r="C502" s="79"/>
      <c r="D502" s="79"/>
      <c r="E502" s="131">
        <v>49.7</v>
      </c>
      <c r="F502" s="131"/>
      <c r="G502" s="349">
        <v>49.8</v>
      </c>
      <c r="H502" s="349"/>
      <c r="I502" s="349">
        <v>47.3</v>
      </c>
      <c r="J502" s="349"/>
      <c r="K502" s="349">
        <v>43.1</v>
      </c>
      <c r="L502" s="79"/>
      <c r="M502" s="131">
        <v>41.6</v>
      </c>
      <c r="N502" s="79">
        <f t="shared" si="1818"/>
        <v>-16.297786720321938</v>
      </c>
      <c r="O502" s="131">
        <v>34.5</v>
      </c>
      <c r="P502" s="79">
        <f t="shared" si="1819"/>
        <v>-30.722891566265055</v>
      </c>
      <c r="Q502" s="349">
        <v>26.8</v>
      </c>
      <c r="R502" s="79">
        <f t="shared" si="1820"/>
        <v>-43.34038054968287</v>
      </c>
      <c r="S502" s="349">
        <v>27.9</v>
      </c>
      <c r="T502" s="79">
        <f t="shared" si="1821"/>
        <v>-35.266821345707669</v>
      </c>
      <c r="U502" s="131">
        <v>26.6</v>
      </c>
      <c r="V502" s="79">
        <f t="shared" si="1822"/>
        <v>-36.057692307692299</v>
      </c>
      <c r="W502" s="131">
        <v>29.9</v>
      </c>
      <c r="X502" s="79">
        <f t="shared" si="1823"/>
        <v>-13.333333333333341</v>
      </c>
      <c r="Y502" s="349">
        <v>30.2</v>
      </c>
      <c r="Z502" s="79">
        <f t="shared" si="1824"/>
        <v>12.686567164179108</v>
      </c>
      <c r="AA502" s="333">
        <v>32.5</v>
      </c>
      <c r="AB502" s="79">
        <f t="shared" si="1825"/>
        <v>16.487455197132618</v>
      </c>
      <c r="AC502" s="131">
        <v>32.299999999999997</v>
      </c>
      <c r="AD502" s="79">
        <f t="shared" si="1826"/>
        <v>21.42857142857142</v>
      </c>
      <c r="AE502" s="131">
        <v>32</v>
      </c>
      <c r="AF502" s="79">
        <f t="shared" si="1827"/>
        <v>7.0234113712374535</v>
      </c>
      <c r="AG502" s="349">
        <v>29.9</v>
      </c>
      <c r="AH502" s="79">
        <f t="shared" si="1828"/>
        <v>-0.99337748344371368</v>
      </c>
      <c r="AI502" s="349">
        <v>31.7</v>
      </c>
      <c r="AJ502" s="79">
        <f t="shared" si="1829"/>
        <v>-2.4615384615384595</v>
      </c>
      <c r="AK502" s="349">
        <v>30.1</v>
      </c>
      <c r="AL502" s="79">
        <f t="shared" si="1830"/>
        <v>-6.8111455108359031</v>
      </c>
      <c r="AM502" s="349">
        <v>29.8</v>
      </c>
      <c r="AN502" s="79">
        <f t="shared" si="1831"/>
        <v>-6.8749999999999982</v>
      </c>
      <c r="AO502" s="349">
        <v>30.7</v>
      </c>
      <c r="AP502" s="79">
        <f t="shared" si="1831"/>
        <v>2.6755852842809347</v>
      </c>
      <c r="AQ502" s="349">
        <v>29.6</v>
      </c>
      <c r="AR502" s="79">
        <f t="shared" si="1831"/>
        <v>-6.624605678233431</v>
      </c>
      <c r="AS502" s="349">
        <v>29.7</v>
      </c>
      <c r="AT502" s="81">
        <f t="shared" si="1831"/>
        <v>-1.3289036544850585</v>
      </c>
      <c r="AU502" s="349">
        <v>27.6</v>
      </c>
      <c r="AV502" s="81">
        <f t="shared" si="1831"/>
        <v>-7.3825503355704702</v>
      </c>
      <c r="AW502" s="349">
        <v>28</v>
      </c>
      <c r="AX502" s="81">
        <f t="shared" si="1831"/>
        <v>-8.7947882736156284</v>
      </c>
      <c r="AY502" s="349">
        <v>28.5</v>
      </c>
      <c r="AZ502" s="81">
        <f t="shared" si="1831"/>
        <v>-3.7162162162162171</v>
      </c>
      <c r="BA502" s="349">
        <v>20.9</v>
      </c>
      <c r="BB502" s="81">
        <f t="shared" si="1831"/>
        <v>-29.629629629629626</v>
      </c>
      <c r="BC502" s="349">
        <v>21.9</v>
      </c>
      <c r="BD502" s="81">
        <f t="shared" si="1831"/>
        <v>-20.652173913043491</v>
      </c>
      <c r="BE502" s="349">
        <v>22.3</v>
      </c>
      <c r="BF502" s="81">
        <f t="shared" si="1832"/>
        <v>-20.357142857142851</v>
      </c>
      <c r="BG502" s="349">
        <v>20.2</v>
      </c>
      <c r="BH502" s="81">
        <f t="shared" si="1833"/>
        <v>-29.122807017543863</v>
      </c>
      <c r="BI502" s="349">
        <v>18.7</v>
      </c>
      <c r="BJ502" s="81">
        <f t="shared" si="1834"/>
        <v>-10.526315789473683</v>
      </c>
      <c r="BK502" s="349">
        <v>17.399999999999999</v>
      </c>
      <c r="BL502" s="81">
        <f t="shared" si="1835"/>
        <v>-20.547945205479458</v>
      </c>
      <c r="BM502" s="349">
        <v>14.4</v>
      </c>
      <c r="BN502" s="81">
        <f t="shared" si="1836"/>
        <v>-35.426008968609871</v>
      </c>
      <c r="BO502" s="349">
        <v>10.5</v>
      </c>
      <c r="BP502" s="81">
        <f t="shared" si="1837"/>
        <v>-48.019801980198018</v>
      </c>
      <c r="BQ502" s="349">
        <v>8.9</v>
      </c>
      <c r="BR502" s="81" t="str">
        <f t="shared" si="1838"/>
        <v>NM</v>
      </c>
      <c r="BS502" s="349">
        <v>9.6</v>
      </c>
      <c r="BT502" s="81">
        <f t="shared" si="1839"/>
        <v>-44.827586206896555</v>
      </c>
      <c r="BU502" s="349">
        <v>11</v>
      </c>
      <c r="BV502" s="81">
        <f t="shared" si="1840"/>
        <v>-23.611111111111114</v>
      </c>
      <c r="BW502" s="349">
        <v>0</v>
      </c>
      <c r="BX502" s="81" t="str">
        <f t="shared" si="1841"/>
        <v>NM</v>
      </c>
      <c r="BY502" s="349">
        <v>0</v>
      </c>
      <c r="BZ502" s="81" t="str">
        <f t="shared" si="1842"/>
        <v>NM</v>
      </c>
      <c r="CA502" s="349">
        <v>0</v>
      </c>
      <c r="CB502" s="81" t="str">
        <f t="shared" si="1843"/>
        <v>NM</v>
      </c>
      <c r="CC502" s="349">
        <v>0</v>
      </c>
      <c r="CD502" s="81" t="str">
        <f t="shared" si="1844"/>
        <v>NM</v>
      </c>
      <c r="CE502" s="349">
        <v>0</v>
      </c>
      <c r="CF502" s="81" t="str">
        <f t="shared" si="1845"/>
        <v>NA</v>
      </c>
      <c r="CG502" s="349">
        <v>0</v>
      </c>
      <c r="CH502" s="81" t="str">
        <f t="shared" si="1846"/>
        <v>NA</v>
      </c>
      <c r="CI502" s="349">
        <v>0</v>
      </c>
      <c r="CJ502" s="81" t="str">
        <f t="shared" si="1847"/>
        <v>NA</v>
      </c>
      <c r="CK502" s="349">
        <v>0</v>
      </c>
      <c r="CL502" s="81" t="str">
        <f t="shared" si="1848"/>
        <v>NA</v>
      </c>
      <c r="CM502" s="349">
        <v>0</v>
      </c>
      <c r="CN502" s="81" t="str">
        <f t="shared" si="1849"/>
        <v>NA</v>
      </c>
      <c r="CO502" s="349">
        <v>0</v>
      </c>
      <c r="CP502" s="81" t="str">
        <f t="shared" si="1850"/>
        <v>NA</v>
      </c>
      <c r="CQ502" s="349">
        <v>0</v>
      </c>
      <c r="CR502" s="81" t="str">
        <f t="shared" si="1851"/>
        <v>NA</v>
      </c>
      <c r="CS502" s="349">
        <v>0</v>
      </c>
      <c r="CT502" s="81" t="str">
        <f t="shared" si="1852"/>
        <v>NA</v>
      </c>
      <c r="CU502" s="349">
        <v>0</v>
      </c>
      <c r="CV502" s="81" t="str">
        <f t="shared" si="1853"/>
        <v>NA</v>
      </c>
      <c r="CW502" s="349">
        <v>0</v>
      </c>
      <c r="CX502" s="81" t="str">
        <f t="shared" si="1854"/>
        <v>NA</v>
      </c>
      <c r="CY502" s="349">
        <v>0</v>
      </c>
      <c r="CZ502" s="81" t="str">
        <f t="shared" si="1855"/>
        <v>NA</v>
      </c>
      <c r="DA502" s="349">
        <v>0</v>
      </c>
      <c r="DB502" s="81" t="str">
        <f t="shared" si="1856"/>
        <v>NA</v>
      </c>
      <c r="DC502" s="349">
        <v>0</v>
      </c>
      <c r="DD502" s="81" t="str">
        <f t="shared" si="1857"/>
        <v>NA</v>
      </c>
      <c r="DE502" s="349">
        <v>0</v>
      </c>
      <c r="DF502" s="81" t="str">
        <f t="shared" si="1858"/>
        <v>NA</v>
      </c>
      <c r="DG502" s="349">
        <v>0</v>
      </c>
      <c r="DH502" s="81" t="str">
        <f t="shared" si="1859"/>
        <v>NA</v>
      </c>
      <c r="DI502" s="349">
        <v>0</v>
      </c>
      <c r="DJ502" s="81" t="str">
        <f t="shared" si="1860"/>
        <v>NA</v>
      </c>
      <c r="DK502" s="349">
        <v>0</v>
      </c>
      <c r="DL502" s="81" t="str">
        <f t="shared" si="1861"/>
        <v>NA</v>
      </c>
      <c r="DM502" s="349">
        <v>0</v>
      </c>
      <c r="DN502" s="81" t="str">
        <f t="shared" si="1862"/>
        <v>NA</v>
      </c>
      <c r="DO502" s="349">
        <v>0</v>
      </c>
      <c r="DP502" s="81" t="str">
        <f t="shared" si="1862"/>
        <v>NA</v>
      </c>
      <c r="DQ502" s="349">
        <v>0</v>
      </c>
      <c r="DR502" s="81" t="str">
        <f t="shared" si="1863"/>
        <v>NA</v>
      </c>
      <c r="DS502" s="349">
        <v>0</v>
      </c>
      <c r="DT502" s="81" t="str">
        <f t="shared" si="1864"/>
        <v>NA</v>
      </c>
      <c r="DU502" s="349">
        <v>0</v>
      </c>
      <c r="DV502" s="81" t="str">
        <f t="shared" si="1865"/>
        <v>NA</v>
      </c>
      <c r="DW502" s="349">
        <v>0</v>
      </c>
      <c r="DX502" s="81" t="str">
        <f t="shared" si="1866"/>
        <v>NA</v>
      </c>
      <c r="DY502" s="349">
        <v>0</v>
      </c>
      <c r="DZ502" s="81" t="str">
        <f t="shared" si="1867"/>
        <v>NA</v>
      </c>
      <c r="EA502" s="349">
        <v>0</v>
      </c>
      <c r="EB502" s="81" t="str">
        <f t="shared" si="1868"/>
        <v>NA</v>
      </c>
      <c r="EC502" s="349">
        <v>0</v>
      </c>
      <c r="ED502" s="81" t="str">
        <f t="shared" si="1869"/>
        <v>NA</v>
      </c>
      <c r="EE502" s="349">
        <v>0</v>
      </c>
      <c r="EF502" s="81" t="str">
        <f t="shared" si="1870"/>
        <v>NA</v>
      </c>
      <c r="EG502" s="349">
        <v>0</v>
      </c>
      <c r="EH502" s="81" t="str">
        <f t="shared" si="1871"/>
        <v>NA</v>
      </c>
      <c r="EI502" s="349">
        <v>0</v>
      </c>
      <c r="EJ502" s="81" t="str">
        <f t="shared" si="1872"/>
        <v>NA</v>
      </c>
      <c r="EK502" s="349">
        <f t="shared" ref="EK502" si="1898">+EI502*1.012</f>
        <v>0</v>
      </c>
      <c r="EL502" s="81" t="str">
        <f t="shared" si="1874"/>
        <v>NA</v>
      </c>
      <c r="EM502" s="349">
        <f t="shared" ref="EM502" si="1899">+EK502*1.012</f>
        <v>0</v>
      </c>
      <c r="EN502" s="81" t="str">
        <f t="shared" si="1876"/>
        <v>NA</v>
      </c>
      <c r="EO502" s="349">
        <f t="shared" ref="EO502" si="1900">+EM502*1.012</f>
        <v>0</v>
      </c>
      <c r="EP502" s="81" t="str">
        <f t="shared" si="1878"/>
        <v>NA</v>
      </c>
      <c r="EQ502" s="349">
        <f t="shared" ref="EQ502" si="1901">+EO502*1.012</f>
        <v>0</v>
      </c>
      <c r="ER502" s="81" t="str">
        <f t="shared" si="1880"/>
        <v>NA</v>
      </c>
      <c r="ES502" s="347"/>
      <c r="ET502" s="492"/>
      <c r="EU502" s="347"/>
      <c r="EV502" s="153">
        <v>413</v>
      </c>
      <c r="EW502" s="201"/>
      <c r="EX502" s="202">
        <v>459.1</v>
      </c>
      <c r="EY502" s="201">
        <f t="shared" si="1881"/>
        <v>11.162227602905572</v>
      </c>
      <c r="EZ502" s="348"/>
      <c r="FA502" s="201" t="str">
        <f t="shared" si="1882"/>
        <v>NM</v>
      </c>
      <c r="FB502" s="348">
        <f>K502</f>
        <v>43.1</v>
      </c>
      <c r="FC502" s="201" t="str">
        <f t="shared" si="1883"/>
        <v>NA</v>
      </c>
      <c r="FD502" s="348">
        <f>+S502</f>
        <v>27.9</v>
      </c>
      <c r="FE502" s="201">
        <f t="shared" si="1884"/>
        <v>-35.266821345707669</v>
      </c>
      <c r="FF502" s="348">
        <f>+AA502</f>
        <v>32.5</v>
      </c>
      <c r="FG502" s="201">
        <f t="shared" si="1885"/>
        <v>16.487455197132618</v>
      </c>
      <c r="FH502" s="348">
        <f>+AI502</f>
        <v>31.7</v>
      </c>
      <c r="FI502" s="201">
        <f t="shared" si="1886"/>
        <v>-2.4615384615384595</v>
      </c>
      <c r="FJ502" s="348">
        <f>+AQ502</f>
        <v>29.6</v>
      </c>
      <c r="FK502" s="201">
        <f t="shared" si="1887"/>
        <v>-6.624605678233431</v>
      </c>
      <c r="FL502" s="344">
        <f>AY502</f>
        <v>28.5</v>
      </c>
      <c r="FM502" s="201">
        <f t="shared" si="1888"/>
        <v>-3.7162162162162171</v>
      </c>
      <c r="FN502" s="344">
        <f>BG502</f>
        <v>20.2</v>
      </c>
      <c r="FO502" s="201">
        <f t="shared" si="1889"/>
        <v>-29.122807017543863</v>
      </c>
      <c r="FP502" s="344">
        <f>BO502</f>
        <v>10.5</v>
      </c>
      <c r="FQ502" s="201">
        <f t="shared" si="1890"/>
        <v>-48.019801980198018</v>
      </c>
      <c r="FR502" s="216">
        <f>BW502</f>
        <v>0</v>
      </c>
      <c r="FS502" s="201" t="str">
        <f t="shared" si="1891"/>
        <v>NM</v>
      </c>
      <c r="FT502" s="216">
        <f>CE502</f>
        <v>0</v>
      </c>
      <c r="FU502" s="201" t="str">
        <f t="shared" si="1892"/>
        <v>NA</v>
      </c>
      <c r="FV502" s="216">
        <f>CM502</f>
        <v>0</v>
      </c>
      <c r="FW502" s="201" t="str">
        <f t="shared" si="1893"/>
        <v>NA</v>
      </c>
      <c r="FX502" s="216">
        <f>CU502</f>
        <v>0</v>
      </c>
      <c r="FY502" s="201" t="str">
        <f t="shared" si="1894"/>
        <v>NA</v>
      </c>
      <c r="FZ502" s="216">
        <f>DC502</f>
        <v>0</v>
      </c>
      <c r="GA502" s="201" t="str">
        <f t="shared" si="1895"/>
        <v>NA</v>
      </c>
      <c r="GB502" s="216">
        <f>DK502</f>
        <v>0</v>
      </c>
      <c r="GC502" s="201" t="str">
        <f t="shared" si="1895"/>
        <v>NA</v>
      </c>
      <c r="GD502" s="216">
        <f>DS502</f>
        <v>0</v>
      </c>
      <c r="GE502" s="201" t="str">
        <f t="shared" si="1895"/>
        <v>NA</v>
      </c>
      <c r="GF502" s="216">
        <f>EA502</f>
        <v>0</v>
      </c>
      <c r="GG502" s="201" t="str">
        <f t="shared" si="1895"/>
        <v>NA</v>
      </c>
      <c r="GH502" s="216">
        <f>EI502</f>
        <v>0</v>
      </c>
      <c r="GI502" s="201" t="str">
        <f t="shared" si="1895"/>
        <v>NA</v>
      </c>
      <c r="GJ502" s="216">
        <f>EQ502</f>
        <v>0</v>
      </c>
      <c r="GK502" s="201" t="str">
        <f t="shared" si="1895"/>
        <v>NA</v>
      </c>
      <c r="GL502" s="349">
        <f>GJ502*1.05</f>
        <v>0</v>
      </c>
      <c r="GM502" s="201" t="str">
        <f t="shared" si="1895"/>
        <v>NA</v>
      </c>
      <c r="GN502" s="349">
        <f>GL502*1.05</f>
        <v>0</v>
      </c>
      <c r="GO502" s="201" t="str">
        <f t="shared" si="1895"/>
        <v>NA</v>
      </c>
      <c r="GP502" s="349">
        <f>GN502*1.05</f>
        <v>0</v>
      </c>
      <c r="GQ502" s="201" t="str">
        <f t="shared" si="1895"/>
        <v>NA</v>
      </c>
      <c r="GR502" s="349">
        <f>GP502*1.05</f>
        <v>0</v>
      </c>
      <c r="GS502" s="201" t="str">
        <f t="shared" si="1896"/>
        <v>NA</v>
      </c>
      <c r="GT502" s="79" t="str">
        <f t="shared" si="1897"/>
        <v>NA</v>
      </c>
    </row>
    <row r="503" spans="1:286" ht="12.75" customHeight="1" x14ac:dyDescent="0.2">
      <c r="A503" s="1" t="s">
        <v>226</v>
      </c>
      <c r="B503" s="2" t="s">
        <v>42</v>
      </c>
      <c r="C503" s="79"/>
      <c r="D503" s="79"/>
      <c r="E503" s="131">
        <v>2479.9</v>
      </c>
      <c r="F503" s="131"/>
      <c r="G503" s="349">
        <v>2552.9</v>
      </c>
      <c r="H503" s="349"/>
      <c r="I503" s="349">
        <v>2610.6999999999998</v>
      </c>
      <c r="J503" s="349"/>
      <c r="K503" s="349">
        <v>2674.8</v>
      </c>
      <c r="L503" s="79"/>
      <c r="M503" s="131">
        <v>2735.3</v>
      </c>
      <c r="N503" s="79">
        <f t="shared" si="1818"/>
        <v>10.298802371063353</v>
      </c>
      <c r="O503" s="131">
        <v>2828.7</v>
      </c>
      <c r="P503" s="79">
        <f t="shared" si="1819"/>
        <v>10.803400054839575</v>
      </c>
      <c r="Q503" s="349">
        <v>2893.7</v>
      </c>
      <c r="R503" s="79">
        <f t="shared" si="1820"/>
        <v>10.84000459646839</v>
      </c>
      <c r="S503" s="349">
        <v>2981.6</v>
      </c>
      <c r="T503" s="79">
        <f t="shared" si="1821"/>
        <v>11.470016449828012</v>
      </c>
      <c r="U503" s="131">
        <v>3054.7</v>
      </c>
      <c r="V503" s="79">
        <f t="shared" si="1822"/>
        <v>11.676964135560986</v>
      </c>
      <c r="W503" s="131">
        <v>3137.4</v>
      </c>
      <c r="X503" s="79">
        <f t="shared" si="1823"/>
        <v>10.913140311804014</v>
      </c>
      <c r="Y503" s="349">
        <v>3189.1</v>
      </c>
      <c r="Z503" s="79">
        <f t="shared" si="1824"/>
        <v>10.208383730172454</v>
      </c>
      <c r="AA503" s="333">
        <v>3051.9</v>
      </c>
      <c r="AB503" s="79">
        <f t="shared" si="1825"/>
        <v>2.3577944727663169</v>
      </c>
      <c r="AC503" s="131">
        <v>2798.8</v>
      </c>
      <c r="AD503" s="79">
        <f t="shared" si="1826"/>
        <v>-8.3772547222313083</v>
      </c>
      <c r="AE503" s="131">
        <v>2833.3</v>
      </c>
      <c r="AF503" s="79">
        <f t="shared" si="1827"/>
        <v>-9.6927392108114958</v>
      </c>
      <c r="AG503" s="349">
        <v>2862.3</v>
      </c>
      <c r="AH503" s="79">
        <f t="shared" si="1828"/>
        <v>-10.247405224044392</v>
      </c>
      <c r="AI503" s="349">
        <v>2882.5</v>
      </c>
      <c r="AJ503" s="79">
        <f t="shared" si="1829"/>
        <v>-5.5506405845538893</v>
      </c>
      <c r="AK503" s="349">
        <v>2901.9</v>
      </c>
      <c r="AL503" s="79">
        <f t="shared" si="1830"/>
        <v>3.6837215949692581</v>
      </c>
      <c r="AM503" s="349">
        <v>2917.3</v>
      </c>
      <c r="AN503" s="79">
        <f t="shared" si="1831"/>
        <v>2.9647407616560262</v>
      </c>
      <c r="AO503" s="349">
        <v>2913.6</v>
      </c>
      <c r="AP503" s="79">
        <f t="shared" si="1831"/>
        <v>1.79226496174405</v>
      </c>
      <c r="AQ503" s="349">
        <v>2913.3</v>
      </c>
      <c r="AR503" s="79">
        <f t="shared" si="1831"/>
        <v>1.0685169124024396</v>
      </c>
      <c r="AS503" s="349">
        <v>2930.6</v>
      </c>
      <c r="AT503" s="81">
        <f t="shared" si="1831"/>
        <v>0.98900720217787175</v>
      </c>
      <c r="AU503" s="349">
        <v>2951.4</v>
      </c>
      <c r="AV503" s="81">
        <f t="shared" si="1831"/>
        <v>1.1688890412367536</v>
      </c>
      <c r="AW503" s="349">
        <v>2965</v>
      </c>
      <c r="AX503" s="81">
        <f t="shared" si="1831"/>
        <v>1.7641405820977507</v>
      </c>
      <c r="AY503" s="349">
        <v>2983.1</v>
      </c>
      <c r="AZ503" s="81">
        <f t="shared" si="1831"/>
        <v>2.3959084200047887</v>
      </c>
      <c r="BA503" s="349">
        <v>2326.8000000000002</v>
      </c>
      <c r="BB503" s="81">
        <f t="shared" si="1831"/>
        <v>-20.60328942878591</v>
      </c>
      <c r="BC503" s="349">
        <v>2342.3000000000002</v>
      </c>
      <c r="BD503" s="81">
        <f t="shared" si="1831"/>
        <v>-20.637663481737476</v>
      </c>
      <c r="BE503" s="349">
        <v>2361.6999999999998</v>
      </c>
      <c r="BF503" s="81">
        <f t="shared" si="1832"/>
        <v>-20.347386172006754</v>
      </c>
      <c r="BG503" s="349">
        <v>2381.9</v>
      </c>
      <c r="BH503" s="81">
        <f t="shared" si="1833"/>
        <v>-20.153531561127679</v>
      </c>
      <c r="BI503" s="349">
        <v>2397.5</v>
      </c>
      <c r="BJ503" s="81">
        <f t="shared" si="1834"/>
        <v>3.0385078219013151</v>
      </c>
      <c r="BK503" s="349">
        <v>2424.1</v>
      </c>
      <c r="BL503" s="81">
        <f t="shared" si="1835"/>
        <v>3.492293899158927</v>
      </c>
      <c r="BM503" s="349">
        <v>2432.1</v>
      </c>
      <c r="BN503" s="81">
        <f t="shared" si="1836"/>
        <v>2.9809035863996414</v>
      </c>
      <c r="BO503" s="349">
        <v>2472.4</v>
      </c>
      <c r="BP503" s="81">
        <f t="shared" si="1837"/>
        <v>3.7994878038540625</v>
      </c>
      <c r="BQ503" s="349">
        <v>2493.3000000000002</v>
      </c>
      <c r="BR503" s="81">
        <f t="shared" si="1838"/>
        <v>3.995828988529726</v>
      </c>
      <c r="BS503" s="349">
        <v>2488.3000000000002</v>
      </c>
      <c r="BT503" s="81">
        <f t="shared" si="1839"/>
        <v>2.6484055938286399</v>
      </c>
      <c r="BU503" s="349">
        <v>2466.5</v>
      </c>
      <c r="BV503" s="81">
        <f t="shared" si="1840"/>
        <v>1.4144155256774038</v>
      </c>
      <c r="BW503" s="349">
        <v>2482.5</v>
      </c>
      <c r="BX503" s="81">
        <f t="shared" si="1841"/>
        <v>0.40850994984629185</v>
      </c>
      <c r="BY503" s="349">
        <v>2486.8000000000002</v>
      </c>
      <c r="BZ503" s="81">
        <f t="shared" si="1842"/>
        <v>-0.26069867244215006</v>
      </c>
      <c r="CA503" s="349">
        <v>2484.5</v>
      </c>
      <c r="CB503" s="81">
        <f t="shared" si="1843"/>
        <v>-0.15271470481855731</v>
      </c>
      <c r="CC503" s="349">
        <v>2491.1</v>
      </c>
      <c r="CD503" s="81">
        <f t="shared" si="1844"/>
        <v>0.99736468680315937</v>
      </c>
      <c r="CE503" s="349">
        <v>1816.1</v>
      </c>
      <c r="CF503" s="81">
        <f t="shared" si="1845"/>
        <v>-26.843907351460228</v>
      </c>
      <c r="CG503" s="349">
        <v>2542.9</v>
      </c>
      <c r="CH503" s="81">
        <f t="shared" si="1846"/>
        <v>2.2559112111951052</v>
      </c>
      <c r="CI503" s="349">
        <v>2557.6</v>
      </c>
      <c r="CJ503" s="81">
        <f t="shared" si="1847"/>
        <v>2.9422418997786304</v>
      </c>
      <c r="CK503" s="349">
        <v>2572.4</v>
      </c>
      <c r="CL503" s="81">
        <f t="shared" si="1848"/>
        <v>3.2636184817951941</v>
      </c>
      <c r="CM503" s="349">
        <v>1677.1</v>
      </c>
      <c r="CN503" s="81">
        <f t="shared" si="1849"/>
        <v>-7.6537635592753723</v>
      </c>
      <c r="CO503" s="349">
        <v>1699.7</v>
      </c>
      <c r="CP503" s="81">
        <f t="shared" si="1850"/>
        <v>-33.158991702387041</v>
      </c>
      <c r="CQ503" s="349">
        <v>1711.2</v>
      </c>
      <c r="CR503" s="81">
        <f t="shared" si="1851"/>
        <v>-33.093525179856108</v>
      </c>
      <c r="CS503" s="349">
        <v>1728.3</v>
      </c>
      <c r="CT503" s="81">
        <f t="shared" si="1852"/>
        <v>-32.813714818846215</v>
      </c>
      <c r="CU503" s="349">
        <v>1755.5</v>
      </c>
      <c r="CV503" s="81">
        <f t="shared" si="1853"/>
        <v>4.6747361516904284</v>
      </c>
      <c r="CW503" s="349">
        <v>1753.1</v>
      </c>
      <c r="CX503" s="81">
        <f t="shared" si="1854"/>
        <v>3.1417308936871224</v>
      </c>
      <c r="CY503" s="349">
        <v>1782.6</v>
      </c>
      <c r="CZ503" s="81">
        <f t="shared" si="1855"/>
        <v>4.1725105189340805</v>
      </c>
      <c r="DA503" s="349">
        <v>1804.9</v>
      </c>
      <c r="DB503" s="81">
        <f t="shared" si="1856"/>
        <v>4.4321009084071106</v>
      </c>
      <c r="DC503" s="349">
        <v>1829.2</v>
      </c>
      <c r="DD503" s="81">
        <f t="shared" si="1857"/>
        <v>4.1982341213329555</v>
      </c>
      <c r="DE503" s="349">
        <v>1832.3</v>
      </c>
      <c r="DF503" s="81">
        <f t="shared" si="1858"/>
        <v>4.5177114825166953</v>
      </c>
      <c r="DG503" s="349">
        <v>1845.8</v>
      </c>
      <c r="DH503" s="81">
        <f t="shared" si="1859"/>
        <v>3.5453831482104903</v>
      </c>
      <c r="DI503" s="349">
        <v>1866.5</v>
      </c>
      <c r="DJ503" s="81">
        <f t="shared" si="1860"/>
        <v>3.4129314643470465</v>
      </c>
      <c r="DK503" s="349">
        <v>1901.3</v>
      </c>
      <c r="DL503" s="81">
        <f t="shared" si="1861"/>
        <v>3.9416138202492901</v>
      </c>
      <c r="DM503" s="349">
        <v>1904.6</v>
      </c>
      <c r="DN503" s="81">
        <f t="shared" si="1862"/>
        <v>3.9458603940402792</v>
      </c>
      <c r="DO503" s="349">
        <v>1937.8</v>
      </c>
      <c r="DP503" s="81">
        <f t="shared" si="1862"/>
        <v>4.9842886553256083</v>
      </c>
      <c r="DQ503" s="349">
        <v>1960.9</v>
      </c>
      <c r="DR503" s="81">
        <f t="shared" si="1863"/>
        <v>5.0575944280739416</v>
      </c>
      <c r="DS503" s="349">
        <v>2008.5</v>
      </c>
      <c r="DT503" s="81">
        <f t="shared" si="1864"/>
        <v>5.6382475148582634</v>
      </c>
      <c r="DU503" s="349">
        <v>2015.4</v>
      </c>
      <c r="DV503" s="81">
        <f t="shared" si="1865"/>
        <v>5.817494487031416</v>
      </c>
      <c r="DW503" s="349">
        <v>2023.7</v>
      </c>
      <c r="DX503" s="81">
        <f t="shared" si="1866"/>
        <v>4.4328620084632009</v>
      </c>
      <c r="DY503" s="349">
        <v>2048.4</v>
      </c>
      <c r="DZ503" s="81">
        <f t="shared" si="1867"/>
        <v>4.4622367280330533</v>
      </c>
      <c r="EA503" s="349">
        <v>2094.1999999999998</v>
      </c>
      <c r="EB503" s="81">
        <f t="shared" si="1868"/>
        <v>4.2668658202638765</v>
      </c>
      <c r="EC503" s="349">
        <v>2113.1999999999998</v>
      </c>
      <c r="ED503" s="81">
        <f t="shared" si="1869"/>
        <v>4.8526347127121117</v>
      </c>
      <c r="EE503" s="349">
        <v>2123.9</v>
      </c>
      <c r="EF503" s="81">
        <f t="shared" si="1870"/>
        <v>4.9513267776844394</v>
      </c>
      <c r="EG503" s="349">
        <v>2155.3000000000002</v>
      </c>
      <c r="EH503" s="81">
        <f t="shared" si="1871"/>
        <v>5.218707283733659</v>
      </c>
      <c r="EI503" s="349">
        <v>2184.6</v>
      </c>
      <c r="EJ503" s="81">
        <f t="shared" si="1872"/>
        <v>4.3166841753414342</v>
      </c>
      <c r="EK503" s="349">
        <f t="shared" ref="EK503" si="1902">EI503*1.0123</f>
        <v>2211.4705799999997</v>
      </c>
      <c r="EL503" s="81">
        <f t="shared" si="1874"/>
        <v>4.6503208404315766</v>
      </c>
      <c r="EM503" s="349">
        <f t="shared" ref="EM503" si="1903">EK503*1.0123</f>
        <v>2238.6716681339994</v>
      </c>
      <c r="EN503" s="81">
        <f t="shared" si="1876"/>
        <v>5.403816946843043</v>
      </c>
      <c r="EO503" s="349">
        <f t="shared" ref="EO503" si="1904">EM503*1.0123</f>
        <v>2266.2073296520475</v>
      </c>
      <c r="EP503" s="81">
        <f t="shared" si="1878"/>
        <v>5.1457954647634807</v>
      </c>
      <c r="EQ503" s="349">
        <f t="shared" ref="EQ503" si="1905">EO503*1.0123</f>
        <v>2294.0816798067676</v>
      </c>
      <c r="ER503" s="81">
        <f t="shared" si="1880"/>
        <v>5.0115206356663888</v>
      </c>
      <c r="ES503" s="327"/>
      <c r="ET503" s="490"/>
      <c r="EU503" s="327"/>
      <c r="EV503" s="349">
        <v>2060.5</v>
      </c>
      <c r="EW503" s="79"/>
      <c r="EX503" s="131">
        <v>2391.1999999999998</v>
      </c>
      <c r="EY503" s="79">
        <f t="shared" si="1881"/>
        <v>16.049502547925254</v>
      </c>
      <c r="EZ503" s="340"/>
      <c r="FA503" s="79" t="str">
        <f t="shared" si="1882"/>
        <v>NM</v>
      </c>
      <c r="FB503" s="340">
        <f>K503</f>
        <v>2674.8</v>
      </c>
      <c r="FC503" s="79" t="str">
        <f t="shared" si="1883"/>
        <v>NA</v>
      </c>
      <c r="FD503" s="340">
        <f>+S503</f>
        <v>2981.6</v>
      </c>
      <c r="FE503" s="79">
        <f t="shared" si="1884"/>
        <v>11.470016449828012</v>
      </c>
      <c r="FF503" s="340">
        <f>+AA503</f>
        <v>3051.9</v>
      </c>
      <c r="FG503" s="79">
        <f t="shared" si="1885"/>
        <v>2.3577944727663169</v>
      </c>
      <c r="FH503" s="340">
        <f>+AI503</f>
        <v>2882.5</v>
      </c>
      <c r="FI503" s="79">
        <f t="shared" si="1886"/>
        <v>-5.5506405845538893</v>
      </c>
      <c r="FJ503" s="340">
        <f>+AQ503</f>
        <v>2913.3</v>
      </c>
      <c r="FK503" s="79">
        <f t="shared" si="1887"/>
        <v>1.0685169124024396</v>
      </c>
      <c r="FL503" s="344">
        <f>AY503</f>
        <v>2983.1</v>
      </c>
      <c r="FM503" s="79">
        <f t="shared" si="1888"/>
        <v>2.3959084200047887</v>
      </c>
      <c r="FN503" s="344">
        <f>BG503</f>
        <v>2381.9</v>
      </c>
      <c r="FO503" s="79">
        <f t="shared" si="1889"/>
        <v>-20.153531561127679</v>
      </c>
      <c r="FP503" s="344">
        <f>BO503</f>
        <v>2472.4</v>
      </c>
      <c r="FQ503" s="79">
        <f t="shared" si="1890"/>
        <v>3.7994878038540625</v>
      </c>
      <c r="FR503" s="216">
        <f>BW503</f>
        <v>2482.5</v>
      </c>
      <c r="FS503" s="79">
        <f t="shared" si="1891"/>
        <v>0.40850994984629185</v>
      </c>
      <c r="FT503" s="216">
        <f>CE503</f>
        <v>1816.1</v>
      </c>
      <c r="FU503" s="79">
        <f t="shared" si="1892"/>
        <v>-26.843907351460228</v>
      </c>
      <c r="FV503" s="216">
        <f>CM503</f>
        <v>1677.1</v>
      </c>
      <c r="FW503" s="79">
        <f t="shared" si="1893"/>
        <v>-7.6537635592753723</v>
      </c>
      <c r="FX503" s="216">
        <f>CU503</f>
        <v>1755.5</v>
      </c>
      <c r="FY503" s="79">
        <f t="shared" si="1894"/>
        <v>4.6747361516904284</v>
      </c>
      <c r="FZ503" s="216">
        <f>DC503</f>
        <v>1829.2</v>
      </c>
      <c r="GA503" s="79">
        <f t="shared" si="1895"/>
        <v>4.1982341213329555</v>
      </c>
      <c r="GB503" s="216">
        <f>DK503</f>
        <v>1901.3</v>
      </c>
      <c r="GC503" s="79">
        <f t="shared" si="1895"/>
        <v>3.9416138202492901</v>
      </c>
      <c r="GD503" s="216">
        <f>DS503</f>
        <v>2008.5</v>
      </c>
      <c r="GE503" s="79">
        <f t="shared" si="1895"/>
        <v>5.6382475148582634</v>
      </c>
      <c r="GF503" s="216">
        <f>EA503</f>
        <v>2094.1999999999998</v>
      </c>
      <c r="GG503" s="79">
        <f t="shared" si="1895"/>
        <v>4.2668658202638765</v>
      </c>
      <c r="GH503" s="216">
        <f>EI503</f>
        <v>2184.6</v>
      </c>
      <c r="GI503" s="79">
        <f t="shared" si="1895"/>
        <v>4.3166841753414342</v>
      </c>
      <c r="GJ503" s="216">
        <f>EQ503</f>
        <v>2294.0816798067676</v>
      </c>
      <c r="GK503" s="79">
        <f t="shared" si="1895"/>
        <v>5.0115206356663888</v>
      </c>
      <c r="GL503" s="349">
        <f>GJ503*1.05</f>
        <v>2408.785763797106</v>
      </c>
      <c r="GM503" s="79">
        <f t="shared" si="1895"/>
        <v>5.0000000000000044</v>
      </c>
      <c r="GN503" s="349">
        <f>GL503*1.05</f>
        <v>2529.2250519869613</v>
      </c>
      <c r="GO503" s="79">
        <f t="shared" si="1895"/>
        <v>5.0000000000000044</v>
      </c>
      <c r="GP503" s="349">
        <f>GN503*1.05</f>
        <v>2655.6863045863092</v>
      </c>
      <c r="GQ503" s="79">
        <f t="shared" si="1895"/>
        <v>5.0000000000000044</v>
      </c>
      <c r="GR503" s="349">
        <f>GP503*1.05</f>
        <v>2788.470619815625</v>
      </c>
      <c r="GS503" s="79">
        <f t="shared" si="1896"/>
        <v>5.0000000000000044</v>
      </c>
      <c r="GT503" s="79">
        <f t="shared" si="1897"/>
        <v>5.0023040260160911</v>
      </c>
    </row>
    <row r="504" spans="1:286" ht="12.75" customHeight="1" x14ac:dyDescent="0.2">
      <c r="A504" s="1" t="s">
        <v>298</v>
      </c>
      <c r="B504" s="2" t="s">
        <v>298</v>
      </c>
      <c r="C504" s="79"/>
      <c r="D504" s="79"/>
      <c r="E504" s="131">
        <v>688.8</v>
      </c>
      <c r="F504" s="131"/>
      <c r="G504" s="349">
        <v>683.5</v>
      </c>
      <c r="H504" s="349"/>
      <c r="I504" s="349">
        <v>678.3</v>
      </c>
      <c r="J504" s="349"/>
      <c r="K504" s="349">
        <v>674.7</v>
      </c>
      <c r="L504" s="79"/>
      <c r="M504" s="131">
        <v>677</v>
      </c>
      <c r="N504" s="79">
        <f t="shared" si="1818"/>
        <v>-1.7131242740998753</v>
      </c>
      <c r="O504" s="131">
        <v>666.8</v>
      </c>
      <c r="P504" s="79">
        <f t="shared" si="1819"/>
        <v>-2.4433065106071794</v>
      </c>
      <c r="Q504" s="349">
        <v>667</v>
      </c>
      <c r="R504" s="79">
        <f t="shared" si="1820"/>
        <v>-1.6659295297066112</v>
      </c>
      <c r="S504" s="349">
        <v>666.4</v>
      </c>
      <c r="T504" s="79">
        <f t="shared" si="1821"/>
        <v>-1.2301763746850547</v>
      </c>
      <c r="U504" s="131">
        <v>666.2</v>
      </c>
      <c r="V504" s="79">
        <f t="shared" si="1822"/>
        <v>-1.5952732644017642</v>
      </c>
      <c r="W504" s="131">
        <v>666.7</v>
      </c>
      <c r="X504" s="79">
        <f t="shared" si="1823"/>
        <v>-1.4997000599870081E-2</v>
      </c>
      <c r="Y504" s="349">
        <v>666.7</v>
      </c>
      <c r="Z504" s="79">
        <f t="shared" si="1824"/>
        <v>-4.497751124437066E-2</v>
      </c>
      <c r="AA504" s="333">
        <v>476.7</v>
      </c>
      <c r="AB504" s="79">
        <f t="shared" si="1825"/>
        <v>-28.466386554621849</v>
      </c>
      <c r="AC504" s="131">
        <v>270</v>
      </c>
      <c r="AD504" s="79" t="str">
        <f t="shared" si="1826"/>
        <v>NM</v>
      </c>
      <c r="AE504" s="131">
        <v>269.89999999999998</v>
      </c>
      <c r="AF504" s="79" t="str">
        <f t="shared" si="1827"/>
        <v>NM</v>
      </c>
      <c r="AG504" s="349">
        <v>270.2</v>
      </c>
      <c r="AH504" s="79" t="str">
        <f t="shared" si="1828"/>
        <v>NM</v>
      </c>
      <c r="AI504" s="349">
        <v>271.10000000000002</v>
      </c>
      <c r="AJ504" s="79">
        <f t="shared" si="1829"/>
        <v>-43.129851059366473</v>
      </c>
      <c r="AK504" s="349">
        <v>271.2</v>
      </c>
      <c r="AL504" s="79">
        <f t="shared" si="1830"/>
        <v>0.44444444444444731</v>
      </c>
      <c r="AM504" s="349">
        <v>270.5</v>
      </c>
      <c r="AN504" s="79">
        <f t="shared" si="1831"/>
        <v>0.22230455724343567</v>
      </c>
      <c r="AO504" s="349">
        <v>273.3</v>
      </c>
      <c r="AP504" s="79">
        <f t="shared" si="1831"/>
        <v>1.1472982975573753</v>
      </c>
      <c r="AQ504" s="349">
        <v>273</v>
      </c>
      <c r="AR504" s="79">
        <f t="shared" si="1831"/>
        <v>0.70084839542603472</v>
      </c>
      <c r="AS504" s="349">
        <v>273.10000000000002</v>
      </c>
      <c r="AT504" s="81">
        <f t="shared" si="1831"/>
        <v>0.70058997050148619</v>
      </c>
      <c r="AU504" s="349">
        <v>273.89999999999998</v>
      </c>
      <c r="AV504" s="81">
        <f t="shared" si="1831"/>
        <v>1.2569316081330717</v>
      </c>
      <c r="AW504" s="349">
        <v>274.3</v>
      </c>
      <c r="AX504" s="81">
        <f t="shared" si="1831"/>
        <v>0.36589828027808746</v>
      </c>
      <c r="AY504" s="349">
        <v>204.1</v>
      </c>
      <c r="AZ504" s="81">
        <f t="shared" si="1831"/>
        <v>-25.238095238095237</v>
      </c>
      <c r="BA504" s="349">
        <v>204.2</v>
      </c>
      <c r="BB504" s="81">
        <f t="shared" si="1831"/>
        <v>-25.228853899670455</v>
      </c>
      <c r="BC504" s="349">
        <v>204.5</v>
      </c>
      <c r="BD504" s="81">
        <f t="shared" si="1831"/>
        <v>-25.33771449434099</v>
      </c>
      <c r="BE504" s="349">
        <v>204.7</v>
      </c>
      <c r="BF504" s="81">
        <f t="shared" si="1832"/>
        <v>-25.373678454247184</v>
      </c>
      <c r="BG504" s="349">
        <v>204.3</v>
      </c>
      <c r="BH504" s="81">
        <f t="shared" si="1833"/>
        <v>9.7991180793743915E-2</v>
      </c>
      <c r="BI504" s="349">
        <v>204.3</v>
      </c>
      <c r="BJ504" s="81">
        <f t="shared" si="1834"/>
        <v>4.8971596474056689E-2</v>
      </c>
      <c r="BK504" s="349">
        <v>204.3</v>
      </c>
      <c r="BL504" s="81">
        <f t="shared" si="1835"/>
        <v>-9.7799511002438777E-2</v>
      </c>
      <c r="BM504" s="349">
        <v>202.8</v>
      </c>
      <c r="BN504" s="81">
        <f t="shared" si="1836"/>
        <v>-0.92818759159745134</v>
      </c>
      <c r="BO504" s="349">
        <v>200.5</v>
      </c>
      <c r="BP504" s="81">
        <f t="shared" si="1837"/>
        <v>-1.8600097895252188</v>
      </c>
      <c r="BQ504" s="349">
        <v>200.3</v>
      </c>
      <c r="BR504" s="81">
        <f t="shared" si="1838"/>
        <v>-1.9579050416054788</v>
      </c>
      <c r="BS504" s="349">
        <v>201.8</v>
      </c>
      <c r="BT504" s="81">
        <f t="shared" si="1839"/>
        <v>-1.2236906510034284</v>
      </c>
      <c r="BU504" s="349">
        <v>201.5</v>
      </c>
      <c r="BV504" s="81">
        <f t="shared" si="1840"/>
        <v>-0.64102564102564985</v>
      </c>
      <c r="BW504" s="349">
        <v>201.6</v>
      </c>
      <c r="BX504" s="81">
        <f t="shared" si="1841"/>
        <v>0.54862842892768882</v>
      </c>
      <c r="BY504" s="349">
        <v>200.9</v>
      </c>
      <c r="BZ504" s="81">
        <f t="shared" si="1842"/>
        <v>0.29955067398901303</v>
      </c>
      <c r="CA504" s="349">
        <v>200.8</v>
      </c>
      <c r="CB504" s="81">
        <f t="shared" si="1843"/>
        <v>-0.49554013875123815</v>
      </c>
      <c r="CC504" s="349">
        <v>201.3</v>
      </c>
      <c r="CD504" s="81">
        <f t="shared" si="1844"/>
        <v>-9.9255583126545144E-2</v>
      </c>
      <c r="CE504" s="349">
        <v>201.2</v>
      </c>
      <c r="CF504" s="81">
        <f t="shared" si="1845"/>
        <v>-0.19841269841269771</v>
      </c>
      <c r="CG504" s="349">
        <v>201.5</v>
      </c>
      <c r="CH504" s="81">
        <f t="shared" si="1846"/>
        <v>0.29865604778496202</v>
      </c>
      <c r="CI504" s="349">
        <v>201.6</v>
      </c>
      <c r="CJ504" s="81">
        <f t="shared" si="1847"/>
        <v>0.39840637450199168</v>
      </c>
      <c r="CK504" s="349">
        <v>201.2</v>
      </c>
      <c r="CL504" s="81">
        <f t="shared" si="1848"/>
        <v>-4.9677098857436874E-2</v>
      </c>
      <c r="CM504" s="349">
        <v>201.2</v>
      </c>
      <c r="CN504" s="81">
        <f t="shared" si="1849"/>
        <v>0</v>
      </c>
      <c r="CO504" s="349">
        <v>201.5</v>
      </c>
      <c r="CP504" s="81">
        <f t="shared" si="1850"/>
        <v>0</v>
      </c>
      <c r="CQ504" s="349">
        <v>201.3</v>
      </c>
      <c r="CR504" s="81">
        <f t="shared" si="1851"/>
        <v>-0.14880952380951218</v>
      </c>
      <c r="CS504" s="349">
        <v>201.6</v>
      </c>
      <c r="CT504" s="81">
        <f t="shared" si="1852"/>
        <v>0.19880715705766772</v>
      </c>
      <c r="CU504" s="349">
        <v>201.7</v>
      </c>
      <c r="CV504" s="81">
        <f t="shared" si="1853"/>
        <v>0.24850894632206799</v>
      </c>
      <c r="CW504" s="349">
        <v>200.9</v>
      </c>
      <c r="CX504" s="81">
        <f t="shared" si="1854"/>
        <v>-0.29776674937964653</v>
      </c>
      <c r="CY504" s="349">
        <v>201</v>
      </c>
      <c r="CZ504" s="81">
        <f t="shared" si="1855"/>
        <v>-0.14903129657228842</v>
      </c>
      <c r="DA504" s="349">
        <v>201.7</v>
      </c>
      <c r="DB504" s="81">
        <f t="shared" si="1856"/>
        <v>4.9603174603163325E-2</v>
      </c>
      <c r="DC504" s="349">
        <v>200.9</v>
      </c>
      <c r="DD504" s="81">
        <f t="shared" si="1857"/>
        <v>-0.39662865642041689</v>
      </c>
      <c r="DE504" s="349">
        <v>201</v>
      </c>
      <c r="DF504" s="81">
        <f t="shared" si="1858"/>
        <v>4.9776007964164037E-2</v>
      </c>
      <c r="DG504" s="349">
        <v>201.3</v>
      </c>
      <c r="DH504" s="81">
        <f t="shared" si="1859"/>
        <v>0.14925373134329067</v>
      </c>
      <c r="DI504" s="349">
        <v>200.7</v>
      </c>
      <c r="DJ504" s="81">
        <f t="shared" si="1860"/>
        <v>-0.49578582052552944</v>
      </c>
      <c r="DK504" s="349">
        <v>198.7</v>
      </c>
      <c r="DL504" s="81">
        <f t="shared" si="1861"/>
        <v>-1.0950721752115533</v>
      </c>
      <c r="DM504" s="349">
        <v>198.2</v>
      </c>
      <c r="DN504" s="81">
        <f t="shared" si="1862"/>
        <v>-1.3930348258706537</v>
      </c>
      <c r="DO504" s="349">
        <v>198.8</v>
      </c>
      <c r="DP504" s="81">
        <f t="shared" si="1862"/>
        <v>-1.2419274714356665</v>
      </c>
      <c r="DQ504" s="349">
        <v>232.1</v>
      </c>
      <c r="DR504" s="81">
        <f t="shared" si="1863"/>
        <v>15.645241654210263</v>
      </c>
      <c r="DS504" s="349">
        <v>230.9</v>
      </c>
      <c r="DT504" s="81">
        <f t="shared" si="1864"/>
        <v>16.205334675390048</v>
      </c>
      <c r="DU504" s="349">
        <v>229.8</v>
      </c>
      <c r="DV504" s="81">
        <f t="shared" si="1865"/>
        <v>15.943491422805266</v>
      </c>
      <c r="DW504" s="349">
        <v>226.7</v>
      </c>
      <c r="DX504" s="81">
        <f t="shared" si="1866"/>
        <v>14.03420523138832</v>
      </c>
      <c r="DY504" s="349">
        <v>336.8</v>
      </c>
      <c r="DZ504" s="81">
        <f t="shared" si="1867"/>
        <v>45.109866436880665</v>
      </c>
      <c r="EA504" s="349">
        <v>335.1</v>
      </c>
      <c r="EB504" s="81">
        <f t="shared" si="1868"/>
        <v>45.127760935469908</v>
      </c>
      <c r="EC504" s="349">
        <v>335.7</v>
      </c>
      <c r="ED504" s="81">
        <f t="shared" si="1869"/>
        <v>46.08355091383811</v>
      </c>
      <c r="EE504" s="349">
        <v>337.1</v>
      </c>
      <c r="EF504" s="81">
        <f t="shared" si="1870"/>
        <v>48.698720776356438</v>
      </c>
      <c r="EG504" s="349">
        <v>338.2</v>
      </c>
      <c r="EH504" s="81">
        <f t="shared" si="1871"/>
        <v>0.41567695961994833</v>
      </c>
      <c r="EI504" s="349">
        <v>338.6</v>
      </c>
      <c r="EJ504" s="81">
        <f t="shared" si="1872"/>
        <v>1.0444643390032926</v>
      </c>
      <c r="EK504" s="349">
        <f t="shared" ref="EK504" si="1906">+EI504</f>
        <v>338.6</v>
      </c>
      <c r="EL504" s="81">
        <f t="shared" si="1874"/>
        <v>0.86386654751267056</v>
      </c>
      <c r="EM504" s="349">
        <f t="shared" ref="EM504" si="1907">+EK504</f>
        <v>338.6</v>
      </c>
      <c r="EN504" s="81">
        <f t="shared" si="1876"/>
        <v>0.44497181845148948</v>
      </c>
      <c r="EO504" s="349">
        <f t="shared" ref="EO504" si="1908">+EM504</f>
        <v>338.6</v>
      </c>
      <c r="EP504" s="81">
        <f t="shared" si="1878"/>
        <v>0.11827321111768097</v>
      </c>
      <c r="EQ504" s="349">
        <f t="shared" ref="EQ504" si="1909">+EO504</f>
        <v>338.6</v>
      </c>
      <c r="ER504" s="81">
        <f t="shared" si="1880"/>
        <v>0</v>
      </c>
      <c r="ES504" s="327"/>
      <c r="ET504" s="490"/>
      <c r="EU504" s="327"/>
      <c r="EV504" s="349">
        <v>814.7</v>
      </c>
      <c r="EW504" s="79"/>
      <c r="EX504" s="131">
        <v>706.4</v>
      </c>
      <c r="EY504" s="79">
        <f t="shared" si="1881"/>
        <v>-13.293236774272742</v>
      </c>
      <c r="EZ504" s="340"/>
      <c r="FA504" s="79" t="str">
        <f t="shared" si="1882"/>
        <v>NM</v>
      </c>
      <c r="FB504" s="340">
        <f>K504</f>
        <v>674.7</v>
      </c>
      <c r="FC504" s="79" t="str">
        <f t="shared" si="1883"/>
        <v>NA</v>
      </c>
      <c r="FD504" s="340">
        <f>+S504</f>
        <v>666.4</v>
      </c>
      <c r="FE504" s="79">
        <f t="shared" si="1884"/>
        <v>-1.2301763746850547</v>
      </c>
      <c r="FF504" s="340">
        <f>+AA504</f>
        <v>476.7</v>
      </c>
      <c r="FG504" s="79">
        <f t="shared" si="1885"/>
        <v>-28.466386554621849</v>
      </c>
      <c r="FH504" s="344">
        <f>+AI504</f>
        <v>271.10000000000002</v>
      </c>
      <c r="FI504" s="79">
        <f t="shared" si="1886"/>
        <v>-43.129851059366473</v>
      </c>
      <c r="FJ504" s="340">
        <f>+AQ504</f>
        <v>273</v>
      </c>
      <c r="FK504" s="79">
        <f t="shared" si="1887"/>
        <v>0.70084839542603472</v>
      </c>
      <c r="FL504" s="344">
        <f>AY504</f>
        <v>204.1</v>
      </c>
      <c r="FM504" s="79">
        <f t="shared" si="1888"/>
        <v>-25.238095238095237</v>
      </c>
      <c r="FN504" s="344">
        <f>BG504</f>
        <v>204.3</v>
      </c>
      <c r="FO504" s="79">
        <f t="shared" si="1889"/>
        <v>9.7991180793743915E-2</v>
      </c>
      <c r="FP504" s="344">
        <f>BO504</f>
        <v>200.5</v>
      </c>
      <c r="FQ504" s="79">
        <f t="shared" si="1890"/>
        <v>-1.8600097895252188</v>
      </c>
      <c r="FR504" s="216">
        <f>BW504</f>
        <v>201.6</v>
      </c>
      <c r="FS504" s="79">
        <f t="shared" si="1891"/>
        <v>0.54862842892768882</v>
      </c>
      <c r="FT504" s="216">
        <f>CE504</f>
        <v>201.2</v>
      </c>
      <c r="FU504" s="79">
        <f t="shared" si="1892"/>
        <v>-0.19841269841269771</v>
      </c>
      <c r="FV504" s="216">
        <f>CM504</f>
        <v>201.2</v>
      </c>
      <c r="FW504" s="79">
        <f t="shared" si="1893"/>
        <v>0</v>
      </c>
      <c r="FX504" s="216">
        <f>CU504</f>
        <v>201.7</v>
      </c>
      <c r="FY504" s="79">
        <f t="shared" si="1894"/>
        <v>0.24850894632206799</v>
      </c>
      <c r="FZ504" s="216">
        <f>DC504</f>
        <v>200.9</v>
      </c>
      <c r="GA504" s="79">
        <f t="shared" si="1895"/>
        <v>-0.39662865642041689</v>
      </c>
      <c r="GB504" s="216">
        <f>DK504</f>
        <v>198.7</v>
      </c>
      <c r="GC504" s="79">
        <f t="shared" si="1895"/>
        <v>-1.0950721752115533</v>
      </c>
      <c r="GD504" s="216">
        <f>DS504</f>
        <v>230.9</v>
      </c>
      <c r="GE504" s="79">
        <f t="shared" si="1895"/>
        <v>16.205334675390048</v>
      </c>
      <c r="GF504" s="216">
        <f>EA504</f>
        <v>335.1</v>
      </c>
      <c r="GG504" s="79">
        <f t="shared" si="1895"/>
        <v>45.127760935469908</v>
      </c>
      <c r="GH504" s="216">
        <f>EI504</f>
        <v>338.6</v>
      </c>
      <c r="GI504" s="79">
        <f t="shared" si="1895"/>
        <v>1.0444643390032926</v>
      </c>
      <c r="GJ504" s="216">
        <f>EQ504</f>
        <v>338.6</v>
      </c>
      <c r="GK504" s="79">
        <f t="shared" si="1895"/>
        <v>0</v>
      </c>
      <c r="GL504" s="349">
        <f>+GJ504</f>
        <v>338.6</v>
      </c>
      <c r="GM504" s="79">
        <f t="shared" si="1895"/>
        <v>0</v>
      </c>
      <c r="GN504" s="349">
        <f>+GL504</f>
        <v>338.6</v>
      </c>
      <c r="GO504" s="79">
        <f t="shared" si="1895"/>
        <v>0</v>
      </c>
      <c r="GP504" s="349">
        <f>+GN504</f>
        <v>338.6</v>
      </c>
      <c r="GQ504" s="79">
        <f t="shared" si="1895"/>
        <v>0</v>
      </c>
      <c r="GR504" s="349">
        <f>+GP504</f>
        <v>338.6</v>
      </c>
      <c r="GS504" s="79">
        <f t="shared" si="1896"/>
        <v>0</v>
      </c>
      <c r="GT504" s="79">
        <f t="shared" si="1897"/>
        <v>0</v>
      </c>
    </row>
    <row r="505" spans="1:286" ht="12.75" customHeight="1" x14ac:dyDescent="0.2">
      <c r="A505" s="1"/>
      <c r="B505" s="2" t="s">
        <v>405</v>
      </c>
      <c r="C505" s="79"/>
      <c r="D505" s="79"/>
      <c r="E505" s="145">
        <f>E506-E501-E502-E503-E504</f>
        <v>10496.799999999997</v>
      </c>
      <c r="F505" s="145"/>
      <c r="G505" s="145">
        <f>G506-G501-G502-G503-G504</f>
        <v>10192.999999999998</v>
      </c>
      <c r="H505" s="145"/>
      <c r="I505" s="145">
        <f>I506-I501-I502-I503-I504</f>
        <v>10503.8</v>
      </c>
      <c r="J505" s="145"/>
      <c r="K505" s="145">
        <f>K506-K501-K502-K503-K504</f>
        <v>10726.099999999995</v>
      </c>
      <c r="L505" s="79"/>
      <c r="M505" s="145">
        <f>M506-M501-M502-M503-M504</f>
        <v>10781.099999999999</v>
      </c>
      <c r="N505" s="79">
        <f t="shared" si="1818"/>
        <v>2.7084444783172179</v>
      </c>
      <c r="O505" s="145">
        <f>O506-O501-O502-O503-O504</f>
        <v>11239.8</v>
      </c>
      <c r="P505" s="79">
        <f t="shared" si="1819"/>
        <v>10.269792995192795</v>
      </c>
      <c r="Q505" s="145">
        <f>Q506-Q501-Q502-Q503-Q504</f>
        <v>10528.199999999997</v>
      </c>
      <c r="R505" s="79">
        <f t="shared" si="1820"/>
        <v>0.23229688303278984</v>
      </c>
      <c r="S505" s="145">
        <f>S506-S501-S502-S503-S504</f>
        <v>10431.6</v>
      </c>
      <c r="T505" s="79">
        <f t="shared" si="1821"/>
        <v>-2.7456391419061421</v>
      </c>
      <c r="U505" s="145">
        <f>U506-U501-U502-U503-U504</f>
        <v>10895.5</v>
      </c>
      <c r="V505" s="79">
        <f t="shared" si="1822"/>
        <v>1.0611162126313856</v>
      </c>
      <c r="W505" s="145">
        <f>W506-W501-W502-W503-W504</f>
        <v>10917.5</v>
      </c>
      <c r="X505" s="79">
        <f t="shared" si="1823"/>
        <v>-2.867488745351332</v>
      </c>
      <c r="Y505" s="145">
        <f>Y506-Y501-Y502-Y503-Y504</f>
        <v>10833.4</v>
      </c>
      <c r="Z505" s="79">
        <f t="shared" si="1824"/>
        <v>2.8988811002830683</v>
      </c>
      <c r="AA505" s="267">
        <f>AA506-AA501-AA502-AA503-AA504</f>
        <v>11128.9</v>
      </c>
      <c r="AB505" s="79">
        <f t="shared" si="1825"/>
        <v>6.6844971049503377</v>
      </c>
      <c r="AC505" s="145">
        <f>AC506-AC501-AC502-AC503-AC504</f>
        <v>10829.100000000006</v>
      </c>
      <c r="AD505" s="79">
        <f t="shared" si="1826"/>
        <v>-0.6094259097792154</v>
      </c>
      <c r="AE505" s="145">
        <f>AE506-AE501-AE502-AE503-AE504</f>
        <v>11277.4</v>
      </c>
      <c r="AF505" s="79">
        <f t="shared" si="1827"/>
        <v>3.2965422486832985</v>
      </c>
      <c r="AG505" s="145">
        <f>AG506-AG501-AG502-AG503-AG504</f>
        <v>11220.899999999994</v>
      </c>
      <c r="AH505" s="79">
        <f t="shared" si="1828"/>
        <v>3.5769010652241695</v>
      </c>
      <c r="AI505" s="145">
        <f>AI506-AI501-AI502-AI503-AI504</f>
        <v>11059.300000000005</v>
      </c>
      <c r="AJ505" s="79">
        <f t="shared" si="1829"/>
        <v>-0.62539873662261769</v>
      </c>
      <c r="AK505" s="145">
        <f>AK506-AK501-AK502-AK503-AK504</f>
        <v>11059.399999999998</v>
      </c>
      <c r="AL505" s="79">
        <f t="shared" si="1830"/>
        <v>2.1266771938572182</v>
      </c>
      <c r="AM505" s="145">
        <f>AM506-AM501-AM502-AM503-AM504</f>
        <v>11172.100000000006</v>
      </c>
      <c r="AN505" s="79">
        <f t="shared" si="1831"/>
        <v>-0.93372585879718528</v>
      </c>
      <c r="AO505" s="145">
        <f>AO506-AO501-AO502-AO503-AO504</f>
        <v>9243.8000000000011</v>
      </c>
      <c r="AP505" s="79">
        <f t="shared" si="1831"/>
        <v>-17.619798768369687</v>
      </c>
      <c r="AQ505" s="145">
        <f>AQ506-AQ501-AQ502-AQ503-AQ504</f>
        <v>9294.4000000000015</v>
      </c>
      <c r="AR505" s="79">
        <f t="shared" si="1831"/>
        <v>-15.958514553362345</v>
      </c>
      <c r="AS505" s="145">
        <f>AS506-AS501-AS502-AS503-AS504</f>
        <v>9325.5999999999985</v>
      </c>
      <c r="AT505" s="81">
        <f t="shared" si="1831"/>
        <v>-15.677161509665982</v>
      </c>
      <c r="AU505" s="145">
        <f>AU506-AU501-AU502-AU503-AU504</f>
        <v>9341.1</v>
      </c>
      <c r="AV505" s="81">
        <f t="shared" si="1831"/>
        <v>-16.389040556386036</v>
      </c>
      <c r="AW505" s="145">
        <f>AW506-AW501-AW502-AW503-AW504</f>
        <v>9344.2999999999993</v>
      </c>
      <c r="AX505" s="81">
        <f t="shared" si="1831"/>
        <v>1.0872152145221525</v>
      </c>
      <c r="AY505" s="145">
        <f>AY506-AY501-AY502-AY503-AY504</f>
        <v>9444.2999999999993</v>
      </c>
      <c r="AZ505" s="81">
        <f t="shared" si="1831"/>
        <v>1.6127991048372925</v>
      </c>
      <c r="BA505" s="145">
        <f>BA506-BA501-BA502-BA503-BA504</f>
        <v>9338.8000000000029</v>
      </c>
      <c r="BB505" s="81">
        <f t="shared" si="1831"/>
        <v>0.14154585227765804</v>
      </c>
      <c r="BC505" s="145">
        <f>BC506-BC501-BC502-BC503-BC504</f>
        <v>9427.5999999999949</v>
      </c>
      <c r="BD505" s="81">
        <f t="shared" si="1831"/>
        <v>0.92601513740346864</v>
      </c>
      <c r="BE505" s="145">
        <f>BE506-BE501-BE502-BE503-BE504</f>
        <v>9026.7000000000007</v>
      </c>
      <c r="BF505" s="81">
        <f t="shared" si="1832"/>
        <v>-3.3988634782701643</v>
      </c>
      <c r="BG505" s="145">
        <f>BG506-BG501-BG502-BG503-BG504</f>
        <v>8875.2999999999975</v>
      </c>
      <c r="BH505" s="81">
        <f t="shared" si="1833"/>
        <v>-6.0247980263227756</v>
      </c>
      <c r="BI505" s="145">
        <f>BI506-BI501-BI502-BI503-BI504</f>
        <v>8800.6999999999971</v>
      </c>
      <c r="BJ505" s="81">
        <f t="shared" si="1834"/>
        <v>-5.7619822675290759</v>
      </c>
      <c r="BK505" s="145">
        <f>BK506-BK501-BK502-BK503-BK504</f>
        <v>8742.0000000000036</v>
      </c>
      <c r="BL505" s="81">
        <f t="shared" si="1835"/>
        <v>-7.2722644151214659</v>
      </c>
      <c r="BM505" s="145">
        <f>BM506-BM501-BM502-BM503-BM504</f>
        <v>9021.4000000000051</v>
      </c>
      <c r="BN505" s="81">
        <f t="shared" si="1836"/>
        <v>-5.8714701939754921E-2</v>
      </c>
      <c r="BO505" s="145">
        <f>BO506-BO501-BO502-BO503-BO504</f>
        <v>8868.1</v>
      </c>
      <c r="BP505" s="81">
        <f t="shared" si="1837"/>
        <v>-8.1124018343003979E-2</v>
      </c>
      <c r="BQ505" s="145">
        <f>BQ506-BQ501-BQ502-BQ503-BQ504</f>
        <v>8878.6999999999971</v>
      </c>
      <c r="BR505" s="81">
        <f t="shared" si="1838"/>
        <v>0.88629313577328617</v>
      </c>
      <c r="BS505" s="145">
        <f>BS506-BS501-BS502-BS503-BS504</f>
        <v>8562.7000000000007</v>
      </c>
      <c r="BT505" s="81">
        <f t="shared" si="1839"/>
        <v>-2.0510180736673878</v>
      </c>
      <c r="BU505" s="145">
        <f>BU506-BU501-BU502-BU503-BU504</f>
        <v>8679.3999999999942</v>
      </c>
      <c r="BV505" s="81">
        <f t="shared" si="1840"/>
        <v>-3.7909858780234895</v>
      </c>
      <c r="BW505" s="145">
        <f>BW506-BW501-BW502-BW503-BW504</f>
        <v>8497.4999999999982</v>
      </c>
      <c r="BX505" s="81">
        <f t="shared" si="1841"/>
        <v>-4.1790236916588892</v>
      </c>
      <c r="BY505" s="145">
        <f>BY506-BY501-BY502-BY503-BY504</f>
        <v>8401.6999999999953</v>
      </c>
      <c r="BZ505" s="81">
        <f t="shared" si="1842"/>
        <v>-5.3724081228107901</v>
      </c>
      <c r="CA505" s="145">
        <f>CA506-CA501-CA502-CA503-CA504</f>
        <v>8703.3999999999978</v>
      </c>
      <c r="CB505" s="81">
        <f t="shared" si="1843"/>
        <v>1.6431732981418978</v>
      </c>
      <c r="CC505" s="145">
        <f>CC506-CC501-CC502-CC503-CC504</f>
        <v>8640.6999999999989</v>
      </c>
      <c r="CD505" s="81">
        <f t="shared" si="1844"/>
        <v>-0.44588335599229367</v>
      </c>
      <c r="CE505" s="145">
        <f>CE506-CE501-CE502-CE503-CE504</f>
        <v>8344.4999999999945</v>
      </c>
      <c r="CF505" s="81">
        <f t="shared" si="1845"/>
        <v>-1.800529567519904</v>
      </c>
      <c r="CG505" s="145">
        <f>CG506-CG501-CG502-CG503-CG504</f>
        <v>8382.0000000000018</v>
      </c>
      <c r="CH505" s="81">
        <f t="shared" si="1846"/>
        <v>-0.23447635597549921</v>
      </c>
      <c r="CI505" s="145">
        <f>CI506-CI501-CI502-CI503-CI504</f>
        <v>8460.6000000000022</v>
      </c>
      <c r="CJ505" s="81">
        <f t="shared" si="1847"/>
        <v>-2.7897143645011835</v>
      </c>
      <c r="CK505" s="145">
        <f>CK506-CK501-CK502-CK503-CK504</f>
        <v>8503.600000000004</v>
      </c>
      <c r="CL505" s="81">
        <f t="shared" si="1848"/>
        <v>-1.5866770053351575</v>
      </c>
      <c r="CM505" s="145">
        <f>CM506-CM501-CM502-CM503-CM504</f>
        <v>8463.7999999999975</v>
      </c>
      <c r="CN505" s="81">
        <f t="shared" si="1849"/>
        <v>1.4296842231410256</v>
      </c>
      <c r="CO505" s="145">
        <f>CO506-CO501-CO502-CO503-CO504</f>
        <v>8517.7999999999993</v>
      </c>
      <c r="CP505" s="81">
        <f t="shared" si="1850"/>
        <v>1.6201383917919143</v>
      </c>
      <c r="CQ505" s="145">
        <f>CQ506-CQ501-CQ502-CQ503-CQ504</f>
        <v>8452.0999999999985</v>
      </c>
      <c r="CR505" s="81">
        <f t="shared" si="1851"/>
        <v>-0.1004656880127186</v>
      </c>
      <c r="CS505" s="145">
        <f>CS506-CS501-CS502-CS503-CS504</f>
        <v>8421.6999999999989</v>
      </c>
      <c r="CT505" s="81">
        <f t="shared" si="1852"/>
        <v>-0.96312150148178954</v>
      </c>
      <c r="CU505" s="145">
        <f>CU506-CU501-CU502-CU503-CU504</f>
        <v>8374.0999999999949</v>
      </c>
      <c r="CV505" s="81">
        <f t="shared" si="1853"/>
        <v>-1.0598076514095611</v>
      </c>
      <c r="CW505" s="145">
        <f>CW506-CW501-CW502-CW503-CW504</f>
        <v>8555.8000000000029</v>
      </c>
      <c r="CX505" s="81">
        <f t="shared" si="1854"/>
        <v>0.44612458616077877</v>
      </c>
      <c r="CY505" s="145">
        <f>CY506-CY501-CY502-CY503-CY504</f>
        <v>8488.5999999999967</v>
      </c>
      <c r="CZ505" s="81">
        <f t="shared" si="1855"/>
        <v>0.43184534021127874</v>
      </c>
      <c r="DA505" s="145">
        <f>DA506-DA501-DA502-DA503-DA504</f>
        <v>8457.5000000000055</v>
      </c>
      <c r="DB505" s="81">
        <f t="shared" si="1856"/>
        <v>0.42509232102789785</v>
      </c>
      <c r="DC505" s="145">
        <f>DC506-DC501-DC502-DC503-DC504</f>
        <v>8458.5999999999967</v>
      </c>
      <c r="DD505" s="81">
        <f t="shared" si="1857"/>
        <v>1.0090636605724956</v>
      </c>
      <c r="DE505" s="145">
        <f>DE506-DE501-DE502-DE503-DE504</f>
        <v>8512.3999999999978</v>
      </c>
      <c r="DF505" s="81">
        <f t="shared" si="1858"/>
        <v>-0.50725823418038551</v>
      </c>
      <c r="DG505" s="145">
        <f>DG506-DG501-DG502-DG503-DG504</f>
        <v>8606.0999999999985</v>
      </c>
      <c r="DH505" s="81">
        <f t="shared" si="1859"/>
        <v>1.3842094102679114</v>
      </c>
      <c r="DI505" s="145">
        <f>DI506-DI501-DI502-DI503-DI504</f>
        <v>8513.9999999999964</v>
      </c>
      <c r="DJ505" s="81">
        <f t="shared" si="1860"/>
        <v>0.66804611291741978</v>
      </c>
      <c r="DK505" s="145">
        <f>DK506-DK501-DK502-DK503-DK504</f>
        <v>8602.7999999999956</v>
      </c>
      <c r="DL505" s="81">
        <f t="shared" si="1861"/>
        <v>1.7047738396424927</v>
      </c>
      <c r="DM505" s="145">
        <f>DM506-DM501-DM502-DM503-DM504</f>
        <v>8569.5000000000018</v>
      </c>
      <c r="DN505" s="81">
        <f t="shared" si="1862"/>
        <v>0.6707861472675658</v>
      </c>
      <c r="DO505" s="145">
        <f>DO506-DO501-DO502-DO503-DO504</f>
        <v>8547.1000000000058</v>
      </c>
      <c r="DP505" s="81">
        <f t="shared" si="1862"/>
        <v>-0.68556024215373768</v>
      </c>
      <c r="DQ505" s="145">
        <f>DQ506-DQ501-DQ502-DQ503-DQ504</f>
        <v>8389.1000000000058</v>
      </c>
      <c r="DR505" s="81">
        <f t="shared" si="1863"/>
        <v>-1.4669955367628718</v>
      </c>
      <c r="DS505" s="145">
        <f>DS506-DS501-DS502-DS503-DS504</f>
        <v>8326.6</v>
      </c>
      <c r="DT505" s="81">
        <f t="shared" si="1864"/>
        <v>-3.2105826010135674</v>
      </c>
      <c r="DU505" s="145">
        <f>DU506-DU501-DU502-DU503-DU504</f>
        <v>8482.8000000000011</v>
      </c>
      <c r="DV505" s="81">
        <f t="shared" si="1865"/>
        <v>-1.011727638718718</v>
      </c>
      <c r="DW505" s="145">
        <f>DW506-DW501-DW502-DW503-DW504</f>
        <v>8488.6999999999971</v>
      </c>
      <c r="DX505" s="81">
        <f t="shared" si="1866"/>
        <v>-0.68327268898232818</v>
      </c>
      <c r="DY505" s="145">
        <f>DY506-DY501-DY502-DY503-DY504</f>
        <v>8411.3000000000011</v>
      </c>
      <c r="DZ505" s="81">
        <f t="shared" si="1867"/>
        <v>0.2646291020490299</v>
      </c>
      <c r="EA505" s="145">
        <f>EA506-EA501-EA502-EA503-EA504</f>
        <v>8381.2999999999975</v>
      </c>
      <c r="EB505" s="81">
        <f t="shared" si="1868"/>
        <v>0.65693080008644156</v>
      </c>
      <c r="EC505" s="145">
        <f>EC506-EC501-EC502-EC503-EC504</f>
        <v>8519.0999999999985</v>
      </c>
      <c r="ED505" s="81">
        <f t="shared" si="1869"/>
        <v>0.42792474183048768</v>
      </c>
      <c r="EE505" s="145">
        <f>EE506-EE501-EE502-EE503-EE504</f>
        <v>8528.9000000000015</v>
      </c>
      <c r="EF505" s="81">
        <f t="shared" si="1870"/>
        <v>0.47357074699312385</v>
      </c>
      <c r="EG505" s="145">
        <f>EG506-EG501-EG502-EG503-EG504</f>
        <v>8475.7999999999956</v>
      </c>
      <c r="EH505" s="81">
        <f t="shared" si="1871"/>
        <v>0.7668255798746193</v>
      </c>
      <c r="EI505" s="145">
        <f>EI506-EI501-EI502-EI503-EI504</f>
        <v>8445.8999999999978</v>
      </c>
      <c r="EJ505" s="81">
        <f t="shared" si="1872"/>
        <v>0.77076348537816752</v>
      </c>
      <c r="EK505" s="145">
        <f t="shared" ref="EK505:EQ505" si="1910">EK506-EK501-EK502-EK503-EK504</f>
        <v>8875.5973569999987</v>
      </c>
      <c r="EL505" s="81">
        <f t="shared" si="1874"/>
        <v>4.1846833233557534</v>
      </c>
      <c r="EM505" s="145">
        <f t="shared" si="1910"/>
        <v>9312.5625523489962</v>
      </c>
      <c r="EN505" s="81">
        <f t="shared" si="1876"/>
        <v>9.1883191542754048</v>
      </c>
      <c r="EO505" s="145">
        <f t="shared" si="1910"/>
        <v>9756.8971293072373</v>
      </c>
      <c r="EP505" s="81">
        <f t="shared" si="1878"/>
        <v>15.114763553968258</v>
      </c>
      <c r="EQ505" s="145">
        <f t="shared" si="1910"/>
        <v>10208.703953684968</v>
      </c>
      <c r="ER505" s="81">
        <f t="shared" si="1880"/>
        <v>20.871712353745252</v>
      </c>
      <c r="ES505" s="327"/>
      <c r="ET505" s="490"/>
      <c r="EU505" s="327"/>
      <c r="EV505" s="145">
        <f>EV506-EV501-EV502-EV503-EV504</f>
        <v>8127.9999999999973</v>
      </c>
      <c r="EW505" s="79"/>
      <c r="EX505" s="145">
        <f>EX506-EX501-EX502-EX503-EX504</f>
        <v>8341.5000000000018</v>
      </c>
      <c r="EY505" s="79">
        <f t="shared" si="1881"/>
        <v>2.6267224409449286</v>
      </c>
      <c r="EZ505" s="145"/>
      <c r="FA505" s="79" t="str">
        <f t="shared" si="1882"/>
        <v>NM</v>
      </c>
      <c r="FB505" s="145">
        <f t="shared" ref="FB505:FJ505" si="1911">FB506-FB501-FB502-FB503-FB504</f>
        <v>10726.099999999995</v>
      </c>
      <c r="FC505" s="79" t="str">
        <f t="shared" si="1883"/>
        <v>NA</v>
      </c>
      <c r="FD505" s="145">
        <f t="shared" si="1911"/>
        <v>10431.6</v>
      </c>
      <c r="FE505" s="79">
        <f t="shared" si="1884"/>
        <v>-2.7456391419061421</v>
      </c>
      <c r="FF505" s="145">
        <f t="shared" si="1911"/>
        <v>11128.9</v>
      </c>
      <c r="FG505" s="79">
        <f t="shared" si="1885"/>
        <v>6.6844971049503377</v>
      </c>
      <c r="FH505" s="145">
        <f t="shared" si="1911"/>
        <v>11059.300000000005</v>
      </c>
      <c r="FI505" s="79">
        <f t="shared" si="1886"/>
        <v>-0.62539873662261769</v>
      </c>
      <c r="FJ505" s="145">
        <f t="shared" si="1911"/>
        <v>9294.4000000000015</v>
      </c>
      <c r="FK505" s="79">
        <f t="shared" si="1887"/>
        <v>-15.958514553362345</v>
      </c>
      <c r="FL505" s="145">
        <f>FL506-FL501-FL502-FL503-FL504</f>
        <v>9444.2999999999993</v>
      </c>
      <c r="FM505" s="79">
        <f t="shared" si="1888"/>
        <v>1.6127991048372925</v>
      </c>
      <c r="FN505" s="145">
        <f>FN506-FN501-FN502-FN503-FN504</f>
        <v>8875.2999999999975</v>
      </c>
      <c r="FO505" s="79">
        <f t="shared" si="1889"/>
        <v>-6.0247980263227756</v>
      </c>
      <c r="FP505" s="192">
        <f>FP506-FP501-FP502-FP503-FP504</f>
        <v>8868.1</v>
      </c>
      <c r="FQ505" s="79">
        <f t="shared" si="1890"/>
        <v>-8.1124018343003979E-2</v>
      </c>
      <c r="FR505" s="192">
        <f>FR506-FR501-FR502-FR503-FR504</f>
        <v>8497.4999999999982</v>
      </c>
      <c r="FS505" s="79">
        <f t="shared" si="1891"/>
        <v>-4.1790236916588892</v>
      </c>
      <c r="FT505" s="192">
        <f>FT506-FT501-FT502-FT503-FT504</f>
        <v>8344.4999999999945</v>
      </c>
      <c r="FU505" s="79">
        <f t="shared" si="1892"/>
        <v>-1.800529567519904</v>
      </c>
      <c r="FV505" s="192">
        <f>FV506-FV501-FV502-FV503-FV504</f>
        <v>8463.7999999999975</v>
      </c>
      <c r="FW505" s="79">
        <f t="shared" si="1893"/>
        <v>1.4296842231410256</v>
      </c>
      <c r="FX505" s="192">
        <f>FX506-FX501-FX502-FX503-FX504</f>
        <v>8374.0999999999949</v>
      </c>
      <c r="FY505" s="79">
        <f t="shared" si="1894"/>
        <v>-1.0598076514095611</v>
      </c>
      <c r="FZ505" s="192">
        <f>FZ506-FZ501-FZ502-FZ503-FZ504</f>
        <v>8458.5999999999967</v>
      </c>
      <c r="GA505" s="79">
        <f t="shared" si="1895"/>
        <v>1.0090636605724956</v>
      </c>
      <c r="GB505" s="192">
        <f>GB506-GB501-GB502-GB503-GB504</f>
        <v>8602.7999999999956</v>
      </c>
      <c r="GC505" s="79">
        <f t="shared" si="1895"/>
        <v>1.7047738396424927</v>
      </c>
      <c r="GD505" s="192">
        <f>GD506-GD501-GD502-GD503-GD504</f>
        <v>8326.6</v>
      </c>
      <c r="GE505" s="79">
        <f t="shared" si="1895"/>
        <v>-3.2105826010135674</v>
      </c>
      <c r="GF505" s="192">
        <f>GF506-GF501-GF502-GF503-GF504</f>
        <v>8381.2999999999975</v>
      </c>
      <c r="GG505" s="79">
        <f t="shared" si="1895"/>
        <v>0.65693080008644156</v>
      </c>
      <c r="GH505" s="192">
        <f>GH506-GH501-GH502-GH503-GH504</f>
        <v>8445.8999999999978</v>
      </c>
      <c r="GI505" s="79">
        <f t="shared" si="1895"/>
        <v>0.77076348537816752</v>
      </c>
      <c r="GJ505" s="192">
        <f>GJ506-GJ501-GJ502-GJ503-GJ504</f>
        <v>10208.703953684968</v>
      </c>
      <c r="GK505" s="79">
        <f t="shared" si="1895"/>
        <v>20.871712353745252</v>
      </c>
      <c r="GL505" s="145">
        <f>GL506-GL501-GL502-GL503-GL504</f>
        <v>12095.363549219759</v>
      </c>
      <c r="GM505" s="79">
        <f t="shared" si="1895"/>
        <v>18.480892423702588</v>
      </c>
      <c r="GN505" s="145">
        <f>GN506-GN501-GN502-GN503-GN504</f>
        <v>14110.33848447755</v>
      </c>
      <c r="GO505" s="79">
        <f t="shared" si="1895"/>
        <v>16.659068799860677</v>
      </c>
      <c r="GP505" s="145">
        <f>GP506-GP501-GP502-GP503-GP504</f>
        <v>16260.894085443151</v>
      </c>
      <c r="GQ505" s="79">
        <f t="shared" si="1895"/>
        <v>15.240992293213784</v>
      </c>
      <c r="GR505" s="145">
        <f>GR506-GR501-GR502-GR503-GR504</f>
        <v>18554.680183375585</v>
      </c>
      <c r="GS505" s="79">
        <f t="shared" si="1896"/>
        <v>14.106149919430599</v>
      </c>
      <c r="GT505" s="79">
        <f t="shared" si="1897"/>
        <v>17.047328995357546</v>
      </c>
    </row>
    <row r="506" spans="1:286" ht="12.75" customHeight="1" x14ac:dyDescent="0.2">
      <c r="A506" s="1"/>
      <c r="B506" s="2" t="s">
        <v>123</v>
      </c>
      <c r="C506" s="79"/>
      <c r="D506" s="79"/>
      <c r="E506" s="131">
        <v>41052.699999999997</v>
      </c>
      <c r="F506" s="131"/>
      <c r="G506" s="131">
        <v>40887.1</v>
      </c>
      <c r="H506" s="131"/>
      <c r="I506" s="131">
        <v>42258</v>
      </c>
      <c r="J506" s="131"/>
      <c r="K506" s="131">
        <v>42442.7</v>
      </c>
      <c r="L506" s="79"/>
      <c r="M506" s="131">
        <v>42381.1</v>
      </c>
      <c r="N506" s="79">
        <f t="shared" si="1818"/>
        <v>3.2358407607782302</v>
      </c>
      <c r="O506" s="131">
        <v>43356</v>
      </c>
      <c r="P506" s="79">
        <f t="shared" si="1819"/>
        <v>6.0383348293227002</v>
      </c>
      <c r="Q506" s="131">
        <v>44491.1</v>
      </c>
      <c r="R506" s="79">
        <f t="shared" si="1820"/>
        <v>5.2844431823559912</v>
      </c>
      <c r="S506" s="131">
        <v>45259.5</v>
      </c>
      <c r="T506" s="79">
        <f t="shared" si="1821"/>
        <v>6.6367125559872564</v>
      </c>
      <c r="U506" s="131">
        <v>46324.1</v>
      </c>
      <c r="V506" s="79">
        <f t="shared" si="1822"/>
        <v>9.3036754591079518</v>
      </c>
      <c r="W506" s="131">
        <v>49364.1</v>
      </c>
      <c r="X506" s="79">
        <f t="shared" si="1823"/>
        <v>13.857597564350943</v>
      </c>
      <c r="Y506" s="131">
        <v>49338.3</v>
      </c>
      <c r="Z506" s="79">
        <f t="shared" si="1824"/>
        <v>10.894763222307402</v>
      </c>
      <c r="AA506" s="126">
        <v>49718.3</v>
      </c>
      <c r="AB506" s="79">
        <f t="shared" si="1825"/>
        <v>9.8516333587423723</v>
      </c>
      <c r="AC506" s="131">
        <v>50476.9</v>
      </c>
      <c r="AD506" s="79">
        <f t="shared" si="1826"/>
        <v>8.9646641812793035</v>
      </c>
      <c r="AE506" s="131">
        <v>48503.7</v>
      </c>
      <c r="AF506" s="79">
        <f t="shared" si="1827"/>
        <v>-1.742967055005562</v>
      </c>
      <c r="AG506" s="131">
        <v>49744.1</v>
      </c>
      <c r="AH506" s="79">
        <f t="shared" si="1828"/>
        <v>0.82248476335826659</v>
      </c>
      <c r="AI506" s="131">
        <v>50832.3</v>
      </c>
      <c r="AJ506" s="79">
        <f t="shared" si="1829"/>
        <v>2.2406236737780638</v>
      </c>
      <c r="AK506" s="131">
        <v>50836.6</v>
      </c>
      <c r="AL506" s="79">
        <f t="shared" si="1830"/>
        <v>0.71260319076646983</v>
      </c>
      <c r="AM506" s="131">
        <v>52430.400000000001</v>
      </c>
      <c r="AN506" s="79">
        <f t="shared" si="1831"/>
        <v>8.0956710518991457</v>
      </c>
      <c r="AO506" s="131">
        <v>51146.9</v>
      </c>
      <c r="AP506" s="79">
        <f t="shared" si="1831"/>
        <v>2.8200329285282155</v>
      </c>
      <c r="AQ506" s="131">
        <v>51866.8</v>
      </c>
      <c r="AR506" s="79">
        <f t="shared" si="1831"/>
        <v>2.0351233369334087</v>
      </c>
      <c r="AS506" s="131">
        <v>50471.3</v>
      </c>
      <c r="AT506" s="81">
        <f t="shared" si="1831"/>
        <v>-0.71857677342701542</v>
      </c>
      <c r="AU506" s="131">
        <v>50401.9</v>
      </c>
      <c r="AV506" s="81">
        <f t="shared" si="1831"/>
        <v>-3.8689386310232221</v>
      </c>
      <c r="AW506" s="131">
        <v>52171.5</v>
      </c>
      <c r="AX506" s="81">
        <f t="shared" si="1831"/>
        <v>2.0032494637993725</v>
      </c>
      <c r="AY506" s="131">
        <v>52823.3</v>
      </c>
      <c r="AZ506" s="81">
        <f t="shared" si="1831"/>
        <v>1.8441469302135527</v>
      </c>
      <c r="BA506" s="131">
        <v>52324.800000000003</v>
      </c>
      <c r="BB506" s="81">
        <f t="shared" si="1831"/>
        <v>3.6723841074036034</v>
      </c>
      <c r="BC506" s="131">
        <v>52071.199999999997</v>
      </c>
      <c r="BD506" s="81">
        <f t="shared" si="1831"/>
        <v>3.3119783182776752</v>
      </c>
      <c r="BE506" s="131">
        <v>52566.6</v>
      </c>
      <c r="BF506" s="81">
        <f t="shared" si="1832"/>
        <v>0.75731002558867555</v>
      </c>
      <c r="BG506" s="131">
        <v>52432.7</v>
      </c>
      <c r="BH506" s="81">
        <f t="shared" si="1833"/>
        <v>-0.73944641853123105</v>
      </c>
      <c r="BI506" s="131">
        <v>52069.2</v>
      </c>
      <c r="BJ506" s="81">
        <f t="shared" si="1834"/>
        <v>-0.48848729474361141</v>
      </c>
      <c r="BK506" s="131">
        <v>51767.8</v>
      </c>
      <c r="BL506" s="81">
        <f t="shared" si="1835"/>
        <v>-0.5826637373442356</v>
      </c>
      <c r="BM506" s="131">
        <v>49937.8</v>
      </c>
      <c r="BN506" s="81">
        <f t="shared" si="1836"/>
        <v>-5.0008941038606203</v>
      </c>
      <c r="BO506" s="131">
        <v>49417.4</v>
      </c>
      <c r="BP506" s="81">
        <f t="shared" si="1837"/>
        <v>-5.7508005500384263</v>
      </c>
      <c r="BQ506" s="131">
        <v>49179.5</v>
      </c>
      <c r="BR506" s="81">
        <f t="shared" si="1838"/>
        <v>-5.5497299747259365</v>
      </c>
      <c r="BS506" s="131">
        <v>51339.8</v>
      </c>
      <c r="BT506" s="81">
        <f t="shared" si="1839"/>
        <v>-0.82676876359435436</v>
      </c>
      <c r="BU506" s="131">
        <v>54475.199999999997</v>
      </c>
      <c r="BV506" s="81">
        <f t="shared" si="1840"/>
        <v>9.0861031122716476</v>
      </c>
      <c r="BW506" s="131">
        <v>54477</v>
      </c>
      <c r="BX506" s="81">
        <f t="shared" si="1841"/>
        <v>10.238498990234213</v>
      </c>
      <c r="BY506" s="131">
        <v>54997.2</v>
      </c>
      <c r="BZ506" s="81">
        <f t="shared" si="1842"/>
        <v>11.829522463628139</v>
      </c>
      <c r="CA506" s="131">
        <v>56792.2</v>
      </c>
      <c r="CB506" s="81">
        <f t="shared" si="1843"/>
        <v>10.620220569616535</v>
      </c>
      <c r="CC506" s="131">
        <v>59054.7</v>
      </c>
      <c r="CD506" s="81">
        <f t="shared" si="1844"/>
        <v>8.4065776720415819</v>
      </c>
      <c r="CE506" s="131">
        <v>56602.7</v>
      </c>
      <c r="CF506" s="81">
        <f t="shared" si="1845"/>
        <v>3.9020136938524352</v>
      </c>
      <c r="CG506" s="131">
        <v>57116.800000000003</v>
      </c>
      <c r="CH506" s="81">
        <f t="shared" si="1846"/>
        <v>3.8540143861869547</v>
      </c>
      <c r="CI506" s="131">
        <v>58015.8</v>
      </c>
      <c r="CJ506" s="81">
        <f t="shared" si="1847"/>
        <v>2.1545212194632457</v>
      </c>
      <c r="CK506" s="131">
        <v>60040.9</v>
      </c>
      <c r="CL506" s="81">
        <f t="shared" si="1848"/>
        <v>1.6699771567716182</v>
      </c>
      <c r="CM506" s="131">
        <v>59555.199999999997</v>
      </c>
      <c r="CN506" s="81">
        <f t="shared" si="1849"/>
        <v>5.2161822669236635</v>
      </c>
      <c r="CO506" s="131">
        <v>59571.8</v>
      </c>
      <c r="CP506" s="81">
        <f t="shared" si="1850"/>
        <v>4.2982099837525878</v>
      </c>
      <c r="CQ506" s="131">
        <v>60678.7</v>
      </c>
      <c r="CR506" s="81">
        <f t="shared" si="1851"/>
        <v>4.5899565290834499</v>
      </c>
      <c r="CS506" s="131">
        <v>62119.6</v>
      </c>
      <c r="CT506" s="81">
        <f t="shared" si="1852"/>
        <v>3.4621399745839776</v>
      </c>
      <c r="CU506" s="131">
        <v>62236.1</v>
      </c>
      <c r="CV506" s="81">
        <f t="shared" si="1853"/>
        <v>4.5015380688840034</v>
      </c>
      <c r="CW506" s="131">
        <v>61611.4</v>
      </c>
      <c r="CX506" s="81">
        <f t="shared" si="1854"/>
        <v>3.4237676215927548</v>
      </c>
      <c r="CY506" s="131">
        <v>59366.2</v>
      </c>
      <c r="CZ506" s="81">
        <f t="shared" si="1855"/>
        <v>-2.1630324974002413</v>
      </c>
      <c r="DA506" s="131">
        <v>59585.8</v>
      </c>
      <c r="DB506" s="81">
        <f t="shared" si="1856"/>
        <v>-4.0789058525811388</v>
      </c>
      <c r="DC506" s="131">
        <v>59374.1</v>
      </c>
      <c r="DD506" s="81">
        <f t="shared" si="1857"/>
        <v>-4.598617201270649</v>
      </c>
      <c r="DE506" s="131">
        <v>61078.6</v>
      </c>
      <c r="DF506" s="81">
        <f t="shared" si="1858"/>
        <v>-0.86477502540114326</v>
      </c>
      <c r="DG506" s="131">
        <v>62218.1</v>
      </c>
      <c r="DH506" s="81">
        <f t="shared" si="1859"/>
        <v>4.8039119903244609</v>
      </c>
      <c r="DI506" s="131">
        <v>61960.6</v>
      </c>
      <c r="DJ506" s="81">
        <f t="shared" si="1860"/>
        <v>3.9855133270007226</v>
      </c>
      <c r="DK506" s="131">
        <v>62450.2</v>
      </c>
      <c r="DL506" s="81">
        <f t="shared" si="1861"/>
        <v>5.1808785312114081</v>
      </c>
      <c r="DM506" s="131">
        <v>63014.5</v>
      </c>
      <c r="DN506" s="81">
        <f t="shared" si="1862"/>
        <v>3.1695225496327639</v>
      </c>
      <c r="DO506" s="131">
        <v>61706.8</v>
      </c>
      <c r="DP506" s="81">
        <f t="shared" si="1862"/>
        <v>-0.82178658621847589</v>
      </c>
      <c r="DQ506" s="131">
        <v>61503.8</v>
      </c>
      <c r="DR506" s="81">
        <f t="shared" si="1863"/>
        <v>-0.73724269939283715</v>
      </c>
      <c r="DS506" s="131">
        <v>60589.7</v>
      </c>
      <c r="DT506" s="81">
        <f t="shared" si="1864"/>
        <v>-2.9791738056883732</v>
      </c>
      <c r="DU506" s="131">
        <v>61967.9</v>
      </c>
      <c r="DV506" s="81">
        <f t="shared" si="1865"/>
        <v>-1.6608875734949846</v>
      </c>
      <c r="DW506" s="131">
        <v>63853.1</v>
      </c>
      <c r="DX506" s="81">
        <f t="shared" si="1866"/>
        <v>3.4782228214718547</v>
      </c>
      <c r="DY506" s="131">
        <v>63905.1</v>
      </c>
      <c r="DZ506" s="81">
        <f t="shared" si="1867"/>
        <v>3.9043116035106795</v>
      </c>
      <c r="EA506" s="131">
        <v>61941.5</v>
      </c>
      <c r="EB506" s="81">
        <f t="shared" si="1868"/>
        <v>2.2310722779614434</v>
      </c>
      <c r="EC506" s="131">
        <v>62524.7</v>
      </c>
      <c r="ED506" s="81">
        <f t="shared" si="1869"/>
        <v>0.89852972264672371</v>
      </c>
      <c r="EE506" s="131">
        <v>63381.599999999999</v>
      </c>
      <c r="EF506" s="81">
        <f t="shared" si="1870"/>
        <v>-0.73841364005819976</v>
      </c>
      <c r="EG506" s="131">
        <v>63805.7</v>
      </c>
      <c r="EH506" s="81">
        <f t="shared" si="1871"/>
        <v>-0.15554314131422942</v>
      </c>
      <c r="EI506" s="131">
        <v>64013.1</v>
      </c>
      <c r="EJ506" s="81">
        <f t="shared" si="1872"/>
        <v>3.3444459691805983</v>
      </c>
      <c r="EK506" s="131">
        <f t="shared" ref="EK506" si="1912">EI506*1.01227</f>
        <v>64798.540736999996</v>
      </c>
      <c r="EL506" s="81">
        <f t="shared" si="1874"/>
        <v>3.6367079522172885</v>
      </c>
      <c r="EM506" s="131">
        <f t="shared" ref="EM506" si="1913">EK506*1.01227</f>
        <v>65593.618831842992</v>
      </c>
      <c r="EN506" s="81">
        <f t="shared" si="1876"/>
        <v>3.4900015648752891</v>
      </c>
      <c r="EO506" s="131">
        <f t="shared" ref="EO506" si="1914">EM506*1.01227</f>
        <v>66398.452534909709</v>
      </c>
      <c r="EP506" s="81">
        <f t="shared" si="1878"/>
        <v>4.0635124054899663</v>
      </c>
      <c r="EQ506" s="131">
        <f t="shared" ref="EQ506" si="1915">EO506*1.01227</f>
        <v>67213.161547513053</v>
      </c>
      <c r="ER506" s="81">
        <f t="shared" si="1880"/>
        <v>4.9990729202507911</v>
      </c>
      <c r="ES506" s="82"/>
      <c r="ET506" s="469"/>
      <c r="EU506" s="82"/>
      <c r="EV506" s="131">
        <v>38602.199999999997</v>
      </c>
      <c r="EW506" s="79"/>
      <c r="EX506" s="131">
        <v>38447.5</v>
      </c>
      <c r="EY506" s="79">
        <f t="shared" si="1881"/>
        <v>-0.40075436115039054</v>
      </c>
      <c r="EZ506" s="145"/>
      <c r="FA506" s="79" t="str">
        <f t="shared" si="1882"/>
        <v>NM</v>
      </c>
      <c r="FB506" s="145">
        <f>K506</f>
        <v>42442.7</v>
      </c>
      <c r="FC506" s="79" t="str">
        <f t="shared" si="1883"/>
        <v>NA</v>
      </c>
      <c r="FD506" s="145">
        <f>+S506</f>
        <v>45259.5</v>
      </c>
      <c r="FE506" s="79">
        <f t="shared" si="1884"/>
        <v>6.6367125559872564</v>
      </c>
      <c r="FF506" s="145">
        <f>+AA506</f>
        <v>49718.3</v>
      </c>
      <c r="FG506" s="79">
        <f t="shared" si="1885"/>
        <v>9.8516333587423723</v>
      </c>
      <c r="FH506" s="145">
        <f>+AI506</f>
        <v>50832.3</v>
      </c>
      <c r="FI506" s="79">
        <f t="shared" si="1886"/>
        <v>2.2406236737780638</v>
      </c>
      <c r="FJ506" s="340">
        <f>+AQ506</f>
        <v>51866.8</v>
      </c>
      <c r="FK506" s="79">
        <f t="shared" si="1887"/>
        <v>2.0351233369334087</v>
      </c>
      <c r="FL506" s="216">
        <f>AY506</f>
        <v>52823.3</v>
      </c>
      <c r="FM506" s="79">
        <f t="shared" si="1888"/>
        <v>1.8441469302135527</v>
      </c>
      <c r="FN506" s="216">
        <f>BG506</f>
        <v>52432.7</v>
      </c>
      <c r="FO506" s="79">
        <f t="shared" si="1889"/>
        <v>-0.73944641853123105</v>
      </c>
      <c r="FP506" s="216">
        <f>BO506</f>
        <v>49417.4</v>
      </c>
      <c r="FQ506" s="79">
        <f t="shared" si="1890"/>
        <v>-5.7508005500384263</v>
      </c>
      <c r="FR506" s="192">
        <f>BW506</f>
        <v>54477</v>
      </c>
      <c r="FS506" s="79">
        <f t="shared" si="1891"/>
        <v>10.238498990234213</v>
      </c>
      <c r="FT506" s="192">
        <f>CE506</f>
        <v>56602.7</v>
      </c>
      <c r="FU506" s="79">
        <f t="shared" si="1892"/>
        <v>3.9020136938524352</v>
      </c>
      <c r="FV506" s="192">
        <f>CM506</f>
        <v>59555.199999999997</v>
      </c>
      <c r="FW506" s="79">
        <f t="shared" si="1893"/>
        <v>5.2161822669236635</v>
      </c>
      <c r="FX506" s="192">
        <f>CU506</f>
        <v>62236.1</v>
      </c>
      <c r="FY506" s="79">
        <f t="shared" si="1894"/>
        <v>4.5015380688840034</v>
      </c>
      <c r="FZ506" s="192">
        <f>DC506</f>
        <v>59374.1</v>
      </c>
      <c r="GA506" s="79">
        <f t="shared" si="1895"/>
        <v>-4.598617201270649</v>
      </c>
      <c r="GB506" s="192">
        <f>DK506</f>
        <v>62450.2</v>
      </c>
      <c r="GC506" s="79">
        <f t="shared" si="1895"/>
        <v>5.1808785312114081</v>
      </c>
      <c r="GD506" s="192">
        <f>DS506</f>
        <v>60589.7</v>
      </c>
      <c r="GE506" s="79">
        <f t="shared" si="1895"/>
        <v>-2.9791738056883732</v>
      </c>
      <c r="GF506" s="192">
        <f>EA506</f>
        <v>61941.5</v>
      </c>
      <c r="GG506" s="79">
        <f t="shared" si="1895"/>
        <v>2.2310722779614434</v>
      </c>
      <c r="GH506" s="192">
        <f>EI506</f>
        <v>64013.1</v>
      </c>
      <c r="GI506" s="79">
        <f t="shared" si="1895"/>
        <v>3.3444459691805983</v>
      </c>
      <c r="GJ506" s="192">
        <f>EQ506</f>
        <v>67213.161547513053</v>
      </c>
      <c r="GK506" s="79">
        <f t="shared" si="1895"/>
        <v>4.9990729202507911</v>
      </c>
      <c r="GL506" s="131">
        <f>GJ506*1.05</f>
        <v>70573.819624888711</v>
      </c>
      <c r="GM506" s="79">
        <f t="shared" si="1895"/>
        <v>5.0000000000000044</v>
      </c>
      <c r="GN506" s="131">
        <f>GL506*1.05</f>
        <v>74102.510606133146</v>
      </c>
      <c r="GO506" s="79">
        <f t="shared" si="1895"/>
        <v>5.0000000000000044</v>
      </c>
      <c r="GP506" s="131">
        <f>GN506*1.05</f>
        <v>77807.636136439804</v>
      </c>
      <c r="GQ506" s="79">
        <f t="shared" si="1895"/>
        <v>5.0000000000000044</v>
      </c>
      <c r="GR506" s="131">
        <f>GP506*1.05</f>
        <v>81698.017943261802</v>
      </c>
      <c r="GS506" s="79">
        <f t="shared" si="1896"/>
        <v>5.0000000000000044</v>
      </c>
      <c r="GT506" s="79">
        <f t="shared" si="1897"/>
        <v>4.9998145833953123</v>
      </c>
    </row>
    <row r="507" spans="1:286" ht="12.75" customHeight="1" x14ac:dyDescent="0.2">
      <c r="A507" s="1"/>
      <c r="B507" s="2" t="s">
        <v>124</v>
      </c>
      <c r="C507" s="79"/>
      <c r="D507" s="79"/>
      <c r="E507" s="145">
        <f>E530</f>
        <v>227.4</v>
      </c>
      <c r="F507" s="145"/>
      <c r="G507" s="145">
        <f>G530</f>
        <v>47.7</v>
      </c>
      <c r="H507" s="145"/>
      <c r="I507" s="145">
        <f>I530</f>
        <v>227.1</v>
      </c>
      <c r="J507" s="145"/>
      <c r="K507" s="145">
        <f>K530</f>
        <v>48</v>
      </c>
      <c r="L507" s="79"/>
      <c r="M507" s="145">
        <f>M530</f>
        <v>-207.7</v>
      </c>
      <c r="N507" s="79" t="str">
        <f t="shared" si="1818"/>
        <v>NM</v>
      </c>
      <c r="O507" s="145">
        <f>O530</f>
        <v>177.9</v>
      </c>
      <c r="P507" s="79" t="str">
        <f t="shared" si="1819"/>
        <v>NM</v>
      </c>
      <c r="Q507" s="145">
        <f>Q530</f>
        <v>636</v>
      </c>
      <c r="R507" s="79" t="str">
        <f t="shared" si="1820"/>
        <v>NM</v>
      </c>
      <c r="S507" s="145">
        <f>S530</f>
        <v>777.4</v>
      </c>
      <c r="T507" s="79" t="str">
        <f t="shared" si="1821"/>
        <v>NM</v>
      </c>
      <c r="U507" s="145">
        <f>U530</f>
        <v>760.5</v>
      </c>
      <c r="V507" s="79" t="str">
        <f t="shared" si="1822"/>
        <v>NM</v>
      </c>
      <c r="W507" s="145">
        <f>W530</f>
        <v>1342.6</v>
      </c>
      <c r="X507" s="79" t="str">
        <f t="shared" si="1823"/>
        <v>NM</v>
      </c>
      <c r="Y507" s="145">
        <f>Y530</f>
        <v>1384.7</v>
      </c>
      <c r="Z507" s="79" t="str">
        <f t="shared" si="1824"/>
        <v>NM</v>
      </c>
      <c r="AA507" s="267">
        <f>AA530</f>
        <v>1171.2</v>
      </c>
      <c r="AB507" s="79">
        <f t="shared" si="1825"/>
        <v>50.656032930280425</v>
      </c>
      <c r="AC507" s="145">
        <f>AC530</f>
        <v>1615.5</v>
      </c>
      <c r="AD507" s="79" t="str">
        <f t="shared" si="1826"/>
        <v>NM</v>
      </c>
      <c r="AE507" s="145">
        <f>AE530</f>
        <v>746.6</v>
      </c>
      <c r="AF507" s="79">
        <f t="shared" si="1827"/>
        <v>-44.391479219424987</v>
      </c>
      <c r="AG507" s="145">
        <f>AG530</f>
        <v>1272.5</v>
      </c>
      <c r="AH507" s="79">
        <f t="shared" si="1828"/>
        <v>-8.1028381598902364</v>
      </c>
      <c r="AI507" s="145">
        <f>AI530</f>
        <v>1481.1</v>
      </c>
      <c r="AJ507" s="79">
        <f t="shared" si="1829"/>
        <v>26.460040983606547</v>
      </c>
      <c r="AK507" s="145">
        <f>AK530</f>
        <v>1173.3</v>
      </c>
      <c r="AL507" s="79">
        <f t="shared" si="1830"/>
        <v>-27.372330547818013</v>
      </c>
      <c r="AM507" s="145">
        <f>AM530</f>
        <v>1820.5</v>
      </c>
      <c r="AN507" s="79" t="str">
        <f t="shared" si="1831"/>
        <v>NM</v>
      </c>
      <c r="AO507" s="145">
        <f>AO530</f>
        <v>1167</v>
      </c>
      <c r="AP507" s="79">
        <f t="shared" si="1831"/>
        <v>-8.2907662082514761</v>
      </c>
      <c r="AQ507" s="145">
        <f>AQ530</f>
        <v>1163.5</v>
      </c>
      <c r="AR507" s="79">
        <f t="shared" si="1831"/>
        <v>-21.443521706839508</v>
      </c>
      <c r="AS507" s="145">
        <f>AS530</f>
        <v>309.8</v>
      </c>
      <c r="AT507" s="81" t="str">
        <f t="shared" si="1831"/>
        <v>NM</v>
      </c>
      <c r="AU507" s="145">
        <f>AU530</f>
        <v>51.7</v>
      </c>
      <c r="AV507" s="81" t="str">
        <f t="shared" si="1831"/>
        <v>NM</v>
      </c>
      <c r="AW507" s="145">
        <f>AW530</f>
        <v>743.5</v>
      </c>
      <c r="AX507" s="81">
        <f t="shared" si="1831"/>
        <v>-36.289631533847476</v>
      </c>
      <c r="AY507" s="145">
        <f>AY530</f>
        <v>612.79999999999995</v>
      </c>
      <c r="AZ507" s="81">
        <f t="shared" si="1831"/>
        <v>-47.331327889987108</v>
      </c>
      <c r="BA507" s="145">
        <f>BA530</f>
        <v>543.70000000000005</v>
      </c>
      <c r="BB507" s="81">
        <f t="shared" si="1831"/>
        <v>75.500322788896071</v>
      </c>
      <c r="BC507" s="145">
        <f>BC530</f>
        <v>103.7</v>
      </c>
      <c r="BD507" s="81" t="str">
        <f t="shared" si="1831"/>
        <v>NM</v>
      </c>
      <c r="BE507" s="145">
        <f>BE530</f>
        <v>398.6</v>
      </c>
      <c r="BF507" s="81">
        <f t="shared" si="1832"/>
        <v>-46.388702084734355</v>
      </c>
      <c r="BG507" s="145">
        <f>BG530</f>
        <v>463.5</v>
      </c>
      <c r="BH507" s="81">
        <f t="shared" si="1833"/>
        <v>-24.363577023498685</v>
      </c>
      <c r="BI507" s="145">
        <f>BI530</f>
        <v>269.7</v>
      </c>
      <c r="BJ507" s="81" t="str">
        <f t="shared" si="1834"/>
        <v>NM</v>
      </c>
      <c r="BK507" s="145">
        <f>BK530</f>
        <v>73</v>
      </c>
      <c r="BL507" s="81">
        <f t="shared" si="1835"/>
        <v>-29.604628736740601</v>
      </c>
      <c r="BM507" s="145">
        <f>BM530</f>
        <v>-595.6</v>
      </c>
      <c r="BN507" s="81" t="str">
        <f t="shared" si="1836"/>
        <v>NM</v>
      </c>
      <c r="BO507" s="145">
        <f>BO530</f>
        <v>-958.2</v>
      </c>
      <c r="BP507" s="81" t="str">
        <f t="shared" si="1837"/>
        <v>NM</v>
      </c>
      <c r="BQ507" s="145">
        <f>BQ530</f>
        <v>-1080</v>
      </c>
      <c r="BR507" s="81" t="str">
        <f t="shared" si="1838"/>
        <v>NM</v>
      </c>
      <c r="BS507" s="145">
        <f>BS530</f>
        <v>-291.89999999999998</v>
      </c>
      <c r="BT507" s="81" t="str">
        <f t="shared" si="1839"/>
        <v>NM</v>
      </c>
      <c r="BU507" s="145">
        <f>BU530</f>
        <v>264.89999999999998</v>
      </c>
      <c r="BV507" s="81" t="str">
        <f t="shared" si="1840"/>
        <v>NM</v>
      </c>
      <c r="BW507" s="145">
        <f>BW530</f>
        <v>341.00000000000006</v>
      </c>
      <c r="BX507" s="81" t="str">
        <f t="shared" si="1841"/>
        <v>NM</v>
      </c>
      <c r="BY507" s="145">
        <f>BY530</f>
        <v>402.9</v>
      </c>
      <c r="BZ507" s="81" t="str">
        <f t="shared" si="1842"/>
        <v>NM</v>
      </c>
      <c r="CA507" s="145">
        <f>CA530</f>
        <v>437.89999999999986</v>
      </c>
      <c r="CB507" s="81" t="str">
        <f t="shared" si="1843"/>
        <v>NM</v>
      </c>
      <c r="CC507" s="145">
        <f>CC530</f>
        <v>493.8</v>
      </c>
      <c r="CD507" s="81">
        <f t="shared" si="1844"/>
        <v>86.409966024915093</v>
      </c>
      <c r="CE507" s="145">
        <f>CE530</f>
        <v>351.4</v>
      </c>
      <c r="CF507" s="81">
        <f t="shared" si="1845"/>
        <v>3.0498533724339971</v>
      </c>
      <c r="CG507" s="145">
        <f>CG530</f>
        <v>406.30000000000007</v>
      </c>
      <c r="CH507" s="81">
        <f t="shared" si="1846"/>
        <v>0.84388185654009629</v>
      </c>
      <c r="CI507" s="145">
        <f>CI530</f>
        <v>443.99999999999994</v>
      </c>
      <c r="CJ507" s="81">
        <f t="shared" si="1847"/>
        <v>1.3930121032199372</v>
      </c>
      <c r="CK507" s="145">
        <f>CK530</f>
        <v>886.19999999999993</v>
      </c>
      <c r="CL507" s="81">
        <f t="shared" si="1848"/>
        <v>79.465370595382723</v>
      </c>
      <c r="CM507" s="145">
        <f>CM530</f>
        <v>461.79999999999995</v>
      </c>
      <c r="CN507" s="81">
        <f t="shared" si="1849"/>
        <v>31.417188389299945</v>
      </c>
      <c r="CO507" s="145">
        <f>CO530</f>
        <v>455.4</v>
      </c>
      <c r="CP507" s="81">
        <f t="shared" si="1850"/>
        <v>12.084666502584263</v>
      </c>
      <c r="CQ507" s="145">
        <f>CQ530</f>
        <v>600.5</v>
      </c>
      <c r="CR507" s="81">
        <f t="shared" si="1851"/>
        <v>35.247747747747773</v>
      </c>
      <c r="CS507" s="145">
        <f>CS530</f>
        <v>790.30000000000007</v>
      </c>
      <c r="CT507" s="81">
        <f t="shared" si="1852"/>
        <v>-10.821484992101094</v>
      </c>
      <c r="CU507" s="145">
        <f>CU530</f>
        <v>628</v>
      </c>
      <c r="CV507" s="81">
        <f t="shared" si="1853"/>
        <v>35.989605889995687</v>
      </c>
      <c r="CW507" s="145">
        <f>CW530</f>
        <v>485.70000000000005</v>
      </c>
      <c r="CX507" s="81">
        <f t="shared" si="1854"/>
        <v>6.6534914361001452</v>
      </c>
      <c r="CY507" s="145">
        <f>CY530</f>
        <v>216.7</v>
      </c>
      <c r="CZ507" s="81" t="str">
        <f t="shared" si="1855"/>
        <v>NM</v>
      </c>
      <c r="DA507" s="145">
        <f>DA530</f>
        <v>409.59999999999991</v>
      </c>
      <c r="DB507" s="81">
        <f t="shared" si="1856"/>
        <v>-48.171580412501605</v>
      </c>
      <c r="DC507" s="145">
        <f>DC530</f>
        <v>254.99999999999997</v>
      </c>
      <c r="DD507" s="81" t="str">
        <f t="shared" si="1857"/>
        <v>NM</v>
      </c>
      <c r="DE507" s="145">
        <f>DE530</f>
        <v>453.4</v>
      </c>
      <c r="DF507" s="81">
        <f t="shared" si="1858"/>
        <v>-6.650195593988073</v>
      </c>
      <c r="DG507" s="145">
        <f>DG530</f>
        <v>631.90000000000009</v>
      </c>
      <c r="DH507" s="81" t="str">
        <f t="shared" si="1859"/>
        <v>NM</v>
      </c>
      <c r="DI507" s="145">
        <f>DI530</f>
        <v>548.6</v>
      </c>
      <c r="DJ507" s="81">
        <f t="shared" si="1860"/>
        <v>33.935546875000043</v>
      </c>
      <c r="DK507" s="145">
        <f>DK530</f>
        <v>166.39999999999998</v>
      </c>
      <c r="DL507" s="81">
        <f t="shared" si="1861"/>
        <v>-34.745098039215684</v>
      </c>
      <c r="DM507" s="145">
        <f>DM530</f>
        <v>260.40000000000009</v>
      </c>
      <c r="DN507" s="81">
        <f t="shared" si="1862"/>
        <v>-42.567269519188336</v>
      </c>
      <c r="DO507" s="145">
        <f>DO530</f>
        <v>4.3999999999999773</v>
      </c>
      <c r="DP507" s="81" t="str">
        <f t="shared" si="1862"/>
        <v>NM</v>
      </c>
      <c r="DQ507" s="145">
        <f>DQ530</f>
        <v>22</v>
      </c>
      <c r="DR507" s="81" t="str">
        <f t="shared" si="1863"/>
        <v>NM</v>
      </c>
      <c r="DS507" s="145">
        <f>DS530</f>
        <v>16.099999999999909</v>
      </c>
      <c r="DT507" s="81" t="str">
        <f t="shared" si="1864"/>
        <v>NM</v>
      </c>
      <c r="DU507" s="145">
        <f>DU530</f>
        <v>200.70000000000005</v>
      </c>
      <c r="DV507" s="81">
        <f t="shared" si="1865"/>
        <v>-22.926267281106007</v>
      </c>
      <c r="DW507" s="145">
        <f>DW530</f>
        <v>339.80000000000007</v>
      </c>
      <c r="DX507" s="81" t="str">
        <f t="shared" si="1866"/>
        <v>NM</v>
      </c>
      <c r="DY507" s="145">
        <f>DY530</f>
        <v>450.70000000000005</v>
      </c>
      <c r="DZ507" s="81" t="str">
        <f t="shared" si="1867"/>
        <v>NM</v>
      </c>
      <c r="EA507" s="145">
        <f>EA530</f>
        <v>-51</v>
      </c>
      <c r="EB507" s="81" t="str">
        <f t="shared" si="1868"/>
        <v>NM</v>
      </c>
      <c r="EC507" s="145">
        <f>EC530</f>
        <v>0.39999999999997726</v>
      </c>
      <c r="ED507" s="81" t="str">
        <f t="shared" si="1869"/>
        <v>NM</v>
      </c>
      <c r="EE507" s="145">
        <f>EE530</f>
        <v>104.9</v>
      </c>
      <c r="EF507" s="81" t="str">
        <f t="shared" si="1870"/>
        <v>NM</v>
      </c>
      <c r="EG507" s="145">
        <f>EG530</f>
        <v>124.29999999999995</v>
      </c>
      <c r="EH507" s="81" t="str">
        <f t="shared" si="1871"/>
        <v>NM</v>
      </c>
      <c r="EI507" s="145">
        <f>EI530</f>
        <v>127.49999999999989</v>
      </c>
      <c r="EJ507" s="81" t="str">
        <f t="shared" si="1872"/>
        <v>NM</v>
      </c>
      <c r="EK507" s="145">
        <f t="shared" ref="EK507:EQ507" si="1916">EK530</f>
        <v>127.49999999999989</v>
      </c>
      <c r="EL507" s="81" t="str">
        <f t="shared" si="1874"/>
        <v>NM</v>
      </c>
      <c r="EM507" s="145">
        <f t="shared" si="1916"/>
        <v>127.49999999999989</v>
      </c>
      <c r="EN507" s="81">
        <f t="shared" si="1876"/>
        <v>21.544327931363092</v>
      </c>
      <c r="EO507" s="145">
        <f t="shared" si="1916"/>
        <v>127.49999999999989</v>
      </c>
      <c r="EP507" s="81">
        <f t="shared" si="1878"/>
        <v>2.5744167337087065</v>
      </c>
      <c r="EQ507" s="145">
        <f t="shared" si="1916"/>
        <v>127.49999999999989</v>
      </c>
      <c r="ER507" s="81">
        <f t="shared" si="1880"/>
        <v>0</v>
      </c>
      <c r="ES507" s="327"/>
      <c r="ET507" s="490"/>
      <c r="EU507" s="327"/>
      <c r="EV507" s="145">
        <f>EV530</f>
        <v>914.7</v>
      </c>
      <c r="EW507" s="79"/>
      <c r="EX507" s="145">
        <f>EX530</f>
        <v>-18.899999999999636</v>
      </c>
      <c r="EY507" s="79" t="str">
        <f t="shared" si="1881"/>
        <v>NM</v>
      </c>
      <c r="EZ507" s="145"/>
      <c r="FA507" s="79" t="str">
        <f t="shared" si="1882"/>
        <v>NM</v>
      </c>
      <c r="FB507" s="145">
        <f>FB530</f>
        <v>48</v>
      </c>
      <c r="FC507" s="79" t="str">
        <f t="shared" si="1883"/>
        <v>NA</v>
      </c>
      <c r="FD507" s="145">
        <f>FD530</f>
        <v>777.4</v>
      </c>
      <c r="FE507" s="79" t="str">
        <f t="shared" si="1884"/>
        <v>NM</v>
      </c>
      <c r="FF507" s="145">
        <f>FF530</f>
        <v>1171.2</v>
      </c>
      <c r="FG507" s="79">
        <f t="shared" si="1885"/>
        <v>50.656032930280425</v>
      </c>
      <c r="FH507" s="145">
        <f>FH530</f>
        <v>1481.1</v>
      </c>
      <c r="FI507" s="79">
        <f t="shared" si="1886"/>
        <v>26.460040983606547</v>
      </c>
      <c r="FJ507" s="145">
        <f>FJ530</f>
        <v>1163.5</v>
      </c>
      <c r="FK507" s="79">
        <f t="shared" si="1887"/>
        <v>-21.443521706839508</v>
      </c>
      <c r="FL507" s="192">
        <f>FL530</f>
        <v>612.79999999999995</v>
      </c>
      <c r="FM507" s="79">
        <f t="shared" si="1888"/>
        <v>-47.331327889987108</v>
      </c>
      <c r="FN507" s="192">
        <f>FN530</f>
        <v>463.5</v>
      </c>
      <c r="FO507" s="79">
        <f t="shared" si="1889"/>
        <v>-24.363577023498685</v>
      </c>
      <c r="FP507" s="145">
        <f>FP530</f>
        <v>-958.2</v>
      </c>
      <c r="FQ507" s="79" t="str">
        <f t="shared" si="1890"/>
        <v>NM</v>
      </c>
      <c r="FR507" s="145">
        <f>FR530</f>
        <v>341.00000000000006</v>
      </c>
      <c r="FS507" s="79" t="str">
        <f t="shared" si="1891"/>
        <v>NM</v>
      </c>
      <c r="FT507" s="145">
        <f>FT530</f>
        <v>351.4</v>
      </c>
      <c r="FU507" s="79">
        <f t="shared" si="1892"/>
        <v>3.0498533724339971</v>
      </c>
      <c r="FV507" s="145">
        <f>FV530</f>
        <v>461.79999999999995</v>
      </c>
      <c r="FW507" s="79">
        <f t="shared" si="1893"/>
        <v>31.417188389299945</v>
      </c>
      <c r="FX507" s="145">
        <f>FX530</f>
        <v>628</v>
      </c>
      <c r="FY507" s="79">
        <f t="shared" si="1894"/>
        <v>35.989605889995687</v>
      </c>
      <c r="FZ507" s="145">
        <f>FZ530</f>
        <v>254.99999999999997</v>
      </c>
      <c r="GA507" s="79" t="str">
        <f t="shared" si="1895"/>
        <v>NM</v>
      </c>
      <c r="GB507" s="145">
        <f>GB530</f>
        <v>166.39999999999998</v>
      </c>
      <c r="GC507" s="79">
        <f t="shared" si="1895"/>
        <v>-34.745098039215684</v>
      </c>
      <c r="GD507" s="145">
        <f>GD530</f>
        <v>16.099999999999909</v>
      </c>
      <c r="GE507" s="79" t="str">
        <f t="shared" si="1895"/>
        <v>NM</v>
      </c>
      <c r="GF507" s="145">
        <f>GF530</f>
        <v>-51</v>
      </c>
      <c r="GG507" s="79" t="str">
        <f t="shared" si="1895"/>
        <v>NM</v>
      </c>
      <c r="GH507" s="145">
        <f>GH530</f>
        <v>127.49999999999989</v>
      </c>
      <c r="GI507" s="79" t="str">
        <f t="shared" si="1895"/>
        <v>NM</v>
      </c>
      <c r="GJ507" s="145">
        <f>GJ530</f>
        <v>127.49999999999989</v>
      </c>
      <c r="GK507" s="79">
        <f t="shared" si="1895"/>
        <v>0</v>
      </c>
      <c r="GL507" s="145">
        <f>GL530</f>
        <v>127.49999999999989</v>
      </c>
      <c r="GM507" s="79">
        <f t="shared" si="1895"/>
        <v>0</v>
      </c>
      <c r="GN507" s="145">
        <f>GN530</f>
        <v>127.49999999999989</v>
      </c>
      <c r="GO507" s="79">
        <f t="shared" si="1895"/>
        <v>0</v>
      </c>
      <c r="GP507" s="145">
        <f>GP530</f>
        <v>127.49999999999989</v>
      </c>
      <c r="GQ507" s="79">
        <f t="shared" si="1895"/>
        <v>0</v>
      </c>
      <c r="GR507" s="145">
        <f>GR530</f>
        <v>127.49999999999989</v>
      </c>
      <c r="GS507" s="79">
        <f t="shared" si="1896"/>
        <v>0</v>
      </c>
      <c r="GT507" s="79">
        <f t="shared" si="1897"/>
        <v>0</v>
      </c>
    </row>
    <row r="508" spans="1:286" ht="12.75" customHeight="1" x14ac:dyDescent="0.2">
      <c r="A508" s="1"/>
      <c r="B508" s="2" t="s">
        <v>125</v>
      </c>
      <c r="C508" s="79"/>
      <c r="D508" s="79"/>
      <c r="E508" s="145">
        <f t="shared" ref="E508:Q508" si="1917">E506-E507</f>
        <v>40825.299999999996</v>
      </c>
      <c r="F508" s="145"/>
      <c r="G508" s="145">
        <f t="shared" si="1917"/>
        <v>40839.4</v>
      </c>
      <c r="H508" s="145"/>
      <c r="I508" s="145">
        <f t="shared" si="1917"/>
        <v>42030.9</v>
      </c>
      <c r="J508" s="145"/>
      <c r="K508" s="145">
        <f t="shared" si="1917"/>
        <v>42394.7</v>
      </c>
      <c r="L508" s="79"/>
      <c r="M508" s="145">
        <f t="shared" si="1917"/>
        <v>42588.799999999996</v>
      </c>
      <c r="N508" s="79">
        <f t="shared" si="1818"/>
        <v>4.319625330371113</v>
      </c>
      <c r="O508" s="145">
        <f t="shared" si="1917"/>
        <v>43178.1</v>
      </c>
      <c r="P508" s="79">
        <f t="shared" si="1819"/>
        <v>5.7265777655891137</v>
      </c>
      <c r="Q508" s="145">
        <f t="shared" si="1917"/>
        <v>43855.1</v>
      </c>
      <c r="R508" s="79">
        <f t="shared" si="1820"/>
        <v>4.3401402301640024</v>
      </c>
      <c r="S508" s="145">
        <f>S506-S507</f>
        <v>44482.1</v>
      </c>
      <c r="T508" s="79">
        <f t="shared" si="1821"/>
        <v>4.9237286736313779</v>
      </c>
      <c r="U508" s="145">
        <f>U506-U507</f>
        <v>45563.6</v>
      </c>
      <c r="V508" s="79">
        <f t="shared" si="1822"/>
        <v>6.9849350063866611</v>
      </c>
      <c r="W508" s="145">
        <f>W506-W507</f>
        <v>48021.5</v>
      </c>
      <c r="X508" s="79">
        <f t="shared" si="1823"/>
        <v>11.217260602018154</v>
      </c>
      <c r="Y508" s="145">
        <f>Y506-Y507</f>
        <v>47953.600000000006</v>
      </c>
      <c r="Z508" s="79">
        <f t="shared" si="1824"/>
        <v>9.3455493203755235</v>
      </c>
      <c r="AA508" s="267">
        <f>AA506-AA507</f>
        <v>48547.100000000006</v>
      </c>
      <c r="AB508" s="79">
        <f t="shared" si="1825"/>
        <v>9.1385073996057109</v>
      </c>
      <c r="AC508" s="145">
        <f>AC506-AC507</f>
        <v>48861.4</v>
      </c>
      <c r="AD508" s="79">
        <f t="shared" si="1826"/>
        <v>7.237795082039189</v>
      </c>
      <c r="AE508" s="145">
        <f>AE506-AE507</f>
        <v>47757.1</v>
      </c>
      <c r="AF508" s="79">
        <f t="shared" si="1827"/>
        <v>-0.55058671636663004</v>
      </c>
      <c r="AG508" s="145">
        <f>AG506-AG507</f>
        <v>48471.6</v>
      </c>
      <c r="AH508" s="79">
        <f t="shared" si="1828"/>
        <v>1.0802108705081359</v>
      </c>
      <c r="AI508" s="145">
        <f>AI506-AI507</f>
        <v>49351.200000000004</v>
      </c>
      <c r="AJ508" s="79">
        <f t="shared" si="1829"/>
        <v>1.6563296262804617</v>
      </c>
      <c r="AK508" s="145">
        <f>AK506-AK507</f>
        <v>49663.299999999996</v>
      </c>
      <c r="AL508" s="79">
        <f t="shared" si="1830"/>
        <v>1.6411727866986858</v>
      </c>
      <c r="AM508" s="145">
        <f>AM506-AM507</f>
        <v>50609.9</v>
      </c>
      <c r="AN508" s="79">
        <f t="shared" si="1831"/>
        <v>5.9735620462716632</v>
      </c>
      <c r="AO508" s="145">
        <f>AO506-AO507</f>
        <v>49979.9</v>
      </c>
      <c r="AP508" s="79">
        <f t="shared" si="1831"/>
        <v>3.1117190272242023</v>
      </c>
      <c r="AQ508" s="145">
        <f>AQ506-AQ507</f>
        <v>50703.3</v>
      </c>
      <c r="AR508" s="79">
        <f t="shared" si="1831"/>
        <v>2.7397510090940047</v>
      </c>
      <c r="AS508" s="145">
        <f>AS506-AS507</f>
        <v>50161.5</v>
      </c>
      <c r="AT508" s="81">
        <f t="shared" si="1831"/>
        <v>1.0031552474362382</v>
      </c>
      <c r="AU508" s="145">
        <f>AU506-AU507</f>
        <v>50350.200000000004</v>
      </c>
      <c r="AV508" s="81">
        <f t="shared" si="1831"/>
        <v>-0.51314070962400482</v>
      </c>
      <c r="AW508" s="145">
        <f>AW506-AW507</f>
        <v>51428</v>
      </c>
      <c r="AX508" s="81">
        <f t="shared" si="1831"/>
        <v>2.8973647406257186</v>
      </c>
      <c r="AY508" s="145">
        <f>AY506-AY507</f>
        <v>52210.5</v>
      </c>
      <c r="AZ508" s="81">
        <f t="shared" si="1831"/>
        <v>2.9725875830567183</v>
      </c>
      <c r="BA508" s="145">
        <f>BA506-BA507</f>
        <v>51781.100000000006</v>
      </c>
      <c r="BB508" s="81">
        <f t="shared" si="1831"/>
        <v>3.2287710694457017</v>
      </c>
      <c r="BC508" s="145">
        <f>BC506-BC507</f>
        <v>51967.5</v>
      </c>
      <c r="BD508" s="81">
        <f t="shared" si="1831"/>
        <v>3.2121024345484139</v>
      </c>
      <c r="BE508" s="145">
        <f>BE506-BE507</f>
        <v>52168</v>
      </c>
      <c r="BF508" s="81">
        <f t="shared" si="1832"/>
        <v>1.4389048767208479</v>
      </c>
      <c r="BG508" s="145">
        <f>BG506-BG507</f>
        <v>51969.2</v>
      </c>
      <c r="BH508" s="81">
        <f t="shared" si="1833"/>
        <v>-0.46216757165704614</v>
      </c>
      <c r="BI508" s="145">
        <f>BI506-BI507</f>
        <v>51799.5</v>
      </c>
      <c r="BJ508" s="81">
        <f t="shared" si="1834"/>
        <v>3.5534200702569407E-2</v>
      </c>
      <c r="BK508" s="145">
        <f>BK506-BK507</f>
        <v>51694.8</v>
      </c>
      <c r="BL508" s="81">
        <f t="shared" si="1835"/>
        <v>-0.52475104632702108</v>
      </c>
      <c r="BM508" s="145">
        <f>BM506-BM507</f>
        <v>50533.4</v>
      </c>
      <c r="BN508" s="81">
        <f t="shared" si="1836"/>
        <v>-3.13333844502377</v>
      </c>
      <c r="BO508" s="145">
        <f>BO506-BO507</f>
        <v>50375.6</v>
      </c>
      <c r="BP508" s="81">
        <f t="shared" si="1837"/>
        <v>-3.0664316556729743</v>
      </c>
      <c r="BQ508" s="145">
        <f>BQ506-BQ507</f>
        <v>50259.5</v>
      </c>
      <c r="BR508" s="81">
        <f t="shared" si="1838"/>
        <v>-2.9730016699002881</v>
      </c>
      <c r="BS508" s="145">
        <f>BS506-BS507</f>
        <v>51631.700000000004</v>
      </c>
      <c r="BT508" s="81">
        <f t="shared" si="1839"/>
        <v>-0.12206256722145925</v>
      </c>
      <c r="BU508" s="145">
        <f>BU506-BU507</f>
        <v>54210.299999999996</v>
      </c>
      <c r="BV508" s="81">
        <f t="shared" si="1840"/>
        <v>7.2761777359132696</v>
      </c>
      <c r="BW508" s="145">
        <f>BW506-BW507</f>
        <v>54136</v>
      </c>
      <c r="BX508" s="81">
        <f t="shared" si="1841"/>
        <v>7.4647249859058684</v>
      </c>
      <c r="BY508" s="145">
        <f>BY506-BY507</f>
        <v>54594.299999999996</v>
      </c>
      <c r="BZ508" s="81">
        <f t="shared" si="1842"/>
        <v>8.6248370954744793</v>
      </c>
      <c r="CA508" s="145">
        <f>CA506-CA507</f>
        <v>56354.299999999996</v>
      </c>
      <c r="CB508" s="81">
        <f t="shared" si="1843"/>
        <v>9.146706383868807</v>
      </c>
      <c r="CC508" s="145">
        <f>CC506-CC507</f>
        <v>58560.899999999994</v>
      </c>
      <c r="CD508" s="81">
        <f t="shared" si="1844"/>
        <v>8.0254121449244931</v>
      </c>
      <c r="CE508" s="145">
        <f>CE506-CE507</f>
        <v>56251.299999999996</v>
      </c>
      <c r="CF508" s="81">
        <f t="shared" si="1845"/>
        <v>3.9073814097827508</v>
      </c>
      <c r="CG508" s="145">
        <f>CG506-CG507</f>
        <v>56710.5</v>
      </c>
      <c r="CH508" s="81">
        <f t="shared" si="1846"/>
        <v>3.876228837076412</v>
      </c>
      <c r="CI508" s="145">
        <f>CI506-CI507</f>
        <v>57571.8</v>
      </c>
      <c r="CJ508" s="81">
        <f t="shared" si="1847"/>
        <v>2.1604385113469737</v>
      </c>
      <c r="CK508" s="145">
        <f>CK506-CK507</f>
        <v>59154.700000000004</v>
      </c>
      <c r="CL508" s="81">
        <f t="shared" si="1848"/>
        <v>1.0139871484215801</v>
      </c>
      <c r="CM508" s="145">
        <f>CM506-CM507</f>
        <v>59093.399999999994</v>
      </c>
      <c r="CN508" s="81">
        <f t="shared" si="1849"/>
        <v>5.052505453207301</v>
      </c>
      <c r="CO508" s="145">
        <f>CO506-CO507</f>
        <v>59116.4</v>
      </c>
      <c r="CP508" s="81">
        <f t="shared" si="1850"/>
        <v>4.2424242424242475</v>
      </c>
      <c r="CQ508" s="145">
        <f>CQ506-CQ507</f>
        <v>60078.2</v>
      </c>
      <c r="CR508" s="81">
        <f t="shared" si="1851"/>
        <v>4.3535202998690181</v>
      </c>
      <c r="CS508" s="145">
        <f>CS506-CS507</f>
        <v>61329.299999999996</v>
      </c>
      <c r="CT508" s="81">
        <f t="shared" si="1852"/>
        <v>3.6761237906708821</v>
      </c>
      <c r="CU508" s="145">
        <f>CU506-CU507</f>
        <v>61608.1</v>
      </c>
      <c r="CV508" s="81">
        <f t="shared" si="1853"/>
        <v>4.2554667695546389</v>
      </c>
      <c r="CW508" s="145">
        <f>CW506-CW507</f>
        <v>61125.700000000004</v>
      </c>
      <c r="CX508" s="81">
        <f t="shared" si="1854"/>
        <v>3.3988876183258743</v>
      </c>
      <c r="CY508" s="145">
        <f>CY506-CY507</f>
        <v>59149.5</v>
      </c>
      <c r="CZ508" s="81">
        <f t="shared" si="1855"/>
        <v>-1.5458186164032828</v>
      </c>
      <c r="DA508" s="145">
        <f>DA506-DA507</f>
        <v>59176.200000000004</v>
      </c>
      <c r="DB508" s="81">
        <f t="shared" si="1856"/>
        <v>-3.5107199984346638</v>
      </c>
      <c r="DC508" s="145">
        <f>DC506-DC507</f>
        <v>59119.1</v>
      </c>
      <c r="DD508" s="81">
        <f t="shared" si="1857"/>
        <v>-4.040053174826042</v>
      </c>
      <c r="DE508" s="145">
        <f>DE506-DE507</f>
        <v>60625.2</v>
      </c>
      <c r="DF508" s="81">
        <f t="shared" si="1858"/>
        <v>-0.81880452902790557</v>
      </c>
      <c r="DG508" s="145">
        <f>DG506-DG507</f>
        <v>61586.2</v>
      </c>
      <c r="DH508" s="81">
        <f t="shared" si="1859"/>
        <v>4.1195614502235856</v>
      </c>
      <c r="DI508" s="145">
        <f>DI506-DI507</f>
        <v>61412</v>
      </c>
      <c r="DJ508" s="81">
        <f t="shared" si="1860"/>
        <v>3.7782081309715609</v>
      </c>
      <c r="DK508" s="145">
        <f>DK506-DK507</f>
        <v>62283.799999999996</v>
      </c>
      <c r="DL508" s="81">
        <f t="shared" si="1861"/>
        <v>5.3530923170346023</v>
      </c>
      <c r="DM508" s="145">
        <f>DM506-DM507</f>
        <v>62754.1</v>
      </c>
      <c r="DN508" s="81">
        <f t="shared" si="1862"/>
        <v>3.5115760442852251</v>
      </c>
      <c r="DO508" s="145">
        <f>DO506-DO507</f>
        <v>61702.400000000001</v>
      </c>
      <c r="DP508" s="81">
        <f t="shared" si="1862"/>
        <v>0.18867863255080941</v>
      </c>
      <c r="DQ508" s="145">
        <f>DQ506-DQ507</f>
        <v>61481.8</v>
      </c>
      <c r="DR508" s="81">
        <f t="shared" si="1863"/>
        <v>0.11365856835798827</v>
      </c>
      <c r="DS508" s="145">
        <f>DS506-DS507</f>
        <v>60573.599999999999</v>
      </c>
      <c r="DT508" s="81">
        <f t="shared" si="1864"/>
        <v>-2.7458183347836784</v>
      </c>
      <c r="DU508" s="145">
        <f>DU506-DU507</f>
        <v>61767.200000000004</v>
      </c>
      <c r="DV508" s="81">
        <f t="shared" si="1865"/>
        <v>-1.5726462494083937</v>
      </c>
      <c r="DW508" s="145">
        <f>DW506-DW507</f>
        <v>63513.299999999996</v>
      </c>
      <c r="DX508" s="81">
        <f t="shared" si="1866"/>
        <v>2.9348939425370757</v>
      </c>
      <c r="DY508" s="145">
        <f>DY506-DY507</f>
        <v>63454.400000000001</v>
      </c>
      <c r="DZ508" s="81">
        <f t="shared" si="1867"/>
        <v>3.208429161150117</v>
      </c>
      <c r="EA508" s="145">
        <f>EA506-EA507</f>
        <v>61992.5</v>
      </c>
      <c r="EB508" s="81">
        <f t="shared" si="1868"/>
        <v>2.3424396106554779</v>
      </c>
      <c r="EC508" s="145">
        <f>EC506-EC507</f>
        <v>62524.299999999996</v>
      </c>
      <c r="ED508" s="81">
        <f t="shared" si="1869"/>
        <v>1.2257314561773702</v>
      </c>
      <c r="EE508" s="145">
        <f t="shared" ref="EE508:EG508" si="1918">EE506-EE507</f>
        <v>63276.7</v>
      </c>
      <c r="EF508" s="81">
        <f t="shared" si="1870"/>
        <v>-0.37252040123879615</v>
      </c>
      <c r="EG508" s="145">
        <f t="shared" si="1918"/>
        <v>63681.399999999994</v>
      </c>
      <c r="EH508" s="81">
        <f t="shared" si="1871"/>
        <v>0.35773720971279399</v>
      </c>
      <c r="EI508" s="145">
        <f t="shared" ref="EI508" si="1919">EI506-EI507</f>
        <v>63885.599999999999</v>
      </c>
      <c r="EJ508" s="81">
        <f t="shared" si="1872"/>
        <v>3.0537565028027513</v>
      </c>
      <c r="EK508" s="145">
        <f t="shared" ref="EK508:EQ508" si="1920">EK506-EK507</f>
        <v>64671.040736999996</v>
      </c>
      <c r="EL508" s="81">
        <f t="shared" si="1874"/>
        <v>3.4334502537413547</v>
      </c>
      <c r="EM508" s="145">
        <f t="shared" si="1920"/>
        <v>65466.118831842992</v>
      </c>
      <c r="EN508" s="81">
        <f t="shared" si="1876"/>
        <v>3.4600711349406676</v>
      </c>
      <c r="EO508" s="145">
        <f t="shared" si="1920"/>
        <v>66270.952534909709</v>
      </c>
      <c r="EP508" s="81">
        <f t="shared" si="1878"/>
        <v>4.0664189777701365</v>
      </c>
      <c r="EQ508" s="145">
        <f t="shared" si="1920"/>
        <v>67085.661547513053</v>
      </c>
      <c r="ER508" s="81">
        <f t="shared" si="1880"/>
        <v>5.0090498445863441</v>
      </c>
      <c r="ES508" s="327"/>
      <c r="ET508" s="490"/>
      <c r="EU508" s="327"/>
      <c r="EV508" s="145">
        <f t="shared" ref="EV508:FJ508" si="1921">EV506-EV507</f>
        <v>37687.5</v>
      </c>
      <c r="EW508" s="79"/>
      <c r="EX508" s="145">
        <f t="shared" si="1921"/>
        <v>38466.400000000001</v>
      </c>
      <c r="EY508" s="79">
        <f t="shared" si="1881"/>
        <v>2.0667330016583829</v>
      </c>
      <c r="EZ508" s="145"/>
      <c r="FA508" s="79" t="str">
        <f t="shared" si="1882"/>
        <v>NM</v>
      </c>
      <c r="FB508" s="145">
        <f t="shared" si="1921"/>
        <v>42394.7</v>
      </c>
      <c r="FC508" s="79" t="str">
        <f t="shared" si="1883"/>
        <v>NA</v>
      </c>
      <c r="FD508" s="145">
        <f t="shared" si="1921"/>
        <v>44482.1</v>
      </c>
      <c r="FE508" s="79">
        <f t="shared" si="1884"/>
        <v>4.9237286736313779</v>
      </c>
      <c r="FF508" s="145">
        <f t="shared" si="1921"/>
        <v>48547.100000000006</v>
      </c>
      <c r="FG508" s="79">
        <f t="shared" si="1885"/>
        <v>9.1385073996057109</v>
      </c>
      <c r="FH508" s="145">
        <f t="shared" si="1921"/>
        <v>49351.200000000004</v>
      </c>
      <c r="FI508" s="79">
        <f t="shared" si="1886"/>
        <v>1.6563296262804617</v>
      </c>
      <c r="FJ508" s="145">
        <f t="shared" si="1921"/>
        <v>50703.3</v>
      </c>
      <c r="FK508" s="79">
        <f t="shared" si="1887"/>
        <v>2.7397510090940047</v>
      </c>
      <c r="FL508" s="145">
        <f>FL506-FL507</f>
        <v>52210.5</v>
      </c>
      <c r="FM508" s="79">
        <f t="shared" si="1888"/>
        <v>2.9725875830567183</v>
      </c>
      <c r="FN508" s="145">
        <f>FN506-FN507</f>
        <v>51969.2</v>
      </c>
      <c r="FO508" s="79">
        <f t="shared" si="1889"/>
        <v>-0.46216757165704614</v>
      </c>
      <c r="FP508" s="145">
        <f>FP506-FP507</f>
        <v>50375.6</v>
      </c>
      <c r="FQ508" s="79">
        <f t="shared" si="1890"/>
        <v>-3.0664316556729743</v>
      </c>
      <c r="FR508" s="145">
        <f>FR506-FR507</f>
        <v>54136</v>
      </c>
      <c r="FS508" s="79">
        <f t="shared" si="1891"/>
        <v>7.4647249859058684</v>
      </c>
      <c r="FT508" s="145">
        <f>FT506-FT507</f>
        <v>56251.299999999996</v>
      </c>
      <c r="FU508" s="79">
        <f t="shared" si="1892"/>
        <v>3.9073814097827508</v>
      </c>
      <c r="FV508" s="145">
        <f>FV506-FV507</f>
        <v>59093.399999999994</v>
      </c>
      <c r="FW508" s="79">
        <f t="shared" si="1893"/>
        <v>5.052505453207301</v>
      </c>
      <c r="FX508" s="145">
        <f>FX506-FX507</f>
        <v>61608.1</v>
      </c>
      <c r="FY508" s="79">
        <f t="shared" si="1894"/>
        <v>4.2554667695546389</v>
      </c>
      <c r="FZ508" s="145">
        <f>FZ506-FZ507</f>
        <v>59119.1</v>
      </c>
      <c r="GA508" s="79">
        <f t="shared" si="1895"/>
        <v>-4.040053174826042</v>
      </c>
      <c r="GB508" s="145">
        <f>GB506-GB507</f>
        <v>62283.799999999996</v>
      </c>
      <c r="GC508" s="79">
        <f t="shared" si="1895"/>
        <v>5.3530923170346023</v>
      </c>
      <c r="GD508" s="145">
        <f>GD506-GD507</f>
        <v>60573.599999999999</v>
      </c>
      <c r="GE508" s="79">
        <f t="shared" si="1895"/>
        <v>-2.7458183347836784</v>
      </c>
      <c r="GF508" s="145">
        <f>GF506-GF507</f>
        <v>61992.5</v>
      </c>
      <c r="GG508" s="79">
        <f t="shared" si="1895"/>
        <v>2.3424396106554779</v>
      </c>
      <c r="GH508" s="145">
        <f>GH506-GH507</f>
        <v>63885.599999999999</v>
      </c>
      <c r="GI508" s="79">
        <f t="shared" si="1895"/>
        <v>3.0537565028027513</v>
      </c>
      <c r="GJ508" s="145">
        <f>GJ506-GJ507</f>
        <v>67085.661547513053</v>
      </c>
      <c r="GK508" s="79">
        <f t="shared" si="1895"/>
        <v>5.0090498445863441</v>
      </c>
      <c r="GL508" s="145">
        <f>GL506-GL507</f>
        <v>70446.319624888711</v>
      </c>
      <c r="GM508" s="79">
        <f t="shared" si="1895"/>
        <v>5.0095027757838917</v>
      </c>
      <c r="GN508" s="145">
        <f>GN506-GN507</f>
        <v>73975.010606133146</v>
      </c>
      <c r="GO508" s="79">
        <f t="shared" si="1895"/>
        <v>5.0090494436529021</v>
      </c>
      <c r="GP508" s="145">
        <f>GP506-GP507</f>
        <v>77680.136136439804</v>
      </c>
      <c r="GQ508" s="79">
        <f t="shared" si="1895"/>
        <v>5.0086177750402028</v>
      </c>
      <c r="GR508" s="145">
        <f>GR506-GR507</f>
        <v>81570.517943261802</v>
      </c>
      <c r="GS508" s="79">
        <f t="shared" si="1896"/>
        <v>5.0082067312405387</v>
      </c>
      <c r="GT508" s="79">
        <f t="shared" si="1897"/>
        <v>5.0088853131396105</v>
      </c>
    </row>
    <row r="509" spans="1:286" ht="12.75" customHeight="1" x14ac:dyDescent="0.2">
      <c r="A509" s="1"/>
      <c r="B509" s="2" t="s">
        <v>126</v>
      </c>
      <c r="C509" s="79"/>
      <c r="D509" s="79"/>
      <c r="E509" s="145">
        <f>E508-E502</f>
        <v>40775.599999999999</v>
      </c>
      <c r="F509" s="145"/>
      <c r="G509" s="145">
        <f>G508-G502</f>
        <v>40789.599999999999</v>
      </c>
      <c r="H509" s="145"/>
      <c r="I509" s="145">
        <f>I508-I502</f>
        <v>41983.6</v>
      </c>
      <c r="J509" s="145"/>
      <c r="K509" s="145">
        <f>K508-K502</f>
        <v>42351.6</v>
      </c>
      <c r="L509" s="79"/>
      <c r="M509" s="145">
        <f>M508-M502</f>
        <v>42547.199999999997</v>
      </c>
      <c r="N509" s="79">
        <f t="shared" si="1818"/>
        <v>4.3447551967352949</v>
      </c>
      <c r="O509" s="145">
        <f>O508-O502</f>
        <v>43143.6</v>
      </c>
      <c r="P509" s="79">
        <f t="shared" si="1819"/>
        <v>5.771078902465332</v>
      </c>
      <c r="Q509" s="145">
        <f>Q508-Q502</f>
        <v>43828.299999999996</v>
      </c>
      <c r="R509" s="79">
        <f t="shared" si="1820"/>
        <v>4.3938585542926178</v>
      </c>
      <c r="S509" s="145">
        <f>S508-S502</f>
        <v>44454.2</v>
      </c>
      <c r="T509" s="79">
        <f t="shared" si="1821"/>
        <v>4.9646294354876774</v>
      </c>
      <c r="U509" s="145">
        <f>U508-U502</f>
        <v>45537</v>
      </c>
      <c r="V509" s="79">
        <f t="shared" si="1822"/>
        <v>7.0270194043321466</v>
      </c>
      <c r="W509" s="145">
        <f>W508-W502</f>
        <v>47991.6</v>
      </c>
      <c r="X509" s="79">
        <f t="shared" si="1823"/>
        <v>11.236892609796122</v>
      </c>
      <c r="Y509" s="145">
        <f>Y508-Y502</f>
        <v>47923.400000000009</v>
      </c>
      <c r="Z509" s="79">
        <f t="shared" si="1824"/>
        <v>9.3435063646091887</v>
      </c>
      <c r="AA509" s="267">
        <f>AA508-AA502</f>
        <v>48514.600000000006</v>
      </c>
      <c r="AB509" s="79">
        <f t="shared" si="1825"/>
        <v>9.1338951100233601</v>
      </c>
      <c r="AC509" s="145">
        <f>AC508-AC502</f>
        <v>48829.1</v>
      </c>
      <c r="AD509" s="79">
        <f t="shared" si="1826"/>
        <v>7.2295056767024635</v>
      </c>
      <c r="AE509" s="145">
        <f>AE508-AE502</f>
        <v>47725.1</v>
      </c>
      <c r="AF509" s="79">
        <f t="shared" si="1827"/>
        <v>-0.55530551179789889</v>
      </c>
      <c r="AG509" s="145">
        <f>AG508-AG502</f>
        <v>48441.7</v>
      </c>
      <c r="AH509" s="79">
        <f t="shared" si="1828"/>
        <v>1.0815175884849371</v>
      </c>
      <c r="AI509" s="145">
        <f>AI508-AI502</f>
        <v>49319.500000000007</v>
      </c>
      <c r="AJ509" s="79">
        <f t="shared" si="1829"/>
        <v>1.6590881920081735</v>
      </c>
      <c r="AK509" s="145">
        <f>AK508-AK502</f>
        <v>49633.2</v>
      </c>
      <c r="AL509" s="79">
        <f t="shared" si="1830"/>
        <v>1.6467639174180926</v>
      </c>
      <c r="AM509" s="145">
        <f>AM508-AM502</f>
        <v>50580.1</v>
      </c>
      <c r="AN509" s="79">
        <f t="shared" si="1831"/>
        <v>5.9821770933953022</v>
      </c>
      <c r="AO509" s="145">
        <f>AO508-AO502</f>
        <v>49949.200000000004</v>
      </c>
      <c r="AP509" s="79">
        <f t="shared" si="1831"/>
        <v>3.1119882250210118</v>
      </c>
      <c r="AQ509" s="145">
        <f>AQ508-AQ502</f>
        <v>50673.700000000004</v>
      </c>
      <c r="AR509" s="79">
        <f t="shared" si="1831"/>
        <v>2.745769928730013</v>
      </c>
      <c r="AS509" s="145">
        <f>AS508-AS502</f>
        <v>50131.8</v>
      </c>
      <c r="AT509" s="81">
        <f t="shared" si="1831"/>
        <v>1.0045695220135098</v>
      </c>
      <c r="AU509" s="145">
        <f>AU508-AU502</f>
        <v>50322.600000000006</v>
      </c>
      <c r="AV509" s="81">
        <f t="shared" si="1831"/>
        <v>-0.50909349724495012</v>
      </c>
      <c r="AW509" s="145">
        <f>AW508-AW502</f>
        <v>51400</v>
      </c>
      <c r="AX509" s="81">
        <f t="shared" si="1831"/>
        <v>2.9045510238402183</v>
      </c>
      <c r="AY509" s="145">
        <f>AY508-AY502</f>
        <v>52182</v>
      </c>
      <c r="AZ509" s="81">
        <f t="shared" si="1831"/>
        <v>2.9764947102737693</v>
      </c>
      <c r="BA509" s="145">
        <f>BA508-BA502</f>
        <v>51760.200000000004</v>
      </c>
      <c r="BB509" s="81">
        <f t="shared" si="1831"/>
        <v>3.2482376455662987</v>
      </c>
      <c r="BC509" s="145">
        <f>BC508-BC502</f>
        <v>51945.599999999999</v>
      </c>
      <c r="BD509" s="81">
        <f t="shared" si="1831"/>
        <v>3.225191067234201</v>
      </c>
      <c r="BE509" s="145">
        <f>BE508-BE502</f>
        <v>52145.7</v>
      </c>
      <c r="BF509" s="81">
        <f t="shared" si="1832"/>
        <v>1.450778210116721</v>
      </c>
      <c r="BG509" s="145">
        <f>BG508-BG502</f>
        <v>51949</v>
      </c>
      <c r="BH509" s="81">
        <f t="shared" si="1833"/>
        <v>-0.44651412364417054</v>
      </c>
      <c r="BI509" s="145">
        <f>BI508-BI502</f>
        <v>51780.800000000003</v>
      </c>
      <c r="BJ509" s="81">
        <f t="shared" si="1834"/>
        <v>3.9798918860434185E-2</v>
      </c>
      <c r="BK509" s="145">
        <f>BK508-BK502</f>
        <v>51677.4</v>
      </c>
      <c r="BL509" s="81">
        <f t="shared" si="1835"/>
        <v>-0.51630936980224806</v>
      </c>
      <c r="BM509" s="145">
        <f>BM508-BM502</f>
        <v>50519</v>
      </c>
      <c r="BN509" s="81">
        <f t="shared" si="1836"/>
        <v>-3.1195285517310101</v>
      </c>
      <c r="BO509" s="145">
        <f>BO508-BO502</f>
        <v>50365.1</v>
      </c>
      <c r="BP509" s="81">
        <f t="shared" si="1837"/>
        <v>-3.0489518566286233</v>
      </c>
      <c r="BQ509" s="145">
        <f>BQ508-BQ502</f>
        <v>50250.6</v>
      </c>
      <c r="BR509" s="81">
        <f t="shared" si="1838"/>
        <v>-2.9551493990050415</v>
      </c>
      <c r="BS509" s="145">
        <f>BS508-BS502</f>
        <v>51622.100000000006</v>
      </c>
      <c r="BT509" s="81">
        <f t="shared" si="1839"/>
        <v>-0.10701002759425648</v>
      </c>
      <c r="BU509" s="145">
        <f>BU508-BU502</f>
        <v>54199.299999999996</v>
      </c>
      <c r="BV509" s="81">
        <f t="shared" si="1840"/>
        <v>7.2849818880025285</v>
      </c>
      <c r="BW509" s="145">
        <f>BW508-BW502</f>
        <v>54136</v>
      </c>
      <c r="BX509" s="81">
        <f t="shared" si="1841"/>
        <v>7.4871289841576871</v>
      </c>
      <c r="BY509" s="145">
        <f>BY508-BY502</f>
        <v>54594.299999999996</v>
      </c>
      <c r="BZ509" s="81">
        <f t="shared" si="1842"/>
        <v>8.6440758916311431</v>
      </c>
      <c r="CA509" s="145">
        <f>CA508-CA502</f>
        <v>56354.299999999996</v>
      </c>
      <c r="CB509" s="81">
        <f t="shared" si="1843"/>
        <v>9.1670040544650213</v>
      </c>
      <c r="CC509" s="145">
        <f>CC508-CC502</f>
        <v>58560.899999999994</v>
      </c>
      <c r="CD509" s="81">
        <f t="shared" si="1844"/>
        <v>8.047336404713711</v>
      </c>
      <c r="CE509" s="145">
        <f>CE508-CE502</f>
        <v>56251.299999999996</v>
      </c>
      <c r="CF509" s="81">
        <f t="shared" si="1845"/>
        <v>3.9073814097827508</v>
      </c>
      <c r="CG509" s="145">
        <f>CG508-CG502</f>
        <v>56710.5</v>
      </c>
      <c r="CH509" s="81">
        <f t="shared" si="1846"/>
        <v>3.876228837076412</v>
      </c>
      <c r="CI509" s="145">
        <f>CI508-CI502</f>
        <v>57571.8</v>
      </c>
      <c r="CJ509" s="81">
        <f t="shared" si="1847"/>
        <v>2.1604385113469737</v>
      </c>
      <c r="CK509" s="145">
        <f>CK508-CK502</f>
        <v>59154.700000000004</v>
      </c>
      <c r="CL509" s="81">
        <f t="shared" si="1848"/>
        <v>1.0139871484215801</v>
      </c>
      <c r="CM509" s="145">
        <f>CM508-CM502</f>
        <v>59093.399999999994</v>
      </c>
      <c r="CN509" s="81">
        <f t="shared" si="1849"/>
        <v>5.052505453207301</v>
      </c>
      <c r="CO509" s="145">
        <f>CO508-CO502</f>
        <v>59116.4</v>
      </c>
      <c r="CP509" s="81">
        <f t="shared" si="1850"/>
        <v>4.2424242424242475</v>
      </c>
      <c r="CQ509" s="145">
        <f>CQ508-CQ502</f>
        <v>60078.2</v>
      </c>
      <c r="CR509" s="81">
        <f t="shared" si="1851"/>
        <v>4.3535202998690181</v>
      </c>
      <c r="CS509" s="145">
        <f>CS508-CS502</f>
        <v>61329.299999999996</v>
      </c>
      <c r="CT509" s="81">
        <f t="shared" si="1852"/>
        <v>3.6761237906708821</v>
      </c>
      <c r="CU509" s="145">
        <f>CU508-CU502</f>
        <v>61608.1</v>
      </c>
      <c r="CV509" s="81">
        <f t="shared" si="1853"/>
        <v>4.2554667695546389</v>
      </c>
      <c r="CW509" s="145">
        <f>CW508-CW502</f>
        <v>61125.700000000004</v>
      </c>
      <c r="CX509" s="81">
        <f t="shared" si="1854"/>
        <v>3.3988876183258743</v>
      </c>
      <c r="CY509" s="145">
        <f>CY508-CY502</f>
        <v>59149.5</v>
      </c>
      <c r="CZ509" s="81">
        <f t="shared" si="1855"/>
        <v>-1.5458186164032828</v>
      </c>
      <c r="DA509" s="145">
        <f>DA508-DA502</f>
        <v>59176.200000000004</v>
      </c>
      <c r="DB509" s="81">
        <f t="shared" si="1856"/>
        <v>-3.5107199984346638</v>
      </c>
      <c r="DC509" s="145">
        <f>DC508-DC502</f>
        <v>59119.1</v>
      </c>
      <c r="DD509" s="81">
        <f t="shared" si="1857"/>
        <v>-4.040053174826042</v>
      </c>
      <c r="DE509" s="145">
        <f>DE508-DE502</f>
        <v>60625.2</v>
      </c>
      <c r="DF509" s="81">
        <f t="shared" si="1858"/>
        <v>-0.81880452902790557</v>
      </c>
      <c r="DG509" s="145">
        <f>DG508-DG502</f>
        <v>61586.2</v>
      </c>
      <c r="DH509" s="81">
        <f t="shared" si="1859"/>
        <v>4.1195614502235856</v>
      </c>
      <c r="DI509" s="145">
        <f>DI508-DI502</f>
        <v>61412</v>
      </c>
      <c r="DJ509" s="81">
        <f t="shared" si="1860"/>
        <v>3.7782081309715609</v>
      </c>
      <c r="DK509" s="145">
        <f>DK508-DK502</f>
        <v>62283.799999999996</v>
      </c>
      <c r="DL509" s="81">
        <f t="shared" si="1861"/>
        <v>5.3530923170346023</v>
      </c>
      <c r="DM509" s="145">
        <f>DM508-DM502</f>
        <v>62754.1</v>
      </c>
      <c r="DN509" s="81">
        <f t="shared" si="1862"/>
        <v>3.5115760442852251</v>
      </c>
      <c r="DO509" s="145">
        <f>DO508-DO502</f>
        <v>61702.400000000001</v>
      </c>
      <c r="DP509" s="81">
        <f t="shared" si="1862"/>
        <v>0.18867863255080941</v>
      </c>
      <c r="DQ509" s="145">
        <f>DQ508-DQ502</f>
        <v>61481.8</v>
      </c>
      <c r="DR509" s="81">
        <f t="shared" si="1863"/>
        <v>0.11365856835798827</v>
      </c>
      <c r="DS509" s="145">
        <f>DS508-DS502</f>
        <v>60573.599999999999</v>
      </c>
      <c r="DT509" s="81">
        <f t="shared" si="1864"/>
        <v>-2.7458183347836784</v>
      </c>
      <c r="DU509" s="145">
        <f>DU508-DU502</f>
        <v>61767.200000000004</v>
      </c>
      <c r="DV509" s="81">
        <f t="shared" si="1865"/>
        <v>-1.5726462494083937</v>
      </c>
      <c r="DW509" s="145">
        <f>DW508-DW502</f>
        <v>63513.299999999996</v>
      </c>
      <c r="DX509" s="81">
        <f t="shared" si="1866"/>
        <v>2.9348939425370757</v>
      </c>
      <c r="DY509" s="145">
        <f>DY508-DY502</f>
        <v>63454.400000000001</v>
      </c>
      <c r="DZ509" s="81">
        <f t="shared" si="1867"/>
        <v>3.208429161150117</v>
      </c>
      <c r="EA509" s="145">
        <f>EA508-EA502</f>
        <v>61992.5</v>
      </c>
      <c r="EB509" s="81">
        <f t="shared" si="1868"/>
        <v>2.3424396106554779</v>
      </c>
      <c r="EC509" s="145">
        <f>EC508-EC502</f>
        <v>62524.299999999996</v>
      </c>
      <c r="ED509" s="81">
        <f t="shared" si="1869"/>
        <v>1.2257314561773702</v>
      </c>
      <c r="EE509" s="145">
        <f>EE508-EE502</f>
        <v>63276.7</v>
      </c>
      <c r="EF509" s="81">
        <f t="shared" si="1870"/>
        <v>-0.37252040123879615</v>
      </c>
      <c r="EG509" s="145">
        <f>EG508-EG502</f>
        <v>63681.399999999994</v>
      </c>
      <c r="EH509" s="81">
        <f t="shared" si="1871"/>
        <v>0.35773720971279399</v>
      </c>
      <c r="EI509" s="145">
        <f>EI508-EI502</f>
        <v>63885.599999999999</v>
      </c>
      <c r="EJ509" s="81">
        <f t="shared" si="1872"/>
        <v>3.0537565028027513</v>
      </c>
      <c r="EK509" s="145">
        <f t="shared" ref="EK509:EQ509" si="1922">EK508-EK502</f>
        <v>64671.040736999996</v>
      </c>
      <c r="EL509" s="81">
        <f t="shared" si="1874"/>
        <v>3.4334502537413547</v>
      </c>
      <c r="EM509" s="145">
        <f t="shared" si="1922"/>
        <v>65466.118831842992</v>
      </c>
      <c r="EN509" s="81">
        <f t="shared" si="1876"/>
        <v>3.4600711349406676</v>
      </c>
      <c r="EO509" s="145">
        <f t="shared" si="1922"/>
        <v>66270.952534909709</v>
      </c>
      <c r="EP509" s="81">
        <f t="shared" si="1878"/>
        <v>4.0664189777701365</v>
      </c>
      <c r="EQ509" s="145">
        <f t="shared" si="1922"/>
        <v>67085.661547513053</v>
      </c>
      <c r="ER509" s="81">
        <f t="shared" si="1880"/>
        <v>5.0090498445863441</v>
      </c>
      <c r="ES509" s="327"/>
      <c r="ET509" s="490"/>
      <c r="EU509" s="327"/>
      <c r="EV509" s="145">
        <f t="shared" ref="EV509:FJ509" si="1923">EV508-EV502</f>
        <v>37274.5</v>
      </c>
      <c r="EW509" s="79"/>
      <c r="EX509" s="145">
        <f t="shared" si="1923"/>
        <v>38007.300000000003</v>
      </c>
      <c r="EY509" s="79">
        <f t="shared" si="1881"/>
        <v>1.9659552777367972</v>
      </c>
      <c r="EZ509" s="145"/>
      <c r="FA509" s="79" t="str">
        <f t="shared" si="1882"/>
        <v>NM</v>
      </c>
      <c r="FB509" s="145">
        <f t="shared" si="1923"/>
        <v>42351.6</v>
      </c>
      <c r="FC509" s="79" t="str">
        <f t="shared" si="1883"/>
        <v>NA</v>
      </c>
      <c r="FD509" s="145">
        <f t="shared" si="1923"/>
        <v>44454.2</v>
      </c>
      <c r="FE509" s="79">
        <f t="shared" si="1884"/>
        <v>4.9646294354876774</v>
      </c>
      <c r="FF509" s="145">
        <f t="shared" si="1923"/>
        <v>48514.600000000006</v>
      </c>
      <c r="FG509" s="79">
        <f t="shared" si="1885"/>
        <v>9.1338951100233601</v>
      </c>
      <c r="FH509" s="145">
        <f t="shared" si="1923"/>
        <v>49319.500000000007</v>
      </c>
      <c r="FI509" s="79">
        <f t="shared" si="1886"/>
        <v>1.6590881920081735</v>
      </c>
      <c r="FJ509" s="145">
        <f t="shared" si="1923"/>
        <v>50673.700000000004</v>
      </c>
      <c r="FK509" s="79">
        <f t="shared" si="1887"/>
        <v>2.745769928730013</v>
      </c>
      <c r="FL509" s="145">
        <f>FL508-FL502</f>
        <v>52182</v>
      </c>
      <c r="FM509" s="79">
        <f t="shared" si="1888"/>
        <v>2.9764947102737693</v>
      </c>
      <c r="FN509" s="145">
        <f>FN508-FN502</f>
        <v>51949</v>
      </c>
      <c r="FO509" s="79">
        <f t="shared" si="1889"/>
        <v>-0.44651412364417054</v>
      </c>
      <c r="FP509" s="145">
        <f>FP508-FP502</f>
        <v>50365.1</v>
      </c>
      <c r="FQ509" s="79">
        <f t="shared" si="1890"/>
        <v>-3.0489518566286233</v>
      </c>
      <c r="FR509" s="145">
        <f>FR508-FR502</f>
        <v>54136</v>
      </c>
      <c r="FS509" s="79">
        <f t="shared" si="1891"/>
        <v>7.4871289841576871</v>
      </c>
      <c r="FT509" s="145">
        <f>FT508-FT502</f>
        <v>56251.299999999996</v>
      </c>
      <c r="FU509" s="79">
        <f t="shared" si="1892"/>
        <v>3.9073814097827508</v>
      </c>
      <c r="FV509" s="145">
        <f>FV508-FV502</f>
        <v>59093.399999999994</v>
      </c>
      <c r="FW509" s="79">
        <f t="shared" si="1893"/>
        <v>5.052505453207301</v>
      </c>
      <c r="FX509" s="145">
        <f>FX508-FX502</f>
        <v>61608.1</v>
      </c>
      <c r="FY509" s="79">
        <f t="shared" si="1894"/>
        <v>4.2554667695546389</v>
      </c>
      <c r="FZ509" s="145">
        <f>FZ508-FZ502</f>
        <v>59119.1</v>
      </c>
      <c r="GA509" s="79">
        <f t="shared" si="1895"/>
        <v>-4.040053174826042</v>
      </c>
      <c r="GB509" s="145">
        <f>GB508-GB502</f>
        <v>62283.799999999996</v>
      </c>
      <c r="GC509" s="79">
        <f t="shared" si="1895"/>
        <v>5.3530923170346023</v>
      </c>
      <c r="GD509" s="145">
        <f>GD508-GD502</f>
        <v>60573.599999999999</v>
      </c>
      <c r="GE509" s="79">
        <f t="shared" si="1895"/>
        <v>-2.7458183347836784</v>
      </c>
      <c r="GF509" s="145">
        <f>GF508-GF502</f>
        <v>61992.5</v>
      </c>
      <c r="GG509" s="79">
        <f t="shared" si="1895"/>
        <v>2.3424396106554779</v>
      </c>
      <c r="GH509" s="145">
        <f>GH508-GH502</f>
        <v>63885.599999999999</v>
      </c>
      <c r="GI509" s="79">
        <f t="shared" si="1895"/>
        <v>3.0537565028027513</v>
      </c>
      <c r="GJ509" s="145">
        <f>GJ508-GJ502</f>
        <v>67085.661547513053</v>
      </c>
      <c r="GK509" s="79">
        <f t="shared" si="1895"/>
        <v>5.0090498445863441</v>
      </c>
      <c r="GL509" s="145">
        <f>GL508-GL502</f>
        <v>70446.319624888711</v>
      </c>
      <c r="GM509" s="79">
        <f t="shared" si="1895"/>
        <v>5.0095027757838917</v>
      </c>
      <c r="GN509" s="145">
        <f>GN508-GN502</f>
        <v>73975.010606133146</v>
      </c>
      <c r="GO509" s="79">
        <f t="shared" si="1895"/>
        <v>5.0090494436529021</v>
      </c>
      <c r="GP509" s="145">
        <f>GP508-GP502</f>
        <v>77680.136136439804</v>
      </c>
      <c r="GQ509" s="79">
        <f t="shared" si="1895"/>
        <v>5.0086177750402028</v>
      </c>
      <c r="GR509" s="145">
        <f>GR508-GR502</f>
        <v>81570.517943261802</v>
      </c>
      <c r="GS509" s="79">
        <f t="shared" si="1896"/>
        <v>5.0082067312405387</v>
      </c>
      <c r="GT509" s="79">
        <f t="shared" si="1897"/>
        <v>5.0088853131396105</v>
      </c>
    </row>
    <row r="510" spans="1:286" ht="12.75" customHeight="1" x14ac:dyDescent="0.2">
      <c r="A510" s="1"/>
      <c r="B510" s="2" t="s">
        <v>127</v>
      </c>
      <c r="C510" s="79"/>
      <c r="D510" s="79"/>
      <c r="E510" s="145">
        <f>E506-E502-E502</f>
        <v>40953.300000000003</v>
      </c>
      <c r="F510" s="145"/>
      <c r="G510" s="145">
        <f>G506-G502-G502</f>
        <v>40787.499999999993</v>
      </c>
      <c r="H510" s="145"/>
      <c r="I510" s="145">
        <f>I506-I502-I502</f>
        <v>42163.399999999994</v>
      </c>
      <c r="J510" s="145"/>
      <c r="K510" s="145">
        <f>K506-K502-K502</f>
        <v>42356.5</v>
      </c>
      <c r="L510" s="79"/>
      <c r="M510" s="145">
        <f>M506-M502-M502</f>
        <v>42297.9</v>
      </c>
      <c r="N510" s="79">
        <f t="shared" si="1818"/>
        <v>3.2832518991143589</v>
      </c>
      <c r="O510" s="145">
        <f>O506-O502-O502</f>
        <v>43287</v>
      </c>
      <c r="P510" s="79">
        <f t="shared" si="1819"/>
        <v>6.1281029727245029</v>
      </c>
      <c r="Q510" s="145">
        <f>Q506-Q502-Q502</f>
        <v>44437.499999999993</v>
      </c>
      <c r="R510" s="79">
        <f t="shared" si="1820"/>
        <v>5.3935403691353079</v>
      </c>
      <c r="S510" s="145">
        <f>S506-S502-S502</f>
        <v>45203.7</v>
      </c>
      <c r="T510" s="79">
        <f t="shared" si="1821"/>
        <v>6.7219907216129693</v>
      </c>
      <c r="U510" s="145">
        <f>U506-U502-U502</f>
        <v>46270.9</v>
      </c>
      <c r="V510" s="79">
        <f t="shared" si="1822"/>
        <v>9.3929013024287364</v>
      </c>
      <c r="W510" s="145">
        <f>W506-W502-W502</f>
        <v>49304.299999999996</v>
      </c>
      <c r="X510" s="79">
        <f t="shared" si="1823"/>
        <v>13.900940236098581</v>
      </c>
      <c r="Y510" s="145">
        <f>Y506-Y502-Y502</f>
        <v>49277.900000000009</v>
      </c>
      <c r="Z510" s="79">
        <f t="shared" si="1824"/>
        <v>10.892601969057703</v>
      </c>
      <c r="AA510" s="267">
        <f>AA506-AA502-AA502</f>
        <v>49653.3</v>
      </c>
      <c r="AB510" s="79">
        <f t="shared" si="1825"/>
        <v>9.8434420191267691</v>
      </c>
      <c r="AC510" s="145">
        <f>AC506-AC502-AC502</f>
        <v>50412.299999999996</v>
      </c>
      <c r="AD510" s="79">
        <f t="shared" si="1826"/>
        <v>8.9503337951066353</v>
      </c>
      <c r="AE510" s="145">
        <f>AE506-AE502-AE502</f>
        <v>48439.7</v>
      </c>
      <c r="AF510" s="79">
        <f t="shared" si="1827"/>
        <v>-1.7535995846204022</v>
      </c>
      <c r="AG510" s="145">
        <f>AG506-AG502-AG502</f>
        <v>49684.299999999996</v>
      </c>
      <c r="AH510" s="79">
        <f t="shared" si="1828"/>
        <v>0.82471046858731967</v>
      </c>
      <c r="AI510" s="145">
        <f>AI506-AI502-AI502</f>
        <v>50768.900000000009</v>
      </c>
      <c r="AJ510" s="79">
        <f t="shared" si="1829"/>
        <v>2.2467791667422077</v>
      </c>
      <c r="AK510" s="145">
        <f>AK506-AK502-AK502</f>
        <v>50776.4</v>
      </c>
      <c r="AL510" s="79">
        <f t="shared" si="1830"/>
        <v>0.7222443729010708</v>
      </c>
      <c r="AM510" s="145">
        <f>AM506-AM502-AM502</f>
        <v>52370.799999999996</v>
      </c>
      <c r="AN510" s="79">
        <f t="shared" si="1831"/>
        <v>8.1154507563011347</v>
      </c>
      <c r="AO510" s="145">
        <f>AO506-AO502-AO502</f>
        <v>51085.500000000007</v>
      </c>
      <c r="AP510" s="79">
        <f t="shared" si="1831"/>
        <v>2.8202067856445856</v>
      </c>
      <c r="AQ510" s="145">
        <f>AQ506-AQ502-AQ502</f>
        <v>51807.600000000006</v>
      </c>
      <c r="AR510" s="79">
        <f t="shared" si="1831"/>
        <v>2.0459375720174977</v>
      </c>
      <c r="AS510" s="145">
        <f>AS506-AS502-AS502</f>
        <v>50411.900000000009</v>
      </c>
      <c r="AT510" s="81">
        <f t="shared" si="1831"/>
        <v>-0.71785317588484165</v>
      </c>
      <c r="AU510" s="145">
        <f>AU506-AU502-AU502</f>
        <v>50346.700000000004</v>
      </c>
      <c r="AV510" s="81">
        <f t="shared" si="1831"/>
        <v>-3.864940004735451</v>
      </c>
      <c r="AW510" s="145">
        <f>AW506-AW502-AW502</f>
        <v>52115.5</v>
      </c>
      <c r="AX510" s="81">
        <f t="shared" si="1831"/>
        <v>2.0162276967045312</v>
      </c>
      <c r="AY510" s="145">
        <f>AY506-AY502-AY502</f>
        <v>52766.3</v>
      </c>
      <c r="AZ510" s="81">
        <f t="shared" si="1831"/>
        <v>1.850500698739177</v>
      </c>
      <c r="BA510" s="145">
        <f>BA506-BA502-BA502</f>
        <v>52283</v>
      </c>
      <c r="BB510" s="81">
        <f t="shared" si="1831"/>
        <v>3.7116236444172834</v>
      </c>
      <c r="BC510" s="145">
        <f>BC506-BC502-BC502</f>
        <v>52027.399999999994</v>
      </c>
      <c r="BD510" s="81">
        <f t="shared" si="1831"/>
        <v>3.3382525567713373</v>
      </c>
      <c r="BE510" s="145">
        <f>BE506-BE502-BE502</f>
        <v>52521.999999999993</v>
      </c>
      <c r="BF510" s="81">
        <f t="shared" si="1832"/>
        <v>0.77999827306654002</v>
      </c>
      <c r="BG510" s="145">
        <f>BG506-BG502-BG502</f>
        <v>52392.3</v>
      </c>
      <c r="BH510" s="81">
        <f t="shared" si="1833"/>
        <v>-0.70878572118947547</v>
      </c>
      <c r="BI510" s="145">
        <f>BI506-BI502-BI502</f>
        <v>52031.8</v>
      </c>
      <c r="BJ510" s="81">
        <f t="shared" si="1834"/>
        <v>-0.48046210049155214</v>
      </c>
      <c r="BK510" s="145">
        <f>BK506-BK502-BK502</f>
        <v>51733</v>
      </c>
      <c r="BL510" s="81">
        <f t="shared" si="1835"/>
        <v>-0.56585568373587192</v>
      </c>
      <c r="BM510" s="145">
        <f>BM506-BM502-BM502</f>
        <v>49909</v>
      </c>
      <c r="BN510" s="81">
        <f t="shared" si="1836"/>
        <v>-4.9750580709036036</v>
      </c>
      <c r="BO510" s="145">
        <f>BO506-BO502-BO502</f>
        <v>49396.4</v>
      </c>
      <c r="BP510" s="81">
        <f t="shared" si="1837"/>
        <v>-5.7182066830431255</v>
      </c>
      <c r="BQ510" s="145">
        <f>BQ506-BQ502-BQ502</f>
        <v>49161.7</v>
      </c>
      <c r="BR510" s="81">
        <f t="shared" si="1838"/>
        <v>-5.5160498003144376</v>
      </c>
      <c r="BS510" s="145">
        <f>BS506-BS502-BS502</f>
        <v>51320.600000000006</v>
      </c>
      <c r="BT510" s="81">
        <f t="shared" si="1839"/>
        <v>-0.79717008485877816</v>
      </c>
      <c r="BU510" s="145">
        <f>BU506-BU502-BU502</f>
        <v>54453.2</v>
      </c>
      <c r="BV510" s="81">
        <f t="shared" si="1840"/>
        <v>9.1049710473060976</v>
      </c>
      <c r="BW510" s="145">
        <f>BW506-BW502-BW502</f>
        <v>54477</v>
      </c>
      <c r="BX510" s="81">
        <f t="shared" si="1841"/>
        <v>10.28536492537917</v>
      </c>
      <c r="BY510" s="145">
        <f>BY506-BY502-BY502</f>
        <v>54997.2</v>
      </c>
      <c r="BZ510" s="81">
        <f t="shared" si="1842"/>
        <v>11.87001263178451</v>
      </c>
      <c r="CA510" s="145">
        <f>CA506-CA502-CA502</f>
        <v>56792.2</v>
      </c>
      <c r="CB510" s="81">
        <f t="shared" si="1843"/>
        <v>10.661605671017082</v>
      </c>
      <c r="CC510" s="145">
        <f>CC506-CC502-CC502</f>
        <v>59054.7</v>
      </c>
      <c r="CD510" s="81">
        <f t="shared" si="1844"/>
        <v>8.4503757354939637</v>
      </c>
      <c r="CE510" s="145">
        <f>CE506-CE502-CE502</f>
        <v>56602.7</v>
      </c>
      <c r="CF510" s="81">
        <f t="shared" si="1845"/>
        <v>3.9020136938524352</v>
      </c>
      <c r="CG510" s="145">
        <f>CG506-CG502-CG502</f>
        <v>57116.800000000003</v>
      </c>
      <c r="CH510" s="81">
        <f t="shared" si="1846"/>
        <v>3.8540143861869547</v>
      </c>
      <c r="CI510" s="145">
        <f>CI506-CI502-CI502</f>
        <v>58015.8</v>
      </c>
      <c r="CJ510" s="81">
        <f t="shared" si="1847"/>
        <v>2.1545212194632457</v>
      </c>
      <c r="CK510" s="145">
        <f>CK506-CK502-CK502</f>
        <v>60040.9</v>
      </c>
      <c r="CL510" s="81">
        <f t="shared" si="1848"/>
        <v>1.6699771567716182</v>
      </c>
      <c r="CM510" s="145">
        <f>CM506-CM502-CM502</f>
        <v>59555.199999999997</v>
      </c>
      <c r="CN510" s="81">
        <f t="shared" si="1849"/>
        <v>5.2161822669236635</v>
      </c>
      <c r="CO510" s="145">
        <f>CO506-CO502-CO502</f>
        <v>59571.8</v>
      </c>
      <c r="CP510" s="81">
        <f t="shared" si="1850"/>
        <v>4.2982099837525878</v>
      </c>
      <c r="CQ510" s="145">
        <f>CQ506-CQ502-CQ502</f>
        <v>60678.7</v>
      </c>
      <c r="CR510" s="81">
        <f t="shared" si="1851"/>
        <v>4.5899565290834499</v>
      </c>
      <c r="CS510" s="145">
        <f>CS506-CS502-CS502</f>
        <v>62119.6</v>
      </c>
      <c r="CT510" s="81">
        <f t="shared" si="1852"/>
        <v>3.4621399745839776</v>
      </c>
      <c r="CU510" s="145">
        <f>CU506-CU502-CU502</f>
        <v>62236.1</v>
      </c>
      <c r="CV510" s="81">
        <f t="shared" si="1853"/>
        <v>4.5015380688840034</v>
      </c>
      <c r="CW510" s="145">
        <f>CW506-CW502-CW502</f>
        <v>61611.4</v>
      </c>
      <c r="CX510" s="81">
        <f t="shared" si="1854"/>
        <v>3.4237676215927548</v>
      </c>
      <c r="CY510" s="145">
        <f>CY506-CY502-CY502</f>
        <v>59366.2</v>
      </c>
      <c r="CZ510" s="81">
        <f t="shared" si="1855"/>
        <v>-2.1630324974002413</v>
      </c>
      <c r="DA510" s="145">
        <f>DA506-DA502-DA502</f>
        <v>59585.8</v>
      </c>
      <c r="DB510" s="81">
        <f t="shared" si="1856"/>
        <v>-4.0789058525811388</v>
      </c>
      <c r="DC510" s="145">
        <f>DC506-DC502-DC502</f>
        <v>59374.1</v>
      </c>
      <c r="DD510" s="81">
        <f t="shared" si="1857"/>
        <v>-4.598617201270649</v>
      </c>
      <c r="DE510" s="145">
        <f>DE506-DE502-DE502</f>
        <v>61078.6</v>
      </c>
      <c r="DF510" s="81">
        <f t="shared" si="1858"/>
        <v>-0.86477502540114326</v>
      </c>
      <c r="DG510" s="145">
        <f>DG506-DG502-DG502</f>
        <v>62218.1</v>
      </c>
      <c r="DH510" s="81">
        <f t="shared" si="1859"/>
        <v>4.8039119903244609</v>
      </c>
      <c r="DI510" s="145">
        <f>DI506-DI502-DI502</f>
        <v>61960.6</v>
      </c>
      <c r="DJ510" s="81">
        <f t="shared" si="1860"/>
        <v>3.9855133270007226</v>
      </c>
      <c r="DK510" s="145">
        <f>DK506-DK502-DK502</f>
        <v>62450.2</v>
      </c>
      <c r="DL510" s="81">
        <f t="shared" si="1861"/>
        <v>5.1808785312114081</v>
      </c>
      <c r="DM510" s="145">
        <f>DM506-DM502-DM502</f>
        <v>63014.5</v>
      </c>
      <c r="DN510" s="81">
        <f t="shared" si="1862"/>
        <v>3.1695225496327639</v>
      </c>
      <c r="DO510" s="145">
        <f>DO506-DO502-DO502</f>
        <v>61706.8</v>
      </c>
      <c r="DP510" s="81">
        <f t="shared" si="1862"/>
        <v>-0.82178658621847589</v>
      </c>
      <c r="DQ510" s="145">
        <f>DQ506-DQ502-DQ502</f>
        <v>61503.8</v>
      </c>
      <c r="DR510" s="81">
        <f t="shared" si="1863"/>
        <v>-0.73724269939283715</v>
      </c>
      <c r="DS510" s="145">
        <f>DS506-DS502-DS502</f>
        <v>60589.7</v>
      </c>
      <c r="DT510" s="81">
        <f t="shared" si="1864"/>
        <v>-2.9791738056883732</v>
      </c>
      <c r="DU510" s="145">
        <f>DU506-DU502-DU502</f>
        <v>61967.9</v>
      </c>
      <c r="DV510" s="81">
        <f t="shared" si="1865"/>
        <v>-1.6608875734949846</v>
      </c>
      <c r="DW510" s="145">
        <f>DW506-DW502-DW502</f>
        <v>63853.1</v>
      </c>
      <c r="DX510" s="81">
        <f t="shared" si="1866"/>
        <v>3.4782228214718547</v>
      </c>
      <c r="DY510" s="145">
        <f>DY506-DY502-DY502</f>
        <v>63905.1</v>
      </c>
      <c r="DZ510" s="81">
        <f t="shared" si="1867"/>
        <v>3.9043116035106795</v>
      </c>
      <c r="EA510" s="145">
        <f>EA506-EA502-EA502</f>
        <v>61941.5</v>
      </c>
      <c r="EB510" s="81">
        <f t="shared" si="1868"/>
        <v>2.2310722779614434</v>
      </c>
      <c r="EC510" s="145">
        <f>EC506-EC502-EC502</f>
        <v>62524.7</v>
      </c>
      <c r="ED510" s="81">
        <f t="shared" si="1869"/>
        <v>0.89852972264672371</v>
      </c>
      <c r="EE510" s="145">
        <f>EE506-EE502-EE502</f>
        <v>63381.599999999999</v>
      </c>
      <c r="EF510" s="81">
        <f t="shared" si="1870"/>
        <v>-0.73841364005819976</v>
      </c>
      <c r="EG510" s="145">
        <f>EG506-EG502-EG502</f>
        <v>63805.7</v>
      </c>
      <c r="EH510" s="81">
        <f t="shared" si="1871"/>
        <v>-0.15554314131422942</v>
      </c>
      <c r="EI510" s="145">
        <f>EI506-EI502-EI502</f>
        <v>64013.1</v>
      </c>
      <c r="EJ510" s="81">
        <f t="shared" si="1872"/>
        <v>3.3444459691805983</v>
      </c>
      <c r="EK510" s="145">
        <f t="shared" ref="EK510:EQ510" si="1924">EK506-EK502-EK502</f>
        <v>64798.540736999996</v>
      </c>
      <c r="EL510" s="81">
        <f t="shared" si="1874"/>
        <v>3.6367079522172885</v>
      </c>
      <c r="EM510" s="145">
        <f t="shared" si="1924"/>
        <v>65593.618831842992</v>
      </c>
      <c r="EN510" s="81">
        <f t="shared" si="1876"/>
        <v>3.4900015648752891</v>
      </c>
      <c r="EO510" s="145">
        <f t="shared" si="1924"/>
        <v>66398.452534909709</v>
      </c>
      <c r="EP510" s="81">
        <f t="shared" si="1878"/>
        <v>4.0635124054899663</v>
      </c>
      <c r="EQ510" s="145">
        <f t="shared" si="1924"/>
        <v>67213.161547513053</v>
      </c>
      <c r="ER510" s="81">
        <f t="shared" si="1880"/>
        <v>4.9990729202507911</v>
      </c>
      <c r="ES510" s="327"/>
      <c r="ET510" s="490"/>
      <c r="EU510" s="327"/>
      <c r="EV510" s="145">
        <f>EV506-EV502-EV502</f>
        <v>37776.199999999997</v>
      </c>
      <c r="EW510" s="79"/>
      <c r="EX510" s="145">
        <f>EX506-EX502-EX502</f>
        <v>37529.300000000003</v>
      </c>
      <c r="EY510" s="79">
        <f t="shared" si="1881"/>
        <v>-0.65358612036148234</v>
      </c>
      <c r="EZ510" s="145"/>
      <c r="FA510" s="79" t="str">
        <f t="shared" si="1882"/>
        <v>NM</v>
      </c>
      <c r="FB510" s="145">
        <f>FB506-FB502-FB502</f>
        <v>42356.5</v>
      </c>
      <c r="FC510" s="79" t="str">
        <f t="shared" si="1883"/>
        <v>NA</v>
      </c>
      <c r="FD510" s="145">
        <f>FD506-FD502-FD502</f>
        <v>45203.7</v>
      </c>
      <c r="FE510" s="79">
        <f t="shared" si="1884"/>
        <v>6.7219907216129693</v>
      </c>
      <c r="FF510" s="145">
        <f>FF506-FF502-FF502</f>
        <v>49653.3</v>
      </c>
      <c r="FG510" s="79">
        <f t="shared" si="1885"/>
        <v>9.8434420191267691</v>
      </c>
      <c r="FH510" s="145">
        <f>FH506-FH502-FH502</f>
        <v>50768.900000000009</v>
      </c>
      <c r="FI510" s="79">
        <f t="shared" si="1886"/>
        <v>2.2467791667422077</v>
      </c>
      <c r="FJ510" s="145">
        <f>FJ506-FJ502-FJ502</f>
        <v>51807.600000000006</v>
      </c>
      <c r="FK510" s="79">
        <f t="shared" si="1887"/>
        <v>2.0459375720174977</v>
      </c>
      <c r="FL510" s="145">
        <f>FL506-FL502-FL502</f>
        <v>52766.3</v>
      </c>
      <c r="FM510" s="79">
        <f t="shared" si="1888"/>
        <v>1.850500698739177</v>
      </c>
      <c r="FN510" s="145">
        <f>FN506-FN502-FN502</f>
        <v>52392.3</v>
      </c>
      <c r="FO510" s="79">
        <f t="shared" si="1889"/>
        <v>-0.70878572118947547</v>
      </c>
      <c r="FP510" s="145">
        <f>FP506-FP502-FP502</f>
        <v>49396.4</v>
      </c>
      <c r="FQ510" s="79">
        <f t="shared" si="1890"/>
        <v>-5.7182066830431255</v>
      </c>
      <c r="FR510" s="145">
        <f>FR506-FR502-FR502</f>
        <v>54477</v>
      </c>
      <c r="FS510" s="79">
        <f t="shared" si="1891"/>
        <v>10.28536492537917</v>
      </c>
      <c r="FT510" s="145">
        <f>FT506-FT502-FT502</f>
        <v>56602.7</v>
      </c>
      <c r="FU510" s="79">
        <f t="shared" si="1892"/>
        <v>3.9020136938524352</v>
      </c>
      <c r="FV510" s="145">
        <f>FV506-FV502-FV502</f>
        <v>59555.199999999997</v>
      </c>
      <c r="FW510" s="79">
        <f t="shared" si="1893"/>
        <v>5.2161822669236635</v>
      </c>
      <c r="FX510" s="145">
        <f>FX506-FX502-FX502</f>
        <v>62236.1</v>
      </c>
      <c r="FY510" s="79">
        <f t="shared" si="1894"/>
        <v>4.5015380688840034</v>
      </c>
      <c r="FZ510" s="145">
        <f>FZ506-FZ502-FZ502</f>
        <v>59374.1</v>
      </c>
      <c r="GA510" s="79">
        <f t="shared" si="1895"/>
        <v>-4.598617201270649</v>
      </c>
      <c r="GB510" s="145">
        <f>GB506-GB502-GB502</f>
        <v>62450.2</v>
      </c>
      <c r="GC510" s="79">
        <f t="shared" si="1895"/>
        <v>5.1808785312114081</v>
      </c>
      <c r="GD510" s="145">
        <f>GD506-GD502-GD502</f>
        <v>60589.7</v>
      </c>
      <c r="GE510" s="79">
        <f t="shared" si="1895"/>
        <v>-2.9791738056883732</v>
      </c>
      <c r="GF510" s="145">
        <f>GF506-GF502-GF502</f>
        <v>61941.5</v>
      </c>
      <c r="GG510" s="79">
        <f t="shared" si="1895"/>
        <v>2.2310722779614434</v>
      </c>
      <c r="GH510" s="145">
        <f>GH506-GH502-GH502</f>
        <v>64013.1</v>
      </c>
      <c r="GI510" s="79">
        <f t="shared" si="1895"/>
        <v>3.3444459691805983</v>
      </c>
      <c r="GJ510" s="145">
        <f>GJ506-GJ502-GJ502</f>
        <v>67213.161547513053</v>
      </c>
      <c r="GK510" s="79">
        <f t="shared" si="1895"/>
        <v>4.9990729202507911</v>
      </c>
      <c r="GL510" s="145">
        <f>GL506-GL502-GL502</f>
        <v>70573.819624888711</v>
      </c>
      <c r="GM510" s="79">
        <f t="shared" si="1895"/>
        <v>5.0000000000000044</v>
      </c>
      <c r="GN510" s="145">
        <f>GN506-GN502-GN502</f>
        <v>74102.510606133146</v>
      </c>
      <c r="GO510" s="79">
        <f t="shared" si="1895"/>
        <v>5.0000000000000044</v>
      </c>
      <c r="GP510" s="145">
        <f>GP506-GP502-GP502</f>
        <v>77807.636136439804</v>
      </c>
      <c r="GQ510" s="79">
        <f t="shared" si="1895"/>
        <v>5.0000000000000044</v>
      </c>
      <c r="GR510" s="145">
        <f>GR506-GR502-GR502</f>
        <v>81698.017943261802</v>
      </c>
      <c r="GS510" s="79">
        <f t="shared" si="1896"/>
        <v>5.0000000000000044</v>
      </c>
      <c r="GT510" s="79">
        <f t="shared" si="1897"/>
        <v>4.9998145833953123</v>
      </c>
    </row>
    <row r="511" spans="1:286" ht="12.75" customHeight="1" x14ac:dyDescent="0.2">
      <c r="A511" s="1"/>
      <c r="B511" s="2"/>
      <c r="C511" s="79"/>
      <c r="D511" s="79"/>
      <c r="E511" s="145"/>
      <c r="F511" s="145"/>
      <c r="G511" s="145"/>
      <c r="H511" s="145"/>
      <c r="I511" s="145"/>
      <c r="J511" s="145"/>
      <c r="K511" s="145"/>
      <c r="L511" s="79"/>
      <c r="M511" s="145"/>
      <c r="N511" s="79"/>
      <c r="O511" s="145"/>
      <c r="P511" s="79"/>
      <c r="Q511" s="145"/>
      <c r="R511" s="79"/>
      <c r="S511" s="145"/>
      <c r="T511" s="79"/>
      <c r="U511" s="145"/>
      <c r="V511" s="79"/>
      <c r="W511" s="145"/>
      <c r="X511" s="79"/>
      <c r="Y511" s="145"/>
      <c r="Z511" s="79"/>
      <c r="AA511" s="267"/>
      <c r="AB511" s="79"/>
      <c r="AC511" s="145"/>
      <c r="AD511" s="79"/>
      <c r="AE511" s="145"/>
      <c r="AF511" s="79"/>
      <c r="AG511" s="145"/>
      <c r="AH511" s="79"/>
      <c r="AI511" s="145"/>
      <c r="AJ511" s="79"/>
      <c r="AK511" s="145"/>
      <c r="AL511" s="79"/>
      <c r="AM511" s="145"/>
      <c r="AN511" s="79"/>
      <c r="AO511" s="145"/>
      <c r="AP511" s="79"/>
      <c r="AQ511" s="145"/>
      <c r="AR511" s="79"/>
      <c r="AS511" s="145"/>
      <c r="AT511" s="81"/>
      <c r="AU511" s="145"/>
      <c r="AV511" s="81"/>
      <c r="AW511" s="145"/>
      <c r="AX511" s="81"/>
      <c r="AY511" s="145"/>
      <c r="AZ511" s="81"/>
      <c r="BA511" s="145"/>
      <c r="BB511" s="81"/>
      <c r="BC511" s="145"/>
      <c r="BD511" s="81"/>
      <c r="BE511" s="145"/>
      <c r="BF511" s="81"/>
      <c r="BG511" s="145"/>
      <c r="BH511" s="81"/>
      <c r="BI511" s="145"/>
      <c r="BJ511" s="81"/>
      <c r="BK511" s="145"/>
      <c r="BL511" s="81"/>
      <c r="BM511" s="145"/>
      <c r="BN511" s="81"/>
      <c r="BO511" s="145"/>
      <c r="BP511" s="81"/>
      <c r="BQ511" s="145"/>
      <c r="BR511" s="81"/>
      <c r="BS511" s="145"/>
      <c r="BT511" s="81"/>
      <c r="BU511" s="145"/>
      <c r="BV511" s="81"/>
      <c r="BW511" s="145"/>
      <c r="BX511" s="81"/>
      <c r="BY511" s="145"/>
      <c r="BZ511" s="81"/>
      <c r="CA511" s="145"/>
      <c r="CB511" s="81"/>
      <c r="CC511" s="145"/>
      <c r="CD511" s="81"/>
      <c r="CE511" s="145"/>
      <c r="CF511" s="81"/>
      <c r="CG511" s="145"/>
      <c r="CH511" s="81"/>
      <c r="CI511" s="145"/>
      <c r="CJ511" s="81"/>
      <c r="CK511" s="145"/>
      <c r="CL511" s="81"/>
      <c r="CM511" s="145"/>
      <c r="CN511" s="81"/>
      <c r="CO511" s="145"/>
      <c r="CP511" s="81"/>
      <c r="CQ511" s="145"/>
      <c r="CR511" s="81"/>
      <c r="CS511" s="145"/>
      <c r="CT511" s="81"/>
      <c r="CU511" s="145"/>
      <c r="CV511" s="81"/>
      <c r="CW511" s="145"/>
      <c r="CX511" s="81"/>
      <c r="CY511" s="145"/>
      <c r="CZ511" s="81"/>
      <c r="DA511" s="145"/>
      <c r="DB511" s="81"/>
      <c r="DC511" s="145"/>
      <c r="DD511" s="81"/>
      <c r="DE511" s="145"/>
      <c r="DF511" s="81"/>
      <c r="DG511" s="145"/>
      <c r="DH511" s="81"/>
      <c r="DI511" s="145"/>
      <c r="DJ511" s="81"/>
      <c r="DK511" s="145"/>
      <c r="DL511" s="81"/>
      <c r="DM511" s="145"/>
      <c r="DN511" s="81"/>
      <c r="DO511" s="145"/>
      <c r="DP511" s="81"/>
      <c r="DQ511" s="145"/>
      <c r="DR511" s="81"/>
      <c r="DS511" s="145"/>
      <c r="DT511" s="81"/>
      <c r="DU511" s="145"/>
      <c r="DV511" s="81"/>
      <c r="DW511" s="145"/>
      <c r="DX511" s="81"/>
      <c r="DY511" s="145"/>
      <c r="DZ511" s="81"/>
      <c r="EA511" s="145"/>
      <c r="EB511" s="81"/>
      <c r="EC511" s="145"/>
      <c r="ED511" s="81"/>
      <c r="EE511" s="145"/>
      <c r="EF511" s="81"/>
      <c r="EG511" s="145"/>
      <c r="EH511" s="81"/>
      <c r="EI511" s="145"/>
      <c r="EJ511" s="81"/>
      <c r="EK511" s="145"/>
      <c r="EL511" s="81"/>
      <c r="EM511" s="145"/>
      <c r="EN511" s="81"/>
      <c r="EO511" s="145"/>
      <c r="EP511" s="81"/>
      <c r="EQ511" s="145"/>
      <c r="ER511" s="81"/>
      <c r="ES511" s="327"/>
      <c r="ET511" s="490"/>
      <c r="EU511" s="327"/>
      <c r="EV511" s="145"/>
      <c r="EW511" s="79"/>
      <c r="EX511" s="145"/>
      <c r="EY511" s="79"/>
      <c r="EZ511" s="145"/>
      <c r="FA511" s="79"/>
      <c r="FB511" s="145"/>
      <c r="FC511" s="79"/>
      <c r="FD511" s="145"/>
      <c r="FE511" s="79"/>
      <c r="FF511" s="145"/>
      <c r="FG511" s="79"/>
      <c r="FH511" s="145"/>
      <c r="FI511" s="79"/>
      <c r="FJ511" s="145"/>
      <c r="FK511" s="79"/>
      <c r="FL511" s="145"/>
      <c r="FM511" s="79"/>
      <c r="FN511" s="145"/>
      <c r="FO511" s="79"/>
      <c r="FP511" s="145"/>
      <c r="FQ511" s="79"/>
      <c r="FR511" s="145"/>
      <c r="FS511" s="79"/>
      <c r="FT511" s="145"/>
      <c r="FU511" s="79"/>
      <c r="FV511" s="145"/>
      <c r="FW511" s="79"/>
      <c r="FX511" s="145"/>
      <c r="FY511" s="79"/>
      <c r="FZ511" s="145"/>
      <c r="GA511" s="79"/>
      <c r="GB511" s="145"/>
      <c r="GC511" s="79"/>
      <c r="GD511" s="145"/>
      <c r="GE511" s="79"/>
      <c r="GF511" s="145"/>
      <c r="GG511" s="79"/>
      <c r="GH511" s="145"/>
      <c r="GI511" s="79"/>
      <c r="GJ511" s="145"/>
      <c r="GK511" s="79"/>
      <c r="GL511" s="145"/>
      <c r="GM511" s="79"/>
      <c r="GN511" s="145"/>
      <c r="GO511" s="79"/>
      <c r="GP511" s="145"/>
      <c r="GQ511" s="79"/>
      <c r="GR511" s="145"/>
      <c r="GS511" s="79"/>
      <c r="GT511" s="79"/>
    </row>
    <row r="512" spans="1:286" ht="12.75" customHeight="1" x14ac:dyDescent="0.2">
      <c r="A512" s="9" t="s">
        <v>324</v>
      </c>
      <c r="B512" s="377" t="s">
        <v>258</v>
      </c>
      <c r="C512" s="79"/>
      <c r="D512" s="79"/>
      <c r="E512" s="145"/>
      <c r="F512" s="145"/>
      <c r="G512" s="145"/>
      <c r="H512" s="145"/>
      <c r="I512" s="145"/>
      <c r="J512" s="145"/>
      <c r="K512" s="145"/>
      <c r="L512" s="79"/>
      <c r="M512" s="202">
        <v>11.4</v>
      </c>
      <c r="N512" s="79" t="str">
        <f>IF(ISERROR((M512/E512-1)*100),"NA",IF(((M512/E512-1)*100)&gt;100,"NM",IF(((M512/E512-1)*100)&lt;-50,"NM",(M512/E512-1)*100)))</f>
        <v>NA</v>
      </c>
      <c r="O512" s="202">
        <v>12.5</v>
      </c>
      <c r="P512" s="79" t="str">
        <f>IF(ISERROR((O512/G512-1)*100),"NA",IF(((O512/G512-1)*100)&gt;100,"NM",IF(((O512/G512-1)*100)&lt;-50,"NM",(O512/G512-1)*100)))</f>
        <v>NA</v>
      </c>
      <c r="Q512" s="202">
        <v>13.6</v>
      </c>
      <c r="R512" s="79" t="str">
        <f>IF(ISERROR((Q512/I512-1)*100),"NA",IF(((Q512/I512-1)*100)&gt;100,"NM",IF(((Q512/I512-1)*100)&lt;-50,"NM",(Q512/I512-1)*100)))</f>
        <v>NA</v>
      </c>
      <c r="S512" s="202">
        <v>14.5</v>
      </c>
      <c r="T512" s="79" t="str">
        <f>IF(ISERROR((S512/K512-1)*100),"NA",IF(((S512/K512-1)*100)&gt;100,"NM",IF(((S512/K512-1)*100)&lt;-50,"NM",(S512/K512-1)*100)))</f>
        <v>NA</v>
      </c>
      <c r="U512" s="202">
        <v>12</v>
      </c>
      <c r="V512" s="79">
        <f>IF(ISERROR((U512/M512-1)*100),"NA",IF(((U512/M512-1)*100)&gt;100,"NM",IF(((U512/M512-1)*100)&lt;-50,"NM",(U512/M512-1)*100)))</f>
        <v>5.2631578947368363</v>
      </c>
      <c r="W512" s="202">
        <v>10.7</v>
      </c>
      <c r="X512" s="79">
        <f>IF(ISERROR((W512/O512-1)*100),"NA",IF(((W512/O512-1)*100)&gt;100,"NM",IF(((W512/O512-1)*100)&lt;-50,"NM",(W512/O512-1)*100)))</f>
        <v>-14.400000000000002</v>
      </c>
      <c r="Y512" s="202">
        <v>9.8000000000000007</v>
      </c>
      <c r="Z512" s="79">
        <f>IF(ISERROR((Y512/Q512-1)*100),"NA",IF(((Y512/Q512-1)*100)&gt;100,"NM",IF(((Y512/Q512-1)*100)&lt;-50,"NM",(Y512/Q512-1)*100)))</f>
        <v>-27.941176470588225</v>
      </c>
      <c r="AA512" s="154">
        <v>8.8000000000000007</v>
      </c>
      <c r="AB512" s="79">
        <f>IF(ISERROR((AA512/S512-1)*100),"NA",IF(((AA512/S512-1)*100)&gt;100,"NM",IF(((AA512/S512-1)*100)&lt;-50,"NM",(AA512/S512-1)*100)))</f>
        <v>-39.310344827586199</v>
      </c>
      <c r="AC512" s="202">
        <v>8.1999999999999993</v>
      </c>
      <c r="AD512" s="79">
        <f>IF(ISERROR((AC512/U512-1)*100),"NA",IF(((AC512/U512-1)*100)&gt;100,"NM",IF(((AC512/U512-1)*100)&lt;-50,"NM",(AC512/U512-1)*100)))</f>
        <v>-31.666666666666675</v>
      </c>
      <c r="AE512" s="202">
        <v>7.6</v>
      </c>
      <c r="AF512" s="79">
        <f>IF(ISERROR((AE512/W512-1)*100),"NA",IF(((AE512/W512-1)*100)&gt;100,"NM",IF(((AE512/W512-1)*100)&lt;-50,"NM",(AE512/W512-1)*100)))</f>
        <v>-28.971962616822434</v>
      </c>
      <c r="AG512" s="202">
        <v>7.5</v>
      </c>
      <c r="AH512" s="79">
        <f>IF(ISERROR((AG512/Y512-1)*100),"NA",IF(((AG512/Y512-1)*100)&gt;100,"NM",IF(((AG512/Y512-1)*100)&lt;-50,"NM",(AG512/Y512-1)*100)))</f>
        <v>-23.469387755102044</v>
      </c>
      <c r="AI512" s="202">
        <v>7.2</v>
      </c>
      <c r="AJ512" s="79">
        <f>IF(ISERROR((AI512/AA512-1)*100),"NA",IF(((AI512/AA512-1)*100)&gt;100,"NM",IF(((AI512/AA512-1)*100)&lt;-50,"NM",(AI512/AA512-1)*100)))</f>
        <v>-18.181818181818187</v>
      </c>
      <c r="AK512" s="202">
        <v>7.1</v>
      </c>
      <c r="AL512" s="79">
        <f>IF(ISERROR((AK512/AC512-1)*100),"NA",IF(((AK512/AC512-1)*100)&gt;100,"NM",IF(((AK512/AC512-1)*100)&lt;-50,"NM",(AK512/AC512-1)*100)))</f>
        <v>-13.414634146341465</v>
      </c>
      <c r="AM512" s="202">
        <v>7.3</v>
      </c>
      <c r="AN512" s="79">
        <f>IF(ISERROR((AM512/AE512-1)*100),"NA",IF(((AM512/AE512-1)*100)&gt;100,"NM",IF(((AM512/AE512-1)*100)&lt;-50,"NM",(AM512/AE512-1)*100)))</f>
        <v>-3.9473684210526327</v>
      </c>
      <c r="AO512" s="202">
        <v>7.2</v>
      </c>
      <c r="AP512" s="79">
        <f>IF(ISERROR((AO512/AG512-1)*100),"NA",IF(((AO512/AG512-1)*100)&gt;100,"NM",IF(((AO512/AG512-1)*100)&lt;-50,"NM",(AO512/AG512-1)*100)))</f>
        <v>-3.9999999999999925</v>
      </c>
      <c r="AQ512" s="202">
        <v>6.8</v>
      </c>
      <c r="AR512" s="79">
        <f>IF(ISERROR((AQ512/AI512-1)*100),"NA",IF(((AQ512/AI512-1)*100)&gt;100,"NM",IF(((AQ512/AI512-1)*100)&lt;-50,"NM",(AQ512/AI512-1)*100)))</f>
        <v>-5.555555555555558</v>
      </c>
      <c r="AS512" s="202">
        <v>6.3</v>
      </c>
      <c r="AT512" s="81">
        <f>IF(ISERROR((AS512/AK512-1)*100),"NA",IF(((AS512/AK512-1)*100)&gt;100,"NM",IF(((AS512/AK512-1)*100)&lt;-50,"NM",(AS512/AK512-1)*100)))</f>
        <v>-11.267605633802813</v>
      </c>
      <c r="AU512" s="202">
        <v>6.2</v>
      </c>
      <c r="AV512" s="81">
        <f>IF(ISERROR((AU512/AM512-1)*100),"NA",IF(((AU512/AM512-1)*100)&gt;100,"NM",IF(((AU512/AM512-1)*100)&lt;-50,"NM",(AU512/AM512-1)*100)))</f>
        <v>-15.068493150684926</v>
      </c>
      <c r="AW512" s="202">
        <v>6.2</v>
      </c>
      <c r="AX512" s="81">
        <f>IF(ISERROR((AW512/AO512-1)*100),"NA",IF(((AW512/AO512-1)*100)&gt;100,"NM",IF(((AW512/AO512-1)*100)&lt;-50,"NM",(AW512/AO512-1)*100)))</f>
        <v>-13.888888888888884</v>
      </c>
      <c r="AY512" s="202">
        <v>6.4</v>
      </c>
      <c r="AZ512" s="81">
        <f>IF(ISERROR((AY512/AQ512-1)*100),"NA",IF(((AY512/AQ512-1)*100)&gt;100,"NM",IF(((AY512/AQ512-1)*100)&lt;-50,"NM",(AY512/AQ512-1)*100)))</f>
        <v>-5.8823529411764603</v>
      </c>
      <c r="BA512" s="202">
        <v>6.2</v>
      </c>
      <c r="BB512" s="81">
        <f>IF(ISERROR((BA512/AS512-1)*100),"NA",IF(((BA512/AS512-1)*100)&gt;100,"NM",IF(((BA512/AS512-1)*100)&lt;-50,"NM",(BA512/AS512-1)*100)))</f>
        <v>-1.5873015873015817</v>
      </c>
      <c r="BC512" s="202">
        <v>6.4</v>
      </c>
      <c r="BD512" s="81">
        <f>IF(ISERROR((BC512/AU512-1)*100),"NA",IF(((BC512/AU512-1)*100)&gt;100,"NM",IF(((BC512/AU512-1)*100)&lt;-50,"NM",(BC512/AU512-1)*100)))</f>
        <v>3.2258064516129004</v>
      </c>
      <c r="BE512" s="202">
        <v>6.3</v>
      </c>
      <c r="BF512" s="81">
        <f>IF(ISERROR((BE512/AW512-1)*100),"NA",IF(((BE512/AW512-1)*100)&gt;100,"NM",IF(((BE512/AW512-1)*100)&lt;-50,"NM",(BE512/AW512-1)*100)))</f>
        <v>1.6129032258064502</v>
      </c>
      <c r="BG512" s="202">
        <v>5.7</v>
      </c>
      <c r="BH512" s="81"/>
      <c r="BI512" s="202">
        <v>6.2</v>
      </c>
      <c r="BJ512" s="81"/>
      <c r="BK512" s="202">
        <v>6.3</v>
      </c>
      <c r="BL512" s="81">
        <f t="shared" si="1835"/>
        <v>-1.5625000000000111</v>
      </c>
      <c r="BM512" s="202">
        <v>5.6</v>
      </c>
      <c r="BN512" s="81"/>
      <c r="BO512" s="202">
        <v>5.0999999999999996</v>
      </c>
      <c r="BP512" s="81"/>
      <c r="BQ512" s="202">
        <v>5.6</v>
      </c>
      <c r="BR512" s="81"/>
      <c r="BS512" s="202">
        <v>6.2</v>
      </c>
      <c r="BT512" s="81"/>
      <c r="BU512" s="202">
        <v>6.6</v>
      </c>
      <c r="BV512" s="81"/>
      <c r="BW512" s="202">
        <v>6.8</v>
      </c>
      <c r="BX512" s="81"/>
      <c r="BY512" s="202">
        <v>7</v>
      </c>
      <c r="BZ512" s="81"/>
      <c r="CA512" s="202">
        <v>6.5</v>
      </c>
      <c r="CB512" s="81"/>
      <c r="CC512" s="202">
        <v>6.7</v>
      </c>
      <c r="CD512" s="81"/>
      <c r="CE512" s="202">
        <v>6.9</v>
      </c>
      <c r="CF512" s="81"/>
      <c r="CG512" s="202">
        <v>7.1</v>
      </c>
      <c r="CH512" s="81"/>
      <c r="CI512" s="202">
        <v>6.9</v>
      </c>
      <c r="CJ512" s="81"/>
      <c r="CK512" s="202">
        <v>7.5</v>
      </c>
      <c r="CL512" s="81"/>
      <c r="CM512" s="202">
        <v>7.6</v>
      </c>
      <c r="CN512" s="81"/>
      <c r="CO512" s="202">
        <v>6.9</v>
      </c>
      <c r="CP512" s="81"/>
      <c r="CQ512" s="202">
        <v>7</v>
      </c>
      <c r="CR512" s="81"/>
      <c r="CS512" s="202">
        <v>7</v>
      </c>
      <c r="CT512" s="81"/>
      <c r="CU512" s="202">
        <v>7</v>
      </c>
      <c r="CV512" s="81"/>
      <c r="CW512" s="202">
        <v>7.1</v>
      </c>
      <c r="CX512" s="81"/>
      <c r="CY512" s="202">
        <v>7.4</v>
      </c>
      <c r="CZ512" s="81"/>
      <c r="DA512" s="202">
        <v>7.4</v>
      </c>
      <c r="DB512" s="81"/>
      <c r="DC512" s="202">
        <v>7.6</v>
      </c>
      <c r="DD512" s="81"/>
      <c r="DE512" s="202">
        <v>7.5</v>
      </c>
      <c r="DF512" s="81"/>
      <c r="DG512" s="202">
        <v>7.7</v>
      </c>
      <c r="DH512" s="81"/>
      <c r="DI512" s="202">
        <v>7.9</v>
      </c>
      <c r="DJ512" s="81"/>
      <c r="DK512" s="202">
        <v>7.8</v>
      </c>
      <c r="DL512" s="81"/>
      <c r="DM512" s="202">
        <v>7.8</v>
      </c>
      <c r="DN512" s="81"/>
      <c r="DO512" s="202">
        <v>8.1999999999999993</v>
      </c>
      <c r="DP512" s="81"/>
      <c r="DQ512" s="202">
        <v>7.7</v>
      </c>
      <c r="DR512" s="81"/>
      <c r="DS512" s="202">
        <v>7.6</v>
      </c>
      <c r="DT512" s="81"/>
      <c r="DU512" s="202">
        <v>7.6</v>
      </c>
      <c r="DV512" s="81"/>
      <c r="DW512" s="202">
        <v>7.7</v>
      </c>
      <c r="DX512" s="81"/>
      <c r="DY512" s="202">
        <v>7.8</v>
      </c>
      <c r="DZ512" s="81"/>
      <c r="EA512" s="202">
        <v>7.7</v>
      </c>
      <c r="EB512" s="81"/>
      <c r="EC512" s="202">
        <v>7.5</v>
      </c>
      <c r="ED512" s="81"/>
      <c r="EE512" s="202">
        <v>7.4</v>
      </c>
      <c r="EF512" s="81"/>
      <c r="EG512" s="202">
        <v>7.5</v>
      </c>
      <c r="EH512" s="81"/>
      <c r="EI512" s="202">
        <v>7.3</v>
      </c>
      <c r="EJ512" s="81"/>
      <c r="EK512" s="202"/>
      <c r="EL512" s="81"/>
      <c r="EM512" s="202"/>
      <c r="EN512" s="81"/>
      <c r="EO512" s="202"/>
      <c r="EP512" s="81"/>
      <c r="EQ512" s="202"/>
      <c r="ER512" s="81"/>
      <c r="ES512" s="327"/>
      <c r="ET512" s="490"/>
      <c r="EU512" s="327"/>
      <c r="EV512" s="145"/>
      <c r="EW512" s="79"/>
      <c r="EX512" s="145"/>
      <c r="EY512" s="79"/>
      <c r="EZ512" s="145"/>
      <c r="FA512" s="79"/>
      <c r="FB512" s="145"/>
      <c r="FC512" s="79"/>
      <c r="FD512" s="145"/>
      <c r="FE512" s="79"/>
      <c r="FF512" s="145"/>
      <c r="FG512" s="79"/>
      <c r="FH512" s="145"/>
      <c r="FI512" s="79"/>
      <c r="FJ512" s="145"/>
      <c r="FK512" s="79"/>
      <c r="FL512" s="145"/>
      <c r="FM512" s="79"/>
      <c r="FN512" s="145"/>
      <c r="FO512" s="79"/>
      <c r="FP512" s="145"/>
      <c r="FQ512" s="79"/>
      <c r="FR512" s="202"/>
      <c r="FS512" s="79"/>
      <c r="FT512" s="202"/>
      <c r="FU512" s="79"/>
      <c r="FV512" s="202"/>
      <c r="FW512" s="79"/>
      <c r="FX512" s="202"/>
      <c r="FY512" s="79"/>
      <c r="FZ512" s="202"/>
      <c r="GA512" s="79"/>
      <c r="GB512" s="202"/>
      <c r="GC512" s="79"/>
      <c r="GD512" s="202"/>
      <c r="GE512" s="79"/>
      <c r="GF512" s="202"/>
      <c r="GG512" s="79"/>
      <c r="GH512" s="202"/>
      <c r="GI512" s="79"/>
      <c r="GJ512" s="202"/>
      <c r="GK512" s="79"/>
      <c r="GL512" s="202"/>
      <c r="GM512" s="79"/>
      <c r="GN512" s="202"/>
      <c r="GO512" s="79"/>
      <c r="GP512" s="202"/>
      <c r="GQ512" s="79"/>
      <c r="GR512" s="202"/>
      <c r="GS512" s="79"/>
      <c r="GT512" s="79"/>
    </row>
    <row r="513" spans="1:202" ht="12.75" customHeight="1" x14ac:dyDescent="0.2">
      <c r="A513" s="9" t="s">
        <v>447</v>
      </c>
      <c r="B513" s="377" t="s">
        <v>259</v>
      </c>
      <c r="C513" s="79"/>
      <c r="D513" s="79"/>
      <c r="E513" s="145"/>
      <c r="F513" s="145"/>
      <c r="G513" s="145"/>
      <c r="H513" s="145"/>
      <c r="I513" s="145"/>
      <c r="J513" s="145"/>
      <c r="K513" s="145"/>
      <c r="L513" s="79"/>
      <c r="M513" s="131">
        <f>M512*(24025+M530)/100</f>
        <v>2715.1721999999995</v>
      </c>
      <c r="N513" s="79" t="str">
        <f>IF(ISERROR((M513/E513-1)*100),"NA",IF(((M513/E513-1)*100)&gt;100,"NM",IF(((M513/E513-1)*100)&lt;-50,"NM",(M513/E513-1)*100)))</f>
        <v>NA</v>
      </c>
      <c r="O513" s="131">
        <f>O512*(24674+O530)/100</f>
        <v>3106.4875000000002</v>
      </c>
      <c r="P513" s="79" t="str">
        <f>IF(ISERROR((O513/G513-1)*100),"NA",IF(((O513/G513-1)*100)&gt;100,"NM",IF(((O513/G513-1)*100)&lt;-50,"NM",(O513/G513-1)*100)))</f>
        <v>NA</v>
      </c>
      <c r="Q513" s="131">
        <f>Q512*(26148+Q530)/100</f>
        <v>3642.6239999999998</v>
      </c>
      <c r="R513" s="79" t="str">
        <f>IF(ISERROR((Q513/I513-1)*100),"NA",IF(((Q513/I513-1)*100)&gt;100,"NM",IF(((Q513/I513-1)*100)&lt;-50,"NM",(Q513/I513-1)*100)))</f>
        <v>NA</v>
      </c>
      <c r="S513" s="131">
        <f>S512*(27241.8-1806.8)/100</f>
        <v>3688.0749999999998</v>
      </c>
      <c r="T513" s="79" t="str">
        <f>IF(ISERROR((S513/K513-1)*100),"NA",IF(((S513/K513-1)*100)&gt;100,"NM",IF(((S513/K513-1)*100)&lt;-50,"NM",(S513/K513-1)*100)))</f>
        <v>NA</v>
      </c>
      <c r="U513" s="131">
        <f>U512*(27386.4+U530)/100</f>
        <v>3377.6280000000006</v>
      </c>
      <c r="V513" s="79">
        <f>IF(ISERROR((U513/M513-1)*100),"NA",IF(((U513/M513-1)*100)&gt;100,"NM",IF(((U513/M513-1)*100)&lt;-50,"NM",(U513/M513-1)*100)))</f>
        <v>24.398297831717674</v>
      </c>
      <c r="W513" s="131">
        <f>W512*29819.3/100</f>
        <v>3190.6650999999997</v>
      </c>
      <c r="X513" s="79">
        <f>IF(ISERROR((W513/O513-1)*100),"NA",IF(((W513/O513-1)*100)&gt;100,"NM",IF(((W513/O513-1)*100)&lt;-50,"NM",(W513/O513-1)*100)))</f>
        <v>2.709735674133551</v>
      </c>
      <c r="Y513" s="131">
        <f>Y512*(30152.7)/100</f>
        <v>2954.9646000000002</v>
      </c>
      <c r="Z513" s="79">
        <f>IF(ISERROR((Y513/Q513-1)*100),"NA",IF(((Y513/Q513-1)*100)&gt;100,"NM",IF(((Y513/Q513-1)*100)&lt;-50,"NM",(Y513/Q513-1)*100)))</f>
        <v>-18.878132906388345</v>
      </c>
      <c r="AA513" s="126">
        <f>AA512*(31458.2)/100</f>
        <v>2768.3216000000002</v>
      </c>
      <c r="AB513" s="79">
        <f>IF(ISERROR((AA513/S513-1)*100),"NA",IF(((AA513/S513-1)*100)&gt;100,"NM",IF(((AA513/S513-1)*100)&lt;-50,"NM",(AA513/S513-1)*100)))</f>
        <v>-24.938576357584907</v>
      </c>
      <c r="AC513" s="131">
        <f>AC512*(27386.4+AC530)/100</f>
        <v>2378.1558</v>
      </c>
      <c r="AD513" s="79">
        <f>IF(ISERROR((AC513/U513-1)*100),"NA",IF(((AC513/U513-1)*100)&gt;100,"NM",IF(((AC513/U513-1)*100)&lt;-50,"NM",(AC513/U513-1)*100)))</f>
        <v>-29.590949625003127</v>
      </c>
      <c r="AE513" s="131">
        <f>AE512*29732.2/100</f>
        <v>2259.6471999999999</v>
      </c>
      <c r="AF513" s="79">
        <f>IF(ISERROR((AE513/W513-1)*100),"NA",IF(((AE513/W513-1)*100)&gt;100,"NM",IF(((AE513/W513-1)*100)&lt;-50,"NM",(AE513/W513-1)*100)))</f>
        <v>-29.179430332566081</v>
      </c>
      <c r="AG513" s="131">
        <f>AG512*(31225.8)/100</f>
        <v>2341.9349999999999</v>
      </c>
      <c r="AH513" s="79">
        <f>IF(ISERROR((AG513/Y513-1)*100),"NA",IF(((AG513/Y513-1)*100)&gt;100,"NM",IF(((AG513/Y513-1)*100)&lt;-50,"NM",(AG513/Y513-1)*100)))</f>
        <v>-20.745751065850339</v>
      </c>
      <c r="AI513" s="131">
        <f>AI512*(32379.3)/100</f>
        <v>2331.3096</v>
      </c>
      <c r="AJ513" s="79">
        <f>IF(ISERROR((AI513/AA513-1)*100),"NA",IF(((AI513/AA513-1)*100)&gt;100,"NM",IF(((AI513/AA513-1)*100)&lt;-50,"NM",(AI513/AA513-1)*100)))</f>
        <v>-15.786171664448235</v>
      </c>
      <c r="AK513" s="131">
        <f>AK512*(32507.4)/100</f>
        <v>2308.0254</v>
      </c>
      <c r="AL513" s="79">
        <f>IF(ISERROR((AK513/AC513-1)*100),"NA",IF(((AK513/AC513-1)*100)&gt;100,"NM",IF(((AK513/AC513-1)*100)&lt;-50,"NM",(AK513/AC513-1)*100)))</f>
        <v>-2.9489405193722007</v>
      </c>
      <c r="AM513" s="131">
        <f>AM512*(33923.3)/100</f>
        <v>2476.4009000000001</v>
      </c>
      <c r="AN513" s="79">
        <f>IF(ISERROR((AM513/AE513-1)*100),"NA",IF(((AM513/AE513-1)*100)&gt;100,"NM",IF(((AM513/AE513-1)*100)&lt;-50,"NM",(AM513/AE513-1)*100)))</f>
        <v>9.5923691096557064</v>
      </c>
      <c r="AO513" s="131">
        <f>AO512*(34406.3)/100</f>
        <v>2477.2536</v>
      </c>
      <c r="AP513" s="79">
        <f>IF(ISERROR((AO513/AG513-1)*100),"NA",IF(((AO513/AG513-1)*100)&gt;100,"NM",IF(((AO513/AG513-1)*100)&lt;-50,"NM",(AO513/AG513-1)*100)))</f>
        <v>5.778068135964487</v>
      </c>
      <c r="AQ513" s="131">
        <f>AQ512*(34701.4)/100</f>
        <v>2359.6952000000001</v>
      </c>
      <c r="AR513" s="79">
        <f>IF(ISERROR((AQ513/AI513-1)*100),"NA",IF(((AQ513/AI513-1)*100)&gt;100,"NM",IF(((AQ513/AI513-1)*100)&lt;-50,"NM",(AQ513/AI513-1)*100)))</f>
        <v>1.2175817403231148</v>
      </c>
      <c r="AS513" s="131">
        <f>AS512*(33459.5)/100</f>
        <v>2107.9485</v>
      </c>
      <c r="AT513" s="81">
        <f>IF(ISERROR((AS513/AK513-1)*100),"NA",IF(((AS513/AK513-1)*100)&gt;100,"NM",IF(((AS513/AK513-1)*100)&lt;-50,"NM",(AS513/AK513-1)*100)))</f>
        <v>-8.6687477529493346</v>
      </c>
      <c r="AU513" s="131">
        <f>AU512*(32877.2)/100</f>
        <v>2038.3863999999999</v>
      </c>
      <c r="AV513" s="81">
        <f>IF(ISERROR((AU513/AM513-1)*100),"NA",IF(((AU513/AM513-1)*100)&gt;100,"NM",IF(((AU513/AM513-1)*100)&lt;-50,"NM",(AU513/AM513-1)*100)))</f>
        <v>-17.687544048300108</v>
      </c>
      <c r="AW513" s="131">
        <f>AW512*(34456.4)/100</f>
        <v>2136.2968000000001</v>
      </c>
      <c r="AX513" s="81">
        <f>IF(ISERROR((AW513/AO513-1)*100),"NA",IF(((AW513/AO513-1)*100)&gt;100,"NM",IF(((AW513/AO513-1)*100)&lt;-50,"NM",(AW513/AO513-1)*100)))</f>
        <v>-13.763500030840603</v>
      </c>
      <c r="AY513" s="131">
        <f>AY512*(34556.4)/100</f>
        <v>2211.6096000000002</v>
      </c>
      <c r="AZ513" s="81">
        <f>IF(ISERROR((AY513/AQ513-1)*100),"NA",IF(((AY513/AQ513-1)*100)&gt;100,"NM",IF(((AY513/AQ513-1)*100)&lt;-50,"NM",(AY513/AQ513-1)*100)))</f>
        <v>-6.2756240721259182</v>
      </c>
      <c r="BA513" s="131">
        <f>BA512*(34839.9)/100</f>
        <v>2160.0738000000001</v>
      </c>
      <c r="BB513" s="81">
        <f>IF(ISERROR((BA513/AS513-1)*100),"NA",IF(((BA513/AS513-1)*100)&gt;100,"NM",IF(((BA513/AS513-1)*100)&lt;-50,"NM",(BA513/AS513-1)*100)))</f>
        <v>2.4727976039262911</v>
      </c>
      <c r="BC513" s="131">
        <f>BC512*(34253.6)/100</f>
        <v>2192.2303999999999</v>
      </c>
      <c r="BD513" s="81">
        <f>IF(ISERROR((BC513/AU513-1)*100),"NA",IF(((BC513/AU513-1)*100)&gt;100,"NM",IF(((BC513/AU513-1)*100)&lt;-50,"NM",(BC513/AU513-1)*100)))</f>
        <v>7.5473423488304325</v>
      </c>
      <c r="BE513" s="131">
        <f>BE512*(34827.7)/100</f>
        <v>2194.1450999999997</v>
      </c>
      <c r="BF513" s="81">
        <f>IF(ISERROR((BE513/AW513-1)*100),"NA",IF(((BE513/AW513-1)*100)&gt;100,"NM",IF(((BE513/AW513-1)*100)&lt;-50,"NM",(BE513/AW513-1)*100)))</f>
        <v>2.7078774821925222</v>
      </c>
      <c r="BG513" s="131">
        <f>BG512*(35338.7)/100</f>
        <v>2014.3059000000001</v>
      </c>
      <c r="BH513" s="81"/>
      <c r="BI513" s="131">
        <f>BI512*(35327.2)/100</f>
        <v>2190.2864</v>
      </c>
      <c r="BJ513" s="81"/>
      <c r="BK513" s="131">
        <f>BK512*(35053.1)/100</f>
        <v>2208.3453</v>
      </c>
      <c r="BL513" s="81">
        <f t="shared" si="1835"/>
        <v>0.73509153052526699</v>
      </c>
      <c r="BM513" s="131">
        <f>BM512*(32878.2)/100</f>
        <v>1841.1791999999998</v>
      </c>
      <c r="BN513" s="81"/>
      <c r="BO513" s="131">
        <f>(BO512/100)*31926</f>
        <v>1628.2259999999999</v>
      </c>
      <c r="BP513" s="81"/>
      <c r="BQ513" s="131">
        <f>(BQ512/100)*34837.9</f>
        <v>1950.9223999999999</v>
      </c>
      <c r="BR513" s="81"/>
      <c r="BS513" s="131">
        <f>(BS512/100)*34902.8</f>
        <v>2163.9736000000003</v>
      </c>
      <c r="BT513" s="81"/>
      <c r="BU513" s="131">
        <f>(BU512/100)*(37593.7)</f>
        <v>2481.1842000000001</v>
      </c>
      <c r="BV513" s="81"/>
      <c r="BW513" s="131">
        <f>(BW512/100)*(37917.4)</f>
        <v>2578.3832000000002</v>
      </c>
      <c r="BX513" s="81"/>
      <c r="BY513" s="131">
        <f>(BY512/100)*(38719.1)</f>
        <v>2710.337</v>
      </c>
      <c r="BZ513" s="81"/>
      <c r="CA513" s="131">
        <f>(CA512/100)*(39760.3)</f>
        <v>2584.4195000000004</v>
      </c>
      <c r="CB513" s="81"/>
      <c r="CC513" s="131">
        <f>(CC512/100)*(41747.6)</f>
        <v>2797.0891999999999</v>
      </c>
      <c r="CD513" s="81"/>
      <c r="CE513" s="131">
        <f>(CE512/100)*(40036)</f>
        <v>2762.4840000000004</v>
      </c>
      <c r="CF513" s="81"/>
      <c r="CG513" s="131">
        <f>(CG512/100)*(40315.1)</f>
        <v>2862.3720999999996</v>
      </c>
      <c r="CH513" s="81"/>
      <c r="CI513" s="131">
        <f>(CI512/100)*(40768.4)</f>
        <v>2813.0196000000005</v>
      </c>
      <c r="CJ513" s="81"/>
      <c r="CK513" s="131">
        <v>2756</v>
      </c>
      <c r="CL513" s="81"/>
      <c r="CM513" s="131">
        <f>(CM512/100)*42486.7</f>
        <v>3228.9891999999995</v>
      </c>
      <c r="CN513" s="81"/>
      <c r="CO513" s="131">
        <f>(CO512/100)*42411.2</f>
        <v>2926.3728000000001</v>
      </c>
      <c r="CP513" s="81"/>
      <c r="CQ513" s="131">
        <f>(CQ512/100)*43516.9</f>
        <v>3046.1830000000004</v>
      </c>
      <c r="CR513" s="81"/>
      <c r="CS513" s="131">
        <f>(CS512/100)*44744.7</f>
        <v>3132.1289999999999</v>
      </c>
      <c r="CT513" s="81"/>
      <c r="CU513" s="131">
        <f>(CU512/100)*44973</f>
        <v>3148.11</v>
      </c>
      <c r="CV513" s="81"/>
      <c r="CW513" s="131">
        <f>(CW512/100)*44436.5</f>
        <v>3154.9914999999996</v>
      </c>
      <c r="CX513" s="81"/>
      <c r="CY513" s="131">
        <f>(CY512/100)*42594.2</f>
        <v>3151.9708000000001</v>
      </c>
      <c r="CZ513" s="81"/>
      <c r="DA513" s="131">
        <f>(DA512/100)*42597.6</f>
        <v>3152.2224000000001</v>
      </c>
      <c r="DB513" s="81"/>
      <c r="DC513" s="131">
        <f>(DC512/100)*42344.4</f>
        <v>3218.1743999999999</v>
      </c>
      <c r="DD513" s="81"/>
      <c r="DE513" s="131">
        <f>(DE512/100)*43666.8</f>
        <v>3275.01</v>
      </c>
      <c r="DF513" s="81"/>
      <c r="DG513" s="131">
        <f>(DG512/100)*44900.9</f>
        <v>3457.3693000000003</v>
      </c>
      <c r="DH513" s="81"/>
      <c r="DI513" s="131">
        <f>(DI512/100)*44715.2</f>
        <v>3532.5007999999998</v>
      </c>
      <c r="DJ513" s="81"/>
      <c r="DK513" s="131">
        <f>(DK512/100)*45064.9</f>
        <v>3515.0622000000003</v>
      </c>
      <c r="DL513" s="81"/>
      <c r="DM513" s="131">
        <f>(DM512/100)*45852.7</f>
        <v>3576.5105999999996</v>
      </c>
      <c r="DN513" s="81"/>
      <c r="DO513" s="131">
        <f>(DO512/100)*44570.4</f>
        <v>3654.7727999999997</v>
      </c>
      <c r="DP513" s="81"/>
      <c r="DQ513" s="131">
        <f>(DQ512/100)*44401.5</f>
        <v>3418.9155000000001</v>
      </c>
      <c r="DR513" s="81"/>
      <c r="DS513" s="131">
        <f>(DS512/100)*43354.4</f>
        <v>3294.9344000000001</v>
      </c>
      <c r="DT513" s="81"/>
      <c r="DU513" s="131">
        <f>(DU512/100)*44669.2</f>
        <v>3394.8591999999999</v>
      </c>
      <c r="DV513" s="81"/>
      <c r="DW513" s="131">
        <f>(DW512/100)*45862</f>
        <v>3531.3739999999998</v>
      </c>
      <c r="DX513" s="81"/>
      <c r="DY513" s="131">
        <f>(DY512/100)*46315.5</f>
        <v>3612.6089999999999</v>
      </c>
      <c r="DZ513" s="81"/>
      <c r="EA513" s="131">
        <f>(EA512/100)*44217.3</f>
        <v>3404.7321000000002</v>
      </c>
      <c r="EB513" s="81"/>
      <c r="EC513" s="131">
        <f>(EC512/100)*44623.2</f>
        <v>3346.74</v>
      </c>
      <c r="ED513" s="81"/>
      <c r="EE513" s="131">
        <f>(EE512/100)*45118.6</f>
        <v>3338.7764000000002</v>
      </c>
      <c r="EF513" s="81"/>
      <c r="EG513" s="131">
        <f>(EG512/100)*45422.6</f>
        <v>3406.6949999999997</v>
      </c>
      <c r="EH513" s="81"/>
      <c r="EI513" s="131">
        <f>(EI512/100)*45457.8</f>
        <v>3318.4194000000002</v>
      </c>
      <c r="EJ513" s="81"/>
      <c r="EK513" s="131"/>
      <c r="EL513" s="81"/>
      <c r="EM513" s="131"/>
      <c r="EN513" s="81"/>
      <c r="EO513" s="131"/>
      <c r="EP513" s="81"/>
      <c r="EQ513" s="131"/>
      <c r="ER513" s="81"/>
      <c r="ES513" s="327"/>
      <c r="ET513" s="490"/>
      <c r="EU513" s="327"/>
      <c r="EV513" s="145"/>
      <c r="EW513" s="79"/>
      <c r="EX513" s="145"/>
      <c r="EY513" s="79"/>
      <c r="EZ513" s="145"/>
      <c r="FA513" s="79"/>
      <c r="FB513" s="145"/>
      <c r="FC513" s="79"/>
      <c r="FD513" s="145"/>
      <c r="FE513" s="79"/>
      <c r="FF513" s="145"/>
      <c r="FG513" s="79"/>
      <c r="FH513" s="145"/>
      <c r="FI513" s="79"/>
      <c r="FJ513" s="145"/>
      <c r="FK513" s="79"/>
      <c r="FL513" s="145"/>
      <c r="FM513" s="79"/>
      <c r="FN513" s="145"/>
      <c r="FO513" s="79"/>
      <c r="FP513" s="145"/>
      <c r="FQ513" s="79"/>
      <c r="FR513" s="131"/>
      <c r="FS513" s="79"/>
      <c r="FT513" s="131"/>
      <c r="FU513" s="79"/>
      <c r="FV513" s="131"/>
      <c r="FW513" s="79"/>
      <c r="FX513" s="131"/>
      <c r="FY513" s="79"/>
      <c r="FZ513" s="131"/>
      <c r="GA513" s="79"/>
      <c r="GB513" s="131"/>
      <c r="GC513" s="79"/>
      <c r="GD513" s="131"/>
      <c r="GE513" s="79"/>
      <c r="GF513" s="131"/>
      <c r="GG513" s="79"/>
      <c r="GH513" s="131"/>
      <c r="GI513" s="79"/>
      <c r="GJ513" s="131"/>
      <c r="GK513" s="79"/>
      <c r="GL513" s="131"/>
      <c r="GM513" s="79"/>
      <c r="GN513" s="131"/>
      <c r="GO513" s="79"/>
      <c r="GP513" s="131"/>
      <c r="GQ513" s="79"/>
      <c r="GR513" s="131"/>
      <c r="GS513" s="79"/>
      <c r="GT513" s="79"/>
    </row>
    <row r="514" spans="1:202" ht="12.75" customHeight="1" x14ac:dyDescent="0.2">
      <c r="A514" s="9" t="s">
        <v>270</v>
      </c>
      <c r="B514" s="377" t="s">
        <v>271</v>
      </c>
      <c r="C514" s="79"/>
      <c r="D514" s="79"/>
      <c r="E514" s="145"/>
      <c r="F514" s="145"/>
      <c r="G514" s="145"/>
      <c r="H514" s="145"/>
      <c r="I514" s="145"/>
      <c r="J514" s="145"/>
      <c r="K514" s="145"/>
      <c r="L514" s="79"/>
      <c r="M514" s="145">
        <f>M513/M531*100</f>
        <v>45.682283464566922</v>
      </c>
      <c r="N514" s="79" t="str">
        <f>IF(ISERROR((M514/E514-1)*100),"NA",IF(((M514/E514-1)*100)&gt;100,"NM",IF(((M514/E514-1)*100)&lt;-50,"NM",(M514/E514-1)*100)))</f>
        <v>NA</v>
      </c>
      <c r="O514" s="145">
        <f>O513/O531*100</f>
        <v>52.138894949732297</v>
      </c>
      <c r="P514" s="79" t="str">
        <f>IF(ISERROR((O514/G514-1)*100),"NA",IF(((O514/G514-1)*100)&gt;100,"NM",IF(((O514/G514-1)*100)&lt;-50,"NM",(O514/G514-1)*100)))</f>
        <v>NA</v>
      </c>
      <c r="Q514" s="145">
        <f>Q513/Q531*100</f>
        <v>60.366312021477576</v>
      </c>
      <c r="R514" s="79" t="str">
        <f>IF(ISERROR((Q514/I514-1)*100),"NA",IF(((Q514/I514-1)*100)&gt;100,"NM",IF(((Q514/I514-1)*100)&lt;-50,"NM",(Q514/I514-1)*100)))</f>
        <v>NA</v>
      </c>
      <c r="S514" s="145">
        <f>S513/S531*100</f>
        <v>60.801130930792304</v>
      </c>
      <c r="T514" s="79" t="str">
        <f>IF(ISERROR((S514/K514-1)*100),"NA",IF(((S514/K514-1)*100)&gt;100,"NM",IF(((S514/K514-1)*100)&lt;-50,"NM",(S514/K514-1)*100)))</f>
        <v>NA</v>
      </c>
      <c r="U514" s="145">
        <f>U513/U531*100</f>
        <v>58.387982298437294</v>
      </c>
      <c r="V514" s="79">
        <f>IF(ISERROR((U514/M514-1)*100),"NA",IF(((U514/M514-1)*100)&gt;100,"NM",IF(((U514/M514-1)*100)&lt;-50,"NM",(U514/M514-1)*100)))</f>
        <v>27.813186798609667</v>
      </c>
      <c r="W514" s="145">
        <f>W513/W531*100</f>
        <v>50.034736313882924</v>
      </c>
      <c r="X514" s="79">
        <f>IF(ISERROR((W514/O514-1)*100),"NA",IF(((W514/O514-1)*100)&gt;100,"NM",IF(((W514/O514-1)*100)&lt;-50,"NM",(W514/O514-1)*100)))</f>
        <v>-4.0356793865271134</v>
      </c>
      <c r="Y514" s="145">
        <f>Y513/Y531*100</f>
        <v>45.702867483296217</v>
      </c>
      <c r="Z514" s="79">
        <f>IF(ISERROR((Y514/Q514-1)*100),"NA",IF(((Y514/Q514-1)*100)&gt;100,"NM",IF(((Y514/Q514-1)*100)&lt;-50,"NM",(Y514/Q514-1)*100)))</f>
        <v>-24.29077418704043</v>
      </c>
      <c r="AA514" s="267">
        <f>AA513/AA531*100</f>
        <v>45.383809305223124</v>
      </c>
      <c r="AB514" s="79">
        <f>IF(ISERROR((AA514/S514-1)*100),"NA",IF(((AA514/S514-1)*100)&gt;100,"NM",IF(((AA514/S514-1)*100)&lt;-50,"NM",(AA514/S514-1)*100)))</f>
        <v>-25.356965223423479</v>
      </c>
      <c r="AC514" s="145">
        <f>AC513/AC531*100</f>
        <v>43.091900413133288</v>
      </c>
      <c r="AD514" s="79">
        <f>IF(ISERROR((AC514/U514-1)*100),"NA",IF(((AC514/U514-1)*100)&gt;100,"NM",IF(((AC514/U514-1)*100)&lt;-50,"NM",(AC514/U514-1)*100)))</f>
        <v>-26.197311986431483</v>
      </c>
      <c r="AE514" s="145">
        <f>AE513/AE531*100</f>
        <v>41.235942917624733</v>
      </c>
      <c r="AF514" s="79">
        <f>IF(ISERROR((AE514/W514-1)*100),"NA",IF(((AE514/W514-1)*100)&gt;100,"NM",IF(((AE514/W514-1)*100)&lt;-50,"NM",(AE514/W514-1)*100)))</f>
        <v>-17.585369774032024</v>
      </c>
      <c r="AG514" s="145">
        <f>AG513/AG531*100</f>
        <v>41.612946214396132</v>
      </c>
      <c r="AH514" s="79">
        <f>IF(ISERROR((AG514/Y514-1)*100),"NA",IF(((AG514/Y514-1)*100)&gt;100,"NM",IF(((AG514/Y514-1)*100)&lt;-50,"NM",(AG514/Y514-1)*100)))</f>
        <v>-8.9489379859915665</v>
      </c>
      <c r="AI514" s="145">
        <f>AI513/AI531*100</f>
        <v>40.593933484241681</v>
      </c>
      <c r="AJ514" s="79">
        <f>IF(ISERROR((AI514/AA514-1)*100),"NA",IF(((AI514/AA514-1)*100)&gt;100,"NM",IF(((AI514/AA514-1)*100)&lt;-50,"NM",(AI514/AA514-1)*100)))</f>
        <v>-10.554151126380184</v>
      </c>
      <c r="AK514" s="145">
        <f>AK513/AK531*100</f>
        <v>39.258141552278417</v>
      </c>
      <c r="AL514" s="79">
        <f>IF(ISERROR((AK514/AC514-1)*100),"NA",IF(((AK514/AC514-1)*100)&gt;100,"NM",IF(((AK514/AC514-1)*100)&lt;-50,"NM",(AK514/AC514-1)*100)))</f>
        <v>-8.8967040768674011</v>
      </c>
      <c r="AM514" s="145">
        <f>AM513/AM531*100</f>
        <v>41.040103743723172</v>
      </c>
      <c r="AN514" s="79">
        <f>IF(ISERROR((AM514/AE514-1)*100),"NA",IF(((AM514/AE514-1)*100)&gt;100,"NM",IF(((AM514/AE514-1)*100)&lt;-50,"NM",(AM514/AE514-1)*100)))</f>
        <v>-0.47492347705685445</v>
      </c>
      <c r="AO514" s="145">
        <f>AO513/AO531*100</f>
        <v>40.806720806496784</v>
      </c>
      <c r="AP514" s="79">
        <f>IF(ISERROR((AO514/AG514-1)*100),"NA",IF(((AO514/AG514-1)*100)&gt;100,"NM",IF(((AO514/AG514-1)*100)&lt;-50,"NM",(AO514/AG514-1)*100)))</f>
        <v>-1.9374389012149051</v>
      </c>
      <c r="AQ514" s="145">
        <f>AQ513/AQ531*100</f>
        <v>38.057144700341915</v>
      </c>
      <c r="AR514" s="79">
        <f>IF(ISERROR((AQ514/AI514-1)*100),"NA",IF(((AQ514/AI514-1)*100)&gt;100,"NM",IF(((AQ514/AI514-1)*100)&lt;-50,"NM",(AQ514/AI514-1)*100)))</f>
        <v>-6.249181998794306</v>
      </c>
      <c r="AS514" s="145">
        <f>AS513/AS531*100</f>
        <v>33.682983925090284</v>
      </c>
      <c r="AT514" s="81">
        <f>IF(ISERROR((AS514/AK514-1)*100),"NA",IF(((AS514/AK514-1)*100)&gt;100,"NM",IF(((AS514/AK514-1)*100)&lt;-50,"NM",(AS514/AK514-1)*100)))</f>
        <v>-14.201277510204935</v>
      </c>
      <c r="AU514" s="145">
        <f>AU513/AU531*100</f>
        <v>29.39189064482639</v>
      </c>
      <c r="AV514" s="81">
        <f>IF(ISERROR((AU514/AM514-1)*100),"NA",IF(((AU514/AM514-1)*100)&gt;100,"NM",IF(((AU514/AM514-1)*100)&lt;-50,"NM",(AU514/AM514-1)*100)))</f>
        <v>-28.382513776365158</v>
      </c>
      <c r="AW514" s="145">
        <f>AW513/AW531*100</f>
        <v>31.182717599147558</v>
      </c>
      <c r="AX514" s="81">
        <f>IF(ISERROR((AW514/AO514-1)*100),"NA",IF(((AW514/AO514-1)*100)&gt;100,"NM",IF(((AW514/AO514-1)*100)&lt;-50,"NM",(AW514/AO514-1)*100)))</f>
        <v>-23.584358206545719</v>
      </c>
      <c r="AY514" s="145">
        <f>AY513/AY531*100</f>
        <v>31.123129749507463</v>
      </c>
      <c r="AZ514" s="81">
        <f>IF(ISERROR((AY514/AQ514-1)*100),"NA",IF(((AY514/AQ514-1)*100)&gt;100,"NM",IF(((AY514/AQ514-1)*100)&lt;-50,"NM",(AY514/AQ514-1)*100)))</f>
        <v>-18.220008372756759</v>
      </c>
      <c r="BA514" s="145">
        <f>BA513/BA531*100</f>
        <v>31.612840814295538</v>
      </c>
      <c r="BB514" s="81">
        <f>IF(ISERROR((BA514/AS514-1)*100),"NA",IF(((BA514/AS514-1)*100)&gt;100,"NM",IF(((BA514/AS514-1)*100)&lt;-50,"NM",(BA514/AS514-1)*100)))</f>
        <v>-6.1459611636506706</v>
      </c>
      <c r="BC514" s="145">
        <f>BC513/BC531*100</f>
        <v>30.163188816577001</v>
      </c>
      <c r="BD514" s="81">
        <f>IF(ISERROR((BC514/AU514-1)*100),"NA",IF(((BC514/AU514-1)*100)&gt;100,"NM",IF(((BC514/AU514-1)*100)&lt;-50,"NM",(BC514/AU514-1)*100)))</f>
        <v>2.6241869945388352</v>
      </c>
      <c r="BE514" s="145">
        <f>BE513/BE531*100</f>
        <v>29.522148219907969</v>
      </c>
      <c r="BF514" s="81">
        <f>IF(ISERROR((BE514/AW514-1)*100),"NA",IF(((BE514/AW514-1)*100)&gt;100,"NM",IF(((BE514/AW514-1)*100)&lt;-50,"NM",(BE514/AW514-1)*100)))</f>
        <v>-5.3252875537858291</v>
      </c>
      <c r="BG514" s="145">
        <f>BG513/BG531*100</f>
        <v>26.586583337732961</v>
      </c>
      <c r="BH514" s="81"/>
      <c r="BI514" s="145">
        <f>BI513/BI531*100</f>
        <v>29.724190155658391</v>
      </c>
      <c r="BJ514" s="81"/>
      <c r="BK514" s="145">
        <f>BK513/BK531*100</f>
        <v>29.090475939562392</v>
      </c>
      <c r="BL514" s="81">
        <f t="shared" si="1835"/>
        <v>-3.5563642940333651</v>
      </c>
      <c r="BM514" s="145">
        <f>BM513/BM531*100</f>
        <v>25.113267407761029</v>
      </c>
      <c r="BN514" s="81"/>
      <c r="BO514" s="145">
        <f>BO513/BO531*100</f>
        <v>22.134364676934791</v>
      </c>
      <c r="BP514" s="81"/>
      <c r="BQ514" s="145">
        <f>BQ513/BQ531*100</f>
        <v>26.003284194812466</v>
      </c>
      <c r="BR514" s="81"/>
      <c r="BS514" s="145">
        <f>BS513/BS531*100</f>
        <v>27.849292820097045</v>
      </c>
      <c r="BT514" s="81"/>
      <c r="BU514" s="145">
        <f>BU513/BU531*100</f>
        <v>31.099938581867864</v>
      </c>
      <c r="BV514" s="81"/>
      <c r="BW514" s="145">
        <f>BW513/BW531*100</f>
        <v>31.601318772903873</v>
      </c>
      <c r="BX514" s="81"/>
      <c r="BY514" s="145">
        <f>BY513/BY531*100</f>
        <v>32.353347737337799</v>
      </c>
      <c r="BZ514" s="81"/>
      <c r="CA514" s="145">
        <f>CA513/CA531*100</f>
        <v>30.643594820839954</v>
      </c>
      <c r="CB514" s="81"/>
      <c r="CC514" s="145">
        <f>CC513/CC531*100</f>
        <v>33.178999561106956</v>
      </c>
      <c r="CD514" s="81"/>
      <c r="CE514" s="145">
        <f>CE513/CE531*100</f>
        <v>33.964271223950334</v>
      </c>
      <c r="CF514" s="81"/>
      <c r="CG514" s="145">
        <f>CG513/CG531*100</f>
        <v>35.268696016461504</v>
      </c>
      <c r="CH514" s="81"/>
      <c r="CI514" s="145">
        <f>CI513/CI531*100</f>
        <v>34.415077442560388</v>
      </c>
      <c r="CJ514" s="81"/>
      <c r="CK514" s="145">
        <f>CK513/CK531*100</f>
        <v>32.144065127888126</v>
      </c>
      <c r="CL514" s="81"/>
      <c r="CM514" s="145">
        <f>CM513/CM531*100</f>
        <v>41.891944628238562</v>
      </c>
      <c r="CN514" s="81"/>
      <c r="CO514" s="145">
        <f>CO513/CO531*100</f>
        <v>37.884300601980712</v>
      </c>
      <c r="CP514" s="81"/>
      <c r="CQ514" s="145">
        <f>CQ513/CQ531*100</f>
        <v>39.126865671641795</v>
      </c>
      <c r="CR514" s="81"/>
      <c r="CS514" s="145">
        <f>CS513/CS531*100</f>
        <v>39.732703285551189</v>
      </c>
      <c r="CT514" s="81"/>
      <c r="CU514" s="145">
        <f>CU513/CU531*100</f>
        <v>39.427272499561653</v>
      </c>
      <c r="CV514" s="81"/>
      <c r="CW514" s="145">
        <f>CW513/CW531*100</f>
        <v>39.085138935345199</v>
      </c>
      <c r="CX514" s="81"/>
      <c r="CY514" s="145">
        <f>CY513/CY531*100</f>
        <v>38.608640478202815</v>
      </c>
      <c r="CZ514" s="81"/>
      <c r="DA514" s="145">
        <f>DA513/DA531*100</f>
        <v>38.161112792513599</v>
      </c>
      <c r="DB514" s="81"/>
      <c r="DC514" s="145">
        <f>DC513/DC531*100</f>
        <v>38.380593686269364</v>
      </c>
      <c r="DD514" s="81"/>
      <c r="DE514" s="145">
        <f>DE513/DE531*100</f>
        <v>38.620400943396227</v>
      </c>
      <c r="DF514" s="81"/>
      <c r="DG514" s="145">
        <f>DG513/DG531*100</f>
        <v>40.146883346106506</v>
      </c>
      <c r="DH514" s="81"/>
      <c r="DI514" s="145">
        <f>DI513/DI531*100</f>
        <v>40.629609863820384</v>
      </c>
      <c r="DJ514" s="81"/>
      <c r="DK514" s="145">
        <f>DK513/DK531*100</f>
        <v>42.068843276883491</v>
      </c>
      <c r="DL514" s="81"/>
      <c r="DM514" s="145">
        <f>DM513/DM531*100</f>
        <v>42.438571343814885</v>
      </c>
      <c r="DN514" s="81"/>
      <c r="DO514" s="145">
        <f>DO513/DO531*100</f>
        <v>42.940241796200333</v>
      </c>
      <c r="DP514" s="81"/>
      <c r="DQ514" s="145">
        <f>DQ513/DQ531*100</f>
        <v>39.944801439403676</v>
      </c>
      <c r="DR514" s="81"/>
      <c r="DS514" s="145">
        <f>DS513/DS531*100</f>
        <v>38.101417701611972</v>
      </c>
      <c r="DT514" s="81"/>
      <c r="DU514" s="145">
        <f>DU513/DU531*100</f>
        <v>38.933657507225107</v>
      </c>
      <c r="DV514" s="81"/>
      <c r="DW514" s="145">
        <f>DW513/DW531*100</f>
        <v>40.050968561448073</v>
      </c>
      <c r="DX514" s="81"/>
      <c r="DY514" s="145">
        <f>DY513/DY531*100</f>
        <v>40.543280399528648</v>
      </c>
      <c r="DZ514" s="81"/>
      <c r="EA514" s="145">
        <f>EA513/EA531*100</f>
        <v>37.750660827142703</v>
      </c>
      <c r="EB514" s="81"/>
      <c r="EC514" s="145">
        <f>EC513/EC531*100</f>
        <v>36.764111397210684</v>
      </c>
      <c r="ED514" s="81"/>
      <c r="EE514" s="145">
        <f>EE513/EE531*100</f>
        <v>36.244953700185633</v>
      </c>
      <c r="EF514" s="81"/>
      <c r="EG514" s="145">
        <f>EG513/EG531*100</f>
        <v>36.535664875647491</v>
      </c>
      <c r="EH514" s="81"/>
      <c r="EI514" s="145">
        <f>EI513/EI531*100</f>
        <v>35.125213286195148</v>
      </c>
      <c r="EJ514" s="81"/>
      <c r="EK514" s="145"/>
      <c r="EL514" s="81"/>
      <c r="EM514" s="145"/>
      <c r="EN514" s="81"/>
      <c r="EO514" s="145"/>
      <c r="EP514" s="81"/>
      <c r="EQ514" s="145"/>
      <c r="ER514" s="81"/>
      <c r="ES514" s="327"/>
      <c r="ET514" s="490"/>
      <c r="EU514" s="327"/>
      <c r="EV514" s="145"/>
      <c r="EW514" s="79"/>
      <c r="EX514" s="145"/>
      <c r="EY514" s="79"/>
      <c r="EZ514" s="145"/>
      <c r="FA514" s="79"/>
      <c r="FB514" s="145"/>
      <c r="FC514" s="79"/>
      <c r="FD514" s="145"/>
      <c r="FE514" s="79"/>
      <c r="FF514" s="145"/>
      <c r="FG514" s="79"/>
      <c r="FH514" s="145"/>
      <c r="FI514" s="79"/>
      <c r="FJ514" s="145"/>
      <c r="FK514" s="79"/>
      <c r="FL514" s="145"/>
      <c r="FM514" s="79"/>
      <c r="FN514" s="145"/>
      <c r="FO514" s="79"/>
      <c r="FP514" s="145"/>
      <c r="FQ514" s="79"/>
      <c r="FR514" s="145"/>
      <c r="FS514" s="79"/>
      <c r="FT514" s="145"/>
      <c r="FU514" s="79"/>
      <c r="FV514" s="145"/>
      <c r="FW514" s="79"/>
      <c r="FX514" s="145"/>
      <c r="FY514" s="79"/>
      <c r="FZ514" s="145"/>
      <c r="GA514" s="79"/>
      <c r="GB514" s="145"/>
      <c r="GC514" s="79"/>
      <c r="GD514" s="145"/>
      <c r="GE514" s="79"/>
      <c r="GF514" s="145"/>
      <c r="GG514" s="79"/>
      <c r="GH514" s="145"/>
      <c r="GI514" s="79"/>
      <c r="GJ514" s="145"/>
      <c r="GK514" s="79"/>
      <c r="GL514" s="145"/>
      <c r="GM514" s="79"/>
      <c r="GN514" s="145"/>
      <c r="GO514" s="79"/>
      <c r="GP514" s="145"/>
      <c r="GQ514" s="79"/>
      <c r="GR514" s="145"/>
      <c r="GS514" s="79"/>
      <c r="GT514" s="79"/>
    </row>
    <row r="515" spans="1:202" ht="12.75" customHeight="1" x14ac:dyDescent="0.2">
      <c r="A515" s="1"/>
      <c r="B515" s="2"/>
      <c r="C515" s="79"/>
      <c r="D515" s="79"/>
      <c r="E515" s="246"/>
      <c r="F515" s="246"/>
      <c r="G515" s="246"/>
      <c r="H515" s="246"/>
      <c r="I515" s="246"/>
      <c r="J515" s="246"/>
      <c r="K515" s="246"/>
      <c r="L515" s="79"/>
      <c r="M515" s="246"/>
      <c r="N515" s="79"/>
      <c r="O515" s="246"/>
      <c r="P515" s="79"/>
      <c r="Q515" s="246"/>
      <c r="R515" s="79"/>
      <c r="S515" s="246"/>
      <c r="T515" s="79"/>
      <c r="U515" s="246"/>
      <c r="V515" s="79"/>
      <c r="W515" s="246"/>
      <c r="X515" s="79"/>
      <c r="Y515" s="246"/>
      <c r="Z515" s="79"/>
      <c r="AA515" s="66"/>
      <c r="AB515" s="79"/>
      <c r="AC515" s="246"/>
      <c r="AD515" s="79"/>
      <c r="AE515" s="246"/>
      <c r="AF515" s="79"/>
      <c r="AG515" s="246"/>
      <c r="AH515" s="79"/>
      <c r="AI515" s="246"/>
      <c r="AJ515" s="79"/>
      <c r="AK515" s="246"/>
      <c r="AL515" s="79"/>
      <c r="AM515" s="246"/>
      <c r="AN515" s="79"/>
      <c r="AO515" s="246"/>
      <c r="AP515" s="79"/>
      <c r="AQ515" s="246"/>
      <c r="AR515" s="79"/>
      <c r="AS515" s="246"/>
      <c r="AT515" s="81"/>
      <c r="AU515" s="246"/>
      <c r="AV515" s="81"/>
      <c r="AW515" s="246"/>
      <c r="AX515" s="81"/>
      <c r="AY515" s="246"/>
      <c r="AZ515" s="81"/>
      <c r="BA515" s="246"/>
      <c r="BB515" s="81"/>
      <c r="BC515" s="246"/>
      <c r="BD515" s="81"/>
      <c r="BE515" s="246"/>
      <c r="BF515" s="81"/>
      <c r="BG515" s="246"/>
      <c r="BH515" s="81"/>
      <c r="BI515" s="246"/>
      <c r="BJ515" s="81"/>
      <c r="BK515" s="246"/>
      <c r="BL515" s="81"/>
      <c r="BM515" s="246"/>
      <c r="BN515" s="81"/>
      <c r="BO515" s="246"/>
      <c r="BP515" s="81"/>
      <c r="BQ515" s="246"/>
      <c r="BR515" s="81"/>
      <c r="BS515" s="246"/>
      <c r="BT515" s="81"/>
      <c r="BU515" s="246"/>
      <c r="BV515" s="81"/>
      <c r="BW515" s="246"/>
      <c r="BX515" s="81"/>
      <c r="BY515" s="246"/>
      <c r="BZ515" s="81"/>
      <c r="CA515" s="246"/>
      <c r="CB515" s="81"/>
      <c r="CC515" s="246"/>
      <c r="CD515" s="81"/>
      <c r="CE515" s="246"/>
      <c r="CF515" s="81"/>
      <c r="CG515" s="246"/>
      <c r="CH515" s="81"/>
      <c r="CI515" s="246"/>
      <c r="CJ515" s="81"/>
      <c r="CK515" s="246"/>
      <c r="CL515" s="81"/>
      <c r="CM515" s="246"/>
      <c r="CN515" s="81"/>
      <c r="CO515" s="246"/>
      <c r="CP515" s="81"/>
      <c r="CQ515" s="246"/>
      <c r="CR515" s="81"/>
      <c r="CS515" s="246"/>
      <c r="CT515" s="81"/>
      <c r="CU515" s="246"/>
      <c r="CV515" s="81"/>
      <c r="CW515" s="246"/>
      <c r="CX515" s="81"/>
      <c r="CY515" s="246"/>
      <c r="CZ515" s="81"/>
      <c r="DA515" s="246"/>
      <c r="DB515" s="81"/>
      <c r="DC515" s="246"/>
      <c r="DD515" s="81"/>
      <c r="DE515" s="246"/>
      <c r="DF515" s="81"/>
      <c r="DG515" s="246"/>
      <c r="DH515" s="81"/>
      <c r="DI515" s="246"/>
      <c r="DJ515" s="81"/>
      <c r="DK515" s="246"/>
      <c r="DL515" s="81"/>
      <c r="DM515" s="246"/>
      <c r="DN515" s="81"/>
      <c r="DO515" s="246"/>
      <c r="DP515" s="81"/>
      <c r="DQ515" s="246"/>
      <c r="DR515" s="81"/>
      <c r="DS515" s="246"/>
      <c r="DT515" s="81"/>
      <c r="DU515" s="246"/>
      <c r="DV515" s="81"/>
      <c r="DW515" s="246"/>
      <c r="DX515" s="81"/>
      <c r="DY515" s="246"/>
      <c r="DZ515" s="81"/>
      <c r="EA515" s="246"/>
      <c r="EB515" s="81"/>
      <c r="EC515" s="246"/>
      <c r="ED515" s="81"/>
      <c r="EE515" s="246"/>
      <c r="EF515" s="81"/>
      <c r="EG515" s="246"/>
      <c r="EH515" s="81"/>
      <c r="EI515" s="246"/>
      <c r="EJ515" s="81"/>
      <c r="EK515" s="246"/>
      <c r="EL515" s="81"/>
      <c r="EM515" s="246"/>
      <c r="EN515" s="81"/>
      <c r="EO515" s="246"/>
      <c r="EP515" s="81"/>
      <c r="EQ515" s="246"/>
      <c r="ER515" s="81"/>
      <c r="ES515" s="82"/>
      <c r="ET515" s="490"/>
      <c r="EU515" s="82"/>
      <c r="EV515" s="327"/>
      <c r="EW515" s="79"/>
      <c r="EX515" s="327"/>
      <c r="EY515" s="79"/>
      <c r="EZ515" s="327"/>
      <c r="FA515" s="79"/>
      <c r="FB515" s="327"/>
      <c r="FC515" s="79"/>
      <c r="FD515" s="327"/>
      <c r="FE515" s="79"/>
      <c r="FF515" s="327"/>
      <c r="FG515" s="79"/>
      <c r="FH515" s="327"/>
      <c r="FI515" s="79"/>
      <c r="FJ515" s="327"/>
      <c r="FK515" s="79"/>
      <c r="FL515" s="327"/>
      <c r="FM515" s="79"/>
      <c r="FN515" s="327"/>
      <c r="FO515" s="79"/>
      <c r="FP515" s="327"/>
      <c r="FQ515" s="79"/>
      <c r="FR515" s="246"/>
      <c r="FS515" s="79"/>
      <c r="FT515" s="246"/>
      <c r="FU515" s="79"/>
      <c r="FV515" s="246"/>
      <c r="FW515" s="79"/>
      <c r="FX515" s="246"/>
      <c r="FY515" s="79"/>
      <c r="FZ515" s="246"/>
      <c r="GA515" s="79"/>
      <c r="GB515" s="246"/>
      <c r="GC515" s="79"/>
      <c r="GD515" s="246"/>
      <c r="GE515" s="79"/>
      <c r="GF515" s="246"/>
      <c r="GG515" s="79"/>
      <c r="GH515" s="246"/>
      <c r="GI515" s="79"/>
      <c r="GJ515" s="246"/>
      <c r="GK515" s="79"/>
      <c r="GL515" s="246"/>
      <c r="GM515" s="79"/>
      <c r="GN515" s="246"/>
      <c r="GO515" s="79"/>
      <c r="GP515" s="246"/>
      <c r="GQ515" s="79"/>
      <c r="GR515" s="246"/>
      <c r="GS515" s="79"/>
      <c r="GT515" s="79"/>
    </row>
    <row r="516" spans="1:202" ht="12.75" customHeight="1" x14ac:dyDescent="0.2">
      <c r="A516" s="1"/>
      <c r="B516" s="68" t="s">
        <v>249</v>
      </c>
      <c r="C516" s="79"/>
      <c r="D516" s="79"/>
      <c r="E516" s="246"/>
      <c r="F516" s="246"/>
      <c r="G516" s="246"/>
      <c r="H516" s="246"/>
      <c r="I516" s="246"/>
      <c r="J516" s="246"/>
      <c r="K516" s="246"/>
      <c r="L516" s="79"/>
      <c r="M516" s="246"/>
      <c r="N516" s="79"/>
      <c r="O516" s="246"/>
      <c r="P516" s="79"/>
      <c r="Q516" s="246"/>
      <c r="R516" s="79"/>
      <c r="S516" s="246"/>
      <c r="T516" s="79"/>
      <c r="U516" s="246"/>
      <c r="V516" s="79"/>
      <c r="W516" s="246"/>
      <c r="X516" s="79"/>
      <c r="Y516" s="246"/>
      <c r="Z516" s="79"/>
      <c r="AA516" s="378"/>
      <c r="AB516" s="79"/>
      <c r="AC516" s="246"/>
      <c r="AD516" s="79"/>
      <c r="AE516" s="246"/>
      <c r="AF516" s="79"/>
      <c r="AG516" s="246"/>
      <c r="AH516" s="79"/>
      <c r="AI516" s="246"/>
      <c r="AJ516" s="79"/>
      <c r="AK516" s="246"/>
      <c r="AL516" s="79"/>
      <c r="AM516" s="246"/>
      <c r="AN516" s="79"/>
      <c r="AO516" s="246"/>
      <c r="AP516" s="79"/>
      <c r="AQ516" s="246"/>
      <c r="AR516" s="79"/>
      <c r="AS516" s="246"/>
      <c r="AT516" s="81"/>
      <c r="AU516" s="246"/>
      <c r="AV516" s="81"/>
      <c r="AW516" s="246"/>
      <c r="AX516" s="81"/>
      <c r="AY516" s="246"/>
      <c r="AZ516" s="81"/>
      <c r="BA516" s="246"/>
      <c r="BB516" s="81"/>
      <c r="BC516" s="246"/>
      <c r="BD516" s="81"/>
      <c r="BE516" s="246"/>
      <c r="BF516" s="81"/>
      <c r="BG516" s="246"/>
      <c r="BH516" s="81"/>
      <c r="BI516" s="246"/>
      <c r="BJ516" s="81"/>
      <c r="BK516" s="246"/>
      <c r="BL516" s="81"/>
      <c r="BM516" s="246"/>
      <c r="BN516" s="81"/>
      <c r="BO516" s="246"/>
      <c r="BP516" s="81"/>
      <c r="BQ516" s="246"/>
      <c r="BR516" s="81"/>
      <c r="BS516" s="246"/>
      <c r="BT516" s="81"/>
      <c r="BU516" s="246"/>
      <c r="BV516" s="81"/>
      <c r="BW516" s="246"/>
      <c r="BX516" s="81"/>
      <c r="BY516" s="246"/>
      <c r="BZ516" s="81"/>
      <c r="CA516" s="246"/>
      <c r="CB516" s="81"/>
      <c r="CC516" s="246"/>
      <c r="CD516" s="81"/>
      <c r="CE516" s="246"/>
      <c r="CF516" s="81"/>
      <c r="CG516" s="246"/>
      <c r="CH516" s="81"/>
      <c r="CI516" s="246"/>
      <c r="CJ516" s="81"/>
      <c r="CK516" s="246"/>
      <c r="CL516" s="81"/>
      <c r="CM516" s="246"/>
      <c r="CN516" s="81"/>
      <c r="CO516" s="246"/>
      <c r="CP516" s="81"/>
      <c r="CQ516" s="246"/>
      <c r="CR516" s="81"/>
      <c r="CS516" s="246"/>
      <c r="CT516" s="81"/>
      <c r="CU516" s="246"/>
      <c r="CV516" s="81"/>
      <c r="CW516" s="246"/>
      <c r="CX516" s="81"/>
      <c r="CY516" s="246"/>
      <c r="CZ516" s="81"/>
      <c r="DA516" s="246"/>
      <c r="DB516" s="81"/>
      <c r="DC516" s="246"/>
      <c r="DD516" s="81"/>
      <c r="DE516" s="246"/>
      <c r="DF516" s="81"/>
      <c r="DG516" s="246"/>
      <c r="DH516" s="81"/>
      <c r="DI516" s="246"/>
      <c r="DJ516" s="81"/>
      <c r="DK516" s="246"/>
      <c r="DL516" s="81"/>
      <c r="DM516" s="246"/>
      <c r="DN516" s="81"/>
      <c r="DO516" s="246"/>
      <c r="DP516" s="81"/>
      <c r="DQ516" s="246"/>
      <c r="DR516" s="81"/>
      <c r="DS516" s="246"/>
      <c r="DT516" s="81"/>
      <c r="DU516" s="246"/>
      <c r="DV516" s="81"/>
      <c r="DW516" s="246"/>
      <c r="DX516" s="81"/>
      <c r="DY516" s="246"/>
      <c r="DZ516" s="81"/>
      <c r="EA516" s="246"/>
      <c r="EB516" s="81"/>
      <c r="EC516" s="246"/>
      <c r="ED516" s="81"/>
      <c r="EE516" s="246"/>
      <c r="EF516" s="81"/>
      <c r="EG516" s="246"/>
      <c r="EH516" s="81"/>
      <c r="EI516" s="246"/>
      <c r="EJ516" s="81"/>
      <c r="EK516" s="246"/>
      <c r="EL516" s="81"/>
      <c r="EM516" s="246"/>
      <c r="EN516" s="81"/>
      <c r="EO516" s="246"/>
      <c r="EP516" s="81"/>
      <c r="EQ516" s="246"/>
      <c r="ER516" s="81"/>
      <c r="ES516" s="82"/>
      <c r="ET516" s="490"/>
      <c r="EU516" s="82"/>
      <c r="EV516" s="327"/>
      <c r="EW516" s="79"/>
      <c r="EX516" s="327"/>
      <c r="EY516" s="79"/>
      <c r="EZ516" s="327"/>
      <c r="FA516" s="79"/>
      <c r="FB516" s="327"/>
      <c r="FC516" s="79"/>
      <c r="FD516" s="327"/>
      <c r="FE516" s="79"/>
      <c r="FF516" s="327"/>
      <c r="FG516" s="79"/>
      <c r="FH516" s="327"/>
      <c r="FI516" s="79"/>
      <c r="FJ516" s="327"/>
      <c r="FK516" s="79"/>
      <c r="FL516" s="327"/>
      <c r="FM516" s="79"/>
      <c r="FN516" s="327"/>
      <c r="FO516" s="79"/>
      <c r="FP516" s="327"/>
      <c r="FQ516" s="79"/>
      <c r="FR516" s="246"/>
      <c r="FS516" s="79"/>
      <c r="FT516" s="246"/>
      <c r="FU516" s="79"/>
      <c r="FV516" s="246"/>
      <c r="FW516" s="79"/>
      <c r="FX516" s="246"/>
      <c r="FY516" s="79"/>
      <c r="FZ516" s="246"/>
      <c r="GA516" s="79"/>
      <c r="GB516" s="246"/>
      <c r="GC516" s="79"/>
      <c r="GD516" s="246"/>
      <c r="GE516" s="79"/>
      <c r="GF516" s="246"/>
      <c r="GG516" s="79"/>
      <c r="GH516" s="246"/>
      <c r="GI516" s="79"/>
      <c r="GJ516" s="246"/>
      <c r="GK516" s="79"/>
      <c r="GL516" s="246"/>
      <c r="GM516" s="79"/>
      <c r="GN516" s="246"/>
      <c r="GO516" s="79"/>
      <c r="GP516" s="246"/>
      <c r="GQ516" s="79"/>
      <c r="GR516" s="246"/>
      <c r="GS516" s="79"/>
      <c r="GT516" s="79"/>
    </row>
    <row r="517" spans="1:202" ht="12.75" customHeight="1" x14ac:dyDescent="0.2">
      <c r="A517" s="1" t="s">
        <v>340</v>
      </c>
      <c r="B517" s="2" t="s">
        <v>250</v>
      </c>
      <c r="C517" s="79"/>
      <c r="D517" s="79"/>
      <c r="E517" s="131">
        <v>200</v>
      </c>
      <c r="F517" s="131"/>
      <c r="G517" s="131">
        <v>0</v>
      </c>
      <c r="H517" s="131"/>
      <c r="I517" s="131">
        <v>172.5</v>
      </c>
      <c r="J517" s="131"/>
      <c r="K517" s="131">
        <v>161.80000000000001</v>
      </c>
      <c r="L517" s="79"/>
      <c r="M517" s="131">
        <v>162.4</v>
      </c>
      <c r="N517" s="79">
        <f t="shared" ref="N517:N523" si="1925">IF(ISERROR((M517/E517-1)*100),"NA",IF(((M517/E517-1)*100)&gt;100,"NM",IF(((M517/E517-1)*100)&lt;-50,"NM",(M517/E517-1)*100)))</f>
        <v>-18.799999999999994</v>
      </c>
      <c r="O517" s="131">
        <v>35</v>
      </c>
      <c r="P517" s="79" t="str">
        <f t="shared" ref="P517:P523" si="1926">IF(ISERROR((O517/G517-1)*100),"NA",IF(((O517/G517-1)*100)&gt;100,"NM",IF(((O517/G517-1)*100)&lt;-50,"NM",(O517/G517-1)*100)))</f>
        <v>NA</v>
      </c>
      <c r="Q517" s="131">
        <v>35</v>
      </c>
      <c r="R517" s="79" t="str">
        <f t="shared" ref="R517:R523" si="1927">IF(ISERROR((Q517/I517-1)*100),"NA",IF(((Q517/I517-1)*100)&gt;100,"NM",IF(((Q517/I517-1)*100)&lt;-50,"NM",(Q517/I517-1)*100)))</f>
        <v>NM</v>
      </c>
      <c r="S517" s="131">
        <v>255</v>
      </c>
      <c r="T517" s="79">
        <f t="shared" ref="T517:T523" si="1928">IF(ISERROR((S517/K517-1)*100),"NA",IF(((S517/K517-1)*100)&gt;100,"NM",IF(((S517/K517-1)*100)&lt;-50,"NM",(S517/K517-1)*100)))</f>
        <v>57.601977750309018</v>
      </c>
      <c r="U517" s="131">
        <v>207.2</v>
      </c>
      <c r="V517" s="79">
        <f t="shared" ref="V517:V523" si="1929">IF(ISERROR((U517/M517-1)*100),"NA",IF(((U517/M517-1)*100)&gt;100,"NM",IF(((U517/M517-1)*100)&lt;-50,"NM",(U517/M517-1)*100)))</f>
        <v>27.586206896551712</v>
      </c>
      <c r="W517" s="131">
        <v>20</v>
      </c>
      <c r="X517" s="79">
        <f t="shared" ref="X517:X523" si="1930">IF(ISERROR((W517/O517-1)*100),"NA",IF(((W517/O517-1)*100)&gt;100,"NM",IF(((W517/O517-1)*100)&lt;-50,"NM",(W517/O517-1)*100)))</f>
        <v>-42.857142857142861</v>
      </c>
      <c r="Y517" s="131">
        <v>20</v>
      </c>
      <c r="Z517" s="79">
        <f t="shared" ref="Z517:Z523" si="1931">IF(ISERROR((Y517/Q517-1)*100),"NA",IF(((Y517/Q517-1)*100)&gt;100,"NM",IF(((Y517/Q517-1)*100)&lt;-50,"NM",(Y517/Q517-1)*100)))</f>
        <v>-42.857142857142861</v>
      </c>
      <c r="AA517" s="126">
        <v>0</v>
      </c>
      <c r="AB517" s="79" t="str">
        <f t="shared" ref="AB517:AB523" si="1932">IF(ISERROR((AA517/S517-1)*100),"NA",IF(((AA517/S517-1)*100)&gt;100,"NM",IF(((AA517/S517-1)*100)&lt;-50,"NM",(AA517/S517-1)*100)))</f>
        <v>NM</v>
      </c>
      <c r="AC517" s="131">
        <v>0</v>
      </c>
      <c r="AD517" s="79" t="str">
        <f t="shared" ref="AD517:AD523" si="1933">IF(ISERROR((AC517/U517-1)*100),"NA",IF(((AC517/U517-1)*100)&gt;100,"NM",IF(((AC517/U517-1)*100)&lt;-50,"NM",(AC517/U517-1)*100)))</f>
        <v>NM</v>
      </c>
      <c r="AE517" s="131">
        <v>0</v>
      </c>
      <c r="AF517" s="79" t="str">
        <f t="shared" ref="AF517:AF523" si="1934">IF(ISERROR((AE517/W517-1)*100),"NA",IF(((AE517/W517-1)*100)&gt;100,"NM",IF(((AE517/W517-1)*100)&lt;-50,"NM",(AE517/W517-1)*100)))</f>
        <v>NM</v>
      </c>
      <c r="AG517" s="131">
        <v>227</v>
      </c>
      <c r="AH517" s="79" t="str">
        <f t="shared" ref="AH517:AH523" si="1935">IF(ISERROR((AG517/Y517-1)*100),"NA",IF(((AG517/Y517-1)*100)&gt;100,"NM",IF(((AG517/Y517-1)*100)&lt;-50,"NM",(AG517/Y517-1)*100)))</f>
        <v>NM</v>
      </c>
      <c r="AI517" s="131">
        <v>227</v>
      </c>
      <c r="AJ517" s="79" t="str">
        <f t="shared" ref="AJ517:AJ523" si="1936">IF(ISERROR((AI517/AA517-1)*100),"NA",IF(((AI517/AA517-1)*100)&gt;100,"NM",IF(((AI517/AA517-1)*100)&lt;-50,"NM",(AI517/AA517-1)*100)))</f>
        <v>NA</v>
      </c>
      <c r="AK517" s="131">
        <v>202</v>
      </c>
      <c r="AL517" s="79" t="str">
        <f t="shared" ref="AL517:AL523" si="1937">IF(ISERROR((AK517/AC517-1)*100),"NA",IF(((AK517/AC517-1)*100)&gt;100,"NM",IF(((AK517/AC517-1)*100)&lt;-50,"NM",(AK517/AC517-1)*100)))</f>
        <v>NA</v>
      </c>
      <c r="AM517" s="131">
        <v>200</v>
      </c>
      <c r="AN517" s="79" t="str">
        <f t="shared" ref="AN517:BD523" si="1938">IF(ISERROR((AM517/AE517-1)*100),"NA",IF(((AM517/AE517-1)*100)&gt;100,"NM",IF(((AM517/AE517-1)*100)&lt;-50,"NM",(AM517/AE517-1)*100)))</f>
        <v>NA</v>
      </c>
      <c r="AO517" s="131">
        <v>0</v>
      </c>
      <c r="AP517" s="79" t="str">
        <f t="shared" si="1938"/>
        <v>NM</v>
      </c>
      <c r="AQ517" s="131">
        <v>0</v>
      </c>
      <c r="AR517" s="79" t="str">
        <f t="shared" si="1938"/>
        <v>NM</v>
      </c>
      <c r="AS517" s="222">
        <v>0</v>
      </c>
      <c r="AT517" s="81" t="str">
        <f t="shared" si="1938"/>
        <v>NM</v>
      </c>
      <c r="AU517" s="222">
        <v>0</v>
      </c>
      <c r="AV517" s="81" t="str">
        <f t="shared" si="1938"/>
        <v>NM</v>
      </c>
      <c r="AW517" s="222">
        <v>0</v>
      </c>
      <c r="AX517" s="81" t="str">
        <f t="shared" si="1938"/>
        <v>NA</v>
      </c>
      <c r="AY517" s="222">
        <v>0</v>
      </c>
      <c r="AZ517" s="81" t="str">
        <f t="shared" si="1938"/>
        <v>NA</v>
      </c>
      <c r="BA517" s="222">
        <v>0</v>
      </c>
      <c r="BB517" s="81" t="str">
        <f t="shared" si="1938"/>
        <v>NA</v>
      </c>
      <c r="BC517" s="222">
        <v>0</v>
      </c>
      <c r="BD517" s="81" t="str">
        <f t="shared" si="1938"/>
        <v>NA</v>
      </c>
      <c r="BE517" s="222">
        <v>175</v>
      </c>
      <c r="BF517" s="81" t="str">
        <f t="shared" ref="BF517:BF523" si="1939">IF(ISERROR((BE517/AW517-1)*100),"NA",IF(((BE517/AW517-1)*100)&gt;100,"NM",IF(((BE517/AW517-1)*100)&lt;-50,"NM",(BE517/AW517-1)*100)))</f>
        <v>NA</v>
      </c>
      <c r="BG517" s="222">
        <v>175</v>
      </c>
      <c r="BH517" s="81" t="str">
        <f t="shared" ref="BH517:BH523" si="1940">IF(ISERROR((BG517/AY517-1)*100),"NA",IF(((BG517/AY517-1)*100)&gt;100,"NM",IF(((BG517/AY517-1)*100)&lt;-50,"NM",(BG517/AY517-1)*100)))</f>
        <v>NA</v>
      </c>
      <c r="BI517" s="222">
        <v>175</v>
      </c>
      <c r="BJ517" s="81" t="str">
        <f t="shared" ref="BJ517:BJ523" si="1941">IF(ISERROR((BI517/BA517-1)*100),"NA",IF(((BI517/BA517-1)*100)&gt;100,"NM",IF(((BI517/BA517-1)*100)&lt;-50,"NM",(BI517/BA517-1)*100)))</f>
        <v>NA</v>
      </c>
      <c r="BK517" s="222">
        <v>240</v>
      </c>
      <c r="BL517" s="81" t="str">
        <f t="shared" ref="BL517:BL523" si="1942">IF(ISERROR((BK517/BC517-1)*100),"NA",IF(((BK517/BC517-1)*100)&gt;100,"NM",IF(((BK517/BC517-1)*100)&lt;-50,"NM",(BK517/BC517-1)*100)))</f>
        <v>NA</v>
      </c>
      <c r="BM517" s="222">
        <v>275</v>
      </c>
      <c r="BN517" s="81">
        <f t="shared" ref="BN517:BN523" si="1943">IF(ISERROR((BM517/BE517-1)*100),"NA",IF(((BM517/BE517-1)*100)&gt;100,"NM",IF(((BM517/BE517-1)*100)&lt;-50,"NM",(BM517/BE517-1)*100)))</f>
        <v>57.142857142857139</v>
      </c>
      <c r="BO517" s="222">
        <v>190.5</v>
      </c>
      <c r="BP517" s="81">
        <f t="shared" ref="BP517:BP523" si="1944">IF(ISERROR((BO517/BG517-1)*100),"NA",IF(((BO517/BG517-1)*100)&gt;100,"NM",IF(((BO517/BG517-1)*100)&lt;-50,"NM",(BO517/BG517-1)*100)))</f>
        <v>8.8571428571428523</v>
      </c>
      <c r="BQ517" s="222">
        <v>206.9</v>
      </c>
      <c r="BR517" s="81">
        <f t="shared" ref="BR517:BR523" si="1945">IF(ISERROR((BQ517/BI517-1)*100),"NA",IF(((BQ517/BI517-1)*100)&gt;100,"NM",IF(((BQ517/BI517-1)*100)&lt;-50,"NM",(BQ517/BI517-1)*100)))</f>
        <v>18.228571428571438</v>
      </c>
      <c r="BS517" s="222">
        <v>45</v>
      </c>
      <c r="BT517" s="81" t="str">
        <f t="shared" ref="BT517:BT523" si="1946">IF(ISERROR((BS517/BK517-1)*100),"NA",IF(((BS517/BK517-1)*100)&gt;100,"NM",IF(((BS517/BK517-1)*100)&lt;-50,"NM",(BS517/BK517-1)*100)))</f>
        <v>NM</v>
      </c>
      <c r="BU517" s="222">
        <v>0</v>
      </c>
      <c r="BV517" s="81" t="str">
        <f t="shared" ref="BV517:BV523" si="1947">IF(ISERROR((BU517/BM517-1)*100),"NA",IF(((BU517/BM517-1)*100)&gt;100,"NM",IF(((BU517/BM517-1)*100)&lt;-50,"NM",(BU517/BM517-1)*100)))</f>
        <v>NM</v>
      </c>
      <c r="BW517" s="222">
        <v>0</v>
      </c>
      <c r="BX517" s="81" t="str">
        <f t="shared" ref="BX517:BX523" si="1948">IF(ISERROR((BW517/BO517-1)*100),"NA",IF(((BW517/BO517-1)*100)&gt;100,"NM",IF(((BW517/BO517-1)*100)&lt;-50,"NM",(BW517/BO517-1)*100)))</f>
        <v>NM</v>
      </c>
      <c r="BY517" s="222">
        <v>225.1</v>
      </c>
      <c r="BZ517" s="81">
        <f t="shared" ref="BZ517:BZ523" si="1949">IF(ISERROR((BY517/BQ517-1)*100),"NA",IF(((BY517/BQ517-1)*100)&gt;100,"NM",IF(((BY517/BQ517-1)*100)&lt;-50,"NM",(BY517/BQ517-1)*100)))</f>
        <v>8.7965200579990253</v>
      </c>
      <c r="CA517" s="222">
        <v>225.1</v>
      </c>
      <c r="CB517" s="81" t="str">
        <f t="shared" ref="CB517:CB523" si="1950">IF(ISERROR((CA517/BS517-1)*100),"NA",IF(((CA517/BS517-1)*100)&gt;100,"NM",IF(((CA517/BS517-1)*100)&lt;-50,"NM",(CA517/BS517-1)*100)))</f>
        <v>NM</v>
      </c>
      <c r="CC517" s="222">
        <v>225.1</v>
      </c>
      <c r="CD517" s="81" t="str">
        <f t="shared" ref="CD517:CD523" si="1951">IF(ISERROR((CC517/BU517-1)*100),"NA",IF(((CC517/BU517-1)*100)&gt;100,"NM",IF(((CC517/BU517-1)*100)&lt;-50,"NM",(CC517/BU517-1)*100)))</f>
        <v>NA</v>
      </c>
      <c r="CE517" s="222">
        <v>225.1</v>
      </c>
      <c r="CF517" s="81" t="str">
        <f t="shared" ref="CF517:CF523" si="1952">IF(ISERROR((CE517/BW517-1)*100),"NA",IF(((CE517/BW517-1)*100)&gt;100,"NM",IF(((CE517/BW517-1)*100)&lt;-50,"NM",(CE517/BW517-1)*100)))</f>
        <v>NA</v>
      </c>
      <c r="CG517" s="222">
        <v>0</v>
      </c>
      <c r="CH517" s="81" t="str">
        <f t="shared" ref="CH517:CH523" si="1953">IF(ISERROR((CG517/BY517-1)*100),"NA",IF(((CG517/BY517-1)*100)&gt;100,"NM",IF(((CG517/BY517-1)*100)&lt;-50,"NM",(CG517/BY517-1)*100)))</f>
        <v>NM</v>
      </c>
      <c r="CI517" s="222">
        <v>140.4</v>
      </c>
      <c r="CJ517" s="81">
        <f t="shared" ref="CJ517:CJ523" si="1954">IF(ISERROR((CI517/CA517-1)*100),"NA",IF(((CI517/CA517-1)*100)&gt;100,"NM",IF(((CI517/CA517-1)*100)&lt;-50,"NM",(CI517/CA517-1)*100)))</f>
        <v>-37.627721012883164</v>
      </c>
      <c r="CK517" s="222">
        <v>342.4</v>
      </c>
      <c r="CL517" s="81">
        <f t="shared" ref="CL517:CL523" si="1955">IF(ISERROR((CK517/CC517-1)*100),"NA",IF(((CK517/CC517-1)*100)&gt;100,"NM",IF(((CK517/CC517-1)*100)&lt;-50,"NM",(CK517/CC517-1)*100)))</f>
        <v>52.110173256330519</v>
      </c>
      <c r="CM517" s="222">
        <v>312.3</v>
      </c>
      <c r="CN517" s="81">
        <f t="shared" ref="CN517:CN523" si="1956">IF(ISERROR((CM517/CE517-1)*100),"NA",IF(((CM517/CE517-1)*100)&gt;100,"NM",IF(((CM517/CE517-1)*100)&lt;-50,"NM",(CM517/CE517-1)*100)))</f>
        <v>38.738338516215023</v>
      </c>
      <c r="CO517" s="222">
        <v>372.2</v>
      </c>
      <c r="CP517" s="81" t="str">
        <f t="shared" ref="CP517:CP523" si="1957">IF(ISERROR((CO517/CG517-1)*100),"NA",IF(((CO517/CG517-1)*100)&gt;100,"NM",IF(((CO517/CG517-1)*100)&lt;-50,"NM",(CO517/CG517-1)*100)))</f>
        <v>NA</v>
      </c>
      <c r="CQ517" s="222">
        <v>467.1</v>
      </c>
      <c r="CR517" s="81" t="str">
        <f t="shared" ref="CR517:CR523" si="1958">IF(ISERROR((CQ517/CI517-1)*100),"NA",IF(((CQ517/CI517-1)*100)&gt;100,"NM",IF(((CQ517/CI517-1)*100)&lt;-50,"NM",(CQ517/CI517-1)*100)))</f>
        <v>NM</v>
      </c>
      <c r="CS517" s="222">
        <v>458.3</v>
      </c>
      <c r="CT517" s="81">
        <f t="shared" ref="CT517:CT523" si="1959">IF(ISERROR((CS517/CK517-1)*100),"NA",IF(((CS517/CK517-1)*100)&gt;100,"NM",IF(((CS517/CK517-1)*100)&lt;-50,"NM",(CS517/CK517-1)*100)))</f>
        <v>33.849299065420581</v>
      </c>
      <c r="CU517" s="222">
        <v>455.8</v>
      </c>
      <c r="CV517" s="81">
        <f t="shared" ref="CV517:CV523" si="1960">IF(ISERROR((CU517/CM517-1)*100),"NA",IF(((CU517/CM517-1)*100)&gt;100,"NM",IF(((CU517/CM517-1)*100)&lt;-50,"NM",(CU517/CM517-1)*100)))</f>
        <v>45.949407620877359</v>
      </c>
      <c r="CW517" s="222">
        <v>236.3</v>
      </c>
      <c r="CX517" s="81">
        <f t="shared" ref="CX517:CX523" si="1961">IF(ISERROR((CW517/CO517-1)*100),"NA",IF(((CW517/CO517-1)*100)&gt;100,"NM",IF(((CW517/CO517-1)*100)&lt;-50,"NM",(CW517/CO517-1)*100)))</f>
        <v>-36.512627619559368</v>
      </c>
      <c r="CY517" s="222">
        <v>153.6</v>
      </c>
      <c r="CZ517" s="81" t="str">
        <f t="shared" ref="CZ517:CZ523" si="1962">IF(ISERROR((CY517/CQ517-1)*100),"NA",IF(((CY517/CQ517-1)*100)&gt;100,"NM",IF(((CY517/CQ517-1)*100)&lt;-50,"NM",(CY517/CQ517-1)*100)))</f>
        <v>NM</v>
      </c>
      <c r="DA517" s="222">
        <v>140.5</v>
      </c>
      <c r="DB517" s="81" t="str">
        <f t="shared" ref="DB517:DB523" si="1963">IF(ISERROR((DA517/CS517-1)*100),"NA",IF(((DA517/CS517-1)*100)&gt;100,"NM",IF(((DA517/CS517-1)*100)&lt;-50,"NM",(DA517/CS517-1)*100)))</f>
        <v>NM</v>
      </c>
      <c r="DC517" s="222">
        <v>0</v>
      </c>
      <c r="DD517" s="81" t="str">
        <f t="shared" ref="DD517:DD523" si="1964">IF(ISERROR((DC517/CU517-1)*100),"NA",IF(((DC517/CU517-1)*100)&gt;100,"NM",IF(((DC517/CU517-1)*100)&lt;-50,"NM",(DC517/CU517-1)*100)))</f>
        <v>NM</v>
      </c>
      <c r="DE517" s="222">
        <v>61.6</v>
      </c>
      <c r="DF517" s="81" t="str">
        <f t="shared" ref="DF517:DF523" si="1965">IF(ISERROR((DE517/CW517-1)*100),"NA",IF(((DE517/CW517-1)*100)&gt;100,"NM",IF(((DE517/CW517-1)*100)&lt;-50,"NM",(DE517/CW517-1)*100)))</f>
        <v>NM</v>
      </c>
      <c r="DG517" s="222">
        <v>57.4</v>
      </c>
      <c r="DH517" s="81" t="str">
        <f t="shared" ref="DH517:DH523" si="1966">IF(ISERROR((DG517/CY517-1)*100),"NA",IF(((DG517/CY517-1)*100)&gt;100,"NM",IF(((DG517/CY517-1)*100)&lt;-50,"NM",(DG517/CY517-1)*100)))</f>
        <v>NM</v>
      </c>
      <c r="DI517" s="222">
        <v>70.2</v>
      </c>
      <c r="DJ517" s="81" t="str">
        <f t="shared" ref="DJ517:DJ523" si="1967">IF(ISERROR((DI517/DA517-1)*100),"NA",IF(((DI517/DA517-1)*100)&gt;100,"NM",IF(((DI517/DA517-1)*100)&lt;-50,"NM",(DI517/DA517-1)*100)))</f>
        <v>NM</v>
      </c>
      <c r="DK517" s="222">
        <v>151.9</v>
      </c>
      <c r="DL517" s="81" t="str">
        <f t="shared" ref="DL517:DL523" si="1968">IF(ISERROR((DK517/DC517-1)*100),"NA",IF(((DK517/DC517-1)*100)&gt;100,"NM",IF(((DK517/DC517-1)*100)&lt;-50,"NM",(DK517/DC517-1)*100)))</f>
        <v>NA</v>
      </c>
      <c r="DM517" s="222">
        <v>151.9</v>
      </c>
      <c r="DN517" s="81" t="str">
        <f t="shared" ref="DN517:DP523" si="1969">IF(ISERROR((DM517/DE517-1)*100),"NA",IF(((DM517/DE517-1)*100)&gt;100,"NM",IF(((DM517/DE517-1)*100)&lt;-50,"NM",(DM517/DE517-1)*100)))</f>
        <v>NM</v>
      </c>
      <c r="DO517" s="222">
        <v>151.9</v>
      </c>
      <c r="DP517" s="81" t="str">
        <f t="shared" si="1969"/>
        <v>NM</v>
      </c>
      <c r="DQ517" s="222">
        <v>506.1</v>
      </c>
      <c r="DR517" s="81" t="str">
        <f t="shared" ref="DR517:DR523" si="1970">IF(ISERROR((DQ517/DI517-1)*100),"NA",IF(((DQ517/DI517-1)*100)&gt;100,"NM",IF(((DQ517/DI517-1)*100)&lt;-50,"NM",(DQ517/DI517-1)*100)))</f>
        <v>NM</v>
      </c>
      <c r="DS517" s="222">
        <v>352.4</v>
      </c>
      <c r="DT517" s="81" t="str">
        <f t="shared" ref="DT517:DT523" si="1971">IF(ISERROR((DS517/DK517-1)*100),"NA",IF(((DS517/DK517-1)*100)&gt;100,"NM",IF(((DS517/DK517-1)*100)&lt;-50,"NM",(DS517/DK517-1)*100)))</f>
        <v>NM</v>
      </c>
      <c r="DU517" s="222">
        <v>351.4</v>
      </c>
      <c r="DV517" s="81" t="str">
        <f t="shared" ref="DV517:DV523" si="1972">IF(ISERROR((DU517/DM517-1)*100),"NA",IF(((DU517/DM517-1)*100)&gt;100,"NM",IF(((DU517/DM517-1)*100)&lt;-50,"NM",(DU517/DM517-1)*100)))</f>
        <v>NM</v>
      </c>
      <c r="DW517" s="222">
        <v>350.7</v>
      </c>
      <c r="DX517" s="81" t="str">
        <f t="shared" ref="DX517:DX523" si="1973">IF(ISERROR((DW517/DO517-1)*100),"NA",IF(((DW517/DO517-1)*100)&gt;100,"NM",IF(((DW517/DO517-1)*100)&lt;-50,"NM",(DW517/DO517-1)*100)))</f>
        <v>NM</v>
      </c>
      <c r="DY517" s="222">
        <v>0</v>
      </c>
      <c r="DZ517" s="81" t="str">
        <f t="shared" ref="DZ517:DZ523" si="1974">IF(ISERROR((DY517/DQ517-1)*100),"NA",IF(((DY517/DQ517-1)*100)&gt;100,"NM",IF(((DY517/DQ517-1)*100)&lt;-50,"NM",(DY517/DQ517-1)*100)))</f>
        <v>NM</v>
      </c>
      <c r="EA517" s="222">
        <v>0</v>
      </c>
      <c r="EB517" s="81" t="str">
        <f t="shared" ref="EB517:EB523" si="1975">IF(ISERROR((EA517/DS517-1)*100),"NA",IF(((EA517/DS517-1)*100)&gt;100,"NM",IF(((EA517/DS517-1)*100)&lt;-50,"NM",(EA517/DS517-1)*100)))</f>
        <v>NM</v>
      </c>
      <c r="EC517" s="222">
        <v>0</v>
      </c>
      <c r="ED517" s="81" t="str">
        <f t="shared" ref="ED517:ED523" si="1976">IF(ISERROR((EC517/DU517-1)*100),"NA",IF(((EC517/DU517-1)*100)&gt;100,"NM",IF(((EC517/DU517-1)*100)&lt;-50,"NM",(EC517/DU517-1)*100)))</f>
        <v>NM</v>
      </c>
      <c r="EE517" s="222">
        <v>0</v>
      </c>
      <c r="EF517" s="81" t="str">
        <f t="shared" ref="EF517:EF523" si="1977">IF(ISERROR((EE517/DW517-1)*100),"NA",IF(((EE517/DW517-1)*100)&gt;100,"NM",IF(((EE517/DW517-1)*100)&lt;-50,"NM",(EE517/DW517-1)*100)))</f>
        <v>NM</v>
      </c>
      <c r="EG517" s="222">
        <v>0</v>
      </c>
      <c r="EH517" s="81" t="str">
        <f t="shared" ref="EH517:EH523" si="1978">IF(ISERROR((EG517/DY517-1)*100),"NA",IF(((EG517/DY517-1)*100)&gt;100,"NM",IF(((EG517/DY517-1)*100)&lt;-50,"NM",(EG517/DY517-1)*100)))</f>
        <v>NA</v>
      </c>
      <c r="EI517" s="222">
        <v>0</v>
      </c>
      <c r="EJ517" s="81" t="str">
        <f t="shared" ref="EJ517:EJ523" si="1979">IF(ISERROR((EI517/EA517-1)*100),"NA",IF(((EI517/EA517-1)*100)&gt;100,"NM",IF(((EI517/EA517-1)*100)&lt;-50,"NM",(EI517/EA517-1)*100)))</f>
        <v>NA</v>
      </c>
      <c r="EK517" s="251">
        <f t="shared" ref="EK517:EK518" si="1980">EI517</f>
        <v>0</v>
      </c>
      <c r="EL517" s="81" t="str">
        <f t="shared" ref="EL517:EL523" si="1981">IF(ISERROR((EK517/EC517-1)*100),"NA",IF(((EK517/EC517-1)*100)&gt;100,"NM",IF(((EK517/EC517-1)*100)&lt;-50,"NM",(EK517/EC517-1)*100)))</f>
        <v>NA</v>
      </c>
      <c r="EM517" s="251">
        <f t="shared" ref="EM517:EM518" si="1982">EK517</f>
        <v>0</v>
      </c>
      <c r="EN517" s="81" t="str">
        <f t="shared" ref="EN517:EN523" si="1983">IF(ISERROR((EM517/EE517-1)*100),"NA",IF(((EM517/EE517-1)*100)&gt;100,"NM",IF(((EM517/EE517-1)*100)&lt;-50,"NM",(EM517/EE517-1)*100)))</f>
        <v>NA</v>
      </c>
      <c r="EO517" s="251">
        <f t="shared" ref="EO517:EO518" si="1984">EM517</f>
        <v>0</v>
      </c>
      <c r="EP517" s="81" t="str">
        <f t="shared" ref="EP517:EP523" si="1985">IF(ISERROR((EO517/EG517-1)*100),"NA",IF(((EO517/EG517-1)*100)&gt;100,"NM",IF(((EO517/EG517-1)*100)&lt;-50,"NM",(EO517/EG517-1)*100)))</f>
        <v>NA</v>
      </c>
      <c r="EQ517" s="251">
        <f t="shared" ref="EQ517:EQ518" si="1986">EO517</f>
        <v>0</v>
      </c>
      <c r="ER517" s="81" t="str">
        <f t="shared" ref="ER517:ER523" si="1987">IF(ISERROR((EQ517/EI517-1)*100),"NA",IF(((EQ517/EI517-1)*100)&gt;100,"NM",IF(((EQ517/EI517-1)*100)&lt;-50,"NM",(EQ517/EI517-1)*100)))</f>
        <v>NA</v>
      </c>
      <c r="ES517" s="246"/>
      <c r="ET517" s="497"/>
      <c r="EU517" s="246"/>
      <c r="EV517" s="131">
        <v>323.7</v>
      </c>
      <c r="EW517" s="79"/>
      <c r="EX517" s="131">
        <v>1075</v>
      </c>
      <c r="EY517" s="79" t="str">
        <f t="shared" ref="EY517:EY523" si="1988">IF(ISERROR((EX517/EV517-1)*100),"NA",IF(((EX517/EV517-1)*100)&gt;100,"NM",IF(((EX517/EV517-1)*100)&lt;-50,"NM",(EX517/EV517-1)*100)))</f>
        <v>NM</v>
      </c>
      <c r="EZ517" s="145"/>
      <c r="FA517" s="79" t="str">
        <f t="shared" ref="FA517:FA523" si="1989">IF(ISERROR((EZ517/EX517-1)*100),"NA",IF(((EZ517/EX517-1)*100)&gt;100,"NM",IF(((EZ517/EX517-1)*100)&lt;-50,"NM",(EZ517/EX517-1)*100)))</f>
        <v>NM</v>
      </c>
      <c r="FB517" s="145">
        <f>K517</f>
        <v>161.80000000000001</v>
      </c>
      <c r="FC517" s="79" t="str">
        <f t="shared" ref="FC517:FC523" si="1990">IF(ISERROR((FB517/EZ517-1)*100),"NA",IF(((FB517/EZ517-1)*100)&gt;100,"NM",IF(((FB517/EZ517-1)*100)&lt;-50,"NM",(FB517/EZ517-1)*100)))</f>
        <v>NA</v>
      </c>
      <c r="FD517" s="145">
        <f>+S517</f>
        <v>255</v>
      </c>
      <c r="FE517" s="79">
        <f t="shared" ref="FE517:FE523" si="1991">IF(ISERROR((FD517/FB517-1)*100),"NA",IF(((FD517/FB517-1)*100)&gt;100,"NM",IF(((FD517/FB517-1)*100)&lt;-50,"NM",(FD517/FB517-1)*100)))</f>
        <v>57.601977750309018</v>
      </c>
      <c r="FF517" s="145">
        <f>+AA517</f>
        <v>0</v>
      </c>
      <c r="FG517" s="79" t="str">
        <f t="shared" ref="FG517:FG523" si="1992">IF(ISERROR((FF517/FD517-1)*100),"NA",IF(((FF517/FD517-1)*100)&gt;100,"NM",IF(((FF517/FD517-1)*100)&lt;-50,"NM",(FF517/FD517-1)*100)))</f>
        <v>NM</v>
      </c>
      <c r="FH517" s="145">
        <f>+AI517</f>
        <v>227</v>
      </c>
      <c r="FI517" s="79" t="str">
        <f t="shared" ref="FI517:FI523" si="1993">IF(ISERROR((FH517/FF517-1)*100),"NA",IF(((FH517/FF517-1)*100)&gt;100,"NM",IF(((FH517/FF517-1)*100)&lt;-50,"NM",(FH517/FF517-1)*100)))</f>
        <v>NA</v>
      </c>
      <c r="FJ517" s="340">
        <f>+AQ517</f>
        <v>0</v>
      </c>
      <c r="FK517" s="79" t="str">
        <f t="shared" ref="FK517:FK523" si="1994">IF(ISERROR((FJ517/FH517-1)*100),"NA",IF(((FJ517/FH517-1)*100)&gt;100,"NM",IF(((FJ517/FH517-1)*100)&lt;-50,"NM",(FJ517/FH517-1)*100)))</f>
        <v>NM</v>
      </c>
      <c r="FL517" s="192">
        <f>AY517</f>
        <v>0</v>
      </c>
      <c r="FM517" s="79" t="str">
        <f t="shared" ref="FM517:FM523" si="1995">IF(ISERROR((FL517/FJ517-1)*100),"NA",IF(((FL517/FJ517-1)*100)&gt;100,"NM",IF(((FL517/FJ517-1)*100)&lt;-50,"NM",(FL517/FJ517-1)*100)))</f>
        <v>NA</v>
      </c>
      <c r="FN517" s="192">
        <f>BG517</f>
        <v>175</v>
      </c>
      <c r="FO517" s="79" t="str">
        <f t="shared" ref="FO517:FO523" si="1996">IF(ISERROR((FN517/FL517-1)*100),"NA",IF(((FN517/FL517-1)*100)&gt;100,"NM",IF(((FN517/FL517-1)*100)&lt;-50,"NM",(FN517/FL517-1)*100)))</f>
        <v>NA</v>
      </c>
      <c r="FP517" s="192">
        <f>BO517</f>
        <v>190.5</v>
      </c>
      <c r="FQ517" s="79">
        <f t="shared" ref="FQ517:FQ523" si="1997">IF(ISERROR((FP517/FN517-1)*100),"NA",IF(((FP517/FN517-1)*100)&gt;100,"NM",IF(((FP517/FN517-1)*100)&lt;-50,"NM",(FP517/FN517-1)*100)))</f>
        <v>8.8571428571428523</v>
      </c>
      <c r="FR517" s="251">
        <f>BW517</f>
        <v>0</v>
      </c>
      <c r="FS517" s="79" t="str">
        <f t="shared" ref="FS517:FS523" si="1998">IF(ISERROR((FR517/FP517-1)*100),"NA",IF(((FR517/FP517-1)*100)&gt;100,"NM",IF(((FR517/FP517-1)*100)&lt;-50,"NM",(FR517/FP517-1)*100)))</f>
        <v>NM</v>
      </c>
      <c r="FT517" s="251">
        <f>CE517</f>
        <v>225.1</v>
      </c>
      <c r="FU517" s="79" t="str">
        <f t="shared" ref="FU517:FU523" si="1999">IF(ISERROR((FT517/FR517-1)*100),"NA",IF(((FT517/FR517-1)*100)&gt;100,"NM",IF(((FT517/FR517-1)*100)&lt;-50,"NM",(FT517/FR517-1)*100)))</f>
        <v>NA</v>
      </c>
      <c r="FV517" s="251">
        <f>CM517</f>
        <v>312.3</v>
      </c>
      <c r="FW517" s="79">
        <f t="shared" ref="FW517:FW523" si="2000">IF(ISERROR((FV517/FT517-1)*100),"NA",IF(((FV517/FT517-1)*100)&gt;100,"NM",IF(((FV517/FT517-1)*100)&lt;-50,"NM",(FV517/FT517-1)*100)))</f>
        <v>38.738338516215023</v>
      </c>
      <c r="FX517" s="251">
        <f>CU517</f>
        <v>455.8</v>
      </c>
      <c r="FY517" s="79">
        <f t="shared" ref="FY517:FY523" si="2001">IF(ISERROR((FX517/FV517-1)*100),"NA",IF(((FX517/FV517-1)*100)&gt;100,"NM",IF(((FX517/FV517-1)*100)&lt;-50,"NM",(FX517/FV517-1)*100)))</f>
        <v>45.949407620877359</v>
      </c>
      <c r="FZ517" s="251">
        <f>DC517</f>
        <v>0</v>
      </c>
      <c r="GA517" s="79" t="str">
        <f t="shared" ref="GA517:GQ523" si="2002">IF(ISERROR((FZ517/FX517-1)*100),"NA",IF(((FZ517/FX517-1)*100)&gt;100,"NM",IF(((FZ517/FX517-1)*100)&lt;-50,"NM",(FZ517/FX517-1)*100)))</f>
        <v>NM</v>
      </c>
      <c r="GB517" s="251">
        <f>DK517</f>
        <v>151.9</v>
      </c>
      <c r="GC517" s="79" t="str">
        <f t="shared" si="2002"/>
        <v>NA</v>
      </c>
      <c r="GD517" s="251">
        <f>DS517</f>
        <v>352.4</v>
      </c>
      <c r="GE517" s="79" t="str">
        <f t="shared" si="2002"/>
        <v>NM</v>
      </c>
      <c r="GF517" s="251">
        <f>EA517</f>
        <v>0</v>
      </c>
      <c r="GG517" s="79" t="str">
        <f t="shared" si="2002"/>
        <v>NM</v>
      </c>
      <c r="GH517" s="251">
        <f>EI517</f>
        <v>0</v>
      </c>
      <c r="GI517" s="79" t="str">
        <f t="shared" si="2002"/>
        <v>NA</v>
      </c>
      <c r="GJ517" s="251">
        <f>EQ517</f>
        <v>0</v>
      </c>
      <c r="GK517" s="79" t="str">
        <f t="shared" si="2002"/>
        <v>NA</v>
      </c>
      <c r="GL517" s="251">
        <f>GJ517</f>
        <v>0</v>
      </c>
      <c r="GM517" s="79" t="str">
        <f t="shared" si="2002"/>
        <v>NA</v>
      </c>
      <c r="GN517" s="251">
        <f>GL517</f>
        <v>0</v>
      </c>
      <c r="GO517" s="79" t="str">
        <f t="shared" si="2002"/>
        <v>NA</v>
      </c>
      <c r="GP517" s="251">
        <f>GN517</f>
        <v>0</v>
      </c>
      <c r="GQ517" s="79" t="str">
        <f t="shared" si="2002"/>
        <v>NA</v>
      </c>
      <c r="GR517" s="251">
        <f>GP517</f>
        <v>0</v>
      </c>
      <c r="GS517" s="79" t="str">
        <f t="shared" ref="GS517:GS523" si="2003">IF(ISERROR((GR517/GP517-1)*100),"NA",IF(((GR517/GP517-1)*100)&gt;100,"NM",IF(((GR517/GP517-1)*100)&lt;-50,"NM",(GR517/GP517-1)*100)))</f>
        <v>NA</v>
      </c>
      <c r="GT517" s="79" t="str">
        <f t="shared" ref="GT517:GT523" si="2004">IF(ISERROR(((GR517/GH517)^0.2-1)*100),"NA",(IF(OR(((GR517/GH517)^0.2-1)*100&gt;99,((GR517/GH517)^0.2-1)*100&lt;-50),"NM",(((GR517/GH517)^0.2-1)*100))))</f>
        <v>NA</v>
      </c>
    </row>
    <row r="518" spans="1:202" ht="12.75" customHeight="1" x14ac:dyDescent="0.2">
      <c r="A518" s="1" t="s">
        <v>215</v>
      </c>
      <c r="B518" s="2" t="s">
        <v>504</v>
      </c>
      <c r="C518" s="79"/>
      <c r="D518" s="79"/>
      <c r="E518" s="131">
        <v>1861</v>
      </c>
      <c r="F518" s="131"/>
      <c r="G518" s="131">
        <v>2039.2</v>
      </c>
      <c r="H518" s="131"/>
      <c r="I518" s="131">
        <v>2016.8</v>
      </c>
      <c r="J518" s="131"/>
      <c r="K518" s="131">
        <v>2004.2</v>
      </c>
      <c r="L518" s="79"/>
      <c r="M518" s="131">
        <v>2005.8</v>
      </c>
      <c r="N518" s="79">
        <f t="shared" si="1925"/>
        <v>7.7807630306286901</v>
      </c>
      <c r="O518" s="131">
        <v>2132.8000000000002</v>
      </c>
      <c r="P518" s="79">
        <f t="shared" si="1926"/>
        <v>4.5900353079639133</v>
      </c>
      <c r="Q518" s="131">
        <v>2132.6999999999998</v>
      </c>
      <c r="R518" s="79">
        <f t="shared" si="1927"/>
        <v>5.7467274890916187</v>
      </c>
      <c r="S518" s="131">
        <v>1914</v>
      </c>
      <c r="T518" s="79">
        <f t="shared" si="1928"/>
        <v>-4.5005488474204158</v>
      </c>
      <c r="U518" s="131">
        <v>2214</v>
      </c>
      <c r="V518" s="79">
        <f t="shared" si="1929"/>
        <v>10.379898294944656</v>
      </c>
      <c r="W518" s="131">
        <v>2789</v>
      </c>
      <c r="X518" s="79">
        <f t="shared" si="1930"/>
        <v>30.767066766691652</v>
      </c>
      <c r="Y518" s="131">
        <v>2789</v>
      </c>
      <c r="Z518" s="79">
        <f t="shared" si="1931"/>
        <v>30.773198293243318</v>
      </c>
      <c r="AA518" s="126">
        <v>2789</v>
      </c>
      <c r="AB518" s="79">
        <f t="shared" si="1932"/>
        <v>45.715778474399158</v>
      </c>
      <c r="AC518" s="131">
        <v>2789</v>
      </c>
      <c r="AD518" s="79">
        <f t="shared" si="1933"/>
        <v>25.971093044263771</v>
      </c>
      <c r="AE518" s="131">
        <v>3089</v>
      </c>
      <c r="AF518" s="79">
        <f t="shared" si="1934"/>
        <v>10.756543564001442</v>
      </c>
      <c r="AG518" s="131">
        <v>2862</v>
      </c>
      <c r="AH518" s="79">
        <f t="shared" si="1935"/>
        <v>2.6174256005736751</v>
      </c>
      <c r="AI518" s="131">
        <v>2862</v>
      </c>
      <c r="AJ518" s="79">
        <f t="shared" si="1936"/>
        <v>2.6174256005736751</v>
      </c>
      <c r="AK518" s="131">
        <v>2862</v>
      </c>
      <c r="AL518" s="79">
        <f t="shared" si="1937"/>
        <v>2.6174256005736751</v>
      </c>
      <c r="AM518" s="131">
        <v>2862</v>
      </c>
      <c r="AN518" s="79">
        <f t="shared" si="1938"/>
        <v>-7.3486565231466461</v>
      </c>
      <c r="AO518" s="131">
        <v>2862</v>
      </c>
      <c r="AP518" s="79">
        <f t="shared" si="1938"/>
        <v>0</v>
      </c>
      <c r="AQ518" s="131">
        <v>3261.6</v>
      </c>
      <c r="AR518" s="79">
        <f t="shared" si="1938"/>
        <v>13.962264150943394</v>
      </c>
      <c r="AS518" s="131">
        <v>2861.6</v>
      </c>
      <c r="AT518" s="81">
        <f t="shared" si="1938"/>
        <v>-1.3976240391333494E-2</v>
      </c>
      <c r="AU518" s="131">
        <v>2561.6</v>
      </c>
      <c r="AV518" s="81">
        <f t="shared" si="1938"/>
        <v>-10.496156533892387</v>
      </c>
      <c r="AW518" s="131">
        <v>2561.6</v>
      </c>
      <c r="AX518" s="81">
        <f t="shared" si="1938"/>
        <v>-10.496156533892387</v>
      </c>
      <c r="AY518" s="131">
        <f>130+2529.6</f>
        <v>2659.6</v>
      </c>
      <c r="AZ518" s="81">
        <f t="shared" si="1938"/>
        <v>-18.457198920775074</v>
      </c>
      <c r="BA518" s="131">
        <f>120+2379.7</f>
        <v>2499.6999999999998</v>
      </c>
      <c r="BB518" s="81">
        <f t="shared" si="1938"/>
        <v>-12.646771037182003</v>
      </c>
      <c r="BC518" s="131">
        <f>2170.2+117.5</f>
        <v>2287.6999999999998</v>
      </c>
      <c r="BD518" s="81">
        <f t="shared" si="1938"/>
        <v>-10.692535915053092</v>
      </c>
      <c r="BE518" s="131">
        <f>2170.2+115</f>
        <v>2285.1999999999998</v>
      </c>
      <c r="BF518" s="81">
        <f t="shared" si="1939"/>
        <v>-10.79013116801999</v>
      </c>
      <c r="BG518" s="131">
        <f>912.5+1602.7</f>
        <v>2515.1999999999998</v>
      </c>
      <c r="BH518" s="81">
        <f t="shared" si="1940"/>
        <v>-5.4293878778763798</v>
      </c>
      <c r="BI518" s="131">
        <f>895+1602.7</f>
        <v>2497.6999999999998</v>
      </c>
      <c r="BJ518" s="81">
        <f t="shared" si="1941"/>
        <v>-8.0009601152142285E-2</v>
      </c>
      <c r="BK518" s="131">
        <f>882.1+1416.2</f>
        <v>2298.3000000000002</v>
      </c>
      <c r="BL518" s="81">
        <f t="shared" si="1942"/>
        <v>0.46334746688816431</v>
      </c>
      <c r="BM518" s="131">
        <f>1416.1+869.3</f>
        <v>2285.3999999999996</v>
      </c>
      <c r="BN518" s="81">
        <f t="shared" si="1943"/>
        <v>8.751969193054876E-3</v>
      </c>
      <c r="BO518" s="131">
        <f>1416.2+843.2</f>
        <v>2259.4</v>
      </c>
      <c r="BP518" s="81">
        <f t="shared" si="1944"/>
        <v>-10.17016539440203</v>
      </c>
      <c r="BQ518" s="131">
        <f>1416.2+838.5</f>
        <v>2254.6999999999998</v>
      </c>
      <c r="BR518" s="81">
        <f t="shared" si="1945"/>
        <v>-9.7289506345838213</v>
      </c>
      <c r="BS518" s="131">
        <f>1416.2+834.4</f>
        <v>2250.6</v>
      </c>
      <c r="BT518" s="81">
        <f t="shared" si="1946"/>
        <v>-2.0754470695731775</v>
      </c>
      <c r="BU518" s="131">
        <f>815.8+1764.4</f>
        <v>2580.1999999999998</v>
      </c>
      <c r="BV518" s="81">
        <f t="shared" si="1947"/>
        <v>12.899273650126908</v>
      </c>
      <c r="BW518" s="131">
        <f>785.2+1764.4</f>
        <v>2549.6000000000004</v>
      </c>
      <c r="BX518" s="81">
        <f t="shared" si="1948"/>
        <v>12.844117907409046</v>
      </c>
      <c r="BY518" s="131">
        <f>761.9+1529.3</f>
        <v>2291.1999999999998</v>
      </c>
      <c r="BZ518" s="81">
        <f t="shared" si="1949"/>
        <v>1.6188406439881176</v>
      </c>
      <c r="CA518" s="131">
        <f>737.5+1529.3</f>
        <v>2266.8000000000002</v>
      </c>
      <c r="CB518" s="81">
        <f t="shared" si="1950"/>
        <v>0.71980805118636582</v>
      </c>
      <c r="CC518" s="131">
        <f>732.5+1928.8</f>
        <v>2661.3</v>
      </c>
      <c r="CD518" s="81">
        <f t="shared" si="1951"/>
        <v>3.1431671963413788</v>
      </c>
      <c r="CE518" s="131">
        <f>716.9+1914.4</f>
        <v>2631.3</v>
      </c>
      <c r="CF518" s="81">
        <f t="shared" si="1952"/>
        <v>3.204424223407587</v>
      </c>
      <c r="CG518" s="131">
        <f>692.7+1912.3</f>
        <v>2605</v>
      </c>
      <c r="CH518" s="81">
        <f t="shared" si="1953"/>
        <v>13.69587988826817</v>
      </c>
      <c r="CI518" s="131">
        <f>667.5+1921.6</f>
        <v>2589.1</v>
      </c>
      <c r="CJ518" s="81">
        <f t="shared" si="1954"/>
        <v>14.218281277571897</v>
      </c>
      <c r="CK518" s="131">
        <f>650+1936.5</f>
        <v>2586.5</v>
      </c>
      <c r="CL518" s="81">
        <f t="shared" si="1955"/>
        <v>-2.8106564460977812</v>
      </c>
      <c r="CM518" s="131">
        <f>632.5+1937.7</f>
        <v>2570.1999999999998</v>
      </c>
      <c r="CN518" s="81">
        <f t="shared" si="1956"/>
        <v>-2.322046136890521</v>
      </c>
      <c r="CO518" s="131">
        <f>615+1937.8</f>
        <v>2552.8000000000002</v>
      </c>
      <c r="CP518" s="81">
        <f t="shared" si="1957"/>
        <v>-2.0038387715930805</v>
      </c>
      <c r="CQ518" s="131">
        <f>598.3+1942</f>
        <v>2540.3000000000002</v>
      </c>
      <c r="CR518" s="81">
        <f t="shared" si="1958"/>
        <v>-1.8848248426093894</v>
      </c>
      <c r="CS518" s="131">
        <f>586.9+2194.6</f>
        <v>2781.5</v>
      </c>
      <c r="CT518" s="81">
        <f t="shared" si="1959"/>
        <v>7.5391455635028137</v>
      </c>
      <c r="CU518" s="131">
        <f>562.5+2192.9</f>
        <v>2755.4</v>
      </c>
      <c r="CV518" s="81">
        <f t="shared" si="1960"/>
        <v>7.2056649287993269</v>
      </c>
      <c r="CW518" s="131">
        <f>485+2188.9</f>
        <v>2673.9</v>
      </c>
      <c r="CX518" s="81">
        <f t="shared" si="1961"/>
        <v>4.7438107176433597</v>
      </c>
      <c r="CY518" s="131">
        <f>470+2174</f>
        <v>2644</v>
      </c>
      <c r="CZ518" s="81">
        <f t="shared" si="1962"/>
        <v>4.0821950163366427</v>
      </c>
      <c r="DA518" s="131">
        <f>455+2176.3</f>
        <v>2631.3</v>
      </c>
      <c r="DB518" s="81">
        <f t="shared" si="1963"/>
        <v>-5.399964048175443</v>
      </c>
      <c r="DC518" s="131">
        <f>440+2172</f>
        <v>2612</v>
      </c>
      <c r="DD518" s="81">
        <f t="shared" si="1964"/>
        <v>-5.2043260506641538</v>
      </c>
      <c r="DE518" s="131">
        <f>425+2523.2</f>
        <v>2948.2</v>
      </c>
      <c r="DF518" s="81">
        <f t="shared" si="1965"/>
        <v>10.258424024832635</v>
      </c>
      <c r="DG518" s="131">
        <f>410+2382</f>
        <v>2792</v>
      </c>
      <c r="DH518" s="81">
        <f t="shared" si="1966"/>
        <v>5.5975794251134747</v>
      </c>
      <c r="DI518" s="131">
        <f>404.8+2378.5</f>
        <v>2783.3</v>
      </c>
      <c r="DJ518" s="81">
        <f t="shared" si="1967"/>
        <v>5.776612320906005</v>
      </c>
      <c r="DK518" s="131">
        <f>398.4+2230.3</f>
        <v>2628.7000000000003</v>
      </c>
      <c r="DL518" s="81">
        <f t="shared" si="1968"/>
        <v>0.63935681470139727</v>
      </c>
      <c r="DM518" s="131">
        <f>369.3+2234</f>
        <v>2603.3000000000002</v>
      </c>
      <c r="DN518" s="81">
        <f t="shared" si="1969"/>
        <v>-11.698663591343861</v>
      </c>
      <c r="DO518" s="131">
        <f>350+2230.8</f>
        <v>2580.8000000000002</v>
      </c>
      <c r="DP518" s="81">
        <f t="shared" si="1969"/>
        <v>-7.5644699140401066</v>
      </c>
      <c r="DQ518" s="131">
        <f>335.8+1881.3</f>
        <v>2217.1</v>
      </c>
      <c r="DR518" s="81">
        <f t="shared" si="1970"/>
        <v>-20.342758595911338</v>
      </c>
      <c r="DS518" s="131">
        <f>324+2125.4</f>
        <v>2449.4</v>
      </c>
      <c r="DT518" s="81">
        <f t="shared" si="1971"/>
        <v>-6.8208620230532313</v>
      </c>
      <c r="DU518" s="131">
        <f>310.8+2131.7</f>
        <v>2442.5</v>
      </c>
      <c r="DV518" s="81">
        <f t="shared" si="1972"/>
        <v>-6.1767756309299759</v>
      </c>
      <c r="DW518" s="131">
        <f>294.5+2748.1</f>
        <v>3042.6</v>
      </c>
      <c r="DX518" s="81">
        <f t="shared" si="1973"/>
        <v>17.893676379417233</v>
      </c>
      <c r="DY518" s="131">
        <f>269.7+2750.1</f>
        <v>3019.7999999999997</v>
      </c>
      <c r="DZ518" s="81">
        <f t="shared" si="1974"/>
        <v>36.204952415317294</v>
      </c>
      <c r="EA518" s="131">
        <f>255+2744.4</f>
        <v>2999.4</v>
      </c>
      <c r="EB518" s="81">
        <f t="shared" si="1975"/>
        <v>22.454478647832122</v>
      </c>
      <c r="EC518" s="131">
        <f>240.2+2744.4</f>
        <v>2984.6</v>
      </c>
      <c r="ED518" s="81">
        <f t="shared" si="1976"/>
        <v>22.194472876151483</v>
      </c>
      <c r="EE518" s="131">
        <f>225.5+2742.9</f>
        <v>2968.4</v>
      </c>
      <c r="EF518" s="81">
        <f t="shared" si="1977"/>
        <v>-2.4387037402221701</v>
      </c>
      <c r="EG518" s="131">
        <f>210.8+2543.3</f>
        <v>2754.1000000000004</v>
      </c>
      <c r="EH518" s="81">
        <f t="shared" si="1978"/>
        <v>-8.7985959335055153</v>
      </c>
      <c r="EI518" s="131">
        <f>196+2742.3</f>
        <v>2938.3</v>
      </c>
      <c r="EJ518" s="81">
        <f t="shared" si="1979"/>
        <v>-2.0370740814829591</v>
      </c>
      <c r="EK518" s="192">
        <f t="shared" si="1980"/>
        <v>2938.3</v>
      </c>
      <c r="EL518" s="81">
        <f t="shared" si="1981"/>
        <v>-1.5512966561683217</v>
      </c>
      <c r="EM518" s="192">
        <f t="shared" si="1982"/>
        <v>2938.3</v>
      </c>
      <c r="EN518" s="81">
        <f t="shared" si="1983"/>
        <v>-1.0140142837892441</v>
      </c>
      <c r="EO518" s="192">
        <f t="shared" si="1984"/>
        <v>2938.3</v>
      </c>
      <c r="EP518" s="81">
        <f t="shared" si="1985"/>
        <v>6.6882103046367103</v>
      </c>
      <c r="EQ518" s="192">
        <f t="shared" si="1986"/>
        <v>2938.3</v>
      </c>
      <c r="ER518" s="81">
        <f t="shared" si="1987"/>
        <v>0</v>
      </c>
      <c r="ES518" s="246"/>
      <c r="ET518" s="497"/>
      <c r="EU518" s="246"/>
      <c r="EV518" s="131">
        <v>1225.2</v>
      </c>
      <c r="EW518" s="79"/>
      <c r="EX518" s="131">
        <f>1166.5</f>
        <v>1166.5</v>
      </c>
      <c r="EY518" s="79">
        <f t="shared" si="1988"/>
        <v>-4.7910545217107465</v>
      </c>
      <c r="EZ518" s="145"/>
      <c r="FA518" s="79" t="str">
        <f t="shared" si="1989"/>
        <v>NM</v>
      </c>
      <c r="FB518" s="145">
        <f>K518</f>
        <v>2004.2</v>
      </c>
      <c r="FC518" s="79" t="str">
        <f t="shared" si="1990"/>
        <v>NA</v>
      </c>
      <c r="FD518" s="145">
        <f>+S518</f>
        <v>1914</v>
      </c>
      <c r="FE518" s="79">
        <f t="shared" si="1991"/>
        <v>-4.5005488474204158</v>
      </c>
      <c r="FF518" s="145">
        <f>+AA518</f>
        <v>2789</v>
      </c>
      <c r="FG518" s="79">
        <f t="shared" si="1992"/>
        <v>45.715778474399158</v>
      </c>
      <c r="FH518" s="145">
        <f>+AI518</f>
        <v>2862</v>
      </c>
      <c r="FI518" s="79">
        <f t="shared" si="1993"/>
        <v>2.6174256005736751</v>
      </c>
      <c r="FJ518" s="340">
        <f>+AQ518</f>
        <v>3261.6</v>
      </c>
      <c r="FK518" s="79">
        <f t="shared" si="1994"/>
        <v>13.962264150943394</v>
      </c>
      <c r="FL518" s="192">
        <f>AY518</f>
        <v>2659.6</v>
      </c>
      <c r="FM518" s="79">
        <f t="shared" si="1995"/>
        <v>-18.457198920775074</v>
      </c>
      <c r="FN518" s="192">
        <f>BG518</f>
        <v>2515.1999999999998</v>
      </c>
      <c r="FO518" s="79">
        <f t="shared" si="1996"/>
        <v>-5.4293878778763798</v>
      </c>
      <c r="FP518" s="192">
        <f>BO518</f>
        <v>2259.4</v>
      </c>
      <c r="FQ518" s="79">
        <f t="shared" si="1997"/>
        <v>-10.17016539440203</v>
      </c>
      <c r="FR518" s="192">
        <f>BW518</f>
        <v>2549.6000000000004</v>
      </c>
      <c r="FS518" s="79">
        <f t="shared" si="1998"/>
        <v>12.844117907409046</v>
      </c>
      <c r="FT518" s="192">
        <f>CE518</f>
        <v>2631.3</v>
      </c>
      <c r="FU518" s="79">
        <f t="shared" si="1999"/>
        <v>3.204424223407587</v>
      </c>
      <c r="FV518" s="192">
        <f>CM518</f>
        <v>2570.1999999999998</v>
      </c>
      <c r="FW518" s="79">
        <f t="shared" si="2000"/>
        <v>-2.322046136890521</v>
      </c>
      <c r="FX518" s="192">
        <f>CU518</f>
        <v>2755.4</v>
      </c>
      <c r="FY518" s="79">
        <f t="shared" si="2001"/>
        <v>7.2056649287993269</v>
      </c>
      <c r="FZ518" s="192">
        <f>DC518</f>
        <v>2612</v>
      </c>
      <c r="GA518" s="79">
        <f t="shared" si="2002"/>
        <v>-5.2043260506641538</v>
      </c>
      <c r="GB518" s="192">
        <f>DK518</f>
        <v>2628.7000000000003</v>
      </c>
      <c r="GC518" s="79">
        <f t="shared" si="2002"/>
        <v>0.63935681470139727</v>
      </c>
      <c r="GD518" s="192">
        <f>DS518</f>
        <v>2449.4</v>
      </c>
      <c r="GE518" s="79">
        <f t="shared" si="2002"/>
        <v>-6.8208620230532313</v>
      </c>
      <c r="GF518" s="192">
        <f>EA518</f>
        <v>2999.4</v>
      </c>
      <c r="GG518" s="79">
        <f t="shared" si="2002"/>
        <v>22.454478647832122</v>
      </c>
      <c r="GH518" s="192">
        <f>EI518</f>
        <v>2938.3</v>
      </c>
      <c r="GI518" s="79">
        <f t="shared" si="2002"/>
        <v>-2.0370740814829591</v>
      </c>
      <c r="GJ518" s="192">
        <f>EQ518</f>
        <v>2938.3</v>
      </c>
      <c r="GK518" s="79">
        <f t="shared" si="2002"/>
        <v>0</v>
      </c>
      <c r="GL518" s="192">
        <f>GJ518</f>
        <v>2938.3</v>
      </c>
      <c r="GM518" s="79">
        <f t="shared" si="2002"/>
        <v>0</v>
      </c>
      <c r="GN518" s="192">
        <f>GL518</f>
        <v>2938.3</v>
      </c>
      <c r="GO518" s="79">
        <f t="shared" si="2002"/>
        <v>0</v>
      </c>
      <c r="GP518" s="192">
        <f>GN518</f>
        <v>2938.3</v>
      </c>
      <c r="GQ518" s="79">
        <f t="shared" si="2002"/>
        <v>0</v>
      </c>
      <c r="GR518" s="192">
        <f>GP518</f>
        <v>2938.3</v>
      </c>
      <c r="GS518" s="79">
        <f t="shared" si="2003"/>
        <v>0</v>
      </c>
      <c r="GT518" s="79">
        <f t="shared" si="2004"/>
        <v>0</v>
      </c>
    </row>
    <row r="519" spans="1:202" ht="12.75" customHeight="1" x14ac:dyDescent="0.2">
      <c r="A519" s="1"/>
      <c r="B519" s="2" t="s">
        <v>251</v>
      </c>
      <c r="C519" s="79"/>
      <c r="D519" s="79"/>
      <c r="E519" s="379">
        <f t="shared" ref="E519:Q519" si="2005">SUM(E517:E518)</f>
        <v>2061</v>
      </c>
      <c r="F519" s="379"/>
      <c r="G519" s="379">
        <f t="shared" si="2005"/>
        <v>2039.2</v>
      </c>
      <c r="H519" s="379"/>
      <c r="I519" s="379">
        <f t="shared" si="2005"/>
        <v>2189.3000000000002</v>
      </c>
      <c r="J519" s="379"/>
      <c r="K519" s="379">
        <f t="shared" si="2005"/>
        <v>2166</v>
      </c>
      <c r="L519" s="79"/>
      <c r="M519" s="379">
        <f t="shared" si="2005"/>
        <v>2168.1999999999998</v>
      </c>
      <c r="N519" s="79">
        <f t="shared" si="1925"/>
        <v>5.2013585638039705</v>
      </c>
      <c r="O519" s="379">
        <f t="shared" si="2005"/>
        <v>2167.8000000000002</v>
      </c>
      <c r="P519" s="79">
        <f t="shared" si="1926"/>
        <v>6.3063946645743441</v>
      </c>
      <c r="Q519" s="379">
        <f t="shared" si="2005"/>
        <v>2167.6999999999998</v>
      </c>
      <c r="R519" s="79">
        <f t="shared" si="1927"/>
        <v>-0.98661672680767643</v>
      </c>
      <c r="S519" s="379">
        <f>SUM(S517:S518)</f>
        <v>2169</v>
      </c>
      <c r="T519" s="79">
        <f t="shared" si="1928"/>
        <v>0.13850415512466352</v>
      </c>
      <c r="U519" s="379">
        <f>SUM(U517:U518)</f>
        <v>2421.1999999999998</v>
      </c>
      <c r="V519" s="79">
        <f t="shared" si="1929"/>
        <v>11.668665252283006</v>
      </c>
      <c r="W519" s="379">
        <f>SUM(W517:W518)</f>
        <v>2809</v>
      </c>
      <c r="X519" s="79">
        <f t="shared" si="1930"/>
        <v>29.578374388781235</v>
      </c>
      <c r="Y519" s="379">
        <f>SUM(Y517:Y518)</f>
        <v>2809</v>
      </c>
      <c r="Z519" s="79">
        <f t="shared" si="1931"/>
        <v>29.584352078239618</v>
      </c>
      <c r="AA519" s="345">
        <f>SUM(AA517:AA518)</f>
        <v>2789</v>
      </c>
      <c r="AB519" s="79">
        <f t="shared" si="1932"/>
        <v>28.584601198709091</v>
      </c>
      <c r="AC519" s="379">
        <f>SUM(AC517:AC518)</f>
        <v>2789</v>
      </c>
      <c r="AD519" s="79">
        <f t="shared" si="1933"/>
        <v>15.190814472162572</v>
      </c>
      <c r="AE519" s="379">
        <f>SUM(AE517:AE518)</f>
        <v>3089</v>
      </c>
      <c r="AF519" s="79">
        <f t="shared" si="1934"/>
        <v>9.967960128159481</v>
      </c>
      <c r="AG519" s="379">
        <f>SUM(AG517:AG518)</f>
        <v>3089</v>
      </c>
      <c r="AH519" s="79">
        <f t="shared" si="1935"/>
        <v>9.967960128159481</v>
      </c>
      <c r="AI519" s="379">
        <f>SUM(AI517:AI518)</f>
        <v>3089</v>
      </c>
      <c r="AJ519" s="79">
        <f t="shared" si="1936"/>
        <v>10.756543564001442</v>
      </c>
      <c r="AK519" s="379">
        <f>SUM(AK517:AK518)</f>
        <v>3064</v>
      </c>
      <c r="AL519" s="79">
        <f t="shared" si="1937"/>
        <v>9.860164933667992</v>
      </c>
      <c r="AM519" s="379">
        <f>SUM(AM517:AM518)</f>
        <v>3062</v>
      </c>
      <c r="AN519" s="79">
        <f t="shared" si="1938"/>
        <v>-0.87406927808352242</v>
      </c>
      <c r="AO519" s="379">
        <f>SUM(AO517:AO518)</f>
        <v>2862</v>
      </c>
      <c r="AP519" s="79">
        <f t="shared" si="1938"/>
        <v>-7.3486565231466461</v>
      </c>
      <c r="AQ519" s="379">
        <f>SUM(AQ517:AQ518)</f>
        <v>3261.6</v>
      </c>
      <c r="AR519" s="79">
        <f t="shared" si="1938"/>
        <v>5.5875687924894724</v>
      </c>
      <c r="AS519" s="379">
        <f>SUM(AS517:AS518)</f>
        <v>2861.6</v>
      </c>
      <c r="AT519" s="81">
        <f t="shared" si="1938"/>
        <v>-6.6057441253263738</v>
      </c>
      <c r="AU519" s="379">
        <f>SUM(AU517:AU518)</f>
        <v>2561.6</v>
      </c>
      <c r="AV519" s="81">
        <f t="shared" si="1938"/>
        <v>-16.342259960809933</v>
      </c>
      <c r="AW519" s="379">
        <f>SUM(AW517:AW518)</f>
        <v>2561.6</v>
      </c>
      <c r="AX519" s="81">
        <f t="shared" si="1938"/>
        <v>-10.496156533892387</v>
      </c>
      <c r="AY519" s="379">
        <f>SUM(AY517:AY518)</f>
        <v>2659.6</v>
      </c>
      <c r="AZ519" s="81">
        <f t="shared" si="1938"/>
        <v>-18.457198920775074</v>
      </c>
      <c r="BA519" s="379">
        <f>SUM(BA517:BA518)</f>
        <v>2499.6999999999998</v>
      </c>
      <c r="BB519" s="81">
        <f t="shared" si="1938"/>
        <v>-12.646771037182003</v>
      </c>
      <c r="BC519" s="379">
        <f>SUM(BC517:BC518)</f>
        <v>2287.6999999999998</v>
      </c>
      <c r="BD519" s="81">
        <f t="shared" si="1938"/>
        <v>-10.692535915053092</v>
      </c>
      <c r="BE519" s="379">
        <f>SUM(BE517:BE518)</f>
        <v>2460.1999999999998</v>
      </c>
      <c r="BF519" s="81">
        <f t="shared" si="1939"/>
        <v>-3.9584634603372915</v>
      </c>
      <c r="BG519" s="379">
        <f>SUM(BG517:BG518)</f>
        <v>2690.2</v>
      </c>
      <c r="BH519" s="81">
        <f t="shared" si="1940"/>
        <v>1.1505489547300352</v>
      </c>
      <c r="BI519" s="379">
        <f>SUM(BI517:BI518)</f>
        <v>2672.7</v>
      </c>
      <c r="BJ519" s="81">
        <f t="shared" si="1941"/>
        <v>6.920830499659969</v>
      </c>
      <c r="BK519" s="379">
        <f>SUM(BK517:BK518)</f>
        <v>2538.3000000000002</v>
      </c>
      <c r="BL519" s="81">
        <f t="shared" si="1942"/>
        <v>10.954233509638511</v>
      </c>
      <c r="BM519" s="379">
        <f>SUM(BM517:BM518)</f>
        <v>2560.3999999999996</v>
      </c>
      <c r="BN519" s="81">
        <f t="shared" si="1943"/>
        <v>4.0728396065360384</v>
      </c>
      <c r="BO519" s="379">
        <f>SUM(BO517:BO518)</f>
        <v>2449.9</v>
      </c>
      <c r="BP519" s="81">
        <f t="shared" si="1944"/>
        <v>-8.9324213813099291</v>
      </c>
      <c r="BQ519" s="379">
        <f>SUM(BQ517:BQ518)</f>
        <v>2461.6</v>
      </c>
      <c r="BR519" s="81">
        <f t="shared" si="1945"/>
        <v>-7.8983799154413115</v>
      </c>
      <c r="BS519" s="379">
        <f>SUM(BS517:BS518)</f>
        <v>2295.6</v>
      </c>
      <c r="BT519" s="81">
        <f t="shared" si="1946"/>
        <v>-9.5615175511169053</v>
      </c>
      <c r="BU519" s="379">
        <f>SUM(BU517:BU518)</f>
        <v>2580.1999999999998</v>
      </c>
      <c r="BV519" s="81">
        <f t="shared" si="1947"/>
        <v>0.77331666927042964</v>
      </c>
      <c r="BW519" s="379">
        <f>SUM(BW517:BW518)</f>
        <v>2549.6000000000004</v>
      </c>
      <c r="BX519" s="81">
        <f t="shared" si="1948"/>
        <v>4.0695538593412017</v>
      </c>
      <c r="BY519" s="379">
        <f>SUM(BY517:BY518)</f>
        <v>2516.2999999999997</v>
      </c>
      <c r="BZ519" s="81">
        <f t="shared" si="1949"/>
        <v>2.2221319467013334</v>
      </c>
      <c r="CA519" s="379">
        <f>SUM(CA517:CA518)</f>
        <v>2491.9</v>
      </c>
      <c r="CB519" s="81">
        <f t="shared" si="1950"/>
        <v>8.5511413138177552</v>
      </c>
      <c r="CC519" s="379">
        <f>SUM(CC517:CC518)</f>
        <v>2886.4</v>
      </c>
      <c r="CD519" s="81">
        <f t="shared" si="1951"/>
        <v>11.867297108751274</v>
      </c>
      <c r="CE519" s="379">
        <f>SUM(CE517:CE518)</f>
        <v>2856.4</v>
      </c>
      <c r="CF519" s="81">
        <f t="shared" si="1952"/>
        <v>12.033260119234379</v>
      </c>
      <c r="CG519" s="379">
        <f>SUM(CG517:CG518)</f>
        <v>2605</v>
      </c>
      <c r="CH519" s="81">
        <f t="shared" si="1953"/>
        <v>3.5250168898780077</v>
      </c>
      <c r="CI519" s="379">
        <f>SUM(CI517:CI518)</f>
        <v>2729.5</v>
      </c>
      <c r="CJ519" s="81">
        <f t="shared" si="1954"/>
        <v>9.5348930534933096</v>
      </c>
      <c r="CK519" s="379">
        <f>SUM(CK517:CK518)</f>
        <v>2928.9</v>
      </c>
      <c r="CL519" s="81">
        <f t="shared" si="1955"/>
        <v>1.4724223946784853</v>
      </c>
      <c r="CM519" s="379">
        <f>SUM(CM517:CM518)</f>
        <v>2882.5</v>
      </c>
      <c r="CN519" s="81">
        <f t="shared" si="1956"/>
        <v>0.91373757176864689</v>
      </c>
      <c r="CO519" s="379">
        <f>SUM(CO517:CO518)</f>
        <v>2925</v>
      </c>
      <c r="CP519" s="81">
        <f t="shared" si="1957"/>
        <v>12.284069097888683</v>
      </c>
      <c r="CQ519" s="379">
        <f>SUM(CQ517:CQ518)</f>
        <v>3007.4</v>
      </c>
      <c r="CR519" s="81">
        <f t="shared" si="1958"/>
        <v>10.181351895951639</v>
      </c>
      <c r="CS519" s="379">
        <f>SUM(CS517:CS518)</f>
        <v>3239.8</v>
      </c>
      <c r="CT519" s="81">
        <f t="shared" si="1959"/>
        <v>10.614906620232855</v>
      </c>
      <c r="CU519" s="379">
        <f>SUM(CU517:CU518)</f>
        <v>3211.2000000000003</v>
      </c>
      <c r="CV519" s="81">
        <f t="shared" si="1960"/>
        <v>11.403295750216834</v>
      </c>
      <c r="CW519" s="379">
        <f>SUM(CW517:CW518)</f>
        <v>2910.2000000000003</v>
      </c>
      <c r="CX519" s="81">
        <f t="shared" si="1961"/>
        <v>-0.50598290598289353</v>
      </c>
      <c r="CY519" s="379">
        <f>SUM(CY517:CY518)</f>
        <v>2797.6</v>
      </c>
      <c r="CZ519" s="81">
        <f t="shared" si="1962"/>
        <v>-6.9761255569595004</v>
      </c>
      <c r="DA519" s="379">
        <f>SUM(DA517:DA518)</f>
        <v>2771.8</v>
      </c>
      <c r="DB519" s="81">
        <f t="shared" si="1963"/>
        <v>-14.445336131859987</v>
      </c>
      <c r="DC519" s="379">
        <f>SUM(DC517:DC518)</f>
        <v>2612</v>
      </c>
      <c r="DD519" s="81">
        <f t="shared" si="1964"/>
        <v>-18.659691081215758</v>
      </c>
      <c r="DE519" s="379">
        <f>SUM(DE517:DE518)</f>
        <v>3009.7999999999997</v>
      </c>
      <c r="DF519" s="81">
        <f t="shared" si="1965"/>
        <v>3.4224451927702404</v>
      </c>
      <c r="DG519" s="379">
        <f>SUM(DG517:DG518)</f>
        <v>2849.4</v>
      </c>
      <c r="DH519" s="81">
        <f t="shared" si="1966"/>
        <v>1.8515870746354191</v>
      </c>
      <c r="DI519" s="379">
        <f>SUM(DI517:DI518)</f>
        <v>2853.5</v>
      </c>
      <c r="DJ519" s="81">
        <f t="shared" si="1967"/>
        <v>2.9475431127786944</v>
      </c>
      <c r="DK519" s="379">
        <f>SUM(DK517:DK518)</f>
        <v>2780.6000000000004</v>
      </c>
      <c r="DL519" s="81">
        <f t="shared" si="1968"/>
        <v>6.4548238897396804</v>
      </c>
      <c r="DM519" s="379">
        <f>SUM(DM517:DM518)</f>
        <v>2755.2000000000003</v>
      </c>
      <c r="DN519" s="81">
        <f t="shared" si="1969"/>
        <v>-8.4590338228453525</v>
      </c>
      <c r="DO519" s="379">
        <f>SUM(DO517:DO518)</f>
        <v>2732.7000000000003</v>
      </c>
      <c r="DP519" s="81">
        <f t="shared" si="1969"/>
        <v>-4.0955990734891534</v>
      </c>
      <c r="DQ519" s="379">
        <f>SUM(DQ517:DQ518)</f>
        <v>2723.2</v>
      </c>
      <c r="DR519" s="81">
        <f t="shared" si="1970"/>
        <v>-4.5663220606273036</v>
      </c>
      <c r="DS519" s="379">
        <f>SUM(DS517:DS518)</f>
        <v>2801.8</v>
      </c>
      <c r="DT519" s="81">
        <f t="shared" si="1971"/>
        <v>0.76242537581816539</v>
      </c>
      <c r="DU519" s="379">
        <f>SUM(DU517:DU518)</f>
        <v>2793.9</v>
      </c>
      <c r="DV519" s="81">
        <f t="shared" si="1972"/>
        <v>1.4046167247386609</v>
      </c>
      <c r="DW519" s="379">
        <f>SUM(DW517:DW518)</f>
        <v>3393.2999999999997</v>
      </c>
      <c r="DX519" s="81">
        <f t="shared" si="1973"/>
        <v>24.173893951037417</v>
      </c>
      <c r="DY519" s="379">
        <f>SUM(DY517:DY518)</f>
        <v>3019.7999999999997</v>
      </c>
      <c r="DZ519" s="81">
        <f t="shared" si="1974"/>
        <v>10.89159811985898</v>
      </c>
      <c r="EA519" s="379">
        <f>SUM(EA517:EA518)</f>
        <v>2999.4</v>
      </c>
      <c r="EB519" s="81">
        <f t="shared" si="1975"/>
        <v>7.052609037047608</v>
      </c>
      <c r="EC519" s="379">
        <f>SUM(EC517:EC518)</f>
        <v>2984.6</v>
      </c>
      <c r="ED519" s="81">
        <f t="shared" si="1976"/>
        <v>6.825584308672461</v>
      </c>
      <c r="EE519" s="379">
        <f>SUM(EE517:EE518)</f>
        <v>2968.4</v>
      </c>
      <c r="EF519" s="81">
        <f t="shared" si="1977"/>
        <v>-12.521734005245621</v>
      </c>
      <c r="EG519" s="379">
        <f>SUM(EG517:EG518)</f>
        <v>2754.1000000000004</v>
      </c>
      <c r="EH519" s="81">
        <f t="shared" si="1978"/>
        <v>-8.7985959335055153</v>
      </c>
      <c r="EI519" s="379">
        <f>SUM(EI517:EI518)</f>
        <v>2938.3</v>
      </c>
      <c r="EJ519" s="81">
        <f t="shared" si="1979"/>
        <v>-2.0370740814829591</v>
      </c>
      <c r="EK519" s="216">
        <f t="shared" ref="EK519:EQ519" si="2006">SUM(EK517:EK518)</f>
        <v>2938.3</v>
      </c>
      <c r="EL519" s="81">
        <f t="shared" si="1981"/>
        <v>-1.5512966561683217</v>
      </c>
      <c r="EM519" s="216">
        <f t="shared" si="2006"/>
        <v>2938.3</v>
      </c>
      <c r="EN519" s="81">
        <f t="shared" si="1983"/>
        <v>-1.0140142837892441</v>
      </c>
      <c r="EO519" s="216">
        <f t="shared" si="2006"/>
        <v>2938.3</v>
      </c>
      <c r="EP519" s="81">
        <f t="shared" si="1985"/>
        <v>6.6882103046367103</v>
      </c>
      <c r="EQ519" s="216">
        <f t="shared" si="2006"/>
        <v>2938.3</v>
      </c>
      <c r="ER519" s="81">
        <f t="shared" si="1987"/>
        <v>0</v>
      </c>
      <c r="ES519" s="380"/>
      <c r="ET519" s="498"/>
      <c r="EU519" s="380"/>
      <c r="EV519" s="379">
        <f t="shared" ref="EV519:FJ519" si="2007">SUM(EV517:EV518)</f>
        <v>1548.9</v>
      </c>
      <c r="EW519" s="79"/>
      <c r="EX519" s="379">
        <f t="shared" si="2007"/>
        <v>2241.5</v>
      </c>
      <c r="EY519" s="79">
        <f t="shared" si="1988"/>
        <v>44.715604622635418</v>
      </c>
      <c r="EZ519" s="379"/>
      <c r="FA519" s="79" t="str">
        <f t="shared" si="1989"/>
        <v>NM</v>
      </c>
      <c r="FB519" s="379">
        <f t="shared" si="2007"/>
        <v>2166</v>
      </c>
      <c r="FC519" s="79" t="str">
        <f t="shared" si="1990"/>
        <v>NA</v>
      </c>
      <c r="FD519" s="379">
        <f t="shared" si="2007"/>
        <v>2169</v>
      </c>
      <c r="FE519" s="79">
        <f t="shared" si="1991"/>
        <v>0.13850415512466352</v>
      </c>
      <c r="FF519" s="379">
        <f t="shared" si="2007"/>
        <v>2789</v>
      </c>
      <c r="FG519" s="79">
        <f t="shared" si="1992"/>
        <v>28.584601198709091</v>
      </c>
      <c r="FH519" s="379">
        <f t="shared" si="2007"/>
        <v>3089</v>
      </c>
      <c r="FI519" s="79">
        <f t="shared" si="1993"/>
        <v>10.756543564001442</v>
      </c>
      <c r="FJ519" s="379">
        <f t="shared" si="2007"/>
        <v>3261.6</v>
      </c>
      <c r="FK519" s="79">
        <f t="shared" si="1994"/>
        <v>5.5875687924894724</v>
      </c>
      <c r="FL519" s="379">
        <f>SUM(FL517:FL518)</f>
        <v>2659.6</v>
      </c>
      <c r="FM519" s="79">
        <f t="shared" si="1995"/>
        <v>-18.457198920775074</v>
      </c>
      <c r="FN519" s="379">
        <f>SUM(FN517:FN518)</f>
        <v>2690.2</v>
      </c>
      <c r="FO519" s="79">
        <f t="shared" si="1996"/>
        <v>1.1505489547300352</v>
      </c>
      <c r="FP519" s="379">
        <f>SUM(FP517:FP518)</f>
        <v>2449.9</v>
      </c>
      <c r="FQ519" s="79">
        <f t="shared" si="1997"/>
        <v>-8.9324213813099291</v>
      </c>
      <c r="FR519" s="216">
        <f>SUM(FR517:FR518)</f>
        <v>2549.6000000000004</v>
      </c>
      <c r="FS519" s="79">
        <f t="shared" si="1998"/>
        <v>4.0695538593412017</v>
      </c>
      <c r="FT519" s="216">
        <f>SUM(FT517:FT518)</f>
        <v>2856.4</v>
      </c>
      <c r="FU519" s="79">
        <f t="shared" si="1999"/>
        <v>12.033260119234379</v>
      </c>
      <c r="FV519" s="216">
        <f>SUM(FV517:FV518)</f>
        <v>2882.5</v>
      </c>
      <c r="FW519" s="79">
        <f t="shared" si="2000"/>
        <v>0.91373757176864689</v>
      </c>
      <c r="FX519" s="216">
        <f>SUM(FX517:FX518)</f>
        <v>3211.2000000000003</v>
      </c>
      <c r="FY519" s="79">
        <f t="shared" si="2001"/>
        <v>11.403295750216834</v>
      </c>
      <c r="FZ519" s="216">
        <f>SUM(FZ517:FZ518)</f>
        <v>2612</v>
      </c>
      <c r="GA519" s="79">
        <f t="shared" si="2002"/>
        <v>-18.659691081215758</v>
      </c>
      <c r="GB519" s="216">
        <f>SUM(GB517:GB518)</f>
        <v>2780.6000000000004</v>
      </c>
      <c r="GC519" s="79">
        <f t="shared" si="2002"/>
        <v>6.4548238897396804</v>
      </c>
      <c r="GD519" s="216">
        <f>SUM(GD517:GD518)</f>
        <v>2801.8</v>
      </c>
      <c r="GE519" s="79">
        <f t="shared" si="2002"/>
        <v>0.76242537581816539</v>
      </c>
      <c r="GF519" s="216">
        <f>SUM(GF517:GF518)</f>
        <v>2999.4</v>
      </c>
      <c r="GG519" s="79">
        <f t="shared" si="2002"/>
        <v>7.052609037047608</v>
      </c>
      <c r="GH519" s="216">
        <f>SUM(GH517:GH518)</f>
        <v>2938.3</v>
      </c>
      <c r="GI519" s="79">
        <f t="shared" si="2002"/>
        <v>-2.0370740814829591</v>
      </c>
      <c r="GJ519" s="216">
        <f>SUM(GJ517:GJ518)</f>
        <v>2938.3</v>
      </c>
      <c r="GK519" s="79">
        <f t="shared" si="2002"/>
        <v>0</v>
      </c>
      <c r="GL519" s="216">
        <f>SUM(GL517:GL518)</f>
        <v>2938.3</v>
      </c>
      <c r="GM519" s="79">
        <f t="shared" si="2002"/>
        <v>0</v>
      </c>
      <c r="GN519" s="216">
        <f>SUM(GN517:GN518)</f>
        <v>2938.3</v>
      </c>
      <c r="GO519" s="79">
        <f t="shared" si="2002"/>
        <v>0</v>
      </c>
      <c r="GP519" s="216">
        <f>SUM(GP517:GP518)</f>
        <v>2938.3</v>
      </c>
      <c r="GQ519" s="79">
        <f t="shared" si="2002"/>
        <v>0</v>
      </c>
      <c r="GR519" s="216">
        <f>SUM(GR517:GR518)</f>
        <v>2938.3</v>
      </c>
      <c r="GS519" s="79">
        <f t="shared" si="2003"/>
        <v>0</v>
      </c>
      <c r="GT519" s="79">
        <f t="shared" si="2004"/>
        <v>0</v>
      </c>
    </row>
    <row r="520" spans="1:202" ht="12.75" customHeight="1" x14ac:dyDescent="0.2">
      <c r="A520" s="1" t="s">
        <v>216</v>
      </c>
      <c r="B520" s="2" t="s">
        <v>252</v>
      </c>
      <c r="C520" s="79"/>
      <c r="D520" s="79"/>
      <c r="E520" s="131">
        <v>300</v>
      </c>
      <c r="F520" s="131"/>
      <c r="G520" s="131">
        <v>300</v>
      </c>
      <c r="H520" s="131"/>
      <c r="I520" s="131">
        <v>300</v>
      </c>
      <c r="J520" s="131"/>
      <c r="K520" s="131">
        <v>300</v>
      </c>
      <c r="L520" s="79"/>
      <c r="M520" s="131">
        <v>300</v>
      </c>
      <c r="N520" s="79">
        <f t="shared" si="1925"/>
        <v>0</v>
      </c>
      <c r="O520" s="131">
        <v>300</v>
      </c>
      <c r="P520" s="79">
        <f t="shared" si="1926"/>
        <v>0</v>
      </c>
      <c r="Q520" s="131">
        <v>300</v>
      </c>
      <c r="R520" s="79">
        <f t="shared" si="1927"/>
        <v>0</v>
      </c>
      <c r="S520" s="131">
        <v>300</v>
      </c>
      <c r="T520" s="79">
        <f t="shared" si="1928"/>
        <v>0</v>
      </c>
      <c r="U520" s="131">
        <v>0</v>
      </c>
      <c r="V520" s="79" t="str">
        <f t="shared" si="1929"/>
        <v>NM</v>
      </c>
      <c r="W520" s="131">
        <v>0</v>
      </c>
      <c r="X520" s="79" t="str">
        <f t="shared" si="1930"/>
        <v>NM</v>
      </c>
      <c r="Y520" s="131">
        <v>0</v>
      </c>
      <c r="Z520" s="79" t="str">
        <f t="shared" si="1931"/>
        <v>NM</v>
      </c>
      <c r="AA520" s="126">
        <v>0</v>
      </c>
      <c r="AB520" s="79" t="str">
        <f t="shared" si="1932"/>
        <v>NM</v>
      </c>
      <c r="AC520" s="131">
        <v>0</v>
      </c>
      <c r="AD520" s="79" t="str">
        <f t="shared" si="1933"/>
        <v>NA</v>
      </c>
      <c r="AE520" s="131">
        <v>0</v>
      </c>
      <c r="AF520" s="79" t="str">
        <f t="shared" si="1934"/>
        <v>NA</v>
      </c>
      <c r="AG520" s="131">
        <v>0</v>
      </c>
      <c r="AH520" s="79" t="str">
        <f t="shared" si="1935"/>
        <v>NA</v>
      </c>
      <c r="AI520" s="131">
        <v>0</v>
      </c>
      <c r="AJ520" s="79" t="str">
        <f t="shared" si="1936"/>
        <v>NA</v>
      </c>
      <c r="AK520" s="131">
        <v>0</v>
      </c>
      <c r="AL520" s="79" t="str">
        <f t="shared" si="1937"/>
        <v>NA</v>
      </c>
      <c r="AM520" s="131">
        <v>0</v>
      </c>
      <c r="AN520" s="79" t="str">
        <f t="shared" si="1938"/>
        <v>NA</v>
      </c>
      <c r="AO520" s="131">
        <v>0</v>
      </c>
      <c r="AP520" s="79" t="str">
        <f t="shared" si="1938"/>
        <v>NA</v>
      </c>
      <c r="AQ520" s="131">
        <v>0</v>
      </c>
      <c r="AR520" s="79" t="str">
        <f t="shared" si="1938"/>
        <v>NA</v>
      </c>
      <c r="AS520" s="222">
        <v>0</v>
      </c>
      <c r="AT520" s="81" t="str">
        <f t="shared" si="1938"/>
        <v>NA</v>
      </c>
      <c r="AU520" s="222">
        <v>0</v>
      </c>
      <c r="AV520" s="81" t="str">
        <f t="shared" si="1938"/>
        <v>NA</v>
      </c>
      <c r="AW520" s="222">
        <v>0</v>
      </c>
      <c r="AX520" s="81" t="str">
        <f t="shared" si="1938"/>
        <v>NA</v>
      </c>
      <c r="AY520" s="222">
        <v>0</v>
      </c>
      <c r="AZ520" s="81" t="str">
        <f t="shared" si="1938"/>
        <v>NA</v>
      </c>
      <c r="BA520" s="222">
        <v>0</v>
      </c>
      <c r="BB520" s="81" t="str">
        <f t="shared" si="1938"/>
        <v>NA</v>
      </c>
      <c r="BC520" s="222">
        <v>0</v>
      </c>
      <c r="BD520" s="81" t="str">
        <f t="shared" si="1938"/>
        <v>NA</v>
      </c>
      <c r="BE520" s="222">
        <v>0</v>
      </c>
      <c r="BF520" s="81" t="str">
        <f t="shared" si="1939"/>
        <v>NA</v>
      </c>
      <c r="BG520" s="222">
        <v>0</v>
      </c>
      <c r="BH520" s="81" t="str">
        <f t="shared" si="1940"/>
        <v>NA</v>
      </c>
      <c r="BI520" s="222">
        <v>0</v>
      </c>
      <c r="BJ520" s="81" t="str">
        <f t="shared" si="1941"/>
        <v>NA</v>
      </c>
      <c r="BK520" s="222">
        <v>0</v>
      </c>
      <c r="BL520" s="81" t="str">
        <f t="shared" si="1942"/>
        <v>NA</v>
      </c>
      <c r="BM520" s="222">
        <v>0</v>
      </c>
      <c r="BN520" s="81" t="str">
        <f t="shared" si="1943"/>
        <v>NA</v>
      </c>
      <c r="BO520" s="222">
        <v>0</v>
      </c>
      <c r="BP520" s="81" t="str">
        <f t="shared" si="1944"/>
        <v>NA</v>
      </c>
      <c r="BQ520" s="222">
        <v>0</v>
      </c>
      <c r="BR520" s="81" t="str">
        <f t="shared" si="1945"/>
        <v>NA</v>
      </c>
      <c r="BS520" s="222">
        <v>0</v>
      </c>
      <c r="BT520" s="81" t="str">
        <f t="shared" si="1946"/>
        <v>NA</v>
      </c>
      <c r="BU520" s="222">
        <v>0</v>
      </c>
      <c r="BV520" s="81" t="str">
        <f t="shared" si="1947"/>
        <v>NA</v>
      </c>
      <c r="BW520" s="222">
        <v>0</v>
      </c>
      <c r="BX520" s="81" t="str">
        <f t="shared" si="1948"/>
        <v>NA</v>
      </c>
      <c r="BY520" s="222">
        <v>0</v>
      </c>
      <c r="BZ520" s="81" t="str">
        <f t="shared" si="1949"/>
        <v>NA</v>
      </c>
      <c r="CA520" s="222">
        <v>0</v>
      </c>
      <c r="CB520" s="81" t="str">
        <f t="shared" si="1950"/>
        <v>NA</v>
      </c>
      <c r="CC520" s="222">
        <v>0</v>
      </c>
      <c r="CD520" s="81" t="str">
        <f t="shared" si="1951"/>
        <v>NA</v>
      </c>
      <c r="CE520" s="222">
        <v>0</v>
      </c>
      <c r="CF520" s="81" t="str">
        <f t="shared" si="1952"/>
        <v>NA</v>
      </c>
      <c r="CG520" s="222">
        <v>0</v>
      </c>
      <c r="CH520" s="81" t="str">
        <f t="shared" si="1953"/>
        <v>NA</v>
      </c>
      <c r="CI520" s="222">
        <v>0</v>
      </c>
      <c r="CJ520" s="81" t="str">
        <f t="shared" si="1954"/>
        <v>NA</v>
      </c>
      <c r="CK520" s="222">
        <v>0</v>
      </c>
      <c r="CL520" s="81" t="str">
        <f t="shared" si="1955"/>
        <v>NA</v>
      </c>
      <c r="CM520" s="222">
        <v>0</v>
      </c>
      <c r="CN520" s="81" t="str">
        <f t="shared" si="1956"/>
        <v>NA</v>
      </c>
      <c r="CO520" s="222">
        <v>0</v>
      </c>
      <c r="CP520" s="81" t="str">
        <f t="shared" si="1957"/>
        <v>NA</v>
      </c>
      <c r="CQ520" s="222">
        <v>0</v>
      </c>
      <c r="CR520" s="81" t="str">
        <f t="shared" si="1958"/>
        <v>NA</v>
      </c>
      <c r="CS520" s="222">
        <v>0</v>
      </c>
      <c r="CT520" s="81" t="str">
        <f t="shared" si="1959"/>
        <v>NA</v>
      </c>
      <c r="CU520" s="222">
        <v>0</v>
      </c>
      <c r="CV520" s="81" t="str">
        <f t="shared" si="1960"/>
        <v>NA</v>
      </c>
      <c r="CW520" s="222">
        <v>0</v>
      </c>
      <c r="CX520" s="81" t="str">
        <f t="shared" si="1961"/>
        <v>NA</v>
      </c>
      <c r="CY520" s="222">
        <v>0</v>
      </c>
      <c r="CZ520" s="81" t="str">
        <f t="shared" si="1962"/>
        <v>NA</v>
      </c>
      <c r="DA520" s="222">
        <v>0</v>
      </c>
      <c r="DB520" s="81" t="str">
        <f t="shared" si="1963"/>
        <v>NA</v>
      </c>
      <c r="DC520" s="222">
        <v>0</v>
      </c>
      <c r="DD520" s="81" t="str">
        <f t="shared" si="1964"/>
        <v>NA</v>
      </c>
      <c r="DE520" s="222">
        <v>0</v>
      </c>
      <c r="DF520" s="81" t="str">
        <f t="shared" si="1965"/>
        <v>NA</v>
      </c>
      <c r="DG520" s="222">
        <v>0</v>
      </c>
      <c r="DH520" s="81" t="str">
        <f t="shared" si="1966"/>
        <v>NA</v>
      </c>
      <c r="DI520" s="222">
        <v>0</v>
      </c>
      <c r="DJ520" s="81" t="str">
        <f t="shared" si="1967"/>
        <v>NA</v>
      </c>
      <c r="DK520" s="222">
        <v>0</v>
      </c>
      <c r="DL520" s="81" t="str">
        <f t="shared" si="1968"/>
        <v>NA</v>
      </c>
      <c r="DM520" s="222">
        <v>0</v>
      </c>
      <c r="DN520" s="81" t="str">
        <f t="shared" si="1969"/>
        <v>NA</v>
      </c>
      <c r="DO520" s="222">
        <v>0</v>
      </c>
      <c r="DP520" s="81" t="str">
        <f t="shared" si="1969"/>
        <v>NA</v>
      </c>
      <c r="DQ520" s="222">
        <v>0</v>
      </c>
      <c r="DR520" s="81" t="str">
        <f t="shared" si="1970"/>
        <v>NA</v>
      </c>
      <c r="DS520" s="222">
        <v>0</v>
      </c>
      <c r="DT520" s="81" t="str">
        <f t="shared" si="1971"/>
        <v>NA</v>
      </c>
      <c r="DU520" s="222">
        <v>0</v>
      </c>
      <c r="DV520" s="81" t="str">
        <f t="shared" si="1972"/>
        <v>NA</v>
      </c>
      <c r="DW520" s="222">
        <v>0</v>
      </c>
      <c r="DX520" s="81" t="str">
        <f t="shared" si="1973"/>
        <v>NA</v>
      </c>
      <c r="DY520" s="222">
        <v>0</v>
      </c>
      <c r="DZ520" s="81" t="str">
        <f t="shared" si="1974"/>
        <v>NA</v>
      </c>
      <c r="EA520" s="222">
        <v>0</v>
      </c>
      <c r="EB520" s="81" t="str">
        <f t="shared" si="1975"/>
        <v>NA</v>
      </c>
      <c r="EC520" s="222">
        <v>0</v>
      </c>
      <c r="ED520" s="81" t="str">
        <f t="shared" si="1976"/>
        <v>NA</v>
      </c>
      <c r="EE520" s="222">
        <v>0</v>
      </c>
      <c r="EF520" s="81" t="str">
        <f t="shared" si="1977"/>
        <v>NA</v>
      </c>
      <c r="EG520" s="222">
        <v>0</v>
      </c>
      <c r="EH520" s="81" t="str">
        <f t="shared" si="1978"/>
        <v>NA</v>
      </c>
      <c r="EI520" s="222">
        <v>0</v>
      </c>
      <c r="EJ520" s="81" t="str">
        <f t="shared" si="1979"/>
        <v>NA</v>
      </c>
      <c r="EK520" s="251">
        <f t="shared" ref="EK520" si="2008">EI520</f>
        <v>0</v>
      </c>
      <c r="EL520" s="81" t="str">
        <f t="shared" si="1981"/>
        <v>NA</v>
      </c>
      <c r="EM520" s="251">
        <f t="shared" ref="EM520" si="2009">EK520</f>
        <v>0</v>
      </c>
      <c r="EN520" s="81" t="str">
        <f t="shared" si="1983"/>
        <v>NA</v>
      </c>
      <c r="EO520" s="251">
        <f t="shared" ref="EO520" si="2010">EM520</f>
        <v>0</v>
      </c>
      <c r="EP520" s="81" t="str">
        <f t="shared" si="1985"/>
        <v>NA</v>
      </c>
      <c r="EQ520" s="251">
        <f t="shared" ref="EQ520" si="2011">EO520</f>
        <v>0</v>
      </c>
      <c r="ER520" s="81" t="str">
        <f t="shared" si="1987"/>
        <v>NA</v>
      </c>
      <c r="ES520" s="380"/>
      <c r="ET520" s="498"/>
      <c r="EU520" s="380"/>
      <c r="EV520" s="95">
        <v>300</v>
      </c>
      <c r="EW520" s="79"/>
      <c r="EX520" s="95">
        <v>300</v>
      </c>
      <c r="EY520" s="79">
        <f t="shared" si="1988"/>
        <v>0</v>
      </c>
      <c r="EZ520" s="379"/>
      <c r="FA520" s="79" t="str">
        <f t="shared" si="1989"/>
        <v>NM</v>
      </c>
      <c r="FB520" s="379">
        <f>K520</f>
        <v>300</v>
      </c>
      <c r="FC520" s="79" t="str">
        <f t="shared" si="1990"/>
        <v>NA</v>
      </c>
      <c r="FD520" s="379">
        <f>+S520</f>
        <v>300</v>
      </c>
      <c r="FE520" s="79">
        <f t="shared" si="1991"/>
        <v>0</v>
      </c>
      <c r="FF520" s="379">
        <f>+AA520</f>
        <v>0</v>
      </c>
      <c r="FG520" s="79" t="str">
        <f t="shared" si="1992"/>
        <v>NM</v>
      </c>
      <c r="FH520" s="379">
        <f>+AI520</f>
        <v>0</v>
      </c>
      <c r="FI520" s="79" t="str">
        <f t="shared" si="1993"/>
        <v>NA</v>
      </c>
      <c r="FJ520" s="340">
        <f>+AQ520</f>
        <v>0</v>
      </c>
      <c r="FK520" s="79" t="str">
        <f t="shared" si="1994"/>
        <v>NA</v>
      </c>
      <c r="FL520" s="216">
        <f>AY520</f>
        <v>0</v>
      </c>
      <c r="FM520" s="79" t="str">
        <f t="shared" si="1995"/>
        <v>NA</v>
      </c>
      <c r="FN520" s="216">
        <f>BG520</f>
        <v>0</v>
      </c>
      <c r="FO520" s="79" t="str">
        <f t="shared" si="1996"/>
        <v>NA</v>
      </c>
      <c r="FP520" s="216">
        <f>BO520</f>
        <v>0</v>
      </c>
      <c r="FQ520" s="79" t="str">
        <f t="shared" si="1997"/>
        <v>NA</v>
      </c>
      <c r="FR520" s="251">
        <f>BW520</f>
        <v>0</v>
      </c>
      <c r="FS520" s="79" t="str">
        <f t="shared" si="1998"/>
        <v>NA</v>
      </c>
      <c r="FT520" s="251">
        <f>CE520</f>
        <v>0</v>
      </c>
      <c r="FU520" s="79" t="str">
        <f t="shared" si="1999"/>
        <v>NA</v>
      </c>
      <c r="FV520" s="251">
        <f>CM520</f>
        <v>0</v>
      </c>
      <c r="FW520" s="79" t="str">
        <f t="shared" si="2000"/>
        <v>NA</v>
      </c>
      <c r="FX520" s="251">
        <f>CU520</f>
        <v>0</v>
      </c>
      <c r="FY520" s="79" t="str">
        <f t="shared" si="2001"/>
        <v>NA</v>
      </c>
      <c r="FZ520" s="251">
        <f>DC520</f>
        <v>0</v>
      </c>
      <c r="GA520" s="79" t="str">
        <f t="shared" si="2002"/>
        <v>NA</v>
      </c>
      <c r="GB520" s="251">
        <f>DK520</f>
        <v>0</v>
      </c>
      <c r="GC520" s="79" t="str">
        <f t="shared" si="2002"/>
        <v>NA</v>
      </c>
      <c r="GD520" s="251">
        <f>DS520</f>
        <v>0</v>
      </c>
      <c r="GE520" s="79" t="str">
        <f t="shared" si="2002"/>
        <v>NA</v>
      </c>
      <c r="GF520" s="251">
        <f>EA520</f>
        <v>0</v>
      </c>
      <c r="GG520" s="79" t="str">
        <f t="shared" si="2002"/>
        <v>NA</v>
      </c>
      <c r="GH520" s="251">
        <f>EI520</f>
        <v>0</v>
      </c>
      <c r="GI520" s="79" t="str">
        <f t="shared" si="2002"/>
        <v>NA</v>
      </c>
      <c r="GJ520" s="251">
        <f>EQ520</f>
        <v>0</v>
      </c>
      <c r="GK520" s="79" t="str">
        <f t="shared" si="2002"/>
        <v>NA</v>
      </c>
      <c r="GL520" s="251">
        <f>+GJ520</f>
        <v>0</v>
      </c>
      <c r="GM520" s="79" t="str">
        <f t="shared" si="2002"/>
        <v>NA</v>
      </c>
      <c r="GN520" s="251">
        <f>+GL520</f>
        <v>0</v>
      </c>
      <c r="GO520" s="79" t="str">
        <f t="shared" si="2002"/>
        <v>NA</v>
      </c>
      <c r="GP520" s="251">
        <f>+GN520</f>
        <v>0</v>
      </c>
      <c r="GQ520" s="79" t="str">
        <f t="shared" si="2002"/>
        <v>NA</v>
      </c>
      <c r="GR520" s="251">
        <f>+GP520</f>
        <v>0</v>
      </c>
      <c r="GS520" s="79" t="str">
        <f t="shared" si="2003"/>
        <v>NA</v>
      </c>
      <c r="GT520" s="79" t="str">
        <f t="shared" si="2004"/>
        <v>NA</v>
      </c>
    </row>
    <row r="521" spans="1:202" ht="12.75" customHeight="1" x14ac:dyDescent="0.2">
      <c r="A521" s="1"/>
      <c r="B521" s="2" t="s">
        <v>459</v>
      </c>
      <c r="C521" s="79"/>
      <c r="D521" s="79"/>
      <c r="E521" s="340">
        <f t="shared" ref="E521:Q521" si="2012">SUM(E519:E520)</f>
        <v>2361</v>
      </c>
      <c r="F521" s="340"/>
      <c r="G521" s="340">
        <f t="shared" si="2012"/>
        <v>2339.1999999999998</v>
      </c>
      <c r="H521" s="340"/>
      <c r="I521" s="340">
        <f t="shared" si="2012"/>
        <v>2489.3000000000002</v>
      </c>
      <c r="J521" s="340"/>
      <c r="K521" s="340">
        <f t="shared" si="2012"/>
        <v>2466</v>
      </c>
      <c r="L521" s="79"/>
      <c r="M521" s="340">
        <f t="shared" si="2012"/>
        <v>2468.1999999999998</v>
      </c>
      <c r="N521" s="79">
        <f t="shared" si="1925"/>
        <v>4.5404489623041</v>
      </c>
      <c r="O521" s="340">
        <f t="shared" si="2012"/>
        <v>2467.8000000000002</v>
      </c>
      <c r="P521" s="79">
        <f t="shared" si="1926"/>
        <v>5.4976060191518572</v>
      </c>
      <c r="Q521" s="340">
        <f t="shared" si="2012"/>
        <v>2467.6999999999998</v>
      </c>
      <c r="R521" s="79">
        <f t="shared" si="1927"/>
        <v>-0.86771381512876777</v>
      </c>
      <c r="S521" s="340">
        <f>SUM(S519:S520)</f>
        <v>2469</v>
      </c>
      <c r="T521" s="79">
        <f t="shared" si="1928"/>
        <v>0.12165450121655041</v>
      </c>
      <c r="U521" s="340">
        <f>SUM(U519:U520)</f>
        <v>2421.1999999999998</v>
      </c>
      <c r="V521" s="79">
        <f t="shared" si="1929"/>
        <v>-1.9042217000243111</v>
      </c>
      <c r="W521" s="340">
        <f>SUM(W519:W520)</f>
        <v>2809</v>
      </c>
      <c r="X521" s="79">
        <f t="shared" si="1930"/>
        <v>13.826079909230881</v>
      </c>
      <c r="Y521" s="340">
        <f>SUM(Y519:Y520)</f>
        <v>2809</v>
      </c>
      <c r="Z521" s="79">
        <f t="shared" si="1931"/>
        <v>13.830692547716517</v>
      </c>
      <c r="AA521" s="345">
        <f>SUM(AA519:AA520)</f>
        <v>2789</v>
      </c>
      <c r="AB521" s="79">
        <f t="shared" si="1932"/>
        <v>12.960712839206145</v>
      </c>
      <c r="AC521" s="340">
        <f>SUM(AC519:AC520)</f>
        <v>2789</v>
      </c>
      <c r="AD521" s="79">
        <f t="shared" si="1933"/>
        <v>15.190814472162572</v>
      </c>
      <c r="AE521" s="340">
        <f>SUM(AE519:AE520)</f>
        <v>3089</v>
      </c>
      <c r="AF521" s="79">
        <f t="shared" si="1934"/>
        <v>9.967960128159481</v>
      </c>
      <c r="AG521" s="340">
        <f>SUM(AG519:AG520)</f>
        <v>3089</v>
      </c>
      <c r="AH521" s="79">
        <f t="shared" si="1935"/>
        <v>9.967960128159481</v>
      </c>
      <c r="AI521" s="340">
        <f>SUM(AI519:AI520)</f>
        <v>3089</v>
      </c>
      <c r="AJ521" s="79">
        <f t="shared" si="1936"/>
        <v>10.756543564001442</v>
      </c>
      <c r="AK521" s="340">
        <f>SUM(AK519:AK520)</f>
        <v>3064</v>
      </c>
      <c r="AL521" s="79">
        <f t="shared" si="1937"/>
        <v>9.860164933667992</v>
      </c>
      <c r="AM521" s="340">
        <f>SUM(AM519:AM520)</f>
        <v>3062</v>
      </c>
      <c r="AN521" s="79">
        <f t="shared" si="1938"/>
        <v>-0.87406927808352242</v>
      </c>
      <c r="AO521" s="340">
        <f>SUM(AO519:AO520)</f>
        <v>2862</v>
      </c>
      <c r="AP521" s="79">
        <f t="shared" si="1938"/>
        <v>-7.3486565231466461</v>
      </c>
      <c r="AQ521" s="340">
        <f>SUM(AQ519:AQ520)</f>
        <v>3261.6</v>
      </c>
      <c r="AR521" s="79">
        <f t="shared" si="1938"/>
        <v>5.5875687924894724</v>
      </c>
      <c r="AS521" s="340">
        <f>SUM(AS519:AS520)</f>
        <v>2861.6</v>
      </c>
      <c r="AT521" s="81">
        <f t="shared" si="1938"/>
        <v>-6.6057441253263738</v>
      </c>
      <c r="AU521" s="340">
        <f>SUM(AU519:AU520)</f>
        <v>2561.6</v>
      </c>
      <c r="AV521" s="81">
        <f t="shared" si="1938"/>
        <v>-16.342259960809933</v>
      </c>
      <c r="AW521" s="340">
        <f>SUM(AW519:AW520)</f>
        <v>2561.6</v>
      </c>
      <c r="AX521" s="81">
        <f t="shared" si="1938"/>
        <v>-10.496156533892387</v>
      </c>
      <c r="AY521" s="340">
        <f>SUM(AY519:AY520)</f>
        <v>2659.6</v>
      </c>
      <c r="AZ521" s="81">
        <f t="shared" si="1938"/>
        <v>-18.457198920775074</v>
      </c>
      <c r="BA521" s="340">
        <f>SUM(BA519:BA520)</f>
        <v>2499.6999999999998</v>
      </c>
      <c r="BB521" s="81">
        <f t="shared" si="1938"/>
        <v>-12.646771037182003</v>
      </c>
      <c r="BC521" s="340">
        <f>SUM(BC519:BC520)</f>
        <v>2287.6999999999998</v>
      </c>
      <c r="BD521" s="81">
        <f t="shared" si="1938"/>
        <v>-10.692535915053092</v>
      </c>
      <c r="BE521" s="340">
        <f>SUM(BE519:BE520)</f>
        <v>2460.1999999999998</v>
      </c>
      <c r="BF521" s="81">
        <f t="shared" si="1939"/>
        <v>-3.9584634603372915</v>
      </c>
      <c r="BG521" s="340">
        <f>SUM(BG519:BG520)</f>
        <v>2690.2</v>
      </c>
      <c r="BH521" s="81">
        <f t="shared" si="1940"/>
        <v>1.1505489547300352</v>
      </c>
      <c r="BI521" s="340">
        <f>SUM(BI519:BI520)</f>
        <v>2672.7</v>
      </c>
      <c r="BJ521" s="81">
        <f t="shared" si="1941"/>
        <v>6.920830499659969</v>
      </c>
      <c r="BK521" s="340">
        <f>SUM(BK519:BK520)</f>
        <v>2538.3000000000002</v>
      </c>
      <c r="BL521" s="81">
        <f t="shared" si="1942"/>
        <v>10.954233509638511</v>
      </c>
      <c r="BM521" s="340">
        <f>SUM(BM519:BM520)</f>
        <v>2560.3999999999996</v>
      </c>
      <c r="BN521" s="81">
        <f t="shared" si="1943"/>
        <v>4.0728396065360384</v>
      </c>
      <c r="BO521" s="340">
        <f>SUM(BO519:BO520)</f>
        <v>2449.9</v>
      </c>
      <c r="BP521" s="81">
        <f t="shared" si="1944"/>
        <v>-8.9324213813099291</v>
      </c>
      <c r="BQ521" s="340">
        <f>SUM(BQ519:BQ520)</f>
        <v>2461.6</v>
      </c>
      <c r="BR521" s="81">
        <f t="shared" si="1945"/>
        <v>-7.8983799154413115</v>
      </c>
      <c r="BS521" s="340">
        <f>SUM(BS519:BS520)</f>
        <v>2295.6</v>
      </c>
      <c r="BT521" s="81">
        <f t="shared" si="1946"/>
        <v>-9.5615175511169053</v>
      </c>
      <c r="BU521" s="340">
        <f>SUM(BU519:BU520)</f>
        <v>2580.1999999999998</v>
      </c>
      <c r="BV521" s="81">
        <f t="shared" si="1947"/>
        <v>0.77331666927042964</v>
      </c>
      <c r="BW521" s="340">
        <f>SUM(BW519:BW520)</f>
        <v>2549.6000000000004</v>
      </c>
      <c r="BX521" s="81">
        <f t="shared" si="1948"/>
        <v>4.0695538593412017</v>
      </c>
      <c r="BY521" s="340">
        <f>SUM(BY519:BY520)</f>
        <v>2516.2999999999997</v>
      </c>
      <c r="BZ521" s="81">
        <f t="shared" si="1949"/>
        <v>2.2221319467013334</v>
      </c>
      <c r="CA521" s="340">
        <f>SUM(CA519:CA520)</f>
        <v>2491.9</v>
      </c>
      <c r="CB521" s="81">
        <f t="shared" si="1950"/>
        <v>8.5511413138177552</v>
      </c>
      <c r="CC521" s="340">
        <f>SUM(CC519:CC520)</f>
        <v>2886.4</v>
      </c>
      <c r="CD521" s="81">
        <f t="shared" si="1951"/>
        <v>11.867297108751274</v>
      </c>
      <c r="CE521" s="340">
        <f>SUM(CE519:CE520)</f>
        <v>2856.4</v>
      </c>
      <c r="CF521" s="81">
        <f t="shared" si="1952"/>
        <v>12.033260119234379</v>
      </c>
      <c r="CG521" s="340">
        <f>SUM(CG519:CG520)</f>
        <v>2605</v>
      </c>
      <c r="CH521" s="81">
        <f t="shared" si="1953"/>
        <v>3.5250168898780077</v>
      </c>
      <c r="CI521" s="340">
        <f>SUM(CI519:CI520)</f>
        <v>2729.5</v>
      </c>
      <c r="CJ521" s="81">
        <f t="shared" si="1954"/>
        <v>9.5348930534933096</v>
      </c>
      <c r="CK521" s="340">
        <f>SUM(CK519:CK520)</f>
        <v>2928.9</v>
      </c>
      <c r="CL521" s="81">
        <f t="shared" si="1955"/>
        <v>1.4724223946784853</v>
      </c>
      <c r="CM521" s="340">
        <f>SUM(CM519:CM520)</f>
        <v>2882.5</v>
      </c>
      <c r="CN521" s="81">
        <f t="shared" si="1956"/>
        <v>0.91373757176864689</v>
      </c>
      <c r="CO521" s="340">
        <f>SUM(CO519:CO520)</f>
        <v>2925</v>
      </c>
      <c r="CP521" s="81">
        <f t="shared" si="1957"/>
        <v>12.284069097888683</v>
      </c>
      <c r="CQ521" s="340">
        <f>SUM(CQ519:CQ520)</f>
        <v>3007.4</v>
      </c>
      <c r="CR521" s="81">
        <f t="shared" si="1958"/>
        <v>10.181351895951639</v>
      </c>
      <c r="CS521" s="340">
        <f>SUM(CS519:CS520)</f>
        <v>3239.8</v>
      </c>
      <c r="CT521" s="81">
        <f t="shared" si="1959"/>
        <v>10.614906620232855</v>
      </c>
      <c r="CU521" s="340">
        <f>SUM(CU519:CU520)</f>
        <v>3211.2000000000003</v>
      </c>
      <c r="CV521" s="81">
        <f t="shared" si="1960"/>
        <v>11.403295750216834</v>
      </c>
      <c r="CW521" s="340">
        <f>SUM(CW519:CW520)</f>
        <v>2910.2000000000003</v>
      </c>
      <c r="CX521" s="81">
        <f t="shared" si="1961"/>
        <v>-0.50598290598289353</v>
      </c>
      <c r="CY521" s="340">
        <f>SUM(CY519:CY520)</f>
        <v>2797.6</v>
      </c>
      <c r="CZ521" s="81">
        <f t="shared" si="1962"/>
        <v>-6.9761255569595004</v>
      </c>
      <c r="DA521" s="340">
        <f>SUM(DA519:DA520)</f>
        <v>2771.8</v>
      </c>
      <c r="DB521" s="81">
        <f t="shared" si="1963"/>
        <v>-14.445336131859987</v>
      </c>
      <c r="DC521" s="340">
        <f>SUM(DC519:DC520)</f>
        <v>2612</v>
      </c>
      <c r="DD521" s="81">
        <f t="shared" si="1964"/>
        <v>-18.659691081215758</v>
      </c>
      <c r="DE521" s="340">
        <f>SUM(DE519:DE520)</f>
        <v>3009.7999999999997</v>
      </c>
      <c r="DF521" s="81">
        <f t="shared" si="1965"/>
        <v>3.4224451927702404</v>
      </c>
      <c r="DG521" s="340">
        <f>SUM(DG519:DG520)</f>
        <v>2849.4</v>
      </c>
      <c r="DH521" s="81">
        <f t="shared" si="1966"/>
        <v>1.8515870746354191</v>
      </c>
      <c r="DI521" s="340">
        <f>SUM(DI519:DI520)</f>
        <v>2853.5</v>
      </c>
      <c r="DJ521" s="81">
        <f t="shared" si="1967"/>
        <v>2.9475431127786944</v>
      </c>
      <c r="DK521" s="340">
        <f>SUM(DK519:DK520)</f>
        <v>2780.6000000000004</v>
      </c>
      <c r="DL521" s="81">
        <f t="shared" si="1968"/>
        <v>6.4548238897396804</v>
      </c>
      <c r="DM521" s="340">
        <f>SUM(DM519:DM520)</f>
        <v>2755.2000000000003</v>
      </c>
      <c r="DN521" s="81">
        <f t="shared" si="1969"/>
        <v>-8.4590338228453525</v>
      </c>
      <c r="DO521" s="340">
        <f>SUM(DO519:DO520)</f>
        <v>2732.7000000000003</v>
      </c>
      <c r="DP521" s="81">
        <f t="shared" si="1969"/>
        <v>-4.0955990734891534</v>
      </c>
      <c r="DQ521" s="340">
        <f>SUM(DQ519:DQ520)</f>
        <v>2723.2</v>
      </c>
      <c r="DR521" s="81">
        <f t="shared" si="1970"/>
        <v>-4.5663220606273036</v>
      </c>
      <c r="DS521" s="340">
        <f>SUM(DS519:DS520)</f>
        <v>2801.8</v>
      </c>
      <c r="DT521" s="81">
        <f t="shared" si="1971"/>
        <v>0.76242537581816539</v>
      </c>
      <c r="DU521" s="340">
        <f>SUM(DU519:DU520)</f>
        <v>2793.9</v>
      </c>
      <c r="DV521" s="81">
        <f t="shared" si="1972"/>
        <v>1.4046167247386609</v>
      </c>
      <c r="DW521" s="340">
        <f>SUM(DW519:DW520)</f>
        <v>3393.2999999999997</v>
      </c>
      <c r="DX521" s="81">
        <f t="shared" si="1973"/>
        <v>24.173893951037417</v>
      </c>
      <c r="DY521" s="340">
        <f>SUM(DY519:DY520)</f>
        <v>3019.7999999999997</v>
      </c>
      <c r="DZ521" s="81">
        <f t="shared" si="1974"/>
        <v>10.89159811985898</v>
      </c>
      <c r="EA521" s="340">
        <f>SUM(EA519:EA520)</f>
        <v>2999.4</v>
      </c>
      <c r="EB521" s="81">
        <f t="shared" si="1975"/>
        <v>7.052609037047608</v>
      </c>
      <c r="EC521" s="340">
        <f>SUM(EC519:EC520)</f>
        <v>2984.6</v>
      </c>
      <c r="ED521" s="81">
        <f t="shared" si="1976"/>
        <v>6.825584308672461</v>
      </c>
      <c r="EE521" s="340">
        <f>SUM(EE519:EE520)</f>
        <v>2968.4</v>
      </c>
      <c r="EF521" s="81">
        <f t="shared" si="1977"/>
        <v>-12.521734005245621</v>
      </c>
      <c r="EG521" s="340">
        <f>SUM(EG519:EG520)</f>
        <v>2754.1000000000004</v>
      </c>
      <c r="EH521" s="81">
        <f t="shared" si="1978"/>
        <v>-8.7985959335055153</v>
      </c>
      <c r="EI521" s="340">
        <f>SUM(EI519:EI520)</f>
        <v>2938.3</v>
      </c>
      <c r="EJ521" s="81">
        <f t="shared" si="1979"/>
        <v>-2.0370740814829591</v>
      </c>
      <c r="EK521" s="344">
        <f t="shared" ref="EK521:EQ521" si="2013">SUM(EK519:EK520)</f>
        <v>2938.3</v>
      </c>
      <c r="EL521" s="81">
        <f t="shared" si="1981"/>
        <v>-1.5512966561683217</v>
      </c>
      <c r="EM521" s="344">
        <f t="shared" si="2013"/>
        <v>2938.3</v>
      </c>
      <c r="EN521" s="81">
        <f t="shared" si="1983"/>
        <v>-1.0140142837892441</v>
      </c>
      <c r="EO521" s="344">
        <f t="shared" si="2013"/>
        <v>2938.3</v>
      </c>
      <c r="EP521" s="81">
        <f t="shared" si="1985"/>
        <v>6.6882103046367103</v>
      </c>
      <c r="EQ521" s="344">
        <f t="shared" si="2013"/>
        <v>2938.3</v>
      </c>
      <c r="ER521" s="81">
        <f t="shared" si="1987"/>
        <v>0</v>
      </c>
      <c r="ES521" s="327"/>
      <c r="ET521" s="490"/>
      <c r="EU521" s="327"/>
      <c r="EV521" s="340">
        <f t="shared" ref="EV521:FJ521" si="2014">SUM(EV519:EV520)</f>
        <v>1848.9</v>
      </c>
      <c r="EW521" s="79"/>
      <c r="EX521" s="340">
        <f t="shared" si="2014"/>
        <v>2541.5</v>
      </c>
      <c r="EY521" s="79">
        <f t="shared" si="1988"/>
        <v>37.460111417599641</v>
      </c>
      <c r="EZ521" s="340"/>
      <c r="FA521" s="79" t="str">
        <f t="shared" si="1989"/>
        <v>NM</v>
      </c>
      <c r="FB521" s="340">
        <f t="shared" si="2014"/>
        <v>2466</v>
      </c>
      <c r="FC521" s="79" t="str">
        <f t="shared" si="1990"/>
        <v>NA</v>
      </c>
      <c r="FD521" s="340">
        <f t="shared" si="2014"/>
        <v>2469</v>
      </c>
      <c r="FE521" s="79">
        <f t="shared" si="1991"/>
        <v>0.12165450121655041</v>
      </c>
      <c r="FF521" s="340">
        <f t="shared" si="2014"/>
        <v>2789</v>
      </c>
      <c r="FG521" s="79">
        <f t="shared" si="1992"/>
        <v>12.960712839206145</v>
      </c>
      <c r="FH521" s="340">
        <f t="shared" si="2014"/>
        <v>3089</v>
      </c>
      <c r="FI521" s="79">
        <f t="shared" si="1993"/>
        <v>10.756543564001442</v>
      </c>
      <c r="FJ521" s="340">
        <f t="shared" si="2014"/>
        <v>3261.6</v>
      </c>
      <c r="FK521" s="79">
        <f t="shared" si="1994"/>
        <v>5.5875687924894724</v>
      </c>
      <c r="FL521" s="340">
        <f>SUM(FL519:FL520)</f>
        <v>2659.6</v>
      </c>
      <c r="FM521" s="79">
        <f t="shared" si="1995"/>
        <v>-18.457198920775074</v>
      </c>
      <c r="FN521" s="340">
        <f>SUM(FN519:FN520)</f>
        <v>2690.2</v>
      </c>
      <c r="FO521" s="79">
        <f t="shared" si="1996"/>
        <v>1.1505489547300352</v>
      </c>
      <c r="FP521" s="340">
        <f>SUM(FP519:FP520)</f>
        <v>2449.9</v>
      </c>
      <c r="FQ521" s="79">
        <f t="shared" si="1997"/>
        <v>-8.9324213813099291</v>
      </c>
      <c r="FR521" s="344">
        <f>SUM(FR519:FR520)</f>
        <v>2549.6000000000004</v>
      </c>
      <c r="FS521" s="79">
        <f t="shared" si="1998"/>
        <v>4.0695538593412017</v>
      </c>
      <c r="FT521" s="344">
        <f>SUM(FT519:FT520)</f>
        <v>2856.4</v>
      </c>
      <c r="FU521" s="79">
        <f t="shared" si="1999"/>
        <v>12.033260119234379</v>
      </c>
      <c r="FV521" s="344">
        <f>SUM(FV519:FV520)</f>
        <v>2882.5</v>
      </c>
      <c r="FW521" s="79">
        <f t="shared" si="2000"/>
        <v>0.91373757176864689</v>
      </c>
      <c r="FX521" s="344">
        <f>SUM(FX519:FX520)</f>
        <v>3211.2000000000003</v>
      </c>
      <c r="FY521" s="79">
        <f t="shared" si="2001"/>
        <v>11.403295750216834</v>
      </c>
      <c r="FZ521" s="344">
        <f>SUM(FZ519:FZ520)</f>
        <v>2612</v>
      </c>
      <c r="GA521" s="79">
        <f t="shared" si="2002"/>
        <v>-18.659691081215758</v>
      </c>
      <c r="GB521" s="344">
        <f>SUM(GB519:GB520)</f>
        <v>2780.6000000000004</v>
      </c>
      <c r="GC521" s="79">
        <f t="shared" si="2002"/>
        <v>6.4548238897396804</v>
      </c>
      <c r="GD521" s="344">
        <f>SUM(GD519:GD520)</f>
        <v>2801.8</v>
      </c>
      <c r="GE521" s="79">
        <f t="shared" si="2002"/>
        <v>0.76242537581816539</v>
      </c>
      <c r="GF521" s="344">
        <f>SUM(GF519:GF520)</f>
        <v>2999.4</v>
      </c>
      <c r="GG521" s="79">
        <f t="shared" si="2002"/>
        <v>7.052609037047608</v>
      </c>
      <c r="GH521" s="344">
        <f>SUM(GH519:GH520)</f>
        <v>2938.3</v>
      </c>
      <c r="GI521" s="79">
        <f t="shared" si="2002"/>
        <v>-2.0370740814829591</v>
      </c>
      <c r="GJ521" s="344">
        <f>SUM(GJ519:GJ520)</f>
        <v>2938.3</v>
      </c>
      <c r="GK521" s="79">
        <f t="shared" si="2002"/>
        <v>0</v>
      </c>
      <c r="GL521" s="344">
        <f>SUM(GL519:GL520)</f>
        <v>2938.3</v>
      </c>
      <c r="GM521" s="79">
        <f t="shared" si="2002"/>
        <v>0</v>
      </c>
      <c r="GN521" s="344">
        <f>SUM(GN519:GN520)</f>
        <v>2938.3</v>
      </c>
      <c r="GO521" s="79">
        <f t="shared" si="2002"/>
        <v>0</v>
      </c>
      <c r="GP521" s="344">
        <f>SUM(GP519:GP520)</f>
        <v>2938.3</v>
      </c>
      <c r="GQ521" s="79">
        <f t="shared" si="2002"/>
        <v>0</v>
      </c>
      <c r="GR521" s="344">
        <f>SUM(GR519:GR520)</f>
        <v>2938.3</v>
      </c>
      <c r="GS521" s="79">
        <f t="shared" si="2003"/>
        <v>0</v>
      </c>
      <c r="GT521" s="79">
        <f t="shared" si="2004"/>
        <v>0</v>
      </c>
    </row>
    <row r="522" spans="1:202" ht="12.75" customHeight="1" x14ac:dyDescent="0.2">
      <c r="A522" s="1"/>
      <c r="B522" s="2" t="s">
        <v>356</v>
      </c>
      <c r="C522" s="79"/>
      <c r="D522" s="79"/>
      <c r="E522" s="145">
        <f t="shared" ref="E522:Q522" si="2015">E506-E529-E521</f>
        <v>32877.699999999997</v>
      </c>
      <c r="F522" s="145"/>
      <c r="G522" s="145">
        <f t="shared" si="2015"/>
        <v>32795.700000000004</v>
      </c>
      <c r="H522" s="145"/>
      <c r="I522" s="145">
        <f t="shared" si="2015"/>
        <v>33742.5</v>
      </c>
      <c r="J522" s="145"/>
      <c r="K522" s="145">
        <f t="shared" si="2015"/>
        <v>34036.799999999996</v>
      </c>
      <c r="L522" s="79"/>
      <c r="M522" s="145">
        <f t="shared" si="2015"/>
        <v>34177</v>
      </c>
      <c r="N522" s="79">
        <f t="shared" si="1925"/>
        <v>3.9519187777733888</v>
      </c>
      <c r="O522" s="145">
        <f t="shared" si="2015"/>
        <v>34752.199999999997</v>
      </c>
      <c r="P522" s="79">
        <f t="shared" si="1926"/>
        <v>5.9657211158779644</v>
      </c>
      <c r="Q522" s="145">
        <f t="shared" si="2015"/>
        <v>35353.200000000004</v>
      </c>
      <c r="R522" s="79">
        <f t="shared" si="1927"/>
        <v>4.7735052233829789</v>
      </c>
      <c r="S522" s="145">
        <f>S506-S529-S521</f>
        <v>35947.300000000003</v>
      </c>
      <c r="T522" s="79">
        <f t="shared" si="1928"/>
        <v>5.6130423541578711</v>
      </c>
      <c r="U522" s="145">
        <f>U506-U529-U521</f>
        <v>37357.599999999999</v>
      </c>
      <c r="V522" s="79">
        <f t="shared" si="1929"/>
        <v>9.3062585949615251</v>
      </c>
      <c r="W522" s="145">
        <f>W506-W529-W521</f>
        <v>38835.599999999999</v>
      </c>
      <c r="X522" s="79">
        <f t="shared" si="1930"/>
        <v>11.750047479008519</v>
      </c>
      <c r="Y522" s="145">
        <f>Y506-Y529-Y521</f>
        <v>38679</v>
      </c>
      <c r="Z522" s="79">
        <f t="shared" si="1931"/>
        <v>9.4073520925969767</v>
      </c>
      <c r="AA522" s="267">
        <f>AA506-AA529-AA521</f>
        <v>39658.300000000003</v>
      </c>
      <c r="AB522" s="79">
        <f t="shared" si="1932"/>
        <v>10.323445710804435</v>
      </c>
      <c r="AC522" s="145">
        <f>AC506-AC529-AC521</f>
        <v>40553.599999999999</v>
      </c>
      <c r="AD522" s="79">
        <f t="shared" si="1933"/>
        <v>8.5551534359809001</v>
      </c>
      <c r="AE522" s="145">
        <f>AE506-AE529-AE521</f>
        <v>39188.299999999996</v>
      </c>
      <c r="AF522" s="79">
        <f t="shared" si="1934"/>
        <v>0.90818733327153733</v>
      </c>
      <c r="AG522" s="145">
        <f>AG506-AG529-AG521</f>
        <v>39754.699999999997</v>
      </c>
      <c r="AH522" s="79">
        <f t="shared" si="1935"/>
        <v>2.7810956849970259</v>
      </c>
      <c r="AI522" s="145">
        <f>AI506-AI529-AI521</f>
        <v>40519.200000000004</v>
      </c>
      <c r="AJ522" s="79">
        <f t="shared" si="1936"/>
        <v>2.1707940078117272</v>
      </c>
      <c r="AK522" s="145">
        <f>AK506-AK529-AK521</f>
        <v>40720.199999999997</v>
      </c>
      <c r="AL522" s="79">
        <f t="shared" si="1937"/>
        <v>0.41081432967726705</v>
      </c>
      <c r="AM522" s="145">
        <f>AM506-AM529-AM521</f>
        <v>41513.800000000003</v>
      </c>
      <c r="AN522" s="79">
        <f t="shared" si="1938"/>
        <v>5.9341691270098584</v>
      </c>
      <c r="AO522" s="145">
        <f>AO506-AO529-AO521</f>
        <v>41047.200000000004</v>
      </c>
      <c r="AP522" s="79">
        <f t="shared" si="1938"/>
        <v>3.2511879098572116</v>
      </c>
      <c r="AQ522" s="145">
        <f>AQ506-AQ529-AQ521</f>
        <v>41241.300000000003</v>
      </c>
      <c r="AR522" s="79">
        <f t="shared" si="1938"/>
        <v>1.7821181069715086</v>
      </c>
      <c r="AS522" s="145">
        <f>AS506-AS529-AS521</f>
        <v>41041.700000000004</v>
      </c>
      <c r="AT522" s="81">
        <f t="shared" si="1938"/>
        <v>0.78953443254210498</v>
      </c>
      <c r="AU522" s="145">
        <f>AU506-AU529-AU521</f>
        <v>40853.4</v>
      </c>
      <c r="AV522" s="81">
        <f t="shared" si="1938"/>
        <v>-1.5907963135150305</v>
      </c>
      <c r="AW522" s="145">
        <f>AW506-AW529-AW521</f>
        <v>42015.5</v>
      </c>
      <c r="AX522" s="81">
        <f t="shared" si="1938"/>
        <v>2.3589915999142397</v>
      </c>
      <c r="AY522" s="145">
        <f>AY506-AY529-AY521</f>
        <v>42444.9</v>
      </c>
      <c r="AZ522" s="81">
        <f t="shared" si="1938"/>
        <v>2.9184337060179866</v>
      </c>
      <c r="BA522" s="145">
        <f>BA506-BA529-BA521</f>
        <v>42448.500000000007</v>
      </c>
      <c r="BB522" s="81">
        <f t="shared" si="1938"/>
        <v>3.4277332566633456</v>
      </c>
      <c r="BC522" s="145">
        <f>BC506-BC529-BC521</f>
        <v>42411.9</v>
      </c>
      <c r="BD522" s="81">
        <f t="shared" si="1938"/>
        <v>3.8148599626958823</v>
      </c>
      <c r="BE522" s="145">
        <f>BE506-BE529-BE521</f>
        <v>42275.6</v>
      </c>
      <c r="BF522" s="81">
        <f t="shared" si="1939"/>
        <v>0.61905725268056599</v>
      </c>
      <c r="BG522" s="145">
        <f>BG506-BG529-BG521</f>
        <v>41702.6</v>
      </c>
      <c r="BH522" s="81">
        <f t="shared" si="1940"/>
        <v>-1.7488555751103307</v>
      </c>
      <c r="BI522" s="145">
        <f>BI506-BI529-BI521</f>
        <v>41758.1</v>
      </c>
      <c r="BJ522" s="81">
        <f t="shared" si="1941"/>
        <v>-1.6264414525837378</v>
      </c>
      <c r="BK522" s="145">
        <f>BK506-BK529-BK521</f>
        <v>41565.199999999997</v>
      </c>
      <c r="BL522" s="81">
        <f t="shared" si="1942"/>
        <v>-1.9963736592796044</v>
      </c>
      <c r="BM522" s="145">
        <f>BM506-BM529-BM521</f>
        <v>40641.5</v>
      </c>
      <c r="BN522" s="81">
        <f t="shared" si="1943"/>
        <v>-3.8653502256620786</v>
      </c>
      <c r="BO522" s="145">
        <f>BO506-BO529-BO521</f>
        <v>40569.599999999999</v>
      </c>
      <c r="BP522" s="81">
        <f t="shared" si="1944"/>
        <v>-2.7168569825382627</v>
      </c>
      <c r="BQ522" s="145">
        <f>BQ506-BQ529-BQ521</f>
        <v>40295.300000000003</v>
      </c>
      <c r="BR522" s="81">
        <f t="shared" si="1945"/>
        <v>-3.5030329445065678</v>
      </c>
      <c r="BS522" s="145">
        <f>BS506-BS529-BS521</f>
        <v>41565.800000000003</v>
      </c>
      <c r="BT522" s="81">
        <f t="shared" si="1946"/>
        <v>1.4435152483560643E-3</v>
      </c>
      <c r="BU522" s="145">
        <f>BU506-BU529-BU521</f>
        <v>43652</v>
      </c>
      <c r="BV522" s="81">
        <f t="shared" si="1947"/>
        <v>7.4074529729463823</v>
      </c>
      <c r="BW522" s="145">
        <f>BW506-BW529-BW521</f>
        <v>43427.3</v>
      </c>
      <c r="BX522" s="81">
        <f t="shared" si="1948"/>
        <v>7.0439442341063474</v>
      </c>
      <c r="BY522" s="145">
        <f>BY506-BY529-BY521</f>
        <v>43700.7</v>
      </c>
      <c r="BZ522" s="81">
        <f t="shared" si="1949"/>
        <v>8.4511096827669654</v>
      </c>
      <c r="CA522" s="145">
        <f>CA506-CA529-CA521</f>
        <v>45428.6</v>
      </c>
      <c r="CB522" s="81">
        <f t="shared" si="1950"/>
        <v>9.2932170197614248</v>
      </c>
      <c r="CC522" s="145">
        <f>CC506-CC529-CC521</f>
        <v>47244.2</v>
      </c>
      <c r="CD522" s="81">
        <f t="shared" si="1951"/>
        <v>8.2291762118574141</v>
      </c>
      <c r="CE522" s="145">
        <f>CE506-CE529-CE521</f>
        <v>45261.399999999994</v>
      </c>
      <c r="CF522" s="81">
        <f t="shared" si="1952"/>
        <v>4.2233802239604934</v>
      </c>
      <c r="CG522" s="145">
        <f>CG506-CG529-CG521</f>
        <v>45989.600000000006</v>
      </c>
      <c r="CH522" s="81">
        <f t="shared" si="1953"/>
        <v>5.2376735384101591</v>
      </c>
      <c r="CI522" s="145">
        <f>CI506-CI529-CI521</f>
        <v>46668.5</v>
      </c>
      <c r="CJ522" s="81">
        <f t="shared" si="1954"/>
        <v>2.7293379060767897</v>
      </c>
      <c r="CK522" s="145">
        <f>CK506-CK529-CK521</f>
        <v>47651.9</v>
      </c>
      <c r="CL522" s="81">
        <f t="shared" si="1955"/>
        <v>0.86296307271580552</v>
      </c>
      <c r="CM522" s="145">
        <f>CM506-CM529-CM521</f>
        <v>48503</v>
      </c>
      <c r="CN522" s="81">
        <f t="shared" si="1956"/>
        <v>7.1619525688555896</v>
      </c>
      <c r="CO522" s="145">
        <f>CO506-CO529-CO521</f>
        <v>48466.9</v>
      </c>
      <c r="CP522" s="81">
        <f t="shared" si="1957"/>
        <v>5.3866526345086596</v>
      </c>
      <c r="CQ522" s="145">
        <f>CQ506-CQ529-CQ521</f>
        <v>49285.399999999994</v>
      </c>
      <c r="CR522" s="81">
        <f t="shared" si="1958"/>
        <v>5.6074225655420529</v>
      </c>
      <c r="CS522" s="145">
        <f>CS506-CS529-CS521</f>
        <v>50206.5</v>
      </c>
      <c r="CT522" s="81">
        <f t="shared" si="1959"/>
        <v>5.3609614726799926</v>
      </c>
      <c r="CU522" s="145">
        <f>CU506-CU529-CU521</f>
        <v>50412.3</v>
      </c>
      <c r="CV522" s="81">
        <f t="shared" si="1960"/>
        <v>3.9364575387089484</v>
      </c>
      <c r="CW522" s="145">
        <f>CW506-CW529-CW521</f>
        <v>50143.400000000009</v>
      </c>
      <c r="CX522" s="81">
        <f t="shared" si="1961"/>
        <v>3.4590617514221211</v>
      </c>
      <c r="CY522" s="145">
        <f>CY506-CY529-CY521</f>
        <v>48188</v>
      </c>
      <c r="CZ522" s="81">
        <f t="shared" si="1962"/>
        <v>-2.2266228944068489</v>
      </c>
      <c r="DA522" s="145">
        <f>DA506-DA529-DA521</f>
        <v>48144.1</v>
      </c>
      <c r="DB522" s="81">
        <f t="shared" si="1963"/>
        <v>-4.1078346429247237</v>
      </c>
      <c r="DC522" s="145">
        <f>DC506-DC529-DC521</f>
        <v>48122.2</v>
      </c>
      <c r="DD522" s="81">
        <f t="shared" si="1964"/>
        <v>-4.5427405613312715</v>
      </c>
      <c r="DE522" s="145">
        <f>DE506-DE529-DE521</f>
        <v>49135.399999999994</v>
      </c>
      <c r="DF522" s="81">
        <f t="shared" si="1965"/>
        <v>-2.0102346470323385</v>
      </c>
      <c r="DG522" s="145">
        <f>DG506-DG529-DG521</f>
        <v>50124.999999999993</v>
      </c>
      <c r="DH522" s="81">
        <f t="shared" si="1966"/>
        <v>4.0196729476217996</v>
      </c>
      <c r="DI522" s="145">
        <f>DI506-DI529-DI521</f>
        <v>49864.1</v>
      </c>
      <c r="DJ522" s="81">
        <f t="shared" si="1967"/>
        <v>3.5726080662012549</v>
      </c>
      <c r="DK522" s="145">
        <f>DK506-DK529-DK521</f>
        <v>51147.7</v>
      </c>
      <c r="DL522" s="81">
        <f t="shared" si="1968"/>
        <v>6.2871190427702839</v>
      </c>
      <c r="DM522" s="145">
        <f>DM506-DM529-DM521</f>
        <v>51571.4</v>
      </c>
      <c r="DN522" s="81">
        <f t="shared" si="1969"/>
        <v>4.9577290507454963</v>
      </c>
      <c r="DO522" s="145">
        <f>DO506-DO529-DO521</f>
        <v>50458.400000000009</v>
      </c>
      <c r="DP522" s="81">
        <f t="shared" si="1969"/>
        <v>0.66513715710725396</v>
      </c>
      <c r="DQ522" s="145">
        <f>DQ506-DQ529-DQ521</f>
        <v>50199.500000000007</v>
      </c>
      <c r="DR522" s="81">
        <f t="shared" si="1970"/>
        <v>0.67262820345701524</v>
      </c>
      <c r="DS522" s="145">
        <f>DS506-DS529-DS521</f>
        <v>49123.999999999993</v>
      </c>
      <c r="DT522" s="81">
        <f t="shared" si="1971"/>
        <v>-3.9565806478101706</v>
      </c>
      <c r="DU522" s="145">
        <f>DU506-DU529-DU521</f>
        <v>50253.700000000004</v>
      </c>
      <c r="DV522" s="81">
        <f t="shared" si="1972"/>
        <v>-2.5550983684755502</v>
      </c>
      <c r="DW522" s="145">
        <f>DW506-DW529-DW521</f>
        <v>51302.799999999996</v>
      </c>
      <c r="DX522" s="81">
        <f t="shared" si="1973"/>
        <v>1.6734577394447392</v>
      </c>
      <c r="DY522" s="145">
        <f>DY506-DY529-DY521</f>
        <v>51524.099999999991</v>
      </c>
      <c r="DZ522" s="81">
        <f t="shared" si="1974"/>
        <v>2.6386716999172943</v>
      </c>
      <c r="EA522" s="145">
        <f>EA506-EA529-EA521</f>
        <v>49974.1</v>
      </c>
      <c r="EB522" s="81">
        <f t="shared" si="1975"/>
        <v>1.7305186874033263</v>
      </c>
      <c r="EC522" s="145">
        <f>EC506-EC529-EC521</f>
        <v>50436.42</v>
      </c>
      <c r="ED522" s="81">
        <f t="shared" si="1976"/>
        <v>0.36359511836938641</v>
      </c>
      <c r="EE522" s="145">
        <f>EE506-EE529-EE521</f>
        <v>51096.6</v>
      </c>
      <c r="EF522" s="81">
        <f t="shared" si="1977"/>
        <v>-0.40192738018197671</v>
      </c>
      <c r="EG522" s="145">
        <f>EG506-EG529-EG521</f>
        <v>51603</v>
      </c>
      <c r="EH522" s="81">
        <f t="shared" si="1978"/>
        <v>0.15313222356141409</v>
      </c>
      <c r="EI522" s="145">
        <f>EI506-EI529-EI521</f>
        <v>51499.899999999994</v>
      </c>
      <c r="EJ522" s="81">
        <f t="shared" si="1979"/>
        <v>3.0531815480418834</v>
      </c>
      <c r="EK522" s="192">
        <f t="shared" ref="EK522:EQ522" si="2016">EK506-EK529-EK521</f>
        <v>52174.257906675899</v>
      </c>
      <c r="EL522" s="81">
        <f t="shared" si="1981"/>
        <v>3.4456012275968506</v>
      </c>
      <c r="EM522" s="192">
        <f t="shared" si="2016"/>
        <v>52842.551877668171</v>
      </c>
      <c r="EN522" s="81">
        <f t="shared" si="1983"/>
        <v>3.4169629244767297</v>
      </c>
      <c r="EO522" s="192">
        <f t="shared" si="2016"/>
        <v>53526.524626064682</v>
      </c>
      <c r="EP522" s="81">
        <f t="shared" si="1985"/>
        <v>3.7275441855409319</v>
      </c>
      <c r="EQ522" s="192">
        <f t="shared" si="2016"/>
        <v>54217.032757258203</v>
      </c>
      <c r="ER522" s="81">
        <f t="shared" si="1987"/>
        <v>5.2759961810764811</v>
      </c>
      <c r="ES522" s="327"/>
      <c r="ET522" s="490"/>
      <c r="EU522" s="327"/>
      <c r="EV522" s="145">
        <f t="shared" ref="EV522:FJ522" si="2017">EV506-EV529-EV521</f>
        <v>30607.099999999995</v>
      </c>
      <c r="EW522" s="79"/>
      <c r="EX522" s="145">
        <f t="shared" si="2017"/>
        <v>30923.800000000003</v>
      </c>
      <c r="EY522" s="79">
        <f t="shared" si="1988"/>
        <v>1.0347272364908955</v>
      </c>
      <c r="EZ522" s="145"/>
      <c r="FA522" s="79" t="str">
        <f t="shared" si="1989"/>
        <v>NM</v>
      </c>
      <c r="FB522" s="145">
        <f t="shared" si="2017"/>
        <v>34036.799999999996</v>
      </c>
      <c r="FC522" s="79" t="str">
        <f t="shared" si="1990"/>
        <v>NA</v>
      </c>
      <c r="FD522" s="145">
        <f t="shared" si="2017"/>
        <v>35947.300000000003</v>
      </c>
      <c r="FE522" s="79">
        <f t="shared" si="1991"/>
        <v>5.6130423541578711</v>
      </c>
      <c r="FF522" s="145">
        <f t="shared" si="2017"/>
        <v>39658.300000000003</v>
      </c>
      <c r="FG522" s="79">
        <f t="shared" si="1992"/>
        <v>10.323445710804435</v>
      </c>
      <c r="FH522" s="145">
        <f t="shared" si="2017"/>
        <v>40519.200000000004</v>
      </c>
      <c r="FI522" s="79">
        <f t="shared" si="1993"/>
        <v>2.1707940078117272</v>
      </c>
      <c r="FJ522" s="145">
        <f t="shared" si="2017"/>
        <v>41241.300000000003</v>
      </c>
      <c r="FK522" s="79">
        <f t="shared" si="1994"/>
        <v>1.7821181069715086</v>
      </c>
      <c r="FL522" s="145">
        <f>FL506-FL529-FL521</f>
        <v>42444.9</v>
      </c>
      <c r="FM522" s="79">
        <f t="shared" si="1995"/>
        <v>2.9184337060179866</v>
      </c>
      <c r="FN522" s="145">
        <f>FN506-FN529-FN521</f>
        <v>41702.6</v>
      </c>
      <c r="FO522" s="79">
        <f t="shared" si="1996"/>
        <v>-1.7488555751103307</v>
      </c>
      <c r="FP522" s="145">
        <f>FP506-FP529-FP521</f>
        <v>40569.599999999999</v>
      </c>
      <c r="FQ522" s="79">
        <f t="shared" si="1997"/>
        <v>-2.7168569825382627</v>
      </c>
      <c r="FR522" s="192">
        <f>FR506-FR529-FR521</f>
        <v>43427.3</v>
      </c>
      <c r="FS522" s="79">
        <f t="shared" si="1998"/>
        <v>7.0439442341063474</v>
      </c>
      <c r="FT522" s="192">
        <f>FT506-FT529-FT521</f>
        <v>45261.399999999994</v>
      </c>
      <c r="FU522" s="79">
        <f t="shared" si="1999"/>
        <v>4.2233802239604934</v>
      </c>
      <c r="FV522" s="192">
        <f>FV506-FV529-FV521</f>
        <v>48503</v>
      </c>
      <c r="FW522" s="79">
        <f t="shared" si="2000"/>
        <v>7.1619525688555896</v>
      </c>
      <c r="FX522" s="192">
        <f>FX506-FX529-FX521</f>
        <v>50412.3</v>
      </c>
      <c r="FY522" s="79">
        <f t="shared" si="2001"/>
        <v>3.9364575387089484</v>
      </c>
      <c r="FZ522" s="192">
        <f>FZ506-FZ529-FZ521</f>
        <v>48122.2</v>
      </c>
      <c r="GA522" s="79">
        <f t="shared" si="2002"/>
        <v>-4.5427405613312715</v>
      </c>
      <c r="GB522" s="192">
        <f>GB506-GB529-GB521</f>
        <v>51147.7</v>
      </c>
      <c r="GC522" s="79">
        <f t="shared" si="2002"/>
        <v>6.2871190427702839</v>
      </c>
      <c r="GD522" s="192">
        <f>GD506-GD529-GD521</f>
        <v>49123.999999999993</v>
      </c>
      <c r="GE522" s="79">
        <f t="shared" si="2002"/>
        <v>-3.9565806478101706</v>
      </c>
      <c r="GF522" s="192">
        <f>GF506-GF529-GF521</f>
        <v>49974.1</v>
      </c>
      <c r="GG522" s="79">
        <f t="shared" si="2002"/>
        <v>1.7305186874033263</v>
      </c>
      <c r="GH522" s="192">
        <f>GH506-GH529-GH521</f>
        <v>51499.899999999994</v>
      </c>
      <c r="GI522" s="79">
        <f t="shared" si="2002"/>
        <v>3.0531815480418834</v>
      </c>
      <c r="GJ522" s="192">
        <f>GJ506-GJ529-GJ521</f>
        <v>54217.032757258203</v>
      </c>
      <c r="GK522" s="79">
        <f t="shared" si="2002"/>
        <v>5.2759961810764811</v>
      </c>
      <c r="GL522" s="192">
        <f>GL506-GL529-GL521</f>
        <v>57078.816895750118</v>
      </c>
      <c r="GM522" s="79">
        <f t="shared" si="2002"/>
        <v>5.2783857635749998</v>
      </c>
      <c r="GN522" s="192">
        <f>GN506-GN529-GN521</f>
        <v>60115.733089384412</v>
      </c>
      <c r="GO522" s="79">
        <f t="shared" si="2002"/>
        <v>5.3205661203191701</v>
      </c>
      <c r="GP522" s="192">
        <f>GP506-GP529-GP521</f>
        <v>63308.0637868622</v>
      </c>
      <c r="GQ522" s="79">
        <f t="shared" si="2002"/>
        <v>5.3103081895902404</v>
      </c>
      <c r="GR522" s="192">
        <f>GR506-GR529-GR521</f>
        <v>66695.057243461124</v>
      </c>
      <c r="GS522" s="79">
        <f t="shared" si="2003"/>
        <v>5.3500190244355483</v>
      </c>
      <c r="GT522" s="79">
        <f t="shared" si="2004"/>
        <v>5.307051423148601</v>
      </c>
    </row>
    <row r="523" spans="1:202" ht="12.75" customHeight="1" x14ac:dyDescent="0.2">
      <c r="A523" s="1"/>
      <c r="B523" s="2" t="s">
        <v>357</v>
      </c>
      <c r="C523" s="79"/>
      <c r="D523" s="79"/>
      <c r="E523" s="145">
        <f>E522-E502</f>
        <v>32828</v>
      </c>
      <c r="F523" s="145"/>
      <c r="G523" s="145">
        <f>G522-G502</f>
        <v>32745.900000000005</v>
      </c>
      <c r="H523" s="145"/>
      <c r="I523" s="145">
        <f>I522-I502</f>
        <v>33695.199999999997</v>
      </c>
      <c r="J523" s="145"/>
      <c r="K523" s="145">
        <f>K522-K502</f>
        <v>33993.699999999997</v>
      </c>
      <c r="L523" s="79"/>
      <c r="M523" s="145">
        <f>M522-M502</f>
        <v>34135.4</v>
      </c>
      <c r="N523" s="79">
        <f t="shared" si="1925"/>
        <v>3.9825758498842401</v>
      </c>
      <c r="O523" s="145">
        <f>O522-O502</f>
        <v>34717.699999999997</v>
      </c>
      <c r="P523" s="79">
        <f t="shared" si="1926"/>
        <v>6.021517197572801</v>
      </c>
      <c r="Q523" s="145">
        <f>Q522-Q502</f>
        <v>35326.400000000001</v>
      </c>
      <c r="R523" s="79">
        <f t="shared" si="1927"/>
        <v>4.8410456088701093</v>
      </c>
      <c r="S523" s="145">
        <f>S522-S502</f>
        <v>35919.4</v>
      </c>
      <c r="T523" s="79">
        <f t="shared" si="1928"/>
        <v>5.6648731970924127</v>
      </c>
      <c r="U523" s="145">
        <f>U522-U502</f>
        <v>37331</v>
      </c>
      <c r="V523" s="79">
        <f t="shared" si="1929"/>
        <v>9.3615425628526427</v>
      </c>
      <c r="W523" s="145">
        <f>W522-W502</f>
        <v>38805.699999999997</v>
      </c>
      <c r="X523" s="79">
        <f t="shared" si="1930"/>
        <v>11.7749735725581</v>
      </c>
      <c r="Y523" s="145">
        <f>Y522-Y502</f>
        <v>38648.800000000003</v>
      </c>
      <c r="Z523" s="79">
        <f t="shared" si="1931"/>
        <v>9.4048643507405281</v>
      </c>
      <c r="AA523" s="267">
        <f>AA522-AA502</f>
        <v>39625.800000000003</v>
      </c>
      <c r="AB523" s="79">
        <f t="shared" si="1932"/>
        <v>10.318657884040384</v>
      </c>
      <c r="AC523" s="145">
        <f>AC522-AC502</f>
        <v>40521.299999999996</v>
      </c>
      <c r="AD523" s="79">
        <f t="shared" si="1933"/>
        <v>8.5459805523559353</v>
      </c>
      <c r="AE523" s="145">
        <f>AE522-AE502</f>
        <v>39156.299999999996</v>
      </c>
      <c r="AF523" s="79">
        <f t="shared" si="1934"/>
        <v>0.90347552034881762</v>
      </c>
      <c r="AG523" s="145">
        <f>AG522-AG502</f>
        <v>39724.799999999996</v>
      </c>
      <c r="AH523" s="79">
        <f t="shared" si="1935"/>
        <v>2.7840450415019147</v>
      </c>
      <c r="AI523" s="145">
        <f>AI522-AI502</f>
        <v>40487.500000000007</v>
      </c>
      <c r="AJ523" s="79">
        <f t="shared" si="1936"/>
        <v>2.1745933205134182</v>
      </c>
      <c r="AK523" s="145">
        <f>AK522-AK502</f>
        <v>40690.1</v>
      </c>
      <c r="AL523" s="79">
        <f t="shared" si="1937"/>
        <v>0.4165710379479437</v>
      </c>
      <c r="AM523" s="145">
        <f>AM522-AM502</f>
        <v>41484</v>
      </c>
      <c r="AN523" s="79">
        <f t="shared" si="1938"/>
        <v>5.9446372614368581</v>
      </c>
      <c r="AO523" s="145">
        <f>AO522-AO502</f>
        <v>41016.500000000007</v>
      </c>
      <c r="AP523" s="79">
        <f t="shared" si="1938"/>
        <v>3.2516211535363659</v>
      </c>
      <c r="AQ523" s="145">
        <f>AQ522-AQ502</f>
        <v>41211.700000000004</v>
      </c>
      <c r="AR523" s="79">
        <f t="shared" si="1938"/>
        <v>1.7887002161160792</v>
      </c>
      <c r="AS523" s="145">
        <f>AS522-AS502</f>
        <v>41012.000000000007</v>
      </c>
      <c r="AT523" s="81">
        <f t="shared" si="1938"/>
        <v>0.79110152100880793</v>
      </c>
      <c r="AU523" s="145">
        <f>AU522-AU502</f>
        <v>40825.800000000003</v>
      </c>
      <c r="AV523" s="81">
        <f t="shared" si="1938"/>
        <v>-1.5866358113971635</v>
      </c>
      <c r="AW523" s="145">
        <f>AW522-AW502</f>
        <v>41987.5</v>
      </c>
      <c r="AX523" s="81">
        <f t="shared" si="1938"/>
        <v>2.3673399729376987</v>
      </c>
      <c r="AY523" s="145">
        <f>AY522-AY502</f>
        <v>42416.4</v>
      </c>
      <c r="AZ523" s="81">
        <f t="shared" si="1938"/>
        <v>2.9231989944602965</v>
      </c>
      <c r="BA523" s="145">
        <f>BA522-BA502</f>
        <v>42427.600000000006</v>
      </c>
      <c r="BB523" s="81">
        <f t="shared" si="1938"/>
        <v>3.4516726811664844</v>
      </c>
      <c r="BC523" s="145">
        <f>BC522-BC502</f>
        <v>42390</v>
      </c>
      <c r="BD523" s="81">
        <f t="shared" si="1938"/>
        <v>3.8314007318901222</v>
      </c>
      <c r="BE523" s="145">
        <f>BE522-BE502</f>
        <v>42253.299999999996</v>
      </c>
      <c r="BF523" s="81">
        <f t="shared" si="1939"/>
        <v>0.63304554927061663</v>
      </c>
      <c r="BG523" s="145">
        <f>BG522-BG502</f>
        <v>41682.400000000001</v>
      </c>
      <c r="BH523" s="81">
        <f t="shared" si="1940"/>
        <v>-1.7304627455418164</v>
      </c>
      <c r="BI523" s="145">
        <f>BI522-BI502</f>
        <v>41739.4</v>
      </c>
      <c r="BJ523" s="81">
        <f t="shared" si="1941"/>
        <v>-1.6220573400333893</v>
      </c>
      <c r="BK523" s="145">
        <f>BK522-BK502</f>
        <v>41547.799999999996</v>
      </c>
      <c r="BL523" s="81">
        <f t="shared" si="1942"/>
        <v>-1.9867893371078194</v>
      </c>
      <c r="BM523" s="145">
        <f>BM522-BM502</f>
        <v>40627.1</v>
      </c>
      <c r="BN523" s="81">
        <f t="shared" si="1943"/>
        <v>-3.848693474829179</v>
      </c>
      <c r="BO523" s="145">
        <f>BO522-BO502</f>
        <v>40559.1</v>
      </c>
      <c r="BP523" s="81">
        <f t="shared" si="1944"/>
        <v>-2.6949024048519399</v>
      </c>
      <c r="BQ523" s="145">
        <f>BQ522-BQ502</f>
        <v>40286.400000000001</v>
      </c>
      <c r="BR523" s="81">
        <f t="shared" si="1945"/>
        <v>-3.4811233510783524</v>
      </c>
      <c r="BS523" s="145">
        <f>BS522-BS502</f>
        <v>41556.200000000004</v>
      </c>
      <c r="BT523" s="81">
        <f t="shared" si="1946"/>
        <v>2.0217676988942834E-2</v>
      </c>
      <c r="BU523" s="145">
        <f>BU522-BU502</f>
        <v>43641</v>
      </c>
      <c r="BV523" s="81">
        <f t="shared" si="1947"/>
        <v>7.418447292570729</v>
      </c>
      <c r="BW523" s="145">
        <f>BW522-BW502</f>
        <v>43427.3</v>
      </c>
      <c r="BX523" s="81">
        <f t="shared" si="1948"/>
        <v>7.0716559292489434</v>
      </c>
      <c r="BY523" s="145">
        <f>BY522-BY502</f>
        <v>43700.7</v>
      </c>
      <c r="BZ523" s="81">
        <f t="shared" si="1949"/>
        <v>8.4750685094721732</v>
      </c>
      <c r="CA523" s="145">
        <f>CA522-CA502</f>
        <v>45428.6</v>
      </c>
      <c r="CB523" s="81">
        <f t="shared" si="1950"/>
        <v>9.3184651147121045</v>
      </c>
      <c r="CC523" s="145">
        <f>CC522-CC502</f>
        <v>47244.2</v>
      </c>
      <c r="CD523" s="81">
        <f t="shared" si="1951"/>
        <v>8.2564560848743085</v>
      </c>
      <c r="CE523" s="145">
        <f>CE522-CE502</f>
        <v>45261.399999999994</v>
      </c>
      <c r="CF523" s="81">
        <f t="shared" si="1952"/>
        <v>4.2233802239604934</v>
      </c>
      <c r="CG523" s="145">
        <f>CG522-CG502</f>
        <v>45989.600000000006</v>
      </c>
      <c r="CH523" s="81">
        <f t="shared" si="1953"/>
        <v>5.2376735384101591</v>
      </c>
      <c r="CI523" s="145">
        <f>CI522-CI502</f>
        <v>46668.5</v>
      </c>
      <c r="CJ523" s="81">
        <f t="shared" si="1954"/>
        <v>2.7293379060767897</v>
      </c>
      <c r="CK523" s="145">
        <f>CK522-CK502</f>
        <v>47651.9</v>
      </c>
      <c r="CL523" s="81">
        <f t="shared" si="1955"/>
        <v>0.86296307271580552</v>
      </c>
      <c r="CM523" s="145">
        <f>CM522-CM502</f>
        <v>48503</v>
      </c>
      <c r="CN523" s="81">
        <f t="shared" si="1956"/>
        <v>7.1619525688555896</v>
      </c>
      <c r="CO523" s="145">
        <f>CO522-CO502</f>
        <v>48466.9</v>
      </c>
      <c r="CP523" s="81">
        <f t="shared" si="1957"/>
        <v>5.3866526345086596</v>
      </c>
      <c r="CQ523" s="145">
        <f>CQ522-CQ502</f>
        <v>49285.399999999994</v>
      </c>
      <c r="CR523" s="81">
        <f t="shared" si="1958"/>
        <v>5.6074225655420529</v>
      </c>
      <c r="CS523" s="145">
        <f>CS522-CS502</f>
        <v>50206.5</v>
      </c>
      <c r="CT523" s="81">
        <f t="shared" si="1959"/>
        <v>5.3609614726799926</v>
      </c>
      <c r="CU523" s="145">
        <f>CU522-CU502</f>
        <v>50412.3</v>
      </c>
      <c r="CV523" s="81">
        <f t="shared" si="1960"/>
        <v>3.9364575387089484</v>
      </c>
      <c r="CW523" s="145">
        <f>CW522-CW502</f>
        <v>50143.400000000009</v>
      </c>
      <c r="CX523" s="81">
        <f t="shared" si="1961"/>
        <v>3.4590617514221211</v>
      </c>
      <c r="CY523" s="145">
        <f>CY522-CY502</f>
        <v>48188</v>
      </c>
      <c r="CZ523" s="81">
        <f t="shared" si="1962"/>
        <v>-2.2266228944068489</v>
      </c>
      <c r="DA523" s="145">
        <f>DA522-DA502</f>
        <v>48144.1</v>
      </c>
      <c r="DB523" s="81">
        <f t="shared" si="1963"/>
        <v>-4.1078346429247237</v>
      </c>
      <c r="DC523" s="145">
        <f>DC522-DC502</f>
        <v>48122.2</v>
      </c>
      <c r="DD523" s="81">
        <f t="shared" si="1964"/>
        <v>-4.5427405613312715</v>
      </c>
      <c r="DE523" s="145">
        <f>DE522-DE502</f>
        <v>49135.399999999994</v>
      </c>
      <c r="DF523" s="81">
        <f t="shared" si="1965"/>
        <v>-2.0102346470323385</v>
      </c>
      <c r="DG523" s="145">
        <f>DG522-DG502</f>
        <v>50124.999999999993</v>
      </c>
      <c r="DH523" s="81">
        <f t="shared" si="1966"/>
        <v>4.0196729476217996</v>
      </c>
      <c r="DI523" s="145">
        <f>DI522-DI502</f>
        <v>49864.1</v>
      </c>
      <c r="DJ523" s="81">
        <f t="shared" si="1967"/>
        <v>3.5726080662012549</v>
      </c>
      <c r="DK523" s="145">
        <f>DK522-DK502</f>
        <v>51147.7</v>
      </c>
      <c r="DL523" s="81">
        <f t="shared" si="1968"/>
        <v>6.2871190427702839</v>
      </c>
      <c r="DM523" s="145">
        <f>DM522-DM502</f>
        <v>51571.4</v>
      </c>
      <c r="DN523" s="81">
        <f t="shared" si="1969"/>
        <v>4.9577290507454963</v>
      </c>
      <c r="DO523" s="145">
        <f>DO522-DO502</f>
        <v>50458.400000000009</v>
      </c>
      <c r="DP523" s="81">
        <f t="shared" si="1969"/>
        <v>0.66513715710725396</v>
      </c>
      <c r="DQ523" s="145">
        <f>DQ522-DQ502</f>
        <v>50199.500000000007</v>
      </c>
      <c r="DR523" s="81">
        <f t="shared" si="1970"/>
        <v>0.67262820345701524</v>
      </c>
      <c r="DS523" s="145">
        <f>DS522-DS502</f>
        <v>49123.999999999993</v>
      </c>
      <c r="DT523" s="81">
        <f t="shared" si="1971"/>
        <v>-3.9565806478101706</v>
      </c>
      <c r="DU523" s="145">
        <f>DU522-DU502</f>
        <v>50253.700000000004</v>
      </c>
      <c r="DV523" s="81">
        <f t="shared" si="1972"/>
        <v>-2.5550983684755502</v>
      </c>
      <c r="DW523" s="145">
        <f>DW522-DW502</f>
        <v>51302.799999999996</v>
      </c>
      <c r="DX523" s="81">
        <f t="shared" si="1973"/>
        <v>1.6734577394447392</v>
      </c>
      <c r="DY523" s="145">
        <f>DY522-DY502</f>
        <v>51524.099999999991</v>
      </c>
      <c r="DZ523" s="81">
        <f t="shared" si="1974"/>
        <v>2.6386716999172943</v>
      </c>
      <c r="EA523" s="145">
        <f>EA522-EA502</f>
        <v>49974.1</v>
      </c>
      <c r="EB523" s="81">
        <f t="shared" si="1975"/>
        <v>1.7305186874033263</v>
      </c>
      <c r="EC523" s="145">
        <f>EC522-EC502</f>
        <v>50436.42</v>
      </c>
      <c r="ED523" s="81">
        <f t="shared" si="1976"/>
        <v>0.36359511836938641</v>
      </c>
      <c r="EE523" s="145">
        <f>EE522-EE502</f>
        <v>51096.6</v>
      </c>
      <c r="EF523" s="81">
        <f t="shared" si="1977"/>
        <v>-0.40192738018197671</v>
      </c>
      <c r="EG523" s="145">
        <f>EG522-EG502</f>
        <v>51603</v>
      </c>
      <c r="EH523" s="81">
        <f t="shared" si="1978"/>
        <v>0.15313222356141409</v>
      </c>
      <c r="EI523" s="145">
        <f>EI522-EI502</f>
        <v>51499.899999999994</v>
      </c>
      <c r="EJ523" s="81">
        <f t="shared" si="1979"/>
        <v>3.0531815480418834</v>
      </c>
      <c r="EK523" s="192">
        <f t="shared" ref="EK523:EQ523" si="2018">EK522-EK502</f>
        <v>52174.257906675899</v>
      </c>
      <c r="EL523" s="81">
        <f t="shared" si="1981"/>
        <v>3.4456012275968506</v>
      </c>
      <c r="EM523" s="192">
        <f t="shared" si="2018"/>
        <v>52842.551877668171</v>
      </c>
      <c r="EN523" s="81">
        <f t="shared" si="1983"/>
        <v>3.4169629244767297</v>
      </c>
      <c r="EO523" s="192">
        <f t="shared" si="2018"/>
        <v>53526.524626064682</v>
      </c>
      <c r="EP523" s="81">
        <f t="shared" si="1985"/>
        <v>3.7275441855409319</v>
      </c>
      <c r="EQ523" s="192">
        <f t="shared" si="2018"/>
        <v>54217.032757258203</v>
      </c>
      <c r="ER523" s="81">
        <f t="shared" si="1987"/>
        <v>5.2759961810764811</v>
      </c>
      <c r="ES523" s="327"/>
      <c r="ET523" s="490"/>
      <c r="EU523" s="327"/>
      <c r="EV523" s="145">
        <f t="shared" ref="EV523:FJ523" si="2019">EV522-EV502</f>
        <v>30194.099999999995</v>
      </c>
      <c r="EW523" s="79"/>
      <c r="EX523" s="145">
        <f t="shared" si="2019"/>
        <v>30464.700000000004</v>
      </c>
      <c r="EY523" s="79">
        <f t="shared" si="1988"/>
        <v>0.89620157580456716</v>
      </c>
      <c r="EZ523" s="145"/>
      <c r="FA523" s="79" t="str">
        <f t="shared" si="1989"/>
        <v>NM</v>
      </c>
      <c r="FB523" s="145">
        <f t="shared" si="2019"/>
        <v>33993.699999999997</v>
      </c>
      <c r="FC523" s="79" t="str">
        <f t="shared" si="1990"/>
        <v>NA</v>
      </c>
      <c r="FD523" s="145">
        <f t="shared" si="2019"/>
        <v>35919.4</v>
      </c>
      <c r="FE523" s="79">
        <f t="shared" si="1991"/>
        <v>5.6648731970924127</v>
      </c>
      <c r="FF523" s="145">
        <f t="shared" si="2019"/>
        <v>39625.800000000003</v>
      </c>
      <c r="FG523" s="79">
        <f t="shared" si="1992"/>
        <v>10.318657884040384</v>
      </c>
      <c r="FH523" s="145">
        <f t="shared" si="2019"/>
        <v>40487.500000000007</v>
      </c>
      <c r="FI523" s="79">
        <f t="shared" si="1993"/>
        <v>2.1745933205134182</v>
      </c>
      <c r="FJ523" s="145">
        <f t="shared" si="2019"/>
        <v>41211.700000000004</v>
      </c>
      <c r="FK523" s="79">
        <f t="shared" si="1994"/>
        <v>1.7887002161160792</v>
      </c>
      <c r="FL523" s="145">
        <f>FL522-FL502</f>
        <v>42416.4</v>
      </c>
      <c r="FM523" s="79">
        <f t="shared" si="1995"/>
        <v>2.9231989944602965</v>
      </c>
      <c r="FN523" s="145">
        <f>FN522-FN502</f>
        <v>41682.400000000001</v>
      </c>
      <c r="FO523" s="79">
        <f t="shared" si="1996"/>
        <v>-1.7304627455418164</v>
      </c>
      <c r="FP523" s="145">
        <f>FP522-FP502</f>
        <v>40559.1</v>
      </c>
      <c r="FQ523" s="79">
        <f t="shared" si="1997"/>
        <v>-2.6949024048519399</v>
      </c>
      <c r="FR523" s="192">
        <f>FR522-FR502</f>
        <v>43427.3</v>
      </c>
      <c r="FS523" s="79">
        <f t="shared" si="1998"/>
        <v>7.0716559292489434</v>
      </c>
      <c r="FT523" s="192">
        <f>FT522-FT502</f>
        <v>45261.399999999994</v>
      </c>
      <c r="FU523" s="79">
        <f t="shared" si="1999"/>
        <v>4.2233802239604934</v>
      </c>
      <c r="FV523" s="192">
        <f>FV522-FV502</f>
        <v>48503</v>
      </c>
      <c r="FW523" s="79">
        <f t="shared" si="2000"/>
        <v>7.1619525688555896</v>
      </c>
      <c r="FX523" s="192">
        <f>FX522-FX502</f>
        <v>50412.3</v>
      </c>
      <c r="FY523" s="79">
        <f t="shared" si="2001"/>
        <v>3.9364575387089484</v>
      </c>
      <c r="FZ523" s="192">
        <f>FZ522-FZ502</f>
        <v>48122.2</v>
      </c>
      <c r="GA523" s="79">
        <f t="shared" si="2002"/>
        <v>-4.5427405613312715</v>
      </c>
      <c r="GB523" s="192">
        <f>GB522-GB502</f>
        <v>51147.7</v>
      </c>
      <c r="GC523" s="79">
        <f t="shared" si="2002"/>
        <v>6.2871190427702839</v>
      </c>
      <c r="GD523" s="192">
        <f>GD522-GD502</f>
        <v>49123.999999999993</v>
      </c>
      <c r="GE523" s="79">
        <f t="shared" si="2002"/>
        <v>-3.9565806478101706</v>
      </c>
      <c r="GF523" s="192">
        <f>GF522-GF502</f>
        <v>49974.1</v>
      </c>
      <c r="GG523" s="79">
        <f t="shared" si="2002"/>
        <v>1.7305186874033263</v>
      </c>
      <c r="GH523" s="192">
        <f>GH522-GH502</f>
        <v>51499.899999999994</v>
      </c>
      <c r="GI523" s="79">
        <f t="shared" si="2002"/>
        <v>3.0531815480418834</v>
      </c>
      <c r="GJ523" s="192">
        <f>GJ522-GJ502</f>
        <v>54217.032757258203</v>
      </c>
      <c r="GK523" s="79">
        <f t="shared" si="2002"/>
        <v>5.2759961810764811</v>
      </c>
      <c r="GL523" s="192">
        <f>GL522-GL502</f>
        <v>57078.816895750118</v>
      </c>
      <c r="GM523" s="79">
        <f t="shared" si="2002"/>
        <v>5.2783857635749998</v>
      </c>
      <c r="GN523" s="192">
        <f>GN522-GN502</f>
        <v>60115.733089384412</v>
      </c>
      <c r="GO523" s="79">
        <f t="shared" si="2002"/>
        <v>5.3205661203191701</v>
      </c>
      <c r="GP523" s="192">
        <f>GP522-GP502</f>
        <v>63308.0637868622</v>
      </c>
      <c r="GQ523" s="79">
        <f t="shared" si="2002"/>
        <v>5.3103081895902404</v>
      </c>
      <c r="GR523" s="192">
        <f>GR522-GR502</f>
        <v>66695.057243461124</v>
      </c>
      <c r="GS523" s="79">
        <f t="shared" si="2003"/>
        <v>5.3500190244355483</v>
      </c>
      <c r="GT523" s="79">
        <f t="shared" si="2004"/>
        <v>5.307051423148601</v>
      </c>
    </row>
    <row r="524" spans="1:202" ht="12.75" customHeight="1" x14ac:dyDescent="0.2">
      <c r="A524" s="1"/>
      <c r="B524" s="68"/>
      <c r="C524" s="79"/>
      <c r="D524" s="79"/>
      <c r="E524" s="327"/>
      <c r="F524" s="327"/>
      <c r="G524" s="327"/>
      <c r="H524" s="327"/>
      <c r="I524" s="327"/>
      <c r="J524" s="327"/>
      <c r="K524" s="327"/>
      <c r="L524" s="79"/>
      <c r="M524" s="327"/>
      <c r="N524" s="79"/>
      <c r="O524" s="327"/>
      <c r="P524" s="79"/>
      <c r="Q524" s="327"/>
      <c r="R524" s="79"/>
      <c r="S524" s="327"/>
      <c r="T524" s="79"/>
      <c r="U524" s="327"/>
      <c r="V524" s="79"/>
      <c r="W524" s="327"/>
      <c r="X524" s="79"/>
      <c r="Y524" s="327"/>
      <c r="Z524" s="79"/>
      <c r="AA524" s="66"/>
      <c r="AB524" s="79"/>
      <c r="AC524" s="327"/>
      <c r="AD524" s="79"/>
      <c r="AE524" s="327"/>
      <c r="AF524" s="79"/>
      <c r="AG524" s="327"/>
      <c r="AH524" s="79"/>
      <c r="AI524" s="327"/>
      <c r="AJ524" s="79"/>
      <c r="AK524" s="327"/>
      <c r="AL524" s="79"/>
      <c r="AM524" s="327"/>
      <c r="AN524" s="79"/>
      <c r="AO524" s="327"/>
      <c r="AP524" s="79"/>
      <c r="AQ524" s="327"/>
      <c r="AR524" s="79"/>
      <c r="AS524" s="327"/>
      <c r="AT524" s="81"/>
      <c r="AU524" s="327"/>
      <c r="AV524" s="81"/>
      <c r="AW524" s="327"/>
      <c r="AX524" s="81"/>
      <c r="AY524" s="327"/>
      <c r="AZ524" s="81"/>
      <c r="BA524" s="327"/>
      <c r="BB524" s="81"/>
      <c r="BC524" s="327"/>
      <c r="BD524" s="81"/>
      <c r="BE524" s="327"/>
      <c r="BF524" s="81"/>
      <c r="BG524" s="327"/>
      <c r="BH524" s="81"/>
      <c r="BI524" s="327"/>
      <c r="BJ524" s="81"/>
      <c r="BK524" s="327"/>
      <c r="BL524" s="81"/>
      <c r="BM524" s="327"/>
      <c r="BN524" s="81"/>
      <c r="BO524" s="327"/>
      <c r="BP524" s="81"/>
      <c r="BQ524" s="327"/>
      <c r="BR524" s="81"/>
      <c r="BS524" s="327"/>
      <c r="BT524" s="81"/>
      <c r="BU524" s="327"/>
      <c r="BV524" s="81"/>
      <c r="BW524" s="327"/>
      <c r="BX524" s="81"/>
      <c r="BY524" s="327"/>
      <c r="BZ524" s="81"/>
      <c r="CA524" s="327"/>
      <c r="CB524" s="81"/>
      <c r="CC524" s="327"/>
      <c r="CD524" s="81"/>
      <c r="CE524" s="327"/>
      <c r="CF524" s="81"/>
      <c r="CG524" s="327"/>
      <c r="CH524" s="81"/>
      <c r="CI524" s="327"/>
      <c r="CJ524" s="81"/>
      <c r="CK524" s="327"/>
      <c r="CL524" s="81"/>
      <c r="CM524" s="327"/>
      <c r="CN524" s="81"/>
      <c r="CO524" s="327"/>
      <c r="CP524" s="81"/>
      <c r="CQ524" s="327"/>
      <c r="CR524" s="81"/>
      <c r="CS524" s="327"/>
      <c r="CT524" s="81"/>
      <c r="CU524" s="327"/>
      <c r="CV524" s="81"/>
      <c r="CW524" s="327"/>
      <c r="CX524" s="81"/>
      <c r="CY524" s="327"/>
      <c r="CZ524" s="81"/>
      <c r="DA524" s="327"/>
      <c r="DB524" s="81"/>
      <c r="DC524" s="327"/>
      <c r="DD524" s="81"/>
      <c r="DE524" s="327"/>
      <c r="DF524" s="81"/>
      <c r="DG524" s="327"/>
      <c r="DH524" s="81"/>
      <c r="DI524" s="327"/>
      <c r="DJ524" s="81"/>
      <c r="DK524" s="327"/>
      <c r="DL524" s="81"/>
      <c r="DM524" s="327"/>
      <c r="DN524" s="81"/>
      <c r="DO524" s="327"/>
      <c r="DP524" s="81"/>
      <c r="DQ524" s="327"/>
      <c r="DR524" s="81"/>
      <c r="DS524" s="327"/>
      <c r="DT524" s="81"/>
      <c r="DU524" s="327"/>
      <c r="DV524" s="81"/>
      <c r="DW524" s="327"/>
      <c r="DX524" s="81"/>
      <c r="DY524" s="327"/>
      <c r="DZ524" s="81"/>
      <c r="EA524" s="327"/>
      <c r="EB524" s="81"/>
      <c r="EC524" s="327"/>
      <c r="ED524" s="81"/>
      <c r="EE524" s="327"/>
      <c r="EF524" s="81"/>
      <c r="EG524" s="327"/>
      <c r="EH524" s="81"/>
      <c r="EI524" s="327"/>
      <c r="EJ524" s="81"/>
      <c r="EK524" s="381"/>
      <c r="EL524" s="81"/>
      <c r="EM524" s="381"/>
      <c r="EN524" s="81"/>
      <c r="EO524" s="381"/>
      <c r="EP524" s="81"/>
      <c r="EQ524" s="381"/>
      <c r="ER524" s="81"/>
      <c r="ES524" s="82"/>
      <c r="ET524" s="490"/>
      <c r="EU524" s="82"/>
      <c r="EV524" s="327"/>
      <c r="EW524" s="79"/>
      <c r="EX524" s="327"/>
      <c r="EY524" s="79"/>
      <c r="EZ524" s="327"/>
      <c r="FA524" s="79"/>
      <c r="FB524" s="327"/>
      <c r="FC524" s="79"/>
      <c r="FD524" s="327"/>
      <c r="FE524" s="79"/>
      <c r="FF524" s="327"/>
      <c r="FG524" s="79"/>
      <c r="FH524" s="327"/>
      <c r="FI524" s="79"/>
      <c r="FJ524" s="327"/>
      <c r="FK524" s="79"/>
      <c r="FL524" s="327"/>
      <c r="FM524" s="79"/>
      <c r="FN524" s="327"/>
      <c r="FO524" s="79"/>
      <c r="FP524" s="327"/>
      <c r="FQ524" s="79"/>
      <c r="FR524" s="381"/>
      <c r="FS524" s="79"/>
      <c r="FT524" s="381"/>
      <c r="FU524" s="79"/>
      <c r="FV524" s="381"/>
      <c r="FW524" s="79"/>
      <c r="FX524" s="381"/>
      <c r="FY524" s="79"/>
      <c r="FZ524" s="381"/>
      <c r="GA524" s="79"/>
      <c r="GB524" s="381"/>
      <c r="GC524" s="79"/>
      <c r="GD524" s="381"/>
      <c r="GE524" s="79"/>
      <c r="GF524" s="381"/>
      <c r="GG524" s="79"/>
      <c r="GH524" s="381"/>
      <c r="GI524" s="79"/>
      <c r="GJ524" s="381"/>
      <c r="GK524" s="79"/>
      <c r="GL524" s="381"/>
      <c r="GM524" s="79"/>
      <c r="GN524" s="381"/>
      <c r="GO524" s="79"/>
      <c r="GP524" s="381"/>
      <c r="GQ524" s="79"/>
      <c r="GR524" s="381"/>
      <c r="GS524" s="79"/>
      <c r="GT524" s="79"/>
    </row>
    <row r="525" spans="1:202" ht="12.75" customHeight="1" x14ac:dyDescent="0.2">
      <c r="A525" s="1"/>
      <c r="B525" s="68" t="s">
        <v>358</v>
      </c>
      <c r="C525" s="79"/>
      <c r="D525" s="79"/>
      <c r="E525" s="82"/>
      <c r="F525" s="82"/>
      <c r="G525" s="82"/>
      <c r="H525" s="82"/>
      <c r="I525" s="82"/>
      <c r="J525" s="82"/>
      <c r="K525" s="82"/>
      <c r="L525" s="79"/>
      <c r="M525" s="82"/>
      <c r="N525" s="79"/>
      <c r="O525" s="82"/>
      <c r="P525" s="79"/>
      <c r="Q525" s="82"/>
      <c r="R525" s="79"/>
      <c r="S525" s="82"/>
      <c r="T525" s="79"/>
      <c r="U525" s="82"/>
      <c r="V525" s="79"/>
      <c r="W525" s="82"/>
      <c r="X525" s="79"/>
      <c r="Y525" s="82"/>
      <c r="Z525" s="79"/>
      <c r="AA525" s="130"/>
      <c r="AB525" s="79"/>
      <c r="AC525" s="82"/>
      <c r="AD525" s="79"/>
      <c r="AE525" s="82"/>
      <c r="AF525" s="79"/>
      <c r="AG525" s="82"/>
      <c r="AH525" s="79"/>
      <c r="AI525" s="82"/>
      <c r="AJ525" s="79"/>
      <c r="AK525" s="82"/>
      <c r="AL525" s="79"/>
      <c r="AM525" s="82"/>
      <c r="AN525" s="79"/>
      <c r="AO525" s="82"/>
      <c r="AP525" s="79"/>
      <c r="AQ525" s="82"/>
      <c r="AR525" s="79"/>
      <c r="AS525" s="82"/>
      <c r="AT525" s="81"/>
      <c r="AU525" s="82"/>
      <c r="AV525" s="81"/>
      <c r="AW525" s="82"/>
      <c r="AX525" s="81"/>
      <c r="AY525" s="82"/>
      <c r="AZ525" s="81"/>
      <c r="BA525" s="82"/>
      <c r="BB525" s="81"/>
      <c r="BC525" s="82"/>
      <c r="BD525" s="81"/>
      <c r="BE525" s="82"/>
      <c r="BF525" s="81"/>
      <c r="BG525" s="82"/>
      <c r="BH525" s="81"/>
      <c r="BI525" s="82"/>
      <c r="BJ525" s="81"/>
      <c r="BK525" s="82"/>
      <c r="BL525" s="81"/>
      <c r="BM525" s="82"/>
      <c r="BN525" s="81"/>
      <c r="BO525" s="82"/>
      <c r="BP525" s="81"/>
      <c r="BQ525" s="82"/>
      <c r="BR525" s="81"/>
      <c r="BS525" s="82"/>
      <c r="BT525" s="81"/>
      <c r="BU525" s="82"/>
      <c r="BV525" s="81"/>
      <c r="BW525" s="82"/>
      <c r="BX525" s="81"/>
      <c r="BY525" s="82"/>
      <c r="BZ525" s="81"/>
      <c r="CA525" s="82"/>
      <c r="CB525" s="81"/>
      <c r="CC525" s="82"/>
      <c r="CD525" s="81"/>
      <c r="CE525" s="82"/>
      <c r="CF525" s="81"/>
      <c r="CG525" s="82"/>
      <c r="CH525" s="81"/>
      <c r="CI525" s="82"/>
      <c r="CJ525" s="81"/>
      <c r="CK525" s="82"/>
      <c r="CL525" s="81"/>
      <c r="CM525" s="82"/>
      <c r="CN525" s="81"/>
      <c r="CO525" s="82"/>
      <c r="CP525" s="81"/>
      <c r="CQ525" s="82"/>
      <c r="CR525" s="81"/>
      <c r="CS525" s="82"/>
      <c r="CT525" s="81"/>
      <c r="CU525" s="82"/>
      <c r="CV525" s="81"/>
      <c r="CW525" s="82"/>
      <c r="CX525" s="81"/>
      <c r="CY525" s="82"/>
      <c r="CZ525" s="81"/>
      <c r="DA525" s="82"/>
      <c r="DB525" s="81"/>
      <c r="DC525" s="82"/>
      <c r="DD525" s="81"/>
      <c r="DE525" s="82"/>
      <c r="DF525" s="81"/>
      <c r="DG525" s="82"/>
      <c r="DH525" s="81"/>
      <c r="DI525" s="82"/>
      <c r="DJ525" s="81"/>
      <c r="DK525" s="82"/>
      <c r="DL525" s="81"/>
      <c r="DM525" s="82"/>
      <c r="DN525" s="81"/>
      <c r="DO525" s="82"/>
      <c r="DP525" s="81"/>
      <c r="DQ525" s="82"/>
      <c r="DR525" s="81"/>
      <c r="DS525" s="82"/>
      <c r="DT525" s="81"/>
      <c r="DU525" s="82"/>
      <c r="DV525" s="81"/>
      <c r="DW525" s="82"/>
      <c r="DX525" s="81"/>
      <c r="DY525" s="82"/>
      <c r="DZ525" s="81"/>
      <c r="EA525" s="82"/>
      <c r="EB525" s="81"/>
      <c r="EC525" s="82"/>
      <c r="ED525" s="81"/>
      <c r="EE525" s="82"/>
      <c r="EF525" s="81"/>
      <c r="EG525" s="82"/>
      <c r="EH525" s="81"/>
      <c r="EI525" s="82"/>
      <c r="EJ525" s="81"/>
      <c r="EK525" s="78"/>
      <c r="EL525" s="81"/>
      <c r="EM525" s="78"/>
      <c r="EN525" s="81"/>
      <c r="EO525" s="78"/>
      <c r="EP525" s="81"/>
      <c r="EQ525" s="78"/>
      <c r="ER525" s="81"/>
      <c r="ES525" s="82"/>
      <c r="ET525" s="490"/>
      <c r="EU525" s="82"/>
      <c r="EV525" s="82"/>
      <c r="EW525" s="79"/>
      <c r="EX525" s="82"/>
      <c r="EY525" s="79"/>
      <c r="EZ525" s="82"/>
      <c r="FA525" s="79"/>
      <c r="FB525" s="82"/>
      <c r="FC525" s="79"/>
      <c r="FD525" s="82"/>
      <c r="FE525" s="79"/>
      <c r="FF525" s="82"/>
      <c r="FG525" s="79"/>
      <c r="FH525" s="82"/>
      <c r="FI525" s="79"/>
      <c r="FJ525" s="82"/>
      <c r="FK525" s="79"/>
      <c r="FL525" s="327"/>
      <c r="FM525" s="79"/>
      <c r="FN525" s="327"/>
      <c r="FO525" s="79"/>
      <c r="FP525" s="327"/>
      <c r="FQ525" s="79"/>
      <c r="FR525" s="78"/>
      <c r="FS525" s="79"/>
      <c r="FT525" s="78"/>
      <c r="FU525" s="79"/>
      <c r="FV525" s="78"/>
      <c r="FW525" s="79"/>
      <c r="FX525" s="78"/>
      <c r="FY525" s="79"/>
      <c r="FZ525" s="78"/>
      <c r="GA525" s="79"/>
      <c r="GB525" s="78"/>
      <c r="GC525" s="79"/>
      <c r="GD525" s="78"/>
      <c r="GE525" s="79"/>
      <c r="GF525" s="78"/>
      <c r="GG525" s="79"/>
      <c r="GH525" s="78"/>
      <c r="GI525" s="79"/>
      <c r="GJ525" s="78"/>
      <c r="GK525" s="79"/>
      <c r="GL525" s="78"/>
      <c r="GM525" s="79"/>
      <c r="GN525" s="78"/>
      <c r="GO525" s="79"/>
      <c r="GP525" s="78"/>
      <c r="GQ525" s="79"/>
      <c r="GR525" s="78"/>
      <c r="GS525" s="79"/>
      <c r="GT525" s="79"/>
    </row>
    <row r="526" spans="1:202" ht="12.75" customHeight="1" x14ac:dyDescent="0.2">
      <c r="A526" s="1"/>
      <c r="B526" s="2" t="s">
        <v>318</v>
      </c>
      <c r="C526" s="381">
        <f>+C529-C527-C530-C528</f>
        <v>1204.5000000000002</v>
      </c>
      <c r="D526" s="79"/>
      <c r="E526" s="381">
        <f>+E529-E527-E530-E528</f>
        <v>1069.6000000000001</v>
      </c>
      <c r="F526" s="82"/>
      <c r="G526" s="381">
        <f>+G529-G527-G530-G528</f>
        <v>1077</v>
      </c>
      <c r="H526" s="82"/>
      <c r="I526" s="381">
        <f>+I529-I527-I530-I528</f>
        <v>1079.4999999999998</v>
      </c>
      <c r="J526" s="82"/>
      <c r="K526" s="381">
        <f>+K529-K527-K530-K528</f>
        <v>1084.7999999999995</v>
      </c>
      <c r="L526" s="79"/>
      <c r="M526" s="381">
        <f>+M529-M527-M530-M528</f>
        <v>1098.4999999999995</v>
      </c>
      <c r="N526" s="79">
        <f t="shared" ref="N526:N533" si="2020">IF(ISERROR((M526/E526-1)*100),"NA",IF(((M526/E526-1)*100)&gt;100,"NM",IF(((M526/E526-1)*100)&lt;-50,"NM",(M526/E526-1)*100)))</f>
        <v>2.7019446522063673</v>
      </c>
      <c r="O526" s="381">
        <f>+O529-O527-O530-O528</f>
        <v>1109.4999999999998</v>
      </c>
      <c r="P526" s="79">
        <f t="shared" ref="P526:P533" si="2021">IF(ISERROR((O526/G526-1)*100),"NA",IF(((O526/G526-1)*100)&gt;100,"NM",IF(((O526/G526-1)*100)&lt;-50,"NM",(O526/G526-1)*100)))</f>
        <v>3.0176415970287529</v>
      </c>
      <c r="Q526" s="381">
        <f>+Q529-Q527-Q530-Q528</f>
        <v>1106.7</v>
      </c>
      <c r="R526" s="79">
        <f t="shared" ref="R526:R533" si="2022">IF(ISERROR((Q526/I526-1)*100),"NA",IF(((Q526/I526-1)*100)&gt;100,"NM",IF(((Q526/I526-1)*100)&lt;-50,"NM",(Q526/I526-1)*100)))</f>
        <v>2.5196850393701009</v>
      </c>
      <c r="S526" s="381">
        <f>+S529-S527-S530-S528</f>
        <v>1108.6000000000001</v>
      </c>
      <c r="T526" s="79">
        <f t="shared" ref="T526:T533" si="2023">IF(ISERROR((S526/K526-1)*100),"NA",IF(((S526/K526-1)*100)&gt;100,"NM",IF(((S526/K526-1)*100)&lt;-50,"NM",(S526/K526-1)*100)))</f>
        <v>2.1939528023599442</v>
      </c>
      <c r="U526" s="381">
        <f>+U529-U527-U530-U528</f>
        <v>1109.6000000000006</v>
      </c>
      <c r="V526" s="79">
        <f t="shared" ref="V526:V533" si="2024">IF(ISERROR((U526/M526-1)*100),"NA",IF(((U526/M526-1)*100)&gt;100,"NM",IF(((U526/M526-1)*100)&lt;-50,"NM",(U526/M526-1)*100)))</f>
        <v>1.0104688211198143</v>
      </c>
      <c r="W526" s="381">
        <f>+W529-W527-W530-W528</f>
        <v>1621.3</v>
      </c>
      <c r="X526" s="79">
        <f t="shared" ref="X526:X533" si="2025">IF(ISERROR((W526/O526-1)*100),"NA",IF(((W526/O526-1)*100)&gt;100,"NM",IF(((W526/O526-1)*100)&lt;-50,"NM",(W526/O526-1)*100)))</f>
        <v>46.128886885984713</v>
      </c>
      <c r="Y526" s="381">
        <f>+Y529-Y527-Y530-Y528</f>
        <v>1623.4000000000005</v>
      </c>
      <c r="Z526" s="79">
        <f t="shared" ref="Z526:Z533" si="2026">IF(ISERROR((Y526/Q526-1)*100),"NA",IF(((Y526/Q526-1)*100)&gt;100,"NM",IF(((Y526/Q526-1)*100)&lt;-50,"NM",(Y526/Q526-1)*100)))</f>
        <v>46.688352760459061</v>
      </c>
      <c r="AA526" s="382">
        <f>+AA529-AA527-AA530-AA528</f>
        <v>1627.1000000000004</v>
      </c>
      <c r="AB526" s="79">
        <f t="shared" ref="AB526:AB533" si="2027">IF(ISERROR((AA526/S526-1)*100),"NA",IF(((AA526/S526-1)*100)&gt;100,"NM",IF(((AA526/S526-1)*100)&lt;-50,"NM",(AA526/S526-1)*100)))</f>
        <v>46.770701786036462</v>
      </c>
      <c r="AC526" s="381">
        <f>+AC529-AC527-AC530-AC528</f>
        <v>1630.5000000000002</v>
      </c>
      <c r="AD526" s="79">
        <f t="shared" ref="AD526:AD533" si="2028">IF(ISERROR((AC526/U526-1)*100),"NA",IF(((AC526/U526-1)*100)&gt;100,"NM",IF(((AC526/U526-1)*100)&lt;-50,"NM",(AC526/U526-1)*100)))</f>
        <v>46.944844989185228</v>
      </c>
      <c r="AE526" s="381">
        <f>+AE529-AE527-AE530-AE528</f>
        <v>1606.4999999999998</v>
      </c>
      <c r="AF526" s="79">
        <f t="shared" ref="AF526:AF533" si="2029">IF(ISERROR((AE526/W526-1)*100),"NA",IF(((AE526/W526-1)*100)&gt;100,"NM",IF(((AE526/W526-1)*100)&lt;-50,"NM",(AE526/W526-1)*100)))</f>
        <v>-0.91284771479678284</v>
      </c>
      <c r="AG526" s="381">
        <f>+AG529-AG527-AG530-AG528</f>
        <v>1608.9999999999998</v>
      </c>
      <c r="AH526" s="79">
        <f t="shared" ref="AH526:AH533" si="2030">IF(ISERROR((AG526/Y526-1)*100),"NA",IF(((AG526/Y526-1)*100)&gt;100,"NM",IF(((AG526/Y526-1)*100)&lt;-50,"NM",(AG526/Y526-1)*100)))</f>
        <v>-0.8870272268079793</v>
      </c>
      <c r="AI526" s="381">
        <f>+AI529-AI527-AI530-AI528</f>
        <v>1611.7000000000005</v>
      </c>
      <c r="AJ526" s="79">
        <f t="shared" ref="AJ526:AJ533" si="2031">IF(ISERROR((AI526/AA526-1)*100),"NA",IF(((AI526/AA526-1)*100)&gt;100,"NM",IF(((AI526/AA526-1)*100)&lt;-50,"NM",(AI526/AA526-1)*100)))</f>
        <v>-0.94646917829266375</v>
      </c>
      <c r="AK526" s="381">
        <f>+AK529-AK527-AK530-AK528</f>
        <v>1617.7999999999997</v>
      </c>
      <c r="AL526" s="79">
        <f t="shared" ref="AL526:AL533" si="2032">IF(ISERROR((AK526/AC526-1)*100),"NA",IF(((AK526/AC526-1)*100)&gt;100,"NM",IF(((AK526/AC526-1)*100)&lt;-50,"NM",(AK526/AC526-1)*100)))</f>
        <v>-0.77890217724627675</v>
      </c>
      <c r="AM526" s="381">
        <f>+AM529-AM527-AM530-AM528</f>
        <v>1623.6000000000006</v>
      </c>
      <c r="AN526" s="79">
        <f t="shared" ref="AN526:BD533" si="2033">IF(ISERROR((AM526/AE526-1)*100),"NA",IF(((AM526/AE526-1)*100)&gt;100,"NM",IF(((AM526/AE526-1)*100)&lt;-50,"NM",(AM526/AE526-1)*100)))</f>
        <v>1.0644257703081639</v>
      </c>
      <c r="AO526" s="381">
        <f>+AO529-AO527-AO530-AO528</f>
        <v>1629.7999999999995</v>
      </c>
      <c r="AP526" s="79">
        <f t="shared" si="2033"/>
        <v>1.2927284027345998</v>
      </c>
      <c r="AQ526" s="381">
        <f>+AQ529-AQ527-AQ530-AQ528</f>
        <v>1603.8</v>
      </c>
      <c r="AR526" s="79">
        <f t="shared" si="2033"/>
        <v>-0.49016566358506264</v>
      </c>
      <c r="AS526" s="381">
        <f>+AS529-AS527-AS530-AS528</f>
        <v>1650.7999999999997</v>
      </c>
      <c r="AT526" s="81">
        <f t="shared" si="2033"/>
        <v>2.039807145506245</v>
      </c>
      <c r="AU526" s="381">
        <f>+AU529-AU527-AU530-AU528</f>
        <v>2224.8999999999996</v>
      </c>
      <c r="AV526" s="81">
        <f t="shared" si="2033"/>
        <v>37.034983986203414</v>
      </c>
      <c r="AW526" s="381">
        <f>+AW529-AW527-AW530-AW528</f>
        <v>2229.8999999999996</v>
      </c>
      <c r="AX526" s="81">
        <f t="shared" si="2033"/>
        <v>36.820468769174155</v>
      </c>
      <c r="AY526" s="381">
        <f>+AY529-AY527-AY530-AY528</f>
        <v>2234.3999999999996</v>
      </c>
      <c r="AZ526" s="81">
        <f t="shared" si="2033"/>
        <v>39.319117096894864</v>
      </c>
      <c r="BA526" s="381">
        <f>+BA529-BA527-BA530-BA528</f>
        <v>2231.1000000000004</v>
      </c>
      <c r="BB526" s="81">
        <f t="shared" si="2033"/>
        <v>35.152653259025968</v>
      </c>
      <c r="BC526" s="381">
        <f>+BC529-BC527-BC530-BC528</f>
        <v>2538.2000000000007</v>
      </c>
      <c r="BD526" s="81">
        <f t="shared" si="2033"/>
        <v>14.081531754236188</v>
      </c>
      <c r="BE526" s="381">
        <f>+BE529-BE527-BE530-BE528</f>
        <v>2542.5000000000005</v>
      </c>
      <c r="BF526" s="81">
        <f t="shared" ref="BF526:BF533" si="2034">IF(ISERROR((BE526/AW526-1)*100),"NA",IF(((BE526/AW526-1)*100)&gt;100,"NM",IF(((BE526/AW526-1)*100)&lt;-50,"NM",(BE526/AW526-1)*100)))</f>
        <v>14.018565854971122</v>
      </c>
      <c r="BG526" s="381">
        <f>+BG529-BG527-BG530-BG528</f>
        <v>2553.1999999999998</v>
      </c>
      <c r="BH526" s="81">
        <f t="shared" ref="BH526:BH533" si="2035">IF(ISERROR((BG526/AY526-1)*100),"NA",IF(((BG526/AY526-1)*100)&gt;100,"NM",IF(((BG526/AY526-1)*100)&lt;-50,"NM",(BG526/AY526-1)*100)))</f>
        <v>14.267812388113143</v>
      </c>
      <c r="BI526" s="381">
        <f>+BI529-BI527-BI530-BI528</f>
        <v>2559.0999999999995</v>
      </c>
      <c r="BJ526" s="81">
        <f t="shared" ref="BJ526:BJ533" si="2036">IF(ISERROR((BI526/BA526-1)*100),"NA",IF(((BI526/BA526-1)*100)&gt;100,"NM",IF(((BI526/BA526-1)*100)&lt;-50,"NM",(BI526/BA526-1)*100)))</f>
        <v>14.70126843261168</v>
      </c>
      <c r="BK526" s="381">
        <f>+BK529-BK527-BK530-BK528</f>
        <v>2567.3000000000002</v>
      </c>
      <c r="BL526" s="81">
        <f t="shared" ref="BL526:BL533" si="2037">IF(ISERROR((BK526/BC526-1)*100),"NA",IF(((BK526/BC526-1)*100)&gt;100,"NM",IF(((BK526/BC526-1)*100)&lt;-50,"NM",(BK526/BC526-1)*100)))</f>
        <v>1.1464817587266252</v>
      </c>
      <c r="BM526" s="381">
        <f>+BM529-BM527-BM530-BM528</f>
        <v>2575.5999999999995</v>
      </c>
      <c r="BN526" s="81">
        <f t="shared" ref="BN526:BN533" si="2038">IF(ISERROR((BM526/BE526-1)*100),"NA",IF(((BM526/BE526-1)*100)&gt;100,"NM",IF(((BM526/BE526-1)*100)&lt;-50,"NM",(BM526/BE526-1)*100)))</f>
        <v>1.3018682399212889</v>
      </c>
      <c r="BO526" s="381">
        <f>+BO529-BO527-BO530-BO528</f>
        <v>2583.1999999999994</v>
      </c>
      <c r="BP526" s="81">
        <f t="shared" ref="BP526:BP533" si="2039">IF(ISERROR((BO526/BG526-1)*100),"NA",IF(((BO526/BG526-1)*100)&gt;100,"NM",IF(((BO526/BG526-1)*100)&lt;-50,"NM",(BO526/BG526-1)*100)))</f>
        <v>1.1749960833463691</v>
      </c>
      <c r="BQ526" s="381">
        <f>+BQ529-BQ527-BQ530-BQ528</f>
        <v>2589.8000000000002</v>
      </c>
      <c r="BR526" s="81">
        <f t="shared" ref="BR526:BR533" si="2040">IF(ISERROR((BQ526/BI526-1)*100),"NA",IF(((BQ526/BI526-1)*100)&gt;100,"NM",IF(((BQ526/BI526-1)*100)&lt;-50,"NM",(BQ526/BI526-1)*100)))</f>
        <v>1.1996404986128306</v>
      </c>
      <c r="BS526" s="381">
        <f>+BS529-BS527-BS530-BS528</f>
        <v>2600.8999999999996</v>
      </c>
      <c r="BT526" s="81">
        <f t="shared" ref="BT526:BT533" si="2041">IF(ISERROR((BS526/BK526-1)*100),"NA",IF(((BS526/BK526-1)*100)&gt;100,"NM",IF(((BS526/BK526-1)*100)&lt;-50,"NM",(BS526/BK526-1)*100)))</f>
        <v>1.3087679663459362</v>
      </c>
      <c r="BU526" s="381">
        <f>+BU529-BU527-BU530-BU528</f>
        <v>2614.8000000000002</v>
      </c>
      <c r="BV526" s="81">
        <f t="shared" ref="BV526:BV533" si="2042">IF(ISERROR((BU526/BM526-1)*100),"NA",IF(((BU526/BM526-1)*100)&gt;100,"NM",IF(((BU526/BM526-1)*100)&lt;-50,"NM",(BU526/BM526-1)*100)))</f>
        <v>1.5219754620283021</v>
      </c>
      <c r="BW526" s="381">
        <f>+BW529-BW527-BW530-BW528</f>
        <v>2623.8</v>
      </c>
      <c r="BX526" s="81">
        <f t="shared" ref="BX526:BX533" si="2043">IF(ISERROR((BW526/BO526-1)*100),"NA",IF(((BW526/BO526-1)*100)&gt;100,"NM",IF(((BW526/BO526-1)*100)&lt;-50,"NM",(BW526/BO526-1)*100)))</f>
        <v>1.5716940229173471</v>
      </c>
      <c r="BY526" s="381">
        <f>+BY529-BY527-BY530-BY528</f>
        <v>2639.9000000000005</v>
      </c>
      <c r="BZ526" s="81">
        <f t="shared" ref="BZ526:BZ533" si="2044">IF(ISERROR((BY526/BQ526-1)*100),"NA",IF(((BY526/BQ526-1)*100)&gt;100,"NM",IF(((BY526/BQ526-1)*100)&lt;-50,"NM",(BY526/BQ526-1)*100)))</f>
        <v>1.9345123175534829</v>
      </c>
      <c r="CA526" s="381">
        <f>+CA529-CA527-CA530-CA528</f>
        <v>2644.0000000000009</v>
      </c>
      <c r="CB526" s="81">
        <f t="shared" ref="CB526:CB533" si="2045">IF(ISERROR((CA526/BS526-1)*100),"NA",IF(((CA526/BS526-1)*100)&gt;100,"NM",IF(((CA526/BS526-1)*100)&lt;-50,"NM",(CA526/BS526-1)*100)))</f>
        <v>1.6571186896843892</v>
      </c>
      <c r="CC526" s="381">
        <f>+CC529-CC527-CC530-CC528</f>
        <v>2647.6000000000008</v>
      </c>
      <c r="CD526" s="81">
        <f t="shared" ref="CD526:CD533" si="2046">IF(ISERROR((CC526/BU526-1)*100),"NA",IF(((CC526/BU526-1)*100)&gt;100,"NM",IF(((CC526/BU526-1)*100)&lt;-50,"NM",(CC526/BU526-1)*100)))</f>
        <v>1.2543980419152723</v>
      </c>
      <c r="CE526" s="381">
        <f>+CE529-CE527-CE530-CE528</f>
        <v>2651.8999999999996</v>
      </c>
      <c r="CF526" s="81">
        <f t="shared" ref="CF526:CF533" si="2047">IF(ISERROR((CE526/BW526-1)*100),"NA",IF(((CE526/BW526-1)*100)&gt;100,"NM",IF(((CE526/BW526-1)*100)&lt;-50,"NM",(CE526/BW526-1)*100)))</f>
        <v>1.070965774830368</v>
      </c>
      <c r="CG526" s="381">
        <f>+CG529-CG527-CG530-CG528</f>
        <v>2137.4000000000005</v>
      </c>
      <c r="CH526" s="81">
        <f t="shared" ref="CH526:CH533" si="2048">IF(ISERROR((CG526/BY526-1)*100),"NA",IF(((CG526/BY526-1)*100)&gt;100,"NM",IF(((CG526/BY526-1)*100)&lt;-50,"NM",(CG526/BY526-1)*100)))</f>
        <v>-19.034811924694118</v>
      </c>
      <c r="CI526" s="381">
        <f>+CI529-CI527-CI530-CI528</f>
        <v>2139.9999999999995</v>
      </c>
      <c r="CJ526" s="81">
        <f t="shared" ref="CJ526:CJ533" si="2049">IF(ISERROR((CI526/CA526-1)*100),"NA",IF(((CI526/CA526-1)*100)&gt;100,"NM",IF(((CI526/CA526-1)*100)&lt;-50,"NM",(CI526/CA526-1)*100)))</f>
        <v>-19.062027231467514</v>
      </c>
      <c r="CK526" s="381">
        <f>+CK529-CK527-CK530-CK528</f>
        <v>2616.7000000000003</v>
      </c>
      <c r="CL526" s="81">
        <f t="shared" ref="CL526:CL533" si="2050">IF(ISERROR((CK526/CC526-1)*100),"NA",IF(((CK526/CC526-1)*100)&gt;100,"NM",IF(((CK526/CC526-1)*100)&lt;-50,"NM",(CK526/CC526-1)*100)))</f>
        <v>-1.1670947273002219</v>
      </c>
      <c r="CM526" s="381">
        <f>+CM529-CM527-CM530-CM528</f>
        <v>2627</v>
      </c>
      <c r="CN526" s="81">
        <f t="shared" ref="CN526:CN533" si="2051">IF(ISERROR((CM526/CE526-1)*100),"NA",IF(((CM526/CE526-1)*100)&gt;100,"NM",IF(((CM526/CE526-1)*100)&lt;-50,"NM",(CM526/CE526-1)*100)))</f>
        <v>-0.93894943248236107</v>
      </c>
      <c r="CO526" s="381">
        <f>+CO529-CO527-CO530-CO528</f>
        <v>2636.2999999999997</v>
      </c>
      <c r="CP526" s="81">
        <f t="shared" ref="CP526:CP533" si="2052">IF(ISERROR((CO526/CG526-1)*100),"NA",IF(((CO526/CG526-1)*100)&gt;100,"NM",IF(((CO526/CG526-1)*100)&lt;-50,"NM",(CO526/CG526-1)*100)))</f>
        <v>23.341442874520403</v>
      </c>
      <c r="CQ526" s="381">
        <f>+CQ529-CQ527-CQ530-CQ528</f>
        <v>2636.1</v>
      </c>
      <c r="CR526" s="81">
        <f t="shared" ref="CR526:CR533" si="2053">IF(ISERROR((CQ526/CI526-1)*100),"NA",IF(((CQ526/CI526-1)*100)&gt;100,"NM",IF(((CQ526/CI526-1)*100)&lt;-50,"NM",(CQ526/CI526-1)*100)))</f>
        <v>23.182242990654235</v>
      </c>
      <c r="CS526" s="381">
        <f>+CS529-CS527-CS530-CS528</f>
        <v>2640.1999999999994</v>
      </c>
      <c r="CT526" s="81">
        <f t="shared" ref="CT526:CT533" si="2054">IF(ISERROR((CS526/CK526-1)*100),"NA",IF(((CS526/CK526-1)*100)&gt;100,"NM",IF(((CS526/CK526-1)*100)&lt;-50,"NM",(CS526/CK526-1)*100)))</f>
        <v>0.8980777314938404</v>
      </c>
      <c r="CU526" s="381">
        <f>+CU529-CU527-CU530-CU528</f>
        <v>2643.7</v>
      </c>
      <c r="CV526" s="81">
        <f t="shared" ref="CV526:CV533" si="2055">IF(ISERROR((CU526/CM526-1)*100),"NA",IF(((CU526/CM526-1)*100)&gt;100,"NM",IF(((CU526/CM526-1)*100)&lt;-50,"NM",(CU526/CM526-1)*100)))</f>
        <v>0.63570612866385989</v>
      </c>
      <c r="CW526" s="381">
        <f>+CW529-CW527-CW530-CW528</f>
        <v>2649.3999999999996</v>
      </c>
      <c r="CX526" s="81">
        <f t="shared" ref="CX526:CX533" si="2056">IF(ISERROR((CW526/CO526-1)*100),"NA",IF(((CW526/CO526-1)*100)&gt;100,"NM",IF(((CW526/CO526-1)*100)&lt;-50,"NM",(CW526/CO526-1)*100)))</f>
        <v>0.49690854606834201</v>
      </c>
      <c r="CY526" s="381">
        <f>+CY529-CY527-CY530-CY528</f>
        <v>2655.7000000000007</v>
      </c>
      <c r="CZ526" s="81">
        <f t="shared" ref="CZ526:CZ533" si="2057">IF(ISERROR((CY526/CQ526-1)*100),"NA",IF(((CY526/CQ526-1)*100)&gt;100,"NM",IF(((CY526/CQ526-1)*100)&lt;-50,"NM",(CY526/CQ526-1)*100)))</f>
        <v>0.74352262812491521</v>
      </c>
      <c r="DA526" s="381">
        <f>+DA529-DA527-DA530-DA528</f>
        <v>2659.7999999999997</v>
      </c>
      <c r="DB526" s="81">
        <f t="shared" ref="DB526:DB533" si="2058">IF(ISERROR((DA526/CS526-1)*100),"NA",IF(((DA526/CS526-1)*100)&gt;100,"NM",IF(((DA526/CS526-1)*100)&lt;-50,"NM",(DA526/CS526-1)*100)))</f>
        <v>0.74236800242406531</v>
      </c>
      <c r="DC526" s="381">
        <f>+DC529-DC527-DC530-DC528</f>
        <v>2670.2</v>
      </c>
      <c r="DD526" s="81">
        <f t="shared" ref="DD526:DD533" si="2059">IF(ISERROR((DC526/CU526-1)*100),"NA",IF(((DC526/CU526-1)*100)&gt;100,"NM",IF(((DC526/CU526-1)*100)&lt;-50,"NM",(DC526/CU526-1)*100)))</f>
        <v>1.0023830237924081</v>
      </c>
      <c r="DE526" s="381">
        <f>+DE529-DE527-DE530-DE528</f>
        <v>2655.6000000000004</v>
      </c>
      <c r="DF526" s="81">
        <f t="shared" ref="DF526:DF533" si="2060">IF(ISERROR((DE526/CW526-1)*100),"NA",IF(((DE526/CW526-1)*100)&gt;100,"NM",IF(((DE526/CW526-1)*100)&lt;-50,"NM",(DE526/CW526-1)*100)))</f>
        <v>0.23401524873558621</v>
      </c>
      <c r="DG526" s="381">
        <f>+DG529-DG527-DG530-DG528</f>
        <v>2682.3000000000011</v>
      </c>
      <c r="DH526" s="81">
        <f t="shared" ref="DH526:DH533" si="2061">IF(ISERROR((DG526/CY526-1)*100),"NA",IF(((DG526/CY526-1)*100)&gt;100,"NM",IF(((DG526/CY526-1)*100)&lt;-50,"NM",(DG526/CY526-1)*100)))</f>
        <v>1.0016191587905343</v>
      </c>
      <c r="DI526" s="381">
        <f>+DI529-DI527-DI530-DI528</f>
        <v>2686.3</v>
      </c>
      <c r="DJ526" s="81">
        <f t="shared" ref="DJ526:DJ533" si="2062">IF(ISERROR((DI526/DA526-1)*100),"NA",IF(((DI526/DA526-1)*100)&gt;100,"NM",IF(((DI526/DA526-1)*100)&lt;-50,"NM",(DI526/DA526-1)*100)))</f>
        <v>0.99631551244456773</v>
      </c>
      <c r="DK526" s="381">
        <f>+DK529-DK527-DK530-DK528</f>
        <v>2251.3999999999996</v>
      </c>
      <c r="DL526" s="81">
        <f t="shared" ref="DL526:DL533" si="2063">IF(ISERROR((DK526/DC526-1)*100),"NA",IF(((DK526/DC526-1)*100)&gt;100,"NM",IF(((DK526/DC526-1)*100)&lt;-50,"NM",(DK526/DC526-1)*100)))</f>
        <v>-15.684218410605954</v>
      </c>
      <c r="DM526" s="381">
        <f>+DM529-DM527-DM530-DM528</f>
        <v>2260.8999999999996</v>
      </c>
      <c r="DN526" s="81">
        <f t="shared" ref="DN526:DP533" si="2064">IF(ISERROR((DM526/DE526-1)*100),"NA",IF(((DM526/DE526-1)*100)&gt;100,"NM",IF(((DM526/DE526-1)*100)&lt;-50,"NM",(DM526/DE526-1)*100)))</f>
        <v>-14.862931164332005</v>
      </c>
      <c r="DO526" s="381">
        <f>+DO529-DO527-DO530-DO528</f>
        <v>2264.7000000000007</v>
      </c>
      <c r="DP526" s="81">
        <f t="shared" si="2064"/>
        <v>-15.568728330164417</v>
      </c>
      <c r="DQ526" s="381">
        <f>+DQ529-DQ527-DQ530-DQ528</f>
        <v>2269.4</v>
      </c>
      <c r="DR526" s="81">
        <f t="shared" ref="DR526:DR533" si="2065">IF(ISERROR((DQ526/DI526-1)*100),"NA",IF(((DQ526/DI526-1)*100)&gt;100,"NM",IF(((DQ526/DI526-1)*100)&lt;-50,"NM",(DQ526/DI526-1)*100)))</f>
        <v>-15.519487771283924</v>
      </c>
      <c r="DS526" s="381">
        <f>+DS529-DS527-DS530-DS528</f>
        <v>2277.5</v>
      </c>
      <c r="DT526" s="81">
        <f t="shared" ref="DT526:DT533" si="2066">IF(ISERROR((DS526/DK526-1)*100),"NA",IF(((DS526/DK526-1)*100)&gt;100,"NM",IF(((DS526/DK526-1)*100)&lt;-50,"NM",(DS526/DK526-1)*100)))</f>
        <v>1.1592786710491465</v>
      </c>
      <c r="DU526" s="381">
        <f>+DU529-DU527-DU530-DU528</f>
        <v>2283.8999999999987</v>
      </c>
      <c r="DV526" s="81">
        <f t="shared" ref="DV526:DV533" si="2067">IF(ISERROR((DU526/DM526-1)*100),"NA",IF(((DU526/DM526-1)*100)&gt;100,"NM",IF(((DU526/DM526-1)*100)&lt;-50,"NM",(DU526/DM526-1)*100)))</f>
        <v>1.0172939979653739</v>
      </c>
      <c r="DW526" s="381">
        <f>+DW529-DW527-DW530-DW528</f>
        <v>2288.9999999999991</v>
      </c>
      <c r="DX526" s="81">
        <f t="shared" ref="DX526:DX533" si="2068">IF(ISERROR((DW526/DO526-1)*100),"NA",IF(((DW526/DO526-1)*100)&gt;100,"NM",IF(((DW526/DO526-1)*100)&lt;-50,"NM",(DW526/DO526-1)*100)))</f>
        <v>1.0729897999734339</v>
      </c>
      <c r="DY526" s="381">
        <f>+DY529-DY527-DY530-DY528</f>
        <v>2293.3000000000011</v>
      </c>
      <c r="DZ526" s="81">
        <f t="shared" ref="DZ526:DZ533" si="2069">IF(ISERROR((DY526/DQ526-1)*100),"NA",IF(((DY526/DQ526-1)*100)&gt;100,"NM",IF(((DY526/DQ526-1)*100)&lt;-50,"NM",(DY526/DQ526-1)*100)))</f>
        <v>1.053141799594659</v>
      </c>
      <c r="EA526" s="381">
        <f>+EA529-EA527-EA530-EA528</f>
        <v>2303.1999999999998</v>
      </c>
      <c r="EB526" s="81">
        <f t="shared" ref="EB526:EB533" si="2070">IF(ISERROR((EA526/DS526-1)*100),"NA",IF(((EA526/DS526-1)*100)&gt;100,"NM",IF(((EA526/DS526-1)*100)&lt;-50,"NM",(EA526/DS526-1)*100)))</f>
        <v>1.1284302963775916</v>
      </c>
      <c r="EC526" s="381">
        <f>+EC529-EC527-EC530-EC528</f>
        <v>2304.0799999999986</v>
      </c>
      <c r="ED526" s="81">
        <f t="shared" ref="ED526:ED533" si="2071">IF(ISERROR((EC526/DU526-1)*100),"NA",IF(((EC526/DU526-1)*100)&gt;100,"NM",IF(((EC526/DU526-1)*100)&lt;-50,"NM",(EC526/DU526-1)*100)))</f>
        <v>0.88357633871885</v>
      </c>
      <c r="EE526" s="381">
        <f>+EE529-EE527-EE530-EE528</f>
        <v>2313.2999999999997</v>
      </c>
      <c r="EF526" s="81">
        <f t="shared" ref="EF526:EF533" si="2072">IF(ISERROR((EE526/DW526-1)*100),"NA",IF(((EE526/DW526-1)*100)&gt;100,"NM",IF(((EE526/DW526-1)*100)&lt;-50,"NM",(EE526/DW526-1)*100)))</f>
        <v>1.0615989515072366</v>
      </c>
      <c r="EG526" s="381">
        <f>+EG529-EG527-EG530-EG528</f>
        <v>2325.5999999999995</v>
      </c>
      <c r="EH526" s="81">
        <f t="shared" ref="EH526:EH533" si="2073">IF(ISERROR((EG526/DY526-1)*100),"NA",IF(((EG526/DY526-1)*100)&gt;100,"NM",IF(((EG526/DY526-1)*100)&lt;-50,"NM",(EG526/DY526-1)*100)))</f>
        <v>1.4084507042252836</v>
      </c>
      <c r="EI526" s="381">
        <f>+EI529-EI527-EI530-EI528</f>
        <v>2333.7999999999988</v>
      </c>
      <c r="EJ526" s="81">
        <f t="shared" ref="EJ526:EJ533" si="2074">IF(ISERROR((EI526/EA526-1)*100),"NA",IF(((EI526/EA526-1)*100)&gt;100,"NM",IF(((EI526/EA526-1)*100)&lt;-50,"NM",(EI526/EA526-1)*100)))</f>
        <v>1.3285863146925481</v>
      </c>
      <c r="EK526" s="381">
        <f t="shared" ref="EK526:EQ526" si="2075">+EK529-EK527-EK530-EK528</f>
        <v>2333.7999999999988</v>
      </c>
      <c r="EL526" s="81">
        <f t="shared" ref="EL526:EL533" si="2076">IF(ISERROR((EK526/EC526-1)*100),"NA",IF(((EK526/EC526-1)*100)&gt;100,"NM",IF(((EK526/EC526-1)*100)&lt;-50,"NM",(EK526/EC526-1)*100)))</f>
        <v>1.2898857678552922</v>
      </c>
      <c r="EM526" s="381">
        <f t="shared" si="2075"/>
        <v>2333.7999999999988</v>
      </c>
      <c r="EN526" s="81">
        <f t="shared" ref="EN526:EN533" si="2077">IF(ISERROR((EM526/EE526-1)*100),"NA",IF(((EM526/EE526-1)*100)&gt;100,"NM",IF(((EM526/EE526-1)*100)&lt;-50,"NM",(EM526/EE526-1)*100)))</f>
        <v>0.88617991613708647</v>
      </c>
      <c r="EO526" s="381">
        <f t="shared" si="2075"/>
        <v>2333.7999999999988</v>
      </c>
      <c r="EP526" s="81">
        <f t="shared" ref="EP526:EP533" si="2078">IF(ISERROR((EO526/EG526-1)*100),"NA",IF(((EO526/EG526-1)*100)&gt;100,"NM",IF(((EO526/EG526-1)*100)&lt;-50,"NM",(EO526/EG526-1)*100)))</f>
        <v>0.35259717922253575</v>
      </c>
      <c r="EQ526" s="381">
        <f t="shared" si="2075"/>
        <v>2333.7999999999988</v>
      </c>
      <c r="ER526" s="81">
        <f t="shared" ref="ER526:ER533" si="2079">IF(ISERROR((EQ526/EI526-1)*100),"NA",IF(((EQ526/EI526-1)*100)&gt;100,"NM",IF(((EQ526/EI526-1)*100)&lt;-50,"NM",(EQ526/EI526-1)*100)))</f>
        <v>0</v>
      </c>
      <c r="ES526" s="82"/>
      <c r="ET526" s="490"/>
      <c r="EU526" s="82"/>
      <c r="EV526" s="82"/>
      <c r="EW526" s="79"/>
      <c r="EX526" s="82"/>
      <c r="EY526" s="79" t="str">
        <f t="shared" ref="EY526:EY533" si="2080">IF(ISERROR((EX526/EV526-1)*100),"NA",IF(((EX526/EV526-1)*100)&gt;100,"NM",IF(((EX526/EV526-1)*100)&lt;-50,"NM",(EX526/EV526-1)*100)))</f>
        <v>NA</v>
      </c>
      <c r="EZ526" s="82"/>
      <c r="FA526" s="79" t="str">
        <f t="shared" ref="FA526:FA533" si="2081">IF(ISERROR((EZ526/EX526-1)*100),"NA",IF(((EZ526/EX526-1)*100)&gt;100,"NM",IF(((EZ526/EX526-1)*100)&lt;-50,"NM",(EZ526/EX526-1)*100)))</f>
        <v>NA</v>
      </c>
      <c r="FB526" s="78">
        <f>+K526</f>
        <v>1084.7999999999995</v>
      </c>
      <c r="FC526" s="79" t="str">
        <f t="shared" ref="FC526:FC533" si="2082">IF(ISERROR((FB526/EZ526-1)*100),"NA",IF(((FB526/EZ526-1)*100)&gt;100,"NM",IF(((FB526/EZ526-1)*100)&lt;-50,"NM",(FB526/EZ526-1)*100)))</f>
        <v>NA</v>
      </c>
      <c r="FD526" s="78">
        <f>+S526</f>
        <v>1108.6000000000001</v>
      </c>
      <c r="FE526" s="79">
        <f t="shared" ref="FE526:FE533" si="2083">IF(ISERROR((FD526/FB526-1)*100),"NA",IF(((FD526/FB526-1)*100)&gt;100,"NM",IF(((FD526/FB526-1)*100)&lt;-50,"NM",(FD526/FB526-1)*100)))</f>
        <v>2.1939528023599442</v>
      </c>
      <c r="FF526" s="78">
        <f>+AA526</f>
        <v>1627.1000000000004</v>
      </c>
      <c r="FG526" s="79">
        <f t="shared" ref="FG526:FG533" si="2084">IF(ISERROR((FF526/FD526-1)*100),"NA",IF(((FF526/FD526-1)*100)&gt;100,"NM",IF(((FF526/FD526-1)*100)&lt;-50,"NM",(FF526/FD526-1)*100)))</f>
        <v>46.770701786036462</v>
      </c>
      <c r="FH526" s="78">
        <f>+AI526</f>
        <v>1611.7000000000005</v>
      </c>
      <c r="FI526" s="79">
        <f t="shared" ref="FI526:FI533" si="2085">IF(ISERROR((FH526/FF526-1)*100),"NA",IF(((FH526/FF526-1)*100)&gt;100,"NM",IF(((FH526/FF526-1)*100)&lt;-50,"NM",(FH526/FF526-1)*100)))</f>
        <v>-0.94646917829266375</v>
      </c>
      <c r="FJ526" s="340">
        <f>+AQ526</f>
        <v>1603.8</v>
      </c>
      <c r="FK526" s="79">
        <f t="shared" ref="FK526:FK533" si="2086">IF(ISERROR((FJ526/FH526-1)*100),"NA",IF(((FJ526/FH526-1)*100)&gt;100,"NM",IF(((FJ526/FH526-1)*100)&lt;-50,"NM",(FJ526/FH526-1)*100)))</f>
        <v>-0.49016566358506264</v>
      </c>
      <c r="FL526" s="381">
        <f>AY526</f>
        <v>2234.3999999999996</v>
      </c>
      <c r="FM526" s="79">
        <f t="shared" ref="FM526:FM533" si="2087">IF(ISERROR((FL526/FJ526-1)*100),"NA",IF(((FL526/FJ526-1)*100)&gt;100,"NM",IF(((FL526/FJ526-1)*100)&lt;-50,"NM",(FL526/FJ526-1)*100)))</f>
        <v>39.319117096894864</v>
      </c>
      <c r="FN526" s="381">
        <f>BG526</f>
        <v>2553.1999999999998</v>
      </c>
      <c r="FO526" s="79">
        <f t="shared" ref="FO526:FO533" si="2088">IF(ISERROR((FN526/FL526-1)*100),"NA",IF(((FN526/FL526-1)*100)&gt;100,"NM",IF(((FN526/FL526-1)*100)&lt;-50,"NM",(FN526/FL526-1)*100)))</f>
        <v>14.267812388113143</v>
      </c>
      <c r="FP526" s="381">
        <f>BO526</f>
        <v>2583.1999999999994</v>
      </c>
      <c r="FQ526" s="79">
        <f t="shared" ref="FQ526:FQ533" si="2089">IF(ISERROR((FP526/FN526-1)*100),"NA",IF(((FP526/FN526-1)*100)&gt;100,"NM",IF(((FP526/FN526-1)*100)&lt;-50,"NM",(FP526/FN526-1)*100)))</f>
        <v>1.1749960833463691</v>
      </c>
      <c r="FR526" s="381">
        <f>BW526</f>
        <v>2623.8</v>
      </c>
      <c r="FS526" s="79">
        <f t="shared" ref="FS526:FS533" si="2090">IF(ISERROR((FR526/FP526-1)*100),"NA",IF(((FR526/FP526-1)*100)&gt;100,"NM",IF(((FR526/FP526-1)*100)&lt;-50,"NM",(FR526/FP526-1)*100)))</f>
        <v>1.5716940229173471</v>
      </c>
      <c r="FT526" s="381">
        <f>CE526</f>
        <v>2651.8999999999996</v>
      </c>
      <c r="FU526" s="79">
        <f t="shared" ref="FU526:FU533" si="2091">IF(ISERROR((FT526/FR526-1)*100),"NA",IF(((FT526/FR526-1)*100)&gt;100,"NM",IF(((FT526/FR526-1)*100)&lt;-50,"NM",(FT526/FR526-1)*100)))</f>
        <v>1.070965774830368</v>
      </c>
      <c r="FV526" s="381">
        <f>CM526</f>
        <v>2627</v>
      </c>
      <c r="FW526" s="79">
        <f t="shared" ref="FW526:FW533" si="2092">IF(ISERROR((FV526/FT526-1)*100),"NA",IF(((FV526/FT526-1)*100)&gt;100,"NM",IF(((FV526/FT526-1)*100)&lt;-50,"NM",(FV526/FT526-1)*100)))</f>
        <v>-0.93894943248236107</v>
      </c>
      <c r="FX526" s="381">
        <f>CU526</f>
        <v>2643.7</v>
      </c>
      <c r="FY526" s="79">
        <f t="shared" ref="FY526:FY533" si="2093">IF(ISERROR((FX526/FV526-1)*100),"NA",IF(((FX526/FV526-1)*100)&gt;100,"NM",IF(((FX526/FV526-1)*100)&lt;-50,"NM",(FX526/FV526-1)*100)))</f>
        <v>0.63570612866385989</v>
      </c>
      <c r="FZ526" s="381">
        <f>DC526</f>
        <v>2670.2</v>
      </c>
      <c r="GA526" s="79">
        <f t="shared" ref="GA526:GQ533" si="2094">IF(ISERROR((FZ526/FX526-1)*100),"NA",IF(((FZ526/FX526-1)*100)&gt;100,"NM",IF(((FZ526/FX526-1)*100)&lt;-50,"NM",(FZ526/FX526-1)*100)))</f>
        <v>1.0023830237924081</v>
      </c>
      <c r="GB526" s="381">
        <f>DK526</f>
        <v>2251.3999999999996</v>
      </c>
      <c r="GC526" s="79">
        <f t="shared" si="2094"/>
        <v>-15.684218410605954</v>
      </c>
      <c r="GD526" s="381">
        <f>DS526</f>
        <v>2277.5</v>
      </c>
      <c r="GE526" s="79">
        <f t="shared" si="2094"/>
        <v>1.1592786710491465</v>
      </c>
      <c r="GF526" s="381">
        <f>EA526</f>
        <v>2303.1999999999998</v>
      </c>
      <c r="GG526" s="79">
        <f t="shared" si="2094"/>
        <v>1.1284302963775916</v>
      </c>
      <c r="GH526" s="381">
        <f>EI526</f>
        <v>2333.7999999999988</v>
      </c>
      <c r="GI526" s="79">
        <f t="shared" si="2094"/>
        <v>1.3285863146925481</v>
      </c>
      <c r="GJ526" s="381">
        <f>EQ526</f>
        <v>2333.7999999999988</v>
      </c>
      <c r="GK526" s="79">
        <f t="shared" si="2094"/>
        <v>0</v>
      </c>
      <c r="GL526" s="381">
        <f>+GL529-GL527-GL530-GL528</f>
        <v>2333.7999999999988</v>
      </c>
      <c r="GM526" s="79">
        <f t="shared" si="2094"/>
        <v>0</v>
      </c>
      <c r="GN526" s="381">
        <f>+GN529-GN527-GN530-GN528</f>
        <v>2333.7999999999988</v>
      </c>
      <c r="GO526" s="79">
        <f t="shared" si="2094"/>
        <v>0</v>
      </c>
      <c r="GP526" s="381">
        <f>+GP529-GP527-GP530-GP528</f>
        <v>2333.7999999999988</v>
      </c>
      <c r="GQ526" s="79">
        <f t="shared" si="2094"/>
        <v>0</v>
      </c>
      <c r="GR526" s="381">
        <f>+GR529-GR527-GR530-GR528</f>
        <v>2333.7999999999993</v>
      </c>
      <c r="GS526" s="79">
        <f t="shared" ref="GS526:GS533" si="2095">IF(ISERROR((GR526/GP526-1)*100),"NA",IF(((GR526/GP526-1)*100)&gt;100,"NM",IF(((GR526/GP526-1)*100)&lt;-50,"NM",(GR526/GP526-1)*100)))</f>
        <v>2.2204460492503131E-14</v>
      </c>
      <c r="GT526" s="79">
        <f t="shared" ref="GT526:GT533" si="2096">IF(ISERROR(((GR526/GH526)^0.2-1)*100),"NA",(IF(OR(((GR526/GH526)^0.2-1)*100&gt;99,((GR526/GH526)^0.2-1)*100&lt;-50),"NM",(((GR526/GH526)^0.2-1)*100))))</f>
        <v>0</v>
      </c>
    </row>
    <row r="527" spans="1:202" ht="12.75" customHeight="1" x14ac:dyDescent="0.2">
      <c r="A527" s="1"/>
      <c r="B527" s="2" t="s">
        <v>317</v>
      </c>
      <c r="C527" s="131">
        <v>4379.7</v>
      </c>
      <c r="D527" s="79"/>
      <c r="E527" s="82">
        <v>4526.2</v>
      </c>
      <c r="F527" s="82"/>
      <c r="G527" s="82">
        <v>4636.7</v>
      </c>
      <c r="H527" s="82"/>
      <c r="I527" s="82">
        <v>4728.8</v>
      </c>
      <c r="J527" s="82"/>
      <c r="K527" s="82">
        <v>4816.3</v>
      </c>
      <c r="L527" s="79"/>
      <c r="M527" s="82">
        <v>4854.3</v>
      </c>
      <c r="N527" s="79">
        <f t="shared" si="2020"/>
        <v>7.2489063673721876</v>
      </c>
      <c r="O527" s="82">
        <v>4902.8</v>
      </c>
      <c r="P527" s="79">
        <f t="shared" si="2021"/>
        <v>5.7389954062156301</v>
      </c>
      <c r="Q527" s="82">
        <v>4981.7</v>
      </c>
      <c r="R527" s="79">
        <f t="shared" si="2022"/>
        <v>5.3480798511250205</v>
      </c>
      <c r="S527" s="82">
        <v>5011.3999999999996</v>
      </c>
      <c r="T527" s="79">
        <f t="shared" si="2023"/>
        <v>4.0508273986254784</v>
      </c>
      <c r="U527" s="82">
        <v>4729.3999999999996</v>
      </c>
      <c r="V527" s="79">
        <f t="shared" si="2024"/>
        <v>-2.5729765362668244</v>
      </c>
      <c r="W527" s="82">
        <v>4809.8</v>
      </c>
      <c r="X527" s="79">
        <f t="shared" si="2025"/>
        <v>-1.8968752549563539</v>
      </c>
      <c r="Y527" s="82">
        <v>4896.3999999999996</v>
      </c>
      <c r="Z527" s="79">
        <f t="shared" si="2026"/>
        <v>-1.7122668968424515</v>
      </c>
      <c r="AA527" s="130">
        <v>4526.8999999999996</v>
      </c>
      <c r="AB527" s="79">
        <f t="shared" si="2027"/>
        <v>-9.667957057907973</v>
      </c>
      <c r="AC527" s="82">
        <v>3942.5</v>
      </c>
      <c r="AD527" s="79">
        <f t="shared" si="2028"/>
        <v>-16.63847422506025</v>
      </c>
      <c r="AE527" s="82">
        <v>3927.5</v>
      </c>
      <c r="AF527" s="79">
        <f t="shared" si="2029"/>
        <v>-18.343798078922202</v>
      </c>
      <c r="AG527" s="82">
        <v>4073.1</v>
      </c>
      <c r="AH527" s="79">
        <f t="shared" si="2030"/>
        <v>-16.814394248835875</v>
      </c>
      <c r="AI527" s="82">
        <v>4185.5</v>
      </c>
      <c r="AJ527" s="79">
        <f t="shared" si="2031"/>
        <v>-7.5415847489451853</v>
      </c>
      <c r="AK527" s="82">
        <v>4315.5</v>
      </c>
      <c r="AL527" s="79">
        <f t="shared" si="2032"/>
        <v>9.4610019023462222</v>
      </c>
      <c r="AM527" s="82">
        <v>4464.7</v>
      </c>
      <c r="AN527" s="79">
        <f t="shared" si="2033"/>
        <v>13.677912157861227</v>
      </c>
      <c r="AO527" s="82">
        <v>4495.1000000000004</v>
      </c>
      <c r="AP527" s="79">
        <f t="shared" si="2033"/>
        <v>10.360658957550761</v>
      </c>
      <c r="AQ527" s="82">
        <v>4610.3999999999996</v>
      </c>
      <c r="AR527" s="79">
        <f t="shared" si="2033"/>
        <v>10.151714251582833</v>
      </c>
      <c r="AS527" s="82">
        <v>4661.6000000000004</v>
      </c>
      <c r="AT527" s="81">
        <f t="shared" si="2033"/>
        <v>8.0199281659135693</v>
      </c>
      <c r="AU527" s="82">
        <v>4764.5</v>
      </c>
      <c r="AV527" s="81">
        <f t="shared" si="2033"/>
        <v>6.7148968575716284</v>
      </c>
      <c r="AW527" s="82">
        <v>4675.2</v>
      </c>
      <c r="AX527" s="81">
        <f t="shared" si="2033"/>
        <v>4.0065849480545257</v>
      </c>
      <c r="AY527" s="82">
        <v>4925.8</v>
      </c>
      <c r="AZ527" s="81">
        <f t="shared" si="2033"/>
        <v>6.8410550060732378</v>
      </c>
      <c r="BA527" s="82">
        <v>4656</v>
      </c>
      <c r="BB527" s="81">
        <f t="shared" si="2033"/>
        <v>-0.1201304273210968</v>
      </c>
      <c r="BC527" s="82">
        <v>4783.8999999999996</v>
      </c>
      <c r="BD527" s="81">
        <f t="shared" si="2033"/>
        <v>0.40717808794206167</v>
      </c>
      <c r="BE527" s="82">
        <v>4943.8999999999996</v>
      </c>
      <c r="BF527" s="81">
        <f t="shared" si="2034"/>
        <v>5.7473477070499657</v>
      </c>
      <c r="BG527" s="82">
        <v>5077.3999999999996</v>
      </c>
      <c r="BH527" s="81">
        <f t="shared" si="2035"/>
        <v>3.0776726623086503</v>
      </c>
      <c r="BI527" s="82">
        <v>5213.8</v>
      </c>
      <c r="BJ527" s="81">
        <f t="shared" si="2036"/>
        <v>11.980240549828181</v>
      </c>
      <c r="BK527" s="82">
        <v>5428.2</v>
      </c>
      <c r="BL527" s="81">
        <f t="shared" si="2037"/>
        <v>13.468090888187456</v>
      </c>
      <c r="BM527" s="82">
        <v>5510.1</v>
      </c>
      <c r="BN527" s="81">
        <f t="shared" si="2038"/>
        <v>11.45249701652542</v>
      </c>
      <c r="BO527" s="82">
        <v>5527.1</v>
      </c>
      <c r="BP527" s="81">
        <f t="shared" si="2039"/>
        <v>8.8568952613542464</v>
      </c>
      <c r="BQ527" s="82">
        <v>5667</v>
      </c>
      <c r="BR527" s="81">
        <f t="shared" si="2040"/>
        <v>8.6923165445548243</v>
      </c>
      <c r="BS527" s="82">
        <v>5923.6</v>
      </c>
      <c r="BT527" s="81">
        <f t="shared" si="2041"/>
        <v>9.126413912530861</v>
      </c>
      <c r="BU527" s="82">
        <v>6117.5</v>
      </c>
      <c r="BV527" s="81">
        <f t="shared" si="2042"/>
        <v>11.023393404838377</v>
      </c>
      <c r="BW527" s="82">
        <v>6289.5</v>
      </c>
      <c r="BX527" s="81">
        <f t="shared" si="2043"/>
        <v>13.793852110510031</v>
      </c>
      <c r="BY527" s="82">
        <v>6491.6</v>
      </c>
      <c r="BZ527" s="81">
        <f t="shared" si="2044"/>
        <v>14.550908770072347</v>
      </c>
      <c r="CA527" s="82">
        <v>6673.8</v>
      </c>
      <c r="CB527" s="81">
        <f t="shared" si="2045"/>
        <v>12.664595853872651</v>
      </c>
      <c r="CC527" s="82">
        <v>6864.4</v>
      </c>
      <c r="CD527" s="81">
        <f t="shared" si="2046"/>
        <v>12.209235798937467</v>
      </c>
      <c r="CE527" s="82">
        <v>6591.8</v>
      </c>
      <c r="CF527" s="81">
        <f t="shared" si="2047"/>
        <v>4.8064234040861686</v>
      </c>
      <c r="CG527" s="82">
        <v>7112.3</v>
      </c>
      <c r="CH527" s="81">
        <f t="shared" si="2048"/>
        <v>9.5615872820260073</v>
      </c>
      <c r="CI527" s="82">
        <v>7313.7</v>
      </c>
      <c r="CJ527" s="81">
        <f t="shared" si="2049"/>
        <v>9.5882405825766348</v>
      </c>
      <c r="CK527" s="82">
        <v>7487.3</v>
      </c>
      <c r="CL527" s="81">
        <f t="shared" si="2050"/>
        <v>9.0743546413379228</v>
      </c>
      <c r="CM527" s="82">
        <v>6611</v>
      </c>
      <c r="CN527" s="81">
        <f t="shared" si="2051"/>
        <v>0.29127097302710236</v>
      </c>
      <c r="CO527" s="82">
        <v>6793.5</v>
      </c>
      <c r="CP527" s="81">
        <f t="shared" si="2052"/>
        <v>-4.4823756028289026</v>
      </c>
      <c r="CQ527" s="82">
        <v>6979.7</v>
      </c>
      <c r="CR527" s="81">
        <f t="shared" si="2053"/>
        <v>-4.5667719485349423</v>
      </c>
      <c r="CS527" s="82">
        <v>7173.4</v>
      </c>
      <c r="CT527" s="81">
        <f t="shared" si="2054"/>
        <v>-4.1924325190656253</v>
      </c>
      <c r="CU527" s="82">
        <v>7371.6</v>
      </c>
      <c r="CV527" s="81">
        <f t="shared" si="2055"/>
        <v>11.505067312055672</v>
      </c>
      <c r="CW527" s="82">
        <v>7548.5</v>
      </c>
      <c r="CX527" s="81">
        <f t="shared" si="2056"/>
        <v>11.113564436593792</v>
      </c>
      <c r="CY527" s="82">
        <v>7732.4</v>
      </c>
      <c r="CZ527" s="81">
        <f t="shared" si="2057"/>
        <v>10.784131123114182</v>
      </c>
      <c r="DA527" s="82">
        <v>7899.7</v>
      </c>
      <c r="DB527" s="81">
        <f t="shared" si="2058"/>
        <v>10.124905902361503</v>
      </c>
      <c r="DC527" s="82">
        <v>8064</v>
      </c>
      <c r="DD527" s="81">
        <f t="shared" si="2059"/>
        <v>9.3928048184925839</v>
      </c>
      <c r="DE527" s="82">
        <v>8273.7999999999993</v>
      </c>
      <c r="DF527" s="81">
        <f t="shared" si="2060"/>
        <v>9.6085314963237689</v>
      </c>
      <c r="DG527" s="82">
        <v>8478.9</v>
      </c>
      <c r="DH527" s="81">
        <f t="shared" si="2061"/>
        <v>9.6541824013242952</v>
      </c>
      <c r="DI527" s="82">
        <v>8658</v>
      </c>
      <c r="DJ527" s="81">
        <f t="shared" si="2062"/>
        <v>9.5990986999506376</v>
      </c>
      <c r="DK527" s="82">
        <v>7302.3</v>
      </c>
      <c r="DL527" s="81">
        <f t="shared" si="2063"/>
        <v>-9.4456845238095166</v>
      </c>
      <c r="DM527" s="82">
        <v>7472.9</v>
      </c>
      <c r="DN527" s="81">
        <f t="shared" si="2064"/>
        <v>-9.6799535884357866</v>
      </c>
      <c r="DO527" s="82">
        <v>7656</v>
      </c>
      <c r="DP527" s="81">
        <f t="shared" si="2064"/>
        <v>-9.7052683720765582</v>
      </c>
      <c r="DQ527" s="82">
        <v>7814.1</v>
      </c>
      <c r="DR527" s="81">
        <f t="shared" si="2065"/>
        <v>-9.7470547470547402</v>
      </c>
      <c r="DS527" s="82">
        <v>7995.2</v>
      </c>
      <c r="DT527" s="81">
        <f t="shared" si="2066"/>
        <v>9.4887912027717292</v>
      </c>
      <c r="DU527" s="82">
        <v>8160.6</v>
      </c>
      <c r="DV527" s="81">
        <f t="shared" si="2067"/>
        <v>9.2025853417013526</v>
      </c>
      <c r="DW527" s="82">
        <v>8353.2000000000007</v>
      </c>
      <c r="DX527" s="81">
        <f t="shared" si="2068"/>
        <v>9.106583072100328</v>
      </c>
      <c r="DY527" s="82">
        <v>8542.4</v>
      </c>
      <c r="DZ527" s="81">
        <f t="shared" si="2069"/>
        <v>9.3203311961710167</v>
      </c>
      <c r="EA527" s="82">
        <v>8744</v>
      </c>
      <c r="EB527" s="81">
        <f t="shared" si="2070"/>
        <v>9.3656193716229694</v>
      </c>
      <c r="EC527" s="82">
        <v>8927.4</v>
      </c>
      <c r="ED527" s="81">
        <f t="shared" si="2071"/>
        <v>9.3963679141239496</v>
      </c>
      <c r="EE527" s="82">
        <v>9126.7000000000007</v>
      </c>
      <c r="EF527" s="81">
        <f t="shared" si="2072"/>
        <v>9.2599243403725495</v>
      </c>
      <c r="EG527" s="82">
        <v>9327.2000000000007</v>
      </c>
      <c r="EH527" s="81">
        <f t="shared" si="2073"/>
        <v>9.1871136917025744</v>
      </c>
      <c r="EI527" s="82">
        <v>9542.2000000000007</v>
      </c>
      <c r="EJ527" s="81">
        <f t="shared" si="2074"/>
        <v>9.1285452881976212</v>
      </c>
      <c r="EK527" s="78">
        <f t="shared" ref="EK527" si="2097">+EI527+EK438-EK461</f>
        <v>9753.2828303240967</v>
      </c>
      <c r="EL527" s="81">
        <f t="shared" si="2076"/>
        <v>9.2511014441393655</v>
      </c>
      <c r="EM527" s="78">
        <f t="shared" ref="EM527" si="2098">+EK527+EM438-EM461</f>
        <v>9980.0669541748157</v>
      </c>
      <c r="EN527" s="81">
        <f t="shared" si="2077"/>
        <v>9.3502246614309179</v>
      </c>
      <c r="EO527" s="78">
        <f t="shared" ref="EO527" si="2099">+EM527+EO438-EO461</f>
        <v>10200.927908845026</v>
      </c>
      <c r="EP527" s="81">
        <f t="shared" si="2078"/>
        <v>9.3675262548784666</v>
      </c>
      <c r="EQ527" s="78">
        <f t="shared" ref="EQ527" si="2100">+EO527+EQ438-EQ461</f>
        <v>10425.128790254848</v>
      </c>
      <c r="ER527" s="81">
        <f t="shared" si="2079"/>
        <v>9.2528849767857366</v>
      </c>
      <c r="ES527" s="82"/>
      <c r="ET527" s="490"/>
      <c r="EU527" s="82"/>
      <c r="EV527" s="82"/>
      <c r="EW527" s="79"/>
      <c r="EX527" s="82"/>
      <c r="EY527" s="79" t="str">
        <f t="shared" si="2080"/>
        <v>NA</v>
      </c>
      <c r="EZ527" s="82"/>
      <c r="FA527" s="79" t="str">
        <f t="shared" si="2081"/>
        <v>NA</v>
      </c>
      <c r="FB527" s="78">
        <f>+K527</f>
        <v>4816.3</v>
      </c>
      <c r="FC527" s="79" t="str">
        <f t="shared" si="2082"/>
        <v>NA</v>
      </c>
      <c r="FD527" s="78">
        <f>+S527</f>
        <v>5011.3999999999996</v>
      </c>
      <c r="FE527" s="79">
        <f t="shared" si="2083"/>
        <v>4.0508273986254784</v>
      </c>
      <c r="FF527" s="78">
        <f>+AA527</f>
        <v>4526.8999999999996</v>
      </c>
      <c r="FG527" s="79">
        <f t="shared" si="2084"/>
        <v>-9.667957057907973</v>
      </c>
      <c r="FH527" s="78">
        <f>+AI527</f>
        <v>4185.5</v>
      </c>
      <c r="FI527" s="79">
        <f t="shared" si="2085"/>
        <v>-7.5415847489451853</v>
      </c>
      <c r="FJ527" s="340">
        <f>+AQ527</f>
        <v>4610.3999999999996</v>
      </c>
      <c r="FK527" s="79">
        <f t="shared" si="2086"/>
        <v>10.151714251582833</v>
      </c>
      <c r="FL527" s="381">
        <f>AY527</f>
        <v>4925.8</v>
      </c>
      <c r="FM527" s="79">
        <f t="shared" si="2087"/>
        <v>6.8410550060732378</v>
      </c>
      <c r="FN527" s="381">
        <f>BG527</f>
        <v>5077.3999999999996</v>
      </c>
      <c r="FO527" s="79">
        <f t="shared" si="2088"/>
        <v>3.0776726623086503</v>
      </c>
      <c r="FP527" s="381">
        <f>BO527</f>
        <v>5527.1</v>
      </c>
      <c r="FQ527" s="79">
        <f t="shared" si="2089"/>
        <v>8.8568952613542464</v>
      </c>
      <c r="FR527" s="78">
        <f>BW527</f>
        <v>6289.5</v>
      </c>
      <c r="FS527" s="79">
        <f t="shared" si="2090"/>
        <v>13.793852110510031</v>
      </c>
      <c r="FT527" s="78">
        <f>CE527</f>
        <v>6591.8</v>
      </c>
      <c r="FU527" s="79">
        <f t="shared" si="2091"/>
        <v>4.8064234040861686</v>
      </c>
      <c r="FV527" s="78">
        <f>CM527</f>
        <v>6611</v>
      </c>
      <c r="FW527" s="79">
        <f t="shared" si="2092"/>
        <v>0.29127097302710236</v>
      </c>
      <c r="FX527" s="78">
        <f>CU527</f>
        <v>7371.6</v>
      </c>
      <c r="FY527" s="79">
        <f t="shared" si="2093"/>
        <v>11.505067312055672</v>
      </c>
      <c r="FZ527" s="78">
        <f>DC527</f>
        <v>8064</v>
      </c>
      <c r="GA527" s="79">
        <f t="shared" si="2094"/>
        <v>9.3928048184925839</v>
      </c>
      <c r="GB527" s="78">
        <f>DK527</f>
        <v>7302.3</v>
      </c>
      <c r="GC527" s="79">
        <f t="shared" si="2094"/>
        <v>-9.4456845238095166</v>
      </c>
      <c r="GD527" s="78">
        <f>DS527</f>
        <v>7995.2</v>
      </c>
      <c r="GE527" s="79">
        <f t="shared" si="2094"/>
        <v>9.4887912027717292</v>
      </c>
      <c r="GF527" s="78">
        <f>EA527</f>
        <v>8744</v>
      </c>
      <c r="GG527" s="79">
        <f t="shared" si="2094"/>
        <v>9.3656193716229694</v>
      </c>
      <c r="GH527" s="78">
        <f>EI527</f>
        <v>9542.2000000000007</v>
      </c>
      <c r="GI527" s="79">
        <f t="shared" si="2094"/>
        <v>9.1285452881976212</v>
      </c>
      <c r="GJ527" s="78">
        <f>EQ527</f>
        <v>10425.128790254848</v>
      </c>
      <c r="GK527" s="79">
        <f t="shared" si="2094"/>
        <v>9.2528849767857366</v>
      </c>
      <c r="GL527" s="78">
        <f>+GJ527+GL438-GL461</f>
        <v>11324.002729138587</v>
      </c>
      <c r="GM527" s="79">
        <f t="shared" si="2094"/>
        <v>8.6221854613823368</v>
      </c>
      <c r="GN527" s="78">
        <f>+GL527+GN438-GN461</f>
        <v>12240.777516748734</v>
      </c>
      <c r="GO527" s="79">
        <f t="shared" si="2094"/>
        <v>8.0958545272258764</v>
      </c>
      <c r="GP527" s="78">
        <f>+GN527+GP438-GP461</f>
        <v>13178.572349577595</v>
      </c>
      <c r="GQ527" s="79">
        <f t="shared" si="2094"/>
        <v>7.6612358287347471</v>
      </c>
      <c r="GR527" s="78">
        <f>+GP527+GR438-GR461</f>
        <v>14131.960699800682</v>
      </c>
      <c r="GS527" s="79">
        <f t="shared" si="2095"/>
        <v>7.2343826397375022</v>
      </c>
      <c r="GT527" s="79">
        <f t="shared" si="2096"/>
        <v>8.1709842096653986</v>
      </c>
    </row>
    <row r="528" spans="1:202" ht="12.75" customHeight="1" x14ac:dyDescent="0.2">
      <c r="A528" s="1"/>
      <c r="B528" s="2" t="s">
        <v>319</v>
      </c>
      <c r="C528" s="349">
        <v>-9.1999999999999993</v>
      </c>
      <c r="D528" s="79"/>
      <c r="E528" s="349">
        <v>-9.1999999999999993</v>
      </c>
      <c r="F528" s="82"/>
      <c r="G528" s="349">
        <v>-9.1999999999999993</v>
      </c>
      <c r="H528" s="82"/>
      <c r="I528" s="349">
        <v>-9.1999999999999993</v>
      </c>
      <c r="J528" s="82"/>
      <c r="K528" s="349">
        <v>-9.1999999999999993</v>
      </c>
      <c r="L528" s="79"/>
      <c r="M528" s="349">
        <v>-9.1999999999999993</v>
      </c>
      <c r="N528" s="79">
        <f t="shared" si="2020"/>
        <v>0</v>
      </c>
      <c r="O528" s="349">
        <v>-54.2</v>
      </c>
      <c r="P528" s="79" t="str">
        <f t="shared" si="2021"/>
        <v>NM</v>
      </c>
      <c r="Q528" s="349">
        <v>-54.2</v>
      </c>
      <c r="R528" s="79" t="str">
        <f t="shared" si="2022"/>
        <v>NM</v>
      </c>
      <c r="S528" s="349">
        <v>-54.2</v>
      </c>
      <c r="T528" s="79" t="str">
        <f t="shared" si="2023"/>
        <v>NM</v>
      </c>
      <c r="U528" s="349">
        <v>-54.2</v>
      </c>
      <c r="V528" s="79" t="str">
        <f t="shared" si="2024"/>
        <v>NM</v>
      </c>
      <c r="W528" s="349">
        <v>-54.2</v>
      </c>
      <c r="X528" s="79">
        <f t="shared" si="2025"/>
        <v>0</v>
      </c>
      <c r="Y528" s="349">
        <v>-54.2</v>
      </c>
      <c r="Z528" s="79">
        <f t="shared" si="2026"/>
        <v>0</v>
      </c>
      <c r="AA528" s="333">
        <v>-54.2</v>
      </c>
      <c r="AB528" s="79">
        <f t="shared" si="2027"/>
        <v>0</v>
      </c>
      <c r="AC528" s="349">
        <v>-54.2</v>
      </c>
      <c r="AD528" s="79">
        <f t="shared" si="2028"/>
        <v>0</v>
      </c>
      <c r="AE528" s="349">
        <v>-54.2</v>
      </c>
      <c r="AF528" s="79">
        <f t="shared" si="2029"/>
        <v>0</v>
      </c>
      <c r="AG528" s="349">
        <v>-54.2</v>
      </c>
      <c r="AH528" s="79">
        <f t="shared" si="2030"/>
        <v>0</v>
      </c>
      <c r="AI528" s="349">
        <v>-54.2</v>
      </c>
      <c r="AJ528" s="79">
        <f t="shared" si="2031"/>
        <v>0</v>
      </c>
      <c r="AK528" s="349">
        <v>-54.2</v>
      </c>
      <c r="AL528" s="79">
        <f t="shared" si="2032"/>
        <v>0</v>
      </c>
      <c r="AM528" s="349">
        <v>-54.2</v>
      </c>
      <c r="AN528" s="79">
        <f t="shared" si="2033"/>
        <v>0</v>
      </c>
      <c r="AO528" s="349">
        <v>-54.2</v>
      </c>
      <c r="AP528" s="79">
        <f t="shared" si="2033"/>
        <v>0</v>
      </c>
      <c r="AQ528" s="349">
        <v>-13.8</v>
      </c>
      <c r="AR528" s="79" t="str">
        <f t="shared" si="2033"/>
        <v>NM</v>
      </c>
      <c r="AS528" s="349">
        <v>-54.2</v>
      </c>
      <c r="AT528" s="81">
        <f t="shared" si="2033"/>
        <v>0</v>
      </c>
      <c r="AU528" s="349">
        <v>-54.2</v>
      </c>
      <c r="AV528" s="81">
        <f t="shared" si="2033"/>
        <v>0</v>
      </c>
      <c r="AW528" s="349">
        <v>-54.2</v>
      </c>
      <c r="AX528" s="81">
        <f t="shared" si="2033"/>
        <v>0</v>
      </c>
      <c r="AY528" s="349">
        <v>-54.2</v>
      </c>
      <c r="AZ528" s="81" t="str">
        <f t="shared" si="2033"/>
        <v>NM</v>
      </c>
      <c r="BA528" s="349">
        <v>-54.2</v>
      </c>
      <c r="BB528" s="81">
        <f t="shared" si="2033"/>
        <v>0</v>
      </c>
      <c r="BC528" s="349">
        <v>-54.2</v>
      </c>
      <c r="BD528" s="81">
        <f t="shared" si="2033"/>
        <v>0</v>
      </c>
      <c r="BE528" s="349">
        <v>-54.2</v>
      </c>
      <c r="BF528" s="81">
        <f t="shared" si="2034"/>
        <v>0</v>
      </c>
      <c r="BG528" s="349">
        <v>-54.2</v>
      </c>
      <c r="BH528" s="81">
        <f t="shared" si="2035"/>
        <v>0</v>
      </c>
      <c r="BI528" s="349">
        <v>-404.2</v>
      </c>
      <c r="BJ528" s="81" t="str">
        <f t="shared" si="2036"/>
        <v>NM</v>
      </c>
      <c r="BK528" s="349">
        <v>-404.2</v>
      </c>
      <c r="BL528" s="81" t="str">
        <f t="shared" si="2037"/>
        <v>NM</v>
      </c>
      <c r="BM528" s="349">
        <v>-754.2</v>
      </c>
      <c r="BN528" s="81" t="str">
        <f t="shared" si="2038"/>
        <v>NM</v>
      </c>
      <c r="BO528" s="349">
        <v>-754.2</v>
      </c>
      <c r="BP528" s="81" t="str">
        <f t="shared" si="2039"/>
        <v>NM</v>
      </c>
      <c r="BQ528" s="349">
        <v>-754.2</v>
      </c>
      <c r="BR528" s="81">
        <f t="shared" si="2040"/>
        <v>86.59079663532907</v>
      </c>
      <c r="BS528" s="349">
        <v>-754.2</v>
      </c>
      <c r="BT528" s="81">
        <f t="shared" si="2041"/>
        <v>86.59079663532907</v>
      </c>
      <c r="BU528" s="349">
        <v>-754.2</v>
      </c>
      <c r="BV528" s="81">
        <f t="shared" si="2042"/>
        <v>0</v>
      </c>
      <c r="BW528" s="349">
        <v>-754.2</v>
      </c>
      <c r="BX528" s="81">
        <f t="shared" si="2043"/>
        <v>0</v>
      </c>
      <c r="BY528" s="349">
        <v>-754.2</v>
      </c>
      <c r="BZ528" s="81">
        <f t="shared" si="2044"/>
        <v>0</v>
      </c>
      <c r="CA528" s="349">
        <v>-884</v>
      </c>
      <c r="CB528" s="81">
        <f t="shared" si="2045"/>
        <v>17.210289047997861</v>
      </c>
      <c r="CC528" s="349">
        <v>-1081.7</v>
      </c>
      <c r="CD528" s="81">
        <f t="shared" si="2046"/>
        <v>43.423495094139476</v>
      </c>
      <c r="CE528" s="349">
        <v>-1110.2</v>
      </c>
      <c r="CF528" s="81">
        <f t="shared" si="2047"/>
        <v>47.202333598514976</v>
      </c>
      <c r="CG528" s="349">
        <v>-1133.8</v>
      </c>
      <c r="CH528" s="81">
        <f t="shared" si="2048"/>
        <v>50.331477061787311</v>
      </c>
      <c r="CI528" s="349">
        <v>-1279.9000000000001</v>
      </c>
      <c r="CJ528" s="81">
        <f t="shared" si="2049"/>
        <v>44.785067873303184</v>
      </c>
      <c r="CK528" s="349">
        <v>-1530.1</v>
      </c>
      <c r="CL528" s="81">
        <f t="shared" si="2050"/>
        <v>41.453268004067652</v>
      </c>
      <c r="CM528" s="349">
        <v>-1530.1</v>
      </c>
      <c r="CN528" s="81">
        <f t="shared" si="2051"/>
        <v>37.822014051522231</v>
      </c>
      <c r="CO528" s="349">
        <v>-1705.3</v>
      </c>
      <c r="CP528" s="81">
        <f t="shared" si="2052"/>
        <v>50.405715293702592</v>
      </c>
      <c r="CQ528" s="349">
        <v>-1830.4</v>
      </c>
      <c r="CR528" s="81">
        <f t="shared" si="2053"/>
        <v>43.011172747870916</v>
      </c>
      <c r="CS528" s="349">
        <v>-1930.6</v>
      </c>
      <c r="CT528" s="81">
        <f t="shared" si="2054"/>
        <v>26.174759819619631</v>
      </c>
      <c r="CU528" s="349">
        <v>-2030.7</v>
      </c>
      <c r="CV528" s="81">
        <f t="shared" si="2055"/>
        <v>32.716815894385995</v>
      </c>
      <c r="CW528" s="349">
        <v>-2125.8000000000002</v>
      </c>
      <c r="CX528" s="81">
        <f t="shared" si="2056"/>
        <v>24.65841787368792</v>
      </c>
      <c r="CY528" s="349">
        <v>-2224.1999999999998</v>
      </c>
      <c r="CZ528" s="81">
        <f t="shared" si="2057"/>
        <v>21.514423076923062</v>
      </c>
      <c r="DA528" s="349">
        <v>-2299.1999999999998</v>
      </c>
      <c r="DB528" s="81">
        <f t="shared" si="2058"/>
        <v>19.092510100486891</v>
      </c>
      <c r="DC528" s="349">
        <v>-2349.3000000000002</v>
      </c>
      <c r="DD528" s="81">
        <f t="shared" si="2059"/>
        <v>15.6891712217462</v>
      </c>
      <c r="DE528" s="349">
        <v>-2449.4</v>
      </c>
      <c r="DF528" s="81">
        <f t="shared" si="2060"/>
        <v>15.222504468905829</v>
      </c>
      <c r="DG528" s="349">
        <v>-2549.4</v>
      </c>
      <c r="DH528" s="81">
        <f t="shared" si="2061"/>
        <v>14.620987321284073</v>
      </c>
      <c r="DI528" s="349">
        <v>-2649.9</v>
      </c>
      <c r="DJ528" s="81">
        <f t="shared" si="2062"/>
        <v>15.253131524008356</v>
      </c>
      <c r="DK528" s="349">
        <v>-1198.2</v>
      </c>
      <c r="DL528" s="81">
        <f t="shared" si="2063"/>
        <v>-48.997573745370957</v>
      </c>
      <c r="DM528" s="349">
        <v>-1306.3</v>
      </c>
      <c r="DN528" s="81">
        <f t="shared" si="2064"/>
        <v>-46.66857189515801</v>
      </c>
      <c r="DO528" s="349">
        <v>-1409.4</v>
      </c>
      <c r="DP528" s="81">
        <f t="shared" si="2064"/>
        <v>-44.716403859731699</v>
      </c>
      <c r="DQ528" s="349">
        <v>-1524.4</v>
      </c>
      <c r="DR528" s="81">
        <f t="shared" si="2065"/>
        <v>-42.473300879278462</v>
      </c>
      <c r="DS528" s="349">
        <v>-1624.9</v>
      </c>
      <c r="DT528" s="81">
        <f t="shared" si="2066"/>
        <v>35.611750959773005</v>
      </c>
      <c r="DU528" s="349">
        <v>-1724.9</v>
      </c>
      <c r="DV528" s="81">
        <f t="shared" si="2067"/>
        <v>32.044706422720679</v>
      </c>
      <c r="DW528" s="349">
        <v>-1825</v>
      </c>
      <c r="DX528" s="81">
        <f t="shared" si="2068"/>
        <v>29.487725273165879</v>
      </c>
      <c r="DY528" s="349">
        <v>-1925.2</v>
      </c>
      <c r="DZ528" s="81">
        <f t="shared" si="2069"/>
        <v>26.292311729204918</v>
      </c>
      <c r="EA528" s="349">
        <v>-2028.2</v>
      </c>
      <c r="EB528" s="81">
        <f t="shared" si="2070"/>
        <v>24.819988922395233</v>
      </c>
      <c r="EC528" s="349">
        <v>-2128.1999999999998</v>
      </c>
      <c r="ED528" s="81">
        <f t="shared" si="2071"/>
        <v>23.381065569018467</v>
      </c>
      <c r="EE528" s="349">
        <v>-2228.3000000000002</v>
      </c>
      <c r="EF528" s="81">
        <f t="shared" si="2072"/>
        <v>22.098630136986319</v>
      </c>
      <c r="EG528" s="349">
        <v>-2328.5</v>
      </c>
      <c r="EH528" s="81">
        <f t="shared" si="2073"/>
        <v>20.948472885933931</v>
      </c>
      <c r="EI528" s="349">
        <v>-2428.6</v>
      </c>
      <c r="EJ528" s="81">
        <f t="shared" si="2074"/>
        <v>19.741642836012229</v>
      </c>
      <c r="EK528" s="216">
        <f t="shared" ref="EK528" si="2101">+EI528-EK474</f>
        <v>-2528.6</v>
      </c>
      <c r="EL528" s="81">
        <f t="shared" si="2076"/>
        <v>18.814021238605406</v>
      </c>
      <c r="EM528" s="216">
        <f t="shared" ref="EM528" si="2102">+EK528-EM474</f>
        <v>-2628.6</v>
      </c>
      <c r="EN528" s="81">
        <f t="shared" si="2077"/>
        <v>17.964367455010532</v>
      </c>
      <c r="EO528" s="216">
        <f t="shared" ref="EO528" si="2103">+EM528-EO474</f>
        <v>-2728.6</v>
      </c>
      <c r="EP528" s="81">
        <f t="shared" si="2078"/>
        <v>17.182735666738246</v>
      </c>
      <c r="EQ528" s="216">
        <f t="shared" ref="EQ528" si="2104">+EO528-EQ474</f>
        <v>-2828.6</v>
      </c>
      <c r="ER528" s="81">
        <f t="shared" si="2079"/>
        <v>16.470394465947468</v>
      </c>
      <c r="ES528" s="82"/>
      <c r="ET528" s="490"/>
      <c r="EU528" s="82"/>
      <c r="EV528" s="82"/>
      <c r="EW528" s="79"/>
      <c r="EX528" s="82"/>
      <c r="EY528" s="79" t="str">
        <f t="shared" si="2080"/>
        <v>NA</v>
      </c>
      <c r="EZ528" s="82"/>
      <c r="FA528" s="79" t="str">
        <f t="shared" si="2081"/>
        <v>NA</v>
      </c>
      <c r="FB528" s="192">
        <f>+K528</f>
        <v>-9.1999999999999993</v>
      </c>
      <c r="FC528" s="79" t="str">
        <f>IF(ISERROR((FB528/EZ528-1)*100),"NA",IF(((FB528/EZ528-1)*100)&gt;100,"NM",IF(((FB528/EZ528-1)*100)&lt;-50,"NM",(FB528/EZ528-1)*100)))</f>
        <v>NA</v>
      </c>
      <c r="FD528" s="192">
        <f>+S528</f>
        <v>-54.2</v>
      </c>
      <c r="FE528" s="79" t="str">
        <f t="shared" si="2083"/>
        <v>NM</v>
      </c>
      <c r="FF528" s="192">
        <f>+AA528</f>
        <v>-54.2</v>
      </c>
      <c r="FG528" s="79">
        <f t="shared" si="2084"/>
        <v>0</v>
      </c>
      <c r="FH528" s="192">
        <f>+AI528</f>
        <v>-54.2</v>
      </c>
      <c r="FI528" s="79">
        <f t="shared" si="2085"/>
        <v>0</v>
      </c>
      <c r="FJ528" s="340">
        <f>+AQ528</f>
        <v>-13.8</v>
      </c>
      <c r="FK528" s="79" t="str">
        <f t="shared" si="2086"/>
        <v>NM</v>
      </c>
      <c r="FL528" s="381">
        <f>AY528</f>
        <v>-54.2</v>
      </c>
      <c r="FM528" s="79" t="str">
        <f t="shared" si="2087"/>
        <v>NM</v>
      </c>
      <c r="FN528" s="381">
        <f>BG528</f>
        <v>-54.2</v>
      </c>
      <c r="FO528" s="79">
        <f t="shared" si="2088"/>
        <v>0</v>
      </c>
      <c r="FP528" s="216">
        <f>BO528</f>
        <v>-754.2</v>
      </c>
      <c r="FQ528" s="79" t="str">
        <f t="shared" si="2089"/>
        <v>NM</v>
      </c>
      <c r="FR528" s="216">
        <f>BW528</f>
        <v>-754.2</v>
      </c>
      <c r="FS528" s="79">
        <f t="shared" si="2090"/>
        <v>0</v>
      </c>
      <c r="FT528" s="216">
        <f>CE528</f>
        <v>-1110.2</v>
      </c>
      <c r="FU528" s="79">
        <f t="shared" si="2091"/>
        <v>47.202333598514976</v>
      </c>
      <c r="FV528" s="216">
        <f>CM528</f>
        <v>-1530.1</v>
      </c>
      <c r="FW528" s="79">
        <f t="shared" si="2092"/>
        <v>37.822014051522231</v>
      </c>
      <c r="FX528" s="216">
        <f>CU528</f>
        <v>-2030.7</v>
      </c>
      <c r="FY528" s="79">
        <f t="shared" si="2093"/>
        <v>32.716815894385995</v>
      </c>
      <c r="FZ528" s="216">
        <f>DC528</f>
        <v>-2349.3000000000002</v>
      </c>
      <c r="GA528" s="79">
        <f t="shared" si="2094"/>
        <v>15.6891712217462</v>
      </c>
      <c r="GB528" s="216">
        <f>DK528</f>
        <v>-1198.2</v>
      </c>
      <c r="GC528" s="79">
        <f t="shared" si="2094"/>
        <v>-48.997573745370957</v>
      </c>
      <c r="GD528" s="216">
        <f>DS528</f>
        <v>-1624.9</v>
      </c>
      <c r="GE528" s="79">
        <f t="shared" si="2094"/>
        <v>35.611750959773005</v>
      </c>
      <c r="GF528" s="216">
        <f>EA528</f>
        <v>-2028.2</v>
      </c>
      <c r="GG528" s="79">
        <f t="shared" si="2094"/>
        <v>24.819988922395233</v>
      </c>
      <c r="GH528" s="216">
        <f>EI528</f>
        <v>-2428.6</v>
      </c>
      <c r="GI528" s="79">
        <f t="shared" si="2094"/>
        <v>19.741642836012229</v>
      </c>
      <c r="GJ528" s="216">
        <f>EQ528</f>
        <v>-2828.6</v>
      </c>
      <c r="GK528" s="79">
        <f t="shared" si="2094"/>
        <v>16.470394465947468</v>
      </c>
      <c r="GL528" s="216">
        <f>+GJ528-GL474</f>
        <v>-3228.6</v>
      </c>
      <c r="GM528" s="79">
        <f t="shared" si="2094"/>
        <v>14.141271300289905</v>
      </c>
      <c r="GN528" s="216">
        <f>+GL528-GN474</f>
        <v>-3653.6</v>
      </c>
      <c r="GO528" s="79">
        <f t="shared" si="2094"/>
        <v>13.163600322121049</v>
      </c>
      <c r="GP528" s="216">
        <f>+GN528-GP474</f>
        <v>-4078.6</v>
      </c>
      <c r="GQ528" s="79">
        <f t="shared" si="2094"/>
        <v>11.632362601269985</v>
      </c>
      <c r="GR528" s="216">
        <f>+GP528-GR474</f>
        <v>-4528.6000000000004</v>
      </c>
      <c r="GS528" s="79">
        <f t="shared" si="2095"/>
        <v>11.033197665865746</v>
      </c>
      <c r="GT528" s="79">
        <f t="shared" si="2096"/>
        <v>13.271745848405669</v>
      </c>
    </row>
    <row r="529" spans="1:202" ht="12.75" customHeight="1" x14ac:dyDescent="0.2">
      <c r="A529" s="1" t="s">
        <v>41</v>
      </c>
      <c r="B529" s="2" t="s">
        <v>434</v>
      </c>
      <c r="C529" s="131">
        <v>5575</v>
      </c>
      <c r="D529" s="79"/>
      <c r="E529" s="131">
        <v>5814</v>
      </c>
      <c r="F529" s="131"/>
      <c r="G529" s="131">
        <v>5752.2</v>
      </c>
      <c r="H529" s="131"/>
      <c r="I529" s="131">
        <v>6026.2</v>
      </c>
      <c r="J529" s="131"/>
      <c r="K529" s="131">
        <v>5939.9</v>
      </c>
      <c r="L529" s="79"/>
      <c r="M529" s="131">
        <v>5735.9</v>
      </c>
      <c r="N529" s="79">
        <f t="shared" si="2020"/>
        <v>-1.3433092535259816</v>
      </c>
      <c r="O529" s="131">
        <v>6136</v>
      </c>
      <c r="P529" s="79">
        <f t="shared" si="2021"/>
        <v>6.6722297555717791</v>
      </c>
      <c r="Q529" s="131">
        <v>6670.2</v>
      </c>
      <c r="R529" s="79">
        <f t="shared" si="2022"/>
        <v>10.686668215459161</v>
      </c>
      <c r="S529" s="131">
        <v>6843.2</v>
      </c>
      <c r="T529" s="79">
        <f t="shared" si="2023"/>
        <v>15.207326722672111</v>
      </c>
      <c r="U529" s="131">
        <v>6545.3</v>
      </c>
      <c r="V529" s="79">
        <f t="shared" si="2024"/>
        <v>14.111124670932206</v>
      </c>
      <c r="W529" s="131">
        <v>7719.5</v>
      </c>
      <c r="X529" s="79">
        <f t="shared" si="2025"/>
        <v>25.806714471968718</v>
      </c>
      <c r="Y529" s="131">
        <v>7850.3</v>
      </c>
      <c r="Z529" s="79">
        <f t="shared" si="2026"/>
        <v>17.692123174717402</v>
      </c>
      <c r="AA529" s="126">
        <v>7271</v>
      </c>
      <c r="AB529" s="79">
        <f t="shared" si="2027"/>
        <v>6.2514613046527945</v>
      </c>
      <c r="AC529" s="131">
        <v>7134.3</v>
      </c>
      <c r="AD529" s="79">
        <f t="shared" si="2028"/>
        <v>8.9988235833346142</v>
      </c>
      <c r="AE529" s="131">
        <v>6226.4</v>
      </c>
      <c r="AF529" s="79">
        <f t="shared" si="2029"/>
        <v>-19.34192629056286</v>
      </c>
      <c r="AG529" s="131">
        <v>6900.4</v>
      </c>
      <c r="AH529" s="79">
        <f t="shared" si="2030"/>
        <v>-12.100174515623618</v>
      </c>
      <c r="AI529" s="131">
        <v>7224.1</v>
      </c>
      <c r="AJ529" s="79">
        <f t="shared" si="2031"/>
        <v>-0.64502819419611779</v>
      </c>
      <c r="AK529" s="131">
        <v>7052.4</v>
      </c>
      <c r="AL529" s="79">
        <f t="shared" si="2032"/>
        <v>-1.1479752743787097</v>
      </c>
      <c r="AM529" s="131">
        <v>7854.6</v>
      </c>
      <c r="AN529" s="79">
        <f t="shared" si="2033"/>
        <v>26.149942181678032</v>
      </c>
      <c r="AO529" s="131">
        <v>7237.7</v>
      </c>
      <c r="AP529" s="79">
        <f t="shared" si="2033"/>
        <v>4.8881224276853485</v>
      </c>
      <c r="AQ529" s="131">
        <v>7363.9</v>
      </c>
      <c r="AR529" s="79">
        <f t="shared" si="2033"/>
        <v>1.9351891585110748</v>
      </c>
      <c r="AS529" s="131">
        <v>6568</v>
      </c>
      <c r="AT529" s="81">
        <f t="shared" si="2033"/>
        <v>-6.8685837445408566</v>
      </c>
      <c r="AU529" s="131">
        <v>6986.9</v>
      </c>
      <c r="AV529" s="81">
        <f t="shared" si="2033"/>
        <v>-11.047029765997006</v>
      </c>
      <c r="AW529" s="131">
        <v>7594.4</v>
      </c>
      <c r="AX529" s="81">
        <f t="shared" si="2033"/>
        <v>4.9283612197244864</v>
      </c>
      <c r="AY529" s="131">
        <v>7718.8</v>
      </c>
      <c r="AZ529" s="81">
        <f t="shared" si="2033"/>
        <v>4.8194570811662452</v>
      </c>
      <c r="BA529" s="131">
        <v>7376.6</v>
      </c>
      <c r="BB529" s="81">
        <f t="shared" si="2033"/>
        <v>12.311205846528628</v>
      </c>
      <c r="BC529" s="131">
        <v>7371.6</v>
      </c>
      <c r="BD529" s="81">
        <f t="shared" si="2033"/>
        <v>5.5060184058738582</v>
      </c>
      <c r="BE529" s="131">
        <v>7830.8</v>
      </c>
      <c r="BF529" s="81">
        <f t="shared" si="2034"/>
        <v>3.1128199726114136</v>
      </c>
      <c r="BG529" s="131">
        <v>8039.9</v>
      </c>
      <c r="BH529" s="81">
        <f t="shared" si="2035"/>
        <v>4.1599730528061318</v>
      </c>
      <c r="BI529" s="131">
        <v>7638.4</v>
      </c>
      <c r="BJ529" s="81">
        <f t="shared" si="2036"/>
        <v>3.5490605427974886</v>
      </c>
      <c r="BK529" s="131">
        <v>7664.3</v>
      </c>
      <c r="BL529" s="81">
        <f t="shared" si="2037"/>
        <v>3.9706440935482146</v>
      </c>
      <c r="BM529" s="131">
        <v>6735.9</v>
      </c>
      <c r="BN529" s="81">
        <f t="shared" si="2038"/>
        <v>-13.981968636665476</v>
      </c>
      <c r="BO529" s="131">
        <v>6397.9</v>
      </c>
      <c r="BP529" s="81">
        <f t="shared" si="2039"/>
        <v>-20.423139591288454</v>
      </c>
      <c r="BQ529" s="131">
        <v>6422.6</v>
      </c>
      <c r="BR529" s="81">
        <f t="shared" si="2040"/>
        <v>-15.916945957268524</v>
      </c>
      <c r="BS529" s="131">
        <v>7478.4</v>
      </c>
      <c r="BT529" s="81">
        <f t="shared" si="2041"/>
        <v>-2.4255313596805994</v>
      </c>
      <c r="BU529" s="131">
        <v>8243</v>
      </c>
      <c r="BV529" s="81">
        <f t="shared" si="2042"/>
        <v>22.374144509271222</v>
      </c>
      <c r="BW529" s="131">
        <v>8500.1</v>
      </c>
      <c r="BX529" s="81">
        <f t="shared" si="2043"/>
        <v>32.857656418512327</v>
      </c>
      <c r="BY529" s="131">
        <v>8780.2000000000007</v>
      </c>
      <c r="BZ529" s="81">
        <f t="shared" si="2044"/>
        <v>36.707875315292867</v>
      </c>
      <c r="CA529" s="131">
        <v>8871.7000000000007</v>
      </c>
      <c r="CB529" s="81">
        <f t="shared" si="2045"/>
        <v>18.630990586221664</v>
      </c>
      <c r="CC529" s="131">
        <v>8924.1</v>
      </c>
      <c r="CD529" s="81">
        <f t="shared" si="2046"/>
        <v>8.2627684095596408</v>
      </c>
      <c r="CE529" s="131">
        <v>8484.9</v>
      </c>
      <c r="CF529" s="81">
        <f t="shared" si="2047"/>
        <v>-0.17882142563029335</v>
      </c>
      <c r="CG529" s="131">
        <v>8522.2000000000007</v>
      </c>
      <c r="CH529" s="81">
        <f t="shared" si="2048"/>
        <v>-2.9384296485273631</v>
      </c>
      <c r="CI529" s="131">
        <f>9082.8-465</f>
        <v>8617.7999999999993</v>
      </c>
      <c r="CJ529" s="81">
        <f t="shared" si="2049"/>
        <v>-2.8619092169482885</v>
      </c>
      <c r="CK529" s="131">
        <v>9460.1</v>
      </c>
      <c r="CL529" s="81">
        <f t="shared" si="2050"/>
        <v>6.0062079089207909</v>
      </c>
      <c r="CM529" s="131">
        <v>8169.7</v>
      </c>
      <c r="CN529" s="81">
        <f t="shared" si="2051"/>
        <v>-3.7148345885042788</v>
      </c>
      <c r="CO529" s="131">
        <v>8179.9</v>
      </c>
      <c r="CP529" s="81">
        <f t="shared" si="2052"/>
        <v>-4.0165684917040316</v>
      </c>
      <c r="CQ529" s="131">
        <v>8385.9</v>
      </c>
      <c r="CR529" s="81">
        <f t="shared" si="2053"/>
        <v>-2.6909420037596554</v>
      </c>
      <c r="CS529" s="131">
        <v>8673.2999999999993</v>
      </c>
      <c r="CT529" s="81">
        <f t="shared" si="2054"/>
        <v>-8.3170368177926335</v>
      </c>
      <c r="CU529" s="131">
        <v>8612.6</v>
      </c>
      <c r="CV529" s="81">
        <f t="shared" si="2055"/>
        <v>5.4212516983487724</v>
      </c>
      <c r="CW529" s="131">
        <v>8557.7999999999993</v>
      </c>
      <c r="CX529" s="81">
        <f t="shared" si="2056"/>
        <v>4.6198608784948414</v>
      </c>
      <c r="CY529" s="131">
        <v>8380.6</v>
      </c>
      <c r="CZ529" s="81">
        <f t="shared" si="2057"/>
        <v>-6.3201326035355887E-2</v>
      </c>
      <c r="DA529" s="131">
        <v>8669.9</v>
      </c>
      <c r="DB529" s="81">
        <f t="shared" si="2058"/>
        <v>-3.9200765567892759E-2</v>
      </c>
      <c r="DC529" s="131">
        <v>8639.9</v>
      </c>
      <c r="DD529" s="81">
        <f t="shared" si="2059"/>
        <v>0.31697745164060986</v>
      </c>
      <c r="DE529" s="131">
        <v>8933.4</v>
      </c>
      <c r="DF529" s="81">
        <f t="shared" si="2060"/>
        <v>4.3889784757764838</v>
      </c>
      <c r="DG529" s="131">
        <v>9243.7000000000007</v>
      </c>
      <c r="DH529" s="81">
        <f t="shared" si="2061"/>
        <v>10.298785289836054</v>
      </c>
      <c r="DI529" s="354">
        <f>9244-1</f>
        <v>9243</v>
      </c>
      <c r="DJ529" s="81">
        <f t="shared" si="2062"/>
        <v>6.610226184846435</v>
      </c>
      <c r="DK529" s="354">
        <v>8521.9</v>
      </c>
      <c r="DL529" s="81">
        <f t="shared" si="2063"/>
        <v>-1.365756548108199</v>
      </c>
      <c r="DM529" s="131">
        <v>8687.9</v>
      </c>
      <c r="DN529" s="81">
        <f t="shared" si="2064"/>
        <v>-2.7481138200461164</v>
      </c>
      <c r="DO529" s="131">
        <v>8515.7000000000007</v>
      </c>
      <c r="DP529" s="81">
        <f t="shared" si="2064"/>
        <v>-7.8756342157361274</v>
      </c>
      <c r="DQ529" s="131">
        <v>8581.1</v>
      </c>
      <c r="DR529" s="81">
        <f t="shared" si="2065"/>
        <v>-7.1610948826138614</v>
      </c>
      <c r="DS529" s="131">
        <v>8663.9</v>
      </c>
      <c r="DT529" s="81">
        <f t="shared" si="2066"/>
        <v>1.6662950750419459</v>
      </c>
      <c r="DU529" s="131">
        <v>8920.2999999999993</v>
      </c>
      <c r="DV529" s="81">
        <f t="shared" si="2067"/>
        <v>2.6749847489036416</v>
      </c>
      <c r="DW529" s="131">
        <v>9157</v>
      </c>
      <c r="DX529" s="81">
        <f t="shared" si="2068"/>
        <v>7.5307960590438761</v>
      </c>
      <c r="DY529" s="131">
        <v>9361.2000000000007</v>
      </c>
      <c r="DZ529" s="81">
        <f t="shared" si="2069"/>
        <v>9.0909090909091042</v>
      </c>
      <c r="EA529" s="131">
        <v>8968</v>
      </c>
      <c r="EB529" s="81">
        <f t="shared" si="2070"/>
        <v>3.5099666431976484</v>
      </c>
      <c r="EC529" s="131">
        <f>EA529+EC438-EC461+EC468-EC474+(EC530-EA530)</f>
        <v>9103.6799999999985</v>
      </c>
      <c r="ED529" s="81">
        <f t="shared" si="2071"/>
        <v>2.055760456486877</v>
      </c>
      <c r="EE529" s="131">
        <v>9316.6</v>
      </c>
      <c r="EF529" s="81">
        <f t="shared" si="2072"/>
        <v>1.7429289068472187</v>
      </c>
      <c r="EG529" s="131">
        <v>9448.6</v>
      </c>
      <c r="EH529" s="81">
        <f t="shared" si="2073"/>
        <v>0.93364098619834746</v>
      </c>
      <c r="EI529" s="131">
        <v>9574.9</v>
      </c>
      <c r="EJ529" s="81">
        <f t="shared" si="2074"/>
        <v>6.7673951828724377</v>
      </c>
      <c r="EK529" s="192">
        <f t="shared" ref="EK529" si="2105">EI529+EK438-EK461+EK468-EK474+(EK530-EI530)</f>
        <v>9685.9828303240956</v>
      </c>
      <c r="EL529" s="81">
        <f t="shared" si="2076"/>
        <v>6.3963455473401654</v>
      </c>
      <c r="EM529" s="192">
        <f t="shared" ref="EM529" si="2106">EK529+EM438-EM461+EM468-EM474+(EM530-EK530)</f>
        <v>9812.7669541748146</v>
      </c>
      <c r="EN529" s="81">
        <f t="shared" si="2077"/>
        <v>5.3256225895156328</v>
      </c>
      <c r="EO529" s="192">
        <f t="shared" ref="EO529" si="2107">EM529+EO438-EO461+EO468-EO474+(EO530-EM530)</f>
        <v>9933.6279088450246</v>
      </c>
      <c r="EP529" s="81">
        <f t="shared" si="2078"/>
        <v>5.1333309574436825</v>
      </c>
      <c r="EQ529" s="192">
        <f t="shared" ref="EQ529" si="2108">EO529+EQ438-EQ461+EQ468-EQ474+(EQ530-EO530)</f>
        <v>10057.828790254847</v>
      </c>
      <c r="ER529" s="81">
        <f t="shared" si="2079"/>
        <v>5.0436953937361917</v>
      </c>
      <c r="ES529" s="82"/>
      <c r="ET529" s="469"/>
      <c r="EU529" s="82"/>
      <c r="EV529" s="131">
        <v>6146.2</v>
      </c>
      <c r="EW529" s="79"/>
      <c r="EX529" s="131">
        <v>4982.2</v>
      </c>
      <c r="EY529" s="79">
        <f t="shared" si="2080"/>
        <v>-18.938531124922719</v>
      </c>
      <c r="EZ529" s="145">
        <f>+C529</f>
        <v>5575</v>
      </c>
      <c r="FA529" s="79">
        <f t="shared" si="2081"/>
        <v>11.898358155031907</v>
      </c>
      <c r="FB529" s="145">
        <f>K529</f>
        <v>5939.9</v>
      </c>
      <c r="FC529" s="79">
        <f t="shared" si="2082"/>
        <v>6.5452914798206141</v>
      </c>
      <c r="FD529" s="145">
        <f>+S529</f>
        <v>6843.2</v>
      </c>
      <c r="FE529" s="79">
        <f t="shared" si="2083"/>
        <v>15.207326722672111</v>
      </c>
      <c r="FF529" s="145">
        <f>+AA529</f>
        <v>7271</v>
      </c>
      <c r="FG529" s="79">
        <f t="shared" si="2084"/>
        <v>6.2514613046527945</v>
      </c>
      <c r="FH529" s="145">
        <f>+AI529</f>
        <v>7224.1</v>
      </c>
      <c r="FI529" s="79">
        <f t="shared" si="2085"/>
        <v>-0.64502819419611779</v>
      </c>
      <c r="FJ529" s="340">
        <f>+AQ529</f>
        <v>7363.9</v>
      </c>
      <c r="FK529" s="79">
        <f t="shared" si="2086"/>
        <v>1.9351891585110748</v>
      </c>
      <c r="FL529" s="381">
        <f>AY529</f>
        <v>7718.8</v>
      </c>
      <c r="FM529" s="79">
        <f t="shared" si="2087"/>
        <v>4.8194570811662452</v>
      </c>
      <c r="FN529" s="381">
        <f>BG529</f>
        <v>8039.9</v>
      </c>
      <c r="FO529" s="79">
        <f t="shared" si="2088"/>
        <v>4.1599730528061318</v>
      </c>
      <c r="FP529" s="381">
        <f>BO529</f>
        <v>6397.9</v>
      </c>
      <c r="FQ529" s="79">
        <f t="shared" si="2089"/>
        <v>-20.423139591288454</v>
      </c>
      <c r="FR529" s="192">
        <f>BW529</f>
        <v>8500.1</v>
      </c>
      <c r="FS529" s="79">
        <f t="shared" si="2090"/>
        <v>32.857656418512327</v>
      </c>
      <c r="FT529" s="192">
        <f>CE529</f>
        <v>8484.9</v>
      </c>
      <c r="FU529" s="79">
        <f t="shared" si="2091"/>
        <v>-0.17882142563029335</v>
      </c>
      <c r="FV529" s="192">
        <f>CM529</f>
        <v>8169.7</v>
      </c>
      <c r="FW529" s="79">
        <f t="shared" si="2092"/>
        <v>-3.7148345885042788</v>
      </c>
      <c r="FX529" s="192">
        <f>CU529</f>
        <v>8612.6</v>
      </c>
      <c r="FY529" s="79">
        <f t="shared" si="2093"/>
        <v>5.4212516983487724</v>
      </c>
      <c r="FZ529" s="192">
        <f>DC529</f>
        <v>8639.9</v>
      </c>
      <c r="GA529" s="79">
        <f t="shared" si="2094"/>
        <v>0.31697745164060986</v>
      </c>
      <c r="GB529" s="192">
        <f>DK529</f>
        <v>8521.9</v>
      </c>
      <c r="GC529" s="79">
        <f t="shared" si="2094"/>
        <v>-1.365756548108199</v>
      </c>
      <c r="GD529" s="192">
        <f>DS529</f>
        <v>8663.9</v>
      </c>
      <c r="GE529" s="79">
        <f t="shared" si="2094"/>
        <v>1.6662950750419459</v>
      </c>
      <c r="GF529" s="192">
        <f>EA529</f>
        <v>8968</v>
      </c>
      <c r="GG529" s="79">
        <f t="shared" si="2094"/>
        <v>3.5099666431976484</v>
      </c>
      <c r="GH529" s="192">
        <f>EI529</f>
        <v>9574.9</v>
      </c>
      <c r="GI529" s="79">
        <f t="shared" si="2094"/>
        <v>6.7673951828724377</v>
      </c>
      <c r="GJ529" s="192">
        <f>EQ529</f>
        <v>10057.828790254847</v>
      </c>
      <c r="GK529" s="79">
        <f t="shared" si="2094"/>
        <v>5.0436953937361917</v>
      </c>
      <c r="GL529" s="192">
        <f>GJ529+GL438-GL461+GL468-GL474+(GL530-GJ530)</f>
        <v>10556.702729138586</v>
      </c>
      <c r="GM529" s="79">
        <f t="shared" si="2094"/>
        <v>4.9600559851158188</v>
      </c>
      <c r="GN529" s="192">
        <f>GL529+GN438-GN461+GN468-GN474+(GN530-GL530)</f>
        <v>11048.477516748733</v>
      </c>
      <c r="GO529" s="79">
        <f t="shared" si="2094"/>
        <v>4.65841276606902</v>
      </c>
      <c r="GP529" s="192">
        <f>GN529+GP438-GP461+GP468-GP474+(GP530-GN530)</f>
        <v>11561.272349577594</v>
      </c>
      <c r="GQ529" s="79">
        <f t="shared" si="2094"/>
        <v>4.6413167067724803</v>
      </c>
      <c r="GR529" s="192">
        <f>GP529+GR438-GR461+GR468-GR474+(GR530-GP530)</f>
        <v>12064.660699800681</v>
      </c>
      <c r="GS529" s="79">
        <f t="shared" si="2095"/>
        <v>4.3540912712905611</v>
      </c>
      <c r="GT529" s="79">
        <f t="shared" si="2096"/>
        <v>4.731222538510016</v>
      </c>
    </row>
    <row r="530" spans="1:202" ht="12.75" customHeight="1" x14ac:dyDescent="0.2">
      <c r="A530" s="383" t="s">
        <v>227</v>
      </c>
      <c r="B530" s="2" t="s">
        <v>435</v>
      </c>
      <c r="C530" s="79"/>
      <c r="D530" s="79"/>
      <c r="E530" s="131">
        <v>227.4</v>
      </c>
      <c r="F530" s="131"/>
      <c r="G530" s="131">
        <v>47.7</v>
      </c>
      <c r="H530" s="131"/>
      <c r="I530" s="131">
        <v>227.1</v>
      </c>
      <c r="J530" s="131"/>
      <c r="K530" s="131">
        <v>48</v>
      </c>
      <c r="L530" s="79"/>
      <c r="M530" s="131">
        <v>-207.7</v>
      </c>
      <c r="N530" s="79" t="str">
        <f t="shared" si="2020"/>
        <v>NM</v>
      </c>
      <c r="O530" s="131">
        <v>177.9</v>
      </c>
      <c r="P530" s="79" t="str">
        <f t="shared" si="2021"/>
        <v>NM</v>
      </c>
      <c r="Q530" s="131">
        <v>636</v>
      </c>
      <c r="R530" s="79" t="str">
        <f t="shared" si="2022"/>
        <v>NM</v>
      </c>
      <c r="S530" s="131">
        <v>777.4</v>
      </c>
      <c r="T530" s="79" t="str">
        <f t="shared" si="2023"/>
        <v>NM</v>
      </c>
      <c r="U530" s="131">
        <v>760.5</v>
      </c>
      <c r="V530" s="79" t="str">
        <f t="shared" si="2024"/>
        <v>NM</v>
      </c>
      <c r="W530" s="131">
        <v>1342.6</v>
      </c>
      <c r="X530" s="79" t="str">
        <f t="shared" si="2025"/>
        <v>NM</v>
      </c>
      <c r="Y530" s="131">
        <v>1384.7</v>
      </c>
      <c r="Z530" s="79" t="str">
        <f t="shared" si="2026"/>
        <v>NM</v>
      </c>
      <c r="AA530" s="126">
        <v>1171.2</v>
      </c>
      <c r="AB530" s="79">
        <f t="shared" si="2027"/>
        <v>50.656032930280425</v>
      </c>
      <c r="AC530" s="131">
        <v>1615.5</v>
      </c>
      <c r="AD530" s="79" t="str">
        <f t="shared" si="2028"/>
        <v>NM</v>
      </c>
      <c r="AE530" s="131">
        <v>746.6</v>
      </c>
      <c r="AF530" s="79">
        <f t="shared" si="2029"/>
        <v>-44.391479219424987</v>
      </c>
      <c r="AG530" s="131">
        <v>1272.5</v>
      </c>
      <c r="AH530" s="79">
        <f t="shared" si="2030"/>
        <v>-8.1028381598902364</v>
      </c>
      <c r="AI530" s="131">
        <v>1481.1</v>
      </c>
      <c r="AJ530" s="79">
        <f t="shared" si="2031"/>
        <v>26.460040983606547</v>
      </c>
      <c r="AK530" s="131">
        <v>1173.3</v>
      </c>
      <c r="AL530" s="79">
        <f t="shared" si="2032"/>
        <v>-27.372330547818013</v>
      </c>
      <c r="AM530" s="131">
        <v>1820.5</v>
      </c>
      <c r="AN530" s="79" t="str">
        <f t="shared" si="2033"/>
        <v>NM</v>
      </c>
      <c r="AO530" s="131">
        <v>1167</v>
      </c>
      <c r="AP530" s="79">
        <f t="shared" si="2033"/>
        <v>-8.2907662082514761</v>
      </c>
      <c r="AQ530" s="131">
        <v>1163.5</v>
      </c>
      <c r="AR530" s="79">
        <f t="shared" si="2033"/>
        <v>-21.443521706839508</v>
      </c>
      <c r="AS530" s="131">
        <v>309.8</v>
      </c>
      <c r="AT530" s="81" t="str">
        <f t="shared" si="2033"/>
        <v>NM</v>
      </c>
      <c r="AU530" s="131">
        <v>51.7</v>
      </c>
      <c r="AV530" s="81" t="str">
        <f t="shared" si="2033"/>
        <v>NM</v>
      </c>
      <c r="AW530" s="131">
        <v>743.5</v>
      </c>
      <c r="AX530" s="81">
        <f t="shared" si="2033"/>
        <v>-36.289631533847476</v>
      </c>
      <c r="AY530" s="131">
        <v>612.79999999999995</v>
      </c>
      <c r="AZ530" s="81">
        <f t="shared" si="2033"/>
        <v>-47.331327889987108</v>
      </c>
      <c r="BA530" s="131">
        <v>543.70000000000005</v>
      </c>
      <c r="BB530" s="81">
        <f t="shared" si="2033"/>
        <v>75.500322788896071</v>
      </c>
      <c r="BC530" s="131">
        <v>103.7</v>
      </c>
      <c r="BD530" s="81" t="str">
        <f t="shared" si="2033"/>
        <v>NM</v>
      </c>
      <c r="BE530" s="131">
        <v>398.6</v>
      </c>
      <c r="BF530" s="81">
        <f t="shared" si="2034"/>
        <v>-46.388702084734355</v>
      </c>
      <c r="BG530" s="131">
        <v>463.5</v>
      </c>
      <c r="BH530" s="81">
        <f t="shared" si="2035"/>
        <v>-24.363577023498685</v>
      </c>
      <c r="BI530" s="131">
        <v>269.7</v>
      </c>
      <c r="BJ530" s="81" t="str">
        <f t="shared" si="2036"/>
        <v>NM</v>
      </c>
      <c r="BK530" s="131">
        <v>73</v>
      </c>
      <c r="BL530" s="81">
        <f t="shared" si="2037"/>
        <v>-29.604628736740601</v>
      </c>
      <c r="BM530" s="131">
        <v>-595.6</v>
      </c>
      <c r="BN530" s="81" t="str">
        <f t="shared" si="2038"/>
        <v>NM</v>
      </c>
      <c r="BO530" s="131">
        <v>-958.2</v>
      </c>
      <c r="BP530" s="81" t="str">
        <f t="shared" si="2039"/>
        <v>NM</v>
      </c>
      <c r="BQ530" s="131">
        <v>-1080</v>
      </c>
      <c r="BR530" s="81" t="str">
        <f t="shared" si="2040"/>
        <v>NM</v>
      </c>
      <c r="BS530" s="131">
        <v>-291.89999999999998</v>
      </c>
      <c r="BT530" s="81" t="str">
        <f t="shared" si="2041"/>
        <v>NM</v>
      </c>
      <c r="BU530" s="131">
        <v>264.89999999999998</v>
      </c>
      <c r="BV530" s="81" t="str">
        <f t="shared" si="2042"/>
        <v>NM</v>
      </c>
      <c r="BW530" s="131">
        <f>379.6+370.8-78.7-330.7</f>
        <v>341.00000000000006</v>
      </c>
      <c r="BX530" s="81" t="str">
        <f t="shared" si="2043"/>
        <v>NM</v>
      </c>
      <c r="BY530" s="131">
        <f>499.2+356.8-141-312.1</f>
        <v>402.9</v>
      </c>
      <c r="BZ530" s="81" t="str">
        <f t="shared" si="2044"/>
        <v>NM</v>
      </c>
      <c r="CA530" s="131">
        <f>476.4+424.7-156.7-306.5</f>
        <v>437.89999999999986</v>
      </c>
      <c r="CB530" s="81" t="str">
        <f t="shared" si="2045"/>
        <v>NM</v>
      </c>
      <c r="CC530" s="131">
        <f>487.9+413-103.4-303.7</f>
        <v>493.8</v>
      </c>
      <c r="CD530" s="81">
        <f t="shared" si="2046"/>
        <v>86.409966024915093</v>
      </c>
      <c r="CE530" s="131">
        <f>416.1+361-107.1-318.6</f>
        <v>351.4</v>
      </c>
      <c r="CF530" s="81">
        <f t="shared" si="2047"/>
        <v>3.0498533724339971</v>
      </c>
      <c r="CG530" s="131">
        <f>449.3+351.1-80.6-313.5</f>
        <v>406.30000000000007</v>
      </c>
      <c r="CH530" s="81">
        <f t="shared" si="2048"/>
        <v>0.84388185654009629</v>
      </c>
      <c r="CI530" s="131">
        <f>471.7+355.9-82.8-308.8+8</f>
        <v>443.99999999999994</v>
      </c>
      <c r="CJ530" s="81">
        <f t="shared" si="2049"/>
        <v>1.3930121032199372</v>
      </c>
      <c r="CK530" s="131">
        <f>885.6+421.1-116.9-303.6</f>
        <v>886.19999999999993</v>
      </c>
      <c r="CL530" s="81">
        <f t="shared" si="2050"/>
        <v>79.465370595382723</v>
      </c>
      <c r="CM530" s="131">
        <f>614.8+408.7-117.6-444.1</f>
        <v>461.79999999999995</v>
      </c>
      <c r="CN530" s="81">
        <f t="shared" si="2051"/>
        <v>31.417188389299945</v>
      </c>
      <c r="CO530" s="131">
        <f>584.4+398-89.4-437.6</f>
        <v>455.4</v>
      </c>
      <c r="CP530" s="81">
        <f t="shared" si="2052"/>
        <v>12.084666502584263</v>
      </c>
      <c r="CQ530" s="131">
        <f>728.1+410.6-108-430.2</f>
        <v>600.5</v>
      </c>
      <c r="CR530" s="81">
        <f t="shared" si="2053"/>
        <v>35.247747747747773</v>
      </c>
      <c r="CS530" s="131">
        <f>892.2+400.3-78.6-423.6</f>
        <v>790.30000000000007</v>
      </c>
      <c r="CT530" s="81">
        <f t="shared" si="2054"/>
        <v>-10.821484992101094</v>
      </c>
      <c r="CU530" s="131">
        <f>873.5+401.6-72.6-574.5</f>
        <v>628</v>
      </c>
      <c r="CV530" s="81">
        <f t="shared" si="2055"/>
        <v>35.989605889995687</v>
      </c>
      <c r="CW530" s="131">
        <f>792.4+399.6-142.5-563.8</f>
        <v>485.70000000000005</v>
      </c>
      <c r="CX530" s="81">
        <f t="shared" si="2056"/>
        <v>6.6534914361001452</v>
      </c>
      <c r="CY530" s="131">
        <f>295.6+405.5-141.6-342.8</f>
        <v>216.7</v>
      </c>
      <c r="CZ530" s="81" t="str">
        <f t="shared" si="2057"/>
        <v>NM</v>
      </c>
      <c r="DA530" s="131">
        <f>427.4+397.2-73.4-341.6</f>
        <v>409.59999999999991</v>
      </c>
      <c r="DB530" s="81">
        <f t="shared" si="2058"/>
        <v>-48.171580412501605</v>
      </c>
      <c r="DC530" s="131">
        <f>135.7+396.3-47.1-229.9</f>
        <v>254.99999999999997</v>
      </c>
      <c r="DD530" s="81" t="str">
        <f t="shared" si="2059"/>
        <v>NM</v>
      </c>
      <c r="DE530" s="354">
        <f>(325.3+398-39.5-229.4)-1</f>
        <v>453.4</v>
      </c>
      <c r="DF530" s="81">
        <f t="shared" si="2060"/>
        <v>-6.650195593988073</v>
      </c>
      <c r="DG530" s="131">
        <f>501.2+369.5-9.3-229.5</f>
        <v>631.90000000000009</v>
      </c>
      <c r="DH530" s="81" t="str">
        <f t="shared" si="2061"/>
        <v>NM</v>
      </c>
      <c r="DI530" s="131">
        <f>462+383.5-69.5-227.4</f>
        <v>548.6</v>
      </c>
      <c r="DJ530" s="81">
        <f t="shared" si="2062"/>
        <v>33.935546875000043</v>
      </c>
      <c r="DK530" s="131">
        <f>290.3+391-113.4-401.5</f>
        <v>166.39999999999998</v>
      </c>
      <c r="DL530" s="81">
        <f t="shared" si="2063"/>
        <v>-34.745098039215684</v>
      </c>
      <c r="DM530" s="131">
        <f>414.3+411.9-167.4-398.4</f>
        <v>260.40000000000009</v>
      </c>
      <c r="DN530" s="81">
        <f t="shared" si="2064"/>
        <v>-42.567269519188336</v>
      </c>
      <c r="DO530" s="131">
        <f>112.1+391.7-102.5-397.9+1</f>
        <v>4.3999999999999773</v>
      </c>
      <c r="DP530" s="81" t="str">
        <f t="shared" si="2064"/>
        <v>NM</v>
      </c>
      <c r="DQ530" s="131">
        <f>158.6+405.1-146.6-395.1</f>
        <v>22</v>
      </c>
      <c r="DR530" s="81" t="str">
        <f t="shared" si="2065"/>
        <v>NM</v>
      </c>
      <c r="DS530" s="131">
        <f>204.3+378-173.6-392.6</f>
        <v>16.099999999999909</v>
      </c>
      <c r="DT530" s="81" t="str">
        <f t="shared" si="2066"/>
        <v>NM</v>
      </c>
      <c r="DU530" s="131">
        <f>438.4+351.8-200-389.5</f>
        <v>200.70000000000005</v>
      </c>
      <c r="DV530" s="81">
        <f t="shared" si="2067"/>
        <v>-22.926267281106007</v>
      </c>
      <c r="DW530" s="131">
        <f>661.1+343.6-279.4-385.5</f>
        <v>339.80000000000007</v>
      </c>
      <c r="DX530" s="81" t="str">
        <f t="shared" si="2068"/>
        <v>NM</v>
      </c>
      <c r="DY530" s="131">
        <f>803.2+335.2-305.2-382.5</f>
        <v>450.70000000000005</v>
      </c>
      <c r="DZ530" s="81" t="str">
        <f t="shared" si="2069"/>
        <v>NM</v>
      </c>
      <c r="EA530" s="131">
        <f>440.6+327.5-354-465.1</f>
        <v>-51</v>
      </c>
      <c r="EB530" s="81" t="str">
        <f t="shared" si="2070"/>
        <v>NM</v>
      </c>
      <c r="EC530" s="131">
        <f>483+316.8-336.9-462.5</f>
        <v>0.39999999999997726</v>
      </c>
      <c r="ED530" s="81" t="str">
        <f t="shared" si="2071"/>
        <v>NM</v>
      </c>
      <c r="EE530" s="131">
        <v>104.9</v>
      </c>
      <c r="EF530" s="81" t="str">
        <f t="shared" si="2072"/>
        <v>NM</v>
      </c>
      <c r="EG530" s="131">
        <f>557.4+290.7-265.3-458.5</f>
        <v>124.29999999999995</v>
      </c>
      <c r="EH530" s="81" t="str">
        <f t="shared" si="2073"/>
        <v>NM</v>
      </c>
      <c r="EI530" s="131">
        <f>607.8+282.3-254.5-508.1</f>
        <v>127.49999999999989</v>
      </c>
      <c r="EJ530" s="81" t="str">
        <f t="shared" si="2074"/>
        <v>NM</v>
      </c>
      <c r="EK530" s="131">
        <f t="shared" ref="EK530" si="2109">EI530</f>
        <v>127.49999999999989</v>
      </c>
      <c r="EL530" s="81" t="str">
        <f t="shared" si="2076"/>
        <v>NM</v>
      </c>
      <c r="EM530" s="131">
        <f t="shared" ref="EM530" si="2110">EK530</f>
        <v>127.49999999999989</v>
      </c>
      <c r="EN530" s="81">
        <f t="shared" si="2077"/>
        <v>21.544327931363092</v>
      </c>
      <c r="EO530" s="131">
        <f t="shared" ref="EO530" si="2111">EM530</f>
        <v>127.49999999999989</v>
      </c>
      <c r="EP530" s="81">
        <f t="shared" si="2078"/>
        <v>2.5744167337087065</v>
      </c>
      <c r="EQ530" s="131">
        <f t="shared" ref="EQ530" si="2112">EO530</f>
        <v>127.49999999999989</v>
      </c>
      <c r="ER530" s="81">
        <f t="shared" si="2079"/>
        <v>0</v>
      </c>
      <c r="ES530" s="327"/>
      <c r="ET530" s="490"/>
      <c r="EU530" s="327"/>
      <c r="EV530" s="131">
        <v>914.7</v>
      </c>
      <c r="EW530" s="79"/>
      <c r="EX530" s="131">
        <v>-18.899999999999636</v>
      </c>
      <c r="EY530" s="79" t="str">
        <f t="shared" si="2080"/>
        <v>NM</v>
      </c>
      <c r="EZ530" s="145"/>
      <c r="FA530" s="79" t="str">
        <f t="shared" si="2081"/>
        <v>NM</v>
      </c>
      <c r="FB530" s="145">
        <f>K530</f>
        <v>48</v>
      </c>
      <c r="FC530" s="79" t="str">
        <f t="shared" si="2082"/>
        <v>NA</v>
      </c>
      <c r="FD530" s="145">
        <f>+S530</f>
        <v>777.4</v>
      </c>
      <c r="FE530" s="79" t="str">
        <f t="shared" si="2083"/>
        <v>NM</v>
      </c>
      <c r="FF530" s="145">
        <f>+AA530</f>
        <v>1171.2</v>
      </c>
      <c r="FG530" s="79">
        <f t="shared" si="2084"/>
        <v>50.656032930280425</v>
      </c>
      <c r="FH530" s="192">
        <f>+AI530</f>
        <v>1481.1</v>
      </c>
      <c r="FI530" s="79">
        <f t="shared" si="2085"/>
        <v>26.460040983606547</v>
      </c>
      <c r="FJ530" s="340">
        <f>+AQ530</f>
        <v>1163.5</v>
      </c>
      <c r="FK530" s="79">
        <f t="shared" si="2086"/>
        <v>-21.443521706839508</v>
      </c>
      <c r="FL530" s="381">
        <f>AY530</f>
        <v>612.79999999999995</v>
      </c>
      <c r="FM530" s="79">
        <f t="shared" si="2087"/>
        <v>-47.331327889987108</v>
      </c>
      <c r="FN530" s="381">
        <f>BG530</f>
        <v>463.5</v>
      </c>
      <c r="FO530" s="79">
        <f t="shared" si="2088"/>
        <v>-24.363577023498685</v>
      </c>
      <c r="FP530" s="192">
        <f>BO530</f>
        <v>-958.2</v>
      </c>
      <c r="FQ530" s="79" t="str">
        <f t="shared" si="2089"/>
        <v>NM</v>
      </c>
      <c r="FR530" s="192">
        <f>BW530</f>
        <v>341.00000000000006</v>
      </c>
      <c r="FS530" s="79" t="str">
        <f t="shared" si="2090"/>
        <v>NM</v>
      </c>
      <c r="FT530" s="192">
        <f>CE530</f>
        <v>351.4</v>
      </c>
      <c r="FU530" s="79">
        <f t="shared" si="2091"/>
        <v>3.0498533724339971</v>
      </c>
      <c r="FV530" s="192">
        <f>CM530</f>
        <v>461.79999999999995</v>
      </c>
      <c r="FW530" s="79">
        <f t="shared" si="2092"/>
        <v>31.417188389299945</v>
      </c>
      <c r="FX530" s="192">
        <f>CU530</f>
        <v>628</v>
      </c>
      <c r="FY530" s="79">
        <f t="shared" si="2093"/>
        <v>35.989605889995687</v>
      </c>
      <c r="FZ530" s="192">
        <f>DC530</f>
        <v>254.99999999999997</v>
      </c>
      <c r="GA530" s="79" t="str">
        <f t="shared" si="2094"/>
        <v>NM</v>
      </c>
      <c r="GB530" s="192">
        <f>DK530</f>
        <v>166.39999999999998</v>
      </c>
      <c r="GC530" s="79">
        <f t="shared" si="2094"/>
        <v>-34.745098039215684</v>
      </c>
      <c r="GD530" s="192">
        <f>DS530</f>
        <v>16.099999999999909</v>
      </c>
      <c r="GE530" s="79" t="str">
        <f t="shared" si="2094"/>
        <v>NM</v>
      </c>
      <c r="GF530" s="192">
        <f>EA530</f>
        <v>-51</v>
      </c>
      <c r="GG530" s="79" t="str">
        <f t="shared" si="2094"/>
        <v>NM</v>
      </c>
      <c r="GH530" s="192">
        <f>EI530</f>
        <v>127.49999999999989</v>
      </c>
      <c r="GI530" s="79" t="str">
        <f t="shared" si="2094"/>
        <v>NM</v>
      </c>
      <c r="GJ530" s="192">
        <f>EQ530</f>
        <v>127.49999999999989</v>
      </c>
      <c r="GK530" s="79">
        <f t="shared" si="2094"/>
        <v>0</v>
      </c>
      <c r="GL530" s="192">
        <f>GJ530</f>
        <v>127.49999999999989</v>
      </c>
      <c r="GM530" s="79">
        <f t="shared" si="2094"/>
        <v>0</v>
      </c>
      <c r="GN530" s="192">
        <f>GL530</f>
        <v>127.49999999999989</v>
      </c>
      <c r="GO530" s="79">
        <f t="shared" si="2094"/>
        <v>0</v>
      </c>
      <c r="GP530" s="192">
        <f>GN530</f>
        <v>127.49999999999989</v>
      </c>
      <c r="GQ530" s="79">
        <f t="shared" si="2094"/>
        <v>0</v>
      </c>
      <c r="GR530" s="192">
        <f>GP530</f>
        <v>127.49999999999989</v>
      </c>
      <c r="GS530" s="79">
        <f t="shared" si="2095"/>
        <v>0</v>
      </c>
      <c r="GT530" s="79">
        <f t="shared" si="2096"/>
        <v>0</v>
      </c>
    </row>
    <row r="531" spans="1:202" ht="12.75" customHeight="1" x14ac:dyDescent="0.2">
      <c r="A531" s="1" t="s">
        <v>337</v>
      </c>
      <c r="B531" s="2" t="s">
        <v>136</v>
      </c>
      <c r="C531" s="79"/>
      <c r="D531" s="79"/>
      <c r="E531" s="340">
        <f t="shared" ref="E531:Q531" si="2113">E529-E530</f>
        <v>5586.6</v>
      </c>
      <c r="F531" s="340"/>
      <c r="G531" s="340">
        <f t="shared" si="2113"/>
        <v>5704.5</v>
      </c>
      <c r="H531" s="340"/>
      <c r="I531" s="340">
        <f t="shared" si="2113"/>
        <v>5799.0999999999995</v>
      </c>
      <c r="J531" s="340"/>
      <c r="K531" s="340">
        <f t="shared" si="2113"/>
        <v>5891.9</v>
      </c>
      <c r="L531" s="79"/>
      <c r="M531" s="340">
        <f t="shared" si="2113"/>
        <v>5943.5999999999995</v>
      </c>
      <c r="N531" s="79">
        <f t="shared" si="2020"/>
        <v>6.3902910535925006</v>
      </c>
      <c r="O531" s="340">
        <f t="shared" si="2113"/>
        <v>5958.1</v>
      </c>
      <c r="P531" s="79">
        <f t="shared" si="2021"/>
        <v>4.4456131124550824</v>
      </c>
      <c r="Q531" s="340">
        <f t="shared" si="2113"/>
        <v>6034.2</v>
      </c>
      <c r="R531" s="79">
        <f t="shared" si="2022"/>
        <v>4.0540773568312316</v>
      </c>
      <c r="S531" s="340">
        <f>S529-S530</f>
        <v>6065.8</v>
      </c>
      <c r="T531" s="79">
        <f t="shared" si="2023"/>
        <v>2.9515096997573043</v>
      </c>
      <c r="U531" s="340">
        <f>U529-U530</f>
        <v>5784.8</v>
      </c>
      <c r="V531" s="79">
        <f t="shared" si="2024"/>
        <v>-2.6717814119388783</v>
      </c>
      <c r="W531" s="340">
        <f>W529-W530</f>
        <v>6376.9</v>
      </c>
      <c r="X531" s="79">
        <f t="shared" si="2025"/>
        <v>7.0290864537352338</v>
      </c>
      <c r="Y531" s="340">
        <f>Y529-Y530</f>
        <v>6465.6</v>
      </c>
      <c r="Z531" s="79">
        <f t="shared" si="2026"/>
        <v>7.1492492791090934</v>
      </c>
      <c r="AA531" s="345">
        <f>AA529-AA530</f>
        <v>6099.8</v>
      </c>
      <c r="AB531" s="79">
        <f t="shared" si="2027"/>
        <v>0.56051963467309562</v>
      </c>
      <c r="AC531" s="340">
        <f>AC529-AC530</f>
        <v>5518.8</v>
      </c>
      <c r="AD531" s="79">
        <f t="shared" si="2028"/>
        <v>-4.5982575024201333</v>
      </c>
      <c r="AE531" s="340">
        <f>AE529-AE530</f>
        <v>5479.7999999999993</v>
      </c>
      <c r="AF531" s="79">
        <f t="shared" si="2029"/>
        <v>-14.067964057771022</v>
      </c>
      <c r="AG531" s="340">
        <f>AG529-AG530</f>
        <v>5627.9</v>
      </c>
      <c r="AH531" s="79">
        <f t="shared" si="2030"/>
        <v>-12.956260826528098</v>
      </c>
      <c r="AI531" s="340">
        <f>AI529-AI530</f>
        <v>5743</v>
      </c>
      <c r="AJ531" s="79">
        <f t="shared" si="2031"/>
        <v>-5.8493721105610019</v>
      </c>
      <c r="AK531" s="340">
        <f>AK529-AK530</f>
        <v>5879.0999999999995</v>
      </c>
      <c r="AL531" s="79">
        <f t="shared" si="2032"/>
        <v>6.528593172428776</v>
      </c>
      <c r="AM531" s="340">
        <f>AM529-AM530</f>
        <v>6034.1</v>
      </c>
      <c r="AN531" s="79">
        <f t="shared" si="2033"/>
        <v>10.115332676375077</v>
      </c>
      <c r="AO531" s="340">
        <f>AO529-AO530</f>
        <v>6070.7</v>
      </c>
      <c r="AP531" s="79">
        <f t="shared" si="2033"/>
        <v>7.8679436379466727</v>
      </c>
      <c r="AQ531" s="340">
        <f>AQ529-AQ530</f>
        <v>6200.4</v>
      </c>
      <c r="AR531" s="79">
        <f t="shared" si="2033"/>
        <v>7.9644784955598125</v>
      </c>
      <c r="AS531" s="340">
        <f>AS529-AS530</f>
        <v>6258.2</v>
      </c>
      <c r="AT531" s="81">
        <f t="shared" si="2033"/>
        <v>6.4482658910377522</v>
      </c>
      <c r="AU531" s="340">
        <f>AU529-AU530</f>
        <v>6935.2</v>
      </c>
      <c r="AV531" s="81">
        <f t="shared" si="2033"/>
        <v>14.933461493843314</v>
      </c>
      <c r="AW531" s="340">
        <f>AW529-AW530</f>
        <v>6850.9</v>
      </c>
      <c r="AX531" s="81">
        <f t="shared" si="2033"/>
        <v>12.851895168596705</v>
      </c>
      <c r="AY531" s="340">
        <f>AY529-AY530</f>
        <v>7106</v>
      </c>
      <c r="AZ531" s="81">
        <f t="shared" si="2033"/>
        <v>14.605509321979238</v>
      </c>
      <c r="BA531" s="340">
        <f>BA529-BA530</f>
        <v>6832.9000000000005</v>
      </c>
      <c r="BB531" s="81">
        <f t="shared" si="2033"/>
        <v>9.1831517049631106</v>
      </c>
      <c r="BC531" s="340">
        <f>BC529-BC530</f>
        <v>7267.9000000000005</v>
      </c>
      <c r="BD531" s="81">
        <f t="shared" si="2033"/>
        <v>4.7972661206598266</v>
      </c>
      <c r="BE531" s="340">
        <f>BE529-BE530</f>
        <v>7432.2</v>
      </c>
      <c r="BF531" s="81">
        <f t="shared" si="2034"/>
        <v>8.4850165671663582</v>
      </c>
      <c r="BG531" s="340">
        <f>BG529-BG530</f>
        <v>7576.4</v>
      </c>
      <c r="BH531" s="81">
        <f t="shared" si="2035"/>
        <v>6.6197579510272941</v>
      </c>
      <c r="BI531" s="340">
        <f>BI529-BI530</f>
        <v>7368.7</v>
      </c>
      <c r="BJ531" s="81">
        <f t="shared" si="2036"/>
        <v>7.8414728738895434</v>
      </c>
      <c r="BK531" s="340">
        <f>BK529-BK530</f>
        <v>7591.3</v>
      </c>
      <c r="BL531" s="81">
        <f t="shared" si="2037"/>
        <v>4.4497034906919364</v>
      </c>
      <c r="BM531" s="340">
        <f>BM529-BM530</f>
        <v>7331.5</v>
      </c>
      <c r="BN531" s="81">
        <f t="shared" si="2038"/>
        <v>-1.3549150991631009</v>
      </c>
      <c r="BO531" s="340">
        <f>BO529-BO530</f>
        <v>7356.0999999999995</v>
      </c>
      <c r="BP531" s="81">
        <f t="shared" si="2039"/>
        <v>-2.9077134259014814</v>
      </c>
      <c r="BQ531" s="340">
        <f>BQ529-BQ530</f>
        <v>7502.6</v>
      </c>
      <c r="BR531" s="81">
        <f t="shared" si="2040"/>
        <v>1.8171454937777387</v>
      </c>
      <c r="BS531" s="340">
        <f>BS529-BS530</f>
        <v>7770.2999999999993</v>
      </c>
      <c r="BT531" s="81">
        <f t="shared" si="2041"/>
        <v>2.3579624043312597</v>
      </c>
      <c r="BU531" s="340">
        <f>BU529-BU530</f>
        <v>7978.1</v>
      </c>
      <c r="BV531" s="81">
        <f t="shared" si="2042"/>
        <v>8.8194775966718986</v>
      </c>
      <c r="BW531" s="340">
        <f>BW529-BW530</f>
        <v>8159.1</v>
      </c>
      <c r="BX531" s="81">
        <f t="shared" si="2043"/>
        <v>10.916110438955439</v>
      </c>
      <c r="BY531" s="340">
        <f>BY529-BY530</f>
        <v>8377.3000000000011</v>
      </c>
      <c r="BZ531" s="81">
        <f t="shared" si="2044"/>
        <v>11.658625009996548</v>
      </c>
      <c r="CA531" s="340">
        <f>CA529-CA530</f>
        <v>8433.8000000000011</v>
      </c>
      <c r="CB531" s="81">
        <f t="shared" si="2045"/>
        <v>8.5389238510739762</v>
      </c>
      <c r="CC531" s="340">
        <f>CC529-CC530</f>
        <v>8430.3000000000011</v>
      </c>
      <c r="CD531" s="81">
        <f t="shared" si="2046"/>
        <v>5.6680161943319929</v>
      </c>
      <c r="CE531" s="340">
        <f>CE529-CE530</f>
        <v>8133.5</v>
      </c>
      <c r="CF531" s="81">
        <f t="shared" si="2047"/>
        <v>-0.31376009608903299</v>
      </c>
      <c r="CG531" s="340">
        <f>CG529-CG530</f>
        <v>8115.9000000000005</v>
      </c>
      <c r="CH531" s="81">
        <f t="shared" si="2048"/>
        <v>-3.1203371014527415</v>
      </c>
      <c r="CI531" s="340">
        <f>CI529-CI530</f>
        <v>8173.7999999999993</v>
      </c>
      <c r="CJ531" s="81">
        <f t="shared" si="2049"/>
        <v>-3.0828333609998038</v>
      </c>
      <c r="CK531" s="340">
        <f>CK529-CK530</f>
        <v>8573.9</v>
      </c>
      <c r="CL531" s="81">
        <f t="shared" si="2050"/>
        <v>1.7033794764124366</v>
      </c>
      <c r="CM531" s="340">
        <f>CM529-CM530</f>
        <v>7707.9</v>
      </c>
      <c r="CN531" s="81">
        <f t="shared" si="2051"/>
        <v>-5.2326796582037316</v>
      </c>
      <c r="CO531" s="340">
        <f>CO529-CO530</f>
        <v>7724.5</v>
      </c>
      <c r="CP531" s="81">
        <f t="shared" si="2052"/>
        <v>-4.8226321172020414</v>
      </c>
      <c r="CQ531" s="340">
        <f>CQ529-CQ530</f>
        <v>7785.4</v>
      </c>
      <c r="CR531" s="81">
        <f t="shared" si="2053"/>
        <v>-4.7517678435978317</v>
      </c>
      <c r="CS531" s="340">
        <f>CS529-CS530</f>
        <v>7882.9999999999991</v>
      </c>
      <c r="CT531" s="81">
        <f t="shared" si="2054"/>
        <v>-8.0581765590921339</v>
      </c>
      <c r="CU531" s="340">
        <f>CU529-CU530</f>
        <v>7984.6</v>
      </c>
      <c r="CV531" s="81">
        <f t="shared" si="2055"/>
        <v>3.5898234279116314</v>
      </c>
      <c r="CW531" s="340">
        <f>CW529-CW530</f>
        <v>8072.0999999999995</v>
      </c>
      <c r="CX531" s="81">
        <f t="shared" si="2056"/>
        <v>4.4999676354456453</v>
      </c>
      <c r="CY531" s="340">
        <f>CY529-CY530</f>
        <v>8163.9000000000005</v>
      </c>
      <c r="CZ531" s="81">
        <f t="shared" si="2057"/>
        <v>4.8616641405708316</v>
      </c>
      <c r="DA531" s="340">
        <f>DA529-DA530</f>
        <v>8260.2999999999993</v>
      </c>
      <c r="DB531" s="81">
        <f t="shared" si="2058"/>
        <v>4.7862488900164868</v>
      </c>
      <c r="DC531" s="340">
        <f>DC529-DC530</f>
        <v>8384.9</v>
      </c>
      <c r="DD531" s="81">
        <f t="shared" si="2059"/>
        <v>5.0134007965333183</v>
      </c>
      <c r="DE531" s="340">
        <f>DE529-DE530</f>
        <v>8480</v>
      </c>
      <c r="DF531" s="81">
        <f t="shared" si="2060"/>
        <v>5.0532079632313875</v>
      </c>
      <c r="DG531" s="340">
        <f>DG529-DG530</f>
        <v>8611.8000000000011</v>
      </c>
      <c r="DH531" s="81">
        <f t="shared" si="2061"/>
        <v>5.486348436409072</v>
      </c>
      <c r="DI531" s="340">
        <f>DI529-DI530</f>
        <v>8694.4</v>
      </c>
      <c r="DJ531" s="81">
        <f t="shared" si="2062"/>
        <v>5.2552570729876624</v>
      </c>
      <c r="DK531" s="340">
        <f>DK529-DK530</f>
        <v>8355.5</v>
      </c>
      <c r="DL531" s="81">
        <f t="shared" si="2063"/>
        <v>-0.35063029970542336</v>
      </c>
      <c r="DM531" s="340">
        <f>DM529-DM530</f>
        <v>8427.5</v>
      </c>
      <c r="DN531" s="81">
        <f t="shared" si="2064"/>
        <v>-0.61910377358490587</v>
      </c>
      <c r="DO531" s="340">
        <f>DO529-DO530</f>
        <v>8511.3000000000011</v>
      </c>
      <c r="DP531" s="81">
        <f t="shared" si="2064"/>
        <v>-1.1670034139204311</v>
      </c>
      <c r="DQ531" s="340">
        <f>DQ529-DQ530</f>
        <v>8559.1</v>
      </c>
      <c r="DR531" s="81">
        <f t="shared" si="2065"/>
        <v>-1.556174089068818</v>
      </c>
      <c r="DS531" s="340">
        <f>DS529-DS530</f>
        <v>8647.7999999999993</v>
      </c>
      <c r="DT531" s="81">
        <f t="shared" si="2066"/>
        <v>3.4982945365328089</v>
      </c>
      <c r="DU531" s="340">
        <f>DU529-DU530</f>
        <v>8719.5999999999985</v>
      </c>
      <c r="DV531" s="81">
        <f t="shared" si="2067"/>
        <v>3.466033817858194</v>
      </c>
      <c r="DW531" s="340">
        <f>DW529-DW530</f>
        <v>8817.2000000000007</v>
      </c>
      <c r="DX531" s="81">
        <f t="shared" si="2068"/>
        <v>3.5940455629574819</v>
      </c>
      <c r="DY531" s="340">
        <f>DY529-DY530</f>
        <v>8910.5</v>
      </c>
      <c r="DZ531" s="81">
        <f t="shared" si="2069"/>
        <v>4.1055718475073277</v>
      </c>
      <c r="EA531" s="340">
        <f>EA529-EA530</f>
        <v>9019</v>
      </c>
      <c r="EB531" s="81">
        <f t="shared" si="2070"/>
        <v>4.292421193829643</v>
      </c>
      <c r="EC531" s="340">
        <f>EC529-EC530</f>
        <v>9103.2799999999988</v>
      </c>
      <c r="ED531" s="81">
        <f t="shared" si="2071"/>
        <v>4.4002018441212876</v>
      </c>
      <c r="EE531" s="340">
        <f>EE529-EE530</f>
        <v>9211.7000000000007</v>
      </c>
      <c r="EF531" s="81">
        <f t="shared" si="2072"/>
        <v>4.47420949961439</v>
      </c>
      <c r="EG531" s="340">
        <f>EG529-EG530</f>
        <v>9324.3000000000011</v>
      </c>
      <c r="EH531" s="81">
        <f t="shared" si="2073"/>
        <v>4.6439593737725327</v>
      </c>
      <c r="EI531" s="340">
        <f>EI529-EI530</f>
        <v>9447.4</v>
      </c>
      <c r="EJ531" s="81">
        <f t="shared" si="2074"/>
        <v>4.7499722807406553</v>
      </c>
      <c r="EK531" s="340">
        <f t="shared" ref="EK531:EQ531" si="2114">EK529-EK530</f>
        <v>9558.4828303240956</v>
      </c>
      <c r="EL531" s="81">
        <f t="shared" si="2076"/>
        <v>5.0004265531115921</v>
      </c>
      <c r="EM531" s="340">
        <f t="shared" si="2114"/>
        <v>9685.2669541748146</v>
      </c>
      <c r="EN531" s="81">
        <f t="shared" si="2077"/>
        <v>5.1409289726631835</v>
      </c>
      <c r="EO531" s="340">
        <f t="shared" si="2114"/>
        <v>9806.1279088450246</v>
      </c>
      <c r="EP531" s="81">
        <f t="shared" si="2078"/>
        <v>5.1674432273202564</v>
      </c>
      <c r="EQ531" s="340">
        <f t="shared" si="2114"/>
        <v>9930.3287902548473</v>
      </c>
      <c r="ER531" s="81">
        <f t="shared" si="2079"/>
        <v>5.1117639800881465</v>
      </c>
      <c r="ES531" s="327"/>
      <c r="ET531" s="490"/>
      <c r="EU531" s="327"/>
      <c r="EV531" s="340">
        <f t="shared" ref="EV531:FJ531" si="2115">EV529-EV530</f>
        <v>5231.5</v>
      </c>
      <c r="EW531" s="79"/>
      <c r="EX531" s="340">
        <f t="shared" si="2115"/>
        <v>5001.0999999999995</v>
      </c>
      <c r="EY531" s="79">
        <f t="shared" si="2080"/>
        <v>-4.4040906049890189</v>
      </c>
      <c r="EZ531" s="340"/>
      <c r="FA531" s="79" t="str">
        <f t="shared" si="2081"/>
        <v>NM</v>
      </c>
      <c r="FB531" s="340">
        <f t="shared" si="2115"/>
        <v>5891.9</v>
      </c>
      <c r="FC531" s="79" t="str">
        <f t="shared" si="2082"/>
        <v>NA</v>
      </c>
      <c r="FD531" s="340">
        <f t="shared" si="2115"/>
        <v>6065.8</v>
      </c>
      <c r="FE531" s="79">
        <f t="shared" si="2083"/>
        <v>2.9515096997573043</v>
      </c>
      <c r="FF531" s="340">
        <f t="shared" si="2115"/>
        <v>6099.8</v>
      </c>
      <c r="FG531" s="79">
        <f t="shared" si="2084"/>
        <v>0.56051963467309562</v>
      </c>
      <c r="FH531" s="340">
        <f t="shared" si="2115"/>
        <v>5743</v>
      </c>
      <c r="FI531" s="79">
        <f t="shared" si="2085"/>
        <v>-5.8493721105610019</v>
      </c>
      <c r="FJ531" s="340">
        <f t="shared" si="2115"/>
        <v>6200.4</v>
      </c>
      <c r="FK531" s="79">
        <f t="shared" si="2086"/>
        <v>7.9644784955598125</v>
      </c>
      <c r="FL531" s="340">
        <f>FL529-FL530</f>
        <v>7106</v>
      </c>
      <c r="FM531" s="79">
        <f t="shared" si="2087"/>
        <v>14.605509321979238</v>
      </c>
      <c r="FN531" s="340">
        <f>FN529-FN530</f>
        <v>7576.4</v>
      </c>
      <c r="FO531" s="79">
        <f t="shared" si="2088"/>
        <v>6.6197579510272941</v>
      </c>
      <c r="FP531" s="340">
        <f>FP529-FP530</f>
        <v>7356.0999999999995</v>
      </c>
      <c r="FQ531" s="79">
        <f t="shared" si="2089"/>
        <v>-2.9077134259014814</v>
      </c>
      <c r="FR531" s="340">
        <f>FR529-FR530</f>
        <v>8159.1</v>
      </c>
      <c r="FS531" s="79">
        <f t="shared" si="2090"/>
        <v>10.916110438955439</v>
      </c>
      <c r="FT531" s="340">
        <f>FT529-FT530</f>
        <v>8133.5</v>
      </c>
      <c r="FU531" s="79">
        <f t="shared" si="2091"/>
        <v>-0.31376009608903299</v>
      </c>
      <c r="FV531" s="340">
        <f>FV529-FV530</f>
        <v>7707.9</v>
      </c>
      <c r="FW531" s="79">
        <f t="shared" si="2092"/>
        <v>-5.2326796582037316</v>
      </c>
      <c r="FX531" s="340">
        <f>FX529-FX530</f>
        <v>7984.6</v>
      </c>
      <c r="FY531" s="79">
        <f t="shared" si="2093"/>
        <v>3.5898234279116314</v>
      </c>
      <c r="FZ531" s="340">
        <f>FZ529-FZ530</f>
        <v>8384.9</v>
      </c>
      <c r="GA531" s="79">
        <f t="shared" si="2094"/>
        <v>5.0134007965333183</v>
      </c>
      <c r="GB531" s="340">
        <f>GB529-GB530</f>
        <v>8355.5</v>
      </c>
      <c r="GC531" s="79">
        <f t="shared" si="2094"/>
        <v>-0.35063029970542336</v>
      </c>
      <c r="GD531" s="340">
        <f>GD529-GD530</f>
        <v>8647.7999999999993</v>
      </c>
      <c r="GE531" s="79">
        <f t="shared" si="2094"/>
        <v>3.4982945365328089</v>
      </c>
      <c r="GF531" s="340">
        <f>GF529-GF530</f>
        <v>9019</v>
      </c>
      <c r="GG531" s="79">
        <f t="shared" si="2094"/>
        <v>4.292421193829643</v>
      </c>
      <c r="GH531" s="340">
        <f>GH529-GH530</f>
        <v>9447.4</v>
      </c>
      <c r="GI531" s="79">
        <f t="shared" si="2094"/>
        <v>4.7499722807406553</v>
      </c>
      <c r="GJ531" s="340">
        <f>GJ529-GJ530</f>
        <v>9930.3287902548473</v>
      </c>
      <c r="GK531" s="79">
        <f t="shared" si="2094"/>
        <v>5.1117639800881465</v>
      </c>
      <c r="GL531" s="340">
        <f>GL529-GL530</f>
        <v>10429.202729138586</v>
      </c>
      <c r="GM531" s="79">
        <f t="shared" si="2094"/>
        <v>5.0237403959203286</v>
      </c>
      <c r="GN531" s="340">
        <f>GN529-GN530</f>
        <v>10920.977516748733</v>
      </c>
      <c r="GO531" s="79">
        <f t="shared" si="2094"/>
        <v>4.7153632006419643</v>
      </c>
      <c r="GP531" s="340">
        <f>GP529-GP530</f>
        <v>11433.772349577594</v>
      </c>
      <c r="GQ531" s="79">
        <f t="shared" si="2094"/>
        <v>4.6955030540299481</v>
      </c>
      <c r="GR531" s="340">
        <f>GR529-GR530</f>
        <v>11937.160699800681</v>
      </c>
      <c r="GS531" s="79">
        <f t="shared" si="2095"/>
        <v>4.4026445064011099</v>
      </c>
      <c r="GT531" s="79">
        <f t="shared" si="2096"/>
        <v>4.7894949863732661</v>
      </c>
    </row>
    <row r="532" spans="1:202" ht="12.75" customHeight="1" x14ac:dyDescent="0.2">
      <c r="A532" s="1" t="s">
        <v>338</v>
      </c>
      <c r="B532" s="2" t="s">
        <v>506</v>
      </c>
      <c r="C532" s="79"/>
      <c r="D532" s="79"/>
      <c r="E532" s="145">
        <f>EV529</f>
        <v>6146.2</v>
      </c>
      <c r="F532" s="145"/>
      <c r="G532" s="145">
        <f>AVERAGE(G529,E529)</f>
        <v>5783.1</v>
      </c>
      <c r="H532" s="145"/>
      <c r="I532" s="145">
        <f>AVERAGE(I529,G529)</f>
        <v>5889.2</v>
      </c>
      <c r="J532" s="145"/>
      <c r="K532" s="145">
        <f>AVERAGE(K529,I529)</f>
        <v>5983.0499999999993</v>
      </c>
      <c r="L532" s="79"/>
      <c r="M532" s="145">
        <f>AVERAGE(M529,K529)</f>
        <v>5837.9</v>
      </c>
      <c r="N532" s="79">
        <f t="shared" si="2020"/>
        <v>-5.0161075135856326</v>
      </c>
      <c r="O532" s="145">
        <f>AVERAGE(O529,M529)</f>
        <v>5935.95</v>
      </c>
      <c r="P532" s="79">
        <f t="shared" si="2021"/>
        <v>2.6430461171343955</v>
      </c>
      <c r="Q532" s="145">
        <f>AVERAGE(Q529,O529)</f>
        <v>6403.1</v>
      </c>
      <c r="R532" s="79">
        <f t="shared" si="2022"/>
        <v>8.7261427698159366</v>
      </c>
      <c r="S532" s="145">
        <f>AVERAGE(S529,Q529)</f>
        <v>6756.7</v>
      </c>
      <c r="T532" s="79">
        <f t="shared" si="2023"/>
        <v>12.930695882534838</v>
      </c>
      <c r="U532" s="145">
        <f>AVERAGE(U529,S529)</f>
        <v>6694.25</v>
      </c>
      <c r="V532" s="79">
        <f t="shared" si="2024"/>
        <v>14.668802137755033</v>
      </c>
      <c r="W532" s="145">
        <f>AVERAGE(W529,U529)</f>
        <v>7132.4</v>
      </c>
      <c r="X532" s="79">
        <f t="shared" si="2025"/>
        <v>20.155998618586747</v>
      </c>
      <c r="Y532" s="145">
        <f>AVERAGE(Y529,W529)</f>
        <v>7784.9</v>
      </c>
      <c r="Z532" s="79">
        <f t="shared" si="2026"/>
        <v>21.580172104137052</v>
      </c>
      <c r="AA532" s="267">
        <f>AVERAGE(AA529,Y529)</f>
        <v>7560.65</v>
      </c>
      <c r="AB532" s="79">
        <f t="shared" si="2027"/>
        <v>11.898559947903564</v>
      </c>
      <c r="AC532" s="145">
        <f>AVERAGE(AC529,AA529)</f>
        <v>7202.65</v>
      </c>
      <c r="AD532" s="79">
        <f t="shared" si="2028"/>
        <v>7.5945774358591178</v>
      </c>
      <c r="AE532" s="145">
        <f>AVERAGE(AE529,AC529)</f>
        <v>6680.35</v>
      </c>
      <c r="AF532" s="79">
        <f t="shared" si="2029"/>
        <v>-6.3379788009646054</v>
      </c>
      <c r="AG532" s="145">
        <f>AVERAGE(AG529,AE529)</f>
        <v>6563.4</v>
      </c>
      <c r="AH532" s="79">
        <f t="shared" si="2030"/>
        <v>-15.690631864250026</v>
      </c>
      <c r="AI532" s="145">
        <f>AVERAGE(AI529,AG529)</f>
        <v>7062.25</v>
      </c>
      <c r="AJ532" s="79">
        <f t="shared" si="2031"/>
        <v>-6.5920258178860269</v>
      </c>
      <c r="AK532" s="145">
        <f>AVERAGE(AK529,AI529)</f>
        <v>7138.25</v>
      </c>
      <c r="AL532" s="79">
        <f t="shared" si="2032"/>
        <v>-0.89411536031877015</v>
      </c>
      <c r="AM532" s="145">
        <f>AVERAGE(AM529,AK529)</f>
        <v>7453.5</v>
      </c>
      <c r="AN532" s="79">
        <f t="shared" si="2033"/>
        <v>11.573495400690081</v>
      </c>
      <c r="AO532" s="145">
        <f>AVERAGE(AO529,AM529)</f>
        <v>7546.15</v>
      </c>
      <c r="AP532" s="79">
        <f t="shared" si="2033"/>
        <v>14.973184629917412</v>
      </c>
      <c r="AQ532" s="145">
        <f>AVERAGE(AQ529,AO529)</f>
        <v>7300.7999999999993</v>
      </c>
      <c r="AR532" s="79">
        <f t="shared" si="2033"/>
        <v>3.3778186838472113</v>
      </c>
      <c r="AS532" s="145">
        <f>AVERAGE(AS529,AQ529)</f>
        <v>6965.95</v>
      </c>
      <c r="AT532" s="81">
        <f t="shared" si="2033"/>
        <v>-2.4137568731832038</v>
      </c>
      <c r="AU532" s="145">
        <f>AVERAGE(AU529,AS529)</f>
        <v>6777.45</v>
      </c>
      <c r="AV532" s="81">
        <f t="shared" si="2033"/>
        <v>-9.0702354598510837</v>
      </c>
      <c r="AW532" s="145">
        <f>AVERAGE(AW529,AU529)</f>
        <v>7290.65</v>
      </c>
      <c r="AX532" s="81">
        <f t="shared" si="2033"/>
        <v>-3.3858325106179921</v>
      </c>
      <c r="AY532" s="145">
        <f>AVERAGE(AY529,AW529)</f>
        <v>7656.6</v>
      </c>
      <c r="AZ532" s="81">
        <f t="shared" si="2033"/>
        <v>4.8734385272847014</v>
      </c>
      <c r="BA532" s="145">
        <f>AVERAGE(BA529,AY529)</f>
        <v>7547.7000000000007</v>
      </c>
      <c r="BB532" s="81">
        <f t="shared" si="2033"/>
        <v>8.3513375777891206</v>
      </c>
      <c r="BC532" s="145">
        <f>AVERAGE(BC529,BA529)</f>
        <v>7374.1</v>
      </c>
      <c r="BD532" s="81">
        <f t="shared" si="2033"/>
        <v>8.8034585279124222</v>
      </c>
      <c r="BE532" s="145">
        <f>AVERAGE(BE529,BC529)</f>
        <v>7601.2000000000007</v>
      </c>
      <c r="BF532" s="81">
        <f t="shared" si="2034"/>
        <v>4.2595653336808148</v>
      </c>
      <c r="BG532" s="145">
        <f>AVERAGE(BG529,BE529)</f>
        <v>7935.35</v>
      </c>
      <c r="BH532" s="81">
        <f t="shared" si="2035"/>
        <v>3.6406498968210466</v>
      </c>
      <c r="BI532" s="145">
        <f>AVERAGE(BI529,BG529)</f>
        <v>7839.15</v>
      </c>
      <c r="BJ532" s="81">
        <f t="shared" si="2036"/>
        <v>3.8614412337533155</v>
      </c>
      <c r="BK532" s="145">
        <f>AVERAGE(BK529,BI529)</f>
        <v>7651.35</v>
      </c>
      <c r="BL532" s="81">
        <f t="shared" si="2037"/>
        <v>3.7597808546127709</v>
      </c>
      <c r="BM532" s="145">
        <f>AVERAGE(BM529,BK529)</f>
        <v>7200.1</v>
      </c>
      <c r="BN532" s="81">
        <f t="shared" si="2038"/>
        <v>-5.2767984002525914</v>
      </c>
      <c r="BO532" s="145">
        <f>AVERAGE(BO529,BM529)</f>
        <v>6566.9</v>
      </c>
      <c r="BP532" s="81">
        <f t="shared" si="2039"/>
        <v>-17.244986043463751</v>
      </c>
      <c r="BQ532" s="145">
        <f>AVERAGE(BQ529,BO529)</f>
        <v>6410.25</v>
      </c>
      <c r="BR532" s="81">
        <f t="shared" si="2040"/>
        <v>-18.22774152809934</v>
      </c>
      <c r="BS532" s="145">
        <f>AVERAGE(BS529,BQ529)</f>
        <v>6950.5</v>
      </c>
      <c r="BT532" s="81">
        <f t="shared" si="2041"/>
        <v>-9.1598214694138989</v>
      </c>
      <c r="BU532" s="145">
        <f>AVERAGE(BU529,BS529)</f>
        <v>7860.7</v>
      </c>
      <c r="BV532" s="81">
        <f t="shared" si="2042"/>
        <v>9.1748725712142765</v>
      </c>
      <c r="BW532" s="145">
        <f>AVERAGE(BW529,BU529)</f>
        <v>8371.5499999999993</v>
      </c>
      <c r="BX532" s="81">
        <f t="shared" si="2043"/>
        <v>27.481003213083799</v>
      </c>
      <c r="BY532" s="145">
        <f>AVERAGE(BY529,BW529)</f>
        <v>8640.1500000000015</v>
      </c>
      <c r="BZ532" s="81">
        <f t="shared" si="2044"/>
        <v>34.786474786474805</v>
      </c>
      <c r="CA532" s="145">
        <f>AVERAGE(CA529,BY529)</f>
        <v>8825.9500000000007</v>
      </c>
      <c r="CB532" s="81">
        <f t="shared" si="2045"/>
        <v>26.982950866844124</v>
      </c>
      <c r="CC532" s="145">
        <f>AVERAGE(CC529,CA529)</f>
        <v>8897.9000000000015</v>
      </c>
      <c r="CD532" s="81">
        <f t="shared" si="2046"/>
        <v>13.194753647893975</v>
      </c>
      <c r="CE532" s="145">
        <f>AVERAGE(CE529,CC529)</f>
        <v>8704.5</v>
      </c>
      <c r="CF532" s="81">
        <f t="shared" si="2047"/>
        <v>3.9771607408425114</v>
      </c>
      <c r="CG532" s="145">
        <f>AVERAGE(CG529,CE529)</f>
        <v>8503.5499999999993</v>
      </c>
      <c r="CH532" s="81">
        <f t="shared" si="2048"/>
        <v>-1.5809910707568986</v>
      </c>
      <c r="CI532" s="145">
        <f>AVERAGE(CI529,CG529)</f>
        <v>8570</v>
      </c>
      <c r="CJ532" s="81">
        <f t="shared" si="2049"/>
        <v>-2.8999711079260693</v>
      </c>
      <c r="CK532" s="145">
        <f>AVERAGE(CK529,CI529)</f>
        <v>9038.9500000000007</v>
      </c>
      <c r="CL532" s="81">
        <f t="shared" si="2050"/>
        <v>1.5852054979264674</v>
      </c>
      <c r="CM532" s="145">
        <f>AVERAGE(CM529,CK529)</f>
        <v>8814.9</v>
      </c>
      <c r="CN532" s="81">
        <f t="shared" si="2051"/>
        <v>1.2683094950887375</v>
      </c>
      <c r="CO532" s="145">
        <f>AVERAGE(CO529,CM529)</f>
        <v>8174.7999999999993</v>
      </c>
      <c r="CP532" s="81">
        <f t="shared" si="2052"/>
        <v>-3.8660324217532627</v>
      </c>
      <c r="CQ532" s="145">
        <f>AVERAGE(CQ529,CO529)</f>
        <v>8282.9</v>
      </c>
      <c r="CR532" s="81">
        <f t="shared" si="2053"/>
        <v>-3.3500583430571829</v>
      </c>
      <c r="CS532" s="145">
        <f>AVERAGE(CS529,CQ529)</f>
        <v>8529.5999999999985</v>
      </c>
      <c r="CT532" s="81">
        <f t="shared" si="2054"/>
        <v>-5.6350571692508789</v>
      </c>
      <c r="CU532" s="145">
        <f>AVERAGE(CU529,CS529)</f>
        <v>8642.9500000000007</v>
      </c>
      <c r="CV532" s="81">
        <f t="shared" si="2055"/>
        <v>-1.9506744262555276</v>
      </c>
      <c r="CW532" s="145">
        <f>AVERAGE(CW529,CU529)</f>
        <v>8585.2000000000007</v>
      </c>
      <c r="CX532" s="81">
        <f t="shared" si="2056"/>
        <v>5.0203063071879717</v>
      </c>
      <c r="CY532" s="145">
        <f>AVERAGE(CY529,CW529)</f>
        <v>8469.2000000000007</v>
      </c>
      <c r="CZ532" s="81">
        <f t="shared" si="2057"/>
        <v>2.2492122324306862</v>
      </c>
      <c r="DA532" s="145">
        <f>AVERAGE(DA529,CY529)</f>
        <v>8525.25</v>
      </c>
      <c r="DB532" s="81">
        <f t="shared" si="2058"/>
        <v>-5.0998874507579561E-2</v>
      </c>
      <c r="DC532" s="145">
        <f>AVERAGE(DC529,DA529)</f>
        <v>8654.9</v>
      </c>
      <c r="DD532" s="81">
        <f t="shared" si="2059"/>
        <v>0.13826297733989801</v>
      </c>
      <c r="DE532" s="145">
        <f>AVERAGE(DE529,DC529)</f>
        <v>8786.65</v>
      </c>
      <c r="DF532" s="81">
        <f t="shared" si="2060"/>
        <v>2.3464799888179622</v>
      </c>
      <c r="DG532" s="145">
        <f>AVERAGE(DG529,DE529)</f>
        <v>9088.5499999999993</v>
      </c>
      <c r="DH532" s="81">
        <f t="shared" si="2061"/>
        <v>7.3129693477542057</v>
      </c>
      <c r="DI532" s="145">
        <f>AVERAGE(DI529,DG529)</f>
        <v>9243.35</v>
      </c>
      <c r="DJ532" s="81">
        <f t="shared" si="2062"/>
        <v>8.4232133955016053</v>
      </c>
      <c r="DK532" s="145">
        <f>AVERAGE(DK529,DI529)</f>
        <v>8882.4500000000007</v>
      </c>
      <c r="DL532" s="81">
        <f t="shared" si="2063"/>
        <v>2.6291464950490617</v>
      </c>
      <c r="DM532" s="145">
        <f>AVERAGE(DM529,DK529)</f>
        <v>8604.9</v>
      </c>
      <c r="DN532" s="81">
        <f t="shared" si="2064"/>
        <v>-2.0684788855821035</v>
      </c>
      <c r="DO532" s="145">
        <f>AVERAGE(DO529,DM529)</f>
        <v>8601.7999999999993</v>
      </c>
      <c r="DP532" s="81">
        <f t="shared" si="2064"/>
        <v>-5.3556397885251243</v>
      </c>
      <c r="DQ532" s="145">
        <f>AVERAGE(DQ529,DO529)</f>
        <v>8548.4000000000015</v>
      </c>
      <c r="DR532" s="81">
        <f t="shared" si="2065"/>
        <v>-7.518378077212251</v>
      </c>
      <c r="DS532" s="145">
        <f>AVERAGE(DS529,DQ529)</f>
        <v>8622.5</v>
      </c>
      <c r="DT532" s="81">
        <f t="shared" si="2066"/>
        <v>-2.9265574250347703</v>
      </c>
      <c r="DU532" s="145">
        <f>AVERAGE(DU529,DS529)</f>
        <v>8792.0999999999985</v>
      </c>
      <c r="DV532" s="81">
        <f t="shared" si="2067"/>
        <v>2.1755046543248557</v>
      </c>
      <c r="DW532" s="145">
        <f>AVERAGE(DW529,DU529)</f>
        <v>9038.65</v>
      </c>
      <c r="DX532" s="81">
        <f t="shared" si="2068"/>
        <v>5.0785882024692475</v>
      </c>
      <c r="DY532" s="145">
        <f>AVERAGE(DY529,DW529)</f>
        <v>9259.1</v>
      </c>
      <c r="DZ532" s="81">
        <f t="shared" si="2069"/>
        <v>8.3138365074165712</v>
      </c>
      <c r="EA532" s="145">
        <f>AVERAGE(EA529,DY529)</f>
        <v>9164.6</v>
      </c>
      <c r="EB532" s="81">
        <f t="shared" si="2070"/>
        <v>6.2870397216584495</v>
      </c>
      <c r="EC532" s="145">
        <f>AVERAGE(EC529,EA529)</f>
        <v>9035.84</v>
      </c>
      <c r="ED532" s="81">
        <f t="shared" si="2071"/>
        <v>2.7722614619943187</v>
      </c>
      <c r="EE532" s="145">
        <f>AVERAGE(EE529,EC529)</f>
        <v>9210.14</v>
      </c>
      <c r="EF532" s="81">
        <f t="shared" si="2072"/>
        <v>1.8972966095600619</v>
      </c>
      <c r="EG532" s="145">
        <f>AVERAGE(EG529,EE529)</f>
        <v>9382.6</v>
      </c>
      <c r="EH532" s="81">
        <f t="shared" si="2073"/>
        <v>1.3338229417545922</v>
      </c>
      <c r="EI532" s="145">
        <f>AVERAGE(EI529,EG529)</f>
        <v>9511.75</v>
      </c>
      <c r="EJ532" s="81">
        <f t="shared" si="2074"/>
        <v>3.7879449184907044</v>
      </c>
      <c r="EK532" s="145">
        <f t="shared" ref="EK532" si="2116">AVERAGE(EK529,EI529)</f>
        <v>9630.4414151620476</v>
      </c>
      <c r="EL532" s="81">
        <f t="shared" si="2076"/>
        <v>6.5804774670871424</v>
      </c>
      <c r="EM532" s="145">
        <f t="shared" ref="EM532" si="2117">AVERAGE(EM529,EK529)</f>
        <v>9749.374892249456</v>
      </c>
      <c r="EN532" s="81">
        <f t="shared" si="2077"/>
        <v>5.854795825573289</v>
      </c>
      <c r="EO532" s="145">
        <f t="shared" ref="EO532" si="2118">AVERAGE(EO529,EM529)</f>
        <v>9873.1974315099196</v>
      </c>
      <c r="EP532" s="81">
        <f t="shared" si="2078"/>
        <v>5.2288004552034639</v>
      </c>
      <c r="EQ532" s="145">
        <f t="shared" ref="EQ532" si="2119">AVERAGE(EQ529,EO529)</f>
        <v>9995.728349549936</v>
      </c>
      <c r="ER532" s="81">
        <f t="shared" si="2079"/>
        <v>5.0882156233073461</v>
      </c>
      <c r="ES532" s="327"/>
      <c r="ET532" s="490"/>
      <c r="EU532" s="327"/>
      <c r="EV532" s="131">
        <v>5930.15</v>
      </c>
      <c r="EW532" s="79"/>
      <c r="EX532" s="145">
        <f>AVERAGE(EX529,EV529)</f>
        <v>5564.2</v>
      </c>
      <c r="EY532" s="79">
        <f t="shared" si="2080"/>
        <v>-6.1710074787315605</v>
      </c>
      <c r="EZ532" s="145"/>
      <c r="FA532" s="79" t="str">
        <f t="shared" si="2081"/>
        <v>NM</v>
      </c>
      <c r="FB532" s="145">
        <f>AVERAGE(FB529,EZ529)</f>
        <v>5757.45</v>
      </c>
      <c r="FC532" s="79" t="str">
        <f t="shared" si="2082"/>
        <v>NA</v>
      </c>
      <c r="FD532" s="145">
        <f>AVERAGE(FD529,FB529)</f>
        <v>6391.5499999999993</v>
      </c>
      <c r="FE532" s="79">
        <f t="shared" si="2083"/>
        <v>11.013556348730758</v>
      </c>
      <c r="FF532" s="145">
        <f>AVERAGE(FF529,FD529)</f>
        <v>7057.1</v>
      </c>
      <c r="FG532" s="79">
        <f t="shared" si="2084"/>
        <v>10.412967120651494</v>
      </c>
      <c r="FH532" s="145">
        <f>AVERAGE(FH529,FF529)</f>
        <v>7247.55</v>
      </c>
      <c r="FI532" s="79">
        <f t="shared" si="2085"/>
        <v>2.698700599396342</v>
      </c>
      <c r="FJ532" s="145">
        <f>AVERAGE(FJ529,FH529)</f>
        <v>7294</v>
      </c>
      <c r="FK532" s="79">
        <f t="shared" si="2086"/>
        <v>0.64090623728019214</v>
      </c>
      <c r="FL532" s="145">
        <f>AVERAGE(FL529,FJ529)</f>
        <v>7541.35</v>
      </c>
      <c r="FM532" s="79">
        <f t="shared" si="2087"/>
        <v>3.3911434055388101</v>
      </c>
      <c r="FN532" s="145">
        <f>AVERAGE(FN529,FL529)</f>
        <v>7879.35</v>
      </c>
      <c r="FO532" s="79">
        <f t="shared" si="2088"/>
        <v>4.4819561484349624</v>
      </c>
      <c r="FP532" s="145">
        <f>AVERAGE(FP529,FN529)</f>
        <v>7218.9</v>
      </c>
      <c r="FQ532" s="79">
        <f t="shared" si="2089"/>
        <v>-8.3820365893125803</v>
      </c>
      <c r="FR532" s="145">
        <f>AVERAGE(FR529,FP529)</f>
        <v>7449</v>
      </c>
      <c r="FS532" s="79">
        <f t="shared" si="2090"/>
        <v>3.1874662344678617</v>
      </c>
      <c r="FT532" s="145">
        <f>AVERAGE(FT529,FR529)</f>
        <v>8492.5</v>
      </c>
      <c r="FU532" s="79">
        <f t="shared" si="2091"/>
        <v>14.008591757282861</v>
      </c>
      <c r="FV532" s="145">
        <f>AVERAGE(FV529,FT529)</f>
        <v>8327.2999999999993</v>
      </c>
      <c r="FW532" s="79">
        <f t="shared" si="2092"/>
        <v>-1.9452458051221755</v>
      </c>
      <c r="FX532" s="145">
        <f>AVERAGE(FX529,FV529)</f>
        <v>8391.15</v>
      </c>
      <c r="FY532" s="79">
        <f t="shared" si="2093"/>
        <v>0.76675513071464696</v>
      </c>
      <c r="FZ532" s="145">
        <f>AVERAGE(FZ529,FX529)</f>
        <v>8626.25</v>
      </c>
      <c r="GA532" s="79">
        <f t="shared" si="2094"/>
        <v>2.8017613795487062</v>
      </c>
      <c r="GB532" s="145">
        <f>AVERAGE(GB529,FZ529)</f>
        <v>8580.9</v>
      </c>
      <c r="GC532" s="79">
        <f t="shared" si="2094"/>
        <v>-0.52572091001304999</v>
      </c>
      <c r="GD532" s="145">
        <f>AVERAGE(GD529,GB529)</f>
        <v>8592.9</v>
      </c>
      <c r="GE532" s="79">
        <f t="shared" si="2094"/>
        <v>0.13984547075480691</v>
      </c>
      <c r="GF532" s="145">
        <f>AVERAGE(GF529,GD529)</f>
        <v>8815.9500000000007</v>
      </c>
      <c r="GG532" s="79">
        <f t="shared" si="2094"/>
        <v>2.5957476521314193</v>
      </c>
      <c r="GH532" s="145">
        <f>AVERAGE(GH529,GF529)</f>
        <v>9271.4500000000007</v>
      </c>
      <c r="GI532" s="79">
        <f t="shared" si="2094"/>
        <v>5.1667715901292599</v>
      </c>
      <c r="GJ532" s="145">
        <f>AVERAGE(GJ529,GH529)</f>
        <v>9816.3643951274244</v>
      </c>
      <c r="GK532" s="79">
        <f t="shared" si="2094"/>
        <v>5.8773373650014227</v>
      </c>
      <c r="GL532" s="145">
        <f>AVERAGE(GL529,GJ529)</f>
        <v>10307.265759696716</v>
      </c>
      <c r="GM532" s="79">
        <f t="shared" si="2094"/>
        <v>5.00084700210357</v>
      </c>
      <c r="GN532" s="145">
        <f>AVERAGE(GN529,GL529)</f>
        <v>10802.59012294366</v>
      </c>
      <c r="GO532" s="79">
        <f t="shared" si="2094"/>
        <v>4.8055844759892885</v>
      </c>
      <c r="GP532" s="145">
        <f>AVERAGE(GP529,GN529)</f>
        <v>11304.874933163162</v>
      </c>
      <c r="GQ532" s="79">
        <f t="shared" si="2094"/>
        <v>4.6496701670898144</v>
      </c>
      <c r="GR532" s="145">
        <f>AVERAGE(GR529,GP529)</f>
        <v>11812.966524689138</v>
      </c>
      <c r="GS532" s="79">
        <f t="shared" si="2095"/>
        <v>4.4944468163506501</v>
      </c>
      <c r="GT532" s="79">
        <f t="shared" si="2096"/>
        <v>4.964456785539606</v>
      </c>
    </row>
    <row r="533" spans="1:202" ht="12.75" customHeight="1" x14ac:dyDescent="0.2">
      <c r="A533" s="1" t="s">
        <v>339</v>
      </c>
      <c r="B533" s="2" t="s">
        <v>432</v>
      </c>
      <c r="C533" s="79"/>
      <c r="D533" s="79"/>
      <c r="E533" s="145">
        <f>(E531)</f>
        <v>5586.6</v>
      </c>
      <c r="F533" s="145"/>
      <c r="G533" s="145">
        <f>AVERAGE(G531,E531)</f>
        <v>5645.55</v>
      </c>
      <c r="H533" s="145"/>
      <c r="I533" s="145">
        <f>AVERAGE(I531,G531)</f>
        <v>5751.7999999999993</v>
      </c>
      <c r="J533" s="145"/>
      <c r="K533" s="145">
        <f>AVERAGE(K531,I531)</f>
        <v>5845.5</v>
      </c>
      <c r="L533" s="79"/>
      <c r="M533" s="145">
        <f>AVERAGE(M531,K531)</f>
        <v>5917.75</v>
      </c>
      <c r="N533" s="79">
        <f t="shared" si="2020"/>
        <v>5.9275767013926117</v>
      </c>
      <c r="O533" s="145">
        <f>AVERAGE(O531,M531)</f>
        <v>5950.85</v>
      </c>
      <c r="P533" s="79">
        <f t="shared" si="2021"/>
        <v>5.4077990629788131</v>
      </c>
      <c r="Q533" s="145">
        <f>AVERAGE(Q531,O531)</f>
        <v>5996.15</v>
      </c>
      <c r="R533" s="79">
        <f t="shared" si="2022"/>
        <v>4.2482353350255631</v>
      </c>
      <c r="S533" s="145">
        <f>AVERAGE(S531,Q531)</f>
        <v>6050</v>
      </c>
      <c r="T533" s="79">
        <f t="shared" si="2023"/>
        <v>3.4984175861773936</v>
      </c>
      <c r="U533" s="145">
        <f>AVERAGE(U531,S531)</f>
        <v>5925.3</v>
      </c>
      <c r="V533" s="79">
        <f t="shared" si="2024"/>
        <v>0.12758227366820307</v>
      </c>
      <c r="W533" s="145">
        <f>AVERAGE(W531,U531)</f>
        <v>6080.85</v>
      </c>
      <c r="X533" s="79">
        <f t="shared" si="2025"/>
        <v>2.1845618693127955</v>
      </c>
      <c r="Y533" s="145">
        <f>AVERAGE(Y531,W531)</f>
        <v>6421.25</v>
      </c>
      <c r="Z533" s="79">
        <f t="shared" si="2026"/>
        <v>7.0895491273567313</v>
      </c>
      <c r="AA533" s="267">
        <f>AVERAGE(AA531,Y531)</f>
        <v>6282.7000000000007</v>
      </c>
      <c r="AB533" s="79">
        <f t="shared" si="2027"/>
        <v>3.8462809917355401</v>
      </c>
      <c r="AC533" s="145">
        <f>AVERAGE(AC531,AA531)</f>
        <v>5809.3</v>
      </c>
      <c r="AD533" s="79">
        <f t="shared" si="2028"/>
        <v>-1.9577067827789341</v>
      </c>
      <c r="AE533" s="145">
        <f>AVERAGE(AE531,AC531)</f>
        <v>5499.2999999999993</v>
      </c>
      <c r="AF533" s="79">
        <f t="shared" si="2029"/>
        <v>-9.5636300846098976</v>
      </c>
      <c r="AG533" s="145">
        <f>AVERAGE(AG531,AE531)</f>
        <v>5553.8499999999995</v>
      </c>
      <c r="AH533" s="79">
        <f t="shared" si="2030"/>
        <v>-13.508273311271179</v>
      </c>
      <c r="AI533" s="145">
        <f>AVERAGE(AI531,AG531)</f>
        <v>5685.45</v>
      </c>
      <c r="AJ533" s="79">
        <f t="shared" si="2031"/>
        <v>-9.5062632307765895</v>
      </c>
      <c r="AK533" s="145">
        <f>AVERAGE(AK531,AI531)</f>
        <v>5811.0499999999993</v>
      </c>
      <c r="AL533" s="79">
        <f t="shared" si="2032"/>
        <v>3.0124111338691861E-2</v>
      </c>
      <c r="AM533" s="145">
        <f>AVERAGE(AM531,AK531)</f>
        <v>5956.6</v>
      </c>
      <c r="AN533" s="79">
        <f t="shared" si="2033"/>
        <v>8.3156038041205527</v>
      </c>
      <c r="AO533" s="145">
        <f>AVERAGE(AO531,AM531)</f>
        <v>6052.4</v>
      </c>
      <c r="AP533" s="79">
        <f t="shared" si="2033"/>
        <v>8.9766558333408408</v>
      </c>
      <c r="AQ533" s="145">
        <f>AVERAGE(AQ531,AO531)</f>
        <v>6135.5499999999993</v>
      </c>
      <c r="AR533" s="79">
        <f t="shared" si="2033"/>
        <v>7.9166996455865224</v>
      </c>
      <c r="AS533" s="145">
        <f>AVERAGE(AS531,AQ531)</f>
        <v>6229.2999999999993</v>
      </c>
      <c r="AT533" s="81">
        <f t="shared" si="2033"/>
        <v>7.1974944287177101</v>
      </c>
      <c r="AU533" s="145">
        <f>AVERAGE(AU531,AS531)</f>
        <v>6596.7</v>
      </c>
      <c r="AV533" s="81">
        <f t="shared" si="2033"/>
        <v>10.746063190410627</v>
      </c>
      <c r="AW533" s="145">
        <f>AVERAGE(AW531,AU531)</f>
        <v>6893.0499999999993</v>
      </c>
      <c r="AX533" s="81">
        <f t="shared" si="2033"/>
        <v>13.889531425550183</v>
      </c>
      <c r="AY533" s="145">
        <f>AVERAGE(AY531,AW531)</f>
        <v>6978.45</v>
      </c>
      <c r="AZ533" s="81">
        <f t="shared" si="2033"/>
        <v>13.737969701167785</v>
      </c>
      <c r="BA533" s="145">
        <f>AVERAGE(BA531,AY531)</f>
        <v>6969.4500000000007</v>
      </c>
      <c r="BB533" s="81">
        <f t="shared" si="2033"/>
        <v>11.881752363829023</v>
      </c>
      <c r="BC533" s="145">
        <f>AVERAGE(BC531,BA531)</f>
        <v>7050.4000000000005</v>
      </c>
      <c r="BD533" s="81">
        <f t="shared" si="2033"/>
        <v>6.8776812648748686</v>
      </c>
      <c r="BE533" s="145">
        <f>AVERAGE(BE531,BC531)</f>
        <v>7350.05</v>
      </c>
      <c r="BF533" s="81">
        <f t="shared" si="2034"/>
        <v>6.6298663146212578</v>
      </c>
      <c r="BG533" s="145">
        <f>AVERAGE(BG531,BE531)</f>
        <v>7504.2999999999993</v>
      </c>
      <c r="BH533" s="81">
        <f t="shared" si="2035"/>
        <v>7.5353409424729012</v>
      </c>
      <c r="BI533" s="145">
        <f>AVERAGE(BI531,BG531)</f>
        <v>7472.5499999999993</v>
      </c>
      <c r="BJ533" s="81">
        <f t="shared" si="2036"/>
        <v>7.2186470955383664</v>
      </c>
      <c r="BK533" s="145">
        <f>AVERAGE(BK531,BI531)</f>
        <v>7480</v>
      </c>
      <c r="BL533" s="81">
        <f t="shared" si="2037"/>
        <v>6.0932713037558095</v>
      </c>
      <c r="BM533" s="145">
        <f>AVERAGE(BM531,BK531)</f>
        <v>7461.4</v>
      </c>
      <c r="BN533" s="81">
        <f t="shared" si="2038"/>
        <v>1.5149556805736042</v>
      </c>
      <c r="BO533" s="145">
        <f>AVERAGE(BO531,BM531)</f>
        <v>7343.7999999999993</v>
      </c>
      <c r="BP533" s="81">
        <f t="shared" si="2039"/>
        <v>-2.138773769705371</v>
      </c>
      <c r="BQ533" s="145">
        <f>AVERAGE(BQ531,BO531)</f>
        <v>7429.35</v>
      </c>
      <c r="BR533" s="81">
        <f t="shared" si="2040"/>
        <v>-0.57811590420938641</v>
      </c>
      <c r="BS533" s="145">
        <f>AVERAGE(BS531,BQ531)</f>
        <v>7636.45</v>
      </c>
      <c r="BT533" s="81">
        <f t="shared" si="2041"/>
        <v>2.0915775401069592</v>
      </c>
      <c r="BU533" s="145">
        <f>AVERAGE(BU531,BS531)</f>
        <v>7874.2</v>
      </c>
      <c r="BV533" s="81">
        <f t="shared" si="2042"/>
        <v>5.5324737984828509</v>
      </c>
      <c r="BW533" s="145">
        <f>AVERAGE(BW531,BU531)</f>
        <v>8068.6</v>
      </c>
      <c r="BX533" s="81">
        <f t="shared" si="2043"/>
        <v>9.8695498243416289</v>
      </c>
      <c r="BY533" s="145">
        <f>AVERAGE(BY531,BW531)</f>
        <v>8268.2000000000007</v>
      </c>
      <c r="BZ533" s="81">
        <f t="shared" si="2044"/>
        <v>11.291028151857162</v>
      </c>
      <c r="CA533" s="145">
        <f>AVERAGE(CA531,BY531)</f>
        <v>8405.5500000000011</v>
      </c>
      <c r="CB533" s="81">
        <f t="shared" si="2045"/>
        <v>10.071433715928224</v>
      </c>
      <c r="CC533" s="145">
        <f>AVERAGE(CC531,CA531)</f>
        <v>8432.0500000000011</v>
      </c>
      <c r="CD533" s="81">
        <f t="shared" si="2046"/>
        <v>7.0845292220162115</v>
      </c>
      <c r="CE533" s="145">
        <f>AVERAGE(CE531,CC531)</f>
        <v>8281.9000000000015</v>
      </c>
      <c r="CF533" s="81">
        <f t="shared" si="2047"/>
        <v>2.6435812904345379</v>
      </c>
      <c r="CG533" s="145">
        <f>AVERAGE(CG531,CE531)</f>
        <v>8124.7000000000007</v>
      </c>
      <c r="CH533" s="81">
        <f t="shared" si="2048"/>
        <v>-1.7355651774267677</v>
      </c>
      <c r="CI533" s="145">
        <f>AVERAGE(CI531,CG531)</f>
        <v>8144.85</v>
      </c>
      <c r="CJ533" s="81">
        <f t="shared" si="2049"/>
        <v>-3.1015222085407967</v>
      </c>
      <c r="CK533" s="145">
        <f>AVERAGE(CK531,CI531)</f>
        <v>8373.8499999999985</v>
      </c>
      <c r="CL533" s="81">
        <f t="shared" si="2050"/>
        <v>-0.69022361110290253</v>
      </c>
      <c r="CM533" s="145">
        <f>AVERAGE(CM531,CK531)</f>
        <v>8140.9</v>
      </c>
      <c r="CN533" s="81">
        <f t="shared" si="2051"/>
        <v>-1.7025078786269021</v>
      </c>
      <c r="CO533" s="145">
        <f>AVERAGE(CO531,CM531)</f>
        <v>7716.2</v>
      </c>
      <c r="CP533" s="81">
        <f t="shared" si="2052"/>
        <v>-5.0278779524167145</v>
      </c>
      <c r="CQ533" s="145">
        <f>AVERAGE(CQ531,CO531)</f>
        <v>7754.95</v>
      </c>
      <c r="CR533" s="81">
        <f t="shared" si="2053"/>
        <v>-4.7870740406514622</v>
      </c>
      <c r="CS533" s="145">
        <f>AVERAGE(CS531,CQ531)</f>
        <v>7834.1999999999989</v>
      </c>
      <c r="CT533" s="81">
        <f t="shared" si="2054"/>
        <v>-6.4444670014390031</v>
      </c>
      <c r="CU533" s="145">
        <f>AVERAGE(CU531,CS531)</f>
        <v>7933.7999999999993</v>
      </c>
      <c r="CV533" s="81">
        <f t="shared" si="2055"/>
        <v>-2.543944772690987</v>
      </c>
      <c r="CW533" s="145">
        <f>AVERAGE(CW531,CU531)</f>
        <v>8028.35</v>
      </c>
      <c r="CX533" s="81">
        <f t="shared" si="2056"/>
        <v>4.0453850340841369</v>
      </c>
      <c r="CY533" s="145">
        <f>AVERAGE(CY531,CW531)</f>
        <v>8118</v>
      </c>
      <c r="CZ533" s="81">
        <f t="shared" si="2057"/>
        <v>4.6815259930753861</v>
      </c>
      <c r="DA533" s="145">
        <f>AVERAGE(DA531,CY531)</f>
        <v>8212.1</v>
      </c>
      <c r="DB533" s="81">
        <f t="shared" si="2058"/>
        <v>4.8237216307983166</v>
      </c>
      <c r="DC533" s="145">
        <f>AVERAGE(DC531,DA531)</f>
        <v>8322.5999999999985</v>
      </c>
      <c r="DD533" s="81">
        <f t="shared" si="2059"/>
        <v>4.9005520683657267</v>
      </c>
      <c r="DE533" s="145">
        <f>AVERAGE(DE531,DC531)</f>
        <v>8432.4500000000007</v>
      </c>
      <c r="DF533" s="81">
        <f t="shared" si="2060"/>
        <v>5.0334128432367731</v>
      </c>
      <c r="DG533" s="145">
        <f>AVERAGE(DG531,DE531)</f>
        <v>8545.9000000000015</v>
      </c>
      <c r="DH533" s="81">
        <f t="shared" si="2061"/>
        <v>5.2710027100271173</v>
      </c>
      <c r="DI533" s="145">
        <f>AVERAGE(DI531,DG531)</f>
        <v>8653.1</v>
      </c>
      <c r="DJ533" s="81">
        <f t="shared" si="2062"/>
        <v>5.3701245722775015</v>
      </c>
      <c r="DK533" s="145">
        <f>AVERAGE(DK531,DI531)</f>
        <v>8524.9500000000007</v>
      </c>
      <c r="DL533" s="81">
        <f t="shared" si="2063"/>
        <v>2.4313315550429149</v>
      </c>
      <c r="DM533" s="145">
        <f>AVERAGE(DM531,DK531)</f>
        <v>8391.5</v>
      </c>
      <c r="DN533" s="81">
        <f t="shared" si="2064"/>
        <v>-0.48562398828336795</v>
      </c>
      <c r="DO533" s="145">
        <f>AVERAGE(DO531,DM531)</f>
        <v>8469.4000000000015</v>
      </c>
      <c r="DP533" s="81">
        <f t="shared" si="2064"/>
        <v>-0.89516610304356536</v>
      </c>
      <c r="DQ533" s="145">
        <f>AVERAGE(DQ531,DO531)</f>
        <v>8535.2000000000007</v>
      </c>
      <c r="DR533" s="81">
        <f t="shared" si="2065"/>
        <v>-1.3625174792848749</v>
      </c>
      <c r="DS533" s="145">
        <f>AVERAGE(DS531,DQ531)</f>
        <v>8603.4500000000007</v>
      </c>
      <c r="DT533" s="81">
        <f t="shared" si="2066"/>
        <v>0.92082651511151692</v>
      </c>
      <c r="DU533" s="145">
        <f>AVERAGE(DU531,DS531)</f>
        <v>8683.6999999999989</v>
      </c>
      <c r="DV533" s="81">
        <f t="shared" si="2067"/>
        <v>3.4820949770601128</v>
      </c>
      <c r="DW533" s="145">
        <f>AVERAGE(DW531,DU531)</f>
        <v>8768.4</v>
      </c>
      <c r="DX533" s="81">
        <f t="shared" si="2068"/>
        <v>3.5303563416534622</v>
      </c>
      <c r="DY533" s="145">
        <f>AVERAGE(DY531,DW531)</f>
        <v>8863.85</v>
      </c>
      <c r="DZ533" s="81">
        <f t="shared" si="2069"/>
        <v>3.8505248851813612</v>
      </c>
      <c r="EA533" s="145">
        <f>AVERAGE(EA531,DY531)</f>
        <v>8964.75</v>
      </c>
      <c r="EB533" s="81">
        <f t="shared" si="2070"/>
        <v>4.199478116337052</v>
      </c>
      <c r="EC533" s="145">
        <f>AVERAGE(EC531,EA531)</f>
        <v>9061.14</v>
      </c>
      <c r="ED533" s="81">
        <f t="shared" si="2071"/>
        <v>4.3465343114110322</v>
      </c>
      <c r="EE533" s="145">
        <f>AVERAGE(EE531,EC531)</f>
        <v>9157.49</v>
      </c>
      <c r="EF533" s="81">
        <f t="shared" si="2072"/>
        <v>4.4374116144336506</v>
      </c>
      <c r="EG533" s="145">
        <f>AVERAGE(EG531,EE531)</f>
        <v>9268</v>
      </c>
      <c r="EH533" s="81">
        <f t="shared" si="2073"/>
        <v>4.5595311292496943</v>
      </c>
      <c r="EI533" s="145">
        <f>AVERAGE(EI531,EG531)</f>
        <v>9385.85</v>
      </c>
      <c r="EJ533" s="81">
        <f t="shared" si="2074"/>
        <v>4.6972865947181974</v>
      </c>
      <c r="EK533" s="145">
        <f t="shared" ref="EK533" si="2120">AVERAGE(EK531,EI531)</f>
        <v>9502.9414151620476</v>
      </c>
      <c r="EL533" s="81">
        <f t="shared" si="2076"/>
        <v>4.8757818018709376</v>
      </c>
      <c r="EM533" s="145">
        <f t="shared" ref="EM533" si="2121">AVERAGE(EM531,EK531)</f>
        <v>9621.874892249456</v>
      </c>
      <c r="EN533" s="81">
        <f t="shared" si="2077"/>
        <v>5.0710936320919497</v>
      </c>
      <c r="EO533" s="145">
        <f t="shared" ref="EO533" si="2122">AVERAGE(EO531,EM531)</f>
        <v>9745.6974315099196</v>
      </c>
      <c r="EP533" s="81">
        <f t="shared" si="2078"/>
        <v>5.1542666326059416</v>
      </c>
      <c r="EQ533" s="145">
        <f t="shared" ref="EQ533" si="2123">AVERAGE(EQ531,EO531)</f>
        <v>9868.228349549936</v>
      </c>
      <c r="ER533" s="81">
        <f t="shared" si="2079"/>
        <v>5.1394210385840022</v>
      </c>
      <c r="ES533" s="327"/>
      <c r="ET533" s="490"/>
      <c r="EU533" s="327"/>
      <c r="EV533" s="131">
        <v>5073.3</v>
      </c>
      <c r="EW533" s="79"/>
      <c r="EX533" s="145">
        <f>AVERAGE(EX531,EV531)</f>
        <v>5116.2999999999993</v>
      </c>
      <c r="EY533" s="79">
        <f t="shared" si="2080"/>
        <v>0.84757455699444595</v>
      </c>
      <c r="EZ533" s="145"/>
      <c r="FA533" s="79" t="str">
        <f t="shared" si="2081"/>
        <v>NM</v>
      </c>
      <c r="FB533" s="145">
        <f>AVERAGE(FB531,EZ531)</f>
        <v>5891.9</v>
      </c>
      <c r="FC533" s="79" t="str">
        <f t="shared" si="2082"/>
        <v>NA</v>
      </c>
      <c r="FD533" s="145">
        <f>AVERAGE(FD531,FB531)</f>
        <v>5978.85</v>
      </c>
      <c r="FE533" s="79">
        <f t="shared" si="2083"/>
        <v>1.4757548498786521</v>
      </c>
      <c r="FF533" s="145">
        <f>AVERAGE(FF531,FD531)</f>
        <v>6082.8</v>
      </c>
      <c r="FG533" s="79">
        <f t="shared" si="2084"/>
        <v>1.7386286660478145</v>
      </c>
      <c r="FH533" s="145">
        <f>AVERAGE(FH531,FF531)</f>
        <v>5921.4</v>
      </c>
      <c r="FI533" s="79">
        <f t="shared" si="2085"/>
        <v>-2.6533833103176252</v>
      </c>
      <c r="FJ533" s="145">
        <f>AVERAGE(FJ531,FH531)</f>
        <v>5971.7</v>
      </c>
      <c r="FK533" s="79">
        <f t="shared" si="2086"/>
        <v>0.8494612760495901</v>
      </c>
      <c r="FL533" s="145">
        <f>AVERAGE(FL531,FJ531)</f>
        <v>6653.2</v>
      </c>
      <c r="FM533" s="79">
        <f t="shared" si="2087"/>
        <v>11.412160691260453</v>
      </c>
      <c r="FN533" s="145">
        <f>AVERAGE(FN531,FL531)</f>
        <v>7341.2</v>
      </c>
      <c r="FO533" s="79">
        <f t="shared" si="2088"/>
        <v>10.340888594961829</v>
      </c>
      <c r="FP533" s="145">
        <f>AVERAGE(FP531,FN531)</f>
        <v>7466.25</v>
      </c>
      <c r="FQ533" s="79">
        <f t="shared" si="2089"/>
        <v>1.7033999891026053</v>
      </c>
      <c r="FR533" s="145">
        <f>AVERAGE(FR531,FP531)</f>
        <v>7757.6</v>
      </c>
      <c r="FS533" s="79">
        <f t="shared" si="2090"/>
        <v>3.9022266867570821</v>
      </c>
      <c r="FT533" s="145">
        <f>AVERAGE(FT531,FR531)</f>
        <v>8146.3</v>
      </c>
      <c r="FU533" s="79">
        <f t="shared" si="2091"/>
        <v>5.0105702794678741</v>
      </c>
      <c r="FV533" s="145">
        <f>AVERAGE(FV531,FT531)</f>
        <v>7920.7</v>
      </c>
      <c r="FW533" s="79">
        <f t="shared" si="2092"/>
        <v>-2.7693554128868314</v>
      </c>
      <c r="FX533" s="145">
        <f>AVERAGE(FX531,FV531)</f>
        <v>7846.25</v>
      </c>
      <c r="FY533" s="79">
        <f t="shared" si="2093"/>
        <v>-0.93994217682780157</v>
      </c>
      <c r="FZ533" s="145">
        <f>AVERAGE(FZ531,FX531)</f>
        <v>8184.75</v>
      </c>
      <c r="GA533" s="79">
        <f t="shared" si="2094"/>
        <v>4.31416281663215</v>
      </c>
      <c r="GB533" s="145">
        <f>AVERAGE(GB531,FZ531)</f>
        <v>8370.2000000000007</v>
      </c>
      <c r="GC533" s="79">
        <f t="shared" si="2094"/>
        <v>2.2657991997312221</v>
      </c>
      <c r="GD533" s="145">
        <f>AVERAGE(GD531,GB531)</f>
        <v>8501.65</v>
      </c>
      <c r="GE533" s="79">
        <f t="shared" si="2094"/>
        <v>1.5704523189409958</v>
      </c>
      <c r="GF533" s="145">
        <f>AVERAGE(GF531,GD531)</f>
        <v>8833.4</v>
      </c>
      <c r="GG533" s="79">
        <f t="shared" si="2094"/>
        <v>3.9021836937535692</v>
      </c>
      <c r="GH533" s="145">
        <f>AVERAGE(GH531,GF531)</f>
        <v>9233.2000000000007</v>
      </c>
      <c r="GI533" s="79">
        <f t="shared" si="2094"/>
        <v>4.5260035773315055</v>
      </c>
      <c r="GJ533" s="145">
        <f>AVERAGE(GJ531,GH531)</f>
        <v>9688.8643951274244</v>
      </c>
      <c r="GK533" s="79">
        <f t="shared" si="2094"/>
        <v>4.9350647135058656</v>
      </c>
      <c r="GL533" s="145">
        <f>AVERAGE(GL531,GJ531)</f>
        <v>10179.765759696716</v>
      </c>
      <c r="GM533" s="79">
        <f t="shared" si="2094"/>
        <v>5.0666553328599484</v>
      </c>
      <c r="GN533" s="145">
        <f>AVERAGE(GN531,GL531)</f>
        <v>10675.09012294366</v>
      </c>
      <c r="GO533" s="79">
        <f t="shared" si="2094"/>
        <v>4.8657736822197872</v>
      </c>
      <c r="GP533" s="145">
        <f>AVERAGE(GP531,GN531)</f>
        <v>11177.374933163162</v>
      </c>
      <c r="GQ533" s="79">
        <f t="shared" si="2094"/>
        <v>4.7052044004757931</v>
      </c>
      <c r="GR533" s="145">
        <f>AVERAGE(GR531,GP531)</f>
        <v>11685.466524689138</v>
      </c>
      <c r="GS533" s="79">
        <f t="shared" si="2095"/>
        <v>4.5457148441757411</v>
      </c>
      <c r="GT533" s="79">
        <f t="shared" si="2096"/>
        <v>4.8235256038396512</v>
      </c>
    </row>
    <row r="534" spans="1:202" ht="12.75" customHeight="1" x14ac:dyDescent="0.2">
      <c r="A534" s="1"/>
      <c r="B534" s="2"/>
      <c r="C534" s="79"/>
      <c r="D534" s="79"/>
      <c r="E534" s="82"/>
      <c r="F534" s="82"/>
      <c r="G534" s="82"/>
      <c r="H534" s="82"/>
      <c r="I534" s="82"/>
      <c r="J534" s="82"/>
      <c r="K534" s="82"/>
      <c r="L534" s="79"/>
      <c r="M534" s="82"/>
      <c r="N534" s="79"/>
      <c r="O534" s="82"/>
      <c r="P534" s="79"/>
      <c r="Q534" s="82"/>
      <c r="R534" s="79"/>
      <c r="S534" s="82"/>
      <c r="T534" s="79"/>
      <c r="U534" s="82"/>
      <c r="V534" s="79"/>
      <c r="W534" s="82"/>
      <c r="X534" s="79"/>
      <c r="Y534" s="82"/>
      <c r="Z534" s="79"/>
      <c r="AA534" s="130"/>
      <c r="AB534" s="79"/>
      <c r="AC534" s="82"/>
      <c r="AD534" s="79"/>
      <c r="AE534" s="82"/>
      <c r="AF534" s="79"/>
      <c r="AG534" s="82"/>
      <c r="AH534" s="79"/>
      <c r="AI534" s="82"/>
      <c r="AJ534" s="79"/>
      <c r="AK534" s="82"/>
      <c r="AL534" s="79"/>
      <c r="AM534" s="82"/>
      <c r="AN534" s="79"/>
      <c r="AO534" s="82"/>
      <c r="AP534" s="79"/>
      <c r="AQ534" s="82"/>
      <c r="AR534" s="79"/>
      <c r="AS534" s="82"/>
      <c r="AT534" s="81"/>
      <c r="AU534" s="82"/>
      <c r="AV534" s="81"/>
      <c r="AW534" s="82"/>
      <c r="AX534" s="81"/>
      <c r="AY534" s="82"/>
      <c r="AZ534" s="81"/>
      <c r="BA534" s="82"/>
      <c r="BB534" s="81"/>
      <c r="BC534" s="82"/>
      <c r="BD534" s="81"/>
      <c r="BE534" s="82"/>
      <c r="BF534" s="81"/>
      <c r="BG534" s="82"/>
      <c r="BH534" s="81"/>
      <c r="BI534" s="82"/>
      <c r="BJ534" s="81"/>
      <c r="BK534" s="82"/>
      <c r="BL534" s="81"/>
      <c r="BM534" s="82"/>
      <c r="BN534" s="81"/>
      <c r="BO534" s="82"/>
      <c r="BP534" s="81"/>
      <c r="BQ534" s="82"/>
      <c r="BR534" s="81"/>
      <c r="BS534" s="82"/>
      <c r="BT534" s="81"/>
      <c r="BU534" s="82"/>
      <c r="BV534" s="81"/>
      <c r="BW534" s="82"/>
      <c r="BX534" s="81"/>
      <c r="BY534" s="82"/>
      <c r="BZ534" s="81"/>
      <c r="CA534" s="82"/>
      <c r="CB534" s="81"/>
      <c r="CC534" s="82"/>
      <c r="CD534" s="81"/>
      <c r="CE534" s="82"/>
      <c r="CF534" s="81"/>
      <c r="CG534" s="82"/>
      <c r="CH534" s="81"/>
      <c r="CI534" s="82"/>
      <c r="CJ534" s="81"/>
      <c r="CK534" s="82"/>
      <c r="CL534" s="81"/>
      <c r="CM534" s="82"/>
      <c r="CN534" s="81"/>
      <c r="CO534" s="82"/>
      <c r="CP534" s="81"/>
      <c r="CQ534" s="82"/>
      <c r="CR534" s="81"/>
      <c r="CS534" s="82"/>
      <c r="CT534" s="81"/>
      <c r="CU534" s="82"/>
      <c r="CV534" s="81"/>
      <c r="CW534" s="82"/>
      <c r="CX534" s="81"/>
      <c r="CY534" s="82"/>
      <c r="CZ534" s="81"/>
      <c r="DA534" s="82"/>
      <c r="DB534" s="81"/>
      <c r="DC534" s="82"/>
      <c r="DD534" s="81"/>
      <c r="DE534" s="82"/>
      <c r="DF534" s="81"/>
      <c r="DG534" s="82"/>
      <c r="DH534" s="81"/>
      <c r="DI534" s="82"/>
      <c r="DJ534" s="81"/>
      <c r="DK534" s="82"/>
      <c r="DL534" s="81"/>
      <c r="DM534" s="82"/>
      <c r="DN534" s="81"/>
      <c r="DO534" s="82"/>
      <c r="DP534" s="81"/>
      <c r="DQ534" s="82"/>
      <c r="DR534" s="81"/>
      <c r="DS534" s="82"/>
      <c r="DT534" s="81"/>
      <c r="DU534" s="82"/>
      <c r="DV534" s="81"/>
      <c r="DW534" s="82"/>
      <c r="DX534" s="81"/>
      <c r="DY534" s="82"/>
      <c r="DZ534" s="81"/>
      <c r="EA534" s="82"/>
      <c r="EB534" s="81"/>
      <c r="EC534" s="82"/>
      <c r="ED534" s="81"/>
      <c r="EE534" s="82"/>
      <c r="EF534" s="81"/>
      <c r="EG534" s="82"/>
      <c r="EH534" s="81"/>
      <c r="EI534" s="82"/>
      <c r="EJ534" s="81"/>
      <c r="EK534" s="82"/>
      <c r="EL534" s="81"/>
      <c r="EM534" s="82"/>
      <c r="EN534" s="81"/>
      <c r="EO534" s="82"/>
      <c r="EP534" s="81"/>
      <c r="EQ534" s="82"/>
      <c r="ER534" s="81"/>
      <c r="ES534" s="327"/>
      <c r="ET534" s="490"/>
      <c r="EU534" s="327"/>
      <c r="EV534" s="327"/>
      <c r="EW534" s="79"/>
      <c r="EX534" s="327"/>
      <c r="EY534" s="79"/>
      <c r="EZ534" s="327"/>
      <c r="FA534" s="79"/>
      <c r="FB534" s="327"/>
      <c r="FC534" s="79"/>
      <c r="FD534" s="327"/>
      <c r="FE534" s="79"/>
      <c r="FF534" s="327"/>
      <c r="FG534" s="79"/>
      <c r="FH534" s="327"/>
      <c r="FI534" s="79"/>
      <c r="FJ534" s="327"/>
      <c r="FK534" s="79"/>
      <c r="FL534" s="327"/>
      <c r="FM534" s="79"/>
      <c r="FN534" s="327"/>
      <c r="FO534" s="79"/>
      <c r="FP534" s="327"/>
      <c r="FQ534" s="79"/>
      <c r="FR534" s="82"/>
      <c r="FS534" s="79"/>
      <c r="FT534" s="82"/>
      <c r="FU534" s="79"/>
      <c r="FV534" s="82"/>
      <c r="FW534" s="79"/>
      <c r="FX534" s="82"/>
      <c r="FY534" s="79"/>
      <c r="FZ534" s="82"/>
      <c r="GA534" s="79"/>
      <c r="GB534" s="82"/>
      <c r="GC534" s="79"/>
      <c r="GD534" s="82"/>
      <c r="GE534" s="79"/>
      <c r="GF534" s="82"/>
      <c r="GG534" s="79"/>
      <c r="GH534" s="82"/>
      <c r="GI534" s="79"/>
      <c r="GJ534" s="82"/>
      <c r="GK534" s="79"/>
      <c r="GL534" s="82"/>
      <c r="GM534" s="79"/>
      <c r="GN534" s="82"/>
      <c r="GO534" s="79"/>
      <c r="GP534" s="82"/>
      <c r="GQ534" s="79"/>
      <c r="GR534" s="82"/>
      <c r="GS534" s="79"/>
      <c r="GT534" s="79"/>
    </row>
    <row r="535" spans="1:202" ht="12.75" customHeight="1" x14ac:dyDescent="0.2">
      <c r="A535" s="1"/>
      <c r="B535" s="68" t="s">
        <v>65</v>
      </c>
      <c r="C535" s="79"/>
      <c r="D535" s="79"/>
      <c r="E535" s="327"/>
      <c r="F535" s="327"/>
      <c r="G535" s="327"/>
      <c r="H535" s="327"/>
      <c r="I535" s="327"/>
      <c r="J535" s="327"/>
      <c r="K535" s="327"/>
      <c r="L535" s="79"/>
      <c r="M535" s="327"/>
      <c r="N535" s="79"/>
      <c r="O535" s="327"/>
      <c r="P535" s="79"/>
      <c r="Q535" s="327"/>
      <c r="R535" s="79"/>
      <c r="S535" s="327"/>
      <c r="T535" s="79"/>
      <c r="U535" s="327"/>
      <c r="V535" s="79"/>
      <c r="W535" s="327"/>
      <c r="X535" s="79"/>
      <c r="Y535" s="327"/>
      <c r="Z535" s="79"/>
      <c r="AA535" s="66"/>
      <c r="AB535" s="79"/>
      <c r="AC535" s="327"/>
      <c r="AD535" s="79"/>
      <c r="AE535" s="327"/>
      <c r="AF535" s="79"/>
      <c r="AG535" s="327"/>
      <c r="AH535" s="79"/>
      <c r="AI535" s="327"/>
      <c r="AJ535" s="79"/>
      <c r="AK535" s="327"/>
      <c r="AL535" s="79"/>
      <c r="AM535" s="327"/>
      <c r="AN535" s="79"/>
      <c r="AO535" s="327"/>
      <c r="AP535" s="79"/>
      <c r="AQ535" s="327"/>
      <c r="AR535" s="79"/>
      <c r="AS535" s="327"/>
      <c r="AT535" s="81"/>
      <c r="AU535" s="327"/>
      <c r="AV535" s="81"/>
      <c r="AW535" s="327"/>
      <c r="AX535" s="81"/>
      <c r="AY535" s="327"/>
      <c r="AZ535" s="81"/>
      <c r="BA535" s="327"/>
      <c r="BB535" s="81"/>
      <c r="BC535" s="327"/>
      <c r="BD535" s="81"/>
      <c r="BE535" s="327"/>
      <c r="BF535" s="81"/>
      <c r="BG535" s="327"/>
      <c r="BH535" s="81"/>
      <c r="BI535" s="327"/>
      <c r="BJ535" s="81"/>
      <c r="BK535" s="327"/>
      <c r="BL535" s="81"/>
      <c r="BM535" s="327"/>
      <c r="BN535" s="81"/>
      <c r="BO535" s="327"/>
      <c r="BP535" s="81"/>
      <c r="BQ535" s="327"/>
      <c r="BR535" s="81"/>
      <c r="BS535" s="327"/>
      <c r="BT535" s="81"/>
      <c r="BU535" s="327"/>
      <c r="BV535" s="81"/>
      <c r="BW535" s="327"/>
      <c r="BX535" s="81"/>
      <c r="BY535" s="327"/>
      <c r="BZ535" s="81"/>
      <c r="CA535" s="327"/>
      <c r="CB535" s="81"/>
      <c r="CC535" s="327"/>
      <c r="CD535" s="81"/>
      <c r="CE535" s="327"/>
      <c r="CF535" s="81"/>
      <c r="CG535" s="327"/>
      <c r="CH535" s="81"/>
      <c r="CI535" s="327"/>
      <c r="CJ535" s="81"/>
      <c r="CK535" s="327"/>
      <c r="CL535" s="81"/>
      <c r="CM535" s="327"/>
      <c r="CN535" s="81"/>
      <c r="CO535" s="327"/>
      <c r="CP535" s="81"/>
      <c r="CQ535" s="327"/>
      <c r="CR535" s="81"/>
      <c r="CS535" s="327"/>
      <c r="CT535" s="81"/>
      <c r="CU535" s="327"/>
      <c r="CV535" s="81"/>
      <c r="CW535" s="327"/>
      <c r="CX535" s="81"/>
      <c r="CY535" s="327"/>
      <c r="CZ535" s="81"/>
      <c r="DA535" s="327"/>
      <c r="DB535" s="81"/>
      <c r="DC535" s="327"/>
      <c r="DD535" s="81"/>
      <c r="DE535" s="327"/>
      <c r="DF535" s="81"/>
      <c r="DG535" s="327"/>
      <c r="DH535" s="81"/>
      <c r="DI535" s="327"/>
      <c r="DJ535" s="81"/>
      <c r="DK535" s="327"/>
      <c r="DL535" s="81"/>
      <c r="DM535" s="327"/>
      <c r="DN535" s="81"/>
      <c r="DO535" s="327"/>
      <c r="DP535" s="81"/>
      <c r="DQ535" s="327"/>
      <c r="DR535" s="81"/>
      <c r="DS535" s="327"/>
      <c r="DT535" s="81"/>
      <c r="DU535" s="327"/>
      <c r="DV535" s="81"/>
      <c r="DW535" s="327"/>
      <c r="DX535" s="81"/>
      <c r="DY535" s="327"/>
      <c r="DZ535" s="81"/>
      <c r="EA535" s="327"/>
      <c r="EB535" s="81"/>
      <c r="EC535" s="327"/>
      <c r="ED535" s="81"/>
      <c r="EE535" s="327"/>
      <c r="EF535" s="81"/>
      <c r="EG535" s="327"/>
      <c r="EH535" s="81"/>
      <c r="EI535" s="327"/>
      <c r="EJ535" s="81"/>
      <c r="EK535" s="327"/>
      <c r="EL535" s="81"/>
      <c r="EM535" s="327"/>
      <c r="EN535" s="81"/>
      <c r="EO535" s="327"/>
      <c r="EP535" s="81"/>
      <c r="EQ535" s="327"/>
      <c r="ER535" s="81"/>
      <c r="ES535" s="82"/>
      <c r="ET535" s="490"/>
      <c r="EU535" s="82"/>
      <c r="EV535" s="327"/>
      <c r="EW535" s="79"/>
      <c r="EX535" s="327"/>
      <c r="EY535" s="79"/>
      <c r="EZ535" s="327"/>
      <c r="FA535" s="79"/>
      <c r="FB535" s="327"/>
      <c r="FC535" s="79"/>
      <c r="FD535" s="327"/>
      <c r="FE535" s="79"/>
      <c r="FF535" s="327"/>
      <c r="FG535" s="79"/>
      <c r="FH535" s="327"/>
      <c r="FI535" s="79"/>
      <c r="FJ535" s="327"/>
      <c r="FK535" s="79"/>
      <c r="FL535" s="327"/>
      <c r="FM535" s="79"/>
      <c r="FN535" s="327"/>
      <c r="FO535" s="79"/>
      <c r="FP535" s="327"/>
      <c r="FQ535" s="79"/>
      <c r="FR535" s="327"/>
      <c r="FS535" s="79"/>
      <c r="FT535" s="327"/>
      <c r="FU535" s="79"/>
      <c r="FV535" s="327"/>
      <c r="FW535" s="79"/>
      <c r="FX535" s="327"/>
      <c r="FY535" s="79"/>
      <c r="FZ535" s="327"/>
      <c r="GA535" s="79"/>
      <c r="GB535" s="327"/>
      <c r="GC535" s="79"/>
      <c r="GD535" s="327"/>
      <c r="GE535" s="79"/>
      <c r="GF535" s="327"/>
      <c r="GG535" s="79"/>
      <c r="GH535" s="327"/>
      <c r="GI535" s="79"/>
      <c r="GJ535" s="327"/>
      <c r="GK535" s="79"/>
      <c r="GL535" s="327"/>
      <c r="GM535" s="79"/>
      <c r="GN535" s="327"/>
      <c r="GO535" s="79"/>
      <c r="GP535" s="327"/>
      <c r="GQ535" s="79"/>
      <c r="GR535" s="327"/>
      <c r="GS535" s="79"/>
      <c r="GT535" s="79"/>
    </row>
    <row r="536" spans="1:202" ht="12.75" customHeight="1" x14ac:dyDescent="0.2">
      <c r="A536" s="1" t="s">
        <v>38</v>
      </c>
      <c r="B536" s="2" t="s">
        <v>442</v>
      </c>
      <c r="C536" s="79"/>
      <c r="D536" s="79"/>
      <c r="E536" s="318">
        <f>E416/E531*400</f>
        <v>13.088461676153651</v>
      </c>
      <c r="F536" s="318"/>
      <c r="G536" s="318">
        <f>G416/AVERAGE(G531,E531)*400</f>
        <v>10.365686248461179</v>
      </c>
      <c r="H536" s="318"/>
      <c r="I536" s="318">
        <f>I416/AVERAGE(I531,G531)*400</f>
        <v>7.5802357522862431</v>
      </c>
      <c r="J536" s="318"/>
      <c r="K536" s="318">
        <f>K416/AVERAGE(K531,I531)*400</f>
        <v>10.127448464630913</v>
      </c>
      <c r="L536" s="79"/>
      <c r="M536" s="318">
        <f>M416/AVERAGE(M531,K531)*400</f>
        <v>9.9362088631658985</v>
      </c>
      <c r="N536" s="79">
        <f>IF(ISERROR((M536/E536-1)*100),"NA",IF(((M536/E536-1)*100)&gt;100,"NM",IF(((M536/E536-1)*100)&lt;-50,"NM",(M536/E536-1)*100)))</f>
        <v>-24.08421165896797</v>
      </c>
      <c r="O536" s="318">
        <f>O416/AVERAGE(O531,M531)*400</f>
        <v>10.062428056496131</v>
      </c>
      <c r="P536" s="79">
        <f>IF(ISERROR((O536/G536-1)*100),"NA",IF(((O536/G536-1)*100)&gt;100,"NM",IF(((O536/G536-1)*100)&lt;-50,"NM",(O536/G536-1)*100)))</f>
        <v>-2.9255968654276709</v>
      </c>
      <c r="Q536" s="318">
        <f>Q416/AVERAGE(Q531,O531)*400</f>
        <v>10.046446469818134</v>
      </c>
      <c r="R536" s="79">
        <f>IF(ISERROR((Q536/I536-1)*100),"NA",IF(((Q536/I536-1)*100)&gt;100,"NM",IF(((Q536/I536-1)*100)&lt;-50,"NM",(Q536/I536-1)*100)))</f>
        <v>32.534749552981481</v>
      </c>
      <c r="S536" s="318">
        <f>S416/AVERAGE(S531,Q531)*400</f>
        <v>10.003305785123965</v>
      </c>
      <c r="T536" s="79">
        <f>IF(ISERROR((S536/K536-1)*100),"NA",IF(((S536/K536-1)*100)&gt;100,"NM",IF(((S536/K536-1)*100)&lt;-50,"NM",(S536/K536-1)*100)))</f>
        <v>-1.2258041098950345</v>
      </c>
      <c r="U536" s="318">
        <f>U416/AVERAGE(U531,S531)*400</f>
        <v>-13.055879027222291</v>
      </c>
      <c r="V536" s="79" t="str">
        <f>IF(ISERROR((U536/M536-1)*100),"NA",IF(((U536/M536-1)*100)&gt;100,"NM",IF(((U536/M536-1)*100)&lt;-50,"NM",(U536/M536-1)*100)))</f>
        <v>NM</v>
      </c>
      <c r="W536" s="318">
        <f>W416/AVERAGE(W531,U531)*400</f>
        <v>7.3279229055148525</v>
      </c>
      <c r="X536" s="79">
        <f>IF(ISERROR((W536/O536-1)*100),"NA",IF(((W536/O536-1)*100)&gt;100,"NM",IF(((W536/O536-1)*100)&lt;-50,"NM",(W536/O536-1)*100)))</f>
        <v>-27.175400764390346</v>
      </c>
      <c r="Y536" s="318">
        <f>Y416/AVERAGE(Y531,W531)*400</f>
        <v>7.151255596651759</v>
      </c>
      <c r="Z536" s="79">
        <f>IF(ISERROR((Y536/Q536-1)*100),"NA",IF(((Y536/Q536-1)*100)&gt;100,"NM",IF(((Y536/Q536-1)*100)&lt;-50,"NM",(Y536/Q536-1)*100)))</f>
        <v>-28.818059020811017</v>
      </c>
      <c r="AA536" s="252">
        <f>AA416/AVERAGE(AA531,Y531)*400</f>
        <v>-11.721075333853273</v>
      </c>
      <c r="AB536" s="79" t="str">
        <f>IF(ISERROR((AA536/S536-1)*100),"NA",IF(((AA536/S536-1)*100)&gt;100,"NM",IF(((AA536/S536-1)*100)&lt;-50,"NM",(AA536/S536-1)*100)))</f>
        <v>NM</v>
      </c>
      <c r="AC536" s="318">
        <f>AC416/AVERAGE(AC531,AA531)*400</f>
        <v>-40.300896837828994</v>
      </c>
      <c r="AD536" s="79" t="str">
        <f>IF(ISERROR((AC536/U536-1)*100),"NA",IF(((AC536/U536-1)*100)&gt;100,"NM",IF(((AC536/U536-1)*100)&lt;-50,"NM",(AC536/U536-1)*100)))</f>
        <v>NM</v>
      </c>
      <c r="AE536" s="318">
        <f>AE416/AVERAGE(AE531,AC531)*400</f>
        <v>9.521211790591547</v>
      </c>
      <c r="AF536" s="79">
        <f>IF(ISERROR((AE536/W536-1)*100),"NA",IF(((AE536/W536-1)*100)&gt;100,"NM",IF(((AE536/W536-1)*100)&lt;-50,"NM",(AE536/W536-1)*100)))</f>
        <v>29.93056713828237</v>
      </c>
      <c r="AG536" s="318">
        <f>AG416/AVERAGE(AG531,AE531)*400</f>
        <v>9.1057554669283469</v>
      </c>
      <c r="AH536" s="79">
        <f>IF(ISERROR((AG536/Y536-1)*100),"NA",IF(((AG536/Y536-1)*100)&gt;100,"NM",IF(((AG536/Y536-1)*100)&lt;-50,"NM",(AG536/Y536-1)*100)))</f>
        <v>27.330863005255914</v>
      </c>
      <c r="AI536" s="318">
        <f>AI416/AVERAGE(AI531,AG531)*400</f>
        <v>8.2364632526888908</v>
      </c>
      <c r="AJ536" s="79" t="str">
        <f>IF(ISERROR((AI536/AA536-1)*100),"NA",IF(((AI536/AA536-1)*100)&gt;100,"NM",IF(((AI536/AA536-1)*100)&lt;-50,"NM",(AI536/AA536-1)*100)))</f>
        <v>NM</v>
      </c>
      <c r="AK536" s="318">
        <f>AK416/AVERAGE(AK531,AI531)*400</f>
        <v>10.621144199413223</v>
      </c>
      <c r="AL536" s="79" t="str">
        <f>IF(ISERROR((AK536/AC536-1)*100),"NA",IF(((AK536/AC536-1)*100)&gt;100,"NM",IF(((AK536/AC536-1)*100)&lt;-50,"NM",(AK536/AC536-1)*100)))</f>
        <v>NM</v>
      </c>
      <c r="AM536" s="318">
        <f>AM416/AVERAGE(AM531,AK531)*400</f>
        <v>8.6425141859449841</v>
      </c>
      <c r="AN536" s="79">
        <f>IF(ISERROR((AM536/AE536-1)*100),"NA",IF(((AM536/AE536-1)*100)&gt;100,"NM",IF(((AM536/AE536-1)*100)&lt;-50,"NM",(AM536/AE536-1)*100)))</f>
        <v>-9.2288421261131344</v>
      </c>
      <c r="AO536" s="318">
        <f>AO416/AVERAGE(AO531,AM531)*400</f>
        <v>8.9683431366069613</v>
      </c>
      <c r="AP536" s="79">
        <f>IF(ISERROR((AO536/AG536-1)*100),"NA",IF(((AO536/AG536-1)*100)&gt;100,"NM",IF(((AO536/AG536-1)*100)&lt;-50,"NM",(AO536/AG536-1)*100)))</f>
        <v>-1.5090711673563018</v>
      </c>
      <c r="AQ536" s="318">
        <f>AQ416/AVERAGE(AQ531,AO531)*400</f>
        <v>8.6903374595594514</v>
      </c>
      <c r="AR536" s="79">
        <f>IF(ISERROR((AQ536/AI536-1)*100),"NA",IF(((AQ536/AI536-1)*100)&gt;100,"NM",IF(((AQ536/AI536-1)*100)&lt;-50,"NM",(AQ536/AI536-1)*100)))</f>
        <v>5.5105473422999651</v>
      </c>
      <c r="AS536" s="318">
        <f>AS416/AVERAGE(AS531,AQ531)*400</f>
        <v>8.5467066925657704</v>
      </c>
      <c r="AT536" s="81">
        <f>IF(ISERROR((AS536/AK536-1)*100),"NA",IF(((AS536/AK536-1)*100)&gt;100,"NM",IF(((AS536/AK536-1)*100)&lt;-50,"NM",(AS536/AK536-1)*100)))</f>
        <v>-19.531205564105392</v>
      </c>
      <c r="AU536" s="318">
        <f>AU416/AVERAGE(AU531,AS531)*400</f>
        <v>8.5115284915184688</v>
      </c>
      <c r="AV536" s="81">
        <f>IF(ISERROR((AU536/AM536-1)*100),"NA",IF(((AU536/AM536-1)*100)&gt;100,"NM",IF(((AU536/AM536-1)*100)&lt;-50,"NM",(AU536/AM536-1)*100)))</f>
        <v>-1.5155971006623581</v>
      </c>
      <c r="AW536" s="318">
        <f>AW416/AVERAGE(AW531,AU531)*400</f>
        <v>9.1351607778849786</v>
      </c>
      <c r="AX536" s="81">
        <f>IF(ISERROR((AW536/AO536-1)*100),"NA",IF(((AW536/AO536-1)*100)&gt;100,"NM",IF(((AW536/AO536-1)*100)&lt;-50,"NM",(AW536/AO536-1)*100)))</f>
        <v>1.8600720192908593</v>
      </c>
      <c r="AY536" s="318">
        <f>AY416/AVERAGE(AY531,AW531)*400</f>
        <v>10.306013513029406</v>
      </c>
      <c r="AZ536" s="81">
        <f>IF(ISERROR((AY536/AQ536-1)*100),"NA",IF(((AY536/AQ536-1)*100)&gt;100,"NM",IF(((AY536/AQ536-1)*100)&lt;-50,"NM",(AY536/AQ536-1)*100)))</f>
        <v>18.591637677921202</v>
      </c>
      <c r="BA536" s="318">
        <f>BA416/AVERAGE(BA531,AY531)*400</f>
        <v>10.020876826722336</v>
      </c>
      <c r="BB536" s="81">
        <f>IF(ISERROR((BA536/AS536-1)*100),"NA",IF(((BA536/AS536-1)*100)&gt;100,"NM",IF(((BA536/AS536-1)*100)&lt;-50,"NM",(BA536/AS536-1)*100)))</f>
        <v>17.248399730844287</v>
      </c>
      <c r="BC536" s="318">
        <f>BC416/AVERAGE(BC531,BA531)*400</f>
        <v>10.29728809712924</v>
      </c>
      <c r="BD536" s="81">
        <f>IF(ISERROR((BC536/AU536-1)*100),"NA",IF(((BC536/AU536-1)*100)&gt;100,"NM",IF(((BC536/AU536-1)*100)&lt;-50,"NM",(BC536/AU536-1)*100)))</f>
        <v>20.980480854763471</v>
      </c>
      <c r="BE536" s="318">
        <f>BE416/AVERAGE(BE531,BC531)*400</f>
        <v>11.804001333324255</v>
      </c>
      <c r="BF536" s="81">
        <f>IF(ISERROR((BE536/AW536-1)*100),"NA",IF(((BE536/AW536-1)*100)&gt;100,"NM",IF(((BE536/AW536-1)*100)&lt;-50,"NM",(BE536/AW536-1)*100)))</f>
        <v>29.215036498319623</v>
      </c>
      <c r="BG536" s="318">
        <f>BG416/AVERAGE(BG531,BE531)*400</f>
        <v>11.358820942659548</v>
      </c>
      <c r="BH536" s="81">
        <f>IF(ISERROR((BG536/AY536-1)*100),"NA",IF(((BG536/AY536-1)*100)&gt;100,"NM",IF(((BG536/AY536-1)*100)&lt;-50,"NM",(BG536/AY536-1)*100)))</f>
        <v>10.215467195915551</v>
      </c>
      <c r="BI536" s="318">
        <f>BI416/AVERAGE(BI531,BG531)*400</f>
        <v>11.123378230992099</v>
      </c>
      <c r="BJ536" s="81">
        <f>IF(ISERROR((BI536/BA536-1)*100),"NA",IF(((BI536/BA536-1)*100)&gt;100,"NM",IF(((BI536/BA536-1)*100)&lt;-50,"NM",(BI536/BA536-1)*100)))</f>
        <v>11.002045263442017</v>
      </c>
      <c r="BK536" s="318">
        <f>BK416/AVERAGE(BK531,BI531)*400</f>
        <v>11.935828877005335</v>
      </c>
      <c r="BL536" s="81">
        <f>IF(ISERROR((BK536/BC536-1)*100),"NA",IF(((BK536/BC536-1)*100)&gt;100,"NM",IF(((BK536/BC536-1)*100)&lt;-50,"NM",(BK536/BC536-1)*100)))</f>
        <v>15.912352499226468</v>
      </c>
      <c r="BM536" s="318">
        <f>BM416/AVERAGE(BM531,BK531)*400</f>
        <v>11.627844640416001</v>
      </c>
      <c r="BN536" s="81">
        <f>IF(ISERROR((BM536/BE536-1)*100),"NA",IF(((BM536/BE536-1)*100)&gt;100,"NM",IF(((BM536/BE536-1)*100)&lt;-50,"NM",(BM536/BE536-1)*100)))</f>
        <v>-1.4923472806711802</v>
      </c>
      <c r="BO536" s="318">
        <f>BO416/AVERAGE(BO531,BM531)*400</f>
        <v>11.405539366540495</v>
      </c>
      <c r="BP536" s="81">
        <f>IF(ISERROR((BO536/BG536-1)*100),"NA",IF(((BO536/BG536-1)*100)&gt;100,"NM",IF(((BO536/BG536-1)*100)&lt;-50,"NM",(BO536/BG536-1)*100)))</f>
        <v>0.41129641990824695</v>
      </c>
      <c r="BQ536" s="318">
        <f>BQ416/AVERAGE(BQ531,BO531)*400</f>
        <v>11.128833612630979</v>
      </c>
      <c r="BR536" s="81">
        <f>IF(ISERROR((BQ536/BI536-1)*100),"NA",IF(((BQ536/BI536-1)*100)&gt;100,"NM",IF(((BQ536/BI536-1)*100)&lt;-50,"NM",(BQ536/BI536-1)*100)))</f>
        <v>4.9044287855637414E-2</v>
      </c>
      <c r="BS536" s="318">
        <f>BS416/AVERAGE(BS531,BQ531)*400</f>
        <v>11.303681684552386</v>
      </c>
      <c r="BT536" s="81">
        <f>IF(ISERROR((BS536/BK536-1)*100),"NA",IF(((BS536/BK536-1)*100)&gt;100,"NM",IF(((BS536/BK536-1)*100)&lt;-50,"NM",(BS536/BK536-1)*100)))</f>
        <v>-5.2962152772715765</v>
      </c>
      <c r="BU536" s="318">
        <f>BU416/AVERAGE(BU531,BS531)*400</f>
        <v>10.749028472733729</v>
      </c>
      <c r="BV536" s="81">
        <f>IF(ISERROR((BU536/BM536-1)*100),"NA",IF(((BU536/BM536-1)*100)&gt;100,"NM",IF(((BU536/BM536-1)*100)&lt;-50,"NM",(BU536/BM536-1)*100)))</f>
        <v>-7.5578595591799358</v>
      </c>
      <c r="BW536" s="318">
        <f>BW416/AVERAGE(BW531,BU531)*400</f>
        <v>10.822199638103253</v>
      </c>
      <c r="BX536" s="81">
        <f>IF(ISERROR((BW536/BO536-1)*100),"NA",IF(((BW536/BO536-1)*100)&gt;100,"NM",IF(((BW536/BO536-1)*100)&lt;-50,"NM",(BW536/BO536-1)*100)))</f>
        <v>-5.1145299638221235</v>
      </c>
      <c r="BY536" s="318">
        <f>BY416/AVERAGE(BY$531,BW$531)*400</f>
        <v>10.962482765293533</v>
      </c>
      <c r="BZ536" s="81">
        <f>IF(ISERROR((BY536/BQ536-1)*100),"NA",IF(((BY536/BQ536-1)*100)&gt;100,"NM",IF(((BY536/BQ536-1)*100)&lt;-50,"NM",(BY536/BQ536-1)*100)))</f>
        <v>-1.4947734248505706</v>
      </c>
      <c r="CA536" s="318">
        <f>CA416/AVERAGE(CA531,BY531)*400</f>
        <v>11.064118350375642</v>
      </c>
      <c r="CB536" s="81">
        <f>IF(ISERROR((CA536/BS536-1)*100),"NA",IF(((CA536/BS536-1)*100)&gt;100,"NM",IF(((CA536/BS536-1)*100)&lt;-50,"NM",(CA536/BS536-1)*100)))</f>
        <v>-2.1193389982321453</v>
      </c>
      <c r="CC536" s="318">
        <f>CC416/AVERAGE(CC531,CA531)*400</f>
        <v>10.592916313352035</v>
      </c>
      <c r="CD536" s="81">
        <f>IF(ISERROR((CC536/BU536-1)*100),"NA",IF(((CC536/BU536-1)*100)&gt;100,"NM",IF(((CC536/BU536-1)*100)&lt;-50,"NM",(CC536/BU536-1)*100)))</f>
        <v>-1.4523373882364576</v>
      </c>
      <c r="CE536" s="318">
        <f>CE416/AVERAGE(CE531,CC531)*400</f>
        <v>10.253685748439381</v>
      </c>
      <c r="CF536" s="81">
        <f>IF(ISERROR((CE536/BW536-1)*100),"NA",IF(((CE536/BW536-1)*100)&gt;100,"NM",IF(((CE536/BW536-1)*100)&lt;-50,"NM",(CE536/BW536-1)*100)))</f>
        <v>-5.2532193886187901</v>
      </c>
      <c r="CG536" s="318">
        <f>CG416/AVERAGE(CG531,CE531)*400</f>
        <v>10.786859822516517</v>
      </c>
      <c r="CH536" s="81">
        <f>IF(ISERROR((CG536/BY536-1)*100),"NA",IF(((CG536/BY536-1)*100)&gt;100,"NM",IF(((CG536/BY536-1)*100)&lt;-50,"NM",(CG536/BY536-1)*100)))</f>
        <v>-1.6020362041801905</v>
      </c>
      <c r="CI536" s="318">
        <f>CI416/AVERAGE(CI531,CG531)*400</f>
        <v>11.541035132629828</v>
      </c>
      <c r="CJ536" s="81">
        <f>IF(ISERROR((CI536/CA536-1)*100),"NA",IF(((CI536/CA536-1)*100)&gt;100,"NM",IF(((CI536/CA536-1)*100)&lt;-50,"NM",(CI536/CA536-1)*100)))</f>
        <v>4.3104815688996601</v>
      </c>
      <c r="CK536" s="318">
        <f>CK416/AVERAGE(CK531,CI531)*400</f>
        <v>10.656985735354709</v>
      </c>
      <c r="CL536" s="81">
        <f>IF(ISERROR((CK536/CC536-1)*100),"NA",IF(((CK536/CC536-1)*100)&gt;100,"NM",IF(((CK536/CC536-1)*100)&lt;-50,"NM",(CK536/CC536-1)*100)))</f>
        <v>0.60483270241564746</v>
      </c>
      <c r="CM536" s="318">
        <f>CM416/AVERAGE(CM531,CK531)*400</f>
        <v>-18.115933127786867</v>
      </c>
      <c r="CN536" s="81" t="str">
        <f>IF(ISERROR((CM536/CE536-1)*100),"NA",IF(((CM536/CE536-1)*100)&gt;100,"NM",IF(((CM536/CE536-1)*100)&lt;-50,"NM",(CM536/CE536-1)*100)))</f>
        <v>NM</v>
      </c>
      <c r="CO536" s="318">
        <f>CO416/AVERAGE(CO531,CM531)*400</f>
        <v>11.052072263549412</v>
      </c>
      <c r="CP536" s="81">
        <f>IF(ISERROR((CO536/CG536-1)*100),"NA",IF(((CO536/CG536-1)*100)&gt;100,"NM",IF(((CO536/CG536-1)*100)&lt;-50,"NM",(CO536/CG536-1)*100)))</f>
        <v>2.4586621630077188</v>
      </c>
      <c r="CQ536" s="318">
        <f>CQ416/AVERAGE(CQ531,CO531)*400</f>
        <v>11.620964674175845</v>
      </c>
      <c r="CR536" s="81">
        <f>IF(ISERROR((CQ536/CI536-1)*100),"NA",IF(((CQ536/CI536-1)*100)&gt;100,"NM",IF(((CQ536/CI536-1)*100)&lt;-50,"NM",(CQ536/CI536-1)*100)))</f>
        <v>0.69256821963943338</v>
      </c>
      <c r="CS536" s="318">
        <f>CS416/AVERAGE(CS531,CQ531)*400</f>
        <v>11.43703249853208</v>
      </c>
      <c r="CT536" s="81">
        <f>IF(ISERROR((CS536/CK536-1)*100),"NA",IF(((CS536/CK536-1)*100)&gt;100,"NM",IF(((CS536/CK536-1)*100)&lt;-50,"NM",(CS536/CK536-1)*100)))</f>
        <v>7.3195815641335926</v>
      </c>
      <c r="CU536" s="318">
        <f>CU416/AVERAGE(CU531,CS531)*400</f>
        <v>11.343870528624365</v>
      </c>
      <c r="CV536" s="81" t="str">
        <f>IF(ISERROR((CU536/CM536-1)*100),"NA",IF(((CU536/CM536-1)*100)&gt;100,"NM",IF(((CU536/CM536-1)*100)&lt;-50,"NM",(CU536/CM536-1)*100)))</f>
        <v>NM</v>
      </c>
      <c r="CW536" s="318">
        <f>CW416/AVERAGE(CW531,CU531)*400</f>
        <v>10.597445303206765</v>
      </c>
      <c r="CX536" s="81">
        <f>IF(ISERROR((CW536/CO536-1)*100),"NA",IF(((CW536/CO536-1)*100)&gt;100,"NM",IF(((CW536/CO536-1)*100)&lt;-50,"NM",(CW536/CO536-1)*100)))</f>
        <v>-4.1134997084849134</v>
      </c>
      <c r="CY536" s="318">
        <f>CY416/AVERAGE(CY531,CW531)*400</f>
        <v>10.638088199063805</v>
      </c>
      <c r="CZ536" s="81">
        <f>IF(ISERROR((CY536/CQ536-1)*100),"NA",IF(((CY536/CQ536-1)*100)&gt;100,"NM",IF(((CY536/CQ536-1)*100)&lt;-50,"NM",(CY536/CQ536-1)*100)))</f>
        <v>-8.4577873065580516</v>
      </c>
      <c r="DA536" s="318">
        <f>DA416/AVERAGE(DA531,CY531)*400</f>
        <v>10.793828618745509</v>
      </c>
      <c r="DB536" s="81">
        <f>IF(ISERROR((DA536/CS536-1)*100),"NA",IF(((DA536/CS536-1)*100)&gt;100,"NM",IF(((DA536/CS536-1)*100)&lt;-50,"NM",(DA536/CS536-1)*100)))</f>
        <v>-5.6238703515892325</v>
      </c>
      <c r="DC536" s="318">
        <f>DC416/AVERAGE(DC531,DA531)*400</f>
        <v>10.299665969769062</v>
      </c>
      <c r="DD536" s="81">
        <f>IF(ISERROR((DC536/CU536-1)*100),"NA",IF(((DC536/CU536-1)*100)&gt;100,"NM",IF(((DC536/CU536-1)*100)&lt;-50,"NM",(DC536/CU536-1)*100)))</f>
        <v>-9.2050112544957763</v>
      </c>
      <c r="DE536" s="318">
        <f>DE416/AVERAGE(DE531,DC531)*400</f>
        <v>10.559208770879151</v>
      </c>
      <c r="DF536" s="81">
        <f>IF(ISERROR((DE536/CW536-1)*100),"NA",IF(((DE536/CW536-1)*100)&gt;100,"NM",IF(((DE536/CW536-1)*100)&lt;-50,"NM",(DE536/CW536-1)*100)))</f>
        <v>-0.36080896134509377</v>
      </c>
      <c r="DG536" s="318">
        <f>DG416/AVERAGE(DG531,DE531)*400</f>
        <v>10.358183456394293</v>
      </c>
      <c r="DH536" s="81">
        <f>IF(ISERROR((DG536/CY536-1)*100),"NA",IF(((DG536/CY536-1)*100)&gt;100,"NM",IF(((DG536/CY536-1)*100)&lt;-50,"NM",(DG536/CY536-1)*100)))</f>
        <v>-2.6311564393134534</v>
      </c>
      <c r="DI536" s="318">
        <f>DI416/AVERAGE(DI531,DG531)*400</f>
        <v>10.128162161537485</v>
      </c>
      <c r="DJ536" s="81">
        <f>IF(ISERROR((DI536/DA536-1)*100),"NA",IF(((DI536/DA536-1)*100)&gt;100,"NM",IF(((DI536/DA536-1)*100)&lt;-50,"NM",(DI536/DA536-1)*100)))</f>
        <v>-6.1671023389418096</v>
      </c>
      <c r="DK536" s="318">
        <f>DK416/AVERAGE(DK531,DI531)*400</f>
        <v>-10.749623164945248</v>
      </c>
      <c r="DL536" s="81" t="str">
        <f>IF(ISERROR((DK536/DC536-1)*100),"NA",IF(((DK536/DC536-1)*100)&gt;100,"NM",IF(((DK536/DC536-1)*100)&lt;-50,"NM",(DK536/DC536-1)*100)))</f>
        <v>NM</v>
      </c>
      <c r="DM536" s="318">
        <f>DM416/AVERAGE(DM531,DK531)*400</f>
        <v>10.625037240064355</v>
      </c>
      <c r="DN536" s="81">
        <f>IF(ISERROR((DM536/DE536-1)*100),"NA",IF(((DM536/DE536-1)*100)&gt;100,"NM",IF(((DM536/DE536-1)*100)&lt;-50,"NM",(DM536/DE536-1)*100)))</f>
        <v>0.62342236633061709</v>
      </c>
      <c r="DO536" s="318">
        <f>DO416/AVERAGE(DO531,DM531)*400</f>
        <v>10.418683732023515</v>
      </c>
      <c r="DP536" s="81">
        <f>IF(ISERROR((DO536/DG536-1)*100),"NA",IF(((DO536/DG536-1)*100)&gt;100,"NM",IF(((DO536/DG536-1)*100)&lt;-50,"NM",(DO536/DG536-1)*100)))</f>
        <v>0.5840819086079696</v>
      </c>
      <c r="DQ536" s="318">
        <f>DQ416/AVERAGE(DQ531,DO531)*400</f>
        <v>10.361795857156258</v>
      </c>
      <c r="DR536" s="81">
        <f>IF(ISERROR((DQ536/DI536-1)*100),"NA",IF(((DQ536/DI536-1)*100)&gt;100,"NM",IF(((DQ536/DI536-1)*100)&lt;-50,"NM",(DQ536/DI536-1)*100)))</f>
        <v>2.3067728566394274</v>
      </c>
      <c r="DS536" s="318">
        <f>DS416/AVERAGE(DS531,DQ531)*400</f>
        <v>10.628294463267638</v>
      </c>
      <c r="DT536" s="81" t="str">
        <f>IF(ISERROR((DS536/DK536-1)*100),"NA",IF(((DS536/DK536-1)*100)&gt;100,"NM",IF(((DS536/DK536-1)*100)&lt;-50,"NM",(DS536/DK536-1)*100)))</f>
        <v>NM</v>
      </c>
      <c r="DU536" s="318">
        <f>DU416/AVERAGE(DU531,DS531)*400</f>
        <v>10.327395004433587</v>
      </c>
      <c r="DV536" s="81">
        <f>IF(ISERROR((DU536/DM536-1)*100),"NA",IF(((DU536/DM536-1)*100)&gt;100,"NM",IF(((DU536/DM536-1)*100)&lt;-50,"NM",(DU536/DM536-1)*100)))</f>
        <v>-2.8013288697797067</v>
      </c>
      <c r="DW536" s="318">
        <f>DW416/AVERAGE(DW531,DU531)*400</f>
        <v>10.629077140641391</v>
      </c>
      <c r="DX536" s="81">
        <f>IF(ISERROR((DW536/DO536-1)*100),"NA",IF(((DW536/DO536-1)*100)&gt;100,"NM",IF(((DW536/DO536-1)*100)&lt;-50,"NM",(DW536/DO536-1)*100)))</f>
        <v>2.0193856923710785</v>
      </c>
      <c r="DY536" s="318">
        <f>DY416/AVERAGE(DY531,DW531)*400</f>
        <v>10.320571760578085</v>
      </c>
      <c r="DZ536" s="81">
        <f>IF(ISERROR((DY536/DQ536-1)*100),"NA",IF(((DY536/DQ536-1)*100)&gt;100,"NM",IF(((DY536/DQ536-1)*100)&lt;-50,"NM",(DY536/DQ536-1)*100)))</f>
        <v>-0.39784702523069093</v>
      </c>
      <c r="EA536" s="318">
        <f>EA416/AVERAGE(EA531,DY531)*400</f>
        <v>10.249030926685071</v>
      </c>
      <c r="EB536" s="81">
        <f>IF(ISERROR((EA536/DS536-1)*100),"NA",IF(((EA536/DS536-1)*100)&gt;100,"NM",IF(((EA536/DS536-1)*100)&lt;-50,"NM",(EA536/DS536-1)*100)))</f>
        <v>-3.5684327141418226</v>
      </c>
      <c r="EC536" s="318">
        <f>EC416/AVERAGE(EC531,EA531)*400</f>
        <v>10.422529615478835</v>
      </c>
      <c r="ED536" s="81">
        <f t="shared" ref="ED536:ED539" si="2124">IF(ISERROR((EC536/DU536-1)*100),"NA",IF(((EC536/DU536-1)*100)&gt;100,"NM",IF(((EC536/DU536-1)*100)&lt;-50,"NM",(EC536/DU536-1)*100)))</f>
        <v>0.92118691116593876</v>
      </c>
      <c r="EE536" s="318">
        <f>EE416/AVERAGE(EE531,EC531)*400</f>
        <v>10.500693967451785</v>
      </c>
      <c r="EF536" s="81">
        <f t="shared" ref="EF536:EF539" si="2125">IF(ISERROR((EE536/DW536-1)*100),"NA",IF(((EE536/DW536-1)*100)&gt;100,"NM",IF(((EE536/DW536-1)*100)&lt;-50,"NM",(EE536/DW536-1)*100)))</f>
        <v>-1.2078487293945783</v>
      </c>
      <c r="EG536" s="318">
        <f>EG416/AVERAGE(EG531,EE531)*400</f>
        <v>10.595597755718599</v>
      </c>
      <c r="EH536" s="81">
        <f t="shared" ref="EH536:EH539" si="2126">IF(ISERROR((EG536/DY536-1)*100),"NA",IF(((EG536/DY536-1)*100)&gt;100,"NM",IF(((EG536/DY536-1)*100)&lt;-50,"NM",(EG536/DY536-1)*100)))</f>
        <v>2.6648329329101772</v>
      </c>
      <c r="EI536" s="318">
        <f>EI416/AVERAGE(EI531,EG531)*400</f>
        <v>10.807758487510446</v>
      </c>
      <c r="EJ536" s="81">
        <f t="shared" ref="EJ536:EJ539" si="2127">IF(ISERROR((EI536/EA536-1)*100),"NA",IF(((EI536/EA536-1)*100)&gt;100,"NM",IF(((EI536/EA536-1)*100)&lt;-50,"NM",(EI536/EA536-1)*100)))</f>
        <v>5.4515160001189278</v>
      </c>
      <c r="EK536" s="318">
        <f t="shared" ref="EK536" si="2128">EK416/AVERAGE(EK531,EI531)*400</f>
        <v>11.883378885974297</v>
      </c>
      <c r="EL536" s="81">
        <f t="shared" ref="EL536:EL539" si="2129">IF(ISERROR((EK536/EC536-1)*100),"NA",IF(((EK536/EC536-1)*100)&gt;100,"NM",IF(((EK536/EC536-1)*100)&lt;-50,"NM",(EK536/EC536-1)*100)))</f>
        <v>14.016264039450732</v>
      </c>
      <c r="EM536" s="318">
        <f t="shared" ref="EM536" si="2130">EM416/AVERAGE(EM531,EK531)*400</f>
        <v>11.814142003443944</v>
      </c>
      <c r="EN536" s="81">
        <f t="shared" ref="EN536:EN539" si="2131">IF(ISERROR((EM536/EE536-1)*100),"NA",IF(((EM536/EE536-1)*100)&gt;100,"NM",IF(((EM536/EE536-1)*100)&lt;-50,"NM",(EM536/EE536-1)*100)))</f>
        <v>12.508202220380449</v>
      </c>
      <c r="EO536" s="318">
        <f t="shared" ref="EO536" si="2132">EO416/AVERAGE(EO531,EM531)*400</f>
        <v>11.71045790616744</v>
      </c>
      <c r="EP536" s="81">
        <f t="shared" ref="EP536:EP539" si="2133">IF(ISERROR((EO536/EG536-1)*100),"NA",IF(((EO536/EG536-1)*100)&gt;100,"NM",IF(((EO536/EG536-1)*100)&lt;-50,"NM",(EO536/EG536-1)*100)))</f>
        <v>10.521918405661769</v>
      </c>
      <c r="EQ536" s="318">
        <f t="shared" ref="EQ536" si="2134">EQ416/AVERAGE(EQ531,EO531)*400</f>
        <v>11.640289925965053</v>
      </c>
      <c r="ER536" s="81">
        <f t="shared" ref="ER536:ER539" si="2135">IF(ISERROR((EQ536/EI536-1)*100),"NA",IF(((EQ536/EI536-1)*100)&gt;100,"NM",IF(((EQ536/EI536-1)*100)&lt;-50,"NM",(EQ536/EI536-1)*100)))</f>
        <v>7.7030906956025103</v>
      </c>
      <c r="ES536" s="129"/>
      <c r="ET536" s="469"/>
      <c r="EU536" s="129"/>
      <c r="EV536" s="318">
        <f>EV416/EV533*100</f>
        <v>0</v>
      </c>
      <c r="EW536" s="79"/>
      <c r="EX536" s="318">
        <f>EX416/AVERAGE(EX531,EV531)*100</f>
        <v>0</v>
      </c>
      <c r="EY536" s="79" t="str">
        <f>IF(ISERROR((EX536/EV536-1)*100),"NA",IF(((EX536/EV536-1)*100)&gt;100,"NM",IF(((EX536/EV536-1)*100)&lt;-50,"NM",(EX536/EV536-1)*100)))</f>
        <v>NA</v>
      </c>
      <c r="EZ536" s="318"/>
      <c r="FA536" s="79" t="str">
        <f>IF(ISERROR((EZ536/EX536-1)*100),"NA",IF(((EZ536/EX536-1)*100)&gt;100,"NM",IF(((EZ536/EX536-1)*100)&lt;-50,"NM",(EZ536/EX536-1)*100)))</f>
        <v>NA</v>
      </c>
      <c r="FB536" s="318">
        <f>FB416/AVERAGE(FB531,EZ531)*100</f>
        <v>-4.0411412277873016</v>
      </c>
      <c r="FC536" s="79" t="str">
        <f>IF(ISERROR((FB536/EZ536-1)*100),"NA",IF(((FB536/EZ536-1)*100)&gt;100,"NM",IF(((FB536/EZ536-1)*100)&lt;-50,"NM",(FB536/EZ536-1)*100)))</f>
        <v>NA</v>
      </c>
      <c r="FD536" s="318">
        <f>FD416/AVERAGE(FD531,FB531)*100</f>
        <v>12.604430617928211</v>
      </c>
      <c r="FE536" s="79" t="str">
        <f>IF(ISERROR((FD536/FB536-1)*100),"NA",IF(((FD536/FB536-1)*100)&gt;100,"NM",IF(((FD536/FB536-1)*100)&lt;-50,"NM",(FD536/FB536-1)*100)))</f>
        <v>NM</v>
      </c>
      <c r="FF536" s="318">
        <f>FF416/AVERAGE(FF531,FD531)*100</f>
        <v>0.69375945288355101</v>
      </c>
      <c r="FG536" s="79" t="str">
        <f>IF(ISERROR((FF536/FD536-1)*100),"NA",IF(((FF536/FD536-1)*100)&gt;100,"NM",IF(((FF536/FD536-1)*100)&lt;-50,"NM",(FF536/FD536-1)*100)))</f>
        <v>NM</v>
      </c>
      <c r="FH536" s="318">
        <f>FH416/AVERAGE(FH531,FF531)*100</f>
        <v>-0.96767656297497529</v>
      </c>
      <c r="FI536" s="79" t="str">
        <f>IF(ISERROR((FH536/FF536-1)*100),"NA",IF(((FH536/FF536-1)*100)&gt;100,"NM",IF(((FH536/FF536-1)*100)&lt;-50,"NM",(FH536/FF536-1)*100)))</f>
        <v>NM</v>
      </c>
      <c r="FJ536" s="318">
        <f>FJ416/AVERAGE(FJ531,FH531)*100</f>
        <v>9.2435989751662166</v>
      </c>
      <c r="FK536" s="79" t="str">
        <f>IF(ISERROR((FJ536/FH536-1)*100),"NA",IF(((FJ536/FH536-1)*100)&gt;100,"NM",IF(((FJ536/FH536-1)*100)&lt;-50,"NM",(FJ536/FH536-1)*100)))</f>
        <v>NM</v>
      </c>
      <c r="FL536" s="318">
        <f>FL416/AVERAGE(FL531,FJ531)*100</f>
        <v>9.1789334455600358</v>
      </c>
      <c r="FM536" s="79">
        <f>IF(ISERROR((FL536/FJ536-1)*100),"NA",IF(((FL536/FJ536-1)*100)&gt;100,"NM",IF(((FL536/FJ536-1)*100)&lt;-50,"NM",(FL536/FJ536-1)*100)))</f>
        <v>-0.69957091150222306</v>
      </c>
      <c r="FN536" s="318">
        <f>AVERAGE(BG536,BC536,BA536,BE536)</f>
        <v>10.870246799958846</v>
      </c>
      <c r="FO536" s="79">
        <f>IF(ISERROR((FN536/FL536-1)*100),"NA",IF(((FN536/FL536-1)*100)&gt;100,"NM",IF(((FN536/FL536-1)*100)&lt;-50,"NM",(FN536/FL536-1)*100)))</f>
        <v>18.42603353025638</v>
      </c>
      <c r="FP536" s="318">
        <f>AVERAGE(BO536,BK536,BI536,BM536)</f>
        <v>11.523147778738483</v>
      </c>
      <c r="FQ536" s="79">
        <f>IF(ISERROR((FP536/FN536-1)*100),"NA",IF(((FP536/FN536-1)*100)&gt;100,"NM",IF(((FP536/FN536-1)*100)&lt;-50,"NM",(FP536/FN536-1)*100)))</f>
        <v>6.0063123753741232</v>
      </c>
      <c r="FR536" s="318">
        <f>FR416/FR533*100</f>
        <v>11.092954274327347</v>
      </c>
      <c r="FS536" s="79">
        <f>IF(ISERROR((FR536/FP536-1)*100),"NA",IF(((FR536/FP536-1)*100)&gt;100,"NM",IF(((FR536/FP536-1)*100)&lt;-50,"NM",(FR536/FP536-1)*100)))</f>
        <v>-3.7332985107150329</v>
      </c>
      <c r="FT536" s="318">
        <f>FT416/FT533*100</f>
        <v>10.982900212366339</v>
      </c>
      <c r="FU536" s="79">
        <f>IF(ISERROR((FT536/FR536-1)*100),"NA",IF(((FT536/FR536-1)*100)&gt;100,"NM",IF(((FT536/FR536-1)*100)&lt;-50,"NM",(FT536/FR536-1)*100)))</f>
        <v>-0.99210777615580392</v>
      </c>
      <c r="FV536" s="318">
        <f>FV416/FV533*100</f>
        <v>3.8948577777216631</v>
      </c>
      <c r="FW536" s="79" t="str">
        <f>IF(ISERROR((FV536/FT536-1)*100),"NA",IF(((FV536/FT536-1)*100)&gt;100,"NM",IF(((FV536/FT536-1)*100)&lt;-50,"NM",(FV536/FT536-1)*100)))</f>
        <v>NM</v>
      </c>
      <c r="FX536" s="318">
        <f>FX416/FX533*100</f>
        <v>11.230842759279911</v>
      </c>
      <c r="FY536" s="79" t="str">
        <f>IF(ISERROR((FX536/FV536-1)*100),"NA",IF(((FX536/FV536-1)*100)&gt;100,"NM",IF(((FX536/FV536-1)*100)&lt;-50,"NM",(FX536/FV536-1)*100)))</f>
        <v>NM</v>
      </c>
      <c r="FZ536" s="318">
        <f>FZ416/FZ533*100</f>
        <v>10.56232627752833</v>
      </c>
      <c r="GA536" s="79">
        <f>IF(ISERROR((FZ536/FX536-1)*100),"NA",IF(((FZ536/FX536-1)*100)&gt;100,"NM",IF(((FZ536/FX536-1)*100)&lt;-50,"NM",(FZ536/FX536-1)*100)))</f>
        <v>-5.9525050441935345</v>
      </c>
      <c r="GB536" s="318">
        <f>GB416/GB533*100</f>
        <v>5.183866574275406</v>
      </c>
      <c r="GC536" s="79" t="str">
        <f>IF(ISERROR((GB536/FZ536-1)*100),"NA",IF(((GB536/FZ536-1)*100)&gt;100,"NM",IF(((GB536/FZ536-1)*100)&lt;-50,"NM",(GB536/FZ536-1)*100)))</f>
        <v>NM</v>
      </c>
      <c r="GD536" s="318">
        <f>GD416/GD533*100</f>
        <v>10.506195856098516</v>
      </c>
      <c r="GE536" s="79" t="str">
        <f>IF(ISERROR((GD536/GB536-1)*100),"NA",IF(((GD536/GB536-1)*100)&gt;100,"NM",IF(((GD536/GB536-1)*100)&lt;-50,"NM",(GD536/GB536-1)*100)))</f>
        <v>NM</v>
      </c>
      <c r="GF536" s="318">
        <f>GF416/GF533*100</f>
        <v>10.365204790907253</v>
      </c>
      <c r="GG536" s="79">
        <f>IF(ISERROR((GF536/GD536-1)*100),"NA",IF(((GF536/GD536-1)*100)&gt;100,"NM",IF(((GF536/GD536-1)*100)&lt;-50,"NM",(GF536/GD536-1)*100)))</f>
        <v>-1.341980171723367</v>
      </c>
      <c r="GH536" s="318">
        <f>GH416/GH533*100</f>
        <v>10.566217562708482</v>
      </c>
      <c r="GI536" s="79">
        <f>IF(ISERROR((GH536/GF536-1)*100),"NA",IF(((GH536/GF536-1)*100)&gt;100,"NM",IF(((GH536/GF536-1)*100)&lt;-50,"NM",(GH536/GF536-1)*100)))</f>
        <v>1.9393034277293442</v>
      </c>
      <c r="GJ536" s="318">
        <f>GJ416/GJ533*100</f>
        <v>11.755682856275866</v>
      </c>
      <c r="GK536" s="79">
        <f>IF(ISERROR((GJ536/GH536-1)*100),"NA",IF(((GJ536/GH536-1)*100)&gt;100,"NM",IF(((GJ536/GH536-1)*100)&lt;-50,"NM",(GJ536/GH536-1)*100)))</f>
        <v>11.257247794758474</v>
      </c>
      <c r="GL536" s="318">
        <f>GL416/GL533*100</f>
        <v>11.45776785667034</v>
      </c>
      <c r="GM536" s="79">
        <f>IF(ISERROR((GL536/GJ536-1)*100),"NA",IF(((GL536/GJ536-1)*100)&gt;100,"NM",IF(((GL536/GJ536-1)*100)&lt;-50,"NM",(GL536/GJ536-1)*100)))</f>
        <v>-2.534221135835435</v>
      </c>
      <c r="GN536" s="318">
        <f>GN416/GN533*100</f>
        <v>11.232845867637186</v>
      </c>
      <c r="GO536" s="79">
        <f>IF(ISERROR((GN536/GL536-1)*100),"NA",IF(((GN536/GL536-1)*100)&gt;100,"NM",IF(((GN536/GL536-1)*100)&lt;-50,"NM",(GN536/GL536-1)*100)))</f>
        <v>-1.9630524186455056</v>
      </c>
      <c r="GP536" s="318">
        <f>GP416/GP533*100</f>
        <v>11.058713894237973</v>
      </c>
      <c r="GQ536" s="79">
        <f>IF(ISERROR((GP536/GN536-1)*100),"NA",IF(((GP536/GN536-1)*100)&gt;100,"NM",IF(((GP536/GN536-1)*100)&lt;-50,"NM",(GP536/GN536-1)*100)))</f>
        <v>-1.5502035321334096</v>
      </c>
      <c r="GR536" s="318">
        <f>GR416/GR533*100</f>
        <v>10.853213222328559</v>
      </c>
      <c r="GS536" s="79">
        <f>IF(ISERROR((GR536/GP536-1)*100),"NA",IF(((GR536/GP536-1)*100)&gt;100,"NM",IF(((GR536/GP536-1)*100)&lt;-50,"NM",(GR536/GP536-1)*100)))</f>
        <v>-1.8582691791718009</v>
      </c>
      <c r="GT536" s="79">
        <f>IF(ISERROR(((GR536/GH536)^0.2-1)*100),"NA",(IF(OR(((GR536/GH536)^0.2-1)*100&gt;99,((GR536/GH536)^0.2-1)*100&lt;-50),"NM",(((GR536/GH536)^0.2-1)*100))))</f>
        <v>0.53742490044046409</v>
      </c>
    </row>
    <row r="537" spans="1:202" ht="12.75" customHeight="1" x14ac:dyDescent="0.2">
      <c r="A537" s="1"/>
      <c r="B537" s="2" t="s">
        <v>544</v>
      </c>
      <c r="C537" s="79"/>
      <c r="D537" s="79"/>
      <c r="E537" s="318"/>
      <c r="F537" s="318"/>
      <c r="G537" s="318"/>
      <c r="H537" s="318"/>
      <c r="I537" s="318"/>
      <c r="J537" s="318"/>
      <c r="K537" s="318"/>
      <c r="L537" s="79"/>
      <c r="M537" s="318"/>
      <c r="N537" s="79"/>
      <c r="O537" s="318"/>
      <c r="P537" s="79"/>
      <c r="Q537" s="318"/>
      <c r="R537" s="79"/>
      <c r="S537" s="318"/>
      <c r="T537" s="79"/>
      <c r="U537" s="318"/>
      <c r="V537" s="79"/>
      <c r="W537" s="318"/>
      <c r="X537" s="79"/>
      <c r="Y537" s="318"/>
      <c r="Z537" s="79"/>
      <c r="AA537" s="252"/>
      <c r="AB537" s="79"/>
      <c r="AC537" s="318"/>
      <c r="AD537" s="79"/>
      <c r="AE537" s="318"/>
      <c r="AF537" s="79"/>
      <c r="AG537" s="318"/>
      <c r="AH537" s="79"/>
      <c r="AI537" s="318"/>
      <c r="AJ537" s="79"/>
      <c r="AK537" s="318"/>
      <c r="AL537" s="79"/>
      <c r="AM537" s="318"/>
      <c r="AN537" s="79"/>
      <c r="AO537" s="318"/>
      <c r="AP537" s="79"/>
      <c r="AQ537" s="318"/>
      <c r="AR537" s="79"/>
      <c r="AS537" s="318"/>
      <c r="AT537" s="81"/>
      <c r="AU537" s="318"/>
      <c r="AV537" s="81"/>
      <c r="AW537" s="318"/>
      <c r="AX537" s="81"/>
      <c r="AY537" s="318"/>
      <c r="AZ537" s="81"/>
      <c r="BA537" s="318"/>
      <c r="BB537" s="81"/>
      <c r="BC537" s="318"/>
      <c r="BD537" s="81"/>
      <c r="BE537" s="318"/>
      <c r="BF537" s="81"/>
      <c r="BG537" s="318"/>
      <c r="BH537" s="81"/>
      <c r="BI537" s="318"/>
      <c r="BJ537" s="81"/>
      <c r="BK537" s="318"/>
      <c r="BL537" s="81"/>
      <c r="BM537" s="318"/>
      <c r="BN537" s="81"/>
      <c r="BO537" s="318"/>
      <c r="BP537" s="81"/>
      <c r="BQ537" s="318"/>
      <c r="BR537" s="81"/>
      <c r="BS537" s="318"/>
      <c r="BT537" s="81"/>
      <c r="BU537" s="318"/>
      <c r="BV537" s="81"/>
      <c r="BW537" s="318"/>
      <c r="BX537" s="81"/>
      <c r="BY537" s="318">
        <f>(BY416-(BY412*0.65))/AVERAGE(BY$531,BW$531)*400</f>
        <v>10.962482765293533</v>
      </c>
      <c r="BZ537" s="81" t="str">
        <f>IF(ISERROR((BY537/BQ537-1)*100),"NA",IF(((BY537/BQ537-1)*100)&gt;100,"NM",IF(((BY537/BQ537-1)*100)&lt;-50,"NM",(BY537/BQ537-1)*100)))</f>
        <v>NA</v>
      </c>
      <c r="CA537" s="318">
        <f>(CA416-(CA412*0.65))/AVERAGE(CA$531,BY$531)*400</f>
        <v>11.064118350375642</v>
      </c>
      <c r="CB537" s="81" t="str">
        <f>IF(ISERROR((CA537/BS537-1)*100),"NA",IF(((CA537/BS537-1)*100)&gt;100,"NM",IF(((CA537/BS537-1)*100)&lt;-50,"NM",(CA537/BS537-1)*100)))</f>
        <v>NA</v>
      </c>
      <c r="CC537" s="318">
        <f>(CC416-(CC412*0.65))/AVERAGE(CC$531,CA$531)*400</f>
        <v>10.592916313352035</v>
      </c>
      <c r="CD537" s="81" t="str">
        <f>IF(ISERROR((CC537/BU537-1)*100),"NA",IF(((CC537/BU537-1)*100)&gt;100,"NM",IF(((CC537/BU537-1)*100)&lt;-50,"NM",(CC537/BU537-1)*100)))</f>
        <v>NA</v>
      </c>
      <c r="CE537" s="318">
        <f>(CE416-(CE412*0.65))/AVERAGE(CE$531,CC$531)*400</f>
        <v>10.253685748439381</v>
      </c>
      <c r="CF537" s="81" t="str">
        <f>IF(ISERROR((CE537/BW537-1)*100),"NA",IF(((CE537/BW537-1)*100)&gt;100,"NM",IF(((CE537/BW537-1)*100)&lt;-50,"NM",(CE537/BW537-1)*100)))</f>
        <v>NA</v>
      </c>
      <c r="CG537" s="318">
        <f>(CG416-(CG412*0.65))/AVERAGE(CG$531,CE$531)*400</f>
        <v>10.786859822516517</v>
      </c>
      <c r="CH537" s="81">
        <f>IF(ISERROR((CG537/BY537-1)*100),"NA",IF(((CG537/BY537-1)*100)&gt;100,"NM",IF(((CG537/BY537-1)*100)&lt;-50,"NM",(CG537/BY537-1)*100)))</f>
        <v>-1.6020362041801905</v>
      </c>
      <c r="CI537" s="318">
        <f>(CI416-(CI412*0.65))/AVERAGE(CI$531,CG$531)*400</f>
        <v>11.413347084353925</v>
      </c>
      <c r="CJ537" s="81">
        <f>IF(ISERROR((CI537/CA537-1)*100),"NA",IF(((CI537/CA537-1)*100)&gt;100,"NM",IF(((CI537/CA537-1)*100)&lt;-50,"NM",(CI537/CA537-1)*100)))</f>
        <v>3.1564081557969415</v>
      </c>
      <c r="CK537" s="318">
        <f>(CK416-(CK412*0.65))/AVERAGE(CK$531,CI$531)*400</f>
        <v>10.486216017721841</v>
      </c>
      <c r="CL537" s="81">
        <f>IF(ISERROR((CK537/CC537-1)*100),"NA",IF(((CK537/CC537-1)*100)&gt;100,"NM",IF(((CK537/CC537-1)*100)&lt;-50,"NM",(CK537/CC537-1)*100)))</f>
        <v>-1.0072796996961286</v>
      </c>
      <c r="CM537" s="318">
        <f>(CM416-(CM412*0.65))/AVERAGE(CM$531,CK$531)*400</f>
        <v>12.323698853935056</v>
      </c>
      <c r="CN537" s="81">
        <f>IF(ISERROR((CM537/CE537-1)*100),"NA",IF(((CM537/CE537-1)*100)&gt;100,"NM",IF(((CM537/CE537-1)*100)&lt;-50,"NM",(CM537/CE537-1)*100)))</f>
        <v>20.187990506835398</v>
      </c>
      <c r="CO537" s="318">
        <f>(CO416-(CO412*0.65))/AVERAGE(CO$531,CM$531)*400</f>
        <v>11.052072263549412</v>
      </c>
      <c r="CP537" s="81">
        <f>IF(ISERROR((CO537/CG537-1)*100),"NA",IF(((CO537/CG537-1)*100)&gt;100,"NM",IF(((CO537/CG537-1)*100)&lt;-50,"NM",(CO537/CG537-1)*100)))</f>
        <v>2.4586621630077188</v>
      </c>
      <c r="CQ537" s="318">
        <f>(CQ416-(CQ412*0.65))/AVERAGE(CQ$531,CO$531)*400</f>
        <v>11.620964674175845</v>
      </c>
      <c r="CR537" s="81">
        <f>IF(ISERROR((CQ537/CI537-1)*100),"NA",IF(((CQ537/CI537-1)*100)&gt;100,"NM",IF(((CQ537/CI537-1)*100)&lt;-50,"NM",(CQ537/CI537-1)*100)))</f>
        <v>1.8190771584133625</v>
      </c>
      <c r="CS537" s="318">
        <f>(CS416-(CS412*0.65))/AVERAGE(CS$531,CQ$531)*400</f>
        <v>11.43703249853208</v>
      </c>
      <c r="CT537" s="81">
        <f>IF(ISERROR((CS537/CK537-1)*100),"NA",IF(((CS537/CK537-1)*100)&gt;100,"NM",IF(((CS537/CK537-1)*100)&lt;-50,"NM",(CS537/CK537-1)*100)))</f>
        <v>9.0672982437453911</v>
      </c>
      <c r="CU537" s="318">
        <f>(CU416-(CU412*0.65))/AVERAGE(CU$531,CS$531)*400</f>
        <v>11.343870528624365</v>
      </c>
      <c r="CV537" s="81">
        <f>IF(ISERROR((CU537/CM537-1)*100),"NA",IF(((CU537/CM537-1)*100)&gt;100,"NM",IF(((CU537/CM537-1)*100)&lt;-50,"NM",(CU537/CM537-1)*100)))</f>
        <v>-7.9507649198830022</v>
      </c>
      <c r="CW537" s="318">
        <f>(CW416-(CW412*0.65))/AVERAGE(CW$531,CU$531)*400</f>
        <v>10.629830538030859</v>
      </c>
      <c r="CX537" s="81">
        <f>IF(ISERROR((CW537/CO537-1)*100),"NA",IF(((CW537/CO537-1)*100)&gt;100,"NM",IF(((CW537/CO537-1)*100)&lt;-50,"NM",(CW537/CO537-1)*100)))</f>
        <v>-3.8204756126246076</v>
      </c>
      <c r="CY537" s="318">
        <f>(CY416-(CY412*0.65))/AVERAGE(CY$531,CW$531)*400</f>
        <v>10.638088199063805</v>
      </c>
      <c r="CZ537" s="81">
        <f>IF(ISERROR((CY537/CQ537-1)*100),"NA",IF(((CY537/CQ537-1)*100)&gt;100,"NM",IF(((CY537/CQ537-1)*100)&lt;-50,"NM",(CY537/CQ537-1)*100)))</f>
        <v>-8.4577873065580516</v>
      </c>
      <c r="DA537" s="318">
        <f>(DA416-(DA412*0.65))/AVERAGE(DA$531,CY$531)*400</f>
        <v>10.793828618745509</v>
      </c>
      <c r="DB537" s="81">
        <f>IF(ISERROR((DA537/CS537-1)*100),"NA",IF(((DA537/CS537-1)*100)&gt;100,"NM",IF(((DA537/CS537-1)*100)&lt;-50,"NM",(DA537/CS537-1)*100)))</f>
        <v>-5.6238703515892325</v>
      </c>
      <c r="DC537" s="318">
        <f>(DC416-(DC412*0.65))/AVERAGE(DC$531,DA$531)*400</f>
        <v>10.627688462740007</v>
      </c>
      <c r="DD537" s="81">
        <f>IF(ISERROR((DC537/CU537-1)*100),"NA",IF(((DC537/CU537-1)*100)&gt;100,"NM",IF(((DC537/CU537-1)*100)&lt;-50,"NM",(DC537/CU537-1)*100)))</f>
        <v>-6.3133836381259023</v>
      </c>
      <c r="DE537" s="318">
        <f>(DE416-(DE412*0.65))/AVERAGE(DE$531,DC$531)*400</f>
        <v>10.559208770879151</v>
      </c>
      <c r="DF537" s="81">
        <f>IF(ISERROR((DE537/CW537-1)*100),"NA",IF(((DE537/CW537-1)*100)&gt;100,"NM",IF(((DE537/CW537-1)*100)&lt;-50,"NM",(DE537/CW537-1)*100)))</f>
        <v>-0.66437340556880775</v>
      </c>
      <c r="DG537" s="318">
        <f>(DG416-(DG412*0.65))/AVERAGE(DG$531,DE$531)*400</f>
        <v>10.759779543406779</v>
      </c>
      <c r="DH537" s="81">
        <f>IF(ISERROR((DG537/CY537-1)*100),"NA",IF(((DG537/CY537-1)*100)&gt;100,"NM",IF(((DG537/CY537-1)*100)&lt;-50,"NM",(DG537/CY537-1)*100)))</f>
        <v>1.143921182695995</v>
      </c>
      <c r="DI537" s="318">
        <f>(DI416-(DI412*0.65))/AVERAGE(DI$531,DG$531)*400</f>
        <v>10.128162161537485</v>
      </c>
      <c r="DJ537" s="81">
        <f>IF(ISERROR((DI537/DA537-1)*100),"NA",IF(((DI537/DA537-1)*100)&gt;100,"NM",IF(((DI537/DA537-1)*100)&lt;-50,"NM",(DI537/DA537-1)*100)))</f>
        <v>-6.1671023389418096</v>
      </c>
      <c r="DK537" s="318">
        <f>(DK416-(DK412*0.65))/AVERAGE(DK$531,DI$531)*400</f>
        <v>10.544577974064364</v>
      </c>
      <c r="DL537" s="81">
        <f>IF(ISERROR((DK537/DC537-1)*100),"NA",IF(((DK537/DC537-1)*100)&gt;100,"NM",IF(((DK537/DC537-1)*100)&lt;-50,"NM",(DK537/DC537-1)*100)))</f>
        <v>-0.78201848847022637</v>
      </c>
      <c r="DM537" s="318">
        <f>(DM416-(DM412*0.65))/AVERAGE(DM$531,DK$531)*400</f>
        <v>10.625037240064355</v>
      </c>
      <c r="DN537" s="81">
        <f>IF(ISERROR((DM537/DE537-1)*100),"NA",IF(((DM537/DE537-1)*100)&gt;100,"NM",IF(((DM537/DE537-1)*100)&lt;-50,"NM",(DM537/DE537-1)*100)))</f>
        <v>0.62342236633061709</v>
      </c>
      <c r="DO537" s="318">
        <f>(DO416-(DO412*0.65))/AVERAGE(DO$531,DM$531)*400</f>
        <v>10.418683732023515</v>
      </c>
      <c r="DP537" s="81">
        <f>IF(ISERROR((DO537/DG537-1)*100),"NA",IF(((DO537/DG537-1)*100)&gt;100,"NM",IF(((DO537/DG537-1)*100)&lt;-50,"NM",(DO537/DG537-1)*100)))</f>
        <v>-3.1701003724772026</v>
      </c>
      <c r="DQ537" s="318">
        <f>(DQ416-(DQ412*0.65))/AVERAGE(DQ$531,DO$531)*400</f>
        <v>10.361795857156258</v>
      </c>
      <c r="DR537" s="81">
        <f>IF(ISERROR((DQ537/DI537-1)*100),"NA",IF(((DQ537/DI537-1)*100)&gt;100,"NM",IF(((DQ537/DI537-1)*100)&lt;-50,"NM",(DQ537/DI537-1)*100)))</f>
        <v>2.3067728566394274</v>
      </c>
      <c r="DS537" s="318">
        <f>(DS416-(DS412*0.65))/AVERAGE(DS$531,DQ$531)*400</f>
        <v>10.628294463267638</v>
      </c>
      <c r="DT537" s="81">
        <f>IF(ISERROR((DS537/DK537-1)*100),"NA",IF(((DS537/DK537-1)*100)&gt;100,"NM",IF(((DS537/DK537-1)*100)&lt;-50,"NM",(DS537/DK537-1)*100)))</f>
        <v>0.79392925358592326</v>
      </c>
      <c r="DU537" s="318">
        <f>(DU416-(DU412*0.65))/AVERAGE(DU$531,DS$531)*400</f>
        <v>10.327395004433587</v>
      </c>
      <c r="DV537" s="81">
        <f>IF(ISERROR((DU537/DM537-1)*100),"NA",IF(((DU537/DM537-1)*100)&gt;100,"NM",IF(((DU537/DM537-1)*100)&lt;-50,"NM",(DU537/DM537-1)*100)))</f>
        <v>-2.8013288697797067</v>
      </c>
      <c r="DW537" s="318">
        <f>(DW416-(DW412*0.65))/AVERAGE(DW$531,DU$531)*400</f>
        <v>10.629077140641391</v>
      </c>
      <c r="DX537" s="81">
        <f>IF(ISERROR((DW537/DO537-1)*100),"NA",IF(((DW537/DO537-1)*100)&gt;100,"NM",IF(((DW537/DO537-1)*100)&lt;-50,"NM",(DW537/DO537-1)*100)))</f>
        <v>2.0193856923710785</v>
      </c>
      <c r="DY537" s="318">
        <f>(DY416-(DY412*0.65))/AVERAGE(DY$531,DW$531)*400</f>
        <v>10.320571760578085</v>
      </c>
      <c r="DZ537" s="81">
        <f>IF(ISERROR((DY537/DQ537-1)*100),"NA",IF(((DY537/DQ537-1)*100)&gt;100,"NM",IF(((DY537/DQ537-1)*100)&lt;-50,"NM",(DY537/DQ537-1)*100)))</f>
        <v>-0.39784702523069093</v>
      </c>
      <c r="EA537" s="318">
        <f>(EA416-(EA412*0.65))/AVERAGE(EA$531,DY$531)*400</f>
        <v>10.249030926685071</v>
      </c>
      <c r="EB537" s="81">
        <f>IF(ISERROR((EA537/DS537-1)*100),"NA",IF(((EA537/DS537-1)*100)&gt;100,"NM",IF(((EA537/DS537-1)*100)&lt;-50,"NM",(EA537/DS537-1)*100)))</f>
        <v>-3.5684327141418226</v>
      </c>
      <c r="EC537" s="318">
        <f>(EC416-(EC412*0.65))/AVERAGE(EC$531,EA$531)*400</f>
        <v>10.422529615478835</v>
      </c>
      <c r="ED537" s="81">
        <f t="shared" si="2124"/>
        <v>0.92118691116593876</v>
      </c>
      <c r="EE537" s="318">
        <f>(EE416-(EE412*0.65))/AVERAGE(EE$531,EC$531)*400</f>
        <v>10.500693967451785</v>
      </c>
      <c r="EF537" s="81">
        <f t="shared" si="2125"/>
        <v>-1.2078487293945783</v>
      </c>
      <c r="EG537" s="318">
        <f>(EG416-(EG412*0.65))/AVERAGE(EG$531,EE$531)*400</f>
        <v>10.595597755718599</v>
      </c>
      <c r="EH537" s="81">
        <f t="shared" si="2126"/>
        <v>2.6648329329101772</v>
      </c>
      <c r="EI537" s="318">
        <f>(EI416-(EI412*0.65))/AVERAGE(EI$531,EG$531)*400</f>
        <v>10.26758364985589</v>
      </c>
      <c r="EJ537" s="81">
        <f t="shared" si="2127"/>
        <v>0.18101929151677076</v>
      </c>
      <c r="EK537" s="318">
        <f t="shared" ref="EK537" si="2136">(EK416-(EK412*0.65))/AVERAGE(EK$531,EI$531)*400</f>
        <v>11.883378885974297</v>
      </c>
      <c r="EL537" s="81">
        <f t="shared" si="2129"/>
        <v>14.016264039450732</v>
      </c>
      <c r="EM537" s="318">
        <f t="shared" ref="EM537" si="2137">(EM416-(EM412*0.65))/AVERAGE(EM$531,EK$531)*400</f>
        <v>11.814142003443944</v>
      </c>
      <c r="EN537" s="81">
        <f t="shared" si="2131"/>
        <v>12.508202220380449</v>
      </c>
      <c r="EO537" s="318">
        <f t="shared" ref="EO537" si="2138">(EO416-(EO412*0.65))/AVERAGE(EO$531,EM$531)*400</f>
        <v>11.71045790616744</v>
      </c>
      <c r="EP537" s="81">
        <f t="shared" si="2133"/>
        <v>10.521918405661769</v>
      </c>
      <c r="EQ537" s="318">
        <f t="shared" ref="EQ537" si="2139">(EQ416-(EQ412*0.65))/AVERAGE(EQ$531,EO$531)*400</f>
        <v>11.640289925965053</v>
      </c>
      <c r="ER537" s="81">
        <f t="shared" si="2135"/>
        <v>13.369321574783854</v>
      </c>
      <c r="ES537" s="129"/>
      <c r="ET537" s="469"/>
      <c r="EU537" s="129"/>
      <c r="EV537" s="318"/>
      <c r="EW537" s="79"/>
      <c r="EX537" s="318"/>
      <c r="EY537" s="79"/>
      <c r="EZ537" s="318"/>
      <c r="FA537" s="79"/>
      <c r="FB537" s="318"/>
      <c r="FC537" s="79"/>
      <c r="FD537" s="318"/>
      <c r="FE537" s="79"/>
      <c r="FF537" s="318"/>
      <c r="FG537" s="79"/>
      <c r="FH537" s="318"/>
      <c r="FI537" s="79"/>
      <c r="FJ537" s="318"/>
      <c r="FK537" s="79"/>
      <c r="FL537" s="318">
        <f>(FL416-(FL412*0.65))/FL533*100</f>
        <v>9.0128479528647922</v>
      </c>
      <c r="FM537" s="79"/>
      <c r="FN537" s="318">
        <f>(FN416-(FN412*0.65))/FN533*100</f>
        <v>10.809881218329432</v>
      </c>
      <c r="FO537" s="79"/>
      <c r="FP537" s="318">
        <f>(FP416-(FP412*0.65))/FP533*100</f>
        <v>11.319537920642892</v>
      </c>
      <c r="FQ537" s="79"/>
      <c r="FR537" s="318">
        <f>(FR416-(FR412*0.65))/FR533*100</f>
        <v>11.092954274327347</v>
      </c>
      <c r="FS537" s="79"/>
      <c r="FT537" s="318">
        <f>(FT416-(FT412*0.65))/FT533*100</f>
        <v>10.982900212366339</v>
      </c>
      <c r="FU537" s="79"/>
      <c r="FV537" s="318">
        <f>(FV416-(FV412*0.65))/FV533*100</f>
        <v>11.638365295996564</v>
      </c>
      <c r="FW537" s="79"/>
      <c r="FX537" s="318">
        <f>(FX416-(FX412*0.65))/FX533*100</f>
        <v>11.230842759279911</v>
      </c>
      <c r="FY537" s="79"/>
      <c r="FZ537" s="318">
        <f>(FZ416-(FZ412*0.65))/FZ533*100</f>
        <v>10.653654662634777</v>
      </c>
      <c r="GA537" s="79"/>
      <c r="GB537" s="318">
        <f>(GB416-(GB412*0.65))/GB533*100</f>
        <v>10.708346276074646</v>
      </c>
      <c r="GC537" s="79"/>
      <c r="GD537" s="318">
        <f>(GD416-(GD412*0.65))/GD533*100</f>
        <v>10.506195856098516</v>
      </c>
      <c r="GE537" s="79"/>
      <c r="GF537" s="318">
        <f>(GF416-(GF412*0.65))/GF533*100</f>
        <v>10.365204790907253</v>
      </c>
      <c r="GG537" s="79"/>
      <c r="GH537" s="318">
        <f>(GH416-(GH412*0.65))/GH533*100</f>
        <v>10.428941212147464</v>
      </c>
      <c r="GI537" s="79"/>
      <c r="GJ537" s="318">
        <f>(GJ416-(GJ412*0.65))/GJ533*100</f>
        <v>11.755682856275866</v>
      </c>
      <c r="GK537" s="79"/>
      <c r="GL537" s="318">
        <f>(GL416-(GL412*0.65))/GL533*100</f>
        <v>11.45776785667034</v>
      </c>
      <c r="GM537" s="79"/>
      <c r="GN537" s="318">
        <f>(GN416-(GN412*0.65))/GN533*100</f>
        <v>11.232845867637186</v>
      </c>
      <c r="GO537" s="79"/>
      <c r="GP537" s="318">
        <f>(GP416-(GP412*0.65))/GP533*100</f>
        <v>11.058713894237973</v>
      </c>
      <c r="GQ537" s="79"/>
      <c r="GR537" s="318">
        <f>(GR416-(GR412*0.65))/GR533*100</f>
        <v>10.853213222328559</v>
      </c>
      <c r="GS537" s="79"/>
      <c r="GT537" s="79">
        <f>IF(ISERROR(((GR537/GH537)^0.2-1)*100),"NA",(IF(OR(((GR537/GH537)^0.2-1)*100&gt;99,((GR537/GH537)^0.2-1)*100&lt;-50),"NM",(((GR537/GH537)^0.2-1)*100))))</f>
        <v>0.80071744165095549</v>
      </c>
    </row>
    <row r="538" spans="1:202" ht="12.75" customHeight="1" x14ac:dyDescent="0.2">
      <c r="A538" s="1" t="s">
        <v>39</v>
      </c>
      <c r="B538" s="2" t="s">
        <v>443</v>
      </c>
      <c r="C538" s="79"/>
      <c r="D538" s="79"/>
      <c r="E538" s="318">
        <f>E438/E531*400</f>
        <v>12.794902087137075</v>
      </c>
      <c r="F538" s="318"/>
      <c r="G538" s="318">
        <f>G438/AVERAGE(G531,E531)*400</f>
        <v>10.138959003108644</v>
      </c>
      <c r="H538" s="318"/>
      <c r="I538" s="318">
        <f>I438/AVERAGE(I531,G531)*400</f>
        <v>6.8013491428770143</v>
      </c>
      <c r="J538" s="318"/>
      <c r="K538" s="318">
        <f>K438/AVERAGE(K531,I531)*400</f>
        <v>5.3716534086049093</v>
      </c>
      <c r="L538" s="79"/>
      <c r="M538" s="318">
        <f>M438/AVERAGE(M531,K531)*400</f>
        <v>5.9414473406277732</v>
      </c>
      <c r="N538" s="79" t="str">
        <f>IF(ISERROR((M538/E538-1)*100),"NA",IF(((M538/E538-1)*100)&gt;100,"NM",IF(((M538/E538-1)*100)&lt;-50,"NM",(M538/E538-1)*100)))</f>
        <v>NM</v>
      </c>
      <c r="O538" s="318">
        <f>O438/AVERAGE(O531,M531)*400</f>
        <v>6.5671290655956716</v>
      </c>
      <c r="P538" s="79">
        <f>IF(ISERROR((O538/G538-1)*100),"NA",IF(((O538/G538-1)*100)&gt;100,"NM",IF(((O538/G538-1)*100)&lt;-50,"NM",(O538/G538-1)*100)))</f>
        <v>-35.228763982750458</v>
      </c>
      <c r="Q538" s="318">
        <f>Q438/AVERAGE(Q531,O531)*400</f>
        <v>7.5648541147236141</v>
      </c>
      <c r="R538" s="79">
        <f>IF(ISERROR((Q538/I538-1)*100),"NA",IF(((Q538/I538-1)*100)&gt;100,"NM",IF(((Q538/I538-1)*100)&lt;-50,"NM",(Q538/I538-1)*100)))</f>
        <v>11.225787057942927</v>
      </c>
      <c r="S538" s="318">
        <f>S438/AVERAGE(S531,Q531)*400</f>
        <v>6.7570247933884291</v>
      </c>
      <c r="T538" s="79">
        <f>IF(ISERROR((S538/K538-1)*100),"NA",IF(((S538/K538-1)*100)&gt;100,"NM",IF(((S538/K538-1)*100)&lt;-50,"NM",(S538/K538-1)*100)))</f>
        <v>25.790409011949244</v>
      </c>
      <c r="U538" s="318">
        <f>U438/AVERAGE(U531,S531)*400</f>
        <v>-16.633756940576887</v>
      </c>
      <c r="V538" s="79" t="str">
        <f>IF(ISERROR((U538/M538-1)*100),"NA",IF(((U538/M538-1)*100)&gt;100,"NM",IF(((U538/M538-1)*100)&lt;-50,"NM",(U538/M538-1)*100)))</f>
        <v>NM</v>
      </c>
      <c r="W538" s="318">
        <f>W438/AVERAGE(W531,U531)*400</f>
        <v>6.4793573266895237</v>
      </c>
      <c r="X538" s="79">
        <f>IF(ISERROR((W538/O538-1)*100),"NA",IF(((W538/O538-1)*100)&gt;100,"NM",IF(((W538/O538-1)*100)&lt;-50,"NM",(W538/O538-1)*100)))</f>
        <v>-1.3365313522764821</v>
      </c>
      <c r="Y538" s="318">
        <f>Y438/AVERAGE(Y531,W531)*400</f>
        <v>6.7712672766206143</v>
      </c>
      <c r="Z538" s="79">
        <f>IF(ISERROR((Y538/Q538-1)*100),"NA",IF(((Y538/Q538-1)*100)&gt;100,"NM",IF(((Y538/Q538-1)*100)&lt;-50,"NM",(Y538/Q538-1)*100)))</f>
        <v>-10.490444707432323</v>
      </c>
      <c r="AA538" s="252">
        <f>AA438/AVERAGE(AA531,Y531)*400</f>
        <v>-22.10514587677272</v>
      </c>
      <c r="AB538" s="79" t="str">
        <f>IF(ISERROR((AA538/S538-1)*100),"NA",IF(((AA538/S538-1)*100)&gt;100,"NM",IF(((AA538/S538-1)*100)&lt;-50,"NM",(AA538/S538-1)*100)))</f>
        <v>NM</v>
      </c>
      <c r="AC538" s="318">
        <f>AC438/AVERAGE(AC531,AA531)*400</f>
        <v>-38.71034375914482</v>
      </c>
      <c r="AD538" s="79" t="str">
        <f>IF(ISERROR((AC538/U538-1)*100),"NA",IF(((AC538/U538-1)*100)&gt;100,"NM",IF(((AC538/U538-1)*100)&lt;-50,"NM",(AC538/U538-1)*100)))</f>
        <v>NM</v>
      </c>
      <c r="AE538" s="318">
        <f>AE438/AVERAGE(AE531,AC531)*400</f>
        <v>0.52370301674760189</v>
      </c>
      <c r="AF538" s="79" t="str">
        <f>IF(ISERROR((AE538/W538-1)*100),"NA",IF(((AE538/W538-1)*100)&gt;100,"NM",IF(((AE538/W538-1)*100)&lt;-50,"NM",(AE538/W538-1)*100)))</f>
        <v>NM</v>
      </c>
      <c r="AG538" s="318">
        <f>AG438/AVERAGE(AG531,AE531)*400</f>
        <v>12.116279697867244</v>
      </c>
      <c r="AH538" s="79">
        <f>IF(ISERROR((AG538/Y538-1)*100),"NA",IF(((AG538/Y538-1)*100)&gt;100,"NM",IF(((AG538/Y538-1)*100)&lt;-50,"NM",(AG538/Y538-1)*100)))</f>
        <v>78.936662856324347</v>
      </c>
      <c r="AI538" s="318">
        <f>AI438/AVERAGE(AI531,AG531)*400</f>
        <v>9.4184277409879709</v>
      </c>
      <c r="AJ538" s="79" t="str">
        <f>IF(ISERROR((AI538/AA538-1)*100),"NA",IF(((AI538/AA538-1)*100)&gt;100,"NM",IF(((AI538/AA538-1)*100)&lt;-50,"NM",(AI538/AA538-1)*100)))</f>
        <v>NM</v>
      </c>
      <c r="AK538" s="318">
        <f>AK438/AVERAGE(AK531,AI531)*400</f>
        <v>10.476592010049854</v>
      </c>
      <c r="AL538" s="79" t="str">
        <f>IF(ISERROR((AK538/AC538-1)*100),"NA",IF(((AK538/AC538-1)*100)&gt;100,"NM",IF(((AK538/AC538-1)*100)&lt;-50,"NM",(AK538/AC538-1)*100)))</f>
        <v>NM</v>
      </c>
      <c r="AM538" s="318">
        <f>AM438/AVERAGE(AM531,AK531)*400</f>
        <v>11.503206527213491</v>
      </c>
      <c r="AN538" s="79" t="str">
        <f>IF(ISERROR((AM538/AE538-1)*100),"NA",IF(((AM538/AE538-1)*100)&gt;100,"NM",IF(((AM538/AE538-1)*100)&lt;-50,"NM",(AM538/AE538-1)*100)))</f>
        <v>NM</v>
      </c>
      <c r="AO538" s="318">
        <f>AO438/AVERAGE(AO531,AM531)*400</f>
        <v>3.6349216839600773</v>
      </c>
      <c r="AP538" s="79" t="str">
        <f>IF(ISERROR((AO538/AG538-1)*100),"NA",IF(((AO538/AG538-1)*100)&gt;100,"NM",IF(((AO538/AG538-1)*100)&lt;-50,"NM",(AO538/AG538-1)*100)))</f>
        <v>NM</v>
      </c>
      <c r="AQ538" s="318">
        <f>AQ438/AVERAGE(AQ531,AO531)*400</f>
        <v>8.9641515430564471</v>
      </c>
      <c r="AR538" s="79">
        <f>IF(ISERROR((AQ538/AI538-1)*100),"NA",IF(((AQ538/AI538-1)*100)&gt;100,"NM",IF(((AQ538/AI538-1)*100)&lt;-50,"NM",(AQ538/AI538-1)*100)))</f>
        <v>-4.8232699811940343</v>
      </c>
      <c r="AS538" s="318">
        <f>AS438/AVERAGE(AS531,AQ531)*400</f>
        <v>4.8352142295281881</v>
      </c>
      <c r="AT538" s="81" t="str">
        <f>IF(ISERROR((AS538/AK538-1)*100),"NA",IF(((AS538/AK538-1)*100)&gt;100,"NM",IF(((AS538/AK538-1)*100)&lt;-50,"NM",(AS538/AK538-1)*100)))</f>
        <v>NM</v>
      </c>
      <c r="AU538" s="318">
        <f>AU438/AVERAGE(AU531,AS531)*400</f>
        <v>7.5916746251913665</v>
      </c>
      <c r="AV538" s="81">
        <f>IF(ISERROR((AU538/AM538-1)*100),"NA",IF(((AU538/AM538-1)*100)&gt;100,"NM",IF(((AU538/AM538-1)*100)&lt;-50,"NM",(AU538/AM538-1)*100)))</f>
        <v>-34.003839649131685</v>
      </c>
      <c r="AW538" s="318">
        <f>AW438/AVERAGE(AW531,AU531)*400</f>
        <v>-3.6964768861389317</v>
      </c>
      <c r="AX538" s="81" t="str">
        <f>IF(ISERROR((AW538/AO538-1)*100),"NA",IF(((AW538/AO538-1)*100)&gt;100,"NM",IF(((AW538/AO538-1)*100)&lt;-50,"NM",(AW538/AO538-1)*100)))</f>
        <v>NM</v>
      </c>
      <c r="AY538" s="318">
        <f>AY438/AVERAGE(AY531,AW531)*400</f>
        <v>15.825863909607444</v>
      </c>
      <c r="AZ538" s="81">
        <f>IF(ISERROR((AY538/AQ538-1)*100),"NA",IF(((AY538/AQ538-1)*100)&gt;100,"NM",IF(((AY538/AQ538-1)*100)&lt;-50,"NM",(AY538/AQ538-1)*100)))</f>
        <v>76.546144201076331</v>
      </c>
      <c r="BA538" s="318">
        <f>BA438/AVERAGE(BA531,AY531)*400</f>
        <v>10.233232177574985</v>
      </c>
      <c r="BB538" s="81" t="str">
        <f>IF(ISERROR((BA538/AS538-1)*100),"NA",IF(((BA538/AS538-1)*100)&gt;100,"NM",IF(((BA538/AS538-1)*100)&lt;-50,"NM",(BA538/AS538-1)*100)))</f>
        <v>NM</v>
      </c>
      <c r="BC538" s="318">
        <f>BC438/AVERAGE(BC531,BA531)*400</f>
        <v>10.666061500056735</v>
      </c>
      <c r="BD538" s="81">
        <f>IF(ISERROR((BC538/AU538-1)*100),"NA",IF(((BC538/AU538-1)*100)&gt;100,"NM",IF(((BC538/AU538-1)*100)&lt;-50,"NM",(BC538/AU538-1)*100)))</f>
        <v>40.496820881438531</v>
      </c>
      <c r="BE538" s="318">
        <f>BE438/AVERAGE(BE531,BC531)*400</f>
        <v>10.171359378507621</v>
      </c>
      <c r="BF538" s="81" t="str">
        <f>IF(ISERROR((BE538/AW538-1)*100),"NA",IF(((BE538/AW538-1)*100)&gt;100,"NM",IF(((BE538/AW538-1)*100)&lt;-50,"NM",(BE538/AW538-1)*100)))</f>
        <v>NM</v>
      </c>
      <c r="BG538" s="318">
        <f>BG438/AVERAGE(BG531,BE531)*400</f>
        <v>8.5550950788214806</v>
      </c>
      <c r="BH538" s="81">
        <f>IF(ISERROR((BG538/AY538-1)*100),"NA",IF(((BG538/AY538-1)*100)&gt;100,"NM",IF(((BG538/AY538-1)*100)&lt;-50,"NM",(BG538/AY538-1)*100)))</f>
        <v>-45.942318677289272</v>
      </c>
      <c r="BI538" s="318">
        <f>BI438/AVERAGE(BI531,BG531)*400</f>
        <v>8.7306207385698311</v>
      </c>
      <c r="BJ538" s="81">
        <f>IF(ISERROR((BI538/BA538-1)*100),"NA",IF(((BI538/BA538-1)*100)&gt;100,"NM",IF(((BI538/BA538-1)*100)&lt;-50,"NM",(BI538/BA538-1)*100)))</f>
        <v>-14.683644550721365</v>
      </c>
      <c r="BK538" s="318">
        <f>BK438/AVERAGE(BK531,BI531)*400</f>
        <v>12.850267379679131</v>
      </c>
      <c r="BL538" s="81">
        <f>IF(ISERROR((BK538/BC538-1)*100),"NA",IF(((BK538/BC538-1)*100)&gt;100,"NM",IF(((BK538/BC538-1)*100)&lt;-50,"NM",(BK538/BC538-1)*100)))</f>
        <v>20.478091933098064</v>
      </c>
      <c r="BM538" s="318">
        <f>BM438/AVERAGE(BM531,BK531)*400</f>
        <v>5.7897981612029836</v>
      </c>
      <c r="BN538" s="81">
        <f>IF(ISERROR((BM538/BE538-1)*100),"NA",IF(((BM538/BE538-1)*100)&gt;100,"NM",IF(((BM538/BE538-1)*100)&lt;-50,"NM",(BM538/BE538-1)*100)))</f>
        <v>-43.077439841158338</v>
      </c>
      <c r="BO538" s="318">
        <f>BO438/AVERAGE(BO531,BM531)*400</f>
        <v>2.2767504561671186</v>
      </c>
      <c r="BP538" s="81" t="str">
        <f>IF(ISERROR((BO538/BG538-1)*100),"NA",IF(((BO538/BG538-1)*100)&gt;100,"NM",IF(((BO538/BG538-1)*100)&lt;-50,"NM",(BO538/BG538-1)*100)))</f>
        <v>NM</v>
      </c>
      <c r="BQ538" s="318">
        <f>BQ438/AVERAGE(BQ531,BO531)*400</f>
        <v>8.8783002550694157</v>
      </c>
      <c r="BR538" s="81">
        <f>IF(ISERROR((BQ538/BI538-1)*100),"NA",IF(((BQ538/BI538-1)*100)&gt;100,"NM",IF(((BQ538/BI538-1)*100)&lt;-50,"NM",(BQ538/BI538-1)*100)))</f>
        <v>1.6915122179935072</v>
      </c>
      <c r="BS538" s="318">
        <f>BS438/AVERAGE(BS531,BQ531)*400</f>
        <v>13.996032187731219</v>
      </c>
      <c r="BT538" s="81">
        <f>IF(ISERROR((BS538/BK538-1)*100),"NA",IF(((BS538/BK538-1)*100)&gt;100,"NM",IF(((BS538/BK538-1)*100)&lt;-50,"NM",(BS538/BK538-1)*100)))</f>
        <v>8.9162721225859656</v>
      </c>
      <c r="BU538" s="318">
        <f>BU438/AVERAGE(BU531,BS531)*400</f>
        <v>11.231617180157976</v>
      </c>
      <c r="BV538" s="81">
        <f>IF(ISERROR((BU538/BM538-1)*100),"NA",IF(((BU538/BM538-1)*100)&gt;100,"NM",IF(((BU538/BM538-1)*100)&lt;-50,"NM",(BU538/BM538-1)*100)))</f>
        <v>93.989788027849144</v>
      </c>
      <c r="BW538" s="318">
        <f>BW438/AVERAGE(BW531,BU531)*400</f>
        <v>9.8852341174429146</v>
      </c>
      <c r="BX538" s="81" t="str">
        <f>IF(ISERROR((BW538/BO538-1)*100),"NA",IF(((BW538/BO538-1)*100)&gt;100,"NM",IF(((BW538/BO538-1)*100)&lt;-50,"NM",(BW538/BO538-1)*100)))</f>
        <v>NM</v>
      </c>
      <c r="BY538" s="318">
        <f>BY438/AVERAGE(BY531,BW531)*400</f>
        <v>10.962482765293533</v>
      </c>
      <c r="BZ538" s="81">
        <f>IF(ISERROR((BY538/BQ538-1)*100),"NA",IF(((BY538/BQ538-1)*100)&gt;100,"NM",IF(((BY538/BQ538-1)*100)&lt;-50,"NM",(BY538/BQ538-1)*100)))</f>
        <v>23.475017180614842</v>
      </c>
      <c r="CA538" s="318">
        <f>CA438/AVERAGE(CA531,BY531)*400</f>
        <v>9.9124982898204124</v>
      </c>
      <c r="CB538" s="81">
        <f>IF(ISERROR((CA538/BS538-1)*100),"NA",IF(((CA538/BS538-1)*100)&gt;100,"NM",IF(((CA538/BS538-1)*100)&lt;-50,"NM",(CA538/BS538-1)*100)))</f>
        <v>-29.176368295940268</v>
      </c>
      <c r="CC538" s="318">
        <f>CC438/AVERAGE(CC531,CA531)*400</f>
        <v>10.384188898310615</v>
      </c>
      <c r="CD538" s="81">
        <f>IF(ISERROR((CC538/BU538-1)*100),"NA",IF(((CC538/BU538-1)*100)&gt;100,"NM",IF(((CC538/BU538-1)*100)&lt;-50,"NM",(CC538/BU538-1)*100)))</f>
        <v>-7.5450246233858991</v>
      </c>
      <c r="CE538" s="318">
        <f>CE438/AVERAGE(CE531,CC531)*400</f>
        <v>10.828433089025479</v>
      </c>
      <c r="CF538" s="81">
        <f>IF(ISERROR((CE538/BW538-1)*100),"NA",IF(((CE538/BW538-1)*100)&gt;100,"NM",IF(((CE538/BW538-1)*100)&lt;-50,"NM",(CE538/BW538-1)*100)))</f>
        <v>9.5414935081633558</v>
      </c>
      <c r="CG538" s="318">
        <f>CG438/AVERAGE(CG531,CE531)*400</f>
        <v>11.008406464238671</v>
      </c>
      <c r="CH538" s="81">
        <f>IF(ISERROR((CG538/BY538-1)*100),"NA",IF(((CG538/BY538-1)*100)&gt;100,"NM",IF(((CG538/BY538-1)*100)&lt;-50,"NM",(CG538/BY538-1)*100)))</f>
        <v>0.41891695456552913</v>
      </c>
      <c r="CI538" s="318">
        <f>CI438/AVERAGE(CI531,CG531)*400</f>
        <v>11.177615302921485</v>
      </c>
      <c r="CJ538" s="81">
        <f>IF(ISERROR((CI538/CA538-1)*100),"NA",IF(((CI538/CA538-1)*100)&gt;100,"NM",IF(((CI538/CA538-1)*100)&lt;-50,"NM",(CI538/CA538-1)*100)))</f>
        <v>12.76284722692238</v>
      </c>
      <c r="CK538" s="318">
        <f>CK438/AVERAGE(CK531,CI531)*400</f>
        <v>9.6490861431719015</v>
      </c>
      <c r="CL538" s="81">
        <f>IF(ISERROR((CK538/CC538-1)*100),"NA",IF(((CK538/CC538-1)*100)&gt;100,"NM",IF(((CK538/CC538-1)*100)&lt;-50,"NM",(CK538/CC538-1)*100)))</f>
        <v>-7.079058001904281</v>
      </c>
      <c r="CM538" s="318">
        <f>CM438/AVERAGE(CM531,CK531)*400</f>
        <v>-18.130673512756591</v>
      </c>
      <c r="CN538" s="81" t="str">
        <f>IF(ISERROR((CM538/CE538-1)*100),"NA",IF(((CM538/CE538-1)*100)&gt;100,"NM",IF(((CM538/CE538-1)*100)&lt;-50,"NM",(CM538/CE538-1)*100)))</f>
        <v>NM</v>
      </c>
      <c r="CO538" s="318">
        <f>CO438/AVERAGE(CO531,CM531)*400</f>
        <v>11.088359555221478</v>
      </c>
      <c r="CP538" s="81">
        <f>IF(ISERROR((CO538/CG538-1)*100),"NA",IF(((CO538/CG538-1)*100)&gt;100,"NM",IF(((CO538/CG538-1)*100)&lt;-50,"NM",(CO538/CG538-1)*100)))</f>
        <v>0.72629123245528948</v>
      </c>
      <c r="CQ538" s="318">
        <f>CQ438/AVERAGE(CQ531,CO531)*400</f>
        <v>11.161903042572803</v>
      </c>
      <c r="CR538" s="81">
        <f>IF(ISERROR((CQ538/CI538-1)*100),"NA",IF(((CQ538/CI538-1)*100)&gt;100,"NM",IF(((CQ538/CI538-1)*100)&lt;-50,"NM",(CQ538/CI538-1)*100)))</f>
        <v>-0.14056898473304713</v>
      </c>
      <c r="CS538" s="318">
        <f>CS438/AVERAGE(CS531,CQ531)*400</f>
        <v>11.753593219473592</v>
      </c>
      <c r="CT538" s="81">
        <f>IF(ISERROR((CS538/CK538-1)*100),"NA",IF(((CS538/CK538-1)*100)&gt;100,"NM",IF(((CS538/CK538-1)*100)&lt;-50,"NM",(CS538/CK538-1)*100)))</f>
        <v>21.810428936743698</v>
      </c>
      <c r="CU538" s="318">
        <f>CU438/AVERAGE(CU531,CS531)*400</f>
        <v>11.792583629534395</v>
      </c>
      <c r="CV538" s="81" t="str">
        <f>IF(ISERROR((CU538/CM538-1)*100),"NA",IF(((CU538/CM538-1)*100)&gt;100,"NM",IF(((CU538/CM538-1)*100)&lt;-50,"NM",(CU538/CM538-1)*100)))</f>
        <v>NM</v>
      </c>
      <c r="CW538" s="318">
        <f>CW438/AVERAGE(CW531,CU531)*400</f>
        <v>10.447974988634034</v>
      </c>
      <c r="CX538" s="81">
        <f>IF(ISERROR((CW538/CO538-1)*100),"NA",IF(((CW538/CO538-1)*100)&gt;100,"NM",IF(((CW538/CO538-1)*100)&lt;-50,"NM",(CW538/CO538-1)*100)))</f>
        <v>-5.7752868077396435</v>
      </c>
      <c r="CY538" s="318">
        <f>CY438/AVERAGE(CY531,CW531)*400</f>
        <v>10.643015521064298</v>
      </c>
      <c r="CZ538" s="81">
        <f>IF(ISERROR((CY538/CQ538-1)*100),"NA",IF(((CY538/CQ538-1)*100)&gt;100,"NM",IF(((CY538/CQ538-1)*100)&lt;-50,"NM",(CY538/CQ538-1)*100)))</f>
        <v>-4.648737043579465</v>
      </c>
      <c r="DA538" s="318">
        <f>DA438/AVERAGE(DA531,CY531)*400</f>
        <v>9.8732358349265112</v>
      </c>
      <c r="DB538" s="81">
        <f>IF(ISERROR((DA538/CS538-1)*100),"NA",IF(((DA538/CS538-1)*100)&gt;100,"NM",IF(((DA538/CS538-1)*100)&lt;-50,"NM",(DA538/CS538-1)*100)))</f>
        <v>-15.99814924198386</v>
      </c>
      <c r="DC538" s="318">
        <f>DC438/AVERAGE(DC531,DA531)*400</f>
        <v>10.506332155816692</v>
      </c>
      <c r="DD538" s="81">
        <f>IF(ISERROR((DC538/CU538-1)*100),"NA",IF(((DC538/CU538-1)*100)&gt;100,"NM",IF(((DC538/CU538-1)*100)&lt;-50,"NM",(DC538/CU538-1)*100)))</f>
        <v>-10.907291515798967</v>
      </c>
      <c r="DE538" s="318">
        <f>DE438/AVERAGE(DE531,DC531)*400</f>
        <v>10.711003326435364</v>
      </c>
      <c r="DF538" s="81">
        <f>IF(ISERROR((DE538/CW538-1)*100),"NA",IF(((DE538/CW538-1)*100)&gt;100,"NM",IF(((DE538/CW538-1)*100)&lt;-50,"NM",(DE538/CW538-1)*100)))</f>
        <v>2.5175054313153478</v>
      </c>
      <c r="DG538" s="318">
        <f>DG438/AVERAGE(DG531,DE531)*400</f>
        <v>11.205373336921797</v>
      </c>
      <c r="DH538" s="81">
        <f>IF(ISERROR((DG538/CY538-1)*100),"NA",IF(((DG538/CY538-1)*100)&gt;100,"NM",IF(((DG538/CY538-1)*100)&lt;-50,"NM",(DG538/CY538-1)*100)))</f>
        <v>5.2838203114944138</v>
      </c>
      <c r="DI538" s="318">
        <f>DI438/AVERAGE(DI531,DG531)*400</f>
        <v>10.128162161537485</v>
      </c>
      <c r="DJ538" s="81">
        <f>IF(ISERROR((DI538/DA538-1)*100),"NA",IF(((DI538/DA538-1)*100)&gt;100,"NM",IF(((DI538/DA538-1)*100)&lt;-50,"NM",(DI538/DA538-1)*100)))</f>
        <v>2.5819936935890242</v>
      </c>
      <c r="DK538" s="318">
        <f>DK438/AVERAGE(DK531,DI531)*400</f>
        <v>-13.241133379081404</v>
      </c>
      <c r="DL538" s="81" t="str">
        <f>IF(ISERROR((DK538/DC538-1)*100),"NA",IF(((DK538/DC538-1)*100)&gt;100,"NM",IF(((DK538/DC538-1)*100)&lt;-50,"NM",(DK538/DC538-1)*100)))</f>
        <v>NM</v>
      </c>
      <c r="DM538" s="318">
        <f>DM438/AVERAGE(DM531,DK531)*400</f>
        <v>10.148364416373715</v>
      </c>
      <c r="DN538" s="81">
        <f>IF(ISERROR((DM538/DE538-1)*100),"NA",IF(((DM538/DE538-1)*100)&gt;100,"NM",IF(((DM538/DE538-1)*100)&lt;-50,"NM",(DM538/DE538-1)*100)))</f>
        <v>-5.2529057541511932</v>
      </c>
      <c r="DO538" s="318">
        <f>DO438/AVERAGE(DO531,DM531)*400</f>
        <v>10.593430467329441</v>
      </c>
      <c r="DP538" s="81">
        <f>IF(ISERROR((DO538/DG538-1)*100),"NA",IF(((DO538/DG538-1)*100)&gt;100,"NM",IF(((DO538/DG538-1)*100)&lt;-50,"NM",(DO538/DG538-1)*100)))</f>
        <v>-5.4611555652144155</v>
      </c>
      <c r="DQ538" s="318">
        <f>DQ438/AVERAGE(DQ531,DO531)*400</f>
        <v>9.5510357109382404</v>
      </c>
      <c r="DR538" s="81">
        <f>IF(ISERROR((DQ538/DI538-1)*100),"NA",IF(((DQ538/DI538-1)*100)&gt;100,"NM",IF(((DQ538/DI538-1)*100)&lt;-50,"NM",(DQ538/DI538-1)*100)))</f>
        <v>-5.698234698402926</v>
      </c>
      <c r="DS538" s="318">
        <f>DS438/AVERAGE(DS531,DQ531)*400</f>
        <v>10.512062021630852</v>
      </c>
      <c r="DT538" s="81" t="str">
        <f>IF(ISERROR((DS538/DK538-1)*100),"NA",IF(((DS538/DK538-1)*100)&gt;100,"NM",IF(((DS538/DK538-1)*100)&lt;-50,"NM",(DS538/DK538-1)*100)))</f>
        <v>NM</v>
      </c>
      <c r="DU538" s="318">
        <f>DU438/AVERAGE(DU531,DS531)*400</f>
        <v>9.7009339336918519</v>
      </c>
      <c r="DV538" s="81">
        <f>IF(ISERROR((DU538/DM538-1)*100),"NA",IF(((DU538/DM538-1)*100)&gt;100,"NM",IF(((DU538/DM538-1)*100)&lt;-50,"NM",(DU538/DM538-1)*100)))</f>
        <v>-4.4088925498178222</v>
      </c>
      <c r="DW538" s="318">
        <f>DW438/AVERAGE(DW531,DU531)*400</f>
        <v>10.802426896583182</v>
      </c>
      <c r="DX538" s="81">
        <f>IF(ISERROR((DW538/DO538-1)*100),"NA",IF(((DW538/DO538-1)*100)&gt;100,"NM",IF(((DW538/DO538-1)*100)&lt;-50,"NM",(DW538/DO538-1)*100)))</f>
        <v>1.9728871577370022</v>
      </c>
      <c r="DY538" s="318">
        <f>DY438/AVERAGE(DY531,DW531)*400</f>
        <v>10.649999717955524</v>
      </c>
      <c r="DZ538" s="81">
        <f>IF(ISERROR((DY538/DQ538-1)*100),"NA",IF(((DY538/DQ538-1)*100)&gt;100,"NM",IF(((DY538/DQ538-1)*100)&lt;-50,"NM",(DY538/DQ538-1)*100)))</f>
        <v>11.506228646582329</v>
      </c>
      <c r="EA538" s="318">
        <f>EA438/AVERAGE(EA531,DY531)*400</f>
        <v>11.065562341392676</v>
      </c>
      <c r="EB538" s="81">
        <f>IF(ISERROR((EA538/DS538-1)*100),"NA",IF(((EA538/DS538-1)*100)&gt;100,"NM",IF(((EA538/DS538-1)*100)&lt;-50,"NM",(EA538/DS538-1)*100)))</f>
        <v>5.2653829346029024</v>
      </c>
      <c r="EC538" s="318">
        <f>EC438/AVERAGE(EC531,EA531)*400</f>
        <v>10.148833369752582</v>
      </c>
      <c r="ED538" s="81">
        <f t="shared" si="2124"/>
        <v>4.6170754189465368</v>
      </c>
      <c r="EE538" s="318">
        <f>EE438/AVERAGE(EE531,EC531)*400</f>
        <v>10.705990396931915</v>
      </c>
      <c r="EF538" s="81">
        <f t="shared" si="2125"/>
        <v>-0.89272994461799815</v>
      </c>
      <c r="EG538" s="318">
        <f>EG438/AVERAGE(EG531,EE531)*400</f>
        <v>10.86318515321536</v>
      </c>
      <c r="EH538" s="81">
        <f t="shared" si="2126"/>
        <v>2.0017412291609027</v>
      </c>
      <c r="EI538" s="318">
        <f>EI438/AVERAGE(EI531,EG531)*400</f>
        <v>11.374569165286033</v>
      </c>
      <c r="EJ538" s="81">
        <f t="shared" si="2127"/>
        <v>2.7925089964697225</v>
      </c>
      <c r="EK538" s="318">
        <f t="shared" ref="EK538" si="2140">EK438/AVERAGE(EK531,EI531)*400</f>
        <v>11.020488161748974</v>
      </c>
      <c r="EL538" s="81">
        <f t="shared" si="2129"/>
        <v>8.5887191191280863</v>
      </c>
      <c r="EM538" s="318">
        <f t="shared" ref="EM538" si="2141">EM438/AVERAGE(EM531,EK531)*400</f>
        <v>11.518981233655962</v>
      </c>
      <c r="EN538" s="81">
        <f t="shared" si="2131"/>
        <v>7.5937938161894092</v>
      </c>
      <c r="EO538" s="318">
        <f t="shared" ref="EO538" si="2142">EO438/AVERAGE(EO531,EM531)*400</f>
        <v>11.419047258549991</v>
      </c>
      <c r="EP538" s="81">
        <f t="shared" si="2133"/>
        <v>5.116934835360909</v>
      </c>
      <c r="EQ538" s="318">
        <f t="shared" ref="EQ538" si="2143">EQ438/AVERAGE(EQ531,EO531)*400</f>
        <v>11.39303176436087</v>
      </c>
      <c r="ER538" s="81">
        <f t="shared" si="2135"/>
        <v>0.162314711058964</v>
      </c>
      <c r="ES538" s="327"/>
      <c r="ET538" s="490"/>
      <c r="EU538" s="327"/>
      <c r="EV538" s="318">
        <f>EV438/EV533*100</f>
        <v>0</v>
      </c>
      <c r="EW538" s="79"/>
      <c r="EX538" s="330">
        <f>EX438/AVERAGE(EX531,EV531)*100</f>
        <v>0</v>
      </c>
      <c r="EY538" s="79" t="str">
        <f>IF(ISERROR((EX538/EV538-1)*100),"NA",IF(((EX538/EV538-1)*100)&gt;100,"NM",IF(((EX538/EV538-1)*100)&lt;-50,"NM",(EX538/EV538-1)*100)))</f>
        <v>NA</v>
      </c>
      <c r="EZ538" s="318"/>
      <c r="FA538" s="79" t="str">
        <f>IF(ISERROR((EZ538/EX538-1)*100),"NA",IF(((EZ538/EX538-1)*100)&gt;100,"NM",IF(((EZ538/EX538-1)*100)&lt;-50,"NM",(EZ538/EX538-1)*100)))</f>
        <v>NA</v>
      </c>
      <c r="FB538" s="318">
        <f>FB438/AVERAGE(FB531,EZ531)*100</f>
        <v>-7.4559989137629641</v>
      </c>
      <c r="FC538" s="79" t="str">
        <f>IF(ISERROR((FB538/EZ538-1)*100),"NA",IF(((FB538/EZ538-1)*100)&gt;100,"NM",IF(((FB538/EZ538-1)*100)&lt;-50,"NM",(FB538/EZ538-1)*100)))</f>
        <v>NA</v>
      </c>
      <c r="FD538" s="318">
        <f>FD438/AVERAGE(FD531,FB531)*100</f>
        <v>9.3027923430091217</v>
      </c>
      <c r="FE538" s="79" t="str">
        <f>IF(ISERROR((FD538/FB538-1)*100),"NA",IF(((FD538/FB538-1)*100)&gt;100,"NM",IF(((FD538/FB538-1)*100)&lt;-50,"NM",(FD538/FB538-1)*100)))</f>
        <v>NM</v>
      </c>
      <c r="FF538" s="318">
        <f>FF438/AVERAGE(FF531,FD531)*100</f>
        <v>-3.1712369303610077</v>
      </c>
      <c r="FG538" s="79" t="str">
        <f>IF(ISERROR((FF538/FD538-1)*100),"NA",IF(((FF538/FD538-1)*100)&gt;100,"NM",IF(((FF538/FD538-1)*100)&lt;-50,"NM",(FF538/FD538-1)*100)))</f>
        <v>NM</v>
      </c>
      <c r="FH538" s="318">
        <f>FH438/AVERAGE(FH531,FF531)*100</f>
        <v>-1.6769682845273111</v>
      </c>
      <c r="FI538" s="79">
        <f>IF(ISERROR((FH538/FF538-1)*100),"NA",IF(((FH538/FF538-1)*100)&gt;100,"NM",IF(((FH538/FF538-1)*100)&lt;-50,"NM",(FH538/FF538-1)*100)))</f>
        <v>-47.11942622538745</v>
      </c>
      <c r="FJ538" s="318">
        <f>FJ438/AVERAGE(FJ531,FH531)*100</f>
        <v>8.6407555637423332</v>
      </c>
      <c r="FK538" s="79" t="str">
        <f>IF(ISERROR((FJ538/FH538-1)*100),"NA",IF(((FJ538/FH538-1)*100)&gt;100,"NM",IF(((FJ538/FH538-1)*100)&lt;-50,"NM",(FJ538/FH538-1)*100)))</f>
        <v>NM</v>
      </c>
      <c r="FL538" s="318">
        <f>FL438/AVERAGE(FL531,FJ531)*100</f>
        <v>6.2060361931100863</v>
      </c>
      <c r="FM538" s="79">
        <f>IF(ISERROR((FL538/FJ538-1)*100),"NA",IF(((FL538/FJ538-1)*100)&gt;100,"NM",IF(((FL538/FJ538-1)*100)&lt;-50,"NM",(FL538/FJ538-1)*100)))</f>
        <v>-28.177158266675505</v>
      </c>
      <c r="FN538" s="318">
        <f>FN438/AVERAGE(FN531,FL531)*100</f>
        <v>9.7218438402441052</v>
      </c>
      <c r="FO538" s="79">
        <f>IF(ISERROR((FN538/FL538-1)*100),"NA",IF(((FN538/FL538-1)*100)&gt;100,"NM",IF(((FN538/FL538-1)*100)&lt;-50,"NM",(FN538/FL538-1)*100)))</f>
        <v>56.651420290414237</v>
      </c>
      <c r="FP538" s="318">
        <f>FP438/AVERAGE(FP531,FN531)*100</f>
        <v>7.4093420391762903</v>
      </c>
      <c r="FQ538" s="79">
        <f>IF(ISERROR((FP538/FN538-1)*100),"NA",IF(((FP538/FN538-1)*100)&gt;100,"NM",IF(((FP538/FN538-1)*100)&lt;-50,"NM",(FP538/FN538-1)*100)))</f>
        <v>-23.786658570826724</v>
      </c>
      <c r="FR538" s="318">
        <f>FR438/AVERAGE(FR531,FT531)*100</f>
        <v>10.401040963382135</v>
      </c>
      <c r="FS538" s="79">
        <f>IF(ISERROR((FR538/FP538-1)*100),"NA",IF(((FR538/FP538-1)*100)&gt;100,"NM",IF(((FR538/FP538-1)*100)&lt;-50,"NM",(FR538/FP538-1)*100)))</f>
        <v>40.377389900310725</v>
      </c>
      <c r="FT538" s="318">
        <f>FT438/AVERAGE(FT531,FR531)*100</f>
        <v>10.777899168947854</v>
      </c>
      <c r="FU538" s="79">
        <f>IF(ISERROR((FT538/FR538-1)*100),"NA",IF(((FT538/FR538-1)*100)&gt;100,"NM",IF(((FT538/FR538-1)*100)&lt;-50,"NM",(FT538/FR538-1)*100)))</f>
        <v>3.6232739289508098</v>
      </c>
      <c r="FV538" s="318">
        <f>FV438/AVERAGE(FV531,FT531)*100</f>
        <v>3.5880667112755158</v>
      </c>
      <c r="FW538" s="79" t="str">
        <f>IF(ISERROR((FV538/FT538-1)*100),"NA",IF(((FV538/FT538-1)*100)&gt;100,"NM",IF(((FV538/FT538-1)*100)&lt;-50,"NM",(FV538/FT538-1)*100)))</f>
        <v>NM</v>
      </c>
      <c r="FX538" s="318">
        <f>FX438/AVERAGE(FX531,FV531)*100</f>
        <v>11.318782858053209</v>
      </c>
      <c r="FY538" s="79" t="str">
        <f>IF(ISERROR((FX538/FV538-1)*100),"NA",IF(((FX538/FV538-1)*100)&gt;100,"NM",IF(((FX538/FV538-1)*100)&lt;-50,"NM",(FX538/FV538-1)*100)))</f>
        <v>NM</v>
      </c>
      <c r="FZ538" s="318">
        <f>FZ438/AVERAGE(FZ531,FX531)*100</f>
        <v>10.348514004703869</v>
      </c>
      <c r="GA538" s="79">
        <f>IF(ISERROR((FZ538/FX538-1)*100),"NA",IF(((FZ538/FX538-1)*100)&gt;100,"NM",IF(((FZ538/FX538-1)*100)&lt;-50,"NM",(FZ538/FX538-1)*100)))</f>
        <v>-8.5722013180860923</v>
      </c>
      <c r="GB538" s="318">
        <f>GB438/AVERAGE(GB531,FZ531)*100</f>
        <v>4.8039473369811949</v>
      </c>
      <c r="GC538" s="79" t="str">
        <f>IF(ISERROR((GB538/FZ538-1)*100),"NA",IF(((GB538/FZ538-1)*100)&gt;100,"NM",IF(((GB538/FZ538-1)*100)&lt;-50,"NM",(GB538/FZ538-1)*100)))</f>
        <v>NM</v>
      </c>
      <c r="GD538" s="318">
        <f>GD438/AVERAGE(GD531,GB531)*100</f>
        <v>10.199196626537196</v>
      </c>
      <c r="GE538" s="79" t="str">
        <f>IF(ISERROR((GD538/GB538-1)*100),"NA",IF(((GD538/GB538-1)*100)&gt;100,"NM",IF(((GD538/GB538-1)*100)&lt;-50,"NM",(GD538/GB538-1)*100)))</f>
        <v>NM</v>
      </c>
      <c r="GF538" s="318">
        <f>GF438/AVERAGE(GF531,GD531)*100</f>
        <v>10.544071365499141</v>
      </c>
      <c r="GG538" s="79">
        <f>IF(ISERROR((GF538/GD538-1)*100),"NA",IF(((GF538/GD538-1)*100)&gt;100,"NM",IF(((GF538/GD538-1)*100)&lt;-50,"NM",(GF538/GD538-1)*100)))</f>
        <v>3.381391217271168</v>
      </c>
      <c r="GH538" s="318">
        <f>GH438/AVERAGE(GH531,GF531)*100</f>
        <v>10.76116622622709</v>
      </c>
      <c r="GI538" s="79">
        <f>IF(ISERROR((GH538/GF538-1)*100),"NA",IF(((GH538/GF538-1)*100)&gt;100,"NM",IF(((GH538/GF538-1)*100)&lt;-50,"NM",(GH538/GF538-1)*100)))</f>
        <v>2.0589282185465629</v>
      </c>
      <c r="GJ538" s="318">
        <f>GJ438/AVERAGE(GJ531,GH531)*100</f>
        <v>11.334580874287983</v>
      </c>
      <c r="GK538" s="79">
        <f>IF(ISERROR((GJ538/GH538-1)*100),"NA",IF(((GJ538/GH538-1)*100)&gt;100,"NM",IF(((GJ538/GH538-1)*100)&lt;-50,"NM",(GJ538/GH538-1)*100)))</f>
        <v>5.3285548797059601</v>
      </c>
      <c r="GL538" s="318">
        <f>GL438/AVERAGE(GL531,GJ531)*100</f>
        <v>11.052399637695082</v>
      </c>
      <c r="GM538" s="79">
        <f>IF(ISERROR((GL538/GJ538-1)*100),"NA",IF(((GL538/GJ538-1)*100)&gt;100,"NM",IF(((GL538/GJ538-1)*100)&lt;-50,"NM",(GL538/GJ538-1)*100)))</f>
        <v>-2.4895603968296487</v>
      </c>
      <c r="GN538" s="318">
        <f>GN438/AVERAGE(GN531,GL531)*100</f>
        <v>10.839760909556633</v>
      </c>
      <c r="GO538" s="79">
        <f>IF(ISERROR((GN538/GL538-1)*100),"NA",IF(((GN538/GL538-1)*100)&gt;100,"NM",IF(((GN538/GL538-1)*100)&lt;-50,"NM",(GN538/GL538-1)*100)))</f>
        <v>-1.9239145806239977</v>
      </c>
      <c r="GP538" s="318">
        <f>GP438/AVERAGE(GP531,GN531)*100</f>
        <v>10.676904854741721</v>
      </c>
      <c r="GQ538" s="79">
        <f>IF(ISERROR((GP538/GN538-1)*100),"NA",IF(((GP538/GN538-1)*100)&gt;100,"NM",IF(((GP538/GN538-1)*100)&lt;-50,"NM",(GP538/GN538-1)*100)))</f>
        <v>-1.5023952665905504</v>
      </c>
      <c r="GR538" s="318">
        <f>GR438/AVERAGE(GR531,GP531)*100</f>
        <v>10.48174210067225</v>
      </c>
      <c r="GS538" s="79">
        <f>IF(ISERROR((GR538/GP538-1)*100),"NA",IF(((GR538/GP538-1)*100)&gt;100,"NM",IF(((GR538/GP538-1)*100)&lt;-50,"NM",(GR538/GP538-1)*100)))</f>
        <v>-1.8278963494068989</v>
      </c>
      <c r="GT538" s="79">
        <f>IF(ISERROR(((GR538/GH538)^0.2-1)*100),"NA",(IF(OR(((GR538/GH538)^0.2-1)*100&gt;99,((GR538/GH538)^0.2-1)*100&lt;-50),"NM",(((GR538/GH538)^0.2-1)*100))))</f>
        <v>-0.5247988566461026</v>
      </c>
    </row>
    <row r="539" spans="1:202" ht="12.75" customHeight="1" x14ac:dyDescent="0.2">
      <c r="A539" s="1" t="s">
        <v>40</v>
      </c>
      <c r="B539" s="2" t="s">
        <v>165</v>
      </c>
      <c r="C539" s="79"/>
      <c r="D539" s="79"/>
      <c r="E539" s="318">
        <f>E438/E529*400</f>
        <v>12.294461644306844</v>
      </c>
      <c r="F539" s="318"/>
      <c r="G539" s="318">
        <f>G438/AVERAGE(G529,E529)*400</f>
        <v>9.8978056751569241</v>
      </c>
      <c r="H539" s="318"/>
      <c r="I539" s="318">
        <f>I438/AVERAGE(I529,G529)*400</f>
        <v>6.6426679345242139</v>
      </c>
      <c r="J539" s="318"/>
      <c r="K539" s="318">
        <f>K438/AVERAGE(K529,I529)*400</f>
        <v>5.2481593835919815</v>
      </c>
      <c r="L539" s="79"/>
      <c r="M539" s="318">
        <f>M438/AVERAGE(M529,K529)*400</f>
        <v>6.0227136470306117</v>
      </c>
      <c r="N539" s="79" t="str">
        <f>IF(ISERROR((M539/E539-1)*100),"NA",IF(((M539/E539-1)*100)&gt;100,"NM",IF(((M539/E539-1)*100)&lt;-50,"NM",(M539/E539-1)*100)))</f>
        <v>NM</v>
      </c>
      <c r="O539" s="318">
        <f>O438/AVERAGE(O529,M529)*400</f>
        <v>6.5836134064471583</v>
      </c>
      <c r="P539" s="79">
        <f>IF(ISERROR((O539/G539-1)*100),"NA",IF(((O539/G539-1)*100)&gt;100,"NM",IF(((O539/G539-1)*100)&lt;-50,"NM",(O539/G539-1)*100)))</f>
        <v>-33.484111301843889</v>
      </c>
      <c r="Q539" s="318">
        <f>Q438/AVERAGE(Q529,O529)*400</f>
        <v>7.0840686542455984</v>
      </c>
      <c r="R539" s="79">
        <f>IF(ISERROR((Q539/I539-1)*100),"NA",IF(((Q539/I539-1)*100)&gt;100,"NM",IF(((Q539/I539-1)*100)&lt;-50,"NM",(Q539/I539-1)*100)))</f>
        <v>6.6449312847218334</v>
      </c>
      <c r="S539" s="318">
        <f>S438/AVERAGE(S529,Q529)*400</f>
        <v>6.0502908224429079</v>
      </c>
      <c r="T539" s="79">
        <f>IF(ISERROR((S539/K539-1)*100),"NA",IF(((S539/K539-1)*100)&gt;100,"NM",IF(((S539/K539-1)*100)&lt;-50,"NM",(S539/K539-1)*100)))</f>
        <v>15.284052564385453</v>
      </c>
      <c r="U539" s="318">
        <f>U438/AVERAGE(U529,S529)*400</f>
        <v>-14.723083243081787</v>
      </c>
      <c r="V539" s="79" t="str">
        <f>IF(ISERROR((U539/M539-1)*100),"NA",IF(((U539/M539-1)*100)&gt;100,"NM",IF(((U539/M539-1)*100)&lt;-50,"NM",(U539/M539-1)*100)))</f>
        <v>NM</v>
      </c>
      <c r="W539" s="318">
        <f>W438/AVERAGE(W529,U529)*400</f>
        <v>5.5240872637541347</v>
      </c>
      <c r="X539" s="79">
        <f>IF(ISERROR((W539/O539-1)*100),"NA",IF(((W539/O539-1)*100)&gt;100,"NM",IF(((W539/O539-1)*100)&lt;-50,"NM",(W539/O539-1)*100)))</f>
        <v>-16.09338333346636</v>
      </c>
      <c r="Y539" s="318">
        <f>Y438/AVERAGE(Y529,W529)*400</f>
        <v>5.5851712931444357</v>
      </c>
      <c r="Z539" s="79">
        <f>IF(ISERROR((Y539/Q539-1)*100),"NA",IF(((Y539/Q539-1)*100)&gt;100,"NM",IF(((Y539/Q539-1)*100)&lt;-50,"NM",(Y539/Q539-1)*100)))</f>
        <v>-21.158707435773493</v>
      </c>
      <c r="AA539" s="252">
        <f>AA438/AVERAGE(AA529,Y529)*400</f>
        <v>-18.368791043098142</v>
      </c>
      <c r="AB539" s="79" t="str">
        <f>IF(ISERROR((AA539/S539-1)*100),"NA",IF(((AA539/S539-1)*100)&gt;100,"NM",IF(((AA539/S539-1)*100)&lt;-50,"NM",(AA539/S539-1)*100)))</f>
        <v>NM</v>
      </c>
      <c r="AC539" s="318">
        <f>AC438/AVERAGE(AC529,AA529)*400</f>
        <v>-31.221841960944928</v>
      </c>
      <c r="AD539" s="79" t="str">
        <f>IF(ISERROR((AC539/U539-1)*100),"NA",IF(((AC539/U539-1)*100)&gt;100,"NM",IF(((AC539/U539-1)*100)&lt;-50,"NM",(AC539/U539-1)*100)))</f>
        <v>NM</v>
      </c>
      <c r="AE539" s="318">
        <f>AE438/AVERAGE(AE529,AC529)*400</f>
        <v>0.43111513618299729</v>
      </c>
      <c r="AF539" s="79" t="str">
        <f>IF(ISERROR((AE539/W539-1)*100),"NA",IF(((AE539/W539-1)*100)&gt;100,"NM",IF(((AE539/W539-1)*100)&lt;-50,"NM",(AE539/W539-1)*100)))</f>
        <v>NM</v>
      </c>
      <c r="AG539" s="318">
        <f>AG438/AVERAGE(AG529,AE529)*400</f>
        <v>10.252612974982476</v>
      </c>
      <c r="AH539" s="79">
        <f>IF(ISERROR((AG539/Y539-1)*100),"NA",IF(((AG539/Y539-1)*100)&gt;100,"NM",IF(((AG539/Y539-1)*100)&lt;-50,"NM",(AG539/Y539-1)*100)))</f>
        <v>83.568460784132625</v>
      </c>
      <c r="AI539" s="318">
        <f>AI438/AVERAGE(AI529,AG529)*400</f>
        <v>7.5822860986229683</v>
      </c>
      <c r="AJ539" s="79" t="str">
        <f>IF(ISERROR((AI539/AA539-1)*100),"NA",IF(((AI539/AA539-1)*100)&gt;100,"NM",IF(((AI539/AA539-1)*100)&lt;-50,"NM",(AI539/AA539-1)*100)))</f>
        <v>NM</v>
      </c>
      <c r="AK539" s="318">
        <f>AK438/AVERAGE(AK529,AI529)*400</f>
        <v>8.528701012152867</v>
      </c>
      <c r="AL539" s="79" t="str">
        <f>IF(ISERROR((AK539/AC539-1)*100),"NA",IF(((AK539/AC539-1)*100)&gt;100,"NM",IF(((AK539/AC539-1)*100)&lt;-50,"NM",(AK539/AC539-1)*100)))</f>
        <v>NM</v>
      </c>
      <c r="AM539" s="318">
        <f>AM438/AVERAGE(AM529,AK529)*400</f>
        <v>9.192996578788474</v>
      </c>
      <c r="AN539" s="79" t="str">
        <f>IF(ISERROR((AM539/AE539-1)*100),"NA",IF(((AM539/AE539-1)*100)&gt;100,"NM",IF(((AM539/AE539-1)*100)&lt;-50,"NM",(AM539/AE539-1)*100)))</f>
        <v>NM</v>
      </c>
      <c r="AO539" s="318">
        <f>AO438/AVERAGE(AO529,AM529)*400</f>
        <v>2.915393942606491</v>
      </c>
      <c r="AP539" s="79" t="str">
        <f>IF(ISERROR((AO539/AG539-1)*100),"NA",IF(((AO539/AG539-1)*100)&gt;100,"NM",IF(((AO539/AG539-1)*100)&lt;-50,"NM",(AO539/AG539-1)*100)))</f>
        <v>NM</v>
      </c>
      <c r="AQ539" s="318">
        <f>AQ438/AVERAGE(AQ529,AO529)*400</f>
        <v>7.5334209949594539</v>
      </c>
      <c r="AR539" s="79">
        <f>IF(ISERROR((AQ539/AI539-1)*100),"NA",IF(((AQ539/AI539-1)*100)&gt;100,"NM",IF(((AQ539/AI539-1)*100)&lt;-50,"NM",(AQ539/AI539-1)*100)))</f>
        <v>-0.64446399183472058</v>
      </c>
      <c r="AS539" s="318">
        <f>AS438/AVERAGE(AS529,AQ529)*400</f>
        <v>4.3238897781350625</v>
      </c>
      <c r="AT539" s="81">
        <f>IF(ISERROR((AS539/AK539-1)*100),"NA",IF(((AS539/AK539-1)*100)&gt;100,"NM",IF(((AS539/AK539-1)*100)&lt;-50,"NM",(AS539/AK539-1)*100)))</f>
        <v>-49.301895189269864</v>
      </c>
      <c r="AU539" s="318">
        <f>AU438/AVERAGE(AU529,AS529)*400</f>
        <v>7.3892098060479805</v>
      </c>
      <c r="AV539" s="81">
        <f>IF(ISERROR((AU539/AM539-1)*100),"NA",IF(((AU539/AM539-1)*100)&gt;100,"NM",IF(((AU539/AM539-1)*100)&lt;-50,"NM",(AU539/AM539-1)*100)))</f>
        <v>-19.621314522214373</v>
      </c>
      <c r="AW539" s="318">
        <f>AW438/AVERAGE(AW529,AU529)*400</f>
        <v>-3.4948872871417449</v>
      </c>
      <c r="AX539" s="81" t="str">
        <f>IF(ISERROR((AW539/AO539-1)*100),"NA",IF(((AW539/AO539-1)*100)&gt;100,"NM",IF(((AW539/AO539-1)*100)&lt;-50,"NM",(AW539/AO539-1)*100)))</f>
        <v>NM</v>
      </c>
      <c r="AY539" s="318">
        <f>AY438/AVERAGE(AY529,AW529)*400</f>
        <v>14.424156936499235</v>
      </c>
      <c r="AZ539" s="81">
        <f>IF(ISERROR((AY539/AQ539-1)*100),"NA",IF(((AY539/AQ539-1)*100)&gt;100,"NM",IF(((AY539/AQ539-1)*100)&lt;-50,"NM",(AY539/AQ539-1)*100)))</f>
        <v>91.468881749079372</v>
      </c>
      <c r="BA539" s="318">
        <f>BA438/AVERAGE(BA529,AY529)*400</f>
        <v>9.4492361911575671</v>
      </c>
      <c r="BB539" s="81" t="str">
        <f>IF(ISERROR((BA539/AS539-1)*100),"NA",IF(((BA539/AS539-1)*100)&gt;100,"NM",IF(((BA539/AS539-1)*100)&lt;-50,"NM",(BA539/AS539-1)*100)))</f>
        <v>NM</v>
      </c>
      <c r="BC539" s="318">
        <f>BC438/AVERAGE(BC529,BA529)*400</f>
        <v>10.197854653449234</v>
      </c>
      <c r="BD539" s="81">
        <f>IF(ISERROR((BC539/AU539-1)*100),"NA",IF(((BC539/AU539-1)*100)&gt;100,"NM",IF(((BC539/AU539-1)*100)&lt;-50,"NM",(BC539/AU539-1)*100)))</f>
        <v>38.010083907786886</v>
      </c>
      <c r="BE539" s="318">
        <f>BE438/AVERAGE(BE529,BC529)*400</f>
        <v>9.8352891648686942</v>
      </c>
      <c r="BF539" s="81" t="str">
        <f>IF(ISERROR((BE539/AW539-1)*100),"NA",IF(((BE539/AW539-1)*100)&gt;100,"NM",IF(((BE539/AW539-1)*100)&lt;-50,"NM",(BE539/AW539-1)*100)))</f>
        <v>NM</v>
      </c>
      <c r="BG539" s="318">
        <f>BG438/AVERAGE(BG529,BE529)*400</f>
        <v>8.0903803864983939</v>
      </c>
      <c r="BH539" s="81">
        <f>IF(ISERROR((BG539/AY539-1)*100),"NA",IF(((BG539/AY539-1)*100)&gt;100,"NM",IF(((BG539/AY539-1)*100)&lt;-50,"NM",(BG539/AY539-1)*100)))</f>
        <v>-43.91089599124993</v>
      </c>
      <c r="BI539" s="318">
        <f>BI438/AVERAGE(BI529,BG529)*400</f>
        <v>8.3223308649534697</v>
      </c>
      <c r="BJ539" s="81">
        <f>IF(ISERROR((BI539/BA539-1)*100),"NA",IF(((BI539/BA539-1)*100)&gt;100,"NM",IF(((BI539/BA539-1)*100)&lt;-50,"NM",(BI539/BA539-1)*100)))</f>
        <v>-11.925888012606102</v>
      </c>
      <c r="BK539" s="318">
        <f>BK438/AVERAGE(BK529,BI529)*400</f>
        <v>12.562488972534243</v>
      </c>
      <c r="BL539" s="81">
        <f>IF(ISERROR((BK539/BC539-1)*100),"NA",IF(((BK539/BC539-1)*100)&gt;100,"NM",IF(((BK539/BC539-1)*100)&lt;-50,"NM",(BK539/BC539-1)*100)))</f>
        <v>23.187566399421232</v>
      </c>
      <c r="BM539" s="318">
        <f>BM438/AVERAGE(BM529,BK529)*400</f>
        <v>5.9999166678240501</v>
      </c>
      <c r="BN539" s="81">
        <f>IF(ISERROR((BM539/BE539-1)*100),"NA",IF(((BM539/BE539-1)*100)&gt;100,"NM",IF(((BM539/BE539-1)*100)&lt;-50,"NM",(BM539/BE539-1)*100)))</f>
        <v>-38.996031868025391</v>
      </c>
      <c r="BO539" s="318">
        <f>BO438/AVERAGE(BO529,BM529)*400</f>
        <v>2.5461024227565647</v>
      </c>
      <c r="BP539" s="81" t="str">
        <f>IF(ISERROR((BO539/BG539-1)*100),"NA",IF(((BO539/BG539-1)*100)&gt;100,"NM",IF(((BO539/BG539-1)*100)&lt;-50,"NM",(BO539/BG539-1)*100)))</f>
        <v>NM</v>
      </c>
      <c r="BQ539" s="318">
        <f>BQ438/AVERAGE(BQ529,BO529)*400</f>
        <v>10.289770289770285</v>
      </c>
      <c r="BR539" s="81">
        <f>IF(ISERROR((BQ539/BI539-1)*100),"NA",IF(((BQ539/BI539-1)*100)&gt;100,"NM",IF(((BQ539/BI539-1)*100)&lt;-50,"NM",(BQ539/BI539-1)*100)))</f>
        <v>23.64048554115994</v>
      </c>
      <c r="BS539" s="318">
        <f>BS438/AVERAGE(BS529,BQ529)*400</f>
        <v>15.377310984821246</v>
      </c>
      <c r="BT539" s="81">
        <f>IF(ISERROR((BS539/BK539-1)*100),"NA",IF(((BS539/BK539-1)*100)&gt;100,"NM",IF(((BS539/BK539-1)*100)&lt;-50,"NM",(BS539/BK539-1)*100)))</f>
        <v>22.406563050054285</v>
      </c>
      <c r="BU539" s="318">
        <f>BU438/AVERAGE(BU529,BS529)*400</f>
        <v>11.250906407826267</v>
      </c>
      <c r="BV539" s="81">
        <f>IF(ISERROR((BU539/BM539-1)*100),"NA",IF(((BU539/BM539-1)*100)&gt;100,"NM",IF(((BU539/BM539-1)*100)&lt;-50,"NM",(BU539/BM539-1)*100)))</f>
        <v>87.517711173587998</v>
      </c>
      <c r="BW539" s="318">
        <f>BW438/AVERAGE(BW529,BU529)*400</f>
        <v>9.5275068535695198</v>
      </c>
      <c r="BX539" s="81" t="str">
        <f>IF(ISERROR((BW539/BO539-1)*100),"NA",IF(((BW539/BO539-1)*100)&gt;100,"NM",IF(((BW539/BO539-1)*100)&lt;-50,"NM",(BW539/BO539-1)*100)))</f>
        <v>NM</v>
      </c>
      <c r="BY539" s="318">
        <f>BY438/AVERAGE(BY529,BW529)*400</f>
        <v>10.490558612987043</v>
      </c>
      <c r="BZ539" s="81">
        <f>IF(ISERROR((BY539/BQ539-1)*100),"NA",IF(((BY539/BQ539-1)*100)&gt;100,"NM",IF(((BY539/BQ539-1)*100)&lt;-50,"NM",(BY539/BQ539-1)*100)))</f>
        <v>1.9513392190724899</v>
      </c>
      <c r="CA539" s="318">
        <f>CA438/AVERAGE(CA529,BY529)*400</f>
        <v>9.4403435324242686</v>
      </c>
      <c r="CB539" s="81">
        <f>IF(ISERROR((CA539/BS539-1)*100),"NA",IF(((CA539/BS539-1)*100)&gt;100,"NM",IF(((CA539/BS539-1)*100)&lt;-50,"NM",(CA539/BS539-1)*100)))</f>
        <v>-38.608619271973396</v>
      </c>
      <c r="CC539" s="318">
        <f>CC438/AVERAGE(CC529,CA529)*400</f>
        <v>9.840524168624059</v>
      </c>
      <c r="CD539" s="81">
        <f>IF(ISERROR((CC539/BU539-1)*100),"NA",IF(((CC539/BU539-1)*100)&gt;100,"NM",IF(((CC539/BU539-1)*100)&lt;-50,"NM",(CC539/BU539-1)*100)))</f>
        <v>-12.535721017296254</v>
      </c>
      <c r="CE539" s="318">
        <f>CE438/AVERAGE(CE529,CC529)*400</f>
        <v>10.302716985467301</v>
      </c>
      <c r="CF539" s="81">
        <f>IF(ISERROR((CE539/BW539-1)*100),"NA",IF(((CE539/BW539-1)*100)&gt;100,"NM",IF(((CE539/BW539-1)*100)&lt;-50,"NM",(CE539/BW539-1)*100)))</f>
        <v>8.1365476174634956</v>
      </c>
      <c r="CG539" s="318">
        <f>CG438/AVERAGE(CG529,CE529)*400</f>
        <v>10.517960146056641</v>
      </c>
      <c r="CH539" s="81">
        <f>IF(ISERROR((CG539/BY539-1)*100),"NA",IF(((CG539/BY539-1)*100)&gt;100,"NM",IF(((CG539/BY539-1)*100)&lt;-50,"NM",(CG539/BY539-1)*100)))</f>
        <v>0.26120184901952115</v>
      </c>
      <c r="CI539" s="318">
        <f>CI438/AVERAGE(CI529,CG529)*400</f>
        <v>10.62310385064178</v>
      </c>
      <c r="CJ539" s="81">
        <f>IF(ISERROR((CI539/CA539-1)*100),"NA",IF(((CI539/CA539-1)*100)&gt;100,"NM",IF(((CI539/CA539-1)*100)&lt;-50,"NM",(CI539/CA539-1)*100)))</f>
        <v>12.52878472224177</v>
      </c>
      <c r="CK539" s="318">
        <f>CK438/AVERAGE(CK529,CI529)*400</f>
        <v>8.9390913767638942</v>
      </c>
      <c r="CL539" s="81">
        <f>IF(ISERROR((CK539/CC539-1)*100),"NA",IF(((CK539/CC539-1)*100)&gt;100,"NM",IF(((CK539/CC539-1)*100)&lt;-50,"NM",(CK539/CC539-1)*100)))</f>
        <v>-9.1604143886392819</v>
      </c>
      <c r="CM539" s="318">
        <f>CM438/AVERAGE(CM529,CK529)*400</f>
        <v>-16.744375999727747</v>
      </c>
      <c r="CN539" s="81" t="str">
        <f>IF(ISERROR((CM539/CE539-1)*100),"NA",IF(((CM539/CE539-1)*100)&gt;100,"NM",IF(((CM539/CE539-1)*100)&lt;-50,"NM",(CM539/CE539-1)*100)))</f>
        <v>NM</v>
      </c>
      <c r="CO539" s="318">
        <f>CO438/AVERAGE(CO529,CM529)*400</f>
        <v>10.466311102412289</v>
      </c>
      <c r="CP539" s="81">
        <f>IF(ISERROR((CO539/CG539-1)*100),"NA",IF(((CO539/CG539-1)*100)&gt;100,"NM",IF(((CO539/CG539-1)*100)&lt;-50,"NM",(CO539/CG539-1)*100)))</f>
        <v>-0.49105570782862484</v>
      </c>
      <c r="CQ539" s="318">
        <f>CQ438/AVERAGE(CQ529,CO529)*400</f>
        <v>10.450446099795959</v>
      </c>
      <c r="CR539" s="81">
        <f>IF(ISERROR((CQ539/CI539-1)*100),"NA",IF(((CQ539/CI539-1)*100)&gt;100,"NM",IF(((CQ539/CI539-1)*100)&lt;-50,"NM",(CQ539/CI539-1)*100)))</f>
        <v>-1.625304179205489</v>
      </c>
      <c r="CS539" s="318">
        <f>CS438/AVERAGE(CS529,CQ529)*400</f>
        <v>10.795347964734573</v>
      </c>
      <c r="CT539" s="81">
        <f>IF(ISERROR((CS539/CK539-1)*100),"NA",IF(((CS539/CK539-1)*100)&gt;100,"NM",IF(((CS539/CK539-1)*100)&lt;-50,"NM",(CS539/CK539-1)*100)))</f>
        <v>20.765607036927669</v>
      </c>
      <c r="CU539" s="318">
        <f>CU438/AVERAGE(CU529,CS529)*400</f>
        <v>10.8250076652069</v>
      </c>
      <c r="CV539" s="81" t="str">
        <f>IF(ISERROR((CU539/CM539-1)*100),"NA",IF(((CU539/CM539-1)*100)&gt;100,"NM",IF(((CU539/CM539-1)*100)&lt;-50,"NM",(CU539/CM539-1)*100)))</f>
        <v>NM</v>
      </c>
      <c r="CW539" s="318">
        <f>CW438/AVERAGE(CW529,CU529)*400</f>
        <v>9.7703023808414518</v>
      </c>
      <c r="CX539" s="81">
        <f>IF(ISERROR((CW539/CO539-1)*100),"NA",IF(((CW539/CO539-1)*100)&gt;100,"NM",IF(((CW539/CO539-1)*100)&lt;-50,"NM",(CW539/CO539-1)*100)))</f>
        <v>-6.6499907633208117</v>
      </c>
      <c r="CY539" s="318">
        <f>CY438/AVERAGE(CY529,CW529)*400</f>
        <v>10.201671940679162</v>
      </c>
      <c r="CZ539" s="81">
        <f>IF(ISERROR((CY539/CQ539-1)*100),"NA",IF(((CY539/CQ539-1)*100)&gt;100,"NM",IF(((CY539/CQ539-1)*100)&lt;-50,"NM",(CY539/CQ539-1)*100)))</f>
        <v>-2.3805123412066975</v>
      </c>
      <c r="DA539" s="318">
        <f>DA438/AVERAGE(DA529,CY529)*400</f>
        <v>9.51057153749157</v>
      </c>
      <c r="DB539" s="81">
        <f>IF(ISERROR((DA539/CS539-1)*100),"NA",IF(((DA539/CS539-1)*100)&gt;100,"NM",IF(((DA539/CS539-1)*100)&lt;-50,"NM",(DA539/CS539-1)*100)))</f>
        <v>-11.901204402489052</v>
      </c>
      <c r="DC539" s="318">
        <f>DC438/AVERAGE(DC529,DA529)*400</f>
        <v>10.102947463286691</v>
      </c>
      <c r="DD539" s="81">
        <f>IF(ISERROR((DC539/CU539-1)*100),"NA",IF(((DC539/CU539-1)*100)&gt;100,"NM",IF(((DC539/CU539-1)*100)&lt;-50,"NM",(DC539/CU539-1)*100)))</f>
        <v>-6.670297373007994</v>
      </c>
      <c r="DE539" s="318">
        <f>DE438/AVERAGE(DE529,DC529)*400</f>
        <v>10.279230423426435</v>
      </c>
      <c r="DF539" s="81">
        <f>IF(ISERROR((DE539/CW539-1)*100),"NA",IF(((DE539/CW539-1)*100)&gt;100,"NM",IF(((DE539/CW539-1)*100)&lt;-50,"NM",(DE539/CW539-1)*100)))</f>
        <v>5.2089282680026328</v>
      </c>
      <c r="DG539" s="318">
        <f>DG438/AVERAGE(DG529,DE529)*400</f>
        <v>10.536334178719379</v>
      </c>
      <c r="DH539" s="81">
        <f>IF(ISERROR((DG539/CY539-1)*100),"NA",IF(((DG539/CY539-1)*100)&gt;100,"NM",IF(((DG539/CY539-1)*100)&lt;-50,"NM",(DG539/CY539-1)*100)))</f>
        <v>3.2804646139007021</v>
      </c>
      <c r="DI539" s="318">
        <f>DI438/AVERAGE(DI529,DG529)*400</f>
        <v>9.4814109603120098</v>
      </c>
      <c r="DJ539" s="81">
        <f>IF(ISERROR((DI539/DA539-1)*100),"NA",IF(((DI539/DA539-1)*100)&gt;100,"NM",IF(((DI539/DA539-1)*100)&lt;-50,"NM",(DI539/DA539-1)*100)))</f>
        <v>-0.3066122479033595</v>
      </c>
      <c r="DK539" s="318">
        <f>DK438/AVERAGE(DK529,DI529)*400</f>
        <v>-12.708205506363674</v>
      </c>
      <c r="DL539" s="81" t="str">
        <f>IF(ISERROR((DK539/DC539-1)*100),"NA",IF(((DK539/DC539-1)*100)&gt;100,"NM",IF(((DK539/DC539-1)*100)&lt;-50,"NM",(DK539/DC539-1)*100)))</f>
        <v>NM</v>
      </c>
      <c r="DM539" s="318">
        <f>DM438/AVERAGE(DM529,DK529)*400</f>
        <v>9.8966867714906659</v>
      </c>
      <c r="DN539" s="81">
        <f>IF(ISERROR((DM539/DE539-1)*100),"NA",IF(((DM539/DE539-1)*100)&gt;100,"NM",IF(((DM539/DE539-1)*100)&lt;-50,"NM",(DM539/DE539-1)*100)))</f>
        <v>-3.7215203490715609</v>
      </c>
      <c r="DO539" s="318">
        <f>DO438/AVERAGE(DO529,DM529)*400</f>
        <v>10.430375037782786</v>
      </c>
      <c r="DP539" s="81">
        <f>IF(ISERROR((DO539/DG539-1)*100),"NA",IF(((DO539/DG539-1)*100)&gt;100,"NM",IF(((DO539/DG539-1)*100)&lt;-50,"NM",(DO539/DG539-1)*100)))</f>
        <v>-1.0056547100660729</v>
      </c>
      <c r="DQ539" s="318">
        <f>DQ438/AVERAGE(DQ529,DO529)*400</f>
        <v>9.5362874923962462</v>
      </c>
      <c r="DR539" s="81">
        <f>IF(ISERROR((DQ539/DI539-1)*100),"NA",IF(((DQ539/DI539-1)*100)&gt;100,"NM",IF(((DQ539/DI539-1)*100)&lt;-50,"NM",(DQ539/DI539-1)*100)))</f>
        <v>0.57878022916570959</v>
      </c>
      <c r="DS539" s="318">
        <f>DS438/AVERAGE(DS529,DQ529)*400</f>
        <v>10.488837344157723</v>
      </c>
      <c r="DT539" s="81" t="str">
        <f>IF(ISERROR((DS539/DK539-1)*100),"NA",IF(((DS539/DK539-1)*100)&gt;100,"NM",IF(((DS539/DK539-1)*100)&lt;-50,"NM",(DS539/DK539-1)*100)))</f>
        <v>NM</v>
      </c>
      <c r="DU539" s="318">
        <f>DU438/AVERAGE(DU529,DS529)*400</f>
        <v>9.5813286928037602</v>
      </c>
      <c r="DV539" s="81">
        <f>IF(ISERROR((DU539/DM539-1)*100),"NA",IF(((DU539/DM539-1)*100)&gt;100,"NM",IF(((DU539/DM539-1)*100)&lt;-50,"NM",(DU539/DM539-1)*100)))</f>
        <v>-3.1865015632843496</v>
      </c>
      <c r="DW539" s="318">
        <f>DW438/AVERAGE(DW529,DU529)*400</f>
        <v>10.479441066973493</v>
      </c>
      <c r="DX539" s="81">
        <f>IF(ISERROR((DW539/DO539-1)*100),"NA",IF(((DW539/DO539-1)*100)&gt;100,"NM",IF(((DW539/DO539-1)*100)&lt;-50,"NM",(DW539/DO539-1)*100)))</f>
        <v>0.47041481263110363</v>
      </c>
      <c r="DY539" s="318">
        <f>DY438/AVERAGE(DY529,DW529)*400</f>
        <v>10.195375360456207</v>
      </c>
      <c r="DZ539" s="81">
        <f>IF(ISERROR((DY539/DQ539-1)*100),"NA",IF(((DY539/DQ539-1)*100)&gt;100,"NM",IF(((DY539/DQ539-1)*100)&lt;-50,"NM",(DY539/DQ539-1)*100)))</f>
        <v>6.9113674329290609</v>
      </c>
      <c r="EA539" s="318">
        <f>EA438/AVERAGE(EA529,DY529)*400</f>
        <v>10.824258560111733</v>
      </c>
      <c r="EB539" s="81">
        <f>IF(ISERROR((EA539/DS539-1)*100),"NA",IF(((EA539/DS539-1)*100)&gt;100,"NM",IF(((EA539/DS539-1)*100)&lt;-50,"NM",(EA539/DS539-1)*100)))</f>
        <v>3.197887477403194</v>
      </c>
      <c r="EC539" s="318">
        <f>EC438/AVERAGE(EC529,EA529)*400</f>
        <v>10.177249707830141</v>
      </c>
      <c r="ED539" s="81">
        <f t="shared" si="2124"/>
        <v>6.219607260462312</v>
      </c>
      <c r="EE539" s="318">
        <f>EE438/AVERAGE(EE529,EC529)*400</f>
        <v>10.644789330021046</v>
      </c>
      <c r="EF539" s="81">
        <f t="shared" si="2125"/>
        <v>1.5778347527394043</v>
      </c>
      <c r="EG539" s="318">
        <f>EG438/AVERAGE(EG529,EE529)*400</f>
        <v>10.730501140408839</v>
      </c>
      <c r="EH539" s="81">
        <f t="shared" si="2126"/>
        <v>5.2487109207197014</v>
      </c>
      <c r="EI539" s="318">
        <f>EI438/AVERAGE(EI529,EG529)*400</f>
        <v>11.22401240570872</v>
      </c>
      <c r="EJ539" s="81">
        <f t="shared" si="2127"/>
        <v>3.6931291263690991</v>
      </c>
      <c r="EK539" s="318">
        <f t="shared" ref="EK539" si="2144">EK438/AVERAGE(EK529,EI529)*400</f>
        <v>10.874584959595559</v>
      </c>
      <c r="EL539" s="81">
        <f t="shared" si="2129"/>
        <v>6.8519027417486278</v>
      </c>
      <c r="EM539" s="318">
        <f t="shared" ref="EM539" si="2145">EM438/AVERAGE(EM529,EK529)*400</f>
        <v>11.368338743904266</v>
      </c>
      <c r="EN539" s="81">
        <f t="shared" si="2131"/>
        <v>6.7972168490232576</v>
      </c>
      <c r="EO539" s="318">
        <f t="shared" ref="EO539" si="2146">EO438/AVERAGE(EO529,EM529)*400</f>
        <v>11.271584540867615</v>
      </c>
      <c r="EP539" s="81">
        <f t="shared" si="2133"/>
        <v>5.0424802474617669</v>
      </c>
      <c r="EQ539" s="318">
        <f t="shared" ref="EQ539" si="2147">EQ438/AVERAGE(EQ529,EO529)*400</f>
        <v>11.247708532360329</v>
      </c>
      <c r="ER539" s="81">
        <f t="shared" si="2135"/>
        <v>0.2111199257010643</v>
      </c>
      <c r="ES539" s="327"/>
      <c r="ET539" s="490"/>
      <c r="EU539" s="327"/>
      <c r="EV539" s="318">
        <f>EV438/EV532*100</f>
        <v>0</v>
      </c>
      <c r="EW539" s="79"/>
      <c r="EX539" s="330">
        <f>EX438/AVERAGE(EX529,EV529)*100</f>
        <v>0</v>
      </c>
      <c r="EY539" s="79" t="str">
        <f>IF(ISERROR((EX539/EV539-1)*100),"NA",IF(((EX539/EV539-1)*100)&gt;100,"NM",IF(((EX539/EV539-1)*100)&lt;-50,"NM",(EX539/EV539-1)*100)))</f>
        <v>NA</v>
      </c>
      <c r="EZ539" s="318"/>
      <c r="FA539" s="79" t="str">
        <f>IF(ISERROR((EZ539/EX539-1)*100),"NA",IF(((EZ539/EX539-1)*100)&gt;100,"NM",IF(((EZ539/EX539-1)*100)&lt;-50,"NM",(EZ539/EX539-1)*100)))</f>
        <v>NA</v>
      </c>
      <c r="FB539" s="318">
        <f>FB438/AVERAGE(FB529,EZ529)*100</f>
        <v>-7.6301140261747822</v>
      </c>
      <c r="FC539" s="79" t="str">
        <f>IF(ISERROR((FB539/EZ539-1)*100),"NA",IF(((FB539/EZ539-1)*100)&gt;100,"NM",IF(((FB539/EZ539-1)*100)&lt;-50,"NM",(FB539/EZ539-1)*100)))</f>
        <v>NA</v>
      </c>
      <c r="FD539" s="318">
        <f>FD438/AVERAGE(FD529,FB529)*100</f>
        <v>8.7021145105647442</v>
      </c>
      <c r="FE539" s="79" t="str">
        <f>IF(ISERROR((FD539/FB539-1)*100),"NA",IF(((FD539/FB539-1)*100)&gt;100,"NM",IF(((FD539/FB539-1)*100)&lt;-50,"NM",(FD539/FB539-1)*100)))</f>
        <v>NM</v>
      </c>
      <c r="FF539" s="318">
        <f>FF438/AVERAGE(FF529,FD529)*100</f>
        <v>-2.733417409417457</v>
      </c>
      <c r="FG539" s="79" t="str">
        <f>IF(ISERROR((FF539/FD539-1)*100),"NA",IF(((FF539/FD539-1)*100)&gt;100,"NM",IF(((FF539/FD539-1)*100)&lt;-50,"NM",(FF539/FD539-1)*100)))</f>
        <v>NM</v>
      </c>
      <c r="FH539" s="318">
        <f>FH438/AVERAGE(FH529,FF529)*100</f>
        <v>-1.370118177867006</v>
      </c>
      <c r="FI539" s="79">
        <f>IF(ISERROR((FH539/FF539-1)*100),"NA",IF(((FH539/FF539-1)*100)&gt;100,"NM",IF(((FH539/FF539-1)*100)&lt;-50,"NM",(FH539/FF539-1)*100)))</f>
        <v>-49.875267013865844</v>
      </c>
      <c r="FJ539" s="318">
        <f>FJ438/AVERAGE(FJ529,FH529)*100</f>
        <v>7.0743076501234015</v>
      </c>
      <c r="FK539" s="79" t="str">
        <f>IF(ISERROR((FJ539/FH539-1)*100),"NA",IF(((FJ539/FH539-1)*100)&gt;100,"NM",IF(((FJ539/FH539-1)*100)&lt;-50,"NM",(FJ539/FH539-1)*100)))</f>
        <v>NM</v>
      </c>
      <c r="FL539" s="318">
        <f>FL438/AVERAGE(FL529,FJ529)*100</f>
        <v>5.4751470227479198</v>
      </c>
      <c r="FM539" s="79">
        <f>IF(ISERROR((FL539/FJ539-1)*100),"NA",IF(((FL539/FJ539-1)*100)&gt;100,"NM",IF(((FL539/FJ539-1)*100)&lt;-50,"NM",(FL539/FJ539-1)*100)))</f>
        <v>-22.605189178443297</v>
      </c>
      <c r="FN539" s="318">
        <f>FN438/AVERAGE(FN529,FL529)*100</f>
        <v>9.0578537569723405</v>
      </c>
      <c r="FO539" s="79">
        <f>IF(ISERROR((FN539/FL539-1)*100),"NA",IF(((FN539/FL539-1)*100)&gt;100,"NM",IF(((FN539/FL539-1)*100)&lt;-50,"NM",(FN539/FL539-1)*100)))</f>
        <v>65.435808743384143</v>
      </c>
      <c r="FP539" s="318">
        <f>FP438/AVERAGE(FP529,FN529)*100</f>
        <v>7.6632173876906435</v>
      </c>
      <c r="FQ539" s="79">
        <f>IF(ISERROR((FP539/FN539-1)*100),"NA",IF(((FP539/FN539-1)*100)&gt;100,"NM",IF(((FP539/FN539-1)*100)&lt;-50,"NM",(FP539/FN539-1)*100)))</f>
        <v>-15.396984834383831</v>
      </c>
      <c r="FR539" s="318">
        <f>FR438/AVERAGE(FR529,FT529)*100</f>
        <v>9.9770385634383167</v>
      </c>
      <c r="FS539" s="79">
        <f>IF(ISERROR((FR539/FP539-1)*100),"NA",IF(((FR539/FP539-1)*100)&gt;100,"NM",IF(((FR539/FP539-1)*100)&lt;-50,"NM",(FR539/FP539-1)*100)))</f>
        <v>30.193860603045696</v>
      </c>
      <c r="FT539" s="318">
        <f>FT438/AVERAGE(FT529,FR529)*100</f>
        <v>10.338534000588744</v>
      </c>
      <c r="FU539" s="79">
        <f>IF(ISERROR((FT539/FR539-1)*100),"NA",IF(((FT539/FR539-1)*100)&gt;100,"NM",IF(((FT539/FR539-1)*100)&lt;-50,"NM",(FT539/FR539-1)*100)))</f>
        <v>3.6232739289507876</v>
      </c>
      <c r="FV539" s="318">
        <f>FV438/AVERAGE(FV529,FT529)*100</f>
        <v>3.4128709185450239</v>
      </c>
      <c r="FW539" s="79" t="str">
        <f>IF(ISERROR((FV539/FT539-1)*100),"NA",IF(((FV539/FT539-1)*100)&gt;100,"NM",IF(((FV539/FT539-1)*100)&lt;-50,"NM",(FV539/FT539-1)*100)))</f>
        <v>NM</v>
      </c>
      <c r="FX539" s="318">
        <f>FX438/AVERAGE(FX529,FV529)*100</f>
        <v>10.58376980509227</v>
      </c>
      <c r="FY539" s="79" t="str">
        <f>IF(ISERROR((FX539/FV539-1)*100),"NA",IF(((FX539/FV539-1)*100)&gt;100,"NM",IF(((FX539/FV539-1)*100)&lt;-50,"NM",(FX539/FV539-1)*100)))</f>
        <v>NM</v>
      </c>
      <c r="FZ539" s="318">
        <f>FZ438/AVERAGE(FZ529,FX529)*100</f>
        <v>9.8188668308940734</v>
      </c>
      <c r="GA539" s="79">
        <f>IF(ISERROR((FZ539/FX539-1)*100),"NA",IF(((FZ539/FX539-1)*100)&gt;100,"NM",IF(((FZ539/FX539-1)*100)&lt;-50,"NM",(FZ539/FX539-1)*100)))</f>
        <v>-7.2271316202490716</v>
      </c>
      <c r="GB539" s="318">
        <f>GB438/AVERAGE(GB529,FZ529)*100</f>
        <v>4.6859886492092908</v>
      </c>
      <c r="GC539" s="79" t="str">
        <f>IF(ISERROR((GB539/FZ539-1)*100),"NA",IF(((GB539/FZ539-1)*100)&gt;100,"NM",IF(((GB539/FZ539-1)*100)&lt;-50,"NM",(GB539/FZ539-1)*100)))</f>
        <v>NM</v>
      </c>
      <c r="GD539" s="318">
        <f>GD438/AVERAGE(GD529,GB529)*100</f>
        <v>10.090888989747345</v>
      </c>
      <c r="GE539" s="79" t="str">
        <f>IF(ISERROR((GD539/GB539-1)*100),"NA",IF(((GD539/GB539-1)*100)&gt;100,"NM",IF(((GD539/GB539-1)*100)&lt;-50,"NM",(GD539/GB539-1)*100)))</f>
        <v>NM</v>
      </c>
      <c r="GF539" s="318">
        <f>GF438/AVERAGE(GF529,GD529)*100</f>
        <v>10.564941951803277</v>
      </c>
      <c r="GG539" s="79">
        <f>IF(ISERROR((GF539/GD539-1)*100),"NA",IF(((GF539/GD539-1)*100)&gt;100,"NM",IF(((GF539/GD539-1)*100)&lt;-50,"NM",(GF539/GD539-1)*100)))</f>
        <v>4.6978315046135588</v>
      </c>
      <c r="GH539" s="318">
        <f>GH438/AVERAGE(GH529,GF529)*100</f>
        <v>10.716770300222722</v>
      </c>
      <c r="GI539" s="79">
        <f>IF(ISERROR((GH539/GF539-1)*100),"NA",IF(((GH539/GF539-1)*100)&gt;100,"NM",IF(((GH539/GF539-1)*100)&lt;-50,"NM",(GH539/GF539-1)*100)))</f>
        <v>1.4370959075031164</v>
      </c>
      <c r="GJ539" s="318">
        <f>GJ438/AVERAGE(GJ529,GH529)*100</f>
        <v>11.187361496186142</v>
      </c>
      <c r="GK539" s="79">
        <f>IF(ISERROR((GJ539/GH539-1)*100),"NA",IF(((GJ539/GH539-1)*100)&gt;100,"NM",IF(((GJ539/GH539-1)*100)&lt;-50,"NM",(GJ539/GH539-1)*100)))</f>
        <v>4.39116620754334</v>
      </c>
      <c r="GL539" s="318">
        <f>GL438/AVERAGE(GL529,GJ529)*100</f>
        <v>10.915682395056761</v>
      </c>
      <c r="GM539" s="79">
        <f>IF(ISERROR((GL539/GJ539-1)*100),"NA",IF(((GL539/GJ539-1)*100)&gt;100,"NM",IF(((GL539/GJ539-1)*100)&lt;-50,"NM",(GL539/GJ539-1)*100)))</f>
        <v>-2.4284466111334502</v>
      </c>
      <c r="GN539" s="318">
        <f>GN438/AVERAGE(GN529,GL529)*100</f>
        <v>10.711822192985958</v>
      </c>
      <c r="GO539" s="79">
        <f>IF(ISERROR((GN539/GL539-1)*100),"NA",IF(((GN539/GL539-1)*100)&gt;100,"NM",IF(((GN539/GL539-1)*100)&lt;-50,"NM",(GN539/GL539-1)*100)))</f>
        <v>-1.8675900845477433</v>
      </c>
      <c r="GP539" s="318">
        <f>GP438/AVERAGE(GP529,GN529)*100</f>
        <v>10.556487302400107</v>
      </c>
      <c r="GQ539" s="79">
        <f>IF(ISERROR((GP539/GN539-1)*100),"NA",IF(((GP539/GN539-1)*100)&gt;100,"NM",IF(((GP539/GN539-1)*100)&lt;-50,"NM",(GP539/GN539-1)*100)))</f>
        <v>-1.4501257375945098</v>
      </c>
      <c r="GR539" s="318">
        <f>GR438/AVERAGE(GR529,GP529)*100</f>
        <v>10.368610304773009</v>
      </c>
      <c r="GS539" s="79">
        <f>IF(ISERROR((GR539/GP539-1)*100),"NA",IF(((GR539/GP539-1)*100)&gt;100,"NM",IF(((GR539/GP539-1)*100)&lt;-50,"NM",(GR539/GP539-1)*100)))</f>
        <v>-1.7797302478105848</v>
      </c>
      <c r="GT539" s="79">
        <f>IF(ISERROR(((GR539/GH539)^0.2-1)*100),"NA",(IF(OR(((GR539/GH539)^0.2-1)*100&gt;99,((GR539/GH539)^0.2-1)*100&lt;-50),"NM",(((GR539/GH539)^0.2-1)*100))))</f>
        <v>-0.65835985506691452</v>
      </c>
    </row>
    <row r="540" spans="1:202" ht="12.75" customHeight="1" x14ac:dyDescent="0.2">
      <c r="A540" s="1"/>
      <c r="B540" s="2"/>
      <c r="C540" s="79"/>
      <c r="D540" s="79"/>
      <c r="E540" s="129"/>
      <c r="F540" s="129"/>
      <c r="G540" s="129"/>
      <c r="H540" s="129"/>
      <c r="I540" s="129"/>
      <c r="J540" s="129"/>
      <c r="K540" s="129"/>
      <c r="L540" s="79"/>
      <c r="M540" s="129"/>
      <c r="N540" s="79"/>
      <c r="O540" s="129"/>
      <c r="P540" s="79"/>
      <c r="Q540" s="129"/>
      <c r="R540" s="79"/>
      <c r="S540" s="129"/>
      <c r="T540" s="79"/>
      <c r="U540" s="129"/>
      <c r="V540" s="79"/>
      <c r="W540" s="129"/>
      <c r="X540" s="79"/>
      <c r="Y540" s="129"/>
      <c r="Z540" s="79"/>
      <c r="AA540" s="130"/>
      <c r="AB540" s="79"/>
      <c r="AC540" s="129"/>
      <c r="AD540" s="79"/>
      <c r="AE540" s="129"/>
      <c r="AF540" s="79"/>
      <c r="AG540" s="129"/>
      <c r="AH540" s="79"/>
      <c r="AI540" s="129"/>
      <c r="AJ540" s="79"/>
      <c r="AK540" s="129"/>
      <c r="AL540" s="79"/>
      <c r="AM540" s="129"/>
      <c r="AN540" s="79"/>
      <c r="AO540" s="129"/>
      <c r="AP540" s="79"/>
      <c r="AQ540" s="129"/>
      <c r="AR540" s="79"/>
      <c r="AS540" s="129"/>
      <c r="AT540" s="81"/>
      <c r="AU540" s="129"/>
      <c r="AV540" s="81"/>
      <c r="AW540" s="129"/>
      <c r="AX540" s="81"/>
      <c r="AY540" s="129"/>
      <c r="AZ540" s="81"/>
      <c r="BA540" s="129"/>
      <c r="BB540" s="81"/>
      <c r="BC540" s="129"/>
      <c r="BD540" s="81"/>
      <c r="BE540" s="129"/>
      <c r="BF540" s="81"/>
      <c r="BG540" s="129"/>
      <c r="BH540" s="81"/>
      <c r="BI540" s="129"/>
      <c r="BJ540" s="81"/>
      <c r="BK540" s="129"/>
      <c r="BL540" s="81"/>
      <c r="BM540" s="129"/>
      <c r="BN540" s="81"/>
      <c r="BO540" s="129"/>
      <c r="BP540" s="81"/>
      <c r="BQ540" s="129"/>
      <c r="BR540" s="81"/>
      <c r="BS540" s="129"/>
      <c r="BT540" s="81"/>
      <c r="BU540" s="129"/>
      <c r="BV540" s="81"/>
      <c r="BW540" s="129"/>
      <c r="BX540" s="81"/>
      <c r="BY540" s="129"/>
      <c r="BZ540" s="81"/>
      <c r="CA540" s="129"/>
      <c r="CB540" s="81"/>
      <c r="CC540" s="129"/>
      <c r="CD540" s="81"/>
      <c r="CE540" s="129"/>
      <c r="CF540" s="81"/>
      <c r="CG540" s="129"/>
      <c r="CH540" s="81"/>
      <c r="CI540" s="129"/>
      <c r="CJ540" s="81"/>
      <c r="CK540" s="129"/>
      <c r="CL540" s="81"/>
      <c r="CM540" s="129"/>
      <c r="CN540" s="81"/>
      <c r="CO540" s="129"/>
      <c r="CP540" s="81"/>
      <c r="CQ540" s="129"/>
      <c r="CR540" s="81"/>
      <c r="CS540" s="129"/>
      <c r="CT540" s="81"/>
      <c r="CU540" s="129"/>
      <c r="CV540" s="81"/>
      <c r="CW540" s="129"/>
      <c r="CX540" s="81"/>
      <c r="CY540" s="129"/>
      <c r="CZ540" s="81"/>
      <c r="DA540" s="129"/>
      <c r="DB540" s="81"/>
      <c r="DC540" s="129"/>
      <c r="DD540" s="81"/>
      <c r="DE540" s="129"/>
      <c r="DF540" s="81"/>
      <c r="DG540" s="129"/>
      <c r="DH540" s="81"/>
      <c r="DI540" s="129"/>
      <c r="DJ540" s="81"/>
      <c r="DK540" s="129"/>
      <c r="DL540" s="81"/>
      <c r="DM540" s="129"/>
      <c r="DN540" s="81"/>
      <c r="DO540" s="129"/>
      <c r="DP540" s="81"/>
      <c r="DQ540" s="129"/>
      <c r="DR540" s="81"/>
      <c r="DS540" s="129"/>
      <c r="DT540" s="81"/>
      <c r="DU540" s="129"/>
      <c r="DV540" s="81"/>
      <c r="DW540" s="129"/>
      <c r="DX540" s="81"/>
      <c r="DY540" s="129"/>
      <c r="DZ540" s="81"/>
      <c r="EA540" s="129"/>
      <c r="EB540" s="81"/>
      <c r="EC540" s="129"/>
      <c r="ED540" s="81"/>
      <c r="EE540" s="129"/>
      <c r="EF540" s="81"/>
      <c r="EG540" s="129"/>
      <c r="EH540" s="81"/>
      <c r="EI540" s="129"/>
      <c r="EJ540" s="81"/>
      <c r="EK540" s="129"/>
      <c r="EL540" s="81"/>
      <c r="EM540" s="129"/>
      <c r="EN540" s="81"/>
      <c r="EO540" s="129"/>
      <c r="EP540" s="81"/>
      <c r="EQ540" s="129"/>
      <c r="ER540" s="81"/>
      <c r="ES540" s="327"/>
      <c r="ET540" s="498"/>
      <c r="EU540" s="327"/>
      <c r="EV540" s="129"/>
      <c r="EW540" s="79"/>
      <c r="EX540" s="129"/>
      <c r="EY540" s="79"/>
      <c r="EZ540" s="129"/>
      <c r="FA540" s="79"/>
      <c r="FB540" s="129"/>
      <c r="FC540" s="79"/>
      <c r="FD540" s="129"/>
      <c r="FE540" s="79"/>
      <c r="FF540" s="129"/>
      <c r="FG540" s="79"/>
      <c r="FH540" s="129"/>
      <c r="FI540" s="79"/>
      <c r="FJ540" s="129"/>
      <c r="FK540" s="79"/>
      <c r="FL540" s="129"/>
      <c r="FM540" s="79"/>
      <c r="FN540" s="129"/>
      <c r="FO540" s="79"/>
      <c r="FP540" s="129"/>
      <c r="FQ540" s="79"/>
      <c r="FR540" s="129"/>
      <c r="FS540" s="79"/>
      <c r="FT540" s="129"/>
      <c r="FU540" s="79"/>
      <c r="FV540" s="129"/>
      <c r="FW540" s="79"/>
      <c r="FX540" s="129"/>
      <c r="FY540" s="79"/>
      <c r="FZ540" s="129"/>
      <c r="GA540" s="79"/>
      <c r="GB540" s="129"/>
      <c r="GC540" s="79"/>
      <c r="GD540" s="129"/>
      <c r="GE540" s="79"/>
      <c r="GF540" s="129"/>
      <c r="GG540" s="79"/>
      <c r="GH540" s="129"/>
      <c r="GI540" s="79"/>
      <c r="GJ540" s="129"/>
      <c r="GK540" s="79"/>
      <c r="GL540" s="129"/>
      <c r="GM540" s="79"/>
      <c r="GN540" s="129"/>
      <c r="GO540" s="79"/>
      <c r="GP540" s="129"/>
      <c r="GQ540" s="79"/>
      <c r="GR540" s="129"/>
      <c r="GS540" s="79"/>
      <c r="GT540" s="79"/>
    </row>
    <row r="541" spans="1:202" ht="12.75" customHeight="1" x14ac:dyDescent="0.2">
      <c r="A541" s="1"/>
      <c r="B541" s="68" t="s">
        <v>166</v>
      </c>
      <c r="C541" s="79"/>
      <c r="D541" s="79"/>
      <c r="E541" s="327"/>
      <c r="F541" s="327"/>
      <c r="G541" s="327"/>
      <c r="H541" s="327"/>
      <c r="I541" s="327"/>
      <c r="J541" s="327"/>
      <c r="K541" s="327"/>
      <c r="L541" s="79"/>
      <c r="M541" s="327"/>
      <c r="N541" s="79"/>
      <c r="O541" s="327"/>
      <c r="P541" s="79"/>
      <c r="Q541" s="327"/>
      <c r="R541" s="79"/>
      <c r="S541" s="327"/>
      <c r="T541" s="79"/>
      <c r="U541" s="327"/>
      <c r="V541" s="79"/>
      <c r="W541" s="327"/>
      <c r="X541" s="79"/>
      <c r="Y541" s="327"/>
      <c r="Z541" s="79"/>
      <c r="AA541" s="66"/>
      <c r="AB541" s="79"/>
      <c r="AC541" s="327"/>
      <c r="AD541" s="79"/>
      <c r="AE541" s="327"/>
      <c r="AF541" s="79"/>
      <c r="AG541" s="327"/>
      <c r="AH541" s="79"/>
      <c r="AI541" s="327"/>
      <c r="AJ541" s="79"/>
      <c r="AK541" s="327"/>
      <c r="AL541" s="79"/>
      <c r="AM541" s="327"/>
      <c r="AN541" s="79"/>
      <c r="AO541" s="327"/>
      <c r="AP541" s="79"/>
      <c r="AQ541" s="327"/>
      <c r="AR541" s="79"/>
      <c r="AS541" s="327"/>
      <c r="AT541" s="81"/>
      <c r="AU541" s="327"/>
      <c r="AV541" s="81"/>
      <c r="AW541" s="327"/>
      <c r="AX541" s="81"/>
      <c r="AY541" s="327"/>
      <c r="AZ541" s="81"/>
      <c r="BA541" s="327"/>
      <c r="BB541" s="81"/>
      <c r="BC541" s="327"/>
      <c r="BD541" s="81"/>
      <c r="BE541" s="327"/>
      <c r="BF541" s="81"/>
      <c r="BG541" s="327"/>
      <c r="BH541" s="81"/>
      <c r="BI541" s="327"/>
      <c r="BJ541" s="81"/>
      <c r="BK541" s="327"/>
      <c r="BL541" s="81"/>
      <c r="BM541" s="327"/>
      <c r="BN541" s="81"/>
      <c r="BO541" s="327"/>
      <c r="BP541" s="81"/>
      <c r="BQ541" s="327"/>
      <c r="BR541" s="81"/>
      <c r="BS541" s="327"/>
      <c r="BT541" s="81"/>
      <c r="BU541" s="327"/>
      <c r="BV541" s="81"/>
      <c r="BW541" s="327"/>
      <c r="BX541" s="81"/>
      <c r="BY541" s="327"/>
      <c r="BZ541" s="81"/>
      <c r="CA541" s="327"/>
      <c r="CB541" s="81"/>
      <c r="CC541" s="327"/>
      <c r="CD541" s="81"/>
      <c r="CE541" s="327"/>
      <c r="CF541" s="81"/>
      <c r="CG541" s="327"/>
      <c r="CH541" s="81"/>
      <c r="CI541" s="327"/>
      <c r="CJ541" s="81"/>
      <c r="CK541" s="327"/>
      <c r="CL541" s="81"/>
      <c r="CM541" s="327"/>
      <c r="CN541" s="81"/>
      <c r="CO541" s="327"/>
      <c r="CP541" s="81"/>
      <c r="CQ541" s="327"/>
      <c r="CR541" s="81"/>
      <c r="CS541" s="327"/>
      <c r="CT541" s="81"/>
      <c r="CU541" s="327"/>
      <c r="CV541" s="81"/>
      <c r="CW541" s="327"/>
      <c r="CX541" s="81"/>
      <c r="CY541" s="327"/>
      <c r="CZ541" s="81"/>
      <c r="DA541" s="327"/>
      <c r="DB541" s="81"/>
      <c r="DC541" s="327"/>
      <c r="DD541" s="81"/>
      <c r="DE541" s="327"/>
      <c r="DF541" s="81"/>
      <c r="DG541" s="327"/>
      <c r="DH541" s="81"/>
      <c r="DI541" s="327"/>
      <c r="DJ541" s="81"/>
      <c r="DK541" s="327"/>
      <c r="DL541" s="81"/>
      <c r="DM541" s="327"/>
      <c r="DN541" s="81"/>
      <c r="DO541" s="327"/>
      <c r="DP541" s="81"/>
      <c r="DQ541" s="327"/>
      <c r="DR541" s="81"/>
      <c r="DS541" s="327"/>
      <c r="DT541" s="81"/>
      <c r="DU541" s="327"/>
      <c r="DV541" s="81"/>
      <c r="DW541" s="327"/>
      <c r="DX541" s="81"/>
      <c r="DY541" s="327"/>
      <c r="DZ541" s="81"/>
      <c r="EA541" s="327"/>
      <c r="EB541" s="81"/>
      <c r="EC541" s="327"/>
      <c r="ED541" s="81"/>
      <c r="EE541" s="327"/>
      <c r="EF541" s="81"/>
      <c r="EG541" s="327"/>
      <c r="EH541" s="81"/>
      <c r="EI541" s="327"/>
      <c r="EJ541" s="81"/>
      <c r="EK541" s="327"/>
      <c r="EL541" s="81"/>
      <c r="EM541" s="327"/>
      <c r="EN541" s="81"/>
      <c r="EO541" s="327"/>
      <c r="EP541" s="81"/>
      <c r="EQ541" s="327"/>
      <c r="ER541" s="81"/>
      <c r="ES541" s="82"/>
      <c r="ET541" s="490"/>
      <c r="EU541" s="82"/>
      <c r="EV541" s="327"/>
      <c r="EW541" s="79"/>
      <c r="EX541" s="327"/>
      <c r="EY541" s="79"/>
      <c r="EZ541" s="327"/>
      <c r="FA541" s="79"/>
      <c r="FB541" s="327"/>
      <c r="FC541" s="79"/>
      <c r="FD541" s="327"/>
      <c r="FE541" s="79"/>
      <c r="FF541" s="327"/>
      <c r="FG541" s="79"/>
      <c r="FH541" s="327"/>
      <c r="FI541" s="79"/>
      <c r="FJ541" s="327"/>
      <c r="FK541" s="79"/>
      <c r="FL541" s="327"/>
      <c r="FM541" s="79"/>
      <c r="FN541" s="327"/>
      <c r="FO541" s="79"/>
      <c r="FP541" s="327"/>
      <c r="FQ541" s="79"/>
      <c r="FR541" s="327"/>
      <c r="FS541" s="79"/>
      <c r="FT541" s="327"/>
      <c r="FU541" s="79"/>
      <c r="FV541" s="327"/>
      <c r="FW541" s="79"/>
      <c r="FX541" s="327"/>
      <c r="FY541" s="79"/>
      <c r="FZ541" s="327"/>
      <c r="GA541" s="79"/>
      <c r="GB541" s="327"/>
      <c r="GC541" s="79"/>
      <c r="GD541" s="327"/>
      <c r="GE541" s="79"/>
      <c r="GF541" s="327"/>
      <c r="GG541" s="79"/>
      <c r="GH541" s="327"/>
      <c r="GI541" s="79"/>
      <c r="GJ541" s="327"/>
      <c r="GK541" s="79"/>
      <c r="GL541" s="327"/>
      <c r="GM541" s="79"/>
      <c r="GN541" s="327"/>
      <c r="GO541" s="79"/>
      <c r="GP541" s="327"/>
      <c r="GQ541" s="79"/>
      <c r="GR541" s="327"/>
      <c r="GS541" s="79"/>
      <c r="GT541" s="79"/>
    </row>
    <row r="542" spans="1:202" ht="12.75" customHeight="1" x14ac:dyDescent="0.2">
      <c r="A542" s="1" t="s">
        <v>66</v>
      </c>
      <c r="B542" s="2" t="s">
        <v>67</v>
      </c>
      <c r="C542" s="79"/>
      <c r="D542" s="79"/>
      <c r="E542" s="145">
        <f>+E518+E520+E531</f>
        <v>7747.6</v>
      </c>
      <c r="F542" s="327"/>
      <c r="G542" s="145">
        <f>+G518+G520+G531</f>
        <v>8043.7</v>
      </c>
      <c r="H542" s="327"/>
      <c r="I542" s="145">
        <f>+I518+I520+I531</f>
        <v>8115.9</v>
      </c>
      <c r="J542" s="327"/>
      <c r="K542" s="145">
        <f>+K518+K520+K531</f>
        <v>8196.0999999999985</v>
      </c>
      <c r="L542" s="79"/>
      <c r="M542" s="145">
        <f>+M518+M520+M531</f>
        <v>8249.4</v>
      </c>
      <c r="N542" s="79">
        <f t="shared" ref="N542:N549" si="2148">IF(ISERROR((M542/E542-1)*100),"NA",IF(((M542/E542-1)*100)&gt;100,"NM",IF(((M542/E542-1)*100)&lt;-50,"NM",(M542/E542-1)*100)))</f>
        <v>6.4768444421498206</v>
      </c>
      <c r="O542" s="145">
        <f>+O518+O520+O531</f>
        <v>8390.9000000000015</v>
      </c>
      <c r="P542" s="79">
        <f t="shared" ref="P542:P549" si="2149">IF(ISERROR((O542/G542-1)*100),"NA",IF(((O542/G542-1)*100)&gt;100,"NM",IF(((O542/G542-1)*100)&lt;-50,"NM",(O542/G542-1)*100)))</f>
        <v>4.3164215472978995</v>
      </c>
      <c r="Q542" s="145">
        <f>+Q518+Q520+Q531</f>
        <v>8466.9</v>
      </c>
      <c r="R542" s="79">
        <f t="shared" ref="R542:R549" si="2150">IF(ISERROR((Q542/I542-1)*100),"NA",IF(((Q542/I542-1)*100)&gt;100,"NM",IF(((Q542/I542-1)*100)&lt;-50,"NM",(Q542/I542-1)*100)))</f>
        <v>4.3248438250840904</v>
      </c>
      <c r="S542" s="145">
        <f>+S518+S520+S531</f>
        <v>8279.7999999999993</v>
      </c>
      <c r="T542" s="79">
        <f t="shared" ref="T542:T549" si="2151">IF(ISERROR((S542/K542-1)*100),"NA",IF(((S542/K542-1)*100)&gt;100,"NM",IF(((S542/K542-1)*100)&lt;-50,"NM",(S542/K542-1)*100)))</f>
        <v>1.0212174082795622</v>
      </c>
      <c r="U542" s="145">
        <f>+U518+U520+U531</f>
        <v>7998.8</v>
      </c>
      <c r="V542" s="79">
        <f t="shared" ref="V542:V549" si="2152">IF(ISERROR((U542/M542-1)*100),"NA",IF(((U542/M542-1)*100)&gt;100,"NM",IF(((U542/M542-1)*100)&lt;-50,"NM",(U542/M542-1)*100)))</f>
        <v>-3.0377966882439877</v>
      </c>
      <c r="W542" s="145">
        <f>+W518+W520+W531</f>
        <v>9165.9</v>
      </c>
      <c r="X542" s="79">
        <f t="shared" ref="X542:X549" si="2153">IF(ISERROR((W542/O542-1)*100),"NA",IF(((W542/O542-1)*100)&gt;100,"NM",IF(((W542/O542-1)*100)&lt;-50,"NM",(W542/O542-1)*100)))</f>
        <v>9.2361963555756645</v>
      </c>
      <c r="Y542" s="145">
        <f>+Y518+Y520+Y531</f>
        <v>9254.6</v>
      </c>
      <c r="Z542" s="79">
        <f t="shared" ref="Z542:Z549" si="2154">IF(ISERROR((Y542/Q542-1)*100),"NA",IF(((Y542/Q542-1)*100)&gt;100,"NM",IF(((Y542/Q542-1)*100)&lt;-50,"NM",(Y542/Q542-1)*100)))</f>
        <v>9.3032869172897001</v>
      </c>
      <c r="AA542" s="267">
        <f>+AA518+AA520+AA531</f>
        <v>8888.7999999999993</v>
      </c>
      <c r="AB542" s="79">
        <f t="shared" ref="AB542:AB549" si="2155">IF(ISERROR((AA542/S542-1)*100),"NA",IF(((AA542/S542-1)*100)&gt;100,"NM",IF(((AA542/S542-1)*100)&lt;-50,"NM",(AA542/S542-1)*100)))</f>
        <v>7.3552501268146608</v>
      </c>
      <c r="AC542" s="145">
        <f>+AC518+AC520+AC531</f>
        <v>8307.7999999999993</v>
      </c>
      <c r="AD542" s="79">
        <f t="shared" ref="AD542:AD549" si="2156">IF(ISERROR((AC542/U542-1)*100),"NA",IF(((AC542/U542-1)*100)&gt;100,"NM",IF(((AC542/U542-1)*100)&lt;-50,"NM",(AC542/U542-1)*100)))</f>
        <v>3.8630794619192832</v>
      </c>
      <c r="AE542" s="145">
        <f>+AE518+AE520+AE531</f>
        <v>8568.7999999999993</v>
      </c>
      <c r="AF542" s="79">
        <f t="shared" ref="AF542:AF549" si="2157">IF(ISERROR((AE542/W542-1)*100),"NA",IF(((AE542/W542-1)*100)&gt;100,"NM",IF(((AE542/W542-1)*100)&lt;-50,"NM",(AE542/W542-1)*100)))</f>
        <v>-6.5143630194525404</v>
      </c>
      <c r="AG542" s="145">
        <f>+AG518+AG520+AG531</f>
        <v>8489.9</v>
      </c>
      <c r="AH542" s="79">
        <f t="shared" ref="AH542:AH549" si="2158">IF(ISERROR((AG542/Y542-1)*100),"NA",IF(((AG542/Y542-1)*100)&gt;100,"NM",IF(((AG542/Y542-1)*100)&lt;-50,"NM",(AG542/Y542-1)*100)))</f>
        <v>-8.2629179002874373</v>
      </c>
      <c r="AI542" s="145">
        <f>+AI518+AI520+AI531</f>
        <v>8605</v>
      </c>
      <c r="AJ542" s="79">
        <f t="shared" ref="AJ542:AJ549" si="2159">IF(ISERROR((AI542/AA542-1)*100),"NA",IF(((AI542/AA542-1)*100)&gt;100,"NM",IF(((AI542/AA542-1)*100)&lt;-50,"NM",(AI542/AA542-1)*100)))</f>
        <v>-3.192781927819266</v>
      </c>
      <c r="AK542" s="145">
        <f>+AK518+AK520+AK531</f>
        <v>8741.0999999999985</v>
      </c>
      <c r="AL542" s="79">
        <f t="shared" ref="AL542:AL549" si="2160">IF(ISERROR((AK542/AC542-1)*100),"NA",IF(((AK542/AC542-1)*100)&gt;100,"NM",IF(((AK542/AC542-1)*100)&lt;-50,"NM",(AK542/AC542-1)*100)))</f>
        <v>5.215580538770781</v>
      </c>
      <c r="AM542" s="145">
        <f>+AM518+AM520+AM531</f>
        <v>8896.1</v>
      </c>
      <c r="AN542" s="79">
        <f t="shared" ref="AN542:BD549" si="2161">IF(ISERROR((AM542/AE542-1)*100),"NA",IF(((AM542/AE542-1)*100)&gt;100,"NM",IF(((AM542/AE542-1)*100)&lt;-50,"NM",(AM542/AE542-1)*100)))</f>
        <v>3.8196713658855463</v>
      </c>
      <c r="AO542" s="145">
        <f>+AO518+AO520+AO531</f>
        <v>8932.7000000000007</v>
      </c>
      <c r="AP542" s="79">
        <f t="shared" si="2161"/>
        <v>5.2156091355610945</v>
      </c>
      <c r="AQ542" s="145">
        <f>+AQ518+AQ520+AQ531</f>
        <v>9462</v>
      </c>
      <c r="AR542" s="79">
        <f t="shared" si="2161"/>
        <v>9.9593259732713602</v>
      </c>
      <c r="AS542" s="145">
        <f>+AS518+AS520+AS531</f>
        <v>9119.7999999999993</v>
      </c>
      <c r="AT542" s="81">
        <f t="shared" si="2161"/>
        <v>4.3324066765052516</v>
      </c>
      <c r="AU542" s="145">
        <f>+AU518+AU520+AU531</f>
        <v>9496.7999999999993</v>
      </c>
      <c r="AV542" s="81">
        <f t="shared" si="2161"/>
        <v>6.7523971178381492</v>
      </c>
      <c r="AW542" s="145">
        <f>+AW518+AW520+AW531</f>
        <v>9412.5</v>
      </c>
      <c r="AX542" s="81">
        <f t="shared" si="2161"/>
        <v>5.3712763218287884</v>
      </c>
      <c r="AY542" s="145">
        <f>+AY518+AY520+AY531</f>
        <v>9765.6</v>
      </c>
      <c r="AZ542" s="81">
        <f t="shared" si="2161"/>
        <v>3.2086239695624741</v>
      </c>
      <c r="BA542" s="145">
        <f>+BA518+BA520+BA531</f>
        <v>9332.6</v>
      </c>
      <c r="BB542" s="81">
        <f t="shared" si="2161"/>
        <v>2.3333845040461432</v>
      </c>
      <c r="BC542" s="145">
        <f>+BC518+BC520+BC531</f>
        <v>9555.6</v>
      </c>
      <c r="BD542" s="81">
        <f t="shared" si="2161"/>
        <v>0.61915592620673809</v>
      </c>
      <c r="BE542" s="145">
        <f>+BE518+BE520+BE531</f>
        <v>9717.4</v>
      </c>
      <c r="BF542" s="81">
        <f t="shared" ref="BF542:BF549" si="2162">IF(ISERROR((BE542/AW542-1)*100),"NA",IF(((BE542/AW542-1)*100)&gt;100,"NM",IF(((BE542/AW542-1)*100)&lt;-50,"NM",(BE542/AW542-1)*100)))</f>
        <v>3.2393094289508539</v>
      </c>
      <c r="BG542" s="145">
        <f>+BG518+BG520+BG531</f>
        <v>10091.599999999999</v>
      </c>
      <c r="BH542" s="81">
        <f t="shared" ref="BH542:BH549" si="2163">IF(ISERROR((BG542/AY542-1)*100),"NA",IF(((BG542/AY542-1)*100)&gt;100,"NM",IF(((BG542/AY542-1)*100)&lt;-50,"NM",(BG542/AY542-1)*100)))</f>
        <v>3.338248545916267</v>
      </c>
      <c r="BI542" s="145">
        <f>+BI518+BI520+BI531</f>
        <v>9866.4</v>
      </c>
      <c r="BJ542" s="81">
        <f t="shared" ref="BJ542:BJ549" si="2164">IF(ISERROR((BI542/BA542-1)*100),"NA",IF(((BI542/BA542-1)*100)&gt;100,"NM",IF(((BI542/BA542-1)*100)&lt;-50,"NM",(BI542/BA542-1)*100)))</f>
        <v>5.7197351220452886</v>
      </c>
      <c r="BK542" s="145">
        <f>+BK518+BK520+BK531</f>
        <v>9889.6</v>
      </c>
      <c r="BL542" s="81">
        <f t="shared" ref="BL542:BL549" si="2165">IF(ISERROR((BK542/BC542-1)*100),"NA",IF(((BK542/BC542-1)*100)&gt;100,"NM",IF(((BK542/BC542-1)*100)&lt;-50,"NM",(BK542/BC542-1)*100)))</f>
        <v>3.4953325798484647</v>
      </c>
      <c r="BM542" s="145">
        <f>+BM518+BM520+BM531</f>
        <v>9616.9</v>
      </c>
      <c r="BN542" s="81">
        <f t="shared" ref="BN542:BN549" si="2166">IF(ISERROR((BM542/BE542-1)*100),"NA",IF(((BM542/BE542-1)*100)&gt;100,"NM",IF(((BM542/BE542-1)*100)&lt;-50,"NM",(BM542/BE542-1)*100)))</f>
        <v>-1.034227262436449</v>
      </c>
      <c r="BO542" s="145">
        <f>+BO518+BO520+BO531</f>
        <v>9615.5</v>
      </c>
      <c r="BP542" s="81">
        <f t="shared" ref="BP542:BP549" si="2167">IF(ISERROR((BO542/BG542-1)*100),"NA",IF(((BO542/BG542-1)*100)&gt;100,"NM",IF(((BO542/BG542-1)*100)&lt;-50,"NM",(BO542/BG542-1)*100)))</f>
        <v>-4.7177850885885109</v>
      </c>
      <c r="BQ542" s="145">
        <f>+BQ518+BQ520+BQ531</f>
        <v>9757.2999999999993</v>
      </c>
      <c r="BR542" s="81">
        <f t="shared" ref="BR542:BR549" si="2168">IF(ISERROR((BQ542/BI542-1)*100),"NA",IF(((BQ542/BI542-1)*100)&gt;100,"NM",IF(((BQ542/BI542-1)*100)&lt;-50,"NM",(BQ542/BI542-1)*100)))</f>
        <v>-1.1057731290034956</v>
      </c>
      <c r="BS542" s="145">
        <f>+BS518+BS520+BS531</f>
        <v>10020.9</v>
      </c>
      <c r="BT542" s="81">
        <f t="shared" ref="BT542:BT549" si="2169">IF(ISERROR((BS542/BK542-1)*100),"NA",IF(((BS542/BK542-1)*100)&gt;100,"NM",IF(((BS542/BK542-1)*100)&lt;-50,"NM",(BS542/BK542-1)*100)))</f>
        <v>1.3276573370004874</v>
      </c>
      <c r="BU542" s="145">
        <f>+BU518+BU520+BU531</f>
        <v>10558.3</v>
      </c>
      <c r="BV542" s="81">
        <f t="shared" ref="BV542:BV549" si="2170">IF(ISERROR((BU542/BM542-1)*100),"NA",IF(((BU542/BM542-1)*100)&gt;100,"NM",IF(((BU542/BM542-1)*100)&lt;-50,"NM",(BU542/BM542-1)*100)))</f>
        <v>9.7890172508812601</v>
      </c>
      <c r="BW542" s="145">
        <f>+BW518+BW520+BW531</f>
        <v>10708.7</v>
      </c>
      <c r="BX542" s="81">
        <f t="shared" ref="BX542:BX549" si="2171">IF(ISERROR((BW542/BO542-1)*100),"NA",IF(((BW542/BO542-1)*100)&gt;100,"NM",IF(((BW542/BO542-1)*100)&lt;-50,"NM",(BW542/BO542-1)*100)))</f>
        <v>11.369143570277163</v>
      </c>
      <c r="BY542" s="145">
        <f>+BY518+BY520+BY531</f>
        <v>10668.5</v>
      </c>
      <c r="BZ542" s="81">
        <f t="shared" ref="BZ542:BZ549" si="2172">IF(ISERROR((BY542/BQ542-1)*100),"NA",IF(((BY542/BQ542-1)*100)&gt;100,"NM",IF(((BY542/BQ542-1)*100)&lt;-50,"NM",(BY542/BQ542-1)*100)))</f>
        <v>9.3386490115093359</v>
      </c>
      <c r="CA542" s="145">
        <f>+CA518+CA520+CA531</f>
        <v>10700.600000000002</v>
      </c>
      <c r="CB542" s="81">
        <f t="shared" ref="CB542:CB549" si="2173">IF(ISERROR((CA542/BS542-1)*100),"NA",IF(((CA542/BS542-1)*100)&gt;100,"NM",IF(((CA542/BS542-1)*100)&lt;-50,"NM",(CA542/BS542-1)*100)))</f>
        <v>6.7828238980530919</v>
      </c>
      <c r="CC542" s="145">
        <f>+CC518+CC520+CC531</f>
        <v>11091.600000000002</v>
      </c>
      <c r="CD542" s="81">
        <f t="shared" ref="CD542:CD549" si="2174">IF(ISERROR((CC542/BU542-1)*100),"NA",IF(((CC542/BU542-1)*100)&gt;100,"NM",IF(((CC542/BU542-1)*100)&lt;-50,"NM",(CC542/BU542-1)*100)))</f>
        <v>5.0510025288162286</v>
      </c>
      <c r="CE542" s="145">
        <f>+CE518+CE520+CE531</f>
        <v>10764.8</v>
      </c>
      <c r="CF542" s="81">
        <f t="shared" ref="CF542:CF549" si="2175">IF(ISERROR((CE542/BW542-1)*100),"NA",IF(((CE542/BW542-1)*100)&gt;100,"NM",IF(((CE542/BW542-1)*100)&lt;-50,"NM",(CE542/BW542-1)*100)))</f>
        <v>0.52387311251598234</v>
      </c>
      <c r="CG542" s="145">
        <f>+CG518+CG520+CG531</f>
        <v>10720.900000000001</v>
      </c>
      <c r="CH542" s="81">
        <f t="shared" ref="CH542:CH549" si="2176">IF(ISERROR((CG542/BY542-1)*100),"NA",IF(((CG542/BY542-1)*100)&gt;100,"NM",IF(((CG542/BY542-1)*100)&lt;-50,"NM",(CG542/BY542-1)*100)))</f>
        <v>0.49116558091579776</v>
      </c>
      <c r="CI542" s="145">
        <f>+CI518+CI520+CI531</f>
        <v>10762.9</v>
      </c>
      <c r="CJ542" s="81">
        <f t="shared" ref="CJ542:CJ549" si="2177">IF(ISERROR((CI542/CA542-1)*100),"NA",IF(((CI542/CA542-1)*100)&gt;100,"NM",IF(((CI542/CA542-1)*100)&lt;-50,"NM",(CI542/CA542-1)*100)))</f>
        <v>0.58221034334520194</v>
      </c>
      <c r="CK542" s="145">
        <f>+CK518+CK520+CK531</f>
        <v>11160.4</v>
      </c>
      <c r="CL542" s="81">
        <f t="shared" ref="CL542:CL549" si="2178">IF(ISERROR((CK542/CC542-1)*100),"NA",IF(((CK542/CC542-1)*100)&gt;100,"NM",IF(((CK542/CC542-1)*100)&lt;-50,"NM",(CK542/CC542-1)*100)))</f>
        <v>0.62028922788415208</v>
      </c>
      <c r="CM542" s="145">
        <f>+CM518+CM520+CM531</f>
        <v>10278.099999999999</v>
      </c>
      <c r="CN542" s="81">
        <f t="shared" ref="CN542:CN549" si="2179">IF(ISERROR((CM542/CE542-1)*100),"NA",IF(((CM542/CE542-1)*100)&gt;100,"NM",IF(((CM542/CE542-1)*100)&lt;-50,"NM",(CM542/CE542-1)*100)))</f>
        <v>-4.5212173008323475</v>
      </c>
      <c r="CO542" s="145">
        <f>+CO518+CO520+CO531</f>
        <v>10277.299999999999</v>
      </c>
      <c r="CP542" s="81">
        <f t="shared" ref="CP542:CP549" si="2180">IF(ISERROR((CO542/CG542-1)*100),"NA",IF(((CO542/CG542-1)*100)&gt;100,"NM",IF(((CO542/CG542-1)*100)&lt;-50,"NM",(CO542/CG542-1)*100)))</f>
        <v>-4.1377123189284664</v>
      </c>
      <c r="CQ542" s="145">
        <f>+CQ518+CQ520+CQ531</f>
        <v>10325.700000000001</v>
      </c>
      <c r="CR542" s="81">
        <f t="shared" ref="CR542:CR549" si="2181">IF(ISERROR((CQ542/CI542-1)*100),"NA",IF(((CQ542/CI542-1)*100)&gt;100,"NM",IF(((CQ542/CI542-1)*100)&lt;-50,"NM",(CQ542/CI542-1)*100)))</f>
        <v>-4.0621022215202141</v>
      </c>
      <c r="CS542" s="145">
        <f>+CS518+CS520+CS531</f>
        <v>10664.5</v>
      </c>
      <c r="CT542" s="81">
        <f t="shared" ref="CT542:CT549" si="2182">IF(ISERROR((CS542/CK542-1)*100),"NA",IF(((CS542/CK542-1)*100)&gt;100,"NM",IF(((CS542/CK542-1)*100)&lt;-50,"NM",(CS542/CK542-1)*100)))</f>
        <v>-4.4433891258377827</v>
      </c>
      <c r="CU542" s="145">
        <f>+CU518+CU520+CU531</f>
        <v>10740</v>
      </c>
      <c r="CV542" s="81">
        <f t="shared" ref="CV542:CV549" si="2183">IF(ISERROR((CU542/CM542-1)*100),"NA",IF(((CU542/CM542-1)*100)&gt;100,"NM",IF(((CU542/CM542-1)*100)&lt;-50,"NM",(CU542/CM542-1)*100)))</f>
        <v>4.4940212685224079</v>
      </c>
      <c r="CW542" s="145">
        <f>+CW518+CW520+CW531</f>
        <v>10746</v>
      </c>
      <c r="CX542" s="81">
        <f t="shared" ref="CX542:CX549" si="2184">IF(ISERROR((CW542/CO542-1)*100),"NA",IF(((CW542/CO542-1)*100)&gt;100,"NM",IF(((CW542/CO542-1)*100)&lt;-50,"NM",(CW542/CO542-1)*100)))</f>
        <v>4.56053632763469</v>
      </c>
      <c r="CY542" s="145">
        <f>+CY518+CY520+CY531</f>
        <v>10807.900000000001</v>
      </c>
      <c r="CZ542" s="81">
        <f t="shared" ref="CZ542:CZ549" si="2185">IF(ISERROR((CY542/CQ542-1)*100),"NA",IF(((CY542/CQ542-1)*100)&gt;100,"NM",IF(((CY542/CQ542-1)*100)&lt;-50,"NM",(CY542/CQ542-1)*100)))</f>
        <v>4.6699013141966228</v>
      </c>
      <c r="DA542" s="145">
        <f>+DA518+DA520+DA531</f>
        <v>10891.599999999999</v>
      </c>
      <c r="DB542" s="81">
        <f t="shared" ref="DB542:DB549" si="2186">IF(ISERROR((DA542/CS542-1)*100),"NA",IF(((DA542/CS542-1)*100)&gt;100,"NM",IF(((DA542/CS542-1)*100)&lt;-50,"NM",(DA542/CS542-1)*100)))</f>
        <v>2.1294950536827617</v>
      </c>
      <c r="DC542" s="145">
        <f>+DC518+DC520+DC531</f>
        <v>10996.9</v>
      </c>
      <c r="DD542" s="81">
        <f t="shared" ref="DD542:DD549" si="2187">IF(ISERROR((DC542/CU542-1)*100),"NA",IF(((DC542/CU542-1)*100)&gt;100,"NM",IF(((DC542/CU542-1)*100)&lt;-50,"NM",(DC542/CU542-1)*100)))</f>
        <v>2.3919925512104312</v>
      </c>
      <c r="DE542" s="145">
        <f>+DE518+DE520+DE531</f>
        <v>11428.2</v>
      </c>
      <c r="DF542" s="81">
        <f t="shared" ref="DF542:DF549" si="2188">IF(ISERROR((DE542/CW542-1)*100),"NA",IF(((DE542/CW542-1)*100)&gt;100,"NM",IF(((DE542/CW542-1)*100)&lt;-50,"NM",(DE542/CW542-1)*100)))</f>
        <v>6.3484087102177567</v>
      </c>
      <c r="DG542" s="145">
        <f>+DG518+DG520+DG531</f>
        <v>11403.800000000001</v>
      </c>
      <c r="DH542" s="81">
        <f t="shared" ref="DH542:DH549" si="2189">IF(ISERROR((DG542/CY542-1)*100),"NA",IF(((DG542/CY542-1)*100)&gt;100,"NM",IF(((DG542/CY542-1)*100)&lt;-50,"NM",(DG542/CY542-1)*100)))</f>
        <v>5.513559525902334</v>
      </c>
      <c r="DI542" s="145">
        <f>+DI518+DI520+DI531</f>
        <v>11477.7</v>
      </c>
      <c r="DJ542" s="81">
        <f t="shared" ref="DJ542:DJ549" si="2190">IF(ISERROR((DI542/DA542-1)*100),"NA",IF(((DI542/DA542-1)*100)&gt;100,"NM",IF(((DI542/DA542-1)*100)&lt;-50,"NM",(DI542/DA542-1)*100)))</f>
        <v>5.3812112086378594</v>
      </c>
      <c r="DK542" s="145">
        <f>+DK518+DK520+DK531</f>
        <v>10984.2</v>
      </c>
      <c r="DL542" s="81">
        <f t="shared" ref="DL542:DL549" si="2191">IF(ISERROR((DK542/DC542-1)*100),"NA",IF(((DK542/DC542-1)*100)&gt;100,"NM",IF(((DK542/DC542-1)*100)&lt;-50,"NM",(DK542/DC542-1)*100)))</f>
        <v>-0.11548709181677941</v>
      </c>
      <c r="DM542" s="145">
        <f>+DM518+DM520+DM531</f>
        <v>11030.8</v>
      </c>
      <c r="DN542" s="81">
        <f t="shared" ref="DN542:DP549" si="2192">IF(ISERROR((DM542/DE542-1)*100),"NA",IF(((DM542/DE542-1)*100)&gt;100,"NM",IF(((DM542/DE542-1)*100)&lt;-50,"NM",(DM542/DE542-1)*100)))</f>
        <v>-3.4773630142979739</v>
      </c>
      <c r="DO542" s="145">
        <f>+DO518+DO520+DO531</f>
        <v>11092.100000000002</v>
      </c>
      <c r="DP542" s="81">
        <f t="shared" si="2192"/>
        <v>-2.733299426506941</v>
      </c>
      <c r="DQ542" s="145">
        <f>+DQ518+DQ520+DQ531</f>
        <v>10776.2</v>
      </c>
      <c r="DR542" s="81">
        <f t="shared" ref="DR542:DR549" si="2193">IF(ISERROR((DQ542/DI542-1)*100),"NA",IF(((DQ542/DI542-1)*100)&gt;100,"NM",IF(((DQ542/DI542-1)*100)&lt;-50,"NM",(DQ542/DI542-1)*100)))</f>
        <v>-6.1118516776009102</v>
      </c>
      <c r="DS542" s="145">
        <f>+DS518+DS520+DS531</f>
        <v>11097.199999999999</v>
      </c>
      <c r="DT542" s="81">
        <f t="shared" ref="DT542:DT549" si="2194">IF(ISERROR((DS542/DK542-1)*100),"NA",IF(((DS542/DK542-1)*100)&gt;100,"NM",IF(((DS542/DK542-1)*100)&lt;-50,"NM",(DS542/DK542-1)*100)))</f>
        <v>1.0287503869193859</v>
      </c>
      <c r="DU542" s="145">
        <f>+DU518+DU520+DU531</f>
        <v>11162.099999999999</v>
      </c>
      <c r="DV542" s="81">
        <f t="shared" ref="DV542:DV549" si="2195">IF(ISERROR((DU542/DM542-1)*100),"NA",IF(((DU542/DM542-1)*100)&gt;100,"NM",IF(((DU542/DM542-1)*100)&lt;-50,"NM",(DU542/DM542-1)*100)))</f>
        <v>1.1903035137977191</v>
      </c>
      <c r="DW542" s="145">
        <f>+DW518+DW520+DW531</f>
        <v>11859.800000000001</v>
      </c>
      <c r="DX542" s="81">
        <f t="shared" ref="DX542:DX549" si="2196">IF(ISERROR((DW542/DO542-1)*100),"NA",IF(((DW542/DO542-1)*100)&gt;100,"NM",IF(((DW542/DO542-1)*100)&lt;-50,"NM",(DW542/DO542-1)*100)))</f>
        <v>6.9211420740887597</v>
      </c>
      <c r="DY542" s="145">
        <f>+DY518+DY520+DY531</f>
        <v>11930.3</v>
      </c>
      <c r="DZ542" s="81">
        <f t="shared" ref="DZ542:DZ549" si="2197">IF(ISERROR((DY542/DQ542-1)*100),"NA",IF(((DY542/DQ542-1)*100)&gt;100,"NM",IF(((DY542/DQ542-1)*100)&lt;-50,"NM",(DY542/DQ542-1)*100)))</f>
        <v>10.709712143427176</v>
      </c>
      <c r="EA542" s="145">
        <f>+EA518+EA520+EA531</f>
        <v>12018.4</v>
      </c>
      <c r="EB542" s="81">
        <f t="shared" ref="EB542:EB549" si="2198">IF(ISERROR((EA542/DS542-1)*100),"NA",IF(((EA542/DS542-1)*100)&gt;100,"NM",IF(((EA542/DS542-1)*100)&lt;-50,"NM",(EA542/DS542-1)*100)))</f>
        <v>8.3011930937533904</v>
      </c>
      <c r="EC542" s="145">
        <f>+EC518+EC520+EC531</f>
        <v>12087.88</v>
      </c>
      <c r="ED542" s="81">
        <f t="shared" ref="ED542:ED549" si="2199">IF(ISERROR((EC542/DU542-1)*100),"NA",IF(((EC542/DU542-1)*100)&gt;100,"NM",IF(((EC542/DU542-1)*100)&lt;-50,"NM",(EC542/DU542-1)*100)))</f>
        <v>8.2939590220478365</v>
      </c>
      <c r="EE542" s="145">
        <f>+EE518+EE520+EE531</f>
        <v>12180.1</v>
      </c>
      <c r="EF542" s="81">
        <f t="shared" ref="EF542:EF549" si="2200">IF(ISERROR((EE542/DW542-1)*100),"NA",IF(((EE542/DW542-1)*100)&gt;100,"NM",IF(((EE542/DW542-1)*100)&lt;-50,"NM",(EE542/DW542-1)*100)))</f>
        <v>2.700720079596608</v>
      </c>
      <c r="EG542" s="145">
        <f>+EG518+EG520+EG531</f>
        <v>12078.400000000001</v>
      </c>
      <c r="EH542" s="81">
        <f t="shared" ref="EH542:EH549" si="2201">IF(ISERROR((EG542/DY542-1)*100),"NA",IF(((EG542/DY542-1)*100)&gt;100,"NM",IF(((EG542/DY542-1)*100)&lt;-50,"NM",(EG542/DY542-1)*100)))</f>
        <v>1.2413769980637701</v>
      </c>
      <c r="EI542" s="145">
        <f>+EI518+EI520+EI531</f>
        <v>12385.7</v>
      </c>
      <c r="EJ542" s="81">
        <f t="shared" ref="EJ542:EJ549" si="2202">IF(ISERROR((EI542/EA542-1)*100),"NA",IF(((EI542/EA542-1)*100)&gt;100,"NM",IF(((EI542/EA542-1)*100)&lt;-50,"NM",(EI542/EA542-1)*100)))</f>
        <v>3.056147240897289</v>
      </c>
      <c r="EK542" s="145">
        <f t="shared" ref="EK542:EQ542" si="2203">+EK518+EK520+EK531</f>
        <v>12496.782830324097</v>
      </c>
      <c r="EL542" s="81">
        <f t="shared" ref="EL542:EL549" si="2204">IF(ISERROR((EK542/EC542-1)*100),"NA",IF(((EK542/EC542-1)*100)&gt;100,"NM",IF(((EK542/EC542-1)*100)&lt;-50,"NM",(EK542/EC542-1)*100)))</f>
        <v>3.3827505759826959</v>
      </c>
      <c r="EM542" s="145">
        <f t="shared" si="2203"/>
        <v>12623.566954174814</v>
      </c>
      <c r="EN542" s="81">
        <f t="shared" ref="EN542:EN549" si="2205">IF(ISERROR((EM542/EE542-1)*100),"NA",IF(((EM542/EE542-1)*100)&gt;100,"NM",IF(((EM542/EE542-1)*100)&lt;-50,"NM",(EM542/EE542-1)*100)))</f>
        <v>3.640913901977938</v>
      </c>
      <c r="EO542" s="145">
        <f t="shared" si="2203"/>
        <v>12744.427908845024</v>
      </c>
      <c r="EP542" s="81">
        <f t="shared" ref="EP542:EP549" si="2206">IF(ISERROR((EO542/EG542-1)*100),"NA",IF(((EO542/EG542-1)*100)&gt;100,"NM",IF(((EO542/EG542-1)*100)&lt;-50,"NM",(EO542/EG542-1)*100)))</f>
        <v>5.5142064250647715</v>
      </c>
      <c r="EQ542" s="145">
        <f t="shared" si="2203"/>
        <v>12868.628790254847</v>
      </c>
      <c r="ER542" s="81">
        <f t="shared" ref="ER542:ER549" si="2207">IF(ISERROR((EQ542/EI542-1)*100),"NA",IF(((EQ542/EI542-1)*100)&gt;100,"NM",IF(((EQ542/EI542-1)*100)&lt;-50,"NM",(EQ542/EI542-1)*100)))</f>
        <v>3.8990835419463243</v>
      </c>
      <c r="ES542" s="82"/>
      <c r="ET542" s="490"/>
      <c r="EU542" s="82"/>
      <c r="EV542" s="145">
        <f>+EV518+EV520+EV531</f>
        <v>6756.7</v>
      </c>
      <c r="EW542" s="79"/>
      <c r="EX542" s="145">
        <f>+EX518+EX520+EX531</f>
        <v>6467.5999999999995</v>
      </c>
      <c r="EY542" s="79">
        <f>IF(ISERROR((EX542/EV542-1)*100),"NA",IF(((EX542/EV542-1)*100)&gt;100,"NM",IF(((EX542/EV542-1)*100)&lt;-50,"NM",(EX542/EV542-1)*100)))</f>
        <v>-4.2787159412139069</v>
      </c>
      <c r="EZ542" s="145"/>
      <c r="FA542" s="79" t="str">
        <f>IF(ISERROR((EZ542/EX542-1)*100),"NA",IF(((EZ542/EX542-1)*100)&gt;100,"NM",IF(((EZ542/EX542-1)*100)&lt;-50,"NM",(EZ542/EX542-1)*100)))</f>
        <v>NM</v>
      </c>
      <c r="FB542" s="145">
        <f>+FB518+FB520+FB531</f>
        <v>8196.0999999999985</v>
      </c>
      <c r="FC542" s="79" t="str">
        <f t="shared" ref="FC542:FC549" si="2208">IF(ISERROR((FB542/EZ542-1)*100),"NA",IF(((FB542/EZ542-1)*100)&gt;100,"NM",IF(((FB542/EZ542-1)*100)&lt;-50,"NM",(FB542/EZ542-1)*100)))</f>
        <v>NA</v>
      </c>
      <c r="FD542" s="145">
        <f>+FD518+FD520+FD531</f>
        <v>8279.7999999999993</v>
      </c>
      <c r="FE542" s="79">
        <f t="shared" ref="FE542:FE549" si="2209">IF(ISERROR((FD542/FB542-1)*100),"NA",IF(((FD542/FB542-1)*100)&gt;100,"NM",IF(((FD542/FB542-1)*100)&lt;-50,"NM",(FD542/FB542-1)*100)))</f>
        <v>1.0212174082795622</v>
      </c>
      <c r="FF542" s="145">
        <f>+FF518+FF520+FF531</f>
        <v>8888.7999999999993</v>
      </c>
      <c r="FG542" s="79">
        <f t="shared" ref="FG542:FG549" si="2210">IF(ISERROR((FF542/FD542-1)*100),"NA",IF(((FF542/FD542-1)*100)&gt;100,"NM",IF(((FF542/FD542-1)*100)&lt;-50,"NM",(FF542/FD542-1)*100)))</f>
        <v>7.3552501268146608</v>
      </c>
      <c r="FH542" s="145">
        <f>+FH518+FH520+FH531</f>
        <v>8605</v>
      </c>
      <c r="FI542" s="79">
        <f t="shared" ref="FI542:FI549" si="2211">IF(ISERROR((FH542/FF542-1)*100),"NA",IF(((FH542/FF542-1)*100)&gt;100,"NM",IF(((FH542/FF542-1)*100)&lt;-50,"NM",(FH542/FF542-1)*100)))</f>
        <v>-3.192781927819266</v>
      </c>
      <c r="FJ542" s="145">
        <f>+FJ518+FJ520+FJ531</f>
        <v>9462</v>
      </c>
      <c r="FK542" s="79">
        <f t="shared" ref="FK542:FK549" si="2212">IF(ISERROR((FJ542/FH542-1)*100),"NA",IF(((FJ542/FH542-1)*100)&gt;100,"NM",IF(((FJ542/FH542-1)*100)&lt;-50,"NM",(FJ542/FH542-1)*100)))</f>
        <v>9.9593259732713602</v>
      </c>
      <c r="FL542" s="145">
        <f>+FL518+FL520+FL531</f>
        <v>9765.6</v>
      </c>
      <c r="FM542" s="79">
        <f t="shared" ref="FM542:FM549" si="2213">IF(ISERROR((FL542/FJ542-1)*100),"NA",IF(((FL542/FJ542-1)*100)&gt;100,"NM",IF(((FL542/FJ542-1)*100)&lt;-50,"NM",(FL542/FJ542-1)*100)))</f>
        <v>3.2086239695624741</v>
      </c>
      <c r="FN542" s="145">
        <f>+FN518+FN520+FN531</f>
        <v>10091.599999999999</v>
      </c>
      <c r="FO542" s="79">
        <f t="shared" ref="FO542:FO549" si="2214">IF(ISERROR((FN542/FL542-1)*100),"NA",IF(((FN542/FL542-1)*100)&gt;100,"NM",IF(((FN542/FL542-1)*100)&lt;-50,"NM",(FN542/FL542-1)*100)))</f>
        <v>3.338248545916267</v>
      </c>
      <c r="FP542" s="145">
        <f>+FP518+FP520+FP531</f>
        <v>9615.5</v>
      </c>
      <c r="FQ542" s="79">
        <f t="shared" ref="FQ542:FQ549" si="2215">IF(ISERROR((FP542/FN542-1)*100),"NA",IF(((FP542/FN542-1)*100)&gt;100,"NM",IF(((FP542/FN542-1)*100)&lt;-50,"NM",(FP542/FN542-1)*100)))</f>
        <v>-4.7177850885885109</v>
      </c>
      <c r="FR542" s="145">
        <f>+FR518+FR520+FR531</f>
        <v>10708.7</v>
      </c>
      <c r="FS542" s="79">
        <f t="shared" ref="FS542:FS549" si="2216">IF(ISERROR((FR542/FP542-1)*100),"NA",IF(((FR542/FP542-1)*100)&gt;100,"NM",IF(((FR542/FP542-1)*100)&lt;-50,"NM",(FR542/FP542-1)*100)))</f>
        <v>11.369143570277163</v>
      </c>
      <c r="FT542" s="145">
        <f>+FT518+FT520+FT531</f>
        <v>10764.8</v>
      </c>
      <c r="FU542" s="79">
        <f t="shared" ref="FU542:FU549" si="2217">IF(ISERROR((FT542/FR542-1)*100),"NA",IF(((FT542/FR542-1)*100)&gt;100,"NM",IF(((FT542/FR542-1)*100)&lt;-50,"NM",(FT542/FR542-1)*100)))</f>
        <v>0.52387311251598234</v>
      </c>
      <c r="FV542" s="145">
        <f>+FV518+FV520+FV531</f>
        <v>10278.099999999999</v>
      </c>
      <c r="FW542" s="79">
        <f t="shared" ref="FW542:FW549" si="2218">IF(ISERROR((FV542/FT542-1)*100),"NA",IF(((FV542/FT542-1)*100)&gt;100,"NM",IF(((FV542/FT542-1)*100)&lt;-50,"NM",(FV542/FT542-1)*100)))</f>
        <v>-4.5212173008323475</v>
      </c>
      <c r="FX542" s="145">
        <f>+FX518+FX520+FX531</f>
        <v>10740</v>
      </c>
      <c r="FY542" s="79">
        <f t="shared" ref="FY542:FY549" si="2219">IF(ISERROR((FX542/FV542-1)*100),"NA",IF(((FX542/FV542-1)*100)&gt;100,"NM",IF(((FX542/FV542-1)*100)&lt;-50,"NM",(FX542/FV542-1)*100)))</f>
        <v>4.4940212685224079</v>
      </c>
      <c r="FZ542" s="145">
        <f>+FZ518+FZ520+FZ531</f>
        <v>10996.9</v>
      </c>
      <c r="GA542" s="79">
        <f t="shared" ref="GA542:GQ549" si="2220">IF(ISERROR((FZ542/FX542-1)*100),"NA",IF(((FZ542/FX542-1)*100)&gt;100,"NM",IF(((FZ542/FX542-1)*100)&lt;-50,"NM",(FZ542/FX542-1)*100)))</f>
        <v>2.3919925512104312</v>
      </c>
      <c r="GB542" s="145">
        <f>+GB518+GB520+GB531</f>
        <v>10984.2</v>
      </c>
      <c r="GC542" s="79">
        <f t="shared" si="2220"/>
        <v>-0.11548709181677941</v>
      </c>
      <c r="GD542" s="145">
        <f>+GD518+GD520+GD531</f>
        <v>11097.199999999999</v>
      </c>
      <c r="GE542" s="79">
        <f t="shared" si="2220"/>
        <v>1.0287503869193859</v>
      </c>
      <c r="GF542" s="145">
        <f>+GF518+GF520+GF531</f>
        <v>12018.4</v>
      </c>
      <c r="GG542" s="79">
        <f t="shared" si="2220"/>
        <v>8.3011930937533904</v>
      </c>
      <c r="GH542" s="145">
        <f>+GH518+GH520+GH531</f>
        <v>12385.7</v>
      </c>
      <c r="GI542" s="79">
        <f t="shared" si="2220"/>
        <v>3.056147240897289</v>
      </c>
      <c r="GJ542" s="145">
        <f>+GJ518+GJ520+GJ531</f>
        <v>12868.628790254847</v>
      </c>
      <c r="GK542" s="79">
        <f t="shared" si="2220"/>
        <v>3.8990835419463243</v>
      </c>
      <c r="GL542" s="145">
        <f>+GL518+GL520+GL531</f>
        <v>13367.502729138585</v>
      </c>
      <c r="GM542" s="79">
        <f t="shared" si="2220"/>
        <v>3.8766674135594537</v>
      </c>
      <c r="GN542" s="145">
        <f>+GN518+GN520+GN531</f>
        <v>13859.277516748734</v>
      </c>
      <c r="GO542" s="79">
        <f t="shared" si="2220"/>
        <v>3.6788830163331454</v>
      </c>
      <c r="GP542" s="145">
        <f>+GP518+GP520+GP531</f>
        <v>14372.072349577593</v>
      </c>
      <c r="GQ542" s="79">
        <f t="shared" si="2220"/>
        <v>3.7000112899763682</v>
      </c>
      <c r="GR542" s="145">
        <f>+GR518+GR520+GR531</f>
        <v>14875.460699800682</v>
      </c>
      <c r="GS542" s="79">
        <f t="shared" ref="GS542:GS549" si="2221">IF(ISERROR((GR542/GP542-1)*100),"NA",IF(((GR542/GP542-1)*100)&gt;100,"NM",IF(((GR542/GP542-1)*100)&lt;-50,"NM",(GR542/GP542-1)*100)))</f>
        <v>3.5025453391756889</v>
      </c>
      <c r="GT542" s="79">
        <f t="shared" ref="GT542:GT549" si="2222">IF(ISERROR(((GR542/GH542)^0.2-1)*100),"NA",(IF(OR(((GR542/GH542)^0.2-1)*100&gt;99,((GR542/GH542)^0.2-1)*100&lt;-50),"NM",(((GR542/GH542)^0.2-1)*100))))</f>
        <v>3.7313365439573198</v>
      </c>
    </row>
    <row r="543" spans="1:202" ht="12.75" customHeight="1" x14ac:dyDescent="0.2">
      <c r="A543" s="1" t="s">
        <v>36</v>
      </c>
      <c r="B543" s="2" t="s">
        <v>167</v>
      </c>
      <c r="C543" s="79"/>
      <c r="D543" s="79"/>
      <c r="E543" s="318">
        <f>E$518/(E$518+E$520+E$531)*100</f>
        <v>24.020341783261912</v>
      </c>
      <c r="F543" s="318"/>
      <c r="G543" s="318">
        <f>G$518/(G$518+G$520+G$531)*100</f>
        <v>25.351517336549101</v>
      </c>
      <c r="H543" s="318"/>
      <c r="I543" s="318">
        <f>I$518/(I$518+I$520+I$531)*100</f>
        <v>24.849985830283764</v>
      </c>
      <c r="J543" s="318"/>
      <c r="K543" s="318">
        <f>K$518/(K$518+K$520+K$531)*100</f>
        <v>24.453093544490677</v>
      </c>
      <c r="L543" s="79"/>
      <c r="M543" s="318">
        <f>M$518/(M$518+M$520+M$531)*100</f>
        <v>24.314495599679979</v>
      </c>
      <c r="N543" s="79">
        <f t="shared" si="2148"/>
        <v>1.2246029597424046</v>
      </c>
      <c r="O543" s="318">
        <f>O$518/(O$518+O$520+O$531)*100</f>
        <v>25.418012370544279</v>
      </c>
      <c r="P543" s="79">
        <f t="shared" si="2149"/>
        <v>0.26229212678845482</v>
      </c>
      <c r="Q543" s="318">
        <f>Q$518/(Q$518+Q$520+Q$531)*100</f>
        <v>25.1886759026326</v>
      </c>
      <c r="R543" s="79">
        <f t="shared" si="2150"/>
        <v>1.3629386940578803</v>
      </c>
      <c r="S543" s="318">
        <f>S$518/(S$518+S$520+S$531)*100</f>
        <v>23.116500398560355</v>
      </c>
      <c r="T543" s="79">
        <f t="shared" si="2151"/>
        <v>-5.4659470528687359</v>
      </c>
      <c r="U543" s="384">
        <f>U$518/(U$518+U$520+U$531)*100</f>
        <v>27.679151872780917</v>
      </c>
      <c r="V543" s="79">
        <f t="shared" si="2152"/>
        <v>13.838067334389702</v>
      </c>
      <c r="W543" s="384">
        <f>(W$518-875*0.5)/(W$518+W$520+W$531)*100</f>
        <v>25.654872953010617</v>
      </c>
      <c r="X543" s="79">
        <f t="shared" si="2153"/>
        <v>0.93186115032670713</v>
      </c>
      <c r="Y543" s="384">
        <f>(Y$518-875*0.5)/(Y$518+Y$520+Y$531)*100</f>
        <v>25.408985801655394</v>
      </c>
      <c r="Z543" s="79">
        <f t="shared" si="2154"/>
        <v>0.87463866649604149</v>
      </c>
      <c r="AA543" s="385">
        <f>(AA$518-875*0.5)/(AA$518+AA$520+AA$531)*100</f>
        <v>26.454639546395462</v>
      </c>
      <c r="AB543" s="79">
        <f t="shared" si="2155"/>
        <v>14.440503926982817</v>
      </c>
      <c r="AC543" s="384">
        <f>(AC$518-875*0.5)/(AC$518+AC$520+AC$531)*100</f>
        <v>28.304725679481933</v>
      </c>
      <c r="AD543" s="79">
        <f t="shared" si="2156"/>
        <v>2.2600902281120661</v>
      </c>
      <c r="AE543" s="384">
        <f>(AE$518-1175*0.5)/(AE$518+AE$520+AE$531)*100</f>
        <v>29.193119223228457</v>
      </c>
      <c r="AF543" s="79">
        <f t="shared" si="2157"/>
        <v>13.791712306268211</v>
      </c>
      <c r="AG543" s="384">
        <f>(AG$518-1175*0.5)/(AG$518+AG$520+AG$531)*100</f>
        <v>26.790657133770718</v>
      </c>
      <c r="AH543" s="79">
        <f t="shared" si="2158"/>
        <v>5.4377271997424925</v>
      </c>
      <c r="AI543" s="384">
        <f>(AI$518-1175*0.5)/(AI$518+AI$520+AI$531)*100</f>
        <v>26.432306798373041</v>
      </c>
      <c r="AJ543" s="79">
        <f t="shared" si="2159"/>
        <v>-8.4419022165294066E-2</v>
      </c>
      <c r="AK543" s="384">
        <f>(AK$518-1175*0.5)/(AK$518+AK$520+AK$531)*100</f>
        <v>26.020752536866077</v>
      </c>
      <c r="AL543" s="79">
        <f t="shared" si="2160"/>
        <v>-8.0692290343287283</v>
      </c>
      <c r="AM543" s="384">
        <f>(AM$518-1175*0.5)/(AM$518+AM$520+AM$531)*100</f>
        <v>25.567383460167935</v>
      </c>
      <c r="AN543" s="79">
        <f t="shared" si="2161"/>
        <v>-12.419829944638415</v>
      </c>
      <c r="AO543" s="384">
        <f>(AO$518-1175*0.5)/(AO$518+AO$520+AO$531)*100</f>
        <v>25.462626081699817</v>
      </c>
      <c r="AP543" s="79">
        <f t="shared" si="2161"/>
        <v>-4.9570678518253475</v>
      </c>
      <c r="AQ543" s="384">
        <f>(AQ$518-1175*0.5)/(AQ$518+AQ$520+AQ$531)*100</f>
        <v>28.261466920312827</v>
      </c>
      <c r="AR543" s="79">
        <f t="shared" si="2161"/>
        <v>6.9201683223969468</v>
      </c>
      <c r="AS543" s="384">
        <f>(AS$518-1175*0.5)/(AS$518+AS$520+AS$531)*100</f>
        <v>24.935853856444222</v>
      </c>
      <c r="AT543" s="81">
        <f t="shared" si="2161"/>
        <v>-4.1693593560938496</v>
      </c>
      <c r="AU543" s="384">
        <f>(AU$518-1175*0.5)/(AU$518+AU$520+AU$531)*100</f>
        <v>20.787001937494736</v>
      </c>
      <c r="AV543" s="81">
        <f t="shared" si="2161"/>
        <v>-18.697187102155667</v>
      </c>
      <c r="AW543" s="384">
        <f>(AW$518-1175*0.5)/(AW$518+AW$520+AW$531)*100</f>
        <v>20.973173970783531</v>
      </c>
      <c r="AX543" s="81">
        <f t="shared" si="2161"/>
        <v>-17.63153610515802</v>
      </c>
      <c r="AY543" s="384">
        <f>(AY$518-1175*0.5)/(AY$518+AY$520+AY$531)*100</f>
        <v>21.218358318997296</v>
      </c>
      <c r="AZ543" s="81">
        <f t="shared" si="2161"/>
        <v>-24.921242132174402</v>
      </c>
      <c r="BA543" s="384">
        <f>(BA$518-1175*0.5)/(BA$518+BA$520+BA$531)*100</f>
        <v>20.489467029552319</v>
      </c>
      <c r="BB543" s="81">
        <f t="shared" si="2161"/>
        <v>-17.831299671909228</v>
      </c>
      <c r="BC543" s="384">
        <f>(BC$518-1175*0.5)/(BC$518+BC$520+BC$531)*100</f>
        <v>17.792707940893298</v>
      </c>
      <c r="BD543" s="81">
        <f t="shared" si="2161"/>
        <v>-14.404645776264902</v>
      </c>
      <c r="BE543" s="384">
        <f>(BE$518-1175*0.5)/(BE$518+BE$520+BE$531)*100</f>
        <v>17.470722621277297</v>
      </c>
      <c r="BF543" s="81">
        <f t="shared" si="2162"/>
        <v>-16.699672421471778</v>
      </c>
      <c r="BG543" s="384">
        <f>(BG$518-1175*0.5)/(BG$518+BG$520+BG$531)*100</f>
        <v>19.102025446906339</v>
      </c>
      <c r="BH543" s="81">
        <f t="shared" si="2163"/>
        <v>-9.9740651009562526</v>
      </c>
      <c r="BI543" s="384">
        <f>(BI$518-1175*0.5)/(BI$518+BI$520+BI$531)*100</f>
        <v>19.36065839617287</v>
      </c>
      <c r="BJ543" s="81">
        <f t="shared" si="2164"/>
        <v>-5.5092142306647052</v>
      </c>
      <c r="BK543" s="384">
        <f>(BK$518-1175*0.5)/(BK$518+BK$520+BK$531)*100</f>
        <v>17.298980747451871</v>
      </c>
      <c r="BL543" s="81">
        <f t="shared" si="2165"/>
        <v>-2.7748850544929371</v>
      </c>
      <c r="BM543" s="384">
        <f>(BM$518-1175*0.5)/(BM$518+BM$520+BM$531)*100</f>
        <v>17.655377512504025</v>
      </c>
      <c r="BN543" s="81">
        <f t="shared" si="2166"/>
        <v>1.0569390587304106</v>
      </c>
      <c r="BO543" s="384">
        <f>(BO$518-1175*0.5)/(BO$518+BO$520+BO$531)*100</f>
        <v>17.387551349383809</v>
      </c>
      <c r="BP543" s="81">
        <f t="shared" si="2167"/>
        <v>-8.9753523901843444</v>
      </c>
      <c r="BQ543" s="384">
        <f>(BQ$518-1175*0.5)/(BQ$518+BQ$520+BQ$531)*100</f>
        <v>17.086694064956493</v>
      </c>
      <c r="BR543" s="81">
        <f t="shared" si="2168"/>
        <v>-11.745284094604369</v>
      </c>
      <c r="BS543" s="384">
        <f>(BS$518-1175*0.5)/(BS$518+BS$520+BS$531)*100</f>
        <v>16.596313704357893</v>
      </c>
      <c r="BT543" s="81">
        <f t="shared" si="2169"/>
        <v>-4.0618985207985787</v>
      </c>
      <c r="BU543" s="384">
        <f>(BU$518-1175*0.5)/(BU$518+BU$520+BU$531)*100</f>
        <v>18.873303467414264</v>
      </c>
      <c r="BV543" s="81">
        <f t="shared" si="2170"/>
        <v>6.8983285916580872</v>
      </c>
      <c r="BW543" s="384">
        <f>(BW$518-1175*0.5)/(BW$518+BW$520+BW$531)*100</f>
        <v>18.322485455750932</v>
      </c>
      <c r="BX543" s="81">
        <f t="shared" si="2171"/>
        <v>5.377031461076065</v>
      </c>
      <c r="BY543" s="384">
        <f>(BY$518-1175*0.5)/(BY$518+BY$520+BY$531)*100</f>
        <v>15.969442752026994</v>
      </c>
      <c r="BZ543" s="81">
        <f t="shared" si="2172"/>
        <v>-6.5387213505560204</v>
      </c>
      <c r="CA543" s="384">
        <f>(CA$518-1175*0.5)/(CA$518+CA$520+CA$531)*100</f>
        <v>15.69351251331701</v>
      </c>
      <c r="CB543" s="81">
        <f t="shared" si="2173"/>
        <v>-5.439769379653403</v>
      </c>
      <c r="CC543" s="384">
        <f>(CC$518-1175*0.5)/(CC$518+CC$520+CC$531)*100</f>
        <v>18.697031988171226</v>
      </c>
      <c r="CD543" s="81">
        <f t="shared" si="2174"/>
        <v>-0.93397257956128188</v>
      </c>
      <c r="CE543" s="384">
        <f>(CE$518-1175*0.5)/(CE$518+CE$520+CE$531)*100</f>
        <v>18.985954221165283</v>
      </c>
      <c r="CF543" s="81">
        <f t="shared" si="2175"/>
        <v>3.6210631304177454</v>
      </c>
      <c r="CG543" s="384">
        <f>(CG$518-1175*0.5)/(CG$518+CG$520+CG$531)*100</f>
        <v>18.818382785027374</v>
      </c>
      <c r="CH543" s="81">
        <f t="shared" si="2176"/>
        <v>17.839946435443178</v>
      </c>
      <c r="CI543" s="384">
        <f>(CI$518-1175*0.5)/(CI$518+CI$520+CI$531)*100</f>
        <v>18.597218221854707</v>
      </c>
      <c r="CJ543" s="81">
        <f t="shared" si="2177"/>
        <v>18.502586378120924</v>
      </c>
      <c r="CK543" s="384">
        <f>(CK$518-1175*0.5)/(CK$518+CK$520+CK$531)*100</f>
        <v>17.911544389089997</v>
      </c>
      <c r="CL543" s="81">
        <f t="shared" si="2178"/>
        <v>-4.2011352367486543</v>
      </c>
      <c r="CM543" s="384">
        <f>(CM$518-1175*0.5)/(CM$518+CM$520+CM$531)*100</f>
        <v>19.290530350940351</v>
      </c>
      <c r="CN543" s="81">
        <f t="shared" si="2179"/>
        <v>1.6042181827002011</v>
      </c>
      <c r="CO543" s="384">
        <f>(CO$518-1175*0.5)/(CO$518+CO$520+CO$531)*100</f>
        <v>19.122726786218173</v>
      </c>
      <c r="CP543" s="81">
        <f t="shared" si="2180"/>
        <v>1.6172696913836049</v>
      </c>
      <c r="CQ543" s="384">
        <f>(CQ$518-1175*0.5)/(CQ$518+CQ$520+CQ$531)*100</f>
        <v>18.912035019417569</v>
      </c>
      <c r="CR543" s="81">
        <f t="shared" si="2181"/>
        <v>1.6928166019630986</v>
      </c>
      <c r="CS543" s="384">
        <f>(CS$518-1175*0.5)/(CS$518+CS$520+CS$531)*100</f>
        <v>20.572928876177972</v>
      </c>
      <c r="CT543" s="81">
        <f t="shared" si="2182"/>
        <v>14.858486958327477</v>
      </c>
      <c r="CU543" s="384">
        <f>(CU$518-1175*0.5)/(CU$518+CU$520+CU$531)*100</f>
        <v>20.185288640595907</v>
      </c>
      <c r="CV543" s="81">
        <f t="shared" si="2183"/>
        <v>4.6383291354762601</v>
      </c>
      <c r="CW543" s="384">
        <f>(CW$518-1175*0.5)/(CW$518+CW$520+CW$531)*100</f>
        <v>19.415596501023639</v>
      </c>
      <c r="CX543" s="81">
        <f t="shared" si="2184"/>
        <v>1.5315269526129383</v>
      </c>
      <c r="CY543" s="384">
        <f>(CY$518-1175*0.5)/(CY$518+CY$520+CY$531)*100</f>
        <v>19.027748221208558</v>
      </c>
      <c r="CZ543" s="81">
        <f t="shared" si="2185"/>
        <v>0.61184955332507229</v>
      </c>
      <c r="DA543" s="384">
        <f>(DA$518-1175*0.5)/(DA$518+DA$520+DA$531)*100</f>
        <v>18.764919754673333</v>
      </c>
      <c r="DB543" s="81">
        <f t="shared" si="2186"/>
        <v>-8.7882922863656514</v>
      </c>
      <c r="DC543" s="384">
        <f>(DC$518-1175*0.5)/(DC$518+DC$520+DC$531)*100</f>
        <v>18.409733652211077</v>
      </c>
      <c r="DD543" s="81">
        <f t="shared" si="2187"/>
        <v>-8.7962823816841507</v>
      </c>
      <c r="DE543" s="384">
        <f>(DE$518-1175*0.5)/(DE$518+DE$520+DE$531)*100</f>
        <v>20.656796345881236</v>
      </c>
      <c r="DF543" s="81">
        <f t="shared" si="2188"/>
        <v>6.3927978972583066</v>
      </c>
      <c r="DG543" s="384">
        <f>(DG$518-1175*0.5)/(DG$518+DG$520+DG$531)*100</f>
        <v>19.331275539732367</v>
      </c>
      <c r="DH543" s="81">
        <f t="shared" si="2189"/>
        <v>1.5951825460118974</v>
      </c>
      <c r="DI543" s="384">
        <f>(DI$518-1175*0.5)/(DI$518+DI$520+DI$531)*100</f>
        <v>19.131010568319436</v>
      </c>
      <c r="DJ543" s="81">
        <f t="shared" si="2190"/>
        <v>1.950931943393619</v>
      </c>
      <c r="DK543" s="384">
        <f>(DK$518-1175*0.5)/(DK$518+DK$520+DK$531)*100</f>
        <v>18.583055661768725</v>
      </c>
      <c r="DL543" s="81">
        <f t="shared" si="2191"/>
        <v>0.94146940326229611</v>
      </c>
      <c r="DM543" s="384">
        <f>(DM$518-1175*0.5)/(DM$518+DM$520+DM$531)*100</f>
        <v>18.274286543133776</v>
      </c>
      <c r="DN543" s="81">
        <f t="shared" si="2192"/>
        <v>-11.533781729045845</v>
      </c>
      <c r="DO543" s="384">
        <f>(DO$518-1175*0.5)/(DO$518+DO$520+DO$531)*100</f>
        <v>17.970447435562246</v>
      </c>
      <c r="DP543" s="81">
        <f t="shared" si="2192"/>
        <v>-7.0395153251690772</v>
      </c>
      <c r="DQ543" s="384">
        <f>(DQ$518-1175*0.5)/(DQ$518+DQ$520+DQ$531)*100</f>
        <v>15.122213767376252</v>
      </c>
      <c r="DR543" s="81">
        <f t="shared" si="2193"/>
        <v>-20.954443502224972</v>
      </c>
      <c r="DS543" s="384">
        <f>(DS$518-1175*0.5)/(DS$518+DS$520+DS$531)*100</f>
        <v>16.778106188948566</v>
      </c>
      <c r="DT543" s="81">
        <f t="shared" si="2194"/>
        <v>-9.7128777186709758</v>
      </c>
      <c r="DU543" s="384">
        <f>(DU$518-1175*0.5)/(DU$518+DU$520+DU$531)*100</f>
        <v>16.618736617661554</v>
      </c>
      <c r="DV543" s="81">
        <f t="shared" si="2195"/>
        <v>-9.0594504007832981</v>
      </c>
      <c r="DW543" s="384">
        <f>(DW$518-1175*0.5)/(DW$518+DW$520+DW$531)*100</f>
        <v>20.701023626030789</v>
      </c>
      <c r="DX543" s="81">
        <f t="shared" si="2196"/>
        <v>15.194814710428005</v>
      </c>
      <c r="DY543" s="384">
        <f>(DY$518-1175*0.5)/(DY$518+DY$520+DY$531)*100</f>
        <v>20.387584553615586</v>
      </c>
      <c r="DZ543" s="81">
        <f t="shared" si="2197"/>
        <v>34.818782932420419</v>
      </c>
      <c r="EA543" s="384">
        <f>(EA$518-1175*0.5)/(EA$518+EA$520+EA$531)*100</f>
        <v>20.068395127471213</v>
      </c>
      <c r="EB543" s="81">
        <f t="shared" si="2198"/>
        <v>19.610609811790923</v>
      </c>
      <c r="EC543" s="384">
        <f>(EC$518-1175*0.5)/(EC$518+EC$520+EC$531)*100</f>
        <v>19.830607186702714</v>
      </c>
      <c r="ED543" s="81">
        <f t="shared" si="2199"/>
        <v>19.326803492557598</v>
      </c>
      <c r="EE543" s="384">
        <f>(EE$518-1175*0.5)/(EE$518+EE$520+EE$531)*100</f>
        <v>19.547458559453535</v>
      </c>
      <c r="EF543" s="81">
        <f t="shared" si="2200"/>
        <v>-5.572502536187085</v>
      </c>
      <c r="EG543" s="384">
        <f>(EG$518-1175*0.5)/(EG$518+EG$520+EG$531)*100</f>
        <v>17.937806331964499</v>
      </c>
      <c r="EH543" s="81">
        <f t="shared" si="2201"/>
        <v>-12.016029732255051</v>
      </c>
      <c r="EI543" s="384">
        <f>(EI$518-1175*0.5)/(EI$518+EI$520+EI$531)*100</f>
        <v>18.979952687373341</v>
      </c>
      <c r="EJ543" s="81">
        <f t="shared" si="2202"/>
        <v>-5.4236645889432662</v>
      </c>
      <c r="EK543" s="384">
        <f t="shared" ref="EK543:EQ544" si="2223">(EK$518-1175*0.5)/(EK$518+EK$520+EK$531)*100</f>
        <v>18.811241516461831</v>
      </c>
      <c r="EL543" s="81">
        <f t="shared" si="2204"/>
        <v>-5.1403653990202187</v>
      </c>
      <c r="EM543" s="384">
        <f t="shared" si="2223"/>
        <v>18.62231181197604</v>
      </c>
      <c r="EN543" s="81">
        <f t="shared" si="2205"/>
        <v>-4.7328236796802203</v>
      </c>
      <c r="EO543" s="384">
        <f t="shared" si="2223"/>
        <v>18.445708326918879</v>
      </c>
      <c r="EP543" s="81">
        <f t="shared" si="2206"/>
        <v>2.8314610245809169</v>
      </c>
      <c r="EQ543" s="384">
        <f t="shared" si="2223"/>
        <v>18.267680561119406</v>
      </c>
      <c r="ER543" s="81">
        <f t="shared" si="2207"/>
        <v>-3.7527602833687945</v>
      </c>
      <c r="ES543" s="327"/>
      <c r="ET543" s="490"/>
      <c r="EU543" s="327"/>
      <c r="EV543" s="318">
        <f>EV$518/(EV$518+EV$520+EV$531)*100</f>
        <v>18.133112318143475</v>
      </c>
      <c r="EW543" s="79"/>
      <c r="EX543" s="318">
        <f>EX$518/(EX$518+EX$520+EX$531)*100</f>
        <v>18.036056651617294</v>
      </c>
      <c r="EY543" s="79">
        <f t="shared" ref="EY543:EY549" si="2224">IF(ISERROR((EX543/EV543-1)*100),"NA",IF(((EX543/EV543-1)*100)&gt;100,"NM",IF(((EX543/EV543-1)*100)&lt;-50,"NM",(EX543/EV543-1)*100)))</f>
        <v>-0.53523997879321161</v>
      </c>
      <c r="EZ543" s="318"/>
      <c r="FA543" s="79" t="str">
        <f t="shared" ref="FA543:FA549" si="2225">IF(ISERROR((EZ543/EX543-1)*100),"NA",IF(((EZ543/EX543-1)*100)&gt;100,"NM",IF(((EZ543/EX543-1)*100)&lt;-50,"NM",(EZ543/EX543-1)*100)))</f>
        <v>NM</v>
      </c>
      <c r="FB543" s="318">
        <f>FB$518/(FB$518+FB$520+FB$531)*100</f>
        <v>24.453093544490677</v>
      </c>
      <c r="FC543" s="79" t="str">
        <f t="shared" si="2208"/>
        <v>NA</v>
      </c>
      <c r="FD543" s="318">
        <f>FD$518/(FD$518+FD$520+FD$531)*100</f>
        <v>23.116500398560355</v>
      </c>
      <c r="FE543" s="79">
        <f t="shared" si="2209"/>
        <v>-5.4659470528687359</v>
      </c>
      <c r="FF543" s="384">
        <f>(FF$518-875*0.5)/(FF$518+FF$520+FF$531)*100</f>
        <v>26.454639546395462</v>
      </c>
      <c r="FG543" s="79">
        <f t="shared" si="2210"/>
        <v>14.440503926982817</v>
      </c>
      <c r="FH543" s="384">
        <f>(FH$518-1175*0.5)/(FH$518+FH$520+FH$531)*100</f>
        <v>26.432306798373041</v>
      </c>
      <c r="FI543" s="79">
        <f t="shared" si="2211"/>
        <v>-8.4419022165294066E-2</v>
      </c>
      <c r="FJ543" s="384">
        <f>(FJ$518-1175*0.5)/(FJ$518+FJ$520+FJ$531)*100</f>
        <v>28.261466920312827</v>
      </c>
      <c r="FK543" s="79">
        <f t="shared" si="2212"/>
        <v>6.9201683223969468</v>
      </c>
      <c r="FL543" s="384">
        <f>(FL$518-1175*0.5)/(FL$518+FL$520+FL$531)*100</f>
        <v>21.218358318997296</v>
      </c>
      <c r="FM543" s="79">
        <f t="shared" si="2213"/>
        <v>-24.921242132174402</v>
      </c>
      <c r="FN543" s="384">
        <f>(FN$518-1175*0.5)/(FN$518+FN$520+FN$531)*100</f>
        <v>19.102025446906339</v>
      </c>
      <c r="FO543" s="79">
        <f t="shared" si="2214"/>
        <v>-9.9740651009562526</v>
      </c>
      <c r="FP543" s="384">
        <f>(FP$518-1175*0.5)/(FP$518+FP$520+FP$531)*100</f>
        <v>17.387551349383809</v>
      </c>
      <c r="FQ543" s="79">
        <f t="shared" si="2215"/>
        <v>-8.9753523901843444</v>
      </c>
      <c r="FR543" s="384">
        <f>(FR$518-1175*0.5)/(FR$518+FR$520+FR$531)*100</f>
        <v>18.322485455750932</v>
      </c>
      <c r="FS543" s="79">
        <f t="shared" si="2216"/>
        <v>5.377031461076065</v>
      </c>
      <c r="FT543" s="384">
        <f>(FT$518-1175*0.5)/(FT$518+FT$520+FT$531)*100</f>
        <v>18.985954221165283</v>
      </c>
      <c r="FU543" s="79">
        <f t="shared" si="2217"/>
        <v>3.6210631304177454</v>
      </c>
      <c r="FV543" s="384">
        <f>(FV$518-1175*0.5)/(FV$518+FV$520+FV$531)*100</f>
        <v>19.290530350940351</v>
      </c>
      <c r="FW543" s="79">
        <f t="shared" si="2218"/>
        <v>1.6042181827002011</v>
      </c>
      <c r="FX543" s="384">
        <f>(FX$518-1175*0.5)/(FX$518+FX$520+FX$531)*100</f>
        <v>20.185288640595907</v>
      </c>
      <c r="FY543" s="79">
        <f t="shared" si="2219"/>
        <v>4.6383291354762601</v>
      </c>
      <c r="FZ543" s="384">
        <f>(FZ$518-1175*0.5)/(FZ$518+FZ$520+FZ$531)*100</f>
        <v>18.409733652211077</v>
      </c>
      <c r="GA543" s="79">
        <f t="shared" si="2220"/>
        <v>-8.7962823816841507</v>
      </c>
      <c r="GB543" s="384">
        <f>(GB$518-1175*0.5)/(GB$518+GB$520+GB$531)*100</f>
        <v>18.583055661768725</v>
      </c>
      <c r="GC543" s="79">
        <f t="shared" si="2220"/>
        <v>0.94146940326229611</v>
      </c>
      <c r="GD543" s="384">
        <f>(GD$518-1175*0.5)/(GD$518+GD$520+GD$531)*100</f>
        <v>16.778106188948566</v>
      </c>
      <c r="GE543" s="79">
        <f t="shared" si="2220"/>
        <v>-9.7128777186709758</v>
      </c>
      <c r="GF543" s="384">
        <f>(GF$518-1175*0.5)/(GF$518+GF$520+GF$531)*100</f>
        <v>20.068395127471213</v>
      </c>
      <c r="GG543" s="79">
        <f t="shared" si="2220"/>
        <v>19.610609811790923</v>
      </c>
      <c r="GH543" s="384">
        <f>(GH$518-1175*0.5)/(GH$518+GH$520+GH$531)*100</f>
        <v>18.979952687373341</v>
      </c>
      <c r="GI543" s="79">
        <f t="shared" si="2220"/>
        <v>-5.4236645889432662</v>
      </c>
      <c r="GJ543" s="384">
        <f>(GJ$518-1175*0.5)/(GJ$518+GJ$520+GJ$531)*100</f>
        <v>18.267680561119406</v>
      </c>
      <c r="GK543" s="79">
        <f t="shared" si="2220"/>
        <v>-3.7527602833687945</v>
      </c>
      <c r="GL543" s="384">
        <f>(GL$518-1175*0.5)/(GL$518+GL$520+GL$531)*100</f>
        <v>17.585932448517166</v>
      </c>
      <c r="GM543" s="79">
        <f t="shared" si="2220"/>
        <v>-3.7319905519546892</v>
      </c>
      <c r="GN543" s="384">
        <f>(GN$518-1175*0.5)/(GN$518+GN$520+GN$531)*100</f>
        <v>16.961923138916099</v>
      </c>
      <c r="GO543" s="79">
        <f t="shared" si="2220"/>
        <v>-3.5483436060490647</v>
      </c>
      <c r="GP543" s="384">
        <f>(GP$518-1175*0.5)/(GP$518+GP$520+GP$531)*100</f>
        <v>16.356722557614262</v>
      </c>
      <c r="GQ543" s="79">
        <f t="shared" si="2220"/>
        <v>-3.5679950695762352</v>
      </c>
      <c r="GR543" s="384">
        <f>(GR$518-1175*0.5)/(GR$518+GR$520+GR$531)*100</f>
        <v>15.803208031274613</v>
      </c>
      <c r="GS543" s="79">
        <f t="shared" si="2221"/>
        <v>-3.3840185550006785</v>
      </c>
      <c r="GT543" s="79">
        <f t="shared" si="2222"/>
        <v>-3.5971160386776058</v>
      </c>
    </row>
    <row r="544" spans="1:202" ht="12.75" customHeight="1" x14ac:dyDescent="0.2">
      <c r="A544" s="1"/>
      <c r="B544" s="2" t="s">
        <v>168</v>
      </c>
      <c r="C544" s="79"/>
      <c r="D544" s="79"/>
      <c r="E544" s="318">
        <f>(E$518+E520)/(E$518+E$520+E$531)*100</f>
        <v>27.892508647839332</v>
      </c>
      <c r="F544" s="318"/>
      <c r="G544" s="318">
        <f>(G$518+G520)/(G$518+G$520+G$531)*100</f>
        <v>29.081144249536905</v>
      </c>
      <c r="H544" s="318"/>
      <c r="I544" s="318">
        <f>(I$518+I520)/(I$518+I$520+I$531)*100</f>
        <v>28.546433544030858</v>
      </c>
      <c r="J544" s="318"/>
      <c r="K544" s="318">
        <f>(K$518+K520)/(K$518+K$520+K$531)*100</f>
        <v>28.113370993521315</v>
      </c>
      <c r="L544" s="79"/>
      <c r="M544" s="318">
        <f>(M$518+M520)/(M$518+M$520+M$531)*100</f>
        <v>27.951123718088596</v>
      </c>
      <c r="N544" s="79">
        <f t="shared" si="2148"/>
        <v>0.21014628332400864</v>
      </c>
      <c r="O544" s="318">
        <f>(O$518+O520)/(O$518+O$520+O$531)*100</f>
        <v>28.993314185605833</v>
      </c>
      <c r="P544" s="79">
        <f t="shared" si="2149"/>
        <v>-0.30201722180334123</v>
      </c>
      <c r="Q544" s="318">
        <f>(Q$518+Q520)/(Q$518+Q$520+Q$531)*100</f>
        <v>28.731885341742547</v>
      </c>
      <c r="R544" s="79">
        <f t="shared" si="2150"/>
        <v>0.6496496223447501</v>
      </c>
      <c r="S544" s="318">
        <f>(S$518+S520)/(S$518+S$520+S$531)*100</f>
        <v>26.739776323099594</v>
      </c>
      <c r="T544" s="79">
        <f t="shared" si="2151"/>
        <v>-4.8859123679556689</v>
      </c>
      <c r="U544" s="384">
        <f>U$518/(U$518+U$520+U$531)*100</f>
        <v>27.679151872780917</v>
      </c>
      <c r="V544" s="79">
        <f t="shared" si="2152"/>
        <v>-0.97302651603832224</v>
      </c>
      <c r="W544" s="384">
        <f>(W$518-875*0.5)/(W$518+W$520+W$531)*100</f>
        <v>25.654872953010617</v>
      </c>
      <c r="X544" s="79">
        <f t="shared" si="2153"/>
        <v>-11.514520938253536</v>
      </c>
      <c r="Y544" s="384">
        <f>(Y$518-875*0.5)/(Y$518+Y$520+Y$531)*100</f>
        <v>25.408985801655394</v>
      </c>
      <c r="Z544" s="79">
        <f t="shared" si="2154"/>
        <v>-11.565198386962605</v>
      </c>
      <c r="AA544" s="385">
        <f>(AA$518-875*0.5)/(AA$518+AA$520+AA$531)*100</f>
        <v>26.454639546395462</v>
      </c>
      <c r="AB544" s="79">
        <f t="shared" si="2155"/>
        <v>-1.0663394235568502</v>
      </c>
      <c r="AC544" s="384">
        <f>(AC$518-875*0.5)/(AC$518+AC$520+AC$531)*100</f>
        <v>28.304725679481933</v>
      </c>
      <c r="AD544" s="79">
        <f t="shared" si="2156"/>
        <v>2.2600902281120661</v>
      </c>
      <c r="AE544" s="384">
        <f>(AE$518-1175*0.5)/(AE$518+AE$520+AE$531)*100</f>
        <v>29.193119223228457</v>
      </c>
      <c r="AF544" s="79">
        <f t="shared" si="2157"/>
        <v>13.791712306268211</v>
      </c>
      <c r="AG544" s="384">
        <f>(AG$518-1175*0.5)/(AG$518+AG$520+AG$531)*100</f>
        <v>26.790657133770718</v>
      </c>
      <c r="AH544" s="79">
        <f t="shared" si="2158"/>
        <v>5.4377271997424925</v>
      </c>
      <c r="AI544" s="384">
        <f>(AI$518-1175*0.5)/(AI$518+AI$520+AI$531)*100</f>
        <v>26.432306798373041</v>
      </c>
      <c r="AJ544" s="79">
        <f t="shared" si="2159"/>
        <v>-8.4419022165294066E-2</v>
      </c>
      <c r="AK544" s="384">
        <f>(AK$518-1175*0.5)/(AK$518+AK$520+AK$531)*100</f>
        <v>26.020752536866077</v>
      </c>
      <c r="AL544" s="79">
        <f t="shared" si="2160"/>
        <v>-8.0692290343287283</v>
      </c>
      <c r="AM544" s="384">
        <f>(AM$518-1175*0.5)/(AM$518+AM$520+AM$531)*100</f>
        <v>25.567383460167935</v>
      </c>
      <c r="AN544" s="79">
        <f t="shared" si="2161"/>
        <v>-12.419829944638415</v>
      </c>
      <c r="AO544" s="384">
        <f>(AO$518-1175*0.5)/(AO$518+AO$520+AO$531)*100</f>
        <v>25.462626081699817</v>
      </c>
      <c r="AP544" s="79">
        <f t="shared" si="2161"/>
        <v>-4.9570678518253475</v>
      </c>
      <c r="AQ544" s="384">
        <f>(AQ$518-1175*0.5)/(AQ$518+AQ$520+AQ$531)*100</f>
        <v>28.261466920312827</v>
      </c>
      <c r="AR544" s="79">
        <f t="shared" si="2161"/>
        <v>6.9201683223969468</v>
      </c>
      <c r="AS544" s="384">
        <f>(AS$518-1175*0.5)/(AS$518+AS$520+AS$531)*100</f>
        <v>24.935853856444222</v>
      </c>
      <c r="AT544" s="81">
        <f t="shared" si="2161"/>
        <v>-4.1693593560938496</v>
      </c>
      <c r="AU544" s="384">
        <f>(AU$518-1175*0.5)/(AU$518+AU$520+AU$531)*100</f>
        <v>20.787001937494736</v>
      </c>
      <c r="AV544" s="81">
        <f t="shared" si="2161"/>
        <v>-18.697187102155667</v>
      </c>
      <c r="AW544" s="384">
        <f>(AW$518-1175*0.5)/(AW$518+AW$520+AW$531)*100</f>
        <v>20.973173970783531</v>
      </c>
      <c r="AX544" s="81">
        <f t="shared" si="2161"/>
        <v>-17.63153610515802</v>
      </c>
      <c r="AY544" s="384">
        <f>(AY$518-1175*0.5)/(AY$518+AY$520+AY$531)*100</f>
        <v>21.218358318997296</v>
      </c>
      <c r="AZ544" s="81">
        <f t="shared" si="2161"/>
        <v>-24.921242132174402</v>
      </c>
      <c r="BA544" s="384">
        <f>(BA$518-1175*0.5)/(BA$518+BA$520+BA$531)*100</f>
        <v>20.489467029552319</v>
      </c>
      <c r="BB544" s="81">
        <f t="shared" si="2161"/>
        <v>-17.831299671909228</v>
      </c>
      <c r="BC544" s="384">
        <f>(BC$518-1175*0.5)/(BC$518+BC$520+BC$531)*100</f>
        <v>17.792707940893298</v>
      </c>
      <c r="BD544" s="81">
        <f t="shared" si="2161"/>
        <v>-14.404645776264902</v>
      </c>
      <c r="BE544" s="384">
        <f>(BE$518-1175*0.5)/(BE$518+BE$520+BE$531)*100</f>
        <v>17.470722621277297</v>
      </c>
      <c r="BF544" s="81">
        <f t="shared" si="2162"/>
        <v>-16.699672421471778</v>
      </c>
      <c r="BG544" s="384">
        <f>(BG$518-1175*0.5)/(BG$518+BG$520+BG$531)*100</f>
        <v>19.102025446906339</v>
      </c>
      <c r="BH544" s="81">
        <f t="shared" si="2163"/>
        <v>-9.9740651009562526</v>
      </c>
      <c r="BI544" s="384">
        <f>(BI$518-1175*0.5)/(BI$518+BI$520+BI$531)*100</f>
        <v>19.36065839617287</v>
      </c>
      <c r="BJ544" s="81">
        <f t="shared" si="2164"/>
        <v>-5.5092142306647052</v>
      </c>
      <c r="BK544" s="384">
        <f>(BK$518-1175*0.5)/(BK$518+BK$520+BK$531)*100</f>
        <v>17.298980747451871</v>
      </c>
      <c r="BL544" s="81">
        <f t="shared" si="2165"/>
        <v>-2.7748850544929371</v>
      </c>
      <c r="BM544" s="384">
        <f>(BM$518-1175*0.5)/(BM$518+BM$520+BM$531)*100</f>
        <v>17.655377512504025</v>
      </c>
      <c r="BN544" s="81">
        <f t="shared" si="2166"/>
        <v>1.0569390587304106</v>
      </c>
      <c r="BO544" s="384">
        <f>(BO$518-1175*0.5)/(BO$518+BO$520+BO$531)*100</f>
        <v>17.387551349383809</v>
      </c>
      <c r="BP544" s="81">
        <f t="shared" si="2167"/>
        <v>-8.9753523901843444</v>
      </c>
      <c r="BQ544" s="384">
        <f>(BQ$518-1175*0.5)/(BQ$518+BQ$520+BQ$531)*100</f>
        <v>17.086694064956493</v>
      </c>
      <c r="BR544" s="81">
        <f t="shared" si="2168"/>
        <v>-11.745284094604369</v>
      </c>
      <c r="BS544" s="384">
        <f>(BS$518-1175*0.5)/(BS$518+BS$520+BS$531)*100</f>
        <v>16.596313704357893</v>
      </c>
      <c r="BT544" s="81">
        <f t="shared" si="2169"/>
        <v>-4.0618985207985787</v>
      </c>
      <c r="BU544" s="384">
        <f>(BU$518-1175*0.5)/(BU$518+BU$520+BU$531)*100</f>
        <v>18.873303467414264</v>
      </c>
      <c r="BV544" s="81">
        <f t="shared" si="2170"/>
        <v>6.8983285916580872</v>
      </c>
      <c r="BW544" s="384">
        <f>(BW$518-1175*0.5)/(BW$518+BW$520+BW$531)*100</f>
        <v>18.322485455750932</v>
      </c>
      <c r="BX544" s="81">
        <f t="shared" si="2171"/>
        <v>5.377031461076065</v>
      </c>
      <c r="BY544" s="384">
        <f>(BY$518-1175*0.5)/(BY$518+BY$520+BY$531)*100</f>
        <v>15.969442752026994</v>
      </c>
      <c r="BZ544" s="81">
        <f t="shared" si="2172"/>
        <v>-6.5387213505560204</v>
      </c>
      <c r="CA544" s="384">
        <f>(CA$518-1175*0.5)/(CA$518+CA$520+CA$531)*100</f>
        <v>15.69351251331701</v>
      </c>
      <c r="CB544" s="81">
        <f t="shared" si="2173"/>
        <v>-5.439769379653403</v>
      </c>
      <c r="CC544" s="384">
        <f>(CC$518-1175*0.5)/(CC$518+CC$520+CC$531)*100</f>
        <v>18.697031988171226</v>
      </c>
      <c r="CD544" s="81">
        <f t="shared" si="2174"/>
        <v>-0.93397257956128188</v>
      </c>
      <c r="CE544" s="384">
        <f>(CE$518-1175*0.5)/(CE$518+CE$520+CE$531)*100</f>
        <v>18.985954221165283</v>
      </c>
      <c r="CF544" s="81">
        <f t="shared" si="2175"/>
        <v>3.6210631304177454</v>
      </c>
      <c r="CG544" s="384">
        <f>(CG$518-1175*0.5)/(CG$518+CG$520+CG$531)*100</f>
        <v>18.818382785027374</v>
      </c>
      <c r="CH544" s="81">
        <f t="shared" si="2176"/>
        <v>17.839946435443178</v>
      </c>
      <c r="CI544" s="384">
        <f>(CI$518-1175*0.5)/(CI$518+CI$520+CI$531)*100</f>
        <v>18.597218221854707</v>
      </c>
      <c r="CJ544" s="81">
        <f t="shared" si="2177"/>
        <v>18.502586378120924</v>
      </c>
      <c r="CK544" s="384">
        <f>(CK$518-1175*0.5)/(CK$518+CK$520+CK$531)*100</f>
        <v>17.911544389089997</v>
      </c>
      <c r="CL544" s="81">
        <f t="shared" si="2178"/>
        <v>-4.2011352367486543</v>
      </c>
      <c r="CM544" s="384">
        <f>(CM$518-1175*0.5)/(CM$518+CM$520+CM$531)*100</f>
        <v>19.290530350940351</v>
      </c>
      <c r="CN544" s="81">
        <f t="shared" si="2179"/>
        <v>1.6042181827002011</v>
      </c>
      <c r="CO544" s="384">
        <f>(CO$518-1175*0.5)/(CO$518+CO$520+CO$531)*100</f>
        <v>19.122726786218173</v>
      </c>
      <c r="CP544" s="81">
        <f t="shared" si="2180"/>
        <v>1.6172696913836049</v>
      </c>
      <c r="CQ544" s="384">
        <f>(CQ$518-1175*0.5)/(CQ$518+CQ$520+CQ$531)*100</f>
        <v>18.912035019417569</v>
      </c>
      <c r="CR544" s="81">
        <f t="shared" si="2181"/>
        <v>1.6928166019630986</v>
      </c>
      <c r="CS544" s="384">
        <f>(CS$518-1175*0.5)/(CS$518+CS$520+CS$531)*100</f>
        <v>20.572928876177972</v>
      </c>
      <c r="CT544" s="81">
        <f t="shared" si="2182"/>
        <v>14.858486958327477</v>
      </c>
      <c r="CU544" s="384">
        <f>(CU$518-1175*0.5)/(CU$518+CU$520+CU$531)*100</f>
        <v>20.185288640595907</v>
      </c>
      <c r="CV544" s="81">
        <f t="shared" si="2183"/>
        <v>4.6383291354762601</v>
      </c>
      <c r="CW544" s="384">
        <f>(CW$518-1175*0.5)/(CW$518+CW$520+CW$531)*100</f>
        <v>19.415596501023639</v>
      </c>
      <c r="CX544" s="81">
        <f t="shared" si="2184"/>
        <v>1.5315269526129383</v>
      </c>
      <c r="CY544" s="384">
        <f>(CY$518-1175*0.5)/(CY$518+CY$520+CY$531)*100</f>
        <v>19.027748221208558</v>
      </c>
      <c r="CZ544" s="81">
        <f t="shared" si="2185"/>
        <v>0.61184955332507229</v>
      </c>
      <c r="DA544" s="384">
        <f>(DA$518-1175*0.5)/(DA$518+DA$520+DA$531)*100</f>
        <v>18.764919754673333</v>
      </c>
      <c r="DB544" s="81">
        <f t="shared" si="2186"/>
        <v>-8.7882922863656514</v>
      </c>
      <c r="DC544" s="384">
        <f>(DC$518-1175*0.5)/(DC$518+DC$520+DC$531)*100</f>
        <v>18.409733652211077</v>
      </c>
      <c r="DD544" s="81">
        <f t="shared" si="2187"/>
        <v>-8.7962823816841507</v>
      </c>
      <c r="DE544" s="384">
        <f>(DE$518-1175*0.5)/(DE$518+DE$520+DE$531)*100</f>
        <v>20.656796345881236</v>
      </c>
      <c r="DF544" s="81">
        <f t="shared" si="2188"/>
        <v>6.3927978972583066</v>
      </c>
      <c r="DG544" s="384">
        <f>(DG$518-1175*0.5)/(DG$518+DG$520+DG$531)*100</f>
        <v>19.331275539732367</v>
      </c>
      <c r="DH544" s="81">
        <f t="shared" si="2189"/>
        <v>1.5951825460118974</v>
      </c>
      <c r="DI544" s="384">
        <f>(DI$518-1175*0.5)/(DI$518+DI$520+DI$531)*100</f>
        <v>19.131010568319436</v>
      </c>
      <c r="DJ544" s="81">
        <f t="shared" si="2190"/>
        <v>1.950931943393619</v>
      </c>
      <c r="DK544" s="384">
        <f>(DK$518-1175*0.5)/(DK$518+DK$520+DK$531)*100</f>
        <v>18.583055661768725</v>
      </c>
      <c r="DL544" s="81">
        <f t="shared" si="2191"/>
        <v>0.94146940326229611</v>
      </c>
      <c r="DM544" s="384">
        <f>(DM$518-1175*0.5)/(DM$518+DM$520+DM$531)*100</f>
        <v>18.274286543133776</v>
      </c>
      <c r="DN544" s="81">
        <f t="shared" si="2192"/>
        <v>-11.533781729045845</v>
      </c>
      <c r="DO544" s="384">
        <f>(DO$518-1175*0.5)/(DO$518+DO$520+DO$531)*100</f>
        <v>17.970447435562246</v>
      </c>
      <c r="DP544" s="81">
        <f t="shared" si="2192"/>
        <v>-7.0395153251690772</v>
      </c>
      <c r="DQ544" s="384">
        <f>(DQ$518-1175*0.5)/(DQ$518+DQ$520+DQ$531)*100</f>
        <v>15.122213767376252</v>
      </c>
      <c r="DR544" s="81">
        <f t="shared" si="2193"/>
        <v>-20.954443502224972</v>
      </c>
      <c r="DS544" s="384">
        <f>(DS$518-1175*0.5)/(DS$518+DS$520+DS$531)*100</f>
        <v>16.778106188948566</v>
      </c>
      <c r="DT544" s="81">
        <f t="shared" si="2194"/>
        <v>-9.7128777186709758</v>
      </c>
      <c r="DU544" s="384">
        <f>(DU$518-1175*0.5)/(DU$518+DU$520+DU$531)*100</f>
        <v>16.618736617661554</v>
      </c>
      <c r="DV544" s="81">
        <f t="shared" si="2195"/>
        <v>-9.0594504007832981</v>
      </c>
      <c r="DW544" s="384">
        <f>(DW$518-1175*0.5)/(DW$518+DW$520+DW$531)*100</f>
        <v>20.701023626030789</v>
      </c>
      <c r="DX544" s="81">
        <f t="shared" si="2196"/>
        <v>15.194814710428005</v>
      </c>
      <c r="DY544" s="384">
        <f>(DY$518-1175*0.5)/(DY$518+DY$520+DY$531)*100</f>
        <v>20.387584553615586</v>
      </c>
      <c r="DZ544" s="81">
        <f t="shared" si="2197"/>
        <v>34.818782932420419</v>
      </c>
      <c r="EA544" s="384">
        <f>(EA$518-1175*0.5)/(EA$518+EA$520+EA$531)*100</f>
        <v>20.068395127471213</v>
      </c>
      <c r="EB544" s="81">
        <f t="shared" si="2198"/>
        <v>19.610609811790923</v>
      </c>
      <c r="EC544" s="384">
        <f>(EC$518-1175*0.5)/(EC$518+EC$520+EC$531)*100</f>
        <v>19.830607186702714</v>
      </c>
      <c r="ED544" s="81">
        <f t="shared" si="2199"/>
        <v>19.326803492557598</v>
      </c>
      <c r="EE544" s="384">
        <f>(EE$518-1175*0.5)/(EE$518+EE$520+EE$531)*100</f>
        <v>19.547458559453535</v>
      </c>
      <c r="EF544" s="81">
        <f t="shared" si="2200"/>
        <v>-5.572502536187085</v>
      </c>
      <c r="EG544" s="384">
        <f>(EG$518-1175*0.5)/(EG$518+EG$520+EG$531)*100</f>
        <v>17.937806331964499</v>
      </c>
      <c r="EH544" s="81">
        <f t="shared" si="2201"/>
        <v>-12.016029732255051</v>
      </c>
      <c r="EI544" s="384">
        <f>(EI$518-1175*0.5)/(EI$518+EI$520+EI$531)*100</f>
        <v>18.979952687373341</v>
      </c>
      <c r="EJ544" s="81">
        <f t="shared" si="2202"/>
        <v>-5.4236645889432662</v>
      </c>
      <c r="EK544" s="384">
        <f t="shared" si="2223"/>
        <v>18.811241516461831</v>
      </c>
      <c r="EL544" s="81">
        <f t="shared" si="2204"/>
        <v>-5.1403653990202187</v>
      </c>
      <c r="EM544" s="384">
        <f t="shared" si="2223"/>
        <v>18.62231181197604</v>
      </c>
      <c r="EN544" s="81">
        <f t="shared" si="2205"/>
        <v>-4.7328236796802203</v>
      </c>
      <c r="EO544" s="384">
        <f t="shared" si="2223"/>
        <v>18.445708326918879</v>
      </c>
      <c r="EP544" s="81">
        <f t="shared" si="2206"/>
        <v>2.8314610245809169</v>
      </c>
      <c r="EQ544" s="384">
        <f t="shared" si="2223"/>
        <v>18.267680561119406</v>
      </c>
      <c r="ER544" s="81">
        <f t="shared" si="2207"/>
        <v>-3.7527602833687945</v>
      </c>
      <c r="ES544" s="327"/>
      <c r="ET544" s="490"/>
      <c r="EU544" s="327"/>
      <c r="EV544" s="318">
        <f>(EV$518+EV520)/(EV$518+EV$520+EV$531)*100</f>
        <v>22.573149614456764</v>
      </c>
      <c r="EW544" s="79"/>
      <c r="EX544" s="318">
        <f>(EX$518+EX520)/(EX$518+EX$520+EX$531)*100</f>
        <v>22.674562434287836</v>
      </c>
      <c r="EY544" s="79">
        <f t="shared" si="2224"/>
        <v>0.4492630473069692</v>
      </c>
      <c r="EZ544" s="318"/>
      <c r="FA544" s="79" t="str">
        <f t="shared" si="2225"/>
        <v>NM</v>
      </c>
      <c r="FB544" s="318">
        <f>(FB$518+FB520)/(FB$518+FB$520+FB$531)*100</f>
        <v>28.113370993521315</v>
      </c>
      <c r="FC544" s="79" t="str">
        <f t="shared" si="2208"/>
        <v>NA</v>
      </c>
      <c r="FD544" s="318">
        <f>(FD$518+FD520)/(FD$518+FD$520+FD$531)*100</f>
        <v>26.739776323099594</v>
      </c>
      <c r="FE544" s="79">
        <f t="shared" si="2209"/>
        <v>-4.8859123679556689</v>
      </c>
      <c r="FF544" s="384">
        <f>(FF$518-875*0.5)/(FF$518+FF$520+FF$531)*100</f>
        <v>26.454639546395462</v>
      </c>
      <c r="FG544" s="79">
        <f t="shared" si="2210"/>
        <v>-1.0663394235568502</v>
      </c>
      <c r="FH544" s="384">
        <f>(FH$518-1175*0.5)/(FH$518+FH$520+FH$531)*100</f>
        <v>26.432306798373041</v>
      </c>
      <c r="FI544" s="79">
        <f t="shared" si="2211"/>
        <v>-8.4419022165294066E-2</v>
      </c>
      <c r="FJ544" s="384">
        <f>(FJ$518-1175*0.5)/(FJ$518+FJ$520+FJ$531)*100</f>
        <v>28.261466920312827</v>
      </c>
      <c r="FK544" s="79">
        <f t="shared" si="2212"/>
        <v>6.9201683223969468</v>
      </c>
      <c r="FL544" s="384">
        <f>(FL$518-1175*0.5)/(FL$518+FL$520+FL$531)*100</f>
        <v>21.218358318997296</v>
      </c>
      <c r="FM544" s="79">
        <f t="shared" si="2213"/>
        <v>-24.921242132174402</v>
      </c>
      <c r="FN544" s="384">
        <f>(FN$518-1175*0.5)/(FN$518+FN$520+FN$531)*100</f>
        <v>19.102025446906339</v>
      </c>
      <c r="FO544" s="79">
        <f t="shared" si="2214"/>
        <v>-9.9740651009562526</v>
      </c>
      <c r="FP544" s="384">
        <f>(FP$518-1175*0.5)/(FP$518+FP$520+FP$531)*100</f>
        <v>17.387551349383809</v>
      </c>
      <c r="FQ544" s="79">
        <f t="shared" si="2215"/>
        <v>-8.9753523901843444</v>
      </c>
      <c r="FR544" s="384">
        <f>(FR$518-1175*0.5)/(FR$518+FR$520+FR$531)*100</f>
        <v>18.322485455750932</v>
      </c>
      <c r="FS544" s="79">
        <f t="shared" si="2216"/>
        <v>5.377031461076065</v>
      </c>
      <c r="FT544" s="384">
        <f>(FT$518-1175*0.5)/(FT$518+FT$520+FT$531)*100</f>
        <v>18.985954221165283</v>
      </c>
      <c r="FU544" s="79">
        <f t="shared" si="2217"/>
        <v>3.6210631304177454</v>
      </c>
      <c r="FV544" s="384">
        <f>(FV$518-1175*0.5)/(FV$518+FV$520+FV$531)*100</f>
        <v>19.290530350940351</v>
      </c>
      <c r="FW544" s="79">
        <f t="shared" si="2218"/>
        <v>1.6042181827002011</v>
      </c>
      <c r="FX544" s="384">
        <f>(FX$518-1175*0.5)/(FX$518+FX$520+FX$531)*100</f>
        <v>20.185288640595907</v>
      </c>
      <c r="FY544" s="79">
        <f t="shared" si="2219"/>
        <v>4.6383291354762601</v>
      </c>
      <c r="FZ544" s="384">
        <f>(FZ$518-1175*0.5)/(FZ$518+FZ$520+FZ$531)*100</f>
        <v>18.409733652211077</v>
      </c>
      <c r="GA544" s="79">
        <f t="shared" si="2220"/>
        <v>-8.7962823816841507</v>
      </c>
      <c r="GB544" s="384">
        <f>(GB$518-1175*0.5)/(GB$518+GB$520+GB$531)*100</f>
        <v>18.583055661768725</v>
      </c>
      <c r="GC544" s="79">
        <f t="shared" si="2220"/>
        <v>0.94146940326229611</v>
      </c>
      <c r="GD544" s="384">
        <f>(GD$518-1175*0.5)/(GD$518+GD$520+GD$531)*100</f>
        <v>16.778106188948566</v>
      </c>
      <c r="GE544" s="79">
        <f t="shared" si="2220"/>
        <v>-9.7128777186709758</v>
      </c>
      <c r="GF544" s="384">
        <f>(GF$518-1175*0.5)/(GF$518+GF$520+GF$531)*100</f>
        <v>20.068395127471213</v>
      </c>
      <c r="GG544" s="79">
        <f t="shared" si="2220"/>
        <v>19.610609811790923</v>
      </c>
      <c r="GH544" s="384">
        <f>(GH$518-1175*0.5)/(GH$518+GH$520+GH$531)*100</f>
        <v>18.979952687373341</v>
      </c>
      <c r="GI544" s="79">
        <f t="shared" si="2220"/>
        <v>-5.4236645889432662</v>
      </c>
      <c r="GJ544" s="384">
        <f>(GJ$518-1175*0.5)/(GJ$518+GJ$520+GJ$531)*100</f>
        <v>18.267680561119406</v>
      </c>
      <c r="GK544" s="79">
        <f t="shared" si="2220"/>
        <v>-3.7527602833687945</v>
      </c>
      <c r="GL544" s="384">
        <f>(GL$518-1175*0.5)/(GL$518+GL$520+GL$531)*100</f>
        <v>17.585932448517166</v>
      </c>
      <c r="GM544" s="79">
        <f t="shared" si="2220"/>
        <v>-3.7319905519546892</v>
      </c>
      <c r="GN544" s="384">
        <f>(GN$518-1175*0.5)/(GN$518+GN$520+GN$531)*100</f>
        <v>16.961923138916099</v>
      </c>
      <c r="GO544" s="79">
        <f t="shared" si="2220"/>
        <v>-3.5483436060490647</v>
      </c>
      <c r="GP544" s="384">
        <f>(GP$518-1175*0.5)/(GP$518+GP$520+GP$531)*100</f>
        <v>16.356722557614262</v>
      </c>
      <c r="GQ544" s="79">
        <f t="shared" si="2220"/>
        <v>-3.5679950695762352</v>
      </c>
      <c r="GR544" s="384">
        <f>(GR$518-1175*0.5)/(GR$518+GR$520+GR$531)*100</f>
        <v>15.803208031274613</v>
      </c>
      <c r="GS544" s="79">
        <f t="shared" si="2221"/>
        <v>-3.3840185550006785</v>
      </c>
      <c r="GT544" s="79">
        <f t="shared" si="2222"/>
        <v>-3.5971160386776058</v>
      </c>
    </row>
    <row r="545" spans="1:202" ht="12.75" customHeight="1" x14ac:dyDescent="0.2">
      <c r="A545" s="1"/>
      <c r="B545" s="2" t="s">
        <v>43</v>
      </c>
      <c r="C545" s="79"/>
      <c r="D545" s="79"/>
      <c r="E545" s="318">
        <f>(E$518+E521)/E$531*100</f>
        <v>75.573694196828129</v>
      </c>
      <c r="F545" s="318"/>
      <c r="G545" s="318">
        <f>(G$518+G521)/G$531*100</f>
        <v>76.753440266456295</v>
      </c>
      <c r="H545" s="318"/>
      <c r="I545" s="318">
        <f>(I$518+I521)/I$531*100</f>
        <v>77.703436740183847</v>
      </c>
      <c r="J545" s="318"/>
      <c r="K545" s="318">
        <f>(K$518+K521)/K$531*100</f>
        <v>75.870262563858859</v>
      </c>
      <c r="L545" s="79"/>
      <c r="M545" s="318">
        <f>(M$518+M521)/M$531*100</f>
        <v>75.27424456558316</v>
      </c>
      <c r="N545" s="79">
        <f t="shared" si="2148"/>
        <v>-0.39623526999363889</v>
      </c>
      <c r="O545" s="318">
        <f>(O$518+O521)/O$531*100</f>
        <v>77.215890971954153</v>
      </c>
      <c r="P545" s="79">
        <f t="shared" si="2149"/>
        <v>0.60251462852012327</v>
      </c>
      <c r="Q545" s="318">
        <f>(Q$518+Q521)/Q$531*100</f>
        <v>76.238772331046363</v>
      </c>
      <c r="R545" s="79">
        <f t="shared" si="2150"/>
        <v>-1.8849416069393055</v>
      </c>
      <c r="S545" s="318">
        <f>(S$518+S521)/S$531*100</f>
        <v>72.257575258003897</v>
      </c>
      <c r="T545" s="79">
        <f t="shared" si="2151"/>
        <v>-4.7616644305326083</v>
      </c>
      <c r="U545" s="318">
        <f>(U$518+U521)/U$531*100</f>
        <v>80.127229982021845</v>
      </c>
      <c r="V545" s="79">
        <f t="shared" si="2152"/>
        <v>6.447072892522332</v>
      </c>
      <c r="W545" s="318">
        <f>(W$518+W521)/W$531*100</f>
        <v>87.785601154165832</v>
      </c>
      <c r="X545" s="79">
        <f t="shared" si="2153"/>
        <v>13.688516766646819</v>
      </c>
      <c r="Y545" s="318">
        <f>(Y$518+Y521)/Y$531*100</f>
        <v>86.581291759465472</v>
      </c>
      <c r="Z545" s="79">
        <f t="shared" si="2154"/>
        <v>13.565957467821633</v>
      </c>
      <c r="AA545" s="252">
        <f>(AA$518+AA521)/AA$531*100</f>
        <v>91.445621167907149</v>
      </c>
      <c r="AB545" s="79">
        <f t="shared" si="2155"/>
        <v>26.555064768489878</v>
      </c>
      <c r="AC545" s="318">
        <f>(AC$518+AC521)/AC$531*100</f>
        <v>101.07269696310792</v>
      </c>
      <c r="AD545" s="79">
        <f t="shared" si="2156"/>
        <v>26.140260914779656</v>
      </c>
      <c r="AE545" s="318">
        <f>(AE$518+AE521)/AE$531*100</f>
        <v>112.74134092485129</v>
      </c>
      <c r="AF545" s="79">
        <f t="shared" si="2157"/>
        <v>28.428055902766005</v>
      </c>
      <c r="AG545" s="318">
        <f>(AG$518+AG521)/AG$531*100</f>
        <v>105.74104017484321</v>
      </c>
      <c r="AH545" s="79">
        <f t="shared" si="2158"/>
        <v>22.129201385220853</v>
      </c>
      <c r="AI545" s="318">
        <f>(AI$518+AI521)/AI$531*100</f>
        <v>103.62180045272507</v>
      </c>
      <c r="AJ545" s="79">
        <f t="shared" si="2159"/>
        <v>13.31521305154757</v>
      </c>
      <c r="AK545" s="318">
        <f>(AK$518+AK521)/AK$531*100</f>
        <v>100.79774115085642</v>
      </c>
      <c r="AL545" s="79">
        <f t="shared" si="2160"/>
        <v>-0.27203767240113752</v>
      </c>
      <c r="AM545" s="318">
        <f>(AM$518+AM521)/AM$531*100</f>
        <v>98.175369980610199</v>
      </c>
      <c r="AN545" s="79">
        <f t="shared" si="2161"/>
        <v>-12.919813463945019</v>
      </c>
      <c r="AO545" s="318">
        <f>(AO$518+AO521)/AO$531*100</f>
        <v>94.288961734231634</v>
      </c>
      <c r="AP545" s="79">
        <f t="shared" si="2161"/>
        <v>-10.830306210034923</v>
      </c>
      <c r="AQ545" s="318">
        <f>(AQ$518+AQ521)/AQ$531*100</f>
        <v>105.20611573446874</v>
      </c>
      <c r="AR545" s="79">
        <f t="shared" si="2161"/>
        <v>1.5289401215012433</v>
      </c>
      <c r="AS545" s="318">
        <f>(AS$518+AS521)/AS$531*100</f>
        <v>91.45121600460196</v>
      </c>
      <c r="AT545" s="81">
        <f t="shared" si="2161"/>
        <v>-9.2725541659373292</v>
      </c>
      <c r="AU545" s="318">
        <f>(AU$518+AU521)/AU$531*100</f>
        <v>73.872418964125046</v>
      </c>
      <c r="AV545" s="81">
        <f t="shared" si="2161"/>
        <v>-24.754631453168983</v>
      </c>
      <c r="AW545" s="318">
        <f>(AW$518+AW521)/AW$531*100</f>
        <v>74.781415580434683</v>
      </c>
      <c r="AX545" s="81">
        <f t="shared" si="2161"/>
        <v>-20.689109090820256</v>
      </c>
      <c r="AY545" s="318">
        <f>(AY$518+AY521)/AY$531*100</f>
        <v>74.855052068674354</v>
      </c>
      <c r="AZ545" s="81">
        <f t="shared" si="2161"/>
        <v>-28.849143848631275</v>
      </c>
      <c r="BA545" s="318">
        <f>(BA$518+BA521)/BA$531*100</f>
        <v>73.166591052115493</v>
      </c>
      <c r="BB545" s="81">
        <f t="shared" si="2161"/>
        <v>-19.99385656235162</v>
      </c>
      <c r="BC545" s="318">
        <f>(BC$518+BC521)/BC$531*100</f>
        <v>62.953535409127802</v>
      </c>
      <c r="BD545" s="81">
        <f t="shared" si="2161"/>
        <v>-14.780731033458949</v>
      </c>
      <c r="BE545" s="318">
        <f>(BE$518+BE521)/BE$531*100</f>
        <v>63.849196738516177</v>
      </c>
      <c r="BF545" s="81">
        <f t="shared" si="2162"/>
        <v>-14.618897966915112</v>
      </c>
      <c r="BG545" s="318">
        <f>(BG$518+BG521)/BG$531*100</f>
        <v>68.705453777519665</v>
      </c>
      <c r="BH545" s="81">
        <f t="shared" si="2163"/>
        <v>-8.2153416786255882</v>
      </c>
      <c r="BI545" s="318">
        <f>(BI$518+BI521)/BI$531*100</f>
        <v>70.167057961377182</v>
      </c>
      <c r="BJ545" s="81">
        <f t="shared" si="2164"/>
        <v>-4.0995938824070493</v>
      </c>
      <c r="BK545" s="318">
        <f>(BK$518+BK521)/BK$531*100</f>
        <v>63.712407624517539</v>
      </c>
      <c r="BL545" s="81">
        <f t="shared" si="2165"/>
        <v>1.2054481300500575</v>
      </c>
      <c r="BM545" s="318">
        <f>(BM$518+BM521)/BM$531*100</f>
        <v>66.095614812794096</v>
      </c>
      <c r="BN545" s="81">
        <f t="shared" si="2166"/>
        <v>3.518318458222347</v>
      </c>
      <c r="BO545" s="318">
        <f>(BO$518+BO521)/BO$531*100</f>
        <v>64.018977447288648</v>
      </c>
      <c r="BP545" s="81">
        <f t="shared" si="2167"/>
        <v>-6.8211125501137833</v>
      </c>
      <c r="BQ545" s="318">
        <f>(BQ$518+BQ521)/BQ$531*100</f>
        <v>62.862207767973757</v>
      </c>
      <c r="BR545" s="81">
        <f t="shared" si="2168"/>
        <v>-10.410654808164132</v>
      </c>
      <c r="BS545" s="318">
        <f>(BS$518+BS521)/BS$531*100</f>
        <v>58.507393536929072</v>
      </c>
      <c r="BT545" s="81">
        <f t="shared" si="2169"/>
        <v>-8.1695454333850943</v>
      </c>
      <c r="BU545" s="318">
        <f>(BU$518+BU521)/BU$531*100</f>
        <v>64.682067158847332</v>
      </c>
      <c r="BV545" s="81">
        <f t="shared" si="2170"/>
        <v>-2.1386406011207004</v>
      </c>
      <c r="BW545" s="318">
        <f>(BW$518+BW521)/BW$531*100</f>
        <v>62.497089139733554</v>
      </c>
      <c r="BX545" s="81">
        <f t="shared" si="2171"/>
        <v>-2.377245573483544</v>
      </c>
      <c r="BY545" s="318">
        <f>(BY$518+BY521)/BY$531*100</f>
        <v>57.38722500089527</v>
      </c>
      <c r="BZ545" s="81">
        <f t="shared" si="2172"/>
        <v>-8.7094980616761131</v>
      </c>
      <c r="CA545" s="318">
        <f>(CA$518+CA521)/CA$531*100</f>
        <v>56.424150442268015</v>
      </c>
      <c r="CB545" s="81">
        <f t="shared" si="2173"/>
        <v>-3.5606492935737144</v>
      </c>
      <c r="CC545" s="318">
        <f>(CC$518+CC521)/CC$531*100</f>
        <v>65.80667354661162</v>
      </c>
      <c r="CD545" s="81">
        <f t="shared" si="2174"/>
        <v>1.7386679757813939</v>
      </c>
      <c r="CE545" s="318">
        <f>(CE$518+CE521)/CE$531*100</f>
        <v>67.470338722567163</v>
      </c>
      <c r="CF545" s="81">
        <f t="shared" si="2175"/>
        <v>7.9575699465205707</v>
      </c>
      <c r="CG545" s="318">
        <f>(CG$518+CG521)/CG$531*100</f>
        <v>64.194975295407772</v>
      </c>
      <c r="CH545" s="81">
        <f t="shared" si="2176"/>
        <v>11.862832354075836</v>
      </c>
      <c r="CI545" s="318">
        <f>(CI$518+CI521)/CI$531*100</f>
        <v>65.068878612151025</v>
      </c>
      <c r="CJ545" s="81">
        <f t="shared" si="2177"/>
        <v>15.320971786235592</v>
      </c>
      <c r="CK545" s="318">
        <f>(CK$518+CK521)/CK$531*100</f>
        <v>64.327785488517478</v>
      </c>
      <c r="CL545" s="81">
        <f t="shared" si="2178"/>
        <v>-2.2473223130578535</v>
      </c>
      <c r="CM545" s="318">
        <f>(CM$518+CM521)/CM$531*100</f>
        <v>70.741706560801248</v>
      </c>
      <c r="CN545" s="81">
        <f t="shared" si="2179"/>
        <v>4.8486014746208728</v>
      </c>
      <c r="CO545" s="318">
        <f>(CO$518+CO521)/CO$531*100</f>
        <v>70.914622305650852</v>
      </c>
      <c r="CP545" s="81">
        <f t="shared" si="2180"/>
        <v>10.46755914979498</v>
      </c>
      <c r="CQ545" s="318">
        <f>(CQ$518+CQ521)/CQ$531*100</f>
        <v>71.25773884450382</v>
      </c>
      <c r="CR545" s="81">
        <f t="shared" si="2181"/>
        <v>9.5112446446819163</v>
      </c>
      <c r="CS545" s="318">
        <f>(CS$518+CS521)/CS$531*100</f>
        <v>76.383356590130674</v>
      </c>
      <c r="CT545" s="81">
        <f t="shared" si="2182"/>
        <v>18.740845825891395</v>
      </c>
      <c r="CU545" s="318">
        <f>(CU$518+CU521)/CU$531*100</f>
        <v>74.726348220324127</v>
      </c>
      <c r="CV545" s="81">
        <f t="shared" si="2183"/>
        <v>5.6326626162151561</v>
      </c>
      <c r="CW545" s="318">
        <f>(CW$518+CW521)/CW$531*100</f>
        <v>69.177785210787775</v>
      </c>
      <c r="CX545" s="81">
        <f t="shared" si="2184"/>
        <v>-2.4491945925864123</v>
      </c>
      <c r="CY545" s="318">
        <f>(CY$518+CY521)/CY$531*100</f>
        <v>66.654417619030113</v>
      </c>
      <c r="CZ545" s="81">
        <f t="shared" si="2185"/>
        <v>-6.4601000538606961</v>
      </c>
      <c r="DA545" s="318">
        <f>(DA$518+DA521)/DA$531*100</f>
        <v>65.410457247315478</v>
      </c>
      <c r="DB545" s="81">
        <f t="shared" si="2186"/>
        <v>-14.365563170646233</v>
      </c>
      <c r="DC545" s="318">
        <f>(DC$518+DC521)/DC$531*100</f>
        <v>62.30247230139895</v>
      </c>
      <c r="DD545" s="81">
        <f t="shared" si="2187"/>
        <v>-16.62583039959943</v>
      </c>
      <c r="DE545" s="318">
        <f>(DE$518+DE521)/DE$531*100</f>
        <v>70.259433962264154</v>
      </c>
      <c r="DF545" s="81">
        <f t="shared" si="2188"/>
        <v>1.5635781749597122</v>
      </c>
      <c r="DG545" s="318">
        <f>(DG$518+DG521)/DG$531*100</f>
        <v>65.507791634733721</v>
      </c>
      <c r="DH545" s="81">
        <f t="shared" si="2189"/>
        <v>-1.7202550487351753</v>
      </c>
      <c r="DI545" s="318">
        <f>(DI$518+DI521)/DI$531*100</f>
        <v>64.832535885167459</v>
      </c>
      <c r="DJ545" s="81">
        <f t="shared" si="2190"/>
        <v>-0.88353053390669567</v>
      </c>
      <c r="DK545" s="318">
        <f>(DK$518+DK521)/DK$531*100</f>
        <v>64.739393214050637</v>
      </c>
      <c r="DL545" s="81">
        <f t="shared" si="2191"/>
        <v>3.9114353293440152</v>
      </c>
      <c r="DM545" s="318">
        <f>(DM$518+DM521)/DM$531*100</f>
        <v>63.583506377929396</v>
      </c>
      <c r="DN545" s="81">
        <f t="shared" si="2192"/>
        <v>-9.5018237521246611</v>
      </c>
      <c r="DO545" s="318">
        <f>(DO$518+DO521)/DO$531*100</f>
        <v>62.428771163042065</v>
      </c>
      <c r="DP545" s="81">
        <f t="shared" si="2192"/>
        <v>-4.700235490855853</v>
      </c>
      <c r="DQ545" s="318">
        <f>(DQ$518+DQ521)/DQ$531*100</f>
        <v>57.719853722938154</v>
      </c>
      <c r="DR545" s="81">
        <f t="shared" si="2193"/>
        <v>-10.970852929195019</v>
      </c>
      <c r="DS545" s="318">
        <f>(DS$518+DS521)/DS$531*100</f>
        <v>60.722958440296971</v>
      </c>
      <c r="DT545" s="81">
        <f t="shared" si="2194"/>
        <v>-6.2040043540012135</v>
      </c>
      <c r="DU545" s="318">
        <f>(DU$518+DU521)/DU$531*100</f>
        <v>60.053213450158275</v>
      </c>
      <c r="DV545" s="81">
        <f t="shared" si="2195"/>
        <v>-5.5522149199946131</v>
      </c>
      <c r="DW545" s="318">
        <f>(DW$518+DW521)/DW$531*100</f>
        <v>72.992559996370716</v>
      </c>
      <c r="DX545" s="81">
        <f t="shared" si="2196"/>
        <v>16.921346738893405</v>
      </c>
      <c r="DY545" s="318">
        <f>(DY$518+DY521)/DY$531*100</f>
        <v>67.780708153302285</v>
      </c>
      <c r="DZ545" s="81">
        <f t="shared" si="2197"/>
        <v>17.430491904323553</v>
      </c>
      <c r="EA545" s="318">
        <f>(EA$518+EA521)/EA$531*100</f>
        <v>66.512917174853087</v>
      </c>
      <c r="EB545" s="81">
        <f t="shared" si="2198"/>
        <v>9.5350405897117518</v>
      </c>
      <c r="EC545" s="318">
        <f>(EC$518+EC521)/EC$531*100</f>
        <v>65.571969663681671</v>
      </c>
      <c r="ED545" s="81">
        <f t="shared" si="2199"/>
        <v>9.1897766938046299</v>
      </c>
      <c r="EE545" s="318">
        <f>(EE$518+EE521)/EE$531*100</f>
        <v>64.448473137423051</v>
      </c>
      <c r="EF545" s="81">
        <f t="shared" si="2200"/>
        <v>-11.705421565393081</v>
      </c>
      <c r="EG545" s="318">
        <f>(EG$518+EG521)/EG$531*100</f>
        <v>59.073603380414617</v>
      </c>
      <c r="EH545" s="81">
        <f t="shared" si="2201"/>
        <v>-12.845992628454795</v>
      </c>
      <c r="EI545" s="318">
        <f>(EI$518+EI521)/EI$531*100</f>
        <v>62.203357537523566</v>
      </c>
      <c r="EJ545" s="81">
        <f t="shared" si="2202"/>
        <v>-6.4792822512960813</v>
      </c>
      <c r="EK545" s="318">
        <f t="shared" ref="EK545:EQ545" si="2226">(EK$518+EK521)/EK$531*100</f>
        <v>61.480468232433338</v>
      </c>
      <c r="EL545" s="81">
        <f t="shared" si="2204"/>
        <v>-6.2397110415222006</v>
      </c>
      <c r="EM545" s="318">
        <f t="shared" si="2226"/>
        <v>60.67566364256902</v>
      </c>
      <c r="EN545" s="81">
        <f t="shared" si="2205"/>
        <v>-5.8539936032453337</v>
      </c>
      <c r="EO545" s="318">
        <f t="shared" si="2226"/>
        <v>59.927833438715084</v>
      </c>
      <c r="EP545" s="81">
        <f t="shared" si="2206"/>
        <v>1.4460435954778417</v>
      </c>
      <c r="EQ545" s="318">
        <f t="shared" si="2226"/>
        <v>59.178302391830329</v>
      </c>
      <c r="ER545" s="81">
        <f t="shared" si="2207"/>
        <v>-4.8631701976350694</v>
      </c>
      <c r="ES545" s="327"/>
      <c r="ET545" s="490"/>
      <c r="EU545" s="327"/>
      <c r="EV545" s="318">
        <f>(EV$518+EV521)/EV$531*100</f>
        <v>58.761349517346851</v>
      </c>
      <c r="EW545" s="79"/>
      <c r="EX545" s="318">
        <f>(EX$518+EX521)/EX$531*100</f>
        <v>74.143688388554523</v>
      </c>
      <c r="EY545" s="79">
        <f t="shared" si="2224"/>
        <v>26.177647378004277</v>
      </c>
      <c r="EZ545" s="318"/>
      <c r="FA545" s="79" t="str">
        <f t="shared" si="2225"/>
        <v>NM</v>
      </c>
      <c r="FB545" s="318">
        <f>(FB$518+FB521)/FB$531*100</f>
        <v>75.870262563858859</v>
      </c>
      <c r="FC545" s="79" t="str">
        <f t="shared" si="2208"/>
        <v>NA</v>
      </c>
      <c r="FD545" s="318">
        <f>(FD$518+FD521)/FD$531*100</f>
        <v>72.257575258003897</v>
      </c>
      <c r="FE545" s="79">
        <f t="shared" si="2209"/>
        <v>-4.7616644305326083</v>
      </c>
      <c r="FF545" s="318">
        <f>(FF$518+FF521)/FF$531*100</f>
        <v>91.445621167907149</v>
      </c>
      <c r="FG545" s="79">
        <f t="shared" si="2210"/>
        <v>26.555064768489878</v>
      </c>
      <c r="FH545" s="318">
        <f>(FH$518+FH521)/FH$531*100</f>
        <v>103.62180045272507</v>
      </c>
      <c r="FI545" s="79">
        <f t="shared" si="2211"/>
        <v>13.31521305154757</v>
      </c>
      <c r="FJ545" s="318">
        <f>(FJ$518+FJ521)/FJ$531*100</f>
        <v>105.20611573446874</v>
      </c>
      <c r="FK545" s="79">
        <f t="shared" si="2212"/>
        <v>1.5289401215012433</v>
      </c>
      <c r="FL545" s="318">
        <f>(FL$518+FL521)/FL$531*100</f>
        <v>74.855052068674354</v>
      </c>
      <c r="FM545" s="79">
        <f t="shared" si="2213"/>
        <v>-28.849143848631275</v>
      </c>
      <c r="FN545" s="318">
        <f>(FN$518+FN521)/FN$531*100</f>
        <v>68.705453777519665</v>
      </c>
      <c r="FO545" s="79">
        <f t="shared" si="2214"/>
        <v>-8.2153416786255882</v>
      </c>
      <c r="FP545" s="318">
        <f>(FP$518+FP521)/FP$531*100</f>
        <v>64.018977447288648</v>
      </c>
      <c r="FQ545" s="79">
        <f t="shared" si="2215"/>
        <v>-6.8211125501137833</v>
      </c>
      <c r="FR545" s="318">
        <f>(FR$518+FR521)/FR$531*100</f>
        <v>62.497089139733554</v>
      </c>
      <c r="FS545" s="79">
        <f t="shared" si="2216"/>
        <v>-2.377245573483544</v>
      </c>
      <c r="FT545" s="318">
        <f>(FT$518+FT521)/FT$531*100</f>
        <v>67.470338722567163</v>
      </c>
      <c r="FU545" s="79">
        <f t="shared" si="2217"/>
        <v>7.9575699465205707</v>
      </c>
      <c r="FV545" s="318">
        <f>(FV$518+FV521)/FV$531*100</f>
        <v>70.741706560801248</v>
      </c>
      <c r="FW545" s="79">
        <f t="shared" si="2218"/>
        <v>4.8486014746208728</v>
      </c>
      <c r="FX545" s="318">
        <f>(FX$518+FX521)/FX$531*100</f>
        <v>74.726348220324127</v>
      </c>
      <c r="FY545" s="79">
        <f t="shared" si="2219"/>
        <v>5.6326626162151561</v>
      </c>
      <c r="FZ545" s="318">
        <f>(FZ$518+FZ521)/FZ$531*100</f>
        <v>62.30247230139895</v>
      </c>
      <c r="GA545" s="79">
        <f t="shared" si="2220"/>
        <v>-16.62583039959943</v>
      </c>
      <c r="GB545" s="318">
        <f>(GB$518+GB521)/GB$531*100</f>
        <v>64.739393214050637</v>
      </c>
      <c r="GC545" s="79">
        <f t="shared" si="2220"/>
        <v>3.9114353293440152</v>
      </c>
      <c r="GD545" s="318">
        <f>(GD$518+GD521)/GD$531*100</f>
        <v>60.722958440296971</v>
      </c>
      <c r="GE545" s="79">
        <f t="shared" si="2220"/>
        <v>-6.2040043540012135</v>
      </c>
      <c r="GF545" s="318">
        <f>(GF$518+GF521)/GF$531*100</f>
        <v>66.512917174853087</v>
      </c>
      <c r="GG545" s="79">
        <f t="shared" si="2220"/>
        <v>9.5350405897117518</v>
      </c>
      <c r="GH545" s="318">
        <f>(GH$518+GH521)/GH$531*100</f>
        <v>62.203357537523566</v>
      </c>
      <c r="GI545" s="79">
        <f t="shared" si="2220"/>
        <v>-6.4792822512960813</v>
      </c>
      <c r="GJ545" s="318">
        <f>(GJ$518+GJ521)/GJ$531*100</f>
        <v>59.178302391830329</v>
      </c>
      <c r="GK545" s="79">
        <f t="shared" si="2220"/>
        <v>-4.8631701976350694</v>
      </c>
      <c r="GL545" s="318">
        <f>(GL$518+GL521)/GL$531*100</f>
        <v>56.347547867500182</v>
      </c>
      <c r="GM545" s="79">
        <f t="shared" si="2220"/>
        <v>-4.783433133291326</v>
      </c>
      <c r="GN545" s="318">
        <f>(GN$518+GN521)/GN$531*100</f>
        <v>53.81020143103008</v>
      </c>
      <c r="GO545" s="79">
        <f t="shared" si="2220"/>
        <v>-4.5030290269890809</v>
      </c>
      <c r="GP545" s="318">
        <f>(GP$518+GP521)/GP$531*100</f>
        <v>51.396860286597402</v>
      </c>
      <c r="GQ545" s="79">
        <f t="shared" si="2220"/>
        <v>-4.4849137900476403</v>
      </c>
      <c r="GR545" s="318">
        <f>(GR$518+GR521)/GR$531*100</f>
        <v>49.229462078852002</v>
      </c>
      <c r="GS545" s="79">
        <f t="shared" si="2221"/>
        <v>-4.2169856206383578</v>
      </c>
      <c r="GT545" s="79">
        <f t="shared" si="2222"/>
        <v>-4.5705869533926968</v>
      </c>
    </row>
    <row r="546" spans="1:202" ht="12.75" customHeight="1" x14ac:dyDescent="0.2">
      <c r="A546" s="1"/>
      <c r="B546" s="2" t="s">
        <v>90</v>
      </c>
      <c r="C546" s="79"/>
      <c r="D546" s="79"/>
      <c r="E546" s="318">
        <f>E531/E509*100</f>
        <v>13.700840698849312</v>
      </c>
      <c r="F546" s="318"/>
      <c r="G546" s="318">
        <f>G531/G509*100</f>
        <v>13.985182497499363</v>
      </c>
      <c r="H546" s="318"/>
      <c r="I546" s="318">
        <f>I531/I509*100</f>
        <v>13.812774511952286</v>
      </c>
      <c r="J546" s="318"/>
      <c r="K546" s="318">
        <f>K531/K509*100</f>
        <v>13.911871098140329</v>
      </c>
      <c r="L546" s="79"/>
      <c r="M546" s="318">
        <f>M531/M509*100</f>
        <v>13.969426895306858</v>
      </c>
      <c r="N546" s="79">
        <f t="shared" si="2148"/>
        <v>1.9603628883890556</v>
      </c>
      <c r="O546" s="318">
        <f>O531/O509*100</f>
        <v>13.809927776078029</v>
      </c>
      <c r="P546" s="79">
        <f t="shared" si="2149"/>
        <v>-1.2531457594684325</v>
      </c>
      <c r="Q546" s="318">
        <f>Q531/Q509*100</f>
        <v>13.767816684653525</v>
      </c>
      <c r="R546" s="79">
        <f t="shared" si="2150"/>
        <v>-0.32548006383409378</v>
      </c>
      <c r="S546" s="318">
        <f>S531/S509*100</f>
        <v>13.645054910447158</v>
      </c>
      <c r="T546" s="79">
        <f t="shared" si="2151"/>
        <v>-1.9179029607946707</v>
      </c>
      <c r="U546" s="318">
        <f>U531/U509*100</f>
        <v>12.70351582229835</v>
      </c>
      <c r="V546" s="79">
        <f t="shared" si="2152"/>
        <v>-9.0620115091035061</v>
      </c>
      <c r="W546" s="318">
        <f>W531/W509*100</f>
        <v>13.287533651722386</v>
      </c>
      <c r="X546" s="79">
        <f t="shared" si="2153"/>
        <v>-3.7827433483073603</v>
      </c>
      <c r="Y546" s="318">
        <f>Y531/Y509*100</f>
        <v>13.491530233664555</v>
      </c>
      <c r="Z546" s="79">
        <f t="shared" si="2154"/>
        <v>-2.0067557356202692</v>
      </c>
      <c r="AA546" s="252">
        <f>AA531/AA509*100</f>
        <v>12.573122317817727</v>
      </c>
      <c r="AB546" s="79">
        <f t="shared" si="2155"/>
        <v>-7.8558320187390285</v>
      </c>
      <c r="AC546" s="318">
        <f>AC531/AC509*100</f>
        <v>11.302276716138532</v>
      </c>
      <c r="AD546" s="79">
        <f t="shared" si="2156"/>
        <v>-11.030325193126744</v>
      </c>
      <c r="AE546" s="318">
        <f>AE531/AE509*100</f>
        <v>11.482008419049933</v>
      </c>
      <c r="AF546" s="79">
        <f t="shared" si="2157"/>
        <v>-13.588114092478055</v>
      </c>
      <c r="AG546" s="318">
        <f>AG531/AG509*100</f>
        <v>11.617882939698648</v>
      </c>
      <c r="AH546" s="79">
        <f t="shared" si="2158"/>
        <v>-13.887581775495828</v>
      </c>
      <c r="AI546" s="318">
        <f>AI531/AI509*100</f>
        <v>11.644481391741602</v>
      </c>
      <c r="AJ546" s="79">
        <f t="shared" si="2159"/>
        <v>-7.3859213535218853</v>
      </c>
      <c r="AK546" s="318">
        <f>AK531/AK509*100</f>
        <v>11.845095621479171</v>
      </c>
      <c r="AL546" s="79">
        <f t="shared" si="2160"/>
        <v>4.8027394743003216</v>
      </c>
      <c r="AM546" s="318">
        <f>AM531/AM509*100</f>
        <v>11.929790569809077</v>
      </c>
      <c r="AN546" s="79">
        <f t="shared" si="2161"/>
        <v>3.8998591049299591</v>
      </c>
      <c r="AO546" s="318">
        <f>AO531/AO509*100</f>
        <v>12.153748208179509</v>
      </c>
      <c r="AP546" s="79">
        <f t="shared" si="2161"/>
        <v>4.612417522729495</v>
      </c>
      <c r="AQ546" s="318">
        <f>AQ531/AQ509*100</f>
        <v>12.235933038242717</v>
      </c>
      <c r="AR546" s="79">
        <f t="shared" si="2161"/>
        <v>5.0792442067929322</v>
      </c>
      <c r="AS546" s="318">
        <f>AS531/AS509*100</f>
        <v>12.483493511104726</v>
      </c>
      <c r="AT546" s="81">
        <f t="shared" si="2161"/>
        <v>5.3895545466760453</v>
      </c>
      <c r="AU546" s="318">
        <f>AU531/AU509*100</f>
        <v>13.781481878917223</v>
      </c>
      <c r="AV546" s="81">
        <f t="shared" si="2161"/>
        <v>15.521574316604125</v>
      </c>
      <c r="AW546" s="318">
        <f>AW531/AW509*100</f>
        <v>13.328599221789883</v>
      </c>
      <c r="AX546" s="81">
        <f t="shared" si="2161"/>
        <v>9.6665735827873753</v>
      </c>
      <c r="AY546" s="318">
        <f>AY531/AY509*100</f>
        <v>13.617722586332452</v>
      </c>
      <c r="AZ546" s="81">
        <f t="shared" si="2161"/>
        <v>11.292882559679175</v>
      </c>
      <c r="BA546" s="318">
        <f>BA531/BA509*100</f>
        <v>13.201069547644714</v>
      </c>
      <c r="BB546" s="81">
        <f t="shared" si="2161"/>
        <v>5.7481988988232091</v>
      </c>
      <c r="BC546" s="318">
        <f>BC531/BC509*100</f>
        <v>13.991367892564529</v>
      </c>
      <c r="BD546" s="81">
        <f t="shared" si="2161"/>
        <v>1.5229567871680727</v>
      </c>
      <c r="BE546" s="318">
        <f>BE531/BE509*100</f>
        <v>14.252757178444245</v>
      </c>
      <c r="BF546" s="81">
        <f t="shared" si="2162"/>
        <v>6.9336465241113254</v>
      </c>
      <c r="BG546" s="318">
        <f>BG531/BG509*100</f>
        <v>14.584303836454984</v>
      </c>
      <c r="BH546" s="81">
        <f t="shared" si="2163"/>
        <v>7.0979654930894975</v>
      </c>
      <c r="BI546" s="318">
        <f>BI531/BI509*100</f>
        <v>14.230564224577449</v>
      </c>
      <c r="BJ546" s="81">
        <f t="shared" si="2164"/>
        <v>7.7985702083996244</v>
      </c>
      <c r="BK546" s="318">
        <f>BK531/BK509*100</f>
        <v>14.689787024889023</v>
      </c>
      <c r="BL546" s="81">
        <f t="shared" si="2165"/>
        <v>4.9917859189140268</v>
      </c>
      <c r="BM546" s="318">
        <f>BM531/BM509*100</f>
        <v>14.512361685702411</v>
      </c>
      <c r="BN546" s="81">
        <f t="shared" si="2166"/>
        <v>1.8214335935701653</v>
      </c>
      <c r="BO546" s="318">
        <f>BO531/BO509*100</f>
        <v>14.605550271914481</v>
      </c>
      <c r="BP546" s="81">
        <f t="shared" si="2167"/>
        <v>0.14568014831390919</v>
      </c>
      <c r="BQ546" s="318">
        <f>BQ531/BQ509*100</f>
        <v>14.930368990619019</v>
      </c>
      <c r="BR546" s="81">
        <f t="shared" si="2168"/>
        <v>4.9176178470347942</v>
      </c>
      <c r="BS546" s="318">
        <f>BS531/BS509*100</f>
        <v>15.052274122904722</v>
      </c>
      <c r="BT546" s="81">
        <f t="shared" si="2169"/>
        <v>2.4676130253048267</v>
      </c>
      <c r="BU546" s="318">
        <f>BU531/BU509*100</f>
        <v>14.719931807237366</v>
      </c>
      <c r="BV546" s="81">
        <f t="shared" si="2170"/>
        <v>1.4302987069255035</v>
      </c>
      <c r="BW546" s="318">
        <f>BW531/BW509*100</f>
        <v>15.071486626274568</v>
      </c>
      <c r="BX546" s="81">
        <f t="shared" si="2171"/>
        <v>3.1901321462434185</v>
      </c>
      <c r="BY546" s="318">
        <f>BY531/BY509*100</f>
        <v>15.344642206237651</v>
      </c>
      <c r="BZ546" s="81">
        <f t="shared" si="2172"/>
        <v>2.7747017898815951</v>
      </c>
      <c r="CA546" s="318">
        <f>CA531/CA509*100</f>
        <v>14.965672539628743</v>
      </c>
      <c r="CB546" s="81">
        <f t="shared" si="2173"/>
        <v>-0.57533886619961505</v>
      </c>
      <c r="CC546" s="318">
        <f>CC531/CC509*100</f>
        <v>14.39578285169798</v>
      </c>
      <c r="CD546" s="81">
        <f t="shared" si="2174"/>
        <v>-2.2021090843641788</v>
      </c>
      <c r="CE546" s="318">
        <f>CE531/CE509*100</f>
        <v>14.459221386883502</v>
      </c>
      <c r="CF546" s="81">
        <f t="shared" si="2175"/>
        <v>-4.0624077410100101</v>
      </c>
      <c r="CG546" s="318">
        <f>CG531/CG509*100</f>
        <v>14.311106408866085</v>
      </c>
      <c r="CH546" s="81">
        <f t="shared" si="2176"/>
        <v>-6.7354831965481088</v>
      </c>
      <c r="CI546" s="318">
        <f>CI531/CI509*100</f>
        <v>14.197575896532674</v>
      </c>
      <c r="CJ546" s="81">
        <f t="shared" si="2177"/>
        <v>-5.1323897476853624</v>
      </c>
      <c r="CK546" s="318">
        <f>CK531/CK509*100</f>
        <v>14.494030060164279</v>
      </c>
      <c r="CL546" s="81">
        <f t="shared" si="2178"/>
        <v>0.68247214811740786</v>
      </c>
      <c r="CM546" s="318">
        <f>CM531/CM509*100</f>
        <v>13.043588624110308</v>
      </c>
      <c r="CN546" s="81">
        <f t="shared" si="2179"/>
        <v>-9.7905186240344051</v>
      </c>
      <c r="CO546" s="318">
        <f>CO531/CO509*100</f>
        <v>13.066594041585752</v>
      </c>
      <c r="CP546" s="81">
        <f t="shared" si="2180"/>
        <v>-8.6961296473159209</v>
      </c>
      <c r="CQ546" s="318">
        <f>CQ531/CQ509*100</f>
        <v>12.958777060564397</v>
      </c>
      <c r="CR546" s="81">
        <f t="shared" si="2181"/>
        <v>-8.7254249950571854</v>
      </c>
      <c r="CS546" s="318">
        <f>CS531/CS509*100</f>
        <v>12.853562652761404</v>
      </c>
      <c r="CT546" s="81">
        <f t="shared" si="2182"/>
        <v>-11.318228267730534</v>
      </c>
      <c r="CU546" s="318">
        <f>CU531/CU509*100</f>
        <v>12.960308790564879</v>
      </c>
      <c r="CV546" s="81">
        <f t="shared" si="2183"/>
        <v>-0.63847332160944514</v>
      </c>
      <c r="CW546" s="318">
        <f>CW531/CW509*100</f>
        <v>13.205738339192841</v>
      </c>
      <c r="CX546" s="81">
        <f t="shared" si="2184"/>
        <v>1.0648857473052997</v>
      </c>
      <c r="CY546" s="318">
        <f>CY531/CY509*100</f>
        <v>13.802145411203814</v>
      </c>
      <c r="CZ546" s="81">
        <f t="shared" si="2185"/>
        <v>6.5080859613359632</v>
      </c>
      <c r="DA546" s="318">
        <f>DA531/DA509*100</f>
        <v>13.958821282880615</v>
      </c>
      <c r="DB546" s="81">
        <f t="shared" si="2186"/>
        <v>8.5988504508651697</v>
      </c>
      <c r="DC546" s="318">
        <f>DC531/DC509*100</f>
        <v>14.183064356527755</v>
      </c>
      <c r="DD546" s="81">
        <f t="shared" si="2187"/>
        <v>9.4346175366827989</v>
      </c>
      <c r="DE546" s="318">
        <f>DE531/DE509*100</f>
        <v>13.98758272137659</v>
      </c>
      <c r="DF546" s="81">
        <f t="shared" si="2188"/>
        <v>5.9204897303117177</v>
      </c>
      <c r="DG546" s="318">
        <f>DG531/DG509*100</f>
        <v>13.983327433743275</v>
      </c>
      <c r="DH546" s="81">
        <f t="shared" si="2189"/>
        <v>1.3127091270346058</v>
      </c>
      <c r="DI546" s="318">
        <f>DI531/DI509*100</f>
        <v>14.157493649449618</v>
      </c>
      <c r="DJ546" s="81">
        <f t="shared" si="2190"/>
        <v>1.4232746629735837</v>
      </c>
      <c r="DK546" s="318">
        <f>DK531/DK509*100</f>
        <v>13.415205880180721</v>
      </c>
      <c r="DL546" s="81">
        <f t="shared" si="2191"/>
        <v>-5.4139109648305705</v>
      </c>
      <c r="DM546" s="318">
        <f>DM531/DM509*100</f>
        <v>13.429401425564228</v>
      </c>
      <c r="DN546" s="81">
        <f t="shared" si="2192"/>
        <v>-3.9905486668494805</v>
      </c>
      <c r="DO546" s="318">
        <f>DO531/DO509*100</f>
        <v>13.79411497769941</v>
      </c>
      <c r="DP546" s="81">
        <f t="shared" si="2192"/>
        <v>-1.3531289812128366</v>
      </c>
      <c r="DQ546" s="318">
        <f>DQ531/DQ509*100</f>
        <v>13.921355588157796</v>
      </c>
      <c r="DR546" s="81">
        <f t="shared" si="2193"/>
        <v>-1.6679369042203462</v>
      </c>
      <c r="DS546" s="318">
        <f>DS531/DS509*100</f>
        <v>14.276516502238598</v>
      </c>
      <c r="DT546" s="81">
        <f t="shared" si="2194"/>
        <v>6.4204055439086138</v>
      </c>
      <c r="DU546" s="318">
        <f>DU531/DU509*100</f>
        <v>14.116877566086853</v>
      </c>
      <c r="DV546" s="81">
        <f t="shared" si="2195"/>
        <v>5.1191867659413637</v>
      </c>
      <c r="DW546" s="318">
        <f>DW531/DW509*100</f>
        <v>13.882446668650505</v>
      </c>
      <c r="DX546" s="81">
        <f t="shared" si="2196"/>
        <v>0.64035779819073824</v>
      </c>
      <c r="DY546" s="318">
        <f>DY531/DY509*100</f>
        <v>14.042367432360875</v>
      </c>
      <c r="DZ546" s="81">
        <f t="shared" si="2197"/>
        <v>0.86925330968499193</v>
      </c>
      <c r="EA546" s="318">
        <f>EA531/EA509*100</f>
        <v>14.548534096866556</v>
      </c>
      <c r="EB546" s="81">
        <f t="shared" si="2198"/>
        <v>1.9053499121112871</v>
      </c>
      <c r="EC546" s="318">
        <f>EC531/EC509*100</f>
        <v>14.559587232484009</v>
      </c>
      <c r="ED546" s="81">
        <f t="shared" si="2199"/>
        <v>3.1360310686598503</v>
      </c>
      <c r="EE546" s="318">
        <f>EE531/EE509*100</f>
        <v>14.557807218138748</v>
      </c>
      <c r="EF546" s="81">
        <f t="shared" si="2200"/>
        <v>4.8648524687896044</v>
      </c>
      <c r="EG546" s="318">
        <f>EG531/EG509*100</f>
        <v>14.642108998859953</v>
      </c>
      <c r="EH546" s="81">
        <f t="shared" si="2201"/>
        <v>4.2709434102754296</v>
      </c>
      <c r="EI546" s="318">
        <f>EI531/EI509*100</f>
        <v>14.787996042926732</v>
      </c>
      <c r="EJ546" s="81">
        <f t="shared" si="2202"/>
        <v>1.6459523995049796</v>
      </c>
      <c r="EK546" s="318">
        <f t="shared" ref="EK546:EQ546" si="2227">EK531/EK509*100</f>
        <v>14.780159282105751</v>
      </c>
      <c r="EL546" s="81">
        <f t="shared" si="2204"/>
        <v>1.5149608714841944</v>
      </c>
      <c r="EM546" s="318">
        <f t="shared" si="2227"/>
        <v>14.794319759588163</v>
      </c>
      <c r="EN546" s="81">
        <f t="shared" si="2205"/>
        <v>1.6246439996452589</v>
      </c>
      <c r="EO546" s="318">
        <f t="shared" si="2227"/>
        <v>14.797022728290237</v>
      </c>
      <c r="EP546" s="81">
        <f t="shared" si="2206"/>
        <v>1.0580014767158641</v>
      </c>
      <c r="EQ546" s="318">
        <f t="shared" si="2227"/>
        <v>14.802460855546229</v>
      </c>
      <c r="ER546" s="81">
        <f t="shared" si="2207"/>
        <v>9.7814555653852331E-2</v>
      </c>
      <c r="ES546" s="327"/>
      <c r="ET546" s="490"/>
      <c r="EU546" s="327"/>
      <c r="EV546" s="318">
        <f>EV531/EV509*100</f>
        <v>14.035064185971644</v>
      </c>
      <c r="EW546" s="79"/>
      <c r="EX546" s="318">
        <f>EX531/EX509*100</f>
        <v>13.158261702357176</v>
      </c>
      <c r="EY546" s="79">
        <f t="shared" si="2224"/>
        <v>-6.2472281707899207</v>
      </c>
      <c r="EZ546" s="318"/>
      <c r="FA546" s="79" t="str">
        <f t="shared" si="2225"/>
        <v>NM</v>
      </c>
      <c r="FB546" s="318">
        <f>FB531/FB509*100</f>
        <v>13.911871098140329</v>
      </c>
      <c r="FC546" s="79" t="str">
        <f t="shared" si="2208"/>
        <v>NA</v>
      </c>
      <c r="FD546" s="318">
        <f>FD531/FD509*100</f>
        <v>13.645054910447158</v>
      </c>
      <c r="FE546" s="79">
        <f t="shared" si="2209"/>
        <v>-1.9179029607946707</v>
      </c>
      <c r="FF546" s="318">
        <f>FF531/FF509*100</f>
        <v>12.573122317817727</v>
      </c>
      <c r="FG546" s="79">
        <f t="shared" si="2210"/>
        <v>-7.8558320187390285</v>
      </c>
      <c r="FH546" s="318">
        <f>FH531/FH509*100</f>
        <v>11.644481391741602</v>
      </c>
      <c r="FI546" s="79">
        <f t="shared" si="2211"/>
        <v>-7.3859213535218853</v>
      </c>
      <c r="FJ546" s="318">
        <f>FJ531/FJ509*100</f>
        <v>12.235933038242717</v>
      </c>
      <c r="FK546" s="79">
        <f t="shared" si="2212"/>
        <v>5.0792442067929322</v>
      </c>
      <c r="FL546" s="318">
        <f>FL531/FL509*100</f>
        <v>13.617722586332452</v>
      </c>
      <c r="FM546" s="79">
        <f t="shared" si="2213"/>
        <v>11.292882559679175</v>
      </c>
      <c r="FN546" s="318">
        <f>FN531/FN509*100</f>
        <v>14.584303836454984</v>
      </c>
      <c r="FO546" s="79">
        <f t="shared" si="2214"/>
        <v>7.0979654930894975</v>
      </c>
      <c r="FP546" s="318">
        <f>FP531/FP509*100</f>
        <v>14.605550271914481</v>
      </c>
      <c r="FQ546" s="79">
        <f t="shared" si="2215"/>
        <v>0.14568014831390919</v>
      </c>
      <c r="FR546" s="318">
        <f>FR531/FR509*100</f>
        <v>15.071486626274568</v>
      </c>
      <c r="FS546" s="79">
        <f t="shared" si="2216"/>
        <v>3.1901321462434185</v>
      </c>
      <c r="FT546" s="318">
        <f>FT531/FT509*100</f>
        <v>14.459221386883502</v>
      </c>
      <c r="FU546" s="79">
        <f t="shared" si="2217"/>
        <v>-4.0624077410100101</v>
      </c>
      <c r="FV546" s="318">
        <f>FV531/FV509*100</f>
        <v>13.043588624110308</v>
      </c>
      <c r="FW546" s="79">
        <f t="shared" si="2218"/>
        <v>-9.7905186240344051</v>
      </c>
      <c r="FX546" s="318">
        <f>FX531/FX509*100</f>
        <v>12.960308790564879</v>
      </c>
      <c r="FY546" s="79">
        <f t="shared" si="2219"/>
        <v>-0.63847332160944514</v>
      </c>
      <c r="FZ546" s="318">
        <f>FZ531/FZ509*100</f>
        <v>14.183064356527755</v>
      </c>
      <c r="GA546" s="79">
        <f t="shared" si="2220"/>
        <v>9.4346175366827989</v>
      </c>
      <c r="GB546" s="318">
        <f>GB531/GB509*100</f>
        <v>13.415205880180721</v>
      </c>
      <c r="GC546" s="79">
        <f t="shared" si="2220"/>
        <v>-5.4139109648305705</v>
      </c>
      <c r="GD546" s="318">
        <f>GD531/GD509*100</f>
        <v>14.276516502238598</v>
      </c>
      <c r="GE546" s="79">
        <f t="shared" si="2220"/>
        <v>6.4204055439086138</v>
      </c>
      <c r="GF546" s="318">
        <f>GF531/GF509*100</f>
        <v>14.548534096866556</v>
      </c>
      <c r="GG546" s="79">
        <f t="shared" si="2220"/>
        <v>1.9053499121112871</v>
      </c>
      <c r="GH546" s="318">
        <f>GH531/GH509*100</f>
        <v>14.787996042926732</v>
      </c>
      <c r="GI546" s="79">
        <f t="shared" si="2220"/>
        <v>1.6459523995049796</v>
      </c>
      <c r="GJ546" s="318">
        <f>GJ531/GJ509*100</f>
        <v>14.802460855546229</v>
      </c>
      <c r="GK546" s="79">
        <f t="shared" si="2220"/>
        <v>9.7814555653852331E-2</v>
      </c>
      <c r="GL546" s="318">
        <f>GL531/GL509*100</f>
        <v>14.804467834049836</v>
      </c>
      <c r="GM546" s="79">
        <f t="shared" si="2220"/>
        <v>1.3558411153336003E-2</v>
      </c>
      <c r="GN546" s="318">
        <f>GN531/GN509*100</f>
        <v>14.763063130731465</v>
      </c>
      <c r="GO546" s="79">
        <f t="shared" si="2220"/>
        <v>-0.27967707980114387</v>
      </c>
      <c r="GP546" s="318">
        <f>GP531/GP509*100</f>
        <v>14.719042625639792</v>
      </c>
      <c r="GQ546" s="79">
        <f t="shared" si="2220"/>
        <v>-0.2981800233586851</v>
      </c>
      <c r="GR546" s="318">
        <f>GR531/GR509*100</f>
        <v>14.634160724716544</v>
      </c>
      <c r="GS546" s="79">
        <f t="shared" si="2221"/>
        <v>-0.57668085542050829</v>
      </c>
      <c r="GT546" s="79">
        <f t="shared" si="2222"/>
        <v>-0.20892548864994698</v>
      </c>
    </row>
    <row r="547" spans="1:202" ht="12.75" customHeight="1" x14ac:dyDescent="0.2">
      <c r="A547" s="1"/>
      <c r="B547" s="2" t="s">
        <v>257</v>
      </c>
      <c r="C547" s="79"/>
      <c r="D547" s="79"/>
      <c r="E547" s="318">
        <f>E531/E508*100</f>
        <v>13.684161537086073</v>
      </c>
      <c r="F547" s="318"/>
      <c r="G547" s="318">
        <f>G531/G508*100</f>
        <v>13.968128816779874</v>
      </c>
      <c r="H547" s="318"/>
      <c r="I547" s="318">
        <f>I531/I508*100</f>
        <v>13.797230133068764</v>
      </c>
      <c r="J547" s="318"/>
      <c r="K547" s="318">
        <f>K531/K508*100</f>
        <v>13.897727782010488</v>
      </c>
      <c r="L547" s="79"/>
      <c r="M547" s="318">
        <f>M531/M508*100</f>
        <v>13.955781801788264</v>
      </c>
      <c r="N547" s="79">
        <f t="shared" si="2148"/>
        <v>1.9849244249716014</v>
      </c>
      <c r="O547" s="318">
        <f>O531/O508*100</f>
        <v>13.798893420507158</v>
      </c>
      <c r="P547" s="79">
        <f t="shared" si="2149"/>
        <v>-1.2115824423770682</v>
      </c>
      <c r="Q547" s="318">
        <f>Q531/Q508*100</f>
        <v>13.759403125292154</v>
      </c>
      <c r="R547" s="79">
        <f t="shared" si="2150"/>
        <v>-0.27416378078630732</v>
      </c>
      <c r="S547" s="318">
        <f>S531/S508*100</f>
        <v>13.636496478358712</v>
      </c>
      <c r="T547" s="79">
        <f t="shared" si="2151"/>
        <v>-1.8796691642638086</v>
      </c>
      <c r="U547" s="318">
        <f>U531/U508*100</f>
        <v>12.696099518036327</v>
      </c>
      <c r="V547" s="79">
        <f t="shared" si="2152"/>
        <v>-9.0262394586201111</v>
      </c>
      <c r="W547" s="318">
        <f>W531/W508*100</f>
        <v>13.279260331309933</v>
      </c>
      <c r="X547" s="79">
        <f t="shared" si="2153"/>
        <v>-3.7657591327212803</v>
      </c>
      <c r="Y547" s="318">
        <f>Y531/Y508*100</f>
        <v>13.483033599145841</v>
      </c>
      <c r="Z547" s="79">
        <f t="shared" si="2154"/>
        <v>-2.0085865907824019</v>
      </c>
      <c r="AA547" s="252">
        <f>AA531/AA508*100</f>
        <v>12.564705203812379</v>
      </c>
      <c r="AB547" s="79">
        <f t="shared" si="2155"/>
        <v>-7.8597261125486266</v>
      </c>
      <c r="AC547" s="318">
        <f>AC531/AC508*100</f>
        <v>11.29480530643821</v>
      </c>
      <c r="AD547" s="79">
        <f t="shared" si="2156"/>
        <v>-11.03720248575093</v>
      </c>
      <c r="AE547" s="318">
        <f>AE531/AE508*100</f>
        <v>11.474314813922955</v>
      </c>
      <c r="AF547" s="79">
        <f t="shared" si="2157"/>
        <v>-13.592214267622005</v>
      </c>
      <c r="AG547" s="318">
        <f>AG531/AG508*100</f>
        <v>11.610716378250356</v>
      </c>
      <c r="AH547" s="79">
        <f t="shared" si="2158"/>
        <v>-13.886468554184262</v>
      </c>
      <c r="AI547" s="318">
        <f>AI531/AI508*100</f>
        <v>11.637001734506962</v>
      </c>
      <c r="AJ547" s="79">
        <f t="shared" si="2159"/>
        <v>-7.3834081600572148</v>
      </c>
      <c r="AK547" s="318">
        <f>AK531/AK508*100</f>
        <v>11.83791652991243</v>
      </c>
      <c r="AL547" s="79">
        <f t="shared" si="2160"/>
        <v>4.8085045181313513</v>
      </c>
      <c r="AM547" s="318">
        <f>AM531/AM508*100</f>
        <v>11.922766099122899</v>
      </c>
      <c r="AN547" s="79">
        <f t="shared" si="2161"/>
        <v>3.9083055718132531</v>
      </c>
      <c r="AO547" s="318">
        <f>AO531/AO508*100</f>
        <v>12.146282805687886</v>
      </c>
      <c r="AP547" s="79">
        <f t="shared" si="2161"/>
        <v>4.612690638458572</v>
      </c>
      <c r="AQ547" s="318">
        <f>AQ531/AQ508*100</f>
        <v>12.228789842081284</v>
      </c>
      <c r="AR547" s="79">
        <f t="shared" si="2161"/>
        <v>5.0854001836186491</v>
      </c>
      <c r="AS547" s="318">
        <f>AS531/AS508*100</f>
        <v>12.476102189926538</v>
      </c>
      <c r="AT547" s="81">
        <f t="shared" si="2161"/>
        <v>5.3910302408495481</v>
      </c>
      <c r="AU547" s="318">
        <f>AU531/AU508*100</f>
        <v>13.773927412403525</v>
      </c>
      <c r="AV547" s="81">
        <f t="shared" si="2161"/>
        <v>15.52627383520344</v>
      </c>
      <c r="AW547" s="318">
        <f>AW531/AW508*100</f>
        <v>13.321342459360658</v>
      </c>
      <c r="AX547" s="81">
        <f t="shared" si="2161"/>
        <v>9.6742326230253148</v>
      </c>
      <c r="AY547" s="318">
        <f>AY531/AY508*100</f>
        <v>13.610289118089272</v>
      </c>
      <c r="AZ547" s="81">
        <f t="shared" si="2161"/>
        <v>11.297105386945328</v>
      </c>
      <c r="BA547" s="318">
        <f>BA531/BA508*100</f>
        <v>13.195741303294058</v>
      </c>
      <c r="BB547" s="81">
        <f t="shared" si="2161"/>
        <v>5.7681405811870645</v>
      </c>
      <c r="BC547" s="318">
        <f>BC531/BC508*100</f>
        <v>13.985471689036419</v>
      </c>
      <c r="BD547" s="81">
        <f t="shared" si="2161"/>
        <v>1.5358312142867536</v>
      </c>
      <c r="BE547" s="318">
        <f>BE531/BE508*100</f>
        <v>14.246664621990494</v>
      </c>
      <c r="BF547" s="81">
        <f t="shared" si="2162"/>
        <v>6.9461630121191664</v>
      </c>
      <c r="BG547" s="318">
        <f>BG531/BG508*100</f>
        <v>14.578635037676163</v>
      </c>
      <c r="BH547" s="81">
        <f t="shared" si="2163"/>
        <v>7.1148078573869178</v>
      </c>
      <c r="BI547" s="318">
        <f>BI531/BI508*100</f>
        <v>14.225426886359907</v>
      </c>
      <c r="BJ547" s="81">
        <f t="shared" si="2164"/>
        <v>7.8031658805618465</v>
      </c>
      <c r="BK547" s="318">
        <f>BK531/BK508*100</f>
        <v>14.684842576042465</v>
      </c>
      <c r="BL547" s="81">
        <f t="shared" si="2165"/>
        <v>5.0006957402394914</v>
      </c>
      <c r="BM547" s="318">
        <f>BM531/BM508*100</f>
        <v>14.508226242445591</v>
      </c>
      <c r="BN547" s="81">
        <f t="shared" si="2166"/>
        <v>1.8359498689353826</v>
      </c>
      <c r="BO547" s="318">
        <f>BO531/BO508*100</f>
        <v>14.602505975114935</v>
      </c>
      <c r="BP547" s="81">
        <f t="shared" si="2167"/>
        <v>0.16373917981402641</v>
      </c>
      <c r="BQ547" s="318">
        <f>BQ531/BQ508*100</f>
        <v>14.927725106696247</v>
      </c>
      <c r="BR547" s="81">
        <f t="shared" si="2168"/>
        <v>4.9369219352548344</v>
      </c>
      <c r="BS547" s="318">
        <f>BS531/BS508*100</f>
        <v>15.049475419170777</v>
      </c>
      <c r="BT547" s="81">
        <f t="shared" si="2169"/>
        <v>2.4830558532727531</v>
      </c>
      <c r="BU547" s="318">
        <f>BU531/BU508*100</f>
        <v>14.716944934818663</v>
      </c>
      <c r="BV547" s="81">
        <f t="shared" si="2170"/>
        <v>1.4386230879309014</v>
      </c>
      <c r="BW547" s="318">
        <f>BW531/BW508*100</f>
        <v>15.071486626274568</v>
      </c>
      <c r="BX547" s="81">
        <f t="shared" si="2171"/>
        <v>3.2116449872292563</v>
      </c>
      <c r="BY547" s="318">
        <f>BY531/BY508*100</f>
        <v>15.344642206237651</v>
      </c>
      <c r="BZ547" s="81">
        <f t="shared" si="2172"/>
        <v>2.7929044550424109</v>
      </c>
      <c r="CA547" s="318">
        <f>CA531/CA508*100</f>
        <v>14.965672539628743</v>
      </c>
      <c r="CB547" s="81">
        <f t="shared" si="2173"/>
        <v>-0.55684917386078503</v>
      </c>
      <c r="CC547" s="318">
        <f>CC531/CC508*100</f>
        <v>14.39578285169798</v>
      </c>
      <c r="CD547" s="81">
        <f t="shared" si="2174"/>
        <v>-2.1822605475736223</v>
      </c>
      <c r="CE547" s="318">
        <f>CE531/CE508*100</f>
        <v>14.459221386883502</v>
      </c>
      <c r="CF547" s="81">
        <f t="shared" si="2175"/>
        <v>-4.0624077410100101</v>
      </c>
      <c r="CG547" s="318">
        <f>CG531/CG508*100</f>
        <v>14.311106408866085</v>
      </c>
      <c r="CH547" s="81">
        <f t="shared" si="2176"/>
        <v>-6.7354831965481088</v>
      </c>
      <c r="CI547" s="318">
        <f>CI531/CI508*100</f>
        <v>14.197575896532674</v>
      </c>
      <c r="CJ547" s="81">
        <f t="shared" si="2177"/>
        <v>-5.1323897476853624</v>
      </c>
      <c r="CK547" s="318">
        <f>CK531/CK508*100</f>
        <v>14.494030060164279</v>
      </c>
      <c r="CL547" s="81">
        <f t="shared" si="2178"/>
        <v>0.68247214811740786</v>
      </c>
      <c r="CM547" s="318">
        <f>CM531/CM508*100</f>
        <v>13.043588624110308</v>
      </c>
      <c r="CN547" s="81">
        <f t="shared" si="2179"/>
        <v>-9.7905186240344051</v>
      </c>
      <c r="CO547" s="318">
        <f>CO531/CO508*100</f>
        <v>13.066594041585752</v>
      </c>
      <c r="CP547" s="81">
        <f t="shared" si="2180"/>
        <v>-8.6961296473159209</v>
      </c>
      <c r="CQ547" s="318">
        <f>CQ531/CQ508*100</f>
        <v>12.958777060564397</v>
      </c>
      <c r="CR547" s="81">
        <f t="shared" si="2181"/>
        <v>-8.7254249950571854</v>
      </c>
      <c r="CS547" s="318">
        <f>CS531/CS508*100</f>
        <v>12.853562652761404</v>
      </c>
      <c r="CT547" s="81">
        <f t="shared" si="2182"/>
        <v>-11.318228267730534</v>
      </c>
      <c r="CU547" s="318">
        <f>CU531/CU508*100</f>
        <v>12.960308790564879</v>
      </c>
      <c r="CV547" s="81">
        <f t="shared" si="2183"/>
        <v>-0.63847332160944514</v>
      </c>
      <c r="CW547" s="318">
        <f>CW531/CW508*100</f>
        <v>13.205738339192841</v>
      </c>
      <c r="CX547" s="81">
        <f t="shared" si="2184"/>
        <v>1.0648857473052997</v>
      </c>
      <c r="CY547" s="318">
        <f>CY531/CY508*100</f>
        <v>13.802145411203814</v>
      </c>
      <c r="CZ547" s="81">
        <f t="shared" si="2185"/>
        <v>6.5080859613359632</v>
      </c>
      <c r="DA547" s="318">
        <f>DA531/DA508*100</f>
        <v>13.958821282880615</v>
      </c>
      <c r="DB547" s="81">
        <f t="shared" si="2186"/>
        <v>8.5988504508651697</v>
      </c>
      <c r="DC547" s="318">
        <f>DC531/DC508*100</f>
        <v>14.183064356527755</v>
      </c>
      <c r="DD547" s="81">
        <f t="shared" si="2187"/>
        <v>9.4346175366827989</v>
      </c>
      <c r="DE547" s="318">
        <f>DE531/DE508*100</f>
        <v>13.98758272137659</v>
      </c>
      <c r="DF547" s="81">
        <f t="shared" si="2188"/>
        <v>5.9204897303117177</v>
      </c>
      <c r="DG547" s="318">
        <f>DG531/DG508*100</f>
        <v>13.983327433743275</v>
      </c>
      <c r="DH547" s="81">
        <f t="shared" si="2189"/>
        <v>1.3127091270346058</v>
      </c>
      <c r="DI547" s="318">
        <f>DI531/DI508*100</f>
        <v>14.157493649449618</v>
      </c>
      <c r="DJ547" s="81">
        <f t="shared" si="2190"/>
        <v>1.4232746629735837</v>
      </c>
      <c r="DK547" s="318">
        <f>DK531/DK508*100</f>
        <v>13.415205880180721</v>
      </c>
      <c r="DL547" s="81">
        <f t="shared" si="2191"/>
        <v>-5.4139109648305705</v>
      </c>
      <c r="DM547" s="318">
        <f>DM531/DM508*100</f>
        <v>13.429401425564228</v>
      </c>
      <c r="DN547" s="81">
        <f t="shared" si="2192"/>
        <v>-3.9905486668494805</v>
      </c>
      <c r="DO547" s="318">
        <f>DO531/DO508*100</f>
        <v>13.79411497769941</v>
      </c>
      <c r="DP547" s="81">
        <f t="shared" si="2192"/>
        <v>-1.3531289812128366</v>
      </c>
      <c r="DQ547" s="318">
        <f>DQ531/DQ508*100</f>
        <v>13.921355588157796</v>
      </c>
      <c r="DR547" s="81">
        <f t="shared" si="2193"/>
        <v>-1.6679369042203462</v>
      </c>
      <c r="DS547" s="318">
        <f>DS531/DS508*100</f>
        <v>14.276516502238598</v>
      </c>
      <c r="DT547" s="81">
        <f t="shared" si="2194"/>
        <v>6.4204055439086138</v>
      </c>
      <c r="DU547" s="318">
        <f>DU531/DU508*100</f>
        <v>14.116877566086853</v>
      </c>
      <c r="DV547" s="81">
        <f t="shared" si="2195"/>
        <v>5.1191867659413637</v>
      </c>
      <c r="DW547" s="318">
        <f>DW531/DW508*100</f>
        <v>13.882446668650505</v>
      </c>
      <c r="DX547" s="81">
        <f t="shared" si="2196"/>
        <v>0.64035779819073824</v>
      </c>
      <c r="DY547" s="318">
        <f>DY531/DY508*100</f>
        <v>14.042367432360875</v>
      </c>
      <c r="DZ547" s="81">
        <f t="shared" si="2197"/>
        <v>0.86925330968499193</v>
      </c>
      <c r="EA547" s="318">
        <f>EA531/EA508*100</f>
        <v>14.548534096866556</v>
      </c>
      <c r="EB547" s="81">
        <f t="shared" si="2198"/>
        <v>1.9053499121112871</v>
      </c>
      <c r="EC547" s="318">
        <f>EC531/EC508*100</f>
        <v>14.559587232484009</v>
      </c>
      <c r="ED547" s="81">
        <f t="shared" si="2199"/>
        <v>3.1360310686598503</v>
      </c>
      <c r="EE547" s="318">
        <f>EE531/EE508*100</f>
        <v>14.557807218138748</v>
      </c>
      <c r="EF547" s="81">
        <f t="shared" si="2200"/>
        <v>4.8648524687896044</v>
      </c>
      <c r="EG547" s="318">
        <f>EG531/EG508*100</f>
        <v>14.642108998859953</v>
      </c>
      <c r="EH547" s="81">
        <f t="shared" si="2201"/>
        <v>4.2709434102754296</v>
      </c>
      <c r="EI547" s="318">
        <f>EI531/EI508*100</f>
        <v>14.787996042926732</v>
      </c>
      <c r="EJ547" s="81">
        <f t="shared" si="2202"/>
        <v>1.6459523995049796</v>
      </c>
      <c r="EK547" s="318">
        <f t="shared" ref="EK547:EQ547" si="2228">EK531/EK508*100</f>
        <v>14.780159282105751</v>
      </c>
      <c r="EL547" s="81">
        <f t="shared" si="2204"/>
        <v>1.5149608714841944</v>
      </c>
      <c r="EM547" s="318">
        <f t="shared" si="2228"/>
        <v>14.794319759588163</v>
      </c>
      <c r="EN547" s="81">
        <f t="shared" si="2205"/>
        <v>1.6246439996452589</v>
      </c>
      <c r="EO547" s="318">
        <f t="shared" si="2228"/>
        <v>14.797022728290237</v>
      </c>
      <c r="EP547" s="81">
        <f t="shared" si="2206"/>
        <v>1.0580014767158641</v>
      </c>
      <c r="EQ547" s="318">
        <f t="shared" si="2228"/>
        <v>14.802460855546229</v>
      </c>
      <c r="ER547" s="81">
        <f t="shared" si="2207"/>
        <v>9.7814555653852331E-2</v>
      </c>
      <c r="ES547" s="327"/>
      <c r="ET547" s="490"/>
      <c r="EU547" s="327"/>
      <c r="EV547" s="318">
        <f>EV531/EV508*100</f>
        <v>13.881260364842454</v>
      </c>
      <c r="EW547" s="79"/>
      <c r="EX547" s="318">
        <f>EX531/EX508*100</f>
        <v>13.001216646215916</v>
      </c>
      <c r="EY547" s="79">
        <f t="shared" si="2224"/>
        <v>-6.3397969312315112</v>
      </c>
      <c r="EZ547" s="318"/>
      <c r="FA547" s="79" t="str">
        <f t="shared" si="2225"/>
        <v>NM</v>
      </c>
      <c r="FB547" s="318">
        <f>FB531/FB508*100</f>
        <v>13.897727782010488</v>
      </c>
      <c r="FC547" s="79" t="str">
        <f t="shared" si="2208"/>
        <v>NA</v>
      </c>
      <c r="FD547" s="318">
        <f>FD531/FD508*100</f>
        <v>13.636496478358712</v>
      </c>
      <c r="FE547" s="79">
        <f t="shared" si="2209"/>
        <v>-1.8796691642638086</v>
      </c>
      <c r="FF547" s="318">
        <f>FF531/FF508*100</f>
        <v>12.564705203812379</v>
      </c>
      <c r="FG547" s="79">
        <f t="shared" si="2210"/>
        <v>-7.8597261125486266</v>
      </c>
      <c r="FH547" s="318">
        <f>FH531/FH508*100</f>
        <v>11.637001734506962</v>
      </c>
      <c r="FI547" s="79">
        <f t="shared" si="2211"/>
        <v>-7.3834081600572148</v>
      </c>
      <c r="FJ547" s="318">
        <f>FJ531/FJ508*100</f>
        <v>12.228789842081284</v>
      </c>
      <c r="FK547" s="79">
        <f t="shared" si="2212"/>
        <v>5.0854001836186491</v>
      </c>
      <c r="FL547" s="318">
        <f>FL531/FL508*100</f>
        <v>13.610289118089272</v>
      </c>
      <c r="FM547" s="79">
        <f t="shared" si="2213"/>
        <v>11.297105386945328</v>
      </c>
      <c r="FN547" s="318">
        <f>FN531/FN508*100</f>
        <v>14.578635037676163</v>
      </c>
      <c r="FO547" s="79">
        <f t="shared" si="2214"/>
        <v>7.1148078573869178</v>
      </c>
      <c r="FP547" s="318">
        <f>FP531/FP508*100</f>
        <v>14.602505975114935</v>
      </c>
      <c r="FQ547" s="79">
        <f t="shared" si="2215"/>
        <v>0.16373917981402641</v>
      </c>
      <c r="FR547" s="318">
        <f>FR531/FR508*100</f>
        <v>15.071486626274568</v>
      </c>
      <c r="FS547" s="79">
        <f t="shared" si="2216"/>
        <v>3.2116449872292563</v>
      </c>
      <c r="FT547" s="318">
        <f>FT531/FT508*100</f>
        <v>14.459221386883502</v>
      </c>
      <c r="FU547" s="79">
        <f t="shared" si="2217"/>
        <v>-4.0624077410100101</v>
      </c>
      <c r="FV547" s="318">
        <f>FV531/FV508*100</f>
        <v>13.043588624110308</v>
      </c>
      <c r="FW547" s="79">
        <f t="shared" si="2218"/>
        <v>-9.7905186240344051</v>
      </c>
      <c r="FX547" s="318">
        <f>FX531/FX508*100</f>
        <v>12.960308790564879</v>
      </c>
      <c r="FY547" s="79">
        <f t="shared" si="2219"/>
        <v>-0.63847332160944514</v>
      </c>
      <c r="FZ547" s="318">
        <f>FZ531/FZ508*100</f>
        <v>14.183064356527755</v>
      </c>
      <c r="GA547" s="79">
        <f t="shared" si="2220"/>
        <v>9.4346175366827989</v>
      </c>
      <c r="GB547" s="318">
        <f>GB531/GB508*100</f>
        <v>13.415205880180721</v>
      </c>
      <c r="GC547" s="79">
        <f t="shared" si="2220"/>
        <v>-5.4139109648305705</v>
      </c>
      <c r="GD547" s="318">
        <f>GD531/GD508*100</f>
        <v>14.276516502238598</v>
      </c>
      <c r="GE547" s="79">
        <f t="shared" si="2220"/>
        <v>6.4204055439086138</v>
      </c>
      <c r="GF547" s="318">
        <f>GF531/GF508*100</f>
        <v>14.548534096866556</v>
      </c>
      <c r="GG547" s="79">
        <f t="shared" si="2220"/>
        <v>1.9053499121112871</v>
      </c>
      <c r="GH547" s="318">
        <f>GH531/GH508*100</f>
        <v>14.787996042926732</v>
      </c>
      <c r="GI547" s="79">
        <f t="shared" si="2220"/>
        <v>1.6459523995049796</v>
      </c>
      <c r="GJ547" s="318">
        <f>GJ531/GJ508*100</f>
        <v>14.802460855546229</v>
      </c>
      <c r="GK547" s="79">
        <f t="shared" si="2220"/>
        <v>9.7814555653852331E-2</v>
      </c>
      <c r="GL547" s="318">
        <f>GL531/GL508*100</f>
        <v>14.804467834049836</v>
      </c>
      <c r="GM547" s="79">
        <f t="shared" si="2220"/>
        <v>1.3558411153336003E-2</v>
      </c>
      <c r="GN547" s="318">
        <f>GN531/GN508*100</f>
        <v>14.763063130731465</v>
      </c>
      <c r="GO547" s="79">
        <f t="shared" si="2220"/>
        <v>-0.27967707980114387</v>
      </c>
      <c r="GP547" s="318">
        <f>GP531/GP508*100</f>
        <v>14.719042625639792</v>
      </c>
      <c r="GQ547" s="79">
        <f t="shared" si="2220"/>
        <v>-0.2981800233586851</v>
      </c>
      <c r="GR547" s="318">
        <f>GR531/GR508*100</f>
        <v>14.634160724716544</v>
      </c>
      <c r="GS547" s="79">
        <f t="shared" si="2221"/>
        <v>-0.57668085542050829</v>
      </c>
      <c r="GT547" s="79">
        <f t="shared" si="2222"/>
        <v>-0.20892548864994698</v>
      </c>
    </row>
    <row r="548" spans="1:202" ht="12.75" customHeight="1" x14ac:dyDescent="0.2">
      <c r="A548" s="1"/>
      <c r="B548" s="2" t="s">
        <v>160</v>
      </c>
      <c r="C548" s="79"/>
      <c r="D548" s="79"/>
      <c r="E548" s="330">
        <f>(E416*4)/(E508)*100</f>
        <v>1.7910462384844692</v>
      </c>
      <c r="F548" s="330"/>
      <c r="G548" s="330">
        <f>(G416*4)/(AVERAGE(G508,E508))*100</f>
        <v>1.4331773703938178</v>
      </c>
      <c r="H548" s="330"/>
      <c r="I548" s="330">
        <f>(I416*4)/(AVERAGE(I508,G508))*100</f>
        <v>1.052246703583793</v>
      </c>
      <c r="J548" s="330"/>
      <c r="K548" s="330">
        <f>(K416*4)/(AVERAGE(K508,I508))*100</f>
        <v>1.402418223856271</v>
      </c>
      <c r="L548" s="79"/>
      <c r="M548" s="330">
        <f>(M416*4)/(AVERAGE(M508,K508))*100</f>
        <v>1.3837980313825624</v>
      </c>
      <c r="N548" s="79">
        <f t="shared" si="2148"/>
        <v>-22.738006331232874</v>
      </c>
      <c r="O548" s="330">
        <f>(O416*4)/(AVERAGE(O508,M508))*100</f>
        <v>1.3963428781966005</v>
      </c>
      <c r="P548" s="79">
        <f t="shared" si="2149"/>
        <v>-2.5701279519293241</v>
      </c>
      <c r="Q548" s="330">
        <f>(Q416*4)/(AVERAGE(Q508,O508))*100</f>
        <v>1.3842993248553426</v>
      </c>
      <c r="R548" s="79">
        <f t="shared" si="2150"/>
        <v>31.556537087797821</v>
      </c>
      <c r="S548" s="330">
        <f>(S416*4)/(AVERAGE(S508,Q508))*100</f>
        <v>1.3702041721947265</v>
      </c>
      <c r="T548" s="79">
        <f t="shared" si="2151"/>
        <v>-2.2970360134771051</v>
      </c>
      <c r="U548" s="330">
        <f>(U416*4)/(AVERAGE(U508,S508))*100</f>
        <v>-1.7182386277190413</v>
      </c>
      <c r="V548" s="79" t="str">
        <f t="shared" si="2152"/>
        <v>NM</v>
      </c>
      <c r="W548" s="330">
        <f>(W416*4)/(AVERAGE(W508,U508))*100</f>
        <v>0.95228834504637994</v>
      </c>
      <c r="X548" s="79">
        <f t="shared" si="2153"/>
        <v>-31.80125312227926</v>
      </c>
      <c r="Y548" s="330">
        <f>(Y416*4)/(AVERAGE(Y508,W508))*100</f>
        <v>0.95691486646015711</v>
      </c>
      <c r="Z548" s="79">
        <f t="shared" si="2154"/>
        <v>-30.873702726095498</v>
      </c>
      <c r="AA548" s="284">
        <f>(AA416*4)/(AVERAGE(AA508,Y508))*100</f>
        <v>-1.5262065456519995</v>
      </c>
      <c r="AB548" s="79" t="str">
        <f t="shared" si="2155"/>
        <v>NM</v>
      </c>
      <c r="AC548" s="330">
        <f>(AC416*4)/(AVERAGE(AC508,AA508))*100</f>
        <v>-4.8069726974545341</v>
      </c>
      <c r="AD548" s="79" t="str">
        <f t="shared" si="2156"/>
        <v>NM</v>
      </c>
      <c r="AE548" s="330">
        <f>(AE416*4)/(AVERAGE(AE508,AC508))*100</f>
        <v>1.0838504013206598</v>
      </c>
      <c r="AF548" s="79">
        <f t="shared" si="2157"/>
        <v>13.815359282578665</v>
      </c>
      <c r="AG548" s="330">
        <f>(AG416*4)/(AVERAGE(AG508,AE508))*100</f>
        <v>1.0510793557431408</v>
      </c>
      <c r="AH548" s="79">
        <f t="shared" si="2158"/>
        <v>9.8404249514190578</v>
      </c>
      <c r="AI548" s="330">
        <f>(AI416*4)/(AVERAGE(AI508,AG508))*100</f>
        <v>0.95740461323945047</v>
      </c>
      <c r="AJ548" s="79" t="str">
        <f t="shared" si="2159"/>
        <v>NM</v>
      </c>
      <c r="AK548" s="330">
        <f>(AK416*4)/(AVERAGE(AK508,AI508))*100</f>
        <v>1.2466860914310569</v>
      </c>
      <c r="AL548" s="79" t="str">
        <f t="shared" si="2160"/>
        <v>NM</v>
      </c>
      <c r="AM548" s="330">
        <f>(AM416*4)/(AVERAGE(AM508,AK508))*100</f>
        <v>1.0267947966156439</v>
      </c>
      <c r="AN548" s="79">
        <f t="shared" si="2161"/>
        <v>-5.2641586546901991</v>
      </c>
      <c r="AO548" s="330">
        <f>(AO416*4)/(AVERAGE(AO508,AM508))*100</f>
        <v>1.0792346738933762</v>
      </c>
      <c r="AP548" s="79">
        <f t="shared" si="2161"/>
        <v>2.678705275333737</v>
      </c>
      <c r="AQ548" s="330">
        <f>(AQ416*4)/(AVERAGE(AQ508,AO508))*100</f>
        <v>1.0591637929664528</v>
      </c>
      <c r="AR548" s="79">
        <f t="shared" si="2161"/>
        <v>10.628649404841761</v>
      </c>
      <c r="AS548" s="330">
        <f>(AS416*4)/(AVERAGE(AS508,AQ508))*100</f>
        <v>1.0556705609885697</v>
      </c>
      <c r="AT548" s="81">
        <f t="shared" si="2161"/>
        <v>-15.321862636906669</v>
      </c>
      <c r="AU548" s="330">
        <f>(AU416*4)/(AVERAGE(AU508,AS508))*100</f>
        <v>1.1172430672250071</v>
      </c>
      <c r="AV548" s="81">
        <f t="shared" si="2161"/>
        <v>8.8087971333205228</v>
      </c>
      <c r="AW548" s="330">
        <f>(AW416*4)/(AVERAGE(AW508,AU508))*100</f>
        <v>1.2373793209154815</v>
      </c>
      <c r="AX548" s="81">
        <f t="shared" si="2161"/>
        <v>14.653406793500533</v>
      </c>
      <c r="AY548" s="330">
        <f>(AY416*4)/(AVERAGE(AY508,AW508))*100</f>
        <v>1.3879012143170741</v>
      </c>
      <c r="AZ548" s="81">
        <f t="shared" si="2161"/>
        <v>31.037448932228884</v>
      </c>
      <c r="BA548" s="330">
        <f>(BA416*4)/(AVERAGE(BA508,AY508))*100</f>
        <v>1.3431854111293602</v>
      </c>
      <c r="BB548" s="81">
        <f t="shared" si="2161"/>
        <v>27.23528160826525</v>
      </c>
      <c r="BC548" s="330">
        <f>(BC416*4)/(AVERAGE(BC508,BA508))*100</f>
        <v>1.3995369576071388</v>
      </c>
      <c r="BD548" s="81">
        <f t="shared" si="2161"/>
        <v>25.26700757099254</v>
      </c>
      <c r="BE548" s="330">
        <f>(BE416*4)/(AVERAGE(BE508,BC508))*100</f>
        <v>1.6662905541337956</v>
      </c>
      <c r="BF548" s="81">
        <f t="shared" si="2162"/>
        <v>34.662873863204837</v>
      </c>
      <c r="BG548" s="330">
        <f>(BG416*4)/(AVERAGE(BG508,BE508))*100</f>
        <v>1.6370710946712612</v>
      </c>
      <c r="BH548" s="81">
        <f t="shared" si="2163"/>
        <v>17.952998223781556</v>
      </c>
      <c r="BI548" s="330">
        <f>(BI416*4)/(AVERAGE(BI508,BG508))*100</f>
        <v>1.6020245025715845</v>
      </c>
      <c r="BJ548" s="81">
        <f t="shared" si="2164"/>
        <v>19.270540708493144</v>
      </c>
      <c r="BK548" s="330">
        <f>(BK416*4)/(AVERAGE(BK508,BI508))*100</f>
        <v>1.7253124085094522</v>
      </c>
      <c r="BL548" s="81">
        <f t="shared" si="2165"/>
        <v>23.277373929396528</v>
      </c>
      <c r="BM548" s="330">
        <f>(BM416*4)/(AVERAGE(BM508,BK508))*100</f>
        <v>1.6973790010975431</v>
      </c>
      <c r="BN548" s="81">
        <f t="shared" si="2166"/>
        <v>1.8657278520016973</v>
      </c>
      <c r="BO548" s="330">
        <f>(BO416*4)/(AVERAGE(BO508,BM508))*100</f>
        <v>1.6601096037023473</v>
      </c>
      <c r="BP548" s="81">
        <f t="shared" si="2167"/>
        <v>1.4073004590990257</v>
      </c>
      <c r="BQ548" s="330">
        <f>(BQ416*4)/(AVERAGE(BQ508,BO508))*100</f>
        <v>1.6431642637608541</v>
      </c>
      <c r="BR548" s="81">
        <f t="shared" si="2168"/>
        <v>2.5679857657127991</v>
      </c>
      <c r="BS548" s="330">
        <f>(BS416*4)/(AVERAGE(BS508,BQ508))*100</f>
        <v>1.6943563330297426</v>
      </c>
      <c r="BT548" s="81">
        <f t="shared" si="2169"/>
        <v>-1.7942301537408722</v>
      </c>
      <c r="BU548" s="330">
        <f>(BU416*4)/(AVERAGE(BU508,BS508))*100</f>
        <v>1.5993650913625959</v>
      </c>
      <c r="BV548" s="81">
        <f t="shared" si="2170"/>
        <v>-5.7744269059279318</v>
      </c>
      <c r="BW548" s="330">
        <f>(BW416*4)/(AVERAGE(BW508,BU508))*100</f>
        <v>1.611868610187887</v>
      </c>
      <c r="BX548" s="81">
        <f t="shared" si="2171"/>
        <v>-2.905892081274275</v>
      </c>
      <c r="BY548" s="330">
        <f>(BY416*4)/(AVERAGE(BY508,BW508))*100</f>
        <v>1.6672445491275205</v>
      </c>
      <c r="BZ548" s="81">
        <f t="shared" si="2172"/>
        <v>1.4654825386447801</v>
      </c>
      <c r="CA548" s="330">
        <f>(CA416*4)/(AVERAGE(CA508,BY508))*100</f>
        <v>1.676451978663994</v>
      </c>
      <c r="CB548" s="81">
        <f t="shared" si="2173"/>
        <v>-1.0567053704537588</v>
      </c>
      <c r="CC548" s="330">
        <f>(CC416*4)/(AVERAGE(CC508,CA508))*100</f>
        <v>1.5545376068614083</v>
      </c>
      <c r="CD548" s="81">
        <f t="shared" si="2174"/>
        <v>-2.8028299944321211</v>
      </c>
      <c r="CE548" s="330">
        <f>(CE416*4)/(AVERAGE(CE508,CC508))*100</f>
        <v>1.479285302433019</v>
      </c>
      <c r="CF548" s="81">
        <f t="shared" si="2175"/>
        <v>-8.2254413862810729</v>
      </c>
      <c r="CG548" s="330">
        <f>(CG416*4)/(AVERAGE(CG508,CE508))*100</f>
        <v>1.551674991014661</v>
      </c>
      <c r="CH548" s="81">
        <f t="shared" si="2176"/>
        <v>-6.9317700377750651</v>
      </c>
      <c r="CI548" s="330">
        <f>(CI416*4)/(AVERAGE(CI508,CG508))*100</f>
        <v>1.6450491458432333</v>
      </c>
      <c r="CJ548" s="81">
        <f t="shared" si="2177"/>
        <v>-1.873172224460995</v>
      </c>
      <c r="CK548" s="330">
        <f>(CK416*4)/(AVERAGE(CK508,CI508))*100</f>
        <v>1.5290443900913675</v>
      </c>
      <c r="CL548" s="81">
        <f t="shared" si="2178"/>
        <v>-1.6399228077544681</v>
      </c>
      <c r="CM548" s="330">
        <f>(CM416*4)/(AVERAGE(CM508,CK508))*100</f>
        <v>-2.4944164007709229</v>
      </c>
      <c r="CN548" s="81" t="str">
        <f t="shared" si="2179"/>
        <v>NM</v>
      </c>
      <c r="CO548" s="330">
        <f>(CO416*4)/(AVERAGE(CO508,CM508))*100</f>
        <v>1.4428583755323161</v>
      </c>
      <c r="CP548" s="81">
        <f t="shared" si="2180"/>
        <v>-7.0128484452268047</v>
      </c>
      <c r="CQ548" s="330">
        <f>(CQ416*4)/(AVERAGE(CQ508,CO508))*100</f>
        <v>1.5121490403088724</v>
      </c>
      <c r="CR548" s="81">
        <f t="shared" si="2181"/>
        <v>-8.078792409951852</v>
      </c>
      <c r="CS548" s="330">
        <f>(CS416*4)/(AVERAGE(CS508,CQ508))*100</f>
        <v>1.4760208389102814</v>
      </c>
      <c r="CT548" s="81">
        <f t="shared" si="2182"/>
        <v>-3.4677574781146636</v>
      </c>
      <c r="CU548" s="330">
        <f>(CU416*4)/(AVERAGE(CU508,CS508))*100</f>
        <v>1.464159808162528</v>
      </c>
      <c r="CV548" s="81" t="str">
        <f t="shared" si="2183"/>
        <v>NM</v>
      </c>
      <c r="CW548" s="330">
        <f>(CW416*4)/(AVERAGE(CW508,CU508))*100</f>
        <v>1.3864151521422794</v>
      </c>
      <c r="CX548" s="81">
        <f t="shared" si="2184"/>
        <v>-3.9119032295330425</v>
      </c>
      <c r="CY548" s="330">
        <f>(CY416*4)/(AVERAGE(CY508,CW508))*100</f>
        <v>1.4360400148991639</v>
      </c>
      <c r="CZ548" s="81">
        <f t="shared" si="2185"/>
        <v>-5.0331695739569753</v>
      </c>
      <c r="DA548" s="330">
        <f>(DA416*4)/(AVERAGE(DA508,CY508))*100</f>
        <v>1.4982374919396209</v>
      </c>
      <c r="DB548" s="81">
        <f t="shared" si="2186"/>
        <v>1.5051720438948202</v>
      </c>
      <c r="DC548" s="330">
        <f>(DC416*4)/(AVERAGE(DC508,DA508))*100</f>
        <v>1.4492545350491519</v>
      </c>
      <c r="DD548" s="81">
        <f t="shared" si="2187"/>
        <v>-1.0180086238046449</v>
      </c>
      <c r="DE548" s="330">
        <f>(DE416*4)/(AVERAGE(DE508,DC508))*100</f>
        <v>1.4871689090837712</v>
      </c>
      <c r="DF548" s="81">
        <f t="shared" si="2188"/>
        <v>7.2672140654123529</v>
      </c>
      <c r="DG548" s="330">
        <f>(DG416*4)/(AVERAGE(DG508,DE508))*100</f>
        <v>1.4486373611627068</v>
      </c>
      <c r="DH548" s="81">
        <f t="shared" si="2189"/>
        <v>0.8772280808921229</v>
      </c>
      <c r="DI548" s="330">
        <f>(DI416*4)/(AVERAGE(DI508,DG508))*100</f>
        <v>1.4250615049651136</v>
      </c>
      <c r="DJ548" s="81">
        <f t="shared" si="2190"/>
        <v>-4.884138020052708</v>
      </c>
      <c r="DK548" s="330">
        <f>(DK416*4)/(AVERAGE(DK508,DI508))*100</f>
        <v>-1.4816994594804354</v>
      </c>
      <c r="DL548" s="81" t="str">
        <f t="shared" si="2191"/>
        <v>NM</v>
      </c>
      <c r="DM548" s="330">
        <f>(DM416*4)/(AVERAGE(DM508,DK508))*100</f>
        <v>1.426127598112253</v>
      </c>
      <c r="DN548" s="81">
        <f t="shared" si="2192"/>
        <v>-4.1045311395815247</v>
      </c>
      <c r="DO548" s="330">
        <f>(DO416*4)/(AVERAGE(DO508,DM508))*100</f>
        <v>1.41800548786122</v>
      </c>
      <c r="DP548" s="81">
        <f t="shared" si="2192"/>
        <v>-2.1145301179379294</v>
      </c>
      <c r="DQ548" s="330">
        <f>(DQ416*4)/(AVERAGE(DQ508,DO508))*100</f>
        <v>1.4358984350265713</v>
      </c>
      <c r="DR548" s="81">
        <f t="shared" si="2193"/>
        <v>0.76045349788063099</v>
      </c>
      <c r="DS548" s="330">
        <f>(DS416*4)/(AVERAGE(DS508,DQ508))*100</f>
        <v>1.4983360015206204</v>
      </c>
      <c r="DT548" s="81" t="str">
        <f t="shared" si="2194"/>
        <v>NM</v>
      </c>
      <c r="DU548" s="330">
        <f>(DU416*4)/(AVERAGE(DU508,DS508))*100</f>
        <v>1.466068556033636</v>
      </c>
      <c r="DV548" s="81">
        <f t="shared" si="2195"/>
        <v>2.8006580879756049</v>
      </c>
      <c r="DW548" s="330">
        <f>(DW416*4)/(AVERAGE(DW508,DU508))*100</f>
        <v>1.4878612393788333</v>
      </c>
      <c r="DX548" s="81">
        <f t="shared" si="2196"/>
        <v>4.9263385872347243</v>
      </c>
      <c r="DY548" s="330">
        <f>(DY416*4)/(AVERAGE(DY508,DW508))*100</f>
        <v>1.4409964108982061</v>
      </c>
      <c r="DZ548" s="81">
        <f t="shared" si="2197"/>
        <v>0.3550373583031563</v>
      </c>
      <c r="EA548" s="330">
        <f>(EA416*4)/(AVERAGE(EA508,DY508))*100</f>
        <v>1.4648428936864919</v>
      </c>
      <c r="EB548" s="81">
        <f t="shared" si="2198"/>
        <v>-2.2353536056089696</v>
      </c>
      <c r="EC548" s="330">
        <f>(EC416*4)/(AVERAGE(EC508,EA508))*100</f>
        <v>1.5169037431093622</v>
      </c>
      <c r="ED548" s="81">
        <f t="shared" si="2199"/>
        <v>3.4674495177263731</v>
      </c>
      <c r="EE548" s="330">
        <f>(EE416*4)/(AVERAGE(EE508,EC508))*100</f>
        <v>1.5287636823236705</v>
      </c>
      <c r="EF548" s="81">
        <f t="shared" si="2200"/>
        <v>2.749076450295429</v>
      </c>
      <c r="EG548" s="330">
        <f>(EG416*4)/(AVERAGE(EG508,EE508))*100</f>
        <v>1.5469670702381333</v>
      </c>
      <c r="EH548" s="81">
        <f t="shared" si="2201"/>
        <v>7.3539849605783081</v>
      </c>
      <c r="EI548" s="330">
        <f>(EI416*4)/(AVERAGE(EI508,EG508))*100</f>
        <v>1.5903799571989607</v>
      </c>
      <c r="EJ548" s="81">
        <f t="shared" si="2202"/>
        <v>8.5700018789411914</v>
      </c>
      <c r="EK548" s="330">
        <f t="shared" ref="EK548" si="2229">(EK416*4)/(AVERAGE(EK508,EI508))*100</f>
        <v>1.7568451185437013</v>
      </c>
      <c r="EL548" s="81">
        <f t="shared" si="2204"/>
        <v>15.8178379164986</v>
      </c>
      <c r="EM548" s="330">
        <f t="shared" ref="EM548" si="2230">(EM416*4)/(AVERAGE(EM508,EK508))*100</f>
        <v>1.7469905858253032</v>
      </c>
      <c r="EN548" s="81">
        <f t="shared" si="2205"/>
        <v>14.274731014667674</v>
      </c>
      <c r="EO548" s="330">
        <f t="shared" ref="EO548" si="2231">(EO416*4)/(AVERAGE(EO508,EM508))*100</f>
        <v>1.7326418198597344</v>
      </c>
      <c r="EP548" s="81">
        <f t="shared" si="2206"/>
        <v>12.002501746402338</v>
      </c>
      <c r="EQ548" s="330">
        <f t="shared" ref="EQ548" si="2232">(EQ416*4)/(AVERAGE(EQ508,EO508))*100</f>
        <v>1.7227347864934934</v>
      </c>
      <c r="ER548" s="81">
        <f t="shared" si="2207"/>
        <v>8.3222143674170255</v>
      </c>
      <c r="ES548" s="386"/>
      <c r="ET548" s="469"/>
      <c r="EU548" s="386"/>
      <c r="EV548" s="329">
        <v>1.8463760980188981</v>
      </c>
      <c r="EW548" s="79"/>
      <c r="EX548" s="330">
        <f>(EX416)/(AVERAGE(EX508,EV508))*100</f>
        <v>0</v>
      </c>
      <c r="EY548" s="79" t="str">
        <f t="shared" si="2224"/>
        <v>NM</v>
      </c>
      <c r="EZ548" s="330"/>
      <c r="FA548" s="79" t="str">
        <f t="shared" si="2225"/>
        <v>NA</v>
      </c>
      <c r="FB548" s="330">
        <f>(FB416)/(AVERAGE(FB508,EZ508))*100</f>
        <v>-0.56162680712447555</v>
      </c>
      <c r="FC548" s="79" t="str">
        <f t="shared" si="2208"/>
        <v>NA</v>
      </c>
      <c r="FD548" s="330">
        <f>(FD416)/(AVERAGE(FD508,FB508))*100</f>
        <v>1.7348705293012654</v>
      </c>
      <c r="FE548" s="79" t="str">
        <f t="shared" si="2209"/>
        <v>NM</v>
      </c>
      <c r="FF548" s="330">
        <f>(FF416)/(AVERAGE(FF508,FD508))*100</f>
        <v>9.0724202723447347E-2</v>
      </c>
      <c r="FG548" s="79" t="str">
        <f t="shared" si="2210"/>
        <v>NM</v>
      </c>
      <c r="FH548" s="330">
        <f>(FH416)/(AVERAGE(FH508,FF508))*100</f>
        <v>-0.117060255387479</v>
      </c>
      <c r="FI548" s="79" t="str">
        <f t="shared" si="2211"/>
        <v>NM</v>
      </c>
      <c r="FJ548" s="330">
        <f>(FJ416)/(AVERAGE(FJ508,FH508))*100</f>
        <v>1.103398647736985</v>
      </c>
      <c r="FK548" s="79" t="str">
        <f t="shared" si="2212"/>
        <v>NM</v>
      </c>
      <c r="FL548" s="330">
        <f>(FL416)/(AVERAGE(FL508,FJ508))*100</f>
        <v>1.1868044907485686</v>
      </c>
      <c r="FM548" s="79">
        <f t="shared" si="2213"/>
        <v>7.5589944923935448</v>
      </c>
      <c r="FN548" s="330">
        <f>(FN416)/(AVERAGE(FN508,FL508))*100</f>
        <v>1.5091231785079053</v>
      </c>
      <c r="FO548" s="79">
        <f t="shared" si="2214"/>
        <v>27.158532873096597</v>
      </c>
      <c r="FP548" s="330">
        <f>(FP416)/(AVERAGE(FP508,FN508))*100</f>
        <v>1.6753171631582648</v>
      </c>
      <c r="FQ548" s="79">
        <f t="shared" si="2215"/>
        <v>11.012618917872441</v>
      </c>
      <c r="FR548" s="330">
        <f>(FR416)/(AVERAGE(FR508,FT508))*100</f>
        <v>1.5591413519222201</v>
      </c>
      <c r="FS548" s="79">
        <f t="shared" si="2216"/>
        <v>-6.9345562613966845</v>
      </c>
      <c r="FT548" s="330">
        <f>(FT416)/(AVERAGE(FT508,FR508))*100</f>
        <v>1.6210198093440085</v>
      </c>
      <c r="FU548" s="79">
        <f t="shared" si="2217"/>
        <v>3.9687522459397329</v>
      </c>
      <c r="FV548" s="330">
        <f>(FV416)/(AVERAGE(FV508,FT508))*100</f>
        <v>0.53491837943139098</v>
      </c>
      <c r="FW548" s="79" t="str">
        <f t="shared" si="2218"/>
        <v>NM</v>
      </c>
      <c r="FX548" s="330">
        <f>(FX416)/(AVERAGE(FX508,FV508))*100</f>
        <v>1.4601309842876851</v>
      </c>
      <c r="FY548" s="79" t="str">
        <f t="shared" si="2219"/>
        <v>NM</v>
      </c>
      <c r="FZ548" s="330">
        <f>(FZ416)/(AVERAGE(FZ508,FX508))*100</f>
        <v>1.432154477201492</v>
      </c>
      <c r="GA548" s="79">
        <f t="shared" si="2220"/>
        <v>-1.9160272186019789</v>
      </c>
      <c r="GB548" s="330">
        <f>(GB416)/(AVERAGE(GB508,FZ508))*100</f>
        <v>0.7148099427608402</v>
      </c>
      <c r="GC548" s="79" t="str">
        <f t="shared" si="2220"/>
        <v>NM</v>
      </c>
      <c r="GD548" s="330">
        <f>(GD416)/(AVERAGE(GD508,GB508))*100</f>
        <v>1.4540434682811123</v>
      </c>
      <c r="GE548" s="79" t="str">
        <f t="shared" si="2220"/>
        <v>NM</v>
      </c>
      <c r="GF548" s="330">
        <f>(GF416)/(AVERAGE(GF508,GD508))*100</f>
        <v>1.4940509651526828</v>
      </c>
      <c r="GG548" s="79">
        <f t="shared" si="2220"/>
        <v>2.7514649832900195</v>
      </c>
      <c r="GH548" s="330">
        <f>(GH416)/(AVERAGE(GH508,GF508))*100</f>
        <v>1.5500710608120072</v>
      </c>
      <c r="GI548" s="79">
        <f t="shared" si="2220"/>
        <v>3.7495438218601462</v>
      </c>
      <c r="GJ548" s="330">
        <f>(GJ416)/(AVERAGE(GJ508,GH508))*100</f>
        <v>1.7393009080127302</v>
      </c>
      <c r="GK548" s="79">
        <f t="shared" si="2220"/>
        <v>12.207817562995761</v>
      </c>
      <c r="GL548" s="330">
        <f>(GL416)/(AVERAGE(GL508,GJ508))*100</f>
        <v>1.6961493888999799</v>
      </c>
      <c r="GM548" s="79">
        <f t="shared" si="2220"/>
        <v>-2.4809691591579641</v>
      </c>
      <c r="GN548" s="330">
        <f>(GN416)/(AVERAGE(GN508,GL508))*100</f>
        <v>1.66058077130777</v>
      </c>
      <c r="GO548" s="79">
        <f t="shared" si="2220"/>
        <v>-2.0970215138465753</v>
      </c>
      <c r="GP548" s="330">
        <f>(GP416)/(AVERAGE(GP508,GN508))*100</f>
        <v>1.6301113958802345</v>
      </c>
      <c r="GQ548" s="79">
        <f t="shared" si="2220"/>
        <v>-1.834862594701725</v>
      </c>
      <c r="GR548" s="330">
        <f>(GR416)/(AVERAGE(GR508,GP508))*100</f>
        <v>1.5927703471956951</v>
      </c>
      <c r="GS548" s="79">
        <f t="shared" si="2221"/>
        <v>-2.2907053333232952</v>
      </c>
      <c r="GT548" s="79">
        <f t="shared" si="2222"/>
        <v>0.54496116553135465</v>
      </c>
    </row>
    <row r="549" spans="1:202" ht="12.75" customHeight="1" x14ac:dyDescent="0.2">
      <c r="A549" s="1" t="s">
        <v>37</v>
      </c>
      <c r="B549" s="2" t="s">
        <v>161</v>
      </c>
      <c r="C549" s="79"/>
      <c r="D549" s="79"/>
      <c r="E549" s="329">
        <v>22.83</v>
      </c>
      <c r="F549" s="329"/>
      <c r="G549" s="329">
        <v>23.33</v>
      </c>
      <c r="H549" s="329"/>
      <c r="I549" s="329">
        <v>23.71</v>
      </c>
      <c r="J549" s="329"/>
      <c r="K549" s="329">
        <v>23.95</v>
      </c>
      <c r="L549" s="79"/>
      <c r="M549" s="329">
        <v>24.04</v>
      </c>
      <c r="N549" s="79">
        <f t="shared" si="2148"/>
        <v>5.3000438020148977</v>
      </c>
      <c r="O549" s="329">
        <v>24.23</v>
      </c>
      <c r="P549" s="79">
        <f t="shared" si="2149"/>
        <v>3.8576939562794843</v>
      </c>
      <c r="Q549" s="329">
        <v>24.69</v>
      </c>
      <c r="R549" s="79">
        <f t="shared" si="2150"/>
        <v>4.1332770982707823</v>
      </c>
      <c r="S549" s="329">
        <v>24.37</v>
      </c>
      <c r="T549" s="79">
        <f t="shared" si="2151"/>
        <v>1.7536534446764174</v>
      </c>
      <c r="U549" s="329">
        <v>23.15</v>
      </c>
      <c r="V549" s="79">
        <f t="shared" si="2152"/>
        <v>-3.7021630615640677</v>
      </c>
      <c r="W549" s="329">
        <v>21.06</v>
      </c>
      <c r="X549" s="79">
        <f t="shared" si="2153"/>
        <v>-13.082955014444908</v>
      </c>
      <c r="Y549" s="329">
        <v>21.36</v>
      </c>
      <c r="Z549" s="79">
        <f t="shared" si="2154"/>
        <v>-13.487241798298911</v>
      </c>
      <c r="AA549" s="17">
        <v>20.37</v>
      </c>
      <c r="AB549" s="79">
        <f t="shared" si="2155"/>
        <v>-16.413623307345095</v>
      </c>
      <c r="AC549" s="330">
        <f>AC531/AC482</f>
        <v>18.626270308985653</v>
      </c>
      <c r="AD549" s="79">
        <f t="shared" si="2156"/>
        <v>-19.54094898926283</v>
      </c>
      <c r="AE549" s="330">
        <f>AE531/AE482</f>
        <v>18.487509200739208</v>
      </c>
      <c r="AF549" s="79">
        <f t="shared" si="2157"/>
        <v>-12.215056026879346</v>
      </c>
      <c r="AG549" s="330">
        <f>AG531/AG482</f>
        <v>18.981657851230931</v>
      </c>
      <c r="AH549" s="79">
        <f t="shared" si="2158"/>
        <v>-11.134560621578037</v>
      </c>
      <c r="AI549" s="330">
        <f>AI531/AI482</f>
        <v>19.366309728908657</v>
      </c>
      <c r="AJ549" s="79">
        <f t="shared" si="2159"/>
        <v>-4.9272963725642827</v>
      </c>
      <c r="AK549" s="330">
        <f>AK531/AK482</f>
        <v>19.741693915913892</v>
      </c>
      <c r="AL549" s="79">
        <f t="shared" si="2160"/>
        <v>5.9884431419968021</v>
      </c>
      <c r="AM549" s="330">
        <f>AM531/AM482</f>
        <v>20.262256548018804</v>
      </c>
      <c r="AN549" s="79">
        <f t="shared" si="2161"/>
        <v>9.5997104207452324</v>
      </c>
      <c r="AO549" s="330">
        <f>AO531/AO482</f>
        <v>20.37016085742945</v>
      </c>
      <c r="AP549" s="79">
        <f t="shared" si="2161"/>
        <v>7.3149722594355815</v>
      </c>
      <c r="AQ549" s="330">
        <f>AQ531/AQ482</f>
        <v>20.767840423670908</v>
      </c>
      <c r="AR549" s="79">
        <f t="shared" si="2161"/>
        <v>7.2369528029913921</v>
      </c>
      <c r="AS549" s="330">
        <f>AS531/AS482</f>
        <v>20.901239386184351</v>
      </c>
      <c r="AT549" s="81">
        <f t="shared" si="2161"/>
        <v>5.8735865078717531</v>
      </c>
      <c r="AU549" s="330">
        <f>AU531/AU482</f>
        <v>20.247674321682329</v>
      </c>
      <c r="AV549" s="81">
        <f t="shared" si="2161"/>
        <v>-7.196743512707382E-2</v>
      </c>
      <c r="AW549" s="330">
        <f>AW531/AW482</f>
        <v>20.000191392743684</v>
      </c>
      <c r="AX549" s="81">
        <f t="shared" si="2161"/>
        <v>-1.8162324160087895</v>
      </c>
      <c r="AY549" s="330">
        <f>AY531/AY482</f>
        <v>20.739723356898701</v>
      </c>
      <c r="AZ549" s="81">
        <f t="shared" si="2161"/>
        <v>-0.13538753283254268</v>
      </c>
      <c r="BA549" s="330">
        <f>BA531/BA482</f>
        <v>19.932441656863176</v>
      </c>
      <c r="BB549" s="81">
        <f t="shared" si="2161"/>
        <v>-4.6351209678099137</v>
      </c>
      <c r="BC549" s="330">
        <f>BC531/BC482</f>
        <v>20.144005903106432</v>
      </c>
      <c r="BD549" s="81">
        <f t="shared" si="2161"/>
        <v>-0.51200161030288127</v>
      </c>
      <c r="BE549" s="330">
        <f>BE531/BE482</f>
        <v>20.599386435293223</v>
      </c>
      <c r="BF549" s="81">
        <f t="shared" si="2162"/>
        <v>2.9959465426262488</v>
      </c>
      <c r="BG549" s="330">
        <f>BG531/BG482</f>
        <v>20.993452430803853</v>
      </c>
      <c r="BH549" s="81">
        <f t="shared" si="2163"/>
        <v>1.2233966169117316</v>
      </c>
      <c r="BI549" s="330">
        <f>BI531/BI482</f>
        <v>21.278790048153013</v>
      </c>
      <c r="BJ549" s="81">
        <f t="shared" si="2164"/>
        <v>6.7545582948000726</v>
      </c>
      <c r="BK549" s="330">
        <f>BK531/BK482</f>
        <v>21.974856911370395</v>
      </c>
      <c r="BL549" s="81">
        <f t="shared" si="2165"/>
        <v>9.0888129057866465</v>
      </c>
      <c r="BM549" s="330">
        <f>BM531/BM482</f>
        <v>22.012559544101169</v>
      </c>
      <c r="BN549" s="81">
        <f t="shared" si="2166"/>
        <v>6.8602679659756083</v>
      </c>
      <c r="BO549" s="330">
        <f>BO531/BO482</f>
        <v>22.215789851269935</v>
      </c>
      <c r="BP549" s="81">
        <f t="shared" si="2167"/>
        <v>5.8224697652518476</v>
      </c>
      <c r="BQ549" s="330">
        <f>BQ531/BQ482</f>
        <v>22.652262972272364</v>
      </c>
      <c r="BR549" s="81">
        <f t="shared" si="2168"/>
        <v>6.4546570599702369</v>
      </c>
      <c r="BS549" s="330">
        <f>BS531/BS482</f>
        <v>23.451979439510819</v>
      </c>
      <c r="BT549" s="81">
        <f t="shared" si="2169"/>
        <v>6.7218755239135231</v>
      </c>
      <c r="BU549" s="330">
        <f>BU531/BU482</f>
        <v>24.057100503977878</v>
      </c>
      <c r="BV549" s="81">
        <f t="shared" si="2170"/>
        <v>9.2880655508531973</v>
      </c>
      <c r="BW549" s="330">
        <f>BW531/BW482</f>
        <v>24.58973061712171</v>
      </c>
      <c r="BX549" s="81">
        <f t="shared" si="2171"/>
        <v>10.685826530340847</v>
      </c>
      <c r="BY549" s="330">
        <f>BY531/BY482</f>
        <v>25.174032368228897</v>
      </c>
      <c r="BZ549" s="81">
        <f t="shared" si="2172"/>
        <v>11.132527461134089</v>
      </c>
      <c r="CA549" s="330">
        <f>CA531/CA482</f>
        <v>25.780242770606343</v>
      </c>
      <c r="CB549" s="81">
        <f t="shared" si="2173"/>
        <v>9.9277902622282319</v>
      </c>
      <c r="CC549" s="330">
        <f>CC531/CC482</f>
        <v>26.527895780232232</v>
      </c>
      <c r="CD549" s="81">
        <f t="shared" si="2174"/>
        <v>10.270544764302759</v>
      </c>
      <c r="CE549" s="330">
        <f>CE531/CE482</f>
        <v>25.692299681528571</v>
      </c>
      <c r="CF549" s="81">
        <f t="shared" si="2175"/>
        <v>4.4838598745736036</v>
      </c>
      <c r="CG549" s="330">
        <f>CG531/CG482</f>
        <v>26.26791871760409</v>
      </c>
      <c r="CH549" s="81">
        <f t="shared" si="2176"/>
        <v>4.3452965078242256</v>
      </c>
      <c r="CI549" s="330">
        <f>CI531/CI482</f>
        <v>26.941834412805292</v>
      </c>
      <c r="CJ549" s="81">
        <f t="shared" si="2177"/>
        <v>4.5057436135681028</v>
      </c>
      <c r="CK549" s="329">
        <v>27.7</v>
      </c>
      <c r="CL549" s="81">
        <f t="shared" si="2178"/>
        <v>4.418383687413252</v>
      </c>
      <c r="CM549" s="330">
        <f>CM531/CM482</f>
        <v>26.332353582613401</v>
      </c>
      <c r="CN549" s="81">
        <f t="shared" si="2179"/>
        <v>2.49122853547048</v>
      </c>
      <c r="CO549" s="330">
        <f>CO531/CO482</f>
        <v>27.026469015947281</v>
      </c>
      <c r="CP549" s="81">
        <f t="shared" si="2180"/>
        <v>2.8877441966303596</v>
      </c>
      <c r="CQ549" s="330">
        <f>CQ531/CQ482</f>
        <v>27.800352078993306</v>
      </c>
      <c r="CR549" s="81">
        <f t="shared" si="2181"/>
        <v>3.1865598052223332</v>
      </c>
      <c r="CS549" s="330">
        <f>CS531/CS482</f>
        <v>28.656567154025943</v>
      </c>
      <c r="CT549" s="81">
        <f t="shared" si="2182"/>
        <v>3.4533110253644139</v>
      </c>
      <c r="CU549" s="330">
        <f>CU531/CU482</f>
        <v>29.550136130807413</v>
      </c>
      <c r="CV549" s="81">
        <f t="shared" si="2183"/>
        <v>12.219882047758301</v>
      </c>
      <c r="CW549" s="330">
        <f>CW531/CW482</f>
        <v>30.23623096295681</v>
      </c>
      <c r="CX549" s="81">
        <f t="shared" si="2184"/>
        <v>11.87636440822355</v>
      </c>
      <c r="CY549" s="330">
        <f>CY531/CY482</f>
        <v>30.974908760721714</v>
      </c>
      <c r="CZ549" s="81">
        <f t="shared" si="2185"/>
        <v>11.419124019393934</v>
      </c>
      <c r="DA549" s="330">
        <f>DA531/DA482</f>
        <v>31.631735661669254</v>
      </c>
      <c r="DB549" s="81">
        <f t="shared" si="2186"/>
        <v>10.382152515519749</v>
      </c>
      <c r="DC549" s="330">
        <f>DC531/DC482</f>
        <v>32.249615384615382</v>
      </c>
      <c r="DD549" s="81">
        <f t="shared" si="2187"/>
        <v>9.1352514988708666</v>
      </c>
      <c r="DE549" s="330">
        <f>DE531/DE482</f>
        <v>32.919254658385093</v>
      </c>
      <c r="DF549" s="81">
        <f t="shared" si="2188"/>
        <v>8.8735388306675045</v>
      </c>
      <c r="DG549" s="330">
        <f>DG531/DG482</f>
        <v>33.798273155416013</v>
      </c>
      <c r="DH549" s="81">
        <f t="shared" si="2189"/>
        <v>9.1150047172197546</v>
      </c>
      <c r="DI549" s="330">
        <f>DI531/DI482</f>
        <v>34.515283842794759</v>
      </c>
      <c r="DJ549" s="81">
        <f t="shared" si="2190"/>
        <v>9.1159973387730844</v>
      </c>
      <c r="DK549" s="330">
        <f>DK531/DK482</f>
        <v>33.117320650019813</v>
      </c>
      <c r="DL549" s="81">
        <f t="shared" si="2191"/>
        <v>2.6905910506404673</v>
      </c>
      <c r="DM549" s="330">
        <f>DM531/DM482</f>
        <v>33.77755511022044</v>
      </c>
      <c r="DN549" s="81">
        <f t="shared" si="2192"/>
        <v>2.6072900518017139</v>
      </c>
      <c r="DO549" s="330">
        <f>DO531/DO482</f>
        <v>34.51459854014599</v>
      </c>
      <c r="DP549" s="81">
        <f t="shared" si="2192"/>
        <v>2.1194141530132882</v>
      </c>
      <c r="DQ549" s="330">
        <f>DQ531/DQ482</f>
        <v>35.164749383730488</v>
      </c>
      <c r="DR549" s="81">
        <f t="shared" si="2193"/>
        <v>1.881675213490408</v>
      </c>
      <c r="DS549" s="330">
        <f>DS531/DS482</f>
        <v>35.897882938978825</v>
      </c>
      <c r="DT549" s="81">
        <f t="shared" si="2194"/>
        <v>8.3960967686476984</v>
      </c>
      <c r="DU549" s="330">
        <f>DU531/DU482</f>
        <v>36.677042146883139</v>
      </c>
      <c r="DV549" s="81">
        <f t="shared" si="2195"/>
        <v>8.5840642616119123</v>
      </c>
      <c r="DW549" s="330">
        <f>DW531/DW482</f>
        <v>37.51521082415011</v>
      </c>
      <c r="DX549" s="81">
        <f t="shared" si="2196"/>
        <v>8.693748184594785</v>
      </c>
      <c r="DY549" s="330">
        <f>DY531/DY482</f>
        <v>38.390779836277467</v>
      </c>
      <c r="DZ549" s="81">
        <f t="shared" si="2197"/>
        <v>9.1740464786009603</v>
      </c>
      <c r="EA549" s="330">
        <f>EA531/EA482</f>
        <v>39.247171453437772</v>
      </c>
      <c r="EB549" s="81">
        <f t="shared" si="2198"/>
        <v>9.3300446718606054</v>
      </c>
      <c r="EC549" s="330">
        <f>EC531/EC482</f>
        <v>39.909162647961416</v>
      </c>
      <c r="ED549" s="81">
        <f t="shared" si="2199"/>
        <v>8.8123804753239767</v>
      </c>
      <c r="EE549" s="330">
        <f>EE531/EE482</f>
        <v>40.741707209199475</v>
      </c>
      <c r="EF549" s="81">
        <f t="shared" si="2200"/>
        <v>8.6005018075823614</v>
      </c>
      <c r="EG549" s="330">
        <f>EG531/EG482</f>
        <v>41.552139037433157</v>
      </c>
      <c r="EH549" s="81">
        <f t="shared" si="2201"/>
        <v>8.234683469931392</v>
      </c>
      <c r="EI549" s="330">
        <f>EI531/EI482</f>
        <v>42.46022471910112</v>
      </c>
      <c r="EJ549" s="81">
        <f t="shared" si="2202"/>
        <v>8.1867129443334861</v>
      </c>
      <c r="EK549" s="330">
        <f t="shared" ref="EK549:EQ549" si="2233">EK531/EK482</f>
        <v>43.332208205548568</v>
      </c>
      <c r="EL549" s="81">
        <f t="shared" si="2204"/>
        <v>8.5770919018818503</v>
      </c>
      <c r="EM549" s="330">
        <f t="shared" si="2233"/>
        <v>44.285305449135777</v>
      </c>
      <c r="EN549" s="81">
        <f t="shared" si="2205"/>
        <v>8.6977166217918178</v>
      </c>
      <c r="EO549" s="330">
        <f t="shared" si="2233"/>
        <v>45.221837405704271</v>
      </c>
      <c r="EP549" s="81">
        <f t="shared" si="2206"/>
        <v>8.8315510423306662</v>
      </c>
      <c r="EQ549" s="330">
        <f t="shared" si="2233"/>
        <v>46.184151639322444</v>
      </c>
      <c r="ER549" s="81">
        <f t="shared" si="2207"/>
        <v>8.7703890991092095</v>
      </c>
      <c r="ES549" s="387"/>
      <c r="ET549" s="484"/>
      <c r="EU549" s="387"/>
      <c r="EV549" s="387">
        <v>21.8</v>
      </c>
      <c r="EW549" s="286"/>
      <c r="EX549" s="387">
        <v>20.65</v>
      </c>
      <c r="EY549" s="286">
        <f t="shared" si="2224"/>
        <v>-5.2752293577981728</v>
      </c>
      <c r="EZ549" s="287"/>
      <c r="FA549" s="286" t="str">
        <f t="shared" si="2225"/>
        <v>NM</v>
      </c>
      <c r="FB549" s="287">
        <f>FB531/FB482</f>
        <v>24.324711410288668</v>
      </c>
      <c r="FC549" s="286" t="str">
        <f t="shared" si="2208"/>
        <v>NA</v>
      </c>
      <c r="FD549" s="287">
        <f>FD531/FD482</f>
        <v>25.042657627001311</v>
      </c>
      <c r="FE549" s="286">
        <f t="shared" si="2209"/>
        <v>2.9515096997573043</v>
      </c>
      <c r="FF549" s="287">
        <f>FF531/FF482</f>
        <v>20.597452270947286</v>
      </c>
      <c r="FG549" s="286">
        <f t="shared" si="2210"/>
        <v>-17.750533598563234</v>
      </c>
      <c r="FH549" s="287">
        <f>FH531/FH482</f>
        <v>19.366309728908657</v>
      </c>
      <c r="FI549" s="286">
        <f t="shared" si="2211"/>
        <v>-5.9771593391438778</v>
      </c>
      <c r="FJ549" s="287">
        <f>FJ531/FJ482</f>
        <v>20.767840423670908</v>
      </c>
      <c r="FK549" s="286">
        <f t="shared" si="2212"/>
        <v>7.2369528029913921</v>
      </c>
      <c r="FL549" s="330">
        <f>FL531/FL482</f>
        <v>20.739723356898701</v>
      </c>
      <c r="FM549" s="286">
        <f t="shared" si="2213"/>
        <v>-0.13538753283254268</v>
      </c>
      <c r="FN549" s="330">
        <f>FN531/FN482</f>
        <v>20.993452430803853</v>
      </c>
      <c r="FO549" s="286">
        <f t="shared" si="2214"/>
        <v>1.2233966169117316</v>
      </c>
      <c r="FP549" s="330">
        <f>FP531/FP482</f>
        <v>22.215789851269935</v>
      </c>
      <c r="FQ549" s="286">
        <f t="shared" si="2215"/>
        <v>5.8224697652518476</v>
      </c>
      <c r="FR549" s="330">
        <f>FR531/FR482</f>
        <v>24.58973061712171</v>
      </c>
      <c r="FS549" s="286">
        <f t="shared" si="2216"/>
        <v>10.685826530340847</v>
      </c>
      <c r="FT549" s="330">
        <f>FT531/FT482</f>
        <v>25.692299681528571</v>
      </c>
      <c r="FU549" s="286">
        <f t="shared" si="2217"/>
        <v>4.4838598745736036</v>
      </c>
      <c r="FV549" s="330">
        <f>FV531/FV482</f>
        <v>26.332353582613401</v>
      </c>
      <c r="FW549" s="286">
        <f t="shared" si="2218"/>
        <v>2.49122853547048</v>
      </c>
      <c r="FX549" s="330">
        <f>FX531/FX482</f>
        <v>29.550136130807413</v>
      </c>
      <c r="FY549" s="286">
        <f t="shared" si="2219"/>
        <v>12.219882047758301</v>
      </c>
      <c r="FZ549" s="330">
        <f>FZ531/FZ482</f>
        <v>32.249615384615382</v>
      </c>
      <c r="GA549" s="286">
        <f t="shared" si="2220"/>
        <v>9.1352514988708666</v>
      </c>
      <c r="GB549" s="330">
        <f>GB531/GB482</f>
        <v>33.117320650019813</v>
      </c>
      <c r="GC549" s="286">
        <f t="shared" si="2220"/>
        <v>2.6905910506404673</v>
      </c>
      <c r="GD549" s="330">
        <f>GD531/GD482</f>
        <v>35.897882938978825</v>
      </c>
      <c r="GE549" s="286">
        <f t="shared" si="2220"/>
        <v>8.3960967686476984</v>
      </c>
      <c r="GF549" s="330">
        <f>GF531/GF482</f>
        <v>39.247171453437772</v>
      </c>
      <c r="GG549" s="286">
        <f t="shared" si="2220"/>
        <v>9.3300446718606054</v>
      </c>
      <c r="GH549" s="330">
        <f>GH531/GH482</f>
        <v>42.46022471910112</v>
      </c>
      <c r="GI549" s="286">
        <f t="shared" si="2220"/>
        <v>8.1867129443334861</v>
      </c>
      <c r="GJ549" s="330">
        <f>GJ531/GJ482</f>
        <v>46.184151639322444</v>
      </c>
      <c r="GK549" s="286">
        <f t="shared" si="2220"/>
        <v>8.7703890991092095</v>
      </c>
      <c r="GL549" s="330">
        <f>GL531/GL482</f>
        <v>50.151201089424845</v>
      </c>
      <c r="GM549" s="286">
        <f t="shared" si="2220"/>
        <v>8.5896336931406303</v>
      </c>
      <c r="GN549" s="330">
        <f>GN531/GN482</f>
        <v>54.368308593489438</v>
      </c>
      <c r="GO549" s="286">
        <f t="shared" si="2220"/>
        <v>8.4087866540724541</v>
      </c>
      <c r="GP549" s="330">
        <f>GP531/GP482</f>
        <v>58.88412002552225</v>
      </c>
      <c r="GQ549" s="286">
        <f t="shared" si="2220"/>
        <v>8.3059626993317472</v>
      </c>
      <c r="GR549" s="330">
        <f>GR531/GR482</f>
        <v>63.675863669672324</v>
      </c>
      <c r="GS549" s="286">
        <f t="shared" si="2221"/>
        <v>8.1375821564000361</v>
      </c>
      <c r="GT549" s="79">
        <f t="shared" si="2222"/>
        <v>8.442247822444493</v>
      </c>
    </row>
    <row r="550" spans="1:202" ht="12.75" customHeight="1" x14ac:dyDescent="0.2">
      <c r="A550" s="1"/>
      <c r="B550" s="2" t="s">
        <v>243</v>
      </c>
      <c r="C550" s="79"/>
      <c r="D550" s="79"/>
      <c r="E550" s="329"/>
      <c r="F550" s="329"/>
      <c r="G550" s="329"/>
      <c r="H550" s="329"/>
      <c r="I550" s="329"/>
      <c r="J550" s="329"/>
      <c r="K550" s="329"/>
      <c r="L550" s="79"/>
      <c r="M550" s="329"/>
      <c r="N550" s="79"/>
      <c r="O550" s="329"/>
      <c r="P550" s="79"/>
      <c r="Q550" s="329"/>
      <c r="R550" s="79"/>
      <c r="S550" s="329"/>
      <c r="T550" s="79"/>
      <c r="U550" s="329"/>
      <c r="V550" s="79"/>
      <c r="W550" s="329"/>
      <c r="X550" s="79"/>
      <c r="Y550" s="329"/>
      <c r="Z550" s="79"/>
      <c r="AA550" s="17"/>
      <c r="AB550" s="79"/>
      <c r="AC550" s="329"/>
      <c r="AD550" s="79"/>
      <c r="AE550" s="329"/>
      <c r="AF550" s="79"/>
      <c r="AG550" s="329"/>
      <c r="AH550" s="79"/>
      <c r="AI550" s="329"/>
      <c r="AJ550" s="79"/>
      <c r="AK550" s="329"/>
      <c r="AL550" s="79"/>
      <c r="AM550" s="329"/>
      <c r="AN550" s="79"/>
      <c r="AO550" s="329"/>
      <c r="AP550" s="79"/>
      <c r="AQ550" s="329"/>
      <c r="AR550" s="79"/>
      <c r="AS550" s="329"/>
      <c r="AT550" s="81"/>
      <c r="AU550" s="329"/>
      <c r="AV550" s="81"/>
      <c r="AW550" s="329"/>
      <c r="AX550" s="81"/>
      <c r="AY550" s="329"/>
      <c r="AZ550" s="81"/>
      <c r="BA550" s="329"/>
      <c r="BB550" s="81"/>
      <c r="BC550" s="329"/>
      <c r="BD550" s="81"/>
      <c r="BE550" s="329"/>
      <c r="BF550" s="81"/>
      <c r="BG550" s="329"/>
      <c r="BH550" s="81"/>
      <c r="BI550" s="329"/>
      <c r="BJ550" s="81"/>
      <c r="BK550" s="329"/>
      <c r="BL550" s="81"/>
      <c r="BM550" s="329"/>
      <c r="BN550" s="81"/>
      <c r="BO550" s="329"/>
      <c r="BP550" s="81"/>
      <c r="BQ550" s="329"/>
      <c r="BR550" s="81"/>
      <c r="BS550" s="329"/>
      <c r="BT550" s="81"/>
      <c r="BU550" s="329"/>
      <c r="BV550" s="81"/>
      <c r="BW550" s="329"/>
      <c r="BX550" s="81"/>
      <c r="BY550" s="329"/>
      <c r="BZ550" s="81"/>
      <c r="CA550" s="329"/>
      <c r="CB550" s="81"/>
      <c r="CC550" s="329"/>
      <c r="CD550" s="81"/>
      <c r="CE550" s="329"/>
      <c r="CF550" s="81"/>
      <c r="CG550" s="329"/>
      <c r="CH550" s="81"/>
      <c r="CI550" s="329"/>
      <c r="CJ550" s="81"/>
      <c r="CK550" s="329"/>
      <c r="CL550" s="81"/>
      <c r="CM550" s="329"/>
      <c r="CN550" s="81"/>
      <c r="CO550" s="329"/>
      <c r="CP550" s="81"/>
      <c r="CQ550" s="329"/>
      <c r="CR550" s="81"/>
      <c r="CS550" s="329"/>
      <c r="CT550" s="81"/>
      <c r="CU550" s="329"/>
      <c r="CV550" s="81"/>
      <c r="CW550" s="329"/>
      <c r="CX550" s="81"/>
      <c r="CY550" s="329"/>
      <c r="CZ550" s="81"/>
      <c r="DA550" s="329"/>
      <c r="DB550" s="81"/>
      <c r="DC550" s="329"/>
      <c r="DD550" s="81"/>
      <c r="DE550" s="329"/>
      <c r="DF550" s="81"/>
      <c r="DG550" s="329"/>
      <c r="DH550" s="81"/>
      <c r="DI550" s="329"/>
      <c r="DJ550" s="81"/>
      <c r="DK550" s="329"/>
      <c r="DL550" s="81"/>
      <c r="DM550" s="329"/>
      <c r="DN550" s="81"/>
      <c r="DO550" s="329"/>
      <c r="DP550" s="81"/>
      <c r="DQ550" s="329"/>
      <c r="DR550" s="81"/>
      <c r="DS550" s="329"/>
      <c r="DT550" s="81"/>
      <c r="DU550" s="329"/>
      <c r="DV550" s="81"/>
      <c r="DW550" s="329"/>
      <c r="DX550" s="81"/>
      <c r="DY550" s="329"/>
      <c r="DZ550" s="81"/>
      <c r="EA550" s="329"/>
      <c r="EB550" s="81"/>
      <c r="EC550" s="329"/>
      <c r="ED550" s="81"/>
      <c r="EE550" s="329"/>
      <c r="EF550" s="81"/>
      <c r="EG550" s="329"/>
      <c r="EH550" s="81"/>
      <c r="EI550" s="329"/>
      <c r="EJ550" s="81"/>
      <c r="EK550" s="329"/>
      <c r="EL550" s="81"/>
      <c r="EM550" s="329"/>
      <c r="EN550" s="81"/>
      <c r="EO550" s="329"/>
      <c r="EP550" s="81"/>
      <c r="EQ550" s="329"/>
      <c r="ER550" s="81"/>
      <c r="ES550" s="82"/>
      <c r="ET550" s="469"/>
      <c r="EU550" s="82"/>
      <c r="EV550" s="329"/>
      <c r="EW550" s="79"/>
      <c r="EX550" s="329"/>
      <c r="EY550" s="79"/>
      <c r="EZ550" s="330"/>
      <c r="FA550" s="79"/>
      <c r="FB550" s="330"/>
      <c r="FC550" s="79"/>
      <c r="FD550" s="330"/>
      <c r="FE550" s="79"/>
      <c r="FF550" s="330">
        <f>(FF531-FF504)/FF482</f>
        <v>18.987759248625149</v>
      </c>
      <c r="FG550" s="79"/>
      <c r="FH550" s="330"/>
      <c r="FI550" s="79"/>
      <c r="FJ550" s="330"/>
      <c r="FK550" s="79"/>
      <c r="FL550" s="330"/>
      <c r="FM550" s="79"/>
      <c r="FN550" s="330"/>
      <c r="FO550" s="79"/>
      <c r="FP550" s="330"/>
      <c r="FQ550" s="79"/>
      <c r="FR550" s="329"/>
      <c r="FS550" s="79"/>
      <c r="FT550" s="329"/>
      <c r="FU550" s="79"/>
      <c r="FV550" s="329"/>
      <c r="FW550" s="79"/>
      <c r="FX550" s="329"/>
      <c r="FY550" s="79"/>
      <c r="FZ550" s="329"/>
      <c r="GA550" s="79"/>
      <c r="GB550" s="329"/>
      <c r="GC550" s="79"/>
      <c r="GD550" s="329"/>
      <c r="GE550" s="79"/>
      <c r="GF550" s="329"/>
      <c r="GG550" s="79"/>
      <c r="GH550" s="329"/>
      <c r="GI550" s="79"/>
      <c r="GJ550" s="329"/>
      <c r="GK550" s="79"/>
      <c r="GL550" s="329"/>
      <c r="GM550" s="79"/>
      <c r="GN550" s="329"/>
      <c r="GO550" s="79"/>
      <c r="GP550" s="329"/>
      <c r="GQ550" s="79"/>
      <c r="GR550" s="329"/>
      <c r="GS550" s="79"/>
      <c r="GT550" s="79"/>
    </row>
    <row r="551" spans="1:202" ht="12.75" customHeight="1" x14ac:dyDescent="0.2">
      <c r="A551" s="1"/>
      <c r="B551" s="2"/>
      <c r="C551" s="79"/>
      <c r="D551" s="79"/>
      <c r="E551" s="129"/>
      <c r="F551" s="129"/>
      <c r="G551" s="129"/>
      <c r="H551" s="129"/>
      <c r="I551" s="129"/>
      <c r="J551" s="129"/>
      <c r="K551" s="129"/>
      <c r="L551" s="79"/>
      <c r="M551" s="129"/>
      <c r="N551" s="79"/>
      <c r="O551" s="129"/>
      <c r="P551" s="79"/>
      <c r="Q551" s="129"/>
      <c r="R551" s="79"/>
      <c r="S551" s="129"/>
      <c r="T551" s="79"/>
      <c r="U551" s="129"/>
      <c r="V551" s="79"/>
      <c r="W551" s="129"/>
      <c r="X551" s="79"/>
      <c r="Y551" s="129"/>
      <c r="Z551" s="79"/>
      <c r="AA551" s="130"/>
      <c r="AB551" s="79"/>
      <c r="AC551" s="129"/>
      <c r="AD551" s="79"/>
      <c r="AE551" s="129"/>
      <c r="AF551" s="79"/>
      <c r="AG551" s="129"/>
      <c r="AH551" s="79"/>
      <c r="AI551" s="129"/>
      <c r="AJ551" s="79"/>
      <c r="AK551" s="129"/>
      <c r="AL551" s="79"/>
      <c r="AM551" s="129"/>
      <c r="AN551" s="79"/>
      <c r="AO551" s="129"/>
      <c r="AP551" s="79"/>
      <c r="AQ551" s="129"/>
      <c r="AR551" s="79"/>
      <c r="AS551" s="129"/>
      <c r="AT551" s="81"/>
      <c r="AU551" s="129"/>
      <c r="AV551" s="81"/>
      <c r="AW551" s="129"/>
      <c r="AX551" s="81"/>
      <c r="AY551" s="129"/>
      <c r="AZ551" s="81"/>
      <c r="BA551" s="129"/>
      <c r="BB551" s="81"/>
      <c r="BC551" s="129"/>
      <c r="BD551" s="81"/>
      <c r="BE551" s="129"/>
      <c r="BF551" s="81"/>
      <c r="BG551" s="129"/>
      <c r="BH551" s="81"/>
      <c r="BI551" s="129"/>
      <c r="BJ551" s="81"/>
      <c r="BK551" s="129"/>
      <c r="BL551" s="81"/>
      <c r="BM551" s="129"/>
      <c r="BN551" s="81"/>
      <c r="BO551" s="129"/>
      <c r="BP551" s="81"/>
      <c r="BQ551" s="129"/>
      <c r="BR551" s="81"/>
      <c r="BS551" s="129"/>
      <c r="BT551" s="81"/>
      <c r="BU551" s="129"/>
      <c r="BV551" s="81"/>
      <c r="BW551" s="129"/>
      <c r="BX551" s="81"/>
      <c r="BY551" s="129"/>
      <c r="BZ551" s="81"/>
      <c r="CA551" s="129"/>
      <c r="CB551" s="81"/>
      <c r="CC551" s="129"/>
      <c r="CD551" s="81"/>
      <c r="CE551" s="129"/>
      <c r="CF551" s="81"/>
      <c r="CG551" s="129"/>
      <c r="CH551" s="81"/>
      <c r="CI551" s="129"/>
      <c r="CJ551" s="81"/>
      <c r="CK551" s="129"/>
      <c r="CL551" s="81"/>
      <c r="CM551" s="129"/>
      <c r="CN551" s="81"/>
      <c r="CO551" s="129"/>
      <c r="CP551" s="81"/>
      <c r="CQ551" s="215"/>
      <c r="CR551" s="81"/>
      <c r="CS551" s="215"/>
      <c r="CT551" s="81"/>
      <c r="CU551" s="215"/>
      <c r="CV551" s="81"/>
      <c r="CW551" s="215"/>
      <c r="CX551" s="81"/>
      <c r="CY551" s="215"/>
      <c r="CZ551" s="81"/>
      <c r="DA551" s="215"/>
      <c r="DB551" s="81"/>
      <c r="DC551" s="215"/>
      <c r="DD551" s="81"/>
      <c r="DE551" s="215"/>
      <c r="DF551" s="81"/>
      <c r="DG551" s="215"/>
      <c r="DH551" s="81"/>
      <c r="DI551" s="215"/>
      <c r="DJ551" s="81"/>
      <c r="DK551" s="215"/>
      <c r="DL551" s="81"/>
      <c r="DM551" s="215"/>
      <c r="DN551" s="81"/>
      <c r="DO551" s="215"/>
      <c r="DP551" s="81"/>
      <c r="DQ551" s="215"/>
      <c r="DR551" s="81"/>
      <c r="DS551" s="215"/>
      <c r="DT551" s="81"/>
      <c r="DU551" s="215"/>
      <c r="DV551" s="81"/>
      <c r="DW551" s="215"/>
      <c r="DX551" s="81"/>
      <c r="DY551" s="215"/>
      <c r="DZ551" s="81"/>
      <c r="EA551" s="215"/>
      <c r="EB551" s="81"/>
      <c r="EC551" s="215"/>
      <c r="ED551" s="81"/>
      <c r="EE551" s="215"/>
      <c r="EF551" s="81"/>
      <c r="EG551" s="215"/>
      <c r="EH551" s="81"/>
      <c r="EI551" s="215"/>
      <c r="EJ551" s="81"/>
      <c r="EK551" s="129"/>
      <c r="EL551" s="81"/>
      <c r="EM551" s="129"/>
      <c r="EN551" s="81"/>
      <c r="EO551" s="129"/>
      <c r="EP551" s="81"/>
      <c r="EQ551" s="129"/>
      <c r="ER551" s="81"/>
      <c r="ES551" s="386"/>
      <c r="ET551" s="469"/>
      <c r="EU551" s="386"/>
      <c r="EV551" s="129"/>
      <c r="EW551" s="79"/>
      <c r="EX551" s="129"/>
      <c r="EY551" s="79"/>
      <c r="EZ551" s="129"/>
      <c r="FA551" s="79"/>
      <c r="FB551" s="129"/>
      <c r="FC551" s="79"/>
      <c r="FD551" s="129"/>
      <c r="FE551" s="79"/>
      <c r="FF551" s="129"/>
      <c r="FG551" s="79"/>
      <c r="FH551" s="129"/>
      <c r="FI551" s="79"/>
      <c r="FJ551" s="129"/>
      <c r="FK551" s="79"/>
      <c r="FL551" s="129"/>
      <c r="FM551" s="79"/>
      <c r="FN551" s="129"/>
      <c r="FO551" s="79"/>
      <c r="FP551" s="129"/>
      <c r="FQ551" s="79"/>
      <c r="FR551" s="129"/>
      <c r="FS551" s="79"/>
      <c r="FT551" s="129"/>
      <c r="FU551" s="79"/>
      <c r="FV551" s="129"/>
      <c r="FW551" s="79"/>
      <c r="FX551" s="129"/>
      <c r="FY551" s="79"/>
      <c r="FZ551" s="129"/>
      <c r="GA551" s="79"/>
      <c r="GB551" s="129"/>
      <c r="GC551" s="79"/>
      <c r="GD551" s="215"/>
      <c r="GE551" s="79"/>
      <c r="GF551" s="215"/>
      <c r="GG551" s="79"/>
      <c r="GH551" s="215"/>
      <c r="GI551" s="79"/>
      <c r="GJ551" s="215"/>
      <c r="GK551" s="79"/>
      <c r="GL551" s="129"/>
      <c r="GM551" s="79"/>
      <c r="GN551" s="129"/>
      <c r="GO551" s="79"/>
      <c r="GP551" s="129"/>
      <c r="GQ551" s="79"/>
      <c r="GR551" s="129"/>
      <c r="GS551" s="79"/>
      <c r="GT551" s="79"/>
    </row>
    <row r="552" spans="1:202" ht="12.75" customHeight="1" x14ac:dyDescent="0.2">
      <c r="A552" s="1"/>
      <c r="B552" s="68" t="s">
        <v>162</v>
      </c>
      <c r="C552" s="79"/>
      <c r="D552" s="79"/>
      <c r="E552" s="327"/>
      <c r="F552" s="327"/>
      <c r="G552" s="327"/>
      <c r="H552" s="327"/>
      <c r="I552" s="327"/>
      <c r="J552" s="327"/>
      <c r="K552" s="327"/>
      <c r="L552" s="79"/>
      <c r="M552" s="327"/>
      <c r="N552" s="79"/>
      <c r="O552" s="327"/>
      <c r="P552" s="79"/>
      <c r="Q552" s="327"/>
      <c r="R552" s="79"/>
      <c r="S552" s="327"/>
      <c r="T552" s="79"/>
      <c r="U552" s="327"/>
      <c r="V552" s="79"/>
      <c r="W552" s="327"/>
      <c r="X552" s="79"/>
      <c r="Y552" s="327"/>
      <c r="Z552" s="79"/>
      <c r="AA552" s="66"/>
      <c r="AB552" s="79"/>
      <c r="AC552" s="327"/>
      <c r="AD552" s="79"/>
      <c r="AE552" s="367"/>
      <c r="AF552" s="79"/>
      <c r="AG552" s="327"/>
      <c r="AH552" s="79"/>
      <c r="AI552" s="327"/>
      <c r="AJ552" s="79"/>
      <c r="AK552" s="327"/>
      <c r="AL552" s="79"/>
      <c r="AM552" s="327"/>
      <c r="AN552" s="79"/>
      <c r="AO552" s="327"/>
      <c r="AP552" s="79"/>
      <c r="AQ552" s="327"/>
      <c r="AR552" s="79"/>
      <c r="AS552" s="327"/>
      <c r="AT552" s="81"/>
      <c r="AU552" s="327"/>
      <c r="AV552" s="81"/>
      <c r="AW552" s="327"/>
      <c r="AX552" s="81"/>
      <c r="AY552" s="327"/>
      <c r="AZ552" s="81"/>
      <c r="BA552" s="327"/>
      <c r="BB552" s="81"/>
      <c r="BC552" s="327"/>
      <c r="BD552" s="81"/>
      <c r="BE552" s="327"/>
      <c r="BF552" s="81"/>
      <c r="BG552" s="327"/>
      <c r="BH552" s="81"/>
      <c r="BI552" s="327"/>
      <c r="BJ552" s="81"/>
      <c r="BK552" s="327"/>
      <c r="BL552" s="81"/>
      <c r="BM552" s="327"/>
      <c r="BN552" s="81"/>
      <c r="BO552" s="327"/>
      <c r="BP552" s="81"/>
      <c r="BQ552" s="327"/>
      <c r="BR552" s="81"/>
      <c r="BS552" s="327"/>
      <c r="BT552" s="81"/>
      <c r="BU552" s="327"/>
      <c r="BV552" s="81"/>
      <c r="BW552" s="327"/>
      <c r="BX552" s="81"/>
      <c r="BY552" s="327"/>
      <c r="BZ552" s="81"/>
      <c r="CA552" s="327"/>
      <c r="CB552" s="81"/>
      <c r="CC552" s="327"/>
      <c r="CD552" s="81"/>
      <c r="CE552" s="327"/>
      <c r="CF552" s="81"/>
      <c r="CG552" s="327"/>
      <c r="CH552" s="81"/>
      <c r="CI552" s="327"/>
      <c r="CJ552" s="81"/>
      <c r="CK552" s="327"/>
      <c r="CL552" s="81"/>
      <c r="CM552" s="327"/>
      <c r="CN552" s="81"/>
      <c r="CO552" s="327"/>
      <c r="CP552" s="81"/>
      <c r="CQ552" s="327"/>
      <c r="CR552" s="81"/>
      <c r="CS552" s="327"/>
      <c r="CT552" s="81"/>
      <c r="CU552" s="327"/>
      <c r="CV552" s="81"/>
      <c r="CW552" s="327"/>
      <c r="CX552" s="81"/>
      <c r="CY552" s="327"/>
      <c r="CZ552" s="81"/>
      <c r="DA552" s="327"/>
      <c r="DB552" s="81"/>
      <c r="DC552" s="327"/>
      <c r="DD552" s="81"/>
      <c r="DE552" s="327"/>
      <c r="DF552" s="81"/>
      <c r="DG552" s="327"/>
      <c r="DH552" s="81"/>
      <c r="DI552" s="327"/>
      <c r="DJ552" s="81"/>
      <c r="DK552" s="327"/>
      <c r="DL552" s="81"/>
      <c r="DM552" s="327"/>
      <c r="DN552" s="81"/>
      <c r="DO552" s="327"/>
      <c r="DP552" s="81"/>
      <c r="DQ552" s="327"/>
      <c r="DR552" s="81"/>
      <c r="DS552" s="327"/>
      <c r="DT552" s="81"/>
      <c r="DU552" s="327"/>
      <c r="DV552" s="81"/>
      <c r="DW552" s="327"/>
      <c r="DX552" s="81"/>
      <c r="DY552" s="327"/>
      <c r="DZ552" s="81"/>
      <c r="EA552" s="327"/>
      <c r="EB552" s="81"/>
      <c r="EC552" s="327"/>
      <c r="ED552" s="81"/>
      <c r="EE552" s="327"/>
      <c r="EF552" s="81"/>
      <c r="EG552" s="327"/>
      <c r="EH552" s="81"/>
      <c r="EI552" s="327"/>
      <c r="EJ552" s="81"/>
      <c r="EK552" s="327"/>
      <c r="EL552" s="81"/>
      <c r="EM552" s="327"/>
      <c r="EN552" s="81"/>
      <c r="EO552" s="327"/>
      <c r="EP552" s="81"/>
      <c r="EQ552" s="327"/>
      <c r="ER552" s="81"/>
      <c r="ES552" s="82"/>
      <c r="ET552" s="490"/>
      <c r="EU552" s="82"/>
      <c r="EV552" s="327"/>
      <c r="EW552" s="79"/>
      <c r="EX552" s="327"/>
      <c r="EY552" s="79"/>
      <c r="EZ552" s="327"/>
      <c r="FA552" s="79"/>
      <c r="FB552" s="327"/>
      <c r="FC552" s="79"/>
      <c r="FD552" s="327"/>
      <c r="FE552" s="79"/>
      <c r="FF552" s="327"/>
      <c r="FG552" s="79"/>
      <c r="FH552" s="327"/>
      <c r="FI552" s="79"/>
      <c r="FJ552" s="327"/>
      <c r="FK552" s="79"/>
      <c r="FL552" s="327"/>
      <c r="FM552" s="79"/>
      <c r="FN552" s="327"/>
      <c r="FO552" s="79"/>
      <c r="FP552" s="327"/>
      <c r="FQ552" s="79"/>
      <c r="FR552" s="327"/>
      <c r="FS552" s="79"/>
      <c r="FT552" s="327"/>
      <c r="FU552" s="79"/>
      <c r="FV552" s="327"/>
      <c r="FW552" s="79"/>
      <c r="FX552" s="327"/>
      <c r="FY552" s="79"/>
      <c r="FZ552" s="327"/>
      <c r="GA552" s="79"/>
      <c r="GB552" s="327"/>
      <c r="GC552" s="79"/>
      <c r="GD552" s="327"/>
      <c r="GE552" s="79"/>
      <c r="GF552" s="327"/>
      <c r="GG552" s="79"/>
      <c r="GH552" s="327"/>
      <c r="GI552" s="79"/>
      <c r="GJ552" s="327"/>
      <c r="GK552" s="79"/>
      <c r="GL552" s="327"/>
      <c r="GM552" s="79"/>
      <c r="GN552" s="327"/>
      <c r="GO552" s="79"/>
      <c r="GP552" s="327"/>
      <c r="GQ552" s="79"/>
      <c r="GR552" s="327"/>
      <c r="GS552" s="79"/>
      <c r="GT552" s="79"/>
    </row>
    <row r="553" spans="1:202" ht="12.75" customHeight="1" x14ac:dyDescent="0.2">
      <c r="A553" s="1" t="s">
        <v>68</v>
      </c>
      <c r="B553" s="2" t="s">
        <v>67</v>
      </c>
      <c r="C553" s="79"/>
      <c r="D553" s="79"/>
      <c r="E553" s="145">
        <f>+E518+E520+E529</f>
        <v>7975</v>
      </c>
      <c r="F553" s="327"/>
      <c r="G553" s="145">
        <f>+G518+G520+G529</f>
        <v>8091.4</v>
      </c>
      <c r="H553" s="327"/>
      <c r="I553" s="145">
        <f>+I518+I520+I529</f>
        <v>8343</v>
      </c>
      <c r="J553" s="327"/>
      <c r="K553" s="145">
        <f>+K518+K520+K529</f>
        <v>8244.0999999999985</v>
      </c>
      <c r="L553" s="79"/>
      <c r="M553" s="145">
        <f>+M518+M520+M529</f>
        <v>8041.7</v>
      </c>
      <c r="N553" s="79">
        <f t="shared" ref="N553:N560" si="2234">IF(ISERROR((M553/E553-1)*100),"NA",IF(((M553/E553-1)*100)&gt;100,"NM",IF(((M553/E553-1)*100)&lt;-50,"NM",(M553/E553-1)*100)))</f>
        <v>0.83636363636363509</v>
      </c>
      <c r="O553" s="145">
        <f>+O518+O520+O529</f>
        <v>8568.7999999999993</v>
      </c>
      <c r="P553" s="79">
        <f t="shared" ref="P553:P560" si="2235">IF(ISERROR((O553/G553-1)*100),"NA",IF(((O553/G553-1)*100)&gt;100,"NM",IF(((O553/G553-1)*100)&lt;-50,"NM",(O553/G553-1)*100)))</f>
        <v>5.9000914551252004</v>
      </c>
      <c r="Q553" s="145">
        <f>+Q518+Q520+Q529</f>
        <v>9102.9</v>
      </c>
      <c r="R553" s="79">
        <f t="shared" ref="R553:R560" si="2236">IF(ISERROR((Q553/I553-1)*100),"NA",IF(((Q553/I553-1)*100)&gt;100,"NM",IF(((Q553/I553-1)*100)&lt;-50,"NM",(Q553/I553-1)*100)))</f>
        <v>9.1082344480402746</v>
      </c>
      <c r="S553" s="145">
        <f>+S518+S520+S529</f>
        <v>9057.2000000000007</v>
      </c>
      <c r="T553" s="79">
        <f t="shared" ref="T553:T560" si="2237">IF(ISERROR((S553/K553-1)*100),"NA",IF(((S553/K553-1)*100)&gt;100,"NM",IF(((S553/K553-1)*100)&lt;-50,"NM",(S553/K553-1)*100)))</f>
        <v>9.8628109799735917</v>
      </c>
      <c r="U553" s="145">
        <f>+U518+U520+U529</f>
        <v>8759.2999999999993</v>
      </c>
      <c r="V553" s="79">
        <f t="shared" ref="V553:V560" si="2238">IF(ISERROR((U553/M553-1)*100),"NA",IF(((U553/M553-1)*100)&gt;100,"NM",IF(((U553/M553-1)*100)&lt;-50,"NM",(U553/M553-1)*100)))</f>
        <v>8.9234863275178036</v>
      </c>
      <c r="W553" s="145">
        <f>+W518+W520+W529</f>
        <v>10508.5</v>
      </c>
      <c r="X553" s="79">
        <f t="shared" ref="X553:X560" si="2239">IF(ISERROR((W553/O553-1)*100),"NA",IF(((W553/O553-1)*100)&gt;100,"NM",IF(((W553/O553-1)*100)&lt;-50,"NM",(W553/O553-1)*100)))</f>
        <v>22.636775277751852</v>
      </c>
      <c r="Y553" s="145">
        <f>+Y518+Y520+Y529</f>
        <v>10639.3</v>
      </c>
      <c r="Z553" s="79">
        <f t="shared" ref="Z553:Z560" si="2240">IF(ISERROR((Y553/Q553-1)*100),"NA",IF(((Y553/Q553-1)*100)&gt;100,"NM",IF(((Y553/Q553-1)*100)&lt;-50,"NM",(Y553/Q553-1)*100)))</f>
        <v>16.878137736325783</v>
      </c>
      <c r="AA553" s="267">
        <f>+AA518+AA520+AA529</f>
        <v>10060</v>
      </c>
      <c r="AB553" s="79">
        <f t="shared" ref="AB553:AB560" si="2241">IF(ISERROR((AA553/S553-1)*100),"NA",IF(((AA553/S553-1)*100)&gt;100,"NM",IF(((AA553/S553-1)*100)&lt;-50,"NM",(AA553/S553-1)*100)))</f>
        <v>11.071854436249605</v>
      </c>
      <c r="AC553" s="145">
        <f>+AC518+AC520+AC529</f>
        <v>9923.2999999999993</v>
      </c>
      <c r="AD553" s="79">
        <f t="shared" ref="AD553:AD560" si="2242">IF(ISERROR((AC553/U553-1)*100),"NA",IF(((AC553/U553-1)*100)&gt;100,"NM",IF(((AC553/U553-1)*100)&lt;-50,"NM",(AC553/U553-1)*100)))</f>
        <v>13.288733117943208</v>
      </c>
      <c r="AE553" s="145">
        <f>+AE518+AE520+AE529</f>
        <v>9315.4</v>
      </c>
      <c r="AF553" s="79">
        <f t="shared" ref="AF553:AF560" si="2243">IF(ISERROR((AE553/W553-1)*100),"NA",IF(((AE553/W553-1)*100)&gt;100,"NM",IF(((AE553/W553-1)*100)&lt;-50,"NM",(AE553/W553-1)*100)))</f>
        <v>-11.35366607984013</v>
      </c>
      <c r="AG553" s="145">
        <f>+AG518+AG520+AG529</f>
        <v>9762.4</v>
      </c>
      <c r="AH553" s="79">
        <f t="shared" ref="AH553:AH560" si="2244">IF(ISERROR((AG553/Y553-1)*100),"NA",IF(((AG553/Y553-1)*100)&gt;100,"NM",IF(((AG553/Y553-1)*100)&lt;-50,"NM",(AG553/Y553-1)*100)))</f>
        <v>-8.2420835957252798</v>
      </c>
      <c r="AI553" s="145">
        <f>+AI518+AI520+AI529</f>
        <v>10086.1</v>
      </c>
      <c r="AJ553" s="79">
        <f t="shared" ref="AJ553:AJ560" si="2245">IF(ISERROR((AI553/AA553-1)*100),"NA",IF(((AI553/AA553-1)*100)&gt;100,"NM",IF(((AI553/AA553-1)*100)&lt;-50,"NM",(AI553/AA553-1)*100)))</f>
        <v>0.25944333996024138</v>
      </c>
      <c r="AK553" s="145">
        <f>+AK518+AK520+AK529</f>
        <v>9914.4</v>
      </c>
      <c r="AL553" s="79">
        <f t="shared" ref="AL553:AL560" si="2246">IF(ISERROR((AK553/AC553-1)*100),"NA",IF(((AK553/AC553-1)*100)&gt;100,"NM",IF(((AK553/AC553-1)*100)&lt;-50,"NM",(AK553/AC553-1)*100)))</f>
        <v>-8.968790624086509E-2</v>
      </c>
      <c r="AM553" s="145">
        <f>+AM518+AM520+AM529</f>
        <v>10716.6</v>
      </c>
      <c r="AN553" s="79">
        <f t="shared" ref="AN553:BD560" si="2247">IF(ISERROR((AM553/AE553-1)*100),"NA",IF(((AM553/AE553-1)*100)&gt;100,"NM",IF(((AM553/AE553-1)*100)&lt;-50,"NM",(AM553/AE553-1)*100)))</f>
        <v>15.041758807995365</v>
      </c>
      <c r="AO553" s="145">
        <f>+AO518+AO520+AO529</f>
        <v>10099.700000000001</v>
      </c>
      <c r="AP553" s="79">
        <f t="shared" si="2247"/>
        <v>3.4550930099155996</v>
      </c>
      <c r="AQ553" s="145">
        <f>+AQ518+AQ520+AQ529</f>
        <v>10625.5</v>
      </c>
      <c r="AR553" s="79">
        <f t="shared" si="2247"/>
        <v>5.3479541150692533</v>
      </c>
      <c r="AS553" s="145">
        <f>+AS518+AS520+AS529</f>
        <v>9429.6</v>
      </c>
      <c r="AT553" s="81">
        <f t="shared" si="2247"/>
        <v>-4.8898571774388717</v>
      </c>
      <c r="AU553" s="145">
        <f>+AU518+AU520+AU529</f>
        <v>9548.5</v>
      </c>
      <c r="AV553" s="81">
        <f t="shared" si="2247"/>
        <v>-10.899912285612977</v>
      </c>
      <c r="AW553" s="145">
        <f>+AW518+AW520+AW529</f>
        <v>10156</v>
      </c>
      <c r="AX553" s="81">
        <f t="shared" si="2247"/>
        <v>0.5574423002663309</v>
      </c>
      <c r="AY553" s="145">
        <f>+AY518+AY520+AY529</f>
        <v>10378.4</v>
      </c>
      <c r="AZ553" s="81">
        <f t="shared" si="2247"/>
        <v>-2.3255376217589774</v>
      </c>
      <c r="BA553" s="145">
        <f>+BA518+BA520+BA529</f>
        <v>9876.2999999999993</v>
      </c>
      <c r="BB553" s="81">
        <f t="shared" si="2247"/>
        <v>4.7372104861287845</v>
      </c>
      <c r="BC553" s="145">
        <f>+BC518+BC520+BC529</f>
        <v>9659.2999999999993</v>
      </c>
      <c r="BD553" s="81">
        <f t="shared" si="2247"/>
        <v>1.1603916845577711</v>
      </c>
      <c r="BE553" s="145">
        <f>+BE518+BE520+BE529</f>
        <v>10116</v>
      </c>
      <c r="BF553" s="81">
        <f t="shared" ref="BF553:BF560" si="2248">IF(ISERROR((BE553/AW553-1)*100),"NA",IF(((BE553/AW553-1)*100)&gt;100,"NM",IF(((BE553/AW553-1)*100)&lt;-50,"NM",(BE553/AW553-1)*100)))</f>
        <v>-0.3938558487593502</v>
      </c>
      <c r="BG553" s="145">
        <f>+BG518+BG520+BG529</f>
        <v>10555.099999999999</v>
      </c>
      <c r="BH553" s="81">
        <f t="shared" ref="BH553:BH560" si="2249">IF(ISERROR((BG553/AY553-1)*100),"NA",IF(((BG553/AY553-1)*100)&gt;100,"NM",IF(((BG553/AY553-1)*100)&lt;-50,"NM",(BG553/AY553-1)*100)))</f>
        <v>1.7025745779696289</v>
      </c>
      <c r="BI553" s="145">
        <f>+BI518+BI520+BI529</f>
        <v>10136.099999999999</v>
      </c>
      <c r="BJ553" s="81">
        <f t="shared" ref="BJ553:BJ560" si="2250">IF(ISERROR((BI553/BA553-1)*100),"NA",IF(((BI553/BA553-1)*100)&gt;100,"NM",IF(((BI553/BA553-1)*100)&lt;-50,"NM",(BI553/BA553-1)*100)))</f>
        <v>2.6305397770419958</v>
      </c>
      <c r="BK553" s="145">
        <f>+BK518+BK520+BK529</f>
        <v>9962.6</v>
      </c>
      <c r="BL553" s="81">
        <f t="shared" ref="BL553:BL560" si="2251">IF(ISERROR((BK553/BC553-1)*100),"NA",IF(((BK553/BC553-1)*100)&gt;100,"NM",IF(((BK553/BC553-1)*100)&lt;-50,"NM",(BK553/BC553-1)*100)))</f>
        <v>3.1399790875115352</v>
      </c>
      <c r="BM553" s="145">
        <f>+BM518+BM520+BM529</f>
        <v>9021.2999999999993</v>
      </c>
      <c r="BN553" s="81">
        <f t="shared" ref="BN553:BN560" si="2252">IF(ISERROR((BM553/BE553-1)*100),"NA",IF(((BM553/BE553-1)*100)&gt;100,"NM",IF(((BM553/BE553-1)*100)&lt;-50,"NM",(BM553/BE553-1)*100)))</f>
        <v>-10.821470937129307</v>
      </c>
      <c r="BO553" s="145">
        <f>+BO518+BO520+BO529</f>
        <v>8657.2999999999993</v>
      </c>
      <c r="BP553" s="81">
        <f t="shared" ref="BP553:BP560" si="2253">IF(ISERROR((BO553/BG553-1)*100),"NA",IF(((BO553/BG553-1)*100)&gt;100,"NM",IF(((BO553/BG553-1)*100)&lt;-50,"NM",(BO553/BG553-1)*100)))</f>
        <v>-17.979933870830212</v>
      </c>
      <c r="BQ553" s="145">
        <f>+BQ518+BQ520+BQ529</f>
        <v>8677.2999999999993</v>
      </c>
      <c r="BR553" s="81">
        <f t="shared" ref="BR553:BR560" si="2254">IF(ISERROR((BQ553/BI553-1)*100),"NA",IF(((BQ553/BI553-1)*100)&gt;100,"NM",IF(((BQ553/BI553-1)*100)&lt;-50,"NM",(BQ553/BI553-1)*100)))</f>
        <v>-14.392123203204388</v>
      </c>
      <c r="BS553" s="145">
        <f>+BS518+BS520+BS529</f>
        <v>9729</v>
      </c>
      <c r="BT553" s="81">
        <f t="shared" ref="BT553:BT560" si="2255">IF(ISERROR((BS553/BK553-1)*100),"NA",IF(((BS553/BK553-1)*100)&gt;100,"NM",IF(((BS553/BK553-1)*100)&lt;-50,"NM",(BS553/BK553-1)*100)))</f>
        <v>-2.3447694376969919</v>
      </c>
      <c r="BU553" s="145">
        <f>+BU518+BU520+BU529</f>
        <v>10823.2</v>
      </c>
      <c r="BV553" s="81">
        <f t="shared" ref="BV553:BV560" si="2256">IF(ISERROR((BU553/BM553-1)*100),"NA",IF(((BU553/BM553-1)*100)&gt;100,"NM",IF(((BU553/BM553-1)*100)&lt;-50,"NM",(BU553/BM553-1)*100)))</f>
        <v>19.973839690510253</v>
      </c>
      <c r="BW553" s="145">
        <f>+BW518+BW520+BW529</f>
        <v>11049.7</v>
      </c>
      <c r="BX553" s="81">
        <f t="shared" ref="BX553:BX560" si="2257">IF(ISERROR((BW553/BO553-1)*100),"NA",IF(((BW553/BO553-1)*100)&gt;100,"NM",IF(((BW553/BO553-1)*100)&lt;-50,"NM",(BW553/BO553-1)*100)))</f>
        <v>27.634481882342101</v>
      </c>
      <c r="BY553" s="145">
        <f>+BY518+BY520+BY529</f>
        <v>11071.400000000001</v>
      </c>
      <c r="BZ553" s="81">
        <f t="shared" ref="BZ553:BZ560" si="2258">IF(ISERROR((BY553/BQ553-1)*100),"NA",IF(((BY553/BQ553-1)*100)&gt;100,"NM",IF(((BY553/BQ553-1)*100)&lt;-50,"NM",(BY553/BQ553-1)*100)))</f>
        <v>27.590379495926175</v>
      </c>
      <c r="CA553" s="145">
        <f>+CA518+CA520+CA529</f>
        <v>11138.5</v>
      </c>
      <c r="CB553" s="81">
        <f t="shared" ref="CB553:CB560" si="2259">IF(ISERROR((CA553/BS553-1)*100),"NA",IF(((CA553/BS553-1)*100)&gt;100,"NM",IF(((CA553/BS553-1)*100)&lt;-50,"NM",(CA553/BS553-1)*100)))</f>
        <v>14.487614348853949</v>
      </c>
      <c r="CC553" s="145">
        <f>+CC518+CC520+CC529</f>
        <v>11585.400000000001</v>
      </c>
      <c r="CD553" s="81">
        <f t="shared" ref="CD553:CD560" si="2260">IF(ISERROR((CC553/BU553-1)*100),"NA",IF(((CC553/BU553-1)*100)&gt;100,"NM",IF(((CC553/BU553-1)*100)&lt;-50,"NM",(CC553/BU553-1)*100)))</f>
        <v>7.0422795476384081</v>
      </c>
      <c r="CE553" s="145">
        <f>+CE518+CE520+CE529</f>
        <v>11116.2</v>
      </c>
      <c r="CF553" s="81">
        <f t="shared" ref="CF553:CF560" si="2261">IF(ISERROR((CE553/BW553-1)*100),"NA",IF(((CE553/BW553-1)*100)&gt;100,"NM",IF(((CE553/BW553-1)*100)&lt;-50,"NM",(CE553/BW553-1)*100)))</f>
        <v>0.60182629392653286</v>
      </c>
      <c r="CG553" s="145">
        <f>+CG518+CG520+CG529</f>
        <v>11127.2</v>
      </c>
      <c r="CH553" s="81">
        <f t="shared" ref="CH553:CH560" si="2262">IF(ISERROR((CG553/BY553-1)*100),"NA",IF(((CG553/BY553-1)*100)&gt;100,"NM",IF(((CG553/BY553-1)*100)&lt;-50,"NM",(CG553/BY553-1)*100)))</f>
        <v>0.50400130064851556</v>
      </c>
      <c r="CI553" s="145">
        <f>+CI518+CI520+CI529</f>
        <v>11206.9</v>
      </c>
      <c r="CJ553" s="81">
        <f t="shared" ref="CJ553:CJ560" si="2263">IF(ISERROR((CI553/CA553-1)*100),"NA",IF(((CI553/CA553-1)*100)&gt;100,"NM",IF(((CI553/CA553-1)*100)&lt;-50,"NM",(CI553/CA553-1)*100)))</f>
        <v>0.61408627732639776</v>
      </c>
      <c r="CK553" s="145">
        <f>+CK518+CK520+CK529</f>
        <v>12046.6</v>
      </c>
      <c r="CL553" s="81">
        <f t="shared" ref="CL553:CL560" si="2264">IF(ISERROR((CK553/CC553-1)*100),"NA",IF(((CK553/CC553-1)*100)&gt;100,"NM",IF(((CK553/CC553-1)*100)&lt;-50,"NM",(CK553/CC553-1)*100)))</f>
        <v>3.9808724774284876</v>
      </c>
      <c r="CM553" s="145">
        <f>+CM518+CM520+CM529</f>
        <v>10739.9</v>
      </c>
      <c r="CN553" s="81">
        <f t="shared" ref="CN553:CN560" si="2265">IF(ISERROR((CM553/CE553-1)*100),"NA",IF(((CM553/CE553-1)*100)&gt;100,"NM",IF(((CM553/CE553-1)*100)&lt;-50,"NM",(CM553/CE553-1)*100)))</f>
        <v>-3.3851496014825289</v>
      </c>
      <c r="CO553" s="145">
        <f>+CO518+CO520+CO529</f>
        <v>10732.7</v>
      </c>
      <c r="CP553" s="81">
        <f t="shared" ref="CP553:CP560" si="2266">IF(ISERROR((CO553/CG553-1)*100),"NA",IF(((CO553/CG553-1)*100)&gt;100,"NM",IF(((CO553/CG553-1)*100)&lt;-50,"NM",(CO553/CG553-1)*100)))</f>
        <v>-3.5453663095837196</v>
      </c>
      <c r="CQ553" s="145">
        <f>+CQ518+CQ520+CQ529</f>
        <v>10926.2</v>
      </c>
      <c r="CR553" s="81">
        <f t="shared" ref="CR553:CR560" si="2267">IF(ISERROR((CQ553/CI553-1)*100),"NA",IF(((CQ553/CI553-1)*100)&gt;100,"NM",IF(((CQ553/CI553-1)*100)&lt;-50,"NM",(CQ553/CI553-1)*100)))</f>
        <v>-2.50470692162863</v>
      </c>
      <c r="CS553" s="145">
        <f>+CS518+CS520+CS529</f>
        <v>11454.8</v>
      </c>
      <c r="CT553" s="81">
        <f t="shared" ref="CT553:CT560" si="2268">IF(ISERROR((CS553/CK553-1)*100),"NA",IF(((CS553/CK553-1)*100)&gt;100,"NM",IF(((CS553/CK553-1)*100)&lt;-50,"NM",(CS553/CK553-1)*100)))</f>
        <v>-4.9125894443245439</v>
      </c>
      <c r="CU553" s="145">
        <f>+CU518+CU520+CU529</f>
        <v>11368</v>
      </c>
      <c r="CV553" s="81">
        <f t="shared" ref="CV553:CV560" si="2269">IF(ISERROR((CU553/CM553-1)*100),"NA",IF(((CU553/CM553-1)*100)&gt;100,"NM",IF(((CU553/CM553-1)*100)&lt;-50,"NM",(CU553/CM553-1)*100)))</f>
        <v>5.8482853657855216</v>
      </c>
      <c r="CW553" s="145">
        <f>+CW518+CW520+CW529</f>
        <v>11231.699999999999</v>
      </c>
      <c r="CX553" s="81">
        <f t="shared" ref="CX553:CX560" si="2270">IF(ISERROR((CW553/CO553-1)*100),"NA",IF(((CW553/CO553-1)*100)&gt;100,"NM",IF(((CW553/CO553-1)*100)&lt;-50,"NM",(CW553/CO553-1)*100)))</f>
        <v>4.6493426630763723</v>
      </c>
      <c r="CY553" s="145">
        <f>+CY518+CY520+CY529</f>
        <v>11024.6</v>
      </c>
      <c r="CZ553" s="81">
        <f t="shared" ref="CZ553:CZ560" si="2271">IF(ISERROR((CY553/CQ553-1)*100),"NA",IF(((CY553/CQ553-1)*100)&gt;100,"NM",IF(((CY553/CQ553-1)*100)&lt;-50,"NM",(CY553/CQ553-1)*100)))</f>
        <v>0.9005875784810824</v>
      </c>
      <c r="DA553" s="145">
        <f>+DA518+DA520+DA529</f>
        <v>11301.2</v>
      </c>
      <c r="DB553" s="81">
        <f t="shared" ref="DB553:DB560" si="2272">IF(ISERROR((DA553/CS553-1)*100),"NA",IF(((DA553/CS553-1)*100)&gt;100,"NM",IF(((DA553/CS553-1)*100)&lt;-50,"NM",(DA553/CS553-1)*100)))</f>
        <v>-1.3409225826727544</v>
      </c>
      <c r="DC553" s="145">
        <f>+DC518+DC520+DC529</f>
        <v>11251.9</v>
      </c>
      <c r="DD553" s="81">
        <f t="shared" ref="DD553:DD560" si="2273">IF(ISERROR((DC553/CU553-1)*100),"NA",IF(((DC553/CU553-1)*100)&gt;100,"NM",IF(((DC553/CU553-1)*100)&lt;-50,"NM",(DC553/CU553-1)*100)))</f>
        <v>-1.0212878254750257</v>
      </c>
      <c r="DE553" s="145">
        <f>+DE518+DE520+DE529</f>
        <v>11881.599999999999</v>
      </c>
      <c r="DF553" s="81">
        <f t="shared" ref="DF553:DF560" si="2274">IF(ISERROR((DE553/CW553-1)*100),"NA",IF(((DE553/CW553-1)*100)&gt;100,"NM",IF(((DE553/CW553-1)*100)&lt;-50,"NM",(DE553/CW553-1)*100)))</f>
        <v>5.786301272291805</v>
      </c>
      <c r="DG553" s="145">
        <f>+DG518+DG520+DG529</f>
        <v>12035.7</v>
      </c>
      <c r="DH553" s="81">
        <f t="shared" ref="DH553:DH560" si="2275">IF(ISERROR((DG553/CY553-1)*100),"NA",IF(((DG553/CY553-1)*100)&gt;100,"NM",IF(((DG553/CY553-1)*100)&lt;-50,"NM",(DG553/CY553-1)*100)))</f>
        <v>9.1713078025506647</v>
      </c>
      <c r="DI553" s="145">
        <f>+DI518+DI520+DI529</f>
        <v>12026.3</v>
      </c>
      <c r="DJ553" s="81">
        <f t="shared" ref="DJ553:DJ560" si="2276">IF(ISERROR((DI553/DA553-1)*100),"NA",IF(((DI553/DA553-1)*100)&gt;100,"NM",IF(((DI553/DA553-1)*100)&lt;-50,"NM",(DI553/DA553-1)*100)))</f>
        <v>6.4161328000566176</v>
      </c>
      <c r="DK553" s="145">
        <f>+DK518+DK520+DK529</f>
        <v>11150.6</v>
      </c>
      <c r="DL553" s="81">
        <f t="shared" ref="DL553:DL560" si="2277">IF(ISERROR((DK553/DC553-1)*100),"NA",IF(((DK553/DC553-1)*100)&gt;100,"NM",IF(((DK553/DC553-1)*100)&lt;-50,"NM",(DK553/DC553-1)*100)))</f>
        <v>-0.9002923950621633</v>
      </c>
      <c r="DM553" s="145">
        <f>+DM518+DM520+DM529</f>
        <v>11291.2</v>
      </c>
      <c r="DN553" s="81">
        <f t="shared" ref="DN553:DP560" si="2278">IF(ISERROR((DM553/DE553-1)*100),"NA",IF(((DM553/DE553-1)*100)&gt;100,"NM",IF(((DM553/DE553-1)*100)&lt;-50,"NM",(DM553/DE553-1)*100)))</f>
        <v>-4.9690277403716454</v>
      </c>
      <c r="DO553" s="145">
        <f>+DO518+DO520+DO529</f>
        <v>11096.5</v>
      </c>
      <c r="DP553" s="81">
        <f t="shared" si="2278"/>
        <v>-7.8034513987553789</v>
      </c>
      <c r="DQ553" s="145">
        <f>+DQ518+DQ520+DQ529</f>
        <v>10798.2</v>
      </c>
      <c r="DR553" s="81">
        <f t="shared" ref="DR553:DR560" si="2279">IF(ISERROR((DQ553/DI553-1)*100),"NA",IF(((DQ553/DI553-1)*100)&gt;100,"NM",IF(((DQ553/DI553-1)*100)&lt;-50,"NM",(DQ553/DI553-1)*100)))</f>
        <v>-10.211785836042663</v>
      </c>
      <c r="DS553" s="145">
        <f>+DS518+DS520+DS529</f>
        <v>11113.3</v>
      </c>
      <c r="DT553" s="81">
        <f t="shared" ref="DT553:DT560" si="2280">IF(ISERROR((DS553/DK553-1)*100),"NA",IF(((DS553/DK553-1)*100)&gt;100,"NM",IF(((DS553/DK553-1)*100)&lt;-50,"NM",(DS553/DK553-1)*100)))</f>
        <v>-0.33451114738221044</v>
      </c>
      <c r="DU553" s="145">
        <f>+DU518+DU520+DU529</f>
        <v>11362.8</v>
      </c>
      <c r="DV553" s="81">
        <f t="shared" ref="DV553:DV560" si="2281">IF(ISERROR((DU553/DM553-1)*100),"NA",IF(((DU553/DM553-1)*100)&gt;100,"NM",IF(((DU553/DM553-1)*100)&lt;-50,"NM",(DU553/DM553-1)*100)))</f>
        <v>0.63412214822160529</v>
      </c>
      <c r="DW553" s="145">
        <f>+DW518+DW520+DW529</f>
        <v>12199.6</v>
      </c>
      <c r="DX553" s="81">
        <f t="shared" ref="DX553:DX560" si="2282">IF(ISERROR((DW553/DO553-1)*100),"NA",IF(((DW553/DO553-1)*100)&gt;100,"NM",IF(((DW553/DO553-1)*100)&lt;-50,"NM",(DW553/DO553-1)*100)))</f>
        <v>9.9409723786779693</v>
      </c>
      <c r="DY553" s="145">
        <f>+DY518+DY520+DY529</f>
        <v>12381</v>
      </c>
      <c r="DZ553" s="81">
        <f t="shared" ref="DZ553:DZ560" si="2283">IF(ISERROR((DY553/DQ553-1)*100),"NA",IF(((DY553/DQ553-1)*100)&gt;100,"NM",IF(((DY553/DQ553-1)*100)&lt;-50,"NM",(DY553/DQ553-1)*100)))</f>
        <v>14.657998555314776</v>
      </c>
      <c r="EA553" s="145">
        <f>+EA518+EA520+EA529</f>
        <v>11967.4</v>
      </c>
      <c r="EB553" s="81">
        <f t="shared" ref="EB553:EB560" si="2284">IF(ISERROR((EA553/DS553-1)*100),"NA",IF(((EA553/DS553-1)*100)&gt;100,"NM",IF(((EA553/DS553-1)*100)&lt;-50,"NM",(EA553/DS553-1)*100)))</f>
        <v>7.6853859789621559</v>
      </c>
      <c r="EC553" s="145">
        <f>+EC518+EC520+EC529</f>
        <v>12088.279999999999</v>
      </c>
      <c r="ED553" s="81">
        <f t="shared" ref="ED553:ED560" si="2285">IF(ISERROR((EC553/DU553-1)*100),"NA",IF(((EC553/DU553-1)*100)&gt;100,"NM",IF(((EC553/DU553-1)*100)&lt;-50,"NM",(EC553/DU553-1)*100)))</f>
        <v>6.3846939134720282</v>
      </c>
      <c r="EE553" s="145">
        <f>+EE518+EE520+EE529</f>
        <v>12285</v>
      </c>
      <c r="EF553" s="81">
        <f t="shared" ref="EF553:EF560" si="2286">IF(ISERROR((EE553/DW553-1)*100),"NA",IF(((EE553/DW553-1)*100)&gt;100,"NM",IF(((EE553/DW553-1)*100)&lt;-50,"NM",(EE553/DW553-1)*100)))</f>
        <v>0.70002295157218786</v>
      </c>
      <c r="EG553" s="145">
        <f>+EG518+EG520+EG529</f>
        <v>12202.7</v>
      </c>
      <c r="EH553" s="81">
        <f t="shared" ref="EH553:EH560" si="2287">IF(ISERROR((EG553/DY553-1)*100),"NA",IF(((EG553/DY553-1)*100)&gt;100,"NM",IF(((EG553/DY553-1)*100)&lt;-50,"NM",(EG553/DY553-1)*100)))</f>
        <v>-1.4401098457313521</v>
      </c>
      <c r="EI553" s="145">
        <f>+EI518+EI520+EI529</f>
        <v>12513.2</v>
      </c>
      <c r="EJ553" s="81">
        <f t="shared" ref="EJ553:EJ560" si="2288">IF(ISERROR((EI553/EA553-1)*100),"NA",IF(((EI553/EA553-1)*100)&gt;100,"NM",IF(((EI553/EA553-1)*100)&lt;-50,"NM",(EI553/EA553-1)*100)))</f>
        <v>4.5607232982937118</v>
      </c>
      <c r="EK553" s="145">
        <f t="shared" ref="EK553:EQ553" si="2289">+EK518+EK520+EK529</f>
        <v>12624.282830324097</v>
      </c>
      <c r="EL553" s="81">
        <f t="shared" ref="EL553:EL560" si="2290">IF(ISERROR((EK553/EC553-1)*100),"NA",IF(((EK553/EC553-1)*100)&gt;100,"NM",IF(((EK553/EC553-1)*100)&lt;-50,"NM",(EK553/EC553-1)*100)))</f>
        <v>4.4340702757058814</v>
      </c>
      <c r="EM553" s="145">
        <f t="shared" si="2289"/>
        <v>12751.066954174814</v>
      </c>
      <c r="EN553" s="81">
        <f t="shared" ref="EN553:EN560" si="2291">IF(ISERROR((EM553/EE553-1)*100),"NA",IF(((EM553/EE553-1)*100)&gt;100,"NM",IF(((EM553/EE553-1)*100)&lt;-50,"NM",(EM553/EE553-1)*100)))</f>
        <v>3.7937888007717913</v>
      </c>
      <c r="EO553" s="145">
        <f t="shared" si="2289"/>
        <v>12871.927908845024</v>
      </c>
      <c r="EP553" s="81">
        <f t="shared" ref="EP553:EP560" si="2292">IF(ISERROR((EO553/EG553-1)*100),"NA",IF(((EO553/EG553-1)*100)&gt;100,"NM",IF(((EO553/EG553-1)*100)&lt;-50,"NM",(EO553/EG553-1)*100)))</f>
        <v>5.4842609327855563</v>
      </c>
      <c r="EQ553" s="145">
        <f t="shared" si="2289"/>
        <v>12996.128790254847</v>
      </c>
      <c r="ER553" s="81">
        <f t="shared" ref="ER553:ER560" si="2293">IF(ISERROR((EQ553/EI553-1)*100),"NA",IF(((EQ553/EI553-1)*100)&gt;100,"NM",IF(((EQ553/EI553-1)*100)&lt;-50,"NM",(EQ553/EI553-1)*100)))</f>
        <v>3.8593548433242253</v>
      </c>
      <c r="ES553" s="82"/>
      <c r="ET553" s="490"/>
      <c r="EU553" s="82"/>
      <c r="EV553" s="145">
        <f>+EV518+EV520+EV529</f>
        <v>7671.4</v>
      </c>
      <c r="EW553" s="79"/>
      <c r="EX553" s="145">
        <f>+EX518+EX520+EX529</f>
        <v>6448.7</v>
      </c>
      <c r="EY553" s="79">
        <f>IF(ISERROR((EX553/EV553-1)*100),"NA",IF(((EX553/EV553-1)*100)&gt;100,"NM",IF(((EX553/EV553-1)*100)&lt;-50,"NM",(EX553/EV553-1)*100)))</f>
        <v>-15.938420627264904</v>
      </c>
      <c r="EZ553" s="145"/>
      <c r="FA553" s="79" t="str">
        <f>IF(ISERROR((EZ553/EX553-1)*100),"NA",IF(((EZ553/EX553-1)*100)&gt;100,"NM",IF(((EZ553/EX553-1)*100)&lt;-50,"NM",(EZ553/EX553-1)*100)))</f>
        <v>NM</v>
      </c>
      <c r="FB553" s="145">
        <f>+FB518+FB520+FB529</f>
        <v>8244.0999999999985</v>
      </c>
      <c r="FC553" s="79" t="str">
        <f t="shared" ref="FC553:FC560" si="2294">IF(ISERROR((FB553/EZ553-1)*100),"NA",IF(((FB553/EZ553-1)*100)&gt;100,"NM",IF(((FB553/EZ553-1)*100)&lt;-50,"NM",(FB553/EZ553-1)*100)))</f>
        <v>NA</v>
      </c>
      <c r="FD553" s="145">
        <f>+FD518+FD520+FD529</f>
        <v>9057.2000000000007</v>
      </c>
      <c r="FE553" s="79">
        <f t="shared" ref="FE553:FE560" si="2295">IF(ISERROR((FD553/FB553-1)*100),"NA",IF(((FD553/FB553-1)*100)&gt;100,"NM",IF(((FD553/FB553-1)*100)&lt;-50,"NM",(FD553/FB553-1)*100)))</f>
        <v>9.8628109799735917</v>
      </c>
      <c r="FF553" s="145">
        <f>+FF518+FF520+FF529</f>
        <v>10060</v>
      </c>
      <c r="FG553" s="79">
        <f t="shared" ref="FG553:FG560" si="2296">IF(ISERROR((FF553/FD553-1)*100),"NA",IF(((FF553/FD553-1)*100)&gt;100,"NM",IF(((FF553/FD553-1)*100)&lt;-50,"NM",(FF553/FD553-1)*100)))</f>
        <v>11.071854436249605</v>
      </c>
      <c r="FH553" s="145">
        <f>+FH518+FH520+FH529</f>
        <v>10086.1</v>
      </c>
      <c r="FI553" s="79">
        <f t="shared" ref="FI553:FI560" si="2297">IF(ISERROR((FH553/FF553-1)*100),"NA",IF(((FH553/FF553-1)*100)&gt;100,"NM",IF(((FH553/FF553-1)*100)&lt;-50,"NM",(FH553/FF553-1)*100)))</f>
        <v>0.25944333996024138</v>
      </c>
      <c r="FJ553" s="145">
        <f>+FJ518+FJ520+FJ529</f>
        <v>10625.5</v>
      </c>
      <c r="FK553" s="79">
        <f t="shared" ref="FK553:FK560" si="2298">IF(ISERROR((FJ553/FH553-1)*100),"NA",IF(((FJ553/FH553-1)*100)&gt;100,"NM",IF(((FJ553/FH553-1)*100)&lt;-50,"NM",(FJ553/FH553-1)*100)))</f>
        <v>5.3479541150692533</v>
      </c>
      <c r="FL553" s="145">
        <f>+FL518+FL520+FL529</f>
        <v>10378.4</v>
      </c>
      <c r="FM553" s="79">
        <f t="shared" ref="FM553:FM560" si="2299">IF(ISERROR((FL553/FJ553-1)*100),"NA",IF(((FL553/FJ553-1)*100)&gt;100,"NM",IF(((FL553/FJ553-1)*100)&lt;-50,"NM",(FL553/FJ553-1)*100)))</f>
        <v>-2.3255376217589774</v>
      </c>
      <c r="FN553" s="145">
        <f>+FN518+FN520+FN529</f>
        <v>10555.099999999999</v>
      </c>
      <c r="FO553" s="79">
        <f t="shared" ref="FO553:FO560" si="2300">IF(ISERROR((FN553/FL553-1)*100),"NA",IF(((FN553/FL553-1)*100)&gt;100,"NM",IF(((FN553/FL553-1)*100)&lt;-50,"NM",(FN553/FL553-1)*100)))</f>
        <v>1.7025745779696289</v>
      </c>
      <c r="FP553" s="145">
        <f>+FP518+FP520+FP529</f>
        <v>8657.2999999999993</v>
      </c>
      <c r="FQ553" s="79">
        <f t="shared" ref="FQ553:FQ560" si="2301">IF(ISERROR((FP553/FN553-1)*100),"NA",IF(((FP553/FN553-1)*100)&gt;100,"NM",IF(((FP553/FN553-1)*100)&lt;-50,"NM",(FP553/FN553-1)*100)))</f>
        <v>-17.979933870830212</v>
      </c>
      <c r="FR553" s="145">
        <f>+FR518+FR520+FR529</f>
        <v>11049.7</v>
      </c>
      <c r="FS553" s="79">
        <f t="shared" ref="FS553:FS560" si="2302">IF(ISERROR((FR553/FP553-1)*100),"NA",IF(((FR553/FP553-1)*100)&gt;100,"NM",IF(((FR553/FP553-1)*100)&lt;-50,"NM",(FR553/FP553-1)*100)))</f>
        <v>27.634481882342101</v>
      </c>
      <c r="FT553" s="145">
        <f>+FT518+FT520+FT529</f>
        <v>11116.2</v>
      </c>
      <c r="FU553" s="79">
        <f t="shared" ref="FU553:FU560" si="2303">IF(ISERROR((FT553/FR553-1)*100),"NA",IF(((FT553/FR553-1)*100)&gt;100,"NM",IF(((FT553/FR553-1)*100)&lt;-50,"NM",(FT553/FR553-1)*100)))</f>
        <v>0.60182629392653286</v>
      </c>
      <c r="FV553" s="145">
        <f>+FV518+FV520+FV529</f>
        <v>10739.9</v>
      </c>
      <c r="FW553" s="79">
        <f t="shared" ref="FW553:FW560" si="2304">IF(ISERROR((FV553/FT553-1)*100),"NA",IF(((FV553/FT553-1)*100)&gt;100,"NM",IF(((FV553/FT553-1)*100)&lt;-50,"NM",(FV553/FT553-1)*100)))</f>
        <v>-3.3851496014825289</v>
      </c>
      <c r="FX553" s="145">
        <f>+FX518+FX520+FX529</f>
        <v>11368</v>
      </c>
      <c r="FY553" s="79">
        <f t="shared" ref="FY553:FY560" si="2305">IF(ISERROR((FX553/FV553-1)*100),"NA",IF(((FX553/FV553-1)*100)&gt;100,"NM",IF(((FX553/FV553-1)*100)&lt;-50,"NM",(FX553/FV553-1)*100)))</f>
        <v>5.8482853657855216</v>
      </c>
      <c r="FZ553" s="145">
        <f>+FZ518+FZ520+FZ529</f>
        <v>11251.9</v>
      </c>
      <c r="GA553" s="79">
        <f t="shared" ref="GA553:GQ560" si="2306">IF(ISERROR((FZ553/FX553-1)*100),"NA",IF(((FZ553/FX553-1)*100)&gt;100,"NM",IF(((FZ553/FX553-1)*100)&lt;-50,"NM",(FZ553/FX553-1)*100)))</f>
        <v>-1.0212878254750257</v>
      </c>
      <c r="GB553" s="145">
        <f>+GB518+GB520+GB529</f>
        <v>11150.6</v>
      </c>
      <c r="GC553" s="79">
        <f t="shared" si="2306"/>
        <v>-0.9002923950621633</v>
      </c>
      <c r="GD553" s="145">
        <f>+GD518+GD520+GD529</f>
        <v>11113.3</v>
      </c>
      <c r="GE553" s="79">
        <f t="shared" si="2306"/>
        <v>-0.33451114738221044</v>
      </c>
      <c r="GF553" s="145">
        <f>+GF518+GF520+GF529</f>
        <v>11967.4</v>
      </c>
      <c r="GG553" s="79">
        <f t="shared" si="2306"/>
        <v>7.6853859789621559</v>
      </c>
      <c r="GH553" s="145">
        <f>+GH518+GH520+GH529</f>
        <v>12513.2</v>
      </c>
      <c r="GI553" s="79">
        <f t="shared" si="2306"/>
        <v>4.5607232982937118</v>
      </c>
      <c r="GJ553" s="145">
        <f>+GJ518+GJ520+GJ529</f>
        <v>12996.128790254847</v>
      </c>
      <c r="GK553" s="79">
        <f t="shared" si="2306"/>
        <v>3.8593548433242253</v>
      </c>
      <c r="GL553" s="145">
        <f>+GL518+GL520+GL529</f>
        <v>13495.002729138585</v>
      </c>
      <c r="GM553" s="79">
        <f t="shared" si="2306"/>
        <v>3.8386349268700659</v>
      </c>
      <c r="GN553" s="145">
        <f>+GN518+GN520+GN529</f>
        <v>13986.777516748734</v>
      </c>
      <c r="GO553" s="79">
        <f t="shared" si="2306"/>
        <v>3.6441251438082523</v>
      </c>
      <c r="GP553" s="145">
        <f>+GP518+GP520+GP529</f>
        <v>14499.572349577593</v>
      </c>
      <c r="GQ553" s="79">
        <f t="shared" si="2306"/>
        <v>3.6662829033693001</v>
      </c>
      <c r="GR553" s="145">
        <f>+GR518+GR520+GR529</f>
        <v>15002.960699800682</v>
      </c>
      <c r="GS553" s="79">
        <f t="shared" ref="GS553:GS560" si="2307">IF(ISERROR((GR553/GP553-1)*100),"NA",IF(((GR553/GP553-1)*100)&gt;100,"NM",IF(((GR553/GP553-1)*100)&lt;-50,"NM",(GR553/GP553-1)*100)))</f>
        <v>3.4717461873125854</v>
      </c>
      <c r="GT553" s="79">
        <f t="shared" ref="GT553:GT560" si="2308">IF(ISERROR(((GR553/GH553)^0.2-1)*100),"NA",(IF(OR(((GR553/GH553)^0.2-1)*100&gt;99,((GR553/GH553)^0.2-1)*100&lt;-50),"NM",(((GR553/GH553)^0.2-1)*100))))</f>
        <v>3.6959314775656171</v>
      </c>
    </row>
    <row r="554" spans="1:202" ht="12.75" customHeight="1" x14ac:dyDescent="0.2">
      <c r="A554" s="1" t="s">
        <v>497</v>
      </c>
      <c r="B554" s="2" t="s">
        <v>167</v>
      </c>
      <c r="C554" s="79"/>
      <c r="D554" s="79"/>
      <c r="E554" s="318">
        <f>E$518/(E$518+E$520+E$529)*100</f>
        <v>23.335423197492165</v>
      </c>
      <c r="F554" s="318"/>
      <c r="G554" s="318">
        <f>G$518/(G$518+G$520+G$529)*100</f>
        <v>25.202066391477373</v>
      </c>
      <c r="H554" s="318"/>
      <c r="I554" s="318">
        <f>I$518/(I$518+I$520+I$529)*100</f>
        <v>24.173558671940548</v>
      </c>
      <c r="J554" s="318"/>
      <c r="K554" s="318">
        <f>K$518/(K$518+K$520+K$529)*100</f>
        <v>24.310719180990045</v>
      </c>
      <c r="L554" s="79"/>
      <c r="M554" s="318">
        <f>M$518/(M$518+M$520+M$529)*100</f>
        <v>24.9424872850268</v>
      </c>
      <c r="N554" s="79">
        <f t="shared" si="2234"/>
        <v>6.8868006975221441</v>
      </c>
      <c r="O554" s="318">
        <f>O$518/(O$518+O$520+O$529)*100</f>
        <v>24.890299691905522</v>
      </c>
      <c r="P554" s="79">
        <f t="shared" si="2235"/>
        <v>-1.237068003587527</v>
      </c>
      <c r="Q554" s="318">
        <f>Q$518/(Q$518+Q$520+Q$529)*100</f>
        <v>23.42879741620802</v>
      </c>
      <c r="R554" s="79">
        <f t="shared" si="2236"/>
        <v>-3.0808920847761212</v>
      </c>
      <c r="S554" s="318">
        <f>S$518/(S$518+S$520+S$529)*100</f>
        <v>21.132358786379896</v>
      </c>
      <c r="T554" s="79">
        <f t="shared" si="2237"/>
        <v>-13.073905263549312</v>
      </c>
      <c r="U554" s="318">
        <f>U$518/(U$518+U$520+U$529)*100</f>
        <v>25.275992373819829</v>
      </c>
      <c r="V554" s="79">
        <f t="shared" si="2238"/>
        <v>1.3370963568386074</v>
      </c>
      <c r="W554" s="318">
        <f>W$518/(W$518+W$520+W$529)*100</f>
        <v>26.540419660275017</v>
      </c>
      <c r="X554" s="79">
        <f t="shared" si="2239"/>
        <v>6.6295705105797742</v>
      </c>
      <c r="Y554" s="318">
        <f>Y$518/(Y$518+Y$520+Y$529)*100</f>
        <v>26.214130628894761</v>
      </c>
      <c r="Z554" s="79">
        <f t="shared" si="2240"/>
        <v>11.888502696941039</v>
      </c>
      <c r="AA554" s="252">
        <f>AA$518/(AA$518+AA$520+AA$529)*100</f>
        <v>27.72365805168986</v>
      </c>
      <c r="AB554" s="79">
        <f t="shared" si="2241"/>
        <v>31.190551570410353</v>
      </c>
      <c r="AC554" s="318">
        <f>AC$518/(AC$518+AC$520+AC$529)*100</f>
        <v>28.105569719750491</v>
      </c>
      <c r="AD554" s="79">
        <f t="shared" si="2242"/>
        <v>11.194723056102273</v>
      </c>
      <c r="AE554" s="318">
        <f>AE$518/(AE$518+AE$520+AE$529)*100</f>
        <v>33.160143418425406</v>
      </c>
      <c r="AF554" s="79">
        <f t="shared" si="2243"/>
        <v>24.942046293482733</v>
      </c>
      <c r="AG554" s="318">
        <f>AG$518/(AG$518+AG$520+AG$529)*100</f>
        <v>29.316561501270183</v>
      </c>
      <c r="AH554" s="79">
        <f t="shared" si="2244"/>
        <v>11.834956178007827</v>
      </c>
      <c r="AI554" s="318">
        <f>AI$518/(AI$518+AI$520+AI$529)*100</f>
        <v>28.375685349143868</v>
      </c>
      <c r="AJ554" s="79">
        <f t="shared" si="2245"/>
        <v>2.3518804633873458</v>
      </c>
      <c r="AK554" s="318">
        <f>AK$518/(AK$518+AK$520+AK$529)*100</f>
        <v>28.867102396514159</v>
      </c>
      <c r="AL554" s="79">
        <f t="shared" si="2246"/>
        <v>2.7095436397737149</v>
      </c>
      <c r="AM554" s="318">
        <f>AM$518/(AM$518+AM$520+AM$529)*100</f>
        <v>26.706231454005934</v>
      </c>
      <c r="AN554" s="79">
        <f t="shared" si="2247"/>
        <v>-19.46285902018554</v>
      </c>
      <c r="AO554" s="318">
        <f>AO$518/(AO$518+AO$520+AO$529)*100</f>
        <v>28.337475370555559</v>
      </c>
      <c r="AP554" s="79">
        <f t="shared" si="2247"/>
        <v>-3.3397031594998072</v>
      </c>
      <c r="AQ554" s="318">
        <f>AQ$518/(AQ$518+AQ$520+AQ$529)*100</f>
        <v>30.695967248600063</v>
      </c>
      <c r="AR554" s="79">
        <f t="shared" si="2247"/>
        <v>8.1770074305049345</v>
      </c>
      <c r="AS554" s="318">
        <f>AS$518/(AS$518+AS$520+AS$529)*100</f>
        <v>30.346992449308559</v>
      </c>
      <c r="AT554" s="81">
        <f t="shared" si="2247"/>
        <v>5.1265625225104028</v>
      </c>
      <c r="AU554" s="318">
        <f>AU$518/(AU$518+AU$520+AU$529)*100</f>
        <v>26.827250353458659</v>
      </c>
      <c r="AV554" s="81">
        <f t="shared" si="2247"/>
        <v>0.45314854572853225</v>
      </c>
      <c r="AW554" s="318">
        <f>AW$518/(AW$518+AW$520+AW$529)*100</f>
        <v>25.222528554549033</v>
      </c>
      <c r="AX554" s="81">
        <f t="shared" si="2247"/>
        <v>-10.992322976108005</v>
      </c>
      <c r="AY554" s="318">
        <f>AY$518/(AY$518+AY$520+AY$529)*100</f>
        <v>25.626300778540045</v>
      </c>
      <c r="AZ554" s="81">
        <f t="shared" si="2247"/>
        <v>-16.5157410711377</v>
      </c>
      <c r="BA554" s="318">
        <f>BA$518/(BA$518+BA$520+BA$529)*100</f>
        <v>25.31008576086186</v>
      </c>
      <c r="BB554" s="81">
        <f t="shared" si="2247"/>
        <v>-16.597712926117204</v>
      </c>
      <c r="BC554" s="318">
        <f>BC$518/(BC$518+BC$520+BC$529)*100</f>
        <v>23.683910842400589</v>
      </c>
      <c r="BD554" s="81">
        <f t="shared" si="2247"/>
        <v>-11.716964913076977</v>
      </c>
      <c r="BE554" s="318">
        <f>BE$518/(BE$518+BE$520+BE$529)*100</f>
        <v>22.589956504547253</v>
      </c>
      <c r="BF554" s="81">
        <f t="shared" si="2248"/>
        <v>-10.43738356488838</v>
      </c>
      <c r="BG554" s="318">
        <f>BG$518/(BG$518+BG$520+BG$529)*100</f>
        <v>23.829238946101885</v>
      </c>
      <c r="BH554" s="81">
        <f t="shared" si="2249"/>
        <v>-7.0125682515326364</v>
      </c>
      <c r="BI554" s="318">
        <f>BI$518/(BI$518+BI$520+BI$529)*100</f>
        <v>24.641627450400058</v>
      </c>
      <c r="BJ554" s="81">
        <f t="shared" si="2250"/>
        <v>-2.6410748536279893</v>
      </c>
      <c r="BK554" s="318">
        <f>BK$518/(BK$518+BK$520+BK$529)*100</f>
        <v>23.069279103848395</v>
      </c>
      <c r="BL554" s="81">
        <f t="shared" si="2251"/>
        <v>-2.5951446221957442</v>
      </c>
      <c r="BM554" s="318">
        <f>BM$518/(BM$518+BM$520+BM$529)*100</f>
        <v>25.333377672840939</v>
      </c>
      <c r="BN554" s="81">
        <f t="shared" si="2252"/>
        <v>12.144428732040492</v>
      </c>
      <c r="BO554" s="318">
        <f>BO$518/(BO$518+BO$520+BO$529)*100</f>
        <v>26.098206138172415</v>
      </c>
      <c r="BP554" s="81">
        <f t="shared" si="2253"/>
        <v>9.5217778343764436</v>
      </c>
      <c r="BQ554" s="318">
        <f>BQ$518/(BQ$518+BQ$520+BQ$529)*100</f>
        <v>25.983888997729711</v>
      </c>
      <c r="BR554" s="81">
        <f t="shared" si="2254"/>
        <v>5.4471302678016142</v>
      </c>
      <c r="BS554" s="318">
        <f>BS$518/(BS$518+BS$520+BS$529)*100</f>
        <v>23.132901634289237</v>
      </c>
      <c r="BT554" s="81">
        <f t="shared" si="2255"/>
        <v>0.27578898393156859</v>
      </c>
      <c r="BU554" s="318">
        <f>BU$518/(BU$518+BU$520+BU$529)*100</f>
        <v>23.839529898736046</v>
      </c>
      <c r="BV554" s="81">
        <f t="shared" si="2256"/>
        <v>-5.8967572085991353</v>
      </c>
      <c r="BW554" s="318">
        <f>BW$518/(BW$518+BW$520+BW$529)*100</f>
        <v>23.073929608948664</v>
      </c>
      <c r="BX554" s="81">
        <f t="shared" si="2257"/>
        <v>-11.588062846972102</v>
      </c>
      <c r="BY554" s="318">
        <f>BY$518/(BY$518+BY$520+BY$529)*100</f>
        <v>20.694763083259566</v>
      </c>
      <c r="BZ554" s="81">
        <f t="shared" si="2258"/>
        <v>-20.355405285684025</v>
      </c>
      <c r="CA554" s="318">
        <f>CA$518/(CA$518+CA$520+CA$529)*100</f>
        <v>20.351034699465821</v>
      </c>
      <c r="CB554" s="81">
        <f t="shared" si="2259"/>
        <v>-12.025585803295568</v>
      </c>
      <c r="CC554" s="318">
        <f>CC$518/(CC$518+CC$520+CC$529)*100</f>
        <v>22.971153348179605</v>
      </c>
      <c r="CD554" s="81">
        <f t="shared" si="2260"/>
        <v>-3.6425909162012493</v>
      </c>
      <c r="CE554" s="318">
        <f>CE$518/(CE$518+CE$520+CE$529)*100</f>
        <v>23.670858746694016</v>
      </c>
      <c r="CF554" s="81">
        <f t="shared" si="2261"/>
        <v>2.587028511666456</v>
      </c>
      <c r="CG554" s="318">
        <f>CG$518/(CG$518+CG$520+CG$529)*100</f>
        <v>23.411100726148533</v>
      </c>
      <c r="CH554" s="81">
        <f t="shared" si="2262"/>
        <v>13.125724764089085</v>
      </c>
      <c r="CI554" s="318">
        <f>CI$518/(CI$518+CI$520+CI$529)*100</f>
        <v>23.102731353005737</v>
      </c>
      <c r="CJ554" s="81">
        <f t="shared" si="2263"/>
        <v>13.521163391324498</v>
      </c>
      <c r="CK554" s="318">
        <f>CK$518/(CK$518+CK$520+CK$529)*100</f>
        <v>21.470788438231533</v>
      </c>
      <c r="CL554" s="81">
        <f t="shared" si="2264"/>
        <v>-6.5315175394402676</v>
      </c>
      <c r="CM554" s="318">
        <f>CM$518/(CM$518+CM$520+CM$529)*100</f>
        <v>23.931321520684548</v>
      </c>
      <c r="CN554" s="81">
        <f t="shared" si="2265"/>
        <v>1.1003520268435985</v>
      </c>
      <c r="CO554" s="318">
        <f>CO$518/(CO$518+CO$520+CO$529)*100</f>
        <v>23.785254409421675</v>
      </c>
      <c r="CP554" s="81">
        <f t="shared" si="2266"/>
        <v>1.5981891994306663</v>
      </c>
      <c r="CQ554" s="318">
        <f>CQ$518/(CQ$518+CQ$520+CQ$529)*100</f>
        <v>23.249620179019239</v>
      </c>
      <c r="CR554" s="81">
        <f t="shared" si="2267"/>
        <v>0.63580718560531935</v>
      </c>
      <c r="CS554" s="318">
        <f>CS$518/(CS$518+CS$520+CS$529)*100</f>
        <v>24.282396899116527</v>
      </c>
      <c r="CT554" s="81">
        <f t="shared" si="2268"/>
        <v>13.095040589560082</v>
      </c>
      <c r="CU554" s="318">
        <f>CU$518/(CU$518+CU$520+CU$529)*100</f>
        <v>24.238212526389869</v>
      </c>
      <c r="CV554" s="81">
        <f t="shared" si="2269"/>
        <v>1.2823821928933832</v>
      </c>
      <c r="CW554" s="318">
        <f>CW$518/(CW$518+CW$520+CW$529)*100</f>
        <v>23.806725606987371</v>
      </c>
      <c r="CX554" s="81">
        <f t="shared" si="2270"/>
        <v>9.027104438785738E-2</v>
      </c>
      <c r="CY554" s="318">
        <f>CY$518/(CY$518+CY$520+CY$529)*100</f>
        <v>23.98272953213722</v>
      </c>
      <c r="CZ554" s="81">
        <f t="shared" si="2271"/>
        <v>3.1532100200912128</v>
      </c>
      <c r="DA554" s="318">
        <f>DA$518/(DA$518+DA$520+DA$529)*100</f>
        <v>23.283368137896858</v>
      </c>
      <c r="DB554" s="81">
        <f t="shared" si="2272"/>
        <v>-4.1142098342689444</v>
      </c>
      <c r="DC554" s="318">
        <f>DC$518/(DC$518+DC$520+DC$529)*100</f>
        <v>23.213857215225875</v>
      </c>
      <c r="DD554" s="81">
        <f t="shared" si="2273"/>
        <v>-4.2261998901474529</v>
      </c>
      <c r="DE554" s="318">
        <f>DE$518/(DE$518+DE$520+DE$529)*100</f>
        <v>24.813156477242124</v>
      </c>
      <c r="DF554" s="81">
        <f t="shared" si="2274"/>
        <v>4.2275064906841298</v>
      </c>
      <c r="DG554" s="318">
        <f>DG$518/(DG$518+DG$520+DG$529)*100</f>
        <v>23.197653647066645</v>
      </c>
      <c r="DH554" s="81">
        <f t="shared" si="2275"/>
        <v>-3.2735051446857288</v>
      </c>
      <c r="DI554" s="318">
        <f>DI$518/(DI$518+DI$520+DI$529)*100</f>
        <v>23.143443952005192</v>
      </c>
      <c r="DJ554" s="81">
        <f t="shared" si="2276"/>
        <v>-0.6009619616155093</v>
      </c>
      <c r="DK554" s="318">
        <f>DK$518/(DK$518+DK$520+DK$529)*100</f>
        <v>23.574516169533482</v>
      </c>
      <c r="DL554" s="81">
        <f t="shared" si="2277"/>
        <v>1.5536364808475422</v>
      </c>
      <c r="DM554" s="318">
        <f>DM$518/(DM$518+DM$520+DM$529)*100</f>
        <v>23.056008218789852</v>
      </c>
      <c r="DN554" s="81">
        <f t="shared" si="2278"/>
        <v>-7.0815184680912076</v>
      </c>
      <c r="DO554" s="318">
        <f>DO$518/(DO$518+DO$520+DO$529)*100</f>
        <v>23.257783985941515</v>
      </c>
      <c r="DP554" s="81">
        <f t="shared" si="2278"/>
        <v>0.25920871045712612</v>
      </c>
      <c r="DQ554" s="318">
        <f>DQ$518/(DQ$518+DQ$520+DQ$529)*100</f>
        <v>20.53212572465781</v>
      </c>
      <c r="DR554" s="81">
        <f t="shared" si="2279"/>
        <v>-11.283187725918086</v>
      </c>
      <c r="DS554" s="318">
        <f>DS$518/(DS$518+DS$520+DS$529)*100</f>
        <v>22.04025806916038</v>
      </c>
      <c r="DT554" s="81">
        <f t="shared" si="2280"/>
        <v>-6.5081212667935873</v>
      </c>
      <c r="DU554" s="318">
        <f>DU$518/(DU$518+DU$520+DU$529)*100</f>
        <v>21.495582074840712</v>
      </c>
      <c r="DV554" s="81">
        <f t="shared" si="2281"/>
        <v>-6.7679805157141111</v>
      </c>
      <c r="DW554" s="318">
        <f>DW$518/(DW$518+DW$520+DW$529)*100</f>
        <v>24.94016197252369</v>
      </c>
      <c r="DX554" s="81">
        <f t="shared" si="2282"/>
        <v>7.2336125728879042</v>
      </c>
      <c r="DY554" s="318">
        <f>DY$518/(DY$518+DY$520+DY$529)*100</f>
        <v>24.390598497698083</v>
      </c>
      <c r="DZ554" s="81">
        <f t="shared" si="2283"/>
        <v>18.792368723938235</v>
      </c>
      <c r="EA554" s="318">
        <f>EA$518/(EA$518+EA$520+EA$529)*100</f>
        <v>25.063088055885157</v>
      </c>
      <c r="EB554" s="81">
        <f t="shared" si="2284"/>
        <v>13.715038985657069</v>
      </c>
      <c r="EC554" s="318">
        <f>EC$518/(EC$518+EC$520+EC$529)*100</f>
        <v>24.690030343440096</v>
      </c>
      <c r="ED554" s="81">
        <f t="shared" si="2285"/>
        <v>14.860952624950286</v>
      </c>
      <c r="EE554" s="318">
        <f>EE$518/(EE$518+EE$520+EE$529)*100</f>
        <v>24.162800162800163</v>
      </c>
      <c r="EF554" s="81">
        <f t="shared" si="2286"/>
        <v>-3.1169076230536774</v>
      </c>
      <c r="EG554" s="318">
        <f>EG$518/(EG$518+EG$520+EG$529)*100</f>
        <v>22.569595253509469</v>
      </c>
      <c r="EH554" s="81">
        <f t="shared" si="2287"/>
        <v>-7.4660047573677835</v>
      </c>
      <c r="EI554" s="318">
        <f>EI$518/(EI$518+EI$520+EI$529)*100</f>
        <v>23.481603426781319</v>
      </c>
      <c r="EJ554" s="81">
        <f t="shared" si="2288"/>
        <v>-6.3100150531230419</v>
      </c>
      <c r="EK554" s="318">
        <f t="shared" ref="EK554:EQ554" si="2309">EK$518/(EK$518+EK$520+EK$529)*100</f>
        <v>23.27498551396576</v>
      </c>
      <c r="EL554" s="81">
        <f t="shared" si="2290"/>
        <v>-5.731239734382509</v>
      </c>
      <c r="EM554" s="318">
        <f t="shared" si="2309"/>
        <v>23.043561849057458</v>
      </c>
      <c r="EN554" s="81">
        <f t="shared" si="2291"/>
        <v>-4.6320720537424638</v>
      </c>
      <c r="EO554" s="318">
        <f t="shared" si="2309"/>
        <v>22.82719434732795</v>
      </c>
      <c r="EP554" s="81">
        <f t="shared" si="2292"/>
        <v>1.1413545122322288</v>
      </c>
      <c r="EQ554" s="318">
        <f t="shared" si="2309"/>
        <v>22.609040333636013</v>
      </c>
      <c r="ER554" s="81">
        <f t="shared" si="2293"/>
        <v>-3.7159434016764248</v>
      </c>
      <c r="ES554" s="82"/>
      <c r="ET554" s="490"/>
      <c r="EU554" s="82"/>
      <c r="EV554" s="318">
        <f>EV$518/(EV$518+EV$520+EV$529)*100</f>
        <v>15.971009203013791</v>
      </c>
      <c r="EW554" s="79"/>
      <c r="EX554" s="318">
        <f>EX$518/(EX$518+EX$520+EX$529)*100</f>
        <v>18.088917146091461</v>
      </c>
      <c r="EY554" s="79">
        <f t="shared" ref="EY554:EY560" si="2310">IF(ISERROR((EX554/EV554-1)*100),"NA",IF(((EX554/EV554-1)*100)&gt;100,"NM",IF(((EX554/EV554-1)*100)&lt;-50,"NM",(EX554/EV554-1)*100)))</f>
        <v>13.260952493083611</v>
      </c>
      <c r="EZ554" s="318"/>
      <c r="FA554" s="79" t="str">
        <f t="shared" ref="FA554:FA560" si="2311">IF(ISERROR((EZ554/EX554-1)*100),"NA",IF(((EZ554/EX554-1)*100)&gt;100,"NM",IF(((EZ554/EX554-1)*100)&lt;-50,"NM",(EZ554/EX554-1)*100)))</f>
        <v>NM</v>
      </c>
      <c r="FB554" s="318">
        <f>FB$518/(FB$518+FB$520+FB$529)*100</f>
        <v>24.310719180990045</v>
      </c>
      <c r="FC554" s="79" t="str">
        <f t="shared" si="2294"/>
        <v>NA</v>
      </c>
      <c r="FD554" s="318">
        <f>FD$518/(FD$518+FD$520+FD$529)*100</f>
        <v>21.132358786379896</v>
      </c>
      <c r="FE554" s="79">
        <f t="shared" si="2295"/>
        <v>-13.073905263549312</v>
      </c>
      <c r="FF554" s="318">
        <f>FF$518/(FF$518+FF$520+FF$529)*100</f>
        <v>27.72365805168986</v>
      </c>
      <c r="FG554" s="79">
        <f t="shared" si="2296"/>
        <v>31.190551570410353</v>
      </c>
      <c r="FH554" s="318">
        <f>FH$518/(FH$518+FH$520+FH$529)*100</f>
        <v>28.375685349143868</v>
      </c>
      <c r="FI554" s="79">
        <f t="shared" si="2297"/>
        <v>2.3518804633873458</v>
      </c>
      <c r="FJ554" s="318">
        <f>FJ$518/(FJ$518+FJ$520+FJ$529)*100</f>
        <v>30.695967248600063</v>
      </c>
      <c r="FK554" s="79">
        <f t="shared" si="2298"/>
        <v>8.1770074305049345</v>
      </c>
      <c r="FL554" s="318">
        <f>FL$518/(FL$518+FL$520+FL$529)*100</f>
        <v>25.626300778540045</v>
      </c>
      <c r="FM554" s="79">
        <f t="shared" si="2299"/>
        <v>-16.5157410711377</v>
      </c>
      <c r="FN554" s="318">
        <f>FN$518/(FN$518+FN$520+FN$529)*100</f>
        <v>23.829238946101885</v>
      </c>
      <c r="FO554" s="79">
        <f t="shared" si="2300"/>
        <v>-7.0125682515326364</v>
      </c>
      <c r="FP554" s="318">
        <f>FP$518/(FP$518+FP$520+FP$529)*100</f>
        <v>26.098206138172415</v>
      </c>
      <c r="FQ554" s="79">
        <f t="shared" si="2301"/>
        <v>9.5217778343764436</v>
      </c>
      <c r="FR554" s="318">
        <f>FR$518/(FR$518+FR$520+FR$529)*100</f>
        <v>23.073929608948664</v>
      </c>
      <c r="FS554" s="79">
        <f t="shared" si="2302"/>
        <v>-11.588062846972102</v>
      </c>
      <c r="FT554" s="318">
        <f>FT$518/(FT$518+FT$520+FT$529)*100</f>
        <v>23.670858746694016</v>
      </c>
      <c r="FU554" s="79">
        <f t="shared" si="2303"/>
        <v>2.587028511666456</v>
      </c>
      <c r="FV554" s="318">
        <f>FV$518/(FV$518+FV$520+FV$529)*100</f>
        <v>23.931321520684548</v>
      </c>
      <c r="FW554" s="79">
        <f t="shared" si="2304"/>
        <v>1.1003520268435985</v>
      </c>
      <c r="FX554" s="318">
        <f>FX$518/(FX$518+FX$520+FX$529)*100</f>
        <v>24.238212526389869</v>
      </c>
      <c r="FY554" s="79">
        <f t="shared" si="2305"/>
        <v>1.2823821928933832</v>
      </c>
      <c r="FZ554" s="318">
        <f>FZ$518/(FZ$518+FZ$520+FZ$529)*100</f>
        <v>23.213857215225875</v>
      </c>
      <c r="GA554" s="79">
        <f t="shared" si="2306"/>
        <v>-4.2261998901474529</v>
      </c>
      <c r="GB554" s="318">
        <f>GB$518/(GB$518+GB$520+GB$529)*100</f>
        <v>23.574516169533482</v>
      </c>
      <c r="GC554" s="79">
        <f t="shared" si="2306"/>
        <v>1.5536364808475422</v>
      </c>
      <c r="GD554" s="318">
        <f>GD$518/(GD$518+GD$520+GD$529)*100</f>
        <v>22.04025806916038</v>
      </c>
      <c r="GE554" s="79">
        <f t="shared" si="2306"/>
        <v>-6.5081212667935873</v>
      </c>
      <c r="GF554" s="318">
        <f>GF$518/(GF$518+GF$520+GF$529)*100</f>
        <v>25.063088055885157</v>
      </c>
      <c r="GG554" s="79">
        <f t="shared" si="2306"/>
        <v>13.715038985657069</v>
      </c>
      <c r="GH554" s="318">
        <f>GH$518/(GH$518+GH$520+GH$529)*100</f>
        <v>23.481603426781319</v>
      </c>
      <c r="GI554" s="79">
        <f t="shared" si="2306"/>
        <v>-6.3100150531230419</v>
      </c>
      <c r="GJ554" s="318">
        <f>GJ$518/(GJ$518+GJ$520+GJ$529)*100</f>
        <v>22.609040333636013</v>
      </c>
      <c r="GK554" s="79">
        <f t="shared" si="2306"/>
        <v>-3.7159434016764248</v>
      </c>
      <c r="GL554" s="318">
        <f>GL$518/(GL$518+GL$520+GL$529)*100</f>
        <v>21.773244948336206</v>
      </c>
      <c r="GM554" s="79">
        <f t="shared" si="2306"/>
        <v>-3.696730922525604</v>
      </c>
      <c r="GN554" s="318">
        <f>GN$518/(GN$518+GN$520+GN$529)*100</f>
        <v>21.007698138341564</v>
      </c>
      <c r="GO554" s="79">
        <f t="shared" si="2306"/>
        <v>-3.5159977844879786</v>
      </c>
      <c r="GP554" s="318">
        <f>GP$518/(GP$518+GP$520+GP$529)*100</f>
        <v>20.264735601568276</v>
      </c>
      <c r="GQ554" s="79">
        <f t="shared" si="2306"/>
        <v>-3.5366203944890651</v>
      </c>
      <c r="GR554" s="318">
        <f>GR$518/(GR$518+GR$520+GR$529)*100</f>
        <v>19.5848010189018</v>
      </c>
      <c r="GS554" s="79">
        <f t="shared" si="2307"/>
        <v>-3.3552600736318383</v>
      </c>
      <c r="GT554" s="79">
        <f t="shared" si="2308"/>
        <v>-3.5642010490693377</v>
      </c>
    </row>
    <row r="555" spans="1:202" ht="12.75" customHeight="1" x14ac:dyDescent="0.2">
      <c r="A555" s="1"/>
      <c r="B555" s="2" t="s">
        <v>168</v>
      </c>
      <c r="C555" s="79"/>
      <c r="D555" s="79"/>
      <c r="E555" s="318">
        <f>(E$518+E$520)/(E$518+E$520+E$529)*100</f>
        <v>27.097178683385582</v>
      </c>
      <c r="F555" s="318"/>
      <c r="G555" s="318">
        <f>(G$518+G$520)/(G$518+G$520+G$529)*100</f>
        <v>28.909706602071335</v>
      </c>
      <c r="H555" s="318"/>
      <c r="I555" s="318">
        <f>(I$518+I$520)/(I$518+I$520+I$529)*100</f>
        <v>27.769387510487835</v>
      </c>
      <c r="J555" s="318"/>
      <c r="K555" s="318">
        <f>(K$518+K$520)/(K$518+K$520+K$529)*100</f>
        <v>27.94968522943681</v>
      </c>
      <c r="L555" s="79"/>
      <c r="M555" s="318">
        <f>(M$518+M$520)/(M$518+M$520+M$529)*100</f>
        <v>28.673041769775047</v>
      </c>
      <c r="N555" s="79">
        <f t="shared" si="2234"/>
        <v>5.8155983868375616</v>
      </c>
      <c r="O555" s="318">
        <f>(O$518+O$520)/(O$518+O$520+O$529)*100</f>
        <v>28.391373354495382</v>
      </c>
      <c r="P555" s="79">
        <f t="shared" si="2235"/>
        <v>-1.7929384573512563</v>
      </c>
      <c r="Q555" s="318">
        <f>(Q$518+Q$520)/(Q$518+Q$520+Q$529)*100</f>
        <v>26.72445044985664</v>
      </c>
      <c r="R555" s="79">
        <f t="shared" si="2236"/>
        <v>-3.7629100038182206</v>
      </c>
      <c r="S555" s="318">
        <f>(S$518+S$520)/(S$518+S$520+S$529)*100</f>
        <v>24.444640727818751</v>
      </c>
      <c r="T555" s="79">
        <f t="shared" si="2237"/>
        <v>-12.540550896532176</v>
      </c>
      <c r="U555" s="318">
        <f>(U$518+U$520)/(U$518+U$520+U$529)*100</f>
        <v>25.275992373819829</v>
      </c>
      <c r="V555" s="79">
        <f t="shared" si="2238"/>
        <v>-11.847537569369882</v>
      </c>
      <c r="W555" s="318">
        <f>(W$518+W$520)/(W$518+W$520+W$529)*100</f>
        <v>26.540419660275017</v>
      </c>
      <c r="X555" s="79">
        <f t="shared" si="2239"/>
        <v>-6.5194228933884713</v>
      </c>
      <c r="Y555" s="318">
        <f>(Y$518+Y$520)/(Y$518+Y$520+Y$529)*100</f>
        <v>26.214130628894761</v>
      </c>
      <c r="Z555" s="79">
        <f t="shared" si="2240"/>
        <v>-1.9095615152850298</v>
      </c>
      <c r="AA555" s="252">
        <f>(AA$518+AA$520)/(AA$518+AA$520+AA$529)*100</f>
        <v>27.72365805168986</v>
      </c>
      <c r="AB555" s="79">
        <f t="shared" si="2241"/>
        <v>13.41405406764471</v>
      </c>
      <c r="AC555" s="318">
        <f>(AC$518+AC$520)/(AC$518+AC$520+AC$529)*100</f>
        <v>28.105569719750491</v>
      </c>
      <c r="AD555" s="79">
        <f t="shared" si="2242"/>
        <v>11.194723056102273</v>
      </c>
      <c r="AE555" s="318">
        <f>(AE$518+AE$520)/(AE$518+AE$520+AE$529)*100</f>
        <v>33.160143418425406</v>
      </c>
      <c r="AF555" s="79">
        <f t="shared" si="2243"/>
        <v>24.942046293482733</v>
      </c>
      <c r="AG555" s="318">
        <f>(AG$518+AG$520)/(AG$518+AG$520+AG$529)*100</f>
        <v>29.316561501270183</v>
      </c>
      <c r="AH555" s="79">
        <f t="shared" si="2244"/>
        <v>11.834956178007827</v>
      </c>
      <c r="AI555" s="318">
        <f>(AI$518+AI$520)/(AI$518+AI$520+AI$529)*100</f>
        <v>28.375685349143868</v>
      </c>
      <c r="AJ555" s="79">
        <f t="shared" si="2245"/>
        <v>2.3518804633873458</v>
      </c>
      <c r="AK555" s="318">
        <f>(AK$518+AK$520)/(AK$518+AK$520+AK$529)*100</f>
        <v>28.867102396514159</v>
      </c>
      <c r="AL555" s="79">
        <f t="shared" si="2246"/>
        <v>2.7095436397737149</v>
      </c>
      <c r="AM555" s="318">
        <f>(AM$518+AM$520)/(AM$518+AM$520+AM$529)*100</f>
        <v>26.706231454005934</v>
      </c>
      <c r="AN555" s="79">
        <f t="shared" si="2247"/>
        <v>-19.46285902018554</v>
      </c>
      <c r="AO555" s="318">
        <f>(AO$518+AO$520)/(AO$518+AO$520+AO$529)*100</f>
        <v>28.337475370555559</v>
      </c>
      <c r="AP555" s="79">
        <f t="shared" si="2247"/>
        <v>-3.3397031594998072</v>
      </c>
      <c r="AQ555" s="318">
        <f>(AQ$518+AQ$520)/(AQ$518+AQ$520+AQ$529)*100</f>
        <v>30.695967248600063</v>
      </c>
      <c r="AR555" s="79">
        <f t="shared" si="2247"/>
        <v>8.1770074305049345</v>
      </c>
      <c r="AS555" s="318">
        <f>(AS$518+AS$520)/(AS$518+AS$520+AS$529)*100</f>
        <v>30.346992449308559</v>
      </c>
      <c r="AT555" s="81">
        <f t="shared" si="2247"/>
        <v>5.1265625225104028</v>
      </c>
      <c r="AU555" s="318">
        <f>(AU$518+AU$520)/(AU$518+AU$520+AU$529)*100</f>
        <v>26.827250353458659</v>
      </c>
      <c r="AV555" s="81">
        <f t="shared" si="2247"/>
        <v>0.45314854572853225</v>
      </c>
      <c r="AW555" s="318">
        <f>(AW$518+AW$520)/(AW$518+AW$520+AW$529)*100</f>
        <v>25.222528554549033</v>
      </c>
      <c r="AX555" s="81">
        <f t="shared" si="2247"/>
        <v>-10.992322976108005</v>
      </c>
      <c r="AY555" s="318">
        <f>(AY$518+AY$520)/(AY$518+AY$520+AY$529)*100</f>
        <v>25.626300778540045</v>
      </c>
      <c r="AZ555" s="81">
        <f t="shared" si="2247"/>
        <v>-16.5157410711377</v>
      </c>
      <c r="BA555" s="318">
        <f>(BA$518+BA$520)/(BA$518+BA$520+BA$529)*100</f>
        <v>25.31008576086186</v>
      </c>
      <c r="BB555" s="81">
        <f t="shared" si="2247"/>
        <v>-16.597712926117204</v>
      </c>
      <c r="BC555" s="318">
        <f>(BC$518+BC$520)/(BC$518+BC$520+BC$529)*100</f>
        <v>23.683910842400589</v>
      </c>
      <c r="BD555" s="81">
        <f t="shared" si="2247"/>
        <v>-11.716964913076977</v>
      </c>
      <c r="BE555" s="318">
        <f>(BE$518+BE$520)/(BE$518+BE$520+BE$529)*100</f>
        <v>22.589956504547253</v>
      </c>
      <c r="BF555" s="81">
        <f t="shared" si="2248"/>
        <v>-10.43738356488838</v>
      </c>
      <c r="BG555" s="318">
        <f>(BG$518+BG$520)/(BG$518+BG$520+BG$529)*100</f>
        <v>23.829238946101885</v>
      </c>
      <c r="BH555" s="81">
        <f t="shared" si="2249"/>
        <v>-7.0125682515326364</v>
      </c>
      <c r="BI555" s="318">
        <f>(BI$518+BI$520)/(BI$518+BI$520+BI$529)*100</f>
        <v>24.641627450400058</v>
      </c>
      <c r="BJ555" s="81">
        <f t="shared" si="2250"/>
        <v>-2.6410748536279893</v>
      </c>
      <c r="BK555" s="318">
        <f>(BK$518+BK$520)/(BK$518+BK$520+BK$529)*100</f>
        <v>23.069279103848395</v>
      </c>
      <c r="BL555" s="81">
        <f t="shared" si="2251"/>
        <v>-2.5951446221957442</v>
      </c>
      <c r="BM555" s="318">
        <f>(BM$518+BM$520)/(BM$518+BM$520+BM$529)*100</f>
        <v>25.333377672840939</v>
      </c>
      <c r="BN555" s="81">
        <f t="shared" si="2252"/>
        <v>12.144428732040492</v>
      </c>
      <c r="BO555" s="318">
        <f>(BO$518+BO$520)/(BO$518+BO$520+BO$529)*100</f>
        <v>26.098206138172415</v>
      </c>
      <c r="BP555" s="81">
        <f t="shared" si="2253"/>
        <v>9.5217778343764436</v>
      </c>
      <c r="BQ555" s="318">
        <f>(BQ$518+BQ$520)/(BQ$518+BQ$520+BQ$529)*100</f>
        <v>25.983888997729711</v>
      </c>
      <c r="BR555" s="81">
        <f t="shared" si="2254"/>
        <v>5.4471302678016142</v>
      </c>
      <c r="BS555" s="318">
        <f>(BS$518+BS$520)/(BS$518+BS$520+BS$529)*100</f>
        <v>23.132901634289237</v>
      </c>
      <c r="BT555" s="81">
        <f t="shared" si="2255"/>
        <v>0.27578898393156859</v>
      </c>
      <c r="BU555" s="318">
        <f>(BU$518+BU$520)/(BU$518+BU$520+BU$529)*100</f>
        <v>23.839529898736046</v>
      </c>
      <c r="BV555" s="81">
        <f t="shared" si="2256"/>
        <v>-5.8967572085991353</v>
      </c>
      <c r="BW555" s="318">
        <f>(BW$518+BW$520)/(BW$518+BW$520+BW$529)*100</f>
        <v>23.073929608948664</v>
      </c>
      <c r="BX555" s="81">
        <f t="shared" si="2257"/>
        <v>-11.588062846972102</v>
      </c>
      <c r="BY555" s="318">
        <f>(BY$518+BY$520)/(BY$518+BY$520+BY$529)*100</f>
        <v>20.694763083259566</v>
      </c>
      <c r="BZ555" s="81">
        <f t="shared" si="2258"/>
        <v>-20.355405285684025</v>
      </c>
      <c r="CA555" s="318">
        <f>(CA$518+CA$520)/(CA$518+CA$520+CA$529)*100</f>
        <v>20.351034699465821</v>
      </c>
      <c r="CB555" s="81">
        <f t="shared" si="2259"/>
        <v>-12.025585803295568</v>
      </c>
      <c r="CC555" s="318">
        <f>(CC$518+CC$520)/(CC$518+CC$520+CC$529)*100</f>
        <v>22.971153348179605</v>
      </c>
      <c r="CD555" s="81">
        <f t="shared" si="2260"/>
        <v>-3.6425909162012493</v>
      </c>
      <c r="CE555" s="318">
        <f>(CE$518+CE$520)/(CE$518+CE$520+CE$529)*100</f>
        <v>23.670858746694016</v>
      </c>
      <c r="CF555" s="81">
        <f t="shared" si="2261"/>
        <v>2.587028511666456</v>
      </c>
      <c r="CG555" s="318">
        <f>(CG$518+CG$520)/(CG$518+CG$520+CG$529)*100</f>
        <v>23.411100726148533</v>
      </c>
      <c r="CH555" s="81">
        <f t="shared" si="2262"/>
        <v>13.125724764089085</v>
      </c>
      <c r="CI555" s="318">
        <f>(CI$518+CI$520)/(CI$518+CI$520+CI$529)*100</f>
        <v>23.102731353005737</v>
      </c>
      <c r="CJ555" s="81">
        <f t="shared" si="2263"/>
        <v>13.521163391324498</v>
      </c>
      <c r="CK555" s="318">
        <f>(CK$518+CK$520)/(CK$518+CK$520+CK$529)*100</f>
        <v>21.470788438231533</v>
      </c>
      <c r="CL555" s="81">
        <f t="shared" si="2264"/>
        <v>-6.5315175394402676</v>
      </c>
      <c r="CM555" s="318">
        <f>(CM$518+CM$520)/(CM$518+CM$520+CM$529)*100</f>
        <v>23.931321520684548</v>
      </c>
      <c r="CN555" s="81">
        <f t="shared" si="2265"/>
        <v>1.1003520268435985</v>
      </c>
      <c r="CO555" s="318">
        <f>(CO$518+CO$520)/(CO$518+CO$520+CO$529)*100</f>
        <v>23.785254409421675</v>
      </c>
      <c r="CP555" s="81">
        <f t="shared" si="2266"/>
        <v>1.5981891994306663</v>
      </c>
      <c r="CQ555" s="318">
        <f>(CQ$518+CQ$520)/(CQ$518+CQ$520+CQ$529)*100</f>
        <v>23.249620179019239</v>
      </c>
      <c r="CR555" s="81">
        <f t="shared" si="2267"/>
        <v>0.63580718560531935</v>
      </c>
      <c r="CS555" s="318">
        <f>(CS$518+CS$520)/(CS$518+CS$520+CS$529)*100</f>
        <v>24.282396899116527</v>
      </c>
      <c r="CT555" s="81">
        <f t="shared" si="2268"/>
        <v>13.095040589560082</v>
      </c>
      <c r="CU555" s="318">
        <f>(CU$518+CU$520)/(CU$518+CU$520+CU$529)*100</f>
        <v>24.238212526389869</v>
      </c>
      <c r="CV555" s="81">
        <f t="shared" si="2269"/>
        <v>1.2823821928933832</v>
      </c>
      <c r="CW555" s="318">
        <f>(CW$518+CW$520)/(CW$518+CW$520+CW$529)*100</f>
        <v>23.806725606987371</v>
      </c>
      <c r="CX555" s="81">
        <f t="shared" si="2270"/>
        <v>9.027104438785738E-2</v>
      </c>
      <c r="CY555" s="318">
        <f>(CY$518+CY$520)/(CY$518+CY$520+CY$529)*100</f>
        <v>23.98272953213722</v>
      </c>
      <c r="CZ555" s="81">
        <f t="shared" si="2271"/>
        <v>3.1532100200912128</v>
      </c>
      <c r="DA555" s="318">
        <f>(DA$518+DA$520)/(DA$518+DA$520+DA$529)*100</f>
        <v>23.283368137896858</v>
      </c>
      <c r="DB555" s="81">
        <f t="shared" si="2272"/>
        <v>-4.1142098342689444</v>
      </c>
      <c r="DC555" s="318">
        <f>(DC$518+DC$520)/(DC$518+DC$520+DC$529)*100</f>
        <v>23.213857215225875</v>
      </c>
      <c r="DD555" s="81">
        <f t="shared" si="2273"/>
        <v>-4.2261998901474529</v>
      </c>
      <c r="DE555" s="318">
        <f>(DE$518+DE$520)/(DE$518+DE$520+DE$529)*100</f>
        <v>24.813156477242124</v>
      </c>
      <c r="DF555" s="81">
        <f t="shared" si="2274"/>
        <v>4.2275064906841298</v>
      </c>
      <c r="DG555" s="318">
        <f>(DG$518+DG$520)/(DG$518+DG$520+DG$529)*100</f>
        <v>23.197653647066645</v>
      </c>
      <c r="DH555" s="81">
        <f t="shared" si="2275"/>
        <v>-3.2735051446857288</v>
      </c>
      <c r="DI555" s="318">
        <f>(DI$518+DI$520)/(DI$518+DI$520+DI$529)*100</f>
        <v>23.143443952005192</v>
      </c>
      <c r="DJ555" s="81">
        <f t="shared" si="2276"/>
        <v>-0.6009619616155093</v>
      </c>
      <c r="DK555" s="318">
        <f>(DK$518+DK$520)/(DK$518+DK$520+DK$529)*100</f>
        <v>23.574516169533482</v>
      </c>
      <c r="DL555" s="81">
        <f t="shared" si="2277"/>
        <v>1.5536364808475422</v>
      </c>
      <c r="DM555" s="318">
        <f>(DM$518+DM$520)/(DM$518+DM$520+DM$529)*100</f>
        <v>23.056008218789852</v>
      </c>
      <c r="DN555" s="81">
        <f t="shared" si="2278"/>
        <v>-7.0815184680912076</v>
      </c>
      <c r="DO555" s="318">
        <f>(DO$518+DO$520)/(DO$518+DO$520+DO$529)*100</f>
        <v>23.257783985941515</v>
      </c>
      <c r="DP555" s="81">
        <f t="shared" si="2278"/>
        <v>0.25920871045712612</v>
      </c>
      <c r="DQ555" s="318">
        <f>(DQ$518+DQ$520)/(DQ$518+DQ$520+DQ$529)*100</f>
        <v>20.53212572465781</v>
      </c>
      <c r="DR555" s="81">
        <f t="shared" si="2279"/>
        <v>-11.283187725918086</v>
      </c>
      <c r="DS555" s="318">
        <f>(DS$518+DS$520)/(DS$518+DS$520+DS$529)*100</f>
        <v>22.04025806916038</v>
      </c>
      <c r="DT555" s="81">
        <f t="shared" si="2280"/>
        <v>-6.5081212667935873</v>
      </c>
      <c r="DU555" s="318">
        <f>(DU$518+DU$520)/(DU$518+DU$520+DU$529)*100</f>
        <v>21.495582074840712</v>
      </c>
      <c r="DV555" s="81">
        <f t="shared" si="2281"/>
        <v>-6.7679805157141111</v>
      </c>
      <c r="DW555" s="318">
        <f>(DW$518+DW$520)/(DW$518+DW$520+DW$529)*100</f>
        <v>24.94016197252369</v>
      </c>
      <c r="DX555" s="81">
        <f t="shared" si="2282"/>
        <v>7.2336125728879042</v>
      </c>
      <c r="DY555" s="318">
        <f>(DY$518+DY$520)/(DY$518+DY$520+DY$529)*100</f>
        <v>24.390598497698083</v>
      </c>
      <c r="DZ555" s="81">
        <f t="shared" si="2283"/>
        <v>18.792368723938235</v>
      </c>
      <c r="EA555" s="318">
        <f>(EA$518+EA$520)/(EA$518+EA$520+EA$529)*100</f>
        <v>25.063088055885157</v>
      </c>
      <c r="EB555" s="81">
        <f t="shared" si="2284"/>
        <v>13.715038985657069</v>
      </c>
      <c r="EC555" s="318">
        <f>(EC$518+EC$520)/(EC$518+EC$520+EC$529)*100</f>
        <v>24.690030343440096</v>
      </c>
      <c r="ED555" s="81">
        <f t="shared" si="2285"/>
        <v>14.860952624950286</v>
      </c>
      <c r="EE555" s="318">
        <f>(EE$518+EE$520)/(EE$518+EE$520+EE$529)*100</f>
        <v>24.162800162800163</v>
      </c>
      <c r="EF555" s="81">
        <f t="shared" si="2286"/>
        <v>-3.1169076230536774</v>
      </c>
      <c r="EG555" s="318">
        <f>(EG$518+EG$520)/(EG$518+EG$520+EG$529)*100</f>
        <v>22.569595253509469</v>
      </c>
      <c r="EH555" s="81">
        <f t="shared" si="2287"/>
        <v>-7.4660047573677835</v>
      </c>
      <c r="EI555" s="318">
        <f>(EI$518+EI$520)/(EI$518+EI$520+EI$529)*100</f>
        <v>23.481603426781319</v>
      </c>
      <c r="EJ555" s="81">
        <f t="shared" si="2288"/>
        <v>-6.3100150531230419</v>
      </c>
      <c r="EK555" s="318">
        <f t="shared" ref="EK555:EQ555" si="2312">(EK$518+EK$520)/(EK$518+EK$520+EK$529)*100</f>
        <v>23.27498551396576</v>
      </c>
      <c r="EL555" s="81">
        <f t="shared" si="2290"/>
        <v>-5.731239734382509</v>
      </c>
      <c r="EM555" s="318">
        <f t="shared" si="2312"/>
        <v>23.043561849057458</v>
      </c>
      <c r="EN555" s="81">
        <f t="shared" si="2291"/>
        <v>-4.6320720537424638</v>
      </c>
      <c r="EO555" s="318">
        <f t="shared" si="2312"/>
        <v>22.82719434732795</v>
      </c>
      <c r="EP555" s="81">
        <f t="shared" si="2292"/>
        <v>1.1413545122322288</v>
      </c>
      <c r="EQ555" s="318">
        <f t="shared" si="2312"/>
        <v>22.609040333636013</v>
      </c>
      <c r="ER555" s="81">
        <f t="shared" si="2293"/>
        <v>-3.7159434016764248</v>
      </c>
      <c r="ES555" s="327"/>
      <c r="ET555" s="490"/>
      <c r="EU555" s="327"/>
      <c r="EV555" s="318">
        <f>(EV$518+EV$520)/(EV$518+EV$520+EV$529)*100</f>
        <v>19.881638292880048</v>
      </c>
      <c r="EW555" s="79"/>
      <c r="EX555" s="318">
        <f>(EX$518+EX$520)/(EX$518+EX$520+EX$529)*100</f>
        <v>22.7410175694326</v>
      </c>
      <c r="EY555" s="79">
        <f t="shared" si="2310"/>
        <v>14.382010347590635</v>
      </c>
      <c r="EZ555" s="318"/>
      <c r="FA555" s="79" t="str">
        <f t="shared" si="2311"/>
        <v>NM</v>
      </c>
      <c r="FB555" s="318">
        <f>(FB$518+FB$520)/(FB$518+FB$520+FB$529)*100</f>
        <v>27.94968522943681</v>
      </c>
      <c r="FC555" s="79" t="str">
        <f t="shared" si="2294"/>
        <v>NA</v>
      </c>
      <c r="FD555" s="318">
        <f>(FD$518+FD$520)/(FD$518+FD$520+FD$529)*100</f>
        <v>24.444640727818751</v>
      </c>
      <c r="FE555" s="79">
        <f t="shared" si="2295"/>
        <v>-12.540550896532176</v>
      </c>
      <c r="FF555" s="318">
        <f>(FF$518+FF$520)/(FF$518+FF$520+FF$529)*100</f>
        <v>27.72365805168986</v>
      </c>
      <c r="FG555" s="79">
        <f t="shared" si="2296"/>
        <v>13.41405406764471</v>
      </c>
      <c r="FH555" s="318">
        <f>(FH$518+FH$520)/(FH$518+FH$520+FH$529)*100</f>
        <v>28.375685349143868</v>
      </c>
      <c r="FI555" s="79">
        <f t="shared" si="2297"/>
        <v>2.3518804633873458</v>
      </c>
      <c r="FJ555" s="318">
        <f>(FJ$518+FJ$520)/(FJ$518+FJ$520+FJ$529)*100</f>
        <v>30.695967248600063</v>
      </c>
      <c r="FK555" s="79">
        <f t="shared" si="2298"/>
        <v>8.1770074305049345</v>
      </c>
      <c r="FL555" s="318">
        <f>(FL$518+FL$520)/(FL$518+FL$520+FL$529)*100</f>
        <v>25.626300778540045</v>
      </c>
      <c r="FM555" s="79">
        <f t="shared" si="2299"/>
        <v>-16.5157410711377</v>
      </c>
      <c r="FN555" s="318">
        <f>(FN$518+FN$520)/(FN$518+FN$520+FN$529)*100</f>
        <v>23.829238946101885</v>
      </c>
      <c r="FO555" s="79">
        <f t="shared" si="2300"/>
        <v>-7.0125682515326364</v>
      </c>
      <c r="FP555" s="318">
        <f>(FP$518+FP$520)/(FP$518+FP$520+FP$529)*100</f>
        <v>26.098206138172415</v>
      </c>
      <c r="FQ555" s="79">
        <f t="shared" si="2301"/>
        <v>9.5217778343764436</v>
      </c>
      <c r="FR555" s="318">
        <f>(FR$518+FR$520)/(FR$518+FR$520+FR$529)*100</f>
        <v>23.073929608948664</v>
      </c>
      <c r="FS555" s="79">
        <f t="shared" si="2302"/>
        <v>-11.588062846972102</v>
      </c>
      <c r="FT555" s="318">
        <f>(FT$518+FT$520)/(FT$518+FT$520+FT$529)*100</f>
        <v>23.670858746694016</v>
      </c>
      <c r="FU555" s="79">
        <f t="shared" si="2303"/>
        <v>2.587028511666456</v>
      </c>
      <c r="FV555" s="318">
        <f>(FV$518+FV$520)/(FV$518+FV$520+FV$529)*100</f>
        <v>23.931321520684548</v>
      </c>
      <c r="FW555" s="79">
        <f t="shared" si="2304"/>
        <v>1.1003520268435985</v>
      </c>
      <c r="FX555" s="318">
        <f>(FX$518+FX$520)/(FX$518+FX$520+FX$529)*100</f>
        <v>24.238212526389869</v>
      </c>
      <c r="FY555" s="79">
        <f t="shared" si="2305"/>
        <v>1.2823821928933832</v>
      </c>
      <c r="FZ555" s="318">
        <f>(FZ$518+FZ$520)/(FZ$518+FZ$520+FZ$529)*100</f>
        <v>23.213857215225875</v>
      </c>
      <c r="GA555" s="79">
        <f t="shared" si="2306"/>
        <v>-4.2261998901474529</v>
      </c>
      <c r="GB555" s="318">
        <f>(GB$518+GB$520)/(GB$518+GB$520+GB$529)*100</f>
        <v>23.574516169533482</v>
      </c>
      <c r="GC555" s="79">
        <f t="shared" si="2306"/>
        <v>1.5536364808475422</v>
      </c>
      <c r="GD555" s="318">
        <f>(GD$518+GD$520)/(GD$518+GD$520+GD$529)*100</f>
        <v>22.04025806916038</v>
      </c>
      <c r="GE555" s="79">
        <f t="shared" si="2306"/>
        <v>-6.5081212667935873</v>
      </c>
      <c r="GF555" s="318">
        <f>(GF$518+GF$520)/(GF$518+GF$520+GF$529)*100</f>
        <v>25.063088055885157</v>
      </c>
      <c r="GG555" s="79">
        <f t="shared" si="2306"/>
        <v>13.715038985657069</v>
      </c>
      <c r="GH555" s="318">
        <f>(GH$518+GH$520)/(GH$518+GH$520+GH$529)*100</f>
        <v>23.481603426781319</v>
      </c>
      <c r="GI555" s="79">
        <f t="shared" si="2306"/>
        <v>-6.3100150531230419</v>
      </c>
      <c r="GJ555" s="318">
        <f>(GJ$518+GJ$520)/(GJ$518+GJ$520+GJ$529)*100</f>
        <v>22.609040333636013</v>
      </c>
      <c r="GK555" s="79">
        <f t="shared" si="2306"/>
        <v>-3.7159434016764248</v>
      </c>
      <c r="GL555" s="318">
        <f>(GL$518+GL$520)/(GL$518+GL$520+GL$529)*100</f>
        <v>21.773244948336206</v>
      </c>
      <c r="GM555" s="79">
        <f t="shared" si="2306"/>
        <v>-3.696730922525604</v>
      </c>
      <c r="GN555" s="318">
        <f>(GN$518+GN$520)/(GN$518+GN$520+GN$529)*100</f>
        <v>21.007698138341564</v>
      </c>
      <c r="GO555" s="79">
        <f t="shared" si="2306"/>
        <v>-3.5159977844879786</v>
      </c>
      <c r="GP555" s="318">
        <f>(GP$518+GP$520)/(GP$518+GP$520+GP$529)*100</f>
        <v>20.264735601568276</v>
      </c>
      <c r="GQ555" s="79">
        <f t="shared" si="2306"/>
        <v>-3.5366203944890651</v>
      </c>
      <c r="GR555" s="318">
        <f>(GR$518+GR$520)/(GR$518+GR$520+GR$529)*100</f>
        <v>19.5848010189018</v>
      </c>
      <c r="GS555" s="79">
        <f t="shared" si="2307"/>
        <v>-3.3552600736318383</v>
      </c>
      <c r="GT555" s="79">
        <f t="shared" si="2308"/>
        <v>-3.5642010490693377</v>
      </c>
    </row>
    <row r="556" spans="1:202" ht="12.75" customHeight="1" x14ac:dyDescent="0.2">
      <c r="A556" s="1"/>
      <c r="B556" s="2" t="s">
        <v>43</v>
      </c>
      <c r="C556" s="79"/>
      <c r="D556" s="79"/>
      <c r="E556" s="318">
        <f>(E$518+E$521)/E$529*100</f>
        <v>72.617819057447548</v>
      </c>
      <c r="F556" s="318"/>
      <c r="G556" s="318">
        <f>(G$518+G$521)/G$529*100</f>
        <v>76.116963944230037</v>
      </c>
      <c r="H556" s="318"/>
      <c r="I556" s="318">
        <f>(I$518+I$521)/I$529*100</f>
        <v>74.775148518137485</v>
      </c>
      <c r="J556" s="318"/>
      <c r="K556" s="318">
        <f>(K$518+K$521)/K$529*100</f>
        <v>75.257159211434526</v>
      </c>
      <c r="L556" s="79"/>
      <c r="M556" s="318">
        <f>(M$518+M$521)/M$529*100</f>
        <v>77.999965131888644</v>
      </c>
      <c r="N556" s="79">
        <f t="shared" si="2234"/>
        <v>7.4116052289911138</v>
      </c>
      <c r="O556" s="318">
        <f>(O$518+O$521)/O$529*100</f>
        <v>74.977183833116044</v>
      </c>
      <c r="P556" s="79">
        <f t="shared" si="2235"/>
        <v>-1.4974061655284809</v>
      </c>
      <c r="Q556" s="318">
        <f>(Q$518+Q$521)/Q$529*100</f>
        <v>68.969446193517442</v>
      </c>
      <c r="R556" s="79">
        <f t="shared" si="2236"/>
        <v>-7.7642136989026671</v>
      </c>
      <c r="S556" s="318">
        <f>(S$518+S$521)/S$529*100</f>
        <v>64.04898293196166</v>
      </c>
      <c r="T556" s="79">
        <f t="shared" si="2237"/>
        <v>-14.893169496318038</v>
      </c>
      <c r="U556" s="318">
        <f>(U$518+U$521)/U$529*100</f>
        <v>70.817227628985677</v>
      </c>
      <c r="V556" s="79">
        <f t="shared" si="2238"/>
        <v>-9.2086419407467872</v>
      </c>
      <c r="W556" s="318">
        <f>(W$518+W$521)/W$529*100</f>
        <v>72.51765010687221</v>
      </c>
      <c r="X556" s="79">
        <f t="shared" si="2239"/>
        <v>-3.2803762431491856</v>
      </c>
      <c r="Y556" s="318">
        <f>(Y$518+Y$521)/Y$529*100</f>
        <v>71.309376711718016</v>
      </c>
      <c r="Z556" s="79">
        <f t="shared" si="2240"/>
        <v>3.3927059695899153</v>
      </c>
      <c r="AA556" s="252">
        <f>(AA$518+AA$521)/AA$529*100</f>
        <v>76.715719983496072</v>
      </c>
      <c r="AB556" s="79">
        <f t="shared" si="2241"/>
        <v>19.776640426890314</v>
      </c>
      <c r="AC556" s="318">
        <f>(AC$518+AC$521)/AC$529*100</f>
        <v>78.185666428381197</v>
      </c>
      <c r="AD556" s="79">
        <f t="shared" si="2242"/>
        <v>10.40486763757411</v>
      </c>
      <c r="AE556" s="318">
        <f>(AE$518+AE$521)/AE$529*100</f>
        <v>99.222664782217663</v>
      </c>
      <c r="AF556" s="79">
        <f t="shared" si="2243"/>
        <v>36.825537832498952</v>
      </c>
      <c r="AG556" s="318">
        <f>(AG$518+AG$521)/AG$529*100</f>
        <v>86.241377311460212</v>
      </c>
      <c r="AH556" s="79">
        <f t="shared" si="2244"/>
        <v>20.939743534861766</v>
      </c>
      <c r="AI556" s="318">
        <f>(AI$518+AI$521)/AI$529*100</f>
        <v>82.377043507149665</v>
      </c>
      <c r="AJ556" s="79">
        <f t="shared" si="2245"/>
        <v>7.3796133632996197</v>
      </c>
      <c r="AK556" s="318">
        <f>(AK$518+AK$521)/AK$529*100</f>
        <v>84.028132267029662</v>
      </c>
      <c r="AL556" s="79">
        <f t="shared" si="2246"/>
        <v>7.472553609298993</v>
      </c>
      <c r="AM556" s="318">
        <f>(AM$518+AM$521)/AM$529*100</f>
        <v>75.420772540931424</v>
      </c>
      <c r="AN556" s="79">
        <f t="shared" si="2247"/>
        <v>-23.988362229061934</v>
      </c>
      <c r="AO556" s="318">
        <f>(AO$518+AO$521)/AO$529*100</f>
        <v>79.085897453610954</v>
      </c>
      <c r="AP556" s="79">
        <f t="shared" si="2247"/>
        <v>-8.2970380122841529</v>
      </c>
      <c r="AQ556" s="318">
        <f>(AQ$518+AQ$521)/AQ$529*100</f>
        <v>88.58349515881531</v>
      </c>
      <c r="AR556" s="79">
        <f t="shared" si="2247"/>
        <v>7.5342005338258744</v>
      </c>
      <c r="AS556" s="318">
        <f>(AS$518+AS$521)/AS$529*100</f>
        <v>87.137637028014609</v>
      </c>
      <c r="AT556" s="81">
        <f t="shared" si="2247"/>
        <v>3.7005520378620149</v>
      </c>
      <c r="AU556" s="318">
        <f>(AU$518+AU$521)/AU$529*100</f>
        <v>73.325795417137783</v>
      </c>
      <c r="AV556" s="81">
        <f t="shared" si="2247"/>
        <v>-2.7777189933405722</v>
      </c>
      <c r="AW556" s="318">
        <f>(AW$518+AW$521)/AW$529*100</f>
        <v>67.460233856525861</v>
      </c>
      <c r="AX556" s="81">
        <f t="shared" si="2247"/>
        <v>-14.700046369081543</v>
      </c>
      <c r="AY556" s="318">
        <f>(AY$518+AY$521)/AY$529*100</f>
        <v>68.912266155360939</v>
      </c>
      <c r="AZ556" s="81">
        <f t="shared" si="2247"/>
        <v>-22.206426793374057</v>
      </c>
      <c r="BA556" s="318">
        <f>(BA$518+BA$521)/BA$529*100</f>
        <v>67.773771114063379</v>
      </c>
      <c r="BB556" s="81">
        <f t="shared" si="2247"/>
        <v>-22.222160910475207</v>
      </c>
      <c r="BC556" s="318">
        <f>(BC$518+BC$521)/BC$529*100</f>
        <v>62.067936404579726</v>
      </c>
      <c r="BD556" s="81">
        <f t="shared" si="2247"/>
        <v>-15.353204078474757</v>
      </c>
      <c r="BE556" s="318">
        <f>(BE$518+BE$521)/BE$529*100</f>
        <v>60.599172498339883</v>
      </c>
      <c r="BF556" s="81">
        <f t="shared" si="2248"/>
        <v>-10.170527088266624</v>
      </c>
      <c r="BG556" s="318">
        <f>(BG$518+BG$521)/BG$529*100</f>
        <v>64.744586375452428</v>
      </c>
      <c r="BH556" s="81">
        <f t="shared" si="2249"/>
        <v>-6.0478054378774626</v>
      </c>
      <c r="BI556" s="318">
        <f>(BI$518+BI$521)/BI$529*100</f>
        <v>67.689568496020101</v>
      </c>
      <c r="BJ556" s="81">
        <f t="shared" si="2250"/>
        <v>-0.12424071533745362</v>
      </c>
      <c r="BK556" s="318">
        <f>(BK$518+BK$521)/BK$529*100</f>
        <v>63.105567370797075</v>
      </c>
      <c r="BL556" s="81">
        <f t="shared" si="2251"/>
        <v>1.6717664970424151</v>
      </c>
      <c r="BM556" s="318">
        <f>(BM$518+BM$521)/BM$529*100</f>
        <v>71.939904095963414</v>
      </c>
      <c r="BN556" s="81">
        <f t="shared" si="2252"/>
        <v>18.714334090839625</v>
      </c>
      <c r="BO556" s="318">
        <f>(BO$518+BO$521)/BO$529*100</f>
        <v>73.606964785320201</v>
      </c>
      <c r="BP556" s="81">
        <f t="shared" si="2253"/>
        <v>13.688215348963762</v>
      </c>
      <c r="BQ556" s="318">
        <f>(BQ$518+BQ$521)/BQ$529*100</f>
        <v>73.432877650795618</v>
      </c>
      <c r="BR556" s="81">
        <f t="shared" si="2254"/>
        <v>8.4847773185512398</v>
      </c>
      <c r="BS556" s="318">
        <f>(BS$518+BS$521)/BS$529*100</f>
        <v>60.791078305519896</v>
      </c>
      <c r="BT556" s="81">
        <f t="shared" si="2255"/>
        <v>-3.6676463927146963</v>
      </c>
      <c r="BU556" s="318">
        <f>(BU$518+BU$521)/BU$529*100</f>
        <v>62.603421084556587</v>
      </c>
      <c r="BV556" s="81">
        <f t="shared" si="2256"/>
        <v>-12.978169944392103</v>
      </c>
      <c r="BW556" s="318">
        <f>(BW$518+BW$521)/BW$529*100</f>
        <v>59.989882471970922</v>
      </c>
      <c r="BX556" s="81">
        <f t="shared" si="2257"/>
        <v>-18.499719901594148</v>
      </c>
      <c r="BY556" s="318">
        <f>(BY$518+BY$521)/BY$529*100</f>
        <v>54.753878043780325</v>
      </c>
      <c r="BZ556" s="81">
        <f t="shared" si="2258"/>
        <v>-25.436834568627198</v>
      </c>
      <c r="CA556" s="318">
        <f>(CA$518+CA$521)/CA$529*100</f>
        <v>53.639099608868655</v>
      </c>
      <c r="CB556" s="81">
        <f t="shared" si="2259"/>
        <v>-11.76484921143739</v>
      </c>
      <c r="CC556" s="318">
        <f>(CC$518+CC$521)/CC$529*100</f>
        <v>62.165372418507189</v>
      </c>
      <c r="CD556" s="81">
        <f t="shared" si="2260"/>
        <v>-0.69972001283722385</v>
      </c>
      <c r="CE556" s="318">
        <f>(CE$518+CE$521)/CE$529*100</f>
        <v>64.676071609565241</v>
      </c>
      <c r="CF556" s="81">
        <f t="shared" si="2261"/>
        <v>7.8116324694982531</v>
      </c>
      <c r="CG556" s="318">
        <f>(CG$518+CG$521)/CG$529*100</f>
        <v>61.134448851235589</v>
      </c>
      <c r="CH556" s="81">
        <f t="shared" si="2262"/>
        <v>11.653185190560311</v>
      </c>
      <c r="CI556" s="318">
        <f>(CI$518+CI$521)/CI$529*100</f>
        <v>61.71644735315278</v>
      </c>
      <c r="CJ556" s="81">
        <f t="shared" si="2263"/>
        <v>15.058693757321429</v>
      </c>
      <c r="CK556" s="318">
        <f>(CK$518+CK$521)/CK$529*100</f>
        <v>58.301709284257029</v>
      </c>
      <c r="CL556" s="81">
        <f t="shared" si="2264"/>
        <v>-6.215137115626634</v>
      </c>
      <c r="CM556" s="318">
        <f>(CM$518+CM$521)/CM$529*100</f>
        <v>66.74296485795071</v>
      </c>
      <c r="CN556" s="81">
        <f t="shared" si="2265"/>
        <v>3.1957618899039364</v>
      </c>
      <c r="CO556" s="318">
        <f>(CO$518+CO$521)/CO$529*100</f>
        <v>66.96658883360432</v>
      </c>
      <c r="CP556" s="81">
        <f t="shared" si="2266"/>
        <v>9.5398586099314286</v>
      </c>
      <c r="CQ556" s="318">
        <f>(CQ$518+CQ$521)/CQ$529*100</f>
        <v>66.155093669135113</v>
      </c>
      <c r="CR556" s="81">
        <f t="shared" si="2267"/>
        <v>7.1919990640154419</v>
      </c>
      <c r="CS556" s="318">
        <f>(CS$518+CS$521)/CS$529*100</f>
        <v>69.423402857044039</v>
      </c>
      <c r="CT556" s="81">
        <f t="shared" si="2268"/>
        <v>19.076102072002477</v>
      </c>
      <c r="CU556" s="318">
        <f>(CU$518+CU$521)/CU$529*100</f>
        <v>69.277570071755335</v>
      </c>
      <c r="CV556" s="81">
        <f t="shared" si="2269"/>
        <v>3.7975616144698243</v>
      </c>
      <c r="CW556" s="318">
        <f>(CW$518+CW$521)/CW$529*100</f>
        <v>65.25158335086121</v>
      </c>
      <c r="CX556" s="81">
        <f t="shared" si="2270"/>
        <v>-2.5609867735752245</v>
      </c>
      <c r="CY556" s="318">
        <f>(CY$518+CY$521)/CY$529*100</f>
        <v>64.930911867885357</v>
      </c>
      <c r="CZ556" s="81">
        <f t="shared" si="2271"/>
        <v>-1.8504724781621795</v>
      </c>
      <c r="DA556" s="318">
        <f>(DA$518+DA$521)/DA$529*100</f>
        <v>62.320211305782081</v>
      </c>
      <c r="DB556" s="81">
        <f t="shared" si="2272"/>
        <v>-10.231696026034298</v>
      </c>
      <c r="DC556" s="318">
        <f>(DC$518+DC$521)/DC$529*100</f>
        <v>60.463662773874702</v>
      </c>
      <c r="DD556" s="81">
        <f t="shared" si="2273"/>
        <v>-12.722598798935191</v>
      </c>
      <c r="DE556" s="318">
        <f>(DE$518+DE$521)/DE$529*100</f>
        <v>66.693532137819872</v>
      </c>
      <c r="DF556" s="81">
        <f t="shared" si="2274"/>
        <v>2.2098295748705921</v>
      </c>
      <c r="DG556" s="318">
        <f>(DG$518+DG$521)/DG$529*100</f>
        <v>61.029674264634281</v>
      </c>
      <c r="DH556" s="81">
        <f t="shared" si="2275"/>
        <v>-6.0082901826312041</v>
      </c>
      <c r="DI556" s="318">
        <f>(DI$518+DI$521)/DI$529*100</f>
        <v>60.984528832630104</v>
      </c>
      <c r="DJ556" s="81">
        <f t="shared" si="2276"/>
        <v>-2.1432572919213633</v>
      </c>
      <c r="DK556" s="318">
        <f>(DK$518+DK$521)/DK$529*100</f>
        <v>63.475281333974834</v>
      </c>
      <c r="DL556" s="81">
        <f t="shared" si="2277"/>
        <v>4.9808735063953113</v>
      </c>
      <c r="DM556" s="318">
        <f>(DM$518+DM$521)/DM$529*100</f>
        <v>61.677735701377777</v>
      </c>
      <c r="DN556" s="81">
        <f t="shared" si="2278"/>
        <v>-7.5206639619523008</v>
      </c>
      <c r="DO556" s="318">
        <f>(DO$518+DO$521)/DO$529*100</f>
        <v>62.396514672898284</v>
      </c>
      <c r="DP556" s="81">
        <f t="shared" si="2278"/>
        <v>2.239632481630438</v>
      </c>
      <c r="DQ556" s="318">
        <f>(DQ$518+DQ$521)/DQ$529*100</f>
        <v>57.571873069886138</v>
      </c>
      <c r="DR556" s="81">
        <f t="shared" si="2279"/>
        <v>-5.5959369172300715</v>
      </c>
      <c r="DS556" s="318">
        <f>(DS$518+DS$521)/DS$529*100</f>
        <v>60.610117845312175</v>
      </c>
      <c r="DT556" s="81">
        <f t="shared" si="2280"/>
        <v>-4.5138255844627384</v>
      </c>
      <c r="DU556" s="318">
        <f>(DU$518+DU$521)/DU$529*100</f>
        <v>58.702061589856847</v>
      </c>
      <c r="DV556" s="81">
        <f t="shared" si="2281"/>
        <v>-4.8245514814747921</v>
      </c>
      <c r="DW556" s="318">
        <f>(DW$518+DW$521)/DW$529*100</f>
        <v>70.283935786829744</v>
      </c>
      <c r="DX556" s="81">
        <f t="shared" si="2282"/>
        <v>12.640803986055538</v>
      </c>
      <c r="DY556" s="318">
        <f>(DY$518+DY$521)/DY$529*100</f>
        <v>64.517369568004085</v>
      </c>
      <c r="DZ556" s="81">
        <f t="shared" si="2283"/>
        <v>12.064044693642062</v>
      </c>
      <c r="EA556" s="318">
        <f>(EA$518+EA$521)/EA$529*100</f>
        <v>66.891168599464763</v>
      </c>
      <c r="EB556" s="81">
        <f t="shared" si="2284"/>
        <v>10.363039996363232</v>
      </c>
      <c r="EC556" s="318">
        <f>(EC$518+EC$521)/EC$529*100</f>
        <v>65.569088544412807</v>
      </c>
      <c r="ED556" s="81">
        <f t="shared" si="2285"/>
        <v>11.69810185293818</v>
      </c>
      <c r="EE556" s="318">
        <f>(EE$518+EE$521)/EE$529*100</f>
        <v>63.722817336796687</v>
      </c>
      <c r="EF556" s="81">
        <f t="shared" si="2286"/>
        <v>-9.3351608395022758</v>
      </c>
      <c r="EG556" s="318">
        <f>(EG$518+EG$521)/EG$529*100</f>
        <v>58.296467201490174</v>
      </c>
      <c r="EH556" s="81">
        <f t="shared" si="2287"/>
        <v>-9.6422132646880705</v>
      </c>
      <c r="EI556" s="318">
        <f>(EI$518+EI$521)/EI$529*100</f>
        <v>61.375053525363199</v>
      </c>
      <c r="EJ556" s="81">
        <f t="shared" si="2288"/>
        <v>-8.2464026112793913</v>
      </c>
      <c r="EK556" s="318">
        <f t="shared" ref="EK556:EQ556" si="2313">(EK$518+EK$521)/EK$529*100</f>
        <v>60.671179197241756</v>
      </c>
      <c r="EL556" s="81">
        <f t="shared" si="2290"/>
        <v>-7.4698450991178333</v>
      </c>
      <c r="EM556" s="318">
        <f t="shared" si="2313"/>
        <v>59.887287932582737</v>
      </c>
      <c r="EN556" s="81">
        <f t="shared" si="2291"/>
        <v>-6.0190832177771991</v>
      </c>
      <c r="EO556" s="318">
        <f t="shared" si="2313"/>
        <v>59.158648319889281</v>
      </c>
      <c r="EP556" s="81">
        <f t="shared" si="2292"/>
        <v>1.4789594632195202</v>
      </c>
      <c r="EQ556" s="318">
        <f t="shared" si="2313"/>
        <v>58.42811726616295</v>
      </c>
      <c r="ER556" s="81">
        <f t="shared" si="2293"/>
        <v>-4.8015212858143252</v>
      </c>
      <c r="ES556" s="82"/>
      <c r="ET556" s="490"/>
      <c r="EU556" s="82"/>
      <c r="EV556" s="318">
        <f>(EV$518+EV$521)/EV$529*100</f>
        <v>50.016270215743063</v>
      </c>
      <c r="EW556" s="79"/>
      <c r="EX556" s="318">
        <f>(EX$518+EX$521)/EX$529*100</f>
        <v>74.424952832082212</v>
      </c>
      <c r="EY556" s="79">
        <f t="shared" si="2310"/>
        <v>48.801485018881507</v>
      </c>
      <c r="EZ556" s="318"/>
      <c r="FA556" s="79" t="str">
        <f t="shared" si="2311"/>
        <v>NM</v>
      </c>
      <c r="FB556" s="318">
        <f>(FB$518+FB$521)/FB$529*100</f>
        <v>75.257159211434526</v>
      </c>
      <c r="FC556" s="79" t="str">
        <f t="shared" si="2294"/>
        <v>NA</v>
      </c>
      <c r="FD556" s="318">
        <f>(FD$518+FD$521)/FD$529*100</f>
        <v>64.04898293196166</v>
      </c>
      <c r="FE556" s="79">
        <f t="shared" si="2295"/>
        <v>-14.893169496318038</v>
      </c>
      <c r="FF556" s="318">
        <f>(FF$518+FF$521)/FF$529*100</f>
        <v>76.715719983496072</v>
      </c>
      <c r="FG556" s="79">
        <f t="shared" si="2296"/>
        <v>19.776640426890314</v>
      </c>
      <c r="FH556" s="318">
        <f>(FH$518+FH$521)/FH$529*100</f>
        <v>82.377043507149665</v>
      </c>
      <c r="FI556" s="79">
        <f t="shared" si="2297"/>
        <v>7.3796133632996197</v>
      </c>
      <c r="FJ556" s="318">
        <f>(FJ$518+FJ$521)/FJ$529*100</f>
        <v>88.58349515881531</v>
      </c>
      <c r="FK556" s="79">
        <f t="shared" si="2298"/>
        <v>7.5342005338258744</v>
      </c>
      <c r="FL556" s="318">
        <f>(FL$518+FL$521)/FL$529*100</f>
        <v>68.912266155360939</v>
      </c>
      <c r="FM556" s="79">
        <f t="shared" si="2299"/>
        <v>-22.206426793374057</v>
      </c>
      <c r="FN556" s="318">
        <f>(FN$518+FN$521)/FN$529*100</f>
        <v>64.744586375452428</v>
      </c>
      <c r="FO556" s="79">
        <f t="shared" si="2300"/>
        <v>-6.0478054378774626</v>
      </c>
      <c r="FP556" s="318">
        <f>(FP$518+FP$521)/FP$529*100</f>
        <v>73.606964785320201</v>
      </c>
      <c r="FQ556" s="79">
        <f t="shared" si="2301"/>
        <v>13.688215348963762</v>
      </c>
      <c r="FR556" s="318">
        <f>(FR$518+FR$521)/FR$529*100</f>
        <v>59.989882471970922</v>
      </c>
      <c r="FS556" s="79">
        <f t="shared" si="2302"/>
        <v>-18.499719901594148</v>
      </c>
      <c r="FT556" s="318">
        <f>(FT$518+FT$521)/FT$529*100</f>
        <v>64.676071609565241</v>
      </c>
      <c r="FU556" s="79">
        <f t="shared" si="2303"/>
        <v>7.8116324694982531</v>
      </c>
      <c r="FV556" s="318">
        <f>(FV$518+FV$521)/FV$529*100</f>
        <v>66.74296485795071</v>
      </c>
      <c r="FW556" s="79">
        <f t="shared" si="2304"/>
        <v>3.1957618899039364</v>
      </c>
      <c r="FX556" s="318">
        <f>(FX$518+FX$521)/FX$529*100</f>
        <v>69.277570071755335</v>
      </c>
      <c r="FY556" s="79">
        <f t="shared" si="2305"/>
        <v>3.7975616144698243</v>
      </c>
      <c r="FZ556" s="318">
        <f>(FZ$518+FZ$521)/FZ$529*100</f>
        <v>60.463662773874702</v>
      </c>
      <c r="GA556" s="79">
        <f t="shared" si="2306"/>
        <v>-12.722598798935191</v>
      </c>
      <c r="GB556" s="318">
        <f>(GB$518+GB$521)/GB$529*100</f>
        <v>63.475281333974834</v>
      </c>
      <c r="GC556" s="79">
        <f t="shared" si="2306"/>
        <v>4.9808735063953113</v>
      </c>
      <c r="GD556" s="318">
        <f>(GD$518+GD$521)/GD$529*100</f>
        <v>60.610117845312175</v>
      </c>
      <c r="GE556" s="79">
        <f t="shared" si="2306"/>
        <v>-4.5138255844627384</v>
      </c>
      <c r="GF556" s="318">
        <f>(GF$518+GF$521)/GF$529*100</f>
        <v>66.891168599464763</v>
      </c>
      <c r="GG556" s="79">
        <f t="shared" si="2306"/>
        <v>10.363039996363232</v>
      </c>
      <c r="GH556" s="318">
        <f>(GH$518+GH$521)/GH$529*100</f>
        <v>61.375053525363199</v>
      </c>
      <c r="GI556" s="79">
        <f t="shared" si="2306"/>
        <v>-8.2464026112793913</v>
      </c>
      <c r="GJ556" s="318">
        <f>(GJ$518+GJ$521)/GJ$529*100</f>
        <v>58.42811726616295</v>
      </c>
      <c r="GK556" s="79">
        <f t="shared" si="2306"/>
        <v>-4.8015212858143252</v>
      </c>
      <c r="GL556" s="318">
        <f>(GL$518+GL$521)/GL$529*100</f>
        <v>55.667002763840486</v>
      </c>
      <c r="GM556" s="79">
        <f t="shared" si="2306"/>
        <v>-4.7256605749326219</v>
      </c>
      <c r="GN556" s="318">
        <f>(GN$518+GN$521)/GN$529*100</f>
        <v>53.189228933049627</v>
      </c>
      <c r="GO556" s="79">
        <f t="shared" si="2306"/>
        <v>-4.4510638399241076</v>
      </c>
      <c r="GP556" s="318">
        <f>(GP$518+GP$521)/GP$529*100</f>
        <v>50.830045537459469</v>
      </c>
      <c r="GQ556" s="79">
        <f t="shared" si="2306"/>
        <v>-4.435453272991996</v>
      </c>
      <c r="GR556" s="318">
        <f>(GR$518+GR$521)/GR$529*100</f>
        <v>48.709202407135137</v>
      </c>
      <c r="GS556" s="79">
        <f t="shared" si="2307"/>
        <v>-4.1724202839074076</v>
      </c>
      <c r="GT556" s="79">
        <f t="shared" si="2308"/>
        <v>-4.5174900319437494</v>
      </c>
    </row>
    <row r="557" spans="1:202" ht="12.75" customHeight="1" x14ac:dyDescent="0.2">
      <c r="A557" s="1"/>
      <c r="B557" s="2" t="s">
        <v>90</v>
      </c>
      <c r="C557" s="79"/>
      <c r="D557" s="79"/>
      <c r="E557" s="318">
        <f>E$529/E$510*100</f>
        <v>14.196658144764889</v>
      </c>
      <c r="F557" s="318"/>
      <c r="G557" s="318">
        <f>G$529/G$510*100</f>
        <v>14.1028501379099</v>
      </c>
      <c r="H557" s="318"/>
      <c r="I557" s="318">
        <f>I$529/I$510*100</f>
        <v>14.292490643543928</v>
      </c>
      <c r="J557" s="318"/>
      <c r="K557" s="318">
        <f>K$529/K$510*100</f>
        <v>14.023585518161319</v>
      </c>
      <c r="L557" s="79"/>
      <c r="M557" s="318">
        <f>M$529/M$510*100</f>
        <v>13.560720508583168</v>
      </c>
      <c r="N557" s="79">
        <f t="shared" si="2234"/>
        <v>-4.4794882689784821</v>
      </c>
      <c r="O557" s="318">
        <f>O$529/O$510*100</f>
        <v>14.175156513502898</v>
      </c>
      <c r="P557" s="79">
        <f t="shared" si="2235"/>
        <v>0.51270753702921112</v>
      </c>
      <c r="Q557" s="318">
        <f>Q$529/Q$510*100</f>
        <v>15.010295358649792</v>
      </c>
      <c r="R557" s="79">
        <f t="shared" si="2236"/>
        <v>5.0222507259789939</v>
      </c>
      <c r="S557" s="318">
        <f>S$529/S$510*100</f>
        <v>15.138583788495191</v>
      </c>
      <c r="T557" s="79">
        <f t="shared" si="2237"/>
        <v>7.9508786742868764</v>
      </c>
      <c r="U557" s="318">
        <f>U$529/U$510*100</f>
        <v>14.145607714567904</v>
      </c>
      <c r="V557" s="79">
        <f t="shared" si="2238"/>
        <v>4.3130983019267655</v>
      </c>
      <c r="W557" s="318">
        <f>W$529/W$510*100</f>
        <v>15.656849402587605</v>
      </c>
      <c r="X557" s="79">
        <f t="shared" si="2239"/>
        <v>10.452744473567432</v>
      </c>
      <c r="Y557" s="318">
        <f>Y$529/Y$510*100</f>
        <v>15.93067074692712</v>
      </c>
      <c r="Z557" s="79">
        <f t="shared" si="2240"/>
        <v>6.1316274349455524</v>
      </c>
      <c r="AA557" s="252">
        <f>AA$529/AA$510*100</f>
        <v>14.6435382945343</v>
      </c>
      <c r="AB557" s="79">
        <f t="shared" si="2241"/>
        <v>-3.2700911847322822</v>
      </c>
      <c r="AC557" s="318">
        <f>AC$529/AC$510*100</f>
        <v>14.151903404526278</v>
      </c>
      <c r="AD557" s="79">
        <f t="shared" si="2242"/>
        <v>4.4506323697146577E-2</v>
      </c>
      <c r="AE557" s="318">
        <f>AE$529/AE$510*100</f>
        <v>12.853919409079742</v>
      </c>
      <c r="AF557" s="79">
        <f t="shared" si="2243"/>
        <v>-17.90226067477294</v>
      </c>
      <c r="AG557" s="318">
        <f>AG$529/AG$510*100</f>
        <v>13.888491938097147</v>
      </c>
      <c r="AH557" s="79">
        <f t="shared" si="2244"/>
        <v>-12.819163996744399</v>
      </c>
      <c r="AI557" s="318">
        <f>AI$529/AI$510*100</f>
        <v>14.229380585358356</v>
      </c>
      <c r="AJ557" s="79">
        <f t="shared" si="2245"/>
        <v>-2.8282625472460299</v>
      </c>
      <c r="AK557" s="318">
        <f>AK$529/AK$510*100</f>
        <v>13.889129595638918</v>
      </c>
      <c r="AL557" s="79">
        <f t="shared" si="2246"/>
        <v>-1.8568089491291739</v>
      </c>
      <c r="AM557" s="318">
        <f>AM$529/AM$510*100</f>
        <v>14.998052349782705</v>
      </c>
      <c r="AN557" s="79">
        <f t="shared" si="2247"/>
        <v>16.68077161887598</v>
      </c>
      <c r="AO557" s="318">
        <f>AO$529/AO$510*100</f>
        <v>14.167816699454832</v>
      </c>
      <c r="AP557" s="79">
        <f t="shared" si="2247"/>
        <v>2.0111957626693489</v>
      </c>
      <c r="AQ557" s="318">
        <f>AQ$529/AQ$510*100</f>
        <v>14.213937723422815</v>
      </c>
      <c r="AR557" s="79">
        <f t="shared" si="2247"/>
        <v>-0.10852799841077898</v>
      </c>
      <c r="AS557" s="318">
        <f>AS$529/AS$510*100</f>
        <v>13.028669818038994</v>
      </c>
      <c r="AT557" s="81">
        <f t="shared" si="2247"/>
        <v>-6.1952030303619736</v>
      </c>
      <c r="AU557" s="318">
        <f>AU$529/AU$510*100</f>
        <v>13.877572909445901</v>
      </c>
      <c r="AV557" s="81">
        <f t="shared" si="2247"/>
        <v>-7.4708329735429846</v>
      </c>
      <c r="AW557" s="318">
        <f>AW$529/AW$510*100</f>
        <v>14.572248179524324</v>
      </c>
      <c r="AX557" s="81">
        <f t="shared" si="2247"/>
        <v>2.8545787163173353</v>
      </c>
      <c r="AY557" s="318">
        <f>AY$529/AY$510*100</f>
        <v>14.628276001917889</v>
      </c>
      <c r="AZ557" s="81">
        <f t="shared" si="2247"/>
        <v>2.9150140274802006</v>
      </c>
      <c r="BA557" s="318">
        <f>BA$529/BA$510*100</f>
        <v>14.108983799705449</v>
      </c>
      <c r="BB557" s="81">
        <f t="shared" si="2247"/>
        <v>8.2918210128458014</v>
      </c>
      <c r="BC557" s="318">
        <f>BC$529/BC$510*100</f>
        <v>14.168688037457189</v>
      </c>
      <c r="BD557" s="81">
        <f t="shared" si="2247"/>
        <v>2.0977380548520719</v>
      </c>
      <c r="BE557" s="318">
        <f>BE$529/BE$510*100</f>
        <v>14.909561707474966</v>
      </c>
      <c r="BF557" s="81">
        <f t="shared" si="2248"/>
        <v>2.3147665603486356</v>
      </c>
      <c r="BG557" s="318">
        <f>BG$529/BG$510*100</f>
        <v>15.345575590306208</v>
      </c>
      <c r="BH557" s="81">
        <f t="shared" si="2249"/>
        <v>4.9035141823566608</v>
      </c>
      <c r="BI557" s="318">
        <f>BI$529/BI$510*100</f>
        <v>14.68025322975565</v>
      </c>
      <c r="BJ557" s="81">
        <f t="shared" si="2250"/>
        <v>4.0489764405436945</v>
      </c>
      <c r="BK557" s="318">
        <f>BK$529/BK$510*100</f>
        <v>14.815108344770264</v>
      </c>
      <c r="BL557" s="81">
        <f t="shared" si="2251"/>
        <v>4.5623159011205505</v>
      </c>
      <c r="BM557" s="318">
        <f>BM$529/BM$510*100</f>
        <v>13.496363381354062</v>
      </c>
      <c r="BN557" s="81">
        <f t="shared" si="2252"/>
        <v>-9.4784699500079288</v>
      </c>
      <c r="BO557" s="318">
        <f>BO$529/BO$510*100</f>
        <v>12.952158456891594</v>
      </c>
      <c r="BP557" s="81">
        <f t="shared" si="2253"/>
        <v>-15.59678957188504</v>
      </c>
      <c r="BQ557" s="318">
        <f>BQ$529/BQ$510*100</f>
        <v>13.064234963396304</v>
      </c>
      <c r="BR557" s="81">
        <f t="shared" si="2254"/>
        <v>-11.008108927465987</v>
      </c>
      <c r="BS557" s="318">
        <f>BS$529/BS$510*100</f>
        <v>14.571926283013056</v>
      </c>
      <c r="BT557" s="81">
        <f t="shared" si="2255"/>
        <v>-1.6414463944372848</v>
      </c>
      <c r="BU557" s="318">
        <f>BU$529/BU$510*100</f>
        <v>15.13776968112067</v>
      </c>
      <c r="BV557" s="81">
        <f t="shared" si="2256"/>
        <v>12.161841330045231</v>
      </c>
      <c r="BW557" s="318">
        <f>BW$529/BW$510*100</f>
        <v>15.603098555353636</v>
      </c>
      <c r="BX557" s="81">
        <f t="shared" si="2257"/>
        <v>20.467168520869429</v>
      </c>
      <c r="BY557" s="318">
        <f>BY$529/BY$510*100</f>
        <v>15.964812754103846</v>
      </c>
      <c r="BZ557" s="81">
        <f t="shared" si="2258"/>
        <v>22.202431285371492</v>
      </c>
      <c r="CA557" s="318">
        <f>CA$529/CA$510*100</f>
        <v>15.621335324217059</v>
      </c>
      <c r="CB557" s="81">
        <f t="shared" si="2259"/>
        <v>7.2015807712898727</v>
      </c>
      <c r="CC557" s="318">
        <f>CC$529/CC$510*100</f>
        <v>15.111582990007571</v>
      </c>
      <c r="CD557" s="81">
        <f t="shared" si="2260"/>
        <v>-0.17298909723642009</v>
      </c>
      <c r="CE557" s="318">
        <f>CE$529/CE$510*100</f>
        <v>14.990274315536183</v>
      </c>
      <c r="CF557" s="81">
        <f t="shared" si="2261"/>
        <v>-3.9275803946465793</v>
      </c>
      <c r="CG557" s="318">
        <f>CG$529/CG$510*100</f>
        <v>14.920653818141073</v>
      </c>
      <c r="CH557" s="81">
        <f t="shared" si="2262"/>
        <v>-6.5403769655511095</v>
      </c>
      <c r="CI557" s="318">
        <f>CI$529/CI$510*100</f>
        <v>14.854229365103988</v>
      </c>
      <c r="CJ557" s="81">
        <f t="shared" si="2263"/>
        <v>-4.9106298737718106</v>
      </c>
      <c r="CK557" s="318">
        <f>CK$529/CK$510*100</f>
        <v>15.75609292998606</v>
      </c>
      <c r="CL557" s="81">
        <f t="shared" si="2264"/>
        <v>4.265006124141113</v>
      </c>
      <c r="CM557" s="318">
        <f>CM$529/CM$510*100</f>
        <v>13.717861748428351</v>
      </c>
      <c r="CN557" s="81">
        <f t="shared" si="2265"/>
        <v>-8.4882540527566057</v>
      </c>
      <c r="CO557" s="318">
        <f>CO$529/CO$510*100</f>
        <v>13.731161388442182</v>
      </c>
      <c r="CP557" s="81">
        <f t="shared" si="2266"/>
        <v>-7.972120016970452</v>
      </c>
      <c r="CQ557" s="318">
        <f>CQ$529/CQ$510*100</f>
        <v>13.820170834246614</v>
      </c>
      <c r="CR557" s="81">
        <f t="shared" si="2267"/>
        <v>-6.9613744708063807</v>
      </c>
      <c r="CS557" s="318">
        <f>CS$529/CS$510*100</f>
        <v>13.962259898647126</v>
      </c>
      <c r="CT557" s="81">
        <f t="shared" si="2268"/>
        <v>-11.385011749486562</v>
      </c>
      <c r="CU557" s="318">
        <f>CU$529/CU$510*100</f>
        <v>13.838592071161271</v>
      </c>
      <c r="CV557" s="81">
        <f t="shared" si="2269"/>
        <v>0.88009578276111444</v>
      </c>
      <c r="CW557" s="318">
        <f>CW$529/CW$510*100</f>
        <v>13.889961922631199</v>
      </c>
      <c r="CX557" s="81">
        <f t="shared" si="2270"/>
        <v>1.1564974709472375</v>
      </c>
      <c r="CY557" s="318">
        <f>CY$529/CY$510*100</f>
        <v>14.116786993272267</v>
      </c>
      <c r="CZ557" s="81">
        <f t="shared" si="2271"/>
        <v>2.1462553725503319</v>
      </c>
      <c r="DA557" s="318">
        <f>DA$529/DA$510*100</f>
        <v>14.55027875769059</v>
      </c>
      <c r="DB557" s="81">
        <f t="shared" si="2272"/>
        <v>4.2114877055142053</v>
      </c>
      <c r="DC557" s="318">
        <f>DC$529/DC$510*100</f>
        <v>14.551631098408228</v>
      </c>
      <c r="DD557" s="81">
        <f t="shared" si="2273"/>
        <v>5.152540255398419</v>
      </c>
      <c r="DE557" s="318">
        <f>DE$529/DE$510*100</f>
        <v>14.626071979383942</v>
      </c>
      <c r="DF557" s="81">
        <f t="shared" si="2274"/>
        <v>5.2995829711626863</v>
      </c>
      <c r="DG557" s="318">
        <f>DG$529/DG$510*100</f>
        <v>14.85693070023032</v>
      </c>
      <c r="DH557" s="81">
        <f t="shared" si="2275"/>
        <v>5.2430040016243629</v>
      </c>
      <c r="DI557" s="318">
        <f>DI$529/DI$510*100</f>
        <v>14.917544374973774</v>
      </c>
      <c r="DJ557" s="81">
        <f t="shared" si="2276"/>
        <v>2.5241139595972628</v>
      </c>
      <c r="DK557" s="318">
        <f>DK$529/DK$510*100</f>
        <v>13.645913063529019</v>
      </c>
      <c r="DL557" s="81">
        <f t="shared" si="2277"/>
        <v>-6.2241684712463829</v>
      </c>
      <c r="DM557" s="318">
        <f>DM$529/DM$510*100</f>
        <v>13.787144228709264</v>
      </c>
      <c r="DN557" s="81">
        <f t="shared" si="2278"/>
        <v>-5.7358377003557841</v>
      </c>
      <c r="DO557" s="318">
        <f>DO$529/DO$510*100</f>
        <v>13.800261883617365</v>
      </c>
      <c r="DP557" s="81">
        <f t="shared" si="2278"/>
        <v>-7.1122955200738307</v>
      </c>
      <c r="DQ557" s="318">
        <f>DQ$529/DQ$510*100</f>
        <v>13.952146046260555</v>
      </c>
      <c r="DR557" s="81">
        <f t="shared" si="2279"/>
        <v>-6.4715633112699678</v>
      </c>
      <c r="DS557" s="318">
        <f>DS$529/DS$510*100</f>
        <v>14.299295094710818</v>
      </c>
      <c r="DT557" s="81">
        <f t="shared" si="2280"/>
        <v>4.7881151531594668</v>
      </c>
      <c r="DU557" s="318">
        <f>DU$529/DU$510*100</f>
        <v>14.395033557696808</v>
      </c>
      <c r="DV557" s="81">
        <f t="shared" si="2281"/>
        <v>4.4091025589021005</v>
      </c>
      <c r="DW557" s="318">
        <f>DW$529/DW$510*100</f>
        <v>14.340728954428211</v>
      </c>
      <c r="DX557" s="81">
        <f t="shared" si="2282"/>
        <v>3.9163537284205407</v>
      </c>
      <c r="DY557" s="318">
        <f>DY$529/DY$510*100</f>
        <v>14.64859612143632</v>
      </c>
      <c r="DZ557" s="81">
        <f t="shared" si="2283"/>
        <v>4.9917057409417431</v>
      </c>
      <c r="EA557" s="318">
        <f>EA$529/EA$510*100</f>
        <v>14.478176989578879</v>
      </c>
      <c r="EB557" s="81">
        <f t="shared" si="2284"/>
        <v>1.2509840078356538</v>
      </c>
      <c r="EC557" s="318">
        <f>EC$529/EC$510*100</f>
        <v>14.560133835108363</v>
      </c>
      <c r="ED557" s="81">
        <f t="shared" si="2285"/>
        <v>1.1469252693980581</v>
      </c>
      <c r="EE557" s="318">
        <f>EE$529/EE$510*100</f>
        <v>14.699218700695472</v>
      </c>
      <c r="EF557" s="81">
        <f t="shared" si="2286"/>
        <v>2.4998014215767084</v>
      </c>
      <c r="EG557" s="318">
        <f>EG$529/EG$510*100</f>
        <v>14.808394861274152</v>
      </c>
      <c r="EH557" s="81">
        <f t="shared" si="2287"/>
        <v>1.0908809179603685</v>
      </c>
      <c r="EI557" s="318">
        <f>EI$529/EI$510*100</f>
        <v>14.95771959177106</v>
      </c>
      <c r="EJ557" s="81">
        <f t="shared" si="2288"/>
        <v>3.3121753003665155</v>
      </c>
      <c r="EK557" s="318">
        <f t="shared" ref="EK557:EQ557" si="2314">EK$529/EK$510*100</f>
        <v>14.947840985550767</v>
      </c>
      <c r="EL557" s="81">
        <f t="shared" si="2290"/>
        <v>2.6627993590796484</v>
      </c>
      <c r="EM557" s="318">
        <f t="shared" si="2314"/>
        <v>14.959941422550576</v>
      </c>
      <c r="EN557" s="81">
        <f t="shared" si="2291"/>
        <v>1.7737182306347243</v>
      </c>
      <c r="EO557" s="318">
        <f t="shared" si="2314"/>
        <v>14.96063165571865</v>
      </c>
      <c r="EP557" s="81">
        <f t="shared" si="2292"/>
        <v>1.0280438620840382</v>
      </c>
      <c r="EQ557" s="318">
        <f t="shared" si="2314"/>
        <v>14.964076318809907</v>
      </c>
      <c r="ER557" s="81">
        <f t="shared" si="2293"/>
        <v>4.2497969024268833E-2</v>
      </c>
      <c r="ES557" s="82"/>
      <c r="ET557" s="490"/>
      <c r="EU557" s="82"/>
      <c r="EV557" s="318">
        <f>EV$529/EV$510*100</f>
        <v>16.270032454296622</v>
      </c>
      <c r="EW557" s="79"/>
      <c r="EX557" s="318">
        <f>EX$529/EX$510*100</f>
        <v>13.275494080625002</v>
      </c>
      <c r="EY557" s="79">
        <f t="shared" si="2310"/>
        <v>-18.405239092690419</v>
      </c>
      <c r="EZ557" s="318"/>
      <c r="FA557" s="79" t="str">
        <f t="shared" si="2311"/>
        <v>NM</v>
      </c>
      <c r="FB557" s="318">
        <f>FB$529/FB$510*100</f>
        <v>14.023585518161319</v>
      </c>
      <c r="FC557" s="79" t="str">
        <f t="shared" si="2294"/>
        <v>NA</v>
      </c>
      <c r="FD557" s="318">
        <f>FD$529/FD$510*100</f>
        <v>15.138583788495191</v>
      </c>
      <c r="FE557" s="79">
        <f t="shared" si="2295"/>
        <v>7.9508786742868764</v>
      </c>
      <c r="FF557" s="318">
        <f>FF$529/FF$510*100</f>
        <v>14.6435382945343</v>
      </c>
      <c r="FG557" s="79">
        <f t="shared" si="2296"/>
        <v>-3.2700911847322822</v>
      </c>
      <c r="FH557" s="318">
        <f>FH$529/FH$510*100</f>
        <v>14.229380585358356</v>
      </c>
      <c r="FI557" s="79">
        <f t="shared" si="2297"/>
        <v>-2.8282625472460299</v>
      </c>
      <c r="FJ557" s="318">
        <f>FJ$529/FJ$510*100</f>
        <v>14.213937723422815</v>
      </c>
      <c r="FK557" s="79">
        <f t="shared" si="2298"/>
        <v>-0.10852799841077898</v>
      </c>
      <c r="FL557" s="318">
        <f>FL$529/FL$510*100</f>
        <v>14.628276001917889</v>
      </c>
      <c r="FM557" s="79">
        <f t="shared" si="2299"/>
        <v>2.9150140274802006</v>
      </c>
      <c r="FN557" s="318">
        <f>FN$529/FN$510*100</f>
        <v>15.345575590306208</v>
      </c>
      <c r="FO557" s="79">
        <f t="shared" si="2300"/>
        <v>4.9035141823566608</v>
      </c>
      <c r="FP557" s="318">
        <f>FP$529/FP$510*100</f>
        <v>12.952158456891594</v>
      </c>
      <c r="FQ557" s="79">
        <f t="shared" si="2301"/>
        <v>-15.59678957188504</v>
      </c>
      <c r="FR557" s="318">
        <f>FR$529/FR$510*100</f>
        <v>15.603098555353636</v>
      </c>
      <c r="FS557" s="79">
        <f t="shared" si="2302"/>
        <v>20.467168520869429</v>
      </c>
      <c r="FT557" s="318">
        <f>FT$529/FT$510*100</f>
        <v>14.990274315536183</v>
      </c>
      <c r="FU557" s="79">
        <f t="shared" si="2303"/>
        <v>-3.9275803946465793</v>
      </c>
      <c r="FV557" s="318">
        <f>FV$529/FV$510*100</f>
        <v>13.717861748428351</v>
      </c>
      <c r="FW557" s="79">
        <f t="shared" si="2304"/>
        <v>-8.4882540527566057</v>
      </c>
      <c r="FX557" s="318">
        <f>FX$529/FX$510*100</f>
        <v>13.838592071161271</v>
      </c>
      <c r="FY557" s="79">
        <f t="shared" si="2305"/>
        <v>0.88009578276111444</v>
      </c>
      <c r="FZ557" s="318">
        <f>FZ$529/FZ$510*100</f>
        <v>14.551631098408228</v>
      </c>
      <c r="GA557" s="79">
        <f t="shared" si="2306"/>
        <v>5.152540255398419</v>
      </c>
      <c r="GB557" s="318">
        <f>GB$529/GB$510*100</f>
        <v>13.645913063529019</v>
      </c>
      <c r="GC557" s="79">
        <f t="shared" si="2306"/>
        <v>-6.2241684712463829</v>
      </c>
      <c r="GD557" s="318">
        <f>GD$529/GD$510*100</f>
        <v>14.299295094710818</v>
      </c>
      <c r="GE557" s="79">
        <f t="shared" si="2306"/>
        <v>4.7881151531594668</v>
      </c>
      <c r="GF557" s="318">
        <f>GF$529/GF$510*100</f>
        <v>14.478176989578879</v>
      </c>
      <c r="GG557" s="79">
        <f t="shared" si="2306"/>
        <v>1.2509840078356538</v>
      </c>
      <c r="GH557" s="318">
        <f>GH$529/GH$510*100</f>
        <v>14.95771959177106</v>
      </c>
      <c r="GI557" s="79">
        <f t="shared" si="2306"/>
        <v>3.3121753003665155</v>
      </c>
      <c r="GJ557" s="318">
        <f>GJ$529/GJ$510*100</f>
        <v>14.964076318809907</v>
      </c>
      <c r="GK557" s="79">
        <f t="shared" si="2306"/>
        <v>4.2497969024268833E-2</v>
      </c>
      <c r="GL557" s="318">
        <f>GL$529/GL$510*100</f>
        <v>14.958383697026989</v>
      </c>
      <c r="GM557" s="79">
        <f t="shared" si="2306"/>
        <v>-3.8041918937303798E-2</v>
      </c>
      <c r="GN557" s="318">
        <f>GN$529/GN$510*100</f>
        <v>14.909720907397029</v>
      </c>
      <c r="GO557" s="79">
        <f t="shared" si="2306"/>
        <v>-0.32532117517236614</v>
      </c>
      <c r="GP557" s="318">
        <f>GP$529/GP$510*100</f>
        <v>14.858788833147804</v>
      </c>
      <c r="GQ557" s="79">
        <f t="shared" si="2306"/>
        <v>-0.34160313640717588</v>
      </c>
      <c r="GR557" s="318">
        <f>GR$529/GR$510*100</f>
        <v>14.767384819763226</v>
      </c>
      <c r="GS557" s="79">
        <f t="shared" si="2307"/>
        <v>-0.6151511701994794</v>
      </c>
      <c r="GT557" s="79">
        <f t="shared" si="2308"/>
        <v>-0.25580239922422532</v>
      </c>
    </row>
    <row r="558" spans="1:202" ht="12.75" customHeight="1" x14ac:dyDescent="0.2">
      <c r="A558" s="1"/>
      <c r="B558" s="2" t="s">
        <v>257</v>
      </c>
      <c r="C558" s="79"/>
      <c r="D558" s="79"/>
      <c r="E558" s="318">
        <f>E$529/E$506*100</f>
        <v>14.162284088500879</v>
      </c>
      <c r="F558" s="318"/>
      <c r="G558" s="318">
        <f>G$529/G$506*100</f>
        <v>14.06849593147961</v>
      </c>
      <c r="H558" s="318"/>
      <c r="I558" s="318">
        <f>I$529/I$506*100</f>
        <v>14.260495054190923</v>
      </c>
      <c r="J558" s="318"/>
      <c r="K558" s="318">
        <f>K$529/K$506*100</f>
        <v>13.995103987258114</v>
      </c>
      <c r="L558" s="79"/>
      <c r="M558" s="318">
        <f>M$529/M$506*100</f>
        <v>13.53409892617228</v>
      </c>
      <c r="N558" s="79">
        <f t="shared" si="2234"/>
        <v>-4.435620401363483</v>
      </c>
      <c r="O558" s="318">
        <f>O$529/O$506*100</f>
        <v>14.152597103053788</v>
      </c>
      <c r="P558" s="79">
        <f t="shared" si="2235"/>
        <v>0.59779788815941259</v>
      </c>
      <c r="Q558" s="318">
        <f>Q$529/Q$506*100</f>
        <v>14.992211925531173</v>
      </c>
      <c r="R558" s="79">
        <f t="shared" si="2236"/>
        <v>5.1310762253321096</v>
      </c>
      <c r="S558" s="318">
        <f>S$529/S$506*100</f>
        <v>15.119919574895876</v>
      </c>
      <c r="T558" s="79">
        <f t="shared" si="2237"/>
        <v>8.0372077882511874</v>
      </c>
      <c r="U558" s="318">
        <f>U$529/U$506*100</f>
        <v>14.129362470074971</v>
      </c>
      <c r="V558" s="79">
        <f t="shared" si="2238"/>
        <v>4.3982502799027712</v>
      </c>
      <c r="W558" s="318">
        <f>W$529/W$506*100</f>
        <v>15.637882590789665</v>
      </c>
      <c r="X558" s="79">
        <f t="shared" si="2239"/>
        <v>10.494791004934267</v>
      </c>
      <c r="Y558" s="318">
        <f>Y$529/Y$506*100</f>
        <v>15.911168402640543</v>
      </c>
      <c r="Z558" s="79">
        <f t="shared" si="2240"/>
        <v>6.1295590115320042</v>
      </c>
      <c r="AA558" s="252">
        <f>AA$529/AA$506*100</f>
        <v>14.624393834865632</v>
      </c>
      <c r="AB558" s="79">
        <f t="shared" si="2241"/>
        <v>-3.2773040727874125</v>
      </c>
      <c r="AC558" s="318">
        <f>AC$529/AC$506*100</f>
        <v>14.133791892925279</v>
      </c>
      <c r="AD558" s="79">
        <f t="shared" si="2242"/>
        <v>3.1349063764829488E-2</v>
      </c>
      <c r="AE558" s="318">
        <f>AE$529/AE$506*100</f>
        <v>12.836958829944933</v>
      </c>
      <c r="AF558" s="79">
        <f t="shared" si="2243"/>
        <v>-17.911144584845573</v>
      </c>
      <c r="AG558" s="318">
        <f>AG$529/AG$506*100</f>
        <v>13.871795851166269</v>
      </c>
      <c r="AH558" s="79">
        <f t="shared" si="2244"/>
        <v>-12.817239437525085</v>
      </c>
      <c r="AI558" s="318">
        <f>AI$529/AI$506*100</f>
        <v>14.211633154510025</v>
      </c>
      <c r="AJ558" s="79">
        <f t="shared" si="2245"/>
        <v>-2.8224122313470157</v>
      </c>
      <c r="AK558" s="318">
        <f>AK$529/AK$506*100</f>
        <v>13.87268228008954</v>
      </c>
      <c r="AL558" s="79">
        <f t="shared" si="2246"/>
        <v>-1.8474137359163922</v>
      </c>
      <c r="AM558" s="318">
        <f>AM$529/AM$506*100</f>
        <v>14.981003387347799</v>
      </c>
      <c r="AN558" s="79">
        <f t="shared" si="2247"/>
        <v>16.702122253453268</v>
      </c>
      <c r="AO558" s="318">
        <f>AO$529/AO$506*100</f>
        <v>14.150808748917335</v>
      </c>
      <c r="AP558" s="79">
        <f t="shared" si="2247"/>
        <v>2.0113682521330389</v>
      </c>
      <c r="AQ558" s="318">
        <f>AQ$529/AQ$506*100</f>
        <v>14.197714144693713</v>
      </c>
      <c r="AR558" s="79">
        <f t="shared" si="2247"/>
        <v>-9.7940959107123415E-2</v>
      </c>
      <c r="AS558" s="318">
        <f>AS$529/AS$506*100</f>
        <v>13.013336292110564</v>
      </c>
      <c r="AT558" s="81">
        <f t="shared" si="2247"/>
        <v>-6.1945193483767262</v>
      </c>
      <c r="AU558" s="318">
        <f>AU$529/AU$506*100</f>
        <v>13.862374235891901</v>
      </c>
      <c r="AV558" s="81">
        <f t="shared" si="2247"/>
        <v>-7.4669841701032968</v>
      </c>
      <c r="AW558" s="318">
        <f>AW$529/AW$506*100</f>
        <v>14.556606576387491</v>
      </c>
      <c r="AX558" s="81">
        <f t="shared" si="2247"/>
        <v>2.8676652668435221</v>
      </c>
      <c r="AY558" s="318">
        <f>AY$529/AY$506*100</f>
        <v>14.612491078747446</v>
      </c>
      <c r="AZ558" s="81">
        <f t="shared" si="2247"/>
        <v>2.9214346043778816</v>
      </c>
      <c r="BA558" s="318">
        <f>BA$529/BA$506*100</f>
        <v>14.097712748065927</v>
      </c>
      <c r="BB558" s="81">
        <f t="shared" si="2247"/>
        <v>8.3328089862149781</v>
      </c>
      <c r="BC558" s="318">
        <f>BC$529/BC$506*100</f>
        <v>14.156769961130147</v>
      </c>
      <c r="BD558" s="81">
        <f t="shared" si="2247"/>
        <v>2.1237034885121631</v>
      </c>
      <c r="BE558" s="318">
        <f>BE$529/BE$506*100</f>
        <v>14.896911727218425</v>
      </c>
      <c r="BF558" s="81">
        <f t="shared" si="2248"/>
        <v>2.3378055115053309</v>
      </c>
      <c r="BG558" s="318">
        <f>BG$529/BG$506*100</f>
        <v>15.333751647349841</v>
      </c>
      <c r="BH558" s="81">
        <f t="shared" si="2249"/>
        <v>4.935917939764578</v>
      </c>
      <c r="BI558" s="318">
        <f>BI$529/BI$506*100</f>
        <v>14.669708772172415</v>
      </c>
      <c r="BJ558" s="81">
        <f t="shared" si="2250"/>
        <v>4.0573675625853678</v>
      </c>
      <c r="BK558" s="318">
        <f>BK$529/BK$506*100</f>
        <v>14.805149146766908</v>
      </c>
      <c r="BL558" s="81">
        <f t="shared" si="2251"/>
        <v>4.5799937939021262</v>
      </c>
      <c r="BM558" s="318">
        <f>BM$529/BM$506*100</f>
        <v>13.488579793262817</v>
      </c>
      <c r="BN558" s="81">
        <f t="shared" si="2252"/>
        <v>-9.4538516421656666</v>
      </c>
      <c r="BO558" s="318">
        <f>BO$529/BO$506*100</f>
        <v>12.946654417270029</v>
      </c>
      <c r="BP558" s="81">
        <f t="shared" si="2253"/>
        <v>-15.567600708417483</v>
      </c>
      <c r="BQ558" s="318">
        <f>BQ$529/BQ$506*100</f>
        <v>13.05950650169278</v>
      </c>
      <c r="BR558" s="81">
        <f t="shared" si="2254"/>
        <v>-10.976375165225461</v>
      </c>
      <c r="BS558" s="318">
        <f>BS$529/BS$506*100</f>
        <v>14.566476690598714</v>
      </c>
      <c r="BT558" s="81">
        <f t="shared" si="2255"/>
        <v>-1.6120908597554662</v>
      </c>
      <c r="BU558" s="318">
        <f>BU$529/BU$506*100</f>
        <v>15.131656239903663</v>
      </c>
      <c r="BV558" s="81">
        <f t="shared" si="2256"/>
        <v>12.18124125611444</v>
      </c>
      <c r="BW558" s="318">
        <f>BW$529/BW$506*100</f>
        <v>15.603098555353636</v>
      </c>
      <c r="BX558" s="81">
        <f t="shared" si="2257"/>
        <v>20.518382992752748</v>
      </c>
      <c r="BY558" s="318">
        <f>BY$529/BY$506*100</f>
        <v>15.964812754103846</v>
      </c>
      <c r="BZ558" s="81">
        <f t="shared" si="2258"/>
        <v>22.246677177537123</v>
      </c>
      <c r="CA558" s="318">
        <f>CA$529/CA$506*100</f>
        <v>15.621335324217059</v>
      </c>
      <c r="CB558" s="81">
        <f t="shared" si="2259"/>
        <v>7.24168689535718</v>
      </c>
      <c r="CC558" s="318">
        <f>CC$529/CC$506*100</f>
        <v>15.111582990007571</v>
      </c>
      <c r="CD558" s="81">
        <f t="shared" si="2260"/>
        <v>-0.13265732169592814</v>
      </c>
      <c r="CE558" s="318">
        <f>CE$529/CE$506*100</f>
        <v>14.990274315536183</v>
      </c>
      <c r="CF558" s="81">
        <f t="shared" si="2261"/>
        <v>-3.9275803946465793</v>
      </c>
      <c r="CG558" s="318">
        <f>CG$529/CG$506*100</f>
        <v>14.920653818141073</v>
      </c>
      <c r="CH558" s="81">
        <f t="shared" si="2262"/>
        <v>-6.5403769655511095</v>
      </c>
      <c r="CI558" s="318">
        <f>CI$529/CI$506*100</f>
        <v>14.854229365103988</v>
      </c>
      <c r="CJ558" s="81">
        <f t="shared" si="2263"/>
        <v>-4.9106298737718106</v>
      </c>
      <c r="CK558" s="318">
        <f>CK$529/CK$506*100</f>
        <v>15.75609292998606</v>
      </c>
      <c r="CL558" s="81">
        <f t="shared" si="2264"/>
        <v>4.265006124141113</v>
      </c>
      <c r="CM558" s="318">
        <f>CM$529/CM$506*100</f>
        <v>13.717861748428351</v>
      </c>
      <c r="CN558" s="81">
        <f t="shared" si="2265"/>
        <v>-8.4882540527566057</v>
      </c>
      <c r="CO558" s="318">
        <f>CO$529/CO$506*100</f>
        <v>13.731161388442182</v>
      </c>
      <c r="CP558" s="81">
        <f t="shared" si="2266"/>
        <v>-7.972120016970452</v>
      </c>
      <c r="CQ558" s="318">
        <f>CQ$529/CQ$506*100</f>
        <v>13.820170834246614</v>
      </c>
      <c r="CR558" s="81">
        <f t="shared" si="2267"/>
        <v>-6.9613744708063807</v>
      </c>
      <c r="CS558" s="318">
        <f>CS$529/CS$506*100</f>
        <v>13.962259898647126</v>
      </c>
      <c r="CT558" s="81">
        <f t="shared" si="2268"/>
        <v>-11.385011749486562</v>
      </c>
      <c r="CU558" s="318">
        <f>CU$529/CU$506*100</f>
        <v>13.838592071161271</v>
      </c>
      <c r="CV558" s="81">
        <f t="shared" si="2269"/>
        <v>0.88009578276111444</v>
      </c>
      <c r="CW558" s="318">
        <f>CW$529/CW$506*100</f>
        <v>13.889961922631199</v>
      </c>
      <c r="CX558" s="81">
        <f t="shared" si="2270"/>
        <v>1.1564974709472375</v>
      </c>
      <c r="CY558" s="318">
        <f>CY$529/CY$506*100</f>
        <v>14.116786993272267</v>
      </c>
      <c r="CZ558" s="81">
        <f t="shared" si="2271"/>
        <v>2.1462553725503319</v>
      </c>
      <c r="DA558" s="318">
        <f>DA$529/DA$506*100</f>
        <v>14.55027875769059</v>
      </c>
      <c r="DB558" s="81">
        <f t="shared" si="2272"/>
        <v>4.2114877055142053</v>
      </c>
      <c r="DC558" s="318">
        <f>DC$529/DC$506*100</f>
        <v>14.551631098408228</v>
      </c>
      <c r="DD558" s="81">
        <f t="shared" si="2273"/>
        <v>5.152540255398419</v>
      </c>
      <c r="DE558" s="318">
        <f>DE$529/DE$506*100</f>
        <v>14.626071979383942</v>
      </c>
      <c r="DF558" s="81">
        <f t="shared" si="2274"/>
        <v>5.2995829711626863</v>
      </c>
      <c r="DG558" s="318">
        <f>DG$529/DG$506*100</f>
        <v>14.85693070023032</v>
      </c>
      <c r="DH558" s="81">
        <f t="shared" si="2275"/>
        <v>5.2430040016243629</v>
      </c>
      <c r="DI558" s="318">
        <f>DI$529/DI$506*100</f>
        <v>14.917544374973774</v>
      </c>
      <c r="DJ558" s="81">
        <f t="shared" si="2276"/>
        <v>2.5241139595972628</v>
      </c>
      <c r="DK558" s="318">
        <f>DK$529/DK$506*100</f>
        <v>13.645913063529019</v>
      </c>
      <c r="DL558" s="81">
        <f t="shared" si="2277"/>
        <v>-6.2241684712463829</v>
      </c>
      <c r="DM558" s="318">
        <f>DM$529/DM$506*100</f>
        <v>13.787144228709264</v>
      </c>
      <c r="DN558" s="81">
        <f t="shared" si="2278"/>
        <v>-5.7358377003557841</v>
      </c>
      <c r="DO558" s="318">
        <f>DO$529/DO$506*100</f>
        <v>13.800261883617365</v>
      </c>
      <c r="DP558" s="81">
        <f t="shared" si="2278"/>
        <v>-7.1122955200738307</v>
      </c>
      <c r="DQ558" s="318">
        <f>DQ$529/DQ$506*100</f>
        <v>13.952146046260555</v>
      </c>
      <c r="DR558" s="81">
        <f t="shared" si="2279"/>
        <v>-6.4715633112699678</v>
      </c>
      <c r="DS558" s="318">
        <f>DS$529/DS$506*100</f>
        <v>14.299295094710818</v>
      </c>
      <c r="DT558" s="81">
        <f t="shared" si="2280"/>
        <v>4.7881151531594668</v>
      </c>
      <c r="DU558" s="318">
        <f>DU$529/DU$506*100</f>
        <v>14.395033557696808</v>
      </c>
      <c r="DV558" s="81">
        <f t="shared" si="2281"/>
        <v>4.4091025589021005</v>
      </c>
      <c r="DW558" s="318">
        <f>DW$529/DW$506*100</f>
        <v>14.340728954428211</v>
      </c>
      <c r="DX558" s="81">
        <f t="shared" si="2282"/>
        <v>3.9163537284205407</v>
      </c>
      <c r="DY558" s="318">
        <f>DY$529/DY$506*100</f>
        <v>14.64859612143632</v>
      </c>
      <c r="DZ558" s="81">
        <f t="shared" si="2283"/>
        <v>4.9917057409417431</v>
      </c>
      <c r="EA558" s="318">
        <f>EA$529/EA$506*100</f>
        <v>14.478176989578879</v>
      </c>
      <c r="EB558" s="81">
        <f t="shared" si="2284"/>
        <v>1.2509840078356538</v>
      </c>
      <c r="EC558" s="318">
        <f>EC$529/EC$506*100</f>
        <v>14.560133835108363</v>
      </c>
      <c r="ED558" s="81">
        <f t="shared" si="2285"/>
        <v>1.1469252693980581</v>
      </c>
      <c r="EE558" s="318">
        <f>EE$529/EE$506*100</f>
        <v>14.699218700695472</v>
      </c>
      <c r="EF558" s="81">
        <f t="shared" si="2286"/>
        <v>2.4998014215767084</v>
      </c>
      <c r="EG558" s="318">
        <f>EG$529/EG$506*100</f>
        <v>14.808394861274152</v>
      </c>
      <c r="EH558" s="81">
        <f t="shared" si="2287"/>
        <v>1.0908809179603685</v>
      </c>
      <c r="EI558" s="318">
        <f>EI$529/EI$506*100</f>
        <v>14.95771959177106</v>
      </c>
      <c r="EJ558" s="81">
        <f t="shared" si="2288"/>
        <v>3.3121753003665155</v>
      </c>
      <c r="EK558" s="318">
        <f t="shared" ref="EK558:EQ558" si="2315">EK$529/EK$506*100</f>
        <v>14.947840985550767</v>
      </c>
      <c r="EL558" s="81">
        <f t="shared" si="2290"/>
        <v>2.6627993590796484</v>
      </c>
      <c r="EM558" s="318">
        <f t="shared" si="2315"/>
        <v>14.959941422550576</v>
      </c>
      <c r="EN558" s="81">
        <f t="shared" si="2291"/>
        <v>1.7737182306347243</v>
      </c>
      <c r="EO558" s="318">
        <f t="shared" si="2315"/>
        <v>14.96063165571865</v>
      </c>
      <c r="EP558" s="81">
        <f t="shared" si="2292"/>
        <v>1.0280438620840382</v>
      </c>
      <c r="EQ558" s="318">
        <f t="shared" si="2315"/>
        <v>14.964076318809907</v>
      </c>
      <c r="ER558" s="81">
        <f t="shared" si="2293"/>
        <v>4.2497969024268833E-2</v>
      </c>
      <c r="ES558" s="82"/>
      <c r="ET558" s="490"/>
      <c r="EU558" s="82"/>
      <c r="EV558" s="318">
        <f>EV$529/EV$506*100</f>
        <v>15.921890462201638</v>
      </c>
      <c r="EW558" s="79"/>
      <c r="EX558" s="318">
        <f>EX$529/EX$506*100</f>
        <v>12.958449834189478</v>
      </c>
      <c r="EY558" s="79">
        <f t="shared" si="2310"/>
        <v>-18.612366634774492</v>
      </c>
      <c r="EZ558" s="318"/>
      <c r="FA558" s="79" t="str">
        <f t="shared" si="2311"/>
        <v>NM</v>
      </c>
      <c r="FB558" s="318">
        <f>FB$529/FB$506*100</f>
        <v>13.995103987258114</v>
      </c>
      <c r="FC558" s="79" t="str">
        <f t="shared" si="2294"/>
        <v>NA</v>
      </c>
      <c r="FD558" s="318">
        <f>FD$529/FD$506*100</f>
        <v>15.119919574895876</v>
      </c>
      <c r="FE558" s="79">
        <f t="shared" si="2295"/>
        <v>8.0372077882511874</v>
      </c>
      <c r="FF558" s="318">
        <f>FF$529/FF$506*100</f>
        <v>14.624393834865632</v>
      </c>
      <c r="FG558" s="79">
        <f t="shared" si="2296"/>
        <v>-3.2773040727874125</v>
      </c>
      <c r="FH558" s="318">
        <f>FH$529/FH$506*100</f>
        <v>14.211633154510025</v>
      </c>
      <c r="FI558" s="79">
        <f t="shared" si="2297"/>
        <v>-2.8224122313470157</v>
      </c>
      <c r="FJ558" s="318">
        <f>FJ$529/FJ$506*100</f>
        <v>14.197714144693713</v>
      </c>
      <c r="FK558" s="79">
        <f t="shared" si="2298"/>
        <v>-9.7940959107123415E-2</v>
      </c>
      <c r="FL558" s="318">
        <f>FL$529/FL$506*100</f>
        <v>14.612491078747446</v>
      </c>
      <c r="FM558" s="79">
        <f t="shared" si="2299"/>
        <v>2.9214346043778816</v>
      </c>
      <c r="FN558" s="318">
        <f>FN$529/FN$506*100</f>
        <v>15.333751647349841</v>
      </c>
      <c r="FO558" s="79">
        <f t="shared" si="2300"/>
        <v>4.935917939764578</v>
      </c>
      <c r="FP558" s="318">
        <f>FP$529/FP$506*100</f>
        <v>12.946654417270029</v>
      </c>
      <c r="FQ558" s="79">
        <f t="shared" si="2301"/>
        <v>-15.567600708417483</v>
      </c>
      <c r="FR558" s="318">
        <f>FR$529/FR$506*100</f>
        <v>15.603098555353636</v>
      </c>
      <c r="FS558" s="79">
        <f t="shared" si="2302"/>
        <v>20.518382992752748</v>
      </c>
      <c r="FT558" s="318">
        <f>FT$529/FT$506*100</f>
        <v>14.990274315536183</v>
      </c>
      <c r="FU558" s="79">
        <f t="shared" si="2303"/>
        <v>-3.9275803946465793</v>
      </c>
      <c r="FV558" s="318">
        <f>FV$529/FV$506*100</f>
        <v>13.717861748428351</v>
      </c>
      <c r="FW558" s="79">
        <f t="shared" si="2304"/>
        <v>-8.4882540527566057</v>
      </c>
      <c r="FX558" s="318">
        <f>FX$529/FX$506*100</f>
        <v>13.838592071161271</v>
      </c>
      <c r="FY558" s="79">
        <f t="shared" si="2305"/>
        <v>0.88009578276111444</v>
      </c>
      <c r="FZ558" s="318">
        <f>FZ$529/FZ$506*100</f>
        <v>14.551631098408228</v>
      </c>
      <c r="GA558" s="79">
        <f t="shared" si="2306"/>
        <v>5.152540255398419</v>
      </c>
      <c r="GB558" s="318">
        <f>GB$529/GB$506*100</f>
        <v>13.645913063529019</v>
      </c>
      <c r="GC558" s="79">
        <f t="shared" si="2306"/>
        <v>-6.2241684712463829</v>
      </c>
      <c r="GD558" s="318">
        <f>GD$529/GD$506*100</f>
        <v>14.299295094710818</v>
      </c>
      <c r="GE558" s="79">
        <f t="shared" si="2306"/>
        <v>4.7881151531594668</v>
      </c>
      <c r="GF558" s="318">
        <f>GF$529/GF$506*100</f>
        <v>14.478176989578879</v>
      </c>
      <c r="GG558" s="79">
        <f t="shared" si="2306"/>
        <v>1.2509840078356538</v>
      </c>
      <c r="GH558" s="318">
        <f>GH$529/GH$506*100</f>
        <v>14.95771959177106</v>
      </c>
      <c r="GI558" s="79">
        <f t="shared" si="2306"/>
        <v>3.3121753003665155</v>
      </c>
      <c r="GJ558" s="318">
        <f>GJ$529/GJ$506*100</f>
        <v>14.964076318809907</v>
      </c>
      <c r="GK558" s="79">
        <f t="shared" si="2306"/>
        <v>4.2497969024268833E-2</v>
      </c>
      <c r="GL558" s="318">
        <f>GL$529/GL$506*100</f>
        <v>14.958383697026989</v>
      </c>
      <c r="GM558" s="79">
        <f t="shared" si="2306"/>
        <v>-3.8041918937303798E-2</v>
      </c>
      <c r="GN558" s="318">
        <f>GN$529/GN$506*100</f>
        <v>14.909720907397029</v>
      </c>
      <c r="GO558" s="79">
        <f t="shared" si="2306"/>
        <v>-0.32532117517236614</v>
      </c>
      <c r="GP558" s="318">
        <f>GP$529/GP$506*100</f>
        <v>14.858788833147804</v>
      </c>
      <c r="GQ558" s="79">
        <f t="shared" si="2306"/>
        <v>-0.34160313640717588</v>
      </c>
      <c r="GR558" s="318">
        <f>GR$529/GR$506*100</f>
        <v>14.767384819763226</v>
      </c>
      <c r="GS558" s="79">
        <f t="shared" si="2307"/>
        <v>-0.6151511701994794</v>
      </c>
      <c r="GT558" s="79">
        <f t="shared" si="2308"/>
        <v>-0.25580239922422532</v>
      </c>
    </row>
    <row r="559" spans="1:202" ht="12.75" customHeight="1" x14ac:dyDescent="0.2">
      <c r="A559" s="1"/>
      <c r="B559" s="2" t="s">
        <v>160</v>
      </c>
      <c r="C559" s="79"/>
      <c r="D559" s="79"/>
      <c r="E559" s="330">
        <f>(E$416*4)/(E$506)*100</f>
        <v>1.7811252365861441</v>
      </c>
      <c r="F559" s="330"/>
      <c r="G559" s="330">
        <f>(G$416*4)/(AVERAGE(G$506,E$506))*100</f>
        <v>1.4283657026255865</v>
      </c>
      <c r="H559" s="330"/>
      <c r="I559" s="330">
        <f>(I$416*4)/(AVERAGE(I$506,G$506))*100</f>
        <v>1.0487689593253242</v>
      </c>
      <c r="J559" s="330"/>
      <c r="K559" s="330">
        <f>(K$416*4)/(AVERAGE(K$506,I$506))*100</f>
        <v>1.3978632998310523</v>
      </c>
      <c r="L559" s="79"/>
      <c r="M559" s="330">
        <f>(M$416*4)/(AVERAGE(M$506,K$506))*100</f>
        <v>1.3864033443443942</v>
      </c>
      <c r="N559" s="79">
        <f t="shared" si="2234"/>
        <v>-22.161377770285672</v>
      </c>
      <c r="O559" s="330">
        <f>(O$416*4)/(AVERAGE(O$506,M$506))*100</f>
        <v>1.3968282108912011</v>
      </c>
      <c r="P559" s="79">
        <f t="shared" si="2235"/>
        <v>-2.207942383131567</v>
      </c>
      <c r="Q559" s="330">
        <f>(Q$416*4)/(AVERAGE(Q$506,O$506))*100</f>
        <v>1.3714738448964165</v>
      </c>
      <c r="R559" s="79">
        <f t="shared" si="2236"/>
        <v>30.769873831762638</v>
      </c>
      <c r="S559" s="330">
        <f>(S$416*4)/(AVERAGE(S$506,Q$506))*100</f>
        <v>1.3486260816083677</v>
      </c>
      <c r="T559" s="79">
        <f t="shared" si="2237"/>
        <v>-3.5223199742518085</v>
      </c>
      <c r="U559" s="330">
        <f>(U$416*4)/(AVERAGE(U$506,S$506))*100</f>
        <v>-1.6893854358203921</v>
      </c>
      <c r="V559" s="79" t="str">
        <f t="shared" si="2238"/>
        <v>NM</v>
      </c>
      <c r="W559" s="330">
        <f>(W$416*4)/(AVERAGE(W$506,U$506))*100</f>
        <v>0.93135830750291027</v>
      </c>
      <c r="X559" s="79">
        <f t="shared" si="2239"/>
        <v>-33.323346404302136</v>
      </c>
      <c r="Y559" s="330">
        <f>(Y$416*4)/(AVERAGE(Y$506,W$506))*100</f>
        <v>0.93047382839728554</v>
      </c>
      <c r="Z559" s="79">
        <f t="shared" si="2240"/>
        <v>-32.155189699037855</v>
      </c>
      <c r="AA559" s="284">
        <f>(AA$416*4)/(AVERAGE(AA$506,Y$506))*100</f>
        <v>-1.4868267233076837</v>
      </c>
      <c r="AB559" s="79" t="str">
        <f t="shared" si="2241"/>
        <v>NM</v>
      </c>
      <c r="AC559" s="330">
        <f>(AC$416*4)/(AVERAGE(AC$506,AA$506))*100</f>
        <v>-4.673277761808948</v>
      </c>
      <c r="AD559" s="79" t="str">
        <f t="shared" si="2242"/>
        <v>NM</v>
      </c>
      <c r="AE559" s="330">
        <f>(AE$416*4)/(AVERAGE(AE$506,AC$506))*100</f>
        <v>1.0579851001105283</v>
      </c>
      <c r="AF559" s="79">
        <f t="shared" si="2243"/>
        <v>13.595926679080206</v>
      </c>
      <c r="AG559" s="330">
        <f>(AG$416*4)/(AVERAGE(AG$506,AE$506))*100</f>
        <v>1.0294785226742991</v>
      </c>
      <c r="AH559" s="79">
        <f t="shared" si="2244"/>
        <v>10.64024492204647</v>
      </c>
      <c r="AI559" s="330">
        <f>(AI$416*4)/(AVERAGE(AI$506,AG$506))*100</f>
        <v>0.93119260582005436</v>
      </c>
      <c r="AJ559" s="79" t="str">
        <f t="shared" si="2245"/>
        <v>NM</v>
      </c>
      <c r="AK559" s="330">
        <f>(AK$416*4)/(AVERAGE(AK$506,AI$506))*100</f>
        <v>1.2141372632142218</v>
      </c>
      <c r="AL559" s="79" t="str">
        <f t="shared" si="2246"/>
        <v>NM</v>
      </c>
      <c r="AM559" s="330">
        <f>(AM$416*4)/(AVERAGE(AM$506,AK$506))*100</f>
        <v>0.99702712386338121</v>
      </c>
      <c r="AN559" s="79">
        <f t="shared" si="2247"/>
        <v>-5.7617046063105022</v>
      </c>
      <c r="AO559" s="330">
        <f>(AO$416*4)/(AVERAGE(AO$506,AM$506))*100</f>
        <v>1.0481061004679593</v>
      </c>
      <c r="AP559" s="79">
        <f t="shared" si="2247"/>
        <v>1.8094187866368516</v>
      </c>
      <c r="AQ559" s="330">
        <f>(AQ$416*4)/(AVERAGE(AQ$506,AO$506))*100</f>
        <v>1.0352021138935885</v>
      </c>
      <c r="AR559" s="79">
        <f t="shared" si="2247"/>
        <v>11.169494626940057</v>
      </c>
      <c r="AS559" s="330">
        <f>(AS$416*4)/(AVERAGE(AS$506,AQ$506))*100</f>
        <v>1.040472707623064</v>
      </c>
      <c r="AT559" s="81">
        <f t="shared" si="2247"/>
        <v>-14.303535592953509</v>
      </c>
      <c r="AU559" s="330">
        <f>(AU$416*4)/(AVERAGE(AU$506,AS$506))*100</f>
        <v>1.1132391953462344</v>
      </c>
      <c r="AV559" s="81">
        <f t="shared" si="2247"/>
        <v>11.655858572086085</v>
      </c>
      <c r="AW559" s="330">
        <f>(AW$416*4)/(AVERAGE(AW$506,AU$506))*100</f>
        <v>1.2277865411500455</v>
      </c>
      <c r="AX559" s="81">
        <f t="shared" si="2247"/>
        <v>17.143344610041144</v>
      </c>
      <c r="AY559" s="330">
        <f>(AY$416*4)/(AVERAGE(AY$506,AW$506))*100</f>
        <v>1.3699726081672625</v>
      </c>
      <c r="AZ559" s="81">
        <f t="shared" si="2247"/>
        <v>32.338660226894199</v>
      </c>
      <c r="BA559" s="330">
        <f>(BA$416*4)/(AVERAGE(BA$506,AY$506))*100</f>
        <v>1.3284120207592907</v>
      </c>
      <c r="BB559" s="81">
        <f t="shared" si="2247"/>
        <v>27.673893897132331</v>
      </c>
      <c r="BC559" s="330">
        <f>(BC$416*4)/(AVERAGE(BC$506,BA$506))*100</f>
        <v>1.3908578872753745</v>
      </c>
      <c r="BD559" s="81">
        <f t="shared" si="2247"/>
        <v>24.937919280033661</v>
      </c>
      <c r="BE559" s="330">
        <f>(BE$416*4)/(AVERAGE(BE$506,BC$506))*100</f>
        <v>1.6582917454304267</v>
      </c>
      <c r="BF559" s="81">
        <f t="shared" si="2248"/>
        <v>35.063522025346103</v>
      </c>
      <c r="BG559" s="330">
        <f>(BG$416*4)/(AVERAGE(BG$506,BE$506))*100</f>
        <v>1.6236298718181936</v>
      </c>
      <c r="BH559" s="81">
        <f t="shared" si="2249"/>
        <v>18.515498933243023</v>
      </c>
      <c r="BI559" s="330">
        <f>(BI$416*4)/(AVERAGE(BI$506,BG$506))*100</f>
        <v>1.590784473775118</v>
      </c>
      <c r="BJ559" s="81">
        <f t="shared" si="2250"/>
        <v>19.750833996959848</v>
      </c>
      <c r="BK559" s="330">
        <f>(BK$416*4)/(AVERAGE(BK$506,BI$506))*100</f>
        <v>1.7196182478307329</v>
      </c>
      <c r="BL559" s="81">
        <f t="shared" si="2251"/>
        <v>23.637235950783197</v>
      </c>
      <c r="BM559" s="330">
        <f>(BM$416*4)/(AVERAGE(BM$506,BK$506))*100</f>
        <v>1.7061007456816526</v>
      </c>
      <c r="BN559" s="81">
        <f t="shared" si="2252"/>
        <v>2.883027089953738</v>
      </c>
      <c r="BO559" s="330">
        <f>(BO$416*4)/(AVERAGE(BO$506,BM$506))*100</f>
        <v>1.6860717909077747</v>
      </c>
      <c r="BP559" s="81">
        <f t="shared" si="2253"/>
        <v>3.845822263645382</v>
      </c>
      <c r="BQ559" s="330">
        <f>(BQ$416*4)/(AVERAGE(BQ$506,BO$506))*100</f>
        <v>1.6771318368021708</v>
      </c>
      <c r="BR559" s="81">
        <f t="shared" si="2254"/>
        <v>5.4279737104889092</v>
      </c>
      <c r="BS559" s="330">
        <f>(BS$416*4)/(AVERAGE(BS$506,BQ$506))*100</f>
        <v>1.7174811205410316</v>
      </c>
      <c r="BT559" s="81">
        <f t="shared" si="2255"/>
        <v>-0.12427917024009361</v>
      </c>
      <c r="BU559" s="330">
        <f>(BU$416*4)/(AVERAGE(BU$506,BS$506))*100</f>
        <v>1.5997731890563707</v>
      </c>
      <c r="BV559" s="81">
        <f t="shared" si="2256"/>
        <v>-6.2321968321278671</v>
      </c>
      <c r="BW559" s="330">
        <f>(BW$416*4)/(AVERAGE(BW$506,BU$506))*100</f>
        <v>1.6029047600690929</v>
      </c>
      <c r="BX559" s="81">
        <f t="shared" si="2257"/>
        <v>-4.9325913218621009</v>
      </c>
      <c r="BY559" s="330">
        <f>(BY$416*4)/(AVERAGE(BY$506,BW$506))*100</f>
        <v>1.65591527501457</v>
      </c>
      <c r="BZ559" s="81">
        <f t="shared" si="2258"/>
        <v>-1.2650503271141145</v>
      </c>
      <c r="CA559" s="330">
        <f>(CA$416*4)/(AVERAGE(CA$506,BY$506))*100</f>
        <v>1.6638429046045511</v>
      </c>
      <c r="CB559" s="81">
        <f t="shared" si="2259"/>
        <v>-3.1230745593048392</v>
      </c>
      <c r="CC559" s="330">
        <f>(CC$416*4)/(AVERAGE(CC$506,CA$506))*100</f>
        <v>1.5420352206230816</v>
      </c>
      <c r="CD559" s="81">
        <f t="shared" si="2260"/>
        <v>-3.6091346466023633</v>
      </c>
      <c r="CE559" s="330">
        <f>(CE$416*4)/(AVERAGE(CE$506,CC$506))*100</f>
        <v>1.4684749959795069</v>
      </c>
      <c r="CF559" s="81">
        <f t="shared" si="2261"/>
        <v>-8.3866345299137617</v>
      </c>
      <c r="CG559" s="330">
        <f>(CG$416*4)/(AVERAGE(CG$506,CE$506))*100</f>
        <v>1.541336358320252</v>
      </c>
      <c r="CH559" s="81">
        <f t="shared" si="2262"/>
        <v>-6.9193707204198596</v>
      </c>
      <c r="CI559" s="330">
        <f>(CI$416*4)/(AVERAGE(CI$506,CG$506))*100</f>
        <v>1.6328998042257372</v>
      </c>
      <c r="CJ559" s="81">
        <f t="shared" si="2263"/>
        <v>-1.8597368954233251</v>
      </c>
      <c r="CK559" s="330">
        <f>(CK$416*4)/(AVERAGE(CK$506,CI$506))*100</f>
        <v>1.5118159325137837</v>
      </c>
      <c r="CL559" s="81">
        <f t="shared" si="2264"/>
        <v>-1.9597015492997305</v>
      </c>
      <c r="CM559" s="330">
        <f>(CM$416*4)/(AVERAGE(CM$506,CK$506))*100</f>
        <v>-2.4663011586498236</v>
      </c>
      <c r="CN559" s="81" t="str">
        <f t="shared" si="2265"/>
        <v>NM</v>
      </c>
      <c r="CO559" s="330">
        <f>(CO$416*4)/(AVERAGE(CO$506,CM$506))*100</f>
        <v>1.4317493095603846</v>
      </c>
      <c r="CP559" s="81">
        <f t="shared" si="2266"/>
        <v>-7.1098724277999459</v>
      </c>
      <c r="CQ559" s="330">
        <f>(CQ$416*4)/(AVERAGE(CQ$506,CO$506))*100</f>
        <v>1.4988711065650449</v>
      </c>
      <c r="CR559" s="81">
        <f t="shared" si="2267"/>
        <v>-8.2080172533454352</v>
      </c>
      <c r="CS559" s="330">
        <f>(CS$416*4)/(AVERAGE(CS$506,CQ$506))*100</f>
        <v>1.4593035897076752</v>
      </c>
      <c r="CT559" s="81">
        <f t="shared" si="2268"/>
        <v>-3.4734613967715711</v>
      </c>
      <c r="CU559" s="330">
        <f>(CU$416*4)/(AVERAGE(CU$506,CS$506))*100</f>
        <v>1.4474607919057989</v>
      </c>
      <c r="CV559" s="81" t="str">
        <f t="shared" si="2269"/>
        <v>NM</v>
      </c>
      <c r="CW559" s="330">
        <f>(CW$416*4)/(AVERAGE(CW$506,CU$506))*100</f>
        <v>1.373947798704052</v>
      </c>
      <c r="CX559" s="81">
        <f t="shared" si="2270"/>
        <v>-4.0371251077523045</v>
      </c>
      <c r="CY559" s="330">
        <f>(CY$416*4)/(AVERAGE(CY$506,CW$506))*100</f>
        <v>1.4277023184457283</v>
      </c>
      <c r="CZ559" s="81">
        <f t="shared" si="2271"/>
        <v>-4.7481593185429887</v>
      </c>
      <c r="DA559" s="330">
        <f>(DA$416*4)/(AVERAGE(DA$506,CY$506))*100</f>
        <v>1.4903490483556394</v>
      </c>
      <c r="DB559" s="81">
        <f t="shared" si="2272"/>
        <v>2.1274160405637899</v>
      </c>
      <c r="DC559" s="330">
        <f>(DC$416*4)/(AVERAGE(DC$506,DA$506))*100</f>
        <v>1.4411579027890908</v>
      </c>
      <c r="DD559" s="81">
        <f t="shared" si="2273"/>
        <v>-0.43544454896145002</v>
      </c>
      <c r="DE559" s="330">
        <f>(DE$416*4)/(AVERAGE(DE$506,DC$506))*100</f>
        <v>1.4784226505507954</v>
      </c>
      <c r="DF559" s="81">
        <f t="shared" si="2274"/>
        <v>7.6039899001466571</v>
      </c>
      <c r="DG559" s="330">
        <f>(DG$416*4)/(AVERAGE(DG$506,DE$506))*100</f>
        <v>1.4358859563962378</v>
      </c>
      <c r="DH559" s="81">
        <f t="shared" si="2275"/>
        <v>0.57320338033903795</v>
      </c>
      <c r="DI559" s="330">
        <f>(DI$416*4)/(AVERAGE(DI$506,DG$506))*100</f>
        <v>1.4115142129849969</v>
      </c>
      <c r="DJ559" s="81">
        <f t="shared" si="2276"/>
        <v>-5.2896893823379258</v>
      </c>
      <c r="DK559" s="330">
        <f>(DK$416*4)/(AVERAGE(DK$506,DI$506))*100</f>
        <v>-1.4731840001028851</v>
      </c>
      <c r="DL559" s="81" t="str">
        <f t="shared" si="2277"/>
        <v>NM</v>
      </c>
      <c r="DM559" s="330">
        <f>(DM$416*4)/(AVERAGE(DM$506,DK$506))*100</f>
        <v>1.4212762633633209</v>
      </c>
      <c r="DN559" s="81">
        <f t="shared" si="2278"/>
        <v>-3.8653619901037217</v>
      </c>
      <c r="DO559" s="330">
        <f>(DO$416*4)/(AVERAGE(DO$506,DM$506))*100</f>
        <v>1.4149948725678769</v>
      </c>
      <c r="DP559" s="81">
        <f t="shared" si="2278"/>
        <v>-1.4549263982491345</v>
      </c>
      <c r="DQ559" s="330">
        <f>(DQ$416*4)/(AVERAGE(DQ$506,DO$506))*100</f>
        <v>1.4355907689760472</v>
      </c>
      <c r="DR559" s="81">
        <f t="shared" si="2279"/>
        <v>1.7057253670959893</v>
      </c>
      <c r="DS559" s="330">
        <f>(DS$416*4)/(AVERAGE(DS$506,DQ$506))*100</f>
        <v>1.4978684368946744</v>
      </c>
      <c r="DT559" s="81" t="str">
        <f t="shared" si="2280"/>
        <v>NM</v>
      </c>
      <c r="DU559" s="330">
        <f>(DU$416*4)/(AVERAGE(DU$506,DS$506))*100</f>
        <v>1.463475133325064</v>
      </c>
      <c r="DV559" s="81">
        <f t="shared" si="2281"/>
        <v>2.9690828623200494</v>
      </c>
      <c r="DW559" s="330">
        <f>(DW$416*4)/(AVERAGE(DW$506,DU$506))*100</f>
        <v>1.4814697069646556</v>
      </c>
      <c r="DX559" s="81">
        <f t="shared" si="2282"/>
        <v>4.697885178632677</v>
      </c>
      <c r="DY559" s="330">
        <f>(DY$416*4)/(AVERAGE(DY$506,DW$506))*100</f>
        <v>1.4320802891712638</v>
      </c>
      <c r="DZ559" s="81">
        <f t="shared" si="2283"/>
        <v>-0.24453206865402421</v>
      </c>
      <c r="EA559" s="330">
        <f>(EA$416*4)/(AVERAGE(EA$506,DY$506))*100</f>
        <v>1.4601904223077935</v>
      </c>
      <c r="EB559" s="81">
        <f t="shared" si="2284"/>
        <v>-2.5154421883001654</v>
      </c>
      <c r="EC559" s="330">
        <f>(EC$416*4)/(AVERAGE(EC$506,EA$506))*100</f>
        <v>1.5175204191981422</v>
      </c>
      <c r="ED559" s="81">
        <f t="shared" si="2285"/>
        <v>3.6929418643612655</v>
      </c>
      <c r="EE559" s="330">
        <f>(EE$416*4)/(AVERAGE(EE$506,EC$506))*100</f>
        <v>1.5274851218723775</v>
      </c>
      <c r="EF559" s="81">
        <f t="shared" si="2286"/>
        <v>3.1060651926526184</v>
      </c>
      <c r="EG559" s="330">
        <f>(EG$416*4)/(AVERAGE(EG$506,EE$506))*100</f>
        <v>1.5441793323704485</v>
      </c>
      <c r="EH559" s="81">
        <f t="shared" si="2287"/>
        <v>7.8277065920693278</v>
      </c>
      <c r="EI559" s="330">
        <f>(EI$416*4)/(AVERAGE(EI$506,EG$506))*100</f>
        <v>1.5872469464585794</v>
      </c>
      <c r="EJ559" s="81">
        <f t="shared" si="2288"/>
        <v>8.7013667676285813</v>
      </c>
      <c r="EK559" s="330">
        <f t="shared" ref="EK559" si="2316">(EK$416*4)/(AVERAGE(EK$506,EI$506))*100</f>
        <v>1.7533672068994941</v>
      </c>
      <c r="EL559" s="81">
        <f t="shared" si="2290"/>
        <v>15.541589076341623</v>
      </c>
      <c r="EM559" s="330">
        <f t="shared" ref="EM559" si="2317">(EM$416*4)/(AVERAGE(EM$506,EK$506))*100</f>
        <v>1.7435741028031759</v>
      </c>
      <c r="EN559" s="81">
        <f t="shared" si="2291"/>
        <v>14.146715921260068</v>
      </c>
      <c r="EO559" s="330">
        <f t="shared" ref="EO559" si="2318">(EO$416*4)/(AVERAGE(EO$506,EM$506))*100</f>
        <v>1.7292944698296211</v>
      </c>
      <c r="EP559" s="81">
        <f t="shared" si="2292"/>
        <v>11.987930001303981</v>
      </c>
      <c r="EQ559" s="330">
        <f t="shared" ref="EQ559" si="2319">(EQ$416*4)/(AVERAGE(EQ$506,EO$506))*100</f>
        <v>1.7194469183424144</v>
      </c>
      <c r="ER559" s="81">
        <f t="shared" si="2293"/>
        <v>8.3288849399770992</v>
      </c>
      <c r="ES559" s="386"/>
      <c r="ET559" s="490"/>
      <c r="EU559" s="386"/>
      <c r="EV559" s="329">
        <v>1.8045458691763729</v>
      </c>
      <c r="EW559" s="79"/>
      <c r="EX559" s="330">
        <f>(EX$416)/(AVERAGE(EX$506,EV$506))*100</f>
        <v>0</v>
      </c>
      <c r="EY559" s="79" t="str">
        <f t="shared" si="2310"/>
        <v>NM</v>
      </c>
      <c r="EZ559" s="330"/>
      <c r="FA559" s="79" t="str">
        <f t="shared" si="2311"/>
        <v>NA</v>
      </c>
      <c r="FB559" s="330">
        <f>(FB$416)/(AVERAGE(FB$506,EZ$506))*100</f>
        <v>-0.56099164285024294</v>
      </c>
      <c r="FC559" s="79" t="str">
        <f t="shared" si="2294"/>
        <v>NA</v>
      </c>
      <c r="FD559" s="330">
        <f>(FD$416)/(AVERAGE(FD$506,FB$506))*100</f>
        <v>1.7185429783973509</v>
      </c>
      <c r="FE559" s="79" t="str">
        <f t="shared" si="2295"/>
        <v>NM</v>
      </c>
      <c r="FF559" s="330">
        <f>(FF$416)/(AVERAGE(FF$506,FD$506))*100</f>
        <v>8.8862871113040393E-2</v>
      </c>
      <c r="FG559" s="79" t="str">
        <f t="shared" si="2296"/>
        <v>NM</v>
      </c>
      <c r="FH559" s="330">
        <f>(FH$416)/(AVERAGE(FH$506,FF$506))*100</f>
        <v>-0.11397246759343094</v>
      </c>
      <c r="FI559" s="79" t="str">
        <f t="shared" si="2297"/>
        <v>NM</v>
      </c>
      <c r="FJ559" s="330">
        <f>(FJ$416)/(AVERAGE(FJ$506,FH$506))*100</f>
        <v>1.0749850777660193</v>
      </c>
      <c r="FK559" s="79" t="str">
        <f t="shared" si="2298"/>
        <v>NM</v>
      </c>
      <c r="FL559" s="330">
        <f>(FL$416)/(AVERAGE(FL$506,FJ$506))*100</f>
        <v>1.1666677173868403</v>
      </c>
      <c r="FM559" s="79">
        <f t="shared" si="2299"/>
        <v>8.5287360277922488</v>
      </c>
      <c r="FN559" s="330">
        <f>(FN$416)/(AVERAGE(FN$506,FL$506))*100</f>
        <v>1.4936915710268301</v>
      </c>
      <c r="FO559" s="79">
        <f t="shared" si="2300"/>
        <v>28.030590781450094</v>
      </c>
      <c r="FP559" s="330">
        <f>(FP$416)/(AVERAGE(FP$506,FN$506))*100</f>
        <v>1.6834544099613054</v>
      </c>
      <c r="FQ559" s="79">
        <f t="shared" si="2301"/>
        <v>12.704285316681796</v>
      </c>
      <c r="FR559" s="330">
        <f>(FR$416)/(AVERAGE(FR$506,FT$506))*100</f>
        <v>1.5494226591991487</v>
      </c>
      <c r="FS559" s="79">
        <f t="shared" si="2302"/>
        <v>-7.9617095639220476</v>
      </c>
      <c r="FT559" s="330">
        <f>(FT$416)/(AVERAGE(FT$506,FR$506))*100</f>
        <v>1.610915405785214</v>
      </c>
      <c r="FU559" s="79">
        <f t="shared" si="2303"/>
        <v>3.9687522459397329</v>
      </c>
      <c r="FV559" s="330">
        <f>(FV$416)/(AVERAGE(FV$506,FT$506))*100</f>
        <v>0.53117351467269946</v>
      </c>
      <c r="FW559" s="79" t="str">
        <f t="shared" si="2304"/>
        <v>NM</v>
      </c>
      <c r="FX559" s="330">
        <f>(FX$416)/(AVERAGE(FX$506,FV$506))*100</f>
        <v>1.4470655949973441</v>
      </c>
      <c r="FY559" s="79" t="str">
        <f t="shared" si="2305"/>
        <v>NM</v>
      </c>
      <c r="FZ559" s="330">
        <f>(FZ$416)/(AVERAGE(FZ$506,FX$506))*100</f>
        <v>1.421755740883577</v>
      </c>
      <c r="GA559" s="79">
        <f t="shared" si="2306"/>
        <v>-1.7490467744700644</v>
      </c>
      <c r="GB559" s="330">
        <f>(GB$416)/(AVERAGE(GB$506,FZ$506))*100</f>
        <v>0.71233735798194631</v>
      </c>
      <c r="GC559" s="79">
        <f t="shared" si="2306"/>
        <v>-49.897346112402488</v>
      </c>
      <c r="GD559" s="330">
        <f>(GD$416)/(AVERAGE(GD$506,GB$506))*100</f>
        <v>1.4518867456816849</v>
      </c>
      <c r="GE559" s="79" t="str">
        <f t="shared" si="2306"/>
        <v>NM</v>
      </c>
      <c r="GF559" s="330">
        <f>(GF$416)/(AVERAGE(GF$506,GD$506))*100</f>
        <v>1.4944765088401992</v>
      </c>
      <c r="GG559" s="79">
        <f t="shared" si="2306"/>
        <v>2.9334080833224974</v>
      </c>
      <c r="GH559" s="330">
        <f>(GH$416)/(AVERAGE(GH$506,GF$506))*100</f>
        <v>1.549129607017131</v>
      </c>
      <c r="GI559" s="79">
        <f t="shared" si="2306"/>
        <v>3.6570061726393988</v>
      </c>
      <c r="GJ559" s="330">
        <f>(GJ$416)/(AVERAGE(GJ$506,GH$506))*100</f>
        <v>1.7359210835300929</v>
      </c>
      <c r="GK559" s="79">
        <f t="shared" si="2306"/>
        <v>12.057834003484791</v>
      </c>
      <c r="GL559" s="330">
        <f>(GL$416)/(AVERAGE(GL$506,GJ$506))*100</f>
        <v>1.6930103543519457</v>
      </c>
      <c r="GM559" s="79">
        <f t="shared" si="2306"/>
        <v>-2.4719285677944458</v>
      </c>
      <c r="GN559" s="330">
        <f>(GN$416)/(AVERAGE(GN$506,GL$506))*100</f>
        <v>1.6576539062427849</v>
      </c>
      <c r="GO559" s="79">
        <f t="shared" si="2306"/>
        <v>-2.088377547028919</v>
      </c>
      <c r="GP559" s="330">
        <f>(GP$416)/(AVERAGE(GP$506,GN$506))*100</f>
        <v>1.6273750519633672</v>
      </c>
      <c r="GQ559" s="79">
        <f t="shared" si="2306"/>
        <v>-1.8266089299694199</v>
      </c>
      <c r="GR559" s="330">
        <f>(GR$416)/(AVERAGE(GR$506,GP$506))*100</f>
        <v>1.5902240021091947</v>
      </c>
      <c r="GS559" s="79">
        <f t="shared" si="2307"/>
        <v>-2.2828818599222811</v>
      </c>
      <c r="GT559" s="79">
        <f t="shared" si="2308"/>
        <v>0.5250065304307272</v>
      </c>
    </row>
    <row r="560" spans="1:202" ht="12.75" customHeight="1" x14ac:dyDescent="0.2">
      <c r="A560" s="1" t="s">
        <v>35</v>
      </c>
      <c r="B560" s="2" t="s">
        <v>161</v>
      </c>
      <c r="C560" s="79"/>
      <c r="D560" s="79"/>
      <c r="E560" s="329">
        <v>24.09</v>
      </c>
      <c r="F560" s="329"/>
      <c r="G560" s="329">
        <v>23.77</v>
      </c>
      <c r="H560" s="329"/>
      <c r="I560" s="329">
        <v>24.9</v>
      </c>
      <c r="J560" s="329"/>
      <c r="K560" s="329">
        <v>24.52</v>
      </c>
      <c r="L560" s="79"/>
      <c r="M560" s="329">
        <v>23.61</v>
      </c>
      <c r="N560" s="79">
        <f t="shared" si="2234"/>
        <v>-1.9925280199252771</v>
      </c>
      <c r="O560" s="329">
        <v>25.42</v>
      </c>
      <c r="P560" s="79">
        <f t="shared" si="2235"/>
        <v>6.9415229280605839</v>
      </c>
      <c r="Q560" s="329">
        <v>27.62</v>
      </c>
      <c r="R560" s="79">
        <f t="shared" si="2236"/>
        <v>10.923694779116477</v>
      </c>
      <c r="S560" s="329">
        <v>28.33</v>
      </c>
      <c r="T560" s="79">
        <f t="shared" si="2237"/>
        <v>15.538336052202272</v>
      </c>
      <c r="U560" s="329">
        <v>27.09</v>
      </c>
      <c r="V560" s="79">
        <f t="shared" si="2238"/>
        <v>14.739517153748416</v>
      </c>
      <c r="W560" s="329">
        <v>26.08</v>
      </c>
      <c r="X560" s="79">
        <f t="shared" si="2239"/>
        <v>2.5963808025176949</v>
      </c>
      <c r="Y560" s="329">
        <v>26.52</v>
      </c>
      <c r="Z560" s="79">
        <f t="shared" si="2240"/>
        <v>-3.9826212889210733</v>
      </c>
      <c r="AA560" s="17">
        <v>24.55</v>
      </c>
      <c r="AB560" s="79">
        <f t="shared" si="2241"/>
        <v>-13.34274620543593</v>
      </c>
      <c r="AC560" s="329">
        <v>24.08</v>
      </c>
      <c r="AD560" s="79">
        <f t="shared" si="2242"/>
        <v>-11.111111111111116</v>
      </c>
      <c r="AE560" s="329">
        <v>21.01</v>
      </c>
      <c r="AF560" s="79">
        <f t="shared" si="2243"/>
        <v>-19.440184049079747</v>
      </c>
      <c r="AG560" s="329">
        <v>23.27</v>
      </c>
      <c r="AH560" s="79">
        <f t="shared" si="2244"/>
        <v>-12.254901960784315</v>
      </c>
      <c r="AI560" s="329">
        <v>24.36</v>
      </c>
      <c r="AJ560" s="79">
        <f t="shared" si="2245"/>
        <v>-0.77393075356415597</v>
      </c>
      <c r="AK560" s="329">
        <v>23.68</v>
      </c>
      <c r="AL560" s="79">
        <f t="shared" si="2246"/>
        <v>-1.661129568106301</v>
      </c>
      <c r="AM560" s="329">
        <v>26.37</v>
      </c>
      <c r="AN560" s="79">
        <f t="shared" si="2247"/>
        <v>25.511661113755359</v>
      </c>
      <c r="AO560" s="329">
        <v>24.29</v>
      </c>
      <c r="AP560" s="79">
        <f t="shared" si="2247"/>
        <v>4.383326171035673</v>
      </c>
      <c r="AQ560" s="329">
        <v>24.66</v>
      </c>
      <c r="AR560" s="79">
        <f t="shared" si="2247"/>
        <v>1.2315270935960632</v>
      </c>
      <c r="AS560" s="6">
        <v>21.94</v>
      </c>
      <c r="AT560" s="81">
        <f t="shared" si="2247"/>
        <v>-7.3479729729729719</v>
      </c>
      <c r="AU560" s="6">
        <v>20.399999999999999</v>
      </c>
      <c r="AV560" s="81">
        <f t="shared" si="2247"/>
        <v>-22.639362912400461</v>
      </c>
      <c r="AW560" s="6">
        <v>22.17</v>
      </c>
      <c r="AX560" s="81">
        <f t="shared" si="2247"/>
        <v>-8.7278715520790371</v>
      </c>
      <c r="AY560" s="6">
        <f>+AY529/AY482</f>
        <v>22.52825452395577</v>
      </c>
      <c r="AZ560" s="81">
        <f t="shared" si="2247"/>
        <v>-8.6445477536262416</v>
      </c>
      <c r="BA560" s="6">
        <f>+BA529/BA482</f>
        <v>21.518483971083565</v>
      </c>
      <c r="BB560" s="81">
        <f t="shared" si="2247"/>
        <v>-1.9212216450156583</v>
      </c>
      <c r="BC560" s="6">
        <f>+BC529/BC482</f>
        <v>20.431425021717331</v>
      </c>
      <c r="BD560" s="81">
        <f t="shared" si="2247"/>
        <v>0.15404422410456586</v>
      </c>
      <c r="BE560" s="6">
        <f>+BE529/BE482</f>
        <v>21.704162333830386</v>
      </c>
      <c r="BF560" s="81">
        <f t="shared" si="2248"/>
        <v>-2.1012073350005211</v>
      </c>
      <c r="BG560" s="6">
        <f>+BG529/BG482</f>
        <v>22.277764927725553</v>
      </c>
      <c r="BH560" s="81">
        <f t="shared" si="2249"/>
        <v>-1.1118908300856378</v>
      </c>
      <c r="BI560" s="6">
        <f>+BI529/BI482</f>
        <v>22.057609877429122</v>
      </c>
      <c r="BJ560" s="81">
        <f t="shared" si="2250"/>
        <v>2.5054084064194848</v>
      </c>
      <c r="BK560" s="6">
        <f>+BK529/BK482</f>
        <v>22.186173096283394</v>
      </c>
      <c r="BL560" s="81">
        <f t="shared" si="2251"/>
        <v>8.5884761963537883</v>
      </c>
      <c r="BM560" s="6">
        <f>+BM529/BM482</f>
        <v>20.224292413982276</v>
      </c>
      <c r="BN560" s="81">
        <f t="shared" si="2252"/>
        <v>-6.818369200738184</v>
      </c>
      <c r="BO560" s="6">
        <f>+BO529/BO482</f>
        <v>19.321977935242849</v>
      </c>
      <c r="BP560" s="81">
        <f t="shared" si="2253"/>
        <v>-13.267879439755248</v>
      </c>
      <c r="BQ560" s="6">
        <f>+BQ529/BQ482</f>
        <v>19.391467513357568</v>
      </c>
      <c r="BR560" s="81">
        <f t="shared" si="2254"/>
        <v>-12.087177073522081</v>
      </c>
      <c r="BS560" s="6">
        <f>+BS529/BS482</f>
        <v>22.570979632760345</v>
      </c>
      <c r="BT560" s="81">
        <f t="shared" si="2255"/>
        <v>1.7344430461574856</v>
      </c>
      <c r="BU560" s="6">
        <f>+BU529/BU482</f>
        <v>24.855877897530693</v>
      </c>
      <c r="BV560" s="81">
        <f t="shared" si="2256"/>
        <v>22.901100264681308</v>
      </c>
      <c r="BW560" s="6">
        <f>+BW529/BW482</f>
        <v>25.617429522691992</v>
      </c>
      <c r="BX560" s="81">
        <f t="shared" si="2257"/>
        <v>32.581817495849542</v>
      </c>
      <c r="BY560" s="6">
        <f>+BY529/BY482</f>
        <v>26.384758693078123</v>
      </c>
      <c r="BZ560" s="81">
        <f t="shared" si="2258"/>
        <v>36.063754199641231</v>
      </c>
      <c r="CA560" s="6">
        <f>+CA529/CA482</f>
        <v>27.118805258363761</v>
      </c>
      <c r="CB560" s="81">
        <f t="shared" si="2259"/>
        <v>20.148995301039285</v>
      </c>
      <c r="CC560" s="6">
        <f>+CC529/CC482</f>
        <v>28.081752100443687</v>
      </c>
      <c r="CD560" s="81">
        <f t="shared" si="2260"/>
        <v>12.978315295125697</v>
      </c>
      <c r="CE560" s="6">
        <f>+CE529/CE482</f>
        <v>26.802310637216667</v>
      </c>
      <c r="CF560" s="81">
        <f t="shared" si="2261"/>
        <v>4.6252927659080845</v>
      </c>
      <c r="CG560" s="6">
        <f>+CG529/CG482</f>
        <v>27.582949136283787</v>
      </c>
      <c r="CH560" s="81">
        <f t="shared" si="2262"/>
        <v>4.541221912027571</v>
      </c>
      <c r="CI560" s="6">
        <f>+CI529/CI482</f>
        <v>28.405312168474079</v>
      </c>
      <c r="CJ560" s="81">
        <f t="shared" si="2263"/>
        <v>4.7439660333618239</v>
      </c>
      <c r="CK560" s="329">
        <v>30.77</v>
      </c>
      <c r="CL560" s="81">
        <f t="shared" si="2264"/>
        <v>9.5729350858910323</v>
      </c>
      <c r="CM560" s="6">
        <f>+CM529/CM482</f>
        <v>27.909992224065789</v>
      </c>
      <c r="CN560" s="81">
        <f t="shared" si="2265"/>
        <v>4.1327839298714641</v>
      </c>
      <c r="CO560" s="6">
        <f>+CO529/CO482</f>
        <v>28.619821853006297</v>
      </c>
      <c r="CP560" s="81">
        <f t="shared" si="2266"/>
        <v>3.7591075254479023</v>
      </c>
      <c r="CQ560" s="6">
        <f>+CQ529/CQ482</f>
        <v>29.944636434766355</v>
      </c>
      <c r="CR560" s="81">
        <f t="shared" si="2267"/>
        <v>5.4191422265047695</v>
      </c>
      <c r="CS560" s="6">
        <f>+CS529/CS482</f>
        <v>31.529494341876596</v>
      </c>
      <c r="CT560" s="81">
        <f t="shared" si="2268"/>
        <v>2.4682949037263535</v>
      </c>
      <c r="CU560" s="6">
        <f>+CU529/CU482</f>
        <v>31.874295824486126</v>
      </c>
      <c r="CV560" s="81">
        <f t="shared" si="2269"/>
        <v>14.203886438212843</v>
      </c>
      <c r="CW560" s="6">
        <f>+CW529/CW482</f>
        <v>32.055551508875233</v>
      </c>
      <c r="CX560" s="81">
        <f t="shared" si="2270"/>
        <v>12.004720621655585</v>
      </c>
      <c r="CY560" s="6">
        <f>+CY529/CY482</f>
        <v>31.797097019819496</v>
      </c>
      <c r="CZ560" s="81">
        <f t="shared" si="2271"/>
        <v>6.1862851101521343</v>
      </c>
      <c r="DA560" s="6">
        <f>+DA529/DA482</f>
        <v>33.20024515006795</v>
      </c>
      <c r="DB560" s="81">
        <f t="shared" si="2272"/>
        <v>5.2990092073005757</v>
      </c>
      <c r="DC560" s="6">
        <f>+DC529/DC482</f>
        <v>33.230384615384615</v>
      </c>
      <c r="DD560" s="81">
        <f t="shared" si="2273"/>
        <v>4.2544901960053005</v>
      </c>
      <c r="DE560" s="6">
        <f>+DE529/DE482</f>
        <v>34.679347826086953</v>
      </c>
      <c r="DF560" s="81">
        <f t="shared" si="2274"/>
        <v>8.1851541892369752</v>
      </c>
      <c r="DG560" s="6">
        <f>+DG529/DG482</f>
        <v>36.278257456828889</v>
      </c>
      <c r="DH560" s="81">
        <f t="shared" si="2275"/>
        <v>14.092986017611086</v>
      </c>
      <c r="DI560" s="6">
        <f>+DI529/DI482</f>
        <v>36.693132195315599</v>
      </c>
      <c r="DJ560" s="81">
        <f t="shared" si="2276"/>
        <v>10.520666427189006</v>
      </c>
      <c r="DK560" s="6">
        <f>+DK529/DK482</f>
        <v>33.776852952833927</v>
      </c>
      <c r="DL560" s="81">
        <f t="shared" si="2277"/>
        <v>1.6444839377402598</v>
      </c>
      <c r="DM560" s="6">
        <f>+DM529/DM482</f>
        <v>34.821242484969936</v>
      </c>
      <c r="DN560" s="81">
        <f t="shared" si="2278"/>
        <v>0.40916184351149631</v>
      </c>
      <c r="DO560" s="6">
        <f>+DO529/DO482</f>
        <v>34.532441200324413</v>
      </c>
      <c r="DP560" s="81">
        <f t="shared" si="2278"/>
        <v>-4.8122935854402531</v>
      </c>
      <c r="DQ560" s="6">
        <f>+DQ529/DQ482</f>
        <v>35.255135579293345</v>
      </c>
      <c r="DR560" s="81">
        <f t="shared" si="2279"/>
        <v>-3.9189802831981591</v>
      </c>
      <c r="DS560" s="6">
        <f>+DS529/DS482</f>
        <v>35.964715649647154</v>
      </c>
      <c r="DT560" s="81">
        <f t="shared" si="2280"/>
        <v>6.4774024384934847</v>
      </c>
      <c r="DU560" s="6">
        <f>+DU529/DU482</f>
        <v>37.521241692605365</v>
      </c>
      <c r="DV560" s="81">
        <f t="shared" si="2281"/>
        <v>7.7538853152665066</v>
      </c>
      <c r="DW560" s="6">
        <f>+DW529/DW482</f>
        <v>38.960983704207976</v>
      </c>
      <c r="DX560" s="81">
        <f t="shared" si="2282"/>
        <v>12.824296082033037</v>
      </c>
      <c r="DY560" s="6">
        <f>+DY529/DY482</f>
        <v>40.332615252046537</v>
      </c>
      <c r="DZ560" s="81">
        <f t="shared" si="2283"/>
        <v>14.402099408562163</v>
      </c>
      <c r="EA560" s="6">
        <f>+EA529/EA482</f>
        <v>39.025239338555266</v>
      </c>
      <c r="EB560" s="81">
        <f t="shared" si="2284"/>
        <v>8.5097953191745503</v>
      </c>
      <c r="EC560" s="6">
        <f>+EC529/EC482</f>
        <v>39.910916264796136</v>
      </c>
      <c r="ED560" s="81">
        <f t="shared" si="2285"/>
        <v>6.3688579172520354</v>
      </c>
      <c r="EE560" s="6">
        <f>+EE529/EE482</f>
        <v>41.205661211853162</v>
      </c>
      <c r="EF560" s="81">
        <f t="shared" si="2286"/>
        <v>5.761347107369752</v>
      </c>
      <c r="EG560" s="6">
        <f>+EG529/EG482</f>
        <v>42.106060606060609</v>
      </c>
      <c r="EH560" s="81">
        <f t="shared" si="2287"/>
        <v>4.3970502357247643</v>
      </c>
      <c r="EI560" s="6">
        <f>+EI529/EI482</f>
        <v>43.033258426966292</v>
      </c>
      <c r="EJ560" s="81">
        <f t="shared" si="2288"/>
        <v>10.270325451793649</v>
      </c>
      <c r="EK560" s="6">
        <f t="shared" ref="EK560:EQ560" si="2320">+EK529/EK482</f>
        <v>43.910213799561866</v>
      </c>
      <c r="EL560" s="81">
        <f t="shared" si="2290"/>
        <v>10.020560561004599</v>
      </c>
      <c r="EM560" s="6">
        <f t="shared" si="2320"/>
        <v>44.868291594120755</v>
      </c>
      <c r="EN560" s="81">
        <f t="shared" si="2291"/>
        <v>8.8886581953792501</v>
      </c>
      <c r="EO560" s="6">
        <f t="shared" si="2320"/>
        <v>45.809815078729173</v>
      </c>
      <c r="EP560" s="81">
        <f t="shared" si="2292"/>
        <v>8.7962502769386433</v>
      </c>
      <c r="EQ560" s="6">
        <f t="shared" si="2320"/>
        <v>46.777130931185596</v>
      </c>
      <c r="ER560" s="81">
        <f t="shared" si="2293"/>
        <v>8.6999512495043785</v>
      </c>
      <c r="ES560" s="387"/>
      <c r="ET560" s="490"/>
      <c r="EU560" s="387"/>
      <c r="EV560" s="387">
        <v>25.89</v>
      </c>
      <c r="EW560" s="286"/>
      <c r="EX560" s="387">
        <v>20.73</v>
      </c>
      <c r="EY560" s="286">
        <f t="shared" si="2310"/>
        <v>-19.930475086906142</v>
      </c>
      <c r="EZ560" s="287"/>
      <c r="FA560" s="286" t="str">
        <f t="shared" si="2311"/>
        <v>NM</v>
      </c>
      <c r="FB560" s="287">
        <f>+FB529/FB485</f>
        <v>24.38217461735476</v>
      </c>
      <c r="FC560" s="286" t="str">
        <f t="shared" si="2294"/>
        <v>NA</v>
      </c>
      <c r="FD560" s="287">
        <f>+FD529/FD485</f>
        <v>28.152679097549481</v>
      </c>
      <c r="FE560" s="286">
        <f t="shared" si="2295"/>
        <v>15.464184550261351</v>
      </c>
      <c r="FF560" s="287">
        <f>+FF529/FF485</f>
        <v>26.331592736950725</v>
      </c>
      <c r="FG560" s="286">
        <f t="shared" si="2296"/>
        <v>-6.4686076742062841</v>
      </c>
      <c r="FH560" s="287">
        <f>+FH529/FH485</f>
        <v>24.46986876639442</v>
      </c>
      <c r="FI560" s="286">
        <f t="shared" si="2297"/>
        <v>-7.0703052001247713</v>
      </c>
      <c r="FJ560" s="287">
        <f>+FJ529/FJ485</f>
        <v>23.563561907075552</v>
      </c>
      <c r="FK560" s="286">
        <f t="shared" si="2298"/>
        <v>-3.7037667343910674</v>
      </c>
      <c r="FL560" s="330">
        <f>+FL529/FL482</f>
        <v>22.52825452395577</v>
      </c>
      <c r="FM560" s="286">
        <f t="shared" si="2299"/>
        <v>-4.3936794751259782</v>
      </c>
      <c r="FN560" s="330">
        <f>+FN529/FN482</f>
        <v>22.277764927725553</v>
      </c>
      <c r="FO560" s="286">
        <f t="shared" si="2300"/>
        <v>-1.1118908300856378</v>
      </c>
      <c r="FP560" s="330">
        <f>+FP529/FP482</f>
        <v>19.321977935242849</v>
      </c>
      <c r="FQ560" s="286">
        <f t="shared" si="2301"/>
        <v>-13.267879439755248</v>
      </c>
      <c r="FR560" s="330">
        <f>+FR529/FR482</f>
        <v>25.617429522691992</v>
      </c>
      <c r="FS560" s="286">
        <f t="shared" si="2302"/>
        <v>32.581817495849542</v>
      </c>
      <c r="FT560" s="330">
        <f>+FT529/FT482</f>
        <v>26.802310637216667</v>
      </c>
      <c r="FU560" s="286">
        <f t="shared" si="2303"/>
        <v>4.6252927659080845</v>
      </c>
      <c r="FV560" s="330">
        <f>+FV529/FV482</f>
        <v>27.909992224065789</v>
      </c>
      <c r="FW560" s="286">
        <f t="shared" si="2304"/>
        <v>4.1327839298714641</v>
      </c>
      <c r="FX560" s="330">
        <f>+FX529/FX482</f>
        <v>31.874295824486126</v>
      </c>
      <c r="FY560" s="286">
        <f t="shared" si="2305"/>
        <v>14.203886438212843</v>
      </c>
      <c r="FZ560" s="330">
        <f>+FZ529/FZ482</f>
        <v>33.230384615384615</v>
      </c>
      <c r="GA560" s="286">
        <f t="shared" si="2306"/>
        <v>4.2544901960053005</v>
      </c>
      <c r="GB560" s="330">
        <f>+GB529/GB482</f>
        <v>33.776852952833927</v>
      </c>
      <c r="GC560" s="286">
        <f t="shared" si="2306"/>
        <v>1.6444839377402598</v>
      </c>
      <c r="GD560" s="330">
        <f>+GD529/GD482</f>
        <v>35.964715649647154</v>
      </c>
      <c r="GE560" s="286">
        <f t="shared" si="2306"/>
        <v>6.4774024384934847</v>
      </c>
      <c r="GF560" s="330">
        <f>+GF529/GF482</f>
        <v>39.025239338555266</v>
      </c>
      <c r="GG560" s="286">
        <f t="shared" si="2306"/>
        <v>8.5097953191745503</v>
      </c>
      <c r="GH560" s="330">
        <f>+GH529/GH482</f>
        <v>43.033258426966292</v>
      </c>
      <c r="GI560" s="286">
        <f t="shared" si="2306"/>
        <v>10.270325451793649</v>
      </c>
      <c r="GJ560" s="330">
        <f>+GJ529/GJ482</f>
        <v>46.777130931185596</v>
      </c>
      <c r="GK560" s="286">
        <f t="shared" si="2306"/>
        <v>8.6999512495043785</v>
      </c>
      <c r="GL560" s="330">
        <f>+GL529/GL482</f>
        <v>50.764313932752401</v>
      </c>
      <c r="GM560" s="286">
        <f t="shared" si="2306"/>
        <v>8.5237869920504536</v>
      </c>
      <c r="GN560" s="330">
        <f>+GN529/GN482</f>
        <v>55.003046586039908</v>
      </c>
      <c r="GO560" s="286">
        <f t="shared" si="2306"/>
        <v>8.3498275164371591</v>
      </c>
      <c r="GP560" s="330">
        <f>+GP529/GP482</f>
        <v>59.540747171289361</v>
      </c>
      <c r="GQ560" s="286">
        <f t="shared" si="2306"/>
        <v>8.2499077176593225</v>
      </c>
      <c r="GR560" s="330">
        <f>+GR529/GR482</f>
        <v>64.355981230460358</v>
      </c>
      <c r="GS560" s="286">
        <f t="shared" si="2307"/>
        <v>8.0872919604423554</v>
      </c>
      <c r="GT560" s="79">
        <f t="shared" si="2308"/>
        <v>8.3819441132489292</v>
      </c>
    </row>
    <row r="561" spans="1:286" s="247" customFormat="1" ht="12.75" customHeight="1" x14ac:dyDescent="0.2">
      <c r="A561" s="245"/>
      <c r="B561" s="388"/>
      <c r="C561" s="79"/>
      <c r="D561" s="79"/>
      <c r="E561" s="74"/>
      <c r="F561" s="74"/>
      <c r="G561" s="74"/>
      <c r="H561" s="74"/>
      <c r="I561" s="74"/>
      <c r="J561" s="74"/>
      <c r="K561" s="74"/>
      <c r="L561" s="79"/>
      <c r="M561" s="74"/>
      <c r="N561" s="79"/>
      <c r="O561" s="74"/>
      <c r="P561" s="79"/>
      <c r="Q561" s="74"/>
      <c r="R561" s="79"/>
      <c r="S561" s="74"/>
      <c r="T561" s="79"/>
      <c r="U561" s="74"/>
      <c r="V561" s="79"/>
      <c r="W561" s="74"/>
      <c r="X561" s="79"/>
      <c r="Y561" s="74"/>
      <c r="Z561" s="79"/>
      <c r="AA561" s="389"/>
      <c r="AB561" s="79"/>
      <c r="AC561" s="74"/>
      <c r="AD561" s="79"/>
      <c r="AE561" s="74"/>
      <c r="AF561" s="79"/>
      <c r="AG561" s="74"/>
      <c r="AH561" s="79"/>
      <c r="AI561" s="74"/>
      <c r="AJ561" s="79"/>
      <c r="AK561" s="74"/>
      <c r="AL561" s="79"/>
      <c r="AM561" s="74"/>
      <c r="AN561" s="79"/>
      <c r="AO561" s="74"/>
      <c r="AP561" s="79"/>
      <c r="AQ561" s="74"/>
      <c r="AR561" s="79"/>
      <c r="AS561" s="74"/>
      <c r="AT561" s="81"/>
      <c r="AU561" s="74"/>
      <c r="AV561" s="81"/>
      <c r="AW561" s="74"/>
      <c r="AX561" s="81"/>
      <c r="AY561" s="74"/>
      <c r="AZ561" s="81"/>
      <c r="BA561" s="74"/>
      <c r="BB561" s="81"/>
      <c r="BC561" s="74"/>
      <c r="BD561" s="81"/>
      <c r="BE561" s="74"/>
      <c r="BF561" s="81"/>
      <c r="BG561" s="74"/>
      <c r="BH561" s="81"/>
      <c r="BI561" s="74"/>
      <c r="BJ561" s="81"/>
      <c r="BK561" s="74"/>
      <c r="BL561" s="81"/>
      <c r="BM561" s="74"/>
      <c r="BN561" s="81"/>
      <c r="BO561" s="74"/>
      <c r="BP561" s="81"/>
      <c r="BQ561" s="74"/>
      <c r="BR561" s="81"/>
      <c r="BS561" s="74"/>
      <c r="BT561" s="81"/>
      <c r="BU561" s="74"/>
      <c r="BV561" s="81"/>
      <c r="BW561" s="74"/>
      <c r="BX561" s="81"/>
      <c r="BY561" s="74"/>
      <c r="BZ561" s="81"/>
      <c r="CA561" s="74"/>
      <c r="CB561" s="81"/>
      <c r="CC561" s="74"/>
      <c r="CD561" s="81"/>
      <c r="CE561" s="74"/>
      <c r="CF561" s="81"/>
      <c r="CG561" s="74"/>
      <c r="CH561" s="81"/>
      <c r="CI561" s="329"/>
      <c r="CJ561" s="81"/>
      <c r="CK561" s="74"/>
      <c r="CL561" s="81"/>
      <c r="CM561" s="74"/>
      <c r="CN561" s="81"/>
      <c r="CO561" s="74"/>
      <c r="CP561" s="81"/>
      <c r="CQ561" s="74"/>
      <c r="CR561" s="81"/>
      <c r="CS561" s="74"/>
      <c r="CT561" s="81"/>
      <c r="CU561" s="74"/>
      <c r="CV561" s="81"/>
      <c r="CW561" s="74"/>
      <c r="CX561" s="81"/>
      <c r="CY561" s="74"/>
      <c r="CZ561" s="81"/>
      <c r="DA561" s="74"/>
      <c r="DB561" s="81"/>
      <c r="DC561" s="74"/>
      <c r="DD561" s="81"/>
      <c r="DE561" s="74"/>
      <c r="DF561" s="81"/>
      <c r="DG561" s="74"/>
      <c r="DH561" s="81"/>
      <c r="DI561" s="74"/>
      <c r="DJ561" s="81"/>
      <c r="DK561" s="74"/>
      <c r="DL561" s="81"/>
      <c r="DM561" s="74"/>
      <c r="DN561" s="81"/>
      <c r="DO561" s="74"/>
      <c r="DP561" s="81"/>
      <c r="DQ561" s="74"/>
      <c r="DR561" s="81"/>
      <c r="DS561" s="74"/>
      <c r="DT561" s="81"/>
      <c r="DU561" s="74"/>
      <c r="DV561" s="81"/>
      <c r="DW561" s="74"/>
      <c r="DX561" s="81"/>
      <c r="DY561" s="74"/>
      <c r="DZ561" s="81"/>
      <c r="EA561" s="74"/>
      <c r="EB561" s="81"/>
      <c r="EC561" s="74"/>
      <c r="ED561" s="81"/>
      <c r="EE561" s="74"/>
      <c r="EF561" s="81"/>
      <c r="EG561" s="74"/>
      <c r="EH561" s="81"/>
      <c r="EI561" s="74"/>
      <c r="EJ561" s="81"/>
      <c r="EK561" s="74"/>
      <c r="EL561" s="81"/>
      <c r="EM561" s="74"/>
      <c r="EN561" s="81"/>
      <c r="EO561" s="74"/>
      <c r="EP561" s="81"/>
      <c r="EQ561" s="74"/>
      <c r="ER561" s="81"/>
      <c r="ES561" s="74"/>
      <c r="ET561" s="490"/>
      <c r="EU561" s="74"/>
      <c r="EV561" s="74"/>
      <c r="EW561" s="79"/>
      <c r="EX561" s="74"/>
      <c r="EY561" s="79"/>
      <c r="EZ561" s="74"/>
      <c r="FA561" s="79"/>
      <c r="FB561" s="74"/>
      <c r="FC561" s="79"/>
      <c r="FD561" s="74"/>
      <c r="FE561" s="79"/>
      <c r="FF561" s="74"/>
      <c r="FG561" s="79"/>
      <c r="FH561" s="74"/>
      <c r="FI561" s="79"/>
      <c r="FJ561" s="74"/>
      <c r="FK561" s="79"/>
      <c r="FL561" s="74"/>
      <c r="FM561" s="79"/>
      <c r="FN561" s="74"/>
      <c r="FO561" s="79"/>
      <c r="FP561" s="74"/>
      <c r="FQ561" s="79"/>
      <c r="FR561" s="74"/>
      <c r="FS561" s="79"/>
      <c r="FT561" s="74"/>
      <c r="FU561" s="79"/>
      <c r="FV561" s="74"/>
      <c r="FW561" s="79"/>
      <c r="FX561" s="74"/>
      <c r="FY561" s="79"/>
      <c r="FZ561" s="74"/>
      <c r="GA561" s="79"/>
      <c r="GB561" s="74"/>
      <c r="GC561" s="79"/>
      <c r="GD561" s="74"/>
      <c r="GE561" s="79"/>
      <c r="GF561" s="942"/>
      <c r="GG561" s="79"/>
      <c r="GH561" s="942"/>
      <c r="GI561" s="79"/>
      <c r="GJ561" s="942"/>
      <c r="GK561" s="79"/>
      <c r="GL561" s="74"/>
      <c r="GM561" s="79"/>
      <c r="GN561" s="74"/>
      <c r="GO561" s="79"/>
      <c r="GP561" s="74"/>
      <c r="GQ561" s="79"/>
      <c r="GR561" s="74"/>
      <c r="GS561" s="79"/>
      <c r="GT561" s="79"/>
      <c r="GU561" s="562"/>
      <c r="GV561" s="562"/>
      <c r="GW561"/>
      <c r="GX561"/>
      <c r="GY561"/>
      <c r="GZ561"/>
      <c r="HA561"/>
      <c r="HB561"/>
      <c r="HC561" s="562"/>
      <c r="HD561" s="562"/>
      <c r="HE561" s="562"/>
      <c r="HF561" s="562"/>
      <c r="HG561" s="562"/>
      <c r="HH561" s="562"/>
      <c r="HI561" s="562"/>
      <c r="HJ561" s="562"/>
      <c r="HK561" s="562"/>
      <c r="HL561" s="562"/>
      <c r="HM561" s="562"/>
      <c r="HN561" s="562"/>
      <c r="HO561" s="562"/>
      <c r="HP561" s="562"/>
      <c r="HQ561" s="562"/>
      <c r="HR561" s="562"/>
      <c r="HS561" s="562"/>
      <c r="HT561" s="562"/>
      <c r="HU561" s="562"/>
      <c r="HV561" s="562"/>
      <c r="HW561" s="562"/>
      <c r="HX561" s="562"/>
      <c r="HY561" s="562"/>
      <c r="HZ561" s="562"/>
      <c r="IA561" s="562"/>
      <c r="IB561" s="562"/>
      <c r="IC561" s="562"/>
      <c r="ID561" s="562"/>
      <c r="IE561" s="562"/>
      <c r="IF561" s="562"/>
      <c r="IG561" s="562"/>
      <c r="IH561" s="562"/>
      <c r="II561" s="562"/>
      <c r="IJ561" s="562"/>
      <c r="IK561" s="562"/>
      <c r="IL561" s="562"/>
      <c r="IM561" s="562"/>
      <c r="IN561" s="562"/>
      <c r="IO561" s="562"/>
      <c r="IP561" s="562"/>
      <c r="IQ561" s="562"/>
      <c r="IR561" s="562"/>
      <c r="IS561" s="562"/>
      <c r="IT561" s="562"/>
      <c r="IU561" s="562"/>
      <c r="IV561" s="562"/>
      <c r="IW561" s="562"/>
      <c r="IX561" s="562"/>
      <c r="IY561" s="562"/>
      <c r="IZ561" s="562"/>
      <c r="JA561" s="562"/>
      <c r="JB561" s="562"/>
      <c r="JC561" s="562"/>
      <c r="JD561" s="562"/>
      <c r="JE561" s="562"/>
      <c r="JF561" s="562"/>
      <c r="JG561" s="562"/>
      <c r="JH561" s="562"/>
      <c r="JI561" s="562"/>
      <c r="JJ561" s="562"/>
      <c r="JK561" s="562"/>
      <c r="JL561" s="562"/>
      <c r="JM561" s="562"/>
      <c r="JN561" s="562"/>
      <c r="JO561" s="562"/>
      <c r="JP561" s="562"/>
      <c r="JQ561" s="562"/>
      <c r="JR561" s="562"/>
      <c r="JS561" s="562"/>
      <c r="JT561" s="562"/>
      <c r="JU561" s="562"/>
      <c r="JV561" s="562"/>
      <c r="JW561" s="562"/>
      <c r="JX561" s="562"/>
      <c r="JY561" s="562"/>
      <c r="JZ561" s="562"/>
    </row>
    <row r="562" spans="1:286" s="589" customFormat="1" ht="12.75" customHeight="1" collapsed="1" x14ac:dyDescent="0.2">
      <c r="A562" s="581"/>
      <c r="B562" s="582" t="s">
        <v>511</v>
      </c>
      <c r="C562" s="583"/>
      <c r="D562" s="583"/>
      <c r="E562" s="584"/>
      <c r="F562" s="584"/>
      <c r="G562" s="584"/>
      <c r="H562" s="584"/>
      <c r="I562" s="584"/>
      <c r="J562" s="584"/>
      <c r="K562" s="584"/>
      <c r="L562" s="584"/>
      <c r="M562" s="584"/>
      <c r="N562" s="585"/>
      <c r="O562" s="584"/>
      <c r="P562" s="583"/>
      <c r="Q562" s="584"/>
      <c r="R562" s="583"/>
      <c r="S562" s="584"/>
      <c r="T562" s="583"/>
      <c r="U562" s="584"/>
      <c r="V562" s="583"/>
      <c r="W562" s="584"/>
      <c r="X562" s="583"/>
      <c r="Y562" s="584"/>
      <c r="Z562" s="583"/>
      <c r="AA562" s="586"/>
      <c r="AB562" s="583"/>
      <c r="AC562" s="584"/>
      <c r="AD562" s="583"/>
      <c r="AE562" s="586"/>
      <c r="AF562" s="583"/>
      <c r="AG562" s="586"/>
      <c r="AH562" s="583"/>
      <c r="AI562" s="586"/>
      <c r="AJ562" s="583"/>
      <c r="AK562" s="586"/>
      <c r="AL562" s="583"/>
      <c r="AM562" s="586"/>
      <c r="AN562" s="583"/>
      <c r="AO562" s="586"/>
      <c r="AP562" s="583"/>
      <c r="AQ562" s="586"/>
      <c r="AR562" s="583"/>
      <c r="AS562" s="586"/>
      <c r="AT562" s="587"/>
      <c r="AU562" s="586"/>
      <c r="AV562" s="587"/>
      <c r="AW562" s="586"/>
      <c r="AX562" s="587"/>
      <c r="AY562" s="586"/>
      <c r="AZ562" s="587"/>
      <c r="BA562" s="586"/>
      <c r="BB562" s="587"/>
      <c r="BC562" s="586"/>
      <c r="BD562" s="587"/>
      <c r="BE562" s="586"/>
      <c r="BF562" s="587"/>
      <c r="BG562" s="586"/>
      <c r="BH562" s="587"/>
      <c r="BI562" s="586"/>
      <c r="BJ562" s="587"/>
      <c r="BK562" s="586"/>
      <c r="BL562" s="587"/>
      <c r="BM562" s="586"/>
      <c r="BN562" s="587"/>
      <c r="BO562" s="586"/>
      <c r="BP562" s="587"/>
      <c r="BQ562" s="586"/>
      <c r="BR562" s="587"/>
      <c r="BS562" s="586"/>
      <c r="BT562" s="587"/>
      <c r="BU562" s="586"/>
      <c r="BV562" s="587"/>
      <c r="BW562" s="586"/>
      <c r="BX562" s="587"/>
      <c r="BY562" s="586"/>
      <c r="BZ562" s="587"/>
      <c r="CA562" s="586"/>
      <c r="CB562" s="587"/>
      <c r="CC562" s="586"/>
      <c r="CD562" s="587"/>
      <c r="CE562" s="586"/>
      <c r="CF562" s="587"/>
      <c r="CG562" s="586"/>
      <c r="CH562" s="587"/>
      <c r="CI562" s="586"/>
      <c r="CJ562" s="587"/>
      <c r="CK562" s="586"/>
      <c r="CL562" s="587"/>
      <c r="CM562" s="586"/>
      <c r="CN562" s="587"/>
      <c r="CO562" s="586"/>
      <c r="CP562" s="587"/>
      <c r="CQ562" s="586"/>
      <c r="CR562" s="587"/>
      <c r="CS562" s="586"/>
      <c r="CT562" s="587"/>
      <c r="CU562" s="586"/>
      <c r="CV562" s="587"/>
      <c r="CW562" s="586"/>
      <c r="CX562" s="587"/>
      <c r="CY562" s="586"/>
      <c r="CZ562" s="587"/>
      <c r="DA562" s="586"/>
      <c r="DB562" s="587"/>
      <c r="DC562" s="586"/>
      <c r="DD562" s="587"/>
      <c r="DE562" s="586"/>
      <c r="DF562" s="587"/>
      <c r="DG562" s="586"/>
      <c r="DH562" s="587"/>
      <c r="DI562" s="586"/>
      <c r="DJ562" s="587"/>
      <c r="DK562" s="586"/>
      <c r="DL562" s="587"/>
      <c r="DM562" s="586"/>
      <c r="DN562" s="587"/>
      <c r="DO562" s="586"/>
      <c r="DP562" s="587"/>
      <c r="DQ562" s="586"/>
      <c r="DR562" s="587"/>
      <c r="DS562" s="586"/>
      <c r="DT562" s="587"/>
      <c r="DU562" s="586"/>
      <c r="DV562" s="587"/>
      <c r="DW562" s="586"/>
      <c r="DX562" s="587"/>
      <c r="DY562" s="586"/>
      <c r="DZ562" s="587"/>
      <c r="EA562" s="586"/>
      <c r="EB562" s="587"/>
      <c r="EC562" s="586"/>
      <c r="ED562" s="587"/>
      <c r="EE562" s="586"/>
      <c r="EF562" s="587"/>
      <c r="EG562" s="586"/>
      <c r="EH562" s="587"/>
      <c r="EI562" s="586"/>
      <c r="EJ562" s="587"/>
      <c r="EK562" s="586"/>
      <c r="EL562" s="587"/>
      <c r="EM562" s="586"/>
      <c r="EN562" s="587"/>
      <c r="EO562" s="586"/>
      <c r="EP562" s="587"/>
      <c r="EQ562" s="586"/>
      <c r="ER562" s="587"/>
      <c r="ES562" s="584"/>
      <c r="ET562" s="602"/>
      <c r="EU562" s="584"/>
      <c r="EV562" s="584"/>
      <c r="EW562" s="583"/>
      <c r="EX562" s="584"/>
      <c r="EY562" s="583"/>
      <c r="EZ562" s="584"/>
      <c r="FA562" s="583"/>
      <c r="FB562" s="584"/>
      <c r="FC562" s="583"/>
      <c r="FD562" s="584"/>
      <c r="FE562" s="583"/>
      <c r="FF562" s="584"/>
      <c r="FG562" s="583"/>
      <c r="FH562" s="584"/>
      <c r="FI562" s="583"/>
      <c r="FJ562" s="584"/>
      <c r="FK562" s="583"/>
      <c r="FL562" s="584"/>
      <c r="FM562" s="583"/>
      <c r="FN562" s="584"/>
      <c r="FO562" s="583"/>
      <c r="FP562" s="584"/>
      <c r="FQ562" s="583"/>
      <c r="FR562" s="584"/>
      <c r="FS562" s="583"/>
      <c r="FT562" s="584"/>
      <c r="FU562" s="583"/>
      <c r="FV562" s="584"/>
      <c r="FW562" s="583"/>
      <c r="FX562" s="584"/>
      <c r="FY562" s="583"/>
      <c r="FZ562" s="584"/>
      <c r="GA562" s="583"/>
      <c r="GB562" s="584"/>
      <c r="GC562" s="583"/>
      <c r="GD562" s="584"/>
      <c r="GE562" s="583"/>
      <c r="GF562" s="584"/>
      <c r="GG562" s="583"/>
      <c r="GH562" s="584"/>
      <c r="GI562" s="583"/>
      <c r="GJ562" s="584"/>
      <c r="GK562" s="583"/>
      <c r="GL562" s="584"/>
      <c r="GM562" s="583"/>
      <c r="GN562" s="584"/>
      <c r="GO562" s="583"/>
      <c r="GP562" s="584"/>
      <c r="GQ562" s="583"/>
      <c r="GR562" s="584"/>
      <c r="GS562" s="583"/>
      <c r="GT562" s="583"/>
      <c r="GU562" s="603"/>
      <c r="GV562" s="603"/>
      <c r="GW562"/>
      <c r="GX562"/>
      <c r="GY562"/>
      <c r="GZ562"/>
      <c r="HA562"/>
      <c r="HB562"/>
      <c r="HC562" s="603"/>
      <c r="HD562" s="603"/>
      <c r="HE562" s="603"/>
      <c r="HF562" s="603"/>
      <c r="HG562" s="603"/>
      <c r="HH562" s="603"/>
      <c r="HI562" s="603"/>
      <c r="HJ562" s="603"/>
      <c r="HK562" s="603"/>
      <c r="HL562" s="603"/>
      <c r="HM562" s="603"/>
      <c r="HN562" s="603"/>
      <c r="HO562" s="603"/>
      <c r="HP562" s="603"/>
      <c r="HQ562" s="603"/>
      <c r="HR562" s="603"/>
      <c r="HS562" s="603"/>
      <c r="HT562" s="603"/>
      <c r="HU562" s="603"/>
      <c r="HV562" s="603"/>
      <c r="HW562" s="603"/>
      <c r="HX562" s="603"/>
      <c r="HY562" s="603"/>
      <c r="HZ562" s="603"/>
      <c r="IA562" s="603"/>
      <c r="IB562" s="603"/>
      <c r="IC562" s="603"/>
      <c r="ID562" s="603"/>
      <c r="IE562" s="603"/>
      <c r="IF562" s="603"/>
      <c r="IG562" s="603"/>
      <c r="IH562" s="603"/>
      <c r="II562" s="603"/>
      <c r="IJ562" s="603"/>
      <c r="IK562" s="603"/>
      <c r="IL562" s="603"/>
      <c r="IM562" s="603"/>
      <c r="IN562" s="603"/>
      <c r="IO562" s="603"/>
      <c r="IP562" s="603"/>
      <c r="IQ562" s="603"/>
      <c r="IR562" s="603"/>
      <c r="IS562" s="603"/>
      <c r="IT562" s="603"/>
      <c r="IU562" s="603"/>
      <c r="IV562" s="603"/>
      <c r="IW562" s="603"/>
      <c r="IX562" s="603"/>
      <c r="IY562" s="603"/>
      <c r="IZ562" s="603"/>
      <c r="JA562" s="603"/>
      <c r="JB562" s="603"/>
      <c r="JC562" s="603"/>
      <c r="JD562" s="603"/>
      <c r="JE562" s="603"/>
      <c r="JF562" s="603"/>
      <c r="JG562" s="603"/>
      <c r="JH562" s="603"/>
      <c r="JI562" s="603"/>
      <c r="JJ562" s="603"/>
      <c r="JK562" s="603"/>
      <c r="JL562" s="603"/>
      <c r="JM562" s="603"/>
      <c r="JN562" s="603"/>
      <c r="JO562" s="603"/>
      <c r="JP562" s="603"/>
      <c r="JQ562" s="603"/>
      <c r="JR562" s="603"/>
      <c r="JS562" s="603"/>
      <c r="JT562" s="603"/>
      <c r="JU562" s="603"/>
      <c r="JV562" s="603"/>
      <c r="JW562" s="603"/>
      <c r="JX562" s="603"/>
      <c r="JY562" s="603"/>
      <c r="JZ562" s="603"/>
    </row>
    <row r="563" spans="1:286" ht="12.75" hidden="1" customHeight="1" outlineLevel="1" x14ac:dyDescent="0.2">
      <c r="A563" s="1"/>
      <c r="B563" s="2"/>
      <c r="C563" s="3"/>
      <c r="D563" s="3"/>
      <c r="E563" s="78"/>
      <c r="F563" s="78"/>
      <c r="G563" s="78"/>
      <c r="H563" s="78"/>
      <c r="I563" s="78"/>
      <c r="J563" s="78"/>
      <c r="K563" s="78"/>
      <c r="L563" s="78"/>
      <c r="M563" s="78"/>
      <c r="N563" s="421"/>
      <c r="O563" s="78"/>
      <c r="P563" s="421"/>
      <c r="Q563" s="78"/>
      <c r="R563" s="421"/>
      <c r="S563" s="78"/>
      <c r="T563" s="421"/>
      <c r="U563" s="78"/>
      <c r="V563" s="421"/>
      <c r="W563" s="78"/>
      <c r="X563" s="421"/>
      <c r="Y563" s="78"/>
      <c r="Z563" s="421"/>
      <c r="AA563" s="80"/>
      <c r="AB563" s="421"/>
      <c r="AC563" s="78"/>
      <c r="AD563" s="421"/>
      <c r="AE563" s="78"/>
      <c r="AF563" s="421"/>
      <c r="AG563" s="78"/>
      <c r="AH563" s="421"/>
      <c r="AI563" s="78"/>
      <c r="AJ563" s="421"/>
      <c r="AK563" s="390"/>
      <c r="AL563" s="421"/>
      <c r="AM563" s="78"/>
      <c r="AN563" s="421"/>
      <c r="AO563" s="78"/>
      <c r="AP563" s="421"/>
      <c r="AQ563" s="78"/>
      <c r="AR563" s="421"/>
      <c r="AS563" s="78"/>
      <c r="AT563" s="7"/>
      <c r="AU563" s="390"/>
      <c r="AV563" s="7"/>
      <c r="AW563" s="390"/>
      <c r="AX563" s="7"/>
      <c r="AY563" s="390"/>
      <c r="AZ563" s="7"/>
      <c r="BA563" s="390"/>
      <c r="BB563" s="7"/>
      <c r="BC563" s="390"/>
      <c r="BD563" s="7"/>
      <c r="BE563" s="390"/>
      <c r="BF563" s="7"/>
      <c r="BG563" s="390"/>
      <c r="BH563" s="7"/>
      <c r="BI563" s="390"/>
      <c r="BJ563" s="7"/>
      <c r="BK563" s="390"/>
      <c r="BL563" s="7"/>
      <c r="BM563" s="390"/>
      <c r="BN563" s="7"/>
      <c r="BO563" s="390"/>
      <c r="BP563" s="7"/>
      <c r="BQ563" s="390"/>
      <c r="BR563" s="7"/>
      <c r="BS563" s="390"/>
      <c r="BT563" s="7"/>
      <c r="BU563" s="390"/>
      <c r="BV563" s="7"/>
      <c r="BW563" s="390"/>
      <c r="BX563" s="7"/>
      <c r="BY563" s="390"/>
      <c r="BZ563" s="7"/>
      <c r="CA563" s="390"/>
      <c r="CB563" s="7"/>
      <c r="CC563" s="390"/>
      <c r="CD563" s="7"/>
      <c r="CE563" s="390"/>
      <c r="CF563" s="7"/>
      <c r="CG563" s="390"/>
      <c r="CH563" s="7"/>
      <c r="CI563" s="390"/>
      <c r="CJ563" s="7"/>
      <c r="CK563" s="390"/>
      <c r="CL563" s="7"/>
      <c r="CM563" s="390"/>
      <c r="CN563" s="7"/>
      <c r="CO563" s="390"/>
      <c r="CP563" s="7"/>
      <c r="CQ563" s="390"/>
      <c r="CR563" s="7"/>
      <c r="CS563" s="390"/>
      <c r="CT563" s="7"/>
      <c r="CU563" s="390"/>
      <c r="CV563" s="7"/>
      <c r="CW563" s="390"/>
      <c r="CX563" s="7"/>
      <c r="CY563" s="390"/>
      <c r="CZ563" s="7"/>
      <c r="DA563" s="390"/>
      <c r="DB563" s="7"/>
      <c r="DC563" s="390"/>
      <c r="DD563" s="7"/>
      <c r="DE563" s="390"/>
      <c r="DF563" s="7"/>
      <c r="DG563" s="390"/>
      <c r="DH563" s="7"/>
      <c r="DI563" s="390"/>
      <c r="DJ563" s="7"/>
      <c r="DK563" s="390"/>
      <c r="DL563" s="7"/>
      <c r="DM563" s="390"/>
      <c r="DN563" s="7"/>
      <c r="DO563" s="390"/>
      <c r="DP563" s="7"/>
      <c r="DQ563" s="390"/>
      <c r="DR563" s="7"/>
      <c r="DS563" s="390"/>
      <c r="DT563" s="7"/>
      <c r="DU563" s="390"/>
      <c r="DV563" s="7"/>
      <c r="DW563" s="390"/>
      <c r="DX563" s="7"/>
      <c r="DY563" s="390"/>
      <c r="DZ563" s="7"/>
      <c r="EA563" s="390"/>
      <c r="EB563" s="7"/>
      <c r="EC563" s="390"/>
      <c r="ED563" s="7"/>
      <c r="EE563" s="390"/>
      <c r="EF563" s="7"/>
      <c r="EG563" s="390"/>
      <c r="EH563" s="7"/>
      <c r="EI563" s="390"/>
      <c r="EJ563" s="7"/>
      <c r="EK563" s="390"/>
      <c r="EL563" s="7"/>
      <c r="EM563" s="390"/>
      <c r="EN563" s="7"/>
      <c r="EO563" s="390"/>
      <c r="EP563" s="7"/>
      <c r="EQ563" s="390"/>
      <c r="ER563" s="7"/>
      <c r="ES563" s="78"/>
      <c r="ET563" s="494"/>
      <c r="EU563" s="78"/>
      <c r="EV563" s="78"/>
      <c r="EW563" s="78"/>
      <c r="EX563" s="78"/>
      <c r="EY563" s="421"/>
      <c r="EZ563" s="78"/>
      <c r="FA563" s="421"/>
      <c r="FB563" s="78"/>
      <c r="FC563" s="421"/>
      <c r="FD563" s="78"/>
      <c r="FE563" s="421"/>
      <c r="FF563" s="78"/>
      <c r="FG563" s="421"/>
      <c r="FH563" s="390"/>
      <c r="FI563" s="430"/>
      <c r="FJ563" s="390"/>
      <c r="FK563" s="430"/>
      <c r="FL563" s="390"/>
      <c r="FM563" s="430"/>
      <c r="FN563" s="390"/>
      <c r="FO563" s="430"/>
      <c r="FP563" s="390"/>
      <c r="FQ563" s="430"/>
      <c r="FR563" s="390"/>
      <c r="FS563" s="430"/>
      <c r="FT563" s="390"/>
      <c r="FU563" s="430"/>
      <c r="FV563" s="390"/>
      <c r="FW563" s="430"/>
      <c r="FX563" s="390"/>
      <c r="FY563" s="430"/>
      <c r="FZ563" s="390"/>
      <c r="GA563" s="430"/>
      <c r="GB563" s="390"/>
      <c r="GC563" s="430"/>
      <c r="GD563" s="390"/>
      <c r="GE563" s="430"/>
      <c r="GF563" s="390"/>
      <c r="GG563" s="430"/>
      <c r="GH563" s="390"/>
      <c r="GI563" s="430"/>
      <c r="GJ563" s="390"/>
      <c r="GK563" s="430"/>
      <c r="GL563" s="390"/>
      <c r="GM563" s="430"/>
      <c r="GN563" s="390"/>
      <c r="GO563" s="430"/>
      <c r="GP563" s="390"/>
      <c r="GQ563" s="430"/>
      <c r="GR563" s="390"/>
      <c r="GS563" s="430"/>
      <c r="GT563" s="3"/>
    </row>
    <row r="564" spans="1:286" s="9" customFormat="1" ht="12.75" hidden="1" customHeight="1" outlineLevel="1" x14ac:dyDescent="0.2">
      <c r="B564" s="2" t="s">
        <v>72</v>
      </c>
      <c r="C564" s="192"/>
      <c r="D564" s="3"/>
      <c r="E564" s="192"/>
      <c r="F564" s="3"/>
      <c r="G564" s="192"/>
      <c r="H564" s="3"/>
      <c r="I564" s="192"/>
      <c r="J564" s="3"/>
      <c r="K564" s="192"/>
      <c r="L564" s="3"/>
      <c r="M564" s="192"/>
      <c r="N564" s="3"/>
      <c r="O564" s="192"/>
      <c r="P564" s="3"/>
      <c r="Q564" s="192"/>
      <c r="R564" s="3"/>
      <c r="S564" s="192"/>
      <c r="T564" s="3"/>
      <c r="U564" s="192"/>
      <c r="V564" s="3"/>
      <c r="W564" s="192"/>
      <c r="X564" s="3"/>
      <c r="Y564" s="192"/>
      <c r="Z564" s="3"/>
      <c r="AA564" s="94"/>
      <c r="AB564" s="3"/>
      <c r="AC564" s="192"/>
      <c r="AD564" s="3"/>
      <c r="AE564" s="192"/>
      <c r="AF564" s="3"/>
      <c r="AG564" s="192"/>
      <c r="AH564" s="3"/>
      <c r="AI564" s="192"/>
      <c r="AJ564" s="3"/>
      <c r="AK564" s="192"/>
      <c r="AL564" s="3"/>
      <c r="AM564" s="192"/>
      <c r="AN564" s="3"/>
      <c r="AO564" s="192"/>
      <c r="AP564" s="3"/>
      <c r="AQ564" s="192"/>
      <c r="AR564" s="3"/>
      <c r="AS564" s="192"/>
      <c r="AT564" s="7"/>
      <c r="AU564" s="192"/>
      <c r="AV564" s="7"/>
      <c r="AW564" s="192"/>
      <c r="AX564" s="7"/>
      <c r="AY564" s="192"/>
      <c r="AZ564" s="7"/>
      <c r="BA564" s="192"/>
      <c r="BB564" s="7"/>
      <c r="BC564" s="192"/>
      <c r="BD564" s="7"/>
      <c r="BE564" s="192"/>
      <c r="BF564" s="7"/>
      <c r="BG564" s="192"/>
      <c r="BH564" s="7"/>
      <c r="BI564" s="192" t="s">
        <v>73</v>
      </c>
      <c r="BJ564" s="7"/>
      <c r="BK564" s="192" t="s">
        <v>73</v>
      </c>
      <c r="BL564" s="7"/>
      <c r="BM564" s="192" t="s">
        <v>73</v>
      </c>
      <c r="BN564" s="7"/>
      <c r="BO564" s="192" t="s">
        <v>73</v>
      </c>
      <c r="BP564" s="7"/>
      <c r="BQ564" s="192" t="s">
        <v>73</v>
      </c>
      <c r="BR564" s="7"/>
      <c r="BS564" s="192" t="s">
        <v>73</v>
      </c>
      <c r="BT564" s="7"/>
      <c r="BU564" s="192" t="s">
        <v>73</v>
      </c>
      <c r="BV564" s="7"/>
      <c r="BW564" s="192" t="s">
        <v>73</v>
      </c>
      <c r="BX564" s="7"/>
      <c r="BY564" s="192" t="s">
        <v>73</v>
      </c>
      <c r="BZ564" s="7"/>
      <c r="CA564" s="192" t="s">
        <v>73</v>
      </c>
      <c r="CB564" s="7"/>
      <c r="CC564" s="192" t="s">
        <v>73</v>
      </c>
      <c r="CD564" s="7"/>
      <c r="CE564" s="192" t="s">
        <v>73</v>
      </c>
      <c r="CF564" s="7"/>
      <c r="CG564" s="192" t="s">
        <v>73</v>
      </c>
      <c r="CH564" s="7"/>
      <c r="CI564" s="192" t="s">
        <v>73</v>
      </c>
      <c r="CJ564" s="7"/>
      <c r="CK564" s="192" t="s">
        <v>73</v>
      </c>
      <c r="CL564" s="7"/>
      <c r="CM564" s="192" t="s">
        <v>73</v>
      </c>
      <c r="CN564" s="7"/>
      <c r="CO564" s="192" t="s">
        <v>73</v>
      </c>
      <c r="CP564" s="7"/>
      <c r="CQ564" s="192" t="s">
        <v>73</v>
      </c>
      <c r="CR564" s="7"/>
      <c r="CS564" s="192" t="s">
        <v>73</v>
      </c>
      <c r="CT564" s="7"/>
      <c r="CU564" s="192" t="s">
        <v>73</v>
      </c>
      <c r="CV564" s="7"/>
      <c r="CW564" s="192" t="s">
        <v>73</v>
      </c>
      <c r="CX564" s="7"/>
      <c r="CY564" s="192" t="s">
        <v>73</v>
      </c>
      <c r="CZ564" s="7"/>
      <c r="DA564" s="192" t="s">
        <v>73</v>
      </c>
      <c r="DB564" s="7"/>
      <c r="DC564" s="192" t="s">
        <v>73</v>
      </c>
      <c r="DD564" s="7"/>
      <c r="DE564" s="192" t="s">
        <v>73</v>
      </c>
      <c r="DF564" s="7"/>
      <c r="DG564" s="192" t="s">
        <v>73</v>
      </c>
      <c r="DH564" s="7"/>
      <c r="DI564" s="192" t="s">
        <v>73</v>
      </c>
      <c r="DJ564" s="7"/>
      <c r="DK564" s="192" t="s">
        <v>73</v>
      </c>
      <c r="DL564" s="7"/>
      <c r="DM564" s="192" t="s">
        <v>73</v>
      </c>
      <c r="DN564" s="7"/>
      <c r="DO564" s="192" t="s">
        <v>73</v>
      </c>
      <c r="DP564" s="7"/>
      <c r="DQ564" s="192" t="s">
        <v>73</v>
      </c>
      <c r="DR564" s="7"/>
      <c r="DS564" s="192" t="s">
        <v>73</v>
      </c>
      <c r="DT564" s="7"/>
      <c r="DU564" s="192" t="s">
        <v>73</v>
      </c>
      <c r="DV564" s="7"/>
      <c r="DW564" s="192" t="s">
        <v>73</v>
      </c>
      <c r="DX564" s="7"/>
      <c r="DY564" s="192" t="s">
        <v>73</v>
      </c>
      <c r="DZ564" s="7"/>
      <c r="EA564" s="192" t="s">
        <v>73</v>
      </c>
      <c r="EB564" s="7"/>
      <c r="EC564" s="192" t="s">
        <v>73</v>
      </c>
      <c r="ED564" s="7"/>
      <c r="EE564" s="192" t="s">
        <v>73</v>
      </c>
      <c r="EF564" s="7"/>
      <c r="EG564" s="192" t="s">
        <v>73</v>
      </c>
      <c r="EH564" s="7"/>
      <c r="EI564" s="192" t="s">
        <v>73</v>
      </c>
      <c r="EJ564" s="7"/>
      <c r="EK564" s="192" t="s">
        <v>73</v>
      </c>
      <c r="EL564" s="7"/>
      <c r="EM564" s="192" t="s">
        <v>73</v>
      </c>
      <c r="EN564" s="7"/>
      <c r="EO564" s="192" t="s">
        <v>73</v>
      </c>
      <c r="EP564" s="7"/>
      <c r="EQ564" s="192" t="s">
        <v>73</v>
      </c>
      <c r="ER564" s="7"/>
      <c r="ES564" s="192"/>
      <c r="ET564" s="494"/>
      <c r="EU564" s="192"/>
      <c r="EV564" s="192"/>
      <c r="EW564" s="192"/>
      <c r="EX564" s="192"/>
      <c r="EY564" s="428"/>
      <c r="EZ564" s="192"/>
      <c r="FA564" s="428"/>
      <c r="FB564" s="192"/>
      <c r="FC564" s="3"/>
      <c r="FD564" s="192"/>
      <c r="FE564" s="3"/>
      <c r="FF564" s="192"/>
      <c r="FG564" s="3"/>
      <c r="FH564" s="192"/>
      <c r="FI564" s="3"/>
      <c r="FJ564" s="192"/>
      <c r="FK564" s="3"/>
      <c r="FL564" s="192"/>
      <c r="FM564" s="3"/>
      <c r="FN564" s="192"/>
      <c r="FO564" s="3"/>
      <c r="FP564" s="192" t="s">
        <v>73</v>
      </c>
      <c r="FQ564" s="3"/>
      <c r="FR564" s="192" t="s">
        <v>73</v>
      </c>
      <c r="FS564" s="3"/>
      <c r="FT564" s="192" t="s">
        <v>73</v>
      </c>
      <c r="FU564" s="3"/>
      <c r="FV564" s="192" t="s">
        <v>73</v>
      </c>
      <c r="FW564" s="3"/>
      <c r="FX564" s="192" t="s">
        <v>73</v>
      </c>
      <c r="FY564" s="3"/>
      <c r="FZ564" s="192" t="s">
        <v>73</v>
      </c>
      <c r="GA564" s="3"/>
      <c r="GB564" s="192" t="s">
        <v>73</v>
      </c>
      <c r="GC564" s="3"/>
      <c r="GD564" s="192" t="s">
        <v>73</v>
      </c>
      <c r="GE564" s="3"/>
      <c r="GF564" s="192" t="s">
        <v>73</v>
      </c>
      <c r="GG564" s="3"/>
      <c r="GH564" s="192" t="s">
        <v>73</v>
      </c>
      <c r="GI564" s="3"/>
      <c r="GJ564" s="192" t="s">
        <v>73</v>
      </c>
      <c r="GK564" s="3"/>
      <c r="GL564" s="192" t="s">
        <v>73</v>
      </c>
      <c r="GM564" s="3"/>
      <c r="GN564" s="192" t="s">
        <v>73</v>
      </c>
      <c r="GO564" s="3"/>
      <c r="GP564" s="192" t="s">
        <v>73</v>
      </c>
      <c r="GQ564" s="3"/>
      <c r="GR564" s="192" t="s">
        <v>73</v>
      </c>
      <c r="GS564" s="3"/>
      <c r="GT564" s="427"/>
      <c r="GU564" s="562"/>
      <c r="GV564" s="562"/>
      <c r="GW564"/>
      <c r="GX564"/>
      <c r="GY564"/>
      <c r="GZ564"/>
      <c r="HA564"/>
      <c r="HB564"/>
      <c r="HC564" s="562"/>
      <c r="HD564" s="562"/>
      <c r="HE564" s="562"/>
      <c r="HF564" s="562"/>
      <c r="HG564" s="562"/>
      <c r="HH564" s="562"/>
      <c r="HI564" s="562"/>
      <c r="HJ564" s="562"/>
      <c r="HK564" s="562"/>
      <c r="HL564" s="562"/>
      <c r="HM564" s="562"/>
      <c r="HN564" s="562"/>
      <c r="HO564" s="562"/>
      <c r="HP564" s="562"/>
      <c r="HQ564" s="562"/>
      <c r="HR564" s="562"/>
      <c r="HS564" s="562"/>
      <c r="HT564" s="562"/>
      <c r="HU564" s="562"/>
      <c r="HV564" s="562"/>
      <c r="HW564" s="562"/>
      <c r="HX564" s="562"/>
      <c r="HY564" s="562"/>
      <c r="HZ564" s="562"/>
      <c r="IA564" s="562"/>
      <c r="IB564" s="562"/>
      <c r="IC564" s="562"/>
      <c r="ID564" s="562"/>
      <c r="IE564" s="562"/>
      <c r="IF564" s="562"/>
      <c r="IG564" s="562"/>
      <c r="IH564" s="562"/>
      <c r="II564" s="562"/>
      <c r="IJ564" s="562"/>
      <c r="IK564" s="562"/>
      <c r="IL564" s="562"/>
      <c r="IM564" s="562"/>
      <c r="IN564" s="562"/>
      <c r="IO564" s="562"/>
      <c r="IP564" s="562"/>
      <c r="IQ564" s="562"/>
      <c r="IR564" s="562"/>
      <c r="IS564" s="562"/>
      <c r="IT564" s="562"/>
      <c r="IU564" s="562"/>
      <c r="IV564" s="562"/>
      <c r="IW564" s="562"/>
      <c r="IX564" s="562"/>
      <c r="IY564" s="562"/>
      <c r="IZ564" s="562"/>
      <c r="JA564" s="562"/>
      <c r="JB564" s="562"/>
      <c r="JC564" s="562"/>
      <c r="JD564" s="562"/>
      <c r="JE564" s="562"/>
      <c r="JF564" s="562"/>
      <c r="JG564" s="562"/>
      <c r="JH564" s="562"/>
      <c r="JI564" s="562"/>
      <c r="JJ564" s="562"/>
      <c r="JK564" s="562"/>
      <c r="JL564" s="562"/>
      <c r="JM564" s="562"/>
      <c r="JN564" s="562"/>
      <c r="JO564" s="562"/>
      <c r="JP564" s="562"/>
      <c r="JQ564" s="562"/>
      <c r="JR564" s="562"/>
      <c r="JS564" s="562"/>
      <c r="JT564" s="562"/>
      <c r="JU564" s="562"/>
      <c r="JV564" s="562"/>
      <c r="JW564" s="562"/>
      <c r="JX564" s="562"/>
      <c r="JY564" s="562"/>
      <c r="JZ564" s="562"/>
    </row>
    <row r="565" spans="1:286" s="9" customFormat="1" ht="12.75" hidden="1" customHeight="1" outlineLevel="1" x14ac:dyDescent="0.2">
      <c r="B565" s="381" t="s">
        <v>71</v>
      </c>
      <c r="C565" s="192"/>
      <c r="D565" s="3"/>
      <c r="E565" s="192"/>
      <c r="F565" s="3"/>
      <c r="G565" s="192"/>
      <c r="H565" s="3"/>
      <c r="I565" s="192"/>
      <c r="J565" s="3"/>
      <c r="K565" s="192"/>
      <c r="L565" s="3"/>
      <c r="M565" s="192"/>
      <c r="N565" s="3"/>
      <c r="O565" s="192"/>
      <c r="P565" s="3"/>
      <c r="Q565" s="192"/>
      <c r="R565" s="3"/>
      <c r="S565" s="192"/>
      <c r="T565" s="3"/>
      <c r="U565" s="192"/>
      <c r="V565" s="3"/>
      <c r="W565" s="192"/>
      <c r="X565" s="3"/>
      <c r="Y565" s="192"/>
      <c r="Z565" s="3"/>
      <c r="AA565" s="94"/>
      <c r="AB565" s="3"/>
      <c r="AC565" s="192"/>
      <c r="AD565" s="3"/>
      <c r="AE565" s="192"/>
      <c r="AF565" s="3"/>
      <c r="AG565" s="192"/>
      <c r="AH565" s="3"/>
      <c r="AI565" s="192"/>
      <c r="AJ565" s="3"/>
      <c r="AK565" s="192"/>
      <c r="AL565" s="3"/>
      <c r="AM565" s="192"/>
      <c r="AN565" s="3"/>
      <c r="AO565" s="192"/>
      <c r="AP565" s="3"/>
      <c r="AQ565" s="192"/>
      <c r="AR565" s="3"/>
      <c r="AS565" s="192"/>
      <c r="AT565" s="7"/>
      <c r="AU565" s="192"/>
      <c r="AV565" s="7"/>
      <c r="AW565" s="192"/>
      <c r="AX565" s="7"/>
      <c r="AY565" s="192"/>
      <c r="AZ565" s="7"/>
      <c r="BA565" s="192"/>
      <c r="BB565" s="7"/>
      <c r="BC565" s="192"/>
      <c r="BD565" s="7"/>
      <c r="BE565" s="192"/>
      <c r="BF565" s="7"/>
      <c r="BG565" s="192"/>
      <c r="BH565" s="7"/>
      <c r="BI565" s="192">
        <v>0</v>
      </c>
      <c r="BJ565" s="7"/>
      <c r="BK565" s="192">
        <v>0</v>
      </c>
      <c r="BL565" s="7"/>
      <c r="BM565" s="192">
        <v>0</v>
      </c>
      <c r="BN565" s="7"/>
      <c r="BO565" s="192">
        <v>0</v>
      </c>
      <c r="BP565" s="7"/>
      <c r="BQ565" s="192">
        <v>0</v>
      </c>
      <c r="BR565" s="7"/>
      <c r="BS565" s="192">
        <v>0</v>
      </c>
      <c r="BT565" s="7"/>
      <c r="BU565" s="192">
        <v>0</v>
      </c>
      <c r="BV565" s="7"/>
      <c r="BW565" s="192">
        <v>0</v>
      </c>
      <c r="BX565" s="7"/>
      <c r="BY565" s="192">
        <v>0</v>
      </c>
      <c r="BZ565" s="7"/>
      <c r="CA565" s="192">
        <v>0</v>
      </c>
      <c r="CB565" s="7"/>
      <c r="CC565" s="192">
        <v>0</v>
      </c>
      <c r="CD565" s="7"/>
      <c r="CE565" s="192">
        <v>0</v>
      </c>
      <c r="CF565" s="7"/>
      <c r="CG565" s="192">
        <v>0</v>
      </c>
      <c r="CH565" s="7"/>
      <c r="CI565" s="192">
        <v>0</v>
      </c>
      <c r="CJ565" s="7"/>
      <c r="CK565" s="192">
        <v>0</v>
      </c>
      <c r="CL565" s="7"/>
      <c r="CM565" s="192">
        <v>0</v>
      </c>
      <c r="CN565" s="7"/>
      <c r="CO565" s="192">
        <v>0</v>
      </c>
      <c r="CP565" s="7"/>
      <c r="CQ565" s="192">
        <v>0</v>
      </c>
      <c r="CR565" s="7"/>
      <c r="CS565" s="192">
        <v>0</v>
      </c>
      <c r="CT565" s="7"/>
      <c r="CU565" s="192">
        <v>0</v>
      </c>
      <c r="CV565" s="7"/>
      <c r="CW565" s="192">
        <v>0</v>
      </c>
      <c r="CX565" s="7"/>
      <c r="CY565" s="192">
        <v>0</v>
      </c>
      <c r="CZ565" s="7"/>
      <c r="DA565" s="192">
        <v>0</v>
      </c>
      <c r="DB565" s="7"/>
      <c r="DC565" s="192">
        <v>0</v>
      </c>
      <c r="DD565" s="7"/>
      <c r="DE565" s="192">
        <v>0</v>
      </c>
      <c r="DF565" s="7"/>
      <c r="DG565" s="192">
        <v>0</v>
      </c>
      <c r="DH565" s="7"/>
      <c r="DI565" s="192">
        <v>0</v>
      </c>
      <c r="DJ565" s="7"/>
      <c r="DK565" s="192">
        <v>0</v>
      </c>
      <c r="DL565" s="7"/>
      <c r="DM565" s="192">
        <v>0</v>
      </c>
      <c r="DN565" s="7"/>
      <c r="DO565" s="192">
        <v>0</v>
      </c>
      <c r="DP565" s="7"/>
      <c r="DQ565" s="192">
        <v>0</v>
      </c>
      <c r="DR565" s="7"/>
      <c r="DS565" s="192">
        <v>0</v>
      </c>
      <c r="DT565" s="7"/>
      <c r="DU565" s="192">
        <v>0</v>
      </c>
      <c r="DV565" s="7"/>
      <c r="DW565" s="192">
        <v>0</v>
      </c>
      <c r="DX565" s="7"/>
      <c r="DY565" s="192">
        <v>0</v>
      </c>
      <c r="DZ565" s="7"/>
      <c r="EA565" s="192">
        <v>0</v>
      </c>
      <c r="EB565" s="7"/>
      <c r="EC565" s="192">
        <v>0</v>
      </c>
      <c r="ED565" s="7"/>
      <c r="EE565" s="192">
        <v>0</v>
      </c>
      <c r="EF565" s="7"/>
      <c r="EG565" s="192">
        <v>0</v>
      </c>
      <c r="EH565" s="7"/>
      <c r="EI565" s="192">
        <v>0</v>
      </c>
      <c r="EJ565" s="7"/>
      <c r="EK565" s="192">
        <v>0</v>
      </c>
      <c r="EL565" s="7"/>
      <c r="EM565" s="192">
        <v>0</v>
      </c>
      <c r="EN565" s="7"/>
      <c r="EO565" s="192">
        <v>0</v>
      </c>
      <c r="EP565" s="7"/>
      <c r="EQ565" s="192">
        <v>0</v>
      </c>
      <c r="ER565" s="7"/>
      <c r="ES565" s="192"/>
      <c r="ET565" s="494"/>
      <c r="EU565" s="192"/>
      <c r="EV565" s="192"/>
      <c r="EW565" s="192"/>
      <c r="EX565" s="192"/>
      <c r="EY565" s="428"/>
      <c r="EZ565" s="192"/>
      <c r="FA565" s="428"/>
      <c r="FB565" s="192"/>
      <c r="FC565" s="3"/>
      <c r="FD565" s="192"/>
      <c r="FE565" s="3"/>
      <c r="FF565" s="192"/>
      <c r="FG565" s="3"/>
      <c r="FH565" s="192"/>
      <c r="FI565" s="3"/>
      <c r="FJ565" s="192"/>
      <c r="FK565" s="3"/>
      <c r="FL565" s="192"/>
      <c r="FM565" s="3"/>
      <c r="FN565" s="192"/>
      <c r="FO565" s="3"/>
      <c r="FP565" s="192">
        <v>0</v>
      </c>
      <c r="FQ565" s="3"/>
      <c r="FR565" s="192">
        <v>0</v>
      </c>
      <c r="FS565" s="3"/>
      <c r="FT565" s="192">
        <v>0</v>
      </c>
      <c r="FU565" s="3"/>
      <c r="FV565" s="192">
        <v>0</v>
      </c>
      <c r="FW565" s="3"/>
      <c r="FX565" s="192">
        <v>0</v>
      </c>
      <c r="FY565" s="3"/>
      <c r="FZ565" s="192">
        <v>0</v>
      </c>
      <c r="GA565" s="3"/>
      <c r="GB565" s="192">
        <v>0</v>
      </c>
      <c r="GC565" s="3"/>
      <c r="GD565" s="192">
        <v>0</v>
      </c>
      <c r="GE565" s="3"/>
      <c r="GF565" s="192">
        <v>0</v>
      </c>
      <c r="GG565" s="3"/>
      <c r="GH565" s="192">
        <v>0</v>
      </c>
      <c r="GI565" s="3"/>
      <c r="GJ565" s="192">
        <v>0</v>
      </c>
      <c r="GK565" s="3"/>
      <c r="GL565" s="192">
        <v>0</v>
      </c>
      <c r="GM565" s="3"/>
      <c r="GN565" s="192">
        <v>0</v>
      </c>
      <c r="GO565" s="3"/>
      <c r="GP565" s="192">
        <v>0</v>
      </c>
      <c r="GQ565" s="3"/>
      <c r="GR565" s="192">
        <v>0</v>
      </c>
      <c r="GS565" s="3"/>
      <c r="GT565" s="427"/>
      <c r="GU565" s="562"/>
      <c r="GV565" s="562"/>
      <c r="GW565"/>
      <c r="GX565"/>
      <c r="GY565"/>
      <c r="GZ565"/>
      <c r="HA565"/>
      <c r="HB565"/>
      <c r="HC565" s="562"/>
      <c r="HD565" s="562"/>
      <c r="HE565" s="562"/>
      <c r="HF565" s="562"/>
      <c r="HG565" s="562"/>
      <c r="HH565" s="562"/>
      <c r="HI565" s="562"/>
      <c r="HJ565" s="562"/>
      <c r="HK565" s="562"/>
      <c r="HL565" s="562"/>
      <c r="HM565" s="562"/>
      <c r="HN565" s="562"/>
      <c r="HO565" s="562"/>
      <c r="HP565" s="562"/>
      <c r="HQ565" s="562"/>
      <c r="HR565" s="562"/>
      <c r="HS565" s="562"/>
      <c r="HT565" s="562"/>
      <c r="HU565" s="562"/>
      <c r="HV565" s="562"/>
      <c r="HW565" s="562"/>
      <c r="HX565" s="562"/>
      <c r="HY565" s="562"/>
      <c r="HZ565" s="562"/>
      <c r="IA565" s="562"/>
      <c r="IB565" s="562"/>
      <c r="IC565" s="562"/>
      <c r="ID565" s="562"/>
      <c r="IE565" s="562"/>
      <c r="IF565" s="562"/>
      <c r="IG565" s="562"/>
      <c r="IH565" s="562"/>
      <c r="II565" s="562"/>
      <c r="IJ565" s="562"/>
      <c r="IK565" s="562"/>
      <c r="IL565" s="562"/>
      <c r="IM565" s="562"/>
      <c r="IN565" s="562"/>
      <c r="IO565" s="562"/>
      <c r="IP565" s="562"/>
      <c r="IQ565" s="562"/>
      <c r="IR565" s="562"/>
      <c r="IS565" s="562"/>
      <c r="IT565" s="562"/>
      <c r="IU565" s="562"/>
      <c r="IV565" s="562"/>
      <c r="IW565" s="562"/>
      <c r="IX565" s="562"/>
      <c r="IY565" s="562"/>
      <c r="IZ565" s="562"/>
      <c r="JA565" s="562"/>
      <c r="JB565" s="562"/>
      <c r="JC565" s="562"/>
      <c r="JD565" s="562"/>
      <c r="JE565" s="562"/>
      <c r="JF565" s="562"/>
      <c r="JG565" s="562"/>
      <c r="JH565" s="562"/>
      <c r="JI565" s="562"/>
      <c r="JJ565" s="562"/>
      <c r="JK565" s="562"/>
      <c r="JL565" s="562"/>
      <c r="JM565" s="562"/>
      <c r="JN565" s="562"/>
      <c r="JO565" s="562"/>
      <c r="JP565" s="562"/>
      <c r="JQ565" s="562"/>
      <c r="JR565" s="562"/>
      <c r="JS565" s="562"/>
      <c r="JT565" s="562"/>
      <c r="JU565" s="562"/>
      <c r="JV565" s="562"/>
      <c r="JW565" s="562"/>
      <c r="JX565" s="562"/>
      <c r="JY565" s="562"/>
      <c r="JZ565" s="562"/>
    </row>
    <row r="566" spans="1:286" ht="12.75" hidden="1" customHeight="1" outlineLevel="1" x14ac:dyDescent="0.2">
      <c r="A566" s="1"/>
      <c r="B566" s="2" t="s">
        <v>505</v>
      </c>
      <c r="C566" s="3"/>
      <c r="D566" s="3"/>
      <c r="E566" s="392"/>
      <c r="F566" s="4"/>
      <c r="G566" s="392"/>
      <c r="H566" s="4"/>
      <c r="I566" s="392"/>
      <c r="J566" s="4"/>
      <c r="K566" s="392"/>
      <c r="L566" s="3"/>
      <c r="M566" s="392"/>
      <c r="N566" s="3"/>
      <c r="O566" s="392"/>
      <c r="P566" s="3"/>
      <c r="Q566" s="392"/>
      <c r="R566" s="3"/>
      <c r="S566" s="392"/>
      <c r="T566" s="3"/>
      <c r="U566" s="392"/>
      <c r="V566" s="3"/>
      <c r="W566" s="392"/>
      <c r="X566" s="3"/>
      <c r="Y566" s="392"/>
      <c r="Z566" s="3"/>
      <c r="AA566" s="393"/>
      <c r="AB566" s="3"/>
      <c r="AC566" s="392"/>
      <c r="AD566" s="3"/>
      <c r="AE566" s="392"/>
      <c r="AF566" s="3"/>
      <c r="AG566" s="392"/>
      <c r="AH566" s="3"/>
      <c r="AI566" s="392"/>
      <c r="AJ566" s="3"/>
      <c r="AK566" s="392"/>
      <c r="AL566" s="3"/>
      <c r="AM566" s="392"/>
      <c r="AN566" s="3"/>
      <c r="AO566" s="392"/>
      <c r="AP566" s="3"/>
      <c r="AQ566" s="392"/>
      <c r="AR566" s="3"/>
      <c r="AS566" s="392"/>
      <c r="AT566" s="7"/>
      <c r="AU566" s="392"/>
      <c r="AV566" s="7"/>
      <c r="AW566" s="392"/>
      <c r="AX566" s="7"/>
      <c r="AY566" s="392"/>
      <c r="AZ566" s="7"/>
      <c r="BA566" s="392"/>
      <c r="BB566" s="7"/>
      <c r="BC566" s="392"/>
      <c r="BD566" s="7"/>
      <c r="BE566" s="392"/>
      <c r="BF566" s="7"/>
      <c r="BG566" s="392"/>
      <c r="BH566" s="7"/>
      <c r="BI566" s="392">
        <f>BI415/100</f>
        <v>0.33652618135376761</v>
      </c>
      <c r="BJ566" s="7"/>
      <c r="BK566" s="392">
        <f>BK415/100</f>
        <v>0.34526254033440923</v>
      </c>
      <c r="BL566" s="7"/>
      <c r="BM566" s="392">
        <f>BM415/100</f>
        <v>0.33384520884520902</v>
      </c>
      <c r="BN566" s="7"/>
      <c r="BO566" s="392">
        <f>BO415/100</f>
        <v>0.32495164410058003</v>
      </c>
      <c r="BP566" s="7"/>
      <c r="BQ566" s="392">
        <f>BQ415/100</f>
        <v>0.34422588832487316</v>
      </c>
      <c r="BR566" s="7"/>
      <c r="BS566" s="392">
        <f>BS415/100</f>
        <v>0.33374498301945027</v>
      </c>
      <c r="BT566" s="7"/>
      <c r="BU566" s="392">
        <f>BU415/100</f>
        <v>0.33812949640287793</v>
      </c>
      <c r="BV566" s="7"/>
      <c r="BW566" s="392">
        <f>BW415/100</f>
        <v>0.32162834058421402</v>
      </c>
      <c r="BX566" s="7"/>
      <c r="BY566" s="392">
        <f>BY415/100</f>
        <v>0.33372537488973836</v>
      </c>
      <c r="BZ566" s="7"/>
      <c r="CA566" s="392">
        <f>CA415/100</f>
        <v>0.32334109429569269</v>
      </c>
      <c r="CB566" s="7"/>
      <c r="CC566" s="392">
        <f>CC415/100</f>
        <v>0.32415254237288127</v>
      </c>
      <c r="CD566" s="7"/>
      <c r="CE566" s="392">
        <f>CE415/100</f>
        <v>0.32302295918367313</v>
      </c>
      <c r="CF566" s="7"/>
      <c r="CG566" s="392">
        <f>CG415/100</f>
        <v>0.31574016239850106</v>
      </c>
      <c r="CH566" s="7"/>
      <c r="CI566" s="392">
        <f>CI415/100</f>
        <v>0.32100548974284876</v>
      </c>
      <c r="CJ566" s="7"/>
      <c r="CK566" s="392">
        <f>CK415/100</f>
        <v>0.30411728009981281</v>
      </c>
      <c r="CL566" s="7"/>
      <c r="CM566" s="392">
        <f>CM415/100</f>
        <v>0.40223735408560285</v>
      </c>
      <c r="CN566" s="7"/>
      <c r="CO566" s="392">
        <f>CO415/100</f>
        <v>0.31047865459249685</v>
      </c>
      <c r="CP566" s="7"/>
      <c r="CQ566" s="392">
        <f>CQ415/100</f>
        <v>0.27346017413737511</v>
      </c>
      <c r="CR566" s="7"/>
      <c r="CS566" s="392">
        <f>CS415/100</f>
        <v>0.27904731252011589</v>
      </c>
      <c r="CT566" s="7"/>
      <c r="CU566" s="392">
        <f>CU415/100</f>
        <v>0.27349047465288995</v>
      </c>
      <c r="CV566" s="7"/>
      <c r="CW566" s="392">
        <f>CW415/100</f>
        <v>0.31826923076923064</v>
      </c>
      <c r="CX566" s="7"/>
      <c r="CY566" s="392">
        <f>CY415/100</f>
        <v>0.31438551921244845</v>
      </c>
      <c r="CZ566" s="7"/>
      <c r="DA566" s="392">
        <f>DA415/100</f>
        <v>0.29962073324905181</v>
      </c>
      <c r="DB566" s="7"/>
      <c r="DC566" s="392">
        <f>DC415/100</f>
        <v>0.29227212681638048</v>
      </c>
      <c r="DD566" s="7"/>
      <c r="DE566" s="392">
        <f>DE415/100</f>
        <v>0.31486611265004638</v>
      </c>
      <c r="DF566" s="7"/>
      <c r="DG566" s="392">
        <f>DG415/100</f>
        <v>0.31970488779588069</v>
      </c>
      <c r="DH566" s="7"/>
      <c r="DI566" s="392">
        <f>DI415/100</f>
        <v>0.30926860025220676</v>
      </c>
      <c r="DJ566" s="7"/>
      <c r="DK566" s="392">
        <f>DK415/100</f>
        <v>0.38562617323679271</v>
      </c>
      <c r="DL566" s="7"/>
      <c r="DM566" s="392">
        <f>DM415/100</f>
        <v>0.29971724787935905</v>
      </c>
      <c r="DN566" s="7"/>
      <c r="DO566" s="392">
        <f>DO415/100</f>
        <v>0.30846394984326025</v>
      </c>
      <c r="DP566" s="7"/>
      <c r="DQ566" s="392">
        <f>DQ415/100</f>
        <v>0.32073732718893988</v>
      </c>
      <c r="DR566" s="7"/>
      <c r="DS566" s="392">
        <f>DS415/100</f>
        <v>0.28405887879736935</v>
      </c>
      <c r="DT566" s="7"/>
      <c r="DU566" s="392">
        <f>DU415/100</f>
        <v>0.30951647674776733</v>
      </c>
      <c r="DV566" s="7"/>
      <c r="DW566" s="392">
        <f>DW415/100</f>
        <v>0.30426993132278302</v>
      </c>
      <c r="DX566" s="7"/>
      <c r="DY566" s="392">
        <f>DY415/100</f>
        <v>0.28776082217377746</v>
      </c>
      <c r="DZ566" s="7"/>
      <c r="EA566" s="392">
        <f>EA415/100</f>
        <v>0.32992998833138854</v>
      </c>
      <c r="EB566" s="7"/>
      <c r="EC566" s="392">
        <f>EC415/100</f>
        <v>0.30538393645189782</v>
      </c>
      <c r="ED566" s="7"/>
      <c r="EE566" s="392">
        <f>EE415/100</f>
        <v>0.3199434229137198</v>
      </c>
      <c r="EF566" s="7"/>
      <c r="EG566" s="392">
        <f>EG415/100</f>
        <v>0.31116722783389461</v>
      </c>
      <c r="EH566" s="7"/>
      <c r="EI566" s="392">
        <f>EI415/100</f>
        <v>0.31992491284526697</v>
      </c>
      <c r="EJ566" s="7"/>
      <c r="EK566" s="392">
        <f t="shared" ref="EK566:EQ566" si="2321">EK415/100</f>
        <v>0.19500000000000001</v>
      </c>
      <c r="EL566" s="7"/>
      <c r="EM566" s="392">
        <f t="shared" si="2321"/>
        <v>0.19500000000000001</v>
      </c>
      <c r="EN566" s="7"/>
      <c r="EO566" s="392">
        <f t="shared" si="2321"/>
        <v>0.19500000000000001</v>
      </c>
      <c r="EP566" s="7"/>
      <c r="EQ566" s="392">
        <f t="shared" si="2321"/>
        <v>0.19500000000000001</v>
      </c>
      <c r="ER566" s="7"/>
      <c r="ES566" s="4"/>
      <c r="ET566" s="494"/>
      <c r="EU566" s="4"/>
      <c r="EV566" s="392"/>
      <c r="EW566" s="392"/>
      <c r="EX566" s="392"/>
      <c r="EY566" s="3"/>
      <c r="EZ566" s="392"/>
      <c r="FA566" s="3"/>
      <c r="FB566" s="392"/>
      <c r="FC566" s="3"/>
      <c r="FD566" s="392"/>
      <c r="FE566" s="3"/>
      <c r="FF566" s="392"/>
      <c r="FG566" s="3"/>
      <c r="FH566" s="392"/>
      <c r="FI566" s="3"/>
      <c r="FJ566" s="392"/>
      <c r="FK566" s="3"/>
      <c r="FL566" s="392"/>
      <c r="FM566" s="3"/>
      <c r="FN566" s="392"/>
      <c r="FO566" s="3"/>
      <c r="FP566" s="392">
        <f>+FP415/100</f>
        <v>0.33537483525854728</v>
      </c>
      <c r="FQ566" s="3"/>
      <c r="FR566" s="392">
        <f>+FR415/100</f>
        <v>0.34593978810882492</v>
      </c>
      <c r="FS566" s="3"/>
      <c r="FT566" s="392">
        <f>+FT415/100</f>
        <v>0.32612789033667267</v>
      </c>
      <c r="FU566" s="3"/>
      <c r="FV566" s="392">
        <f>+FV415/100</f>
        <v>0.16644150229667665</v>
      </c>
      <c r="FW566" s="3"/>
      <c r="FX566" s="392">
        <f>+FX415/100</f>
        <v>0.29829590699155845</v>
      </c>
      <c r="FY566" s="3"/>
      <c r="FZ566" s="392">
        <f>+FZ415/100</f>
        <v>0.30623545461840945</v>
      </c>
      <c r="GA566" s="3"/>
      <c r="GB566" s="392">
        <f>+GB415/100</f>
        <v>0.27014297729184183</v>
      </c>
      <c r="GC566" s="3"/>
      <c r="GD566" s="392">
        <f>+GD415/100</f>
        <v>0.30333047344200931</v>
      </c>
      <c r="GE566" s="3"/>
      <c r="GF566" s="392">
        <f>+GF415/100</f>
        <v>0.30819795995466537</v>
      </c>
      <c r="GG566" s="3"/>
      <c r="GH566" s="392">
        <f>+GH415/100</f>
        <v>0.31426161523863083</v>
      </c>
      <c r="GI566" s="3"/>
      <c r="GJ566" s="392">
        <f>+GJ415/100</f>
        <v>0.19499999999999992</v>
      </c>
      <c r="GK566" s="3"/>
      <c r="GL566" s="392">
        <f>+GL415/100</f>
        <v>0.19499999999999992</v>
      </c>
      <c r="GM566" s="3"/>
      <c r="GN566" s="392">
        <f>+GN415/100</f>
        <v>0.19499999999999992</v>
      </c>
      <c r="GO566" s="3"/>
      <c r="GP566" s="392">
        <f>+GP415/100</f>
        <v>0.19499999999999992</v>
      </c>
      <c r="GQ566" s="3"/>
      <c r="GR566" s="392">
        <f>+GR415/100</f>
        <v>0.19499999999999992</v>
      </c>
      <c r="GS566" s="3"/>
      <c r="GT566" s="3"/>
    </row>
    <row r="567" spans="1:286" ht="12.75" hidden="1" customHeight="1" outlineLevel="1" x14ac:dyDescent="0.2">
      <c r="A567" s="1"/>
      <c r="B567" s="10" t="s">
        <v>192</v>
      </c>
      <c r="C567" s="3"/>
      <c r="D567" s="3"/>
      <c r="E567" s="394"/>
      <c r="F567" s="4"/>
      <c r="G567" s="394"/>
      <c r="H567" s="4"/>
      <c r="I567" s="394"/>
      <c r="J567" s="4"/>
      <c r="K567" s="394"/>
      <c r="L567" s="3"/>
      <c r="M567" s="394"/>
      <c r="N567" s="3"/>
      <c r="O567" s="394"/>
      <c r="P567" s="3"/>
      <c r="Q567" s="394"/>
      <c r="R567" s="3"/>
      <c r="S567" s="394"/>
      <c r="T567" s="3"/>
      <c r="U567" s="394"/>
      <c r="V567" s="3"/>
      <c r="W567" s="394"/>
      <c r="X567" s="3"/>
      <c r="Y567" s="394"/>
      <c r="Z567" s="3"/>
      <c r="AA567" s="395"/>
      <c r="AB567" s="3"/>
      <c r="AC567" s="394"/>
      <c r="AD567" s="3"/>
      <c r="AE567" s="392"/>
      <c r="AF567" s="3"/>
      <c r="AG567" s="394"/>
      <c r="AH567" s="3"/>
      <c r="AI567" s="394"/>
      <c r="AJ567" s="3"/>
      <c r="AK567" s="394"/>
      <c r="AL567" s="3"/>
      <c r="AM567" s="394"/>
      <c r="AN567" s="3"/>
      <c r="AO567" s="394"/>
      <c r="AP567" s="3"/>
      <c r="AQ567" s="394"/>
      <c r="AR567" s="3"/>
      <c r="AS567" s="394"/>
      <c r="AT567" s="7"/>
      <c r="AU567" s="394"/>
      <c r="AV567" s="7"/>
      <c r="AW567" s="394"/>
      <c r="AX567" s="7"/>
      <c r="AY567" s="394"/>
      <c r="AZ567" s="7"/>
      <c r="BA567" s="394"/>
      <c r="BB567" s="7"/>
      <c r="BC567" s="394"/>
      <c r="BD567" s="7"/>
      <c r="BE567" s="394"/>
      <c r="BF567" s="7"/>
      <c r="BG567" s="394"/>
      <c r="BH567" s="7"/>
      <c r="BI567" s="394">
        <f>BI482</f>
        <v>346.29318599999999</v>
      </c>
      <c r="BJ567" s="7"/>
      <c r="BK567" s="394">
        <f>BK482</f>
        <v>345.45389899999998</v>
      </c>
      <c r="BL567" s="7"/>
      <c r="BM567" s="394">
        <f>BM482</f>
        <v>333.05986000000001</v>
      </c>
      <c r="BN567" s="7"/>
      <c r="BO567" s="396">
        <f>BO482</f>
        <v>331.12034499999999</v>
      </c>
      <c r="BP567" s="7"/>
      <c r="BQ567" s="394">
        <f>BQ482</f>
        <v>331.20752700000003</v>
      </c>
      <c r="BR567" s="7"/>
      <c r="BS567" s="394">
        <f>BS482</f>
        <v>331.32810899999998</v>
      </c>
      <c r="BT567" s="7"/>
      <c r="BU567" s="394">
        <f>BU482</f>
        <v>331.63181900000001</v>
      </c>
      <c r="BV567" s="7"/>
      <c r="BW567" s="394">
        <f>BW482</f>
        <v>331.80924700000003</v>
      </c>
      <c r="BX567" s="7"/>
      <c r="BY567" s="394">
        <f>BY482</f>
        <v>332.77545199999997</v>
      </c>
      <c r="BZ567" s="7"/>
      <c r="CA567" s="394">
        <f>CA482</f>
        <v>327.14199300000001</v>
      </c>
      <c r="CB567" s="7"/>
      <c r="CC567" s="394">
        <f>CC482</f>
        <v>317.79000000000002</v>
      </c>
      <c r="CD567" s="7"/>
      <c r="CE567" s="394">
        <f>CE482</f>
        <v>316.57345199999997</v>
      </c>
      <c r="CF567" s="7"/>
      <c r="CG567" s="394">
        <f>CG482</f>
        <v>308.96623699999998</v>
      </c>
      <c r="CH567" s="7"/>
      <c r="CI567" s="394">
        <f>CI482</f>
        <v>303.38691399999999</v>
      </c>
      <c r="CJ567" s="7"/>
      <c r="CK567" s="394">
        <f>CK482</f>
        <v>292.33694500000001</v>
      </c>
      <c r="CL567" s="7"/>
      <c r="CM567" s="394">
        <f>CM482</f>
        <v>292.71595400000001</v>
      </c>
      <c r="CN567" s="7"/>
      <c r="CO567" s="394">
        <f>CO482</f>
        <v>285.81240100000002</v>
      </c>
      <c r="CP567" s="7"/>
      <c r="CQ567" s="394">
        <f>CQ482</f>
        <v>280.04681299999999</v>
      </c>
      <c r="CR567" s="7"/>
      <c r="CS567" s="394">
        <f>CS482</f>
        <v>275.08528699999999</v>
      </c>
      <c r="CT567" s="7"/>
      <c r="CU567" s="394">
        <f>CU482</f>
        <v>270.20518499999997</v>
      </c>
      <c r="CV567" s="7"/>
      <c r="CW567" s="394">
        <f>CW482</f>
        <v>266.96779800000002</v>
      </c>
      <c r="CX567" s="7"/>
      <c r="CY567" s="394">
        <f>CY482</f>
        <v>263.56494099999998</v>
      </c>
      <c r="CZ567" s="7"/>
      <c r="DA567" s="394">
        <f>DA482</f>
        <v>261.13963799999999</v>
      </c>
      <c r="DB567" s="7"/>
      <c r="DC567" s="394">
        <f>DC482</f>
        <v>260</v>
      </c>
      <c r="DD567" s="7"/>
      <c r="DE567" s="394">
        <f>DE482</f>
        <v>257.60000000000002</v>
      </c>
      <c r="DF567" s="7"/>
      <c r="DG567" s="394">
        <f>DG482</f>
        <v>254.8</v>
      </c>
      <c r="DH567" s="7"/>
      <c r="DI567" s="394">
        <f>DI482</f>
        <v>251.9</v>
      </c>
      <c r="DJ567" s="7"/>
      <c r="DK567" s="394">
        <f>DK482</f>
        <v>252.3</v>
      </c>
      <c r="DL567" s="7"/>
      <c r="DM567" s="394">
        <f>DM482</f>
        <v>249.5</v>
      </c>
      <c r="DN567" s="7"/>
      <c r="DO567" s="394">
        <f>DO482</f>
        <v>246.6</v>
      </c>
      <c r="DP567" s="7"/>
      <c r="DQ567" s="394">
        <f>DQ482</f>
        <v>243.4</v>
      </c>
      <c r="DR567" s="7"/>
      <c r="DS567" s="394">
        <f>DS482</f>
        <v>240.9</v>
      </c>
      <c r="DT567" s="7"/>
      <c r="DU567" s="394">
        <f>DU482</f>
        <v>237.74</v>
      </c>
      <c r="DV567" s="7"/>
      <c r="DW567" s="394">
        <f>DW482</f>
        <v>235.03</v>
      </c>
      <c r="DX567" s="7"/>
      <c r="DY567" s="394">
        <f>DY482</f>
        <v>232.1</v>
      </c>
      <c r="DZ567" s="7"/>
      <c r="EA567" s="394">
        <f>EA482</f>
        <v>229.8</v>
      </c>
      <c r="EB567" s="7"/>
      <c r="EC567" s="394">
        <f>EC482</f>
        <v>228.1</v>
      </c>
      <c r="ED567" s="7"/>
      <c r="EE567" s="394">
        <f>EE482</f>
        <v>226.1</v>
      </c>
      <c r="EF567" s="7"/>
      <c r="EG567" s="394">
        <f>EG482</f>
        <v>224.4</v>
      </c>
      <c r="EH567" s="7"/>
      <c r="EI567" s="394">
        <f>EI482</f>
        <v>222.5</v>
      </c>
      <c r="EJ567" s="7"/>
      <c r="EK567" s="394">
        <f t="shared" ref="EK567:EQ567" si="2322">EK482</f>
        <v>220.58610041249085</v>
      </c>
      <c r="EL567" s="7"/>
      <c r="EM567" s="394">
        <f t="shared" si="2322"/>
        <v>218.70159539260493</v>
      </c>
      <c r="EN567" s="7"/>
      <c r="EO567" s="394">
        <f t="shared" si="2322"/>
        <v>216.84496852416888</v>
      </c>
      <c r="EP567" s="7"/>
      <c r="EQ567" s="394">
        <f t="shared" si="2322"/>
        <v>215.01594026899684</v>
      </c>
      <c r="ER567" s="7"/>
      <c r="ES567" s="4"/>
      <c r="ET567" s="494"/>
      <c r="EU567" s="4"/>
      <c r="EV567" s="392"/>
      <c r="EW567" s="392"/>
      <c r="EX567" s="392"/>
      <c r="EY567" s="3"/>
      <c r="EZ567" s="392"/>
      <c r="FA567" s="3"/>
      <c r="FB567" s="394"/>
      <c r="FC567" s="3"/>
      <c r="FD567" s="394"/>
      <c r="FE567" s="3"/>
      <c r="FF567" s="394"/>
      <c r="FG567" s="3"/>
      <c r="FH567" s="394"/>
      <c r="FI567" s="3"/>
      <c r="FJ567" s="394"/>
      <c r="FK567" s="3"/>
      <c r="FL567" s="394"/>
      <c r="FM567" s="3"/>
      <c r="FN567" s="394"/>
      <c r="FO567" s="3"/>
      <c r="FP567" s="394">
        <f>FP482</f>
        <v>331.12034499999999</v>
      </c>
      <c r="FQ567" s="3"/>
      <c r="FR567" s="394">
        <f>FR482</f>
        <v>331.80924700000003</v>
      </c>
      <c r="FS567" s="3"/>
      <c r="FT567" s="394">
        <f>FT482</f>
        <v>316.57345199999997</v>
      </c>
      <c r="FU567" s="3"/>
      <c r="FV567" s="394">
        <f>FV482</f>
        <v>292.71595400000001</v>
      </c>
      <c r="FW567" s="3"/>
      <c r="FX567" s="394">
        <f>FX482</f>
        <v>270.20518499999997</v>
      </c>
      <c r="FY567" s="3"/>
      <c r="FZ567" s="394">
        <f>FZ482</f>
        <v>260</v>
      </c>
      <c r="GA567" s="3"/>
      <c r="GB567" s="394">
        <f>GB482</f>
        <v>252.3</v>
      </c>
      <c r="GC567" s="3"/>
      <c r="GD567" s="394">
        <f>GD482</f>
        <v>240.9</v>
      </c>
      <c r="GE567" s="3"/>
      <c r="GF567" s="394">
        <f>GF482</f>
        <v>229.8</v>
      </c>
      <c r="GG567" s="3"/>
      <c r="GH567" s="394">
        <f>GH482</f>
        <v>222.5</v>
      </c>
      <c r="GI567" s="3"/>
      <c r="GJ567" s="394">
        <f>GJ482</f>
        <v>215.01594026899684</v>
      </c>
      <c r="GK567" s="3"/>
      <c r="GL567" s="394">
        <f>GL482</f>
        <v>207.95519354645614</v>
      </c>
      <c r="GM567" s="3"/>
      <c r="GN567" s="394">
        <f>GN482</f>
        <v>200.87028269362995</v>
      </c>
      <c r="GO567" s="3"/>
      <c r="GP567" s="394">
        <f>GP482</f>
        <v>194.17412274517872</v>
      </c>
      <c r="GQ567" s="3"/>
      <c r="GR567" s="394">
        <f>GR482</f>
        <v>187.46758994469889</v>
      </c>
      <c r="GS567" s="3"/>
      <c r="GT567" s="3"/>
    </row>
    <row r="568" spans="1:286" ht="12.75" hidden="1" customHeight="1" outlineLevel="1" x14ac:dyDescent="0.2">
      <c r="A568" s="1"/>
      <c r="B568" s="2" t="s">
        <v>70</v>
      </c>
      <c r="C568" s="3"/>
      <c r="D568" s="3"/>
      <c r="E568" s="4"/>
      <c r="F568" s="4"/>
      <c r="G568" s="4"/>
      <c r="H568" s="4"/>
      <c r="I568" s="4"/>
      <c r="J568" s="4"/>
      <c r="K568" s="4"/>
      <c r="L568" s="4"/>
      <c r="M568" s="4"/>
      <c r="N568" s="3"/>
      <c r="O568" s="4"/>
      <c r="P568" s="3"/>
      <c r="Q568" s="4"/>
      <c r="R568" s="3"/>
      <c r="S568" s="4"/>
      <c r="T568" s="3"/>
      <c r="U568" s="391"/>
      <c r="V568" s="3"/>
      <c r="W568" s="192"/>
      <c r="X568" s="3"/>
      <c r="Y568" s="4"/>
      <c r="Z568" s="5"/>
      <c r="AA568" s="397"/>
      <c r="AB568" s="3"/>
      <c r="AC568" s="391"/>
      <c r="AD568" s="7"/>
      <c r="AE568" s="391"/>
      <c r="AF568" s="7"/>
      <c r="AG568" s="391"/>
      <c r="AH568" s="7"/>
      <c r="AI568" s="391"/>
      <c r="AJ568" s="7"/>
      <c r="AK568" s="391"/>
      <c r="AL568" s="7"/>
      <c r="AM568" s="391"/>
      <c r="AN568" s="7"/>
      <c r="AO568" s="391"/>
      <c r="AP568" s="7"/>
      <c r="AQ568" s="391"/>
      <c r="AR568" s="7"/>
      <c r="AS568" s="391"/>
      <c r="AT568" s="7"/>
      <c r="AU568" s="391"/>
      <c r="AV568" s="7"/>
      <c r="AW568" s="391"/>
      <c r="AX568" s="7"/>
      <c r="AY568" s="391"/>
      <c r="AZ568" s="7"/>
      <c r="BA568" s="391"/>
      <c r="BB568" s="7"/>
      <c r="BC568" s="391"/>
      <c r="BD568" s="7"/>
      <c r="BE568" s="391"/>
      <c r="BF568" s="7"/>
      <c r="BG568" s="391"/>
      <c r="BH568" s="7"/>
      <c r="BI568" s="391">
        <f>BI485</f>
        <v>351.46582100000001</v>
      </c>
      <c r="BJ568" s="7"/>
      <c r="BK568" s="391">
        <f>BK485</f>
        <v>346.03541999999999</v>
      </c>
      <c r="BL568" s="7"/>
      <c r="BM568" s="391">
        <f>BM485</f>
        <v>337.91277000000002</v>
      </c>
      <c r="BN568" s="7"/>
      <c r="BO568" s="398">
        <f>BO485</f>
        <v>330.981471</v>
      </c>
      <c r="BP568" s="7"/>
      <c r="BQ568" s="391">
        <f>BQ485</f>
        <v>330.96451400000001</v>
      </c>
      <c r="BR568" s="7"/>
      <c r="BS568" s="391">
        <f>BS485</f>
        <v>331.95522499999998</v>
      </c>
      <c r="BT568" s="7"/>
      <c r="BU568" s="391">
        <f>BU485</f>
        <v>332.62214799999998</v>
      </c>
      <c r="BV568" s="7"/>
      <c r="BW568" s="391">
        <f>BW485</f>
        <v>332.99847999999997</v>
      </c>
      <c r="BX568" s="7"/>
      <c r="BY568" s="391">
        <f>BY485</f>
        <v>333.52470799999998</v>
      </c>
      <c r="BZ568" s="7"/>
      <c r="CA568" s="391">
        <f>CA485</f>
        <v>333.07749000000001</v>
      </c>
      <c r="CB568" s="7"/>
      <c r="CC568" s="391">
        <f>CC485</f>
        <v>324.46697999999998</v>
      </c>
      <c r="CD568" s="7"/>
      <c r="CE568" s="391">
        <f>CE485</f>
        <v>318.46294</v>
      </c>
      <c r="CF568" s="7"/>
      <c r="CG568" s="391">
        <f>CG485</f>
        <v>314.33231699999999</v>
      </c>
      <c r="CH568" s="7"/>
      <c r="CI568" s="391">
        <f>CI485</f>
        <v>307.41096399999998</v>
      </c>
      <c r="CJ568" s="7"/>
      <c r="CK568" s="391">
        <f>CK485</f>
        <v>299.17290000000003</v>
      </c>
      <c r="CL568" s="7"/>
      <c r="CM568" s="391">
        <f>CM485</f>
        <v>303.571033</v>
      </c>
      <c r="CN568" s="7"/>
      <c r="CO568" s="391">
        <f>CO485</f>
        <v>291.28403600000001</v>
      </c>
      <c r="CP568" s="7"/>
      <c r="CQ568" s="391">
        <f>CQ485</f>
        <v>283.74063200000001</v>
      </c>
      <c r="CR568" s="7"/>
      <c r="CS568" s="391">
        <f>CS485</f>
        <v>278.51103899999998</v>
      </c>
      <c r="CT568" s="7"/>
      <c r="CU568" s="391">
        <f>CU485</f>
        <v>273.60000000000002</v>
      </c>
      <c r="CV568" s="7"/>
      <c r="CW568" s="391">
        <f>CW485</f>
        <v>270.35439500000001</v>
      </c>
      <c r="CX568" s="7"/>
      <c r="CY568" s="391">
        <f>CY485</f>
        <v>266.73630200000002</v>
      </c>
      <c r="CZ568" s="7"/>
      <c r="DA568" s="391">
        <f>DA485</f>
        <v>264.26004499999999</v>
      </c>
      <c r="DB568" s="7"/>
      <c r="DC568" s="391">
        <f>DC485</f>
        <v>262.60000000000002</v>
      </c>
      <c r="DD568" s="7"/>
      <c r="DE568" s="391">
        <f>DE485</f>
        <v>260.7</v>
      </c>
      <c r="DF568" s="7"/>
      <c r="DG568" s="391">
        <f>DG485</f>
        <v>257.89999999999998</v>
      </c>
      <c r="DH568" s="7"/>
      <c r="DI568" s="391">
        <f>DI485</f>
        <v>254.8</v>
      </c>
      <c r="DJ568" s="7"/>
      <c r="DK568" s="391">
        <f>DK485</f>
        <v>252.4</v>
      </c>
      <c r="DL568" s="7"/>
      <c r="DM568" s="391">
        <f>DM485</f>
        <v>252.2</v>
      </c>
      <c r="DN568" s="7"/>
      <c r="DO568" s="391">
        <f>DO485</f>
        <v>249.3</v>
      </c>
      <c r="DP568" s="7"/>
      <c r="DQ568" s="391">
        <f>DQ485</f>
        <v>246.3</v>
      </c>
      <c r="DR568" s="7"/>
      <c r="DS568" s="391">
        <f>DS485</f>
        <v>243.8</v>
      </c>
      <c r="DT568" s="7"/>
      <c r="DU568" s="391">
        <f>DU485</f>
        <v>239.7</v>
      </c>
      <c r="DV568" s="7"/>
      <c r="DW568" s="391">
        <f>DW485</f>
        <v>237.3</v>
      </c>
      <c r="DX568" s="7"/>
      <c r="DY568" s="391">
        <f>DY485</f>
        <v>234.2</v>
      </c>
      <c r="DZ568" s="7"/>
      <c r="EA568" s="391">
        <f>EA485</f>
        <v>232.4</v>
      </c>
      <c r="EB568" s="7"/>
      <c r="EC568" s="391">
        <f>EC485</f>
        <v>230.4</v>
      </c>
      <c r="ED568" s="7"/>
      <c r="EE568" s="391">
        <f>EE485</f>
        <v>228.2</v>
      </c>
      <c r="EF568" s="7"/>
      <c r="EG568" s="391">
        <f>EG485</f>
        <v>226</v>
      </c>
      <c r="EH568" s="7"/>
      <c r="EI568" s="391">
        <f>EI485</f>
        <v>224.8</v>
      </c>
      <c r="EJ568" s="7"/>
      <c r="EK568" s="391">
        <f t="shared" ref="EK568:EQ568" si="2323">EK485</f>
        <v>221.9430502062454</v>
      </c>
      <c r="EL568" s="7"/>
      <c r="EM568" s="391">
        <f t="shared" si="2323"/>
        <v>220.04384790254787</v>
      </c>
      <c r="EN568" s="7"/>
      <c r="EO568" s="391">
        <f t="shared" si="2323"/>
        <v>218.17328195838689</v>
      </c>
      <c r="EP568" s="7"/>
      <c r="EQ568" s="391">
        <f t="shared" si="2323"/>
        <v>216.33045439658284</v>
      </c>
      <c r="ER568" s="7"/>
      <c r="ES568" s="391"/>
      <c r="ET568" s="494"/>
      <c r="EU568" s="391"/>
      <c r="EV568" s="391"/>
      <c r="EW568" s="7"/>
      <c r="EX568" s="391"/>
      <c r="EY568" s="7"/>
      <c r="EZ568" s="391"/>
      <c r="FA568" s="7"/>
      <c r="FB568" s="391"/>
      <c r="FC568" s="7"/>
      <c r="FD568" s="391"/>
      <c r="FE568" s="7"/>
      <c r="FF568" s="391"/>
      <c r="FG568" s="7"/>
      <c r="FH568" s="391"/>
      <c r="FI568" s="7"/>
      <c r="FJ568" s="391"/>
      <c r="FK568" s="7"/>
      <c r="FL568" s="391"/>
      <c r="FM568" s="7"/>
      <c r="FN568" s="391"/>
      <c r="FO568" s="7"/>
      <c r="FP568" s="391">
        <f>FP416/FP488</f>
        <v>341.55378486055776</v>
      </c>
      <c r="FQ568" s="7"/>
      <c r="FR568" s="391">
        <f>FR485</f>
        <v>332.13509174999996</v>
      </c>
      <c r="FS568" s="7"/>
      <c r="FT568" s="391">
        <f>FT485</f>
        <v>327.38302949999996</v>
      </c>
      <c r="FU568" s="7"/>
      <c r="FV568" s="391">
        <f>FV485</f>
        <v>306.1218035</v>
      </c>
      <c r="FW568" s="7"/>
      <c r="FX568" s="391">
        <f>FX485</f>
        <v>281.78392674999998</v>
      </c>
      <c r="FY568" s="7"/>
      <c r="FZ568" s="391">
        <f>FZ485</f>
        <v>265.9876855</v>
      </c>
      <c r="GA568" s="7"/>
      <c r="GB568" s="391">
        <f>GB485</f>
        <v>256.45</v>
      </c>
      <c r="GC568" s="7"/>
      <c r="GD568" s="391">
        <f>GD485</f>
        <v>247.89999999999998</v>
      </c>
      <c r="GE568" s="7"/>
      <c r="GF568" s="391">
        <f>GF485</f>
        <v>235.90000000000003</v>
      </c>
      <c r="GG568" s="7"/>
      <c r="GH568" s="391">
        <f>GH485</f>
        <v>227.35</v>
      </c>
      <c r="GI568" s="7"/>
      <c r="GJ568" s="391">
        <f>GJ485</f>
        <v>219.12265861594074</v>
      </c>
      <c r="GK568" s="7"/>
      <c r="GL568" s="391">
        <f>GL485</f>
        <v>211.88556690772648</v>
      </c>
      <c r="GM568" s="7"/>
      <c r="GN568" s="391">
        <f>GN485</f>
        <v>204.81273812004304</v>
      </c>
      <c r="GO568" s="7"/>
      <c r="GP568" s="391">
        <f>GP485</f>
        <v>197.92220271940431</v>
      </c>
      <c r="GQ568" s="7"/>
      <c r="GR568" s="391">
        <f>GR485</f>
        <v>190.68433372090038</v>
      </c>
      <c r="GS568" s="7"/>
      <c r="GT568" s="3"/>
    </row>
    <row r="569" spans="1:286" ht="12.75" hidden="1" customHeight="1" outlineLevel="1" x14ac:dyDescent="0.2">
      <c r="A569" s="1"/>
      <c r="B569" s="2"/>
      <c r="C569" s="3"/>
      <c r="D569" s="3"/>
      <c r="E569" s="4"/>
      <c r="F569" s="4"/>
      <c r="G569" s="4"/>
      <c r="H569" s="4"/>
      <c r="I569" s="4"/>
      <c r="J569" s="4"/>
      <c r="K569" s="4"/>
      <c r="L569" s="4"/>
      <c r="M569" s="4"/>
      <c r="N569" s="3"/>
      <c r="O569" s="4"/>
      <c r="P569" s="3"/>
      <c r="Q569" s="4"/>
      <c r="R569" s="3"/>
      <c r="S569" s="4"/>
      <c r="T569" s="3"/>
      <c r="U569" s="4"/>
      <c r="V569" s="3"/>
      <c r="W569" s="78"/>
      <c r="X569" s="3"/>
      <c r="Y569" s="4"/>
      <c r="Z569" s="5"/>
      <c r="AA569" s="14"/>
      <c r="AB569" s="3"/>
      <c r="AC569" s="4"/>
      <c r="AD569" s="3"/>
      <c r="AE569" s="4"/>
      <c r="AF569" s="3"/>
      <c r="AG569" s="4"/>
      <c r="AH569" s="3"/>
      <c r="AI569" s="4"/>
      <c r="AJ569" s="3"/>
      <c r="AK569" s="4"/>
      <c r="AL569" s="3"/>
      <c r="AM569" s="4"/>
      <c r="AN569" s="3"/>
      <c r="AO569" s="4"/>
      <c r="AP569" s="3"/>
      <c r="AQ569" s="4"/>
      <c r="AR569" s="3"/>
      <c r="AS569" s="4"/>
      <c r="AT569" s="7"/>
      <c r="AU569" s="4"/>
      <c r="AV569" s="7"/>
      <c r="AW569" s="4"/>
      <c r="AX569" s="7"/>
      <c r="AY569" s="4"/>
      <c r="AZ569" s="7"/>
      <c r="BA569" s="4"/>
      <c r="BB569" s="7"/>
      <c r="BC569" s="4"/>
      <c r="BD569" s="7"/>
      <c r="BE569" s="4"/>
      <c r="BF569" s="7"/>
      <c r="BG569" s="4"/>
      <c r="BH569" s="7"/>
      <c r="BI569" s="4"/>
      <c r="BJ569" s="7"/>
      <c r="BK569" s="4"/>
      <c r="BL569" s="7"/>
      <c r="BM569" s="4"/>
      <c r="BN569" s="7"/>
      <c r="BO569" s="4"/>
      <c r="BP569" s="7"/>
      <c r="BQ569" s="4"/>
      <c r="BR569" s="7"/>
      <c r="BS569" s="4"/>
      <c r="BT569" s="7"/>
      <c r="BU569" s="4"/>
      <c r="BV569" s="7"/>
      <c r="BW569" s="4"/>
      <c r="BX569" s="7"/>
      <c r="BY569" s="4"/>
      <c r="BZ569" s="7"/>
      <c r="CA569" s="4"/>
      <c r="CB569" s="7"/>
      <c r="CC569" s="4"/>
      <c r="CD569" s="7"/>
      <c r="CE569" s="4"/>
      <c r="CF569" s="7"/>
      <c r="CG569" s="4"/>
      <c r="CH569" s="7"/>
      <c r="CI569" s="4"/>
      <c r="CJ569" s="7"/>
      <c r="CK569" s="4"/>
      <c r="CL569" s="7"/>
      <c r="CM569" s="4"/>
      <c r="CN569" s="7"/>
      <c r="CO569" s="4"/>
      <c r="CP569" s="7"/>
      <c r="CQ569" s="4"/>
      <c r="CR569" s="7"/>
      <c r="CS569" s="4"/>
      <c r="CT569" s="7"/>
      <c r="CU569" s="4"/>
      <c r="CV569" s="7"/>
      <c r="CW569" s="4"/>
      <c r="CX569" s="7"/>
      <c r="CY569" s="4"/>
      <c r="CZ569" s="7"/>
      <c r="DA569" s="4"/>
      <c r="DB569" s="7"/>
      <c r="DC569" s="4"/>
      <c r="DD569" s="7"/>
      <c r="DE569" s="4"/>
      <c r="DF569" s="7"/>
      <c r="DG569" s="4"/>
      <c r="DH569" s="7"/>
      <c r="DI569" s="4"/>
      <c r="DJ569" s="7"/>
      <c r="DK569" s="4"/>
      <c r="DL569" s="7"/>
      <c r="DM569" s="4"/>
      <c r="DN569" s="7"/>
      <c r="DO569" s="4"/>
      <c r="DP569" s="7"/>
      <c r="DQ569" s="4"/>
      <c r="DR569" s="7"/>
      <c r="DS569" s="4"/>
      <c r="DT569" s="7"/>
      <c r="DU569" s="4"/>
      <c r="DV569" s="7"/>
      <c r="DW569" s="4"/>
      <c r="DX569" s="7"/>
      <c r="DY569" s="4"/>
      <c r="DZ569" s="7"/>
      <c r="EA569" s="4"/>
      <c r="EB569" s="7"/>
      <c r="EC569" s="4"/>
      <c r="ED569" s="7"/>
      <c r="EE569" s="4"/>
      <c r="EF569" s="7"/>
      <c r="EG569" s="4"/>
      <c r="EH569" s="7"/>
      <c r="EI569" s="4"/>
      <c r="EJ569" s="7"/>
      <c r="EK569" s="4"/>
      <c r="EL569" s="7"/>
      <c r="EM569" s="4"/>
      <c r="EN569" s="7"/>
      <c r="EO569" s="4"/>
      <c r="EP569" s="7"/>
      <c r="EQ569" s="4"/>
      <c r="ER569" s="7"/>
      <c r="ES569" s="4"/>
      <c r="ET569" s="494"/>
      <c r="EU569" s="4"/>
      <c r="EV569" s="4"/>
      <c r="EW569" s="3"/>
      <c r="EX569" s="4"/>
      <c r="EY569" s="3"/>
      <c r="EZ569" s="4"/>
      <c r="FA569" s="3"/>
      <c r="FB569" s="4"/>
      <c r="FC569" s="3"/>
      <c r="FD569" s="4"/>
      <c r="FE569" s="3"/>
      <c r="FF569" s="78"/>
      <c r="FG569" s="3"/>
      <c r="FH569" s="78"/>
      <c r="FI569" s="3"/>
      <c r="FJ569" s="4"/>
      <c r="FK569" s="3"/>
      <c r="FL569" s="4"/>
      <c r="FM569" s="3"/>
      <c r="FN569" s="4"/>
      <c r="FO569" s="3"/>
      <c r="FP569" s="4"/>
      <c r="FQ569" s="3"/>
      <c r="FR569" s="4"/>
      <c r="FS569" s="3"/>
      <c r="FT569" s="4"/>
      <c r="FU569" s="3"/>
      <c r="FV569" s="4"/>
      <c r="FW569" s="3"/>
      <c r="FX569" s="4"/>
      <c r="FY569" s="3"/>
      <c r="FZ569" s="4"/>
      <c r="GA569" s="3"/>
      <c r="GB569" s="4"/>
      <c r="GC569" s="3"/>
      <c r="GD569" s="4"/>
      <c r="GE569" s="3"/>
      <c r="GF569" s="4"/>
      <c r="GG569" s="3"/>
      <c r="GH569" s="4"/>
      <c r="GI569" s="3"/>
      <c r="GJ569" s="4"/>
      <c r="GK569" s="3"/>
      <c r="GL569" s="4"/>
      <c r="GM569" s="3"/>
      <c r="GN569" s="4"/>
      <c r="GO569" s="3"/>
      <c r="GP569" s="4"/>
      <c r="GQ569" s="3"/>
      <c r="GR569" s="4"/>
      <c r="GS569" s="3"/>
      <c r="GT569" s="3"/>
    </row>
    <row r="570" spans="1:286" ht="12.75" hidden="1" customHeight="1" outlineLevel="1" x14ac:dyDescent="0.2">
      <c r="A570" s="1"/>
      <c r="B570" s="68" t="s">
        <v>368</v>
      </c>
      <c r="C570" s="3"/>
      <c r="D570" s="3"/>
      <c r="E570" s="4"/>
      <c r="F570" s="4"/>
      <c r="G570" s="4"/>
      <c r="H570" s="4"/>
      <c r="I570" s="4"/>
      <c r="J570" s="4"/>
      <c r="K570" s="4"/>
      <c r="L570" s="4"/>
      <c r="M570" s="4"/>
      <c r="N570" s="3"/>
      <c r="O570" s="4"/>
      <c r="P570" s="3"/>
      <c r="Q570" s="4"/>
      <c r="R570" s="3"/>
      <c r="S570" s="4"/>
      <c r="T570" s="3"/>
      <c r="U570" s="4"/>
      <c r="V570" s="3"/>
      <c r="W570" s="78"/>
      <c r="X570" s="3"/>
      <c r="Y570" s="4"/>
      <c r="Z570" s="5"/>
      <c r="AA570" s="14"/>
      <c r="AB570" s="3"/>
      <c r="AC570" s="4"/>
      <c r="AD570" s="3"/>
      <c r="AE570" s="4"/>
      <c r="AF570" s="3"/>
      <c r="AG570" s="4"/>
      <c r="AH570" s="3"/>
      <c r="AI570" s="4"/>
      <c r="AJ570" s="3"/>
      <c r="AK570" s="4"/>
      <c r="AL570" s="3"/>
      <c r="AM570" s="4"/>
      <c r="AN570" s="3"/>
      <c r="AO570" s="4"/>
      <c r="AP570" s="3"/>
      <c r="AQ570" s="4"/>
      <c r="AR570" s="3"/>
      <c r="AS570" s="4"/>
      <c r="AT570" s="7"/>
      <c r="AU570" s="4"/>
      <c r="AV570" s="7"/>
      <c r="AW570" s="4"/>
      <c r="AX570" s="7"/>
      <c r="AY570" s="4"/>
      <c r="AZ570" s="7"/>
      <c r="BA570" s="4"/>
      <c r="BB570" s="7"/>
      <c r="BC570" s="4"/>
      <c r="BD570" s="7"/>
      <c r="BE570" s="4"/>
      <c r="BF570" s="7"/>
      <c r="BG570" s="4"/>
      <c r="BH570" s="7"/>
      <c r="BI570" s="4"/>
      <c r="BJ570" s="7"/>
      <c r="BK570" s="4"/>
      <c r="BL570" s="7"/>
      <c r="BM570" s="4"/>
      <c r="BN570" s="7"/>
      <c r="BO570" s="4"/>
      <c r="BP570" s="7"/>
      <c r="BQ570" s="4"/>
      <c r="BR570" s="7"/>
      <c r="BS570" s="4"/>
      <c r="BT570" s="7"/>
      <c r="BU570" s="4"/>
      <c r="BV570" s="7"/>
      <c r="BW570" s="4"/>
      <c r="BX570" s="7"/>
      <c r="BY570" s="4"/>
      <c r="BZ570" s="7"/>
      <c r="CA570" s="4"/>
      <c r="CB570" s="7"/>
      <c r="CC570" s="4"/>
      <c r="CD570" s="7"/>
      <c r="CE570" s="4"/>
      <c r="CF570" s="7"/>
      <c r="CG570" s="4"/>
      <c r="CH570" s="7"/>
      <c r="CI570" s="4"/>
      <c r="CJ570" s="7"/>
      <c r="CK570" s="4"/>
      <c r="CL570" s="7"/>
      <c r="CM570" s="4"/>
      <c r="CN570" s="7"/>
      <c r="CO570" s="4"/>
      <c r="CP570" s="7"/>
      <c r="CQ570" s="4"/>
      <c r="CR570" s="7"/>
      <c r="CS570" s="4"/>
      <c r="CT570" s="7"/>
      <c r="CU570" s="4"/>
      <c r="CV570" s="7"/>
      <c r="CW570" s="4"/>
      <c r="CX570" s="7"/>
      <c r="CY570" s="4"/>
      <c r="CZ570" s="7"/>
      <c r="DA570" s="4"/>
      <c r="DB570" s="7"/>
      <c r="DC570" s="4"/>
      <c r="DD570" s="7"/>
      <c r="DE570" s="4"/>
      <c r="DF570" s="7"/>
      <c r="DG570" s="4"/>
      <c r="DH570" s="7"/>
      <c r="DI570" s="4"/>
      <c r="DJ570" s="7"/>
      <c r="DK570" s="4"/>
      <c r="DL570" s="7"/>
      <c r="DM570" s="4"/>
      <c r="DN570" s="7"/>
      <c r="DO570" s="4"/>
      <c r="DP570" s="7"/>
      <c r="DQ570" s="4"/>
      <c r="DR570" s="7"/>
      <c r="DS570" s="4"/>
      <c r="DT570" s="7"/>
      <c r="DU570" s="4"/>
      <c r="DV570" s="7"/>
      <c r="DW570" s="4"/>
      <c r="DX570" s="7"/>
      <c r="DY570" s="4"/>
      <c r="DZ570" s="7"/>
      <c r="EA570" s="4"/>
      <c r="EB570" s="7"/>
      <c r="EC570" s="4"/>
      <c r="ED570" s="7"/>
      <c r="EE570" s="4"/>
      <c r="EF570" s="7"/>
      <c r="EG570" s="4"/>
      <c r="EH570" s="7"/>
      <c r="EI570" s="4"/>
      <c r="EJ570" s="7"/>
      <c r="EK570" s="4"/>
      <c r="EL570" s="7"/>
      <c r="EM570" s="4"/>
      <c r="EN570" s="7"/>
      <c r="EO570" s="4"/>
      <c r="EP570" s="7"/>
      <c r="EQ570" s="4"/>
      <c r="ER570" s="7"/>
      <c r="ES570" s="4"/>
      <c r="ET570" s="494"/>
      <c r="EU570" s="4"/>
      <c r="EV570" s="4"/>
      <c r="EW570" s="3"/>
      <c r="EX570" s="4"/>
      <c r="EY570" s="3"/>
      <c r="EZ570" s="4"/>
      <c r="FA570" s="3"/>
      <c r="FB570" s="4"/>
      <c r="FC570" s="3"/>
      <c r="FD570" s="4"/>
      <c r="FE570" s="3"/>
      <c r="FF570" s="78"/>
      <c r="FG570" s="3"/>
      <c r="FH570" s="78"/>
      <c r="FI570" s="3"/>
      <c r="FJ570" s="4"/>
      <c r="FK570" s="3"/>
      <c r="FL570" s="4"/>
      <c r="FM570" s="3"/>
      <c r="FN570" s="4"/>
      <c r="FO570" s="3"/>
      <c r="FP570" s="4"/>
      <c r="FQ570" s="3"/>
      <c r="FR570" s="4"/>
      <c r="FS570" s="3"/>
      <c r="FT570" s="4"/>
      <c r="FU570" s="3"/>
      <c r="FV570" s="4"/>
      <c r="FW570" s="3"/>
      <c r="FX570" s="4"/>
      <c r="FY570" s="3"/>
      <c r="FZ570" s="4"/>
      <c r="GA570" s="3"/>
      <c r="GB570" s="4"/>
      <c r="GC570" s="3"/>
      <c r="GD570" s="4"/>
      <c r="GE570" s="3"/>
      <c r="GF570" s="4"/>
      <c r="GG570" s="3"/>
      <c r="GH570" s="4"/>
      <c r="GI570" s="3"/>
      <c r="GJ570" s="4"/>
      <c r="GK570" s="3"/>
      <c r="GL570" s="4"/>
      <c r="GM570" s="3"/>
      <c r="GN570" s="4"/>
      <c r="GO570" s="3"/>
      <c r="GP570" s="4"/>
      <c r="GQ570" s="3"/>
      <c r="GR570" s="4"/>
      <c r="GS570" s="3"/>
      <c r="GT570" s="3"/>
    </row>
    <row r="571" spans="1:286" ht="12.75" hidden="1" customHeight="1" outlineLevel="1" x14ac:dyDescent="0.2">
      <c r="A571" s="1" t="s">
        <v>209</v>
      </c>
      <c r="B571" s="2" t="s">
        <v>157</v>
      </c>
      <c r="C571" s="3"/>
      <c r="D571" s="3"/>
      <c r="E571" s="400">
        <f>E59+E97</f>
        <v>0</v>
      </c>
      <c r="F571" s="400"/>
      <c r="G571" s="400">
        <f>G59+G97</f>
        <v>0</v>
      </c>
      <c r="H571" s="400"/>
      <c r="I571" s="400">
        <f>I59+I97</f>
        <v>0</v>
      </c>
      <c r="J571" s="400"/>
      <c r="K571" s="400">
        <f>K59+K97</f>
        <v>0</v>
      </c>
      <c r="L571" s="400"/>
      <c r="M571" s="400">
        <f>M59+M97</f>
        <v>0</v>
      </c>
      <c r="N571" s="422"/>
      <c r="O571" s="400">
        <f>O59+O97</f>
        <v>0</v>
      </c>
      <c r="P571" s="422"/>
      <c r="Q571" s="400">
        <f>Q59+Q97</f>
        <v>0</v>
      </c>
      <c r="R571" s="422"/>
      <c r="S571" s="400">
        <f>S59+S97</f>
        <v>0</v>
      </c>
      <c r="T571" s="422"/>
      <c r="U571" s="400">
        <f>U59+U97</f>
        <v>0</v>
      </c>
      <c r="V571" s="3"/>
      <c r="W571" s="400">
        <f>W59+W97</f>
        <v>0</v>
      </c>
      <c r="X571" s="3"/>
      <c r="Y571" s="400">
        <f>Y59+Y97</f>
        <v>0</v>
      </c>
      <c r="Z571" s="5"/>
      <c r="AA571" s="401">
        <f>AA59+AA97</f>
        <v>0</v>
      </c>
      <c r="AB571" s="3"/>
      <c r="AC571" s="400">
        <f>AC59+AC97</f>
        <v>41.500000000000171</v>
      </c>
      <c r="AD571" s="3"/>
      <c r="AE571" s="400">
        <f>AE59+AE97</f>
        <v>69.100000000000136</v>
      </c>
      <c r="AF571" s="3"/>
      <c r="AG571" s="400">
        <f>AG59+AG97</f>
        <v>71.930000000000064</v>
      </c>
      <c r="AH571" s="3"/>
      <c r="AI571" s="400">
        <f>AI59+AI97</f>
        <v>-27.129999999999939</v>
      </c>
      <c r="AJ571" s="3"/>
      <c r="AK571" s="400">
        <f>AK59+AK97</f>
        <v>59.000000000000398</v>
      </c>
      <c r="AL571" s="3"/>
      <c r="AM571" s="400">
        <f>AM59+AM97</f>
        <v>67.999999999999773</v>
      </c>
      <c r="AN571" s="3"/>
      <c r="AO571" s="400">
        <f>AO59+AO97</f>
        <v>73.099999999999909</v>
      </c>
      <c r="AP571" s="3"/>
      <c r="AQ571" s="400">
        <f>AQ59+AQ97</f>
        <v>57.099999999999966</v>
      </c>
      <c r="AR571" s="3"/>
      <c r="AS571" s="400">
        <f>AS59+AS97</f>
        <v>45.099999999999795</v>
      </c>
      <c r="AT571" s="7"/>
      <c r="AU571" s="400">
        <f>AU59+AU97</f>
        <v>55.199999999999818</v>
      </c>
      <c r="AV571" s="7"/>
      <c r="AW571" s="400">
        <f>AW59+AW97</f>
        <v>59.400000000000091</v>
      </c>
      <c r="AX571" s="7"/>
      <c r="AY571" s="400">
        <f>AY59+AY97</f>
        <v>69.400000000000091</v>
      </c>
      <c r="AZ571" s="7"/>
      <c r="BA571" s="400">
        <f>BA59+BA97</f>
        <v>79.100000000000023</v>
      </c>
      <c r="BB571" s="7"/>
      <c r="BC571" s="400">
        <f>BC59+BC97</f>
        <v>103.40000000000003</v>
      </c>
      <c r="BD571" s="7"/>
      <c r="BE571" s="400">
        <f>BE59+BE97</f>
        <v>107.69999999999993</v>
      </c>
      <c r="BF571" s="7"/>
      <c r="BG571" s="400">
        <f>BG59+BG97</f>
        <v>116.30000000000001</v>
      </c>
      <c r="BH571" s="7"/>
      <c r="BI571" s="400">
        <f>BI59+BI97</f>
        <v>95.5</v>
      </c>
      <c r="BJ571" s="7"/>
      <c r="BK571" s="400">
        <f>BK59+BK97</f>
        <v>106.29999999999984</v>
      </c>
      <c r="BL571" s="7"/>
      <c r="BM571" s="400">
        <f>BM59+BM97</f>
        <v>105.49999999999994</v>
      </c>
      <c r="BN571" s="7"/>
      <c r="BO571" s="400">
        <f>BO59+BO97</f>
        <v>110.00000000000017</v>
      </c>
      <c r="BP571" s="7"/>
      <c r="BQ571" s="400">
        <f>BQ59+BQ97</f>
        <v>105.99999999999994</v>
      </c>
      <c r="BR571" s="7"/>
      <c r="BS571" s="400">
        <f>BS59+BS97</f>
        <v>117.00000000000017</v>
      </c>
      <c r="BT571" s="7"/>
      <c r="BU571" s="400">
        <f>BU59+BU97</f>
        <v>124.99999999999994</v>
      </c>
      <c r="BV571" s="7"/>
      <c r="BW571" s="400">
        <f>BW59+BW97</f>
        <v>120.2999999999999</v>
      </c>
      <c r="BX571" s="7"/>
      <c r="BY571" s="400">
        <f>BY59+BY97</f>
        <v>126.30000000000001</v>
      </c>
      <c r="BZ571" s="7"/>
      <c r="CA571" s="400">
        <f>CA59+CA97</f>
        <v>135.10000000000008</v>
      </c>
      <c r="CB571" s="7"/>
      <c r="CC571" s="400">
        <f>CC59+CC97</f>
        <v>129.60000000000002</v>
      </c>
      <c r="CD571" s="7"/>
      <c r="CE571" s="400">
        <f>CE59+CE97</f>
        <v>130.2000000000001</v>
      </c>
      <c r="CF571" s="7"/>
      <c r="CG571" s="400">
        <f>CG59+CG97</f>
        <v>125.40000000000003</v>
      </c>
      <c r="CH571" s="7"/>
      <c r="CI571" s="400">
        <f>CI59+CI97</f>
        <v>130.69999999999993</v>
      </c>
      <c r="CJ571" s="7"/>
      <c r="CK571" s="400">
        <f>CK59+CK97</f>
        <v>125.00000000000006</v>
      </c>
      <c r="CL571" s="7"/>
      <c r="CM571" s="400">
        <f>CM59+CM97</f>
        <v>129.69999999999999</v>
      </c>
      <c r="CN571" s="7"/>
      <c r="CO571" s="400">
        <f>CO59+CO97</f>
        <v>127.10000000000002</v>
      </c>
      <c r="CP571" s="7"/>
      <c r="CQ571" s="400">
        <f>CQ59+CQ97</f>
        <v>127.69999999999993</v>
      </c>
      <c r="CR571" s="7"/>
      <c r="CS571" s="400">
        <f>CS59+CS97</f>
        <v>130.60000000000002</v>
      </c>
      <c r="CT571" s="7"/>
      <c r="CU571" s="400">
        <f>CU59+CU97</f>
        <v>128.60000000000002</v>
      </c>
      <c r="CV571" s="7"/>
      <c r="CW571" s="400">
        <f>CW59+CW97</f>
        <v>130.19999999999999</v>
      </c>
      <c r="CX571" s="7"/>
      <c r="CY571" s="400">
        <f>CY59+CY97</f>
        <v>128.09999999999997</v>
      </c>
      <c r="CZ571" s="7"/>
      <c r="DA571" s="400">
        <f>DA59+DA97</f>
        <v>135.60000000000002</v>
      </c>
      <c r="DB571" s="7"/>
      <c r="DC571" s="400">
        <f>DC59+DC97</f>
        <v>130.4</v>
      </c>
      <c r="DD571" s="7"/>
      <c r="DE571" s="400">
        <f>DE59+DE97</f>
        <v>126.2999999999999</v>
      </c>
      <c r="DF571" s="7"/>
      <c r="DG571" s="400">
        <f>DG59+DG97</f>
        <v>133.2999999999999</v>
      </c>
      <c r="DH571" s="7"/>
      <c r="DI571" s="400">
        <f>DI59+DI97</f>
        <v>130.40000000000003</v>
      </c>
      <c r="DJ571" s="7"/>
      <c r="DK571" s="400">
        <f>DK59+DK97</f>
        <v>125.19999999999999</v>
      </c>
      <c r="DL571" s="7"/>
      <c r="DM571" s="400">
        <f>DM59+DM97</f>
        <v>132.2000000000001</v>
      </c>
      <c r="DN571" s="7"/>
      <c r="DO571" s="400">
        <f>DO59+DO97</f>
        <v>113.7000000000001</v>
      </c>
      <c r="DP571" s="7"/>
      <c r="DQ571" s="400">
        <f>DQ59+DQ97</f>
        <v>131.00000000000006</v>
      </c>
      <c r="DR571" s="7"/>
      <c r="DS571" s="400">
        <f>DS59+DS97</f>
        <v>120.40000000000009</v>
      </c>
      <c r="DT571" s="7"/>
      <c r="DU571" s="400">
        <f>DU59+DU97</f>
        <v>125.7999999999999</v>
      </c>
      <c r="DV571" s="7"/>
      <c r="DW571" s="400">
        <f>DW59+DW97</f>
        <v>131.30000000000001</v>
      </c>
      <c r="DX571" s="7"/>
      <c r="DY571" s="400">
        <f>DY59+DY97</f>
        <v>138.80000000000018</v>
      </c>
      <c r="DZ571" s="7"/>
      <c r="EA571" s="400">
        <f>EA59+EA97</f>
        <v>145.59999999999985</v>
      </c>
      <c r="EB571" s="7"/>
      <c r="EC571" s="400">
        <f>EC59+EC97</f>
        <v>144.69999999999993</v>
      </c>
      <c r="ED571" s="7"/>
      <c r="EE571" s="400">
        <f>EE59+EE97</f>
        <v>153.30000000000007</v>
      </c>
      <c r="EF571" s="7"/>
      <c r="EG571" s="400">
        <f>EG59+EG97</f>
        <v>150.09999999999985</v>
      </c>
      <c r="EH571" s="7"/>
      <c r="EI571" s="400">
        <f>EI59+EI97</f>
        <v>143.69999999999993</v>
      </c>
      <c r="EJ571" s="7"/>
      <c r="EK571" s="400">
        <f t="shared" ref="EK571:EQ571" si="2324">EK59+EK97</f>
        <v>149.28773768854307</v>
      </c>
      <c r="EL571" s="7"/>
      <c r="EM571" s="400">
        <f t="shared" si="2324"/>
        <v>150.17216333477626</v>
      </c>
      <c r="EN571" s="7"/>
      <c r="EO571" s="400">
        <f t="shared" si="2324"/>
        <v>152.22129461499367</v>
      </c>
      <c r="EP571" s="7"/>
      <c r="EQ571" s="400">
        <f t="shared" si="2324"/>
        <v>154.26898647447831</v>
      </c>
      <c r="ER571" s="7"/>
      <c r="ES571" s="4"/>
      <c r="ET571" s="494"/>
      <c r="EU571" s="4"/>
      <c r="EV571" s="4"/>
      <c r="EW571" s="3"/>
      <c r="EX571" s="4"/>
      <c r="EY571" s="3"/>
      <c r="EZ571" s="4"/>
      <c r="FA571" s="3"/>
      <c r="FB571" s="4"/>
      <c r="FC571" s="3"/>
      <c r="FD571" s="4"/>
      <c r="FE571" s="3"/>
      <c r="FF571" s="78"/>
      <c r="FG571" s="3"/>
      <c r="FH571" s="400">
        <f>FH59+FH97</f>
        <v>155.40000000000032</v>
      </c>
      <c r="FI571" s="3"/>
      <c r="FJ571" s="400">
        <f>FJ59+FJ97</f>
        <v>257.20000000000073</v>
      </c>
      <c r="FK571" s="3"/>
      <c r="FL571" s="400">
        <f>FL59+FL97</f>
        <v>229.10000000000014</v>
      </c>
      <c r="FM571" s="3"/>
      <c r="FN571" s="400">
        <f>FN59+FN97</f>
        <v>406.50000000000045</v>
      </c>
      <c r="FO571" s="3"/>
      <c r="FP571" s="400">
        <f>FP59+FP97</f>
        <v>417.30000000000018</v>
      </c>
      <c r="FQ571" s="3"/>
      <c r="FR571" s="400">
        <f>FR59+FR97</f>
        <v>471.89999999999986</v>
      </c>
      <c r="FS571" s="3"/>
      <c r="FT571" s="400">
        <f>FT59+FT97</f>
        <v>521.19999999999936</v>
      </c>
      <c r="FU571" s="3"/>
      <c r="FV571" s="400">
        <f>FV59+FV97</f>
        <v>510.80000000000041</v>
      </c>
      <c r="FW571" s="3"/>
      <c r="FX571" s="400">
        <f>FX59+FX97</f>
        <v>511.19999999999982</v>
      </c>
      <c r="FY571" s="3"/>
      <c r="FZ571" s="400">
        <f>FZ59+FZ97</f>
        <v>524.29999999999961</v>
      </c>
      <c r="GA571" s="3"/>
      <c r="GB571" s="400">
        <f>GB59+GB97</f>
        <v>515.20000000000027</v>
      </c>
      <c r="GC571" s="3"/>
      <c r="GD571" s="400">
        <f>GD59+GD97</f>
        <v>497.29999999999973</v>
      </c>
      <c r="GE571" s="3"/>
      <c r="GF571" s="400">
        <f>GF59+GF97</f>
        <v>541.50000000000068</v>
      </c>
      <c r="GG571" s="3"/>
      <c r="GH571" s="400">
        <f>GH59+GH97</f>
        <v>591.79999999999995</v>
      </c>
      <c r="GI571" s="3"/>
      <c r="GJ571" s="400">
        <f>GJ59+GJ97</f>
        <v>605.95018211279194</v>
      </c>
      <c r="GK571" s="3"/>
      <c r="GL571" s="400">
        <f>GL59+GL97</f>
        <v>622.65137095889122</v>
      </c>
      <c r="GM571" s="3"/>
      <c r="GN571" s="400">
        <f>GN59+GN97</f>
        <v>640.00265417108017</v>
      </c>
      <c r="GO571" s="3"/>
      <c r="GP571" s="400">
        <f>GP59+GP97</f>
        <v>659.82713379737629</v>
      </c>
      <c r="GQ571" s="3"/>
      <c r="GR571" s="400">
        <f>GR59+GR97</f>
        <v>678.5689928370482</v>
      </c>
      <c r="GS571" s="3"/>
      <c r="GT571" s="3"/>
    </row>
    <row r="572" spans="1:286" ht="12.75" hidden="1" customHeight="1" outlineLevel="1" x14ac:dyDescent="0.2">
      <c r="A572" s="1" t="s">
        <v>210</v>
      </c>
      <c r="B572" s="2" t="s">
        <v>75</v>
      </c>
      <c r="C572" s="3"/>
      <c r="D572" s="3"/>
      <c r="E572" s="400">
        <f>E129+E243</f>
        <v>31.699999999999989</v>
      </c>
      <c r="F572" s="400"/>
      <c r="G572" s="400">
        <f>G129+G243</f>
        <v>35.099999999999994</v>
      </c>
      <c r="H572" s="400"/>
      <c r="I572" s="400">
        <f>I129+I243</f>
        <v>34.500000000000028</v>
      </c>
      <c r="J572" s="400"/>
      <c r="K572" s="400">
        <f>K129+K243</f>
        <v>36.699999999999989</v>
      </c>
      <c r="L572" s="400"/>
      <c r="M572" s="400">
        <f>M129+M243</f>
        <v>33</v>
      </c>
      <c r="N572" s="422"/>
      <c r="O572" s="400">
        <f>O129+O243</f>
        <v>33.900000000000006</v>
      </c>
      <c r="P572" s="422"/>
      <c r="Q572" s="400">
        <f>Q129+Q243</f>
        <v>34.400000000000006</v>
      </c>
      <c r="R572" s="422"/>
      <c r="S572" s="400">
        <f>S129+S243</f>
        <v>36.200000000000017</v>
      </c>
      <c r="T572" s="422"/>
      <c r="U572" s="400">
        <f>U129+U243</f>
        <v>35.19999999999996</v>
      </c>
      <c r="V572" s="3"/>
      <c r="W572" s="400">
        <f>W129+W243</f>
        <v>35.399999999999977</v>
      </c>
      <c r="X572" s="3"/>
      <c r="Y572" s="400">
        <f>Y129+Y243</f>
        <v>38.5</v>
      </c>
      <c r="Z572" s="5"/>
      <c r="AA572" s="401">
        <f>AA129+AA243</f>
        <v>37.599999999999994</v>
      </c>
      <c r="AB572" s="3"/>
      <c r="AC572" s="400">
        <f>AC129+AC243</f>
        <v>87.89999999999992</v>
      </c>
      <c r="AD572" s="3"/>
      <c r="AE572" s="400">
        <f>AE129+AE243</f>
        <v>83.9</v>
      </c>
      <c r="AF572" s="3"/>
      <c r="AG572" s="400">
        <f>AG129+AG243</f>
        <v>81.799999999999983</v>
      </c>
      <c r="AH572" s="3"/>
      <c r="AI572" s="400">
        <f>AI129+AI243</f>
        <v>82.200000000000131</v>
      </c>
      <c r="AJ572" s="3"/>
      <c r="AK572" s="400">
        <f>AK129+AK243</f>
        <v>85.300000000000068</v>
      </c>
      <c r="AL572" s="3"/>
      <c r="AM572" s="400">
        <f>AM129+AM243</f>
        <v>87</v>
      </c>
      <c r="AN572" s="3"/>
      <c r="AO572" s="400">
        <f>AO129+AO243</f>
        <v>81.5</v>
      </c>
      <c r="AP572" s="3"/>
      <c r="AQ572" s="400">
        <f>AQ129+AQ243</f>
        <v>95.960000000000008</v>
      </c>
      <c r="AR572" s="3"/>
      <c r="AS572" s="400">
        <f>AS129</f>
        <v>56.199999999999989</v>
      </c>
      <c r="AT572" s="422"/>
      <c r="AU572" s="400">
        <f>AU129</f>
        <v>49.299999999999898</v>
      </c>
      <c r="AV572" s="422"/>
      <c r="AW572" s="400">
        <f>AW129</f>
        <v>58.800000000000011</v>
      </c>
      <c r="AX572" s="422"/>
      <c r="AY572" s="400">
        <f>AY129</f>
        <v>54.500000000000057</v>
      </c>
      <c r="AZ572" s="422"/>
      <c r="BA572" s="400">
        <f>BA129</f>
        <v>57.799999999999955</v>
      </c>
      <c r="BB572" s="422"/>
      <c r="BC572" s="400">
        <f>BC129</f>
        <v>49.299999999999898</v>
      </c>
      <c r="BD572" s="422"/>
      <c r="BE572" s="400">
        <f>BE129</f>
        <v>50.099999999999909</v>
      </c>
      <c r="BF572" s="422"/>
      <c r="BG572" s="400">
        <f>BG129</f>
        <v>57.10000000000008</v>
      </c>
      <c r="BH572" s="422"/>
      <c r="BI572" s="400">
        <f>BI129</f>
        <v>62.800000000000011</v>
      </c>
      <c r="BJ572" s="422"/>
      <c r="BK572" s="400">
        <f>BK129</f>
        <v>70.299999999999898</v>
      </c>
      <c r="BL572" s="422"/>
      <c r="BM572" s="400">
        <f>BM129</f>
        <v>66.099999999999966</v>
      </c>
      <c r="BN572" s="422"/>
      <c r="BO572" s="400">
        <f>BO129</f>
        <v>72.599999999999966</v>
      </c>
      <c r="BP572" s="422"/>
      <c r="BQ572" s="400">
        <f>BQ129</f>
        <v>77.599999999999966</v>
      </c>
      <c r="BR572" s="422"/>
      <c r="BS572" s="400">
        <f>BS129</f>
        <v>74.299999999999955</v>
      </c>
      <c r="BT572" s="422"/>
      <c r="BU572" s="400">
        <f>BU129</f>
        <v>72.099999999999909</v>
      </c>
      <c r="BV572" s="422"/>
      <c r="BW572" s="400">
        <f>BW129</f>
        <v>82.699999999999932</v>
      </c>
      <c r="BX572" s="422"/>
      <c r="BY572" s="400">
        <f>BY129</f>
        <v>56.199999999999989</v>
      </c>
      <c r="BZ572" s="422"/>
      <c r="CA572" s="400">
        <f>CA129</f>
        <v>65.699999999999989</v>
      </c>
      <c r="CB572" s="422"/>
      <c r="CC572" s="400">
        <f>CC129</f>
        <v>61.400000000000006</v>
      </c>
      <c r="CD572" s="422"/>
      <c r="CE572" s="400">
        <f>CE129</f>
        <v>64.800000000000011</v>
      </c>
      <c r="CF572" s="422"/>
      <c r="CG572" s="400">
        <f>CG129</f>
        <v>69.300000000000011</v>
      </c>
      <c r="CH572" s="422"/>
      <c r="CI572" s="400">
        <f>CI129</f>
        <v>74.900000000000006</v>
      </c>
      <c r="CJ572" s="422"/>
      <c r="CK572" s="400">
        <f>CK129</f>
        <v>78.699999999999989</v>
      </c>
      <c r="CL572" s="422"/>
      <c r="CM572" s="400">
        <f>CM129</f>
        <v>77.699999999999989</v>
      </c>
      <c r="CN572" s="422"/>
      <c r="CO572" s="400">
        <f>CO129</f>
        <v>78.800000000000011</v>
      </c>
      <c r="CP572" s="422"/>
      <c r="CQ572" s="400">
        <f>CQ129</f>
        <v>85</v>
      </c>
      <c r="CR572" s="422"/>
      <c r="CS572" s="400">
        <f>CS129</f>
        <v>85.699999999999989</v>
      </c>
      <c r="CT572" s="422"/>
      <c r="CU572" s="400">
        <f>CU129</f>
        <v>83.599999999999966</v>
      </c>
      <c r="CV572" s="7"/>
      <c r="CW572" s="400">
        <f>CW129</f>
        <v>80.999999999999943</v>
      </c>
      <c r="CX572" s="7"/>
      <c r="CY572" s="400">
        <f>CY129</f>
        <v>83</v>
      </c>
      <c r="CZ572" s="7"/>
      <c r="DA572" s="400">
        <f>DA129</f>
        <v>81.299999999999955</v>
      </c>
      <c r="DB572" s="7"/>
      <c r="DC572" s="400">
        <f>DC129</f>
        <v>85.199999999999974</v>
      </c>
      <c r="DD572" s="7"/>
      <c r="DE572" s="400">
        <f>DE129</f>
        <v>81.199999999999989</v>
      </c>
      <c r="DF572" s="7"/>
      <c r="DG572" s="400">
        <f>DG129</f>
        <v>82.5</v>
      </c>
      <c r="DH572" s="7"/>
      <c r="DI572" s="400">
        <f>DI129</f>
        <v>81.699999999999989</v>
      </c>
      <c r="DJ572" s="7"/>
      <c r="DK572" s="400">
        <f>DK129</f>
        <v>84.300000000000011</v>
      </c>
      <c r="DL572" s="7"/>
      <c r="DM572" s="400">
        <f>DM129</f>
        <v>82.100000000000023</v>
      </c>
      <c r="DN572" s="7"/>
      <c r="DO572" s="400">
        <f>DO129</f>
        <v>89.100000000000023</v>
      </c>
      <c r="DP572" s="7"/>
      <c r="DQ572" s="400">
        <f>DQ129</f>
        <v>87.699999999999989</v>
      </c>
      <c r="DR572" s="7"/>
      <c r="DS572" s="400">
        <f>DS129</f>
        <v>93.800000000000011</v>
      </c>
      <c r="DT572" s="7"/>
      <c r="DU572" s="400">
        <f>DU129</f>
        <v>90.10000000000008</v>
      </c>
      <c r="DV572" s="7"/>
      <c r="DW572" s="400">
        <f>DW129</f>
        <v>95.899999999999977</v>
      </c>
      <c r="DX572" s="7"/>
      <c r="DY572" s="400">
        <f>DY129</f>
        <v>92.199999999999989</v>
      </c>
      <c r="DZ572" s="7"/>
      <c r="EA572" s="400">
        <f>EA129</f>
        <v>94.500000000000057</v>
      </c>
      <c r="EB572" s="7"/>
      <c r="EC572" s="400">
        <f>EC129</f>
        <v>94.39999999999992</v>
      </c>
      <c r="ED572" s="7"/>
      <c r="EE572" s="400">
        <f>EE129</f>
        <v>94.5</v>
      </c>
      <c r="EF572" s="7"/>
      <c r="EG572" s="400">
        <f>EG129</f>
        <v>108.30000000000001</v>
      </c>
      <c r="EH572" s="7"/>
      <c r="EI572" s="400">
        <f>EI129</f>
        <v>100.99999999999997</v>
      </c>
      <c r="EJ572" s="7"/>
      <c r="EK572" s="400">
        <f t="shared" ref="EK572:EQ572" si="2325">EK129</f>
        <v>98.466221399999995</v>
      </c>
      <c r="EL572" s="7"/>
      <c r="EM572" s="400">
        <f t="shared" si="2325"/>
        <v>99.751249385200083</v>
      </c>
      <c r="EN572" s="7"/>
      <c r="EO572" s="400">
        <f t="shared" si="2325"/>
        <v>101.05460845413364</v>
      </c>
      <c r="EP572" s="7"/>
      <c r="EQ572" s="400">
        <f t="shared" si="2325"/>
        <v>101.94428273594559</v>
      </c>
      <c r="ER572" s="7"/>
      <c r="ES572" s="4"/>
      <c r="ET572" s="494"/>
      <c r="EU572" s="4"/>
      <c r="EV572" s="4"/>
      <c r="EW572" s="3"/>
      <c r="EX572" s="4"/>
      <c r="EY572" s="3"/>
      <c r="EZ572" s="4"/>
      <c r="FA572" s="3"/>
      <c r="FB572" s="4"/>
      <c r="FC572" s="3"/>
      <c r="FD572" s="4"/>
      <c r="FE572" s="3"/>
      <c r="FF572" s="78"/>
      <c r="FG572" s="3"/>
      <c r="FH572" s="400">
        <f>FH129+FH243</f>
        <v>335.69999999999993</v>
      </c>
      <c r="FI572" s="3"/>
      <c r="FJ572" s="400">
        <f>FJ129+FJ243</f>
        <v>349.76</v>
      </c>
      <c r="FK572" s="3"/>
      <c r="FL572" s="400">
        <f>FL129+FL243</f>
        <v>417.50000000000068</v>
      </c>
      <c r="FM572" s="3"/>
      <c r="FN572" s="400">
        <f>FN129</f>
        <v>214.29999999999973</v>
      </c>
      <c r="FO572" s="3"/>
      <c r="FP572" s="400">
        <f>FP129</f>
        <v>271.79999999999995</v>
      </c>
      <c r="FQ572" s="3"/>
      <c r="FR572" s="400">
        <f>FR129</f>
        <v>247.10000000000002</v>
      </c>
      <c r="FS572" s="3"/>
      <c r="FT572" s="400">
        <f>FT129</f>
        <v>248.10000000000014</v>
      </c>
      <c r="FU572" s="3"/>
      <c r="FV572" s="400">
        <f>FV129</f>
        <v>300.59999999999991</v>
      </c>
      <c r="FW572" s="3"/>
      <c r="FX572" s="400">
        <f>FX129</f>
        <v>331.59999999999968</v>
      </c>
      <c r="FY572" s="3"/>
      <c r="FZ572" s="400">
        <f>FZ129</f>
        <v>330.50000000000028</v>
      </c>
      <c r="GA572" s="3"/>
      <c r="GB572" s="400">
        <f>GB129</f>
        <v>329.69999999999982</v>
      </c>
      <c r="GC572" s="3"/>
      <c r="GD572" s="400">
        <f>GD129</f>
        <v>352.70000000000027</v>
      </c>
      <c r="GE572" s="3"/>
      <c r="GF572" s="400">
        <f>GF129</f>
        <v>372.70000000000005</v>
      </c>
      <c r="GG572" s="3"/>
      <c r="GH572" s="400">
        <f>GH129</f>
        <v>398.19999999999993</v>
      </c>
      <c r="GI572" s="3"/>
      <c r="GJ572" s="400">
        <f>GJ129</f>
        <v>401.21636197527914</v>
      </c>
      <c r="GK572" s="3"/>
      <c r="GL572" s="400">
        <f>GL129</f>
        <v>416.22289684887323</v>
      </c>
      <c r="GM572" s="3"/>
      <c r="GN572" s="400">
        <f>GN129</f>
        <v>431.82812996939197</v>
      </c>
      <c r="GO572" s="3"/>
      <c r="GP572" s="400">
        <f>GP129</f>
        <v>448.05744739427882</v>
      </c>
      <c r="GQ572" s="3"/>
      <c r="GR572" s="400">
        <f>GR129</f>
        <v>461.31059094722605</v>
      </c>
      <c r="GS572" s="3"/>
      <c r="GT572" s="3"/>
    </row>
    <row r="573" spans="1:286" ht="12.75" hidden="1" customHeight="1" outlineLevel="1" x14ac:dyDescent="0.2">
      <c r="A573" s="1" t="s">
        <v>433</v>
      </c>
      <c r="B573" s="2" t="s">
        <v>77</v>
      </c>
      <c r="C573" s="3"/>
      <c r="D573" s="3"/>
      <c r="E573" s="400">
        <f>E209</f>
        <v>0</v>
      </c>
      <c r="F573" s="400"/>
      <c r="G573" s="400">
        <f>G209</f>
        <v>0</v>
      </c>
      <c r="H573" s="400"/>
      <c r="I573" s="400">
        <f>I209</f>
        <v>0</v>
      </c>
      <c r="J573" s="400"/>
      <c r="K573" s="400">
        <f>K209</f>
        <v>0</v>
      </c>
      <c r="L573" s="400"/>
      <c r="M573" s="400">
        <f>M209</f>
        <v>0</v>
      </c>
      <c r="N573" s="422"/>
      <c r="O573" s="400">
        <f>O209</f>
        <v>0</v>
      </c>
      <c r="P573" s="422"/>
      <c r="Q573" s="400">
        <f>Q209</f>
        <v>0</v>
      </c>
      <c r="R573" s="422"/>
      <c r="S573" s="400">
        <f>S209</f>
        <v>0</v>
      </c>
      <c r="T573" s="422"/>
      <c r="U573" s="400">
        <f>U209</f>
        <v>22.700000000000003</v>
      </c>
      <c r="V573" s="3"/>
      <c r="W573" s="400">
        <f>W209</f>
        <v>29.600000000000009</v>
      </c>
      <c r="X573" s="3"/>
      <c r="Y573" s="400">
        <f>Y209</f>
        <v>27.599999999999994</v>
      </c>
      <c r="Z573" s="5"/>
      <c r="AA573" s="401">
        <f>AA209</f>
        <v>32.099999999999994</v>
      </c>
      <c r="AB573" s="3"/>
      <c r="AC573" s="400">
        <f>AC209</f>
        <v>34.799999999999983</v>
      </c>
      <c r="AD573" s="3"/>
      <c r="AE573" s="400">
        <f>AE209</f>
        <v>31.700000000000017</v>
      </c>
      <c r="AF573" s="3"/>
      <c r="AG573" s="400">
        <f>AG209</f>
        <v>38.099999999999966</v>
      </c>
      <c r="AH573" s="3"/>
      <c r="AI573" s="400">
        <f>AI209</f>
        <v>46.699999999999989</v>
      </c>
      <c r="AJ573" s="3"/>
      <c r="AK573" s="400">
        <f>AK209</f>
        <v>47.30000000000004</v>
      </c>
      <c r="AL573" s="3"/>
      <c r="AM573" s="400">
        <f>AM209</f>
        <v>41.299999999999983</v>
      </c>
      <c r="AN573" s="3"/>
      <c r="AO573" s="400">
        <f>AO209</f>
        <v>44.100000000000023</v>
      </c>
      <c r="AP573" s="3"/>
      <c r="AQ573" s="400">
        <f>AQ209</f>
        <v>49.299999999999955</v>
      </c>
      <c r="AR573" s="3"/>
      <c r="AS573" s="400">
        <f>AS209</f>
        <v>54.400000000000006</v>
      </c>
      <c r="AT573" s="7"/>
      <c r="AU573" s="400">
        <f>AU209</f>
        <v>56.100000000000023</v>
      </c>
      <c r="AV573" s="7"/>
      <c r="AW573" s="400">
        <f>AW209</f>
        <v>65.5</v>
      </c>
      <c r="AX573" s="7"/>
      <c r="AY573" s="400">
        <f>AY209</f>
        <v>70.799999999999983</v>
      </c>
      <c r="AZ573" s="7"/>
      <c r="BA573" s="400">
        <f>BA209</f>
        <v>72.400000000000006</v>
      </c>
      <c r="BB573" s="7"/>
      <c r="BC573" s="400">
        <f>BC209</f>
        <v>74.100000000000023</v>
      </c>
      <c r="BD573" s="7"/>
      <c r="BE573" s="400">
        <f>BE209</f>
        <v>97.600000000000023</v>
      </c>
      <c r="BF573" s="7"/>
      <c r="BG573" s="400">
        <f>BG209</f>
        <v>80.699999999999989</v>
      </c>
      <c r="BH573" s="7"/>
      <c r="BI573" s="400">
        <f>BI209</f>
        <v>84.300000000000011</v>
      </c>
      <c r="BJ573" s="7"/>
      <c r="BK573" s="400">
        <f>BK209</f>
        <v>86.599999999999966</v>
      </c>
      <c r="BL573" s="7"/>
      <c r="BM573" s="400">
        <f>BM209</f>
        <v>82.1</v>
      </c>
      <c r="BN573" s="7"/>
      <c r="BO573" s="400">
        <f>BO209</f>
        <v>54.600000000000023</v>
      </c>
      <c r="BP573" s="7"/>
      <c r="BQ573" s="400">
        <f>BQ209</f>
        <v>62.300000000000011</v>
      </c>
      <c r="BR573" s="7"/>
      <c r="BS573" s="400">
        <f>BS209</f>
        <v>67.300000000000011</v>
      </c>
      <c r="BT573" s="7"/>
      <c r="BU573" s="400">
        <f>BU209</f>
        <v>58.699999999999989</v>
      </c>
      <c r="BV573" s="7"/>
      <c r="BW573" s="400">
        <f>BW209</f>
        <v>61.299999999999983</v>
      </c>
      <c r="BX573" s="7"/>
      <c r="BY573" s="400">
        <f>BY209</f>
        <v>60.600000000000023</v>
      </c>
      <c r="BZ573" s="7"/>
      <c r="CA573" s="400">
        <f>CA209</f>
        <v>52.799999999999983</v>
      </c>
      <c r="CB573" s="7"/>
      <c r="CC573" s="400">
        <f>CC209</f>
        <v>47.800000000000011</v>
      </c>
      <c r="CD573" s="7"/>
      <c r="CE573" s="400">
        <f>CE209</f>
        <v>47.800000000000011</v>
      </c>
      <c r="CF573" s="7"/>
      <c r="CG573" s="400">
        <f>CG209</f>
        <v>48.900000000000006</v>
      </c>
      <c r="CH573" s="7"/>
      <c r="CI573" s="400">
        <f>CI209</f>
        <v>55.200000000000017</v>
      </c>
      <c r="CJ573" s="7"/>
      <c r="CK573" s="400">
        <f>CK209</f>
        <v>34.699999999999989</v>
      </c>
      <c r="CL573" s="7"/>
      <c r="CM573" s="400">
        <f>CM209</f>
        <v>51.900000000000006</v>
      </c>
      <c r="CN573" s="7"/>
      <c r="CO573" s="400">
        <f>CO209</f>
        <v>38.799999999999983</v>
      </c>
      <c r="CP573" s="7"/>
      <c r="CQ573" s="400">
        <f>CQ209</f>
        <v>29.999999999999972</v>
      </c>
      <c r="CR573" s="7"/>
      <c r="CS573" s="400">
        <f>CS209</f>
        <v>27.5</v>
      </c>
      <c r="CT573" s="7"/>
      <c r="CU573" s="400">
        <f>CU209</f>
        <v>35</v>
      </c>
      <c r="CV573" s="7"/>
      <c r="CW573" s="400">
        <f>CW209</f>
        <v>31.300000000000011</v>
      </c>
      <c r="CX573" s="7"/>
      <c r="CY573" s="400">
        <f>CY209</f>
        <v>33.5</v>
      </c>
      <c r="CZ573" s="7"/>
      <c r="DA573" s="400">
        <f>DA209</f>
        <v>31.300000000000011</v>
      </c>
      <c r="DB573" s="7"/>
      <c r="DC573" s="400">
        <f>DC209</f>
        <v>35.900000000000006</v>
      </c>
      <c r="DD573" s="7"/>
      <c r="DE573" s="400">
        <f>DE209</f>
        <v>36.499999999999972</v>
      </c>
      <c r="DF573" s="7"/>
      <c r="DG573" s="400">
        <f>DG209</f>
        <v>39.599999999999994</v>
      </c>
      <c r="DH573" s="7"/>
      <c r="DI573" s="400">
        <f>DI209</f>
        <v>33.5</v>
      </c>
      <c r="DJ573" s="7"/>
      <c r="DK573" s="400">
        <f>DK209</f>
        <v>38.200000000000017</v>
      </c>
      <c r="DL573" s="7"/>
      <c r="DM573" s="400">
        <f>DM209</f>
        <v>32.599999999999994</v>
      </c>
      <c r="DN573" s="7"/>
      <c r="DO573" s="400">
        <f>DO209</f>
        <v>38.299999999999983</v>
      </c>
      <c r="DP573" s="7"/>
      <c r="DQ573" s="400">
        <f>DQ209</f>
        <v>32.700000000000017</v>
      </c>
      <c r="DR573" s="7"/>
      <c r="DS573" s="400">
        <f>DS209</f>
        <v>37</v>
      </c>
      <c r="DT573" s="7"/>
      <c r="DU573" s="400">
        <f>DU209</f>
        <v>33.600000000000023</v>
      </c>
      <c r="DV573" s="7"/>
      <c r="DW573" s="400">
        <f>DW209</f>
        <v>36.900000000000006</v>
      </c>
      <c r="DX573" s="7"/>
      <c r="DY573" s="400">
        <f>DY209</f>
        <v>28.200000000000017</v>
      </c>
      <c r="DZ573" s="7"/>
      <c r="EA573" s="400">
        <f>EA209</f>
        <v>29.90000000000002</v>
      </c>
      <c r="EB573" s="7"/>
      <c r="EC573" s="400">
        <f>EC209</f>
        <v>26.599999999999994</v>
      </c>
      <c r="ED573" s="7"/>
      <c r="EE573" s="400">
        <f>EE209</f>
        <v>28.900000000000006</v>
      </c>
      <c r="EF573" s="7"/>
      <c r="EG573" s="400">
        <f>EG209</f>
        <v>25.899999999999977</v>
      </c>
      <c r="EH573" s="7"/>
      <c r="EI573" s="400">
        <f>EI209</f>
        <v>29.700000000000017</v>
      </c>
      <c r="EJ573" s="7"/>
      <c r="EK573" s="400">
        <f t="shared" ref="EK573:EQ573" si="2326">EK209</f>
        <v>30.230456366771932</v>
      </c>
      <c r="EL573" s="7"/>
      <c r="EM573" s="400">
        <f t="shared" si="2326"/>
        <v>30.389841129286168</v>
      </c>
      <c r="EN573" s="7"/>
      <c r="EO573" s="400">
        <f t="shared" si="2326"/>
        <v>30.005496626384883</v>
      </c>
      <c r="EP573" s="7"/>
      <c r="EQ573" s="400">
        <f t="shared" si="2326"/>
        <v>29.255547131776524</v>
      </c>
      <c r="ER573" s="7"/>
      <c r="ES573" s="4"/>
      <c r="ET573" s="494"/>
      <c r="EU573" s="4"/>
      <c r="EV573" s="4"/>
      <c r="EW573" s="3"/>
      <c r="EX573" s="4"/>
      <c r="EY573" s="3"/>
      <c r="EZ573" s="4"/>
      <c r="FA573" s="3"/>
      <c r="FB573" s="4"/>
      <c r="FC573" s="3"/>
      <c r="FD573" s="4"/>
      <c r="FE573" s="3"/>
      <c r="FF573" s="78"/>
      <c r="FG573" s="3"/>
      <c r="FH573" s="400">
        <f>FH209</f>
        <v>151.29999999999995</v>
      </c>
      <c r="FI573" s="3"/>
      <c r="FJ573" s="400">
        <f>FJ209</f>
        <v>182.00000000000011</v>
      </c>
      <c r="FK573" s="3"/>
      <c r="FL573" s="400">
        <f>FL209</f>
        <v>246.79999999999995</v>
      </c>
      <c r="FM573" s="3"/>
      <c r="FN573" s="400">
        <f>FN209</f>
        <v>324.79999999999995</v>
      </c>
      <c r="FO573" s="3"/>
      <c r="FP573" s="400">
        <f>FP209</f>
        <v>307.5999999999998</v>
      </c>
      <c r="FQ573" s="3"/>
      <c r="FR573" s="400">
        <f>FR209</f>
        <v>251.99999999999989</v>
      </c>
      <c r="FS573" s="3"/>
      <c r="FT573" s="400">
        <f>FT209</f>
        <v>209</v>
      </c>
      <c r="FU573" s="3"/>
      <c r="FV573" s="400">
        <f>FV209</f>
        <v>190.70000000000005</v>
      </c>
      <c r="FW573" s="3"/>
      <c r="FX573" s="400">
        <f>FX209</f>
        <v>131.29999999999984</v>
      </c>
      <c r="FY573" s="3"/>
      <c r="FZ573" s="400">
        <f>FZ209</f>
        <v>132</v>
      </c>
      <c r="GA573" s="3"/>
      <c r="GB573" s="400">
        <f>GB209</f>
        <v>147.79999999999995</v>
      </c>
      <c r="GC573" s="3"/>
      <c r="GD573" s="400">
        <f>GD209</f>
        <v>140.59999999999991</v>
      </c>
      <c r="GE573" s="3"/>
      <c r="GF573" s="400">
        <f>GF209</f>
        <v>128.60000000000002</v>
      </c>
      <c r="GG573" s="3"/>
      <c r="GH573" s="400">
        <f>GH209</f>
        <v>111.09999999999991</v>
      </c>
      <c r="GI573" s="3"/>
      <c r="GJ573" s="400">
        <f>GJ209</f>
        <v>119.88134125421936</v>
      </c>
      <c r="GK573" s="3"/>
      <c r="GL573" s="400">
        <f>GL209</f>
        <v>125.35277280935134</v>
      </c>
      <c r="GM573" s="3"/>
      <c r="GN573" s="400">
        <f>GN209</f>
        <v>131.06646622074265</v>
      </c>
      <c r="GO573" s="3"/>
      <c r="GP573" s="400">
        <f>GP209</f>
        <v>137.03304814640614</v>
      </c>
      <c r="GQ573" s="3"/>
      <c r="GR573" s="400">
        <f>GR209</f>
        <v>142.60543312586753</v>
      </c>
      <c r="GS573" s="3"/>
      <c r="GT573" s="3"/>
    </row>
    <row r="574" spans="1:286" ht="12.75" hidden="1" customHeight="1" outlineLevel="1" x14ac:dyDescent="0.2">
      <c r="A574" s="1" t="s">
        <v>239</v>
      </c>
      <c r="B574" s="2" t="s">
        <v>74</v>
      </c>
      <c r="C574" s="3"/>
      <c r="D574" s="3"/>
      <c r="E574" s="400">
        <f>E333+E355+E280</f>
        <v>-31.099999999999994</v>
      </c>
      <c r="F574" s="400"/>
      <c r="G574" s="400">
        <f>G333+G355+G280</f>
        <v>-21.70000000000001</v>
      </c>
      <c r="H574" s="400"/>
      <c r="I574" s="400">
        <f>I333+I355+I280</f>
        <v>-43.599999999999987</v>
      </c>
      <c r="J574" s="400"/>
      <c r="K574" s="400">
        <f>K333+K355+K280</f>
        <v>-28.899999999999991</v>
      </c>
      <c r="L574" s="400"/>
      <c r="M574" s="400">
        <f>M333+M355+M280</f>
        <v>10.400000000000038</v>
      </c>
      <c r="N574" s="422"/>
      <c r="O574" s="400">
        <f>O333+O355+O280</f>
        <v>-0.29999999999999005</v>
      </c>
      <c r="P574" s="422"/>
      <c r="Q574" s="400">
        <f>Q333+Q355+Q280</f>
        <v>0.599999999999973</v>
      </c>
      <c r="R574" s="422"/>
      <c r="S574" s="400">
        <f>S333+S355+S280</f>
        <v>-18.400000000000034</v>
      </c>
      <c r="T574" s="422"/>
      <c r="U574" s="400">
        <f>U333+U355+U280</f>
        <v>-22.999999999999943</v>
      </c>
      <c r="V574" s="3"/>
      <c r="W574" s="400">
        <f>W333+W355+W280</f>
        <v>-28.300000000000097</v>
      </c>
      <c r="X574" s="3"/>
      <c r="Y574" s="400">
        <f>Y333+Y355+Y280</f>
        <v>-15.099999999999952</v>
      </c>
      <c r="Z574" s="5"/>
      <c r="AA574" s="401">
        <f>AA333+AA355+AA280</f>
        <v>-22.500000000000071</v>
      </c>
      <c r="AB574" s="3"/>
      <c r="AC574" s="400">
        <f>AC333+AC355+AC280+967</f>
        <v>7.2999999999999545</v>
      </c>
      <c r="AD574" s="3"/>
      <c r="AE574" s="400">
        <f>AE333+AE355+AE280</f>
        <v>13.900000000000052</v>
      </c>
      <c r="AF574" s="3"/>
      <c r="AG574" s="400">
        <f>AG333+AG355+AG280</f>
        <v>9.9999999999980105E-2</v>
      </c>
      <c r="AH574" s="3"/>
      <c r="AI574" s="400">
        <f>AI333+AI355+AI280</f>
        <v>14.599999999999966</v>
      </c>
      <c r="AJ574" s="3"/>
      <c r="AK574" s="400">
        <f>AK333+AK355+AK280</f>
        <v>-38.800000000000011</v>
      </c>
      <c r="AL574" s="3"/>
      <c r="AM574" s="400">
        <f>AM333+AM355+AM280</f>
        <v>4</v>
      </c>
      <c r="AN574" s="3"/>
      <c r="AO574" s="400">
        <f>AO333+AO355+AO280</f>
        <v>10.299999999999997</v>
      </c>
      <c r="AP574" s="3"/>
      <c r="AQ574" s="400">
        <f>AQ333+AQ355+AQ280</f>
        <v>-0.1199999999999477</v>
      </c>
      <c r="AR574" s="3"/>
      <c r="AS574" s="400">
        <f>+AS308+AS280</f>
        <v>-0.199999999999946</v>
      </c>
      <c r="AT574" s="422"/>
      <c r="AU574" s="400">
        <f>+AU308+AU280</f>
        <v>5.9999999999999858</v>
      </c>
      <c r="AV574" s="422"/>
      <c r="AW574" s="400">
        <f>+AW308+AW280</f>
        <v>8.6999999999999886</v>
      </c>
      <c r="AX574" s="422"/>
      <c r="AY574" s="400">
        <f>+AY308+AY280</f>
        <v>2.7999999999999901</v>
      </c>
      <c r="AZ574" s="422"/>
      <c r="BA574" s="400">
        <f>+BA308+BA280</f>
        <v>-5.3000000000000043</v>
      </c>
      <c r="BB574" s="422"/>
      <c r="BC574" s="400">
        <f>+BC308+BC280</f>
        <v>-16.199999999999974</v>
      </c>
      <c r="BD574" s="422"/>
      <c r="BE574" s="400">
        <f>+BE308+BE280</f>
        <v>7.1999999999999744</v>
      </c>
      <c r="BF574" s="422"/>
      <c r="BG574" s="400">
        <f>+BG308+BG280</f>
        <v>5.4000000000000057</v>
      </c>
      <c r="BH574" s="422"/>
      <c r="BI574" s="400">
        <f>+BI308+BI280</f>
        <v>3.1999999999999744</v>
      </c>
      <c r="BJ574" s="422"/>
      <c r="BK574" s="400">
        <f>+BK308+BK280</f>
        <v>-3.5000000000000071</v>
      </c>
      <c r="BL574" s="422"/>
      <c r="BM574" s="400">
        <f>+BM308+BM280</f>
        <v>-7.3718808835110394E-14</v>
      </c>
      <c r="BN574" s="422"/>
      <c r="BO574" s="400">
        <f>+BO308+BO280</f>
        <v>6.7000000000000242</v>
      </c>
      <c r="BP574" s="422"/>
      <c r="BQ574" s="400">
        <f>+BQ308+BQ280+BQ243</f>
        <v>69.299999999999983</v>
      </c>
      <c r="BR574" s="422"/>
      <c r="BS574" s="400">
        <f>+BS308+BS280+BS243</f>
        <v>65.299999999999983</v>
      </c>
      <c r="BT574" s="422"/>
      <c r="BU574" s="400">
        <f>+BU308+BU280+BU243</f>
        <v>63.9</v>
      </c>
      <c r="BV574" s="422"/>
      <c r="BW574" s="400">
        <f>+BW308+BW280+BW243</f>
        <v>57.499999999999957</v>
      </c>
      <c r="BX574" s="422"/>
      <c r="BY574" s="400">
        <f>+BY308+BY280+BY243</f>
        <v>97.000000000000028</v>
      </c>
      <c r="BZ574" s="422"/>
      <c r="CA574" s="400">
        <f>+CA308+CA280+CA243</f>
        <v>89.999999999999901</v>
      </c>
      <c r="CB574" s="422"/>
      <c r="CC574" s="400">
        <f>+CC308+CC280+CC243</f>
        <v>91.60000000000008</v>
      </c>
      <c r="CD574" s="422"/>
      <c r="CE574" s="400">
        <f>+CE308+CE280+CE243</f>
        <v>70.800000000000196</v>
      </c>
      <c r="CF574" s="422"/>
      <c r="CG574" s="400">
        <f>+CG308+CG280+CG243</f>
        <v>76.59999999999981</v>
      </c>
      <c r="CH574" s="422"/>
      <c r="CI574" s="400">
        <f>+CI308+CI280+CI243</f>
        <v>81.300000000000182</v>
      </c>
      <c r="CJ574" s="422"/>
      <c r="CK574" s="400">
        <f>+CK308+CK280+CK243</f>
        <v>76.699999999999989</v>
      </c>
      <c r="CL574" s="422"/>
      <c r="CM574" s="400">
        <f>+CM308+CM280+CM243</f>
        <v>76.999999999999787</v>
      </c>
      <c r="CN574" s="422"/>
      <c r="CO574" s="400">
        <f>+CO308+CO280+CO243</f>
        <v>64.499999999999972</v>
      </c>
      <c r="CP574" s="422"/>
      <c r="CQ574" s="400">
        <f>+CQ308+CQ280+CQ243</f>
        <v>67.400000000000006</v>
      </c>
      <c r="CR574" s="422"/>
      <c r="CS574" s="400">
        <f>+CS308+CS280+CS243</f>
        <v>66.899999999999963</v>
      </c>
      <c r="CT574" s="422"/>
      <c r="CU574" s="400">
        <f>+CU308+CU280+CU243</f>
        <v>62.499999999999972</v>
      </c>
      <c r="CV574" s="422"/>
      <c r="CW574" s="400">
        <f>+CW308+CW280+CW243</f>
        <v>70.500000000000171</v>
      </c>
      <c r="CX574" s="422"/>
      <c r="CY574" s="400">
        <f>+CY308+CY280+CY243</f>
        <v>70.299999999999983</v>
      </c>
      <c r="CZ574" s="422"/>
      <c r="DA574" s="400">
        <f>+DA308+DA280+DA243</f>
        <v>68.200000000000017</v>
      </c>
      <c r="DB574" s="422"/>
      <c r="DC574" s="400">
        <f>+DC308+DC280+DC243</f>
        <v>61.800000000000011</v>
      </c>
      <c r="DD574" s="422"/>
      <c r="DE574" s="400">
        <f>+DE308+DE280+DE243</f>
        <v>80.89999999999992</v>
      </c>
      <c r="DF574" s="422"/>
      <c r="DG574" s="400">
        <f>+DG308+DG280+DG243</f>
        <v>83.100000000000108</v>
      </c>
      <c r="DH574" s="422"/>
      <c r="DI574" s="400">
        <f>+DI308+DI280+DI243</f>
        <v>71.600000000000051</v>
      </c>
      <c r="DJ574" s="422"/>
      <c r="DK574" s="400">
        <f>+DK308+DK280+DK243</f>
        <v>77.59999999999998</v>
      </c>
      <c r="DL574" s="422"/>
      <c r="DM574" s="400">
        <f>+DM308+DM280+DM243</f>
        <v>71.399999999999892</v>
      </c>
      <c r="DN574" s="422"/>
      <c r="DO574" s="400">
        <f>+DO308+DO280+DO243</f>
        <v>77.899999999999878</v>
      </c>
      <c r="DP574" s="422"/>
      <c r="DQ574" s="400">
        <f>+DQ308+DQ280+DQ243</f>
        <v>74.100000000000108</v>
      </c>
      <c r="DR574" s="422"/>
      <c r="DS574" s="400">
        <f>+DS308+DS280+DS243</f>
        <v>68.099999999999824</v>
      </c>
      <c r="DT574" s="422"/>
      <c r="DU574" s="400">
        <f>+DU308+DU280+DU243</f>
        <v>75.19999999999979</v>
      </c>
      <c r="DV574" s="422"/>
      <c r="DW574" s="400">
        <f>+DW308+DW280+DW243</f>
        <v>70.799999999999898</v>
      </c>
      <c r="DX574" s="422"/>
      <c r="DY574" s="400">
        <f>+DY308+DY280+DY243</f>
        <v>61.90000000000002</v>
      </c>
      <c r="DZ574" s="422"/>
      <c r="EA574" s="400">
        <f>+EA308+EA280+EA243</f>
        <v>72.8</v>
      </c>
      <c r="EB574" s="422"/>
      <c r="EC574" s="400">
        <f>+EC308+EC280+EC243</f>
        <v>74.199999999999932</v>
      </c>
      <c r="ED574" s="422"/>
      <c r="EE574" s="400">
        <f>+EE308+EE280+EE243</f>
        <v>76.800000000000097</v>
      </c>
      <c r="EF574" s="422"/>
      <c r="EG574" s="400">
        <f>+EG308+EG280+EG243</f>
        <v>72.10000000000008</v>
      </c>
      <c r="EH574" s="422"/>
      <c r="EI574" s="400">
        <f>+EI308+EI280+EI243</f>
        <v>78.999999999999915</v>
      </c>
      <c r="EJ574" s="422"/>
      <c r="EK574" s="400">
        <f t="shared" ref="EK574:EQ574" si="2327">+EK308+EK280+EK243</f>
        <v>72.720719226633378</v>
      </c>
      <c r="EL574" s="422"/>
      <c r="EM574" s="400">
        <f t="shared" si="2327"/>
        <v>72.712200549516922</v>
      </c>
      <c r="EN574" s="422"/>
      <c r="EO574" s="400">
        <f t="shared" si="2327"/>
        <v>71.148971540329626</v>
      </c>
      <c r="EP574" s="422"/>
      <c r="EQ574" s="400">
        <f t="shared" si="2327"/>
        <v>71.267329758386097</v>
      </c>
      <c r="ER574" s="422"/>
      <c r="ES574" s="400"/>
      <c r="ET574" s="494"/>
      <c r="EU574" s="400"/>
      <c r="EV574" s="400"/>
      <c r="EW574" s="400"/>
      <c r="EX574" s="400"/>
      <c r="EY574" s="422"/>
      <c r="EZ574" s="400"/>
      <c r="FA574" s="422"/>
      <c r="FB574" s="400">
        <f>+FB308+FB280</f>
        <v>0</v>
      </c>
      <c r="FC574" s="422"/>
      <c r="FD574" s="400">
        <f>+FD308+FD280</f>
        <v>83</v>
      </c>
      <c r="FE574" s="422"/>
      <c r="FF574" s="400">
        <f>+FF308+FF280</f>
        <v>62.500000000000227</v>
      </c>
      <c r="FG574" s="422"/>
      <c r="FH574" s="400">
        <f>+FH308+FH280</f>
        <v>-822.80000000000041</v>
      </c>
      <c r="FI574" s="422"/>
      <c r="FJ574" s="400">
        <f>+FJ308+FJ280</f>
        <v>-24.619999999999919</v>
      </c>
      <c r="FK574" s="422"/>
      <c r="FL574" s="400">
        <f>+FL308+FL280</f>
        <v>17.299999999999557</v>
      </c>
      <c r="FM574" s="422"/>
      <c r="FN574" s="400">
        <f>+FN308+FN280+FN243</f>
        <v>236.79999999999995</v>
      </c>
      <c r="FO574" s="422"/>
      <c r="FP574" s="400">
        <f>+FP308+FP280+FP243</f>
        <v>274.49999999999977</v>
      </c>
      <c r="FQ574" s="422"/>
      <c r="FR574" s="400">
        <f>+FR308+FR280+FR243</f>
        <v>344.69999999999925</v>
      </c>
      <c r="FS574" s="422"/>
      <c r="FT574" s="400">
        <f>+FT308+FT280+FT243</f>
        <v>349.39999999999975</v>
      </c>
      <c r="FU574" s="422"/>
      <c r="FV574" s="400">
        <f>+FV308+FV280+FV243</f>
        <v>311.59999999999968</v>
      </c>
      <c r="FW574" s="422"/>
      <c r="FX574" s="400">
        <f>+FX308+FX280+FX243</f>
        <v>281.6999999999997</v>
      </c>
      <c r="FY574" s="422"/>
      <c r="FZ574" s="400">
        <f>+FZ308+FZ280+FZ243</f>
        <v>270.79999999999973</v>
      </c>
      <c r="GA574" s="422"/>
      <c r="GB574" s="400">
        <f>+GB308+GB280+GB243</f>
        <v>313.2</v>
      </c>
      <c r="GC574" s="422"/>
      <c r="GD574" s="400">
        <f>+GD308+GD280+GD243</f>
        <v>291.49999999999983</v>
      </c>
      <c r="GE574" s="422"/>
      <c r="GF574" s="400">
        <f>+GF308+GF280+GF243</f>
        <v>280.7000000000005</v>
      </c>
      <c r="GG574" s="422"/>
      <c r="GH574" s="400">
        <f>+GH308+GH280+GH243</f>
        <v>302.0999999999998</v>
      </c>
      <c r="GI574" s="422"/>
      <c r="GJ574" s="400">
        <f>+GJ308+GJ280+GJ243</f>
        <v>287.84922107486591</v>
      </c>
      <c r="GK574" s="422"/>
      <c r="GL574" s="400">
        <f>+GL308+GL280+GL243</f>
        <v>284.68467254917459</v>
      </c>
      <c r="GM574" s="422"/>
      <c r="GN574" s="400">
        <f>+GN308+GN280+GN243</f>
        <v>286.68836422465114</v>
      </c>
      <c r="GO574" s="422"/>
      <c r="GP574" s="400">
        <f>+GP308+GP280+GP243</f>
        <v>290.57791692875486</v>
      </c>
      <c r="GQ574" s="422"/>
      <c r="GR574" s="400">
        <f>+GR308+GR280+GR243</f>
        <v>292.979079920093</v>
      </c>
      <c r="GS574" s="422"/>
      <c r="GT574" s="3"/>
    </row>
    <row r="575" spans="1:286" ht="12.75" hidden="1" customHeight="1" outlineLevel="1" x14ac:dyDescent="0.2">
      <c r="A575" s="1"/>
      <c r="B575" s="2" t="s">
        <v>474</v>
      </c>
      <c r="C575" s="3"/>
      <c r="D575" s="3"/>
      <c r="E575" s="4"/>
      <c r="F575" s="4"/>
      <c r="G575" s="4"/>
      <c r="H575" s="4"/>
      <c r="I575" s="4"/>
      <c r="J575" s="4"/>
      <c r="K575" s="4"/>
      <c r="L575" s="4"/>
      <c r="M575" s="4"/>
      <c r="N575" s="423"/>
      <c r="O575" s="4"/>
      <c r="P575" s="423"/>
      <c r="Q575" s="4"/>
      <c r="R575" s="423"/>
      <c r="S575" s="4"/>
      <c r="T575" s="423"/>
      <c r="U575" s="4"/>
      <c r="V575" s="3"/>
      <c r="W575" s="4"/>
      <c r="X575" s="3"/>
      <c r="Y575" s="4"/>
      <c r="Z575" s="5"/>
      <c r="AA575" s="397"/>
      <c r="AB575" s="3"/>
      <c r="AC575" s="4"/>
      <c r="AD575" s="3"/>
      <c r="AE575" s="4"/>
      <c r="AF575" s="3"/>
      <c r="AG575" s="4"/>
      <c r="AH575" s="3"/>
      <c r="AI575" s="4"/>
      <c r="AJ575" s="3"/>
      <c r="AK575" s="4"/>
      <c r="AL575" s="3"/>
      <c r="AM575" s="4"/>
      <c r="AN575" s="3"/>
      <c r="AO575" s="4"/>
      <c r="AP575" s="3"/>
      <c r="AQ575" s="4"/>
      <c r="AR575" s="3"/>
      <c r="AS575" s="4"/>
      <c r="AT575" s="7"/>
      <c r="AU575" s="4"/>
      <c r="AV575" s="7"/>
      <c r="AW575" s="4"/>
      <c r="AX575" s="7"/>
      <c r="AY575" s="4"/>
      <c r="AZ575" s="7"/>
      <c r="BA575" s="4"/>
      <c r="BB575" s="7"/>
      <c r="BC575" s="4"/>
      <c r="BD575" s="7"/>
      <c r="BE575" s="4"/>
      <c r="BF575" s="7"/>
      <c r="BG575" s="4"/>
      <c r="BH575" s="7"/>
      <c r="BI575" s="4"/>
      <c r="BJ575" s="7"/>
      <c r="BK575" s="4"/>
      <c r="BL575" s="7"/>
      <c r="BM575" s="4"/>
      <c r="BN575" s="7"/>
      <c r="BO575" s="4"/>
      <c r="BP575" s="7"/>
      <c r="BQ575" s="4"/>
      <c r="BR575" s="7"/>
      <c r="BS575" s="4"/>
      <c r="BT575" s="7"/>
      <c r="BU575" s="4"/>
      <c r="BV575" s="7"/>
      <c r="BW575" s="4"/>
      <c r="BX575" s="7"/>
      <c r="BY575" s="400">
        <f>BY571+BY572+BY573+BY574</f>
        <v>340.1</v>
      </c>
      <c r="BZ575" s="7"/>
      <c r="CA575" s="400">
        <f>CA571+CA572+CA573+CA574</f>
        <v>343.59999999999997</v>
      </c>
      <c r="CB575" s="7"/>
      <c r="CC575" s="400">
        <f>CC571+CC572+CC573+CC574</f>
        <v>330.40000000000009</v>
      </c>
      <c r="CD575" s="7"/>
      <c r="CE575" s="400">
        <f>CE571+CE572+CE573+CE574</f>
        <v>313.60000000000031</v>
      </c>
      <c r="CF575" s="7"/>
      <c r="CG575" s="400">
        <f>CG571+CG572+CG573+CG574</f>
        <v>320.19999999999987</v>
      </c>
      <c r="CH575" s="7"/>
      <c r="CI575" s="400">
        <f>CI571+CI572+CI573+CI574</f>
        <v>342.10000000000014</v>
      </c>
      <c r="CJ575" s="7"/>
      <c r="CK575" s="400">
        <f>CK571+CK572+CK573+CK574</f>
        <v>315.10000000000002</v>
      </c>
      <c r="CL575" s="7"/>
      <c r="CM575" s="400">
        <f>CM571+CM572+CM573+CM574</f>
        <v>336.29999999999973</v>
      </c>
      <c r="CN575" s="7"/>
      <c r="CO575" s="400">
        <f>CO571+CO572+CO573+CO574</f>
        <v>309.2</v>
      </c>
      <c r="CP575" s="7"/>
      <c r="CQ575" s="400">
        <f>CQ571+CQ572+CQ573+CQ574</f>
        <v>310.09999999999991</v>
      </c>
      <c r="CR575" s="7"/>
      <c r="CS575" s="400">
        <f>CS571+CS572+CS573+CS574</f>
        <v>310.7</v>
      </c>
      <c r="CT575" s="7"/>
      <c r="CU575" s="400">
        <f>CU571+CU572+CU573+CU574</f>
        <v>309.69999999999993</v>
      </c>
      <c r="CV575" s="7"/>
      <c r="CW575" s="400">
        <f>CW571+CW572+CW573+CW574</f>
        <v>313.00000000000011</v>
      </c>
      <c r="CX575" s="7"/>
      <c r="CY575" s="400">
        <f>CY571+CY572+CY573+CY574</f>
        <v>314.89999999999998</v>
      </c>
      <c r="CZ575" s="7"/>
      <c r="DA575" s="400">
        <f>DA571+DA572+DA573+DA574</f>
        <v>316.39999999999998</v>
      </c>
      <c r="DB575" s="7"/>
      <c r="DC575" s="400">
        <f>DC571+DC572+DC573+DC574</f>
        <v>313.29999999999995</v>
      </c>
      <c r="DD575" s="7"/>
      <c r="DE575" s="400">
        <f>DE571+DE572+DE573+DE574</f>
        <v>324.89999999999975</v>
      </c>
      <c r="DF575" s="7"/>
      <c r="DG575" s="400">
        <f>DG571+DG572+DG573+DG574</f>
        <v>338.5</v>
      </c>
      <c r="DH575" s="7"/>
      <c r="DI575" s="400">
        <f>DI571+DI572+DI573+DI574</f>
        <v>317.20000000000005</v>
      </c>
      <c r="DJ575" s="7"/>
      <c r="DK575" s="400">
        <f>DK571+DK572+DK573+DK574</f>
        <v>325.3</v>
      </c>
      <c r="DL575" s="7"/>
      <c r="DM575" s="400">
        <f>DM571+DM572+DM573+DM574</f>
        <v>318.3</v>
      </c>
      <c r="DN575" s="7"/>
      <c r="DO575" s="400">
        <f>DO571+DO572+DO573+DO574</f>
        <v>319</v>
      </c>
      <c r="DP575" s="7"/>
      <c r="DQ575" s="400">
        <f>DQ571+DQ572+DQ573+DQ574</f>
        <v>325.50000000000017</v>
      </c>
      <c r="DR575" s="7"/>
      <c r="DS575" s="400">
        <f>DS571+DS572+DS573+DS574</f>
        <v>319.29999999999995</v>
      </c>
      <c r="DT575" s="7"/>
      <c r="DU575" s="400">
        <f>DU571+DU572+DU573+DU574</f>
        <v>324.69999999999982</v>
      </c>
      <c r="DV575" s="7"/>
      <c r="DW575" s="400">
        <f>DW571+DW572+DW573+DW574</f>
        <v>334.89999999999992</v>
      </c>
      <c r="DX575" s="7"/>
      <c r="DY575" s="400">
        <f>DY571+DY572+DY573+DY574</f>
        <v>321.10000000000019</v>
      </c>
      <c r="DZ575" s="7"/>
      <c r="EA575" s="400">
        <f>EA571+EA572+EA573+EA574</f>
        <v>342.79999999999995</v>
      </c>
      <c r="EB575" s="7"/>
      <c r="EC575" s="400">
        <f>EC571+EC572+EC573+EC574</f>
        <v>339.89999999999975</v>
      </c>
      <c r="ED575" s="7"/>
      <c r="EE575" s="400">
        <f>EE571+EE572+EE573+EE574</f>
        <v>353.50000000000011</v>
      </c>
      <c r="EF575" s="7"/>
      <c r="EG575" s="400">
        <f>EG571+EG572+EG573+EG574</f>
        <v>356.39999999999992</v>
      </c>
      <c r="EH575" s="7"/>
      <c r="EI575" s="400">
        <f>EI571+EI572+EI573+EI574</f>
        <v>353.39999999999986</v>
      </c>
      <c r="EJ575" s="7"/>
      <c r="EK575" s="400">
        <f t="shared" ref="EK575:EQ575" si="2328">EK571+EK572+EK573+EK574</f>
        <v>350.70513468194838</v>
      </c>
      <c r="EL575" s="7"/>
      <c r="EM575" s="400">
        <f t="shared" si="2328"/>
        <v>353.02545439877946</v>
      </c>
      <c r="EN575" s="7"/>
      <c r="EO575" s="400">
        <f t="shared" si="2328"/>
        <v>354.43037123584179</v>
      </c>
      <c r="EP575" s="7"/>
      <c r="EQ575" s="400">
        <f t="shared" si="2328"/>
        <v>356.7361461005865</v>
      </c>
      <c r="ER575" s="7"/>
      <c r="ES575" s="4"/>
      <c r="ET575" s="494"/>
      <c r="EU575" s="4"/>
      <c r="EV575" s="4"/>
      <c r="EW575" s="3"/>
      <c r="EX575" s="4"/>
      <c r="EY575" s="3"/>
      <c r="EZ575" s="4"/>
      <c r="FA575" s="3"/>
      <c r="FB575" s="4"/>
      <c r="FC575" s="3"/>
      <c r="FD575" s="4"/>
      <c r="FE575" s="3"/>
      <c r="FF575" s="78"/>
      <c r="FG575" s="3"/>
      <c r="FH575" s="4"/>
      <c r="FI575" s="3"/>
      <c r="FJ575" s="4"/>
      <c r="FK575" s="3"/>
      <c r="FL575" s="4"/>
      <c r="FM575" s="3"/>
      <c r="FN575" s="400">
        <f>FN571+FN572+FN573+FN574</f>
        <v>1182.4000000000001</v>
      </c>
      <c r="FO575" s="3"/>
      <c r="FP575" s="400">
        <f>FP571+FP572+FP573+FP574</f>
        <v>1271.1999999999998</v>
      </c>
      <c r="FQ575" s="3"/>
      <c r="FR575" s="400">
        <f>FR571+FR572+FR573+FR574</f>
        <v>1315.6999999999989</v>
      </c>
      <c r="FS575" s="3"/>
      <c r="FT575" s="400">
        <f>FT571+FT572+FT573+FT574</f>
        <v>1327.6999999999994</v>
      </c>
      <c r="FU575" s="3"/>
      <c r="FV575" s="400">
        <f>FV571+FV572+FV573+FV574</f>
        <v>1313.7</v>
      </c>
      <c r="FW575" s="3"/>
      <c r="FX575" s="400">
        <f>FX571+FX572+FX573+FX574</f>
        <v>1255.799999999999</v>
      </c>
      <c r="FY575" s="3"/>
      <c r="FZ575" s="400">
        <f>FZ571+FZ572+FZ573+FZ574</f>
        <v>1257.5999999999997</v>
      </c>
      <c r="GA575" s="3"/>
      <c r="GB575" s="400">
        <f>GB571+GB572+GB573+GB574</f>
        <v>1305.9000000000001</v>
      </c>
      <c r="GC575" s="3"/>
      <c r="GD575" s="400">
        <f>GD571+GD572+GD573+GD574</f>
        <v>1282.0999999999997</v>
      </c>
      <c r="GE575" s="3"/>
      <c r="GF575" s="400">
        <f>GF571+GF572+GF573+GF574</f>
        <v>1323.5000000000011</v>
      </c>
      <c r="GG575" s="3"/>
      <c r="GH575" s="400">
        <f>GH571+GH572+GH573+GH574</f>
        <v>1403.1999999999998</v>
      </c>
      <c r="GI575" s="3"/>
      <c r="GJ575" s="400">
        <f>GJ571+GJ572+GJ573+GJ574</f>
        <v>1414.8971064171565</v>
      </c>
      <c r="GK575" s="3"/>
      <c r="GL575" s="400">
        <f>GL571+GL572+GL573+GL574</f>
        <v>1448.9117131662904</v>
      </c>
      <c r="GM575" s="3"/>
      <c r="GN575" s="400">
        <f>GN571+GN572+GN573+GN574</f>
        <v>1489.5856145858661</v>
      </c>
      <c r="GO575" s="3"/>
      <c r="GP575" s="400">
        <f>GP571+GP572+GP573+GP574</f>
        <v>1535.4955462668161</v>
      </c>
      <c r="GQ575" s="3"/>
      <c r="GR575" s="400">
        <f>GR571+GR572+GR573+GR574</f>
        <v>1575.4640968302349</v>
      </c>
      <c r="GS575" s="3"/>
      <c r="GT575" s="3"/>
    </row>
    <row r="576" spans="1:286" s="419" customFormat="1" ht="12.75" hidden="1" customHeight="1" outlineLevel="1" x14ac:dyDescent="0.2">
      <c r="A576" s="438"/>
      <c r="B576" s="427" t="s">
        <v>517</v>
      </c>
      <c r="C576" s="3"/>
      <c r="D576" s="3"/>
      <c r="E576" s="423"/>
      <c r="F576" s="423"/>
      <c r="G576" s="423"/>
      <c r="H576" s="423"/>
      <c r="I576" s="423"/>
      <c r="J576" s="423"/>
      <c r="K576" s="423"/>
      <c r="L576" s="423"/>
      <c r="M576" s="423"/>
      <c r="N576" s="423"/>
      <c r="O576" s="423"/>
      <c r="P576" s="423"/>
      <c r="Q576" s="423"/>
      <c r="R576" s="423"/>
      <c r="S576" s="423"/>
      <c r="T576" s="423"/>
      <c r="U576" s="423"/>
      <c r="V576" s="3"/>
      <c r="W576" s="423"/>
      <c r="X576" s="3"/>
      <c r="Y576" s="423"/>
      <c r="Z576" s="5"/>
      <c r="AA576" s="439"/>
      <c r="AB576" s="3"/>
      <c r="AC576" s="423"/>
      <c r="AD576" s="3"/>
      <c r="AE576" s="423"/>
      <c r="AF576" s="3"/>
      <c r="AG576" s="423"/>
      <c r="AH576" s="3"/>
      <c r="AI576" s="423"/>
      <c r="AJ576" s="3"/>
      <c r="AK576" s="423"/>
      <c r="AL576" s="3"/>
      <c r="AM576" s="423"/>
      <c r="AN576" s="3"/>
      <c r="AO576" s="423"/>
      <c r="AP576" s="3"/>
      <c r="AQ576" s="423"/>
      <c r="AR576" s="3"/>
      <c r="AS576" s="423"/>
      <c r="AT576" s="7"/>
      <c r="AU576" s="423"/>
      <c r="AV576" s="7"/>
      <c r="AW576" s="423"/>
      <c r="AX576" s="7"/>
      <c r="AY576" s="423"/>
      <c r="AZ576" s="7"/>
      <c r="BA576" s="423"/>
      <c r="BB576" s="7"/>
      <c r="BC576" s="423"/>
      <c r="BD576" s="7"/>
      <c r="BE576" s="423"/>
      <c r="BF576" s="7"/>
      <c r="BG576" s="423"/>
      <c r="BH576" s="7"/>
      <c r="BI576" s="423"/>
      <c r="BJ576" s="7"/>
      <c r="BK576" s="423"/>
      <c r="BL576" s="7"/>
      <c r="BM576" s="423"/>
      <c r="BN576" s="7"/>
      <c r="BO576" s="423"/>
      <c r="BP576" s="7"/>
      <c r="BQ576" s="423"/>
      <c r="BR576" s="7"/>
      <c r="BS576" s="423"/>
      <c r="BT576" s="7"/>
      <c r="BU576" s="423"/>
      <c r="BV576" s="7"/>
      <c r="BW576" s="423"/>
      <c r="BX576" s="7"/>
      <c r="BY576" s="423"/>
      <c r="BZ576" s="7"/>
      <c r="CA576" s="423"/>
      <c r="CB576" s="7"/>
      <c r="CC576" s="423"/>
      <c r="CD576" s="7"/>
      <c r="CE576" s="423"/>
      <c r="CF576" s="7"/>
      <c r="CG576" s="423"/>
      <c r="CH576" s="7"/>
      <c r="CI576" s="423"/>
      <c r="CJ576" s="7"/>
      <c r="CK576" s="423"/>
      <c r="CL576" s="7"/>
      <c r="CM576" s="423"/>
      <c r="CN576" s="7"/>
      <c r="CO576" s="423"/>
      <c r="CP576" s="7"/>
      <c r="CQ576" s="423"/>
      <c r="CR576" s="7"/>
      <c r="CS576" s="423"/>
      <c r="CT576" s="7"/>
      <c r="CU576" s="423"/>
      <c r="CV576" s="7"/>
      <c r="CW576" s="423"/>
      <c r="CX576" s="7"/>
      <c r="CY576" s="423"/>
      <c r="CZ576" s="7"/>
      <c r="DA576" s="423"/>
      <c r="DB576" s="7"/>
      <c r="DC576" s="423"/>
      <c r="DD576" s="7"/>
      <c r="DE576" s="423"/>
      <c r="DF576" s="7"/>
      <c r="DG576" s="423"/>
      <c r="DH576" s="7"/>
      <c r="DI576" s="423"/>
      <c r="DJ576" s="7"/>
      <c r="DK576" s="423"/>
      <c r="DL576" s="7"/>
      <c r="DM576" s="423"/>
      <c r="DN576" s="7"/>
      <c r="DO576" s="423"/>
      <c r="DP576" s="7"/>
      <c r="DQ576" s="423"/>
      <c r="DR576" s="7"/>
      <c r="DS576" s="423"/>
      <c r="DT576" s="7"/>
      <c r="DU576" s="423"/>
      <c r="DV576" s="7"/>
      <c r="DW576" s="423"/>
      <c r="DX576" s="7"/>
      <c r="DY576" s="423"/>
      <c r="DZ576" s="7"/>
      <c r="EA576" s="423"/>
      <c r="EB576" s="7"/>
      <c r="EC576" s="423"/>
      <c r="ED576" s="7"/>
      <c r="EE576" s="423"/>
      <c r="EF576" s="7"/>
      <c r="EG576" s="423"/>
      <c r="EH576" s="7"/>
      <c r="EI576" s="423"/>
      <c r="EJ576" s="7"/>
      <c r="EK576" s="423"/>
      <c r="EL576" s="7"/>
      <c r="EM576" s="423"/>
      <c r="EN576" s="7"/>
      <c r="EO576" s="423"/>
      <c r="EP576" s="7"/>
      <c r="EQ576" s="423"/>
      <c r="ER576" s="7"/>
      <c r="ES576" s="423"/>
      <c r="ET576" s="499"/>
      <c r="EU576" s="423"/>
      <c r="EV576" s="423"/>
      <c r="EW576" s="3"/>
      <c r="EX576" s="423"/>
      <c r="EY576" s="3"/>
      <c r="EZ576" s="423"/>
      <c r="FA576" s="3"/>
      <c r="FB576" s="423"/>
      <c r="FC576" s="3"/>
      <c r="FD576" s="423"/>
      <c r="FE576" s="3"/>
      <c r="FF576" s="421"/>
      <c r="FG576" s="3"/>
      <c r="FH576" s="423"/>
      <c r="FI576" s="3"/>
      <c r="FJ576" s="423"/>
      <c r="FK576" s="3"/>
      <c r="FL576" s="423"/>
      <c r="FM576" s="3"/>
      <c r="FN576" s="423" t="b">
        <f>FN575=FN411</f>
        <v>1</v>
      </c>
      <c r="FO576" s="3"/>
      <c r="FP576" s="423" t="b">
        <f>FP575=FP411</f>
        <v>1</v>
      </c>
      <c r="FQ576" s="3"/>
      <c r="FR576" s="423" t="b">
        <f>FR575=FR411</f>
        <v>1</v>
      </c>
      <c r="FS576" s="3"/>
      <c r="FT576" s="423" t="b">
        <f>FT575=FT411</f>
        <v>1</v>
      </c>
      <c r="FU576" s="3"/>
      <c r="FV576" s="423" t="b">
        <f>FV575=FV411</f>
        <v>1</v>
      </c>
      <c r="FW576" s="3"/>
      <c r="FX576" s="423" t="b">
        <f>FX575=FX411</f>
        <v>1</v>
      </c>
      <c r="FY576" s="3"/>
      <c r="FZ576" s="423" t="b">
        <f>FZ575=FZ411</f>
        <v>1</v>
      </c>
      <c r="GA576" s="3"/>
      <c r="GB576" s="423" t="b">
        <f>GB575=GB411</f>
        <v>1</v>
      </c>
      <c r="GC576" s="3"/>
      <c r="GD576" s="423" t="b">
        <f>GD575=GD411</f>
        <v>1</v>
      </c>
      <c r="GE576" s="3"/>
      <c r="GF576" s="423" t="b">
        <f>GF575=GF411</f>
        <v>1</v>
      </c>
      <c r="GG576" s="3"/>
      <c r="GH576" s="423" t="b">
        <f>GH575=GH411</f>
        <v>1</v>
      </c>
      <c r="GI576" s="3"/>
      <c r="GJ576" s="423" t="b">
        <f>GJ575=GJ411</f>
        <v>1</v>
      </c>
      <c r="GK576" s="3"/>
      <c r="GL576" s="423" t="b">
        <f>GL575=GL411</f>
        <v>1</v>
      </c>
      <c r="GM576" s="3"/>
      <c r="GN576" s="423" t="b">
        <f>GN575=GN411</f>
        <v>1</v>
      </c>
      <c r="GO576" s="3"/>
      <c r="GP576" s="423" t="b">
        <f>GP575=GP411</f>
        <v>1</v>
      </c>
      <c r="GQ576" s="3"/>
      <c r="GR576" s="423" t="b">
        <f>GR575=GR411</f>
        <v>1</v>
      </c>
      <c r="GS576" s="3"/>
      <c r="GT576" s="3"/>
      <c r="GU576" s="562"/>
      <c r="GV576" s="562"/>
      <c r="GW576"/>
      <c r="GX576"/>
      <c r="GY576"/>
      <c r="GZ576"/>
      <c r="HA576"/>
      <c r="HB576"/>
      <c r="HC576" s="562"/>
      <c r="HD576" s="562"/>
      <c r="HE576" s="562"/>
      <c r="HF576" s="562"/>
      <c r="HG576" s="562"/>
      <c r="HH576" s="562"/>
      <c r="HI576" s="562"/>
      <c r="HJ576" s="562"/>
      <c r="HK576" s="562"/>
      <c r="HL576" s="562"/>
      <c r="HM576" s="562"/>
      <c r="HN576" s="562"/>
      <c r="HO576" s="562"/>
      <c r="HP576" s="562"/>
      <c r="HQ576" s="562"/>
      <c r="HR576" s="562"/>
      <c r="HS576" s="562"/>
      <c r="HT576" s="562"/>
      <c r="HU576" s="562"/>
      <c r="HV576" s="562"/>
      <c r="HW576" s="562"/>
      <c r="HX576" s="562"/>
      <c r="HY576" s="562"/>
      <c r="HZ576" s="562"/>
      <c r="IA576" s="562"/>
      <c r="IB576" s="562"/>
      <c r="IC576" s="562"/>
      <c r="ID576" s="562"/>
      <c r="IE576" s="562"/>
      <c r="IF576" s="562"/>
      <c r="IG576" s="562"/>
      <c r="IH576" s="562"/>
      <c r="II576" s="562"/>
      <c r="IJ576" s="562"/>
      <c r="IK576" s="562"/>
      <c r="IL576" s="562"/>
      <c r="IM576" s="562"/>
      <c r="IN576" s="562"/>
      <c r="IO576" s="562"/>
      <c r="IP576" s="562"/>
      <c r="IQ576" s="562"/>
      <c r="IR576" s="562"/>
      <c r="IS576" s="562"/>
      <c r="IT576" s="562"/>
      <c r="IU576" s="562"/>
      <c r="IV576" s="562"/>
      <c r="IW576" s="562"/>
      <c r="IX576" s="562"/>
      <c r="IY576" s="562"/>
      <c r="IZ576" s="562"/>
      <c r="JA576" s="562"/>
      <c r="JB576" s="562"/>
      <c r="JC576" s="562"/>
      <c r="JD576" s="562"/>
      <c r="JE576" s="562"/>
      <c r="JF576" s="562"/>
      <c r="JG576" s="562"/>
      <c r="JH576" s="562"/>
      <c r="JI576" s="562"/>
      <c r="JJ576" s="562"/>
      <c r="JK576" s="562"/>
      <c r="JL576" s="562"/>
      <c r="JM576" s="562"/>
      <c r="JN576" s="562"/>
      <c r="JO576" s="562"/>
      <c r="JP576" s="562"/>
      <c r="JQ576" s="562"/>
      <c r="JR576" s="562"/>
      <c r="JS576" s="562"/>
      <c r="JT576" s="562"/>
      <c r="JU576" s="562"/>
      <c r="JV576" s="562"/>
      <c r="JW576" s="562"/>
      <c r="JX576" s="562"/>
      <c r="JY576" s="562"/>
      <c r="JZ576" s="562"/>
    </row>
    <row r="577" spans="1:286" ht="12.75" hidden="1" customHeight="1" outlineLevel="1" x14ac:dyDescent="0.2">
      <c r="A577" s="1"/>
      <c r="B577" s="2"/>
      <c r="C577" s="3"/>
      <c r="D577" s="3"/>
      <c r="E577" s="4"/>
      <c r="F577" s="4"/>
      <c r="G577" s="4"/>
      <c r="H577" s="4"/>
      <c r="I577" s="4"/>
      <c r="J577" s="4"/>
      <c r="K577" s="4"/>
      <c r="L577" s="4"/>
      <c r="M577" s="4"/>
      <c r="N577" s="423"/>
      <c r="O577" s="4"/>
      <c r="P577" s="423"/>
      <c r="Q577" s="4"/>
      <c r="R577" s="423"/>
      <c r="S577" s="4"/>
      <c r="T577" s="423"/>
      <c r="U577" s="4"/>
      <c r="V577" s="3"/>
      <c r="W577" s="4"/>
      <c r="X577" s="3"/>
      <c r="Y577" s="4"/>
      <c r="Z577" s="5"/>
      <c r="AA577" s="397"/>
      <c r="AB577" s="3"/>
      <c r="AC577" s="4"/>
      <c r="AD577" s="3"/>
      <c r="AE577" s="4"/>
      <c r="AF577" s="3"/>
      <c r="AG577" s="4"/>
      <c r="AH577" s="3"/>
      <c r="AI577" s="4"/>
      <c r="AJ577" s="3"/>
      <c r="AK577" s="4"/>
      <c r="AL577" s="3"/>
      <c r="AM577" s="4"/>
      <c r="AN577" s="3"/>
      <c r="AO577" s="4"/>
      <c r="AP577" s="3"/>
      <c r="AQ577" s="4"/>
      <c r="AR577" s="3"/>
      <c r="AS577" s="4"/>
      <c r="AT577" s="7"/>
      <c r="AU577" s="4"/>
      <c r="AV577" s="7"/>
      <c r="AW577" s="4"/>
      <c r="AX577" s="7"/>
      <c r="AY577" s="4"/>
      <c r="AZ577" s="7"/>
      <c r="BA577" s="4"/>
      <c r="BB577" s="7"/>
      <c r="BC577" s="4"/>
      <c r="BD577" s="7"/>
      <c r="BE577" s="4"/>
      <c r="BF577" s="7"/>
      <c r="BG577" s="4"/>
      <c r="BH577" s="7"/>
      <c r="BI577" s="4"/>
      <c r="BJ577" s="7"/>
      <c r="BK577" s="4"/>
      <c r="BL577" s="7"/>
      <c r="BM577" s="4"/>
      <c r="BN577" s="7"/>
      <c r="BO577" s="4"/>
      <c r="BP577" s="7"/>
      <c r="BQ577" s="4"/>
      <c r="BR577" s="7"/>
      <c r="BS577" s="4"/>
      <c r="BT577" s="7"/>
      <c r="BU577" s="4"/>
      <c r="BV577" s="7"/>
      <c r="BW577" s="4"/>
      <c r="BX577" s="7"/>
      <c r="BY577" s="4"/>
      <c r="BZ577" s="7"/>
      <c r="CA577" s="4"/>
      <c r="CB577" s="7"/>
      <c r="CC577" s="4"/>
      <c r="CD577" s="7"/>
      <c r="CE577" s="4"/>
      <c r="CF577" s="7"/>
      <c r="CG577" s="4"/>
      <c r="CH577" s="7"/>
      <c r="CI577" s="4"/>
      <c r="CJ577" s="7"/>
      <c r="CK577" s="4"/>
      <c r="CL577" s="7"/>
      <c r="CM577" s="4"/>
      <c r="CN577" s="7"/>
      <c r="CO577" s="4"/>
      <c r="CP577" s="7"/>
      <c r="CQ577" s="4"/>
      <c r="CR577" s="7"/>
      <c r="CS577" s="4"/>
      <c r="CT577" s="7"/>
      <c r="CU577" s="4"/>
      <c r="CV577" s="7"/>
      <c r="CW577" s="4"/>
      <c r="CX577" s="7"/>
      <c r="CY577" s="4"/>
      <c r="CZ577" s="7"/>
      <c r="DA577" s="4"/>
      <c r="DB577" s="7"/>
      <c r="DC577" s="4"/>
      <c r="DD577" s="7"/>
      <c r="DE577" s="4"/>
      <c r="DF577" s="7"/>
      <c r="DG577" s="4"/>
      <c r="DH577" s="7"/>
      <c r="DI577" s="4"/>
      <c r="DJ577" s="7"/>
      <c r="DK577" s="4"/>
      <c r="DL577" s="7"/>
      <c r="DM577" s="4"/>
      <c r="DN577" s="7"/>
      <c r="DO577" s="4"/>
      <c r="DP577" s="7"/>
      <c r="DQ577" s="4"/>
      <c r="DR577" s="7"/>
      <c r="DS577" s="4"/>
      <c r="DT577" s="7"/>
      <c r="DU577" s="4"/>
      <c r="DV577" s="7"/>
      <c r="DW577" s="4"/>
      <c r="DX577" s="7"/>
      <c r="DY577" s="4"/>
      <c r="DZ577" s="7"/>
      <c r="EA577" s="4"/>
      <c r="EB577" s="7"/>
      <c r="EC577" s="4"/>
      <c r="ED577" s="7"/>
      <c r="EE577" s="4"/>
      <c r="EF577" s="7"/>
      <c r="EG577" s="4"/>
      <c r="EH577" s="7"/>
      <c r="EI577" s="4"/>
      <c r="EJ577" s="7"/>
      <c r="EK577" s="4"/>
      <c r="EL577" s="7"/>
      <c r="EM577" s="4"/>
      <c r="EN577" s="7"/>
      <c r="EO577" s="4"/>
      <c r="EP577" s="7"/>
      <c r="EQ577" s="4"/>
      <c r="ER577" s="7"/>
      <c r="ES577" s="4"/>
      <c r="ET577" s="494"/>
      <c r="EU577" s="4"/>
      <c r="EV577" s="4"/>
      <c r="EW577" s="3"/>
      <c r="EX577" s="4"/>
      <c r="EY577" s="3"/>
      <c r="EZ577" s="4"/>
      <c r="FA577" s="3"/>
      <c r="FB577" s="4"/>
      <c r="FC577" s="3"/>
      <c r="FD577" s="4"/>
      <c r="FE577" s="3"/>
      <c r="FF577" s="78"/>
      <c r="FG577" s="3"/>
      <c r="FH577" s="4"/>
      <c r="FI577" s="3"/>
      <c r="FJ577" s="4"/>
      <c r="FK577" s="3"/>
      <c r="FL577" s="4"/>
      <c r="FM577" s="3"/>
      <c r="FN577" s="4"/>
      <c r="FO577" s="3"/>
      <c r="FP577" s="4"/>
      <c r="FQ577" s="3"/>
      <c r="FR577" s="4"/>
      <c r="FS577" s="3"/>
      <c r="FT577" s="4"/>
      <c r="FU577" s="3"/>
      <c r="FV577" s="4"/>
      <c r="FW577" s="3"/>
      <c r="FX577" s="4"/>
      <c r="FY577" s="3"/>
      <c r="FZ577" s="4"/>
      <c r="GA577" s="3"/>
      <c r="GB577" s="4"/>
      <c r="GC577" s="3"/>
      <c r="GD577" s="4"/>
      <c r="GE577" s="3"/>
      <c r="GF577" s="4"/>
      <c r="GG577" s="3"/>
      <c r="GH577" s="4"/>
      <c r="GI577" s="3"/>
      <c r="GJ577" s="4"/>
      <c r="GK577" s="3"/>
      <c r="GL577" s="4"/>
      <c r="GM577" s="3"/>
      <c r="GN577" s="4"/>
      <c r="GO577" s="3"/>
      <c r="GP577" s="4"/>
      <c r="GQ577" s="3"/>
      <c r="GR577" s="4"/>
      <c r="GS577" s="3"/>
      <c r="GT577" s="3"/>
    </row>
    <row r="578" spans="1:286" ht="12.75" hidden="1" customHeight="1" outlineLevel="1" x14ac:dyDescent="0.2">
      <c r="A578" s="1" t="s">
        <v>242</v>
      </c>
      <c r="B578" s="2" t="s">
        <v>76</v>
      </c>
      <c r="C578" s="3"/>
      <c r="D578" s="3"/>
      <c r="E578" s="402"/>
      <c r="F578" s="402"/>
      <c r="G578" s="402"/>
      <c r="H578" s="402"/>
      <c r="I578" s="402"/>
      <c r="J578" s="402"/>
      <c r="K578" s="402"/>
      <c r="L578" s="402"/>
      <c r="M578" s="402"/>
      <c r="N578" s="424"/>
      <c r="O578" s="402"/>
      <c r="P578" s="424"/>
      <c r="Q578" s="402"/>
      <c r="R578" s="424"/>
      <c r="S578" s="402"/>
      <c r="T578" s="424"/>
      <c r="U578" s="402"/>
      <c r="V578" s="3"/>
      <c r="W578" s="402"/>
      <c r="X578" s="3"/>
      <c r="Y578" s="402"/>
      <c r="Z578" s="5"/>
      <c r="AA578" s="403"/>
      <c r="AB578" s="3"/>
      <c r="AC578" s="402">
        <f>AC51</f>
        <v>93.092598142043741</v>
      </c>
      <c r="AD578" s="3"/>
      <c r="AE578" s="402">
        <f>AE51</f>
        <v>92.442298989289483</v>
      </c>
      <c r="AF578" s="3"/>
      <c r="AG578" s="402">
        <f>AG51</f>
        <v>92.935278030993615</v>
      </c>
      <c r="AH578" s="3"/>
      <c r="AI578" s="402">
        <f>AI51</f>
        <v>104.73940871685463</v>
      </c>
      <c r="AJ578" s="3"/>
      <c r="AK578" s="402">
        <f>AK51</f>
        <v>95.294302801384916</v>
      </c>
      <c r="AL578" s="3"/>
      <c r="AM578" s="402">
        <f>AM51</f>
        <v>93.451633165829151</v>
      </c>
      <c r="AN578" s="3"/>
      <c r="AO578" s="402">
        <f>AO51</f>
        <v>92.444089456869023</v>
      </c>
      <c r="AP578" s="3"/>
      <c r="AQ578" s="402">
        <f>AQ51</f>
        <v>93.870096871526115</v>
      </c>
      <c r="AR578" s="3"/>
      <c r="AS578" s="402">
        <f>AS51</f>
        <v>95.450145208131659</v>
      </c>
      <c r="AT578" s="7"/>
      <c r="AU578" s="402">
        <f>AU51</f>
        <v>95.055386097286885</v>
      </c>
      <c r="AV578" s="7"/>
      <c r="AW578" s="402">
        <f>AW51</f>
        <v>92.090303719343822</v>
      </c>
      <c r="AX578" s="7"/>
      <c r="AY578" s="402">
        <f>AY51</f>
        <v>94.000959846424564</v>
      </c>
      <c r="AZ578" s="7"/>
      <c r="BA578" s="402">
        <f>BA51</f>
        <v>93.390950686324345</v>
      </c>
      <c r="BB578" s="7"/>
      <c r="BC578" s="402">
        <f>BC51</f>
        <v>94.370589200722151</v>
      </c>
      <c r="BD578" s="7"/>
      <c r="BE578" s="402">
        <f>BE51</f>
        <v>92.095061520310125</v>
      </c>
      <c r="BF578" s="7"/>
      <c r="BG578" s="402">
        <f>BG51</f>
        <v>91.522256201155287</v>
      </c>
      <c r="BH578" s="7"/>
      <c r="BI578" s="402">
        <f>BI51</f>
        <v>91.027445460942999</v>
      </c>
      <c r="BJ578" s="7"/>
      <c r="BK578" s="402">
        <f>BK51</f>
        <v>90.498605299860529</v>
      </c>
      <c r="BL578" s="7"/>
      <c r="BM578" s="402">
        <f>BM51</f>
        <v>89.349217638691329</v>
      </c>
      <c r="BN578" s="7"/>
      <c r="BO578" s="402">
        <f>BO51</f>
        <v>88.703443429374545</v>
      </c>
      <c r="BP578" s="7"/>
      <c r="BQ578" s="402">
        <f>BQ51</f>
        <v>88.033718160161243</v>
      </c>
      <c r="BR578" s="7"/>
      <c r="BS578" s="402">
        <f>BS51</f>
        <v>87.024029574861373</v>
      </c>
      <c r="BT578" s="7"/>
      <c r="BU578" s="402">
        <f>BU51</f>
        <v>85.318198734648306</v>
      </c>
      <c r="BV578" s="7"/>
      <c r="BW578" s="402">
        <f>BW51</f>
        <v>84.596713965646003</v>
      </c>
      <c r="BX578" s="7"/>
      <c r="BY578" s="402">
        <f>BY51</f>
        <v>84.189344576466084</v>
      </c>
      <c r="BZ578" s="7"/>
      <c r="CA578" s="402">
        <f>CA51</f>
        <v>84.616861916650649</v>
      </c>
      <c r="CB578" s="7"/>
      <c r="CC578" s="402">
        <f>CC51</f>
        <v>84.637850467289709</v>
      </c>
      <c r="CD578" s="7"/>
      <c r="CE578" s="402">
        <f>CE51</f>
        <v>84.247374562427055</v>
      </c>
      <c r="CF578" s="7"/>
      <c r="CG578" s="402">
        <f>CG51</f>
        <v>83.917322834645674</v>
      </c>
      <c r="CH578" s="7"/>
      <c r="CI578" s="402">
        <f>CI51</f>
        <v>84.371304690579436</v>
      </c>
      <c r="CJ578" s="7"/>
      <c r="CK578" s="402">
        <f>CK51</f>
        <v>85.478483002554526</v>
      </c>
      <c r="CL578" s="7"/>
      <c r="CM578" s="402">
        <f>CM51</f>
        <v>84.660536098610834</v>
      </c>
      <c r="CN578" s="7"/>
      <c r="CO578" s="402">
        <f>CO51</f>
        <v>84.898674980514414</v>
      </c>
      <c r="CP578" s="7"/>
      <c r="CQ578" s="402">
        <f>CQ51</f>
        <v>84.651162790697683</v>
      </c>
      <c r="CR578" s="7"/>
      <c r="CS578" s="402">
        <f>CS51</f>
        <v>84.897560975609764</v>
      </c>
      <c r="CT578" s="7"/>
      <c r="CU578" s="402">
        <f>CU51</f>
        <v>84.46866485013625</v>
      </c>
      <c r="CV578" s="7"/>
      <c r="CW578" s="402">
        <f>CW51</f>
        <v>84.284895932785929</v>
      </c>
      <c r="CX578" s="7"/>
      <c r="CY578" s="402">
        <f>CY51</f>
        <v>83.90914296621493</v>
      </c>
      <c r="CZ578" s="7"/>
      <c r="DA578" s="402">
        <f>DA51</f>
        <v>82.857142857142861</v>
      </c>
      <c r="DB578" s="7"/>
      <c r="DC578" s="402">
        <f>DC51</f>
        <v>83.22252639812281</v>
      </c>
      <c r="DD578" s="7"/>
      <c r="DE578" s="402">
        <f>DE51</f>
        <v>83.045314900153627</v>
      </c>
      <c r="DF578" s="7"/>
      <c r="DG578" s="402">
        <f>DG51</f>
        <v>81.889312977099237</v>
      </c>
      <c r="DH578" s="7"/>
      <c r="DI578" s="402">
        <f>DI51</f>
        <v>82.110266159695811</v>
      </c>
      <c r="DJ578" s="7"/>
      <c r="DK578" s="402">
        <f>DK51</f>
        <v>83.746301775147941</v>
      </c>
      <c r="DL578" s="7"/>
      <c r="DM578" s="402">
        <f>DM51</f>
        <v>80.10849909584087</v>
      </c>
      <c r="DN578" s="7"/>
      <c r="DO578" s="402">
        <f>DO51</f>
        <v>83.386809269162214</v>
      </c>
      <c r="DP578" s="7"/>
      <c r="DQ578" s="402">
        <f>DQ51</f>
        <v>80.546255506607935</v>
      </c>
      <c r="DR578" s="7"/>
      <c r="DS578" s="402">
        <f>DS51</f>
        <v>81.68594461969856</v>
      </c>
      <c r="DT578" s="7"/>
      <c r="DU578" s="402">
        <f>DU51</f>
        <v>80.649549396361166</v>
      </c>
      <c r="DV578" s="7"/>
      <c r="DW578" s="402">
        <f>DW51</f>
        <v>79.986419962654892</v>
      </c>
      <c r="DX578" s="7"/>
      <c r="DY578" s="402">
        <f>DY51</f>
        <v>78.564084989718992</v>
      </c>
      <c r="DZ578" s="7"/>
      <c r="EA578" s="402">
        <f>EA51</f>
        <v>77.682040885284692</v>
      </c>
      <c r="EB578" s="7"/>
      <c r="EC578" s="402">
        <f>EC51</f>
        <v>76.616579436096572</v>
      </c>
      <c r="ED578" s="7"/>
      <c r="EE578" s="402">
        <f>EE51</f>
        <v>76.493288590604024</v>
      </c>
      <c r="EF578" s="7"/>
      <c r="EG578" s="402">
        <f>EG51</f>
        <v>76.656045614623523</v>
      </c>
      <c r="EH578" s="7"/>
      <c r="EI578" s="402">
        <f>EI51</f>
        <v>76.339285714285722</v>
      </c>
      <c r="EJ578" s="7"/>
      <c r="EK578" s="402">
        <f t="shared" ref="EK578:EQ578" si="2329">EK51</f>
        <v>76.339285714285722</v>
      </c>
      <c r="EL578" s="7"/>
      <c r="EM578" s="402">
        <f t="shared" si="2329"/>
        <v>76.339285714285722</v>
      </c>
      <c r="EN578" s="7"/>
      <c r="EO578" s="402">
        <f t="shared" si="2329"/>
        <v>76.339285714285722</v>
      </c>
      <c r="EP578" s="7"/>
      <c r="EQ578" s="402">
        <f t="shared" si="2329"/>
        <v>76.13928571428572</v>
      </c>
      <c r="ER578" s="7"/>
      <c r="ES578" s="4"/>
      <c r="ET578" s="494"/>
      <c r="EU578" s="4"/>
      <c r="EV578" s="4"/>
      <c r="EW578" s="3"/>
      <c r="EX578" s="4"/>
      <c r="EY578" s="3"/>
      <c r="EZ578" s="4"/>
      <c r="FA578" s="3"/>
      <c r="FB578" s="4"/>
      <c r="FC578" s="3"/>
      <c r="FD578" s="4"/>
      <c r="FE578" s="3"/>
      <c r="FF578" s="78"/>
      <c r="FG578" s="3"/>
      <c r="FH578" s="402">
        <f>FH51</f>
        <v>95.780239724732482</v>
      </c>
      <c r="FI578" s="3"/>
      <c r="FJ578" s="402">
        <f>FJ51</f>
        <v>93.769532022627473</v>
      </c>
      <c r="FK578" s="3"/>
      <c r="FL578" s="402">
        <f>FL51</f>
        <v>94.153412522649489</v>
      </c>
      <c r="FM578" s="3"/>
      <c r="FN578" s="402">
        <f>FN51</f>
        <v>92.856842900936456</v>
      </c>
      <c r="FO578" s="3"/>
      <c r="FP578" s="402">
        <f>FP51</f>
        <v>89.897079521463752</v>
      </c>
      <c r="FQ578" s="3"/>
      <c r="FR578" s="402">
        <f>FR51</f>
        <v>86.252720285224811</v>
      </c>
      <c r="FS578" s="3"/>
      <c r="FT578" s="402">
        <f>FT51</f>
        <v>84.4225474568903</v>
      </c>
      <c r="FU578" s="3"/>
      <c r="FV578" s="402">
        <f>FV51</f>
        <v>84.607448167436388</v>
      </c>
      <c r="FW578" s="3"/>
      <c r="FX578" s="402">
        <f>FX51</f>
        <v>84.728776453417652</v>
      </c>
      <c r="FY578" s="3"/>
      <c r="FZ578" s="402">
        <f>FZ51</f>
        <v>83.573667711598759</v>
      </c>
      <c r="GA578" s="3"/>
      <c r="GB578" s="402">
        <f>GB51</f>
        <v>82.705057776093966</v>
      </c>
      <c r="GC578" s="3"/>
      <c r="GD578" s="402">
        <f>GD51</f>
        <v>81.435105013098891</v>
      </c>
      <c r="GE578" s="3"/>
      <c r="GF578" s="402">
        <f>GF51</f>
        <v>79.21962001105112</v>
      </c>
      <c r="GG578" s="3"/>
      <c r="GH578" s="402">
        <f>GH51</f>
        <v>76.525487570101305</v>
      </c>
      <c r="GI578" s="3"/>
      <c r="GJ578" s="402">
        <f>GJ51</f>
        <v>76.289370329337501</v>
      </c>
      <c r="GK578" s="3"/>
      <c r="GL578" s="402">
        <f>GL51</f>
        <v>76.289370329337501</v>
      </c>
      <c r="GM578" s="3"/>
      <c r="GN578" s="402">
        <f>GN51</f>
        <v>76.289370329337501</v>
      </c>
      <c r="GO578" s="3"/>
      <c r="GP578" s="402">
        <f>GP51</f>
        <v>76.289370329337501</v>
      </c>
      <c r="GQ578" s="3"/>
      <c r="GR578" s="402">
        <f>GR51</f>
        <v>76.289370329337501</v>
      </c>
      <c r="GS578" s="3"/>
      <c r="GT578" s="3"/>
    </row>
    <row r="579" spans="1:286" ht="12.75" hidden="1" customHeight="1" outlineLevel="1" x14ac:dyDescent="0.2">
      <c r="A579" s="1"/>
      <c r="B579" s="2"/>
      <c r="C579" s="3"/>
      <c r="D579" s="3"/>
      <c r="E579" s="4"/>
      <c r="F579" s="4"/>
      <c r="G579" s="4"/>
      <c r="H579" s="4"/>
      <c r="I579" s="4"/>
      <c r="J579" s="4"/>
      <c r="K579" s="4"/>
      <c r="L579" s="4"/>
      <c r="M579" s="4"/>
      <c r="N579" s="423"/>
      <c r="O579" s="4"/>
      <c r="P579" s="423"/>
      <c r="Q579" s="4"/>
      <c r="R579" s="423"/>
      <c r="S579" s="4"/>
      <c r="T579" s="423"/>
      <c r="U579" s="4"/>
      <c r="V579" s="3"/>
      <c r="W579" s="4"/>
      <c r="X579" s="3"/>
      <c r="Y579" s="4"/>
      <c r="Z579" s="5"/>
      <c r="AA579" s="397"/>
      <c r="AB579" s="3"/>
      <c r="AC579" s="4"/>
      <c r="AD579" s="3"/>
      <c r="AE579" s="4"/>
      <c r="AF579" s="3"/>
      <c r="AG579" s="4"/>
      <c r="AH579" s="3"/>
      <c r="AI579" s="4"/>
      <c r="AJ579" s="3"/>
      <c r="AK579" s="4"/>
      <c r="AL579" s="3"/>
      <c r="AM579" s="4"/>
      <c r="AN579" s="3"/>
      <c r="AO579" s="4"/>
      <c r="AP579" s="3"/>
      <c r="AQ579" s="4"/>
      <c r="AR579" s="3"/>
      <c r="AS579" s="4"/>
      <c r="AT579" s="7"/>
      <c r="AU579" s="4"/>
      <c r="AV579" s="7"/>
      <c r="AW579" s="4"/>
      <c r="AX579" s="7"/>
      <c r="AY579" s="4"/>
      <c r="AZ579" s="7"/>
      <c r="BA579" s="4"/>
      <c r="BB579" s="7"/>
      <c r="BC579" s="4"/>
      <c r="BD579" s="7"/>
      <c r="BE579" s="4"/>
      <c r="BF579" s="7"/>
      <c r="BG579" s="4"/>
      <c r="BH579" s="7"/>
      <c r="BI579" s="4"/>
      <c r="BJ579" s="7"/>
      <c r="BK579" s="4"/>
      <c r="BL579" s="7"/>
      <c r="BM579" s="4"/>
      <c r="BN579" s="7"/>
      <c r="BO579" s="4"/>
      <c r="BP579" s="7"/>
      <c r="BQ579" s="4"/>
      <c r="BR579" s="7"/>
      <c r="BS579" s="4"/>
      <c r="BT579" s="7"/>
      <c r="BU579" s="4"/>
      <c r="BV579" s="7"/>
      <c r="BW579" s="4"/>
      <c r="BX579" s="7"/>
      <c r="BY579" s="4"/>
      <c r="BZ579" s="7"/>
      <c r="CA579" s="4"/>
      <c r="CB579" s="7"/>
      <c r="CC579" s="4"/>
      <c r="CD579" s="7"/>
      <c r="CE579" s="4"/>
      <c r="CF579" s="7"/>
      <c r="CG579" s="4"/>
      <c r="CH579" s="7"/>
      <c r="CI579" s="4"/>
      <c r="CJ579" s="7"/>
      <c r="CK579" s="4"/>
      <c r="CL579" s="7"/>
      <c r="CM579" s="4"/>
      <c r="CN579" s="7"/>
      <c r="CO579" s="4"/>
      <c r="CP579" s="7"/>
      <c r="CQ579" s="4"/>
      <c r="CR579" s="7"/>
      <c r="CS579" s="4"/>
      <c r="CT579" s="7"/>
      <c r="CU579" s="4"/>
      <c r="CV579" s="7"/>
      <c r="CW579" s="4"/>
      <c r="CX579" s="7"/>
      <c r="CY579" s="4"/>
      <c r="CZ579" s="7"/>
      <c r="DA579" s="4"/>
      <c r="DB579" s="7"/>
      <c r="DC579" s="4"/>
      <c r="DD579" s="7"/>
      <c r="DE579" s="4"/>
      <c r="DF579" s="7"/>
      <c r="DG579" s="4"/>
      <c r="DH579" s="7"/>
      <c r="DI579" s="4"/>
      <c r="DJ579" s="7"/>
      <c r="DK579" s="4"/>
      <c r="DL579" s="7"/>
      <c r="DM579" s="4"/>
      <c r="DN579" s="7"/>
      <c r="DO579" s="4"/>
      <c r="DP579" s="7"/>
      <c r="DQ579" s="4"/>
      <c r="DR579" s="7"/>
      <c r="DS579" s="4"/>
      <c r="DT579" s="7"/>
      <c r="DU579" s="4"/>
      <c r="DV579" s="7"/>
      <c r="DW579" s="4"/>
      <c r="DX579" s="7"/>
      <c r="DY579" s="4"/>
      <c r="DZ579" s="7"/>
      <c r="EA579" s="4"/>
      <c r="EB579" s="7"/>
      <c r="EC579" s="4"/>
      <c r="ED579" s="7"/>
      <c r="EE579" s="4"/>
      <c r="EF579" s="7"/>
      <c r="EG579" s="4"/>
      <c r="EH579" s="7"/>
      <c r="EI579" s="4"/>
      <c r="EJ579" s="7"/>
      <c r="EK579" s="4"/>
      <c r="EL579" s="7"/>
      <c r="EM579" s="4"/>
      <c r="EN579" s="7"/>
      <c r="EO579" s="4"/>
      <c r="EP579" s="7"/>
      <c r="EQ579" s="4"/>
      <c r="ER579" s="7"/>
      <c r="ES579" s="4"/>
      <c r="ET579" s="494"/>
      <c r="EU579" s="4"/>
      <c r="EV579" s="4"/>
      <c r="EW579" s="3"/>
      <c r="EX579" s="4"/>
      <c r="EY579" s="3"/>
      <c r="EZ579" s="4"/>
      <c r="FA579" s="3"/>
      <c r="FB579" s="4"/>
      <c r="FC579" s="3"/>
      <c r="FD579" s="4"/>
      <c r="FE579" s="3"/>
      <c r="FF579" s="78"/>
      <c r="FG579" s="3"/>
      <c r="FH579" s="4"/>
      <c r="FI579" s="3"/>
      <c r="FJ579" s="4"/>
      <c r="FK579" s="3"/>
      <c r="FL579" s="4"/>
      <c r="FM579" s="3"/>
      <c r="FN579" s="4"/>
      <c r="FO579" s="3"/>
      <c r="FP579" s="4"/>
      <c r="FQ579" s="3"/>
      <c r="FR579" s="4"/>
      <c r="FS579" s="3"/>
      <c r="FT579" s="4"/>
      <c r="FU579" s="3"/>
      <c r="FV579" s="4"/>
      <c r="FW579" s="3"/>
      <c r="FX579" s="4"/>
      <c r="FY579" s="3"/>
      <c r="FZ579" s="4"/>
      <c r="GA579" s="3"/>
      <c r="GB579" s="4"/>
      <c r="GC579" s="3"/>
      <c r="GD579" s="4"/>
      <c r="GE579" s="3"/>
      <c r="GF579" s="4"/>
      <c r="GG579" s="3"/>
      <c r="GH579" s="4"/>
      <c r="GI579" s="3"/>
      <c r="GJ579" s="4"/>
      <c r="GK579" s="3"/>
      <c r="GL579" s="4"/>
      <c r="GM579" s="3"/>
      <c r="GN579" s="4"/>
      <c r="GO579" s="3"/>
      <c r="GP579" s="4"/>
      <c r="GQ579" s="3"/>
      <c r="GR579" s="4"/>
      <c r="GS579" s="3"/>
      <c r="GT579" s="3"/>
    </row>
    <row r="580" spans="1:286" ht="12.75" hidden="1" customHeight="1" outlineLevel="1" x14ac:dyDescent="0.2">
      <c r="A580" s="1" t="s">
        <v>240</v>
      </c>
      <c r="B580" s="2" t="s">
        <v>78</v>
      </c>
      <c r="C580" s="3"/>
      <c r="D580" s="3"/>
      <c r="E580" s="6">
        <f>E411*(1-E415/100)</f>
        <v>0.48381120423468971</v>
      </c>
      <c r="F580" s="6"/>
      <c r="G580" s="6">
        <f>G411*(1-G415/100)</f>
        <v>9.2298493408662754</v>
      </c>
      <c r="H580" s="6"/>
      <c r="I580" s="6">
        <f>I411*(1-I415/100)</f>
        <v>-5.5630959057767431</v>
      </c>
      <c r="J580" s="6"/>
      <c r="K580" s="6">
        <f>K411*(1-K415/100)</f>
        <v>5.1261101243339233</v>
      </c>
      <c r="L580" s="6"/>
      <c r="M580" s="6">
        <f>M411*(1-M415/100)</f>
        <v>29.618384401114216</v>
      </c>
      <c r="N580" s="425"/>
      <c r="O580" s="6">
        <f>O411*(1-O415/100)</f>
        <v>22.080421422300272</v>
      </c>
      <c r="P580" s="425"/>
      <c r="Q580" s="6">
        <f>Q411*(1-Q415/100)</f>
        <v>22.719827586206868</v>
      </c>
      <c r="R580" s="425"/>
      <c r="S580" s="6">
        <f>S411*(1-S415/100)</f>
        <v>11.858828709819472</v>
      </c>
      <c r="T580" s="425"/>
      <c r="U580" s="6">
        <f>U411*(1-U415/100)</f>
        <v>-193.4000000000006</v>
      </c>
      <c r="V580" s="3"/>
      <c r="W580" s="6">
        <f>W411*(1-W415/100)</f>
        <v>111.39999999999998</v>
      </c>
      <c r="X580" s="3"/>
      <c r="Y580" s="6">
        <f>Y411*(1-Y415/100)</f>
        <v>114.80000000000028</v>
      </c>
      <c r="Z580" s="5"/>
      <c r="AA580" s="404">
        <f>AA411*(1-AA415/100)</f>
        <v>-184.09999999999991</v>
      </c>
      <c r="AB580" s="3"/>
      <c r="AC580" s="6">
        <f>AC411*(1-AC415/100)+701</f>
        <v>115.70000000000005</v>
      </c>
      <c r="AD580" s="3"/>
      <c r="AE580" s="6">
        <f>AE411*(1-AE415/100)</f>
        <v>130.9000000000002</v>
      </c>
      <c r="AF580" s="3"/>
      <c r="AG580" s="6">
        <f>AG411*(1-AG415/100)</f>
        <v>126.42999999999998</v>
      </c>
      <c r="AH580" s="3"/>
      <c r="AI580" s="6">
        <f>AI411*(1-AI415/100)</f>
        <v>117.07000000000012</v>
      </c>
      <c r="AJ580" s="3"/>
      <c r="AK580" s="6">
        <f>AK411*(1-AK415/100)</f>
        <v>127.58138528138576</v>
      </c>
      <c r="AL580" s="3"/>
      <c r="AM580" s="6">
        <f>AM411*(1-AM415/100)</f>
        <v>128.69999999999973</v>
      </c>
      <c r="AN580" s="3"/>
      <c r="AO580" s="6">
        <f>AO411*(1-AO415/100)</f>
        <v>135.69999999999996</v>
      </c>
      <c r="AP580" s="3"/>
      <c r="AQ580" s="6">
        <f>AQ411*(1-AQ415/100)</f>
        <v>143.93268553123329</v>
      </c>
      <c r="AR580" s="3"/>
      <c r="AS580" s="6">
        <f>AS411*(1-AS415/100)</f>
        <v>133.09999999999988</v>
      </c>
      <c r="AT580" s="7"/>
      <c r="AU580" s="6">
        <f>AU411*(1-AU415/100)</f>
        <v>140.36999999999972</v>
      </c>
      <c r="AV580" s="7"/>
      <c r="AW580" s="6">
        <f>AW411*(1-AW415/100)</f>
        <v>157.42280000000011</v>
      </c>
      <c r="AX580" s="7"/>
      <c r="AY580" s="6">
        <f>AY411*(1-AY415/100)</f>
        <v>168.26566037735859</v>
      </c>
      <c r="AZ580" s="7"/>
      <c r="BA580" s="6">
        <f>BA411*(1-BA415/100)</f>
        <v>174.59999999999997</v>
      </c>
      <c r="BB580" s="7"/>
      <c r="BC580" s="6">
        <f>BC411*(1-BC415/100)</f>
        <v>181.5</v>
      </c>
      <c r="BD580" s="7"/>
      <c r="BE580" s="6">
        <f>BE411*(1-BE415/100)</f>
        <v>216.89999999999984</v>
      </c>
      <c r="BF580" s="7"/>
      <c r="BG580" s="6">
        <f>BG411*(1-BG415/100)</f>
        <v>221.08777705345508</v>
      </c>
      <c r="BH580" s="7"/>
      <c r="BI580" s="6">
        <f>BI411*(1-BI415/100)</f>
        <v>207.79999999999995</v>
      </c>
      <c r="BJ580" s="7"/>
      <c r="BK580" s="6">
        <f>BK411*(1-BK415/100)</f>
        <v>214.68841302434706</v>
      </c>
      <c r="BL580" s="7"/>
      <c r="BM580" s="6">
        <f>BM411*(1-BM415/100)</f>
        <v>213.10291769041751</v>
      </c>
      <c r="BN580" s="7"/>
      <c r="BO580" s="6">
        <f>BO411*(1-BO415/100)</f>
        <v>209.40000000000023</v>
      </c>
      <c r="BP580" s="7"/>
      <c r="BQ580" s="6">
        <f>BQ411*(1-BQ415/100)</f>
        <v>206.6999999999999</v>
      </c>
      <c r="BR580" s="7"/>
      <c r="BS580" s="6">
        <f>BS411*(1-BS415/100)</f>
        <v>215.80000000000013</v>
      </c>
      <c r="BT580" s="7"/>
      <c r="BU580" s="6">
        <f>BU411*(1-BU415/100)</f>
        <v>211.5999999999998</v>
      </c>
      <c r="BV580" s="7"/>
      <c r="BW580" s="6">
        <f>BW411*(1-BW415/100)</f>
        <v>218.29999999999981</v>
      </c>
      <c r="BX580" s="7"/>
      <c r="BY580" s="6">
        <f>BY411*(1-BY415/100)</f>
        <v>226.6</v>
      </c>
      <c r="BZ580" s="7"/>
      <c r="CA580" s="6">
        <f>CA411*(1-CA415/100)</f>
        <v>232.49999999999997</v>
      </c>
      <c r="CB580" s="7"/>
      <c r="CC580" s="6">
        <f>CC411*(1-CC415/100)</f>
        <v>223.3000000000001</v>
      </c>
      <c r="CD580" s="7"/>
      <c r="CE580" s="6">
        <f>CE411*(1-CE415/100)</f>
        <v>212.30000000000032</v>
      </c>
      <c r="CF580" s="7"/>
      <c r="CG580" s="6">
        <f>CG411*(1-CG415/100)</f>
        <v>219.09999999999988</v>
      </c>
      <c r="CH580" s="7"/>
      <c r="CI580" s="6">
        <f>CI411*(1-CI415/100)</f>
        <v>232.28402195897155</v>
      </c>
      <c r="CJ580" s="7"/>
      <c r="CK580" s="6">
        <f>CK411*(1-CK415/100)</f>
        <v>219.27264504054898</v>
      </c>
      <c r="CL580" s="7"/>
      <c r="CM580" s="6">
        <f>CM416+658</f>
        <v>289.29999999999973</v>
      </c>
      <c r="CN580" s="7"/>
      <c r="CO580" s="6">
        <f>CO416</f>
        <v>213.19999999999993</v>
      </c>
      <c r="CP580" s="7"/>
      <c r="CQ580" s="6">
        <f>CQ416</f>
        <v>225.2999999999999</v>
      </c>
      <c r="CR580" s="7"/>
      <c r="CS580" s="6">
        <f>CS416</f>
        <v>224</v>
      </c>
      <c r="CT580" s="7"/>
      <c r="CU580" s="6">
        <f>CU416</f>
        <v>224.99999999999994</v>
      </c>
      <c r="CV580" s="7"/>
      <c r="CW580" s="6">
        <f>CW416</f>
        <v>212.7000000000001</v>
      </c>
      <c r="CX580" s="7"/>
      <c r="CY580" s="6">
        <f>CY416</f>
        <v>215.89999999999992</v>
      </c>
      <c r="CZ580" s="7"/>
      <c r="DA580" s="6">
        <f>DA416</f>
        <v>221.60000000000002</v>
      </c>
      <c r="DB580" s="7"/>
      <c r="DC580" s="6">
        <f>DC416</f>
        <v>214.29999999999995</v>
      </c>
      <c r="DD580" s="7"/>
      <c r="DE580" s="6">
        <f>DE416</f>
        <v>222.59999999999974</v>
      </c>
      <c r="DF580" s="7"/>
      <c r="DG580" s="6">
        <f>DG416</f>
        <v>221.3</v>
      </c>
      <c r="DH580" s="7"/>
      <c r="DI580" s="6">
        <f>DI416</f>
        <v>219.10000000000005</v>
      </c>
      <c r="DJ580" s="7"/>
      <c r="DK580" s="6">
        <f>DK416</f>
        <v>-229.10000000000002</v>
      </c>
      <c r="DL580" s="7"/>
      <c r="DM580" s="6">
        <f>DM416</f>
        <v>222.90000000000006</v>
      </c>
      <c r="DN580" s="7"/>
      <c r="DO580" s="6">
        <f>DO416</f>
        <v>220.59999999999994</v>
      </c>
      <c r="DP580" s="7"/>
      <c r="DQ580" s="6">
        <f>DQ416</f>
        <v>221.10000000000022</v>
      </c>
      <c r="DR580" s="7"/>
      <c r="DS580" s="6">
        <f>DS416</f>
        <v>228.59999999999991</v>
      </c>
      <c r="DT580" s="7"/>
      <c r="DU580" s="6">
        <f>DU416</f>
        <v>224.19999999999982</v>
      </c>
      <c r="DV580" s="7"/>
      <c r="DW580" s="6">
        <f>DW416</f>
        <v>232.99999999999991</v>
      </c>
      <c r="DX580" s="7"/>
      <c r="DY580" s="6">
        <f>DY416</f>
        <v>228.70000000000019</v>
      </c>
      <c r="DZ580" s="7"/>
      <c r="EA580" s="6">
        <f>EA416</f>
        <v>229.69999999999996</v>
      </c>
      <c r="EB580" s="7"/>
      <c r="EC580" s="6">
        <f>EC416</f>
        <v>236.09999999999974</v>
      </c>
      <c r="ED580" s="7"/>
      <c r="EE580" s="6">
        <f>EE416</f>
        <v>240.40000000000012</v>
      </c>
      <c r="EF580" s="7"/>
      <c r="EG580" s="6">
        <f>EG416</f>
        <v>245.49999999999991</v>
      </c>
      <c r="EH580" s="7"/>
      <c r="EI580" s="6">
        <f>EI416</f>
        <v>253.5999999999998</v>
      </c>
      <c r="EJ580" s="7"/>
      <c r="EK580" s="6">
        <f t="shared" ref="EK580:EQ580" si="2330">EK411*(1-EK415/100)</f>
        <v>282.3176334189684</v>
      </c>
      <c r="EL580" s="7"/>
      <c r="EM580" s="6">
        <f t="shared" si="2330"/>
        <v>284.18549079101746</v>
      </c>
      <c r="EN580" s="7"/>
      <c r="EO580" s="6">
        <f t="shared" si="2330"/>
        <v>285.31644884485263</v>
      </c>
      <c r="EP580" s="7"/>
      <c r="EQ580" s="6">
        <f t="shared" si="2330"/>
        <v>287.1725976109721</v>
      </c>
      <c r="ER580" s="7"/>
      <c r="ES580" s="4"/>
      <c r="ET580" s="494"/>
      <c r="EU580" s="4"/>
      <c r="EV580" s="4"/>
      <c r="EW580" s="3"/>
      <c r="EX580" s="4"/>
      <c r="EY580" s="3"/>
      <c r="EZ580" s="4"/>
      <c r="FA580" s="3"/>
      <c r="FB580" s="6">
        <f>FB411*(1-FB415/100)</f>
        <v>-238.10000000000005</v>
      </c>
      <c r="FC580" s="3"/>
      <c r="FD580" s="6">
        <f>FD411*(1-FD415/100)</f>
        <v>753.60000000000082</v>
      </c>
      <c r="FE580" s="3"/>
      <c r="FF580" s="6">
        <f>FF411*(1-FF415/100)</f>
        <v>42.200000000000635</v>
      </c>
      <c r="FG580" s="3"/>
      <c r="FH580" s="6">
        <f>FH411*(1-FH415/100)</f>
        <v>-57.300000000000189</v>
      </c>
      <c r="FI580" s="3"/>
      <c r="FJ580" s="6">
        <f>FJ411*(1-FJ415/100)</f>
        <v>539.94840030714192</v>
      </c>
      <c r="FK580" s="3"/>
      <c r="FL580" s="6">
        <f>FL411*(1-FL415/100)</f>
        <v>599.50192191441226</v>
      </c>
      <c r="FM580" s="3"/>
      <c r="FN580" s="6">
        <f>FN411*(1-FN415/100)</f>
        <v>793.82068494320606</v>
      </c>
      <c r="FO580" s="3"/>
      <c r="FP580" s="6">
        <f>FP411*(1-FP415/100)</f>
        <v>844.87150941933453</v>
      </c>
      <c r="FQ580" s="3"/>
      <c r="FR580" s="6">
        <f>FR411*(1-FR415/100)</f>
        <v>860.54702078521836</v>
      </c>
      <c r="FS580" s="3"/>
      <c r="FT580" s="6">
        <f>FT411*(1-FT415/100)</f>
        <v>894.69999999999914</v>
      </c>
      <c r="FU580" s="3"/>
      <c r="FV580" s="6">
        <f>+CG580+CI580+CK580+CM580</f>
        <v>959.95666699952017</v>
      </c>
      <c r="FW580" s="3"/>
      <c r="FX580" s="6">
        <f t="shared" ref="FX580:GM580" si="2331">+FX417</f>
        <v>881.2</v>
      </c>
      <c r="FY580" s="6">
        <f t="shared" si="2331"/>
        <v>0</v>
      </c>
      <c r="FZ580" s="6">
        <f t="shared" si="2331"/>
        <v>871.97499999999991</v>
      </c>
      <c r="GA580" s="6">
        <f t="shared" si="2331"/>
        <v>-1.0468679073990184</v>
      </c>
      <c r="GB580" s="6">
        <f t="shared" si="2331"/>
        <v>896.31000000000017</v>
      </c>
      <c r="GC580" s="6">
        <f t="shared" si="2331"/>
        <v>2.7907910203847974</v>
      </c>
      <c r="GD580" s="6">
        <f t="shared" si="2331"/>
        <v>893.19999999999959</v>
      </c>
      <c r="GE580" s="6">
        <f t="shared" si="2331"/>
        <v>-0.34697816603637133</v>
      </c>
      <c r="GF580" s="6">
        <f t="shared" ref="GF580:GG580" si="2332">+GF417</f>
        <v>915.60000000000116</v>
      </c>
      <c r="GG580" s="6">
        <f t="shared" si="2332"/>
        <v>2.5078369905957798</v>
      </c>
      <c r="GH580" s="6">
        <f t="shared" ref="GH580:GI580" si="2333">+GH417</f>
        <v>962.92499999999973</v>
      </c>
      <c r="GI580" s="6">
        <f t="shared" si="2333"/>
        <v>5.1687418086499015</v>
      </c>
      <c r="GJ580" s="6">
        <f t="shared" ref="GJ580:GK580" si="2334">+GJ417</f>
        <v>1138.992170665811</v>
      </c>
      <c r="GK580" s="6">
        <f t="shared" si="2334"/>
        <v>18.284619328173157</v>
      </c>
      <c r="GL580" s="6">
        <f t="shared" si="2331"/>
        <v>1166.3739290988638</v>
      </c>
      <c r="GM580" s="6">
        <f t="shared" si="2331"/>
        <v>2.4040339466992355</v>
      </c>
      <c r="GN580" s="6">
        <f t="shared" ref="GN580:GQ580" si="2335">+GN417</f>
        <v>1199.1164197416224</v>
      </c>
      <c r="GO580" s="3">
        <f t="shared" si="2335"/>
        <v>2.8072035756196545</v>
      </c>
      <c r="GP580" s="6">
        <f t="shared" si="2335"/>
        <v>1236.0739147447871</v>
      </c>
      <c r="GQ580" s="3">
        <f t="shared" si="2335"/>
        <v>3.0820606235321124</v>
      </c>
      <c r="GR580" s="6">
        <f t="shared" ref="GR580:GS580" si="2336">+GR417</f>
        <v>1268.2485979483392</v>
      </c>
      <c r="GS580" s="3">
        <f t="shared" si="2336"/>
        <v>2.6029740470815854</v>
      </c>
      <c r="GT580" s="3"/>
    </row>
    <row r="581" spans="1:286" ht="12.75" hidden="1" customHeight="1" outlineLevel="1" x14ac:dyDescent="0.2">
      <c r="A581" s="1" t="s">
        <v>241</v>
      </c>
      <c r="B581" s="2" t="s">
        <v>208</v>
      </c>
      <c r="C581" s="3"/>
      <c r="D581" s="3"/>
      <c r="E581" s="6">
        <f t="shared" ref="E581:S581" si="2337">E493</f>
        <v>0</v>
      </c>
      <c r="F581" s="6"/>
      <c r="G581" s="6">
        <f t="shared" si="2337"/>
        <v>0</v>
      </c>
      <c r="H581" s="6"/>
      <c r="I581" s="6">
        <f t="shared" si="2337"/>
        <v>0</v>
      </c>
      <c r="J581" s="6"/>
      <c r="K581" s="6">
        <f t="shared" si="2337"/>
        <v>0</v>
      </c>
      <c r="L581" s="6"/>
      <c r="M581" s="6">
        <f t="shared" si="2337"/>
        <v>0</v>
      </c>
      <c r="N581" s="425"/>
      <c r="O581" s="6">
        <f t="shared" si="2337"/>
        <v>0</v>
      </c>
      <c r="P581" s="425"/>
      <c r="Q581" s="6">
        <f t="shared" si="2337"/>
        <v>0</v>
      </c>
      <c r="R581" s="425"/>
      <c r="S581" s="6">
        <f t="shared" si="2337"/>
        <v>0</v>
      </c>
      <c r="T581" s="425"/>
      <c r="U581" s="6">
        <f>U493</f>
        <v>0</v>
      </c>
      <c r="V581" s="3"/>
      <c r="W581" s="6">
        <f>W493</f>
        <v>0</v>
      </c>
      <c r="X581" s="3"/>
      <c r="Y581" s="6">
        <f>Y493</f>
        <v>0</v>
      </c>
      <c r="Z581" s="5"/>
      <c r="AA581" s="404">
        <f>AA493</f>
        <v>0</v>
      </c>
      <c r="AB581" s="3"/>
      <c r="AC581" s="6">
        <f>AC493</f>
        <v>0.39635358549432542</v>
      </c>
      <c r="AD581" s="3"/>
      <c r="AE581" s="6">
        <f>AE493</f>
        <v>0.43</v>
      </c>
      <c r="AF581" s="3"/>
      <c r="AG581" s="6">
        <f>AG493</f>
        <v>0.42</v>
      </c>
      <c r="AH581" s="3"/>
      <c r="AI581" s="6">
        <f>AI493</f>
        <v>0.39</v>
      </c>
      <c r="AJ581" s="3"/>
      <c r="AK581" s="6">
        <f>AK493</f>
        <v>0.4</v>
      </c>
      <c r="AL581" s="3"/>
      <c r="AM581" s="6">
        <f>AM493</f>
        <v>0.42</v>
      </c>
      <c r="AN581" s="3"/>
      <c r="AO581" s="6">
        <f>AO493</f>
        <v>0.43</v>
      </c>
      <c r="AP581" s="3"/>
      <c r="AQ581" s="6">
        <f>AQ493</f>
        <v>0.41899999999999998</v>
      </c>
      <c r="AR581" s="3"/>
      <c r="AS581" s="6">
        <f>AS493</f>
        <v>0.42</v>
      </c>
      <c r="AT581" s="7"/>
      <c r="AU581" s="6">
        <f>AU493</f>
        <v>0.43</v>
      </c>
      <c r="AV581" s="7"/>
      <c r="AW581" s="6">
        <f>AW493</f>
        <v>0.46</v>
      </c>
      <c r="AX581" s="7"/>
      <c r="AY581" s="6">
        <f>AY493</f>
        <v>0.47</v>
      </c>
      <c r="AZ581" s="7"/>
      <c r="BA581" s="6">
        <f>BA493</f>
        <v>0.5</v>
      </c>
      <c r="BB581" s="7"/>
      <c r="BC581" s="6">
        <f>BC493</f>
        <v>0.51</v>
      </c>
      <c r="BD581" s="7"/>
      <c r="BE581" s="6">
        <f>BE493</f>
        <v>0.56000000000000005</v>
      </c>
      <c r="BF581" s="7"/>
      <c r="BG581" s="6">
        <f>BG493</f>
        <v>0.58499999999999996</v>
      </c>
      <c r="BH581" s="7"/>
      <c r="BI581" s="6">
        <f>BI493</f>
        <v>0.58499999999999996</v>
      </c>
      <c r="BJ581" s="7"/>
      <c r="BK581" s="6">
        <f>BK493</f>
        <v>0.65</v>
      </c>
      <c r="BL581" s="7"/>
      <c r="BM581" s="6">
        <f>BM493</f>
        <v>0.63</v>
      </c>
      <c r="BN581" s="7"/>
      <c r="BO581" s="6">
        <f>BO493</f>
        <v>0.6</v>
      </c>
      <c r="BP581" s="7"/>
      <c r="BQ581" s="6">
        <f>BQ493</f>
        <v>0.6</v>
      </c>
      <c r="BR581" s="7"/>
      <c r="BS581" s="6">
        <f>BS493</f>
        <v>0.65</v>
      </c>
      <c r="BT581" s="7"/>
      <c r="BU581" s="6">
        <f>BU493</f>
        <v>0.64</v>
      </c>
      <c r="BV581" s="7"/>
      <c r="BW581" s="6">
        <f>BW493</f>
        <v>0.66</v>
      </c>
      <c r="BX581" s="7"/>
      <c r="BY581" s="6">
        <f>BY493</f>
        <v>0.70999237633692802</v>
      </c>
      <c r="BZ581" s="7"/>
      <c r="CA581" s="6">
        <f>CA493</f>
        <v>0.69803576338947426</v>
      </c>
      <c r="CB581" s="7"/>
      <c r="CC581" s="6">
        <f>CC493</f>
        <v>0.68820562264918328</v>
      </c>
      <c r="CD581" s="7"/>
      <c r="CE581" s="6">
        <f>CE493</f>
        <v>0.66663957821905528</v>
      </c>
      <c r="CF581" s="7"/>
      <c r="CG581" s="6">
        <f>CG493</f>
        <v>0.69703300663164036</v>
      </c>
      <c r="CH581" s="7"/>
      <c r="CI581" s="6">
        <f>CI493</f>
        <v>0.75561397985457524</v>
      </c>
      <c r="CJ581" s="7"/>
      <c r="CK581" s="6">
        <f>CK493</f>
        <v>0.716201233467336</v>
      </c>
      <c r="CL581" s="7"/>
      <c r="CM581" s="6">
        <f>CM493</f>
        <v>0.7506380131485213</v>
      </c>
      <c r="CN581" s="7"/>
      <c r="CO581" s="6">
        <f>CO493</f>
        <v>0.73193163253203442</v>
      </c>
      <c r="CP581" s="7"/>
      <c r="CQ581" s="6">
        <f>CQ493</f>
        <v>0.75456235679350958</v>
      </c>
      <c r="CR581" s="7"/>
      <c r="CS581" s="6">
        <f>CS493</f>
        <v>0.77088506355398001</v>
      </c>
      <c r="CT581" s="7"/>
      <c r="CU581" s="6">
        <f>CU493</f>
        <v>0.8223684210526313</v>
      </c>
      <c r="CV581" s="7"/>
      <c r="CW581" s="6">
        <f>CW493</f>
        <v>0.78926673549816306</v>
      </c>
      <c r="CX581" s="7"/>
      <c r="CY581" s="6">
        <f>CY493</f>
        <v>0.8094136357937507</v>
      </c>
      <c r="CZ581" s="7"/>
      <c r="DA581" s="6">
        <f>DA493</f>
        <v>0.81472778073582797</v>
      </c>
      <c r="DB581" s="7"/>
      <c r="DC581" s="6">
        <f>DC493</f>
        <v>0.84436840315471418</v>
      </c>
      <c r="DD581" s="7"/>
      <c r="DE581" s="6">
        <f>DE493</f>
        <v>0.85385500575373907</v>
      </c>
      <c r="DF581" s="7"/>
      <c r="DG581" s="6">
        <f>DG493</f>
        <v>0.89290382117524014</v>
      </c>
      <c r="DH581" s="7"/>
      <c r="DI581" s="6">
        <f>DI493</f>
        <v>0.85989010989011005</v>
      </c>
      <c r="DJ581" s="7"/>
      <c r="DK581" s="6">
        <f>DK493</f>
        <v>0.89037242472266254</v>
      </c>
      <c r="DL581" s="7"/>
      <c r="DM581" s="6">
        <f>DM493</f>
        <v>0.8838223632038068</v>
      </c>
      <c r="DN581" s="7"/>
      <c r="DO581" s="6">
        <f>DO493</f>
        <v>0.88487765744083402</v>
      </c>
      <c r="DP581" s="7"/>
      <c r="DQ581" s="6">
        <f>DQ493</f>
        <v>0.8976857490864808</v>
      </c>
      <c r="DR581" s="7"/>
      <c r="DS581" s="6">
        <f>DS493</f>
        <v>0.93765381460213248</v>
      </c>
      <c r="DT581" s="7"/>
      <c r="DU581" s="6">
        <f>DU493</f>
        <v>0.93533583646224372</v>
      </c>
      <c r="DV581" s="7"/>
      <c r="DW581" s="6">
        <f>DW493</f>
        <v>0.98187947745469828</v>
      </c>
      <c r="DX581" s="7"/>
      <c r="DY581" s="6">
        <f>DY493</f>
        <v>0.97651579846285308</v>
      </c>
      <c r="DZ581" s="7"/>
      <c r="EA581" s="6">
        <f>EA493</f>
        <v>0.98838209982788272</v>
      </c>
      <c r="EB581" s="7"/>
      <c r="EC581" s="6">
        <f>EC493</f>
        <v>1.0247395833333321</v>
      </c>
      <c r="ED581" s="7"/>
      <c r="EE581" s="6">
        <f>EE493</f>
        <v>1.0534618755477656</v>
      </c>
      <c r="EF581" s="7"/>
      <c r="EG581" s="6">
        <f>EG493</f>
        <v>1.0862831858407076</v>
      </c>
      <c r="EH581" s="7"/>
      <c r="EI581" s="6">
        <f>EI493</f>
        <v>1.0717304270462624</v>
      </c>
      <c r="EJ581" s="7"/>
      <c r="EK581" s="6">
        <f t="shared" ref="EK581:EQ581" si="2338">EK493</f>
        <v>1.2720273653832308</v>
      </c>
      <c r="EL581" s="7"/>
      <c r="EM581" s="6">
        <f t="shared" si="2338"/>
        <v>1.2914948247809064</v>
      </c>
      <c r="EN581" s="7"/>
      <c r="EO581" s="6">
        <f t="shared" si="2338"/>
        <v>1.3077515554781463</v>
      </c>
      <c r="EP581" s="7"/>
      <c r="EQ581" s="6">
        <f t="shared" si="2338"/>
        <v>1.327471892073594</v>
      </c>
      <c r="ER581" s="7"/>
      <c r="ES581" s="4"/>
      <c r="ET581" s="494"/>
      <c r="EU581" s="4"/>
      <c r="EV581" s="4"/>
      <c r="EW581" s="3"/>
      <c r="EX581" s="4"/>
      <c r="EY581" s="3"/>
      <c r="EZ581" s="4"/>
      <c r="FA581" s="3"/>
      <c r="FB581" s="4"/>
      <c r="FC581" s="3"/>
      <c r="FD581" s="4"/>
      <c r="FE581" s="3"/>
      <c r="FF581" s="78"/>
      <c r="FG581" s="3"/>
      <c r="FH581" s="6">
        <f>FH493</f>
        <v>0</v>
      </c>
      <c r="FI581" s="3"/>
      <c r="FJ581" s="6">
        <f>FJ493</f>
        <v>1.669</v>
      </c>
      <c r="FK581" s="3"/>
      <c r="FL581" s="6">
        <f>FL493</f>
        <v>1.78</v>
      </c>
      <c r="FM581" s="3"/>
      <c r="FN581" s="6">
        <f>FN493</f>
        <v>2.1550000000000002</v>
      </c>
      <c r="FO581" s="3"/>
      <c r="FP581" s="6">
        <f>FP493</f>
        <v>2.5099999999999998</v>
      </c>
      <c r="FQ581" s="3"/>
      <c r="FR581" s="6">
        <f>FR493</f>
        <v>2.5909548318157154</v>
      </c>
      <c r="FS581" s="3"/>
      <c r="FT581" s="6">
        <f>FT493</f>
        <v>2.732884478973884</v>
      </c>
      <c r="FU581" s="3"/>
      <c r="FV581" s="6">
        <f>FV493</f>
        <v>2.9612395773043971</v>
      </c>
      <c r="FW581" s="3"/>
      <c r="FX581" s="6">
        <f>FX493</f>
        <v>3.127218823882048</v>
      </c>
      <c r="FY581" s="3"/>
      <c r="FZ581" s="6">
        <f>FZ493</f>
        <v>3.2782532708643006</v>
      </c>
      <c r="GA581" s="3"/>
      <c r="GB581" s="6">
        <f>GB493</f>
        <v>3.4950672645739917</v>
      </c>
      <c r="GC581" s="3"/>
      <c r="GD581" s="6">
        <f>GD493</f>
        <v>3.6030657523194822</v>
      </c>
      <c r="GE581" s="3"/>
      <c r="GF581" s="6">
        <f>GF493</f>
        <v>3.8813056379822002</v>
      </c>
      <c r="GG581" s="3"/>
      <c r="GH581" s="6">
        <f>GH493</f>
        <v>4.2354299538157019</v>
      </c>
      <c r="GI581" s="3"/>
      <c r="GJ581" s="6">
        <f>GJ493</f>
        <v>5.1979661887095761</v>
      </c>
      <c r="GK581" s="3"/>
      <c r="GL581" s="6">
        <f>GL493</f>
        <v>5.5047351554945934</v>
      </c>
      <c r="GM581" s="3"/>
      <c r="GN581" s="6">
        <f>GN493</f>
        <v>5.8546964937249504</v>
      </c>
      <c r="GO581" s="3"/>
      <c r="GP581" s="6">
        <f>GP493</f>
        <v>6.2452514056605244</v>
      </c>
      <c r="GQ581" s="3"/>
      <c r="GR581" s="6">
        <f>GR493</f>
        <v>6.6510372047902013</v>
      </c>
      <c r="GS581" s="3"/>
      <c r="GT581" s="3"/>
    </row>
    <row r="582" spans="1:286" ht="12.75" hidden="1" customHeight="1" outlineLevel="1" x14ac:dyDescent="0.2">
      <c r="A582" s="1"/>
      <c r="B582" s="2"/>
      <c r="C582" s="3"/>
      <c r="D582" s="3"/>
      <c r="E582" s="4"/>
      <c r="F582" s="4"/>
      <c r="G582" s="4"/>
      <c r="H582" s="4"/>
      <c r="I582" s="4"/>
      <c r="J582" s="4"/>
      <c r="K582" s="4"/>
      <c r="L582" s="4"/>
      <c r="M582" s="4"/>
      <c r="N582" s="423"/>
      <c r="O582" s="4"/>
      <c r="P582" s="423"/>
      <c r="Q582" s="4"/>
      <c r="R582" s="423"/>
      <c r="S582" s="4"/>
      <c r="T582" s="423"/>
      <c r="U582" s="4"/>
      <c r="V582" s="3"/>
      <c r="W582" s="78"/>
      <c r="X582" s="3"/>
      <c r="Y582" s="4"/>
      <c r="Z582" s="5"/>
      <c r="AA582" s="14"/>
      <c r="AB582" s="3"/>
      <c r="AC582" s="4"/>
      <c r="AD582" s="3"/>
      <c r="AE582" s="4"/>
      <c r="AF582" s="3"/>
      <c r="AG582" s="4"/>
      <c r="AH582" s="3"/>
      <c r="AI582" s="4"/>
      <c r="AJ582" s="3"/>
      <c r="AK582" s="4"/>
      <c r="AL582" s="3"/>
      <c r="AM582" s="4"/>
      <c r="AN582" s="3"/>
      <c r="AO582" s="4"/>
      <c r="AP582" s="3"/>
      <c r="AQ582" s="4"/>
      <c r="AR582" s="3"/>
      <c r="AS582" s="4"/>
      <c r="AT582" s="7"/>
      <c r="AU582" s="4"/>
      <c r="AV582" s="7"/>
      <c r="AW582" s="4"/>
      <c r="AX582" s="7"/>
      <c r="AY582" s="4"/>
      <c r="AZ582" s="7"/>
      <c r="BA582" s="4"/>
      <c r="BB582" s="7"/>
      <c r="BC582" s="4"/>
      <c r="BD582" s="7"/>
      <c r="BE582" s="4"/>
      <c r="BF582" s="7"/>
      <c r="BG582" s="4"/>
      <c r="BH582" s="7"/>
      <c r="BI582" s="4"/>
      <c r="BJ582" s="7"/>
      <c r="BK582" s="4"/>
      <c r="BL582" s="7"/>
      <c r="BM582" s="4"/>
      <c r="BN582" s="7"/>
      <c r="BO582" s="4"/>
      <c r="BP582" s="7"/>
      <c r="BQ582" s="4"/>
      <c r="BR582" s="7"/>
      <c r="BS582" s="4"/>
      <c r="BT582" s="7"/>
      <c r="BU582" s="4"/>
      <c r="BV582" s="7"/>
      <c r="BW582" s="4"/>
      <c r="BX582" s="7"/>
      <c r="BY582" s="4"/>
      <c r="BZ582" s="7"/>
      <c r="CA582" s="4"/>
      <c r="CB582" s="7"/>
      <c r="CC582" s="4"/>
      <c r="CD582" s="7"/>
      <c r="CE582" s="4"/>
      <c r="CF582" s="7"/>
      <c r="CG582" s="4"/>
      <c r="CH582" s="7"/>
      <c r="CI582" s="4"/>
      <c r="CJ582" s="7"/>
      <c r="CK582" s="4"/>
      <c r="CL582" s="7"/>
      <c r="CM582" s="4"/>
      <c r="CN582" s="7"/>
      <c r="CO582" s="4"/>
      <c r="CP582" s="7"/>
      <c r="CQ582" s="4"/>
      <c r="CR582" s="7"/>
      <c r="CS582" s="4"/>
      <c r="CT582" s="7"/>
      <c r="CU582" s="4"/>
      <c r="CV582" s="7"/>
      <c r="CW582" s="4"/>
      <c r="CX582" s="7"/>
      <c r="CY582" s="4"/>
      <c r="CZ582" s="7"/>
      <c r="DA582" s="4"/>
      <c r="DB582" s="7"/>
      <c r="DC582" s="4"/>
      <c r="DD582" s="7"/>
      <c r="DE582" s="4"/>
      <c r="DF582" s="7"/>
      <c r="DG582" s="4"/>
      <c r="DH582" s="7"/>
      <c r="DI582" s="4"/>
      <c r="DJ582" s="7"/>
      <c r="DK582" s="4"/>
      <c r="DL582" s="7"/>
      <c r="DM582" s="4"/>
      <c r="DN582" s="7"/>
      <c r="DO582" s="4"/>
      <c r="DP582" s="7"/>
      <c r="DQ582" s="4"/>
      <c r="DR582" s="7"/>
      <c r="DS582" s="4"/>
      <c r="DT582" s="7"/>
      <c r="DU582" s="4"/>
      <c r="DV582" s="7"/>
      <c r="DW582" s="4"/>
      <c r="DX582" s="7"/>
      <c r="DY582" s="4"/>
      <c r="DZ582" s="7"/>
      <c r="EA582" s="4"/>
      <c r="EB582" s="7"/>
      <c r="EC582" s="4"/>
      <c r="ED582" s="7"/>
      <c r="EE582" s="4"/>
      <c r="EF582" s="7"/>
      <c r="EG582" s="4"/>
      <c r="EH582" s="7"/>
      <c r="EI582" s="4"/>
      <c r="EJ582" s="7"/>
      <c r="EK582" s="4"/>
      <c r="EL582" s="7"/>
      <c r="EM582" s="4"/>
      <c r="EN582" s="7"/>
      <c r="EO582" s="4"/>
      <c r="EP582" s="7"/>
      <c r="EQ582" s="4"/>
      <c r="ER582" s="7"/>
      <c r="ES582" s="4"/>
      <c r="ET582" s="494"/>
      <c r="EU582" s="4"/>
      <c r="EV582" s="4"/>
      <c r="EW582" s="3"/>
      <c r="EX582" s="4"/>
      <c r="EY582" s="3"/>
      <c r="EZ582" s="4"/>
      <c r="FA582" s="3"/>
      <c r="FB582" s="4"/>
      <c r="FC582" s="3"/>
      <c r="FD582" s="4"/>
      <c r="FE582" s="3"/>
      <c r="FF582" s="78"/>
      <c r="FG582" s="3"/>
      <c r="FH582" s="78"/>
      <c r="FI582" s="3"/>
      <c r="FJ582" s="4"/>
      <c r="FK582" s="3"/>
      <c r="FL582" s="4"/>
      <c r="FM582" s="3"/>
      <c r="FN582" s="4"/>
      <c r="FO582" s="3"/>
      <c r="FP582" s="4"/>
      <c r="FQ582" s="3"/>
      <c r="FR582" s="4"/>
      <c r="FS582" s="3"/>
      <c r="FT582" s="4"/>
      <c r="FU582" s="3"/>
      <c r="FV582" s="4"/>
      <c r="FW582" s="3"/>
      <c r="FX582" s="4"/>
      <c r="FY582" s="3"/>
      <c r="FZ582" s="4"/>
      <c r="GA582" s="3"/>
      <c r="GB582" s="4"/>
      <c r="GC582" s="3"/>
      <c r="GD582" s="4"/>
      <c r="GE582" s="3"/>
      <c r="GF582" s="4"/>
      <c r="GG582" s="3"/>
      <c r="GH582" s="4"/>
      <c r="GI582" s="3"/>
      <c r="GJ582" s="4"/>
      <c r="GK582" s="3"/>
      <c r="GL582" s="4"/>
      <c r="GM582" s="3"/>
      <c r="GN582" s="4"/>
      <c r="GO582" s="3"/>
      <c r="GP582" s="4"/>
      <c r="GQ582" s="3"/>
      <c r="GR582" s="4"/>
      <c r="GS582" s="3"/>
      <c r="GT582" s="3"/>
    </row>
    <row r="583" spans="1:286" ht="12.75" hidden="1" customHeight="1" outlineLevel="1" x14ac:dyDescent="0.2">
      <c r="A583" s="1"/>
      <c r="B583" s="2"/>
      <c r="C583" s="3"/>
      <c r="D583" s="3"/>
      <c r="E583" s="4"/>
      <c r="F583" s="4"/>
      <c r="G583" s="4"/>
      <c r="H583" s="4"/>
      <c r="I583" s="4"/>
      <c r="J583" s="4"/>
      <c r="K583" s="4"/>
      <c r="L583" s="4"/>
      <c r="M583" s="4"/>
      <c r="N583" s="423"/>
      <c r="O583" s="4"/>
      <c r="P583" s="423"/>
      <c r="Q583" s="4"/>
      <c r="R583" s="423"/>
      <c r="S583" s="4"/>
      <c r="T583" s="423"/>
      <c r="U583" s="4"/>
      <c r="V583" s="3"/>
      <c r="W583" s="4"/>
      <c r="X583" s="3"/>
      <c r="Y583" s="4"/>
      <c r="Z583" s="5"/>
      <c r="AA583" s="14"/>
      <c r="AB583" s="3"/>
      <c r="AC583" s="4"/>
      <c r="AD583" s="3"/>
      <c r="AE583" s="4"/>
      <c r="AF583" s="3"/>
      <c r="AG583" s="4"/>
      <c r="AH583" s="3"/>
      <c r="AI583" s="4"/>
      <c r="AJ583" s="3"/>
      <c r="AK583" s="4"/>
      <c r="AL583" s="3"/>
      <c r="AM583" s="4"/>
      <c r="AN583" s="3"/>
      <c r="AO583" s="4"/>
      <c r="AP583" s="3"/>
      <c r="AQ583" s="4"/>
      <c r="AR583" s="3"/>
      <c r="AS583" s="4"/>
      <c r="AT583" s="7"/>
      <c r="AU583" s="4"/>
      <c r="AV583" s="7"/>
      <c r="AW583" s="4"/>
      <c r="AX583" s="7"/>
      <c r="AY583" s="4"/>
      <c r="AZ583" s="7"/>
      <c r="BA583" s="4"/>
      <c r="BB583" s="7"/>
      <c r="BC583" s="4"/>
      <c r="BD583" s="7"/>
      <c r="BE583" s="4"/>
      <c r="BF583" s="7"/>
      <c r="BG583" s="4"/>
      <c r="BH583" s="7"/>
      <c r="BI583" s="4"/>
      <c r="BJ583" s="7"/>
      <c r="BK583" s="4"/>
      <c r="BL583" s="7"/>
      <c r="BM583" s="4"/>
      <c r="BN583" s="7"/>
      <c r="BO583" s="4"/>
      <c r="BP583" s="7"/>
      <c r="BQ583" s="4"/>
      <c r="BR583" s="7"/>
      <c r="BS583" s="4"/>
      <c r="BT583" s="7"/>
      <c r="BU583" s="4"/>
      <c r="BV583" s="7"/>
      <c r="BW583" s="4"/>
      <c r="BX583" s="7"/>
      <c r="BY583" s="4"/>
      <c r="BZ583" s="7"/>
      <c r="CA583" s="4"/>
      <c r="CB583" s="7"/>
      <c r="CC583" s="4"/>
      <c r="CD583" s="7"/>
      <c r="CE583" s="4"/>
      <c r="CF583" s="7"/>
      <c r="CG583" s="4"/>
      <c r="CH583" s="7"/>
      <c r="CI583" s="4"/>
      <c r="CJ583" s="7"/>
      <c r="CK583" s="4"/>
      <c r="CL583" s="7"/>
      <c r="CM583" s="4"/>
      <c r="CN583" s="7"/>
      <c r="CO583" s="4"/>
      <c r="CP583" s="7"/>
      <c r="CQ583" s="4"/>
      <c r="CR583" s="7"/>
      <c r="CS583" s="4"/>
      <c r="CT583" s="7"/>
      <c r="CU583" s="4"/>
      <c r="CV583" s="7"/>
      <c r="CW583" s="4"/>
      <c r="CX583" s="7"/>
      <c r="CY583" s="4"/>
      <c r="CZ583" s="7"/>
      <c r="DA583" s="4"/>
      <c r="DB583" s="7"/>
      <c r="DC583" s="4"/>
      <c r="DD583" s="7"/>
      <c r="DE583" s="4"/>
      <c r="DF583" s="7"/>
      <c r="DG583" s="4"/>
      <c r="DH583" s="7"/>
      <c r="DI583" s="4"/>
      <c r="DJ583" s="7"/>
      <c r="DK583" s="4"/>
      <c r="DL583" s="7"/>
      <c r="DM583" s="4"/>
      <c r="DN583" s="7"/>
      <c r="DO583" s="4"/>
      <c r="DP583" s="7"/>
      <c r="DQ583" s="4"/>
      <c r="DR583" s="7"/>
      <c r="DS583" s="4"/>
      <c r="DT583" s="7"/>
      <c r="DU583" s="4"/>
      <c r="DV583" s="7"/>
      <c r="DW583" s="4"/>
      <c r="DX583" s="7"/>
      <c r="DY583" s="4"/>
      <c r="DZ583" s="7"/>
      <c r="EA583" s="4"/>
      <c r="EB583" s="7"/>
      <c r="EC583" s="4"/>
      <c r="ED583" s="7"/>
      <c r="EE583" s="4"/>
      <c r="EF583" s="7"/>
      <c r="EG583" s="4"/>
      <c r="EH583" s="7"/>
      <c r="EI583" s="4"/>
      <c r="EJ583" s="7"/>
      <c r="EK583" s="4"/>
      <c r="EL583" s="7"/>
      <c r="EM583" s="4"/>
      <c r="EN583" s="7"/>
      <c r="EO583" s="4"/>
      <c r="EP583" s="7"/>
      <c r="EQ583" s="4"/>
      <c r="ER583" s="7"/>
      <c r="ES583" s="4"/>
      <c r="ET583" s="494"/>
      <c r="EU583" s="4"/>
      <c r="EV583" s="4"/>
      <c r="EW583" s="3"/>
      <c r="EX583" s="2"/>
      <c r="EY583" s="427"/>
      <c r="EZ583" s="2"/>
      <c r="FA583" s="427"/>
      <c r="FB583" s="2"/>
      <c r="FC583" s="427"/>
      <c r="FD583" s="2"/>
      <c r="FE583" s="427"/>
      <c r="FF583" s="2"/>
      <c r="FG583" s="427"/>
      <c r="FH583" s="2"/>
      <c r="FI583" s="427"/>
      <c r="FJ583" s="2"/>
      <c r="FK583" s="427"/>
      <c r="FL583" s="4"/>
      <c r="FM583" s="427"/>
      <c r="FN583" s="4"/>
      <c r="FO583" s="427"/>
      <c r="FP583" s="4"/>
      <c r="FQ583" s="427"/>
      <c r="FR583" s="4"/>
      <c r="FS583" s="427"/>
      <c r="FT583" s="4"/>
      <c r="FU583" s="427"/>
      <c r="FV583" s="4"/>
      <c r="FW583" s="427"/>
      <c r="FX583" s="4"/>
      <c r="FY583" s="427"/>
      <c r="FZ583" s="4"/>
      <c r="GA583" s="427"/>
      <c r="GB583" s="4"/>
      <c r="GC583" s="427"/>
      <c r="GD583" s="4"/>
      <c r="GE583" s="427"/>
      <c r="GF583" s="4"/>
      <c r="GG583" s="427"/>
      <c r="GH583" s="4"/>
      <c r="GI583" s="427"/>
      <c r="GJ583" s="4"/>
      <c r="GK583" s="427"/>
      <c r="GL583" s="4"/>
      <c r="GM583" s="427"/>
      <c r="GN583" s="4"/>
      <c r="GO583" s="427"/>
      <c r="GP583" s="4"/>
      <c r="GQ583" s="427"/>
      <c r="GR583" s="4"/>
      <c r="GS583" s="427"/>
      <c r="GT583" s="3"/>
    </row>
    <row r="584" spans="1:286" ht="12.75" hidden="1" customHeight="1" outlineLevel="1" x14ac:dyDescent="0.2">
      <c r="B584" s="2" t="s">
        <v>335</v>
      </c>
      <c r="C584" s="3"/>
      <c r="D584" s="3"/>
      <c r="E584" s="4"/>
      <c r="F584" s="4"/>
      <c r="G584" s="4"/>
      <c r="H584" s="4"/>
      <c r="I584" s="4"/>
      <c r="J584" s="4"/>
      <c r="K584" s="4"/>
      <c r="L584" s="4"/>
      <c r="M584" s="4"/>
      <c r="N584" s="423"/>
      <c r="O584" s="4"/>
      <c r="P584" s="423"/>
      <c r="Q584" s="4"/>
      <c r="R584" s="423"/>
      <c r="S584" s="4"/>
      <c r="T584" s="423"/>
      <c r="U584" s="4"/>
      <c r="V584" s="3"/>
      <c r="W584" s="4"/>
      <c r="X584" s="3"/>
      <c r="Y584" s="4"/>
      <c r="Z584" s="3"/>
      <c r="AA584" s="14"/>
      <c r="AB584" s="3"/>
      <c r="AC584" s="3" t="str">
        <f>IF(ISERROR((AB584/T584-1)*100),"NA",IF(((AB584/T584-1)*100)&gt;100,"NM",IF(((AB584/T584-1)*100)&lt;-50,"NM",(AB584/T584-1)*100)))</f>
        <v>NA</v>
      </c>
      <c r="AD584" s="3"/>
      <c r="AE584" s="4"/>
      <c r="AF584" s="3"/>
      <c r="AG584" s="4"/>
      <c r="AH584" s="3"/>
      <c r="AI584" s="4"/>
      <c r="AJ584" s="3"/>
      <c r="AK584" s="400">
        <f>AK411-(AK414-AK412*AK415/100)</f>
        <v>127.58138528138576</v>
      </c>
      <c r="AL584" s="3"/>
      <c r="AM584" s="400">
        <f>AM411-(AM414-AM412*AM415/100)</f>
        <v>128.69999999999973</v>
      </c>
      <c r="AN584" s="3"/>
      <c r="AO584" s="400">
        <f>AO411-(AO414-AO412*AO415/100)</f>
        <v>135.69999999999993</v>
      </c>
      <c r="AP584" s="3"/>
      <c r="AQ584" s="400">
        <f>AQ411-(AQ414-AQ412*AQ415/100)</f>
        <v>143.93268553123326</v>
      </c>
      <c r="AR584" s="3"/>
      <c r="AS584" s="400">
        <f>AS411-(AS414-AS412*AS415/100)</f>
        <v>133.09999999999985</v>
      </c>
      <c r="AT584" s="7"/>
      <c r="AU584" s="400">
        <f>AU411-(AU414-AU412*AU415/100)</f>
        <v>140.36999999999972</v>
      </c>
      <c r="AV584" s="7"/>
      <c r="AW584" s="400">
        <f>AW411-(AW414-AW412*AW415/100)</f>
        <v>157.42280000000011</v>
      </c>
      <c r="AX584" s="7"/>
      <c r="AY584" s="400">
        <f>AY411-(AY414-AY412*AY415/100)</f>
        <v>168.26566037735859</v>
      </c>
      <c r="AZ584" s="7"/>
      <c r="BA584" s="400">
        <f>BA411-(BA414-BA412*BA415/100)</f>
        <v>174.59999999999997</v>
      </c>
      <c r="BB584" s="7"/>
      <c r="BC584" s="400">
        <f>BC411-(BC414-BC412*BC415/100)</f>
        <v>181.5</v>
      </c>
      <c r="BD584" s="7"/>
      <c r="BE584" s="400">
        <f>BE411-(BE414-BE412*BE415/100)</f>
        <v>216.89999999999984</v>
      </c>
      <c r="BF584" s="7"/>
      <c r="BG584" s="400">
        <f>BG411-(BG414-BG412*BG415/100)</f>
        <v>221.08777705345508</v>
      </c>
      <c r="BH584" s="7"/>
      <c r="BI584" s="400">
        <f>BI411-(BI414-BI412*BI415/100)</f>
        <v>207.79999999999998</v>
      </c>
      <c r="BJ584" s="7"/>
      <c r="BK584" s="400">
        <f>BK411-(BK414-BK412*BK415/100)</f>
        <v>214.68841302434708</v>
      </c>
      <c r="BL584" s="7"/>
      <c r="BM584" s="400">
        <f>BM411-(BM414-BM412*BM415/100)</f>
        <v>213.10291769041754</v>
      </c>
      <c r="BN584" s="7"/>
      <c r="BO584" s="400">
        <f>BO411-(BO414-BO412*BO415/100)</f>
        <v>209.4000000000002</v>
      </c>
      <c r="BP584" s="7"/>
      <c r="BQ584" s="400">
        <f>BQ411-(BQ414-BQ412*BQ415/100)</f>
        <v>206.69999999999993</v>
      </c>
      <c r="BR584" s="7"/>
      <c r="BS584" s="400">
        <f>BS411-(BS414-BS412*BS415/100)</f>
        <v>215.80000000000015</v>
      </c>
      <c r="BT584" s="7"/>
      <c r="BU584" s="400">
        <f>BU411-(BU414-BU412*BU415/100)</f>
        <v>211.59999999999982</v>
      </c>
      <c r="BV584" s="7"/>
      <c r="BW584" s="400">
        <f>BW411-(BW414-BW412*BW415/100)</f>
        <v>218.29999999999978</v>
      </c>
      <c r="BX584" s="7"/>
      <c r="BY584" s="400">
        <f>BY411-(BY414-BY412*BY415/100)</f>
        <v>226.60000000000002</v>
      </c>
      <c r="BZ584" s="7"/>
      <c r="CA584" s="400">
        <f>CA411-(CA414-CA412*CA415/100)</f>
        <v>232.49999999999997</v>
      </c>
      <c r="CB584" s="7"/>
      <c r="CC584" s="400">
        <f>CC411-(CC414-CC412*CC415/100)</f>
        <v>223.3000000000001</v>
      </c>
      <c r="CD584" s="7"/>
      <c r="CE584" s="400">
        <f>CE411-(CE414-CE412*CE415/100)</f>
        <v>212.3000000000003</v>
      </c>
      <c r="CF584" s="7"/>
      <c r="CG584" s="400">
        <f>CG411-(CG414-CG412*CG415/100)</f>
        <v>219.09999999999988</v>
      </c>
      <c r="CH584" s="7"/>
      <c r="CI584" s="400">
        <f>CI411-(CI414-CI412*CI415/100)</f>
        <v>232.28402195897155</v>
      </c>
      <c r="CJ584" s="7"/>
      <c r="CK584" s="400">
        <f>CK411-(CK414-CK412*CK415/100)</f>
        <v>219.27264504054898</v>
      </c>
      <c r="CL584" s="7"/>
      <c r="CM584" s="400">
        <f>CM411-(CM414-CM412*CM415/100)</f>
        <v>201.02757782101159</v>
      </c>
      <c r="CN584" s="7"/>
      <c r="CO584" s="400">
        <f>CO411-(CO414-CO412*CO415/100)</f>
        <v>213.19999999999993</v>
      </c>
      <c r="CP584" s="7"/>
      <c r="CQ584" s="400">
        <f>CQ411-(CQ414-CQ412*CQ415/100)</f>
        <v>225.2999999999999</v>
      </c>
      <c r="CR584" s="7"/>
      <c r="CS584" s="400">
        <f>CS411-(CS414-CS412*CS415/100)</f>
        <v>224</v>
      </c>
      <c r="CT584" s="7"/>
      <c r="CU584" s="400">
        <f>CU411-(CU414-CU412*CU415/100)</f>
        <v>224.99999999999994</v>
      </c>
      <c r="CV584" s="7"/>
      <c r="CW584" s="400">
        <f>CW411-(CW414-CW412*CW415/100)</f>
        <v>213.3817307692309</v>
      </c>
      <c r="CX584" s="7"/>
      <c r="CY584" s="400">
        <f>CY411-(CY414-CY412*CY415/100)</f>
        <v>215.89999999999992</v>
      </c>
      <c r="CZ584" s="7"/>
      <c r="DA584" s="400">
        <f>DA411-(DA414-DA412*DA415/100)</f>
        <v>221.60000000000002</v>
      </c>
      <c r="DB584" s="7"/>
      <c r="DC584" s="400">
        <f>DC411-(DC414-DC412*DC415/100)</f>
        <v>221.73114266842796</v>
      </c>
      <c r="DD584" s="7"/>
      <c r="DE584" s="400">
        <f>DE411-(DE414-DE412*DE415/100)</f>
        <v>222.59999999999974</v>
      </c>
      <c r="DF584" s="7"/>
      <c r="DG584" s="400">
        <f>DG411-(DG414-DG412*DG415/100)</f>
        <v>230.27989548109437</v>
      </c>
      <c r="DH584" s="7"/>
      <c r="DI584" s="400">
        <f>DI411-(DI414-DI412*DI415/100)</f>
        <v>219.10000000000005</v>
      </c>
      <c r="DJ584" s="7"/>
      <c r="DK584" s="400">
        <f>DK411-(DK414-DK412*DK415/100)</f>
        <v>199.85580584607135</v>
      </c>
      <c r="DL584" s="7"/>
      <c r="DM584" s="400">
        <f>DM411-(DM414-DM412*DM415/100)</f>
        <v>222.90000000000006</v>
      </c>
      <c r="DN584" s="7"/>
      <c r="DO584" s="400">
        <f>DO411-(DO414-DO412*DO415/100)</f>
        <v>220.59999999999994</v>
      </c>
      <c r="DP584" s="7"/>
      <c r="DQ584" s="400">
        <f>DQ411-(DQ414-DQ412*DQ415/100)</f>
        <v>221.10000000000022</v>
      </c>
      <c r="DR584" s="7"/>
      <c r="DS584" s="400">
        <f>DS411-(DS414-DS412*DS415/100)</f>
        <v>228.59999999999991</v>
      </c>
      <c r="DT584" s="7"/>
      <c r="DU584" s="400">
        <f>DU411-(DU414-DU412*DU415/100)</f>
        <v>224.19999999999982</v>
      </c>
      <c r="DV584" s="7"/>
      <c r="DW584" s="400">
        <f>DW411-(DW414-DW412*DW415/100)</f>
        <v>232.99999999999991</v>
      </c>
      <c r="DX584" s="7"/>
      <c r="DY584" s="400">
        <f>DY411-(DY414-DY412*DY415/100)</f>
        <v>228.70000000000019</v>
      </c>
      <c r="DZ584" s="7"/>
      <c r="EA584" s="400">
        <f>EA411-(EA414-EA412*EA415/100)</f>
        <v>229.69999999999996</v>
      </c>
      <c r="EB584" s="7"/>
      <c r="EC584" s="400">
        <f>EC411-(EC414-EC412*EC415/100)</f>
        <v>236.09999999999974</v>
      </c>
      <c r="ED584" s="7"/>
      <c r="EE584" s="400">
        <f>EE411-(EE414-EE412*EE415/100)</f>
        <v>240.40000000000012</v>
      </c>
      <c r="EF584" s="7"/>
      <c r="EG584" s="400">
        <f>EG411-(EG414-EG412*EG415/100)</f>
        <v>245.49999999999991</v>
      </c>
      <c r="EH584" s="7"/>
      <c r="EI584" s="400">
        <f>EI411-(EI414-EI412*EI415/100)</f>
        <v>240.33853580048253</v>
      </c>
      <c r="EJ584" s="7"/>
      <c r="EK584" s="400">
        <f t="shared" ref="EK584:EQ584" si="2339">EK411-(EK414-EK412*EK415/100)</f>
        <v>282.31763341896846</v>
      </c>
      <c r="EL584" s="7"/>
      <c r="EM584" s="400">
        <f t="shared" si="2339"/>
        <v>284.18549079101746</v>
      </c>
      <c r="EN584" s="7"/>
      <c r="EO584" s="400">
        <f t="shared" si="2339"/>
        <v>285.31644884485263</v>
      </c>
      <c r="EP584" s="7"/>
      <c r="EQ584" s="400">
        <f t="shared" si="2339"/>
        <v>287.17259761097216</v>
      </c>
      <c r="ER584" s="7"/>
      <c r="ES584" s="4"/>
      <c r="ET584" s="494"/>
      <c r="EU584" s="4"/>
      <c r="EV584" s="400"/>
      <c r="EW584" s="3"/>
      <c r="EX584" s="400"/>
      <c r="EY584" s="3"/>
      <c r="EZ584" s="400"/>
      <c r="FA584" s="3"/>
      <c r="FB584" s="400">
        <f>FB411-(FB414-FB412*FB415/100)</f>
        <v>-238.10000000000002</v>
      </c>
      <c r="FC584" s="3"/>
      <c r="FD584" s="400">
        <f>FD411-(FD414-FD412*FD415/100)</f>
        <v>753.60000000000082</v>
      </c>
      <c r="FE584" s="3"/>
      <c r="FF584" s="400">
        <f>FF411-(FF414-FF412*FF415/100)</f>
        <v>42.200000000000642</v>
      </c>
      <c r="FG584" s="3"/>
      <c r="FH584" s="400">
        <f>FH411-(FH414-FH412*FH415/100)</f>
        <v>-57.300000000000182</v>
      </c>
      <c r="FI584" s="3"/>
      <c r="FJ584" s="400">
        <f>FJ411-(FJ414-FJ412*FJ415/100)</f>
        <v>539.94840030714204</v>
      </c>
      <c r="FK584" s="3"/>
      <c r="FL584" s="400">
        <f>FL411-(FL414-FL412*FL415/100)</f>
        <v>599.50192191441226</v>
      </c>
      <c r="FM584" s="3"/>
      <c r="FN584" s="400">
        <f>FN411-(FN414-FN412*FN415/100)</f>
        <v>793.82068494320617</v>
      </c>
      <c r="FO584" s="3"/>
      <c r="FP584" s="400">
        <f>FP411-(FP414-FP412*FP415/100)</f>
        <v>844.87150941933464</v>
      </c>
      <c r="FQ584" s="3"/>
      <c r="FR584" s="400">
        <f>FR411-(FR414-FR412*FR415/100)</f>
        <v>860.54702078521836</v>
      </c>
      <c r="FS584" s="3"/>
      <c r="FT584" s="400">
        <f>FT411-(FT414-FT412*FT415/100)</f>
        <v>894.69999999999914</v>
      </c>
      <c r="FU584" s="3"/>
      <c r="FV584" s="400">
        <f>FV411-(FV414-FV412*FV415/100)</f>
        <v>1095.0457984328557</v>
      </c>
      <c r="FW584" s="3"/>
      <c r="FX584" s="400">
        <f>FX411-(FX414-FX412*FX415/100)</f>
        <v>881.2</v>
      </c>
      <c r="FY584" s="3"/>
      <c r="FZ584" s="400">
        <f>FZ411-(FZ414-FZ412*FZ415/100)</f>
        <v>872.47829227188822</v>
      </c>
      <c r="GA584" s="3"/>
      <c r="GB584" s="400">
        <f>GB411-(GB414-GB412*GB415/100)</f>
        <v>953.12028595458378</v>
      </c>
      <c r="GC584" s="3"/>
      <c r="GD584" s="400">
        <f>GD411-(GD414-GD412*GD415/100)</f>
        <v>893.19999999999959</v>
      </c>
      <c r="GE584" s="3"/>
      <c r="GF584" s="400">
        <f>GF411-(GF414-GF412*GF415/100)</f>
        <v>915.60000000000116</v>
      </c>
      <c r="GG584" s="3"/>
      <c r="GH584" s="400">
        <f>GH411-(GH414-GH412*GH415/100)</f>
        <v>962.22810149715292</v>
      </c>
      <c r="GI584" s="3"/>
      <c r="GJ584" s="400">
        <f>GJ411-(GJ414-GJ412*GJ415/100)</f>
        <v>1138.992170665811</v>
      </c>
      <c r="GK584" s="3"/>
      <c r="GL584" s="400">
        <f>GL411-(GL414-GL412*GL415/100)</f>
        <v>1166.3739290988638</v>
      </c>
      <c r="GM584" s="3"/>
      <c r="GN584" s="400">
        <f>GN411-(GN414-GN412*GN415/100)</f>
        <v>1199.1164197416224</v>
      </c>
      <c r="GO584" s="3"/>
      <c r="GP584" s="400">
        <f>GP411-(GP414-GP412*GP415/100)</f>
        <v>1236.0739147447871</v>
      </c>
      <c r="GQ584" s="3"/>
      <c r="GR584" s="400">
        <f>GR411-(GR414-GR412*GR415/100)</f>
        <v>1268.2485979483392</v>
      </c>
      <c r="GS584" s="3"/>
      <c r="GT584" s="3"/>
    </row>
    <row r="585" spans="1:286" ht="12.75" hidden="1" customHeight="1" outlineLevel="1" x14ac:dyDescent="0.2">
      <c r="A585" s="1"/>
      <c r="B585" s="2" t="s">
        <v>471</v>
      </c>
      <c r="C585" s="3"/>
      <c r="D585" s="3"/>
      <c r="E585" s="4"/>
      <c r="F585" s="4"/>
      <c r="G585" s="4"/>
      <c r="H585" s="4"/>
      <c r="I585" s="4"/>
      <c r="J585" s="4"/>
      <c r="K585" s="4"/>
      <c r="L585" s="4"/>
      <c r="M585" s="4"/>
      <c r="N585" s="3"/>
      <c r="O585" s="4"/>
      <c r="P585" s="3"/>
      <c r="Q585" s="4"/>
      <c r="R585" s="3"/>
      <c r="S585" s="4"/>
      <c r="T585" s="3"/>
      <c r="U585" s="4"/>
      <c r="V585" s="3"/>
      <c r="W585" s="4"/>
      <c r="X585" s="3"/>
      <c r="Y585" s="4"/>
      <c r="Z585" s="5"/>
      <c r="AA585" s="14"/>
      <c r="AB585" s="3"/>
      <c r="AC585" s="4"/>
      <c r="AD585" s="3"/>
      <c r="AE585" s="4"/>
      <c r="AF585" s="3"/>
      <c r="AG585" s="4"/>
      <c r="AH585" s="3"/>
      <c r="AI585" s="4"/>
      <c r="AJ585" s="3"/>
      <c r="AK585" s="4"/>
      <c r="AL585" s="3"/>
      <c r="AM585" s="4"/>
      <c r="AN585" s="3"/>
      <c r="AO585" s="4"/>
      <c r="AP585" s="3"/>
      <c r="AQ585" s="4"/>
      <c r="AR585" s="3"/>
      <c r="AS585" s="6">
        <f>(AS584/AS411)*AS573</f>
        <v>35.898066435299938</v>
      </c>
      <c r="AT585" s="425"/>
      <c r="AU585" s="6">
        <f>(AU584/AU411)*AU573</f>
        <v>36.373011547344099</v>
      </c>
      <c r="AV585" s="425"/>
      <c r="AW585" s="6">
        <f>(AW584/AW411)*AW573</f>
        <v>42.172570143149301</v>
      </c>
      <c r="AX585" s="425"/>
      <c r="AY585" s="6">
        <f>(AY584/AY411)*AY573</f>
        <v>48.037132075471703</v>
      </c>
      <c r="AZ585" s="425"/>
      <c r="BA585" s="6">
        <f>(BA584/BA411)*BA573</f>
        <v>47.955386949924126</v>
      </c>
      <c r="BB585" s="425"/>
      <c r="BC585" s="6">
        <f>(BC584/BC411)*BC573</f>
        <v>48.81724137931036</v>
      </c>
      <c r="BD585" s="425"/>
      <c r="BE585" s="6">
        <f>(BE584/BE411)*BE573</f>
        <v>65.136738461538457</v>
      </c>
      <c r="BF585" s="425"/>
      <c r="BG585" s="6">
        <f>(BG584/BG411)*BG573</f>
        <v>56.05335723598435</v>
      </c>
      <c r="BH585" s="425"/>
      <c r="BI585" s="6">
        <f>(BI584/BI411)*BI573</f>
        <v>55.930842911877406</v>
      </c>
      <c r="BJ585" s="425"/>
      <c r="BK585" s="6">
        <f>(BK584/BK411)*BK573</f>
        <v>56.70026400704014</v>
      </c>
      <c r="BL585" s="425"/>
      <c r="BM585" s="6">
        <f>(BM584/BM411)*BM573</f>
        <v>54.691308353808331</v>
      </c>
      <c r="BN585" s="425"/>
      <c r="BO585" s="6">
        <f>(BO584/BO411)*BO573</f>
        <v>36.857640232108345</v>
      </c>
      <c r="BP585" s="425"/>
      <c r="BQ585" s="6">
        <f>(BQ584/BQ411)*BQ573</f>
        <v>40.854727157360408</v>
      </c>
      <c r="BR585" s="425"/>
      <c r="BS585" s="6">
        <f>(BS584/BS411)*BS573</f>
        <v>44.838962642791003</v>
      </c>
      <c r="BT585" s="425"/>
      <c r="BU585" s="6">
        <f>(BU584/BU411)*BU573</f>
        <v>38.851798561151057</v>
      </c>
      <c r="BV585" s="425"/>
      <c r="BW585" s="6">
        <f>(BW584/BW411)*BW573</f>
        <v>41.58418272218767</v>
      </c>
      <c r="BX585" s="425"/>
      <c r="BY585" s="6">
        <f>(BY584/BY411)*BY573</f>
        <v>40.376242281681876</v>
      </c>
      <c r="BZ585" s="425"/>
      <c r="CA585" s="6">
        <f>(CA584/CA411)*CA573</f>
        <v>35.727590221187413</v>
      </c>
      <c r="CB585" s="425"/>
      <c r="CC585" s="6">
        <f>(CC584/CC411)*CC573</f>
        <v>32.305508474576285</v>
      </c>
      <c r="CD585" s="425"/>
      <c r="CE585" s="6">
        <f>(CE584/CE411)*CE573</f>
        <v>32.359502551020427</v>
      </c>
      <c r="CF585" s="425"/>
      <c r="CG585" s="6">
        <f>(CG584/CG411)*CG573</f>
        <v>33.460306058713307</v>
      </c>
      <c r="CH585" s="425"/>
      <c r="CI585" s="6">
        <f>(CI584/CI411)*CI573</f>
        <v>37.480496966194764</v>
      </c>
      <c r="CJ585" s="425"/>
      <c r="CK585" s="6">
        <f>(CK584/CK411)*CK573</f>
        <v>24.147130380536485</v>
      </c>
      <c r="CL585" s="425"/>
      <c r="CM585" s="6">
        <f>(CM584/CM411)*CM573</f>
        <v>31.023881322957212</v>
      </c>
      <c r="CN585" s="425"/>
      <c r="CO585" s="6">
        <f>(CO584/CO411)*CO573</f>
        <v>26.753428201811111</v>
      </c>
      <c r="CP585" s="425"/>
      <c r="CQ585" s="6">
        <f>(CQ584/CQ411)*CQ573</f>
        <v>21.796194775878725</v>
      </c>
      <c r="CR585" s="425"/>
      <c r="CS585" s="6">
        <f>(CS584/CS411)*CS573</f>
        <v>19.826198905696813</v>
      </c>
      <c r="CT585" s="425"/>
      <c r="CU585" s="6">
        <f>(CU584/CU411)*CU573</f>
        <v>25.427833387148855</v>
      </c>
      <c r="CV585" s="425"/>
      <c r="CW585" s="6">
        <f>(CW584/CW411)*CW573</f>
        <v>21.338173076923088</v>
      </c>
      <c r="CX585" s="425"/>
      <c r="CY585" s="6">
        <f>(CY584/CY411)*CY573</f>
        <v>22.968085106382976</v>
      </c>
      <c r="CZ585" s="425"/>
      <c r="DA585" s="6">
        <f>(DA584/DA411)*DA573</f>
        <v>21.921871049304688</v>
      </c>
      <c r="DB585" s="425"/>
      <c r="DC585" s="6">
        <f>(DC584/DC411)*DC573</f>
        <v>25.407430647291946</v>
      </c>
      <c r="DD585" s="425"/>
      <c r="DE585" s="6">
        <f>(DE584/DE411)*DE573</f>
        <v>25.007386888273285</v>
      </c>
      <c r="DF585" s="425"/>
      <c r="DG585" s="6">
        <f>(DG584/DG411)*DG573</f>
        <v>26.939686443283122</v>
      </c>
      <c r="DH585" s="425"/>
      <c r="DI585" s="6">
        <f>(DI584/DI411)*DI573</f>
        <v>23.139501891551074</v>
      </c>
      <c r="DJ585" s="425"/>
      <c r="DK585" s="6">
        <f>(DK584/DK411)*DK573</f>
        <v>23.469080182354528</v>
      </c>
      <c r="DL585" s="425"/>
      <c r="DM585" s="6">
        <f>(DM584/DM411)*DM573</f>
        <v>22.829217719132892</v>
      </c>
      <c r="DN585" s="425"/>
      <c r="DO585" s="6">
        <f>(DO584/DO411)*DO573</f>
        <v>26.485830721003119</v>
      </c>
      <c r="DP585" s="425"/>
      <c r="DQ585" s="6">
        <f>(DQ584/DQ411)*DQ573</f>
        <v>22.211889400921677</v>
      </c>
      <c r="DR585" s="425"/>
      <c r="DS585" s="6">
        <f>(DS584/DS411)*DS573</f>
        <v>26.489821484497334</v>
      </c>
      <c r="DT585" s="425"/>
      <c r="DU585" s="6">
        <f>(DU584/DU411)*DU573</f>
        <v>23.200246381275033</v>
      </c>
      <c r="DV585" s="425"/>
      <c r="DW585" s="6">
        <f>(DW584/DW411)*DW573</f>
        <v>25.672439534189312</v>
      </c>
      <c r="DX585" s="425"/>
      <c r="DY585" s="6">
        <f>(DY584/DY411)*DY573</f>
        <v>20.085144814699486</v>
      </c>
      <c r="DZ585" s="425"/>
      <c r="EA585" s="6">
        <f>(EA584/EA411)*EA573</f>
        <v>20.035093348891493</v>
      </c>
      <c r="EB585" s="425"/>
      <c r="EC585" s="6">
        <f>(EC584/EC411)*EC573</f>
        <v>18.476787290379512</v>
      </c>
      <c r="ED585" s="425"/>
      <c r="EE585" s="6">
        <f>(EE584/EE411)*EE573</f>
        <v>19.653635077793503</v>
      </c>
      <c r="EF585" s="425"/>
      <c r="EG585" s="6">
        <f>(EG584/EG411)*EG573</f>
        <v>17.840768799102115</v>
      </c>
      <c r="EH585" s="425"/>
      <c r="EI585" s="6">
        <f>(EI584/EI411)*EI573</f>
        <v>20.198230088495585</v>
      </c>
      <c r="EJ585" s="425"/>
      <c r="EK585" s="6">
        <f t="shared" ref="EK585:EQ585" si="2340">(EK584/EK411)*EK573</f>
        <v>24.335517375251406</v>
      </c>
      <c r="EL585" s="425"/>
      <c r="EM585" s="6">
        <f t="shared" si="2340"/>
        <v>24.463822109075362</v>
      </c>
      <c r="EN585" s="425"/>
      <c r="EO585" s="6">
        <f t="shared" si="2340"/>
        <v>24.154424784239829</v>
      </c>
      <c r="EP585" s="425"/>
      <c r="EQ585" s="6">
        <f t="shared" si="2340"/>
        <v>23.550715441080104</v>
      </c>
      <c r="ER585" s="425"/>
      <c r="ES585" s="6"/>
      <c r="ET585" s="494"/>
      <c r="EU585" s="6"/>
      <c r="EV585" s="6"/>
      <c r="EW585" s="6"/>
      <c r="EX585" s="6"/>
      <c r="EY585" s="425"/>
      <c r="EZ585" s="6"/>
      <c r="FA585" s="425"/>
      <c r="FB585" s="6">
        <f>(FB584/FB411)*FB573</f>
        <v>0</v>
      </c>
      <c r="FC585" s="425"/>
      <c r="FD585" s="6">
        <f>(FD584/FD411)*FD573</f>
        <v>0</v>
      </c>
      <c r="FE585" s="425"/>
      <c r="FF585" s="6">
        <f>(FF584/FF411)*FF573</f>
        <v>0</v>
      </c>
      <c r="FG585" s="425"/>
      <c r="FH585" s="6">
        <f>(FH584/FH411)*FH573</f>
        <v>64.218444444444543</v>
      </c>
      <c r="FI585" s="425"/>
      <c r="FJ585" s="6">
        <f>(FJ584/FJ411)*FJ573</f>
        <v>128.56923470693644</v>
      </c>
      <c r="FK585" s="425"/>
      <c r="FL585" s="6">
        <f>(FL584/FL411)*FL573</f>
        <v>162.46521832488952</v>
      </c>
      <c r="FM585" s="425"/>
      <c r="FN585" s="6">
        <f>(FN584/FN411)*FN573</f>
        <v>218.0589973524639</v>
      </c>
      <c r="FO585" s="425"/>
      <c r="FP585" s="6">
        <f>(FP584/FP411)*FP573</f>
        <v>204.43870067447071</v>
      </c>
      <c r="FQ585" s="425"/>
      <c r="FR585" s="6">
        <f>(FR584/FR411)*FR573</f>
        <v>164.82317339657607</v>
      </c>
      <c r="FS585" s="425"/>
      <c r="FT585" s="6">
        <f>(FT584/FT411)*FT573</f>
        <v>140.83927091963542</v>
      </c>
      <c r="FU585" s="425"/>
      <c r="FV585" s="6">
        <f>(FV584/FV411)*FV573</f>
        <v>158.95960551202381</v>
      </c>
      <c r="FW585" s="425"/>
      <c r="FX585" s="6">
        <f>(FX584/FX411)*FX573</f>
        <v>92.133747412008262</v>
      </c>
      <c r="FY585" s="425"/>
      <c r="FZ585" s="6">
        <f>(FZ584/FZ411)*FZ573</f>
        <v>91.576919990369959</v>
      </c>
      <c r="GA585" s="425"/>
      <c r="GB585" s="6">
        <f>(GB584/GB411)*GB573</f>
        <v>107.87286795626574</v>
      </c>
      <c r="GC585" s="425"/>
      <c r="GD585" s="6">
        <f>(GD584/GD411)*GD573</f>
        <v>97.951735434053418</v>
      </c>
      <c r="GE585" s="425"/>
      <c r="GF585" s="6">
        <f>(GF584/GF411)*GF573</f>
        <v>88.965742349830052</v>
      </c>
      <c r="GG585" s="425"/>
      <c r="GH585" s="6">
        <f>(GH584/GH411)*GH573</f>
        <v>76.185534546988052</v>
      </c>
      <c r="GI585" s="425"/>
      <c r="GJ585" s="6">
        <f>(GJ584/GJ411)*GJ573</f>
        <v>96.504479709646589</v>
      </c>
      <c r="GK585" s="425"/>
      <c r="GL585" s="6">
        <f>(GL584/GL411)*GL573</f>
        <v>100.90898211152783</v>
      </c>
      <c r="GM585" s="425"/>
      <c r="GN585" s="6">
        <f>(GN584/GN411)*GN573</f>
        <v>105.50850530769786</v>
      </c>
      <c r="GO585" s="425"/>
      <c r="GP585" s="6">
        <f>(GP584/GP411)*GP573</f>
        <v>110.31160375785696</v>
      </c>
      <c r="GQ585" s="425"/>
      <c r="GR585" s="6">
        <f>(GR584/GR411)*GR573</f>
        <v>114.79737366632337</v>
      </c>
      <c r="GS585" s="425"/>
      <c r="GT585" s="3"/>
    </row>
    <row r="586" spans="1:286" ht="12.75" hidden="1" customHeight="1" outlineLevel="1" x14ac:dyDescent="0.2">
      <c r="A586" s="1"/>
      <c r="B586" s="2"/>
      <c r="C586" s="3"/>
      <c r="D586" s="3"/>
      <c r="E586" s="4"/>
      <c r="F586" s="4"/>
      <c r="G586" s="4"/>
      <c r="H586" s="4"/>
      <c r="I586" s="4"/>
      <c r="J586" s="4"/>
      <c r="K586" s="4"/>
      <c r="L586" s="4"/>
      <c r="M586" s="4"/>
      <c r="N586" s="3"/>
      <c r="O586" s="4"/>
      <c r="P586" s="3"/>
      <c r="Q586" s="4"/>
      <c r="R586" s="3"/>
      <c r="S586" s="4"/>
      <c r="T586" s="3"/>
      <c r="U586" s="4"/>
      <c r="V586" s="3"/>
      <c r="W586" s="4"/>
      <c r="X586" s="3"/>
      <c r="Y586" s="4"/>
      <c r="Z586" s="5"/>
      <c r="AA586" s="14"/>
      <c r="AB586" s="3"/>
      <c r="AC586" s="4"/>
      <c r="AD586" s="3"/>
      <c r="AE586" s="4"/>
      <c r="AF586" s="3"/>
      <c r="AG586" s="4"/>
      <c r="AH586" s="3"/>
      <c r="AI586" s="4"/>
      <c r="AJ586" s="3"/>
      <c r="AK586" s="4"/>
      <c r="AL586" s="3"/>
      <c r="AM586" s="4"/>
      <c r="AN586" s="3"/>
      <c r="AO586" s="4"/>
      <c r="AP586" s="3"/>
      <c r="AQ586" s="4"/>
      <c r="AR586" s="3"/>
      <c r="AS586" s="4"/>
      <c r="AT586" s="7"/>
      <c r="AU586" s="4"/>
      <c r="AV586" s="7"/>
      <c r="AW586" s="4"/>
      <c r="AX586" s="7"/>
      <c r="AY586" s="4"/>
      <c r="AZ586" s="7"/>
      <c r="BA586" s="4"/>
      <c r="BB586" s="7"/>
      <c r="BC586" s="4"/>
      <c r="BD586" s="7"/>
      <c r="BE586" s="4"/>
      <c r="BF586" s="7"/>
      <c r="BG586" s="4"/>
      <c r="BH586" s="7"/>
      <c r="BI586" s="4"/>
      <c r="BJ586" s="7"/>
      <c r="BK586" s="4"/>
      <c r="BL586" s="7"/>
      <c r="BM586" s="4"/>
      <c r="BN586" s="7"/>
      <c r="BO586" s="4"/>
      <c r="BP586" s="7"/>
      <c r="BQ586" s="4"/>
      <c r="BR586" s="7"/>
      <c r="BS586" s="4"/>
      <c r="BT586" s="7"/>
      <c r="BU586" s="4"/>
      <c r="BV586" s="7"/>
      <c r="BW586" s="4"/>
      <c r="BX586" s="7"/>
      <c r="BY586" s="4"/>
      <c r="BZ586" s="7"/>
      <c r="CA586" s="4"/>
      <c r="CB586" s="7"/>
      <c r="CC586" s="4"/>
      <c r="CD586" s="7"/>
      <c r="CE586" s="4"/>
      <c r="CF586" s="7"/>
      <c r="CG586" s="4"/>
      <c r="CH586" s="7"/>
      <c r="CI586" s="4"/>
      <c r="CJ586" s="7"/>
      <c r="CK586" s="4"/>
      <c r="CL586" s="7"/>
      <c r="CM586" s="4"/>
      <c r="CN586" s="7"/>
      <c r="CO586" s="4"/>
      <c r="CP586" s="7"/>
      <c r="CQ586" s="4"/>
      <c r="CR586" s="7"/>
      <c r="CS586" s="4"/>
      <c r="CT586" s="7"/>
      <c r="CU586" s="4"/>
      <c r="CV586" s="7"/>
      <c r="CW586" s="4"/>
      <c r="CX586" s="7"/>
      <c r="CY586" s="4"/>
      <c r="CZ586" s="7"/>
      <c r="DA586" s="4"/>
      <c r="DB586" s="7"/>
      <c r="DC586" s="4"/>
      <c r="DD586" s="7"/>
      <c r="DE586" s="4"/>
      <c r="DF586" s="7"/>
      <c r="DG586" s="4"/>
      <c r="DH586" s="7"/>
      <c r="DI586" s="4"/>
      <c r="DJ586" s="7"/>
      <c r="DK586" s="4"/>
      <c r="DL586" s="7"/>
      <c r="DM586" s="4"/>
      <c r="DN586" s="7"/>
      <c r="DO586" s="4"/>
      <c r="DP586" s="7"/>
      <c r="DQ586" s="4"/>
      <c r="DR586" s="7"/>
      <c r="DS586" s="4"/>
      <c r="DT586" s="7"/>
      <c r="DU586" s="4"/>
      <c r="DV586" s="7"/>
      <c r="DW586" s="4"/>
      <c r="DX586" s="7"/>
      <c r="DY586" s="4"/>
      <c r="DZ586" s="7"/>
      <c r="EA586" s="4"/>
      <c r="EB586" s="7"/>
      <c r="EC586" s="4"/>
      <c r="ED586" s="7"/>
      <c r="EE586" s="4"/>
      <c r="EF586" s="7"/>
      <c r="EG586" s="4"/>
      <c r="EH586" s="7"/>
      <c r="EI586" s="4"/>
      <c r="EJ586" s="7"/>
      <c r="EK586" s="4"/>
      <c r="EL586" s="7"/>
      <c r="EM586" s="4"/>
      <c r="EN586" s="7"/>
      <c r="EO586" s="4"/>
      <c r="EP586" s="7"/>
      <c r="EQ586" s="4"/>
      <c r="ER586" s="7"/>
      <c r="ES586" s="4"/>
      <c r="ET586" s="494"/>
      <c r="EU586" s="4"/>
      <c r="EV586" s="4"/>
      <c r="EW586" s="3"/>
      <c r="EX586" s="4"/>
      <c r="EY586" s="3"/>
      <c r="EZ586" s="4"/>
      <c r="FA586" s="3"/>
      <c r="FB586" s="4"/>
      <c r="FC586" s="3"/>
      <c r="FD586" s="4"/>
      <c r="FE586" s="3"/>
      <c r="FF586" s="4"/>
      <c r="FG586" s="3"/>
      <c r="FH586" s="4"/>
      <c r="FI586" s="3"/>
      <c r="FJ586" s="4"/>
      <c r="FK586" s="3"/>
      <c r="FL586" s="4"/>
      <c r="FM586" s="3"/>
      <c r="FN586" s="4"/>
      <c r="FO586" s="3"/>
      <c r="FP586" s="4"/>
      <c r="FQ586" s="3"/>
      <c r="FR586" s="4"/>
      <c r="FS586" s="3"/>
      <c r="FT586" s="4"/>
      <c r="FU586" s="3"/>
      <c r="FV586" s="4"/>
      <c r="FW586" s="3"/>
      <c r="FX586" s="4"/>
      <c r="FY586" s="3"/>
      <c r="FZ586" s="4"/>
      <c r="GA586" s="3"/>
      <c r="GB586" s="4"/>
      <c r="GC586" s="3"/>
      <c r="GD586" s="4"/>
      <c r="GE586" s="3"/>
      <c r="GF586" s="4"/>
      <c r="GG586" s="3"/>
      <c r="GH586" s="4"/>
      <c r="GI586" s="3"/>
      <c r="GJ586" s="4"/>
      <c r="GK586" s="3"/>
      <c r="GL586" s="4"/>
      <c r="GM586" s="3"/>
      <c r="GN586" s="4"/>
      <c r="GO586" s="3"/>
      <c r="GP586" s="4"/>
      <c r="GQ586" s="3"/>
      <c r="GR586" s="4"/>
      <c r="GS586" s="3"/>
      <c r="GT586" s="3"/>
    </row>
    <row r="587" spans="1:286" ht="12.75" hidden="1" customHeight="1" outlineLevel="1" x14ac:dyDescent="0.2">
      <c r="A587" s="1"/>
      <c r="B587" s="2" t="s">
        <v>93</v>
      </c>
      <c r="C587" s="3"/>
      <c r="D587" s="3"/>
      <c r="E587" s="4"/>
      <c r="F587" s="4"/>
      <c r="G587" s="4"/>
      <c r="H587" s="4"/>
      <c r="I587" s="4"/>
      <c r="J587" s="4"/>
      <c r="K587" s="4"/>
      <c r="L587" s="4"/>
      <c r="M587" s="4"/>
      <c r="N587" s="3"/>
      <c r="O587" s="4"/>
      <c r="P587" s="3"/>
      <c r="Q587" s="4"/>
      <c r="R587" s="3"/>
      <c r="S587" s="4"/>
      <c r="T587" s="3"/>
      <c r="U587" s="4"/>
      <c r="V587" s="3"/>
      <c r="W587" s="4"/>
      <c r="X587" s="3"/>
      <c r="Y587" s="4"/>
      <c r="Z587" s="5"/>
      <c r="AA587" s="14"/>
      <c r="AB587" s="3"/>
      <c r="AC587" s="4"/>
      <c r="AD587" s="3"/>
      <c r="AE587" s="4"/>
      <c r="AF587" s="3"/>
      <c r="AG587" s="4"/>
      <c r="AH587" s="3"/>
      <c r="AI587" s="4"/>
      <c r="AJ587" s="3"/>
      <c r="AK587" s="4"/>
      <c r="AL587" s="3"/>
      <c r="AM587" s="4"/>
      <c r="AN587" s="3"/>
      <c r="AO587" s="4"/>
      <c r="AP587" s="3"/>
      <c r="AQ587" s="4"/>
      <c r="AR587" s="3"/>
      <c r="AS587" s="78">
        <f>AS384+AS386</f>
        <v>2033.8</v>
      </c>
      <c r="AT587" s="421"/>
      <c r="AU587" s="78">
        <f>AU384+AU386</f>
        <v>2097.1999999999998</v>
      </c>
      <c r="AV587" s="421"/>
      <c r="AW587" s="78">
        <f>AW384+AW386</f>
        <v>2079.4</v>
      </c>
      <c r="AX587" s="421"/>
      <c r="AY587" s="78">
        <f>AY384+AY386</f>
        <v>2094</v>
      </c>
      <c r="AZ587" s="421"/>
      <c r="BA587" s="78">
        <f>BA384+BA386</f>
        <v>2014.8</v>
      </c>
      <c r="BB587" s="421"/>
      <c r="BC587" s="78">
        <f>BC384+BC386</f>
        <v>2057.4</v>
      </c>
      <c r="BD587" s="421"/>
      <c r="BE587" s="78">
        <f>BE384+BE386</f>
        <v>2053.1</v>
      </c>
      <c r="BF587" s="421"/>
      <c r="BG587" s="78">
        <f>BG384+BG386</f>
        <v>2049.9</v>
      </c>
      <c r="BH587" s="421"/>
      <c r="BI587" s="78">
        <f>BI384+BI386</f>
        <v>2017.7000000000003</v>
      </c>
      <c r="BJ587" s="421"/>
      <c r="BK587" s="78">
        <f>BK384+BK386</f>
        <v>2032.7</v>
      </c>
      <c r="BL587" s="421"/>
      <c r="BM587" s="78">
        <f>BM384+BM386</f>
        <v>2013.8</v>
      </c>
      <c r="BN587" s="421"/>
      <c r="BO587" s="78">
        <f>BO384+BO386</f>
        <v>1991.6000000000001</v>
      </c>
      <c r="BP587" s="421"/>
      <c r="BQ587" s="78">
        <f>BQ384+BQ386</f>
        <v>1939.8000000000002</v>
      </c>
      <c r="BR587" s="421"/>
      <c r="BS587" s="78">
        <f>BS384+BS386</f>
        <v>1943.1</v>
      </c>
      <c r="BT587" s="421"/>
      <c r="BU587" s="78">
        <f>BU384+BU386</f>
        <v>1923</v>
      </c>
      <c r="BV587" s="421"/>
      <c r="BW587" s="78">
        <f>BW384+BW386</f>
        <v>1926.8000000000002</v>
      </c>
      <c r="BX587" s="421"/>
      <c r="BY587" s="78">
        <f>BY384+BY386</f>
        <v>1923.0000000000002</v>
      </c>
      <c r="BZ587" s="421"/>
      <c r="CA587" s="78">
        <f>CA384+CA386</f>
        <v>1910.3000000000002</v>
      </c>
      <c r="CB587" s="421"/>
      <c r="CC587" s="78">
        <f>CC384+CC386</f>
        <v>1908.4</v>
      </c>
      <c r="CD587" s="421"/>
      <c r="CE587" s="78">
        <f>CE384+CE386</f>
        <v>1931.3</v>
      </c>
      <c r="CF587" s="421"/>
      <c r="CG587" s="78">
        <f>CG384+CG386</f>
        <v>1929.1999999999998</v>
      </c>
      <c r="CH587" s="421"/>
      <c r="CI587" s="78">
        <f>CI384+CI386</f>
        <v>1931</v>
      </c>
      <c r="CJ587" s="421"/>
      <c r="CK587" s="78">
        <f>CK384+CK386</f>
        <v>1940.3000000000002</v>
      </c>
      <c r="CL587" s="421"/>
      <c r="CM587" s="78">
        <f>CM384+CM386</f>
        <v>1962.8</v>
      </c>
      <c r="CN587" s="421"/>
      <c r="CO587" s="78">
        <f>CO384+CO386</f>
        <v>1979.4</v>
      </c>
      <c r="CP587" s="421"/>
      <c r="CQ587" s="78">
        <f>CQ384+CQ386</f>
        <v>1986.5</v>
      </c>
      <c r="CR587" s="421"/>
      <c r="CS587" s="78">
        <f>CS384+CS386</f>
        <v>1987.5</v>
      </c>
      <c r="CT587" s="421"/>
      <c r="CU587" s="78">
        <f>CU384+CU386</f>
        <v>1990.6000000000001</v>
      </c>
      <c r="CV587" s="421"/>
      <c r="CW587" s="78">
        <f>CW384+CW386</f>
        <v>1993.3999999999999</v>
      </c>
      <c r="CX587" s="421"/>
      <c r="CY587" s="78">
        <f>CY384+CY386</f>
        <v>1962.5</v>
      </c>
      <c r="CZ587" s="421"/>
      <c r="DA587" s="78">
        <f>DA384+DA386</f>
        <v>1951.5</v>
      </c>
      <c r="DB587" s="421"/>
      <c r="DC587" s="78">
        <f>DC384+DC386</f>
        <v>1947.5000000000002</v>
      </c>
      <c r="DD587" s="421"/>
      <c r="DE587" s="78">
        <f>DE384+DE386</f>
        <v>1992.3</v>
      </c>
      <c r="DF587" s="421"/>
      <c r="DG587" s="78">
        <f>DG384+DG386</f>
        <v>1998.5</v>
      </c>
      <c r="DH587" s="421"/>
      <c r="DI587" s="78">
        <f>DI384+DI386</f>
        <v>2001.7999999999997</v>
      </c>
      <c r="DJ587" s="421"/>
      <c r="DK587" s="78">
        <f>DK384+DK386</f>
        <v>2023.6000000000001</v>
      </c>
      <c r="DL587" s="421"/>
      <c r="DM587" s="78">
        <f>DM384+DM386</f>
        <v>2060.7000000000003</v>
      </c>
      <c r="DN587" s="421"/>
      <c r="DO587" s="78">
        <f>DO384+DO386</f>
        <v>2072.1999999999998</v>
      </c>
      <c r="DP587" s="421"/>
      <c r="DQ587" s="78">
        <f>DQ384+DQ386</f>
        <v>2072.3000000000002</v>
      </c>
      <c r="DR587" s="421"/>
      <c r="DS587" s="78">
        <f>DS384+DS386</f>
        <v>2088.7000000000003</v>
      </c>
      <c r="DT587" s="421"/>
      <c r="DU587" s="78">
        <f>DU384+DU386</f>
        <v>2139.5</v>
      </c>
      <c r="DV587" s="421"/>
      <c r="DW587" s="78">
        <f>DW384+DW386</f>
        <v>2132.6999999999998</v>
      </c>
      <c r="DX587" s="421"/>
      <c r="DY587" s="78">
        <f>DY384+DY386</f>
        <v>2140.9</v>
      </c>
      <c r="DZ587" s="421"/>
      <c r="EA587" s="78">
        <f>EA384+EA386</f>
        <v>2150.1999999999998</v>
      </c>
      <c r="EB587" s="421"/>
      <c r="EC587" s="78">
        <f>EC384+EC386</f>
        <v>2193.0999999999995</v>
      </c>
      <c r="ED587" s="421"/>
      <c r="EE587" s="78">
        <f>EE384+EE386</f>
        <v>2193.3999999999996</v>
      </c>
      <c r="EF587" s="421"/>
      <c r="EG587" s="78">
        <f>EG384+EG386</f>
        <v>2199.7000000000003</v>
      </c>
      <c r="EH587" s="421"/>
      <c r="EI587" s="78">
        <f>EI384+EI386</f>
        <v>2208</v>
      </c>
      <c r="EJ587" s="421"/>
      <c r="EK587" s="78">
        <f t="shared" ref="EK587:EQ587" si="2341">EK384+EK386</f>
        <v>2265.086617770055</v>
      </c>
      <c r="EL587" s="421"/>
      <c r="EM587" s="78">
        <f t="shared" si="2341"/>
        <v>2279.0321763243146</v>
      </c>
      <c r="EN587" s="421"/>
      <c r="EO587" s="78">
        <f t="shared" si="2341"/>
        <v>2299.4463426852067</v>
      </c>
      <c r="EP587" s="421"/>
      <c r="EQ587" s="78">
        <f t="shared" si="2341"/>
        <v>2304.3947018805079</v>
      </c>
      <c r="ER587" s="421"/>
      <c r="ES587" s="78"/>
      <c r="ET587" s="494"/>
      <c r="EU587" s="78"/>
      <c r="EV587" s="78"/>
      <c r="EW587" s="78"/>
      <c r="EX587" s="78"/>
      <c r="EY587" s="421"/>
      <c r="EZ587" s="78"/>
      <c r="FA587" s="421"/>
      <c r="FB587" s="78">
        <f>FB384+FB386</f>
        <v>953.5</v>
      </c>
      <c r="FC587" s="421"/>
      <c r="FD587" s="78">
        <f>FD384+FD386</f>
        <v>7539.3000000000011</v>
      </c>
      <c r="FE587" s="421"/>
      <c r="FF587" s="78">
        <f>FF384+FF386</f>
        <v>8007</v>
      </c>
      <c r="FG587" s="421"/>
      <c r="FH587" s="78">
        <f>FH384+FH386</f>
        <v>8277.0000000000018</v>
      </c>
      <c r="FI587" s="421"/>
      <c r="FJ587" s="78">
        <f>FJ384+FJ386</f>
        <v>8205.4</v>
      </c>
      <c r="FK587" s="421"/>
      <c r="FL587" s="78">
        <f t="shared" ref="FL587:FV587" si="2342">FL384+FL386</f>
        <v>8304.4000000000015</v>
      </c>
      <c r="FM587" s="421"/>
      <c r="FN587" s="78">
        <f t="shared" si="2342"/>
        <v>8175.2</v>
      </c>
      <c r="FO587" s="421"/>
      <c r="FP587" s="78">
        <f t="shared" si="2342"/>
        <v>8055.8</v>
      </c>
      <c r="FQ587" s="421"/>
      <c r="FR587" s="78">
        <f t="shared" si="2342"/>
        <v>7732.7</v>
      </c>
      <c r="FS587" s="421"/>
      <c r="FT587" s="78">
        <f t="shared" si="2342"/>
        <v>7673.0000000000009</v>
      </c>
      <c r="FU587" s="421"/>
      <c r="FV587" s="78">
        <f t="shared" si="2342"/>
        <v>7763.3000000000011</v>
      </c>
      <c r="FW587" s="421"/>
      <c r="FX587" s="78">
        <f>FX384+FX386</f>
        <v>7944</v>
      </c>
      <c r="FY587" s="421"/>
      <c r="FZ587" s="78">
        <f>FZ384+FZ386</f>
        <v>7854.9000000000005</v>
      </c>
      <c r="GA587" s="421"/>
      <c r="GB587" s="78">
        <f>GB384+GB386</f>
        <v>8016.1999999999989</v>
      </c>
      <c r="GC587" s="421"/>
      <c r="GD587" s="78">
        <f>GD384+GD386</f>
        <v>8293.9</v>
      </c>
      <c r="GE587" s="421"/>
      <c r="GF587" s="78">
        <f>GF384+GF386</f>
        <v>8563.3000000000011</v>
      </c>
      <c r="GG587" s="421"/>
      <c r="GH587" s="78">
        <f>GH384+GH386</f>
        <v>8794.1999999999989</v>
      </c>
      <c r="GI587" s="421"/>
      <c r="GJ587" s="78">
        <f>GJ384+GJ386</f>
        <v>9147.9598386600846</v>
      </c>
      <c r="GK587" s="421"/>
      <c r="GL587" s="78">
        <f>GL384+GL386</f>
        <v>9396.3768877146849</v>
      </c>
      <c r="GM587" s="421"/>
      <c r="GN587" s="78">
        <f>GN384+GN386</f>
        <v>9660.1760279595164</v>
      </c>
      <c r="GO587" s="421"/>
      <c r="GP587" s="78">
        <f>GP384+GP386</f>
        <v>9939.6618751284514</v>
      </c>
      <c r="GQ587" s="421"/>
      <c r="GR587" s="78">
        <f>GR384+GR386</f>
        <v>10235.197970906349</v>
      </c>
      <c r="GS587" s="421"/>
      <c r="GT587" s="3"/>
    </row>
    <row r="588" spans="1:286" ht="12.75" hidden="1" customHeight="1" outlineLevel="1" x14ac:dyDescent="0.2">
      <c r="A588" s="1"/>
      <c r="B588" s="2"/>
      <c r="C588" s="3"/>
      <c r="D588" s="3"/>
      <c r="E588" s="4"/>
      <c r="F588" s="4"/>
      <c r="G588" s="4"/>
      <c r="H588" s="4"/>
      <c r="I588" s="4"/>
      <c r="J588" s="4"/>
      <c r="K588" s="4"/>
      <c r="L588" s="4"/>
      <c r="M588" s="4"/>
      <c r="N588" s="3"/>
      <c r="O588" s="4"/>
      <c r="P588" s="3"/>
      <c r="Q588" s="4"/>
      <c r="R588" s="3"/>
      <c r="S588" s="4"/>
      <c r="T588" s="3"/>
      <c r="U588" s="4"/>
      <c r="V588" s="3"/>
      <c r="W588" s="4"/>
      <c r="X588" s="3"/>
      <c r="Y588" s="4"/>
      <c r="Z588" s="5"/>
      <c r="AA588" s="14"/>
      <c r="AB588" s="3"/>
      <c r="AC588" s="4"/>
      <c r="AD588" s="3"/>
      <c r="AE588" s="4"/>
      <c r="AF588" s="3"/>
      <c r="AG588" s="4"/>
      <c r="AH588" s="3"/>
      <c r="AI588" s="4"/>
      <c r="AJ588" s="3"/>
      <c r="AK588" s="4"/>
      <c r="AL588" s="3"/>
      <c r="AM588" s="4"/>
      <c r="AN588" s="3"/>
      <c r="AO588" s="4"/>
      <c r="AP588" s="3"/>
      <c r="AQ588" s="4"/>
      <c r="AR588" s="3"/>
      <c r="AS588" s="78"/>
      <c r="AT588" s="421"/>
      <c r="AU588" s="78"/>
      <c r="AV588" s="421"/>
      <c r="AW588" s="78"/>
      <c r="AX588" s="421"/>
      <c r="AY588" s="78"/>
      <c r="AZ588" s="421"/>
      <c r="BA588" s="78"/>
      <c r="BB588" s="421"/>
      <c r="BC588" s="78"/>
      <c r="BD588" s="421"/>
      <c r="BE588" s="78"/>
      <c r="BF588" s="421"/>
      <c r="BG588" s="78"/>
      <c r="BH588" s="421"/>
      <c r="BI588" s="78"/>
      <c r="BJ588" s="421"/>
      <c r="BK588" s="78"/>
      <c r="BL588" s="421"/>
      <c r="BM588" s="78"/>
      <c r="BN588" s="421"/>
      <c r="BO588" s="78"/>
      <c r="BP588" s="421"/>
      <c r="BQ588" s="78"/>
      <c r="BR588" s="421"/>
      <c r="BS588" s="78"/>
      <c r="BT588" s="421"/>
      <c r="BU588" s="78"/>
      <c r="BV588" s="421"/>
      <c r="BW588" s="78"/>
      <c r="BX588" s="421"/>
      <c r="BY588" s="78"/>
      <c r="BZ588" s="421"/>
      <c r="CA588" s="78"/>
      <c r="CB588" s="421"/>
      <c r="CC588" s="78"/>
      <c r="CD588" s="421"/>
      <c r="CE588" s="78"/>
      <c r="CF588" s="421"/>
      <c r="CG588" s="78"/>
      <c r="CH588" s="421"/>
      <c r="CI588" s="78"/>
      <c r="CJ588" s="421"/>
      <c r="CK588" s="78"/>
      <c r="CL588" s="421"/>
      <c r="CM588" s="78"/>
      <c r="CN588" s="421"/>
      <c r="CO588" s="78"/>
      <c r="CP588" s="421"/>
      <c r="CQ588" s="78"/>
      <c r="CR588" s="421"/>
      <c r="CS588" s="78"/>
      <c r="CT588" s="421"/>
      <c r="CU588" s="78"/>
      <c r="CV588" s="421"/>
      <c r="CW588" s="78"/>
      <c r="CX588" s="421"/>
      <c r="CY588" s="78"/>
      <c r="CZ588" s="421"/>
      <c r="DA588" s="78"/>
      <c r="DB588" s="421"/>
      <c r="DC588" s="78"/>
      <c r="DD588" s="421"/>
      <c r="DE588" s="78"/>
      <c r="DF588" s="421"/>
      <c r="DG588" s="78"/>
      <c r="DH588" s="421"/>
      <c r="DI588" s="78"/>
      <c r="DJ588" s="421"/>
      <c r="DK588" s="78"/>
      <c r="DL588" s="421"/>
      <c r="DM588" s="78"/>
      <c r="DN588" s="421"/>
      <c r="DO588" s="78"/>
      <c r="DP588" s="421"/>
      <c r="DQ588" s="78"/>
      <c r="DR588" s="421"/>
      <c r="DS588" s="78"/>
      <c r="DT588" s="421"/>
      <c r="DU588" s="78"/>
      <c r="DV588" s="421"/>
      <c r="DW588" s="78"/>
      <c r="DX588" s="421"/>
      <c r="DY588" s="78"/>
      <c r="DZ588" s="421"/>
      <c r="EA588" s="78"/>
      <c r="EB588" s="421"/>
      <c r="EC588" s="78"/>
      <c r="ED588" s="421"/>
      <c r="EE588" s="78"/>
      <c r="EF588" s="421"/>
      <c r="EG588" s="78"/>
      <c r="EH588" s="421"/>
      <c r="EI588" s="78"/>
      <c r="EJ588" s="421"/>
      <c r="EK588" s="78"/>
      <c r="EL588" s="421"/>
      <c r="EM588" s="78"/>
      <c r="EN588" s="421"/>
      <c r="EO588" s="78"/>
      <c r="EP588" s="421"/>
      <c r="EQ588" s="78"/>
      <c r="ER588" s="421"/>
      <c r="ES588" s="78"/>
      <c r="ET588" s="494"/>
      <c r="EU588" s="78"/>
      <c r="EV588" s="78"/>
      <c r="EW588" s="78"/>
      <c r="EX588" s="78"/>
      <c r="EY588" s="421"/>
      <c r="EZ588" s="78"/>
      <c r="FA588" s="421"/>
      <c r="FB588" s="78"/>
      <c r="FC588" s="421"/>
      <c r="FD588" s="78"/>
      <c r="FE588" s="421"/>
      <c r="FF588" s="78"/>
      <c r="FG588" s="421"/>
      <c r="FH588" s="78"/>
      <c r="FI588" s="421"/>
      <c r="FJ588" s="78"/>
      <c r="FK588" s="421"/>
      <c r="FL588" s="78"/>
      <c r="FM588" s="421"/>
      <c r="FN588" s="78"/>
      <c r="FO588" s="421"/>
      <c r="FP588" s="78"/>
      <c r="FQ588" s="421"/>
      <c r="FR588" s="78"/>
      <c r="FS588" s="421"/>
      <c r="FT588" s="78"/>
      <c r="FU588" s="421"/>
      <c r="FV588" s="78"/>
      <c r="FW588" s="421"/>
      <c r="FX588" s="78"/>
      <c r="FY588" s="421"/>
      <c r="FZ588" s="78"/>
      <c r="GA588" s="421"/>
      <c r="GB588" s="78"/>
      <c r="GC588" s="421"/>
      <c r="GD588" s="78"/>
      <c r="GE588" s="421"/>
      <c r="GF588" s="78"/>
      <c r="GG588" s="421"/>
      <c r="GH588" s="78"/>
      <c r="GI588" s="421"/>
      <c r="GJ588" s="78"/>
      <c r="GK588" s="421"/>
      <c r="GL588" s="78"/>
      <c r="GM588" s="421"/>
      <c r="GN588" s="78"/>
      <c r="GO588" s="421"/>
      <c r="GP588" s="78"/>
      <c r="GQ588" s="421"/>
      <c r="GR588" s="78"/>
      <c r="GS588" s="421"/>
      <c r="GT588" s="3"/>
    </row>
    <row r="589" spans="1:286" ht="12.75" hidden="1" customHeight="1" outlineLevel="1" x14ac:dyDescent="0.2">
      <c r="A589" s="1"/>
      <c r="B589" s="2" t="s">
        <v>527</v>
      </c>
      <c r="C589" s="3"/>
      <c r="D589" s="3"/>
      <c r="E589" s="4"/>
      <c r="F589" s="4"/>
      <c r="G589" s="4"/>
      <c r="H589" s="4"/>
      <c r="I589" s="4"/>
      <c r="J589" s="4"/>
      <c r="K589" s="4"/>
      <c r="L589" s="4"/>
      <c r="M589" s="4"/>
      <c r="N589" s="3"/>
      <c r="O589" s="4"/>
      <c r="P589" s="3"/>
      <c r="Q589" s="4"/>
      <c r="R589" s="3"/>
      <c r="S589" s="4"/>
      <c r="T589" s="3"/>
      <c r="U589" s="4"/>
      <c r="V589" s="3"/>
      <c r="W589" s="4"/>
      <c r="X589" s="3"/>
      <c r="Y589" s="4"/>
      <c r="Z589" s="5"/>
      <c r="AA589" s="14"/>
      <c r="AB589" s="3"/>
      <c r="AC589" s="4"/>
      <c r="AD589" s="3"/>
      <c r="AE589" s="4"/>
      <c r="AF589" s="3"/>
      <c r="AG589" s="4"/>
      <c r="AH589" s="3"/>
      <c r="AI589" s="4"/>
      <c r="AJ589" s="3"/>
      <c r="AK589" s="4"/>
      <c r="AL589" s="3"/>
      <c r="AM589" s="4"/>
      <c r="AN589" s="3"/>
      <c r="AO589" s="4"/>
      <c r="AP589" s="3"/>
      <c r="AQ589" s="4"/>
      <c r="AR589" s="3"/>
      <c r="AS589" s="78"/>
      <c r="AT589" s="421"/>
      <c r="AU589" s="78"/>
      <c r="AV589" s="421"/>
      <c r="AW589" s="78"/>
      <c r="AX589" s="421"/>
      <c r="AY589" s="78"/>
      <c r="AZ589" s="421"/>
      <c r="BA589" s="78"/>
      <c r="BB589" s="421"/>
      <c r="BC589" s="78"/>
      <c r="BD589" s="421"/>
      <c r="BE589" s="78"/>
      <c r="BF589" s="421"/>
      <c r="BG589" s="78"/>
      <c r="BH589" s="421"/>
      <c r="BI589" s="78"/>
      <c r="BJ589" s="421"/>
      <c r="BK589" s="78"/>
      <c r="BL589" s="421"/>
      <c r="BM589" s="78"/>
      <c r="BN589" s="421"/>
      <c r="BO589" s="78"/>
      <c r="BP589" s="421"/>
      <c r="BQ589" s="78"/>
      <c r="BR589" s="421"/>
      <c r="BS589" s="78"/>
      <c r="BT589" s="421"/>
      <c r="BU589" s="78"/>
      <c r="BV589" s="421"/>
      <c r="BW589" s="78"/>
      <c r="BX589" s="421"/>
      <c r="BY589" s="78"/>
      <c r="BZ589" s="421"/>
      <c r="CA589" s="78"/>
      <c r="CB589" s="421"/>
      <c r="CC589" s="78"/>
      <c r="CD589" s="421"/>
      <c r="CE589" s="78"/>
      <c r="CF589" s="421"/>
      <c r="CG589" s="78"/>
      <c r="CH589" s="421"/>
      <c r="CI589" s="78"/>
      <c r="CJ589" s="421"/>
      <c r="CK589" s="78"/>
      <c r="CL589" s="421"/>
      <c r="CM589" s="78"/>
      <c r="CN589" s="421"/>
      <c r="CO589" s="78"/>
      <c r="CP589" s="421"/>
      <c r="CQ589" s="78"/>
      <c r="CR589" s="421"/>
      <c r="CS589" s="78"/>
      <c r="CT589" s="421"/>
      <c r="CU589" s="78"/>
      <c r="CV589" s="421"/>
      <c r="CW589" s="78"/>
      <c r="CX589" s="421"/>
      <c r="CY589" s="78"/>
      <c r="CZ589" s="421"/>
      <c r="DA589" s="78"/>
      <c r="DB589" s="421"/>
      <c r="DC589" s="78"/>
      <c r="DD589" s="421"/>
      <c r="DE589" s="78"/>
      <c r="DF589" s="421"/>
      <c r="DG589" s="78"/>
      <c r="DH589" s="421"/>
      <c r="DI589" s="78"/>
      <c r="DJ589" s="421"/>
      <c r="DK589" s="78"/>
      <c r="DL589" s="421"/>
      <c r="DM589" s="78"/>
      <c r="DN589" s="421"/>
      <c r="DO589" s="78"/>
      <c r="DP589" s="421"/>
      <c r="DQ589" s="78"/>
      <c r="DR589" s="421"/>
      <c r="DS589" s="78"/>
      <c r="DT589" s="421"/>
      <c r="DU589" s="78"/>
      <c r="DV589" s="421"/>
      <c r="DW589" s="78"/>
      <c r="DX589" s="421"/>
      <c r="DY589" s="78"/>
      <c r="DZ589" s="421"/>
      <c r="EA589" s="78"/>
      <c r="EB589" s="421"/>
      <c r="EC589" s="78"/>
      <c r="ED589" s="421"/>
      <c r="EE589" s="78"/>
      <c r="EF589" s="421"/>
      <c r="EG589" s="78"/>
      <c r="EH589" s="421"/>
      <c r="EI589" s="78"/>
      <c r="EJ589" s="421"/>
      <c r="EK589" s="78"/>
      <c r="EL589" s="421"/>
      <c r="EM589" s="78"/>
      <c r="EN589" s="421"/>
      <c r="EO589" s="78"/>
      <c r="EP589" s="421"/>
      <c r="EQ589" s="78"/>
      <c r="ER589" s="421"/>
      <c r="ES589" s="78"/>
      <c r="ET589" s="494"/>
      <c r="EU589" s="78"/>
      <c r="EV589" s="78"/>
      <c r="EW589" s="78"/>
      <c r="EX589" s="78"/>
      <c r="EY589" s="421"/>
      <c r="EZ589" s="78"/>
      <c r="FA589" s="101"/>
      <c r="FB589" s="101">
        <f>((INPUT!FB416-INPUT!FB409*(1-INPUT!FB415/100)-(INPUT!FB279*(1-INPUT!FB415/100))))/INPUT!FB533*100</f>
        <v>-4.0411412277873016</v>
      </c>
      <c r="FC589" s="421"/>
      <c r="FD589" s="101">
        <f>((INPUT!FD416-INPUT!FD409*(1-INPUT!FD415/100)-(INPUT!FD279*(1-INPUT!FD415/100))))/INPUT!FD533*100</f>
        <v>11.614959567811837</v>
      </c>
      <c r="FE589" s="421"/>
      <c r="FF589" s="101">
        <f>((INPUT!FF416-INPUT!FF409*(1-INPUT!FF415/100)-(INPUT!FF279*(1-INPUT!FF415/100))))/INPUT!FF533*100</f>
        <v>1.33234510539051</v>
      </c>
      <c r="FG589" s="421"/>
      <c r="FH589" s="101">
        <f>((INPUT!FH416-INPUT!FH409*(1-INPUT!FH415/100)-(INPUT!FH279*(1-INPUT!FH415/100))))/INPUT!FH533*100</f>
        <v>4.9301328889939811</v>
      </c>
      <c r="FI589" s="421"/>
      <c r="FJ589" s="101">
        <f>((INPUT!FJ416-INPUT!FJ409*(1-INPUT!FJ415/100)-(INPUT!FJ279*(1-INPUT!FJ415/100))))/INPUT!FJ533*100</f>
        <v>7.892666030497697</v>
      </c>
      <c r="FK589" s="421"/>
      <c r="FL589" s="101">
        <f>((INPUT!FL416-INPUT!FL409*(1-INPUT!FL415/100)-(INPUT!FL279*(1-INPUT!FL415/100))))/INPUT!FL533*100</f>
        <v>8.0064600023145243</v>
      </c>
      <c r="FM589" s="421"/>
      <c r="FN589" s="101">
        <f>((INPUT!FN416-INPUT!FN409*(1-INPUT!FN415/100)-(INPUT!FN279*(1-INPUT!FN415/100))))/INPUT!FN533*100</f>
        <v>9.8273804779804479</v>
      </c>
      <c r="FO589" s="421"/>
      <c r="FP589" s="101">
        <f>((INPUT!FP416-INPUT!FP409*(1-INPUT!FP415/100)-(INPUT!FP279*(1-INPUT!FP415/100))))/INPUT!FP533*100</f>
        <v>11.235759356258654</v>
      </c>
      <c r="FQ589" s="421"/>
      <c r="FR589" s="101">
        <f>((INPUT!FR416-INPUT!FR409*(1-INPUT!FR415/100)-(INPUT!FR279*(1-INPUT!FR415/100))))/INPUT!FR533*100</f>
        <v>10.047483171479753</v>
      </c>
      <c r="FS589" s="421"/>
      <c r="FT589" s="101">
        <f>((INPUT!FT416-INPUT!FT409*(1-INPUT!FT415/100)-(INPUT!FT279*(1-INPUT!FT415/100))))/INPUT!FT533*100</f>
        <v>10.001826200777392</v>
      </c>
      <c r="FU589" s="421"/>
      <c r="FV589" s="101">
        <f>((INPUT!FV416-INPUT!FV409*(1-INPUT!FV415/100)-(INPUT!FV279*(1-INPUT!FV415/100))))/INPUT!FV533*100</f>
        <v>12.621191388331788</v>
      </c>
      <c r="FW589" s="421"/>
      <c r="FX589" s="101">
        <f>((INPUT!FX416-INPUT!FX409*(1-INPUT!FX415/100)-(INPUT!FX279*(1-INPUT!FX415/100))))/INPUT!FX533*100</f>
        <v>10.383923815734915</v>
      </c>
      <c r="FY589" s="421"/>
      <c r="FZ589" s="101">
        <f>((INPUT!FZ416-INPUT!FZ409*(1-INPUT!FZ415/100)-(INPUT!FZ279*(1-INPUT!FZ415/100))))/INPUT!FZ533*100</f>
        <v>9.6528185256795318</v>
      </c>
      <c r="GA589" s="421"/>
      <c r="GB589" s="101">
        <f>((INPUT!GB416-INPUT!GB409*(1-INPUT!GB415/100)-(INPUT!GB279*(1-INPUT!GB415/100))))/INPUT!GB533*100</f>
        <v>10.225601903537035</v>
      </c>
      <c r="GC589" s="421"/>
      <c r="GD589" s="101">
        <f>((INPUT!GD416-INPUT!GD409*(1-INPUT!GD415/100)-(INPUT!GD279*(1-INPUT!GD415/100))))/INPUT!GD533*100</f>
        <v>9.5302283602235214</v>
      </c>
      <c r="GE589" s="421"/>
      <c r="GF589" s="101">
        <f>((INPUT!GF416-INPUT!GF409*(1-INPUT!GF415/100)-(INPUT!GF279*(1-INPUT!GF415/100))))/INPUT!GF533*100</f>
        <v>9.3510045488048785</v>
      </c>
      <c r="GG589" s="421"/>
      <c r="GH589" s="101">
        <f>((INPUT!GH416-INPUT!GH409*(1-INPUT!GH415/100)-(INPUT!GH279*(1-INPUT!GH415/100))))/INPUT!GH533*100</f>
        <v>9.6460275324704998</v>
      </c>
      <c r="GI589" s="421"/>
      <c r="GJ589" s="101">
        <f>((INPUT!GJ416-INPUT!GJ409*(1-INPUT!GJ415/100)-(INPUT!GJ279*(1-INPUT!GJ415/100))))/INPUT!GJ533*100</f>
        <v>10.787600975295152</v>
      </c>
      <c r="GK589" s="421"/>
      <c r="GL589" s="101">
        <f>((INPUT!GL416-INPUT!GL409*(1-INPUT!GL415/100)-(INPUT!GL279*(1-INPUT!GL415/100))))/INPUT!GL533*100</f>
        <v>10.558181338240821</v>
      </c>
      <c r="GM589" s="421"/>
      <c r="GN589" s="101">
        <f>((INPUT!GN416-INPUT!GN409*(1-INPUT!GN415/100)-(INPUT!GN279*(1-INPUT!GN415/100))))/INPUT!GN533*100</f>
        <v>10.395286667829778</v>
      </c>
      <c r="GO589" s="421"/>
      <c r="GP589" s="101">
        <f>((INPUT!GP416-INPUT!GP409*(1-INPUT!GP415/100)-(INPUT!GP279*(1-INPUT!GP415/100))))/INPUT!GP533*100</f>
        <v>10.277690321769354</v>
      </c>
      <c r="GQ589" s="421"/>
      <c r="GR589" s="101">
        <f>((INPUT!GR416-INPUT!GR409*(1-INPUT!GR415/100)-(INPUT!GR279*(1-INPUT!GR415/100))))/INPUT!GR533*100</f>
        <v>10.123780352615714</v>
      </c>
      <c r="GS589" s="421"/>
      <c r="GT589" s="3"/>
    </row>
    <row r="590" spans="1:286" ht="12.75" hidden="1" customHeight="1" outlineLevel="1" x14ac:dyDescent="0.2">
      <c r="A590" s="1"/>
      <c r="B590" s="2"/>
      <c r="C590" s="3"/>
      <c r="D590" s="3"/>
      <c r="E590" s="4"/>
      <c r="F590" s="4"/>
      <c r="G590" s="4"/>
      <c r="H590" s="4"/>
      <c r="I590" s="4"/>
      <c r="J590" s="4"/>
      <c r="K590" s="4"/>
      <c r="L590" s="4"/>
      <c r="M590" s="4"/>
      <c r="N590" s="3"/>
      <c r="O590" s="4"/>
      <c r="P590" s="3"/>
      <c r="Q590" s="4"/>
      <c r="R590" s="3"/>
      <c r="S590" s="4"/>
      <c r="T590" s="3"/>
      <c r="U590" s="4"/>
      <c r="V590" s="3"/>
      <c r="W590" s="4"/>
      <c r="X590" s="3"/>
      <c r="Y590" s="4"/>
      <c r="Z590" s="5"/>
      <c r="AA590" s="14"/>
      <c r="AB590" s="3"/>
      <c r="AC590" s="4"/>
      <c r="AD590" s="3"/>
      <c r="AE590" s="4"/>
      <c r="AF590" s="3"/>
      <c r="AG590" s="4"/>
      <c r="AH590" s="3"/>
      <c r="AI590" s="4"/>
      <c r="AJ590" s="3"/>
      <c r="AK590" s="4"/>
      <c r="AL590" s="3"/>
      <c r="AM590" s="4"/>
      <c r="AN590" s="3"/>
      <c r="AO590" s="4"/>
      <c r="AP590" s="3"/>
      <c r="AQ590" s="4"/>
      <c r="AR590" s="3"/>
      <c r="AS590" s="78"/>
      <c r="AT590" s="421"/>
      <c r="AU590" s="78"/>
      <c r="AV590" s="421"/>
      <c r="AW590" s="78"/>
      <c r="AX590" s="421"/>
      <c r="AY590" s="78"/>
      <c r="AZ590" s="421"/>
      <c r="BA590" s="78"/>
      <c r="BB590" s="421"/>
      <c r="BC590" s="78"/>
      <c r="BD590" s="421"/>
      <c r="BE590" s="78"/>
      <c r="BF590" s="421"/>
      <c r="BG590" s="78"/>
      <c r="BH590" s="421"/>
      <c r="BI590" s="78"/>
      <c r="BJ590" s="421"/>
      <c r="BK590" s="78"/>
      <c r="BL590" s="421"/>
      <c r="BM590" s="78"/>
      <c r="BN590" s="421"/>
      <c r="BO590" s="78"/>
      <c r="BP590" s="421"/>
      <c r="BQ590" s="78"/>
      <c r="BR590" s="421"/>
      <c r="BS590" s="78"/>
      <c r="BT590" s="421"/>
      <c r="BU590" s="78"/>
      <c r="BV590" s="421"/>
      <c r="BW590" s="78"/>
      <c r="BX590" s="421"/>
      <c r="BY590" s="78"/>
      <c r="BZ590" s="421"/>
      <c r="CA590" s="78"/>
      <c r="CB590" s="421"/>
      <c r="CC590" s="78"/>
      <c r="CD590" s="421"/>
      <c r="CE590" s="78"/>
      <c r="CF590" s="421"/>
      <c r="CG590" s="78"/>
      <c r="CH590" s="421"/>
      <c r="CI590" s="78"/>
      <c r="CJ590" s="421"/>
      <c r="CK590" s="78"/>
      <c r="CL590" s="421"/>
      <c r="CM590" s="78"/>
      <c r="CN590" s="421"/>
      <c r="CO590" s="78"/>
      <c r="CP590" s="421"/>
      <c r="CQ590" s="78"/>
      <c r="CR590" s="421"/>
      <c r="CS590" s="78"/>
      <c r="CT590" s="421"/>
      <c r="CU590" s="78"/>
      <c r="CV590" s="421"/>
      <c r="CW590" s="78"/>
      <c r="CX590" s="421"/>
      <c r="CY590" s="78"/>
      <c r="CZ590" s="421"/>
      <c r="DA590" s="78"/>
      <c r="DB590" s="421"/>
      <c r="DC590" s="78"/>
      <c r="DD590" s="421"/>
      <c r="DE590" s="78"/>
      <c r="DF590" s="421"/>
      <c r="DG590" s="78"/>
      <c r="DH590" s="421"/>
      <c r="DI590" s="78"/>
      <c r="DJ590" s="421"/>
      <c r="DK590" s="78"/>
      <c r="DL590" s="421"/>
      <c r="DM590" s="78"/>
      <c r="DN590" s="421"/>
      <c r="DO590" s="78"/>
      <c r="DP590" s="421"/>
      <c r="DQ590" s="78"/>
      <c r="DR590" s="421"/>
      <c r="DS590" s="78"/>
      <c r="DT590" s="421"/>
      <c r="DU590" s="78"/>
      <c r="DV590" s="421"/>
      <c r="DW590" s="78"/>
      <c r="DX590" s="421"/>
      <c r="DY590" s="78"/>
      <c r="DZ590" s="421"/>
      <c r="EA590" s="78"/>
      <c r="EB590" s="421"/>
      <c r="EC590" s="78"/>
      <c r="ED590" s="421"/>
      <c r="EE590" s="78"/>
      <c r="EF590" s="421"/>
      <c r="EG590" s="78"/>
      <c r="EH590" s="421"/>
      <c r="EI590" s="78"/>
      <c r="EJ590" s="421"/>
      <c r="EK590" s="78"/>
      <c r="EL590" s="421"/>
      <c r="EM590" s="78"/>
      <c r="EN590" s="421"/>
      <c r="EO590" s="78"/>
      <c r="EP590" s="421"/>
      <c r="EQ590" s="78"/>
      <c r="ER590" s="421"/>
      <c r="ES590" s="78"/>
      <c r="ET590" s="494"/>
      <c r="EU590" s="78"/>
      <c r="EV590" s="78"/>
      <c r="EW590" s="78"/>
      <c r="EX590" s="78"/>
      <c r="EY590" s="421"/>
      <c r="EZ590" s="78"/>
      <c r="FA590" s="101"/>
      <c r="FB590" s="101"/>
      <c r="FC590" s="421"/>
      <c r="FD590" s="101"/>
      <c r="FE590" s="421"/>
      <c r="FF590" s="101"/>
      <c r="FG590" s="421"/>
      <c r="FH590" s="101"/>
      <c r="FI590" s="421"/>
      <c r="FJ590" s="101"/>
      <c r="FK590" s="421"/>
      <c r="FL590" s="101"/>
      <c r="FM590" s="421"/>
      <c r="FN590" s="101"/>
      <c r="FO590" s="421"/>
      <c r="FP590" s="101"/>
      <c r="FQ590" s="421"/>
      <c r="FR590" s="101"/>
      <c r="FS590" s="421"/>
      <c r="FT590" s="101"/>
      <c r="FU590" s="421"/>
      <c r="FV590" s="101"/>
      <c r="FW590" s="421"/>
      <c r="FX590" s="101"/>
      <c r="FY590" s="421"/>
      <c r="FZ590" s="101"/>
      <c r="GA590" s="421"/>
      <c r="GB590" s="101"/>
      <c r="GC590" s="421"/>
      <c r="GD590" s="101"/>
      <c r="GE590" s="421"/>
      <c r="GF590" s="101"/>
      <c r="GG590" s="421"/>
      <c r="GH590" s="101"/>
      <c r="GI590" s="421"/>
      <c r="GJ590" s="101"/>
      <c r="GK590" s="421"/>
      <c r="GL590" s="101"/>
      <c r="GM590" s="421"/>
      <c r="GN590" s="101"/>
      <c r="GO590" s="421"/>
      <c r="GP590" s="101"/>
      <c r="GQ590" s="421"/>
      <c r="GR590" s="101"/>
      <c r="GS590" s="421"/>
      <c r="GT590" s="3"/>
    </row>
    <row r="591" spans="1:286" ht="12.75" customHeight="1" collapsed="1" x14ac:dyDescent="0.2"/>
    <row r="592" spans="1:286" s="589" customFormat="1" ht="12.75" customHeight="1" collapsed="1" x14ac:dyDescent="0.2">
      <c r="A592" s="581"/>
      <c r="B592" s="582" t="s">
        <v>448</v>
      </c>
      <c r="C592" s="583"/>
      <c r="D592" s="583"/>
      <c r="E592" s="584"/>
      <c r="F592" s="584"/>
      <c r="G592" s="584"/>
      <c r="H592" s="584"/>
      <c r="I592" s="584"/>
      <c r="J592" s="584"/>
      <c r="K592" s="584"/>
      <c r="L592" s="584"/>
      <c r="M592" s="584"/>
      <c r="N592" s="585"/>
      <c r="O592" s="584"/>
      <c r="P592" s="583"/>
      <c r="Q592" s="584"/>
      <c r="R592" s="583"/>
      <c r="S592" s="584"/>
      <c r="T592" s="583"/>
      <c r="U592" s="584"/>
      <c r="V592" s="583"/>
      <c r="W592" s="584"/>
      <c r="X592" s="583"/>
      <c r="Y592" s="584"/>
      <c r="Z592" s="583"/>
      <c r="AA592" s="586"/>
      <c r="AB592" s="583"/>
      <c r="AC592" s="584"/>
      <c r="AD592" s="583"/>
      <c r="AE592" s="586"/>
      <c r="AF592" s="583"/>
      <c r="AG592" s="586"/>
      <c r="AH592" s="583"/>
      <c r="AI592" s="586"/>
      <c r="AJ592" s="583"/>
      <c r="AK592" s="586"/>
      <c r="AL592" s="583"/>
      <c r="AM592" s="586"/>
      <c r="AN592" s="583"/>
      <c r="AO592" s="586"/>
      <c r="AP592" s="583"/>
      <c r="AQ592" s="586"/>
      <c r="AR592" s="583"/>
      <c r="AS592" s="586"/>
      <c r="AT592" s="587"/>
      <c r="AU592" s="586"/>
      <c r="AV592" s="587"/>
      <c r="AW592" s="586"/>
      <c r="AX592" s="587"/>
      <c r="AY592" s="586"/>
      <c r="AZ592" s="587"/>
      <c r="BA592" s="586"/>
      <c r="BB592" s="587"/>
      <c r="BC592" s="586"/>
      <c r="BD592" s="587"/>
      <c r="BE592" s="586"/>
      <c r="BF592" s="587"/>
      <c r="BG592" s="586"/>
      <c r="BH592" s="587"/>
      <c r="BI592" s="586"/>
      <c r="BJ592" s="587"/>
      <c r="BK592" s="586"/>
      <c r="BL592" s="587"/>
      <c r="BM592" s="586"/>
      <c r="BN592" s="587"/>
      <c r="BO592" s="586"/>
      <c r="BP592" s="587"/>
      <c r="BQ592" s="586"/>
      <c r="BR592" s="587"/>
      <c r="BS592" s="586"/>
      <c r="BT592" s="587"/>
      <c r="BU592" s="586"/>
      <c r="BV592" s="587"/>
      <c r="BW592" s="586"/>
      <c r="BX592" s="587"/>
      <c r="BY592" s="586"/>
      <c r="BZ592" s="587"/>
      <c r="CA592" s="586"/>
      <c r="CB592" s="587"/>
      <c r="CC592" s="586"/>
      <c r="CD592" s="587"/>
      <c r="CE592" s="586"/>
      <c r="CF592" s="587"/>
      <c r="CG592" s="586"/>
      <c r="CH592" s="587"/>
      <c r="CI592" s="586"/>
      <c r="CJ592" s="587"/>
      <c r="CK592" s="586"/>
      <c r="CL592" s="587"/>
      <c r="CM592" s="586"/>
      <c r="CN592" s="587"/>
      <c r="CO592" s="586"/>
      <c r="CP592" s="587"/>
      <c r="CQ592" s="586"/>
      <c r="CR592" s="587"/>
      <c r="CS592" s="586"/>
      <c r="CT592" s="587"/>
      <c r="CU592" s="586"/>
      <c r="CV592" s="587"/>
      <c r="CW592" s="586"/>
      <c r="CX592" s="587"/>
      <c r="CY592" s="586"/>
      <c r="CZ592" s="587"/>
      <c r="DA592" s="586"/>
      <c r="DB592" s="587"/>
      <c r="DC592" s="586"/>
      <c r="DD592" s="587"/>
      <c r="DE592" s="586"/>
      <c r="DF592" s="587"/>
      <c r="DG592" s="586"/>
      <c r="DH592" s="587"/>
      <c r="DI592" s="586"/>
      <c r="DJ592" s="587"/>
      <c r="DK592" s="586"/>
      <c r="DL592" s="587"/>
      <c r="DM592" s="586"/>
      <c r="DN592" s="587"/>
      <c r="DO592" s="586"/>
      <c r="DP592" s="587"/>
      <c r="DQ592" s="586"/>
      <c r="DR592" s="587"/>
      <c r="DS592" s="586"/>
      <c r="DT592" s="587"/>
      <c r="DU592" s="586"/>
      <c r="DV592" s="587"/>
      <c r="DW592" s="586"/>
      <c r="DX592" s="587"/>
      <c r="DY592" s="586"/>
      <c r="DZ592" s="587"/>
      <c r="EA592" s="586"/>
      <c r="EB592" s="587"/>
      <c r="EC592" s="586"/>
      <c r="ED592" s="587"/>
      <c r="EE592" s="586"/>
      <c r="EF592" s="587"/>
      <c r="EG592" s="586"/>
      <c r="EH592" s="587"/>
      <c r="EI592" s="586"/>
      <c r="EJ592" s="587"/>
      <c r="EK592" s="586"/>
      <c r="EL592" s="587"/>
      <c r="EM592" s="586"/>
      <c r="EN592" s="587"/>
      <c r="EO592" s="586"/>
      <c r="EP592" s="587"/>
      <c r="EQ592" s="586"/>
      <c r="ER592" s="587"/>
      <c r="ES592" s="584"/>
      <c r="ET592" s="602"/>
      <c r="EU592" s="584"/>
      <c r="EV592" s="584"/>
      <c r="EW592" s="583"/>
      <c r="EX592" s="584"/>
      <c r="EY592" s="583"/>
      <c r="EZ592" s="584"/>
      <c r="FA592" s="583"/>
      <c r="FB592" s="584"/>
      <c r="FC592" s="583"/>
      <c r="FD592" s="584"/>
      <c r="FE592" s="583"/>
      <c r="FF592" s="584"/>
      <c r="FG592" s="583"/>
      <c r="FH592" s="584"/>
      <c r="FI592" s="583"/>
      <c r="FJ592" s="584"/>
      <c r="FK592" s="583"/>
      <c r="FL592" s="584"/>
      <c r="FM592" s="583"/>
      <c r="FN592" s="584"/>
      <c r="FO592" s="583"/>
      <c r="FP592" s="584"/>
      <c r="FQ592" s="583"/>
      <c r="FR592" s="584"/>
      <c r="FS592" s="583"/>
      <c r="FT592" s="584"/>
      <c r="FU592" s="583"/>
      <c r="FV592" s="584"/>
      <c r="FW592" s="583"/>
      <c r="FX592" s="584"/>
      <c r="FY592" s="583"/>
      <c r="FZ592" s="584"/>
      <c r="GA592" s="583"/>
      <c r="GB592" s="584"/>
      <c r="GC592" s="583"/>
      <c r="GD592" s="584"/>
      <c r="GE592" s="583"/>
      <c r="GF592" s="584"/>
      <c r="GG592" s="583"/>
      <c r="GH592" s="584"/>
      <c r="GI592" s="583"/>
      <c r="GJ592" s="584"/>
      <c r="GK592" s="583"/>
      <c r="GL592" s="584"/>
      <c r="GM592" s="583"/>
      <c r="GN592" s="584"/>
      <c r="GO592" s="583"/>
      <c r="GP592" s="584"/>
      <c r="GQ592" s="583"/>
      <c r="GR592" s="584"/>
      <c r="GS592" s="583"/>
      <c r="GT592" s="583"/>
      <c r="GU592" s="603"/>
      <c r="GV592" s="603"/>
      <c r="GW592"/>
      <c r="GX592"/>
      <c r="GY592"/>
      <c r="GZ592"/>
      <c r="HA592"/>
      <c r="HB592"/>
      <c r="HC592" s="603"/>
      <c r="HD592" s="603"/>
      <c r="HE592" s="603"/>
      <c r="HF592" s="603"/>
      <c r="HG592" s="603"/>
      <c r="HH592" s="603"/>
      <c r="HI592" s="603"/>
      <c r="HJ592" s="603"/>
      <c r="HK592" s="603"/>
      <c r="HL592" s="603"/>
      <c r="HM592" s="603"/>
      <c r="HN592" s="603"/>
      <c r="HO592" s="603"/>
      <c r="HP592" s="603"/>
      <c r="HQ592" s="603"/>
      <c r="HR592" s="603"/>
      <c r="HS592" s="603"/>
      <c r="HT592" s="603"/>
      <c r="HU592" s="603"/>
      <c r="HV592" s="603"/>
      <c r="HW592" s="603"/>
      <c r="HX592" s="603"/>
      <c r="HY592" s="603"/>
      <c r="HZ592" s="603"/>
      <c r="IA592" s="603"/>
      <c r="IB592" s="603"/>
      <c r="IC592" s="603"/>
      <c r="ID592" s="603"/>
      <c r="IE592" s="603"/>
      <c r="IF592" s="603"/>
      <c r="IG592" s="603"/>
      <c r="IH592" s="603"/>
      <c r="II592" s="603"/>
      <c r="IJ592" s="603"/>
      <c r="IK592" s="603"/>
      <c r="IL592" s="603"/>
      <c r="IM592" s="603"/>
      <c r="IN592" s="603"/>
      <c r="IO592" s="603"/>
      <c r="IP592" s="603"/>
      <c r="IQ592" s="603"/>
      <c r="IR592" s="603"/>
      <c r="IS592" s="603"/>
      <c r="IT592" s="603"/>
      <c r="IU592" s="603"/>
      <c r="IV592" s="603"/>
      <c r="IW592" s="603"/>
      <c r="IX592" s="603"/>
      <c r="IY592" s="603"/>
      <c r="IZ592" s="603"/>
      <c r="JA592" s="603"/>
      <c r="JB592" s="603"/>
      <c r="JC592" s="603"/>
      <c r="JD592" s="603"/>
      <c r="JE592" s="603"/>
      <c r="JF592" s="603"/>
      <c r="JG592" s="603"/>
      <c r="JH592" s="603"/>
      <c r="JI592" s="603"/>
      <c r="JJ592" s="603"/>
      <c r="JK592" s="603"/>
      <c r="JL592" s="603"/>
      <c r="JM592" s="603"/>
      <c r="JN592" s="603"/>
      <c r="JO592" s="603"/>
      <c r="JP592" s="603"/>
      <c r="JQ592" s="603"/>
      <c r="JR592" s="603"/>
      <c r="JS592" s="603"/>
      <c r="JT592" s="603"/>
      <c r="JU592" s="603"/>
      <c r="JV592" s="603"/>
      <c r="JW592" s="603"/>
      <c r="JX592" s="603"/>
      <c r="JY592" s="603"/>
      <c r="JZ592" s="603"/>
    </row>
    <row r="593" spans="1:286" s="13" customFormat="1" ht="12.75" hidden="1" customHeight="1" outlineLevel="1" x14ac:dyDescent="0.2">
      <c r="A593" s="11"/>
      <c r="C593" s="36"/>
      <c r="D593" s="36"/>
      <c r="E593" s="37"/>
      <c r="F593" s="37"/>
      <c r="G593" s="37"/>
      <c r="H593" s="37"/>
      <c r="I593" s="37"/>
      <c r="J593" s="37"/>
      <c r="K593" s="37"/>
      <c r="L593" s="37"/>
      <c r="M593" s="37"/>
      <c r="N593" s="36"/>
      <c r="O593" s="37"/>
      <c r="P593" s="36"/>
      <c r="Q593" s="37"/>
      <c r="R593" s="36"/>
      <c r="S593" s="37"/>
      <c r="T593" s="36"/>
      <c r="U593" s="37"/>
      <c r="V593" s="36"/>
      <c r="W593" s="37"/>
      <c r="X593" s="36"/>
      <c r="Y593" s="37"/>
      <c r="Z593" s="36"/>
      <c r="AA593" s="34"/>
      <c r="AB593" s="36"/>
      <c r="AC593" s="37"/>
      <c r="AD593" s="36"/>
      <c r="AE593" s="38"/>
      <c r="AF593" s="36"/>
      <c r="AG593" s="38"/>
      <c r="AH593" s="36"/>
      <c r="AI593" s="38"/>
      <c r="AJ593" s="36"/>
      <c r="AK593" s="38"/>
      <c r="AL593" s="36"/>
      <c r="AM593" s="38"/>
      <c r="AN593" s="36"/>
      <c r="AO593" s="38"/>
      <c r="AP593" s="36"/>
      <c r="AQ593" s="38"/>
      <c r="AR593" s="36"/>
      <c r="AS593" s="38"/>
      <c r="AT593" s="39"/>
      <c r="AU593" s="38"/>
      <c r="AV593" s="39"/>
      <c r="AW593" s="38"/>
      <c r="AX593" s="39"/>
      <c r="AY593" s="38"/>
      <c r="AZ593" s="39"/>
      <c r="BA593" s="38"/>
      <c r="BB593" s="39"/>
      <c r="BC593" s="38"/>
      <c r="BD593" s="39"/>
      <c r="BE593" s="38"/>
      <c r="BF593" s="39"/>
      <c r="BG593" s="38"/>
      <c r="BH593" s="39"/>
      <c r="BI593" s="38"/>
      <c r="BJ593" s="39"/>
      <c r="BK593" s="38"/>
      <c r="BL593" s="39"/>
      <c r="BM593" s="38"/>
      <c r="BN593" s="39"/>
      <c r="BO593" s="38"/>
      <c r="BP593" s="39"/>
      <c r="BQ593" s="38"/>
      <c r="BR593" s="39"/>
      <c r="BS593" s="38"/>
      <c r="BT593" s="39"/>
      <c r="BU593" s="38"/>
      <c r="BV593" s="39"/>
      <c r="BW593" s="38"/>
      <c r="BX593" s="39"/>
      <c r="BY593" s="38"/>
      <c r="BZ593" s="39"/>
      <c r="CA593" s="38"/>
      <c r="CB593" s="39"/>
      <c r="CC593" s="38"/>
      <c r="CD593" s="39"/>
      <c r="CE593" s="38"/>
      <c r="CF593" s="39"/>
      <c r="CG593" s="38"/>
      <c r="CH593" s="39"/>
      <c r="CI593" s="38"/>
      <c r="CJ593" s="39"/>
      <c r="CK593" s="38"/>
      <c r="CL593" s="39"/>
      <c r="CM593" s="38"/>
      <c r="CN593" s="39"/>
      <c r="CO593" s="38"/>
      <c r="CP593" s="39"/>
      <c r="CQ593" s="38"/>
      <c r="CR593" s="39"/>
      <c r="CS593" s="38"/>
      <c r="CT593" s="39"/>
      <c r="CU593" s="38"/>
      <c r="CV593" s="39"/>
      <c r="CW593" s="38"/>
      <c r="CX593" s="39"/>
      <c r="CY593" s="38"/>
      <c r="CZ593" s="39"/>
      <c r="DA593" s="38"/>
      <c r="DB593" s="39"/>
      <c r="DC593" s="38"/>
      <c r="DD593" s="39"/>
      <c r="DE593" s="38"/>
      <c r="DF593" s="39"/>
      <c r="DG593" s="38"/>
      <c r="DH593" s="39"/>
      <c r="DI593" s="38"/>
      <c r="DJ593" s="39"/>
      <c r="DK593" s="38"/>
      <c r="DL593" s="39"/>
      <c r="DM593" s="38"/>
      <c r="DN593" s="39"/>
      <c r="DO593" s="38"/>
      <c r="DP593" s="39"/>
      <c r="DQ593" s="38"/>
      <c r="DR593" s="39"/>
      <c r="DS593" s="38"/>
      <c r="DT593" s="39"/>
      <c r="DU593" s="38"/>
      <c r="DV593" s="39"/>
      <c r="DW593" s="38"/>
      <c r="DX593" s="39"/>
      <c r="DY593" s="38"/>
      <c r="DZ593" s="39"/>
      <c r="EA593" s="38"/>
      <c r="EB593" s="39"/>
      <c r="EC593" s="38"/>
      <c r="ED593" s="39"/>
      <c r="EE593" s="38"/>
      <c r="EF593" s="39"/>
      <c r="EG593" s="38"/>
      <c r="EH593" s="39"/>
      <c r="EI593" s="38"/>
      <c r="EJ593" s="39"/>
      <c r="EK593" s="38"/>
      <c r="EL593" s="39"/>
      <c r="EM593" s="38"/>
      <c r="EN593" s="39"/>
      <c r="EO593" s="38"/>
      <c r="EP593" s="39"/>
      <c r="EQ593" s="38"/>
      <c r="ER593" s="39"/>
      <c r="ES593" s="38"/>
      <c r="ET593" s="460"/>
      <c r="EU593" s="38"/>
      <c r="EV593" s="37"/>
      <c r="EW593" s="36"/>
      <c r="EX593" s="37"/>
      <c r="EY593" s="36"/>
      <c r="EZ593" s="37"/>
      <c r="FA593" s="36"/>
      <c r="FB593" s="37"/>
      <c r="FC593" s="36"/>
      <c r="FD593" s="37"/>
      <c r="FE593" s="36"/>
      <c r="FF593" s="37"/>
      <c r="FG593" s="36"/>
      <c r="FH593" s="37"/>
      <c r="FI593" s="36"/>
      <c r="FJ593" s="37"/>
      <c r="FK593" s="36"/>
      <c r="FL593" s="38"/>
      <c r="FM593" s="36"/>
      <c r="FN593" s="38"/>
      <c r="FO593" s="36"/>
      <c r="FP593" s="38"/>
      <c r="FQ593" s="36"/>
      <c r="FR593" s="38"/>
      <c r="FS593" s="36"/>
      <c r="FT593" s="38"/>
      <c r="FU593" s="36"/>
      <c r="FV593" s="38"/>
      <c r="FW593" s="36"/>
      <c r="FX593" s="38"/>
      <c r="FY593" s="36"/>
      <c r="FZ593" s="38"/>
      <c r="GA593" s="36"/>
      <c r="GB593" s="38"/>
      <c r="GC593" s="36"/>
      <c r="GD593" s="38"/>
      <c r="GE593" s="36"/>
      <c r="GF593" s="38"/>
      <c r="GG593" s="36"/>
      <c r="GH593" s="38"/>
      <c r="GI593" s="36"/>
      <c r="GJ593" s="38"/>
      <c r="GK593" s="36"/>
      <c r="GL593" s="38"/>
      <c r="GM593" s="36"/>
      <c r="GN593" s="38"/>
      <c r="GO593" s="36"/>
      <c r="GP593" s="38"/>
      <c r="GQ593" s="36"/>
      <c r="GR593" s="38"/>
      <c r="GS593" s="36"/>
      <c r="GT593" s="36"/>
      <c r="GU593" s="562"/>
      <c r="GV593" s="562"/>
      <c r="GW593"/>
      <c r="GX593"/>
      <c r="GY593"/>
      <c r="GZ593"/>
      <c r="HA593"/>
      <c r="HB593"/>
      <c r="HC593" s="562"/>
      <c r="HD593" s="562"/>
      <c r="HE593" s="562"/>
      <c r="HF593" s="562"/>
      <c r="HG593" s="562"/>
      <c r="HH593" s="562"/>
      <c r="HI593" s="562"/>
      <c r="HJ593" s="562"/>
      <c r="HK593" s="562"/>
      <c r="HL593" s="562"/>
      <c r="HM593" s="562"/>
      <c r="HN593" s="562"/>
      <c r="HO593" s="562"/>
      <c r="HP593" s="562"/>
      <c r="HQ593" s="562"/>
      <c r="HR593" s="562"/>
      <c r="HS593" s="562"/>
      <c r="HT593" s="562"/>
      <c r="HU593" s="562"/>
      <c r="HV593" s="562"/>
      <c r="HW593" s="562"/>
      <c r="HX593" s="562"/>
      <c r="HY593" s="562"/>
      <c r="HZ593" s="562"/>
      <c r="IA593" s="562"/>
      <c r="IB593" s="562"/>
      <c r="IC593" s="562"/>
      <c r="ID593" s="562"/>
      <c r="IE593" s="562"/>
      <c r="IF593" s="562"/>
      <c r="IG593" s="562"/>
      <c r="IH593" s="562"/>
      <c r="II593" s="562"/>
      <c r="IJ593" s="562"/>
      <c r="IK593" s="562"/>
      <c r="IL593" s="562"/>
      <c r="IM593" s="562"/>
      <c r="IN593" s="562"/>
      <c r="IO593" s="562"/>
      <c r="IP593" s="562"/>
      <c r="IQ593" s="562"/>
      <c r="IR593" s="562"/>
      <c r="IS593" s="562"/>
      <c r="IT593" s="562"/>
      <c r="IU593" s="562"/>
      <c r="IV593" s="562"/>
      <c r="IW593" s="562"/>
      <c r="IX593" s="562"/>
      <c r="IY593" s="562"/>
      <c r="IZ593" s="562"/>
      <c r="JA593" s="562"/>
      <c r="JB593" s="562"/>
      <c r="JC593" s="562"/>
      <c r="JD593" s="562"/>
      <c r="JE593" s="562"/>
      <c r="JF593" s="562"/>
      <c r="JG593" s="562"/>
      <c r="JH593" s="562"/>
      <c r="JI593" s="562"/>
      <c r="JJ593" s="562"/>
      <c r="JK593" s="562"/>
      <c r="JL593" s="562"/>
      <c r="JM593" s="562"/>
      <c r="JN593" s="562"/>
      <c r="JO593" s="562"/>
      <c r="JP593" s="562"/>
      <c r="JQ593" s="562"/>
      <c r="JR593" s="562"/>
      <c r="JS593" s="562"/>
      <c r="JT593" s="562"/>
      <c r="JU593" s="562"/>
      <c r="JV593" s="562"/>
      <c r="JW593" s="562"/>
      <c r="JX593" s="562"/>
      <c r="JY593" s="562"/>
      <c r="JZ593" s="562"/>
    </row>
    <row r="594" spans="1:286" s="13" customFormat="1" ht="12.75" hidden="1" customHeight="1" outlineLevel="1" x14ac:dyDescent="0.2">
      <c r="A594" s="11"/>
      <c r="B594" s="40" t="s">
        <v>469</v>
      </c>
      <c r="C594" s="36"/>
      <c r="D594" s="36"/>
      <c r="E594" s="37"/>
      <c r="F594" s="37"/>
      <c r="G594" s="37"/>
      <c r="H594" s="37"/>
      <c r="I594" s="37"/>
      <c r="J594" s="37"/>
      <c r="K594" s="37"/>
      <c r="L594" s="37"/>
      <c r="M594" s="37"/>
      <c r="N594" s="36"/>
      <c r="O594" s="37"/>
      <c r="P594" s="36"/>
      <c r="Q594" s="37"/>
      <c r="R594" s="36"/>
      <c r="S594" s="37"/>
      <c r="T594" s="36"/>
      <c r="U594" s="37"/>
      <c r="V594" s="36"/>
      <c r="W594" s="37"/>
      <c r="X594" s="36"/>
      <c r="Y594" s="37"/>
      <c r="Z594" s="36"/>
      <c r="AA594" s="34"/>
      <c r="AB594" s="36"/>
      <c r="AC594" s="37"/>
      <c r="AD594" s="36"/>
      <c r="AE594" s="38"/>
      <c r="AF594" s="36"/>
      <c r="AG594" s="38"/>
      <c r="AH594" s="36"/>
      <c r="AI594" s="38"/>
      <c r="AJ594" s="36"/>
      <c r="AK594" s="38"/>
      <c r="AL594" s="36"/>
      <c r="AM594" s="38"/>
      <c r="AN594" s="36"/>
      <c r="AO594" s="38"/>
      <c r="AP594" s="36"/>
      <c r="AQ594" s="38"/>
      <c r="AR594" s="36"/>
      <c r="AS594" s="38"/>
      <c r="AT594" s="39"/>
      <c r="AU594" s="38"/>
      <c r="AV594" s="39"/>
      <c r="AW594" s="38"/>
      <c r="AX594" s="39"/>
      <c r="AY594" s="38"/>
      <c r="AZ594" s="39"/>
      <c r="BA594" s="38"/>
      <c r="BB594" s="39"/>
      <c r="BC594" s="38"/>
      <c r="BD594" s="39"/>
      <c r="BE594" s="38"/>
      <c r="BF594" s="39"/>
      <c r="BG594" s="38"/>
      <c r="BH594" s="39"/>
      <c r="BI594" s="38"/>
      <c r="BJ594" s="39"/>
      <c r="BK594" s="38"/>
      <c r="BL594" s="39"/>
      <c r="BM594" s="38"/>
      <c r="BN594" s="39"/>
      <c r="BO594" s="38"/>
      <c r="BP594" s="39"/>
      <c r="BQ594" s="38"/>
      <c r="BR594" s="39"/>
      <c r="BS594" s="38"/>
      <c r="BT594" s="39"/>
      <c r="BU594" s="38"/>
      <c r="BV594" s="39"/>
      <c r="BW594" s="38"/>
      <c r="BX594" s="39"/>
      <c r="BY594" s="38"/>
      <c r="BZ594" s="39"/>
      <c r="CA594" s="38"/>
      <c r="CB594" s="39"/>
      <c r="CC594" s="38"/>
      <c r="CD594" s="39"/>
      <c r="CE594" s="38"/>
      <c r="CF594" s="39"/>
      <c r="CG594" s="38"/>
      <c r="CH594" s="39"/>
      <c r="CI594" s="38"/>
      <c r="CJ594" s="39"/>
      <c r="CK594" s="38"/>
      <c r="CL594" s="39"/>
      <c r="CM594" s="38"/>
      <c r="CN594" s="39"/>
      <c r="CO594" s="38"/>
      <c r="CP594" s="39"/>
      <c r="CQ594" s="38"/>
      <c r="CR594" s="39"/>
      <c r="CS594" s="38"/>
      <c r="CT594" s="39"/>
      <c r="CU594" s="38"/>
      <c r="CV594" s="39"/>
      <c r="CW594" s="38"/>
      <c r="CX594" s="39"/>
      <c r="CY594" s="38"/>
      <c r="CZ594" s="39"/>
      <c r="DA594" s="38"/>
      <c r="DB594" s="39"/>
      <c r="DC594" s="38"/>
      <c r="DD594" s="39"/>
      <c r="DE594" s="38"/>
      <c r="DF594" s="39"/>
      <c r="DG594" s="38"/>
      <c r="DH594" s="39"/>
      <c r="DI594" s="38"/>
      <c r="DJ594" s="39"/>
      <c r="DK594" s="38"/>
      <c r="DL594" s="39"/>
      <c r="DM594" s="38"/>
      <c r="DN594" s="39"/>
      <c r="DO594" s="38"/>
      <c r="DP594" s="39"/>
      <c r="DQ594" s="38"/>
      <c r="DR594" s="39"/>
      <c r="DS594" s="38"/>
      <c r="DT594" s="39"/>
      <c r="DU594" s="38"/>
      <c r="DV594" s="39"/>
      <c r="DW594" s="38"/>
      <c r="DX594" s="39"/>
      <c r="DY594" s="38"/>
      <c r="DZ594" s="39"/>
      <c r="EA594" s="38"/>
      <c r="EB594" s="39"/>
      <c r="EC594" s="38"/>
      <c r="ED594" s="39"/>
      <c r="EE594" s="38"/>
      <c r="EF594" s="39"/>
      <c r="EG594" s="38"/>
      <c r="EH594" s="39"/>
      <c r="EI594" s="38"/>
      <c r="EJ594" s="39"/>
      <c r="EK594" s="38"/>
      <c r="EL594" s="39"/>
      <c r="EM594" s="38"/>
      <c r="EN594" s="39"/>
      <c r="EO594" s="38"/>
      <c r="EP594" s="39"/>
      <c r="EQ594" s="38"/>
      <c r="ER594" s="39"/>
      <c r="ES594" s="38"/>
      <c r="ET594" s="460"/>
      <c r="EU594" s="38"/>
      <c r="EV594" s="37"/>
      <c r="EW594" s="36"/>
      <c r="EX594" s="37"/>
      <c r="EY594" s="36"/>
      <c r="EZ594" s="37"/>
      <c r="FA594" s="36"/>
      <c r="FB594" s="37"/>
      <c r="FC594" s="36"/>
      <c r="FD594" s="37"/>
      <c r="FE594" s="36"/>
      <c r="FF594" s="37"/>
      <c r="FG594" s="36"/>
      <c r="FH594" s="37"/>
      <c r="FI594" s="36"/>
      <c r="FJ594" s="37"/>
      <c r="FK594" s="36"/>
      <c r="FL594" s="38"/>
      <c r="FM594" s="36"/>
      <c r="FN594" s="38"/>
      <c r="FO594" s="36"/>
      <c r="FP594" s="38"/>
      <c r="FQ594" s="36"/>
      <c r="FR594" s="38"/>
      <c r="FS594" s="36"/>
      <c r="FT594" s="38"/>
      <c r="FU594" s="36"/>
      <c r="FV594" s="38"/>
      <c r="FW594" s="36"/>
      <c r="FX594" s="38"/>
      <c r="FY594" s="36"/>
      <c r="FZ594" s="38"/>
      <c r="GA594" s="36"/>
      <c r="GB594" s="38"/>
      <c r="GC594" s="36"/>
      <c r="GD594" s="38"/>
      <c r="GE594" s="36"/>
      <c r="GF594" s="38"/>
      <c r="GG594" s="36"/>
      <c r="GH594" s="38"/>
      <c r="GI594" s="36"/>
      <c r="GJ594" s="38"/>
      <c r="GK594" s="36"/>
      <c r="GL594" s="38"/>
      <c r="GM594" s="36"/>
      <c r="GN594" s="38"/>
      <c r="GO594" s="36"/>
      <c r="GP594" s="38"/>
      <c r="GQ594" s="36"/>
      <c r="GR594" s="38"/>
      <c r="GS594" s="36"/>
      <c r="GT594" s="36"/>
      <c r="GU594" s="562"/>
      <c r="GV594" s="562"/>
      <c r="GW594"/>
      <c r="GX594"/>
      <c r="GY594"/>
      <c r="GZ594"/>
      <c r="HA594"/>
      <c r="HB594"/>
      <c r="HC594" s="562"/>
      <c r="HD594" s="562"/>
      <c r="HE594" s="562"/>
      <c r="HF594" s="562"/>
      <c r="HG594" s="562"/>
      <c r="HH594" s="562"/>
      <c r="HI594" s="562"/>
      <c r="HJ594" s="562"/>
      <c r="HK594" s="562"/>
      <c r="HL594" s="562"/>
      <c r="HM594" s="562"/>
      <c r="HN594" s="562"/>
      <c r="HO594" s="562"/>
      <c r="HP594" s="562"/>
      <c r="HQ594" s="562"/>
      <c r="HR594" s="562"/>
      <c r="HS594" s="562"/>
      <c r="HT594" s="562"/>
      <c r="HU594" s="562"/>
      <c r="HV594" s="562"/>
      <c r="HW594" s="562"/>
      <c r="HX594" s="562"/>
      <c r="HY594" s="562"/>
      <c r="HZ594" s="562"/>
      <c r="IA594" s="562"/>
      <c r="IB594" s="562"/>
      <c r="IC594" s="562"/>
      <c r="ID594" s="562"/>
      <c r="IE594" s="562"/>
      <c r="IF594" s="562"/>
      <c r="IG594" s="562"/>
      <c r="IH594" s="562"/>
      <c r="II594" s="562"/>
      <c r="IJ594" s="562"/>
      <c r="IK594" s="562"/>
      <c r="IL594" s="562"/>
      <c r="IM594" s="562"/>
      <c r="IN594" s="562"/>
      <c r="IO594" s="562"/>
      <c r="IP594" s="562"/>
      <c r="IQ594" s="562"/>
      <c r="IR594" s="562"/>
      <c r="IS594" s="562"/>
      <c r="IT594" s="562"/>
      <c r="IU594" s="562"/>
      <c r="IV594" s="562"/>
      <c r="IW594" s="562"/>
      <c r="IX594" s="562"/>
      <c r="IY594" s="562"/>
      <c r="IZ594" s="562"/>
      <c r="JA594" s="562"/>
      <c r="JB594" s="562"/>
      <c r="JC594" s="562"/>
      <c r="JD594" s="562"/>
      <c r="JE594" s="562"/>
      <c r="JF594" s="562"/>
      <c r="JG594" s="562"/>
      <c r="JH594" s="562"/>
      <c r="JI594" s="562"/>
      <c r="JJ594" s="562"/>
      <c r="JK594" s="562"/>
      <c r="JL594" s="562"/>
      <c r="JM594" s="562"/>
      <c r="JN594" s="562"/>
      <c r="JO594" s="562"/>
      <c r="JP594" s="562"/>
      <c r="JQ594" s="562"/>
      <c r="JR594" s="562"/>
      <c r="JS594" s="562"/>
      <c r="JT594" s="562"/>
      <c r="JU594" s="562"/>
      <c r="JV594" s="562"/>
      <c r="JW594" s="562"/>
      <c r="JX594" s="562"/>
      <c r="JY594" s="562"/>
      <c r="JZ594" s="562"/>
    </row>
    <row r="595" spans="1:286" s="13" customFormat="1" ht="12.75" hidden="1" customHeight="1" outlineLevel="1" x14ac:dyDescent="0.2">
      <c r="A595" s="11"/>
      <c r="B595" s="40" t="s">
        <v>367</v>
      </c>
      <c r="C595" s="36"/>
      <c r="D595" s="36"/>
      <c r="E595" s="37"/>
      <c r="F595" s="37"/>
      <c r="G595" s="37"/>
      <c r="H595" s="37"/>
      <c r="I595" s="37"/>
      <c r="J595" s="37"/>
      <c r="K595" s="37"/>
      <c r="L595" s="37"/>
      <c r="M595" s="37"/>
      <c r="N595" s="36"/>
      <c r="O595" s="37"/>
      <c r="P595" s="36"/>
      <c r="Q595" s="37"/>
      <c r="R595" s="36"/>
      <c r="S595" s="37"/>
      <c r="T595" s="36"/>
      <c r="U595" s="37"/>
      <c r="V595" s="36"/>
      <c r="W595" s="37"/>
      <c r="X595" s="36"/>
      <c r="Y595" s="37"/>
      <c r="Z595" s="36"/>
      <c r="AA595" s="34"/>
      <c r="AB595" s="36"/>
      <c r="AC595" s="37"/>
      <c r="AD595" s="36"/>
      <c r="AE595" s="38"/>
      <c r="AF595" s="36"/>
      <c r="AG595" s="38"/>
      <c r="AH595" s="36"/>
      <c r="AI595" s="38"/>
      <c r="AJ595" s="36"/>
      <c r="AK595" s="38"/>
      <c r="AL595" s="36"/>
      <c r="AM595" s="38"/>
      <c r="AN595" s="36"/>
      <c r="AO595" s="38"/>
      <c r="AP595" s="36"/>
      <c r="AQ595" s="38"/>
      <c r="AR595" s="36"/>
      <c r="AS595" s="38"/>
      <c r="AT595" s="39"/>
      <c r="AU595" s="38"/>
      <c r="AV595" s="39"/>
      <c r="AW595" s="38"/>
      <c r="AX595" s="39"/>
      <c r="AY595" s="38"/>
      <c r="AZ595" s="39"/>
      <c r="BA595" s="38"/>
      <c r="BB595" s="39"/>
      <c r="BC595" s="38"/>
      <c r="BD595" s="39"/>
      <c r="BE595" s="38"/>
      <c r="BF595" s="39"/>
      <c r="BG595" s="38"/>
      <c r="BH595" s="39"/>
      <c r="BI595" s="38"/>
      <c r="BJ595" s="39"/>
      <c r="BK595" s="38"/>
      <c r="BL595" s="39"/>
      <c r="BM595" s="38"/>
      <c r="BN595" s="39"/>
      <c r="BO595" s="38"/>
      <c r="BP595" s="39"/>
      <c r="BQ595" s="38"/>
      <c r="BR595" s="39"/>
      <c r="BS595" s="38"/>
      <c r="BT595" s="39"/>
      <c r="BU595" s="38"/>
      <c r="BV595" s="39"/>
      <c r="BW595" s="38"/>
      <c r="BX595" s="39"/>
      <c r="BY595" s="38"/>
      <c r="BZ595" s="39"/>
      <c r="CA595" s="38"/>
      <c r="CB595" s="39"/>
      <c r="CC595" s="38"/>
      <c r="CD595" s="39"/>
      <c r="CE595" s="38"/>
      <c r="CF595" s="39"/>
      <c r="CG595" s="38"/>
      <c r="CH595" s="39"/>
      <c r="CI595" s="38"/>
      <c r="CJ595" s="39"/>
      <c r="CK595" s="38"/>
      <c r="CL595" s="39"/>
      <c r="CM595" s="38"/>
      <c r="CN595" s="39"/>
      <c r="CO595" s="38"/>
      <c r="CP595" s="39"/>
      <c r="CQ595" s="38"/>
      <c r="CR595" s="39"/>
      <c r="CS595" s="38"/>
      <c r="CT595" s="39"/>
      <c r="CU595" s="38"/>
      <c r="CV595" s="39"/>
      <c r="CW595" s="38"/>
      <c r="CX595" s="39"/>
      <c r="CY595" s="38"/>
      <c r="CZ595" s="39"/>
      <c r="DA595" s="38"/>
      <c r="DB595" s="39"/>
      <c r="DC595" s="38"/>
      <c r="DD595" s="39"/>
      <c r="DE595" s="38"/>
      <c r="DF595" s="39"/>
      <c r="DG595" s="38"/>
      <c r="DH595" s="39"/>
      <c r="DI595" s="38"/>
      <c r="DJ595" s="39"/>
      <c r="DK595" s="38"/>
      <c r="DL595" s="39"/>
      <c r="DM595" s="38"/>
      <c r="DN595" s="39"/>
      <c r="DO595" s="38"/>
      <c r="DP595" s="39"/>
      <c r="DQ595" s="38"/>
      <c r="DR595" s="39"/>
      <c r="DS595" s="38"/>
      <c r="DT595" s="39"/>
      <c r="DU595" s="38"/>
      <c r="DV595" s="39"/>
      <c r="DW595" s="38"/>
      <c r="DX595" s="39"/>
      <c r="DY595" s="38"/>
      <c r="DZ595" s="39"/>
      <c r="EA595" s="38"/>
      <c r="EB595" s="39"/>
      <c r="EC595" s="38"/>
      <c r="ED595" s="39"/>
      <c r="EE595" s="38"/>
      <c r="EF595" s="39"/>
      <c r="EG595" s="38"/>
      <c r="EH595" s="39"/>
      <c r="EI595" s="38"/>
      <c r="EJ595" s="39"/>
      <c r="EK595" s="38"/>
      <c r="EL595" s="39"/>
      <c r="EM595" s="38"/>
      <c r="EN595" s="39"/>
      <c r="EO595" s="38"/>
      <c r="EP595" s="39"/>
      <c r="EQ595" s="38"/>
      <c r="ER595" s="39"/>
      <c r="ES595" s="38"/>
      <c r="ET595" s="460"/>
      <c r="EU595" s="38"/>
      <c r="EV595" s="37"/>
      <c r="EW595" s="36"/>
      <c r="EX595" s="37"/>
      <c r="EY595" s="36"/>
      <c r="EZ595" s="37"/>
      <c r="FA595" s="36"/>
      <c r="FB595" s="37"/>
      <c r="FC595" s="36"/>
      <c r="FD595" s="37"/>
      <c r="FE595" s="36"/>
      <c r="FF595" s="37"/>
      <c r="FG595" s="36"/>
      <c r="FH595" s="37"/>
      <c r="FI595" s="36"/>
      <c r="FJ595" s="37"/>
      <c r="FK595" s="36"/>
      <c r="FL595" s="38"/>
      <c r="FM595" s="36"/>
      <c r="FN595" s="38"/>
      <c r="FO595" s="36"/>
      <c r="FP595" s="38"/>
      <c r="FQ595" s="36"/>
      <c r="FR595" s="38"/>
      <c r="FS595" s="36"/>
      <c r="FT595" s="38"/>
      <c r="FU595" s="36"/>
      <c r="FV595" s="38"/>
      <c r="FW595" s="36"/>
      <c r="FX595" s="38"/>
      <c r="FY595" s="36"/>
      <c r="FZ595" s="38"/>
      <c r="GA595" s="36"/>
      <c r="GB595" s="38"/>
      <c r="GC595" s="36"/>
      <c r="GD595" s="38"/>
      <c r="GE595" s="36"/>
      <c r="GF595" s="38"/>
      <c r="GG595" s="36"/>
      <c r="GH595" s="38"/>
      <c r="GI595" s="36"/>
      <c r="GJ595" s="38"/>
      <c r="GK595" s="36"/>
      <c r="GL595" s="38"/>
      <c r="GM595" s="36"/>
      <c r="GN595" s="38"/>
      <c r="GO595" s="36"/>
      <c r="GP595" s="38"/>
      <c r="GQ595" s="36"/>
      <c r="GR595" s="38"/>
      <c r="GS595" s="36"/>
      <c r="GT595" s="36"/>
      <c r="GU595" s="562"/>
      <c r="GV595" s="562"/>
      <c r="GW595"/>
      <c r="GX595"/>
      <c r="GY595"/>
      <c r="GZ595"/>
      <c r="HA595"/>
      <c r="HB595"/>
      <c r="HC595" s="562"/>
      <c r="HD595" s="562"/>
      <c r="HE595" s="562"/>
      <c r="HF595" s="562"/>
      <c r="HG595" s="562"/>
      <c r="HH595" s="562"/>
      <c r="HI595" s="562"/>
      <c r="HJ595" s="562"/>
      <c r="HK595" s="562"/>
      <c r="HL595" s="562"/>
      <c r="HM595" s="562"/>
      <c r="HN595" s="562"/>
      <c r="HO595" s="562"/>
      <c r="HP595" s="562"/>
      <c r="HQ595" s="562"/>
      <c r="HR595" s="562"/>
      <c r="HS595" s="562"/>
      <c r="HT595" s="562"/>
      <c r="HU595" s="562"/>
      <c r="HV595" s="562"/>
      <c r="HW595" s="562"/>
      <c r="HX595" s="562"/>
      <c r="HY595" s="562"/>
      <c r="HZ595" s="562"/>
      <c r="IA595" s="562"/>
      <c r="IB595" s="562"/>
      <c r="IC595" s="562"/>
      <c r="ID595" s="562"/>
      <c r="IE595" s="562"/>
      <c r="IF595" s="562"/>
      <c r="IG595" s="562"/>
      <c r="IH595" s="562"/>
      <c r="II595" s="562"/>
      <c r="IJ595" s="562"/>
      <c r="IK595" s="562"/>
      <c r="IL595" s="562"/>
      <c r="IM595" s="562"/>
      <c r="IN595" s="562"/>
      <c r="IO595" s="562"/>
      <c r="IP595" s="562"/>
      <c r="IQ595" s="562"/>
      <c r="IR595" s="562"/>
      <c r="IS595" s="562"/>
      <c r="IT595" s="562"/>
      <c r="IU595" s="562"/>
      <c r="IV595" s="562"/>
      <c r="IW595" s="562"/>
      <c r="IX595" s="562"/>
      <c r="IY595" s="562"/>
      <c r="IZ595" s="562"/>
      <c r="JA595" s="562"/>
      <c r="JB595" s="562"/>
      <c r="JC595" s="562"/>
      <c r="JD595" s="562"/>
      <c r="JE595" s="562"/>
      <c r="JF595" s="562"/>
      <c r="JG595" s="562"/>
      <c r="JH595" s="562"/>
      <c r="JI595" s="562"/>
      <c r="JJ595" s="562"/>
      <c r="JK595" s="562"/>
      <c r="JL595" s="562"/>
      <c r="JM595" s="562"/>
      <c r="JN595" s="562"/>
      <c r="JO595" s="562"/>
      <c r="JP595" s="562"/>
      <c r="JQ595" s="562"/>
      <c r="JR595" s="562"/>
      <c r="JS595" s="562"/>
      <c r="JT595" s="562"/>
      <c r="JU595" s="562"/>
      <c r="JV595" s="562"/>
      <c r="JW595" s="562"/>
      <c r="JX595" s="562"/>
      <c r="JY595" s="562"/>
      <c r="JZ595" s="562"/>
    </row>
    <row r="596" spans="1:286" s="13" customFormat="1" ht="12.75" hidden="1" customHeight="1" outlineLevel="1" x14ac:dyDescent="0.2">
      <c r="A596" s="11"/>
      <c r="B596" s="11" t="s">
        <v>470</v>
      </c>
      <c r="C596" s="36"/>
      <c r="D596" s="36"/>
      <c r="E596" s="37"/>
      <c r="F596" s="37"/>
      <c r="G596" s="37"/>
      <c r="H596" s="37"/>
      <c r="I596" s="37"/>
      <c r="J596" s="37"/>
      <c r="K596" s="37"/>
      <c r="L596" s="37"/>
      <c r="M596" s="37"/>
      <c r="N596" s="36"/>
      <c r="O596" s="37"/>
      <c r="P596" s="36"/>
      <c r="Q596" s="37"/>
      <c r="R596" s="36"/>
      <c r="S596" s="37"/>
      <c r="T596" s="36"/>
      <c r="U596" s="37"/>
      <c r="V596" s="36"/>
      <c r="W596" s="37"/>
      <c r="X596" s="36"/>
      <c r="Y596" s="37"/>
      <c r="Z596" s="36"/>
      <c r="AA596" s="34"/>
      <c r="AB596" s="36"/>
      <c r="AC596" s="37"/>
      <c r="AD596" s="36"/>
      <c r="AE596" s="38"/>
      <c r="AF596" s="36"/>
      <c r="AG596" s="38"/>
      <c r="AH596" s="36"/>
      <c r="AI596" s="38"/>
      <c r="AJ596" s="36"/>
      <c r="AK596" s="38"/>
      <c r="AL596" s="36"/>
      <c r="AM596" s="38"/>
      <c r="AN596" s="36"/>
      <c r="AO596" s="38"/>
      <c r="AP596" s="36"/>
      <c r="AQ596" s="38"/>
      <c r="AR596" s="36"/>
      <c r="AS596" s="38"/>
      <c r="AT596" s="39"/>
      <c r="AU596" s="38"/>
      <c r="AV596" s="39"/>
      <c r="AW596" s="38"/>
      <c r="AX596" s="39"/>
      <c r="AY596" s="38"/>
      <c r="AZ596" s="39"/>
      <c r="BA596" s="38"/>
      <c r="BB596" s="39"/>
      <c r="BC596" s="38"/>
      <c r="BD596" s="39"/>
      <c r="BE596" s="38"/>
      <c r="BF596" s="39"/>
      <c r="BG596" s="38"/>
      <c r="BH596" s="39"/>
      <c r="BI596" s="38"/>
      <c r="BJ596" s="39"/>
      <c r="BK596" s="38"/>
      <c r="BL596" s="39"/>
      <c r="BM596" s="38"/>
      <c r="BN596" s="39"/>
      <c r="BO596" s="38"/>
      <c r="BP596" s="39"/>
      <c r="BQ596" s="38"/>
      <c r="BR596" s="39"/>
      <c r="BS596" s="38"/>
      <c r="BT596" s="39"/>
      <c r="BU596" s="38"/>
      <c r="BV596" s="39"/>
      <c r="BW596" s="38"/>
      <c r="BX596" s="39"/>
      <c r="BY596" s="38"/>
      <c r="BZ596" s="39"/>
      <c r="CA596" s="38"/>
      <c r="CB596" s="39"/>
      <c r="CC596" s="38"/>
      <c r="CD596" s="39"/>
      <c r="CE596" s="38"/>
      <c r="CF596" s="39"/>
      <c r="CG596" s="38"/>
      <c r="CH596" s="39"/>
      <c r="CI596" s="38"/>
      <c r="CJ596" s="39"/>
      <c r="CK596" s="38"/>
      <c r="CL596" s="39"/>
      <c r="CM596" s="38"/>
      <c r="CN596" s="39"/>
      <c r="CO596" s="38"/>
      <c r="CP596" s="39"/>
      <c r="CQ596" s="38"/>
      <c r="CR596" s="39"/>
      <c r="CS596" s="38"/>
      <c r="CT596" s="39"/>
      <c r="CU596" s="38"/>
      <c r="CV596" s="39"/>
      <c r="CW596" s="38"/>
      <c r="CX596" s="39"/>
      <c r="CY596" s="38"/>
      <c r="CZ596" s="39"/>
      <c r="DA596" s="38"/>
      <c r="DB596" s="39"/>
      <c r="DC596" s="38"/>
      <c r="DD596" s="39"/>
      <c r="DE596" s="38"/>
      <c r="DF596" s="39"/>
      <c r="DG596" s="38"/>
      <c r="DH596" s="39"/>
      <c r="DI596" s="38"/>
      <c r="DJ596" s="39"/>
      <c r="DK596" s="38"/>
      <c r="DL596" s="39"/>
      <c r="DM596" s="38"/>
      <c r="DN596" s="39"/>
      <c r="DO596" s="38"/>
      <c r="DP596" s="39"/>
      <c r="DQ596" s="38"/>
      <c r="DR596" s="39"/>
      <c r="DS596" s="38"/>
      <c r="DT596" s="39"/>
      <c r="DU596" s="38"/>
      <c r="DV596" s="39"/>
      <c r="DW596" s="38"/>
      <c r="DX596" s="39"/>
      <c r="DY596" s="38"/>
      <c r="DZ596" s="39"/>
      <c r="EA596" s="38">
        <f>EA22</f>
        <v>169.5</v>
      </c>
      <c r="EB596" s="39"/>
      <c r="EC596" s="38">
        <f>EC22</f>
        <v>52.9</v>
      </c>
      <c r="ED596" s="39"/>
      <c r="EE596" s="38">
        <f>EE22</f>
        <v>74.900000000000006</v>
      </c>
      <c r="EF596" s="39"/>
      <c r="EG596" s="38">
        <f>EG22</f>
        <v>51.8</v>
      </c>
      <c r="EH596" s="39"/>
      <c r="EI596" s="38">
        <f>EI22</f>
        <v>223.7</v>
      </c>
      <c r="EJ596" s="39"/>
      <c r="EK596" s="41">
        <f t="shared" ref="EK596:EQ596" si="2343">EK22</f>
        <v>55.545000000000002</v>
      </c>
      <c r="EL596" s="39"/>
      <c r="EM596" s="41">
        <f t="shared" si="2343"/>
        <v>78.64500000000001</v>
      </c>
      <c r="EN596" s="39"/>
      <c r="EO596" s="41">
        <f t="shared" si="2343"/>
        <v>54.39</v>
      </c>
      <c r="EP596" s="39"/>
      <c r="EQ596" s="41">
        <f t="shared" si="2343"/>
        <v>234.88499999999999</v>
      </c>
      <c r="ER596" s="39"/>
      <c r="ES596" s="38"/>
      <c r="ET596" s="462"/>
      <c r="EU596" s="38"/>
      <c r="EV596" s="37"/>
      <c r="EW596" s="42"/>
      <c r="EX596" s="37"/>
      <c r="EY596" s="42"/>
      <c r="EZ596" s="37"/>
      <c r="FA596" s="42"/>
      <c r="FB596" s="37"/>
      <c r="FC596" s="42"/>
      <c r="FD596" s="37"/>
      <c r="FE596" s="42"/>
      <c r="FF596" s="37"/>
      <c r="FG596" s="42"/>
      <c r="FH596" s="37"/>
      <c r="FI596" s="42"/>
      <c r="FJ596" s="37"/>
      <c r="FK596" s="42"/>
      <c r="FL596" s="38"/>
      <c r="FM596" s="42"/>
      <c r="FN596" s="38"/>
      <c r="FO596" s="42"/>
      <c r="FP596" s="38"/>
      <c r="FQ596" s="42"/>
      <c r="FR596" s="38"/>
      <c r="FS596" s="42"/>
      <c r="FT596" s="38"/>
      <c r="FU596" s="42"/>
      <c r="FV596" s="38"/>
      <c r="FW596" s="42"/>
      <c r="FX596" s="38"/>
      <c r="FY596" s="42"/>
      <c r="FZ596" s="38"/>
      <c r="GA596" s="42"/>
      <c r="GB596" s="38"/>
      <c r="GC596" s="42"/>
      <c r="GD596" s="38"/>
      <c r="GE596" s="42"/>
      <c r="GF596" s="38"/>
      <c r="GG596" s="42"/>
      <c r="GH596" s="38"/>
      <c r="GI596" s="42"/>
      <c r="GJ596" s="38"/>
      <c r="GK596" s="42"/>
      <c r="GL596" s="41">
        <f>GL22</f>
        <v>444.63824999999997</v>
      </c>
      <c r="GM596" s="42"/>
      <c r="GN596" s="41">
        <f>GN22</f>
        <v>466.87016249999999</v>
      </c>
      <c r="GO596" s="42"/>
      <c r="GP596" s="41">
        <f>GP22</f>
        <v>490.21367062500002</v>
      </c>
      <c r="GQ596" s="42"/>
      <c r="GR596" s="41">
        <f>GR22</f>
        <v>514.72435415625</v>
      </c>
      <c r="GS596" s="42"/>
      <c r="GT596" s="36"/>
      <c r="GU596" s="562"/>
      <c r="GV596" s="562"/>
      <c r="GW596"/>
      <c r="GX596"/>
      <c r="GY596"/>
      <c r="GZ596"/>
      <c r="HA596"/>
      <c r="HB596"/>
      <c r="HC596" s="562"/>
      <c r="HD596" s="562"/>
      <c r="HE596" s="562"/>
      <c r="HF596" s="562"/>
      <c r="HG596" s="562"/>
      <c r="HH596" s="562"/>
      <c r="HI596" s="562"/>
      <c r="HJ596" s="562"/>
      <c r="HK596" s="562"/>
      <c r="HL596" s="562"/>
      <c r="HM596" s="562"/>
      <c r="HN596" s="562"/>
      <c r="HO596" s="562"/>
      <c r="HP596" s="562"/>
      <c r="HQ596" s="562"/>
      <c r="HR596" s="562"/>
      <c r="HS596" s="562"/>
      <c r="HT596" s="562"/>
      <c r="HU596" s="562"/>
      <c r="HV596" s="562"/>
      <c r="HW596" s="562"/>
      <c r="HX596" s="562"/>
      <c r="HY596" s="562"/>
      <c r="HZ596" s="562"/>
      <c r="IA596" s="562"/>
      <c r="IB596" s="562"/>
      <c r="IC596" s="562"/>
      <c r="ID596" s="562"/>
      <c r="IE596" s="562"/>
      <c r="IF596" s="562"/>
      <c r="IG596" s="562"/>
      <c r="IH596" s="562"/>
      <c r="II596" s="562"/>
      <c r="IJ596" s="562"/>
      <c r="IK596" s="562"/>
      <c r="IL596" s="562"/>
      <c r="IM596" s="562"/>
      <c r="IN596" s="562"/>
      <c r="IO596" s="562"/>
      <c r="IP596" s="562"/>
      <c r="IQ596" s="562"/>
      <c r="IR596" s="562"/>
      <c r="IS596" s="562"/>
      <c r="IT596" s="562"/>
      <c r="IU596" s="562"/>
      <c r="IV596" s="562"/>
      <c r="IW596" s="562"/>
      <c r="IX596" s="562"/>
      <c r="IY596" s="562"/>
      <c r="IZ596" s="562"/>
      <c r="JA596" s="562"/>
      <c r="JB596" s="562"/>
      <c r="JC596" s="562"/>
      <c r="JD596" s="562"/>
      <c r="JE596" s="562"/>
      <c r="JF596" s="562"/>
      <c r="JG596" s="562"/>
      <c r="JH596" s="562"/>
      <c r="JI596" s="562"/>
      <c r="JJ596" s="562"/>
      <c r="JK596" s="562"/>
      <c r="JL596" s="562"/>
      <c r="JM596" s="562"/>
      <c r="JN596" s="562"/>
      <c r="JO596" s="562"/>
      <c r="JP596" s="562"/>
      <c r="JQ596" s="562"/>
      <c r="JR596" s="562"/>
      <c r="JS596" s="562"/>
      <c r="JT596" s="562"/>
      <c r="JU596" s="562"/>
      <c r="JV596" s="562"/>
      <c r="JW596" s="562"/>
      <c r="JX596" s="562"/>
      <c r="JY596" s="562"/>
      <c r="JZ596" s="562"/>
    </row>
    <row r="597" spans="1:286" s="13" customFormat="1" ht="12.75" hidden="1" customHeight="1" outlineLevel="1" x14ac:dyDescent="0.2">
      <c r="A597" s="11"/>
      <c r="B597" s="11" t="s">
        <v>273</v>
      </c>
      <c r="C597" s="36"/>
      <c r="D597" s="36"/>
      <c r="E597" s="37"/>
      <c r="F597" s="37"/>
      <c r="G597" s="37"/>
      <c r="H597" s="37"/>
      <c r="I597" s="37"/>
      <c r="J597" s="37"/>
      <c r="K597" s="37"/>
      <c r="L597" s="37"/>
      <c r="M597" s="37"/>
      <c r="N597" s="36"/>
      <c r="O597" s="37"/>
      <c r="P597" s="36"/>
      <c r="Q597" s="37"/>
      <c r="R597" s="36"/>
      <c r="S597" s="37"/>
      <c r="T597" s="36"/>
      <c r="U597" s="37"/>
      <c r="V597" s="36"/>
      <c r="W597" s="37"/>
      <c r="X597" s="36"/>
      <c r="Y597" s="37"/>
      <c r="Z597" s="36"/>
      <c r="AA597" s="34"/>
      <c r="AB597" s="36"/>
      <c r="AC597" s="37"/>
      <c r="AD597" s="36"/>
      <c r="AE597" s="38"/>
      <c r="AF597" s="36"/>
      <c r="AG597" s="38"/>
      <c r="AH597" s="36"/>
      <c r="AI597" s="38"/>
      <c r="AJ597" s="36"/>
      <c r="AK597" s="38"/>
      <c r="AL597" s="36"/>
      <c r="AM597" s="38"/>
      <c r="AN597" s="36"/>
      <c r="AO597" s="38"/>
      <c r="AP597" s="36"/>
      <c r="AQ597" s="38"/>
      <c r="AR597" s="36"/>
      <c r="AS597" s="38"/>
      <c r="AT597" s="39"/>
      <c r="AU597" s="38"/>
      <c r="AV597" s="39"/>
      <c r="AW597" s="38"/>
      <c r="AX597" s="39"/>
      <c r="AY597" s="38"/>
      <c r="AZ597" s="39"/>
      <c r="BA597" s="38"/>
      <c r="BB597" s="39"/>
      <c r="BC597" s="38"/>
      <c r="BD597" s="39"/>
      <c r="BE597" s="38"/>
      <c r="BF597" s="39"/>
      <c r="BG597" s="38"/>
      <c r="BH597" s="39"/>
      <c r="BI597" s="38"/>
      <c r="BJ597" s="39"/>
      <c r="BK597" s="38"/>
      <c r="BL597" s="39"/>
      <c r="BM597" s="38"/>
      <c r="BN597" s="39"/>
      <c r="BO597" s="38"/>
      <c r="BP597" s="39"/>
      <c r="BQ597" s="38"/>
      <c r="BR597" s="39"/>
      <c r="BS597" s="38"/>
      <c r="BT597" s="39"/>
      <c r="BU597" s="38"/>
      <c r="BV597" s="39"/>
      <c r="BW597" s="38"/>
      <c r="BX597" s="39"/>
      <c r="BY597" s="38"/>
      <c r="BZ597" s="39"/>
      <c r="CA597" s="38"/>
      <c r="CB597" s="39"/>
      <c r="CC597" s="38"/>
      <c r="CD597" s="39"/>
      <c r="CE597" s="38"/>
      <c r="CF597" s="39"/>
      <c r="CG597" s="38"/>
      <c r="CH597" s="39"/>
      <c r="CI597" s="38"/>
      <c r="CJ597" s="39"/>
      <c r="CK597" s="38"/>
      <c r="CL597" s="39"/>
      <c r="CM597" s="38"/>
      <c r="CN597" s="39"/>
      <c r="CO597" s="38"/>
      <c r="CP597" s="39"/>
      <c r="CQ597" s="38"/>
      <c r="CR597" s="39"/>
      <c r="CS597" s="38"/>
      <c r="CT597" s="39"/>
      <c r="CU597" s="38"/>
      <c r="CV597" s="39"/>
      <c r="CW597" s="38"/>
      <c r="CX597" s="39"/>
      <c r="CY597" s="38"/>
      <c r="CZ597" s="39"/>
      <c r="DA597" s="38"/>
      <c r="DB597" s="39"/>
      <c r="DC597" s="38"/>
      <c r="DD597" s="39"/>
      <c r="DE597" s="38"/>
      <c r="DF597" s="39"/>
      <c r="DG597" s="38"/>
      <c r="DH597" s="39"/>
      <c r="DI597" s="38"/>
      <c r="DJ597" s="39"/>
      <c r="DK597" s="38"/>
      <c r="DL597" s="39"/>
      <c r="DM597" s="38"/>
      <c r="DN597" s="39"/>
      <c r="DO597" s="38"/>
      <c r="DP597" s="39"/>
      <c r="DQ597" s="38"/>
      <c r="DR597" s="39"/>
      <c r="DS597" s="38"/>
      <c r="DT597" s="39"/>
      <c r="DU597" s="38"/>
      <c r="DV597" s="39"/>
      <c r="DW597" s="38"/>
      <c r="DX597" s="39"/>
      <c r="DY597" s="38"/>
      <c r="DZ597" s="39"/>
      <c r="EA597" s="38">
        <v>5</v>
      </c>
      <c r="EB597" s="39"/>
      <c r="EC597" s="38">
        <v>5</v>
      </c>
      <c r="ED597" s="39"/>
      <c r="EE597" s="38">
        <v>5</v>
      </c>
      <c r="EF597" s="39"/>
      <c r="EG597" s="38">
        <v>5</v>
      </c>
      <c r="EH597" s="39"/>
      <c r="EI597" s="38">
        <v>5</v>
      </c>
      <c r="EJ597" s="39"/>
      <c r="EK597" s="43">
        <v>5</v>
      </c>
      <c r="EL597" s="39"/>
      <c r="EM597" s="43">
        <v>5</v>
      </c>
      <c r="EN597" s="39"/>
      <c r="EO597" s="43">
        <v>5</v>
      </c>
      <c r="EP597" s="39"/>
      <c r="EQ597" s="43">
        <v>5</v>
      </c>
      <c r="ER597" s="39"/>
      <c r="ES597" s="38"/>
      <c r="ET597" s="460"/>
      <c r="EU597" s="38"/>
      <c r="EV597" s="37"/>
      <c r="EW597" s="36"/>
      <c r="EX597" s="37"/>
      <c r="EY597" s="36"/>
      <c r="EZ597" s="37"/>
      <c r="FA597" s="36"/>
      <c r="FB597" s="37"/>
      <c r="FC597" s="36"/>
      <c r="FD597" s="37"/>
      <c r="FE597" s="36"/>
      <c r="FF597" s="37"/>
      <c r="FG597" s="36"/>
      <c r="FH597" s="37"/>
      <c r="FI597" s="36"/>
      <c r="FJ597" s="37"/>
      <c r="FK597" s="36"/>
      <c r="FL597" s="44"/>
      <c r="FM597" s="36"/>
      <c r="FN597" s="44"/>
      <c r="FO597" s="36"/>
      <c r="FP597" s="44"/>
      <c r="FQ597" s="36"/>
      <c r="FR597" s="44"/>
      <c r="FS597" s="36"/>
      <c r="FT597" s="44"/>
      <c r="FU597" s="36"/>
      <c r="FV597" s="44"/>
      <c r="FW597" s="36"/>
      <c r="FX597" s="44"/>
      <c r="FY597" s="36"/>
      <c r="FZ597" s="44"/>
      <c r="GA597" s="36"/>
      <c r="GB597" s="44"/>
      <c r="GC597" s="36"/>
      <c r="GD597" s="44"/>
      <c r="GE597" s="36"/>
      <c r="GF597" s="44"/>
      <c r="GG597" s="36"/>
      <c r="GH597" s="44"/>
      <c r="GI597" s="36"/>
      <c r="GJ597" s="44"/>
      <c r="GK597" s="36"/>
      <c r="GL597" s="43">
        <v>5</v>
      </c>
      <c r="GM597" s="36"/>
      <c r="GN597" s="43">
        <v>5</v>
      </c>
      <c r="GO597" s="36"/>
      <c r="GP597" s="43">
        <v>5</v>
      </c>
      <c r="GQ597" s="36"/>
      <c r="GR597" s="43">
        <v>5</v>
      </c>
      <c r="GS597" s="36"/>
      <c r="GT597" s="36"/>
      <c r="GU597" s="562"/>
      <c r="GV597" s="562"/>
      <c r="GW597"/>
      <c r="GX597"/>
      <c r="GY597"/>
      <c r="GZ597"/>
      <c r="HA597"/>
      <c r="HB597"/>
      <c r="HC597" s="562"/>
      <c r="HD597" s="562"/>
      <c r="HE597" s="562"/>
      <c r="HF597" s="562"/>
      <c r="HG597" s="562"/>
      <c r="HH597" s="562"/>
      <c r="HI597" s="562"/>
      <c r="HJ597" s="562"/>
      <c r="HK597" s="562"/>
      <c r="HL597" s="562"/>
      <c r="HM597" s="562"/>
      <c r="HN597" s="562"/>
      <c r="HO597" s="562"/>
      <c r="HP597" s="562"/>
      <c r="HQ597" s="562"/>
      <c r="HR597" s="562"/>
      <c r="HS597" s="562"/>
      <c r="HT597" s="562"/>
      <c r="HU597" s="562"/>
      <c r="HV597" s="562"/>
      <c r="HW597" s="562"/>
      <c r="HX597" s="562"/>
      <c r="HY597" s="562"/>
      <c r="HZ597" s="562"/>
      <c r="IA597" s="562"/>
      <c r="IB597" s="562"/>
      <c r="IC597" s="562"/>
      <c r="ID597" s="562"/>
      <c r="IE597" s="562"/>
      <c r="IF597" s="562"/>
      <c r="IG597" s="562"/>
      <c r="IH597" s="562"/>
      <c r="II597" s="562"/>
      <c r="IJ597" s="562"/>
      <c r="IK597" s="562"/>
      <c r="IL597" s="562"/>
      <c r="IM597" s="562"/>
      <c r="IN597" s="562"/>
      <c r="IO597" s="562"/>
      <c r="IP597" s="562"/>
      <c r="IQ597" s="562"/>
      <c r="IR597" s="562"/>
      <c r="IS597" s="562"/>
      <c r="IT597" s="562"/>
      <c r="IU597" s="562"/>
      <c r="IV597" s="562"/>
      <c r="IW597" s="562"/>
      <c r="IX597" s="562"/>
      <c r="IY597" s="562"/>
      <c r="IZ597" s="562"/>
      <c r="JA597" s="562"/>
      <c r="JB597" s="562"/>
      <c r="JC597" s="562"/>
      <c r="JD597" s="562"/>
      <c r="JE597" s="562"/>
      <c r="JF597" s="562"/>
      <c r="JG597" s="562"/>
      <c r="JH597" s="562"/>
      <c r="JI597" s="562"/>
      <c r="JJ597" s="562"/>
      <c r="JK597" s="562"/>
      <c r="JL597" s="562"/>
      <c r="JM597" s="562"/>
      <c r="JN597" s="562"/>
      <c r="JO597" s="562"/>
      <c r="JP597" s="562"/>
      <c r="JQ597" s="562"/>
      <c r="JR597" s="562"/>
      <c r="JS597" s="562"/>
      <c r="JT597" s="562"/>
      <c r="JU597" s="562"/>
      <c r="JV597" s="562"/>
      <c r="JW597" s="562"/>
      <c r="JX597" s="562"/>
      <c r="JY597" s="562"/>
      <c r="JZ597" s="562"/>
    </row>
    <row r="598" spans="1:286" s="13" customFormat="1" ht="12.75" hidden="1" customHeight="1" outlineLevel="1" x14ac:dyDescent="0.2">
      <c r="A598" s="11"/>
      <c r="B598" s="11" t="s">
        <v>274</v>
      </c>
      <c r="C598" s="36"/>
      <c r="D598" s="36"/>
      <c r="E598" s="37"/>
      <c r="F598" s="37"/>
      <c r="G598" s="37"/>
      <c r="H598" s="37"/>
      <c r="I598" s="37"/>
      <c r="J598" s="37"/>
      <c r="K598" s="37"/>
      <c r="L598" s="37"/>
      <c r="M598" s="37"/>
      <c r="N598" s="36"/>
      <c r="O598" s="37"/>
      <c r="P598" s="36"/>
      <c r="Q598" s="37"/>
      <c r="R598" s="36"/>
      <c r="S598" s="37"/>
      <c r="T598" s="36"/>
      <c r="U598" s="37"/>
      <c r="V598" s="36"/>
      <c r="W598" s="37"/>
      <c r="X598" s="36"/>
      <c r="Y598" s="37"/>
      <c r="Z598" s="36"/>
      <c r="AA598" s="34"/>
      <c r="AB598" s="36"/>
      <c r="AC598" s="37"/>
      <c r="AD598" s="36"/>
      <c r="AE598" s="38"/>
      <c r="AF598" s="36"/>
      <c r="AG598" s="38"/>
      <c r="AH598" s="36"/>
      <c r="AI598" s="38"/>
      <c r="AJ598" s="36"/>
      <c r="AK598" s="38"/>
      <c r="AL598" s="36"/>
      <c r="AM598" s="38"/>
      <c r="AN598" s="36"/>
      <c r="AO598" s="38"/>
      <c r="AP598" s="36"/>
      <c r="AQ598" s="38"/>
      <c r="AR598" s="36"/>
      <c r="AS598" s="38"/>
      <c r="AT598" s="39"/>
      <c r="AU598" s="38"/>
      <c r="AV598" s="39"/>
      <c r="AW598" s="38"/>
      <c r="AX598" s="39"/>
      <c r="AY598" s="38"/>
      <c r="AZ598" s="39"/>
      <c r="BA598" s="38"/>
      <c r="BB598" s="39"/>
      <c r="BC598" s="38"/>
      <c r="BD598" s="39"/>
      <c r="BE598" s="38"/>
      <c r="BF598" s="39"/>
      <c r="BG598" s="38"/>
      <c r="BH598" s="39"/>
      <c r="BI598" s="38"/>
      <c r="BJ598" s="39"/>
      <c r="BK598" s="38"/>
      <c r="BL598" s="39"/>
      <c r="BM598" s="38"/>
      <c r="BN598" s="39"/>
      <c r="BO598" s="38"/>
      <c r="BP598" s="39"/>
      <c r="BQ598" s="38"/>
      <c r="BR598" s="39"/>
      <c r="BS598" s="38"/>
      <c r="BT598" s="39"/>
      <c r="BU598" s="38"/>
      <c r="BV598" s="39"/>
      <c r="BW598" s="38"/>
      <c r="BX598" s="39"/>
      <c r="BY598" s="38"/>
      <c r="BZ598" s="39"/>
      <c r="CA598" s="38"/>
      <c r="CB598" s="39"/>
      <c r="CC598" s="38"/>
      <c r="CD598" s="39"/>
      <c r="CE598" s="38"/>
      <c r="CF598" s="39"/>
      <c r="CG598" s="38"/>
      <c r="CH598" s="39"/>
      <c r="CI598" s="38"/>
      <c r="CJ598" s="39"/>
      <c r="CK598" s="38"/>
      <c r="CL598" s="39"/>
      <c r="CM598" s="38"/>
      <c r="CN598" s="39"/>
      <c r="CO598" s="38"/>
      <c r="CP598" s="39"/>
      <c r="CQ598" s="38"/>
      <c r="CR598" s="39"/>
      <c r="CS598" s="38"/>
      <c r="CT598" s="39"/>
      <c r="CU598" s="38"/>
      <c r="CV598" s="39"/>
      <c r="CW598" s="38"/>
      <c r="CX598" s="39"/>
      <c r="CY598" s="38"/>
      <c r="CZ598" s="39"/>
      <c r="DA598" s="38"/>
      <c r="DB598" s="39"/>
      <c r="DC598" s="38"/>
      <c r="DD598" s="39"/>
      <c r="DE598" s="38"/>
      <c r="DF598" s="39"/>
      <c r="DG598" s="38"/>
      <c r="DH598" s="39"/>
      <c r="DI598" s="38"/>
      <c r="DJ598" s="39"/>
      <c r="DK598" s="38"/>
      <c r="DL598" s="39"/>
      <c r="DM598" s="38"/>
      <c r="DN598" s="39"/>
      <c r="DO598" s="38"/>
      <c r="DP598" s="39"/>
      <c r="DQ598" s="38"/>
      <c r="DR598" s="39"/>
      <c r="DS598" s="38"/>
      <c r="DT598" s="39"/>
      <c r="DU598" s="38"/>
      <c r="DV598" s="39"/>
      <c r="DW598" s="38"/>
      <c r="DX598" s="39"/>
      <c r="DY598" s="38"/>
      <c r="DZ598" s="39"/>
      <c r="EA598" s="38">
        <f>-EA597</f>
        <v>-5</v>
      </c>
      <c r="EB598" s="39"/>
      <c r="EC598" s="38">
        <f>-EC597</f>
        <v>-5</v>
      </c>
      <c r="ED598" s="39"/>
      <c r="EE598" s="38">
        <f>-EE597</f>
        <v>-5</v>
      </c>
      <c r="EF598" s="39"/>
      <c r="EG598" s="38">
        <f>-EG597</f>
        <v>-5</v>
      </c>
      <c r="EH598" s="39"/>
      <c r="EI598" s="38">
        <f>-EI597</f>
        <v>-5</v>
      </c>
      <c r="EJ598" s="39"/>
      <c r="EK598" s="45">
        <f t="shared" ref="EK598:EQ598" si="2344">-EK597</f>
        <v>-5</v>
      </c>
      <c r="EL598" s="39"/>
      <c r="EM598" s="45">
        <f t="shared" si="2344"/>
        <v>-5</v>
      </c>
      <c r="EN598" s="39"/>
      <c r="EO598" s="45">
        <f t="shared" si="2344"/>
        <v>-5</v>
      </c>
      <c r="EP598" s="39"/>
      <c r="EQ598" s="45">
        <f t="shared" si="2344"/>
        <v>-5</v>
      </c>
      <c r="ER598" s="39"/>
      <c r="ES598" s="38"/>
      <c r="ET598" s="460"/>
      <c r="EU598" s="38"/>
      <c r="EV598" s="37"/>
      <c r="EW598" s="36"/>
      <c r="EX598" s="37"/>
      <c r="EY598" s="36"/>
      <c r="EZ598" s="37"/>
      <c r="FA598" s="36"/>
      <c r="FB598" s="37"/>
      <c r="FC598" s="36"/>
      <c r="FD598" s="37"/>
      <c r="FE598" s="36"/>
      <c r="FF598" s="37"/>
      <c r="FG598" s="36"/>
      <c r="FH598" s="37"/>
      <c r="FI598" s="36"/>
      <c r="FJ598" s="37"/>
      <c r="FK598" s="36"/>
      <c r="FL598" s="44"/>
      <c r="FM598" s="36"/>
      <c r="FN598" s="44"/>
      <c r="FO598" s="36"/>
      <c r="FP598" s="44"/>
      <c r="FQ598" s="36"/>
      <c r="FR598" s="44"/>
      <c r="FS598" s="36"/>
      <c r="FT598" s="44"/>
      <c r="FU598" s="36"/>
      <c r="FV598" s="44"/>
      <c r="FW598" s="36"/>
      <c r="FX598" s="44"/>
      <c r="FY598" s="36"/>
      <c r="FZ598" s="44"/>
      <c r="GA598" s="36"/>
      <c r="GB598" s="44"/>
      <c r="GC598" s="36"/>
      <c r="GD598" s="44"/>
      <c r="GE598" s="36"/>
      <c r="GF598" s="44"/>
      <c r="GG598" s="36"/>
      <c r="GH598" s="44"/>
      <c r="GI598" s="36"/>
      <c r="GJ598" s="44"/>
      <c r="GK598" s="36"/>
      <c r="GL598" s="45">
        <f>-GL597</f>
        <v>-5</v>
      </c>
      <c r="GM598" s="36"/>
      <c r="GN598" s="45">
        <f>-GN597</f>
        <v>-5</v>
      </c>
      <c r="GO598" s="36"/>
      <c r="GP598" s="45">
        <f>-GP597</f>
        <v>-5</v>
      </c>
      <c r="GQ598" s="36"/>
      <c r="GR598" s="45">
        <f>-GR597</f>
        <v>-5</v>
      </c>
      <c r="GS598" s="36"/>
      <c r="GT598" s="36"/>
      <c r="GU598" s="562"/>
      <c r="GV598" s="562"/>
      <c r="GW598"/>
      <c r="GX598"/>
      <c r="GY598"/>
      <c r="GZ598"/>
      <c r="HA598"/>
      <c r="HB598"/>
      <c r="HC598" s="562"/>
      <c r="HD598" s="562"/>
      <c r="HE598" s="562"/>
      <c r="HF598" s="562"/>
      <c r="HG598" s="562"/>
      <c r="HH598" s="562"/>
      <c r="HI598" s="562"/>
      <c r="HJ598" s="562"/>
      <c r="HK598" s="562"/>
      <c r="HL598" s="562"/>
      <c r="HM598" s="562"/>
      <c r="HN598" s="562"/>
      <c r="HO598" s="562"/>
      <c r="HP598" s="562"/>
      <c r="HQ598" s="562"/>
      <c r="HR598" s="562"/>
      <c r="HS598" s="562"/>
      <c r="HT598" s="562"/>
      <c r="HU598" s="562"/>
      <c r="HV598" s="562"/>
      <c r="HW598" s="562"/>
      <c r="HX598" s="562"/>
      <c r="HY598" s="562"/>
      <c r="HZ598" s="562"/>
      <c r="IA598" s="562"/>
      <c r="IB598" s="562"/>
      <c r="IC598" s="562"/>
      <c r="ID598" s="562"/>
      <c r="IE598" s="562"/>
      <c r="IF598" s="562"/>
      <c r="IG598" s="562"/>
      <c r="IH598" s="562"/>
      <c r="II598" s="562"/>
      <c r="IJ598" s="562"/>
      <c r="IK598" s="562"/>
      <c r="IL598" s="562"/>
      <c r="IM598" s="562"/>
      <c r="IN598" s="562"/>
      <c r="IO598" s="562"/>
      <c r="IP598" s="562"/>
      <c r="IQ598" s="562"/>
      <c r="IR598" s="562"/>
      <c r="IS598" s="562"/>
      <c r="IT598" s="562"/>
      <c r="IU598" s="562"/>
      <c r="IV598" s="562"/>
      <c r="IW598" s="562"/>
      <c r="IX598" s="562"/>
      <c r="IY598" s="562"/>
      <c r="IZ598" s="562"/>
      <c r="JA598" s="562"/>
      <c r="JB598" s="562"/>
      <c r="JC598" s="562"/>
      <c r="JD598" s="562"/>
      <c r="JE598" s="562"/>
      <c r="JF598" s="562"/>
      <c r="JG598" s="562"/>
      <c r="JH598" s="562"/>
      <c r="JI598" s="562"/>
      <c r="JJ598" s="562"/>
      <c r="JK598" s="562"/>
      <c r="JL598" s="562"/>
      <c r="JM598" s="562"/>
      <c r="JN598" s="562"/>
      <c r="JO598" s="562"/>
      <c r="JP598" s="562"/>
      <c r="JQ598" s="562"/>
      <c r="JR598" s="562"/>
      <c r="JS598" s="562"/>
      <c r="JT598" s="562"/>
      <c r="JU598" s="562"/>
      <c r="JV598" s="562"/>
      <c r="JW598" s="562"/>
      <c r="JX598" s="562"/>
      <c r="JY598" s="562"/>
      <c r="JZ598" s="562"/>
    </row>
    <row r="599" spans="1:286" s="13" customFormat="1" ht="12.75" hidden="1" customHeight="1" outlineLevel="1" x14ac:dyDescent="0.2">
      <c r="A599" s="11"/>
      <c r="B599" s="11"/>
      <c r="C599" s="36"/>
      <c r="D599" s="36"/>
      <c r="E599" s="37"/>
      <c r="F599" s="37"/>
      <c r="G599" s="37"/>
      <c r="H599" s="37"/>
      <c r="I599" s="37"/>
      <c r="J599" s="37"/>
      <c r="K599" s="37"/>
      <c r="L599" s="37"/>
      <c r="M599" s="37"/>
      <c r="N599" s="36"/>
      <c r="O599" s="37"/>
      <c r="P599" s="36"/>
      <c r="Q599" s="37"/>
      <c r="R599" s="36"/>
      <c r="S599" s="37"/>
      <c r="T599" s="36"/>
      <c r="U599" s="37"/>
      <c r="V599" s="36"/>
      <c r="W599" s="37"/>
      <c r="X599" s="36"/>
      <c r="Y599" s="37"/>
      <c r="Z599" s="36"/>
      <c r="AA599" s="34"/>
      <c r="AB599" s="36"/>
      <c r="AC599" s="37"/>
      <c r="AD599" s="36"/>
      <c r="AE599" s="38"/>
      <c r="AF599" s="36"/>
      <c r="AG599" s="38"/>
      <c r="AH599" s="36"/>
      <c r="AI599" s="38"/>
      <c r="AJ599" s="36"/>
      <c r="AK599" s="38"/>
      <c r="AL599" s="36"/>
      <c r="AM599" s="38"/>
      <c r="AN599" s="36"/>
      <c r="AO599" s="38"/>
      <c r="AP599" s="36"/>
      <c r="AQ599" s="38"/>
      <c r="AR599" s="36"/>
      <c r="AS599" s="38"/>
      <c r="AT599" s="39"/>
      <c r="AU599" s="38"/>
      <c r="AV599" s="39"/>
      <c r="AW599" s="38"/>
      <c r="AX599" s="39"/>
      <c r="AY599" s="38"/>
      <c r="AZ599" s="39"/>
      <c r="BA599" s="38"/>
      <c r="BB599" s="39"/>
      <c r="BC599" s="38"/>
      <c r="BD599" s="39"/>
      <c r="BE599" s="38"/>
      <c r="BF599" s="39"/>
      <c r="BG599" s="38"/>
      <c r="BH599" s="39"/>
      <c r="BI599" s="38"/>
      <c r="BJ599" s="39"/>
      <c r="BK599" s="38"/>
      <c r="BL599" s="39"/>
      <c r="BM599" s="38"/>
      <c r="BN599" s="39"/>
      <c r="BO599" s="38"/>
      <c r="BP599" s="39"/>
      <c r="BQ599" s="38"/>
      <c r="BR599" s="39"/>
      <c r="BS599" s="38"/>
      <c r="BT599" s="39"/>
      <c r="BU599" s="38"/>
      <c r="BV599" s="39"/>
      <c r="BW599" s="38"/>
      <c r="BX599" s="39"/>
      <c r="BY599" s="38"/>
      <c r="BZ599" s="39"/>
      <c r="CA599" s="38"/>
      <c r="CB599" s="39"/>
      <c r="CC599" s="38"/>
      <c r="CD599" s="39"/>
      <c r="CE599" s="38"/>
      <c r="CF599" s="39"/>
      <c r="CG599" s="38"/>
      <c r="CH599" s="39"/>
      <c r="CI599" s="38"/>
      <c r="CJ599" s="39"/>
      <c r="CK599" s="38"/>
      <c r="CL599" s="39"/>
      <c r="CM599" s="38"/>
      <c r="CN599" s="39"/>
      <c r="CO599" s="38"/>
      <c r="CP599" s="39"/>
      <c r="CQ599" s="38"/>
      <c r="CR599" s="39"/>
      <c r="CS599" s="38"/>
      <c r="CT599" s="39"/>
      <c r="CU599" s="38"/>
      <c r="CV599" s="39"/>
      <c r="CW599" s="38"/>
      <c r="CX599" s="39"/>
      <c r="CY599" s="38"/>
      <c r="CZ599" s="39"/>
      <c r="DA599" s="38"/>
      <c r="DB599" s="39"/>
      <c r="DC599" s="38"/>
      <c r="DD599" s="39"/>
      <c r="DE599" s="38"/>
      <c r="DF599" s="39"/>
      <c r="DG599" s="38"/>
      <c r="DH599" s="39"/>
      <c r="DI599" s="38"/>
      <c r="DJ599" s="39"/>
      <c r="DK599" s="38"/>
      <c r="DL599" s="39"/>
      <c r="DM599" s="38"/>
      <c r="DN599" s="39"/>
      <c r="DO599" s="38"/>
      <c r="DP599" s="39"/>
      <c r="DQ599" s="38"/>
      <c r="DR599" s="39"/>
      <c r="DS599" s="38"/>
      <c r="DT599" s="39"/>
      <c r="DU599" s="38"/>
      <c r="DV599" s="39"/>
      <c r="DW599" s="38"/>
      <c r="DX599" s="39"/>
      <c r="DY599" s="38"/>
      <c r="DZ599" s="39"/>
      <c r="EA599" s="38"/>
      <c r="EB599" s="39"/>
      <c r="EC599" s="38"/>
      <c r="ED599" s="39"/>
      <c r="EE599" s="38"/>
      <c r="EF599" s="39"/>
      <c r="EG599" s="38"/>
      <c r="EH599" s="39"/>
      <c r="EI599" s="38"/>
      <c r="EJ599" s="39"/>
      <c r="EK599" s="38"/>
      <c r="EL599" s="39"/>
      <c r="EM599" s="38"/>
      <c r="EN599" s="39"/>
      <c r="EO599" s="38"/>
      <c r="EP599" s="39"/>
      <c r="EQ599" s="38"/>
      <c r="ER599" s="39"/>
      <c r="ES599" s="38"/>
      <c r="ET599" s="460"/>
      <c r="EU599" s="38"/>
      <c r="EV599" s="37"/>
      <c r="EW599" s="36"/>
      <c r="EX599" s="37"/>
      <c r="EY599" s="36"/>
      <c r="EZ599" s="37"/>
      <c r="FA599" s="36"/>
      <c r="FB599" s="37"/>
      <c r="FC599" s="36"/>
      <c r="FD599" s="37"/>
      <c r="FE599" s="36"/>
      <c r="FF599" s="37"/>
      <c r="FG599" s="36"/>
      <c r="FH599" s="37"/>
      <c r="FI599" s="36"/>
      <c r="FJ599" s="37"/>
      <c r="FK599" s="36"/>
      <c r="FL599" s="38"/>
      <c r="FM599" s="36"/>
      <c r="FN599" s="38"/>
      <c r="FO599" s="36"/>
      <c r="FP599" s="38"/>
      <c r="FQ599" s="36"/>
      <c r="FR599" s="38"/>
      <c r="FS599" s="36"/>
      <c r="FT599" s="38"/>
      <c r="FU599" s="36"/>
      <c r="FV599" s="38"/>
      <c r="FW599" s="36"/>
      <c r="FX599" s="38"/>
      <c r="FY599" s="36"/>
      <c r="FZ599" s="38"/>
      <c r="GA599" s="36"/>
      <c r="GB599" s="38"/>
      <c r="GC599" s="36"/>
      <c r="GD599" s="38"/>
      <c r="GE599" s="36"/>
      <c r="GF599" s="38"/>
      <c r="GG599" s="36"/>
      <c r="GH599" s="38"/>
      <c r="GI599" s="36"/>
      <c r="GJ599" s="38"/>
      <c r="GK599" s="36"/>
      <c r="GL599" s="38"/>
      <c r="GM599" s="36"/>
      <c r="GN599" s="38"/>
      <c r="GO599" s="36"/>
      <c r="GP599" s="38"/>
      <c r="GQ599" s="36"/>
      <c r="GR599" s="38"/>
      <c r="GS599" s="36"/>
      <c r="GT599" s="36"/>
      <c r="GU599" s="562"/>
      <c r="GV599" s="562"/>
      <c r="GW599"/>
      <c r="GX599"/>
      <c r="GY599"/>
      <c r="GZ599"/>
      <c r="HA599"/>
      <c r="HB599"/>
      <c r="HC599" s="562"/>
      <c r="HD599" s="562"/>
      <c r="HE599" s="562"/>
      <c r="HF599" s="562"/>
      <c r="HG599" s="562"/>
      <c r="HH599" s="562"/>
      <c r="HI599" s="562"/>
      <c r="HJ599" s="562"/>
      <c r="HK599" s="562"/>
      <c r="HL599" s="562"/>
      <c r="HM599" s="562"/>
      <c r="HN599" s="562"/>
      <c r="HO599" s="562"/>
      <c r="HP599" s="562"/>
      <c r="HQ599" s="562"/>
      <c r="HR599" s="562"/>
      <c r="HS599" s="562"/>
      <c r="HT599" s="562"/>
      <c r="HU599" s="562"/>
      <c r="HV599" s="562"/>
      <c r="HW599" s="562"/>
      <c r="HX599" s="562"/>
      <c r="HY599" s="562"/>
      <c r="HZ599" s="562"/>
      <c r="IA599" s="562"/>
      <c r="IB599" s="562"/>
      <c r="IC599" s="562"/>
      <c r="ID599" s="562"/>
      <c r="IE599" s="562"/>
      <c r="IF599" s="562"/>
      <c r="IG599" s="562"/>
      <c r="IH599" s="562"/>
      <c r="II599" s="562"/>
      <c r="IJ599" s="562"/>
      <c r="IK599" s="562"/>
      <c r="IL599" s="562"/>
      <c r="IM599" s="562"/>
      <c r="IN599" s="562"/>
      <c r="IO599" s="562"/>
      <c r="IP599" s="562"/>
      <c r="IQ599" s="562"/>
      <c r="IR599" s="562"/>
      <c r="IS599" s="562"/>
      <c r="IT599" s="562"/>
      <c r="IU599" s="562"/>
      <c r="IV599" s="562"/>
      <c r="IW599" s="562"/>
      <c r="IX599" s="562"/>
      <c r="IY599" s="562"/>
      <c r="IZ599" s="562"/>
      <c r="JA599" s="562"/>
      <c r="JB599" s="562"/>
      <c r="JC599" s="562"/>
      <c r="JD599" s="562"/>
      <c r="JE599" s="562"/>
      <c r="JF599" s="562"/>
      <c r="JG599" s="562"/>
      <c r="JH599" s="562"/>
      <c r="JI599" s="562"/>
      <c r="JJ599" s="562"/>
      <c r="JK599" s="562"/>
      <c r="JL599" s="562"/>
      <c r="JM599" s="562"/>
      <c r="JN599" s="562"/>
      <c r="JO599" s="562"/>
      <c r="JP599" s="562"/>
      <c r="JQ599" s="562"/>
      <c r="JR599" s="562"/>
      <c r="JS599" s="562"/>
      <c r="JT599" s="562"/>
      <c r="JU599" s="562"/>
      <c r="JV599" s="562"/>
      <c r="JW599" s="562"/>
      <c r="JX599" s="562"/>
      <c r="JY599" s="562"/>
      <c r="JZ599" s="562"/>
    </row>
    <row r="600" spans="1:286" s="13" customFormat="1" ht="12.75" hidden="1" customHeight="1" outlineLevel="1" x14ac:dyDescent="0.2">
      <c r="A600" s="11"/>
      <c r="B600" s="40" t="s">
        <v>244</v>
      </c>
      <c r="C600" s="36"/>
      <c r="D600" s="36"/>
      <c r="E600" s="37"/>
      <c r="F600" s="37"/>
      <c r="G600" s="37"/>
      <c r="H600" s="37"/>
      <c r="I600" s="37"/>
      <c r="J600" s="37"/>
      <c r="K600" s="37"/>
      <c r="L600" s="37"/>
      <c r="M600" s="37"/>
      <c r="N600" s="36"/>
      <c r="O600" s="37"/>
      <c r="P600" s="36"/>
      <c r="Q600" s="37"/>
      <c r="R600" s="36"/>
      <c r="S600" s="37"/>
      <c r="T600" s="36"/>
      <c r="U600" s="37"/>
      <c r="V600" s="36"/>
      <c r="W600" s="37"/>
      <c r="X600" s="36"/>
      <c r="Y600" s="37"/>
      <c r="Z600" s="36"/>
      <c r="AA600" s="34"/>
      <c r="AB600" s="36"/>
      <c r="AC600" s="37"/>
      <c r="AD600" s="36"/>
      <c r="AE600" s="38"/>
      <c r="AF600" s="36"/>
      <c r="AG600" s="38"/>
      <c r="AH600" s="36"/>
      <c r="AI600" s="38"/>
      <c r="AJ600" s="36"/>
      <c r="AK600" s="38"/>
      <c r="AL600" s="36"/>
      <c r="AM600" s="38"/>
      <c r="AN600" s="36"/>
      <c r="AO600" s="38"/>
      <c r="AP600" s="36"/>
      <c r="AQ600" s="38"/>
      <c r="AR600" s="36"/>
      <c r="AS600" s="38"/>
      <c r="AT600" s="39"/>
      <c r="AU600" s="38"/>
      <c r="AV600" s="39"/>
      <c r="AW600" s="38"/>
      <c r="AX600" s="39"/>
      <c r="AY600" s="38"/>
      <c r="AZ600" s="39"/>
      <c r="BA600" s="38"/>
      <c r="BB600" s="39"/>
      <c r="BC600" s="38"/>
      <c r="BD600" s="39"/>
      <c r="BE600" s="38"/>
      <c r="BF600" s="39"/>
      <c r="BG600" s="38"/>
      <c r="BH600" s="39"/>
      <c r="BI600" s="38"/>
      <c r="BJ600" s="39"/>
      <c r="BK600" s="38"/>
      <c r="BL600" s="39"/>
      <c r="BM600" s="38"/>
      <c r="BN600" s="39"/>
      <c r="BO600" s="38"/>
      <c r="BP600" s="39"/>
      <c r="BQ600" s="38"/>
      <c r="BR600" s="39"/>
      <c r="BS600" s="38"/>
      <c r="BT600" s="39"/>
      <c r="BU600" s="38"/>
      <c r="BV600" s="39"/>
      <c r="BW600" s="38"/>
      <c r="BX600" s="39"/>
      <c r="BY600" s="38"/>
      <c r="BZ600" s="39"/>
      <c r="CA600" s="38"/>
      <c r="CB600" s="39"/>
      <c r="CC600" s="38"/>
      <c r="CD600" s="39"/>
      <c r="CE600" s="38"/>
      <c r="CF600" s="39"/>
      <c r="CG600" s="38"/>
      <c r="CH600" s="39"/>
      <c r="CI600" s="38"/>
      <c r="CJ600" s="39"/>
      <c r="CK600" s="38"/>
      <c r="CL600" s="39"/>
      <c r="CM600" s="38"/>
      <c r="CN600" s="39"/>
      <c r="CO600" s="38"/>
      <c r="CP600" s="39"/>
      <c r="CQ600" s="38"/>
      <c r="CR600" s="39"/>
      <c r="CS600" s="38"/>
      <c r="CT600" s="39"/>
      <c r="CU600" s="38"/>
      <c r="CV600" s="39"/>
      <c r="CW600" s="38"/>
      <c r="CX600" s="39"/>
      <c r="CY600" s="38"/>
      <c r="CZ600" s="39"/>
      <c r="DA600" s="38"/>
      <c r="DB600" s="39"/>
      <c r="DC600" s="38"/>
      <c r="DD600" s="39"/>
      <c r="DE600" s="38"/>
      <c r="DF600" s="39"/>
      <c r="DG600" s="38"/>
      <c r="DH600" s="39"/>
      <c r="DI600" s="38"/>
      <c r="DJ600" s="39"/>
      <c r="DK600" s="38"/>
      <c r="DL600" s="39"/>
      <c r="DM600" s="38"/>
      <c r="DN600" s="39"/>
      <c r="DO600" s="38"/>
      <c r="DP600" s="39"/>
      <c r="DQ600" s="38"/>
      <c r="DR600" s="39"/>
      <c r="DS600" s="38"/>
      <c r="DT600" s="39"/>
      <c r="DU600" s="38"/>
      <c r="DV600" s="39"/>
      <c r="DW600" s="38"/>
      <c r="DX600" s="39"/>
      <c r="DY600" s="38"/>
      <c r="DZ600" s="39"/>
      <c r="EA600" s="38"/>
      <c r="EB600" s="39"/>
      <c r="EC600" s="38"/>
      <c r="ED600" s="39"/>
      <c r="EE600" s="38"/>
      <c r="EF600" s="39"/>
      <c r="EG600" s="38"/>
      <c r="EH600" s="39"/>
      <c r="EI600" s="38"/>
      <c r="EJ600" s="39"/>
      <c r="EK600" s="38"/>
      <c r="EL600" s="39"/>
      <c r="EM600" s="38"/>
      <c r="EN600" s="39"/>
      <c r="EO600" s="38"/>
      <c r="EP600" s="39"/>
      <c r="EQ600" s="38"/>
      <c r="ER600" s="39"/>
      <c r="ES600" s="38"/>
      <c r="ET600" s="460"/>
      <c r="EU600" s="38"/>
      <c r="EV600" s="37"/>
      <c r="EW600" s="36"/>
      <c r="EX600" s="37"/>
      <c r="EY600" s="36"/>
      <c r="EZ600" s="37"/>
      <c r="FA600" s="36"/>
      <c r="FB600" s="37"/>
      <c r="FC600" s="36"/>
      <c r="FD600" s="37"/>
      <c r="FE600" s="36"/>
      <c r="FF600" s="37"/>
      <c r="FG600" s="36"/>
      <c r="FH600" s="37"/>
      <c r="FI600" s="36"/>
      <c r="FJ600" s="37"/>
      <c r="FK600" s="36"/>
      <c r="FL600" s="38"/>
      <c r="FM600" s="36"/>
      <c r="FN600" s="38"/>
      <c r="FO600" s="36"/>
      <c r="FP600" s="38"/>
      <c r="FQ600" s="36"/>
      <c r="FR600" s="38"/>
      <c r="FS600" s="36"/>
      <c r="FT600" s="38"/>
      <c r="FU600" s="36"/>
      <c r="FV600" s="38"/>
      <c r="FW600" s="36"/>
      <c r="FX600" s="38"/>
      <c r="FY600" s="36"/>
      <c r="FZ600" s="38"/>
      <c r="GA600" s="36"/>
      <c r="GB600" s="38"/>
      <c r="GC600" s="36"/>
      <c r="GD600" s="38"/>
      <c r="GE600" s="36"/>
      <c r="GF600" s="38"/>
      <c r="GG600" s="36"/>
      <c r="GH600" s="38"/>
      <c r="GI600" s="36"/>
      <c r="GJ600" s="38"/>
      <c r="GK600" s="36"/>
      <c r="GL600" s="38"/>
      <c r="GM600" s="36"/>
      <c r="GN600" s="38"/>
      <c r="GO600" s="36"/>
      <c r="GP600" s="38"/>
      <c r="GQ600" s="36"/>
      <c r="GR600" s="38"/>
      <c r="GS600" s="36"/>
      <c r="GT600" s="36"/>
      <c r="GU600" s="562"/>
      <c r="GV600" s="562"/>
      <c r="GW600"/>
      <c r="GX600"/>
      <c r="GY600"/>
      <c r="GZ600"/>
      <c r="HA600"/>
      <c r="HB600"/>
      <c r="HC600" s="562"/>
      <c r="HD600" s="562"/>
      <c r="HE600" s="562"/>
      <c r="HF600" s="562"/>
      <c r="HG600" s="562"/>
      <c r="HH600" s="562"/>
      <c r="HI600" s="562"/>
      <c r="HJ600" s="562"/>
      <c r="HK600" s="562"/>
      <c r="HL600" s="562"/>
      <c r="HM600" s="562"/>
      <c r="HN600" s="562"/>
      <c r="HO600" s="562"/>
      <c r="HP600" s="562"/>
      <c r="HQ600" s="562"/>
      <c r="HR600" s="562"/>
      <c r="HS600" s="562"/>
      <c r="HT600" s="562"/>
      <c r="HU600" s="562"/>
      <c r="HV600" s="562"/>
      <c r="HW600" s="562"/>
      <c r="HX600" s="562"/>
      <c r="HY600" s="562"/>
      <c r="HZ600" s="562"/>
      <c r="IA600" s="562"/>
      <c r="IB600" s="562"/>
      <c r="IC600" s="562"/>
      <c r="ID600" s="562"/>
      <c r="IE600" s="562"/>
      <c r="IF600" s="562"/>
      <c r="IG600" s="562"/>
      <c r="IH600" s="562"/>
      <c r="II600" s="562"/>
      <c r="IJ600" s="562"/>
      <c r="IK600" s="562"/>
      <c r="IL600" s="562"/>
      <c r="IM600" s="562"/>
      <c r="IN600" s="562"/>
      <c r="IO600" s="562"/>
      <c r="IP600" s="562"/>
      <c r="IQ600" s="562"/>
      <c r="IR600" s="562"/>
      <c r="IS600" s="562"/>
      <c r="IT600" s="562"/>
      <c r="IU600" s="562"/>
      <c r="IV600" s="562"/>
      <c r="IW600" s="562"/>
      <c r="IX600" s="562"/>
      <c r="IY600" s="562"/>
      <c r="IZ600" s="562"/>
      <c r="JA600" s="562"/>
      <c r="JB600" s="562"/>
      <c r="JC600" s="562"/>
      <c r="JD600" s="562"/>
      <c r="JE600" s="562"/>
      <c r="JF600" s="562"/>
      <c r="JG600" s="562"/>
      <c r="JH600" s="562"/>
      <c r="JI600" s="562"/>
      <c r="JJ600" s="562"/>
      <c r="JK600" s="562"/>
      <c r="JL600" s="562"/>
      <c r="JM600" s="562"/>
      <c r="JN600" s="562"/>
      <c r="JO600" s="562"/>
      <c r="JP600" s="562"/>
      <c r="JQ600" s="562"/>
      <c r="JR600" s="562"/>
      <c r="JS600" s="562"/>
      <c r="JT600" s="562"/>
      <c r="JU600" s="562"/>
      <c r="JV600" s="562"/>
      <c r="JW600" s="562"/>
      <c r="JX600" s="562"/>
      <c r="JY600" s="562"/>
      <c r="JZ600" s="562"/>
    </row>
    <row r="601" spans="1:286" s="13" customFormat="1" ht="12.75" hidden="1" customHeight="1" outlineLevel="1" x14ac:dyDescent="0.2">
      <c r="A601" s="11"/>
      <c r="B601" s="11" t="s">
        <v>470</v>
      </c>
      <c r="C601" s="36"/>
      <c r="D601" s="36"/>
      <c r="E601" s="37"/>
      <c r="F601" s="37"/>
      <c r="G601" s="37"/>
      <c r="H601" s="37"/>
      <c r="I601" s="37"/>
      <c r="J601" s="37"/>
      <c r="K601" s="37"/>
      <c r="L601" s="37"/>
      <c r="M601" s="37"/>
      <c r="N601" s="36"/>
      <c r="O601" s="37"/>
      <c r="P601" s="36"/>
      <c r="Q601" s="37"/>
      <c r="R601" s="36"/>
      <c r="S601" s="37"/>
      <c r="T601" s="36"/>
      <c r="U601" s="37"/>
      <c r="V601" s="36"/>
      <c r="W601" s="37"/>
      <c r="X601" s="36"/>
      <c r="Y601" s="37"/>
      <c r="Z601" s="36"/>
      <c r="AA601" s="34"/>
      <c r="AB601" s="36"/>
      <c r="AC601" s="37"/>
      <c r="AD601" s="36"/>
      <c r="AE601" s="38"/>
      <c r="AF601" s="36"/>
      <c r="AG601" s="38"/>
      <c r="AH601" s="36"/>
      <c r="AI601" s="38"/>
      <c r="AJ601" s="36"/>
      <c r="AK601" s="38"/>
      <c r="AL601" s="36"/>
      <c r="AM601" s="38"/>
      <c r="AN601" s="36"/>
      <c r="AO601" s="38"/>
      <c r="AP601" s="36"/>
      <c r="AQ601" s="38"/>
      <c r="AR601" s="36"/>
      <c r="AS601" s="38"/>
      <c r="AT601" s="39"/>
      <c r="AU601" s="38"/>
      <c r="AV601" s="39"/>
      <c r="AW601" s="38"/>
      <c r="AX601" s="39"/>
      <c r="AY601" s="38"/>
      <c r="AZ601" s="39"/>
      <c r="BA601" s="38"/>
      <c r="BB601" s="39"/>
      <c r="BC601" s="38"/>
      <c r="BD601" s="39"/>
      <c r="BE601" s="38"/>
      <c r="BF601" s="39"/>
      <c r="BG601" s="38"/>
      <c r="BH601" s="39"/>
      <c r="BI601" s="38"/>
      <c r="BJ601" s="39"/>
      <c r="BK601" s="38"/>
      <c r="BL601" s="39"/>
      <c r="BM601" s="38"/>
      <c r="BN601" s="39"/>
      <c r="BO601" s="38"/>
      <c r="BP601" s="39"/>
      <c r="BQ601" s="38"/>
      <c r="BR601" s="39"/>
      <c r="BS601" s="38"/>
      <c r="BT601" s="39"/>
      <c r="BU601" s="38"/>
      <c r="BV601" s="39"/>
      <c r="BW601" s="38"/>
      <c r="BX601" s="39"/>
      <c r="BY601" s="38"/>
      <c r="BZ601" s="39"/>
      <c r="CA601" s="38"/>
      <c r="CB601" s="39"/>
      <c r="CC601" s="38"/>
      <c r="CD601" s="39"/>
      <c r="CE601" s="38"/>
      <c r="CF601" s="39"/>
      <c r="CG601" s="38"/>
      <c r="CH601" s="39"/>
      <c r="CI601" s="38"/>
      <c r="CJ601" s="39"/>
      <c r="CK601" s="38"/>
      <c r="CL601" s="39"/>
      <c r="CM601" s="38"/>
      <c r="CN601" s="39"/>
      <c r="CO601" s="38"/>
      <c r="CP601" s="39"/>
      <c r="CQ601" s="38"/>
      <c r="CR601" s="39"/>
      <c r="CS601" s="38"/>
      <c r="CT601" s="39"/>
      <c r="CU601" s="38"/>
      <c r="CV601" s="39"/>
      <c r="CW601" s="38"/>
      <c r="CX601" s="39"/>
      <c r="CY601" s="38"/>
      <c r="CZ601" s="39"/>
      <c r="DA601" s="38"/>
      <c r="DB601" s="39"/>
      <c r="DC601" s="38"/>
      <c r="DD601" s="39"/>
      <c r="DE601" s="38"/>
      <c r="DF601" s="39"/>
      <c r="DG601" s="38"/>
      <c r="DH601" s="39"/>
      <c r="DI601" s="38"/>
      <c r="DJ601" s="39"/>
      <c r="DK601" s="38"/>
      <c r="DL601" s="39"/>
      <c r="DM601" s="38"/>
      <c r="DN601" s="39"/>
      <c r="DO601" s="38"/>
      <c r="DP601" s="39"/>
      <c r="DQ601" s="38"/>
      <c r="DR601" s="39"/>
      <c r="DS601" s="38"/>
      <c r="DT601" s="39"/>
      <c r="DU601" s="38"/>
      <c r="DV601" s="39"/>
      <c r="DW601" s="38"/>
      <c r="DX601" s="39"/>
      <c r="DY601" s="38"/>
      <c r="DZ601" s="39"/>
      <c r="EA601" s="38">
        <f>EA51</f>
        <v>77.682040885284692</v>
      </c>
      <c r="EB601" s="39"/>
      <c r="EC601" s="38">
        <f>EC51</f>
        <v>76.616579436096572</v>
      </c>
      <c r="ED601" s="39"/>
      <c r="EE601" s="38">
        <f>EE51</f>
        <v>76.493288590604024</v>
      </c>
      <c r="EF601" s="39"/>
      <c r="EG601" s="38">
        <f>EG51</f>
        <v>76.656045614623523</v>
      </c>
      <c r="EH601" s="39"/>
      <c r="EI601" s="38">
        <f>EI51</f>
        <v>76.339285714285722</v>
      </c>
      <c r="EJ601" s="39"/>
      <c r="EK601" s="46">
        <f t="shared" ref="EK601:EQ601" si="2345">EK51</f>
        <v>76.339285714285722</v>
      </c>
      <c r="EL601" s="39"/>
      <c r="EM601" s="46">
        <f t="shared" si="2345"/>
        <v>76.339285714285722</v>
      </c>
      <c r="EN601" s="39"/>
      <c r="EO601" s="46">
        <f t="shared" si="2345"/>
        <v>76.339285714285722</v>
      </c>
      <c r="EP601" s="39"/>
      <c r="EQ601" s="46">
        <f t="shared" si="2345"/>
        <v>76.13928571428572</v>
      </c>
      <c r="ER601" s="39"/>
      <c r="ES601" s="38"/>
      <c r="ET601" s="460"/>
      <c r="EU601" s="38"/>
      <c r="EV601" s="37"/>
      <c r="EW601" s="36"/>
      <c r="EX601" s="37"/>
      <c r="EY601" s="36"/>
      <c r="EZ601" s="37"/>
      <c r="FA601" s="36"/>
      <c r="FB601" s="37"/>
      <c r="FC601" s="36"/>
      <c r="FD601" s="37"/>
      <c r="FE601" s="36"/>
      <c r="FF601" s="37"/>
      <c r="FG601" s="36"/>
      <c r="FH601" s="37"/>
      <c r="FI601" s="36"/>
      <c r="FJ601" s="37"/>
      <c r="FK601" s="36"/>
      <c r="FL601" s="38"/>
      <c r="FM601" s="36"/>
      <c r="FN601" s="38"/>
      <c r="FO601" s="36"/>
      <c r="FP601" s="38"/>
      <c r="FQ601" s="36"/>
      <c r="FR601" s="47"/>
      <c r="FS601" s="36"/>
      <c r="FT601" s="47"/>
      <c r="FU601" s="36"/>
      <c r="FV601" s="47"/>
      <c r="FW601" s="36"/>
      <c r="FX601" s="47"/>
      <c r="FY601" s="36"/>
      <c r="FZ601" s="47"/>
      <c r="GA601" s="36"/>
      <c r="GB601" s="47"/>
      <c r="GC601" s="36"/>
      <c r="GD601" s="47"/>
      <c r="GE601" s="36"/>
      <c r="GF601" s="47"/>
      <c r="GG601" s="36"/>
      <c r="GH601" s="47"/>
      <c r="GI601" s="36"/>
      <c r="GJ601" s="47"/>
      <c r="GK601" s="36"/>
      <c r="GL601" s="46">
        <f>GL51</f>
        <v>76.289370329337501</v>
      </c>
      <c r="GM601" s="36"/>
      <c r="GN601" s="46">
        <f>GN51</f>
        <v>76.289370329337501</v>
      </c>
      <c r="GO601" s="36"/>
      <c r="GP601" s="46">
        <f>GP51</f>
        <v>76.289370329337501</v>
      </c>
      <c r="GQ601" s="36"/>
      <c r="GR601" s="46">
        <f>GR51</f>
        <v>76.289370329337501</v>
      </c>
      <c r="GS601" s="36"/>
      <c r="GT601" s="36"/>
      <c r="GU601" s="562"/>
      <c r="GV601" s="562"/>
      <c r="GW601"/>
      <c r="GX601"/>
      <c r="GY601"/>
      <c r="GZ601"/>
      <c r="HA601"/>
      <c r="HB601"/>
      <c r="HC601" s="562"/>
      <c r="HD601" s="562"/>
      <c r="HE601" s="562"/>
      <c r="HF601" s="562"/>
      <c r="HG601" s="562"/>
      <c r="HH601" s="562"/>
      <c r="HI601" s="562"/>
      <c r="HJ601" s="562"/>
      <c r="HK601" s="562"/>
      <c r="HL601" s="562"/>
      <c r="HM601" s="562"/>
      <c r="HN601" s="562"/>
      <c r="HO601" s="562"/>
      <c r="HP601" s="562"/>
      <c r="HQ601" s="562"/>
      <c r="HR601" s="562"/>
      <c r="HS601" s="562"/>
      <c r="HT601" s="562"/>
      <c r="HU601" s="562"/>
      <c r="HV601" s="562"/>
      <c r="HW601" s="562"/>
      <c r="HX601" s="562"/>
      <c r="HY601" s="562"/>
      <c r="HZ601" s="562"/>
      <c r="IA601" s="562"/>
      <c r="IB601" s="562"/>
      <c r="IC601" s="562"/>
      <c r="ID601" s="562"/>
      <c r="IE601" s="562"/>
      <c r="IF601" s="562"/>
      <c r="IG601" s="562"/>
      <c r="IH601" s="562"/>
      <c r="II601" s="562"/>
      <c r="IJ601" s="562"/>
      <c r="IK601" s="562"/>
      <c r="IL601" s="562"/>
      <c r="IM601" s="562"/>
      <c r="IN601" s="562"/>
      <c r="IO601" s="562"/>
      <c r="IP601" s="562"/>
      <c r="IQ601" s="562"/>
      <c r="IR601" s="562"/>
      <c r="IS601" s="562"/>
      <c r="IT601" s="562"/>
      <c r="IU601" s="562"/>
      <c r="IV601" s="562"/>
      <c r="IW601" s="562"/>
      <c r="IX601" s="562"/>
      <c r="IY601" s="562"/>
      <c r="IZ601" s="562"/>
      <c r="JA601" s="562"/>
      <c r="JB601" s="562"/>
      <c r="JC601" s="562"/>
      <c r="JD601" s="562"/>
      <c r="JE601" s="562"/>
      <c r="JF601" s="562"/>
      <c r="JG601" s="562"/>
      <c r="JH601" s="562"/>
      <c r="JI601" s="562"/>
      <c r="JJ601" s="562"/>
      <c r="JK601" s="562"/>
      <c r="JL601" s="562"/>
      <c r="JM601" s="562"/>
      <c r="JN601" s="562"/>
      <c r="JO601" s="562"/>
      <c r="JP601" s="562"/>
      <c r="JQ601" s="562"/>
      <c r="JR601" s="562"/>
      <c r="JS601" s="562"/>
      <c r="JT601" s="562"/>
      <c r="JU601" s="562"/>
      <c r="JV601" s="562"/>
      <c r="JW601" s="562"/>
      <c r="JX601" s="562"/>
      <c r="JY601" s="562"/>
      <c r="JZ601" s="562"/>
    </row>
    <row r="602" spans="1:286" s="13" customFormat="1" ht="12.75" hidden="1" customHeight="1" outlineLevel="1" x14ac:dyDescent="0.2">
      <c r="A602" s="11"/>
      <c r="B602" s="11" t="s">
        <v>273</v>
      </c>
      <c r="C602" s="36"/>
      <c r="D602" s="36"/>
      <c r="E602" s="37"/>
      <c r="F602" s="37"/>
      <c r="G602" s="37"/>
      <c r="H602" s="37"/>
      <c r="I602" s="37"/>
      <c r="J602" s="37"/>
      <c r="K602" s="37"/>
      <c r="L602" s="37"/>
      <c r="M602" s="37"/>
      <c r="N602" s="36"/>
      <c r="O602" s="37"/>
      <c r="P602" s="36"/>
      <c r="Q602" s="37"/>
      <c r="R602" s="36"/>
      <c r="S602" s="37"/>
      <c r="T602" s="36"/>
      <c r="U602" s="37"/>
      <c r="V602" s="36"/>
      <c r="W602" s="37"/>
      <c r="X602" s="36"/>
      <c r="Y602" s="37"/>
      <c r="Z602" s="36"/>
      <c r="AA602" s="34"/>
      <c r="AB602" s="36"/>
      <c r="AC602" s="37"/>
      <c r="AD602" s="36"/>
      <c r="AE602" s="38"/>
      <c r="AF602" s="36"/>
      <c r="AG602" s="38"/>
      <c r="AH602" s="36"/>
      <c r="AI602" s="38"/>
      <c r="AJ602" s="36"/>
      <c r="AK602" s="38"/>
      <c r="AL602" s="36"/>
      <c r="AM602" s="38"/>
      <c r="AN602" s="36"/>
      <c r="AO602" s="38"/>
      <c r="AP602" s="36"/>
      <c r="AQ602" s="38"/>
      <c r="AR602" s="36"/>
      <c r="AS602" s="38"/>
      <c r="AT602" s="39"/>
      <c r="AU602" s="38"/>
      <c r="AV602" s="39"/>
      <c r="AW602" s="38"/>
      <c r="AX602" s="39"/>
      <c r="AY602" s="38"/>
      <c r="AZ602" s="39"/>
      <c r="BA602" s="38"/>
      <c r="BB602" s="39"/>
      <c r="BC602" s="38"/>
      <c r="BD602" s="39"/>
      <c r="BE602" s="38"/>
      <c r="BF602" s="39"/>
      <c r="BG602" s="38"/>
      <c r="BH602" s="39"/>
      <c r="BI602" s="38"/>
      <c r="BJ602" s="39"/>
      <c r="BK602" s="38"/>
      <c r="BL602" s="39"/>
      <c r="BM602" s="38"/>
      <c r="BN602" s="39"/>
      <c r="BO602" s="38"/>
      <c r="BP602" s="39"/>
      <c r="BQ602" s="38"/>
      <c r="BR602" s="39"/>
      <c r="BS602" s="38"/>
      <c r="BT602" s="39"/>
      <c r="BU602" s="38"/>
      <c r="BV602" s="39"/>
      <c r="BW602" s="38"/>
      <c r="BX602" s="39"/>
      <c r="BY602" s="38"/>
      <c r="BZ602" s="39"/>
      <c r="CA602" s="38"/>
      <c r="CB602" s="39"/>
      <c r="CC602" s="38"/>
      <c r="CD602" s="39"/>
      <c r="CE602" s="38"/>
      <c r="CF602" s="39"/>
      <c r="CG602" s="38"/>
      <c r="CH602" s="39"/>
      <c r="CI602" s="38"/>
      <c r="CJ602" s="39"/>
      <c r="CK602" s="38"/>
      <c r="CL602" s="39"/>
      <c r="CM602" s="38"/>
      <c r="CN602" s="39"/>
      <c r="CO602" s="38"/>
      <c r="CP602" s="39"/>
      <c r="CQ602" s="38"/>
      <c r="CR602" s="39"/>
      <c r="CS602" s="38"/>
      <c r="CT602" s="39"/>
      <c r="CU602" s="38"/>
      <c r="CV602" s="39"/>
      <c r="CW602" s="38"/>
      <c r="CX602" s="39"/>
      <c r="CY602" s="38"/>
      <c r="CZ602" s="39"/>
      <c r="DA602" s="38"/>
      <c r="DB602" s="39"/>
      <c r="DC602" s="38"/>
      <c r="DD602" s="39"/>
      <c r="DE602" s="38"/>
      <c r="DF602" s="39"/>
      <c r="DG602" s="38"/>
      <c r="DH602" s="39"/>
      <c r="DI602" s="38"/>
      <c r="DJ602" s="39"/>
      <c r="DK602" s="38"/>
      <c r="DL602" s="39"/>
      <c r="DM602" s="38"/>
      <c r="DN602" s="39"/>
      <c r="DO602" s="38"/>
      <c r="DP602" s="39"/>
      <c r="DQ602" s="38"/>
      <c r="DR602" s="39"/>
      <c r="DS602" s="38"/>
      <c r="DT602" s="39"/>
      <c r="DU602" s="38"/>
      <c r="DV602" s="39"/>
      <c r="DW602" s="38"/>
      <c r="DX602" s="39"/>
      <c r="DY602" s="38"/>
      <c r="DZ602" s="39"/>
      <c r="EA602" s="38">
        <v>-1</v>
      </c>
      <c r="EB602" s="39"/>
      <c r="EC602" s="38">
        <v>-1</v>
      </c>
      <c r="ED602" s="39"/>
      <c r="EE602" s="38">
        <v>-1</v>
      </c>
      <c r="EF602" s="39"/>
      <c r="EG602" s="38">
        <v>-1</v>
      </c>
      <c r="EH602" s="39"/>
      <c r="EI602" s="38">
        <v>-1</v>
      </c>
      <c r="EJ602" s="39"/>
      <c r="EK602" s="43">
        <v>-1</v>
      </c>
      <c r="EL602" s="39"/>
      <c r="EM602" s="43">
        <v>-1</v>
      </c>
      <c r="EN602" s="39"/>
      <c r="EO602" s="43">
        <v>-1</v>
      </c>
      <c r="EP602" s="39"/>
      <c r="EQ602" s="43">
        <v>-1</v>
      </c>
      <c r="ER602" s="39"/>
      <c r="ES602" s="48"/>
      <c r="ET602" s="463"/>
      <c r="EU602" s="48"/>
      <c r="EV602" s="49"/>
      <c r="EW602" s="50"/>
      <c r="EX602" s="49"/>
      <c r="EY602" s="50"/>
      <c r="EZ602" s="49"/>
      <c r="FA602" s="50"/>
      <c r="FB602" s="49"/>
      <c r="FC602" s="50"/>
      <c r="FD602" s="49"/>
      <c r="FE602" s="50"/>
      <c r="FF602" s="49"/>
      <c r="FG602" s="50"/>
      <c r="FH602" s="49"/>
      <c r="FI602" s="50"/>
      <c r="FJ602" s="49"/>
      <c r="FK602" s="50"/>
      <c r="FL602" s="48"/>
      <c r="FM602" s="50"/>
      <c r="FN602" s="48"/>
      <c r="FO602" s="50"/>
      <c r="FP602" s="48"/>
      <c r="FQ602" s="50"/>
      <c r="FR602" s="44"/>
      <c r="FS602" s="50"/>
      <c r="FT602" s="44"/>
      <c r="FU602" s="50"/>
      <c r="FV602" s="44"/>
      <c r="FW602" s="50"/>
      <c r="FX602" s="44"/>
      <c r="FY602" s="50"/>
      <c r="FZ602" s="44"/>
      <c r="GA602" s="50"/>
      <c r="GB602" s="44"/>
      <c r="GC602" s="50"/>
      <c r="GD602" s="44"/>
      <c r="GE602" s="50"/>
      <c r="GF602" s="44"/>
      <c r="GG602" s="50"/>
      <c r="GH602" s="44"/>
      <c r="GI602" s="50"/>
      <c r="GJ602" s="44"/>
      <c r="GK602" s="50"/>
      <c r="GL602" s="43">
        <v>-1</v>
      </c>
      <c r="GM602" s="50"/>
      <c r="GN602" s="43">
        <v>-1</v>
      </c>
      <c r="GO602" s="50"/>
      <c r="GP602" s="43">
        <v>-1</v>
      </c>
      <c r="GQ602" s="50"/>
      <c r="GR602" s="43">
        <v>-1</v>
      </c>
      <c r="GS602" s="50"/>
      <c r="GT602" s="36"/>
      <c r="GU602" s="562"/>
      <c r="GV602" s="562"/>
      <c r="GW602"/>
      <c r="GX602"/>
      <c r="GY602"/>
      <c r="GZ602"/>
      <c r="HA602"/>
      <c r="HB602"/>
      <c r="HC602" s="562"/>
      <c r="HD602" s="562"/>
      <c r="HE602" s="562"/>
      <c r="HF602" s="562"/>
      <c r="HG602" s="562"/>
      <c r="HH602" s="562"/>
      <c r="HI602" s="562"/>
      <c r="HJ602" s="562"/>
      <c r="HK602" s="562"/>
      <c r="HL602" s="562"/>
      <c r="HM602" s="562"/>
      <c r="HN602" s="562"/>
      <c r="HO602" s="562"/>
      <c r="HP602" s="562"/>
      <c r="HQ602" s="562"/>
      <c r="HR602" s="562"/>
      <c r="HS602" s="562"/>
      <c r="HT602" s="562"/>
      <c r="HU602" s="562"/>
      <c r="HV602" s="562"/>
      <c r="HW602" s="562"/>
      <c r="HX602" s="562"/>
      <c r="HY602" s="562"/>
      <c r="HZ602" s="562"/>
      <c r="IA602" s="562"/>
      <c r="IB602" s="562"/>
      <c r="IC602" s="562"/>
      <c r="ID602" s="562"/>
      <c r="IE602" s="562"/>
      <c r="IF602" s="562"/>
      <c r="IG602" s="562"/>
      <c r="IH602" s="562"/>
      <c r="II602" s="562"/>
      <c r="IJ602" s="562"/>
      <c r="IK602" s="562"/>
      <c r="IL602" s="562"/>
      <c r="IM602" s="562"/>
      <c r="IN602" s="562"/>
      <c r="IO602" s="562"/>
      <c r="IP602" s="562"/>
      <c r="IQ602" s="562"/>
      <c r="IR602" s="562"/>
      <c r="IS602" s="562"/>
      <c r="IT602" s="562"/>
      <c r="IU602" s="562"/>
      <c r="IV602" s="562"/>
      <c r="IW602" s="562"/>
      <c r="IX602" s="562"/>
      <c r="IY602" s="562"/>
      <c r="IZ602" s="562"/>
      <c r="JA602" s="562"/>
      <c r="JB602" s="562"/>
      <c r="JC602" s="562"/>
      <c r="JD602" s="562"/>
      <c r="JE602" s="562"/>
      <c r="JF602" s="562"/>
      <c r="JG602" s="562"/>
      <c r="JH602" s="562"/>
      <c r="JI602" s="562"/>
      <c r="JJ602" s="562"/>
      <c r="JK602" s="562"/>
      <c r="JL602" s="562"/>
      <c r="JM602" s="562"/>
      <c r="JN602" s="562"/>
      <c r="JO602" s="562"/>
      <c r="JP602" s="562"/>
      <c r="JQ602" s="562"/>
      <c r="JR602" s="562"/>
      <c r="JS602" s="562"/>
      <c r="JT602" s="562"/>
      <c r="JU602" s="562"/>
      <c r="JV602" s="562"/>
      <c r="JW602" s="562"/>
      <c r="JX602" s="562"/>
      <c r="JY602" s="562"/>
      <c r="JZ602" s="562"/>
    </row>
    <row r="603" spans="1:286" s="13" customFormat="1" ht="12.75" hidden="1" customHeight="1" outlineLevel="1" x14ac:dyDescent="0.2">
      <c r="A603" s="11"/>
      <c r="B603" s="11" t="s">
        <v>274</v>
      </c>
      <c r="C603" s="36"/>
      <c r="D603" s="36"/>
      <c r="E603" s="37"/>
      <c r="F603" s="37"/>
      <c r="G603" s="37"/>
      <c r="H603" s="37"/>
      <c r="I603" s="37"/>
      <c r="J603" s="37"/>
      <c r="K603" s="37"/>
      <c r="L603" s="37"/>
      <c r="M603" s="37"/>
      <c r="N603" s="36"/>
      <c r="O603" s="37"/>
      <c r="P603" s="36"/>
      <c r="Q603" s="37"/>
      <c r="R603" s="36"/>
      <c r="S603" s="37"/>
      <c r="T603" s="36"/>
      <c r="U603" s="37"/>
      <c r="V603" s="36"/>
      <c r="W603" s="37"/>
      <c r="X603" s="36"/>
      <c r="Y603" s="37"/>
      <c r="Z603" s="36"/>
      <c r="AA603" s="34"/>
      <c r="AB603" s="36"/>
      <c r="AC603" s="37"/>
      <c r="AD603" s="36"/>
      <c r="AE603" s="38"/>
      <c r="AF603" s="36"/>
      <c r="AG603" s="38"/>
      <c r="AH603" s="36"/>
      <c r="AI603" s="38"/>
      <c r="AJ603" s="36"/>
      <c r="AK603" s="38"/>
      <c r="AL603" s="36"/>
      <c r="AM603" s="38"/>
      <c r="AN603" s="36"/>
      <c r="AO603" s="38"/>
      <c r="AP603" s="36"/>
      <c r="AQ603" s="38"/>
      <c r="AR603" s="36"/>
      <c r="AS603" s="38"/>
      <c r="AT603" s="39"/>
      <c r="AU603" s="38"/>
      <c r="AV603" s="39"/>
      <c r="AW603" s="38"/>
      <c r="AX603" s="39"/>
      <c r="AY603" s="38"/>
      <c r="AZ603" s="39"/>
      <c r="BA603" s="38"/>
      <c r="BB603" s="39"/>
      <c r="BC603" s="38"/>
      <c r="BD603" s="39"/>
      <c r="BE603" s="38"/>
      <c r="BF603" s="39"/>
      <c r="BG603" s="38"/>
      <c r="BH603" s="39"/>
      <c r="BI603" s="38"/>
      <c r="BJ603" s="39"/>
      <c r="BK603" s="38"/>
      <c r="BL603" s="39"/>
      <c r="BM603" s="38"/>
      <c r="BN603" s="39"/>
      <c r="BO603" s="38"/>
      <c r="BP603" s="39"/>
      <c r="BQ603" s="38"/>
      <c r="BR603" s="39"/>
      <c r="BS603" s="38"/>
      <c r="BT603" s="39"/>
      <c r="BU603" s="38"/>
      <c r="BV603" s="39"/>
      <c r="BW603" s="38"/>
      <c r="BX603" s="39"/>
      <c r="BY603" s="38"/>
      <c r="BZ603" s="39"/>
      <c r="CA603" s="38"/>
      <c r="CB603" s="39"/>
      <c r="CC603" s="38"/>
      <c r="CD603" s="39"/>
      <c r="CE603" s="38"/>
      <c r="CF603" s="39"/>
      <c r="CG603" s="38"/>
      <c r="CH603" s="39"/>
      <c r="CI603" s="38"/>
      <c r="CJ603" s="39"/>
      <c r="CK603" s="38"/>
      <c r="CL603" s="39"/>
      <c r="CM603" s="38"/>
      <c r="CN603" s="39"/>
      <c r="CO603" s="38"/>
      <c r="CP603" s="39"/>
      <c r="CQ603" s="38"/>
      <c r="CR603" s="39"/>
      <c r="CS603" s="38"/>
      <c r="CT603" s="39"/>
      <c r="CU603" s="38"/>
      <c r="CV603" s="39"/>
      <c r="CW603" s="38"/>
      <c r="CX603" s="39"/>
      <c r="CY603" s="38"/>
      <c r="CZ603" s="39"/>
      <c r="DA603" s="38"/>
      <c r="DB603" s="39"/>
      <c r="DC603" s="38"/>
      <c r="DD603" s="39"/>
      <c r="DE603" s="38"/>
      <c r="DF603" s="39"/>
      <c r="DG603" s="38"/>
      <c r="DH603" s="39"/>
      <c r="DI603" s="38"/>
      <c r="DJ603" s="39"/>
      <c r="DK603" s="38"/>
      <c r="DL603" s="39"/>
      <c r="DM603" s="38"/>
      <c r="DN603" s="39"/>
      <c r="DO603" s="38"/>
      <c r="DP603" s="39"/>
      <c r="DQ603" s="38"/>
      <c r="DR603" s="39"/>
      <c r="DS603" s="38"/>
      <c r="DT603" s="39"/>
      <c r="DU603" s="38"/>
      <c r="DV603" s="39"/>
      <c r="DW603" s="38"/>
      <c r="DX603" s="39"/>
      <c r="DY603" s="38"/>
      <c r="DZ603" s="39"/>
      <c r="EA603" s="38">
        <v>2</v>
      </c>
      <c r="EB603" s="39"/>
      <c r="EC603" s="38">
        <v>2</v>
      </c>
      <c r="ED603" s="39"/>
      <c r="EE603" s="38">
        <v>2</v>
      </c>
      <c r="EF603" s="39"/>
      <c r="EG603" s="38">
        <v>2</v>
      </c>
      <c r="EH603" s="39"/>
      <c r="EI603" s="38">
        <v>2</v>
      </c>
      <c r="EJ603" s="39"/>
      <c r="EK603" s="45">
        <v>2</v>
      </c>
      <c r="EL603" s="39"/>
      <c r="EM603" s="45">
        <v>2</v>
      </c>
      <c r="EN603" s="39"/>
      <c r="EO603" s="45">
        <v>2</v>
      </c>
      <c r="EP603" s="39"/>
      <c r="EQ603" s="45">
        <v>2</v>
      </c>
      <c r="ER603" s="39"/>
      <c r="ES603" s="48"/>
      <c r="ET603" s="463"/>
      <c r="EU603" s="48"/>
      <c r="EV603" s="49"/>
      <c r="EW603" s="50"/>
      <c r="EX603" s="49"/>
      <c r="EY603" s="50"/>
      <c r="EZ603" s="49"/>
      <c r="FA603" s="50"/>
      <c r="FB603" s="49"/>
      <c r="FC603" s="50"/>
      <c r="FD603" s="49"/>
      <c r="FE603" s="50"/>
      <c r="FF603" s="49"/>
      <c r="FG603" s="50"/>
      <c r="FH603" s="49"/>
      <c r="FI603" s="50"/>
      <c r="FJ603" s="49"/>
      <c r="FK603" s="50"/>
      <c r="FL603" s="48"/>
      <c r="FM603" s="50"/>
      <c r="FN603" s="48"/>
      <c r="FO603" s="50"/>
      <c r="FP603" s="48"/>
      <c r="FQ603" s="50"/>
      <c r="FR603" s="44"/>
      <c r="FS603" s="50"/>
      <c r="FT603" s="44"/>
      <c r="FU603" s="50"/>
      <c r="FV603" s="44"/>
      <c r="FW603" s="50"/>
      <c r="FX603" s="44"/>
      <c r="FY603" s="50"/>
      <c r="FZ603" s="44"/>
      <c r="GA603" s="50"/>
      <c r="GB603" s="44"/>
      <c r="GC603" s="50"/>
      <c r="GD603" s="44"/>
      <c r="GE603" s="50"/>
      <c r="GF603" s="44"/>
      <c r="GG603" s="50"/>
      <c r="GH603" s="44"/>
      <c r="GI603" s="50"/>
      <c r="GJ603" s="44"/>
      <c r="GK603" s="50"/>
      <c r="GL603" s="45">
        <v>2</v>
      </c>
      <c r="GM603" s="50"/>
      <c r="GN603" s="45">
        <v>2</v>
      </c>
      <c r="GO603" s="50"/>
      <c r="GP603" s="45">
        <v>2</v>
      </c>
      <c r="GQ603" s="50"/>
      <c r="GR603" s="45">
        <v>2</v>
      </c>
      <c r="GS603" s="50"/>
      <c r="GT603" s="36"/>
      <c r="GU603" s="562"/>
      <c r="GV603" s="562"/>
      <c r="GW603"/>
      <c r="GX603"/>
      <c r="GY603"/>
      <c r="GZ603"/>
      <c r="HA603"/>
      <c r="HB603"/>
      <c r="HC603" s="562"/>
      <c r="HD603" s="562"/>
      <c r="HE603" s="562"/>
      <c r="HF603" s="562"/>
      <c r="HG603" s="562"/>
      <c r="HH603" s="562"/>
      <c r="HI603" s="562"/>
      <c r="HJ603" s="562"/>
      <c r="HK603" s="562"/>
      <c r="HL603" s="562"/>
      <c r="HM603" s="562"/>
      <c r="HN603" s="562"/>
      <c r="HO603" s="562"/>
      <c r="HP603" s="562"/>
      <c r="HQ603" s="562"/>
      <c r="HR603" s="562"/>
      <c r="HS603" s="562"/>
      <c r="HT603" s="562"/>
      <c r="HU603" s="562"/>
      <c r="HV603" s="562"/>
      <c r="HW603" s="562"/>
      <c r="HX603" s="562"/>
      <c r="HY603" s="562"/>
      <c r="HZ603" s="562"/>
      <c r="IA603" s="562"/>
      <c r="IB603" s="562"/>
      <c r="IC603" s="562"/>
      <c r="ID603" s="562"/>
      <c r="IE603" s="562"/>
      <c r="IF603" s="562"/>
      <c r="IG603" s="562"/>
      <c r="IH603" s="562"/>
      <c r="II603" s="562"/>
      <c r="IJ603" s="562"/>
      <c r="IK603" s="562"/>
      <c r="IL603" s="562"/>
      <c r="IM603" s="562"/>
      <c r="IN603" s="562"/>
      <c r="IO603" s="562"/>
      <c r="IP603" s="562"/>
      <c r="IQ603" s="562"/>
      <c r="IR603" s="562"/>
      <c r="IS603" s="562"/>
      <c r="IT603" s="562"/>
      <c r="IU603" s="562"/>
      <c r="IV603" s="562"/>
      <c r="IW603" s="562"/>
      <c r="IX603" s="562"/>
      <c r="IY603" s="562"/>
      <c r="IZ603" s="562"/>
      <c r="JA603" s="562"/>
      <c r="JB603" s="562"/>
      <c r="JC603" s="562"/>
      <c r="JD603" s="562"/>
      <c r="JE603" s="562"/>
      <c r="JF603" s="562"/>
      <c r="JG603" s="562"/>
      <c r="JH603" s="562"/>
      <c r="JI603" s="562"/>
      <c r="JJ603" s="562"/>
      <c r="JK603" s="562"/>
      <c r="JL603" s="562"/>
      <c r="JM603" s="562"/>
      <c r="JN603" s="562"/>
      <c r="JO603" s="562"/>
      <c r="JP603" s="562"/>
      <c r="JQ603" s="562"/>
      <c r="JR603" s="562"/>
      <c r="JS603" s="562"/>
      <c r="JT603" s="562"/>
      <c r="JU603" s="562"/>
      <c r="JV603" s="562"/>
      <c r="JW603" s="562"/>
      <c r="JX603" s="562"/>
      <c r="JY603" s="562"/>
      <c r="JZ603" s="562"/>
    </row>
    <row r="604" spans="1:286" s="13" customFormat="1" ht="12.75" hidden="1" customHeight="1" outlineLevel="1" x14ac:dyDescent="0.2">
      <c r="A604" s="11"/>
      <c r="B604" s="11"/>
      <c r="C604" s="36"/>
      <c r="D604" s="36"/>
      <c r="E604" s="37"/>
      <c r="F604" s="37"/>
      <c r="G604" s="37"/>
      <c r="H604" s="37"/>
      <c r="I604" s="37"/>
      <c r="J604" s="37"/>
      <c r="K604" s="37"/>
      <c r="L604" s="37"/>
      <c r="M604" s="37"/>
      <c r="N604" s="36"/>
      <c r="O604" s="37"/>
      <c r="P604" s="36"/>
      <c r="Q604" s="37"/>
      <c r="R604" s="36"/>
      <c r="S604" s="37"/>
      <c r="T604" s="36"/>
      <c r="U604" s="37"/>
      <c r="V604" s="36"/>
      <c r="W604" s="37"/>
      <c r="X604" s="36"/>
      <c r="Y604" s="37"/>
      <c r="Z604" s="36"/>
      <c r="AA604" s="34"/>
      <c r="AB604" s="36"/>
      <c r="AC604" s="37"/>
      <c r="AD604" s="36"/>
      <c r="AE604" s="38"/>
      <c r="AF604" s="36"/>
      <c r="AG604" s="38"/>
      <c r="AH604" s="36"/>
      <c r="AI604" s="38"/>
      <c r="AJ604" s="36"/>
      <c r="AK604" s="38"/>
      <c r="AL604" s="36"/>
      <c r="AM604" s="38"/>
      <c r="AN604" s="36"/>
      <c r="AO604" s="38"/>
      <c r="AP604" s="36"/>
      <c r="AQ604" s="38"/>
      <c r="AR604" s="36"/>
      <c r="AS604" s="38"/>
      <c r="AT604" s="39"/>
      <c r="AU604" s="38"/>
      <c r="AV604" s="39"/>
      <c r="AW604" s="38"/>
      <c r="AX604" s="39"/>
      <c r="AY604" s="38"/>
      <c r="AZ604" s="39"/>
      <c r="BA604" s="38"/>
      <c r="BB604" s="39"/>
      <c r="BC604" s="38"/>
      <c r="BD604" s="39"/>
      <c r="BE604" s="38"/>
      <c r="BF604" s="39"/>
      <c r="BG604" s="38"/>
      <c r="BH604" s="39"/>
      <c r="BI604" s="38"/>
      <c r="BJ604" s="39"/>
      <c r="BK604" s="38"/>
      <c r="BL604" s="39"/>
      <c r="BM604" s="38"/>
      <c r="BN604" s="39"/>
      <c r="BO604" s="38"/>
      <c r="BP604" s="39"/>
      <c r="BQ604" s="38"/>
      <c r="BR604" s="39"/>
      <c r="BS604" s="38"/>
      <c r="BT604" s="39"/>
      <c r="BU604" s="38"/>
      <c r="BV604" s="39"/>
      <c r="BW604" s="38"/>
      <c r="BX604" s="39"/>
      <c r="BY604" s="38"/>
      <c r="BZ604" s="39"/>
      <c r="CA604" s="38"/>
      <c r="CB604" s="39"/>
      <c r="CC604" s="38"/>
      <c r="CD604" s="39"/>
      <c r="CE604" s="38"/>
      <c r="CF604" s="39"/>
      <c r="CG604" s="38"/>
      <c r="CH604" s="39"/>
      <c r="CI604" s="38"/>
      <c r="CJ604" s="39"/>
      <c r="CK604" s="38"/>
      <c r="CL604" s="39"/>
      <c r="CM604" s="38"/>
      <c r="CN604" s="39"/>
      <c r="CO604" s="38"/>
      <c r="CP604" s="39"/>
      <c r="CQ604" s="38"/>
      <c r="CR604" s="39"/>
      <c r="CS604" s="38"/>
      <c r="CT604" s="39"/>
      <c r="CU604" s="38"/>
      <c r="CV604" s="39"/>
      <c r="CW604" s="38"/>
      <c r="CX604" s="39"/>
      <c r="CY604" s="38"/>
      <c r="CZ604" s="39"/>
      <c r="DA604" s="38"/>
      <c r="DB604" s="39"/>
      <c r="DC604" s="38"/>
      <c r="DD604" s="39"/>
      <c r="DE604" s="38"/>
      <c r="DF604" s="39"/>
      <c r="DG604" s="38"/>
      <c r="DH604" s="39"/>
      <c r="DI604" s="38"/>
      <c r="DJ604" s="39"/>
      <c r="DK604" s="38"/>
      <c r="DL604" s="39"/>
      <c r="DM604" s="38"/>
      <c r="DN604" s="39"/>
      <c r="DO604" s="38"/>
      <c r="DP604" s="39"/>
      <c r="DQ604" s="38"/>
      <c r="DR604" s="39"/>
      <c r="DS604" s="38"/>
      <c r="DT604" s="39"/>
      <c r="DU604" s="38"/>
      <c r="DV604" s="39"/>
      <c r="DW604" s="38"/>
      <c r="DX604" s="39"/>
      <c r="DY604" s="38"/>
      <c r="DZ604" s="39"/>
      <c r="EA604" s="38"/>
      <c r="EB604" s="39"/>
      <c r="EC604" s="38"/>
      <c r="ED604" s="39"/>
      <c r="EE604" s="38"/>
      <c r="EF604" s="39"/>
      <c r="EG604" s="38"/>
      <c r="EH604" s="39"/>
      <c r="EI604" s="38"/>
      <c r="EJ604" s="39"/>
      <c r="EK604" s="38"/>
      <c r="EL604" s="39"/>
      <c r="EM604" s="38"/>
      <c r="EN604" s="39"/>
      <c r="EO604" s="38"/>
      <c r="EP604" s="39"/>
      <c r="EQ604" s="38"/>
      <c r="ER604" s="39"/>
      <c r="ES604" s="38"/>
      <c r="ET604" s="460"/>
      <c r="EU604" s="38"/>
      <c r="EV604" s="37"/>
      <c r="EW604" s="36"/>
      <c r="EX604" s="37"/>
      <c r="EY604" s="36"/>
      <c r="EZ604" s="37"/>
      <c r="FA604" s="36"/>
      <c r="FB604" s="37"/>
      <c r="FC604" s="36"/>
      <c r="FD604" s="37"/>
      <c r="FE604" s="36"/>
      <c r="FF604" s="37"/>
      <c r="FG604" s="36"/>
      <c r="FH604" s="37"/>
      <c r="FI604" s="36"/>
      <c r="FJ604" s="37"/>
      <c r="FK604" s="36"/>
      <c r="FL604" s="38"/>
      <c r="FM604" s="36"/>
      <c r="FN604" s="38"/>
      <c r="FO604" s="36"/>
      <c r="FP604" s="38"/>
      <c r="FQ604" s="36"/>
      <c r="FR604" s="38"/>
      <c r="FS604" s="36"/>
      <c r="FT604" s="38"/>
      <c r="FU604" s="36"/>
      <c r="FV604" s="38"/>
      <c r="FW604" s="36"/>
      <c r="FX604" s="38"/>
      <c r="FY604" s="36"/>
      <c r="FZ604" s="38"/>
      <c r="GA604" s="36"/>
      <c r="GB604" s="38"/>
      <c r="GC604" s="36"/>
      <c r="GD604" s="38"/>
      <c r="GE604" s="36"/>
      <c r="GF604" s="38"/>
      <c r="GG604" s="36"/>
      <c r="GH604" s="38"/>
      <c r="GI604" s="36"/>
      <c r="GJ604" s="38"/>
      <c r="GK604" s="36"/>
      <c r="GL604" s="38"/>
      <c r="GM604" s="36"/>
      <c r="GN604" s="38"/>
      <c r="GO604" s="36"/>
      <c r="GP604" s="38"/>
      <c r="GQ604" s="36"/>
      <c r="GR604" s="38"/>
      <c r="GS604" s="36"/>
      <c r="GT604" s="36"/>
      <c r="GU604" s="562"/>
      <c r="GV604" s="562"/>
      <c r="GW604"/>
      <c r="GX604"/>
      <c r="GY604"/>
      <c r="GZ604"/>
      <c r="HA604"/>
      <c r="HB604"/>
      <c r="HC604" s="562"/>
      <c r="HD604" s="562"/>
      <c r="HE604" s="562"/>
      <c r="HF604" s="562"/>
      <c r="HG604" s="562"/>
      <c r="HH604" s="562"/>
      <c r="HI604" s="562"/>
      <c r="HJ604" s="562"/>
      <c r="HK604" s="562"/>
      <c r="HL604" s="562"/>
      <c r="HM604" s="562"/>
      <c r="HN604" s="562"/>
      <c r="HO604" s="562"/>
      <c r="HP604" s="562"/>
      <c r="HQ604" s="562"/>
      <c r="HR604" s="562"/>
      <c r="HS604" s="562"/>
      <c r="HT604" s="562"/>
      <c r="HU604" s="562"/>
      <c r="HV604" s="562"/>
      <c r="HW604" s="562"/>
      <c r="HX604" s="562"/>
      <c r="HY604" s="562"/>
      <c r="HZ604" s="562"/>
      <c r="IA604" s="562"/>
      <c r="IB604" s="562"/>
      <c r="IC604" s="562"/>
      <c r="ID604" s="562"/>
      <c r="IE604" s="562"/>
      <c r="IF604" s="562"/>
      <c r="IG604" s="562"/>
      <c r="IH604" s="562"/>
      <c r="II604" s="562"/>
      <c r="IJ604" s="562"/>
      <c r="IK604" s="562"/>
      <c r="IL604" s="562"/>
      <c r="IM604" s="562"/>
      <c r="IN604" s="562"/>
      <c r="IO604" s="562"/>
      <c r="IP604" s="562"/>
      <c r="IQ604" s="562"/>
      <c r="IR604" s="562"/>
      <c r="IS604" s="562"/>
      <c r="IT604" s="562"/>
      <c r="IU604" s="562"/>
      <c r="IV604" s="562"/>
      <c r="IW604" s="562"/>
      <c r="IX604" s="562"/>
      <c r="IY604" s="562"/>
      <c r="IZ604" s="562"/>
      <c r="JA604" s="562"/>
      <c r="JB604" s="562"/>
      <c r="JC604" s="562"/>
      <c r="JD604" s="562"/>
      <c r="JE604" s="562"/>
      <c r="JF604" s="562"/>
      <c r="JG604" s="562"/>
      <c r="JH604" s="562"/>
      <c r="JI604" s="562"/>
      <c r="JJ604" s="562"/>
      <c r="JK604" s="562"/>
      <c r="JL604" s="562"/>
      <c r="JM604" s="562"/>
      <c r="JN604" s="562"/>
      <c r="JO604" s="562"/>
      <c r="JP604" s="562"/>
      <c r="JQ604" s="562"/>
      <c r="JR604" s="562"/>
      <c r="JS604" s="562"/>
      <c r="JT604" s="562"/>
      <c r="JU604" s="562"/>
      <c r="JV604" s="562"/>
      <c r="JW604" s="562"/>
      <c r="JX604" s="562"/>
      <c r="JY604" s="562"/>
      <c r="JZ604" s="562"/>
    </row>
    <row r="605" spans="1:286" s="13" customFormat="1" ht="12.75" hidden="1" customHeight="1" outlineLevel="1" x14ac:dyDescent="0.2">
      <c r="A605" s="11"/>
      <c r="B605" s="40" t="s">
        <v>331</v>
      </c>
      <c r="C605" s="36"/>
      <c r="D605" s="36"/>
      <c r="E605" s="37"/>
      <c r="F605" s="37"/>
      <c r="G605" s="37"/>
      <c r="H605" s="37"/>
      <c r="I605" s="37"/>
      <c r="J605" s="37"/>
      <c r="K605" s="37"/>
      <c r="L605" s="37"/>
      <c r="M605" s="37"/>
      <c r="N605" s="36"/>
      <c r="O605" s="37"/>
      <c r="P605" s="36"/>
      <c r="Q605" s="37"/>
      <c r="R605" s="36"/>
      <c r="S605" s="37"/>
      <c r="T605" s="36"/>
      <c r="U605" s="37"/>
      <c r="V605" s="36"/>
      <c r="W605" s="37"/>
      <c r="X605" s="36"/>
      <c r="Y605" s="37"/>
      <c r="Z605" s="36"/>
      <c r="AA605" s="34"/>
      <c r="AB605" s="36"/>
      <c r="AC605" s="37"/>
      <c r="AD605" s="36"/>
      <c r="AE605" s="38"/>
      <c r="AF605" s="36"/>
      <c r="AG605" s="38"/>
      <c r="AH605" s="36"/>
      <c r="AI605" s="38"/>
      <c r="AJ605" s="36"/>
      <c r="AK605" s="38"/>
      <c r="AL605" s="36"/>
      <c r="AM605" s="38"/>
      <c r="AN605" s="36"/>
      <c r="AO605" s="38"/>
      <c r="AP605" s="36"/>
      <c r="AQ605" s="38"/>
      <c r="AR605" s="36"/>
      <c r="AS605" s="38"/>
      <c r="AT605" s="39"/>
      <c r="AU605" s="38"/>
      <c r="AV605" s="39"/>
      <c r="AW605" s="38"/>
      <c r="AX605" s="39"/>
      <c r="AY605" s="38"/>
      <c r="AZ605" s="39"/>
      <c r="BA605" s="38"/>
      <c r="BB605" s="39"/>
      <c r="BC605" s="38"/>
      <c r="BD605" s="39"/>
      <c r="BE605" s="38"/>
      <c r="BF605" s="39"/>
      <c r="BG605" s="38"/>
      <c r="BH605" s="39"/>
      <c r="BI605" s="38"/>
      <c r="BJ605" s="39"/>
      <c r="BK605" s="38"/>
      <c r="BL605" s="39"/>
      <c r="BM605" s="38"/>
      <c r="BN605" s="39"/>
      <c r="BO605" s="38"/>
      <c r="BP605" s="39"/>
      <c r="BQ605" s="38"/>
      <c r="BR605" s="39"/>
      <c r="BS605" s="38"/>
      <c r="BT605" s="39"/>
      <c r="BU605" s="38"/>
      <c r="BV605" s="39"/>
      <c r="BW605" s="38"/>
      <c r="BX605" s="39"/>
      <c r="BY605" s="38"/>
      <c r="BZ605" s="39"/>
      <c r="CA605" s="38"/>
      <c r="CB605" s="39"/>
      <c r="CC605" s="38"/>
      <c r="CD605" s="39"/>
      <c r="CE605" s="38"/>
      <c r="CF605" s="39"/>
      <c r="CG605" s="38"/>
      <c r="CH605" s="39"/>
      <c r="CI605" s="38"/>
      <c r="CJ605" s="39"/>
      <c r="CK605" s="38"/>
      <c r="CL605" s="39"/>
      <c r="CM605" s="38"/>
      <c r="CN605" s="39"/>
      <c r="CO605" s="38"/>
      <c r="CP605" s="39"/>
      <c r="CQ605" s="38"/>
      <c r="CR605" s="39"/>
      <c r="CS605" s="38"/>
      <c r="CT605" s="39"/>
      <c r="CU605" s="38"/>
      <c r="CV605" s="39"/>
      <c r="CW605" s="38"/>
      <c r="CX605" s="39"/>
      <c r="CY605" s="38"/>
      <c r="CZ605" s="39"/>
      <c r="DA605" s="38"/>
      <c r="DB605" s="39"/>
      <c r="DC605" s="38"/>
      <c r="DD605" s="39"/>
      <c r="DE605" s="38"/>
      <c r="DF605" s="39"/>
      <c r="DG605" s="38"/>
      <c r="DH605" s="39"/>
      <c r="DI605" s="38"/>
      <c r="DJ605" s="39"/>
      <c r="DK605" s="38"/>
      <c r="DL605" s="39"/>
      <c r="DM605" s="38"/>
      <c r="DN605" s="39"/>
      <c r="DO605" s="38"/>
      <c r="DP605" s="39"/>
      <c r="DQ605" s="38"/>
      <c r="DR605" s="39"/>
      <c r="DS605" s="38"/>
      <c r="DT605" s="39"/>
      <c r="DU605" s="38"/>
      <c r="DV605" s="39"/>
      <c r="DW605" s="38"/>
      <c r="DX605" s="39"/>
      <c r="DY605" s="38"/>
      <c r="DZ605" s="39"/>
      <c r="EA605" s="38"/>
      <c r="EB605" s="39"/>
      <c r="EC605" s="38"/>
      <c r="ED605" s="39"/>
      <c r="EE605" s="38"/>
      <c r="EF605" s="39"/>
      <c r="EG605" s="38"/>
      <c r="EH605" s="39"/>
      <c r="EI605" s="38"/>
      <c r="EJ605" s="39"/>
      <c r="EK605" s="38"/>
      <c r="EL605" s="39"/>
      <c r="EM605" s="38"/>
      <c r="EN605" s="39"/>
      <c r="EO605" s="38"/>
      <c r="EP605" s="39"/>
      <c r="EQ605" s="38"/>
      <c r="ER605" s="39"/>
      <c r="ES605" s="38"/>
      <c r="ET605" s="460"/>
      <c r="EU605" s="38"/>
      <c r="EV605" s="37"/>
      <c r="EW605" s="36"/>
      <c r="EX605" s="37"/>
      <c r="EY605" s="36"/>
      <c r="EZ605" s="37"/>
      <c r="FA605" s="36"/>
      <c r="FB605" s="37"/>
      <c r="FC605" s="36"/>
      <c r="FD605" s="37"/>
      <c r="FE605" s="36"/>
      <c r="FF605" s="37"/>
      <c r="FG605" s="36"/>
      <c r="FH605" s="37"/>
      <c r="FI605" s="36"/>
      <c r="FJ605" s="37"/>
      <c r="FK605" s="36"/>
      <c r="FL605" s="38"/>
      <c r="FM605" s="36"/>
      <c r="FN605" s="38"/>
      <c r="FO605" s="36"/>
      <c r="FP605" s="38"/>
      <c r="FQ605" s="36"/>
      <c r="FR605" s="38"/>
      <c r="FS605" s="36"/>
      <c r="FT605" s="38"/>
      <c r="FU605" s="36"/>
      <c r="FV605" s="38"/>
      <c r="FW605" s="36"/>
      <c r="FX605" s="38"/>
      <c r="FY605" s="36"/>
      <c r="FZ605" s="38"/>
      <c r="GA605" s="36"/>
      <c r="GB605" s="38"/>
      <c r="GC605" s="36"/>
      <c r="GD605" s="38"/>
      <c r="GE605" s="36"/>
      <c r="GF605" s="38"/>
      <c r="GG605" s="36"/>
      <c r="GH605" s="38"/>
      <c r="GI605" s="36"/>
      <c r="GJ605" s="38"/>
      <c r="GK605" s="36"/>
      <c r="GL605" s="38"/>
      <c r="GM605" s="36"/>
      <c r="GN605" s="38"/>
      <c r="GO605" s="36"/>
      <c r="GP605" s="38"/>
      <c r="GQ605" s="36"/>
      <c r="GR605" s="38"/>
      <c r="GS605" s="36"/>
      <c r="GT605" s="36"/>
      <c r="GU605" s="562"/>
      <c r="GV605" s="562"/>
      <c r="GW605"/>
      <c r="GX605"/>
      <c r="GY605"/>
      <c r="GZ605"/>
      <c r="HA605"/>
      <c r="HB605"/>
      <c r="HC605" s="562"/>
      <c r="HD605" s="562"/>
      <c r="HE605" s="562"/>
      <c r="HF605" s="562"/>
      <c r="HG605" s="562"/>
      <c r="HH605" s="562"/>
      <c r="HI605" s="562"/>
      <c r="HJ605" s="562"/>
      <c r="HK605" s="562"/>
      <c r="HL605" s="562"/>
      <c r="HM605" s="562"/>
      <c r="HN605" s="562"/>
      <c r="HO605" s="562"/>
      <c r="HP605" s="562"/>
      <c r="HQ605" s="562"/>
      <c r="HR605" s="562"/>
      <c r="HS605" s="562"/>
      <c r="HT605" s="562"/>
      <c r="HU605" s="562"/>
      <c r="HV605" s="562"/>
      <c r="HW605" s="562"/>
      <c r="HX605" s="562"/>
      <c r="HY605" s="562"/>
      <c r="HZ605" s="562"/>
      <c r="IA605" s="562"/>
      <c r="IB605" s="562"/>
      <c r="IC605" s="562"/>
      <c r="ID605" s="562"/>
      <c r="IE605" s="562"/>
      <c r="IF605" s="562"/>
      <c r="IG605" s="562"/>
      <c r="IH605" s="562"/>
      <c r="II605" s="562"/>
      <c r="IJ605" s="562"/>
      <c r="IK605" s="562"/>
      <c r="IL605" s="562"/>
      <c r="IM605" s="562"/>
      <c r="IN605" s="562"/>
      <c r="IO605" s="562"/>
      <c r="IP605" s="562"/>
      <c r="IQ605" s="562"/>
      <c r="IR605" s="562"/>
      <c r="IS605" s="562"/>
      <c r="IT605" s="562"/>
      <c r="IU605" s="562"/>
      <c r="IV605" s="562"/>
      <c r="IW605" s="562"/>
      <c r="IX605" s="562"/>
      <c r="IY605" s="562"/>
      <c r="IZ605" s="562"/>
      <c r="JA605" s="562"/>
      <c r="JB605" s="562"/>
      <c r="JC605" s="562"/>
      <c r="JD605" s="562"/>
      <c r="JE605" s="562"/>
      <c r="JF605" s="562"/>
      <c r="JG605" s="562"/>
      <c r="JH605" s="562"/>
      <c r="JI605" s="562"/>
      <c r="JJ605" s="562"/>
      <c r="JK605" s="562"/>
      <c r="JL605" s="562"/>
      <c r="JM605" s="562"/>
      <c r="JN605" s="562"/>
      <c r="JO605" s="562"/>
      <c r="JP605" s="562"/>
      <c r="JQ605" s="562"/>
      <c r="JR605" s="562"/>
      <c r="JS605" s="562"/>
      <c r="JT605" s="562"/>
      <c r="JU605" s="562"/>
      <c r="JV605" s="562"/>
      <c r="JW605" s="562"/>
      <c r="JX605" s="562"/>
      <c r="JY605" s="562"/>
      <c r="JZ605" s="562"/>
    </row>
    <row r="606" spans="1:286" s="13" customFormat="1" ht="12.75" hidden="1" customHeight="1" outlineLevel="1" x14ac:dyDescent="0.2">
      <c r="A606" s="11"/>
      <c r="B606" s="40" t="s">
        <v>244</v>
      </c>
      <c r="C606" s="36"/>
      <c r="D606" s="36"/>
      <c r="E606" s="37"/>
      <c r="F606" s="37"/>
      <c r="G606" s="37"/>
      <c r="H606" s="37"/>
      <c r="I606" s="37"/>
      <c r="J606" s="37"/>
      <c r="K606" s="37"/>
      <c r="L606" s="37"/>
      <c r="M606" s="37"/>
      <c r="N606" s="36"/>
      <c r="O606" s="37"/>
      <c r="P606" s="36"/>
      <c r="Q606" s="37"/>
      <c r="R606" s="36"/>
      <c r="S606" s="37"/>
      <c r="T606" s="36"/>
      <c r="U606" s="37"/>
      <c r="V606" s="36"/>
      <c r="W606" s="37"/>
      <c r="X606" s="36"/>
      <c r="Y606" s="37"/>
      <c r="Z606" s="36"/>
      <c r="AA606" s="34"/>
      <c r="AB606" s="36"/>
      <c r="AC606" s="37"/>
      <c r="AD606" s="36"/>
      <c r="AE606" s="38"/>
      <c r="AF606" s="36"/>
      <c r="AG606" s="38"/>
      <c r="AH606" s="36"/>
      <c r="AI606" s="38"/>
      <c r="AJ606" s="36"/>
      <c r="AK606" s="38"/>
      <c r="AL606" s="36"/>
      <c r="AM606" s="38"/>
      <c r="AN606" s="36"/>
      <c r="AO606" s="38"/>
      <c r="AP606" s="36"/>
      <c r="AQ606" s="38"/>
      <c r="AR606" s="36"/>
      <c r="AS606" s="38"/>
      <c r="AT606" s="39"/>
      <c r="AU606" s="38"/>
      <c r="AV606" s="39"/>
      <c r="AW606" s="38"/>
      <c r="AX606" s="39"/>
      <c r="AY606" s="38"/>
      <c r="AZ606" s="39"/>
      <c r="BA606" s="38"/>
      <c r="BB606" s="39"/>
      <c r="BC606" s="38"/>
      <c r="BD606" s="39"/>
      <c r="BE606" s="38"/>
      <c r="BF606" s="39"/>
      <c r="BG606" s="38"/>
      <c r="BH606" s="39"/>
      <c r="BI606" s="38"/>
      <c r="BJ606" s="39"/>
      <c r="BK606" s="38"/>
      <c r="BL606" s="39"/>
      <c r="BM606" s="38"/>
      <c r="BN606" s="39"/>
      <c r="BO606" s="38"/>
      <c r="BP606" s="39"/>
      <c r="BQ606" s="38"/>
      <c r="BR606" s="39"/>
      <c r="BS606" s="38"/>
      <c r="BT606" s="39"/>
      <c r="BU606" s="38"/>
      <c r="BV606" s="39"/>
      <c r="BW606" s="38"/>
      <c r="BX606" s="39"/>
      <c r="BY606" s="38"/>
      <c r="BZ606" s="39"/>
      <c r="CA606" s="38"/>
      <c r="CB606" s="39"/>
      <c r="CC606" s="38"/>
      <c r="CD606" s="39"/>
      <c r="CE606" s="38"/>
      <c r="CF606" s="39"/>
      <c r="CG606" s="38"/>
      <c r="CH606" s="39"/>
      <c r="CI606" s="38"/>
      <c r="CJ606" s="39"/>
      <c r="CK606" s="38"/>
      <c r="CL606" s="39"/>
      <c r="CM606" s="38"/>
      <c r="CN606" s="39"/>
      <c r="CO606" s="38"/>
      <c r="CP606" s="39"/>
      <c r="CQ606" s="38"/>
      <c r="CR606" s="39"/>
      <c r="CS606" s="38"/>
      <c r="CT606" s="39"/>
      <c r="CU606" s="38"/>
      <c r="CV606" s="39"/>
      <c r="CW606" s="38"/>
      <c r="CX606" s="39"/>
      <c r="CY606" s="38"/>
      <c r="CZ606" s="39"/>
      <c r="DA606" s="38"/>
      <c r="DB606" s="39"/>
      <c r="DC606" s="38"/>
      <c r="DD606" s="39"/>
      <c r="DE606" s="38"/>
      <c r="DF606" s="39"/>
      <c r="DG606" s="38"/>
      <c r="DH606" s="39"/>
      <c r="DI606" s="38"/>
      <c r="DJ606" s="39"/>
      <c r="DK606" s="38"/>
      <c r="DL606" s="39"/>
      <c r="DM606" s="38"/>
      <c r="DN606" s="39"/>
      <c r="DO606" s="38"/>
      <c r="DP606" s="39"/>
      <c r="DQ606" s="38"/>
      <c r="DR606" s="39"/>
      <c r="DS606" s="38"/>
      <c r="DT606" s="39"/>
      <c r="DU606" s="38"/>
      <c r="DV606" s="39"/>
      <c r="DW606" s="38"/>
      <c r="DX606" s="39"/>
      <c r="DY606" s="38"/>
      <c r="DZ606" s="39"/>
      <c r="EA606" s="38"/>
      <c r="EB606" s="39"/>
      <c r="EC606" s="38"/>
      <c r="ED606" s="39"/>
      <c r="EE606" s="38"/>
      <c r="EF606" s="39"/>
      <c r="EG606" s="38"/>
      <c r="EH606" s="39"/>
      <c r="EI606" s="38"/>
      <c r="EJ606" s="39"/>
      <c r="EK606" s="38"/>
      <c r="EL606" s="39"/>
      <c r="EM606" s="38"/>
      <c r="EN606" s="39"/>
      <c r="EO606" s="38"/>
      <c r="EP606" s="39"/>
      <c r="EQ606" s="38"/>
      <c r="ER606" s="39"/>
      <c r="ES606" s="38"/>
      <c r="ET606" s="460"/>
      <c r="EU606" s="38"/>
      <c r="EV606" s="37"/>
      <c r="EW606" s="36"/>
      <c r="EX606" s="37"/>
      <c r="EY606" s="36"/>
      <c r="EZ606" s="37"/>
      <c r="FA606" s="36"/>
      <c r="FB606" s="37"/>
      <c r="FC606" s="36"/>
      <c r="FD606" s="37"/>
      <c r="FE606" s="36"/>
      <c r="FF606" s="37"/>
      <c r="FG606" s="36"/>
      <c r="FH606" s="37"/>
      <c r="FI606" s="36"/>
      <c r="FJ606" s="37"/>
      <c r="FK606" s="36"/>
      <c r="FL606" s="38"/>
      <c r="FM606" s="36"/>
      <c r="FN606" s="38"/>
      <c r="FO606" s="36"/>
      <c r="FP606" s="38"/>
      <c r="FQ606" s="36"/>
      <c r="FR606" s="38"/>
      <c r="FS606" s="36"/>
      <c r="FT606" s="38"/>
      <c r="FU606" s="36"/>
      <c r="FV606" s="38"/>
      <c r="FW606" s="36"/>
      <c r="FX606" s="38"/>
      <c r="FY606" s="36"/>
      <c r="FZ606" s="38"/>
      <c r="GA606" s="36"/>
      <c r="GB606" s="38"/>
      <c r="GC606" s="36"/>
      <c r="GD606" s="38"/>
      <c r="GE606" s="36"/>
      <c r="GF606" s="38"/>
      <c r="GG606" s="36"/>
      <c r="GH606" s="38"/>
      <c r="GI606" s="36"/>
      <c r="GJ606" s="38"/>
      <c r="GK606" s="36"/>
      <c r="GL606" s="38"/>
      <c r="GM606" s="36"/>
      <c r="GN606" s="38"/>
      <c r="GO606" s="36"/>
      <c r="GP606" s="38"/>
      <c r="GQ606" s="36"/>
      <c r="GR606" s="38"/>
      <c r="GS606" s="36"/>
      <c r="GT606" s="36"/>
      <c r="GU606" s="562"/>
      <c r="GV606" s="562"/>
      <c r="GW606"/>
      <c r="GX606"/>
      <c r="GY606"/>
      <c r="GZ606"/>
      <c r="HA606"/>
      <c r="HB606"/>
      <c r="HC606" s="562"/>
      <c r="HD606" s="562"/>
      <c r="HE606" s="562"/>
      <c r="HF606" s="562"/>
      <c r="HG606" s="562"/>
      <c r="HH606" s="562"/>
      <c r="HI606" s="562"/>
      <c r="HJ606" s="562"/>
      <c r="HK606" s="562"/>
      <c r="HL606" s="562"/>
      <c r="HM606" s="562"/>
      <c r="HN606" s="562"/>
      <c r="HO606" s="562"/>
      <c r="HP606" s="562"/>
      <c r="HQ606" s="562"/>
      <c r="HR606" s="562"/>
      <c r="HS606" s="562"/>
      <c r="HT606" s="562"/>
      <c r="HU606" s="562"/>
      <c r="HV606" s="562"/>
      <c r="HW606" s="562"/>
      <c r="HX606" s="562"/>
      <c r="HY606" s="562"/>
      <c r="HZ606" s="562"/>
      <c r="IA606" s="562"/>
      <c r="IB606" s="562"/>
      <c r="IC606" s="562"/>
      <c r="ID606" s="562"/>
      <c r="IE606" s="562"/>
      <c r="IF606" s="562"/>
      <c r="IG606" s="562"/>
      <c r="IH606" s="562"/>
      <c r="II606" s="562"/>
      <c r="IJ606" s="562"/>
      <c r="IK606" s="562"/>
      <c r="IL606" s="562"/>
      <c r="IM606" s="562"/>
      <c r="IN606" s="562"/>
      <c r="IO606" s="562"/>
      <c r="IP606" s="562"/>
      <c r="IQ606" s="562"/>
      <c r="IR606" s="562"/>
      <c r="IS606" s="562"/>
      <c r="IT606" s="562"/>
      <c r="IU606" s="562"/>
      <c r="IV606" s="562"/>
      <c r="IW606" s="562"/>
      <c r="IX606" s="562"/>
      <c r="IY606" s="562"/>
      <c r="IZ606" s="562"/>
      <c r="JA606" s="562"/>
      <c r="JB606" s="562"/>
      <c r="JC606" s="562"/>
      <c r="JD606" s="562"/>
      <c r="JE606" s="562"/>
      <c r="JF606" s="562"/>
      <c r="JG606" s="562"/>
      <c r="JH606" s="562"/>
      <c r="JI606" s="562"/>
      <c r="JJ606" s="562"/>
      <c r="JK606" s="562"/>
      <c r="JL606" s="562"/>
      <c r="JM606" s="562"/>
      <c r="JN606" s="562"/>
      <c r="JO606" s="562"/>
      <c r="JP606" s="562"/>
      <c r="JQ606" s="562"/>
      <c r="JR606" s="562"/>
      <c r="JS606" s="562"/>
      <c r="JT606" s="562"/>
      <c r="JU606" s="562"/>
      <c r="JV606" s="562"/>
      <c r="JW606" s="562"/>
      <c r="JX606" s="562"/>
      <c r="JY606" s="562"/>
      <c r="JZ606" s="562"/>
    </row>
    <row r="607" spans="1:286" s="13" customFormat="1" ht="12.75" hidden="1" customHeight="1" outlineLevel="1" x14ac:dyDescent="0.2">
      <c r="A607" s="11"/>
      <c r="B607" s="11" t="s">
        <v>470</v>
      </c>
      <c r="C607" s="36"/>
      <c r="D607" s="36"/>
      <c r="E607" s="37"/>
      <c r="F607" s="37"/>
      <c r="G607" s="37"/>
      <c r="H607" s="37"/>
      <c r="I607" s="37"/>
      <c r="J607" s="37"/>
      <c r="K607" s="37"/>
      <c r="L607" s="37"/>
      <c r="M607" s="37"/>
      <c r="N607" s="36"/>
      <c r="O607" s="37"/>
      <c r="P607" s="36"/>
      <c r="Q607" s="37"/>
      <c r="R607" s="36"/>
      <c r="S607" s="37"/>
      <c r="T607" s="36"/>
      <c r="U607" s="37"/>
      <c r="V607" s="36"/>
      <c r="W607" s="37"/>
      <c r="X607" s="36"/>
      <c r="Y607" s="37"/>
      <c r="Z607" s="36"/>
      <c r="AA607" s="34"/>
      <c r="AB607" s="36"/>
      <c r="AC607" s="37"/>
      <c r="AD607" s="36"/>
      <c r="AE607" s="38"/>
      <c r="AF607" s="36"/>
      <c r="AG607" s="38"/>
      <c r="AH607" s="36"/>
      <c r="AI607" s="38"/>
      <c r="AJ607" s="36"/>
      <c r="AK607" s="38"/>
      <c r="AL607" s="36"/>
      <c r="AM607" s="38"/>
      <c r="AN607" s="36"/>
      <c r="AO607" s="38"/>
      <c r="AP607" s="36"/>
      <c r="AQ607" s="38"/>
      <c r="AR607" s="36"/>
      <c r="AS607" s="38"/>
      <c r="AT607" s="39"/>
      <c r="AU607" s="38"/>
      <c r="AV607" s="39"/>
      <c r="AW607" s="38"/>
      <c r="AX607" s="39"/>
      <c r="AY607" s="38"/>
      <c r="AZ607" s="39"/>
      <c r="BA607" s="38"/>
      <c r="BB607" s="39"/>
      <c r="BC607" s="38"/>
      <c r="BD607" s="39"/>
      <c r="BE607" s="38"/>
      <c r="BF607" s="39"/>
      <c r="BG607" s="38"/>
      <c r="BH607" s="39"/>
      <c r="BI607" s="38"/>
      <c r="BJ607" s="39"/>
      <c r="BK607" s="38"/>
      <c r="BL607" s="39"/>
      <c r="BM607" s="38"/>
      <c r="BN607" s="39"/>
      <c r="BO607" s="38"/>
      <c r="BP607" s="39"/>
      <c r="BQ607" s="38"/>
      <c r="BR607" s="39"/>
      <c r="BS607" s="38"/>
      <c r="BT607" s="39"/>
      <c r="BU607" s="38"/>
      <c r="BV607" s="39"/>
      <c r="BW607" s="38"/>
      <c r="BX607" s="39"/>
      <c r="BY607" s="38"/>
      <c r="BZ607" s="39"/>
      <c r="CA607" s="38"/>
      <c r="CB607" s="39"/>
      <c r="CC607" s="38"/>
      <c r="CD607" s="39"/>
      <c r="CE607" s="38"/>
      <c r="CF607" s="39"/>
      <c r="CG607" s="38"/>
      <c r="CH607" s="39"/>
      <c r="CI607" s="38"/>
      <c r="CJ607" s="39"/>
      <c r="CK607" s="38"/>
      <c r="CL607" s="39"/>
      <c r="CM607" s="38"/>
      <c r="CN607" s="39"/>
      <c r="CO607" s="38"/>
      <c r="CP607" s="39"/>
      <c r="CQ607" s="38"/>
      <c r="CR607" s="39"/>
      <c r="CS607" s="38"/>
      <c r="CT607" s="39"/>
      <c r="CU607" s="38"/>
      <c r="CV607" s="39"/>
      <c r="CW607" s="38"/>
      <c r="CX607" s="39"/>
      <c r="CY607" s="38"/>
      <c r="CZ607" s="39"/>
      <c r="DA607" s="38"/>
      <c r="DB607" s="39"/>
      <c r="DC607" s="38"/>
      <c r="DD607" s="39"/>
      <c r="DE607" s="38"/>
      <c r="DF607" s="39"/>
      <c r="DG607" s="38"/>
      <c r="DH607" s="39"/>
      <c r="DI607" s="38"/>
      <c r="DJ607" s="39"/>
      <c r="DK607" s="38"/>
      <c r="DL607" s="39"/>
      <c r="DM607" s="38"/>
      <c r="DN607" s="39"/>
      <c r="DO607" s="38"/>
      <c r="DP607" s="39"/>
      <c r="DQ607" s="38"/>
      <c r="DR607" s="39"/>
      <c r="DS607" s="38"/>
      <c r="DT607" s="39"/>
      <c r="DU607" s="38"/>
      <c r="DV607" s="39"/>
      <c r="DW607" s="38"/>
      <c r="DX607" s="39"/>
      <c r="DY607" s="38"/>
      <c r="DZ607" s="39"/>
      <c r="EA607" s="38">
        <f>EA87</f>
        <v>71.472314365909682</v>
      </c>
      <c r="EB607" s="39"/>
      <c r="EC607" s="38">
        <f>EC87</f>
        <v>71.884272997032639</v>
      </c>
      <c r="ED607" s="39"/>
      <c r="EE607" s="38">
        <f>EE87</f>
        <v>70.59410883674488</v>
      </c>
      <c r="EF607" s="39"/>
      <c r="EG607" s="38">
        <f>EG87</f>
        <v>71.365422396856587</v>
      </c>
      <c r="EH607" s="39"/>
      <c r="EI607" s="38">
        <f>EI87</f>
        <v>75.893743793445879</v>
      </c>
      <c r="EJ607" s="39"/>
      <c r="EK607" s="46">
        <f t="shared" ref="EK607:EQ607" si="2346">EK87</f>
        <v>71.099999999999994</v>
      </c>
      <c r="EL607" s="39"/>
      <c r="EM607" s="46">
        <f t="shared" si="2346"/>
        <v>71.099999999999994</v>
      </c>
      <c r="EN607" s="39"/>
      <c r="EO607" s="46">
        <f t="shared" si="2346"/>
        <v>71.099999999999994</v>
      </c>
      <c r="EP607" s="39"/>
      <c r="EQ607" s="46">
        <f t="shared" si="2346"/>
        <v>71.099999999999994</v>
      </c>
      <c r="ER607" s="39"/>
      <c r="ES607" s="38"/>
      <c r="ET607" s="460"/>
      <c r="EU607" s="38"/>
      <c r="EV607" s="37"/>
      <c r="EW607" s="36"/>
      <c r="EX607" s="37"/>
      <c r="EY607" s="36"/>
      <c r="EZ607" s="37"/>
      <c r="FA607" s="36"/>
      <c r="FB607" s="37"/>
      <c r="FC607" s="36"/>
      <c r="FD607" s="37"/>
      <c r="FE607" s="36"/>
      <c r="FF607" s="37"/>
      <c r="FG607" s="36"/>
      <c r="FH607" s="37"/>
      <c r="FI607" s="36"/>
      <c r="FJ607" s="37"/>
      <c r="FK607" s="36"/>
      <c r="FL607" s="38"/>
      <c r="FM607" s="36"/>
      <c r="FN607" s="38"/>
      <c r="FO607" s="36"/>
      <c r="FP607" s="38"/>
      <c r="FQ607" s="36"/>
      <c r="FR607" s="47"/>
      <c r="FS607" s="36"/>
      <c r="FT607" s="47"/>
      <c r="FU607" s="36"/>
      <c r="FV607" s="47"/>
      <c r="FW607" s="36"/>
      <c r="FX607" s="47"/>
      <c r="FY607" s="36"/>
      <c r="FZ607" s="47"/>
      <c r="GA607" s="36"/>
      <c r="GB607" s="47"/>
      <c r="GC607" s="36"/>
      <c r="GD607" s="47"/>
      <c r="GE607" s="36"/>
      <c r="GF607" s="47"/>
      <c r="GG607" s="36"/>
      <c r="GH607" s="47"/>
      <c r="GI607" s="36"/>
      <c r="GJ607" s="47"/>
      <c r="GK607" s="36"/>
      <c r="GL607" s="46">
        <f>GL87</f>
        <v>71.099999999999994</v>
      </c>
      <c r="GM607" s="36"/>
      <c r="GN607" s="46">
        <f>GN87</f>
        <v>71.099999999999994</v>
      </c>
      <c r="GO607" s="36"/>
      <c r="GP607" s="46">
        <f>GP87</f>
        <v>71</v>
      </c>
      <c r="GQ607" s="36"/>
      <c r="GR607" s="46">
        <f>GR87</f>
        <v>71</v>
      </c>
      <c r="GS607" s="36"/>
      <c r="GT607" s="36"/>
      <c r="GU607" s="562"/>
      <c r="GV607" s="562"/>
      <c r="GW607"/>
      <c r="GX607"/>
      <c r="GY607"/>
      <c r="GZ607"/>
      <c r="HA607"/>
      <c r="HB607"/>
      <c r="HC607" s="562"/>
      <c r="HD607" s="562"/>
      <c r="HE607" s="562"/>
      <c r="HF607" s="562"/>
      <c r="HG607" s="562"/>
      <c r="HH607" s="562"/>
      <c r="HI607" s="562"/>
      <c r="HJ607" s="562"/>
      <c r="HK607" s="562"/>
      <c r="HL607" s="562"/>
      <c r="HM607" s="562"/>
      <c r="HN607" s="562"/>
      <c r="HO607" s="562"/>
      <c r="HP607" s="562"/>
      <c r="HQ607" s="562"/>
      <c r="HR607" s="562"/>
      <c r="HS607" s="562"/>
      <c r="HT607" s="562"/>
      <c r="HU607" s="562"/>
      <c r="HV607" s="562"/>
      <c r="HW607" s="562"/>
      <c r="HX607" s="562"/>
      <c r="HY607" s="562"/>
      <c r="HZ607" s="562"/>
      <c r="IA607" s="562"/>
      <c r="IB607" s="562"/>
      <c r="IC607" s="562"/>
      <c r="ID607" s="562"/>
      <c r="IE607" s="562"/>
      <c r="IF607" s="562"/>
      <c r="IG607" s="562"/>
      <c r="IH607" s="562"/>
      <c r="II607" s="562"/>
      <c r="IJ607" s="562"/>
      <c r="IK607" s="562"/>
      <c r="IL607" s="562"/>
      <c r="IM607" s="562"/>
      <c r="IN607" s="562"/>
      <c r="IO607" s="562"/>
      <c r="IP607" s="562"/>
      <c r="IQ607" s="562"/>
      <c r="IR607" s="562"/>
      <c r="IS607" s="562"/>
      <c r="IT607" s="562"/>
      <c r="IU607" s="562"/>
      <c r="IV607" s="562"/>
      <c r="IW607" s="562"/>
      <c r="IX607" s="562"/>
      <c r="IY607" s="562"/>
      <c r="IZ607" s="562"/>
      <c r="JA607" s="562"/>
      <c r="JB607" s="562"/>
      <c r="JC607" s="562"/>
      <c r="JD607" s="562"/>
      <c r="JE607" s="562"/>
      <c r="JF607" s="562"/>
      <c r="JG607" s="562"/>
      <c r="JH607" s="562"/>
      <c r="JI607" s="562"/>
      <c r="JJ607" s="562"/>
      <c r="JK607" s="562"/>
      <c r="JL607" s="562"/>
      <c r="JM607" s="562"/>
      <c r="JN607" s="562"/>
      <c r="JO607" s="562"/>
      <c r="JP607" s="562"/>
      <c r="JQ607" s="562"/>
      <c r="JR607" s="562"/>
      <c r="JS607" s="562"/>
      <c r="JT607" s="562"/>
      <c r="JU607" s="562"/>
      <c r="JV607" s="562"/>
      <c r="JW607" s="562"/>
      <c r="JX607" s="562"/>
      <c r="JY607" s="562"/>
      <c r="JZ607" s="562"/>
    </row>
    <row r="608" spans="1:286" s="13" customFormat="1" ht="12.75" hidden="1" customHeight="1" outlineLevel="1" x14ac:dyDescent="0.2">
      <c r="A608" s="11"/>
      <c r="B608" s="11" t="s">
        <v>273</v>
      </c>
      <c r="C608" s="36"/>
      <c r="D608" s="36"/>
      <c r="E608" s="37"/>
      <c r="F608" s="37"/>
      <c r="G608" s="37"/>
      <c r="H608" s="37"/>
      <c r="I608" s="37"/>
      <c r="J608" s="37"/>
      <c r="K608" s="37"/>
      <c r="L608" s="37"/>
      <c r="M608" s="37"/>
      <c r="N608" s="36"/>
      <c r="O608" s="37"/>
      <c r="P608" s="36"/>
      <c r="Q608" s="37"/>
      <c r="R608" s="36"/>
      <c r="S608" s="37"/>
      <c r="T608" s="36"/>
      <c r="U608" s="37"/>
      <c r="V608" s="36"/>
      <c r="W608" s="37"/>
      <c r="X608" s="36"/>
      <c r="Y608" s="37"/>
      <c r="Z608" s="36"/>
      <c r="AA608" s="34"/>
      <c r="AB608" s="36"/>
      <c r="AC608" s="37"/>
      <c r="AD608" s="36"/>
      <c r="AE608" s="38"/>
      <c r="AF608" s="36"/>
      <c r="AG608" s="38"/>
      <c r="AH608" s="36"/>
      <c r="AI608" s="38"/>
      <c r="AJ608" s="36"/>
      <c r="AK608" s="38"/>
      <c r="AL608" s="36"/>
      <c r="AM608" s="38"/>
      <c r="AN608" s="36"/>
      <c r="AO608" s="38"/>
      <c r="AP608" s="36"/>
      <c r="AQ608" s="38"/>
      <c r="AR608" s="36"/>
      <c r="AS608" s="38"/>
      <c r="AT608" s="39"/>
      <c r="AU608" s="38"/>
      <c r="AV608" s="39"/>
      <c r="AW608" s="38"/>
      <c r="AX608" s="39"/>
      <c r="AY608" s="38"/>
      <c r="AZ608" s="39"/>
      <c r="BA608" s="38"/>
      <c r="BB608" s="39"/>
      <c r="BC608" s="38"/>
      <c r="BD608" s="39"/>
      <c r="BE608" s="38"/>
      <c r="BF608" s="39"/>
      <c r="BG608" s="38"/>
      <c r="BH608" s="39"/>
      <c r="BI608" s="38"/>
      <c r="BJ608" s="39"/>
      <c r="BK608" s="38"/>
      <c r="BL608" s="39"/>
      <c r="BM608" s="38"/>
      <c r="BN608" s="39"/>
      <c r="BO608" s="38"/>
      <c r="BP608" s="39"/>
      <c r="BQ608" s="38"/>
      <c r="BR608" s="39"/>
      <c r="BS608" s="38"/>
      <c r="BT608" s="39"/>
      <c r="BU608" s="38"/>
      <c r="BV608" s="39"/>
      <c r="BW608" s="38"/>
      <c r="BX608" s="39"/>
      <c r="BY608" s="38"/>
      <c r="BZ608" s="39"/>
      <c r="CA608" s="38"/>
      <c r="CB608" s="39"/>
      <c r="CC608" s="38"/>
      <c r="CD608" s="39"/>
      <c r="CE608" s="38"/>
      <c r="CF608" s="39"/>
      <c r="CG608" s="38"/>
      <c r="CH608" s="39"/>
      <c r="CI608" s="38"/>
      <c r="CJ608" s="39"/>
      <c r="CK608" s="38"/>
      <c r="CL608" s="39"/>
      <c r="CM608" s="38"/>
      <c r="CN608" s="39"/>
      <c r="CO608" s="38"/>
      <c r="CP608" s="39"/>
      <c r="CQ608" s="38"/>
      <c r="CR608" s="39"/>
      <c r="CS608" s="38"/>
      <c r="CT608" s="39"/>
      <c r="CU608" s="38"/>
      <c r="CV608" s="39"/>
      <c r="CW608" s="38"/>
      <c r="CX608" s="39"/>
      <c r="CY608" s="38"/>
      <c r="CZ608" s="39"/>
      <c r="DA608" s="38"/>
      <c r="DB608" s="39"/>
      <c r="DC608" s="38"/>
      <c r="DD608" s="39"/>
      <c r="DE608" s="38"/>
      <c r="DF608" s="39"/>
      <c r="DG608" s="38"/>
      <c r="DH608" s="39"/>
      <c r="DI608" s="38"/>
      <c r="DJ608" s="39"/>
      <c r="DK608" s="38"/>
      <c r="DL608" s="39"/>
      <c r="DM608" s="38"/>
      <c r="DN608" s="39"/>
      <c r="DO608" s="38"/>
      <c r="DP608" s="39"/>
      <c r="DQ608" s="38"/>
      <c r="DR608" s="39"/>
      <c r="DS608" s="38"/>
      <c r="DT608" s="39"/>
      <c r="DU608" s="38"/>
      <c r="DV608" s="39"/>
      <c r="DW608" s="38"/>
      <c r="DX608" s="39"/>
      <c r="DY608" s="38"/>
      <c r="DZ608" s="39"/>
      <c r="EA608" s="38">
        <v>-1.5</v>
      </c>
      <c r="EB608" s="39"/>
      <c r="EC608" s="38">
        <v>-1.5</v>
      </c>
      <c r="ED608" s="39"/>
      <c r="EE608" s="38">
        <v>-1.5</v>
      </c>
      <c r="EF608" s="39"/>
      <c r="EG608" s="38">
        <v>-1.5</v>
      </c>
      <c r="EH608" s="39"/>
      <c r="EI608" s="38">
        <v>-1.5</v>
      </c>
      <c r="EJ608" s="39"/>
      <c r="EK608" s="43">
        <v>-1.5</v>
      </c>
      <c r="EL608" s="39"/>
      <c r="EM608" s="43">
        <v>-1.5</v>
      </c>
      <c r="EN608" s="39"/>
      <c r="EO608" s="43">
        <v>-1.5</v>
      </c>
      <c r="EP608" s="39"/>
      <c r="EQ608" s="43">
        <v>-1.5</v>
      </c>
      <c r="ER608" s="39"/>
      <c r="ES608" s="48"/>
      <c r="ET608" s="463"/>
      <c r="EU608" s="48"/>
      <c r="EV608" s="49"/>
      <c r="EW608" s="50"/>
      <c r="EX608" s="49"/>
      <c r="EY608" s="50"/>
      <c r="EZ608" s="49"/>
      <c r="FA608" s="50"/>
      <c r="FB608" s="49"/>
      <c r="FC608" s="50"/>
      <c r="FD608" s="49"/>
      <c r="FE608" s="50"/>
      <c r="FF608" s="49"/>
      <c r="FG608" s="50"/>
      <c r="FH608" s="49"/>
      <c r="FI608" s="50"/>
      <c r="FJ608" s="49"/>
      <c r="FK608" s="50"/>
      <c r="FL608" s="48"/>
      <c r="FM608" s="50"/>
      <c r="FN608" s="48"/>
      <c r="FO608" s="50"/>
      <c r="FP608" s="48"/>
      <c r="FQ608" s="50"/>
      <c r="FR608" s="44"/>
      <c r="FS608" s="50"/>
      <c r="FT608" s="44"/>
      <c r="FU608" s="50"/>
      <c r="FV608" s="44"/>
      <c r="FW608" s="50"/>
      <c r="FX608" s="44"/>
      <c r="FY608" s="50"/>
      <c r="FZ608" s="44"/>
      <c r="GA608" s="50"/>
      <c r="GB608" s="44"/>
      <c r="GC608" s="50"/>
      <c r="GD608" s="44"/>
      <c r="GE608" s="50"/>
      <c r="GF608" s="44"/>
      <c r="GG608" s="50"/>
      <c r="GH608" s="44"/>
      <c r="GI608" s="50"/>
      <c r="GJ608" s="44"/>
      <c r="GK608" s="50"/>
      <c r="GL608" s="43">
        <v>-1.5</v>
      </c>
      <c r="GM608" s="50"/>
      <c r="GN608" s="43">
        <v>-1.5</v>
      </c>
      <c r="GO608" s="50"/>
      <c r="GP608" s="43">
        <v>-1.5</v>
      </c>
      <c r="GQ608" s="50"/>
      <c r="GR608" s="43">
        <v>-1.5</v>
      </c>
      <c r="GS608" s="50"/>
      <c r="GT608" s="36"/>
      <c r="GU608" s="562"/>
      <c r="GV608" s="562"/>
      <c r="GW608"/>
      <c r="GX608"/>
      <c r="GY608"/>
      <c r="GZ608"/>
      <c r="HA608"/>
      <c r="HB608"/>
      <c r="HC608" s="562"/>
      <c r="HD608" s="562"/>
      <c r="HE608" s="562"/>
      <c r="HF608" s="562"/>
      <c r="HG608" s="562"/>
      <c r="HH608" s="562"/>
      <c r="HI608" s="562"/>
      <c r="HJ608" s="562"/>
      <c r="HK608" s="562"/>
      <c r="HL608" s="562"/>
      <c r="HM608" s="562"/>
      <c r="HN608" s="562"/>
      <c r="HO608" s="562"/>
      <c r="HP608" s="562"/>
      <c r="HQ608" s="562"/>
      <c r="HR608" s="562"/>
      <c r="HS608" s="562"/>
      <c r="HT608" s="562"/>
      <c r="HU608" s="562"/>
      <c r="HV608" s="562"/>
      <c r="HW608" s="562"/>
      <c r="HX608" s="562"/>
      <c r="HY608" s="562"/>
      <c r="HZ608" s="562"/>
      <c r="IA608" s="562"/>
      <c r="IB608" s="562"/>
      <c r="IC608" s="562"/>
      <c r="ID608" s="562"/>
      <c r="IE608" s="562"/>
      <c r="IF608" s="562"/>
      <c r="IG608" s="562"/>
      <c r="IH608" s="562"/>
      <c r="II608" s="562"/>
      <c r="IJ608" s="562"/>
      <c r="IK608" s="562"/>
      <c r="IL608" s="562"/>
      <c r="IM608" s="562"/>
      <c r="IN608" s="562"/>
      <c r="IO608" s="562"/>
      <c r="IP608" s="562"/>
      <c r="IQ608" s="562"/>
      <c r="IR608" s="562"/>
      <c r="IS608" s="562"/>
      <c r="IT608" s="562"/>
      <c r="IU608" s="562"/>
      <c r="IV608" s="562"/>
      <c r="IW608" s="562"/>
      <c r="IX608" s="562"/>
      <c r="IY608" s="562"/>
      <c r="IZ608" s="562"/>
      <c r="JA608" s="562"/>
      <c r="JB608" s="562"/>
      <c r="JC608" s="562"/>
      <c r="JD608" s="562"/>
      <c r="JE608" s="562"/>
      <c r="JF608" s="562"/>
      <c r="JG608" s="562"/>
      <c r="JH608" s="562"/>
      <c r="JI608" s="562"/>
      <c r="JJ608" s="562"/>
      <c r="JK608" s="562"/>
      <c r="JL608" s="562"/>
      <c r="JM608" s="562"/>
      <c r="JN608" s="562"/>
      <c r="JO608" s="562"/>
      <c r="JP608" s="562"/>
      <c r="JQ608" s="562"/>
      <c r="JR608" s="562"/>
      <c r="JS608" s="562"/>
      <c r="JT608" s="562"/>
      <c r="JU608" s="562"/>
      <c r="JV608" s="562"/>
      <c r="JW608" s="562"/>
      <c r="JX608" s="562"/>
      <c r="JY608" s="562"/>
      <c r="JZ608" s="562"/>
    </row>
    <row r="609" spans="1:286" s="13" customFormat="1" ht="12.75" hidden="1" customHeight="1" outlineLevel="1" x14ac:dyDescent="0.2">
      <c r="A609" s="11"/>
      <c r="B609" s="11" t="s">
        <v>274</v>
      </c>
      <c r="C609" s="36"/>
      <c r="D609" s="36"/>
      <c r="E609" s="37"/>
      <c r="F609" s="37"/>
      <c r="G609" s="37"/>
      <c r="H609" s="37"/>
      <c r="I609" s="37"/>
      <c r="J609" s="37"/>
      <c r="K609" s="37"/>
      <c r="L609" s="37"/>
      <c r="M609" s="37"/>
      <c r="N609" s="36"/>
      <c r="O609" s="37"/>
      <c r="P609" s="36"/>
      <c r="Q609" s="37"/>
      <c r="R609" s="36"/>
      <c r="S609" s="37"/>
      <c r="T609" s="36"/>
      <c r="U609" s="37"/>
      <c r="V609" s="36"/>
      <c r="W609" s="37"/>
      <c r="X609" s="36"/>
      <c r="Y609" s="37"/>
      <c r="Z609" s="36"/>
      <c r="AA609" s="34"/>
      <c r="AB609" s="36"/>
      <c r="AC609" s="37"/>
      <c r="AD609" s="36"/>
      <c r="AE609" s="38"/>
      <c r="AF609" s="36"/>
      <c r="AG609" s="38"/>
      <c r="AH609" s="36"/>
      <c r="AI609" s="38"/>
      <c r="AJ609" s="36"/>
      <c r="AK609" s="38"/>
      <c r="AL609" s="36"/>
      <c r="AM609" s="38"/>
      <c r="AN609" s="36"/>
      <c r="AO609" s="38"/>
      <c r="AP609" s="36"/>
      <c r="AQ609" s="38"/>
      <c r="AR609" s="36"/>
      <c r="AS609" s="38"/>
      <c r="AT609" s="39"/>
      <c r="AU609" s="38"/>
      <c r="AV609" s="39"/>
      <c r="AW609" s="38"/>
      <c r="AX609" s="39"/>
      <c r="AY609" s="38"/>
      <c r="AZ609" s="39"/>
      <c r="BA609" s="38"/>
      <c r="BB609" s="39"/>
      <c r="BC609" s="38"/>
      <c r="BD609" s="39"/>
      <c r="BE609" s="38"/>
      <c r="BF609" s="39"/>
      <c r="BG609" s="38"/>
      <c r="BH609" s="39"/>
      <c r="BI609" s="38"/>
      <c r="BJ609" s="39"/>
      <c r="BK609" s="38"/>
      <c r="BL609" s="39"/>
      <c r="BM609" s="38"/>
      <c r="BN609" s="39"/>
      <c r="BO609" s="38"/>
      <c r="BP609" s="39"/>
      <c r="BQ609" s="38"/>
      <c r="BR609" s="39"/>
      <c r="BS609" s="38"/>
      <c r="BT609" s="39"/>
      <c r="BU609" s="38"/>
      <c r="BV609" s="39"/>
      <c r="BW609" s="38"/>
      <c r="BX609" s="39"/>
      <c r="BY609" s="38"/>
      <c r="BZ609" s="39"/>
      <c r="CA609" s="38"/>
      <c r="CB609" s="39"/>
      <c r="CC609" s="38"/>
      <c r="CD609" s="39"/>
      <c r="CE609" s="38"/>
      <c r="CF609" s="39"/>
      <c r="CG609" s="38"/>
      <c r="CH609" s="39"/>
      <c r="CI609" s="38"/>
      <c r="CJ609" s="39"/>
      <c r="CK609" s="38"/>
      <c r="CL609" s="39"/>
      <c r="CM609" s="38"/>
      <c r="CN609" s="39"/>
      <c r="CO609" s="38"/>
      <c r="CP609" s="39"/>
      <c r="CQ609" s="38"/>
      <c r="CR609" s="39"/>
      <c r="CS609" s="38"/>
      <c r="CT609" s="39"/>
      <c r="CU609" s="38"/>
      <c r="CV609" s="39"/>
      <c r="CW609" s="38"/>
      <c r="CX609" s="39"/>
      <c r="CY609" s="38"/>
      <c r="CZ609" s="39"/>
      <c r="DA609" s="38"/>
      <c r="DB609" s="39"/>
      <c r="DC609" s="38"/>
      <c r="DD609" s="39"/>
      <c r="DE609" s="38"/>
      <c r="DF609" s="39"/>
      <c r="DG609" s="38"/>
      <c r="DH609" s="39"/>
      <c r="DI609" s="38"/>
      <c r="DJ609" s="39"/>
      <c r="DK609" s="38"/>
      <c r="DL609" s="39"/>
      <c r="DM609" s="38"/>
      <c r="DN609" s="39"/>
      <c r="DO609" s="38"/>
      <c r="DP609" s="39"/>
      <c r="DQ609" s="38"/>
      <c r="DR609" s="39"/>
      <c r="DS609" s="38"/>
      <c r="DT609" s="39"/>
      <c r="DU609" s="38"/>
      <c r="DV609" s="39"/>
      <c r="DW609" s="38"/>
      <c r="DX609" s="39"/>
      <c r="DY609" s="38"/>
      <c r="DZ609" s="39"/>
      <c r="EA609" s="38">
        <v>2</v>
      </c>
      <c r="EB609" s="39"/>
      <c r="EC609" s="38">
        <v>2</v>
      </c>
      <c r="ED609" s="39"/>
      <c r="EE609" s="38">
        <v>2</v>
      </c>
      <c r="EF609" s="39"/>
      <c r="EG609" s="38">
        <v>2</v>
      </c>
      <c r="EH609" s="39"/>
      <c r="EI609" s="38">
        <v>2</v>
      </c>
      <c r="EJ609" s="39"/>
      <c r="EK609" s="45">
        <v>2</v>
      </c>
      <c r="EL609" s="39"/>
      <c r="EM609" s="45">
        <v>2</v>
      </c>
      <c r="EN609" s="39"/>
      <c r="EO609" s="45">
        <v>2</v>
      </c>
      <c r="EP609" s="39"/>
      <c r="EQ609" s="45">
        <v>2</v>
      </c>
      <c r="ER609" s="39"/>
      <c r="ES609" s="48"/>
      <c r="ET609" s="463"/>
      <c r="EU609" s="48"/>
      <c r="EV609" s="49"/>
      <c r="EW609" s="50"/>
      <c r="EX609" s="49"/>
      <c r="EY609" s="50"/>
      <c r="EZ609" s="49"/>
      <c r="FA609" s="50"/>
      <c r="FB609" s="49"/>
      <c r="FC609" s="50"/>
      <c r="FD609" s="49"/>
      <c r="FE609" s="50"/>
      <c r="FF609" s="49"/>
      <c r="FG609" s="50"/>
      <c r="FH609" s="49"/>
      <c r="FI609" s="50"/>
      <c r="FJ609" s="49"/>
      <c r="FK609" s="50"/>
      <c r="FL609" s="48"/>
      <c r="FM609" s="50"/>
      <c r="FN609" s="48"/>
      <c r="FO609" s="50"/>
      <c r="FP609" s="48"/>
      <c r="FQ609" s="50"/>
      <c r="FR609" s="44"/>
      <c r="FS609" s="50"/>
      <c r="FT609" s="44"/>
      <c r="FU609" s="50"/>
      <c r="FV609" s="44"/>
      <c r="FW609" s="50"/>
      <c r="FX609" s="44"/>
      <c r="FY609" s="50"/>
      <c r="FZ609" s="44"/>
      <c r="GA609" s="50"/>
      <c r="GB609" s="44"/>
      <c r="GC609" s="50"/>
      <c r="GD609" s="44"/>
      <c r="GE609" s="50"/>
      <c r="GF609" s="44"/>
      <c r="GG609" s="50"/>
      <c r="GH609" s="44"/>
      <c r="GI609" s="50"/>
      <c r="GJ609" s="44"/>
      <c r="GK609" s="50"/>
      <c r="GL609" s="45">
        <v>2</v>
      </c>
      <c r="GM609" s="50"/>
      <c r="GN609" s="45">
        <v>2</v>
      </c>
      <c r="GO609" s="50"/>
      <c r="GP609" s="45">
        <v>2</v>
      </c>
      <c r="GQ609" s="50"/>
      <c r="GR609" s="45">
        <v>2</v>
      </c>
      <c r="GS609" s="50"/>
      <c r="GT609" s="36"/>
      <c r="GU609" s="562"/>
      <c r="GV609" s="562"/>
      <c r="GW609"/>
      <c r="GX609"/>
      <c r="GY609"/>
      <c r="GZ609"/>
      <c r="HA609"/>
      <c r="HB609"/>
      <c r="HC609" s="562"/>
      <c r="HD609" s="562"/>
      <c r="HE609" s="562"/>
      <c r="HF609" s="562"/>
      <c r="HG609" s="562"/>
      <c r="HH609" s="562"/>
      <c r="HI609" s="562"/>
      <c r="HJ609" s="562"/>
      <c r="HK609" s="562"/>
      <c r="HL609" s="562"/>
      <c r="HM609" s="562"/>
      <c r="HN609" s="562"/>
      <c r="HO609" s="562"/>
      <c r="HP609" s="562"/>
      <c r="HQ609" s="562"/>
      <c r="HR609" s="562"/>
      <c r="HS609" s="562"/>
      <c r="HT609" s="562"/>
      <c r="HU609" s="562"/>
      <c r="HV609" s="562"/>
      <c r="HW609" s="562"/>
      <c r="HX609" s="562"/>
      <c r="HY609" s="562"/>
      <c r="HZ609" s="562"/>
      <c r="IA609" s="562"/>
      <c r="IB609" s="562"/>
      <c r="IC609" s="562"/>
      <c r="ID609" s="562"/>
      <c r="IE609" s="562"/>
      <c r="IF609" s="562"/>
      <c r="IG609" s="562"/>
      <c r="IH609" s="562"/>
      <c r="II609" s="562"/>
      <c r="IJ609" s="562"/>
      <c r="IK609" s="562"/>
      <c r="IL609" s="562"/>
      <c r="IM609" s="562"/>
      <c r="IN609" s="562"/>
      <c r="IO609" s="562"/>
      <c r="IP609" s="562"/>
      <c r="IQ609" s="562"/>
      <c r="IR609" s="562"/>
      <c r="IS609" s="562"/>
      <c r="IT609" s="562"/>
      <c r="IU609" s="562"/>
      <c r="IV609" s="562"/>
      <c r="IW609" s="562"/>
      <c r="IX609" s="562"/>
      <c r="IY609" s="562"/>
      <c r="IZ609" s="562"/>
      <c r="JA609" s="562"/>
      <c r="JB609" s="562"/>
      <c r="JC609" s="562"/>
      <c r="JD609" s="562"/>
      <c r="JE609" s="562"/>
      <c r="JF609" s="562"/>
      <c r="JG609" s="562"/>
      <c r="JH609" s="562"/>
      <c r="JI609" s="562"/>
      <c r="JJ609" s="562"/>
      <c r="JK609" s="562"/>
      <c r="JL609" s="562"/>
      <c r="JM609" s="562"/>
      <c r="JN609" s="562"/>
      <c r="JO609" s="562"/>
      <c r="JP609" s="562"/>
      <c r="JQ609" s="562"/>
      <c r="JR609" s="562"/>
      <c r="JS609" s="562"/>
      <c r="JT609" s="562"/>
      <c r="JU609" s="562"/>
      <c r="JV609" s="562"/>
      <c r="JW609" s="562"/>
      <c r="JX609" s="562"/>
      <c r="JY609" s="562"/>
      <c r="JZ609" s="562"/>
    </row>
    <row r="610" spans="1:286" s="13" customFormat="1" ht="12.75" hidden="1" customHeight="1" outlineLevel="1" x14ac:dyDescent="0.2">
      <c r="A610" s="11"/>
      <c r="B610" s="11"/>
      <c r="C610" s="36"/>
      <c r="D610" s="36"/>
      <c r="E610" s="37"/>
      <c r="F610" s="37"/>
      <c r="G610" s="37"/>
      <c r="H610" s="37"/>
      <c r="I610" s="37"/>
      <c r="J610" s="37"/>
      <c r="K610" s="37"/>
      <c r="L610" s="37"/>
      <c r="M610" s="37"/>
      <c r="N610" s="36"/>
      <c r="O610" s="37"/>
      <c r="P610" s="36"/>
      <c r="Q610" s="37"/>
      <c r="R610" s="36"/>
      <c r="S610" s="37"/>
      <c r="T610" s="36"/>
      <c r="U610" s="37"/>
      <c r="V610" s="36"/>
      <c r="W610" s="37"/>
      <c r="X610" s="36"/>
      <c r="Y610" s="37"/>
      <c r="Z610" s="36"/>
      <c r="AA610" s="34"/>
      <c r="AB610" s="36"/>
      <c r="AC610" s="37"/>
      <c r="AD610" s="36"/>
      <c r="AE610" s="38"/>
      <c r="AF610" s="36"/>
      <c r="AG610" s="38"/>
      <c r="AH610" s="36"/>
      <c r="AI610" s="38"/>
      <c r="AJ610" s="36"/>
      <c r="AK610" s="38"/>
      <c r="AL610" s="36"/>
      <c r="AM610" s="38"/>
      <c r="AN610" s="36"/>
      <c r="AO610" s="38"/>
      <c r="AP610" s="36"/>
      <c r="AQ610" s="38"/>
      <c r="AR610" s="36"/>
      <c r="AS610" s="38"/>
      <c r="AT610" s="39"/>
      <c r="AU610" s="38"/>
      <c r="AV610" s="39"/>
      <c r="AW610" s="38"/>
      <c r="AX610" s="39"/>
      <c r="AY610" s="38"/>
      <c r="AZ610" s="39"/>
      <c r="BA610" s="38"/>
      <c r="BB610" s="39"/>
      <c r="BC610" s="38"/>
      <c r="BD610" s="39"/>
      <c r="BE610" s="38"/>
      <c r="BF610" s="39"/>
      <c r="BG610" s="38"/>
      <c r="BH610" s="39"/>
      <c r="BI610" s="38"/>
      <c r="BJ610" s="39"/>
      <c r="BK610" s="38"/>
      <c r="BL610" s="39"/>
      <c r="BM610" s="38"/>
      <c r="BN610" s="39"/>
      <c r="BO610" s="38"/>
      <c r="BP610" s="39"/>
      <c r="BQ610" s="38"/>
      <c r="BR610" s="39"/>
      <c r="BS610" s="38"/>
      <c r="BT610" s="39"/>
      <c r="BU610" s="38"/>
      <c r="BV610" s="39"/>
      <c r="BW610" s="38"/>
      <c r="BX610" s="39"/>
      <c r="BY610" s="38"/>
      <c r="BZ610" s="39"/>
      <c r="CA610" s="38"/>
      <c r="CB610" s="39"/>
      <c r="CC610" s="38"/>
      <c r="CD610" s="39"/>
      <c r="CE610" s="38"/>
      <c r="CF610" s="39"/>
      <c r="CG610" s="38"/>
      <c r="CH610" s="39"/>
      <c r="CI610" s="38"/>
      <c r="CJ610" s="39"/>
      <c r="CK610" s="38"/>
      <c r="CL610" s="39"/>
      <c r="CM610" s="38"/>
      <c r="CN610" s="39"/>
      <c r="CO610" s="38"/>
      <c r="CP610" s="39"/>
      <c r="CQ610" s="38"/>
      <c r="CR610" s="39"/>
      <c r="CS610" s="38"/>
      <c r="CT610" s="39"/>
      <c r="CU610" s="38"/>
      <c r="CV610" s="39"/>
      <c r="CW610" s="38"/>
      <c r="CX610" s="39"/>
      <c r="CY610" s="38"/>
      <c r="CZ610" s="39"/>
      <c r="DA610" s="38"/>
      <c r="DB610" s="39"/>
      <c r="DC610" s="38"/>
      <c r="DD610" s="39"/>
      <c r="DE610" s="38"/>
      <c r="DF610" s="39"/>
      <c r="DG610" s="38"/>
      <c r="DH610" s="39"/>
      <c r="DI610" s="38"/>
      <c r="DJ610" s="39"/>
      <c r="DK610" s="38"/>
      <c r="DL610" s="39"/>
      <c r="DM610" s="38"/>
      <c r="DN610" s="39"/>
      <c r="DO610" s="38"/>
      <c r="DP610" s="39"/>
      <c r="DQ610" s="38"/>
      <c r="DR610" s="39"/>
      <c r="DS610" s="38"/>
      <c r="DT610" s="39"/>
      <c r="DU610" s="38"/>
      <c r="DV610" s="39"/>
      <c r="DW610" s="38"/>
      <c r="DX610" s="39"/>
      <c r="DY610" s="38"/>
      <c r="DZ610" s="39"/>
      <c r="EA610" s="38"/>
      <c r="EB610" s="39"/>
      <c r="EC610" s="38"/>
      <c r="ED610" s="39"/>
      <c r="EE610" s="38"/>
      <c r="EF610" s="39"/>
      <c r="EG610" s="38"/>
      <c r="EH610" s="39"/>
      <c r="EI610" s="38"/>
      <c r="EJ610" s="39"/>
      <c r="EK610" s="44"/>
      <c r="EL610" s="39"/>
      <c r="EM610" s="44"/>
      <c r="EN610" s="39"/>
      <c r="EO610" s="44"/>
      <c r="EP610" s="39"/>
      <c r="EQ610" s="44"/>
      <c r="ER610" s="39"/>
      <c r="ES610" s="38"/>
      <c r="ET610" s="460"/>
      <c r="EU610" s="38"/>
      <c r="EV610" s="37"/>
      <c r="EW610" s="36"/>
      <c r="EX610" s="37"/>
      <c r="EY610" s="36"/>
      <c r="EZ610" s="37"/>
      <c r="FA610" s="36"/>
      <c r="FB610" s="37"/>
      <c r="FC610" s="36"/>
      <c r="FD610" s="37"/>
      <c r="FE610" s="36"/>
      <c r="FF610" s="37"/>
      <c r="FG610" s="36"/>
      <c r="FH610" s="37"/>
      <c r="FI610" s="36"/>
      <c r="FJ610" s="37"/>
      <c r="FK610" s="36"/>
      <c r="FL610" s="38"/>
      <c r="FM610" s="36"/>
      <c r="FN610" s="38"/>
      <c r="FO610" s="36"/>
      <c r="FP610" s="38"/>
      <c r="FQ610" s="36"/>
      <c r="FR610" s="44"/>
      <c r="FS610" s="36"/>
      <c r="FT610" s="44"/>
      <c r="FU610" s="36"/>
      <c r="FV610" s="44"/>
      <c r="FW610" s="36"/>
      <c r="FX610" s="44"/>
      <c r="FY610" s="36"/>
      <c r="FZ610" s="44"/>
      <c r="GA610" s="36"/>
      <c r="GB610" s="44"/>
      <c r="GC610" s="36"/>
      <c r="GD610" s="44"/>
      <c r="GE610" s="36"/>
      <c r="GF610" s="44"/>
      <c r="GG610" s="36"/>
      <c r="GH610" s="44"/>
      <c r="GI610" s="36"/>
      <c r="GJ610" s="44"/>
      <c r="GK610" s="36"/>
      <c r="GL610" s="44"/>
      <c r="GM610" s="36"/>
      <c r="GN610" s="44"/>
      <c r="GO610" s="36"/>
      <c r="GP610" s="44"/>
      <c r="GQ610" s="36"/>
      <c r="GR610" s="44"/>
      <c r="GS610" s="36"/>
      <c r="GT610" s="36"/>
      <c r="GU610" s="562"/>
      <c r="GV610" s="562"/>
      <c r="GW610"/>
      <c r="GX610"/>
      <c r="GY610"/>
      <c r="GZ610"/>
      <c r="HA610"/>
      <c r="HB610"/>
      <c r="HC610" s="562"/>
      <c r="HD610" s="562"/>
      <c r="HE610" s="562"/>
      <c r="HF610" s="562"/>
      <c r="HG610" s="562"/>
      <c r="HH610" s="562"/>
      <c r="HI610" s="562"/>
      <c r="HJ610" s="562"/>
      <c r="HK610" s="562"/>
      <c r="HL610" s="562"/>
      <c r="HM610" s="562"/>
      <c r="HN610" s="562"/>
      <c r="HO610" s="562"/>
      <c r="HP610" s="562"/>
      <c r="HQ610" s="562"/>
      <c r="HR610" s="562"/>
      <c r="HS610" s="562"/>
      <c r="HT610" s="562"/>
      <c r="HU610" s="562"/>
      <c r="HV610" s="562"/>
      <c r="HW610" s="562"/>
      <c r="HX610" s="562"/>
      <c r="HY610" s="562"/>
      <c r="HZ610" s="562"/>
      <c r="IA610" s="562"/>
      <c r="IB610" s="562"/>
      <c r="IC610" s="562"/>
      <c r="ID610" s="562"/>
      <c r="IE610" s="562"/>
      <c r="IF610" s="562"/>
      <c r="IG610" s="562"/>
      <c r="IH610" s="562"/>
      <c r="II610" s="562"/>
      <c r="IJ610" s="562"/>
      <c r="IK610" s="562"/>
      <c r="IL610" s="562"/>
      <c r="IM610" s="562"/>
      <c r="IN610" s="562"/>
      <c r="IO610" s="562"/>
      <c r="IP610" s="562"/>
      <c r="IQ610" s="562"/>
      <c r="IR610" s="562"/>
      <c r="IS610" s="562"/>
      <c r="IT610" s="562"/>
      <c r="IU610" s="562"/>
      <c r="IV610" s="562"/>
      <c r="IW610" s="562"/>
      <c r="IX610" s="562"/>
      <c r="IY610" s="562"/>
      <c r="IZ610" s="562"/>
      <c r="JA610" s="562"/>
      <c r="JB610" s="562"/>
      <c r="JC610" s="562"/>
      <c r="JD610" s="562"/>
      <c r="JE610" s="562"/>
      <c r="JF610" s="562"/>
      <c r="JG610" s="562"/>
      <c r="JH610" s="562"/>
      <c r="JI610" s="562"/>
      <c r="JJ610" s="562"/>
      <c r="JK610" s="562"/>
      <c r="JL610" s="562"/>
      <c r="JM610" s="562"/>
      <c r="JN610" s="562"/>
      <c r="JO610" s="562"/>
      <c r="JP610" s="562"/>
      <c r="JQ610" s="562"/>
      <c r="JR610" s="562"/>
      <c r="JS610" s="562"/>
      <c r="JT610" s="562"/>
      <c r="JU610" s="562"/>
      <c r="JV610" s="562"/>
      <c r="JW610" s="562"/>
      <c r="JX610" s="562"/>
      <c r="JY610" s="562"/>
      <c r="JZ610" s="562"/>
    </row>
    <row r="611" spans="1:286" s="13" customFormat="1" ht="12.75" hidden="1" customHeight="1" outlineLevel="1" x14ac:dyDescent="0.2">
      <c r="A611" s="11"/>
      <c r="B611" s="40" t="s">
        <v>330</v>
      </c>
      <c r="C611" s="36"/>
      <c r="D611" s="36"/>
      <c r="E611" s="37"/>
      <c r="F611" s="37"/>
      <c r="G611" s="37"/>
      <c r="H611" s="37"/>
      <c r="I611" s="37"/>
      <c r="J611" s="37"/>
      <c r="K611" s="37"/>
      <c r="L611" s="37"/>
      <c r="M611" s="37"/>
      <c r="N611" s="36"/>
      <c r="O611" s="37"/>
      <c r="P611" s="36"/>
      <c r="Q611" s="37"/>
      <c r="R611" s="36"/>
      <c r="S611" s="37"/>
      <c r="T611" s="36"/>
      <c r="U611" s="37"/>
      <c r="V611" s="36"/>
      <c r="W611" s="37"/>
      <c r="X611" s="36"/>
      <c r="Y611" s="37"/>
      <c r="Z611" s="36"/>
      <c r="AA611" s="34"/>
      <c r="AB611" s="36"/>
      <c r="AC611" s="37"/>
      <c r="AD611" s="36"/>
      <c r="AE611" s="38"/>
      <c r="AF611" s="36"/>
      <c r="AG611" s="38"/>
      <c r="AH611" s="36"/>
      <c r="AI611" s="38"/>
      <c r="AJ611" s="36"/>
      <c r="AK611" s="38"/>
      <c r="AL611" s="36"/>
      <c r="AM611" s="38"/>
      <c r="AN611" s="36"/>
      <c r="AO611" s="38"/>
      <c r="AP611" s="36"/>
      <c r="AQ611" s="38"/>
      <c r="AR611" s="36"/>
      <c r="AS611" s="38"/>
      <c r="AT611" s="39"/>
      <c r="AU611" s="38"/>
      <c r="AV611" s="39"/>
      <c r="AW611" s="38"/>
      <c r="AX611" s="39"/>
      <c r="AY611" s="38"/>
      <c r="AZ611" s="39"/>
      <c r="BA611" s="38"/>
      <c r="BB611" s="39"/>
      <c r="BC611" s="38"/>
      <c r="BD611" s="39"/>
      <c r="BE611" s="38"/>
      <c r="BF611" s="39"/>
      <c r="BG611" s="38"/>
      <c r="BH611" s="39"/>
      <c r="BI611" s="38"/>
      <c r="BJ611" s="39"/>
      <c r="BK611" s="38"/>
      <c r="BL611" s="39"/>
      <c r="BM611" s="38"/>
      <c r="BN611" s="39"/>
      <c r="BO611" s="38"/>
      <c r="BP611" s="39"/>
      <c r="BQ611" s="38"/>
      <c r="BR611" s="39"/>
      <c r="BS611" s="38"/>
      <c r="BT611" s="39"/>
      <c r="BU611" s="38"/>
      <c r="BV611" s="39"/>
      <c r="BW611" s="38"/>
      <c r="BX611" s="39"/>
      <c r="BY611" s="38"/>
      <c r="BZ611" s="39"/>
      <c r="CA611" s="38"/>
      <c r="CB611" s="39"/>
      <c r="CC611" s="38"/>
      <c r="CD611" s="39"/>
      <c r="CE611" s="38"/>
      <c r="CF611" s="39"/>
      <c r="CG611" s="38"/>
      <c r="CH611" s="39"/>
      <c r="CI611" s="38"/>
      <c r="CJ611" s="39"/>
      <c r="CK611" s="38"/>
      <c r="CL611" s="39"/>
      <c r="CM611" s="38"/>
      <c r="CN611" s="39"/>
      <c r="CO611" s="38"/>
      <c r="CP611" s="39"/>
      <c r="CQ611" s="38"/>
      <c r="CR611" s="39"/>
      <c r="CS611" s="38"/>
      <c r="CT611" s="39"/>
      <c r="CU611" s="38"/>
      <c r="CV611" s="39"/>
      <c r="CW611" s="38"/>
      <c r="CX611" s="39"/>
      <c r="CY611" s="38"/>
      <c r="CZ611" s="39"/>
      <c r="DA611" s="38"/>
      <c r="DB611" s="39"/>
      <c r="DC611" s="38"/>
      <c r="DD611" s="39"/>
      <c r="DE611" s="38"/>
      <c r="DF611" s="39"/>
      <c r="DG611" s="38"/>
      <c r="DH611" s="39"/>
      <c r="DI611" s="38"/>
      <c r="DJ611" s="39"/>
      <c r="DK611" s="38"/>
      <c r="DL611" s="39"/>
      <c r="DM611" s="38"/>
      <c r="DN611" s="39"/>
      <c r="DO611" s="38"/>
      <c r="DP611" s="39"/>
      <c r="DQ611" s="38"/>
      <c r="DR611" s="39"/>
      <c r="DS611" s="38"/>
      <c r="DT611" s="39"/>
      <c r="DU611" s="38"/>
      <c r="DV611" s="39"/>
      <c r="DW611" s="38"/>
      <c r="DX611" s="39"/>
      <c r="DY611" s="38"/>
      <c r="DZ611" s="39"/>
      <c r="EA611" s="38"/>
      <c r="EB611" s="39"/>
      <c r="EC611" s="38"/>
      <c r="ED611" s="39"/>
      <c r="EE611" s="38"/>
      <c r="EF611" s="39"/>
      <c r="EG611" s="38"/>
      <c r="EH611" s="39"/>
      <c r="EI611" s="38"/>
      <c r="EJ611" s="39"/>
      <c r="EK611" s="44"/>
      <c r="EL611" s="39"/>
      <c r="EM611" s="44"/>
      <c r="EN611" s="39"/>
      <c r="EO611" s="44"/>
      <c r="EP611" s="39"/>
      <c r="EQ611" s="44"/>
      <c r="ER611" s="39"/>
      <c r="ES611" s="38"/>
      <c r="ET611" s="460"/>
      <c r="EU611" s="38"/>
      <c r="EV611" s="37"/>
      <c r="EW611" s="36"/>
      <c r="EX611" s="37"/>
      <c r="EY611" s="36"/>
      <c r="EZ611" s="37"/>
      <c r="FA611" s="36"/>
      <c r="FB611" s="37"/>
      <c r="FC611" s="36"/>
      <c r="FD611" s="37"/>
      <c r="FE611" s="36"/>
      <c r="FF611" s="37"/>
      <c r="FG611" s="36"/>
      <c r="FH611" s="37"/>
      <c r="FI611" s="36"/>
      <c r="FJ611" s="37"/>
      <c r="FK611" s="36"/>
      <c r="FL611" s="38"/>
      <c r="FM611" s="36"/>
      <c r="FN611" s="38"/>
      <c r="FO611" s="36"/>
      <c r="FP611" s="38"/>
      <c r="FQ611" s="36"/>
      <c r="FR611" s="44"/>
      <c r="FS611" s="36"/>
      <c r="FT611" s="44"/>
      <c r="FU611" s="36"/>
      <c r="FV611" s="44"/>
      <c r="FW611" s="36"/>
      <c r="FX611" s="44"/>
      <c r="FY611" s="36"/>
      <c r="FZ611" s="44"/>
      <c r="GA611" s="36"/>
      <c r="GB611" s="44"/>
      <c r="GC611" s="36"/>
      <c r="GD611" s="44"/>
      <c r="GE611" s="36"/>
      <c r="GF611" s="44"/>
      <c r="GG611" s="36"/>
      <c r="GH611" s="44"/>
      <c r="GI611" s="36"/>
      <c r="GJ611" s="44"/>
      <c r="GK611" s="36"/>
      <c r="GL611" s="44"/>
      <c r="GM611" s="36"/>
      <c r="GN611" s="44"/>
      <c r="GO611" s="36"/>
      <c r="GP611" s="44"/>
      <c r="GQ611" s="36"/>
      <c r="GR611" s="44"/>
      <c r="GS611" s="36"/>
      <c r="GT611" s="36"/>
      <c r="GU611" s="562"/>
      <c r="GV611" s="562"/>
      <c r="GW611"/>
      <c r="GX611"/>
      <c r="GY611"/>
      <c r="GZ611"/>
      <c r="HA611"/>
      <c r="HB611"/>
      <c r="HC611" s="562"/>
      <c r="HD611" s="562"/>
      <c r="HE611" s="562"/>
      <c r="HF611" s="562"/>
      <c r="HG611" s="562"/>
      <c r="HH611" s="562"/>
      <c r="HI611" s="562"/>
      <c r="HJ611" s="562"/>
      <c r="HK611" s="562"/>
      <c r="HL611" s="562"/>
      <c r="HM611" s="562"/>
      <c r="HN611" s="562"/>
      <c r="HO611" s="562"/>
      <c r="HP611" s="562"/>
      <c r="HQ611" s="562"/>
      <c r="HR611" s="562"/>
      <c r="HS611" s="562"/>
      <c r="HT611" s="562"/>
      <c r="HU611" s="562"/>
      <c r="HV611" s="562"/>
      <c r="HW611" s="562"/>
      <c r="HX611" s="562"/>
      <c r="HY611" s="562"/>
      <c r="HZ611" s="562"/>
      <c r="IA611" s="562"/>
      <c r="IB611" s="562"/>
      <c r="IC611" s="562"/>
      <c r="ID611" s="562"/>
      <c r="IE611" s="562"/>
      <c r="IF611" s="562"/>
      <c r="IG611" s="562"/>
      <c r="IH611" s="562"/>
      <c r="II611" s="562"/>
      <c r="IJ611" s="562"/>
      <c r="IK611" s="562"/>
      <c r="IL611" s="562"/>
      <c r="IM611" s="562"/>
      <c r="IN611" s="562"/>
      <c r="IO611" s="562"/>
      <c r="IP611" s="562"/>
      <c r="IQ611" s="562"/>
      <c r="IR611" s="562"/>
      <c r="IS611" s="562"/>
      <c r="IT611" s="562"/>
      <c r="IU611" s="562"/>
      <c r="IV611" s="562"/>
      <c r="IW611" s="562"/>
      <c r="IX611" s="562"/>
      <c r="IY611" s="562"/>
      <c r="IZ611" s="562"/>
      <c r="JA611" s="562"/>
      <c r="JB611" s="562"/>
      <c r="JC611" s="562"/>
      <c r="JD611" s="562"/>
      <c r="JE611" s="562"/>
      <c r="JF611" s="562"/>
      <c r="JG611" s="562"/>
      <c r="JH611" s="562"/>
      <c r="JI611" s="562"/>
      <c r="JJ611" s="562"/>
      <c r="JK611" s="562"/>
      <c r="JL611" s="562"/>
      <c r="JM611" s="562"/>
      <c r="JN611" s="562"/>
      <c r="JO611" s="562"/>
      <c r="JP611" s="562"/>
      <c r="JQ611" s="562"/>
      <c r="JR611" s="562"/>
      <c r="JS611" s="562"/>
      <c r="JT611" s="562"/>
      <c r="JU611" s="562"/>
      <c r="JV611" s="562"/>
      <c r="JW611" s="562"/>
      <c r="JX611" s="562"/>
      <c r="JY611" s="562"/>
      <c r="JZ611" s="562"/>
    </row>
    <row r="612" spans="1:286" s="13" customFormat="1" ht="12.75" hidden="1" customHeight="1" outlineLevel="1" x14ac:dyDescent="0.2">
      <c r="A612" s="11"/>
      <c r="B612" s="40" t="s">
        <v>244</v>
      </c>
      <c r="C612" s="36"/>
      <c r="D612" s="36"/>
      <c r="E612" s="37"/>
      <c r="F612" s="37"/>
      <c r="G612" s="37"/>
      <c r="H612" s="37"/>
      <c r="I612" s="37"/>
      <c r="J612" s="37"/>
      <c r="K612" s="37"/>
      <c r="L612" s="37"/>
      <c r="M612" s="37"/>
      <c r="N612" s="36"/>
      <c r="O612" s="37"/>
      <c r="P612" s="36"/>
      <c r="Q612" s="37"/>
      <c r="R612" s="36"/>
      <c r="S612" s="37"/>
      <c r="T612" s="36"/>
      <c r="U612" s="37"/>
      <c r="V612" s="36"/>
      <c r="W612" s="37"/>
      <c r="X612" s="36"/>
      <c r="Y612" s="37"/>
      <c r="Z612" s="36"/>
      <c r="AA612" s="34"/>
      <c r="AB612" s="36"/>
      <c r="AC612" s="37"/>
      <c r="AD612" s="36"/>
      <c r="AE612" s="38"/>
      <c r="AF612" s="36"/>
      <c r="AG612" s="38"/>
      <c r="AH612" s="36"/>
      <c r="AI612" s="38"/>
      <c r="AJ612" s="36"/>
      <c r="AK612" s="38"/>
      <c r="AL612" s="36"/>
      <c r="AM612" s="38"/>
      <c r="AN612" s="36"/>
      <c r="AO612" s="38"/>
      <c r="AP612" s="36"/>
      <c r="AQ612" s="38"/>
      <c r="AR612" s="36"/>
      <c r="AS612" s="38"/>
      <c r="AT612" s="39"/>
      <c r="AU612" s="38"/>
      <c r="AV612" s="39"/>
      <c r="AW612" s="38"/>
      <c r="AX612" s="39"/>
      <c r="AY612" s="38"/>
      <c r="AZ612" s="39"/>
      <c r="BA612" s="38"/>
      <c r="BB612" s="39"/>
      <c r="BC612" s="38"/>
      <c r="BD612" s="39"/>
      <c r="BE612" s="38"/>
      <c r="BF612" s="39"/>
      <c r="BG612" s="38"/>
      <c r="BH612" s="39"/>
      <c r="BI612" s="38"/>
      <c r="BJ612" s="39"/>
      <c r="BK612" s="38"/>
      <c r="BL612" s="39"/>
      <c r="BM612" s="38"/>
      <c r="BN612" s="39"/>
      <c r="BO612" s="38"/>
      <c r="BP612" s="39"/>
      <c r="BQ612" s="38"/>
      <c r="BR612" s="39"/>
      <c r="BS612" s="38"/>
      <c r="BT612" s="39"/>
      <c r="BU612" s="38"/>
      <c r="BV612" s="39"/>
      <c r="BW612" s="38"/>
      <c r="BX612" s="39"/>
      <c r="BY612" s="38"/>
      <c r="BZ612" s="39"/>
      <c r="CA612" s="38"/>
      <c r="CB612" s="39"/>
      <c r="CC612" s="38"/>
      <c r="CD612" s="39"/>
      <c r="CE612" s="38"/>
      <c r="CF612" s="39"/>
      <c r="CG612" s="38"/>
      <c r="CH612" s="39"/>
      <c r="CI612" s="38"/>
      <c r="CJ612" s="39"/>
      <c r="CK612" s="38"/>
      <c r="CL612" s="39"/>
      <c r="CM612" s="38"/>
      <c r="CN612" s="39"/>
      <c r="CO612" s="38"/>
      <c r="CP612" s="39"/>
      <c r="CQ612" s="38"/>
      <c r="CR612" s="39"/>
      <c r="CS612" s="38"/>
      <c r="CT612" s="39"/>
      <c r="CU612" s="38"/>
      <c r="CV612" s="39"/>
      <c r="CW612" s="38"/>
      <c r="CX612" s="39"/>
      <c r="CY612" s="38"/>
      <c r="CZ612" s="39"/>
      <c r="DA612" s="38"/>
      <c r="DB612" s="39"/>
      <c r="DC612" s="38"/>
      <c r="DD612" s="39"/>
      <c r="DE612" s="38"/>
      <c r="DF612" s="39"/>
      <c r="DG612" s="38"/>
      <c r="DH612" s="39"/>
      <c r="DI612" s="38"/>
      <c r="DJ612" s="39"/>
      <c r="DK612" s="38"/>
      <c r="DL612" s="39"/>
      <c r="DM612" s="38"/>
      <c r="DN612" s="39"/>
      <c r="DO612" s="38"/>
      <c r="DP612" s="39"/>
      <c r="DQ612" s="38"/>
      <c r="DR612" s="39"/>
      <c r="DS612" s="38"/>
      <c r="DT612" s="39"/>
      <c r="DU612" s="38"/>
      <c r="DV612" s="39"/>
      <c r="DW612" s="38"/>
      <c r="DX612" s="39"/>
      <c r="DY612" s="38"/>
      <c r="DZ612" s="39"/>
      <c r="EA612" s="38"/>
      <c r="EB612" s="39"/>
      <c r="EC612" s="38"/>
      <c r="ED612" s="39"/>
      <c r="EE612" s="38"/>
      <c r="EF612" s="39"/>
      <c r="EG612" s="38"/>
      <c r="EH612" s="39"/>
      <c r="EI612" s="38"/>
      <c r="EJ612" s="39"/>
      <c r="EK612" s="38"/>
      <c r="EL612" s="39"/>
      <c r="EM612" s="38"/>
      <c r="EN612" s="39"/>
      <c r="EO612" s="38"/>
      <c r="EP612" s="39"/>
      <c r="EQ612" s="38"/>
      <c r="ER612" s="39"/>
      <c r="ES612" s="38"/>
      <c r="ET612" s="460"/>
      <c r="EU612" s="38"/>
      <c r="EV612" s="37"/>
      <c r="EW612" s="36"/>
      <c r="EX612" s="37"/>
      <c r="EY612" s="36"/>
      <c r="EZ612" s="37"/>
      <c r="FA612" s="36"/>
      <c r="FB612" s="37"/>
      <c r="FC612" s="36"/>
      <c r="FD612" s="37"/>
      <c r="FE612" s="36"/>
      <c r="FF612" s="37"/>
      <c r="FG612" s="36"/>
      <c r="FH612" s="37"/>
      <c r="FI612" s="36"/>
      <c r="FJ612" s="37"/>
      <c r="FK612" s="36"/>
      <c r="FL612" s="38"/>
      <c r="FM612" s="36"/>
      <c r="FN612" s="38"/>
      <c r="FO612" s="36"/>
      <c r="FP612" s="38"/>
      <c r="FQ612" s="36"/>
      <c r="FR612" s="38"/>
      <c r="FS612" s="36"/>
      <c r="FT612" s="38"/>
      <c r="FU612" s="36"/>
      <c r="FV612" s="38"/>
      <c r="FW612" s="36"/>
      <c r="FX612" s="38"/>
      <c r="FY612" s="36"/>
      <c r="FZ612" s="38"/>
      <c r="GA612" s="36"/>
      <c r="GB612" s="38"/>
      <c r="GC612" s="36"/>
      <c r="GD612" s="38"/>
      <c r="GE612" s="36"/>
      <c r="GF612" s="38"/>
      <c r="GG612" s="36"/>
      <c r="GH612" s="38"/>
      <c r="GI612" s="36"/>
      <c r="GJ612" s="38"/>
      <c r="GK612" s="36"/>
      <c r="GL612" s="38"/>
      <c r="GM612" s="36"/>
      <c r="GN612" s="38"/>
      <c r="GO612" s="36"/>
      <c r="GP612" s="38"/>
      <c r="GQ612" s="36"/>
      <c r="GR612" s="38"/>
      <c r="GS612" s="36"/>
      <c r="GT612" s="36"/>
      <c r="GU612" s="562"/>
      <c r="GV612" s="562"/>
      <c r="GW612"/>
      <c r="GX612"/>
      <c r="GY612"/>
      <c r="GZ612"/>
      <c r="HA612"/>
      <c r="HB612"/>
      <c r="HC612" s="562"/>
      <c r="HD612" s="562"/>
      <c r="HE612" s="562"/>
      <c r="HF612" s="562"/>
      <c r="HG612" s="562"/>
      <c r="HH612" s="562"/>
      <c r="HI612" s="562"/>
      <c r="HJ612" s="562"/>
      <c r="HK612" s="562"/>
      <c r="HL612" s="562"/>
      <c r="HM612" s="562"/>
      <c r="HN612" s="562"/>
      <c r="HO612" s="562"/>
      <c r="HP612" s="562"/>
      <c r="HQ612" s="562"/>
      <c r="HR612" s="562"/>
      <c r="HS612" s="562"/>
      <c r="HT612" s="562"/>
      <c r="HU612" s="562"/>
      <c r="HV612" s="562"/>
      <c r="HW612" s="562"/>
      <c r="HX612" s="562"/>
      <c r="HY612" s="562"/>
      <c r="HZ612" s="562"/>
      <c r="IA612" s="562"/>
      <c r="IB612" s="562"/>
      <c r="IC612" s="562"/>
      <c r="ID612" s="562"/>
      <c r="IE612" s="562"/>
      <c r="IF612" s="562"/>
      <c r="IG612" s="562"/>
      <c r="IH612" s="562"/>
      <c r="II612" s="562"/>
      <c r="IJ612" s="562"/>
      <c r="IK612" s="562"/>
      <c r="IL612" s="562"/>
      <c r="IM612" s="562"/>
      <c r="IN612" s="562"/>
      <c r="IO612" s="562"/>
      <c r="IP612" s="562"/>
      <c r="IQ612" s="562"/>
      <c r="IR612" s="562"/>
      <c r="IS612" s="562"/>
      <c r="IT612" s="562"/>
      <c r="IU612" s="562"/>
      <c r="IV612" s="562"/>
      <c r="IW612" s="562"/>
      <c r="IX612" s="562"/>
      <c r="IY612" s="562"/>
      <c r="IZ612" s="562"/>
      <c r="JA612" s="562"/>
      <c r="JB612" s="562"/>
      <c r="JC612" s="562"/>
      <c r="JD612" s="562"/>
      <c r="JE612" s="562"/>
      <c r="JF612" s="562"/>
      <c r="JG612" s="562"/>
      <c r="JH612" s="562"/>
      <c r="JI612" s="562"/>
      <c r="JJ612" s="562"/>
      <c r="JK612" s="562"/>
      <c r="JL612" s="562"/>
      <c r="JM612" s="562"/>
      <c r="JN612" s="562"/>
      <c r="JO612" s="562"/>
      <c r="JP612" s="562"/>
      <c r="JQ612" s="562"/>
      <c r="JR612" s="562"/>
      <c r="JS612" s="562"/>
      <c r="JT612" s="562"/>
      <c r="JU612" s="562"/>
      <c r="JV612" s="562"/>
      <c r="JW612" s="562"/>
      <c r="JX612" s="562"/>
      <c r="JY612" s="562"/>
      <c r="JZ612" s="562"/>
    </row>
    <row r="613" spans="1:286" s="13" customFormat="1" ht="12.75" hidden="1" customHeight="1" outlineLevel="1" x14ac:dyDescent="0.2">
      <c r="A613" s="11"/>
      <c r="B613" s="11" t="s">
        <v>470</v>
      </c>
      <c r="C613" s="36"/>
      <c r="D613" s="36"/>
      <c r="E613" s="37"/>
      <c r="F613" s="37"/>
      <c r="G613" s="37"/>
      <c r="H613" s="37"/>
      <c r="I613" s="37"/>
      <c r="J613" s="37"/>
      <c r="K613" s="37"/>
      <c r="L613" s="37"/>
      <c r="M613" s="37"/>
      <c r="N613" s="36"/>
      <c r="O613" s="37"/>
      <c r="P613" s="36"/>
      <c r="Q613" s="37"/>
      <c r="R613" s="36"/>
      <c r="S613" s="37"/>
      <c r="T613" s="36"/>
      <c r="U613" s="37"/>
      <c r="V613" s="36"/>
      <c r="W613" s="37"/>
      <c r="X613" s="36"/>
      <c r="Y613" s="37"/>
      <c r="Z613" s="36"/>
      <c r="AA613" s="34"/>
      <c r="AB613" s="36"/>
      <c r="AC613" s="37"/>
      <c r="AD613" s="36"/>
      <c r="AE613" s="38"/>
      <c r="AF613" s="36"/>
      <c r="AG613" s="38"/>
      <c r="AH613" s="36"/>
      <c r="AI613" s="38"/>
      <c r="AJ613" s="36"/>
      <c r="AK613" s="38"/>
      <c r="AL613" s="36"/>
      <c r="AM613" s="38"/>
      <c r="AN613" s="36"/>
      <c r="AO613" s="38"/>
      <c r="AP613" s="36"/>
      <c r="AQ613" s="38"/>
      <c r="AR613" s="36"/>
      <c r="AS613" s="38"/>
      <c r="AT613" s="39"/>
      <c r="AU613" s="38"/>
      <c r="AV613" s="39"/>
      <c r="AW613" s="38"/>
      <c r="AX613" s="39"/>
      <c r="AY613" s="38"/>
      <c r="AZ613" s="39"/>
      <c r="BA613" s="38"/>
      <c r="BB613" s="39"/>
      <c r="BC613" s="38"/>
      <c r="BD613" s="39"/>
      <c r="BE613" s="38"/>
      <c r="BF613" s="39"/>
      <c r="BG613" s="38"/>
      <c r="BH613" s="39"/>
      <c r="BI613" s="38"/>
      <c r="BJ613" s="39"/>
      <c r="BK613" s="38"/>
      <c r="BL613" s="39"/>
      <c r="BM613" s="38"/>
      <c r="BN613" s="39"/>
      <c r="BO613" s="38"/>
      <c r="BP613" s="39"/>
      <c r="BQ613" s="38"/>
      <c r="BR613" s="39"/>
      <c r="BS613" s="38"/>
      <c r="BT613" s="39"/>
      <c r="BU613" s="38"/>
      <c r="BV613" s="39"/>
      <c r="BW613" s="38"/>
      <c r="BX613" s="39"/>
      <c r="BY613" s="38"/>
      <c r="BZ613" s="39"/>
      <c r="CA613" s="38"/>
      <c r="CB613" s="39"/>
      <c r="CC613" s="38"/>
      <c r="CD613" s="39"/>
      <c r="CE613" s="38"/>
      <c r="CF613" s="39"/>
      <c r="CG613" s="38"/>
      <c r="CH613" s="39"/>
      <c r="CI613" s="38"/>
      <c r="CJ613" s="39"/>
      <c r="CK613" s="38"/>
      <c r="CL613" s="39"/>
      <c r="CM613" s="38"/>
      <c r="CN613" s="39"/>
      <c r="CO613" s="38"/>
      <c r="CP613" s="39"/>
      <c r="CQ613" s="38"/>
      <c r="CR613" s="39"/>
      <c r="CS613" s="38"/>
      <c r="CT613" s="39"/>
      <c r="CU613" s="38"/>
      <c r="CV613" s="39"/>
      <c r="CW613" s="38"/>
      <c r="CX613" s="39"/>
      <c r="CY613" s="38"/>
      <c r="CZ613" s="39"/>
      <c r="DA613" s="38"/>
      <c r="DB613" s="39"/>
      <c r="DC613" s="38"/>
      <c r="DD613" s="39"/>
      <c r="DE613" s="38"/>
      <c r="DF613" s="39"/>
      <c r="DG613" s="38"/>
      <c r="DH613" s="39"/>
      <c r="DI613" s="38"/>
      <c r="DJ613" s="39"/>
      <c r="DK613" s="38"/>
      <c r="DL613" s="39"/>
      <c r="DM613" s="38"/>
      <c r="DN613" s="39"/>
      <c r="DO613" s="38"/>
      <c r="DP613" s="39"/>
      <c r="DQ613" s="38"/>
      <c r="DR613" s="39"/>
      <c r="DS613" s="38"/>
      <c r="DT613" s="39"/>
      <c r="DU613" s="38"/>
      <c r="DV613" s="39"/>
      <c r="DW613" s="38"/>
      <c r="DX613" s="39"/>
      <c r="DY613" s="38"/>
      <c r="DZ613" s="39"/>
      <c r="EA613" s="38">
        <f>EA119</f>
        <v>50.292911540714705</v>
      </c>
      <c r="EB613" s="39"/>
      <c r="EC613" s="38">
        <f>EC119</f>
        <v>49.188891943909816</v>
      </c>
      <c r="ED613" s="39"/>
      <c r="EE613" s="38">
        <f>EE119</f>
        <v>49.016892827471608</v>
      </c>
      <c r="EF613" s="39"/>
      <c r="EG613" s="38">
        <f>EG119</f>
        <v>48.405148293228876</v>
      </c>
      <c r="EH613" s="39"/>
      <c r="EI613" s="38">
        <f>EI119</f>
        <v>46.567666012888765</v>
      </c>
      <c r="EJ613" s="39"/>
      <c r="EK613" s="46">
        <f t="shared" ref="EK613:EQ613" si="2347">EK119</f>
        <v>47.567666012888765</v>
      </c>
      <c r="EL613" s="39"/>
      <c r="EM613" s="46">
        <f t="shared" si="2347"/>
        <v>47.567666012888765</v>
      </c>
      <c r="EN613" s="39"/>
      <c r="EO613" s="46">
        <f t="shared" si="2347"/>
        <v>47.567666012888765</v>
      </c>
      <c r="EP613" s="39"/>
      <c r="EQ613" s="46">
        <f t="shared" si="2347"/>
        <v>47.567666012888765</v>
      </c>
      <c r="ER613" s="39"/>
      <c r="ES613" s="38"/>
      <c r="ET613" s="460"/>
      <c r="EU613" s="38"/>
      <c r="EV613" s="37"/>
      <c r="EW613" s="36"/>
      <c r="EX613" s="37"/>
      <c r="EY613" s="36"/>
      <c r="EZ613" s="37"/>
      <c r="FA613" s="36"/>
      <c r="FB613" s="37"/>
      <c r="FC613" s="36"/>
      <c r="FD613" s="37"/>
      <c r="FE613" s="36"/>
      <c r="FF613" s="37"/>
      <c r="FG613" s="36"/>
      <c r="FH613" s="37"/>
      <c r="FI613" s="36"/>
      <c r="FJ613" s="37"/>
      <c r="FK613" s="36"/>
      <c r="FL613" s="38"/>
      <c r="FM613" s="36"/>
      <c r="FN613" s="38"/>
      <c r="FO613" s="36"/>
      <c r="FP613" s="38"/>
      <c r="FQ613" s="36"/>
      <c r="FR613" s="47"/>
      <c r="FS613" s="36"/>
      <c r="FT613" s="47"/>
      <c r="FU613" s="36"/>
      <c r="FV613" s="47"/>
      <c r="FW613" s="36"/>
      <c r="FX613" s="47"/>
      <c r="FY613" s="36"/>
      <c r="FZ613" s="47"/>
      <c r="GA613" s="36"/>
      <c r="GB613" s="47"/>
      <c r="GC613" s="36"/>
      <c r="GD613" s="47"/>
      <c r="GE613" s="36"/>
      <c r="GF613" s="47"/>
      <c r="GG613" s="36"/>
      <c r="GH613" s="47"/>
      <c r="GI613" s="36"/>
      <c r="GJ613" s="47"/>
      <c r="GK613" s="36"/>
      <c r="GL613" s="46">
        <f>GL119</f>
        <v>47.567666012888758</v>
      </c>
      <c r="GM613" s="36"/>
      <c r="GN613" s="46">
        <f>GN119</f>
        <v>47.567666012888758</v>
      </c>
      <c r="GO613" s="36"/>
      <c r="GP613" s="46">
        <f>GP119</f>
        <v>47.567666012888758</v>
      </c>
      <c r="GQ613" s="36"/>
      <c r="GR613" s="46">
        <f>GR119</f>
        <v>47.667666012888759</v>
      </c>
      <c r="GS613" s="36"/>
      <c r="GT613" s="36"/>
      <c r="GU613" s="562"/>
      <c r="GV613" s="562"/>
      <c r="GW613"/>
      <c r="GX613"/>
      <c r="GY613"/>
      <c r="GZ613"/>
      <c r="HA613"/>
      <c r="HB613"/>
      <c r="HC613" s="562"/>
      <c r="HD613" s="562"/>
      <c r="HE613" s="562"/>
      <c r="HF613" s="562"/>
      <c r="HG613" s="562"/>
      <c r="HH613" s="562"/>
      <c r="HI613" s="562"/>
      <c r="HJ613" s="562"/>
      <c r="HK613" s="562"/>
      <c r="HL613" s="562"/>
      <c r="HM613" s="562"/>
      <c r="HN613" s="562"/>
      <c r="HO613" s="562"/>
      <c r="HP613" s="562"/>
      <c r="HQ613" s="562"/>
      <c r="HR613" s="562"/>
      <c r="HS613" s="562"/>
      <c r="HT613" s="562"/>
      <c r="HU613" s="562"/>
      <c r="HV613" s="562"/>
      <c r="HW613" s="562"/>
      <c r="HX613" s="562"/>
      <c r="HY613" s="562"/>
      <c r="HZ613" s="562"/>
      <c r="IA613" s="562"/>
      <c r="IB613" s="562"/>
      <c r="IC613" s="562"/>
      <c r="ID613" s="562"/>
      <c r="IE613" s="562"/>
      <c r="IF613" s="562"/>
      <c r="IG613" s="562"/>
      <c r="IH613" s="562"/>
      <c r="II613" s="562"/>
      <c r="IJ613" s="562"/>
      <c r="IK613" s="562"/>
      <c r="IL613" s="562"/>
      <c r="IM613" s="562"/>
      <c r="IN613" s="562"/>
      <c r="IO613" s="562"/>
      <c r="IP613" s="562"/>
      <c r="IQ613" s="562"/>
      <c r="IR613" s="562"/>
      <c r="IS613" s="562"/>
      <c r="IT613" s="562"/>
      <c r="IU613" s="562"/>
      <c r="IV613" s="562"/>
      <c r="IW613" s="562"/>
      <c r="IX613" s="562"/>
      <c r="IY613" s="562"/>
      <c r="IZ613" s="562"/>
      <c r="JA613" s="562"/>
      <c r="JB613" s="562"/>
      <c r="JC613" s="562"/>
      <c r="JD613" s="562"/>
      <c r="JE613" s="562"/>
      <c r="JF613" s="562"/>
      <c r="JG613" s="562"/>
      <c r="JH613" s="562"/>
      <c r="JI613" s="562"/>
      <c r="JJ613" s="562"/>
      <c r="JK613" s="562"/>
      <c r="JL613" s="562"/>
      <c r="JM613" s="562"/>
      <c r="JN613" s="562"/>
      <c r="JO613" s="562"/>
      <c r="JP613" s="562"/>
      <c r="JQ613" s="562"/>
      <c r="JR613" s="562"/>
      <c r="JS613" s="562"/>
      <c r="JT613" s="562"/>
      <c r="JU613" s="562"/>
      <c r="JV613" s="562"/>
      <c r="JW613" s="562"/>
      <c r="JX613" s="562"/>
      <c r="JY613" s="562"/>
      <c r="JZ613" s="562"/>
    </row>
    <row r="614" spans="1:286" s="13" customFormat="1" ht="12.75" hidden="1" customHeight="1" outlineLevel="1" x14ac:dyDescent="0.2">
      <c r="A614" s="11"/>
      <c r="B614" s="11" t="s">
        <v>273</v>
      </c>
      <c r="C614" s="36"/>
      <c r="D614" s="36"/>
      <c r="E614" s="37"/>
      <c r="F614" s="37"/>
      <c r="G614" s="37"/>
      <c r="H614" s="37"/>
      <c r="I614" s="37"/>
      <c r="J614" s="37"/>
      <c r="K614" s="37"/>
      <c r="L614" s="37"/>
      <c r="M614" s="37"/>
      <c r="N614" s="36"/>
      <c r="O614" s="37"/>
      <c r="P614" s="36"/>
      <c r="Q614" s="37"/>
      <c r="R614" s="36"/>
      <c r="S614" s="37"/>
      <c r="T614" s="36"/>
      <c r="U614" s="37"/>
      <c r="V614" s="36"/>
      <c r="W614" s="37"/>
      <c r="X614" s="36"/>
      <c r="Y614" s="37"/>
      <c r="Z614" s="36"/>
      <c r="AA614" s="34"/>
      <c r="AB614" s="36"/>
      <c r="AC614" s="37"/>
      <c r="AD614" s="36"/>
      <c r="AE614" s="38"/>
      <c r="AF614" s="36"/>
      <c r="AG614" s="38"/>
      <c r="AH614" s="36"/>
      <c r="AI614" s="38"/>
      <c r="AJ614" s="36"/>
      <c r="AK614" s="38"/>
      <c r="AL614" s="36"/>
      <c r="AM614" s="38"/>
      <c r="AN614" s="36"/>
      <c r="AO614" s="38"/>
      <c r="AP614" s="36"/>
      <c r="AQ614" s="38"/>
      <c r="AR614" s="36"/>
      <c r="AS614" s="38"/>
      <c r="AT614" s="39"/>
      <c r="AU614" s="38"/>
      <c r="AV614" s="39"/>
      <c r="AW614" s="38"/>
      <c r="AX614" s="39"/>
      <c r="AY614" s="38"/>
      <c r="AZ614" s="39"/>
      <c r="BA614" s="38"/>
      <c r="BB614" s="39"/>
      <c r="BC614" s="38"/>
      <c r="BD614" s="39"/>
      <c r="BE614" s="38"/>
      <c r="BF614" s="39"/>
      <c r="BG614" s="38"/>
      <c r="BH614" s="39"/>
      <c r="BI614" s="38"/>
      <c r="BJ614" s="39"/>
      <c r="BK614" s="38"/>
      <c r="BL614" s="39"/>
      <c r="BM614" s="38"/>
      <c r="BN614" s="39"/>
      <c r="BO614" s="38"/>
      <c r="BP614" s="39"/>
      <c r="BQ614" s="38"/>
      <c r="BR614" s="39"/>
      <c r="BS614" s="38"/>
      <c r="BT614" s="39"/>
      <c r="BU614" s="38"/>
      <c r="BV614" s="39"/>
      <c r="BW614" s="38"/>
      <c r="BX614" s="39"/>
      <c r="BY614" s="38"/>
      <c r="BZ614" s="39"/>
      <c r="CA614" s="38"/>
      <c r="CB614" s="39"/>
      <c r="CC614" s="38"/>
      <c r="CD614" s="39"/>
      <c r="CE614" s="38"/>
      <c r="CF614" s="39"/>
      <c r="CG614" s="38"/>
      <c r="CH614" s="39"/>
      <c r="CI614" s="38"/>
      <c r="CJ614" s="39"/>
      <c r="CK614" s="38"/>
      <c r="CL614" s="39"/>
      <c r="CM614" s="38"/>
      <c r="CN614" s="39"/>
      <c r="CO614" s="38"/>
      <c r="CP614" s="39"/>
      <c r="CQ614" s="38"/>
      <c r="CR614" s="39"/>
      <c r="CS614" s="38"/>
      <c r="CT614" s="39"/>
      <c r="CU614" s="38"/>
      <c r="CV614" s="39"/>
      <c r="CW614" s="38"/>
      <c r="CX614" s="39"/>
      <c r="CY614" s="38"/>
      <c r="CZ614" s="39"/>
      <c r="DA614" s="38"/>
      <c r="DB614" s="39"/>
      <c r="DC614" s="38"/>
      <c r="DD614" s="39"/>
      <c r="DE614" s="38"/>
      <c r="DF614" s="39"/>
      <c r="DG614" s="38"/>
      <c r="DH614" s="39"/>
      <c r="DI614" s="38"/>
      <c r="DJ614" s="39"/>
      <c r="DK614" s="38"/>
      <c r="DL614" s="39"/>
      <c r="DM614" s="38"/>
      <c r="DN614" s="39"/>
      <c r="DO614" s="38"/>
      <c r="DP614" s="39"/>
      <c r="DQ614" s="38"/>
      <c r="DR614" s="39"/>
      <c r="DS614" s="38"/>
      <c r="DT614" s="39"/>
      <c r="DU614" s="38"/>
      <c r="DV614" s="39"/>
      <c r="DW614" s="38"/>
      <c r="DX614" s="39"/>
      <c r="DY614" s="38"/>
      <c r="DZ614" s="39"/>
      <c r="EA614" s="38">
        <v>-1.5</v>
      </c>
      <c r="EB614" s="39"/>
      <c r="EC614" s="38">
        <v>-1.5</v>
      </c>
      <c r="ED614" s="39"/>
      <c r="EE614" s="38">
        <v>-1.5</v>
      </c>
      <c r="EF614" s="39"/>
      <c r="EG614" s="38">
        <v>-1.5</v>
      </c>
      <c r="EH614" s="39"/>
      <c r="EI614" s="38">
        <v>-1.5</v>
      </c>
      <c r="EJ614" s="39"/>
      <c r="EK614" s="43">
        <v>-1.5</v>
      </c>
      <c r="EL614" s="39"/>
      <c r="EM614" s="43">
        <v>-1.5</v>
      </c>
      <c r="EN614" s="39"/>
      <c r="EO614" s="43">
        <v>-1.5</v>
      </c>
      <c r="EP614" s="39"/>
      <c r="EQ614" s="43">
        <v>-1.5</v>
      </c>
      <c r="ER614" s="39"/>
      <c r="ES614" s="48"/>
      <c r="ET614" s="463"/>
      <c r="EU614" s="48"/>
      <c r="EV614" s="49"/>
      <c r="EW614" s="50"/>
      <c r="EX614" s="49"/>
      <c r="EY614" s="50"/>
      <c r="EZ614" s="49"/>
      <c r="FA614" s="50"/>
      <c r="FB614" s="49"/>
      <c r="FC614" s="50"/>
      <c r="FD614" s="49"/>
      <c r="FE614" s="50"/>
      <c r="FF614" s="49"/>
      <c r="FG614" s="50"/>
      <c r="FH614" s="49"/>
      <c r="FI614" s="50"/>
      <c r="FJ614" s="49"/>
      <c r="FK614" s="50"/>
      <c r="FL614" s="48"/>
      <c r="FM614" s="50"/>
      <c r="FN614" s="48"/>
      <c r="FO614" s="50"/>
      <c r="FP614" s="48"/>
      <c r="FQ614" s="50"/>
      <c r="FR614" s="44"/>
      <c r="FS614" s="50"/>
      <c r="FT614" s="44"/>
      <c r="FU614" s="50"/>
      <c r="FV614" s="44"/>
      <c r="FW614" s="50"/>
      <c r="FX614" s="44"/>
      <c r="FY614" s="50"/>
      <c r="FZ614" s="44"/>
      <c r="GA614" s="50"/>
      <c r="GB614" s="44"/>
      <c r="GC614" s="50"/>
      <c r="GD614" s="44"/>
      <c r="GE614" s="50"/>
      <c r="GF614" s="44"/>
      <c r="GG614" s="50"/>
      <c r="GH614" s="44"/>
      <c r="GI614" s="50"/>
      <c r="GJ614" s="44"/>
      <c r="GK614" s="50"/>
      <c r="GL614" s="43">
        <v>-1.5</v>
      </c>
      <c r="GM614" s="50"/>
      <c r="GN614" s="43">
        <v>-1.5</v>
      </c>
      <c r="GO614" s="50"/>
      <c r="GP614" s="43">
        <v>-1.5</v>
      </c>
      <c r="GQ614" s="50"/>
      <c r="GR614" s="43">
        <v>-1.5</v>
      </c>
      <c r="GS614" s="50"/>
      <c r="GT614" s="36"/>
      <c r="GU614" s="562"/>
      <c r="GV614" s="562"/>
      <c r="GW614"/>
      <c r="GX614"/>
      <c r="GY614"/>
      <c r="GZ614"/>
      <c r="HA614"/>
      <c r="HB614"/>
      <c r="HC614" s="562"/>
      <c r="HD614" s="562"/>
      <c r="HE614" s="562"/>
      <c r="HF614" s="562"/>
      <c r="HG614" s="562"/>
      <c r="HH614" s="562"/>
      <c r="HI614" s="562"/>
      <c r="HJ614" s="562"/>
      <c r="HK614" s="562"/>
      <c r="HL614" s="562"/>
      <c r="HM614" s="562"/>
      <c r="HN614" s="562"/>
      <c r="HO614" s="562"/>
      <c r="HP614" s="562"/>
      <c r="HQ614" s="562"/>
      <c r="HR614" s="562"/>
      <c r="HS614" s="562"/>
      <c r="HT614" s="562"/>
      <c r="HU614" s="562"/>
      <c r="HV614" s="562"/>
      <c r="HW614" s="562"/>
      <c r="HX614" s="562"/>
      <c r="HY614" s="562"/>
      <c r="HZ614" s="562"/>
      <c r="IA614" s="562"/>
      <c r="IB614" s="562"/>
      <c r="IC614" s="562"/>
      <c r="ID614" s="562"/>
      <c r="IE614" s="562"/>
      <c r="IF614" s="562"/>
      <c r="IG614" s="562"/>
      <c r="IH614" s="562"/>
      <c r="II614" s="562"/>
      <c r="IJ614" s="562"/>
      <c r="IK614" s="562"/>
      <c r="IL614" s="562"/>
      <c r="IM614" s="562"/>
      <c r="IN614" s="562"/>
      <c r="IO614" s="562"/>
      <c r="IP614" s="562"/>
      <c r="IQ614" s="562"/>
      <c r="IR614" s="562"/>
      <c r="IS614" s="562"/>
      <c r="IT614" s="562"/>
      <c r="IU614" s="562"/>
      <c r="IV614" s="562"/>
      <c r="IW614" s="562"/>
      <c r="IX614" s="562"/>
      <c r="IY614" s="562"/>
      <c r="IZ614" s="562"/>
      <c r="JA614" s="562"/>
      <c r="JB614" s="562"/>
      <c r="JC614" s="562"/>
      <c r="JD614" s="562"/>
      <c r="JE614" s="562"/>
      <c r="JF614" s="562"/>
      <c r="JG614" s="562"/>
      <c r="JH614" s="562"/>
      <c r="JI614" s="562"/>
      <c r="JJ614" s="562"/>
      <c r="JK614" s="562"/>
      <c r="JL614" s="562"/>
      <c r="JM614" s="562"/>
      <c r="JN614" s="562"/>
      <c r="JO614" s="562"/>
      <c r="JP614" s="562"/>
      <c r="JQ614" s="562"/>
      <c r="JR614" s="562"/>
      <c r="JS614" s="562"/>
      <c r="JT614" s="562"/>
      <c r="JU614" s="562"/>
      <c r="JV614" s="562"/>
      <c r="JW614" s="562"/>
      <c r="JX614" s="562"/>
      <c r="JY614" s="562"/>
      <c r="JZ614" s="562"/>
    </row>
    <row r="615" spans="1:286" s="13" customFormat="1" ht="12.75" hidden="1" customHeight="1" outlineLevel="1" x14ac:dyDescent="0.2">
      <c r="A615" s="11"/>
      <c r="B615" s="11" t="s">
        <v>274</v>
      </c>
      <c r="C615" s="36"/>
      <c r="D615" s="36"/>
      <c r="E615" s="37"/>
      <c r="F615" s="37"/>
      <c r="G615" s="37"/>
      <c r="H615" s="37"/>
      <c r="I615" s="37"/>
      <c r="J615" s="37"/>
      <c r="K615" s="37"/>
      <c r="L615" s="37"/>
      <c r="M615" s="37"/>
      <c r="N615" s="36"/>
      <c r="O615" s="37"/>
      <c r="P615" s="36"/>
      <c r="Q615" s="37"/>
      <c r="R615" s="36"/>
      <c r="S615" s="37"/>
      <c r="T615" s="36"/>
      <c r="U615" s="37"/>
      <c r="V615" s="36"/>
      <c r="W615" s="37"/>
      <c r="X615" s="36"/>
      <c r="Y615" s="37"/>
      <c r="Z615" s="36"/>
      <c r="AA615" s="34"/>
      <c r="AB615" s="36"/>
      <c r="AC615" s="37"/>
      <c r="AD615" s="36"/>
      <c r="AE615" s="38"/>
      <c r="AF615" s="36"/>
      <c r="AG615" s="38"/>
      <c r="AH615" s="36"/>
      <c r="AI615" s="38"/>
      <c r="AJ615" s="36"/>
      <c r="AK615" s="38"/>
      <c r="AL615" s="36"/>
      <c r="AM615" s="38"/>
      <c r="AN615" s="36"/>
      <c r="AO615" s="38"/>
      <c r="AP615" s="36"/>
      <c r="AQ615" s="38"/>
      <c r="AR615" s="36"/>
      <c r="AS615" s="38"/>
      <c r="AT615" s="39"/>
      <c r="AU615" s="38"/>
      <c r="AV615" s="39"/>
      <c r="AW615" s="38"/>
      <c r="AX615" s="39"/>
      <c r="AY615" s="38"/>
      <c r="AZ615" s="39"/>
      <c r="BA615" s="38"/>
      <c r="BB615" s="39"/>
      <c r="BC615" s="38"/>
      <c r="BD615" s="39"/>
      <c r="BE615" s="38"/>
      <c r="BF615" s="39"/>
      <c r="BG615" s="38"/>
      <c r="BH615" s="39"/>
      <c r="BI615" s="38"/>
      <c r="BJ615" s="39"/>
      <c r="BK615" s="38"/>
      <c r="BL615" s="39"/>
      <c r="BM615" s="38"/>
      <c r="BN615" s="39"/>
      <c r="BO615" s="38"/>
      <c r="BP615" s="39"/>
      <c r="BQ615" s="38"/>
      <c r="BR615" s="39"/>
      <c r="BS615" s="38"/>
      <c r="BT615" s="39"/>
      <c r="BU615" s="38"/>
      <c r="BV615" s="39"/>
      <c r="BW615" s="38"/>
      <c r="BX615" s="39"/>
      <c r="BY615" s="38"/>
      <c r="BZ615" s="39"/>
      <c r="CA615" s="38"/>
      <c r="CB615" s="39"/>
      <c r="CC615" s="38"/>
      <c r="CD615" s="39"/>
      <c r="CE615" s="38"/>
      <c r="CF615" s="39"/>
      <c r="CG615" s="38"/>
      <c r="CH615" s="39"/>
      <c r="CI615" s="38"/>
      <c r="CJ615" s="39"/>
      <c r="CK615" s="38"/>
      <c r="CL615" s="39"/>
      <c r="CM615" s="38"/>
      <c r="CN615" s="39"/>
      <c r="CO615" s="38"/>
      <c r="CP615" s="39"/>
      <c r="CQ615" s="38"/>
      <c r="CR615" s="39"/>
      <c r="CS615" s="38"/>
      <c r="CT615" s="39"/>
      <c r="CU615" s="38"/>
      <c r="CV615" s="39"/>
      <c r="CW615" s="38"/>
      <c r="CX615" s="39"/>
      <c r="CY615" s="38"/>
      <c r="CZ615" s="39"/>
      <c r="DA615" s="38"/>
      <c r="DB615" s="39"/>
      <c r="DC615" s="38"/>
      <c r="DD615" s="39"/>
      <c r="DE615" s="38"/>
      <c r="DF615" s="39"/>
      <c r="DG615" s="38"/>
      <c r="DH615" s="39"/>
      <c r="DI615" s="38"/>
      <c r="DJ615" s="39"/>
      <c r="DK615" s="38"/>
      <c r="DL615" s="39"/>
      <c r="DM615" s="38"/>
      <c r="DN615" s="39"/>
      <c r="DO615" s="38"/>
      <c r="DP615" s="39"/>
      <c r="DQ615" s="38"/>
      <c r="DR615" s="39"/>
      <c r="DS615" s="38"/>
      <c r="DT615" s="39"/>
      <c r="DU615" s="38"/>
      <c r="DV615" s="39"/>
      <c r="DW615" s="38"/>
      <c r="DX615" s="39"/>
      <c r="DY615" s="38"/>
      <c r="DZ615" s="39"/>
      <c r="EA615" s="38">
        <v>2</v>
      </c>
      <c r="EB615" s="39"/>
      <c r="EC615" s="38">
        <v>2</v>
      </c>
      <c r="ED615" s="39"/>
      <c r="EE615" s="38">
        <v>2</v>
      </c>
      <c r="EF615" s="39"/>
      <c r="EG615" s="38">
        <v>2</v>
      </c>
      <c r="EH615" s="39"/>
      <c r="EI615" s="38">
        <v>2</v>
      </c>
      <c r="EJ615" s="39"/>
      <c r="EK615" s="45">
        <v>2</v>
      </c>
      <c r="EL615" s="39"/>
      <c r="EM615" s="45">
        <v>2</v>
      </c>
      <c r="EN615" s="39"/>
      <c r="EO615" s="45">
        <v>2</v>
      </c>
      <c r="EP615" s="39"/>
      <c r="EQ615" s="45">
        <v>2</v>
      </c>
      <c r="ER615" s="39"/>
      <c r="ES615" s="48"/>
      <c r="ET615" s="463"/>
      <c r="EU615" s="48"/>
      <c r="EV615" s="49"/>
      <c r="EW615" s="50"/>
      <c r="EX615" s="49"/>
      <c r="EY615" s="50"/>
      <c r="EZ615" s="49"/>
      <c r="FA615" s="50"/>
      <c r="FB615" s="49"/>
      <c r="FC615" s="50"/>
      <c r="FD615" s="49"/>
      <c r="FE615" s="50"/>
      <c r="FF615" s="49"/>
      <c r="FG615" s="50"/>
      <c r="FH615" s="49"/>
      <c r="FI615" s="50"/>
      <c r="FJ615" s="49"/>
      <c r="FK615" s="50"/>
      <c r="FL615" s="48"/>
      <c r="FM615" s="50"/>
      <c r="FN615" s="48"/>
      <c r="FO615" s="50"/>
      <c r="FP615" s="48"/>
      <c r="FQ615" s="50"/>
      <c r="FR615" s="44"/>
      <c r="FS615" s="50"/>
      <c r="FT615" s="44"/>
      <c r="FU615" s="50"/>
      <c r="FV615" s="44"/>
      <c r="FW615" s="50"/>
      <c r="FX615" s="44"/>
      <c r="FY615" s="50"/>
      <c r="FZ615" s="44"/>
      <c r="GA615" s="50"/>
      <c r="GB615" s="44"/>
      <c r="GC615" s="50"/>
      <c r="GD615" s="44"/>
      <c r="GE615" s="50"/>
      <c r="GF615" s="44"/>
      <c r="GG615" s="50"/>
      <c r="GH615" s="44"/>
      <c r="GI615" s="50"/>
      <c r="GJ615" s="44"/>
      <c r="GK615" s="50"/>
      <c r="GL615" s="45">
        <v>2</v>
      </c>
      <c r="GM615" s="50"/>
      <c r="GN615" s="45">
        <v>2</v>
      </c>
      <c r="GO615" s="50"/>
      <c r="GP615" s="45">
        <v>2</v>
      </c>
      <c r="GQ615" s="50"/>
      <c r="GR615" s="45">
        <v>2</v>
      </c>
      <c r="GS615" s="50"/>
      <c r="GT615" s="36"/>
      <c r="GU615" s="562"/>
      <c r="GV615" s="562"/>
      <c r="GW615"/>
      <c r="GX615"/>
      <c r="GY615"/>
      <c r="GZ615"/>
      <c r="HA615"/>
      <c r="HB615"/>
      <c r="HC615" s="562"/>
      <c r="HD615" s="562"/>
      <c r="HE615" s="562"/>
      <c r="HF615" s="562"/>
      <c r="HG615" s="562"/>
      <c r="HH615" s="562"/>
      <c r="HI615" s="562"/>
      <c r="HJ615" s="562"/>
      <c r="HK615" s="562"/>
      <c r="HL615" s="562"/>
      <c r="HM615" s="562"/>
      <c r="HN615" s="562"/>
      <c r="HO615" s="562"/>
      <c r="HP615" s="562"/>
      <c r="HQ615" s="562"/>
      <c r="HR615" s="562"/>
      <c r="HS615" s="562"/>
      <c r="HT615" s="562"/>
      <c r="HU615" s="562"/>
      <c r="HV615" s="562"/>
      <c r="HW615" s="562"/>
      <c r="HX615" s="562"/>
      <c r="HY615" s="562"/>
      <c r="HZ615" s="562"/>
      <c r="IA615" s="562"/>
      <c r="IB615" s="562"/>
      <c r="IC615" s="562"/>
      <c r="ID615" s="562"/>
      <c r="IE615" s="562"/>
      <c r="IF615" s="562"/>
      <c r="IG615" s="562"/>
      <c r="IH615" s="562"/>
      <c r="II615" s="562"/>
      <c r="IJ615" s="562"/>
      <c r="IK615" s="562"/>
      <c r="IL615" s="562"/>
      <c r="IM615" s="562"/>
      <c r="IN615" s="562"/>
      <c r="IO615" s="562"/>
      <c r="IP615" s="562"/>
      <c r="IQ615" s="562"/>
      <c r="IR615" s="562"/>
      <c r="IS615" s="562"/>
      <c r="IT615" s="562"/>
      <c r="IU615" s="562"/>
      <c r="IV615" s="562"/>
      <c r="IW615" s="562"/>
      <c r="IX615" s="562"/>
      <c r="IY615" s="562"/>
      <c r="IZ615" s="562"/>
      <c r="JA615" s="562"/>
      <c r="JB615" s="562"/>
      <c r="JC615" s="562"/>
      <c r="JD615" s="562"/>
      <c r="JE615" s="562"/>
      <c r="JF615" s="562"/>
      <c r="JG615" s="562"/>
      <c r="JH615" s="562"/>
      <c r="JI615" s="562"/>
      <c r="JJ615" s="562"/>
      <c r="JK615" s="562"/>
      <c r="JL615" s="562"/>
      <c r="JM615" s="562"/>
      <c r="JN615" s="562"/>
      <c r="JO615" s="562"/>
      <c r="JP615" s="562"/>
      <c r="JQ615" s="562"/>
      <c r="JR615" s="562"/>
      <c r="JS615" s="562"/>
      <c r="JT615" s="562"/>
      <c r="JU615" s="562"/>
      <c r="JV615" s="562"/>
      <c r="JW615" s="562"/>
      <c r="JX615" s="562"/>
      <c r="JY615" s="562"/>
      <c r="JZ615" s="562"/>
    </row>
    <row r="616" spans="1:286" s="13" customFormat="1" ht="12.75" hidden="1" customHeight="1" outlineLevel="1" x14ac:dyDescent="0.2">
      <c r="A616" s="11"/>
      <c r="B616" s="11"/>
      <c r="C616" s="36"/>
      <c r="D616" s="36"/>
      <c r="E616" s="37"/>
      <c r="F616" s="37"/>
      <c r="G616" s="37"/>
      <c r="H616" s="37"/>
      <c r="I616" s="37"/>
      <c r="J616" s="37"/>
      <c r="K616" s="37"/>
      <c r="L616" s="37"/>
      <c r="M616" s="37"/>
      <c r="N616" s="36"/>
      <c r="O616" s="37"/>
      <c r="P616" s="36"/>
      <c r="Q616" s="37"/>
      <c r="R616" s="36"/>
      <c r="S616" s="37"/>
      <c r="T616" s="36"/>
      <c r="U616" s="37"/>
      <c r="V616" s="36"/>
      <c r="W616" s="37"/>
      <c r="X616" s="36"/>
      <c r="Y616" s="37"/>
      <c r="Z616" s="36"/>
      <c r="AA616" s="34"/>
      <c r="AB616" s="36"/>
      <c r="AC616" s="37"/>
      <c r="AD616" s="36"/>
      <c r="AE616" s="38"/>
      <c r="AF616" s="36"/>
      <c r="AG616" s="38"/>
      <c r="AH616" s="36"/>
      <c r="AI616" s="38"/>
      <c r="AJ616" s="36"/>
      <c r="AK616" s="38"/>
      <c r="AL616" s="36"/>
      <c r="AM616" s="38"/>
      <c r="AN616" s="36"/>
      <c r="AO616" s="38"/>
      <c r="AP616" s="36"/>
      <c r="AQ616" s="38"/>
      <c r="AR616" s="36"/>
      <c r="AS616" s="38"/>
      <c r="AT616" s="39"/>
      <c r="AU616" s="38"/>
      <c r="AV616" s="39"/>
      <c r="AW616" s="38"/>
      <c r="AX616" s="39"/>
      <c r="AY616" s="38"/>
      <c r="AZ616" s="39"/>
      <c r="BA616" s="38"/>
      <c r="BB616" s="39"/>
      <c r="BC616" s="38"/>
      <c r="BD616" s="39"/>
      <c r="BE616" s="38"/>
      <c r="BF616" s="39"/>
      <c r="BG616" s="38"/>
      <c r="BH616" s="39"/>
      <c r="BI616" s="38"/>
      <c r="BJ616" s="39"/>
      <c r="BK616" s="38"/>
      <c r="BL616" s="39"/>
      <c r="BM616" s="38"/>
      <c r="BN616" s="39"/>
      <c r="BO616" s="38"/>
      <c r="BP616" s="39"/>
      <c r="BQ616" s="38"/>
      <c r="BR616" s="39"/>
      <c r="BS616" s="38"/>
      <c r="BT616" s="39"/>
      <c r="BU616" s="38"/>
      <c r="BV616" s="39"/>
      <c r="BW616" s="38"/>
      <c r="BX616" s="39"/>
      <c r="BY616" s="38"/>
      <c r="BZ616" s="39"/>
      <c r="CA616" s="38"/>
      <c r="CB616" s="39"/>
      <c r="CC616" s="38"/>
      <c r="CD616" s="39"/>
      <c r="CE616" s="38"/>
      <c r="CF616" s="39"/>
      <c r="CG616" s="38"/>
      <c r="CH616" s="39"/>
      <c r="CI616" s="38"/>
      <c r="CJ616" s="39"/>
      <c r="CK616" s="38"/>
      <c r="CL616" s="39"/>
      <c r="CM616" s="38"/>
      <c r="CN616" s="39"/>
      <c r="CO616" s="38"/>
      <c r="CP616" s="39"/>
      <c r="CQ616" s="38"/>
      <c r="CR616" s="39"/>
      <c r="CS616" s="38"/>
      <c r="CT616" s="39"/>
      <c r="CU616" s="38"/>
      <c r="CV616" s="39"/>
      <c r="CW616" s="38"/>
      <c r="CX616" s="39"/>
      <c r="CY616" s="38"/>
      <c r="CZ616" s="39"/>
      <c r="DA616" s="38"/>
      <c r="DB616" s="39"/>
      <c r="DC616" s="38"/>
      <c r="DD616" s="39"/>
      <c r="DE616" s="38"/>
      <c r="DF616" s="39"/>
      <c r="DG616" s="38"/>
      <c r="DH616" s="39"/>
      <c r="DI616" s="38"/>
      <c r="DJ616" s="39"/>
      <c r="DK616" s="38"/>
      <c r="DL616" s="39"/>
      <c r="DM616" s="38"/>
      <c r="DN616" s="39"/>
      <c r="DO616" s="38"/>
      <c r="DP616" s="39"/>
      <c r="DQ616" s="38"/>
      <c r="DR616" s="39"/>
      <c r="DS616" s="38"/>
      <c r="DT616" s="39"/>
      <c r="DU616" s="38"/>
      <c r="DV616" s="39"/>
      <c r="DW616" s="38"/>
      <c r="DX616" s="39"/>
      <c r="DY616" s="38"/>
      <c r="DZ616" s="39"/>
      <c r="EA616" s="38"/>
      <c r="EB616" s="39"/>
      <c r="EC616" s="38"/>
      <c r="ED616" s="39"/>
      <c r="EE616" s="38"/>
      <c r="EF616" s="39"/>
      <c r="EG616" s="38"/>
      <c r="EH616" s="39"/>
      <c r="EI616" s="38"/>
      <c r="EJ616" s="39"/>
      <c r="EK616" s="44"/>
      <c r="EL616" s="39"/>
      <c r="EM616" s="44"/>
      <c r="EN616" s="39"/>
      <c r="EO616" s="44"/>
      <c r="EP616" s="39"/>
      <c r="EQ616" s="44"/>
      <c r="ER616" s="39"/>
      <c r="ES616" s="38"/>
      <c r="ET616" s="460"/>
      <c r="EU616" s="38"/>
      <c r="EV616" s="37"/>
      <c r="EW616" s="36"/>
      <c r="EX616" s="37"/>
      <c r="EY616" s="36"/>
      <c r="EZ616" s="37"/>
      <c r="FA616" s="36"/>
      <c r="FB616" s="37"/>
      <c r="FC616" s="36"/>
      <c r="FD616" s="37"/>
      <c r="FE616" s="36"/>
      <c r="FF616" s="37"/>
      <c r="FG616" s="36"/>
      <c r="FH616" s="37"/>
      <c r="FI616" s="36"/>
      <c r="FJ616" s="37"/>
      <c r="FK616" s="36"/>
      <c r="FL616" s="38"/>
      <c r="FM616" s="36"/>
      <c r="FN616" s="38"/>
      <c r="FO616" s="36"/>
      <c r="FP616" s="38"/>
      <c r="FQ616" s="36"/>
      <c r="FR616" s="44"/>
      <c r="FS616" s="36"/>
      <c r="FT616" s="44"/>
      <c r="FU616" s="36"/>
      <c r="FV616" s="44"/>
      <c r="FW616" s="36"/>
      <c r="FX616" s="44"/>
      <c r="FY616" s="36"/>
      <c r="FZ616" s="44"/>
      <c r="GA616" s="36"/>
      <c r="GB616" s="44"/>
      <c r="GC616" s="36"/>
      <c r="GD616" s="44"/>
      <c r="GE616" s="36"/>
      <c r="GF616" s="44"/>
      <c r="GG616" s="36"/>
      <c r="GH616" s="44"/>
      <c r="GI616" s="36"/>
      <c r="GJ616" s="44"/>
      <c r="GK616" s="36"/>
      <c r="GL616" s="44"/>
      <c r="GM616" s="36"/>
      <c r="GN616" s="44"/>
      <c r="GO616" s="36"/>
      <c r="GP616" s="44"/>
      <c r="GQ616" s="36"/>
      <c r="GR616" s="44"/>
      <c r="GS616" s="36"/>
      <c r="GT616" s="36"/>
      <c r="GU616" s="562"/>
      <c r="GV616" s="562"/>
      <c r="GW616"/>
      <c r="GX616"/>
      <c r="GY616"/>
      <c r="GZ616"/>
      <c r="HA616"/>
      <c r="HB616"/>
      <c r="HC616" s="562"/>
      <c r="HD616" s="562"/>
      <c r="HE616" s="562"/>
      <c r="HF616" s="562"/>
      <c r="HG616" s="562"/>
      <c r="HH616" s="562"/>
      <c r="HI616" s="562"/>
      <c r="HJ616" s="562"/>
      <c r="HK616" s="562"/>
      <c r="HL616" s="562"/>
      <c r="HM616" s="562"/>
      <c r="HN616" s="562"/>
      <c r="HO616" s="562"/>
      <c r="HP616" s="562"/>
      <c r="HQ616" s="562"/>
      <c r="HR616" s="562"/>
      <c r="HS616" s="562"/>
      <c r="HT616" s="562"/>
      <c r="HU616" s="562"/>
      <c r="HV616" s="562"/>
      <c r="HW616" s="562"/>
      <c r="HX616" s="562"/>
      <c r="HY616" s="562"/>
      <c r="HZ616" s="562"/>
      <c r="IA616" s="562"/>
      <c r="IB616" s="562"/>
      <c r="IC616" s="562"/>
      <c r="ID616" s="562"/>
      <c r="IE616" s="562"/>
      <c r="IF616" s="562"/>
      <c r="IG616" s="562"/>
      <c r="IH616" s="562"/>
      <c r="II616" s="562"/>
      <c r="IJ616" s="562"/>
      <c r="IK616" s="562"/>
      <c r="IL616" s="562"/>
      <c r="IM616" s="562"/>
      <c r="IN616" s="562"/>
      <c r="IO616" s="562"/>
      <c r="IP616" s="562"/>
      <c r="IQ616" s="562"/>
      <c r="IR616" s="562"/>
      <c r="IS616" s="562"/>
      <c r="IT616" s="562"/>
      <c r="IU616" s="562"/>
      <c r="IV616" s="562"/>
      <c r="IW616" s="562"/>
      <c r="IX616" s="562"/>
      <c r="IY616" s="562"/>
      <c r="IZ616" s="562"/>
      <c r="JA616" s="562"/>
      <c r="JB616" s="562"/>
      <c r="JC616" s="562"/>
      <c r="JD616" s="562"/>
      <c r="JE616" s="562"/>
      <c r="JF616" s="562"/>
      <c r="JG616" s="562"/>
      <c r="JH616" s="562"/>
      <c r="JI616" s="562"/>
      <c r="JJ616" s="562"/>
      <c r="JK616" s="562"/>
      <c r="JL616" s="562"/>
      <c r="JM616" s="562"/>
      <c r="JN616" s="562"/>
      <c r="JO616" s="562"/>
      <c r="JP616" s="562"/>
      <c r="JQ616" s="562"/>
      <c r="JR616" s="562"/>
      <c r="JS616" s="562"/>
      <c r="JT616" s="562"/>
      <c r="JU616" s="562"/>
      <c r="JV616" s="562"/>
      <c r="JW616" s="562"/>
      <c r="JX616" s="562"/>
      <c r="JY616" s="562"/>
      <c r="JZ616" s="562"/>
    </row>
    <row r="617" spans="1:286" s="13" customFormat="1" ht="12.75" hidden="1" customHeight="1" outlineLevel="1" x14ac:dyDescent="0.2">
      <c r="A617" s="11"/>
      <c r="B617" s="40" t="s">
        <v>245</v>
      </c>
      <c r="C617" s="36"/>
      <c r="D617" s="36"/>
      <c r="E617" s="37"/>
      <c r="F617" s="37"/>
      <c r="G617" s="37"/>
      <c r="H617" s="37"/>
      <c r="I617" s="37"/>
      <c r="J617" s="37"/>
      <c r="K617" s="37"/>
      <c r="L617" s="37"/>
      <c r="M617" s="37"/>
      <c r="N617" s="36"/>
      <c r="O617" s="37"/>
      <c r="P617" s="36"/>
      <c r="Q617" s="37"/>
      <c r="R617" s="36"/>
      <c r="S617" s="37"/>
      <c r="T617" s="36"/>
      <c r="U617" s="37"/>
      <c r="V617" s="36"/>
      <c r="W617" s="37"/>
      <c r="X617" s="36"/>
      <c r="Y617" s="37"/>
      <c r="Z617" s="36"/>
      <c r="AA617" s="34"/>
      <c r="AB617" s="36"/>
      <c r="AC617" s="37"/>
      <c r="AD617" s="36"/>
      <c r="AE617" s="38"/>
      <c r="AF617" s="36"/>
      <c r="AG617" s="38"/>
      <c r="AH617" s="36"/>
      <c r="AI617" s="38"/>
      <c r="AJ617" s="36"/>
      <c r="AK617" s="38"/>
      <c r="AL617" s="36"/>
      <c r="AM617" s="38"/>
      <c r="AN617" s="36"/>
      <c r="AO617" s="38"/>
      <c r="AP617" s="36"/>
      <c r="AQ617" s="38"/>
      <c r="AR617" s="36"/>
      <c r="AS617" s="38"/>
      <c r="AT617" s="39"/>
      <c r="AU617" s="38"/>
      <c r="AV617" s="39"/>
      <c r="AW617" s="38"/>
      <c r="AX617" s="39"/>
      <c r="AY617" s="38"/>
      <c r="AZ617" s="39"/>
      <c r="BA617" s="38"/>
      <c r="BB617" s="39"/>
      <c r="BC617" s="38"/>
      <c r="BD617" s="39"/>
      <c r="BE617" s="38"/>
      <c r="BF617" s="39"/>
      <c r="BG617" s="38"/>
      <c r="BH617" s="39"/>
      <c r="BI617" s="38"/>
      <c r="BJ617" s="39"/>
      <c r="BK617" s="38"/>
      <c r="BL617" s="39"/>
      <c r="BM617" s="38"/>
      <c r="BN617" s="39"/>
      <c r="BO617" s="38"/>
      <c r="BP617" s="39"/>
      <c r="BQ617" s="38"/>
      <c r="BR617" s="39"/>
      <c r="BS617" s="38"/>
      <c r="BT617" s="39"/>
      <c r="BU617" s="38"/>
      <c r="BV617" s="39"/>
      <c r="BW617" s="38"/>
      <c r="BX617" s="39"/>
      <c r="BY617" s="38"/>
      <c r="BZ617" s="39"/>
      <c r="CA617" s="38"/>
      <c r="CB617" s="39"/>
      <c r="CC617" s="38"/>
      <c r="CD617" s="39"/>
      <c r="CE617" s="38"/>
      <c r="CF617" s="39"/>
      <c r="CG617" s="38"/>
      <c r="CH617" s="39"/>
      <c r="CI617" s="38"/>
      <c r="CJ617" s="39"/>
      <c r="CK617" s="38"/>
      <c r="CL617" s="39"/>
      <c r="CM617" s="38"/>
      <c r="CN617" s="39"/>
      <c r="CO617" s="38"/>
      <c r="CP617" s="39"/>
      <c r="CQ617" s="38"/>
      <c r="CR617" s="39"/>
      <c r="CS617" s="38"/>
      <c r="CT617" s="39"/>
      <c r="CU617" s="38"/>
      <c r="CV617" s="39"/>
      <c r="CW617" s="38"/>
      <c r="CX617" s="39"/>
      <c r="CY617" s="38"/>
      <c r="CZ617" s="39"/>
      <c r="DA617" s="38"/>
      <c r="DB617" s="39"/>
      <c r="DC617" s="38"/>
      <c r="DD617" s="39"/>
      <c r="DE617" s="38"/>
      <c r="DF617" s="39"/>
      <c r="DG617" s="38"/>
      <c r="DH617" s="39"/>
      <c r="DI617" s="38"/>
      <c r="DJ617" s="39"/>
      <c r="DK617" s="38"/>
      <c r="DL617" s="39"/>
      <c r="DM617" s="38"/>
      <c r="DN617" s="39"/>
      <c r="DO617" s="38"/>
      <c r="DP617" s="39"/>
      <c r="DQ617" s="38"/>
      <c r="DR617" s="39"/>
      <c r="DS617" s="38"/>
      <c r="DT617" s="39"/>
      <c r="DU617" s="38"/>
      <c r="DV617" s="39"/>
      <c r="DW617" s="38"/>
      <c r="DX617" s="39"/>
      <c r="DY617" s="38"/>
      <c r="DZ617" s="39"/>
      <c r="EA617" s="38"/>
      <c r="EB617" s="39"/>
      <c r="EC617" s="38"/>
      <c r="ED617" s="39"/>
      <c r="EE617" s="38"/>
      <c r="EF617" s="39"/>
      <c r="EG617" s="38"/>
      <c r="EH617" s="39"/>
      <c r="EI617" s="38"/>
      <c r="EJ617" s="39"/>
      <c r="EK617" s="38"/>
      <c r="EL617" s="39"/>
      <c r="EM617" s="38"/>
      <c r="EN617" s="39"/>
      <c r="EO617" s="38"/>
      <c r="EP617" s="39"/>
      <c r="EQ617" s="38"/>
      <c r="ER617" s="39"/>
      <c r="ES617" s="38"/>
      <c r="ET617" s="460"/>
      <c r="EU617" s="38"/>
      <c r="EV617" s="37"/>
      <c r="EW617" s="36"/>
      <c r="EX617" s="37"/>
      <c r="EY617" s="36"/>
      <c r="EZ617" s="37"/>
      <c r="FA617" s="36"/>
      <c r="FB617" s="37"/>
      <c r="FC617" s="36"/>
      <c r="FD617" s="37"/>
      <c r="FE617" s="36"/>
      <c r="FF617" s="37"/>
      <c r="FG617" s="36"/>
      <c r="FH617" s="37"/>
      <c r="FI617" s="36"/>
      <c r="FJ617" s="37"/>
      <c r="FK617" s="36"/>
      <c r="FL617" s="38"/>
      <c r="FM617" s="36"/>
      <c r="FN617" s="38"/>
      <c r="FO617" s="36"/>
      <c r="FP617" s="38"/>
      <c r="FQ617" s="36"/>
      <c r="FR617" s="38"/>
      <c r="FS617" s="36"/>
      <c r="FT617" s="38"/>
      <c r="FU617" s="36"/>
      <c r="FV617" s="38"/>
      <c r="FW617" s="36"/>
      <c r="FX617" s="38"/>
      <c r="FY617" s="36"/>
      <c r="FZ617" s="38"/>
      <c r="GA617" s="36"/>
      <c r="GB617" s="38"/>
      <c r="GC617" s="36"/>
      <c r="GD617" s="38"/>
      <c r="GE617" s="36"/>
      <c r="GF617" s="38"/>
      <c r="GG617" s="36"/>
      <c r="GH617" s="38"/>
      <c r="GI617" s="36"/>
      <c r="GJ617" s="38"/>
      <c r="GK617" s="36"/>
      <c r="GL617" s="38"/>
      <c r="GM617" s="36"/>
      <c r="GN617" s="38"/>
      <c r="GO617" s="36"/>
      <c r="GP617" s="38"/>
      <c r="GQ617" s="36"/>
      <c r="GR617" s="38"/>
      <c r="GS617" s="36"/>
      <c r="GT617" s="36"/>
      <c r="GU617" s="562"/>
      <c r="GV617" s="562"/>
      <c r="GW617"/>
      <c r="GX617"/>
      <c r="GY617"/>
      <c r="GZ617"/>
      <c r="HA617"/>
      <c r="HB617"/>
      <c r="HC617" s="562"/>
      <c r="HD617" s="562"/>
      <c r="HE617" s="562"/>
      <c r="HF617" s="562"/>
      <c r="HG617" s="562"/>
      <c r="HH617" s="562"/>
      <c r="HI617" s="562"/>
      <c r="HJ617" s="562"/>
      <c r="HK617" s="562"/>
      <c r="HL617" s="562"/>
      <c r="HM617" s="562"/>
      <c r="HN617" s="562"/>
      <c r="HO617" s="562"/>
      <c r="HP617" s="562"/>
      <c r="HQ617" s="562"/>
      <c r="HR617" s="562"/>
      <c r="HS617" s="562"/>
      <c r="HT617" s="562"/>
      <c r="HU617" s="562"/>
      <c r="HV617" s="562"/>
      <c r="HW617" s="562"/>
      <c r="HX617" s="562"/>
      <c r="HY617" s="562"/>
      <c r="HZ617" s="562"/>
      <c r="IA617" s="562"/>
      <c r="IB617" s="562"/>
      <c r="IC617" s="562"/>
      <c r="ID617" s="562"/>
      <c r="IE617" s="562"/>
      <c r="IF617" s="562"/>
      <c r="IG617" s="562"/>
      <c r="IH617" s="562"/>
      <c r="II617" s="562"/>
      <c r="IJ617" s="562"/>
      <c r="IK617" s="562"/>
      <c r="IL617" s="562"/>
      <c r="IM617" s="562"/>
      <c r="IN617" s="562"/>
      <c r="IO617" s="562"/>
      <c r="IP617" s="562"/>
      <c r="IQ617" s="562"/>
      <c r="IR617" s="562"/>
      <c r="IS617" s="562"/>
      <c r="IT617" s="562"/>
      <c r="IU617" s="562"/>
      <c r="IV617" s="562"/>
      <c r="IW617" s="562"/>
      <c r="IX617" s="562"/>
      <c r="IY617" s="562"/>
      <c r="IZ617" s="562"/>
      <c r="JA617" s="562"/>
      <c r="JB617" s="562"/>
      <c r="JC617" s="562"/>
      <c r="JD617" s="562"/>
      <c r="JE617" s="562"/>
      <c r="JF617" s="562"/>
      <c r="JG617" s="562"/>
      <c r="JH617" s="562"/>
      <c r="JI617" s="562"/>
      <c r="JJ617" s="562"/>
      <c r="JK617" s="562"/>
      <c r="JL617" s="562"/>
      <c r="JM617" s="562"/>
      <c r="JN617" s="562"/>
      <c r="JO617" s="562"/>
      <c r="JP617" s="562"/>
      <c r="JQ617" s="562"/>
      <c r="JR617" s="562"/>
      <c r="JS617" s="562"/>
      <c r="JT617" s="562"/>
      <c r="JU617" s="562"/>
      <c r="JV617" s="562"/>
      <c r="JW617" s="562"/>
      <c r="JX617" s="562"/>
      <c r="JY617" s="562"/>
      <c r="JZ617" s="562"/>
    </row>
    <row r="618" spans="1:286" s="13" customFormat="1" ht="12.75" hidden="1" customHeight="1" outlineLevel="1" x14ac:dyDescent="0.2">
      <c r="A618" s="11"/>
      <c r="B618" s="40" t="s">
        <v>244</v>
      </c>
      <c r="C618" s="36"/>
      <c r="D618" s="36"/>
      <c r="E618" s="37"/>
      <c r="F618" s="37"/>
      <c r="G618" s="37"/>
      <c r="H618" s="37"/>
      <c r="I618" s="37"/>
      <c r="J618" s="37"/>
      <c r="K618" s="37"/>
      <c r="L618" s="37"/>
      <c r="M618" s="37"/>
      <c r="N618" s="36"/>
      <c r="O618" s="37"/>
      <c r="P618" s="36"/>
      <c r="Q618" s="37"/>
      <c r="R618" s="36"/>
      <c r="S618" s="37"/>
      <c r="T618" s="36"/>
      <c r="U618" s="37"/>
      <c r="V618" s="36"/>
      <c r="W618" s="37"/>
      <c r="X618" s="36"/>
      <c r="Y618" s="37"/>
      <c r="Z618" s="36"/>
      <c r="AA618" s="34"/>
      <c r="AB618" s="36"/>
      <c r="AC618" s="37"/>
      <c r="AD618" s="36"/>
      <c r="AE618" s="38"/>
      <c r="AF618" s="36"/>
      <c r="AG618" s="38"/>
      <c r="AH618" s="36"/>
      <c r="AI618" s="38"/>
      <c r="AJ618" s="36"/>
      <c r="AK618" s="38"/>
      <c r="AL618" s="36"/>
      <c r="AM618" s="38"/>
      <c r="AN618" s="36"/>
      <c r="AO618" s="38"/>
      <c r="AP618" s="36"/>
      <c r="AQ618" s="38"/>
      <c r="AR618" s="36"/>
      <c r="AS618" s="38"/>
      <c r="AT618" s="39"/>
      <c r="AU618" s="38"/>
      <c r="AV618" s="39"/>
      <c r="AW618" s="38"/>
      <c r="AX618" s="39"/>
      <c r="AY618" s="38"/>
      <c r="AZ618" s="39"/>
      <c r="BA618" s="38"/>
      <c r="BB618" s="39"/>
      <c r="BC618" s="38"/>
      <c r="BD618" s="39"/>
      <c r="BE618" s="38"/>
      <c r="BF618" s="39"/>
      <c r="BG618" s="38"/>
      <c r="BH618" s="39"/>
      <c r="BI618" s="38"/>
      <c r="BJ618" s="39"/>
      <c r="BK618" s="38"/>
      <c r="BL618" s="39"/>
      <c r="BM618" s="38"/>
      <c r="BN618" s="39"/>
      <c r="BO618" s="38"/>
      <c r="BP618" s="39"/>
      <c r="BQ618" s="38"/>
      <c r="BR618" s="39"/>
      <c r="BS618" s="38"/>
      <c r="BT618" s="39"/>
      <c r="BU618" s="38"/>
      <c r="BV618" s="39"/>
      <c r="BW618" s="38"/>
      <c r="BX618" s="39"/>
      <c r="BY618" s="38"/>
      <c r="BZ618" s="39"/>
      <c r="CA618" s="38"/>
      <c r="CB618" s="39"/>
      <c r="CC618" s="38"/>
      <c r="CD618" s="39"/>
      <c r="CE618" s="38"/>
      <c r="CF618" s="39"/>
      <c r="CG618" s="38"/>
      <c r="CH618" s="39"/>
      <c r="CI618" s="38"/>
      <c r="CJ618" s="39"/>
      <c r="CK618" s="38"/>
      <c r="CL618" s="39"/>
      <c r="CM618" s="38"/>
      <c r="CN618" s="39"/>
      <c r="CO618" s="38"/>
      <c r="CP618" s="39"/>
      <c r="CQ618" s="38"/>
      <c r="CR618" s="39"/>
      <c r="CS618" s="38"/>
      <c r="CT618" s="39"/>
      <c r="CU618" s="38"/>
      <c r="CV618" s="39"/>
      <c r="CW618" s="38"/>
      <c r="CX618" s="39"/>
      <c r="CY618" s="38"/>
      <c r="CZ618" s="39"/>
      <c r="DA618" s="38"/>
      <c r="DB618" s="39"/>
      <c r="DC618" s="38"/>
      <c r="DD618" s="39"/>
      <c r="DE618" s="38"/>
      <c r="DF618" s="39"/>
      <c r="DG618" s="38"/>
      <c r="DH618" s="39"/>
      <c r="DI618" s="38"/>
      <c r="DJ618" s="39"/>
      <c r="DK618" s="38"/>
      <c r="DL618" s="39"/>
      <c r="DM618" s="38"/>
      <c r="DN618" s="39"/>
      <c r="DO618" s="38"/>
      <c r="DP618" s="39"/>
      <c r="DQ618" s="38"/>
      <c r="DR618" s="39"/>
      <c r="DS618" s="38"/>
      <c r="DT618" s="39"/>
      <c r="DU618" s="38"/>
      <c r="DV618" s="39"/>
      <c r="DW618" s="38"/>
      <c r="DX618" s="39"/>
      <c r="DY618" s="38"/>
      <c r="DZ618" s="39"/>
      <c r="EA618" s="38"/>
      <c r="EB618" s="39"/>
      <c r="EC618" s="38"/>
      <c r="ED618" s="39"/>
      <c r="EE618" s="38"/>
      <c r="EF618" s="39"/>
      <c r="EG618" s="38"/>
      <c r="EH618" s="39"/>
      <c r="EI618" s="38"/>
      <c r="EJ618" s="39"/>
      <c r="EL618" s="39"/>
      <c r="EN618" s="39"/>
      <c r="EP618" s="39"/>
      <c r="ER618" s="39"/>
      <c r="ES618" s="38"/>
      <c r="ET618" s="460"/>
      <c r="EU618" s="38"/>
      <c r="EV618" s="37"/>
      <c r="EW618" s="36"/>
      <c r="EX618" s="37"/>
      <c r="EY618" s="36"/>
      <c r="EZ618" s="37"/>
      <c r="FA618" s="36"/>
      <c r="FB618" s="37"/>
      <c r="FC618" s="36"/>
      <c r="FD618" s="37"/>
      <c r="FE618" s="36"/>
      <c r="FF618" s="37"/>
      <c r="FG618" s="36"/>
      <c r="FH618" s="37"/>
      <c r="FI618" s="36"/>
      <c r="FJ618" s="37"/>
      <c r="FK618" s="36"/>
      <c r="FL618" s="38"/>
      <c r="FM618" s="36"/>
      <c r="FN618" s="38"/>
      <c r="FO618" s="36"/>
      <c r="FP618" s="38"/>
      <c r="FQ618" s="36"/>
      <c r="FS618" s="36"/>
      <c r="FU618" s="36"/>
      <c r="FW618" s="36"/>
      <c r="FY618" s="36"/>
      <c r="GA618" s="36"/>
      <c r="GC618" s="36"/>
      <c r="GE618" s="36"/>
      <c r="GG618" s="36"/>
      <c r="GI618" s="36"/>
      <c r="GK618" s="36"/>
      <c r="GM618" s="36"/>
      <c r="GO618" s="36"/>
      <c r="GQ618" s="36"/>
      <c r="GS618" s="36"/>
      <c r="GT618" s="36"/>
      <c r="GU618" s="562"/>
      <c r="GV618" s="562"/>
      <c r="GW618"/>
      <c r="GX618"/>
      <c r="GY618"/>
      <c r="GZ618"/>
      <c r="HA618"/>
      <c r="HB618"/>
      <c r="HC618" s="562"/>
      <c r="HD618" s="562"/>
      <c r="HE618" s="562"/>
      <c r="HF618" s="562"/>
      <c r="HG618" s="562"/>
      <c r="HH618" s="562"/>
      <c r="HI618" s="562"/>
      <c r="HJ618" s="562"/>
      <c r="HK618" s="562"/>
      <c r="HL618" s="562"/>
      <c r="HM618" s="562"/>
      <c r="HN618" s="562"/>
      <c r="HO618" s="562"/>
      <c r="HP618" s="562"/>
      <c r="HQ618" s="562"/>
      <c r="HR618" s="562"/>
      <c r="HS618" s="562"/>
      <c r="HT618" s="562"/>
      <c r="HU618" s="562"/>
      <c r="HV618" s="562"/>
      <c r="HW618" s="562"/>
      <c r="HX618" s="562"/>
      <c r="HY618" s="562"/>
      <c r="HZ618" s="562"/>
      <c r="IA618" s="562"/>
      <c r="IB618" s="562"/>
      <c r="IC618" s="562"/>
      <c r="ID618" s="562"/>
      <c r="IE618" s="562"/>
      <c r="IF618" s="562"/>
      <c r="IG618" s="562"/>
      <c r="IH618" s="562"/>
      <c r="II618" s="562"/>
      <c r="IJ618" s="562"/>
      <c r="IK618" s="562"/>
      <c r="IL618" s="562"/>
      <c r="IM618" s="562"/>
      <c r="IN618" s="562"/>
      <c r="IO618" s="562"/>
      <c r="IP618" s="562"/>
      <c r="IQ618" s="562"/>
      <c r="IR618" s="562"/>
      <c r="IS618" s="562"/>
      <c r="IT618" s="562"/>
      <c r="IU618" s="562"/>
      <c r="IV618" s="562"/>
      <c r="IW618" s="562"/>
      <c r="IX618" s="562"/>
      <c r="IY618" s="562"/>
      <c r="IZ618" s="562"/>
      <c r="JA618" s="562"/>
      <c r="JB618" s="562"/>
      <c r="JC618" s="562"/>
      <c r="JD618" s="562"/>
      <c r="JE618" s="562"/>
      <c r="JF618" s="562"/>
      <c r="JG618" s="562"/>
      <c r="JH618" s="562"/>
      <c r="JI618" s="562"/>
      <c r="JJ618" s="562"/>
      <c r="JK618" s="562"/>
      <c r="JL618" s="562"/>
      <c r="JM618" s="562"/>
      <c r="JN618" s="562"/>
      <c r="JO618" s="562"/>
      <c r="JP618" s="562"/>
      <c r="JQ618" s="562"/>
      <c r="JR618" s="562"/>
      <c r="JS618" s="562"/>
      <c r="JT618" s="562"/>
      <c r="JU618" s="562"/>
      <c r="JV618" s="562"/>
      <c r="JW618" s="562"/>
      <c r="JX618" s="562"/>
      <c r="JY618" s="562"/>
      <c r="JZ618" s="562"/>
    </row>
    <row r="619" spans="1:286" s="13" customFormat="1" ht="12.75" hidden="1" customHeight="1" outlineLevel="1" x14ac:dyDescent="0.2">
      <c r="A619" s="11"/>
      <c r="B619" s="11" t="s">
        <v>470</v>
      </c>
      <c r="C619" s="36"/>
      <c r="D619" s="36"/>
      <c r="E619" s="37"/>
      <c r="F619" s="37"/>
      <c r="G619" s="37"/>
      <c r="H619" s="37"/>
      <c r="I619" s="37"/>
      <c r="J619" s="37"/>
      <c r="K619" s="37"/>
      <c r="L619" s="37"/>
      <c r="M619" s="37"/>
      <c r="N619" s="36"/>
      <c r="O619" s="37"/>
      <c r="P619" s="36"/>
      <c r="Q619" s="37"/>
      <c r="R619" s="36"/>
      <c r="S619" s="37"/>
      <c r="T619" s="36"/>
      <c r="U619" s="37"/>
      <c r="V619" s="36"/>
      <c r="W619" s="37"/>
      <c r="X619" s="36"/>
      <c r="Y619" s="37"/>
      <c r="Z619" s="36"/>
      <c r="AA619" s="34"/>
      <c r="AB619" s="36"/>
      <c r="AC619" s="37"/>
      <c r="AD619" s="36"/>
      <c r="AE619" s="38"/>
      <c r="AF619" s="36"/>
      <c r="AG619" s="38"/>
      <c r="AH619" s="36"/>
      <c r="AI619" s="38"/>
      <c r="AJ619" s="36"/>
      <c r="AK619" s="38"/>
      <c r="AL619" s="36"/>
      <c r="AM619" s="38"/>
      <c r="AN619" s="36"/>
      <c r="AO619" s="38"/>
      <c r="AP619" s="36"/>
      <c r="AQ619" s="38"/>
      <c r="AR619" s="36"/>
      <c r="AS619" s="38"/>
      <c r="AT619" s="39"/>
      <c r="AU619" s="38"/>
      <c r="AV619" s="39"/>
      <c r="AW619" s="38"/>
      <c r="AX619" s="39"/>
      <c r="AY619" s="38"/>
      <c r="AZ619" s="39"/>
      <c r="BA619" s="38"/>
      <c r="BB619" s="39"/>
      <c r="BC619" s="38"/>
      <c r="BD619" s="39"/>
      <c r="BE619" s="38"/>
      <c r="BF619" s="39"/>
      <c r="BG619" s="38"/>
      <c r="BH619" s="39"/>
      <c r="BI619" s="38"/>
      <c r="BJ619" s="39"/>
      <c r="BK619" s="38"/>
      <c r="BL619" s="39"/>
      <c r="BM619" s="38"/>
      <c r="BN619" s="39"/>
      <c r="BO619" s="38"/>
      <c r="BP619" s="39"/>
      <c r="BQ619" s="38"/>
      <c r="BR619" s="39"/>
      <c r="BS619" s="38"/>
      <c r="BT619" s="39"/>
      <c r="BU619" s="38"/>
      <c r="BV619" s="39"/>
      <c r="BW619" s="38"/>
      <c r="BX619" s="39"/>
      <c r="BY619" s="38"/>
      <c r="BZ619" s="39"/>
      <c r="CA619" s="38"/>
      <c r="CB619" s="39"/>
      <c r="CC619" s="38"/>
      <c r="CD619" s="39"/>
      <c r="CE619" s="38"/>
      <c r="CF619" s="39"/>
      <c r="CG619" s="38"/>
      <c r="CH619" s="39"/>
      <c r="CI619" s="38"/>
      <c r="CJ619" s="39"/>
      <c r="CK619" s="38"/>
      <c r="CL619" s="39"/>
      <c r="CM619" s="38"/>
      <c r="CN619" s="39"/>
      <c r="CO619" s="38"/>
      <c r="CP619" s="39"/>
      <c r="CQ619" s="38"/>
      <c r="CR619" s="39"/>
      <c r="CS619" s="38"/>
      <c r="CT619" s="39"/>
      <c r="CU619" s="38"/>
      <c r="CV619" s="39"/>
      <c r="CW619" s="38"/>
      <c r="CX619" s="39"/>
      <c r="CY619" s="38"/>
      <c r="CZ619" s="39"/>
      <c r="DA619" s="38"/>
      <c r="DB619" s="39"/>
      <c r="DC619" s="38"/>
      <c r="DD619" s="39"/>
      <c r="DE619" s="38"/>
      <c r="DF619" s="39"/>
      <c r="DG619" s="38"/>
      <c r="DH619" s="39"/>
      <c r="DI619" s="38"/>
      <c r="DJ619" s="39"/>
      <c r="DK619" s="38"/>
      <c r="DL619" s="39"/>
      <c r="DM619" s="38"/>
      <c r="DN619" s="39"/>
      <c r="DO619" s="38"/>
      <c r="DP619" s="39"/>
      <c r="DQ619" s="38"/>
      <c r="DR619" s="39"/>
      <c r="DS619" s="38"/>
      <c r="DT619" s="39"/>
      <c r="DU619" s="38"/>
      <c r="DV619" s="39"/>
      <c r="DW619" s="38"/>
      <c r="DX619" s="39"/>
      <c r="DY619" s="38"/>
      <c r="DZ619" s="39"/>
      <c r="EA619" s="38">
        <f>EA200</f>
        <v>67.760459392945023</v>
      </c>
      <c r="EB619" s="39"/>
      <c r="EC619" s="38">
        <f>EC200</f>
        <v>71.475680131904369</v>
      </c>
      <c r="ED619" s="39"/>
      <c r="EE619" s="38">
        <f>EE200</f>
        <v>75.552050473186114</v>
      </c>
      <c r="EF619" s="39"/>
      <c r="EG619" s="38">
        <f>EG200</f>
        <v>74.828897338403038</v>
      </c>
      <c r="EH619" s="39"/>
      <c r="EI619" s="38">
        <f>EI200</f>
        <v>75.712143928035985</v>
      </c>
      <c r="EJ619" s="39"/>
      <c r="EK619" s="46">
        <f t="shared" ref="EK619:EQ619" si="2348">EK200</f>
        <v>75</v>
      </c>
      <c r="EL619" s="39"/>
      <c r="EM619" s="46">
        <f t="shared" si="2348"/>
        <v>75</v>
      </c>
      <c r="EN619" s="39"/>
      <c r="EO619" s="46">
        <f t="shared" si="2348"/>
        <v>75</v>
      </c>
      <c r="EP619" s="39"/>
      <c r="EQ619" s="46">
        <f t="shared" si="2348"/>
        <v>75</v>
      </c>
      <c r="ER619" s="39"/>
      <c r="ES619" s="38"/>
      <c r="ET619" s="460"/>
      <c r="EU619" s="38"/>
      <c r="EV619" s="37"/>
      <c r="EW619" s="36"/>
      <c r="EX619" s="37"/>
      <c r="EY619" s="36"/>
      <c r="EZ619" s="37"/>
      <c r="FA619" s="36"/>
      <c r="FB619" s="37"/>
      <c r="FC619" s="36"/>
      <c r="FD619" s="37"/>
      <c r="FE619" s="36"/>
      <c r="FF619" s="37"/>
      <c r="FG619" s="36"/>
      <c r="FH619" s="37"/>
      <c r="FI619" s="36"/>
      <c r="FJ619" s="37"/>
      <c r="FK619" s="36"/>
      <c r="FL619" s="38"/>
      <c r="FM619" s="36"/>
      <c r="FN619" s="38"/>
      <c r="FO619" s="36"/>
      <c r="FP619" s="38"/>
      <c r="FQ619" s="36"/>
      <c r="FR619" s="47"/>
      <c r="FS619" s="36"/>
      <c r="FT619" s="47"/>
      <c r="FU619" s="36"/>
      <c r="FV619" s="47"/>
      <c r="FW619" s="36"/>
      <c r="FX619" s="47"/>
      <c r="FY619" s="36"/>
      <c r="FZ619" s="47"/>
      <c r="GA619" s="36"/>
      <c r="GB619" s="47"/>
      <c r="GC619" s="36"/>
      <c r="GD619" s="47"/>
      <c r="GE619" s="36"/>
      <c r="GF619" s="47"/>
      <c r="GG619" s="36"/>
      <c r="GH619" s="47"/>
      <c r="GI619" s="36"/>
      <c r="GJ619" s="47"/>
      <c r="GK619" s="36"/>
      <c r="GL619" s="46">
        <f>GL200</f>
        <v>75.031619331280396</v>
      </c>
      <c r="GM619" s="36"/>
      <c r="GN619" s="46">
        <f>GN200</f>
        <v>74.931619331280402</v>
      </c>
      <c r="GO619" s="36"/>
      <c r="GP619" s="46">
        <f>GP200</f>
        <v>74.831619331280407</v>
      </c>
      <c r="GQ619" s="36"/>
      <c r="GR619" s="46">
        <f>GR200</f>
        <v>74.831619331280407</v>
      </c>
      <c r="GS619" s="36"/>
      <c r="GT619" s="36"/>
      <c r="GU619" s="562"/>
      <c r="GV619" s="562"/>
      <c r="GW619"/>
      <c r="GX619"/>
      <c r="GY619"/>
      <c r="GZ619"/>
      <c r="HA619"/>
      <c r="HB619"/>
      <c r="HC619" s="562"/>
      <c r="HD619" s="562"/>
      <c r="HE619" s="562"/>
      <c r="HF619" s="562"/>
      <c r="HG619" s="562"/>
      <c r="HH619" s="562"/>
      <c r="HI619" s="562"/>
      <c r="HJ619" s="562"/>
      <c r="HK619" s="562"/>
      <c r="HL619" s="562"/>
      <c r="HM619" s="562"/>
      <c r="HN619" s="562"/>
      <c r="HO619" s="562"/>
      <c r="HP619" s="562"/>
      <c r="HQ619" s="562"/>
      <c r="HR619" s="562"/>
      <c r="HS619" s="562"/>
      <c r="HT619" s="562"/>
      <c r="HU619" s="562"/>
      <c r="HV619" s="562"/>
      <c r="HW619" s="562"/>
      <c r="HX619" s="562"/>
      <c r="HY619" s="562"/>
      <c r="HZ619" s="562"/>
      <c r="IA619" s="562"/>
      <c r="IB619" s="562"/>
      <c r="IC619" s="562"/>
      <c r="ID619" s="562"/>
      <c r="IE619" s="562"/>
      <c r="IF619" s="562"/>
      <c r="IG619" s="562"/>
      <c r="IH619" s="562"/>
      <c r="II619" s="562"/>
      <c r="IJ619" s="562"/>
      <c r="IK619" s="562"/>
      <c r="IL619" s="562"/>
      <c r="IM619" s="562"/>
      <c r="IN619" s="562"/>
      <c r="IO619" s="562"/>
      <c r="IP619" s="562"/>
      <c r="IQ619" s="562"/>
      <c r="IR619" s="562"/>
      <c r="IS619" s="562"/>
      <c r="IT619" s="562"/>
      <c r="IU619" s="562"/>
      <c r="IV619" s="562"/>
      <c r="IW619" s="562"/>
      <c r="IX619" s="562"/>
      <c r="IY619" s="562"/>
      <c r="IZ619" s="562"/>
      <c r="JA619" s="562"/>
      <c r="JB619" s="562"/>
      <c r="JC619" s="562"/>
      <c r="JD619" s="562"/>
      <c r="JE619" s="562"/>
      <c r="JF619" s="562"/>
      <c r="JG619" s="562"/>
      <c r="JH619" s="562"/>
      <c r="JI619" s="562"/>
      <c r="JJ619" s="562"/>
      <c r="JK619" s="562"/>
      <c r="JL619" s="562"/>
      <c r="JM619" s="562"/>
      <c r="JN619" s="562"/>
      <c r="JO619" s="562"/>
      <c r="JP619" s="562"/>
      <c r="JQ619" s="562"/>
      <c r="JR619" s="562"/>
      <c r="JS619" s="562"/>
      <c r="JT619" s="562"/>
      <c r="JU619" s="562"/>
      <c r="JV619" s="562"/>
      <c r="JW619" s="562"/>
      <c r="JX619" s="562"/>
      <c r="JY619" s="562"/>
      <c r="JZ619" s="562"/>
    </row>
    <row r="620" spans="1:286" s="13" customFormat="1" ht="12.75" hidden="1" customHeight="1" outlineLevel="1" x14ac:dyDescent="0.2">
      <c r="A620" s="11"/>
      <c r="B620" s="11" t="s">
        <v>273</v>
      </c>
      <c r="C620" s="36"/>
      <c r="D620" s="36"/>
      <c r="E620" s="37"/>
      <c r="F620" s="37"/>
      <c r="G620" s="37"/>
      <c r="H620" s="37"/>
      <c r="I620" s="37"/>
      <c r="J620" s="37"/>
      <c r="K620" s="37"/>
      <c r="L620" s="37"/>
      <c r="M620" s="37"/>
      <c r="N620" s="36"/>
      <c r="O620" s="37"/>
      <c r="P620" s="36"/>
      <c r="Q620" s="37"/>
      <c r="R620" s="36"/>
      <c r="S620" s="37"/>
      <c r="T620" s="36"/>
      <c r="U620" s="37"/>
      <c r="V620" s="36"/>
      <c r="W620" s="37"/>
      <c r="X620" s="36"/>
      <c r="Y620" s="37"/>
      <c r="Z620" s="36"/>
      <c r="AA620" s="34"/>
      <c r="AB620" s="36"/>
      <c r="AC620" s="37"/>
      <c r="AD620" s="36"/>
      <c r="AE620" s="38"/>
      <c r="AF620" s="36"/>
      <c r="AG620" s="38"/>
      <c r="AH620" s="36"/>
      <c r="AI620" s="38"/>
      <c r="AJ620" s="36"/>
      <c r="AK620" s="38"/>
      <c r="AL620" s="36"/>
      <c r="AM620" s="38"/>
      <c r="AN620" s="36"/>
      <c r="AO620" s="38"/>
      <c r="AP620" s="36"/>
      <c r="AQ620" s="38"/>
      <c r="AR620" s="36"/>
      <c r="AS620" s="38"/>
      <c r="AT620" s="39"/>
      <c r="AU620" s="38"/>
      <c r="AV620" s="39"/>
      <c r="AW620" s="38"/>
      <c r="AX620" s="39"/>
      <c r="AY620" s="38"/>
      <c r="AZ620" s="39"/>
      <c r="BA620" s="38"/>
      <c r="BB620" s="39"/>
      <c r="BC620" s="38"/>
      <c r="BD620" s="39"/>
      <c r="BE620" s="38"/>
      <c r="BF620" s="39"/>
      <c r="BG620" s="38"/>
      <c r="BH620" s="39"/>
      <c r="BI620" s="38"/>
      <c r="BJ620" s="39"/>
      <c r="BK620" s="38"/>
      <c r="BL620" s="39"/>
      <c r="BM620" s="38"/>
      <c r="BN620" s="39"/>
      <c r="BO620" s="38"/>
      <c r="BP620" s="39"/>
      <c r="BQ620" s="38"/>
      <c r="BR620" s="39"/>
      <c r="BS620" s="38"/>
      <c r="BT620" s="39"/>
      <c r="BU620" s="38"/>
      <c r="BV620" s="39"/>
      <c r="BW620" s="38"/>
      <c r="BX620" s="39"/>
      <c r="BY620" s="38"/>
      <c r="BZ620" s="39"/>
      <c r="CA620" s="38"/>
      <c r="CB620" s="39"/>
      <c r="CC620" s="38"/>
      <c r="CD620" s="39"/>
      <c r="CE620" s="38"/>
      <c r="CF620" s="39"/>
      <c r="CG620" s="38"/>
      <c r="CH620" s="39"/>
      <c r="CI620" s="38"/>
      <c r="CJ620" s="39"/>
      <c r="CK620" s="38"/>
      <c r="CL620" s="39"/>
      <c r="CM620" s="38"/>
      <c r="CN620" s="39"/>
      <c r="CO620" s="38"/>
      <c r="CP620" s="39"/>
      <c r="CQ620" s="38"/>
      <c r="CR620" s="39"/>
      <c r="CS620" s="38"/>
      <c r="CT620" s="39"/>
      <c r="CU620" s="38"/>
      <c r="CV620" s="39"/>
      <c r="CW620" s="38"/>
      <c r="CX620" s="39"/>
      <c r="CY620" s="38"/>
      <c r="CZ620" s="39"/>
      <c r="DA620" s="38"/>
      <c r="DB620" s="39"/>
      <c r="DC620" s="38"/>
      <c r="DD620" s="39"/>
      <c r="DE620" s="38"/>
      <c r="DF620" s="39"/>
      <c r="DG620" s="38"/>
      <c r="DH620" s="39"/>
      <c r="DI620" s="38"/>
      <c r="DJ620" s="39"/>
      <c r="DK620" s="38"/>
      <c r="DL620" s="39"/>
      <c r="DM620" s="38"/>
      <c r="DN620" s="39"/>
      <c r="DO620" s="38"/>
      <c r="DP620" s="39"/>
      <c r="DQ620" s="38"/>
      <c r="DR620" s="39"/>
      <c r="DS620" s="38"/>
      <c r="DT620" s="39"/>
      <c r="DU620" s="38"/>
      <c r="DV620" s="39"/>
      <c r="DW620" s="38"/>
      <c r="DX620" s="39"/>
      <c r="DY620" s="38"/>
      <c r="DZ620" s="39"/>
      <c r="EA620" s="38">
        <v>-0.5</v>
      </c>
      <c r="EB620" s="39"/>
      <c r="EC620" s="38">
        <v>-0.5</v>
      </c>
      <c r="ED620" s="39"/>
      <c r="EE620" s="38">
        <v>-0.5</v>
      </c>
      <c r="EF620" s="39"/>
      <c r="EG620" s="38">
        <v>-0.5</v>
      </c>
      <c r="EH620" s="39"/>
      <c r="EI620" s="38">
        <v>-0.5</v>
      </c>
      <c r="EJ620" s="39"/>
      <c r="EK620" s="43">
        <v>-0.5</v>
      </c>
      <c r="EL620" s="39"/>
      <c r="EM620" s="43">
        <v>-0.5</v>
      </c>
      <c r="EN620" s="39"/>
      <c r="EO620" s="43">
        <v>-0.5</v>
      </c>
      <c r="EP620" s="39"/>
      <c r="EQ620" s="43">
        <v>-0.5</v>
      </c>
      <c r="ER620" s="39"/>
      <c r="ES620" s="48"/>
      <c r="ET620" s="463"/>
      <c r="EU620" s="48"/>
      <c r="EV620" s="49"/>
      <c r="EW620" s="50"/>
      <c r="EX620" s="49"/>
      <c r="EY620" s="50"/>
      <c r="EZ620" s="49"/>
      <c r="FA620" s="50"/>
      <c r="FB620" s="49"/>
      <c r="FC620" s="50"/>
      <c r="FD620" s="49"/>
      <c r="FE620" s="50"/>
      <c r="FF620" s="49"/>
      <c r="FG620" s="50"/>
      <c r="FH620" s="49"/>
      <c r="FI620" s="50"/>
      <c r="FJ620" s="49"/>
      <c r="FK620" s="50"/>
      <c r="FL620" s="48"/>
      <c r="FM620" s="50"/>
      <c r="FN620" s="48"/>
      <c r="FO620" s="50"/>
      <c r="FP620" s="48"/>
      <c r="FQ620" s="50"/>
      <c r="FR620" s="44"/>
      <c r="FS620" s="50"/>
      <c r="FT620" s="44"/>
      <c r="FU620" s="50"/>
      <c r="FV620" s="44"/>
      <c r="FW620" s="50"/>
      <c r="FX620" s="44"/>
      <c r="FY620" s="50"/>
      <c r="FZ620" s="44"/>
      <c r="GA620" s="50"/>
      <c r="GB620" s="44"/>
      <c r="GC620" s="50"/>
      <c r="GD620" s="44"/>
      <c r="GE620" s="50"/>
      <c r="GF620" s="44"/>
      <c r="GG620" s="50"/>
      <c r="GH620" s="44"/>
      <c r="GI620" s="50"/>
      <c r="GJ620" s="44"/>
      <c r="GK620" s="50"/>
      <c r="GL620" s="43">
        <v>-0.5</v>
      </c>
      <c r="GM620" s="50"/>
      <c r="GN620" s="43">
        <v>-0.5</v>
      </c>
      <c r="GO620" s="50"/>
      <c r="GP620" s="43">
        <v>-0.5</v>
      </c>
      <c r="GQ620" s="50"/>
      <c r="GR620" s="43">
        <v>-0.5</v>
      </c>
      <c r="GS620" s="50"/>
      <c r="GT620" s="36"/>
      <c r="GU620" s="562"/>
      <c r="GV620" s="562"/>
      <c r="GW620"/>
      <c r="GX620"/>
      <c r="GY620"/>
      <c r="GZ620"/>
      <c r="HA620"/>
      <c r="HB620"/>
      <c r="HC620" s="562"/>
      <c r="HD620" s="562"/>
      <c r="HE620" s="562"/>
      <c r="HF620" s="562"/>
      <c r="HG620" s="562"/>
      <c r="HH620" s="562"/>
      <c r="HI620" s="562"/>
      <c r="HJ620" s="562"/>
      <c r="HK620" s="562"/>
      <c r="HL620" s="562"/>
      <c r="HM620" s="562"/>
      <c r="HN620" s="562"/>
      <c r="HO620" s="562"/>
      <c r="HP620" s="562"/>
      <c r="HQ620" s="562"/>
      <c r="HR620" s="562"/>
      <c r="HS620" s="562"/>
      <c r="HT620" s="562"/>
      <c r="HU620" s="562"/>
      <c r="HV620" s="562"/>
      <c r="HW620" s="562"/>
      <c r="HX620" s="562"/>
      <c r="HY620" s="562"/>
      <c r="HZ620" s="562"/>
      <c r="IA620" s="562"/>
      <c r="IB620" s="562"/>
      <c r="IC620" s="562"/>
      <c r="ID620" s="562"/>
      <c r="IE620" s="562"/>
      <c r="IF620" s="562"/>
      <c r="IG620" s="562"/>
      <c r="IH620" s="562"/>
      <c r="II620" s="562"/>
      <c r="IJ620" s="562"/>
      <c r="IK620" s="562"/>
      <c r="IL620" s="562"/>
      <c r="IM620" s="562"/>
      <c r="IN620" s="562"/>
      <c r="IO620" s="562"/>
      <c r="IP620" s="562"/>
      <c r="IQ620" s="562"/>
      <c r="IR620" s="562"/>
      <c r="IS620" s="562"/>
      <c r="IT620" s="562"/>
      <c r="IU620" s="562"/>
      <c r="IV620" s="562"/>
      <c r="IW620" s="562"/>
      <c r="IX620" s="562"/>
      <c r="IY620" s="562"/>
      <c r="IZ620" s="562"/>
      <c r="JA620" s="562"/>
      <c r="JB620" s="562"/>
      <c r="JC620" s="562"/>
      <c r="JD620" s="562"/>
      <c r="JE620" s="562"/>
      <c r="JF620" s="562"/>
      <c r="JG620" s="562"/>
      <c r="JH620" s="562"/>
      <c r="JI620" s="562"/>
      <c r="JJ620" s="562"/>
      <c r="JK620" s="562"/>
      <c r="JL620" s="562"/>
      <c r="JM620" s="562"/>
      <c r="JN620" s="562"/>
      <c r="JO620" s="562"/>
      <c r="JP620" s="562"/>
      <c r="JQ620" s="562"/>
      <c r="JR620" s="562"/>
      <c r="JS620" s="562"/>
      <c r="JT620" s="562"/>
      <c r="JU620" s="562"/>
      <c r="JV620" s="562"/>
      <c r="JW620" s="562"/>
      <c r="JX620" s="562"/>
      <c r="JY620" s="562"/>
      <c r="JZ620" s="562"/>
    </row>
    <row r="621" spans="1:286" s="13" customFormat="1" ht="12.75" hidden="1" customHeight="1" outlineLevel="1" x14ac:dyDescent="0.2">
      <c r="A621" s="11"/>
      <c r="B621" s="11" t="s">
        <v>274</v>
      </c>
      <c r="C621" s="36"/>
      <c r="D621" s="36"/>
      <c r="E621" s="37"/>
      <c r="F621" s="37"/>
      <c r="G621" s="37"/>
      <c r="H621" s="37"/>
      <c r="I621" s="37"/>
      <c r="J621" s="37"/>
      <c r="K621" s="37"/>
      <c r="L621" s="37"/>
      <c r="M621" s="37"/>
      <c r="N621" s="36"/>
      <c r="O621" s="37"/>
      <c r="P621" s="36"/>
      <c r="Q621" s="37"/>
      <c r="R621" s="36"/>
      <c r="S621" s="37"/>
      <c r="T621" s="36"/>
      <c r="U621" s="37"/>
      <c r="V621" s="36"/>
      <c r="W621" s="37"/>
      <c r="X621" s="36"/>
      <c r="Y621" s="37"/>
      <c r="Z621" s="36"/>
      <c r="AA621" s="34"/>
      <c r="AB621" s="36"/>
      <c r="AC621" s="37"/>
      <c r="AD621" s="36"/>
      <c r="AE621" s="38"/>
      <c r="AF621" s="36"/>
      <c r="AG621" s="38"/>
      <c r="AH621" s="36"/>
      <c r="AI621" s="38"/>
      <c r="AJ621" s="36"/>
      <c r="AK621" s="38"/>
      <c r="AL621" s="36"/>
      <c r="AM621" s="38"/>
      <c r="AN621" s="36"/>
      <c r="AO621" s="38"/>
      <c r="AP621" s="36"/>
      <c r="AQ621" s="38"/>
      <c r="AR621" s="36"/>
      <c r="AS621" s="38"/>
      <c r="AT621" s="39"/>
      <c r="AU621" s="38"/>
      <c r="AV621" s="39"/>
      <c r="AW621" s="38"/>
      <c r="AX621" s="39"/>
      <c r="AY621" s="38"/>
      <c r="AZ621" s="39"/>
      <c r="BA621" s="38"/>
      <c r="BB621" s="39"/>
      <c r="BC621" s="38"/>
      <c r="BD621" s="39"/>
      <c r="BE621" s="38"/>
      <c r="BF621" s="39"/>
      <c r="BG621" s="38"/>
      <c r="BH621" s="39"/>
      <c r="BI621" s="38"/>
      <c r="BJ621" s="39"/>
      <c r="BK621" s="38"/>
      <c r="BL621" s="39"/>
      <c r="BM621" s="38"/>
      <c r="BN621" s="39"/>
      <c r="BO621" s="38"/>
      <c r="BP621" s="39"/>
      <c r="BQ621" s="38"/>
      <c r="BR621" s="39"/>
      <c r="BS621" s="38"/>
      <c r="BT621" s="39"/>
      <c r="BU621" s="38"/>
      <c r="BV621" s="39"/>
      <c r="BW621" s="38"/>
      <c r="BX621" s="39"/>
      <c r="BY621" s="38"/>
      <c r="BZ621" s="39"/>
      <c r="CA621" s="38"/>
      <c r="CB621" s="39"/>
      <c r="CC621" s="38"/>
      <c r="CD621" s="39"/>
      <c r="CE621" s="38"/>
      <c r="CF621" s="39"/>
      <c r="CG621" s="38"/>
      <c r="CH621" s="39"/>
      <c r="CI621" s="38"/>
      <c r="CJ621" s="39"/>
      <c r="CK621" s="38"/>
      <c r="CL621" s="39"/>
      <c r="CM621" s="38"/>
      <c r="CN621" s="39"/>
      <c r="CO621" s="38"/>
      <c r="CP621" s="39"/>
      <c r="CQ621" s="38"/>
      <c r="CR621" s="39"/>
      <c r="CS621" s="38"/>
      <c r="CT621" s="39"/>
      <c r="CU621" s="38"/>
      <c r="CV621" s="39"/>
      <c r="CW621" s="38"/>
      <c r="CX621" s="39"/>
      <c r="CY621" s="38"/>
      <c r="CZ621" s="39"/>
      <c r="DA621" s="38"/>
      <c r="DB621" s="39"/>
      <c r="DC621" s="38"/>
      <c r="DD621" s="39"/>
      <c r="DE621" s="38"/>
      <c r="DF621" s="39"/>
      <c r="DG621" s="38"/>
      <c r="DH621" s="39"/>
      <c r="DI621" s="38"/>
      <c r="DJ621" s="39"/>
      <c r="DK621" s="38"/>
      <c r="DL621" s="39"/>
      <c r="DM621" s="38"/>
      <c r="DN621" s="39"/>
      <c r="DO621" s="38"/>
      <c r="DP621" s="39"/>
      <c r="DQ621" s="38"/>
      <c r="DR621" s="39"/>
      <c r="DS621" s="38"/>
      <c r="DT621" s="39"/>
      <c r="DU621" s="38"/>
      <c r="DV621" s="39"/>
      <c r="DW621" s="38"/>
      <c r="DX621" s="39"/>
      <c r="DY621" s="38"/>
      <c r="DZ621" s="39"/>
      <c r="EA621" s="38">
        <v>2</v>
      </c>
      <c r="EB621" s="39"/>
      <c r="EC621" s="38">
        <v>2</v>
      </c>
      <c r="ED621" s="39"/>
      <c r="EE621" s="38">
        <v>2</v>
      </c>
      <c r="EF621" s="39"/>
      <c r="EG621" s="38">
        <v>2</v>
      </c>
      <c r="EH621" s="39"/>
      <c r="EI621" s="38">
        <v>2</v>
      </c>
      <c r="EJ621" s="39"/>
      <c r="EK621" s="45">
        <v>2</v>
      </c>
      <c r="EL621" s="39"/>
      <c r="EM621" s="45">
        <v>2</v>
      </c>
      <c r="EN621" s="39"/>
      <c r="EO621" s="45">
        <v>2</v>
      </c>
      <c r="EP621" s="39"/>
      <c r="EQ621" s="45">
        <v>2</v>
      </c>
      <c r="ER621" s="39"/>
      <c r="ES621" s="48"/>
      <c r="ET621" s="463"/>
      <c r="EU621" s="48"/>
      <c r="EV621" s="49"/>
      <c r="EW621" s="50"/>
      <c r="EX621" s="49"/>
      <c r="EY621" s="50"/>
      <c r="EZ621" s="49"/>
      <c r="FA621" s="50"/>
      <c r="FB621" s="49"/>
      <c r="FC621" s="50"/>
      <c r="FD621" s="49"/>
      <c r="FE621" s="50"/>
      <c r="FF621" s="49"/>
      <c r="FG621" s="50"/>
      <c r="FH621" s="49"/>
      <c r="FI621" s="50"/>
      <c r="FJ621" s="49"/>
      <c r="FK621" s="50"/>
      <c r="FL621" s="48"/>
      <c r="FM621" s="50"/>
      <c r="FN621" s="48"/>
      <c r="FO621" s="50"/>
      <c r="FP621" s="48"/>
      <c r="FQ621" s="50"/>
      <c r="FR621" s="44"/>
      <c r="FS621" s="50"/>
      <c r="FT621" s="44"/>
      <c r="FU621" s="50"/>
      <c r="FV621" s="44"/>
      <c r="FW621" s="50"/>
      <c r="FX621" s="44"/>
      <c r="FY621" s="50"/>
      <c r="FZ621" s="44"/>
      <c r="GA621" s="50"/>
      <c r="GB621" s="44"/>
      <c r="GC621" s="50"/>
      <c r="GD621" s="44"/>
      <c r="GE621" s="50"/>
      <c r="GF621" s="44"/>
      <c r="GG621" s="50"/>
      <c r="GH621" s="44"/>
      <c r="GI621" s="50"/>
      <c r="GJ621" s="44"/>
      <c r="GK621" s="50"/>
      <c r="GL621" s="45">
        <v>2</v>
      </c>
      <c r="GM621" s="50"/>
      <c r="GN621" s="45">
        <v>2</v>
      </c>
      <c r="GO621" s="50"/>
      <c r="GP621" s="45">
        <v>2</v>
      </c>
      <c r="GQ621" s="50"/>
      <c r="GR621" s="45">
        <v>2</v>
      </c>
      <c r="GS621" s="50"/>
      <c r="GT621" s="36"/>
      <c r="GU621" s="562"/>
      <c r="GV621" s="562"/>
      <c r="GW621"/>
      <c r="GX621"/>
      <c r="GY621"/>
      <c r="GZ621"/>
      <c r="HA621"/>
      <c r="HB621"/>
      <c r="HC621" s="562"/>
      <c r="HD621" s="562"/>
      <c r="HE621" s="562"/>
      <c r="HF621" s="562"/>
      <c r="HG621" s="562"/>
      <c r="HH621" s="562"/>
      <c r="HI621" s="562"/>
      <c r="HJ621" s="562"/>
      <c r="HK621" s="562"/>
      <c r="HL621" s="562"/>
      <c r="HM621" s="562"/>
      <c r="HN621" s="562"/>
      <c r="HO621" s="562"/>
      <c r="HP621" s="562"/>
      <c r="HQ621" s="562"/>
      <c r="HR621" s="562"/>
      <c r="HS621" s="562"/>
      <c r="HT621" s="562"/>
      <c r="HU621" s="562"/>
      <c r="HV621" s="562"/>
      <c r="HW621" s="562"/>
      <c r="HX621" s="562"/>
      <c r="HY621" s="562"/>
      <c r="HZ621" s="562"/>
      <c r="IA621" s="562"/>
      <c r="IB621" s="562"/>
      <c r="IC621" s="562"/>
      <c r="ID621" s="562"/>
      <c r="IE621" s="562"/>
      <c r="IF621" s="562"/>
      <c r="IG621" s="562"/>
      <c r="IH621" s="562"/>
      <c r="II621" s="562"/>
      <c r="IJ621" s="562"/>
      <c r="IK621" s="562"/>
      <c r="IL621" s="562"/>
      <c r="IM621" s="562"/>
      <c r="IN621" s="562"/>
      <c r="IO621" s="562"/>
      <c r="IP621" s="562"/>
      <c r="IQ621" s="562"/>
      <c r="IR621" s="562"/>
      <c r="IS621" s="562"/>
      <c r="IT621" s="562"/>
      <c r="IU621" s="562"/>
      <c r="IV621" s="562"/>
      <c r="IW621" s="562"/>
      <c r="IX621" s="562"/>
      <c r="IY621" s="562"/>
      <c r="IZ621" s="562"/>
      <c r="JA621" s="562"/>
      <c r="JB621" s="562"/>
      <c r="JC621" s="562"/>
      <c r="JD621" s="562"/>
      <c r="JE621" s="562"/>
      <c r="JF621" s="562"/>
      <c r="JG621" s="562"/>
      <c r="JH621" s="562"/>
      <c r="JI621" s="562"/>
      <c r="JJ621" s="562"/>
      <c r="JK621" s="562"/>
      <c r="JL621" s="562"/>
      <c r="JM621" s="562"/>
      <c r="JN621" s="562"/>
      <c r="JO621" s="562"/>
      <c r="JP621" s="562"/>
      <c r="JQ621" s="562"/>
      <c r="JR621" s="562"/>
      <c r="JS621" s="562"/>
      <c r="JT621" s="562"/>
      <c r="JU621" s="562"/>
      <c r="JV621" s="562"/>
      <c r="JW621" s="562"/>
      <c r="JX621" s="562"/>
      <c r="JY621" s="562"/>
      <c r="JZ621" s="562"/>
    </row>
    <row r="622" spans="1:286" s="13" customFormat="1" ht="12.75" hidden="1" customHeight="1" outlineLevel="1" x14ac:dyDescent="0.2">
      <c r="A622" s="11"/>
      <c r="B622" s="11"/>
      <c r="C622" s="36"/>
      <c r="D622" s="36"/>
      <c r="E622" s="37"/>
      <c r="F622" s="37"/>
      <c r="G622" s="37"/>
      <c r="H622" s="37"/>
      <c r="I622" s="37"/>
      <c r="J622" s="37"/>
      <c r="K622" s="37"/>
      <c r="L622" s="37"/>
      <c r="M622" s="37"/>
      <c r="N622" s="36"/>
      <c r="O622" s="37"/>
      <c r="P622" s="36"/>
      <c r="Q622" s="37"/>
      <c r="R622" s="36"/>
      <c r="S622" s="37"/>
      <c r="T622" s="36"/>
      <c r="U622" s="37"/>
      <c r="V622" s="36"/>
      <c r="W622" s="37"/>
      <c r="X622" s="36"/>
      <c r="Y622" s="37"/>
      <c r="Z622" s="36"/>
      <c r="AA622" s="34"/>
      <c r="AB622" s="36"/>
      <c r="AC622" s="37"/>
      <c r="AD622" s="36"/>
      <c r="AE622" s="38"/>
      <c r="AF622" s="36"/>
      <c r="AG622" s="38"/>
      <c r="AH622" s="36"/>
      <c r="AI622" s="38"/>
      <c r="AJ622" s="36"/>
      <c r="AK622" s="38"/>
      <c r="AL622" s="36"/>
      <c r="AM622" s="38"/>
      <c r="AN622" s="36"/>
      <c r="AO622" s="38"/>
      <c r="AP622" s="36"/>
      <c r="AQ622" s="38"/>
      <c r="AR622" s="36"/>
      <c r="AS622" s="38"/>
      <c r="AT622" s="39"/>
      <c r="AU622" s="38"/>
      <c r="AV622" s="39"/>
      <c r="AW622" s="38"/>
      <c r="AX622" s="39"/>
      <c r="AY622" s="38"/>
      <c r="AZ622" s="39"/>
      <c r="BA622" s="38"/>
      <c r="BB622" s="39"/>
      <c r="BC622" s="38"/>
      <c r="BD622" s="39"/>
      <c r="BE622" s="38"/>
      <c r="BF622" s="39"/>
      <c r="BG622" s="38"/>
      <c r="BH622" s="39"/>
      <c r="BI622" s="38"/>
      <c r="BJ622" s="39"/>
      <c r="BK622" s="38"/>
      <c r="BL622" s="39"/>
      <c r="BM622" s="38"/>
      <c r="BN622" s="39"/>
      <c r="BO622" s="38"/>
      <c r="BP622" s="39"/>
      <c r="BQ622" s="38"/>
      <c r="BR622" s="39"/>
      <c r="BS622" s="38"/>
      <c r="BT622" s="39"/>
      <c r="BU622" s="38"/>
      <c r="BV622" s="39"/>
      <c r="BW622" s="38"/>
      <c r="BX622" s="39"/>
      <c r="BY622" s="38"/>
      <c r="BZ622" s="39"/>
      <c r="CA622" s="38"/>
      <c r="CB622" s="39"/>
      <c r="CC622" s="38"/>
      <c r="CD622" s="39"/>
      <c r="CE622" s="38"/>
      <c r="CF622" s="39"/>
      <c r="CG622" s="38"/>
      <c r="CH622" s="39"/>
      <c r="CI622" s="38"/>
      <c r="CJ622" s="39"/>
      <c r="CK622" s="38"/>
      <c r="CL622" s="39"/>
      <c r="CM622" s="38"/>
      <c r="CN622" s="39"/>
      <c r="CO622" s="38"/>
      <c r="CP622" s="39"/>
      <c r="CQ622" s="38"/>
      <c r="CR622" s="39"/>
      <c r="CS622" s="38"/>
      <c r="CT622" s="39"/>
      <c r="CU622" s="38"/>
      <c r="CV622" s="39"/>
      <c r="CW622" s="38"/>
      <c r="CX622" s="39"/>
      <c r="CY622" s="38"/>
      <c r="CZ622" s="39"/>
      <c r="DA622" s="38"/>
      <c r="DB622" s="39"/>
      <c r="DC622" s="38"/>
      <c r="DD622" s="39"/>
      <c r="DE622" s="38"/>
      <c r="DF622" s="39"/>
      <c r="DG622" s="38"/>
      <c r="DH622" s="39"/>
      <c r="DI622" s="38"/>
      <c r="DJ622" s="39"/>
      <c r="DK622" s="38"/>
      <c r="DL622" s="39"/>
      <c r="DM622" s="38"/>
      <c r="DN622" s="39"/>
      <c r="DO622" s="38"/>
      <c r="DP622" s="39"/>
      <c r="DQ622" s="38"/>
      <c r="DR622" s="39"/>
      <c r="DS622" s="38"/>
      <c r="DT622" s="39"/>
      <c r="DU622" s="38"/>
      <c r="DV622" s="39"/>
      <c r="DW622" s="38"/>
      <c r="DX622" s="39"/>
      <c r="DY622" s="38"/>
      <c r="DZ622" s="39"/>
      <c r="EA622" s="38"/>
      <c r="EB622" s="39"/>
      <c r="EC622" s="38"/>
      <c r="ED622" s="39"/>
      <c r="EE622" s="38"/>
      <c r="EF622" s="39"/>
      <c r="EG622" s="38"/>
      <c r="EH622" s="39"/>
      <c r="EI622" s="38"/>
      <c r="EJ622" s="39"/>
      <c r="EK622" s="38"/>
      <c r="EL622" s="39"/>
      <c r="EM622" s="38"/>
      <c r="EN622" s="39"/>
      <c r="EO622" s="38"/>
      <c r="EP622" s="39"/>
      <c r="EQ622" s="38"/>
      <c r="ER622" s="39"/>
      <c r="ES622" s="38"/>
      <c r="ET622" s="460"/>
      <c r="EU622" s="38"/>
      <c r="EV622" s="37"/>
      <c r="EW622" s="36"/>
      <c r="EX622" s="37"/>
      <c r="EY622" s="36"/>
      <c r="EZ622" s="37"/>
      <c r="FA622" s="36"/>
      <c r="FB622" s="37"/>
      <c r="FC622" s="36"/>
      <c r="FD622" s="37"/>
      <c r="FE622" s="36"/>
      <c r="FF622" s="37"/>
      <c r="FG622" s="36"/>
      <c r="FH622" s="37"/>
      <c r="FI622" s="36"/>
      <c r="FJ622" s="37"/>
      <c r="FK622" s="36"/>
      <c r="FL622" s="38"/>
      <c r="FM622" s="36"/>
      <c r="FN622" s="38"/>
      <c r="FO622" s="36"/>
      <c r="FP622" s="38"/>
      <c r="FQ622" s="36"/>
      <c r="FR622" s="38"/>
      <c r="FS622" s="36"/>
      <c r="FT622" s="38"/>
      <c r="FU622" s="36"/>
      <c r="FV622" s="38"/>
      <c r="FW622" s="36"/>
      <c r="FX622" s="38"/>
      <c r="FY622" s="36"/>
      <c r="FZ622" s="38"/>
      <c r="GA622" s="36"/>
      <c r="GB622" s="38"/>
      <c r="GC622" s="36"/>
      <c r="GD622" s="38"/>
      <c r="GE622" s="36"/>
      <c r="GF622" s="38"/>
      <c r="GG622" s="36"/>
      <c r="GH622" s="38"/>
      <c r="GI622" s="36"/>
      <c r="GJ622" s="38"/>
      <c r="GK622" s="36"/>
      <c r="GL622" s="38"/>
      <c r="GM622" s="36"/>
      <c r="GN622" s="38"/>
      <c r="GO622" s="36"/>
      <c r="GP622" s="38"/>
      <c r="GQ622" s="36"/>
      <c r="GR622" s="38"/>
      <c r="GS622" s="36"/>
      <c r="GT622" s="36"/>
      <c r="GU622" s="562"/>
      <c r="GV622" s="562"/>
      <c r="GW622"/>
      <c r="GX622"/>
      <c r="GY622"/>
      <c r="GZ622"/>
      <c r="HA622"/>
      <c r="HB622"/>
      <c r="HC622" s="562"/>
      <c r="HD622" s="562"/>
      <c r="HE622" s="562"/>
      <c r="HF622" s="562"/>
      <c r="HG622" s="562"/>
      <c r="HH622" s="562"/>
      <c r="HI622" s="562"/>
      <c r="HJ622" s="562"/>
      <c r="HK622" s="562"/>
      <c r="HL622" s="562"/>
      <c r="HM622" s="562"/>
      <c r="HN622" s="562"/>
      <c r="HO622" s="562"/>
      <c r="HP622" s="562"/>
      <c r="HQ622" s="562"/>
      <c r="HR622" s="562"/>
      <c r="HS622" s="562"/>
      <c r="HT622" s="562"/>
      <c r="HU622" s="562"/>
      <c r="HV622" s="562"/>
      <c r="HW622" s="562"/>
      <c r="HX622" s="562"/>
      <c r="HY622" s="562"/>
      <c r="HZ622" s="562"/>
      <c r="IA622" s="562"/>
      <c r="IB622" s="562"/>
      <c r="IC622" s="562"/>
      <c r="ID622" s="562"/>
      <c r="IE622" s="562"/>
      <c r="IF622" s="562"/>
      <c r="IG622" s="562"/>
      <c r="IH622" s="562"/>
      <c r="II622" s="562"/>
      <c r="IJ622" s="562"/>
      <c r="IK622" s="562"/>
      <c r="IL622" s="562"/>
      <c r="IM622" s="562"/>
      <c r="IN622" s="562"/>
      <c r="IO622" s="562"/>
      <c r="IP622" s="562"/>
      <c r="IQ622" s="562"/>
      <c r="IR622" s="562"/>
      <c r="IS622" s="562"/>
      <c r="IT622" s="562"/>
      <c r="IU622" s="562"/>
      <c r="IV622" s="562"/>
      <c r="IW622" s="562"/>
      <c r="IX622" s="562"/>
      <c r="IY622" s="562"/>
      <c r="IZ622" s="562"/>
      <c r="JA622" s="562"/>
      <c r="JB622" s="562"/>
      <c r="JC622" s="562"/>
      <c r="JD622" s="562"/>
      <c r="JE622" s="562"/>
      <c r="JF622" s="562"/>
      <c r="JG622" s="562"/>
      <c r="JH622" s="562"/>
      <c r="JI622" s="562"/>
      <c r="JJ622" s="562"/>
      <c r="JK622" s="562"/>
      <c r="JL622" s="562"/>
      <c r="JM622" s="562"/>
      <c r="JN622" s="562"/>
      <c r="JO622" s="562"/>
      <c r="JP622" s="562"/>
      <c r="JQ622" s="562"/>
      <c r="JR622" s="562"/>
      <c r="JS622" s="562"/>
      <c r="JT622" s="562"/>
      <c r="JU622" s="562"/>
      <c r="JV622" s="562"/>
      <c r="JW622" s="562"/>
      <c r="JX622" s="562"/>
      <c r="JY622" s="562"/>
      <c r="JZ622" s="562"/>
    </row>
    <row r="623" spans="1:286" s="13" customFormat="1" ht="12.75" hidden="1" customHeight="1" outlineLevel="1" x14ac:dyDescent="0.2">
      <c r="A623" s="11"/>
      <c r="B623" s="40" t="s">
        <v>307</v>
      </c>
      <c r="C623" s="36"/>
      <c r="D623" s="36"/>
      <c r="E623" s="37"/>
      <c r="F623" s="37"/>
      <c r="G623" s="37"/>
      <c r="H623" s="37"/>
      <c r="I623" s="37"/>
      <c r="J623" s="37"/>
      <c r="K623" s="37"/>
      <c r="L623" s="37"/>
      <c r="M623" s="37"/>
      <c r="N623" s="36"/>
      <c r="O623" s="37"/>
      <c r="P623" s="36"/>
      <c r="Q623" s="37"/>
      <c r="R623" s="36"/>
      <c r="S623" s="37"/>
      <c r="T623" s="36"/>
      <c r="U623" s="37"/>
      <c r="V623" s="36"/>
      <c r="W623" s="37"/>
      <c r="X623" s="36"/>
      <c r="Y623" s="37"/>
      <c r="Z623" s="36"/>
      <c r="AA623" s="34"/>
      <c r="AB623" s="36"/>
      <c r="AC623" s="37"/>
      <c r="AD623" s="36"/>
      <c r="AE623" s="38"/>
      <c r="AF623" s="36"/>
      <c r="AG623" s="38"/>
      <c r="AH623" s="36"/>
      <c r="AI623" s="38"/>
      <c r="AJ623" s="36"/>
      <c r="AK623" s="38"/>
      <c r="AL623" s="36"/>
      <c r="AM623" s="38"/>
      <c r="AN623" s="36"/>
      <c r="AO623" s="38"/>
      <c r="AP623" s="36"/>
      <c r="AQ623" s="38"/>
      <c r="AR623" s="36"/>
      <c r="AS623" s="38"/>
      <c r="AT623" s="39"/>
      <c r="AU623" s="38"/>
      <c r="AV623" s="39"/>
      <c r="AW623" s="38"/>
      <c r="AX623" s="39"/>
      <c r="AY623" s="38"/>
      <c r="AZ623" s="39"/>
      <c r="BA623" s="38"/>
      <c r="BB623" s="39"/>
      <c r="BC623" s="38"/>
      <c r="BD623" s="39"/>
      <c r="BE623" s="38"/>
      <c r="BF623" s="39"/>
      <c r="BG623" s="38"/>
      <c r="BH623" s="39"/>
      <c r="BI623" s="38"/>
      <c r="BJ623" s="39"/>
      <c r="BK623" s="38"/>
      <c r="BL623" s="39"/>
      <c r="BM623" s="38"/>
      <c r="BN623" s="39"/>
      <c r="BO623" s="38"/>
      <c r="BP623" s="39"/>
      <c r="BQ623" s="38"/>
      <c r="BR623" s="39"/>
      <c r="BS623" s="38"/>
      <c r="BT623" s="39"/>
      <c r="BU623" s="38"/>
      <c r="BV623" s="39"/>
      <c r="BW623" s="38"/>
      <c r="BX623" s="39"/>
      <c r="BY623" s="38"/>
      <c r="BZ623" s="39"/>
      <c r="CA623" s="38"/>
      <c r="CB623" s="39"/>
      <c r="CC623" s="38"/>
      <c r="CD623" s="39"/>
      <c r="CE623" s="38"/>
      <c r="CF623" s="39"/>
      <c r="CG623" s="38"/>
      <c r="CH623" s="39"/>
      <c r="CI623" s="38"/>
      <c r="CJ623" s="39"/>
      <c r="CK623" s="38"/>
      <c r="CL623" s="39"/>
      <c r="CM623" s="38"/>
      <c r="CN623" s="39"/>
      <c r="CO623" s="38"/>
      <c r="CP623" s="39"/>
      <c r="CQ623" s="38"/>
      <c r="CR623" s="39"/>
      <c r="CS623" s="38"/>
      <c r="CT623" s="39"/>
      <c r="CU623" s="38"/>
      <c r="CV623" s="39"/>
      <c r="CW623" s="38"/>
      <c r="CX623" s="39"/>
      <c r="CY623" s="38"/>
      <c r="CZ623" s="39"/>
      <c r="DA623" s="38"/>
      <c r="DB623" s="39"/>
      <c r="DC623" s="38"/>
      <c r="DD623" s="39"/>
      <c r="DE623" s="38"/>
      <c r="DF623" s="39"/>
      <c r="DG623" s="38"/>
      <c r="DH623" s="39"/>
      <c r="DI623" s="38"/>
      <c r="DJ623" s="39"/>
      <c r="DK623" s="38"/>
      <c r="DL623" s="39"/>
      <c r="DM623" s="38"/>
      <c r="DN623" s="39"/>
      <c r="DO623" s="38"/>
      <c r="DP623" s="39"/>
      <c r="DQ623" s="38"/>
      <c r="DR623" s="39"/>
      <c r="DS623" s="38"/>
      <c r="DT623" s="39"/>
      <c r="DU623" s="38"/>
      <c r="DV623" s="39"/>
      <c r="DW623" s="38"/>
      <c r="DX623" s="39"/>
      <c r="DY623" s="38"/>
      <c r="DZ623" s="39"/>
      <c r="EA623" s="38"/>
      <c r="EB623" s="39"/>
      <c r="EC623" s="38"/>
      <c r="ED623" s="39"/>
      <c r="EE623" s="38"/>
      <c r="EF623" s="39"/>
      <c r="EG623" s="38"/>
      <c r="EH623" s="39"/>
      <c r="EI623" s="38"/>
      <c r="EJ623" s="39"/>
      <c r="EK623" s="38"/>
      <c r="EL623" s="39"/>
      <c r="EM623" s="38"/>
      <c r="EN623" s="39"/>
      <c r="EO623" s="38"/>
      <c r="EP623" s="39"/>
      <c r="EQ623" s="38"/>
      <c r="ER623" s="39"/>
      <c r="ES623" s="38"/>
      <c r="ET623" s="460"/>
      <c r="EU623" s="38"/>
      <c r="EV623" s="37"/>
      <c r="EW623" s="36"/>
      <c r="EX623" s="37"/>
      <c r="EY623" s="36"/>
      <c r="EZ623" s="37"/>
      <c r="FA623" s="36"/>
      <c r="FB623" s="37"/>
      <c r="FC623" s="36"/>
      <c r="FD623" s="37"/>
      <c r="FE623" s="36"/>
      <c r="FF623" s="37"/>
      <c r="FG623" s="36"/>
      <c r="FH623" s="37"/>
      <c r="FI623" s="36"/>
      <c r="FJ623" s="37"/>
      <c r="FK623" s="36"/>
      <c r="FL623" s="38"/>
      <c r="FM623" s="36"/>
      <c r="FN623" s="38"/>
      <c r="FO623" s="36"/>
      <c r="FP623" s="38"/>
      <c r="FQ623" s="36"/>
      <c r="FR623" s="38"/>
      <c r="FS623" s="36"/>
      <c r="FT623" s="38"/>
      <c r="FU623" s="36"/>
      <c r="FV623" s="38"/>
      <c r="FW623" s="36"/>
      <c r="FX623" s="38"/>
      <c r="FY623" s="36"/>
      <c r="FZ623" s="38"/>
      <c r="GA623" s="36"/>
      <c r="GB623" s="38"/>
      <c r="GC623" s="36"/>
      <c r="GD623" s="38"/>
      <c r="GE623" s="36"/>
      <c r="GF623" s="38"/>
      <c r="GG623" s="36"/>
      <c r="GH623" s="38"/>
      <c r="GI623" s="36"/>
      <c r="GJ623" s="38"/>
      <c r="GK623" s="36"/>
      <c r="GL623" s="38"/>
      <c r="GM623" s="36"/>
      <c r="GN623" s="38"/>
      <c r="GO623" s="36"/>
      <c r="GP623" s="38"/>
      <c r="GQ623" s="36"/>
      <c r="GR623" s="38"/>
      <c r="GS623" s="36"/>
      <c r="GT623" s="36"/>
      <c r="GU623" s="562"/>
      <c r="GV623" s="562"/>
      <c r="GW623"/>
      <c r="GX623"/>
      <c r="GY623"/>
      <c r="GZ623"/>
      <c r="HA623"/>
      <c r="HB623"/>
      <c r="HC623" s="562"/>
      <c r="HD623" s="562"/>
      <c r="HE623" s="562"/>
      <c r="HF623" s="562"/>
      <c r="HG623" s="562"/>
      <c r="HH623" s="562"/>
      <c r="HI623" s="562"/>
      <c r="HJ623" s="562"/>
      <c r="HK623" s="562"/>
      <c r="HL623" s="562"/>
      <c r="HM623" s="562"/>
      <c r="HN623" s="562"/>
      <c r="HO623" s="562"/>
      <c r="HP623" s="562"/>
      <c r="HQ623" s="562"/>
      <c r="HR623" s="562"/>
      <c r="HS623" s="562"/>
      <c r="HT623" s="562"/>
      <c r="HU623" s="562"/>
      <c r="HV623" s="562"/>
      <c r="HW623" s="562"/>
      <c r="HX623" s="562"/>
      <c r="HY623" s="562"/>
      <c r="HZ623" s="562"/>
      <c r="IA623" s="562"/>
      <c r="IB623" s="562"/>
      <c r="IC623" s="562"/>
      <c r="ID623" s="562"/>
      <c r="IE623" s="562"/>
      <c r="IF623" s="562"/>
      <c r="IG623" s="562"/>
      <c r="IH623" s="562"/>
      <c r="II623" s="562"/>
      <c r="IJ623" s="562"/>
      <c r="IK623" s="562"/>
      <c r="IL623" s="562"/>
      <c r="IM623" s="562"/>
      <c r="IN623" s="562"/>
      <c r="IO623" s="562"/>
      <c r="IP623" s="562"/>
      <c r="IQ623" s="562"/>
      <c r="IR623" s="562"/>
      <c r="IS623" s="562"/>
      <c r="IT623" s="562"/>
      <c r="IU623" s="562"/>
      <c r="IV623" s="562"/>
      <c r="IW623" s="562"/>
      <c r="IX623" s="562"/>
      <c r="IY623" s="562"/>
      <c r="IZ623" s="562"/>
      <c r="JA623" s="562"/>
      <c r="JB623" s="562"/>
      <c r="JC623" s="562"/>
      <c r="JD623" s="562"/>
      <c r="JE623" s="562"/>
      <c r="JF623" s="562"/>
      <c r="JG623" s="562"/>
      <c r="JH623" s="562"/>
      <c r="JI623" s="562"/>
      <c r="JJ623" s="562"/>
      <c r="JK623" s="562"/>
      <c r="JL623" s="562"/>
      <c r="JM623" s="562"/>
      <c r="JN623" s="562"/>
      <c r="JO623" s="562"/>
      <c r="JP623" s="562"/>
      <c r="JQ623" s="562"/>
      <c r="JR623" s="562"/>
      <c r="JS623" s="562"/>
      <c r="JT623" s="562"/>
      <c r="JU623" s="562"/>
      <c r="JV623" s="562"/>
      <c r="JW623" s="562"/>
      <c r="JX623" s="562"/>
      <c r="JY623" s="562"/>
      <c r="JZ623" s="562"/>
    </row>
    <row r="624" spans="1:286" s="13" customFormat="1" ht="12.75" hidden="1" customHeight="1" outlineLevel="1" x14ac:dyDescent="0.2">
      <c r="A624" s="11"/>
      <c r="B624" s="40" t="s">
        <v>244</v>
      </c>
      <c r="C624" s="36"/>
      <c r="D624" s="36"/>
      <c r="E624" s="37"/>
      <c r="F624" s="37"/>
      <c r="G624" s="37"/>
      <c r="H624" s="37"/>
      <c r="I624" s="37"/>
      <c r="J624" s="37"/>
      <c r="K624" s="37"/>
      <c r="L624" s="37"/>
      <c r="M624" s="37"/>
      <c r="N624" s="36"/>
      <c r="O624" s="37"/>
      <c r="P624" s="36"/>
      <c r="Q624" s="37"/>
      <c r="R624" s="36"/>
      <c r="S624" s="37"/>
      <c r="T624" s="36"/>
      <c r="U624" s="37"/>
      <c r="V624" s="36"/>
      <c r="W624" s="37"/>
      <c r="X624" s="36"/>
      <c r="Y624" s="37"/>
      <c r="Z624" s="36"/>
      <c r="AA624" s="34"/>
      <c r="AB624" s="36"/>
      <c r="AC624" s="37"/>
      <c r="AD624" s="36"/>
      <c r="AE624" s="38"/>
      <c r="AF624" s="36"/>
      <c r="AG624" s="38"/>
      <c r="AH624" s="36"/>
      <c r="AI624" s="38"/>
      <c r="AJ624" s="36"/>
      <c r="AK624" s="38"/>
      <c r="AL624" s="36"/>
      <c r="AM624" s="38"/>
      <c r="AN624" s="36"/>
      <c r="AO624" s="38"/>
      <c r="AP624" s="36"/>
      <c r="AQ624" s="38"/>
      <c r="AR624" s="36"/>
      <c r="AS624" s="38"/>
      <c r="AT624" s="39"/>
      <c r="AU624" s="38"/>
      <c r="AV624" s="39"/>
      <c r="AW624" s="38"/>
      <c r="AX624" s="39"/>
      <c r="AY624" s="38"/>
      <c r="AZ624" s="39"/>
      <c r="BA624" s="38"/>
      <c r="BB624" s="39"/>
      <c r="BC624" s="38"/>
      <c r="BD624" s="39"/>
      <c r="BE624" s="38"/>
      <c r="BF624" s="39"/>
      <c r="BG624" s="38"/>
      <c r="BH624" s="39"/>
      <c r="BI624" s="38"/>
      <c r="BJ624" s="39"/>
      <c r="BK624" s="38"/>
      <c r="BL624" s="39"/>
      <c r="BM624" s="38"/>
      <c r="BN624" s="39"/>
      <c r="BO624" s="38"/>
      <c r="BP624" s="39"/>
      <c r="BQ624" s="38"/>
      <c r="BR624" s="39"/>
      <c r="BS624" s="38"/>
      <c r="BT624" s="39"/>
      <c r="BU624" s="38"/>
      <c r="BV624" s="39"/>
      <c r="BW624" s="38"/>
      <c r="BX624" s="39"/>
      <c r="BY624" s="38"/>
      <c r="BZ624" s="39"/>
      <c r="CA624" s="38"/>
      <c r="CB624" s="39"/>
      <c r="CC624" s="38"/>
      <c r="CD624" s="39"/>
      <c r="CE624" s="38"/>
      <c r="CF624" s="39"/>
      <c r="CG624" s="38"/>
      <c r="CH624" s="39"/>
      <c r="CI624" s="38"/>
      <c r="CJ624" s="39"/>
      <c r="CK624" s="38"/>
      <c r="CL624" s="39"/>
      <c r="CM624" s="38"/>
      <c r="CN624" s="39"/>
      <c r="CO624" s="38"/>
      <c r="CP624" s="39"/>
      <c r="CQ624" s="38"/>
      <c r="CR624" s="39"/>
      <c r="CS624" s="38"/>
      <c r="CT624" s="39"/>
      <c r="CU624" s="38"/>
      <c r="CV624" s="39"/>
      <c r="CW624" s="38"/>
      <c r="CX624" s="39"/>
      <c r="CY624" s="38"/>
      <c r="CZ624" s="39"/>
      <c r="DA624" s="38"/>
      <c r="DB624" s="39"/>
      <c r="DC624" s="38"/>
      <c r="DD624" s="39"/>
      <c r="DE624" s="38"/>
      <c r="DF624" s="39"/>
      <c r="DG624" s="38"/>
      <c r="DH624" s="39"/>
      <c r="DI624" s="38"/>
      <c r="DJ624" s="39"/>
      <c r="DK624" s="38"/>
      <c r="DL624" s="39"/>
      <c r="DM624" s="38"/>
      <c r="DN624" s="39"/>
      <c r="DO624" s="38"/>
      <c r="DP624" s="39"/>
      <c r="DQ624" s="38"/>
      <c r="DR624" s="39"/>
      <c r="DS624" s="38"/>
      <c r="DT624" s="39"/>
      <c r="DU624" s="38"/>
      <c r="DV624" s="39"/>
      <c r="DW624" s="38"/>
      <c r="DX624" s="39"/>
      <c r="DY624" s="38"/>
      <c r="DZ624" s="39"/>
      <c r="EA624" s="38"/>
      <c r="EB624" s="39"/>
      <c r="EC624" s="38"/>
      <c r="ED624" s="39"/>
      <c r="EE624" s="38"/>
      <c r="EF624" s="39"/>
      <c r="EG624" s="38"/>
      <c r="EH624" s="39"/>
      <c r="EI624" s="38"/>
      <c r="EJ624" s="39"/>
      <c r="EL624" s="39"/>
      <c r="EN624" s="39"/>
      <c r="EP624" s="39"/>
      <c r="ER624" s="39"/>
      <c r="ES624" s="38"/>
      <c r="ET624" s="460"/>
      <c r="EU624" s="38"/>
      <c r="EV624" s="37"/>
      <c r="EW624" s="36"/>
      <c r="EX624" s="37"/>
      <c r="EY624" s="36"/>
      <c r="EZ624" s="37"/>
      <c r="FA624" s="36"/>
      <c r="FB624" s="37"/>
      <c r="FC624" s="36"/>
      <c r="FD624" s="37"/>
      <c r="FE624" s="36"/>
      <c r="FF624" s="37"/>
      <c r="FG624" s="36"/>
      <c r="FH624" s="37"/>
      <c r="FI624" s="36"/>
      <c r="FJ624" s="37"/>
      <c r="FK624" s="36"/>
      <c r="FL624" s="38"/>
      <c r="FM624" s="36"/>
      <c r="FN624" s="38"/>
      <c r="FO624" s="36"/>
      <c r="FP624" s="38"/>
      <c r="FQ624" s="36"/>
      <c r="FS624" s="36"/>
      <c r="FU624" s="36"/>
      <c r="FW624" s="36"/>
      <c r="FY624" s="36"/>
      <c r="GA624" s="36"/>
      <c r="GC624" s="36"/>
      <c r="GE624" s="36"/>
      <c r="GG624" s="36"/>
      <c r="GI624" s="36"/>
      <c r="GK624" s="36"/>
      <c r="GM624" s="36"/>
      <c r="GO624" s="36"/>
      <c r="GQ624" s="36"/>
      <c r="GS624" s="36"/>
      <c r="GT624" s="36"/>
      <c r="GU624" s="562"/>
      <c r="GV624" s="562"/>
      <c r="GW624"/>
      <c r="GX624"/>
      <c r="GY624"/>
      <c r="GZ624"/>
      <c r="HA624"/>
      <c r="HB624"/>
      <c r="HC624" s="562"/>
      <c r="HD624" s="562"/>
      <c r="HE624" s="562"/>
      <c r="HF624" s="562"/>
      <c r="HG624" s="562"/>
      <c r="HH624" s="562"/>
      <c r="HI624" s="562"/>
      <c r="HJ624" s="562"/>
      <c r="HK624" s="562"/>
      <c r="HL624" s="562"/>
      <c r="HM624" s="562"/>
      <c r="HN624" s="562"/>
      <c r="HO624" s="562"/>
      <c r="HP624" s="562"/>
      <c r="HQ624" s="562"/>
      <c r="HR624" s="562"/>
      <c r="HS624" s="562"/>
      <c r="HT624" s="562"/>
      <c r="HU624" s="562"/>
      <c r="HV624" s="562"/>
      <c r="HW624" s="562"/>
      <c r="HX624" s="562"/>
      <c r="HY624" s="562"/>
      <c r="HZ624" s="562"/>
      <c r="IA624" s="562"/>
      <c r="IB624" s="562"/>
      <c r="IC624" s="562"/>
      <c r="ID624" s="562"/>
      <c r="IE624" s="562"/>
      <c r="IF624" s="562"/>
      <c r="IG624" s="562"/>
      <c r="IH624" s="562"/>
      <c r="II624" s="562"/>
      <c r="IJ624" s="562"/>
      <c r="IK624" s="562"/>
      <c r="IL624" s="562"/>
      <c r="IM624" s="562"/>
      <c r="IN624" s="562"/>
      <c r="IO624" s="562"/>
      <c r="IP624" s="562"/>
      <c r="IQ624" s="562"/>
      <c r="IR624" s="562"/>
      <c r="IS624" s="562"/>
      <c r="IT624" s="562"/>
      <c r="IU624" s="562"/>
      <c r="IV624" s="562"/>
      <c r="IW624" s="562"/>
      <c r="IX624" s="562"/>
      <c r="IY624" s="562"/>
      <c r="IZ624" s="562"/>
      <c r="JA624" s="562"/>
      <c r="JB624" s="562"/>
      <c r="JC624" s="562"/>
      <c r="JD624" s="562"/>
      <c r="JE624" s="562"/>
      <c r="JF624" s="562"/>
      <c r="JG624" s="562"/>
      <c r="JH624" s="562"/>
      <c r="JI624" s="562"/>
      <c r="JJ624" s="562"/>
      <c r="JK624" s="562"/>
      <c r="JL624" s="562"/>
      <c r="JM624" s="562"/>
      <c r="JN624" s="562"/>
      <c r="JO624" s="562"/>
      <c r="JP624" s="562"/>
      <c r="JQ624" s="562"/>
      <c r="JR624" s="562"/>
      <c r="JS624" s="562"/>
      <c r="JT624" s="562"/>
      <c r="JU624" s="562"/>
      <c r="JV624" s="562"/>
      <c r="JW624" s="562"/>
      <c r="JX624" s="562"/>
      <c r="JY624" s="562"/>
      <c r="JZ624" s="562"/>
    </row>
    <row r="625" spans="1:286" s="13" customFormat="1" ht="12.75" hidden="1" customHeight="1" outlineLevel="1" x14ac:dyDescent="0.2">
      <c r="A625" s="11"/>
      <c r="B625" s="11" t="s">
        <v>470</v>
      </c>
      <c r="C625" s="36"/>
      <c r="D625" s="36"/>
      <c r="E625" s="37"/>
      <c r="F625" s="37"/>
      <c r="G625" s="37"/>
      <c r="H625" s="37"/>
      <c r="I625" s="37"/>
      <c r="J625" s="37"/>
      <c r="K625" s="37"/>
      <c r="L625" s="37"/>
      <c r="M625" s="37"/>
      <c r="N625" s="36"/>
      <c r="O625" s="37"/>
      <c r="P625" s="36"/>
      <c r="Q625" s="37"/>
      <c r="R625" s="36"/>
      <c r="S625" s="37"/>
      <c r="T625" s="36"/>
      <c r="U625" s="37"/>
      <c r="V625" s="36"/>
      <c r="W625" s="37"/>
      <c r="X625" s="36"/>
      <c r="Y625" s="37"/>
      <c r="Z625" s="36"/>
      <c r="AA625" s="34"/>
      <c r="AB625" s="36"/>
      <c r="AC625" s="37"/>
      <c r="AD625" s="36"/>
      <c r="AE625" s="38"/>
      <c r="AF625" s="36"/>
      <c r="AG625" s="38"/>
      <c r="AH625" s="36"/>
      <c r="AI625" s="38"/>
      <c r="AJ625" s="36"/>
      <c r="AK625" s="38"/>
      <c r="AL625" s="36"/>
      <c r="AM625" s="38"/>
      <c r="AN625" s="36"/>
      <c r="AO625" s="38"/>
      <c r="AP625" s="36"/>
      <c r="AQ625" s="38"/>
      <c r="AR625" s="36"/>
      <c r="AS625" s="38"/>
      <c r="AT625" s="39"/>
      <c r="AU625" s="38"/>
      <c r="AV625" s="39"/>
      <c r="AW625" s="38"/>
      <c r="AX625" s="39"/>
      <c r="AY625" s="38"/>
      <c r="AZ625" s="39"/>
      <c r="BA625" s="38"/>
      <c r="BB625" s="39"/>
      <c r="BC625" s="38"/>
      <c r="BD625" s="39"/>
      <c r="BE625" s="38"/>
      <c r="BF625" s="39"/>
      <c r="BG625" s="38"/>
      <c r="BH625" s="39"/>
      <c r="BI625" s="38"/>
      <c r="BJ625" s="39"/>
      <c r="BK625" s="38"/>
      <c r="BL625" s="39"/>
      <c r="BM625" s="38"/>
      <c r="BN625" s="39"/>
      <c r="BO625" s="38"/>
      <c r="BP625" s="39"/>
      <c r="BQ625" s="38"/>
      <c r="BR625" s="39"/>
      <c r="BS625" s="38"/>
      <c r="BT625" s="39"/>
      <c r="BU625" s="38"/>
      <c r="BV625" s="39"/>
      <c r="BW625" s="38"/>
      <c r="BX625" s="39"/>
      <c r="BY625" s="38"/>
      <c r="BZ625" s="39"/>
      <c r="CA625" s="38"/>
      <c r="CB625" s="39"/>
      <c r="CC625" s="38"/>
      <c r="CD625" s="39"/>
      <c r="CE625" s="38"/>
      <c r="CF625" s="39"/>
      <c r="CG625" s="38"/>
      <c r="CH625" s="39"/>
      <c r="CI625" s="38"/>
      <c r="CJ625" s="39"/>
      <c r="CK625" s="38"/>
      <c r="CL625" s="39"/>
      <c r="CM625" s="38"/>
      <c r="CN625" s="39"/>
      <c r="CO625" s="38"/>
      <c r="CP625" s="39"/>
      <c r="CQ625" s="38"/>
      <c r="CR625" s="39"/>
      <c r="CS625" s="38"/>
      <c r="CT625" s="39"/>
      <c r="CU625" s="38"/>
      <c r="CV625" s="39"/>
      <c r="CW625" s="38"/>
      <c r="CX625" s="39"/>
      <c r="CY625" s="38"/>
      <c r="CZ625" s="39"/>
      <c r="DA625" s="38"/>
      <c r="DB625" s="39"/>
      <c r="DC625" s="38"/>
      <c r="DD625" s="39"/>
      <c r="DE625" s="38"/>
      <c r="DF625" s="39"/>
      <c r="DG625" s="38"/>
      <c r="DH625" s="39"/>
      <c r="DI625" s="38"/>
      <c r="DJ625" s="39"/>
      <c r="DK625" s="38"/>
      <c r="DL625" s="39"/>
      <c r="DM625" s="38"/>
      <c r="DN625" s="39"/>
      <c r="DO625" s="38"/>
      <c r="DP625" s="39"/>
      <c r="DQ625" s="38"/>
      <c r="DR625" s="39"/>
      <c r="DS625" s="38"/>
      <c r="DT625" s="39"/>
      <c r="DU625" s="38"/>
      <c r="DV625" s="39"/>
      <c r="DW625" s="38"/>
      <c r="DX625" s="39"/>
      <c r="DY625" s="38"/>
      <c r="DZ625" s="39"/>
      <c r="EA625" s="38">
        <f>EA233</f>
        <v>51.387347391786911</v>
      </c>
      <c r="EB625" s="39"/>
      <c r="EC625" s="38">
        <f>EC233</f>
        <v>50.814854394870423</v>
      </c>
      <c r="ED625" s="39"/>
      <c r="EE625" s="38">
        <f>EE233</f>
        <v>51.262290725484981</v>
      </c>
      <c r="EF625" s="39"/>
      <c r="EG625" s="38">
        <f>EG233</f>
        <v>51.782413519936618</v>
      </c>
      <c r="EH625" s="39"/>
      <c r="EI625" s="38">
        <f>EI233</f>
        <v>54.802407746663171</v>
      </c>
      <c r="EJ625" s="39"/>
      <c r="EK625" s="46">
        <f t="shared" ref="EK625:EQ625" si="2349">EK233</f>
        <v>52</v>
      </c>
      <c r="EL625" s="39"/>
      <c r="EM625" s="46">
        <f t="shared" si="2349"/>
        <v>52</v>
      </c>
      <c r="EN625" s="39"/>
      <c r="EO625" s="46">
        <f t="shared" si="2349"/>
        <v>52</v>
      </c>
      <c r="EP625" s="39"/>
      <c r="EQ625" s="46">
        <f t="shared" si="2349"/>
        <v>52</v>
      </c>
      <c r="ER625" s="39"/>
      <c r="ES625" s="38"/>
      <c r="ET625" s="460"/>
      <c r="EU625" s="38"/>
      <c r="EV625" s="37"/>
      <c r="EW625" s="36"/>
      <c r="EX625" s="37"/>
      <c r="EY625" s="36"/>
      <c r="EZ625" s="37"/>
      <c r="FA625" s="36"/>
      <c r="FB625" s="37"/>
      <c r="FC625" s="36"/>
      <c r="FD625" s="37"/>
      <c r="FE625" s="36"/>
      <c r="FF625" s="37"/>
      <c r="FG625" s="36"/>
      <c r="FH625" s="37"/>
      <c r="FI625" s="36"/>
      <c r="FJ625" s="37"/>
      <c r="FK625" s="36"/>
      <c r="FL625" s="38"/>
      <c r="FM625" s="36"/>
      <c r="FN625" s="38"/>
      <c r="FO625" s="36"/>
      <c r="FP625" s="38"/>
      <c r="FQ625" s="36"/>
      <c r="FR625" s="47"/>
      <c r="FS625" s="36"/>
      <c r="FT625" s="47"/>
      <c r="FU625" s="36"/>
      <c r="FV625" s="47"/>
      <c r="FW625" s="36"/>
      <c r="FX625" s="47"/>
      <c r="FY625" s="36"/>
      <c r="FZ625" s="47"/>
      <c r="GA625" s="36"/>
      <c r="GB625" s="47"/>
      <c r="GC625" s="36"/>
      <c r="GD625" s="47"/>
      <c r="GE625" s="36"/>
      <c r="GF625" s="47"/>
      <c r="GG625" s="36"/>
      <c r="GH625" s="47"/>
      <c r="GI625" s="36"/>
      <c r="GJ625" s="47"/>
      <c r="GK625" s="36"/>
      <c r="GL625" s="46">
        <f>GL233</f>
        <v>52.2</v>
      </c>
      <c r="GM625" s="36"/>
      <c r="GN625" s="46">
        <f>GN233</f>
        <v>52.2</v>
      </c>
      <c r="GO625" s="36"/>
      <c r="GP625" s="46">
        <f>GP233</f>
        <v>52.1</v>
      </c>
      <c r="GQ625" s="36"/>
      <c r="GR625" s="46">
        <f>GR233</f>
        <v>52.1</v>
      </c>
      <c r="GS625" s="36"/>
      <c r="GT625" s="36"/>
      <c r="GU625" s="562"/>
      <c r="GV625" s="562"/>
      <c r="GW625"/>
      <c r="GX625"/>
      <c r="GY625"/>
      <c r="GZ625"/>
      <c r="HA625"/>
      <c r="HB625"/>
      <c r="HC625" s="562"/>
      <c r="HD625" s="562"/>
      <c r="HE625" s="562"/>
      <c r="HF625" s="562"/>
      <c r="HG625" s="562"/>
      <c r="HH625" s="562"/>
      <c r="HI625" s="562"/>
      <c r="HJ625" s="562"/>
      <c r="HK625" s="562"/>
      <c r="HL625" s="562"/>
      <c r="HM625" s="562"/>
      <c r="HN625" s="562"/>
      <c r="HO625" s="562"/>
      <c r="HP625" s="562"/>
      <c r="HQ625" s="562"/>
      <c r="HR625" s="562"/>
      <c r="HS625" s="562"/>
      <c r="HT625" s="562"/>
      <c r="HU625" s="562"/>
      <c r="HV625" s="562"/>
      <c r="HW625" s="562"/>
      <c r="HX625" s="562"/>
      <c r="HY625" s="562"/>
      <c r="HZ625" s="562"/>
      <c r="IA625" s="562"/>
      <c r="IB625" s="562"/>
      <c r="IC625" s="562"/>
      <c r="ID625" s="562"/>
      <c r="IE625" s="562"/>
      <c r="IF625" s="562"/>
      <c r="IG625" s="562"/>
      <c r="IH625" s="562"/>
      <c r="II625" s="562"/>
      <c r="IJ625" s="562"/>
      <c r="IK625" s="562"/>
      <c r="IL625" s="562"/>
      <c r="IM625" s="562"/>
      <c r="IN625" s="562"/>
      <c r="IO625" s="562"/>
      <c r="IP625" s="562"/>
      <c r="IQ625" s="562"/>
      <c r="IR625" s="562"/>
      <c r="IS625" s="562"/>
      <c r="IT625" s="562"/>
      <c r="IU625" s="562"/>
      <c r="IV625" s="562"/>
      <c r="IW625" s="562"/>
      <c r="IX625" s="562"/>
      <c r="IY625" s="562"/>
      <c r="IZ625" s="562"/>
      <c r="JA625" s="562"/>
      <c r="JB625" s="562"/>
      <c r="JC625" s="562"/>
      <c r="JD625" s="562"/>
      <c r="JE625" s="562"/>
      <c r="JF625" s="562"/>
      <c r="JG625" s="562"/>
      <c r="JH625" s="562"/>
      <c r="JI625" s="562"/>
      <c r="JJ625" s="562"/>
      <c r="JK625" s="562"/>
      <c r="JL625" s="562"/>
      <c r="JM625" s="562"/>
      <c r="JN625" s="562"/>
      <c r="JO625" s="562"/>
      <c r="JP625" s="562"/>
      <c r="JQ625" s="562"/>
      <c r="JR625" s="562"/>
      <c r="JS625" s="562"/>
      <c r="JT625" s="562"/>
      <c r="JU625" s="562"/>
      <c r="JV625" s="562"/>
      <c r="JW625" s="562"/>
      <c r="JX625" s="562"/>
      <c r="JY625" s="562"/>
      <c r="JZ625" s="562"/>
    </row>
    <row r="626" spans="1:286" s="13" customFormat="1" ht="12.75" hidden="1" customHeight="1" outlineLevel="1" x14ac:dyDescent="0.2">
      <c r="A626" s="11"/>
      <c r="B626" s="11" t="s">
        <v>273</v>
      </c>
      <c r="C626" s="36"/>
      <c r="D626" s="36"/>
      <c r="E626" s="37"/>
      <c r="F626" s="37"/>
      <c r="G626" s="37"/>
      <c r="H626" s="37"/>
      <c r="I626" s="37"/>
      <c r="J626" s="37"/>
      <c r="K626" s="37"/>
      <c r="L626" s="37"/>
      <c r="M626" s="37"/>
      <c r="N626" s="36"/>
      <c r="O626" s="37"/>
      <c r="P626" s="36"/>
      <c r="Q626" s="37"/>
      <c r="R626" s="36"/>
      <c r="S626" s="37"/>
      <c r="T626" s="36"/>
      <c r="U626" s="37"/>
      <c r="V626" s="36"/>
      <c r="W626" s="37"/>
      <c r="X626" s="36"/>
      <c r="Y626" s="37"/>
      <c r="Z626" s="36"/>
      <c r="AA626" s="34"/>
      <c r="AB626" s="36"/>
      <c r="AC626" s="37"/>
      <c r="AD626" s="36"/>
      <c r="AE626" s="38"/>
      <c r="AF626" s="36"/>
      <c r="AG626" s="38"/>
      <c r="AH626" s="36"/>
      <c r="AI626" s="38"/>
      <c r="AJ626" s="36"/>
      <c r="AK626" s="38"/>
      <c r="AL626" s="36"/>
      <c r="AM626" s="38"/>
      <c r="AN626" s="36"/>
      <c r="AO626" s="38"/>
      <c r="AP626" s="36"/>
      <c r="AQ626" s="38"/>
      <c r="AR626" s="36"/>
      <c r="AS626" s="38"/>
      <c r="AT626" s="39"/>
      <c r="AU626" s="38"/>
      <c r="AV626" s="39"/>
      <c r="AW626" s="38"/>
      <c r="AX626" s="39"/>
      <c r="AY626" s="38"/>
      <c r="AZ626" s="39"/>
      <c r="BA626" s="38"/>
      <c r="BB626" s="39"/>
      <c r="BC626" s="38"/>
      <c r="BD626" s="39"/>
      <c r="BE626" s="38"/>
      <c r="BF626" s="39"/>
      <c r="BG626" s="38"/>
      <c r="BH626" s="39"/>
      <c r="BI626" s="38"/>
      <c r="BJ626" s="39"/>
      <c r="BK626" s="38"/>
      <c r="BL626" s="39"/>
      <c r="BM626" s="38"/>
      <c r="BN626" s="39"/>
      <c r="BO626" s="38"/>
      <c r="BP626" s="39"/>
      <c r="BQ626" s="38"/>
      <c r="BR626" s="39"/>
      <c r="BS626" s="38"/>
      <c r="BT626" s="39"/>
      <c r="BU626" s="38"/>
      <c r="BV626" s="39"/>
      <c r="BW626" s="38"/>
      <c r="BX626" s="39"/>
      <c r="BY626" s="38"/>
      <c r="BZ626" s="39"/>
      <c r="CA626" s="38"/>
      <c r="CB626" s="39"/>
      <c r="CC626" s="38"/>
      <c r="CD626" s="39"/>
      <c r="CE626" s="38"/>
      <c r="CF626" s="39"/>
      <c r="CG626" s="38"/>
      <c r="CH626" s="39"/>
      <c r="CI626" s="38"/>
      <c r="CJ626" s="39"/>
      <c r="CK626" s="38"/>
      <c r="CL626" s="39"/>
      <c r="CM626" s="38"/>
      <c r="CN626" s="39"/>
      <c r="CO626" s="38"/>
      <c r="CP626" s="39"/>
      <c r="CQ626" s="38"/>
      <c r="CR626" s="39"/>
      <c r="CS626" s="38"/>
      <c r="CT626" s="39"/>
      <c r="CU626" s="38"/>
      <c r="CV626" s="39"/>
      <c r="CW626" s="38"/>
      <c r="CX626" s="39"/>
      <c r="CY626" s="38"/>
      <c r="CZ626" s="39"/>
      <c r="DA626" s="38"/>
      <c r="DB626" s="39"/>
      <c r="DC626" s="38"/>
      <c r="DD626" s="39"/>
      <c r="DE626" s="38"/>
      <c r="DF626" s="39"/>
      <c r="DG626" s="38"/>
      <c r="DH626" s="39"/>
      <c r="DI626" s="38"/>
      <c r="DJ626" s="39"/>
      <c r="DK626" s="38"/>
      <c r="DL626" s="39"/>
      <c r="DM626" s="38"/>
      <c r="DN626" s="39"/>
      <c r="DO626" s="38"/>
      <c r="DP626" s="39"/>
      <c r="DQ626" s="38"/>
      <c r="DR626" s="39"/>
      <c r="DS626" s="38"/>
      <c r="DT626" s="39"/>
      <c r="DU626" s="38"/>
      <c r="DV626" s="39"/>
      <c r="DW626" s="38"/>
      <c r="DX626" s="39"/>
      <c r="DY626" s="38"/>
      <c r="DZ626" s="39"/>
      <c r="EA626" s="38">
        <v>-2</v>
      </c>
      <c r="EB626" s="39"/>
      <c r="EC626" s="38">
        <v>-2</v>
      </c>
      <c r="ED626" s="39"/>
      <c r="EE626" s="38">
        <v>-2</v>
      </c>
      <c r="EF626" s="39"/>
      <c r="EG626" s="38">
        <v>-2</v>
      </c>
      <c r="EH626" s="39"/>
      <c r="EI626" s="38">
        <v>-2</v>
      </c>
      <c r="EJ626" s="39"/>
      <c r="EK626" s="43">
        <v>-2</v>
      </c>
      <c r="EL626" s="39"/>
      <c r="EM626" s="43">
        <v>-2</v>
      </c>
      <c r="EN626" s="39"/>
      <c r="EO626" s="43">
        <v>-2</v>
      </c>
      <c r="EP626" s="39"/>
      <c r="EQ626" s="43">
        <v>-2</v>
      </c>
      <c r="ER626" s="39"/>
      <c r="ES626" s="48"/>
      <c r="ET626" s="463"/>
      <c r="EU626" s="48"/>
      <c r="EV626" s="49"/>
      <c r="EW626" s="50"/>
      <c r="EX626" s="49"/>
      <c r="EY626" s="50"/>
      <c r="EZ626" s="49"/>
      <c r="FA626" s="50"/>
      <c r="FB626" s="49"/>
      <c r="FC626" s="50"/>
      <c r="FD626" s="49"/>
      <c r="FE626" s="50"/>
      <c r="FF626" s="49"/>
      <c r="FG626" s="50"/>
      <c r="FH626" s="49"/>
      <c r="FI626" s="50"/>
      <c r="FJ626" s="49"/>
      <c r="FK626" s="50"/>
      <c r="FL626" s="48"/>
      <c r="FM626" s="50"/>
      <c r="FN626" s="48"/>
      <c r="FO626" s="50"/>
      <c r="FP626" s="48"/>
      <c r="FQ626" s="50"/>
      <c r="FR626" s="44"/>
      <c r="FS626" s="50"/>
      <c r="FT626" s="44"/>
      <c r="FU626" s="50"/>
      <c r="FV626" s="44"/>
      <c r="FW626" s="50"/>
      <c r="FX626" s="44"/>
      <c r="FY626" s="50"/>
      <c r="FZ626" s="44"/>
      <c r="GA626" s="50"/>
      <c r="GB626" s="44"/>
      <c r="GC626" s="50"/>
      <c r="GD626" s="44"/>
      <c r="GE626" s="50"/>
      <c r="GF626" s="44"/>
      <c r="GG626" s="50"/>
      <c r="GH626" s="44"/>
      <c r="GI626" s="50"/>
      <c r="GJ626" s="44"/>
      <c r="GK626" s="50"/>
      <c r="GL626" s="43">
        <v>-2</v>
      </c>
      <c r="GM626" s="50"/>
      <c r="GN626" s="43">
        <v>-2</v>
      </c>
      <c r="GO626" s="50"/>
      <c r="GP626" s="43">
        <v>-2</v>
      </c>
      <c r="GQ626" s="50"/>
      <c r="GR626" s="43">
        <v>-2</v>
      </c>
      <c r="GS626" s="50"/>
      <c r="GT626" s="36"/>
      <c r="GU626" s="562"/>
      <c r="GV626" s="562"/>
      <c r="GW626"/>
      <c r="GX626"/>
      <c r="GY626"/>
      <c r="GZ626"/>
      <c r="HA626"/>
      <c r="HB626"/>
      <c r="HC626" s="562"/>
      <c r="HD626" s="562"/>
      <c r="HE626" s="562"/>
      <c r="HF626" s="562"/>
      <c r="HG626" s="562"/>
      <c r="HH626" s="562"/>
      <c r="HI626" s="562"/>
      <c r="HJ626" s="562"/>
      <c r="HK626" s="562"/>
      <c r="HL626" s="562"/>
      <c r="HM626" s="562"/>
      <c r="HN626" s="562"/>
      <c r="HO626" s="562"/>
      <c r="HP626" s="562"/>
      <c r="HQ626" s="562"/>
      <c r="HR626" s="562"/>
      <c r="HS626" s="562"/>
      <c r="HT626" s="562"/>
      <c r="HU626" s="562"/>
      <c r="HV626" s="562"/>
      <c r="HW626" s="562"/>
      <c r="HX626" s="562"/>
      <c r="HY626" s="562"/>
      <c r="HZ626" s="562"/>
      <c r="IA626" s="562"/>
      <c r="IB626" s="562"/>
      <c r="IC626" s="562"/>
      <c r="ID626" s="562"/>
      <c r="IE626" s="562"/>
      <c r="IF626" s="562"/>
      <c r="IG626" s="562"/>
      <c r="IH626" s="562"/>
      <c r="II626" s="562"/>
      <c r="IJ626" s="562"/>
      <c r="IK626" s="562"/>
      <c r="IL626" s="562"/>
      <c r="IM626" s="562"/>
      <c r="IN626" s="562"/>
      <c r="IO626" s="562"/>
      <c r="IP626" s="562"/>
      <c r="IQ626" s="562"/>
      <c r="IR626" s="562"/>
      <c r="IS626" s="562"/>
      <c r="IT626" s="562"/>
      <c r="IU626" s="562"/>
      <c r="IV626" s="562"/>
      <c r="IW626" s="562"/>
      <c r="IX626" s="562"/>
      <c r="IY626" s="562"/>
      <c r="IZ626" s="562"/>
      <c r="JA626" s="562"/>
      <c r="JB626" s="562"/>
      <c r="JC626" s="562"/>
      <c r="JD626" s="562"/>
      <c r="JE626" s="562"/>
      <c r="JF626" s="562"/>
      <c r="JG626" s="562"/>
      <c r="JH626" s="562"/>
      <c r="JI626" s="562"/>
      <c r="JJ626" s="562"/>
      <c r="JK626" s="562"/>
      <c r="JL626" s="562"/>
      <c r="JM626" s="562"/>
      <c r="JN626" s="562"/>
      <c r="JO626" s="562"/>
      <c r="JP626" s="562"/>
      <c r="JQ626" s="562"/>
      <c r="JR626" s="562"/>
      <c r="JS626" s="562"/>
      <c r="JT626" s="562"/>
      <c r="JU626" s="562"/>
      <c r="JV626" s="562"/>
      <c r="JW626" s="562"/>
      <c r="JX626" s="562"/>
      <c r="JY626" s="562"/>
      <c r="JZ626" s="562"/>
    </row>
    <row r="627" spans="1:286" s="13" customFormat="1" ht="12.75" hidden="1" customHeight="1" outlineLevel="1" x14ac:dyDescent="0.2">
      <c r="A627" s="11"/>
      <c r="B627" s="11" t="s">
        <v>274</v>
      </c>
      <c r="C627" s="36"/>
      <c r="D627" s="36"/>
      <c r="E627" s="37"/>
      <c r="F627" s="37"/>
      <c r="G627" s="37"/>
      <c r="H627" s="37"/>
      <c r="I627" s="37"/>
      <c r="J627" s="37"/>
      <c r="K627" s="37"/>
      <c r="L627" s="37"/>
      <c r="M627" s="37"/>
      <c r="N627" s="36"/>
      <c r="O627" s="37"/>
      <c r="P627" s="36"/>
      <c r="Q627" s="37"/>
      <c r="R627" s="36"/>
      <c r="S627" s="37"/>
      <c r="T627" s="36"/>
      <c r="U627" s="37"/>
      <c r="V627" s="36"/>
      <c r="W627" s="37"/>
      <c r="X627" s="36"/>
      <c r="Y627" s="37"/>
      <c r="Z627" s="36"/>
      <c r="AA627" s="34"/>
      <c r="AB627" s="36"/>
      <c r="AC627" s="37"/>
      <c r="AD627" s="36"/>
      <c r="AE627" s="38"/>
      <c r="AF627" s="36"/>
      <c r="AG627" s="38"/>
      <c r="AH627" s="36"/>
      <c r="AI627" s="38"/>
      <c r="AJ627" s="36"/>
      <c r="AK627" s="38"/>
      <c r="AL627" s="36"/>
      <c r="AM627" s="38"/>
      <c r="AN627" s="36"/>
      <c r="AO627" s="38"/>
      <c r="AP627" s="36"/>
      <c r="AQ627" s="38"/>
      <c r="AR627" s="36"/>
      <c r="AS627" s="38"/>
      <c r="AT627" s="39"/>
      <c r="AU627" s="38"/>
      <c r="AV627" s="39"/>
      <c r="AW627" s="38"/>
      <c r="AX627" s="39"/>
      <c r="AY627" s="38"/>
      <c r="AZ627" s="39"/>
      <c r="BA627" s="38"/>
      <c r="BB627" s="39"/>
      <c r="BC627" s="38"/>
      <c r="BD627" s="39"/>
      <c r="BE627" s="38"/>
      <c r="BF627" s="39"/>
      <c r="BG627" s="38"/>
      <c r="BH627" s="39"/>
      <c r="BI627" s="38"/>
      <c r="BJ627" s="39"/>
      <c r="BK627" s="38"/>
      <c r="BL627" s="39"/>
      <c r="BM627" s="38"/>
      <c r="BN627" s="39"/>
      <c r="BO627" s="38"/>
      <c r="BP627" s="39"/>
      <c r="BQ627" s="38"/>
      <c r="BR627" s="39"/>
      <c r="BS627" s="38"/>
      <c r="BT627" s="39"/>
      <c r="BU627" s="38"/>
      <c r="BV627" s="39"/>
      <c r="BW627" s="38"/>
      <c r="BX627" s="39"/>
      <c r="BY627" s="38"/>
      <c r="BZ627" s="39"/>
      <c r="CA627" s="38"/>
      <c r="CB627" s="39"/>
      <c r="CC627" s="38"/>
      <c r="CD627" s="39"/>
      <c r="CE627" s="38"/>
      <c r="CF627" s="39"/>
      <c r="CG627" s="38"/>
      <c r="CH627" s="39"/>
      <c r="CI627" s="38"/>
      <c r="CJ627" s="39"/>
      <c r="CK627" s="38"/>
      <c r="CL627" s="39"/>
      <c r="CM627" s="38"/>
      <c r="CN627" s="39"/>
      <c r="CO627" s="38"/>
      <c r="CP627" s="39"/>
      <c r="CQ627" s="38"/>
      <c r="CR627" s="39"/>
      <c r="CS627" s="38"/>
      <c r="CT627" s="39"/>
      <c r="CU627" s="38"/>
      <c r="CV627" s="39"/>
      <c r="CW627" s="38"/>
      <c r="CX627" s="39"/>
      <c r="CY627" s="38"/>
      <c r="CZ627" s="39"/>
      <c r="DA627" s="38"/>
      <c r="DB627" s="39"/>
      <c r="DC627" s="38"/>
      <c r="DD627" s="39"/>
      <c r="DE627" s="38"/>
      <c r="DF627" s="39"/>
      <c r="DG627" s="38"/>
      <c r="DH627" s="39"/>
      <c r="DI627" s="38"/>
      <c r="DJ627" s="39"/>
      <c r="DK627" s="38"/>
      <c r="DL627" s="39"/>
      <c r="DM627" s="38"/>
      <c r="DN627" s="39"/>
      <c r="DO627" s="38"/>
      <c r="DP627" s="39"/>
      <c r="DQ627" s="38"/>
      <c r="DR627" s="39"/>
      <c r="DS627" s="38"/>
      <c r="DT627" s="39"/>
      <c r="DU627" s="38"/>
      <c r="DV627" s="39"/>
      <c r="DW627" s="38"/>
      <c r="DX627" s="39"/>
      <c r="DY627" s="38"/>
      <c r="DZ627" s="39"/>
      <c r="EA627" s="38">
        <v>2</v>
      </c>
      <c r="EB627" s="39"/>
      <c r="EC627" s="38">
        <v>2</v>
      </c>
      <c r="ED627" s="39"/>
      <c r="EE627" s="38">
        <v>2</v>
      </c>
      <c r="EF627" s="39"/>
      <c r="EG627" s="38">
        <v>2</v>
      </c>
      <c r="EH627" s="39"/>
      <c r="EI627" s="38">
        <v>2</v>
      </c>
      <c r="EJ627" s="39"/>
      <c r="EK627" s="45">
        <v>2</v>
      </c>
      <c r="EL627" s="39"/>
      <c r="EM627" s="45">
        <v>2</v>
      </c>
      <c r="EN627" s="39"/>
      <c r="EO627" s="45">
        <v>2</v>
      </c>
      <c r="EP627" s="39"/>
      <c r="EQ627" s="45">
        <v>2</v>
      </c>
      <c r="ER627" s="39"/>
      <c r="ES627" s="48"/>
      <c r="ET627" s="463"/>
      <c r="EU627" s="48"/>
      <c r="EV627" s="49"/>
      <c r="EW627" s="50"/>
      <c r="EX627" s="49"/>
      <c r="EY627" s="50"/>
      <c r="EZ627" s="49"/>
      <c r="FA627" s="50"/>
      <c r="FB627" s="49"/>
      <c r="FC627" s="50"/>
      <c r="FD627" s="49"/>
      <c r="FE627" s="50"/>
      <c r="FF627" s="49"/>
      <c r="FG627" s="50"/>
      <c r="FH627" s="49"/>
      <c r="FI627" s="50"/>
      <c r="FJ627" s="49"/>
      <c r="FK627" s="50"/>
      <c r="FL627" s="48"/>
      <c r="FM627" s="50"/>
      <c r="FN627" s="48"/>
      <c r="FO627" s="50"/>
      <c r="FP627" s="48"/>
      <c r="FQ627" s="50"/>
      <c r="FR627" s="44"/>
      <c r="FS627" s="50"/>
      <c r="FT627" s="44"/>
      <c r="FU627" s="50"/>
      <c r="FV627" s="44"/>
      <c r="FW627" s="50"/>
      <c r="FX627" s="44"/>
      <c r="FY627" s="50"/>
      <c r="FZ627" s="44"/>
      <c r="GA627" s="50"/>
      <c r="GB627" s="44"/>
      <c r="GC627" s="50"/>
      <c r="GD627" s="44"/>
      <c r="GE627" s="50"/>
      <c r="GF627" s="44"/>
      <c r="GG627" s="50"/>
      <c r="GH627" s="44"/>
      <c r="GI627" s="50"/>
      <c r="GJ627" s="44"/>
      <c r="GK627" s="50"/>
      <c r="GL627" s="45">
        <v>2</v>
      </c>
      <c r="GM627" s="50"/>
      <c r="GN627" s="45">
        <v>2</v>
      </c>
      <c r="GO627" s="50"/>
      <c r="GP627" s="45">
        <v>2</v>
      </c>
      <c r="GQ627" s="50"/>
      <c r="GR627" s="45">
        <v>2</v>
      </c>
      <c r="GS627" s="50"/>
      <c r="GT627" s="36"/>
      <c r="GU627" s="562"/>
      <c r="GV627" s="562"/>
      <c r="GW627"/>
      <c r="GX627"/>
      <c r="GY627"/>
      <c r="GZ627"/>
      <c r="HA627"/>
      <c r="HB627"/>
      <c r="HC627" s="562"/>
      <c r="HD627" s="562"/>
      <c r="HE627" s="562"/>
      <c r="HF627" s="562"/>
      <c r="HG627" s="562"/>
      <c r="HH627" s="562"/>
      <c r="HI627" s="562"/>
      <c r="HJ627" s="562"/>
      <c r="HK627" s="562"/>
      <c r="HL627" s="562"/>
      <c r="HM627" s="562"/>
      <c r="HN627" s="562"/>
      <c r="HO627" s="562"/>
      <c r="HP627" s="562"/>
      <c r="HQ627" s="562"/>
      <c r="HR627" s="562"/>
      <c r="HS627" s="562"/>
      <c r="HT627" s="562"/>
      <c r="HU627" s="562"/>
      <c r="HV627" s="562"/>
      <c r="HW627" s="562"/>
      <c r="HX627" s="562"/>
      <c r="HY627" s="562"/>
      <c r="HZ627" s="562"/>
      <c r="IA627" s="562"/>
      <c r="IB627" s="562"/>
      <c r="IC627" s="562"/>
      <c r="ID627" s="562"/>
      <c r="IE627" s="562"/>
      <c r="IF627" s="562"/>
      <c r="IG627" s="562"/>
      <c r="IH627" s="562"/>
      <c r="II627" s="562"/>
      <c r="IJ627" s="562"/>
      <c r="IK627" s="562"/>
      <c r="IL627" s="562"/>
      <c r="IM627" s="562"/>
      <c r="IN627" s="562"/>
      <c r="IO627" s="562"/>
      <c r="IP627" s="562"/>
      <c r="IQ627" s="562"/>
      <c r="IR627" s="562"/>
      <c r="IS627" s="562"/>
      <c r="IT627" s="562"/>
      <c r="IU627" s="562"/>
      <c r="IV627" s="562"/>
      <c r="IW627" s="562"/>
      <c r="IX627" s="562"/>
      <c r="IY627" s="562"/>
      <c r="IZ627" s="562"/>
      <c r="JA627" s="562"/>
      <c r="JB627" s="562"/>
      <c r="JC627" s="562"/>
      <c r="JD627" s="562"/>
      <c r="JE627" s="562"/>
      <c r="JF627" s="562"/>
      <c r="JG627" s="562"/>
      <c r="JH627" s="562"/>
      <c r="JI627" s="562"/>
      <c r="JJ627" s="562"/>
      <c r="JK627" s="562"/>
      <c r="JL627" s="562"/>
      <c r="JM627" s="562"/>
      <c r="JN627" s="562"/>
      <c r="JO627" s="562"/>
      <c r="JP627" s="562"/>
      <c r="JQ627" s="562"/>
      <c r="JR627" s="562"/>
      <c r="JS627" s="562"/>
      <c r="JT627" s="562"/>
      <c r="JU627" s="562"/>
      <c r="JV627" s="562"/>
      <c r="JW627" s="562"/>
      <c r="JX627" s="562"/>
      <c r="JY627" s="562"/>
      <c r="JZ627" s="562"/>
    </row>
    <row r="628" spans="1:286" s="13" customFormat="1" ht="12.75" hidden="1" customHeight="1" outlineLevel="1" x14ac:dyDescent="0.2">
      <c r="A628" s="11"/>
      <c r="B628" s="11"/>
      <c r="C628" s="36"/>
      <c r="D628" s="36"/>
      <c r="E628" s="37"/>
      <c r="F628" s="37"/>
      <c r="G628" s="37"/>
      <c r="H628" s="37"/>
      <c r="I628" s="37"/>
      <c r="J628" s="37"/>
      <c r="K628" s="37"/>
      <c r="L628" s="37"/>
      <c r="M628" s="37"/>
      <c r="N628" s="36"/>
      <c r="O628" s="37"/>
      <c r="P628" s="36"/>
      <c r="Q628" s="37"/>
      <c r="R628" s="36"/>
      <c r="S628" s="37"/>
      <c r="T628" s="36"/>
      <c r="U628" s="37"/>
      <c r="V628" s="36"/>
      <c r="W628" s="37"/>
      <c r="X628" s="36"/>
      <c r="Y628" s="37"/>
      <c r="Z628" s="36"/>
      <c r="AA628" s="34"/>
      <c r="AB628" s="36"/>
      <c r="AC628" s="37"/>
      <c r="AD628" s="36"/>
      <c r="AE628" s="38"/>
      <c r="AF628" s="36"/>
      <c r="AG628" s="38"/>
      <c r="AH628" s="36"/>
      <c r="AI628" s="38"/>
      <c r="AJ628" s="36"/>
      <c r="AK628" s="38"/>
      <c r="AL628" s="36"/>
      <c r="AM628" s="38"/>
      <c r="AN628" s="36"/>
      <c r="AO628" s="38"/>
      <c r="AP628" s="36"/>
      <c r="AQ628" s="38"/>
      <c r="AR628" s="36"/>
      <c r="AS628" s="38"/>
      <c r="AT628" s="39"/>
      <c r="AU628" s="38"/>
      <c r="AV628" s="39"/>
      <c r="AW628" s="38"/>
      <c r="AX628" s="39"/>
      <c r="AY628" s="38"/>
      <c r="AZ628" s="39"/>
      <c r="BA628" s="38"/>
      <c r="BB628" s="39"/>
      <c r="BC628" s="38"/>
      <c r="BD628" s="39"/>
      <c r="BE628" s="38"/>
      <c r="BF628" s="39"/>
      <c r="BG628" s="38"/>
      <c r="BH628" s="39"/>
      <c r="BI628" s="38"/>
      <c r="BJ628" s="39"/>
      <c r="BK628" s="38"/>
      <c r="BL628" s="39"/>
      <c r="BM628" s="38"/>
      <c r="BN628" s="39"/>
      <c r="BO628" s="38"/>
      <c r="BP628" s="39"/>
      <c r="BQ628" s="38"/>
      <c r="BR628" s="39"/>
      <c r="BS628" s="38"/>
      <c r="BT628" s="39"/>
      <c r="BU628" s="38"/>
      <c r="BV628" s="39"/>
      <c r="BW628" s="38"/>
      <c r="BX628" s="39"/>
      <c r="BY628" s="38"/>
      <c r="BZ628" s="39"/>
      <c r="CA628" s="38"/>
      <c r="CB628" s="39"/>
      <c r="CC628" s="38"/>
      <c r="CD628" s="39"/>
      <c r="CE628" s="38"/>
      <c r="CF628" s="39"/>
      <c r="CG628" s="38"/>
      <c r="CH628" s="39"/>
      <c r="CI628" s="38"/>
      <c r="CJ628" s="39"/>
      <c r="CK628" s="38"/>
      <c r="CL628" s="39"/>
      <c r="CM628" s="38"/>
      <c r="CN628" s="39"/>
      <c r="CO628" s="38"/>
      <c r="CP628" s="39"/>
      <c r="CQ628" s="38"/>
      <c r="CR628" s="39"/>
      <c r="CS628" s="38"/>
      <c r="CT628" s="39"/>
      <c r="CU628" s="38"/>
      <c r="CV628" s="39"/>
      <c r="CW628" s="38"/>
      <c r="CX628" s="39"/>
      <c r="CY628" s="38"/>
      <c r="CZ628" s="39"/>
      <c r="DA628" s="38"/>
      <c r="DB628" s="39"/>
      <c r="DC628" s="38"/>
      <c r="DD628" s="39"/>
      <c r="DE628" s="38"/>
      <c r="DF628" s="39"/>
      <c r="DG628" s="38"/>
      <c r="DH628" s="39"/>
      <c r="DI628" s="38"/>
      <c r="DJ628" s="39"/>
      <c r="DK628" s="38"/>
      <c r="DL628" s="39"/>
      <c r="DM628" s="38"/>
      <c r="DN628" s="39"/>
      <c r="DO628" s="38"/>
      <c r="DP628" s="39"/>
      <c r="DQ628" s="38"/>
      <c r="DR628" s="39"/>
      <c r="DS628" s="38"/>
      <c r="DT628" s="39"/>
      <c r="DU628" s="38"/>
      <c r="DV628" s="39"/>
      <c r="DW628" s="38"/>
      <c r="DX628" s="39"/>
      <c r="DY628" s="38"/>
      <c r="DZ628" s="39"/>
      <c r="EA628" s="38"/>
      <c r="EB628" s="39"/>
      <c r="EC628" s="38"/>
      <c r="ED628" s="39"/>
      <c r="EE628" s="38"/>
      <c r="EF628" s="39"/>
      <c r="EG628" s="38"/>
      <c r="EH628" s="39"/>
      <c r="EI628" s="38"/>
      <c r="EJ628" s="39"/>
      <c r="EK628" s="38"/>
      <c r="EL628" s="39"/>
      <c r="EM628" s="38"/>
      <c r="EN628" s="39"/>
      <c r="EO628" s="38"/>
      <c r="EP628" s="39"/>
      <c r="EQ628" s="38"/>
      <c r="ER628" s="39"/>
      <c r="ES628" s="38"/>
      <c r="ET628" s="460"/>
      <c r="EU628" s="38"/>
      <c r="EV628" s="37"/>
      <c r="EW628" s="36"/>
      <c r="EX628" s="37"/>
      <c r="EY628" s="36"/>
      <c r="EZ628" s="37"/>
      <c r="FA628" s="36"/>
      <c r="FB628" s="37"/>
      <c r="FC628" s="36"/>
      <c r="FD628" s="37"/>
      <c r="FE628" s="36"/>
      <c r="FF628" s="37"/>
      <c r="FG628" s="36"/>
      <c r="FH628" s="37"/>
      <c r="FI628" s="36"/>
      <c r="FJ628" s="37"/>
      <c r="FK628" s="36"/>
      <c r="FL628" s="38"/>
      <c r="FM628" s="36"/>
      <c r="FN628" s="38"/>
      <c r="FO628" s="36"/>
      <c r="FP628" s="38"/>
      <c r="FQ628" s="36"/>
      <c r="FR628" s="38"/>
      <c r="FS628" s="36"/>
      <c r="FT628" s="38"/>
      <c r="FU628" s="36"/>
      <c r="FV628" s="38"/>
      <c r="FW628" s="36"/>
      <c r="FX628" s="38"/>
      <c r="FY628" s="36"/>
      <c r="FZ628" s="38"/>
      <c r="GA628" s="36"/>
      <c r="GB628" s="38"/>
      <c r="GC628" s="36"/>
      <c r="GD628" s="38"/>
      <c r="GE628" s="36"/>
      <c r="GF628" s="38"/>
      <c r="GG628" s="36"/>
      <c r="GH628" s="38"/>
      <c r="GI628" s="36"/>
      <c r="GJ628" s="38"/>
      <c r="GK628" s="36"/>
      <c r="GL628" s="38"/>
      <c r="GM628" s="36"/>
      <c r="GN628" s="38"/>
      <c r="GO628" s="36"/>
      <c r="GP628" s="38"/>
      <c r="GQ628" s="36"/>
      <c r="GR628" s="38"/>
      <c r="GS628" s="36"/>
      <c r="GT628" s="36"/>
      <c r="GU628" s="562"/>
      <c r="GV628" s="562"/>
      <c r="GW628"/>
      <c r="GX628"/>
      <c r="GY628"/>
      <c r="GZ628"/>
      <c r="HA628"/>
      <c r="HB628"/>
      <c r="HC628" s="562"/>
      <c r="HD628" s="562"/>
      <c r="HE628" s="562"/>
      <c r="HF628" s="562"/>
      <c r="HG628" s="562"/>
      <c r="HH628" s="562"/>
      <c r="HI628" s="562"/>
      <c r="HJ628" s="562"/>
      <c r="HK628" s="562"/>
      <c r="HL628" s="562"/>
      <c r="HM628" s="562"/>
      <c r="HN628" s="562"/>
      <c r="HO628" s="562"/>
      <c r="HP628" s="562"/>
      <c r="HQ628" s="562"/>
      <c r="HR628" s="562"/>
      <c r="HS628" s="562"/>
      <c r="HT628" s="562"/>
      <c r="HU628" s="562"/>
      <c r="HV628" s="562"/>
      <c r="HW628" s="562"/>
      <c r="HX628" s="562"/>
      <c r="HY628" s="562"/>
      <c r="HZ628" s="562"/>
      <c r="IA628" s="562"/>
      <c r="IB628" s="562"/>
      <c r="IC628" s="562"/>
      <c r="ID628" s="562"/>
      <c r="IE628" s="562"/>
      <c r="IF628" s="562"/>
      <c r="IG628" s="562"/>
      <c r="IH628" s="562"/>
      <c r="II628" s="562"/>
      <c r="IJ628" s="562"/>
      <c r="IK628" s="562"/>
      <c r="IL628" s="562"/>
      <c r="IM628" s="562"/>
      <c r="IN628" s="562"/>
      <c r="IO628" s="562"/>
      <c r="IP628" s="562"/>
      <c r="IQ628" s="562"/>
      <c r="IR628" s="562"/>
      <c r="IS628" s="562"/>
      <c r="IT628" s="562"/>
      <c r="IU628" s="562"/>
      <c r="IV628" s="562"/>
      <c r="IW628" s="562"/>
      <c r="IX628" s="562"/>
      <c r="IY628" s="562"/>
      <c r="IZ628" s="562"/>
      <c r="JA628" s="562"/>
      <c r="JB628" s="562"/>
      <c r="JC628" s="562"/>
      <c r="JD628" s="562"/>
      <c r="JE628" s="562"/>
      <c r="JF628" s="562"/>
      <c r="JG628" s="562"/>
      <c r="JH628" s="562"/>
      <c r="JI628" s="562"/>
      <c r="JJ628" s="562"/>
      <c r="JK628" s="562"/>
      <c r="JL628" s="562"/>
      <c r="JM628" s="562"/>
      <c r="JN628" s="562"/>
      <c r="JO628" s="562"/>
      <c r="JP628" s="562"/>
      <c r="JQ628" s="562"/>
      <c r="JR628" s="562"/>
      <c r="JS628" s="562"/>
      <c r="JT628" s="562"/>
      <c r="JU628" s="562"/>
      <c r="JV628" s="562"/>
      <c r="JW628" s="562"/>
      <c r="JX628" s="562"/>
      <c r="JY628" s="562"/>
      <c r="JZ628" s="562"/>
    </row>
    <row r="629" spans="1:286" s="13" customFormat="1" ht="12.75" hidden="1" customHeight="1" outlineLevel="1" x14ac:dyDescent="0.2">
      <c r="A629" s="11"/>
      <c r="B629" s="40" t="s">
        <v>246</v>
      </c>
      <c r="C629" s="36"/>
      <c r="D629" s="36"/>
      <c r="E629" s="37"/>
      <c r="F629" s="37"/>
      <c r="G629" s="37"/>
      <c r="H629" s="37"/>
      <c r="I629" s="37"/>
      <c r="J629" s="37"/>
      <c r="K629" s="37"/>
      <c r="L629" s="37"/>
      <c r="M629" s="37"/>
      <c r="N629" s="36"/>
      <c r="O629" s="37"/>
      <c r="P629" s="36"/>
      <c r="Q629" s="37"/>
      <c r="R629" s="36"/>
      <c r="S629" s="37"/>
      <c r="T629" s="36"/>
      <c r="U629" s="37"/>
      <c r="V629" s="36"/>
      <c r="W629" s="37"/>
      <c r="X629" s="36"/>
      <c r="Y629" s="37"/>
      <c r="Z629" s="36"/>
      <c r="AA629" s="34"/>
      <c r="AB629" s="36"/>
      <c r="AC629" s="37"/>
      <c r="AD629" s="36"/>
      <c r="AE629" s="38"/>
      <c r="AF629" s="36"/>
      <c r="AG629" s="38"/>
      <c r="AH629" s="36"/>
      <c r="AI629" s="38"/>
      <c r="AJ629" s="36"/>
      <c r="AK629" s="38"/>
      <c r="AL629" s="36"/>
      <c r="AM629" s="38"/>
      <c r="AN629" s="36"/>
      <c r="AO629" s="38"/>
      <c r="AP629" s="36"/>
      <c r="AQ629" s="38"/>
      <c r="AR629" s="36"/>
      <c r="AS629" s="38"/>
      <c r="AT629" s="39"/>
      <c r="AU629" s="38"/>
      <c r="AV629" s="39"/>
      <c r="AW629" s="38"/>
      <c r="AX629" s="39"/>
      <c r="AY629" s="38"/>
      <c r="AZ629" s="39"/>
      <c r="BA629" s="38"/>
      <c r="BB629" s="39"/>
      <c r="BC629" s="38"/>
      <c r="BD629" s="39"/>
      <c r="BE629" s="38"/>
      <c r="BF629" s="39"/>
      <c r="BG629" s="38"/>
      <c r="BH629" s="39"/>
      <c r="BI629" s="38"/>
      <c r="BJ629" s="39"/>
      <c r="BK629" s="38"/>
      <c r="BL629" s="39"/>
      <c r="BM629" s="38"/>
      <c r="BN629" s="39"/>
      <c r="BO629" s="38"/>
      <c r="BP629" s="39"/>
      <c r="BQ629" s="38"/>
      <c r="BR629" s="39"/>
      <c r="BS629" s="38"/>
      <c r="BT629" s="39"/>
      <c r="BU629" s="38"/>
      <c r="BV629" s="39"/>
      <c r="BW629" s="38"/>
      <c r="BX629" s="39"/>
      <c r="BY629" s="38"/>
      <c r="BZ629" s="39"/>
      <c r="CA629" s="38"/>
      <c r="CB629" s="39"/>
      <c r="CC629" s="38"/>
      <c r="CD629" s="39"/>
      <c r="CE629" s="38"/>
      <c r="CF629" s="39"/>
      <c r="CG629" s="38"/>
      <c r="CH629" s="39"/>
      <c r="CI629" s="38"/>
      <c r="CJ629" s="39"/>
      <c r="CK629" s="38"/>
      <c r="CL629" s="39"/>
      <c r="CM629" s="38"/>
      <c r="CN629" s="39"/>
      <c r="CO629" s="38"/>
      <c r="CP629" s="39"/>
      <c r="CQ629" s="38"/>
      <c r="CR629" s="39"/>
      <c r="CS629" s="38"/>
      <c r="CT629" s="39"/>
      <c r="CU629" s="38"/>
      <c r="CV629" s="39"/>
      <c r="CW629" s="38"/>
      <c r="CX629" s="39"/>
      <c r="CY629" s="38"/>
      <c r="CZ629" s="39"/>
      <c r="DA629" s="38"/>
      <c r="DB629" s="39"/>
      <c r="DC629" s="38"/>
      <c r="DD629" s="39"/>
      <c r="DE629" s="38"/>
      <c r="DF629" s="39"/>
      <c r="DG629" s="38"/>
      <c r="DH629" s="39"/>
      <c r="DI629" s="38"/>
      <c r="DJ629" s="39"/>
      <c r="DK629" s="38"/>
      <c r="DL629" s="39"/>
      <c r="DM629" s="38"/>
      <c r="DN629" s="39"/>
      <c r="DO629" s="38"/>
      <c r="DP629" s="39"/>
      <c r="DQ629" s="38"/>
      <c r="DR629" s="39"/>
      <c r="DS629" s="38"/>
      <c r="DT629" s="39"/>
      <c r="DU629" s="38"/>
      <c r="DV629" s="39"/>
      <c r="DW629" s="38"/>
      <c r="DX629" s="39"/>
      <c r="DY629" s="38"/>
      <c r="DZ629" s="39"/>
      <c r="EA629" s="38"/>
      <c r="EB629" s="39"/>
      <c r="EC629" s="38"/>
      <c r="ED629" s="39"/>
      <c r="EE629" s="38"/>
      <c r="EF629" s="39"/>
      <c r="EG629" s="38"/>
      <c r="EH629" s="39"/>
      <c r="EI629" s="38"/>
      <c r="EJ629" s="39"/>
      <c r="EK629" s="38"/>
      <c r="EL629" s="39"/>
      <c r="EM629" s="38"/>
      <c r="EN629" s="39"/>
      <c r="EO629" s="38"/>
      <c r="EP629" s="39"/>
      <c r="EQ629" s="38"/>
      <c r="ER629" s="39"/>
      <c r="ES629" s="38"/>
      <c r="ET629" s="460"/>
      <c r="EU629" s="38"/>
      <c r="EV629" s="37"/>
      <c r="EW629" s="36"/>
      <c r="EX629" s="37"/>
      <c r="EY629" s="36"/>
      <c r="EZ629" s="37"/>
      <c r="FA629" s="36"/>
      <c r="FB629" s="37"/>
      <c r="FC629" s="36"/>
      <c r="FD629" s="37"/>
      <c r="FE629" s="36"/>
      <c r="FF629" s="37"/>
      <c r="FG629" s="36"/>
      <c r="FH629" s="37"/>
      <c r="FI629" s="36"/>
      <c r="FJ629" s="37"/>
      <c r="FK629" s="36"/>
      <c r="FL629" s="38"/>
      <c r="FM629" s="36"/>
      <c r="FN629" s="38"/>
      <c r="FO629" s="36"/>
      <c r="FP629" s="38"/>
      <c r="FQ629" s="36"/>
      <c r="FR629" s="38"/>
      <c r="FS629" s="36"/>
      <c r="FT629" s="38"/>
      <c r="FU629" s="36"/>
      <c r="FV629" s="38"/>
      <c r="FW629" s="36"/>
      <c r="FX629" s="38"/>
      <c r="FY629" s="36"/>
      <c r="FZ629" s="38"/>
      <c r="GA629" s="36"/>
      <c r="GB629" s="38"/>
      <c r="GC629" s="36"/>
      <c r="GD629" s="38"/>
      <c r="GE629" s="36"/>
      <c r="GF629" s="38"/>
      <c r="GG629" s="36"/>
      <c r="GH629" s="38"/>
      <c r="GI629" s="36"/>
      <c r="GJ629" s="38"/>
      <c r="GK629" s="36"/>
      <c r="GL629" s="38"/>
      <c r="GM629" s="36"/>
      <c r="GN629" s="38"/>
      <c r="GO629" s="36"/>
      <c r="GP629" s="38"/>
      <c r="GQ629" s="36"/>
      <c r="GR629" s="38"/>
      <c r="GS629" s="36"/>
      <c r="GT629" s="36"/>
      <c r="GU629" s="562"/>
      <c r="GV629" s="562"/>
      <c r="GW629"/>
      <c r="GX629"/>
      <c r="GY629"/>
      <c r="GZ629"/>
      <c r="HA629"/>
      <c r="HB629"/>
      <c r="HC629" s="562"/>
      <c r="HD629" s="562"/>
      <c r="HE629" s="562"/>
      <c r="HF629" s="562"/>
      <c r="HG629" s="562"/>
      <c r="HH629" s="562"/>
      <c r="HI629" s="562"/>
      <c r="HJ629" s="562"/>
      <c r="HK629" s="562"/>
      <c r="HL629" s="562"/>
      <c r="HM629" s="562"/>
      <c r="HN629" s="562"/>
      <c r="HO629" s="562"/>
      <c r="HP629" s="562"/>
      <c r="HQ629" s="562"/>
      <c r="HR629" s="562"/>
      <c r="HS629" s="562"/>
      <c r="HT629" s="562"/>
      <c r="HU629" s="562"/>
      <c r="HV629" s="562"/>
      <c r="HW629" s="562"/>
      <c r="HX629" s="562"/>
      <c r="HY629" s="562"/>
      <c r="HZ629" s="562"/>
      <c r="IA629" s="562"/>
      <c r="IB629" s="562"/>
      <c r="IC629" s="562"/>
      <c r="ID629" s="562"/>
      <c r="IE629" s="562"/>
      <c r="IF629" s="562"/>
      <c r="IG629" s="562"/>
      <c r="IH629" s="562"/>
      <c r="II629" s="562"/>
      <c r="IJ629" s="562"/>
      <c r="IK629" s="562"/>
      <c r="IL629" s="562"/>
      <c r="IM629" s="562"/>
      <c r="IN629" s="562"/>
      <c r="IO629" s="562"/>
      <c r="IP629" s="562"/>
      <c r="IQ629" s="562"/>
      <c r="IR629" s="562"/>
      <c r="IS629" s="562"/>
      <c r="IT629" s="562"/>
      <c r="IU629" s="562"/>
      <c r="IV629" s="562"/>
      <c r="IW629" s="562"/>
      <c r="IX629" s="562"/>
      <c r="IY629" s="562"/>
      <c r="IZ629" s="562"/>
      <c r="JA629" s="562"/>
      <c r="JB629" s="562"/>
      <c r="JC629" s="562"/>
      <c r="JD629" s="562"/>
      <c r="JE629" s="562"/>
      <c r="JF629" s="562"/>
      <c r="JG629" s="562"/>
      <c r="JH629" s="562"/>
      <c r="JI629" s="562"/>
      <c r="JJ629" s="562"/>
      <c r="JK629" s="562"/>
      <c r="JL629" s="562"/>
      <c r="JM629" s="562"/>
      <c r="JN629" s="562"/>
      <c r="JO629" s="562"/>
      <c r="JP629" s="562"/>
      <c r="JQ629" s="562"/>
      <c r="JR629" s="562"/>
      <c r="JS629" s="562"/>
      <c r="JT629" s="562"/>
      <c r="JU629" s="562"/>
      <c r="JV629" s="562"/>
      <c r="JW629" s="562"/>
      <c r="JX629" s="562"/>
      <c r="JY629" s="562"/>
      <c r="JZ629" s="562"/>
    </row>
    <row r="630" spans="1:286" s="13" customFormat="1" ht="12.75" hidden="1" customHeight="1" outlineLevel="1" x14ac:dyDescent="0.2">
      <c r="A630" s="11"/>
      <c r="B630" s="11" t="s">
        <v>470</v>
      </c>
      <c r="C630" s="36"/>
      <c r="D630" s="36"/>
      <c r="E630" s="37"/>
      <c r="F630" s="37"/>
      <c r="G630" s="37"/>
      <c r="H630" s="37"/>
      <c r="I630" s="37"/>
      <c r="J630" s="37"/>
      <c r="K630" s="37"/>
      <c r="L630" s="37"/>
      <c r="M630" s="37"/>
      <c r="N630" s="36"/>
      <c r="O630" s="37"/>
      <c r="P630" s="36"/>
      <c r="Q630" s="37"/>
      <c r="R630" s="36"/>
      <c r="S630" s="37"/>
      <c r="T630" s="36"/>
      <c r="U630" s="37"/>
      <c r="V630" s="36"/>
      <c r="W630" s="37"/>
      <c r="X630" s="36"/>
      <c r="Y630" s="37"/>
      <c r="Z630" s="36"/>
      <c r="AA630" s="34"/>
      <c r="AB630" s="36"/>
      <c r="AC630" s="37"/>
      <c r="AD630" s="36"/>
      <c r="AE630" s="38"/>
      <c r="AF630" s="36"/>
      <c r="AG630" s="38"/>
      <c r="AH630" s="36"/>
      <c r="AI630" s="38"/>
      <c r="AJ630" s="36"/>
      <c r="AK630" s="38"/>
      <c r="AL630" s="36"/>
      <c r="AM630" s="38"/>
      <c r="AN630" s="36"/>
      <c r="AO630" s="38"/>
      <c r="AP630" s="36"/>
      <c r="AQ630" s="38"/>
      <c r="AR630" s="36"/>
      <c r="AS630" s="38"/>
      <c r="AT630" s="39"/>
      <c r="AU630" s="38"/>
      <c r="AV630" s="39"/>
      <c r="AW630" s="38"/>
      <c r="AX630" s="39"/>
      <c r="AY630" s="38"/>
      <c r="AZ630" s="39"/>
      <c r="BA630" s="38"/>
      <c r="BB630" s="39"/>
      <c r="BC630" s="38"/>
      <c r="BD630" s="39"/>
      <c r="BE630" s="38"/>
      <c r="BF630" s="39"/>
      <c r="BG630" s="38"/>
      <c r="BH630" s="39"/>
      <c r="BI630" s="38"/>
      <c r="BJ630" s="39"/>
      <c r="BK630" s="38"/>
      <c r="BL630" s="39"/>
      <c r="BM630" s="38"/>
      <c r="BN630" s="39"/>
      <c r="BO630" s="38"/>
      <c r="BP630" s="39"/>
      <c r="BQ630" s="38"/>
      <c r="BR630" s="39"/>
      <c r="BS630" s="38"/>
      <c r="BT630" s="39"/>
      <c r="BU630" s="38"/>
      <c r="BV630" s="39"/>
      <c r="BW630" s="38"/>
      <c r="BX630" s="39"/>
      <c r="BY630" s="38"/>
      <c r="BZ630" s="39"/>
      <c r="CA630" s="38"/>
      <c r="CB630" s="39"/>
      <c r="CC630" s="38"/>
      <c r="CD630" s="39"/>
      <c r="CE630" s="38"/>
      <c r="CF630" s="39"/>
      <c r="CG630" s="38"/>
      <c r="CH630" s="39"/>
      <c r="CI630" s="38"/>
      <c r="CJ630" s="39"/>
      <c r="CK630" s="38"/>
      <c r="CL630" s="39"/>
      <c r="CM630" s="38"/>
      <c r="CN630" s="39"/>
      <c r="CO630" s="38"/>
      <c r="CP630" s="39"/>
      <c r="CQ630" s="38"/>
      <c r="CR630" s="39"/>
      <c r="CS630" s="38"/>
      <c r="CT630" s="39"/>
      <c r="CU630" s="38"/>
      <c r="CV630" s="39"/>
      <c r="CW630" s="38"/>
      <c r="CX630" s="39"/>
      <c r="CY630" s="38"/>
      <c r="CZ630" s="39"/>
      <c r="DA630" s="38"/>
      <c r="DB630" s="39"/>
      <c r="DC630" s="38"/>
      <c r="DD630" s="39"/>
      <c r="DE630" s="38"/>
      <c r="DF630" s="39"/>
      <c r="DG630" s="38"/>
      <c r="DH630" s="39"/>
      <c r="DI630" s="38"/>
      <c r="DJ630" s="39"/>
      <c r="DK630" s="38"/>
      <c r="DL630" s="39"/>
      <c r="DM630" s="38"/>
      <c r="DN630" s="39"/>
      <c r="DO630" s="38"/>
      <c r="DP630" s="39"/>
      <c r="DQ630" s="38"/>
      <c r="DR630" s="39"/>
      <c r="DS630" s="38"/>
      <c r="DT630" s="39"/>
      <c r="DU630" s="38"/>
      <c r="DV630" s="39"/>
      <c r="DW630" s="38"/>
      <c r="DX630" s="39"/>
      <c r="DY630" s="38"/>
      <c r="DZ630" s="39"/>
      <c r="EA630" s="38">
        <f>EA473</f>
        <v>103</v>
      </c>
      <c r="EB630" s="39"/>
      <c r="EC630" s="38">
        <f>EC473</f>
        <v>100</v>
      </c>
      <c r="ED630" s="39"/>
      <c r="EE630" s="38">
        <f>EE473</f>
        <v>100</v>
      </c>
      <c r="EF630" s="39"/>
      <c r="EG630" s="38">
        <f>EG473</f>
        <v>100</v>
      </c>
      <c r="EH630" s="39"/>
      <c r="EI630" s="38">
        <f>EI473</f>
        <v>100.1</v>
      </c>
      <c r="EJ630" s="39"/>
      <c r="EK630" s="41">
        <f t="shared" ref="EK630:EQ630" si="2350">EK473</f>
        <v>100</v>
      </c>
      <c r="EL630" s="39"/>
      <c r="EM630" s="41">
        <f t="shared" si="2350"/>
        <v>100</v>
      </c>
      <c r="EN630" s="39"/>
      <c r="EO630" s="41">
        <f t="shared" si="2350"/>
        <v>100</v>
      </c>
      <c r="EP630" s="39"/>
      <c r="EQ630" s="41">
        <f t="shared" si="2350"/>
        <v>100</v>
      </c>
      <c r="ER630" s="39"/>
      <c r="ES630" s="38"/>
      <c r="ET630" s="460"/>
      <c r="EU630" s="38"/>
      <c r="EV630" s="37"/>
      <c r="EW630" s="36"/>
      <c r="EX630" s="37"/>
      <c r="EY630" s="36"/>
      <c r="EZ630" s="37"/>
      <c r="FA630" s="36"/>
      <c r="FB630" s="37"/>
      <c r="FC630" s="36"/>
      <c r="FD630" s="37"/>
      <c r="FE630" s="36"/>
      <c r="FF630" s="37"/>
      <c r="FG630" s="36"/>
      <c r="FH630" s="37"/>
      <c r="FI630" s="36"/>
      <c r="FJ630" s="37"/>
      <c r="FK630" s="36"/>
      <c r="FL630" s="38"/>
      <c r="FM630" s="36"/>
      <c r="FN630" s="38"/>
      <c r="FO630" s="36"/>
      <c r="FP630" s="38"/>
      <c r="FQ630" s="36"/>
      <c r="FR630" s="38"/>
      <c r="FS630" s="36"/>
      <c r="FT630" s="38"/>
      <c r="FU630" s="36"/>
      <c r="FV630" s="38"/>
      <c r="FW630" s="36"/>
      <c r="FX630" s="38"/>
      <c r="FY630" s="36"/>
      <c r="FZ630" s="38"/>
      <c r="GA630" s="36"/>
      <c r="GB630" s="38"/>
      <c r="GC630" s="36"/>
      <c r="GD630" s="38"/>
      <c r="GE630" s="36"/>
      <c r="GF630" s="38"/>
      <c r="GG630" s="36"/>
      <c r="GH630" s="38"/>
      <c r="GI630" s="36"/>
      <c r="GJ630" s="38"/>
      <c r="GK630" s="36"/>
      <c r="GL630" s="41">
        <f>GL473</f>
        <v>400</v>
      </c>
      <c r="GM630" s="36"/>
      <c r="GN630" s="41">
        <f>GN473</f>
        <v>425</v>
      </c>
      <c r="GO630" s="36"/>
      <c r="GP630" s="41">
        <f>GP473</f>
        <v>425</v>
      </c>
      <c r="GQ630" s="36"/>
      <c r="GR630" s="41">
        <f>GR473</f>
        <v>450</v>
      </c>
      <c r="GS630" s="36"/>
      <c r="GT630" s="36"/>
      <c r="GU630" s="562"/>
      <c r="GV630" s="562"/>
      <c r="GW630"/>
      <c r="GX630"/>
      <c r="GY630"/>
      <c r="GZ630"/>
      <c r="HA630"/>
      <c r="HB630"/>
      <c r="HC630" s="562"/>
      <c r="HD630" s="562"/>
      <c r="HE630" s="562"/>
      <c r="HF630" s="562"/>
      <c r="HG630" s="562"/>
      <c r="HH630" s="562"/>
      <c r="HI630" s="562"/>
      <c r="HJ630" s="562"/>
      <c r="HK630" s="562"/>
      <c r="HL630" s="562"/>
      <c r="HM630" s="562"/>
      <c r="HN630" s="562"/>
      <c r="HO630" s="562"/>
      <c r="HP630" s="562"/>
      <c r="HQ630" s="562"/>
      <c r="HR630" s="562"/>
      <c r="HS630" s="562"/>
      <c r="HT630" s="562"/>
      <c r="HU630" s="562"/>
      <c r="HV630" s="562"/>
      <c r="HW630" s="562"/>
      <c r="HX630" s="562"/>
      <c r="HY630" s="562"/>
      <c r="HZ630" s="562"/>
      <c r="IA630" s="562"/>
      <c r="IB630" s="562"/>
      <c r="IC630" s="562"/>
      <c r="ID630" s="562"/>
      <c r="IE630" s="562"/>
      <c r="IF630" s="562"/>
      <c r="IG630" s="562"/>
      <c r="IH630" s="562"/>
      <c r="II630" s="562"/>
      <c r="IJ630" s="562"/>
      <c r="IK630" s="562"/>
      <c r="IL630" s="562"/>
      <c r="IM630" s="562"/>
      <c r="IN630" s="562"/>
      <c r="IO630" s="562"/>
      <c r="IP630" s="562"/>
      <c r="IQ630" s="562"/>
      <c r="IR630" s="562"/>
      <c r="IS630" s="562"/>
      <c r="IT630" s="562"/>
      <c r="IU630" s="562"/>
      <c r="IV630" s="562"/>
      <c r="IW630" s="562"/>
      <c r="IX630" s="562"/>
      <c r="IY630" s="562"/>
      <c r="IZ630" s="562"/>
      <c r="JA630" s="562"/>
      <c r="JB630" s="562"/>
      <c r="JC630" s="562"/>
      <c r="JD630" s="562"/>
      <c r="JE630" s="562"/>
      <c r="JF630" s="562"/>
      <c r="JG630" s="562"/>
      <c r="JH630" s="562"/>
      <c r="JI630" s="562"/>
      <c r="JJ630" s="562"/>
      <c r="JK630" s="562"/>
      <c r="JL630" s="562"/>
      <c r="JM630" s="562"/>
      <c r="JN630" s="562"/>
      <c r="JO630" s="562"/>
      <c r="JP630" s="562"/>
      <c r="JQ630" s="562"/>
      <c r="JR630" s="562"/>
      <c r="JS630" s="562"/>
      <c r="JT630" s="562"/>
      <c r="JU630" s="562"/>
      <c r="JV630" s="562"/>
      <c r="JW630" s="562"/>
      <c r="JX630" s="562"/>
      <c r="JY630" s="562"/>
      <c r="JZ630" s="562"/>
    </row>
    <row r="631" spans="1:286" s="13" customFormat="1" ht="12.75" hidden="1" customHeight="1" outlineLevel="1" x14ac:dyDescent="0.2">
      <c r="A631" s="11"/>
      <c r="B631" s="11" t="s">
        <v>247</v>
      </c>
      <c r="C631" s="36"/>
      <c r="D631" s="36"/>
      <c r="E631" s="37"/>
      <c r="F631" s="37"/>
      <c r="G631" s="37"/>
      <c r="H631" s="37"/>
      <c r="I631" s="37"/>
      <c r="J631" s="37"/>
      <c r="K631" s="37"/>
      <c r="L631" s="37"/>
      <c r="M631" s="37"/>
      <c r="N631" s="36"/>
      <c r="O631" s="37"/>
      <c r="P631" s="36"/>
      <c r="Q631" s="37"/>
      <c r="R631" s="36"/>
      <c r="S631" s="37"/>
      <c r="T631" s="36"/>
      <c r="U631" s="37"/>
      <c r="V631" s="36"/>
      <c r="W631" s="37"/>
      <c r="X631" s="36"/>
      <c r="Y631" s="37"/>
      <c r="Z631" s="36"/>
      <c r="AA631" s="34"/>
      <c r="AB631" s="36"/>
      <c r="AC631" s="37"/>
      <c r="AD631" s="36"/>
      <c r="AE631" s="38"/>
      <c r="AF631" s="36"/>
      <c r="AG631" s="38"/>
      <c r="AH631" s="36"/>
      <c r="AI631" s="38"/>
      <c r="AJ631" s="36"/>
      <c r="AK631" s="38"/>
      <c r="AL631" s="36"/>
      <c r="AM631" s="38"/>
      <c r="AN631" s="36"/>
      <c r="AO631" s="38"/>
      <c r="AP631" s="36"/>
      <c r="AQ631" s="38"/>
      <c r="AR631" s="36"/>
      <c r="AS631" s="38"/>
      <c r="AT631" s="39"/>
      <c r="AU631" s="38"/>
      <c r="AV631" s="39"/>
      <c r="AW631" s="38"/>
      <c r="AX631" s="39"/>
      <c r="AY631" s="38"/>
      <c r="AZ631" s="39"/>
      <c r="BA631" s="38"/>
      <c r="BB631" s="39"/>
      <c r="BC631" s="38"/>
      <c r="BD631" s="39"/>
      <c r="BE631" s="38"/>
      <c r="BF631" s="39"/>
      <c r="BG631" s="38"/>
      <c r="BH631" s="39"/>
      <c r="BI631" s="38"/>
      <c r="BJ631" s="39"/>
      <c r="BK631" s="38"/>
      <c r="BL631" s="39"/>
      <c r="BM631" s="38"/>
      <c r="BN631" s="39"/>
      <c r="BO631" s="38"/>
      <c r="BP631" s="39"/>
      <c r="BQ631" s="38"/>
      <c r="BR631" s="39"/>
      <c r="BS631" s="38"/>
      <c r="BT631" s="39"/>
      <c r="BU631" s="38"/>
      <c r="BV631" s="39"/>
      <c r="BW631" s="38"/>
      <c r="BX631" s="39"/>
      <c r="BY631" s="38"/>
      <c r="BZ631" s="39"/>
      <c r="CA631" s="38"/>
      <c r="CB631" s="39"/>
      <c r="CC631" s="38"/>
      <c r="CD631" s="39"/>
      <c r="CE631" s="38"/>
      <c r="CF631" s="39"/>
      <c r="CG631" s="38"/>
      <c r="CH631" s="39"/>
      <c r="CI631" s="38"/>
      <c r="CJ631" s="39"/>
      <c r="CK631" s="38"/>
      <c r="CL631" s="39"/>
      <c r="CM631" s="38"/>
      <c r="CN631" s="39"/>
      <c r="CO631" s="38"/>
      <c r="CP631" s="39"/>
      <c r="CQ631" s="38"/>
      <c r="CR631" s="39"/>
      <c r="CS631" s="38"/>
      <c r="CT631" s="39"/>
      <c r="CU631" s="38"/>
      <c r="CV631" s="39"/>
      <c r="CW631" s="38"/>
      <c r="CX631" s="39"/>
      <c r="CY631" s="38"/>
      <c r="CZ631" s="39"/>
      <c r="DA631" s="38"/>
      <c r="DB631" s="39"/>
      <c r="DC631" s="38"/>
      <c r="DD631" s="39"/>
      <c r="DE631" s="38"/>
      <c r="DF631" s="39"/>
      <c r="DG631" s="38"/>
      <c r="DH631" s="39"/>
      <c r="DI631" s="38"/>
      <c r="DJ631" s="39"/>
      <c r="DK631" s="38"/>
      <c r="DL631" s="39"/>
      <c r="DM631" s="38"/>
      <c r="DN631" s="39"/>
      <c r="DO631" s="38"/>
      <c r="DP631" s="39"/>
      <c r="DQ631" s="38"/>
      <c r="DR631" s="39"/>
      <c r="DS631" s="38"/>
      <c r="DT631" s="39"/>
      <c r="DU631" s="38"/>
      <c r="DV631" s="39"/>
      <c r="DW631" s="38"/>
      <c r="DX631" s="39"/>
      <c r="DY631" s="38"/>
      <c r="DZ631" s="39"/>
      <c r="EA631" s="38">
        <v>25</v>
      </c>
      <c r="EB631" s="39"/>
      <c r="EC631" s="38">
        <v>25</v>
      </c>
      <c r="ED631" s="39"/>
      <c r="EE631" s="38">
        <v>25</v>
      </c>
      <c r="EF631" s="39"/>
      <c r="EG631" s="38">
        <v>25</v>
      </c>
      <c r="EH631" s="39"/>
      <c r="EI631" s="38">
        <v>25</v>
      </c>
      <c r="EJ631" s="39"/>
      <c r="EK631" s="51">
        <v>25</v>
      </c>
      <c r="EL631" s="39"/>
      <c r="EM631" s="51">
        <v>25</v>
      </c>
      <c r="EN631" s="39"/>
      <c r="EO631" s="51">
        <v>25</v>
      </c>
      <c r="EP631" s="39"/>
      <c r="EQ631" s="51">
        <v>25</v>
      </c>
      <c r="ER631" s="39"/>
      <c r="ES631" s="38"/>
      <c r="ET631" s="460"/>
      <c r="EU631" s="38"/>
      <c r="EV631" s="37"/>
      <c r="EW631" s="36"/>
      <c r="EX631" s="37"/>
      <c r="EY631" s="36"/>
      <c r="EZ631" s="37"/>
      <c r="FA631" s="36"/>
      <c r="FB631" s="37"/>
      <c r="FC631" s="36"/>
      <c r="FD631" s="37"/>
      <c r="FE631" s="36"/>
      <c r="FF631" s="37"/>
      <c r="FG631" s="36"/>
      <c r="FH631" s="37"/>
      <c r="FI631" s="36"/>
      <c r="FJ631" s="37"/>
      <c r="FK631" s="36"/>
      <c r="FL631" s="38"/>
      <c r="FM631" s="36"/>
      <c r="FN631" s="38"/>
      <c r="FO631" s="36"/>
      <c r="FP631" s="38"/>
      <c r="FQ631" s="36"/>
      <c r="FR631" s="52"/>
      <c r="FS631" s="36"/>
      <c r="FT631" s="52"/>
      <c r="FU631" s="36"/>
      <c r="FV631" s="52"/>
      <c r="FW631" s="36"/>
      <c r="FX631" s="52"/>
      <c r="FY631" s="36"/>
      <c r="FZ631" s="52"/>
      <c r="GA631" s="36"/>
      <c r="GB631" s="52"/>
      <c r="GC631" s="36"/>
      <c r="GD631" s="52"/>
      <c r="GE631" s="36"/>
      <c r="GF631" s="52"/>
      <c r="GG631" s="36"/>
      <c r="GH631" s="52"/>
      <c r="GI631" s="36"/>
      <c r="GJ631" s="52"/>
      <c r="GK631" s="36"/>
      <c r="GL631" s="51">
        <v>200</v>
      </c>
      <c r="GM631" s="36"/>
      <c r="GN631" s="51">
        <v>200</v>
      </c>
      <c r="GO631" s="36"/>
      <c r="GP631" s="51">
        <v>200</v>
      </c>
      <c r="GQ631" s="36"/>
      <c r="GR631" s="51">
        <v>200</v>
      </c>
      <c r="GS631" s="36"/>
      <c r="GT631" s="36"/>
      <c r="GU631" s="562"/>
      <c r="GV631" s="562"/>
      <c r="GW631"/>
      <c r="GX631"/>
      <c r="GY631"/>
      <c r="GZ631"/>
      <c r="HA631"/>
      <c r="HB631"/>
      <c r="HC631" s="562"/>
      <c r="HD631" s="562"/>
      <c r="HE631" s="562"/>
      <c r="HF631" s="562"/>
      <c r="HG631" s="562"/>
      <c r="HH631" s="562"/>
      <c r="HI631" s="562"/>
      <c r="HJ631" s="562"/>
      <c r="HK631" s="562"/>
      <c r="HL631" s="562"/>
      <c r="HM631" s="562"/>
      <c r="HN631" s="562"/>
      <c r="HO631" s="562"/>
      <c r="HP631" s="562"/>
      <c r="HQ631" s="562"/>
      <c r="HR631" s="562"/>
      <c r="HS631" s="562"/>
      <c r="HT631" s="562"/>
      <c r="HU631" s="562"/>
      <c r="HV631" s="562"/>
      <c r="HW631" s="562"/>
      <c r="HX631" s="562"/>
      <c r="HY631" s="562"/>
      <c r="HZ631" s="562"/>
      <c r="IA631" s="562"/>
      <c r="IB631" s="562"/>
      <c r="IC631" s="562"/>
      <c r="ID631" s="562"/>
      <c r="IE631" s="562"/>
      <c r="IF631" s="562"/>
      <c r="IG631" s="562"/>
      <c r="IH631" s="562"/>
      <c r="II631" s="562"/>
      <c r="IJ631" s="562"/>
      <c r="IK631" s="562"/>
      <c r="IL631" s="562"/>
      <c r="IM631" s="562"/>
      <c r="IN631" s="562"/>
      <c r="IO631" s="562"/>
      <c r="IP631" s="562"/>
      <c r="IQ631" s="562"/>
      <c r="IR631" s="562"/>
      <c r="IS631" s="562"/>
      <c r="IT631" s="562"/>
      <c r="IU631" s="562"/>
      <c r="IV631" s="562"/>
      <c r="IW631" s="562"/>
      <c r="IX631" s="562"/>
      <c r="IY631" s="562"/>
      <c r="IZ631" s="562"/>
      <c r="JA631" s="562"/>
      <c r="JB631" s="562"/>
      <c r="JC631" s="562"/>
      <c r="JD631" s="562"/>
      <c r="JE631" s="562"/>
      <c r="JF631" s="562"/>
      <c r="JG631" s="562"/>
      <c r="JH631" s="562"/>
      <c r="JI631" s="562"/>
      <c r="JJ631" s="562"/>
      <c r="JK631" s="562"/>
      <c r="JL631" s="562"/>
      <c r="JM631" s="562"/>
      <c r="JN631" s="562"/>
      <c r="JO631" s="562"/>
      <c r="JP631" s="562"/>
      <c r="JQ631" s="562"/>
      <c r="JR631" s="562"/>
      <c r="JS631" s="562"/>
      <c r="JT631" s="562"/>
      <c r="JU631" s="562"/>
      <c r="JV631" s="562"/>
      <c r="JW631" s="562"/>
      <c r="JX631" s="562"/>
      <c r="JY631" s="562"/>
      <c r="JZ631" s="562"/>
    </row>
    <row r="632" spans="1:286" s="13" customFormat="1" ht="12.75" hidden="1" customHeight="1" outlineLevel="1" x14ac:dyDescent="0.2">
      <c r="A632" s="11"/>
      <c r="B632" s="11" t="s">
        <v>248</v>
      </c>
      <c r="C632" s="36"/>
      <c r="D632" s="36"/>
      <c r="E632" s="37"/>
      <c r="F632" s="37"/>
      <c r="G632" s="37"/>
      <c r="H632" s="37"/>
      <c r="I632" s="37"/>
      <c r="J632" s="37"/>
      <c r="K632" s="37"/>
      <c r="L632" s="37"/>
      <c r="M632" s="37"/>
      <c r="N632" s="36"/>
      <c r="O632" s="37"/>
      <c r="P632" s="36"/>
      <c r="Q632" s="37"/>
      <c r="R632" s="36"/>
      <c r="S632" s="37"/>
      <c r="T632" s="36"/>
      <c r="U632" s="37"/>
      <c r="V632" s="36"/>
      <c r="W632" s="37"/>
      <c r="X632" s="36"/>
      <c r="Y632" s="37"/>
      <c r="Z632" s="36"/>
      <c r="AA632" s="34"/>
      <c r="AB632" s="36"/>
      <c r="AC632" s="37"/>
      <c r="AD632" s="36"/>
      <c r="AE632" s="38"/>
      <c r="AF632" s="36"/>
      <c r="AG632" s="38"/>
      <c r="AH632" s="36"/>
      <c r="AI632" s="38"/>
      <c r="AJ632" s="36"/>
      <c r="AK632" s="38"/>
      <c r="AL632" s="36"/>
      <c r="AM632" s="38"/>
      <c r="AN632" s="36"/>
      <c r="AO632" s="38"/>
      <c r="AP632" s="36"/>
      <c r="AQ632" s="38"/>
      <c r="AR632" s="36"/>
      <c r="AS632" s="38"/>
      <c r="AT632" s="39"/>
      <c r="AU632" s="38"/>
      <c r="AV632" s="39"/>
      <c r="AW632" s="38"/>
      <c r="AX632" s="39"/>
      <c r="AY632" s="38"/>
      <c r="AZ632" s="39"/>
      <c r="BA632" s="38"/>
      <c r="BB632" s="39"/>
      <c r="BC632" s="38"/>
      <c r="BD632" s="39"/>
      <c r="BE632" s="38"/>
      <c r="BF632" s="39"/>
      <c r="BG632" s="38"/>
      <c r="BH632" s="39"/>
      <c r="BI632" s="38"/>
      <c r="BJ632" s="39"/>
      <c r="BK632" s="38"/>
      <c r="BL632" s="39"/>
      <c r="BM632" s="38"/>
      <c r="BN632" s="39"/>
      <c r="BO632" s="38"/>
      <c r="BP632" s="39"/>
      <c r="BQ632" s="38"/>
      <c r="BR632" s="39"/>
      <c r="BS632" s="38"/>
      <c r="BT632" s="39"/>
      <c r="BU632" s="38"/>
      <c r="BV632" s="39"/>
      <c r="BW632" s="38"/>
      <c r="BX632" s="39"/>
      <c r="BY632" s="38"/>
      <c r="BZ632" s="39"/>
      <c r="CA632" s="38"/>
      <c r="CB632" s="39"/>
      <c r="CC632" s="38"/>
      <c r="CD632" s="39"/>
      <c r="CE632" s="38"/>
      <c r="CF632" s="39"/>
      <c r="CG632" s="38"/>
      <c r="CH632" s="39"/>
      <c r="CI632" s="38"/>
      <c r="CJ632" s="39"/>
      <c r="CK632" s="38"/>
      <c r="CL632" s="39"/>
      <c r="CM632" s="38"/>
      <c r="CN632" s="39"/>
      <c r="CO632" s="38"/>
      <c r="CP632" s="39"/>
      <c r="CQ632" s="38"/>
      <c r="CR632" s="39"/>
      <c r="CS632" s="38"/>
      <c r="CT632" s="39"/>
      <c r="CU632" s="38"/>
      <c r="CV632" s="39"/>
      <c r="CW632" s="38"/>
      <c r="CX632" s="39"/>
      <c r="CY632" s="38"/>
      <c r="CZ632" s="39"/>
      <c r="DA632" s="38"/>
      <c r="DB632" s="39"/>
      <c r="DC632" s="38"/>
      <c r="DD632" s="39"/>
      <c r="DE632" s="38"/>
      <c r="DF632" s="39"/>
      <c r="DG632" s="38"/>
      <c r="DH632" s="39"/>
      <c r="DI632" s="38"/>
      <c r="DJ632" s="39"/>
      <c r="DK632" s="38"/>
      <c r="DL632" s="39"/>
      <c r="DM632" s="38"/>
      <c r="DN632" s="39"/>
      <c r="DO632" s="38"/>
      <c r="DP632" s="39"/>
      <c r="DQ632" s="38"/>
      <c r="DR632" s="39"/>
      <c r="DS632" s="38"/>
      <c r="DT632" s="39"/>
      <c r="DU632" s="38"/>
      <c r="DV632" s="39"/>
      <c r="DW632" s="38"/>
      <c r="DX632" s="39"/>
      <c r="DY632" s="38"/>
      <c r="DZ632" s="39"/>
      <c r="EA632" s="38">
        <v>-50</v>
      </c>
      <c r="EB632" s="39"/>
      <c r="EC632" s="38">
        <v>-50</v>
      </c>
      <c r="ED632" s="39"/>
      <c r="EE632" s="38">
        <v>-50</v>
      </c>
      <c r="EF632" s="39"/>
      <c r="EG632" s="38">
        <v>-50</v>
      </c>
      <c r="EH632" s="39"/>
      <c r="EI632" s="38">
        <v>-50</v>
      </c>
      <c r="EJ632" s="39"/>
      <c r="EK632" s="53">
        <v>-50</v>
      </c>
      <c r="EL632" s="39"/>
      <c r="EM632" s="53">
        <v>-50</v>
      </c>
      <c r="EN632" s="39"/>
      <c r="EO632" s="53">
        <v>-50</v>
      </c>
      <c r="EP632" s="39"/>
      <c r="EQ632" s="53">
        <v>-50</v>
      </c>
      <c r="ER632" s="39"/>
      <c r="ES632" s="38"/>
      <c r="ET632" s="460"/>
      <c r="EU632" s="38"/>
      <c r="EV632" s="37"/>
      <c r="EW632" s="36"/>
      <c r="EX632" s="37"/>
      <c r="EY632" s="36"/>
      <c r="EZ632" s="37"/>
      <c r="FA632" s="36"/>
      <c r="FB632" s="37"/>
      <c r="FC632" s="36"/>
      <c r="FD632" s="37"/>
      <c r="FE632" s="36"/>
      <c r="FF632" s="37"/>
      <c r="FG632" s="36"/>
      <c r="FH632" s="37"/>
      <c r="FI632" s="36"/>
      <c r="FJ632" s="37"/>
      <c r="FK632" s="36"/>
      <c r="FL632" s="38"/>
      <c r="FM632" s="36"/>
      <c r="FN632" s="38"/>
      <c r="FO632" s="36"/>
      <c r="FP632" s="38"/>
      <c r="FQ632" s="36"/>
      <c r="FR632" s="52"/>
      <c r="FS632" s="36"/>
      <c r="FT632" s="52"/>
      <c r="FU632" s="36"/>
      <c r="FV632" s="52"/>
      <c r="FW632" s="36"/>
      <c r="FX632" s="52"/>
      <c r="FY632" s="36"/>
      <c r="FZ632" s="52"/>
      <c r="GA632" s="36"/>
      <c r="GB632" s="52"/>
      <c r="GC632" s="36"/>
      <c r="GD632" s="52"/>
      <c r="GE632" s="36"/>
      <c r="GF632" s="52"/>
      <c r="GG632" s="36"/>
      <c r="GH632" s="52"/>
      <c r="GI632" s="36"/>
      <c r="GJ632" s="52"/>
      <c r="GK632" s="36"/>
      <c r="GL632" s="53">
        <f>-GL630</f>
        <v>-400</v>
      </c>
      <c r="GM632" s="36"/>
      <c r="GN632" s="53">
        <f>-GN630</f>
        <v>-425</v>
      </c>
      <c r="GO632" s="36"/>
      <c r="GP632" s="53">
        <f>-GP630</f>
        <v>-425</v>
      </c>
      <c r="GQ632" s="36"/>
      <c r="GR632" s="53">
        <f>-GR630</f>
        <v>-450</v>
      </c>
      <c r="GS632" s="36"/>
      <c r="GT632" s="36"/>
      <c r="GU632" s="562"/>
      <c r="GV632" s="562"/>
      <c r="GW632"/>
      <c r="GX632"/>
      <c r="GY632"/>
      <c r="GZ632"/>
      <c r="HA632"/>
      <c r="HB632"/>
      <c r="HC632" s="562"/>
      <c r="HD632" s="562"/>
      <c r="HE632" s="562"/>
      <c r="HF632" s="562"/>
      <c r="HG632" s="562"/>
      <c r="HH632" s="562"/>
      <c r="HI632" s="562"/>
      <c r="HJ632" s="562"/>
      <c r="HK632" s="562"/>
      <c r="HL632" s="562"/>
      <c r="HM632" s="562"/>
      <c r="HN632" s="562"/>
      <c r="HO632" s="562"/>
      <c r="HP632" s="562"/>
      <c r="HQ632" s="562"/>
      <c r="HR632" s="562"/>
      <c r="HS632" s="562"/>
      <c r="HT632" s="562"/>
      <c r="HU632" s="562"/>
      <c r="HV632" s="562"/>
      <c r="HW632" s="562"/>
      <c r="HX632" s="562"/>
      <c r="HY632" s="562"/>
      <c r="HZ632" s="562"/>
      <c r="IA632" s="562"/>
      <c r="IB632" s="562"/>
      <c r="IC632" s="562"/>
      <c r="ID632" s="562"/>
      <c r="IE632" s="562"/>
      <c r="IF632" s="562"/>
      <c r="IG632" s="562"/>
      <c r="IH632" s="562"/>
      <c r="II632" s="562"/>
      <c r="IJ632" s="562"/>
      <c r="IK632" s="562"/>
      <c r="IL632" s="562"/>
      <c r="IM632" s="562"/>
      <c r="IN632" s="562"/>
      <c r="IO632" s="562"/>
      <c r="IP632" s="562"/>
      <c r="IQ632" s="562"/>
      <c r="IR632" s="562"/>
      <c r="IS632" s="562"/>
      <c r="IT632" s="562"/>
      <c r="IU632" s="562"/>
      <c r="IV632" s="562"/>
      <c r="IW632" s="562"/>
      <c r="IX632" s="562"/>
      <c r="IY632" s="562"/>
      <c r="IZ632" s="562"/>
      <c r="JA632" s="562"/>
      <c r="JB632" s="562"/>
      <c r="JC632" s="562"/>
      <c r="JD632" s="562"/>
      <c r="JE632" s="562"/>
      <c r="JF632" s="562"/>
      <c r="JG632" s="562"/>
      <c r="JH632" s="562"/>
      <c r="JI632" s="562"/>
      <c r="JJ632" s="562"/>
      <c r="JK632" s="562"/>
      <c r="JL632" s="562"/>
      <c r="JM632" s="562"/>
      <c r="JN632" s="562"/>
      <c r="JO632" s="562"/>
      <c r="JP632" s="562"/>
      <c r="JQ632" s="562"/>
      <c r="JR632" s="562"/>
      <c r="JS632" s="562"/>
      <c r="JT632" s="562"/>
      <c r="JU632" s="562"/>
      <c r="JV632" s="562"/>
      <c r="JW632" s="562"/>
      <c r="JX632" s="562"/>
      <c r="JY632" s="562"/>
      <c r="JZ632" s="562"/>
    </row>
    <row r="633" spans="1:286" s="13" customFormat="1" ht="12.75" hidden="1" customHeight="1" outlineLevel="1" x14ac:dyDescent="0.2">
      <c r="A633" s="11"/>
      <c r="B633" s="11"/>
      <c r="C633" s="36"/>
      <c r="D633" s="36"/>
      <c r="E633" s="37"/>
      <c r="F633" s="37"/>
      <c r="G633" s="37"/>
      <c r="H633" s="37"/>
      <c r="I633" s="37"/>
      <c r="J633" s="37"/>
      <c r="K633" s="37"/>
      <c r="L633" s="37"/>
      <c r="M633" s="37"/>
      <c r="N633" s="36"/>
      <c r="O633" s="37"/>
      <c r="P633" s="36"/>
      <c r="Q633" s="37"/>
      <c r="R633" s="36"/>
      <c r="S633" s="37"/>
      <c r="T633" s="36"/>
      <c r="U633" s="37"/>
      <c r="V633" s="36"/>
      <c r="W633" s="37"/>
      <c r="X633" s="36"/>
      <c r="Y633" s="37"/>
      <c r="Z633" s="36"/>
      <c r="AA633" s="34"/>
      <c r="AB633" s="36"/>
      <c r="AC633" s="37"/>
      <c r="AD633" s="36"/>
      <c r="AE633" s="38"/>
      <c r="AF633" s="36"/>
      <c r="AG633" s="38"/>
      <c r="AH633" s="36"/>
      <c r="AI633" s="38"/>
      <c r="AJ633" s="36"/>
      <c r="AK633" s="38"/>
      <c r="AL633" s="36"/>
      <c r="AM633" s="38"/>
      <c r="AN633" s="36"/>
      <c r="AO633" s="38"/>
      <c r="AP633" s="36"/>
      <c r="AQ633" s="38"/>
      <c r="AR633" s="36"/>
      <c r="AS633" s="38"/>
      <c r="AT633" s="39"/>
      <c r="AU633" s="38"/>
      <c r="AV633" s="39"/>
      <c r="AW633" s="38"/>
      <c r="AX633" s="39"/>
      <c r="AY633" s="38"/>
      <c r="AZ633" s="39"/>
      <c r="BA633" s="38"/>
      <c r="BB633" s="39"/>
      <c r="BC633" s="38"/>
      <c r="BD633" s="39"/>
      <c r="BE633" s="38"/>
      <c r="BF633" s="39"/>
      <c r="BG633" s="38"/>
      <c r="BH633" s="39"/>
      <c r="BI633" s="38"/>
      <c r="BJ633" s="39"/>
      <c r="BK633" s="38"/>
      <c r="BL633" s="39"/>
      <c r="BM633" s="38"/>
      <c r="BN633" s="39"/>
      <c r="BO633" s="38"/>
      <c r="BP633" s="39"/>
      <c r="BQ633" s="38"/>
      <c r="BR633" s="39"/>
      <c r="BS633" s="38"/>
      <c r="BT633" s="39"/>
      <c r="BU633" s="38"/>
      <c r="BV633" s="39"/>
      <c r="BW633" s="38"/>
      <c r="BX633" s="39"/>
      <c r="BY633" s="38"/>
      <c r="BZ633" s="39"/>
      <c r="CA633" s="38"/>
      <c r="CB633" s="39"/>
      <c r="CC633" s="38"/>
      <c r="CD633" s="39"/>
      <c r="CE633" s="38"/>
      <c r="CF633" s="39"/>
      <c r="CG633" s="38"/>
      <c r="CH633" s="39"/>
      <c r="CI633" s="38"/>
      <c r="CJ633" s="39"/>
      <c r="CK633" s="38"/>
      <c r="CL633" s="39"/>
      <c r="CM633" s="38"/>
      <c r="CN633" s="39"/>
      <c r="CO633" s="38"/>
      <c r="CP633" s="39"/>
      <c r="CQ633" s="38"/>
      <c r="CR633" s="39"/>
      <c r="CS633" s="38"/>
      <c r="CT633" s="39"/>
      <c r="CU633" s="38"/>
      <c r="CV633" s="39"/>
      <c r="CW633" s="38"/>
      <c r="CX633" s="39"/>
      <c r="CY633" s="38"/>
      <c r="CZ633" s="39"/>
      <c r="DA633" s="38"/>
      <c r="DB633" s="39"/>
      <c r="DC633" s="38"/>
      <c r="DD633" s="39"/>
      <c r="DE633" s="38"/>
      <c r="DF633" s="39"/>
      <c r="DG633" s="38"/>
      <c r="DH633" s="39"/>
      <c r="DI633" s="38"/>
      <c r="DJ633" s="39"/>
      <c r="DK633" s="38"/>
      <c r="DL633" s="39"/>
      <c r="DM633" s="38"/>
      <c r="DN633" s="39"/>
      <c r="DO633" s="38"/>
      <c r="DP633" s="39"/>
      <c r="DQ633" s="38"/>
      <c r="DR633" s="39"/>
      <c r="DS633" s="38"/>
      <c r="DT633" s="39"/>
      <c r="DU633" s="38"/>
      <c r="DV633" s="39"/>
      <c r="DW633" s="38"/>
      <c r="DX633" s="39"/>
      <c r="DY633" s="38"/>
      <c r="DZ633" s="39"/>
      <c r="EA633" s="38"/>
      <c r="EB633" s="39"/>
      <c r="EC633" s="38"/>
      <c r="ED633" s="39"/>
      <c r="EE633" s="38"/>
      <c r="EF633" s="39"/>
      <c r="EG633" s="38"/>
      <c r="EH633" s="39"/>
      <c r="EI633" s="38"/>
      <c r="EJ633" s="39"/>
      <c r="EK633" s="52"/>
      <c r="EL633" s="39"/>
      <c r="EM633" s="52"/>
      <c r="EN633" s="39"/>
      <c r="EO633" s="52"/>
      <c r="EP633" s="39"/>
      <c r="EQ633" s="52"/>
      <c r="ER633" s="39"/>
      <c r="ES633" s="38"/>
      <c r="ET633" s="460"/>
      <c r="EU633" s="38"/>
      <c r="EV633" s="37"/>
      <c r="EW633" s="36"/>
      <c r="EX633" s="37"/>
      <c r="EY633" s="36"/>
      <c r="EZ633" s="37"/>
      <c r="FA633" s="36"/>
      <c r="FB633" s="37"/>
      <c r="FC633" s="36"/>
      <c r="FD633" s="37"/>
      <c r="FE633" s="36"/>
      <c r="FF633" s="37"/>
      <c r="FG633" s="36"/>
      <c r="FH633" s="37"/>
      <c r="FI633" s="36"/>
      <c r="FJ633" s="37"/>
      <c r="FK633" s="36"/>
      <c r="FL633" s="38"/>
      <c r="FM633" s="36"/>
      <c r="FN633" s="38"/>
      <c r="FO633" s="36"/>
      <c r="FP633" s="38"/>
      <c r="FQ633" s="36"/>
      <c r="FR633" s="52"/>
      <c r="FS633" s="36"/>
      <c r="FT633" s="52"/>
      <c r="FU633" s="36"/>
      <c r="FV633" s="52"/>
      <c r="FW633" s="36"/>
      <c r="FX633" s="52"/>
      <c r="FY633" s="36"/>
      <c r="FZ633" s="52"/>
      <c r="GA633" s="36"/>
      <c r="GB633" s="52"/>
      <c r="GC633" s="36"/>
      <c r="GD633" s="52"/>
      <c r="GE633" s="36"/>
      <c r="GF633" s="52"/>
      <c r="GG633" s="36"/>
      <c r="GH633" s="52"/>
      <c r="GI633" s="36"/>
      <c r="GJ633" s="52"/>
      <c r="GK633" s="36"/>
      <c r="GL633" s="52"/>
      <c r="GM633" s="36"/>
      <c r="GN633" s="52"/>
      <c r="GO633" s="36"/>
      <c r="GP633" s="52"/>
      <c r="GQ633" s="36"/>
      <c r="GR633" s="52"/>
      <c r="GS633" s="36"/>
      <c r="GT633" s="36"/>
      <c r="GU633" s="562"/>
      <c r="GV633" s="562"/>
      <c r="GW633"/>
      <c r="GX633"/>
      <c r="GY633"/>
      <c r="GZ633"/>
      <c r="HA633"/>
      <c r="HB633"/>
      <c r="HC633" s="562"/>
      <c r="HD633" s="562"/>
      <c r="HE633" s="562"/>
      <c r="HF633" s="562"/>
      <c r="HG633" s="562"/>
      <c r="HH633" s="562"/>
      <c r="HI633" s="562"/>
      <c r="HJ633" s="562"/>
      <c r="HK633" s="562"/>
      <c r="HL633" s="562"/>
      <c r="HM633" s="562"/>
      <c r="HN633" s="562"/>
      <c r="HO633" s="562"/>
      <c r="HP633" s="562"/>
      <c r="HQ633" s="562"/>
      <c r="HR633" s="562"/>
      <c r="HS633" s="562"/>
      <c r="HT633" s="562"/>
      <c r="HU633" s="562"/>
      <c r="HV633" s="562"/>
      <c r="HW633" s="562"/>
      <c r="HX633" s="562"/>
      <c r="HY633" s="562"/>
      <c r="HZ633" s="562"/>
      <c r="IA633" s="562"/>
      <c r="IB633" s="562"/>
      <c r="IC633" s="562"/>
      <c r="ID633" s="562"/>
      <c r="IE633" s="562"/>
      <c r="IF633" s="562"/>
      <c r="IG633" s="562"/>
      <c r="IH633" s="562"/>
      <c r="II633" s="562"/>
      <c r="IJ633" s="562"/>
      <c r="IK633" s="562"/>
      <c r="IL633" s="562"/>
      <c r="IM633" s="562"/>
      <c r="IN633" s="562"/>
      <c r="IO633" s="562"/>
      <c r="IP633" s="562"/>
      <c r="IQ633" s="562"/>
      <c r="IR633" s="562"/>
      <c r="IS633" s="562"/>
      <c r="IT633" s="562"/>
      <c r="IU633" s="562"/>
      <c r="IV633" s="562"/>
      <c r="IW633" s="562"/>
      <c r="IX633" s="562"/>
      <c r="IY633" s="562"/>
      <c r="IZ633" s="562"/>
      <c r="JA633" s="562"/>
      <c r="JB633" s="562"/>
      <c r="JC633" s="562"/>
      <c r="JD633" s="562"/>
      <c r="JE633" s="562"/>
      <c r="JF633" s="562"/>
      <c r="JG633" s="562"/>
      <c r="JH633" s="562"/>
      <c r="JI633" s="562"/>
      <c r="JJ633" s="562"/>
      <c r="JK633" s="562"/>
      <c r="JL633" s="562"/>
      <c r="JM633" s="562"/>
      <c r="JN633" s="562"/>
      <c r="JO633" s="562"/>
      <c r="JP633" s="562"/>
      <c r="JQ633" s="562"/>
      <c r="JR633" s="562"/>
      <c r="JS633" s="562"/>
      <c r="JT633" s="562"/>
      <c r="JU633" s="562"/>
      <c r="JV633" s="562"/>
      <c r="JW633" s="562"/>
      <c r="JX633" s="562"/>
      <c r="JY633" s="562"/>
      <c r="JZ633" s="562"/>
    </row>
    <row r="634" spans="1:286" s="13" customFormat="1" ht="12.75" hidden="1" customHeight="1" outlineLevel="1" x14ac:dyDescent="0.2">
      <c r="A634" s="11"/>
      <c r="B634" s="40" t="s">
        <v>411</v>
      </c>
      <c r="C634" s="36"/>
      <c r="D634" s="36"/>
      <c r="E634" s="37"/>
      <c r="F634" s="37"/>
      <c r="G634" s="37"/>
      <c r="H634" s="37"/>
      <c r="I634" s="37"/>
      <c r="J634" s="37"/>
      <c r="K634" s="37"/>
      <c r="L634" s="37"/>
      <c r="M634" s="37"/>
      <c r="N634" s="36"/>
      <c r="O634" s="37"/>
      <c r="P634" s="36"/>
      <c r="Q634" s="37"/>
      <c r="R634" s="36"/>
      <c r="S634" s="37"/>
      <c r="T634" s="36"/>
      <c r="U634" s="37"/>
      <c r="V634" s="36"/>
      <c r="W634" s="37"/>
      <c r="X634" s="36"/>
      <c r="Y634" s="37"/>
      <c r="Z634" s="36"/>
      <c r="AA634" s="34"/>
      <c r="AB634" s="36"/>
      <c r="AC634" s="37"/>
      <c r="AD634" s="36"/>
      <c r="AE634" s="38"/>
      <c r="AF634" s="36"/>
      <c r="AG634" s="38"/>
      <c r="AH634" s="36"/>
      <c r="AI634" s="38"/>
      <c r="AJ634" s="36"/>
      <c r="AK634" s="38"/>
      <c r="AL634" s="36"/>
      <c r="AM634" s="38"/>
      <c r="AN634" s="36"/>
      <c r="AO634" s="38"/>
      <c r="AP634" s="36"/>
      <c r="AQ634" s="38"/>
      <c r="AR634" s="36"/>
      <c r="AS634" s="38"/>
      <c r="AT634" s="39"/>
      <c r="AU634" s="38"/>
      <c r="AV634" s="39"/>
      <c r="AW634" s="38"/>
      <c r="AX634" s="39"/>
      <c r="AY634" s="38"/>
      <c r="AZ634" s="39"/>
      <c r="BA634" s="38"/>
      <c r="BB634" s="39"/>
      <c r="BC634" s="38"/>
      <c r="BD634" s="39"/>
      <c r="BE634" s="38"/>
      <c r="BF634" s="39"/>
      <c r="BG634" s="38"/>
      <c r="BH634" s="39"/>
      <c r="BI634" s="38"/>
      <c r="BJ634" s="39"/>
      <c r="BK634" s="38"/>
      <c r="BL634" s="39"/>
      <c r="BM634" s="38"/>
      <c r="BN634" s="39"/>
      <c r="BO634" s="38"/>
      <c r="BP634" s="39"/>
      <c r="BQ634" s="38"/>
      <c r="BR634" s="39"/>
      <c r="BS634" s="38"/>
      <c r="BT634" s="39"/>
      <c r="BU634" s="38"/>
      <c r="BV634" s="39"/>
      <c r="BW634" s="38"/>
      <c r="BX634" s="39"/>
      <c r="BY634" s="38"/>
      <c r="BZ634" s="39"/>
      <c r="CA634" s="38"/>
      <c r="CB634" s="39"/>
      <c r="CC634" s="38"/>
      <c r="CD634" s="39"/>
      <c r="CE634" s="38"/>
      <c r="CF634" s="39"/>
      <c r="CG634" s="38"/>
      <c r="CH634" s="39"/>
      <c r="CI634" s="38"/>
      <c r="CJ634" s="39"/>
      <c r="CK634" s="38"/>
      <c r="CL634" s="39"/>
      <c r="CM634" s="38"/>
      <c r="CN634" s="39"/>
      <c r="CO634" s="38"/>
      <c r="CP634" s="39"/>
      <c r="CQ634" s="38"/>
      <c r="CR634" s="39"/>
      <c r="CS634" s="38"/>
      <c r="CT634" s="39"/>
      <c r="CU634" s="38"/>
      <c r="CV634" s="39"/>
      <c r="CW634" s="38"/>
      <c r="CX634" s="39"/>
      <c r="CY634" s="38"/>
      <c r="CZ634" s="39"/>
      <c r="DA634" s="38"/>
      <c r="DB634" s="39"/>
      <c r="DC634" s="38"/>
      <c r="DD634" s="39"/>
      <c r="DE634" s="38"/>
      <c r="DF634" s="39"/>
      <c r="DG634" s="38"/>
      <c r="DH634" s="39"/>
      <c r="DI634" s="38"/>
      <c r="DJ634" s="39"/>
      <c r="DK634" s="38"/>
      <c r="DL634" s="39"/>
      <c r="DM634" s="38"/>
      <c r="DN634" s="39"/>
      <c r="DO634" s="38"/>
      <c r="DP634" s="39"/>
      <c r="DQ634" s="38"/>
      <c r="DR634" s="39"/>
      <c r="DS634" s="38"/>
      <c r="DT634" s="39"/>
      <c r="DU634" s="38"/>
      <c r="DV634" s="39"/>
      <c r="DW634" s="38"/>
      <c r="DX634" s="39"/>
      <c r="DY634" s="38"/>
      <c r="DZ634" s="39"/>
      <c r="EA634" s="38"/>
      <c r="EB634" s="39"/>
      <c r="EC634" s="38"/>
      <c r="ED634" s="39"/>
      <c r="EE634" s="38"/>
      <c r="EF634" s="39"/>
      <c r="EG634" s="38"/>
      <c r="EH634" s="39"/>
      <c r="EI634" s="38"/>
      <c r="EJ634" s="39"/>
      <c r="EK634" s="52"/>
      <c r="EL634" s="39"/>
      <c r="EM634" s="52"/>
      <c r="EN634" s="39"/>
      <c r="EO634" s="52"/>
      <c r="EP634" s="39"/>
      <c r="EQ634" s="52"/>
      <c r="ER634" s="39"/>
      <c r="ES634" s="38"/>
      <c r="ET634" s="460"/>
      <c r="EU634" s="38"/>
      <c r="EV634" s="37"/>
      <c r="EW634" s="36"/>
      <c r="EX634" s="37"/>
      <c r="EY634" s="36"/>
      <c r="EZ634" s="37"/>
      <c r="FA634" s="36"/>
      <c r="FB634" s="37"/>
      <c r="FC634" s="36"/>
      <c r="FD634" s="37"/>
      <c r="FE634" s="36"/>
      <c r="FF634" s="37"/>
      <c r="FG634" s="36"/>
      <c r="FH634" s="37"/>
      <c r="FI634" s="36"/>
      <c r="FJ634" s="37"/>
      <c r="FK634" s="36"/>
      <c r="FL634" s="38"/>
      <c r="FM634" s="36"/>
      <c r="FN634" s="38"/>
      <c r="FO634" s="36"/>
      <c r="FP634" s="38"/>
      <c r="FQ634" s="36"/>
      <c r="FR634" s="52"/>
      <c r="FS634" s="36"/>
      <c r="FT634" s="52"/>
      <c r="FU634" s="36"/>
      <c r="FV634" s="52"/>
      <c r="FW634" s="36"/>
      <c r="FX634" s="52"/>
      <c r="FY634" s="36"/>
      <c r="FZ634" s="52"/>
      <c r="GA634" s="36"/>
      <c r="GB634" s="52"/>
      <c r="GC634" s="36"/>
      <c r="GD634" s="52"/>
      <c r="GE634" s="36"/>
      <c r="GF634" s="52"/>
      <c r="GG634" s="36"/>
      <c r="GH634" s="52"/>
      <c r="GI634" s="36"/>
      <c r="GJ634" s="52"/>
      <c r="GK634" s="36"/>
      <c r="GL634" s="52"/>
      <c r="GM634" s="36"/>
      <c r="GN634" s="52"/>
      <c r="GO634" s="36"/>
      <c r="GP634" s="52"/>
      <c r="GQ634" s="36"/>
      <c r="GR634" s="52"/>
      <c r="GS634" s="36"/>
      <c r="GT634" s="36"/>
      <c r="GU634" s="562"/>
      <c r="GV634" s="562"/>
      <c r="GW634"/>
      <c r="GX634"/>
      <c r="GY634"/>
      <c r="GZ634"/>
      <c r="HA634"/>
      <c r="HB634"/>
      <c r="HC634" s="562"/>
      <c r="HD634" s="562"/>
      <c r="HE634" s="562"/>
      <c r="HF634" s="562"/>
      <c r="HG634" s="562"/>
      <c r="HH634" s="562"/>
      <c r="HI634" s="562"/>
      <c r="HJ634" s="562"/>
      <c r="HK634" s="562"/>
      <c r="HL634" s="562"/>
      <c r="HM634" s="562"/>
      <c r="HN634" s="562"/>
      <c r="HO634" s="562"/>
      <c r="HP634" s="562"/>
      <c r="HQ634" s="562"/>
      <c r="HR634" s="562"/>
      <c r="HS634" s="562"/>
      <c r="HT634" s="562"/>
      <c r="HU634" s="562"/>
      <c r="HV634" s="562"/>
      <c r="HW634" s="562"/>
      <c r="HX634" s="562"/>
      <c r="HY634" s="562"/>
      <c r="HZ634" s="562"/>
      <c r="IA634" s="562"/>
      <c r="IB634" s="562"/>
      <c r="IC634" s="562"/>
      <c r="ID634" s="562"/>
      <c r="IE634" s="562"/>
      <c r="IF634" s="562"/>
      <c r="IG634" s="562"/>
      <c r="IH634" s="562"/>
      <c r="II634" s="562"/>
      <c r="IJ634" s="562"/>
      <c r="IK634" s="562"/>
      <c r="IL634" s="562"/>
      <c r="IM634" s="562"/>
      <c r="IN634" s="562"/>
      <c r="IO634" s="562"/>
      <c r="IP634" s="562"/>
      <c r="IQ634" s="562"/>
      <c r="IR634" s="562"/>
      <c r="IS634" s="562"/>
      <c r="IT634" s="562"/>
      <c r="IU634" s="562"/>
      <c r="IV634" s="562"/>
      <c r="IW634" s="562"/>
      <c r="IX634" s="562"/>
      <c r="IY634" s="562"/>
      <c r="IZ634" s="562"/>
      <c r="JA634" s="562"/>
      <c r="JB634" s="562"/>
      <c r="JC634" s="562"/>
      <c r="JD634" s="562"/>
      <c r="JE634" s="562"/>
      <c r="JF634" s="562"/>
      <c r="JG634" s="562"/>
      <c r="JH634" s="562"/>
      <c r="JI634" s="562"/>
      <c r="JJ634" s="562"/>
      <c r="JK634" s="562"/>
      <c r="JL634" s="562"/>
      <c r="JM634" s="562"/>
      <c r="JN634" s="562"/>
      <c r="JO634" s="562"/>
      <c r="JP634" s="562"/>
      <c r="JQ634" s="562"/>
      <c r="JR634" s="562"/>
      <c r="JS634" s="562"/>
      <c r="JT634" s="562"/>
      <c r="JU634" s="562"/>
      <c r="JV634" s="562"/>
      <c r="JW634" s="562"/>
      <c r="JX634" s="562"/>
      <c r="JY634" s="562"/>
      <c r="JZ634" s="562"/>
    </row>
    <row r="635" spans="1:286" s="13" customFormat="1" ht="12.75" hidden="1" customHeight="1" outlineLevel="1" x14ac:dyDescent="0.2">
      <c r="A635" s="11"/>
      <c r="B635" s="11" t="s">
        <v>341</v>
      </c>
      <c r="C635" s="36"/>
      <c r="D635" s="36"/>
      <c r="E635" s="37"/>
      <c r="F635" s="37"/>
      <c r="G635" s="37"/>
      <c r="H635" s="37"/>
      <c r="I635" s="37"/>
      <c r="J635" s="37"/>
      <c r="K635" s="37"/>
      <c r="L635" s="37"/>
      <c r="M635" s="37"/>
      <c r="N635" s="36"/>
      <c r="O635" s="37"/>
      <c r="P635" s="36"/>
      <c r="Q635" s="37"/>
      <c r="R635" s="36"/>
      <c r="S635" s="37"/>
      <c r="T635" s="36"/>
      <c r="U635" s="37"/>
      <c r="V635" s="36"/>
      <c r="W635" s="37"/>
      <c r="X635" s="36"/>
      <c r="Y635" s="37"/>
      <c r="Z635" s="36"/>
      <c r="AA635" s="34"/>
      <c r="AB635" s="36"/>
      <c r="AC635" s="37"/>
      <c r="AD635" s="36"/>
      <c r="AE635" s="38"/>
      <c r="AF635" s="36"/>
      <c r="AG635" s="38"/>
      <c r="AH635" s="36"/>
      <c r="AI635" s="38"/>
      <c r="AJ635" s="36"/>
      <c r="AK635" s="38"/>
      <c r="AL635" s="36"/>
      <c r="AM635" s="38"/>
      <c r="AN635" s="36"/>
      <c r="AO635" s="38"/>
      <c r="AP635" s="36"/>
      <c r="AQ635" s="38"/>
      <c r="AR635" s="36"/>
      <c r="AS635" s="38"/>
      <c r="AT635" s="39"/>
      <c r="AU635" s="38"/>
      <c r="AV635" s="39"/>
      <c r="AW635" s="38"/>
      <c r="AX635" s="39"/>
      <c r="AY635" s="38"/>
      <c r="AZ635" s="39"/>
      <c r="BA635" s="38">
        <v>0.5</v>
      </c>
      <c r="BB635" s="54"/>
      <c r="BC635" s="38">
        <v>0.51</v>
      </c>
      <c r="BD635" s="54"/>
      <c r="BE635" s="38">
        <v>0.6</v>
      </c>
      <c r="BF635" s="54"/>
      <c r="BG635" s="38">
        <v>0.59</v>
      </c>
      <c r="BH635" s="54"/>
      <c r="BI635" s="38"/>
      <c r="BJ635" s="54"/>
      <c r="BK635" s="38"/>
      <c r="BL635" s="54"/>
      <c r="BM635" s="38"/>
      <c r="BN635" s="54"/>
      <c r="BO635" s="38"/>
      <c r="BP635" s="54"/>
      <c r="BQ635" s="38"/>
      <c r="BR635" s="54"/>
      <c r="BS635" s="38"/>
      <c r="BT635" s="54"/>
      <c r="BU635" s="38"/>
      <c r="BV635" s="54"/>
      <c r="BW635" s="38"/>
      <c r="BX635" s="54"/>
      <c r="BY635" s="38"/>
      <c r="BZ635" s="54"/>
      <c r="CA635" s="38"/>
      <c r="CB635" s="54"/>
      <c r="CC635" s="38"/>
      <c r="CD635" s="54"/>
      <c r="CE635" s="38"/>
      <c r="CF635" s="55"/>
      <c r="CG635" s="38"/>
      <c r="CH635" s="55"/>
      <c r="CI635" s="38"/>
      <c r="CJ635" s="55"/>
      <c r="CK635" s="38"/>
      <c r="CL635" s="55"/>
      <c r="CM635" s="38"/>
      <c r="CN635" s="54"/>
      <c r="CO635" s="38"/>
      <c r="CP635" s="54"/>
      <c r="CQ635" s="38"/>
      <c r="CR635" s="54"/>
      <c r="CS635" s="38"/>
      <c r="CT635" s="54"/>
      <c r="CU635" s="38"/>
      <c r="CV635" s="54"/>
      <c r="CW635" s="38"/>
      <c r="CX635" s="54"/>
      <c r="CY635" s="38"/>
      <c r="CZ635" s="54"/>
      <c r="DA635" s="38"/>
      <c r="DB635" s="54"/>
      <c r="DC635" s="38"/>
      <c r="DD635" s="54"/>
      <c r="DE635" s="38"/>
      <c r="DF635" s="54"/>
      <c r="DG635" s="38"/>
      <c r="DH635" s="54"/>
      <c r="DI635" s="38"/>
      <c r="DJ635" s="54"/>
      <c r="DK635" s="38"/>
      <c r="DL635" s="54"/>
      <c r="DM635" s="38"/>
      <c r="DN635" s="54"/>
      <c r="DO635" s="38"/>
      <c r="DP635" s="54"/>
      <c r="DQ635" s="38"/>
      <c r="DR635" s="54"/>
      <c r="DS635" s="38"/>
      <c r="DT635" s="54"/>
      <c r="DU635" s="38"/>
      <c r="DV635" s="54"/>
      <c r="DW635" s="38"/>
      <c r="DX635" s="54"/>
      <c r="DY635" s="38"/>
      <c r="DZ635" s="54"/>
      <c r="EA635" s="38">
        <v>0.84</v>
      </c>
      <c r="EB635" s="54"/>
      <c r="EC635" s="38">
        <v>0.84</v>
      </c>
      <c r="ED635" s="54"/>
      <c r="EE635" s="38">
        <v>0.84</v>
      </c>
      <c r="EF635" s="54"/>
      <c r="EG635" s="38">
        <v>0.84</v>
      </c>
      <c r="EH635" s="54"/>
      <c r="EI635" s="38">
        <v>0.84</v>
      </c>
      <c r="EJ635" s="54"/>
      <c r="EK635" s="56">
        <v>0.84</v>
      </c>
      <c r="EL635" s="54"/>
      <c r="EM635" s="56">
        <v>0.84</v>
      </c>
      <c r="EN635" s="54"/>
      <c r="EO635" s="56">
        <v>0.84</v>
      </c>
      <c r="EP635" s="54"/>
      <c r="EQ635" s="56">
        <v>0.84</v>
      </c>
      <c r="ER635" s="54"/>
      <c r="ES635" s="57"/>
      <c r="ET635" s="460"/>
      <c r="EU635" s="57"/>
      <c r="EV635" s="58"/>
      <c r="EW635" s="12"/>
      <c r="EX635" s="58"/>
      <c r="EY635" s="12"/>
      <c r="EZ635" s="58"/>
      <c r="FA635" s="12"/>
      <c r="FB635" s="58">
        <v>-1.77</v>
      </c>
      <c r="FC635" s="12"/>
      <c r="FD635" s="58">
        <v>2.46</v>
      </c>
      <c r="FE635" s="12"/>
      <c r="FF635" s="58">
        <v>-0.55000000000000004</v>
      </c>
      <c r="FG635" s="12"/>
      <c r="FH635" s="58">
        <v>-0.71</v>
      </c>
      <c r="FI635" s="12"/>
      <c r="FJ635" s="58">
        <v>1.77</v>
      </c>
      <c r="FK635" s="12"/>
      <c r="FL635" s="59"/>
      <c r="FM635" s="12"/>
      <c r="FN635" s="59"/>
      <c r="FO635" s="12"/>
      <c r="FP635" s="59"/>
      <c r="FQ635" s="12"/>
      <c r="FR635" s="59"/>
      <c r="FS635" s="12"/>
      <c r="FT635" s="59"/>
      <c r="FU635" s="12"/>
      <c r="FV635" s="59"/>
      <c r="FW635" s="12"/>
      <c r="FX635" s="59"/>
      <c r="FY635" s="12"/>
      <c r="FZ635" s="59"/>
      <c r="GA635" s="12"/>
      <c r="GB635" s="59"/>
      <c r="GC635" s="12"/>
      <c r="GD635" s="59"/>
      <c r="GE635" s="12"/>
      <c r="GF635" s="59"/>
      <c r="GG635" s="12"/>
      <c r="GH635" s="59"/>
      <c r="GI635" s="12"/>
      <c r="GJ635" s="59"/>
      <c r="GK635" s="12"/>
      <c r="GL635" s="60">
        <v>6.19</v>
      </c>
      <c r="GM635" s="12"/>
      <c r="GN635" s="60">
        <v>6.19</v>
      </c>
      <c r="GO635" s="12"/>
      <c r="GP635" s="60">
        <v>6.19</v>
      </c>
      <c r="GQ635" s="12"/>
      <c r="GR635" s="60">
        <v>6.19</v>
      </c>
      <c r="GS635" s="12"/>
      <c r="GT635" s="36"/>
      <c r="GU635" s="562"/>
      <c r="GV635" s="562"/>
      <c r="GW635"/>
      <c r="GX635"/>
      <c r="GY635"/>
      <c r="GZ635"/>
      <c r="HA635"/>
      <c r="HB635"/>
      <c r="HC635" s="562"/>
      <c r="HD635" s="562"/>
      <c r="HE635" s="562"/>
      <c r="HF635" s="562"/>
      <c r="HG635" s="562"/>
      <c r="HH635" s="562"/>
      <c r="HI635" s="562"/>
      <c r="HJ635" s="562"/>
      <c r="HK635" s="562"/>
      <c r="HL635" s="562"/>
      <c r="HM635" s="562"/>
      <c r="HN635" s="562"/>
      <c r="HO635" s="562"/>
      <c r="HP635" s="562"/>
      <c r="HQ635" s="562"/>
      <c r="HR635" s="562"/>
      <c r="HS635" s="562"/>
      <c r="HT635" s="562"/>
      <c r="HU635" s="562"/>
      <c r="HV635" s="562"/>
      <c r="HW635" s="562"/>
      <c r="HX635" s="562"/>
      <c r="HY635" s="562"/>
      <c r="HZ635" s="562"/>
      <c r="IA635" s="562"/>
      <c r="IB635" s="562"/>
      <c r="IC635" s="562"/>
      <c r="ID635" s="562"/>
      <c r="IE635" s="562"/>
      <c r="IF635" s="562"/>
      <c r="IG635" s="562"/>
      <c r="IH635" s="562"/>
      <c r="II635" s="562"/>
      <c r="IJ635" s="562"/>
      <c r="IK635" s="562"/>
      <c r="IL635" s="562"/>
      <c r="IM635" s="562"/>
      <c r="IN635" s="562"/>
      <c r="IO635" s="562"/>
      <c r="IP635" s="562"/>
      <c r="IQ635" s="562"/>
      <c r="IR635" s="562"/>
      <c r="IS635" s="562"/>
      <c r="IT635" s="562"/>
      <c r="IU635" s="562"/>
      <c r="IV635" s="562"/>
      <c r="IW635" s="562"/>
      <c r="IX635" s="562"/>
      <c r="IY635" s="562"/>
      <c r="IZ635" s="562"/>
      <c r="JA635" s="562"/>
      <c r="JB635" s="562"/>
      <c r="JC635" s="562"/>
      <c r="JD635" s="562"/>
      <c r="JE635" s="562"/>
      <c r="JF635" s="562"/>
      <c r="JG635" s="562"/>
      <c r="JH635" s="562"/>
      <c r="JI635" s="562"/>
      <c r="JJ635" s="562"/>
      <c r="JK635" s="562"/>
      <c r="JL635" s="562"/>
      <c r="JM635" s="562"/>
      <c r="JN635" s="562"/>
      <c r="JO635" s="562"/>
      <c r="JP635" s="562"/>
      <c r="JQ635" s="562"/>
      <c r="JR635" s="562"/>
      <c r="JS635" s="562"/>
      <c r="JT635" s="562"/>
      <c r="JU635" s="562"/>
      <c r="JV635" s="562"/>
      <c r="JW635" s="562"/>
      <c r="JX635" s="562"/>
      <c r="JY635" s="562"/>
      <c r="JZ635" s="562"/>
    </row>
    <row r="636" spans="1:286" s="13" customFormat="1" ht="12.75" hidden="1" customHeight="1" outlineLevel="1" x14ac:dyDescent="0.2">
      <c r="A636" s="11"/>
      <c r="B636" s="11" t="s">
        <v>342</v>
      </c>
      <c r="C636" s="36"/>
      <c r="D636" s="36"/>
      <c r="E636" s="37"/>
      <c r="F636" s="37"/>
      <c r="G636" s="37"/>
      <c r="H636" s="37"/>
      <c r="I636" s="37"/>
      <c r="J636" s="37"/>
      <c r="K636" s="37"/>
      <c r="L636" s="37"/>
      <c r="M636" s="37"/>
      <c r="N636" s="36"/>
      <c r="O636" s="37"/>
      <c r="P636" s="36"/>
      <c r="Q636" s="37"/>
      <c r="R636" s="36"/>
      <c r="S636" s="37"/>
      <c r="T636" s="36"/>
      <c r="U636" s="37"/>
      <c r="V636" s="36"/>
      <c r="W636" s="37"/>
      <c r="X636" s="36"/>
      <c r="Y636" s="37"/>
      <c r="Z636" s="36"/>
      <c r="AA636" s="34"/>
      <c r="AB636" s="36"/>
      <c r="AC636" s="37"/>
      <c r="AD636" s="36"/>
      <c r="AE636" s="38"/>
      <c r="AF636" s="36"/>
      <c r="AG636" s="38"/>
      <c r="AH636" s="36"/>
      <c r="AI636" s="38"/>
      <c r="AJ636" s="36"/>
      <c r="AK636" s="38"/>
      <c r="AL636" s="36"/>
      <c r="AM636" s="38"/>
      <c r="AN636" s="36"/>
      <c r="AO636" s="38"/>
      <c r="AP636" s="36"/>
      <c r="AQ636" s="38"/>
      <c r="AR636" s="36"/>
      <c r="AS636" s="38"/>
      <c r="AT636" s="39"/>
      <c r="AU636" s="38"/>
      <c r="AV636" s="39"/>
      <c r="AW636" s="38"/>
      <c r="AX636" s="39"/>
      <c r="AY636" s="38"/>
      <c r="AZ636" s="39"/>
      <c r="BA636" s="38">
        <v>0.5</v>
      </c>
      <c r="BB636" s="54"/>
      <c r="BC636" s="38">
        <v>0.51</v>
      </c>
      <c r="BD636" s="54"/>
      <c r="BE636" s="38">
        <v>0.6</v>
      </c>
      <c r="BF636" s="54"/>
      <c r="BG636" s="38">
        <v>0.59</v>
      </c>
      <c r="BH636" s="54"/>
      <c r="BI636" s="38"/>
      <c r="BJ636" s="54"/>
      <c r="BK636" s="38"/>
      <c r="BL636" s="54"/>
      <c r="BM636" s="38"/>
      <c r="BN636" s="54"/>
      <c r="BO636" s="38"/>
      <c r="BP636" s="54"/>
      <c r="BQ636" s="38"/>
      <c r="BR636" s="54"/>
      <c r="BS636" s="38"/>
      <c r="BT636" s="54"/>
      <c r="BU636" s="38"/>
      <c r="BV636" s="54"/>
      <c r="BW636" s="38"/>
      <c r="BX636" s="54"/>
      <c r="BY636" s="38"/>
      <c r="BZ636" s="54"/>
      <c r="CA636" s="38"/>
      <c r="CB636" s="54"/>
      <c r="CC636" s="38"/>
      <c r="CD636" s="54"/>
      <c r="CE636" s="38"/>
      <c r="CF636" s="55"/>
      <c r="CG636" s="38"/>
      <c r="CH636" s="55"/>
      <c r="CI636" s="38"/>
      <c r="CJ636" s="55"/>
      <c r="CK636" s="38"/>
      <c r="CL636" s="55"/>
      <c r="CM636" s="38"/>
      <c r="CN636" s="54"/>
      <c r="CO636" s="38"/>
      <c r="CP636" s="54"/>
      <c r="CQ636" s="38"/>
      <c r="CR636" s="54"/>
      <c r="CS636" s="38"/>
      <c r="CT636" s="54"/>
      <c r="CU636" s="38"/>
      <c r="CV636" s="54"/>
      <c r="CW636" s="38"/>
      <c r="CX636" s="54"/>
      <c r="CY636" s="38"/>
      <c r="CZ636" s="54"/>
      <c r="DA636" s="38"/>
      <c r="DB636" s="54"/>
      <c r="DC636" s="38"/>
      <c r="DD636" s="54"/>
      <c r="DE636" s="38"/>
      <c r="DF636" s="54"/>
      <c r="DG636" s="38"/>
      <c r="DH636" s="54"/>
      <c r="DI636" s="38"/>
      <c r="DJ636" s="54"/>
      <c r="DK636" s="38"/>
      <c r="DL636" s="54"/>
      <c r="DM636" s="38"/>
      <c r="DN636" s="54"/>
      <c r="DO636" s="38"/>
      <c r="DP636" s="54"/>
      <c r="DQ636" s="38"/>
      <c r="DR636" s="54"/>
      <c r="DS636" s="38"/>
      <c r="DT636" s="54"/>
      <c r="DU636" s="38"/>
      <c r="DV636" s="54"/>
      <c r="DW636" s="38"/>
      <c r="DX636" s="54"/>
      <c r="DY636" s="38"/>
      <c r="DZ636" s="54"/>
      <c r="EA636" s="38">
        <v>0.63</v>
      </c>
      <c r="EB636" s="54"/>
      <c r="EC636" s="38">
        <v>0.63</v>
      </c>
      <c r="ED636" s="54"/>
      <c r="EE636" s="38">
        <v>0.63</v>
      </c>
      <c r="EF636" s="54"/>
      <c r="EG636" s="38">
        <v>0.63</v>
      </c>
      <c r="EH636" s="54"/>
      <c r="EI636" s="38">
        <v>0.63</v>
      </c>
      <c r="EJ636" s="54"/>
      <c r="EK636" s="61">
        <v>0.63</v>
      </c>
      <c r="EL636" s="54"/>
      <c r="EM636" s="61">
        <v>0.63</v>
      </c>
      <c r="EN636" s="54"/>
      <c r="EO636" s="61">
        <v>0.63</v>
      </c>
      <c r="EP636" s="54"/>
      <c r="EQ636" s="61">
        <v>0.63</v>
      </c>
      <c r="ER636" s="54"/>
      <c r="ES636" s="57"/>
      <c r="ET636" s="460"/>
      <c r="EU636" s="57"/>
      <c r="EV636" s="58"/>
      <c r="EW636" s="12"/>
      <c r="EX636" s="58"/>
      <c r="EY636" s="12"/>
      <c r="EZ636" s="58"/>
      <c r="FA636" s="12"/>
      <c r="FB636" s="58">
        <v>-1.77</v>
      </c>
      <c r="FC636" s="12"/>
      <c r="FD636" s="58">
        <v>2.46</v>
      </c>
      <c r="FE636" s="12"/>
      <c r="FF636" s="58">
        <v>-0.55000000000000004</v>
      </c>
      <c r="FG636" s="12"/>
      <c r="FH636" s="58">
        <v>-0.71</v>
      </c>
      <c r="FI636" s="12"/>
      <c r="FJ636" s="58">
        <v>1.77</v>
      </c>
      <c r="FK636" s="12"/>
      <c r="FL636" s="59"/>
      <c r="FM636" s="12"/>
      <c r="FN636" s="59"/>
      <c r="FO636" s="12"/>
      <c r="FP636" s="59"/>
      <c r="FQ636" s="12"/>
      <c r="FR636" s="59"/>
      <c r="FS636" s="12"/>
      <c r="FT636" s="59"/>
      <c r="FU636" s="12"/>
      <c r="FV636" s="59"/>
      <c r="FW636" s="12"/>
      <c r="FX636" s="59"/>
      <c r="FY636" s="12"/>
      <c r="FZ636" s="59"/>
      <c r="GA636" s="12"/>
      <c r="GB636" s="59"/>
      <c r="GC636" s="12"/>
      <c r="GD636" s="59"/>
      <c r="GE636" s="12"/>
      <c r="GF636" s="59"/>
      <c r="GG636" s="12"/>
      <c r="GH636" s="59"/>
      <c r="GI636" s="12"/>
      <c r="GJ636" s="59"/>
      <c r="GK636" s="12"/>
      <c r="GL636" s="62">
        <v>2.58</v>
      </c>
      <c r="GM636" s="12"/>
      <c r="GN636" s="62">
        <v>2.58</v>
      </c>
      <c r="GO636" s="12"/>
      <c r="GP636" s="62">
        <v>2.58</v>
      </c>
      <c r="GQ636" s="12"/>
      <c r="GR636" s="62">
        <v>2.58</v>
      </c>
      <c r="GS636" s="12"/>
      <c r="GT636" s="36"/>
      <c r="GU636" s="562"/>
      <c r="GV636" s="562"/>
      <c r="GW636"/>
      <c r="GX636"/>
      <c r="GY636"/>
      <c r="GZ636"/>
      <c r="HA636"/>
      <c r="HB636"/>
      <c r="HC636" s="562"/>
      <c r="HD636" s="562"/>
      <c r="HE636" s="562"/>
      <c r="HF636" s="562"/>
      <c r="HG636" s="562"/>
      <c r="HH636" s="562"/>
      <c r="HI636" s="562"/>
      <c r="HJ636" s="562"/>
      <c r="HK636" s="562"/>
      <c r="HL636" s="562"/>
      <c r="HM636" s="562"/>
      <c r="HN636" s="562"/>
      <c r="HO636" s="562"/>
      <c r="HP636" s="562"/>
      <c r="HQ636" s="562"/>
      <c r="HR636" s="562"/>
      <c r="HS636" s="562"/>
      <c r="HT636" s="562"/>
      <c r="HU636" s="562"/>
      <c r="HV636" s="562"/>
      <c r="HW636" s="562"/>
      <c r="HX636" s="562"/>
      <c r="HY636" s="562"/>
      <c r="HZ636" s="562"/>
      <c r="IA636" s="562"/>
      <c r="IB636" s="562"/>
      <c r="IC636" s="562"/>
      <c r="ID636" s="562"/>
      <c r="IE636" s="562"/>
      <c r="IF636" s="562"/>
      <c r="IG636" s="562"/>
      <c r="IH636" s="562"/>
      <c r="II636" s="562"/>
      <c r="IJ636" s="562"/>
      <c r="IK636" s="562"/>
      <c r="IL636" s="562"/>
      <c r="IM636" s="562"/>
      <c r="IN636" s="562"/>
      <c r="IO636" s="562"/>
      <c r="IP636" s="562"/>
      <c r="IQ636" s="562"/>
      <c r="IR636" s="562"/>
      <c r="IS636" s="562"/>
      <c r="IT636" s="562"/>
      <c r="IU636" s="562"/>
      <c r="IV636" s="562"/>
      <c r="IW636" s="562"/>
      <c r="IX636" s="562"/>
      <c r="IY636" s="562"/>
      <c r="IZ636" s="562"/>
      <c r="JA636" s="562"/>
      <c r="JB636" s="562"/>
      <c r="JC636" s="562"/>
      <c r="JD636" s="562"/>
      <c r="JE636" s="562"/>
      <c r="JF636" s="562"/>
      <c r="JG636" s="562"/>
      <c r="JH636" s="562"/>
      <c r="JI636" s="562"/>
      <c r="JJ636" s="562"/>
      <c r="JK636" s="562"/>
      <c r="JL636" s="562"/>
      <c r="JM636" s="562"/>
      <c r="JN636" s="562"/>
      <c r="JO636" s="562"/>
      <c r="JP636" s="562"/>
      <c r="JQ636" s="562"/>
      <c r="JR636" s="562"/>
      <c r="JS636" s="562"/>
      <c r="JT636" s="562"/>
      <c r="JU636" s="562"/>
      <c r="JV636" s="562"/>
      <c r="JW636" s="562"/>
      <c r="JX636" s="562"/>
      <c r="JY636" s="562"/>
      <c r="JZ636" s="562"/>
    </row>
    <row r="637" spans="1:286" s="13" customFormat="1" ht="12.75" hidden="1" customHeight="1" outlineLevel="1" x14ac:dyDescent="0.2">
      <c r="A637" s="11"/>
      <c r="B637" s="11" t="s">
        <v>343</v>
      </c>
      <c r="C637" s="36"/>
      <c r="D637" s="36"/>
      <c r="E637" s="63">
        <f>E488</f>
        <v>0.75</v>
      </c>
      <c r="F637" s="37"/>
      <c r="G637" s="63">
        <f>G488</f>
        <v>0.6</v>
      </c>
      <c r="H637" s="37"/>
      <c r="I637" s="63">
        <f>I488</f>
        <v>0.45</v>
      </c>
      <c r="J637" s="37"/>
      <c r="K637" s="63">
        <f>K488</f>
        <v>0.61</v>
      </c>
      <c r="L637" s="37"/>
      <c r="M637" s="63">
        <f>M488</f>
        <v>0.6</v>
      </c>
      <c r="N637" s="36"/>
      <c r="O637" s="63">
        <f>O488</f>
        <v>0.61</v>
      </c>
      <c r="P637" s="36"/>
      <c r="Q637" s="63">
        <f>Q488</f>
        <v>0.62</v>
      </c>
      <c r="R637" s="36"/>
      <c r="S637" s="63">
        <f>S488</f>
        <v>0.62</v>
      </c>
      <c r="T637" s="36"/>
      <c r="U637" s="63">
        <f>U488</f>
        <v>-0.8</v>
      </c>
      <c r="V637" s="36"/>
      <c r="W637" s="63">
        <f>W488</f>
        <v>0.41</v>
      </c>
      <c r="X637" s="36"/>
      <c r="Y637" s="63">
        <f>Y488</f>
        <v>0.38</v>
      </c>
      <c r="Z637" s="36"/>
      <c r="AA637" s="64">
        <f>AA488</f>
        <v>-0.62</v>
      </c>
      <c r="AB637" s="36"/>
      <c r="AC637" s="63">
        <f>AC488</f>
        <v>-1.98</v>
      </c>
      <c r="AD637" s="36"/>
      <c r="AE637" s="63">
        <f>AE488</f>
        <v>0.43</v>
      </c>
      <c r="AF637" s="36"/>
      <c r="AG637" s="63">
        <f>AG488</f>
        <v>0.42</v>
      </c>
      <c r="AH637" s="36"/>
      <c r="AI637" s="63">
        <f>AI488</f>
        <v>0.39</v>
      </c>
      <c r="AJ637" s="36"/>
      <c r="AK637" s="63">
        <f>AK488</f>
        <v>0.5</v>
      </c>
      <c r="AL637" s="36"/>
      <c r="AM637" s="63">
        <f>AM488</f>
        <v>0.42</v>
      </c>
      <c r="AN637" s="36"/>
      <c r="AO637" s="63">
        <f>AO488</f>
        <v>0.43</v>
      </c>
      <c r="AP637" s="36"/>
      <c r="AQ637" s="63">
        <f>AQ488</f>
        <v>0.42</v>
      </c>
      <c r="AR637" s="36"/>
      <c r="AS637" s="63">
        <f>AS488</f>
        <v>0.42</v>
      </c>
      <c r="AT637" s="39"/>
      <c r="AU637" s="63">
        <f>AU488</f>
        <v>0.43</v>
      </c>
      <c r="AV637" s="39"/>
      <c r="AW637" s="63">
        <f>AW488</f>
        <v>0.46</v>
      </c>
      <c r="AX637" s="39"/>
      <c r="AY637" s="63">
        <f>AY488</f>
        <v>0.52</v>
      </c>
      <c r="AZ637" s="39"/>
      <c r="BA637" s="63">
        <f>BA488</f>
        <v>0.5</v>
      </c>
      <c r="BB637" s="39"/>
      <c r="BC637" s="63">
        <f>BC488</f>
        <v>0.51</v>
      </c>
      <c r="BD637" s="39"/>
      <c r="BE637" s="63">
        <f>BE488</f>
        <v>0.6</v>
      </c>
      <c r="BF637" s="39"/>
      <c r="BG637" s="63">
        <f>BG488</f>
        <v>0.59</v>
      </c>
      <c r="BH637" s="39"/>
      <c r="BI637" s="63">
        <f>BI488</f>
        <v>0.59</v>
      </c>
      <c r="BJ637" s="39"/>
      <c r="BK637" s="63">
        <f>BK488</f>
        <v>0.65</v>
      </c>
      <c r="BL637" s="39"/>
      <c r="BM637" s="63">
        <f>BM488</f>
        <v>0.64</v>
      </c>
      <c r="BN637" s="39"/>
      <c r="BO637" s="63">
        <f>BO488</f>
        <v>0.63</v>
      </c>
      <c r="BP637" s="39"/>
      <c r="BQ637" s="63">
        <f>BQ488</f>
        <v>0.62</v>
      </c>
      <c r="BR637" s="39"/>
      <c r="BS637" s="63">
        <f>BS488</f>
        <v>0.65</v>
      </c>
      <c r="BT637" s="39"/>
      <c r="BU637" s="63">
        <f>BU488</f>
        <v>0.64</v>
      </c>
      <c r="BV637" s="39"/>
      <c r="BW637" s="63">
        <f>BW488</f>
        <v>0.66</v>
      </c>
      <c r="BX637" s="39"/>
      <c r="BY637" s="63">
        <f>BY488</f>
        <v>0.67940993445079345</v>
      </c>
      <c r="BZ637" s="39"/>
      <c r="CA637" s="63">
        <f>CA488</f>
        <v>0.69803576338947426</v>
      </c>
      <c r="CB637" s="39"/>
      <c r="CC637" s="63">
        <f>CC488</f>
        <v>0.68820562264918328</v>
      </c>
      <c r="CD637" s="39"/>
      <c r="CE637" s="63">
        <f>CE488</f>
        <v>0.66663957821905528</v>
      </c>
      <c r="CF637" s="39"/>
      <c r="CG637" s="63">
        <f>CG488</f>
        <v>0.69703300663164036</v>
      </c>
      <c r="CH637" s="39"/>
      <c r="CI637" s="63">
        <f>CI488</f>
        <v>0.76444898692682983</v>
      </c>
      <c r="CJ637" s="39"/>
      <c r="CK637" s="63">
        <f>CK488</f>
        <v>0.74572262394087163</v>
      </c>
      <c r="CL637" s="39"/>
      <c r="CM637" s="63">
        <f>CM488</f>
        <v>-1.2192469066685814</v>
      </c>
      <c r="CN637" s="39"/>
      <c r="CO637" s="63">
        <f>CO488</f>
        <v>0.73193163253203453</v>
      </c>
      <c r="CP637" s="39"/>
      <c r="CQ637" s="63">
        <f>CQ488</f>
        <v>0.79403502562156802</v>
      </c>
      <c r="CR637" s="39"/>
      <c r="CS637" s="63">
        <f>CS488</f>
        <v>0.80427691772748733</v>
      </c>
      <c r="CT637" s="39"/>
      <c r="CU637" s="63">
        <f>CU488</f>
        <v>0.8223684210526313</v>
      </c>
      <c r="CV637" s="39"/>
      <c r="CW637" s="63">
        <f>CW488</f>
        <v>0.78674511653490997</v>
      </c>
      <c r="CX637" s="39"/>
      <c r="CY637" s="63">
        <f>CY488</f>
        <v>0.8094136357937507</v>
      </c>
      <c r="CZ637" s="39"/>
      <c r="DA637" s="63">
        <f>DA488</f>
        <v>0.83856793409688568</v>
      </c>
      <c r="DB637" s="39"/>
      <c r="DC637" s="63">
        <f>DC488</f>
        <v>0.81607006854531583</v>
      </c>
      <c r="DD637" s="39"/>
      <c r="DE637" s="63">
        <f>DE488</f>
        <v>0.85385500575373896</v>
      </c>
      <c r="DF637" s="39"/>
      <c r="DG637" s="63">
        <f>DG488</f>
        <v>0.85808452888716569</v>
      </c>
      <c r="DH637" s="39"/>
      <c r="DI637" s="63">
        <f>DI488</f>
        <v>0.85989010989011005</v>
      </c>
      <c r="DJ637" s="39"/>
      <c r="DK637" s="63">
        <f>DK488</f>
        <v>-0.90768621236133129</v>
      </c>
      <c r="DL637" s="39"/>
      <c r="DM637" s="63">
        <f>DM488</f>
        <v>0.8838223632038068</v>
      </c>
      <c r="DN637" s="39"/>
      <c r="DO637" s="63">
        <f>DO488</f>
        <v>0.88487765744083402</v>
      </c>
      <c r="DP637" s="39"/>
      <c r="DQ637" s="63">
        <f>DQ488</f>
        <v>0.8976857490864808</v>
      </c>
      <c r="DR637" s="39"/>
      <c r="DS637" s="63">
        <f>DS488</f>
        <v>0.93765381460213248</v>
      </c>
      <c r="DT637" s="39"/>
      <c r="DU637" s="63">
        <f>DU488</f>
        <v>0.93533583646224372</v>
      </c>
      <c r="DV637" s="39"/>
      <c r="DW637" s="63">
        <f>DW488</f>
        <v>0.98187947745469828</v>
      </c>
      <c r="DX637" s="39"/>
      <c r="DY637" s="63">
        <f>DY488</f>
        <v>0.97651579846285308</v>
      </c>
      <c r="DZ637" s="39"/>
      <c r="EA637" s="63">
        <f>EA488</f>
        <v>0.98838209982788272</v>
      </c>
      <c r="EB637" s="39"/>
      <c r="EC637" s="63">
        <f>EC488</f>
        <v>1.0247395833333321</v>
      </c>
      <c r="ED637" s="39"/>
      <c r="EE637" s="63">
        <f>EE488</f>
        <v>1.0534618755477656</v>
      </c>
      <c r="EF637" s="39"/>
      <c r="EG637" s="63">
        <f>EG488</f>
        <v>1.0862831858407076</v>
      </c>
      <c r="EH637" s="39"/>
      <c r="EI637" s="63">
        <f>EI488</f>
        <v>1.1281138790035579</v>
      </c>
      <c r="EJ637" s="39"/>
      <c r="EK637" s="65">
        <f t="shared" ref="EK637:EQ637" si="2351">EK488</f>
        <v>1.2720273653832308</v>
      </c>
      <c r="EL637" s="39"/>
      <c r="EM637" s="65">
        <f t="shared" si="2351"/>
        <v>1.2914948247809064</v>
      </c>
      <c r="EN637" s="39"/>
      <c r="EO637" s="65">
        <f t="shared" si="2351"/>
        <v>1.3077515554781463</v>
      </c>
      <c r="EP637" s="39"/>
      <c r="EQ637" s="65">
        <f t="shared" si="2351"/>
        <v>1.327471892073594</v>
      </c>
      <c r="ER637" s="39"/>
      <c r="ES637" s="38"/>
      <c r="ET637" s="460"/>
      <c r="EU637" s="38"/>
      <c r="EV637" s="63">
        <f>EV488</f>
        <v>0</v>
      </c>
      <c r="EW637" s="36"/>
      <c r="EX637" s="63"/>
      <c r="EY637" s="36"/>
      <c r="EZ637" s="63"/>
      <c r="FA637" s="36"/>
      <c r="FB637" s="63">
        <f>FB488</f>
        <v>-0.98</v>
      </c>
      <c r="FC637" s="36"/>
      <c r="FD637" s="63">
        <f>FD488</f>
        <v>3.1</v>
      </c>
      <c r="FE637" s="36"/>
      <c r="FF637" s="63">
        <f>FF488</f>
        <v>0.15</v>
      </c>
      <c r="FG637" s="36"/>
      <c r="FH637" s="63">
        <f>FH488</f>
        <v>-0.19</v>
      </c>
      <c r="FI637" s="36"/>
      <c r="FJ637" s="63">
        <f>FJ488</f>
        <v>1.77</v>
      </c>
      <c r="FK637" s="36"/>
      <c r="FL637" s="63">
        <f>FL488</f>
        <v>1.83</v>
      </c>
      <c r="FM637" s="36"/>
      <c r="FN637" s="63">
        <f>FN488</f>
        <v>2.21</v>
      </c>
      <c r="FO637" s="36"/>
      <c r="FP637" s="63">
        <f>FP488</f>
        <v>2.5099999999999998</v>
      </c>
      <c r="FQ637" s="36"/>
      <c r="FR637" s="63">
        <f>FR488</f>
        <v>2.59</v>
      </c>
      <c r="FS637" s="36"/>
      <c r="FT637" s="63">
        <f>FT488</f>
        <v>2.732884478973884</v>
      </c>
      <c r="FU637" s="36"/>
      <c r="FV637" s="63">
        <f>FV488</f>
        <v>1.0077687916143476</v>
      </c>
      <c r="FW637" s="36"/>
      <c r="FX637" s="63">
        <f>FX488</f>
        <v>3.127218823882048</v>
      </c>
      <c r="FY637" s="36"/>
      <c r="FZ637" s="63">
        <f>FZ488</f>
        <v>3.2501504660823852</v>
      </c>
      <c r="GA637" s="36"/>
      <c r="GB637" s="63">
        <f>GB488</f>
        <v>1.6919477480990448</v>
      </c>
      <c r="GC637" s="36"/>
      <c r="GD637" s="63">
        <f>GD488</f>
        <v>3.6030657523194822</v>
      </c>
      <c r="GE637" s="36"/>
      <c r="GF637" s="63">
        <f>GF488</f>
        <v>3.8813056379822002</v>
      </c>
      <c r="GG637" s="36"/>
      <c r="GH637" s="63">
        <f>GH488</f>
        <v>4.291180998460522</v>
      </c>
      <c r="GI637" s="36"/>
      <c r="GJ637" s="63">
        <f>GJ488</f>
        <v>5.1979661887095761</v>
      </c>
      <c r="GK637" s="36"/>
      <c r="GL637" s="65">
        <f>GL488</f>
        <v>5.5047351554945934</v>
      </c>
      <c r="GM637" s="36"/>
      <c r="GN637" s="65">
        <f>GN488</f>
        <v>5.8546964937249504</v>
      </c>
      <c r="GO637" s="36"/>
      <c r="GP637" s="65">
        <f>GP488</f>
        <v>6.2452514056605244</v>
      </c>
      <c r="GQ637" s="36"/>
      <c r="GR637" s="65">
        <f>GR488</f>
        <v>6.6510372047902013</v>
      </c>
      <c r="GS637" s="36"/>
      <c r="GT637" s="36"/>
      <c r="GU637" s="562"/>
      <c r="GV637" s="562"/>
      <c r="GW637"/>
      <c r="GX637"/>
      <c r="GY637"/>
      <c r="GZ637"/>
      <c r="HA637"/>
      <c r="HB637"/>
      <c r="HC637" s="562"/>
      <c r="HD637" s="562"/>
      <c r="HE637" s="562"/>
      <c r="HF637" s="562"/>
      <c r="HG637" s="562"/>
      <c r="HH637" s="562"/>
      <c r="HI637" s="562"/>
      <c r="HJ637" s="562"/>
      <c r="HK637" s="562"/>
      <c r="HL637" s="562"/>
      <c r="HM637" s="562"/>
      <c r="HN637" s="562"/>
      <c r="HO637" s="562"/>
      <c r="HP637" s="562"/>
      <c r="HQ637" s="562"/>
      <c r="HR637" s="562"/>
      <c r="HS637" s="562"/>
      <c r="HT637" s="562"/>
      <c r="HU637" s="562"/>
      <c r="HV637" s="562"/>
      <c r="HW637" s="562"/>
      <c r="HX637" s="562"/>
      <c r="HY637" s="562"/>
      <c r="HZ637" s="562"/>
      <c r="IA637" s="562"/>
      <c r="IB637" s="562"/>
      <c r="IC637" s="562"/>
      <c r="ID637" s="562"/>
      <c r="IE637" s="562"/>
      <c r="IF637" s="562"/>
      <c r="IG637" s="562"/>
      <c r="IH637" s="562"/>
      <c r="II637" s="562"/>
      <c r="IJ637" s="562"/>
      <c r="IK637" s="562"/>
      <c r="IL637" s="562"/>
      <c r="IM637" s="562"/>
      <c r="IN637" s="562"/>
      <c r="IO637" s="562"/>
      <c r="IP637" s="562"/>
      <c r="IQ637" s="562"/>
      <c r="IR637" s="562"/>
      <c r="IS637" s="562"/>
      <c r="IT637" s="562"/>
      <c r="IU637" s="562"/>
      <c r="IV637" s="562"/>
      <c r="IW637" s="562"/>
      <c r="IX637" s="562"/>
      <c r="IY637" s="562"/>
      <c r="IZ637" s="562"/>
      <c r="JA637" s="562"/>
      <c r="JB637" s="562"/>
      <c r="JC637" s="562"/>
      <c r="JD637" s="562"/>
      <c r="JE637" s="562"/>
      <c r="JF637" s="562"/>
      <c r="JG637" s="562"/>
      <c r="JH637" s="562"/>
      <c r="JI637" s="562"/>
      <c r="JJ637" s="562"/>
      <c r="JK637" s="562"/>
      <c r="JL637" s="562"/>
      <c r="JM637" s="562"/>
      <c r="JN637" s="562"/>
      <c r="JO637" s="562"/>
      <c r="JP637" s="562"/>
      <c r="JQ637" s="562"/>
      <c r="JR637" s="562"/>
      <c r="JS637" s="562"/>
      <c r="JT637" s="562"/>
      <c r="JU637" s="562"/>
      <c r="JV637" s="562"/>
      <c r="JW637" s="562"/>
      <c r="JX637" s="562"/>
      <c r="JY637" s="562"/>
      <c r="JZ637" s="562"/>
    </row>
    <row r="638" spans="1:286" ht="12.75" customHeight="1" collapsed="1" x14ac:dyDescent="0.2"/>
  </sheetData>
  <mergeCells count="1">
    <mergeCell ref="B4:B5"/>
  </mergeCells>
  <phoneticPr fontId="3" type="noConversion"/>
  <dataValidations disablePrompts="1" count="1">
    <dataValidation type="list" allowBlank="1" showInputMessage="1" showErrorMessage="1" promptTitle="Scenario Analysis" prompt="1= Base Case_x000a_2= Bull Case_x000a_3= Bear Case" sqref="B6">
      <formula1>"1,2,3"</formula1>
    </dataValidation>
  </dataValidations>
  <pageMargins left="0.75" right="0.75" top="0.79" bottom="1.44" header="0.5" footer="0.5"/>
  <pageSetup scale="49" orientation="landscape" horizontalDpi="300" r:id="rId1"/>
  <headerFooter alignWithMargins="0"/>
  <rowBreaks count="1" manualBreakCount="1">
    <brk id="334" max="16383" man="1"/>
  </rowBreaks>
  <ignoredErrors>
    <ignoredError sqref="CW473:DN527 CW185:DJ185 CW271:DP295 CW187:DN190 CW7:DP119 CW136:DN181 CW529:DN638 CW528:DH528 DJ528:DN528 DO473:DP484 DO187:DP254 DO136:DP184 DR4 CW192:DN216 CW191:CX191 CZ191:DN191 DO513:DP638 DP512 DR53:DR101 DQ252:DV254 DR473:DT517 DR225:DV251 DR187:DR220 DR136:DR184 DQ271:DQ280 DQ473:DQ475 CW186:DR186 DQ53:DQ119 DQ136:DQ140 DQ225:DQ244 DQ188:DQ210 DQ183:DQ184 DR103:DR119 CW183:DN184 CW182:DH182 DJ182:DN182 DQ218:DQ219 CW218:DN247 CW217:DH217 DJ217:DN217 DQ249:DQ250 CW249:DN254 CW248:DH248 DJ248:DN248 DQ142:DQ163 DQ384:DQ398 DQ165:DQ181 DQ421:DQ433 DQ400:DQ413 DQ282:DQ295 DQ246:DQ247 DQ212:DQ216 DQ477:DQ495 DQ497:DQ638 DQ7:DT21 DT4 DL185:DR185 DS53:DX118 DS136:DS181 DS218:DS220 DS183:DS216 DV4 DV7:DV21 DU7:DU19 DQ22:DV22 DU473:DU481 DQ221:DV224 DU483:DU484 DT136:DX220 DW7:DX22 DV473:DX638 CW255:DX269 DQ23:DX52 DW221:DX254 DX4 ED6 DZ4 DY7:EB21 DY136:DY188 DS119:DY119 DY237:DY269 CW270:DZ270 EB4 DR519:DT638 DR518 DT518 DY22:DZ118 DZ119:DZ134 CW120:DY134 DY190:DY199 DZ194:DZ199 DY200:DZ216 DY221:DZ236 DZ237:DZ254 DZ255:EB269 DR271:DZ295 DZ296 DR297:EB304 DZ414 DZ438:EB458 DZ459:DZ465 DZ466:EA466 DZ511:EB525 DZ529 DZ526:EA528 DZ530:EA530 DZ531:EB638 DZ138:EB193 DZ415:EA419 DZ467:DZ510 EB526:EB530 EB502:EB510 EA467:EB501 EB465:EB466 EB459 EB296 EA270:EB295 EA224:EB254 EB221:EB223 EA194:EB216 DY217:EB220 EB414:EB419 DY420:EB433 EA22:EB135 EA460:EB464 EA221:EA222 EA503:EA510 ED4 DR296 DX296 DV296 DT296 DQ297:DQ382 CW297:DP413 CW296:DJ296 DP296 DN296 DL296 DY415:DY416 DR415:DX433 DR414 DX414 DV414 DT414 DQ415:DQ419 CW415:DP433 CW414:DJ414 DP414 DN414 DL414 DY438:DY638 CW438:DX472 CW434:DJ434 CW435:EB437 DL434:EB434 DU486:DU638 DO486:DP511 DP485 ED7:EF21 EF204:EF235 DZ136:ED137 EC7:EC23 EC138:EC501 EF121:EF122 EF203 EF200 EF286 EH459 EF22:EF52 EF90:EF120 EF87 EF88 EH87 EF53 ED22:ED135 EF201:EF202 EF459 EC503:EC638 ED138:ED638 EF54:EF86 EF287:EF458 EF460:EF638 EE22:EE506 EE531:EE560 EC25:EC135 EH286 EH203 EH53 EF89 EH89 EH122 EH200 EF236 EH236 EF6 EF123:EF184 EF237:EF285 ED5:EH5 EF4 GN5:GQ5 GN6:GQ6 ES4:GG4 GG6 GN4 GL5 GL6 ES6:FY6 GT4:GV6 ES5:GG5 GI5 EL4 EK6:ER6 EK5:ER5 GK5 GH5 FZ6:GA6 GM4 GM6 GM5 GO4 GQ4:GS4 GJ6:GK6 GK4 GR6:GS6 GR5:GS5 EF186:EF199 EF185 EH185 EE508:EE528 DR306:EB413 DR305:DX305 DZ305:EB305 EH7:EH21 EH204:EH235 EH22:EH52 EH90:EH114 EH88 EH201:EH202 EH54:EH86 EH287:EH458 EH460:EH470 EH123:EH184 EH237:EH269 EH186:EH199 EG7:EG33 EH6 EH4 EG35:EG38 EG42:EG44 EG49:EG61 EG63:EG65 EG67:EG74 EG78:EG80 EG85:EG101 EG103:EG106 EG110:EG112 EG117:EG131 EG137:EG184 EG190:EG193 EG186:EG187 EG198:EG212 EG216:EG220 EG224:EG226 EG231:EG246 EG248:EG251 EG255:EG258 EG263:EG266 EG269:EG285 EG287 EG289:EG295 EG297:EG413 EG415:EG417 EG435:EG457 EG460:EG469 EG474:EG481 EG471:EG472 EG484 EG486:EG500 EG502 EG505 EG507:EG511 EG514:EG517 EG531:EG549 EG419:EG433 EG550:EG639 EG47 EH120 EH119 EH121 EH116:EH118 EG115:EH115 EG83 EH271:EH285 EH270 EG196 EG229 EH472:EH638 EH471 EJ5 EJ6 EJ4 GI6 GI4 EJ472:EJ638 EJ271:EJ285 EJ116:EJ118 EJ186:EJ199 EJ237:EJ269 EJ123:EJ184 EJ460:EJ470 EJ287:EJ458 EJ54:EJ86 EJ201:EJ202 EJ90:EJ114 EJ22:EJ52 EJ204:EJ235 EJ7:EJ21 EJ236 EJ200 EJ122 EJ53:EK53 EJ203 EJ286 EJ87 EJ459 GR122 GR119 GR121 GR120 GQ87 GR40 GN40 GP40 GL40 GO40 GM40 GQ40 GP51 GN51 GR51 GL51 GN50:GQ50 GL50 GM50 GR50 GQ51 GM51 GO51 GN87 GL87 GN88 GN89 GL88 GM88 GL89:GM89 GM87 GR233 GN233 GL233 GO233 GM233 GP233:GQ233 GR222 GP222 GN222 GL222 GR224 GR223 GM222 GM224 GL223:GM223 GL224 GO222 GN223:GQ223 GN224:GQ224 GQ222 GR221 GN221 GP221 GL221 GO221 GM221 GQ221 EJ471 EJ185 EK51:EQ51 EQ253 EO253 EM253 EK253 EK256:EQ256 EK254:EQ254 EL253 EN253 EP253 EK255:EQ255 ER256 ER255 EL236:ER236 EK237:ER251 EQ221 EO221 EM221 EK221 EK222:EQ222 EL221 EN221 EP221 ER222 ER221 EK223:ER232 EQ188 EM188 EO188 EK188 EK189:EL189 EN188:EN189 EP189 EM189 EQ189 EO189 EL188 EP188 ER188 EK151:ER184 EQ75 EM75 EO75 EK75 EK77:EQ77 EN75 EL75 EP76 EN76 EL76 EK76 EM76 EO76 EQ76 EP75 ER77 ER75 EP459:ER459 EK459:EO459 EK460:ER464 GI247 GH248:GI300 GG247:GH247 ES247:GF247 ES248:GG464 GH214:GH216 GF214:GF216 GF213:GH213 GG214:GG216 GI214:GI216 ES214:GE216 GI213 GH217:GI246 ES213:GE213 ES217:GG246 GH180:GH181 GH176:GH177 GH170:GH172 GH166:GH168 GH169 GH173:GH175 GH178:GH179 GI181 GI180 GH182:GI212 GI177 GI176 GI178:GI179 GI172 GI171 GI170 GI173:GI175 GI168 GI167 GI166 GI169 GF180:GF181 GF176:GF177 GF170:GF172 GF166:GF168 GF169 GF173:GF175 GF178:GF179 GG178:GG179 GG173:GG175 GG169 GG181 ES181:GE181 GG180 ES180:GE180 ES182:GG212 GG177 ES177:GE177 GG176 ES176:GE176 ES178:GE179 GG172 ES172:GE172 GG171 ES171:GE171 GG170 ES170:GE170 ES173:GE175 GG168 ES168:GE168 GG167 ES167:GE167 GG166 ES166:GE166 ES169:GE169 GN296 GR296 GP296 GO296 GQ296 GL296:GM296 GM472 ER254 EQ270 EO270 EM270 EK271:EQ271 EK270:EL270 EN270 EP270 ER271 EJ270 EJ120 EJ115 EJ121 EJ119:EK119 GM473 ER296 EK296:EN296 EK297:ER414 EQ434 EO434 EM434 EN434 EP434 ER434 EL434 EK435:ER458 EK433:ER433 GJ488:GK494 EL415:ER415 EK416:ER432 EK289:ER295 ER253 EO252 EQ252 EM252 EK252 EL252 EP252 EN252 ER252 EK257:ER269 ER270 EK273:ER285 EL233:ER233 EK234:ER235 ER194 EK194:EQ194 EK195:ER199 ER189 EK190:ER193 EL203:ER203 EK204:ER220 EL200:ER200 EK201:ER201 EQ121:EQ122 EO121 EM121 EN121 EP121 ER121 EL122:EP122 EL121 EK123:ER135 EK120:ER120 EL115:ER115 EK116:ER118 EO108 EM108 EK108 EL108 EN108 EP108:ER108 EQ107 EO107 EM107 EK107 EL107 EN107 EP107 ER107 EK109:ER114 EQ89 EO89 EP89 ER89 EK89:EN89 EK90:ER106 EL87:ER87 EK88:ER88 ER76 EK78:ER86 EM46 EO46 EQ46 EP46 EN46 EK46:EL46 EL53:ER53 EK54:ER74 EK52:ER52 ER46 EK47:ER50 ER36 EL36:EP36 EK37:ER45 EQ33 EO33 EM33 EN33 EP33 ER33 EL33 EK34:ER35 GR557:GT557 GR556:GT556 GR555:GT555 GR554:GT554 GR553:GT553 GR561:GS637 GR547:GT547 GR546:GT546 GR545:GT545 GR544:GT544 GR543:GT543 GR542:GT542 GR550:GS552 GR558:GT558 GR538:GT538 GR537:GT537 GR536:GT536 GR540:GS541 GR548:GT548 GR532:GT532 GR531:GT531 GR530:GT530 GR529:GT529 GR528:GT528 GR527:GT527 GR526:GT526 GR534:GS535 GR539:GT539 GR522:GT522 GR521:GT521 GR520:GT520 GR519:GT519 GR518:GT518 GR517:GT517 GR524:GS525 GR533:GT533 GR509:GT509 GR508:GT508 GR507:GT507 GR506:GT506 GR505:GT505 GR504:GT504 GR503:GT503 GR502:GT502 GR501:GT501 GR511:GS516 GR523:GT523 GR494:GS494 GR490:GT490 GR489:GT489 GR488:GT488 GR492:GS492 GR493:GT493 GR482:GT482 GR486:GS487 GR491:GT491 GR479:GT479 GR481:GS481 GR483:GT483 GR474:GS478 GR467:GT467 GR466:GT466 GR469:GS469 GR470:GT470 GR460:GT460 GR462:GS464 GR453:GT453 GR452:GT452 GR451:GT451 GR450:GT450 GR449:GT449 GR448:GT448 GR447:GT447 GR446:GT446 GR455:GS458 GR442:GT442 GR444:GS445 GR454:GT454 GR439:GS441 GR443:GT443 GR435:GT435 GR434:GT434 GR437:GS437 GR438:GT438 GR430:GT430 GR429:GT429 GR428:GT428 GR427:GT427 GR426:GT426 GR425:GT425 GR424:GT424 GR423:GT423 GR422:GT422 GR432:GS432 GR413:GT413 GR412:GT412 GR411:GT411 GR410:GT410 GR409:GT409 GR408:GT408 GR407:GT407 GR406:GT406 GR405:GT405 GR404:GT404 GR403:GT403 GR417:GS419 GR399:GS402 GR414:GT414 GR394:GT394 GR393:GT393 GR392:GT392 GR391:GT391 GR390:GT390 GR396:GS397 GR398:GT398 GR386:GT386 GR385:GT385 GR384:GT384 GR388:GS389 GR395:GT395 GR307:GT307 GR309:GS383 GR387:GT387 GR306:GS306 GR308:GT308 GR303:GS304 GR305:GT305 GR290:GS291 GR279:GT279 GR281:GS284 GR276:GT276 GR278:GS278 GR280:GT280 GR274:GS275 GR263:GT263 GR262:GT262 GR261:GT261 GR260:GT260 GR259:GT259 GR265:GS269 GR257:GS258 GR264:GT264 GR242:GT242 GR244:GS251 GR239:GT239 GR241:GS241 GR243:GT243 GR237:GS238 GR230:GT230 GR227:GT227 GR232:GS232 GR225:GS226 GR228:GT228 GR209:GT209 GR208:GT208 GR211:GS220 GR205:GT205 GR207:GS207 GR210:GT210 GR204:GS204 GR197:GT197 GR194:GT194 GR199:GS199 GR192:GS193 GR195:GT195 GR162:GT162 GR164:GS184 GR159:GT159 GR161:GS161 GR163:GT163 GR155:GT155 GR154:GT154 GR157:GS158 GR160:GT160 GR151:GT151 GR150:GT150 GR149:GT149 GR148:GT148 GR153:GS153 GR156:GT156 GR144:GT144 GR143:GT143 GR142:GT142 GR146:GS147 GR152:GT152 GR128:GT128 GR130:GS135 GR136:GS141 GR125:GT125 GR127:GS127 GR129:GT129 GR123:GS124 GR116:GT116 GR113:GT113 GR118:GS118 GR111:GS112 GR114:GT114 GR96:GT96 GR98:GS106 GR93:GT93 GR95:GS95 GR97:GT97 GR91:GS92 GR84:GT84 GR81:GT81 GR86:GS86 GR79:GS80 GR82:GT82 GR58:GT58 GR60:GS74 GR55:GT55 GR57:GS57 GR59:GT59 GR54:GS54 GR48:GT48 GS50 GR43:GS44 GR45:GT45 GR37:GS38 GR28:GT28 GR27:GT27 GR31:GS31 GR18:GT18 GR17:GT17 GR20:GS21 GR14:GT14 GR16:GS16 GR19:GT19 GR11:GT11 GR10:GT10 GR9:GT9 GR8:GT8 GR7:GT7 GR13:GS13 GR15:GT15 GR461:GT461 GR436:GT436 GR416:GT416 GR431:GT431 GR420:GS421 GR302:GT302 GR297:GS300 GR289:GT289 GR277:GT277 GR271:GS271 GR256:GT256 GR240:GT240 GR234:GS234 GR231:GT231 GS224:GT224 GR206:GT206 GR201:GS201 GR198:GT198 GR191:GT191 GR186:GS187 GR126:GT126 GS120 GR117:GT117 GR110:GT110 GR94:GT94 GR88:GS88 GR85:GT85 GR78:GT78 GR56:GT56 GR52:GS52 GR49:GT49 GR42:GT42 GR39:GT39 GR35:GT35 GR32:GT32 GR29:GT29 GR23:GS24 GR12:GT12 GR145:GT145 GM540:GM547 GJ540:GK547 GJ548:GM548 GM534:GM537 GJ534:GK537 GJ538:GM539 GM531 GJ531:GK531 GJ532:GM533 GM521:GM526 GJ521:GK526 GJ527:GM530 GM519 GJ519:GK519 GJ520:GM520 GM507:GM516 GJ507:GK516 GJ517:GM518 GM505 GJ505:GK505 GJ506:GM506 GR484:GT484 GR465:GT465 GR459:GT459 GM460:GM464 GJ460:GK464 GR433:GT433 GM434:GM458 GJ434:GK458 GJ459:GM459 GR415:GT415 GM416:GM419 GJ416:GK419 GM422:GM432 GM420:GM421 GR301:GT301 GM302:GM414 GJ302:GK414 GJ415:GM415 GS296:GT296 GR295:GT295 GJ295:GM295 GR294:GT294 GJ294:GM294 GR293:GT293 GJ293:GM293 GR292:GT292 GJ292:GM292 GM297:GM300 GJ297:GK300 GR288:GT288 GR287:GT287 GJ287:GM287 GR286:GT286 GJ286:GM286 GR285:GT285 GJ285:GM285 GM289:GM291 GJ289:GK291 GJ296:GK296 GR273:GT273 GR272:GT272 GJ272:GM272 GM274:GM284 GJ274:GK284 GJ288:GM288 GR270:GT270 GM271 GJ271:GK271 GJ273:GM273 GR255:GS255 GR254:GT254 GJ254:GM254 GR253:GT253 GJ253:GM253 GR252:GT252 GJ252:GM252 GM256:GM269 GJ256:GK269 GJ270:GM270 GR236:GT236 GR235:GT235 GJ235:GM235 GM237:GM251 GJ237:GK251 GJ255:GM255 GS233:GT233 GM234 GJ234:GK234 GJ236:GM236 GR229:GT229 GM230:GM232 GJ230:GK232 GJ233:GK233 GS223:GT223 GS222:GT222 GJ222:GK222 GS221:GT221 GJ221:GK221 GM225:GM228 GJ224:GK228 GJ229:GM229 GR203:GT203 GR202:GT202 GJ202:GM202 GM204:GM220 GJ204:GK220 GJ223:GK223 GS200:GT200 GM201 GJ201:GK201 GJ203:GM203 GR196:GT196 GM197:GM199 GJ197:GK199 GJ200:GM200 GR190:GT190 GR189:GT189 GJ189:GM189 GR188:GT188 GJ188:GM188 GM191:GM195 GJ191:GK195 GJ196:GM196 GR185:GS185 GM186:GM187 GJ186:GK187 GJ190:GM190 GS122:GT122 GS121:GT121 GJ121:GM121 GM123:GM135 GJ123:GK135 GS119:GT119 GM120 GJ120:GK120 GJ122:GM122 GR115:GT115 GM116:GM118 GJ116:GK118 GJ119:GM119 GR109:GT109 GR108:GT108 GJ108:GM108 GR107:GT107 GJ107:GM107 GM110:GM114 GJ110:GK114 GJ115:GM115 GR90:GT90 GR89:GT89 GJ89:GK89 GM91:GM106 GJ91:GK106 GJ109:GM109 GR87:GT87 GJ88:GK88 GJ90:GM90 GR83:GT83 GM84:GM86 GJ84:GK86 GJ87:GK87 GR77:GT77 GR76:GT76 GJ76:GM76 GR75:GT75 GJ75:GM75 GM78:GM82 GJ78:GK82 GJ83:GM83 GR53:GT53 GM54:GM74 GJ54:GK74 GJ77:GM77 GS51:GT51 GM52 GJ52:GK52 GJ53:GM53 GR47:GT47 GR46:GT46 GJ46:GM46 GM48:GM49 GJ48:GK50 GJ51:GK51 GR41:GT41 GS40:GT40 GJ40:GK40 GM42:GM45 GJ42:GK45 GJ47:GM47 GR36:GT36 GM37:GM39 GJ37:GK39 GJ41:GM41 GR34:GT34 GR33:GT33 GJ33:GM33 GM35 GJ35:GK35 GJ36:GM36 GR30:GT30 GM31:GM32 GJ31:GK32 GJ34:GM34 GR26:GT26 GR25:GT25 GJ25:GM25 GM27:GM29 GJ27:GK29 GJ30:GM30 GR22:GT22 GM23:GM24 GJ23:GK24 GJ26:GM26 GJ550:GK550 GJ301:GM301 GJ549:GK549 GJ495:GK495 GJ422:GK432 GJ465:GM465 GJ7:GK21 GJ22:GM22 GM7:GM21 EK7:ER21 GR495:GT495 GR496:GS500 GR510:GT510 GR559:GT559 GR485:GT485 GR560:GT560 GR549:GT549 GR468:GT468 GR471:GT471 GM136:GM184 GJ136:GK184 GS472:GT472 GJ551:GK551 GJ552:GK558 GJ420:GK421 GH420:GH421 GJ433:GM433 GM495 GM496:GM500 GJ496:GK500 GJ501:GM504 GJ185:GM185 EK136:ER150 EK465:ER465 GJ472:GK472 GM466:GM470 GJ466:GK470 GJ476:GK481 GJ482:GM483 GJ485:GK487 GH495 GJ560:GK637 GH550 GJ559:GM559 GJ474:GK474 GJ475:GM475 GJ473:GK473 GJ484:GM484 GJ471:GM471 EK466:ER470 GM476:GM481 EK476:ER481 EK482:ER483 GM485:GM494 EK485:ER494 EK495:ER548 GM560:GM637 EK560:ER637 GM549:GM558 EK549:ER558 EK559:ER559 GM474 EK474:ER474 GR480:GT480 EK475:ER475 GR473:GT473 EK473:ER473 EK484:ER484 EK22:ER32 GN473:GN483 GL474 GL549:GL558 GL560:GL637 GL485:GL494 GL476:GL481 ES466:GG637 GL466:GL470 GH472:GI474 GO472:GO473 ES136:GG165 GL496:GL500 GL495 GI420:GI421 GH551:GI551 GQ472:GQ473 GL136:GL184 GN466:GQ471 GO474:GQ483 GN485:GQ637 GL7:GL21 ES7:GI135 ES465:GI465 GH484:GI484 GH422:GI432 GI495 GH496:GI548 GH549:GI549 GH433:GI464 GH301:GI419 GH552:GI558 GH466:GI471 GI550 GH475:GI483 GH485:GI494 GH559:GI637 GH136:GI165 GL23:GL24 GN22:GQ22 GL27:GL29 GN25:GQ25 GN26:GQ26 GL31:GL32 GN30:GQ30 GL35 GN33:GQ33 GN34:GQ34 GL37:GL39 GN36:GQ36 GL42:GL45 GN41:GQ41 GL48:GL49 GN46:GQ46 GN47:GQ47 GL52 GL54:GL74 GN53:GQ53 GL78:GL82 GN75:GQ75 GN76:GQ76 GN77:GQ77 GL84:GL86 GN83:GQ83 GO87:GP87 GL91:GL106 GO89:GQ89 GN90:GQ90 GL110:GL114 GN107:GQ107 GN108:GQ108 GN109:GQ109 GL116:GL118 GN115:GQ115 GL120 GN119:GQ119 GL123:GL135 GN121:GQ121 GN122:GQ122 GL186:GL187 GN185:GQ185 GL191:GL195 GN188:GQ188 GN189:GQ189 GN190:GQ190 GL197:GL199 GN196:GQ196 GL201 GN200:GR200 GL204:GL220 GN202:GQ202 GN203:GQ203 GL225:GL228 GL230:GL232 GN229:GQ229 GL234 GL237:GL251 GN235:GQ235 GN236:GQ236 GL256:GL269 GN252:GQ252 GN253:GQ253 GN254:GQ254 GN255:GQ255 GL271 GN270:GQ270 GL274:GL284 GN272:GQ272 GN273:GQ273 GL289:GL291 GN285:GQ285 GN286:GQ286 GN287:GQ287 GN288:GQ288 GL297:GL300 GN292:GQ292 GN293:GQ293 GN294:GQ294 GN295:GQ295 GL302:GL414 GN301:GQ301 GL416:GL432 GN415:GQ415 GL434:GL458 GN433:GQ433 GL460:GL464 GN459:GQ459 GN465:GQ465 GN484:GQ484 GL505 GL507:GL516 GL519 GL521:GL526 GL531 GL534:GL537 GL540:GL547 GN136:GQ184 GN7:GQ21 GN23:GQ24 GN27:GQ29 GN31:GQ32 GN35:GQ35 GN37:GQ39 GN42:GQ45 GN48:GQ49 GN52:GQ52 GN54:GQ74 GN78:GQ82 GN84:GQ86 GO88:GQ88 GN91:GQ106 GN110:GQ114 GN116:GQ118 GN120:GQ120 GN123:GQ135 GN186:GQ187 GN191:GQ195 GN197:GQ199 GN201:GQ201 GN204:GQ220 GN225:GQ228 GN230:GQ232 GN234:GQ234 GN237:GQ251 GN256:GQ269 GN271:GQ271 GN274:GQ284 GN289:GQ291 GN297:GQ300 GN302:GQ414 GN416:GQ432 GN434:GQ458 GN460:GQ464 GT13:GV13 GU7:GV7 GU8:GV8 GU9:GV9 GU10:GV10 GU11:GV11 GU12:GV12 GT16:GV16 GU14:GV14 GU15:GV15 GT20:GV21 GU17:GV17 GU18:GV18 GU19:GV19 GT23:GV24 GU22:GV22 GT31:GV31 GU25:GV25 GU26:GV26 GU27:GV27 GU28:GV28 GU29:GV29 GU30:GV30 GT37:GV38 GU32:GV32 GU33:GV33 GU34:GV34 GU35:GV35 GU36:GV36 GT43:GV44 GU39:GV39 GU40:GV40 GU41:GV41 GU42:GV42 GT50:GV50 GU45:GV45 GU46:GV46 GU47:GV47 GU48:GV48 GU49:GV49 GT52:GV52 GU51:GV51 GT54:GV54 GU53:GV53 GT57:GV57 GU55:GV55 GU56:GV56 GT60:GV74 GU58:GV58 GU59:GV59 GT79:GV80 GU75:GV75 GU76:GV76 GU77:GV77 GU78:GV78 GT86:GV86 GU81:GV81 GU82:GV82 GU83:GV83 GU84:GV84 GU85:GV85 GT88:GV88 GU87:GV87 GT91:GV92 GU89:GV89 GU90:GV90 GT95:GV95 GU93:GV93 GU94:GV94 GT98:GV106 GU96:GV96 GU97:GV97 GT111:GV112 GU107:GV107 GU108:GV108 GU109:GV109 GU110:GV110 GT118:GV118 GU113:GV113 GU114:GV114 GU115:GV115 GU116:GV116 GU117:GV117 GT120:GV120 GU119:GV119 GT123:GV124 GU121:GV121 GU122:GV122 GT127:GV127 GU125:GV125 GU126:GV126 GT130:GV141 GU128:GV128 GU129:GV129 GT146:GV147 GU142:GV142 GU143:GV143 GU144:GV144 GU145:GV145 GT153:GV153 GU148:GV148 GU149:GV149 GU150:GV150 GU151:GV151 GU152:GV152 GT157:GV158 GU154:GV154 GU155:GV155 GU156:GV156 GT161:GV161 GU159:GV159 GU160:GV160 GT164:GV187 GU162:GV162 GU163:GV163 GT192:GV193 GU188:GV188 GU189:GV189 GU190:GV190 GU191:GV191 GT199:GV199 GU194:GV194 GU195:GV195 GU196:GV196 GU197:GV197 GU198:GV198 GT201:GV201 GU200:GV200 GT204:GV204 GU202:GV202 GU203:GV203 GT207:GV207 GU205:GV205 GU206:GV206 GT211:GV220 GU208:GV208 GU209:GV209 GU210:GV210 GT225:GV226 GU221:GV221 GU222:GV222 GU223:GV223 GU224:GV224 GT232:GV232 GU227:GV227 GU228:GV228 GU229:GV229 GU230:GV230 GU231:GV231 GT234:GV234 GU233:GV233 GT237:GV238 GU235:GV235 GU236:GV236 GT241:GV241 GU239:GV239 GU240:GV240 GT244:GV251 GU242:GV242 GU243:GV243 GT255:GV255 GU252:GV252 GU253:GV253 GU254:GV254 GT257:GV258 GU256:GV256 GT265:GV269 GU259:GV259 GU260:GV260 GU261:GV261 GU262:GV262 GU263:GV263 GU264:GV264 GT271:GV271 GU270:GV270 GT274:GV275 GU272:GV272 GU273:GV273 GT278:GV278 GU276:GV276 GU277:GV277 GT281:GV284 GU279:GV279 GU280:GV280 GT290:GV291 GU285:GV285 GU286:GV286 GU287:GV287 GU288:GV288 GU289:GV289 GT297:GV300 GU292:GV292 GU293:GV293 GU294:GV294 GU295:GV295 GU296:GV296 GT303:GV304 GU301:GV301 GU302:GV302 GT306:GV306 GU305:GV305 GT309:GV383 GU307:GV307 GU308:GV308 GT388:GV389 GU384:GV384 GU385:GV385 GU386:GV386 GU387:GV387 GT396:GV397 GU390:GV390 GU391:GV391 GU392:GV392 GU393:GV393 GU394:GV394 GU395:GV395 GT399:GV402 GU398:GV398 GT417:GV421 GU403:GV403 GU404:GV404 GU405:GV405 GU406:GV406 GU407:GV407 GU408:GV408 GU409:GV409 GU410:GV410 GU411:GV411 GU412:GV412 GU413:GV413 GU414:GV414 GU415:GV415 GU416:GV416 GT432:GV432 GU422:GV422 GU423:GV423 GU424:GV424 GU425:GV425 GU426:GV426 GU427:GV427 GU428:GV428 GU429:GV429 GU430:GV430 GU431:GV431 GT437:GV437 GU433:GV433 GU434:GV434 GU435:GV435 GU436:GV436 GT439:GV441 GU438:GV438 GT444:GV445 GU442:GV442 GU443:GV443 GT455:GV458 GU446:GV446 GU447:GV447 GU448:GV448 GU449:GV449 GU450:GV450 GU451:GV451 GU452:GV452 GU453:GV453 GU454:GV454 GT462:GV464 GU459:GV459 GU460:GV460 GU461:GV461 GT469:GV469 GU465:GV465 GU466:GV466 GU467:GV467 GU468:GV468 GT474:GV478 GU470:GV470 GU471:GV471 GU472:GV472 GU473:GV473 GT481:GV481 GU479:GV479 GU480:GV480 GT486:GV487 GU482:GV482 GU483:GV483 GU484:GV484 GU485:GV485 GT492:GV492 GU488:GV488 GU489:GV489 GU490:GV490 GU491:GV491 GT494:GV494 GU493:GV493 GT496:GV500 GU495:GV495 GT511:GV516 GU501:GV501 GU502:GV502 GU503:GV503 GU504:GV504 GU505:GV505 GU506:GV506 GU507:GV507 GU508:GV508 GU509:GV509 GU510:GV510 GT524:GV525 GU517:GV517 GU518:GV518 GU519:GV519 GU520:GV520 GU521:GV521 GU522:GV522 GU523:GV523 GT534:GV535 GU526:GV526 GU527:GV527 GU528:GV528 GU529:GV529 GU530:GV530 GU531:GV531 GU532:GV532 GU533:GV533 GT540:GV541 GU536:GV536 GU537:GV537 GU538:GV538 GU539:GV539 GT550:GV552 GU542:GV542 GU543:GV543 GU544:GV544 GU545:GV545 GU546:GV546 GU547:GV547 GU548:GV548 GU549:GV549 GT561:GV637 GU553:GV553 GU554:GV554 GU555:GV555 GU556:GV556 GU557:GV557 GU558:GV558 GU559:GV559 GU560:GV560 GT638:GV638 GH638:GI638 GN638:GQ638 EJ88:EJ89 ES638:GG638 GL638 EI7 EI638 GM638 GJ638:GK638 EI91:EI92 EI88:EI89 GR638:GS638 EI561:EI637 EI560 EI559 EI558 EI557 EI556 EI555 EI554 EI553 EI551 EI549 EI548 EI547 EI546 EI545 EI544 EI543 EI542 EI540:EI541 EI539 EI538 EI537 EI536 EI534:EI535 EI533 EI532 EI531 EI530 EI529 EI528 EI527 EI526 EI524:EI525 EI523 EI522 EI521 EI520 EI519 EI518 EI517 EI511:EI516 EI510 EI509 EI508 EI507 EI506 EI505 EI504 EI503 EI502 EI501 EI496:EI500 EI495 EI494 EI493 EI492 EI491 EI490 EI489 EI488 EI486:EI487 EI485 EI484 EI483 EI482 EI481 EI480 EI479 EI474 EI473 EI472 EI471 EI470 EI469 EI468 EI467 EI466 EI465 EI462:EI464 EI461 EI460 EI459 EI455:EI458 EI454 EI453 EI452 EI451 EI450 EI449 EI448 EI447 EI446 EI444:EI445 EI443 EI442 EI439:EI441 EI438 EI437 EI436 EI435 EI434 EI433 EI432 EI431 EI430 EI429 EI428 EI427 EI426 EI425 EI424 EI423 EI422 EI420:EI421 EI416 EI415 EI414 EI413 EI412 EI411 EI410 EI409 EI408 EI407 EI406 EI405 EI404 EI403 EI399:EI402 EI398 EI396:EI397 EI395 EI394 EI393 EI392 EI391 EI390 EI388:EI389 EI387 EI386 EI385 EI384 EI309:EI383 EI308 EI307 EI306 EI305 EI303:EI304 EI302 EI301 EI297:EI300 EI296 EI295 EI294 EI293 EI292 EI290:EI291 EI289 EI288 EI287 EI286 EI285 EI281:EI284 EI280 EI279 EI278 EI277 EI276 EI274:EI275 EI273 EI272 EI271 EI270 EI265:EI269 EI264 EI263 EI262 EI261 EI260 EI259 EI257:EI258 EI256 EI255 EI254 EI253 EI252 EI247 EI243 EI242 EI241 EI240 EI239 EI237:EI238 EI236 EI235 EI234 EI233 EI232 EI231 EI230 EI229 EI228 EI227 EI225:EI226 EI224 EI223 EI222 EI221 EI211:EI220 EI210 EI209 EI208 EI207 EI206 EI205 EI204 EI203 EI202 EI201 EI200 EI199 EI198 EI197 EI196 EI195 EI194 EI192:EI193 EI191 EI190 EI189 EI188 EI185 EI163 EI162 EI161 EI160 EI159 EI157:EI158 EI156 EI155 EI154 EI153 EI152 EI151 EI150 EI149 EI148 EI146:EI147 EI145 EI144 EI143 EI142 EI136:EI141 EI129 EI128 EI127 EI126 EI125 EI123:EI124 EI122 EI121 EI120 EI119 EI118 EI117 EI116 EI115 EI114 EI113 EI111:EI112 EI110 EI109 EI108 EI107 EI98:EI106 EI97 EI96 EI95 EI94 EI93 EI90 EI87 EI86 EI85 EI84 EI83 EI82 EI81 EI79:EI80 EI78 EI77 EI76 EI75 EI60:EI74 EI59 EI58 EI57 EI56 EI55 EI54 EI53 EI52 EI51 EI50 EI49 EI48 EI47 EI46 EI45 EI43:EI44 EI42 EI41 EI40 EI39 EI37:EI38 EI36 EI35 EI34 EI33 EI32 EI31 EI30 EI29 EI28 EI27 EI26 EI25 EI23:EI24 EI22 EI20:EI21 EI19 EI18 EI17 EI16 EI15 EI14 EI13 EI12 EI11 EI10 EI9 EI8 EI186:EI187 EI130:EI135 EI168 EI164:EI165 EI476:EI478 EI550 EI552 EI417:EI419 GP473 GL473 EI475 EQ36 EK121 EK115 EI172 EI169 EI166 EI167 EI177 EI173:EI175 EI170 EI171 EI181 EI178:EI179 EI176 EI182:EI184 EI180 EI244:EI246 EI248:EI251 EK87 EK36 EK33 EK434 EK638:ER638 EL119:ER119 EL202:ER202 EK287:ER287 ER286 EP286 EN286 EL286 EK286 EM286 EO286 EQ286 EL288:ER288 EK272:ER272 EG519:EG526 EG518 EG527:EG530 EP296 EO296 EQ296 ER122 ER51 EK186:ER187 EL185:ER185 EK472:ER472 EL471:ER471 EN4 EP4 ER4 HC4:JZ6 HC13:JZ13 HC7:JZ7 HC8:JZ8 HC9:JZ9 HC10:JZ10 HC11:JZ11 HC12:JZ12 HC16:JZ16 HC14:JZ14 HC15:JZ15 HC20:JZ21 HC17:JZ17 HC18:JZ18 HC19:JZ19 HC23:JZ24 HC22:JZ22 HC31:JZ31 HC25:JZ25 HC26:JZ26 HC27:JZ27 HC28:JZ28 HC29:JZ29 HC30:JZ30 HC37:JZ38 HC32:JZ32 HC33:JZ33 HC34:JZ34 HC35:JZ35 HC36:JZ36 HC43:JZ44 HC39:JZ39 HC40:JZ40 HC41:JZ41 HC42:JZ42 HC50:JZ50 HC45:JZ45 HC46:JZ46 HC47:JZ47 HC48:JZ48 HC49:JZ49 HC52:JZ52 HC51:JZ51 HC54:JZ54 HC53:JZ53 HC57:JZ57 HC55:JZ55 HC56:JZ56 HC60:JZ74 HC58:JZ58 HC59:JZ59 HC79:JZ80 HC75:JZ75 HC76:JZ76 HC77:JZ77 HC78:JZ78 HC86:JZ86 HC81:JZ81 HC82:JZ82 HC83:JZ83 HC84:JZ84 HC85:JZ85 HC88:JZ88 HC87:JZ87 HC91:JZ92 HC89:JZ89 HC90:JZ90 HC95:JZ95 HC93:JZ93 HC94:JZ94 HC98:JZ106 HC96:JZ96 HC97:JZ97 HC111:JZ112 HC107:JZ107 HC108:JZ108 HC109:JZ109 HC110:JZ110 HC118:JZ118 HC113:JZ113 HC114:JZ114 HC115:JZ115 HC116:JZ116 HC117:JZ117 HC120:JZ120 HC119:JZ119 HC123:JZ124 HC121:JZ121 HC122:JZ122 HC127:JZ127 HC125:JZ125 HC126:JZ126 HC130:JZ141 HC128:JZ128 HC129:JZ129 HC146:JZ147 HC142:JZ142 HC143:JZ143 HC144:JZ144 HC145:JZ145 HC153:JZ153 HC148:JZ148 HC149:JZ149 HC150:JZ150 HC151:JZ151 HC152:JZ152 HC157:JZ158 HC154:JZ154 HC155:JZ155 HC156:JZ156 HC161:JZ161 HC159:JZ159 HC160:JZ160 HC164:JZ187 HC162:JZ162 HC163:JZ163 HC192:JZ193 HC188:JZ188 HC189:JZ189 HC190:JZ190 HC191:JZ191 HC199:JZ199 HC194:JZ194 HC195:JZ195 HC196:JZ196 HC197:JZ197 HC198:JZ198 HC201:JZ201 HC200:JZ200 HC204:JZ204 HC202:JZ202 HC203:JZ203 HC207:JZ207 HC205:JZ205 HC206:JZ206 HC211:JZ220 HC208:JZ208 HC209:JZ209 HC210:JZ210 HC225:JZ226 HC221:JZ221 HC222:JZ222 HC223:JZ223 HC224:JZ224 HC232:JZ232 HC227:JZ227 HC228:JZ228 HC229:JZ229 HC230:JZ230 HC231:JZ231 HC234:JZ234 HC233:JZ233 HC237:JZ238 HC235:JZ235 HC236:JZ236 HC241:JZ241 HC239:JZ239 HC240:JZ240 HC244:JZ251 HC242:JZ242 HC243:JZ243 HC255:JZ255 HC252:JZ252 HC253:JZ253 HC254:JZ254 HC257:JZ258 HC256:JZ256 HC265:JZ269 HC259:JZ259 HC260:JZ260 HC261:JZ261 HC262:JZ262 HC263:JZ263 HC264:JZ264 HC271:JZ271 HC270:JZ270 HC274:JZ275 HC272:JZ272 HC273:JZ273 HC278:JZ278 HC276:JZ276 HC277:JZ277 HC281:JZ284 HC279:JZ279 HC280:JZ280 HC290:JZ291 HC285:JZ285 HC286:JZ286 HC287:JZ287 HC288:JZ288 HC289:JZ289 HC297:JZ300 HC292:JZ292 HC293:JZ293 HC294:JZ294 HC295:JZ295 HC296:JZ296 HC303:JZ304 HC301:JZ301 HC302:JZ302 HC306:JZ306 HC305:JZ305 HC309:JZ383 HC307:JZ307 HC308:JZ308 HC388:JZ389 HC384:JZ384 HC385:JZ385 HC386:JZ386 HC387:JZ387 HC396:JZ397 HC390:JZ390 HC391:JZ391 HC392:JZ392 HC393:JZ393 HC394:JZ394 HC395:JZ395 HC399:JZ402 HC398:JZ398 HC417:JZ421 HC403:JZ403 HC404:JZ404 HC405:JZ405 HC406:JZ406 HC407:JZ407 HC408:JZ408 HC409:JZ409 HC410:JZ410 HC411:JZ411 HC412:JZ412 HC413:JZ413 HC414:JZ414 HC415:JZ415 HC416:JZ416 HC432:JZ432 HC422:JZ422 HC423:JZ423 HC424:JZ424 HC425:JZ425 HC426:JZ426 HC427:JZ427 HC428:JZ428 HC429:JZ429 HC430:JZ430 HC431:JZ431 HC437:JZ437 HC433:JZ433 HC434:JZ434 HC435:JZ435 HC436:JZ436 HC439:JZ441 HC438:JZ438 HC444:JZ445 HC442:JZ442 HC443:JZ443 HC455:JZ458 HC446:JZ446 HC447:JZ447 HC448:JZ448 HC449:JZ449 HC450:JZ450 HC451:JZ451 HC452:JZ452 HC453:JZ453 HC454:JZ454 HC462:JZ464 HC459:JZ459 HC460:JZ460 HC461:JZ461 HC469:JZ469 HC465:JZ465 HC466:JZ466 HC467:JZ467 HC468:JZ468 HC474:JZ478 HC470:JZ470 HC471:JZ471 HC472:JZ472 HC473:JZ473 HC481:JZ481 HC479:JZ479 HC480:JZ480 HC486:JZ487 HC482:JZ482 HC483:JZ483 HC484:JZ484 HC485:JZ485 HC492:JZ492 HC488:JZ488 HC489:JZ489 HC490:JZ490 HC491:JZ491 HC494:JZ494 HC493:JZ493 HC496:JZ500 HC495:JZ495 HC511:JZ516 HC501:JZ501 HC502:JZ502 HC503:JZ503 HC504:JZ504 HC505:JZ505 HC506:JZ506 HC507:JZ507 HC508:JZ508 HC509:JZ509 HC510:JZ510 HC524:JZ525 HC517:JZ517 HC518:JZ518 HC519:JZ519 HC520:JZ520 HC521:JZ521 HC522:JZ522 HC523:JZ523 HC534:JZ535 HC526:JZ526 HC527:JZ527 HC528:JZ528 HC529:JZ529 HC530:JZ530 HC531:JZ531 HC532:JZ532 HC533:JZ533 HC540:JZ541 HC536:JZ536 HC537:JZ537 HC538:JZ538 HC539:JZ539 HC550:JZ552 HC542:JZ542 HC543:JZ543 HC544:JZ544 HC545:JZ545 HC546:JZ546 HC547:JZ547 HC548:JZ548 HC549:JZ549 HC561:JZ637 HC553:JZ553 HC554:JZ554 HC555:JZ555 HC556:JZ556 HC557:JZ557 HC558:JZ558 HC559:JZ559 HC560:JZ560 HC638:JZ638" formula="1"/>
    <ignoredError sqref="GB6:GD6 GF6 GE6" numberStoredAsText="1" formula="1"/>
    <ignoredError sqref="GH6" numberStoredAsText="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GH410"/>
  <sheetViews>
    <sheetView workbookViewId="0">
      <pane xSplit="1" ySplit="5" topLeftCell="DR6" activePane="bottomRight" state="frozen"/>
      <selection pane="topRight" activeCell="B1" sqref="B1"/>
      <selection pane="bottomLeft" activeCell="A6" sqref="A6"/>
      <selection pane="bottomRight" activeCell="DR6" sqref="DR6"/>
    </sheetView>
  </sheetViews>
  <sheetFormatPr defaultRowHeight="12.75" customHeight="1" outlineLevelRow="2" outlineLevelCol="2" x14ac:dyDescent="0.2"/>
  <cols>
    <col min="1" max="1" width="37.85546875" style="9" customWidth="1"/>
    <col min="2" max="2" width="7.42578125" style="9" hidden="1" customWidth="1" outlineLevel="1"/>
    <col min="3" max="3" width="7.42578125" style="431" hidden="1" customWidth="1" outlineLevel="1"/>
    <col min="4" max="4" width="7.42578125" style="9" hidden="1" customWidth="1" outlineLevel="1"/>
    <col min="5" max="5" width="7.42578125" style="431" hidden="1" customWidth="1" outlineLevel="1"/>
    <col min="6" max="6" width="7.42578125" style="9" hidden="1" customWidth="1" outlineLevel="1"/>
    <col min="7" max="7" width="7.42578125" style="431" hidden="1" customWidth="1" outlineLevel="1"/>
    <col min="8" max="8" width="7.42578125" style="9" hidden="1" customWidth="1" outlineLevel="1"/>
    <col min="9" max="9" width="7.42578125" style="431" hidden="1" customWidth="1" outlineLevel="1"/>
    <col min="10" max="10" width="7.42578125" style="9" hidden="1" customWidth="1" outlineLevel="1"/>
    <col min="11" max="11" width="7.42578125" style="431" hidden="1" customWidth="1" outlineLevel="1"/>
    <col min="12" max="12" width="7.42578125" style="9" hidden="1" customWidth="1" outlineLevel="1"/>
    <col min="13" max="13" width="7.42578125" style="431" hidden="1" customWidth="1" outlineLevel="1"/>
    <col min="14" max="14" width="7.42578125" style="9" hidden="1" customWidth="1" outlineLevel="1"/>
    <col min="15" max="15" width="7.42578125" style="431" hidden="1" customWidth="1" outlineLevel="1"/>
    <col min="16" max="16" width="7.42578125" style="9" hidden="1" customWidth="1" outlineLevel="1"/>
    <col min="17" max="17" width="7.42578125" style="431" hidden="1" customWidth="1" outlineLevel="1"/>
    <col min="18" max="18" width="7.42578125" style="9" hidden="1" customWidth="1" outlineLevel="1"/>
    <col min="19" max="19" width="7.42578125" style="431" hidden="1" customWidth="1" outlineLevel="1"/>
    <col min="20" max="20" width="7.42578125" style="9" hidden="1" customWidth="1" outlineLevel="1" collapsed="1"/>
    <col min="21" max="21" width="7.42578125" style="431" hidden="1" customWidth="1" outlineLevel="1"/>
    <col min="22" max="22" width="7.42578125" style="9" hidden="1" customWidth="1" outlineLevel="1" collapsed="1"/>
    <col min="23" max="23" width="7.42578125" style="431" hidden="1" customWidth="1" outlineLevel="1"/>
    <col min="24" max="24" width="7.42578125" style="9" hidden="1" customWidth="1" outlineLevel="1" collapsed="1"/>
    <col min="25" max="25" width="7.42578125" style="431" hidden="1" customWidth="1" outlineLevel="1"/>
    <col min="26" max="26" width="7.42578125" style="9" hidden="1" customWidth="1" outlineLevel="1"/>
    <col min="27" max="27" width="7.42578125" style="431" hidden="1" customWidth="1" outlineLevel="1"/>
    <col min="28" max="28" width="7.42578125" style="9" hidden="1" customWidth="1" outlineLevel="1"/>
    <col min="29" max="29" width="7.42578125" style="431" hidden="1" customWidth="1" outlineLevel="1"/>
    <col min="30" max="30" width="7.42578125" style="9" hidden="1" customWidth="1" outlineLevel="1"/>
    <col min="31" max="31" width="7.42578125" style="431" hidden="1" customWidth="1" outlineLevel="1"/>
    <col min="32" max="32" width="7.42578125" style="9" hidden="1" customWidth="1" outlineLevel="1"/>
    <col min="33" max="33" width="7.42578125" style="431" hidden="1" customWidth="1" outlineLevel="1"/>
    <col min="34" max="34" width="7.42578125" style="9" hidden="1" customWidth="1" outlineLevel="1"/>
    <col min="35" max="35" width="7.42578125" style="431" hidden="1" customWidth="1" outlineLevel="1"/>
    <col min="36" max="36" width="7.42578125" style="9" hidden="1" customWidth="1" outlineLevel="1"/>
    <col min="37" max="37" width="7.42578125" style="431" hidden="1" customWidth="1" outlineLevel="1"/>
    <col min="38" max="38" width="7.42578125" style="9" hidden="1" customWidth="1" outlineLevel="1"/>
    <col min="39" max="39" width="7.42578125" style="431" hidden="1" customWidth="1" outlineLevel="1"/>
    <col min="40" max="40" width="7.42578125" style="9" hidden="1" customWidth="1" outlineLevel="1"/>
    <col min="41" max="41" width="7.42578125" style="431" hidden="1" customWidth="1" outlineLevel="1"/>
    <col min="42" max="42" width="7.42578125" style="9" hidden="1" customWidth="1" outlineLevel="1"/>
    <col min="43" max="43" width="7.42578125" style="431" hidden="1" customWidth="1" outlineLevel="1"/>
    <col min="44" max="44" width="7.42578125" style="9" hidden="1" customWidth="1" outlineLevel="1"/>
    <col min="45" max="45" width="7.42578125" style="431" hidden="1" customWidth="1" outlineLevel="1"/>
    <col min="46" max="46" width="7.42578125" style="9" hidden="1" customWidth="1" outlineLevel="1"/>
    <col min="47" max="47" width="7.42578125" style="431" hidden="1" customWidth="1" outlineLevel="1"/>
    <col min="48" max="48" width="7.42578125" style="9" hidden="1" customWidth="1" outlineLevel="1"/>
    <col min="49" max="49" width="7.42578125" style="431" hidden="1" customWidth="1" outlineLevel="1"/>
    <col min="50" max="50" width="7.42578125" style="9" hidden="1" customWidth="1" outlineLevel="1"/>
    <col min="51" max="51" width="7.42578125" style="431" hidden="1" customWidth="1" outlineLevel="1"/>
    <col min="52" max="52" width="7.42578125" style="9" hidden="1" customWidth="1" outlineLevel="1"/>
    <col min="53" max="53" width="7.42578125" style="431" hidden="1" customWidth="1" outlineLevel="1"/>
    <col min="54" max="54" width="7.42578125" style="9" hidden="1" customWidth="1" outlineLevel="1"/>
    <col min="55" max="55" width="7.42578125" style="431" hidden="1" customWidth="1" outlineLevel="1"/>
    <col min="56" max="56" width="7.42578125" style="9" hidden="1" customWidth="1" outlineLevel="1"/>
    <col min="57" max="57" width="7.42578125" style="431" hidden="1" customWidth="1" outlineLevel="1"/>
    <col min="58" max="58" width="7.42578125" style="9" hidden="1" customWidth="1" outlineLevel="1"/>
    <col min="59" max="59" width="7.42578125" style="431" hidden="1" customWidth="1" outlineLevel="1"/>
    <col min="60" max="60" width="7.42578125" style="9" hidden="1" customWidth="1" outlineLevel="1"/>
    <col min="61" max="61" width="7.42578125" style="431" hidden="1" customWidth="1" outlineLevel="1"/>
    <col min="62" max="62" width="7.42578125" style="9" hidden="1" customWidth="1" outlineLevel="1"/>
    <col min="63" max="63" width="7.42578125" style="431" hidden="1" customWidth="1" outlineLevel="1"/>
    <col min="64" max="64" width="7.42578125" style="9" hidden="1" customWidth="1" outlineLevel="1"/>
    <col min="65" max="65" width="7.42578125" style="431" hidden="1" customWidth="1" outlineLevel="1"/>
    <col min="66" max="66" width="7.42578125" style="9" hidden="1" customWidth="1" outlineLevel="1" collapsed="1"/>
    <col min="67" max="67" width="7.42578125" style="431" hidden="1" customWidth="1" outlineLevel="1"/>
    <col min="68" max="68" width="7.42578125" style="9" hidden="1" customWidth="1" outlineLevel="1"/>
    <col min="69" max="69" width="7.42578125" style="431" hidden="1" customWidth="1" outlineLevel="1"/>
    <col min="70" max="70" width="7.42578125" style="9" hidden="1" customWidth="1" outlineLevel="1"/>
    <col min="71" max="71" width="7.42578125" style="431" hidden="1" customWidth="1" outlineLevel="1"/>
    <col min="72" max="72" width="7.42578125" style="9" hidden="1" customWidth="1" outlineLevel="1"/>
    <col min="73" max="73" width="7.42578125" style="431" hidden="1" customWidth="1" outlineLevel="1"/>
    <col min="74" max="74" width="7.42578125" style="9" hidden="1" customWidth="1" outlineLevel="1" collapsed="1"/>
    <col min="75" max="75" width="7.42578125" style="431" hidden="1" customWidth="1" outlineLevel="1"/>
    <col min="76" max="76" width="7.42578125" style="9" hidden="1" customWidth="1" outlineLevel="1" collapsed="1"/>
    <col min="77" max="77" width="7.42578125" style="431" hidden="1" customWidth="1" outlineLevel="1"/>
    <col min="78" max="78" width="7.42578125" style="9" hidden="1" customWidth="1" outlineLevel="1" collapsed="1"/>
    <col min="79" max="79" width="7.42578125" style="431" hidden="1" customWidth="1" outlineLevel="1"/>
    <col min="80" max="80" width="7.42578125" style="9" hidden="1" customWidth="1" outlineLevel="1" collapsed="1"/>
    <col min="81" max="81" width="7.42578125" style="431" hidden="1" customWidth="1" outlineLevel="1"/>
    <col min="82" max="82" width="7.42578125" style="9" hidden="1" customWidth="1" outlineLevel="1" collapsed="1"/>
    <col min="83" max="83" width="7.42578125" style="431" hidden="1" customWidth="1" outlineLevel="1"/>
    <col min="84" max="84" width="7.42578125" style="9" hidden="1" customWidth="1" outlineLevel="1" collapsed="1"/>
    <col min="85" max="85" width="7.42578125" style="431" hidden="1" customWidth="1" outlineLevel="1"/>
    <col min="86" max="86" width="7.42578125" style="9" hidden="1" customWidth="1" outlineLevel="1" collapsed="1"/>
    <col min="87" max="87" width="7.42578125" style="431" hidden="1" customWidth="1" outlineLevel="1"/>
    <col min="88" max="88" width="7.42578125" style="9" hidden="1" customWidth="1" outlineLevel="1" collapsed="1"/>
    <col min="89" max="89" width="7.42578125" style="431" hidden="1" customWidth="1" outlineLevel="1"/>
    <col min="90" max="90" width="7.42578125" style="9" hidden="1" customWidth="1" outlineLevel="1" collapsed="1"/>
    <col min="91" max="91" width="7.42578125" style="431" hidden="1" customWidth="1" outlineLevel="1"/>
    <col min="92" max="92" width="7.42578125" style="9" hidden="1" customWidth="1" outlineLevel="1" collapsed="1"/>
    <col min="93" max="93" width="7.42578125" style="431" hidden="1" customWidth="1" outlineLevel="1"/>
    <col min="94" max="94" width="7.42578125" style="9" hidden="1" customWidth="1" outlineLevel="1" collapsed="1"/>
    <col min="95" max="95" width="0.85546875" style="431" hidden="1" customWidth="1" outlineLevel="1"/>
    <col min="96" max="96" width="7.42578125" style="9" hidden="1" customWidth="1" outlineLevel="1" collapsed="1"/>
    <col min="97" max="97" width="7.42578125" style="431" hidden="1" customWidth="1" outlineLevel="1"/>
    <col min="98" max="98" width="7.42578125" style="9" hidden="1" customWidth="1" outlineLevel="1"/>
    <col min="99" max="99" width="7.42578125" style="431" hidden="1" customWidth="1" outlineLevel="1"/>
    <col min="100" max="100" width="7.42578125" style="9" hidden="1" customWidth="1" outlineLevel="1"/>
    <col min="101" max="101" width="7.42578125" style="431" hidden="1" customWidth="1" outlineLevel="1"/>
    <col min="102" max="102" width="7.42578125" style="9" hidden="1" customWidth="1" outlineLevel="1"/>
    <col min="103" max="103" width="7.42578125" style="431" hidden="1" customWidth="1" outlineLevel="1"/>
    <col min="104" max="104" width="7.42578125" style="9" hidden="1" customWidth="1" outlineLevel="1"/>
    <col min="105" max="105" width="7.42578125" style="431" hidden="1" customWidth="1" outlineLevel="1"/>
    <col min="106" max="106" width="7.42578125" style="9" hidden="1" customWidth="1" outlineLevel="1"/>
    <col min="107" max="107" width="7.42578125" style="431" hidden="1" customWidth="1" outlineLevel="1"/>
    <col min="108" max="108" width="7.42578125" style="9" hidden="1" customWidth="1" outlineLevel="1" collapsed="1"/>
    <col min="109" max="109" width="7.42578125" style="431" hidden="1" customWidth="1" outlineLevel="1"/>
    <col min="110" max="110" width="7.42578125" style="9" hidden="1" customWidth="1" outlineLevel="1" collapsed="1"/>
    <col min="111" max="111" width="7.42578125" style="431" hidden="1" customWidth="1" outlineLevel="1"/>
    <col min="112" max="112" width="7.42578125" style="9" hidden="1" customWidth="1" outlineLevel="1" collapsed="1"/>
    <col min="113" max="113" width="7.42578125" style="431" hidden="1" customWidth="1" outlineLevel="1"/>
    <col min="114" max="114" width="7.42578125" style="9" hidden="1" customWidth="1" outlineLevel="1" collapsed="1"/>
    <col min="115" max="115" width="7.42578125" style="431" hidden="1" customWidth="1" outlineLevel="1"/>
    <col min="116" max="116" width="7.42578125" style="9" hidden="1" customWidth="1" outlineLevel="1" collapsed="1"/>
    <col min="117" max="117" width="7.42578125" style="431" hidden="1" customWidth="1" outlineLevel="1"/>
    <col min="118" max="118" width="7.42578125" style="9" hidden="1" customWidth="1" outlineLevel="1" collapsed="1"/>
    <col min="119" max="119" width="7.42578125" style="431" hidden="1" customWidth="1" outlineLevel="1"/>
    <col min="120" max="120" width="7.42578125" style="9" hidden="1" customWidth="1" outlineLevel="1" collapsed="1"/>
    <col min="121" max="121" width="7.42578125" style="431" hidden="1" customWidth="1" outlineLevel="1"/>
    <col min="122" max="122" width="7.42578125" style="9" customWidth="1" collapsed="1"/>
    <col min="123" max="123" width="7.42578125" style="431" hidden="1" customWidth="1" outlineLevel="1"/>
    <col min="124" max="124" width="7.42578125" style="9" customWidth="1" collapsed="1"/>
    <col min="125" max="125" width="7.42578125" style="431" hidden="1" customWidth="1" outlineLevel="1"/>
    <col min="126" max="126" width="7.42578125" style="9" customWidth="1" collapsed="1"/>
    <col min="127" max="127" width="7.42578125" style="431" hidden="1" customWidth="1" outlineLevel="1"/>
    <col min="128" max="128" width="7.42578125" style="9" customWidth="1" collapsed="1"/>
    <col min="129" max="129" width="7.42578125" style="431" hidden="1" customWidth="1" outlineLevel="1"/>
    <col min="130" max="130" width="7.42578125" style="9" customWidth="1" collapsed="1"/>
    <col min="131" max="131" width="7.42578125" style="431" customWidth="1" outlineLevel="1"/>
    <col min="132" max="132" width="7.42578125" style="9" customWidth="1"/>
    <col min="133" max="133" width="7.42578125" style="431" hidden="1" customWidth="1" outlineLevel="1"/>
    <col min="134" max="134" width="7.42578125" style="9" customWidth="1" collapsed="1"/>
    <col min="135" max="135" width="7.42578125" style="431" hidden="1" customWidth="1" outlineLevel="1"/>
    <col min="136" max="136" width="7.42578125" style="9" customWidth="1" collapsed="1"/>
    <col min="137" max="137" width="7.42578125" style="431" hidden="1" customWidth="1" outlineLevel="1"/>
    <col min="138" max="138" width="0.85546875" style="9" customWidth="1" collapsed="1"/>
    <col min="139" max="139" width="7.42578125" style="9" hidden="1" customWidth="1" outlineLevel="1"/>
    <col min="140" max="140" width="7.42578125" style="431" hidden="1" customWidth="1" outlineLevel="1"/>
    <col min="141" max="141" width="7.42578125" style="9" hidden="1" customWidth="1" outlineLevel="1"/>
    <col min="142" max="142" width="7.42578125" style="431" hidden="1" customWidth="1" outlineLevel="1"/>
    <col min="143" max="143" width="7.42578125" style="9" hidden="1" customWidth="1" outlineLevel="1"/>
    <col min="144" max="144" width="7.42578125" style="431" hidden="1" customWidth="1" outlineLevel="1"/>
    <col min="145" max="145" width="7.42578125" style="9" hidden="1" customWidth="1" outlineLevel="1"/>
    <col min="146" max="146" width="7.42578125" style="431" hidden="1" customWidth="1" outlineLevel="1"/>
    <col min="147" max="147" width="7.42578125" style="9" hidden="1" customWidth="1" outlineLevel="1"/>
    <col min="148" max="148" width="7.42578125" style="431" hidden="1" customWidth="1" outlineLevel="1"/>
    <col min="149" max="149" width="7.42578125" style="9" hidden="1" customWidth="1" outlineLevel="1"/>
    <col min="150" max="150" width="7.42578125" style="431" hidden="1" customWidth="1" outlineLevel="1"/>
    <col min="151" max="151" width="7.42578125" style="9" hidden="1" customWidth="1" outlineLevel="1"/>
    <col min="152" max="152" width="7.42578125" style="431" hidden="1" customWidth="1" outlineLevel="1"/>
    <col min="153" max="153" width="7.42578125" style="9" hidden="1" customWidth="1" outlineLevel="1"/>
    <col min="154" max="154" width="7.42578125" style="431" hidden="1" customWidth="1" outlineLevel="1"/>
    <col min="155" max="155" width="7.42578125" style="9" hidden="1" customWidth="1" outlineLevel="1"/>
    <col min="156" max="156" width="7.42578125" style="431" hidden="1" customWidth="1" outlineLevel="1"/>
    <col min="157" max="157" width="7.42578125" style="9" hidden="1" customWidth="1" outlineLevel="1" collapsed="1"/>
    <col min="158" max="158" width="7.42578125" style="431" hidden="1" customWidth="1" outlineLevel="1"/>
    <col min="159" max="159" width="7.42578125" style="9" hidden="1" customWidth="1" outlineLevel="1"/>
    <col min="160" max="160" width="7.42578125" style="431" hidden="1" customWidth="1" outlineLevel="1"/>
    <col min="161" max="161" width="7.42578125" style="9" hidden="1" customWidth="1" outlineLevel="1"/>
    <col min="162" max="162" width="7.42578125" style="431" hidden="1" customWidth="1" outlineLevel="1"/>
    <col min="163" max="163" width="7.42578125" style="9" hidden="1" customWidth="1" outlineLevel="1"/>
    <col min="164" max="164" width="7.42578125" style="431" hidden="1" customWidth="1" outlineLevel="1"/>
    <col min="165" max="165" width="7.42578125" style="9" hidden="1" customWidth="1" outlineLevel="1"/>
    <col min="166" max="166" width="7.42578125" style="431" hidden="1" customWidth="1" outlineLevel="2"/>
    <col min="167" max="167" width="7.42578125" style="9" customWidth="1" collapsed="1"/>
    <col min="168" max="168" width="7.42578125" style="431" hidden="1" customWidth="1" outlineLevel="1"/>
    <col min="169" max="169" width="7.42578125" style="9" customWidth="1" collapsed="1"/>
    <col min="170" max="170" width="7.42578125" style="431" hidden="1" customWidth="1" outlineLevel="1"/>
    <col min="171" max="171" width="7.42578125" style="9" customWidth="1" collapsed="1"/>
    <col min="172" max="172" width="7.42578125" style="431" customWidth="1" outlineLevel="1"/>
    <col min="173" max="173" width="7.42578125" style="9" customWidth="1"/>
    <col min="174" max="174" width="7.42578125" style="431" customWidth="1" outlineLevel="1"/>
    <col min="175" max="175" width="7.42578125" style="9" customWidth="1"/>
    <col min="176" max="176" width="7.42578125" style="431" hidden="1" customWidth="1" outlineLevel="1"/>
    <col min="177" max="177" width="7.42578125" style="9" customWidth="1" collapsed="1"/>
    <col min="178" max="178" width="7.42578125" style="431" hidden="1" customWidth="1" outlineLevel="1"/>
    <col min="179" max="179" width="7.42578125" style="9" customWidth="1" collapsed="1"/>
    <col min="180" max="180" width="7.42578125" style="431" hidden="1" customWidth="1" outlineLevel="1"/>
    <col min="181" max="181" width="7.42578125" style="9" customWidth="1" collapsed="1"/>
    <col min="182" max="182" width="7.42578125" style="431" hidden="1" customWidth="1" outlineLevel="1"/>
    <col min="183" max="183" width="7.42578125" style="431" customWidth="1" collapsed="1"/>
    <col min="184" max="186" width="9.140625" style="9"/>
    <col min="187" max="187" width="9.140625" style="9" collapsed="1"/>
    <col min="188" max="189" width="9.140625" style="9"/>
    <col min="190" max="190" width="9.140625" style="9" collapsed="1"/>
    <col min="191" max="16384" width="9.140625" style="9"/>
  </cols>
  <sheetData>
    <row r="1" spans="1:183" s="707" customFormat="1" ht="21.95" customHeight="1" x14ac:dyDescent="0.25">
      <c r="A1" s="663" t="str">
        <f>INPUT!$B$4</f>
        <v>Unum Group</v>
      </c>
      <c r="B1" s="664"/>
      <c r="C1" s="665"/>
      <c r="D1" s="664"/>
      <c r="E1" s="666"/>
      <c r="F1" s="664"/>
      <c r="G1" s="666"/>
      <c r="H1" s="664"/>
      <c r="I1" s="666"/>
      <c r="J1" s="664"/>
      <c r="K1" s="666"/>
      <c r="L1" s="664"/>
      <c r="M1" s="666"/>
      <c r="N1" s="664"/>
      <c r="O1" s="666"/>
      <c r="P1" s="664"/>
      <c r="Q1" s="666"/>
      <c r="R1" s="664"/>
      <c r="S1" s="666"/>
      <c r="T1" s="664"/>
      <c r="U1" s="666"/>
      <c r="V1" s="664"/>
      <c r="W1" s="666"/>
      <c r="X1" s="664"/>
      <c r="Y1" s="666"/>
      <c r="Z1" s="664"/>
      <c r="AA1" s="666"/>
      <c r="AB1" s="664"/>
      <c r="AC1" s="666"/>
      <c r="AD1" s="664"/>
      <c r="AE1" s="666"/>
      <c r="AF1" s="664"/>
      <c r="AG1" s="666"/>
      <c r="AH1" s="664"/>
      <c r="AI1" s="666"/>
      <c r="AJ1" s="664"/>
      <c r="AK1" s="666"/>
      <c r="AL1" s="664"/>
      <c r="AM1" s="666"/>
      <c r="AN1" s="664"/>
      <c r="AO1" s="667"/>
      <c r="AP1" s="664"/>
      <c r="AQ1" s="667"/>
      <c r="AR1" s="664"/>
      <c r="AS1" s="667"/>
      <c r="AT1" s="664"/>
      <c r="AU1" s="667"/>
      <c r="AV1" s="664"/>
      <c r="AW1" s="667"/>
      <c r="AX1" s="664"/>
      <c r="AY1" s="667"/>
      <c r="AZ1" s="664"/>
      <c r="BA1" s="667"/>
      <c r="BB1" s="664"/>
      <c r="BC1" s="667"/>
      <c r="BD1" s="664"/>
      <c r="BE1" s="667"/>
      <c r="BF1" s="664"/>
      <c r="BG1" s="667"/>
      <c r="BH1" s="664"/>
      <c r="BI1" s="667"/>
      <c r="BJ1" s="664"/>
      <c r="BK1" s="667"/>
      <c r="BL1" s="664"/>
      <c r="BM1" s="667"/>
      <c r="BN1" s="664"/>
      <c r="BO1" s="667"/>
      <c r="BP1" s="664"/>
      <c r="BQ1" s="667"/>
      <c r="BR1" s="664"/>
      <c r="BS1" s="667"/>
      <c r="BT1" s="664"/>
      <c r="BU1" s="667"/>
      <c r="BV1" s="664"/>
      <c r="BW1" s="667"/>
      <c r="BX1" s="664"/>
      <c r="BY1" s="667"/>
      <c r="BZ1" s="664"/>
      <c r="CA1" s="667"/>
      <c r="CB1" s="664"/>
      <c r="CC1" s="667"/>
      <c r="CD1" s="664"/>
      <c r="CE1" s="667"/>
      <c r="CF1" s="664"/>
      <c r="CG1" s="667"/>
      <c r="CH1" s="664"/>
      <c r="CI1" s="667"/>
      <c r="CJ1" s="664"/>
      <c r="CK1" s="667"/>
      <c r="CL1" s="664"/>
      <c r="CM1" s="667"/>
      <c r="CN1" s="664"/>
      <c r="CO1" s="667"/>
      <c r="CP1" s="664"/>
      <c r="CQ1" s="667"/>
      <c r="CR1" s="664"/>
      <c r="CS1" s="667"/>
      <c r="CT1" s="664"/>
      <c r="CU1" s="667"/>
      <c r="CV1" s="664"/>
      <c r="CW1" s="667"/>
      <c r="CX1" s="664"/>
      <c r="CY1" s="667"/>
      <c r="CZ1" s="664"/>
      <c r="DA1" s="667"/>
      <c r="DB1" s="664"/>
      <c r="DC1" s="667"/>
      <c r="DD1" s="664"/>
      <c r="DE1" s="667"/>
      <c r="DF1" s="664"/>
      <c r="DG1" s="667"/>
      <c r="DH1" s="664"/>
      <c r="DI1" s="667"/>
      <c r="DJ1" s="664"/>
      <c r="DK1" s="667"/>
      <c r="DL1" s="664"/>
      <c r="DM1" s="667"/>
      <c r="DN1" s="664"/>
      <c r="DO1" s="667"/>
      <c r="DP1" s="664"/>
      <c r="DQ1" s="667"/>
      <c r="DR1" s="664"/>
      <c r="DS1" s="667"/>
      <c r="DT1" s="664"/>
      <c r="DU1" s="667"/>
      <c r="DV1" s="664"/>
      <c r="DW1" s="667"/>
      <c r="DX1" s="664"/>
      <c r="DY1" s="667"/>
      <c r="DZ1" s="664"/>
      <c r="EA1" s="667"/>
      <c r="EB1" s="664"/>
      <c r="EC1" s="667"/>
      <c r="ED1" s="664"/>
      <c r="EE1" s="667"/>
      <c r="EF1" s="664"/>
      <c r="EG1" s="667"/>
      <c r="EH1" s="667"/>
      <c r="EI1" s="664"/>
      <c r="EJ1" s="666"/>
      <c r="EK1" s="664"/>
      <c r="EL1" s="666"/>
      <c r="EM1" s="664"/>
      <c r="EN1" s="666"/>
      <c r="EO1" s="664"/>
      <c r="EP1" s="666"/>
      <c r="EQ1" s="664"/>
      <c r="ER1" s="667"/>
      <c r="ES1" s="664"/>
      <c r="ET1" s="667"/>
      <c r="EU1" s="664"/>
      <c r="EV1" s="667"/>
      <c r="EW1" s="664"/>
      <c r="EX1" s="667"/>
      <c r="EY1" s="664"/>
      <c r="EZ1" s="667"/>
      <c r="FA1" s="664"/>
      <c r="FB1" s="667"/>
      <c r="FC1" s="664"/>
      <c r="FD1" s="667"/>
      <c r="FE1" s="664"/>
      <c r="FF1" s="667"/>
      <c r="FG1" s="664"/>
      <c r="FH1" s="667"/>
      <c r="FI1" s="664"/>
      <c r="FJ1" s="667"/>
      <c r="FK1" s="664"/>
      <c r="FL1" s="667"/>
      <c r="FM1" s="664"/>
      <c r="FN1" s="667"/>
      <c r="FO1" s="664"/>
      <c r="FP1" s="667"/>
      <c r="FQ1" s="664"/>
      <c r="FR1" s="667"/>
      <c r="FS1" s="664"/>
      <c r="FT1" s="667"/>
      <c r="FU1" s="664"/>
      <c r="FV1" s="667"/>
      <c r="FW1" s="664"/>
      <c r="FX1" s="667"/>
      <c r="FY1" s="664"/>
      <c r="FZ1" s="667"/>
      <c r="GA1" s="666"/>
    </row>
    <row r="2" spans="1:183" s="707" customFormat="1" ht="12.75" customHeight="1" x14ac:dyDescent="0.2">
      <c r="A2" s="668" t="s">
        <v>287</v>
      </c>
      <c r="B2" s="664"/>
      <c r="C2" s="665"/>
      <c r="D2" s="664"/>
      <c r="E2" s="666"/>
      <c r="F2" s="664"/>
      <c r="G2" s="666"/>
      <c r="H2" s="664"/>
      <c r="I2" s="666"/>
      <c r="J2" s="664"/>
      <c r="K2" s="666"/>
      <c r="L2" s="664"/>
      <c r="M2" s="666"/>
      <c r="N2" s="664"/>
      <c r="O2" s="666"/>
      <c r="P2" s="664"/>
      <c r="Q2" s="666"/>
      <c r="R2" s="664"/>
      <c r="S2" s="666"/>
      <c r="T2" s="664"/>
      <c r="U2" s="666"/>
      <c r="V2" s="664"/>
      <c r="W2" s="666"/>
      <c r="X2" s="664"/>
      <c r="Y2" s="666"/>
      <c r="Z2" s="664"/>
      <c r="AA2" s="666"/>
      <c r="AB2" s="664"/>
      <c r="AC2" s="666"/>
      <c r="AD2" s="664"/>
      <c r="AE2" s="666"/>
      <c r="AF2" s="664"/>
      <c r="AG2" s="666"/>
      <c r="AH2" s="664"/>
      <c r="AI2" s="666"/>
      <c r="AJ2" s="664"/>
      <c r="AK2" s="666"/>
      <c r="AL2" s="664"/>
      <c r="AM2" s="666"/>
      <c r="AN2" s="664"/>
      <c r="AO2" s="667"/>
      <c r="AP2" s="664"/>
      <c r="AQ2" s="667"/>
      <c r="AR2" s="664"/>
      <c r="AS2" s="667"/>
      <c r="AT2" s="664"/>
      <c r="AU2" s="667"/>
      <c r="AV2" s="664"/>
      <c r="AW2" s="667"/>
      <c r="AX2" s="664"/>
      <c r="AY2" s="667"/>
      <c r="AZ2" s="664"/>
      <c r="BA2" s="667"/>
      <c r="BB2" s="664"/>
      <c r="BC2" s="667"/>
      <c r="BD2" s="664"/>
      <c r="BE2" s="667"/>
      <c r="BF2" s="664"/>
      <c r="BG2" s="667"/>
      <c r="BH2" s="664"/>
      <c r="BI2" s="667"/>
      <c r="BJ2" s="664"/>
      <c r="BK2" s="667"/>
      <c r="BL2" s="664"/>
      <c r="BM2" s="667"/>
      <c r="BN2" s="664"/>
      <c r="BO2" s="667"/>
      <c r="BP2" s="664"/>
      <c r="BQ2" s="667"/>
      <c r="BR2" s="664"/>
      <c r="BS2" s="667"/>
      <c r="BT2" s="664"/>
      <c r="BU2" s="667"/>
      <c r="BV2" s="664"/>
      <c r="BW2" s="667"/>
      <c r="BX2" s="664"/>
      <c r="BY2" s="667"/>
      <c r="BZ2" s="664"/>
      <c r="CA2" s="667"/>
      <c r="CB2" s="664"/>
      <c r="CC2" s="667"/>
      <c r="CD2" s="664"/>
      <c r="CE2" s="667"/>
      <c r="CF2" s="664"/>
      <c r="CG2" s="667"/>
      <c r="CH2" s="664"/>
      <c r="CI2" s="667"/>
      <c r="CJ2" s="664"/>
      <c r="CK2" s="667"/>
      <c r="CL2" s="664"/>
      <c r="CM2" s="667"/>
      <c r="CN2" s="664"/>
      <c r="CO2" s="667"/>
      <c r="CP2" s="664"/>
      <c r="CQ2" s="667"/>
      <c r="CR2" s="664"/>
      <c r="CS2" s="667"/>
      <c r="CT2" s="664"/>
      <c r="CU2" s="667"/>
      <c r="CV2" s="664"/>
      <c r="CW2" s="667"/>
      <c r="CX2" s="664"/>
      <c r="CY2" s="667"/>
      <c r="CZ2" s="664"/>
      <c r="DA2" s="667"/>
      <c r="DB2" s="664"/>
      <c r="DC2" s="667"/>
      <c r="DD2" s="664"/>
      <c r="DE2" s="667"/>
      <c r="DF2" s="664"/>
      <c r="DG2" s="667"/>
      <c r="DH2" s="664"/>
      <c r="DI2" s="667"/>
      <c r="DJ2" s="664"/>
      <c r="DK2" s="667"/>
      <c r="DL2" s="664"/>
      <c r="DM2" s="667"/>
      <c r="DN2" s="664"/>
      <c r="DO2" s="667"/>
      <c r="DP2" s="664"/>
      <c r="DQ2" s="667"/>
      <c r="DR2" s="664"/>
      <c r="DS2" s="667"/>
      <c r="DT2" s="664"/>
      <c r="DU2" s="667"/>
      <c r="DV2" s="664"/>
      <c r="DW2" s="667"/>
      <c r="DX2" s="664"/>
      <c r="DY2" s="667"/>
      <c r="DZ2" s="664"/>
      <c r="EA2" s="667"/>
      <c r="EB2" s="664"/>
      <c r="EC2" s="667"/>
      <c r="ED2" s="664"/>
      <c r="EE2" s="667"/>
      <c r="EF2" s="664"/>
      <c r="EG2" s="667"/>
      <c r="EH2" s="667"/>
      <c r="EI2" s="664"/>
      <c r="EJ2" s="666"/>
      <c r="EK2" s="664"/>
      <c r="EL2" s="666"/>
      <c r="EM2" s="664"/>
      <c r="EN2" s="666"/>
      <c r="EO2" s="664"/>
      <c r="EP2" s="666"/>
      <c r="EQ2" s="664"/>
      <c r="ER2" s="667"/>
      <c r="ES2" s="664"/>
      <c r="ET2" s="667"/>
      <c r="EU2" s="664"/>
      <c r="EV2" s="667"/>
      <c r="EW2" s="664"/>
      <c r="EX2" s="667"/>
      <c r="EY2" s="664"/>
      <c r="EZ2" s="667"/>
      <c r="FA2" s="664"/>
      <c r="FB2" s="667"/>
      <c r="FC2" s="664"/>
      <c r="FD2" s="667"/>
      <c r="FE2" s="664"/>
      <c r="FF2" s="667"/>
      <c r="FG2" s="664"/>
      <c r="FH2" s="667"/>
      <c r="FI2" s="664"/>
      <c r="FJ2" s="667"/>
      <c r="FK2" s="664"/>
      <c r="FL2" s="667"/>
      <c r="FM2" s="664"/>
      <c r="FN2" s="667"/>
      <c r="FO2" s="664"/>
      <c r="FP2" s="667"/>
      <c r="FQ2" s="664"/>
      <c r="FR2" s="667"/>
      <c r="FS2" s="664"/>
      <c r="FT2" s="667"/>
      <c r="FU2" s="664"/>
      <c r="FV2" s="667"/>
      <c r="FW2" s="664"/>
      <c r="FX2" s="667"/>
      <c r="FY2" s="664"/>
      <c r="FZ2" s="667"/>
      <c r="GA2" s="666"/>
    </row>
    <row r="3" spans="1:183" s="702" customFormat="1" ht="12.75" customHeight="1" x14ac:dyDescent="0.2">
      <c r="A3" s="979" t="s">
        <v>465</v>
      </c>
      <c r="B3" s="980"/>
      <c r="C3" s="981" t="str">
        <f>INPUT!N$4</f>
        <v>1Q02/</v>
      </c>
      <c r="D3" s="980"/>
      <c r="E3" s="981" t="str">
        <f>INPUT!P$4</f>
        <v>2Q02/</v>
      </c>
      <c r="F3" s="980"/>
      <c r="G3" s="981" t="str">
        <f>INPUT!R$4</f>
        <v>3Q02/</v>
      </c>
      <c r="H3" s="980"/>
      <c r="I3" s="981" t="str">
        <f>INPUT!T$4</f>
        <v>4Q02/</v>
      </c>
      <c r="J3" s="980"/>
      <c r="K3" s="981" t="str">
        <f>INPUT!V$4</f>
        <v>1Q03/</v>
      </c>
      <c r="L3" s="980"/>
      <c r="M3" s="981" t="str">
        <f>INPUT!X$4</f>
        <v>2Q03/</v>
      </c>
      <c r="N3" s="980"/>
      <c r="O3" s="981" t="str">
        <f>INPUT!Z$4</f>
        <v>3Q03/</v>
      </c>
      <c r="P3" s="980"/>
      <c r="Q3" s="981" t="str">
        <f>INPUT!AB$4</f>
        <v>4Q03/</v>
      </c>
      <c r="R3" s="980"/>
      <c r="S3" s="981" t="str">
        <f>INPUT!AD$4</f>
        <v>1Q04/</v>
      </c>
      <c r="T3" s="980"/>
      <c r="U3" s="981" t="str">
        <f>INPUT!AF$4</f>
        <v>2Q04/</v>
      </c>
      <c r="V3" s="980"/>
      <c r="W3" s="981" t="str">
        <f>INPUT!AH$4</f>
        <v>3Q04/</v>
      </c>
      <c r="X3" s="980"/>
      <c r="Y3" s="981" t="str">
        <f>INPUT!AJ$4</f>
        <v>4Q04/</v>
      </c>
      <c r="Z3" s="980"/>
      <c r="AA3" s="981" t="str">
        <f>INPUT!AL$4</f>
        <v>1Q05/</v>
      </c>
      <c r="AB3" s="980"/>
      <c r="AC3" s="981" t="str">
        <f>INPUT!AN$4</f>
        <v>2Q05/</v>
      </c>
      <c r="AD3" s="980"/>
      <c r="AE3" s="981" t="str">
        <f>INPUT!AP$4</f>
        <v>3Q05/</v>
      </c>
      <c r="AF3" s="980"/>
      <c r="AG3" s="981" t="str">
        <f>INPUT!AR$4</f>
        <v>4Q05/</v>
      </c>
      <c r="AH3" s="980"/>
      <c r="AI3" s="981" t="str">
        <f>INPUT!AT$4</f>
        <v>1Q06/</v>
      </c>
      <c r="AJ3" s="980"/>
      <c r="AK3" s="981" t="str">
        <f>INPUT!AV$4</f>
        <v>2Q06/</v>
      </c>
      <c r="AL3" s="980"/>
      <c r="AM3" s="981" t="str">
        <f>INPUT!AX$4</f>
        <v>3Q06/</v>
      </c>
      <c r="AN3" s="980"/>
      <c r="AO3" s="982" t="str">
        <f>INPUT!AZ$4</f>
        <v>4Q06/</v>
      </c>
      <c r="AP3" s="980"/>
      <c r="AQ3" s="982" t="str">
        <f>INPUT!BB$4</f>
        <v>1Q07/</v>
      </c>
      <c r="AR3" s="980"/>
      <c r="AS3" s="982" t="str">
        <f>INPUT!BD$4</f>
        <v>2Q07/</v>
      </c>
      <c r="AT3" s="980"/>
      <c r="AU3" s="982" t="str">
        <f>INPUT!BF$4</f>
        <v>3Q07/</v>
      </c>
      <c r="AV3" s="980"/>
      <c r="AW3" s="982" t="str">
        <f>INPUT!BH$4</f>
        <v>4Q07/</v>
      </c>
      <c r="AX3" s="980"/>
      <c r="AY3" s="982" t="str">
        <f>INPUT!BJ$4</f>
        <v>1Q08/</v>
      </c>
      <c r="AZ3" s="980"/>
      <c r="BA3" s="982" t="str">
        <f>INPUT!BL$4</f>
        <v>2Q08/</v>
      </c>
      <c r="BB3" s="980"/>
      <c r="BC3" s="982" t="str">
        <f>INPUT!BN$4</f>
        <v>3Q08/</v>
      </c>
      <c r="BD3" s="980"/>
      <c r="BE3" s="982" t="str">
        <f>INPUT!BP$4</f>
        <v>4Q08/</v>
      </c>
      <c r="BF3" s="980"/>
      <c r="BG3" s="982" t="str">
        <f>INPUT!BR$4</f>
        <v>1Q09/</v>
      </c>
      <c r="BH3" s="980"/>
      <c r="BI3" s="982" t="str">
        <f>INPUT!BT$4</f>
        <v>2Q09/</v>
      </c>
      <c r="BJ3" s="980"/>
      <c r="BK3" s="982" t="str">
        <f>INPUT!BV$4</f>
        <v>3Q09/</v>
      </c>
      <c r="BL3" s="980"/>
      <c r="BM3" s="982" t="str">
        <f>INPUT!BX$4</f>
        <v>4Q09/</v>
      </c>
      <c r="BN3" s="980"/>
      <c r="BO3" s="982" t="str">
        <f>INPUT!BZ$4</f>
        <v>1Q10/</v>
      </c>
      <c r="BP3" s="980"/>
      <c r="BQ3" s="982" t="str">
        <f>INPUT!CB$4</f>
        <v>2Q10/</v>
      </c>
      <c r="BR3" s="980"/>
      <c r="BS3" s="982" t="str">
        <f>INPUT!CD$4</f>
        <v>3Q10/</v>
      </c>
      <c r="BT3" s="980"/>
      <c r="BU3" s="982">
        <f>INPUT!CF$4</f>
        <v>0</v>
      </c>
      <c r="BV3" s="980"/>
      <c r="BW3" s="982" t="str">
        <f>INPUT!CH$4</f>
        <v>1Q11/</v>
      </c>
      <c r="BX3" s="980"/>
      <c r="BY3" s="982" t="str">
        <f>INPUT!CJ$4</f>
        <v>2Q11/</v>
      </c>
      <c r="BZ3" s="980"/>
      <c r="CA3" s="982" t="str">
        <f>INPUT!CL$4</f>
        <v>3Q11/</v>
      </c>
      <c r="CB3" s="980"/>
      <c r="CC3" s="982" t="str">
        <f>INPUT!CN$4</f>
        <v>4Q11/</v>
      </c>
      <c r="CD3" s="980"/>
      <c r="CE3" s="982" t="str">
        <f>INPUT!CP$4</f>
        <v>1Q12/</v>
      </c>
      <c r="CF3" s="980"/>
      <c r="CG3" s="982" t="str">
        <f>INPUT!CR$4</f>
        <v>2Q12/</v>
      </c>
      <c r="CH3" s="980"/>
      <c r="CI3" s="982" t="str">
        <f>INPUT!CT$4</f>
        <v>3Q12/</v>
      </c>
      <c r="CJ3" s="980"/>
      <c r="CK3" s="982" t="str">
        <f>INPUT!CV$4</f>
        <v>4Q12/</v>
      </c>
      <c r="CL3" s="980"/>
      <c r="CM3" s="982" t="str">
        <f>INPUT!CX$4</f>
        <v>1Q13/</v>
      </c>
      <c r="CN3" s="980"/>
      <c r="CO3" s="982" t="str">
        <f>INPUT!CZ$4</f>
        <v>2Q13/</v>
      </c>
      <c r="CP3" s="980"/>
      <c r="CQ3" s="982" t="str">
        <f>INPUT!DB$4</f>
        <v>3Q13/</v>
      </c>
      <c r="CR3" s="980"/>
      <c r="CS3" s="982" t="str">
        <f>INPUT!DD$4</f>
        <v>4Q13/</v>
      </c>
      <c r="CT3" s="980"/>
      <c r="CU3" s="982" t="str">
        <f>INPUT!DF$4</f>
        <v>1Q14/</v>
      </c>
      <c r="CV3" s="983"/>
      <c r="CW3" s="984" t="str">
        <f>INPUT!DH$4</f>
        <v>2Q14/</v>
      </c>
      <c r="CX3" s="983"/>
      <c r="CY3" s="984" t="str">
        <f>INPUT!DJ$4</f>
        <v>3Q14/</v>
      </c>
      <c r="CZ3" s="983"/>
      <c r="DA3" s="984" t="str">
        <f>INPUT!DL$4</f>
        <v>4Q14/</v>
      </c>
      <c r="DB3" s="983"/>
      <c r="DC3" s="984" t="str">
        <f>INPUT!DN$4</f>
        <v>1Q15/</v>
      </c>
      <c r="DD3" s="983"/>
      <c r="DE3" s="984" t="str">
        <f>INPUT!DP$4</f>
        <v>2Q15/</v>
      </c>
      <c r="DF3" s="983"/>
      <c r="DG3" s="984" t="str">
        <f>INPUT!DR$4</f>
        <v>3Q15/</v>
      </c>
      <c r="DH3" s="983"/>
      <c r="DI3" s="984" t="str">
        <f>INPUT!DT$4</f>
        <v>4Q15/</v>
      </c>
      <c r="DJ3" s="983"/>
      <c r="DK3" s="984" t="str">
        <f>INPUT!DV$4</f>
        <v>1Q16/</v>
      </c>
      <c r="DL3" s="983"/>
      <c r="DM3" s="984" t="str">
        <f>INPUT!DX$4</f>
        <v>2Q16/</v>
      </c>
      <c r="DN3" s="983"/>
      <c r="DO3" s="984" t="str">
        <f>INPUT!DZ$4</f>
        <v>3Q16/</v>
      </c>
      <c r="DP3" s="983"/>
      <c r="DQ3" s="984" t="str">
        <f>INPUT!EB$4</f>
        <v>4Q16/</v>
      </c>
      <c r="DR3" s="983"/>
      <c r="DS3" s="984" t="str">
        <f>INPUT!ED$4</f>
        <v>1Q17/</v>
      </c>
      <c r="DT3" s="983"/>
      <c r="DU3" s="984" t="str">
        <f>INPUT!EF$4</f>
        <v>2Q17/</v>
      </c>
      <c r="DV3" s="983"/>
      <c r="DW3" s="984" t="str">
        <f>INPUT!EH$4</f>
        <v>3Q17/</v>
      </c>
      <c r="DX3" s="983"/>
      <c r="DY3" s="984" t="str">
        <f>INPUT!EJ$4</f>
        <v>4Q17/</v>
      </c>
      <c r="DZ3" s="983"/>
      <c r="EA3" s="984" t="str">
        <f>INPUT!EL$4</f>
        <v>1Q18E/</v>
      </c>
      <c r="EB3" s="983"/>
      <c r="EC3" s="984" t="str">
        <f>INPUT!EN$4</f>
        <v>2Q18E/</v>
      </c>
      <c r="ED3" s="983"/>
      <c r="EE3" s="984" t="str">
        <f>INPUT!EP$4</f>
        <v>3Q18E/</v>
      </c>
      <c r="EF3" s="983"/>
      <c r="EG3" s="984" t="str">
        <f>INPUT!ER$4</f>
        <v>4Q18E/</v>
      </c>
      <c r="EH3" s="984"/>
      <c r="EI3" s="983"/>
      <c r="EJ3" s="985" t="str">
        <f>INPUT!FC$4</f>
        <v>2001/</v>
      </c>
      <c r="EK3" s="983"/>
      <c r="EL3" s="985" t="str">
        <f>INPUT!FE$4</f>
        <v>2002/</v>
      </c>
      <c r="EM3" s="983"/>
      <c r="EN3" s="985" t="str">
        <f>INPUT!FG$4</f>
        <v>2003/</v>
      </c>
      <c r="EO3" s="983"/>
      <c r="EP3" s="985" t="str">
        <f>INPUT!FI$4</f>
        <v>2004/</v>
      </c>
      <c r="EQ3" s="983"/>
      <c r="ER3" s="984" t="str">
        <f>INPUT!FK$4</f>
        <v>2005/</v>
      </c>
      <c r="ES3" s="983"/>
      <c r="ET3" s="984" t="str">
        <f>INPUT!FM$4</f>
        <v>2006/</v>
      </c>
      <c r="EU3" s="983"/>
      <c r="EV3" s="984" t="str">
        <f>INPUT!FO$4</f>
        <v>2007/</v>
      </c>
      <c r="EW3" s="983"/>
      <c r="EX3" s="984" t="str">
        <f>INPUT!FQ$4</f>
        <v>2008/</v>
      </c>
      <c r="EY3" s="983"/>
      <c r="EZ3" s="984" t="str">
        <f>INPUT!FS$4</f>
        <v>2009/</v>
      </c>
      <c r="FA3" s="983"/>
      <c r="FB3" s="984" t="str">
        <f>INPUT!FU$4</f>
        <v>2010/</v>
      </c>
      <c r="FC3" s="983"/>
      <c r="FD3" s="984" t="str">
        <f>INPUT!FW$4</f>
        <v>2011/</v>
      </c>
      <c r="FE3" s="983"/>
      <c r="FF3" s="984" t="str">
        <f>INPUT!FY$4</f>
        <v>2012/</v>
      </c>
      <c r="FG3" s="983"/>
      <c r="FH3" s="984" t="str">
        <f>INPUT!GA$4</f>
        <v>2013/</v>
      </c>
      <c r="FI3" s="983"/>
      <c r="FJ3" s="984" t="str">
        <f>INPUT!GC$4</f>
        <v>2014/</v>
      </c>
      <c r="FK3" s="983"/>
      <c r="FL3" s="984" t="str">
        <f>INPUT!GE$4</f>
        <v>2015/</v>
      </c>
      <c r="FM3" s="983"/>
      <c r="FN3" s="984" t="str">
        <f>INPUT!GG$4</f>
        <v>2016/</v>
      </c>
      <c r="FO3" s="983"/>
      <c r="FP3" s="984" t="str">
        <f>INPUT!GI$4</f>
        <v>2017/</v>
      </c>
      <c r="FQ3" s="983"/>
      <c r="FR3" s="984" t="str">
        <f>INPUT!GK$4</f>
        <v>2018E/</v>
      </c>
      <c r="FS3" s="983"/>
      <c r="FT3" s="984" t="str">
        <f>INPUT!GM$4</f>
        <v>2019E/</v>
      </c>
      <c r="FU3" s="983"/>
      <c r="FV3" s="984" t="str">
        <f>INPUT!GO$4</f>
        <v>2020E/</v>
      </c>
      <c r="FW3" s="983"/>
      <c r="FX3" s="984" t="str">
        <f>INPUT!GQ$4</f>
        <v>2021E/</v>
      </c>
      <c r="FY3" s="983"/>
      <c r="FZ3" s="984" t="str">
        <f>INPUT!GS$4</f>
        <v>2022E/</v>
      </c>
      <c r="GA3" s="986" t="str">
        <f>INPUT!GT$5</f>
        <v>5-Yr</v>
      </c>
    </row>
    <row r="4" spans="1:183" s="702" customFormat="1" ht="12.75" customHeight="1" x14ac:dyDescent="0.2">
      <c r="A4" s="987"/>
      <c r="B4" s="664"/>
      <c r="C4" s="665" t="str">
        <f>INPUT!N$5</f>
        <v>1Q01</v>
      </c>
      <c r="D4" s="664"/>
      <c r="E4" s="665" t="str">
        <f>INPUT!P$5</f>
        <v>2Q01</v>
      </c>
      <c r="F4" s="664"/>
      <c r="G4" s="665" t="str">
        <f>INPUT!R$5</f>
        <v>3Q01</v>
      </c>
      <c r="H4" s="664"/>
      <c r="I4" s="665" t="str">
        <f>INPUT!T$5</f>
        <v>4Q01</v>
      </c>
      <c r="J4" s="664"/>
      <c r="K4" s="665" t="str">
        <f>INPUT!V$5</f>
        <v>1Q02</v>
      </c>
      <c r="L4" s="664"/>
      <c r="M4" s="665" t="str">
        <f>INPUT!X$5</f>
        <v>2Q02</v>
      </c>
      <c r="N4" s="664"/>
      <c r="O4" s="665" t="str">
        <f>INPUT!Z$5</f>
        <v>3Q02</v>
      </c>
      <c r="P4" s="664"/>
      <c r="Q4" s="665" t="str">
        <f>INPUT!AB$5</f>
        <v>4Q02</v>
      </c>
      <c r="R4" s="664"/>
      <c r="S4" s="665" t="str">
        <f>INPUT!AD$5</f>
        <v>1Q03</v>
      </c>
      <c r="T4" s="664"/>
      <c r="U4" s="665" t="str">
        <f>INPUT!AF$5</f>
        <v>2Q03</v>
      </c>
      <c r="V4" s="664"/>
      <c r="W4" s="665" t="str">
        <f>INPUT!AH$5</f>
        <v>3Q03</v>
      </c>
      <c r="X4" s="664"/>
      <c r="Y4" s="665" t="str">
        <f>INPUT!AJ$5</f>
        <v>4Q03</v>
      </c>
      <c r="Z4" s="664"/>
      <c r="AA4" s="665" t="str">
        <f>INPUT!AL$5</f>
        <v>1Q04</v>
      </c>
      <c r="AB4" s="664"/>
      <c r="AC4" s="665" t="str">
        <f>INPUT!AN$5</f>
        <v>2Q04</v>
      </c>
      <c r="AD4" s="664"/>
      <c r="AE4" s="665" t="str">
        <f>INPUT!AP$5</f>
        <v>3Q04</v>
      </c>
      <c r="AF4" s="664"/>
      <c r="AG4" s="665" t="str">
        <f>INPUT!AR$5</f>
        <v>4Q04</v>
      </c>
      <c r="AH4" s="664"/>
      <c r="AI4" s="665" t="str">
        <f>INPUT!AT$5</f>
        <v>1Q05</v>
      </c>
      <c r="AJ4" s="664"/>
      <c r="AK4" s="665" t="str">
        <f>INPUT!AV$5</f>
        <v>2Q05</v>
      </c>
      <c r="AL4" s="664"/>
      <c r="AM4" s="665" t="str">
        <f>INPUT!AX$5</f>
        <v>3Q05</v>
      </c>
      <c r="AN4" s="664"/>
      <c r="AO4" s="667" t="str">
        <f>INPUT!AZ$5</f>
        <v>4Q05</v>
      </c>
      <c r="AP4" s="664"/>
      <c r="AQ4" s="667" t="str">
        <f>INPUT!BB$5</f>
        <v>1Q06</v>
      </c>
      <c r="AR4" s="664"/>
      <c r="AS4" s="667" t="str">
        <f>INPUT!BD$5</f>
        <v>2Q06</v>
      </c>
      <c r="AT4" s="664"/>
      <c r="AU4" s="667" t="str">
        <f>INPUT!BF$5</f>
        <v>3Q06</v>
      </c>
      <c r="AV4" s="664"/>
      <c r="AW4" s="667" t="str">
        <f>INPUT!BH$5</f>
        <v>4Q06</v>
      </c>
      <c r="AX4" s="664"/>
      <c r="AY4" s="667" t="str">
        <f>INPUT!BJ$5</f>
        <v>1Q07</v>
      </c>
      <c r="AZ4" s="664"/>
      <c r="BA4" s="667" t="str">
        <f>INPUT!BL$5</f>
        <v>2Q07</v>
      </c>
      <c r="BB4" s="664"/>
      <c r="BC4" s="667" t="str">
        <f>INPUT!BN$5</f>
        <v>3Q07</v>
      </c>
      <c r="BD4" s="664"/>
      <c r="BE4" s="667" t="str">
        <f>INPUT!BP$5</f>
        <v>4Q07</v>
      </c>
      <c r="BF4" s="664"/>
      <c r="BG4" s="667" t="str">
        <f>INPUT!BR$5</f>
        <v>1Q08</v>
      </c>
      <c r="BH4" s="664"/>
      <c r="BI4" s="667" t="str">
        <f>INPUT!BT$5</f>
        <v>2Q08</v>
      </c>
      <c r="BJ4" s="664"/>
      <c r="BK4" s="667" t="str">
        <f>INPUT!BV$5</f>
        <v>3Q08</v>
      </c>
      <c r="BL4" s="664"/>
      <c r="BM4" s="667" t="str">
        <f>INPUT!BX$5</f>
        <v>4Q08</v>
      </c>
      <c r="BN4" s="664"/>
      <c r="BO4" s="667" t="str">
        <f>INPUT!BZ$5</f>
        <v>1Q09</v>
      </c>
      <c r="BP4" s="664"/>
      <c r="BQ4" s="667" t="str">
        <f>INPUT!CB$5</f>
        <v>2Q09</v>
      </c>
      <c r="BR4" s="664"/>
      <c r="BS4" s="667" t="str">
        <f>INPUT!CD$5</f>
        <v>3Q09</v>
      </c>
      <c r="BT4" s="664"/>
      <c r="BU4" s="667" t="str">
        <f>INPUT!CF$5</f>
        <v>4Q09</v>
      </c>
      <c r="BV4" s="664"/>
      <c r="BW4" s="667" t="str">
        <f>INPUT!CH$5</f>
        <v>1Q10</v>
      </c>
      <c r="BX4" s="664"/>
      <c r="BY4" s="667" t="str">
        <f>INPUT!CJ$5</f>
        <v>2Q10</v>
      </c>
      <c r="BZ4" s="664"/>
      <c r="CA4" s="667" t="str">
        <f>INPUT!CL$5</f>
        <v>3Q10</v>
      </c>
      <c r="CB4" s="664"/>
      <c r="CC4" s="667" t="str">
        <f>INPUT!CN$5</f>
        <v>4Q10</v>
      </c>
      <c r="CD4" s="664"/>
      <c r="CE4" s="667" t="str">
        <f>INPUT!CP$5</f>
        <v>1Q11</v>
      </c>
      <c r="CF4" s="664"/>
      <c r="CG4" s="667" t="str">
        <f>INPUT!CR$5</f>
        <v>2Q11</v>
      </c>
      <c r="CH4" s="664"/>
      <c r="CI4" s="667" t="str">
        <f>INPUT!CT$5</f>
        <v>3Q11</v>
      </c>
      <c r="CJ4" s="664"/>
      <c r="CK4" s="667" t="str">
        <f>INPUT!CV$5</f>
        <v>4Q11</v>
      </c>
      <c r="CL4" s="664"/>
      <c r="CM4" s="667" t="str">
        <f>INPUT!CX$5</f>
        <v>1Q12</v>
      </c>
      <c r="CN4" s="664"/>
      <c r="CO4" s="667" t="str">
        <f>INPUT!CZ$5</f>
        <v>2Q12</v>
      </c>
      <c r="CP4" s="664"/>
      <c r="CQ4" s="667" t="str">
        <f>INPUT!DB$5</f>
        <v>3Q12</v>
      </c>
      <c r="CR4" s="664"/>
      <c r="CS4" s="667" t="str">
        <f>INPUT!DD$5</f>
        <v>4Q12</v>
      </c>
      <c r="CT4" s="664"/>
      <c r="CU4" s="667" t="str">
        <f>INPUT!DF$5</f>
        <v>1Q13</v>
      </c>
      <c r="CV4" s="669"/>
      <c r="CW4" s="670" t="str">
        <f>INPUT!DH$5</f>
        <v>2Q13</v>
      </c>
      <c r="CX4" s="669"/>
      <c r="CY4" s="670" t="str">
        <f>INPUT!DJ$5</f>
        <v>3Q13</v>
      </c>
      <c r="CZ4" s="669"/>
      <c r="DA4" s="670" t="str">
        <f>INPUT!DL$5</f>
        <v>4Q13</v>
      </c>
      <c r="DB4" s="669"/>
      <c r="DC4" s="670" t="str">
        <f>INPUT!DN$5</f>
        <v>1Q14</v>
      </c>
      <c r="DD4" s="669"/>
      <c r="DE4" s="670" t="str">
        <f>INPUT!DP$5</f>
        <v>2Q14</v>
      </c>
      <c r="DF4" s="669"/>
      <c r="DG4" s="670" t="str">
        <f>INPUT!DR$5</f>
        <v>3Q14</v>
      </c>
      <c r="DH4" s="669"/>
      <c r="DI4" s="670" t="str">
        <f>INPUT!DT$5</f>
        <v>4Q14</v>
      </c>
      <c r="DJ4" s="669"/>
      <c r="DK4" s="670" t="str">
        <f>INPUT!DV$5</f>
        <v>1Q15</v>
      </c>
      <c r="DL4" s="669"/>
      <c r="DM4" s="670" t="str">
        <f>INPUT!DX$5</f>
        <v>2Q15</v>
      </c>
      <c r="DN4" s="669"/>
      <c r="DO4" s="670" t="str">
        <f>INPUT!DZ$5</f>
        <v>3Q15</v>
      </c>
      <c r="DP4" s="669"/>
      <c r="DQ4" s="670" t="str">
        <f>INPUT!EB$5</f>
        <v>4Q15</v>
      </c>
      <c r="DR4" s="669"/>
      <c r="DS4" s="670" t="str">
        <f>INPUT!ED$5</f>
        <v>1Q16</v>
      </c>
      <c r="DT4" s="669"/>
      <c r="DU4" s="670" t="str">
        <f>INPUT!EF$5</f>
        <v>2Q16</v>
      </c>
      <c r="DV4" s="669"/>
      <c r="DW4" s="670" t="str">
        <f>INPUT!EH$5</f>
        <v>3Q16</v>
      </c>
      <c r="DX4" s="669"/>
      <c r="DY4" s="670" t="str">
        <f>INPUT!EJ$5</f>
        <v>4Q16</v>
      </c>
      <c r="DZ4" s="669"/>
      <c r="EA4" s="670" t="str">
        <f>INPUT!EL$5</f>
        <v>1Q17</v>
      </c>
      <c r="EB4" s="669"/>
      <c r="EC4" s="670" t="str">
        <f>INPUT!EN$5</f>
        <v>2Q17</v>
      </c>
      <c r="ED4" s="669"/>
      <c r="EE4" s="670" t="str">
        <f>INPUT!EP$5</f>
        <v>3Q17</v>
      </c>
      <c r="EF4" s="669"/>
      <c r="EG4" s="670" t="str">
        <f>INPUT!ER$5</f>
        <v>4Q17</v>
      </c>
      <c r="EH4" s="670"/>
      <c r="EI4" s="669"/>
      <c r="EJ4" s="671" t="str">
        <f>INPUT!FC$5</f>
        <v>2000</v>
      </c>
      <c r="EK4" s="669"/>
      <c r="EL4" s="671" t="str">
        <f>INPUT!FE$5</f>
        <v>2001</v>
      </c>
      <c r="EM4" s="669"/>
      <c r="EN4" s="671" t="str">
        <f>INPUT!FG$5</f>
        <v>2002</v>
      </c>
      <c r="EO4" s="669"/>
      <c r="EP4" s="671" t="str">
        <f>INPUT!FI$5</f>
        <v>2003</v>
      </c>
      <c r="EQ4" s="669"/>
      <c r="ER4" s="670" t="str">
        <f>INPUT!FK$5</f>
        <v>2004</v>
      </c>
      <c r="ES4" s="669"/>
      <c r="ET4" s="670" t="str">
        <f>INPUT!FM$5</f>
        <v>2005</v>
      </c>
      <c r="EU4" s="669"/>
      <c r="EV4" s="670">
        <f>INPUT!FO$5</f>
        <v>2006</v>
      </c>
      <c r="EW4" s="669"/>
      <c r="EX4" s="670">
        <f>INPUT!FQ$5</f>
        <v>2007</v>
      </c>
      <c r="EY4" s="669"/>
      <c r="EZ4" s="670">
        <f>INPUT!FS$5</f>
        <v>2008</v>
      </c>
      <c r="FA4" s="669"/>
      <c r="FB4" s="670" t="str">
        <f>INPUT!FU$5</f>
        <v>2009</v>
      </c>
      <c r="FC4" s="669"/>
      <c r="FD4" s="670" t="str">
        <f>INPUT!FW$5</f>
        <v>2010</v>
      </c>
      <c r="FE4" s="669"/>
      <c r="FF4" s="670" t="str">
        <f>INPUT!FY$5</f>
        <v>2011</v>
      </c>
      <c r="FG4" s="669"/>
      <c r="FH4" s="670" t="str">
        <f>INPUT!GA$5</f>
        <v>2012</v>
      </c>
      <c r="FI4" s="669"/>
      <c r="FJ4" s="670" t="str">
        <f>INPUT!GC$5</f>
        <v>2013</v>
      </c>
      <c r="FK4" s="669"/>
      <c r="FL4" s="670" t="str">
        <f>INPUT!GE$5</f>
        <v>2014</v>
      </c>
      <c r="FM4" s="669"/>
      <c r="FN4" s="670" t="str">
        <f>INPUT!GG$5</f>
        <v>2015</v>
      </c>
      <c r="FO4" s="669"/>
      <c r="FP4" s="670" t="str">
        <f>INPUT!GI$5</f>
        <v>2016</v>
      </c>
      <c r="FQ4" s="669"/>
      <c r="FR4" s="670" t="str">
        <f>INPUT!GK$5</f>
        <v>2017</v>
      </c>
      <c r="FS4" s="669"/>
      <c r="FT4" s="670" t="str">
        <f>INPUT!GM$5</f>
        <v>2018E</v>
      </c>
      <c r="FU4" s="669"/>
      <c r="FV4" s="670" t="str">
        <f>INPUT!GO$5</f>
        <v>2019E</v>
      </c>
      <c r="FW4" s="669"/>
      <c r="FX4" s="670" t="str">
        <f>INPUT!GQ$5</f>
        <v>2020E</v>
      </c>
      <c r="FY4" s="669"/>
      <c r="FZ4" s="670" t="str">
        <f>INPUT!GS$5</f>
        <v>2021E</v>
      </c>
      <c r="GA4" s="988" t="s">
        <v>113</v>
      </c>
    </row>
    <row r="5" spans="1:183" s="702" customFormat="1" ht="12.75" customHeight="1" x14ac:dyDescent="0.2">
      <c r="A5" s="989"/>
      <c r="B5" s="673" t="str">
        <f>INPUT!M$6</f>
        <v>1Q02</v>
      </c>
      <c r="C5" s="674" t="str">
        <f>INPUT!N$6</f>
        <v>% Chg</v>
      </c>
      <c r="D5" s="673" t="str">
        <f>INPUT!O$6</f>
        <v>2Q02</v>
      </c>
      <c r="E5" s="674" t="str">
        <f>INPUT!P$6</f>
        <v>% Chg</v>
      </c>
      <c r="F5" s="673" t="str">
        <f>INPUT!Q$6</f>
        <v>3Q02</v>
      </c>
      <c r="G5" s="674" t="str">
        <f>INPUT!R$6</f>
        <v>% Chg</v>
      </c>
      <c r="H5" s="673" t="str">
        <f>INPUT!S$6</f>
        <v>4Q02</v>
      </c>
      <c r="I5" s="674" t="str">
        <f>INPUT!T$6</f>
        <v>% Chg</v>
      </c>
      <c r="J5" s="673" t="str">
        <f>INPUT!U$6</f>
        <v>1Q03</v>
      </c>
      <c r="K5" s="674" t="str">
        <f>INPUT!V$6</f>
        <v>% Chg</v>
      </c>
      <c r="L5" s="673" t="str">
        <f>INPUT!W$6</f>
        <v>2Q03</v>
      </c>
      <c r="M5" s="674" t="str">
        <f>INPUT!X$6</f>
        <v>% Chg</v>
      </c>
      <c r="N5" s="673" t="str">
        <f>INPUT!Y$6</f>
        <v>3Q03</v>
      </c>
      <c r="O5" s="674" t="str">
        <f>INPUT!Z$6</f>
        <v>% Chg</v>
      </c>
      <c r="P5" s="673" t="str">
        <f>INPUT!AA$6</f>
        <v>4Q03</v>
      </c>
      <c r="Q5" s="674" t="str">
        <f>INPUT!AB$6</f>
        <v>% Chg</v>
      </c>
      <c r="R5" s="673" t="str">
        <f>INPUT!AC$6</f>
        <v>1Q04</v>
      </c>
      <c r="S5" s="674" t="str">
        <f>INPUT!AD$6</f>
        <v>% Chg</v>
      </c>
      <c r="T5" s="673" t="str">
        <f>INPUT!AE$6</f>
        <v>2Q04</v>
      </c>
      <c r="U5" s="674" t="str">
        <f>INPUT!AF$6</f>
        <v>% Chg</v>
      </c>
      <c r="V5" s="673" t="str">
        <f>INPUT!AG$6</f>
        <v>3Q04</v>
      </c>
      <c r="W5" s="674" t="str">
        <f>INPUT!AH$6</f>
        <v>% Chg</v>
      </c>
      <c r="X5" s="673" t="str">
        <f>INPUT!AI$6</f>
        <v>4Q04</v>
      </c>
      <c r="Y5" s="674" t="str">
        <f>INPUT!AJ$6</f>
        <v>% Chg</v>
      </c>
      <c r="Z5" s="673" t="str">
        <f>INPUT!AK$6</f>
        <v>1Q05</v>
      </c>
      <c r="AA5" s="674" t="str">
        <f>INPUT!AL$6</f>
        <v>% Chg</v>
      </c>
      <c r="AB5" s="673" t="str">
        <f>INPUT!AM$6</f>
        <v>2Q05</v>
      </c>
      <c r="AC5" s="674" t="str">
        <f>INPUT!AN$6</f>
        <v>% Chg</v>
      </c>
      <c r="AD5" s="673" t="str">
        <f>INPUT!AO$6</f>
        <v>3Q05</v>
      </c>
      <c r="AE5" s="674" t="str">
        <f>INPUT!AP$6</f>
        <v>% Chg</v>
      </c>
      <c r="AF5" s="673" t="str">
        <f>INPUT!AQ$6</f>
        <v>4Q05</v>
      </c>
      <c r="AG5" s="674" t="str">
        <f>INPUT!AR$6</f>
        <v>% Chg</v>
      </c>
      <c r="AH5" s="673" t="str">
        <f>INPUT!AS$6</f>
        <v>1Q06</v>
      </c>
      <c r="AI5" s="674" t="str">
        <f>INPUT!AT$6</f>
        <v>% Chg</v>
      </c>
      <c r="AJ5" s="673" t="str">
        <f>INPUT!AU$6</f>
        <v>2Q06</v>
      </c>
      <c r="AK5" s="674" t="str">
        <f>INPUT!AV$6</f>
        <v>% Chg</v>
      </c>
      <c r="AL5" s="673" t="str">
        <f>INPUT!AW$6</f>
        <v>3Q06</v>
      </c>
      <c r="AM5" s="674" t="str">
        <f>INPUT!AX$6</f>
        <v>% Chg</v>
      </c>
      <c r="AN5" s="673" t="str">
        <f>INPUT!AY$6</f>
        <v>4Q06</v>
      </c>
      <c r="AO5" s="675" t="str">
        <f>INPUT!AZ$6</f>
        <v>% Chg</v>
      </c>
      <c r="AP5" s="673" t="str">
        <f>INPUT!BA$6</f>
        <v>1Q07</v>
      </c>
      <c r="AQ5" s="675" t="str">
        <f>INPUT!BB$6</f>
        <v>% Chg</v>
      </c>
      <c r="AR5" s="673" t="str">
        <f>INPUT!BC$6</f>
        <v>2Q07</v>
      </c>
      <c r="AS5" s="675" t="str">
        <f>INPUT!BD$6</f>
        <v>% Chg</v>
      </c>
      <c r="AT5" s="673" t="str">
        <f>INPUT!BE$6</f>
        <v>3Q07</v>
      </c>
      <c r="AU5" s="675" t="str">
        <f>INPUT!BF$6</f>
        <v>% Chg</v>
      </c>
      <c r="AV5" s="673" t="str">
        <f>INPUT!BG$6</f>
        <v>4Q07</v>
      </c>
      <c r="AW5" s="675" t="str">
        <f>INPUT!BH$6</f>
        <v>% Chg</v>
      </c>
      <c r="AX5" s="673" t="str">
        <f>INPUT!BI$6</f>
        <v>1Q08</v>
      </c>
      <c r="AY5" s="675" t="str">
        <f>INPUT!BJ$6</f>
        <v>% Chg</v>
      </c>
      <c r="AZ5" s="673" t="str">
        <f>INPUT!BK$6</f>
        <v>2Q08</v>
      </c>
      <c r="BA5" s="675" t="str">
        <f>INPUT!BL$6</f>
        <v>% Chg</v>
      </c>
      <c r="BB5" s="673" t="str">
        <f>INPUT!BM$6</f>
        <v>3Q08</v>
      </c>
      <c r="BC5" s="675" t="str">
        <f>INPUT!BN$6</f>
        <v>% Chg</v>
      </c>
      <c r="BD5" s="673" t="str">
        <f>INPUT!BO$6</f>
        <v>4Q08</v>
      </c>
      <c r="BE5" s="675" t="str">
        <f>INPUT!BP$6</f>
        <v>% Chg</v>
      </c>
      <c r="BF5" s="673" t="str">
        <f>INPUT!BQ$6</f>
        <v>1Q09</v>
      </c>
      <c r="BG5" s="675" t="str">
        <f>INPUT!BR$6</f>
        <v>% Chg</v>
      </c>
      <c r="BH5" s="673" t="str">
        <f>INPUT!BS$6</f>
        <v>2Q09</v>
      </c>
      <c r="BI5" s="675" t="str">
        <f>INPUT!BT$6</f>
        <v>% Chg</v>
      </c>
      <c r="BJ5" s="673" t="str">
        <f>INPUT!BU$6</f>
        <v>3Q09</v>
      </c>
      <c r="BK5" s="675" t="str">
        <f>INPUT!BV$6</f>
        <v>% Chg</v>
      </c>
      <c r="BL5" s="673" t="str">
        <f>INPUT!BW$6</f>
        <v>4Q09</v>
      </c>
      <c r="BM5" s="675" t="str">
        <f>INPUT!BX$6</f>
        <v>% Chg</v>
      </c>
      <c r="BN5" s="673" t="str">
        <f>INPUT!BY$6</f>
        <v>1Q10</v>
      </c>
      <c r="BO5" s="675" t="str">
        <f>INPUT!BZ$6</f>
        <v>% Chg</v>
      </c>
      <c r="BP5" s="673" t="str">
        <f>INPUT!CA$6</f>
        <v>2Q10</v>
      </c>
      <c r="BQ5" s="675" t="str">
        <f>INPUT!CB$6</f>
        <v>% Chg</v>
      </c>
      <c r="BR5" s="673" t="str">
        <f>INPUT!CC$6</f>
        <v>3Q10</v>
      </c>
      <c r="BS5" s="675" t="str">
        <f>INPUT!CD$6</f>
        <v>% Chg</v>
      </c>
      <c r="BT5" s="673" t="str">
        <f>INPUT!CE$6</f>
        <v>4Q10</v>
      </c>
      <c r="BU5" s="675" t="str">
        <f>INPUT!CF$6</f>
        <v>% Chg</v>
      </c>
      <c r="BV5" s="673" t="str">
        <f>INPUT!CG$6</f>
        <v>1Q11</v>
      </c>
      <c r="BW5" s="675" t="str">
        <f>INPUT!CH$6</f>
        <v>% Chg</v>
      </c>
      <c r="BX5" s="673" t="str">
        <f>INPUT!CI$6</f>
        <v>2Q11</v>
      </c>
      <c r="BY5" s="675" t="str">
        <f>INPUT!CJ$6</f>
        <v>% Chg</v>
      </c>
      <c r="BZ5" s="673" t="str">
        <f>INPUT!CK$6</f>
        <v>3Q11</v>
      </c>
      <c r="CA5" s="675" t="str">
        <f>INPUT!CL$6</f>
        <v>% Chg</v>
      </c>
      <c r="CB5" s="673" t="str">
        <f>INPUT!CM$6</f>
        <v>4Q11</v>
      </c>
      <c r="CC5" s="675" t="str">
        <f>INPUT!CN$6</f>
        <v>% Chg</v>
      </c>
      <c r="CD5" s="673" t="str">
        <f>INPUT!CO$6</f>
        <v>1Q12</v>
      </c>
      <c r="CE5" s="675" t="str">
        <f>INPUT!CP$6</f>
        <v>% Chg</v>
      </c>
      <c r="CF5" s="673" t="str">
        <f>INPUT!CQ$6</f>
        <v>2Q12</v>
      </c>
      <c r="CG5" s="675" t="str">
        <f>INPUT!CR$6</f>
        <v>% Chg</v>
      </c>
      <c r="CH5" s="673" t="str">
        <f>INPUT!CS$6</f>
        <v>3Q12</v>
      </c>
      <c r="CI5" s="675" t="str">
        <f>INPUT!CT$6</f>
        <v>% Chg</v>
      </c>
      <c r="CJ5" s="673" t="str">
        <f>INPUT!CU$6</f>
        <v>4Q12</v>
      </c>
      <c r="CK5" s="675" t="str">
        <f>INPUT!CV$6</f>
        <v>% Chg</v>
      </c>
      <c r="CL5" s="673" t="str">
        <f>INPUT!CW$6</f>
        <v>1Q13</v>
      </c>
      <c r="CM5" s="675" t="str">
        <f>INPUT!CX$6</f>
        <v>% Chg</v>
      </c>
      <c r="CN5" s="673" t="str">
        <f>INPUT!CY$6</f>
        <v>2Q13</v>
      </c>
      <c r="CO5" s="675" t="str">
        <f>INPUT!CZ$6</f>
        <v>% Chg</v>
      </c>
      <c r="CP5" s="673" t="str">
        <f>INPUT!DA$6</f>
        <v>3Q13</v>
      </c>
      <c r="CQ5" s="675" t="str">
        <f>INPUT!DB$6</f>
        <v>% Chg</v>
      </c>
      <c r="CR5" s="673" t="str">
        <f>INPUT!DC$6</f>
        <v>4Q13</v>
      </c>
      <c r="CS5" s="675" t="str">
        <f>INPUT!DD$6</f>
        <v>% Chg</v>
      </c>
      <c r="CT5" s="673" t="str">
        <f>INPUT!DE$6</f>
        <v>1Q14</v>
      </c>
      <c r="CU5" s="675" t="str">
        <f>INPUT!DF$6</f>
        <v>% Chg</v>
      </c>
      <c r="CV5" s="673" t="str">
        <f>INPUT!DG$6</f>
        <v>2Q14</v>
      </c>
      <c r="CW5" s="675" t="str">
        <f>INPUT!DH$6</f>
        <v>% Chg</v>
      </c>
      <c r="CX5" s="673" t="str">
        <f>INPUT!DI$6</f>
        <v>3Q14</v>
      </c>
      <c r="CY5" s="675" t="str">
        <f>INPUT!DJ$6</f>
        <v>% Chg</v>
      </c>
      <c r="CZ5" s="673" t="str">
        <f>INPUT!DK$6</f>
        <v>4Q14</v>
      </c>
      <c r="DA5" s="675" t="str">
        <f>INPUT!DL$6</f>
        <v>% Chg</v>
      </c>
      <c r="DB5" s="673" t="str">
        <f>INPUT!DM$6</f>
        <v>1Q15</v>
      </c>
      <c r="DC5" s="675" t="str">
        <f>INPUT!DN$6</f>
        <v>% Chg</v>
      </c>
      <c r="DD5" s="673" t="str">
        <f>INPUT!DO$6</f>
        <v>2Q15</v>
      </c>
      <c r="DE5" s="675" t="str">
        <f>INPUT!DP$6</f>
        <v>% Chg</v>
      </c>
      <c r="DF5" s="673" t="str">
        <f>INPUT!DQ$6</f>
        <v>3Q15</v>
      </c>
      <c r="DG5" s="675" t="str">
        <f>INPUT!DR$6</f>
        <v>% Chg</v>
      </c>
      <c r="DH5" s="673" t="str">
        <f>INPUT!DS$6</f>
        <v>4Q15</v>
      </c>
      <c r="DI5" s="675" t="str">
        <f>INPUT!DT$6</f>
        <v>% Chg</v>
      </c>
      <c r="DJ5" s="673" t="str">
        <f>INPUT!DU$6</f>
        <v>1Q16</v>
      </c>
      <c r="DK5" s="675" t="str">
        <f>INPUT!DV$6</f>
        <v>% Chg</v>
      </c>
      <c r="DL5" s="673" t="str">
        <f>INPUT!DW$6</f>
        <v>2Q16</v>
      </c>
      <c r="DM5" s="675" t="str">
        <f>INPUT!DX$6</f>
        <v>% Chg</v>
      </c>
      <c r="DN5" s="673" t="str">
        <f>INPUT!DY$6</f>
        <v>3Q16</v>
      </c>
      <c r="DO5" s="675" t="str">
        <f>INPUT!DZ$6</f>
        <v>% Chg</v>
      </c>
      <c r="DP5" s="673" t="str">
        <f>INPUT!EA$6</f>
        <v>4Q16</v>
      </c>
      <c r="DQ5" s="675" t="str">
        <f>INPUT!EB$6</f>
        <v>% Chg</v>
      </c>
      <c r="DR5" s="673" t="str">
        <f>INPUT!EC$6</f>
        <v>1Q17</v>
      </c>
      <c r="DS5" s="675" t="str">
        <f>INPUT!ED$6</f>
        <v>% Chg</v>
      </c>
      <c r="DT5" s="673" t="str">
        <f>INPUT!EE$6</f>
        <v>2Q17</v>
      </c>
      <c r="DU5" s="675" t="str">
        <f>INPUT!EF$6</f>
        <v>% Chg</v>
      </c>
      <c r="DV5" s="673" t="str">
        <f>INPUT!EG$6</f>
        <v>3Q17</v>
      </c>
      <c r="DW5" s="675" t="str">
        <f>INPUT!EH$6</f>
        <v>% Chg</v>
      </c>
      <c r="DX5" s="673" t="str">
        <f>INPUT!EI$6</f>
        <v>4Q17</v>
      </c>
      <c r="DY5" s="675" t="str">
        <f>INPUT!EJ$6</f>
        <v>% Chg</v>
      </c>
      <c r="DZ5" s="673" t="str">
        <f>INPUT!EK$6</f>
        <v>1Q18E</v>
      </c>
      <c r="EA5" s="675" t="str">
        <f>INPUT!EL$6</f>
        <v>% Chg</v>
      </c>
      <c r="EB5" s="673" t="str">
        <f>INPUT!EM$6</f>
        <v>2Q18E</v>
      </c>
      <c r="EC5" s="675" t="str">
        <f>INPUT!EN$6</f>
        <v>% Chg</v>
      </c>
      <c r="ED5" s="673" t="str">
        <f>INPUT!EO$6</f>
        <v>3Q18E</v>
      </c>
      <c r="EE5" s="675" t="str">
        <f>INPUT!EP$6</f>
        <v>% Chg</v>
      </c>
      <c r="EF5" s="673" t="str">
        <f>INPUT!EQ$6</f>
        <v>4Q18E</v>
      </c>
      <c r="EG5" s="675" t="str">
        <f>INPUT!ER$6</f>
        <v>% Chg</v>
      </c>
      <c r="EH5" s="675"/>
      <c r="EI5" s="673" t="str">
        <f>INPUT!FB6</f>
        <v>2001</v>
      </c>
      <c r="EJ5" s="674" t="str">
        <f>INPUT!FC$6</f>
        <v>% Chg</v>
      </c>
      <c r="EK5" s="673" t="str">
        <f>INPUT!FD6</f>
        <v>2002</v>
      </c>
      <c r="EL5" s="674" t="str">
        <f>INPUT!FE$6</f>
        <v>% Chg</v>
      </c>
      <c r="EM5" s="673" t="str">
        <f>INPUT!FF6</f>
        <v>2003</v>
      </c>
      <c r="EN5" s="674" t="str">
        <f>INPUT!FG$6</f>
        <v>% Chg</v>
      </c>
      <c r="EO5" s="673" t="str">
        <f>INPUT!FH6</f>
        <v>2004</v>
      </c>
      <c r="EP5" s="674" t="str">
        <f>INPUT!FI$6</f>
        <v>% Chg</v>
      </c>
      <c r="EQ5" s="673" t="str">
        <f>INPUT!FJ6</f>
        <v>2005</v>
      </c>
      <c r="ER5" s="675" t="str">
        <f>INPUT!FK$6</f>
        <v>% Chg</v>
      </c>
      <c r="ES5" s="676">
        <f>INPUT!FL6</f>
        <v>2006</v>
      </c>
      <c r="ET5" s="675" t="str">
        <f>INPUT!FM$6</f>
        <v>% Chg</v>
      </c>
      <c r="EU5" s="676">
        <f>INPUT!FN6</f>
        <v>2007</v>
      </c>
      <c r="EV5" s="675" t="str">
        <f>INPUT!FO$6</f>
        <v>% Chg</v>
      </c>
      <c r="EW5" s="676">
        <f>INPUT!FP6</f>
        <v>2008</v>
      </c>
      <c r="EX5" s="675" t="str">
        <f>INPUT!FQ$6</f>
        <v>% Chg</v>
      </c>
      <c r="EY5" s="673" t="str">
        <f>INPUT!FR6</f>
        <v>2009</v>
      </c>
      <c r="EZ5" s="675" t="str">
        <f>INPUT!FS$6</f>
        <v>% Chg</v>
      </c>
      <c r="FA5" s="673" t="str">
        <f>INPUT!FT6</f>
        <v>2010</v>
      </c>
      <c r="FB5" s="675" t="str">
        <f>INPUT!FU$6</f>
        <v>% Chg</v>
      </c>
      <c r="FC5" s="673" t="str">
        <f>INPUT!FV6</f>
        <v>2011</v>
      </c>
      <c r="FD5" s="675" t="str">
        <f>INPUT!FW$6</f>
        <v>% Chg</v>
      </c>
      <c r="FE5" s="673" t="str">
        <f>INPUT!FX6</f>
        <v>2012</v>
      </c>
      <c r="FF5" s="675" t="str">
        <f>INPUT!FY$6</f>
        <v>% Chg</v>
      </c>
      <c r="FG5" s="673" t="str">
        <f>INPUT!FZ6</f>
        <v>2013</v>
      </c>
      <c r="FH5" s="675" t="str">
        <f>INPUT!GA$6</f>
        <v>% Chg</v>
      </c>
      <c r="FI5" s="673" t="str">
        <f>INPUT!GB6</f>
        <v>2014</v>
      </c>
      <c r="FJ5" s="675" t="str">
        <f>INPUT!GC$6</f>
        <v>% Chg</v>
      </c>
      <c r="FK5" s="673" t="str">
        <f>INPUT!GD6</f>
        <v>2015</v>
      </c>
      <c r="FL5" s="675" t="str">
        <f>INPUT!GE$6</f>
        <v>% Chg</v>
      </c>
      <c r="FM5" s="673" t="str">
        <f>INPUT!GF6</f>
        <v>2016</v>
      </c>
      <c r="FN5" s="675" t="str">
        <f>INPUT!GG$6</f>
        <v>% Chg</v>
      </c>
      <c r="FO5" s="673" t="str">
        <f>INPUT!GH6</f>
        <v>2017</v>
      </c>
      <c r="FP5" s="675" t="str">
        <f>INPUT!GI$6</f>
        <v>% Chg</v>
      </c>
      <c r="FQ5" s="673" t="str">
        <f>INPUT!GJ6</f>
        <v>2018E</v>
      </c>
      <c r="FR5" s="675" t="str">
        <f>INPUT!GK$6</f>
        <v>% Chg</v>
      </c>
      <c r="FS5" s="673" t="str">
        <f>INPUT!GL6</f>
        <v>2019E</v>
      </c>
      <c r="FT5" s="675" t="str">
        <f>INPUT!GM$6</f>
        <v>% Chg</v>
      </c>
      <c r="FU5" s="673" t="str">
        <f>INPUT!GN6</f>
        <v>2020E</v>
      </c>
      <c r="FV5" s="675" t="str">
        <f>INPUT!GO$6</f>
        <v>% Chg</v>
      </c>
      <c r="FW5" s="673" t="str">
        <f>INPUT!GP6</f>
        <v>2021E</v>
      </c>
      <c r="FX5" s="675" t="str">
        <f>INPUT!GQ$6</f>
        <v>% Chg</v>
      </c>
      <c r="FY5" s="673" t="str">
        <f>INPUT!GR6</f>
        <v>2022E</v>
      </c>
      <c r="FZ5" s="675" t="str">
        <f>INPUT!GS$6</f>
        <v>% Chg</v>
      </c>
      <c r="GA5" s="990" t="s">
        <v>351</v>
      </c>
    </row>
    <row r="6" spans="1:183" s="707" customFormat="1" ht="4.5" customHeight="1" x14ac:dyDescent="0.2">
      <c r="A6" s="991"/>
      <c r="B6" s="669"/>
      <c r="C6" s="671"/>
      <c r="D6" s="669"/>
      <c r="E6" s="678"/>
      <c r="F6" s="669"/>
      <c r="G6" s="678"/>
      <c r="H6" s="669"/>
      <c r="I6" s="678"/>
      <c r="J6" s="669"/>
      <c r="K6" s="678"/>
      <c r="L6" s="669"/>
      <c r="M6" s="678"/>
      <c r="N6" s="669"/>
      <c r="O6" s="678"/>
      <c r="P6" s="669"/>
      <c r="Q6" s="678"/>
      <c r="R6" s="669"/>
      <c r="S6" s="678"/>
      <c r="T6" s="669"/>
      <c r="U6" s="678"/>
      <c r="V6" s="669"/>
      <c r="W6" s="678"/>
      <c r="X6" s="669"/>
      <c r="Y6" s="678"/>
      <c r="Z6" s="669"/>
      <c r="AA6" s="678"/>
      <c r="AB6" s="669"/>
      <c r="AC6" s="678"/>
      <c r="AD6" s="669"/>
      <c r="AE6" s="678"/>
      <c r="AF6" s="669"/>
      <c r="AG6" s="678"/>
      <c r="AH6" s="669"/>
      <c r="AI6" s="678"/>
      <c r="AJ6" s="669"/>
      <c r="AK6" s="678"/>
      <c r="AL6" s="669"/>
      <c r="AM6" s="678"/>
      <c r="AN6" s="669"/>
      <c r="AO6" s="670"/>
      <c r="AP6" s="669"/>
      <c r="AQ6" s="670"/>
      <c r="AR6" s="669"/>
      <c r="AS6" s="670"/>
      <c r="AT6" s="669"/>
      <c r="AU6" s="670"/>
      <c r="AV6" s="669"/>
      <c r="AW6" s="670"/>
      <c r="AX6" s="669"/>
      <c r="AY6" s="670"/>
      <c r="AZ6" s="669"/>
      <c r="BA6" s="670"/>
      <c r="BB6" s="669"/>
      <c r="BC6" s="670"/>
      <c r="BD6" s="669"/>
      <c r="BE6" s="670"/>
      <c r="BF6" s="669"/>
      <c r="BG6" s="670"/>
      <c r="BH6" s="669"/>
      <c r="BI6" s="670"/>
      <c r="BJ6" s="669"/>
      <c r="BK6" s="670"/>
      <c r="BL6" s="669"/>
      <c r="BM6" s="670"/>
      <c r="BN6" s="669"/>
      <c r="BO6" s="670"/>
      <c r="BP6" s="669"/>
      <c r="BQ6" s="670"/>
      <c r="BR6" s="669"/>
      <c r="BS6" s="670"/>
      <c r="BT6" s="669"/>
      <c r="BU6" s="670"/>
      <c r="BV6" s="669"/>
      <c r="BW6" s="670"/>
      <c r="BX6" s="669"/>
      <c r="BY6" s="670"/>
      <c r="BZ6" s="669"/>
      <c r="CA6" s="670"/>
      <c r="CB6" s="669"/>
      <c r="CC6" s="670"/>
      <c r="CD6" s="669"/>
      <c r="CE6" s="670"/>
      <c r="CF6" s="669"/>
      <c r="CG6" s="670"/>
      <c r="CH6" s="669"/>
      <c r="CI6" s="670"/>
      <c r="CJ6" s="669"/>
      <c r="CK6" s="670"/>
      <c r="CL6" s="669"/>
      <c r="CM6" s="670"/>
      <c r="CN6" s="669"/>
      <c r="CO6" s="670"/>
      <c r="CP6" s="669"/>
      <c r="CQ6" s="670"/>
      <c r="CR6" s="669"/>
      <c r="CS6" s="670"/>
      <c r="CT6" s="669"/>
      <c r="CU6" s="670"/>
      <c r="CV6" s="669"/>
      <c r="CW6" s="670"/>
      <c r="CX6" s="669"/>
      <c r="CY6" s="670"/>
      <c r="CZ6" s="669"/>
      <c r="DA6" s="670"/>
      <c r="DB6" s="669"/>
      <c r="DC6" s="670"/>
      <c r="DD6" s="669"/>
      <c r="DE6" s="670"/>
      <c r="DF6" s="669"/>
      <c r="DG6" s="670"/>
      <c r="DH6" s="669"/>
      <c r="DI6" s="670"/>
      <c r="DJ6" s="669"/>
      <c r="DK6" s="670"/>
      <c r="DL6" s="669"/>
      <c r="DM6" s="670"/>
      <c r="DN6" s="669"/>
      <c r="DO6" s="670"/>
      <c r="DP6" s="669"/>
      <c r="DQ6" s="670"/>
      <c r="DR6" s="669"/>
      <c r="DS6" s="670"/>
      <c r="DT6" s="669"/>
      <c r="DU6" s="670"/>
      <c r="DV6" s="669"/>
      <c r="DW6" s="670"/>
      <c r="DX6" s="669"/>
      <c r="DY6" s="670"/>
      <c r="DZ6" s="669"/>
      <c r="EA6" s="670"/>
      <c r="EB6" s="669"/>
      <c r="EC6" s="670"/>
      <c r="ED6" s="669"/>
      <c r="EE6" s="670"/>
      <c r="EF6" s="669"/>
      <c r="EG6" s="670"/>
      <c r="EH6" s="670"/>
      <c r="EI6" s="669"/>
      <c r="EJ6" s="678"/>
      <c r="EK6" s="669"/>
      <c r="EL6" s="678"/>
      <c r="EM6" s="669"/>
      <c r="EN6" s="678"/>
      <c r="EO6" s="669"/>
      <c r="EP6" s="678"/>
      <c r="EQ6" s="669"/>
      <c r="ER6" s="670"/>
      <c r="ES6" s="669"/>
      <c r="ET6" s="670"/>
      <c r="EU6" s="669"/>
      <c r="EV6" s="670"/>
      <c r="EW6" s="669"/>
      <c r="EX6" s="670"/>
      <c r="EY6" s="669"/>
      <c r="EZ6" s="670"/>
      <c r="FA6" s="669"/>
      <c r="FB6" s="670"/>
      <c r="FC6" s="669"/>
      <c r="FD6" s="670"/>
      <c r="FE6" s="669"/>
      <c r="FF6" s="670"/>
      <c r="FG6" s="669"/>
      <c r="FH6" s="670"/>
      <c r="FI6" s="669"/>
      <c r="FJ6" s="670"/>
      <c r="FK6" s="669"/>
      <c r="FL6" s="670"/>
      <c r="FM6" s="669"/>
      <c r="FN6" s="670"/>
      <c r="FO6" s="669"/>
      <c r="FP6" s="670"/>
      <c r="FQ6" s="669"/>
      <c r="FR6" s="670"/>
      <c r="FS6" s="669"/>
      <c r="FT6" s="670"/>
      <c r="FU6" s="669"/>
      <c r="FV6" s="670"/>
      <c r="FW6" s="669"/>
      <c r="FX6" s="670"/>
      <c r="FY6" s="669"/>
      <c r="FZ6" s="670"/>
      <c r="GA6" s="992"/>
    </row>
    <row r="7" spans="1:183" s="707" customFormat="1" ht="12.75" customHeight="1" x14ac:dyDescent="0.2">
      <c r="A7" s="991" t="str">
        <f>INPUT!B402</f>
        <v>Core Pretax Earnings by Segment</v>
      </c>
      <c r="B7" s="669"/>
      <c r="C7" s="671"/>
      <c r="D7" s="669"/>
      <c r="E7" s="678"/>
      <c r="F7" s="669"/>
      <c r="G7" s="678"/>
      <c r="H7" s="669"/>
      <c r="I7" s="678"/>
      <c r="J7" s="669"/>
      <c r="K7" s="678"/>
      <c r="L7" s="669"/>
      <c r="M7" s="678"/>
      <c r="N7" s="669"/>
      <c r="O7" s="678"/>
      <c r="P7" s="669"/>
      <c r="Q7" s="678"/>
      <c r="R7" s="669"/>
      <c r="S7" s="678"/>
      <c r="T7" s="669"/>
      <c r="U7" s="678"/>
      <c r="V7" s="669"/>
      <c r="W7" s="678"/>
      <c r="X7" s="669"/>
      <c r="Y7" s="678"/>
      <c r="Z7" s="669"/>
      <c r="AA7" s="678"/>
      <c r="AB7" s="669"/>
      <c r="AC7" s="678"/>
      <c r="AD7" s="669"/>
      <c r="AE7" s="678"/>
      <c r="AF7" s="669"/>
      <c r="AG7" s="678"/>
      <c r="AH7" s="669"/>
      <c r="AI7" s="678"/>
      <c r="AJ7" s="669"/>
      <c r="AK7" s="678"/>
      <c r="AL7" s="669"/>
      <c r="AM7" s="678"/>
      <c r="AN7" s="669"/>
      <c r="AO7" s="670"/>
      <c r="AP7" s="669"/>
      <c r="AQ7" s="670"/>
      <c r="AR7" s="669"/>
      <c r="AS7" s="670"/>
      <c r="AT7" s="669"/>
      <c r="AU7" s="670"/>
      <c r="AV7" s="669"/>
      <c r="AW7" s="670"/>
      <c r="AX7" s="669"/>
      <c r="AY7" s="670"/>
      <c r="AZ7" s="669"/>
      <c r="BA7" s="670"/>
      <c r="BB7" s="669"/>
      <c r="BC7" s="670"/>
      <c r="BD7" s="669"/>
      <c r="BE7" s="670"/>
      <c r="BF7" s="669"/>
      <c r="BG7" s="670"/>
      <c r="BH7" s="669"/>
      <c r="BI7" s="670"/>
      <c r="BJ7" s="669"/>
      <c r="BK7" s="670"/>
      <c r="BL7" s="669"/>
      <c r="BM7" s="670"/>
      <c r="BN7" s="669"/>
      <c r="BO7" s="670"/>
      <c r="BP7" s="669"/>
      <c r="BQ7" s="670"/>
      <c r="BR7" s="669"/>
      <c r="BS7" s="670"/>
      <c r="BT7" s="669"/>
      <c r="BU7" s="670"/>
      <c r="BV7" s="669"/>
      <c r="BW7" s="670"/>
      <c r="BX7" s="669"/>
      <c r="BY7" s="670"/>
      <c r="BZ7" s="669"/>
      <c r="CA7" s="670"/>
      <c r="CB7" s="669"/>
      <c r="CC7" s="670"/>
      <c r="CD7" s="669"/>
      <c r="CE7" s="670"/>
      <c r="CF7" s="669"/>
      <c r="CG7" s="670"/>
      <c r="CH7" s="669"/>
      <c r="CI7" s="670"/>
      <c r="CJ7" s="669"/>
      <c r="CK7" s="670"/>
      <c r="CL7" s="669"/>
      <c r="CM7" s="670"/>
      <c r="CN7" s="669"/>
      <c r="CO7" s="670"/>
      <c r="CP7" s="669"/>
      <c r="CQ7" s="670"/>
      <c r="CR7" s="669"/>
      <c r="CS7" s="670"/>
      <c r="CT7" s="669"/>
      <c r="CU7" s="670"/>
      <c r="CV7" s="669"/>
      <c r="CW7" s="670"/>
      <c r="CX7" s="669"/>
      <c r="CY7" s="670"/>
      <c r="CZ7" s="669"/>
      <c r="DA7" s="670"/>
      <c r="DB7" s="669"/>
      <c r="DC7" s="670"/>
      <c r="DD7" s="669"/>
      <c r="DE7" s="670"/>
      <c r="DF7" s="669"/>
      <c r="DG7" s="670"/>
      <c r="DH7" s="669"/>
      <c r="DI7" s="670"/>
      <c r="DJ7" s="669"/>
      <c r="DK7" s="670"/>
      <c r="DL7" s="669"/>
      <c r="DM7" s="670"/>
      <c r="DN7" s="669"/>
      <c r="DO7" s="670"/>
      <c r="DP7" s="669"/>
      <c r="DQ7" s="670"/>
      <c r="DR7" s="669"/>
      <c r="DS7" s="670"/>
      <c r="DT7" s="669"/>
      <c r="DU7" s="670"/>
      <c r="DV7" s="669"/>
      <c r="DW7" s="670"/>
      <c r="DX7" s="669"/>
      <c r="DY7" s="670"/>
      <c r="DZ7" s="669"/>
      <c r="EA7" s="670"/>
      <c r="EB7" s="669"/>
      <c r="EC7" s="670"/>
      <c r="ED7" s="669"/>
      <c r="EE7" s="670"/>
      <c r="EF7" s="669"/>
      <c r="EG7" s="670"/>
      <c r="EH7" s="670"/>
      <c r="EI7" s="669"/>
      <c r="EJ7" s="678"/>
      <c r="EK7" s="669"/>
      <c r="EL7" s="678"/>
      <c r="EM7" s="669"/>
      <c r="EN7" s="678"/>
      <c r="EO7" s="669"/>
      <c r="EP7" s="678"/>
      <c r="EQ7" s="669"/>
      <c r="ER7" s="670"/>
      <c r="ES7" s="669"/>
      <c r="ET7" s="670"/>
      <c r="EU7" s="669"/>
      <c r="EV7" s="670"/>
      <c r="EW7" s="669"/>
      <c r="EX7" s="670"/>
      <c r="EY7" s="669"/>
      <c r="EZ7" s="670"/>
      <c r="FA7" s="669"/>
      <c r="FB7" s="670"/>
      <c r="FC7" s="669"/>
      <c r="FD7" s="670"/>
      <c r="FE7" s="669"/>
      <c r="FF7" s="670"/>
      <c r="FG7" s="669"/>
      <c r="FH7" s="670"/>
      <c r="FI7" s="669"/>
      <c r="FJ7" s="670"/>
      <c r="FK7" s="669"/>
      <c r="FL7" s="670"/>
      <c r="FM7" s="669"/>
      <c r="FN7" s="670"/>
      <c r="FO7" s="669"/>
      <c r="FP7" s="670"/>
      <c r="FQ7" s="669"/>
      <c r="FR7" s="670"/>
      <c r="FS7" s="669"/>
      <c r="FT7" s="670"/>
      <c r="FU7" s="669"/>
      <c r="FV7" s="670"/>
      <c r="FW7" s="669"/>
      <c r="FX7" s="670"/>
      <c r="FY7" s="669"/>
      <c r="FZ7" s="670"/>
      <c r="GA7" s="992"/>
    </row>
    <row r="8" spans="1:183" s="707" customFormat="1" ht="12.75" customHeight="1" x14ac:dyDescent="0.2">
      <c r="A8" s="993" t="str">
        <f>INPUT!B404</f>
        <v xml:space="preserve">  Group Income Protection</v>
      </c>
      <c r="B8" s="680">
        <f>INPUT!M404</f>
        <v>0</v>
      </c>
      <c r="C8" s="681">
        <f>INPUT!N404</f>
        <v>0</v>
      </c>
      <c r="D8" s="680">
        <f>INPUT!O404</f>
        <v>0</v>
      </c>
      <c r="E8" s="681">
        <f>INPUT!P404</f>
        <v>0</v>
      </c>
      <c r="F8" s="680">
        <f>INPUT!Q404</f>
        <v>0</v>
      </c>
      <c r="G8" s="681">
        <f>INPUT!R404</f>
        <v>0</v>
      </c>
      <c r="H8" s="680">
        <f>INPUT!S404</f>
        <v>0</v>
      </c>
      <c r="I8" s="681">
        <f>INPUT!T404</f>
        <v>0</v>
      </c>
      <c r="J8" s="680">
        <f>INPUT!U404</f>
        <v>0</v>
      </c>
      <c r="K8" s="681">
        <f>INPUT!V404</f>
        <v>0</v>
      </c>
      <c r="L8" s="680">
        <f>INPUT!W404</f>
        <v>0</v>
      </c>
      <c r="M8" s="681" t="str">
        <f>INPUT!X404</f>
        <v>NA</v>
      </c>
      <c r="N8" s="680">
        <f>INPUT!Y404</f>
        <v>0</v>
      </c>
      <c r="O8" s="681" t="str">
        <f>INPUT!Z404</f>
        <v>NA</v>
      </c>
      <c r="P8" s="680">
        <f>INPUT!AA404</f>
        <v>0</v>
      </c>
      <c r="Q8" s="681" t="str">
        <f>INPUT!AB404</f>
        <v>NA</v>
      </c>
      <c r="R8" s="680">
        <f>INPUT!AC404</f>
        <v>-5.0999999999999091</v>
      </c>
      <c r="S8" s="681" t="str">
        <f>INPUT!AD404</f>
        <v>NA</v>
      </c>
      <c r="T8" s="680">
        <f>INPUT!AE404</f>
        <v>19.000000000000114</v>
      </c>
      <c r="U8" s="681" t="str">
        <f>INPUT!AF404</f>
        <v>NA</v>
      </c>
      <c r="V8" s="680">
        <f>INPUT!AG404</f>
        <v>16.700000000000045</v>
      </c>
      <c r="W8" s="681" t="str">
        <f>INPUT!AH404</f>
        <v>NA</v>
      </c>
      <c r="X8" s="680">
        <f>INPUT!AI404</f>
        <v>-88.600000000000136</v>
      </c>
      <c r="Y8" s="681" t="str">
        <f>INPUT!AJ404</f>
        <v>NA</v>
      </c>
      <c r="Z8" s="680">
        <f>INPUT!AK404</f>
        <v>3.5000000000003411</v>
      </c>
      <c r="AA8" s="681" t="str">
        <f>INPUT!AL404</f>
        <v>NM</v>
      </c>
      <c r="AB8" s="680">
        <f>INPUT!AM404</f>
        <v>20.099999999999795</v>
      </c>
      <c r="AC8" s="681">
        <f>INPUT!AN404</f>
        <v>5.7894736842088124</v>
      </c>
      <c r="AD8" s="680">
        <f>INPUT!AO404</f>
        <v>31.199999999999932</v>
      </c>
      <c r="AE8" s="681">
        <f>INPUT!AP404</f>
        <v>86.826347305388296</v>
      </c>
      <c r="AF8" s="680">
        <f>INPUT!AQ404</f>
        <v>13.599999999999909</v>
      </c>
      <c r="AG8" s="681" t="str">
        <f>INPUT!AR404</f>
        <v>NM</v>
      </c>
      <c r="AH8" s="680">
        <f>INPUT!AS404</f>
        <v>1.1999999999998181</v>
      </c>
      <c r="AI8" s="681" t="str">
        <f>INPUT!AT404</f>
        <v>NM</v>
      </c>
      <c r="AJ8" s="680">
        <f>INPUT!AU404</f>
        <v>10.399999999999864</v>
      </c>
      <c r="AK8" s="681">
        <f>INPUT!AV404</f>
        <v>-48.258706467661838</v>
      </c>
      <c r="AL8" s="680">
        <f>INPUT!AW404</f>
        <v>16.400000000000091</v>
      </c>
      <c r="AM8" s="681">
        <f>INPUT!AX404</f>
        <v>-47.435897435897033</v>
      </c>
      <c r="AN8" s="680">
        <f>INPUT!AY404</f>
        <v>23.100000000000023</v>
      </c>
      <c r="AO8" s="670">
        <f>INPUT!AZ404</f>
        <v>69.852941176471887</v>
      </c>
      <c r="AP8" s="680">
        <f>INPUT!BA404</f>
        <v>29.700000000000045</v>
      </c>
      <c r="AQ8" s="670" t="str">
        <f>INPUT!BB404</f>
        <v>NM</v>
      </c>
      <c r="AR8" s="680">
        <f>INPUT!BC404</f>
        <v>51.899999999999977</v>
      </c>
      <c r="AS8" s="670" t="str">
        <f>INPUT!BD404</f>
        <v>NM</v>
      </c>
      <c r="AT8" s="680">
        <f>INPUT!BE404</f>
        <v>51.499999999999886</v>
      </c>
      <c r="AU8" s="670" t="str">
        <f>INPUT!BF404</f>
        <v>NM</v>
      </c>
      <c r="AV8" s="680">
        <f>INPUT!BG404</f>
        <v>52.200000000000045</v>
      </c>
      <c r="AW8" s="670" t="str">
        <f>INPUT!BH404</f>
        <v>NM</v>
      </c>
      <c r="AX8" s="680">
        <f>INPUT!BI404</f>
        <v>40.100000000000023</v>
      </c>
      <c r="AY8" s="670">
        <f>INPUT!BJ404</f>
        <v>35.016835016834882</v>
      </c>
      <c r="AZ8" s="680">
        <f>INPUT!BK404</f>
        <v>50.999999999999886</v>
      </c>
      <c r="BA8" s="670">
        <f>INPUT!BL404</f>
        <v>-1.7341040462429458</v>
      </c>
      <c r="BB8" s="680">
        <f>INPUT!BM404</f>
        <v>54.599999999999909</v>
      </c>
      <c r="BC8" s="670">
        <f>INPUT!BN404</f>
        <v>6.019417475728206</v>
      </c>
      <c r="BD8" s="680">
        <f>INPUT!BO404</f>
        <v>59.700000000000159</v>
      </c>
      <c r="BE8" s="670">
        <f>INPUT!BP404</f>
        <v>14.367816091954232</v>
      </c>
      <c r="BF8" s="680">
        <f>INPUT!BQ404</f>
        <v>57.699999999999932</v>
      </c>
      <c r="BG8" s="670">
        <f>INPUT!BR404</f>
        <v>43.890274314214217</v>
      </c>
      <c r="BH8" s="680">
        <f>INPUT!BS404</f>
        <v>68.300000000000068</v>
      </c>
      <c r="BI8" s="670">
        <f>INPUT!BT404</f>
        <v>33.921568627451414</v>
      </c>
      <c r="BJ8" s="680">
        <f>INPUT!BU404</f>
        <v>75</v>
      </c>
      <c r="BK8" s="670">
        <f>INPUT!BV404</f>
        <v>37.362637362637585</v>
      </c>
      <c r="BL8" s="680">
        <f>INPUT!BW404</f>
        <v>72.599999999999909</v>
      </c>
      <c r="BM8" s="670">
        <f>INPUT!BX404</f>
        <v>21.608040201004552</v>
      </c>
      <c r="BN8" s="680">
        <f>INPUT!BY404</f>
        <v>75.799999999999955</v>
      </c>
      <c r="BO8" s="670">
        <f>INPUT!BZ404</f>
        <v>31.369150779896081</v>
      </c>
      <c r="BP8" s="680">
        <f>INPUT!CA404</f>
        <v>84.700000000000045</v>
      </c>
      <c r="BQ8" s="670">
        <f>INPUT!CB404</f>
        <v>24.011713030746652</v>
      </c>
      <c r="BR8" s="680">
        <f>INPUT!CC404</f>
        <v>78.5</v>
      </c>
      <c r="BS8" s="670">
        <f>INPUT!CD404</f>
        <v>4.6666666666666634</v>
      </c>
      <c r="BT8" s="680">
        <f>INPUT!CE404</f>
        <v>78.200000000000045</v>
      </c>
      <c r="BU8" s="670">
        <f>INPUT!CF404</f>
        <v>7.7134986225897206</v>
      </c>
      <c r="BV8" s="680">
        <f>INPUT!CG404</f>
        <v>73.800000000000068</v>
      </c>
      <c r="BW8" s="670">
        <f>INPUT!CH404</f>
        <v>-2.6385224274404817</v>
      </c>
      <c r="BX8" s="680">
        <f>INPUT!CI404</f>
        <v>78.699999999999932</v>
      </c>
      <c r="BY8" s="670">
        <f>INPUT!CJ404</f>
        <v>-7.083825265643573</v>
      </c>
      <c r="BZ8" s="680">
        <f>INPUT!CK404</f>
        <v>72.700000000000045</v>
      </c>
      <c r="CA8" s="670">
        <f>INPUT!CL404</f>
        <v>-7.3885350318470771</v>
      </c>
      <c r="CB8" s="680">
        <f>INPUT!CM404</f>
        <v>77.100000000000023</v>
      </c>
      <c r="CC8" s="670">
        <f>INPUT!CN404</f>
        <v>-1.4066496163683162</v>
      </c>
      <c r="CD8" s="680">
        <f>INPUT!CO404</f>
        <v>74.700000000000045</v>
      </c>
      <c r="CE8" s="670">
        <f>INPUT!CP404</f>
        <v>1.2195121951219301</v>
      </c>
      <c r="CF8" s="680">
        <f>INPUT!CQ404</f>
        <v>70.399999999999977</v>
      </c>
      <c r="CG8" s="670">
        <f>INPUT!CR404</f>
        <v>-10.546378653113042</v>
      </c>
      <c r="CH8" s="680">
        <f>INPUT!CS404</f>
        <v>74.5</v>
      </c>
      <c r="CI8" s="670">
        <f>INPUT!CT404</f>
        <v>2.475928473177369</v>
      </c>
      <c r="CJ8" s="680">
        <f>INPUT!CU404</f>
        <v>73.5</v>
      </c>
      <c r="CK8" s="670">
        <f>INPUT!CV404</f>
        <v>-4.6692607003891329</v>
      </c>
      <c r="CL8" s="680">
        <f>INPUT!CW404</f>
        <v>73.199999999999932</v>
      </c>
      <c r="CM8" s="670">
        <f>INPUT!CX404</f>
        <v>-2.0080321285142033</v>
      </c>
      <c r="CN8" s="680">
        <f>INPUT!CY404</f>
        <v>72</v>
      </c>
      <c r="CO8" s="670">
        <f>INPUT!CZ404</f>
        <v>2.2727272727273151</v>
      </c>
      <c r="CP8" s="680">
        <f>INPUT!DA404</f>
        <v>77.899999999999977</v>
      </c>
      <c r="CQ8" s="670">
        <f>INPUT!DB404</f>
        <v>4.5637583892617073</v>
      </c>
      <c r="CR8" s="680">
        <f>INPUT!DC404</f>
        <v>68.600000000000023</v>
      </c>
      <c r="CS8" s="670">
        <f>INPUT!DD404</f>
        <v>-6.6666666666666323</v>
      </c>
      <c r="CT8" s="680">
        <f>INPUT!DE404</f>
        <v>67.599999999999909</v>
      </c>
      <c r="CU8" s="670">
        <f>INPUT!DF404</f>
        <v>-7.6502732240437581</v>
      </c>
      <c r="CV8" s="680">
        <f>INPUT!DG404</f>
        <v>72.699999999999932</v>
      </c>
      <c r="CW8" s="670">
        <f>INPUT!DH404</f>
        <v>0.97222222222212995</v>
      </c>
      <c r="CX8" s="680">
        <f>INPUT!DI404</f>
        <v>68.600000000000023</v>
      </c>
      <c r="CY8" s="670">
        <f>INPUT!DJ404</f>
        <v>-11.938382541720093</v>
      </c>
      <c r="CZ8" s="680">
        <f>INPUT!DK404</f>
        <v>65.899999999999977</v>
      </c>
      <c r="DA8" s="670">
        <f>INPUT!DL404</f>
        <v>-3.9358600583091041</v>
      </c>
      <c r="DB8" s="680">
        <f>INPUT!DM404</f>
        <v>74.300000000000068</v>
      </c>
      <c r="DC8" s="670">
        <f>INPUT!DN404</f>
        <v>9.9112426035505408</v>
      </c>
      <c r="DD8" s="680">
        <f>INPUT!DO404</f>
        <v>61.200000000000045</v>
      </c>
      <c r="DE8" s="670">
        <f>INPUT!DP404</f>
        <v>-15.818431911966846</v>
      </c>
      <c r="DF8" s="680">
        <f>INPUT!DQ404</f>
        <v>70.800000000000068</v>
      </c>
      <c r="DG8" s="670">
        <f>INPUT!DR404</f>
        <v>3.2069970845481688</v>
      </c>
      <c r="DH8" s="680">
        <f>INPUT!DS404</f>
        <v>66.100000000000023</v>
      </c>
      <c r="DI8" s="670">
        <f>INPUT!DT404</f>
        <v>0.30349013657062773</v>
      </c>
      <c r="DJ8" s="680">
        <f>INPUT!DU404</f>
        <v>70.399999999999864</v>
      </c>
      <c r="DK8" s="670">
        <f>INPUT!DV404</f>
        <v>-5.2489905787351248</v>
      </c>
      <c r="DL8" s="680">
        <f>INPUT!DW404</f>
        <v>74.399999999999977</v>
      </c>
      <c r="DM8" s="670">
        <f>INPUT!DX404</f>
        <v>21.568627450980273</v>
      </c>
      <c r="DN8" s="680">
        <f>INPUT!DY404</f>
        <v>85.400000000000091</v>
      </c>
      <c r="DO8" s="670">
        <f>INPUT!DZ404</f>
        <v>20.621468926553675</v>
      </c>
      <c r="DP8" s="680">
        <f>INPUT!EA404</f>
        <v>89.499999999999886</v>
      </c>
      <c r="DQ8" s="670">
        <f>INPUT!EB404</f>
        <v>35.400907715582242</v>
      </c>
      <c r="DR8" s="680">
        <f>INPUT!EC404</f>
        <v>88.699999999999932</v>
      </c>
      <c r="DS8" s="670">
        <f>INPUT!ED404</f>
        <v>25.994318181818322</v>
      </c>
      <c r="DT8" s="680">
        <f>INPUT!EE404</f>
        <v>92.400000000000091</v>
      </c>
      <c r="DU8" s="670">
        <f>INPUT!EF404</f>
        <v>24.193548387096932</v>
      </c>
      <c r="DV8" s="680">
        <f>INPUT!EG404</f>
        <v>89.999999999999886</v>
      </c>
      <c r="DW8" s="670">
        <f>INPUT!EH404</f>
        <v>5.3864168618264596</v>
      </c>
      <c r="DX8" s="680">
        <f>INPUT!EI404</f>
        <v>86.699999999999932</v>
      </c>
      <c r="DY8" s="670">
        <f>INPUT!EJ404</f>
        <v>-3.1284916201116841</v>
      </c>
      <c r="DZ8" s="680">
        <f>INPUT!EK404</f>
        <v>89.938064861141925</v>
      </c>
      <c r="EA8" s="670">
        <f>INPUT!EL404</f>
        <v>1.3957890204532086</v>
      </c>
      <c r="EB8" s="680">
        <f>INPUT!EM404</f>
        <v>90.726812279734759</v>
      </c>
      <c r="EC8" s="670">
        <f>INPUT!EN404</f>
        <v>-1.8108092210663784</v>
      </c>
      <c r="ED8" s="680">
        <f>INPUT!EO404</f>
        <v>91.341679842858866</v>
      </c>
      <c r="EE8" s="670">
        <f>INPUT!EP404</f>
        <v>1.4907553809544227</v>
      </c>
      <c r="EF8" s="680">
        <f>INPUT!EQ404</f>
        <v>93.245098932349492</v>
      </c>
      <c r="EG8" s="670">
        <f>INPUT!ER404</f>
        <v>7.5491337166661676</v>
      </c>
      <c r="EH8" s="670"/>
      <c r="EI8" s="680">
        <f>INPUT!FB404</f>
        <v>0</v>
      </c>
      <c r="EJ8" s="681" t="str">
        <f>INPUT!FC404</f>
        <v>NA</v>
      </c>
      <c r="EK8" s="680">
        <f>INPUT!FD404</f>
        <v>289.900000000001</v>
      </c>
      <c r="EL8" s="681" t="str">
        <f>INPUT!FE404</f>
        <v>NA</v>
      </c>
      <c r="EM8" s="680">
        <f>INPUT!FF404</f>
        <v>-869.99999999999955</v>
      </c>
      <c r="EN8" s="681" t="str">
        <f>INPUT!FG404</f>
        <v>NM</v>
      </c>
      <c r="EO8" s="680">
        <f>INPUT!FH404</f>
        <v>-58</v>
      </c>
      <c r="EP8" s="681" t="str">
        <f>INPUT!FI404</f>
        <v>NM</v>
      </c>
      <c r="EQ8" s="680">
        <f>INPUT!FJ404</f>
        <v>68.400000000000546</v>
      </c>
      <c r="ER8" s="670" t="str">
        <f>INPUT!FK404</f>
        <v>NM</v>
      </c>
      <c r="ES8" s="680">
        <f>INPUT!FL404</f>
        <v>51.099999999999909</v>
      </c>
      <c r="ET8" s="670">
        <f>INPUT!FM404</f>
        <v>-25.292397660819443</v>
      </c>
      <c r="EU8" s="680">
        <f>INPUT!FN404</f>
        <v>185.30000000000018</v>
      </c>
      <c r="EV8" s="670" t="str">
        <f>INPUT!FO404</f>
        <v>NM</v>
      </c>
      <c r="EW8" s="680">
        <f>INPUT!FP404</f>
        <v>205.40000000000009</v>
      </c>
      <c r="EX8" s="670">
        <f>INPUT!FQ404</f>
        <v>10.847274689692332</v>
      </c>
      <c r="EY8" s="680">
        <f>INPUT!FR404</f>
        <v>278.29999999999973</v>
      </c>
      <c r="EZ8" s="670">
        <f>INPUT!FS404</f>
        <v>35.49172346640681</v>
      </c>
      <c r="FA8" s="680">
        <f>INPUT!FT404</f>
        <v>317.19999999999936</v>
      </c>
      <c r="FB8" s="670">
        <f>INPUT!FU404</f>
        <v>13.977721882860106</v>
      </c>
      <c r="FC8" s="680">
        <f>INPUT!FV404</f>
        <v>302.30000000000018</v>
      </c>
      <c r="FD8" s="670">
        <f>INPUT!FW404</f>
        <v>-4.6973518284991194</v>
      </c>
      <c r="FE8" s="680">
        <f>INPUT!FX404</f>
        <v>291.79999999999973</v>
      </c>
      <c r="FF8" s="670">
        <f>INPUT!FY404</f>
        <v>-3.473370823685229</v>
      </c>
      <c r="FG8" s="680">
        <f>INPUT!FZ404</f>
        <v>291.69999999999982</v>
      </c>
      <c r="FH8" s="670">
        <f>INPUT!GA404</f>
        <v>-3.4270047978035567E-2</v>
      </c>
      <c r="FI8" s="680">
        <f>INPUT!GB404</f>
        <v>274.80000000000018</v>
      </c>
      <c r="FJ8" s="670">
        <f>INPUT!GC404</f>
        <v>-5.793623585875773</v>
      </c>
      <c r="FK8" s="680">
        <f>INPUT!GD404</f>
        <v>272.40000000000009</v>
      </c>
      <c r="FL8" s="670">
        <f>INPUT!GE404</f>
        <v>-0.8733624454148825</v>
      </c>
      <c r="FM8" s="680">
        <f>INPUT!GF404</f>
        <v>319.70000000000027</v>
      </c>
      <c r="FN8" s="670">
        <f>INPUT!GG404</f>
        <v>17.36417033773867</v>
      </c>
      <c r="FO8" s="680">
        <f>INPUT!GH404</f>
        <v>357.79999999999973</v>
      </c>
      <c r="FP8" s="670">
        <f>INPUT!GI404</f>
        <v>11.91742258367201</v>
      </c>
      <c r="FQ8" s="680">
        <f>INPUT!GJ404</f>
        <v>365.25165591608538</v>
      </c>
      <c r="FR8" s="670">
        <f>INPUT!GK404</f>
        <v>2.0826316143336188</v>
      </c>
      <c r="FS8" s="680">
        <f>INPUT!GL404</f>
        <v>374.3973455964051</v>
      </c>
      <c r="FT8" s="670">
        <f>INPUT!GM404</f>
        <v>2.5039420170132942</v>
      </c>
      <c r="FU8" s="680">
        <f>INPUT!GN404</f>
        <v>383.9427207232352</v>
      </c>
      <c r="FV8" s="670">
        <f>INPUT!GO404</f>
        <v>2.5495306628375181</v>
      </c>
      <c r="FW8" s="680">
        <f>INPUT!GP404</f>
        <v>393.89341677023685</v>
      </c>
      <c r="FX8" s="670">
        <f>INPUT!GQ404</f>
        <v>2.5917136879838321</v>
      </c>
      <c r="FY8" s="680">
        <f>INPUT!GR404</f>
        <v>404.25685154490748</v>
      </c>
      <c r="FZ8" s="670">
        <f>INPUT!GS404</f>
        <v>2.6310251284843655</v>
      </c>
      <c r="GA8" s="994">
        <f>INPUT!GT404</f>
        <v>2.4715748100562429</v>
      </c>
    </row>
    <row r="9" spans="1:183" s="707" customFormat="1" ht="12.75" customHeight="1" x14ac:dyDescent="0.2">
      <c r="A9" s="993" t="str">
        <f>INPUT!B405</f>
        <v xml:space="preserve">  Group Life and AD&amp;D</v>
      </c>
      <c r="B9" s="680">
        <f>INPUT!M405</f>
        <v>0</v>
      </c>
      <c r="C9" s="681">
        <f>INPUT!N405</f>
        <v>0</v>
      </c>
      <c r="D9" s="680">
        <f>INPUT!O405</f>
        <v>0</v>
      </c>
      <c r="E9" s="681">
        <f>INPUT!P405</f>
        <v>0</v>
      </c>
      <c r="F9" s="680">
        <f>INPUT!Q405</f>
        <v>0</v>
      </c>
      <c r="G9" s="681">
        <f>INPUT!R405</f>
        <v>0</v>
      </c>
      <c r="H9" s="680">
        <f>INPUT!S405</f>
        <v>0</v>
      </c>
      <c r="I9" s="681">
        <f>INPUT!T405</f>
        <v>0</v>
      </c>
      <c r="J9" s="680">
        <f>INPUT!U405</f>
        <v>0</v>
      </c>
      <c r="K9" s="681">
        <f>INPUT!V405</f>
        <v>0</v>
      </c>
      <c r="L9" s="680">
        <f>INPUT!W405</f>
        <v>0</v>
      </c>
      <c r="M9" s="681" t="str">
        <f>INPUT!X405</f>
        <v>NA</v>
      </c>
      <c r="N9" s="680">
        <f>INPUT!Y405</f>
        <v>0</v>
      </c>
      <c r="O9" s="681" t="str">
        <f>INPUT!Z405</f>
        <v>NA</v>
      </c>
      <c r="P9" s="680">
        <f>INPUT!AA405</f>
        <v>0</v>
      </c>
      <c r="Q9" s="681" t="str">
        <f>INPUT!AB405</f>
        <v>NA</v>
      </c>
      <c r="R9" s="680">
        <f>INPUT!AC405</f>
        <v>46.60000000000008</v>
      </c>
      <c r="S9" s="681" t="str">
        <f>INPUT!AD405</f>
        <v>NA</v>
      </c>
      <c r="T9" s="680">
        <f>INPUT!AE405</f>
        <v>50.100000000000023</v>
      </c>
      <c r="U9" s="681" t="str">
        <f>INPUT!AF405</f>
        <v>NA</v>
      </c>
      <c r="V9" s="680">
        <f>INPUT!AG405</f>
        <v>55.230000000000018</v>
      </c>
      <c r="W9" s="681" t="str">
        <f>INPUT!AH405</f>
        <v>NA</v>
      </c>
      <c r="X9" s="680">
        <f>INPUT!AI405</f>
        <v>61.470000000000198</v>
      </c>
      <c r="Y9" s="681" t="str">
        <f>INPUT!AJ405</f>
        <v>NA</v>
      </c>
      <c r="Z9" s="680">
        <f>INPUT!AK405</f>
        <v>55.500000000000057</v>
      </c>
      <c r="AA9" s="681">
        <f>INPUT!AL405</f>
        <v>19.09871244635184</v>
      </c>
      <c r="AB9" s="680">
        <f>INPUT!AM405</f>
        <v>47.899999999999977</v>
      </c>
      <c r="AC9" s="681">
        <f>INPUT!AN405</f>
        <v>-4.3912175648703533</v>
      </c>
      <c r="AD9" s="680">
        <f>INPUT!AO405</f>
        <v>41.899999999999977</v>
      </c>
      <c r="AE9" s="681">
        <f>INPUT!AP405</f>
        <v>-24.135433641137126</v>
      </c>
      <c r="AF9" s="680">
        <f>INPUT!AQ405</f>
        <v>43.500000000000057</v>
      </c>
      <c r="AG9" s="681">
        <f>INPUT!AR405</f>
        <v>-29.233772571986471</v>
      </c>
      <c r="AH9" s="680">
        <f>INPUT!AS405</f>
        <v>43.899999999999977</v>
      </c>
      <c r="AI9" s="681">
        <f>INPUT!AT405</f>
        <v>-20.900900900901021</v>
      </c>
      <c r="AJ9" s="680">
        <f>INPUT!AU405</f>
        <v>44.799999999999955</v>
      </c>
      <c r="AK9" s="681">
        <f>INPUT!AV405</f>
        <v>-6.4718162839248912</v>
      </c>
      <c r="AL9" s="680">
        <f>INPUT!AW405</f>
        <v>43</v>
      </c>
      <c r="AM9" s="681">
        <f>INPUT!AX405</f>
        <v>2.6252983293556742</v>
      </c>
      <c r="AN9" s="680">
        <f>INPUT!AY405</f>
        <v>46.300000000000068</v>
      </c>
      <c r="AO9" s="670">
        <f>INPUT!AZ405</f>
        <v>6.43678160919543</v>
      </c>
      <c r="AP9" s="680">
        <f>INPUT!BA405</f>
        <v>49.399999999999977</v>
      </c>
      <c r="AQ9" s="670">
        <f>INPUT!BB405</f>
        <v>12.528473804100226</v>
      </c>
      <c r="AR9" s="680">
        <f>INPUT!BC405</f>
        <v>51.500000000000057</v>
      </c>
      <c r="AS9" s="670">
        <f>INPUT!BD405</f>
        <v>14.955357142857384</v>
      </c>
      <c r="AT9" s="680">
        <f>INPUT!BE405</f>
        <v>56.200000000000045</v>
      </c>
      <c r="AU9" s="670">
        <f>INPUT!BF405</f>
        <v>30.697674418604759</v>
      </c>
      <c r="AV9" s="680">
        <f>INPUT!BG405</f>
        <v>64.099999999999966</v>
      </c>
      <c r="AW9" s="670">
        <f>INPUT!BH405</f>
        <v>38.444924406047235</v>
      </c>
      <c r="AX9" s="680">
        <f>INPUT!BI405</f>
        <v>55.399999999999977</v>
      </c>
      <c r="AY9" s="670">
        <f>INPUT!BJ405</f>
        <v>12.145748987854255</v>
      </c>
      <c r="AZ9" s="680">
        <f>INPUT!BK405</f>
        <v>55.299999999999955</v>
      </c>
      <c r="BA9" s="670">
        <f>INPUT!BL405</f>
        <v>7.3786407766988305</v>
      </c>
      <c r="BB9" s="680">
        <f>INPUT!BM405</f>
        <v>50.900000000000034</v>
      </c>
      <c r="BC9" s="670">
        <f>INPUT!BN405</f>
        <v>-9.4306049822064146</v>
      </c>
      <c r="BD9" s="680">
        <f>INPUT!BO405</f>
        <v>50.300000000000011</v>
      </c>
      <c r="BE9" s="670">
        <f>INPUT!BP405</f>
        <v>-21.528861154446123</v>
      </c>
      <c r="BF9" s="680">
        <f>INPUT!BQ405</f>
        <v>48.300000000000011</v>
      </c>
      <c r="BG9" s="670">
        <f>INPUT!BR405</f>
        <v>-12.815884476534245</v>
      </c>
      <c r="BH9" s="680">
        <f>INPUT!BS405</f>
        <v>48.700000000000102</v>
      </c>
      <c r="BI9" s="670">
        <f>INPUT!BT405</f>
        <v>-11.934900542495219</v>
      </c>
      <c r="BJ9" s="680">
        <f>INPUT!BU405</f>
        <v>49.999999999999943</v>
      </c>
      <c r="BK9" s="670">
        <f>INPUT!BV405</f>
        <v>-1.7681728880158953</v>
      </c>
      <c r="BL9" s="680">
        <f>INPUT!BW405</f>
        <v>47.699999999999989</v>
      </c>
      <c r="BM9" s="670">
        <f>INPUT!BX405</f>
        <v>-5.1689860834990498</v>
      </c>
      <c r="BN9" s="680">
        <f>INPUT!BY405</f>
        <v>50.500000000000057</v>
      </c>
      <c r="BO9" s="670">
        <f>INPUT!BZ405</f>
        <v>4.5548654244307318</v>
      </c>
      <c r="BP9" s="680">
        <f>INPUT!CA405</f>
        <v>50.400000000000034</v>
      </c>
      <c r="BQ9" s="670">
        <f>INPUT!CB405</f>
        <v>3.4907597535932755</v>
      </c>
      <c r="BR9" s="680">
        <f>INPUT!CC405</f>
        <v>51.100000000000023</v>
      </c>
      <c r="BS9" s="670">
        <f>INPUT!CD405</f>
        <v>2.2000000000001574</v>
      </c>
      <c r="BT9" s="680">
        <f>INPUT!CE405</f>
        <v>52.000000000000057</v>
      </c>
      <c r="BU9" s="670">
        <f>INPUT!CF405</f>
        <v>9.0146750524110466</v>
      </c>
      <c r="BV9" s="680">
        <f>INPUT!CG405</f>
        <v>51.599999999999966</v>
      </c>
      <c r="BW9" s="670">
        <f>INPUT!CH405</f>
        <v>2.1782178217820025</v>
      </c>
      <c r="BX9" s="680">
        <f>INPUT!CI405</f>
        <v>52</v>
      </c>
      <c r="BY9" s="670">
        <f>INPUT!CJ405</f>
        <v>3.1746031746030967</v>
      </c>
      <c r="BZ9" s="680">
        <f>INPUT!CK405</f>
        <v>52.300000000000011</v>
      </c>
      <c r="CA9" s="670">
        <f>INPUT!CL405</f>
        <v>2.348336594911915</v>
      </c>
      <c r="CB9" s="680">
        <f>INPUT!CM405</f>
        <v>52.599999999999966</v>
      </c>
      <c r="CC9" s="670">
        <f>INPUT!CN405</f>
        <v>1.1538461538459721</v>
      </c>
      <c r="CD9" s="680">
        <f>INPUT!CO405</f>
        <v>52.399999999999977</v>
      </c>
      <c r="CE9" s="670">
        <f>INPUT!CP405</f>
        <v>1.5503875968992498</v>
      </c>
      <c r="CF9" s="680">
        <f>INPUT!CQ405</f>
        <v>57.299999999999955</v>
      </c>
      <c r="CG9" s="670">
        <f>INPUT!CR405</f>
        <v>10.192307692307612</v>
      </c>
      <c r="CH9" s="680">
        <f>INPUT!CS405</f>
        <v>56.100000000000023</v>
      </c>
      <c r="CI9" s="670">
        <f>INPUT!CT405</f>
        <v>7.2657743785851103</v>
      </c>
      <c r="CJ9" s="680">
        <f>INPUT!CU405</f>
        <v>55.100000000000023</v>
      </c>
      <c r="CK9" s="670">
        <f>INPUT!CV405</f>
        <v>4.7528517110267288</v>
      </c>
      <c r="CL9" s="680">
        <f>INPUT!CW405</f>
        <v>57.000000000000057</v>
      </c>
      <c r="CM9" s="670">
        <f>INPUT!CX405</f>
        <v>8.7786259541986276</v>
      </c>
      <c r="CN9" s="680">
        <f>INPUT!CY405</f>
        <v>56.099999999999966</v>
      </c>
      <c r="CO9" s="670">
        <f>INPUT!CZ405</f>
        <v>-2.0942408376963151</v>
      </c>
      <c r="CP9" s="680">
        <f>INPUT!DA405</f>
        <v>57.700000000000045</v>
      </c>
      <c r="CQ9" s="670">
        <f>INPUT!DB405</f>
        <v>2.8520499108734887</v>
      </c>
      <c r="CR9" s="680">
        <f>INPUT!DC405</f>
        <v>61.79999999999999</v>
      </c>
      <c r="CS9" s="670">
        <f>INPUT!DD405</f>
        <v>12.159709618874714</v>
      </c>
      <c r="CT9" s="680">
        <f>INPUT!DE405</f>
        <v>58.699999999999989</v>
      </c>
      <c r="CU9" s="670">
        <f>INPUT!DF405</f>
        <v>2.9824561403507532</v>
      </c>
      <c r="CV9" s="680">
        <f>INPUT!DG405</f>
        <v>60.599999999999966</v>
      </c>
      <c r="CW9" s="670">
        <f>INPUT!DH405</f>
        <v>8.0213903743315598</v>
      </c>
      <c r="CX9" s="680">
        <f>INPUT!DI405</f>
        <v>61.800000000000011</v>
      </c>
      <c r="CY9" s="670">
        <f>INPUT!DJ405</f>
        <v>7.1057192374349487</v>
      </c>
      <c r="CZ9" s="680">
        <f>INPUT!DK405</f>
        <v>59.300000000000011</v>
      </c>
      <c r="DA9" s="670">
        <f>INPUT!DL405</f>
        <v>-4.0453074433656644</v>
      </c>
      <c r="DB9" s="680">
        <f>INPUT!DM405</f>
        <v>57.900000000000034</v>
      </c>
      <c r="DC9" s="670">
        <f>INPUT!DN405</f>
        <v>-1.3628620102213884</v>
      </c>
      <c r="DD9" s="680">
        <f>INPUT!DO405</f>
        <v>52.500000000000057</v>
      </c>
      <c r="DE9" s="670">
        <f>INPUT!DP405</f>
        <v>-13.366336633663224</v>
      </c>
      <c r="DF9" s="680">
        <f>INPUT!DQ405</f>
        <v>60.199999999999989</v>
      </c>
      <c r="DG9" s="670">
        <f>INPUT!DR405</f>
        <v>-2.5889967637540812</v>
      </c>
      <c r="DH9" s="680">
        <f>INPUT!DS405</f>
        <v>54.300000000000068</v>
      </c>
      <c r="DI9" s="670">
        <f>INPUT!DT405</f>
        <v>-8.4317032040471247</v>
      </c>
      <c r="DJ9" s="680">
        <f>INPUT!DU405</f>
        <v>55.400000000000034</v>
      </c>
      <c r="DK9" s="670">
        <f>INPUT!DV405</f>
        <v>-4.3177892918825567</v>
      </c>
      <c r="DL9" s="680">
        <f>INPUT!DW405</f>
        <v>56.900000000000034</v>
      </c>
      <c r="DM9" s="670">
        <f>INPUT!DX405</f>
        <v>8.3809523809523334</v>
      </c>
      <c r="DN9" s="680">
        <f>INPUT!DY405</f>
        <v>53.400000000000091</v>
      </c>
      <c r="DO9" s="670">
        <f>INPUT!DZ405</f>
        <v>-11.295681063122753</v>
      </c>
      <c r="DP9" s="680">
        <f>INPUT!EA405</f>
        <v>56.099999999999966</v>
      </c>
      <c r="DQ9" s="670">
        <f>INPUT!EB405</f>
        <v>3.3149171270716371</v>
      </c>
      <c r="DR9" s="680">
        <f>INPUT!EC405</f>
        <v>56</v>
      </c>
      <c r="DS9" s="670">
        <f>INPUT!ED405</f>
        <v>1.083032490974678</v>
      </c>
      <c r="DT9" s="680">
        <f>INPUT!EE405</f>
        <v>60.899999999999977</v>
      </c>
      <c r="DU9" s="670">
        <f>INPUT!EF405</f>
        <v>7.0298769771528047</v>
      </c>
      <c r="DV9" s="680">
        <f>INPUT!EG405</f>
        <v>60.099999999999966</v>
      </c>
      <c r="DW9" s="670">
        <f>INPUT!EH405</f>
        <v>12.546816479400501</v>
      </c>
      <c r="DX9" s="680">
        <f>INPUT!EI405</f>
        <v>57</v>
      </c>
      <c r="DY9" s="670">
        <f>INPUT!EJ405</f>
        <v>1.604278074866361</v>
      </c>
      <c r="DZ9" s="680">
        <f>INPUT!EK405</f>
        <v>59.34967282740115</v>
      </c>
      <c r="EA9" s="670">
        <f>INPUT!EL405</f>
        <v>5.9815586203592064</v>
      </c>
      <c r="EB9" s="680">
        <f>INPUT!EM405</f>
        <v>59.445351055041499</v>
      </c>
      <c r="EC9" s="670">
        <f>INPUT!EN405</f>
        <v>-2.3885861165163891</v>
      </c>
      <c r="ED9" s="680">
        <f>INPUT!EO405</f>
        <v>60.879614772134801</v>
      </c>
      <c r="EE9" s="670">
        <f>INPUT!EP405</f>
        <v>1.2971959602908978</v>
      </c>
      <c r="EF9" s="680">
        <f>INPUT!EQ405</f>
        <v>61.023887542128818</v>
      </c>
      <c r="EG9" s="670">
        <f>INPUT!ER405</f>
        <v>7.0594518282961705</v>
      </c>
      <c r="EH9" s="670"/>
      <c r="EI9" s="680">
        <f>INPUT!FB405</f>
        <v>0</v>
      </c>
      <c r="EJ9" s="681" t="str">
        <f>INPUT!FC405</f>
        <v>NA</v>
      </c>
      <c r="EK9" s="680">
        <f>INPUT!FD405</f>
        <v>224.09999999999991</v>
      </c>
      <c r="EL9" s="681" t="str">
        <f>INPUT!FE405</f>
        <v>NA</v>
      </c>
      <c r="EM9" s="680">
        <f>INPUT!FF405</f>
        <v>222.70000000000005</v>
      </c>
      <c r="EN9" s="681">
        <f>INPUT!FG405</f>
        <v>-0.62472110664876235</v>
      </c>
      <c r="EO9" s="680">
        <f>INPUT!FH405</f>
        <v>213.40000000000032</v>
      </c>
      <c r="EP9" s="681">
        <f>INPUT!FI405</f>
        <v>-4.1760215536595036</v>
      </c>
      <c r="EQ9" s="680">
        <f>INPUT!FJ405</f>
        <v>188.80000000000018</v>
      </c>
      <c r="ER9" s="670">
        <f>INPUT!FK405</f>
        <v>-11.527647610121882</v>
      </c>
      <c r="ES9" s="680">
        <f>INPUT!FL405</f>
        <v>178.00000000000023</v>
      </c>
      <c r="ET9" s="670">
        <f>INPUT!FM405</f>
        <v>-5.7203389830508211</v>
      </c>
      <c r="EU9" s="680">
        <f>INPUT!FN405</f>
        <v>221.20000000000027</v>
      </c>
      <c r="EV9" s="670">
        <f>INPUT!FO405</f>
        <v>24.269662921348313</v>
      </c>
      <c r="EW9" s="680">
        <f>INPUT!FP405</f>
        <v>211.90000000000009</v>
      </c>
      <c r="EX9" s="670">
        <f>INPUT!FQ405</f>
        <v>-4.2043399638337142</v>
      </c>
      <c r="EY9" s="680">
        <f>INPUT!FR405</f>
        <v>193.60000000000014</v>
      </c>
      <c r="EZ9" s="670">
        <f>INPUT!FS405</f>
        <v>-8.6361491269466466</v>
      </c>
      <c r="FA9" s="680">
        <f>INPUT!FT405</f>
        <v>204</v>
      </c>
      <c r="FB9" s="670">
        <f>INPUT!FU405</f>
        <v>5.3719008264462076</v>
      </c>
      <c r="FC9" s="680">
        <f>INPUT!FV405</f>
        <v>208.50000000000023</v>
      </c>
      <c r="FD9" s="670">
        <f>INPUT!FW405</f>
        <v>2.2058823529412797</v>
      </c>
      <c r="FE9" s="680">
        <f>INPUT!FX405</f>
        <v>219.40000000000009</v>
      </c>
      <c r="FF9" s="670">
        <f>INPUT!FY405</f>
        <v>5.227817745803276</v>
      </c>
      <c r="FG9" s="680">
        <f>INPUT!FZ405</f>
        <v>232.59999999999977</v>
      </c>
      <c r="FH9" s="670">
        <f>INPUT!GA405</f>
        <v>6.0164083865085205</v>
      </c>
      <c r="FI9" s="680">
        <f>INPUT!GB405</f>
        <v>240.40000000000009</v>
      </c>
      <c r="FJ9" s="670">
        <f>INPUT!GC405</f>
        <v>3.3533963886501761</v>
      </c>
      <c r="FK9" s="680">
        <f>INPUT!GD405</f>
        <v>224.89999999999964</v>
      </c>
      <c r="FL9" s="670">
        <f>INPUT!GE405</f>
        <v>-6.4475873544095013</v>
      </c>
      <c r="FM9" s="680">
        <f>INPUT!GF405</f>
        <v>221.80000000000041</v>
      </c>
      <c r="FN9" s="670">
        <f>INPUT!GG405</f>
        <v>-1.3783903957310994</v>
      </c>
      <c r="FO9" s="680">
        <f>INPUT!GH405</f>
        <v>234.00000000000023</v>
      </c>
      <c r="FP9" s="670">
        <f>INPUT!GI405</f>
        <v>5.5004508566274923</v>
      </c>
      <c r="FQ9" s="680">
        <f>INPUT!GJ405</f>
        <v>240.69852619670655</v>
      </c>
      <c r="FR9" s="670">
        <f>INPUT!GK405</f>
        <v>2.8626180327804729</v>
      </c>
      <c r="FS9" s="680">
        <f>INPUT!GL405</f>
        <v>248.25402536248612</v>
      </c>
      <c r="FT9" s="670">
        <f>INPUT!GM405</f>
        <v>3.1389885451998945</v>
      </c>
      <c r="FU9" s="680">
        <f>INPUT!GN405</f>
        <v>256.05993344784497</v>
      </c>
      <c r="FV9" s="670">
        <f>INPUT!GO405</f>
        <v>3.1443228660486433</v>
      </c>
      <c r="FW9" s="680">
        <f>INPUT!GP405</f>
        <v>265.93371702713944</v>
      </c>
      <c r="FX9" s="670">
        <f>INPUT!GQ405</f>
        <v>3.8560439528137147</v>
      </c>
      <c r="FY9" s="680">
        <f>INPUT!GR405</f>
        <v>274.31214129214072</v>
      </c>
      <c r="FZ9" s="670">
        <f>INPUT!GS405</f>
        <v>3.1505686299064584</v>
      </c>
      <c r="GA9" s="994">
        <f>INPUT!GT405</f>
        <v>3.2299779496921976</v>
      </c>
    </row>
    <row r="10" spans="1:183" s="707" customFormat="1" ht="12.75" customHeight="1" x14ac:dyDescent="0.2">
      <c r="A10" s="993" t="str">
        <f>INPUT!B406</f>
        <v xml:space="preserve">  Supplemental and Voluntary</v>
      </c>
      <c r="B10" s="680">
        <f>INPUT!M406</f>
        <v>0</v>
      </c>
      <c r="C10" s="681">
        <f>INPUT!N406</f>
        <v>0</v>
      </c>
      <c r="D10" s="680">
        <f>INPUT!O406</f>
        <v>0</v>
      </c>
      <c r="E10" s="681">
        <f>INPUT!P406</f>
        <v>0</v>
      </c>
      <c r="F10" s="680">
        <f>INPUT!Q406</f>
        <v>0</v>
      </c>
      <c r="G10" s="681">
        <f>INPUT!R406</f>
        <v>0</v>
      </c>
      <c r="H10" s="680">
        <f>INPUT!S406</f>
        <v>0</v>
      </c>
      <c r="I10" s="681">
        <f>INPUT!T406</f>
        <v>0</v>
      </c>
      <c r="J10" s="680">
        <f>INPUT!U406</f>
        <v>0</v>
      </c>
      <c r="K10" s="681">
        <f>INPUT!V406</f>
        <v>0</v>
      </c>
      <c r="L10" s="680">
        <f>INPUT!W406</f>
        <v>0</v>
      </c>
      <c r="M10" s="681" t="str">
        <f>INPUT!X406</f>
        <v>NA</v>
      </c>
      <c r="N10" s="680">
        <f>INPUT!Y406</f>
        <v>0</v>
      </c>
      <c r="O10" s="681" t="str">
        <f>INPUT!Z406</f>
        <v>NA</v>
      </c>
      <c r="P10" s="680">
        <f>INPUT!AA406</f>
        <v>0</v>
      </c>
      <c r="Q10" s="681" t="str">
        <f>INPUT!AB406</f>
        <v>NA</v>
      </c>
      <c r="R10" s="680">
        <f>INPUT!AC406</f>
        <v>51.299999999999955</v>
      </c>
      <c r="S10" s="681" t="str">
        <f>INPUT!AD406</f>
        <v>NA</v>
      </c>
      <c r="T10" s="680">
        <f>INPUT!AE406</f>
        <v>44.5</v>
      </c>
      <c r="U10" s="681" t="str">
        <f>INPUT!AF406</f>
        <v>NA</v>
      </c>
      <c r="V10" s="680">
        <f>INPUT!AG406</f>
        <v>42.199999999999989</v>
      </c>
      <c r="W10" s="681" t="str">
        <f>INPUT!AH406</f>
        <v>NA</v>
      </c>
      <c r="X10" s="680">
        <f>INPUT!AI406</f>
        <v>42.200000000000138</v>
      </c>
      <c r="Y10" s="681" t="str">
        <f>INPUT!AJ406</f>
        <v>NA</v>
      </c>
      <c r="Z10" s="680">
        <f>INPUT!AK406</f>
        <v>41.500000000000057</v>
      </c>
      <c r="AA10" s="681">
        <f>INPUT!AL406</f>
        <v>-19.103313840155767</v>
      </c>
      <c r="AB10" s="680">
        <f>INPUT!AM406</f>
        <v>43.399999999999977</v>
      </c>
      <c r="AC10" s="681">
        <f>INPUT!AN406</f>
        <v>-2.4719101123595988</v>
      </c>
      <c r="AD10" s="680">
        <f>INPUT!AO406</f>
        <v>39.5</v>
      </c>
      <c r="AE10" s="681">
        <f>INPUT!AP406</f>
        <v>-6.3981042654028153</v>
      </c>
      <c r="AF10" s="680">
        <f>INPUT!AQ406</f>
        <v>46.800000000000011</v>
      </c>
      <c r="AG10" s="681">
        <f>INPUT!AR406</f>
        <v>10.900473933648946</v>
      </c>
      <c r="AH10" s="680">
        <f>INPUT!AS406</f>
        <v>56.199999999999989</v>
      </c>
      <c r="AI10" s="681">
        <f>INPUT!AT406</f>
        <v>35.421686746987731</v>
      </c>
      <c r="AJ10" s="680">
        <f>INPUT!AU406</f>
        <v>49.299999999999898</v>
      </c>
      <c r="AK10" s="681">
        <f>INPUT!AV406</f>
        <v>13.594470046082762</v>
      </c>
      <c r="AL10" s="680">
        <f>INPUT!AW406</f>
        <v>58.800000000000011</v>
      </c>
      <c r="AM10" s="681">
        <f>INPUT!AX406</f>
        <v>48.860759493670926</v>
      </c>
      <c r="AN10" s="680">
        <f>INPUT!AY406</f>
        <v>54.500000000000057</v>
      </c>
      <c r="AO10" s="670">
        <f>INPUT!AZ406</f>
        <v>16.452991452991551</v>
      </c>
      <c r="AP10" s="680">
        <f>INPUT!BA406</f>
        <v>57.799999999999955</v>
      </c>
      <c r="AQ10" s="670">
        <f>INPUT!BB406</f>
        <v>2.846975088967918</v>
      </c>
      <c r="AR10" s="680">
        <f>INPUT!BC406</f>
        <v>49.299999999999898</v>
      </c>
      <c r="AS10" s="670">
        <f>INPUT!BD406</f>
        <v>0</v>
      </c>
      <c r="AT10" s="680">
        <f>INPUT!BE406</f>
        <v>50.099999999999909</v>
      </c>
      <c r="AU10" s="670">
        <f>INPUT!BF406</f>
        <v>-14.795918367347106</v>
      </c>
      <c r="AV10" s="680">
        <f>INPUT!BG406</f>
        <v>57.10000000000008</v>
      </c>
      <c r="AW10" s="670">
        <f>INPUT!BH406</f>
        <v>4.770642201834896</v>
      </c>
      <c r="AX10" s="680">
        <f>INPUT!BI406</f>
        <v>62.800000000000011</v>
      </c>
      <c r="AY10" s="670">
        <f>INPUT!BJ406</f>
        <v>8.6505190311419788</v>
      </c>
      <c r="AZ10" s="680">
        <f>INPUT!BK406</f>
        <v>70.299999999999898</v>
      </c>
      <c r="BA10" s="670">
        <f>INPUT!BL406</f>
        <v>42.59634888438142</v>
      </c>
      <c r="BB10" s="680">
        <f>INPUT!BM406</f>
        <v>66.099999999999966</v>
      </c>
      <c r="BC10" s="670">
        <f>INPUT!BN406</f>
        <v>31.936127744511154</v>
      </c>
      <c r="BD10" s="680">
        <f>INPUT!BO406</f>
        <v>72.599999999999966</v>
      </c>
      <c r="BE10" s="670">
        <f>INPUT!BP406</f>
        <v>27.145359019264205</v>
      </c>
      <c r="BF10" s="680">
        <f>INPUT!BQ406</f>
        <v>77.599999999999966</v>
      </c>
      <c r="BG10" s="670">
        <f>INPUT!BR406</f>
        <v>23.566878980891648</v>
      </c>
      <c r="BH10" s="680">
        <f>INPUT!BS406</f>
        <v>74.299999999999955</v>
      </c>
      <c r="BI10" s="670">
        <f>INPUT!BT406</f>
        <v>5.6899004267426223</v>
      </c>
      <c r="BJ10" s="680">
        <f>INPUT!BU406</f>
        <v>72.099999999999909</v>
      </c>
      <c r="BK10" s="670">
        <f>INPUT!BV406</f>
        <v>9.0771558245082318</v>
      </c>
      <c r="BL10" s="680">
        <f>INPUT!BW406</f>
        <v>82.699999999999932</v>
      </c>
      <c r="BM10" s="670">
        <f>INPUT!BX406</f>
        <v>13.911845730027505</v>
      </c>
      <c r="BN10" s="680">
        <f>INPUT!BY406</f>
        <v>56.199999999999989</v>
      </c>
      <c r="BO10" s="670">
        <f>INPUT!BZ406</f>
        <v>-27.577319587628846</v>
      </c>
      <c r="BP10" s="680">
        <f>INPUT!CA406</f>
        <v>65.699999999999989</v>
      </c>
      <c r="BQ10" s="670">
        <f>INPUT!CB406</f>
        <v>-11.574697173620418</v>
      </c>
      <c r="BR10" s="680">
        <f>INPUT!CC406</f>
        <v>61.400000000000006</v>
      </c>
      <c r="BS10" s="670">
        <f>INPUT!CD406</f>
        <v>-14.840499306518605</v>
      </c>
      <c r="BT10" s="680">
        <f>INPUT!CE406</f>
        <v>64.800000000000011</v>
      </c>
      <c r="BU10" s="670">
        <f>INPUT!CF406</f>
        <v>-21.644498186215156</v>
      </c>
      <c r="BV10" s="680">
        <f>INPUT!CG406</f>
        <v>69.300000000000011</v>
      </c>
      <c r="BW10" s="670">
        <f>INPUT!CH406</f>
        <v>23.309608540925318</v>
      </c>
      <c r="BX10" s="680">
        <f>INPUT!CI406</f>
        <v>74.900000000000006</v>
      </c>
      <c r="BY10" s="670">
        <f>INPUT!CJ406</f>
        <v>14.003044140030463</v>
      </c>
      <c r="BZ10" s="680">
        <f>INPUT!CK406</f>
        <v>78.699999999999989</v>
      </c>
      <c r="CA10" s="670">
        <f>INPUT!CL406</f>
        <v>28.17589576547228</v>
      </c>
      <c r="CB10" s="680">
        <f>INPUT!CM406</f>
        <v>77.699999999999989</v>
      </c>
      <c r="CC10" s="670">
        <f>INPUT!CN406</f>
        <v>19.907407407407373</v>
      </c>
      <c r="CD10" s="680">
        <f>INPUT!CO406</f>
        <v>78.800000000000011</v>
      </c>
      <c r="CE10" s="670">
        <f>INPUT!CP406</f>
        <v>13.708513708513713</v>
      </c>
      <c r="CF10" s="680">
        <f>INPUT!CQ406</f>
        <v>85</v>
      </c>
      <c r="CG10" s="670">
        <f>INPUT!CR406</f>
        <v>13.484646194926553</v>
      </c>
      <c r="CH10" s="680">
        <f>INPUT!CS406</f>
        <v>85.699999999999989</v>
      </c>
      <c r="CI10" s="670">
        <f>INPUT!CT406</f>
        <v>8.8945362134688732</v>
      </c>
      <c r="CJ10" s="680">
        <f>INPUT!CU406</f>
        <v>83.599999999999966</v>
      </c>
      <c r="CK10" s="670">
        <f>INPUT!CV406</f>
        <v>7.5933075933075633</v>
      </c>
      <c r="CL10" s="680">
        <f>INPUT!CW406</f>
        <v>80.999999999999943</v>
      </c>
      <c r="CM10" s="670">
        <f>INPUT!CX406</f>
        <v>2.7918781725887465</v>
      </c>
      <c r="CN10" s="680">
        <f>INPUT!CY406</f>
        <v>83</v>
      </c>
      <c r="CO10" s="670">
        <f>INPUT!CZ406</f>
        <v>-2.352941176470591</v>
      </c>
      <c r="CP10" s="680">
        <f>INPUT!DA406</f>
        <v>81.299999999999955</v>
      </c>
      <c r="CQ10" s="670">
        <f>INPUT!DB406</f>
        <v>-5.1341890315052874</v>
      </c>
      <c r="CR10" s="680">
        <f>INPUT!DC406</f>
        <v>85.199999999999974</v>
      </c>
      <c r="CS10" s="670">
        <f>INPUT!DD406</f>
        <v>1.9138755980861344</v>
      </c>
      <c r="CT10" s="680">
        <f>INPUT!DE406</f>
        <v>81.199999999999989</v>
      </c>
      <c r="CU10" s="670">
        <f>INPUT!DF406</f>
        <v>0.24691358024697685</v>
      </c>
      <c r="CV10" s="680">
        <f>INPUT!DG406</f>
        <v>82.5</v>
      </c>
      <c r="CW10" s="670">
        <f>INPUT!DH406</f>
        <v>-0.60240963855421326</v>
      </c>
      <c r="CX10" s="680">
        <f>INPUT!DI406</f>
        <v>81.699999999999989</v>
      </c>
      <c r="CY10" s="670">
        <f>INPUT!DJ406</f>
        <v>0.49200492004923824</v>
      </c>
      <c r="CZ10" s="680">
        <f>INPUT!DK406</f>
        <v>84.300000000000011</v>
      </c>
      <c r="DA10" s="670">
        <f>INPUT!DL406</f>
        <v>-1.0563380281689683</v>
      </c>
      <c r="DB10" s="680">
        <f>INPUT!DM406</f>
        <v>82.100000000000023</v>
      </c>
      <c r="DC10" s="670">
        <f>INPUT!DN406</f>
        <v>1.108374384236499</v>
      </c>
      <c r="DD10" s="680">
        <f>INPUT!DO406</f>
        <v>89.100000000000023</v>
      </c>
      <c r="DE10" s="670">
        <f>INPUT!DP406</f>
        <v>8.0000000000000284</v>
      </c>
      <c r="DF10" s="680">
        <f>INPUT!DQ406</f>
        <v>87.699999999999989</v>
      </c>
      <c r="DG10" s="670">
        <f>INPUT!DR406</f>
        <v>7.3439412484700206</v>
      </c>
      <c r="DH10" s="680">
        <f>INPUT!DS406</f>
        <v>93.800000000000011</v>
      </c>
      <c r="DI10" s="670">
        <f>INPUT!DT406</f>
        <v>11.26927639383155</v>
      </c>
      <c r="DJ10" s="680">
        <f>INPUT!DU406</f>
        <v>90.10000000000008</v>
      </c>
      <c r="DK10" s="670">
        <f>INPUT!DV406</f>
        <v>9.7442143727162644</v>
      </c>
      <c r="DL10" s="680">
        <f>INPUT!DW406</f>
        <v>95.899999999999977</v>
      </c>
      <c r="DM10" s="670">
        <f>INPUT!DX406</f>
        <v>7.6318742985409083</v>
      </c>
      <c r="DN10" s="680">
        <f>INPUT!DY406</f>
        <v>92.199999999999989</v>
      </c>
      <c r="DO10" s="670">
        <f>INPUT!DZ406</f>
        <v>5.1311288483466333</v>
      </c>
      <c r="DP10" s="680">
        <f>INPUT!EA406</f>
        <v>94.500000000000057</v>
      </c>
      <c r="DQ10" s="670">
        <f>INPUT!EB406</f>
        <v>0.74626865671647558</v>
      </c>
      <c r="DR10" s="680">
        <f>INPUT!EC406</f>
        <v>94.39999999999992</v>
      </c>
      <c r="DS10" s="670">
        <f>INPUT!ED406</f>
        <v>4.7724750277467587</v>
      </c>
      <c r="DT10" s="680">
        <f>INPUT!EE406</f>
        <v>94.5</v>
      </c>
      <c r="DU10" s="670">
        <f>INPUT!EF406</f>
        <v>-1.4598540145985162</v>
      </c>
      <c r="DV10" s="680">
        <f>INPUT!EG406</f>
        <v>108.30000000000001</v>
      </c>
      <c r="DW10" s="670">
        <f>INPUT!EH406</f>
        <v>17.462039045553169</v>
      </c>
      <c r="DX10" s="680">
        <f>INPUT!EI406</f>
        <v>100.99999999999997</v>
      </c>
      <c r="DY10" s="670">
        <f>INPUT!EJ406</f>
        <v>6.8783068783067947</v>
      </c>
      <c r="DZ10" s="680">
        <f>INPUT!EK406</f>
        <v>98.466221399999995</v>
      </c>
      <c r="EA10" s="670">
        <f>INPUT!EL406</f>
        <v>4.3074379237288962</v>
      </c>
      <c r="EB10" s="680">
        <f>INPUT!EM406</f>
        <v>99.751249385200083</v>
      </c>
      <c r="EC10" s="670">
        <f>INPUT!EN406</f>
        <v>5.5568776562963773</v>
      </c>
      <c r="ED10" s="680">
        <f>INPUT!EO406</f>
        <v>101.05460845413364</v>
      </c>
      <c r="EE10" s="670">
        <f>INPUT!EP406</f>
        <v>-6.6901122307168714</v>
      </c>
      <c r="EF10" s="680">
        <f>INPUT!EQ406</f>
        <v>101.94428273594559</v>
      </c>
      <c r="EG10" s="670">
        <f>INPUT!ER406</f>
        <v>0.93493340192636332</v>
      </c>
      <c r="EH10" s="670"/>
      <c r="EI10" s="680">
        <f>INPUT!FB406</f>
        <v>0</v>
      </c>
      <c r="EJ10" s="681" t="str">
        <f>INPUT!FC406</f>
        <v>NA</v>
      </c>
      <c r="EK10" s="680">
        <f>INPUT!FD406</f>
        <v>188.99999999999977</v>
      </c>
      <c r="EL10" s="681" t="str">
        <f>INPUT!FE406</f>
        <v>NA</v>
      </c>
      <c r="EM10" s="680">
        <f>INPUT!FF406</f>
        <v>216.09999999999991</v>
      </c>
      <c r="EN10" s="681">
        <f>INPUT!FG406</f>
        <v>14.338624338624427</v>
      </c>
      <c r="EO10" s="680">
        <f>INPUT!FH406</f>
        <v>180.09999999999991</v>
      </c>
      <c r="EP10" s="681">
        <f>INPUT!FI406</f>
        <v>-16.658954187875985</v>
      </c>
      <c r="EQ10" s="680">
        <f>INPUT!FJ406</f>
        <v>171.20000000000005</v>
      </c>
      <c r="ER10" s="670">
        <f>INPUT!FK406</f>
        <v>-4.9416990560798846</v>
      </c>
      <c r="ES10" s="680">
        <f>INPUT!FL406</f>
        <v>218.80000000000041</v>
      </c>
      <c r="ET10" s="670">
        <f>INPUT!FM406</f>
        <v>27.803738317757222</v>
      </c>
      <c r="EU10" s="680">
        <f>INPUT!FN406</f>
        <v>214.29999999999973</v>
      </c>
      <c r="EV10" s="670">
        <f>INPUT!FO406</f>
        <v>-2.0566727605121904</v>
      </c>
      <c r="EW10" s="680">
        <f>INPUT!FP406</f>
        <v>271.79999999999995</v>
      </c>
      <c r="EX10" s="670">
        <f>INPUT!FQ406</f>
        <v>26.831544563695896</v>
      </c>
      <c r="EY10" s="680">
        <f>INPUT!FR406</f>
        <v>247.10000000000002</v>
      </c>
      <c r="EZ10" s="670">
        <f>INPUT!FS406</f>
        <v>-9.0875643855776076</v>
      </c>
      <c r="FA10" s="680">
        <f>INPUT!FT406</f>
        <v>248.10000000000014</v>
      </c>
      <c r="FB10" s="670">
        <f>INPUT!FU406</f>
        <v>0.40469445568600548</v>
      </c>
      <c r="FC10" s="680">
        <f>INPUT!FV406</f>
        <v>300.59999999999991</v>
      </c>
      <c r="FD10" s="670">
        <f>INPUT!FW406</f>
        <v>21.160822249093016</v>
      </c>
      <c r="FE10" s="680">
        <f>INPUT!FX406</f>
        <v>331.59999999999968</v>
      </c>
      <c r="FF10" s="670">
        <f>INPUT!FY406</f>
        <v>10.312707917498255</v>
      </c>
      <c r="FG10" s="680">
        <f>INPUT!FZ406</f>
        <v>330.50000000000028</v>
      </c>
      <c r="FH10" s="670">
        <f>INPUT!GA406</f>
        <v>-0.33172496984300581</v>
      </c>
      <c r="FI10" s="680">
        <f>INPUT!GB406</f>
        <v>329.69999999999982</v>
      </c>
      <c r="FJ10" s="670">
        <f>INPUT!GC406</f>
        <v>-0.24205748865369081</v>
      </c>
      <c r="FK10" s="680">
        <f>INPUT!GD406</f>
        <v>352.70000000000027</v>
      </c>
      <c r="FL10" s="670">
        <f>INPUT!GE406</f>
        <v>6.9760388231727255</v>
      </c>
      <c r="FM10" s="680">
        <f>INPUT!GF406</f>
        <v>372.70000000000005</v>
      </c>
      <c r="FN10" s="670">
        <f>INPUT!GG406</f>
        <v>5.6705415367166889</v>
      </c>
      <c r="FO10" s="680">
        <f>INPUT!GH406</f>
        <v>398.19999999999993</v>
      </c>
      <c r="FP10" s="670">
        <f>INPUT!GI406</f>
        <v>6.8419640461496956</v>
      </c>
      <c r="FQ10" s="680">
        <f>INPUT!GJ406</f>
        <v>401.21636197527914</v>
      </c>
      <c r="FR10" s="670">
        <f>INPUT!GK406</f>
        <v>0.75749924040160455</v>
      </c>
      <c r="FS10" s="680">
        <f>INPUT!GL406</f>
        <v>416.22289684887323</v>
      </c>
      <c r="FT10" s="670">
        <f>INPUT!GM406</f>
        <v>3.7402599434662953</v>
      </c>
      <c r="FU10" s="680">
        <f>INPUT!GN406</f>
        <v>431.82812996939197</v>
      </c>
      <c r="FV10" s="670">
        <f>INPUT!GO406</f>
        <v>3.7492490775164811</v>
      </c>
      <c r="FW10" s="680">
        <f>INPUT!GP406</f>
        <v>448.05744739427882</v>
      </c>
      <c r="FX10" s="670">
        <f>INPUT!GQ406</f>
        <v>3.7582816631323235</v>
      </c>
      <c r="FY10" s="680">
        <f>INPUT!GR406</f>
        <v>461.31059094722605</v>
      </c>
      <c r="FZ10" s="670">
        <f>INPUT!GS406</f>
        <v>2.9579116762866287</v>
      </c>
      <c r="GA10" s="994">
        <f>INPUT!GT406</f>
        <v>2.9860577590697046</v>
      </c>
    </row>
    <row r="11" spans="1:183" s="707" customFormat="1" ht="12.75" customHeight="1" x14ac:dyDescent="0.2">
      <c r="A11" s="993" t="str">
        <f>INPUT!B403</f>
        <v>US Brokerage</v>
      </c>
      <c r="B11" s="680">
        <f>INPUT!M403</f>
        <v>0</v>
      </c>
      <c r="C11" s="681" t="str">
        <f>INPUT!N403</f>
        <v>NA</v>
      </c>
      <c r="D11" s="680">
        <f>INPUT!O403</f>
        <v>0</v>
      </c>
      <c r="E11" s="681" t="str">
        <f>INPUT!P403</f>
        <v>NA</v>
      </c>
      <c r="F11" s="680">
        <f>INPUT!Q403</f>
        <v>0</v>
      </c>
      <c r="G11" s="681" t="str">
        <f>INPUT!R403</f>
        <v>NA</v>
      </c>
      <c r="H11" s="680">
        <f>INPUT!S403</f>
        <v>0</v>
      </c>
      <c r="I11" s="681" t="str">
        <f>INPUT!T403</f>
        <v>NA</v>
      </c>
      <c r="J11" s="680">
        <f>INPUT!U403</f>
        <v>-339.30000000000064</v>
      </c>
      <c r="K11" s="681" t="str">
        <f>INPUT!V403</f>
        <v>NA</v>
      </c>
      <c r="L11" s="680">
        <f>INPUT!W403</f>
        <v>127.20000000000005</v>
      </c>
      <c r="M11" s="681" t="str">
        <f>INPUT!X403</f>
        <v>NA</v>
      </c>
      <c r="N11" s="680">
        <f>INPUT!Y403</f>
        <v>122.50000000000023</v>
      </c>
      <c r="O11" s="681" t="str">
        <f>INPUT!Z403</f>
        <v>NA</v>
      </c>
      <c r="P11" s="680">
        <f>INPUT!AA403</f>
        <v>-341.59999999999991</v>
      </c>
      <c r="Q11" s="681" t="str">
        <f>INPUT!AB403</f>
        <v>NA</v>
      </c>
      <c r="R11" s="680">
        <f>INPUT!AC403</f>
        <v>92.799999999999955</v>
      </c>
      <c r="S11" s="681" t="str">
        <f>INPUT!AD403</f>
        <v>NM</v>
      </c>
      <c r="T11" s="680">
        <f>INPUT!AE403</f>
        <v>113.60000000000014</v>
      </c>
      <c r="U11" s="681">
        <f>INPUT!AF403</f>
        <v>-10.69182389937099</v>
      </c>
      <c r="V11" s="680">
        <f>INPUT!AG403</f>
        <v>114.13000000000011</v>
      </c>
      <c r="W11" s="681">
        <f>INPUT!AH403</f>
        <v>-6.8326530612245691</v>
      </c>
      <c r="X11" s="680">
        <f>INPUT!AI403</f>
        <v>14.970000000000027</v>
      </c>
      <c r="Y11" s="681" t="str">
        <f>INPUT!AJ403</f>
        <v>NM</v>
      </c>
      <c r="Z11" s="680">
        <f>INPUT!AK403</f>
        <v>100.50000000000023</v>
      </c>
      <c r="AA11" s="681">
        <f>INPUT!AL403</f>
        <v>8.2974137931037362</v>
      </c>
      <c r="AB11" s="680">
        <f>INPUT!AM403</f>
        <v>111.40000000000009</v>
      </c>
      <c r="AC11" s="681">
        <f>INPUT!AN403</f>
        <v>-1.9366197183098954</v>
      </c>
      <c r="AD11" s="680">
        <f>INPUT!AO403</f>
        <v>112.59999999999991</v>
      </c>
      <c r="AE11" s="681">
        <f>INPUT!AP403</f>
        <v>-1.340576535529836</v>
      </c>
      <c r="AF11" s="680">
        <f>INPUT!AQ403</f>
        <v>103.90000000000009</v>
      </c>
      <c r="AG11" s="681" t="str">
        <f>INPUT!AR403</f>
        <v>NM</v>
      </c>
      <c r="AH11" s="680">
        <f>INPUT!AS403</f>
        <v>101.29999999999973</v>
      </c>
      <c r="AI11" s="681">
        <f>INPUT!AT403</f>
        <v>0.79601990049700255</v>
      </c>
      <c r="AJ11" s="680">
        <f>INPUT!AU403</f>
        <v>104.5</v>
      </c>
      <c r="AK11" s="681">
        <f>INPUT!AV403</f>
        <v>-6.1938958707361653</v>
      </c>
      <c r="AL11" s="680">
        <f>INPUT!AW403</f>
        <v>118.20000000000005</v>
      </c>
      <c r="AM11" s="681">
        <f>INPUT!AX403</f>
        <v>4.9733570159859131</v>
      </c>
      <c r="AN11" s="680">
        <f>INPUT!AY403</f>
        <v>123.89999999999986</v>
      </c>
      <c r="AO11" s="670">
        <f>INPUT!AZ403</f>
        <v>19.249278152069071</v>
      </c>
      <c r="AP11" s="680">
        <f>INPUT!BA403</f>
        <v>136.89999999999986</v>
      </c>
      <c r="AQ11" s="670">
        <f>INPUT!BB403</f>
        <v>35.143139190523428</v>
      </c>
      <c r="AR11" s="680">
        <f>INPUT!BC403</f>
        <v>152.69999999999982</v>
      </c>
      <c r="AS11" s="670">
        <f>INPUT!BD403</f>
        <v>46.124401913875431</v>
      </c>
      <c r="AT11" s="680">
        <f>INPUT!BE403</f>
        <v>157.79999999999995</v>
      </c>
      <c r="AU11" s="670">
        <f>INPUT!BF403</f>
        <v>33.502538071065892</v>
      </c>
      <c r="AV11" s="680">
        <f>INPUT!BG403</f>
        <v>173.39999999999986</v>
      </c>
      <c r="AW11" s="670">
        <f>INPUT!BH403</f>
        <v>39.951573849878976</v>
      </c>
      <c r="AX11" s="680">
        <f>INPUT!BI403</f>
        <v>158.29999999999995</v>
      </c>
      <c r="AY11" s="670">
        <f>INPUT!BJ403</f>
        <v>15.631848064280573</v>
      </c>
      <c r="AZ11" s="680">
        <f>INPUT!BK403</f>
        <v>176.60000000000036</v>
      </c>
      <c r="BA11" s="670">
        <f>INPUT!BL403</f>
        <v>15.651604453176549</v>
      </c>
      <c r="BB11" s="680">
        <f>INPUT!BM403</f>
        <v>171.59999999999968</v>
      </c>
      <c r="BC11" s="670">
        <f>INPUT!BN403</f>
        <v>8.7452471482887937</v>
      </c>
      <c r="BD11" s="680">
        <f>INPUT!BO403</f>
        <v>182.60000000000036</v>
      </c>
      <c r="BE11" s="670">
        <f>INPUT!BP403</f>
        <v>5.3056516724339753</v>
      </c>
      <c r="BF11" s="680">
        <f>INPUT!BQ403</f>
        <v>183.60000000000014</v>
      </c>
      <c r="BG11" s="670">
        <f>INPUT!BR403</f>
        <v>15.982312065698157</v>
      </c>
      <c r="BH11" s="680">
        <f>INPUT!BS403</f>
        <v>191.2999999999995</v>
      </c>
      <c r="BI11" s="670">
        <f>INPUT!BT403</f>
        <v>8.3238958097390245</v>
      </c>
      <c r="BJ11" s="680">
        <f>INPUT!BU403</f>
        <v>197.09999999999945</v>
      </c>
      <c r="BK11" s="670">
        <f>INPUT!BV403</f>
        <v>14.860139860139764</v>
      </c>
      <c r="BL11" s="680">
        <f>INPUT!BW403</f>
        <v>203</v>
      </c>
      <c r="BM11" s="670">
        <f>INPUT!BX403</f>
        <v>11.171960569550698</v>
      </c>
      <c r="BN11" s="680">
        <f>INPUT!BY403</f>
        <v>182.5</v>
      </c>
      <c r="BO11" s="670">
        <f>INPUT!BZ403</f>
        <v>-0.59912854030508278</v>
      </c>
      <c r="BP11" s="680">
        <f>INPUT!CA403</f>
        <v>200.79999999999995</v>
      </c>
      <c r="BQ11" s="670">
        <f>INPUT!CB403</f>
        <v>4.9660219550446749</v>
      </c>
      <c r="BR11" s="680">
        <f>INPUT!CC403</f>
        <v>190.99999999999977</v>
      </c>
      <c r="BS11" s="670">
        <f>INPUT!CD403</f>
        <v>-3.0948756976152736</v>
      </c>
      <c r="BT11" s="680">
        <f>INPUT!CE403</f>
        <v>195.00000000000023</v>
      </c>
      <c r="BU11" s="670">
        <f>INPUT!CF403</f>
        <v>-3.9408866995072733</v>
      </c>
      <c r="BV11" s="680">
        <f>INPUT!CG403</f>
        <v>194.70000000000005</v>
      </c>
      <c r="BW11" s="670">
        <f>INPUT!CH403</f>
        <v>6.6849315068493453</v>
      </c>
      <c r="BX11" s="680">
        <f>INPUT!CI403</f>
        <v>205.59999999999991</v>
      </c>
      <c r="BY11" s="670">
        <f>INPUT!CJ403</f>
        <v>2.3904382470119279</v>
      </c>
      <c r="BZ11" s="680">
        <f>INPUT!CK403</f>
        <v>203.70000000000027</v>
      </c>
      <c r="CA11" s="670">
        <f>INPUT!CL403</f>
        <v>6.6492146596861312</v>
      </c>
      <c r="CB11" s="680">
        <f>INPUT!CM403</f>
        <v>207.40000000000009</v>
      </c>
      <c r="CC11" s="670">
        <f>INPUT!CN403</f>
        <v>6.3589743589742787</v>
      </c>
      <c r="CD11" s="680">
        <f>INPUT!CO403</f>
        <v>205.89999999999964</v>
      </c>
      <c r="CE11" s="670">
        <f>INPUT!CP403</f>
        <v>5.752439650744523</v>
      </c>
      <c r="CF11" s="680">
        <f>INPUT!CQ403</f>
        <v>212.70000000000027</v>
      </c>
      <c r="CG11" s="670">
        <f>INPUT!CR403</f>
        <v>3.4533073929962965</v>
      </c>
      <c r="CH11" s="680">
        <f>INPUT!CS403</f>
        <v>216.29999999999995</v>
      </c>
      <c r="CI11" s="670">
        <f>INPUT!CT403</f>
        <v>6.1855670103091231</v>
      </c>
      <c r="CJ11" s="680">
        <f>INPUT!CU403</f>
        <v>212.19999999999982</v>
      </c>
      <c r="CK11" s="670">
        <f>INPUT!CV403</f>
        <v>2.3143683702988138</v>
      </c>
      <c r="CL11" s="680">
        <f>INPUT!CW403</f>
        <v>211.20000000000005</v>
      </c>
      <c r="CM11" s="670">
        <f>INPUT!CX403</f>
        <v>2.5740650801362008</v>
      </c>
      <c r="CN11" s="680">
        <f>INPUT!CY403</f>
        <v>211.09999999999991</v>
      </c>
      <c r="CO11" s="670">
        <f>INPUT!CZ403</f>
        <v>-0.75223319228977514</v>
      </c>
      <c r="CP11" s="680">
        <f>INPUT!DA403</f>
        <v>216.90000000000009</v>
      </c>
      <c r="CQ11" s="670">
        <f>INPUT!DB403</f>
        <v>0.27739251040228563</v>
      </c>
      <c r="CR11" s="680">
        <f>INPUT!DC403</f>
        <v>215.60000000000005</v>
      </c>
      <c r="CS11" s="670">
        <f>INPUT!DD403</f>
        <v>1.602262016965228</v>
      </c>
      <c r="CT11" s="680">
        <f>INPUT!DE403</f>
        <v>207.5</v>
      </c>
      <c r="CU11" s="670">
        <f>INPUT!DF403</f>
        <v>-1.7518939393939559</v>
      </c>
      <c r="CV11" s="680">
        <f>INPUT!DG403</f>
        <v>215.79999999999973</v>
      </c>
      <c r="CW11" s="670">
        <f>INPUT!DH403</f>
        <v>2.2264329701562335</v>
      </c>
      <c r="CX11" s="680">
        <f>INPUT!DI403</f>
        <v>212.10000000000014</v>
      </c>
      <c r="CY11" s="670">
        <f>INPUT!DJ403</f>
        <v>-2.2130013831258455</v>
      </c>
      <c r="CZ11" s="680">
        <f>INPUT!DK403</f>
        <v>209.5</v>
      </c>
      <c r="DA11" s="670">
        <f>INPUT!DL403</f>
        <v>-2.8293135435992767</v>
      </c>
      <c r="DB11" s="680">
        <f>INPUT!DM403</f>
        <v>214.30000000000018</v>
      </c>
      <c r="DC11" s="670">
        <f>INPUT!DN403</f>
        <v>3.277108433735032</v>
      </c>
      <c r="DD11" s="680">
        <f>INPUT!DO403</f>
        <v>202.80000000000018</v>
      </c>
      <c r="DE11" s="670">
        <f>INPUT!DP403</f>
        <v>-6.0240963855419665</v>
      </c>
      <c r="DF11" s="680">
        <f>INPUT!DQ403</f>
        <v>218.69999999999982</v>
      </c>
      <c r="DG11" s="670">
        <f>INPUT!DR403</f>
        <v>3.1117397454029527</v>
      </c>
      <c r="DH11" s="680">
        <f>INPUT!DS403</f>
        <v>214.19999999999982</v>
      </c>
      <c r="DI11" s="670">
        <f>INPUT!DT403</f>
        <v>2.243436754176531</v>
      </c>
      <c r="DJ11" s="680">
        <f>INPUT!DU403</f>
        <v>215.90000000000032</v>
      </c>
      <c r="DK11" s="670">
        <f>INPUT!DV403</f>
        <v>0.74661689220725247</v>
      </c>
      <c r="DL11" s="680">
        <f>INPUT!DW403</f>
        <v>227.20000000000027</v>
      </c>
      <c r="DM11" s="670">
        <f>INPUT!DX403</f>
        <v>12.031558185404378</v>
      </c>
      <c r="DN11" s="680">
        <f>INPUT!DY403</f>
        <v>231</v>
      </c>
      <c r="DO11" s="670">
        <f>INPUT!DZ403</f>
        <v>5.6241426611797873</v>
      </c>
      <c r="DP11" s="680">
        <f>INPUT!EA403</f>
        <v>240.09999999999945</v>
      </c>
      <c r="DQ11" s="670">
        <f>INPUT!EB403</f>
        <v>12.091503267973703</v>
      </c>
      <c r="DR11" s="680">
        <f>INPUT!EC403</f>
        <v>239.09999999999991</v>
      </c>
      <c r="DS11" s="670">
        <f>INPUT!ED403</f>
        <v>10.745715609078065</v>
      </c>
      <c r="DT11" s="680">
        <f>INPUT!EE403</f>
        <v>247.80000000000018</v>
      </c>
      <c r="DU11" s="670">
        <f>INPUT!EF403</f>
        <v>9.0669014084506561</v>
      </c>
      <c r="DV11" s="680">
        <f>INPUT!EG403</f>
        <v>258.40000000000009</v>
      </c>
      <c r="DW11" s="670">
        <f>INPUT!EH403</f>
        <v>11.861471861471905</v>
      </c>
      <c r="DX11" s="680">
        <f>INPUT!EI403</f>
        <v>244.70000000000016</v>
      </c>
      <c r="DY11" s="670">
        <f>INPUT!EJ403</f>
        <v>1.9158683881719041</v>
      </c>
      <c r="DZ11" s="680">
        <f>INPUT!EK403</f>
        <v>247.75395908854307</v>
      </c>
      <c r="EA11" s="670">
        <f>INPUT!EL403</f>
        <v>3.6193889956265934</v>
      </c>
      <c r="EB11" s="680">
        <f>INPUT!EM403</f>
        <v>249.92341271997634</v>
      </c>
      <c r="EC11" s="670">
        <f>INPUT!EN403</f>
        <v>0.85690585955453535</v>
      </c>
      <c r="ED11" s="680">
        <f>INPUT!EO403</f>
        <v>253.27590306912748</v>
      </c>
      <c r="EE11" s="670">
        <f>INPUT!EP403</f>
        <v>-1.9830096481705195</v>
      </c>
      <c r="EF11" s="680">
        <f>INPUT!EQ403</f>
        <v>256.21326921042373</v>
      </c>
      <c r="EG11" s="670">
        <f>INPUT!ER403</f>
        <v>4.7050548469242282</v>
      </c>
      <c r="EH11" s="670"/>
      <c r="EI11" s="680">
        <f>INPUT!FB403</f>
        <v>0</v>
      </c>
      <c r="EJ11" s="681" t="str">
        <f>INPUT!FC403</f>
        <v>NA</v>
      </c>
      <c r="EK11" s="680">
        <f>INPUT!FD403</f>
        <v>703.00000000000091</v>
      </c>
      <c r="EL11" s="681" t="str">
        <f>INPUT!FE403</f>
        <v>NA</v>
      </c>
      <c r="EM11" s="680">
        <f>INPUT!FF403</f>
        <v>-431.19999999999982</v>
      </c>
      <c r="EN11" s="681" t="str">
        <f>INPUT!FG403</f>
        <v>NM</v>
      </c>
      <c r="EO11" s="680">
        <f>INPUT!FH403</f>
        <v>335.50000000000091</v>
      </c>
      <c r="EP11" s="681" t="str">
        <f>INPUT!FI403</f>
        <v>NM</v>
      </c>
      <c r="EQ11" s="680">
        <f>INPUT!FJ403</f>
        <v>428.39999999999964</v>
      </c>
      <c r="ER11" s="670">
        <f>INPUT!FK403</f>
        <v>27.69001490312921</v>
      </c>
      <c r="ES11" s="680">
        <f>INPUT!FL403</f>
        <v>447.89999999999964</v>
      </c>
      <c r="ET11" s="670">
        <f>INPUT!FM403</f>
        <v>4.5518207282913226</v>
      </c>
      <c r="EU11" s="680">
        <f>INPUT!FN403</f>
        <v>620.80000000000109</v>
      </c>
      <c r="EV11" s="670">
        <f>INPUT!FO403</f>
        <v>38.602366599687784</v>
      </c>
      <c r="EW11" s="680">
        <f>INPUT!FP403</f>
        <v>689.09999999999945</v>
      </c>
      <c r="EX11" s="670">
        <f>INPUT!FQ403</f>
        <v>11.001932989690433</v>
      </c>
      <c r="EY11" s="680">
        <f>INPUT!FR403</f>
        <v>718.99999999999909</v>
      </c>
      <c r="EZ11" s="670">
        <f>INPUT!FS403</f>
        <v>4.3389928892758167</v>
      </c>
      <c r="FA11" s="680">
        <f>INPUT!FT403</f>
        <v>769.30000000000018</v>
      </c>
      <c r="FB11" s="670">
        <f>INPUT!FU403</f>
        <v>6.9958275382477231</v>
      </c>
      <c r="FC11" s="680">
        <f>INPUT!FV403</f>
        <v>811.39999999999964</v>
      </c>
      <c r="FD11" s="670">
        <f>INPUT!FW403</f>
        <v>5.4725074743272373</v>
      </c>
      <c r="FE11" s="680">
        <f>INPUT!FX403</f>
        <v>842.79999999999927</v>
      </c>
      <c r="FF11" s="670">
        <f>INPUT!FY403</f>
        <v>3.8698545723440558</v>
      </c>
      <c r="FG11" s="680">
        <f>INPUT!FZ403</f>
        <v>854.80000000000052</v>
      </c>
      <c r="FH11" s="670">
        <f>INPUT!GA403</f>
        <v>1.4238253440912674</v>
      </c>
      <c r="FI11" s="680">
        <f>INPUT!GB403</f>
        <v>844.90000000000055</v>
      </c>
      <c r="FJ11" s="670">
        <f>INPUT!GC403</f>
        <v>-1.158165652784271</v>
      </c>
      <c r="FK11" s="680">
        <f>INPUT!GD403</f>
        <v>850</v>
      </c>
      <c r="FL11" s="670">
        <f>INPUT!GE403</f>
        <v>0.60362173038222</v>
      </c>
      <c r="FM11" s="680">
        <f>INPUT!GF403</f>
        <v>914.19999999999982</v>
      </c>
      <c r="FN11" s="670">
        <f>INPUT!GG403</f>
        <v>7.5529411764705623</v>
      </c>
      <c r="FO11" s="680">
        <f>INPUT!GH403</f>
        <v>989.99999999999966</v>
      </c>
      <c r="FP11" s="670">
        <f>INPUT!GI403</f>
        <v>8.2914023189673891</v>
      </c>
      <c r="FQ11" s="680">
        <f>INPUT!GJ403</f>
        <v>1007.1665440880697</v>
      </c>
      <c r="FR11" s="670">
        <f>INPUT!GK403</f>
        <v>1.7339943523303036</v>
      </c>
      <c r="FS11" s="680">
        <f>INPUT!GL403</f>
        <v>1038.8742678077633</v>
      </c>
      <c r="FT11" s="670">
        <f>INPUT!GM403</f>
        <v>3.1482105820346717</v>
      </c>
      <c r="FU11" s="680">
        <f>INPUT!GN403</f>
        <v>1071.830784140473</v>
      </c>
      <c r="FV11" s="670">
        <f>INPUT!GO403</f>
        <v>3.1723296412235369</v>
      </c>
      <c r="FW11" s="680">
        <f>INPUT!GP403</f>
        <v>1107.8845811916553</v>
      </c>
      <c r="FX11" s="670">
        <f>INPUT!GQ403</f>
        <v>3.3637583081824518</v>
      </c>
      <c r="FY11" s="680">
        <f>INPUT!GR403</f>
        <v>1139.8795837842745</v>
      </c>
      <c r="FZ11" s="670">
        <f>INPUT!GS403</f>
        <v>2.8879364453474832</v>
      </c>
      <c r="GA11" s="994">
        <f>INPUT!GT403</f>
        <v>2.8595822375925284</v>
      </c>
    </row>
    <row r="12" spans="1:183" s="707" customFormat="1" ht="12.75" customHeight="1" x14ac:dyDescent="0.2">
      <c r="A12" s="993" t="str">
        <f>INPUT!B407</f>
        <v>Unum Limited</v>
      </c>
      <c r="B12" s="680">
        <f>INPUT!M407</f>
        <v>0</v>
      </c>
      <c r="C12" s="681">
        <f>INPUT!N407</f>
        <v>0</v>
      </c>
      <c r="D12" s="680">
        <f>INPUT!O407</f>
        <v>0</v>
      </c>
      <c r="E12" s="681">
        <f>INPUT!P407</f>
        <v>0</v>
      </c>
      <c r="F12" s="680">
        <f>INPUT!Q407</f>
        <v>0</v>
      </c>
      <c r="G12" s="681">
        <f>INPUT!R407</f>
        <v>0</v>
      </c>
      <c r="H12" s="680">
        <f>INPUT!S407</f>
        <v>0</v>
      </c>
      <c r="I12" s="681">
        <f>INPUT!T407</f>
        <v>0</v>
      </c>
      <c r="J12" s="680">
        <f>INPUT!U407</f>
        <v>22.700000000000003</v>
      </c>
      <c r="K12" s="681" t="str">
        <f>INPUT!V407</f>
        <v>NA</v>
      </c>
      <c r="L12" s="680">
        <f>INPUT!W407</f>
        <v>29.600000000000009</v>
      </c>
      <c r="M12" s="681" t="str">
        <f>INPUT!X407</f>
        <v>NA</v>
      </c>
      <c r="N12" s="680">
        <f>INPUT!Y407</f>
        <v>27.599999999999994</v>
      </c>
      <c r="O12" s="681" t="str">
        <f>INPUT!Z407</f>
        <v>NA</v>
      </c>
      <c r="P12" s="680">
        <f>INPUT!AA407</f>
        <v>32.099999999999994</v>
      </c>
      <c r="Q12" s="681" t="str">
        <f>INPUT!AB407</f>
        <v>NA</v>
      </c>
      <c r="R12" s="680">
        <f>INPUT!AC407</f>
        <v>34.799999999999983</v>
      </c>
      <c r="S12" s="681">
        <f>INPUT!AD407</f>
        <v>53.303964757709153</v>
      </c>
      <c r="T12" s="680">
        <f>INPUT!AE407</f>
        <v>31.700000000000017</v>
      </c>
      <c r="U12" s="681">
        <f>INPUT!AF407</f>
        <v>7.0945945945946276</v>
      </c>
      <c r="V12" s="680">
        <f>INPUT!AG407</f>
        <v>38.099999999999966</v>
      </c>
      <c r="W12" s="681">
        <f>INPUT!AH407</f>
        <v>38.04347826086947</v>
      </c>
      <c r="X12" s="680">
        <f>INPUT!AI407</f>
        <v>46.699999999999989</v>
      </c>
      <c r="Y12" s="681">
        <f>INPUT!AJ407</f>
        <v>45.48286604361369</v>
      </c>
      <c r="Z12" s="680">
        <f>INPUT!AK407</f>
        <v>47.30000000000004</v>
      </c>
      <c r="AA12" s="681">
        <f>INPUT!AL407</f>
        <v>35.919540229885236</v>
      </c>
      <c r="AB12" s="680">
        <f>INPUT!AM407</f>
        <v>41.299999999999983</v>
      </c>
      <c r="AC12" s="681">
        <f>INPUT!AN407</f>
        <v>30.283911671924169</v>
      </c>
      <c r="AD12" s="680">
        <f>INPUT!AO407</f>
        <v>44.100000000000023</v>
      </c>
      <c r="AE12" s="681">
        <f>INPUT!AP407</f>
        <v>15.748031496063163</v>
      </c>
      <c r="AF12" s="680">
        <f>INPUT!AQ407</f>
        <v>49.299999999999955</v>
      </c>
      <c r="AG12" s="681">
        <f>INPUT!AR407</f>
        <v>5.5674518201284107</v>
      </c>
      <c r="AH12" s="680">
        <f>INPUT!AS407</f>
        <v>54.400000000000006</v>
      </c>
      <c r="AI12" s="681">
        <f>INPUT!AT407</f>
        <v>15.010570824524239</v>
      </c>
      <c r="AJ12" s="680">
        <f>INPUT!AU407</f>
        <v>56.100000000000023</v>
      </c>
      <c r="AK12" s="681">
        <f>INPUT!AV407</f>
        <v>35.835351089588485</v>
      </c>
      <c r="AL12" s="680">
        <f>INPUT!AW407</f>
        <v>65.5</v>
      </c>
      <c r="AM12" s="681">
        <f>INPUT!AX407</f>
        <v>48.526077097505585</v>
      </c>
      <c r="AN12" s="680">
        <f>INPUT!AY407</f>
        <v>70.799999999999983</v>
      </c>
      <c r="AO12" s="670">
        <f>INPUT!AZ407</f>
        <v>43.610547667342892</v>
      </c>
      <c r="AP12" s="680">
        <f>INPUT!BA407</f>
        <v>72.400000000000006</v>
      </c>
      <c r="AQ12" s="670">
        <f>INPUT!BB407</f>
        <v>33.088235294117638</v>
      </c>
      <c r="AR12" s="680">
        <f>INPUT!BC407</f>
        <v>74.100000000000023</v>
      </c>
      <c r="AS12" s="670">
        <f>INPUT!BD407</f>
        <v>32.085561497326196</v>
      </c>
      <c r="AT12" s="680">
        <f>INPUT!BE407</f>
        <v>97.600000000000023</v>
      </c>
      <c r="AU12" s="670">
        <f>INPUT!BF407</f>
        <v>49.007633587786302</v>
      </c>
      <c r="AV12" s="680">
        <f>INPUT!BG407</f>
        <v>80.699999999999989</v>
      </c>
      <c r="AW12" s="670">
        <f>INPUT!BH407</f>
        <v>13.983050847457633</v>
      </c>
      <c r="AX12" s="680">
        <f>INPUT!BI407</f>
        <v>84.300000000000011</v>
      </c>
      <c r="AY12" s="670">
        <f>INPUT!BJ407</f>
        <v>16.436464088397805</v>
      </c>
      <c r="AZ12" s="680">
        <f>INPUT!BK407</f>
        <v>86.599999999999966</v>
      </c>
      <c r="BA12" s="670">
        <f>INPUT!BL407</f>
        <v>16.869095816464164</v>
      </c>
      <c r="BB12" s="680">
        <f>INPUT!BM407</f>
        <v>82.1</v>
      </c>
      <c r="BC12" s="670">
        <f>INPUT!BN407</f>
        <v>-15.881147540983632</v>
      </c>
      <c r="BD12" s="680">
        <f>INPUT!BO407</f>
        <v>54.600000000000023</v>
      </c>
      <c r="BE12" s="670">
        <f>INPUT!BP407</f>
        <v>-32.3420074349442</v>
      </c>
      <c r="BF12" s="680">
        <f>INPUT!BQ407</f>
        <v>62.300000000000011</v>
      </c>
      <c r="BG12" s="670">
        <f>INPUT!BR407</f>
        <v>-26.097271648873065</v>
      </c>
      <c r="BH12" s="680">
        <f>INPUT!BS407</f>
        <v>67.300000000000011</v>
      </c>
      <c r="BI12" s="670">
        <f>INPUT!BT407</f>
        <v>-22.286374133949149</v>
      </c>
      <c r="BJ12" s="680">
        <f>INPUT!BU407</f>
        <v>58.699999999999989</v>
      </c>
      <c r="BK12" s="670">
        <f>INPUT!BV407</f>
        <v>-28.501827040194893</v>
      </c>
      <c r="BL12" s="680">
        <f>INPUT!BW407</f>
        <v>61.299999999999983</v>
      </c>
      <c r="BM12" s="670">
        <f>INPUT!BX407</f>
        <v>12.271062271062183</v>
      </c>
      <c r="BN12" s="680">
        <f>INPUT!BY407</f>
        <v>60.600000000000023</v>
      </c>
      <c r="BO12" s="670">
        <f>INPUT!BZ407</f>
        <v>-2.728731942215068</v>
      </c>
      <c r="BP12" s="680">
        <f>INPUT!CA407</f>
        <v>52.799999999999983</v>
      </c>
      <c r="BQ12" s="670">
        <f>INPUT!CB407</f>
        <v>-21.545319465081757</v>
      </c>
      <c r="BR12" s="680">
        <f>INPUT!CC407</f>
        <v>47.800000000000011</v>
      </c>
      <c r="BS12" s="670">
        <f>INPUT!CD407</f>
        <v>-18.568994889267433</v>
      </c>
      <c r="BT12" s="680">
        <f>INPUT!CE407</f>
        <v>47.800000000000011</v>
      </c>
      <c r="BU12" s="670">
        <f>INPUT!CF407</f>
        <v>-22.022838499184296</v>
      </c>
      <c r="BV12" s="680">
        <f>INPUT!CG407</f>
        <v>48.900000000000006</v>
      </c>
      <c r="BW12" s="670">
        <f>INPUT!CH407</f>
        <v>-19.306930693069326</v>
      </c>
      <c r="BX12" s="680">
        <f>INPUT!CI407</f>
        <v>55.200000000000017</v>
      </c>
      <c r="BY12" s="670">
        <f>INPUT!CJ407</f>
        <v>4.545454545454608</v>
      </c>
      <c r="BZ12" s="680">
        <f>INPUT!CK407</f>
        <v>34.699999999999989</v>
      </c>
      <c r="CA12" s="670">
        <f>INPUT!CL407</f>
        <v>-27.405857740585816</v>
      </c>
      <c r="CB12" s="680">
        <f>INPUT!CM407</f>
        <v>51.900000000000006</v>
      </c>
      <c r="CC12" s="670">
        <f>INPUT!CN407</f>
        <v>8.5774058577405619</v>
      </c>
      <c r="CD12" s="680">
        <f>INPUT!CO407</f>
        <v>38.799999999999983</v>
      </c>
      <c r="CE12" s="670">
        <f>INPUT!CP407</f>
        <v>-20.654396728016401</v>
      </c>
      <c r="CF12" s="680">
        <f>INPUT!CQ407</f>
        <v>29.999999999999972</v>
      </c>
      <c r="CG12" s="670">
        <f>INPUT!CR407</f>
        <v>-45.652173913043548</v>
      </c>
      <c r="CH12" s="680">
        <f>INPUT!CS407</f>
        <v>27.5</v>
      </c>
      <c r="CI12" s="670">
        <f>INPUT!CT407</f>
        <v>-20.749279538904876</v>
      </c>
      <c r="CJ12" s="680">
        <f>INPUT!CU407</f>
        <v>35</v>
      </c>
      <c r="CK12" s="670">
        <f>INPUT!CV407</f>
        <v>-32.562620423892106</v>
      </c>
      <c r="CL12" s="680">
        <f>INPUT!CW407</f>
        <v>31.300000000000011</v>
      </c>
      <c r="CM12" s="670">
        <f>INPUT!CX407</f>
        <v>-19.329896907216426</v>
      </c>
      <c r="CN12" s="680">
        <f>INPUT!CY407</f>
        <v>33.5</v>
      </c>
      <c r="CO12" s="670">
        <f>INPUT!CZ407</f>
        <v>11.666666666666782</v>
      </c>
      <c r="CP12" s="680">
        <f>INPUT!DA407</f>
        <v>31.300000000000011</v>
      </c>
      <c r="CQ12" s="670">
        <f>INPUT!DB407</f>
        <v>13.818181818181863</v>
      </c>
      <c r="CR12" s="680">
        <f>INPUT!DC407</f>
        <v>35.900000000000006</v>
      </c>
      <c r="CS12" s="670">
        <f>INPUT!DD407</f>
        <v>2.5714285714285801</v>
      </c>
      <c r="CT12" s="680">
        <f>INPUT!DE407</f>
        <v>36.499999999999972</v>
      </c>
      <c r="CU12" s="670">
        <f>INPUT!DF407</f>
        <v>16.613418530351296</v>
      </c>
      <c r="CV12" s="680">
        <f>INPUT!DG407</f>
        <v>39.599999999999994</v>
      </c>
      <c r="CW12" s="670">
        <f>INPUT!DH407</f>
        <v>18.208955223880572</v>
      </c>
      <c r="CX12" s="680">
        <f>INPUT!DI407</f>
        <v>33.5</v>
      </c>
      <c r="CY12" s="670">
        <f>INPUT!DJ407</f>
        <v>7.0287539936101817</v>
      </c>
      <c r="CZ12" s="680">
        <f>INPUT!DK407</f>
        <v>38.200000000000017</v>
      </c>
      <c r="DA12" s="670">
        <f>INPUT!DL407</f>
        <v>6.4066852367688387</v>
      </c>
      <c r="DB12" s="680">
        <f>INPUT!DM407</f>
        <v>32.599999999999994</v>
      </c>
      <c r="DC12" s="670">
        <f>INPUT!DN407</f>
        <v>-10.68493150684926</v>
      </c>
      <c r="DD12" s="680">
        <f>INPUT!DO407</f>
        <v>38.299999999999983</v>
      </c>
      <c r="DE12" s="670">
        <f>INPUT!DP407</f>
        <v>-3.2828282828283095</v>
      </c>
      <c r="DF12" s="680">
        <f>INPUT!DQ407</f>
        <v>32.700000000000017</v>
      </c>
      <c r="DG12" s="670">
        <f>INPUT!DR407</f>
        <v>-2.3880597014924843</v>
      </c>
      <c r="DH12" s="680">
        <f>INPUT!DS407</f>
        <v>37</v>
      </c>
      <c r="DI12" s="670">
        <f>INPUT!DT407</f>
        <v>-3.1413612565445503</v>
      </c>
      <c r="DJ12" s="680">
        <f>INPUT!DU407</f>
        <v>33.600000000000023</v>
      </c>
      <c r="DK12" s="670">
        <f>INPUT!DV407</f>
        <v>3.0674846625767804</v>
      </c>
      <c r="DL12" s="680">
        <f>INPUT!DW407</f>
        <v>36.900000000000006</v>
      </c>
      <c r="DM12" s="670">
        <f>INPUT!DX407</f>
        <v>-3.6553524804176951</v>
      </c>
      <c r="DN12" s="680">
        <f>INPUT!DY407</f>
        <v>28.200000000000017</v>
      </c>
      <c r="DO12" s="670">
        <f>INPUT!DZ407</f>
        <v>-13.761467889908252</v>
      </c>
      <c r="DP12" s="680">
        <f>INPUT!EA407</f>
        <v>29.90000000000002</v>
      </c>
      <c r="DQ12" s="670">
        <f>INPUT!EB407</f>
        <v>-19.189189189189136</v>
      </c>
      <c r="DR12" s="680">
        <f>INPUT!EC407</f>
        <v>26.599999999999994</v>
      </c>
      <c r="DS12" s="670">
        <f>INPUT!ED407</f>
        <v>-20.833333333333403</v>
      </c>
      <c r="DT12" s="680">
        <f>INPUT!EE407</f>
        <v>28.900000000000006</v>
      </c>
      <c r="DU12" s="670">
        <f>INPUT!EF407</f>
        <v>-21.680216802168019</v>
      </c>
      <c r="DV12" s="680">
        <f>INPUT!EG407</f>
        <v>25.899999999999977</v>
      </c>
      <c r="DW12" s="670">
        <f>INPUT!EH407</f>
        <v>-8.1560283687944661</v>
      </c>
      <c r="DX12" s="680">
        <f>INPUT!EI407</f>
        <v>29.700000000000017</v>
      </c>
      <c r="DY12" s="670">
        <f>INPUT!EJ407</f>
        <v>-0.66889632107024477</v>
      </c>
      <c r="DZ12" s="680">
        <f>INPUT!EK407</f>
        <v>30.230456366771932</v>
      </c>
      <c r="EA12" s="670">
        <f>INPUT!EL407</f>
        <v>13.648332205909552</v>
      </c>
      <c r="EB12" s="680">
        <f>INPUT!EM407</f>
        <v>30.389841129286168</v>
      </c>
      <c r="EC12" s="670">
        <f>INPUT!EN407</f>
        <v>5.1551596169071345</v>
      </c>
      <c r="ED12" s="680">
        <f>INPUT!EO407</f>
        <v>30.005496626384883</v>
      </c>
      <c r="EE12" s="670">
        <f>INPUT!EP407</f>
        <v>15.851338325810449</v>
      </c>
      <c r="EF12" s="680">
        <f>INPUT!EQ407</f>
        <v>29.255547131776524</v>
      </c>
      <c r="EG12" s="670">
        <f>INPUT!ER407</f>
        <v>-1.4964743037828021</v>
      </c>
      <c r="EH12" s="670"/>
      <c r="EI12" s="680">
        <f>INPUT!FB407</f>
        <v>0</v>
      </c>
      <c r="EJ12" s="681" t="str">
        <f>INPUT!FC407</f>
        <v>NA</v>
      </c>
      <c r="EK12" s="680">
        <f>INPUT!FD407</f>
        <v>69.5</v>
      </c>
      <c r="EL12" s="681" t="str">
        <f>INPUT!FE407</f>
        <v>NA</v>
      </c>
      <c r="EM12" s="680">
        <f>INPUT!FF407</f>
        <v>112</v>
      </c>
      <c r="EN12" s="681">
        <f>INPUT!FG407</f>
        <v>61.151079136690647</v>
      </c>
      <c r="EO12" s="680">
        <f>INPUT!FH407</f>
        <v>151.29999999999995</v>
      </c>
      <c r="EP12" s="681">
        <f>INPUT!FI407</f>
        <v>35.089285714285666</v>
      </c>
      <c r="EQ12" s="680">
        <f>INPUT!FJ407</f>
        <v>182.00000000000011</v>
      </c>
      <c r="ER12" s="670">
        <f>INPUT!FK407</f>
        <v>20.290812954395342</v>
      </c>
      <c r="ES12" s="680">
        <f>INPUT!FL407</f>
        <v>246.79999999999995</v>
      </c>
      <c r="ET12" s="670">
        <f>INPUT!FM407</f>
        <v>35.604395604395499</v>
      </c>
      <c r="EU12" s="680">
        <f>INPUT!FN407</f>
        <v>324.79999999999995</v>
      </c>
      <c r="EV12" s="670">
        <f>INPUT!FO407</f>
        <v>31.604538087520261</v>
      </c>
      <c r="EW12" s="680">
        <f>INPUT!FP407</f>
        <v>307.5999999999998</v>
      </c>
      <c r="EX12" s="670">
        <f>INPUT!FQ407</f>
        <v>-5.2955665024631005</v>
      </c>
      <c r="EY12" s="680">
        <f>INPUT!FR407</f>
        <v>251.99999999999989</v>
      </c>
      <c r="EZ12" s="670">
        <f>INPUT!FS407</f>
        <v>-18.075422626788018</v>
      </c>
      <c r="FA12" s="680">
        <f>INPUT!FT407</f>
        <v>209</v>
      </c>
      <c r="FB12" s="670">
        <f>INPUT!FU407</f>
        <v>-17.063492063492024</v>
      </c>
      <c r="FC12" s="680">
        <f>INPUT!FV407</f>
        <v>190.70000000000005</v>
      </c>
      <c r="FD12" s="670">
        <f>INPUT!FW407</f>
        <v>-8.7559808612439944</v>
      </c>
      <c r="FE12" s="680">
        <f>INPUT!FX407</f>
        <v>131.29999999999984</v>
      </c>
      <c r="FF12" s="670">
        <f>INPUT!FY407</f>
        <v>-31.148400629260721</v>
      </c>
      <c r="FG12" s="680">
        <f>INPUT!FZ407</f>
        <v>132</v>
      </c>
      <c r="FH12" s="670">
        <f>INPUT!GA407</f>
        <v>0.53313023610066512</v>
      </c>
      <c r="FI12" s="680">
        <f>INPUT!GB407</f>
        <v>147.79999999999995</v>
      </c>
      <c r="FJ12" s="670">
        <f>INPUT!GC407</f>
        <v>11.96969696969694</v>
      </c>
      <c r="FK12" s="680">
        <f>INPUT!GD407</f>
        <v>140.59999999999991</v>
      </c>
      <c r="FL12" s="670">
        <f>INPUT!GE407</f>
        <v>-4.8714479025710684</v>
      </c>
      <c r="FM12" s="680">
        <f>INPUT!GF407</f>
        <v>128.60000000000002</v>
      </c>
      <c r="FN12" s="670">
        <f>INPUT!GG407</f>
        <v>-8.5348506401137225</v>
      </c>
      <c r="FO12" s="680">
        <f>INPUT!GH407</f>
        <v>111.09999999999991</v>
      </c>
      <c r="FP12" s="670">
        <f>INPUT!GI407</f>
        <v>-13.60808709175747</v>
      </c>
      <c r="FQ12" s="680">
        <f>INPUT!GJ407</f>
        <v>119.88134125421936</v>
      </c>
      <c r="FR12" s="670">
        <f>INPUT!GK407</f>
        <v>7.9039975285503772</v>
      </c>
      <c r="FS12" s="680">
        <f>INPUT!GL407</f>
        <v>125.35277280935134</v>
      </c>
      <c r="FT12" s="670">
        <f>INPUT!GM407</f>
        <v>4.564039322457436</v>
      </c>
      <c r="FU12" s="680">
        <f>INPUT!GN407</f>
        <v>131.06646622074265</v>
      </c>
      <c r="FV12" s="670">
        <f>INPUT!GO407</f>
        <v>4.5580909646739665</v>
      </c>
      <c r="FW12" s="680">
        <f>INPUT!GP407</f>
        <v>137.03304814640614</v>
      </c>
      <c r="FX12" s="670">
        <f>INPUT!GQ407</f>
        <v>4.5523329480895214</v>
      </c>
      <c r="FY12" s="680">
        <f>INPUT!GR407</f>
        <v>142.60543312586753</v>
      </c>
      <c r="FZ12" s="670">
        <f>INPUT!GS407</f>
        <v>4.0664533518278478</v>
      </c>
      <c r="GA12" s="994">
        <f>INPUT!GT407</f>
        <v>5.119770151790215</v>
      </c>
    </row>
    <row r="13" spans="1:183" s="707" customFormat="1" ht="12.75" customHeight="1" x14ac:dyDescent="0.2">
      <c r="A13" s="993" t="str">
        <f>INPUT!B408</f>
        <v>Colonial</v>
      </c>
      <c r="B13" s="680">
        <f>INPUT!M408</f>
        <v>33</v>
      </c>
      <c r="C13" s="681">
        <f>INPUT!N408</f>
        <v>4.1009463722397888</v>
      </c>
      <c r="D13" s="680">
        <f>INPUT!O408</f>
        <v>33.900000000000006</v>
      </c>
      <c r="E13" s="681">
        <f>INPUT!P408</f>
        <v>-3.4188034188033845</v>
      </c>
      <c r="F13" s="680">
        <f>INPUT!Q408</f>
        <v>34.400000000000006</v>
      </c>
      <c r="G13" s="681">
        <f>INPUT!R408</f>
        <v>-0.28985507246382936</v>
      </c>
      <c r="H13" s="680">
        <f>INPUT!S408</f>
        <v>36.200000000000017</v>
      </c>
      <c r="I13" s="681">
        <f>INPUT!T408</f>
        <v>-1.3623978201634079</v>
      </c>
      <c r="J13" s="680">
        <f>INPUT!U408</f>
        <v>35.19999999999996</v>
      </c>
      <c r="K13" s="681">
        <f>INPUT!V408</f>
        <v>6.6666666666665542</v>
      </c>
      <c r="L13" s="680">
        <f>INPUT!W408</f>
        <v>35.399999999999977</v>
      </c>
      <c r="M13" s="681">
        <f>INPUT!X408</f>
        <v>4.424778761061865</v>
      </c>
      <c r="N13" s="680">
        <f>INPUT!Y408</f>
        <v>38.5</v>
      </c>
      <c r="O13" s="681">
        <f>INPUT!Z408</f>
        <v>11.918604651162767</v>
      </c>
      <c r="P13" s="680">
        <f>INPUT!AA408</f>
        <v>37.599999999999994</v>
      </c>
      <c r="Q13" s="681">
        <f>INPUT!AB408</f>
        <v>3.8674033149170617</v>
      </c>
      <c r="R13" s="680">
        <f>INPUT!AC408</f>
        <v>36.599999999999966</v>
      </c>
      <c r="S13" s="681">
        <f>INPUT!AD408</f>
        <v>3.9772727272727515</v>
      </c>
      <c r="T13" s="680">
        <f>INPUT!AE408</f>
        <v>39.400000000000006</v>
      </c>
      <c r="U13" s="681">
        <f>INPUT!AF408</f>
        <v>11.299435028248684</v>
      </c>
      <c r="V13" s="680">
        <f>INPUT!AG408</f>
        <v>39.599999999999994</v>
      </c>
      <c r="W13" s="681">
        <f>INPUT!AH408</f>
        <v>2.857142857142847</v>
      </c>
      <c r="X13" s="680">
        <f>INPUT!AI408</f>
        <v>40</v>
      </c>
      <c r="Y13" s="681">
        <f>INPUT!AJ408</f>
        <v>6.3829787234042756</v>
      </c>
      <c r="Z13" s="680">
        <f>INPUT!AK408</f>
        <v>43.800000000000011</v>
      </c>
      <c r="AA13" s="681">
        <f>INPUT!AL408</f>
        <v>19.672131147541116</v>
      </c>
      <c r="AB13" s="680">
        <f>INPUT!AM408</f>
        <v>43.600000000000023</v>
      </c>
      <c r="AC13" s="681">
        <f>INPUT!AN408</f>
        <v>10.659898477157403</v>
      </c>
      <c r="AD13" s="680">
        <f>INPUT!AO408</f>
        <v>42</v>
      </c>
      <c r="AE13" s="681">
        <f>INPUT!AP408</f>
        <v>6.0606060606060774</v>
      </c>
      <c r="AF13" s="680">
        <f>INPUT!AQ408</f>
        <v>49.159999999999989</v>
      </c>
      <c r="AG13" s="681">
        <f>INPUT!AR408</f>
        <v>22.899999999999963</v>
      </c>
      <c r="AH13" s="680">
        <f>INPUT!AS408</f>
        <v>46.200000000000017</v>
      </c>
      <c r="AI13" s="681">
        <f>INPUT!AT408</f>
        <v>5.4794520547945424</v>
      </c>
      <c r="AJ13" s="680">
        <f>INPUT!AU408</f>
        <v>49.900000000000006</v>
      </c>
      <c r="AK13" s="681">
        <f>INPUT!AV408</f>
        <v>14.449541284403633</v>
      </c>
      <c r="AL13" s="680">
        <f>INPUT!AW408</f>
        <v>52.100000000000023</v>
      </c>
      <c r="AM13" s="681">
        <f>INPUT!AX408</f>
        <v>24.047619047619094</v>
      </c>
      <c r="AN13" s="680">
        <f>INPUT!AY408</f>
        <v>50.5</v>
      </c>
      <c r="AO13" s="670">
        <f>INPUT!AZ408</f>
        <v>2.7257933279088986</v>
      </c>
      <c r="AP13" s="680">
        <f>INPUT!BA408</f>
        <v>59.599999999999994</v>
      </c>
      <c r="AQ13" s="670">
        <f>INPUT!BB408</f>
        <v>29.004329004328945</v>
      </c>
      <c r="AR13" s="680">
        <f>INPUT!BC408</f>
        <v>64.900000000000034</v>
      </c>
      <c r="AS13" s="670">
        <f>INPUT!BD408</f>
        <v>30.060120240481012</v>
      </c>
      <c r="AT13" s="680">
        <f>INPUT!BE408</f>
        <v>62.399999999999977</v>
      </c>
      <c r="AU13" s="670">
        <f>INPUT!BF408</f>
        <v>19.769673704414494</v>
      </c>
      <c r="AV13" s="680">
        <f>INPUT!BG408</f>
        <v>58.80000000000004</v>
      </c>
      <c r="AW13" s="670">
        <f>INPUT!BH408</f>
        <v>16.435643564356518</v>
      </c>
      <c r="AX13" s="680">
        <f>INPUT!BI408</f>
        <v>67.399999999999977</v>
      </c>
      <c r="AY13" s="670">
        <f>INPUT!BJ408</f>
        <v>13.087248322147627</v>
      </c>
      <c r="AZ13" s="680">
        <f>INPUT!BK408</f>
        <v>68.200000000000045</v>
      </c>
      <c r="BA13" s="670">
        <f>INPUT!BL408</f>
        <v>5.0847457627118731</v>
      </c>
      <c r="BB13" s="680">
        <f>INPUT!BM408</f>
        <v>66.200000000000045</v>
      </c>
      <c r="BC13" s="670">
        <f>INPUT!BN408</f>
        <v>6.0897435897437013</v>
      </c>
      <c r="BD13" s="680">
        <f>INPUT!BO408</f>
        <v>66.300000000000011</v>
      </c>
      <c r="BE13" s="670">
        <f>INPUT!BP408</f>
        <v>12.755102040816269</v>
      </c>
      <c r="BF13" s="680">
        <f>INPUT!BQ408</f>
        <v>70.900000000000034</v>
      </c>
      <c r="BG13" s="670">
        <f>INPUT!BR408</f>
        <v>5.1928783382790167</v>
      </c>
      <c r="BH13" s="680">
        <f>INPUT!BS408</f>
        <v>71.30000000000004</v>
      </c>
      <c r="BI13" s="670">
        <f>INPUT!BT408</f>
        <v>4.5454545454545414</v>
      </c>
      <c r="BJ13" s="680">
        <f>INPUT!BU408</f>
        <v>70.400000000000006</v>
      </c>
      <c r="BK13" s="670">
        <f>INPUT!BV408</f>
        <v>6.3444108761328666</v>
      </c>
      <c r="BL13" s="680">
        <f>INPUT!BW408</f>
        <v>68.299999999999955</v>
      </c>
      <c r="BM13" s="670">
        <f>INPUT!BX408</f>
        <v>3.0165912518852922</v>
      </c>
      <c r="BN13" s="680">
        <f>INPUT!BY408</f>
        <v>70.200000000000045</v>
      </c>
      <c r="BO13" s="670">
        <f>INPUT!BZ408</f>
        <v>-0.9873060648801002</v>
      </c>
      <c r="BP13" s="680">
        <f>INPUT!CA408</f>
        <v>71.099999999999937</v>
      </c>
      <c r="BQ13" s="670">
        <f>INPUT!CB408</f>
        <v>-0.2805049088360434</v>
      </c>
      <c r="BR13" s="680">
        <f>INPUT!CC408</f>
        <v>71.000000000000028</v>
      </c>
      <c r="BS13" s="670">
        <f>INPUT!CD408</f>
        <v>0.8522727272727515</v>
      </c>
      <c r="BT13" s="680">
        <f>INPUT!CE408</f>
        <v>57.400000000000034</v>
      </c>
      <c r="BU13" s="670">
        <f>INPUT!CF408</f>
        <v>-15.959004392386422</v>
      </c>
      <c r="BV13" s="680">
        <f>INPUT!CG408</f>
        <v>66.499999999999943</v>
      </c>
      <c r="BW13" s="670">
        <f>INPUT!CH408</f>
        <v>-5.2706552706554106</v>
      </c>
      <c r="BX13" s="680">
        <f>INPUT!CI408</f>
        <v>67.899999999999977</v>
      </c>
      <c r="BY13" s="670">
        <f>INPUT!CJ408</f>
        <v>-4.5007032348803993</v>
      </c>
      <c r="BZ13" s="680">
        <f>INPUT!CK408</f>
        <v>66.700000000000045</v>
      </c>
      <c r="CA13" s="670">
        <f>INPUT!CL408</f>
        <v>-6.0563380281689838</v>
      </c>
      <c r="CB13" s="680">
        <f>INPUT!CM408</f>
        <v>64.999999999999943</v>
      </c>
      <c r="CC13" s="670">
        <f>INPUT!CN408</f>
        <v>13.240418118466724</v>
      </c>
      <c r="CD13" s="680">
        <f>INPUT!CO408</f>
        <v>69.699999999999989</v>
      </c>
      <c r="CE13" s="670">
        <f>INPUT!CP408</f>
        <v>4.8120300751880452</v>
      </c>
      <c r="CF13" s="680">
        <f>INPUT!CQ408</f>
        <v>67.599999999999966</v>
      </c>
      <c r="CG13" s="670">
        <f>INPUT!CR408</f>
        <v>-0.44182621502211195</v>
      </c>
      <c r="CH13" s="680">
        <f>INPUT!CS408</f>
        <v>68.699999999999932</v>
      </c>
      <c r="CI13" s="670">
        <f>INPUT!CT408</f>
        <v>2.9985007496250216</v>
      </c>
      <c r="CJ13" s="680">
        <f>INPUT!CU408</f>
        <v>68.300000000000011</v>
      </c>
      <c r="CK13" s="670">
        <f>INPUT!CV408</f>
        <v>5.0769230769231788</v>
      </c>
      <c r="CL13" s="680">
        <f>INPUT!CW408</f>
        <v>70.100000000000023</v>
      </c>
      <c r="CM13" s="670">
        <f>INPUT!CX408</f>
        <v>0.57388809182215006</v>
      </c>
      <c r="CN13" s="680">
        <f>INPUT!CY408</f>
        <v>70.799999999999955</v>
      </c>
      <c r="CO13" s="670">
        <f>INPUT!CZ408</f>
        <v>4.7337278106508673</v>
      </c>
      <c r="CP13" s="680">
        <f>INPUT!DA408</f>
        <v>68.600000000000023</v>
      </c>
      <c r="CQ13" s="670">
        <f>INPUT!DB408</f>
        <v>-0.14556040756901201</v>
      </c>
      <c r="CR13" s="680">
        <f>INPUT!DC408</f>
        <v>69.099999999999994</v>
      </c>
      <c r="CS13" s="670">
        <f>INPUT!DD408</f>
        <v>1.1713030746705488</v>
      </c>
      <c r="CT13" s="680">
        <f>INPUT!DE408</f>
        <v>79.099999999999966</v>
      </c>
      <c r="CU13" s="670">
        <f>INPUT!DF408</f>
        <v>12.838801711840153</v>
      </c>
      <c r="CV13" s="680">
        <f>INPUT!DG408</f>
        <v>74.899999999999977</v>
      </c>
      <c r="CW13" s="670">
        <f>INPUT!DH408</f>
        <v>5.7909604519774449</v>
      </c>
      <c r="CX13" s="680">
        <f>INPUT!DI408</f>
        <v>71</v>
      </c>
      <c r="CY13" s="670">
        <f>INPUT!DJ408</f>
        <v>3.4985422740524408</v>
      </c>
      <c r="CZ13" s="680">
        <f>INPUT!DK408</f>
        <v>74</v>
      </c>
      <c r="DA13" s="670">
        <f>INPUT!DL408</f>
        <v>7.0911722141823619</v>
      </c>
      <c r="DB13" s="680">
        <f>INPUT!DM408</f>
        <v>77.599999999999966</v>
      </c>
      <c r="DC13" s="670">
        <f>INPUT!DN408</f>
        <v>-1.896333754740831</v>
      </c>
      <c r="DD13" s="680">
        <f>INPUT!DO408</f>
        <v>77.599999999999966</v>
      </c>
      <c r="DE13" s="670">
        <f>INPUT!DP408</f>
        <v>3.6048064085447029</v>
      </c>
      <c r="DF13" s="680">
        <f>INPUT!DQ408</f>
        <v>76.300000000000068</v>
      </c>
      <c r="DG13" s="670">
        <f>INPUT!DR408</f>
        <v>7.4647887323944673</v>
      </c>
      <c r="DH13" s="680">
        <f>INPUT!DS408</f>
        <v>77.600000000000023</v>
      </c>
      <c r="DI13" s="670">
        <f>INPUT!DT408</f>
        <v>4.864864864864904</v>
      </c>
      <c r="DJ13" s="680">
        <f>INPUT!DU408</f>
        <v>77.399999999999977</v>
      </c>
      <c r="DK13" s="670">
        <f>INPUT!DV408</f>
        <v>-0.25773195876287458</v>
      </c>
      <c r="DL13" s="680">
        <f>INPUT!DW408</f>
        <v>77.899999999999977</v>
      </c>
      <c r="DM13" s="670">
        <f>INPUT!DX408</f>
        <v>0.38659793814435073</v>
      </c>
      <c r="DN13" s="680">
        <f>INPUT!DY408</f>
        <v>79</v>
      </c>
      <c r="DO13" s="670">
        <f>INPUT!DZ408</f>
        <v>3.5386631716906036</v>
      </c>
      <c r="DP13" s="680">
        <f>INPUT!EA408</f>
        <v>79.899999999999977</v>
      </c>
      <c r="DQ13" s="670">
        <f>INPUT!EB408</f>
        <v>2.9639175257731409</v>
      </c>
      <c r="DR13" s="680">
        <f>INPUT!EC408</f>
        <v>82.400000000000034</v>
      </c>
      <c r="DS13" s="670">
        <f>INPUT!ED408</f>
        <v>6.4599483204135222</v>
      </c>
      <c r="DT13" s="680">
        <f>INPUT!EE408</f>
        <v>81.800000000000068</v>
      </c>
      <c r="DU13" s="670">
        <f>INPUT!EF408</f>
        <v>5.0064184852375959</v>
      </c>
      <c r="DV13" s="680">
        <f>INPUT!EG408</f>
        <v>81.700000000000045</v>
      </c>
      <c r="DW13" s="670">
        <f>INPUT!EH408</f>
        <v>3.4177215189874044</v>
      </c>
      <c r="DX13" s="680">
        <f>INPUT!EI408</f>
        <v>79.099999999999994</v>
      </c>
      <c r="DY13" s="670">
        <f>INPUT!EJ408</f>
        <v>-1.001251564455552</v>
      </c>
      <c r="DZ13" s="680">
        <f>INPUT!EK408</f>
        <v>77.960626999999988</v>
      </c>
      <c r="EA13" s="670">
        <f>INPUT!EL408</f>
        <v>-5.3875885922330617</v>
      </c>
      <c r="EB13" s="680">
        <f>INPUT!EM408</f>
        <v>78.590878084999986</v>
      </c>
      <c r="EC13" s="670">
        <f>INPUT!EN408</f>
        <v>-3.9231319254279695</v>
      </c>
      <c r="ED13" s="680">
        <f>INPUT!EO408</f>
        <v>79.409102620624992</v>
      </c>
      <c r="EE13" s="670">
        <f>INPUT!EP408</f>
        <v>-2.8040359600673859</v>
      </c>
      <c r="EF13" s="680">
        <f>INPUT!EQ408</f>
        <v>80.151668422632156</v>
      </c>
      <c r="EG13" s="670">
        <f>INPUT!ER408</f>
        <v>1.3295428857549529</v>
      </c>
      <c r="EH13" s="670"/>
      <c r="EI13" s="680">
        <f>INPUT!FB408</f>
        <v>0</v>
      </c>
      <c r="EJ13" s="681" t="str">
        <f>INPUT!FC408</f>
        <v>NA</v>
      </c>
      <c r="EK13" s="680">
        <f>INPUT!FD408</f>
        <v>137.50000000000011</v>
      </c>
      <c r="EL13" s="681" t="str">
        <f>INPUT!FE408</f>
        <v>NA</v>
      </c>
      <c r="EM13" s="680">
        <f>INPUT!FF408</f>
        <v>146.70000000000005</v>
      </c>
      <c r="EN13" s="681">
        <f>INPUT!FG408</f>
        <v>6.6909090909090363</v>
      </c>
      <c r="EO13" s="680">
        <f>INPUT!FH408</f>
        <v>155.60000000000002</v>
      </c>
      <c r="EP13" s="681">
        <f>INPUT!FI408</f>
        <v>6.0668029993183215</v>
      </c>
      <c r="EQ13" s="680">
        <f>INPUT!FJ408</f>
        <v>178.55999999999992</v>
      </c>
      <c r="ER13" s="670">
        <f>INPUT!FK408</f>
        <v>14.755784061696598</v>
      </c>
      <c r="ES13" s="680">
        <f>INPUT!FL408</f>
        <v>198.70000000000027</v>
      </c>
      <c r="ET13" s="670">
        <f>INPUT!FM408</f>
        <v>11.279121863799491</v>
      </c>
      <c r="EU13" s="680">
        <f>INPUT!FN408</f>
        <v>245.70000000000005</v>
      </c>
      <c r="EV13" s="670">
        <f>INPUT!FO408</f>
        <v>23.653749370910781</v>
      </c>
      <c r="EW13" s="680">
        <f>INPUT!FP408</f>
        <v>268.10000000000014</v>
      </c>
      <c r="EX13" s="670">
        <f>INPUT!FQ408</f>
        <v>9.1168091168091436</v>
      </c>
      <c r="EY13" s="680">
        <f>INPUT!FR408</f>
        <v>269.10000000000014</v>
      </c>
      <c r="EZ13" s="670">
        <f>INPUT!FS408</f>
        <v>0.37299515106303804</v>
      </c>
      <c r="FA13" s="680">
        <f>INPUT!FT408</f>
        <v>269.69999999999982</v>
      </c>
      <c r="FB13" s="670">
        <f>INPUT!FU408</f>
        <v>0.22296544035662613</v>
      </c>
      <c r="FC13" s="680">
        <f>INPUT!FV408</f>
        <v>266.09999999999991</v>
      </c>
      <c r="FD13" s="670">
        <f>INPUT!FW408</f>
        <v>-1.3348164627363435</v>
      </c>
      <c r="FE13" s="680">
        <f>INPUT!FX408</f>
        <v>273.39999999999986</v>
      </c>
      <c r="FF13" s="670">
        <f>INPUT!FY408</f>
        <v>2.7433295753475972</v>
      </c>
      <c r="FG13" s="680">
        <f>INPUT!FZ408</f>
        <v>278.60000000000002</v>
      </c>
      <c r="FH13" s="670">
        <f>INPUT!GA408</f>
        <v>1.9019751280176189</v>
      </c>
      <c r="FI13" s="680">
        <f>INPUT!GB408</f>
        <v>298.99999999999977</v>
      </c>
      <c r="FJ13" s="670">
        <f>INPUT!GC408</f>
        <v>7.3223259152906506</v>
      </c>
      <c r="FK13" s="680">
        <f>INPUT!GD408</f>
        <v>309.09999999999991</v>
      </c>
      <c r="FL13" s="670">
        <f>INPUT!GE408</f>
        <v>3.3779264214047311</v>
      </c>
      <c r="FM13" s="680">
        <f>INPUT!GF408</f>
        <v>314.20000000000005</v>
      </c>
      <c r="FN13" s="670">
        <f>INPUT!GG408</f>
        <v>1.649951472015565</v>
      </c>
      <c r="FO13" s="680">
        <f>INPUT!GH408</f>
        <v>325.00000000000011</v>
      </c>
      <c r="FP13" s="670">
        <f>INPUT!GI408</f>
        <v>3.437301082113331</v>
      </c>
      <c r="FQ13" s="680">
        <f>INPUT!GJ408</f>
        <v>316.11227612825701</v>
      </c>
      <c r="FR13" s="670">
        <f>INPUT!GK408</f>
        <v>-2.7346842682286487</v>
      </c>
      <c r="FS13" s="680">
        <f>INPUT!GL408</f>
        <v>319.20591431074467</v>
      </c>
      <c r="FT13" s="670">
        <f>INPUT!GM408</f>
        <v>0.9786517057732036</v>
      </c>
      <c r="FU13" s="680">
        <f>INPUT!GN408</f>
        <v>325.64179352595966</v>
      </c>
      <c r="FV13" s="670">
        <f>INPUT!GO408</f>
        <v>2.0162155294371154</v>
      </c>
      <c r="FW13" s="680">
        <f>INPUT!GP408</f>
        <v>333.91469964775729</v>
      </c>
      <c r="FX13" s="670">
        <f>INPUT!GQ408</f>
        <v>2.540492739651401</v>
      </c>
      <c r="FY13" s="680">
        <f>INPUT!GR408</f>
        <v>340.65225472832435</v>
      </c>
      <c r="FZ13" s="670">
        <f>INPUT!GS408</f>
        <v>2.0177473731088913</v>
      </c>
      <c r="GA13" s="994">
        <f>INPUT!GT408</f>
        <v>0.94517874140382929</v>
      </c>
    </row>
    <row r="14" spans="1:183" s="707" customFormat="1" ht="12.75" customHeight="1" x14ac:dyDescent="0.2">
      <c r="A14" s="993" t="str">
        <f>INPUT!B409</f>
        <v>Closed Block</v>
      </c>
      <c r="B14" s="680">
        <f>INPUT!M409</f>
        <v>25.900000000000034</v>
      </c>
      <c r="C14" s="681" t="str">
        <f>INPUT!N409</f>
        <v>NA</v>
      </c>
      <c r="D14" s="680">
        <f>INPUT!O409</f>
        <v>19.600000000000023</v>
      </c>
      <c r="E14" s="681" t="str">
        <f>INPUT!P409</f>
        <v>NA</v>
      </c>
      <c r="F14" s="680">
        <f>INPUT!Q409</f>
        <v>19.099999999999966</v>
      </c>
      <c r="G14" s="681" t="str">
        <f>INPUT!R409</f>
        <v>NA</v>
      </c>
      <c r="H14" s="680">
        <f>INPUT!S409</f>
        <v>18.399999999999977</v>
      </c>
      <c r="I14" s="681" t="str">
        <f>INPUT!T409</f>
        <v>NA</v>
      </c>
      <c r="J14" s="680">
        <f>INPUT!U409</f>
        <v>15.800000000000068</v>
      </c>
      <c r="K14" s="681">
        <f>INPUT!V409</f>
        <v>-38.996138996138818</v>
      </c>
      <c r="L14" s="680">
        <f>INPUT!W409</f>
        <v>5.2999999999998977</v>
      </c>
      <c r="M14" s="681" t="str">
        <f>INPUT!X409</f>
        <v>NM</v>
      </c>
      <c r="N14" s="680">
        <f>INPUT!Y409</f>
        <v>19.200000000000045</v>
      </c>
      <c r="O14" s="681">
        <f>INPUT!Z409</f>
        <v>0.52356020942450066</v>
      </c>
      <c r="P14" s="680">
        <f>INPUT!AA409</f>
        <v>22.199999999999932</v>
      </c>
      <c r="Q14" s="681">
        <f>INPUT!AB409</f>
        <v>20.65217391304326</v>
      </c>
      <c r="R14" s="680">
        <f>INPUT!AC409</f>
        <v>-923.80000000000007</v>
      </c>
      <c r="S14" s="681" t="str">
        <f>INPUT!AD409</f>
        <v>NM</v>
      </c>
      <c r="T14" s="680">
        <f>INPUT!AE409</f>
        <v>30.000000000000057</v>
      </c>
      <c r="U14" s="681" t="str">
        <f>INPUT!AF409</f>
        <v>NM</v>
      </c>
      <c r="V14" s="680">
        <f>INPUT!AG409</f>
        <v>33.199999999999989</v>
      </c>
      <c r="W14" s="681">
        <f>INPUT!AH409</f>
        <v>72.916666666666202</v>
      </c>
      <c r="X14" s="680">
        <f>INPUT!AI409</f>
        <v>37.799999999999955</v>
      </c>
      <c r="Y14" s="681">
        <f>INPUT!AJ409</f>
        <v>70.270270270270601</v>
      </c>
      <c r="Z14" s="680">
        <f>INPUT!AK409</f>
        <v>23.099999999999966</v>
      </c>
      <c r="AA14" s="681" t="str">
        <f>INPUT!AL409</f>
        <v>NM</v>
      </c>
      <c r="AB14" s="680">
        <f>INPUT!AM409</f>
        <v>27.699999999999989</v>
      </c>
      <c r="AC14" s="681">
        <f>INPUT!AN409</f>
        <v>-7.6666666666668775</v>
      </c>
      <c r="AD14" s="680">
        <f>INPUT!AO409</f>
        <v>29.699999999999989</v>
      </c>
      <c r="AE14" s="681">
        <f>INPUT!AP409</f>
        <v>-10.542168674698804</v>
      </c>
      <c r="AF14" s="680">
        <f>INPUT!AQ409</f>
        <v>33.700000000000045</v>
      </c>
      <c r="AG14" s="681">
        <f>INPUT!AR409</f>
        <v>-10.846560846560616</v>
      </c>
      <c r="AH14" s="680">
        <f>INPUT!AS409</f>
        <v>27.900000000000034</v>
      </c>
      <c r="AI14" s="681">
        <f>INPUT!AT409</f>
        <v>20.779220779221099</v>
      </c>
      <c r="AJ14" s="680">
        <f>INPUT!AU409</f>
        <v>33.199999999999989</v>
      </c>
      <c r="AK14" s="681">
        <f>INPUT!AV409</f>
        <v>19.855595667870052</v>
      </c>
      <c r="AL14" s="680">
        <f>INPUT!AW409</f>
        <v>28.699999999999989</v>
      </c>
      <c r="AM14" s="681">
        <f>INPUT!AX409</f>
        <v>-3.3670033670033628</v>
      </c>
      <c r="AN14" s="680">
        <f>INPUT!AY409</f>
        <v>28.699999999999989</v>
      </c>
      <c r="AO14" s="670">
        <f>INPUT!AZ409</f>
        <v>-14.836795252225665</v>
      </c>
      <c r="AP14" s="682">
        <f>INPUT!BA409</f>
        <v>22.5</v>
      </c>
      <c r="AQ14" s="670">
        <f>INPUT!BB409</f>
        <v>-19.354838709677512</v>
      </c>
      <c r="AR14" s="682">
        <f>INPUT!BC409</f>
        <v>29.400000000000034</v>
      </c>
      <c r="AS14" s="670">
        <f>INPUT!BD409</f>
        <v>-11.445783132529986</v>
      </c>
      <c r="AT14" s="682">
        <f>INPUT!BE409</f>
        <v>29.399999999999977</v>
      </c>
      <c r="AU14" s="670">
        <f>INPUT!BF409</f>
        <v>2.4390243902438602</v>
      </c>
      <c r="AV14" s="682">
        <f>INPUT!BG409</f>
        <v>15</v>
      </c>
      <c r="AW14" s="670">
        <f>INPUT!BH409</f>
        <v>-47.735191637630635</v>
      </c>
      <c r="AX14" s="682">
        <f>INPUT!BI409</f>
        <v>2.8999999999999773</v>
      </c>
      <c r="AY14" s="670" t="str">
        <f>INPUT!BJ409</f>
        <v>NM</v>
      </c>
      <c r="AZ14" s="682">
        <f>INPUT!BK409</f>
        <v>3.1999999999999886</v>
      </c>
      <c r="BA14" s="670" t="str">
        <f>INPUT!BL409</f>
        <v>NM</v>
      </c>
      <c r="BB14" s="682">
        <f>INPUT!BM409</f>
        <v>7.1999999999999433</v>
      </c>
      <c r="BC14" s="670" t="str">
        <f>INPUT!BN409</f>
        <v>NM</v>
      </c>
      <c r="BD14" s="682">
        <f>INPUT!BO409</f>
        <v>7.1000000000000227</v>
      </c>
      <c r="BE14" s="670" t="str">
        <f>INPUT!BP409</f>
        <v>NM</v>
      </c>
      <c r="BF14" s="682">
        <f>INPUT!BQ409</f>
        <v>11.299999999999955</v>
      </c>
      <c r="BG14" s="670" t="str">
        <f>INPUT!BR409</f>
        <v>NM</v>
      </c>
      <c r="BH14" s="682">
        <f>INPUT!BS409</f>
        <v>9.9999999999999432</v>
      </c>
      <c r="BI14" s="670" t="str">
        <f>INPUT!BT409</f>
        <v>NM</v>
      </c>
      <c r="BJ14" s="682">
        <f>INPUT!BU409</f>
        <v>7.1999999999999886</v>
      </c>
      <c r="BK14" s="670">
        <f>INPUT!BV409</f>
        <v>6.2172489379008766E-13</v>
      </c>
      <c r="BL14" s="682">
        <f>INPUT!BW409</f>
        <v>5.8000000000000114</v>
      </c>
      <c r="BM14" s="670">
        <f>INPUT!BX409</f>
        <v>-18.309859154929676</v>
      </c>
      <c r="BN14" s="682">
        <f>INPUT!BY409</f>
        <v>35.899999999999977</v>
      </c>
      <c r="BO14" s="670" t="str">
        <f>INPUT!BZ409</f>
        <v>NM</v>
      </c>
      <c r="BP14" s="682">
        <f>INPUT!CA409</f>
        <v>23.799999999999955</v>
      </c>
      <c r="BQ14" s="670" t="str">
        <f>INPUT!CB409</f>
        <v>NM</v>
      </c>
      <c r="BR14" s="682">
        <f>INPUT!CC409</f>
        <v>29.700000000000045</v>
      </c>
      <c r="BS14" s="670" t="str">
        <f>INPUT!CD409</f>
        <v>NM</v>
      </c>
      <c r="BT14" s="682">
        <f>INPUT!CE409</f>
        <v>29.200000000000159</v>
      </c>
      <c r="BU14" s="670" t="str">
        <f>INPUT!CF409</f>
        <v>NM</v>
      </c>
      <c r="BV14" s="680">
        <f>INPUT!CG409</f>
        <v>31.899999999999864</v>
      </c>
      <c r="BW14" s="670">
        <f>INPUT!CH409</f>
        <v>-11.142061281337368</v>
      </c>
      <c r="BX14" s="680">
        <f>INPUT!CI409</f>
        <v>30.400000000000205</v>
      </c>
      <c r="BY14" s="670">
        <f>INPUT!CJ409</f>
        <v>27.731092436975892</v>
      </c>
      <c r="BZ14" s="680">
        <f>INPUT!CK409</f>
        <v>30.799999999999955</v>
      </c>
      <c r="CA14" s="670">
        <f>INPUT!CL409</f>
        <v>3.7037037037033871</v>
      </c>
      <c r="CB14" s="680">
        <f>INPUT!CM409</f>
        <v>30.799999999999841</v>
      </c>
      <c r="CC14" s="670">
        <f>INPUT!CN409</f>
        <v>5.47945205479341</v>
      </c>
      <c r="CD14" s="680">
        <f>INPUT!CO409</f>
        <v>15.399999999999977</v>
      </c>
      <c r="CE14" s="670" t="str">
        <f>INPUT!CP409</f>
        <v>NM</v>
      </c>
      <c r="CF14" s="680">
        <f>INPUT!CQ409</f>
        <v>25.700000000000045</v>
      </c>
      <c r="CG14" s="670">
        <f>INPUT!CR409</f>
        <v>-15.460526315789892</v>
      </c>
      <c r="CH14" s="680">
        <f>INPUT!CS409</f>
        <v>25.600000000000023</v>
      </c>
      <c r="CI14" s="670">
        <f>INPUT!CT409</f>
        <v>-16.883116883116688</v>
      </c>
      <c r="CJ14" s="680">
        <f>INPUT!CU409</f>
        <v>28.799999999999955</v>
      </c>
      <c r="CK14" s="670">
        <f>INPUT!CV409</f>
        <v>-6.4935064935061622</v>
      </c>
      <c r="CL14" s="680">
        <f>INPUT!CW409</f>
        <v>26.600000000000136</v>
      </c>
      <c r="CM14" s="670">
        <f>INPUT!CX409</f>
        <v>72.727272727273856</v>
      </c>
      <c r="CN14" s="680">
        <f>INPUT!CY409</f>
        <v>29.100000000000023</v>
      </c>
      <c r="CO14" s="670">
        <f>INPUT!CZ409</f>
        <v>13.229571984435683</v>
      </c>
      <c r="CP14" s="680">
        <f>INPUT!DA409</f>
        <v>25</v>
      </c>
      <c r="CQ14" s="670">
        <f>INPUT!DB409</f>
        <v>-2.3437500000000888</v>
      </c>
      <c r="CR14" s="680">
        <f>INPUT!DC409</f>
        <v>26.600000000000023</v>
      </c>
      <c r="CS14" s="670">
        <f>INPUT!DD409</f>
        <v>-7.6388888888886619</v>
      </c>
      <c r="CT14" s="680">
        <f>INPUT!DE409</f>
        <v>28.299999999999955</v>
      </c>
      <c r="CU14" s="670">
        <f>INPUT!DF409</f>
        <v>6.3909774436083033</v>
      </c>
      <c r="CV14" s="680">
        <f>INPUT!DG409</f>
        <v>36.600000000000136</v>
      </c>
      <c r="CW14" s="670">
        <f>INPUT!DH409</f>
        <v>25.773195876289034</v>
      </c>
      <c r="CX14" s="680">
        <f>INPUT!DI409</f>
        <v>25.700000000000045</v>
      </c>
      <c r="CY14" s="670">
        <f>INPUT!DJ409</f>
        <v>2.8000000000001801</v>
      </c>
      <c r="CZ14" s="680">
        <f>INPUT!DK409</f>
        <v>29.399999999999977</v>
      </c>
      <c r="DA14" s="670">
        <f>INPUT!DL409</f>
        <v>10.526315789473495</v>
      </c>
      <c r="DB14" s="680">
        <f>INPUT!DM409</f>
        <v>26.699999999999932</v>
      </c>
      <c r="DC14" s="670">
        <f>INPUT!DN409</f>
        <v>-5.6537102473499079</v>
      </c>
      <c r="DD14" s="680">
        <f>INPUT!DO409</f>
        <v>36.599999999999909</v>
      </c>
      <c r="DE14" s="670">
        <f>INPUT!DP409</f>
        <v>-6.2172489379008766E-13</v>
      </c>
      <c r="DF14" s="680">
        <f>INPUT!DQ409</f>
        <v>27.700000000000045</v>
      </c>
      <c r="DG14" s="670">
        <f>INPUT!DR409</f>
        <v>7.7821011673151697</v>
      </c>
      <c r="DH14" s="680">
        <f>INPUT!DS409</f>
        <v>28.099999999999795</v>
      </c>
      <c r="DI14" s="670">
        <f>INPUT!DT409</f>
        <v>-4.4217687074836203</v>
      </c>
      <c r="DJ14" s="680">
        <f>INPUT!DU409</f>
        <v>33.699999999999818</v>
      </c>
      <c r="DK14" s="670">
        <f>INPUT!DV409</f>
        <v>26.217228464419119</v>
      </c>
      <c r="DL14" s="680">
        <f>INPUT!DW409</f>
        <v>32.599999999999909</v>
      </c>
      <c r="DM14" s="670">
        <f>INPUT!DX409</f>
        <v>-10.928961748633903</v>
      </c>
      <c r="DN14" s="680">
        <f>INPUT!DY409</f>
        <v>28.600000000000023</v>
      </c>
      <c r="DO14" s="670">
        <f>INPUT!DZ409</f>
        <v>3.2490974729241007</v>
      </c>
      <c r="DP14" s="680">
        <f>INPUT!EA409</f>
        <v>34.600000000000023</v>
      </c>
      <c r="DQ14" s="670">
        <f>INPUT!EB409</f>
        <v>23.131672597865748</v>
      </c>
      <c r="DR14" s="680">
        <f>INPUT!EC409</f>
        <v>31.599999999999909</v>
      </c>
      <c r="DS14" s="670">
        <f>INPUT!ED409</f>
        <v>-6.2314540059344781</v>
      </c>
      <c r="DT14" s="680">
        <f>INPUT!EE409</f>
        <v>32.600000000000023</v>
      </c>
      <c r="DU14" s="670">
        <f>INPUT!EF409</f>
        <v>3.5527136788005009E-13</v>
      </c>
      <c r="DV14" s="680">
        <f>INPUT!EG409</f>
        <v>26.600000000000023</v>
      </c>
      <c r="DW14" s="670">
        <f>INPUT!EH409</f>
        <v>-6.9930069930069898</v>
      </c>
      <c r="DX14" s="680">
        <f>INPUT!EI409</f>
        <v>33.099999999999909</v>
      </c>
      <c r="DY14" s="670">
        <f>INPUT!EJ409</f>
        <v>-4.3352601156072641</v>
      </c>
      <c r="DZ14" s="680">
        <f>INPUT!EK409</f>
        <v>30.080092226633383</v>
      </c>
      <c r="EA14" s="670">
        <f>INPUT!EL409</f>
        <v>-4.8098347258434533</v>
      </c>
      <c r="EB14" s="680">
        <f>INPUT!EM409</f>
        <v>29.441322464516929</v>
      </c>
      <c r="EC14" s="670">
        <f>INPUT!EN409</f>
        <v>-9.6891948941199129</v>
      </c>
      <c r="ED14" s="680">
        <f>INPUT!EO409</f>
        <v>28.809868919704627</v>
      </c>
      <c r="EE14" s="670">
        <f>INPUT!EP409</f>
        <v>8.3077778936263336</v>
      </c>
      <c r="EF14" s="680">
        <f>INPUT!EQ409</f>
        <v>28.185661335753935</v>
      </c>
      <c r="EG14" s="670">
        <f>INPUT!ER409</f>
        <v>-14.846944604972778</v>
      </c>
      <c r="EH14" s="670"/>
      <c r="EI14" s="682">
        <f>INPUT!FB409</f>
        <v>0</v>
      </c>
      <c r="EJ14" s="683" t="str">
        <f>INPUT!FC409</f>
        <v>NA</v>
      </c>
      <c r="EK14" s="682">
        <f>INPUT!FD409</f>
        <v>83</v>
      </c>
      <c r="EL14" s="683" t="str">
        <f>INPUT!FE409</f>
        <v>NA</v>
      </c>
      <c r="EM14" s="682">
        <f>INPUT!FF409</f>
        <v>62.500000000000227</v>
      </c>
      <c r="EN14" s="683">
        <f>INPUT!FG409</f>
        <v>-24.69879518072262</v>
      </c>
      <c r="EO14" s="682">
        <f>INPUT!FH409</f>
        <v>-822.80000000000041</v>
      </c>
      <c r="EP14" s="683" t="str">
        <f>INPUT!FI409</f>
        <v>NM</v>
      </c>
      <c r="EQ14" s="682">
        <f>INPUT!FJ409</f>
        <v>114.20000000000005</v>
      </c>
      <c r="ER14" s="670" t="str">
        <f>INPUT!FK409</f>
        <v>NM</v>
      </c>
      <c r="ES14" s="682">
        <f>INPUT!FL409</f>
        <v>118.49999999999955</v>
      </c>
      <c r="ET14" s="670">
        <f>INPUT!FM409</f>
        <v>3.7653239929942961</v>
      </c>
      <c r="EU14" s="682">
        <f>INPUT!FN409</f>
        <v>96.299999999999955</v>
      </c>
      <c r="EV14" s="670">
        <f>INPUT!FO409</f>
        <v>-18.734177215189597</v>
      </c>
      <c r="EW14" s="682">
        <f>INPUT!FP409</f>
        <v>20.39999999999959</v>
      </c>
      <c r="EX14" s="670" t="str">
        <f>INPUT!FQ409</f>
        <v>NM</v>
      </c>
      <c r="EY14" s="680">
        <f>INPUT!FR409</f>
        <v>123.99999999999909</v>
      </c>
      <c r="EZ14" s="670" t="str">
        <f>INPUT!FS409</f>
        <v>NM</v>
      </c>
      <c r="FA14" s="680">
        <f>INPUT!FT409</f>
        <v>118.59999999999991</v>
      </c>
      <c r="FB14" s="670">
        <f>INPUT!FU409</f>
        <v>-4.3548387096767893</v>
      </c>
      <c r="FC14" s="680">
        <f>INPUT!FV409</f>
        <v>123.89999999999975</v>
      </c>
      <c r="FD14" s="670">
        <f>INPUT!FW409</f>
        <v>4.4688026981448914</v>
      </c>
      <c r="FE14" s="680">
        <f>INPUT!FX409</f>
        <v>94.699999999999818</v>
      </c>
      <c r="FF14" s="670">
        <f>INPUT!FY409</f>
        <v>-23.567393058918473</v>
      </c>
      <c r="FG14" s="680">
        <f>INPUT!FZ409</f>
        <v>107.29999999999973</v>
      </c>
      <c r="FH14" s="670">
        <f>INPUT!GA409</f>
        <v>13.305174234424433</v>
      </c>
      <c r="FI14" s="680">
        <f>INPUT!GB409</f>
        <v>120.00000000000023</v>
      </c>
      <c r="FJ14" s="670">
        <f>INPUT!GC409</f>
        <v>11.835973904939912</v>
      </c>
      <c r="FK14" s="680">
        <f>INPUT!GD409</f>
        <v>119.09999999999991</v>
      </c>
      <c r="FL14" s="670">
        <f>INPUT!GE409</f>
        <v>-0.75000000000026157</v>
      </c>
      <c r="FM14" s="680">
        <f>INPUT!GF409</f>
        <v>129.50000000000045</v>
      </c>
      <c r="FN14" s="670">
        <f>INPUT!GG409</f>
        <v>8.7321578505462192</v>
      </c>
      <c r="FO14" s="680">
        <f>INPUT!GH409</f>
        <v>123.89999999999964</v>
      </c>
      <c r="FP14" s="670">
        <f>INPUT!GI409</f>
        <v>-4.3243243243249463</v>
      </c>
      <c r="FQ14" s="680">
        <f>INPUT!GJ409</f>
        <v>116.51694494660887</v>
      </c>
      <c r="FR14" s="670">
        <f>INPUT!GK409</f>
        <v>-5.9588822061265372</v>
      </c>
      <c r="FS14" s="680">
        <f>INPUT!GL409</f>
        <v>113.75875823842989</v>
      </c>
      <c r="FT14" s="670">
        <f>INPUT!GM409</f>
        <v>-2.3671979294023315</v>
      </c>
      <c r="FU14" s="680">
        <f>INPUT!GN409</f>
        <v>111.06857069869147</v>
      </c>
      <c r="FV14" s="670">
        <f>INPUT!GO409</f>
        <v>-2.3648179545877168</v>
      </c>
      <c r="FW14" s="680">
        <f>INPUT!GP409</f>
        <v>108.44463728099754</v>
      </c>
      <c r="FX14" s="670">
        <f>INPUT!GQ409</f>
        <v>-2.3624445702215668</v>
      </c>
      <c r="FY14" s="680">
        <f>INPUT!GR409</f>
        <v>105.88525939176861</v>
      </c>
      <c r="FZ14" s="670">
        <f>INPUT!GS409</f>
        <v>-2.3600778732812411</v>
      </c>
      <c r="GA14" s="994">
        <f>INPUT!GT409</f>
        <v>-3.0935153109152957</v>
      </c>
    </row>
    <row r="15" spans="1:183" s="707" customFormat="1" ht="12.75" customHeight="1" x14ac:dyDescent="0.2">
      <c r="A15" s="993" t="str">
        <f>INPUT!B410</f>
        <v>Corporate &amp; Other</v>
      </c>
      <c r="B15" s="680">
        <f>INPUT!M410</f>
        <v>-15.500000000000014</v>
      </c>
      <c r="C15" s="681" t="str">
        <f>INPUT!N410</f>
        <v>NM</v>
      </c>
      <c r="D15" s="680">
        <f>INPUT!O410</f>
        <v>-19.90000000000002</v>
      </c>
      <c r="E15" s="681">
        <f>INPUT!P410</f>
        <v>-8.2949308755760125</v>
      </c>
      <c r="F15" s="680">
        <f>INPUT!Q410</f>
        <v>-18.500000000000014</v>
      </c>
      <c r="G15" s="681" t="str">
        <f>INPUT!R410</f>
        <v>NM</v>
      </c>
      <c r="H15" s="680">
        <f>INPUT!S410</f>
        <v>-36.799999999999983</v>
      </c>
      <c r="I15" s="681">
        <f>INPUT!T410</f>
        <v>27.33564013840828</v>
      </c>
      <c r="J15" s="680">
        <f>INPUT!U410</f>
        <v>-38.800000000000011</v>
      </c>
      <c r="K15" s="681" t="str">
        <f>INPUT!V410</f>
        <v>NM</v>
      </c>
      <c r="L15" s="680">
        <f>INPUT!W410</f>
        <v>-33.599999999999966</v>
      </c>
      <c r="M15" s="681">
        <f>INPUT!X410</f>
        <v>68.844221105527311</v>
      </c>
      <c r="N15" s="680">
        <f>INPUT!Y410</f>
        <v>-34.299999999999997</v>
      </c>
      <c r="O15" s="681">
        <f>INPUT!Z410</f>
        <v>85.405405405405247</v>
      </c>
      <c r="P15" s="680">
        <f>INPUT!AA410</f>
        <v>-44.699999999999989</v>
      </c>
      <c r="Q15" s="681">
        <f>INPUT!AB410</f>
        <v>21.467391304347849</v>
      </c>
      <c r="R15" s="680">
        <f>INPUT!AC410</f>
        <v>-35.899999999999977</v>
      </c>
      <c r="S15" s="681">
        <f>INPUT!AD410</f>
        <v>-7.4742268041237958</v>
      </c>
      <c r="T15" s="680">
        <f>INPUT!AE410</f>
        <v>-16.099999999999994</v>
      </c>
      <c r="U15" s="681" t="str">
        <f>INPUT!AF410</f>
        <v>NM</v>
      </c>
      <c r="V15" s="680">
        <f>INPUT!AG410</f>
        <v>-33.100000000000023</v>
      </c>
      <c r="W15" s="681">
        <f>INPUT!AH410</f>
        <v>-3.4985422740524075</v>
      </c>
      <c r="X15" s="680">
        <f>INPUT!AI410</f>
        <v>-23.200000000000003</v>
      </c>
      <c r="Y15" s="681">
        <f>INPUT!AJ410</f>
        <v>-48.098434004474257</v>
      </c>
      <c r="Z15" s="680">
        <f>INPUT!AK410</f>
        <v>-61.899999999999977</v>
      </c>
      <c r="AA15" s="681">
        <f>INPUT!AL410</f>
        <v>72.423398328690851</v>
      </c>
      <c r="AB15" s="680">
        <f>INPUT!AM410</f>
        <v>-23.700000000000003</v>
      </c>
      <c r="AC15" s="681">
        <f>INPUT!AN410</f>
        <v>47.204968944099448</v>
      </c>
      <c r="AD15" s="680">
        <f>INPUT!AO410</f>
        <v>-19.399999999999977</v>
      </c>
      <c r="AE15" s="681">
        <f>INPUT!AP410</f>
        <v>-41.389728096676848</v>
      </c>
      <c r="AF15" s="680">
        <f>INPUT!AQ410</f>
        <v>-33.820000000000007</v>
      </c>
      <c r="AG15" s="681">
        <f>INPUT!AR410</f>
        <v>45.775862068965537</v>
      </c>
      <c r="AH15" s="680">
        <f>INPUT!AS410</f>
        <v>-28.09999999999998</v>
      </c>
      <c r="AI15" s="681" t="str">
        <f>INPUT!AT410</f>
        <v>NM</v>
      </c>
      <c r="AJ15" s="680">
        <f>INPUT!AU410</f>
        <v>-27.200000000000003</v>
      </c>
      <c r="AK15" s="681">
        <f>INPUT!AV410</f>
        <v>14.767932489451475</v>
      </c>
      <c r="AL15" s="680">
        <f>INPUT!AW410</f>
        <v>-20</v>
      </c>
      <c r="AM15" s="681">
        <f>INPUT!AX410</f>
        <v>3.0927835051547614</v>
      </c>
      <c r="AN15" s="680">
        <f>INPUT!AY410</f>
        <v>-25.9</v>
      </c>
      <c r="AO15" s="670">
        <f>INPUT!AZ410</f>
        <v>-23.418095801301032</v>
      </c>
      <c r="AP15" s="682">
        <f>INPUT!BA410</f>
        <v>-27.800000000000004</v>
      </c>
      <c r="AQ15" s="670">
        <f>INPUT!BB410</f>
        <v>-1.0676156583629082</v>
      </c>
      <c r="AR15" s="682">
        <f>INPUT!BC410</f>
        <v>-45.600000000000009</v>
      </c>
      <c r="AS15" s="670">
        <f>INPUT!BD410</f>
        <v>67.64705882352942</v>
      </c>
      <c r="AT15" s="682">
        <f>INPUT!BE410</f>
        <v>-22.200000000000003</v>
      </c>
      <c r="AU15" s="670">
        <f>INPUT!BF410</f>
        <v>11.000000000000011</v>
      </c>
      <c r="AV15" s="682">
        <f>INPUT!BG410</f>
        <v>-9.5999999999999943</v>
      </c>
      <c r="AW15" s="670" t="str">
        <f>INPUT!BH410</f>
        <v>NM</v>
      </c>
      <c r="AX15" s="680">
        <f>INPUT!BI410</f>
        <v>0.29999999999999716</v>
      </c>
      <c r="AY15" s="670" t="str">
        <f>INPUT!BJ410</f>
        <v>NM</v>
      </c>
      <c r="AZ15" s="680">
        <f>INPUT!BK410</f>
        <v>-6.6999999999999957</v>
      </c>
      <c r="BA15" s="670" t="str">
        <f>INPUT!BL410</f>
        <v>NM</v>
      </c>
      <c r="BB15" s="680">
        <f>INPUT!BM410</f>
        <v>-7.2000000000000171</v>
      </c>
      <c r="BC15" s="670" t="str">
        <f>INPUT!BN410</f>
        <v>NM</v>
      </c>
      <c r="BD15" s="680">
        <f>INPUT!BO410</f>
        <v>-0.39999999999999858</v>
      </c>
      <c r="BE15" s="670" t="str">
        <f>INPUT!BP410</f>
        <v>NM</v>
      </c>
      <c r="BF15" s="680">
        <f>INPUT!BQ410</f>
        <v>-12.900000000000006</v>
      </c>
      <c r="BG15" s="670" t="str">
        <f>INPUT!BR410</f>
        <v>NM</v>
      </c>
      <c r="BH15" s="680">
        <f>INPUT!BS410</f>
        <v>-16</v>
      </c>
      <c r="BI15" s="670" t="str">
        <f>INPUT!BT410</f>
        <v>NM</v>
      </c>
      <c r="BJ15" s="680">
        <f>INPUT!BU410</f>
        <v>-13.699999999999996</v>
      </c>
      <c r="BK15" s="670">
        <f>INPUT!BV410</f>
        <v>90.27777777777726</v>
      </c>
      <c r="BL15" s="680">
        <f>INPUT!BW410</f>
        <v>-16.600000000000009</v>
      </c>
      <c r="BM15" s="670" t="str">
        <f>INPUT!BX410</f>
        <v>NM</v>
      </c>
      <c r="BN15" s="680">
        <f>INPUT!BY410</f>
        <v>-9.0999999999999979</v>
      </c>
      <c r="BO15" s="670">
        <f>INPUT!BZ410</f>
        <v>-29.457364341085324</v>
      </c>
      <c r="BP15" s="680">
        <f>INPUT!CA410</f>
        <v>-4.899999999999995</v>
      </c>
      <c r="BQ15" s="670" t="str">
        <f>INPUT!CB410</f>
        <v>NM</v>
      </c>
      <c r="BR15" s="680">
        <f>INPUT!CC410</f>
        <v>-9.1000000000000014</v>
      </c>
      <c r="BS15" s="670">
        <f>INPUT!CD410</f>
        <v>-33.576642335766394</v>
      </c>
      <c r="BT15" s="680">
        <f>INPUT!CE410</f>
        <v>-15.8</v>
      </c>
      <c r="BU15" s="670">
        <f>INPUT!CF410</f>
        <v>-4.8192771084337842</v>
      </c>
      <c r="BV15" s="680">
        <f>INPUT!CG410</f>
        <v>-21.799999999999997</v>
      </c>
      <c r="BW15" s="670" t="str">
        <f>INPUT!CH410</f>
        <v>NM</v>
      </c>
      <c r="BX15" s="680">
        <f>INPUT!CI410</f>
        <v>-16.999999999999996</v>
      </c>
      <c r="BY15" s="670" t="str">
        <f>INPUT!CJ410</f>
        <v>NM</v>
      </c>
      <c r="BZ15" s="680">
        <f>INPUT!CK410</f>
        <v>-20.800000000000004</v>
      </c>
      <c r="CA15" s="670" t="str">
        <f>INPUT!CL410</f>
        <v>NM</v>
      </c>
      <c r="CB15" s="680">
        <f>INPUT!CM410</f>
        <v>-18.799999999999997</v>
      </c>
      <c r="CC15" s="670">
        <f>INPUT!CN410</f>
        <v>18.987341772151865</v>
      </c>
      <c r="CD15" s="680">
        <f>INPUT!CO410</f>
        <v>-20.6</v>
      </c>
      <c r="CE15" s="670">
        <f>INPUT!CP410</f>
        <v>-5.5045871559632804</v>
      </c>
      <c r="CF15" s="680">
        <f>INPUT!CQ410</f>
        <v>-25.900000000000006</v>
      </c>
      <c r="CG15" s="670">
        <f>INPUT!CR410</f>
        <v>52.352941176470644</v>
      </c>
      <c r="CH15" s="680">
        <f>INPUT!CS410</f>
        <v>-27.399999999999995</v>
      </c>
      <c r="CI15" s="670">
        <f>INPUT!CT410</f>
        <v>31.730769230769184</v>
      </c>
      <c r="CJ15" s="680">
        <f>INPUT!CU410</f>
        <v>-34.599999999999994</v>
      </c>
      <c r="CK15" s="670">
        <f>INPUT!CV410</f>
        <v>84.042553191489361</v>
      </c>
      <c r="CL15" s="680">
        <f>INPUT!CW410</f>
        <v>-26.199999999999996</v>
      </c>
      <c r="CM15" s="670">
        <f>INPUT!CX410</f>
        <v>27.184466019417442</v>
      </c>
      <c r="CN15" s="680">
        <f>INPUT!CY410</f>
        <v>-29.6</v>
      </c>
      <c r="CO15" s="670">
        <f>INPUT!CZ410</f>
        <v>14.285714285714256</v>
      </c>
      <c r="CP15" s="680">
        <f>INPUT!DA410</f>
        <v>-25.4</v>
      </c>
      <c r="CQ15" s="670">
        <f>INPUT!DB410</f>
        <v>-7.2992700729926918</v>
      </c>
      <c r="CR15" s="680">
        <f>INPUT!DC410</f>
        <v>-33.900000000000006</v>
      </c>
      <c r="CS15" s="670">
        <f>INPUT!DD410</f>
        <v>-2.0231213872831999</v>
      </c>
      <c r="CT15" s="680">
        <f>INPUT!DE410</f>
        <v>-26.5</v>
      </c>
      <c r="CU15" s="670">
        <f>INPUT!DF410</f>
        <v>1.1450381679389388</v>
      </c>
      <c r="CV15" s="680">
        <f>INPUT!DG410</f>
        <v>-28.400000000000002</v>
      </c>
      <c r="CW15" s="670">
        <f>INPUT!DH410</f>
        <v>-4.0540540540540455</v>
      </c>
      <c r="CX15" s="680">
        <f>INPUT!DI410</f>
        <v>-25.099999999999994</v>
      </c>
      <c r="CY15" s="670">
        <f>INPUT!DJ410</f>
        <v>-1.1811023622047445</v>
      </c>
      <c r="CZ15" s="680">
        <f>INPUT!DK410</f>
        <v>-25.799999999999997</v>
      </c>
      <c r="DA15" s="670">
        <f>INPUT!DL410</f>
        <v>-23.893805309734539</v>
      </c>
      <c r="DB15" s="680">
        <f>INPUT!DM410</f>
        <v>-32.9</v>
      </c>
      <c r="DC15" s="670">
        <f>INPUT!DN410</f>
        <v>24.15094339622641</v>
      </c>
      <c r="DD15" s="680">
        <f>INPUT!DO410</f>
        <v>-36.299999999999997</v>
      </c>
      <c r="DE15" s="670">
        <f>INPUT!DP410</f>
        <v>27.816901408450679</v>
      </c>
      <c r="DF15" s="680">
        <f>INPUT!DQ410</f>
        <v>-29.9</v>
      </c>
      <c r="DG15" s="670">
        <f>INPUT!DR410</f>
        <v>19.123505976095643</v>
      </c>
      <c r="DH15" s="680">
        <f>INPUT!DS410</f>
        <v>-37.6</v>
      </c>
      <c r="DI15" s="670">
        <f>INPUT!DT410</f>
        <v>45.736434108527149</v>
      </c>
      <c r="DJ15" s="680">
        <f>INPUT!DU410</f>
        <v>-35.9</v>
      </c>
      <c r="DK15" s="670">
        <f>INPUT!DV410</f>
        <v>9.1185410334346564</v>
      </c>
      <c r="DL15" s="680">
        <f>INPUT!DW410</f>
        <v>-39.699999999999996</v>
      </c>
      <c r="DM15" s="670">
        <f>INPUT!DX410</f>
        <v>9.3663911845730077</v>
      </c>
      <c r="DN15" s="680">
        <f>INPUT!DY410</f>
        <v>-45.7</v>
      </c>
      <c r="DO15" s="670">
        <f>INPUT!DZ410</f>
        <v>52.842809364548501</v>
      </c>
      <c r="DP15" s="680">
        <f>INPUT!EA410</f>
        <v>-41.7</v>
      </c>
      <c r="DQ15" s="670">
        <f>INPUT!EB410</f>
        <v>10.904255319148938</v>
      </c>
      <c r="DR15" s="680">
        <f>INPUT!EC410</f>
        <v>-39.800000000000004</v>
      </c>
      <c r="DS15" s="670">
        <f>INPUT!ED410</f>
        <v>10.863509749303635</v>
      </c>
      <c r="DT15" s="680">
        <f>INPUT!EE410</f>
        <v>-37.599999999999994</v>
      </c>
      <c r="DU15" s="670">
        <f>INPUT!EF410</f>
        <v>-5.2896725440806041</v>
      </c>
      <c r="DV15" s="680">
        <f>INPUT!EG410</f>
        <v>-36.199999999999996</v>
      </c>
      <c r="DW15" s="670">
        <f>INPUT!EH410</f>
        <v>-20.787746170678357</v>
      </c>
      <c r="DX15" s="680">
        <f>INPUT!EI410</f>
        <v>-33.199999999999996</v>
      </c>
      <c r="DY15" s="670">
        <f>INPUT!EJ410</f>
        <v>-20.383693045563568</v>
      </c>
      <c r="DZ15" s="680">
        <f>INPUT!EK410</f>
        <v>-35.319999999999993</v>
      </c>
      <c r="EA15" s="670">
        <f>INPUT!EL410</f>
        <v>-11.256281407035207</v>
      </c>
      <c r="EB15" s="680">
        <f>INPUT!EM410</f>
        <v>-35.319999999999993</v>
      </c>
      <c r="EC15" s="670">
        <f>INPUT!EN410</f>
        <v>-6.0638297872340434</v>
      </c>
      <c r="ED15" s="680">
        <f>INPUT!EO410</f>
        <v>-37.069999999999993</v>
      </c>
      <c r="EE15" s="670">
        <f>INPUT!EP410</f>
        <v>2.403314917127064</v>
      </c>
      <c r="EF15" s="680">
        <f>INPUT!EQ410</f>
        <v>-37.069999999999993</v>
      </c>
      <c r="EG15" s="670">
        <f>INPUT!ER410</f>
        <v>11.656626506024082</v>
      </c>
      <c r="EH15" s="670"/>
      <c r="EI15" s="682">
        <f>INPUT!FB410</f>
        <v>67</v>
      </c>
      <c r="EJ15" s="683" t="str">
        <f>INPUT!FC410</f>
        <v>NA</v>
      </c>
      <c r="EK15" s="682">
        <f>INPUT!FD410</f>
        <v>64.300000000000011</v>
      </c>
      <c r="EL15" s="683">
        <f>INPUT!FE410</f>
        <v>-4.0298507462686377</v>
      </c>
      <c r="EM15" s="682">
        <f>INPUT!FF410</f>
        <v>42.099999999999966</v>
      </c>
      <c r="EN15" s="683">
        <f>INPUT!FG410</f>
        <v>-34.525660964230234</v>
      </c>
      <c r="EO15" s="682">
        <f>INPUT!FH410</f>
        <v>45.400000000000034</v>
      </c>
      <c r="EP15" s="683">
        <f>INPUT!FI410</f>
        <v>7.8384798099764064</v>
      </c>
      <c r="EQ15" s="682">
        <f>INPUT!FJ410</f>
        <v>-138.81999999999996</v>
      </c>
      <c r="ER15" s="670" t="str">
        <f>INPUT!FK410</f>
        <v>NM</v>
      </c>
      <c r="ES15" s="682">
        <f>INPUT!FL410</f>
        <v>-101.19999999999999</v>
      </c>
      <c r="ET15" s="670">
        <f>INPUT!FM410</f>
        <v>-27.099841521394595</v>
      </c>
      <c r="EU15" s="680">
        <f>INPUT!FN410</f>
        <v>-105.20000000000005</v>
      </c>
      <c r="EV15" s="670">
        <f>INPUT!FO410</f>
        <v>3.9525691699605403</v>
      </c>
      <c r="EW15" s="680">
        <f>INPUT!FP410</f>
        <v>-13.999999999999972</v>
      </c>
      <c r="EX15" s="670" t="str">
        <f>INPUT!FQ410</f>
        <v>NM</v>
      </c>
      <c r="EY15" s="680">
        <f>INPUT!FR410</f>
        <v>-48.399999999999991</v>
      </c>
      <c r="EZ15" s="670" t="str">
        <f>INPUT!FS410</f>
        <v>NM</v>
      </c>
      <c r="FA15" s="680">
        <f>INPUT!FT410</f>
        <v>-38.900000000000006</v>
      </c>
      <c r="FB15" s="670">
        <f>INPUT!FU410</f>
        <v>-19.628099173553693</v>
      </c>
      <c r="FC15" s="680">
        <f>INPUT!FV410</f>
        <v>-78.399999999999977</v>
      </c>
      <c r="FD15" s="670" t="str">
        <f>INPUT!FW410</f>
        <v>NM</v>
      </c>
      <c r="FE15" s="680">
        <f>INPUT!FX410</f>
        <v>-86.399999999999977</v>
      </c>
      <c r="FF15" s="670">
        <f>INPUT!FY410</f>
        <v>10.204081632653072</v>
      </c>
      <c r="FG15" s="680">
        <f>INPUT!FZ410</f>
        <v>-115.1</v>
      </c>
      <c r="FH15" s="670">
        <f>INPUT!GA410</f>
        <v>33.217592592592624</v>
      </c>
      <c r="FI15" s="680">
        <f>INPUT!GB410</f>
        <v>-105.80000000000001</v>
      </c>
      <c r="FJ15" s="670">
        <f>INPUT!GC410</f>
        <v>-8.0799304952215323</v>
      </c>
      <c r="FK15" s="680">
        <f>INPUT!GD410</f>
        <v>-136.69999999999999</v>
      </c>
      <c r="FL15" s="670">
        <f>INPUT!GE410</f>
        <v>29.206049149338355</v>
      </c>
      <c r="FM15" s="680">
        <f>INPUT!GF410</f>
        <v>-163</v>
      </c>
      <c r="FN15" s="670">
        <f>INPUT!GG410</f>
        <v>19.239209948792979</v>
      </c>
      <c r="FO15" s="680">
        <f>INPUT!GH410</f>
        <v>-146.79999999999998</v>
      </c>
      <c r="FP15" s="670">
        <f>INPUT!GI410</f>
        <v>-9.9386503067484746</v>
      </c>
      <c r="FQ15" s="680">
        <f>INPUT!GJ410</f>
        <v>-144.77999999999997</v>
      </c>
      <c r="FR15" s="670">
        <f>INPUT!GK410</f>
        <v>-1.3760217983651346</v>
      </c>
      <c r="FS15" s="680">
        <f>INPUT!GL410</f>
        <v>-148.27999999999997</v>
      </c>
      <c r="FT15" s="670">
        <f>INPUT!GM410</f>
        <v>2.4174609752728227</v>
      </c>
      <c r="FU15" s="680">
        <f>INPUT!GN410</f>
        <v>-150.02199999999999</v>
      </c>
      <c r="FV15" s="670">
        <f>INPUT!GO410</f>
        <v>1.1748044240625921</v>
      </c>
      <c r="FW15" s="680">
        <f>INPUT!GP410</f>
        <v>-151.78141999999997</v>
      </c>
      <c r="FX15" s="670">
        <f>INPUT!GQ410</f>
        <v>1.1727746597165689</v>
      </c>
      <c r="FY15" s="680">
        <f>INPUT!GR410</f>
        <v>-153.55843419999997</v>
      </c>
      <c r="FZ15" s="670">
        <f>INPUT!GS410</f>
        <v>1.1707718902616682</v>
      </c>
      <c r="GA15" s="994">
        <f>INPUT!GT410</f>
        <v>0.90426514075188091</v>
      </c>
    </row>
    <row r="16" spans="1:183" s="707" customFormat="1" ht="4.5" customHeight="1" x14ac:dyDescent="0.2">
      <c r="A16" s="993"/>
      <c r="B16" s="679"/>
      <c r="C16" s="681"/>
      <c r="D16" s="679"/>
      <c r="E16" s="681"/>
      <c r="F16" s="679"/>
      <c r="G16" s="681"/>
      <c r="H16" s="679"/>
      <c r="I16" s="681"/>
      <c r="J16" s="679"/>
      <c r="K16" s="681"/>
      <c r="L16" s="679"/>
      <c r="M16" s="681"/>
      <c r="N16" s="679"/>
      <c r="O16" s="681"/>
      <c r="P16" s="679"/>
      <c r="Q16" s="681"/>
      <c r="R16" s="679"/>
      <c r="S16" s="681"/>
      <c r="T16" s="679"/>
      <c r="U16" s="681"/>
      <c r="V16" s="679"/>
      <c r="W16" s="681"/>
      <c r="X16" s="679"/>
      <c r="Y16" s="681"/>
      <c r="Z16" s="679"/>
      <c r="AA16" s="681"/>
      <c r="AB16" s="679"/>
      <c r="AC16" s="681"/>
      <c r="AD16" s="679"/>
      <c r="AE16" s="681"/>
      <c r="AF16" s="679"/>
      <c r="AG16" s="681"/>
      <c r="AH16" s="679"/>
      <c r="AI16" s="681"/>
      <c r="AJ16" s="679"/>
      <c r="AK16" s="681"/>
      <c r="AL16" s="679"/>
      <c r="AM16" s="681"/>
      <c r="AN16" s="679"/>
      <c r="AO16" s="670"/>
      <c r="AP16" s="679"/>
      <c r="AQ16" s="670"/>
      <c r="AR16" s="679"/>
      <c r="AS16" s="670"/>
      <c r="AT16" s="679"/>
      <c r="AU16" s="670"/>
      <c r="AV16" s="679"/>
      <c r="AW16" s="670"/>
      <c r="AX16" s="679"/>
      <c r="AY16" s="670"/>
      <c r="AZ16" s="679"/>
      <c r="BA16" s="670"/>
      <c r="BB16" s="679"/>
      <c r="BC16" s="670"/>
      <c r="BD16" s="679"/>
      <c r="BE16" s="670"/>
      <c r="BF16" s="679"/>
      <c r="BG16" s="670"/>
      <c r="BH16" s="679"/>
      <c r="BI16" s="670"/>
      <c r="BJ16" s="679"/>
      <c r="BK16" s="670"/>
      <c r="BL16" s="679"/>
      <c r="BM16" s="670"/>
      <c r="BN16" s="679"/>
      <c r="BO16" s="670"/>
      <c r="BP16" s="679"/>
      <c r="BQ16" s="670"/>
      <c r="BR16" s="679"/>
      <c r="BS16" s="670"/>
      <c r="BT16" s="679"/>
      <c r="BU16" s="670"/>
      <c r="BV16" s="679"/>
      <c r="BW16" s="670"/>
      <c r="BX16" s="679"/>
      <c r="BY16" s="670"/>
      <c r="BZ16" s="679"/>
      <c r="CA16" s="670"/>
      <c r="CB16" s="679"/>
      <c r="CC16" s="670"/>
      <c r="CD16" s="679"/>
      <c r="CE16" s="670"/>
      <c r="CF16" s="679"/>
      <c r="CG16" s="670"/>
      <c r="CH16" s="679"/>
      <c r="CI16" s="670"/>
      <c r="CJ16" s="679"/>
      <c r="CK16" s="670"/>
      <c r="CL16" s="679"/>
      <c r="CM16" s="670"/>
      <c r="CN16" s="679"/>
      <c r="CO16" s="670"/>
      <c r="CP16" s="679"/>
      <c r="CQ16" s="670"/>
      <c r="CR16" s="679"/>
      <c r="CS16" s="670"/>
      <c r="CT16" s="679"/>
      <c r="CU16" s="670"/>
      <c r="CV16" s="679"/>
      <c r="CW16" s="670"/>
      <c r="CX16" s="679"/>
      <c r="CY16" s="670"/>
      <c r="CZ16" s="679"/>
      <c r="DA16" s="670"/>
      <c r="DB16" s="679"/>
      <c r="DC16" s="670"/>
      <c r="DD16" s="679"/>
      <c r="DE16" s="670"/>
      <c r="DF16" s="679"/>
      <c r="DG16" s="670"/>
      <c r="DH16" s="679"/>
      <c r="DI16" s="670"/>
      <c r="DJ16" s="679"/>
      <c r="DK16" s="670"/>
      <c r="DL16" s="679"/>
      <c r="DM16" s="670"/>
      <c r="DN16" s="679"/>
      <c r="DO16" s="670"/>
      <c r="DP16" s="679"/>
      <c r="DQ16" s="670"/>
      <c r="DR16" s="679"/>
      <c r="DS16" s="670"/>
      <c r="DT16" s="679"/>
      <c r="DU16" s="670"/>
      <c r="DV16" s="679"/>
      <c r="DW16" s="670"/>
      <c r="DX16" s="679"/>
      <c r="DY16" s="670"/>
      <c r="DZ16" s="679"/>
      <c r="EA16" s="670"/>
      <c r="EB16" s="679"/>
      <c r="EC16" s="670"/>
      <c r="ED16" s="679"/>
      <c r="EE16" s="670"/>
      <c r="EF16" s="679"/>
      <c r="EG16" s="670"/>
      <c r="EH16" s="670"/>
      <c r="EI16" s="679"/>
      <c r="EJ16" s="681"/>
      <c r="EK16" s="679"/>
      <c r="EL16" s="681"/>
      <c r="EM16" s="679"/>
      <c r="EN16" s="681"/>
      <c r="EO16" s="679"/>
      <c r="EP16" s="681"/>
      <c r="EQ16" s="679"/>
      <c r="ER16" s="670"/>
      <c r="ES16" s="679"/>
      <c r="ET16" s="670"/>
      <c r="EU16" s="679"/>
      <c r="EV16" s="670"/>
      <c r="EW16" s="679"/>
      <c r="EX16" s="670"/>
      <c r="EY16" s="679"/>
      <c r="EZ16" s="670"/>
      <c r="FA16" s="679"/>
      <c r="FB16" s="670"/>
      <c r="FC16" s="679"/>
      <c r="FD16" s="670"/>
      <c r="FE16" s="679"/>
      <c r="FF16" s="670"/>
      <c r="FG16" s="679"/>
      <c r="FH16" s="670"/>
      <c r="FI16" s="679"/>
      <c r="FJ16" s="670"/>
      <c r="FK16" s="679"/>
      <c r="FL16" s="670"/>
      <c r="FM16" s="679"/>
      <c r="FN16" s="670"/>
      <c r="FO16" s="679"/>
      <c r="FP16" s="670"/>
      <c r="FQ16" s="679"/>
      <c r="FR16" s="670"/>
      <c r="FS16" s="679"/>
      <c r="FT16" s="670"/>
      <c r="FU16" s="679"/>
      <c r="FV16" s="670"/>
      <c r="FW16" s="679"/>
      <c r="FX16" s="670"/>
      <c r="FY16" s="679"/>
      <c r="FZ16" s="670"/>
      <c r="GA16" s="994"/>
    </row>
    <row r="17" spans="1:183" s="708" customFormat="1" ht="12.75" customHeight="1" x14ac:dyDescent="0.2">
      <c r="A17" s="991" t="str">
        <f>INPUT!B411</f>
        <v>Core Pre-tax Earnings</v>
      </c>
      <c r="B17" s="684">
        <f>INPUT!M411</f>
        <v>43.40000000000002</v>
      </c>
      <c r="C17" s="685" t="str">
        <f>INPUT!N411</f>
        <v>NM</v>
      </c>
      <c r="D17" s="684">
        <f>INPUT!O411</f>
        <v>33.600000000000009</v>
      </c>
      <c r="E17" s="685" t="str">
        <f>INPUT!P411</f>
        <v>NA</v>
      </c>
      <c r="F17" s="684">
        <f>INPUT!Q411</f>
        <v>34.999999999999957</v>
      </c>
      <c r="G17" s="685" t="str">
        <f>INPUT!R411</f>
        <v>NM</v>
      </c>
      <c r="H17" s="684">
        <f>INPUT!S411</f>
        <v>17.800000000000011</v>
      </c>
      <c r="I17" s="685" t="str">
        <f>INPUT!T411</f>
        <v>NM</v>
      </c>
      <c r="J17" s="684">
        <f>INPUT!U411</f>
        <v>-304.4000000000006</v>
      </c>
      <c r="K17" s="685" t="str">
        <f>INPUT!V411</f>
        <v>NM</v>
      </c>
      <c r="L17" s="684">
        <f>INPUT!W411</f>
        <v>163.89999999999998</v>
      </c>
      <c r="M17" s="685" t="str">
        <f>INPUT!X411</f>
        <v>NM</v>
      </c>
      <c r="N17" s="684">
        <f>INPUT!Y411</f>
        <v>173.50000000000028</v>
      </c>
      <c r="O17" s="685" t="str">
        <f>INPUT!Z411</f>
        <v>NM</v>
      </c>
      <c r="P17" s="684">
        <f>INPUT!AA411</f>
        <v>-294.39999999999992</v>
      </c>
      <c r="Q17" s="685" t="str">
        <f>INPUT!AB411</f>
        <v>NM</v>
      </c>
      <c r="R17" s="684">
        <f>INPUT!AC411</f>
        <v>-795.5</v>
      </c>
      <c r="S17" s="685" t="str">
        <f>INPUT!AD411</f>
        <v>NM</v>
      </c>
      <c r="T17" s="684">
        <f>INPUT!AE411</f>
        <v>198.60000000000022</v>
      </c>
      <c r="U17" s="670">
        <f>INPUT!AF411</f>
        <v>21.171446003660922</v>
      </c>
      <c r="V17" s="684">
        <f>INPUT!AG411</f>
        <v>191.92999999999998</v>
      </c>
      <c r="W17" s="670">
        <f>INPUT!AH411</f>
        <v>10.622478386166945</v>
      </c>
      <c r="X17" s="684">
        <f>INPUT!AI411</f>
        <v>116.37000000000013</v>
      </c>
      <c r="Y17" s="670" t="str">
        <f>INPUT!AJ411</f>
        <v>NM</v>
      </c>
      <c r="Z17" s="684">
        <f>INPUT!AK411</f>
        <v>152.80000000000049</v>
      </c>
      <c r="AA17" s="670" t="str">
        <f>INPUT!AL411</f>
        <v>NM</v>
      </c>
      <c r="AB17" s="684">
        <f>INPUT!AM411</f>
        <v>200.29999999999973</v>
      </c>
      <c r="AC17" s="670">
        <f>INPUT!AN411</f>
        <v>0.85599194360499453</v>
      </c>
      <c r="AD17" s="684">
        <f>INPUT!AO411</f>
        <v>208.99999999999994</v>
      </c>
      <c r="AE17" s="670">
        <f>INPUT!AP411</f>
        <v>8.89386755587973</v>
      </c>
      <c r="AF17" s="684">
        <f>INPUT!AQ411</f>
        <v>202.23999999999995</v>
      </c>
      <c r="AG17" s="670">
        <f>INPUT!AR411</f>
        <v>73.790495832258941</v>
      </c>
      <c r="AH17" s="684">
        <f>INPUT!AS411</f>
        <v>201.69999999999987</v>
      </c>
      <c r="AI17" s="670">
        <f>INPUT!AT411</f>
        <v>32.002617801046604</v>
      </c>
      <c r="AJ17" s="684">
        <f>INPUT!AU411</f>
        <v>216.49999999999972</v>
      </c>
      <c r="AK17" s="670">
        <f>INPUT!AV411</f>
        <v>8.0878681977034397</v>
      </c>
      <c r="AL17" s="684">
        <f>INPUT!AW411</f>
        <v>244.50000000000011</v>
      </c>
      <c r="AM17" s="670">
        <f>INPUT!AX411</f>
        <v>16.985645933014439</v>
      </c>
      <c r="AN17" s="684">
        <f>INPUT!AY411</f>
        <v>248.00000000000009</v>
      </c>
      <c r="AO17" s="670">
        <f>INPUT!AZ411</f>
        <v>22.626582278481088</v>
      </c>
      <c r="AP17" s="684">
        <f>INPUT!BA411</f>
        <v>263.59999999999997</v>
      </c>
      <c r="AQ17" s="670">
        <f>INPUT!BB411</f>
        <v>30.689142290530548</v>
      </c>
      <c r="AR17" s="684">
        <f>INPUT!BC411</f>
        <v>275.5</v>
      </c>
      <c r="AS17" s="670">
        <f>INPUT!BD411</f>
        <v>27.251732101616799</v>
      </c>
      <c r="AT17" s="684">
        <f>INPUT!BE411</f>
        <v>324.99999999999983</v>
      </c>
      <c r="AU17" s="670">
        <f>INPUT!BF411</f>
        <v>32.924335378322979</v>
      </c>
      <c r="AV17" s="684">
        <f>INPUT!BG411</f>
        <v>318.30000000000007</v>
      </c>
      <c r="AW17" s="670">
        <f>INPUT!BH411</f>
        <v>28.346774193548363</v>
      </c>
      <c r="AX17" s="684">
        <f>INPUT!BI411</f>
        <v>313.2</v>
      </c>
      <c r="AY17" s="670">
        <f>INPUT!BJ411</f>
        <v>18.816388467374811</v>
      </c>
      <c r="AZ17" s="684">
        <f>INPUT!BK411</f>
        <v>327.89999999999975</v>
      </c>
      <c r="BA17" s="670">
        <f>INPUT!BL411</f>
        <v>19.019963702359256</v>
      </c>
      <c r="BB17" s="684">
        <f>INPUT!BM411</f>
        <v>319.89999999999986</v>
      </c>
      <c r="BC17" s="670">
        <f>INPUT!BN411</f>
        <v>-1.5692307692307561</v>
      </c>
      <c r="BD17" s="684">
        <f>INPUT!BO411</f>
        <v>310.20000000000022</v>
      </c>
      <c r="BE17" s="670">
        <f>INPUT!BP411</f>
        <v>-2.5447690857680949</v>
      </c>
      <c r="BF17" s="684">
        <f>INPUT!BQ411</f>
        <v>315.19999999999993</v>
      </c>
      <c r="BG17" s="670">
        <f>INPUT!BR411</f>
        <v>0.63856960408683605</v>
      </c>
      <c r="BH17" s="684">
        <f>INPUT!BS411</f>
        <v>323.90000000000015</v>
      </c>
      <c r="BI17" s="670">
        <f>INPUT!BT411</f>
        <v>-1.2198841110093284</v>
      </c>
      <c r="BJ17" s="684">
        <f>INPUT!BU411</f>
        <v>319.69999999999982</v>
      </c>
      <c r="BK17" s="670">
        <f>INPUT!BV411</f>
        <v>-6.2519537355443244E-2</v>
      </c>
      <c r="BL17" s="684">
        <f>INPUT!BW411</f>
        <v>321.79999999999978</v>
      </c>
      <c r="BM17" s="670">
        <f>INPUT!BX411</f>
        <v>3.7395228884589127</v>
      </c>
      <c r="BN17" s="684">
        <f>INPUT!BY411</f>
        <v>340.1</v>
      </c>
      <c r="BO17" s="670">
        <f>INPUT!BZ411</f>
        <v>7.899746192893442</v>
      </c>
      <c r="BP17" s="684">
        <f>INPUT!CA411</f>
        <v>343.59999999999997</v>
      </c>
      <c r="BQ17" s="670">
        <f>INPUT!CB411</f>
        <v>6.082124112380316</v>
      </c>
      <c r="BR17" s="684">
        <f>INPUT!CC411</f>
        <v>330.40000000000009</v>
      </c>
      <c r="BS17" s="670">
        <f>INPUT!CD411</f>
        <v>3.3468877072256209</v>
      </c>
      <c r="BT17" s="684">
        <f>INPUT!CE411</f>
        <v>313.60000000000031</v>
      </c>
      <c r="BU17" s="670">
        <f>INPUT!CF411</f>
        <v>-2.548166563082499</v>
      </c>
      <c r="BV17" s="684">
        <f>INPUT!CG411</f>
        <v>320.19999999999987</v>
      </c>
      <c r="BW17" s="670">
        <f>INPUT!CH411</f>
        <v>-5.8512202293443565</v>
      </c>
      <c r="BX17" s="684">
        <f>INPUT!CI411</f>
        <v>342.10000000000014</v>
      </c>
      <c r="BY17" s="670">
        <f>INPUT!CJ411</f>
        <v>-0.43655413271240784</v>
      </c>
      <c r="BZ17" s="684">
        <f>INPUT!CK411</f>
        <v>315.10000000000002</v>
      </c>
      <c r="CA17" s="670">
        <f>INPUT!CL411</f>
        <v>-4.6307506053268943</v>
      </c>
      <c r="CB17" s="684">
        <f>INPUT!CM411</f>
        <v>336.29999999999973</v>
      </c>
      <c r="CC17" s="670">
        <f>INPUT!CN411</f>
        <v>7.2385204081630627</v>
      </c>
      <c r="CD17" s="684">
        <f>INPUT!CO411</f>
        <v>309.19999999999993</v>
      </c>
      <c r="CE17" s="670">
        <f>INPUT!CP411</f>
        <v>-3.4353529044347075</v>
      </c>
      <c r="CF17" s="684">
        <f>INPUT!CQ411</f>
        <v>310.09999999999991</v>
      </c>
      <c r="CG17" s="670">
        <f>INPUT!CR411</f>
        <v>-9.3539900613856197</v>
      </c>
      <c r="CH17" s="684">
        <f>INPUT!CS411</f>
        <v>310.7</v>
      </c>
      <c r="CI17" s="670">
        <f>INPUT!CT411</f>
        <v>-1.396382100920357</v>
      </c>
      <c r="CJ17" s="684">
        <f>INPUT!CU411</f>
        <v>309.69999999999993</v>
      </c>
      <c r="CK17" s="670">
        <f>INPUT!CV411</f>
        <v>-7.9096045197739606</v>
      </c>
      <c r="CL17" s="684">
        <f>INPUT!CW411</f>
        <v>313.00000000000011</v>
      </c>
      <c r="CM17" s="670">
        <f>INPUT!CX411</f>
        <v>1.2289780077620271</v>
      </c>
      <c r="CN17" s="684">
        <f>INPUT!CY411</f>
        <v>314.89999999999992</v>
      </c>
      <c r="CO17" s="670">
        <f>INPUT!CZ411</f>
        <v>1.5478877781360811</v>
      </c>
      <c r="CP17" s="684">
        <f>INPUT!DA411</f>
        <v>316.40000000000003</v>
      </c>
      <c r="CQ17" s="670">
        <f>INPUT!DB411</f>
        <v>1.8345671065336466</v>
      </c>
      <c r="CR17" s="684">
        <f>INPUT!DC411</f>
        <v>313.29999999999995</v>
      </c>
      <c r="CS17" s="670">
        <f>INPUT!DD411</f>
        <v>1.1624152405553811</v>
      </c>
      <c r="CT17" s="684">
        <f>INPUT!DE411</f>
        <v>324.89999999999975</v>
      </c>
      <c r="CU17" s="670">
        <f>INPUT!DF411</f>
        <v>3.8019169329072344</v>
      </c>
      <c r="CV17" s="684">
        <f>INPUT!DG411</f>
        <v>338.5</v>
      </c>
      <c r="CW17" s="670">
        <f>INPUT!DH411</f>
        <v>7.4944426802159736</v>
      </c>
      <c r="CX17" s="684">
        <f>INPUT!DI411</f>
        <v>317.20000000000005</v>
      </c>
      <c r="CY17" s="670">
        <f>INPUT!DJ411</f>
        <v>0.25284450063212116</v>
      </c>
      <c r="CZ17" s="684">
        <f>INPUT!DK411</f>
        <v>325.3</v>
      </c>
      <c r="DA17" s="670">
        <f>INPUT!DL411</f>
        <v>3.8301947015640048</v>
      </c>
      <c r="DB17" s="684">
        <f>INPUT!DM411</f>
        <v>318.30000000000007</v>
      </c>
      <c r="DC17" s="670">
        <f>INPUT!DN411</f>
        <v>-2.0313942751614911</v>
      </c>
      <c r="DD17" s="684">
        <f>INPUT!DO411</f>
        <v>318.99999999999994</v>
      </c>
      <c r="DE17" s="670">
        <f>INPUT!DP411</f>
        <v>-5.7607090103397489</v>
      </c>
      <c r="DF17" s="684">
        <f>INPUT!DQ411</f>
        <v>325.50000000000023</v>
      </c>
      <c r="DG17" s="670">
        <f>INPUT!DR411</f>
        <v>2.6166456494325807</v>
      </c>
      <c r="DH17" s="684">
        <f>INPUT!DS411</f>
        <v>319.2999999999999</v>
      </c>
      <c r="DI17" s="670">
        <f>INPUT!DT411</f>
        <v>-1.8444512757454956</v>
      </c>
      <c r="DJ17" s="684">
        <f>INPUT!DU411</f>
        <v>324.69999999999982</v>
      </c>
      <c r="DK17" s="670">
        <f>INPUT!DV411</f>
        <v>2.0106817467796967</v>
      </c>
      <c r="DL17" s="684">
        <f>INPUT!DW411</f>
        <v>334.89999999999992</v>
      </c>
      <c r="DM17" s="670">
        <f>INPUT!DX411</f>
        <v>4.9843260188087601</v>
      </c>
      <c r="DN17" s="684">
        <f>INPUT!DY411</f>
        <v>321.10000000000019</v>
      </c>
      <c r="DO17" s="670">
        <f>INPUT!DZ411</f>
        <v>-1.3517665130568401</v>
      </c>
      <c r="DP17" s="684">
        <f>INPUT!EA411</f>
        <v>342.79999999999995</v>
      </c>
      <c r="DQ17" s="670">
        <f>INPUT!EB411</f>
        <v>7.3598496711556827</v>
      </c>
      <c r="DR17" s="684">
        <f>INPUT!EC411</f>
        <v>339.89999999999975</v>
      </c>
      <c r="DS17" s="670">
        <f>INPUT!ED411</f>
        <v>4.681244225438852</v>
      </c>
      <c r="DT17" s="684">
        <f>INPUT!EE411</f>
        <v>353.50000000000011</v>
      </c>
      <c r="DU17" s="670">
        <f>INPUT!EF411</f>
        <v>5.5538966855778416</v>
      </c>
      <c r="DV17" s="684">
        <f>INPUT!EG411</f>
        <v>356.39999999999992</v>
      </c>
      <c r="DW17" s="670">
        <f>INPUT!EH411</f>
        <v>10.993459981314135</v>
      </c>
      <c r="DX17" s="684">
        <f>INPUT!EI411</f>
        <v>353.39999999999981</v>
      </c>
      <c r="DY17" s="670">
        <f>INPUT!EJ411</f>
        <v>3.0921820303383418</v>
      </c>
      <c r="DZ17" s="684">
        <f>INPUT!EK411</f>
        <v>350.70513468194838</v>
      </c>
      <c r="EA17" s="670">
        <f>INPUT!EL411</f>
        <v>3.17891576403313</v>
      </c>
      <c r="EB17" s="684">
        <f>INPUT!EM411</f>
        <v>353.02545439877946</v>
      </c>
      <c r="EC17" s="670">
        <f>INPUT!EN411</f>
        <v>-0.13424203712041338</v>
      </c>
      <c r="ED17" s="684">
        <f>INPUT!EO411</f>
        <v>354.43037123584179</v>
      </c>
      <c r="EE17" s="670">
        <f>INPUT!EP411</f>
        <v>-0.55264555672226434</v>
      </c>
      <c r="EF17" s="684">
        <f>INPUT!EQ411</f>
        <v>356.7361461005865</v>
      </c>
      <c r="EG17" s="670">
        <f>INPUT!ER411</f>
        <v>0.94401417673646293</v>
      </c>
      <c r="EH17" s="686"/>
      <c r="EI17" s="684">
        <f>INPUT!FB411</f>
        <v>67</v>
      </c>
      <c r="EJ17" s="685" t="str">
        <f>INPUT!FC411</f>
        <v>NA</v>
      </c>
      <c r="EK17" s="684">
        <f>INPUT!FD411</f>
        <v>1057.3000000000009</v>
      </c>
      <c r="EL17" s="685" t="str">
        <f>INPUT!FE411</f>
        <v>NM</v>
      </c>
      <c r="EM17" s="684">
        <f>INPUT!FF411</f>
        <v>-67.899999999999352</v>
      </c>
      <c r="EN17" s="685" t="str">
        <f>INPUT!FG411</f>
        <v>NM</v>
      </c>
      <c r="EO17" s="684">
        <f>INPUT!FH411</f>
        <v>-135.00000000000017</v>
      </c>
      <c r="EP17" s="670">
        <f>INPUT!FI411</f>
        <v>98.821796759943254</v>
      </c>
      <c r="EQ17" s="684">
        <f>INPUT!FJ411</f>
        <v>764.34000000000094</v>
      </c>
      <c r="ER17" s="670" t="str">
        <f>INPUT!FK411</f>
        <v>NM</v>
      </c>
      <c r="ES17" s="684">
        <f>INPUT!FL411</f>
        <v>910.70000000000027</v>
      </c>
      <c r="ET17" s="670">
        <f>INPUT!FM411</f>
        <v>19.148546458382288</v>
      </c>
      <c r="EU17" s="684">
        <f>INPUT!FN411</f>
        <v>1182.4000000000001</v>
      </c>
      <c r="EV17" s="670">
        <f>INPUT!FO411</f>
        <v>29.834193477544723</v>
      </c>
      <c r="EW17" s="684">
        <f>INPUT!FP411</f>
        <v>1271.1999999999998</v>
      </c>
      <c r="EX17" s="670">
        <f>INPUT!FQ411</f>
        <v>7.5101488497969937</v>
      </c>
      <c r="EY17" s="684">
        <f>INPUT!FR411</f>
        <v>1315.6999999999989</v>
      </c>
      <c r="EZ17" s="670">
        <f>INPUT!FS411</f>
        <v>3.5006293266204525</v>
      </c>
      <c r="FA17" s="684">
        <f>INPUT!FT411</f>
        <v>1327.6999999999991</v>
      </c>
      <c r="FB17" s="670">
        <f>INPUT!FU411</f>
        <v>0.91206202021738569</v>
      </c>
      <c r="FC17" s="684">
        <f>INPUT!FV411</f>
        <v>1313.6999999999998</v>
      </c>
      <c r="FD17" s="670">
        <f>INPUT!FW411</f>
        <v>-1.0544550726820257</v>
      </c>
      <c r="FE17" s="684">
        <f>INPUT!FX411</f>
        <v>1255.7999999999988</v>
      </c>
      <c r="FF17" s="670">
        <f>INPUT!FY411</f>
        <v>-4.4073989495319381</v>
      </c>
      <c r="FG17" s="684">
        <f>INPUT!FZ411</f>
        <v>1257.5999999999999</v>
      </c>
      <c r="FH17" s="670">
        <f>INPUT!GA411</f>
        <v>0.14333492594371666</v>
      </c>
      <c r="FI17" s="684">
        <f>INPUT!GB411</f>
        <v>1305.9000000000001</v>
      </c>
      <c r="FJ17" s="670">
        <f>INPUT!GC411</f>
        <v>3.8406488549618478</v>
      </c>
      <c r="FK17" s="684">
        <f>INPUT!GD411</f>
        <v>1282.0999999999997</v>
      </c>
      <c r="FL17" s="670">
        <f>INPUT!GE411</f>
        <v>-1.8224978941726366</v>
      </c>
      <c r="FM17" s="684">
        <f>INPUT!GF411</f>
        <v>1323.5000000000011</v>
      </c>
      <c r="FN17" s="670">
        <f>INPUT!GG411</f>
        <v>3.2290772950628988</v>
      </c>
      <c r="FO17" s="684">
        <f>INPUT!GH411</f>
        <v>1403.1999999999996</v>
      </c>
      <c r="FP17" s="670">
        <f>INPUT!GI411</f>
        <v>6.021911598035401</v>
      </c>
      <c r="FQ17" s="684">
        <f>INPUT!GJ411</f>
        <v>1414.8971064171565</v>
      </c>
      <c r="FR17" s="670">
        <f>INPUT!GK411</f>
        <v>0.83360222471187129</v>
      </c>
      <c r="FS17" s="684">
        <f>INPUT!GL411</f>
        <v>1448.9117131662904</v>
      </c>
      <c r="FT17" s="670">
        <f>INPUT!GM411</f>
        <v>2.4040339466992577</v>
      </c>
      <c r="FU17" s="684">
        <f>INPUT!GN411</f>
        <v>1489.5856145858661</v>
      </c>
      <c r="FV17" s="670">
        <f>INPUT!GO411</f>
        <v>2.8072035756196323</v>
      </c>
      <c r="FW17" s="684">
        <f>INPUT!GP411</f>
        <v>1535.4955462668161</v>
      </c>
      <c r="FX17" s="670">
        <f>INPUT!GQ411</f>
        <v>3.0820606235321346</v>
      </c>
      <c r="FY17" s="684">
        <f>INPUT!GR411</f>
        <v>1575.4640968302349</v>
      </c>
      <c r="FZ17" s="670">
        <f>INPUT!GS411</f>
        <v>2.6029740470815854</v>
      </c>
      <c r="GA17" s="995">
        <f>INPUT!GT411</f>
        <v>2.3429159936003474</v>
      </c>
    </row>
    <row r="18" spans="1:183" s="707" customFormat="1" ht="4.5" customHeight="1" x14ac:dyDescent="0.2">
      <c r="A18" s="993"/>
      <c r="B18" s="680"/>
      <c r="C18" s="685"/>
      <c r="D18" s="680"/>
      <c r="E18" s="685"/>
      <c r="F18" s="680"/>
      <c r="G18" s="685"/>
      <c r="H18" s="680"/>
      <c r="I18" s="685"/>
      <c r="J18" s="680"/>
      <c r="K18" s="685"/>
      <c r="L18" s="680"/>
      <c r="M18" s="685"/>
      <c r="N18" s="680"/>
      <c r="O18" s="685"/>
      <c r="P18" s="680"/>
      <c r="Q18" s="685"/>
      <c r="R18" s="680"/>
      <c r="S18" s="685"/>
      <c r="T18" s="680"/>
      <c r="U18" s="670"/>
      <c r="V18" s="680"/>
      <c r="W18" s="670"/>
      <c r="X18" s="680"/>
      <c r="Y18" s="670"/>
      <c r="Z18" s="680"/>
      <c r="AA18" s="670"/>
      <c r="AB18" s="680"/>
      <c r="AC18" s="670"/>
      <c r="AD18" s="680"/>
      <c r="AE18" s="670"/>
      <c r="AF18" s="680"/>
      <c r="AG18" s="670"/>
      <c r="AH18" s="680"/>
      <c r="AI18" s="670"/>
      <c r="AJ18" s="680"/>
      <c r="AK18" s="670"/>
      <c r="AL18" s="680"/>
      <c r="AM18" s="670"/>
      <c r="AN18" s="680"/>
      <c r="AO18" s="670"/>
      <c r="AP18" s="680"/>
      <c r="AQ18" s="670"/>
      <c r="AR18" s="680"/>
      <c r="AS18" s="670"/>
      <c r="AT18" s="680"/>
      <c r="AU18" s="670"/>
      <c r="AV18" s="680"/>
      <c r="AW18" s="670"/>
      <c r="AX18" s="680"/>
      <c r="AY18" s="670"/>
      <c r="AZ18" s="680"/>
      <c r="BA18" s="670"/>
      <c r="BB18" s="680"/>
      <c r="BC18" s="670"/>
      <c r="BD18" s="680"/>
      <c r="BE18" s="670"/>
      <c r="BF18" s="680"/>
      <c r="BG18" s="670"/>
      <c r="BH18" s="680"/>
      <c r="BI18" s="670"/>
      <c r="BJ18" s="680"/>
      <c r="BK18" s="670"/>
      <c r="BL18" s="680"/>
      <c r="BM18" s="670"/>
      <c r="BN18" s="680"/>
      <c r="BO18" s="670"/>
      <c r="BP18" s="680"/>
      <c r="BQ18" s="670"/>
      <c r="BR18" s="680"/>
      <c r="BS18" s="670"/>
      <c r="BT18" s="680"/>
      <c r="BU18" s="670"/>
      <c r="BV18" s="680"/>
      <c r="BW18" s="670"/>
      <c r="BX18" s="680"/>
      <c r="BY18" s="670"/>
      <c r="BZ18" s="680"/>
      <c r="CA18" s="670"/>
      <c r="CB18" s="680"/>
      <c r="CC18" s="670"/>
      <c r="CD18" s="680"/>
      <c r="CE18" s="670"/>
      <c r="CF18" s="680"/>
      <c r="CG18" s="670"/>
      <c r="CH18" s="680"/>
      <c r="CI18" s="670"/>
      <c r="CJ18" s="680"/>
      <c r="CK18" s="670"/>
      <c r="CL18" s="680"/>
      <c r="CM18" s="670"/>
      <c r="CN18" s="680"/>
      <c r="CO18" s="670"/>
      <c r="CP18" s="680"/>
      <c r="CQ18" s="670"/>
      <c r="CR18" s="680"/>
      <c r="CS18" s="670"/>
      <c r="CT18" s="680"/>
      <c r="CU18" s="670"/>
      <c r="CV18" s="680"/>
      <c r="CW18" s="670"/>
      <c r="CX18" s="680"/>
      <c r="CY18" s="670"/>
      <c r="CZ18" s="680"/>
      <c r="DA18" s="670"/>
      <c r="DB18" s="680"/>
      <c r="DC18" s="670"/>
      <c r="DD18" s="680"/>
      <c r="DE18" s="670"/>
      <c r="DF18" s="680"/>
      <c r="DG18" s="670"/>
      <c r="DH18" s="680"/>
      <c r="DI18" s="670"/>
      <c r="DJ18" s="680"/>
      <c r="DK18" s="670"/>
      <c r="DL18" s="680"/>
      <c r="DM18" s="670"/>
      <c r="DN18" s="680"/>
      <c r="DO18" s="670"/>
      <c r="DP18" s="680"/>
      <c r="DQ18" s="670"/>
      <c r="DR18" s="680"/>
      <c r="DS18" s="670"/>
      <c r="DT18" s="680"/>
      <c r="DU18" s="670"/>
      <c r="DV18" s="680"/>
      <c r="DW18" s="670"/>
      <c r="DX18" s="680"/>
      <c r="DY18" s="670"/>
      <c r="DZ18" s="680"/>
      <c r="EA18" s="670"/>
      <c r="EB18" s="680"/>
      <c r="EC18" s="670"/>
      <c r="ED18" s="680"/>
      <c r="EE18" s="670"/>
      <c r="EF18" s="680"/>
      <c r="EG18" s="670"/>
      <c r="EH18" s="670"/>
      <c r="EI18" s="680"/>
      <c r="EJ18" s="685"/>
      <c r="EK18" s="680"/>
      <c r="EL18" s="685"/>
      <c r="EM18" s="680"/>
      <c r="EN18" s="685"/>
      <c r="EO18" s="680"/>
      <c r="EP18" s="670"/>
      <c r="EQ18" s="680"/>
      <c r="ER18" s="670"/>
      <c r="ES18" s="680"/>
      <c r="ET18" s="670"/>
      <c r="EU18" s="680"/>
      <c r="EV18" s="670"/>
      <c r="EW18" s="680"/>
      <c r="EX18" s="670"/>
      <c r="EY18" s="680"/>
      <c r="EZ18" s="670"/>
      <c r="FA18" s="680"/>
      <c r="FB18" s="670"/>
      <c r="FC18" s="680"/>
      <c r="FD18" s="670"/>
      <c r="FE18" s="680"/>
      <c r="FF18" s="670"/>
      <c r="FG18" s="680"/>
      <c r="FH18" s="670"/>
      <c r="FI18" s="680"/>
      <c r="FJ18" s="670"/>
      <c r="FK18" s="680"/>
      <c r="FL18" s="670"/>
      <c r="FM18" s="680"/>
      <c r="FN18" s="670"/>
      <c r="FO18" s="680"/>
      <c r="FP18" s="670"/>
      <c r="FQ18" s="680"/>
      <c r="FR18" s="670"/>
      <c r="FS18" s="680"/>
      <c r="FT18" s="670"/>
      <c r="FU18" s="680"/>
      <c r="FV18" s="670"/>
      <c r="FW18" s="680"/>
      <c r="FX18" s="670"/>
      <c r="FY18" s="680"/>
      <c r="FZ18" s="670"/>
      <c r="GA18" s="995"/>
    </row>
    <row r="19" spans="1:183" s="707" customFormat="1" ht="12.75" customHeight="1" x14ac:dyDescent="0.2">
      <c r="A19" s="993" t="s">
        <v>345</v>
      </c>
      <c r="B19" s="669">
        <f>INPUT!M412</f>
        <v>0</v>
      </c>
      <c r="C19" s="670" t="str">
        <f>INPUT!N412</f>
        <v>NA</v>
      </c>
      <c r="D19" s="669">
        <f>INPUT!O412</f>
        <v>0</v>
      </c>
      <c r="E19" s="670">
        <f>INPUT!P412</f>
        <v>7.2504708097928416</v>
      </c>
      <c r="F19" s="669">
        <f>INPUT!Q412</f>
        <v>0</v>
      </c>
      <c r="G19" s="670" t="str">
        <f>INPUT!R412</f>
        <v>NA</v>
      </c>
      <c r="H19" s="669">
        <f>INPUT!S412</f>
        <v>0</v>
      </c>
      <c r="I19" s="670" t="str">
        <f>INPUT!T412</f>
        <v>NA</v>
      </c>
      <c r="J19" s="669">
        <f>INPUT!U412</f>
        <v>0</v>
      </c>
      <c r="K19" s="670" t="str">
        <f>INPUT!V412</f>
        <v>NA</v>
      </c>
      <c r="L19" s="669">
        <f>INPUT!W412</f>
        <v>0</v>
      </c>
      <c r="M19" s="670" t="str">
        <f>INPUT!X412</f>
        <v>NA</v>
      </c>
      <c r="N19" s="669">
        <f>INPUT!Y412</f>
        <v>0</v>
      </c>
      <c r="O19" s="670" t="str">
        <f>INPUT!Z412</f>
        <v>NA</v>
      </c>
      <c r="P19" s="669">
        <f>INPUT!AA412</f>
        <v>0</v>
      </c>
      <c r="Q19" s="670" t="str">
        <f>INPUT!AB412</f>
        <v>NA</v>
      </c>
      <c r="R19" s="669">
        <f>INPUT!AC412</f>
        <v>0</v>
      </c>
      <c r="S19" s="670" t="str">
        <f>INPUT!AD412</f>
        <v>NA</v>
      </c>
      <c r="T19" s="669">
        <f>INPUT!AE412</f>
        <v>0</v>
      </c>
      <c r="U19" s="670" t="str">
        <f>INPUT!AF412</f>
        <v>NA</v>
      </c>
      <c r="V19" s="669">
        <f>INPUT!AG412</f>
        <v>0</v>
      </c>
      <c r="W19" s="670" t="str">
        <f>INPUT!AH412</f>
        <v>NA</v>
      </c>
      <c r="X19" s="669">
        <f>INPUT!AI412</f>
        <v>0</v>
      </c>
      <c r="Y19" s="670" t="str">
        <f>INPUT!AJ412</f>
        <v>NA</v>
      </c>
      <c r="Z19" s="680">
        <f>INPUT!AK412</f>
        <v>32</v>
      </c>
      <c r="AA19" s="670" t="str">
        <f>INPUT!AL412</f>
        <v>NA</v>
      </c>
      <c r="AB19" s="669">
        <f>INPUT!AM412</f>
        <v>0</v>
      </c>
      <c r="AC19" s="670" t="str">
        <f>INPUT!AN412</f>
        <v>NA</v>
      </c>
      <c r="AD19" s="669">
        <f>INPUT!AO412</f>
        <v>0</v>
      </c>
      <c r="AE19" s="670" t="str">
        <f>INPUT!AP412</f>
        <v>NA</v>
      </c>
      <c r="AF19" s="680">
        <f>INPUT!AQ412</f>
        <v>-14.940000000000001</v>
      </c>
      <c r="AG19" s="670" t="str">
        <f>INPUT!AR412</f>
        <v>NA</v>
      </c>
      <c r="AH19" s="687">
        <f>INPUT!AS412</f>
        <v>0</v>
      </c>
      <c r="AI19" s="670" t="str">
        <f>INPUT!AT412</f>
        <v>NM</v>
      </c>
      <c r="AJ19" s="669">
        <f>INPUT!AU412</f>
        <v>0</v>
      </c>
      <c r="AK19" s="670" t="str">
        <f>INPUT!AV412</f>
        <v>NA</v>
      </c>
      <c r="AL19" s="669">
        <f>INPUT!AW412</f>
        <v>0</v>
      </c>
      <c r="AM19" s="670" t="str">
        <f>INPUT!AX412</f>
        <v>NA</v>
      </c>
      <c r="AN19" s="669">
        <f>INPUT!AY412</f>
        <v>17</v>
      </c>
      <c r="AO19" s="670" t="str">
        <f>INPUT!AZ412</f>
        <v>NM</v>
      </c>
      <c r="AP19" s="669">
        <f>INPUT!BA412</f>
        <v>0</v>
      </c>
      <c r="AQ19" s="670" t="str">
        <f>INPUT!BB412</f>
        <v>NA</v>
      </c>
      <c r="AR19" s="669">
        <f>INPUT!BC412</f>
        <v>0</v>
      </c>
      <c r="AS19" s="670" t="str">
        <f>INPUT!BD412</f>
        <v>NA</v>
      </c>
      <c r="AT19" s="669">
        <f>INPUT!BE412</f>
        <v>0</v>
      </c>
      <c r="AU19" s="670" t="str">
        <f>INPUT!BF412</f>
        <v>NA</v>
      </c>
      <c r="AV19" s="669">
        <f>INPUT!BG412</f>
        <v>-11.5</v>
      </c>
      <c r="AW19" s="670" t="str">
        <f>INPUT!BH412</f>
        <v>NM</v>
      </c>
      <c r="AX19" s="669">
        <f>INPUT!BI412</f>
        <v>0</v>
      </c>
      <c r="AY19" s="670" t="str">
        <f>INPUT!BJ412</f>
        <v>NA</v>
      </c>
      <c r="AZ19" s="669">
        <f>INPUT!BK412</f>
        <v>13</v>
      </c>
      <c r="BA19" s="670" t="str">
        <f>INPUT!BL412</f>
        <v>NA</v>
      </c>
      <c r="BB19" s="669">
        <f>INPUT!BM412</f>
        <v>5.7</v>
      </c>
      <c r="BC19" s="670" t="str">
        <f>INPUT!BN412</f>
        <v>NA</v>
      </c>
      <c r="BD19" s="669">
        <f>INPUT!BO412</f>
        <v>0</v>
      </c>
      <c r="BE19" s="670" t="str">
        <f>INPUT!BP412</f>
        <v>NM</v>
      </c>
      <c r="BF19" s="669">
        <f>INPUT!BQ412</f>
        <v>0</v>
      </c>
      <c r="BG19" s="670" t="str">
        <f>INPUT!BR412</f>
        <v>NA</v>
      </c>
      <c r="BH19" s="669">
        <f>INPUT!BS412</f>
        <v>0</v>
      </c>
      <c r="BI19" s="670" t="str">
        <f>INPUT!BT412</f>
        <v>NM</v>
      </c>
      <c r="BJ19" s="669">
        <f>INPUT!BU412</f>
        <v>0</v>
      </c>
      <c r="BK19" s="670" t="str">
        <f>INPUT!BV412</f>
        <v>NM</v>
      </c>
      <c r="BL19" s="669">
        <f>INPUT!BW412</f>
        <v>0</v>
      </c>
      <c r="BM19" s="670" t="str">
        <f>INPUT!BX412</f>
        <v>NA</v>
      </c>
      <c r="BN19" s="669">
        <f>INPUT!BY412</f>
        <v>0</v>
      </c>
      <c r="BO19" s="670" t="str">
        <f>INPUT!BZ412</f>
        <v>NA</v>
      </c>
      <c r="BP19" s="669">
        <f>INPUT!CA412</f>
        <v>0</v>
      </c>
      <c r="BQ19" s="670" t="str">
        <f>INPUT!CB412</f>
        <v>NA</v>
      </c>
      <c r="BR19" s="669">
        <f>INPUT!CC412</f>
        <v>0</v>
      </c>
      <c r="BS19" s="670" t="str">
        <f>INPUT!CD412</f>
        <v>NA</v>
      </c>
      <c r="BT19" s="669">
        <f>INPUT!CE412</f>
        <v>0</v>
      </c>
      <c r="BU19" s="670" t="str">
        <f>INPUT!CF412</f>
        <v>NA</v>
      </c>
      <c r="BV19" s="669">
        <f>INPUT!CG412</f>
        <v>0</v>
      </c>
      <c r="BW19" s="670" t="str">
        <f>INPUT!CH412</f>
        <v>NA</v>
      </c>
      <c r="BX19" s="669">
        <f>INPUT!CI412</f>
        <v>4</v>
      </c>
      <c r="BY19" s="670" t="str">
        <f>INPUT!CJ412</f>
        <v>NA</v>
      </c>
      <c r="BZ19" s="669">
        <f>INPUT!CK412</f>
        <v>5.5</v>
      </c>
      <c r="CA19" s="670" t="str">
        <f>INPUT!CL412</f>
        <v>NA</v>
      </c>
      <c r="CB19" s="669">
        <f>INPUT!CM412</f>
        <v>-953.1</v>
      </c>
      <c r="CC19" s="670" t="str">
        <f>INPUT!CN412</f>
        <v>NA</v>
      </c>
      <c r="CD19" s="669">
        <f>INPUT!CO412</f>
        <v>0</v>
      </c>
      <c r="CE19" s="670" t="str">
        <f>INPUT!CP412</f>
        <v>NA</v>
      </c>
      <c r="CF19" s="669">
        <f>INPUT!CQ412</f>
        <v>0</v>
      </c>
      <c r="CG19" s="670" t="str">
        <f>INPUT!CR412</f>
        <v>NM</v>
      </c>
      <c r="CH19" s="669">
        <f>INPUT!CS412</f>
        <v>0</v>
      </c>
      <c r="CI19" s="670" t="str">
        <f>INPUT!CT412</f>
        <v>NM</v>
      </c>
      <c r="CJ19" s="669">
        <f>INPUT!CU412</f>
        <v>0</v>
      </c>
      <c r="CK19" s="670" t="str">
        <f>INPUT!CV412</f>
        <v>NM</v>
      </c>
      <c r="CL19" s="669">
        <f>INPUT!CW412</f>
        <v>-1</v>
      </c>
      <c r="CM19" s="670" t="str">
        <f>INPUT!CX412</f>
        <v>NA</v>
      </c>
      <c r="CN19" s="669">
        <f>INPUT!CY412</f>
        <v>0</v>
      </c>
      <c r="CO19" s="670" t="str">
        <f>INPUT!CZ412</f>
        <v>NA</v>
      </c>
      <c r="CP19" s="669">
        <f>INPUT!DA412</f>
        <v>0</v>
      </c>
      <c r="CQ19" s="670" t="str">
        <f>INPUT!DB412</f>
        <v>NA</v>
      </c>
      <c r="CR19" s="669">
        <f>INPUT!DC412</f>
        <v>-10.500000000000004</v>
      </c>
      <c r="CS19" s="670" t="str">
        <f>INPUT!DD412</f>
        <v>NA</v>
      </c>
      <c r="CT19" s="669">
        <f>INPUT!DE412</f>
        <v>0</v>
      </c>
      <c r="CU19" s="670" t="str">
        <f>INPUT!DF412</f>
        <v>NM</v>
      </c>
      <c r="CV19" s="669">
        <f>INPUT!DG412</f>
        <v>-13.2</v>
      </c>
      <c r="CW19" s="670" t="str">
        <f>INPUT!DH412</f>
        <v>NA</v>
      </c>
      <c r="CX19" s="669">
        <f>INPUT!DI412</f>
        <v>0</v>
      </c>
      <c r="CY19" s="670" t="str">
        <f>INPUT!DJ412</f>
        <v>NA</v>
      </c>
      <c r="CZ19" s="669">
        <f>INPUT!DK412</f>
        <v>-698.2</v>
      </c>
      <c r="DA19" s="670" t="str">
        <f>INPUT!DL412</f>
        <v>NM</v>
      </c>
      <c r="DB19" s="669">
        <f>INPUT!DM412</f>
        <v>0</v>
      </c>
      <c r="DC19" s="670" t="str">
        <f>INPUT!DN412</f>
        <v>NA</v>
      </c>
      <c r="DD19" s="669">
        <f>INPUT!DO412</f>
        <v>0</v>
      </c>
      <c r="DE19" s="670" t="str">
        <f>INPUT!DP412</f>
        <v>NM</v>
      </c>
      <c r="DF19" s="669">
        <f>INPUT!DQ412</f>
        <v>0</v>
      </c>
      <c r="DG19" s="670" t="str">
        <f>INPUT!DR412</f>
        <v>NA</v>
      </c>
      <c r="DH19" s="669">
        <f>INPUT!DS412</f>
        <v>0</v>
      </c>
      <c r="DI19" s="670" t="str">
        <f>INPUT!DT412</f>
        <v>NM</v>
      </c>
      <c r="DJ19" s="669">
        <f>INPUT!DU412</f>
        <v>0</v>
      </c>
      <c r="DK19" s="670" t="str">
        <f>INPUT!DV412</f>
        <v>NA</v>
      </c>
      <c r="DL19" s="669">
        <f>INPUT!DW412</f>
        <v>0</v>
      </c>
      <c r="DM19" s="670" t="str">
        <f>INPUT!DX412</f>
        <v>NA</v>
      </c>
      <c r="DN19" s="669">
        <f>INPUT!DY412</f>
        <v>0</v>
      </c>
      <c r="DO19" s="670" t="str">
        <f>INPUT!DZ412</f>
        <v>NA</v>
      </c>
      <c r="DP19" s="669">
        <f>INPUT!EA412</f>
        <v>0</v>
      </c>
      <c r="DQ19" s="670" t="str">
        <f>INPUT!EB412</f>
        <v>NA</v>
      </c>
      <c r="DR19" s="669">
        <f>INPUT!EC412</f>
        <v>0</v>
      </c>
      <c r="DS19" s="670" t="str">
        <f>INPUT!ED412</f>
        <v>NA</v>
      </c>
      <c r="DT19" s="669">
        <f>INPUT!EE412</f>
        <v>0</v>
      </c>
      <c r="DU19" s="670" t="str">
        <f>INPUT!EF412</f>
        <v>NA</v>
      </c>
      <c r="DV19" s="669">
        <f>INPUT!EG412</f>
        <v>0</v>
      </c>
      <c r="DW19" s="670" t="str">
        <f>INPUT!EH412</f>
        <v>NA</v>
      </c>
      <c r="DX19" s="669">
        <f>INPUT!EI412</f>
        <v>19.5</v>
      </c>
      <c r="DY19" s="670" t="str">
        <f>INPUT!EJ412</f>
        <v>NA</v>
      </c>
      <c r="DZ19" s="669">
        <f>INPUT!EK412</f>
        <v>0</v>
      </c>
      <c r="EA19" s="670" t="str">
        <f>INPUT!EL412</f>
        <v>NA</v>
      </c>
      <c r="EB19" s="669">
        <f>INPUT!EM412</f>
        <v>0</v>
      </c>
      <c r="EC19" s="670" t="str">
        <f>INPUT!EN412</f>
        <v>NA</v>
      </c>
      <c r="ED19" s="669">
        <f>INPUT!EO412</f>
        <v>0</v>
      </c>
      <c r="EE19" s="670" t="str">
        <f>INPUT!EP412</f>
        <v>NA</v>
      </c>
      <c r="EF19" s="669">
        <f>INPUT!EQ412</f>
        <v>0</v>
      </c>
      <c r="EG19" s="670" t="str">
        <f>INPUT!ER412</f>
        <v>NM</v>
      </c>
      <c r="EH19" s="670"/>
      <c r="EI19" s="688">
        <f>INPUT!FB412</f>
        <v>0</v>
      </c>
      <c r="EJ19" s="689" t="str">
        <f>INPUT!FC412</f>
        <v>NA</v>
      </c>
      <c r="EK19" s="688">
        <f>INPUT!FD412</f>
        <v>0</v>
      </c>
      <c r="EL19" s="689" t="str">
        <f>INPUT!FE412</f>
        <v>NA</v>
      </c>
      <c r="EM19" s="688">
        <f>INPUT!FF412</f>
        <v>0</v>
      </c>
      <c r="EN19" s="689" t="str">
        <f>INPUT!FG412</f>
        <v>NA</v>
      </c>
      <c r="EO19" s="688">
        <f>INPUT!FH412</f>
        <v>0</v>
      </c>
      <c r="EP19" s="689" t="str">
        <f>INPUT!FI412</f>
        <v>NA</v>
      </c>
      <c r="EQ19" s="690">
        <f>INPUT!FJ412</f>
        <v>17.059999999999999</v>
      </c>
      <c r="ER19" s="670" t="str">
        <f>INPUT!FK412</f>
        <v>NA</v>
      </c>
      <c r="ES19" s="669">
        <f>INPUT!FL412</f>
        <v>17</v>
      </c>
      <c r="ET19" s="670">
        <f>INPUT!FM412</f>
        <v>-0.35169988276669839</v>
      </c>
      <c r="EU19" s="669">
        <f>INPUT!FN412</f>
        <v>-11.5</v>
      </c>
      <c r="EV19" s="670" t="str">
        <f>INPUT!FO412</f>
        <v>NM</v>
      </c>
      <c r="EW19" s="669">
        <f>INPUT!FP412</f>
        <v>18.7</v>
      </c>
      <c r="EX19" s="670" t="str">
        <f>INPUT!FQ412</f>
        <v>NM</v>
      </c>
      <c r="EY19" s="669">
        <f>INPUT!FR412</f>
        <v>0</v>
      </c>
      <c r="EZ19" s="670" t="str">
        <f>INPUT!FS412</f>
        <v>NM</v>
      </c>
      <c r="FA19" s="669">
        <f>INPUT!FT412</f>
        <v>0</v>
      </c>
      <c r="FB19" s="670" t="str">
        <f>INPUT!FU412</f>
        <v>NA</v>
      </c>
      <c r="FC19" s="669">
        <f>INPUT!FV412</f>
        <v>-943.6</v>
      </c>
      <c r="FD19" s="670" t="str">
        <f>INPUT!FW412</f>
        <v>NA</v>
      </c>
      <c r="FE19" s="669">
        <f>INPUT!FX412</f>
        <v>0</v>
      </c>
      <c r="FF19" s="670" t="str">
        <f>INPUT!FY412</f>
        <v>NM</v>
      </c>
      <c r="FG19" s="669">
        <f>INPUT!FZ412</f>
        <v>-11.5</v>
      </c>
      <c r="FH19" s="670" t="str">
        <f>INPUT!GA412</f>
        <v>NA</v>
      </c>
      <c r="FI19" s="669">
        <f>INPUT!GB412</f>
        <v>-711.40000000000009</v>
      </c>
      <c r="FJ19" s="670" t="str">
        <f>INPUT!GC412</f>
        <v>NM</v>
      </c>
      <c r="FK19" s="669">
        <f>INPUT!GD412</f>
        <v>0</v>
      </c>
      <c r="FL19" s="670" t="str">
        <f>INPUT!GE412</f>
        <v>NM</v>
      </c>
      <c r="FM19" s="669">
        <f>INPUT!GF412</f>
        <v>0</v>
      </c>
      <c r="FN19" s="670" t="str">
        <f>INPUT!GG412</f>
        <v>NA</v>
      </c>
      <c r="FO19" s="669">
        <f>INPUT!GH412</f>
        <v>19.5</v>
      </c>
      <c r="FP19" s="670" t="str">
        <f>INPUT!GI412</f>
        <v>NA</v>
      </c>
      <c r="FQ19" s="669">
        <f>INPUT!GJ412</f>
        <v>0</v>
      </c>
      <c r="FR19" s="670" t="str">
        <f>INPUT!GK412</f>
        <v>NM</v>
      </c>
      <c r="FS19" s="669">
        <f>INPUT!GL412</f>
        <v>0</v>
      </c>
      <c r="FT19" s="670" t="str">
        <f>INPUT!GM412</f>
        <v>NA</v>
      </c>
      <c r="FU19" s="669">
        <f>INPUT!GN412</f>
        <v>0</v>
      </c>
      <c r="FV19" s="670" t="str">
        <f>INPUT!GO412</f>
        <v>NA</v>
      </c>
      <c r="FW19" s="669">
        <f>INPUT!GP412</f>
        <v>0</v>
      </c>
      <c r="FX19" s="670" t="str">
        <f>INPUT!GQ412</f>
        <v>NA</v>
      </c>
      <c r="FY19" s="669">
        <f>INPUT!GR412</f>
        <v>0</v>
      </c>
      <c r="FZ19" s="670" t="str">
        <f>INPUT!GS412</f>
        <v>NA</v>
      </c>
      <c r="GA19" s="996" t="str">
        <f>INPUT!GT412</f>
        <v>NM</v>
      </c>
    </row>
    <row r="20" spans="1:183" s="708" customFormat="1" ht="12.75" customHeight="1" x14ac:dyDescent="0.2">
      <c r="A20" s="991" t="str">
        <f>INPUT!B413</f>
        <v>Reported Pretax Earnings</v>
      </c>
      <c r="B20" s="684">
        <f>INPUT!M413</f>
        <v>215.4</v>
      </c>
      <c r="C20" s="685">
        <f>INPUT!N413</f>
        <v>-4.9845610939567635</v>
      </c>
      <c r="D20" s="684">
        <f>INPUT!O413</f>
        <v>227.8</v>
      </c>
      <c r="E20" s="685">
        <f>INPUT!P413</f>
        <v>7.2504708097928416</v>
      </c>
      <c r="F20" s="684">
        <f>INPUT!Q413</f>
        <v>232</v>
      </c>
      <c r="G20" s="685">
        <f>INPUT!R413</f>
        <v>30.117779024116654</v>
      </c>
      <c r="H20" s="684">
        <f>INPUT!S413</f>
        <v>227.1</v>
      </c>
      <c r="I20" s="685">
        <f>INPUT!T413</f>
        <v>0.84369449378329797</v>
      </c>
      <c r="J20" s="684">
        <f>INPUT!U413</f>
        <v>-304.4000000000006</v>
      </c>
      <c r="K20" s="685" t="str">
        <f>INPUT!V413</f>
        <v>NM</v>
      </c>
      <c r="L20" s="684">
        <f>INPUT!W413</f>
        <v>163.89999999999998</v>
      </c>
      <c r="M20" s="685">
        <f>INPUT!X413</f>
        <v>-28.050921861281843</v>
      </c>
      <c r="N20" s="684">
        <f>INPUT!Y413</f>
        <v>173.50000000000028</v>
      </c>
      <c r="O20" s="685">
        <f>INPUT!Z413</f>
        <v>-25.215517241379192</v>
      </c>
      <c r="P20" s="684">
        <f>INPUT!AA413</f>
        <v>-294.39999999999992</v>
      </c>
      <c r="Q20" s="685" t="str">
        <f>INPUT!AB413</f>
        <v>NM</v>
      </c>
      <c r="R20" s="684">
        <f>INPUT!AC413</f>
        <v>-795.5</v>
      </c>
      <c r="S20" s="685" t="str">
        <f>INPUT!AD413</f>
        <v>NM</v>
      </c>
      <c r="T20" s="684">
        <f>INPUT!AE413</f>
        <v>198.60000000000022</v>
      </c>
      <c r="U20" s="670">
        <f>INPUT!AF413</f>
        <v>21.171446003660922</v>
      </c>
      <c r="V20" s="684">
        <f>INPUT!AG413</f>
        <v>191.92999999999998</v>
      </c>
      <c r="W20" s="670">
        <f>INPUT!AH413</f>
        <v>10.622478386166945</v>
      </c>
      <c r="X20" s="684">
        <f>INPUT!AI413</f>
        <v>116.37000000000013</v>
      </c>
      <c r="Y20" s="670" t="str">
        <f>INPUT!AJ413</f>
        <v>NM</v>
      </c>
      <c r="Z20" s="684">
        <f>INPUT!AK413</f>
        <v>184.80000000000049</v>
      </c>
      <c r="AA20" s="670" t="str">
        <f>INPUT!AL413</f>
        <v>NM</v>
      </c>
      <c r="AB20" s="684">
        <f>INPUT!AM413</f>
        <v>200.29999999999973</v>
      </c>
      <c r="AC20" s="670">
        <f>INPUT!AN413</f>
        <v>0.85599194360499453</v>
      </c>
      <c r="AD20" s="684">
        <f>INPUT!AO413</f>
        <v>208.99999999999994</v>
      </c>
      <c r="AE20" s="670">
        <f>INPUT!AP413</f>
        <v>8.89386755587973</v>
      </c>
      <c r="AF20" s="684">
        <f>INPUT!AQ413</f>
        <v>187.29999999999995</v>
      </c>
      <c r="AG20" s="670">
        <f>INPUT!AR413</f>
        <v>60.952135430093435</v>
      </c>
      <c r="AH20" s="684">
        <f>INPUT!AS413</f>
        <v>201.69999999999987</v>
      </c>
      <c r="AI20" s="670">
        <f>INPUT!AT413</f>
        <v>9.1450216450212896</v>
      </c>
      <c r="AJ20" s="684">
        <f>INPUT!AU413</f>
        <v>216.49999999999972</v>
      </c>
      <c r="AK20" s="670">
        <f>INPUT!AV413</f>
        <v>8.0878681977034397</v>
      </c>
      <c r="AL20" s="684">
        <f>INPUT!AW413</f>
        <v>244.50000000000011</v>
      </c>
      <c r="AM20" s="670">
        <f>INPUT!AX413</f>
        <v>16.985645933014439</v>
      </c>
      <c r="AN20" s="684">
        <f>INPUT!AY413</f>
        <v>265.00000000000011</v>
      </c>
      <c r="AO20" s="670">
        <f>INPUT!AZ413</f>
        <v>41.484249866524394</v>
      </c>
      <c r="AP20" s="684">
        <f>INPUT!BA413</f>
        <v>263.59999999999997</v>
      </c>
      <c r="AQ20" s="670">
        <f>INPUT!BB413</f>
        <v>30.689142290530548</v>
      </c>
      <c r="AR20" s="684">
        <f>INPUT!BC413</f>
        <v>275.5</v>
      </c>
      <c r="AS20" s="670">
        <f>INPUT!BD413</f>
        <v>27.251732101616799</v>
      </c>
      <c r="AT20" s="684">
        <f>INPUT!BE413</f>
        <v>324.99999999999983</v>
      </c>
      <c r="AU20" s="670">
        <f>INPUT!BF413</f>
        <v>32.924335378322979</v>
      </c>
      <c r="AV20" s="684">
        <f>INPUT!BG413</f>
        <v>306.80000000000007</v>
      </c>
      <c r="AW20" s="670">
        <f>INPUT!BH413</f>
        <v>15.773584905660343</v>
      </c>
      <c r="AX20" s="684">
        <f>INPUT!BI413</f>
        <v>313.2</v>
      </c>
      <c r="AY20" s="670">
        <f>INPUT!BJ413</f>
        <v>18.816388467374811</v>
      </c>
      <c r="AZ20" s="684">
        <f>INPUT!BK413</f>
        <v>340.89999999999975</v>
      </c>
      <c r="BA20" s="670">
        <f>INPUT!BL413</f>
        <v>23.738656987295737</v>
      </c>
      <c r="BB20" s="684">
        <f>INPUT!BM413</f>
        <v>325.59999999999985</v>
      </c>
      <c r="BC20" s="670">
        <f>INPUT!BN413</f>
        <v>0.18461538461538307</v>
      </c>
      <c r="BD20" s="684">
        <f>INPUT!BO413</f>
        <v>310.20000000000022</v>
      </c>
      <c r="BE20" s="670">
        <f>INPUT!BP413</f>
        <v>1.1082138200782854</v>
      </c>
      <c r="BF20" s="684">
        <f>INPUT!BQ413</f>
        <v>315.19999999999993</v>
      </c>
      <c r="BG20" s="670">
        <f>INPUT!BR413</f>
        <v>0.63856960408683605</v>
      </c>
      <c r="BH20" s="684">
        <f>INPUT!BS413</f>
        <v>323.90000000000015</v>
      </c>
      <c r="BI20" s="670">
        <f>INPUT!BT413</f>
        <v>-4.9867996479905035</v>
      </c>
      <c r="BJ20" s="684">
        <f>INPUT!BU413</f>
        <v>319.69999999999982</v>
      </c>
      <c r="BK20" s="670">
        <f>INPUT!BV413</f>
        <v>-1.8120393120393263</v>
      </c>
      <c r="BL20" s="684">
        <f>INPUT!BW413</f>
        <v>321.79999999999978</v>
      </c>
      <c r="BM20" s="670">
        <f>INPUT!BX413</f>
        <v>3.7395228884589127</v>
      </c>
      <c r="BN20" s="684">
        <f>INPUT!BY413</f>
        <v>340.1</v>
      </c>
      <c r="BO20" s="670">
        <f>INPUT!BZ413</f>
        <v>7.899746192893442</v>
      </c>
      <c r="BP20" s="684">
        <f>INPUT!CA413</f>
        <v>343.59999999999997</v>
      </c>
      <c r="BQ20" s="670">
        <f>INPUT!CB413</f>
        <v>6.082124112380316</v>
      </c>
      <c r="BR20" s="684">
        <f>INPUT!CC413</f>
        <v>330.40000000000009</v>
      </c>
      <c r="BS20" s="670">
        <f>INPUT!CD413</f>
        <v>3.3468877072256209</v>
      </c>
      <c r="BT20" s="684">
        <f>INPUT!CE413</f>
        <v>313.60000000000031</v>
      </c>
      <c r="BU20" s="670">
        <f>INPUT!CF413</f>
        <v>-2.548166563082499</v>
      </c>
      <c r="BV20" s="684">
        <f>INPUT!CG413</f>
        <v>320.19999999999987</v>
      </c>
      <c r="BW20" s="670">
        <f>INPUT!CH413</f>
        <v>-5.8512202293443565</v>
      </c>
      <c r="BX20" s="684">
        <f>INPUT!CI413</f>
        <v>346.10000000000014</v>
      </c>
      <c r="BY20" s="670">
        <f>INPUT!CJ413</f>
        <v>0.72759022118746852</v>
      </c>
      <c r="BZ20" s="684">
        <f>INPUT!CK413</f>
        <v>320.60000000000002</v>
      </c>
      <c r="CA20" s="670">
        <f>INPUT!CL413</f>
        <v>-2.9661016949152685</v>
      </c>
      <c r="CB20" s="684">
        <f>INPUT!CM413</f>
        <v>-616.8000000000003</v>
      </c>
      <c r="CC20" s="670" t="str">
        <f>INPUT!CN413</f>
        <v>NM</v>
      </c>
      <c r="CD20" s="684">
        <f>INPUT!CO413</f>
        <v>309.19999999999993</v>
      </c>
      <c r="CE20" s="670">
        <f>INPUT!CP413</f>
        <v>-3.4353529044347075</v>
      </c>
      <c r="CF20" s="684">
        <f>INPUT!CQ413</f>
        <v>310.09999999999991</v>
      </c>
      <c r="CG20" s="670">
        <f>INPUT!CR413</f>
        <v>-10.401618029471315</v>
      </c>
      <c r="CH20" s="684">
        <f>INPUT!CS413</f>
        <v>310.7</v>
      </c>
      <c r="CI20" s="670">
        <f>INPUT!CT413</f>
        <v>-3.0879600748596525</v>
      </c>
      <c r="CJ20" s="684">
        <f>INPUT!CU413</f>
        <v>309.69999999999993</v>
      </c>
      <c r="CK20" s="670" t="str">
        <f>INPUT!CV413</f>
        <v>NM</v>
      </c>
      <c r="CL20" s="684">
        <f>INPUT!CW413</f>
        <v>312.00000000000011</v>
      </c>
      <c r="CM20" s="670">
        <f>INPUT!CX413</f>
        <v>0.90556274256150537</v>
      </c>
      <c r="CN20" s="684">
        <f>INPUT!CY413</f>
        <v>314.89999999999992</v>
      </c>
      <c r="CO20" s="670">
        <f>INPUT!CZ413</f>
        <v>1.5478877781360811</v>
      </c>
      <c r="CP20" s="684">
        <f>INPUT!DA413</f>
        <v>316.40000000000003</v>
      </c>
      <c r="CQ20" s="670">
        <f>INPUT!DB413</f>
        <v>1.8345671065336466</v>
      </c>
      <c r="CR20" s="684">
        <f>INPUT!DC413</f>
        <v>302.79999999999995</v>
      </c>
      <c r="CS20" s="670">
        <f>INPUT!DD413</f>
        <v>-2.2279625443977991</v>
      </c>
      <c r="CT20" s="684">
        <f>INPUT!DE413</f>
        <v>324.89999999999975</v>
      </c>
      <c r="CU20" s="670">
        <f>INPUT!DF413</f>
        <v>4.1346153846152589</v>
      </c>
      <c r="CV20" s="684">
        <f>INPUT!DG413</f>
        <v>325.3</v>
      </c>
      <c r="CW20" s="670">
        <f>INPUT!DH413</f>
        <v>3.3026357573833209</v>
      </c>
      <c r="CX20" s="684">
        <f>INPUT!DI413</f>
        <v>317.20000000000005</v>
      </c>
      <c r="CY20" s="670">
        <f>INPUT!DJ413</f>
        <v>0.25284450063212116</v>
      </c>
      <c r="CZ20" s="684">
        <f>INPUT!DK413</f>
        <v>-372.90000000000003</v>
      </c>
      <c r="DA20" s="670" t="str">
        <f>INPUT!DL413</f>
        <v>NM</v>
      </c>
      <c r="DB20" s="684">
        <f>INPUT!DM413</f>
        <v>318.30000000000007</v>
      </c>
      <c r="DC20" s="670">
        <f>INPUT!DN413</f>
        <v>-2.0313942751614911</v>
      </c>
      <c r="DD20" s="684">
        <f>INPUT!DO413</f>
        <v>318.99999999999994</v>
      </c>
      <c r="DE20" s="670">
        <f>INPUT!DP413</f>
        <v>-1.9366738395327654</v>
      </c>
      <c r="DF20" s="684">
        <f>INPUT!DQ413</f>
        <v>325.50000000000023</v>
      </c>
      <c r="DG20" s="670">
        <f>INPUT!DR413</f>
        <v>2.6166456494325807</v>
      </c>
      <c r="DH20" s="684">
        <f>INPUT!DS413</f>
        <v>319.2999999999999</v>
      </c>
      <c r="DI20" s="670" t="str">
        <f>INPUT!DT413</f>
        <v>NM</v>
      </c>
      <c r="DJ20" s="684">
        <f>INPUT!DU413</f>
        <v>324.69999999999982</v>
      </c>
      <c r="DK20" s="670">
        <f>INPUT!DV413</f>
        <v>2.0106817467796967</v>
      </c>
      <c r="DL20" s="684">
        <f>INPUT!DW413</f>
        <v>334.89999999999992</v>
      </c>
      <c r="DM20" s="670">
        <f>INPUT!DX413</f>
        <v>4.9843260188087601</v>
      </c>
      <c r="DN20" s="684">
        <f>INPUT!DY413</f>
        <v>321.10000000000019</v>
      </c>
      <c r="DO20" s="670">
        <f>INPUT!DZ413</f>
        <v>-1.3517665130568401</v>
      </c>
      <c r="DP20" s="684">
        <f>INPUT!EA413</f>
        <v>342.79999999999995</v>
      </c>
      <c r="DQ20" s="670">
        <f>INPUT!EB413</f>
        <v>7.3598496711556827</v>
      </c>
      <c r="DR20" s="684">
        <f>INPUT!EC413</f>
        <v>339.89999999999975</v>
      </c>
      <c r="DS20" s="670">
        <f>INPUT!ED413</f>
        <v>4.681244225438852</v>
      </c>
      <c r="DT20" s="684">
        <f>INPUT!EE413</f>
        <v>353.50000000000011</v>
      </c>
      <c r="DU20" s="670">
        <f>INPUT!EF413</f>
        <v>5.5538966855778416</v>
      </c>
      <c r="DV20" s="684">
        <f>INPUT!EG413</f>
        <v>356.39999999999992</v>
      </c>
      <c r="DW20" s="670">
        <f>INPUT!EH413</f>
        <v>10.993459981314135</v>
      </c>
      <c r="DX20" s="684">
        <f>INPUT!EI413</f>
        <v>372.89999999999981</v>
      </c>
      <c r="DY20" s="670">
        <f>INPUT!EJ413</f>
        <v>8.7806301050174618</v>
      </c>
      <c r="DZ20" s="684">
        <f>INPUT!EK413</f>
        <v>350.70513468194838</v>
      </c>
      <c r="EA20" s="670">
        <f>INPUT!EL413</f>
        <v>3.17891576403313</v>
      </c>
      <c r="EB20" s="684">
        <f>INPUT!EM413</f>
        <v>353.02545439877946</v>
      </c>
      <c r="EC20" s="670">
        <f>INPUT!EN413</f>
        <v>-0.13424203712041338</v>
      </c>
      <c r="ED20" s="684">
        <f>INPUT!EO413</f>
        <v>354.43037123584179</v>
      </c>
      <c r="EE20" s="670">
        <f>INPUT!EP413</f>
        <v>-0.55264555672226434</v>
      </c>
      <c r="EF20" s="684">
        <f>INPUT!EQ413</f>
        <v>356.7361461005865</v>
      </c>
      <c r="EG20" s="670">
        <f>INPUT!ER413</f>
        <v>-4.3346349958201413</v>
      </c>
      <c r="EH20" s="686"/>
      <c r="EI20" s="684">
        <f>INPUT!FB413</f>
        <v>67</v>
      </c>
      <c r="EJ20" s="685" t="str">
        <f>INPUT!FC413</f>
        <v>NA</v>
      </c>
      <c r="EK20" s="684">
        <f>INPUT!FD413</f>
        <v>1057.3000000000009</v>
      </c>
      <c r="EL20" s="685" t="str">
        <f>INPUT!FE413</f>
        <v>NM</v>
      </c>
      <c r="EM20" s="684">
        <f>INPUT!FF413</f>
        <v>-67.899999999999352</v>
      </c>
      <c r="EN20" s="685" t="str">
        <f>INPUT!FG413</f>
        <v>NM</v>
      </c>
      <c r="EO20" s="684">
        <f>INPUT!FH413</f>
        <v>-135.00000000000017</v>
      </c>
      <c r="EP20" s="670">
        <f>INPUT!FI413</f>
        <v>98.821796759943254</v>
      </c>
      <c r="EQ20" s="684">
        <f>INPUT!FJ413</f>
        <v>781.40000000000089</v>
      </c>
      <c r="ER20" s="670" t="str">
        <f>INPUT!FK413</f>
        <v>NM</v>
      </c>
      <c r="ES20" s="684">
        <f>INPUT!FL413</f>
        <v>927.70000000000027</v>
      </c>
      <c r="ET20" s="670">
        <f>INPUT!FM413</f>
        <v>18.722805221397397</v>
      </c>
      <c r="EU20" s="684">
        <f>INPUT!FN413</f>
        <v>1170.9000000000001</v>
      </c>
      <c r="EV20" s="670">
        <f>INPUT!FO413</f>
        <v>26.215371348496252</v>
      </c>
      <c r="EW20" s="684">
        <f>INPUT!FP413</f>
        <v>1289.8999999999999</v>
      </c>
      <c r="EX20" s="670">
        <f>INPUT!FQ413</f>
        <v>10.163122384490553</v>
      </c>
      <c r="EY20" s="684">
        <f>INPUT!FR413</f>
        <v>1315.6999999999989</v>
      </c>
      <c r="EZ20" s="670">
        <f>INPUT!FS413</f>
        <v>2.0001550507790622</v>
      </c>
      <c r="FA20" s="684">
        <f>INPUT!FT413</f>
        <v>1327.6999999999991</v>
      </c>
      <c r="FB20" s="670">
        <f>INPUT!FU413</f>
        <v>0.91206202021738569</v>
      </c>
      <c r="FC20" s="684">
        <f>INPUT!FV413</f>
        <v>370.0999999999998</v>
      </c>
      <c r="FD20" s="670" t="str">
        <f>INPUT!FW413</f>
        <v>NM</v>
      </c>
      <c r="FE20" s="684">
        <f>INPUT!FX413</f>
        <v>1255.7999999999988</v>
      </c>
      <c r="FF20" s="670" t="str">
        <f>INPUT!FY413</f>
        <v>NM</v>
      </c>
      <c r="FG20" s="684">
        <f>INPUT!FZ413</f>
        <v>1246.0999999999999</v>
      </c>
      <c r="FH20" s="670">
        <f>INPUT!GA413</f>
        <v>-0.77241598980720694</v>
      </c>
      <c r="FI20" s="684">
        <f>INPUT!GB413</f>
        <v>594.5</v>
      </c>
      <c r="FJ20" s="670" t="str">
        <f>INPUT!GC413</f>
        <v>NM</v>
      </c>
      <c r="FK20" s="684">
        <f>INPUT!GD413</f>
        <v>1282.0999999999997</v>
      </c>
      <c r="FL20" s="670" t="str">
        <f>INPUT!GE413</f>
        <v>NM</v>
      </c>
      <c r="FM20" s="684">
        <f>INPUT!GF413</f>
        <v>1323.5000000000011</v>
      </c>
      <c r="FN20" s="670">
        <f>INPUT!GG413</f>
        <v>3.2290772950628988</v>
      </c>
      <c r="FO20" s="684">
        <f>INPUT!GH413</f>
        <v>1422.6999999999996</v>
      </c>
      <c r="FP20" s="670">
        <f>INPUT!GI413</f>
        <v>7.4952776728370418</v>
      </c>
      <c r="FQ20" s="684">
        <f>INPUT!GJ413</f>
        <v>1414.8971064171565</v>
      </c>
      <c r="FR20" s="670">
        <f>INPUT!GK413</f>
        <v>-0.54845670786836109</v>
      </c>
      <c r="FS20" s="684">
        <f>INPUT!GL413</f>
        <v>1448.9117131662904</v>
      </c>
      <c r="FT20" s="670">
        <f>INPUT!GM413</f>
        <v>2.4040339466992577</v>
      </c>
      <c r="FU20" s="684">
        <f>INPUT!GN413</f>
        <v>1489.5856145858661</v>
      </c>
      <c r="FV20" s="670">
        <f>INPUT!GO413</f>
        <v>2.8072035756196323</v>
      </c>
      <c r="FW20" s="684">
        <f>INPUT!GP413</f>
        <v>1535.4955462668161</v>
      </c>
      <c r="FX20" s="670">
        <f>INPUT!GQ413</f>
        <v>3.0820606235321346</v>
      </c>
      <c r="FY20" s="684">
        <f>INPUT!GR413</f>
        <v>1575.4640968302349</v>
      </c>
      <c r="FZ20" s="670">
        <f>INPUT!GS413</f>
        <v>2.6029740470815854</v>
      </c>
      <c r="GA20" s="995">
        <f>INPUT!GT413</f>
        <v>2.0608158834128032</v>
      </c>
    </row>
    <row r="21" spans="1:183" s="707" customFormat="1" ht="4.5" customHeight="1" x14ac:dyDescent="0.2">
      <c r="A21" s="993"/>
      <c r="B21" s="669"/>
      <c r="C21" s="670"/>
      <c r="D21" s="669"/>
      <c r="E21" s="670"/>
      <c r="F21" s="669"/>
      <c r="G21" s="670"/>
      <c r="H21" s="669"/>
      <c r="I21" s="670"/>
      <c r="J21" s="669"/>
      <c r="K21" s="670"/>
      <c r="L21" s="669"/>
      <c r="M21" s="670"/>
      <c r="N21" s="669"/>
      <c r="O21" s="670"/>
      <c r="P21" s="669"/>
      <c r="Q21" s="670"/>
      <c r="R21" s="669"/>
      <c r="S21" s="670"/>
      <c r="T21" s="669"/>
      <c r="U21" s="670"/>
      <c r="V21" s="669"/>
      <c r="W21" s="670"/>
      <c r="X21" s="669"/>
      <c r="Y21" s="670"/>
      <c r="Z21" s="680"/>
      <c r="AA21" s="670"/>
      <c r="AB21" s="680"/>
      <c r="AC21" s="670"/>
      <c r="AD21" s="680"/>
      <c r="AE21" s="670"/>
      <c r="AF21" s="680"/>
      <c r="AG21" s="670"/>
      <c r="AH21" s="680"/>
      <c r="AI21" s="670"/>
      <c r="AJ21" s="669"/>
      <c r="AK21" s="670"/>
      <c r="AL21" s="669"/>
      <c r="AM21" s="670"/>
      <c r="AN21" s="669"/>
      <c r="AO21" s="670"/>
      <c r="AP21" s="680"/>
      <c r="AQ21" s="670"/>
      <c r="AR21" s="680"/>
      <c r="AS21" s="670"/>
      <c r="AT21" s="680"/>
      <c r="AU21" s="670"/>
      <c r="AV21" s="680"/>
      <c r="AW21" s="670"/>
      <c r="AX21" s="680"/>
      <c r="AY21" s="670"/>
      <c r="AZ21" s="680"/>
      <c r="BA21" s="670"/>
      <c r="BB21" s="680"/>
      <c r="BC21" s="670"/>
      <c r="BD21" s="680"/>
      <c r="BE21" s="670"/>
      <c r="BF21" s="680"/>
      <c r="BG21" s="670"/>
      <c r="BH21" s="680"/>
      <c r="BI21" s="670"/>
      <c r="BJ21" s="680"/>
      <c r="BK21" s="670"/>
      <c r="BL21" s="680"/>
      <c r="BM21" s="670"/>
      <c r="BN21" s="680"/>
      <c r="BO21" s="670"/>
      <c r="BP21" s="680"/>
      <c r="BQ21" s="670"/>
      <c r="BR21" s="680"/>
      <c r="BS21" s="670"/>
      <c r="BT21" s="680"/>
      <c r="BU21" s="670"/>
      <c r="BV21" s="680"/>
      <c r="BW21" s="670"/>
      <c r="BX21" s="680"/>
      <c r="BY21" s="670"/>
      <c r="BZ21" s="680"/>
      <c r="CA21" s="670"/>
      <c r="CB21" s="680"/>
      <c r="CC21" s="670"/>
      <c r="CD21" s="680"/>
      <c r="CE21" s="670"/>
      <c r="CF21" s="680"/>
      <c r="CG21" s="670"/>
      <c r="CH21" s="680"/>
      <c r="CI21" s="670"/>
      <c r="CJ21" s="680"/>
      <c r="CK21" s="670"/>
      <c r="CL21" s="680"/>
      <c r="CM21" s="670"/>
      <c r="CN21" s="680"/>
      <c r="CO21" s="670"/>
      <c r="CP21" s="680"/>
      <c r="CQ21" s="670"/>
      <c r="CR21" s="680"/>
      <c r="CS21" s="670"/>
      <c r="CT21" s="680"/>
      <c r="CU21" s="670"/>
      <c r="CV21" s="680"/>
      <c r="CW21" s="670"/>
      <c r="CX21" s="680"/>
      <c r="CY21" s="670"/>
      <c r="CZ21" s="680"/>
      <c r="DA21" s="670"/>
      <c r="DB21" s="680"/>
      <c r="DC21" s="670"/>
      <c r="DD21" s="680"/>
      <c r="DE21" s="670"/>
      <c r="DF21" s="680"/>
      <c r="DG21" s="670"/>
      <c r="DH21" s="680"/>
      <c r="DI21" s="670"/>
      <c r="DJ21" s="680"/>
      <c r="DK21" s="670"/>
      <c r="DL21" s="680"/>
      <c r="DM21" s="670"/>
      <c r="DN21" s="680"/>
      <c r="DO21" s="670"/>
      <c r="DP21" s="680"/>
      <c r="DQ21" s="670"/>
      <c r="DR21" s="680"/>
      <c r="DS21" s="670"/>
      <c r="DT21" s="680"/>
      <c r="DU21" s="670"/>
      <c r="DV21" s="680"/>
      <c r="DW21" s="670"/>
      <c r="DX21" s="680"/>
      <c r="DY21" s="670"/>
      <c r="DZ21" s="680"/>
      <c r="EA21" s="670"/>
      <c r="EB21" s="680"/>
      <c r="EC21" s="670"/>
      <c r="ED21" s="680"/>
      <c r="EE21" s="670"/>
      <c r="EF21" s="680"/>
      <c r="EG21" s="670"/>
      <c r="EH21" s="670"/>
      <c r="EI21" s="669"/>
      <c r="EJ21" s="670"/>
      <c r="EK21" s="669"/>
      <c r="EL21" s="670"/>
      <c r="EM21" s="669"/>
      <c r="EN21" s="670"/>
      <c r="EO21" s="669"/>
      <c r="EP21" s="670"/>
      <c r="EQ21" s="680"/>
      <c r="ER21" s="670"/>
      <c r="ES21" s="680"/>
      <c r="ET21" s="670"/>
      <c r="EU21" s="680"/>
      <c r="EV21" s="670"/>
      <c r="EW21" s="680"/>
      <c r="EX21" s="670"/>
      <c r="EY21" s="680"/>
      <c r="EZ21" s="670"/>
      <c r="FA21" s="680"/>
      <c r="FB21" s="670"/>
      <c r="FC21" s="680"/>
      <c r="FD21" s="670"/>
      <c r="FE21" s="680"/>
      <c r="FF21" s="670"/>
      <c r="FG21" s="680"/>
      <c r="FH21" s="670"/>
      <c r="FI21" s="680"/>
      <c r="FJ21" s="670"/>
      <c r="FK21" s="680"/>
      <c r="FL21" s="670"/>
      <c r="FM21" s="680"/>
      <c r="FN21" s="670"/>
      <c r="FO21" s="680"/>
      <c r="FP21" s="670"/>
      <c r="FQ21" s="680"/>
      <c r="FR21" s="670"/>
      <c r="FS21" s="680"/>
      <c r="FT21" s="670"/>
      <c r="FU21" s="680"/>
      <c r="FV21" s="670"/>
      <c r="FW21" s="680"/>
      <c r="FX21" s="670"/>
      <c r="FY21" s="680"/>
      <c r="FZ21" s="670"/>
      <c r="GA21" s="994"/>
    </row>
    <row r="22" spans="1:183" s="707" customFormat="1" ht="12.75" customHeight="1" x14ac:dyDescent="0.2">
      <c r="A22" s="993" t="str">
        <f>INPUT!B414</f>
        <v>Taxes</v>
      </c>
      <c r="B22" s="680">
        <f>INPUT!M414</f>
        <v>68.400000000000006</v>
      </c>
      <c r="C22" s="681">
        <f>INPUT!N414</f>
        <v>55.808656036446493</v>
      </c>
      <c r="D22" s="680">
        <f>INPUT!O414</f>
        <v>78.099999999999994</v>
      </c>
      <c r="E22" s="681">
        <f>INPUT!P414</f>
        <v>18.154311649016641</v>
      </c>
      <c r="F22" s="680">
        <f>INPUT!Q414</f>
        <v>81.400000000000006</v>
      </c>
      <c r="G22" s="681">
        <f>INPUT!R414</f>
        <v>17.460317460317466</v>
      </c>
      <c r="H22" s="680">
        <f>INPUT!S414</f>
        <v>75.800000000000011</v>
      </c>
      <c r="I22" s="681">
        <f>INPUT!T414</f>
        <v>-1.8134715025906578</v>
      </c>
      <c r="J22" s="680">
        <f>INPUT!U414</f>
        <v>-111</v>
      </c>
      <c r="K22" s="681" t="str">
        <f>INPUT!V414</f>
        <v>NM</v>
      </c>
      <c r="L22" s="680">
        <f>INPUT!W414</f>
        <v>52.5</v>
      </c>
      <c r="M22" s="681">
        <f>INPUT!X414</f>
        <v>-32.778489116517285</v>
      </c>
      <c r="N22" s="680">
        <f>INPUT!Y414</f>
        <v>58.7</v>
      </c>
      <c r="O22" s="681">
        <f>INPUT!Z414</f>
        <v>-27.886977886977892</v>
      </c>
      <c r="P22" s="680">
        <f>INPUT!AA414</f>
        <v>-110.3</v>
      </c>
      <c r="Q22" s="681" t="str">
        <f>INPUT!AB414</f>
        <v>NM</v>
      </c>
      <c r="R22" s="680">
        <f>INPUT!AC414</f>
        <v>-210.2</v>
      </c>
      <c r="S22" s="681">
        <f>INPUT!AD414</f>
        <v>89.369369369369366</v>
      </c>
      <c r="T22" s="680">
        <f>INPUT!AE414</f>
        <v>67.7</v>
      </c>
      <c r="U22" s="681">
        <f>INPUT!AF414</f>
        <v>28.952380952380953</v>
      </c>
      <c r="V22" s="680">
        <f>INPUT!AG414</f>
        <v>65.5</v>
      </c>
      <c r="W22" s="681">
        <f>INPUT!AH414</f>
        <v>11.584327086882439</v>
      </c>
      <c r="X22" s="680">
        <f>INPUT!AI414</f>
        <v>-0.7</v>
      </c>
      <c r="Y22" s="681" t="str">
        <f>INPUT!AJ414</f>
        <v>NM</v>
      </c>
      <c r="Z22" s="680">
        <f>INPUT!AK414</f>
        <v>30.5</v>
      </c>
      <c r="AA22" s="681" t="str">
        <f>INPUT!AL414</f>
        <v>NM</v>
      </c>
      <c r="AB22" s="680">
        <f>INPUT!AM414</f>
        <v>71.599999999999994</v>
      </c>
      <c r="AC22" s="681">
        <f>INPUT!AN414</f>
        <v>5.7607090103397152</v>
      </c>
      <c r="AD22" s="680">
        <f>INPUT!AO414</f>
        <v>73.3</v>
      </c>
      <c r="AE22" s="681">
        <f>INPUT!AP414</f>
        <v>11.908396946564892</v>
      </c>
      <c r="AF22" s="680">
        <f>INPUT!AQ414</f>
        <v>54</v>
      </c>
      <c r="AG22" s="681" t="str">
        <f>INPUT!AR414</f>
        <v>NM</v>
      </c>
      <c r="AH22" s="680">
        <f>INPUT!AS414</f>
        <v>68.600000000000009</v>
      </c>
      <c r="AI22" s="681" t="str">
        <f>INPUT!AT414</f>
        <v>NM</v>
      </c>
      <c r="AJ22" s="680">
        <f>INPUT!AU414</f>
        <v>76.13000000000001</v>
      </c>
      <c r="AK22" s="681">
        <f>INPUT!AV414</f>
        <v>6.3268156424581168</v>
      </c>
      <c r="AL22" s="680">
        <f>INPUT!AW414</f>
        <v>87.077199999999991</v>
      </c>
      <c r="AM22" s="681">
        <f>INPUT!AX414</f>
        <v>18.795634379263305</v>
      </c>
      <c r="AN22" s="680">
        <f>INPUT!AY414</f>
        <v>85.2</v>
      </c>
      <c r="AO22" s="670">
        <f>INPUT!AZ414</f>
        <v>57.777777777777771</v>
      </c>
      <c r="AP22" s="680">
        <f>INPUT!BA414</f>
        <v>89</v>
      </c>
      <c r="AQ22" s="670">
        <f>INPUT!BB414</f>
        <v>29.737609329446045</v>
      </c>
      <c r="AR22" s="680">
        <f>INPUT!BC414</f>
        <v>94</v>
      </c>
      <c r="AS22" s="670">
        <f>INPUT!BD414</f>
        <v>23.473006699067376</v>
      </c>
      <c r="AT22" s="680">
        <f>INPUT!BE414</f>
        <v>108.1</v>
      </c>
      <c r="AU22" s="670">
        <f>INPUT!BF414</f>
        <v>24.142714740483171</v>
      </c>
      <c r="AV22" s="680">
        <f>INPUT!BG414</f>
        <v>93.7</v>
      </c>
      <c r="AW22" s="670">
        <f>INPUT!BH414</f>
        <v>9.9765258215962493</v>
      </c>
      <c r="AX22" s="680">
        <f>INPUT!BI414</f>
        <v>105.4</v>
      </c>
      <c r="AY22" s="670">
        <f>INPUT!BJ414</f>
        <v>18.426966292134829</v>
      </c>
      <c r="AZ22" s="680">
        <f>INPUT!BK414</f>
        <v>117.7</v>
      </c>
      <c r="BA22" s="670">
        <f>INPUT!BL414</f>
        <v>25.212765957446813</v>
      </c>
      <c r="BB22" s="680">
        <f>INPUT!BM414</f>
        <v>108.7</v>
      </c>
      <c r="BC22" s="670">
        <f>INPUT!BN414</f>
        <v>0.55504162812212154</v>
      </c>
      <c r="BD22" s="680">
        <f>INPUT!BO414</f>
        <v>100.8</v>
      </c>
      <c r="BE22" s="670">
        <f>INPUT!BP414</f>
        <v>7.5773745997865571</v>
      </c>
      <c r="BF22" s="680">
        <f>INPUT!BQ414</f>
        <v>108.5</v>
      </c>
      <c r="BG22" s="670">
        <f>INPUT!BR414</f>
        <v>2.9411764705882248</v>
      </c>
      <c r="BH22" s="680">
        <f>INPUT!BS414</f>
        <v>108.1</v>
      </c>
      <c r="BI22" s="670">
        <f>INPUT!BT414</f>
        <v>-8.1563296516567583</v>
      </c>
      <c r="BJ22" s="680">
        <f>INPUT!BU414</f>
        <v>108.1</v>
      </c>
      <c r="BK22" s="670">
        <f>INPUT!BV414</f>
        <v>-0.55197792088317321</v>
      </c>
      <c r="BL22" s="680">
        <f>INPUT!BW414</f>
        <v>103.5</v>
      </c>
      <c r="BM22" s="670">
        <f>INPUT!BX414</f>
        <v>2.6785714285714413</v>
      </c>
      <c r="BN22" s="680">
        <f>INPUT!BY414</f>
        <v>113.5</v>
      </c>
      <c r="BO22" s="670">
        <f>INPUT!BZ414</f>
        <v>4.6082949308755783</v>
      </c>
      <c r="BP22" s="680">
        <f>INPUT!CA414</f>
        <v>111.1</v>
      </c>
      <c r="BQ22" s="670">
        <f>INPUT!CB414</f>
        <v>2.7752081406105411</v>
      </c>
      <c r="BR22" s="680">
        <f>INPUT!CC414</f>
        <v>107.1</v>
      </c>
      <c r="BS22" s="670">
        <f>INPUT!CD414</f>
        <v>-0.9250693802035137</v>
      </c>
      <c r="BT22" s="680">
        <f>INPUT!CE414</f>
        <v>101.3</v>
      </c>
      <c r="BU22" s="670">
        <f>INPUT!CF414</f>
        <v>-2.1256038647343045</v>
      </c>
      <c r="BV22" s="680">
        <f>INPUT!CG414</f>
        <v>101.1</v>
      </c>
      <c r="BW22" s="670">
        <f>INPUT!CH414</f>
        <v>-10.925110132158601</v>
      </c>
      <c r="BX22" s="680">
        <f>INPUT!CI414</f>
        <v>111.1</v>
      </c>
      <c r="BY22" s="670">
        <f>INPUT!CJ414</f>
        <v>0</v>
      </c>
      <c r="BZ22" s="680">
        <f>INPUT!CK414</f>
        <v>97.5</v>
      </c>
      <c r="CA22" s="670">
        <f>INPUT!CL414</f>
        <v>-8.9635854341736589</v>
      </c>
      <c r="CB22" s="680">
        <f>INPUT!CM414</f>
        <v>-248.1</v>
      </c>
      <c r="CC22" s="670" t="str">
        <f>INPUT!CN414</f>
        <v>NM</v>
      </c>
      <c r="CD22" s="680">
        <f>INPUT!CO414</f>
        <v>96</v>
      </c>
      <c r="CE22" s="670">
        <f>INPUT!CP414</f>
        <v>-5.0445103857566735</v>
      </c>
      <c r="CF22" s="680">
        <f>INPUT!CQ414</f>
        <v>84.8</v>
      </c>
      <c r="CG22" s="670">
        <f>INPUT!CR414</f>
        <v>-23.672367236723669</v>
      </c>
      <c r="CH22" s="680">
        <f>INPUT!CS414</f>
        <v>86.7</v>
      </c>
      <c r="CI22" s="670">
        <f>INPUT!CT414</f>
        <v>-11.076923076923073</v>
      </c>
      <c r="CJ22" s="680">
        <f>INPUT!CU414</f>
        <v>84.7</v>
      </c>
      <c r="CK22" s="670" t="str">
        <f>INPUT!CV414</f>
        <v>NM</v>
      </c>
      <c r="CL22" s="680">
        <f>INPUT!CW414</f>
        <v>99.3</v>
      </c>
      <c r="CM22" s="670">
        <f>INPUT!CX414</f>
        <v>3.4375000000000044</v>
      </c>
      <c r="CN22" s="680">
        <f>INPUT!CY414</f>
        <v>99</v>
      </c>
      <c r="CO22" s="670">
        <f>INPUT!CZ414</f>
        <v>16.74528301886793</v>
      </c>
      <c r="CP22" s="680">
        <f>INPUT!DA414</f>
        <v>94.8</v>
      </c>
      <c r="CQ22" s="670">
        <f>INPUT!DB414</f>
        <v>9.3425605536332057</v>
      </c>
      <c r="CR22" s="680">
        <f>INPUT!DC414</f>
        <v>88.5</v>
      </c>
      <c r="CS22" s="670">
        <f>INPUT!DD414</f>
        <v>4.4864226682408415</v>
      </c>
      <c r="CT22" s="680">
        <f>INPUT!DE414</f>
        <v>102.3</v>
      </c>
      <c r="CU22" s="670">
        <f>INPUT!DF414</f>
        <v>3.0211480362537735</v>
      </c>
      <c r="CV22" s="680">
        <f>INPUT!DG414</f>
        <v>104</v>
      </c>
      <c r="CW22" s="670">
        <f>INPUT!DH414</f>
        <v>5.0505050505050608</v>
      </c>
      <c r="CX22" s="680">
        <f>INPUT!DI414</f>
        <v>98.1</v>
      </c>
      <c r="CY22" s="670">
        <f>INPUT!DJ414</f>
        <v>3.4810126582278444</v>
      </c>
      <c r="CZ22" s="680">
        <f>INPUT!DK414</f>
        <v>-143.80000000000001</v>
      </c>
      <c r="DA22" s="670" t="str">
        <f>INPUT!DL414</f>
        <v>NM</v>
      </c>
      <c r="DB22" s="680">
        <f>INPUT!DM414</f>
        <v>95.4</v>
      </c>
      <c r="DC22" s="670">
        <f>INPUT!DN414</f>
        <v>-6.7448680351906098</v>
      </c>
      <c r="DD22" s="680">
        <f>INPUT!DO414</f>
        <v>98.4</v>
      </c>
      <c r="DE22" s="670">
        <f>INPUT!DP414</f>
        <v>-5.3846153846153761</v>
      </c>
      <c r="DF22" s="680">
        <f>INPUT!DQ414</f>
        <v>104.4</v>
      </c>
      <c r="DG22" s="670">
        <f>INPUT!DR414</f>
        <v>6.4220183486238591</v>
      </c>
      <c r="DH22" s="680">
        <f>INPUT!DS414</f>
        <v>90.7</v>
      </c>
      <c r="DI22" s="670" t="str">
        <f>INPUT!DT414</f>
        <v>NM</v>
      </c>
      <c r="DJ22" s="680">
        <f>INPUT!DU414</f>
        <v>100.5</v>
      </c>
      <c r="DK22" s="670">
        <f>INPUT!DV414</f>
        <v>5.3459119496855223</v>
      </c>
      <c r="DL22" s="680">
        <f>INPUT!DW414</f>
        <v>101.9</v>
      </c>
      <c r="DM22" s="670">
        <f>INPUT!DX414</f>
        <v>3.5569105691056979</v>
      </c>
      <c r="DN22" s="680">
        <f>INPUT!DY414</f>
        <v>92.4</v>
      </c>
      <c r="DO22" s="670">
        <f>INPUT!DZ414</f>
        <v>-11.494252873563216</v>
      </c>
      <c r="DP22" s="680">
        <f>INPUT!EA414</f>
        <v>113.1</v>
      </c>
      <c r="DQ22" s="670">
        <f>INPUT!EB414</f>
        <v>24.696802646085981</v>
      </c>
      <c r="DR22" s="680">
        <f>INPUT!EC414</f>
        <v>103.8</v>
      </c>
      <c r="DS22" s="670">
        <f>INPUT!ED414</f>
        <v>3.2835820895522394</v>
      </c>
      <c r="DT22" s="680">
        <f>INPUT!EE414</f>
        <v>113.1</v>
      </c>
      <c r="DU22" s="670">
        <f>INPUT!EF414</f>
        <v>10.99116781157996</v>
      </c>
      <c r="DV22" s="680">
        <f>INPUT!EG414</f>
        <v>110.9</v>
      </c>
      <c r="DW22" s="670">
        <f>INPUT!EH414</f>
        <v>20.021645021645028</v>
      </c>
      <c r="DX22" s="680">
        <f>INPUT!EI414</f>
        <v>119.3</v>
      </c>
      <c r="DY22" s="670">
        <f>INPUT!EJ414</f>
        <v>5.4818744473916992</v>
      </c>
      <c r="DZ22" s="680">
        <f>INPUT!EK414</f>
        <v>68.387501262979924</v>
      </c>
      <c r="EA22" s="670">
        <f>INPUT!EL414</f>
        <v>-34.116087415240912</v>
      </c>
      <c r="EB22" s="680">
        <f>INPUT!EM414</f>
        <v>68.839963607761987</v>
      </c>
      <c r="EC22" s="670">
        <f>INPUT!EN414</f>
        <v>-39.13354234503803</v>
      </c>
      <c r="ED22" s="680">
        <f>INPUT!EO414</f>
        <v>69.113922390989146</v>
      </c>
      <c r="EE22" s="670">
        <f>INPUT!EP414</f>
        <v>-37.679060062228011</v>
      </c>
      <c r="EF22" s="680">
        <f>INPUT!EQ414</f>
        <v>69.563548489614362</v>
      </c>
      <c r="EG22" s="670">
        <f>INPUT!ER414</f>
        <v>-41.69023596847078</v>
      </c>
      <c r="EH22" s="670"/>
      <c r="EI22" s="680">
        <f>INPUT!FB414</f>
        <v>305.10000000000002</v>
      </c>
      <c r="EJ22" s="681" t="str">
        <f>INPUT!FC414</f>
        <v>NA</v>
      </c>
      <c r="EK22" s="680">
        <f>INPUT!FD414</f>
        <v>303.70000000000005</v>
      </c>
      <c r="EL22" s="681">
        <f>INPUT!FE414</f>
        <v>-0.45886594559160221</v>
      </c>
      <c r="EM22" s="680">
        <f>INPUT!FF414</f>
        <v>-110.1</v>
      </c>
      <c r="EN22" s="681" t="str">
        <f>INPUT!FG414</f>
        <v>NM</v>
      </c>
      <c r="EO22" s="680">
        <f>INPUT!FH414</f>
        <v>-77.699999999999989</v>
      </c>
      <c r="EP22" s="681">
        <f>INPUT!FI414</f>
        <v>-29.427792915531338</v>
      </c>
      <c r="EQ22" s="680">
        <f>INPUT!FJ414</f>
        <v>229.39999999999998</v>
      </c>
      <c r="ER22" s="670" t="str">
        <f>INPUT!FK414</f>
        <v>NM</v>
      </c>
      <c r="ES22" s="680">
        <f>INPUT!FL414</f>
        <v>317.00720000000001</v>
      </c>
      <c r="ET22" s="670">
        <f>INPUT!FM414</f>
        <v>38.189712292938125</v>
      </c>
      <c r="EU22" s="680">
        <f>INPUT!FN414</f>
        <v>384.8</v>
      </c>
      <c r="EV22" s="670">
        <f>INPUT!FO414</f>
        <v>21.385255603027311</v>
      </c>
      <c r="EW22" s="680">
        <f>INPUT!FP414</f>
        <v>432.6</v>
      </c>
      <c r="EX22" s="670">
        <f>INPUT!FQ414</f>
        <v>12.422037422037423</v>
      </c>
      <c r="EY22" s="680">
        <f>INPUT!FR414</f>
        <v>455.1529792147806</v>
      </c>
      <c r="EZ22" s="670">
        <f>INPUT!FS414</f>
        <v>5.2133562678642109</v>
      </c>
      <c r="FA22" s="680">
        <f>INPUT!FT414</f>
        <v>433</v>
      </c>
      <c r="FB22" s="670">
        <f>INPUT!FU414</f>
        <v>-4.8671502168344372</v>
      </c>
      <c r="FC22" s="680">
        <f>INPUT!FV414</f>
        <v>61.599999999999994</v>
      </c>
      <c r="FD22" s="670" t="str">
        <f>INPUT!FW414</f>
        <v>NM</v>
      </c>
      <c r="FE22" s="680">
        <f>INPUT!FX414</f>
        <v>374.59999999999877</v>
      </c>
      <c r="FF22" s="670" t="str">
        <f>INPUT!FY414</f>
        <v>NM</v>
      </c>
      <c r="FG22" s="680">
        <f>INPUT!FZ414</f>
        <v>381.6</v>
      </c>
      <c r="FH22" s="670">
        <f>INPUT!GA414</f>
        <v>1.8686599038978402</v>
      </c>
      <c r="FI22" s="680">
        <f>INPUT!GB414</f>
        <v>160.59999999999997</v>
      </c>
      <c r="FJ22" s="670" t="str">
        <f>INPUT!GC414</f>
        <v>NM</v>
      </c>
      <c r="FK22" s="680">
        <f>INPUT!GD414</f>
        <v>388.90000000000003</v>
      </c>
      <c r="FL22" s="670" t="str">
        <f>INPUT!GE414</f>
        <v>NM</v>
      </c>
      <c r="FM22" s="680">
        <f>INPUT!GF414</f>
        <v>407.9</v>
      </c>
      <c r="FN22" s="670">
        <f>INPUT!GG414</f>
        <v>4.8855746978657688</v>
      </c>
      <c r="FO22" s="680">
        <f>INPUT!GH414</f>
        <v>447.09999999999997</v>
      </c>
      <c r="FP22" s="670">
        <f>INPUT!GI414</f>
        <v>9.6101985780828514</v>
      </c>
      <c r="FQ22" s="680">
        <f>INPUT!GJ414</f>
        <v>275.90493575134542</v>
      </c>
      <c r="FR22" s="670">
        <f>INPUT!GK414</f>
        <v>-38.290106072166083</v>
      </c>
      <c r="FS22" s="680">
        <f>INPUT!GL414</f>
        <v>282.53778406742651</v>
      </c>
      <c r="FT22" s="670">
        <f>INPUT!GM414</f>
        <v>2.4040339466992577</v>
      </c>
      <c r="FU22" s="680">
        <f>INPUT!GN414</f>
        <v>290.46919484424382</v>
      </c>
      <c r="FV22" s="670">
        <f>INPUT!GO414</f>
        <v>2.8072035756196323</v>
      </c>
      <c r="FW22" s="680">
        <f>INPUT!GP414</f>
        <v>299.42163152202903</v>
      </c>
      <c r="FX22" s="670">
        <f>INPUT!GQ414</f>
        <v>3.0820606235321124</v>
      </c>
      <c r="FY22" s="680">
        <f>INPUT!GR414</f>
        <v>307.21549888189571</v>
      </c>
      <c r="FZ22" s="670">
        <f>INPUT!GS414</f>
        <v>2.6029740470815854</v>
      </c>
      <c r="GA22" s="994">
        <f>INPUT!GT414</f>
        <v>-7.2299714182083807</v>
      </c>
    </row>
    <row r="23" spans="1:183" s="707" customFormat="1" ht="12.75" customHeight="1" x14ac:dyDescent="0.2">
      <c r="A23" s="993" t="str">
        <f>INPUT!B415</f>
        <v>Tax Rate (%)</v>
      </c>
      <c r="B23" s="680">
        <f>INPUT!M415</f>
        <v>31.754874651810589</v>
      </c>
      <c r="C23" s="681">
        <f>INPUT!N415</f>
        <v>63.982462040215495</v>
      </c>
      <c r="D23" s="680">
        <f>INPUT!O415</f>
        <v>34.284460052677787</v>
      </c>
      <c r="E23" s="681">
        <f>INPUT!P415</f>
        <v>10.166706735079622</v>
      </c>
      <c r="F23" s="680">
        <f>INPUT!Q415</f>
        <v>35.086206896551722</v>
      </c>
      <c r="G23" s="681">
        <f>INPUT!R415</f>
        <v>-9.7276956759715265</v>
      </c>
      <c r="H23" s="680">
        <f>INPUT!S415</f>
        <v>33.377366798767063</v>
      </c>
      <c r="I23" s="681">
        <f>INPUT!T415</f>
        <v>-2.6349351932339116</v>
      </c>
      <c r="J23" s="680">
        <f>INPUT!U415</f>
        <v>36.465177398160243</v>
      </c>
      <c r="K23" s="681">
        <f>INPUT!V415</f>
        <v>14.833321806487065</v>
      </c>
      <c r="L23" s="680">
        <f>INPUT!W415</f>
        <v>32.031726662599155</v>
      </c>
      <c r="M23" s="681">
        <f>INPUT!X415</f>
        <v>-6.570712756208863</v>
      </c>
      <c r="N23" s="680">
        <f>INPUT!Y415</f>
        <v>33.832853025936544</v>
      </c>
      <c r="O23" s="681">
        <f>INPUT!Z415</f>
        <v>-3.572212505930239</v>
      </c>
      <c r="P23" s="680">
        <f>INPUT!AA415</f>
        <v>37.466032608695663</v>
      </c>
      <c r="Q23" s="681">
        <f>INPUT!AB415</f>
        <v>12.249815375129081</v>
      </c>
      <c r="R23" s="680">
        <f>INPUT!AC415</f>
        <v>26.423632935260844</v>
      </c>
      <c r="S23" s="681">
        <f>INPUT!AD415</f>
        <v>-27.537352563122376</v>
      </c>
      <c r="T23" s="680">
        <f>INPUT!AE415</f>
        <v>34.088620342396744</v>
      </c>
      <c r="U23" s="681">
        <f>INPUT!AF415</f>
        <v>6.4214261736919021</v>
      </c>
      <c r="V23" s="680">
        <f>INPUT!AG415</f>
        <v>34.127025478038874</v>
      </c>
      <c r="W23" s="681">
        <f>INPUT!AH415</f>
        <v>0.86948757137570443</v>
      </c>
      <c r="X23" s="680">
        <f>INPUT!AI415</f>
        <v>-0.60152960384978871</v>
      </c>
      <c r="Y23" s="681" t="str">
        <f>INPUT!AJ415</f>
        <v>NM</v>
      </c>
      <c r="Z23" s="680">
        <f>INPUT!AK415</f>
        <v>16.504329004328959</v>
      </c>
      <c r="AA23" s="681">
        <f>INPUT!AL415</f>
        <v>-37.539516065919663</v>
      </c>
      <c r="AB23" s="680">
        <f>INPUT!AM415</f>
        <v>35.746380429356009</v>
      </c>
      <c r="AC23" s="681">
        <f>INPUT!AN415</f>
        <v>4.8630894131478586</v>
      </c>
      <c r="AD23" s="680">
        <f>INPUT!AO415</f>
        <v>35.071770334928239</v>
      </c>
      <c r="AE23" s="681">
        <f>INPUT!AP415</f>
        <v>2.7683187844698587</v>
      </c>
      <c r="AF23" s="680">
        <f>INPUT!AQ415</f>
        <v>28.830752802989863</v>
      </c>
      <c r="AG23" s="681" t="str">
        <f>INPUT!AR415</f>
        <v>NM</v>
      </c>
      <c r="AH23" s="680">
        <f>INPUT!AS415</f>
        <v>34.010907288051591</v>
      </c>
      <c r="AI23" s="681" t="str">
        <f>INPUT!AT415</f>
        <v>NM</v>
      </c>
      <c r="AJ23" s="680">
        <f>INPUT!AU415</f>
        <v>35.163972286374182</v>
      </c>
      <c r="AK23" s="681">
        <f>INPUT!AV415</f>
        <v>-1.6292786457997144</v>
      </c>
      <c r="AL23" s="680">
        <f>INPUT!AW415</f>
        <v>35.614396728016338</v>
      </c>
      <c r="AM23" s="681">
        <f>INPUT!AX415</f>
        <v>1.5471884877955366</v>
      </c>
      <c r="AN23" s="680">
        <f>INPUT!AY415</f>
        <v>32.150943396226403</v>
      </c>
      <c r="AO23" s="670">
        <f>INPUT!AZ415</f>
        <v>11.516142557651921</v>
      </c>
      <c r="AP23" s="682">
        <f>INPUT!BA415</f>
        <v>33.763277693474969</v>
      </c>
      <c r="AQ23" s="670">
        <f>INPUT!BB415</f>
        <v>-0.7280887642289291</v>
      </c>
      <c r="AR23" s="682">
        <f>INPUT!BC415</f>
        <v>34.119782214156082</v>
      </c>
      <c r="AS23" s="670">
        <f>INPUT!BD415</f>
        <v>-2.9694883834916364</v>
      </c>
      <c r="AT23" s="682">
        <f>INPUT!BE415</f>
        <v>33.261538461538478</v>
      </c>
      <c r="AU23" s="670">
        <f>INPUT!BF415</f>
        <v>-6.606480756774868</v>
      </c>
      <c r="AV23" s="682">
        <f>INPUT!BG415</f>
        <v>30.541069100391127</v>
      </c>
      <c r="AW23" s="670">
        <f>INPUT!BH415</f>
        <v>-5.0072381267177057</v>
      </c>
      <c r="AX23" s="682">
        <f>INPUT!BI415</f>
        <v>33.652618135376763</v>
      </c>
      <c r="AY23" s="670">
        <f>INPUT!BJ415</f>
        <v>-0.32775123050210464</v>
      </c>
      <c r="AZ23" s="682">
        <f>INPUT!BK415</f>
        <v>34.526254033440921</v>
      </c>
      <c r="BA23" s="670">
        <f>INPUT!BL415</f>
        <v>1.1913083639677913</v>
      </c>
      <c r="BB23" s="682">
        <f>INPUT!BM415</f>
        <v>33.384520884520903</v>
      </c>
      <c r="BC23" s="670">
        <f>INPUT!BN415</f>
        <v>0.36974363986390646</v>
      </c>
      <c r="BD23" s="682">
        <f>INPUT!BO415</f>
        <v>32.495164410058003</v>
      </c>
      <c r="BE23" s="670">
        <f>INPUT!BP415</f>
        <v>6.3982544397630514</v>
      </c>
      <c r="BF23" s="682">
        <f>INPUT!BQ415</f>
        <v>34.422588832487314</v>
      </c>
      <c r="BG23" s="670">
        <f>INPUT!BR415</f>
        <v>2.2879964168408318</v>
      </c>
      <c r="BH23" s="682">
        <f>INPUT!BS415</f>
        <v>33.374498301945025</v>
      </c>
      <c r="BI23" s="670">
        <f>INPUT!BT415</f>
        <v>-3.335883847637644</v>
      </c>
      <c r="BJ23" s="682">
        <f>INPUT!BU415</f>
        <v>33.81294964028779</v>
      </c>
      <c r="BK23" s="670">
        <f>INPUT!BV415</f>
        <v>1.283315573851862</v>
      </c>
      <c r="BL23" s="682">
        <f>INPUT!BW415</f>
        <v>32.162834058421403</v>
      </c>
      <c r="BM23" s="670">
        <f>INPUT!BX415</f>
        <v>-1.0227070940245331</v>
      </c>
      <c r="BN23" s="682">
        <f>INPUT!BY415</f>
        <v>33.372537488973833</v>
      </c>
      <c r="BO23" s="670">
        <f>INPUT!BZ415</f>
        <v>-3.0504717371009127</v>
      </c>
      <c r="BP23" s="682">
        <f>INPUT!CA415</f>
        <v>32.334109429569267</v>
      </c>
      <c r="BQ23" s="670">
        <f>INPUT!CB415</f>
        <v>-3.117316889569921</v>
      </c>
      <c r="BR23" s="682">
        <f>INPUT!CC415</f>
        <v>32.415254237288124</v>
      </c>
      <c r="BS23" s="670">
        <f>INPUT!CD415</f>
        <v>-4.133609808871352</v>
      </c>
      <c r="BT23" s="682">
        <f>INPUT!CE415</f>
        <v>32.302295918367314</v>
      </c>
      <c r="BU23" s="670">
        <f>INPUT!CF415</f>
        <v>0.43361185053714113</v>
      </c>
      <c r="BV23" s="682">
        <f>INPUT!CG415</f>
        <v>31.574016239850106</v>
      </c>
      <c r="BW23" s="670">
        <f>INPUT!CH415</f>
        <v>-5.3892253464932089</v>
      </c>
      <c r="BX23" s="682">
        <f>INPUT!CI415</f>
        <v>32.100548974284877</v>
      </c>
      <c r="BY23" s="670">
        <f>INPUT!CJ415</f>
        <v>-0.72233458537999118</v>
      </c>
      <c r="BZ23" s="682">
        <f>INPUT!CK415</f>
        <v>30.411728009981282</v>
      </c>
      <c r="CA23" s="670">
        <f>INPUT!CL415</f>
        <v>-6.1808129365283015</v>
      </c>
      <c r="CB23" s="682">
        <f>INPUT!CM415</f>
        <v>40.223735408560287</v>
      </c>
      <c r="CC23" s="670">
        <f>INPUT!CN415</f>
        <v>24.522837355622109</v>
      </c>
      <c r="CD23" s="682">
        <f>INPUT!CO415</f>
        <v>31.047865459249685</v>
      </c>
      <c r="CE23" s="670">
        <f>INPUT!CP415</f>
        <v>-1.6664043516147808</v>
      </c>
      <c r="CF23" s="682">
        <f>INPUT!CQ415</f>
        <v>27.34601741373751</v>
      </c>
      <c r="CG23" s="670">
        <f>INPUT!CR415</f>
        <v>-14.811371495098513</v>
      </c>
      <c r="CH23" s="682">
        <f>INPUT!CS415</f>
        <v>27.90473125201159</v>
      </c>
      <c r="CI23" s="670">
        <f>INPUT!CT415</f>
        <v>-8.2435195959495662</v>
      </c>
      <c r="CJ23" s="682">
        <f>INPUT!CU415</f>
        <v>27.349047465288994</v>
      </c>
      <c r="CK23" s="670">
        <f>INPUT!CV415</f>
        <v>-32.007688526439892</v>
      </c>
      <c r="CL23" s="682">
        <f>INPUT!CW415</f>
        <v>31.826923076923062</v>
      </c>
      <c r="CM23" s="670">
        <f>INPUT!CX415</f>
        <v>2.5092147435896717</v>
      </c>
      <c r="CN23" s="682">
        <f>INPUT!CY415</f>
        <v>31.438551921244844</v>
      </c>
      <c r="CO23" s="670">
        <f>INPUT!CZ415</f>
        <v>14.965742344080478</v>
      </c>
      <c r="CP23" s="682">
        <f>INPUT!DA415</f>
        <v>29.96207332490518</v>
      </c>
      <c r="CQ23" s="670">
        <f>INPUT!DB415</f>
        <v>7.3727356637605324</v>
      </c>
      <c r="CR23" s="682">
        <f>INPUT!DC415</f>
        <v>29.227212681638047</v>
      </c>
      <c r="CS23" s="670">
        <f>INPUT!DD415</f>
        <v>6.8673880460838443</v>
      </c>
      <c r="CT23" s="682">
        <f>INPUT!DE415</f>
        <v>31.486611265004637</v>
      </c>
      <c r="CU23" s="670">
        <f>INPUT!DF415</f>
        <v>-1.0692576567829737</v>
      </c>
      <c r="CV23" s="682">
        <f>INPUT!DG415</f>
        <v>31.97048877958807</v>
      </c>
      <c r="CW23" s="670">
        <f>INPUT!DH415</f>
        <v>1.6919890574977892</v>
      </c>
      <c r="CX23" s="682">
        <f>INPUT!DI415</f>
        <v>30.926860025220677</v>
      </c>
      <c r="CY23" s="670">
        <f>INPUT!DJ415</f>
        <v>3.2200264976774529</v>
      </c>
      <c r="CZ23" s="682">
        <f>INPUT!DK415</f>
        <v>38.56261732367927</v>
      </c>
      <c r="DA23" s="670">
        <f>INPUT!DL415</f>
        <v>31.940796899548939</v>
      </c>
      <c r="DB23" s="682">
        <f>INPUT!DM415</f>
        <v>29.971724787935905</v>
      </c>
      <c r="DC23" s="670">
        <f>INPUT!DN415</f>
        <v>-4.8112083714528904</v>
      </c>
      <c r="DD23" s="682">
        <f>INPUT!DO415</f>
        <v>30.846394984326025</v>
      </c>
      <c r="DE23" s="670">
        <f>INPUT!DP415</f>
        <v>-3.5160356884494592</v>
      </c>
      <c r="DF23" s="682">
        <f>INPUT!DQ415</f>
        <v>32.073732718893986</v>
      </c>
      <c r="DG23" s="670">
        <f>INPUT!DR415</f>
        <v>3.7083386180751576</v>
      </c>
      <c r="DH23" s="682">
        <f>INPUT!DS415</f>
        <v>28.405887879736934</v>
      </c>
      <c r="DI23" s="670">
        <f>INPUT!DT415</f>
        <v>-26.338278231196778</v>
      </c>
      <c r="DJ23" s="682">
        <f>INPUT!DU415</f>
        <v>30.951647674776734</v>
      </c>
      <c r="DK23" s="670">
        <f>INPUT!DV415</f>
        <v>3.2694911413148509</v>
      </c>
      <c r="DL23" s="682">
        <f>INPUT!DW415</f>
        <v>30.426993132278302</v>
      </c>
      <c r="DM23" s="670">
        <f>INPUT!DX415</f>
        <v>-1.3596462480002458</v>
      </c>
      <c r="DN23" s="682">
        <f>INPUT!DY415</f>
        <v>28.776082217377745</v>
      </c>
      <c r="DO23" s="670">
        <f>INPUT!DZ415</f>
        <v>-10.281467799267595</v>
      </c>
      <c r="DP23" s="682">
        <f>INPUT!EA415</f>
        <v>32.992998833138856</v>
      </c>
      <c r="DQ23" s="670">
        <f>INPUT!EB415</f>
        <v>16.148451239484384</v>
      </c>
      <c r="DR23" s="682">
        <f>INPUT!EC415</f>
        <v>30.538393645189782</v>
      </c>
      <c r="DS23" s="670">
        <f>INPUT!ED415</f>
        <v>-1.3351600338993297</v>
      </c>
      <c r="DT23" s="682">
        <f>INPUT!EE415</f>
        <v>31.994342291371979</v>
      </c>
      <c r="DU23" s="670">
        <f>INPUT!EF415</f>
        <v>5.1511799154118965</v>
      </c>
      <c r="DV23" s="682">
        <f>INPUT!EG415</f>
        <v>31.116722783389463</v>
      </c>
      <c r="DW23" s="670">
        <f>INPUT!EH415</f>
        <v>8.1339792829693067</v>
      </c>
      <c r="DX23" s="682">
        <f>INPUT!EI415</f>
        <v>31.992491284526697</v>
      </c>
      <c r="DY23" s="670">
        <f>INPUT!EJ415</f>
        <v>-3.0324844178978627</v>
      </c>
      <c r="DZ23" s="682">
        <f>INPUT!EK415</f>
        <v>19.5</v>
      </c>
      <c r="EA23" s="670">
        <f>INPUT!EL415</f>
        <v>-36.145953757225477</v>
      </c>
      <c r="EB23" s="682">
        <f>INPUT!EM415</f>
        <v>19.5</v>
      </c>
      <c r="EC23" s="670">
        <f>INPUT!EN415</f>
        <v>-39.051724137931011</v>
      </c>
      <c r="ED23" s="682">
        <f>INPUT!EO415</f>
        <v>19.5</v>
      </c>
      <c r="EE23" s="670">
        <f>INPUT!EP415</f>
        <v>-37.332732191163231</v>
      </c>
      <c r="EF23" s="682">
        <f>INPUT!EQ415</f>
        <v>19.5</v>
      </c>
      <c r="EG23" s="670">
        <f>INPUT!ER415</f>
        <v>-39.04819782062031</v>
      </c>
      <c r="EH23" s="670"/>
      <c r="EI23" s="682">
        <f>INPUT!FB415</f>
        <v>455.37313432835828</v>
      </c>
      <c r="EJ23" s="683" t="str">
        <f>INPUT!FC415</f>
        <v>NA</v>
      </c>
      <c r="EK23" s="682">
        <f>INPUT!FD415</f>
        <v>28.724108578454533</v>
      </c>
      <c r="EL23" s="683" t="str">
        <f>INPUT!FE415</f>
        <v>NM</v>
      </c>
      <c r="EM23" s="682">
        <f>INPUT!FF415</f>
        <v>162.15022091310905</v>
      </c>
      <c r="EN23" s="683" t="str">
        <f>INPUT!FG415</f>
        <v>NM</v>
      </c>
      <c r="EO23" s="682">
        <f>INPUT!FH415</f>
        <v>57.555555555555472</v>
      </c>
      <c r="EP23" s="683" t="str">
        <f>INPUT!FI415</f>
        <v>NM</v>
      </c>
      <c r="EQ23" s="682">
        <f>INPUT!FJ415</f>
        <v>29.357563347837178</v>
      </c>
      <c r="ER23" s="670">
        <f>INPUT!FK415</f>
        <v>-48.992650553950782</v>
      </c>
      <c r="ES23" s="682">
        <f>INPUT!FL415</f>
        <v>34.171305378894026</v>
      </c>
      <c r="ET23" s="670">
        <f>INPUT!FM415</f>
        <v>16.396939943626098</v>
      </c>
      <c r="EU23" s="682">
        <f>INPUT!FN415</f>
        <v>32.863609189512339</v>
      </c>
      <c r="EV23" s="670">
        <f>INPUT!FO415</f>
        <v>-3.8268839158523527</v>
      </c>
      <c r="EW23" s="682">
        <f>INPUT!FP415</f>
        <v>33.537483525854725</v>
      </c>
      <c r="EX23" s="670">
        <f>INPUT!FQ415</f>
        <v>2.0505183482933953</v>
      </c>
      <c r="EY23" s="682">
        <f>INPUT!FR415</f>
        <v>34.59397881088249</v>
      </c>
      <c r="EZ23" s="670">
        <f>INPUT!FS415</f>
        <v>3.1501924830266148</v>
      </c>
      <c r="FA23" s="682">
        <f>INPUT!FT415</f>
        <v>32.612789033667269</v>
      </c>
      <c r="FB23" s="670">
        <f>INPUT!FU415</f>
        <v>-5.7269786399706701</v>
      </c>
      <c r="FC23" s="682">
        <f>INPUT!FV415</f>
        <v>16.644150229667666</v>
      </c>
      <c r="FD23" s="670">
        <f>INPUT!FW415</f>
        <v>-48.964345820023695</v>
      </c>
      <c r="FE23" s="682">
        <f>INPUT!FX415</f>
        <v>29.829590699155844</v>
      </c>
      <c r="FF23" s="670">
        <f>INPUT!FY415</f>
        <v>79.219667496064488</v>
      </c>
      <c r="FG23" s="682">
        <f>INPUT!FZ415</f>
        <v>30.623545461840944</v>
      </c>
      <c r="FH23" s="670">
        <f>INPUT!GA415</f>
        <v>2.6616347863853473</v>
      </c>
      <c r="FI23" s="682">
        <f>INPUT!GB415</f>
        <v>27.014297729184182</v>
      </c>
      <c r="FJ23" s="670">
        <f>INPUT!GC415</f>
        <v>-11.785858489684465</v>
      </c>
      <c r="FK23" s="682">
        <f>INPUT!GD415</f>
        <v>30.333047344200931</v>
      </c>
      <c r="FL23" s="670">
        <f>INPUT!GE415</f>
        <v>12.285159689461134</v>
      </c>
      <c r="FM23" s="682">
        <f>INPUT!GF415</f>
        <v>30.819795995466535</v>
      </c>
      <c r="FN23" s="670">
        <f>INPUT!GG415</f>
        <v>1.6046810125678324</v>
      </c>
      <c r="FO23" s="682">
        <f>INPUT!GH415</f>
        <v>31.426161523863083</v>
      </c>
      <c r="FP23" s="670">
        <f>INPUT!GI415</f>
        <v>1.9674547115293706</v>
      </c>
      <c r="FQ23" s="682">
        <f>INPUT!GJ415</f>
        <v>19.499999999999993</v>
      </c>
      <c r="FR23" s="670">
        <f>INPUT!GK415</f>
        <v>-37.949787519570599</v>
      </c>
      <c r="FS23" s="682">
        <f>INPUT!GL415</f>
        <v>19.499999999999993</v>
      </c>
      <c r="FT23" s="670">
        <f>INPUT!GM415</f>
        <v>0</v>
      </c>
      <c r="FU23" s="682">
        <f>INPUT!GN415</f>
        <v>19.499999999999993</v>
      </c>
      <c r="FV23" s="670">
        <f>INPUT!GO415</f>
        <v>0</v>
      </c>
      <c r="FW23" s="682">
        <f>INPUT!GP415</f>
        <v>19.499999999999993</v>
      </c>
      <c r="FX23" s="670">
        <f>INPUT!GQ415</f>
        <v>0</v>
      </c>
      <c r="FY23" s="682">
        <f>INPUT!GR415</f>
        <v>19.499999999999993</v>
      </c>
      <c r="FZ23" s="670">
        <f>INPUT!GS415</f>
        <v>0</v>
      </c>
      <c r="GA23" s="994">
        <f>INPUT!GT415</f>
        <v>-9.1031873703952613</v>
      </c>
    </row>
    <row r="24" spans="1:183" s="708" customFormat="1" ht="12.75" customHeight="1" x14ac:dyDescent="0.2">
      <c r="A24" s="991" t="str">
        <f>INPUT!B416</f>
        <v>Operating Earnings After-Tax</v>
      </c>
      <c r="B24" s="684">
        <f>INPUT!M416</f>
        <v>147</v>
      </c>
      <c r="C24" s="685">
        <f>INPUT!N416</f>
        <v>-19.584245076586427</v>
      </c>
      <c r="D24" s="684">
        <f>INPUT!O416</f>
        <v>149.70000000000002</v>
      </c>
      <c r="E24" s="685">
        <f>INPUT!P416</f>
        <v>2.3239917976760172</v>
      </c>
      <c r="F24" s="684">
        <f>INPUT!Q416</f>
        <v>150.6</v>
      </c>
      <c r="G24" s="685">
        <f>INPUT!R416</f>
        <v>38.165137614678876</v>
      </c>
      <c r="H24" s="684">
        <f>INPUT!S416</f>
        <v>151.29999999999998</v>
      </c>
      <c r="I24" s="685">
        <f>INPUT!T416</f>
        <v>2.2297297297297236</v>
      </c>
      <c r="J24" s="684">
        <f>INPUT!U416</f>
        <v>-193.4000000000006</v>
      </c>
      <c r="K24" s="685" t="str">
        <f>INPUT!V416</f>
        <v>NM</v>
      </c>
      <c r="L24" s="684">
        <f>INPUT!W416</f>
        <v>111.39999999999998</v>
      </c>
      <c r="M24" s="685">
        <f>INPUT!X416</f>
        <v>-25.584502338009372</v>
      </c>
      <c r="N24" s="684">
        <f>INPUT!Y416</f>
        <v>114.80000000000028</v>
      </c>
      <c r="O24" s="685">
        <f>INPUT!Z416</f>
        <v>-23.771580345285336</v>
      </c>
      <c r="P24" s="684">
        <f>INPUT!AA416</f>
        <v>-184.09999999999991</v>
      </c>
      <c r="Q24" s="685" t="str">
        <f>INPUT!AB416</f>
        <v>NM</v>
      </c>
      <c r="R24" s="684">
        <f>INPUT!AC416</f>
        <v>-585.29999999999995</v>
      </c>
      <c r="S24" s="685" t="str">
        <f>INPUT!AD416</f>
        <v>NM</v>
      </c>
      <c r="T24" s="684">
        <f>INPUT!AE416</f>
        <v>130.9000000000002</v>
      </c>
      <c r="U24" s="670">
        <f>INPUT!AF416</f>
        <v>17.504488330341328</v>
      </c>
      <c r="V24" s="684">
        <f>INPUT!AG416</f>
        <v>126.42999999999998</v>
      </c>
      <c r="W24" s="670">
        <f>INPUT!AH416</f>
        <v>10.130662020905646</v>
      </c>
      <c r="X24" s="684">
        <f>INPUT!AI416</f>
        <v>117.07000000000014</v>
      </c>
      <c r="Y24" s="670" t="str">
        <f>INPUT!AJ416</f>
        <v>NM</v>
      </c>
      <c r="Z24" s="684">
        <f>INPUT!AK416</f>
        <v>154.30000000000049</v>
      </c>
      <c r="AA24" s="670" t="str">
        <f>INPUT!AL416</f>
        <v>NM</v>
      </c>
      <c r="AB24" s="684">
        <f>INPUT!AM416</f>
        <v>128.69999999999973</v>
      </c>
      <c r="AC24" s="670">
        <f>INPUT!AN416</f>
        <v>-1.6806722689079234</v>
      </c>
      <c r="AD24" s="684">
        <f>INPUT!AO416</f>
        <v>135.69999999999993</v>
      </c>
      <c r="AE24" s="670">
        <f>INPUT!AP416</f>
        <v>7.3321205410108004</v>
      </c>
      <c r="AF24" s="684">
        <f>INPUT!AQ416</f>
        <v>133.29999999999995</v>
      </c>
      <c r="AG24" s="670">
        <f>INPUT!AR416</f>
        <v>13.863500469804224</v>
      </c>
      <c r="AH24" s="684">
        <f>INPUT!AS416</f>
        <v>133.09999999999985</v>
      </c>
      <c r="AI24" s="670">
        <f>INPUT!AT416</f>
        <v>-13.739468567725588</v>
      </c>
      <c r="AJ24" s="684">
        <f>INPUT!AU416</f>
        <v>140.36999999999972</v>
      </c>
      <c r="AK24" s="670">
        <f>INPUT!AV416</f>
        <v>9.0675990675990867</v>
      </c>
      <c r="AL24" s="684">
        <f>INPUT!AW416</f>
        <v>157.42280000000011</v>
      </c>
      <c r="AM24" s="670">
        <f>INPUT!AX416</f>
        <v>16.007958732498295</v>
      </c>
      <c r="AN24" s="684">
        <f>INPUT!AY416</f>
        <v>179.80000000000013</v>
      </c>
      <c r="AO24" s="670">
        <f>INPUT!AZ416</f>
        <v>34.883720930232712</v>
      </c>
      <c r="AP24" s="684">
        <f>INPUT!BA416</f>
        <v>174.59999999999997</v>
      </c>
      <c r="AQ24" s="670">
        <f>INPUT!BB416</f>
        <v>31.17956423741559</v>
      </c>
      <c r="AR24" s="684">
        <f>INPUT!BC416</f>
        <v>181.5</v>
      </c>
      <c r="AS24" s="670">
        <f>INPUT!BD416</f>
        <v>29.301132720667056</v>
      </c>
      <c r="AT24" s="684">
        <f>INPUT!BE416</f>
        <v>216.89999999999984</v>
      </c>
      <c r="AU24" s="670">
        <f>INPUT!BF416</f>
        <v>37.781820676547298</v>
      </c>
      <c r="AV24" s="684">
        <f>INPUT!BG416</f>
        <v>213.10000000000008</v>
      </c>
      <c r="AW24" s="670">
        <f>INPUT!BH416</f>
        <v>18.52057842046715</v>
      </c>
      <c r="AX24" s="684">
        <f>INPUT!BI416</f>
        <v>207.79999999999998</v>
      </c>
      <c r="AY24" s="670">
        <f>INPUT!BJ416</f>
        <v>19.014891179839655</v>
      </c>
      <c r="AZ24" s="684">
        <f>INPUT!BK416</f>
        <v>223.19999999999976</v>
      </c>
      <c r="BA24" s="670">
        <f>INPUT!BL416</f>
        <v>22.975206611570108</v>
      </c>
      <c r="BB24" s="684">
        <f>INPUT!BM416</f>
        <v>216.89999999999986</v>
      </c>
      <c r="BC24" s="670">
        <f>INPUT!BN416</f>
        <v>2.2204460492503131E-14</v>
      </c>
      <c r="BD24" s="684">
        <f>INPUT!BO416</f>
        <v>209.4000000000002</v>
      </c>
      <c r="BE24" s="670">
        <f>INPUT!BP416</f>
        <v>-1.7362740497418483</v>
      </c>
      <c r="BF24" s="684">
        <f>INPUT!BQ416</f>
        <v>206.69999999999993</v>
      </c>
      <c r="BG24" s="670">
        <f>INPUT!BR416</f>
        <v>-0.52935514918193149</v>
      </c>
      <c r="BH24" s="684">
        <f>INPUT!BS416</f>
        <v>215.80000000000015</v>
      </c>
      <c r="BI24" s="670">
        <f>INPUT!BT416</f>
        <v>-3.3154121863797514</v>
      </c>
      <c r="BJ24" s="684">
        <f>INPUT!BU416</f>
        <v>211.59999999999982</v>
      </c>
      <c r="BK24" s="670">
        <f>INPUT!BV416</f>
        <v>-2.4435223605348333</v>
      </c>
      <c r="BL24" s="684">
        <f>INPUT!BW416</f>
        <v>218.29999999999978</v>
      </c>
      <c r="BM24" s="670">
        <f>INPUT!BX416</f>
        <v>4.2502387774592032</v>
      </c>
      <c r="BN24" s="684">
        <f>INPUT!BY416</f>
        <v>226.60000000000002</v>
      </c>
      <c r="BO24" s="670">
        <f>INPUT!BZ416</f>
        <v>9.6274794388002469</v>
      </c>
      <c r="BP24" s="684">
        <f>INPUT!CA416</f>
        <v>232.49999999999997</v>
      </c>
      <c r="BQ24" s="670">
        <f>INPUT!CB416</f>
        <v>7.7386468952733045</v>
      </c>
      <c r="BR24" s="684">
        <f>INPUT!CC416</f>
        <v>223.3000000000001</v>
      </c>
      <c r="BS24" s="670">
        <f>INPUT!CD416</f>
        <v>5.5293005671078754</v>
      </c>
      <c r="BT24" s="684">
        <f>INPUT!CE416</f>
        <v>212.3000000000003</v>
      </c>
      <c r="BU24" s="670">
        <f>INPUT!CF416</f>
        <v>-2.7485112230872577</v>
      </c>
      <c r="BV24" s="684">
        <f>INPUT!CG416</f>
        <v>219.09999999999988</v>
      </c>
      <c r="BW24" s="670">
        <f>INPUT!CH416</f>
        <v>-3.3097969991174536</v>
      </c>
      <c r="BX24" s="684">
        <f>INPUT!CI416</f>
        <v>235.00000000000014</v>
      </c>
      <c r="BY24" s="670">
        <f>INPUT!CJ416</f>
        <v>1.0752688172043667</v>
      </c>
      <c r="BZ24" s="684">
        <f>INPUT!CK416</f>
        <v>223.10000000000002</v>
      </c>
      <c r="CA24" s="670">
        <f>INPUT!CL416</f>
        <v>-8.9565606807018305E-2</v>
      </c>
      <c r="CB24" s="684">
        <f>INPUT!CM416</f>
        <v>-368.70000000000027</v>
      </c>
      <c r="CC24" s="670" t="str">
        <f>INPUT!CN416</f>
        <v>NM</v>
      </c>
      <c r="CD24" s="684">
        <f>INPUT!CO416</f>
        <v>213.19999999999993</v>
      </c>
      <c r="CE24" s="670">
        <f>INPUT!CP416</f>
        <v>-2.6928343222272666</v>
      </c>
      <c r="CF24" s="684">
        <f>INPUT!CQ416</f>
        <v>225.2999999999999</v>
      </c>
      <c r="CG24" s="670">
        <f>INPUT!CR416</f>
        <v>-4.1276595744681899</v>
      </c>
      <c r="CH24" s="684">
        <f>INPUT!CS416</f>
        <v>224</v>
      </c>
      <c r="CI24" s="670">
        <f>INPUT!CT416</f>
        <v>0.4034065441505863</v>
      </c>
      <c r="CJ24" s="684">
        <f>INPUT!CU416</f>
        <v>224.99999999999994</v>
      </c>
      <c r="CK24" s="670" t="str">
        <f>INPUT!CV416</f>
        <v>NM</v>
      </c>
      <c r="CL24" s="684">
        <f>INPUT!CW416</f>
        <v>212.7000000000001</v>
      </c>
      <c r="CM24" s="670">
        <f>INPUT!CX416</f>
        <v>-0.23452157598491397</v>
      </c>
      <c r="CN24" s="684">
        <f>INPUT!CY416</f>
        <v>215.89999999999992</v>
      </c>
      <c r="CO24" s="670">
        <f>INPUT!CZ416</f>
        <v>-4.1722148246781998</v>
      </c>
      <c r="CP24" s="684">
        <f>INPUT!DA416</f>
        <v>221.60000000000002</v>
      </c>
      <c r="CQ24" s="670">
        <f>INPUT!DB416</f>
        <v>-1.0714285714285565</v>
      </c>
      <c r="CR24" s="684">
        <f>INPUT!DC416</f>
        <v>214.29999999999995</v>
      </c>
      <c r="CS24" s="670">
        <f>INPUT!DD416</f>
        <v>-4.7555555555555458</v>
      </c>
      <c r="CT24" s="684">
        <f>INPUT!DE416</f>
        <v>222.59999999999974</v>
      </c>
      <c r="CU24" s="670">
        <f>INPUT!DF416</f>
        <v>4.6544428772917978</v>
      </c>
      <c r="CV24" s="684">
        <f>INPUT!DG416</f>
        <v>221.3</v>
      </c>
      <c r="CW24" s="670">
        <f>INPUT!DH416</f>
        <v>2.5011579434923936</v>
      </c>
      <c r="CX24" s="684">
        <f>INPUT!DI416</f>
        <v>219.10000000000005</v>
      </c>
      <c r="CY24" s="670">
        <f>INPUT!DJ416</f>
        <v>-1.1281588447653257</v>
      </c>
      <c r="CZ24" s="684">
        <f>INPUT!DK416</f>
        <v>-229.10000000000002</v>
      </c>
      <c r="DA24" s="670" t="str">
        <f>INPUT!DL416</f>
        <v>NM</v>
      </c>
      <c r="DB24" s="684">
        <f>INPUT!DM416</f>
        <v>222.90000000000006</v>
      </c>
      <c r="DC24" s="670">
        <f>INPUT!DN416</f>
        <v>0.13477088948801175</v>
      </c>
      <c r="DD24" s="684">
        <f>INPUT!DO416</f>
        <v>220.59999999999994</v>
      </c>
      <c r="DE24" s="670">
        <f>INPUT!DP416</f>
        <v>-0.31631269769546444</v>
      </c>
      <c r="DF24" s="684">
        <f>INPUT!DQ416</f>
        <v>221.10000000000022</v>
      </c>
      <c r="DG24" s="670">
        <f>INPUT!DR416</f>
        <v>0.91282519397544171</v>
      </c>
      <c r="DH24" s="684">
        <f>INPUT!DS416</f>
        <v>228.59999999999991</v>
      </c>
      <c r="DI24" s="670" t="str">
        <f>INPUT!DT416</f>
        <v>NM</v>
      </c>
      <c r="DJ24" s="684">
        <f>INPUT!DU416</f>
        <v>224.19999999999982</v>
      </c>
      <c r="DK24" s="670">
        <f>INPUT!DV416</f>
        <v>0.58322117541487195</v>
      </c>
      <c r="DL24" s="684">
        <f>INPUT!DW416</f>
        <v>232.99999999999991</v>
      </c>
      <c r="DM24" s="670">
        <f>INPUT!DX416</f>
        <v>5.6210335448775961</v>
      </c>
      <c r="DN24" s="684">
        <f>INPUT!DY416</f>
        <v>228.70000000000019</v>
      </c>
      <c r="DO24" s="670">
        <f>INPUT!DZ416</f>
        <v>3.4373586612392426</v>
      </c>
      <c r="DP24" s="684">
        <f>INPUT!EA416</f>
        <v>229.69999999999996</v>
      </c>
      <c r="DQ24" s="670">
        <f>INPUT!EB416</f>
        <v>0.48118985126861524</v>
      </c>
      <c r="DR24" s="684">
        <f>INPUT!EC416</f>
        <v>236.09999999999974</v>
      </c>
      <c r="DS24" s="670">
        <f>INPUT!ED416</f>
        <v>5.3077609277430549</v>
      </c>
      <c r="DT24" s="684">
        <f>INPUT!EE416</f>
        <v>240.40000000000012</v>
      </c>
      <c r="DU24" s="670">
        <f>INPUT!EF416</f>
        <v>3.1759656652361468</v>
      </c>
      <c r="DV24" s="684">
        <f>INPUT!EG416</f>
        <v>245.49999999999991</v>
      </c>
      <c r="DW24" s="670">
        <f>INPUT!EH416</f>
        <v>7.3458679492784063</v>
      </c>
      <c r="DX24" s="684">
        <f>INPUT!EI416</f>
        <v>253.5999999999998</v>
      </c>
      <c r="DY24" s="670">
        <f>INPUT!EJ416</f>
        <v>10.404875925119651</v>
      </c>
      <c r="DZ24" s="684">
        <f>INPUT!EK416</f>
        <v>282.31763341896846</v>
      </c>
      <c r="EA24" s="670">
        <f>INPUT!EL416</f>
        <v>19.57544829265936</v>
      </c>
      <c r="EB24" s="684">
        <f>INPUT!EM416</f>
        <v>284.18549079101746</v>
      </c>
      <c r="EC24" s="670">
        <f>INPUT!EN416</f>
        <v>18.213598498759275</v>
      </c>
      <c r="ED24" s="684">
        <f>INPUT!EO416</f>
        <v>285.31644884485263</v>
      </c>
      <c r="EE24" s="670">
        <f>INPUT!EP416</f>
        <v>16.218512767760785</v>
      </c>
      <c r="EF24" s="684">
        <f>INPUT!EQ416</f>
        <v>287.17259761097216</v>
      </c>
      <c r="EG24" s="670">
        <f>INPUT!ER416</f>
        <v>13.238405998017511</v>
      </c>
      <c r="EH24" s="686"/>
      <c r="EI24" s="684">
        <f>INPUT!FB416</f>
        <v>-238.10000000000002</v>
      </c>
      <c r="EJ24" s="685" t="str">
        <f>INPUT!FC416</f>
        <v>NA</v>
      </c>
      <c r="EK24" s="684">
        <f>INPUT!FD416</f>
        <v>753.60000000000082</v>
      </c>
      <c r="EL24" s="685" t="str">
        <f>INPUT!FE416</f>
        <v>NM</v>
      </c>
      <c r="EM24" s="684">
        <f>INPUT!FF416</f>
        <v>42.200000000000642</v>
      </c>
      <c r="EN24" s="685" t="str">
        <f>INPUT!FG416</f>
        <v>NM</v>
      </c>
      <c r="EO24" s="684">
        <f>INPUT!FH416</f>
        <v>-57.300000000000182</v>
      </c>
      <c r="EP24" s="670" t="str">
        <f>INPUT!FI416</f>
        <v>NM</v>
      </c>
      <c r="EQ24" s="684">
        <f>INPUT!FJ416</f>
        <v>552.00000000000091</v>
      </c>
      <c r="ER24" s="670" t="str">
        <f>INPUT!FK416</f>
        <v>NM</v>
      </c>
      <c r="ES24" s="684">
        <f>INPUT!FL416</f>
        <v>610.69280000000026</v>
      </c>
      <c r="ET24" s="670">
        <f>INPUT!FM416</f>
        <v>10.632753623188274</v>
      </c>
      <c r="EU24" s="684">
        <f>INPUT!FN416</f>
        <v>786.10000000000014</v>
      </c>
      <c r="EV24" s="670">
        <f>INPUT!FO416</f>
        <v>28.722657283662056</v>
      </c>
      <c r="EW24" s="684">
        <f>INPUT!FP416</f>
        <v>857.29999999999984</v>
      </c>
      <c r="EX24" s="670">
        <f>INPUT!FQ416</f>
        <v>9.0573718356442789</v>
      </c>
      <c r="EY24" s="684">
        <f>INPUT!FR416</f>
        <v>860.54702078521836</v>
      </c>
      <c r="EZ24" s="670">
        <f>INPUT!FS416</f>
        <v>0.37874965417223905</v>
      </c>
      <c r="FA24" s="684">
        <f>INPUT!FT416</f>
        <v>894.69999999999914</v>
      </c>
      <c r="FB24" s="670">
        <f>INPUT!FU416</f>
        <v>3.9687522459397329</v>
      </c>
      <c r="FC24" s="684">
        <f>INPUT!FV416</f>
        <v>308.49999999999977</v>
      </c>
      <c r="FD24" s="670" t="str">
        <f>INPUT!FW416</f>
        <v>NM</v>
      </c>
      <c r="FE24" s="684">
        <f>INPUT!FX416</f>
        <v>881.2</v>
      </c>
      <c r="FF24" s="670" t="str">
        <f>INPUT!FY416</f>
        <v>NM</v>
      </c>
      <c r="FG24" s="684">
        <f>INPUT!FZ416</f>
        <v>864.49999999999989</v>
      </c>
      <c r="FH24" s="670">
        <f>INPUT!GA416</f>
        <v>-1.8951429868361513</v>
      </c>
      <c r="FI24" s="684">
        <f>INPUT!GB416</f>
        <v>433.90000000000003</v>
      </c>
      <c r="FJ24" s="670">
        <f>INPUT!GC416</f>
        <v>-49.809138230190854</v>
      </c>
      <c r="FK24" s="684">
        <f>INPUT!GD416</f>
        <v>893.19999999999959</v>
      </c>
      <c r="FL24" s="670" t="str">
        <f>INPUT!GE416</f>
        <v>NM</v>
      </c>
      <c r="FM24" s="684">
        <f>INPUT!GF416</f>
        <v>915.60000000000116</v>
      </c>
      <c r="FN24" s="670">
        <f>INPUT!GG416</f>
        <v>2.5078369905957798</v>
      </c>
      <c r="FO24" s="684">
        <f>INPUT!GH416</f>
        <v>975.59999999999968</v>
      </c>
      <c r="FP24" s="670">
        <f>INPUT!GI416</f>
        <v>6.5530799475751911</v>
      </c>
      <c r="FQ24" s="684">
        <f>INPUT!GJ416</f>
        <v>1138.992170665811</v>
      </c>
      <c r="FR24" s="670">
        <f>INPUT!GK416</f>
        <v>16.7478649718954</v>
      </c>
      <c r="FS24" s="684">
        <f>INPUT!GL416</f>
        <v>1166.3739290988638</v>
      </c>
      <c r="FT24" s="670">
        <f>INPUT!GM416</f>
        <v>2.4040339466992355</v>
      </c>
      <c r="FU24" s="684">
        <f>INPUT!GN416</f>
        <v>1199.1164197416224</v>
      </c>
      <c r="FV24" s="670">
        <f>INPUT!GO416</f>
        <v>2.8072035756196545</v>
      </c>
      <c r="FW24" s="684">
        <f>INPUT!GP416</f>
        <v>1236.0739147447871</v>
      </c>
      <c r="FX24" s="670">
        <f>INPUT!GQ416</f>
        <v>3.0820606235321124</v>
      </c>
      <c r="FY24" s="684">
        <f>INPUT!GR416</f>
        <v>1268.2485979483392</v>
      </c>
      <c r="FZ24" s="670">
        <f>INPUT!GS416</f>
        <v>2.6029740470815854</v>
      </c>
      <c r="GA24" s="995">
        <f>INPUT!GT416</f>
        <v>5.3868733319542672</v>
      </c>
    </row>
    <row r="25" spans="1:183" s="707" customFormat="1" ht="12.75" hidden="1" customHeight="1" outlineLevel="1" x14ac:dyDescent="0.2">
      <c r="A25" s="997" t="s">
        <v>517</v>
      </c>
      <c r="B25" s="691"/>
      <c r="C25" s="692"/>
      <c r="D25" s="691"/>
      <c r="E25" s="692"/>
      <c r="F25" s="691"/>
      <c r="G25" s="692"/>
      <c r="H25" s="691"/>
      <c r="I25" s="692"/>
      <c r="J25" s="691"/>
      <c r="K25" s="692"/>
      <c r="L25" s="691"/>
      <c r="M25" s="692"/>
      <c r="N25" s="691"/>
      <c r="O25" s="692"/>
      <c r="P25" s="691"/>
      <c r="Q25" s="692"/>
      <c r="R25" s="691"/>
      <c r="S25" s="692"/>
      <c r="T25" s="691"/>
      <c r="U25" s="692"/>
      <c r="V25" s="691"/>
      <c r="W25" s="692"/>
      <c r="X25" s="691"/>
      <c r="Y25" s="692"/>
      <c r="Z25" s="691"/>
      <c r="AA25" s="692"/>
      <c r="AB25" s="691"/>
      <c r="AC25" s="692"/>
      <c r="AD25" s="691"/>
      <c r="AE25" s="692"/>
      <c r="AF25" s="691"/>
      <c r="AG25" s="692"/>
      <c r="AH25" s="691"/>
      <c r="AI25" s="692"/>
      <c r="AJ25" s="691"/>
      <c r="AK25" s="692"/>
      <c r="AL25" s="691"/>
      <c r="AM25" s="692"/>
      <c r="AN25" s="691"/>
      <c r="AO25" s="693"/>
      <c r="AP25" s="691"/>
      <c r="AQ25" s="693"/>
      <c r="AR25" s="691"/>
      <c r="AS25" s="693"/>
      <c r="AT25" s="691"/>
      <c r="AU25" s="693"/>
      <c r="AV25" s="691"/>
      <c r="AW25" s="693"/>
      <c r="AX25" s="691"/>
      <c r="AY25" s="693"/>
      <c r="AZ25" s="691"/>
      <c r="BA25" s="693"/>
      <c r="BB25" s="691"/>
      <c r="BC25" s="693"/>
      <c r="BD25" s="691"/>
      <c r="BE25" s="693"/>
      <c r="BF25" s="691"/>
      <c r="BG25" s="693"/>
      <c r="BH25" s="691"/>
      <c r="BI25" s="693"/>
      <c r="BJ25" s="691"/>
      <c r="BK25" s="693"/>
      <c r="BL25" s="691"/>
      <c r="BM25" s="693"/>
      <c r="BN25" s="691"/>
      <c r="BO25" s="693"/>
      <c r="BP25" s="691"/>
      <c r="BQ25" s="693"/>
      <c r="BR25" s="691"/>
      <c r="BS25" s="693"/>
      <c r="BT25" s="691"/>
      <c r="BU25" s="693"/>
      <c r="BV25" s="694">
        <f>(BV8+BV9+BV10+BV12+BV13+BV14+BV15+BV19-BV22)-BV24</f>
        <v>0</v>
      </c>
      <c r="BW25" s="693"/>
      <c r="BX25" s="694">
        <f>(BX8+BX9+BX10+BX12+BX13+BX14+BX15+BX19-BX22)-BX24</f>
        <v>0</v>
      </c>
      <c r="BY25" s="693"/>
      <c r="BZ25" s="694">
        <f>(BZ8+BZ9+BZ10+BZ12+BZ13+BZ14+BZ15+BZ19-BZ22)-BZ24</f>
        <v>0</v>
      </c>
      <c r="CA25" s="693"/>
      <c r="CB25" s="694">
        <f>(CB8+CB9+CB10+CB12+CB13+CB14+CB15+CB19-CB22)-CB24</f>
        <v>0</v>
      </c>
      <c r="CC25" s="693"/>
      <c r="CD25" s="694">
        <f>(CD8+CD9+CD10+CD12+CD13+CD14+CD15+CD19-CD22)-CD24</f>
        <v>0</v>
      </c>
      <c r="CE25" s="693"/>
      <c r="CF25" s="694">
        <f>(CF8+CF9+CF10+CF12+CF13+CF14+CF15+CF19-CF22)-CF24</f>
        <v>0</v>
      </c>
      <c r="CG25" s="693"/>
      <c r="CH25" s="694">
        <f>(CH8+CH9+CH10+CH12+CH13+CH14+CH15+CH19-CH22)-CH24</f>
        <v>0</v>
      </c>
      <c r="CI25" s="693"/>
      <c r="CJ25" s="694">
        <f>(CJ8+CJ9+CJ10+CJ12+CJ13+CJ14+CJ15+CJ19-CJ22)-CJ24</f>
        <v>0</v>
      </c>
      <c r="CK25" s="693"/>
      <c r="CL25" s="694">
        <f>(CL8+CL9+CL10+CL12+CL13+CL14+CL15+CL19-CL22)-CL24</f>
        <v>0</v>
      </c>
      <c r="CM25" s="693"/>
      <c r="CN25" s="694">
        <f>(CN8+CN9+CN10+CN12+CN13+CN14+CN15+CN19-CN22)-CN24</f>
        <v>0</v>
      </c>
      <c r="CO25" s="693"/>
      <c r="CP25" s="694">
        <f>(CP8+CP9+CP10+CP12+CP13+CP14+CP15+CP19-CP22)-CP24</f>
        <v>0</v>
      </c>
      <c r="CQ25" s="693"/>
      <c r="CR25" s="694">
        <f>(CR8+CR9+CR10+CR12+CR13+CR14+CR15+CR19-CR22)-CR24</f>
        <v>0</v>
      </c>
      <c r="CS25" s="693"/>
      <c r="CT25" s="694">
        <f>(CT8+CT9+CT10+CT12+CT13+CT14+CT15+CT19-CT22)-CT24</f>
        <v>0</v>
      </c>
      <c r="CU25" s="693"/>
      <c r="CV25" s="694">
        <f>(CV8+CV9+CV10+CV12+CV13+CV14+CV15+CV19-CV22)-CV24</f>
        <v>0</v>
      </c>
      <c r="CW25" s="693"/>
      <c r="CX25" s="694">
        <f>(CX8+CX9+CX10+CX12+CX13+CX14+CX15+CX19-CX22)-CX24</f>
        <v>0</v>
      </c>
      <c r="CY25" s="693"/>
      <c r="CZ25" s="694">
        <f>(CZ8+CZ9+CZ10+CZ12+CZ13+CZ14+CZ15+CZ19-CZ22)-CZ24</f>
        <v>0</v>
      </c>
      <c r="DA25" s="693"/>
      <c r="DB25" s="694">
        <f>(DB8+DB9+DB10+DB12+DB13+DB14+DB15+DB19-DB22)-DB24</f>
        <v>0</v>
      </c>
      <c r="DC25" s="693"/>
      <c r="DD25" s="694">
        <f>(DD8+DD9+DD10+DD12+DD13+DD14+DD15+DD19-DD22)-DD24</f>
        <v>0</v>
      </c>
      <c r="DE25" s="693"/>
      <c r="DF25" s="694">
        <f>(DF8+DF9+DF10+DF12+DF13+DF14+DF15+DF19-DF22)-DF24</f>
        <v>0</v>
      </c>
      <c r="DG25" s="693"/>
      <c r="DH25" s="694">
        <f>(DH8+DH9+DH10+DH12+DH13+DH14+DH15+DH19-DH22)-DH24</f>
        <v>0</v>
      </c>
      <c r="DI25" s="693"/>
      <c r="DJ25" s="694">
        <f>(DJ8+DJ9+DJ10+DJ12+DJ13+DJ14+DJ15+DJ19-DJ22)-DJ24</f>
        <v>0</v>
      </c>
      <c r="DK25" s="693"/>
      <c r="DL25" s="694">
        <f>(DL8+DL9+DL10+DL12+DL13+DL14+DL15+DL19-DL22)-DL24</f>
        <v>0</v>
      </c>
      <c r="DM25" s="693"/>
      <c r="DN25" s="694">
        <f>(DN8+DN9+DN10+DN12+DN13+DN14+DN15+DN19-DN22)-DN24</f>
        <v>0</v>
      </c>
      <c r="DO25" s="693"/>
      <c r="DP25" s="694">
        <f>(DP8+DP9+DP10+DP12+DP13+DP14+DP15+DP19-DP22)-DP24</f>
        <v>0</v>
      </c>
      <c r="DQ25" s="693"/>
      <c r="DR25" s="694">
        <f t="shared" ref="DR25" si="0">(DR8+DR9+DR10+DR12+DR13+DR14+DR15+DR19-DR22)-DR24</f>
        <v>0</v>
      </c>
      <c r="DS25" s="693"/>
      <c r="DT25" s="694">
        <f t="shared" ref="DT25" si="1">(DT8+DT9+DT10+DT12+DT13+DT14+DT15+DT19-DT22)-DT24</f>
        <v>0</v>
      </c>
      <c r="DU25" s="693"/>
      <c r="DV25" s="694">
        <f t="shared" ref="DV25" si="2">(DV8+DV9+DV10+DV12+DV13+DV14+DV15+DV19-DV22)-DV24</f>
        <v>0</v>
      </c>
      <c r="DW25" s="693"/>
      <c r="DX25" s="694">
        <f t="shared" ref="DX25" si="3">(DX8+DX9+DX10+DX12+DX13+DX14+DX15+DX19-DX22)-DX24</f>
        <v>0</v>
      </c>
      <c r="DY25" s="693"/>
      <c r="DZ25" s="694">
        <f t="shared" ref="DZ25" si="4">(DZ8+DZ9+DZ10+DZ12+DZ13+DZ14+DZ15+DZ19-DZ22)-DZ24</f>
        <v>0</v>
      </c>
      <c r="EA25" s="693"/>
      <c r="EB25" s="694">
        <f t="shared" ref="EB25" si="5">(EB8+EB9+EB10+EB12+EB13+EB14+EB15+EB19-EB22)-EB24</f>
        <v>0</v>
      </c>
      <c r="EC25" s="693"/>
      <c r="ED25" s="694">
        <f t="shared" ref="ED25" si="6">(ED8+ED9+ED10+ED12+ED13+ED14+ED15+ED19-ED22)-ED24</f>
        <v>0</v>
      </c>
      <c r="EE25" s="693"/>
      <c r="EF25" s="694">
        <f t="shared" ref="EF25" si="7">(EF8+EF9+EF10+EF12+EF13+EF14+EF15+EF19-EF22)-EF24</f>
        <v>0</v>
      </c>
      <c r="EG25" s="693"/>
      <c r="EH25" s="693"/>
      <c r="EI25" s="691"/>
      <c r="EJ25" s="692"/>
      <c r="EK25" s="691"/>
      <c r="EL25" s="692"/>
      <c r="EM25" s="691"/>
      <c r="EN25" s="692"/>
      <c r="EO25" s="691"/>
      <c r="EP25" s="692"/>
      <c r="EQ25" s="691"/>
      <c r="ER25" s="693"/>
      <c r="ES25" s="691"/>
      <c r="ET25" s="693"/>
      <c r="EU25" s="691"/>
      <c r="EV25" s="693"/>
      <c r="EW25" s="691"/>
      <c r="EX25" s="693"/>
      <c r="EY25" s="691"/>
      <c r="EZ25" s="693"/>
      <c r="FA25" s="694">
        <f>(FA8+FA9+FA10+FA12+FA13+FA14+FA15+FA19-FA22)-FA24</f>
        <v>0</v>
      </c>
      <c r="FB25" s="693"/>
      <c r="FC25" s="694">
        <f>(FC8+FC9+FC10+FC12+FC13+FC14+FC15+FC19-FC22)-FC24</f>
        <v>0</v>
      </c>
      <c r="FD25" s="693"/>
      <c r="FE25" s="694">
        <f>(FE8+FE9+FE10+FE12+FE13+FE14+FE15+FE19-FE22)-FE24</f>
        <v>0</v>
      </c>
      <c r="FF25" s="693"/>
      <c r="FG25" s="694">
        <f>(FG8+FG9+FG10+FG12+FG13+FG14+FG15+FG19-FG22)-FG24</f>
        <v>0</v>
      </c>
      <c r="FH25" s="693"/>
      <c r="FI25" s="694">
        <f>(FI8+FI9+FI10+FI12+FI13+FI14+FI15+FI19-FI22)-FI24</f>
        <v>0</v>
      </c>
      <c r="FJ25" s="693"/>
      <c r="FK25" s="694">
        <f>(FK8+FK9+FK10+FK12+FK13+FK14+FK15+FK19-FK22)-FK24</f>
        <v>0</v>
      </c>
      <c r="FL25" s="693"/>
      <c r="FM25" s="694">
        <f>(FM8+FM9+FM10+FM12+FM13+FM14+FM15+FM19-FM22)-FM24</f>
        <v>0</v>
      </c>
      <c r="FN25" s="693"/>
      <c r="FO25" s="694">
        <f>(FO8+FO9+FO10+FO12+FO13+FO14+FO15+FO19-FO22)-FO24</f>
        <v>0</v>
      </c>
      <c r="FP25" s="693"/>
      <c r="FQ25" s="694">
        <f>(FQ8+FQ9+FQ10+FQ12+FQ13+FQ14+FQ15+FQ19-FQ22)-FQ24</f>
        <v>0</v>
      </c>
      <c r="FR25" s="693"/>
      <c r="FS25" s="694">
        <f>(FS8+FS9+FS10+FS12+FS13+FS14+FS15+FS19-FS22)-FS24</f>
        <v>0</v>
      </c>
      <c r="FT25" s="693"/>
      <c r="FU25" s="694">
        <f>(FU8+FU9+FU10+FU12+FU13+FU14+FU15+FU19-FU22)-FU24</f>
        <v>0</v>
      </c>
      <c r="FV25" s="693"/>
      <c r="FW25" s="694">
        <f>(FW8+FW9+FW10+FW12+FW13+FW14+FW15+FW19-FW22)-FW24</f>
        <v>0</v>
      </c>
      <c r="FX25" s="693"/>
      <c r="FY25" s="694">
        <f>(FY8+FY9+FY10+FY12+FY13+FY14+FY15+FY19-FY22)-FY24</f>
        <v>0</v>
      </c>
      <c r="FZ25" s="693"/>
      <c r="GA25" s="998"/>
    </row>
    <row r="26" spans="1:183" s="707" customFormat="1" ht="3.75" customHeight="1" collapsed="1" x14ac:dyDescent="0.2">
      <c r="A26" s="993"/>
      <c r="B26" s="669"/>
      <c r="C26" s="671"/>
      <c r="D26" s="669"/>
      <c r="E26" s="671"/>
      <c r="F26" s="669"/>
      <c r="G26" s="671"/>
      <c r="H26" s="669"/>
      <c r="I26" s="671"/>
      <c r="J26" s="669"/>
      <c r="K26" s="671"/>
      <c r="L26" s="669"/>
      <c r="M26" s="671"/>
      <c r="N26" s="669"/>
      <c r="O26" s="671"/>
      <c r="P26" s="669"/>
      <c r="Q26" s="671"/>
      <c r="R26" s="669"/>
      <c r="S26" s="671"/>
      <c r="T26" s="669"/>
      <c r="U26" s="671"/>
      <c r="V26" s="669"/>
      <c r="W26" s="671"/>
      <c r="X26" s="669"/>
      <c r="Y26" s="671"/>
      <c r="Z26" s="669"/>
      <c r="AA26" s="671"/>
      <c r="AB26" s="669"/>
      <c r="AC26" s="671"/>
      <c r="AD26" s="669"/>
      <c r="AE26" s="671"/>
      <c r="AF26" s="669"/>
      <c r="AG26" s="671"/>
      <c r="AH26" s="669"/>
      <c r="AI26" s="671"/>
      <c r="AJ26" s="669"/>
      <c r="AK26" s="671"/>
      <c r="AL26" s="669"/>
      <c r="AM26" s="671"/>
      <c r="AN26" s="669"/>
      <c r="AO26" s="670"/>
      <c r="AP26" s="669"/>
      <c r="AQ26" s="670"/>
      <c r="AR26" s="669"/>
      <c r="AS26" s="670"/>
      <c r="AT26" s="669"/>
      <c r="AU26" s="670"/>
      <c r="AV26" s="669"/>
      <c r="AW26" s="670"/>
      <c r="AX26" s="669"/>
      <c r="AY26" s="670"/>
      <c r="AZ26" s="669"/>
      <c r="BA26" s="670"/>
      <c r="BB26" s="669"/>
      <c r="BC26" s="670"/>
      <c r="BD26" s="669"/>
      <c r="BE26" s="670"/>
      <c r="BF26" s="669"/>
      <c r="BG26" s="670"/>
      <c r="BH26" s="669"/>
      <c r="BI26" s="670"/>
      <c r="BJ26" s="669"/>
      <c r="BK26" s="670"/>
      <c r="BL26" s="669"/>
      <c r="BM26" s="670"/>
      <c r="BN26" s="669"/>
      <c r="BO26" s="670"/>
      <c r="BP26" s="669"/>
      <c r="BQ26" s="670"/>
      <c r="BR26" s="669"/>
      <c r="BS26" s="670"/>
      <c r="BT26" s="669"/>
      <c r="BU26" s="670"/>
      <c r="BV26" s="669"/>
      <c r="BW26" s="670"/>
      <c r="BX26" s="669"/>
      <c r="BY26" s="670"/>
      <c r="BZ26" s="669"/>
      <c r="CA26" s="670"/>
      <c r="CB26" s="669"/>
      <c r="CC26" s="670"/>
      <c r="CD26" s="669"/>
      <c r="CE26" s="670"/>
      <c r="CF26" s="669"/>
      <c r="CG26" s="670"/>
      <c r="CH26" s="669"/>
      <c r="CI26" s="670"/>
      <c r="CJ26" s="669"/>
      <c r="CK26" s="670"/>
      <c r="CL26" s="669"/>
      <c r="CM26" s="670"/>
      <c r="CN26" s="669"/>
      <c r="CO26" s="670"/>
      <c r="CP26" s="669"/>
      <c r="CQ26" s="670"/>
      <c r="CR26" s="669"/>
      <c r="CS26" s="670"/>
      <c r="CT26" s="669"/>
      <c r="CU26" s="670"/>
      <c r="CV26" s="669"/>
      <c r="CW26" s="670"/>
      <c r="CX26" s="669"/>
      <c r="CY26" s="670"/>
      <c r="CZ26" s="669"/>
      <c r="DA26" s="670"/>
      <c r="DB26" s="669"/>
      <c r="DC26" s="670"/>
      <c r="DD26" s="669"/>
      <c r="DE26" s="670"/>
      <c r="DF26" s="669"/>
      <c r="DG26" s="670"/>
      <c r="DH26" s="669"/>
      <c r="DI26" s="670"/>
      <c r="DJ26" s="669"/>
      <c r="DK26" s="670"/>
      <c r="DL26" s="669"/>
      <c r="DM26" s="670"/>
      <c r="DN26" s="669"/>
      <c r="DO26" s="670"/>
      <c r="DP26" s="669"/>
      <c r="DQ26" s="670"/>
      <c r="DR26" s="669"/>
      <c r="DS26" s="670"/>
      <c r="DT26" s="669"/>
      <c r="DU26" s="670"/>
      <c r="DV26" s="669"/>
      <c r="DW26" s="670"/>
      <c r="DX26" s="669"/>
      <c r="DY26" s="670"/>
      <c r="DZ26" s="669"/>
      <c r="EA26" s="670"/>
      <c r="EB26" s="669"/>
      <c r="EC26" s="670"/>
      <c r="ED26" s="669"/>
      <c r="EE26" s="670"/>
      <c r="EF26" s="669"/>
      <c r="EG26" s="670"/>
      <c r="EH26" s="670"/>
      <c r="EI26" s="669"/>
      <c r="EJ26" s="671"/>
      <c r="EK26" s="669"/>
      <c r="EL26" s="671"/>
      <c r="EM26" s="669"/>
      <c r="EN26" s="671"/>
      <c r="EO26" s="669"/>
      <c r="EP26" s="671"/>
      <c r="EQ26" s="669"/>
      <c r="ER26" s="670"/>
      <c r="ES26" s="669"/>
      <c r="ET26" s="670"/>
      <c r="EU26" s="669"/>
      <c r="EV26" s="670"/>
      <c r="EW26" s="669"/>
      <c r="EX26" s="670"/>
      <c r="EY26" s="669"/>
      <c r="EZ26" s="670"/>
      <c r="FA26" s="669"/>
      <c r="FB26" s="670"/>
      <c r="FC26" s="669"/>
      <c r="FD26" s="670"/>
      <c r="FE26" s="669"/>
      <c r="FF26" s="670"/>
      <c r="FG26" s="669"/>
      <c r="FH26" s="670"/>
      <c r="FI26" s="669"/>
      <c r="FJ26" s="670"/>
      <c r="FK26" s="669"/>
      <c r="FL26" s="670"/>
      <c r="FM26" s="669"/>
      <c r="FN26" s="670"/>
      <c r="FO26" s="669"/>
      <c r="FP26" s="670"/>
      <c r="FQ26" s="669"/>
      <c r="FR26" s="670"/>
      <c r="FS26" s="669"/>
      <c r="FT26" s="670"/>
      <c r="FU26" s="669"/>
      <c r="FV26" s="670"/>
      <c r="FW26" s="669"/>
      <c r="FX26" s="670"/>
      <c r="FY26" s="669"/>
      <c r="FZ26" s="670"/>
      <c r="GA26" s="988"/>
    </row>
    <row r="27" spans="1:183" s="707" customFormat="1" ht="12.75" customHeight="1" x14ac:dyDescent="0.2">
      <c r="A27" s="993" t="str">
        <f>INPUT!B485</f>
        <v>Average Shares  (Diluted)</v>
      </c>
      <c r="B27" s="669">
        <f>INPUT!M485</f>
        <v>244.11956900000001</v>
      </c>
      <c r="C27" s="681">
        <f>INPUT!N485</f>
        <v>0.37761614352547213</v>
      </c>
      <c r="D27" s="669">
        <f>INPUT!O485</f>
        <v>243.77292399999999</v>
      </c>
      <c r="E27" s="671">
        <f>INPUT!P485</f>
        <v>-9.6746843287487394E-2</v>
      </c>
      <c r="F27" s="669">
        <f>INPUT!Q485</f>
        <v>242.27658400000001</v>
      </c>
      <c r="G27" s="671">
        <f>INPUT!R485</f>
        <v>-0.61880474436467603</v>
      </c>
      <c r="H27" s="669">
        <f>INPUT!S485</f>
        <v>242.12915100000001</v>
      </c>
      <c r="I27" s="671">
        <f>INPUT!T485</f>
        <v>-0.55099329464167734</v>
      </c>
      <c r="J27" s="669">
        <f>INPUT!U485</f>
        <v>241.61937900000001</v>
      </c>
      <c r="K27" s="671">
        <f>INPUT!V485</f>
        <v>-1.0241661535950075</v>
      </c>
      <c r="L27" s="669">
        <f>INPUT!W485</f>
        <v>273.77362299999999</v>
      </c>
      <c r="M27" s="671">
        <f>INPUT!X485</f>
        <v>12.306821655057965</v>
      </c>
      <c r="N27" s="669">
        <f>INPUT!Y485</f>
        <v>298.70733799999999</v>
      </c>
      <c r="O27" s="671">
        <f>INPUT!Z485</f>
        <v>23.291872895153574</v>
      </c>
      <c r="P27" s="669">
        <f>INPUT!AA485</f>
        <v>294.82240899999999</v>
      </c>
      <c r="Q27" s="671">
        <f>INPUT!AB485</f>
        <v>21.762459324858408</v>
      </c>
      <c r="R27" s="669">
        <f>INPUT!AC485</f>
        <v>294.98977100000002</v>
      </c>
      <c r="S27" s="671">
        <f>INPUT!AD485</f>
        <v>22.088622287204874</v>
      </c>
      <c r="T27" s="669">
        <f>INPUT!AE485</f>
        <v>301.47820400000001</v>
      </c>
      <c r="U27" s="671">
        <f>INPUT!AF485</f>
        <v>10.119521631198204</v>
      </c>
      <c r="V27" s="669">
        <f>INPUT!AG485</f>
        <v>303.62857600000001</v>
      </c>
      <c r="W27" s="671">
        <f>INPUT!AH485</f>
        <v>1.6475115854033717</v>
      </c>
      <c r="X27" s="669">
        <f>INPUT!AI485</f>
        <v>302.24800099999999</v>
      </c>
      <c r="Y27" s="671">
        <f>INPUT!AJ485</f>
        <v>2.5186660760240898</v>
      </c>
      <c r="Z27" s="669">
        <f>INPUT!AK485</f>
        <v>307.61085200000002</v>
      </c>
      <c r="AA27" s="671">
        <f>INPUT!AL485</f>
        <v>4.2784808968850729</v>
      </c>
      <c r="AB27" s="669">
        <f>INPUT!AM485</f>
        <v>309.108296</v>
      </c>
      <c r="AC27" s="671">
        <f>INPUT!AN485</f>
        <v>2.5308934107886483</v>
      </c>
      <c r="AD27" s="669">
        <f>INPUT!AO485</f>
        <v>314.64812799999999</v>
      </c>
      <c r="AE27" s="671">
        <f>INPUT!AP485</f>
        <v>3.6292868560566571</v>
      </c>
      <c r="AF27" s="669">
        <f>INPUT!AQ485</f>
        <v>318.68142699999999</v>
      </c>
      <c r="AG27" s="671">
        <f>INPUT!AR485</f>
        <v>5.4370668939510924</v>
      </c>
      <c r="AH27" s="669">
        <f>INPUT!AS485</f>
        <v>319.63683300000002</v>
      </c>
      <c r="AI27" s="671">
        <f>INPUT!AT485</f>
        <v>3.9094787852282931</v>
      </c>
      <c r="AJ27" s="669">
        <f>INPUT!AU485</f>
        <v>329.90497599999998</v>
      </c>
      <c r="AK27" s="671">
        <f>INPUT!AV485</f>
        <v>6.727959187481658</v>
      </c>
      <c r="AL27" s="669">
        <f>INPUT!AW485</f>
        <v>340.727665</v>
      </c>
      <c r="AM27" s="671">
        <f>INPUT!AX485</f>
        <v>8.2884767711060459</v>
      </c>
      <c r="AN27" s="669">
        <f>INPUT!AY485</f>
        <v>345.52784500000001</v>
      </c>
      <c r="AO27" s="670">
        <f>INPUT!AZ485</f>
        <v>8.4242179573270413</v>
      </c>
      <c r="AP27" s="669">
        <f>INPUT!BA485</f>
        <v>346.38025900000002</v>
      </c>
      <c r="AQ27" s="670">
        <f>INPUT!BB485</f>
        <v>8.3668160984438309</v>
      </c>
      <c r="AR27" s="669">
        <f>INPUT!BC485</f>
        <v>354.83735000000001</v>
      </c>
      <c r="AS27" s="670">
        <f>INPUT!BD485</f>
        <v>7.5574410250786928</v>
      </c>
      <c r="AT27" s="669">
        <f>INPUT!BE485</f>
        <v>360.90630199999998</v>
      </c>
      <c r="AU27" s="670">
        <f>INPUT!BF485</f>
        <v>5.9222185553967188</v>
      </c>
      <c r="AV27" s="669">
        <f>INPUT!BG485</f>
        <v>360.70761700000003</v>
      </c>
      <c r="AW27" s="670">
        <f>INPUT!BH485</f>
        <v>4.393212361799681</v>
      </c>
      <c r="AX27" s="669">
        <f>INPUT!BI485</f>
        <v>351.46582100000001</v>
      </c>
      <c r="AY27" s="670">
        <f>INPUT!BJ485</f>
        <v>1.468202031686805</v>
      </c>
      <c r="AZ27" s="669">
        <f>INPUT!BK485</f>
        <v>346.03541999999999</v>
      </c>
      <c r="BA27" s="670">
        <f>INPUT!BL485</f>
        <v>-2.4805534141205898</v>
      </c>
      <c r="BB27" s="669">
        <f>INPUT!BM485</f>
        <v>337.91277000000002</v>
      </c>
      <c r="BC27" s="670">
        <f>INPUT!BN485</f>
        <v>-6.3710530607470446</v>
      </c>
      <c r="BD27" s="669">
        <f>INPUT!BO485</f>
        <v>330.981471</v>
      </c>
      <c r="BE27" s="670">
        <f>INPUT!BP485</f>
        <v>-8.2410641192531386</v>
      </c>
      <c r="BF27" s="669">
        <f>INPUT!BQ485</f>
        <v>330.96451400000001</v>
      </c>
      <c r="BG27" s="670">
        <f>INPUT!BR485</f>
        <v>-5.8330869675091375</v>
      </c>
      <c r="BH27" s="669">
        <f>INPUT!BS485</f>
        <v>331.95522499999998</v>
      </c>
      <c r="BI27" s="670">
        <f>INPUT!BT485</f>
        <v>-4.0690039765293395</v>
      </c>
      <c r="BJ27" s="669">
        <f>INPUT!BU485</f>
        <v>332.62214799999998</v>
      </c>
      <c r="BK27" s="670">
        <f>INPUT!BV485</f>
        <v>-1.5656768461280834</v>
      </c>
      <c r="BL27" s="669">
        <f>INPUT!BW485</f>
        <v>332.99847999999997</v>
      </c>
      <c r="BM27" s="670">
        <f>INPUT!BX485</f>
        <v>0.60940239159188447</v>
      </c>
      <c r="BN27" s="669">
        <f>INPUT!BY485</f>
        <v>333.52470799999998</v>
      </c>
      <c r="BO27" s="670">
        <f>INPUT!BZ485</f>
        <v>0.773555439239626</v>
      </c>
      <c r="BP27" s="669">
        <f>INPUT!CA485</f>
        <v>333.07749000000001</v>
      </c>
      <c r="BQ27" s="670">
        <f>INPUT!CB485</f>
        <v>0.3380772211071692</v>
      </c>
      <c r="BR27" s="669">
        <f>INPUT!CC485</f>
        <v>324.46697999999998</v>
      </c>
      <c r="BS27" s="670">
        <f>INPUT!CD485</f>
        <v>-2.4517814129442761</v>
      </c>
      <c r="BT27" s="669">
        <f>INPUT!CE485</f>
        <v>318.46294</v>
      </c>
      <c r="BU27" s="670">
        <f>INPUT!CF485</f>
        <v>-4.3650469515656543</v>
      </c>
      <c r="BV27" s="669">
        <f>INPUT!CG485</f>
        <v>314.33231699999999</v>
      </c>
      <c r="BW27" s="670">
        <f>INPUT!CH485</f>
        <v>-5.7544135530732561</v>
      </c>
      <c r="BX27" s="669">
        <f>INPUT!CI485</f>
        <v>307.41096399999998</v>
      </c>
      <c r="BY27" s="670">
        <f>INPUT!CJ485</f>
        <v>-7.7058722881573338</v>
      </c>
      <c r="BZ27" s="669">
        <f>INPUT!CK485</f>
        <v>299.17290000000003</v>
      </c>
      <c r="CA27" s="670">
        <f>INPUT!CL485</f>
        <v>-7.7955790755657066</v>
      </c>
      <c r="CB27" s="669">
        <f>INPUT!CM485</f>
        <v>303.571033</v>
      </c>
      <c r="CC27" s="670">
        <f>INPUT!CN485</f>
        <v>-4.6761821014401299</v>
      </c>
      <c r="CD27" s="669">
        <f>INPUT!CO485</f>
        <v>291.28403600000001</v>
      </c>
      <c r="CE27" s="670">
        <f>INPUT!CP485</f>
        <v>-7.3324566878689605</v>
      </c>
      <c r="CF27" s="669">
        <f>INPUT!CQ485</f>
        <v>283.74063200000001</v>
      </c>
      <c r="CG27" s="670">
        <f>INPUT!CR485</f>
        <v>-7.6998984330305049</v>
      </c>
      <c r="CH27" s="669">
        <f>INPUT!CS485</f>
        <v>278.51103899999998</v>
      </c>
      <c r="CI27" s="670">
        <f>INPUT!CT485</f>
        <v>-6.9063277455946199</v>
      </c>
      <c r="CJ27" s="669">
        <f>INPUT!CU485</f>
        <v>273.60000000000002</v>
      </c>
      <c r="CK27" s="670">
        <f>INPUT!CV485</f>
        <v>-9.8728237354583133</v>
      </c>
      <c r="CL27" s="669">
        <f>INPUT!CW485</f>
        <v>270.35439500000001</v>
      </c>
      <c r="CM27" s="670">
        <f>INPUT!CX485</f>
        <v>-7.1853031451404314</v>
      </c>
      <c r="CN27" s="669">
        <f>INPUT!CY485</f>
        <v>266.73630200000002</v>
      </c>
      <c r="CO27" s="670">
        <f>INPUT!CZ485</f>
        <v>-5.9929132744019453</v>
      </c>
      <c r="CP27" s="669">
        <f>INPUT!DA485</f>
        <v>264.26004499999999</v>
      </c>
      <c r="CQ27" s="670">
        <f>INPUT!DB485</f>
        <v>-5.1168506825325473</v>
      </c>
      <c r="CR27" s="669">
        <f>INPUT!DC485</f>
        <v>262.60000000000002</v>
      </c>
      <c r="CS27" s="670">
        <f>INPUT!DD485</f>
        <v>-4.0204678362573132</v>
      </c>
      <c r="CT27" s="669">
        <f>INPUT!DE485</f>
        <v>260.7</v>
      </c>
      <c r="CU27" s="670">
        <f>INPUT!DF485</f>
        <v>-3.5710146306295543</v>
      </c>
      <c r="CV27" s="669">
        <f>INPUT!DG485</f>
        <v>257.89999999999998</v>
      </c>
      <c r="CW27" s="670">
        <f>INPUT!DH485</f>
        <v>-3.3127481837849193</v>
      </c>
      <c r="CX27" s="669">
        <f>INPUT!DI485</f>
        <v>254.8</v>
      </c>
      <c r="CY27" s="670">
        <f>INPUT!DJ485</f>
        <v>-3.5798241841667688</v>
      </c>
      <c r="CZ27" s="669">
        <f>INPUT!DK485</f>
        <v>252.4</v>
      </c>
      <c r="DA27" s="670">
        <f>INPUT!DL485</f>
        <v>-3.8842345773038911</v>
      </c>
      <c r="DB27" s="669">
        <f>INPUT!DM485</f>
        <v>252.2</v>
      </c>
      <c r="DC27" s="670">
        <f>INPUT!DN485</f>
        <v>-3.2604526275412327</v>
      </c>
      <c r="DD27" s="669">
        <f>INPUT!DO485</f>
        <v>249.3</v>
      </c>
      <c r="DE27" s="670">
        <f>INPUT!DP485</f>
        <v>-3.3346258239627669</v>
      </c>
      <c r="DF27" s="669">
        <f>INPUT!DQ485</f>
        <v>246.3</v>
      </c>
      <c r="DG27" s="670">
        <f>INPUT!DR485</f>
        <v>-3.3359497645211955</v>
      </c>
      <c r="DH27" s="669">
        <f>INPUT!DS485</f>
        <v>243.8</v>
      </c>
      <c r="DI27" s="670">
        <f>INPUT!DT485</f>
        <v>-3.4072900158478636</v>
      </c>
      <c r="DJ27" s="669">
        <f>INPUT!DU485</f>
        <v>239.7</v>
      </c>
      <c r="DK27" s="670">
        <f>INPUT!DV485</f>
        <v>-4.9563838223632084</v>
      </c>
      <c r="DL27" s="669">
        <f>INPUT!DW485</f>
        <v>237.3</v>
      </c>
      <c r="DM27" s="670">
        <f>INPUT!DX485</f>
        <v>-4.8134777376654618</v>
      </c>
      <c r="DN27" s="669">
        <f>INPUT!DY485</f>
        <v>234.2</v>
      </c>
      <c r="DO27" s="670">
        <f>INPUT!DZ485</f>
        <v>-4.9127080795777545</v>
      </c>
      <c r="DP27" s="669">
        <f>INPUT!EA485</f>
        <v>232.4</v>
      </c>
      <c r="DQ27" s="670">
        <f>INPUT!EB485</f>
        <v>-4.6759639048400299</v>
      </c>
      <c r="DR27" s="669">
        <f>INPUT!EC485</f>
        <v>230.4</v>
      </c>
      <c r="DS27" s="670">
        <f>INPUT!ED485</f>
        <v>-3.8798498122653235</v>
      </c>
      <c r="DT27" s="669">
        <f>INPUT!EE485</f>
        <v>228.2</v>
      </c>
      <c r="DU27" s="670">
        <f>INPUT!EF485</f>
        <v>-3.8348082595870303</v>
      </c>
      <c r="DV27" s="669">
        <f>INPUT!EG485</f>
        <v>226</v>
      </c>
      <c r="DW27" s="670">
        <f>INPUT!EH485</f>
        <v>-3.5012809564474723</v>
      </c>
      <c r="DX27" s="669">
        <f>INPUT!EI485</f>
        <v>224.8</v>
      </c>
      <c r="DY27" s="670">
        <f>INPUT!EJ485</f>
        <v>-3.2702237521514577</v>
      </c>
      <c r="DZ27" s="669">
        <f>INPUT!EK485</f>
        <v>221.9430502062454</v>
      </c>
      <c r="EA27" s="670">
        <f>INPUT!EL485</f>
        <v>-3.6705511257615453</v>
      </c>
      <c r="EB27" s="669">
        <f>INPUT!EM485</f>
        <v>220.04384790254787</v>
      </c>
      <c r="EC27" s="670">
        <f>INPUT!EN485</f>
        <v>-3.574124494939579</v>
      </c>
      <c r="ED27" s="669">
        <f>INPUT!EO485</f>
        <v>218.17328195838689</v>
      </c>
      <c r="EE27" s="670">
        <f>INPUT!EP485</f>
        <v>-3.4631495759349984</v>
      </c>
      <c r="EF27" s="669">
        <f>INPUT!EQ485</f>
        <v>216.33045439658284</v>
      </c>
      <c r="EG27" s="670">
        <f>INPUT!ER485</f>
        <v>-3.7675914605948324</v>
      </c>
      <c r="EH27" s="670"/>
      <c r="EI27" s="669">
        <f>INPUT!FB485</f>
        <v>243.61649824999998</v>
      </c>
      <c r="EJ27" s="671" t="str">
        <f>INPUT!FC485</f>
        <v>NA</v>
      </c>
      <c r="EK27" s="669">
        <f>INPUT!FD485</f>
        <v>243.074557</v>
      </c>
      <c r="EL27" s="671">
        <f>INPUT!FE485</f>
        <v>-0.22245671122151922</v>
      </c>
      <c r="EM27" s="669">
        <f>INPUT!FF485</f>
        <v>276.13217600000002</v>
      </c>
      <c r="EN27" s="671">
        <f>INPUT!FG485</f>
        <v>13.599785764496941</v>
      </c>
      <c r="EO27" s="669">
        <f>INPUT!FH485</f>
        <v>295.22430500000002</v>
      </c>
      <c r="EP27" s="671">
        <f>INPUT!FI485</f>
        <v>6.9141268781367948</v>
      </c>
      <c r="EQ27" s="669">
        <f>INPUT!FJ485</f>
        <v>312.51217574999998</v>
      </c>
      <c r="ER27" s="670">
        <f>INPUT!FK485</f>
        <v>5.8558426447984813</v>
      </c>
      <c r="ES27" s="669">
        <f>INPUT!FL485</f>
        <v>333.94932975</v>
      </c>
      <c r="ET27" s="670">
        <f>INPUT!FM485</f>
        <v>6.8596220126633023</v>
      </c>
      <c r="EU27" s="669">
        <f>INPUT!FN485</f>
        <v>355.70788200000004</v>
      </c>
      <c r="EV27" s="670">
        <f>INPUT!FO485</f>
        <v>6.515525054740734</v>
      </c>
      <c r="EW27" s="669">
        <f>INPUT!FP485</f>
        <v>341.59887049999998</v>
      </c>
      <c r="EX27" s="670">
        <f>INPUT!FQ485</f>
        <v>-3.9664601809414113</v>
      </c>
      <c r="EY27" s="669">
        <f>INPUT!FR485</f>
        <v>332.13509174999996</v>
      </c>
      <c r="EZ27" s="670">
        <f>INPUT!FS485</f>
        <v>-2.770436194987369</v>
      </c>
      <c r="FA27" s="669">
        <f>INPUT!FT485</f>
        <v>327.38302949999996</v>
      </c>
      <c r="FB27" s="670">
        <f>INPUT!FU485</f>
        <v>-1.4307618701058233</v>
      </c>
      <c r="FC27" s="669">
        <f>INPUT!FV485</f>
        <v>306.1218035</v>
      </c>
      <c r="FD27" s="670">
        <f>INPUT!FW485</f>
        <v>-6.494296919565878</v>
      </c>
      <c r="FE27" s="669">
        <f>INPUT!FX485</f>
        <v>281.78392674999998</v>
      </c>
      <c r="FF27" s="670">
        <f>INPUT!FY485</f>
        <v>-7.9503898355936631</v>
      </c>
      <c r="FG27" s="669">
        <f>INPUT!FZ485</f>
        <v>265.9876855</v>
      </c>
      <c r="FH27" s="670">
        <f>INPUT!GA485</f>
        <v>-5.6057992491581938</v>
      </c>
      <c r="FI27" s="669">
        <f>INPUT!GB485</f>
        <v>256.45</v>
      </c>
      <c r="FJ27" s="670">
        <f>INPUT!GC485</f>
        <v>-3.5857620558903736</v>
      </c>
      <c r="FK27" s="669">
        <f>INPUT!GD485</f>
        <v>247.89999999999998</v>
      </c>
      <c r="FL27" s="670">
        <f>INPUT!GE485</f>
        <v>-3.3339832325989471</v>
      </c>
      <c r="FM27" s="669">
        <f>INPUT!GF485</f>
        <v>235.90000000000003</v>
      </c>
      <c r="FN27" s="670">
        <f>INPUT!GG485</f>
        <v>-4.8406615570794393</v>
      </c>
      <c r="FO27" s="669">
        <f>INPUT!GH485</f>
        <v>227.35</v>
      </c>
      <c r="FP27" s="670">
        <f>INPUT!GI485</f>
        <v>-3.6244171259008251</v>
      </c>
      <c r="FQ27" s="669">
        <f>INPUT!GJ485</f>
        <v>219.12265861594074</v>
      </c>
      <c r="FR27" s="670">
        <f>INPUT!GK485</f>
        <v>-3.6187998170482794</v>
      </c>
      <c r="FS27" s="669">
        <f>INPUT!GL485</f>
        <v>211.88556690772648</v>
      </c>
      <c r="FT27" s="670">
        <f>INPUT!GM485</f>
        <v>-3.3027582605680283</v>
      </c>
      <c r="FU27" s="669">
        <f>INPUT!GN485</f>
        <v>204.81273812004304</v>
      </c>
      <c r="FV27" s="670">
        <f>INPUT!GO485</f>
        <v>-3.3380417981766386</v>
      </c>
      <c r="FW27" s="669">
        <f>INPUT!GP485</f>
        <v>197.92220271940431</v>
      </c>
      <c r="FX27" s="670">
        <f>INPUT!GQ485</f>
        <v>-3.3643099857393222</v>
      </c>
      <c r="FY27" s="669">
        <f>INPUT!GR485</f>
        <v>190.68433372090038</v>
      </c>
      <c r="FZ27" s="670">
        <f>INPUT!GS485</f>
        <v>-3.6569262564064675</v>
      </c>
      <c r="GA27" s="988">
        <f>INPUT!GT485</f>
        <v>-3.4562839822018576</v>
      </c>
    </row>
    <row r="28" spans="1:183" s="552" customFormat="1" ht="12.75" customHeight="1" x14ac:dyDescent="0.2">
      <c r="A28" s="999" t="str">
        <f>INPUT!B493</f>
        <v>Core operating EPS</v>
      </c>
      <c r="B28" s="619"/>
      <c r="C28" s="620"/>
      <c r="D28" s="619"/>
      <c r="E28" s="620"/>
      <c r="F28" s="619"/>
      <c r="G28" s="620"/>
      <c r="H28" s="619"/>
      <c r="I28" s="620"/>
      <c r="J28" s="619"/>
      <c r="K28" s="620"/>
      <c r="L28" s="619"/>
      <c r="M28" s="620"/>
      <c r="N28" s="619"/>
      <c r="O28" s="620"/>
      <c r="P28" s="619"/>
      <c r="Q28" s="620"/>
      <c r="R28" s="619"/>
      <c r="S28" s="620"/>
      <c r="T28" s="619"/>
      <c r="U28" s="620"/>
      <c r="V28" s="619"/>
      <c r="W28" s="620"/>
      <c r="X28" s="619"/>
      <c r="Y28" s="620"/>
      <c r="Z28" s="619">
        <f>INPUT!AK493</f>
        <v>0.4</v>
      </c>
      <c r="AA28" s="621">
        <f>INPUT!AL493</f>
        <v>0.9199902912766289</v>
      </c>
      <c r="AB28" s="619">
        <f>INPUT!AM493</f>
        <v>0.42</v>
      </c>
      <c r="AC28" s="621">
        <f>INPUT!AN493</f>
        <v>-2.3255813953488413</v>
      </c>
      <c r="AD28" s="619">
        <f>INPUT!AO493</f>
        <v>0.43</v>
      </c>
      <c r="AE28" s="621">
        <f>INPUT!AP493</f>
        <v>2.3809523809523725</v>
      </c>
      <c r="AF28" s="619">
        <f>INPUT!AQ493</f>
        <v>0.41899999999999998</v>
      </c>
      <c r="AG28" s="621">
        <f>INPUT!AR493</f>
        <v>7.4358974358974317</v>
      </c>
      <c r="AH28" s="619">
        <f>INPUT!AS493</f>
        <v>0.42</v>
      </c>
      <c r="AI28" s="622">
        <f>INPUT!AT493</f>
        <v>4.9999999999999822</v>
      </c>
      <c r="AJ28" s="619">
        <f>INPUT!AU493</f>
        <v>0.43</v>
      </c>
      <c r="AK28" s="622">
        <f>INPUT!AV493</f>
        <v>2.3809523809523725</v>
      </c>
      <c r="AL28" s="619">
        <f>INPUT!AW493</f>
        <v>0.46</v>
      </c>
      <c r="AM28" s="622">
        <f>INPUT!AX493</f>
        <v>6.976744186046524</v>
      </c>
      <c r="AN28" s="623">
        <f>INPUT!AY493</f>
        <v>0.47</v>
      </c>
      <c r="AO28" s="622" t="str">
        <f>INPUT!AZ422</f>
        <v>NA</v>
      </c>
      <c r="AP28" s="619">
        <f>INPUT!BA493</f>
        <v>0.5</v>
      </c>
      <c r="AQ28" s="622">
        <f>INPUT!BB493</f>
        <v>19.047619047619047</v>
      </c>
      <c r="AR28" s="619">
        <f>INPUT!BC493</f>
        <v>0.51</v>
      </c>
      <c r="AS28" s="622">
        <f>INPUT!BD493</f>
        <v>18.604651162790709</v>
      </c>
      <c r="AT28" s="619">
        <f>INPUT!BE493</f>
        <v>0.56000000000000005</v>
      </c>
      <c r="AU28" s="622">
        <f>INPUT!BF493</f>
        <v>21.739130434782616</v>
      </c>
      <c r="AV28" s="619">
        <f>INPUT!BG493</f>
        <v>0.58499999999999996</v>
      </c>
      <c r="AW28" s="622" t="str">
        <f>INPUT!BH422</f>
        <v>NA</v>
      </c>
      <c r="AX28" s="619">
        <f>INPUT!BI493</f>
        <v>0.58499999999999996</v>
      </c>
      <c r="AY28" s="622" t="str">
        <f>INPUT!BJ422</f>
        <v>NA</v>
      </c>
      <c r="AZ28" s="619">
        <f>INPUT!BK493</f>
        <v>0.65</v>
      </c>
      <c r="BA28" s="622" t="str">
        <f>INPUT!BL422</f>
        <v>NA</v>
      </c>
      <c r="BB28" s="619">
        <f>INPUT!BM493</f>
        <v>0.63</v>
      </c>
      <c r="BC28" s="622" t="str">
        <f>INPUT!BN422</f>
        <v>NA</v>
      </c>
      <c r="BD28" s="619">
        <f>INPUT!BO493</f>
        <v>0.6</v>
      </c>
      <c r="BE28" s="622" t="str">
        <f>INPUT!BP422</f>
        <v>NA</v>
      </c>
      <c r="BF28" s="619">
        <f>INPUT!BQ493</f>
        <v>0.6</v>
      </c>
      <c r="BG28" s="622" t="str">
        <f>INPUT!BR422</f>
        <v>NA</v>
      </c>
      <c r="BH28" s="619">
        <f>INPUT!BS493</f>
        <v>0.65</v>
      </c>
      <c r="BI28" s="622" t="str">
        <f>INPUT!BT422</f>
        <v>NA</v>
      </c>
      <c r="BJ28" s="619">
        <f>INPUT!BU493</f>
        <v>0.64</v>
      </c>
      <c r="BK28" s="622" t="str">
        <f>INPUT!BV422</f>
        <v>NA</v>
      </c>
      <c r="BL28" s="619">
        <f>INPUT!BW493</f>
        <v>0.66</v>
      </c>
      <c r="BM28" s="622" t="str">
        <f>INPUT!BX422</f>
        <v>NA</v>
      </c>
      <c r="BN28" s="619">
        <f>INPUT!BY493</f>
        <v>0.70999237633692802</v>
      </c>
      <c r="BO28" s="622" t="str">
        <f>INPUT!BZ422</f>
        <v>NA</v>
      </c>
      <c r="BP28" s="619">
        <f>INPUT!CA493</f>
        <v>0.69803576338947426</v>
      </c>
      <c r="BQ28" s="622" t="str">
        <f>INPUT!CB422</f>
        <v>NA</v>
      </c>
      <c r="BR28" s="619">
        <f>INPUT!CC493</f>
        <v>0.68820562264918328</v>
      </c>
      <c r="BS28" s="622" t="str">
        <f>INPUT!CD422</f>
        <v>NA</v>
      </c>
      <c r="BT28" s="619">
        <f>INPUT!CE493</f>
        <v>0.66663957821905528</v>
      </c>
      <c r="BU28" s="622" t="str">
        <f>INPUT!CF422</f>
        <v>NA</v>
      </c>
      <c r="BV28" s="619">
        <f>INPUT!CG493</f>
        <v>0.69703300663164036</v>
      </c>
      <c r="BW28" s="622" t="str">
        <f>INPUT!CH422</f>
        <v>NA</v>
      </c>
      <c r="BX28" s="619">
        <f>INPUT!CI493</f>
        <v>0.75561397985457524</v>
      </c>
      <c r="BY28" s="622" t="str">
        <f>INPUT!CJ422</f>
        <v>NA</v>
      </c>
      <c r="BZ28" s="619">
        <f>INPUT!CK493</f>
        <v>0.716201233467336</v>
      </c>
      <c r="CA28" s="622">
        <f>INPUT!CL493</f>
        <v>4.0679137014873801</v>
      </c>
      <c r="CB28" s="619">
        <f>INPUT!CM493</f>
        <v>0.7506380131485213</v>
      </c>
      <c r="CC28" s="622">
        <f>INPUT!CN493</f>
        <v>12.600277222344047</v>
      </c>
      <c r="CD28" s="619">
        <f>INPUT!CO493</f>
        <v>0.73193163253203442</v>
      </c>
      <c r="CE28" s="622">
        <f>INPUT!CP493</f>
        <v>5.0067393607426292</v>
      </c>
      <c r="CF28" s="619">
        <f>INPUT!CQ493</f>
        <v>0.75456235679350958</v>
      </c>
      <c r="CG28" s="622">
        <f>INPUT!CR493</f>
        <v>-0.13917464328386808</v>
      </c>
      <c r="CH28" s="619">
        <f>INPUT!CS493</f>
        <v>0.77088506355398001</v>
      </c>
      <c r="CI28" s="622" t="str">
        <f>INPUT!CT422</f>
        <v>NA</v>
      </c>
      <c r="CJ28" s="619">
        <f>INPUT!CU493</f>
        <v>0.8223684210526313</v>
      </c>
      <c r="CK28" s="622">
        <f>INPUT!CV493</f>
        <v>9.555925312553736</v>
      </c>
      <c r="CL28" s="619">
        <f>INPUT!CW493</f>
        <v>0.78926673549816306</v>
      </c>
      <c r="CM28" s="622">
        <f>INPUT!CX493</f>
        <v>7.8333959645635609</v>
      </c>
      <c r="CN28" s="619">
        <f>INPUT!CY493</f>
        <v>0.8094136357937507</v>
      </c>
      <c r="CO28" s="622">
        <f>INPUT!CZ493</f>
        <v>7.2692837783917552</v>
      </c>
      <c r="CP28" s="619">
        <f>INPUT!DA493</f>
        <v>0.81472778073582797</v>
      </c>
      <c r="CQ28" s="622">
        <f>INPUT!DB493</f>
        <v>5.6873221774101701</v>
      </c>
      <c r="CR28" s="619">
        <f>INPUT!DC493</f>
        <v>0.84436840315471418</v>
      </c>
      <c r="CS28" s="622">
        <f>INPUT!DD493</f>
        <v>2.6751978236132734</v>
      </c>
      <c r="CT28" s="619">
        <f>INPUT!DE493</f>
        <v>0.85385500575373907</v>
      </c>
      <c r="CU28" s="622">
        <f>INPUT!DF493</f>
        <v>8.183326035501759</v>
      </c>
      <c r="CV28" s="619">
        <f>INPUT!DG493</f>
        <v>0.89290382117524014</v>
      </c>
      <c r="CW28" s="622">
        <f>INPUT!DH493</f>
        <v>10.314897314475658</v>
      </c>
      <c r="CX28" s="619">
        <f>INPUT!DI493</f>
        <v>0.85989010989011005</v>
      </c>
      <c r="CY28" s="622">
        <f>INPUT!DJ493</f>
        <v>5.5432415859802076</v>
      </c>
      <c r="CZ28" s="619">
        <f>INPUT!DK493</f>
        <v>0.89037242472266254</v>
      </c>
      <c r="DA28" s="622">
        <f>INPUT!DL493</f>
        <v>5.4483352759374881</v>
      </c>
      <c r="DB28" s="619">
        <f>INPUT!DM493</f>
        <v>0.8838223632038068</v>
      </c>
      <c r="DC28" s="622">
        <f>INPUT!DN493</f>
        <v>3.5096541272384041</v>
      </c>
      <c r="DD28" s="619">
        <f>INPUT!DO493</f>
        <v>0.88487765744083402</v>
      </c>
      <c r="DE28" s="622">
        <f>INPUT!DP493</f>
        <v>-0.89888334488725796</v>
      </c>
      <c r="DF28" s="619">
        <f>INPUT!DQ493</f>
        <v>0.8976857490864808</v>
      </c>
      <c r="DG28" s="622">
        <f>INPUT!DR493</f>
        <v>4.3954034081402416</v>
      </c>
      <c r="DH28" s="619">
        <f>INPUT!DS493</f>
        <v>0.93765381460213248</v>
      </c>
      <c r="DI28" s="622">
        <f>INPUT!DT493</f>
        <v>5.3102935992427325</v>
      </c>
      <c r="DJ28" s="619">
        <f>INPUT!DU493</f>
        <v>0.93533583646224372</v>
      </c>
      <c r="DK28" s="622">
        <f>INPUT!DV493</f>
        <v>5.8284871941578276</v>
      </c>
      <c r="DL28" s="619">
        <f>INPUT!DW493</f>
        <v>0.98187947745469828</v>
      </c>
      <c r="DM28" s="622">
        <f>INPUT!DX493</f>
        <v>10.962173041458012</v>
      </c>
      <c r="DN28" s="619">
        <f>INPUT!DY493</f>
        <v>0.97651579846285308</v>
      </c>
      <c r="DO28" s="622">
        <f>INPUT!DZ493</f>
        <v>8.7814749712349602</v>
      </c>
      <c r="DP28" s="619">
        <f>INPUT!EA493</f>
        <v>0.98838209982788272</v>
      </c>
      <c r="DQ28" s="622">
        <f>INPUT!EB493</f>
        <v>5.4101294567094893</v>
      </c>
      <c r="DR28" s="619">
        <f>INPUT!EC493</f>
        <v>1.0247395833333321</v>
      </c>
      <c r="DS28" s="622">
        <f>INPUT!ED493</f>
        <v>9.5584648193576705</v>
      </c>
      <c r="DT28" s="619">
        <f>INPUT!EE493</f>
        <v>1.0534618755477656</v>
      </c>
      <c r="DU28" s="622">
        <f>INPUT!EF493</f>
        <v>7.2903446641566116</v>
      </c>
      <c r="DV28" s="619">
        <f>INPUT!EG493</f>
        <v>1.0862831858407076</v>
      </c>
      <c r="DW28" s="622">
        <f>INPUT!EH493</f>
        <v>11.240718025314166</v>
      </c>
      <c r="DX28" s="619">
        <f>INPUT!EI493</f>
        <v>1.0717304270462624</v>
      </c>
      <c r="DY28" s="622">
        <f>INPUT!EJ493</f>
        <v>8.4328041991952318</v>
      </c>
      <c r="DZ28" s="619">
        <f>INPUT!EK493</f>
        <v>1.2720273653832308</v>
      </c>
      <c r="EA28" s="622">
        <f>INPUT!EL493</f>
        <v>24.131768311857993</v>
      </c>
      <c r="EB28" s="619">
        <f>INPUT!EM493</f>
        <v>1.2914948247809064</v>
      </c>
      <c r="EC28" s="622">
        <f>INPUT!EN493</f>
        <v>22.595307410566857</v>
      </c>
      <c r="ED28" s="619">
        <f>INPUT!EO493</f>
        <v>1.3077515554781463</v>
      </c>
      <c r="EE28" s="622">
        <f>INPUT!EP493</f>
        <v>20.387719567438346</v>
      </c>
      <c r="EF28" s="619">
        <f>INPUT!EQ493</f>
        <v>1.327471892073594</v>
      </c>
      <c r="EG28" s="622">
        <f>INPUT!ER493</f>
        <v>23.862480580323407</v>
      </c>
      <c r="EH28" s="624"/>
      <c r="EI28" s="619"/>
      <c r="EJ28" s="620"/>
      <c r="EK28" s="619"/>
      <c r="EL28" s="620"/>
      <c r="EM28" s="619"/>
      <c r="EN28" s="620"/>
      <c r="EO28" s="619"/>
      <c r="EP28" s="620"/>
      <c r="EQ28" s="619">
        <f>INPUT!FJ493</f>
        <v>1.669</v>
      </c>
      <c r="ER28" s="622" t="str">
        <f>INPUT!FK493</f>
        <v>NA</v>
      </c>
      <c r="ES28" s="619">
        <f>INPUT!FL493</f>
        <v>1.78</v>
      </c>
      <c r="ET28" s="622">
        <f>INPUT!FM493</f>
        <v>6.6506890353505099</v>
      </c>
      <c r="EU28" s="619">
        <f>INPUT!FN493</f>
        <v>2.1550000000000002</v>
      </c>
      <c r="EV28" s="622">
        <f>INPUT!FO493</f>
        <v>21.067415730337082</v>
      </c>
      <c r="EW28" s="619">
        <f>INPUT!FP493</f>
        <v>2.5099999999999998</v>
      </c>
      <c r="EX28" s="622">
        <f>INPUT!FQ493</f>
        <v>16.473317865429205</v>
      </c>
      <c r="EY28" s="619">
        <f>INPUT!FR493</f>
        <v>2.5909548318157154</v>
      </c>
      <c r="EZ28" s="622">
        <f>INPUT!FS493</f>
        <v>3.2252921042117855</v>
      </c>
      <c r="FA28" s="619">
        <f>INPUT!FT493</f>
        <v>2.732884478973884</v>
      </c>
      <c r="FB28" s="622">
        <f>INPUT!FU493</f>
        <v>5.4778896727700088</v>
      </c>
      <c r="FC28" s="619">
        <f>INPUT!FV493</f>
        <v>2.9612395773043971</v>
      </c>
      <c r="FD28" s="622">
        <f>INPUT!FW493</f>
        <v>8.3558269691755847</v>
      </c>
      <c r="FE28" s="619">
        <f>INPUT!FX493</f>
        <v>3.127218823882048</v>
      </c>
      <c r="FF28" s="622">
        <f>INPUT!FY493</f>
        <v>5.6050597138358249</v>
      </c>
      <c r="FG28" s="619">
        <f>INPUT!FZ493</f>
        <v>3.2782532708643006</v>
      </c>
      <c r="FH28" s="622">
        <f>INPUT!GA493</f>
        <v>4.8296731213315791</v>
      </c>
      <c r="FI28" s="619">
        <f>INPUT!GB493</f>
        <v>3.4950672645739917</v>
      </c>
      <c r="FJ28" s="622">
        <f>INPUT!GC493</f>
        <v>6.6137047932397497</v>
      </c>
      <c r="FK28" s="619">
        <f>INPUT!GD493</f>
        <v>3.6030657523194822</v>
      </c>
      <c r="FL28" s="622">
        <f>INPUT!GE493</f>
        <v>3.0900260158127191</v>
      </c>
      <c r="FM28" s="619">
        <f>INPUT!GF493</f>
        <v>3.8813056379822002</v>
      </c>
      <c r="FN28" s="622">
        <f>INPUT!GG493</f>
        <v>7.7223094106345425</v>
      </c>
      <c r="FO28" s="619">
        <f>INPUT!GH493</f>
        <v>4.2354299538157019</v>
      </c>
      <c r="FP28" s="622">
        <f>INPUT!GI493</f>
        <v>9.1238451403585543</v>
      </c>
      <c r="FQ28" s="619">
        <f>INPUT!GJ493</f>
        <v>5.1979661887095761</v>
      </c>
      <c r="FR28" s="622">
        <f>INPUT!GK493</f>
        <v>22.725821118272172</v>
      </c>
      <c r="FS28" s="619">
        <f>INPUT!GL493</f>
        <v>5.5047351554945934</v>
      </c>
      <c r="FT28" s="622">
        <f>INPUT!GM493</f>
        <v>5.901711470369797</v>
      </c>
      <c r="FU28" s="619">
        <f>INPUT!GN493</f>
        <v>5.8546964937249504</v>
      </c>
      <c r="FV28" s="622">
        <f>INPUT!GO493</f>
        <v>6.3574600474836762</v>
      </c>
      <c r="FW28" s="619">
        <f>INPUT!GP493</f>
        <v>6.2452514056605244</v>
      </c>
      <c r="FX28" s="622">
        <f>INPUT!GQ493</f>
        <v>6.670796895350084</v>
      </c>
      <c r="FY28" s="619">
        <f>INPUT!GR493</f>
        <v>6.6510372047902013</v>
      </c>
      <c r="FZ28" s="622">
        <f>INPUT!GS493</f>
        <v>6.4975094319162929</v>
      </c>
      <c r="GA28" s="1000">
        <f>INPUT!GT493</f>
        <v>9.44561719255117</v>
      </c>
    </row>
    <row r="29" spans="1:183" s="544" customFormat="1" ht="12.75" hidden="1" customHeight="1" outlineLevel="1" x14ac:dyDescent="0.2">
      <c r="A29" s="1001" t="s">
        <v>517</v>
      </c>
      <c r="B29" s="625"/>
      <c r="C29" s="626"/>
      <c r="D29" s="625"/>
      <c r="E29" s="627"/>
      <c r="F29" s="625"/>
      <c r="G29" s="627"/>
      <c r="H29" s="625"/>
      <c r="I29" s="627"/>
      <c r="J29" s="625"/>
      <c r="K29" s="627"/>
      <c r="L29" s="625"/>
      <c r="M29" s="627"/>
      <c r="N29" s="625"/>
      <c r="O29" s="627"/>
      <c r="P29" s="625"/>
      <c r="Q29" s="627"/>
      <c r="R29" s="625"/>
      <c r="S29" s="627"/>
      <c r="T29" s="625"/>
      <c r="U29" s="627"/>
      <c r="V29" s="625"/>
      <c r="W29" s="627"/>
      <c r="X29" s="625"/>
      <c r="Y29" s="627"/>
      <c r="Z29" s="625"/>
      <c r="AA29" s="627"/>
      <c r="AB29" s="625"/>
      <c r="AC29" s="627"/>
      <c r="AD29" s="625"/>
      <c r="AE29" s="627"/>
      <c r="AF29" s="625"/>
      <c r="AG29" s="627"/>
      <c r="AH29" s="625"/>
      <c r="AI29" s="627"/>
      <c r="AJ29" s="625"/>
      <c r="AK29" s="627"/>
      <c r="AL29" s="625"/>
      <c r="AM29" s="627"/>
      <c r="AN29" s="625"/>
      <c r="AO29" s="628"/>
      <c r="AP29" s="625"/>
      <c r="AQ29" s="628"/>
      <c r="AR29" s="625"/>
      <c r="AS29" s="628"/>
      <c r="AT29" s="625"/>
      <c r="AU29" s="628"/>
      <c r="AV29" s="625"/>
      <c r="AW29" s="628"/>
      <c r="AX29" s="625"/>
      <c r="AY29" s="628"/>
      <c r="AZ29" s="625"/>
      <c r="BA29" s="628"/>
      <c r="BB29" s="625"/>
      <c r="BC29" s="628"/>
      <c r="BD29" s="625"/>
      <c r="BE29" s="628"/>
      <c r="BF29" s="625"/>
      <c r="BG29" s="628"/>
      <c r="BH29" s="625"/>
      <c r="BI29" s="628"/>
      <c r="BJ29" s="625"/>
      <c r="BK29" s="628"/>
      <c r="BL29" s="625"/>
      <c r="BM29" s="628"/>
      <c r="BN29" s="625"/>
      <c r="BO29" s="628"/>
      <c r="BP29" s="625"/>
      <c r="BQ29" s="628"/>
      <c r="BR29" s="625"/>
      <c r="BS29" s="628"/>
      <c r="BT29" s="625"/>
      <c r="BU29" s="628"/>
      <c r="BV29" s="625"/>
      <c r="BW29" s="628"/>
      <c r="BX29" s="625"/>
      <c r="BY29" s="628"/>
      <c r="BZ29" s="625"/>
      <c r="CA29" s="628"/>
      <c r="CB29" s="625"/>
      <c r="CC29" s="628"/>
      <c r="CD29" s="629">
        <f>((CD17*(1-CD23/100))/CD66)-CD28</f>
        <v>0</v>
      </c>
      <c r="CE29" s="628"/>
      <c r="CF29" s="629">
        <f>((CF17*(1-CF23/100))/CF66)-CF28</f>
        <v>3.9472668828058444E-2</v>
      </c>
      <c r="CG29" s="628"/>
      <c r="CH29" s="629">
        <f>((CH17*(1-CH23/100))/CH66)-CH28</f>
        <v>3.3391854173507318E-2</v>
      </c>
      <c r="CI29" s="628"/>
      <c r="CJ29" s="629">
        <f>((CJ17*(1-CJ23/100))/CJ66)-CJ28</f>
        <v>0</v>
      </c>
      <c r="CK29" s="628"/>
      <c r="CL29" s="629">
        <f>((CL17*(1-CL23/100))/CL66)-CL28</f>
        <v>0</v>
      </c>
      <c r="CM29" s="628"/>
      <c r="CN29" s="629">
        <f>((CN17*(1-CN23/100))/CN66)-CN28</f>
        <v>0</v>
      </c>
      <c r="CO29" s="628"/>
      <c r="CP29" s="629">
        <f>((CP17*(1-CP23/100))/CP66)-CP28</f>
        <v>2.3840153361057714E-2</v>
      </c>
      <c r="CQ29" s="628"/>
      <c r="CR29" s="629">
        <f>((CR17*(1-CR23/100))/CR66)-CR28</f>
        <v>0</v>
      </c>
      <c r="CS29" s="628"/>
      <c r="CT29" s="629">
        <f>((CT17*(1-CT23/100))/CT66)-CT28</f>
        <v>0</v>
      </c>
      <c r="CU29" s="628"/>
      <c r="CV29" s="629">
        <f>((CV17*(1-CV23/100))/CV66)-CV28</f>
        <v>0</v>
      </c>
      <c r="CW29" s="628"/>
      <c r="CX29" s="629">
        <f>((CX17*(1-CX23/100))/CX66)-CX28</f>
        <v>0</v>
      </c>
      <c r="CY29" s="628"/>
      <c r="CZ29" s="629">
        <f>((CZ17*(1-CZ23/100))/CZ66)-CZ28</f>
        <v>-9.8550689991793505E-2</v>
      </c>
      <c r="DA29" s="628"/>
      <c r="DB29" s="629">
        <f>((DB17*(1-DB23/100))/DB66)-DB28</f>
        <v>0</v>
      </c>
      <c r="DC29" s="628"/>
      <c r="DD29" s="629">
        <f>((DD17*(1-DD23/100))/DD66)-DD28</f>
        <v>0</v>
      </c>
      <c r="DE29" s="628"/>
      <c r="DF29" s="629">
        <f>((DF17*(1-DF23/100))/DF66)-DF28</f>
        <v>0</v>
      </c>
      <c r="DG29" s="628"/>
      <c r="DH29" s="629">
        <f>((DH17*(1-DH23/100))/DH66)-DH28</f>
        <v>0</v>
      </c>
      <c r="DI29" s="628"/>
      <c r="DJ29" s="629">
        <f>((DJ17*(1-DJ23/100))/DJ66)-DJ28</f>
        <v>0</v>
      </c>
      <c r="DK29" s="628"/>
      <c r="DL29" s="629">
        <f>((DL17*(1-DL23/100))/DL66)-DL28</f>
        <v>0</v>
      </c>
      <c r="DM29" s="628"/>
      <c r="DN29" s="629">
        <f>((DN17*(1-DN23/100))/DN66)-DN28</f>
        <v>0</v>
      </c>
      <c r="DO29" s="628"/>
      <c r="DP29" s="629">
        <f>((DP17*(1-DP23/100))/DP66)-DP28</f>
        <v>0</v>
      </c>
      <c r="DQ29" s="628"/>
      <c r="DR29" s="629">
        <f t="shared" ref="DR29" si="8">((DR17*(1-DR23/100))/DR66)-DR28</f>
        <v>0</v>
      </c>
      <c r="DS29" s="628"/>
      <c r="DT29" s="629">
        <f t="shared" ref="DT29" si="9">((DT17*(1-DT23/100))/DT66)-DT28</f>
        <v>0</v>
      </c>
      <c r="DU29" s="628"/>
      <c r="DV29" s="629">
        <f t="shared" ref="DV29" si="10">((DV17*(1-DV23/100))/DV66)-DV28</f>
        <v>0</v>
      </c>
      <c r="DW29" s="628"/>
      <c r="DX29" s="629">
        <f t="shared" ref="DX29" si="11">((DX17*(1-DX23/100))/DX66)-DX28</f>
        <v>-2.6088265103083597E-3</v>
      </c>
      <c r="DY29" s="628"/>
      <c r="DZ29" s="629">
        <f t="shared" ref="DZ29" si="12">((DZ17*(1-DZ23/100))/DZ66)-DZ28</f>
        <v>0</v>
      </c>
      <c r="EA29" s="628"/>
      <c r="EB29" s="629">
        <f t="shared" ref="EB29" si="13">((EB17*(1-EB23/100))/EB66)-EB28</f>
        <v>0</v>
      </c>
      <c r="EC29" s="628"/>
      <c r="ED29" s="629">
        <f t="shared" ref="ED29" si="14">((ED17*(1-ED23/100))/ED66)-ED28</f>
        <v>0</v>
      </c>
      <c r="EE29" s="628"/>
      <c r="EF29" s="629">
        <f t="shared" ref="EF29" si="15">((EF17*(1-EF23/100))/EF66)-EF28</f>
        <v>0</v>
      </c>
      <c r="EG29" s="628"/>
      <c r="EH29" s="628"/>
      <c r="EI29" s="625"/>
      <c r="EJ29" s="627"/>
      <c r="EK29" s="625"/>
      <c r="EL29" s="627"/>
      <c r="EM29" s="625"/>
      <c r="EN29" s="627"/>
      <c r="EO29" s="625"/>
      <c r="EP29" s="627"/>
      <c r="EQ29" s="625"/>
      <c r="ER29" s="628"/>
      <c r="ES29" s="625"/>
      <c r="ET29" s="628"/>
      <c r="EU29" s="625"/>
      <c r="EV29" s="628"/>
      <c r="EW29" s="625"/>
      <c r="EX29" s="628"/>
      <c r="EY29" s="625"/>
      <c r="EZ29" s="628"/>
      <c r="FA29" s="625"/>
      <c r="FB29" s="628"/>
      <c r="FC29" s="629">
        <f>((FC17*(1-FC23/100))/FC66)-FC28</f>
        <v>0.61591757358392796</v>
      </c>
      <c r="FD29" s="628"/>
      <c r="FE29" s="629">
        <f>((FE17*(1-FE23/100))/FE66)-FE28</f>
        <v>0</v>
      </c>
      <c r="FF29" s="628"/>
      <c r="FG29" s="629">
        <f>((FG17*(1-FG23/100))/FG66)-FG28</f>
        <v>1.8921638080438008E-3</v>
      </c>
      <c r="FH29" s="628"/>
      <c r="FI29" s="629">
        <f>((FI17*(1-FI23/100))/FI66)-FI28</f>
        <v>0.22152577872717405</v>
      </c>
      <c r="FJ29" s="628"/>
      <c r="FK29" s="629">
        <f>((FK17*(1-FK23/100))/FK66)-FK28</f>
        <v>0</v>
      </c>
      <c r="FL29" s="628"/>
      <c r="FM29" s="629">
        <f>((FM17*(1-FM23/100))/FM66)-FM28</f>
        <v>0</v>
      </c>
      <c r="FN29" s="628"/>
      <c r="FO29" s="629">
        <f>((FO17*(1-FO23/100))/FO66)-FO28</f>
        <v>-3.0653112067158261E-3</v>
      </c>
      <c r="FP29" s="628"/>
      <c r="FQ29" s="629">
        <f>((FQ17*(1-FQ23/100))/FQ66)-FQ28</f>
        <v>0</v>
      </c>
      <c r="FR29" s="628"/>
      <c r="FS29" s="629">
        <f>((FS17*(1-FS23/100))/FS66)-FS28</f>
        <v>0</v>
      </c>
      <c r="FT29" s="628"/>
      <c r="FU29" s="629">
        <f>((FU17*(1-FU23/100))/FU66)-FU28</f>
        <v>0</v>
      </c>
      <c r="FV29" s="628"/>
      <c r="FW29" s="629">
        <f>((FW17*(1-FW23/100))/FW66)-FW28</f>
        <v>0</v>
      </c>
      <c r="FX29" s="628"/>
      <c r="FY29" s="629">
        <f>((FY17*(1-FY23/100))/FY66)-FY28</f>
        <v>0</v>
      </c>
      <c r="FZ29" s="628"/>
      <c r="GA29" s="1002"/>
    </row>
    <row r="30" spans="1:183" s="707" customFormat="1" ht="4.5" customHeight="1" collapsed="1" x14ac:dyDescent="0.2">
      <c r="A30" s="1003"/>
      <c r="B30" s="695"/>
      <c r="C30" s="671"/>
      <c r="D30" s="695"/>
      <c r="E30" s="696"/>
      <c r="F30" s="695"/>
      <c r="G30" s="696"/>
      <c r="H30" s="695"/>
      <c r="I30" s="696"/>
      <c r="J30" s="695"/>
      <c r="K30" s="696"/>
      <c r="L30" s="695"/>
      <c r="M30" s="696"/>
      <c r="N30" s="695"/>
      <c r="O30" s="696"/>
      <c r="P30" s="695"/>
      <c r="Q30" s="696"/>
      <c r="R30" s="695"/>
      <c r="S30" s="696"/>
      <c r="T30" s="695"/>
      <c r="U30" s="696"/>
      <c r="V30" s="695"/>
      <c r="W30" s="696"/>
      <c r="X30" s="695"/>
      <c r="Y30" s="696"/>
      <c r="Z30" s="695"/>
      <c r="AA30" s="696"/>
      <c r="AB30" s="695"/>
      <c r="AC30" s="696"/>
      <c r="AD30" s="695"/>
      <c r="AE30" s="696"/>
      <c r="AF30" s="695"/>
      <c r="AG30" s="696"/>
      <c r="AH30" s="695"/>
      <c r="AI30" s="696"/>
      <c r="AJ30" s="695"/>
      <c r="AK30" s="696"/>
      <c r="AL30" s="695"/>
      <c r="AM30" s="696"/>
      <c r="AN30" s="695"/>
      <c r="AO30" s="697"/>
      <c r="AP30" s="695"/>
      <c r="AQ30" s="697"/>
      <c r="AR30" s="695"/>
      <c r="AS30" s="697"/>
      <c r="AT30" s="695"/>
      <c r="AU30" s="697"/>
      <c r="AV30" s="695"/>
      <c r="AW30" s="697"/>
      <c r="AX30" s="695"/>
      <c r="AY30" s="697"/>
      <c r="AZ30" s="695"/>
      <c r="BA30" s="697"/>
      <c r="BB30" s="695"/>
      <c r="BC30" s="697"/>
      <c r="BD30" s="695"/>
      <c r="BE30" s="697"/>
      <c r="BF30" s="695"/>
      <c r="BG30" s="697"/>
      <c r="BH30" s="695"/>
      <c r="BI30" s="697"/>
      <c r="BJ30" s="695"/>
      <c r="BK30" s="697"/>
      <c r="BL30" s="695"/>
      <c r="BM30" s="697"/>
      <c r="BN30" s="695"/>
      <c r="BO30" s="697"/>
      <c r="BP30" s="695"/>
      <c r="BQ30" s="697"/>
      <c r="BR30" s="695"/>
      <c r="BS30" s="697"/>
      <c r="BT30" s="695"/>
      <c r="BU30" s="697"/>
      <c r="BV30" s="695"/>
      <c r="BW30" s="697"/>
      <c r="BX30" s="695"/>
      <c r="BY30" s="697"/>
      <c r="BZ30" s="695"/>
      <c r="CA30" s="697"/>
      <c r="CB30" s="695"/>
      <c r="CC30" s="697"/>
      <c r="CD30" s="695"/>
      <c r="CE30" s="697"/>
      <c r="CF30" s="695"/>
      <c r="CG30" s="697"/>
      <c r="CH30" s="695"/>
      <c r="CI30" s="697"/>
      <c r="CJ30" s="695"/>
      <c r="CK30" s="697"/>
      <c r="CL30" s="695"/>
      <c r="CM30" s="697"/>
      <c r="CN30" s="695"/>
      <c r="CO30" s="697"/>
      <c r="CP30" s="695"/>
      <c r="CQ30" s="697"/>
      <c r="CR30" s="695"/>
      <c r="CS30" s="697"/>
      <c r="CT30" s="695"/>
      <c r="CU30" s="697"/>
      <c r="CV30" s="695"/>
      <c r="CW30" s="697"/>
      <c r="CX30" s="695"/>
      <c r="CY30" s="697"/>
      <c r="CZ30" s="695"/>
      <c r="DA30" s="697"/>
      <c r="DB30" s="695"/>
      <c r="DC30" s="697"/>
      <c r="DD30" s="695"/>
      <c r="DE30" s="697"/>
      <c r="DF30" s="695"/>
      <c r="DG30" s="697"/>
      <c r="DH30" s="695"/>
      <c r="DI30" s="697"/>
      <c r="DJ30" s="695"/>
      <c r="DK30" s="697"/>
      <c r="DL30" s="695"/>
      <c r="DM30" s="697"/>
      <c r="DN30" s="695"/>
      <c r="DO30" s="697"/>
      <c r="DP30" s="695"/>
      <c r="DQ30" s="697"/>
      <c r="DR30" s="695"/>
      <c r="DS30" s="697"/>
      <c r="DT30" s="695"/>
      <c r="DU30" s="697"/>
      <c r="DV30" s="695"/>
      <c r="DW30" s="697"/>
      <c r="DX30" s="695"/>
      <c r="DY30" s="697"/>
      <c r="DZ30" s="695"/>
      <c r="EA30" s="697"/>
      <c r="EB30" s="695"/>
      <c r="EC30" s="697"/>
      <c r="ED30" s="695"/>
      <c r="EE30" s="697"/>
      <c r="EF30" s="695"/>
      <c r="EG30" s="697"/>
      <c r="EH30" s="697"/>
      <c r="EI30" s="695"/>
      <c r="EJ30" s="696"/>
      <c r="EK30" s="695"/>
      <c r="EL30" s="696"/>
      <c r="EM30" s="695"/>
      <c r="EN30" s="696"/>
      <c r="EO30" s="695"/>
      <c r="EP30" s="696"/>
      <c r="EQ30" s="695"/>
      <c r="ER30" s="697"/>
      <c r="ES30" s="695"/>
      <c r="ET30" s="697"/>
      <c r="EU30" s="695"/>
      <c r="EV30" s="697"/>
      <c r="EW30" s="695"/>
      <c r="EX30" s="697"/>
      <c r="EY30" s="695"/>
      <c r="EZ30" s="697"/>
      <c r="FA30" s="695"/>
      <c r="FB30" s="697"/>
      <c r="FC30" s="695"/>
      <c r="FD30" s="697"/>
      <c r="FE30" s="695"/>
      <c r="FF30" s="697"/>
      <c r="FG30" s="695"/>
      <c r="FH30" s="697"/>
      <c r="FI30" s="695"/>
      <c r="FJ30" s="697"/>
      <c r="FK30" s="695"/>
      <c r="FL30" s="697"/>
      <c r="FM30" s="695"/>
      <c r="FN30" s="697"/>
      <c r="FO30" s="695"/>
      <c r="FP30" s="697"/>
      <c r="FQ30" s="695"/>
      <c r="FR30" s="697"/>
      <c r="FS30" s="695"/>
      <c r="FT30" s="697"/>
      <c r="FU30" s="695"/>
      <c r="FV30" s="697"/>
      <c r="FW30" s="695"/>
      <c r="FX30" s="697"/>
      <c r="FY30" s="695"/>
      <c r="FZ30" s="697"/>
      <c r="GA30" s="1004"/>
    </row>
    <row r="31" spans="1:183" s="707" customFormat="1" ht="12.75" customHeight="1" x14ac:dyDescent="0.2">
      <c r="A31" s="993" t="s">
        <v>483</v>
      </c>
      <c r="B31" s="698"/>
      <c r="C31" s="671"/>
      <c r="D31" s="698"/>
      <c r="E31" s="699"/>
      <c r="F31" s="698"/>
      <c r="G31" s="699"/>
      <c r="H31" s="698"/>
      <c r="I31" s="699"/>
      <c r="J31" s="698"/>
      <c r="K31" s="699"/>
      <c r="L31" s="698"/>
      <c r="M31" s="699"/>
      <c r="N31" s="698"/>
      <c r="O31" s="699"/>
      <c r="P31" s="698"/>
      <c r="Q31" s="699"/>
      <c r="R31" s="698"/>
      <c r="S31" s="699"/>
      <c r="T31" s="698"/>
      <c r="U31" s="699"/>
      <c r="V31" s="698"/>
      <c r="W31" s="699"/>
      <c r="X31" s="698"/>
      <c r="Y31" s="699"/>
      <c r="Z31" s="698"/>
      <c r="AA31" s="699"/>
      <c r="AB31" s="698"/>
      <c r="AC31" s="699"/>
      <c r="AD31" s="698"/>
      <c r="AE31" s="699"/>
      <c r="AF31" s="698"/>
      <c r="AG31" s="699"/>
      <c r="AH31" s="698"/>
      <c r="AI31" s="699"/>
      <c r="AJ31" s="698"/>
      <c r="AK31" s="699"/>
      <c r="AL31" s="698"/>
      <c r="AM31" s="699"/>
      <c r="AN31" s="698"/>
      <c r="AO31" s="670"/>
      <c r="AP31" s="698"/>
      <c r="AQ31" s="670"/>
      <c r="AR31" s="698"/>
      <c r="AS31" s="670"/>
      <c r="AT31" s="698"/>
      <c r="AU31" s="670"/>
      <c r="AV31" s="698"/>
      <c r="AW31" s="670"/>
      <c r="AX31" s="698"/>
      <c r="AY31" s="670"/>
      <c r="AZ31" s="698"/>
      <c r="BA31" s="670"/>
      <c r="BB31" s="698"/>
      <c r="BC31" s="670"/>
      <c r="BD31" s="698"/>
      <c r="BE31" s="670"/>
      <c r="BF31" s="698"/>
      <c r="BG31" s="670"/>
      <c r="BH31" s="698"/>
      <c r="BI31" s="670"/>
      <c r="BJ31" s="698"/>
      <c r="BK31" s="670"/>
      <c r="BL31" s="698"/>
      <c r="BM31" s="670"/>
      <c r="BN31" s="698"/>
      <c r="BO31" s="670"/>
      <c r="BP31" s="698"/>
      <c r="BQ31" s="670"/>
      <c r="BR31" s="698"/>
      <c r="BS31" s="670"/>
      <c r="BT31" s="698"/>
      <c r="BU31" s="670"/>
      <c r="BV31" s="698"/>
      <c r="BW31" s="670"/>
      <c r="BX31" s="698"/>
      <c r="BY31" s="670"/>
      <c r="BZ31" s="698"/>
      <c r="CA31" s="670"/>
      <c r="CB31" s="698"/>
      <c r="CC31" s="670"/>
      <c r="CD31" s="698"/>
      <c r="CE31" s="670"/>
      <c r="CF31" s="698"/>
      <c r="CG31" s="670"/>
      <c r="CH31" s="698"/>
      <c r="CI31" s="670"/>
      <c r="CJ31" s="698"/>
      <c r="CK31" s="670"/>
      <c r="CL31" s="698">
        <f>CL33-CL28</f>
        <v>-2.5216189632530916E-3</v>
      </c>
      <c r="CM31" s="670"/>
      <c r="CN31" s="698">
        <f>CN33-CN28</f>
        <v>0</v>
      </c>
      <c r="CO31" s="670"/>
      <c r="CP31" s="698">
        <f>CP33-CP28</f>
        <v>2.3840153361057714E-2</v>
      </c>
      <c r="CQ31" s="698"/>
      <c r="CR31" s="698">
        <f>CR33-CR28</f>
        <v>-2.8298334609398346E-2</v>
      </c>
      <c r="CS31" s="670"/>
      <c r="CT31" s="698">
        <f>CT33-CT28</f>
        <v>0</v>
      </c>
      <c r="CU31" s="670"/>
      <c r="CV31" s="698">
        <f>CV33-CV28</f>
        <v>-3.4819292288074455E-2</v>
      </c>
      <c r="CW31" s="670"/>
      <c r="CX31" s="698">
        <f>CX33-CX28</f>
        <v>0</v>
      </c>
      <c r="CY31" s="670"/>
      <c r="CZ31" s="698">
        <f>CZ33-CZ28</f>
        <v>-1.7980586370839937</v>
      </c>
      <c r="DA31" s="670"/>
      <c r="DB31" s="698">
        <f>DB33-DB28</f>
        <v>0</v>
      </c>
      <c r="DC31" s="670"/>
      <c r="DD31" s="698">
        <f>DD33-DD28</f>
        <v>0</v>
      </c>
      <c r="DE31" s="670"/>
      <c r="DF31" s="698">
        <f>DF33-DF28</f>
        <v>0</v>
      </c>
      <c r="DG31" s="670"/>
      <c r="DH31" s="698">
        <f>DH33-DH28</f>
        <v>0</v>
      </c>
      <c r="DI31" s="670"/>
      <c r="DJ31" s="698">
        <f>DJ33-DJ28</f>
        <v>0</v>
      </c>
      <c r="DK31" s="670"/>
      <c r="DL31" s="698">
        <f>DL33-DL28</f>
        <v>0</v>
      </c>
      <c r="DM31" s="670"/>
      <c r="DN31" s="698">
        <f>DN33-DN28</f>
        <v>0</v>
      </c>
      <c r="DO31" s="670"/>
      <c r="DP31" s="698">
        <f>DP33-DP28</f>
        <v>0</v>
      </c>
      <c r="DQ31" s="670"/>
      <c r="DR31" s="698">
        <f t="shared" ref="DR31" si="16">DR33-DR28</f>
        <v>0</v>
      </c>
      <c r="DS31" s="670"/>
      <c r="DT31" s="698">
        <f t="shared" ref="DT31" si="17">DT33-DT28</f>
        <v>0</v>
      </c>
      <c r="DU31" s="670"/>
      <c r="DV31" s="698">
        <f t="shared" ref="DV31" si="18">DV33-DV28</f>
        <v>0</v>
      </c>
      <c r="DW31" s="670"/>
      <c r="DX31" s="698">
        <f t="shared" ref="DX31" si="19">DX33-DX28</f>
        <v>5.6383451957295438E-2</v>
      </c>
      <c r="DY31" s="670"/>
      <c r="DZ31" s="698">
        <f t="shared" ref="DZ31" si="20">DZ33-DZ28</f>
        <v>0</v>
      </c>
      <c r="EA31" s="670"/>
      <c r="EB31" s="698">
        <f t="shared" ref="EB31" si="21">EB33-EB28</f>
        <v>0</v>
      </c>
      <c r="EC31" s="670"/>
      <c r="ED31" s="698">
        <f t="shared" ref="ED31" si="22">ED33-ED28</f>
        <v>0</v>
      </c>
      <c r="EE31" s="670"/>
      <c r="EF31" s="698">
        <f t="shared" ref="EF31" si="23">EF33-EF28</f>
        <v>0</v>
      </c>
      <c r="EG31" s="670"/>
      <c r="EH31" s="670"/>
      <c r="EI31" s="698"/>
      <c r="EJ31" s="699"/>
      <c r="EK31" s="698"/>
      <c r="EL31" s="699"/>
      <c r="EM31" s="698"/>
      <c r="EN31" s="699"/>
      <c r="EO31" s="698"/>
      <c r="EP31" s="699"/>
      <c r="EQ31" s="698"/>
      <c r="ER31" s="670"/>
      <c r="ES31" s="698"/>
      <c r="ET31" s="670"/>
      <c r="EU31" s="698"/>
      <c r="EV31" s="670"/>
      <c r="EW31" s="698"/>
      <c r="EX31" s="670"/>
      <c r="EY31" s="698"/>
      <c r="EZ31" s="670"/>
      <c r="FA31" s="698"/>
      <c r="FB31" s="670"/>
      <c r="FC31" s="698">
        <f>FC33-FC28</f>
        <v>-1.9534707856900495</v>
      </c>
      <c r="FD31" s="670"/>
      <c r="FE31" s="698">
        <f>FE33-FE28</f>
        <v>0</v>
      </c>
      <c r="FF31" s="670"/>
      <c r="FG31" s="698">
        <f>FG33-FG28</f>
        <v>-2.8102804781915403E-2</v>
      </c>
      <c r="FH31" s="670"/>
      <c r="FI31" s="698">
        <f>FI33-FI28</f>
        <v>-1.8031195164749469</v>
      </c>
      <c r="FJ31" s="670"/>
      <c r="FK31" s="698">
        <f>FK33-FK28</f>
        <v>0</v>
      </c>
      <c r="FL31" s="670"/>
      <c r="FM31" s="698">
        <f>FM33-FM28</f>
        <v>0</v>
      </c>
      <c r="FN31" s="670"/>
      <c r="FO31" s="698">
        <f>FO33-FO28</f>
        <v>5.5751044644820169E-2</v>
      </c>
      <c r="FP31" s="670"/>
      <c r="FQ31" s="698">
        <f>FQ33-FQ28</f>
        <v>0</v>
      </c>
      <c r="FR31" s="670"/>
      <c r="FS31" s="698">
        <f>FS33-FS28</f>
        <v>0</v>
      </c>
      <c r="FT31" s="670"/>
      <c r="FU31" s="698">
        <f>FU33-FU28</f>
        <v>0</v>
      </c>
      <c r="FV31" s="670"/>
      <c r="FW31" s="698">
        <f>FW33-FW28</f>
        <v>0</v>
      </c>
      <c r="FX31" s="670"/>
      <c r="FY31" s="698">
        <f>FY33-FY28</f>
        <v>0</v>
      </c>
      <c r="FZ31" s="670"/>
      <c r="GA31" s="1005"/>
    </row>
    <row r="32" spans="1:183" s="707" customFormat="1" ht="5.25" customHeight="1" collapsed="1" x14ac:dyDescent="0.2">
      <c r="A32" s="1003"/>
      <c r="B32" s="695"/>
      <c r="C32" s="671"/>
      <c r="D32" s="695"/>
      <c r="E32" s="696"/>
      <c r="F32" s="695"/>
      <c r="G32" s="696"/>
      <c r="H32" s="695"/>
      <c r="I32" s="696"/>
      <c r="J32" s="695"/>
      <c r="K32" s="696"/>
      <c r="L32" s="695"/>
      <c r="M32" s="696"/>
      <c r="N32" s="695"/>
      <c r="O32" s="696"/>
      <c r="P32" s="695"/>
      <c r="Q32" s="696"/>
      <c r="R32" s="695"/>
      <c r="S32" s="696"/>
      <c r="T32" s="695"/>
      <c r="U32" s="696"/>
      <c r="V32" s="695"/>
      <c r="W32" s="696"/>
      <c r="X32" s="695"/>
      <c r="Y32" s="696"/>
      <c r="Z32" s="695"/>
      <c r="AA32" s="696"/>
      <c r="AB32" s="695"/>
      <c r="AC32" s="696"/>
      <c r="AD32" s="695"/>
      <c r="AE32" s="696"/>
      <c r="AF32" s="695"/>
      <c r="AG32" s="696"/>
      <c r="AH32" s="695"/>
      <c r="AI32" s="696"/>
      <c r="AJ32" s="695"/>
      <c r="AK32" s="696"/>
      <c r="AL32" s="695"/>
      <c r="AM32" s="696"/>
      <c r="AN32" s="695"/>
      <c r="AO32" s="697"/>
      <c r="AP32" s="695"/>
      <c r="AQ32" s="697"/>
      <c r="AR32" s="695"/>
      <c r="AS32" s="697"/>
      <c r="AT32" s="695"/>
      <c r="AU32" s="697"/>
      <c r="AV32" s="695"/>
      <c r="AW32" s="697"/>
      <c r="AX32" s="695"/>
      <c r="AY32" s="697"/>
      <c r="AZ32" s="695"/>
      <c r="BA32" s="697"/>
      <c r="BB32" s="695"/>
      <c r="BC32" s="697"/>
      <c r="BD32" s="695"/>
      <c r="BE32" s="697"/>
      <c r="BF32" s="695"/>
      <c r="BG32" s="697"/>
      <c r="BH32" s="695"/>
      <c r="BI32" s="697"/>
      <c r="BJ32" s="695"/>
      <c r="BK32" s="697"/>
      <c r="BL32" s="695"/>
      <c r="BM32" s="697"/>
      <c r="BN32" s="695"/>
      <c r="BO32" s="697"/>
      <c r="BP32" s="695"/>
      <c r="BQ32" s="697"/>
      <c r="BR32" s="695"/>
      <c r="BS32" s="697"/>
      <c r="BT32" s="695"/>
      <c r="BU32" s="697"/>
      <c r="BV32" s="695"/>
      <c r="BW32" s="697"/>
      <c r="BX32" s="695"/>
      <c r="BY32" s="697"/>
      <c r="BZ32" s="695"/>
      <c r="CA32" s="697"/>
      <c r="CB32" s="695"/>
      <c r="CC32" s="697"/>
      <c r="CD32" s="695"/>
      <c r="CE32" s="697"/>
      <c r="CF32" s="695"/>
      <c r="CG32" s="697"/>
      <c r="CH32" s="695"/>
      <c r="CI32" s="697"/>
      <c r="CJ32" s="695"/>
      <c r="CK32" s="697"/>
      <c r="CL32" s="695"/>
      <c r="CM32" s="697"/>
      <c r="CN32" s="695"/>
      <c r="CO32" s="697"/>
      <c r="CP32" s="695"/>
      <c r="CQ32" s="697"/>
      <c r="CR32" s="695"/>
      <c r="CS32" s="697"/>
      <c r="CT32" s="695"/>
      <c r="CU32" s="697"/>
      <c r="CV32" s="695"/>
      <c r="CW32" s="697"/>
      <c r="CX32" s="695"/>
      <c r="CY32" s="697"/>
      <c r="CZ32" s="695"/>
      <c r="DA32" s="697"/>
      <c r="DB32" s="695"/>
      <c r="DC32" s="697"/>
      <c r="DD32" s="695"/>
      <c r="DE32" s="697"/>
      <c r="DF32" s="695"/>
      <c r="DG32" s="697"/>
      <c r="DH32" s="695"/>
      <c r="DI32" s="697"/>
      <c r="DJ32" s="695"/>
      <c r="DK32" s="697"/>
      <c r="DL32" s="695"/>
      <c r="DM32" s="697"/>
      <c r="DN32" s="695"/>
      <c r="DO32" s="697"/>
      <c r="DP32" s="695"/>
      <c r="DQ32" s="697"/>
      <c r="DR32" s="695"/>
      <c r="DS32" s="697"/>
      <c r="DT32" s="695"/>
      <c r="DU32" s="697"/>
      <c r="DV32" s="695"/>
      <c r="DW32" s="697"/>
      <c r="DX32" s="695"/>
      <c r="DY32" s="697"/>
      <c r="DZ32" s="695"/>
      <c r="EA32" s="697"/>
      <c r="EB32" s="695"/>
      <c r="EC32" s="697"/>
      <c r="ED32" s="695"/>
      <c r="EE32" s="697"/>
      <c r="EF32" s="695"/>
      <c r="EG32" s="697"/>
      <c r="EH32" s="697"/>
      <c r="EI32" s="695"/>
      <c r="EJ32" s="696"/>
      <c r="EK32" s="695"/>
      <c r="EL32" s="696"/>
      <c r="EM32" s="695"/>
      <c r="EN32" s="696"/>
      <c r="EO32" s="695"/>
      <c r="EP32" s="696"/>
      <c r="EQ32" s="695"/>
      <c r="ER32" s="697"/>
      <c r="ES32" s="695"/>
      <c r="ET32" s="697"/>
      <c r="EU32" s="695"/>
      <c r="EV32" s="697"/>
      <c r="EW32" s="695"/>
      <c r="EX32" s="697"/>
      <c r="EY32" s="695"/>
      <c r="EZ32" s="697"/>
      <c r="FA32" s="695"/>
      <c r="FB32" s="697"/>
      <c r="FC32" s="695"/>
      <c r="FD32" s="697"/>
      <c r="FE32" s="695"/>
      <c r="FF32" s="697"/>
      <c r="FG32" s="695"/>
      <c r="FH32" s="697"/>
      <c r="FI32" s="695"/>
      <c r="FJ32" s="697"/>
      <c r="FK32" s="695"/>
      <c r="FL32" s="697"/>
      <c r="FM32" s="695"/>
      <c r="FN32" s="697"/>
      <c r="FO32" s="695"/>
      <c r="FP32" s="697"/>
      <c r="FQ32" s="695"/>
      <c r="FR32" s="697"/>
      <c r="FS32" s="695"/>
      <c r="FT32" s="697"/>
      <c r="FU32" s="695"/>
      <c r="FV32" s="697"/>
      <c r="FW32" s="695"/>
      <c r="FX32" s="697"/>
      <c r="FY32" s="695"/>
      <c r="FZ32" s="697"/>
      <c r="GA32" s="1004"/>
    </row>
    <row r="33" spans="1:183" s="526" customFormat="1" ht="12.75" customHeight="1" x14ac:dyDescent="0.2">
      <c r="A33" s="1006" t="str">
        <f>INPUT!B488</f>
        <v>Operating EPS</v>
      </c>
      <c r="B33" s="630">
        <f>INPUT!M488</f>
        <v>0.6</v>
      </c>
      <c r="C33" s="631">
        <f>INPUT!N488</f>
        <v>-20.000000000000007</v>
      </c>
      <c r="D33" s="630">
        <f>INPUT!O488</f>
        <v>0.61</v>
      </c>
      <c r="E33" s="631">
        <f>INPUT!P488</f>
        <v>1.6666666666666607</v>
      </c>
      <c r="F33" s="630">
        <f>INPUT!Q488</f>
        <v>0.62</v>
      </c>
      <c r="G33" s="631">
        <f>INPUT!R488</f>
        <v>37.777777777777779</v>
      </c>
      <c r="H33" s="630">
        <f>INPUT!S488</f>
        <v>0.62</v>
      </c>
      <c r="I33" s="631">
        <f>INPUT!T488</f>
        <v>1.6393442622950838</v>
      </c>
      <c r="J33" s="630">
        <f>INPUT!U488</f>
        <v>-0.8</v>
      </c>
      <c r="K33" s="631" t="str">
        <f>INPUT!V488</f>
        <v>NM</v>
      </c>
      <c r="L33" s="630">
        <f>INPUT!W488</f>
        <v>0.41</v>
      </c>
      <c r="M33" s="631">
        <f>INPUT!X488</f>
        <v>-32.786885245901644</v>
      </c>
      <c r="N33" s="630">
        <f>INPUT!Y488</f>
        <v>0.38</v>
      </c>
      <c r="O33" s="631">
        <f>INPUT!Z488</f>
        <v>-38.70967741935484</v>
      </c>
      <c r="P33" s="630">
        <f>INPUT!AA488</f>
        <v>-0.62</v>
      </c>
      <c r="Q33" s="631" t="str">
        <f>INPUT!AB488</f>
        <v>NM</v>
      </c>
      <c r="R33" s="630">
        <f>INPUT!AC488</f>
        <v>-1.98</v>
      </c>
      <c r="S33" s="631" t="str">
        <f>INPUT!AD488</f>
        <v>NM</v>
      </c>
      <c r="T33" s="630">
        <f>INPUT!AE488</f>
        <v>0.43</v>
      </c>
      <c r="U33" s="631">
        <f>INPUT!AF488</f>
        <v>4.8780487804878092</v>
      </c>
      <c r="V33" s="630">
        <f>INPUT!AG488</f>
        <v>0.42</v>
      </c>
      <c r="W33" s="631">
        <f>INPUT!AH488</f>
        <v>10.526315789473673</v>
      </c>
      <c r="X33" s="630">
        <f>INPUT!AI488</f>
        <v>0.39</v>
      </c>
      <c r="Y33" s="631" t="str">
        <f>INPUT!AJ488</f>
        <v>NM</v>
      </c>
      <c r="Z33" s="630">
        <f>INPUT!AK488</f>
        <v>0.5</v>
      </c>
      <c r="AA33" s="631" t="str">
        <f>INPUT!AL488</f>
        <v>NM</v>
      </c>
      <c r="AB33" s="630">
        <f>INPUT!AM488</f>
        <v>0.42</v>
      </c>
      <c r="AC33" s="631">
        <f>INPUT!AN488</f>
        <v>-2.3255813953488413</v>
      </c>
      <c r="AD33" s="630">
        <f>INPUT!AO488</f>
        <v>0.43</v>
      </c>
      <c r="AE33" s="631">
        <f>INPUT!AP488</f>
        <v>2.3809523809523725</v>
      </c>
      <c r="AF33" s="630">
        <f>INPUT!AQ488</f>
        <v>0.42</v>
      </c>
      <c r="AG33" s="631">
        <f>INPUT!AR488</f>
        <v>7.6923076923076872</v>
      </c>
      <c r="AH33" s="630">
        <f>INPUT!AS488</f>
        <v>0.42</v>
      </c>
      <c r="AI33" s="631">
        <f>INPUT!AT488</f>
        <v>-16.000000000000004</v>
      </c>
      <c r="AJ33" s="630">
        <f>INPUT!AU488</f>
        <v>0.43</v>
      </c>
      <c r="AK33" s="631">
        <f>INPUT!AV488</f>
        <v>2.3809523809523725</v>
      </c>
      <c r="AL33" s="630">
        <f>INPUT!AW488</f>
        <v>0.46</v>
      </c>
      <c r="AM33" s="631">
        <f>INPUT!AX488</f>
        <v>6.976744186046524</v>
      </c>
      <c r="AN33" s="630">
        <f>INPUT!AY488</f>
        <v>0.52</v>
      </c>
      <c r="AO33" s="632">
        <f>INPUT!AZ488</f>
        <v>23.809523809523814</v>
      </c>
      <c r="AP33" s="630">
        <f>INPUT!BA488</f>
        <v>0.5</v>
      </c>
      <c r="AQ33" s="632">
        <f>INPUT!BB488</f>
        <v>19.047619047619047</v>
      </c>
      <c r="AR33" s="630">
        <f>INPUT!BC488</f>
        <v>0.51</v>
      </c>
      <c r="AS33" s="632">
        <f>INPUT!BD488</f>
        <v>18.604651162790709</v>
      </c>
      <c r="AT33" s="630">
        <f>INPUT!BE488</f>
        <v>0.6</v>
      </c>
      <c r="AU33" s="632">
        <f>INPUT!BF488</f>
        <v>30.434782608695631</v>
      </c>
      <c r="AV33" s="630">
        <f>INPUT!BG488</f>
        <v>0.59</v>
      </c>
      <c r="AW33" s="632">
        <f>INPUT!BH488</f>
        <v>13.461538461538458</v>
      </c>
      <c r="AX33" s="630">
        <f>INPUT!BI488</f>
        <v>0.59</v>
      </c>
      <c r="AY33" s="632">
        <f>INPUT!BJ488</f>
        <v>17.999999999999993</v>
      </c>
      <c r="AZ33" s="630">
        <f>INPUT!BK488</f>
        <v>0.65</v>
      </c>
      <c r="BA33" s="632">
        <f>INPUT!BL488</f>
        <v>27.450980392156854</v>
      </c>
      <c r="BB33" s="630">
        <f>INPUT!BM488</f>
        <v>0.64</v>
      </c>
      <c r="BC33" s="632">
        <f>INPUT!BN488</f>
        <v>6.6666666666666652</v>
      </c>
      <c r="BD33" s="630">
        <f>INPUT!BO488</f>
        <v>0.63</v>
      </c>
      <c r="BE33" s="632">
        <f>INPUT!BP488</f>
        <v>6.7796610169491567</v>
      </c>
      <c r="BF33" s="630">
        <f>INPUT!BQ488</f>
        <v>0.62</v>
      </c>
      <c r="BG33" s="632">
        <f>INPUT!BR488</f>
        <v>5.0847457627118731</v>
      </c>
      <c r="BH33" s="630">
        <f>INPUT!BS488</f>
        <v>0.65</v>
      </c>
      <c r="BI33" s="632">
        <f>INPUT!BT488</f>
        <v>0</v>
      </c>
      <c r="BJ33" s="630">
        <f>INPUT!BU488</f>
        <v>0.64</v>
      </c>
      <c r="BK33" s="632">
        <f>INPUT!BV488</f>
        <v>0</v>
      </c>
      <c r="BL33" s="630">
        <f>INPUT!BW488</f>
        <v>0.66</v>
      </c>
      <c r="BM33" s="632">
        <f>INPUT!BX488</f>
        <v>4.7619047619047672</v>
      </c>
      <c r="BN33" s="630">
        <f>INPUT!BY488</f>
        <v>0.67940993445079345</v>
      </c>
      <c r="BO33" s="632">
        <f>INPUT!BZ488</f>
        <v>9.5822474920634662</v>
      </c>
      <c r="BP33" s="630">
        <f>INPUT!CA488</f>
        <v>0.69803576338947426</v>
      </c>
      <c r="BQ33" s="632">
        <f>INPUT!CB488</f>
        <v>7.3901174445345053</v>
      </c>
      <c r="BR33" s="630">
        <f>INPUT!CC488</f>
        <v>0.68820562264918328</v>
      </c>
      <c r="BS33" s="632">
        <f>INPUT!CD488</f>
        <v>7.5321285389348791</v>
      </c>
      <c r="BT33" s="630">
        <f>INPUT!CE488</f>
        <v>0.66663957821905528</v>
      </c>
      <c r="BU33" s="632">
        <f>INPUT!CF488</f>
        <v>1.0059966998568592</v>
      </c>
      <c r="BV33" s="630">
        <f>INPUT!CG488</f>
        <v>0.69703300663164036</v>
      </c>
      <c r="BW33" s="632">
        <f>INPUT!CH488</f>
        <v>2.5938790834862724</v>
      </c>
      <c r="BX33" s="630">
        <f>INPUT!CI488</f>
        <v>0.76444898692682983</v>
      </c>
      <c r="BY33" s="632">
        <f>INPUT!CJ488</f>
        <v>9.5143009886586416</v>
      </c>
      <c r="BZ33" s="630">
        <f>INPUT!CK488</f>
        <v>0.74572262394087163</v>
      </c>
      <c r="CA33" s="632">
        <f>INPUT!CL488</f>
        <v>8.3575314410077048</v>
      </c>
      <c r="CB33" s="630">
        <f>INPUT!CM488</f>
        <v>-1.2192469066685814</v>
      </c>
      <c r="CC33" s="632" t="str">
        <f>INPUT!CN488</f>
        <v>NM</v>
      </c>
      <c r="CD33" s="630">
        <f>INPUT!CO488</f>
        <v>0.73193163253203453</v>
      </c>
      <c r="CE33" s="632">
        <f>INPUT!CP488</f>
        <v>5.0067393607426292</v>
      </c>
      <c r="CF33" s="630">
        <f>INPUT!CQ488</f>
        <v>0.79403502562156802</v>
      </c>
      <c r="CG33" s="632">
        <f>INPUT!CR488</f>
        <v>3.8702436919535232</v>
      </c>
      <c r="CH33" s="630">
        <f>INPUT!CS488</f>
        <v>0.80427691772748733</v>
      </c>
      <c r="CI33" s="632">
        <f>INPUT!CT488</f>
        <v>7.8520205645870922</v>
      </c>
      <c r="CJ33" s="630">
        <f>INPUT!CU488</f>
        <v>0.8223684210526313</v>
      </c>
      <c r="CK33" s="632" t="str">
        <f>INPUT!CV488</f>
        <v>NM</v>
      </c>
      <c r="CL33" s="630">
        <f>INPUT!CW488</f>
        <v>0.78674511653490997</v>
      </c>
      <c r="CM33" s="632">
        <f>INPUT!CX488</f>
        <v>7.4888803225042322</v>
      </c>
      <c r="CN33" s="630">
        <f>INPUT!CY488</f>
        <v>0.8094136357937507</v>
      </c>
      <c r="CO33" s="632">
        <f>INPUT!CZ488</f>
        <v>1.9367672301539018</v>
      </c>
      <c r="CP33" s="630">
        <f>INPUT!DA488</f>
        <v>0.83856793409688568</v>
      </c>
      <c r="CQ33" s="632">
        <f>INPUT!DB488</f>
        <v>4.263583302413898</v>
      </c>
      <c r="CR33" s="630">
        <f>INPUT!DC488</f>
        <v>0.81607006854531583</v>
      </c>
      <c r="CS33" s="632">
        <f>INPUT!DD488</f>
        <v>-0.76587966488955717</v>
      </c>
      <c r="CT33" s="630">
        <f>INPUT!DE488</f>
        <v>0.85385500575373896</v>
      </c>
      <c r="CU33" s="632">
        <f>INPUT!DF488</f>
        <v>8.5300674651027428</v>
      </c>
      <c r="CV33" s="630">
        <f>INPUT!DG488</f>
        <v>0.85808452888716569</v>
      </c>
      <c r="CW33" s="632">
        <f>INPUT!DH488</f>
        <v>6.0131051592287488</v>
      </c>
      <c r="CX33" s="630">
        <f>INPUT!DI488</f>
        <v>0.85989010989011005</v>
      </c>
      <c r="CY33" s="632">
        <f>INPUT!DJ488</f>
        <v>2.5426891401693963</v>
      </c>
      <c r="CZ33" s="630">
        <f>INPUT!DK488</f>
        <v>-0.90768621236133129</v>
      </c>
      <c r="DA33" s="632" t="str">
        <f>INPUT!DL488</f>
        <v>NM</v>
      </c>
      <c r="DB33" s="630">
        <f>INPUT!DM488</f>
        <v>0.8838223632038068</v>
      </c>
      <c r="DC33" s="632">
        <f>INPUT!DN488</f>
        <v>3.5096541272384041</v>
      </c>
      <c r="DD33" s="630">
        <f>INPUT!DO488</f>
        <v>0.88487765744083402</v>
      </c>
      <c r="DE33" s="632">
        <f>INPUT!DP488</f>
        <v>3.1224346380438694</v>
      </c>
      <c r="DF33" s="630">
        <f>INPUT!DQ488</f>
        <v>0.8976857490864808</v>
      </c>
      <c r="DG33" s="632">
        <f>INPUT!DR488</f>
        <v>4.3954034081402416</v>
      </c>
      <c r="DH33" s="630">
        <f>INPUT!DS488</f>
        <v>0.93765381460213248</v>
      </c>
      <c r="DI33" s="632" t="str">
        <f>INPUT!DT488</f>
        <v>NM</v>
      </c>
      <c r="DJ33" s="630">
        <f>INPUT!DU488</f>
        <v>0.93533583646224372</v>
      </c>
      <c r="DK33" s="632">
        <f>INPUT!DV488</f>
        <v>5.8284871941578276</v>
      </c>
      <c r="DL33" s="630">
        <f>INPUT!DW488</f>
        <v>0.98187947745469828</v>
      </c>
      <c r="DM33" s="632">
        <f>INPUT!DX488</f>
        <v>10.962173041458012</v>
      </c>
      <c r="DN33" s="630">
        <f>INPUT!DY488</f>
        <v>0.97651579846285308</v>
      </c>
      <c r="DO33" s="632">
        <f>INPUT!DZ488</f>
        <v>8.7814749712349602</v>
      </c>
      <c r="DP33" s="630">
        <f>INPUT!EA488</f>
        <v>0.98838209982788272</v>
      </c>
      <c r="DQ33" s="632">
        <f>INPUT!EB488</f>
        <v>5.4101294567094893</v>
      </c>
      <c r="DR33" s="630">
        <f>INPUT!EC488</f>
        <v>1.0247395833333321</v>
      </c>
      <c r="DS33" s="632">
        <f>INPUT!ED488</f>
        <v>9.5584648193576705</v>
      </c>
      <c r="DT33" s="630">
        <f>INPUT!EE488</f>
        <v>1.0534618755477656</v>
      </c>
      <c r="DU33" s="632">
        <f>INPUT!EF488</f>
        <v>7.2903446641566116</v>
      </c>
      <c r="DV33" s="630">
        <f>INPUT!EG488</f>
        <v>1.0862831858407076</v>
      </c>
      <c r="DW33" s="632">
        <f>INPUT!EH488</f>
        <v>11.240718025314166</v>
      </c>
      <c r="DX33" s="630">
        <f>INPUT!EI488</f>
        <v>1.1281138790035579</v>
      </c>
      <c r="DY33" s="632">
        <f>INPUT!EJ488</f>
        <v>14.137425111200219</v>
      </c>
      <c r="DZ33" s="630">
        <f>INPUT!EK488</f>
        <v>1.2720273653832308</v>
      </c>
      <c r="EA33" s="632">
        <f>INPUT!EL488</f>
        <v>24.131768311857993</v>
      </c>
      <c r="EB33" s="630">
        <f>INPUT!EM488</f>
        <v>1.2914948247809064</v>
      </c>
      <c r="EC33" s="632">
        <f>INPUT!EN488</f>
        <v>22.595307410566857</v>
      </c>
      <c r="ED33" s="630">
        <f>INPUT!EO488</f>
        <v>1.3077515554781463</v>
      </c>
      <c r="EE33" s="632">
        <f>INPUT!EP488</f>
        <v>20.387719567438346</v>
      </c>
      <c r="EF33" s="630">
        <f>INPUT!EQ488</f>
        <v>1.327471892073594</v>
      </c>
      <c r="EG33" s="632">
        <f>INPUT!ER488</f>
        <v>17.671798634914882</v>
      </c>
      <c r="EH33" s="633"/>
      <c r="EI33" s="630">
        <f>INPUT!FB488</f>
        <v>-0.98</v>
      </c>
      <c r="EJ33" s="631" t="str">
        <f>INPUT!FC488</f>
        <v>NA</v>
      </c>
      <c r="EK33" s="630">
        <f>INPUT!FD488</f>
        <v>3.1</v>
      </c>
      <c r="EL33" s="631" t="str">
        <f>INPUT!FE488</f>
        <v>NM</v>
      </c>
      <c r="EM33" s="630">
        <f>INPUT!FF488</f>
        <v>0.15</v>
      </c>
      <c r="EN33" s="631" t="str">
        <f>INPUT!FG488</f>
        <v>NM</v>
      </c>
      <c r="EO33" s="630">
        <f>INPUT!FH488</f>
        <v>-0.19</v>
      </c>
      <c r="EP33" s="631" t="str">
        <f>INPUT!FI488</f>
        <v>NM</v>
      </c>
      <c r="EQ33" s="630">
        <f>INPUT!FJ488</f>
        <v>1.77</v>
      </c>
      <c r="ER33" s="632" t="str">
        <f>INPUT!FK488</f>
        <v>NM</v>
      </c>
      <c r="ES33" s="630">
        <f>INPUT!FL488</f>
        <v>1.83</v>
      </c>
      <c r="ET33" s="632">
        <f>INPUT!FM488</f>
        <v>3.3898305084745894</v>
      </c>
      <c r="EU33" s="630">
        <f>INPUT!FN488</f>
        <v>2.21</v>
      </c>
      <c r="EV33" s="632">
        <f>INPUT!FO488</f>
        <v>20.765027322404372</v>
      </c>
      <c r="EW33" s="630">
        <f>INPUT!FP488</f>
        <v>2.5099999999999998</v>
      </c>
      <c r="EX33" s="632">
        <f>INPUT!FQ488</f>
        <v>13.574660633484159</v>
      </c>
      <c r="EY33" s="630">
        <f>INPUT!FR488</f>
        <v>2.59</v>
      </c>
      <c r="EZ33" s="632">
        <f>INPUT!FS488</f>
        <v>3.1872509960159334</v>
      </c>
      <c r="FA33" s="630">
        <f>INPUT!FT488</f>
        <v>2.732884478973884</v>
      </c>
      <c r="FB33" s="632">
        <f>INPUT!FU488</f>
        <v>5.5167752499569067</v>
      </c>
      <c r="FC33" s="630">
        <f>INPUT!FV488</f>
        <v>1.0077687916143476</v>
      </c>
      <c r="FD33" s="632" t="str">
        <f>INPUT!FW488</f>
        <v>NM</v>
      </c>
      <c r="FE33" s="630">
        <f>INPUT!FX488</f>
        <v>3.127218823882048</v>
      </c>
      <c r="FF33" s="632" t="str">
        <f>INPUT!FY488</f>
        <v>NM</v>
      </c>
      <c r="FG33" s="630">
        <f>INPUT!FZ488</f>
        <v>3.2501504660823852</v>
      </c>
      <c r="FH33" s="632">
        <f>INPUT!GA488</f>
        <v>3.9310214322556769</v>
      </c>
      <c r="FI33" s="630">
        <f>INPUT!GB488</f>
        <v>1.6919477480990448</v>
      </c>
      <c r="FJ33" s="632">
        <f>INPUT!GC488</f>
        <v>-47.942479409623829</v>
      </c>
      <c r="FK33" s="630">
        <f>INPUT!GD488</f>
        <v>3.6030657523194822</v>
      </c>
      <c r="FL33" s="632" t="str">
        <f>INPUT!GE488</f>
        <v>NM</v>
      </c>
      <c r="FM33" s="630">
        <f>INPUT!GF488</f>
        <v>3.8813056379822002</v>
      </c>
      <c r="FN33" s="632">
        <f>INPUT!GG488</f>
        <v>7.7223094106345425</v>
      </c>
      <c r="FO33" s="630">
        <f>INPUT!GH488</f>
        <v>4.291180998460522</v>
      </c>
      <c r="FP33" s="632">
        <f>INPUT!GI488</f>
        <v>10.56024437929619</v>
      </c>
      <c r="FQ33" s="630">
        <f>INPUT!GJ488</f>
        <v>5.1979661887095761</v>
      </c>
      <c r="FR33" s="632">
        <f>INPUT!GK488</f>
        <v>21.131366646486516</v>
      </c>
      <c r="FS33" s="630">
        <f>INPUT!GL488</f>
        <v>5.5047351554945934</v>
      </c>
      <c r="FT33" s="632">
        <f>INPUT!GM488</f>
        <v>5.901711470369797</v>
      </c>
      <c r="FU33" s="630">
        <f>INPUT!GN488</f>
        <v>5.8546964937249504</v>
      </c>
      <c r="FV33" s="632">
        <f>INPUT!GO488</f>
        <v>6.3574600474836762</v>
      </c>
      <c r="FW33" s="630">
        <f>INPUT!GP488</f>
        <v>6.2452514056605244</v>
      </c>
      <c r="FX33" s="632">
        <f>INPUT!GQ488</f>
        <v>6.670796895350084</v>
      </c>
      <c r="FY33" s="630">
        <f>INPUT!GR488</f>
        <v>6.6510372047902013</v>
      </c>
      <c r="FZ33" s="632">
        <f>INPUT!GS488</f>
        <v>6.4975094319162929</v>
      </c>
      <c r="GA33" s="1007">
        <f>INPUT!GT488</f>
        <v>9.1597440816612696</v>
      </c>
    </row>
    <row r="34" spans="1:183" s="544" customFormat="1" ht="12.75" hidden="1" customHeight="1" outlineLevel="1" x14ac:dyDescent="0.2">
      <c r="A34" s="1001" t="s">
        <v>517</v>
      </c>
      <c r="B34" s="625"/>
      <c r="C34" s="626"/>
      <c r="D34" s="625"/>
      <c r="E34" s="627"/>
      <c r="F34" s="625"/>
      <c r="G34" s="627"/>
      <c r="H34" s="625"/>
      <c r="I34" s="627"/>
      <c r="J34" s="625"/>
      <c r="K34" s="627"/>
      <c r="L34" s="625"/>
      <c r="M34" s="627"/>
      <c r="N34" s="625"/>
      <c r="O34" s="627"/>
      <c r="P34" s="625"/>
      <c r="Q34" s="627"/>
      <c r="R34" s="625"/>
      <c r="S34" s="627"/>
      <c r="T34" s="625"/>
      <c r="U34" s="627"/>
      <c r="V34" s="625"/>
      <c r="W34" s="627"/>
      <c r="X34" s="625"/>
      <c r="Y34" s="627"/>
      <c r="Z34" s="625"/>
      <c r="AA34" s="627"/>
      <c r="AB34" s="625"/>
      <c r="AC34" s="627"/>
      <c r="AD34" s="625"/>
      <c r="AE34" s="627"/>
      <c r="AF34" s="625"/>
      <c r="AG34" s="627"/>
      <c r="AH34" s="625"/>
      <c r="AI34" s="627"/>
      <c r="AJ34" s="625"/>
      <c r="AK34" s="627"/>
      <c r="AL34" s="625"/>
      <c r="AM34" s="627"/>
      <c r="AN34" s="625"/>
      <c r="AO34" s="628"/>
      <c r="AP34" s="625"/>
      <c r="AQ34" s="628"/>
      <c r="AR34" s="625"/>
      <c r="AS34" s="628"/>
      <c r="AT34" s="625"/>
      <c r="AU34" s="628"/>
      <c r="AV34" s="625"/>
      <c r="AW34" s="628"/>
      <c r="AX34" s="625"/>
      <c r="AY34" s="628"/>
      <c r="AZ34" s="625"/>
      <c r="BA34" s="628"/>
      <c r="BB34" s="625"/>
      <c r="BC34" s="628"/>
      <c r="BD34" s="625"/>
      <c r="BE34" s="628"/>
      <c r="BF34" s="625"/>
      <c r="BG34" s="628"/>
      <c r="BH34" s="625"/>
      <c r="BI34" s="628"/>
      <c r="BJ34" s="625"/>
      <c r="BK34" s="628"/>
      <c r="BL34" s="625"/>
      <c r="BM34" s="628"/>
      <c r="BN34" s="625"/>
      <c r="BO34" s="628"/>
      <c r="BP34" s="625"/>
      <c r="BQ34" s="628"/>
      <c r="BR34" s="625"/>
      <c r="BS34" s="628"/>
      <c r="BT34" s="625"/>
      <c r="BU34" s="628"/>
      <c r="BV34" s="625"/>
      <c r="BW34" s="628"/>
      <c r="BX34" s="625"/>
      <c r="BY34" s="628"/>
      <c r="BZ34" s="625"/>
      <c r="CA34" s="628"/>
      <c r="CB34" s="625"/>
      <c r="CC34" s="628"/>
      <c r="CD34" s="629">
        <f>(CD24/CD66)-CD33</f>
        <v>0</v>
      </c>
      <c r="CE34" s="628"/>
      <c r="CF34" s="629">
        <f>(CF24/CF66)-CF33</f>
        <v>0</v>
      </c>
      <c r="CG34" s="628"/>
      <c r="CH34" s="629">
        <f>(CH24/CH66)-CH33</f>
        <v>0</v>
      </c>
      <c r="CI34" s="628"/>
      <c r="CJ34" s="629">
        <f>(CJ24/CJ66)-CJ33</f>
        <v>0</v>
      </c>
      <c r="CK34" s="628"/>
      <c r="CL34" s="629">
        <f>(CL24/CL66)-CL33</f>
        <v>0</v>
      </c>
      <c r="CM34" s="628"/>
      <c r="CN34" s="629">
        <f>(CN24/CN66)-CN33</f>
        <v>0</v>
      </c>
      <c r="CO34" s="628"/>
      <c r="CP34" s="629">
        <f>(CP24/CP66)-CP33</f>
        <v>0</v>
      </c>
      <c r="CQ34" s="628"/>
      <c r="CR34" s="629">
        <f>(CR24/CR66)-CR33</f>
        <v>0</v>
      </c>
      <c r="CS34" s="628"/>
      <c r="CT34" s="629">
        <f>(CT24/CT66)-CT33</f>
        <v>0</v>
      </c>
      <c r="CU34" s="628"/>
      <c r="CV34" s="629">
        <f>(CV24/CV66)-CV33</f>
        <v>0</v>
      </c>
      <c r="CW34" s="628"/>
      <c r="CX34" s="629">
        <f>(CX24/CX66)-CX33</f>
        <v>0</v>
      </c>
      <c r="CY34" s="628"/>
      <c r="CZ34" s="629">
        <f>(CZ24/CZ66)-CZ33</f>
        <v>0</v>
      </c>
      <c r="DA34" s="628"/>
      <c r="DB34" s="629">
        <f>(DB24/DB66)-DB33</f>
        <v>0</v>
      </c>
      <c r="DC34" s="628"/>
      <c r="DD34" s="629">
        <f>(DD24/DD66)-DD33</f>
        <v>0</v>
      </c>
      <c r="DE34" s="628"/>
      <c r="DF34" s="629">
        <f>(DF24/DF66)-DF33</f>
        <v>0</v>
      </c>
      <c r="DG34" s="628"/>
      <c r="DH34" s="629">
        <f>(DH24/DH66)-DH33</f>
        <v>0</v>
      </c>
      <c r="DI34" s="628"/>
      <c r="DJ34" s="629">
        <f>(DJ24/DJ66)-DJ33</f>
        <v>0</v>
      </c>
      <c r="DK34" s="628"/>
      <c r="DL34" s="629">
        <f>(DL24/DL66)-DL33</f>
        <v>0</v>
      </c>
      <c r="DM34" s="628"/>
      <c r="DN34" s="629">
        <f>(DN24/DN66)-DN33</f>
        <v>0</v>
      </c>
      <c r="DO34" s="628"/>
      <c r="DP34" s="629">
        <f>(DP24/DP66)-DP33</f>
        <v>0</v>
      </c>
      <c r="DQ34" s="628"/>
      <c r="DR34" s="629">
        <f t="shared" ref="DR34" si="24">(DR24/DR66)-DR33</f>
        <v>0</v>
      </c>
      <c r="DS34" s="628"/>
      <c r="DT34" s="629">
        <f t="shared" ref="DT34" si="25">(DT24/DT66)-DT33</f>
        <v>0</v>
      </c>
      <c r="DU34" s="628"/>
      <c r="DV34" s="629">
        <f t="shared" ref="DV34" si="26">(DV24/DV66)-DV33</f>
        <v>0</v>
      </c>
      <c r="DW34" s="628"/>
      <c r="DX34" s="629">
        <f t="shared" ref="DX34" si="27">(DX24/DX66)-DX33</f>
        <v>0</v>
      </c>
      <c r="DY34" s="628"/>
      <c r="DZ34" s="629">
        <f t="shared" ref="DZ34" si="28">(DZ24/DZ66)-DZ33</f>
        <v>0</v>
      </c>
      <c r="EA34" s="628"/>
      <c r="EB34" s="629">
        <f t="shared" ref="EB34" si="29">(EB24/EB66)-EB33</f>
        <v>0</v>
      </c>
      <c r="EC34" s="628"/>
      <c r="ED34" s="629">
        <f t="shared" ref="ED34" si="30">(ED24/ED66)-ED33</f>
        <v>0</v>
      </c>
      <c r="EE34" s="628"/>
      <c r="EF34" s="629">
        <f t="shared" ref="EF34" si="31">(EF24/EF66)-EF33</f>
        <v>0</v>
      </c>
      <c r="EG34" s="628"/>
      <c r="EH34" s="628"/>
      <c r="EI34" s="625"/>
      <c r="EJ34" s="627"/>
      <c r="EK34" s="625"/>
      <c r="EL34" s="627"/>
      <c r="EM34" s="625"/>
      <c r="EN34" s="627"/>
      <c r="EO34" s="625"/>
      <c r="EP34" s="627"/>
      <c r="EQ34" s="625"/>
      <c r="ER34" s="628"/>
      <c r="ES34" s="625"/>
      <c r="ET34" s="628"/>
      <c r="EU34" s="625"/>
      <c r="EV34" s="628"/>
      <c r="EW34" s="625"/>
      <c r="EX34" s="628"/>
      <c r="EY34" s="625"/>
      <c r="EZ34" s="628"/>
      <c r="FA34" s="625"/>
      <c r="FB34" s="628"/>
      <c r="FC34" s="629">
        <f>(FC24/FC66)-FC33</f>
        <v>0</v>
      </c>
      <c r="FD34" s="628"/>
      <c r="FE34" s="629">
        <f>(FE24/FE66)-FE33</f>
        <v>0</v>
      </c>
      <c r="FF34" s="628"/>
      <c r="FG34" s="629">
        <f>(FG24/FG66)-FG33</f>
        <v>0</v>
      </c>
      <c r="FH34" s="628"/>
      <c r="FI34" s="629">
        <f>(FI24/FI66)-FI33</f>
        <v>0</v>
      </c>
      <c r="FJ34" s="628"/>
      <c r="FK34" s="629">
        <f>(FK24/FK66)-FK33</f>
        <v>0</v>
      </c>
      <c r="FL34" s="628"/>
      <c r="FM34" s="629">
        <f>(FM24/FM66)-FM33</f>
        <v>0</v>
      </c>
      <c r="FN34" s="628"/>
      <c r="FO34" s="629">
        <f>(FO24/FO66)-FO33</f>
        <v>0</v>
      </c>
      <c r="FP34" s="628"/>
      <c r="FQ34" s="629">
        <f>(FQ24/FQ66)-FQ33</f>
        <v>0</v>
      </c>
      <c r="FR34" s="628"/>
      <c r="FS34" s="629">
        <f>(FS24/FS66)-FS33</f>
        <v>0</v>
      </c>
      <c r="FT34" s="628"/>
      <c r="FU34" s="629">
        <f>(FU24/FU66)-FU33</f>
        <v>0</v>
      </c>
      <c r="FV34" s="628"/>
      <c r="FW34" s="629">
        <f>(FW24/FW66)-FW33</f>
        <v>0</v>
      </c>
      <c r="FX34" s="628"/>
      <c r="FY34" s="629">
        <f>(FY24/FY66)-FY33</f>
        <v>0</v>
      </c>
      <c r="FZ34" s="628"/>
      <c r="GA34" s="1002"/>
    </row>
    <row r="35" spans="1:183" s="707" customFormat="1" ht="4.5" customHeight="1" collapsed="1" x14ac:dyDescent="0.2">
      <c r="A35" s="991"/>
      <c r="B35" s="700"/>
      <c r="C35" s="681"/>
      <c r="D35" s="700"/>
      <c r="E35" s="681"/>
      <c r="F35" s="700"/>
      <c r="G35" s="681"/>
      <c r="H35" s="700"/>
      <c r="I35" s="681"/>
      <c r="J35" s="700"/>
      <c r="K35" s="681"/>
      <c r="L35" s="700"/>
      <c r="M35" s="681"/>
      <c r="N35" s="700"/>
      <c r="O35" s="681"/>
      <c r="P35" s="700"/>
      <c r="Q35" s="681"/>
      <c r="R35" s="700"/>
      <c r="S35" s="681"/>
      <c r="T35" s="700"/>
      <c r="U35" s="681"/>
      <c r="V35" s="700"/>
      <c r="W35" s="681"/>
      <c r="X35" s="700"/>
      <c r="Y35" s="681"/>
      <c r="Z35" s="700"/>
      <c r="AA35" s="681"/>
      <c r="AB35" s="700"/>
      <c r="AC35" s="681"/>
      <c r="AD35" s="700"/>
      <c r="AE35" s="681"/>
      <c r="AF35" s="700"/>
      <c r="AG35" s="681"/>
      <c r="AH35" s="700"/>
      <c r="AI35" s="681"/>
      <c r="AJ35" s="700"/>
      <c r="AK35" s="681"/>
      <c r="AL35" s="700"/>
      <c r="AM35" s="681"/>
      <c r="AN35" s="700"/>
      <c r="AO35" s="670"/>
      <c r="AP35" s="700"/>
      <c r="AQ35" s="670"/>
      <c r="AR35" s="700"/>
      <c r="AS35" s="670"/>
      <c r="AT35" s="700"/>
      <c r="AU35" s="670"/>
      <c r="AV35" s="700"/>
      <c r="AW35" s="670"/>
      <c r="AX35" s="700"/>
      <c r="AY35" s="670"/>
      <c r="AZ35" s="700"/>
      <c r="BA35" s="670"/>
      <c r="BB35" s="700"/>
      <c r="BC35" s="670"/>
      <c r="BD35" s="700"/>
      <c r="BE35" s="670"/>
      <c r="BF35" s="700"/>
      <c r="BG35" s="670"/>
      <c r="BH35" s="700"/>
      <c r="BI35" s="670"/>
      <c r="BJ35" s="700"/>
      <c r="BK35" s="670"/>
      <c r="BL35" s="700"/>
      <c r="BM35" s="670"/>
      <c r="BN35" s="700"/>
      <c r="BO35" s="670"/>
      <c r="BP35" s="700"/>
      <c r="BQ35" s="670"/>
      <c r="BR35" s="700"/>
      <c r="BS35" s="670"/>
      <c r="BT35" s="700"/>
      <c r="BU35" s="670"/>
      <c r="BV35" s="700"/>
      <c r="BW35" s="670"/>
      <c r="BX35" s="700"/>
      <c r="BY35" s="670"/>
      <c r="BZ35" s="700"/>
      <c r="CA35" s="670"/>
      <c r="CB35" s="700"/>
      <c r="CC35" s="670"/>
      <c r="CD35" s="700"/>
      <c r="CE35" s="670"/>
      <c r="CF35" s="700"/>
      <c r="CG35" s="670"/>
      <c r="CH35" s="700"/>
      <c r="CI35" s="670"/>
      <c r="CJ35" s="700"/>
      <c r="CK35" s="670"/>
      <c r="CL35" s="700"/>
      <c r="CM35" s="670"/>
      <c r="CN35" s="700"/>
      <c r="CO35" s="670"/>
      <c r="CP35" s="700"/>
      <c r="CQ35" s="670"/>
      <c r="CR35" s="700"/>
      <c r="CS35" s="670"/>
      <c r="CT35" s="700"/>
      <c r="CU35" s="670"/>
      <c r="CV35" s="700"/>
      <c r="CW35" s="670"/>
      <c r="CX35" s="700"/>
      <c r="CY35" s="670"/>
      <c r="CZ35" s="700"/>
      <c r="DA35" s="670"/>
      <c r="DB35" s="700"/>
      <c r="DC35" s="670"/>
      <c r="DD35" s="700"/>
      <c r="DE35" s="670"/>
      <c r="DF35" s="700"/>
      <c r="DG35" s="670"/>
      <c r="DH35" s="700"/>
      <c r="DI35" s="670"/>
      <c r="DJ35" s="700"/>
      <c r="DK35" s="670"/>
      <c r="DL35" s="700"/>
      <c r="DM35" s="670"/>
      <c r="DN35" s="700"/>
      <c r="DO35" s="670"/>
      <c r="DP35" s="700"/>
      <c r="DQ35" s="670"/>
      <c r="DR35" s="700"/>
      <c r="DS35" s="670"/>
      <c r="DT35" s="700"/>
      <c r="DU35" s="670"/>
      <c r="DV35" s="700"/>
      <c r="DW35" s="670"/>
      <c r="DX35" s="700"/>
      <c r="DY35" s="670"/>
      <c r="DZ35" s="700"/>
      <c r="EA35" s="670"/>
      <c r="EB35" s="700"/>
      <c r="EC35" s="670"/>
      <c r="ED35" s="700"/>
      <c r="EE35" s="670"/>
      <c r="EF35" s="700"/>
      <c r="EG35" s="670"/>
      <c r="EH35" s="686"/>
      <c r="EI35" s="700"/>
      <c r="EJ35" s="681"/>
      <c r="EK35" s="700"/>
      <c r="EL35" s="681"/>
      <c r="EM35" s="700"/>
      <c r="EN35" s="681"/>
      <c r="EO35" s="700"/>
      <c r="EP35" s="681"/>
      <c r="EQ35" s="700"/>
      <c r="ER35" s="670"/>
      <c r="ES35" s="700"/>
      <c r="ET35" s="670"/>
      <c r="EU35" s="700"/>
      <c r="EV35" s="670"/>
      <c r="EW35" s="700"/>
      <c r="EX35" s="670"/>
      <c r="EY35" s="700"/>
      <c r="EZ35" s="670"/>
      <c r="FA35" s="700"/>
      <c r="FB35" s="670"/>
      <c r="FC35" s="700"/>
      <c r="FD35" s="670"/>
      <c r="FE35" s="700"/>
      <c r="FF35" s="670"/>
      <c r="FG35" s="700"/>
      <c r="FH35" s="670"/>
      <c r="FI35" s="700"/>
      <c r="FJ35" s="670"/>
      <c r="FK35" s="700"/>
      <c r="FL35" s="670"/>
      <c r="FM35" s="700"/>
      <c r="FN35" s="670"/>
      <c r="FO35" s="700"/>
      <c r="FP35" s="670"/>
      <c r="FQ35" s="700"/>
      <c r="FR35" s="670"/>
      <c r="FS35" s="700"/>
      <c r="FT35" s="670"/>
      <c r="FU35" s="700"/>
      <c r="FV35" s="670"/>
      <c r="FW35" s="700"/>
      <c r="FX35" s="670"/>
      <c r="FY35" s="700"/>
      <c r="FZ35" s="670"/>
      <c r="GA35" s="994"/>
    </row>
    <row r="36" spans="1:183" s="707" customFormat="1" ht="12.75" hidden="1" customHeight="1" outlineLevel="1" x14ac:dyDescent="0.2">
      <c r="A36" s="991" t="s">
        <v>528</v>
      </c>
      <c r="B36" s="700"/>
      <c r="C36" s="681"/>
      <c r="D36" s="700"/>
      <c r="E36" s="681"/>
      <c r="F36" s="700"/>
      <c r="G36" s="681"/>
      <c r="H36" s="700"/>
      <c r="I36" s="681"/>
      <c r="J36" s="700"/>
      <c r="K36" s="681"/>
      <c r="L36" s="700"/>
      <c r="M36" s="681"/>
      <c r="N36" s="700"/>
      <c r="O36" s="681"/>
      <c r="P36" s="700"/>
      <c r="Q36" s="681"/>
      <c r="R36" s="700"/>
      <c r="S36" s="681"/>
      <c r="T36" s="700"/>
      <c r="U36" s="681"/>
      <c r="V36" s="700"/>
      <c r="W36" s="681"/>
      <c r="X36" s="700"/>
      <c r="Y36" s="681"/>
      <c r="Z36" s="700"/>
      <c r="AA36" s="681"/>
      <c r="AB36" s="700"/>
      <c r="AC36" s="681"/>
      <c r="AD36" s="700"/>
      <c r="AE36" s="681"/>
      <c r="AF36" s="700"/>
      <c r="AG36" s="681"/>
      <c r="AH36" s="700">
        <f>INPUT!AS495</f>
        <v>0.42</v>
      </c>
      <c r="AI36" s="681" t="str">
        <f>INPUT!AT495</f>
        <v>NA</v>
      </c>
      <c r="AJ36" s="700">
        <f>INPUT!AU495</f>
        <v>0.43</v>
      </c>
      <c r="AK36" s="681" t="str">
        <f>INPUT!AV495</f>
        <v>NA</v>
      </c>
      <c r="AL36" s="700">
        <f>INPUT!AW495</f>
        <v>0.46</v>
      </c>
      <c r="AM36" s="681" t="str">
        <f>INPUT!AX495</f>
        <v>NA</v>
      </c>
      <c r="AN36" s="700">
        <f>INPUT!AY495</f>
        <v>0.52</v>
      </c>
      <c r="AO36" s="670" t="str">
        <f>INPUT!AZ495</f>
        <v>NA</v>
      </c>
      <c r="AP36" s="700">
        <f>INPUT!BA495</f>
        <v>0.5</v>
      </c>
      <c r="AQ36" s="670">
        <f>INPUT!BB495</f>
        <v>19.047619047619047</v>
      </c>
      <c r="AR36" s="700">
        <f>INPUT!BC495</f>
        <v>0.51</v>
      </c>
      <c r="AS36" s="670">
        <f>INPUT!BD495</f>
        <v>18.604651162790709</v>
      </c>
      <c r="AT36" s="700">
        <f>INPUT!BE495</f>
        <v>0.6</v>
      </c>
      <c r="AU36" s="670">
        <f>INPUT!BF495</f>
        <v>30.434782608695631</v>
      </c>
      <c r="AV36" s="700">
        <f>INPUT!BG495</f>
        <v>0.59</v>
      </c>
      <c r="AW36" s="670">
        <f>INPUT!BH495</f>
        <v>13.461538461538458</v>
      </c>
      <c r="AX36" s="700">
        <f>INPUT!BI495</f>
        <v>0.59</v>
      </c>
      <c r="AY36" s="670">
        <f>INPUT!BJ495</f>
        <v>17.999999999999993</v>
      </c>
      <c r="AZ36" s="700">
        <f>INPUT!BK495</f>
        <v>0.65</v>
      </c>
      <c r="BA36" s="670">
        <f>INPUT!BL495</f>
        <v>27.450980392156854</v>
      </c>
      <c r="BB36" s="700">
        <f>INPUT!BM495</f>
        <v>0.64</v>
      </c>
      <c r="BC36" s="670">
        <f>INPUT!BN495</f>
        <v>6.6666666666666652</v>
      </c>
      <c r="BD36" s="700">
        <f>INPUT!BO495</f>
        <v>0.63</v>
      </c>
      <c r="BE36" s="670">
        <f>INPUT!BP495</f>
        <v>6.7796610169491567</v>
      </c>
      <c r="BF36" s="700">
        <f>INPUT!BQ495</f>
        <v>0.62</v>
      </c>
      <c r="BG36" s="670">
        <f>INPUT!BR495</f>
        <v>5.0847457627118731</v>
      </c>
      <c r="BH36" s="700">
        <f>INPUT!BS495</f>
        <v>0.65</v>
      </c>
      <c r="BI36" s="670">
        <f>INPUT!BT495</f>
        <v>0</v>
      </c>
      <c r="BJ36" s="700">
        <f>INPUT!BU495</f>
        <v>0.64</v>
      </c>
      <c r="BK36" s="670">
        <f>INPUT!BV495</f>
        <v>0</v>
      </c>
      <c r="BL36" s="700">
        <f>INPUT!BW495</f>
        <v>0.66</v>
      </c>
      <c r="BM36" s="670">
        <f>INPUT!BX495</f>
        <v>4.7619047619047672</v>
      </c>
      <c r="BN36" s="700">
        <f>INPUT!BY495</f>
        <v>0.67940993445079345</v>
      </c>
      <c r="BO36" s="670">
        <f>INPUT!BZ495</f>
        <v>9.5822474920634662</v>
      </c>
      <c r="BP36" s="700">
        <f>INPUT!CA495</f>
        <v>0.69803576338947426</v>
      </c>
      <c r="BQ36" s="670">
        <f>INPUT!CB495</f>
        <v>7.3901174445345053</v>
      </c>
      <c r="BR36" s="700">
        <f>INPUT!CC495</f>
        <v>0.68820562264918328</v>
      </c>
      <c r="BS36" s="670">
        <f>INPUT!CD495</f>
        <v>7.5321285389348791</v>
      </c>
      <c r="BT36" s="700">
        <f>INPUT!CE495</f>
        <v>0.66663957821905528</v>
      </c>
      <c r="BU36" s="670">
        <f>INPUT!CF495</f>
        <v>1.0059966998568592</v>
      </c>
      <c r="BV36" s="700">
        <f>INPUT!CG495</f>
        <v>0.69703300663164036</v>
      </c>
      <c r="BW36" s="670">
        <f>INPUT!CH495</f>
        <v>2.5938790834862724</v>
      </c>
      <c r="BX36" s="700">
        <f>INPUT!CI495</f>
        <v>0.76444898692682983</v>
      </c>
      <c r="BY36" s="670">
        <f>INPUT!CJ495</f>
        <v>9.5143009886586416</v>
      </c>
      <c r="BZ36" s="700">
        <f>INPUT!CK495</f>
        <v>0.74572262394087163</v>
      </c>
      <c r="CA36" s="670">
        <f>INPUT!CL495</f>
        <v>8.3575314410077048</v>
      </c>
      <c r="CB36" s="700">
        <f>INPUT!CM495</f>
        <v>-1.2192469066685814</v>
      </c>
      <c r="CC36" s="670" t="str">
        <f>INPUT!CN495</f>
        <v>NM</v>
      </c>
      <c r="CD36" s="700">
        <f>INPUT!CO495</f>
        <v>0.73193163253203453</v>
      </c>
      <c r="CE36" s="670">
        <f>INPUT!CP495</f>
        <v>5.0067393607426292</v>
      </c>
      <c r="CF36" s="700">
        <f>INPUT!CQ495</f>
        <v>0.79403502562156802</v>
      </c>
      <c r="CG36" s="670">
        <f>INPUT!CR495</f>
        <v>3.8702436919535232</v>
      </c>
      <c r="CH36" s="700">
        <f>INPUT!CS495</f>
        <v>0.80427691772748733</v>
      </c>
      <c r="CI36" s="670">
        <f>INPUT!CT495</f>
        <v>7.8520205645870922</v>
      </c>
      <c r="CJ36" s="700">
        <f>INPUT!CU495</f>
        <v>0.8223684210526313</v>
      </c>
      <c r="CK36" s="670" t="str">
        <f>INPUT!CV495</f>
        <v>NM</v>
      </c>
      <c r="CL36" s="700">
        <f>INPUT!CW495</f>
        <v>0.78674511653490997</v>
      </c>
      <c r="CM36" s="670">
        <f>INPUT!CX495</f>
        <v>7.4888803225042322</v>
      </c>
      <c r="CN36" s="700">
        <f>INPUT!CY495</f>
        <v>0.8094136357937507</v>
      </c>
      <c r="CO36" s="670">
        <f>INPUT!CZ495</f>
        <v>1.9367672301539018</v>
      </c>
      <c r="CP36" s="700">
        <f>INPUT!DA495</f>
        <v>0.83856793409688568</v>
      </c>
      <c r="CQ36" s="670">
        <f>INPUT!DB495</f>
        <v>4.263583302413898</v>
      </c>
      <c r="CR36" s="700">
        <f>INPUT!DC495</f>
        <v>0.81607006854531583</v>
      </c>
      <c r="CS36" s="670">
        <f>INPUT!DD495</f>
        <v>-0.76587966488955717</v>
      </c>
      <c r="CT36" s="700">
        <f>INPUT!DE495</f>
        <v>0.85385500575373896</v>
      </c>
      <c r="CU36" s="670">
        <f>INPUT!DF495</f>
        <v>8.5300674651027428</v>
      </c>
      <c r="CV36" s="700">
        <f>INPUT!DG495</f>
        <v>0.85808452888716569</v>
      </c>
      <c r="CW36" s="670">
        <f>INPUT!DH495</f>
        <v>6.0131051592287488</v>
      </c>
      <c r="CX36" s="700">
        <f>INPUT!DI495</f>
        <v>0.85989010989011005</v>
      </c>
      <c r="CY36" s="670">
        <f>INPUT!DJ495</f>
        <v>2.5426891401693963</v>
      </c>
      <c r="CZ36" s="700">
        <f>INPUT!DK495</f>
        <v>-0.90768621236133129</v>
      </c>
      <c r="DA36" s="670" t="str">
        <f>INPUT!DL495</f>
        <v>NM</v>
      </c>
      <c r="DB36" s="700">
        <f>INPUT!DM495</f>
        <v>0.8838223632038068</v>
      </c>
      <c r="DC36" s="670">
        <f>INPUT!DN495</f>
        <v>3.5096541272384041</v>
      </c>
      <c r="DD36" s="700">
        <f>INPUT!DO495</f>
        <v>0.88487765744083402</v>
      </c>
      <c r="DE36" s="670">
        <f>INPUT!DP495</f>
        <v>3.1224346380438694</v>
      </c>
      <c r="DF36" s="700">
        <f>INPUT!DQ495</f>
        <v>0.8976857490864808</v>
      </c>
      <c r="DG36" s="670">
        <f>INPUT!DR495</f>
        <v>4.3954034081402416</v>
      </c>
      <c r="DH36" s="700">
        <f>INPUT!DS495</f>
        <v>0.93765381460213248</v>
      </c>
      <c r="DI36" s="670" t="str">
        <f>INPUT!DT495</f>
        <v>NM</v>
      </c>
      <c r="DJ36" s="700">
        <f>INPUT!DU495</f>
        <v>0.93533583646224372</v>
      </c>
      <c r="DK36" s="670">
        <f>INPUT!DV495</f>
        <v>5.8284871941578276</v>
      </c>
      <c r="DL36" s="700">
        <f>INPUT!DW495</f>
        <v>0.98187947745469828</v>
      </c>
      <c r="DM36" s="670">
        <f>INPUT!DX495</f>
        <v>10.962173041458012</v>
      </c>
      <c r="DN36" s="700">
        <f>INPUT!DY495</f>
        <v>0.97651579846285308</v>
      </c>
      <c r="DO36" s="670">
        <f>INPUT!DZ495</f>
        <v>8.7814749712349602</v>
      </c>
      <c r="DP36" s="700">
        <f>INPUT!EA495</f>
        <v>0.98838209982788272</v>
      </c>
      <c r="DQ36" s="670">
        <f>INPUT!EB495</f>
        <v>5.4101294567094893</v>
      </c>
      <c r="DR36" s="700">
        <f>INPUT!EC495</f>
        <v>1.0247395833333321</v>
      </c>
      <c r="DS36" s="670">
        <f>INPUT!ED495</f>
        <v>9.5584648193576705</v>
      </c>
      <c r="DT36" s="700">
        <f>INPUT!EE495</f>
        <v>1.0534618755477656</v>
      </c>
      <c r="DU36" s="670">
        <f>INPUT!EF495</f>
        <v>7.2903446641566116</v>
      </c>
      <c r="DV36" s="700">
        <f>INPUT!EG495</f>
        <v>1.0862831858407076</v>
      </c>
      <c r="DW36" s="670">
        <f>INPUT!EH495</f>
        <v>11.240718025314166</v>
      </c>
      <c r="DX36" s="700">
        <f>INPUT!EI495</f>
        <v>1.1281138790035579</v>
      </c>
      <c r="DY36" s="670">
        <f>INPUT!EJ495</f>
        <v>14.137425111200219</v>
      </c>
      <c r="DZ36" s="700">
        <f>INPUT!EK495</f>
        <v>1.2720273653832308</v>
      </c>
      <c r="EA36" s="670">
        <f>INPUT!EL495</f>
        <v>24.131768311857993</v>
      </c>
      <c r="EB36" s="700">
        <f>INPUT!EM495</f>
        <v>1.2914948247809064</v>
      </c>
      <c r="EC36" s="670">
        <f>INPUT!EN495</f>
        <v>22.595307410566857</v>
      </c>
      <c r="ED36" s="700">
        <f>INPUT!EO495</f>
        <v>1.3077515554781463</v>
      </c>
      <c r="EE36" s="670">
        <f>INPUT!EP495</f>
        <v>20.387719567438346</v>
      </c>
      <c r="EF36" s="700">
        <f>INPUT!EQ495</f>
        <v>1.327471892073594</v>
      </c>
      <c r="EG36" s="670">
        <f>INPUT!ER495</f>
        <v>17.671798634914882</v>
      </c>
      <c r="EH36" s="686"/>
      <c r="EI36" s="700"/>
      <c r="EJ36" s="681"/>
      <c r="EK36" s="700"/>
      <c r="EL36" s="681"/>
      <c r="EM36" s="700"/>
      <c r="EN36" s="681"/>
      <c r="EO36" s="700"/>
      <c r="EP36" s="681"/>
      <c r="EQ36" s="700"/>
      <c r="ER36" s="670"/>
      <c r="ES36" s="700"/>
      <c r="ET36" s="670"/>
      <c r="EU36" s="700"/>
      <c r="EV36" s="670"/>
      <c r="EW36" s="700">
        <f>INPUT!FP495</f>
        <v>0</v>
      </c>
      <c r="EX36" s="670">
        <f>INPUT!FQ495</f>
        <v>0</v>
      </c>
      <c r="EY36" s="700">
        <f>INPUT!FR495</f>
        <v>0</v>
      </c>
      <c r="EZ36" s="670">
        <f>INPUT!FS495</f>
        <v>0</v>
      </c>
      <c r="FA36" s="700">
        <f>INPUT!FT495</f>
        <v>2.732884478973888</v>
      </c>
      <c r="FB36" s="670" t="str">
        <f>INPUT!FU495</f>
        <v>NA</v>
      </c>
      <c r="FC36" s="700">
        <f>INPUT!FV495</f>
        <v>1.0077687916143476</v>
      </c>
      <c r="FD36" s="670" t="str">
        <f>INPUT!FW495</f>
        <v>NM</v>
      </c>
      <c r="FE36" s="700">
        <f>INPUT!FX495</f>
        <v>3.1495763801580989</v>
      </c>
      <c r="FF36" s="670" t="str">
        <f>INPUT!FY495</f>
        <v>NM</v>
      </c>
      <c r="FG36" s="700">
        <f>INPUT!FZ495</f>
        <v>3.2501504660823857</v>
      </c>
      <c r="FH36" s="670">
        <f>INPUT!GA495</f>
        <v>3.1932575618070391</v>
      </c>
      <c r="FI36" s="700">
        <f>INPUT!GB495</f>
        <v>1.6919477480990437</v>
      </c>
      <c r="FJ36" s="670">
        <f>INPUT!GC495</f>
        <v>-47.942479409623871</v>
      </c>
      <c r="FK36" s="700">
        <f>INPUT!GD495</f>
        <v>3.6030657523194844</v>
      </c>
      <c r="FL36" s="670" t="str">
        <f>INPUT!GE495</f>
        <v>NM</v>
      </c>
      <c r="FM36" s="700">
        <f>INPUT!GF495</f>
        <v>3.8813056379821944</v>
      </c>
      <c r="FN36" s="670">
        <f>INPUT!GG495</f>
        <v>7.7223094106343204</v>
      </c>
      <c r="FO36" s="700">
        <f>INPUT!GH495</f>
        <v>4.291180998460522</v>
      </c>
      <c r="FP36" s="670">
        <f>INPUT!GI495</f>
        <v>10.560244379296368</v>
      </c>
      <c r="FQ36" s="700">
        <f>INPUT!GJ495</f>
        <v>5.1979661887095743</v>
      </c>
      <c r="FR36" s="670">
        <f>INPUT!GK495</f>
        <v>21.13136664648647</v>
      </c>
      <c r="FS36" s="700">
        <f>INPUT!GL495</f>
        <v>5.5047351554945934</v>
      </c>
      <c r="FT36" s="670">
        <f>INPUT!GM495</f>
        <v>5.9017114703698415</v>
      </c>
      <c r="FU36" s="700">
        <f>INPUT!GN495</f>
        <v>5.8546964937249504</v>
      </c>
      <c r="FV36" s="670">
        <f>INPUT!GO495</f>
        <v>6.3574600474836762</v>
      </c>
      <c r="FW36" s="700">
        <f>INPUT!GP495</f>
        <v>6.2452514056605244</v>
      </c>
      <c r="FX36" s="670">
        <f>INPUT!GQ495</f>
        <v>6.670796895350084</v>
      </c>
      <c r="FY36" s="700">
        <f>INPUT!GR495</f>
        <v>6.6510372047902013</v>
      </c>
      <c r="FZ36" s="670">
        <f>INPUT!GS495</f>
        <v>6.4975094319162929</v>
      </c>
      <c r="GA36" s="994">
        <f>INPUT!GT495</f>
        <v>9.1597440816612696</v>
      </c>
    </row>
    <row r="37" spans="1:183" s="707" customFormat="1" ht="6" hidden="1" customHeight="1" outlineLevel="1" x14ac:dyDescent="0.2">
      <c r="A37" s="991"/>
      <c r="B37" s="700"/>
      <c r="C37" s="681"/>
      <c r="D37" s="700"/>
      <c r="E37" s="681"/>
      <c r="F37" s="700"/>
      <c r="G37" s="681"/>
      <c r="H37" s="700"/>
      <c r="I37" s="681"/>
      <c r="J37" s="700"/>
      <c r="K37" s="681"/>
      <c r="L37" s="700"/>
      <c r="M37" s="681"/>
      <c r="N37" s="700"/>
      <c r="O37" s="681"/>
      <c r="P37" s="700"/>
      <c r="Q37" s="681"/>
      <c r="R37" s="700"/>
      <c r="S37" s="681"/>
      <c r="T37" s="700"/>
      <c r="U37" s="681"/>
      <c r="V37" s="700"/>
      <c r="W37" s="681"/>
      <c r="X37" s="700"/>
      <c r="Y37" s="681"/>
      <c r="Z37" s="700"/>
      <c r="AA37" s="681"/>
      <c r="AB37" s="700"/>
      <c r="AC37" s="681"/>
      <c r="AD37" s="700"/>
      <c r="AE37" s="681"/>
      <c r="AF37" s="700"/>
      <c r="AG37" s="681"/>
      <c r="AH37" s="700"/>
      <c r="AI37" s="681"/>
      <c r="AJ37" s="700"/>
      <c r="AK37" s="681"/>
      <c r="AL37" s="700"/>
      <c r="AM37" s="681"/>
      <c r="AN37" s="700"/>
      <c r="AO37" s="670"/>
      <c r="AP37" s="700"/>
      <c r="AQ37" s="670"/>
      <c r="AR37" s="700"/>
      <c r="AS37" s="670"/>
      <c r="AT37" s="700"/>
      <c r="AU37" s="670"/>
      <c r="AV37" s="700"/>
      <c r="AW37" s="670"/>
      <c r="AX37" s="700"/>
      <c r="AY37" s="670"/>
      <c r="AZ37" s="700"/>
      <c r="BA37" s="670"/>
      <c r="BB37" s="700"/>
      <c r="BC37" s="670"/>
      <c r="BD37" s="700"/>
      <c r="BE37" s="670"/>
      <c r="BF37" s="700"/>
      <c r="BG37" s="670"/>
      <c r="BH37" s="700"/>
      <c r="BI37" s="670"/>
      <c r="BJ37" s="700"/>
      <c r="BK37" s="670"/>
      <c r="BL37" s="700"/>
      <c r="BM37" s="670"/>
      <c r="BN37" s="700"/>
      <c r="BO37" s="670"/>
      <c r="BP37" s="700"/>
      <c r="BQ37" s="670"/>
      <c r="BR37" s="700"/>
      <c r="BS37" s="670"/>
      <c r="BT37" s="700"/>
      <c r="BU37" s="670"/>
      <c r="BV37" s="700"/>
      <c r="BW37" s="670"/>
      <c r="BX37" s="700"/>
      <c r="BY37" s="670"/>
      <c r="BZ37" s="700"/>
      <c r="CA37" s="670"/>
      <c r="CB37" s="700"/>
      <c r="CC37" s="670"/>
      <c r="CD37" s="700"/>
      <c r="CE37" s="670"/>
      <c r="CF37" s="700"/>
      <c r="CG37" s="670"/>
      <c r="CH37" s="700"/>
      <c r="CI37" s="670"/>
      <c r="CJ37" s="700"/>
      <c r="CK37" s="670"/>
      <c r="CL37" s="700"/>
      <c r="CM37" s="670"/>
      <c r="CN37" s="700"/>
      <c r="CO37" s="670"/>
      <c r="CP37" s="700"/>
      <c r="CQ37" s="670"/>
      <c r="CR37" s="700"/>
      <c r="CS37" s="670"/>
      <c r="CT37" s="700"/>
      <c r="CU37" s="670"/>
      <c r="CV37" s="700"/>
      <c r="CW37" s="670"/>
      <c r="CX37" s="700"/>
      <c r="CY37" s="670"/>
      <c r="CZ37" s="700"/>
      <c r="DA37" s="670"/>
      <c r="DB37" s="700"/>
      <c r="DC37" s="670"/>
      <c r="DD37" s="700"/>
      <c r="DE37" s="670"/>
      <c r="DF37" s="700"/>
      <c r="DG37" s="670"/>
      <c r="DH37" s="700"/>
      <c r="DI37" s="670"/>
      <c r="DJ37" s="700"/>
      <c r="DK37" s="670"/>
      <c r="DL37" s="700"/>
      <c r="DM37" s="670"/>
      <c r="DN37" s="700"/>
      <c r="DO37" s="670"/>
      <c r="DP37" s="700"/>
      <c r="DQ37" s="670"/>
      <c r="DR37" s="700"/>
      <c r="DS37" s="670"/>
      <c r="DT37" s="700"/>
      <c r="DU37" s="670"/>
      <c r="DV37" s="700"/>
      <c r="DW37" s="670"/>
      <c r="DX37" s="700"/>
      <c r="DY37" s="670"/>
      <c r="DZ37" s="700"/>
      <c r="EA37" s="670"/>
      <c r="EB37" s="700"/>
      <c r="EC37" s="670"/>
      <c r="ED37" s="700"/>
      <c r="EE37" s="670"/>
      <c r="EF37" s="700"/>
      <c r="EG37" s="670"/>
      <c r="EH37" s="686"/>
      <c r="EI37" s="700"/>
      <c r="EJ37" s="681"/>
      <c r="EK37" s="700"/>
      <c r="EL37" s="681"/>
      <c r="EM37" s="700"/>
      <c r="EN37" s="681"/>
      <c r="EO37" s="700"/>
      <c r="EP37" s="681"/>
      <c r="EQ37" s="700"/>
      <c r="ER37" s="670"/>
      <c r="ES37" s="700"/>
      <c r="ET37" s="670"/>
      <c r="EU37" s="700"/>
      <c r="EV37" s="670"/>
      <c r="EW37" s="700"/>
      <c r="EX37" s="670"/>
      <c r="EY37" s="700"/>
      <c r="EZ37" s="670"/>
      <c r="FA37" s="700"/>
      <c r="FB37" s="670"/>
      <c r="FC37" s="700"/>
      <c r="FD37" s="670"/>
      <c r="FE37" s="700"/>
      <c r="FF37" s="670"/>
      <c r="FG37" s="700"/>
      <c r="FH37" s="670"/>
      <c r="FI37" s="700"/>
      <c r="FJ37" s="670"/>
      <c r="FK37" s="700"/>
      <c r="FL37" s="670"/>
      <c r="FM37" s="700"/>
      <c r="FN37" s="670"/>
      <c r="FO37" s="700"/>
      <c r="FP37" s="670"/>
      <c r="FQ37" s="700"/>
      <c r="FR37" s="670"/>
      <c r="FS37" s="700"/>
      <c r="FT37" s="670"/>
      <c r="FU37" s="700"/>
      <c r="FV37" s="670"/>
      <c r="FW37" s="700"/>
      <c r="FX37" s="670"/>
      <c r="FY37" s="700"/>
      <c r="FZ37" s="670"/>
      <c r="GA37" s="994"/>
    </row>
    <row r="38" spans="1:183" s="707" customFormat="1" ht="12.75" customHeight="1" collapsed="1" x14ac:dyDescent="0.2">
      <c r="A38" s="993" t="str">
        <f>INPUT!B433</f>
        <v>Special Items</v>
      </c>
      <c r="B38" s="669">
        <f>INPUT!M433</f>
        <v>-7.1</v>
      </c>
      <c r="C38" s="681" t="str">
        <f>INPUT!N433</f>
        <v>NM</v>
      </c>
      <c r="D38" s="669">
        <f>INPUT!O433</f>
        <v>0</v>
      </c>
      <c r="E38" s="681" t="str">
        <f>INPUT!P433</f>
        <v>NM</v>
      </c>
      <c r="F38" s="669">
        <f>INPUT!Q433</f>
        <v>0</v>
      </c>
      <c r="G38" s="681" t="str">
        <f>INPUT!R433</f>
        <v>NM</v>
      </c>
      <c r="H38" s="669">
        <f>INPUT!S433</f>
        <v>0</v>
      </c>
      <c r="I38" s="681" t="str">
        <f>INPUT!T433</f>
        <v>NA</v>
      </c>
      <c r="J38" s="669">
        <f>INPUT!U433</f>
        <v>0</v>
      </c>
      <c r="K38" s="681" t="str">
        <f>INPUT!V433</f>
        <v>NM</v>
      </c>
      <c r="L38" s="669">
        <f>INPUT!W433</f>
        <v>0</v>
      </c>
      <c r="M38" s="681" t="str">
        <f>INPUT!X433</f>
        <v>NA</v>
      </c>
      <c r="N38" s="669">
        <f>INPUT!Y433</f>
        <v>0</v>
      </c>
      <c r="O38" s="681" t="str">
        <f>INPUT!Z433</f>
        <v>NA</v>
      </c>
      <c r="P38" s="669">
        <f>INPUT!AA433</f>
        <v>39.9</v>
      </c>
      <c r="Q38" s="681" t="str">
        <f>INPUT!AB433</f>
        <v>NA</v>
      </c>
      <c r="R38" s="669">
        <f>INPUT!AC433</f>
        <v>0</v>
      </c>
      <c r="S38" s="681" t="str">
        <f>INPUT!AD433</f>
        <v>NA</v>
      </c>
      <c r="T38" s="669">
        <f>INPUT!AE433</f>
        <v>0</v>
      </c>
      <c r="U38" s="681" t="str">
        <f>INPUT!AF433</f>
        <v>NA</v>
      </c>
      <c r="V38" s="669">
        <f>INPUT!AG433</f>
        <v>0</v>
      </c>
      <c r="W38" s="681" t="str">
        <f>INPUT!AH433</f>
        <v>NA</v>
      </c>
      <c r="X38" s="669">
        <f>INPUT!AI433</f>
        <v>0</v>
      </c>
      <c r="Y38" s="681" t="str">
        <f>INPUT!AJ433</f>
        <v>NM</v>
      </c>
      <c r="Z38" s="669">
        <f>INPUT!AK433</f>
        <v>0</v>
      </c>
      <c r="AA38" s="681" t="str">
        <f>INPUT!AL433</f>
        <v>NA</v>
      </c>
      <c r="AB38" s="669">
        <f>INPUT!AM433</f>
        <v>0</v>
      </c>
      <c r="AC38" s="681" t="str">
        <f>INPUT!AN433</f>
        <v>NA</v>
      </c>
      <c r="AD38" s="669">
        <f>INPUT!AO433</f>
        <v>0</v>
      </c>
      <c r="AE38" s="681" t="str">
        <f>INPUT!AP433</f>
        <v>NA</v>
      </c>
      <c r="AF38" s="669">
        <f>INPUT!AQ433</f>
        <v>0</v>
      </c>
      <c r="AG38" s="681" t="str">
        <f>INPUT!AR433</f>
        <v>NA</v>
      </c>
      <c r="AH38" s="669">
        <f>INPUT!AS433</f>
        <v>-59.3</v>
      </c>
      <c r="AI38" s="681" t="str">
        <f>INPUT!AT433</f>
        <v>NA</v>
      </c>
      <c r="AJ38" s="669">
        <f>INPUT!AU433</f>
        <v>-11.57</v>
      </c>
      <c r="AK38" s="681" t="str">
        <f>INPUT!AV433</f>
        <v>NA</v>
      </c>
      <c r="AL38" s="669">
        <f>INPUT!AW433</f>
        <v>-224.22280000000001</v>
      </c>
      <c r="AM38" s="681" t="str">
        <f>INPUT!AX433</f>
        <v>NA</v>
      </c>
      <c r="AN38" s="669">
        <f>INPUT!AY433</f>
        <v>93.9</v>
      </c>
      <c r="AO38" s="670" t="str">
        <f>INPUT!AZ433</f>
        <v>NA</v>
      </c>
      <c r="AP38" s="669">
        <f>INPUT!BA433</f>
        <v>0</v>
      </c>
      <c r="AQ38" s="670" t="str">
        <f>INPUT!BB433</f>
        <v>NM</v>
      </c>
      <c r="AR38" s="669">
        <f>INPUT!BC433</f>
        <v>0</v>
      </c>
      <c r="AS38" s="670" t="str">
        <f>INPUT!BD433</f>
        <v>NM</v>
      </c>
      <c r="AT38" s="669">
        <f>INPUT!BE433</f>
        <v>0</v>
      </c>
      <c r="AU38" s="670" t="str">
        <f>INPUT!BF433</f>
        <v>NM</v>
      </c>
      <c r="AV38" s="669">
        <f>INPUT!BG433</f>
        <v>-36.1</v>
      </c>
      <c r="AW38" s="670" t="str">
        <f>INPUT!BH433</f>
        <v>NM</v>
      </c>
      <c r="AX38" s="669">
        <f>INPUT!BI433</f>
        <v>0</v>
      </c>
      <c r="AY38" s="670" t="str">
        <f>INPUT!BJ433</f>
        <v>NA</v>
      </c>
      <c r="AZ38" s="669">
        <f>INPUT!BK433</f>
        <v>0</v>
      </c>
      <c r="BA38" s="670" t="str">
        <f>INPUT!BL433</f>
        <v>NA</v>
      </c>
      <c r="BB38" s="669">
        <f>INPUT!BM433</f>
        <v>0</v>
      </c>
      <c r="BC38" s="670" t="str">
        <f>INPUT!BN433</f>
        <v>NA</v>
      </c>
      <c r="BD38" s="669">
        <f>INPUT!BO433</f>
        <v>0</v>
      </c>
      <c r="BE38" s="670" t="str">
        <f>INPUT!BP433</f>
        <v>NM</v>
      </c>
      <c r="BF38" s="669">
        <f>INPUT!BQ433</f>
        <v>0</v>
      </c>
      <c r="BG38" s="670" t="str">
        <f>INPUT!BR433</f>
        <v>NA</v>
      </c>
      <c r="BH38" s="669">
        <f>INPUT!BS433</f>
        <v>0</v>
      </c>
      <c r="BI38" s="670" t="str">
        <f>INPUT!BT433</f>
        <v>NA</v>
      </c>
      <c r="BJ38" s="669">
        <f>INPUT!BU433</f>
        <v>0</v>
      </c>
      <c r="BK38" s="670" t="str">
        <f>INPUT!BV433</f>
        <v>NA</v>
      </c>
      <c r="BL38" s="669">
        <f>INPUT!BW433</f>
        <v>0</v>
      </c>
      <c r="BM38" s="670" t="str">
        <f>INPUT!BX433</f>
        <v>NA</v>
      </c>
      <c r="BN38" s="669">
        <f>INPUT!BY433</f>
        <v>10</v>
      </c>
      <c r="BO38" s="670" t="str">
        <f>INPUT!BZ433</f>
        <v>NA</v>
      </c>
      <c r="BP38" s="669">
        <f>INPUT!CA433</f>
        <v>13.399999999999999</v>
      </c>
      <c r="BQ38" s="670" t="str">
        <f>INPUT!CB433</f>
        <v>NA</v>
      </c>
      <c r="BR38" s="669">
        <f>INPUT!CC433</f>
        <v>2.5</v>
      </c>
      <c r="BS38" s="670" t="str">
        <f>INPUT!CD433</f>
        <v>NA</v>
      </c>
      <c r="BT38" s="669">
        <f>INPUT!CE433</f>
        <v>-7.5000000000000009</v>
      </c>
      <c r="BU38" s="670" t="str">
        <f>INPUT!CF433</f>
        <v>NA</v>
      </c>
      <c r="BV38" s="669">
        <f>INPUT!CG433</f>
        <v>-2.7</v>
      </c>
      <c r="BW38" s="670" t="str">
        <f>INPUT!CH433</f>
        <v>NM</v>
      </c>
      <c r="BX38" s="669">
        <f>INPUT!CI433</f>
        <v>4.1999999999999993</v>
      </c>
      <c r="BY38" s="670" t="str">
        <f>INPUT!CJ433</f>
        <v>NM</v>
      </c>
      <c r="BZ38" s="669">
        <f>INPUT!CK433</f>
        <v>10.8</v>
      </c>
      <c r="CA38" s="670" t="str">
        <f>INPUT!CL433</f>
        <v>NM</v>
      </c>
      <c r="CB38" s="669">
        <f>INPUT!CM433</f>
        <v>0.19999999999999973</v>
      </c>
      <c r="CC38" s="670" t="str">
        <f>INPUT!CN433</f>
        <v>NM</v>
      </c>
      <c r="CD38" s="669">
        <f>INPUT!CO433</f>
        <v>-9.9999999999999645E-2</v>
      </c>
      <c r="CE38" s="670" t="str">
        <f>INPUT!CP433</f>
        <v>NM</v>
      </c>
      <c r="CF38" s="669">
        <f>INPUT!CQ433</f>
        <v>4.8</v>
      </c>
      <c r="CG38" s="670">
        <f>INPUT!CR433</f>
        <v>14.285714285714302</v>
      </c>
      <c r="CH38" s="669">
        <f>INPUT!CS433</f>
        <v>-3.5</v>
      </c>
      <c r="CI38" s="670" t="str">
        <f>INPUT!CT433</f>
        <v>NM</v>
      </c>
      <c r="CJ38" s="669">
        <f>INPUT!CU433</f>
        <v>0</v>
      </c>
      <c r="CK38" s="670" t="str">
        <f>INPUT!CV433</f>
        <v>NM</v>
      </c>
      <c r="CL38" s="669">
        <f>INPUT!CW433</f>
        <v>0</v>
      </c>
      <c r="CM38" s="670">
        <f>INPUT!CX433</f>
        <v>0</v>
      </c>
      <c r="CN38" s="669">
        <f>INPUT!CY433</f>
        <v>0</v>
      </c>
      <c r="CO38" s="670">
        <f>INPUT!CZ433</f>
        <v>0</v>
      </c>
      <c r="CP38" s="669">
        <f>INPUT!DA433</f>
        <v>0</v>
      </c>
      <c r="CQ38" s="670">
        <f>INPUT!DB433</f>
        <v>0</v>
      </c>
      <c r="CR38" s="669">
        <f>INPUT!DC433</f>
        <v>0</v>
      </c>
      <c r="CS38" s="670">
        <f>INPUT!DD433</f>
        <v>0</v>
      </c>
      <c r="CT38" s="669">
        <f>INPUT!DE433</f>
        <v>0</v>
      </c>
      <c r="CU38" s="670">
        <f>INPUT!DF433</f>
        <v>0</v>
      </c>
      <c r="CV38" s="669">
        <f>INPUT!DG433</f>
        <v>0</v>
      </c>
      <c r="CW38" s="670">
        <f>INPUT!DH433</f>
        <v>0</v>
      </c>
      <c r="CX38" s="669">
        <f>INPUT!DI433</f>
        <v>0</v>
      </c>
      <c r="CY38" s="670">
        <f>INPUT!DJ433</f>
        <v>0</v>
      </c>
      <c r="CZ38" s="669">
        <f>INPUT!DK433</f>
        <v>0</v>
      </c>
      <c r="DA38" s="670" t="str">
        <f>INPUT!DL433</f>
        <v>NA</v>
      </c>
      <c r="DB38" s="669">
        <f>INPUT!DM433</f>
        <v>0</v>
      </c>
      <c r="DC38" s="670" t="str">
        <f>INPUT!DN433</f>
        <v>NA</v>
      </c>
      <c r="DD38" s="669">
        <f>INPUT!DO433</f>
        <v>0</v>
      </c>
      <c r="DE38" s="670" t="str">
        <f>INPUT!DP433</f>
        <v>NA</v>
      </c>
      <c r="DF38" s="669">
        <f>INPUT!DQ433</f>
        <v>0</v>
      </c>
      <c r="DG38" s="670" t="str">
        <f>INPUT!DR433</f>
        <v>NA</v>
      </c>
      <c r="DH38" s="669">
        <f>INPUT!DS433</f>
        <v>0</v>
      </c>
      <c r="DI38" s="670" t="str">
        <f>INPUT!DT433</f>
        <v>NA</v>
      </c>
      <c r="DJ38" s="669">
        <f>INPUT!DU433</f>
        <v>0</v>
      </c>
      <c r="DK38" s="670" t="str">
        <f>INPUT!DV433</f>
        <v>NA</v>
      </c>
      <c r="DL38" s="669">
        <f>INPUT!DW433</f>
        <v>0</v>
      </c>
      <c r="DM38" s="670" t="str">
        <f>INPUT!DX433</f>
        <v>NA</v>
      </c>
      <c r="DN38" s="669">
        <f>INPUT!DY433</f>
        <v>0</v>
      </c>
      <c r="DO38" s="670" t="str">
        <f>INPUT!DZ433</f>
        <v>NA</v>
      </c>
      <c r="DP38" s="669">
        <f>INPUT!EA433</f>
        <v>0</v>
      </c>
      <c r="DQ38" s="670" t="str">
        <f>INPUT!EB433</f>
        <v>NA</v>
      </c>
      <c r="DR38" s="669">
        <f>INPUT!EC433</f>
        <v>-13.4</v>
      </c>
      <c r="DS38" s="670" t="str">
        <f>INPUT!ED433</f>
        <v>NA</v>
      </c>
      <c r="DT38" s="669">
        <f>INPUT!EE433</f>
        <v>0</v>
      </c>
      <c r="DU38" s="670" t="str">
        <f>INPUT!EF433</f>
        <v>NA</v>
      </c>
      <c r="DV38" s="669">
        <f>INPUT!EG433</f>
        <v>0</v>
      </c>
      <c r="DW38" s="670" t="str">
        <f>INPUT!EH433</f>
        <v>NA</v>
      </c>
      <c r="DX38" s="669">
        <f>INPUT!EI433</f>
        <v>6.1000000000000014</v>
      </c>
      <c r="DY38" s="670" t="str">
        <f>INPUT!EJ433</f>
        <v>NA</v>
      </c>
      <c r="DZ38" s="669">
        <f>INPUT!EK433</f>
        <v>-13.4</v>
      </c>
      <c r="EA38" s="670">
        <f>INPUT!EL433</f>
        <v>0</v>
      </c>
      <c r="EB38" s="669">
        <f>INPUT!EM433</f>
        <v>0</v>
      </c>
      <c r="EC38" s="670" t="str">
        <f>INPUT!EN433</f>
        <v>NA</v>
      </c>
      <c r="ED38" s="669">
        <f>INPUT!EO433</f>
        <v>0</v>
      </c>
      <c r="EE38" s="670" t="str">
        <f>INPUT!EP433</f>
        <v>NA</v>
      </c>
      <c r="EF38" s="669">
        <f>INPUT!EQ433</f>
        <v>0</v>
      </c>
      <c r="EG38" s="670" t="str">
        <f>INPUT!ER433</f>
        <v>NM</v>
      </c>
      <c r="EH38" s="670"/>
      <c r="EI38" s="688">
        <f>INPUT!FB433</f>
        <v>17.399999999999999</v>
      </c>
      <c r="EJ38" s="689" t="str">
        <f>INPUT!FC433</f>
        <v>NA</v>
      </c>
      <c r="EK38" s="688">
        <f>INPUT!FD433</f>
        <v>-7.1</v>
      </c>
      <c r="EL38" s="689" t="str">
        <f>INPUT!FE433</f>
        <v>NM</v>
      </c>
      <c r="EM38" s="688">
        <f>INPUT!FF433</f>
        <v>39.9</v>
      </c>
      <c r="EN38" s="689" t="str">
        <f>INPUT!FG433</f>
        <v>NM</v>
      </c>
      <c r="EO38" s="688">
        <f>INPUT!FH433</f>
        <v>0</v>
      </c>
      <c r="EP38" s="689" t="str">
        <f>INPUT!FI433</f>
        <v>NM</v>
      </c>
      <c r="EQ38" s="688">
        <f>INPUT!FJ433</f>
        <v>0</v>
      </c>
      <c r="ER38" s="670" t="str">
        <f>INPUT!FK433</f>
        <v>NA</v>
      </c>
      <c r="ES38" s="669">
        <f>INPUT!FL433</f>
        <v>-201.19280000000001</v>
      </c>
      <c r="ET38" s="670" t="str">
        <f>INPUT!FM433</f>
        <v>NA</v>
      </c>
      <c r="EU38" s="669">
        <f>INPUT!FN433</f>
        <v>-36.1</v>
      </c>
      <c r="EV38" s="670" t="str">
        <f>INPUT!FO433</f>
        <v>NM</v>
      </c>
      <c r="EW38" s="669">
        <f>INPUT!FP433</f>
        <v>0</v>
      </c>
      <c r="EX38" s="670" t="str">
        <f>INPUT!FQ433</f>
        <v>NM</v>
      </c>
      <c r="EY38" s="669">
        <f>INPUT!FR433</f>
        <v>18.552979214780599</v>
      </c>
      <c r="EZ38" s="670" t="str">
        <f>INPUT!FS433</f>
        <v>NA</v>
      </c>
      <c r="FA38" s="669">
        <f>INPUT!FT433</f>
        <v>18.399999999999999</v>
      </c>
      <c r="FB38" s="670">
        <f>INPUT!FU433</f>
        <v>-0.82455336692625059</v>
      </c>
      <c r="FC38" s="669">
        <f>INPUT!FV433</f>
        <v>12.5</v>
      </c>
      <c r="FD38" s="670">
        <f>INPUT!FW433</f>
        <v>-32.065217391304344</v>
      </c>
      <c r="FE38" s="669">
        <f>INPUT!FX433</f>
        <v>-30.2</v>
      </c>
      <c r="FF38" s="670" t="str">
        <f>INPUT!FY433</f>
        <v>NM</v>
      </c>
      <c r="FG38" s="669">
        <f>INPUT!FZ433</f>
        <v>0</v>
      </c>
      <c r="FH38" s="670" t="str">
        <f>INPUT!GA433</f>
        <v>NM</v>
      </c>
      <c r="FI38" s="669">
        <f>INPUT!GB433</f>
        <v>0</v>
      </c>
      <c r="FJ38" s="670" t="str">
        <f>INPUT!GC433</f>
        <v>NA</v>
      </c>
      <c r="FK38" s="669">
        <f>INPUT!GD433</f>
        <v>0</v>
      </c>
      <c r="FL38" s="670" t="str">
        <f>INPUT!GE433</f>
        <v>NA</v>
      </c>
      <c r="FM38" s="669">
        <f>INPUT!GF433</f>
        <v>0</v>
      </c>
      <c r="FN38" s="670" t="str">
        <f>INPUT!GG433</f>
        <v>NA</v>
      </c>
      <c r="FO38" s="669">
        <f>INPUT!GH433</f>
        <v>-7.2999999999999989</v>
      </c>
      <c r="FP38" s="670" t="str">
        <f>INPUT!GI433</f>
        <v>NA</v>
      </c>
      <c r="FQ38" s="669">
        <f>INPUT!GJ433</f>
        <v>-13.4</v>
      </c>
      <c r="FR38" s="670">
        <f>INPUT!GK433</f>
        <v>83.561643835616465</v>
      </c>
      <c r="FS38" s="669">
        <f>INPUT!GL433</f>
        <v>-13.4</v>
      </c>
      <c r="FT38" s="670">
        <f>INPUT!GM433</f>
        <v>0</v>
      </c>
      <c r="FU38" s="669">
        <f>INPUT!GN433</f>
        <v>-13.4</v>
      </c>
      <c r="FV38" s="670">
        <f>INPUT!GO433</f>
        <v>0</v>
      </c>
      <c r="FW38" s="669">
        <f>INPUT!GP433</f>
        <v>-13.4</v>
      </c>
      <c r="FX38" s="670">
        <f>INPUT!GQ433</f>
        <v>0</v>
      </c>
      <c r="FY38" s="669">
        <f>INPUT!GR433</f>
        <v>-13.4</v>
      </c>
      <c r="FZ38" s="670">
        <f>INPUT!GS433</f>
        <v>0</v>
      </c>
      <c r="GA38" s="994">
        <f>INPUT!GT433</f>
        <v>12.916234673483572</v>
      </c>
    </row>
    <row r="39" spans="1:183" s="707" customFormat="1" ht="12.75" customHeight="1" x14ac:dyDescent="0.2">
      <c r="A39" s="993" t="str">
        <f>INPUT!B434</f>
        <v>Realized Gains and Other</v>
      </c>
      <c r="B39" s="669">
        <f>INPUT!M434</f>
        <v>-57.1</v>
      </c>
      <c r="C39" s="681" t="str">
        <f>INPUT!N434</f>
        <v>NM</v>
      </c>
      <c r="D39" s="669">
        <f>INPUT!O434</f>
        <v>-50.5</v>
      </c>
      <c r="E39" s="681" t="str">
        <f>INPUT!P434</f>
        <v>NM</v>
      </c>
      <c r="F39" s="669">
        <f>INPUT!Q434</f>
        <v>-41.5</v>
      </c>
      <c r="G39" s="681" t="str">
        <f>INPUT!R434</f>
        <v>NM</v>
      </c>
      <c r="H39" s="669">
        <f>INPUT!S434</f>
        <v>-52.6</v>
      </c>
      <c r="I39" s="681">
        <f>INPUT!T434</f>
        <v>-24.31654676258993</v>
      </c>
      <c r="J39" s="669">
        <f>INPUT!U434</f>
        <v>-55.6</v>
      </c>
      <c r="K39" s="681">
        <f>INPUT!V434</f>
        <v>-2.6269702276707552</v>
      </c>
      <c r="L39" s="669">
        <f>INPUT!W434</f>
        <v>-17.3</v>
      </c>
      <c r="M39" s="681" t="str">
        <f>INPUT!X434</f>
        <v>NM</v>
      </c>
      <c r="N39" s="669">
        <f>INPUT!Y434</f>
        <v>-16.5</v>
      </c>
      <c r="O39" s="681" t="str">
        <f>INPUT!Z434</f>
        <v>NM</v>
      </c>
      <c r="P39" s="669">
        <f>INPUT!AA434</f>
        <v>-23.9</v>
      </c>
      <c r="Q39" s="681" t="str">
        <f>INPUT!AB434</f>
        <v>NM</v>
      </c>
      <c r="R39" s="669">
        <f>INPUT!AC434</f>
        <v>16.099999999999998</v>
      </c>
      <c r="S39" s="681" t="str">
        <f>INPUT!AD434</f>
        <v>NM</v>
      </c>
      <c r="T39" s="669">
        <f>INPUT!AE434</f>
        <v>-55.9</v>
      </c>
      <c r="U39" s="681" t="str">
        <f>INPUT!AF434</f>
        <v>NM</v>
      </c>
      <c r="V39" s="669">
        <f>INPUT!AG434</f>
        <v>41.8</v>
      </c>
      <c r="W39" s="681" t="str">
        <f>INPUT!AH434</f>
        <v>NM</v>
      </c>
      <c r="X39" s="669">
        <f>INPUT!AI434</f>
        <v>16.8</v>
      </c>
      <c r="Y39" s="681" t="str">
        <f>INPUT!AJ434</f>
        <v>NM</v>
      </c>
      <c r="Z39" s="669">
        <f>INPUT!AK434</f>
        <v>-2.1</v>
      </c>
      <c r="AA39" s="681" t="str">
        <f>INPUT!AL434</f>
        <v>NM</v>
      </c>
      <c r="AB39" s="669">
        <f>INPUT!AM434</f>
        <v>42.6</v>
      </c>
      <c r="AC39" s="681" t="str">
        <f>INPUT!AN434</f>
        <v>NM</v>
      </c>
      <c r="AD39" s="669">
        <f>INPUT!AO434</f>
        <v>-80.7</v>
      </c>
      <c r="AE39" s="681" t="str">
        <f>INPUT!AP434</f>
        <v>NM</v>
      </c>
      <c r="AF39" s="669">
        <f>INPUT!AQ434</f>
        <v>1.5</v>
      </c>
      <c r="AG39" s="681" t="str">
        <f>INPUT!AR434</f>
        <v>NM</v>
      </c>
      <c r="AH39" s="669">
        <f>INPUT!AS434</f>
        <v>1.5</v>
      </c>
      <c r="AI39" s="681" t="str">
        <f>INPUT!AT434</f>
        <v>NM</v>
      </c>
      <c r="AJ39" s="669">
        <f>INPUT!AU434</f>
        <v>-3.5999999999999996</v>
      </c>
      <c r="AK39" s="681" t="str">
        <f>INPUT!AV434</f>
        <v>NM</v>
      </c>
      <c r="AL39" s="669">
        <f>INPUT!AW434</f>
        <v>3.0999999999999996</v>
      </c>
      <c r="AM39" s="681" t="str">
        <f>INPUT!AX434</f>
        <v>NM</v>
      </c>
      <c r="AN39" s="669">
        <f>INPUT!AY434</f>
        <v>0.49999999999999994</v>
      </c>
      <c r="AO39" s="670" t="str">
        <f>INPUT!AZ434</f>
        <v>NM</v>
      </c>
      <c r="AP39" s="669">
        <f>INPUT!BA434</f>
        <v>-3.2</v>
      </c>
      <c r="AQ39" s="670" t="str">
        <f>INPUT!BB434</f>
        <v>NM</v>
      </c>
      <c r="AR39" s="669">
        <f>INPUT!BC434</f>
        <v>6.5</v>
      </c>
      <c r="AS39" s="670" t="str">
        <f>INPUT!BD434</f>
        <v>NM</v>
      </c>
      <c r="AT39" s="669">
        <f>INPUT!BE434</f>
        <v>-30</v>
      </c>
      <c r="AU39" s="670" t="str">
        <f>INPUT!BF434</f>
        <v>NM</v>
      </c>
      <c r="AV39" s="669">
        <f>INPUT!BG434</f>
        <v>-16.5</v>
      </c>
      <c r="AW39" s="670" t="str">
        <f>INPUT!BH434</f>
        <v>NM</v>
      </c>
      <c r="AX39" s="669">
        <f>INPUT!BI434</f>
        <v>-44.7</v>
      </c>
      <c r="AY39" s="670" t="str">
        <f>INPUT!BJ434</f>
        <v>NM</v>
      </c>
      <c r="AZ39" s="669">
        <f>INPUT!BK434</f>
        <v>17.100000000000001</v>
      </c>
      <c r="BA39" s="670" t="str">
        <f>INPUT!BL434</f>
        <v>NM</v>
      </c>
      <c r="BB39" s="669">
        <f>INPUT!BM434</f>
        <v>-108.9</v>
      </c>
      <c r="BC39" s="670" t="str">
        <f>INPUT!BN434</f>
        <v>NM</v>
      </c>
      <c r="BD39" s="669">
        <f>INPUT!BO434</f>
        <v>-167.6</v>
      </c>
      <c r="BE39" s="670" t="str">
        <f>INPUT!BP434</f>
        <v>NM</v>
      </c>
      <c r="BF39" s="669">
        <f>INPUT!BQ434</f>
        <v>-41.8</v>
      </c>
      <c r="BG39" s="670">
        <f>INPUT!BR434</f>
        <v>-6.487695749440725</v>
      </c>
      <c r="BH39" s="669">
        <f>INPUT!BS434</f>
        <v>51.4</v>
      </c>
      <c r="BI39" s="670" t="str">
        <f>INPUT!BT434</f>
        <v>NM</v>
      </c>
      <c r="BJ39" s="669">
        <f>INPUT!BU434</f>
        <v>9.5</v>
      </c>
      <c r="BK39" s="670" t="str">
        <f>INPUT!BV434</f>
        <v>NM</v>
      </c>
      <c r="BL39" s="669">
        <f>INPUT!BW434</f>
        <v>-18.899999999999999</v>
      </c>
      <c r="BM39" s="670" t="str">
        <f>INPUT!BX434</f>
        <v>NM</v>
      </c>
      <c r="BN39" s="669">
        <f>INPUT!BY434</f>
        <v>-10</v>
      </c>
      <c r="BO39" s="670" t="str">
        <f>INPUT!BZ434</f>
        <v>NM</v>
      </c>
      <c r="BP39" s="669">
        <f>INPUT!CA434</f>
        <v>-37.6</v>
      </c>
      <c r="BQ39" s="670" t="str">
        <f>INPUT!CB434</f>
        <v>NM</v>
      </c>
      <c r="BR39" s="669">
        <f>INPUT!CC434</f>
        <v>-6.9</v>
      </c>
      <c r="BS39" s="670" t="str">
        <f>INPUT!CD434</f>
        <v>NM</v>
      </c>
      <c r="BT39" s="669">
        <f>INPUT!CE434</f>
        <v>19.399999999999999</v>
      </c>
      <c r="BU39" s="670" t="str">
        <f>INPUT!CF434</f>
        <v>NM</v>
      </c>
      <c r="BV39" s="669">
        <f>INPUT!CG434</f>
        <v>7.1999999999999993</v>
      </c>
      <c r="BW39" s="670" t="str">
        <f>INPUT!CH434</f>
        <v>NM</v>
      </c>
      <c r="BX39" s="669">
        <f>INPUT!CI434</f>
        <v>-11.6</v>
      </c>
      <c r="BY39" s="670" t="str">
        <f>INPUT!CJ434</f>
        <v>NM</v>
      </c>
      <c r="BZ39" s="669">
        <f>INPUT!CK434</f>
        <v>-31.9</v>
      </c>
      <c r="CA39" s="670" t="str">
        <f>INPUT!CL434</f>
        <v>NM</v>
      </c>
      <c r="CB39" s="669">
        <f>INPUT!CM434</f>
        <v>-0.5</v>
      </c>
      <c r="CC39" s="670" t="str">
        <f>INPUT!CN434</f>
        <v>NM</v>
      </c>
      <c r="CD39" s="669">
        <f>INPUT!CO434</f>
        <v>0.80000000000000071</v>
      </c>
      <c r="CE39" s="670" t="str">
        <f>INPUT!CP434</f>
        <v>NM</v>
      </c>
      <c r="CF39" s="669">
        <f>INPUT!CQ434</f>
        <v>-13.7</v>
      </c>
      <c r="CG39" s="670">
        <f>INPUT!CR434</f>
        <v>18.103448275862078</v>
      </c>
      <c r="CH39" s="669">
        <f>INPUT!CS434</f>
        <v>9.7000000000000011</v>
      </c>
      <c r="CI39" s="670" t="str">
        <f>INPUT!CT434</f>
        <v>NM</v>
      </c>
      <c r="CJ39" s="669">
        <f>INPUT!CU434</f>
        <v>8.8999999999999986</v>
      </c>
      <c r="CK39" s="670" t="str">
        <f>INPUT!CV434</f>
        <v>NM</v>
      </c>
      <c r="CL39" s="669">
        <f>INPUT!CW434</f>
        <v>-2.9999999999999991</v>
      </c>
      <c r="CM39" s="670">
        <f>INPUT!CX434</f>
        <v>0</v>
      </c>
      <c r="CN39" s="669">
        <f>INPUT!CY434</f>
        <v>9.9999999999999645E-2</v>
      </c>
      <c r="CO39" s="670">
        <f>INPUT!CZ434</f>
        <v>0</v>
      </c>
      <c r="CP39" s="669">
        <f>INPUT!DA434</f>
        <v>-18.899999999999999</v>
      </c>
      <c r="CQ39" s="670">
        <f>INPUT!DB434</f>
        <v>0</v>
      </c>
      <c r="CR39" s="669">
        <f>INPUT!DC434</f>
        <v>4.3</v>
      </c>
      <c r="CS39" s="670">
        <f>INPUT!DD434</f>
        <v>0</v>
      </c>
      <c r="CT39" s="669">
        <f>INPUT!DE434</f>
        <v>3.1999999999999997</v>
      </c>
      <c r="CU39" s="670">
        <f>INPUT!DF434</f>
        <v>0</v>
      </c>
      <c r="CV39" s="669">
        <f>INPUT!DG434</f>
        <v>18.100000000000001</v>
      </c>
      <c r="CW39" s="670">
        <f>INPUT!DH434</f>
        <v>0</v>
      </c>
      <c r="CX39" s="669">
        <f>INPUT!DI434</f>
        <v>0</v>
      </c>
      <c r="CY39" s="670">
        <f>INPUT!DJ434</f>
        <v>0</v>
      </c>
      <c r="CZ39" s="669">
        <f>INPUT!DK434</f>
        <v>-53.099999999999994</v>
      </c>
      <c r="DA39" s="670" t="str">
        <f>INPUT!DL434</f>
        <v>NM</v>
      </c>
      <c r="DB39" s="669">
        <f>INPUT!DM434</f>
        <v>-10</v>
      </c>
      <c r="DC39" s="670" t="str">
        <f>INPUT!DN434</f>
        <v>NM</v>
      </c>
      <c r="DD39" s="669">
        <f>INPUT!DO434</f>
        <v>3.7</v>
      </c>
      <c r="DE39" s="670" t="str">
        <f>INPUT!DP434</f>
        <v>NM</v>
      </c>
      <c r="DF39" s="669">
        <f>INPUT!DQ434</f>
        <v>-17.3</v>
      </c>
      <c r="DG39" s="670" t="str">
        <f>INPUT!DR434</f>
        <v>NA</v>
      </c>
      <c r="DH39" s="669">
        <f>INPUT!DS434</f>
        <v>-2.5</v>
      </c>
      <c r="DI39" s="670" t="str">
        <f>INPUT!DT434</f>
        <v>NM</v>
      </c>
      <c r="DJ39" s="669">
        <f>INPUT!DU434</f>
        <v>-13.6</v>
      </c>
      <c r="DK39" s="670">
        <f>INPUT!DV434</f>
        <v>35.999999999999986</v>
      </c>
      <c r="DL39" s="669">
        <f>INPUT!DW434</f>
        <v>3.8</v>
      </c>
      <c r="DM39" s="670">
        <f>INPUT!DX434</f>
        <v>2.7027027027026973</v>
      </c>
      <c r="DN39" s="669">
        <f>INPUT!DY434</f>
        <v>7.3</v>
      </c>
      <c r="DO39" s="670" t="str">
        <f>INPUT!DZ434</f>
        <v>NM</v>
      </c>
      <c r="DP39" s="669">
        <f>INPUT!EA434</f>
        <v>18.3</v>
      </c>
      <c r="DQ39" s="670" t="str">
        <f>INPUT!EB434</f>
        <v>NM</v>
      </c>
      <c r="DR39" s="669">
        <f>INPUT!EC434</f>
        <v>7.2</v>
      </c>
      <c r="DS39" s="670" t="str">
        <f>INPUT!ED434</f>
        <v>NM</v>
      </c>
      <c r="DT39" s="669">
        <f>INPUT!EE434</f>
        <v>4.7</v>
      </c>
      <c r="DU39" s="670">
        <f>INPUT!EF434</f>
        <v>23.684210526315795</v>
      </c>
      <c r="DV39" s="669">
        <f>INPUT!EG434</f>
        <v>6.2</v>
      </c>
      <c r="DW39" s="670">
        <f>INPUT!EH434</f>
        <v>-15.068493150684926</v>
      </c>
      <c r="DX39" s="669">
        <f>INPUT!EI434</f>
        <v>7.2</v>
      </c>
      <c r="DY39" s="670" t="str">
        <f>INPUT!EJ434</f>
        <v>NM</v>
      </c>
      <c r="DZ39" s="669">
        <f>INPUT!EK434</f>
        <v>-7.1</v>
      </c>
      <c r="EA39" s="670" t="str">
        <f>INPUT!EL434</f>
        <v>NM</v>
      </c>
      <c r="EB39" s="669">
        <f>INPUT!EM434</f>
        <v>-7.1</v>
      </c>
      <c r="EC39" s="670" t="str">
        <f>INPUT!EN434</f>
        <v>NM</v>
      </c>
      <c r="ED39" s="669">
        <f>INPUT!EO434</f>
        <v>-7.1</v>
      </c>
      <c r="EE39" s="670" t="str">
        <f>INPUT!EP434</f>
        <v>NM</v>
      </c>
      <c r="EF39" s="669">
        <f>INPUT!EQ434</f>
        <v>-6.1</v>
      </c>
      <c r="EG39" s="670" t="str">
        <f>INPUT!ER434</f>
        <v>NM</v>
      </c>
      <c r="EH39" s="670"/>
      <c r="EI39" s="669">
        <f>INPUT!FB434</f>
        <v>-218.6</v>
      </c>
      <c r="EJ39" s="681" t="str">
        <f>INPUT!FC434</f>
        <v>NA</v>
      </c>
      <c r="EK39" s="669">
        <f>INPUT!FD434</f>
        <v>-201.7</v>
      </c>
      <c r="EL39" s="681">
        <f>INPUT!FE434</f>
        <v>-7.731015553522413</v>
      </c>
      <c r="EM39" s="669">
        <f>INPUT!FF434</f>
        <v>-113.30000000000001</v>
      </c>
      <c r="EN39" s="681">
        <f>INPUT!FG434</f>
        <v>-43.827466534457102</v>
      </c>
      <c r="EO39" s="669">
        <f>INPUT!FH434</f>
        <v>18.799999999999994</v>
      </c>
      <c r="EP39" s="681" t="str">
        <f>INPUT!FI434</f>
        <v>NM</v>
      </c>
      <c r="EQ39" s="669">
        <f>INPUT!FJ434</f>
        <v>-38.700000000000003</v>
      </c>
      <c r="ER39" s="670" t="str">
        <f>INPUT!FK434</f>
        <v>NM</v>
      </c>
      <c r="ES39" s="669">
        <f>INPUT!FL434</f>
        <v>1.5</v>
      </c>
      <c r="ET39" s="670" t="str">
        <f>INPUT!FM434</f>
        <v>NM</v>
      </c>
      <c r="EU39" s="669">
        <f>INPUT!FN434</f>
        <v>-43.2</v>
      </c>
      <c r="EV39" s="670" t="str">
        <f>INPUT!FO434</f>
        <v>NM</v>
      </c>
      <c r="EW39" s="669">
        <f>INPUT!FP434</f>
        <v>-304.10000000000002</v>
      </c>
      <c r="EX39" s="670" t="str">
        <f>INPUT!FQ434</f>
        <v>NM</v>
      </c>
      <c r="EY39" s="669">
        <f>INPUT!FR434</f>
        <v>-31.8</v>
      </c>
      <c r="EZ39" s="670" t="str">
        <f>INPUT!FS434</f>
        <v>NM</v>
      </c>
      <c r="FA39" s="669">
        <f>INPUT!FT434</f>
        <v>-35.1</v>
      </c>
      <c r="FB39" s="670">
        <f>INPUT!FU434</f>
        <v>10.377358490566046</v>
      </c>
      <c r="FC39" s="669">
        <f>INPUT!FV434</f>
        <v>-36.799999999999997</v>
      </c>
      <c r="FD39" s="670">
        <f>INPUT!FW434</f>
        <v>4.8433048433048409</v>
      </c>
      <c r="FE39" s="669">
        <f>INPUT!FX434</f>
        <v>37.1</v>
      </c>
      <c r="FF39" s="670" t="str">
        <f>INPUT!FY434</f>
        <v>NM</v>
      </c>
      <c r="FG39" s="669">
        <f>INPUT!FZ434</f>
        <v>-17.499999999999996</v>
      </c>
      <c r="FH39" s="670" t="str">
        <f>INPUT!GA434</f>
        <v>NM</v>
      </c>
      <c r="FI39" s="669">
        <f>INPUT!GB434</f>
        <v>-31.799999999999994</v>
      </c>
      <c r="FJ39" s="670">
        <f>INPUT!GC434</f>
        <v>81.714285714285722</v>
      </c>
      <c r="FK39" s="669">
        <f>INPUT!GD434</f>
        <v>-26.1</v>
      </c>
      <c r="FL39" s="670">
        <f>INPUT!GE434</f>
        <v>-17.924528301886767</v>
      </c>
      <c r="FM39" s="669">
        <f>INPUT!GF434</f>
        <v>15.8</v>
      </c>
      <c r="FN39" s="670" t="str">
        <f>INPUT!GG434</f>
        <v>NM</v>
      </c>
      <c r="FO39" s="669">
        <f>INPUT!GH434</f>
        <v>25.3</v>
      </c>
      <c r="FP39" s="670">
        <f>INPUT!GI434</f>
        <v>60.126582278481003</v>
      </c>
      <c r="FQ39" s="669">
        <f>INPUT!GJ434</f>
        <v>-27.4</v>
      </c>
      <c r="FR39" s="670" t="str">
        <f>INPUT!GK434</f>
        <v>NM</v>
      </c>
      <c r="FS39" s="669">
        <f>INPUT!GL434</f>
        <v>-27.865535155935923</v>
      </c>
      <c r="FT39" s="670">
        <f>INPUT!GM434</f>
        <v>1.6990334158245357</v>
      </c>
      <c r="FU39" s="669">
        <f>INPUT!GN434</f>
        <v>-28.562173534834319</v>
      </c>
      <c r="FV39" s="670">
        <f>INPUT!GO434</f>
        <v>2.4999999999999911</v>
      </c>
      <c r="FW39" s="669">
        <f>INPUT!GP434</f>
        <v>-29.276227873205173</v>
      </c>
      <c r="FX39" s="670">
        <f>INPUT!GQ434</f>
        <v>2.4999999999999911</v>
      </c>
      <c r="FY39" s="669">
        <f>INPUT!GR434</f>
        <v>-30.008133570035298</v>
      </c>
      <c r="FZ39" s="670">
        <f>INPUT!GS434</f>
        <v>2.4999999999999911</v>
      </c>
      <c r="GA39" s="994" t="str">
        <f>INPUT!GT434</f>
        <v>NM</v>
      </c>
    </row>
    <row r="40" spans="1:183" s="708" customFormat="1" ht="12.75" customHeight="1" x14ac:dyDescent="0.2">
      <c r="A40" s="991" t="str">
        <f>INPUT!B438</f>
        <v>Reported Net Income</v>
      </c>
      <c r="B40" s="684">
        <f>INPUT!M438</f>
        <v>87.9</v>
      </c>
      <c r="C40" s="685" t="str">
        <f>INPUT!N438</f>
        <v>NM</v>
      </c>
      <c r="D40" s="684">
        <f>INPUT!O438</f>
        <v>97.700000000000017</v>
      </c>
      <c r="E40" s="685">
        <f>INPUT!P438</f>
        <v>-31.72606568832984</v>
      </c>
      <c r="F40" s="684">
        <f>INPUT!Q438</f>
        <v>113.39999999999999</v>
      </c>
      <c r="G40" s="685">
        <f>INPUT!R438</f>
        <v>15.950920245398748</v>
      </c>
      <c r="H40" s="684">
        <f>INPUT!S438</f>
        <v>102.19999999999999</v>
      </c>
      <c r="I40" s="685">
        <f>INPUT!T438</f>
        <v>30.191082802547765</v>
      </c>
      <c r="J40" s="684">
        <f>INPUT!U438</f>
        <v>-246.4000000000006</v>
      </c>
      <c r="K40" s="685" t="str">
        <f>INPUT!V438</f>
        <v>NM</v>
      </c>
      <c r="L40" s="684">
        <f>INPUT!W438</f>
        <v>98.499999999999972</v>
      </c>
      <c r="M40" s="685">
        <f>INPUT!X438</f>
        <v>0.81883316274304896</v>
      </c>
      <c r="N40" s="684">
        <f>INPUT!Y438</f>
        <v>108.70000000000029</v>
      </c>
      <c r="O40" s="685">
        <f>INPUT!Z438</f>
        <v>-4.144620811287214</v>
      </c>
      <c r="P40" s="684">
        <f>INPUT!AA438</f>
        <v>-347.19999999999993</v>
      </c>
      <c r="Q40" s="685" t="str">
        <f>INPUT!AB438</f>
        <v>NM</v>
      </c>
      <c r="R40" s="684">
        <f>INPUT!AC438</f>
        <v>-562.19999999999993</v>
      </c>
      <c r="S40" s="685" t="str">
        <f>INPUT!AD438</f>
        <v>NM</v>
      </c>
      <c r="T40" s="684">
        <f>INPUT!AE438</f>
        <v>7.200000000000216</v>
      </c>
      <c r="U40" s="670" t="str">
        <f>INPUT!AF438</f>
        <v>NM</v>
      </c>
      <c r="V40" s="684">
        <f>INPUT!AG438</f>
        <v>168.22999999999996</v>
      </c>
      <c r="W40" s="670">
        <f>INPUT!AH438</f>
        <v>54.765409383624217</v>
      </c>
      <c r="X40" s="684">
        <f>INPUT!AI438</f>
        <v>133.87000000000015</v>
      </c>
      <c r="Y40" s="670" t="str">
        <f>INPUT!AJ438</f>
        <v>NM</v>
      </c>
      <c r="Z40" s="684">
        <f>INPUT!AK438</f>
        <v>152.2000000000005</v>
      </c>
      <c r="AA40" s="670" t="str">
        <f>INPUT!AL438</f>
        <v>NM</v>
      </c>
      <c r="AB40" s="684">
        <f>INPUT!AM438</f>
        <v>171.29999999999973</v>
      </c>
      <c r="AC40" s="670" t="str">
        <f>INPUT!AN438</f>
        <v>NM</v>
      </c>
      <c r="AD40" s="684">
        <f>INPUT!AO438</f>
        <v>54.999999999999929</v>
      </c>
      <c r="AE40" s="670" t="str">
        <f>INPUT!AP438</f>
        <v>NM</v>
      </c>
      <c r="AF40" s="684">
        <f>INPUT!AQ438</f>
        <v>137.49999999999994</v>
      </c>
      <c r="AG40" s="670">
        <f>INPUT!AR438</f>
        <v>2.7115858668856241</v>
      </c>
      <c r="AH40" s="684">
        <f>INPUT!AS438</f>
        <v>75.299999999999855</v>
      </c>
      <c r="AI40" s="670" t="str">
        <f>INPUT!AT438</f>
        <v>NM</v>
      </c>
      <c r="AJ40" s="684">
        <f>INPUT!AU438</f>
        <v>125.19999999999972</v>
      </c>
      <c r="AK40" s="670">
        <f>INPUT!AV438</f>
        <v>-26.911850554582649</v>
      </c>
      <c r="AL40" s="684">
        <f>INPUT!AW438</f>
        <v>-63.699999999999903</v>
      </c>
      <c r="AM40" s="670" t="str">
        <f>INPUT!AX438</f>
        <v>NM</v>
      </c>
      <c r="AN40" s="684">
        <f>INPUT!AY438</f>
        <v>276.10000000000014</v>
      </c>
      <c r="AO40" s="670" t="str">
        <f>INPUT!AZ438</f>
        <v>NM</v>
      </c>
      <c r="AP40" s="684">
        <f>INPUT!BA438</f>
        <v>178.29999999999995</v>
      </c>
      <c r="AQ40" s="670" t="str">
        <f>INPUT!BB438</f>
        <v>NM</v>
      </c>
      <c r="AR40" s="684">
        <f>INPUT!BC438</f>
        <v>188</v>
      </c>
      <c r="AS40" s="670">
        <f>INPUT!BD438</f>
        <v>50.159744408946018</v>
      </c>
      <c r="AT40" s="684">
        <f>INPUT!BE438</f>
        <v>186.89999999999984</v>
      </c>
      <c r="AU40" s="670" t="str">
        <f>INPUT!BF438</f>
        <v>NM</v>
      </c>
      <c r="AV40" s="684">
        <f>INPUT!BG438</f>
        <v>160.50000000000009</v>
      </c>
      <c r="AW40" s="670">
        <f>INPUT!BH438</f>
        <v>-41.868888084027525</v>
      </c>
      <c r="AX40" s="684">
        <f>INPUT!BI438</f>
        <v>163.09999999999997</v>
      </c>
      <c r="AY40" s="670">
        <f>INPUT!BJ438</f>
        <v>-8.5249579360628154</v>
      </c>
      <c r="AZ40" s="684">
        <f>INPUT!BK438</f>
        <v>240.29999999999976</v>
      </c>
      <c r="BA40" s="670">
        <f>INPUT!BL438</f>
        <v>27.81914893617008</v>
      </c>
      <c r="BB40" s="684">
        <f>INPUT!BM438</f>
        <v>107.99999999999986</v>
      </c>
      <c r="BC40" s="670">
        <f>INPUT!BN438</f>
        <v>-42.215088282504041</v>
      </c>
      <c r="BD40" s="684">
        <f>INPUT!BO438</f>
        <v>41.80000000000021</v>
      </c>
      <c r="BE40" s="670" t="str">
        <f>INPUT!BP438</f>
        <v>NM</v>
      </c>
      <c r="BF40" s="684">
        <f>INPUT!BQ438</f>
        <v>164.89999999999992</v>
      </c>
      <c r="BG40" s="670">
        <f>INPUT!BR438</f>
        <v>1.1036174126302534</v>
      </c>
      <c r="BH40" s="684">
        <f>INPUT!BS438</f>
        <v>267.20000000000016</v>
      </c>
      <c r="BI40" s="670">
        <f>INPUT!BT438</f>
        <v>11.194340407823745</v>
      </c>
      <c r="BJ40" s="684">
        <f>INPUT!BU438</f>
        <v>221.09999999999982</v>
      </c>
      <c r="BK40" s="670" t="str">
        <f>INPUT!BV438</f>
        <v>NM</v>
      </c>
      <c r="BL40" s="684">
        <f>INPUT!BW438</f>
        <v>199.39999999999978</v>
      </c>
      <c r="BM40" s="670" t="str">
        <f>INPUT!BX438</f>
        <v>NM</v>
      </c>
      <c r="BN40" s="684">
        <f>INPUT!BY438</f>
        <v>226.60000000000002</v>
      </c>
      <c r="BO40" s="670">
        <f>INPUT!BZ438</f>
        <v>37.416616130988565</v>
      </c>
      <c r="BP40" s="684">
        <f>INPUT!CA438</f>
        <v>208.29999999999995</v>
      </c>
      <c r="BQ40" s="670">
        <f>INPUT!CB438</f>
        <v>-22.043413173652759</v>
      </c>
      <c r="BR40" s="684">
        <f>INPUT!CC438</f>
        <v>218.90000000000009</v>
      </c>
      <c r="BS40" s="670">
        <f>INPUT!CD438</f>
        <v>-0.995024875621775</v>
      </c>
      <c r="BT40" s="684">
        <f>INPUT!CE438</f>
        <v>224.2000000000003</v>
      </c>
      <c r="BU40" s="670">
        <f>INPUT!CF438</f>
        <v>12.437311935807704</v>
      </c>
      <c r="BV40" s="684">
        <f>INPUT!CG438</f>
        <v>223.59999999999988</v>
      </c>
      <c r="BW40" s="670">
        <f>INPUT!CH438</f>
        <v>-1.323918799647017</v>
      </c>
      <c r="BX40" s="684">
        <f>INPUT!CI438</f>
        <v>227.60000000000014</v>
      </c>
      <c r="BY40" s="670">
        <f>INPUT!CJ438</f>
        <v>9.2654824771964517</v>
      </c>
      <c r="BZ40" s="684">
        <f>INPUT!CK438</f>
        <v>202.00000000000003</v>
      </c>
      <c r="CA40" s="670">
        <f>INPUT!CL438</f>
        <v>-7.7204202832343753</v>
      </c>
      <c r="CB40" s="684">
        <f>INPUT!CM438</f>
        <v>-369.00000000000028</v>
      </c>
      <c r="CC40" s="670" t="str">
        <f>INPUT!CN438</f>
        <v>NM</v>
      </c>
      <c r="CD40" s="684">
        <f>INPUT!CO438</f>
        <v>213.89999999999992</v>
      </c>
      <c r="CE40" s="670">
        <f>INPUT!CP438</f>
        <v>-4.3381037567083887</v>
      </c>
      <c r="CF40" s="684">
        <f>INPUT!CQ438</f>
        <v>216.39999999999989</v>
      </c>
      <c r="CG40" s="670">
        <f>INPUT!CR438</f>
        <v>-4.9209138840071383</v>
      </c>
      <c r="CH40" s="684">
        <f>INPUT!CS438</f>
        <v>230.2</v>
      </c>
      <c r="CI40" s="670">
        <f>INPUT!CT438</f>
        <v>13.960396039603928</v>
      </c>
      <c r="CJ40" s="684">
        <f>INPUT!CU438</f>
        <v>233.89999999999995</v>
      </c>
      <c r="CK40" s="670" t="str">
        <f>INPUT!CV438</f>
        <v>NM</v>
      </c>
      <c r="CL40" s="684">
        <f>INPUT!CW438</f>
        <v>209.7000000000001</v>
      </c>
      <c r="CM40" s="670">
        <f>INPUT!CX438</f>
        <v>-1.9635343618512491</v>
      </c>
      <c r="CN40" s="684">
        <f>INPUT!CY438</f>
        <v>215.99999999999991</v>
      </c>
      <c r="CO40" s="670">
        <f>INPUT!CZ438</f>
        <v>-0.1848428835489746</v>
      </c>
      <c r="CP40" s="684">
        <f>INPUT!DA438</f>
        <v>202.70000000000002</v>
      </c>
      <c r="CQ40" s="670">
        <f>INPUT!DB438</f>
        <v>-11.946133796698511</v>
      </c>
      <c r="CR40" s="684">
        <f>INPUT!DC438</f>
        <v>218.59999999999997</v>
      </c>
      <c r="CS40" s="670">
        <f>INPUT!DD438</f>
        <v>-6.5412569474134212</v>
      </c>
      <c r="CT40" s="684">
        <f>INPUT!DE438</f>
        <v>225.79999999999973</v>
      </c>
      <c r="CU40" s="670">
        <f>INPUT!DF438</f>
        <v>7.6776347162611502</v>
      </c>
      <c r="CV40" s="684">
        <f>INPUT!DG438</f>
        <v>239.4</v>
      </c>
      <c r="CW40" s="670">
        <f>INPUT!DH438</f>
        <v>10.833333333333384</v>
      </c>
      <c r="CX40" s="684">
        <f>INPUT!DI438</f>
        <v>219.10000000000005</v>
      </c>
      <c r="CY40" s="670">
        <f>INPUT!DJ438</f>
        <v>8.090774543660606</v>
      </c>
      <c r="CZ40" s="684">
        <f>INPUT!DK438</f>
        <v>-282.20000000000005</v>
      </c>
      <c r="DA40" s="670" t="str">
        <f>INPUT!DL438</f>
        <v>NM</v>
      </c>
      <c r="DB40" s="684">
        <f>INPUT!DM438</f>
        <v>212.90000000000006</v>
      </c>
      <c r="DC40" s="670">
        <f>INPUT!DN438</f>
        <v>-5.7130203720104911</v>
      </c>
      <c r="DD40" s="684">
        <f>INPUT!DO438</f>
        <v>224.29999999999993</v>
      </c>
      <c r="DE40" s="670">
        <f>INPUT!DP438</f>
        <v>-6.307435254803706</v>
      </c>
      <c r="DF40" s="684">
        <f>INPUT!DQ438</f>
        <v>203.80000000000021</v>
      </c>
      <c r="DG40" s="670">
        <f>INPUT!DR438</f>
        <v>-6.9831127339113781</v>
      </c>
      <c r="DH40" s="684">
        <f>INPUT!DS438</f>
        <v>226.09999999999991</v>
      </c>
      <c r="DI40" s="670" t="str">
        <f>INPUT!DT438</f>
        <v>NM</v>
      </c>
      <c r="DJ40" s="684">
        <f>INPUT!DU438</f>
        <v>210.59999999999982</v>
      </c>
      <c r="DK40" s="670">
        <f>INPUT!DV438</f>
        <v>-1.0803193987788839</v>
      </c>
      <c r="DL40" s="684">
        <f>INPUT!DW438</f>
        <v>236.79999999999993</v>
      </c>
      <c r="DM40" s="670">
        <f>INPUT!DX438</f>
        <v>5.5728934462773161</v>
      </c>
      <c r="DN40" s="684">
        <f>INPUT!DY438</f>
        <v>236.0000000000002</v>
      </c>
      <c r="DO40" s="670">
        <f>INPUT!DZ438</f>
        <v>15.7998037291462</v>
      </c>
      <c r="DP40" s="684">
        <f>INPUT!EA438</f>
        <v>247.99999999999997</v>
      </c>
      <c r="DQ40" s="670">
        <f>INPUT!EB438</f>
        <v>9.6859796550199384</v>
      </c>
      <c r="DR40" s="684">
        <f>INPUT!EC438</f>
        <v>229.89999999999975</v>
      </c>
      <c r="DS40" s="670">
        <f>INPUT!ED438</f>
        <v>9.1642924976258033</v>
      </c>
      <c r="DT40" s="684">
        <f>INPUT!EE438</f>
        <v>245.10000000000011</v>
      </c>
      <c r="DU40" s="670">
        <f>INPUT!EF438</f>
        <v>3.5050675675676546</v>
      </c>
      <c r="DV40" s="684">
        <f>INPUT!EG438</f>
        <v>251.6999999999999</v>
      </c>
      <c r="DW40" s="670">
        <f>INPUT!EH438</f>
        <v>6.6525423728812205</v>
      </c>
      <c r="DX40" s="684">
        <f>INPUT!EI438</f>
        <v>266.89999999999981</v>
      </c>
      <c r="DY40" s="670">
        <f>INPUT!EJ438</f>
        <v>7.6209677419354138</v>
      </c>
      <c r="DZ40" s="684">
        <f>INPUT!EK438</f>
        <v>261.81763341896846</v>
      </c>
      <c r="EA40" s="670">
        <f>INPUT!EL438</f>
        <v>13.883268124823278</v>
      </c>
      <c r="EB40" s="684">
        <f>INPUT!EM438</f>
        <v>277.08549079101743</v>
      </c>
      <c r="EC40" s="670">
        <f>INPUT!EN438</f>
        <v>13.04997584292833</v>
      </c>
      <c r="ED40" s="684">
        <f>INPUT!EO438</f>
        <v>278.21644884485261</v>
      </c>
      <c r="EE40" s="670">
        <f>INPUT!EP438</f>
        <v>10.53494193279807</v>
      </c>
      <c r="EF40" s="684">
        <f>INPUT!EQ438</f>
        <v>281.07259761097214</v>
      </c>
      <c r="EG40" s="670">
        <f>INPUT!ER438</f>
        <v>5.3100777860518367</v>
      </c>
      <c r="EH40" s="686"/>
      <c r="EI40" s="684">
        <f>INPUT!FB438</f>
        <v>-439.3</v>
      </c>
      <c r="EJ40" s="685" t="str">
        <f>INPUT!FC438</f>
        <v>NA</v>
      </c>
      <c r="EK40" s="684">
        <f>INPUT!FD438</f>
        <v>556.20000000000084</v>
      </c>
      <c r="EL40" s="685" t="str">
        <f>INPUT!FE438</f>
        <v>NM</v>
      </c>
      <c r="EM40" s="684">
        <f>INPUT!FF438</f>
        <v>-192.89999999999938</v>
      </c>
      <c r="EN40" s="685" t="str">
        <f>INPUT!FG438</f>
        <v>NM</v>
      </c>
      <c r="EO40" s="684">
        <f>INPUT!FH438</f>
        <v>-99.300000000000182</v>
      </c>
      <c r="EP40" s="670">
        <f>INPUT!FI438</f>
        <v>-48.522550544323231</v>
      </c>
      <c r="EQ40" s="684">
        <f>INPUT!FJ438</f>
        <v>516.00000000000091</v>
      </c>
      <c r="ER40" s="670" t="str">
        <f>INPUT!FK438</f>
        <v>NM</v>
      </c>
      <c r="ES40" s="684">
        <f>INPUT!FL438</f>
        <v>412.90000000000026</v>
      </c>
      <c r="ET40" s="670">
        <f>INPUT!FM438</f>
        <v>-19.980620155038853</v>
      </c>
      <c r="EU40" s="684">
        <f>INPUT!FN438</f>
        <v>713.70000000000016</v>
      </c>
      <c r="EV40" s="670">
        <f>INPUT!FO438</f>
        <v>72.850569145071375</v>
      </c>
      <c r="EW40" s="684">
        <f>INPUT!FP438</f>
        <v>553.19999999999982</v>
      </c>
      <c r="EX40" s="670">
        <f>INPUT!FQ438</f>
        <v>-22.488440521227449</v>
      </c>
      <c r="EY40" s="684">
        <f>INPUT!FR438</f>
        <v>847.29999999999893</v>
      </c>
      <c r="EZ40" s="670">
        <f>INPUT!FS438</f>
        <v>53.163412870571072</v>
      </c>
      <c r="FA40" s="684">
        <f>INPUT!FT438</f>
        <v>877.99999999999909</v>
      </c>
      <c r="FB40" s="670">
        <f>INPUT!FU438</f>
        <v>3.6232739289508098</v>
      </c>
      <c r="FC40" s="684">
        <f>INPUT!FV438</f>
        <v>284.19999999999976</v>
      </c>
      <c r="FD40" s="670" t="str">
        <f>INPUT!FW438</f>
        <v>NM</v>
      </c>
      <c r="FE40" s="684">
        <f>INPUT!FX438</f>
        <v>888.1</v>
      </c>
      <c r="FF40" s="670" t="str">
        <f>INPUT!FY438</f>
        <v>NM</v>
      </c>
      <c r="FG40" s="684">
        <f>INPUT!FZ438</f>
        <v>846.99999999999989</v>
      </c>
      <c r="FH40" s="670">
        <f>INPUT!GA438</f>
        <v>-4.6278572232856803</v>
      </c>
      <c r="FI40" s="684">
        <f>INPUT!GB438</f>
        <v>402.1</v>
      </c>
      <c r="FJ40" s="670" t="str">
        <f>INPUT!GC438</f>
        <v>NM</v>
      </c>
      <c r="FK40" s="684">
        <f>INPUT!GD438</f>
        <v>867.09999999999957</v>
      </c>
      <c r="FL40" s="670" t="str">
        <f>INPUT!GE438</f>
        <v>NM</v>
      </c>
      <c r="FM40" s="684">
        <f>INPUT!GF438</f>
        <v>931.40000000000111</v>
      </c>
      <c r="FN40" s="670">
        <f>INPUT!GG438</f>
        <v>7.4155230077270984</v>
      </c>
      <c r="FO40" s="684">
        <f>INPUT!GH438</f>
        <v>993.59999999999968</v>
      </c>
      <c r="FP40" s="670">
        <f>INPUT!GI438</f>
        <v>6.6781189607041602</v>
      </c>
      <c r="FQ40" s="684">
        <f>INPUT!GJ438</f>
        <v>1098.1921706658111</v>
      </c>
      <c r="FR40" s="670">
        <f>INPUT!GK438</f>
        <v>10.526587224819984</v>
      </c>
      <c r="FS40" s="684">
        <f>INPUT!GL438</f>
        <v>1125.1083939429279</v>
      </c>
      <c r="FT40" s="670">
        <f>INPUT!GM438</f>
        <v>2.4509574914195698</v>
      </c>
      <c r="FU40" s="684">
        <f>INPUT!GN438</f>
        <v>1157.154246206788</v>
      </c>
      <c r="FV40" s="670">
        <f>INPUT!GO438</f>
        <v>2.8482457722633914</v>
      </c>
      <c r="FW40" s="684">
        <f>INPUT!GP438</f>
        <v>1193.397686871582</v>
      </c>
      <c r="FX40" s="670">
        <f>INPUT!GQ438</f>
        <v>3.1321183656890961</v>
      </c>
      <c r="FY40" s="684">
        <f>INPUT!GR438</f>
        <v>1224.840464378304</v>
      </c>
      <c r="FZ40" s="670">
        <f>INPUT!GS438</f>
        <v>2.6347275390777192</v>
      </c>
      <c r="GA40" s="995">
        <f>INPUT!GT438</f>
        <v>4.2734129399745635</v>
      </c>
    </row>
    <row r="41" spans="1:183" s="707" customFormat="1" ht="12.75" hidden="1" customHeight="1" outlineLevel="1" x14ac:dyDescent="0.2">
      <c r="A41" s="997" t="s">
        <v>517</v>
      </c>
      <c r="B41" s="691"/>
      <c r="C41" s="692"/>
      <c r="D41" s="691"/>
      <c r="E41" s="692"/>
      <c r="F41" s="691"/>
      <c r="G41" s="692"/>
      <c r="H41" s="691"/>
      <c r="I41" s="692"/>
      <c r="J41" s="691"/>
      <c r="K41" s="692"/>
      <c r="L41" s="691"/>
      <c r="M41" s="692"/>
      <c r="N41" s="691"/>
      <c r="O41" s="692"/>
      <c r="P41" s="691"/>
      <c r="Q41" s="692"/>
      <c r="R41" s="691"/>
      <c r="S41" s="692"/>
      <c r="T41" s="691"/>
      <c r="U41" s="692"/>
      <c r="V41" s="691"/>
      <c r="W41" s="692"/>
      <c r="X41" s="691"/>
      <c r="Y41" s="692"/>
      <c r="Z41" s="691"/>
      <c r="AA41" s="692"/>
      <c r="AB41" s="691"/>
      <c r="AC41" s="692"/>
      <c r="AD41" s="691"/>
      <c r="AE41" s="692"/>
      <c r="AF41" s="691"/>
      <c r="AG41" s="692"/>
      <c r="AH41" s="691"/>
      <c r="AI41" s="692"/>
      <c r="AJ41" s="691"/>
      <c r="AK41" s="692"/>
      <c r="AL41" s="691"/>
      <c r="AM41" s="692"/>
      <c r="AN41" s="691"/>
      <c r="AO41" s="693"/>
      <c r="AP41" s="691"/>
      <c r="AQ41" s="693"/>
      <c r="AR41" s="691"/>
      <c r="AS41" s="693"/>
      <c r="AT41" s="691"/>
      <c r="AU41" s="693"/>
      <c r="AV41" s="691"/>
      <c r="AW41" s="693"/>
      <c r="AX41" s="691"/>
      <c r="AY41" s="693"/>
      <c r="AZ41" s="691"/>
      <c r="BA41" s="693"/>
      <c r="BB41" s="691"/>
      <c r="BC41" s="693"/>
      <c r="BD41" s="691"/>
      <c r="BE41" s="693"/>
      <c r="BF41" s="691"/>
      <c r="BG41" s="693"/>
      <c r="BH41" s="691"/>
      <c r="BI41" s="693"/>
      <c r="BJ41" s="691"/>
      <c r="BK41" s="693"/>
      <c r="BL41" s="691"/>
      <c r="BM41" s="693"/>
      <c r="BN41" s="691"/>
      <c r="BO41" s="693"/>
      <c r="BP41" s="691"/>
      <c r="BQ41" s="693"/>
      <c r="BR41" s="691"/>
      <c r="BS41" s="693"/>
      <c r="BT41" s="691"/>
      <c r="BU41" s="693"/>
      <c r="BV41" s="694">
        <f>(BV24+BV38+BV39)-BV40</f>
        <v>0</v>
      </c>
      <c r="BW41" s="693"/>
      <c r="BX41" s="694">
        <f>(BX24+BX38+BX39)-BX40</f>
        <v>0</v>
      </c>
      <c r="BY41" s="693"/>
      <c r="BZ41" s="694">
        <f>(BZ24+BZ38+BZ39)-BZ40</f>
        <v>0</v>
      </c>
      <c r="CA41" s="693"/>
      <c r="CB41" s="694">
        <f>(CB24+CB38+CB39)-CB40</f>
        <v>0</v>
      </c>
      <c r="CC41" s="693"/>
      <c r="CD41" s="694">
        <f>(CD24+CD38+CD39)-CD40</f>
        <v>0</v>
      </c>
      <c r="CE41" s="693"/>
      <c r="CF41" s="694">
        <f>(CF24+CF38+CF39)-CF40</f>
        <v>0</v>
      </c>
      <c r="CG41" s="693"/>
      <c r="CH41" s="694">
        <f>(CH24+CH38+CH39)-CH40</f>
        <v>0</v>
      </c>
      <c r="CI41" s="693"/>
      <c r="CJ41" s="694">
        <f>(CJ24+CJ38+CJ39)-CJ40</f>
        <v>0</v>
      </c>
      <c r="CK41" s="693"/>
      <c r="CL41" s="694">
        <f>(CL24+CL38+CL39)-CL40</f>
        <v>0</v>
      </c>
      <c r="CM41" s="693"/>
      <c r="CN41" s="694">
        <f>(CN24+CN38+CN39)-CN40</f>
        <v>0</v>
      </c>
      <c r="CO41" s="693"/>
      <c r="CP41" s="694">
        <f>(CP24+CP38+CP39)-CP40</f>
        <v>0</v>
      </c>
      <c r="CQ41" s="693"/>
      <c r="CR41" s="694">
        <f>(CR24+CR38+CR39)-CR40</f>
        <v>0</v>
      </c>
      <c r="CS41" s="693"/>
      <c r="CT41" s="694">
        <f>(CT24+CT38+CT39)-CT40</f>
        <v>0</v>
      </c>
      <c r="CU41" s="693"/>
      <c r="CV41" s="694">
        <f>(CV24+CV38+CV39)-CV40</f>
        <v>0</v>
      </c>
      <c r="CW41" s="693"/>
      <c r="CX41" s="694">
        <f>(CX24+CX38+CX39)-CX40</f>
        <v>0</v>
      </c>
      <c r="CY41" s="693"/>
      <c r="CZ41" s="694">
        <f>(CZ24+CZ38+CZ39)-CZ40</f>
        <v>0</v>
      </c>
      <c r="DA41" s="693"/>
      <c r="DB41" s="694">
        <f>(DB24+DB38+DB39)-DB40</f>
        <v>0</v>
      </c>
      <c r="DC41" s="693"/>
      <c r="DD41" s="694">
        <f>(DD24+DD38+DD39)-DD40</f>
        <v>0</v>
      </c>
      <c r="DE41" s="693"/>
      <c r="DF41" s="694">
        <f>(DF24+DF38+DF39)-DF40</f>
        <v>0</v>
      </c>
      <c r="DG41" s="693"/>
      <c r="DH41" s="694">
        <f>(DH24+DH38+DH39)-DH40</f>
        <v>0</v>
      </c>
      <c r="DI41" s="693"/>
      <c r="DJ41" s="694">
        <f>(DJ24+DJ38+DJ39)-DJ40</f>
        <v>0</v>
      </c>
      <c r="DK41" s="693"/>
      <c r="DL41" s="694">
        <f>(DL24+DL38+DL39)-DL40</f>
        <v>0</v>
      </c>
      <c r="DM41" s="693"/>
      <c r="DN41" s="694">
        <f>(DN24+DN38+DN39)-DN40</f>
        <v>0</v>
      </c>
      <c r="DO41" s="693"/>
      <c r="DP41" s="694">
        <f>(DP24+DP38+DP39)-DP40</f>
        <v>0</v>
      </c>
      <c r="DQ41" s="693"/>
      <c r="DR41" s="694">
        <f t="shared" ref="DR41" si="32">(DR24+DR38+DR39)-DR40</f>
        <v>0</v>
      </c>
      <c r="DS41" s="693"/>
      <c r="DT41" s="694">
        <f t="shared" ref="DT41" si="33">(DT24+DT38+DT39)-DT40</f>
        <v>0</v>
      </c>
      <c r="DU41" s="693"/>
      <c r="DV41" s="694">
        <f t="shared" ref="DV41" si="34">(DV24+DV38+DV39)-DV40</f>
        <v>0</v>
      </c>
      <c r="DW41" s="693"/>
      <c r="DX41" s="694">
        <f t="shared" ref="DX41" si="35">(DX24+DX38+DX39)-DX40</f>
        <v>0</v>
      </c>
      <c r="DY41" s="693"/>
      <c r="DZ41" s="694">
        <f t="shared" ref="DZ41" si="36">(DZ24+DZ38+DZ39)-DZ40</f>
        <v>0</v>
      </c>
      <c r="EA41" s="693"/>
      <c r="EB41" s="694">
        <f t="shared" ref="EB41" si="37">(EB24+EB38+EB39)-EB40</f>
        <v>0</v>
      </c>
      <c r="EC41" s="693"/>
      <c r="ED41" s="694">
        <f t="shared" ref="ED41" si="38">(ED24+ED38+ED39)-ED40</f>
        <v>0</v>
      </c>
      <c r="EE41" s="693"/>
      <c r="EF41" s="694">
        <f t="shared" ref="EF41" si="39">(EF24+EF38+EF39)-EF40</f>
        <v>0</v>
      </c>
      <c r="EG41" s="693"/>
      <c r="EH41" s="693"/>
      <c r="EI41" s="691"/>
      <c r="EJ41" s="692"/>
      <c r="EK41" s="691"/>
      <c r="EL41" s="692"/>
      <c r="EM41" s="691"/>
      <c r="EN41" s="692"/>
      <c r="EO41" s="691"/>
      <c r="EP41" s="692"/>
      <c r="EQ41" s="691"/>
      <c r="ER41" s="693"/>
      <c r="ES41" s="691"/>
      <c r="ET41" s="693"/>
      <c r="EU41" s="691"/>
      <c r="EV41" s="693"/>
      <c r="EW41" s="691"/>
      <c r="EX41" s="693"/>
      <c r="EY41" s="691"/>
      <c r="EZ41" s="693"/>
      <c r="FA41" s="694">
        <f>(FA24+FA38+FA39)-FA40</f>
        <v>0</v>
      </c>
      <c r="FB41" s="693"/>
      <c r="FC41" s="694">
        <f>(FC24+FC38+FC39)-FC40</f>
        <v>0</v>
      </c>
      <c r="FD41" s="693"/>
      <c r="FE41" s="694">
        <f>(FE24+FE38+FE39)-FE40</f>
        <v>0</v>
      </c>
      <c r="FF41" s="693"/>
      <c r="FG41" s="694">
        <f>(FG24+FG38+FG39)-FG40</f>
        <v>0</v>
      </c>
      <c r="FH41" s="693"/>
      <c r="FI41" s="694">
        <f>(FI24+FI38+FI39)-FI40</f>
        <v>0</v>
      </c>
      <c r="FJ41" s="693"/>
      <c r="FK41" s="694">
        <f>(FK24+FK38+FK39)-FK40</f>
        <v>0</v>
      </c>
      <c r="FL41" s="693"/>
      <c r="FM41" s="694">
        <f>(FM24+FM38+FM39)-FM40</f>
        <v>0</v>
      </c>
      <c r="FN41" s="693"/>
      <c r="FO41" s="694">
        <f>(FO24+FO38+FO39)-FO40</f>
        <v>0</v>
      </c>
      <c r="FP41" s="693"/>
      <c r="FQ41" s="694">
        <f>(FQ24+FQ38+FQ39)-FQ40</f>
        <v>0</v>
      </c>
      <c r="FR41" s="693"/>
      <c r="FS41" s="694">
        <f>(FS24+FS38+FS39)-FS40</f>
        <v>0</v>
      </c>
      <c r="FT41" s="693"/>
      <c r="FU41" s="694">
        <f>(FU24+FU38+FU39)-FU40</f>
        <v>0</v>
      </c>
      <c r="FV41" s="693"/>
      <c r="FW41" s="694">
        <f>(FW24+FW38+FW39)-FW40</f>
        <v>0</v>
      </c>
      <c r="FX41" s="693"/>
      <c r="FY41" s="694">
        <f>(FY24+FY38+FY39)-FY40</f>
        <v>0</v>
      </c>
      <c r="FZ41" s="693"/>
      <c r="GA41" s="998"/>
    </row>
    <row r="42" spans="1:183" s="707" customFormat="1" ht="4.5" customHeight="1" collapsed="1" x14ac:dyDescent="0.2">
      <c r="A42" s="991"/>
      <c r="B42" s="669"/>
      <c r="C42" s="681"/>
      <c r="D42" s="669"/>
      <c r="E42" s="681"/>
      <c r="F42" s="669"/>
      <c r="G42" s="681"/>
      <c r="H42" s="669"/>
      <c r="I42" s="681"/>
      <c r="J42" s="669"/>
      <c r="K42" s="681"/>
      <c r="L42" s="669"/>
      <c r="M42" s="681"/>
      <c r="N42" s="669"/>
      <c r="O42" s="681"/>
      <c r="P42" s="669"/>
      <c r="Q42" s="681"/>
      <c r="R42" s="669"/>
      <c r="S42" s="681"/>
      <c r="T42" s="669"/>
      <c r="U42" s="681"/>
      <c r="V42" s="669"/>
      <c r="W42" s="681"/>
      <c r="X42" s="669"/>
      <c r="Y42" s="681"/>
      <c r="Z42" s="669"/>
      <c r="AA42" s="681"/>
      <c r="AB42" s="669"/>
      <c r="AC42" s="681"/>
      <c r="AD42" s="669"/>
      <c r="AE42" s="681"/>
      <c r="AF42" s="669"/>
      <c r="AG42" s="681"/>
      <c r="AH42" s="669"/>
      <c r="AI42" s="681"/>
      <c r="AJ42" s="669"/>
      <c r="AK42" s="681"/>
      <c r="AL42" s="669"/>
      <c r="AM42" s="681"/>
      <c r="AN42" s="669"/>
      <c r="AO42" s="670"/>
      <c r="AP42" s="669"/>
      <c r="AQ42" s="670"/>
      <c r="AR42" s="669"/>
      <c r="AS42" s="670"/>
      <c r="AT42" s="669"/>
      <c r="AU42" s="670"/>
      <c r="AV42" s="669"/>
      <c r="AW42" s="670"/>
      <c r="AX42" s="669"/>
      <c r="AY42" s="670"/>
      <c r="AZ42" s="669"/>
      <c r="BA42" s="670"/>
      <c r="BB42" s="669"/>
      <c r="BC42" s="670"/>
      <c r="BD42" s="669"/>
      <c r="BE42" s="670"/>
      <c r="BF42" s="669"/>
      <c r="BG42" s="670"/>
      <c r="BH42" s="669"/>
      <c r="BI42" s="670"/>
      <c r="BJ42" s="669"/>
      <c r="BK42" s="670"/>
      <c r="BL42" s="669"/>
      <c r="BM42" s="670"/>
      <c r="BN42" s="669"/>
      <c r="BO42" s="670"/>
      <c r="BP42" s="669"/>
      <c r="BQ42" s="670"/>
      <c r="BR42" s="669"/>
      <c r="BS42" s="670"/>
      <c r="BT42" s="669"/>
      <c r="BU42" s="670"/>
      <c r="BV42" s="669"/>
      <c r="BW42" s="670"/>
      <c r="BX42" s="669"/>
      <c r="BY42" s="670"/>
      <c r="BZ42" s="669"/>
      <c r="CA42" s="670"/>
      <c r="CB42" s="669"/>
      <c r="CC42" s="670"/>
      <c r="CD42" s="669"/>
      <c r="CE42" s="670"/>
      <c r="CF42" s="669"/>
      <c r="CG42" s="670"/>
      <c r="CH42" s="669"/>
      <c r="CI42" s="670"/>
      <c r="CJ42" s="669"/>
      <c r="CK42" s="670"/>
      <c r="CL42" s="669"/>
      <c r="CM42" s="670"/>
      <c r="CN42" s="669"/>
      <c r="CO42" s="670"/>
      <c r="CP42" s="669"/>
      <c r="CQ42" s="670"/>
      <c r="CR42" s="669"/>
      <c r="CS42" s="670"/>
      <c r="CT42" s="669"/>
      <c r="CU42" s="670"/>
      <c r="CV42" s="669"/>
      <c r="CW42" s="670"/>
      <c r="CX42" s="669"/>
      <c r="CY42" s="670"/>
      <c r="CZ42" s="669"/>
      <c r="DA42" s="670"/>
      <c r="DB42" s="669"/>
      <c r="DC42" s="670"/>
      <c r="DD42" s="669"/>
      <c r="DE42" s="670"/>
      <c r="DF42" s="669"/>
      <c r="DG42" s="670"/>
      <c r="DH42" s="669"/>
      <c r="DI42" s="670"/>
      <c r="DJ42" s="669"/>
      <c r="DK42" s="670"/>
      <c r="DL42" s="669"/>
      <c r="DM42" s="670"/>
      <c r="DN42" s="669"/>
      <c r="DO42" s="670"/>
      <c r="DP42" s="669"/>
      <c r="DQ42" s="670"/>
      <c r="DR42" s="669"/>
      <c r="DS42" s="670"/>
      <c r="DT42" s="669"/>
      <c r="DU42" s="670"/>
      <c r="DV42" s="669"/>
      <c r="DW42" s="670"/>
      <c r="DX42" s="669"/>
      <c r="DY42" s="670"/>
      <c r="DZ42" s="669"/>
      <c r="EA42" s="670"/>
      <c r="EB42" s="669"/>
      <c r="EC42" s="670"/>
      <c r="ED42" s="669"/>
      <c r="EE42" s="670"/>
      <c r="EF42" s="669"/>
      <c r="EG42" s="670"/>
      <c r="EH42" s="670"/>
      <c r="EI42" s="669"/>
      <c r="EJ42" s="681"/>
      <c r="EK42" s="669"/>
      <c r="EL42" s="681"/>
      <c r="EM42" s="669"/>
      <c r="EN42" s="681"/>
      <c r="EO42" s="669"/>
      <c r="EP42" s="681"/>
      <c r="EQ42" s="669"/>
      <c r="ER42" s="670"/>
      <c r="ES42" s="669"/>
      <c r="ET42" s="670"/>
      <c r="EU42" s="669"/>
      <c r="EV42" s="670"/>
      <c r="EW42" s="669"/>
      <c r="EX42" s="670"/>
      <c r="EY42" s="669"/>
      <c r="EZ42" s="670"/>
      <c r="FA42" s="669"/>
      <c r="FB42" s="670"/>
      <c r="FC42" s="669"/>
      <c r="FD42" s="670"/>
      <c r="FE42" s="669"/>
      <c r="FF42" s="670"/>
      <c r="FG42" s="669"/>
      <c r="FH42" s="670"/>
      <c r="FI42" s="669"/>
      <c r="FJ42" s="670"/>
      <c r="FK42" s="669"/>
      <c r="FL42" s="670"/>
      <c r="FM42" s="669"/>
      <c r="FN42" s="670"/>
      <c r="FO42" s="669"/>
      <c r="FP42" s="670"/>
      <c r="FQ42" s="669"/>
      <c r="FR42" s="670"/>
      <c r="FS42" s="669"/>
      <c r="FT42" s="670"/>
      <c r="FU42" s="669"/>
      <c r="FV42" s="670"/>
      <c r="FW42" s="669"/>
      <c r="FX42" s="670"/>
      <c r="FY42" s="669"/>
      <c r="FZ42" s="670"/>
      <c r="GA42" s="994"/>
    </row>
    <row r="43" spans="1:183" s="527" customFormat="1" ht="12.75" customHeight="1" x14ac:dyDescent="0.2">
      <c r="A43" s="1008" t="str">
        <f>INPUT!B491</f>
        <v xml:space="preserve">Reported EPS </v>
      </c>
      <c r="B43" s="634">
        <f>INPUT!M491</f>
        <v>0.36006945432547444</v>
      </c>
      <c r="C43" s="635" t="str">
        <f>INPUT!N491</f>
        <v>NM</v>
      </c>
      <c r="D43" s="634">
        <f>INPUT!O491</f>
        <v>0.40078282032667428</v>
      </c>
      <c r="E43" s="635">
        <f>INPUT!P491</f>
        <v>-31.659948846137421</v>
      </c>
      <c r="F43" s="634">
        <f>INPUT!Q491</f>
        <v>0.46806009118900233</v>
      </c>
      <c r="G43" s="635">
        <f>INPUT!R491</f>
        <v>16.672897671578202</v>
      </c>
      <c r="H43" s="634">
        <f>INPUT!S491</f>
        <v>0.42208878847470943</v>
      </c>
      <c r="I43" s="635">
        <f>INPUT!T491</f>
        <v>30.912401355873008</v>
      </c>
      <c r="J43" s="634">
        <f>INPUT!U491</f>
        <v>-1.0197857515394102</v>
      </c>
      <c r="K43" s="635" t="str">
        <f>INPUT!V491</f>
        <v>NM</v>
      </c>
      <c r="L43" s="634">
        <f>INPUT!W491</f>
        <v>0.35978630417584084</v>
      </c>
      <c r="M43" s="635">
        <f>INPUT!X491</f>
        <v>-10.229110149336629</v>
      </c>
      <c r="N43" s="634">
        <f>INPUT!Y491</f>
        <v>0.36390133810505948</v>
      </c>
      <c r="O43" s="635">
        <f>INPUT!Z491</f>
        <v>-22.253286499891654</v>
      </c>
      <c r="P43" s="634">
        <f>INPUT!AA491</f>
        <v>-1.1776581067146763</v>
      </c>
      <c r="Q43" s="635" t="str">
        <f>INPUT!AB491</f>
        <v>NM</v>
      </c>
      <c r="R43" s="634">
        <f>INPUT!AC491</f>
        <v>-1.9058287956703417</v>
      </c>
      <c r="S43" s="635">
        <f>INPUT!AD491</f>
        <v>86.885215134003559</v>
      </c>
      <c r="T43" s="634">
        <f>INPUT!AE491</f>
        <v>2.3882323512847435E-2</v>
      </c>
      <c r="U43" s="635" t="str">
        <f>INPUT!AF491</f>
        <v>NM</v>
      </c>
      <c r="V43" s="634">
        <f>INPUT!AG491</f>
        <v>0.55406510881241944</v>
      </c>
      <c r="W43" s="635">
        <f>INPUT!AH491</f>
        <v>52.256958355140505</v>
      </c>
      <c r="X43" s="634">
        <f>INPUT!AI491</f>
        <v>0.44291442642163298</v>
      </c>
      <c r="Y43" s="635" t="str">
        <f>INPUT!AJ491</f>
        <v>NM</v>
      </c>
      <c r="Z43" s="634">
        <f>INPUT!AK491</f>
        <v>0.49478098386464103</v>
      </c>
      <c r="AA43" s="635" t="str">
        <f>INPUT!AL491</f>
        <v>NM</v>
      </c>
      <c r="AB43" s="634">
        <f>INPUT!AM491</f>
        <v>0.55417470904760102</v>
      </c>
      <c r="AC43" s="635" t="str">
        <f>INPUT!AN491</f>
        <v>NM</v>
      </c>
      <c r="AD43" s="634">
        <f>INPUT!AO491</f>
        <v>0.17479843388739288</v>
      </c>
      <c r="AE43" s="635" t="str">
        <f>INPUT!AP491</f>
        <v>NM</v>
      </c>
      <c r="AF43" s="634">
        <f>INPUT!AQ491</f>
        <v>0.4314653705877875</v>
      </c>
      <c r="AG43" s="635">
        <f>INPUT!AR491</f>
        <v>-2.5849363106873691</v>
      </c>
      <c r="AH43" s="634">
        <f>INPUT!AS491</f>
        <v>0.23557985884561636</v>
      </c>
      <c r="AI43" s="635" t="str">
        <f>INPUT!AT491</f>
        <v>NM</v>
      </c>
      <c r="AJ43" s="634">
        <f>INPUT!AU491</f>
        <v>0.37950321792054365</v>
      </c>
      <c r="AK43" s="635">
        <f>INPUT!AV491</f>
        <v>-31.519210147147636</v>
      </c>
      <c r="AL43" s="634">
        <f>INPUT!AW491</f>
        <v>-0.18695282638702057</v>
      </c>
      <c r="AM43" s="635" t="str">
        <f>INPUT!AX491</f>
        <v>NM</v>
      </c>
      <c r="AN43" s="634">
        <f>INPUT!AY491</f>
        <v>0.79906729369379803</v>
      </c>
      <c r="AO43" s="636">
        <f>INPUT!AZ491</f>
        <v>85.198476671540192</v>
      </c>
      <c r="AP43" s="634">
        <f>INPUT!BA491</f>
        <v>0.51475219896986091</v>
      </c>
      <c r="AQ43" s="636" t="str">
        <f>INPUT!BB491</f>
        <v>NM</v>
      </c>
      <c r="AR43" s="634">
        <f>INPUT!BC491</f>
        <v>0.52982021199290319</v>
      </c>
      <c r="AS43" s="636">
        <f>INPUT!BD491</f>
        <v>39.608885241081481</v>
      </c>
      <c r="AT43" s="634">
        <f>INPUT!BE491</f>
        <v>0.51786294382856146</v>
      </c>
      <c r="AU43" s="636" t="str">
        <f>INPUT!BF491</f>
        <v>NM</v>
      </c>
      <c r="AV43" s="634">
        <f>INPUT!BG491</f>
        <v>0.44495872123487779</v>
      </c>
      <c r="AW43" s="636">
        <f>INPUT!BH491</f>
        <v>-44.315237934718219</v>
      </c>
      <c r="AX43" s="634">
        <f>INPUT!BI491</f>
        <v>0.46405650351986849</v>
      </c>
      <c r="AY43" s="636">
        <f>INPUT!BJ491</f>
        <v>-9.8485631632941661</v>
      </c>
      <c r="AZ43" s="634">
        <f>INPUT!BK491</f>
        <v>0.69443758098520603</v>
      </c>
      <c r="BA43" s="636">
        <f>INPUT!BL491</f>
        <v>31.070420732553682</v>
      </c>
      <c r="BB43" s="634">
        <f>INPUT!BM491</f>
        <v>0.31960911095487704</v>
      </c>
      <c r="BC43" s="636">
        <f>INPUT!BN491</f>
        <v>-38.283069919618804</v>
      </c>
      <c r="BD43" s="634">
        <f>INPUT!BO491</f>
        <v>0.12629105754382308</v>
      </c>
      <c r="BE43" s="636" t="str">
        <f>INPUT!BP491</f>
        <v>NM</v>
      </c>
      <c r="BF43" s="634">
        <f>INPUT!BQ491</f>
        <v>0.49824072679888548</v>
      </c>
      <c r="BG43" s="636">
        <f>INPUT!BR491</f>
        <v>7.3663924586186535</v>
      </c>
      <c r="BH43" s="634">
        <f>INPUT!BS491</f>
        <v>0.80492783326426076</v>
      </c>
      <c r="BI43" s="636">
        <f>INPUT!BT491</f>
        <v>15.910753580228331</v>
      </c>
      <c r="BJ43" s="634">
        <f>INPUT!BU491</f>
        <v>0.6647182135327917</v>
      </c>
      <c r="BK43" s="636" t="str">
        <f>INPUT!BV491</f>
        <v>NM</v>
      </c>
      <c r="BL43" s="634">
        <f>INPUT!BW491</f>
        <v>0.59880153206705267</v>
      </c>
      <c r="BM43" s="636" t="str">
        <f>INPUT!BX491</f>
        <v>NM</v>
      </c>
      <c r="BN43" s="634">
        <f>INPUT!BY491</f>
        <v>0.67940993445079345</v>
      </c>
      <c r="BO43" s="636">
        <f>INPUT!BZ491</f>
        <v>36.361782148137564</v>
      </c>
      <c r="BP43" s="634">
        <f>INPUT!CA491</f>
        <v>0.62537999790979559</v>
      </c>
      <c r="BQ43" s="636">
        <f>INPUT!CB491</f>
        <v>-22.306078624009885</v>
      </c>
      <c r="BR43" s="634">
        <f>INPUT!CC491</f>
        <v>0.67464492072506144</v>
      </c>
      <c r="BS43" s="636">
        <f>INPUT!CD491</f>
        <v>1.4933707231387761</v>
      </c>
      <c r="BT43" s="634">
        <f>INPUT!CE491</f>
        <v>0.70400656352667068</v>
      </c>
      <c r="BU43" s="636">
        <f>INPUT!CF491</f>
        <v>17.569265578939319</v>
      </c>
      <c r="BV43" s="634">
        <f>INPUT!CG491</f>
        <v>0.71134906564506983</v>
      </c>
      <c r="BW43" s="636">
        <f>INPUT!CH491</f>
        <v>4.7010103289252925</v>
      </c>
      <c r="BX43" s="634">
        <f>INPUT!CI491</f>
        <v>0.74037697627466581</v>
      </c>
      <c r="BY43" s="636">
        <f>INPUT!CJ491</f>
        <v>18.388336491289149</v>
      </c>
      <c r="BZ43" s="634">
        <f>INPUT!CK491</f>
        <v>0.67519484552243869</v>
      </c>
      <c r="CA43" s="636">
        <f>INPUT!CL491</f>
        <v>8.1513219841067297E-2</v>
      </c>
      <c r="CB43" s="634">
        <f>INPUT!CM491</f>
        <v>-1.215530995673096</v>
      </c>
      <c r="CC43" s="636" t="str">
        <f>INPUT!CN491</f>
        <v>NM</v>
      </c>
      <c r="CD43" s="634">
        <f>INPUT!CO491</f>
        <v>0.73433478517168005</v>
      </c>
      <c r="CE43" s="636">
        <f>INPUT!CP491</f>
        <v>3.2312855441464894</v>
      </c>
      <c r="CF43" s="634">
        <f>INPUT!CQ491</f>
        <v>0.76266835128498578</v>
      </c>
      <c r="CG43" s="636">
        <f>INPUT!CR491</f>
        <v>3.0108141831318047</v>
      </c>
      <c r="CH43" s="634">
        <f>INPUT!CS491</f>
        <v>0.82653815384315876</v>
      </c>
      <c r="CI43" s="636">
        <f>INPUT!CT491</f>
        <v>22.414760616784136</v>
      </c>
      <c r="CJ43" s="634">
        <f>INPUT!CU491</f>
        <v>0.85489766081871321</v>
      </c>
      <c r="CK43" s="636" t="str">
        <f>INPUT!CV491</f>
        <v>NM</v>
      </c>
      <c r="CL43" s="634">
        <f>INPUT!CW491</f>
        <v>0.77564857046248536</v>
      </c>
      <c r="CM43" s="636">
        <f>INPUT!CX491</f>
        <v>5.6260150172712464</v>
      </c>
      <c r="CN43" s="634">
        <f>INPUT!CY491</f>
        <v>0.80978853789462779</v>
      </c>
      <c r="CO43" s="636">
        <f>INPUT!CZ491</f>
        <v>6.1783324993427868</v>
      </c>
      <c r="CP43" s="634">
        <f>INPUT!DA491</f>
        <v>0.76704747401371265</v>
      </c>
      <c r="CQ43" s="636">
        <f>INPUT!DB491</f>
        <v>-7.1975721329780136</v>
      </c>
      <c r="CR43" s="634">
        <f>INPUT!DC491</f>
        <v>0.83244478293983226</v>
      </c>
      <c r="CS43" s="636">
        <f>INPUT!DD491</f>
        <v>-2.6263819528267729</v>
      </c>
      <c r="CT43" s="634">
        <f>INPUT!DE491</f>
        <v>0.86612965093977656</v>
      </c>
      <c r="CU43" s="636">
        <f>INPUT!DF491</f>
        <v>11.66521591386951</v>
      </c>
      <c r="CV43" s="634">
        <f>INPUT!DG491</f>
        <v>0.92826677006591718</v>
      </c>
      <c r="CW43" s="636">
        <f>INPUT!DH491</f>
        <v>14.630761813364446</v>
      </c>
      <c r="CX43" s="634">
        <f>INPUT!DI491</f>
        <v>0.85989010989011005</v>
      </c>
      <c r="CY43" s="636">
        <f>INPUT!DJ491</f>
        <v>12.10389695836971</v>
      </c>
      <c r="CZ43" s="634">
        <f>INPUT!DK491</f>
        <v>-1.1180665610142633</v>
      </c>
      <c r="DA43" s="636" t="str">
        <f>INPUT!DL491</f>
        <v>NM</v>
      </c>
      <c r="DB43" s="634">
        <f>INPUT!DM491</f>
        <v>0.8441712926249012</v>
      </c>
      <c r="DC43" s="636">
        <f>INPUT!DN491</f>
        <v>-2.5352276406944263</v>
      </c>
      <c r="DD43" s="634">
        <f>INPUT!DO491</f>
        <v>0.89971921379863584</v>
      </c>
      <c r="DE43" s="636">
        <f>INPUT!DP491</f>
        <v>-3.075361220272288</v>
      </c>
      <c r="DF43" s="634">
        <f>INPUT!DQ491</f>
        <v>0.82744620381648482</v>
      </c>
      <c r="DG43" s="636">
        <f>INPUT!DR491</f>
        <v>-3.7730293325238251</v>
      </c>
      <c r="DH43" s="634">
        <f>INPUT!DS491</f>
        <v>0.92739950779327274</v>
      </c>
      <c r="DI43" s="636" t="str">
        <f>INPUT!DT491</f>
        <v>NM</v>
      </c>
      <c r="DJ43" s="634">
        <f>INPUT!DU491</f>
        <v>0.87859824780976148</v>
      </c>
      <c r="DK43" s="636">
        <f>INPUT!DV491</f>
        <v>4.0781954427532963</v>
      </c>
      <c r="DL43" s="634">
        <f>INPUT!DW491</f>
        <v>0.99789296249473203</v>
      </c>
      <c r="DM43" s="636">
        <f>INPUT!DX491</f>
        <v>10.91159855101953</v>
      </c>
      <c r="DN43" s="634">
        <f>INPUT!DY491</f>
        <v>1.0076857386848856</v>
      </c>
      <c r="DO43" s="636">
        <f>INPUT!DZ491</f>
        <v>21.78262877236854</v>
      </c>
      <c r="DP43" s="634">
        <f>INPUT!EA491</f>
        <v>1.0671256454388982</v>
      </c>
      <c r="DQ43" s="636">
        <f>INPUT!EB491</f>
        <v>15.066445094207648</v>
      </c>
      <c r="DR43" s="634">
        <f>INPUT!EC491</f>
        <v>0.99782986111111005</v>
      </c>
      <c r="DS43" s="636">
        <f>INPUT!ED491</f>
        <v>13.570663679170591</v>
      </c>
      <c r="DT43" s="634">
        <f>INPUT!EE491</f>
        <v>1.0740578439964947</v>
      </c>
      <c r="DU43" s="636">
        <f>INPUT!EF491</f>
        <v>7.6325702619798541</v>
      </c>
      <c r="DV43" s="634">
        <f>INPUT!EG491</f>
        <v>1.1137168141592917</v>
      </c>
      <c r="DW43" s="636">
        <f>INPUT!EH491</f>
        <v>10.522236388180461</v>
      </c>
      <c r="DX43" s="634">
        <f>INPUT!EI491</f>
        <v>1.1872775800711735</v>
      </c>
      <c r="DY43" s="636">
        <f>INPUT!EJ491</f>
        <v>11.259399035701922</v>
      </c>
      <c r="DZ43" s="634">
        <f>INPUT!EK491</f>
        <v>1.1796613283257518</v>
      </c>
      <c r="EA43" s="636">
        <f>INPUT!EL491</f>
        <v>18.222692495108085</v>
      </c>
      <c r="EB43" s="634">
        <f>INPUT!EM491</f>
        <v>1.2592285284600728</v>
      </c>
      <c r="EC43" s="636">
        <f>INPUT!EN491</f>
        <v>17.240289757074056</v>
      </c>
      <c r="ED43" s="634">
        <f>INPUT!EO491</f>
        <v>1.2752086155898685</v>
      </c>
      <c r="EE43" s="636">
        <f>INPUT!EP491</f>
        <v>14.500257101037107</v>
      </c>
      <c r="EF43" s="634">
        <f>INPUT!EQ491</f>
        <v>1.2992742903211503</v>
      </c>
      <c r="EG43" s="636">
        <f>INPUT!ER491</f>
        <v>9.4330687389264867</v>
      </c>
      <c r="EH43" s="637"/>
      <c r="EI43" s="634">
        <f>INPUT!FB491</f>
        <v>-1.8032440460957166</v>
      </c>
      <c r="EJ43" s="635" t="str">
        <f>INPUT!FC491</f>
        <v>NA</v>
      </c>
      <c r="EK43" s="634">
        <f>INPUT!FD491</f>
        <v>2.2881868298540224</v>
      </c>
      <c r="EL43" s="635" t="str">
        <f>INPUT!FE491</f>
        <v>NM</v>
      </c>
      <c r="EM43" s="634">
        <f>INPUT!FF491</f>
        <v>-0.7</v>
      </c>
      <c r="EN43" s="635" t="str">
        <f>INPUT!FG491</f>
        <v>NM</v>
      </c>
      <c r="EO43" s="634">
        <f>INPUT!FH491</f>
        <v>-0.34</v>
      </c>
      <c r="EP43" s="635" t="str">
        <f>INPUT!FI491</f>
        <v>NM</v>
      </c>
      <c r="EQ43" s="634">
        <f>INPUT!FJ491</f>
        <v>1.65</v>
      </c>
      <c r="ER43" s="636" t="str">
        <f>INPUT!FK491</f>
        <v>NM</v>
      </c>
      <c r="ES43" s="634">
        <f>INPUT!FL491</f>
        <v>1.24</v>
      </c>
      <c r="ET43" s="636">
        <f>INPUT!FM491</f>
        <v>-24.848484848484841</v>
      </c>
      <c r="EU43" s="634">
        <f>INPUT!FN491</f>
        <v>2.0099999999999998</v>
      </c>
      <c r="EV43" s="636">
        <f>INPUT!FO491</f>
        <v>62.096774193548377</v>
      </c>
      <c r="EW43" s="634">
        <f>INPUT!FP491</f>
        <v>1.62</v>
      </c>
      <c r="EX43" s="636">
        <f>INPUT!FQ491</f>
        <v>-19.402985074626855</v>
      </c>
      <c r="EY43" s="634">
        <f>INPUT!FR491</f>
        <v>2.5499999999999998</v>
      </c>
      <c r="EZ43" s="636">
        <f>INPUT!FS491</f>
        <v>57.407407407407398</v>
      </c>
      <c r="FA43" s="634">
        <f>INPUT!FT491</f>
        <v>2.68</v>
      </c>
      <c r="FB43" s="636">
        <f>INPUT!FU491</f>
        <v>5.0980392156862786</v>
      </c>
      <c r="FC43" s="634">
        <f>INPUT!FV491</f>
        <v>0.93</v>
      </c>
      <c r="FD43" s="636" t="str">
        <f>INPUT!FW491</f>
        <v>NM</v>
      </c>
      <c r="FE43" s="634">
        <f>INPUT!FX491</f>
        <v>3.15</v>
      </c>
      <c r="FF43" s="636" t="str">
        <f>INPUT!FY491</f>
        <v>NM</v>
      </c>
      <c r="FG43" s="634">
        <f>INPUT!FZ491</f>
        <v>3.18</v>
      </c>
      <c r="FH43" s="636">
        <f>INPUT!GA491</f>
        <v>0.9523809523809712</v>
      </c>
      <c r="FI43" s="634">
        <f>INPUT!GB491</f>
        <v>1.57</v>
      </c>
      <c r="FJ43" s="636" t="str">
        <f>INPUT!GC491</f>
        <v>NM</v>
      </c>
      <c r="FK43" s="634">
        <f>INPUT!GD491</f>
        <v>3.5</v>
      </c>
      <c r="FL43" s="636" t="str">
        <f>INPUT!GE491</f>
        <v>NM</v>
      </c>
      <c r="FM43" s="634">
        <f>INPUT!GF491</f>
        <v>3.95</v>
      </c>
      <c r="FN43" s="636">
        <f>INPUT!GG491</f>
        <v>12.857142857142856</v>
      </c>
      <c r="FO43" s="634">
        <f>INPUT!GH491</f>
        <v>4.37</v>
      </c>
      <c r="FP43" s="636">
        <f>INPUT!GI491</f>
        <v>10.632911392405052</v>
      </c>
      <c r="FQ43" s="634">
        <f>INPUT!GJ491</f>
        <v>5.01</v>
      </c>
      <c r="FR43" s="636">
        <f>INPUT!GK491</f>
        <v>14.645308924485123</v>
      </c>
      <c r="FS43" s="634">
        <f>INPUT!GL491</f>
        <v>5.309981280758489</v>
      </c>
      <c r="FT43" s="636">
        <f>INPUT!GM491</f>
        <v>5.9876503145406934</v>
      </c>
      <c r="FU43" s="634">
        <f>INPUT!GN491</f>
        <v>5.6498158114002015</v>
      </c>
      <c r="FV43" s="636">
        <f>INPUT!GO491</f>
        <v>6.3999195604164116</v>
      </c>
      <c r="FW43" s="634">
        <f>INPUT!GP491</f>
        <v>6.0296301803162038</v>
      </c>
      <c r="FX43" s="636">
        <f>INPUT!GQ491</f>
        <v>6.7225973659108096</v>
      </c>
      <c r="FY43" s="634">
        <f>INPUT!GR491</f>
        <v>6.4233932619292711</v>
      </c>
      <c r="FZ43" s="636">
        <f>INPUT!GS491</f>
        <v>6.5304682018229032</v>
      </c>
      <c r="GA43" s="1009">
        <f>INPUT!GT491</f>
        <v>8.008171778241401</v>
      </c>
    </row>
    <row r="44" spans="1:183" s="544" customFormat="1" ht="12.75" hidden="1" customHeight="1" outlineLevel="1" x14ac:dyDescent="0.2">
      <c r="A44" s="1001" t="s">
        <v>517</v>
      </c>
      <c r="B44" s="625"/>
      <c r="C44" s="626"/>
      <c r="D44" s="625"/>
      <c r="E44" s="627"/>
      <c r="F44" s="625"/>
      <c r="G44" s="627"/>
      <c r="H44" s="625"/>
      <c r="I44" s="627"/>
      <c r="J44" s="625"/>
      <c r="K44" s="627"/>
      <c r="L44" s="625"/>
      <c r="M44" s="627"/>
      <c r="N44" s="625"/>
      <c r="O44" s="627"/>
      <c r="P44" s="625"/>
      <c r="Q44" s="627"/>
      <c r="R44" s="625"/>
      <c r="S44" s="627"/>
      <c r="T44" s="625"/>
      <c r="U44" s="627"/>
      <c r="V44" s="625"/>
      <c r="W44" s="627"/>
      <c r="X44" s="625"/>
      <c r="Y44" s="627"/>
      <c r="Z44" s="625"/>
      <c r="AA44" s="627"/>
      <c r="AB44" s="625"/>
      <c r="AC44" s="627"/>
      <c r="AD44" s="625"/>
      <c r="AE44" s="627"/>
      <c r="AF44" s="625"/>
      <c r="AG44" s="627"/>
      <c r="AH44" s="625"/>
      <c r="AI44" s="627"/>
      <c r="AJ44" s="625"/>
      <c r="AK44" s="627"/>
      <c r="AL44" s="625"/>
      <c r="AM44" s="627"/>
      <c r="AN44" s="625"/>
      <c r="AO44" s="628"/>
      <c r="AP44" s="625"/>
      <c r="AQ44" s="628"/>
      <c r="AR44" s="625"/>
      <c r="AS44" s="628"/>
      <c r="AT44" s="625"/>
      <c r="AU44" s="628"/>
      <c r="AV44" s="625"/>
      <c r="AW44" s="628"/>
      <c r="AX44" s="625"/>
      <c r="AY44" s="628"/>
      <c r="AZ44" s="625"/>
      <c r="BA44" s="628"/>
      <c r="BB44" s="625"/>
      <c r="BC44" s="628"/>
      <c r="BD44" s="625"/>
      <c r="BE44" s="628"/>
      <c r="BF44" s="625"/>
      <c r="BG44" s="628"/>
      <c r="BH44" s="625"/>
      <c r="BI44" s="628"/>
      <c r="BJ44" s="625"/>
      <c r="BK44" s="628"/>
      <c r="BL44" s="625"/>
      <c r="BM44" s="628"/>
      <c r="BN44" s="625"/>
      <c r="BO44" s="628"/>
      <c r="BP44" s="625"/>
      <c r="BQ44" s="628"/>
      <c r="BR44" s="625"/>
      <c r="BS44" s="628"/>
      <c r="BT44" s="625"/>
      <c r="BU44" s="628"/>
      <c r="BV44" s="625"/>
      <c r="BW44" s="628"/>
      <c r="BX44" s="625"/>
      <c r="BY44" s="628"/>
      <c r="BZ44" s="625"/>
      <c r="CA44" s="628"/>
      <c r="CB44" s="625"/>
      <c r="CC44" s="628"/>
      <c r="CD44" s="629">
        <f>(CD40/CD66)-CD43</f>
        <v>0</v>
      </c>
      <c r="CE44" s="628"/>
      <c r="CF44" s="629">
        <f>(CF40/CF66)-CF43</f>
        <v>0</v>
      </c>
      <c r="CG44" s="628"/>
      <c r="CH44" s="629">
        <f>(CH40/CH66)-CH43</f>
        <v>0</v>
      </c>
      <c r="CI44" s="628"/>
      <c r="CJ44" s="629">
        <f>(CJ40/CJ66)-CJ43</f>
        <v>0</v>
      </c>
      <c r="CK44" s="628"/>
      <c r="CL44" s="629">
        <f>(CL40/CL66)-CL43</f>
        <v>0</v>
      </c>
      <c r="CM44" s="628"/>
      <c r="CN44" s="629">
        <f>(CN40/CN66)-CN43</f>
        <v>0</v>
      </c>
      <c r="CO44" s="628"/>
      <c r="CP44" s="629">
        <f>(CP40/CP66)-CP43</f>
        <v>0</v>
      </c>
      <c r="CQ44" s="628"/>
      <c r="CR44" s="629">
        <f>(CR40/CR66)-CR43</f>
        <v>0</v>
      </c>
      <c r="CS44" s="628"/>
      <c r="CT44" s="629">
        <f>(CT40/CT66)-CT43</f>
        <v>0</v>
      </c>
      <c r="CU44" s="628"/>
      <c r="CV44" s="629">
        <f>(CV40/CV66)-CV43</f>
        <v>0</v>
      </c>
      <c r="CW44" s="628"/>
      <c r="CX44" s="629">
        <f>(CX40/CX66)-CX43</f>
        <v>0</v>
      </c>
      <c r="CY44" s="628"/>
      <c r="CZ44" s="629">
        <f>(CZ40/CZ66)-CZ43</f>
        <v>0</v>
      </c>
      <c r="DA44" s="628"/>
      <c r="DB44" s="629">
        <f>(DB40/DB66)-DB43</f>
        <v>0</v>
      </c>
      <c r="DC44" s="628"/>
      <c r="DD44" s="629">
        <f>(DD40/DD66)-DD43</f>
        <v>0</v>
      </c>
      <c r="DE44" s="628"/>
      <c r="DF44" s="629">
        <f>(DF40/DF66)-DF43</f>
        <v>0</v>
      </c>
      <c r="DG44" s="628"/>
      <c r="DH44" s="629">
        <f>(DH40/DH66)-DH43</f>
        <v>0</v>
      </c>
      <c r="DI44" s="628"/>
      <c r="DJ44" s="629">
        <f>(DJ40/DJ66)-DJ43</f>
        <v>0</v>
      </c>
      <c r="DK44" s="628"/>
      <c r="DL44" s="629">
        <f>(DL40/DL66)-DL43</f>
        <v>0</v>
      </c>
      <c r="DM44" s="628"/>
      <c r="DN44" s="629">
        <f>(DN40/DN66)-DN43</f>
        <v>0</v>
      </c>
      <c r="DO44" s="628"/>
      <c r="DP44" s="629">
        <f>(DP40/DP66)-DP43</f>
        <v>0</v>
      </c>
      <c r="DQ44" s="628"/>
      <c r="DR44" s="629">
        <f t="shared" ref="DR44" si="40">(DR40/DR66)-DR43</f>
        <v>0</v>
      </c>
      <c r="DS44" s="628"/>
      <c r="DT44" s="629">
        <f t="shared" ref="DT44" si="41">(DT40/DT66)-DT43</f>
        <v>0</v>
      </c>
      <c r="DU44" s="628"/>
      <c r="DV44" s="629">
        <f t="shared" ref="DV44" si="42">(DV40/DV66)-DV43</f>
        <v>0</v>
      </c>
      <c r="DW44" s="628"/>
      <c r="DX44" s="629">
        <f t="shared" ref="DX44" si="43">(DX40/DX66)-DX43</f>
        <v>0</v>
      </c>
      <c r="DY44" s="628"/>
      <c r="DZ44" s="629">
        <f t="shared" ref="DZ44" si="44">(DZ40/DZ66)-DZ43</f>
        <v>0</v>
      </c>
      <c r="EA44" s="628"/>
      <c r="EB44" s="629">
        <f t="shared" ref="EB44" si="45">(EB40/EB66)-EB43</f>
        <v>0</v>
      </c>
      <c r="EC44" s="628"/>
      <c r="ED44" s="629">
        <f t="shared" ref="ED44" si="46">(ED40/ED66)-ED43</f>
        <v>0</v>
      </c>
      <c r="EE44" s="628"/>
      <c r="EF44" s="629">
        <f t="shared" ref="EF44" si="47">(EF40/EF66)-EF43</f>
        <v>0</v>
      </c>
      <c r="EG44" s="628"/>
      <c r="EH44" s="628"/>
      <c r="EI44" s="625"/>
      <c r="EJ44" s="627"/>
      <c r="EK44" s="625"/>
      <c r="EL44" s="627"/>
      <c r="EM44" s="625"/>
      <c r="EN44" s="627"/>
      <c r="EO44" s="625"/>
      <c r="EP44" s="627"/>
      <c r="EQ44" s="625"/>
      <c r="ER44" s="628"/>
      <c r="ES44" s="625"/>
      <c r="ET44" s="628"/>
      <c r="EU44" s="625"/>
      <c r="EV44" s="628"/>
      <c r="EW44" s="625"/>
      <c r="EX44" s="628"/>
      <c r="EY44" s="625"/>
      <c r="EZ44" s="628"/>
      <c r="FA44" s="625"/>
      <c r="FB44" s="628"/>
      <c r="FC44" s="629">
        <f>(FC40/FC66)-FC43</f>
        <v>-1.6113757640273674E-3</v>
      </c>
      <c r="FD44" s="628"/>
      <c r="FE44" s="629">
        <f>(FE40/FE66)-FE43</f>
        <v>1.7056712320093759E-3</v>
      </c>
      <c r="FF44" s="628"/>
      <c r="FG44" s="629">
        <f>(FG40/FG66)-FG43</f>
        <v>4.3579465260612515E-3</v>
      </c>
      <c r="FH44" s="628"/>
      <c r="FI44" s="629">
        <f>(FI40/FI66)-FI43</f>
        <v>-2.0530317800739883E-3</v>
      </c>
      <c r="FJ44" s="628"/>
      <c r="FK44" s="629">
        <f>(FK40/FK66)-FK43</f>
        <v>-2.2186365469960556E-3</v>
      </c>
      <c r="FL44" s="628"/>
      <c r="FM44" s="629">
        <f>(FM40/FM66)-FM43</f>
        <v>-1.7168291648963496E-3</v>
      </c>
      <c r="FN44" s="628"/>
      <c r="FO44" s="629">
        <f>(FO40/FO66)-FO43</f>
        <v>3.5407961293021373E-4</v>
      </c>
      <c r="FP44" s="628"/>
      <c r="FQ44" s="629">
        <f>(FQ40/FQ66)-FQ43</f>
        <v>1.7691050409691655E-3</v>
      </c>
      <c r="FR44" s="628"/>
      <c r="FS44" s="629">
        <f>(FS40/FS66)-FS43</f>
        <v>0</v>
      </c>
      <c r="FT44" s="628"/>
      <c r="FU44" s="629">
        <f>(FU40/FU66)-FU43</f>
        <v>0</v>
      </c>
      <c r="FV44" s="628"/>
      <c r="FW44" s="629">
        <f>(FW40/FW66)-FW43</f>
        <v>0</v>
      </c>
      <c r="FX44" s="628"/>
      <c r="FY44" s="629">
        <f>(FY40/FY66)-FY43</f>
        <v>0</v>
      </c>
      <c r="FZ44" s="628"/>
      <c r="GA44" s="1002"/>
    </row>
    <row r="45" spans="1:183" s="707" customFormat="1" ht="4.5" customHeight="1" collapsed="1" x14ac:dyDescent="0.2">
      <c r="A45" s="1010"/>
      <c r="B45" s="669"/>
      <c r="C45" s="671"/>
      <c r="D45" s="669"/>
      <c r="E45" s="671"/>
      <c r="F45" s="669"/>
      <c r="G45" s="671"/>
      <c r="H45" s="669"/>
      <c r="I45" s="671"/>
      <c r="J45" s="669"/>
      <c r="K45" s="671"/>
      <c r="L45" s="669"/>
      <c r="M45" s="671"/>
      <c r="N45" s="669"/>
      <c r="O45" s="671"/>
      <c r="P45" s="669"/>
      <c r="Q45" s="671"/>
      <c r="R45" s="669"/>
      <c r="S45" s="671"/>
      <c r="T45" s="669"/>
      <c r="U45" s="671"/>
      <c r="V45" s="669"/>
      <c r="W45" s="671"/>
      <c r="X45" s="669"/>
      <c r="Y45" s="671"/>
      <c r="Z45" s="669"/>
      <c r="AA45" s="671"/>
      <c r="AB45" s="669"/>
      <c r="AC45" s="671"/>
      <c r="AD45" s="669"/>
      <c r="AE45" s="671"/>
      <c r="AF45" s="669"/>
      <c r="AG45" s="671"/>
      <c r="AH45" s="669"/>
      <c r="AI45" s="671"/>
      <c r="AJ45" s="669"/>
      <c r="AK45" s="671"/>
      <c r="AL45" s="669"/>
      <c r="AM45" s="671"/>
      <c r="AN45" s="669"/>
      <c r="AO45" s="670"/>
      <c r="AP45" s="669"/>
      <c r="AQ45" s="670"/>
      <c r="AR45" s="669"/>
      <c r="AS45" s="670"/>
      <c r="AT45" s="669"/>
      <c r="AU45" s="670"/>
      <c r="AV45" s="669"/>
      <c r="AW45" s="670"/>
      <c r="AX45" s="669"/>
      <c r="AY45" s="670"/>
      <c r="AZ45" s="669"/>
      <c r="BA45" s="670"/>
      <c r="BB45" s="669"/>
      <c r="BC45" s="670"/>
      <c r="BD45" s="669"/>
      <c r="BE45" s="670"/>
      <c r="BF45" s="669"/>
      <c r="BG45" s="670"/>
      <c r="BH45" s="669"/>
      <c r="BI45" s="670"/>
      <c r="BJ45" s="669"/>
      <c r="BK45" s="670"/>
      <c r="BL45" s="669"/>
      <c r="BM45" s="670"/>
      <c r="BN45" s="669"/>
      <c r="BO45" s="670"/>
      <c r="BP45" s="669"/>
      <c r="BQ45" s="670"/>
      <c r="BR45" s="669"/>
      <c r="BS45" s="670"/>
      <c r="BT45" s="669"/>
      <c r="BU45" s="670"/>
      <c r="BV45" s="669"/>
      <c r="BW45" s="670"/>
      <c r="BX45" s="669"/>
      <c r="BY45" s="670"/>
      <c r="BZ45" s="669"/>
      <c r="CA45" s="670"/>
      <c r="CB45" s="669"/>
      <c r="CC45" s="670"/>
      <c r="CD45" s="669"/>
      <c r="CE45" s="670"/>
      <c r="CF45" s="669"/>
      <c r="CG45" s="670"/>
      <c r="CH45" s="669"/>
      <c r="CI45" s="670"/>
      <c r="CJ45" s="669"/>
      <c r="CK45" s="670"/>
      <c r="CL45" s="669"/>
      <c r="CM45" s="670"/>
      <c r="CN45" s="669"/>
      <c r="CO45" s="670"/>
      <c r="CP45" s="669"/>
      <c r="CQ45" s="670"/>
      <c r="CR45" s="669"/>
      <c r="CS45" s="670"/>
      <c r="CT45" s="669"/>
      <c r="CU45" s="670"/>
      <c r="CV45" s="669"/>
      <c r="CW45" s="670"/>
      <c r="CX45" s="669"/>
      <c r="CY45" s="670"/>
      <c r="CZ45" s="669"/>
      <c r="DA45" s="670"/>
      <c r="DB45" s="669"/>
      <c r="DC45" s="670"/>
      <c r="DD45" s="669"/>
      <c r="DE45" s="670"/>
      <c r="DF45" s="669"/>
      <c r="DG45" s="670"/>
      <c r="DH45" s="669"/>
      <c r="DI45" s="670"/>
      <c r="DJ45" s="669"/>
      <c r="DK45" s="670"/>
      <c r="DL45" s="669"/>
      <c r="DM45" s="670"/>
      <c r="DN45" s="669"/>
      <c r="DO45" s="670"/>
      <c r="DP45" s="669"/>
      <c r="DQ45" s="670"/>
      <c r="DR45" s="669"/>
      <c r="DS45" s="670"/>
      <c r="DT45" s="669"/>
      <c r="DU45" s="670"/>
      <c r="DV45" s="669"/>
      <c r="DW45" s="670"/>
      <c r="DX45" s="669"/>
      <c r="DY45" s="670"/>
      <c r="DZ45" s="669"/>
      <c r="EA45" s="670"/>
      <c r="EB45" s="669"/>
      <c r="EC45" s="670"/>
      <c r="ED45" s="669"/>
      <c r="EE45" s="670"/>
      <c r="EF45" s="669"/>
      <c r="EG45" s="670"/>
      <c r="EH45" s="670"/>
      <c r="EI45" s="669"/>
      <c r="EJ45" s="671"/>
      <c r="EK45" s="669"/>
      <c r="EL45" s="671"/>
      <c r="EM45" s="669"/>
      <c r="EN45" s="671"/>
      <c r="EO45" s="669"/>
      <c r="EP45" s="671"/>
      <c r="EQ45" s="669"/>
      <c r="ER45" s="670"/>
      <c r="ES45" s="669"/>
      <c r="ET45" s="670"/>
      <c r="EU45" s="669"/>
      <c r="EV45" s="670"/>
      <c r="EW45" s="669"/>
      <c r="EX45" s="670"/>
      <c r="EY45" s="669"/>
      <c r="EZ45" s="670"/>
      <c r="FA45" s="669"/>
      <c r="FB45" s="670"/>
      <c r="FC45" s="669"/>
      <c r="FD45" s="670"/>
      <c r="FE45" s="669"/>
      <c r="FF45" s="670"/>
      <c r="FG45" s="669"/>
      <c r="FH45" s="670"/>
      <c r="FI45" s="669"/>
      <c r="FJ45" s="670"/>
      <c r="FK45" s="669"/>
      <c r="FL45" s="670"/>
      <c r="FM45" s="669"/>
      <c r="FN45" s="670"/>
      <c r="FO45" s="669"/>
      <c r="FP45" s="670"/>
      <c r="FQ45" s="669"/>
      <c r="FR45" s="670"/>
      <c r="FS45" s="669"/>
      <c r="FT45" s="670"/>
      <c r="FU45" s="669"/>
      <c r="FV45" s="670"/>
      <c r="FW45" s="669"/>
      <c r="FX45" s="670"/>
      <c r="FY45" s="669"/>
      <c r="FZ45" s="670"/>
      <c r="GA45" s="988"/>
    </row>
    <row r="46" spans="1:183" s="707" customFormat="1" ht="12.75" customHeight="1" x14ac:dyDescent="0.2">
      <c r="A46" s="991" t="str">
        <f>INPUT!B535</f>
        <v>Profitability</v>
      </c>
      <c r="B46" s="669"/>
      <c r="C46" s="671"/>
      <c r="D46" s="669"/>
      <c r="E46" s="671"/>
      <c r="F46" s="669"/>
      <c r="G46" s="671"/>
      <c r="H46" s="669"/>
      <c r="I46" s="671"/>
      <c r="J46" s="669"/>
      <c r="K46" s="671"/>
      <c r="L46" s="669"/>
      <c r="M46" s="671"/>
      <c r="N46" s="669"/>
      <c r="O46" s="671"/>
      <c r="P46" s="669"/>
      <c r="Q46" s="671"/>
      <c r="R46" s="669"/>
      <c r="S46" s="671"/>
      <c r="T46" s="669"/>
      <c r="U46" s="671"/>
      <c r="V46" s="669"/>
      <c r="W46" s="671"/>
      <c r="X46" s="669"/>
      <c r="Y46" s="671"/>
      <c r="Z46" s="669"/>
      <c r="AA46" s="671"/>
      <c r="AB46" s="669"/>
      <c r="AC46" s="671"/>
      <c r="AD46" s="669"/>
      <c r="AE46" s="671"/>
      <c r="AF46" s="669"/>
      <c r="AG46" s="671"/>
      <c r="AH46" s="669"/>
      <c r="AI46" s="671"/>
      <c r="AJ46" s="669"/>
      <c r="AK46" s="671"/>
      <c r="AL46" s="669"/>
      <c r="AM46" s="671"/>
      <c r="AN46" s="669"/>
      <c r="AO46" s="670"/>
      <c r="AP46" s="669"/>
      <c r="AQ46" s="670"/>
      <c r="AR46" s="669"/>
      <c r="AS46" s="670"/>
      <c r="AT46" s="669"/>
      <c r="AU46" s="670"/>
      <c r="AV46" s="669"/>
      <c r="AW46" s="670"/>
      <c r="AX46" s="669"/>
      <c r="AY46" s="670"/>
      <c r="AZ46" s="669"/>
      <c r="BA46" s="670"/>
      <c r="BB46" s="669"/>
      <c r="BC46" s="670"/>
      <c r="BD46" s="669"/>
      <c r="BE46" s="670"/>
      <c r="BF46" s="669"/>
      <c r="BG46" s="670"/>
      <c r="BH46" s="669"/>
      <c r="BI46" s="670"/>
      <c r="BJ46" s="669"/>
      <c r="BK46" s="670"/>
      <c r="BL46" s="669"/>
      <c r="BM46" s="670"/>
      <c r="BN46" s="669"/>
      <c r="BO46" s="670"/>
      <c r="BP46" s="669"/>
      <c r="BQ46" s="670"/>
      <c r="BR46" s="669"/>
      <c r="BS46" s="670"/>
      <c r="BT46" s="669"/>
      <c r="BU46" s="670"/>
      <c r="BV46" s="669"/>
      <c r="BW46" s="670"/>
      <c r="BX46" s="669"/>
      <c r="BY46" s="670"/>
      <c r="BZ46" s="669"/>
      <c r="CA46" s="670"/>
      <c r="CB46" s="669"/>
      <c r="CC46" s="670"/>
      <c r="CD46" s="669"/>
      <c r="CE46" s="670"/>
      <c r="CF46" s="669"/>
      <c r="CG46" s="670"/>
      <c r="CH46" s="669"/>
      <c r="CI46" s="670"/>
      <c r="CJ46" s="669"/>
      <c r="CK46" s="670"/>
      <c r="CL46" s="669"/>
      <c r="CM46" s="670"/>
      <c r="CN46" s="669"/>
      <c r="CO46" s="670"/>
      <c r="CP46" s="669"/>
      <c r="CQ46" s="670"/>
      <c r="CR46" s="669"/>
      <c r="CS46" s="670"/>
      <c r="CT46" s="669"/>
      <c r="CU46" s="670"/>
      <c r="CV46" s="669"/>
      <c r="CW46" s="670"/>
      <c r="CX46" s="669"/>
      <c r="CY46" s="670"/>
      <c r="CZ46" s="669"/>
      <c r="DA46" s="670"/>
      <c r="DB46" s="669"/>
      <c r="DC46" s="670"/>
      <c r="DD46" s="669"/>
      <c r="DE46" s="670"/>
      <c r="DF46" s="669"/>
      <c r="DG46" s="670"/>
      <c r="DH46" s="669"/>
      <c r="DI46" s="670"/>
      <c r="DJ46" s="669"/>
      <c r="DK46" s="670"/>
      <c r="DL46" s="669"/>
      <c r="DM46" s="670"/>
      <c r="DN46" s="669"/>
      <c r="DO46" s="670"/>
      <c r="DP46" s="669"/>
      <c r="DQ46" s="670"/>
      <c r="DR46" s="669"/>
      <c r="DS46" s="670"/>
      <c r="DT46" s="669"/>
      <c r="DU46" s="670"/>
      <c r="DV46" s="669"/>
      <c r="DW46" s="670"/>
      <c r="DX46" s="669"/>
      <c r="DY46" s="670"/>
      <c r="DZ46" s="669"/>
      <c r="EA46" s="670"/>
      <c r="EB46" s="669"/>
      <c r="EC46" s="670"/>
      <c r="ED46" s="669"/>
      <c r="EE46" s="670"/>
      <c r="EF46" s="669"/>
      <c r="EG46" s="670"/>
      <c r="EH46" s="670"/>
      <c r="EI46" s="669"/>
      <c r="EJ46" s="671"/>
      <c r="EK46" s="669"/>
      <c r="EL46" s="671"/>
      <c r="EM46" s="669"/>
      <c r="EN46" s="671"/>
      <c r="EO46" s="669"/>
      <c r="EP46" s="671"/>
      <c r="EQ46" s="669"/>
      <c r="ER46" s="670"/>
      <c r="ES46" s="669"/>
      <c r="ET46" s="670"/>
      <c r="EU46" s="669"/>
      <c r="EV46" s="670"/>
      <c r="EW46" s="669"/>
      <c r="EX46" s="670"/>
      <c r="EY46" s="669"/>
      <c r="EZ46" s="670"/>
      <c r="FA46" s="669"/>
      <c r="FB46" s="670"/>
      <c r="FC46" s="669"/>
      <c r="FD46" s="670"/>
      <c r="FE46" s="669"/>
      <c r="FF46" s="670"/>
      <c r="FG46" s="669"/>
      <c r="FH46" s="670"/>
      <c r="FI46" s="669"/>
      <c r="FJ46" s="670"/>
      <c r="FK46" s="669"/>
      <c r="FL46" s="670"/>
      <c r="FM46" s="669"/>
      <c r="FN46" s="670"/>
      <c r="FO46" s="669"/>
      <c r="FP46" s="670"/>
      <c r="FQ46" s="669"/>
      <c r="FR46" s="670"/>
      <c r="FS46" s="669"/>
      <c r="FT46" s="670"/>
      <c r="FU46" s="669"/>
      <c r="FV46" s="670"/>
      <c r="FW46" s="669"/>
      <c r="FX46" s="670"/>
      <c r="FY46" s="669"/>
      <c r="FZ46" s="670"/>
      <c r="GA46" s="988"/>
    </row>
    <row r="47" spans="1:183" s="707" customFormat="1" ht="12.75" customHeight="1" x14ac:dyDescent="0.2">
      <c r="A47" s="993" t="str">
        <f>INPUT!B536</f>
        <v>Operating ROE (Excl FAS 115)(%)</v>
      </c>
      <c r="B47" s="688">
        <f>INPUT!M536</f>
        <v>9.9362088631658985</v>
      </c>
      <c r="C47" s="681">
        <f>INPUT!N536</f>
        <v>-24.08421165896797</v>
      </c>
      <c r="D47" s="688">
        <f>INPUT!O536</f>
        <v>10.062428056496131</v>
      </c>
      <c r="E47" s="681">
        <f>INPUT!P536</f>
        <v>-2.9255968654276709</v>
      </c>
      <c r="F47" s="688">
        <f>INPUT!Q536</f>
        <v>10.046446469818134</v>
      </c>
      <c r="G47" s="681">
        <f>INPUT!R536</f>
        <v>32.534749552981481</v>
      </c>
      <c r="H47" s="688">
        <f>INPUT!S536</f>
        <v>10.003305785123965</v>
      </c>
      <c r="I47" s="681">
        <f>INPUT!T536</f>
        <v>-1.2258041098950345</v>
      </c>
      <c r="J47" s="688">
        <f>INPUT!U536</f>
        <v>-13.055879027222291</v>
      </c>
      <c r="K47" s="681" t="str">
        <f>INPUT!V536</f>
        <v>NM</v>
      </c>
      <c r="L47" s="688">
        <f>INPUT!W536</f>
        <v>7.3279229055148525</v>
      </c>
      <c r="M47" s="681">
        <f>INPUT!X536</f>
        <v>-27.175400764390346</v>
      </c>
      <c r="N47" s="688">
        <f>INPUT!Y536</f>
        <v>7.151255596651759</v>
      </c>
      <c r="O47" s="681">
        <f>INPUT!Z536</f>
        <v>-28.818059020811017</v>
      </c>
      <c r="P47" s="688">
        <f>INPUT!AA536</f>
        <v>-11.721075333853273</v>
      </c>
      <c r="Q47" s="681" t="str">
        <f>INPUT!AB536</f>
        <v>NM</v>
      </c>
      <c r="R47" s="688">
        <f>INPUT!AC536</f>
        <v>-40.300896837828994</v>
      </c>
      <c r="S47" s="681" t="str">
        <f>INPUT!AD536</f>
        <v>NM</v>
      </c>
      <c r="T47" s="688">
        <f>INPUT!AE536</f>
        <v>9.521211790591547</v>
      </c>
      <c r="U47" s="681">
        <f>INPUT!AF536</f>
        <v>29.93056713828237</v>
      </c>
      <c r="V47" s="688">
        <f>INPUT!AG536</f>
        <v>9.1057554669283469</v>
      </c>
      <c r="W47" s="681">
        <f>INPUT!AH536</f>
        <v>27.330863005255914</v>
      </c>
      <c r="X47" s="688">
        <f>INPUT!AI536</f>
        <v>8.2364632526888908</v>
      </c>
      <c r="Y47" s="681" t="str">
        <f>INPUT!AJ536</f>
        <v>NM</v>
      </c>
      <c r="Z47" s="688">
        <f>INPUT!AK536</f>
        <v>10.621144199413223</v>
      </c>
      <c r="AA47" s="681" t="str">
        <f>INPUT!AL536</f>
        <v>NM</v>
      </c>
      <c r="AB47" s="688">
        <f>INPUT!AM536</f>
        <v>8.6425141859449841</v>
      </c>
      <c r="AC47" s="681">
        <f>INPUT!AN536</f>
        <v>-9.2288421261131344</v>
      </c>
      <c r="AD47" s="688">
        <f>INPUT!AO536</f>
        <v>8.9683431366069613</v>
      </c>
      <c r="AE47" s="681">
        <f>INPUT!AP536</f>
        <v>-1.5090711673563018</v>
      </c>
      <c r="AF47" s="688">
        <f>INPUT!AQ536</f>
        <v>8.6903374595594514</v>
      </c>
      <c r="AG47" s="681">
        <f>INPUT!AR536</f>
        <v>5.5105473422999651</v>
      </c>
      <c r="AH47" s="688">
        <f>INPUT!AS536</f>
        <v>8.5467066925657704</v>
      </c>
      <c r="AI47" s="681">
        <f>INPUT!AT536</f>
        <v>-19.531205564105392</v>
      </c>
      <c r="AJ47" s="688">
        <f>INPUT!AU536</f>
        <v>8.5115284915184688</v>
      </c>
      <c r="AK47" s="681">
        <f>INPUT!AV536</f>
        <v>-1.5155971006623581</v>
      </c>
      <c r="AL47" s="688">
        <f>INPUT!AW536</f>
        <v>9.1351607778849786</v>
      </c>
      <c r="AM47" s="681">
        <f>INPUT!AX536</f>
        <v>1.8600720192908593</v>
      </c>
      <c r="AN47" s="688">
        <f>INPUT!AY536</f>
        <v>10.306013513029406</v>
      </c>
      <c r="AO47" s="670">
        <f>INPUT!AZ536</f>
        <v>18.591637677921202</v>
      </c>
      <c r="AP47" s="688">
        <f>INPUT!BA536</f>
        <v>10.020876826722336</v>
      </c>
      <c r="AQ47" s="670">
        <f>INPUT!BB536</f>
        <v>17.248399730844287</v>
      </c>
      <c r="AR47" s="688">
        <f>INPUT!BC536</f>
        <v>10.29728809712924</v>
      </c>
      <c r="AS47" s="670">
        <f>INPUT!BD536</f>
        <v>20.980480854763471</v>
      </c>
      <c r="AT47" s="688">
        <f>INPUT!BE536</f>
        <v>11.804001333324255</v>
      </c>
      <c r="AU47" s="670">
        <f>INPUT!BF536</f>
        <v>29.215036498319623</v>
      </c>
      <c r="AV47" s="688">
        <f>INPUT!BG536</f>
        <v>11.358820942659548</v>
      </c>
      <c r="AW47" s="670">
        <f>INPUT!BH536</f>
        <v>10.215467195915551</v>
      </c>
      <c r="AX47" s="688">
        <f>INPUT!BI536</f>
        <v>11.123378230992099</v>
      </c>
      <c r="AY47" s="670">
        <f>INPUT!BJ536</f>
        <v>11.002045263442017</v>
      </c>
      <c r="AZ47" s="688">
        <f>INPUT!BK536</f>
        <v>11.935828877005335</v>
      </c>
      <c r="BA47" s="670">
        <f>INPUT!BL536</f>
        <v>15.912352499226468</v>
      </c>
      <c r="BB47" s="688">
        <f>INPUT!BM536</f>
        <v>11.627844640416001</v>
      </c>
      <c r="BC47" s="670">
        <f>INPUT!BN536</f>
        <v>-1.4923472806711802</v>
      </c>
      <c r="BD47" s="688">
        <f>INPUT!BO536</f>
        <v>11.405539366540495</v>
      </c>
      <c r="BE47" s="670">
        <f>INPUT!BP536</f>
        <v>0.41129641990824695</v>
      </c>
      <c r="BF47" s="688">
        <f>INPUT!BQ536</f>
        <v>11.128833612630979</v>
      </c>
      <c r="BG47" s="670">
        <f>INPUT!BR536</f>
        <v>4.9044287855637414E-2</v>
      </c>
      <c r="BH47" s="688">
        <f>INPUT!BS536</f>
        <v>11.303681684552386</v>
      </c>
      <c r="BI47" s="670">
        <f>INPUT!BT536</f>
        <v>-5.2962152772715765</v>
      </c>
      <c r="BJ47" s="688">
        <f>INPUT!BU536</f>
        <v>10.749028472733729</v>
      </c>
      <c r="BK47" s="670">
        <f>INPUT!BV536</f>
        <v>-7.5578595591799358</v>
      </c>
      <c r="BL47" s="688">
        <f>INPUT!BW536</f>
        <v>10.822199638103253</v>
      </c>
      <c r="BM47" s="670">
        <f>INPUT!BX536</f>
        <v>-5.1145299638221235</v>
      </c>
      <c r="BN47" s="688">
        <f>INPUT!BY536</f>
        <v>10.962482765293533</v>
      </c>
      <c r="BO47" s="670">
        <f>INPUT!BZ536</f>
        <v>-1.4947734248505706</v>
      </c>
      <c r="BP47" s="688">
        <f>INPUT!CA536</f>
        <v>11.064118350375642</v>
      </c>
      <c r="BQ47" s="670">
        <f>INPUT!CB536</f>
        <v>-2.1193389982321453</v>
      </c>
      <c r="BR47" s="688">
        <f>INPUT!CC536</f>
        <v>10.592916313352035</v>
      </c>
      <c r="BS47" s="670">
        <f>INPUT!CD536</f>
        <v>-1.4523373882364576</v>
      </c>
      <c r="BT47" s="688">
        <f>INPUT!CE536</f>
        <v>10.253685748439381</v>
      </c>
      <c r="BU47" s="670">
        <f>INPUT!CF536</f>
        <v>-5.2532193886187901</v>
      </c>
      <c r="BV47" s="688">
        <f>INPUT!CG536</f>
        <v>10.786859822516517</v>
      </c>
      <c r="BW47" s="670">
        <f>INPUT!CH536</f>
        <v>-1.6020362041801905</v>
      </c>
      <c r="BX47" s="688">
        <f>INPUT!CI536</f>
        <v>11.541035132629828</v>
      </c>
      <c r="BY47" s="670">
        <f>INPUT!CJ536</f>
        <v>4.3104815688996601</v>
      </c>
      <c r="BZ47" s="688">
        <f>INPUT!CK536</f>
        <v>10.656985735354709</v>
      </c>
      <c r="CA47" s="670">
        <f>INPUT!CL536</f>
        <v>0.60483270241564746</v>
      </c>
      <c r="CB47" s="688">
        <f>INPUT!CM536</f>
        <v>-18.115933127786867</v>
      </c>
      <c r="CC47" s="670" t="str">
        <f>INPUT!CN536</f>
        <v>NM</v>
      </c>
      <c r="CD47" s="688">
        <f>INPUT!CO536</f>
        <v>11.052072263549412</v>
      </c>
      <c r="CE47" s="670">
        <f>INPUT!CP536</f>
        <v>2.4586621630077188</v>
      </c>
      <c r="CF47" s="688">
        <f>INPUT!CQ536</f>
        <v>11.620964674175845</v>
      </c>
      <c r="CG47" s="670">
        <f>INPUT!CR536</f>
        <v>0.69256821963943338</v>
      </c>
      <c r="CH47" s="688">
        <f>INPUT!CS536</f>
        <v>11.43703249853208</v>
      </c>
      <c r="CI47" s="670">
        <f>INPUT!CT536</f>
        <v>7.3195815641335926</v>
      </c>
      <c r="CJ47" s="688">
        <f>INPUT!CU536</f>
        <v>11.343870528624365</v>
      </c>
      <c r="CK47" s="670" t="str">
        <f>INPUT!CV536</f>
        <v>NM</v>
      </c>
      <c r="CL47" s="688">
        <f>INPUT!CW536</f>
        <v>10.597445303206765</v>
      </c>
      <c r="CM47" s="670">
        <f>INPUT!CX536</f>
        <v>-4.1134997084849134</v>
      </c>
      <c r="CN47" s="688">
        <f>INPUT!CY536</f>
        <v>10.638088199063805</v>
      </c>
      <c r="CO47" s="670">
        <f>INPUT!CZ536</f>
        <v>-8.4577873065580516</v>
      </c>
      <c r="CP47" s="688">
        <f>INPUT!DA536</f>
        <v>10.793828618745509</v>
      </c>
      <c r="CQ47" s="670">
        <f>INPUT!DB536</f>
        <v>-5.6238703515892325</v>
      </c>
      <c r="CR47" s="688">
        <f>INPUT!DC536</f>
        <v>10.299665969769062</v>
      </c>
      <c r="CS47" s="670">
        <f>INPUT!DD536</f>
        <v>-9.2050112544957763</v>
      </c>
      <c r="CT47" s="688">
        <f>INPUT!DE536</f>
        <v>10.559208770879151</v>
      </c>
      <c r="CU47" s="670">
        <f>INPUT!DF536</f>
        <v>-0.36080896134509377</v>
      </c>
      <c r="CV47" s="688">
        <f>INPUT!DG536</f>
        <v>10.358183456394293</v>
      </c>
      <c r="CW47" s="670">
        <f>INPUT!DH536</f>
        <v>-2.6311564393134534</v>
      </c>
      <c r="CX47" s="688">
        <f>INPUT!DI536</f>
        <v>10.128162161537485</v>
      </c>
      <c r="CY47" s="670">
        <f>INPUT!DJ536</f>
        <v>-6.1671023389418096</v>
      </c>
      <c r="CZ47" s="688">
        <f>INPUT!DK536</f>
        <v>-10.749623164945248</v>
      </c>
      <c r="DA47" s="670" t="str">
        <f>INPUT!DL536</f>
        <v>NM</v>
      </c>
      <c r="DB47" s="688">
        <f>INPUT!DM536</f>
        <v>10.625037240064355</v>
      </c>
      <c r="DC47" s="670">
        <f>INPUT!DN536</f>
        <v>0.62342236633061709</v>
      </c>
      <c r="DD47" s="688">
        <f>INPUT!DO536</f>
        <v>10.418683732023515</v>
      </c>
      <c r="DE47" s="670">
        <f>INPUT!DP536</f>
        <v>0.5840819086079696</v>
      </c>
      <c r="DF47" s="688">
        <f>INPUT!DQ536</f>
        <v>10.361795857156258</v>
      </c>
      <c r="DG47" s="670">
        <f>INPUT!DR536</f>
        <v>2.3067728566394274</v>
      </c>
      <c r="DH47" s="688">
        <f>INPUT!DS536</f>
        <v>10.628294463267638</v>
      </c>
      <c r="DI47" s="670" t="str">
        <f>INPUT!DT536</f>
        <v>NM</v>
      </c>
      <c r="DJ47" s="688">
        <f>INPUT!DU536</f>
        <v>10.327395004433587</v>
      </c>
      <c r="DK47" s="670">
        <f>INPUT!DV536</f>
        <v>-2.8013288697797067</v>
      </c>
      <c r="DL47" s="688">
        <f>INPUT!DW536</f>
        <v>10.629077140641391</v>
      </c>
      <c r="DM47" s="670">
        <f>INPUT!DX536</f>
        <v>2.0193856923710785</v>
      </c>
      <c r="DN47" s="688">
        <f>INPUT!DY536</f>
        <v>10.320571760578085</v>
      </c>
      <c r="DO47" s="670">
        <f>INPUT!DZ536</f>
        <v>-0.39784702523069093</v>
      </c>
      <c r="DP47" s="688">
        <f>INPUT!EA536</f>
        <v>10.249030926685071</v>
      </c>
      <c r="DQ47" s="670">
        <f>INPUT!EB536</f>
        <v>-3.5684327141418226</v>
      </c>
      <c r="DR47" s="688">
        <f>INPUT!EC536</f>
        <v>10.422529615478835</v>
      </c>
      <c r="DS47" s="670">
        <f>INPUT!ED536</f>
        <v>0.92118691116593876</v>
      </c>
      <c r="DT47" s="688">
        <f>INPUT!EE536</f>
        <v>10.500693967451785</v>
      </c>
      <c r="DU47" s="670">
        <f>INPUT!EF536</f>
        <v>-1.2078487293945783</v>
      </c>
      <c r="DV47" s="688">
        <f>INPUT!EG536</f>
        <v>10.595597755718599</v>
      </c>
      <c r="DW47" s="670">
        <f>INPUT!EH536</f>
        <v>2.6648329329101772</v>
      </c>
      <c r="DX47" s="688">
        <f>INPUT!EI536</f>
        <v>10.807758487510446</v>
      </c>
      <c r="DY47" s="670">
        <f>INPUT!EJ536</f>
        <v>5.4515160001189278</v>
      </c>
      <c r="DZ47" s="688">
        <f>INPUT!EK536</f>
        <v>11.883378885974297</v>
      </c>
      <c r="EA47" s="670">
        <f>INPUT!EL536</f>
        <v>14.016264039450732</v>
      </c>
      <c r="EB47" s="688">
        <f>INPUT!EM536</f>
        <v>11.814142003443944</v>
      </c>
      <c r="EC47" s="670">
        <f>INPUT!EN536</f>
        <v>12.508202220380449</v>
      </c>
      <c r="ED47" s="688">
        <f>INPUT!EO536</f>
        <v>11.71045790616744</v>
      </c>
      <c r="EE47" s="670">
        <f>INPUT!EP536</f>
        <v>10.521918405661769</v>
      </c>
      <c r="EF47" s="688">
        <f>INPUT!EQ536</f>
        <v>11.640289925965053</v>
      </c>
      <c r="EG47" s="670">
        <f>INPUT!ER536</f>
        <v>7.7030906956025103</v>
      </c>
      <c r="EH47" s="670"/>
      <c r="EI47" s="688">
        <f>INPUT!FB536</f>
        <v>-4.0411412277873016</v>
      </c>
      <c r="EJ47" s="681" t="str">
        <f>INPUT!FC536</f>
        <v>NA</v>
      </c>
      <c r="EK47" s="688">
        <f>INPUT!FD536</f>
        <v>12.604430617928211</v>
      </c>
      <c r="EL47" s="681" t="str">
        <f>INPUT!FE536</f>
        <v>NM</v>
      </c>
      <c r="EM47" s="688">
        <f>INPUT!FF536</f>
        <v>0.69375945288355101</v>
      </c>
      <c r="EN47" s="681" t="str">
        <f>INPUT!FG536</f>
        <v>NM</v>
      </c>
      <c r="EO47" s="688">
        <f>INPUT!FH536</f>
        <v>-0.96767656297497529</v>
      </c>
      <c r="EP47" s="681" t="str">
        <f>INPUT!FI536</f>
        <v>NM</v>
      </c>
      <c r="EQ47" s="688">
        <f>INPUT!FJ536</f>
        <v>9.2435989751662166</v>
      </c>
      <c r="ER47" s="670" t="str">
        <f>INPUT!FK536</f>
        <v>NM</v>
      </c>
      <c r="ES47" s="688">
        <f>INPUT!FL536</f>
        <v>9.1789334455600358</v>
      </c>
      <c r="ET47" s="670">
        <f>INPUT!FM536</f>
        <v>-0.69957091150222306</v>
      </c>
      <c r="EU47" s="688">
        <f>INPUT!FN536</f>
        <v>10.870246799958846</v>
      </c>
      <c r="EV47" s="670">
        <f>INPUT!FO536</f>
        <v>18.42603353025638</v>
      </c>
      <c r="EW47" s="688">
        <f>INPUT!FP536</f>
        <v>11.523147778738483</v>
      </c>
      <c r="EX47" s="670">
        <f>INPUT!FQ536</f>
        <v>6.0063123753741232</v>
      </c>
      <c r="EY47" s="688">
        <f>INPUT!FR536</f>
        <v>11.092954274327347</v>
      </c>
      <c r="EZ47" s="670">
        <f>INPUT!FS536</f>
        <v>-3.7332985107150329</v>
      </c>
      <c r="FA47" s="688">
        <f>INPUT!FT536</f>
        <v>10.982900212366339</v>
      </c>
      <c r="FB47" s="670">
        <f>INPUT!FU536</f>
        <v>-0.99210777615580392</v>
      </c>
      <c r="FC47" s="688">
        <f>INPUT!FV536</f>
        <v>3.8948577777216631</v>
      </c>
      <c r="FD47" s="670" t="str">
        <f>INPUT!FW536</f>
        <v>NM</v>
      </c>
      <c r="FE47" s="688">
        <f>INPUT!FX536</f>
        <v>11.230842759279911</v>
      </c>
      <c r="FF47" s="670" t="str">
        <f>INPUT!FY536</f>
        <v>NM</v>
      </c>
      <c r="FG47" s="688">
        <f>INPUT!FZ536</f>
        <v>10.56232627752833</v>
      </c>
      <c r="FH47" s="670">
        <f>INPUT!GA536</f>
        <v>-5.9525050441935345</v>
      </c>
      <c r="FI47" s="688">
        <f>INPUT!GB536</f>
        <v>5.183866574275406</v>
      </c>
      <c r="FJ47" s="670" t="str">
        <f>INPUT!GC536</f>
        <v>NM</v>
      </c>
      <c r="FK47" s="688">
        <f>INPUT!GD536</f>
        <v>10.506195856098516</v>
      </c>
      <c r="FL47" s="670" t="str">
        <f>INPUT!GE536</f>
        <v>NM</v>
      </c>
      <c r="FM47" s="688">
        <f>INPUT!GF536</f>
        <v>10.365204790907253</v>
      </c>
      <c r="FN47" s="670">
        <f>INPUT!GG536</f>
        <v>-1.341980171723367</v>
      </c>
      <c r="FO47" s="688">
        <f>INPUT!GH536</f>
        <v>10.566217562708482</v>
      </c>
      <c r="FP47" s="670">
        <f>INPUT!GI536</f>
        <v>1.9393034277293442</v>
      </c>
      <c r="FQ47" s="688">
        <f>INPUT!GJ536</f>
        <v>11.755682856275866</v>
      </c>
      <c r="FR47" s="670">
        <f>INPUT!GK536</f>
        <v>11.257247794758474</v>
      </c>
      <c r="FS47" s="688">
        <f>INPUT!GL536</f>
        <v>11.45776785667034</v>
      </c>
      <c r="FT47" s="670">
        <f>INPUT!GM536</f>
        <v>-2.534221135835435</v>
      </c>
      <c r="FU47" s="688">
        <f>INPUT!GN536</f>
        <v>11.232845867637186</v>
      </c>
      <c r="FV47" s="670">
        <f>INPUT!GO536</f>
        <v>-1.9630524186455056</v>
      </c>
      <c r="FW47" s="688">
        <f>INPUT!GP536</f>
        <v>11.058713894237973</v>
      </c>
      <c r="FX47" s="670">
        <f>INPUT!GQ536</f>
        <v>-1.5502035321334096</v>
      </c>
      <c r="FY47" s="688">
        <f>INPUT!GR536</f>
        <v>10.853213222328559</v>
      </c>
      <c r="FZ47" s="670">
        <f>INPUT!GS536</f>
        <v>-1.8582691791718009</v>
      </c>
      <c r="GA47" s="994">
        <f>INPUT!GT536</f>
        <v>0.53742490044046409</v>
      </c>
    </row>
    <row r="48" spans="1:183" s="707" customFormat="1" ht="12.75" customHeight="1" x14ac:dyDescent="0.2">
      <c r="A48" s="993" t="str">
        <f>INPUT!B538</f>
        <v>Reported ROE (Excl FAS 115)(%)</v>
      </c>
      <c r="B48" s="688">
        <f>INPUT!M538</f>
        <v>5.9414473406277732</v>
      </c>
      <c r="C48" s="681" t="str">
        <f>INPUT!N538</f>
        <v>NM</v>
      </c>
      <c r="D48" s="688">
        <f>INPUT!O538</f>
        <v>6.5671290655956716</v>
      </c>
      <c r="E48" s="681">
        <f>INPUT!P538</f>
        <v>-35.228763982750458</v>
      </c>
      <c r="F48" s="688">
        <f>INPUT!Q538</f>
        <v>7.5648541147236141</v>
      </c>
      <c r="G48" s="681">
        <f>INPUT!R538</f>
        <v>11.225787057942927</v>
      </c>
      <c r="H48" s="688">
        <f>INPUT!S538</f>
        <v>6.7570247933884291</v>
      </c>
      <c r="I48" s="681">
        <f>INPUT!T538</f>
        <v>25.790409011949244</v>
      </c>
      <c r="J48" s="688">
        <f>INPUT!U538</f>
        <v>-16.633756940576887</v>
      </c>
      <c r="K48" s="681" t="str">
        <f>INPUT!V538</f>
        <v>NM</v>
      </c>
      <c r="L48" s="688">
        <f>INPUT!W538</f>
        <v>6.4793573266895237</v>
      </c>
      <c r="M48" s="681">
        <f>INPUT!X538</f>
        <v>-1.3365313522764821</v>
      </c>
      <c r="N48" s="688">
        <f>INPUT!Y538</f>
        <v>6.7712672766206143</v>
      </c>
      <c r="O48" s="681">
        <f>INPUT!Z538</f>
        <v>-10.490444707432323</v>
      </c>
      <c r="P48" s="688">
        <f>INPUT!AA538</f>
        <v>-22.10514587677272</v>
      </c>
      <c r="Q48" s="681" t="str">
        <f>INPUT!AB538</f>
        <v>NM</v>
      </c>
      <c r="R48" s="688">
        <f>INPUT!AC538</f>
        <v>-38.71034375914482</v>
      </c>
      <c r="S48" s="681" t="str">
        <f>INPUT!AD538</f>
        <v>NM</v>
      </c>
      <c r="T48" s="688">
        <f>INPUT!AE538</f>
        <v>0.52370301674760189</v>
      </c>
      <c r="U48" s="681" t="str">
        <f>INPUT!AF538</f>
        <v>NM</v>
      </c>
      <c r="V48" s="688">
        <f>INPUT!AG538</f>
        <v>12.116279697867244</v>
      </c>
      <c r="W48" s="681">
        <f>INPUT!AH538</f>
        <v>78.936662856324347</v>
      </c>
      <c r="X48" s="688">
        <f>INPUT!AI538</f>
        <v>9.4184277409879709</v>
      </c>
      <c r="Y48" s="681" t="str">
        <f>INPUT!AJ538</f>
        <v>NM</v>
      </c>
      <c r="Z48" s="688">
        <f>INPUT!AK538</f>
        <v>10.476592010049854</v>
      </c>
      <c r="AA48" s="681" t="str">
        <f>INPUT!AL538</f>
        <v>NM</v>
      </c>
      <c r="AB48" s="688">
        <f>INPUT!AM538</f>
        <v>11.503206527213491</v>
      </c>
      <c r="AC48" s="681" t="str">
        <f>INPUT!AN538</f>
        <v>NM</v>
      </c>
      <c r="AD48" s="688">
        <f>INPUT!AO538</f>
        <v>3.6349216839600773</v>
      </c>
      <c r="AE48" s="681" t="str">
        <f>INPUT!AP538</f>
        <v>NM</v>
      </c>
      <c r="AF48" s="688">
        <f>INPUT!AQ538</f>
        <v>8.9641515430564471</v>
      </c>
      <c r="AG48" s="681">
        <f>INPUT!AR538</f>
        <v>-4.8232699811940343</v>
      </c>
      <c r="AH48" s="688">
        <f>INPUT!AS538</f>
        <v>4.8352142295281881</v>
      </c>
      <c r="AI48" s="681" t="str">
        <f>INPUT!AT538</f>
        <v>NM</v>
      </c>
      <c r="AJ48" s="688">
        <f>INPUT!AU538</f>
        <v>7.5916746251913665</v>
      </c>
      <c r="AK48" s="681">
        <f>INPUT!AV538</f>
        <v>-34.003839649131685</v>
      </c>
      <c r="AL48" s="688">
        <f>INPUT!AW538</f>
        <v>-3.6964768861389317</v>
      </c>
      <c r="AM48" s="681" t="str">
        <f>INPUT!AX538</f>
        <v>NM</v>
      </c>
      <c r="AN48" s="688">
        <f>INPUT!AY538</f>
        <v>15.825863909607444</v>
      </c>
      <c r="AO48" s="670">
        <f>INPUT!AZ538</f>
        <v>76.546144201076331</v>
      </c>
      <c r="AP48" s="688">
        <f>INPUT!BA538</f>
        <v>10.233232177574985</v>
      </c>
      <c r="AQ48" s="670" t="str">
        <f>INPUT!BB538</f>
        <v>NM</v>
      </c>
      <c r="AR48" s="688">
        <f>INPUT!BC538</f>
        <v>10.666061500056735</v>
      </c>
      <c r="AS48" s="670">
        <f>INPUT!BD538</f>
        <v>40.496820881438531</v>
      </c>
      <c r="AT48" s="688">
        <f>INPUT!BE538</f>
        <v>10.171359378507621</v>
      </c>
      <c r="AU48" s="670" t="str">
        <f>INPUT!BF538</f>
        <v>NM</v>
      </c>
      <c r="AV48" s="688">
        <f>INPUT!BG538</f>
        <v>8.5550950788214806</v>
      </c>
      <c r="AW48" s="670">
        <f>INPUT!BH538</f>
        <v>-45.942318677289272</v>
      </c>
      <c r="AX48" s="688">
        <f>INPUT!BI538</f>
        <v>8.7306207385698311</v>
      </c>
      <c r="AY48" s="670">
        <f>INPUT!BJ538</f>
        <v>-14.683644550721365</v>
      </c>
      <c r="AZ48" s="688">
        <f>INPUT!BK538</f>
        <v>12.850267379679131</v>
      </c>
      <c r="BA48" s="670">
        <f>INPUT!BL538</f>
        <v>20.478091933098064</v>
      </c>
      <c r="BB48" s="688">
        <f>INPUT!BM538</f>
        <v>5.7897981612029836</v>
      </c>
      <c r="BC48" s="670">
        <f>INPUT!BN538</f>
        <v>-43.077439841158338</v>
      </c>
      <c r="BD48" s="688">
        <f>INPUT!BO538</f>
        <v>2.2767504561671186</v>
      </c>
      <c r="BE48" s="670" t="str">
        <f>INPUT!BP538</f>
        <v>NM</v>
      </c>
      <c r="BF48" s="688">
        <f>INPUT!BQ538</f>
        <v>8.8783002550694157</v>
      </c>
      <c r="BG48" s="670">
        <f>INPUT!BR538</f>
        <v>1.6915122179935072</v>
      </c>
      <c r="BH48" s="688">
        <f>INPUT!BS538</f>
        <v>13.996032187731219</v>
      </c>
      <c r="BI48" s="670">
        <f>INPUT!BT538</f>
        <v>8.9162721225859656</v>
      </c>
      <c r="BJ48" s="688">
        <f>INPUT!BU538</f>
        <v>11.231617180157976</v>
      </c>
      <c r="BK48" s="670">
        <f>INPUT!BV538</f>
        <v>93.989788027849144</v>
      </c>
      <c r="BL48" s="688">
        <f>INPUT!BW538</f>
        <v>9.8852341174429146</v>
      </c>
      <c r="BM48" s="670" t="str">
        <f>INPUT!BX538</f>
        <v>NM</v>
      </c>
      <c r="BN48" s="688">
        <f>INPUT!BY538</f>
        <v>10.962482765293533</v>
      </c>
      <c r="BO48" s="670">
        <f>INPUT!BZ538</f>
        <v>23.475017180614842</v>
      </c>
      <c r="BP48" s="688">
        <f>INPUT!CA538</f>
        <v>9.9124982898204124</v>
      </c>
      <c r="BQ48" s="670">
        <f>INPUT!CB538</f>
        <v>-29.176368295940268</v>
      </c>
      <c r="BR48" s="688">
        <f>INPUT!CC538</f>
        <v>10.384188898310615</v>
      </c>
      <c r="BS48" s="670">
        <f>INPUT!CD538</f>
        <v>-7.5450246233858991</v>
      </c>
      <c r="BT48" s="688">
        <f>INPUT!CE538</f>
        <v>10.828433089025479</v>
      </c>
      <c r="BU48" s="670">
        <f>INPUT!CF538</f>
        <v>9.5414935081633558</v>
      </c>
      <c r="BV48" s="688">
        <f>INPUT!CG538</f>
        <v>11.008406464238671</v>
      </c>
      <c r="BW48" s="670">
        <f>INPUT!CH538</f>
        <v>0.41891695456552913</v>
      </c>
      <c r="BX48" s="688">
        <f>INPUT!CI538</f>
        <v>11.177615302921485</v>
      </c>
      <c r="BY48" s="670">
        <f>INPUT!CJ538</f>
        <v>12.76284722692238</v>
      </c>
      <c r="BZ48" s="688">
        <f>INPUT!CK538</f>
        <v>9.6490861431719015</v>
      </c>
      <c r="CA48" s="670">
        <f>INPUT!CL538</f>
        <v>-7.079058001904281</v>
      </c>
      <c r="CB48" s="688">
        <f>INPUT!CM538</f>
        <v>-18.130673512756591</v>
      </c>
      <c r="CC48" s="670" t="str">
        <f>INPUT!CN538</f>
        <v>NM</v>
      </c>
      <c r="CD48" s="688">
        <f>INPUT!CO538</f>
        <v>11.088359555221478</v>
      </c>
      <c r="CE48" s="670">
        <f>INPUT!CP538</f>
        <v>0.72629123245528948</v>
      </c>
      <c r="CF48" s="688">
        <f>INPUT!CQ538</f>
        <v>11.161903042572803</v>
      </c>
      <c r="CG48" s="670">
        <f>INPUT!CR538</f>
        <v>-0.14056898473304713</v>
      </c>
      <c r="CH48" s="688">
        <f>INPUT!CS538</f>
        <v>11.753593219473592</v>
      </c>
      <c r="CI48" s="670">
        <f>INPUT!CT538</f>
        <v>21.810428936743698</v>
      </c>
      <c r="CJ48" s="688">
        <f>INPUT!CU538</f>
        <v>11.792583629534395</v>
      </c>
      <c r="CK48" s="670" t="str">
        <f>INPUT!CV538</f>
        <v>NM</v>
      </c>
      <c r="CL48" s="688">
        <f>INPUT!CW538</f>
        <v>10.447974988634034</v>
      </c>
      <c r="CM48" s="670">
        <f>INPUT!CX538</f>
        <v>-5.7752868077396435</v>
      </c>
      <c r="CN48" s="688">
        <f>INPUT!CY538</f>
        <v>10.643015521064298</v>
      </c>
      <c r="CO48" s="670">
        <f>INPUT!CZ538</f>
        <v>-4.648737043579465</v>
      </c>
      <c r="CP48" s="688">
        <f>INPUT!DA538</f>
        <v>9.8732358349265112</v>
      </c>
      <c r="CQ48" s="670">
        <f>INPUT!DB538</f>
        <v>-15.99814924198386</v>
      </c>
      <c r="CR48" s="688">
        <f>INPUT!DC538</f>
        <v>10.506332155816692</v>
      </c>
      <c r="CS48" s="670">
        <f>INPUT!DD538</f>
        <v>-10.907291515798967</v>
      </c>
      <c r="CT48" s="688">
        <f>INPUT!DE538</f>
        <v>10.711003326435364</v>
      </c>
      <c r="CU48" s="670">
        <f>INPUT!DF538</f>
        <v>2.5175054313153478</v>
      </c>
      <c r="CV48" s="688">
        <f>INPUT!DG538</f>
        <v>11.205373336921797</v>
      </c>
      <c r="CW48" s="670">
        <f>INPUT!DH538</f>
        <v>5.2838203114944138</v>
      </c>
      <c r="CX48" s="688">
        <f>INPUT!DI538</f>
        <v>10.128162161537485</v>
      </c>
      <c r="CY48" s="670">
        <f>INPUT!DJ538</f>
        <v>2.5819936935890242</v>
      </c>
      <c r="CZ48" s="688">
        <f>INPUT!DK538</f>
        <v>-13.241133379081404</v>
      </c>
      <c r="DA48" s="670" t="str">
        <f>INPUT!DL538</f>
        <v>NM</v>
      </c>
      <c r="DB48" s="688">
        <f>INPUT!DM538</f>
        <v>10.148364416373715</v>
      </c>
      <c r="DC48" s="670">
        <f>INPUT!DN538</f>
        <v>-5.2529057541511932</v>
      </c>
      <c r="DD48" s="688">
        <f>INPUT!DO538</f>
        <v>10.593430467329441</v>
      </c>
      <c r="DE48" s="670">
        <f>INPUT!DP538</f>
        <v>-5.4611555652144155</v>
      </c>
      <c r="DF48" s="688">
        <f>INPUT!DQ538</f>
        <v>9.5510357109382404</v>
      </c>
      <c r="DG48" s="670">
        <f>INPUT!DR538</f>
        <v>-5.698234698402926</v>
      </c>
      <c r="DH48" s="688">
        <f>INPUT!DS538</f>
        <v>10.512062021630852</v>
      </c>
      <c r="DI48" s="670" t="str">
        <f>INPUT!DT538</f>
        <v>NM</v>
      </c>
      <c r="DJ48" s="688">
        <f>INPUT!DU538</f>
        <v>9.7009339336918519</v>
      </c>
      <c r="DK48" s="670">
        <f>INPUT!DV538</f>
        <v>-4.4088925498178222</v>
      </c>
      <c r="DL48" s="688">
        <f>INPUT!DW538</f>
        <v>10.802426896583182</v>
      </c>
      <c r="DM48" s="670">
        <f>INPUT!DX538</f>
        <v>1.9728871577370022</v>
      </c>
      <c r="DN48" s="688">
        <f>INPUT!DY538</f>
        <v>10.649999717955524</v>
      </c>
      <c r="DO48" s="670">
        <f>INPUT!DZ538</f>
        <v>11.506228646582329</v>
      </c>
      <c r="DP48" s="688">
        <f>INPUT!EA538</f>
        <v>11.065562341392676</v>
      </c>
      <c r="DQ48" s="670">
        <f>INPUT!EB538</f>
        <v>5.2653829346029024</v>
      </c>
      <c r="DR48" s="688">
        <f>INPUT!EC538</f>
        <v>10.148833369752582</v>
      </c>
      <c r="DS48" s="670">
        <f>INPUT!ED538</f>
        <v>4.6170754189465368</v>
      </c>
      <c r="DT48" s="688">
        <f>INPUT!EE538</f>
        <v>10.705990396931915</v>
      </c>
      <c r="DU48" s="670">
        <f>INPUT!EF538</f>
        <v>-0.89272994461799815</v>
      </c>
      <c r="DV48" s="688">
        <f>INPUT!EG538</f>
        <v>10.86318515321536</v>
      </c>
      <c r="DW48" s="670">
        <f>INPUT!EH538</f>
        <v>2.0017412291609027</v>
      </c>
      <c r="DX48" s="688">
        <f>INPUT!EI538</f>
        <v>11.374569165286033</v>
      </c>
      <c r="DY48" s="670">
        <f>INPUT!EJ538</f>
        <v>2.7925089964697225</v>
      </c>
      <c r="DZ48" s="688">
        <f>INPUT!EK538</f>
        <v>11.020488161748974</v>
      </c>
      <c r="EA48" s="670">
        <f>INPUT!EL538</f>
        <v>8.5887191191280863</v>
      </c>
      <c r="EB48" s="688">
        <f>INPUT!EM538</f>
        <v>11.518981233655962</v>
      </c>
      <c r="EC48" s="670">
        <f>INPUT!EN538</f>
        <v>7.5937938161894092</v>
      </c>
      <c r="ED48" s="688">
        <f>INPUT!EO538</f>
        <v>11.419047258549991</v>
      </c>
      <c r="EE48" s="670">
        <f>INPUT!EP538</f>
        <v>5.116934835360909</v>
      </c>
      <c r="EF48" s="688">
        <f>INPUT!EQ538</f>
        <v>11.39303176436087</v>
      </c>
      <c r="EG48" s="670">
        <f>INPUT!ER538</f>
        <v>0.162314711058964</v>
      </c>
      <c r="EH48" s="670"/>
      <c r="EI48" s="688">
        <f>INPUT!FB538</f>
        <v>-7.4559989137629641</v>
      </c>
      <c r="EJ48" s="681" t="str">
        <f>INPUT!FC538</f>
        <v>NA</v>
      </c>
      <c r="EK48" s="688">
        <f>INPUT!FD538</f>
        <v>9.3027923430091217</v>
      </c>
      <c r="EL48" s="681" t="str">
        <f>INPUT!FE538</f>
        <v>NM</v>
      </c>
      <c r="EM48" s="688">
        <f>INPUT!FF538</f>
        <v>-3.1712369303610077</v>
      </c>
      <c r="EN48" s="681" t="str">
        <f>INPUT!FG538</f>
        <v>NM</v>
      </c>
      <c r="EO48" s="688">
        <f>INPUT!FH538</f>
        <v>-1.6769682845273111</v>
      </c>
      <c r="EP48" s="681">
        <f>INPUT!FI538</f>
        <v>-47.11942622538745</v>
      </c>
      <c r="EQ48" s="688">
        <f>INPUT!FJ538</f>
        <v>8.6407555637423332</v>
      </c>
      <c r="ER48" s="670" t="str">
        <f>INPUT!FK538</f>
        <v>NM</v>
      </c>
      <c r="ES48" s="688">
        <f>INPUT!FL538</f>
        <v>6.2060361931100863</v>
      </c>
      <c r="ET48" s="670">
        <f>INPUT!FM538</f>
        <v>-28.177158266675505</v>
      </c>
      <c r="EU48" s="688">
        <f>INPUT!FN538</f>
        <v>9.7218438402441052</v>
      </c>
      <c r="EV48" s="670">
        <f>INPUT!FO538</f>
        <v>56.651420290414237</v>
      </c>
      <c r="EW48" s="688">
        <f>INPUT!FP538</f>
        <v>7.4093420391762903</v>
      </c>
      <c r="EX48" s="670">
        <f>INPUT!FQ538</f>
        <v>-23.786658570826724</v>
      </c>
      <c r="EY48" s="688">
        <f>INPUT!FR538</f>
        <v>10.401040963382135</v>
      </c>
      <c r="EZ48" s="670">
        <f>INPUT!FS538</f>
        <v>40.377389900310725</v>
      </c>
      <c r="FA48" s="688">
        <f>INPUT!FT538</f>
        <v>10.777899168947854</v>
      </c>
      <c r="FB48" s="670">
        <f>INPUT!FU538</f>
        <v>3.6232739289508098</v>
      </c>
      <c r="FC48" s="688">
        <f>INPUT!FV538</f>
        <v>3.5880667112755158</v>
      </c>
      <c r="FD48" s="670" t="str">
        <f>INPUT!FW538</f>
        <v>NM</v>
      </c>
      <c r="FE48" s="688">
        <f>INPUT!FX538</f>
        <v>11.318782858053209</v>
      </c>
      <c r="FF48" s="670" t="str">
        <f>INPUT!FY538</f>
        <v>NM</v>
      </c>
      <c r="FG48" s="688">
        <f>INPUT!FZ538</f>
        <v>10.348514004703869</v>
      </c>
      <c r="FH48" s="670">
        <f>INPUT!GA538</f>
        <v>-8.5722013180860923</v>
      </c>
      <c r="FI48" s="688">
        <f>INPUT!GB538</f>
        <v>4.8039473369811949</v>
      </c>
      <c r="FJ48" s="670" t="str">
        <f>INPUT!GC538</f>
        <v>NM</v>
      </c>
      <c r="FK48" s="688">
        <f>INPUT!GD538</f>
        <v>10.199196626537196</v>
      </c>
      <c r="FL48" s="670" t="str">
        <f>INPUT!GE538</f>
        <v>NM</v>
      </c>
      <c r="FM48" s="688">
        <f>INPUT!GF538</f>
        <v>10.544071365499141</v>
      </c>
      <c r="FN48" s="670">
        <f>INPUT!GG538</f>
        <v>3.381391217271168</v>
      </c>
      <c r="FO48" s="688">
        <f>INPUT!GH538</f>
        <v>10.76116622622709</v>
      </c>
      <c r="FP48" s="670">
        <f>INPUT!GI538</f>
        <v>2.0589282185465629</v>
      </c>
      <c r="FQ48" s="688">
        <f>INPUT!GJ538</f>
        <v>11.334580874287983</v>
      </c>
      <c r="FR48" s="670">
        <f>INPUT!GK538</f>
        <v>5.3285548797059601</v>
      </c>
      <c r="FS48" s="688">
        <f>INPUT!GL538</f>
        <v>11.052399637695082</v>
      </c>
      <c r="FT48" s="670">
        <f>INPUT!GM538</f>
        <v>-2.4895603968296487</v>
      </c>
      <c r="FU48" s="688">
        <f>INPUT!GN538</f>
        <v>10.839760909556633</v>
      </c>
      <c r="FV48" s="670">
        <f>INPUT!GO538</f>
        <v>-1.9239145806239977</v>
      </c>
      <c r="FW48" s="688">
        <f>INPUT!GP538</f>
        <v>10.676904854741721</v>
      </c>
      <c r="FX48" s="670">
        <f>INPUT!GQ538</f>
        <v>-1.5023952665905504</v>
      </c>
      <c r="FY48" s="688">
        <f>INPUT!GR538</f>
        <v>10.48174210067225</v>
      </c>
      <c r="FZ48" s="670">
        <f>INPUT!GS538</f>
        <v>-1.8278963494068989</v>
      </c>
      <c r="GA48" s="994">
        <f>INPUT!GT538</f>
        <v>-0.5247988566461026</v>
      </c>
    </row>
    <row r="49" spans="1:183" s="707" customFormat="1" ht="12.75" customHeight="1" x14ac:dyDescent="0.2">
      <c r="A49" s="993" t="str">
        <f>INPUT!B539</f>
        <v>Reported ROE (Incl FAS 115)(%)</v>
      </c>
      <c r="B49" s="688">
        <f>INPUT!M539</f>
        <v>6.0227136470306117</v>
      </c>
      <c r="C49" s="681" t="str">
        <f>INPUT!N539</f>
        <v>NM</v>
      </c>
      <c r="D49" s="688">
        <f>INPUT!O539</f>
        <v>6.5836134064471583</v>
      </c>
      <c r="E49" s="681">
        <f>INPUT!P539</f>
        <v>-33.484111301843889</v>
      </c>
      <c r="F49" s="688">
        <f>INPUT!Q539</f>
        <v>7.0840686542455984</v>
      </c>
      <c r="G49" s="681">
        <f>INPUT!R539</f>
        <v>6.6449312847218334</v>
      </c>
      <c r="H49" s="688">
        <f>INPUT!S539</f>
        <v>6.0502908224429079</v>
      </c>
      <c r="I49" s="681">
        <f>INPUT!T539</f>
        <v>15.284052564385453</v>
      </c>
      <c r="J49" s="688">
        <f>INPUT!U539</f>
        <v>-14.723083243081787</v>
      </c>
      <c r="K49" s="681" t="str">
        <f>INPUT!V539</f>
        <v>NM</v>
      </c>
      <c r="L49" s="688">
        <f>INPUT!W539</f>
        <v>5.5240872637541347</v>
      </c>
      <c r="M49" s="681">
        <f>INPUT!X539</f>
        <v>-16.09338333346636</v>
      </c>
      <c r="N49" s="688">
        <f>INPUT!Y539</f>
        <v>5.5851712931444357</v>
      </c>
      <c r="O49" s="681">
        <f>INPUT!Z539</f>
        <v>-21.158707435773493</v>
      </c>
      <c r="P49" s="688">
        <f>INPUT!AA539</f>
        <v>-18.368791043098142</v>
      </c>
      <c r="Q49" s="681" t="str">
        <f>INPUT!AB539</f>
        <v>NM</v>
      </c>
      <c r="R49" s="688">
        <f>INPUT!AC539</f>
        <v>-31.221841960944928</v>
      </c>
      <c r="S49" s="681" t="str">
        <f>INPUT!AD539</f>
        <v>NM</v>
      </c>
      <c r="T49" s="688">
        <f>INPUT!AE539</f>
        <v>0.43111513618299729</v>
      </c>
      <c r="U49" s="681" t="str">
        <f>INPUT!AF539</f>
        <v>NM</v>
      </c>
      <c r="V49" s="688">
        <f>INPUT!AG539</f>
        <v>10.252612974982476</v>
      </c>
      <c r="W49" s="681">
        <f>INPUT!AH539</f>
        <v>83.568460784132625</v>
      </c>
      <c r="X49" s="688">
        <f>INPUT!AI539</f>
        <v>7.5822860986229683</v>
      </c>
      <c r="Y49" s="681" t="str">
        <f>INPUT!AJ539</f>
        <v>NM</v>
      </c>
      <c r="Z49" s="688">
        <f>INPUT!AK539</f>
        <v>8.528701012152867</v>
      </c>
      <c r="AA49" s="681" t="str">
        <f>INPUT!AL539</f>
        <v>NM</v>
      </c>
      <c r="AB49" s="688">
        <f>INPUT!AM539</f>
        <v>9.192996578788474</v>
      </c>
      <c r="AC49" s="681" t="str">
        <f>INPUT!AN539</f>
        <v>NM</v>
      </c>
      <c r="AD49" s="688">
        <f>INPUT!AO539</f>
        <v>2.915393942606491</v>
      </c>
      <c r="AE49" s="681" t="str">
        <f>INPUT!AP539</f>
        <v>NM</v>
      </c>
      <c r="AF49" s="688">
        <f>INPUT!AQ539</f>
        <v>7.5334209949594539</v>
      </c>
      <c r="AG49" s="681">
        <f>INPUT!AR539</f>
        <v>-0.64446399183472058</v>
      </c>
      <c r="AH49" s="688">
        <f>INPUT!AS539</f>
        <v>4.3238897781350625</v>
      </c>
      <c r="AI49" s="681">
        <f>INPUT!AT539</f>
        <v>-49.301895189269864</v>
      </c>
      <c r="AJ49" s="688">
        <f>INPUT!AU539</f>
        <v>7.3892098060479805</v>
      </c>
      <c r="AK49" s="681">
        <f>INPUT!AV539</f>
        <v>-19.621314522214373</v>
      </c>
      <c r="AL49" s="688">
        <f>INPUT!AW539</f>
        <v>-3.4948872871417449</v>
      </c>
      <c r="AM49" s="681" t="str">
        <f>INPUT!AX539</f>
        <v>NM</v>
      </c>
      <c r="AN49" s="688">
        <f>INPUT!AY539</f>
        <v>14.424156936499235</v>
      </c>
      <c r="AO49" s="670">
        <f>INPUT!AZ539</f>
        <v>91.468881749079372</v>
      </c>
      <c r="AP49" s="688">
        <f>INPUT!BA539</f>
        <v>9.4492361911575671</v>
      </c>
      <c r="AQ49" s="670" t="str">
        <f>INPUT!BB539</f>
        <v>NM</v>
      </c>
      <c r="AR49" s="688">
        <f>INPUT!BC539</f>
        <v>10.197854653449234</v>
      </c>
      <c r="AS49" s="670">
        <f>INPUT!BD539</f>
        <v>38.010083907786886</v>
      </c>
      <c r="AT49" s="688">
        <f>INPUT!BE539</f>
        <v>9.8352891648686942</v>
      </c>
      <c r="AU49" s="670" t="str">
        <f>INPUT!BF539</f>
        <v>NM</v>
      </c>
      <c r="AV49" s="688">
        <f>INPUT!BG539</f>
        <v>8.0903803864983939</v>
      </c>
      <c r="AW49" s="670">
        <f>INPUT!BH539</f>
        <v>-43.91089599124993</v>
      </c>
      <c r="AX49" s="688">
        <f>INPUT!BI539</f>
        <v>8.3223308649534697</v>
      </c>
      <c r="AY49" s="670">
        <f>INPUT!BJ539</f>
        <v>-11.925888012606102</v>
      </c>
      <c r="AZ49" s="688">
        <f>INPUT!BK539</f>
        <v>12.562488972534243</v>
      </c>
      <c r="BA49" s="670">
        <f>INPUT!BL539</f>
        <v>23.187566399421232</v>
      </c>
      <c r="BB49" s="688">
        <f>INPUT!BM539</f>
        <v>5.9999166678240501</v>
      </c>
      <c r="BC49" s="670">
        <f>INPUT!BN539</f>
        <v>-38.996031868025391</v>
      </c>
      <c r="BD49" s="688">
        <f>INPUT!BO539</f>
        <v>2.5461024227565647</v>
      </c>
      <c r="BE49" s="670" t="str">
        <f>INPUT!BP539</f>
        <v>NM</v>
      </c>
      <c r="BF49" s="688">
        <f>INPUT!BQ539</f>
        <v>10.289770289770285</v>
      </c>
      <c r="BG49" s="670">
        <f>INPUT!BR539</f>
        <v>23.64048554115994</v>
      </c>
      <c r="BH49" s="688">
        <f>INPUT!BS539</f>
        <v>15.377310984821246</v>
      </c>
      <c r="BI49" s="670">
        <f>INPUT!BT539</f>
        <v>22.406563050054285</v>
      </c>
      <c r="BJ49" s="688">
        <f>INPUT!BU539</f>
        <v>11.250906407826267</v>
      </c>
      <c r="BK49" s="670">
        <f>INPUT!BV539</f>
        <v>87.517711173587998</v>
      </c>
      <c r="BL49" s="688">
        <f>INPUT!BW539</f>
        <v>9.5275068535695198</v>
      </c>
      <c r="BM49" s="670" t="str">
        <f>INPUT!BX539</f>
        <v>NM</v>
      </c>
      <c r="BN49" s="688">
        <f>INPUT!BY539</f>
        <v>10.490558612987043</v>
      </c>
      <c r="BO49" s="670">
        <f>INPUT!BZ539</f>
        <v>1.9513392190724899</v>
      </c>
      <c r="BP49" s="688">
        <f>INPUT!CA539</f>
        <v>9.4403435324242686</v>
      </c>
      <c r="BQ49" s="670">
        <f>INPUT!CB539</f>
        <v>-38.608619271973396</v>
      </c>
      <c r="BR49" s="688">
        <f>INPUT!CC539</f>
        <v>9.840524168624059</v>
      </c>
      <c r="BS49" s="670">
        <f>INPUT!CD539</f>
        <v>-12.535721017296254</v>
      </c>
      <c r="BT49" s="688">
        <f>INPUT!CE539</f>
        <v>10.302716985467301</v>
      </c>
      <c r="BU49" s="670">
        <f>INPUT!CF539</f>
        <v>8.1365476174634956</v>
      </c>
      <c r="BV49" s="688">
        <f>INPUT!CG539</f>
        <v>10.517960146056641</v>
      </c>
      <c r="BW49" s="670">
        <f>INPUT!CH539</f>
        <v>0.26120184901952115</v>
      </c>
      <c r="BX49" s="688">
        <f>INPUT!CI539</f>
        <v>10.62310385064178</v>
      </c>
      <c r="BY49" s="670">
        <f>INPUT!CJ539</f>
        <v>12.52878472224177</v>
      </c>
      <c r="BZ49" s="688">
        <f>INPUT!CK539</f>
        <v>8.9390913767638942</v>
      </c>
      <c r="CA49" s="670">
        <f>INPUT!CL539</f>
        <v>-9.1604143886392819</v>
      </c>
      <c r="CB49" s="688">
        <f>INPUT!CM539</f>
        <v>-16.744375999727747</v>
      </c>
      <c r="CC49" s="670" t="str">
        <f>INPUT!CN539</f>
        <v>NM</v>
      </c>
      <c r="CD49" s="688">
        <f>INPUT!CO539</f>
        <v>10.466311102412289</v>
      </c>
      <c r="CE49" s="670">
        <f>INPUT!CP539</f>
        <v>-0.49105570782862484</v>
      </c>
      <c r="CF49" s="688">
        <f>INPUT!CQ539</f>
        <v>10.450446099795959</v>
      </c>
      <c r="CG49" s="670">
        <f>INPUT!CR539</f>
        <v>-1.625304179205489</v>
      </c>
      <c r="CH49" s="688">
        <f>INPUT!CS539</f>
        <v>10.795347964734573</v>
      </c>
      <c r="CI49" s="670">
        <f>INPUT!CT539</f>
        <v>20.765607036927669</v>
      </c>
      <c r="CJ49" s="688">
        <f>INPUT!CU539</f>
        <v>10.8250076652069</v>
      </c>
      <c r="CK49" s="670" t="str">
        <f>INPUT!CV539</f>
        <v>NM</v>
      </c>
      <c r="CL49" s="688">
        <f>INPUT!CW539</f>
        <v>9.7703023808414518</v>
      </c>
      <c r="CM49" s="670">
        <f>INPUT!CX539</f>
        <v>-6.6499907633208117</v>
      </c>
      <c r="CN49" s="688">
        <f>INPUT!CY539</f>
        <v>10.201671940679162</v>
      </c>
      <c r="CO49" s="670">
        <f>INPUT!CZ539</f>
        <v>-2.3805123412066975</v>
      </c>
      <c r="CP49" s="688">
        <f>INPUT!DA539</f>
        <v>9.51057153749157</v>
      </c>
      <c r="CQ49" s="670">
        <f>INPUT!DB539</f>
        <v>-11.901204402489052</v>
      </c>
      <c r="CR49" s="688">
        <f>INPUT!DC539</f>
        <v>10.102947463286691</v>
      </c>
      <c r="CS49" s="670">
        <f>INPUT!DD539</f>
        <v>-6.670297373007994</v>
      </c>
      <c r="CT49" s="688">
        <f>INPUT!DE539</f>
        <v>10.279230423426435</v>
      </c>
      <c r="CU49" s="670">
        <f>INPUT!DF539</f>
        <v>5.2089282680026328</v>
      </c>
      <c r="CV49" s="688">
        <f>INPUT!DG539</f>
        <v>10.536334178719379</v>
      </c>
      <c r="CW49" s="670">
        <f>INPUT!DH539</f>
        <v>3.2804646139007021</v>
      </c>
      <c r="CX49" s="688">
        <f>INPUT!DI539</f>
        <v>9.4814109603120098</v>
      </c>
      <c r="CY49" s="670">
        <f>INPUT!DJ539</f>
        <v>-0.3066122479033595</v>
      </c>
      <c r="CZ49" s="688">
        <f>INPUT!DK539</f>
        <v>-12.708205506363674</v>
      </c>
      <c r="DA49" s="670" t="str">
        <f>INPUT!DL539</f>
        <v>NM</v>
      </c>
      <c r="DB49" s="688">
        <f>INPUT!DM539</f>
        <v>9.8966867714906659</v>
      </c>
      <c r="DC49" s="670">
        <f>INPUT!DN539</f>
        <v>-3.7215203490715609</v>
      </c>
      <c r="DD49" s="688">
        <f>INPUT!DO539</f>
        <v>10.430375037782786</v>
      </c>
      <c r="DE49" s="670">
        <f>INPUT!DP539</f>
        <v>-1.0056547100660729</v>
      </c>
      <c r="DF49" s="688">
        <f>INPUT!DQ539</f>
        <v>9.5362874923962462</v>
      </c>
      <c r="DG49" s="670">
        <f>INPUT!DR539</f>
        <v>0.57878022916570959</v>
      </c>
      <c r="DH49" s="688">
        <f>INPUT!DS539</f>
        <v>10.488837344157723</v>
      </c>
      <c r="DI49" s="670" t="str">
        <f>INPUT!DT539</f>
        <v>NM</v>
      </c>
      <c r="DJ49" s="688">
        <f>INPUT!DU539</f>
        <v>9.5813286928037602</v>
      </c>
      <c r="DK49" s="670">
        <f>INPUT!DV539</f>
        <v>-3.1865015632843496</v>
      </c>
      <c r="DL49" s="688">
        <f>INPUT!DW539</f>
        <v>10.479441066973493</v>
      </c>
      <c r="DM49" s="670">
        <f>INPUT!DX539</f>
        <v>0.47041481263110363</v>
      </c>
      <c r="DN49" s="688">
        <f>INPUT!DY539</f>
        <v>10.195375360456207</v>
      </c>
      <c r="DO49" s="670">
        <f>INPUT!DZ539</f>
        <v>6.9113674329290609</v>
      </c>
      <c r="DP49" s="688">
        <f>INPUT!EA539</f>
        <v>10.824258560111733</v>
      </c>
      <c r="DQ49" s="670">
        <f>INPUT!EB539</f>
        <v>3.197887477403194</v>
      </c>
      <c r="DR49" s="688">
        <f>INPUT!EC539</f>
        <v>10.177249707830141</v>
      </c>
      <c r="DS49" s="670">
        <f>INPUT!ED539</f>
        <v>6.219607260462312</v>
      </c>
      <c r="DT49" s="688">
        <f>INPUT!EE539</f>
        <v>10.644789330021046</v>
      </c>
      <c r="DU49" s="670">
        <f>INPUT!EF539</f>
        <v>1.5778347527394043</v>
      </c>
      <c r="DV49" s="688">
        <f>INPUT!EG539</f>
        <v>10.730501140408839</v>
      </c>
      <c r="DW49" s="670">
        <f>INPUT!EH539</f>
        <v>5.2487109207197014</v>
      </c>
      <c r="DX49" s="688">
        <f>INPUT!EI539</f>
        <v>11.22401240570872</v>
      </c>
      <c r="DY49" s="670">
        <f>INPUT!EJ539</f>
        <v>3.6931291263690991</v>
      </c>
      <c r="DZ49" s="688">
        <f>INPUT!EK539</f>
        <v>10.874584959595559</v>
      </c>
      <c r="EA49" s="670">
        <f>INPUT!EL539</f>
        <v>6.8519027417486278</v>
      </c>
      <c r="EB49" s="688">
        <f>INPUT!EM539</f>
        <v>11.368338743904266</v>
      </c>
      <c r="EC49" s="670">
        <f>INPUT!EN539</f>
        <v>6.7972168490232576</v>
      </c>
      <c r="ED49" s="688">
        <f>INPUT!EO539</f>
        <v>11.271584540867615</v>
      </c>
      <c r="EE49" s="670">
        <f>INPUT!EP539</f>
        <v>5.0424802474617669</v>
      </c>
      <c r="EF49" s="688">
        <f>INPUT!EQ539</f>
        <v>11.247708532360329</v>
      </c>
      <c r="EG49" s="670">
        <f>INPUT!ER539</f>
        <v>0.2111199257010643</v>
      </c>
      <c r="EH49" s="670"/>
      <c r="EI49" s="688">
        <f>INPUT!FB539</f>
        <v>-7.6301140261747822</v>
      </c>
      <c r="EJ49" s="681" t="str">
        <f>INPUT!FC539</f>
        <v>NA</v>
      </c>
      <c r="EK49" s="688">
        <f>INPUT!FD539</f>
        <v>8.7021145105647442</v>
      </c>
      <c r="EL49" s="681" t="str">
        <f>INPUT!FE539</f>
        <v>NM</v>
      </c>
      <c r="EM49" s="688">
        <f>INPUT!FF539</f>
        <v>-2.733417409417457</v>
      </c>
      <c r="EN49" s="681" t="str">
        <f>INPUT!FG539</f>
        <v>NM</v>
      </c>
      <c r="EO49" s="688">
        <f>INPUT!FH539</f>
        <v>-1.370118177867006</v>
      </c>
      <c r="EP49" s="681">
        <f>INPUT!FI539</f>
        <v>-49.875267013865844</v>
      </c>
      <c r="EQ49" s="688">
        <f>INPUT!FJ539</f>
        <v>7.0743076501234015</v>
      </c>
      <c r="ER49" s="670" t="str">
        <f>INPUT!FK539</f>
        <v>NM</v>
      </c>
      <c r="ES49" s="688">
        <f>INPUT!FL539</f>
        <v>5.4751470227479198</v>
      </c>
      <c r="ET49" s="670">
        <f>INPUT!FM539</f>
        <v>-22.605189178443297</v>
      </c>
      <c r="EU49" s="688">
        <f>INPUT!FN539</f>
        <v>9.0578537569723405</v>
      </c>
      <c r="EV49" s="670">
        <f>INPUT!FO539</f>
        <v>65.435808743384143</v>
      </c>
      <c r="EW49" s="688">
        <f>INPUT!FP539</f>
        <v>7.6632173876906435</v>
      </c>
      <c r="EX49" s="670">
        <f>INPUT!FQ539</f>
        <v>-15.396984834383831</v>
      </c>
      <c r="EY49" s="688">
        <f>INPUT!FR539</f>
        <v>9.9770385634383167</v>
      </c>
      <c r="EZ49" s="670">
        <f>INPUT!FS539</f>
        <v>30.193860603045696</v>
      </c>
      <c r="FA49" s="688">
        <f>INPUT!FT539</f>
        <v>10.338534000588744</v>
      </c>
      <c r="FB49" s="670">
        <f>INPUT!FU539</f>
        <v>3.6232739289507876</v>
      </c>
      <c r="FC49" s="688">
        <f>INPUT!FV539</f>
        <v>3.4128709185450239</v>
      </c>
      <c r="FD49" s="670" t="str">
        <f>INPUT!FW539</f>
        <v>NM</v>
      </c>
      <c r="FE49" s="688">
        <f>INPUT!FX539</f>
        <v>10.58376980509227</v>
      </c>
      <c r="FF49" s="670" t="str">
        <f>INPUT!FY539</f>
        <v>NM</v>
      </c>
      <c r="FG49" s="688">
        <f>INPUT!FZ539</f>
        <v>9.8188668308940734</v>
      </c>
      <c r="FH49" s="670">
        <f>INPUT!GA539</f>
        <v>-7.2271316202490716</v>
      </c>
      <c r="FI49" s="688">
        <f>INPUT!GB539</f>
        <v>4.6859886492092908</v>
      </c>
      <c r="FJ49" s="670" t="str">
        <f>INPUT!GC539</f>
        <v>NM</v>
      </c>
      <c r="FK49" s="688">
        <f>INPUT!GD539</f>
        <v>10.090888989747345</v>
      </c>
      <c r="FL49" s="670" t="str">
        <f>INPUT!GE539</f>
        <v>NM</v>
      </c>
      <c r="FM49" s="688">
        <f>INPUT!GF539</f>
        <v>10.564941951803277</v>
      </c>
      <c r="FN49" s="670">
        <f>INPUT!GG539</f>
        <v>4.6978315046135588</v>
      </c>
      <c r="FO49" s="688">
        <f>INPUT!GH539</f>
        <v>10.716770300222722</v>
      </c>
      <c r="FP49" s="670">
        <f>INPUT!GI539</f>
        <v>1.4370959075031164</v>
      </c>
      <c r="FQ49" s="688">
        <f>INPUT!GJ539</f>
        <v>11.187361496186142</v>
      </c>
      <c r="FR49" s="670">
        <f>INPUT!GK539</f>
        <v>4.39116620754334</v>
      </c>
      <c r="FS49" s="688">
        <f>INPUT!GL539</f>
        <v>10.915682395056761</v>
      </c>
      <c r="FT49" s="670">
        <f>INPUT!GM539</f>
        <v>-2.4284466111334502</v>
      </c>
      <c r="FU49" s="688">
        <f>INPUT!GN539</f>
        <v>10.711822192985958</v>
      </c>
      <c r="FV49" s="670">
        <f>INPUT!GO539</f>
        <v>-1.8675900845477433</v>
      </c>
      <c r="FW49" s="688">
        <f>INPUT!GP539</f>
        <v>10.556487302400107</v>
      </c>
      <c r="FX49" s="670">
        <f>INPUT!GQ539</f>
        <v>-1.4501257375945098</v>
      </c>
      <c r="FY49" s="688">
        <f>INPUT!GR539</f>
        <v>10.368610304773009</v>
      </c>
      <c r="FZ49" s="670">
        <f>INPUT!GS539</f>
        <v>-1.7797302478105848</v>
      </c>
      <c r="GA49" s="994">
        <f>INPUT!GT539</f>
        <v>-0.65835985506691452</v>
      </c>
    </row>
    <row r="50" spans="1:183" s="707" customFormat="1" ht="4.5" customHeight="1" x14ac:dyDescent="0.2">
      <c r="A50" s="993"/>
      <c r="B50" s="669"/>
      <c r="C50" s="681"/>
      <c r="D50" s="669"/>
      <c r="E50" s="681"/>
      <c r="F50" s="669"/>
      <c r="G50" s="681"/>
      <c r="H50" s="669"/>
      <c r="I50" s="681"/>
      <c r="J50" s="669"/>
      <c r="K50" s="681"/>
      <c r="L50" s="669"/>
      <c r="M50" s="681"/>
      <c r="N50" s="669"/>
      <c r="O50" s="681"/>
      <c r="P50" s="669"/>
      <c r="Q50" s="681"/>
      <c r="R50" s="669"/>
      <c r="S50" s="681"/>
      <c r="T50" s="669"/>
      <c r="U50" s="681"/>
      <c r="V50" s="669"/>
      <c r="W50" s="681"/>
      <c r="X50" s="669"/>
      <c r="Y50" s="681"/>
      <c r="Z50" s="669"/>
      <c r="AA50" s="681"/>
      <c r="AB50" s="669"/>
      <c r="AC50" s="681"/>
      <c r="AD50" s="669"/>
      <c r="AE50" s="681"/>
      <c r="AF50" s="669"/>
      <c r="AG50" s="681"/>
      <c r="AH50" s="669"/>
      <c r="AI50" s="681"/>
      <c r="AJ50" s="669"/>
      <c r="AK50" s="681"/>
      <c r="AL50" s="669"/>
      <c r="AM50" s="681"/>
      <c r="AN50" s="669"/>
      <c r="AO50" s="670"/>
      <c r="AP50" s="669"/>
      <c r="AQ50" s="670"/>
      <c r="AR50" s="669"/>
      <c r="AS50" s="670"/>
      <c r="AT50" s="669"/>
      <c r="AU50" s="670"/>
      <c r="AV50" s="669"/>
      <c r="AW50" s="670"/>
      <c r="AX50" s="669"/>
      <c r="AY50" s="670"/>
      <c r="AZ50" s="669"/>
      <c r="BA50" s="670"/>
      <c r="BB50" s="669"/>
      <c r="BC50" s="670"/>
      <c r="BD50" s="669"/>
      <c r="BE50" s="670"/>
      <c r="BF50" s="669"/>
      <c r="BG50" s="670"/>
      <c r="BH50" s="669"/>
      <c r="BI50" s="670"/>
      <c r="BJ50" s="669"/>
      <c r="BK50" s="670"/>
      <c r="BL50" s="669"/>
      <c r="BM50" s="670"/>
      <c r="BN50" s="669"/>
      <c r="BO50" s="670"/>
      <c r="BP50" s="669"/>
      <c r="BQ50" s="670"/>
      <c r="BR50" s="669"/>
      <c r="BS50" s="670"/>
      <c r="BT50" s="669"/>
      <c r="BU50" s="670"/>
      <c r="BV50" s="669"/>
      <c r="BW50" s="670"/>
      <c r="BX50" s="669"/>
      <c r="BY50" s="670"/>
      <c r="BZ50" s="669"/>
      <c r="CA50" s="670"/>
      <c r="CB50" s="669"/>
      <c r="CC50" s="670"/>
      <c r="CD50" s="669"/>
      <c r="CE50" s="670"/>
      <c r="CF50" s="669"/>
      <c r="CG50" s="670"/>
      <c r="CH50" s="669"/>
      <c r="CI50" s="670"/>
      <c r="CJ50" s="669"/>
      <c r="CK50" s="670"/>
      <c r="CL50" s="669"/>
      <c r="CM50" s="670"/>
      <c r="CN50" s="669"/>
      <c r="CO50" s="670"/>
      <c r="CP50" s="669"/>
      <c r="CQ50" s="670"/>
      <c r="CR50" s="669"/>
      <c r="CS50" s="670"/>
      <c r="CT50" s="669"/>
      <c r="CU50" s="670"/>
      <c r="CV50" s="669"/>
      <c r="CW50" s="670"/>
      <c r="CX50" s="669"/>
      <c r="CY50" s="670"/>
      <c r="CZ50" s="669"/>
      <c r="DA50" s="670"/>
      <c r="DB50" s="669"/>
      <c r="DC50" s="670"/>
      <c r="DD50" s="669"/>
      <c r="DE50" s="670"/>
      <c r="DF50" s="669"/>
      <c r="DG50" s="670"/>
      <c r="DH50" s="669"/>
      <c r="DI50" s="670"/>
      <c r="DJ50" s="669"/>
      <c r="DK50" s="670"/>
      <c r="DL50" s="669"/>
      <c r="DM50" s="670"/>
      <c r="DN50" s="669"/>
      <c r="DO50" s="670"/>
      <c r="DP50" s="669"/>
      <c r="DQ50" s="670"/>
      <c r="DR50" s="669"/>
      <c r="DS50" s="670"/>
      <c r="DT50" s="669"/>
      <c r="DU50" s="670"/>
      <c r="DV50" s="669"/>
      <c r="DW50" s="670"/>
      <c r="DX50" s="669"/>
      <c r="DY50" s="670"/>
      <c r="DZ50" s="669"/>
      <c r="EA50" s="670"/>
      <c r="EB50" s="669"/>
      <c r="EC50" s="670"/>
      <c r="ED50" s="669"/>
      <c r="EE50" s="670"/>
      <c r="EF50" s="669"/>
      <c r="EG50" s="670"/>
      <c r="EH50" s="670"/>
      <c r="EI50" s="669"/>
      <c r="EJ50" s="681"/>
      <c r="EK50" s="669"/>
      <c r="EL50" s="681"/>
      <c r="EM50" s="669"/>
      <c r="EN50" s="681"/>
      <c r="EO50" s="669"/>
      <c r="EP50" s="681"/>
      <c r="EQ50" s="669"/>
      <c r="ER50" s="670"/>
      <c r="ES50" s="669"/>
      <c r="ET50" s="670"/>
      <c r="EU50" s="669"/>
      <c r="EV50" s="670"/>
      <c r="EW50" s="669"/>
      <c r="EX50" s="670"/>
      <c r="EY50" s="669"/>
      <c r="EZ50" s="670"/>
      <c r="FA50" s="669"/>
      <c r="FB50" s="670"/>
      <c r="FC50" s="669"/>
      <c r="FD50" s="670"/>
      <c r="FE50" s="669"/>
      <c r="FF50" s="670"/>
      <c r="FG50" s="669"/>
      <c r="FH50" s="670"/>
      <c r="FI50" s="669"/>
      <c r="FJ50" s="670"/>
      <c r="FK50" s="669"/>
      <c r="FL50" s="670"/>
      <c r="FM50" s="669"/>
      <c r="FN50" s="670"/>
      <c r="FO50" s="669"/>
      <c r="FP50" s="670"/>
      <c r="FQ50" s="669"/>
      <c r="FR50" s="670"/>
      <c r="FS50" s="669"/>
      <c r="FT50" s="670"/>
      <c r="FU50" s="669"/>
      <c r="FV50" s="670"/>
      <c r="FW50" s="669"/>
      <c r="FX50" s="670"/>
      <c r="FY50" s="669"/>
      <c r="FZ50" s="670"/>
      <c r="GA50" s="994"/>
    </row>
    <row r="51" spans="1:183" s="707" customFormat="1" ht="12.75" customHeight="1" x14ac:dyDescent="0.2">
      <c r="A51" s="991" t="str">
        <f>INPUT!B458</f>
        <v>Dividends</v>
      </c>
      <c r="B51" s="669"/>
      <c r="C51" s="681"/>
      <c r="D51" s="669"/>
      <c r="E51" s="671"/>
      <c r="F51" s="669"/>
      <c r="G51" s="671"/>
      <c r="H51" s="669"/>
      <c r="I51" s="671"/>
      <c r="J51" s="669"/>
      <c r="K51" s="671"/>
      <c r="L51" s="669"/>
      <c r="M51" s="671"/>
      <c r="N51" s="669"/>
      <c r="O51" s="671"/>
      <c r="P51" s="669"/>
      <c r="Q51" s="671"/>
      <c r="R51" s="669"/>
      <c r="S51" s="671"/>
      <c r="T51" s="669"/>
      <c r="U51" s="671"/>
      <c r="V51" s="669"/>
      <c r="W51" s="671"/>
      <c r="X51" s="669"/>
      <c r="Y51" s="671"/>
      <c r="Z51" s="669"/>
      <c r="AA51" s="671"/>
      <c r="AB51" s="669"/>
      <c r="AC51" s="671"/>
      <c r="AD51" s="669"/>
      <c r="AE51" s="671"/>
      <c r="AF51" s="669"/>
      <c r="AG51" s="671"/>
      <c r="AH51" s="669"/>
      <c r="AI51" s="671"/>
      <c r="AJ51" s="669"/>
      <c r="AK51" s="671"/>
      <c r="AL51" s="669"/>
      <c r="AM51" s="671"/>
      <c r="AN51" s="669"/>
      <c r="AO51" s="670"/>
      <c r="AP51" s="669"/>
      <c r="AQ51" s="670"/>
      <c r="AR51" s="669"/>
      <c r="AS51" s="670"/>
      <c r="AT51" s="669"/>
      <c r="AU51" s="670"/>
      <c r="AV51" s="669"/>
      <c r="AW51" s="670"/>
      <c r="AX51" s="669"/>
      <c r="AY51" s="670"/>
      <c r="AZ51" s="669"/>
      <c r="BA51" s="670"/>
      <c r="BB51" s="669"/>
      <c r="BC51" s="670"/>
      <c r="BD51" s="669"/>
      <c r="BE51" s="670"/>
      <c r="BF51" s="669"/>
      <c r="BG51" s="670"/>
      <c r="BH51" s="669"/>
      <c r="BI51" s="670"/>
      <c r="BJ51" s="669"/>
      <c r="BK51" s="670"/>
      <c r="BL51" s="669"/>
      <c r="BM51" s="670"/>
      <c r="BN51" s="669"/>
      <c r="BO51" s="670"/>
      <c r="BP51" s="669"/>
      <c r="BQ51" s="670"/>
      <c r="BR51" s="669"/>
      <c r="BS51" s="670"/>
      <c r="BT51" s="669"/>
      <c r="BU51" s="670"/>
      <c r="BV51" s="669"/>
      <c r="BW51" s="670"/>
      <c r="BX51" s="669"/>
      <c r="BY51" s="670"/>
      <c r="BZ51" s="669"/>
      <c r="CA51" s="670"/>
      <c r="CB51" s="669"/>
      <c r="CC51" s="670"/>
      <c r="CD51" s="669"/>
      <c r="CE51" s="670"/>
      <c r="CF51" s="669"/>
      <c r="CG51" s="670"/>
      <c r="CH51" s="669"/>
      <c r="CI51" s="670"/>
      <c r="CJ51" s="669"/>
      <c r="CK51" s="670"/>
      <c r="CL51" s="669"/>
      <c r="CM51" s="670"/>
      <c r="CN51" s="669"/>
      <c r="CO51" s="670"/>
      <c r="CP51" s="669"/>
      <c r="CQ51" s="670"/>
      <c r="CR51" s="669"/>
      <c r="CS51" s="670"/>
      <c r="CT51" s="669"/>
      <c r="CU51" s="670"/>
      <c r="CV51" s="669"/>
      <c r="CW51" s="670"/>
      <c r="CX51" s="669"/>
      <c r="CY51" s="670"/>
      <c r="CZ51" s="669"/>
      <c r="DA51" s="670"/>
      <c r="DB51" s="669"/>
      <c r="DC51" s="670"/>
      <c r="DD51" s="669"/>
      <c r="DE51" s="670"/>
      <c r="DF51" s="669"/>
      <c r="DG51" s="670"/>
      <c r="DH51" s="669"/>
      <c r="DI51" s="670"/>
      <c r="DJ51" s="669"/>
      <c r="DK51" s="670"/>
      <c r="DL51" s="669"/>
      <c r="DM51" s="670"/>
      <c r="DN51" s="669"/>
      <c r="DO51" s="670"/>
      <c r="DP51" s="669"/>
      <c r="DQ51" s="670"/>
      <c r="DR51" s="669"/>
      <c r="DS51" s="670"/>
      <c r="DT51" s="669"/>
      <c r="DU51" s="670"/>
      <c r="DV51" s="669"/>
      <c r="DW51" s="670"/>
      <c r="DX51" s="669"/>
      <c r="DY51" s="670"/>
      <c r="DZ51" s="669"/>
      <c r="EA51" s="670"/>
      <c r="EB51" s="669"/>
      <c r="EC51" s="670"/>
      <c r="ED51" s="669"/>
      <c r="EE51" s="670"/>
      <c r="EF51" s="669"/>
      <c r="EG51" s="670"/>
      <c r="EH51" s="670"/>
      <c r="EI51" s="669"/>
      <c r="EJ51" s="671"/>
      <c r="EK51" s="669"/>
      <c r="EL51" s="671"/>
      <c r="EM51" s="669"/>
      <c r="EN51" s="671"/>
      <c r="EO51" s="669"/>
      <c r="EP51" s="671"/>
      <c r="EQ51" s="669"/>
      <c r="ER51" s="670"/>
      <c r="ES51" s="669"/>
      <c r="ET51" s="670"/>
      <c r="EU51" s="669"/>
      <c r="EV51" s="670"/>
      <c r="EW51" s="669"/>
      <c r="EX51" s="670"/>
      <c r="EY51" s="669"/>
      <c r="EZ51" s="670"/>
      <c r="FA51" s="669"/>
      <c r="FB51" s="670"/>
      <c r="FC51" s="669"/>
      <c r="FD51" s="670"/>
      <c r="FE51" s="669"/>
      <c r="FF51" s="670"/>
      <c r="FG51" s="669"/>
      <c r="FH51" s="670"/>
      <c r="FI51" s="669"/>
      <c r="FJ51" s="670"/>
      <c r="FK51" s="669"/>
      <c r="FL51" s="670"/>
      <c r="FM51" s="669"/>
      <c r="FN51" s="670"/>
      <c r="FO51" s="669"/>
      <c r="FP51" s="670"/>
      <c r="FQ51" s="669"/>
      <c r="FR51" s="670"/>
      <c r="FS51" s="669"/>
      <c r="FT51" s="670"/>
      <c r="FU51" s="669"/>
      <c r="FV51" s="670"/>
      <c r="FW51" s="669"/>
      <c r="FX51" s="670"/>
      <c r="FY51" s="669"/>
      <c r="FZ51" s="670"/>
      <c r="GA51" s="988"/>
    </row>
    <row r="52" spans="1:183" s="707" customFormat="1" ht="12.75" customHeight="1" x14ac:dyDescent="0.2">
      <c r="A52" s="993" t="str">
        <f>INPUT!B459</f>
        <v>Dividends Per Share</v>
      </c>
      <c r="B52" s="698">
        <f>INPUT!M459</f>
        <v>0.14749999999999999</v>
      </c>
      <c r="C52" s="681">
        <f>INPUT!N459</f>
        <v>0</v>
      </c>
      <c r="D52" s="698">
        <f>INPUT!O459</f>
        <v>0.14749999999999999</v>
      </c>
      <c r="E52" s="671">
        <f>INPUT!P459</f>
        <v>0</v>
      </c>
      <c r="F52" s="698">
        <f>INPUT!Q459</f>
        <v>0.14749999999999999</v>
      </c>
      <c r="G52" s="671">
        <f>INPUT!R459</f>
        <v>0</v>
      </c>
      <c r="H52" s="698">
        <f>INPUT!S459</f>
        <v>0.14749999999999999</v>
      </c>
      <c r="I52" s="671">
        <f>INPUT!T459</f>
        <v>0</v>
      </c>
      <c r="J52" s="698">
        <f>INPUT!U459</f>
        <v>7.4999999999999997E-2</v>
      </c>
      <c r="K52" s="671">
        <f>INPUT!V459</f>
        <v>-49.152542372881356</v>
      </c>
      <c r="L52" s="698">
        <f>INPUT!W459</f>
        <v>7.4999999999999997E-2</v>
      </c>
      <c r="M52" s="671">
        <f>INPUT!X459</f>
        <v>-49.152542372881356</v>
      </c>
      <c r="N52" s="698">
        <f>INPUT!Y459</f>
        <v>7.4999999999999997E-2</v>
      </c>
      <c r="O52" s="671">
        <f>INPUT!Z459</f>
        <v>-49.152542372881356</v>
      </c>
      <c r="P52" s="698">
        <f>INPUT!AA459</f>
        <v>7.4999999999999997E-2</v>
      </c>
      <c r="Q52" s="671">
        <f>INPUT!AB459</f>
        <v>-49.152542372881356</v>
      </c>
      <c r="R52" s="698">
        <f>INPUT!AC459</f>
        <v>7.4999999999999997E-2</v>
      </c>
      <c r="S52" s="671">
        <f>INPUT!AD459</f>
        <v>0</v>
      </c>
      <c r="T52" s="698">
        <f>INPUT!AE459</f>
        <v>7.4999999999999997E-2</v>
      </c>
      <c r="U52" s="671">
        <f>INPUT!AF459</f>
        <v>0</v>
      </c>
      <c r="V52" s="698">
        <f>INPUT!AG459</f>
        <v>7.4999999999999997E-2</v>
      </c>
      <c r="W52" s="671">
        <f>INPUT!AH459</f>
        <v>0</v>
      </c>
      <c r="X52" s="698">
        <f>INPUT!AI459</f>
        <v>7.4999999999999997E-2</v>
      </c>
      <c r="Y52" s="671">
        <f>INPUT!AJ459</f>
        <v>0</v>
      </c>
      <c r="Z52" s="698">
        <f>INPUT!AK459</f>
        <v>7.4999999999999997E-2</v>
      </c>
      <c r="AA52" s="671">
        <f>INPUT!AL459</f>
        <v>0</v>
      </c>
      <c r="AB52" s="698">
        <f>INPUT!AM459</f>
        <v>7.4999999999999997E-2</v>
      </c>
      <c r="AC52" s="671">
        <f>INPUT!AN459</f>
        <v>0</v>
      </c>
      <c r="AD52" s="698">
        <f>INPUT!AO459</f>
        <v>7.4999999999999997E-2</v>
      </c>
      <c r="AE52" s="671">
        <f>INPUT!AP459</f>
        <v>0</v>
      </c>
      <c r="AF52" s="698">
        <f>INPUT!AQ459</f>
        <v>7.4999999999999997E-2</v>
      </c>
      <c r="AG52" s="671">
        <f>INPUT!AR459</f>
        <v>0</v>
      </c>
      <c r="AH52" s="698">
        <f>INPUT!AS459</f>
        <v>7.4999999999999997E-2</v>
      </c>
      <c r="AI52" s="671">
        <f>INPUT!AT459</f>
        <v>0</v>
      </c>
      <c r="AJ52" s="698">
        <f>INPUT!AU459</f>
        <v>7.4999999999999997E-2</v>
      </c>
      <c r="AK52" s="671">
        <f>INPUT!AV459</f>
        <v>0</v>
      </c>
      <c r="AL52" s="698">
        <f>INPUT!AW459</f>
        <v>7.4999999999999997E-2</v>
      </c>
      <c r="AM52" s="671">
        <f>INPUT!AX459</f>
        <v>0</v>
      </c>
      <c r="AN52" s="698">
        <f>INPUT!AY459</f>
        <v>7.4999999999999997E-2</v>
      </c>
      <c r="AO52" s="670">
        <f>INPUT!AZ459</f>
        <v>0</v>
      </c>
      <c r="AP52" s="698">
        <f>INPUT!BA459</f>
        <v>7.4999999999999997E-2</v>
      </c>
      <c r="AQ52" s="670">
        <f>INPUT!BB459</f>
        <v>0</v>
      </c>
      <c r="AR52" s="698">
        <f>INPUT!BC459</f>
        <v>7.4999999999999997E-2</v>
      </c>
      <c r="AS52" s="670">
        <f>INPUT!BD459</f>
        <v>0</v>
      </c>
      <c r="AT52" s="698">
        <f>INPUT!BE459</f>
        <v>7.4999999999999997E-2</v>
      </c>
      <c r="AU52" s="670">
        <f>INPUT!BF459</f>
        <v>0</v>
      </c>
      <c r="AV52" s="698">
        <f>INPUT!BG459</f>
        <v>7.4999999999999997E-2</v>
      </c>
      <c r="AW52" s="670">
        <f>INPUT!BH459</f>
        <v>0</v>
      </c>
      <c r="AX52" s="698">
        <f>INPUT!BI459</f>
        <v>7.4999999999999997E-2</v>
      </c>
      <c r="AY52" s="670">
        <f>INPUT!BJ459</f>
        <v>0</v>
      </c>
      <c r="AZ52" s="698">
        <f>INPUT!BK459</f>
        <v>7.4999999999999997E-2</v>
      </c>
      <c r="BA52" s="670">
        <f>INPUT!BL459</f>
        <v>0</v>
      </c>
      <c r="BB52" s="698">
        <f>INPUT!BM459</f>
        <v>7.4999999999999997E-2</v>
      </c>
      <c r="BC52" s="670">
        <f>INPUT!BN459</f>
        <v>0</v>
      </c>
      <c r="BD52" s="698">
        <f>INPUT!BO459</f>
        <v>7.4999999999999997E-2</v>
      </c>
      <c r="BE52" s="670">
        <f>INPUT!BP459</f>
        <v>0</v>
      </c>
      <c r="BF52" s="698">
        <f>INPUT!BQ459</f>
        <v>7.4999999999999997E-2</v>
      </c>
      <c r="BG52" s="670">
        <f>INPUT!BR459</f>
        <v>0</v>
      </c>
      <c r="BH52" s="698">
        <f>INPUT!BS459</f>
        <v>7.4999999999999997E-2</v>
      </c>
      <c r="BI52" s="670">
        <f>INPUT!BT459</f>
        <v>0</v>
      </c>
      <c r="BJ52" s="698">
        <f>INPUT!BU459</f>
        <v>8.2500000000000004E-2</v>
      </c>
      <c r="BK52" s="670">
        <f>INPUT!BV459</f>
        <v>10.000000000000009</v>
      </c>
      <c r="BL52" s="698">
        <f>INPUT!BW459</f>
        <v>8.2500000000000004E-2</v>
      </c>
      <c r="BM52" s="670">
        <f>INPUT!BX459</f>
        <v>10.000000000000009</v>
      </c>
      <c r="BN52" s="698">
        <f>INPUT!BY459</f>
        <v>8.2500000000000004E-2</v>
      </c>
      <c r="BO52" s="670">
        <f>INPUT!BZ459</f>
        <v>10.000000000000009</v>
      </c>
      <c r="BP52" s="698">
        <f>INPUT!CA459</f>
        <v>8.2500000000000004E-2</v>
      </c>
      <c r="BQ52" s="670">
        <f>INPUT!CB459</f>
        <v>10.000000000000009</v>
      </c>
      <c r="BR52" s="698">
        <f>INPUT!CC459</f>
        <v>9.2499999999999999E-2</v>
      </c>
      <c r="BS52" s="670">
        <f>INPUT!CD459</f>
        <v>12.12121212121211</v>
      </c>
      <c r="BT52" s="698">
        <f>INPUT!CE459</f>
        <v>9.2499999999999999E-2</v>
      </c>
      <c r="BU52" s="670">
        <f>INPUT!CF459</f>
        <v>12.12121212121211</v>
      </c>
      <c r="BV52" s="698">
        <f>INPUT!CG459</f>
        <v>9.2499999999999999E-2</v>
      </c>
      <c r="BW52" s="670">
        <f>INPUT!CH459</f>
        <v>12.12121212121211</v>
      </c>
      <c r="BX52" s="698">
        <f>INPUT!CI459</f>
        <v>9.2499999999999999E-2</v>
      </c>
      <c r="BY52" s="670">
        <f>INPUT!CJ459</f>
        <v>12.12121212121211</v>
      </c>
      <c r="BZ52" s="698">
        <f>INPUT!CK459</f>
        <v>0.105</v>
      </c>
      <c r="CA52" s="670">
        <f>INPUT!CL459</f>
        <v>13.513513513513509</v>
      </c>
      <c r="CB52" s="698">
        <f>INPUT!CM459</f>
        <v>0.105</v>
      </c>
      <c r="CC52" s="670">
        <f>INPUT!CN459</f>
        <v>13.513513513513509</v>
      </c>
      <c r="CD52" s="698">
        <f>INPUT!CO459</f>
        <v>0.105</v>
      </c>
      <c r="CE52" s="670">
        <f>INPUT!CP459</f>
        <v>13.513513513513509</v>
      </c>
      <c r="CF52" s="698">
        <f>INPUT!CQ459</f>
        <v>0.105</v>
      </c>
      <c r="CG52" s="670">
        <f>INPUT!CR459</f>
        <v>13.513513513513509</v>
      </c>
      <c r="CH52" s="698">
        <f>INPUT!CS459</f>
        <v>0.13</v>
      </c>
      <c r="CI52" s="670">
        <f>INPUT!CT459</f>
        <v>23.809523809523814</v>
      </c>
      <c r="CJ52" s="698">
        <f>INPUT!CU459</f>
        <v>0.13</v>
      </c>
      <c r="CK52" s="670">
        <f>INPUT!CV459</f>
        <v>23.809523809523814</v>
      </c>
      <c r="CL52" s="698">
        <f>INPUT!CW459</f>
        <v>0.13</v>
      </c>
      <c r="CM52" s="670">
        <f>INPUT!CX459</f>
        <v>23.809523809523814</v>
      </c>
      <c r="CN52" s="698">
        <f>INPUT!CY459</f>
        <v>0.14499999999999999</v>
      </c>
      <c r="CO52" s="670">
        <f>INPUT!CZ459</f>
        <v>38.095238095238095</v>
      </c>
      <c r="CP52" s="698">
        <f>INPUT!DA459</f>
        <v>0.14499999999999999</v>
      </c>
      <c r="CQ52" s="670">
        <f>INPUT!DB459</f>
        <v>11.538461538461519</v>
      </c>
      <c r="CR52" s="698">
        <f>INPUT!DC459</f>
        <v>0.14499999999999999</v>
      </c>
      <c r="CS52" s="670">
        <f>INPUT!DD459</f>
        <v>11.538461538461519</v>
      </c>
      <c r="CT52" s="698">
        <f>INPUT!DE459</f>
        <v>0.14499999999999999</v>
      </c>
      <c r="CU52" s="670">
        <f>INPUT!DF459</f>
        <v>11.538461538461519</v>
      </c>
      <c r="CV52" s="698">
        <f>INPUT!DG459</f>
        <v>0.14499999999999999</v>
      </c>
      <c r="CW52" s="670">
        <f>INPUT!DH459</f>
        <v>0</v>
      </c>
      <c r="CX52" s="698">
        <f>INPUT!DI459</f>
        <v>0.16500000000000001</v>
      </c>
      <c r="CY52" s="670">
        <f>INPUT!DJ459</f>
        <v>13.793103448275868</v>
      </c>
      <c r="CZ52" s="698">
        <f>INPUT!DK459</f>
        <v>0.16500000000000001</v>
      </c>
      <c r="DA52" s="670">
        <f>INPUT!DL459</f>
        <v>13.793103448275868</v>
      </c>
      <c r="DB52" s="698">
        <f>INPUT!DM459</f>
        <v>0.16500000000000001</v>
      </c>
      <c r="DC52" s="670">
        <f>INPUT!DN459</f>
        <v>13.793103448275868</v>
      </c>
      <c r="DD52" s="698">
        <f>INPUT!DO459</f>
        <v>0.16500000000000001</v>
      </c>
      <c r="DE52" s="670">
        <f>INPUT!DP459</f>
        <v>13.793103448275868</v>
      </c>
      <c r="DF52" s="698">
        <f>INPUT!DQ459</f>
        <v>0.16500000000000001</v>
      </c>
      <c r="DG52" s="670">
        <f>INPUT!DR459</f>
        <v>0</v>
      </c>
      <c r="DH52" s="698">
        <f>INPUT!DS459</f>
        <v>0.16500000000000001</v>
      </c>
      <c r="DI52" s="670">
        <f>INPUT!DT459</f>
        <v>0</v>
      </c>
      <c r="DJ52" s="698">
        <f>INPUT!DU459</f>
        <v>0.185</v>
      </c>
      <c r="DK52" s="670">
        <f>INPUT!DV459</f>
        <v>12.12121212121211</v>
      </c>
      <c r="DL52" s="698">
        <f>INPUT!DW459</f>
        <v>0.185</v>
      </c>
      <c r="DM52" s="670">
        <f>INPUT!DX459</f>
        <v>12.12121212121211</v>
      </c>
      <c r="DN52" s="698">
        <f>INPUT!DY459</f>
        <v>0.185</v>
      </c>
      <c r="DO52" s="670">
        <f>INPUT!DZ459</f>
        <v>12.12121212121211</v>
      </c>
      <c r="DP52" s="698">
        <f>INPUT!EA459</f>
        <v>0.19</v>
      </c>
      <c r="DQ52" s="670">
        <f>INPUT!EB459</f>
        <v>15.151515151515138</v>
      </c>
      <c r="DR52" s="698">
        <f>INPUT!EC459</f>
        <v>0.2</v>
      </c>
      <c r="DS52" s="670">
        <f>INPUT!ED459</f>
        <v>8.1081081081081141</v>
      </c>
      <c r="DT52" s="698">
        <f>INPUT!EE459</f>
        <v>0.2</v>
      </c>
      <c r="DU52" s="670">
        <f>INPUT!EF459</f>
        <v>8.1081081081081141</v>
      </c>
      <c r="DV52" s="698">
        <f>INPUT!EG459</f>
        <v>0.23</v>
      </c>
      <c r="DW52" s="670">
        <f>INPUT!EH459</f>
        <v>24.324324324324319</v>
      </c>
      <c r="DX52" s="698">
        <f>INPUT!EI459</f>
        <v>0.23</v>
      </c>
      <c r="DY52" s="670">
        <f>INPUT!EJ459</f>
        <v>21.052631578947366</v>
      </c>
      <c r="DZ52" s="698">
        <f>INPUT!EK459</f>
        <v>0.23</v>
      </c>
      <c r="EA52" s="670">
        <f>INPUT!EL459</f>
        <v>14.999999999999991</v>
      </c>
      <c r="EB52" s="698">
        <f>INPUT!EM459</f>
        <v>0.23</v>
      </c>
      <c r="EC52" s="670">
        <f>INPUT!EN459</f>
        <v>14.999999999999991</v>
      </c>
      <c r="ED52" s="698">
        <f>INPUT!EO459</f>
        <v>0.26450000000000001</v>
      </c>
      <c r="EE52" s="670">
        <f>INPUT!EP459</f>
        <v>14.999999999999991</v>
      </c>
      <c r="EF52" s="698">
        <f>INPUT!EQ459</f>
        <v>0.26450000000000001</v>
      </c>
      <c r="EG52" s="670">
        <f>INPUT!ER459</f>
        <v>14.999999999999991</v>
      </c>
      <c r="EH52" s="670"/>
      <c r="EI52" s="698">
        <f>INPUT!FB459</f>
        <v>0.59</v>
      </c>
      <c r="EJ52" s="671" t="str">
        <f>INPUT!FC459</f>
        <v>NA</v>
      </c>
      <c r="EK52" s="698">
        <f>INPUT!FD459</f>
        <v>0.59</v>
      </c>
      <c r="EL52" s="671">
        <f>INPUT!FE459</f>
        <v>0</v>
      </c>
      <c r="EM52" s="698">
        <f>INPUT!FF459</f>
        <v>0.3</v>
      </c>
      <c r="EN52" s="671">
        <f>INPUT!FG459</f>
        <v>-49.152542372881356</v>
      </c>
      <c r="EO52" s="698">
        <f>INPUT!FH459</f>
        <v>0.3</v>
      </c>
      <c r="EP52" s="671">
        <f>INPUT!FI459</f>
        <v>0</v>
      </c>
      <c r="EQ52" s="698">
        <f>INPUT!FJ459</f>
        <v>0.3</v>
      </c>
      <c r="ER52" s="670">
        <f>INPUT!FK459</f>
        <v>0</v>
      </c>
      <c r="ES52" s="698">
        <f>INPUT!FL459</f>
        <v>0.3</v>
      </c>
      <c r="ET52" s="670">
        <f>INPUT!FM459</f>
        <v>0</v>
      </c>
      <c r="EU52" s="698">
        <f>INPUT!FN459</f>
        <v>0.3</v>
      </c>
      <c r="EV52" s="670">
        <f>INPUT!FO459</f>
        <v>0</v>
      </c>
      <c r="EW52" s="698">
        <f>INPUT!FP459</f>
        <v>0.3</v>
      </c>
      <c r="EX52" s="670">
        <f>INPUT!FQ459</f>
        <v>0</v>
      </c>
      <c r="EY52" s="698">
        <f>INPUT!FR459</f>
        <v>0.315</v>
      </c>
      <c r="EZ52" s="670">
        <f>INPUT!FS459</f>
        <v>5.0000000000000044</v>
      </c>
      <c r="FA52" s="698">
        <f>INPUT!FT459</f>
        <v>0.35</v>
      </c>
      <c r="FB52" s="670">
        <f>INPUT!FU459</f>
        <v>11.111111111111093</v>
      </c>
      <c r="FC52" s="698">
        <f>INPUT!FV459</f>
        <v>0.39499999999999996</v>
      </c>
      <c r="FD52" s="670">
        <f>INPUT!FW459</f>
        <v>12.857142857142856</v>
      </c>
      <c r="FE52" s="698">
        <f>INPUT!FX459</f>
        <v>0.47</v>
      </c>
      <c r="FF52" s="670">
        <f>INPUT!FY459</f>
        <v>18.987341772151911</v>
      </c>
      <c r="FG52" s="698">
        <f>INPUT!FZ459</f>
        <v>0.56500000000000006</v>
      </c>
      <c r="FH52" s="670">
        <f>INPUT!GA459</f>
        <v>20.212765957446834</v>
      </c>
      <c r="FI52" s="698">
        <f>INPUT!GB459</f>
        <v>0.62</v>
      </c>
      <c r="FJ52" s="670">
        <f>INPUT!GC459</f>
        <v>9.7345132743362761</v>
      </c>
      <c r="FK52" s="698">
        <f>INPUT!GD459</f>
        <v>0.66</v>
      </c>
      <c r="FL52" s="670">
        <f>INPUT!GE459</f>
        <v>6.4516129032258229</v>
      </c>
      <c r="FM52" s="698">
        <f>INPUT!GF459</f>
        <v>0.74499999999999988</v>
      </c>
      <c r="FN52" s="670">
        <f>INPUT!GG459</f>
        <v>12.878787878787845</v>
      </c>
      <c r="FO52" s="698">
        <f>INPUT!GH459</f>
        <v>0.86</v>
      </c>
      <c r="FP52" s="670">
        <f>INPUT!GI459</f>
        <v>15.436241610738266</v>
      </c>
      <c r="FQ52" s="698">
        <f>INPUT!GJ459</f>
        <v>0.9890000000000001</v>
      </c>
      <c r="FR52" s="670">
        <f>INPUT!GK459</f>
        <v>15.000000000000014</v>
      </c>
      <c r="FS52" s="698">
        <f>INPUT!GL459</f>
        <v>1.0879000000000001</v>
      </c>
      <c r="FT52" s="670">
        <f>INPUT!GM459</f>
        <v>9.9999999999999858</v>
      </c>
      <c r="FU52" s="698">
        <f>INPUT!GN459</f>
        <v>1.1966900000000003</v>
      </c>
      <c r="FV52" s="670">
        <f>INPUT!GO459</f>
        <v>10.000000000000009</v>
      </c>
      <c r="FW52" s="698">
        <f>INPUT!GP459</f>
        <v>1.3163590000000003</v>
      </c>
      <c r="FX52" s="670">
        <f>INPUT!GQ459</f>
        <v>10.000000000000009</v>
      </c>
      <c r="FY52" s="698">
        <f>INPUT!GR459</f>
        <v>1.4479949000000005</v>
      </c>
      <c r="FZ52" s="670">
        <f>INPUT!GS459</f>
        <v>10.000000000000009</v>
      </c>
      <c r="GA52" s="988">
        <f>INPUT!GT459</f>
        <v>10.98229879791961</v>
      </c>
    </row>
    <row r="53" spans="1:183" s="707" customFormat="1" ht="12.75" customHeight="1" x14ac:dyDescent="0.2">
      <c r="A53" s="1011" t="str">
        <f>INPUT!B460</f>
        <v>Dividend Payout Ratio (%)</v>
      </c>
      <c r="B53" s="1012">
        <f>INPUT!M460</f>
        <v>24.583333333333332</v>
      </c>
      <c r="C53" s="1013">
        <f>INPUT!N460</f>
        <v>25</v>
      </c>
      <c r="D53" s="1012">
        <f>INPUT!O460</f>
        <v>24.180327868852459</v>
      </c>
      <c r="E53" s="1014">
        <f>INPUT!P460</f>
        <v>-1.6393442622950838</v>
      </c>
      <c r="F53" s="1012">
        <f>INPUT!Q460</f>
        <v>23.79032258064516</v>
      </c>
      <c r="G53" s="1014">
        <f>INPUT!R460</f>
        <v>-27.419354838709687</v>
      </c>
      <c r="H53" s="1012">
        <f>INPUT!S460</f>
        <v>23.79032258064516</v>
      </c>
      <c r="I53" s="1014">
        <f>INPUT!T460</f>
        <v>-1.6129032258064502</v>
      </c>
      <c r="J53" s="1012">
        <f>INPUT!U460</f>
        <v>-9.3749999999999982</v>
      </c>
      <c r="K53" s="1014" t="str">
        <f>INPUT!V460</f>
        <v>NM</v>
      </c>
      <c r="L53" s="1012">
        <f>INPUT!W460</f>
        <v>18.292682926829269</v>
      </c>
      <c r="M53" s="1014">
        <f>INPUT!X460</f>
        <v>-24.348904505994206</v>
      </c>
      <c r="N53" s="1012">
        <f>INPUT!Y460</f>
        <v>19.736842105263158</v>
      </c>
      <c r="O53" s="1014">
        <f>INPUT!Z460</f>
        <v>-17.038358608385373</v>
      </c>
      <c r="P53" s="1012">
        <f>INPUT!AA460</f>
        <v>-12.096774193548386</v>
      </c>
      <c r="Q53" s="1014" t="str">
        <f>INPUT!AB460</f>
        <v>NM</v>
      </c>
      <c r="R53" s="1012">
        <f>INPUT!AC460</f>
        <v>-3.7878787878787881</v>
      </c>
      <c r="S53" s="1014" t="str">
        <f>INPUT!AD460</f>
        <v>NM</v>
      </c>
      <c r="T53" s="1012">
        <f>INPUT!AE460</f>
        <v>17.441860465116278</v>
      </c>
      <c r="U53" s="1014">
        <f>INPUT!AF460</f>
        <v>-4.6511627906976827</v>
      </c>
      <c r="V53" s="1012">
        <f>INPUT!AG460</f>
        <v>17.857142857142858</v>
      </c>
      <c r="W53" s="1014">
        <f>INPUT!AH460</f>
        <v>-9.5238095238095237</v>
      </c>
      <c r="X53" s="1012">
        <f>INPUT!AI460</f>
        <v>19.23076923076923</v>
      </c>
      <c r="Y53" s="1014" t="str">
        <f>INPUT!AJ460</f>
        <v>NM</v>
      </c>
      <c r="Z53" s="1012">
        <f>INPUT!AK460</f>
        <v>15</v>
      </c>
      <c r="AA53" s="1014" t="str">
        <f>INPUT!AL460</f>
        <v>NM</v>
      </c>
      <c r="AB53" s="1012">
        <f>INPUT!AM460</f>
        <v>17.857142857142858</v>
      </c>
      <c r="AC53" s="1014">
        <f>INPUT!AN460</f>
        <v>2.3809523809523947</v>
      </c>
      <c r="AD53" s="1012">
        <f>INPUT!AO460</f>
        <v>17.441860465116278</v>
      </c>
      <c r="AE53" s="1014">
        <f>INPUT!AP460</f>
        <v>-2.3255813953488413</v>
      </c>
      <c r="AF53" s="1012">
        <f>INPUT!AQ460</f>
        <v>17.857142857142858</v>
      </c>
      <c r="AG53" s="1014">
        <f>INPUT!AR460</f>
        <v>-7.1428571428571397</v>
      </c>
      <c r="AH53" s="1012">
        <f>INPUT!AS460</f>
        <v>17.857142857142858</v>
      </c>
      <c r="AI53" s="1014">
        <f>INPUT!AT460</f>
        <v>19.047619047619047</v>
      </c>
      <c r="AJ53" s="1012">
        <f>INPUT!AU460</f>
        <v>17.441860465116278</v>
      </c>
      <c r="AK53" s="1014">
        <f>INPUT!AV460</f>
        <v>-2.3255813953488413</v>
      </c>
      <c r="AL53" s="1012">
        <f>INPUT!AW460</f>
        <v>16.304347826086953</v>
      </c>
      <c r="AM53" s="1014">
        <f>INPUT!AX460</f>
        <v>-6.5217391304348009</v>
      </c>
      <c r="AN53" s="1012">
        <f>INPUT!AY460</f>
        <v>14.423076923076922</v>
      </c>
      <c r="AO53" s="1015">
        <f>INPUT!AZ460</f>
        <v>-19.230769230769241</v>
      </c>
      <c r="AP53" s="1012">
        <f>INPUT!BA460</f>
        <v>15</v>
      </c>
      <c r="AQ53" s="1015">
        <f>INPUT!BB460</f>
        <v>-16.000000000000004</v>
      </c>
      <c r="AR53" s="1012">
        <f>INPUT!BC460</f>
        <v>14.705882352941178</v>
      </c>
      <c r="AS53" s="1015">
        <f>INPUT!BD460</f>
        <v>-15.68627450980391</v>
      </c>
      <c r="AT53" s="1012">
        <f>INPUT!BE460</f>
        <v>12.5</v>
      </c>
      <c r="AU53" s="1015">
        <f>INPUT!BF460</f>
        <v>-23.333333333333318</v>
      </c>
      <c r="AV53" s="1012">
        <f>INPUT!BG460</f>
        <v>12.711864406779661</v>
      </c>
      <c r="AW53" s="1015">
        <f>INPUT!BH460</f>
        <v>-11.864406779661007</v>
      </c>
      <c r="AX53" s="1012">
        <f>INPUT!BI460</f>
        <v>12.711864406779661</v>
      </c>
      <c r="AY53" s="1015">
        <f>INPUT!BJ460</f>
        <v>-15.254237288135597</v>
      </c>
      <c r="AZ53" s="1012">
        <f>INPUT!BK460</f>
        <v>11.538461538461538</v>
      </c>
      <c r="BA53" s="1015">
        <f>INPUT!BL460</f>
        <v>-21.53846153846154</v>
      </c>
      <c r="BB53" s="1012">
        <f>INPUT!BM460</f>
        <v>11.71875</v>
      </c>
      <c r="BC53" s="1015">
        <f>INPUT!BN460</f>
        <v>-6.25</v>
      </c>
      <c r="BD53" s="1012">
        <f>INPUT!BO460</f>
        <v>11.904761904761903</v>
      </c>
      <c r="BE53" s="1015">
        <f>INPUT!BP460</f>
        <v>-6.3492063492063604</v>
      </c>
      <c r="BF53" s="1012">
        <f>INPUT!BQ460</f>
        <v>12.096774193548386</v>
      </c>
      <c r="BG53" s="1015">
        <f>INPUT!BR460</f>
        <v>-4.8387096774193612</v>
      </c>
      <c r="BH53" s="1012">
        <f>INPUT!BS460</f>
        <v>11.538461538461538</v>
      </c>
      <c r="BI53" s="1015">
        <f>INPUT!BT460</f>
        <v>0</v>
      </c>
      <c r="BJ53" s="1012">
        <f>INPUT!BU460</f>
        <v>12.890625</v>
      </c>
      <c r="BK53" s="1015">
        <f>INPUT!BV460</f>
        <v>10.000000000000009</v>
      </c>
      <c r="BL53" s="1012">
        <f>INPUT!BW460</f>
        <v>12.5</v>
      </c>
      <c r="BM53" s="1015">
        <f>INPUT!BX460</f>
        <v>5.0000000000000044</v>
      </c>
      <c r="BN53" s="1012">
        <f>INPUT!BY460</f>
        <v>12.142889854368931</v>
      </c>
      <c r="BO53" s="1015">
        <f>INPUT!BZ460</f>
        <v>0.38122279611649823</v>
      </c>
      <c r="BP53" s="1012">
        <f>INPUT!CA460</f>
        <v>11.818878677419356</v>
      </c>
      <c r="BQ53" s="1015">
        <f>INPUT!CB460</f>
        <v>2.4302818709677432</v>
      </c>
      <c r="BR53" s="1012">
        <f>INPUT!CC460</f>
        <v>13.440750403045223</v>
      </c>
      <c r="BS53" s="1015">
        <f>INPUT!CD460</f>
        <v>4.2676394902902093</v>
      </c>
      <c r="BT53" s="1012">
        <f>INPUT!CE460</f>
        <v>13.875563801224661</v>
      </c>
      <c r="BU53" s="1015">
        <f>INPUT!CF460</f>
        <v>11.004510409797286</v>
      </c>
      <c r="BV53" s="1012">
        <f>INPUT!CG460</f>
        <v>13.270533693518949</v>
      </c>
      <c r="BW53" s="1015">
        <f>INPUT!CH460</f>
        <v>9.2864536586758195</v>
      </c>
      <c r="BX53" s="1012">
        <f>INPUT!CI460</f>
        <v>12.100218795744674</v>
      </c>
      <c r="BY53" s="1015">
        <f>INPUT!CJ460</f>
        <v>2.3804298699066528</v>
      </c>
      <c r="BZ53" s="1012">
        <f>INPUT!CK460</f>
        <v>14.080302330793366</v>
      </c>
      <c r="CA53" s="1015">
        <f>INPUT!CL460</f>
        <v>4.7583052178637342</v>
      </c>
      <c r="CB53" s="1012">
        <f>INPUT!CM460</f>
        <v>-8.6118733970707826</v>
      </c>
      <c r="CC53" s="1015" t="str">
        <f>INPUT!CN460</f>
        <v>NM</v>
      </c>
      <c r="CD53" s="1012">
        <f>INPUT!CO460</f>
        <v>14.34560214821764</v>
      </c>
      <c r="CE53" s="1015">
        <f>INPUT!CP460</f>
        <v>8.1011697006860608</v>
      </c>
      <c r="CF53" s="1012">
        <f>INPUT!CQ460</f>
        <v>13.223598029294278</v>
      </c>
      <c r="CG53" s="1015">
        <f>INPUT!CR460</f>
        <v>9.2839580218555096</v>
      </c>
      <c r="CH53" s="1012">
        <f>INPUT!CS460</f>
        <v>16.16358708482143</v>
      </c>
      <c r="CI53" s="1015">
        <f>INPUT!CT460</f>
        <v>14.79573879228402</v>
      </c>
      <c r="CJ53" s="1012">
        <f>INPUT!CU460</f>
        <v>15.808000000000005</v>
      </c>
      <c r="CK53" s="1015" t="str">
        <f>INPUT!CV460</f>
        <v>NM</v>
      </c>
      <c r="CL53" s="1012">
        <f>INPUT!CW460</f>
        <v>16.523775905030554</v>
      </c>
      <c r="CM53" s="1015">
        <f>INPUT!CX460</f>
        <v>15.183564512023917</v>
      </c>
      <c r="CN53" s="1012">
        <f>INPUT!CY460</f>
        <v>17.914202774432614</v>
      </c>
      <c r="CO53" s="1015">
        <f>INPUT!CZ460</f>
        <v>35.471471037967305</v>
      </c>
      <c r="CP53" s="1012">
        <f>INPUT!DA460</f>
        <v>17.291383810920575</v>
      </c>
      <c r="CQ53" s="1015">
        <f>INPUT!DB460</f>
        <v>6.9773913437705559</v>
      </c>
      <c r="CR53" s="1012">
        <f>INPUT!DC460</f>
        <v>17.768082127858147</v>
      </c>
      <c r="CS53" s="1015">
        <f>INPUT!DD460</f>
        <v>12.399304958616785</v>
      </c>
      <c r="CT53" s="1012">
        <f>INPUT!DE460</f>
        <v>16.981805929919155</v>
      </c>
      <c r="CU53" s="1015">
        <f>INPUT!DF460</f>
        <v>2.7719452715959214</v>
      </c>
      <c r="CV53" s="1012">
        <f>INPUT!DG460</f>
        <v>16.898102123813825</v>
      </c>
      <c r="CW53" s="1015">
        <f>INPUT!DH460</f>
        <v>-5.6720394617224112</v>
      </c>
      <c r="CX53" s="1012">
        <f>INPUT!DI460</f>
        <v>19.188498402555908</v>
      </c>
      <c r="CY53" s="1015">
        <f>INPUT!DJ460</f>
        <v>10.971444578294465</v>
      </c>
      <c r="CZ53" s="1012">
        <f>INPUT!DK460</f>
        <v>-18.178088171104321</v>
      </c>
      <c r="DA53" s="1015" t="str">
        <f>INPUT!DL460</f>
        <v>NM</v>
      </c>
      <c r="DB53" s="1012">
        <f>INPUT!DM460</f>
        <v>18.668909825033641</v>
      </c>
      <c r="DC53" s="1015">
        <f>INPUT!DN460</f>
        <v>9.9347731453112829</v>
      </c>
      <c r="DD53" s="1012">
        <f>INPUT!DO460</f>
        <v>18.646645512239353</v>
      </c>
      <c r="DE53" s="1015">
        <f>INPUT!DP460</f>
        <v>10.347572618592338</v>
      </c>
      <c r="DF53" s="1012">
        <f>INPUT!DQ460</f>
        <v>18.380597014925357</v>
      </c>
      <c r="DG53" s="1015">
        <f>INPUT!DR460</f>
        <v>-4.2103418969091315</v>
      </c>
      <c r="DH53" s="1012">
        <f>INPUT!DS460</f>
        <v>17.597112860892398</v>
      </c>
      <c r="DI53" s="1015" t="str">
        <f>INPUT!DT460</f>
        <v>NM</v>
      </c>
      <c r="DJ53" s="1012">
        <f>INPUT!DU460</f>
        <v>19.778991971454076</v>
      </c>
      <c r="DK53" s="1015">
        <f>INPUT!DV460</f>
        <v>5.9461540969676596</v>
      </c>
      <c r="DL53" s="1012">
        <f>INPUT!DW460</f>
        <v>18.841416309012885</v>
      </c>
      <c r="DM53" s="1015">
        <f>INPUT!DX460</f>
        <v>1.0445353114354461</v>
      </c>
      <c r="DN53" s="1012">
        <f>INPUT!DY460</f>
        <v>18.944905990380395</v>
      </c>
      <c r="DO53" s="1015">
        <f>INPUT!DZ460</f>
        <v>3.0701340930156418</v>
      </c>
      <c r="DP53" s="1012">
        <f>INPUT!EA460</f>
        <v>19.223334784501528</v>
      </c>
      <c r="DQ53" s="1015">
        <f>INPUT!EB460</f>
        <v>9.2414132731013297</v>
      </c>
      <c r="DR53" s="1012">
        <f>INPUT!EC460</f>
        <v>19.517153748411715</v>
      </c>
      <c r="DS53" s="1015">
        <f>INPUT!ED460</f>
        <v>-1.3238198560384551</v>
      </c>
      <c r="DT53" s="1012">
        <f>INPUT!EE460</f>
        <v>18.985024958402654</v>
      </c>
      <c r="DU53" s="1015">
        <f>INPUT!EF460</f>
        <v>0.76219667903136834</v>
      </c>
      <c r="DV53" s="1012">
        <f>INPUT!EG460</f>
        <v>21.173116089613043</v>
      </c>
      <c r="DW53" s="1015">
        <f>INPUT!EH460</f>
        <v>11.761526292946822</v>
      </c>
      <c r="DX53" s="1012">
        <f>INPUT!EI460</f>
        <v>20.388012618296546</v>
      </c>
      <c r="DY53" s="1015">
        <f>INPUT!EJ460</f>
        <v>6.0586669631016221</v>
      </c>
      <c r="DZ53" s="1012">
        <f>INPUT!EK460</f>
        <v>18.08137200968995</v>
      </c>
      <c r="EA53" s="1015">
        <f>INPUT!EL460</f>
        <v>-7.3565119034767479</v>
      </c>
      <c r="EB53" s="1012">
        <f>INPUT!EM460</f>
        <v>17.808820878474524</v>
      </c>
      <c r="EC53" s="1015">
        <f>INPUT!EN460</f>
        <v>-6.1954307803401054</v>
      </c>
      <c r="ED53" s="1012">
        <f>INPUT!EO460</f>
        <v>20.225554226413617</v>
      </c>
      <c r="EE53" s="1015">
        <f>INPUT!EP460</f>
        <v>-4.4753066066844704</v>
      </c>
      <c r="EF53" s="1012">
        <f>INPUT!EQ460</f>
        <v>19.925092318665559</v>
      </c>
      <c r="EG53" s="1015">
        <f>INPUT!ER460</f>
        <v>-2.2705513690704393</v>
      </c>
      <c r="EH53" s="1015"/>
      <c r="EI53" s="1012">
        <f>INPUT!FB460</f>
        <v>-60.204081632653065</v>
      </c>
      <c r="EJ53" s="1014" t="str">
        <f>INPUT!FC460</f>
        <v>NA</v>
      </c>
      <c r="EK53" s="1012">
        <f>INPUT!FD460</f>
        <v>19.032258064516128</v>
      </c>
      <c r="EL53" s="1014" t="str">
        <f>INPUT!FE460</f>
        <v>NM</v>
      </c>
      <c r="EM53" s="1012">
        <f>INPUT!FF460</f>
        <v>200</v>
      </c>
      <c r="EN53" s="1014" t="str">
        <f>INPUT!FG460</f>
        <v>NM</v>
      </c>
      <c r="EO53" s="1012">
        <f>INPUT!FH460</f>
        <v>-157.89473684210526</v>
      </c>
      <c r="EP53" s="1014" t="str">
        <f>INPUT!FI460</f>
        <v>NM</v>
      </c>
      <c r="EQ53" s="1012">
        <f>INPUT!FJ460</f>
        <v>16.949152542372879</v>
      </c>
      <c r="ER53" s="1015" t="str">
        <f>INPUT!FK460</f>
        <v>NM</v>
      </c>
      <c r="ES53" s="1012">
        <f>INPUT!FL460</f>
        <v>16.393442622950818</v>
      </c>
      <c r="ET53" s="1015">
        <f>INPUT!FM460</f>
        <v>-3.2786885245901565</v>
      </c>
      <c r="EU53" s="1012">
        <f>INPUT!FN460</f>
        <v>13.574660633484163</v>
      </c>
      <c r="EV53" s="1015">
        <f>INPUT!FO460</f>
        <v>-17.194570135746602</v>
      </c>
      <c r="EW53" s="1012">
        <f>INPUT!FP460</f>
        <v>11.952191235059761</v>
      </c>
      <c r="EX53" s="1015">
        <f>INPUT!FQ460</f>
        <v>-11.952191235059761</v>
      </c>
      <c r="EY53" s="1012">
        <f>INPUT!FR460</f>
        <v>12.162162162162163</v>
      </c>
      <c r="EZ53" s="1015">
        <f>INPUT!FS460</f>
        <v>1.7567567567567721</v>
      </c>
      <c r="FA53" s="1012">
        <f>INPUT!FT460</f>
        <v>12.806981147311959</v>
      </c>
      <c r="FB53" s="1015">
        <f>INPUT!FU460</f>
        <v>5.3018449890094299</v>
      </c>
      <c r="FC53" s="1012">
        <f>INPUT!FV460</f>
        <v>39.19549834116696</v>
      </c>
      <c r="FD53" s="1015" t="str">
        <f>INPUT!FW460</f>
        <v>NM</v>
      </c>
      <c r="FE53" s="1012">
        <f>INPUT!FX460</f>
        <v>15.029328821209711</v>
      </c>
      <c r="FF53" s="1015" t="str">
        <f>INPUT!FY460</f>
        <v>NM</v>
      </c>
      <c r="FG53" s="1012">
        <f>INPUT!FZ460</f>
        <v>17.383810561885486</v>
      </c>
      <c r="FH53" s="1015">
        <f>INPUT!GA460</f>
        <v>15.665914084952881</v>
      </c>
      <c r="FI53" s="1012">
        <f>INPUT!GB460</f>
        <v>36.644157640009219</v>
      </c>
      <c r="FJ53" s="1015" t="str">
        <f>INPUT!GC460</f>
        <v>NM</v>
      </c>
      <c r="FK53" s="1012">
        <f>INPUT!GD460</f>
        <v>18.31773399014779</v>
      </c>
      <c r="FL53" s="1015" t="str">
        <f>INPUT!GE460</f>
        <v>NM</v>
      </c>
      <c r="FM53" s="1012">
        <f>INPUT!GF460</f>
        <v>19.1945718654434</v>
      </c>
      <c r="FN53" s="1015">
        <f>INPUT!GG460</f>
        <v>4.7868250285063585</v>
      </c>
      <c r="FO53" s="1012">
        <f>INPUT!GH460</f>
        <v>20.041102911029114</v>
      </c>
      <c r="FP53" s="1015">
        <f>INPUT!GI460</f>
        <v>4.410262711354096</v>
      </c>
      <c r="FQ53" s="1012">
        <f>INPUT!GJ460</f>
        <v>19.026672434849463</v>
      </c>
      <c r="FR53" s="1015">
        <f>INPUT!GK460</f>
        <v>-5.0617497484202083</v>
      </c>
      <c r="FS53" s="1012">
        <f>INPUT!GL460</f>
        <v>19.762985307551162</v>
      </c>
      <c r="FT53" s="1015">
        <f>INPUT!GM460</f>
        <v>3.8698982978918606</v>
      </c>
      <c r="FU53" s="1012">
        <f>INPUT!GN460</f>
        <v>20.439829823503398</v>
      </c>
      <c r="FV53" s="1015">
        <f>INPUT!GO460</f>
        <v>3.4248090833403744</v>
      </c>
      <c r="FW53" s="1012">
        <f>INPUT!GP460</f>
        <v>21.077758355842789</v>
      </c>
      <c r="FX53" s="1015">
        <f>INPUT!GQ460</f>
        <v>3.1210070624259734</v>
      </c>
      <c r="FY53" s="1012">
        <f>INPUT!GR460</f>
        <v>21.770963767232089</v>
      </c>
      <c r="FZ53" s="1015">
        <f>INPUT!GS460</f>
        <v>3.2888004487305667</v>
      </c>
      <c r="GA53" s="1016">
        <f>INPUT!GT460</f>
        <v>1.6696216463231384</v>
      </c>
    </row>
    <row r="54" spans="1:183" s="707" customFormat="1" ht="12.75" customHeight="1" x14ac:dyDescent="0.2">
      <c r="A54" s="679"/>
      <c r="B54" s="669"/>
      <c r="C54" s="681"/>
      <c r="D54" s="669"/>
      <c r="E54" s="671"/>
      <c r="F54" s="669"/>
      <c r="G54" s="671"/>
      <c r="H54" s="669"/>
      <c r="I54" s="671"/>
      <c r="J54" s="669"/>
      <c r="K54" s="671"/>
      <c r="L54" s="669"/>
      <c r="M54" s="671"/>
      <c r="N54" s="669"/>
      <c r="O54" s="671"/>
      <c r="P54" s="669"/>
      <c r="Q54" s="671"/>
      <c r="R54" s="669"/>
      <c r="S54" s="671"/>
      <c r="T54" s="669"/>
      <c r="U54" s="671"/>
      <c r="V54" s="669"/>
      <c r="W54" s="671"/>
      <c r="X54" s="669"/>
      <c r="Y54" s="671"/>
      <c r="Z54" s="669"/>
      <c r="AA54" s="671"/>
      <c r="AB54" s="669"/>
      <c r="AC54" s="671"/>
      <c r="AD54" s="669"/>
      <c r="AE54" s="671"/>
      <c r="AF54" s="669"/>
      <c r="AG54" s="671"/>
      <c r="AH54" s="669"/>
      <c r="AI54" s="671"/>
      <c r="AJ54" s="669"/>
      <c r="AK54" s="671"/>
      <c r="AL54" s="669"/>
      <c r="AM54" s="671"/>
      <c r="AN54" s="669"/>
      <c r="AO54" s="670"/>
      <c r="AP54" s="669"/>
      <c r="AQ54" s="670"/>
      <c r="AR54" s="669"/>
      <c r="AS54" s="670"/>
      <c r="AT54" s="669"/>
      <c r="AU54" s="670"/>
      <c r="AV54" s="669"/>
      <c r="AW54" s="670"/>
      <c r="AX54" s="669"/>
      <c r="AY54" s="670"/>
      <c r="AZ54" s="669"/>
      <c r="BA54" s="670"/>
      <c r="BB54" s="669"/>
      <c r="BC54" s="670"/>
      <c r="BD54" s="669"/>
      <c r="BE54" s="670"/>
      <c r="BF54" s="669"/>
      <c r="BG54" s="670"/>
      <c r="BH54" s="669"/>
      <c r="BI54" s="670"/>
      <c r="BJ54" s="669"/>
      <c r="BK54" s="670"/>
      <c r="BL54" s="669"/>
      <c r="BM54" s="670"/>
      <c r="BN54" s="669"/>
      <c r="BO54" s="670"/>
      <c r="BP54" s="669"/>
      <c r="BQ54" s="670"/>
      <c r="BR54" s="669"/>
      <c r="BS54" s="670"/>
      <c r="BT54" s="669"/>
      <c r="BU54" s="670"/>
      <c r="BV54" s="669"/>
      <c r="BW54" s="670"/>
      <c r="BX54" s="669"/>
      <c r="BY54" s="670"/>
      <c r="BZ54" s="669"/>
      <c r="CA54" s="670"/>
      <c r="CB54" s="669"/>
      <c r="CC54" s="670"/>
      <c r="CD54" s="669"/>
      <c r="CE54" s="670"/>
      <c r="CF54" s="669"/>
      <c r="CG54" s="670"/>
      <c r="CH54" s="669"/>
      <c r="CI54" s="670"/>
      <c r="CJ54" s="669"/>
      <c r="CK54" s="670"/>
      <c r="CL54" s="669"/>
      <c r="CM54" s="670"/>
      <c r="CN54" s="669"/>
      <c r="CO54" s="670"/>
      <c r="CP54" s="669"/>
      <c r="CQ54" s="670"/>
      <c r="CR54" s="669"/>
      <c r="CS54" s="670"/>
      <c r="CT54" s="669"/>
      <c r="CU54" s="670"/>
      <c r="CV54" s="669"/>
      <c r="CW54" s="670"/>
      <c r="CX54" s="669"/>
      <c r="CY54" s="670"/>
      <c r="CZ54" s="669"/>
      <c r="DA54" s="670"/>
      <c r="DB54" s="669"/>
      <c r="DC54" s="670"/>
      <c r="DD54" s="669"/>
      <c r="DE54" s="670"/>
      <c r="DF54" s="669"/>
      <c r="DG54" s="670"/>
      <c r="DH54" s="669"/>
      <c r="DI54" s="670"/>
      <c r="DJ54" s="669"/>
      <c r="DK54" s="670"/>
      <c r="DL54" s="669"/>
      <c r="DM54" s="670"/>
      <c r="DN54" s="669"/>
      <c r="DO54" s="670"/>
      <c r="DP54" s="669"/>
      <c r="DQ54" s="670"/>
      <c r="DR54" s="669"/>
      <c r="DS54" s="670"/>
      <c r="DT54" s="669"/>
      <c r="DU54" s="670"/>
      <c r="DV54" s="669"/>
      <c r="DW54" s="670"/>
      <c r="DX54" s="669"/>
      <c r="DY54" s="670"/>
      <c r="DZ54" s="669"/>
      <c r="EA54" s="670"/>
      <c r="EB54" s="669"/>
      <c r="EC54" s="670"/>
      <c r="ED54" s="669"/>
      <c r="EE54" s="670"/>
      <c r="EF54" s="669"/>
      <c r="EG54" s="670"/>
      <c r="EH54" s="670"/>
      <c r="EI54" s="669"/>
      <c r="EJ54" s="671"/>
      <c r="EK54" s="669"/>
      <c r="EL54" s="671"/>
      <c r="EM54" s="669"/>
      <c r="EN54" s="671"/>
      <c r="EO54" s="669"/>
      <c r="EP54" s="671"/>
      <c r="EQ54" s="669"/>
      <c r="ER54" s="670"/>
      <c r="ES54" s="669"/>
      <c r="ET54" s="670"/>
      <c r="EU54" s="669"/>
      <c r="EV54" s="670"/>
      <c r="EW54" s="669"/>
      <c r="EX54" s="670"/>
      <c r="EY54" s="669"/>
      <c r="EZ54" s="670"/>
      <c r="FA54" s="669"/>
      <c r="FB54" s="670"/>
      <c r="FC54" s="669"/>
      <c r="FD54" s="670"/>
      <c r="FE54" s="669"/>
      <c r="FF54" s="670"/>
      <c r="FG54" s="669"/>
      <c r="FH54" s="670"/>
      <c r="FI54" s="669"/>
      <c r="FJ54" s="670"/>
      <c r="FK54" s="669"/>
      <c r="FL54" s="670"/>
      <c r="FM54" s="669"/>
      <c r="FN54" s="670"/>
      <c r="FO54" s="669"/>
      <c r="FP54" s="670"/>
      <c r="FQ54" s="669"/>
      <c r="FR54" s="670"/>
      <c r="FS54" s="669"/>
      <c r="FT54" s="670"/>
      <c r="FU54" s="669"/>
      <c r="FV54" s="670"/>
      <c r="FW54" s="669"/>
      <c r="FX54" s="670"/>
      <c r="FY54" s="669"/>
      <c r="FZ54" s="670"/>
      <c r="GA54" s="671"/>
    </row>
    <row r="55" spans="1:183" s="707" customFormat="1" ht="12.75" customHeight="1" x14ac:dyDescent="0.2">
      <c r="A55" s="701" t="s">
        <v>129</v>
      </c>
      <c r="B55" s="669"/>
      <c r="C55" s="671"/>
      <c r="D55" s="669"/>
      <c r="E55" s="671"/>
      <c r="F55" s="669"/>
      <c r="G55" s="671"/>
      <c r="H55" s="669"/>
      <c r="I55" s="671"/>
      <c r="J55" s="669"/>
      <c r="K55" s="671"/>
      <c r="L55" s="669"/>
      <c r="M55" s="671"/>
      <c r="N55" s="669"/>
      <c r="O55" s="671"/>
      <c r="P55" s="669"/>
      <c r="Q55" s="671"/>
      <c r="R55" s="669"/>
      <c r="S55" s="671"/>
      <c r="T55" s="669"/>
      <c r="U55" s="671"/>
      <c r="V55" s="669"/>
      <c r="W55" s="671"/>
      <c r="X55" s="669"/>
      <c r="Y55" s="671"/>
      <c r="Z55" s="669"/>
      <c r="AA55" s="671"/>
      <c r="AB55" s="669"/>
      <c r="AC55" s="671"/>
      <c r="AD55" s="669"/>
      <c r="AE55" s="671"/>
      <c r="AF55" s="669"/>
      <c r="AG55" s="671"/>
      <c r="AH55" s="669"/>
      <c r="AI55" s="671"/>
      <c r="AJ55" s="669"/>
      <c r="AK55" s="671"/>
      <c r="AL55" s="669"/>
      <c r="AM55" s="671"/>
      <c r="AN55" s="669"/>
      <c r="AO55" s="670"/>
      <c r="AP55" s="669"/>
      <c r="AQ55" s="670"/>
      <c r="AR55" s="669"/>
      <c r="AS55" s="670"/>
      <c r="AT55" s="669"/>
      <c r="AU55" s="670"/>
      <c r="AV55" s="669"/>
      <c r="AW55" s="670"/>
      <c r="AX55" s="669"/>
      <c r="AY55" s="670"/>
      <c r="AZ55" s="669"/>
      <c r="BA55" s="670"/>
      <c r="BB55" s="669"/>
      <c r="BC55" s="670"/>
      <c r="BD55" s="669"/>
      <c r="BE55" s="670"/>
      <c r="BF55" s="669"/>
      <c r="BG55" s="670"/>
      <c r="BH55" s="669"/>
      <c r="BI55" s="670"/>
      <c r="BJ55" s="669"/>
      <c r="BK55" s="670"/>
      <c r="BL55" s="669"/>
      <c r="BM55" s="670"/>
      <c r="BN55" s="669"/>
      <c r="BO55" s="670"/>
      <c r="BP55" s="669"/>
      <c r="BQ55" s="670"/>
      <c r="BR55" s="669"/>
      <c r="BS55" s="670"/>
      <c r="BT55" s="669"/>
      <c r="BU55" s="670"/>
      <c r="BV55" s="669"/>
      <c r="BW55" s="670"/>
      <c r="BX55" s="669"/>
      <c r="BY55" s="670"/>
      <c r="BZ55" s="669"/>
      <c r="CA55" s="670"/>
      <c r="CB55" s="669"/>
      <c r="CC55" s="670"/>
      <c r="CD55" s="669"/>
      <c r="CE55" s="670"/>
      <c r="CF55" s="669"/>
      <c r="CG55" s="670"/>
      <c r="CH55" s="669"/>
      <c r="CI55" s="670"/>
      <c r="CJ55" s="669"/>
      <c r="CK55" s="670"/>
      <c r="CL55" s="669"/>
      <c r="CM55" s="670"/>
      <c r="CN55" s="669"/>
      <c r="CO55" s="670"/>
      <c r="CP55" s="669"/>
      <c r="CQ55" s="670"/>
      <c r="CR55" s="669"/>
      <c r="CS55" s="670"/>
      <c r="CT55" s="669"/>
      <c r="CU55" s="670"/>
      <c r="CV55" s="669"/>
      <c r="CW55" s="670"/>
      <c r="CX55" s="669"/>
      <c r="CY55" s="670"/>
      <c r="CZ55" s="669"/>
      <c r="DA55" s="670"/>
      <c r="DB55" s="669"/>
      <c r="DC55" s="670"/>
      <c r="DD55" s="669"/>
      <c r="DE55" s="670"/>
      <c r="DF55" s="669"/>
      <c r="DG55" s="670"/>
      <c r="DH55" s="669"/>
      <c r="DI55" s="670"/>
      <c r="DJ55" s="669"/>
      <c r="DK55" s="670"/>
      <c r="DL55" s="669"/>
      <c r="DM55" s="670"/>
      <c r="DN55" s="669"/>
      <c r="DO55" s="670"/>
      <c r="DP55" s="669"/>
      <c r="DQ55" s="670"/>
      <c r="DR55" s="669"/>
      <c r="DS55" s="670"/>
      <c r="DT55" s="669"/>
      <c r="DU55" s="670"/>
      <c r="DV55" s="669"/>
      <c r="DW55" s="670"/>
      <c r="DX55" s="669"/>
      <c r="DY55" s="670"/>
      <c r="DZ55" s="669"/>
      <c r="EA55" s="670"/>
      <c r="EB55" s="669"/>
      <c r="EC55" s="670"/>
      <c r="ED55" s="669"/>
      <c r="EE55" s="670"/>
      <c r="EF55" s="669"/>
      <c r="EG55" s="670"/>
      <c r="EH55" s="670"/>
      <c r="EI55" s="669"/>
      <c r="EJ55" s="671"/>
      <c r="EK55" s="669"/>
      <c r="EL55" s="671"/>
      <c r="EM55" s="669"/>
      <c r="EN55" s="671"/>
      <c r="EO55" s="669"/>
      <c r="EP55" s="671"/>
      <c r="EQ55" s="669"/>
      <c r="ER55" s="670"/>
      <c r="ES55" s="669"/>
      <c r="ET55" s="670"/>
      <c r="EU55" s="669"/>
      <c r="EV55" s="670"/>
      <c r="EW55" s="669"/>
      <c r="EX55" s="670"/>
      <c r="EY55" s="669"/>
      <c r="EZ55" s="670"/>
      <c r="FA55" s="669"/>
      <c r="FB55" s="670"/>
      <c r="FC55" s="669"/>
      <c r="FD55" s="670"/>
      <c r="FE55" s="669"/>
      <c r="FF55" s="670"/>
      <c r="FG55" s="669"/>
      <c r="FH55" s="670"/>
      <c r="FI55" s="669"/>
      <c r="FJ55" s="670"/>
      <c r="FK55" s="669"/>
      <c r="FL55" s="670"/>
      <c r="FM55" s="669"/>
      <c r="FN55" s="670"/>
      <c r="FO55" s="669"/>
      <c r="FP55" s="670"/>
      <c r="FQ55" s="669"/>
      <c r="FR55" s="670"/>
      <c r="FS55" s="669"/>
      <c r="FT55" s="670"/>
      <c r="FU55" s="669"/>
      <c r="FV55" s="670"/>
      <c r="FW55" s="669"/>
      <c r="FX55" s="670"/>
      <c r="FY55" s="669"/>
      <c r="FZ55" s="670"/>
      <c r="GA55" s="671"/>
    </row>
    <row r="56" spans="1:183" s="707" customFormat="1" ht="12.75" customHeight="1" x14ac:dyDescent="0.2">
      <c r="A56" s="701" t="s">
        <v>490</v>
      </c>
      <c r="B56" s="669"/>
      <c r="C56" s="671"/>
      <c r="D56" s="669"/>
      <c r="E56" s="671"/>
      <c r="F56" s="669"/>
      <c r="G56" s="671"/>
      <c r="H56" s="669"/>
      <c r="I56" s="671"/>
      <c r="J56" s="669"/>
      <c r="K56" s="671"/>
      <c r="L56" s="669"/>
      <c r="M56" s="671"/>
      <c r="N56" s="669"/>
      <c r="O56" s="671"/>
      <c r="P56" s="669"/>
      <c r="Q56" s="671"/>
      <c r="R56" s="669"/>
      <c r="S56" s="671"/>
      <c r="T56" s="669"/>
      <c r="U56" s="671"/>
      <c r="V56" s="669"/>
      <c r="W56" s="671"/>
      <c r="X56" s="669"/>
      <c r="Y56" s="671"/>
      <c r="Z56" s="669"/>
      <c r="AA56" s="671"/>
      <c r="AB56" s="669"/>
      <c r="AC56" s="671"/>
      <c r="AD56" s="669"/>
      <c r="AE56" s="671"/>
      <c r="AF56" s="669"/>
      <c r="AG56" s="671"/>
      <c r="AH56" s="669"/>
      <c r="AI56" s="671"/>
      <c r="AJ56" s="669"/>
      <c r="AK56" s="671"/>
      <c r="AL56" s="669"/>
      <c r="AM56" s="671"/>
      <c r="AN56" s="669"/>
      <c r="AO56" s="670"/>
      <c r="AP56" s="669"/>
      <c r="AQ56" s="670"/>
      <c r="AR56" s="669"/>
      <c r="AS56" s="670"/>
      <c r="AT56" s="669"/>
      <c r="AU56" s="670"/>
      <c r="AV56" s="669"/>
      <c r="AW56" s="670"/>
      <c r="AX56" s="669"/>
      <c r="AY56" s="670"/>
      <c r="AZ56" s="669"/>
      <c r="BA56" s="670"/>
      <c r="BB56" s="669"/>
      <c r="BC56" s="670"/>
      <c r="BD56" s="669"/>
      <c r="BE56" s="670"/>
      <c r="BF56" s="669"/>
      <c r="BG56" s="670"/>
      <c r="BH56" s="669"/>
      <c r="BI56" s="670"/>
      <c r="BJ56" s="669"/>
      <c r="BK56" s="670"/>
      <c r="BL56" s="669"/>
      <c r="BM56" s="670"/>
      <c r="BN56" s="669"/>
      <c r="BO56" s="670"/>
      <c r="BP56" s="669"/>
      <c r="BQ56" s="670"/>
      <c r="BR56" s="669"/>
      <c r="BS56" s="670"/>
      <c r="BT56" s="669"/>
      <c r="BU56" s="670"/>
      <c r="BV56" s="669"/>
      <c r="BW56" s="670"/>
      <c r="BX56" s="669"/>
      <c r="BY56" s="670"/>
      <c r="BZ56" s="669"/>
      <c r="CA56" s="670"/>
      <c r="CB56" s="669"/>
      <c r="CC56" s="670"/>
      <c r="CD56" s="669"/>
      <c r="CE56" s="670"/>
      <c r="CF56" s="669"/>
      <c r="CG56" s="670"/>
      <c r="CH56" s="669"/>
      <c r="CI56" s="670"/>
      <c r="CJ56" s="669"/>
      <c r="CK56" s="670"/>
      <c r="CL56" s="669"/>
      <c r="CM56" s="670"/>
      <c r="CN56" s="669"/>
      <c r="CO56" s="670"/>
      <c r="CP56" s="669"/>
      <c r="CQ56" s="670"/>
      <c r="CR56" s="669"/>
      <c r="CS56" s="670"/>
      <c r="CT56" s="669"/>
      <c r="CU56" s="670"/>
      <c r="CV56" s="669"/>
      <c r="CW56" s="670"/>
      <c r="CX56" s="669"/>
      <c r="CY56" s="670"/>
      <c r="CZ56" s="669"/>
      <c r="DA56" s="670"/>
      <c r="DB56" s="669"/>
      <c r="DC56" s="670"/>
      <c r="DD56" s="669"/>
      <c r="DE56" s="670"/>
      <c r="DF56" s="669"/>
      <c r="DG56" s="670"/>
      <c r="DH56" s="669"/>
      <c r="DI56" s="670"/>
      <c r="DJ56" s="669"/>
      <c r="DK56" s="670"/>
      <c r="DL56" s="669"/>
      <c r="DM56" s="670"/>
      <c r="DN56" s="669"/>
      <c r="DO56" s="670"/>
      <c r="DP56" s="669"/>
      <c r="DQ56" s="670"/>
      <c r="DR56" s="669"/>
      <c r="DS56" s="670"/>
      <c r="DT56" s="669"/>
      <c r="DU56" s="670"/>
      <c r="DV56" s="669"/>
      <c r="DW56" s="670"/>
      <c r="DX56" s="669"/>
      <c r="DY56" s="670"/>
      <c r="DZ56" s="669"/>
      <c r="EA56" s="670"/>
      <c r="EB56" s="669"/>
      <c r="EC56" s="670"/>
      <c r="ED56" s="669"/>
      <c r="EE56" s="670"/>
      <c r="EF56" s="669"/>
      <c r="EG56" s="670"/>
      <c r="EH56" s="670"/>
      <c r="EI56" s="669"/>
      <c r="EJ56" s="671"/>
      <c r="EK56" s="669"/>
      <c r="EL56" s="671"/>
      <c r="EM56" s="669"/>
      <c r="EN56" s="671"/>
      <c r="EO56" s="669"/>
      <c r="EP56" s="671"/>
      <c r="EQ56" s="669"/>
      <c r="ER56" s="670"/>
      <c r="ES56" s="669"/>
      <c r="ET56" s="670"/>
      <c r="EU56" s="669"/>
      <c r="EV56" s="670"/>
      <c r="EW56" s="669"/>
      <c r="EX56" s="670"/>
      <c r="EY56" s="669"/>
      <c r="EZ56" s="670"/>
      <c r="FA56" s="669"/>
      <c r="FB56" s="670"/>
      <c r="FC56" s="669"/>
      <c r="FD56" s="670"/>
      <c r="FE56" s="669"/>
      <c r="FF56" s="670"/>
      <c r="FG56" s="669"/>
      <c r="FH56" s="670"/>
      <c r="FI56" s="669"/>
      <c r="FJ56" s="670"/>
      <c r="FK56" s="669"/>
      <c r="FL56" s="670"/>
      <c r="FM56" s="669"/>
      <c r="FN56" s="670"/>
      <c r="FO56" s="669"/>
      <c r="FP56" s="670"/>
      <c r="FQ56" s="669"/>
      <c r="FR56" s="670"/>
      <c r="FS56" s="669"/>
      <c r="FT56" s="670"/>
      <c r="FU56" s="669"/>
      <c r="FV56" s="670"/>
      <c r="FW56" s="669"/>
      <c r="FX56" s="670"/>
      <c r="FY56" s="669"/>
      <c r="FZ56" s="670"/>
      <c r="GA56" s="671"/>
    </row>
    <row r="57" spans="1:183" s="707" customFormat="1" ht="12.75" customHeight="1" x14ac:dyDescent="0.2">
      <c r="A57" s="702"/>
      <c r="B57" s="664"/>
      <c r="C57" s="665"/>
      <c r="D57" s="664"/>
      <c r="E57" s="665"/>
      <c r="F57" s="664"/>
      <c r="G57" s="665"/>
      <c r="H57" s="664"/>
      <c r="I57" s="665"/>
      <c r="J57" s="664"/>
      <c r="K57" s="665"/>
      <c r="L57" s="664"/>
      <c r="M57" s="665"/>
      <c r="N57" s="664"/>
      <c r="O57" s="665"/>
      <c r="P57" s="664"/>
      <c r="Q57" s="665"/>
      <c r="R57" s="664"/>
      <c r="S57" s="665"/>
      <c r="T57" s="664"/>
      <c r="U57" s="665"/>
      <c r="V57" s="664"/>
      <c r="W57" s="665"/>
      <c r="X57" s="664"/>
      <c r="Y57" s="665"/>
      <c r="Z57" s="664"/>
      <c r="AA57" s="665"/>
      <c r="AB57" s="664"/>
      <c r="AC57" s="665"/>
      <c r="AD57" s="664"/>
      <c r="AE57" s="665"/>
      <c r="AF57" s="664"/>
      <c r="AG57" s="665"/>
      <c r="AH57" s="664"/>
      <c r="AI57" s="665"/>
      <c r="AJ57" s="664"/>
      <c r="AK57" s="665"/>
      <c r="AL57" s="664"/>
      <c r="AM57" s="665"/>
      <c r="AN57" s="664"/>
      <c r="AO57" s="667"/>
      <c r="AP57" s="664"/>
      <c r="AQ57" s="667"/>
      <c r="AR57" s="664"/>
      <c r="AS57" s="667"/>
      <c r="AT57" s="664"/>
      <c r="AU57" s="667"/>
      <c r="AV57" s="664"/>
      <c r="AW57" s="667"/>
      <c r="AX57" s="664"/>
      <c r="AY57" s="667"/>
      <c r="AZ57" s="664"/>
      <c r="BA57" s="667"/>
      <c r="BB57" s="664"/>
      <c r="BC57" s="667"/>
      <c r="BD57" s="664"/>
      <c r="BE57" s="667"/>
      <c r="BF57" s="664"/>
      <c r="BG57" s="667"/>
      <c r="BH57" s="664"/>
      <c r="BI57" s="667"/>
      <c r="BJ57" s="664"/>
      <c r="BK57" s="667"/>
      <c r="BL57" s="664"/>
      <c r="BM57" s="667"/>
      <c r="BN57" s="664"/>
      <c r="BO57" s="667"/>
      <c r="BP57" s="664"/>
      <c r="BQ57" s="667"/>
      <c r="BR57" s="664"/>
      <c r="BS57" s="667"/>
      <c r="BT57" s="664"/>
      <c r="BU57" s="667"/>
      <c r="BV57" s="664"/>
      <c r="BW57" s="667"/>
      <c r="BX57" s="664"/>
      <c r="BY57" s="667"/>
      <c r="BZ57" s="664"/>
      <c r="CA57" s="667"/>
      <c r="CB57" s="664"/>
      <c r="CC57" s="667"/>
      <c r="CD57" s="664"/>
      <c r="CE57" s="667"/>
      <c r="CF57" s="664"/>
      <c r="CG57" s="667"/>
      <c r="CH57" s="664"/>
      <c r="CI57" s="667"/>
      <c r="CJ57" s="664"/>
      <c r="CK57" s="667"/>
      <c r="CL57" s="664"/>
      <c r="CM57" s="667"/>
      <c r="CN57" s="664"/>
      <c r="CO57" s="667"/>
      <c r="CP57" s="664"/>
      <c r="CQ57" s="667"/>
      <c r="CR57" s="664"/>
      <c r="CS57" s="667"/>
      <c r="CT57" s="664"/>
      <c r="CU57" s="667"/>
      <c r="CV57" s="664"/>
      <c r="CW57" s="667"/>
      <c r="CX57" s="664"/>
      <c r="CY57" s="667"/>
      <c r="CZ57" s="664"/>
      <c r="DA57" s="667"/>
      <c r="DB57" s="664"/>
      <c r="DC57" s="667"/>
      <c r="DD57" s="664"/>
      <c r="DE57" s="667"/>
      <c r="DF57" s="664"/>
      <c r="DG57" s="667"/>
      <c r="DH57" s="664"/>
      <c r="DI57" s="667"/>
      <c r="DJ57" s="664"/>
      <c r="DK57" s="667"/>
      <c r="DL57" s="664"/>
      <c r="DM57" s="667"/>
      <c r="DN57" s="664"/>
      <c r="DO57" s="667"/>
      <c r="DP57" s="664"/>
      <c r="DQ57" s="667"/>
      <c r="DR57" s="664"/>
      <c r="DS57" s="667"/>
      <c r="DT57" s="664"/>
      <c r="DU57" s="667"/>
      <c r="DV57" s="664"/>
      <c r="DW57" s="667"/>
      <c r="DX57" s="664"/>
      <c r="DY57" s="667"/>
      <c r="DZ57" s="664"/>
      <c r="EA57" s="667"/>
      <c r="EB57" s="664"/>
      <c r="EC57" s="667"/>
      <c r="ED57" s="664"/>
      <c r="EE57" s="667"/>
      <c r="EF57" s="664"/>
      <c r="EG57" s="667"/>
      <c r="EH57" s="667"/>
      <c r="EI57" s="664"/>
      <c r="EJ57" s="665"/>
      <c r="EK57" s="664"/>
      <c r="EL57" s="665"/>
      <c r="EM57" s="664"/>
      <c r="EN57" s="665"/>
      <c r="EO57" s="664"/>
      <c r="EP57" s="665"/>
      <c r="EQ57" s="664"/>
      <c r="ER57" s="667"/>
      <c r="ES57" s="664"/>
      <c r="ET57" s="667"/>
      <c r="EU57" s="664"/>
      <c r="EV57" s="667"/>
      <c r="EW57" s="664"/>
      <c r="EX57" s="667"/>
      <c r="EY57" s="664"/>
      <c r="EZ57" s="667"/>
      <c r="FA57" s="664"/>
      <c r="FB57" s="667"/>
      <c r="FC57" s="664"/>
      <c r="FD57" s="667"/>
      <c r="FE57" s="664"/>
      <c r="FF57" s="667"/>
      <c r="FG57" s="664"/>
      <c r="FH57" s="667"/>
      <c r="FI57" s="664"/>
      <c r="FJ57" s="667"/>
      <c r="FK57" s="664"/>
      <c r="FL57" s="667"/>
      <c r="FM57" s="664"/>
      <c r="FN57" s="667"/>
      <c r="FO57" s="664"/>
      <c r="FP57" s="667"/>
      <c r="FQ57" s="664"/>
      <c r="FR57" s="667"/>
      <c r="FS57" s="664"/>
      <c r="FT57" s="667"/>
      <c r="FU57" s="664"/>
      <c r="FV57" s="667"/>
      <c r="FW57" s="664"/>
      <c r="FX57" s="667"/>
      <c r="FY57" s="664"/>
      <c r="FZ57" s="667"/>
      <c r="GA57" s="665"/>
    </row>
    <row r="58" spans="1:183" s="707" customFormat="1" ht="21.95" customHeight="1" x14ac:dyDescent="0.25">
      <c r="A58" s="663" t="str">
        <f>INPUT!$B$4</f>
        <v>Unum Group</v>
      </c>
      <c r="B58" s="664"/>
      <c r="C58" s="665"/>
      <c r="D58" s="664"/>
      <c r="E58" s="666"/>
      <c r="F58" s="664"/>
      <c r="G58" s="666"/>
      <c r="H58" s="664"/>
      <c r="I58" s="666"/>
      <c r="J58" s="664"/>
      <c r="K58" s="666"/>
      <c r="L58" s="664"/>
      <c r="M58" s="666"/>
      <c r="N58" s="664"/>
      <c r="O58" s="666"/>
      <c r="P58" s="664"/>
      <c r="Q58" s="666"/>
      <c r="R58" s="664"/>
      <c r="S58" s="666"/>
      <c r="T58" s="664"/>
      <c r="U58" s="666"/>
      <c r="V58" s="664"/>
      <c r="W58" s="666"/>
      <c r="X58" s="664"/>
      <c r="Y58" s="666"/>
      <c r="Z58" s="664"/>
      <c r="AA58" s="666"/>
      <c r="AB58" s="664"/>
      <c r="AC58" s="666"/>
      <c r="AD58" s="664"/>
      <c r="AE58" s="666"/>
      <c r="AF58" s="664"/>
      <c r="AG58" s="666"/>
      <c r="AH58" s="664"/>
      <c r="AI58" s="666"/>
      <c r="AJ58" s="664"/>
      <c r="AK58" s="666"/>
      <c r="AL58" s="664"/>
      <c r="AM58" s="666"/>
      <c r="AN58" s="664"/>
      <c r="AO58" s="667"/>
      <c r="AP58" s="664"/>
      <c r="AQ58" s="667"/>
      <c r="AR58" s="664"/>
      <c r="AS58" s="667"/>
      <c r="AT58" s="664"/>
      <c r="AU58" s="667"/>
      <c r="AV58" s="664"/>
      <c r="AW58" s="667"/>
      <c r="AX58" s="664"/>
      <c r="AY58" s="667"/>
      <c r="AZ58" s="664"/>
      <c r="BA58" s="667"/>
      <c r="BB58" s="664"/>
      <c r="BC58" s="667"/>
      <c r="BD58" s="664"/>
      <c r="BE58" s="667"/>
      <c r="BF58" s="664"/>
      <c r="BG58" s="667"/>
      <c r="BH58" s="664"/>
      <c r="BI58" s="667"/>
      <c r="BJ58" s="664"/>
      <c r="BK58" s="667"/>
      <c r="BL58" s="664"/>
      <c r="BM58" s="667"/>
      <c r="BN58" s="664"/>
      <c r="BO58" s="667"/>
      <c r="BP58" s="664"/>
      <c r="BQ58" s="667"/>
      <c r="BR58" s="664"/>
      <c r="BS58" s="667"/>
      <c r="BT58" s="664"/>
      <c r="BU58" s="667"/>
      <c r="BV58" s="664"/>
      <c r="BW58" s="667"/>
      <c r="BX58" s="664"/>
      <c r="BY58" s="667"/>
      <c r="BZ58" s="664"/>
      <c r="CA58" s="667"/>
      <c r="CB58" s="664"/>
      <c r="CC58" s="667"/>
      <c r="CD58" s="664"/>
      <c r="CE58" s="667"/>
      <c r="CF58" s="664"/>
      <c r="CG58" s="667"/>
      <c r="CH58" s="664"/>
      <c r="CI58" s="667"/>
      <c r="CJ58" s="664"/>
      <c r="CK58" s="667"/>
      <c r="CL58" s="664"/>
      <c r="CM58" s="667"/>
      <c r="CN58" s="664"/>
      <c r="CO58" s="667"/>
      <c r="CP58" s="664"/>
      <c r="CQ58" s="667"/>
      <c r="CR58" s="664"/>
      <c r="CS58" s="667"/>
      <c r="CT58" s="664"/>
      <c r="CU58" s="667"/>
      <c r="CV58" s="664"/>
      <c r="CW58" s="667"/>
      <c r="CX58" s="664"/>
      <c r="CY58" s="667"/>
      <c r="CZ58" s="664"/>
      <c r="DA58" s="667"/>
      <c r="DB58" s="664"/>
      <c r="DC58" s="667"/>
      <c r="DD58" s="664"/>
      <c r="DE58" s="667"/>
      <c r="DF58" s="664"/>
      <c r="DG58" s="667"/>
      <c r="DH58" s="664"/>
      <c r="DI58" s="667"/>
      <c r="DJ58" s="664"/>
      <c r="DK58" s="667"/>
      <c r="DL58" s="664"/>
      <c r="DM58" s="667"/>
      <c r="DN58" s="664"/>
      <c r="DO58" s="667"/>
      <c r="DP58" s="664"/>
      <c r="DQ58" s="667"/>
      <c r="DR58" s="664"/>
      <c r="DS58" s="667"/>
      <c r="DT58" s="664"/>
      <c r="DU58" s="667"/>
      <c r="DV58" s="664"/>
      <c r="DW58" s="667"/>
      <c r="DX58" s="664"/>
      <c r="DY58" s="667"/>
      <c r="DZ58" s="664"/>
      <c r="EA58" s="667"/>
      <c r="EB58" s="664"/>
      <c r="EC58" s="667"/>
      <c r="ED58" s="664"/>
      <c r="EE58" s="667"/>
      <c r="EF58" s="664"/>
      <c r="EG58" s="667"/>
      <c r="EH58" s="667"/>
      <c r="EI58" s="664"/>
      <c r="EJ58" s="666"/>
      <c r="EK58" s="664"/>
      <c r="EL58" s="666"/>
      <c r="EM58" s="664"/>
      <c r="EN58" s="666"/>
      <c r="EO58" s="664"/>
      <c r="EP58" s="666"/>
      <c r="EQ58" s="664"/>
      <c r="ER58" s="667"/>
      <c r="ES58" s="664"/>
      <c r="ET58" s="667"/>
      <c r="EU58" s="664"/>
      <c r="EV58" s="667"/>
      <c r="EW58" s="664"/>
      <c r="EX58" s="667"/>
      <c r="EY58" s="664"/>
      <c r="EZ58" s="667"/>
      <c r="FA58" s="664"/>
      <c r="FB58" s="667"/>
      <c r="FC58" s="664"/>
      <c r="FD58" s="667"/>
      <c r="FE58" s="664"/>
      <c r="FF58" s="667"/>
      <c r="FG58" s="664"/>
      <c r="FH58" s="667"/>
      <c r="FI58" s="664"/>
      <c r="FJ58" s="667"/>
      <c r="FK58" s="664"/>
      <c r="FL58" s="667"/>
      <c r="FM58" s="664"/>
      <c r="FN58" s="667"/>
      <c r="FO58" s="664"/>
      <c r="FP58" s="667"/>
      <c r="FQ58" s="664"/>
      <c r="FR58" s="667"/>
      <c r="FS58" s="664"/>
      <c r="FT58" s="667"/>
      <c r="FU58" s="664"/>
      <c r="FV58" s="667"/>
      <c r="FW58" s="664"/>
      <c r="FX58" s="667"/>
      <c r="FY58" s="664"/>
      <c r="FZ58" s="667"/>
      <c r="GA58" s="666"/>
    </row>
    <row r="59" spans="1:183" s="707" customFormat="1" ht="12.75" customHeight="1" x14ac:dyDescent="0.2">
      <c r="A59" s="668" t="s">
        <v>291</v>
      </c>
      <c r="B59" s="664"/>
      <c r="C59" s="665"/>
      <c r="D59" s="664"/>
      <c r="E59" s="666"/>
      <c r="F59" s="664"/>
      <c r="G59" s="666"/>
      <c r="H59" s="664"/>
      <c r="I59" s="666"/>
      <c r="J59" s="664"/>
      <c r="K59" s="666"/>
      <c r="L59" s="664"/>
      <c r="M59" s="666"/>
      <c r="N59" s="664"/>
      <c r="O59" s="666"/>
      <c r="P59" s="664"/>
      <c r="Q59" s="666"/>
      <c r="R59" s="664"/>
      <c r="S59" s="666"/>
      <c r="T59" s="664"/>
      <c r="U59" s="666"/>
      <c r="V59" s="664"/>
      <c r="W59" s="666"/>
      <c r="X59" s="664"/>
      <c r="Y59" s="666"/>
      <c r="Z59" s="664"/>
      <c r="AA59" s="666"/>
      <c r="AB59" s="664"/>
      <c r="AC59" s="666"/>
      <c r="AD59" s="664"/>
      <c r="AE59" s="666"/>
      <c r="AF59" s="664"/>
      <c r="AG59" s="666"/>
      <c r="AH59" s="664"/>
      <c r="AI59" s="666"/>
      <c r="AJ59" s="664"/>
      <c r="AK59" s="666"/>
      <c r="AL59" s="664"/>
      <c r="AM59" s="666"/>
      <c r="AN59" s="664"/>
      <c r="AO59" s="667"/>
      <c r="AP59" s="664"/>
      <c r="AQ59" s="667"/>
      <c r="AR59" s="664"/>
      <c r="AS59" s="667"/>
      <c r="AT59" s="664"/>
      <c r="AU59" s="667"/>
      <c r="AV59" s="664"/>
      <c r="AW59" s="667"/>
      <c r="AX59" s="664"/>
      <c r="AY59" s="667"/>
      <c r="AZ59" s="664"/>
      <c r="BA59" s="667"/>
      <c r="BB59" s="664"/>
      <c r="BC59" s="667"/>
      <c r="BD59" s="664"/>
      <c r="BE59" s="667"/>
      <c r="BF59" s="664"/>
      <c r="BG59" s="667"/>
      <c r="BH59" s="664"/>
      <c r="BI59" s="667"/>
      <c r="BJ59" s="664"/>
      <c r="BK59" s="667"/>
      <c r="BL59" s="664"/>
      <c r="BM59" s="667"/>
      <c r="BN59" s="664"/>
      <c r="BO59" s="667"/>
      <c r="BP59" s="664"/>
      <c r="BQ59" s="667"/>
      <c r="BR59" s="664"/>
      <c r="BS59" s="667"/>
      <c r="BT59" s="664"/>
      <c r="BU59" s="667"/>
      <c r="BV59" s="664"/>
      <c r="BW59" s="667"/>
      <c r="BX59" s="664"/>
      <c r="BY59" s="667"/>
      <c r="BZ59" s="664"/>
      <c r="CA59" s="667"/>
      <c r="CB59" s="664"/>
      <c r="CC59" s="667"/>
      <c r="CD59" s="664"/>
      <c r="CE59" s="667"/>
      <c r="CF59" s="664"/>
      <c r="CG59" s="667"/>
      <c r="CH59" s="664"/>
      <c r="CI59" s="667"/>
      <c r="CJ59" s="664"/>
      <c r="CK59" s="667"/>
      <c r="CL59" s="664"/>
      <c r="CM59" s="667"/>
      <c r="CN59" s="664"/>
      <c r="CO59" s="667"/>
      <c r="CP59" s="664"/>
      <c r="CQ59" s="667"/>
      <c r="CR59" s="664"/>
      <c r="CS59" s="667"/>
      <c r="CT59" s="664"/>
      <c r="CU59" s="667"/>
      <c r="CV59" s="664"/>
      <c r="CW59" s="667"/>
      <c r="CX59" s="664"/>
      <c r="CY59" s="667"/>
      <c r="CZ59" s="664"/>
      <c r="DA59" s="667"/>
      <c r="DB59" s="664"/>
      <c r="DC59" s="667"/>
      <c r="DD59" s="664"/>
      <c r="DE59" s="667"/>
      <c r="DF59" s="664"/>
      <c r="DG59" s="667"/>
      <c r="DH59" s="664"/>
      <c r="DI59" s="667"/>
      <c r="DJ59" s="664"/>
      <c r="DK59" s="667"/>
      <c r="DL59" s="664"/>
      <c r="DM59" s="667"/>
      <c r="DN59" s="664"/>
      <c r="DO59" s="667"/>
      <c r="DP59" s="664"/>
      <c r="DQ59" s="667"/>
      <c r="DR59" s="664"/>
      <c r="DS59" s="667"/>
      <c r="DT59" s="664"/>
      <c r="DU59" s="667"/>
      <c r="DV59" s="664"/>
      <c r="DW59" s="667"/>
      <c r="DX59" s="664"/>
      <c r="DY59" s="667"/>
      <c r="DZ59" s="664"/>
      <c r="EA59" s="667"/>
      <c r="EB59" s="664"/>
      <c r="EC59" s="667"/>
      <c r="ED59" s="664"/>
      <c r="EE59" s="667"/>
      <c r="EF59" s="664"/>
      <c r="EG59" s="667"/>
      <c r="EH59" s="667"/>
      <c r="EI59" s="664"/>
      <c r="EJ59" s="666"/>
      <c r="EK59" s="664"/>
      <c r="EL59" s="666"/>
      <c r="EM59" s="664"/>
      <c r="EN59" s="666"/>
      <c r="EO59" s="664"/>
      <c r="EP59" s="666"/>
      <c r="EQ59" s="664"/>
      <c r="ER59" s="667"/>
      <c r="ES59" s="664"/>
      <c r="ET59" s="667"/>
      <c r="EU59" s="664"/>
      <c r="EV59" s="667"/>
      <c r="EW59" s="664"/>
      <c r="EX59" s="667"/>
      <c r="EY59" s="664"/>
      <c r="EZ59" s="667"/>
      <c r="FA59" s="664"/>
      <c r="FB59" s="667"/>
      <c r="FC59" s="664"/>
      <c r="FD59" s="667"/>
      <c r="FE59" s="664"/>
      <c r="FF59" s="667"/>
      <c r="FG59" s="664"/>
      <c r="FH59" s="667"/>
      <c r="FI59" s="664"/>
      <c r="FJ59" s="667"/>
      <c r="FK59" s="664"/>
      <c r="FL59" s="667"/>
      <c r="FM59" s="664"/>
      <c r="FN59" s="667"/>
      <c r="FO59" s="664"/>
      <c r="FP59" s="667"/>
      <c r="FQ59" s="664"/>
      <c r="FR59" s="667"/>
      <c r="FS59" s="664"/>
      <c r="FT59" s="667"/>
      <c r="FU59" s="664"/>
      <c r="FV59" s="667"/>
      <c r="FW59" s="664"/>
      <c r="FX59" s="667"/>
      <c r="FY59" s="664"/>
      <c r="FZ59" s="667"/>
      <c r="GA59" s="666"/>
    </row>
    <row r="60" spans="1:183" s="702" customFormat="1" ht="12.75" customHeight="1" x14ac:dyDescent="0.2">
      <c r="A60" s="979" t="str">
        <f>A$3</f>
        <v>($Millions Except Per Share Data)</v>
      </c>
      <c r="B60" s="980"/>
      <c r="C60" s="981" t="str">
        <f>C$3</f>
        <v>1Q02/</v>
      </c>
      <c r="D60" s="980"/>
      <c r="E60" s="981" t="str">
        <f>E$3</f>
        <v>2Q02/</v>
      </c>
      <c r="F60" s="980"/>
      <c r="G60" s="981" t="str">
        <f>G$3</f>
        <v>3Q02/</v>
      </c>
      <c r="H60" s="980"/>
      <c r="I60" s="981" t="str">
        <f>I$3</f>
        <v>4Q02/</v>
      </c>
      <c r="J60" s="980"/>
      <c r="K60" s="981" t="str">
        <f>K$3</f>
        <v>1Q03/</v>
      </c>
      <c r="L60" s="980"/>
      <c r="M60" s="981" t="str">
        <f>M$3</f>
        <v>2Q03/</v>
      </c>
      <c r="N60" s="980"/>
      <c r="O60" s="981" t="str">
        <f>O$3</f>
        <v>3Q03/</v>
      </c>
      <c r="P60" s="980"/>
      <c r="Q60" s="981" t="str">
        <f>Q$3</f>
        <v>4Q03/</v>
      </c>
      <c r="R60" s="980"/>
      <c r="S60" s="981" t="str">
        <f>S$3</f>
        <v>1Q04/</v>
      </c>
      <c r="T60" s="980"/>
      <c r="U60" s="981" t="str">
        <f>U$3</f>
        <v>2Q04/</v>
      </c>
      <c r="V60" s="980"/>
      <c r="W60" s="981" t="str">
        <f>W$3</f>
        <v>3Q04/</v>
      </c>
      <c r="X60" s="980"/>
      <c r="Y60" s="981" t="str">
        <f>Y$3</f>
        <v>4Q04/</v>
      </c>
      <c r="Z60" s="980"/>
      <c r="AA60" s="981" t="str">
        <f>AA$3</f>
        <v>1Q05/</v>
      </c>
      <c r="AB60" s="980"/>
      <c r="AC60" s="981" t="str">
        <f>AC$3</f>
        <v>2Q05/</v>
      </c>
      <c r="AD60" s="980"/>
      <c r="AE60" s="981" t="str">
        <f>AE$3</f>
        <v>3Q05/</v>
      </c>
      <c r="AF60" s="980"/>
      <c r="AG60" s="981" t="str">
        <f>AG$3</f>
        <v>4Q05/</v>
      </c>
      <c r="AH60" s="980"/>
      <c r="AI60" s="981" t="str">
        <f>AI$3</f>
        <v>1Q06/</v>
      </c>
      <c r="AJ60" s="980"/>
      <c r="AK60" s="981" t="str">
        <f>AK$3</f>
        <v>2Q06/</v>
      </c>
      <c r="AL60" s="980"/>
      <c r="AM60" s="981" t="str">
        <f>AM$3</f>
        <v>3Q06/</v>
      </c>
      <c r="AN60" s="980"/>
      <c r="AO60" s="982" t="str">
        <f>AO$3</f>
        <v>4Q06/</v>
      </c>
      <c r="AP60" s="980"/>
      <c r="AQ60" s="982" t="str">
        <f>AQ$3</f>
        <v>1Q07/</v>
      </c>
      <c r="AR60" s="980"/>
      <c r="AS60" s="982" t="str">
        <f>AS$3</f>
        <v>2Q07/</v>
      </c>
      <c r="AT60" s="980"/>
      <c r="AU60" s="982" t="str">
        <f>AU$3</f>
        <v>3Q07/</v>
      </c>
      <c r="AV60" s="980"/>
      <c r="AW60" s="982" t="str">
        <f>AW$3</f>
        <v>4Q07/</v>
      </c>
      <c r="AX60" s="980"/>
      <c r="AY60" s="982" t="str">
        <f>AY$3</f>
        <v>1Q08/</v>
      </c>
      <c r="AZ60" s="980"/>
      <c r="BA60" s="982" t="str">
        <f>BA$3</f>
        <v>2Q08/</v>
      </c>
      <c r="BB60" s="980"/>
      <c r="BC60" s="982" t="str">
        <f>BC$3</f>
        <v>3Q08/</v>
      </c>
      <c r="BD60" s="980"/>
      <c r="BE60" s="982" t="str">
        <f>BE$3</f>
        <v>4Q08/</v>
      </c>
      <c r="BF60" s="980"/>
      <c r="BG60" s="982" t="str">
        <f>BG$3</f>
        <v>1Q09/</v>
      </c>
      <c r="BH60" s="980"/>
      <c r="BI60" s="982" t="str">
        <f>BI$3</f>
        <v>2Q09/</v>
      </c>
      <c r="BJ60" s="980"/>
      <c r="BK60" s="982" t="str">
        <f>BK$3</f>
        <v>3Q09/</v>
      </c>
      <c r="BL60" s="980"/>
      <c r="BM60" s="982" t="str">
        <f>BM$3</f>
        <v>4Q09/</v>
      </c>
      <c r="BN60" s="980"/>
      <c r="BO60" s="982" t="str">
        <f>BO$3</f>
        <v>1Q10/</v>
      </c>
      <c r="BP60" s="980"/>
      <c r="BQ60" s="982" t="str">
        <f>BQ$3</f>
        <v>2Q10/</v>
      </c>
      <c r="BR60" s="980"/>
      <c r="BS60" s="982" t="str">
        <f>BS$3</f>
        <v>3Q10/</v>
      </c>
      <c r="BT60" s="980"/>
      <c r="BU60" s="982">
        <f>BU$3</f>
        <v>0</v>
      </c>
      <c r="BV60" s="980"/>
      <c r="BW60" s="982" t="str">
        <f>BW$3</f>
        <v>1Q11/</v>
      </c>
      <c r="BX60" s="980"/>
      <c r="BY60" s="982" t="str">
        <f>BY$3</f>
        <v>2Q11/</v>
      </c>
      <c r="BZ60" s="980"/>
      <c r="CA60" s="982" t="str">
        <f>CA$3</f>
        <v>3Q11/</v>
      </c>
      <c r="CB60" s="980"/>
      <c r="CC60" s="982" t="str">
        <f>CC$3</f>
        <v>4Q11/</v>
      </c>
      <c r="CD60" s="980"/>
      <c r="CE60" s="982" t="str">
        <f>CE$3</f>
        <v>1Q12/</v>
      </c>
      <c r="CF60" s="980"/>
      <c r="CG60" s="982" t="str">
        <f>CG$3</f>
        <v>2Q12/</v>
      </c>
      <c r="CH60" s="980"/>
      <c r="CI60" s="982" t="str">
        <f>CI$3</f>
        <v>3Q12/</v>
      </c>
      <c r="CJ60" s="980"/>
      <c r="CK60" s="982" t="str">
        <f>CK$3</f>
        <v>4Q12/</v>
      </c>
      <c r="CL60" s="980"/>
      <c r="CM60" s="982" t="str">
        <f>CM$3</f>
        <v>1Q13/</v>
      </c>
      <c r="CN60" s="983"/>
      <c r="CO60" s="984" t="str">
        <f>CO$3</f>
        <v>2Q13/</v>
      </c>
      <c r="CP60" s="983"/>
      <c r="CQ60" s="984" t="str">
        <f>CQ$3</f>
        <v>3Q13/</v>
      </c>
      <c r="CR60" s="983"/>
      <c r="CS60" s="984" t="str">
        <f>CS$3</f>
        <v>4Q13/</v>
      </c>
      <c r="CT60" s="983"/>
      <c r="CU60" s="984" t="str">
        <f>CU$3</f>
        <v>1Q14/</v>
      </c>
      <c r="CV60" s="983"/>
      <c r="CW60" s="984" t="str">
        <f>CW$3</f>
        <v>2Q14/</v>
      </c>
      <c r="CX60" s="983"/>
      <c r="CY60" s="984" t="str">
        <f>CY$3</f>
        <v>3Q14/</v>
      </c>
      <c r="CZ60" s="983"/>
      <c r="DA60" s="984" t="str">
        <f>DA$3</f>
        <v>4Q14/</v>
      </c>
      <c r="DB60" s="983"/>
      <c r="DC60" s="984" t="str">
        <f>DC$3</f>
        <v>1Q15/</v>
      </c>
      <c r="DD60" s="983"/>
      <c r="DE60" s="984" t="str">
        <f>DE$3</f>
        <v>2Q15/</v>
      </c>
      <c r="DF60" s="983"/>
      <c r="DG60" s="984" t="str">
        <f>DG$3</f>
        <v>3Q15/</v>
      </c>
      <c r="DH60" s="983"/>
      <c r="DI60" s="984" t="str">
        <f>DI$3</f>
        <v>4Q15/</v>
      </c>
      <c r="DJ60" s="983"/>
      <c r="DK60" s="984" t="str">
        <f>DK$3</f>
        <v>1Q16/</v>
      </c>
      <c r="DL60" s="983"/>
      <c r="DM60" s="984" t="str">
        <f>DM$3</f>
        <v>2Q16/</v>
      </c>
      <c r="DN60" s="983"/>
      <c r="DO60" s="984" t="str">
        <f>DO$3</f>
        <v>3Q16/</v>
      </c>
      <c r="DP60" s="983"/>
      <c r="DQ60" s="984" t="str">
        <f>DQ$3</f>
        <v>4Q16/</v>
      </c>
      <c r="DR60" s="983"/>
      <c r="DS60" s="984" t="str">
        <f t="shared" ref="DS60" si="48">DS$3</f>
        <v>1Q17/</v>
      </c>
      <c r="DT60" s="983"/>
      <c r="DU60" s="984" t="str">
        <f t="shared" ref="DU60" si="49">DU$3</f>
        <v>2Q17/</v>
      </c>
      <c r="DV60" s="983"/>
      <c r="DW60" s="984" t="str">
        <f t="shared" ref="DW60" si="50">DW$3</f>
        <v>3Q17/</v>
      </c>
      <c r="DX60" s="983"/>
      <c r="DY60" s="984" t="str">
        <f t="shared" ref="DY60" si="51">DY$3</f>
        <v>4Q17/</v>
      </c>
      <c r="DZ60" s="983"/>
      <c r="EA60" s="984" t="str">
        <f t="shared" ref="EA60" si="52">EA$3</f>
        <v>1Q18E/</v>
      </c>
      <c r="EB60" s="983"/>
      <c r="EC60" s="984" t="str">
        <f t="shared" ref="EC60" si="53">EC$3</f>
        <v>2Q18E/</v>
      </c>
      <c r="ED60" s="983"/>
      <c r="EE60" s="984" t="str">
        <f t="shared" ref="EE60" si="54">EE$3</f>
        <v>3Q18E/</v>
      </c>
      <c r="EF60" s="983"/>
      <c r="EG60" s="984" t="str">
        <f t="shared" ref="EG60" si="55">EG$3</f>
        <v>4Q18E/</v>
      </c>
      <c r="EH60" s="984"/>
      <c r="EI60" s="983"/>
      <c r="EJ60" s="985" t="str">
        <f>EJ$3</f>
        <v>2001/</v>
      </c>
      <c r="EK60" s="983"/>
      <c r="EL60" s="985" t="str">
        <f>EL$3</f>
        <v>2002/</v>
      </c>
      <c r="EM60" s="983"/>
      <c r="EN60" s="985" t="str">
        <f>EN$3</f>
        <v>2003/</v>
      </c>
      <c r="EO60" s="983"/>
      <c r="EP60" s="985" t="str">
        <f>EP$3</f>
        <v>2004/</v>
      </c>
      <c r="EQ60" s="983"/>
      <c r="ER60" s="984" t="str">
        <f>ER$3</f>
        <v>2005/</v>
      </c>
      <c r="ES60" s="983"/>
      <c r="ET60" s="984" t="str">
        <f>ET$3</f>
        <v>2006/</v>
      </c>
      <c r="EU60" s="983"/>
      <c r="EV60" s="984" t="str">
        <f>EV$3</f>
        <v>2007/</v>
      </c>
      <c r="EW60" s="983"/>
      <c r="EX60" s="984" t="str">
        <f>EX$3</f>
        <v>2008/</v>
      </c>
      <c r="EY60" s="983"/>
      <c r="EZ60" s="984" t="str">
        <f>EZ$3</f>
        <v>2009/</v>
      </c>
      <c r="FA60" s="983"/>
      <c r="FB60" s="984" t="str">
        <f>FB$3</f>
        <v>2010/</v>
      </c>
      <c r="FC60" s="983"/>
      <c r="FD60" s="984" t="str">
        <f>FD$3</f>
        <v>2011/</v>
      </c>
      <c r="FE60" s="983"/>
      <c r="FF60" s="984" t="str">
        <f>FF$3</f>
        <v>2012/</v>
      </c>
      <c r="FG60" s="983"/>
      <c r="FH60" s="984" t="str">
        <f>FH$3</f>
        <v>2013/</v>
      </c>
      <c r="FI60" s="983"/>
      <c r="FJ60" s="984" t="str">
        <f>FJ$3</f>
        <v>2014/</v>
      </c>
      <c r="FK60" s="983"/>
      <c r="FL60" s="984" t="str">
        <f>FL$3</f>
        <v>2015/</v>
      </c>
      <c r="FM60" s="983"/>
      <c r="FN60" s="984" t="str">
        <f>FN$3</f>
        <v>2016/</v>
      </c>
      <c r="FO60" s="983"/>
      <c r="FP60" s="984" t="str">
        <f>FP$3</f>
        <v>2017/</v>
      </c>
      <c r="FQ60" s="983"/>
      <c r="FR60" s="984" t="str">
        <f>FR$3</f>
        <v>2018E/</v>
      </c>
      <c r="FS60" s="983"/>
      <c r="FT60" s="984" t="str">
        <f>FT$3</f>
        <v>2019E/</v>
      </c>
      <c r="FU60" s="983"/>
      <c r="FV60" s="984" t="str">
        <f>FV$3</f>
        <v>2020E/</v>
      </c>
      <c r="FW60" s="983"/>
      <c r="FX60" s="984" t="str">
        <f>FX$3</f>
        <v>2021E/</v>
      </c>
      <c r="FY60" s="983"/>
      <c r="FZ60" s="984" t="str">
        <f>FZ$3</f>
        <v>2022E/</v>
      </c>
      <c r="GA60" s="986" t="str">
        <f>INPUT!GT$5</f>
        <v>5-Yr</v>
      </c>
    </row>
    <row r="61" spans="1:183" s="702" customFormat="1" ht="12.75" customHeight="1" x14ac:dyDescent="0.2">
      <c r="A61" s="987"/>
      <c r="B61" s="664"/>
      <c r="C61" s="665" t="str">
        <f>C$4</f>
        <v>1Q01</v>
      </c>
      <c r="D61" s="664"/>
      <c r="E61" s="665" t="str">
        <f>E$4</f>
        <v>2Q01</v>
      </c>
      <c r="F61" s="664"/>
      <c r="G61" s="665" t="str">
        <f>G$4</f>
        <v>3Q01</v>
      </c>
      <c r="H61" s="664"/>
      <c r="I61" s="665" t="str">
        <f>I$4</f>
        <v>4Q01</v>
      </c>
      <c r="J61" s="664"/>
      <c r="K61" s="665" t="str">
        <f>K$4</f>
        <v>1Q02</v>
      </c>
      <c r="L61" s="664"/>
      <c r="M61" s="665" t="str">
        <f>M$4</f>
        <v>2Q02</v>
      </c>
      <c r="N61" s="664"/>
      <c r="O61" s="665" t="str">
        <f>O$4</f>
        <v>3Q02</v>
      </c>
      <c r="P61" s="664"/>
      <c r="Q61" s="665" t="str">
        <f>Q$4</f>
        <v>4Q02</v>
      </c>
      <c r="R61" s="664"/>
      <c r="S61" s="665" t="str">
        <f>S$4</f>
        <v>1Q03</v>
      </c>
      <c r="T61" s="664"/>
      <c r="U61" s="665" t="str">
        <f>U$4</f>
        <v>2Q03</v>
      </c>
      <c r="V61" s="664"/>
      <c r="W61" s="665" t="str">
        <f>W$4</f>
        <v>3Q03</v>
      </c>
      <c r="X61" s="664"/>
      <c r="Y61" s="665" t="str">
        <f>Y$4</f>
        <v>4Q03</v>
      </c>
      <c r="Z61" s="664"/>
      <c r="AA61" s="665" t="str">
        <f>AA$4</f>
        <v>1Q04</v>
      </c>
      <c r="AB61" s="664"/>
      <c r="AC61" s="665" t="str">
        <f>AC$4</f>
        <v>2Q04</v>
      </c>
      <c r="AD61" s="664"/>
      <c r="AE61" s="665" t="str">
        <f>AE$4</f>
        <v>3Q04</v>
      </c>
      <c r="AF61" s="664"/>
      <c r="AG61" s="665" t="str">
        <f>AG$4</f>
        <v>4Q04</v>
      </c>
      <c r="AH61" s="664"/>
      <c r="AI61" s="665" t="str">
        <f>AI$4</f>
        <v>1Q05</v>
      </c>
      <c r="AJ61" s="664"/>
      <c r="AK61" s="665" t="str">
        <f>AK$4</f>
        <v>2Q05</v>
      </c>
      <c r="AL61" s="664"/>
      <c r="AM61" s="665" t="str">
        <f>AM$4</f>
        <v>3Q05</v>
      </c>
      <c r="AN61" s="664"/>
      <c r="AO61" s="667" t="str">
        <f>AO$4</f>
        <v>4Q05</v>
      </c>
      <c r="AP61" s="664"/>
      <c r="AQ61" s="667" t="str">
        <f>AQ$4</f>
        <v>1Q06</v>
      </c>
      <c r="AR61" s="664"/>
      <c r="AS61" s="667" t="str">
        <f>AS$4</f>
        <v>2Q06</v>
      </c>
      <c r="AT61" s="664"/>
      <c r="AU61" s="667" t="str">
        <f>AU$4</f>
        <v>3Q06</v>
      </c>
      <c r="AV61" s="664"/>
      <c r="AW61" s="667" t="str">
        <f>AW$4</f>
        <v>4Q06</v>
      </c>
      <c r="AX61" s="664"/>
      <c r="AY61" s="667" t="str">
        <f>AY$4</f>
        <v>1Q07</v>
      </c>
      <c r="AZ61" s="664"/>
      <c r="BA61" s="667" t="str">
        <f>BA$4</f>
        <v>2Q07</v>
      </c>
      <c r="BB61" s="664"/>
      <c r="BC61" s="667" t="str">
        <f>BC$4</f>
        <v>3Q07</v>
      </c>
      <c r="BD61" s="664"/>
      <c r="BE61" s="667" t="str">
        <f>BE$4</f>
        <v>4Q07</v>
      </c>
      <c r="BF61" s="664"/>
      <c r="BG61" s="667" t="str">
        <f>BG$4</f>
        <v>1Q08</v>
      </c>
      <c r="BH61" s="664"/>
      <c r="BI61" s="667" t="str">
        <f>BI$4</f>
        <v>2Q08</v>
      </c>
      <c r="BJ61" s="664"/>
      <c r="BK61" s="667" t="str">
        <f>BK$4</f>
        <v>3Q08</v>
      </c>
      <c r="BL61" s="664"/>
      <c r="BM61" s="667" t="str">
        <f>BM$4</f>
        <v>4Q08</v>
      </c>
      <c r="BN61" s="664"/>
      <c r="BO61" s="667" t="str">
        <f>BO$4</f>
        <v>1Q09</v>
      </c>
      <c r="BP61" s="664"/>
      <c r="BQ61" s="667" t="str">
        <f>BQ$4</f>
        <v>2Q09</v>
      </c>
      <c r="BR61" s="664"/>
      <c r="BS61" s="667" t="str">
        <f>BS$4</f>
        <v>3Q09</v>
      </c>
      <c r="BT61" s="664"/>
      <c r="BU61" s="667" t="str">
        <f>BU$4</f>
        <v>4Q09</v>
      </c>
      <c r="BV61" s="664"/>
      <c r="BW61" s="667" t="str">
        <f>BW$4</f>
        <v>1Q10</v>
      </c>
      <c r="BX61" s="664"/>
      <c r="BY61" s="667" t="str">
        <f>BY$4</f>
        <v>2Q10</v>
      </c>
      <c r="BZ61" s="664"/>
      <c r="CA61" s="667" t="str">
        <f>CA$4</f>
        <v>3Q10</v>
      </c>
      <c r="CB61" s="664"/>
      <c r="CC61" s="667" t="str">
        <f>CC$4</f>
        <v>4Q10</v>
      </c>
      <c r="CD61" s="664"/>
      <c r="CE61" s="667" t="str">
        <f>CE$4</f>
        <v>1Q11</v>
      </c>
      <c r="CF61" s="664"/>
      <c r="CG61" s="667" t="str">
        <f>CG$4</f>
        <v>2Q11</v>
      </c>
      <c r="CH61" s="664"/>
      <c r="CI61" s="667" t="str">
        <f>CI$4</f>
        <v>3Q11</v>
      </c>
      <c r="CJ61" s="664"/>
      <c r="CK61" s="667" t="str">
        <f>CK$4</f>
        <v>4Q11</v>
      </c>
      <c r="CL61" s="669"/>
      <c r="CM61" s="670" t="str">
        <f>CM$4</f>
        <v>1Q12</v>
      </c>
      <c r="CN61" s="669"/>
      <c r="CO61" s="670" t="str">
        <f>CO$4</f>
        <v>2Q12</v>
      </c>
      <c r="CP61" s="669"/>
      <c r="CQ61" s="670" t="str">
        <f>CQ$4</f>
        <v>3Q12</v>
      </c>
      <c r="CR61" s="669"/>
      <c r="CS61" s="670" t="str">
        <f>CS$4</f>
        <v>4Q12</v>
      </c>
      <c r="CT61" s="669"/>
      <c r="CU61" s="670" t="str">
        <f>CU$4</f>
        <v>1Q13</v>
      </c>
      <c r="CV61" s="669"/>
      <c r="CW61" s="670" t="str">
        <f>CW$4</f>
        <v>2Q13</v>
      </c>
      <c r="CX61" s="669"/>
      <c r="CY61" s="670" t="str">
        <f>CY$4</f>
        <v>3Q13</v>
      </c>
      <c r="CZ61" s="669"/>
      <c r="DA61" s="670" t="str">
        <f>DA$4</f>
        <v>4Q13</v>
      </c>
      <c r="DB61" s="669"/>
      <c r="DC61" s="670" t="str">
        <f>DC$4</f>
        <v>1Q14</v>
      </c>
      <c r="DD61" s="669"/>
      <c r="DE61" s="670" t="str">
        <f>DE$4</f>
        <v>2Q14</v>
      </c>
      <c r="DF61" s="669"/>
      <c r="DG61" s="670" t="str">
        <f>DG$4</f>
        <v>3Q14</v>
      </c>
      <c r="DH61" s="669"/>
      <c r="DI61" s="670" t="str">
        <f>DI$4</f>
        <v>4Q14</v>
      </c>
      <c r="DJ61" s="669"/>
      <c r="DK61" s="670" t="str">
        <f>DK$4</f>
        <v>1Q15</v>
      </c>
      <c r="DL61" s="669"/>
      <c r="DM61" s="670" t="str">
        <f>DM$4</f>
        <v>2Q15</v>
      </c>
      <c r="DN61" s="669"/>
      <c r="DO61" s="670" t="str">
        <f>DO$4</f>
        <v>3Q15</v>
      </c>
      <c r="DP61" s="669"/>
      <c r="DQ61" s="670" t="str">
        <f>DQ$4</f>
        <v>4Q15</v>
      </c>
      <c r="DR61" s="669"/>
      <c r="DS61" s="670" t="str">
        <f t="shared" ref="DS61" si="56">DS$4</f>
        <v>1Q16</v>
      </c>
      <c r="DT61" s="669"/>
      <c r="DU61" s="670" t="str">
        <f t="shared" ref="DU61" si="57">DU$4</f>
        <v>2Q16</v>
      </c>
      <c r="DV61" s="669"/>
      <c r="DW61" s="670" t="str">
        <f t="shared" ref="DW61" si="58">DW$4</f>
        <v>3Q16</v>
      </c>
      <c r="DX61" s="669"/>
      <c r="DY61" s="670" t="str">
        <f t="shared" ref="DY61" si="59">DY$4</f>
        <v>4Q16</v>
      </c>
      <c r="DZ61" s="669"/>
      <c r="EA61" s="670" t="str">
        <f t="shared" ref="EA61" si="60">EA$4</f>
        <v>1Q17</v>
      </c>
      <c r="EB61" s="669"/>
      <c r="EC61" s="670" t="str">
        <f t="shared" ref="EC61" si="61">EC$4</f>
        <v>2Q17</v>
      </c>
      <c r="ED61" s="669"/>
      <c r="EE61" s="670" t="str">
        <f t="shared" ref="EE61" si="62">EE$4</f>
        <v>3Q17</v>
      </c>
      <c r="EF61" s="669"/>
      <c r="EG61" s="670" t="str">
        <f t="shared" ref="EG61" si="63">EG$4</f>
        <v>4Q17</v>
      </c>
      <c r="EH61" s="670"/>
      <c r="EI61" s="669"/>
      <c r="EJ61" s="671" t="str">
        <f>EJ$4</f>
        <v>2000</v>
      </c>
      <c r="EK61" s="669"/>
      <c r="EL61" s="671" t="str">
        <f>EL$4</f>
        <v>2001</v>
      </c>
      <c r="EM61" s="669"/>
      <c r="EN61" s="671" t="str">
        <f>EN$4</f>
        <v>2002</v>
      </c>
      <c r="EO61" s="669"/>
      <c r="EP61" s="671" t="str">
        <f>EP$4</f>
        <v>2003</v>
      </c>
      <c r="EQ61" s="669"/>
      <c r="ER61" s="670" t="str">
        <f>ER$4</f>
        <v>2004</v>
      </c>
      <c r="ES61" s="669"/>
      <c r="ET61" s="670" t="str">
        <f>ET$4</f>
        <v>2005</v>
      </c>
      <c r="EU61" s="669"/>
      <c r="EV61" s="670">
        <f>EV$4</f>
        <v>2006</v>
      </c>
      <c r="EW61" s="669"/>
      <c r="EX61" s="670">
        <f>EX$4</f>
        <v>2007</v>
      </c>
      <c r="EY61" s="669"/>
      <c r="EZ61" s="670">
        <f>EZ$4</f>
        <v>2008</v>
      </c>
      <c r="FA61" s="669"/>
      <c r="FB61" s="670" t="str">
        <f>FB$4</f>
        <v>2009</v>
      </c>
      <c r="FC61" s="669"/>
      <c r="FD61" s="670" t="str">
        <f>FD$4</f>
        <v>2010</v>
      </c>
      <c r="FE61" s="669"/>
      <c r="FF61" s="670" t="str">
        <f>FF$4</f>
        <v>2011</v>
      </c>
      <c r="FG61" s="669"/>
      <c r="FH61" s="670" t="str">
        <f>FH$4</f>
        <v>2012</v>
      </c>
      <c r="FI61" s="669"/>
      <c r="FJ61" s="670" t="str">
        <f>FJ$4</f>
        <v>2013</v>
      </c>
      <c r="FK61" s="669"/>
      <c r="FL61" s="670" t="str">
        <f>FL$4</f>
        <v>2014</v>
      </c>
      <c r="FM61" s="669"/>
      <c r="FN61" s="670" t="str">
        <f>FN$4</f>
        <v>2015</v>
      </c>
      <c r="FO61" s="669"/>
      <c r="FP61" s="670" t="str">
        <f>FP$4</f>
        <v>2016</v>
      </c>
      <c r="FQ61" s="669"/>
      <c r="FR61" s="670" t="str">
        <f>FR$4</f>
        <v>2017</v>
      </c>
      <c r="FS61" s="669"/>
      <c r="FT61" s="670" t="str">
        <f>FT$4</f>
        <v>2018E</v>
      </c>
      <c r="FU61" s="669"/>
      <c r="FV61" s="670" t="str">
        <f>FV$4</f>
        <v>2019E</v>
      </c>
      <c r="FW61" s="669"/>
      <c r="FX61" s="670" t="str">
        <f>FX$4</f>
        <v>2020E</v>
      </c>
      <c r="FY61" s="669"/>
      <c r="FZ61" s="670" t="str">
        <f>FZ$4</f>
        <v>2021E</v>
      </c>
      <c r="GA61" s="988" t="s">
        <v>113</v>
      </c>
    </row>
    <row r="62" spans="1:183" s="702" customFormat="1" ht="12.75" customHeight="1" x14ac:dyDescent="0.2">
      <c r="A62" s="1017"/>
      <c r="B62" s="704" t="str">
        <f t="shared" ref="B62:DR62" si="64">B$5</f>
        <v>1Q02</v>
      </c>
      <c r="C62" s="705" t="str">
        <f t="shared" si="64"/>
        <v>% Chg</v>
      </c>
      <c r="D62" s="704" t="str">
        <f t="shared" si="64"/>
        <v>2Q02</v>
      </c>
      <c r="E62" s="705" t="str">
        <f t="shared" si="64"/>
        <v>% Chg</v>
      </c>
      <c r="F62" s="704" t="str">
        <f t="shared" si="64"/>
        <v>3Q02</v>
      </c>
      <c r="G62" s="705" t="str">
        <f t="shared" si="64"/>
        <v>% Chg</v>
      </c>
      <c r="H62" s="704" t="str">
        <f t="shared" si="64"/>
        <v>4Q02</v>
      </c>
      <c r="I62" s="705" t="str">
        <f t="shared" si="64"/>
        <v>% Chg</v>
      </c>
      <c r="J62" s="704" t="str">
        <f t="shared" si="64"/>
        <v>1Q03</v>
      </c>
      <c r="K62" s="705" t="str">
        <f t="shared" si="64"/>
        <v>% Chg</v>
      </c>
      <c r="L62" s="704" t="str">
        <f t="shared" si="64"/>
        <v>2Q03</v>
      </c>
      <c r="M62" s="705" t="str">
        <f t="shared" si="64"/>
        <v>% Chg</v>
      </c>
      <c r="N62" s="704" t="str">
        <f t="shared" si="64"/>
        <v>3Q03</v>
      </c>
      <c r="O62" s="705" t="str">
        <f t="shared" si="64"/>
        <v>% Chg</v>
      </c>
      <c r="P62" s="704" t="str">
        <f t="shared" si="64"/>
        <v>4Q03</v>
      </c>
      <c r="Q62" s="705" t="str">
        <f t="shared" si="64"/>
        <v>% Chg</v>
      </c>
      <c r="R62" s="704" t="str">
        <f t="shared" si="64"/>
        <v>1Q04</v>
      </c>
      <c r="S62" s="705" t="str">
        <f t="shared" si="64"/>
        <v>% Chg</v>
      </c>
      <c r="T62" s="704" t="str">
        <f t="shared" si="64"/>
        <v>2Q04</v>
      </c>
      <c r="U62" s="705" t="str">
        <f t="shared" si="64"/>
        <v>% Chg</v>
      </c>
      <c r="V62" s="704" t="str">
        <f t="shared" si="64"/>
        <v>3Q04</v>
      </c>
      <c r="W62" s="705" t="str">
        <f t="shared" si="64"/>
        <v>% Chg</v>
      </c>
      <c r="X62" s="704" t="str">
        <f t="shared" si="64"/>
        <v>4Q04</v>
      </c>
      <c r="Y62" s="705" t="str">
        <f t="shared" si="64"/>
        <v>% Chg</v>
      </c>
      <c r="Z62" s="704" t="str">
        <f t="shared" si="64"/>
        <v>1Q05</v>
      </c>
      <c r="AA62" s="705" t="str">
        <f t="shared" si="64"/>
        <v>% Chg</v>
      </c>
      <c r="AB62" s="704" t="str">
        <f t="shared" si="64"/>
        <v>2Q05</v>
      </c>
      <c r="AC62" s="705" t="str">
        <f t="shared" si="64"/>
        <v>% Chg</v>
      </c>
      <c r="AD62" s="704" t="str">
        <f t="shared" si="64"/>
        <v>3Q05</v>
      </c>
      <c r="AE62" s="705" t="str">
        <f t="shared" si="64"/>
        <v>% Chg</v>
      </c>
      <c r="AF62" s="704" t="str">
        <f t="shared" si="64"/>
        <v>4Q05</v>
      </c>
      <c r="AG62" s="705" t="str">
        <f t="shared" si="64"/>
        <v>% Chg</v>
      </c>
      <c r="AH62" s="704" t="str">
        <f t="shared" si="64"/>
        <v>1Q06</v>
      </c>
      <c r="AI62" s="705" t="str">
        <f t="shared" si="64"/>
        <v>% Chg</v>
      </c>
      <c r="AJ62" s="704" t="str">
        <f t="shared" si="64"/>
        <v>2Q06</v>
      </c>
      <c r="AK62" s="705" t="str">
        <f t="shared" si="64"/>
        <v>% Chg</v>
      </c>
      <c r="AL62" s="704" t="str">
        <f t="shared" si="64"/>
        <v>3Q06</v>
      </c>
      <c r="AM62" s="705" t="str">
        <f t="shared" si="64"/>
        <v>% Chg</v>
      </c>
      <c r="AN62" s="704" t="str">
        <f t="shared" si="64"/>
        <v>4Q06</v>
      </c>
      <c r="AO62" s="706" t="str">
        <f t="shared" si="64"/>
        <v>% Chg</v>
      </c>
      <c r="AP62" s="704" t="str">
        <f t="shared" si="64"/>
        <v>1Q07</v>
      </c>
      <c r="AQ62" s="706" t="str">
        <f t="shared" si="64"/>
        <v>% Chg</v>
      </c>
      <c r="AR62" s="704" t="str">
        <f t="shared" si="64"/>
        <v>2Q07</v>
      </c>
      <c r="AS62" s="706" t="str">
        <f t="shared" si="64"/>
        <v>% Chg</v>
      </c>
      <c r="AT62" s="704" t="str">
        <f t="shared" si="64"/>
        <v>3Q07</v>
      </c>
      <c r="AU62" s="706" t="str">
        <f t="shared" si="64"/>
        <v>% Chg</v>
      </c>
      <c r="AV62" s="704" t="str">
        <f t="shared" si="64"/>
        <v>4Q07</v>
      </c>
      <c r="AW62" s="706" t="str">
        <f t="shared" si="64"/>
        <v>% Chg</v>
      </c>
      <c r="AX62" s="704" t="str">
        <f t="shared" si="64"/>
        <v>1Q08</v>
      </c>
      <c r="AY62" s="706" t="str">
        <f t="shared" si="64"/>
        <v>% Chg</v>
      </c>
      <c r="AZ62" s="704" t="str">
        <f t="shared" si="64"/>
        <v>2Q08</v>
      </c>
      <c r="BA62" s="706" t="str">
        <f t="shared" si="64"/>
        <v>% Chg</v>
      </c>
      <c r="BB62" s="704" t="str">
        <f t="shared" si="64"/>
        <v>3Q08</v>
      </c>
      <c r="BC62" s="706" t="str">
        <f t="shared" si="64"/>
        <v>% Chg</v>
      </c>
      <c r="BD62" s="704" t="str">
        <f t="shared" si="64"/>
        <v>4Q08</v>
      </c>
      <c r="BE62" s="706" t="str">
        <f t="shared" si="64"/>
        <v>% Chg</v>
      </c>
      <c r="BF62" s="704" t="str">
        <f t="shared" si="64"/>
        <v>1Q09</v>
      </c>
      <c r="BG62" s="706" t="str">
        <f t="shared" si="64"/>
        <v>% Chg</v>
      </c>
      <c r="BH62" s="704" t="str">
        <f t="shared" si="64"/>
        <v>2Q09</v>
      </c>
      <c r="BI62" s="706" t="str">
        <f t="shared" si="64"/>
        <v>% Chg</v>
      </c>
      <c r="BJ62" s="704" t="str">
        <f t="shared" si="64"/>
        <v>3Q09</v>
      </c>
      <c r="BK62" s="706" t="str">
        <f t="shared" si="64"/>
        <v>% Chg</v>
      </c>
      <c r="BL62" s="704" t="str">
        <f t="shared" si="64"/>
        <v>4Q09</v>
      </c>
      <c r="BM62" s="706" t="str">
        <f t="shared" ref="BM62:DX62" si="65">BM$5</f>
        <v>% Chg</v>
      </c>
      <c r="BN62" s="704" t="str">
        <f t="shared" si="64"/>
        <v>1Q10</v>
      </c>
      <c r="BO62" s="706" t="str">
        <f t="shared" si="65"/>
        <v>% Chg</v>
      </c>
      <c r="BP62" s="704" t="str">
        <f t="shared" si="64"/>
        <v>2Q10</v>
      </c>
      <c r="BQ62" s="706" t="str">
        <f t="shared" si="65"/>
        <v>% Chg</v>
      </c>
      <c r="BR62" s="704" t="str">
        <f t="shared" si="64"/>
        <v>3Q10</v>
      </c>
      <c r="BS62" s="706" t="str">
        <f t="shared" si="65"/>
        <v>% Chg</v>
      </c>
      <c r="BT62" s="704" t="str">
        <f t="shared" si="64"/>
        <v>4Q10</v>
      </c>
      <c r="BU62" s="706" t="str">
        <f t="shared" si="65"/>
        <v>% Chg</v>
      </c>
      <c r="BV62" s="704" t="str">
        <f t="shared" si="64"/>
        <v>1Q11</v>
      </c>
      <c r="BW62" s="706" t="str">
        <f t="shared" si="65"/>
        <v>% Chg</v>
      </c>
      <c r="BX62" s="704" t="str">
        <f t="shared" si="64"/>
        <v>2Q11</v>
      </c>
      <c r="BY62" s="706" t="str">
        <f t="shared" si="65"/>
        <v>% Chg</v>
      </c>
      <c r="BZ62" s="704" t="str">
        <f t="shared" si="64"/>
        <v>3Q11</v>
      </c>
      <c r="CA62" s="706" t="str">
        <f t="shared" si="65"/>
        <v>% Chg</v>
      </c>
      <c r="CB62" s="704" t="str">
        <f t="shared" si="64"/>
        <v>4Q11</v>
      </c>
      <c r="CC62" s="706" t="str">
        <f t="shared" si="65"/>
        <v>% Chg</v>
      </c>
      <c r="CD62" s="704" t="str">
        <f t="shared" si="64"/>
        <v>1Q12</v>
      </c>
      <c r="CE62" s="706" t="str">
        <f t="shared" si="65"/>
        <v>% Chg</v>
      </c>
      <c r="CF62" s="704" t="str">
        <f t="shared" si="64"/>
        <v>2Q12</v>
      </c>
      <c r="CG62" s="706" t="str">
        <f t="shared" si="65"/>
        <v>% Chg</v>
      </c>
      <c r="CH62" s="704" t="str">
        <f t="shared" si="64"/>
        <v>3Q12</v>
      </c>
      <c r="CI62" s="706" t="str">
        <f t="shared" si="65"/>
        <v>% Chg</v>
      </c>
      <c r="CJ62" s="704" t="str">
        <f t="shared" si="64"/>
        <v>4Q12</v>
      </c>
      <c r="CK62" s="706" t="str">
        <f t="shared" si="65"/>
        <v>% Chg</v>
      </c>
      <c r="CL62" s="673" t="str">
        <f t="shared" si="64"/>
        <v>1Q13</v>
      </c>
      <c r="CM62" s="675" t="str">
        <f t="shared" si="65"/>
        <v>% Chg</v>
      </c>
      <c r="CN62" s="673" t="str">
        <f t="shared" si="64"/>
        <v>2Q13</v>
      </c>
      <c r="CO62" s="675" t="str">
        <f t="shared" si="65"/>
        <v>% Chg</v>
      </c>
      <c r="CP62" s="673" t="str">
        <f t="shared" si="64"/>
        <v>3Q13</v>
      </c>
      <c r="CQ62" s="675" t="str">
        <f t="shared" si="65"/>
        <v>% Chg</v>
      </c>
      <c r="CR62" s="673" t="str">
        <f t="shared" si="64"/>
        <v>4Q13</v>
      </c>
      <c r="CS62" s="675" t="str">
        <f t="shared" si="65"/>
        <v>% Chg</v>
      </c>
      <c r="CT62" s="673" t="str">
        <f t="shared" si="64"/>
        <v>1Q14</v>
      </c>
      <c r="CU62" s="675" t="str">
        <f t="shared" si="65"/>
        <v>% Chg</v>
      </c>
      <c r="CV62" s="673" t="str">
        <f t="shared" si="64"/>
        <v>2Q14</v>
      </c>
      <c r="CW62" s="675" t="str">
        <f t="shared" si="65"/>
        <v>% Chg</v>
      </c>
      <c r="CX62" s="673" t="str">
        <f t="shared" si="64"/>
        <v>3Q14</v>
      </c>
      <c r="CY62" s="675" t="str">
        <f t="shared" si="65"/>
        <v>% Chg</v>
      </c>
      <c r="CZ62" s="673" t="str">
        <f t="shared" si="64"/>
        <v>4Q14</v>
      </c>
      <c r="DA62" s="675" t="str">
        <f t="shared" si="65"/>
        <v>% Chg</v>
      </c>
      <c r="DB62" s="673" t="str">
        <f t="shared" si="64"/>
        <v>1Q15</v>
      </c>
      <c r="DC62" s="675" t="str">
        <f t="shared" si="65"/>
        <v>% Chg</v>
      </c>
      <c r="DD62" s="673" t="str">
        <f t="shared" si="64"/>
        <v>2Q15</v>
      </c>
      <c r="DE62" s="675" t="str">
        <f t="shared" si="65"/>
        <v>% Chg</v>
      </c>
      <c r="DF62" s="673" t="str">
        <f t="shared" si="64"/>
        <v>3Q15</v>
      </c>
      <c r="DG62" s="675" t="str">
        <f t="shared" si="65"/>
        <v>% Chg</v>
      </c>
      <c r="DH62" s="673" t="str">
        <f t="shared" si="64"/>
        <v>4Q15</v>
      </c>
      <c r="DI62" s="675" t="str">
        <f t="shared" si="65"/>
        <v>% Chg</v>
      </c>
      <c r="DJ62" s="673" t="str">
        <f t="shared" si="64"/>
        <v>1Q16</v>
      </c>
      <c r="DK62" s="675" t="str">
        <f t="shared" si="65"/>
        <v>% Chg</v>
      </c>
      <c r="DL62" s="673" t="str">
        <f t="shared" si="64"/>
        <v>2Q16</v>
      </c>
      <c r="DM62" s="675" t="str">
        <f t="shared" si="65"/>
        <v>% Chg</v>
      </c>
      <c r="DN62" s="673" t="str">
        <f t="shared" si="64"/>
        <v>3Q16</v>
      </c>
      <c r="DO62" s="675" t="str">
        <f t="shared" si="65"/>
        <v>% Chg</v>
      </c>
      <c r="DP62" s="673" t="str">
        <f t="shared" si="64"/>
        <v>4Q16</v>
      </c>
      <c r="DQ62" s="675" t="str">
        <f t="shared" si="65"/>
        <v>% Chg</v>
      </c>
      <c r="DR62" s="673" t="str">
        <f t="shared" si="64"/>
        <v>1Q17</v>
      </c>
      <c r="DS62" s="675" t="str">
        <f t="shared" si="65"/>
        <v>% Chg</v>
      </c>
      <c r="DT62" s="673" t="str">
        <f t="shared" si="65"/>
        <v>2Q17</v>
      </c>
      <c r="DU62" s="675" t="str">
        <f t="shared" si="65"/>
        <v>% Chg</v>
      </c>
      <c r="DV62" s="673" t="str">
        <f t="shared" si="65"/>
        <v>3Q17</v>
      </c>
      <c r="DW62" s="675" t="str">
        <f t="shared" si="65"/>
        <v>% Chg</v>
      </c>
      <c r="DX62" s="673" t="str">
        <f t="shared" si="65"/>
        <v>4Q17</v>
      </c>
      <c r="DY62" s="675" t="str">
        <f t="shared" ref="DY62:EG62" si="66">DY$5</f>
        <v>% Chg</v>
      </c>
      <c r="DZ62" s="673" t="str">
        <f t="shared" si="66"/>
        <v>1Q18E</v>
      </c>
      <c r="EA62" s="675" t="str">
        <f t="shared" si="66"/>
        <v>% Chg</v>
      </c>
      <c r="EB62" s="673" t="str">
        <f t="shared" si="66"/>
        <v>2Q18E</v>
      </c>
      <c r="EC62" s="675" t="str">
        <f t="shared" si="66"/>
        <v>% Chg</v>
      </c>
      <c r="ED62" s="673" t="str">
        <f t="shared" si="66"/>
        <v>3Q18E</v>
      </c>
      <c r="EE62" s="675" t="str">
        <f t="shared" si="66"/>
        <v>% Chg</v>
      </c>
      <c r="EF62" s="673" t="str">
        <f t="shared" si="66"/>
        <v>4Q18E</v>
      </c>
      <c r="EG62" s="675" t="str">
        <f t="shared" si="66"/>
        <v>% Chg</v>
      </c>
      <c r="EH62" s="675"/>
      <c r="EI62" s="673" t="str">
        <f t="shared" ref="EI62:FZ62" si="67">EI$5</f>
        <v>2001</v>
      </c>
      <c r="EJ62" s="674" t="str">
        <f t="shared" si="67"/>
        <v>% Chg</v>
      </c>
      <c r="EK62" s="673" t="str">
        <f t="shared" si="67"/>
        <v>2002</v>
      </c>
      <c r="EL62" s="674" t="str">
        <f t="shared" si="67"/>
        <v>% Chg</v>
      </c>
      <c r="EM62" s="673" t="str">
        <f t="shared" si="67"/>
        <v>2003</v>
      </c>
      <c r="EN62" s="674" t="str">
        <f t="shared" si="67"/>
        <v>% Chg</v>
      </c>
      <c r="EO62" s="673" t="str">
        <f t="shared" si="67"/>
        <v>2004</v>
      </c>
      <c r="EP62" s="674" t="str">
        <f t="shared" si="67"/>
        <v>% Chg</v>
      </c>
      <c r="EQ62" s="673" t="str">
        <f t="shared" si="67"/>
        <v>2005</v>
      </c>
      <c r="ER62" s="675" t="str">
        <f t="shared" si="67"/>
        <v>% Chg</v>
      </c>
      <c r="ES62" s="676">
        <f t="shared" si="67"/>
        <v>2006</v>
      </c>
      <c r="ET62" s="675" t="str">
        <f t="shared" si="67"/>
        <v>% Chg</v>
      </c>
      <c r="EU62" s="676">
        <f t="shared" si="67"/>
        <v>2007</v>
      </c>
      <c r="EV62" s="675" t="str">
        <f t="shared" si="67"/>
        <v>% Chg</v>
      </c>
      <c r="EW62" s="676">
        <f t="shared" si="67"/>
        <v>2008</v>
      </c>
      <c r="EX62" s="675" t="str">
        <f>EX$5</f>
        <v>% Chg</v>
      </c>
      <c r="EY62" s="673" t="str">
        <f t="shared" si="67"/>
        <v>2009</v>
      </c>
      <c r="EZ62" s="675" t="str">
        <f t="shared" si="67"/>
        <v>% Chg</v>
      </c>
      <c r="FA62" s="673" t="str">
        <f t="shared" si="67"/>
        <v>2010</v>
      </c>
      <c r="FB62" s="675" t="str">
        <f t="shared" si="67"/>
        <v>% Chg</v>
      </c>
      <c r="FC62" s="673" t="str">
        <f t="shared" si="67"/>
        <v>2011</v>
      </c>
      <c r="FD62" s="675" t="str">
        <f t="shared" si="67"/>
        <v>% Chg</v>
      </c>
      <c r="FE62" s="673" t="str">
        <f t="shared" si="67"/>
        <v>2012</v>
      </c>
      <c r="FF62" s="675" t="str">
        <f t="shared" si="67"/>
        <v>% Chg</v>
      </c>
      <c r="FG62" s="673" t="str">
        <f t="shared" si="67"/>
        <v>2013</v>
      </c>
      <c r="FH62" s="675" t="str">
        <f t="shared" si="67"/>
        <v>% Chg</v>
      </c>
      <c r="FI62" s="673" t="str">
        <f t="shared" si="67"/>
        <v>2014</v>
      </c>
      <c r="FJ62" s="675" t="str">
        <f t="shared" si="67"/>
        <v>% Chg</v>
      </c>
      <c r="FK62" s="673" t="str">
        <f t="shared" si="67"/>
        <v>2015</v>
      </c>
      <c r="FL62" s="675" t="str">
        <f t="shared" si="67"/>
        <v>% Chg</v>
      </c>
      <c r="FM62" s="673" t="str">
        <f t="shared" si="67"/>
        <v>2016</v>
      </c>
      <c r="FN62" s="675" t="str">
        <f t="shared" si="67"/>
        <v>% Chg</v>
      </c>
      <c r="FO62" s="673" t="str">
        <f t="shared" si="67"/>
        <v>2017</v>
      </c>
      <c r="FP62" s="675" t="str">
        <f t="shared" si="67"/>
        <v>% Chg</v>
      </c>
      <c r="FQ62" s="673" t="str">
        <f t="shared" si="67"/>
        <v>2018E</v>
      </c>
      <c r="FR62" s="675" t="str">
        <f t="shared" si="67"/>
        <v>% Chg</v>
      </c>
      <c r="FS62" s="673" t="str">
        <f t="shared" si="67"/>
        <v>2019E</v>
      </c>
      <c r="FT62" s="675" t="str">
        <f t="shared" si="67"/>
        <v>% Chg</v>
      </c>
      <c r="FU62" s="673" t="str">
        <f t="shared" si="67"/>
        <v>2020E</v>
      </c>
      <c r="FV62" s="675" t="str">
        <f t="shared" si="67"/>
        <v>% Chg</v>
      </c>
      <c r="FW62" s="673" t="str">
        <f t="shared" si="67"/>
        <v>2021E</v>
      </c>
      <c r="FX62" s="675" t="str">
        <f t="shared" si="67"/>
        <v>% Chg</v>
      </c>
      <c r="FY62" s="673" t="str">
        <f t="shared" si="67"/>
        <v>2022E</v>
      </c>
      <c r="FZ62" s="675" t="str">
        <f t="shared" si="67"/>
        <v>% Chg</v>
      </c>
      <c r="GA62" s="990" t="s">
        <v>351</v>
      </c>
    </row>
    <row r="63" spans="1:183" s="707" customFormat="1" ht="4.5" customHeight="1" x14ac:dyDescent="0.2">
      <c r="A63" s="1018"/>
      <c r="B63" s="664"/>
      <c r="C63" s="665"/>
      <c r="D63" s="664"/>
      <c r="E63" s="665"/>
      <c r="F63" s="664"/>
      <c r="G63" s="665"/>
      <c r="H63" s="664"/>
      <c r="I63" s="665"/>
      <c r="J63" s="664"/>
      <c r="K63" s="665"/>
      <c r="L63" s="664"/>
      <c r="M63" s="665"/>
      <c r="N63" s="664"/>
      <c r="O63" s="665"/>
      <c r="P63" s="664"/>
      <c r="Q63" s="665"/>
      <c r="R63" s="664"/>
      <c r="S63" s="665"/>
      <c r="T63" s="664"/>
      <c r="U63" s="665"/>
      <c r="V63" s="664"/>
      <c r="W63" s="665"/>
      <c r="X63" s="664"/>
      <c r="Y63" s="665"/>
      <c r="Z63" s="664"/>
      <c r="AA63" s="665"/>
      <c r="AB63" s="664"/>
      <c r="AC63" s="665"/>
      <c r="AD63" s="664"/>
      <c r="AE63" s="665"/>
      <c r="AF63" s="664"/>
      <c r="AG63" s="665"/>
      <c r="AH63" s="664"/>
      <c r="AI63" s="665"/>
      <c r="AJ63" s="664"/>
      <c r="AK63" s="665"/>
      <c r="AL63" s="664"/>
      <c r="AM63" s="665"/>
      <c r="AN63" s="664"/>
      <c r="AO63" s="667"/>
      <c r="AP63" s="664"/>
      <c r="AQ63" s="667"/>
      <c r="AR63" s="664"/>
      <c r="AS63" s="667"/>
      <c r="AT63" s="664"/>
      <c r="AU63" s="667"/>
      <c r="AV63" s="664"/>
      <c r="AW63" s="667"/>
      <c r="AX63" s="664"/>
      <c r="AY63" s="667"/>
      <c r="AZ63" s="664"/>
      <c r="BA63" s="667"/>
      <c r="BB63" s="664"/>
      <c r="BC63" s="667"/>
      <c r="BD63" s="664"/>
      <c r="BE63" s="667"/>
      <c r="BF63" s="664"/>
      <c r="BG63" s="667"/>
      <c r="BH63" s="664"/>
      <c r="BI63" s="667"/>
      <c r="BJ63" s="664"/>
      <c r="BK63" s="667"/>
      <c r="BL63" s="664"/>
      <c r="BM63" s="667"/>
      <c r="BN63" s="664"/>
      <c r="BO63" s="667"/>
      <c r="BP63" s="664"/>
      <c r="BQ63" s="667"/>
      <c r="BR63" s="664"/>
      <c r="BS63" s="667"/>
      <c r="BT63" s="664"/>
      <c r="BU63" s="667"/>
      <c r="BV63" s="664"/>
      <c r="BW63" s="667"/>
      <c r="BX63" s="664"/>
      <c r="BY63" s="667"/>
      <c r="BZ63" s="664"/>
      <c r="CA63" s="667"/>
      <c r="CB63" s="664"/>
      <c r="CC63" s="667"/>
      <c r="CD63" s="664"/>
      <c r="CE63" s="667"/>
      <c r="CF63" s="664"/>
      <c r="CG63" s="667"/>
      <c r="CH63" s="664"/>
      <c r="CI63" s="667"/>
      <c r="CJ63" s="664"/>
      <c r="CK63" s="667"/>
      <c r="CL63" s="669"/>
      <c r="CM63" s="670"/>
      <c r="CN63" s="669"/>
      <c r="CO63" s="670"/>
      <c r="CP63" s="669"/>
      <c r="CQ63" s="670"/>
      <c r="CR63" s="669"/>
      <c r="CS63" s="670"/>
      <c r="CT63" s="669"/>
      <c r="CU63" s="670"/>
      <c r="CV63" s="669"/>
      <c r="CW63" s="670"/>
      <c r="CX63" s="669"/>
      <c r="CY63" s="670"/>
      <c r="CZ63" s="669"/>
      <c r="DA63" s="670"/>
      <c r="DB63" s="669"/>
      <c r="DC63" s="670"/>
      <c r="DD63" s="669"/>
      <c r="DE63" s="670"/>
      <c r="DF63" s="669"/>
      <c r="DG63" s="670"/>
      <c r="DH63" s="669"/>
      <c r="DI63" s="670"/>
      <c r="DJ63" s="669"/>
      <c r="DK63" s="670"/>
      <c r="DL63" s="669"/>
      <c r="DM63" s="670"/>
      <c r="DN63" s="669"/>
      <c r="DO63" s="670"/>
      <c r="DP63" s="669"/>
      <c r="DQ63" s="670"/>
      <c r="DR63" s="669"/>
      <c r="DS63" s="670"/>
      <c r="DT63" s="669"/>
      <c r="DU63" s="670"/>
      <c r="DV63" s="669"/>
      <c r="DW63" s="670"/>
      <c r="DX63" s="669"/>
      <c r="DY63" s="670"/>
      <c r="DZ63" s="669"/>
      <c r="EA63" s="670"/>
      <c r="EB63" s="669"/>
      <c r="EC63" s="670"/>
      <c r="ED63" s="669"/>
      <c r="EE63" s="670"/>
      <c r="EF63" s="669"/>
      <c r="EG63" s="670"/>
      <c r="EH63" s="670"/>
      <c r="EI63" s="669"/>
      <c r="EJ63" s="671"/>
      <c r="EK63" s="669"/>
      <c r="EL63" s="671"/>
      <c r="EM63" s="669"/>
      <c r="EN63" s="671"/>
      <c r="EO63" s="669"/>
      <c r="EP63" s="671"/>
      <c r="EQ63" s="669"/>
      <c r="ER63" s="670"/>
      <c r="ES63" s="669"/>
      <c r="ET63" s="670"/>
      <c r="EU63" s="669"/>
      <c r="EV63" s="670"/>
      <c r="EW63" s="669"/>
      <c r="EX63" s="670"/>
      <c r="EY63" s="669"/>
      <c r="EZ63" s="670"/>
      <c r="FA63" s="669"/>
      <c r="FB63" s="670"/>
      <c r="FC63" s="669"/>
      <c r="FD63" s="670"/>
      <c r="FE63" s="669"/>
      <c r="FF63" s="670"/>
      <c r="FG63" s="669"/>
      <c r="FH63" s="670"/>
      <c r="FI63" s="669"/>
      <c r="FJ63" s="670"/>
      <c r="FK63" s="669"/>
      <c r="FL63" s="670"/>
      <c r="FM63" s="669"/>
      <c r="FN63" s="670"/>
      <c r="FO63" s="669"/>
      <c r="FP63" s="670"/>
      <c r="FQ63" s="669"/>
      <c r="FR63" s="670"/>
      <c r="FS63" s="669"/>
      <c r="FT63" s="670"/>
      <c r="FU63" s="669"/>
      <c r="FV63" s="670"/>
      <c r="FW63" s="669"/>
      <c r="FX63" s="670"/>
      <c r="FY63" s="669"/>
      <c r="FZ63" s="670"/>
      <c r="GA63" s="988"/>
    </row>
    <row r="64" spans="1:183" s="707" customFormat="1" ht="12.75" customHeight="1" x14ac:dyDescent="0.2">
      <c r="A64" s="991" t="s">
        <v>292</v>
      </c>
      <c r="B64" s="664"/>
      <c r="C64" s="824"/>
      <c r="D64" s="664"/>
      <c r="E64" s="665"/>
      <c r="F64" s="664"/>
      <c r="G64" s="665"/>
      <c r="H64" s="664"/>
      <c r="I64" s="665"/>
      <c r="J64" s="664"/>
      <c r="K64" s="665"/>
      <c r="L64" s="664"/>
      <c r="M64" s="665"/>
      <c r="N64" s="664"/>
      <c r="O64" s="665"/>
      <c r="P64" s="664"/>
      <c r="Q64" s="665"/>
      <c r="R64" s="664"/>
      <c r="S64" s="665"/>
      <c r="T64" s="664"/>
      <c r="U64" s="665"/>
      <c r="V64" s="664"/>
      <c r="W64" s="665"/>
      <c r="X64" s="664"/>
      <c r="Y64" s="665"/>
      <c r="Z64" s="664"/>
      <c r="AA64" s="665"/>
      <c r="AB64" s="664"/>
      <c r="AC64" s="665"/>
      <c r="AD64" s="664"/>
      <c r="AE64" s="665"/>
      <c r="AF64" s="664"/>
      <c r="AG64" s="665"/>
      <c r="AH64" s="664"/>
      <c r="AI64" s="665"/>
      <c r="AJ64" s="664"/>
      <c r="AK64" s="665"/>
      <c r="AL64" s="664"/>
      <c r="AM64" s="665"/>
      <c r="AN64" s="664"/>
      <c r="AO64" s="667"/>
      <c r="AP64" s="664"/>
      <c r="AQ64" s="667"/>
      <c r="AR64" s="664"/>
      <c r="AS64" s="667"/>
      <c r="AT64" s="664"/>
      <c r="AU64" s="667"/>
      <c r="AV64" s="664"/>
      <c r="AW64" s="667"/>
      <c r="AX64" s="664"/>
      <c r="AY64" s="667"/>
      <c r="AZ64" s="664"/>
      <c r="BA64" s="667"/>
      <c r="BB64" s="664"/>
      <c r="BC64" s="667"/>
      <c r="BD64" s="664"/>
      <c r="BE64" s="667"/>
      <c r="BF64" s="664"/>
      <c r="BG64" s="667"/>
      <c r="BH64" s="664"/>
      <c r="BI64" s="667"/>
      <c r="BJ64" s="664"/>
      <c r="BK64" s="667"/>
      <c r="BL64" s="664"/>
      <c r="BM64" s="667"/>
      <c r="BN64" s="664"/>
      <c r="BO64" s="667"/>
      <c r="BP64" s="664"/>
      <c r="BQ64" s="667"/>
      <c r="BR64" s="664"/>
      <c r="BS64" s="667"/>
      <c r="BT64" s="664"/>
      <c r="BU64" s="667"/>
      <c r="BV64" s="664"/>
      <c r="BW64" s="667"/>
      <c r="BX64" s="664"/>
      <c r="BY64" s="667"/>
      <c r="BZ64" s="664"/>
      <c r="CA64" s="667"/>
      <c r="CB64" s="664"/>
      <c r="CC64" s="667"/>
      <c r="CD64" s="664"/>
      <c r="CE64" s="667"/>
      <c r="CF64" s="664"/>
      <c r="CG64" s="667"/>
      <c r="CH64" s="664"/>
      <c r="CI64" s="667"/>
      <c r="CJ64" s="664"/>
      <c r="CK64" s="667"/>
      <c r="CL64" s="669"/>
      <c r="CM64" s="670"/>
      <c r="CN64" s="669"/>
      <c r="CO64" s="670"/>
      <c r="CP64" s="669"/>
      <c r="CQ64" s="670"/>
      <c r="CR64" s="669"/>
      <c r="CS64" s="670"/>
      <c r="CT64" s="669"/>
      <c r="CU64" s="670"/>
      <c r="CV64" s="669"/>
      <c r="CW64" s="670"/>
      <c r="CX64" s="669"/>
      <c r="CY64" s="670"/>
      <c r="CZ64" s="669"/>
      <c r="DA64" s="670"/>
      <c r="DB64" s="669"/>
      <c r="DC64" s="670"/>
      <c r="DD64" s="669"/>
      <c r="DE64" s="670"/>
      <c r="DF64" s="669"/>
      <c r="DG64" s="670"/>
      <c r="DH64" s="669"/>
      <c r="DI64" s="670"/>
      <c r="DJ64" s="669"/>
      <c r="DK64" s="670"/>
      <c r="DL64" s="669"/>
      <c r="DM64" s="670"/>
      <c r="DN64" s="669"/>
      <c r="DO64" s="670"/>
      <c r="DP64" s="669"/>
      <c r="DQ64" s="670"/>
      <c r="DR64" s="669"/>
      <c r="DS64" s="670"/>
      <c r="DT64" s="669"/>
      <c r="DU64" s="670"/>
      <c r="DV64" s="669"/>
      <c r="DW64" s="670"/>
      <c r="DX64" s="669"/>
      <c r="DY64" s="670"/>
      <c r="DZ64" s="669"/>
      <c r="EA64" s="670"/>
      <c r="EB64" s="669"/>
      <c r="EC64" s="670"/>
      <c r="ED64" s="669"/>
      <c r="EE64" s="670"/>
      <c r="EF64" s="669"/>
      <c r="EG64" s="670"/>
      <c r="EH64" s="670"/>
      <c r="EI64" s="669"/>
      <c r="EJ64" s="671"/>
      <c r="EK64" s="669"/>
      <c r="EL64" s="671"/>
      <c r="EM64" s="669"/>
      <c r="EN64" s="671"/>
      <c r="EO64" s="669"/>
      <c r="EP64" s="671"/>
      <c r="EQ64" s="669"/>
      <c r="ER64" s="670"/>
      <c r="ES64" s="669"/>
      <c r="ET64" s="670"/>
      <c r="EU64" s="669"/>
      <c r="EV64" s="670"/>
      <c r="EW64" s="669"/>
      <c r="EX64" s="670"/>
      <c r="EY64" s="669"/>
      <c r="EZ64" s="670"/>
      <c r="FA64" s="669"/>
      <c r="FB64" s="670"/>
      <c r="FC64" s="669"/>
      <c r="FD64" s="670"/>
      <c r="FE64" s="669"/>
      <c r="FF64" s="670"/>
      <c r="FG64" s="669"/>
      <c r="FH64" s="670"/>
      <c r="FI64" s="669"/>
      <c r="FJ64" s="670"/>
      <c r="FK64" s="669"/>
      <c r="FL64" s="670"/>
      <c r="FM64" s="669"/>
      <c r="FN64" s="670"/>
      <c r="FO64" s="669"/>
      <c r="FP64" s="670"/>
      <c r="FQ64" s="669"/>
      <c r="FR64" s="670"/>
      <c r="FS64" s="669"/>
      <c r="FT64" s="670"/>
      <c r="FU64" s="669"/>
      <c r="FV64" s="670"/>
      <c r="FW64" s="669"/>
      <c r="FX64" s="670"/>
      <c r="FY64" s="669"/>
      <c r="FZ64" s="670"/>
      <c r="GA64" s="988"/>
    </row>
    <row r="65" spans="1:183" s="707" customFormat="1" ht="12.75" customHeight="1" x14ac:dyDescent="0.2">
      <c r="A65" s="993" t="str">
        <f>INPUT!B482</f>
        <v>Outstanding Shares (EOP)</v>
      </c>
      <c r="B65" s="664">
        <f>INPUT!M482</f>
        <v>242.925119</v>
      </c>
      <c r="C65" s="824">
        <f>INPUT!N482</f>
        <v>0.64022104919279066</v>
      </c>
      <c r="D65" s="664">
        <f>INPUT!O482</f>
        <v>241.387655</v>
      </c>
      <c r="E65" s="665">
        <f>INPUT!P482</f>
        <v>-0.24564093515329066</v>
      </c>
      <c r="F65" s="664">
        <f>INPUT!Q482</f>
        <v>241.50400200000001</v>
      </c>
      <c r="G65" s="665">
        <f>INPUT!R482</f>
        <v>-0.22710166268469223</v>
      </c>
      <c r="H65" s="664">
        <f>INPUT!S482</f>
        <v>241.58725999999999</v>
      </c>
      <c r="I65" s="665">
        <f>INPUT!T482</f>
        <v>-0.26069044107375205</v>
      </c>
      <c r="J65" s="664">
        <f>INPUT!U482</f>
        <v>241.644012</v>
      </c>
      <c r="K65" s="665">
        <f>INPUT!V482</f>
        <v>-0.52736703609477242</v>
      </c>
      <c r="L65" s="664">
        <f>INPUT!W482</f>
        <v>295.96013199999999</v>
      </c>
      <c r="M65" s="665">
        <f>INPUT!X482</f>
        <v>22.607816045936559</v>
      </c>
      <c r="N65" s="664">
        <f>INPUT!Y482</f>
        <v>296.061937</v>
      </c>
      <c r="O65" s="665">
        <f>INPUT!Z482</f>
        <v>22.590903069175639</v>
      </c>
      <c r="P65" s="664">
        <f>INPUT!AA482</f>
        <v>296.14342199999999</v>
      </c>
      <c r="Q65" s="665">
        <f>INPUT!AB482</f>
        <v>22.582383690265793</v>
      </c>
      <c r="R65" s="664">
        <f>INPUT!AC482</f>
        <v>296.291201</v>
      </c>
      <c r="S65" s="665">
        <f>INPUT!AD482</f>
        <v>22.614749915673471</v>
      </c>
      <c r="T65" s="664">
        <f>INPUT!AE482</f>
        <v>296.40553199999999</v>
      </c>
      <c r="U65" s="665">
        <f>INPUT!AF482</f>
        <v>0.15049324278582077</v>
      </c>
      <c r="V65" s="664">
        <f>INPUT!AG482</f>
        <v>296.491489</v>
      </c>
      <c r="W65" s="665">
        <f>INPUT!AH482</f>
        <v>0.14508855962798162</v>
      </c>
      <c r="X65" s="664">
        <f>INPUT!AI482</f>
        <v>296.54591299999998</v>
      </c>
      <c r="Y65" s="665">
        <f>INPUT!AJ482</f>
        <v>0.13591083579767016</v>
      </c>
      <c r="Z65" s="664">
        <f>INPUT!AK482</f>
        <v>297.80119300000001</v>
      </c>
      <c r="AA65" s="665">
        <f>INPUT!AL482</f>
        <v>0.50963106393429047</v>
      </c>
      <c r="AB65" s="664">
        <f>INPUT!AM482</f>
        <v>297.8</v>
      </c>
      <c r="AC65" s="665">
        <f>INPUT!AN482</f>
        <v>0.47045950545889781</v>
      </c>
      <c r="AD65" s="664">
        <f>INPUT!AO482</f>
        <v>298.01924700000001</v>
      </c>
      <c r="AE65" s="665">
        <f>INPUT!AP482</f>
        <v>0.51527887196789468</v>
      </c>
      <c r="AF65" s="664">
        <f>INPUT!AQ482</f>
        <v>298.55776400000002</v>
      </c>
      <c r="AG65" s="665">
        <f>INPUT!AR482</f>
        <v>0.6784281663662739</v>
      </c>
      <c r="AH65" s="664">
        <f>INPUT!AS482</f>
        <v>299.41765099999998</v>
      </c>
      <c r="AI65" s="665">
        <f>INPUT!AT482</f>
        <v>0.54279769121003962</v>
      </c>
      <c r="AJ65" s="664">
        <f>INPUT!AU482</f>
        <v>342.51835</v>
      </c>
      <c r="AK65" s="665">
        <f>INPUT!AV482</f>
        <v>15.016235728676964</v>
      </c>
      <c r="AL65" s="664">
        <f>INPUT!AW482</f>
        <v>342.54172199999999</v>
      </c>
      <c r="AM65" s="665">
        <f>INPUT!AX482</f>
        <v>14.939462953545402</v>
      </c>
      <c r="AN65" s="664">
        <f>INPUT!AY482</f>
        <v>342.627521</v>
      </c>
      <c r="AO65" s="667">
        <f>INPUT!AZ482</f>
        <v>14.760881247757451</v>
      </c>
      <c r="AP65" s="664">
        <f>INPUT!BA482</f>
        <v>342.80295999999998</v>
      </c>
      <c r="AQ65" s="667">
        <f>INPUT!BB482</f>
        <v>14.489896923277911</v>
      </c>
      <c r="AR65" s="664">
        <f>INPUT!BC482</f>
        <v>360.79715399999998</v>
      </c>
      <c r="AS65" s="667">
        <f>INPUT!BD482</f>
        <v>5.3365911636559016</v>
      </c>
      <c r="AT65" s="664">
        <f>INPUT!BE482</f>
        <v>360.79715399999998</v>
      </c>
      <c r="AU65" s="667">
        <f>INPUT!BF482</f>
        <v>5.3294039317055786</v>
      </c>
      <c r="AV65" s="664">
        <f>INPUT!BG482</f>
        <v>360.89347500000002</v>
      </c>
      <c r="AW65" s="667">
        <f>INPUT!BH482</f>
        <v>5.3311403435102322</v>
      </c>
      <c r="AX65" s="664">
        <f>INPUT!BI482</f>
        <v>346.29318599999999</v>
      </c>
      <c r="AY65" s="667">
        <f>INPUT!BJ482</f>
        <v>1.0181434839419135</v>
      </c>
      <c r="AZ65" s="664">
        <f>INPUT!BK482</f>
        <v>345.45389899999998</v>
      </c>
      <c r="BA65" s="667">
        <f>INPUT!BL482</f>
        <v>-4.2525986776492104</v>
      </c>
      <c r="BB65" s="664">
        <f>INPUT!BM482</f>
        <v>333.05986000000001</v>
      </c>
      <c r="BC65" s="667">
        <f>INPUT!BN482</f>
        <v>-7.6877807079376197</v>
      </c>
      <c r="BD65" s="664">
        <f>INPUT!BO482</f>
        <v>331.12034499999999</v>
      </c>
      <c r="BE65" s="667">
        <f>INPUT!BP482</f>
        <v>-8.2498388201670991</v>
      </c>
      <c r="BF65" s="664">
        <f>INPUT!BQ482</f>
        <v>331.20752700000003</v>
      </c>
      <c r="BG65" s="667">
        <f>INPUT!BR482</f>
        <v>-4.3563256829431189</v>
      </c>
      <c r="BH65" s="664">
        <f>INPUT!BS482</f>
        <v>331.32810899999998</v>
      </c>
      <c r="BI65" s="667">
        <f>INPUT!BT482</f>
        <v>-4.0890521255920191</v>
      </c>
      <c r="BJ65" s="664">
        <f>INPUT!BU482</f>
        <v>331.63181900000001</v>
      </c>
      <c r="BK65" s="667">
        <f>INPUT!BV482</f>
        <v>-0.42876406661553901</v>
      </c>
      <c r="BL65" s="664">
        <f>INPUT!BW482</f>
        <v>331.80924700000003</v>
      </c>
      <c r="BM65" s="667">
        <f>INPUT!BX482</f>
        <v>0.20805184894332474</v>
      </c>
      <c r="BN65" s="664">
        <f>INPUT!BY482</f>
        <v>332.77545199999997</v>
      </c>
      <c r="BO65" s="667">
        <f>INPUT!BZ482</f>
        <v>0.47339654814062548</v>
      </c>
      <c r="BP65" s="664">
        <f>INPUT!CA482</f>
        <v>327.14199300000001</v>
      </c>
      <c r="BQ65" s="667">
        <f>INPUT!CB482</f>
        <v>-1.2634352130986737</v>
      </c>
      <c r="BR65" s="664">
        <f>INPUT!CC482</f>
        <v>317.79000000000002</v>
      </c>
      <c r="BS65" s="667">
        <f>INPUT!CD482</f>
        <v>-4.1738513034540787</v>
      </c>
      <c r="BT65" s="664">
        <f>INPUT!CE482</f>
        <v>316.57345199999997</v>
      </c>
      <c r="BU65" s="667">
        <f>INPUT!CF482</f>
        <v>-4.5917330929599043</v>
      </c>
      <c r="BV65" s="664">
        <f>INPUT!CG482</f>
        <v>308.96623699999998</v>
      </c>
      <c r="BW65" s="667">
        <f>INPUT!CH482</f>
        <v>-7.15473898597544</v>
      </c>
      <c r="BX65" s="664">
        <f>INPUT!CI482</f>
        <v>303.38691399999999</v>
      </c>
      <c r="BY65" s="667">
        <f>INPUT!CJ482</f>
        <v>-7.2613970411313122</v>
      </c>
      <c r="BZ65" s="664">
        <f>INPUT!CK482</f>
        <v>292.33694500000001</v>
      </c>
      <c r="CA65" s="667">
        <f>INPUT!CL482</f>
        <v>-8.0093945687403689</v>
      </c>
      <c r="CB65" s="664">
        <f>INPUT!CM482</f>
        <v>292.71595400000001</v>
      </c>
      <c r="CC65" s="667">
        <f>INPUT!CN482</f>
        <v>-7.536165098266034</v>
      </c>
      <c r="CD65" s="664">
        <f>INPUT!CO482</f>
        <v>285.81240100000002</v>
      </c>
      <c r="CE65" s="667">
        <f>INPUT!CP482</f>
        <v>-7.4939696404432539</v>
      </c>
      <c r="CF65" s="664">
        <f>INPUT!CQ482</f>
        <v>280.04681299999999</v>
      </c>
      <c r="CG65" s="667">
        <f>INPUT!CR482</f>
        <v>-7.6931798712979393</v>
      </c>
      <c r="CH65" s="664">
        <f>INPUT!CS482</f>
        <v>275.08528699999999</v>
      </c>
      <c r="CI65" s="667">
        <f>INPUT!CT482</f>
        <v>-5.9012924281602537</v>
      </c>
      <c r="CJ65" s="664">
        <f>INPUT!CU482</f>
        <v>270.20518499999997</v>
      </c>
      <c r="CK65" s="667">
        <f>INPUT!CV482</f>
        <v>-7.6903116117818531</v>
      </c>
      <c r="CL65" s="669">
        <f>INPUT!CW482</f>
        <v>266.96779800000002</v>
      </c>
      <c r="CM65" s="670">
        <f>INPUT!CX482</f>
        <v>-6.5933468716075749</v>
      </c>
      <c r="CN65" s="669">
        <f>INPUT!CY482</f>
        <v>263.56494099999998</v>
      </c>
      <c r="CO65" s="670">
        <f>INPUT!CZ482</f>
        <v>-5.8853988815077196</v>
      </c>
      <c r="CP65" s="669">
        <f>INPUT!DA482</f>
        <v>261.13963799999999</v>
      </c>
      <c r="CQ65" s="670">
        <f>INPUT!DB482</f>
        <v>-5.0695728412403218</v>
      </c>
      <c r="CR65" s="669">
        <f>INPUT!DC482</f>
        <v>260</v>
      </c>
      <c r="CS65" s="670">
        <f>INPUT!DD482</f>
        <v>-3.7768279687156903</v>
      </c>
      <c r="CT65" s="669">
        <f>INPUT!DE482</f>
        <v>257.60000000000002</v>
      </c>
      <c r="CU65" s="670">
        <f>INPUT!DF482</f>
        <v>-3.5089617812257612</v>
      </c>
      <c r="CV65" s="669">
        <f>INPUT!DG482</f>
        <v>254.8</v>
      </c>
      <c r="CW65" s="670">
        <f>INPUT!DH482</f>
        <v>-3.3255337249122108</v>
      </c>
      <c r="CX65" s="669">
        <f>INPUT!DI482</f>
        <v>251.9</v>
      </c>
      <c r="CY65" s="670">
        <f>INPUT!DJ482</f>
        <v>-3.53819821102761</v>
      </c>
      <c r="CZ65" s="669">
        <f>INPUT!DK482</f>
        <v>252.3</v>
      </c>
      <c r="DA65" s="670">
        <f>INPUT!DL482</f>
        <v>-2.9615384615384599</v>
      </c>
      <c r="DB65" s="669">
        <f>INPUT!DM482</f>
        <v>249.5</v>
      </c>
      <c r="DC65" s="670">
        <f>INPUT!DN482</f>
        <v>-3.144409937888204</v>
      </c>
      <c r="DD65" s="669">
        <f>INPUT!DO482</f>
        <v>246.6</v>
      </c>
      <c r="DE65" s="670">
        <f>INPUT!DP482</f>
        <v>-3.2182103610675084</v>
      </c>
      <c r="DF65" s="669">
        <f>INPUT!DQ482</f>
        <v>243.4</v>
      </c>
      <c r="DG65" s="670">
        <f>INPUT!DR482</f>
        <v>-3.374354902739185</v>
      </c>
      <c r="DH65" s="669">
        <f>INPUT!DS482</f>
        <v>240.9</v>
      </c>
      <c r="DI65" s="670">
        <f>INPUT!DT482</f>
        <v>-4.5184304399524367</v>
      </c>
      <c r="DJ65" s="669">
        <f>INPUT!DU482</f>
        <v>237.74</v>
      </c>
      <c r="DK65" s="670">
        <f>INPUT!DV482</f>
        <v>-4.7134268537074142</v>
      </c>
      <c r="DL65" s="669">
        <f>INPUT!DW482</f>
        <v>235.03</v>
      </c>
      <c r="DM65" s="670">
        <f>INPUT!DX482</f>
        <v>-4.6918085969180794</v>
      </c>
      <c r="DN65" s="669">
        <f>INPUT!DY482</f>
        <v>232.1</v>
      </c>
      <c r="DO65" s="670">
        <f>INPUT!DZ482</f>
        <v>-4.6425636811832423</v>
      </c>
      <c r="DP65" s="669">
        <f>INPUT!EA482</f>
        <v>229.8</v>
      </c>
      <c r="DQ65" s="670">
        <f>INPUT!EB482</f>
        <v>-4.6077210460772067</v>
      </c>
      <c r="DR65" s="669">
        <f>INPUT!EC482</f>
        <v>228.1</v>
      </c>
      <c r="DS65" s="670">
        <f>INPUT!ED482</f>
        <v>-4.0548498359552543</v>
      </c>
      <c r="DT65" s="669">
        <f>INPUT!EE482</f>
        <v>226.1</v>
      </c>
      <c r="DU65" s="670">
        <f>INPUT!EF482</f>
        <v>-3.7995149555375973</v>
      </c>
      <c r="DV65" s="669">
        <f>INPUT!EG482</f>
        <v>224.4</v>
      </c>
      <c r="DW65" s="670">
        <f>INPUT!EH482</f>
        <v>-3.3175355450236865</v>
      </c>
      <c r="DX65" s="669">
        <f>INPUT!EI482</f>
        <v>222.5</v>
      </c>
      <c r="DY65" s="670">
        <f>INPUT!EJ482</f>
        <v>-3.1766753698868611</v>
      </c>
      <c r="DZ65" s="669">
        <f>INPUT!EK482</f>
        <v>220.58610041249085</v>
      </c>
      <c r="EA65" s="670">
        <f>INPUT!EL482</f>
        <v>-3.2941252027659518</v>
      </c>
      <c r="EB65" s="669">
        <f>INPUT!EM482</f>
        <v>218.70159539260493</v>
      </c>
      <c r="EC65" s="670">
        <f>INPUT!EN482</f>
        <v>-3.2721824888965356</v>
      </c>
      <c r="ED65" s="669">
        <f>INPUT!EO482</f>
        <v>216.84496852416888</v>
      </c>
      <c r="EE65" s="670">
        <f>INPUT!EP482</f>
        <v>-3.3667698198890927</v>
      </c>
      <c r="EF65" s="669">
        <f>INPUT!EQ482</f>
        <v>215.01594026899684</v>
      </c>
      <c r="EG65" s="670">
        <f>INPUT!ER482</f>
        <v>-3.3636223510126517</v>
      </c>
      <c r="EH65" s="670"/>
      <c r="EI65" s="669">
        <f>INPUT!FB482</f>
        <v>242.21870100000001</v>
      </c>
      <c r="EJ65" s="671" t="str">
        <f>INPUT!FC482</f>
        <v>NA</v>
      </c>
      <c r="EK65" s="669">
        <f>INPUT!FD482</f>
        <v>242.21870100000001</v>
      </c>
      <c r="EL65" s="671">
        <f>INPUT!FE482</f>
        <v>0</v>
      </c>
      <c r="EM65" s="669">
        <f>INPUT!FF482</f>
        <v>296.14342199999999</v>
      </c>
      <c r="EN65" s="671">
        <f>INPUT!FG482</f>
        <v>22.262823133544906</v>
      </c>
      <c r="EO65" s="669">
        <f>INPUT!FH482</f>
        <v>296.54591299999998</v>
      </c>
      <c r="EP65" s="671">
        <f>INPUT!FI482</f>
        <v>0.13591083579767016</v>
      </c>
      <c r="EQ65" s="669">
        <f>INPUT!FJ482</f>
        <v>298.55776400000002</v>
      </c>
      <c r="ER65" s="670">
        <f>INPUT!FK482</f>
        <v>0.6784281663662739</v>
      </c>
      <c r="ES65" s="669">
        <f>INPUT!FL482</f>
        <v>342.627521</v>
      </c>
      <c r="ET65" s="670">
        <f>INPUT!FM482</f>
        <v>14.760881247757451</v>
      </c>
      <c r="EU65" s="669">
        <f>INPUT!FN482</f>
        <v>360.89347500000002</v>
      </c>
      <c r="EV65" s="670">
        <f>INPUT!FO482</f>
        <v>5.3311403435102322</v>
      </c>
      <c r="EW65" s="669">
        <f>INPUT!FP482</f>
        <v>331.12034499999999</v>
      </c>
      <c r="EX65" s="670">
        <f>INPUT!FQ482</f>
        <v>-8.2498388201670991</v>
      </c>
      <c r="EY65" s="669">
        <f>INPUT!FR482</f>
        <v>331.80924700000003</v>
      </c>
      <c r="EZ65" s="670">
        <f>INPUT!FS482</f>
        <v>0.20805184894332474</v>
      </c>
      <c r="FA65" s="669">
        <f>INPUT!FT482</f>
        <v>316.57345199999997</v>
      </c>
      <c r="FB65" s="670">
        <f>INPUT!FU482</f>
        <v>-4.5917330929599043</v>
      </c>
      <c r="FC65" s="669">
        <f>INPUT!FV482</f>
        <v>292.71595400000001</v>
      </c>
      <c r="FD65" s="670">
        <f>INPUT!FW482</f>
        <v>-7.536165098266034</v>
      </c>
      <c r="FE65" s="669">
        <f>INPUT!FX482</f>
        <v>270.20518499999997</v>
      </c>
      <c r="FF65" s="670">
        <f>INPUT!FY482</f>
        <v>-7.6903116117818531</v>
      </c>
      <c r="FG65" s="669">
        <f>INPUT!FZ482</f>
        <v>260</v>
      </c>
      <c r="FH65" s="670">
        <f>INPUT!GA482</f>
        <v>-3.7768279687156903</v>
      </c>
      <c r="FI65" s="669">
        <f>INPUT!GB482</f>
        <v>252.3</v>
      </c>
      <c r="FJ65" s="670">
        <f>INPUT!GC482</f>
        <v>-2.9615384615384599</v>
      </c>
      <c r="FK65" s="669">
        <f>INPUT!GD482</f>
        <v>240.9</v>
      </c>
      <c r="FL65" s="670">
        <f>INPUT!GE482</f>
        <v>-4.5184304399524367</v>
      </c>
      <c r="FM65" s="669">
        <f>INPUT!GF482</f>
        <v>229.8</v>
      </c>
      <c r="FN65" s="670">
        <f>INPUT!GG482</f>
        <v>-4.6077210460772067</v>
      </c>
      <c r="FO65" s="669">
        <f>INPUT!GH482</f>
        <v>222.5</v>
      </c>
      <c r="FP65" s="670">
        <f>INPUT!GI482</f>
        <v>-3.1766753698868611</v>
      </c>
      <c r="FQ65" s="669">
        <f>INPUT!GJ482</f>
        <v>215.01594026899684</v>
      </c>
      <c r="FR65" s="670">
        <f>INPUT!GK482</f>
        <v>-3.3636223510126517</v>
      </c>
      <c r="FS65" s="669">
        <f>INPUT!GL482</f>
        <v>207.95519354645614</v>
      </c>
      <c r="FT65" s="670">
        <f>INPUT!GM482</f>
        <v>-3.2838247776919793</v>
      </c>
      <c r="FU65" s="669">
        <f>INPUT!GN482</f>
        <v>200.87028269362995</v>
      </c>
      <c r="FV65" s="670">
        <f>INPUT!GO482</f>
        <v>-3.406941049175316</v>
      </c>
      <c r="FW65" s="669">
        <f>INPUT!GP482</f>
        <v>194.17412274517872</v>
      </c>
      <c r="FX65" s="670">
        <f>INPUT!GQ482</f>
        <v>-3.333574214491597</v>
      </c>
      <c r="FY65" s="669">
        <f>INPUT!GR482</f>
        <v>187.46758994469889</v>
      </c>
      <c r="FZ65" s="670">
        <f>INPUT!GS482</f>
        <v>-3.4538756790373326</v>
      </c>
      <c r="GA65" s="988">
        <f>INPUT!GT482</f>
        <v>-3.3683853935340569</v>
      </c>
    </row>
    <row r="66" spans="1:183" s="707" customFormat="1" ht="12.75" customHeight="1" x14ac:dyDescent="0.2">
      <c r="A66" s="993" t="str">
        <f>INPUT!B485</f>
        <v>Average Shares  (Diluted)</v>
      </c>
      <c r="B66" s="664">
        <f>INPUT!M485</f>
        <v>244.11956900000001</v>
      </c>
      <c r="C66" s="824">
        <f>INPUT!N485</f>
        <v>0.37761614352547213</v>
      </c>
      <c r="D66" s="664">
        <f>INPUT!O485</f>
        <v>243.77292399999999</v>
      </c>
      <c r="E66" s="665">
        <f>INPUT!P485</f>
        <v>-9.6746843287487394E-2</v>
      </c>
      <c r="F66" s="664">
        <f>INPUT!Q485</f>
        <v>242.27658400000001</v>
      </c>
      <c r="G66" s="665">
        <f>INPUT!R485</f>
        <v>-0.61880474436467603</v>
      </c>
      <c r="H66" s="664">
        <f>INPUT!S485</f>
        <v>242.12915100000001</v>
      </c>
      <c r="I66" s="665">
        <f>INPUT!T485</f>
        <v>-0.55099329464167734</v>
      </c>
      <c r="J66" s="664">
        <f>INPUT!U485</f>
        <v>241.61937900000001</v>
      </c>
      <c r="K66" s="665">
        <f>INPUT!V485</f>
        <v>-1.0241661535950075</v>
      </c>
      <c r="L66" s="664">
        <f>INPUT!W485</f>
        <v>273.77362299999999</v>
      </c>
      <c r="M66" s="665">
        <f>INPUT!X485</f>
        <v>12.306821655057965</v>
      </c>
      <c r="N66" s="664">
        <f>INPUT!Y485</f>
        <v>298.70733799999999</v>
      </c>
      <c r="O66" s="665">
        <f>INPUT!Z485</f>
        <v>23.291872895153574</v>
      </c>
      <c r="P66" s="664">
        <f>INPUT!AA485</f>
        <v>294.82240899999999</v>
      </c>
      <c r="Q66" s="665">
        <f>INPUT!AB485</f>
        <v>21.762459324858408</v>
      </c>
      <c r="R66" s="664">
        <f>INPUT!AC485</f>
        <v>294.98977100000002</v>
      </c>
      <c r="S66" s="665">
        <f>INPUT!AD485</f>
        <v>22.088622287204874</v>
      </c>
      <c r="T66" s="664">
        <f>INPUT!AE485</f>
        <v>301.47820400000001</v>
      </c>
      <c r="U66" s="665">
        <f>INPUT!AF485</f>
        <v>10.119521631198204</v>
      </c>
      <c r="V66" s="664">
        <f>INPUT!AG485</f>
        <v>303.62857600000001</v>
      </c>
      <c r="W66" s="665">
        <f>INPUT!AH485</f>
        <v>1.6475115854033717</v>
      </c>
      <c r="X66" s="664">
        <f>INPUT!AI485</f>
        <v>302.24800099999999</v>
      </c>
      <c r="Y66" s="665">
        <f>INPUT!AJ485</f>
        <v>2.5186660760240898</v>
      </c>
      <c r="Z66" s="664">
        <f>INPUT!AK485</f>
        <v>307.61085200000002</v>
      </c>
      <c r="AA66" s="665">
        <f>INPUT!AL485</f>
        <v>4.2784808968850729</v>
      </c>
      <c r="AB66" s="664">
        <f>INPUT!AM485</f>
        <v>309.108296</v>
      </c>
      <c r="AC66" s="665">
        <f>INPUT!AN485</f>
        <v>2.5308934107886483</v>
      </c>
      <c r="AD66" s="664">
        <f>INPUT!AO485</f>
        <v>314.64812799999999</v>
      </c>
      <c r="AE66" s="665">
        <f>INPUT!AP485</f>
        <v>3.6292868560566571</v>
      </c>
      <c r="AF66" s="664">
        <f>INPUT!AQ485</f>
        <v>318.68142699999999</v>
      </c>
      <c r="AG66" s="665">
        <f>INPUT!AR485</f>
        <v>5.4370668939510924</v>
      </c>
      <c r="AH66" s="664">
        <f>INPUT!AS485</f>
        <v>319.63683300000002</v>
      </c>
      <c r="AI66" s="665">
        <f>INPUT!AT485</f>
        <v>3.9094787852282931</v>
      </c>
      <c r="AJ66" s="664">
        <f>INPUT!AU485</f>
        <v>329.90497599999998</v>
      </c>
      <c r="AK66" s="665">
        <f>INPUT!AV485</f>
        <v>6.727959187481658</v>
      </c>
      <c r="AL66" s="664">
        <f>INPUT!AW485</f>
        <v>340.727665</v>
      </c>
      <c r="AM66" s="665">
        <f>INPUT!AX485</f>
        <v>8.2884767711060459</v>
      </c>
      <c r="AN66" s="664">
        <f>INPUT!AY485</f>
        <v>345.52784500000001</v>
      </c>
      <c r="AO66" s="667">
        <f>INPUT!AZ485</f>
        <v>8.4242179573270413</v>
      </c>
      <c r="AP66" s="664">
        <f>INPUT!BA485</f>
        <v>346.38025900000002</v>
      </c>
      <c r="AQ66" s="667">
        <f>INPUT!BB485</f>
        <v>8.3668160984438309</v>
      </c>
      <c r="AR66" s="664">
        <f>INPUT!BC485</f>
        <v>354.83735000000001</v>
      </c>
      <c r="AS66" s="667">
        <f>INPUT!BD485</f>
        <v>7.5574410250786928</v>
      </c>
      <c r="AT66" s="664">
        <f>INPUT!BE485</f>
        <v>360.90630199999998</v>
      </c>
      <c r="AU66" s="667">
        <f>INPUT!BF485</f>
        <v>5.9222185553967188</v>
      </c>
      <c r="AV66" s="664">
        <f>INPUT!BG485</f>
        <v>360.70761700000003</v>
      </c>
      <c r="AW66" s="667">
        <f>INPUT!BH485</f>
        <v>4.393212361799681</v>
      </c>
      <c r="AX66" s="664">
        <f>INPUT!BI485</f>
        <v>351.46582100000001</v>
      </c>
      <c r="AY66" s="667">
        <f>INPUT!BJ485</f>
        <v>1.468202031686805</v>
      </c>
      <c r="AZ66" s="664">
        <f>INPUT!BK485</f>
        <v>346.03541999999999</v>
      </c>
      <c r="BA66" s="667">
        <f>INPUT!BL485</f>
        <v>-2.4805534141205898</v>
      </c>
      <c r="BB66" s="664">
        <f>INPUT!BM485</f>
        <v>337.91277000000002</v>
      </c>
      <c r="BC66" s="667">
        <f>INPUT!BN485</f>
        <v>-6.3710530607470446</v>
      </c>
      <c r="BD66" s="664">
        <f>INPUT!BO485</f>
        <v>330.981471</v>
      </c>
      <c r="BE66" s="667">
        <f>INPUT!BP485</f>
        <v>-8.2410641192531386</v>
      </c>
      <c r="BF66" s="664">
        <f>INPUT!BQ485</f>
        <v>330.96451400000001</v>
      </c>
      <c r="BG66" s="667">
        <f>INPUT!BR485</f>
        <v>-5.8330869675091375</v>
      </c>
      <c r="BH66" s="664">
        <f>INPUT!BS485</f>
        <v>331.95522499999998</v>
      </c>
      <c r="BI66" s="667">
        <f>INPUT!BT485</f>
        <v>-4.0690039765293395</v>
      </c>
      <c r="BJ66" s="664">
        <f>INPUT!BU485</f>
        <v>332.62214799999998</v>
      </c>
      <c r="BK66" s="667">
        <f>INPUT!BV485</f>
        <v>-1.5656768461280834</v>
      </c>
      <c r="BL66" s="664">
        <f>INPUT!BW485</f>
        <v>332.99847999999997</v>
      </c>
      <c r="BM66" s="667">
        <f>INPUT!BX485</f>
        <v>0.60940239159188447</v>
      </c>
      <c r="BN66" s="664">
        <f>INPUT!BY485</f>
        <v>333.52470799999998</v>
      </c>
      <c r="BO66" s="667">
        <f>INPUT!BZ485</f>
        <v>0.773555439239626</v>
      </c>
      <c r="BP66" s="664">
        <f>INPUT!CA485</f>
        <v>333.07749000000001</v>
      </c>
      <c r="BQ66" s="667">
        <f>INPUT!CB485</f>
        <v>0.3380772211071692</v>
      </c>
      <c r="BR66" s="664">
        <f>INPUT!CC485</f>
        <v>324.46697999999998</v>
      </c>
      <c r="BS66" s="667">
        <f>INPUT!CD485</f>
        <v>-2.4517814129442761</v>
      </c>
      <c r="BT66" s="664">
        <f>INPUT!CE485</f>
        <v>318.46294</v>
      </c>
      <c r="BU66" s="667">
        <f>INPUT!CF485</f>
        <v>-4.3650469515656543</v>
      </c>
      <c r="BV66" s="664">
        <f>INPUT!CG485</f>
        <v>314.33231699999999</v>
      </c>
      <c r="BW66" s="667">
        <f>INPUT!CH485</f>
        <v>-5.7544135530732561</v>
      </c>
      <c r="BX66" s="664">
        <f>INPUT!CI485</f>
        <v>307.41096399999998</v>
      </c>
      <c r="BY66" s="667">
        <f>INPUT!CJ485</f>
        <v>-7.7058722881573338</v>
      </c>
      <c r="BZ66" s="664">
        <f>INPUT!CK485</f>
        <v>299.17290000000003</v>
      </c>
      <c r="CA66" s="667">
        <f>INPUT!CL485</f>
        <v>-7.7955790755657066</v>
      </c>
      <c r="CB66" s="664">
        <f>INPUT!CM485</f>
        <v>303.571033</v>
      </c>
      <c r="CC66" s="667">
        <f>INPUT!CN485</f>
        <v>-4.6761821014401299</v>
      </c>
      <c r="CD66" s="664">
        <f>INPUT!CO485</f>
        <v>291.28403600000001</v>
      </c>
      <c r="CE66" s="667">
        <f>INPUT!CP485</f>
        <v>-7.3324566878689605</v>
      </c>
      <c r="CF66" s="664">
        <f>INPUT!CQ485</f>
        <v>283.74063200000001</v>
      </c>
      <c r="CG66" s="667">
        <f>INPUT!CR485</f>
        <v>-7.6998984330305049</v>
      </c>
      <c r="CH66" s="664">
        <f>INPUT!CS485</f>
        <v>278.51103899999998</v>
      </c>
      <c r="CI66" s="667">
        <f>INPUT!CT485</f>
        <v>-6.9063277455946199</v>
      </c>
      <c r="CJ66" s="664">
        <f>INPUT!CU485</f>
        <v>273.60000000000002</v>
      </c>
      <c r="CK66" s="667">
        <f>INPUT!CV485</f>
        <v>-9.8728237354583133</v>
      </c>
      <c r="CL66" s="669">
        <f>INPUT!CW485</f>
        <v>270.35439500000001</v>
      </c>
      <c r="CM66" s="670">
        <f>INPUT!CX485</f>
        <v>-7.1853031451404314</v>
      </c>
      <c r="CN66" s="669">
        <f>INPUT!CY485</f>
        <v>266.73630200000002</v>
      </c>
      <c r="CO66" s="670">
        <f>INPUT!CZ485</f>
        <v>-5.9929132744019453</v>
      </c>
      <c r="CP66" s="669">
        <f>INPUT!DA485</f>
        <v>264.26004499999999</v>
      </c>
      <c r="CQ66" s="670">
        <f>INPUT!DB485</f>
        <v>-5.1168506825325473</v>
      </c>
      <c r="CR66" s="669">
        <f>INPUT!DC485</f>
        <v>262.60000000000002</v>
      </c>
      <c r="CS66" s="670">
        <f>INPUT!DD485</f>
        <v>-4.0204678362573132</v>
      </c>
      <c r="CT66" s="669">
        <f>INPUT!DE485</f>
        <v>260.7</v>
      </c>
      <c r="CU66" s="670">
        <f>INPUT!DF485</f>
        <v>-3.5710146306295543</v>
      </c>
      <c r="CV66" s="669">
        <f>INPUT!DG485</f>
        <v>257.89999999999998</v>
      </c>
      <c r="CW66" s="670">
        <f>INPUT!DH485</f>
        <v>-3.3127481837849193</v>
      </c>
      <c r="CX66" s="669">
        <f>INPUT!DI485</f>
        <v>254.8</v>
      </c>
      <c r="CY66" s="670">
        <f>INPUT!DJ485</f>
        <v>-3.5798241841667688</v>
      </c>
      <c r="CZ66" s="669">
        <f>INPUT!DK485</f>
        <v>252.4</v>
      </c>
      <c r="DA66" s="670">
        <f>INPUT!DL485</f>
        <v>-3.8842345773038911</v>
      </c>
      <c r="DB66" s="669">
        <f>INPUT!DM485</f>
        <v>252.2</v>
      </c>
      <c r="DC66" s="670">
        <f>INPUT!DN485</f>
        <v>-3.2604526275412327</v>
      </c>
      <c r="DD66" s="669">
        <f>INPUT!DO485</f>
        <v>249.3</v>
      </c>
      <c r="DE66" s="670">
        <f>INPUT!DP485</f>
        <v>-3.3346258239627669</v>
      </c>
      <c r="DF66" s="669">
        <f>INPUT!DQ485</f>
        <v>246.3</v>
      </c>
      <c r="DG66" s="670">
        <f>INPUT!DR485</f>
        <v>-3.3359497645211955</v>
      </c>
      <c r="DH66" s="669">
        <f>INPUT!DS485</f>
        <v>243.8</v>
      </c>
      <c r="DI66" s="670">
        <f>INPUT!DT485</f>
        <v>-3.4072900158478636</v>
      </c>
      <c r="DJ66" s="669">
        <f>INPUT!DU485</f>
        <v>239.7</v>
      </c>
      <c r="DK66" s="670">
        <f>INPUT!DV485</f>
        <v>-4.9563838223632084</v>
      </c>
      <c r="DL66" s="669">
        <f>INPUT!DW485</f>
        <v>237.3</v>
      </c>
      <c r="DM66" s="670">
        <f>INPUT!DX485</f>
        <v>-4.8134777376654618</v>
      </c>
      <c r="DN66" s="669">
        <f>INPUT!DY485</f>
        <v>234.2</v>
      </c>
      <c r="DO66" s="670">
        <f>INPUT!DZ485</f>
        <v>-4.9127080795777545</v>
      </c>
      <c r="DP66" s="669">
        <f>INPUT!EA485</f>
        <v>232.4</v>
      </c>
      <c r="DQ66" s="670">
        <f>INPUT!EB485</f>
        <v>-4.6759639048400299</v>
      </c>
      <c r="DR66" s="669">
        <f>INPUT!EC485</f>
        <v>230.4</v>
      </c>
      <c r="DS66" s="670">
        <f>INPUT!ED485</f>
        <v>-3.8798498122653235</v>
      </c>
      <c r="DT66" s="669">
        <f>INPUT!EE485</f>
        <v>228.2</v>
      </c>
      <c r="DU66" s="670">
        <f>INPUT!EF485</f>
        <v>-3.8348082595870303</v>
      </c>
      <c r="DV66" s="669">
        <f>INPUT!EG485</f>
        <v>226</v>
      </c>
      <c r="DW66" s="670">
        <f>INPUT!EH485</f>
        <v>-3.5012809564474723</v>
      </c>
      <c r="DX66" s="669">
        <f>INPUT!EI485</f>
        <v>224.8</v>
      </c>
      <c r="DY66" s="670">
        <f>INPUT!EJ485</f>
        <v>-3.2702237521514577</v>
      </c>
      <c r="DZ66" s="669">
        <f>INPUT!EK485</f>
        <v>221.9430502062454</v>
      </c>
      <c r="EA66" s="670">
        <f>INPUT!EL485</f>
        <v>-3.6705511257615453</v>
      </c>
      <c r="EB66" s="669">
        <f>INPUT!EM485</f>
        <v>220.04384790254787</v>
      </c>
      <c r="EC66" s="670">
        <f>INPUT!EN485</f>
        <v>-3.574124494939579</v>
      </c>
      <c r="ED66" s="669">
        <f>INPUT!EO485</f>
        <v>218.17328195838689</v>
      </c>
      <c r="EE66" s="670">
        <f>INPUT!EP485</f>
        <v>-3.4631495759349984</v>
      </c>
      <c r="EF66" s="669">
        <f>INPUT!EQ485</f>
        <v>216.33045439658284</v>
      </c>
      <c r="EG66" s="670">
        <f>INPUT!ER485</f>
        <v>-3.7675914605948324</v>
      </c>
      <c r="EH66" s="670"/>
      <c r="EI66" s="669">
        <f>INPUT!FB485</f>
        <v>243.61649824999998</v>
      </c>
      <c r="EJ66" s="671" t="str">
        <f>INPUT!FC485</f>
        <v>NA</v>
      </c>
      <c r="EK66" s="669">
        <f>INPUT!FD485</f>
        <v>243.074557</v>
      </c>
      <c r="EL66" s="671">
        <f>INPUT!FE485</f>
        <v>-0.22245671122151922</v>
      </c>
      <c r="EM66" s="669">
        <f>INPUT!FF485</f>
        <v>276.13217600000002</v>
      </c>
      <c r="EN66" s="671">
        <f>INPUT!FG485</f>
        <v>13.599785764496941</v>
      </c>
      <c r="EO66" s="669">
        <f>INPUT!FH485</f>
        <v>295.22430500000002</v>
      </c>
      <c r="EP66" s="671">
        <f>INPUT!FI485</f>
        <v>6.9141268781367948</v>
      </c>
      <c r="EQ66" s="669">
        <f>INPUT!FJ485</f>
        <v>312.51217574999998</v>
      </c>
      <c r="ER66" s="670">
        <f>INPUT!FK485</f>
        <v>5.8558426447984813</v>
      </c>
      <c r="ES66" s="669">
        <f>INPUT!FL485</f>
        <v>333.94932975</v>
      </c>
      <c r="ET66" s="670">
        <f>INPUT!FM485</f>
        <v>6.8596220126633023</v>
      </c>
      <c r="EU66" s="669">
        <f>INPUT!FN485</f>
        <v>355.70788200000004</v>
      </c>
      <c r="EV66" s="670">
        <f>INPUT!FO485</f>
        <v>6.515525054740734</v>
      </c>
      <c r="EW66" s="669">
        <f>INPUT!FP485</f>
        <v>341.59887049999998</v>
      </c>
      <c r="EX66" s="670">
        <f>INPUT!FQ485</f>
        <v>-3.9664601809414113</v>
      </c>
      <c r="EY66" s="669">
        <f>INPUT!FR485</f>
        <v>332.13509174999996</v>
      </c>
      <c r="EZ66" s="670">
        <f>INPUT!FS485</f>
        <v>-2.770436194987369</v>
      </c>
      <c r="FA66" s="669">
        <f>INPUT!FT485</f>
        <v>327.38302949999996</v>
      </c>
      <c r="FB66" s="670">
        <f>INPUT!FU485</f>
        <v>-1.4307618701058233</v>
      </c>
      <c r="FC66" s="669">
        <f>INPUT!FV485</f>
        <v>306.1218035</v>
      </c>
      <c r="FD66" s="670">
        <f>INPUT!FW485</f>
        <v>-6.494296919565878</v>
      </c>
      <c r="FE66" s="669">
        <f>INPUT!FX485</f>
        <v>281.78392674999998</v>
      </c>
      <c r="FF66" s="670">
        <f>INPUT!FY485</f>
        <v>-7.9503898355936631</v>
      </c>
      <c r="FG66" s="669">
        <f>INPUT!FZ485</f>
        <v>265.9876855</v>
      </c>
      <c r="FH66" s="670">
        <f>INPUT!GA485</f>
        <v>-5.6057992491581938</v>
      </c>
      <c r="FI66" s="669">
        <f>INPUT!GB485</f>
        <v>256.45</v>
      </c>
      <c r="FJ66" s="670">
        <f>INPUT!GC485</f>
        <v>-3.5857620558903736</v>
      </c>
      <c r="FK66" s="669">
        <f>INPUT!GD485</f>
        <v>247.89999999999998</v>
      </c>
      <c r="FL66" s="670">
        <f>INPUT!GE485</f>
        <v>-3.3339832325989471</v>
      </c>
      <c r="FM66" s="669">
        <f>INPUT!GF485</f>
        <v>235.90000000000003</v>
      </c>
      <c r="FN66" s="670">
        <f>INPUT!GG485</f>
        <v>-4.8406615570794393</v>
      </c>
      <c r="FO66" s="669">
        <f>INPUT!GH485</f>
        <v>227.35</v>
      </c>
      <c r="FP66" s="670">
        <f>INPUT!GI485</f>
        <v>-3.6244171259008251</v>
      </c>
      <c r="FQ66" s="669">
        <f>INPUT!GJ485</f>
        <v>219.12265861594074</v>
      </c>
      <c r="FR66" s="670">
        <f>INPUT!GK485</f>
        <v>-3.6187998170482794</v>
      </c>
      <c r="FS66" s="669">
        <f>INPUT!GL485</f>
        <v>211.88556690772648</v>
      </c>
      <c r="FT66" s="670">
        <f>INPUT!GM485</f>
        <v>-3.3027582605680283</v>
      </c>
      <c r="FU66" s="669">
        <f>INPUT!GN485</f>
        <v>204.81273812004304</v>
      </c>
      <c r="FV66" s="670">
        <f>INPUT!GO485</f>
        <v>-3.3380417981766386</v>
      </c>
      <c r="FW66" s="669">
        <f>INPUT!GP485</f>
        <v>197.92220271940431</v>
      </c>
      <c r="FX66" s="670">
        <f>INPUT!GQ485</f>
        <v>-3.3643099857393222</v>
      </c>
      <c r="FY66" s="669">
        <f>INPUT!GR485</f>
        <v>190.68433372090038</v>
      </c>
      <c r="FZ66" s="670">
        <f>INPUT!GS485</f>
        <v>-3.6569262564064675</v>
      </c>
      <c r="GA66" s="988">
        <f>INPUT!GT485</f>
        <v>-3.4562839822018576</v>
      </c>
    </row>
    <row r="67" spans="1:183" s="707" customFormat="1" ht="4.5" customHeight="1" x14ac:dyDescent="0.2">
      <c r="A67" s="993"/>
      <c r="B67" s="664"/>
      <c r="C67" s="665"/>
      <c r="D67" s="664"/>
      <c r="E67" s="665"/>
      <c r="F67" s="664"/>
      <c r="G67" s="665"/>
      <c r="H67" s="664"/>
      <c r="I67" s="665"/>
      <c r="J67" s="664"/>
      <c r="K67" s="665"/>
      <c r="L67" s="664"/>
      <c r="M67" s="665"/>
      <c r="N67" s="664"/>
      <c r="O67" s="665"/>
      <c r="P67" s="664"/>
      <c r="Q67" s="665"/>
      <c r="R67" s="664"/>
      <c r="S67" s="665"/>
      <c r="T67" s="664"/>
      <c r="U67" s="665"/>
      <c r="V67" s="664"/>
      <c r="W67" s="665"/>
      <c r="X67" s="664"/>
      <c r="Y67" s="665"/>
      <c r="Z67" s="664"/>
      <c r="AA67" s="665"/>
      <c r="AB67" s="664"/>
      <c r="AC67" s="665"/>
      <c r="AD67" s="664"/>
      <c r="AE67" s="665"/>
      <c r="AF67" s="664"/>
      <c r="AG67" s="665"/>
      <c r="AH67" s="664"/>
      <c r="AI67" s="665"/>
      <c r="AJ67" s="664"/>
      <c r="AK67" s="665"/>
      <c r="AL67" s="664"/>
      <c r="AM67" s="665"/>
      <c r="AN67" s="664"/>
      <c r="AO67" s="667"/>
      <c r="AP67" s="664"/>
      <c r="AQ67" s="667"/>
      <c r="AR67" s="664"/>
      <c r="AS67" s="667"/>
      <c r="AT67" s="664"/>
      <c r="AU67" s="667"/>
      <c r="AV67" s="664"/>
      <c r="AW67" s="667"/>
      <c r="AX67" s="664"/>
      <c r="AY67" s="667"/>
      <c r="AZ67" s="664"/>
      <c r="BA67" s="667"/>
      <c r="BB67" s="664"/>
      <c r="BC67" s="667"/>
      <c r="BD67" s="664"/>
      <c r="BE67" s="667"/>
      <c r="BF67" s="664"/>
      <c r="BG67" s="667"/>
      <c r="BH67" s="664"/>
      <c r="BI67" s="667"/>
      <c r="BJ67" s="664"/>
      <c r="BK67" s="667"/>
      <c r="BL67" s="664"/>
      <c r="BM67" s="667"/>
      <c r="BN67" s="664"/>
      <c r="BO67" s="667"/>
      <c r="BP67" s="664"/>
      <c r="BQ67" s="667"/>
      <c r="BR67" s="664"/>
      <c r="BS67" s="667"/>
      <c r="BT67" s="664"/>
      <c r="BU67" s="667"/>
      <c r="BV67" s="664"/>
      <c r="BW67" s="667"/>
      <c r="BX67" s="664"/>
      <c r="BY67" s="667"/>
      <c r="BZ67" s="664"/>
      <c r="CA67" s="667"/>
      <c r="CB67" s="664"/>
      <c r="CC67" s="667"/>
      <c r="CD67" s="664"/>
      <c r="CE67" s="667"/>
      <c r="CF67" s="664"/>
      <c r="CG67" s="667"/>
      <c r="CH67" s="664"/>
      <c r="CI67" s="667"/>
      <c r="CJ67" s="664"/>
      <c r="CK67" s="667"/>
      <c r="CL67" s="669"/>
      <c r="CM67" s="670"/>
      <c r="CN67" s="669"/>
      <c r="CO67" s="670"/>
      <c r="CP67" s="669"/>
      <c r="CQ67" s="670"/>
      <c r="CR67" s="669"/>
      <c r="CS67" s="670"/>
      <c r="CT67" s="669"/>
      <c r="CU67" s="670"/>
      <c r="CV67" s="669"/>
      <c r="CW67" s="670"/>
      <c r="CX67" s="669"/>
      <c r="CY67" s="670"/>
      <c r="CZ67" s="669"/>
      <c r="DA67" s="670"/>
      <c r="DB67" s="669"/>
      <c r="DC67" s="670"/>
      <c r="DD67" s="669"/>
      <c r="DE67" s="670"/>
      <c r="DF67" s="669"/>
      <c r="DG67" s="670"/>
      <c r="DH67" s="669"/>
      <c r="DI67" s="670"/>
      <c r="DJ67" s="669"/>
      <c r="DK67" s="670"/>
      <c r="DL67" s="669"/>
      <c r="DM67" s="670"/>
      <c r="DN67" s="669"/>
      <c r="DO67" s="670"/>
      <c r="DP67" s="669"/>
      <c r="DQ67" s="670"/>
      <c r="DR67" s="669"/>
      <c r="DS67" s="670"/>
      <c r="DT67" s="669"/>
      <c r="DU67" s="670"/>
      <c r="DV67" s="669"/>
      <c r="DW67" s="670"/>
      <c r="DX67" s="669"/>
      <c r="DY67" s="670"/>
      <c r="DZ67" s="669"/>
      <c r="EA67" s="670"/>
      <c r="EB67" s="669"/>
      <c r="EC67" s="670"/>
      <c r="ED67" s="669"/>
      <c r="EE67" s="670"/>
      <c r="EF67" s="669"/>
      <c r="EG67" s="670"/>
      <c r="EH67" s="670"/>
      <c r="EI67" s="669"/>
      <c r="EJ67" s="671"/>
      <c r="EK67" s="669"/>
      <c r="EL67" s="671"/>
      <c r="EM67" s="669"/>
      <c r="EN67" s="671"/>
      <c r="EO67" s="669"/>
      <c r="EP67" s="671"/>
      <c r="EQ67" s="669"/>
      <c r="ER67" s="670"/>
      <c r="ES67" s="669"/>
      <c r="ET67" s="670"/>
      <c r="EU67" s="669"/>
      <c r="EV67" s="670"/>
      <c r="EW67" s="669"/>
      <c r="EX67" s="670"/>
      <c r="EY67" s="669"/>
      <c r="EZ67" s="670"/>
      <c r="FA67" s="669"/>
      <c r="FB67" s="670"/>
      <c r="FC67" s="669"/>
      <c r="FD67" s="670"/>
      <c r="FE67" s="669"/>
      <c r="FF67" s="670"/>
      <c r="FG67" s="669"/>
      <c r="FH67" s="670"/>
      <c r="FI67" s="669"/>
      <c r="FJ67" s="670"/>
      <c r="FK67" s="669"/>
      <c r="FL67" s="670"/>
      <c r="FM67" s="669"/>
      <c r="FN67" s="670"/>
      <c r="FO67" s="669"/>
      <c r="FP67" s="670"/>
      <c r="FQ67" s="669"/>
      <c r="FR67" s="670"/>
      <c r="FS67" s="669"/>
      <c r="FT67" s="670"/>
      <c r="FU67" s="669"/>
      <c r="FV67" s="670"/>
      <c r="FW67" s="669"/>
      <c r="FX67" s="670"/>
      <c r="FY67" s="669"/>
      <c r="FZ67" s="670"/>
      <c r="GA67" s="988"/>
    </row>
    <row r="68" spans="1:183" s="707" customFormat="1" ht="12.75" customHeight="1" x14ac:dyDescent="0.2">
      <c r="A68" s="991" t="s">
        <v>286</v>
      </c>
      <c r="B68" s="664"/>
      <c r="C68" s="665"/>
      <c r="D68" s="664"/>
      <c r="E68" s="665"/>
      <c r="F68" s="664"/>
      <c r="G68" s="665"/>
      <c r="H68" s="664"/>
      <c r="I68" s="665"/>
      <c r="J68" s="664"/>
      <c r="K68" s="665"/>
      <c r="L68" s="664"/>
      <c r="M68" s="665"/>
      <c r="N68" s="664"/>
      <c r="O68" s="665"/>
      <c r="P68" s="664"/>
      <c r="Q68" s="665"/>
      <c r="R68" s="664"/>
      <c r="S68" s="665"/>
      <c r="T68" s="664"/>
      <c r="U68" s="665"/>
      <c r="V68" s="664"/>
      <c r="W68" s="665"/>
      <c r="X68" s="664"/>
      <c r="Y68" s="665"/>
      <c r="Z68" s="664"/>
      <c r="AA68" s="665"/>
      <c r="AB68" s="664"/>
      <c r="AC68" s="665"/>
      <c r="AD68" s="664"/>
      <c r="AE68" s="665"/>
      <c r="AF68" s="664"/>
      <c r="AG68" s="665"/>
      <c r="AH68" s="664"/>
      <c r="AI68" s="665"/>
      <c r="AJ68" s="664"/>
      <c r="AK68" s="665"/>
      <c r="AL68" s="664"/>
      <c r="AM68" s="665"/>
      <c r="AN68" s="664"/>
      <c r="AO68" s="667"/>
      <c r="AP68" s="664"/>
      <c r="AQ68" s="667"/>
      <c r="AR68" s="664"/>
      <c r="AS68" s="667"/>
      <c r="AT68" s="664"/>
      <c r="AU68" s="667"/>
      <c r="AV68" s="664"/>
      <c r="AW68" s="667"/>
      <c r="AX68" s="664"/>
      <c r="AY68" s="667"/>
      <c r="AZ68" s="664"/>
      <c r="BA68" s="667"/>
      <c r="BB68" s="664"/>
      <c r="BC68" s="667"/>
      <c r="BD68" s="664"/>
      <c r="BE68" s="667"/>
      <c r="BF68" s="664"/>
      <c r="BG68" s="667"/>
      <c r="BH68" s="664"/>
      <c r="BI68" s="667"/>
      <c r="BJ68" s="664"/>
      <c r="BK68" s="667"/>
      <c r="BL68" s="664"/>
      <c r="BM68" s="667"/>
      <c r="BN68" s="664"/>
      <c r="BO68" s="667"/>
      <c r="BP68" s="664"/>
      <c r="BQ68" s="667"/>
      <c r="BR68" s="664"/>
      <c r="BS68" s="667"/>
      <c r="BT68" s="664"/>
      <c r="BU68" s="667"/>
      <c r="BV68" s="664"/>
      <c r="BW68" s="667"/>
      <c r="BX68" s="664"/>
      <c r="BY68" s="667"/>
      <c r="BZ68" s="664"/>
      <c r="CA68" s="667"/>
      <c r="CB68" s="664"/>
      <c r="CC68" s="667"/>
      <c r="CD68" s="664"/>
      <c r="CE68" s="667"/>
      <c r="CF68" s="664"/>
      <c r="CG68" s="667"/>
      <c r="CH68" s="664"/>
      <c r="CI68" s="667"/>
      <c r="CJ68" s="664"/>
      <c r="CK68" s="667"/>
      <c r="CL68" s="669"/>
      <c r="CM68" s="670"/>
      <c r="CN68" s="669"/>
      <c r="CO68" s="670"/>
      <c r="CP68" s="669"/>
      <c r="CQ68" s="670"/>
      <c r="CR68" s="669"/>
      <c r="CS68" s="670"/>
      <c r="CT68" s="669"/>
      <c r="CU68" s="670"/>
      <c r="CV68" s="669"/>
      <c r="CW68" s="670"/>
      <c r="CX68" s="669"/>
      <c r="CY68" s="670"/>
      <c r="CZ68" s="669"/>
      <c r="DA68" s="670"/>
      <c r="DB68" s="669"/>
      <c r="DC68" s="670"/>
      <c r="DD68" s="669"/>
      <c r="DE68" s="670"/>
      <c r="DF68" s="669"/>
      <c r="DG68" s="670"/>
      <c r="DH68" s="669"/>
      <c r="DI68" s="670"/>
      <c r="DJ68" s="669"/>
      <c r="DK68" s="670"/>
      <c r="DL68" s="669"/>
      <c r="DM68" s="670"/>
      <c r="DN68" s="669"/>
      <c r="DO68" s="670"/>
      <c r="DP68" s="669"/>
      <c r="DQ68" s="670"/>
      <c r="DR68" s="669"/>
      <c r="DS68" s="670"/>
      <c r="DT68" s="669"/>
      <c r="DU68" s="670"/>
      <c r="DV68" s="669"/>
      <c r="DW68" s="670"/>
      <c r="DX68" s="669"/>
      <c r="DY68" s="670"/>
      <c r="DZ68" s="669"/>
      <c r="EA68" s="670"/>
      <c r="EB68" s="669"/>
      <c r="EC68" s="670"/>
      <c r="ED68" s="669"/>
      <c r="EE68" s="670"/>
      <c r="EF68" s="669"/>
      <c r="EG68" s="670"/>
      <c r="EH68" s="670"/>
      <c r="EI68" s="669"/>
      <c r="EJ68" s="671"/>
      <c r="EK68" s="669"/>
      <c r="EL68" s="671"/>
      <c r="EM68" s="669"/>
      <c r="EN68" s="671"/>
      <c r="EO68" s="669"/>
      <c r="EP68" s="671"/>
      <c r="EQ68" s="669"/>
      <c r="ER68" s="670"/>
      <c r="ES68" s="669"/>
      <c r="ET68" s="670"/>
      <c r="EU68" s="669"/>
      <c r="EV68" s="670"/>
      <c r="EW68" s="669"/>
      <c r="EX68" s="670"/>
      <c r="EY68" s="669"/>
      <c r="EZ68" s="670"/>
      <c r="FA68" s="669"/>
      <c r="FB68" s="670"/>
      <c r="FC68" s="669"/>
      <c r="FD68" s="670"/>
      <c r="FE68" s="669"/>
      <c r="FF68" s="670"/>
      <c r="FG68" s="669"/>
      <c r="FH68" s="670"/>
      <c r="FI68" s="669"/>
      <c r="FJ68" s="670"/>
      <c r="FK68" s="669"/>
      <c r="FL68" s="670"/>
      <c r="FM68" s="669"/>
      <c r="FN68" s="670"/>
      <c r="FO68" s="669"/>
      <c r="FP68" s="670"/>
      <c r="FQ68" s="669"/>
      <c r="FR68" s="670"/>
      <c r="FS68" s="669"/>
      <c r="FT68" s="670"/>
      <c r="FU68" s="669"/>
      <c r="FV68" s="670"/>
      <c r="FW68" s="669"/>
      <c r="FX68" s="670"/>
      <c r="FY68" s="669"/>
      <c r="FZ68" s="670"/>
      <c r="GA68" s="988"/>
    </row>
    <row r="69" spans="1:183" s="707" customFormat="1" ht="12.75" customHeight="1" x14ac:dyDescent="0.2">
      <c r="A69" s="993" t="str">
        <f>INPUT!B446</f>
        <v>US Brokerage (%)</v>
      </c>
      <c r="B69" s="825">
        <f>INPUT!M446</f>
        <v>0</v>
      </c>
      <c r="C69" s="824" t="str">
        <f>INPUT!N446</f>
        <v>NA</v>
      </c>
      <c r="D69" s="825">
        <f>INPUT!O446</f>
        <v>0</v>
      </c>
      <c r="E69" s="665" t="str">
        <f>INPUT!P446</f>
        <v>NA</v>
      </c>
      <c r="F69" s="825">
        <f>INPUT!Q446</f>
        <v>0</v>
      </c>
      <c r="G69" s="665" t="str">
        <f>INPUT!R446</f>
        <v>NA</v>
      </c>
      <c r="H69" s="825">
        <f>INPUT!S446</f>
        <v>0</v>
      </c>
      <c r="I69" s="665" t="str">
        <f>INPUT!T446</f>
        <v>NA</v>
      </c>
      <c r="J69" s="825">
        <f>INPUT!U446</f>
        <v>111.46517739816031</v>
      </c>
      <c r="K69" s="665" t="str">
        <f>INPUT!V446</f>
        <v>NA</v>
      </c>
      <c r="L69" s="825">
        <f>INPUT!W446</f>
        <v>77.608297742525963</v>
      </c>
      <c r="M69" s="665" t="str">
        <f>INPUT!X446</f>
        <v>NA</v>
      </c>
      <c r="N69" s="825">
        <f>INPUT!Y446</f>
        <v>70.605187319884749</v>
      </c>
      <c r="O69" s="665" t="str">
        <f>INPUT!Z446</f>
        <v>NA</v>
      </c>
      <c r="P69" s="825">
        <f>INPUT!AA446</f>
        <v>116.03260869565217</v>
      </c>
      <c r="Q69" s="665" t="str">
        <f>INPUT!AB446</f>
        <v>NA</v>
      </c>
      <c r="R69" s="825">
        <f>INPUT!AC446</f>
        <v>-11.665619107479566</v>
      </c>
      <c r="S69" s="665" t="str">
        <f>INPUT!AD446</f>
        <v>NM</v>
      </c>
      <c r="T69" s="825">
        <f>INPUT!AE446</f>
        <v>57.200402819738173</v>
      </c>
      <c r="U69" s="665">
        <f>INPUT!AF446</f>
        <v>-26.296021838403437</v>
      </c>
      <c r="V69" s="825">
        <f>INPUT!AG446</f>
        <v>59.46438805814627</v>
      </c>
      <c r="W69" s="665">
        <f>INPUT!AH446</f>
        <v>-15.779009566625513</v>
      </c>
      <c r="X69" s="825">
        <f>INPUT!AI446</f>
        <v>12.864140242330507</v>
      </c>
      <c r="Y69" s="665" t="str">
        <f>INPUT!AJ446</f>
        <v>NM</v>
      </c>
      <c r="Z69" s="825">
        <f>INPUT!AK446</f>
        <v>54.383116883116855</v>
      </c>
      <c r="AA69" s="665" t="str">
        <f>INPUT!AL446</f>
        <v>NM</v>
      </c>
      <c r="AB69" s="825">
        <f>INPUT!AM446</f>
        <v>55.616575137294177</v>
      </c>
      <c r="AC69" s="665">
        <f>INPUT!AN446</f>
        <v>-2.7689100152586077</v>
      </c>
      <c r="AD69" s="825">
        <f>INPUT!AO446</f>
        <v>53.875598086124377</v>
      </c>
      <c r="AE69" s="665">
        <f>INPUT!AP446</f>
        <v>-9.3985495428911001</v>
      </c>
      <c r="AF69" s="825">
        <f>INPUT!AQ446</f>
        <v>55.472504004271286</v>
      </c>
      <c r="AG69" s="665" t="str">
        <f>INPUT!AR446</f>
        <v>NM</v>
      </c>
      <c r="AH69" s="825">
        <f>INPUT!AS446</f>
        <v>50.223103619236383</v>
      </c>
      <c r="AI69" s="665">
        <f>INPUT!AT446</f>
        <v>-7.6494572255235038</v>
      </c>
      <c r="AJ69" s="825">
        <f>INPUT!AU446</f>
        <v>48.267898383371886</v>
      </c>
      <c r="AK69" s="665">
        <f>INPUT!AV446</f>
        <v>-13.213105509969768</v>
      </c>
      <c r="AL69" s="825">
        <f>INPUT!AW446</f>
        <v>48.343558282208591</v>
      </c>
      <c r="AM69" s="665">
        <f>INPUT!AX446</f>
        <v>-10.268173348298404</v>
      </c>
      <c r="AN69" s="825">
        <f>INPUT!AY446</f>
        <v>46.754716981132006</v>
      </c>
      <c r="AO69" s="667">
        <f>INPUT!AZ446</f>
        <v>-15.715510196669735</v>
      </c>
      <c r="AP69" s="826">
        <f>INPUT!BA446</f>
        <v>51.934749620637291</v>
      </c>
      <c r="AQ69" s="667">
        <f>INPUT!BB446</f>
        <v>3.4080848813678566</v>
      </c>
      <c r="AR69" s="826">
        <f>INPUT!BC446</f>
        <v>55.426497277676887</v>
      </c>
      <c r="AS69" s="667">
        <f>INPUT!BD446</f>
        <v>14.830972828871115</v>
      </c>
      <c r="AT69" s="826">
        <f>INPUT!BE446</f>
        <v>48.553846153846166</v>
      </c>
      <c r="AU69" s="667">
        <f>INPUT!BF446</f>
        <v>0.43498633346350513</v>
      </c>
      <c r="AV69" s="826">
        <f>INPUT!BG446</f>
        <v>56.518904823989516</v>
      </c>
      <c r="AW69" s="667">
        <f>INPUT!BH446</f>
        <v>20.883856161075421</v>
      </c>
      <c r="AX69" s="826">
        <f>INPUT!BI446</f>
        <v>50.542784163473812</v>
      </c>
      <c r="AY69" s="667">
        <f>INPUT!BJ446</f>
        <v>-2.6802198284024303</v>
      </c>
      <c r="AZ69" s="826">
        <f>INPUT!BK446</f>
        <v>51.804048107949683</v>
      </c>
      <c r="BA69" s="667">
        <f>INPUT!BL446</f>
        <v>-6.5355910036663083</v>
      </c>
      <c r="BB69" s="826">
        <f>INPUT!BM446</f>
        <v>52.702702702702631</v>
      </c>
      <c r="BC69" s="667">
        <f>INPUT!BN446</f>
        <v>8.5448566437157822</v>
      </c>
      <c r="BD69" s="826">
        <f>INPUT!BO446</f>
        <v>58.865248226950428</v>
      </c>
      <c r="BE69" s="667">
        <f>INPUT!BP446</f>
        <v>4.1514311189642994</v>
      </c>
      <c r="BF69" s="826">
        <f>INPUT!BQ446</f>
        <v>58.248730964467065</v>
      </c>
      <c r="BG69" s="667">
        <f>INPUT!BR446</f>
        <v>15.246383689646791</v>
      </c>
      <c r="BH69" s="826">
        <f>INPUT!BS446</f>
        <v>59.061438715652805</v>
      </c>
      <c r="BI69" s="667">
        <f>INPUT!BT446</f>
        <v>14.009311767644327</v>
      </c>
      <c r="BJ69" s="826">
        <f>INPUT!BU446</f>
        <v>61.651548326556018</v>
      </c>
      <c r="BK69" s="667">
        <f>INPUT!BV446</f>
        <v>16.979860927311584</v>
      </c>
      <c r="BL69" s="826">
        <f>INPUT!BW446</f>
        <v>63.082660037290282</v>
      </c>
      <c r="BM69" s="667">
        <f>INPUT!BX446</f>
        <v>7.1645188585291342</v>
      </c>
      <c r="BN69" s="826">
        <f>INPUT!BY446</f>
        <v>53.660688032931489</v>
      </c>
      <c r="BO69" s="667">
        <f>INPUT!BZ446</f>
        <v>-7.8766401526144447</v>
      </c>
      <c r="BP69" s="826">
        <f>INPUT!CA446</f>
        <v>58.440046565774153</v>
      </c>
      <c r="BQ69" s="667">
        <f>INPUT!CB446</f>
        <v>-1.0521114341123683</v>
      </c>
      <c r="BR69" s="826">
        <f>INPUT!CC446</f>
        <v>57.808716707021709</v>
      </c>
      <c r="BS69" s="667">
        <f>INPUT!CD446</f>
        <v>-6.2331469749625672</v>
      </c>
      <c r="BT69" s="826">
        <f>INPUT!CE446</f>
        <v>62.181122448979607</v>
      </c>
      <c r="BU69" s="667">
        <f>INPUT!CF446</f>
        <v>-1.4291369257062758</v>
      </c>
      <c r="BV69" s="826">
        <f>INPUT!CG446</f>
        <v>60.805746408494734</v>
      </c>
      <c r="BW69" s="667">
        <f>INPUT!CH446</f>
        <v>13.31525673166607</v>
      </c>
      <c r="BX69" s="826">
        <f>INPUT!CI446</f>
        <v>59.404796301646876</v>
      </c>
      <c r="BY69" s="667">
        <f>INPUT!CJ446</f>
        <v>1.6508366994316015</v>
      </c>
      <c r="BZ69" s="826">
        <f>INPUT!CK446</f>
        <v>63.537117903930209</v>
      </c>
      <c r="CA69" s="667">
        <f>INPUT!CL446</f>
        <v>9.9092343217726189</v>
      </c>
      <c r="CB69" s="826">
        <f>INPUT!CM446</f>
        <v>-33.62516212710765</v>
      </c>
      <c r="CC69" s="667" t="str">
        <f>INPUT!CN446</f>
        <v>NM</v>
      </c>
      <c r="CD69" s="826">
        <f>INPUT!CO446</f>
        <v>66.591203104786445</v>
      </c>
      <c r="CE69" s="667">
        <f>INPUT!CP446</f>
        <v>9.5146545154217055</v>
      </c>
      <c r="CF69" s="826">
        <f>INPUT!CQ446</f>
        <v>68.590777168655379</v>
      </c>
      <c r="CG69" s="667">
        <f>INPUT!CR446</f>
        <v>15.463365652099448</v>
      </c>
      <c r="CH69" s="826">
        <f>INPUT!CS446</f>
        <v>69.616993884776306</v>
      </c>
      <c r="CI69" s="667">
        <f>INPUT!CT446</f>
        <v>9.5690144303350877</v>
      </c>
      <c r="CJ69" s="826">
        <f>INPUT!CU446</f>
        <v>68.517920568291856</v>
      </c>
      <c r="CK69" s="667" t="str">
        <f>INPUT!CV446</f>
        <v>NM</v>
      </c>
      <c r="CL69" s="688">
        <f>INPUT!CW446</f>
        <v>67.692307692307679</v>
      </c>
      <c r="CM69" s="670">
        <f>INPUT!CX446</f>
        <v>1.6535285986477133</v>
      </c>
      <c r="CN69" s="688">
        <f>INPUT!CY446</f>
        <v>67.037154652270544</v>
      </c>
      <c r="CO69" s="670">
        <f>INPUT!CZ446</f>
        <v>-2.2650603776724787</v>
      </c>
      <c r="CP69" s="688">
        <f>INPUT!DA446</f>
        <v>68.552465233881193</v>
      </c>
      <c r="CQ69" s="670">
        <f>INPUT!DB446</f>
        <v>-1.529121830019009</v>
      </c>
      <c r="CR69" s="688">
        <f>INPUT!DC446</f>
        <v>71.202113606340845</v>
      </c>
      <c r="CS69" s="670">
        <f>INPUT!DD446</f>
        <v>3.9175051078405909</v>
      </c>
      <c r="CT69" s="688">
        <f>INPUT!DE446</f>
        <v>63.865804863034825</v>
      </c>
      <c r="CU69" s="670">
        <f>INPUT!DF446</f>
        <v>-5.6527882705167176</v>
      </c>
      <c r="CV69" s="688">
        <f>INPUT!DG446</f>
        <v>66.338764217645164</v>
      </c>
      <c r="CW69" s="670">
        <f>INPUT!DH446</f>
        <v>-1.0417960580934693</v>
      </c>
      <c r="CX69" s="688">
        <f>INPUT!DI446</f>
        <v>66.866330390920595</v>
      </c>
      <c r="CY69" s="670">
        <f>INPUT!DJ446</f>
        <v>-2.4596268525252762</v>
      </c>
      <c r="CZ69" s="688">
        <f>INPUT!DK446</f>
        <v>-56.181281844998651</v>
      </c>
      <c r="DA69" s="670" t="str">
        <f>INPUT!DL446</f>
        <v>NM</v>
      </c>
      <c r="DB69" s="688">
        <f>INPUT!DM446</f>
        <v>67.326421614828831</v>
      </c>
      <c r="DC69" s="670">
        <f>INPUT!DN446</f>
        <v>5.418575338110232</v>
      </c>
      <c r="DD69" s="688">
        <f>INPUT!DO446</f>
        <v>63.573667711598816</v>
      </c>
      <c r="DE69" s="670">
        <f>INPUT!DP446</f>
        <v>-4.1681459379836809</v>
      </c>
      <c r="DF69" s="688">
        <f>INPUT!DQ446</f>
        <v>67.188940092165794</v>
      </c>
      <c r="DG69" s="670">
        <f>INPUT!DR446</f>
        <v>0.48246957677970936</v>
      </c>
      <c r="DH69" s="688">
        <f>INPUT!DS446</f>
        <v>67.08424678985277</v>
      </c>
      <c r="DI69" s="670" t="str">
        <f>INPUT!DT446</f>
        <v>NM</v>
      </c>
      <c r="DJ69" s="688">
        <f>INPUT!DU446</f>
        <v>66.492146596858774</v>
      </c>
      <c r="DK69" s="670">
        <f>INPUT!DV446</f>
        <v>-1.2391495017259446</v>
      </c>
      <c r="DL69" s="688">
        <f>INPUT!DW446</f>
        <v>67.841146610928732</v>
      </c>
      <c r="DM69" s="670">
        <f>INPUT!DX446</f>
        <v>6.7126517203463631</v>
      </c>
      <c r="DN69" s="688">
        <f>INPUT!DY446</f>
        <v>71.940205543444364</v>
      </c>
      <c r="DO69" s="670">
        <f>INPUT!DZ446</f>
        <v>7.0714993342074761</v>
      </c>
      <c r="DP69" s="688">
        <f>INPUT!EA446</f>
        <v>70.040840140023192</v>
      </c>
      <c r="DQ69" s="670">
        <f>INPUT!EB446</f>
        <v>4.407284111621923</v>
      </c>
      <c r="DR69" s="688">
        <f>INPUT!EC446</f>
        <v>70.344218887908241</v>
      </c>
      <c r="DS69" s="670">
        <f>INPUT!ED446</f>
        <v>5.7932740755153311</v>
      </c>
      <c r="DT69" s="688">
        <f>INPUT!EE446</f>
        <v>70.099009900990126</v>
      </c>
      <c r="DU69" s="670">
        <f>INPUT!EF446</f>
        <v>3.3281620415561708</v>
      </c>
      <c r="DV69" s="688">
        <f>INPUT!EG446</f>
        <v>72.502805836139203</v>
      </c>
      <c r="DW69" s="670">
        <f>INPUT!EH446</f>
        <v>0.78203876183684518</v>
      </c>
      <c r="DX69" s="688">
        <f>INPUT!EI446</f>
        <v>65.620809868597547</v>
      </c>
      <c r="DY69" s="670">
        <f>INPUT!EJ446</f>
        <v>-6.3106471347135091</v>
      </c>
      <c r="DZ69" s="688">
        <f>INPUT!EK446</f>
        <v>70.644520021992008</v>
      </c>
      <c r="EA69" s="670">
        <f>INPUT!EL446</f>
        <v>0.42690236501494727</v>
      </c>
      <c r="EB69" s="688">
        <f>INPUT!EM446</f>
        <v>70.794728710316022</v>
      </c>
      <c r="EC69" s="670">
        <f>INPUT!EN446</f>
        <v>0.99248022234343924</v>
      </c>
      <c r="ED69" s="688">
        <f>INPUT!EO446</f>
        <v>71.459988653341156</v>
      </c>
      <c r="EE69" s="670">
        <f>INPUT!EP446</f>
        <v>-1.438312863580582</v>
      </c>
      <c r="EF69" s="688">
        <f>INPUT!EQ446</f>
        <v>71.821505056619912</v>
      </c>
      <c r="EG69" s="670">
        <f>INPUT!ER446</f>
        <v>9.4492817148080768</v>
      </c>
      <c r="EH69" s="670"/>
      <c r="EI69" s="698">
        <f>INPUT!FB446</f>
        <v>0</v>
      </c>
      <c r="EJ69" s="671" t="str">
        <f>INPUT!FC446</f>
        <v>NA</v>
      </c>
      <c r="EK69" s="698">
        <f>INPUT!FD446</f>
        <v>66.490116334058484</v>
      </c>
      <c r="EL69" s="671" t="str">
        <f>INPUT!FE446</f>
        <v>NA</v>
      </c>
      <c r="EM69" s="698">
        <f>INPUT!FF446</f>
        <v>635.05154639175839</v>
      </c>
      <c r="EN69" s="671" t="str">
        <f>INPUT!FG446</f>
        <v>NM</v>
      </c>
      <c r="EO69" s="698">
        <f>INPUT!FH446</f>
        <v>-248.5185185185189</v>
      </c>
      <c r="EP69" s="671" t="str">
        <f>INPUT!FI446</f>
        <v>NM</v>
      </c>
      <c r="EQ69" s="698">
        <f>INPUT!FJ446</f>
        <v>54.824673662656664</v>
      </c>
      <c r="ER69" s="670" t="str">
        <f>INPUT!FK446</f>
        <v>NM</v>
      </c>
      <c r="ES69" s="688">
        <f>INPUT!FL446</f>
        <v>48.280694189932035</v>
      </c>
      <c r="ET69" s="670">
        <f>INPUT!FM446</f>
        <v>-11.936194117616793</v>
      </c>
      <c r="EU69" s="688">
        <f>INPUT!FN446</f>
        <v>53.019045178922283</v>
      </c>
      <c r="EV69" s="670">
        <f>INPUT!FO446</f>
        <v>9.8141732808355808</v>
      </c>
      <c r="EW69" s="688">
        <f>INPUT!FP446</f>
        <v>53.422745949298353</v>
      </c>
      <c r="EX69" s="670">
        <f>INPUT!FQ446</f>
        <v>0.76142595366195387</v>
      </c>
      <c r="EY69" s="688">
        <f>INPUT!FR446</f>
        <v>54.647716044691016</v>
      </c>
      <c r="EZ69" s="670">
        <f>INPUT!FS446</f>
        <v>2.2929747874720574</v>
      </c>
      <c r="FA69" s="688">
        <f>INPUT!FT446</f>
        <v>57.942306243880445</v>
      </c>
      <c r="FB69" s="670">
        <f>INPUT!FU446</f>
        <v>6.028779311646093</v>
      </c>
      <c r="FC69" s="688">
        <f>INPUT!FV446</f>
        <v>219.23804377195353</v>
      </c>
      <c r="FD69" s="670" t="str">
        <f>INPUT!FW446</f>
        <v>NM</v>
      </c>
      <c r="FE69" s="688">
        <f>INPUT!FX446</f>
        <v>67.112597547380162</v>
      </c>
      <c r="FF69" s="670" t="str">
        <f>INPUT!FY446</f>
        <v>NM</v>
      </c>
      <c r="FG69" s="688">
        <f>INPUT!FZ446</f>
        <v>68.598025840622796</v>
      </c>
      <c r="FH69" s="670">
        <f>INPUT!GA446</f>
        <v>2.2133375067087124</v>
      </c>
      <c r="FI69" s="688">
        <f>INPUT!GB446</f>
        <v>142.11942809083274</v>
      </c>
      <c r="FJ69" s="670" t="str">
        <f>INPUT!GC446</f>
        <v>NM</v>
      </c>
      <c r="FK69" s="688">
        <f>INPUT!GD446</f>
        <v>66.297480695733583</v>
      </c>
      <c r="FL69" s="670" t="str">
        <f>INPUT!GE446</f>
        <v>NM</v>
      </c>
      <c r="FM69" s="688">
        <f>INPUT!GF446</f>
        <v>69.074423876086072</v>
      </c>
      <c r="FN69" s="670">
        <f>INPUT!GG446</f>
        <v>4.1886104135646196</v>
      </c>
      <c r="FO69" s="688">
        <f>INPUT!GH446</f>
        <v>69.585998453644464</v>
      </c>
      <c r="FP69" s="670">
        <f>INPUT!GI446</f>
        <v>0.74061360030466261</v>
      </c>
      <c r="FQ69" s="688">
        <f>INPUT!GJ446</f>
        <v>71.183023805769594</v>
      </c>
      <c r="FR69" s="670">
        <f>INPUT!GK446</f>
        <v>2.2950383519882989</v>
      </c>
      <c r="FS69" s="688">
        <f>INPUT!GL446</f>
        <v>71.700315372392367</v>
      </c>
      <c r="FT69" s="670">
        <f>INPUT!GM446</f>
        <v>0.72670636756630991</v>
      </c>
      <c r="FU69" s="688">
        <f>INPUT!GN446</f>
        <v>71.954963423734654</v>
      </c>
      <c r="FV69" s="670">
        <f>INPUT!GO446</f>
        <v>0.35515611056897711</v>
      </c>
      <c r="FW69" s="688">
        <f>INPUT!GP446</f>
        <v>72.151598478107431</v>
      </c>
      <c r="FX69" s="670">
        <f>INPUT!GQ446</f>
        <v>0.27327517799544676</v>
      </c>
      <c r="FY69" s="688">
        <f>INPUT!GR446</f>
        <v>72.351987333615696</v>
      </c>
      <c r="FZ69" s="670">
        <f>INPUT!GS446</f>
        <v>0.27773307831713279</v>
      </c>
      <c r="GA69" s="988">
        <f>INPUT!GT446</f>
        <v>0.78263763351860138</v>
      </c>
    </row>
    <row r="70" spans="1:183" s="707" customFormat="1" ht="12.75" customHeight="1" x14ac:dyDescent="0.2">
      <c r="A70" s="993" t="str">
        <f>INPUT!B447</f>
        <v xml:space="preserve">  Group Income Protection (%)</v>
      </c>
      <c r="B70" s="825">
        <f>INPUT!M447</f>
        <v>0</v>
      </c>
      <c r="C70" s="824" t="str">
        <f>INPUT!N447</f>
        <v>NA</v>
      </c>
      <c r="D70" s="825">
        <f>INPUT!O447</f>
        <v>0</v>
      </c>
      <c r="E70" s="665" t="str">
        <f>INPUT!P447</f>
        <v>NA</v>
      </c>
      <c r="F70" s="825">
        <f>INPUT!Q447</f>
        <v>0</v>
      </c>
      <c r="G70" s="665" t="str">
        <f>INPUT!R447</f>
        <v>NA</v>
      </c>
      <c r="H70" s="825">
        <f>INPUT!S447</f>
        <v>0</v>
      </c>
      <c r="I70" s="665" t="str">
        <f>INPUT!T447</f>
        <v>NA</v>
      </c>
      <c r="J70" s="825">
        <f>INPUT!U447</f>
        <v>0</v>
      </c>
      <c r="K70" s="665" t="str">
        <f>INPUT!V447</f>
        <v>NA</v>
      </c>
      <c r="L70" s="825">
        <f>INPUT!W447</f>
        <v>0</v>
      </c>
      <c r="M70" s="665" t="str">
        <f>INPUT!X447</f>
        <v>NA</v>
      </c>
      <c r="N70" s="825">
        <f>INPUT!Y447</f>
        <v>0</v>
      </c>
      <c r="O70" s="665" t="str">
        <f>INPUT!Z447</f>
        <v>NA</v>
      </c>
      <c r="P70" s="825">
        <f>INPUT!AA447</f>
        <v>0</v>
      </c>
      <c r="Q70" s="665" t="str">
        <f>INPUT!AB447</f>
        <v>NA</v>
      </c>
      <c r="R70" s="825">
        <f>INPUT!AC447</f>
        <v>0.64110622250155991</v>
      </c>
      <c r="S70" s="665" t="str">
        <f>INPUT!AD447</f>
        <v>NA</v>
      </c>
      <c r="T70" s="825">
        <f>INPUT!AE447</f>
        <v>9.5669687814703384</v>
      </c>
      <c r="U70" s="665" t="str">
        <f>INPUT!AF447</f>
        <v>NA</v>
      </c>
      <c r="V70" s="825">
        <f>INPUT!AG447</f>
        <v>8.7010889386755821</v>
      </c>
      <c r="W70" s="665" t="str">
        <f>INPUT!AH447</f>
        <v>NA</v>
      </c>
      <c r="X70" s="825">
        <f>INPUT!AI447</f>
        <v>-76.136461287273377</v>
      </c>
      <c r="Y70" s="665" t="str">
        <f>INPUT!AJ447</f>
        <v>NA</v>
      </c>
      <c r="Z70" s="825">
        <f>INPUT!AK447</f>
        <v>1.8939393939395734</v>
      </c>
      <c r="AA70" s="665" t="str">
        <f>INPUT!AL447</f>
        <v>NM</v>
      </c>
      <c r="AB70" s="825">
        <f>INPUT!AM447</f>
        <v>10.034947578631963</v>
      </c>
      <c r="AC70" s="665">
        <f>INPUT!AN447</f>
        <v>4.8916099534893842</v>
      </c>
      <c r="AD70" s="825">
        <f>INPUT!AO447</f>
        <v>14.92822966507174</v>
      </c>
      <c r="AE70" s="665">
        <f>INPUT!AP447</f>
        <v>71.567372432168355</v>
      </c>
      <c r="AF70" s="825">
        <f>INPUT!AQ447</f>
        <v>7.2610784837159175</v>
      </c>
      <c r="AG70" s="665" t="str">
        <f>INPUT!AR447</f>
        <v>NM</v>
      </c>
      <c r="AH70" s="825">
        <f>INPUT!AS447</f>
        <v>0.59494298463054984</v>
      </c>
      <c r="AI70" s="665" t="str">
        <f>INPUT!AT447</f>
        <v>NM</v>
      </c>
      <c r="AJ70" s="825">
        <f>INPUT!AU447</f>
        <v>4.8036951501154164</v>
      </c>
      <c r="AK70" s="665" t="str">
        <f>INPUT!AV447</f>
        <v>NM</v>
      </c>
      <c r="AL70" s="825">
        <f>INPUT!AW447</f>
        <v>6.7075664621677227</v>
      </c>
      <c r="AM70" s="665" t="str">
        <f>INPUT!AX447</f>
        <v>NM</v>
      </c>
      <c r="AN70" s="825">
        <f>INPUT!AY447</f>
        <v>8.7169811320754764</v>
      </c>
      <c r="AO70" s="667">
        <f>INPUT!AZ447</f>
        <v>20.050776914540226</v>
      </c>
      <c r="AP70" s="826">
        <f>INPUT!BA447</f>
        <v>11.267071320182112</v>
      </c>
      <c r="AQ70" s="667" t="str">
        <f>INPUT!BB447</f>
        <v>NM</v>
      </c>
      <c r="AR70" s="826">
        <f>INPUT!BC447</f>
        <v>18.838475499092549</v>
      </c>
      <c r="AS70" s="667" t="str">
        <f>INPUT!BD447</f>
        <v>NM</v>
      </c>
      <c r="AT70" s="826">
        <f>INPUT!BE447</f>
        <v>15.846153846153818</v>
      </c>
      <c r="AU70" s="667" t="str">
        <f>INPUT!BF447</f>
        <v>NM</v>
      </c>
      <c r="AV70" s="826">
        <f>INPUT!BG447</f>
        <v>17.014341590612787</v>
      </c>
      <c r="AW70" s="667">
        <f>INPUT!BH447</f>
        <v>95.186169762440969</v>
      </c>
      <c r="AX70" s="826">
        <f>INPUT!BI447</f>
        <v>12.803320561941259</v>
      </c>
      <c r="AY70" s="667">
        <f>INPUT!BJ447</f>
        <v>13.634858590158604</v>
      </c>
      <c r="AZ70" s="826">
        <f>INPUT!BK447</f>
        <v>14.960398943971818</v>
      </c>
      <c r="BA70" s="667">
        <f>INPUT!BL447</f>
        <v>-20.585936241536839</v>
      </c>
      <c r="BB70" s="826">
        <f>INPUT!BM447</f>
        <v>16.769041769041749</v>
      </c>
      <c r="BC70" s="667">
        <f>INPUT!BN447</f>
        <v>5.8240499988073458</v>
      </c>
      <c r="BD70" s="826">
        <f>INPUT!BO447</f>
        <v>19.245647969052264</v>
      </c>
      <c r="BE70" s="667">
        <f>INPUT!BP447</f>
        <v>13.114268139946962</v>
      </c>
      <c r="BF70" s="826">
        <f>INPUT!BQ447</f>
        <v>18.30583756345176</v>
      </c>
      <c r="BG70" s="667">
        <f>INPUT!BR447</f>
        <v>42.977264959428616</v>
      </c>
      <c r="BH70" s="826">
        <f>INPUT!BS447</f>
        <v>21.086755171349196</v>
      </c>
      <c r="BI70" s="667">
        <f>INPUT!BT447</f>
        <v>40.950487017901004</v>
      </c>
      <c r="BJ70" s="826">
        <f>INPUT!BU447</f>
        <v>23.459493274945274</v>
      </c>
      <c r="BK70" s="667">
        <f>INPUT!BV447</f>
        <v>39.897637551688469</v>
      </c>
      <c r="BL70" s="826">
        <f>INPUT!BW447</f>
        <v>22.560596643878171</v>
      </c>
      <c r="BM70" s="667">
        <f>INPUT!BX447</f>
        <v>17.224406682261218</v>
      </c>
      <c r="BN70" s="826">
        <f>INPUT!BY447</f>
        <v>22.287562481623038</v>
      </c>
      <c r="BO70" s="667">
        <f>INPUT!BZ447</f>
        <v>21.751121216769278</v>
      </c>
      <c r="BP70" s="826">
        <f>INPUT!CA447</f>
        <v>24.650756693830051</v>
      </c>
      <c r="BQ70" s="667">
        <f>INPUT!CB447</f>
        <v>16.901611905293535</v>
      </c>
      <c r="BR70" s="826">
        <f>INPUT!CC447</f>
        <v>23.759079903147693</v>
      </c>
      <c r="BS70" s="667">
        <f>INPUT!CD447</f>
        <v>1.2770379338175042</v>
      </c>
      <c r="BT70" s="826">
        <f>INPUT!CE447</f>
        <v>24.936224489795908</v>
      </c>
      <c r="BU70" s="667">
        <f>INPUT!CF447</f>
        <v>10.529986788103706</v>
      </c>
      <c r="BV70" s="826">
        <f>INPUT!CG447</f>
        <v>23.048094940662118</v>
      </c>
      <c r="BW70" s="667">
        <f>INPUT!CH447</f>
        <v>3.4123626559260156</v>
      </c>
      <c r="BX70" s="826">
        <f>INPUT!CI447</f>
        <v>22.739092747760733</v>
      </c>
      <c r="BY70" s="667">
        <f>INPUT!CJ447</f>
        <v>-7.754990931161954</v>
      </c>
      <c r="BZ70" s="826">
        <f>INPUT!CK447</f>
        <v>22.676232064878366</v>
      </c>
      <c r="CA70" s="667">
        <f>INPUT!CL447</f>
        <v>-4.5576168887157431</v>
      </c>
      <c r="CB70" s="826">
        <f>INPUT!CM447</f>
        <v>-12.499999999999996</v>
      </c>
      <c r="CC70" s="667" t="str">
        <f>INPUT!CN447</f>
        <v>NM</v>
      </c>
      <c r="CD70" s="826">
        <f>INPUT!CO447</f>
        <v>24.159120310478674</v>
      </c>
      <c r="CE70" s="667">
        <f>INPUT!CP447</f>
        <v>4.8204650869276611</v>
      </c>
      <c r="CF70" s="826">
        <f>INPUT!CQ447</f>
        <v>22.702354079329247</v>
      </c>
      <c r="CG70" s="667">
        <f>INPUT!CR447</f>
        <v>-0.1615661136485036</v>
      </c>
      <c r="CH70" s="826">
        <f>INPUT!CS447</f>
        <v>23.978113936272933</v>
      </c>
      <c r="CI70" s="667">
        <f>INPUT!CT447</f>
        <v>5.7411736997124985</v>
      </c>
      <c r="CJ70" s="826">
        <f>INPUT!CU447</f>
        <v>23.732644494672268</v>
      </c>
      <c r="CK70" s="667" t="str">
        <f>INPUT!CV447</f>
        <v>NM</v>
      </c>
      <c r="CL70" s="688">
        <f>INPUT!CW447</f>
        <v>23.461538461538431</v>
      </c>
      <c r="CM70" s="670">
        <f>INPUT!CX447</f>
        <v>-2.8874472247968241</v>
      </c>
      <c r="CN70" s="688">
        <f>INPUT!CY447</f>
        <v>22.864401397268981</v>
      </c>
      <c r="CO70" s="670">
        <f>INPUT!CZ447</f>
        <v>0.71379081382261234</v>
      </c>
      <c r="CP70" s="688">
        <f>INPUT!DA447</f>
        <v>24.620733249051824</v>
      </c>
      <c r="CQ70" s="670">
        <f>INPUT!DB447</f>
        <v>2.6800244359785452</v>
      </c>
      <c r="CR70" s="688">
        <f>INPUT!DC447</f>
        <v>22.655217965653907</v>
      </c>
      <c r="CS70" s="670">
        <f>INPUT!DD447</f>
        <v>-4.5398502862174954</v>
      </c>
      <c r="CT70" s="688">
        <f>INPUT!DE447</f>
        <v>20.806401969836859</v>
      </c>
      <c r="CU70" s="670">
        <f>INPUT!DF447</f>
        <v>-11.316975210531311</v>
      </c>
      <c r="CV70" s="688">
        <f>INPUT!DG447</f>
        <v>22.348601291115873</v>
      </c>
      <c r="CW70" s="670">
        <f>INPUT!DH447</f>
        <v>-2.255909075383522</v>
      </c>
      <c r="CX70" s="688">
        <f>INPUT!DI447</f>
        <v>21.626733921815894</v>
      </c>
      <c r="CY70" s="670">
        <f>INPUT!DJ447</f>
        <v>-12.160479937579572</v>
      </c>
      <c r="CZ70" s="688">
        <f>INPUT!DK447</f>
        <v>-17.672298203271648</v>
      </c>
      <c r="DA70" s="670" t="str">
        <f>INPUT!DL447</f>
        <v>NM</v>
      </c>
      <c r="DB70" s="688">
        <f>INPUT!DM447</f>
        <v>23.342758404021382</v>
      </c>
      <c r="DC70" s="670">
        <f>INPUT!DN447</f>
        <v>12.190269311635383</v>
      </c>
      <c r="DD70" s="688">
        <f>INPUT!DO447</f>
        <v>19.184952978056444</v>
      </c>
      <c r="DE70" s="670">
        <f>INPUT!DP447</f>
        <v>-14.155911915243923</v>
      </c>
      <c r="DF70" s="688">
        <f>INPUT!DQ447</f>
        <v>21.751152073732722</v>
      </c>
      <c r="DG70" s="670">
        <f>INPUT!DR447</f>
        <v>0.57529792693904458</v>
      </c>
      <c r="DH70" s="688">
        <f>INPUT!DS447</f>
        <v>20.701534606952723</v>
      </c>
      <c r="DI70" s="670" t="str">
        <f>INPUT!DT447</f>
        <v>NM</v>
      </c>
      <c r="DJ70" s="688">
        <f>INPUT!DU447</f>
        <v>21.681552202032616</v>
      </c>
      <c r="DK70" s="670">
        <f>INPUT!DV447</f>
        <v>-7.1165805396100072</v>
      </c>
      <c r="DL70" s="688">
        <f>INPUT!DW447</f>
        <v>22.215586742311135</v>
      </c>
      <c r="DM70" s="670">
        <f>INPUT!DX447</f>
        <v>15.796930895379834</v>
      </c>
      <c r="DN70" s="688">
        <f>INPUT!DY447</f>
        <v>26.596075988788552</v>
      </c>
      <c r="DO70" s="670">
        <f>INPUT!DZ447</f>
        <v>22.274332406082941</v>
      </c>
      <c r="DP70" s="688">
        <f>INPUT!EA447</f>
        <v>26.108518086347694</v>
      </c>
      <c r="DQ70" s="670">
        <f>INPUT!EB447</f>
        <v>26.118756807425303</v>
      </c>
      <c r="DR70" s="688">
        <f>INPUT!EC447</f>
        <v>26.09591056192998</v>
      </c>
      <c r="DS70" s="670">
        <f>INPUT!ED447</f>
        <v>20.3599738559471</v>
      </c>
      <c r="DT70" s="688">
        <f>INPUT!EE447</f>
        <v>26.138613861386155</v>
      </c>
      <c r="DU70" s="670">
        <f>INPUT!EF447</f>
        <v>17.658894921750324</v>
      </c>
      <c r="DV70" s="688">
        <f>INPUT!EG447</f>
        <v>25.252525252525228</v>
      </c>
      <c r="DW70" s="670">
        <f>INPUT!EH447</f>
        <v>-5.0516878385732262</v>
      </c>
      <c r="DX70" s="688">
        <f>INPUT!EI447</f>
        <v>23.250201126307317</v>
      </c>
      <c r="DY70" s="670">
        <f>INPUT!EJ447</f>
        <v>-10.94783300448986</v>
      </c>
      <c r="DZ70" s="688">
        <f>INPUT!EK447</f>
        <v>25.644923888184877</v>
      </c>
      <c r="EA70" s="670">
        <f>INPUT!EL447</f>
        <v>-1.7281890688383372</v>
      </c>
      <c r="EB70" s="688">
        <f>INPUT!EM447</f>
        <v>25.699793357464038</v>
      </c>
      <c r="EC70" s="670">
        <f>INPUT!EN447</f>
        <v>-1.6788208672777971</v>
      </c>
      <c r="ED70" s="688">
        <f>INPUT!EO447</f>
        <v>25.771403145945165</v>
      </c>
      <c r="EE70" s="670">
        <f>INPUT!EP447</f>
        <v>2.0547564579429523</v>
      </c>
      <c r="EF70" s="688">
        <f>INPUT!EQ447</f>
        <v>26.138393866613619</v>
      </c>
      <c r="EG70" s="670">
        <f>INPUT!ER447</f>
        <v>12.422226907268975</v>
      </c>
      <c r="EH70" s="670"/>
      <c r="EI70" s="698">
        <f>INPUT!FB447</f>
        <v>0</v>
      </c>
      <c r="EJ70" s="671" t="str">
        <f>INPUT!FC447</f>
        <v>NA</v>
      </c>
      <c r="EK70" s="698">
        <f>INPUT!FD447</f>
        <v>27.418897190958173</v>
      </c>
      <c r="EL70" s="671" t="str">
        <f>INPUT!FE447</f>
        <v>NA</v>
      </c>
      <c r="EM70" s="698">
        <f>INPUT!FF447</f>
        <v>1281.2960235640764</v>
      </c>
      <c r="EN70" s="671" t="str">
        <f>INPUT!FG447</f>
        <v>NM</v>
      </c>
      <c r="EO70" s="698">
        <f>INPUT!FH447</f>
        <v>42.962962962962905</v>
      </c>
      <c r="EP70" s="671" t="str">
        <f>INPUT!FI447</f>
        <v>NM</v>
      </c>
      <c r="EQ70" s="698">
        <f>INPUT!FJ447</f>
        <v>8.7535193242897957</v>
      </c>
      <c r="ER70" s="670" t="str">
        <f>INPUT!FK447</f>
        <v>NM</v>
      </c>
      <c r="ES70" s="688">
        <f>INPUT!FL447</f>
        <v>5.5082462002802517</v>
      </c>
      <c r="ET70" s="670">
        <f>INPUT!FM447</f>
        <v>-37.073924255863169</v>
      </c>
      <c r="EU70" s="688">
        <f>INPUT!FN447</f>
        <v>15.825433427278176</v>
      </c>
      <c r="EV70" s="670" t="str">
        <f>INPUT!FO447</f>
        <v>NM</v>
      </c>
      <c r="EW70" s="688">
        <f>INPUT!FP447</f>
        <v>15.923715016667966</v>
      </c>
      <c r="EX70" s="670">
        <f>INPUT!FQ447</f>
        <v>0.62103568816247456</v>
      </c>
      <c r="EY70" s="688">
        <f>INPUT!FR447</f>
        <v>21.152238352207949</v>
      </c>
      <c r="EZ70" s="670">
        <f>INPUT!FS447</f>
        <v>32.834821083315589</v>
      </c>
      <c r="FA70" s="688">
        <f>INPUT!FT447</f>
        <v>23.890939218196849</v>
      </c>
      <c r="FB70" s="670">
        <f>INPUT!FU447</f>
        <v>12.947569994184672</v>
      </c>
      <c r="FC70" s="688">
        <f>INPUT!FV447</f>
        <v>81.680626857606143</v>
      </c>
      <c r="FD70" s="670" t="str">
        <f>INPUT!FW447</f>
        <v>NM</v>
      </c>
      <c r="FE70" s="688">
        <f>INPUT!FX447</f>
        <v>23.236184105749324</v>
      </c>
      <c r="FF70" s="670" t="str">
        <f>INPUT!FY447</f>
        <v>NM</v>
      </c>
      <c r="FG70" s="688">
        <f>INPUT!FZ447</f>
        <v>23.409036192921903</v>
      </c>
      <c r="FH70" s="670">
        <f>INPUT!GA447</f>
        <v>0.74389188167005571</v>
      </c>
      <c r="FI70" s="688">
        <f>INPUT!GB447</f>
        <v>46.22371740958792</v>
      </c>
      <c r="FJ70" s="670">
        <f>INPUT!GC447</f>
        <v>97.461001933793412</v>
      </c>
      <c r="FK70" s="688">
        <f>INPUT!GD447</f>
        <v>21.246392637079804</v>
      </c>
      <c r="FL70" s="670" t="str">
        <f>INPUT!GE447</f>
        <v>NM</v>
      </c>
      <c r="FM70" s="688">
        <f>INPUT!GF447</f>
        <v>24.155647903286738</v>
      </c>
      <c r="FN70" s="670">
        <f>INPUT!GG447</f>
        <v>13.692937506622282</v>
      </c>
      <c r="FO70" s="688">
        <f>INPUT!GH447</f>
        <v>25.149363885569681</v>
      </c>
      <c r="FP70" s="670">
        <f>INPUT!GI447</f>
        <v>4.1138038866170623</v>
      </c>
      <c r="FQ70" s="688">
        <f>INPUT!GJ447</f>
        <v>25.814715024825109</v>
      </c>
      <c r="FR70" s="670">
        <f>INPUT!GK447</f>
        <v>2.6455982834508118</v>
      </c>
      <c r="FS70" s="688">
        <f>INPUT!GL447</f>
        <v>25.839900540125999</v>
      </c>
      <c r="FT70" s="670">
        <f>INPUT!GM447</f>
        <v>9.7562631532710498E-2</v>
      </c>
      <c r="FU70" s="688">
        <f>INPUT!GN447</f>
        <v>25.775136183090673</v>
      </c>
      <c r="FV70" s="670">
        <f>INPUT!GO447</f>
        <v>-0.25063702135678101</v>
      </c>
      <c r="FW70" s="688">
        <f>INPUT!GP447</f>
        <v>25.652527467623916</v>
      </c>
      <c r="FX70" s="670">
        <f>INPUT!GQ447</f>
        <v>-0.47568600451155518</v>
      </c>
      <c r="FY70" s="688">
        <f>INPUT!GR447</f>
        <v>25.659540725698204</v>
      </c>
      <c r="FZ70" s="670">
        <f>INPUT!GS447</f>
        <v>2.7339442802043479E-2</v>
      </c>
      <c r="GA70" s="988">
        <f>INPUT!GT447</f>
        <v>0.40246486674442306</v>
      </c>
    </row>
    <row r="71" spans="1:183" s="707" customFormat="1" ht="12.75" customHeight="1" x14ac:dyDescent="0.2">
      <c r="A71" s="993" t="str">
        <f>INPUT!B448</f>
        <v xml:space="preserve">  Group Life and AD&amp;D (%)</v>
      </c>
      <c r="B71" s="825">
        <f>INPUT!M448</f>
        <v>0</v>
      </c>
      <c r="C71" s="824" t="str">
        <f>INPUT!N448</f>
        <v>NA</v>
      </c>
      <c r="D71" s="825">
        <f>INPUT!O448</f>
        <v>0</v>
      </c>
      <c r="E71" s="665" t="str">
        <f>INPUT!P448</f>
        <v>NA</v>
      </c>
      <c r="F71" s="825">
        <f>INPUT!Q448</f>
        <v>0</v>
      </c>
      <c r="G71" s="665" t="str">
        <f>INPUT!R448</f>
        <v>NA</v>
      </c>
      <c r="H71" s="825">
        <f>INPUT!S448</f>
        <v>0</v>
      </c>
      <c r="I71" s="665" t="str">
        <f>INPUT!T448</f>
        <v>NA</v>
      </c>
      <c r="J71" s="825">
        <f>INPUT!U448</f>
        <v>0</v>
      </c>
      <c r="K71" s="665" t="str">
        <f>INPUT!V448</f>
        <v>NA</v>
      </c>
      <c r="L71" s="825">
        <f>INPUT!W448</f>
        <v>0</v>
      </c>
      <c r="M71" s="665" t="str">
        <f>INPUT!X448</f>
        <v>NA</v>
      </c>
      <c r="N71" s="825">
        <f>INPUT!Y448</f>
        <v>0</v>
      </c>
      <c r="O71" s="665" t="str">
        <f>INPUT!Z448</f>
        <v>NA</v>
      </c>
      <c r="P71" s="825">
        <f>INPUT!AA448</f>
        <v>0</v>
      </c>
      <c r="Q71" s="665" t="str">
        <f>INPUT!AB448</f>
        <v>NA</v>
      </c>
      <c r="R71" s="825">
        <f>INPUT!AC448</f>
        <v>-5.8579509742300546</v>
      </c>
      <c r="S71" s="665" t="str">
        <f>INPUT!AD448</f>
        <v>NA</v>
      </c>
      <c r="T71" s="825">
        <f>INPUT!AE448</f>
        <v>25.226586102719018</v>
      </c>
      <c r="U71" s="665" t="str">
        <f>INPUT!AF448</f>
        <v>NA</v>
      </c>
      <c r="V71" s="825">
        <f>INPUT!AG448</f>
        <v>28.776116292398285</v>
      </c>
      <c r="W71" s="665" t="str">
        <f>INPUT!AH448</f>
        <v>NA</v>
      </c>
      <c r="X71" s="825">
        <f>INPUT!AI448</f>
        <v>52.822892498066622</v>
      </c>
      <c r="Y71" s="665" t="str">
        <f>INPUT!AJ448</f>
        <v>NA</v>
      </c>
      <c r="Z71" s="825">
        <f>INPUT!AK448</f>
        <v>30.032467532467482</v>
      </c>
      <c r="AA71" s="665" t="str">
        <f>INPUT!AL448</f>
        <v>NM</v>
      </c>
      <c r="AB71" s="825">
        <f>INPUT!AM448</f>
        <v>23.914128806789837</v>
      </c>
      <c r="AC71" s="665">
        <f>INPUT!AN448</f>
        <v>-5.2026750293719726</v>
      </c>
      <c r="AD71" s="825">
        <f>INPUT!AO448</f>
        <v>20.047846889952147</v>
      </c>
      <c r="AE71" s="665">
        <f>INPUT!AP448</f>
        <v>-30.331644874370568</v>
      </c>
      <c r="AF71" s="825">
        <f>INPUT!AQ448</f>
        <v>23.224773091297422</v>
      </c>
      <c r="AG71" s="665" t="str">
        <f>INPUT!AR448</f>
        <v>NM</v>
      </c>
      <c r="AH71" s="825">
        <f>INPUT!AS448</f>
        <v>21.764997521070899</v>
      </c>
      <c r="AI71" s="665">
        <f>INPUT!AT448</f>
        <v>-27.528440686596234</v>
      </c>
      <c r="AJ71" s="825">
        <f>INPUT!AU448</f>
        <v>20.692840646651277</v>
      </c>
      <c r="AK71" s="665">
        <f>INPUT!AV448</f>
        <v>-13.470230030809038</v>
      </c>
      <c r="AL71" s="825">
        <f>INPUT!AW448</f>
        <v>17.586912065439662</v>
      </c>
      <c r="AM71" s="665">
        <f>INPUT!AX448</f>
        <v>-12.275307358546762</v>
      </c>
      <c r="AN71" s="825">
        <f>INPUT!AY448</f>
        <v>17.471698113207566</v>
      </c>
      <c r="AO71" s="667">
        <f>INPUT!AZ448</f>
        <v>-24.771286055085707</v>
      </c>
      <c r="AP71" s="826">
        <f>INPUT!BA448</f>
        <v>18.740515933232164</v>
      </c>
      <c r="AQ71" s="667">
        <f>INPUT!BB448</f>
        <v>-13.89608055278071</v>
      </c>
      <c r="AR71" s="826">
        <f>INPUT!BC448</f>
        <v>18.693284936479149</v>
      </c>
      <c r="AS71" s="667">
        <f>INPUT!BD448</f>
        <v>-9.6630315011666408</v>
      </c>
      <c r="AT71" s="826">
        <f>INPUT!BE448</f>
        <v>17.292307692307716</v>
      </c>
      <c r="AU71" s="667">
        <f>INPUT!BF448</f>
        <v>-1.6751341681572329</v>
      </c>
      <c r="AV71" s="826">
        <f>INPUT!BG448</f>
        <v>20.893089960886556</v>
      </c>
      <c r="AW71" s="667">
        <f>INPUT!BH448</f>
        <v>19.582480337687503</v>
      </c>
      <c r="AX71" s="826">
        <f>INPUT!BI448</f>
        <v>17.688378033205613</v>
      </c>
      <c r="AY71" s="667">
        <f>INPUT!BJ448</f>
        <v>-5.6142419118825675</v>
      </c>
      <c r="AZ71" s="826">
        <f>INPUT!BK448</f>
        <v>16.2217659137577</v>
      </c>
      <c r="BA71" s="667">
        <f>INPUT!BL448</f>
        <v>-13.22142700504385</v>
      </c>
      <c r="BB71" s="826">
        <f>INPUT!BM448</f>
        <v>15.63267813267815</v>
      </c>
      <c r="BC71" s="667">
        <f>INPUT!BN448</f>
        <v>-9.5975019017723877</v>
      </c>
      <c r="BD71" s="826">
        <f>INPUT!BO448</f>
        <v>16.215344938749187</v>
      </c>
      <c r="BE71" s="667">
        <f>INPUT!BP448</f>
        <v>-22.38895745384939</v>
      </c>
      <c r="BF71" s="826">
        <f>INPUT!BQ448</f>
        <v>15.323604060913713</v>
      </c>
      <c r="BG71" s="667">
        <f>INPUT!BR448</f>
        <v>-13.369083179094288</v>
      </c>
      <c r="BH71" s="826">
        <f>INPUT!BS448</f>
        <v>15.035504785427625</v>
      </c>
      <c r="BI71" s="667">
        <f>INPUT!BT448</f>
        <v>-7.3127742974271719</v>
      </c>
      <c r="BJ71" s="826">
        <f>INPUT!BU448</f>
        <v>15.639662183296831</v>
      </c>
      <c r="BK71" s="667">
        <f>INPUT!BV448</f>
        <v>4.4675970165863887E-2</v>
      </c>
      <c r="BL71" s="826">
        <f>INPUT!BW448</f>
        <v>14.822871348663771</v>
      </c>
      <c r="BM71" s="667">
        <f>INPUT!BX448</f>
        <v>-8.5873818617196118</v>
      </c>
      <c r="BN71" s="826">
        <f>INPUT!BY448</f>
        <v>14.848573948838592</v>
      </c>
      <c r="BO71" s="667">
        <f>INPUT!BZ448</f>
        <v>-3.0999894684488161</v>
      </c>
      <c r="BP71" s="826">
        <f>INPUT!CA448</f>
        <v>14.668218859138543</v>
      </c>
      <c r="BQ71" s="667">
        <f>INPUT!CB448</f>
        <v>-2.4427907910684499</v>
      </c>
      <c r="BR71" s="826">
        <f>INPUT!CC448</f>
        <v>15.466101694915258</v>
      </c>
      <c r="BS71" s="667">
        <f>INPUT!CD448</f>
        <v>-1.1097457627117779</v>
      </c>
      <c r="BT71" s="826">
        <f>INPUT!CE448</f>
        <v>16.581632653061227</v>
      </c>
      <c r="BU71" s="667">
        <f>INPUT!CF448</f>
        <v>11.865186326102762</v>
      </c>
      <c r="BV71" s="826">
        <f>INPUT!CG448</f>
        <v>16.114928169893812</v>
      </c>
      <c r="BW71" s="667">
        <f>INPUT!CH448</f>
        <v>8.5284568431857508</v>
      </c>
      <c r="BX71" s="826">
        <f>INPUT!CI448</f>
        <v>15.024559375902912</v>
      </c>
      <c r="BY71" s="667">
        <f>INPUT!CJ448</f>
        <v>2.429337332544379</v>
      </c>
      <c r="BZ71" s="826">
        <f>INPUT!CK448</f>
        <v>16.313162819713039</v>
      </c>
      <c r="CA71" s="667">
        <f>INPUT!CL448</f>
        <v>5.4768883685555103</v>
      </c>
      <c r="CB71" s="826">
        <f>INPUT!CM448</f>
        <v>-8.5278858625162037</v>
      </c>
      <c r="CC71" s="667" t="str">
        <f>INPUT!CN448</f>
        <v>NM</v>
      </c>
      <c r="CD71" s="826">
        <f>INPUT!CO448</f>
        <v>16.94695989650711</v>
      </c>
      <c r="CE71" s="667">
        <f>INPUT!CP448</f>
        <v>5.1631116058445281</v>
      </c>
      <c r="CF71" s="826">
        <f>INPUT!CQ448</f>
        <v>18.477910351499506</v>
      </c>
      <c r="CG71" s="667">
        <f>INPUT!CR448</f>
        <v>22.984707166422737</v>
      </c>
      <c r="CH71" s="826">
        <f>INPUT!CS448</f>
        <v>18.056002574831034</v>
      </c>
      <c r="CI71" s="667">
        <f>INPUT!CT448</f>
        <v>10.683641022769198</v>
      </c>
      <c r="CJ71" s="826">
        <f>INPUT!CU448</f>
        <v>17.791411042944798</v>
      </c>
      <c r="CK71" s="667" t="str">
        <f>INPUT!CV448</f>
        <v>NM</v>
      </c>
      <c r="CL71" s="688">
        <f>INPUT!CW448</f>
        <v>18.269230769230781</v>
      </c>
      <c r="CM71" s="670">
        <f>INPUT!CX448</f>
        <v>7.8024075161480688</v>
      </c>
      <c r="CN71" s="688">
        <f>INPUT!CY448</f>
        <v>17.815179422038735</v>
      </c>
      <c r="CO71" s="670">
        <f>INPUT!CZ448</f>
        <v>-3.586611888757163</v>
      </c>
      <c r="CP71" s="688">
        <f>INPUT!DA448</f>
        <v>18.236409608091037</v>
      </c>
      <c r="CQ71" s="670">
        <f>INPUT!DB448</f>
        <v>0.99915267796581997</v>
      </c>
      <c r="CR71" s="688">
        <f>INPUT!DC448</f>
        <v>20.409511228533685</v>
      </c>
      <c r="CS71" s="670">
        <f>INPUT!DD448</f>
        <v>14.715528629344421</v>
      </c>
      <c r="CT71" s="688">
        <f>INPUT!DE448</f>
        <v>18.06709756848262</v>
      </c>
      <c r="CU71" s="670">
        <f>INPUT!DF448</f>
        <v>-1.1064133093583561</v>
      </c>
      <c r="CV71" s="688">
        <f>INPUT!DG448</f>
        <v>18.628957885029195</v>
      </c>
      <c r="CW71" s="670">
        <f>INPUT!DH448</f>
        <v>4.5678937254134633</v>
      </c>
      <c r="CX71" s="688">
        <f>INPUT!DI448</f>
        <v>19.48297604035309</v>
      </c>
      <c r="CY71" s="670">
        <f>INPUT!DJ448</f>
        <v>6.8355913200643492</v>
      </c>
      <c r="CZ71" s="688">
        <f>INPUT!DK448</f>
        <v>-15.902386698846877</v>
      </c>
      <c r="DA71" s="670" t="str">
        <f>INPUT!DL448</f>
        <v>NM</v>
      </c>
      <c r="DB71" s="688">
        <f>INPUT!DM448</f>
        <v>18.190386427898218</v>
      </c>
      <c r="DC71" s="670">
        <f>INPUT!DN448</f>
        <v>0.68239438541954911</v>
      </c>
      <c r="DD71" s="688">
        <f>INPUT!DO448</f>
        <v>16.457680250783721</v>
      </c>
      <c r="DE71" s="670">
        <f>INPUT!DP448</f>
        <v>-11.655389676898565</v>
      </c>
      <c r="DF71" s="688">
        <f>INPUT!DQ448</f>
        <v>18.494623655913962</v>
      </c>
      <c r="DG71" s="670">
        <f>INPUT!DR448</f>
        <v>-5.0729025298396735</v>
      </c>
      <c r="DH71" s="688">
        <f>INPUT!DS448</f>
        <v>17.00595051675543</v>
      </c>
      <c r="DI71" s="670" t="str">
        <f>INPUT!DT448</f>
        <v>NM</v>
      </c>
      <c r="DJ71" s="688">
        <f>INPUT!DU448</f>
        <v>17.061903295349573</v>
      </c>
      <c r="DK71" s="670">
        <f>INPUT!DV448</f>
        <v>-6.2037336975860669</v>
      </c>
      <c r="DL71" s="688">
        <f>INPUT!DW448</f>
        <v>16.990146312332051</v>
      </c>
      <c r="DM71" s="670">
        <f>INPUT!DX448</f>
        <v>3.2353652120746146</v>
      </c>
      <c r="DN71" s="688">
        <f>INPUT!DY448</f>
        <v>16.630333229523529</v>
      </c>
      <c r="DO71" s="670">
        <f>INPUT!DZ448</f>
        <v>-10.080174979901768</v>
      </c>
      <c r="DP71" s="688">
        <f>INPUT!EA448</f>
        <v>16.36522753792298</v>
      </c>
      <c r="DQ71" s="670">
        <f>INPUT!EB448</f>
        <v>-3.7676399105193492</v>
      </c>
      <c r="DR71" s="688">
        <f>INPUT!EC448</f>
        <v>16.47543395116212</v>
      </c>
      <c r="DS71" s="670">
        <f>INPUT!ED448</f>
        <v>-3.4373031779362018</v>
      </c>
      <c r="DT71" s="688">
        <f>INPUT!EE448</f>
        <v>17.227722772277215</v>
      </c>
      <c r="DU71" s="670">
        <f>INPUT!EF448</f>
        <v>1.398319093772149</v>
      </c>
      <c r="DV71" s="688">
        <f>INPUT!EG448</f>
        <v>16.863075196408523</v>
      </c>
      <c r="DW71" s="670">
        <f>INPUT!EH448</f>
        <v>1.3995027259695147</v>
      </c>
      <c r="DX71" s="688">
        <f>INPUT!EI448</f>
        <v>15.285599356395824</v>
      </c>
      <c r="DY71" s="670">
        <f>INPUT!EJ448</f>
        <v>-6.5970862856953527</v>
      </c>
      <c r="DZ71" s="688">
        <f>INPUT!EK448</f>
        <v>16.922955200306632</v>
      </c>
      <c r="EA71" s="670">
        <f>INPUT!EL448</f>
        <v>2.7162941532896223</v>
      </c>
      <c r="EB71" s="688">
        <f>INPUT!EM448</f>
        <v>16.838828564438789</v>
      </c>
      <c r="EC71" s="670">
        <f>INPUT!EN448</f>
        <v>-2.2573744248092553</v>
      </c>
      <c r="ED71" s="688">
        <f>INPUT!EO448</f>
        <v>17.176748866034636</v>
      </c>
      <c r="EE71" s="670">
        <f>INPUT!EP448</f>
        <v>1.8601213952536888</v>
      </c>
      <c r="EF71" s="688">
        <f>INPUT!EQ448</f>
        <v>17.106168861543491</v>
      </c>
      <c r="EG71" s="670">
        <f>INPUT!ER448</f>
        <v>11.910357341571309</v>
      </c>
      <c r="EH71" s="670"/>
      <c r="EI71" s="698">
        <f>INPUT!FB448</f>
        <v>0</v>
      </c>
      <c r="EJ71" s="671" t="str">
        <f>INPUT!FC448</f>
        <v>NA</v>
      </c>
      <c r="EK71" s="698">
        <f>INPUT!FD448</f>
        <v>21.195497966518463</v>
      </c>
      <c r="EL71" s="671" t="str">
        <f>INPUT!FE448</f>
        <v>NA</v>
      </c>
      <c r="EM71" s="698">
        <f>INPUT!FF448</f>
        <v>-327.98232695140229</v>
      </c>
      <c r="EN71" s="671" t="str">
        <f>INPUT!FG448</f>
        <v>NM</v>
      </c>
      <c r="EO71" s="698">
        <f>INPUT!FH448</f>
        <v>-158.0740740740741</v>
      </c>
      <c r="EP71" s="671" t="str">
        <f>INPUT!FI448</f>
        <v>NM</v>
      </c>
      <c r="EQ71" s="698">
        <f>INPUT!FJ448</f>
        <v>24.161760941899153</v>
      </c>
      <c r="ER71" s="670" t="str">
        <f>INPUT!FK448</f>
        <v>NM</v>
      </c>
      <c r="ES71" s="688">
        <f>INPUT!FL448</f>
        <v>19.187237253422463</v>
      </c>
      <c r="ET71" s="670">
        <f>INPUT!FM448</f>
        <v>-20.588415308133932</v>
      </c>
      <c r="EU71" s="688">
        <f>INPUT!FN448</f>
        <v>18.89145102058248</v>
      </c>
      <c r="EV71" s="670">
        <f>INPUT!FO448</f>
        <v>-1.5415780236272547</v>
      </c>
      <c r="EW71" s="688">
        <f>INPUT!FP448</f>
        <v>16.427630048841007</v>
      </c>
      <c r="EX71" s="670">
        <f>INPUT!FQ448</f>
        <v>-13.041989040741807</v>
      </c>
      <c r="EY71" s="688">
        <f>INPUT!FR448</f>
        <v>14.714600592840336</v>
      </c>
      <c r="EZ71" s="670">
        <f>INPUT!FS448</f>
        <v>-10.427733342592093</v>
      </c>
      <c r="FA71" s="688">
        <f>INPUT!FT448</f>
        <v>15.364916773367487</v>
      </c>
      <c r="FB71" s="670">
        <f>INPUT!FU448</f>
        <v>4.4195299520638942</v>
      </c>
      <c r="FC71" s="688">
        <f>INPUT!FV448</f>
        <v>56.336125371521305</v>
      </c>
      <c r="FD71" s="670" t="str">
        <f>INPUT!FW448</f>
        <v>NM</v>
      </c>
      <c r="FE71" s="688">
        <f>INPUT!FX448</f>
        <v>17.470934862239236</v>
      </c>
      <c r="FF71" s="670" t="str">
        <f>INPUT!FY448</f>
        <v>NM</v>
      </c>
      <c r="FG71" s="688">
        <f>INPUT!FZ448</f>
        <v>18.666238664633639</v>
      </c>
      <c r="FH71" s="670">
        <f>INPUT!GA448</f>
        <v>6.8416705334862771</v>
      </c>
      <c r="FI71" s="688">
        <f>INPUT!GB448</f>
        <v>40.437342304457538</v>
      </c>
      <c r="FJ71" s="670" t="str">
        <f>INPUT!GC448</f>
        <v>NM</v>
      </c>
      <c r="FK71" s="688">
        <f>INPUT!GD448</f>
        <v>17.541533421729948</v>
      </c>
      <c r="FL71" s="670" t="str">
        <f>INPUT!GE448</f>
        <v>NM</v>
      </c>
      <c r="FM71" s="688">
        <f>INPUT!GF448</f>
        <v>16.75859463543636</v>
      </c>
      <c r="FN71" s="670">
        <f>INPUT!GG448</f>
        <v>-4.4633428986527779</v>
      </c>
      <c r="FO71" s="688">
        <f>INPUT!GH448</f>
        <v>16.447599634497806</v>
      </c>
      <c r="FP71" s="670">
        <f>INPUT!GI448</f>
        <v>-1.8557343721468667</v>
      </c>
      <c r="FQ71" s="688">
        <f>INPUT!GJ448</f>
        <v>17.011733581547166</v>
      </c>
      <c r="FR71" s="670">
        <f>INPUT!GK448</f>
        <v>3.4298861814834325</v>
      </c>
      <c r="FS71" s="688">
        <f>INPUT!GL448</f>
        <v>17.133826934146278</v>
      </c>
      <c r="FT71" s="670">
        <f>INPUT!GM448</f>
        <v>0.71770082698419113</v>
      </c>
      <c r="FU71" s="688">
        <f>INPUT!GN448</f>
        <v>17.190011164214596</v>
      </c>
      <c r="FV71" s="670">
        <f>INPUT!GO448</f>
        <v>0.32791407479637602</v>
      </c>
      <c r="FW71" s="688">
        <f>INPUT!GP448</f>
        <v>17.319080975108822</v>
      </c>
      <c r="FX71" s="670">
        <f>INPUT!GQ448</f>
        <v>0.7508419259373067</v>
      </c>
      <c r="FY71" s="688">
        <f>INPUT!GR448</f>
        <v>17.411513334010266</v>
      </c>
      <c r="FZ71" s="670">
        <f>INPUT!GS448</f>
        <v>0.53370244664996402</v>
      </c>
      <c r="GA71" s="988">
        <f>INPUT!GT448</f>
        <v>1.1455543012853786</v>
      </c>
    </row>
    <row r="72" spans="1:183" s="707" customFormat="1" ht="12.75" customHeight="1" x14ac:dyDescent="0.2">
      <c r="A72" s="993" t="str">
        <f>INPUT!B449</f>
        <v xml:space="preserve">  Supplemental and Voluntary (%)</v>
      </c>
      <c r="B72" s="825">
        <f>INPUT!M449</f>
        <v>0</v>
      </c>
      <c r="C72" s="824" t="str">
        <f>INPUT!N449</f>
        <v>NA</v>
      </c>
      <c r="D72" s="825">
        <f>INPUT!O449</f>
        <v>0</v>
      </c>
      <c r="E72" s="665" t="str">
        <f>INPUT!P449</f>
        <v>NA</v>
      </c>
      <c r="F72" s="825">
        <f>INPUT!Q449</f>
        <v>0</v>
      </c>
      <c r="G72" s="665" t="str">
        <f>INPUT!R449</f>
        <v>NA</v>
      </c>
      <c r="H72" s="825">
        <f>INPUT!S449</f>
        <v>0</v>
      </c>
      <c r="I72" s="665" t="str">
        <f>INPUT!T449</f>
        <v>NA</v>
      </c>
      <c r="J72" s="825">
        <f>INPUT!U449</f>
        <v>0</v>
      </c>
      <c r="K72" s="665" t="str">
        <f>INPUT!V449</f>
        <v>NA</v>
      </c>
      <c r="L72" s="825">
        <f>INPUT!W449</f>
        <v>0</v>
      </c>
      <c r="M72" s="665" t="str">
        <f>INPUT!X449</f>
        <v>NA</v>
      </c>
      <c r="N72" s="825">
        <f>INPUT!Y449</f>
        <v>0</v>
      </c>
      <c r="O72" s="665" t="str">
        <f>INPUT!Z449</f>
        <v>NA</v>
      </c>
      <c r="P72" s="825">
        <f>INPUT!AA449</f>
        <v>0</v>
      </c>
      <c r="Q72" s="665" t="str">
        <f>INPUT!AB449</f>
        <v>NA</v>
      </c>
      <c r="R72" s="825">
        <f>INPUT!AC449</f>
        <v>-6.4487743557510937</v>
      </c>
      <c r="S72" s="665" t="str">
        <f>INPUT!AD449</f>
        <v>NA</v>
      </c>
      <c r="T72" s="825">
        <f>INPUT!AE449</f>
        <v>22.406847935548818</v>
      </c>
      <c r="U72" s="665" t="str">
        <f>INPUT!AF449</f>
        <v>NA</v>
      </c>
      <c r="V72" s="825">
        <f>INPUT!AG449</f>
        <v>21.987182827072367</v>
      </c>
      <c r="W72" s="665" t="str">
        <f>INPUT!AH449</f>
        <v>NA</v>
      </c>
      <c r="X72" s="825">
        <f>INPUT!AI449</f>
        <v>36.263641832087387</v>
      </c>
      <c r="Y72" s="665" t="str">
        <f>INPUT!AJ449</f>
        <v>NA</v>
      </c>
      <c r="Z72" s="825">
        <f>INPUT!AK449</f>
        <v>22.456709956709929</v>
      </c>
      <c r="AA72" s="665" t="str">
        <f>INPUT!AL449</f>
        <v>NM</v>
      </c>
      <c r="AB72" s="825">
        <f>INPUT!AM449</f>
        <v>21.667498751872209</v>
      </c>
      <c r="AC72" s="665">
        <f>INPUT!AN449</f>
        <v>-3.2996572556893145</v>
      </c>
      <c r="AD72" s="825">
        <f>INPUT!AO449</f>
        <v>18.899521531100483</v>
      </c>
      <c r="AE72" s="665">
        <f>INPUT!AP449</f>
        <v>-14.043005510328999</v>
      </c>
      <c r="AF72" s="825">
        <f>INPUT!AQ449</f>
        <v>24.986652429257887</v>
      </c>
      <c r="AG72" s="665">
        <f>INPUT!AR449</f>
        <v>-31.0972335736319</v>
      </c>
      <c r="AH72" s="825">
        <f>INPUT!AS449</f>
        <v>27.863163113534966</v>
      </c>
      <c r="AI72" s="665">
        <f>INPUT!AT449</f>
        <v>24.075001045331756</v>
      </c>
      <c r="AJ72" s="825">
        <f>INPUT!AU449</f>
        <v>22.771362586605061</v>
      </c>
      <c r="AK72" s="665">
        <f>INPUT!AV449</f>
        <v>5.0945605091472279</v>
      </c>
      <c r="AL72" s="825">
        <f>INPUT!AW449</f>
        <v>24.049079754601223</v>
      </c>
      <c r="AM72" s="665">
        <f>INPUT!AX449</f>
        <v>27.247029587636828</v>
      </c>
      <c r="AN72" s="825">
        <f>INPUT!AY449</f>
        <v>20.566037735849068</v>
      </c>
      <c r="AO72" s="667">
        <f>INPUT!AZ449</f>
        <v>-17.691904531527168</v>
      </c>
      <c r="AP72" s="826">
        <f>INPUT!BA449</f>
        <v>21.927162367223051</v>
      </c>
      <c r="AQ72" s="667">
        <f>INPUT!BB449</f>
        <v>-21.304116557493114</v>
      </c>
      <c r="AR72" s="826">
        <f>INPUT!BC449</f>
        <v>17.894736842105228</v>
      </c>
      <c r="AS72" s="667">
        <f>INPUT!BD449</f>
        <v>-21.415607985481032</v>
      </c>
      <c r="AT72" s="826">
        <f>INPUT!BE449</f>
        <v>15.415384615384594</v>
      </c>
      <c r="AU72" s="667">
        <f>INPUT!BF449</f>
        <v>-35.900313971742627</v>
      </c>
      <c r="AV72" s="826">
        <f>INPUT!BG449</f>
        <v>18.611473272490244</v>
      </c>
      <c r="AW72" s="667">
        <f>INPUT!BH449</f>
        <v>-9.5038455557814316</v>
      </c>
      <c r="AX72" s="826">
        <f>INPUT!BI449</f>
        <v>20.05108556832695</v>
      </c>
      <c r="AY72" s="667">
        <f>INPUT!BJ449</f>
        <v>-8.5559488614015962</v>
      </c>
      <c r="AZ72" s="826">
        <f>INPUT!BK449</f>
        <v>20.621883250219991</v>
      </c>
      <c r="BA72" s="667">
        <f>INPUT!BL449</f>
        <v>15.239935810053119</v>
      </c>
      <c r="BB72" s="826">
        <f>INPUT!BM449</f>
        <v>20.300982800982801</v>
      </c>
      <c r="BC72" s="667">
        <f>INPUT!BN449</f>
        <v>31.69300220198441</v>
      </c>
      <c r="BD72" s="826">
        <f>INPUT!BO449</f>
        <v>23.404255319148909</v>
      </c>
      <c r="BE72" s="667">
        <f>INPUT!BP449</f>
        <v>25.75176062898208</v>
      </c>
      <c r="BF72" s="826">
        <f>INPUT!BQ449</f>
        <v>24.619289340101517</v>
      </c>
      <c r="BG72" s="667">
        <f>INPUT!BR449</f>
        <v>22.7828251802515</v>
      </c>
      <c r="BH72" s="826">
        <f>INPUT!BS449</f>
        <v>22.939178758876171</v>
      </c>
      <c r="BI72" s="667">
        <f>INPUT!BT449</f>
        <v>11.237070254635739</v>
      </c>
      <c r="BJ72" s="826">
        <f>INPUT!BU449</f>
        <v>22.552392868314026</v>
      </c>
      <c r="BK72" s="667">
        <f>INPUT!BV449</f>
        <v>11.09015306994019</v>
      </c>
      <c r="BL72" s="826">
        <f>INPUT!BW449</f>
        <v>25.699192044748287</v>
      </c>
      <c r="BM72" s="667">
        <f>INPUT!BX449</f>
        <v>9.8056387366519004</v>
      </c>
      <c r="BN72" s="826">
        <f>INPUT!BY449</f>
        <v>16.52455160246986</v>
      </c>
      <c r="BO72" s="667">
        <f>INPUT!BZ449</f>
        <v>-32.879656377596632</v>
      </c>
      <c r="BP72" s="826">
        <f>INPUT!CA449</f>
        <v>19.121071012805587</v>
      </c>
      <c r="BQ72" s="667">
        <f>INPUT!CB449</f>
        <v>-16.644483162210822</v>
      </c>
      <c r="BR72" s="826">
        <f>INPUT!CC449</f>
        <v>18.583535108958834</v>
      </c>
      <c r="BS72" s="667">
        <f>INPUT!CD449</f>
        <v>-17.598388705490375</v>
      </c>
      <c r="BT72" s="826">
        <f>INPUT!CE449</f>
        <v>20.663265306122433</v>
      </c>
      <c r="BU72" s="667">
        <f>INPUT!CF449</f>
        <v>-19.595661722972192</v>
      </c>
      <c r="BV72" s="826">
        <f>INPUT!CG449</f>
        <v>21.642723297938801</v>
      </c>
      <c r="BW72" s="667">
        <f>INPUT!CH449</f>
        <v>30.973135117953497</v>
      </c>
      <c r="BX72" s="826">
        <f>INPUT!CI449</f>
        <v>21.641144177983236</v>
      </c>
      <c r="BY72" s="667">
        <f>INPUT!CJ449</f>
        <v>13.179560723821005</v>
      </c>
      <c r="BZ72" s="826">
        <f>INPUT!CK449</f>
        <v>24.547723019338736</v>
      </c>
      <c r="CA72" s="667">
        <f>INPUT!CL449</f>
        <v>32.093936247386324</v>
      </c>
      <c r="CB72" s="826">
        <f>INPUT!CM449</f>
        <v>-12.59727626459143</v>
      </c>
      <c r="CC72" s="667" t="str">
        <f>INPUT!CN449</f>
        <v>NM</v>
      </c>
      <c r="CD72" s="826">
        <f>INPUT!CO449</f>
        <v>25.485122897800789</v>
      </c>
      <c r="CE72" s="667">
        <f>INPUT!CP449</f>
        <v>17.753771311339218</v>
      </c>
      <c r="CF72" s="826">
        <f>INPUT!CQ449</f>
        <v>27.410512737826515</v>
      </c>
      <c r="CG72" s="667">
        <f>INPUT!CR449</f>
        <v>26.659258458768488</v>
      </c>
      <c r="CH72" s="826">
        <f>INPUT!CS449</f>
        <v>27.58287737367235</v>
      </c>
      <c r="CI72" s="667">
        <f>INPUT!CT449</f>
        <v>12.364300965684327</v>
      </c>
      <c r="CJ72" s="826">
        <f>INPUT!CU449</f>
        <v>26.99386503067484</v>
      </c>
      <c r="CK72" s="667" t="str">
        <f>INPUT!CV449</f>
        <v>NM</v>
      </c>
      <c r="CL72" s="688">
        <f>INPUT!CW449</f>
        <v>25.961538461538435</v>
      </c>
      <c r="CM72" s="670">
        <f>INPUT!CX449</f>
        <v>1.869386958219299</v>
      </c>
      <c r="CN72" s="688">
        <f>INPUT!CY449</f>
        <v>26.357573832962849</v>
      </c>
      <c r="CO72" s="670">
        <f>INPUT!CZ449</f>
        <v>-3.84136887527321</v>
      </c>
      <c r="CP72" s="688">
        <f>INPUT!DA449</f>
        <v>25.695322376738289</v>
      </c>
      <c r="CQ72" s="670">
        <f>INPUT!DB449</f>
        <v>-6.843212806854293</v>
      </c>
      <c r="CR72" s="688">
        <f>INPUT!DC449</f>
        <v>28.137384412153231</v>
      </c>
      <c r="CS72" s="670">
        <f>INPUT!DD449</f>
        <v>4.2362195268404124</v>
      </c>
      <c r="CT72" s="688">
        <f>INPUT!DE449</f>
        <v>24.992305324715314</v>
      </c>
      <c r="CU72" s="670">
        <f>INPUT!DF449</f>
        <v>-3.7333424529483183</v>
      </c>
      <c r="CV72" s="688">
        <f>INPUT!DG449</f>
        <v>25.361205041500153</v>
      </c>
      <c r="CW72" s="670">
        <f>INPUT!DH449</f>
        <v>-3.7801991859229278</v>
      </c>
      <c r="CX72" s="688">
        <f>INPUT!DI449</f>
        <v>25.756620428751571</v>
      </c>
      <c r="CY72" s="670">
        <f>INPUT!DJ449</f>
        <v>0.23855724055352745</v>
      </c>
      <c r="CZ72" s="688">
        <f>INPUT!DK449</f>
        <v>-22.606596942880131</v>
      </c>
      <c r="DA72" s="670" t="str">
        <f>INPUT!DL449</f>
        <v>NM</v>
      </c>
      <c r="DB72" s="688">
        <f>INPUT!DM449</f>
        <v>25.793276782909206</v>
      </c>
      <c r="DC72" s="670">
        <f>INPUT!DN449</f>
        <v>3.2048722508275285</v>
      </c>
      <c r="DD72" s="688">
        <f>INPUT!DO449</f>
        <v>27.931034482758633</v>
      </c>
      <c r="DE72" s="670">
        <f>INPUT!DP449</f>
        <v>10.132915360501627</v>
      </c>
      <c r="DF72" s="688">
        <f>INPUT!DQ449</f>
        <v>26.943164362519177</v>
      </c>
      <c r="DG72" s="670">
        <f>INPUT!DR449</f>
        <v>4.6067531920573446</v>
      </c>
      <c r="DH72" s="688">
        <f>INPUT!DS449</f>
        <v>29.376761666144702</v>
      </c>
      <c r="DI72" s="670" t="str">
        <f>INPUT!DT449</f>
        <v>NM</v>
      </c>
      <c r="DJ72" s="688">
        <f>INPUT!DU449</f>
        <v>27.748691099476481</v>
      </c>
      <c r="DK72" s="670">
        <f>INPUT!DV449</f>
        <v>7.5811008156317028</v>
      </c>
      <c r="DL72" s="688">
        <f>INPUT!DW449</f>
        <v>28.63541355628546</v>
      </c>
      <c r="DM72" s="670">
        <f>INPUT!DX449</f>
        <v>2.5218510039849429</v>
      </c>
      <c r="DN72" s="688">
        <f>INPUT!DY449</f>
        <v>28.713796325132336</v>
      </c>
      <c r="DO72" s="670">
        <f>INPUT!DZ449</f>
        <v>6.571729804225579</v>
      </c>
      <c r="DP72" s="688">
        <f>INPUT!EA449</f>
        <v>27.567094515752643</v>
      </c>
      <c r="DQ72" s="670">
        <f>INPUT!EB449</f>
        <v>-6.1601995855030349</v>
      </c>
      <c r="DR72" s="688">
        <f>INPUT!EC449</f>
        <v>27.772874374816119</v>
      </c>
      <c r="DS72" s="670">
        <f>INPUT!ED449</f>
        <v>8.7151048865496961E-2</v>
      </c>
      <c r="DT72" s="688">
        <f>INPUT!EE449</f>
        <v>26.732673267326724</v>
      </c>
      <c r="DU72" s="670">
        <f>INPUT!EF449</f>
        <v>-6.6447103521614199</v>
      </c>
      <c r="DV72" s="688">
        <f>INPUT!EG449</f>
        <v>30.387205387205395</v>
      </c>
      <c r="DW72" s="670">
        <f>INPUT!EH449</f>
        <v>5.8278920806036805</v>
      </c>
      <c r="DX72" s="688">
        <f>INPUT!EI449</f>
        <v>27.085009385894349</v>
      </c>
      <c r="DY72" s="670">
        <f>INPUT!EJ449</f>
        <v>-1.7487701853483917</v>
      </c>
      <c r="DZ72" s="688">
        <f>INPUT!EK449</f>
        <v>28.076640933500506</v>
      </c>
      <c r="EA72" s="670">
        <f>INPUT!EL449</f>
        <v>1.0937526832290656</v>
      </c>
      <c r="EB72" s="688">
        <f>INPUT!EM449</f>
        <v>28.256106788413206</v>
      </c>
      <c r="EC72" s="670">
        <f>INPUT!EN449</f>
        <v>5.6987698381383289</v>
      </c>
      <c r="ED72" s="688">
        <f>INPUT!EO449</f>
        <v>28.511836641361306</v>
      </c>
      <c r="EE72" s="670">
        <f>INPUT!EP449</f>
        <v>-6.1715736012819322</v>
      </c>
      <c r="EF72" s="688">
        <f>INPUT!EQ449</f>
        <v>28.576942328462856</v>
      </c>
      <c r="EG72" s="670">
        <f>INPUT!ER449</f>
        <v>5.5083345968692576</v>
      </c>
      <c r="EH72" s="670"/>
      <c r="EI72" s="698">
        <f>INPUT!FB449</f>
        <v>0</v>
      </c>
      <c r="EJ72" s="671" t="str">
        <f>INPUT!FC449</f>
        <v>NA</v>
      </c>
      <c r="EK72" s="698">
        <f>INPUT!FD449</f>
        <v>17.875721176581823</v>
      </c>
      <c r="EL72" s="671" t="str">
        <f>INPUT!FE449</f>
        <v>NA</v>
      </c>
      <c r="EM72" s="698">
        <f>INPUT!FF449</f>
        <v>-318.262150220916</v>
      </c>
      <c r="EN72" s="671" t="str">
        <f>INPUT!FG449</f>
        <v>NM</v>
      </c>
      <c r="EO72" s="698">
        <f>INPUT!FH449</f>
        <v>-133.40740740740716</v>
      </c>
      <c r="EP72" s="671" t="str">
        <f>INPUT!FI449</f>
        <v>NM</v>
      </c>
      <c r="EQ72" s="698">
        <f>INPUT!FJ449</f>
        <v>21.909393396467859</v>
      </c>
      <c r="ER72" s="670" t="str">
        <f>INPUT!FK449</f>
        <v>NM</v>
      </c>
      <c r="ES72" s="688">
        <f>INPUT!FL449</f>
        <v>23.585210736229424</v>
      </c>
      <c r="ET72" s="670">
        <f>INPUT!FM449</f>
        <v>7.6488532084677985</v>
      </c>
      <c r="EU72" s="688">
        <f>INPUT!FN449</f>
        <v>18.302160731061552</v>
      </c>
      <c r="EV72" s="670">
        <f>INPUT!FO449</f>
        <v>-22.399842275110725</v>
      </c>
      <c r="EW72" s="688">
        <f>INPUT!FP449</f>
        <v>21.07140088378944</v>
      </c>
      <c r="EX72" s="670">
        <f>INPUT!FQ449</f>
        <v>15.130673330980349</v>
      </c>
      <c r="EY72" s="688">
        <f>INPUT!FR449</f>
        <v>18.780877099642794</v>
      </c>
      <c r="EZ72" s="670">
        <f>INPUT!FS449</f>
        <v>-10.870296648899046</v>
      </c>
      <c r="FA72" s="688">
        <f>INPUT!FT449</f>
        <v>18.68645025231606</v>
      </c>
      <c r="FB72" s="670">
        <f>INPUT!FU449</f>
        <v>-0.50278188194166074</v>
      </c>
      <c r="FC72" s="688">
        <f>INPUT!FV449</f>
        <v>81.221291542826279</v>
      </c>
      <c r="FD72" s="670" t="str">
        <f>INPUT!FW449</f>
        <v>NM</v>
      </c>
      <c r="FE72" s="688">
        <f>INPUT!FX449</f>
        <v>26.405478579391623</v>
      </c>
      <c r="FF72" s="670" t="str">
        <f>INPUT!FY449</f>
        <v>NM</v>
      </c>
      <c r="FG72" s="688">
        <f>INPUT!FZ449</f>
        <v>26.522750983067194</v>
      </c>
      <c r="FH72" s="670">
        <f>INPUT!GA449</f>
        <v>0.44412148533106155</v>
      </c>
      <c r="FI72" s="688">
        <f>INPUT!GB449</f>
        <v>55.458368376787185</v>
      </c>
      <c r="FJ72" s="670" t="str">
        <f>INPUT!GC449</f>
        <v>NM</v>
      </c>
      <c r="FK72" s="688">
        <f>INPUT!GD449</f>
        <v>27.509554636923827</v>
      </c>
      <c r="FL72" s="670" t="str">
        <f>INPUT!GE449</f>
        <v>NM</v>
      </c>
      <c r="FM72" s="688">
        <f>INPUT!GF449</f>
        <v>28.160181337363031</v>
      </c>
      <c r="FN72" s="670">
        <f>INPUT!GG449</f>
        <v>2.3650935430482134</v>
      </c>
      <c r="FO72" s="688">
        <f>INPUT!GH449</f>
        <v>27.989034933577006</v>
      </c>
      <c r="FP72" s="670">
        <f>INPUT!GI449</f>
        <v>-0.60776030429515737</v>
      </c>
      <c r="FQ72" s="688">
        <f>INPUT!GJ449</f>
        <v>28.356575199397422</v>
      </c>
      <c r="FR72" s="670">
        <f>INPUT!GK449</f>
        <v>1.3131580516893671</v>
      </c>
      <c r="FS72" s="688">
        <f>INPUT!GL449</f>
        <v>28.726587898120172</v>
      </c>
      <c r="FT72" s="670">
        <f>INPUT!GM449</f>
        <v>1.3048567964251578</v>
      </c>
      <c r="FU72" s="688">
        <f>INPUT!GN449</f>
        <v>28.989816076429324</v>
      </c>
      <c r="FV72" s="670">
        <f>INPUT!GO449</f>
        <v>0.91632246489803393</v>
      </c>
      <c r="FW72" s="688">
        <f>INPUT!GP449</f>
        <v>29.179990035374669</v>
      </c>
      <c r="FX72" s="670">
        <f>INPUT!GQ449</f>
        <v>0.65600264052716462</v>
      </c>
      <c r="FY72" s="688">
        <f>INPUT!GR449</f>
        <v>29.280933273907216</v>
      </c>
      <c r="FZ72" s="670">
        <f>INPUT!GS449</f>
        <v>0.34593308088926022</v>
      </c>
      <c r="GA72" s="988">
        <f>INPUT!GT449</f>
        <v>0.90655935644667895</v>
      </c>
    </row>
    <row r="73" spans="1:183" s="707" customFormat="1" ht="12.75" customHeight="1" x14ac:dyDescent="0.2">
      <c r="A73" s="993" t="str">
        <f>INPUT!B450</f>
        <v>Unum Limited (%)</v>
      </c>
      <c r="B73" s="825">
        <f>INPUT!M450</f>
        <v>0</v>
      </c>
      <c r="C73" s="824" t="str">
        <f>INPUT!N450</f>
        <v>NA</v>
      </c>
      <c r="D73" s="825">
        <f>INPUT!O450</f>
        <v>0</v>
      </c>
      <c r="E73" s="665" t="str">
        <f>INPUT!P450</f>
        <v>NA</v>
      </c>
      <c r="F73" s="825">
        <f>INPUT!Q450</f>
        <v>0</v>
      </c>
      <c r="G73" s="665" t="str">
        <f>INPUT!R450</f>
        <v>NA</v>
      </c>
      <c r="H73" s="825">
        <f>INPUT!S450</f>
        <v>0</v>
      </c>
      <c r="I73" s="665" t="str">
        <f>INPUT!T450</f>
        <v>NA</v>
      </c>
      <c r="J73" s="825">
        <f>INPUT!U450</f>
        <v>-7.4572930354796192</v>
      </c>
      <c r="K73" s="665" t="str">
        <f>INPUT!V450</f>
        <v>NA</v>
      </c>
      <c r="L73" s="825">
        <f>INPUT!W450</f>
        <v>18.059792556436861</v>
      </c>
      <c r="M73" s="665" t="str">
        <f>INPUT!X450</f>
        <v>NA</v>
      </c>
      <c r="N73" s="825">
        <f>INPUT!Y450</f>
        <v>15.907780979827061</v>
      </c>
      <c r="O73" s="665" t="str">
        <f>INPUT!Z450</f>
        <v>NA</v>
      </c>
      <c r="P73" s="825">
        <f>INPUT!AA450</f>
        <v>-10.903532608695652</v>
      </c>
      <c r="Q73" s="665" t="str">
        <f>INPUT!AB450</f>
        <v>NA</v>
      </c>
      <c r="R73" s="825">
        <f>INPUT!AC450</f>
        <v>-4.3746071653048375</v>
      </c>
      <c r="S73" s="665">
        <f>INPUT!AD450</f>
        <v>-41.337866911066314</v>
      </c>
      <c r="T73" s="825">
        <f>INPUT!AE450</f>
        <v>15.961732124874109</v>
      </c>
      <c r="U73" s="665">
        <f>INPUT!AF450</f>
        <v>-11.617300835578881</v>
      </c>
      <c r="V73" s="825">
        <f>INPUT!AG450</f>
        <v>19.850987339134043</v>
      </c>
      <c r="W73" s="665">
        <f>INPUT!AH450</f>
        <v>24.78790954129575</v>
      </c>
      <c r="X73" s="825">
        <f>INPUT!AI450</f>
        <v>40.130617856835897</v>
      </c>
      <c r="Y73" s="665" t="str">
        <f>INPUT!AJ450</f>
        <v>NM</v>
      </c>
      <c r="Z73" s="825">
        <f>INPUT!AK450</f>
        <v>25.595238095238049</v>
      </c>
      <c r="AA73" s="665" t="str">
        <f>INPUT!AL450</f>
        <v>NM</v>
      </c>
      <c r="AB73" s="825">
        <f>INPUT!AM450</f>
        <v>20.619071392910655</v>
      </c>
      <c r="AC73" s="665">
        <f>INPUT!AN450</f>
        <v>29.178157054639065</v>
      </c>
      <c r="AD73" s="825">
        <f>INPUT!AO450</f>
        <v>21.100478468899539</v>
      </c>
      <c r="AE73" s="665">
        <f>INPUT!AP450</f>
        <v>6.2943525599971517</v>
      </c>
      <c r="AF73" s="825">
        <f>INPUT!AQ450</f>
        <v>26.321409503470349</v>
      </c>
      <c r="AG73" s="665">
        <f>INPUT!AR450</f>
        <v>-34.410654734071755</v>
      </c>
      <c r="AH73" s="825">
        <f>INPUT!AS450</f>
        <v>26.970748636589015</v>
      </c>
      <c r="AI73" s="665">
        <f>INPUT!AT450</f>
        <v>5.3740876964409878</v>
      </c>
      <c r="AJ73" s="825">
        <f>INPUT!AU450</f>
        <v>25.91224018475755</v>
      </c>
      <c r="AK73" s="665">
        <f>INPUT!AV450</f>
        <v>25.671227820991092</v>
      </c>
      <c r="AL73" s="825">
        <f>INPUT!AW450</f>
        <v>26.789366053169722</v>
      </c>
      <c r="AM73" s="665">
        <f>INPUT!AX450</f>
        <v>26.960941159012862</v>
      </c>
      <c r="AN73" s="825">
        <f>INPUT!AY450</f>
        <v>26.71698113207545</v>
      </c>
      <c r="AO73" s="667">
        <f>INPUT!AZ450</f>
        <v>1.5028512380879322</v>
      </c>
      <c r="AP73" s="826">
        <f>INPUT!BA450</f>
        <v>27.46585735963582</v>
      </c>
      <c r="AQ73" s="667">
        <f>INPUT!BB450</f>
        <v>1.8357248058555209</v>
      </c>
      <c r="AR73" s="826">
        <f>INPUT!BC450</f>
        <v>26.896551724137939</v>
      </c>
      <c r="AS73" s="667">
        <f>INPUT!BD450</f>
        <v>3.7986354416373214</v>
      </c>
      <c r="AT73" s="826">
        <f>INPUT!BE450</f>
        <v>30.030769230769256</v>
      </c>
      <c r="AU73" s="667">
        <f>INPUT!BF450</f>
        <v>12.099588960657815</v>
      </c>
      <c r="AV73" s="826">
        <f>INPUT!BG450</f>
        <v>26.303780964797909</v>
      </c>
      <c r="AW73" s="667">
        <f>INPUT!BH450</f>
        <v>-1.5465825470133976</v>
      </c>
      <c r="AX73" s="826">
        <f>INPUT!BI450</f>
        <v>26.91570881226054</v>
      </c>
      <c r="AY73" s="667">
        <f>INPUT!BJ450</f>
        <v>-2.0030270316039211</v>
      </c>
      <c r="AZ73" s="826">
        <f>INPUT!BK450</f>
        <v>25.403344089175722</v>
      </c>
      <c r="BA73" s="667">
        <f>INPUT!BL450</f>
        <v>-5.5516694120390175</v>
      </c>
      <c r="BB73" s="826">
        <f>INPUT!BM450</f>
        <v>25.214987714987725</v>
      </c>
      <c r="BC73" s="667">
        <f>INPUT!BN450</f>
        <v>-16.036157711362662</v>
      </c>
      <c r="BD73" s="826">
        <f>INPUT!BO450</f>
        <v>17.601547388781427</v>
      </c>
      <c r="BE73" s="667">
        <f>INPUT!BP450</f>
        <v>-33.083584400518674</v>
      </c>
      <c r="BF73" s="826">
        <f>INPUT!BQ450</f>
        <v>19.765228426395947</v>
      </c>
      <c r="BG73" s="667">
        <f>INPUT!BR450</f>
        <v>-26.566197590187311</v>
      </c>
      <c r="BH73" s="826">
        <f>INPUT!BS450</f>
        <v>20.778017906761338</v>
      </c>
      <c r="BI73" s="667">
        <f>INPUT!BT450</f>
        <v>-18.207548447864465</v>
      </c>
      <c r="BJ73" s="826">
        <f>INPUT!BU450</f>
        <v>18.360963403190496</v>
      </c>
      <c r="BK73" s="667">
        <f>INPUT!BV450</f>
        <v>-27.182342459454045</v>
      </c>
      <c r="BL73" s="826">
        <f>INPUT!BW450</f>
        <v>19.049098819142333</v>
      </c>
      <c r="BM73" s="667">
        <f>INPUT!BX450</f>
        <v>8.2240009834789962</v>
      </c>
      <c r="BN73" s="826">
        <f>INPUT!BY450</f>
        <v>17.818288738606299</v>
      </c>
      <c r="BO73" s="667">
        <f>INPUT!BZ450</f>
        <v>-9.8503272807591742</v>
      </c>
      <c r="BP73" s="826">
        <f>INPUT!CA450</f>
        <v>15.366705471478459</v>
      </c>
      <c r="BQ73" s="667">
        <f>INPUT!CB450</f>
        <v>-26.043448704132622</v>
      </c>
      <c r="BR73" s="826">
        <f>INPUT!CC450</f>
        <v>14.46731234866828</v>
      </c>
      <c r="BS73" s="667">
        <f>INPUT!CD450</f>
        <v>-21.206137003931048</v>
      </c>
      <c r="BT73" s="826">
        <f>INPUT!CE450</f>
        <v>15.2423469387755</v>
      </c>
      <c r="BU73" s="667">
        <f>INPUT!CF450</f>
        <v>-19.983894863002394</v>
      </c>
      <c r="BV73" s="826">
        <f>INPUT!CG450</f>
        <v>15.271705184259845</v>
      </c>
      <c r="BW73" s="667">
        <f>INPUT!CH450</f>
        <v>-14.291964799228197</v>
      </c>
      <c r="BX73" s="826">
        <f>INPUT!CI450</f>
        <v>15.949147645189251</v>
      </c>
      <c r="BY73" s="667">
        <f>INPUT!CJ450</f>
        <v>3.7902865698300703</v>
      </c>
      <c r="BZ73" s="826">
        <f>INPUT!CK450</f>
        <v>10.823456019962565</v>
      </c>
      <c r="CA73" s="667">
        <f>INPUT!CL450</f>
        <v>-25.186822824359169</v>
      </c>
      <c r="CB73" s="826">
        <f>INPUT!CM450</f>
        <v>-8.4143968871595298</v>
      </c>
      <c r="CC73" s="667" t="str">
        <f>INPUT!CN450</f>
        <v>NM</v>
      </c>
      <c r="CD73" s="826">
        <f>INPUT!CO450</f>
        <v>12.548512289780076</v>
      </c>
      <c r="CE73" s="667">
        <f>INPUT!CP450</f>
        <v>-17.831623002299011</v>
      </c>
      <c r="CF73" s="826">
        <f>INPUT!CQ450</f>
        <v>9.6742986133505244</v>
      </c>
      <c r="CG73" s="667">
        <f>INPUT!CR450</f>
        <v>-39.342848730423604</v>
      </c>
      <c r="CH73" s="826">
        <f>INPUT!CS450</f>
        <v>8.850981654328935</v>
      </c>
      <c r="CI73" s="667">
        <f>INPUT!CT450</f>
        <v>-18.224071516488248</v>
      </c>
      <c r="CJ73" s="826">
        <f>INPUT!CU450</f>
        <v>11.30125928317727</v>
      </c>
      <c r="CK73" s="667" t="str">
        <f>INPUT!CV450</f>
        <v>NM</v>
      </c>
      <c r="CL73" s="688">
        <f>INPUT!CW450</f>
        <v>10.032051282051283</v>
      </c>
      <c r="CM73" s="670">
        <f>INPUT!CX450</f>
        <v>-20.053859370869663</v>
      </c>
      <c r="CN73" s="688">
        <f>INPUT!CY450</f>
        <v>10.638297872340429</v>
      </c>
      <c r="CO73" s="670">
        <f>INPUT!CZ450</f>
        <v>9.9645390070923092</v>
      </c>
      <c r="CP73" s="688">
        <f>INPUT!DA450</f>
        <v>9.8925410872313542</v>
      </c>
      <c r="CQ73" s="670">
        <f>INPUT!DB450</f>
        <v>11.767727847373877</v>
      </c>
      <c r="CR73" s="688">
        <f>INPUT!DC450</f>
        <v>11.856010568031708</v>
      </c>
      <c r="CS73" s="670">
        <f>INPUT!DD450</f>
        <v>4.9087563691262659</v>
      </c>
      <c r="CT73" s="688">
        <f>INPUT!DE450</f>
        <v>11.234225915666359</v>
      </c>
      <c r="CU73" s="670">
        <f>INPUT!DF450</f>
        <v>11.983338200891502</v>
      </c>
      <c r="CV73" s="688">
        <f>INPUT!DG450</f>
        <v>12.173378419920072</v>
      </c>
      <c r="CW73" s="670">
        <f>INPUT!DH450</f>
        <v>14.429757147248633</v>
      </c>
      <c r="CX73" s="688">
        <f>INPUT!DI450</f>
        <v>10.561160151324083</v>
      </c>
      <c r="CY73" s="670">
        <f>INPUT!DJ450</f>
        <v>6.7588201878255427</v>
      </c>
      <c r="CZ73" s="688">
        <f>INPUT!DK450</f>
        <v>-10.244033252882815</v>
      </c>
      <c r="DA73" s="670" t="str">
        <f>INPUT!DL450</f>
        <v>NM</v>
      </c>
      <c r="DB73" s="688">
        <f>INPUT!DM450</f>
        <v>10.241910147659437</v>
      </c>
      <c r="DC73" s="670">
        <f>INPUT!DN450</f>
        <v>-8.8329696719301012</v>
      </c>
      <c r="DD73" s="688">
        <f>INPUT!DO450</f>
        <v>12.006269592476485</v>
      </c>
      <c r="DE73" s="670">
        <f>INPUT!DP450</f>
        <v>-1.3727399385706773</v>
      </c>
      <c r="DF73" s="688">
        <f>INPUT!DQ450</f>
        <v>10.046082949308754</v>
      </c>
      <c r="DG73" s="670">
        <f>INPUT!DR450</f>
        <v>-4.8770892083361828</v>
      </c>
      <c r="DH73" s="688">
        <f>INPUT!DS450</f>
        <v>11.587848418415287</v>
      </c>
      <c r="DI73" s="670" t="str">
        <f>INPUT!DT450</f>
        <v>NM</v>
      </c>
      <c r="DJ73" s="688">
        <f>INPUT!DU450</f>
        <v>10.348013550970139</v>
      </c>
      <c r="DK73" s="670">
        <f>INPUT!DV450</f>
        <v>1.0359727998096924</v>
      </c>
      <c r="DL73" s="688">
        <f>INPUT!DW450</f>
        <v>11.018214392355931</v>
      </c>
      <c r="DM73" s="670">
        <f>INPUT!DX450</f>
        <v>-8.2294937033539632</v>
      </c>
      <c r="DN73" s="688">
        <f>INPUT!DY450</f>
        <v>8.7823108066023039</v>
      </c>
      <c r="DO73" s="670">
        <f>INPUT!DZ450</f>
        <v>-12.579750227857788</v>
      </c>
      <c r="DP73" s="688">
        <f>INPUT!EA450</f>
        <v>8.7222870478413128</v>
      </c>
      <c r="DQ73" s="670">
        <f>INPUT!EB450</f>
        <v>-24.729020152007287</v>
      </c>
      <c r="DR73" s="688">
        <f>INPUT!EC450</f>
        <v>7.8258311268020044</v>
      </c>
      <c r="DS73" s="670">
        <f>INPUT!ED450</f>
        <v>-24.373590271648581</v>
      </c>
      <c r="DT73" s="688">
        <f>INPUT!EE450</f>
        <v>8.175388967468173</v>
      </c>
      <c r="DU73" s="670">
        <f>INPUT!EF450</f>
        <v>-25.801144574387802</v>
      </c>
      <c r="DV73" s="688">
        <f>INPUT!EG450</f>
        <v>7.2671156004489283</v>
      </c>
      <c r="DW73" s="670">
        <f>INPUT!EH450</f>
        <v>-17.252807826093928</v>
      </c>
      <c r="DX73" s="688">
        <f>INPUT!EI450</f>
        <v>7.9646017699115124</v>
      </c>
      <c r="DY73" s="670">
        <f>INPUT!EJ450</f>
        <v>-8.6867730192085375</v>
      </c>
      <c r="DZ73" s="688">
        <f>INPUT!EK450</f>
        <v>8.6199069751823529</v>
      </c>
      <c r="EA73" s="670">
        <f>INPUT!EL450</f>
        <v>10.146856423476702</v>
      </c>
      <c r="EB73" s="688">
        <f>INPUT!EM450</f>
        <v>8.608399408773975</v>
      </c>
      <c r="EC73" s="670">
        <f>INPUT!EN450</f>
        <v>5.2965117993633681</v>
      </c>
      <c r="ED73" s="688">
        <f>INPUT!EO450</f>
        <v>8.4658367514500892</v>
      </c>
      <c r="EE73" s="670">
        <f>INPUT!EP450</f>
        <v>16.495143560494753</v>
      </c>
      <c r="EF73" s="688">
        <f>INPUT!EQ450</f>
        <v>8.2008922985694674</v>
      </c>
      <c r="EG73" s="670">
        <f>INPUT!ER450</f>
        <v>2.9667588598165429</v>
      </c>
      <c r="EH73" s="670"/>
      <c r="EI73" s="698">
        <f>INPUT!FB450</f>
        <v>0</v>
      </c>
      <c r="EJ73" s="671" t="str">
        <f>INPUT!FC450</f>
        <v>NA</v>
      </c>
      <c r="EK73" s="698">
        <f>INPUT!FD450</f>
        <v>6.5733472051451765</v>
      </c>
      <c r="EL73" s="671" t="str">
        <f>INPUT!FE450</f>
        <v>NA</v>
      </c>
      <c r="EM73" s="698">
        <f>INPUT!FF450</f>
        <v>-164.948453608249</v>
      </c>
      <c r="EN73" s="671" t="str">
        <f>INPUT!FG450</f>
        <v>NM</v>
      </c>
      <c r="EO73" s="698">
        <f>INPUT!FH450</f>
        <v>-112.07407407407391</v>
      </c>
      <c r="EP73" s="671">
        <f>INPUT!FI450</f>
        <v>-32.055092592593347</v>
      </c>
      <c r="EQ73" s="698">
        <f>INPUT!FJ450</f>
        <v>23.291528026618877</v>
      </c>
      <c r="ER73" s="670" t="str">
        <f>INPUT!FK450</f>
        <v>NM</v>
      </c>
      <c r="ES73" s="688">
        <f>INPUT!FL450</f>
        <v>26.603427832273351</v>
      </c>
      <c r="ET73" s="670">
        <f>INPUT!FM450</f>
        <v>14.21933246229894</v>
      </c>
      <c r="EU73" s="688">
        <f>INPUT!FN450</f>
        <v>27.739345802374238</v>
      </c>
      <c r="EV73" s="670">
        <f>INPUT!FO450</f>
        <v>4.2698180748079073</v>
      </c>
      <c r="EW73" s="688">
        <f>INPUT!FP450</f>
        <v>23.846809830219385</v>
      </c>
      <c r="EX73" s="670">
        <f>INPUT!FQ450</f>
        <v>-14.032544241983125</v>
      </c>
      <c r="EY73" s="688">
        <f>INPUT!FR450</f>
        <v>19.153302424564878</v>
      </c>
      <c r="EZ73" s="670">
        <f>INPUT!FS450</f>
        <v>-19.681908980993988</v>
      </c>
      <c r="FA73" s="688">
        <f>INPUT!FT450</f>
        <v>15.741507870753946</v>
      </c>
      <c r="FB73" s="670">
        <f>INPUT!FU450</f>
        <v>-17.813087676385088</v>
      </c>
      <c r="FC73" s="688">
        <f>INPUT!FV450</f>
        <v>51.526614428532866</v>
      </c>
      <c r="FD73" s="670" t="str">
        <f>INPUT!FW450</f>
        <v>NM</v>
      </c>
      <c r="FE73" s="688">
        <f>INPUT!FX450</f>
        <v>10.455486542443062</v>
      </c>
      <c r="FF73" s="670" t="str">
        <f>INPUT!FY450</f>
        <v>NM</v>
      </c>
      <c r="FG73" s="688">
        <f>INPUT!FZ450</f>
        <v>10.593050316989007</v>
      </c>
      <c r="FH73" s="670">
        <f>INPUT!GA450</f>
        <v>1.3157089723899285</v>
      </c>
      <c r="FI73" s="688">
        <f>INPUT!GB450</f>
        <v>24.861227922624046</v>
      </c>
      <c r="FJ73" s="670" t="str">
        <f>INPUT!GC450</f>
        <v>NM</v>
      </c>
      <c r="FK73" s="688">
        <f>INPUT!GD450</f>
        <v>10.966383277435453</v>
      </c>
      <c r="FL73" s="670" t="str">
        <f>INPUT!GE450</f>
        <v>NM</v>
      </c>
      <c r="FM73" s="688">
        <f>INPUT!GF450</f>
        <v>9.7166603702304428</v>
      </c>
      <c r="FN73" s="670">
        <f>INPUT!GG450</f>
        <v>-11.395944091945543</v>
      </c>
      <c r="FO73" s="688">
        <f>INPUT!GH450</f>
        <v>7.8090953820200983</v>
      </c>
      <c r="FP73" s="670">
        <f>INPUT!GI450</f>
        <v>-19.631899392662465</v>
      </c>
      <c r="FQ73" s="688">
        <f>INPUT!GJ450</f>
        <v>8.4727957044018822</v>
      </c>
      <c r="FR73" s="670">
        <f>INPUT!GK450</f>
        <v>8.4990679446675479</v>
      </c>
      <c r="FS73" s="688">
        <f>INPUT!GL450</f>
        <v>8.6515121432360669</v>
      </c>
      <c r="FT73" s="670">
        <f>INPUT!GM450</f>
        <v>2.1092971560890517</v>
      </c>
      <c r="FU73" s="688">
        <f>INPUT!GN450</f>
        <v>8.7988541871882742</v>
      </c>
      <c r="FV73" s="670">
        <f>INPUT!GO450</f>
        <v>1.7030785082744471</v>
      </c>
      <c r="FW73" s="688">
        <f>INPUT!GP450</f>
        <v>8.9243533450532411</v>
      </c>
      <c r="FX73" s="670">
        <f>INPUT!GQ450</f>
        <v>1.4263125083684436</v>
      </c>
      <c r="FY73" s="688">
        <f>INPUT!GR450</f>
        <v>9.0516460141988286</v>
      </c>
      <c r="FZ73" s="670">
        <f>INPUT!GS450</f>
        <v>1.4263517391559288</v>
      </c>
      <c r="GA73" s="988">
        <f>INPUT!GT450</f>
        <v>2.9971877472268371</v>
      </c>
    </row>
    <row r="74" spans="1:183" s="707" customFormat="1" ht="12.75" customHeight="1" x14ac:dyDescent="0.2">
      <c r="A74" s="993" t="str">
        <f>INPUT!B451</f>
        <v>Colonial (%)</v>
      </c>
      <c r="B74" s="825">
        <f>INPUT!M451</f>
        <v>15.32033426183844</v>
      </c>
      <c r="C74" s="824">
        <f>INPUT!N451</f>
        <v>9.5621380807184622</v>
      </c>
      <c r="D74" s="825">
        <f>INPUT!O451</f>
        <v>14.881474978050925</v>
      </c>
      <c r="E74" s="665">
        <f>INPUT!P451</f>
        <v>-9.9479975687174704</v>
      </c>
      <c r="F74" s="825">
        <f>INPUT!Q451</f>
        <v>14.827586206896553</v>
      </c>
      <c r="G74" s="665">
        <f>INPUT!R451</f>
        <v>-23.369315342328889</v>
      </c>
      <c r="H74" s="825">
        <f>INPUT!S451</f>
        <v>15.940114487010135</v>
      </c>
      <c r="I74" s="665">
        <f>INPUT!T451</f>
        <v>-2.1876353549132754</v>
      </c>
      <c r="J74" s="825">
        <f>INPUT!U451</f>
        <v>-11.563731931668821</v>
      </c>
      <c r="K74" s="665" t="str">
        <f>INPUT!V451</f>
        <v>NM</v>
      </c>
      <c r="L74" s="825">
        <f>INPUT!W451</f>
        <v>21.598535692495414</v>
      </c>
      <c r="M74" s="665">
        <f>INPUT!X451</f>
        <v>45.137062853995701</v>
      </c>
      <c r="N74" s="825">
        <f>INPUT!Y451</f>
        <v>22.190201729106594</v>
      </c>
      <c r="O74" s="665">
        <f>INPUT!Z451</f>
        <v>49.654848870718872</v>
      </c>
      <c r="P74" s="825">
        <f>INPUT!AA451</f>
        <v>-12.771739130434783</v>
      </c>
      <c r="Q74" s="665" t="str">
        <f>INPUT!AB451</f>
        <v>NM</v>
      </c>
      <c r="R74" s="825">
        <f>INPUT!AC451</f>
        <v>-4.6008799497171546</v>
      </c>
      <c r="S74" s="665" t="str">
        <f>INPUT!AD451</f>
        <v>NM</v>
      </c>
      <c r="T74" s="825">
        <f>INPUT!AE451</f>
        <v>19.838872104733113</v>
      </c>
      <c r="U74" s="665">
        <f>INPUT!AF451</f>
        <v>-8.1471429953175463</v>
      </c>
      <c r="V74" s="825">
        <f>INPUT!AG451</f>
        <v>20.632522273745636</v>
      </c>
      <c r="W74" s="665">
        <f>INPUT!AH451</f>
        <v>-7.0196723507825132</v>
      </c>
      <c r="X74" s="825">
        <f>INPUT!AI451</f>
        <v>34.373120219987932</v>
      </c>
      <c r="Y74" s="665" t="str">
        <f>INPUT!AJ451</f>
        <v>NM</v>
      </c>
      <c r="Z74" s="825">
        <f>INPUT!AK451</f>
        <v>23.701298701298647</v>
      </c>
      <c r="AA74" s="665" t="str">
        <f>INPUT!AL451</f>
        <v>NM</v>
      </c>
      <c r="AB74" s="825">
        <f>INPUT!AM451</f>
        <v>21.767348976535239</v>
      </c>
      <c r="AC74" s="665">
        <f>INPUT!AN451</f>
        <v>9.7206981406066539</v>
      </c>
      <c r="AD74" s="825">
        <f>INPUT!AO451</f>
        <v>20.095693779904312</v>
      </c>
      <c r="AE74" s="665">
        <f>INPUT!AP451</f>
        <v>-2.6018558793678093</v>
      </c>
      <c r="AF74" s="825">
        <f>INPUT!AQ451</f>
        <v>26.246663107314472</v>
      </c>
      <c r="AG74" s="665">
        <f>INPUT!AR451</f>
        <v>-23.641895355045296</v>
      </c>
      <c r="AH74" s="825">
        <f>INPUT!AS451</f>
        <v>22.905304908279646</v>
      </c>
      <c r="AI74" s="665">
        <f>INPUT!AT451</f>
        <v>-3.3584395650664733</v>
      </c>
      <c r="AJ74" s="825">
        <f>INPUT!AU451</f>
        <v>23.048498845265623</v>
      </c>
      <c r="AK74" s="665">
        <f>INPUT!AV451</f>
        <v>5.8856495116214491</v>
      </c>
      <c r="AL74" s="825">
        <f>INPUT!AW451</f>
        <v>21.308793456032717</v>
      </c>
      <c r="AM74" s="665">
        <f>INPUT!AX451</f>
        <v>6.0366150550199116</v>
      </c>
      <c r="AN74" s="825">
        <f>INPUT!AY451</f>
        <v>19.0566037735849</v>
      </c>
      <c r="AO74" s="667">
        <f>INPUT!AZ451</f>
        <v>-27.394184564840284</v>
      </c>
      <c r="AP74" s="826">
        <f>INPUT!BA451</f>
        <v>22.610015174506827</v>
      </c>
      <c r="AQ74" s="667">
        <f>INPUT!BB451</f>
        <v>-1.2891761753674791</v>
      </c>
      <c r="AR74" s="826">
        <f>INPUT!BC451</f>
        <v>23.557168784029052</v>
      </c>
      <c r="AS74" s="667">
        <f>INPUT!BD451</f>
        <v>2.2069547443343218</v>
      </c>
      <c r="AT74" s="826">
        <f>INPUT!BE451</f>
        <v>19.200000000000003</v>
      </c>
      <c r="AU74" s="667">
        <f>INPUT!BF451</f>
        <v>-9.8963531669865379</v>
      </c>
      <c r="AV74" s="826">
        <f>INPUT!BG451</f>
        <v>19.165580182529343</v>
      </c>
      <c r="AW74" s="667">
        <f>INPUT!BH451</f>
        <v>0.57185640337182875</v>
      </c>
      <c r="AX74" s="826">
        <f>INPUT!BI451</f>
        <v>21.519795657726686</v>
      </c>
      <c r="AY74" s="667">
        <f>INPUT!BJ451</f>
        <v>-4.8218433661618381</v>
      </c>
      <c r="AZ74" s="826">
        <f>INPUT!BK451</f>
        <v>20.005866823115312</v>
      </c>
      <c r="BA74" s="667">
        <f>INPUT!BL451</f>
        <v>-15.075249464279427</v>
      </c>
      <c r="BB74" s="826">
        <f>INPUT!BM451</f>
        <v>20.331695331695354</v>
      </c>
      <c r="BC74" s="667">
        <f>INPUT!BN451</f>
        <v>5.8942465192466154</v>
      </c>
      <c r="BD74" s="826">
        <f>INPUT!BO451</f>
        <v>21.373307543520298</v>
      </c>
      <c r="BE74" s="667">
        <f>INPUT!BP451</f>
        <v>11.519230516190904</v>
      </c>
      <c r="BF74" s="826">
        <f>INPUT!BQ451</f>
        <v>22.493654822335042</v>
      </c>
      <c r="BG74" s="667">
        <f>INPUT!BR451</f>
        <v>4.525410836132604</v>
      </c>
      <c r="BH74" s="826">
        <f>INPUT!BS451</f>
        <v>22.012966965112689</v>
      </c>
      <c r="BI74" s="667">
        <f>INPUT!BT451</f>
        <v>10.032557747901837</v>
      </c>
      <c r="BJ74" s="826">
        <f>INPUT!BU451</f>
        <v>22.020644354081966</v>
      </c>
      <c r="BK74" s="667">
        <f>INPUT!BV451</f>
        <v>8.3069758563305118</v>
      </c>
      <c r="BL74" s="826">
        <f>INPUT!BW451</f>
        <v>21.224362958359229</v>
      </c>
      <c r="BM74" s="667">
        <f>INPUT!BX451</f>
        <v>-0.69687195048210304</v>
      </c>
      <c r="BN74" s="826">
        <f>INPUT!BY451</f>
        <v>20.640987944722152</v>
      </c>
      <c r="BO74" s="667">
        <f>INPUT!BZ451</f>
        <v>-8.236397740812162</v>
      </c>
      <c r="BP74" s="826">
        <f>INPUT!CA451</f>
        <v>20.692665890570414</v>
      </c>
      <c r="BQ74" s="667">
        <f>INPUT!CB451</f>
        <v>-5.9978333526541805</v>
      </c>
      <c r="BR74" s="826">
        <f>INPUT!CC451</f>
        <v>21.489104116222762</v>
      </c>
      <c r="BS74" s="667">
        <f>INPUT!CD451</f>
        <v>-2.4138269040282267</v>
      </c>
      <c r="BT74" s="826">
        <f>INPUT!CE451</f>
        <v>18.303571428571423</v>
      </c>
      <c r="BU74" s="667">
        <f>INPUT!CF451</f>
        <v>-13.761503869483393</v>
      </c>
      <c r="BV74" s="826">
        <f>INPUT!CG451</f>
        <v>20.768269831355394</v>
      </c>
      <c r="BW74" s="667">
        <f>INPUT!CH451</f>
        <v>0.61664629122457626</v>
      </c>
      <c r="BX74" s="826">
        <f>INPUT!CI451</f>
        <v>19.618607338919372</v>
      </c>
      <c r="BY74" s="667">
        <f>INPUT!CJ451</f>
        <v>-5.1905276842095454</v>
      </c>
      <c r="BZ74" s="826">
        <f>INPUT!CK451</f>
        <v>20.804741110417979</v>
      </c>
      <c r="CA74" s="667">
        <f>INPUT!CL451</f>
        <v>-3.1846977058859194</v>
      </c>
      <c r="CB74" s="826">
        <f>INPUT!CM451</f>
        <v>-10.538261997405952</v>
      </c>
      <c r="CC74" s="667" t="str">
        <f>INPUT!CN451</f>
        <v>NM</v>
      </c>
      <c r="CD74" s="826">
        <f>INPUT!CO451</f>
        <v>22.542043984476066</v>
      </c>
      <c r="CE74" s="667">
        <f>INPUT!CP451</f>
        <v>8.5407892305148891</v>
      </c>
      <c r="CF74" s="826">
        <f>INPUT!CQ451</f>
        <v>21.799419542083196</v>
      </c>
      <c r="CG74" s="667">
        <f>INPUT!CR451</f>
        <v>11.116039816126655</v>
      </c>
      <c r="CH74" s="826">
        <f>INPUT!CS451</f>
        <v>22.111361441905352</v>
      </c>
      <c r="CI74" s="667">
        <f>INPUT!CT451</f>
        <v>6.2803969756349609</v>
      </c>
      <c r="CJ74" s="826">
        <f>INPUT!CU451</f>
        <v>22.053600258314507</v>
      </c>
      <c r="CK74" s="667" t="str">
        <f>INPUT!CV451</f>
        <v>NM</v>
      </c>
      <c r="CL74" s="688">
        <f>INPUT!CW451</f>
        <v>22.467948717948715</v>
      </c>
      <c r="CM74" s="670">
        <f>INPUT!CX451</f>
        <v>-0.32869808336093431</v>
      </c>
      <c r="CN74" s="688">
        <f>INPUT!CY451</f>
        <v>22.483328040647816</v>
      </c>
      <c r="CO74" s="670">
        <f>INPUT!CZ451</f>
        <v>3.1372784823208377</v>
      </c>
      <c r="CP74" s="688">
        <f>INPUT!DA451</f>
        <v>21.681415929203546</v>
      </c>
      <c r="CQ74" s="670">
        <f>INPUT!DB451</f>
        <v>-1.9444551789876474</v>
      </c>
      <c r="CR74" s="688">
        <f>INPUT!DC451</f>
        <v>22.820343461030383</v>
      </c>
      <c r="CS74" s="670">
        <f>INPUT!DD451</f>
        <v>3.4767257669269025</v>
      </c>
      <c r="CT74" s="688">
        <f>INPUT!DE451</f>
        <v>24.345952600800256</v>
      </c>
      <c r="CU74" s="670">
        <f>INPUT!DF451</f>
        <v>8.3585907482122792</v>
      </c>
      <c r="CV74" s="688">
        <f>INPUT!DG451</f>
        <v>23.024900092222556</v>
      </c>
      <c r="CW74" s="670">
        <f>INPUT!DH451</f>
        <v>2.4087717378656226</v>
      </c>
      <c r="CX74" s="688">
        <f>INPUT!DI451</f>
        <v>22.383354350567462</v>
      </c>
      <c r="CY74" s="670">
        <f>INPUT!DJ451</f>
        <v>3.2375119026172516</v>
      </c>
      <c r="CZ74" s="688">
        <f>INPUT!DK451</f>
        <v>-19.844462322338426</v>
      </c>
      <c r="DA74" s="670" t="str">
        <f>INPUT!DL451</f>
        <v>NM</v>
      </c>
      <c r="DB74" s="688">
        <f>INPUT!DM451</f>
        <v>24.379516179704666</v>
      </c>
      <c r="DC74" s="670">
        <f>INPUT!DN451</f>
        <v>0.13786102131532196</v>
      </c>
      <c r="DD74" s="688">
        <f>INPUT!DO451</f>
        <v>24.326018808777423</v>
      </c>
      <c r="DE74" s="670">
        <f>INPUT!DP451</f>
        <v>5.6509201401241382</v>
      </c>
      <c r="DF74" s="688">
        <f>INPUT!DQ451</f>
        <v>23.440860215053767</v>
      </c>
      <c r="DG74" s="670">
        <f>INPUT!DR451</f>
        <v>4.7245191579585288</v>
      </c>
      <c r="DH74" s="688">
        <f>INPUT!DS451</f>
        <v>24.303163169433152</v>
      </c>
      <c r="DI74" s="670" t="str">
        <f>INPUT!DT451</f>
        <v>NM</v>
      </c>
      <c r="DJ74" s="688">
        <f>INPUT!DU451</f>
        <v>23.837388358484763</v>
      </c>
      <c r="DK74" s="670">
        <f>INPUT!DV451</f>
        <v>-2.223702132658445</v>
      </c>
      <c r="DL74" s="688">
        <f>INPUT!DW451</f>
        <v>23.260674828306957</v>
      </c>
      <c r="DM74" s="670">
        <f>INPUT!DX451</f>
        <v>-4.379442393944311</v>
      </c>
      <c r="DN74" s="688">
        <f>INPUT!DY451</f>
        <v>24.60292743693552</v>
      </c>
      <c r="DO74" s="670">
        <f>INPUT!DZ451</f>
        <v>4.9574427355505879</v>
      </c>
      <c r="DP74" s="688">
        <f>INPUT!EA451</f>
        <v>23.308051341890312</v>
      </c>
      <c r="DQ74" s="670">
        <f>INPUT!EB451</f>
        <v>-4.0945774037941751</v>
      </c>
      <c r="DR74" s="688">
        <f>INPUT!EC451</f>
        <v>24.242424242424271</v>
      </c>
      <c r="DS74" s="670">
        <f>INPUT!ED451</f>
        <v>1.6991621642785226</v>
      </c>
      <c r="DT74" s="688">
        <f>INPUT!EE451</f>
        <v>23.140028288543153</v>
      </c>
      <c r="DU74" s="670">
        <f>INPUT!EF451</f>
        <v>-0.51867170945953944</v>
      </c>
      <c r="DV74" s="688">
        <f>INPUT!EG451</f>
        <v>22.923681257014607</v>
      </c>
      <c r="DW74" s="670">
        <f>INPUT!EH451</f>
        <v>-6.825391751551968</v>
      </c>
      <c r="DX74" s="688">
        <f>INPUT!EI451</f>
        <v>21.212121212121222</v>
      </c>
      <c r="DY74" s="670">
        <f>INPUT!EJ451</f>
        <v>-8.9923009822884143</v>
      </c>
      <c r="DZ74" s="688">
        <f>INPUT!EK451</f>
        <v>22.22967937743536</v>
      </c>
      <c r="EA74" s="670">
        <f>INPUT!EL451</f>
        <v>-8.3025725680792473</v>
      </c>
      <c r="EB74" s="688">
        <f>INPUT!EM451</f>
        <v>22.262099547140107</v>
      </c>
      <c r="EC74" s="670">
        <f>INPUT!EN451</f>
        <v>-3.793983008386026</v>
      </c>
      <c r="ED74" s="688">
        <f>INPUT!EO451</f>
        <v>22.404711634541417</v>
      </c>
      <c r="EE74" s="670">
        <f>INPUT!EP451</f>
        <v>-2.2639017558071517</v>
      </c>
      <c r="EF74" s="688">
        <f>INPUT!EQ451</f>
        <v>22.468053573699908</v>
      </c>
      <c r="EG74" s="670">
        <f>INPUT!ER451</f>
        <v>5.9208239902995174</v>
      </c>
      <c r="EH74" s="670"/>
      <c r="EI74" s="698">
        <f>INPUT!FB451</f>
        <v>0</v>
      </c>
      <c r="EJ74" s="671" t="str">
        <f>INPUT!FC451</f>
        <v>NA</v>
      </c>
      <c r="EK74" s="698">
        <f>INPUT!FD451</f>
        <v>13.004823607301619</v>
      </c>
      <c r="EL74" s="671" t="str">
        <f>INPUT!FE451</f>
        <v>NA</v>
      </c>
      <c r="EM74" s="698">
        <f>INPUT!FF451</f>
        <v>-216.05301914580477</v>
      </c>
      <c r="EN74" s="671" t="str">
        <f>INPUT!FG451</f>
        <v>NM</v>
      </c>
      <c r="EO74" s="698">
        <f>INPUT!FH451</f>
        <v>-115.25925925925912</v>
      </c>
      <c r="EP74" s="671">
        <f>INPUT!FI451</f>
        <v>-46.652326491454545</v>
      </c>
      <c r="EQ74" s="698">
        <f>INPUT!FJ451</f>
        <v>22.851292551830014</v>
      </c>
      <c r="ER74" s="670" t="str">
        <f>INPUT!FK451</f>
        <v>NM</v>
      </c>
      <c r="ES74" s="688">
        <f>INPUT!FL451</f>
        <v>21.418562035140692</v>
      </c>
      <c r="ET74" s="670">
        <f>INPUT!FM451</f>
        <v>-6.269800771399181</v>
      </c>
      <c r="EU74" s="688">
        <f>INPUT!FN451</f>
        <v>20.983858570330518</v>
      </c>
      <c r="EV74" s="670">
        <f>INPUT!FO451</f>
        <v>-2.0295641887488558</v>
      </c>
      <c r="EW74" s="688">
        <f>INPUT!FP451</f>
        <v>20.784556942398648</v>
      </c>
      <c r="EX74" s="670">
        <f>INPUT!FQ451</f>
        <v>-0.94978541369730163</v>
      </c>
      <c r="EY74" s="688">
        <f>INPUT!FR451</f>
        <v>20.452990803374657</v>
      </c>
      <c r="EZ74" s="670">
        <f>INPUT!FS451</f>
        <v>-1.5952523786909589</v>
      </c>
      <c r="FA74" s="688">
        <f>INPUT!FT451</f>
        <v>20.313323793025532</v>
      </c>
      <c r="FB74" s="670">
        <f>INPUT!FU451</f>
        <v>-0.68286839656761522</v>
      </c>
      <c r="FC74" s="688">
        <f>INPUT!FV451</f>
        <v>71.899486625236449</v>
      </c>
      <c r="FD74" s="670" t="str">
        <f>INPUT!FW451</f>
        <v>NM</v>
      </c>
      <c r="FE74" s="688">
        <f>INPUT!FX451</f>
        <v>21.770982640547867</v>
      </c>
      <c r="FF74" s="670" t="str">
        <f>INPUT!FY451</f>
        <v>NM</v>
      </c>
      <c r="FG74" s="688">
        <f>INPUT!FZ451</f>
        <v>22.357756199341949</v>
      </c>
      <c r="FH74" s="670">
        <f>INPUT!GA451</f>
        <v>2.6952093457703219</v>
      </c>
      <c r="FI74" s="688">
        <f>INPUT!GB451</f>
        <v>50.294365012615607</v>
      </c>
      <c r="FJ74" s="670" t="str">
        <f>INPUT!GC451</f>
        <v>NM</v>
      </c>
      <c r="FK74" s="688">
        <f>INPUT!GD451</f>
        <v>24.108883862413226</v>
      </c>
      <c r="FL74" s="670" t="str">
        <f>INPUT!GE451</f>
        <v>NM</v>
      </c>
      <c r="FM74" s="688">
        <f>INPUT!GF451</f>
        <v>23.74008311295805</v>
      </c>
      <c r="FN74" s="670">
        <f>INPUT!GG451</f>
        <v>-1.5297296696100915</v>
      </c>
      <c r="FO74" s="688">
        <f>INPUT!GH451</f>
        <v>22.843888381246941</v>
      </c>
      <c r="FP74" s="670">
        <f>INPUT!GI451</f>
        <v>-3.7750277766379847</v>
      </c>
      <c r="FQ74" s="688">
        <f>INPUT!GJ451</f>
        <v>22.341714792867567</v>
      </c>
      <c r="FR74" s="670">
        <f>INPUT!GK451</f>
        <v>-2.1982841974994893</v>
      </c>
      <c r="FS74" s="688">
        <f>INPUT!GL451</f>
        <v>22.030735993788582</v>
      </c>
      <c r="FT74" s="670">
        <f>INPUT!GM451</f>
        <v>-1.3919200113424735</v>
      </c>
      <c r="FU74" s="688">
        <f>INPUT!GN451</f>
        <v>21.86123377785804</v>
      </c>
      <c r="FV74" s="670">
        <f>INPUT!GO451</f>
        <v>-0.76938971071294215</v>
      </c>
      <c r="FW74" s="688">
        <f>INPUT!GP451</f>
        <v>21.74638021318848</v>
      </c>
      <c r="FX74" s="670">
        <f>INPUT!GQ451</f>
        <v>-0.52537549269469075</v>
      </c>
      <c r="FY74" s="688">
        <f>INPUT!GR451</f>
        <v>21.622343245631672</v>
      </c>
      <c r="FZ74" s="670">
        <f>INPUT!GS451</f>
        <v>-0.57037983490044741</v>
      </c>
      <c r="GA74" s="988">
        <f>INPUT!GT451</f>
        <v>-1.0931101543254385</v>
      </c>
    </row>
    <row r="75" spans="1:183" s="707" customFormat="1" ht="12.75" customHeight="1" x14ac:dyDescent="0.2">
      <c r="A75" s="993" t="str">
        <f>INPUT!B452</f>
        <v>Individual Income Protection - Closed Block (%)</v>
      </c>
      <c r="B75" s="825">
        <f>INPUT!M452</f>
        <v>12.024141132776247</v>
      </c>
      <c r="C75" s="824" t="str">
        <f>INPUT!N452</f>
        <v>NA</v>
      </c>
      <c r="D75" s="825">
        <f>INPUT!O452</f>
        <v>8.6040386303775342</v>
      </c>
      <c r="E75" s="665" t="str">
        <f>INPUT!P452</f>
        <v>NA</v>
      </c>
      <c r="F75" s="825">
        <f>INPUT!Q452</f>
        <v>8.2327586206896406</v>
      </c>
      <c r="G75" s="665" t="str">
        <f>INPUT!R452</f>
        <v>NA</v>
      </c>
      <c r="H75" s="825">
        <f>INPUT!S452</f>
        <v>8.1021576398062436</v>
      </c>
      <c r="I75" s="665" t="str">
        <f>INPUT!T452</f>
        <v>NA</v>
      </c>
      <c r="J75" s="825">
        <f>INPUT!U452</f>
        <v>-5.1905387647831924</v>
      </c>
      <c r="K75" s="665" t="str">
        <f>INPUT!V452</f>
        <v>NM</v>
      </c>
      <c r="L75" s="825">
        <f>INPUT!W452</f>
        <v>3.2336790726051849</v>
      </c>
      <c r="M75" s="665" t="str">
        <f>INPUT!X452</f>
        <v>NM</v>
      </c>
      <c r="N75" s="825">
        <f>INPUT!Y452</f>
        <v>11.066282420749287</v>
      </c>
      <c r="O75" s="665">
        <f>INPUT!Z452</f>
        <v>34.417671288682669</v>
      </c>
      <c r="P75" s="825">
        <f>INPUT!AA452</f>
        <v>-7.5407608695651964</v>
      </c>
      <c r="Q75" s="665" t="str">
        <f>INPUT!AB452</f>
        <v>NM</v>
      </c>
      <c r="R75" s="825">
        <f>INPUT!AC452</f>
        <v>116.12822124450032</v>
      </c>
      <c r="S75" s="665" t="str">
        <f>INPUT!AD452</f>
        <v>NM</v>
      </c>
      <c r="T75" s="825">
        <f>INPUT!AE452</f>
        <v>15.105740181268896</v>
      </c>
      <c r="U75" s="665" t="str">
        <f>INPUT!AF452</f>
        <v>NM</v>
      </c>
      <c r="V75" s="825">
        <f>INPUT!AG452</f>
        <v>17.297973219402905</v>
      </c>
      <c r="W75" s="665">
        <f>INPUT!AH452</f>
        <v>56.312414248250107</v>
      </c>
      <c r="X75" s="825">
        <f>INPUT!AI452</f>
        <v>32.482598607888555</v>
      </c>
      <c r="Y75" s="665" t="str">
        <f>INPUT!AJ452</f>
        <v>NM</v>
      </c>
      <c r="Z75" s="825">
        <f>INPUT!AK452</f>
        <v>12.499999999999948</v>
      </c>
      <c r="AA75" s="665" t="str">
        <f>INPUT!AL452</f>
        <v>NM</v>
      </c>
      <c r="AB75" s="825">
        <f>INPUT!AM452</f>
        <v>13.829256115826274</v>
      </c>
      <c r="AC75" s="665">
        <f>INPUT!AN452</f>
        <v>-8.4503245132301448</v>
      </c>
      <c r="AD75" s="825">
        <f>INPUT!AO452</f>
        <v>14.210526315789473</v>
      </c>
      <c r="AE75" s="665">
        <f>INPUT!AP452</f>
        <v>-17.848604946100188</v>
      </c>
      <c r="AF75" s="825">
        <f>INPUT!AQ452</f>
        <v>17.992525360384441</v>
      </c>
      <c r="AG75" s="665">
        <f>INPUT!AR452</f>
        <v>-44.608725497673483</v>
      </c>
      <c r="AH75" s="825">
        <f>INPUT!AS452</f>
        <v>13.832424392662396</v>
      </c>
      <c r="AI75" s="665">
        <f>INPUT!AT452</f>
        <v>10.659395141299633</v>
      </c>
      <c r="AJ75" s="825">
        <f>INPUT!AU452</f>
        <v>15.334872979214795</v>
      </c>
      <c r="AK75" s="665">
        <f>INPUT!AV452</f>
        <v>10.887186199881604</v>
      </c>
      <c r="AL75" s="825">
        <f>INPUT!AW452</f>
        <v>11.738241308793446</v>
      </c>
      <c r="AM75" s="665">
        <f>INPUT!AX452</f>
        <v>-17.397561160342413</v>
      </c>
      <c r="AN75" s="825">
        <f>INPUT!AY452</f>
        <v>10.830188679245275</v>
      </c>
      <c r="AO75" s="667">
        <f>INPUT!AZ452</f>
        <v>-39.807289625441058</v>
      </c>
      <c r="AP75" s="826">
        <f>INPUT!BA452</f>
        <v>8.5356600910470419</v>
      </c>
      <c r="AQ75" s="667">
        <f>INPUT!BB452</f>
        <v>-38.292378481570431</v>
      </c>
      <c r="AR75" s="826">
        <f>INPUT!BC452</f>
        <v>10.671506352087127</v>
      </c>
      <c r="AS75" s="667">
        <f>INPUT!BD452</f>
        <v>-30.410207071480102</v>
      </c>
      <c r="AT75" s="826">
        <f>INPUT!BE452</f>
        <v>9.0461538461538442</v>
      </c>
      <c r="AU75" s="667">
        <f>INPUT!BF452</f>
        <v>-22.934333958724153</v>
      </c>
      <c r="AV75" s="826">
        <f>INPUT!BG452</f>
        <v>4.8891786179921768</v>
      </c>
      <c r="AW75" s="667" t="str">
        <f>INPUT!BH452</f>
        <v>NM</v>
      </c>
      <c r="AX75" s="826">
        <f>INPUT!BI452</f>
        <v>0.92592592592591871</v>
      </c>
      <c r="AY75" s="667" t="str">
        <f>INPUT!BJ452</f>
        <v>NM</v>
      </c>
      <c r="AZ75" s="826">
        <f>INPUT!BK452</f>
        <v>0.93869169844528932</v>
      </c>
      <c r="BA75" s="667" t="str">
        <f>INPUT!BL452</f>
        <v>NM</v>
      </c>
      <c r="BB75" s="826">
        <f>INPUT!BM452</f>
        <v>2.2113022113021947</v>
      </c>
      <c r="BC75" s="667" t="str">
        <f>INPUT!BN452</f>
        <v>NM</v>
      </c>
      <c r="BD75" s="826">
        <f>INPUT!BO452</f>
        <v>2.2888459058671882</v>
      </c>
      <c r="BE75" s="667" t="str">
        <f>INPUT!BP452</f>
        <v>NM</v>
      </c>
      <c r="BF75" s="826">
        <f>INPUT!BQ452</f>
        <v>3.5850253807106465</v>
      </c>
      <c r="BG75" s="667" t="str">
        <f>INPUT!BR452</f>
        <v>NM</v>
      </c>
      <c r="BH75" s="826">
        <f>INPUT!BS452</f>
        <v>3.0873726458783386</v>
      </c>
      <c r="BI75" s="667" t="str">
        <f>INPUT!BT452</f>
        <v>NM</v>
      </c>
      <c r="BJ75" s="826">
        <f>INPUT!BU452</f>
        <v>2.2521113543947426</v>
      </c>
      <c r="BK75" s="667">
        <f>INPUT!BV452</f>
        <v>1.8454801376296848</v>
      </c>
      <c r="BL75" s="826">
        <f>INPUT!BW452</f>
        <v>1.8023617153511546</v>
      </c>
      <c r="BM75" s="667">
        <f>INPUT!BX452</f>
        <v>-21.254562802545529</v>
      </c>
      <c r="BN75" s="826">
        <f>INPUT!BY452</f>
        <v>10.555718906204051</v>
      </c>
      <c r="BO75" s="667" t="str">
        <f>INPUT!BZ452</f>
        <v>NM</v>
      </c>
      <c r="BP75" s="826">
        <f>INPUT!CA452</f>
        <v>6.9266589057042944</v>
      </c>
      <c r="BQ75" s="667" t="str">
        <f>INPUT!CB452</f>
        <v>NM</v>
      </c>
      <c r="BR75" s="826">
        <f>INPUT!CC452</f>
        <v>8.9891041162227729</v>
      </c>
      <c r="BS75" s="667" t="str">
        <f>INPUT!CD452</f>
        <v>NM</v>
      </c>
      <c r="BT75" s="826">
        <f>INPUT!CE452</f>
        <v>9.3112244897959613</v>
      </c>
      <c r="BU75" s="667" t="str">
        <f>INPUT!CF452</f>
        <v>NM</v>
      </c>
      <c r="BV75" s="826">
        <f>INPUT!CG452</f>
        <v>9.9625234228606736</v>
      </c>
      <c r="BW75" s="667">
        <f>INPUT!CH452</f>
        <v>-5.6196597182474273</v>
      </c>
      <c r="BX75" s="826">
        <f>INPUT!CI452</f>
        <v>8.7835885582202238</v>
      </c>
      <c r="BY75" s="667">
        <f>INPUT!CJ452</f>
        <v>26.808446580019929</v>
      </c>
      <c r="BZ75" s="826">
        <f>INPUT!CK452</f>
        <v>9.606986899563303</v>
      </c>
      <c r="CA75" s="667">
        <f>INPUT!CL452</f>
        <v>6.8736859129868932</v>
      </c>
      <c r="CB75" s="826">
        <f>INPUT!CM452</f>
        <v>-4.9935149156938756</v>
      </c>
      <c r="CC75" s="667" t="str">
        <f>INPUT!CN452</f>
        <v>NM</v>
      </c>
      <c r="CD75" s="826">
        <f>INPUT!CO452</f>
        <v>4.9805950840879625</v>
      </c>
      <c r="CE75" s="667" t="str">
        <f>INPUT!CP452</f>
        <v>NM</v>
      </c>
      <c r="CF75" s="826">
        <f>INPUT!CQ452</f>
        <v>8.2876491454369727</v>
      </c>
      <c r="CG75" s="667">
        <f>INPUT!CR452</f>
        <v>-5.6462049593513868</v>
      </c>
      <c r="CH75" s="826">
        <f>INPUT!CS452</f>
        <v>8.2394592854843971</v>
      </c>
      <c r="CI75" s="667">
        <f>INPUT!CT452</f>
        <v>-14.234719255639538</v>
      </c>
      <c r="CJ75" s="826">
        <f>INPUT!CU452</f>
        <v>9.2993219244429959</v>
      </c>
      <c r="CK75" s="667" t="str">
        <f>INPUT!CV452</f>
        <v>NM</v>
      </c>
      <c r="CL75" s="688">
        <f>INPUT!CW452</f>
        <v>8.5256410256410664</v>
      </c>
      <c r="CM75" s="670">
        <f>INPUT!CX452</f>
        <v>71.177156177157201</v>
      </c>
      <c r="CN75" s="688">
        <f>INPUT!CY452</f>
        <v>9.2410288980628863</v>
      </c>
      <c r="CO75" s="670">
        <f>INPUT!CZ452</f>
        <v>11.503621061840285</v>
      </c>
      <c r="CP75" s="688">
        <f>INPUT!DA452</f>
        <v>7.9013906447534756</v>
      </c>
      <c r="CQ75" s="670">
        <f>INPUT!DB452</f>
        <v>-4.1030440107459825</v>
      </c>
      <c r="CR75" s="688">
        <f>INPUT!DC452</f>
        <v>8.7846763540290702</v>
      </c>
      <c r="CS75" s="670">
        <f>INPUT!DD452</f>
        <v>-5.5342268457358674</v>
      </c>
      <c r="CT75" s="688">
        <f>INPUT!DE452</f>
        <v>8.710372422283772</v>
      </c>
      <c r="CU75" s="670">
        <f>INPUT!DF452</f>
        <v>2.1667742764106768</v>
      </c>
      <c r="CV75" s="688">
        <f>INPUT!DG452</f>
        <v>11.251152782047383</v>
      </c>
      <c r="CW75" s="670">
        <f>INPUT!DH452</f>
        <v>21.752165328753172</v>
      </c>
      <c r="CX75" s="688">
        <f>INPUT!DI452</f>
        <v>8.1021437578814766</v>
      </c>
      <c r="CY75" s="670">
        <f>INPUT!DJ452</f>
        <v>2.5407313997479752</v>
      </c>
      <c r="CZ75" s="688">
        <f>INPUT!DK452</f>
        <v>-7.8841512469830981</v>
      </c>
      <c r="DA75" s="670" t="str">
        <f>INPUT!DL452</f>
        <v>NM</v>
      </c>
      <c r="DB75" s="688">
        <f>INPUT!DM452</f>
        <v>8.3883129123468194</v>
      </c>
      <c r="DC75" s="670">
        <f>INPUT!DN452</f>
        <v>-3.6974252571913779</v>
      </c>
      <c r="DD75" s="688">
        <f>INPUT!DO452</f>
        <v>11.473354231974895</v>
      </c>
      <c r="DE75" s="670">
        <f>INPUT!DP452</f>
        <v>1.9749216300934291</v>
      </c>
      <c r="DF75" s="688">
        <f>INPUT!DQ452</f>
        <v>8.5099846390169063</v>
      </c>
      <c r="DG75" s="670">
        <f>INPUT!DR452</f>
        <v>5.0337403695003058</v>
      </c>
      <c r="DH75" s="688">
        <f>INPUT!DS452</f>
        <v>8.8005010961477623</v>
      </c>
      <c r="DI75" s="670" t="str">
        <f>INPUT!DT452</f>
        <v>NM</v>
      </c>
      <c r="DJ75" s="688">
        <f>INPUT!DU452</f>
        <v>10.378811210347964</v>
      </c>
      <c r="DK75" s="670">
        <f>INPUT!DV452</f>
        <v>23.729423530103588</v>
      </c>
      <c r="DL75" s="688">
        <f>INPUT!DW452</f>
        <v>9.7342490295610382</v>
      </c>
      <c r="DM75" s="670">
        <f>INPUT!DX452</f>
        <v>-15.157774851639939</v>
      </c>
      <c r="DN75" s="688">
        <f>INPUT!DY452</f>
        <v>8.9068825910931189</v>
      </c>
      <c r="DO75" s="670">
        <f>INPUT!DZ452</f>
        <v>4.6639091480435768</v>
      </c>
      <c r="DP75" s="688">
        <f>INPUT!EA452</f>
        <v>10.093348891481922</v>
      </c>
      <c r="DQ75" s="670">
        <f>INPUT!EB452</f>
        <v>14.690615695736664</v>
      </c>
      <c r="DR75" s="688">
        <f>INPUT!EC452</f>
        <v>9.2968520152985974</v>
      </c>
      <c r="DS75" s="670">
        <f>INPUT!ED452</f>
        <v>-10.424692897107747</v>
      </c>
      <c r="DT75" s="688">
        <f>INPUT!EE452</f>
        <v>9.2220650636492252</v>
      </c>
      <c r="DU75" s="670">
        <f>INPUT!EF452</f>
        <v>-5.2616690240449904</v>
      </c>
      <c r="DV75" s="688">
        <f>INPUT!EG452</f>
        <v>7.4635241301908044</v>
      </c>
      <c r="DW75" s="670">
        <f>INPUT!EH452</f>
        <v>-16.20497908376689</v>
      </c>
      <c r="DX75" s="688">
        <f>INPUT!EI452</f>
        <v>8.8763743631000072</v>
      </c>
      <c r="DY75" s="670">
        <f>INPUT!EJ452</f>
        <v>-12.057192726280929</v>
      </c>
      <c r="DZ75" s="688">
        <f>INPUT!EK452</f>
        <v>8.5770321708898773</v>
      </c>
      <c r="EA75" s="670">
        <f>INPUT!EL452</f>
        <v>-7.7426191491938079</v>
      </c>
      <c r="EB75" s="688">
        <f>INPUT!EM452</f>
        <v>8.3397166118395116</v>
      </c>
      <c r="EC75" s="670">
        <f>INPUT!EN452</f>
        <v>-9.567796862415145</v>
      </c>
      <c r="ED75" s="688">
        <f>INPUT!EO452</f>
        <v>8.1284989261076142</v>
      </c>
      <c r="EE75" s="670">
        <f>INPUT!EP452</f>
        <v>8.9096623031861277</v>
      </c>
      <c r="EF75" s="688">
        <f>INPUT!EQ452</f>
        <v>7.9009827414031131</v>
      </c>
      <c r="EG75" s="670">
        <f>INPUT!ER452</f>
        <v>-10.98862645712304</v>
      </c>
      <c r="EH75" s="670"/>
      <c r="EI75" s="698">
        <f>INPUT!FB452</f>
        <v>0</v>
      </c>
      <c r="EJ75" s="671" t="str">
        <f>INPUT!FC452</f>
        <v>NA</v>
      </c>
      <c r="EK75" s="698">
        <f>INPUT!FD452</f>
        <v>7.8501844320438785</v>
      </c>
      <c r="EL75" s="671" t="str">
        <f>INPUT!FE452</f>
        <v>NA</v>
      </c>
      <c r="EM75" s="698">
        <f>INPUT!FF452</f>
        <v>-92.047128129603578</v>
      </c>
      <c r="EN75" s="671" t="str">
        <f>INPUT!FG452</f>
        <v>NM</v>
      </c>
      <c r="EO75" s="698">
        <f>INPUT!FH452</f>
        <v>609.48148148148096</v>
      </c>
      <c r="EP75" s="671" t="str">
        <f>INPUT!FI452</f>
        <v>NM</v>
      </c>
      <c r="EQ75" s="698">
        <f>INPUT!FJ452</f>
        <v>14.614793959559755</v>
      </c>
      <c r="ER75" s="670" t="str">
        <f>INPUT!FK452</f>
        <v>NM</v>
      </c>
      <c r="ES75" s="688">
        <f>INPUT!FL452</f>
        <v>12.773525924328933</v>
      </c>
      <c r="ET75" s="670">
        <f>INPUT!FM452</f>
        <v>-12.598658868032974</v>
      </c>
      <c r="EU75" s="688">
        <f>INPUT!FN452</f>
        <v>8.224442736356643</v>
      </c>
      <c r="EV75" s="670">
        <f>INPUT!FO452</f>
        <v>-35.613371084235531</v>
      </c>
      <c r="EW75" s="688">
        <f>INPUT!FP452</f>
        <v>1.5815179471276526</v>
      </c>
      <c r="EX75" s="670" t="str">
        <f>INPUT!FQ452</f>
        <v>NM</v>
      </c>
      <c r="EY75" s="688">
        <f>INPUT!FR452</f>
        <v>9.4246408755794775</v>
      </c>
      <c r="EZ75" s="670" t="str">
        <f>INPUT!FS452</f>
        <v>NM</v>
      </c>
      <c r="FA75" s="688">
        <f>INPUT!FT452</f>
        <v>8.932740830006777</v>
      </c>
      <c r="FB75" s="670">
        <f>INPUT!FU452</f>
        <v>-5.2192974996774666</v>
      </c>
      <c r="FC75" s="688">
        <f>INPUT!FV452</f>
        <v>33.477438530126946</v>
      </c>
      <c r="FD75" s="670" t="str">
        <f>INPUT!FW452</f>
        <v>NM</v>
      </c>
      <c r="FE75" s="688">
        <f>INPUT!FX452</f>
        <v>7.5410097149227511</v>
      </c>
      <c r="FF75" s="670" t="str">
        <f>INPUT!FY452</f>
        <v>NM</v>
      </c>
      <c r="FG75" s="688">
        <f>INPUT!FZ452</f>
        <v>8.6108659016130122</v>
      </c>
      <c r="FH75" s="670">
        <f>INPUT!GA452</f>
        <v>14.187174226458609</v>
      </c>
      <c r="FI75" s="688">
        <f>INPUT!GB452</f>
        <v>20.185029436501299</v>
      </c>
      <c r="FJ75" s="670" t="str">
        <f>INPUT!GC452</f>
        <v>NM</v>
      </c>
      <c r="FK75" s="688">
        <f>INPUT!GD452</f>
        <v>9.289447001013956</v>
      </c>
      <c r="FL75" s="670" t="str">
        <f>INPUT!GE452</f>
        <v>NM</v>
      </c>
      <c r="FM75" s="688">
        <f>INPUT!GF452</f>
        <v>9.7846618813751682</v>
      </c>
      <c r="FN75" s="670">
        <f>INPUT!GG452</f>
        <v>5.3309403703703628</v>
      </c>
      <c r="FO75" s="688">
        <f>INPUT!GH452</f>
        <v>8.708793139804575</v>
      </c>
      <c r="FP75" s="670">
        <f>INPUT!GI452</f>
        <v>-10.995461617518732</v>
      </c>
      <c r="FQ75" s="688">
        <f>INPUT!GJ452</f>
        <v>8.2350118901335847</v>
      </c>
      <c r="FR75" s="670">
        <f>INPUT!GK452</f>
        <v>-5.4402629855279994</v>
      </c>
      <c r="FS75" s="688">
        <f>INPUT!GL452</f>
        <v>7.8513243563911956</v>
      </c>
      <c r="FT75" s="670">
        <f>INPUT!GM452</f>
        <v>-4.6592225835409788</v>
      </c>
      <c r="FU75" s="688">
        <f>INPUT!GN452</f>
        <v>7.4563401801896898</v>
      </c>
      <c r="FV75" s="670">
        <f>INPUT!GO452</f>
        <v>-5.0307968219396981</v>
      </c>
      <c r="FW75" s="688">
        <f>INPUT!GP452</f>
        <v>7.062517214371236</v>
      </c>
      <c r="FX75" s="670">
        <f>INPUT!GQ452</f>
        <v>-5.2817193998843877</v>
      </c>
      <c r="FY75" s="688">
        <f>INPUT!GR452</f>
        <v>6.7208932025049091</v>
      </c>
      <c r="FZ75" s="670">
        <f>INPUT!GS452</f>
        <v>-4.8371423601088033</v>
      </c>
      <c r="GA75" s="988">
        <f>INPUT!GT452</f>
        <v>-5.0502547424430277</v>
      </c>
    </row>
    <row r="76" spans="1:183" s="707" customFormat="1" ht="12.75" customHeight="1" x14ac:dyDescent="0.2">
      <c r="A76" s="993" t="str">
        <f>INPUT!B453</f>
        <v>Corporate &amp; Other (%)</v>
      </c>
      <c r="B76" s="825">
        <f>INPUT!M453</f>
        <v>-7.195914577530182</v>
      </c>
      <c r="C76" s="824">
        <f>INPUT!N453</f>
        <v>-47.546178947714012</v>
      </c>
      <c r="D76" s="825">
        <f>INPUT!O453</f>
        <v>-8.7357330992098419</v>
      </c>
      <c r="E76" s="665">
        <f>INPUT!P453</f>
        <v>-14.494483397595904</v>
      </c>
      <c r="F76" s="825">
        <f>INPUT!Q453</f>
        <v>-7.9741379310344893</v>
      </c>
      <c r="G76" s="665" t="str">
        <f>INPUT!R453</f>
        <v>NM</v>
      </c>
      <c r="H76" s="825">
        <f>INPUT!S453</f>
        <v>-16.204315279612498</v>
      </c>
      <c r="I76" s="665">
        <f>INPUT!T453</f>
        <v>26.270304531790178</v>
      </c>
      <c r="J76" s="825">
        <f>INPUT!U453</f>
        <v>12.746386333771332</v>
      </c>
      <c r="K76" s="665" t="str">
        <f>INPUT!V453</f>
        <v>NM</v>
      </c>
      <c r="L76" s="825">
        <f>INPUT!W453</f>
        <v>-20.500305064063433</v>
      </c>
      <c r="M76" s="665" t="str">
        <f>INPUT!X453</f>
        <v>NM</v>
      </c>
      <c r="N76" s="825">
        <f>INPUT!Y453</f>
        <v>-19.769452449567691</v>
      </c>
      <c r="O76" s="665" t="str">
        <f>INPUT!Z453</f>
        <v>NM</v>
      </c>
      <c r="P76" s="825">
        <f>INPUT!AA453</f>
        <v>15.183423913043478</v>
      </c>
      <c r="Q76" s="665" t="str">
        <f>INPUT!AB453</f>
        <v>NM</v>
      </c>
      <c r="R76" s="825">
        <f>INPUT!AC453</f>
        <v>4.5128849780012539</v>
      </c>
      <c r="S76" s="665" t="str">
        <f>INPUT!AD453</f>
        <v>NM</v>
      </c>
      <c r="T76" s="825">
        <f>INPUT!AE453</f>
        <v>-8.1067472306142871</v>
      </c>
      <c r="U76" s="665" t="str">
        <f>INPUT!AF453</f>
        <v>NM</v>
      </c>
      <c r="V76" s="825">
        <f>INPUT!AG453</f>
        <v>-17.245870890428815</v>
      </c>
      <c r="W76" s="665">
        <f>INPUT!AH453</f>
        <v>-12.765055408472181</v>
      </c>
      <c r="X76" s="825">
        <f>INPUT!AI453</f>
        <v>-19.936409727593002</v>
      </c>
      <c r="Y76" s="665" t="str">
        <f>INPUT!AJ453</f>
        <v>NM</v>
      </c>
      <c r="Z76" s="825">
        <f>INPUT!AK453</f>
        <v>-33.495670995670892</v>
      </c>
      <c r="AA76" s="665" t="str">
        <f>INPUT!AL453</f>
        <v>NM</v>
      </c>
      <c r="AB76" s="825">
        <f>INPUT!AM453</f>
        <v>-11.832251622566169</v>
      </c>
      <c r="AC76" s="665">
        <f>INPUT!AN453</f>
        <v>45.955600760350613</v>
      </c>
      <c r="AD76" s="825">
        <f>INPUT!AO453</f>
        <v>-9.2822966507176954</v>
      </c>
      <c r="AE76" s="665">
        <f>INPUT!AP453</f>
        <v>-46.176701021986531</v>
      </c>
      <c r="AF76" s="825">
        <f>INPUT!AQ453</f>
        <v>-18.056593699946617</v>
      </c>
      <c r="AG76" s="665">
        <f>INPUT!AR453</f>
        <v>-9.4290599628107703</v>
      </c>
      <c r="AH76" s="825">
        <f>INPUT!AS453</f>
        <v>-13.931581556767474</v>
      </c>
      <c r="AI76" s="665" t="str">
        <f>INPUT!AT453</f>
        <v>NM</v>
      </c>
      <c r="AJ76" s="825">
        <f>INPUT!AU453</f>
        <v>-12.563510392609716</v>
      </c>
      <c r="AK76" s="665">
        <f>INPUT!AV453</f>
        <v>6.1802165248828089</v>
      </c>
      <c r="AL76" s="825">
        <f>INPUT!AW453</f>
        <v>-8.1799591002044956</v>
      </c>
      <c r="AM76" s="665">
        <f>INPUT!AX453</f>
        <v>-11.875698353466957</v>
      </c>
      <c r="AN76" s="825">
        <f>INPUT!AY453</f>
        <v>-9.773584905660373</v>
      </c>
      <c r="AO76" s="667">
        <f>INPUT!AZ453</f>
        <v>-45.872488088995055</v>
      </c>
      <c r="AP76" s="826">
        <f>INPUT!BA453</f>
        <v>-10.546282245827014</v>
      </c>
      <c r="AQ76" s="667">
        <f>INPUT!BB453</f>
        <v>-24.29946160201748</v>
      </c>
      <c r="AR76" s="826">
        <f>INPUT!BC453</f>
        <v>-16.551724137931036</v>
      </c>
      <c r="AS76" s="667">
        <f>INPUT!BD453</f>
        <v>31.744421906693553</v>
      </c>
      <c r="AT76" s="826">
        <f>INPUT!BE453</f>
        <v>-6.8307692307692349</v>
      </c>
      <c r="AU76" s="667">
        <f>INPUT!BF453</f>
        <v>-16.493846153846071</v>
      </c>
      <c r="AV76" s="826">
        <f>INPUT!BG453</f>
        <v>-3.1290743155149912</v>
      </c>
      <c r="AW76" s="667" t="str">
        <f>INPUT!BH453</f>
        <v>NM</v>
      </c>
      <c r="AX76" s="826">
        <f>INPUT!BI453</f>
        <v>9.5785440613025921E-2</v>
      </c>
      <c r="AY76" s="667" t="str">
        <f>INPUT!BJ453</f>
        <v>NM</v>
      </c>
      <c r="AZ76" s="826">
        <f>INPUT!BK453</f>
        <v>-1.9653857436198301</v>
      </c>
      <c r="BA76" s="667" t="str">
        <f>INPUT!BL453</f>
        <v>NM</v>
      </c>
      <c r="BB76" s="826">
        <f>INPUT!BM453</f>
        <v>-2.2113022113022174</v>
      </c>
      <c r="BC76" s="667" t="str">
        <f>INPUT!BN453</f>
        <v>NM</v>
      </c>
      <c r="BD76" s="826">
        <f>INPUT!BO453</f>
        <v>-0.12894906511927734</v>
      </c>
      <c r="BE76" s="667" t="str">
        <f>INPUT!BP453</f>
        <v>NM</v>
      </c>
      <c r="BF76" s="826">
        <f>INPUT!BQ453</f>
        <v>-4.0926395939086317</v>
      </c>
      <c r="BG76" s="667" t="str">
        <f>INPUT!BR453</f>
        <v>NM</v>
      </c>
      <c r="BH76" s="826">
        <f>INPUT!BS453</f>
        <v>-4.93979623340537</v>
      </c>
      <c r="BI76" s="667" t="str">
        <f>INPUT!BT453</f>
        <v>NM</v>
      </c>
      <c r="BJ76" s="826">
        <f>INPUT!BU453</f>
        <v>-4.285267438223336</v>
      </c>
      <c r="BK76" s="667">
        <f>INPUT!BV453</f>
        <v>93.789316372988111</v>
      </c>
      <c r="BL76" s="826">
        <f>INPUT!BW453</f>
        <v>-5.1584835301429521</v>
      </c>
      <c r="BM76" s="667" t="str">
        <f>INPUT!BX453</f>
        <v>NM</v>
      </c>
      <c r="BN76" s="826">
        <f>INPUT!BY453</f>
        <v>-2.6756836224639802</v>
      </c>
      <c r="BO76" s="667">
        <f>INPUT!BZ453</f>
        <v>-34.622055984446042</v>
      </c>
      <c r="BP76" s="826">
        <f>INPUT!CA453</f>
        <v>-1.4260768335273561</v>
      </c>
      <c r="BQ76" s="667" t="str">
        <f>INPUT!CB453</f>
        <v>NM</v>
      </c>
      <c r="BR76" s="826">
        <f>INPUT!CC453</f>
        <v>-2.754237288135593</v>
      </c>
      <c r="BS76" s="667">
        <f>INPUT!CD453</f>
        <v>-35.727761969565783</v>
      </c>
      <c r="BT76" s="826">
        <f>INPUT!CE453</f>
        <v>-5.0382653061224438</v>
      </c>
      <c r="BU76" s="667">
        <f>INPUT!CF453</f>
        <v>-2.3304954511927378</v>
      </c>
      <c r="BV76" s="826">
        <f>INPUT!CG453</f>
        <v>-6.8082448469706458</v>
      </c>
      <c r="BW76" s="667" t="str">
        <f>INPUT!CH453</f>
        <v>NM</v>
      </c>
      <c r="BX76" s="826">
        <f>INPUT!CI453</f>
        <v>-4.9118751805836434</v>
      </c>
      <c r="BY76" s="667" t="str">
        <f>INPUT!CJ453</f>
        <v>NM</v>
      </c>
      <c r="BZ76" s="826">
        <f>INPUT!CK453</f>
        <v>-6.4878353087960079</v>
      </c>
      <c r="CA76" s="667" t="str">
        <f>INPUT!CL453</f>
        <v>NM</v>
      </c>
      <c r="CB76" s="826">
        <f>INPUT!CM453</f>
        <v>3.0479896238651083</v>
      </c>
      <c r="CC76" s="667" t="str">
        <f>INPUT!CN453</f>
        <v>NM</v>
      </c>
      <c r="CD76" s="826">
        <f>INPUT!CO453</f>
        <v>-6.6623544631306615</v>
      </c>
      <c r="CE76" s="667">
        <f>INPUT!CP453</f>
        <v>-2.1428486653927936</v>
      </c>
      <c r="CF76" s="826">
        <f>INPUT!CQ453</f>
        <v>-8.3521444695259639</v>
      </c>
      <c r="CG76" s="667">
        <f>INPUT!CR453</f>
        <v>70.039835347231644</v>
      </c>
      <c r="CH76" s="826">
        <f>INPUT!CS453</f>
        <v>-8.8187962664950099</v>
      </c>
      <c r="CI76" s="667">
        <f>INPUT!CT453</f>
        <v>35.928177069149037</v>
      </c>
      <c r="CJ76" s="826">
        <f>INPUT!CU453</f>
        <v>-11.172102034226672</v>
      </c>
      <c r="CK76" s="667" t="str">
        <f>INPUT!CV453</f>
        <v>NM</v>
      </c>
      <c r="CL76" s="688">
        <f>INPUT!CW453</f>
        <v>-8.3974358974358925</v>
      </c>
      <c r="CM76" s="670">
        <f>INPUT!CX453</f>
        <v>26.043066965396953</v>
      </c>
      <c r="CN76" s="688">
        <f>INPUT!CY453</f>
        <v>-9.3998094633216933</v>
      </c>
      <c r="CO76" s="670">
        <f>INPUT!CZ453</f>
        <v>12.543664655446163</v>
      </c>
      <c r="CP76" s="688">
        <f>INPUT!DA453</f>
        <v>-8.0278128950695304</v>
      </c>
      <c r="CQ76" s="670">
        <f>INPUT!DB453</f>
        <v>-8.9692895438648339</v>
      </c>
      <c r="CR76" s="688">
        <f>INPUT!DC453</f>
        <v>-11.195508586525763</v>
      </c>
      <c r="CS76" s="670">
        <f>INPUT!DD453</f>
        <v>0.20950893777538226</v>
      </c>
      <c r="CT76" s="688">
        <f>INPUT!DE453</f>
        <v>-8.1563558017851712</v>
      </c>
      <c r="CU76" s="670">
        <f>INPUT!DF453</f>
        <v>-2.8708774749246269</v>
      </c>
      <c r="CV76" s="688">
        <f>INPUT!DG453</f>
        <v>-8.7304027051952051</v>
      </c>
      <c r="CW76" s="670">
        <f>INPUT!DH453</f>
        <v>-7.1214928423659174</v>
      </c>
      <c r="CX76" s="688">
        <f>INPUT!DI453</f>
        <v>-7.9129886506935661</v>
      </c>
      <c r="CY76" s="670">
        <f>INPUT!DJ453</f>
        <v>-1.4303303512029575</v>
      </c>
      <c r="CZ76" s="688">
        <f>INPUT!DK453</f>
        <v>6.9187449718423153</v>
      </c>
      <c r="DA76" s="670" t="str">
        <f>INPUT!DL453</f>
        <v>NM</v>
      </c>
      <c r="DB76" s="688">
        <f>INPUT!DM453</f>
        <v>-10.33616085453974</v>
      </c>
      <c r="DC76" s="670">
        <f>INPUT!DN453</f>
        <v>26.725232514715437</v>
      </c>
      <c r="DD76" s="688">
        <f>INPUT!DO453</f>
        <v>-11.379310344827587</v>
      </c>
      <c r="DE76" s="670">
        <f>INPUT!DP453</f>
        <v>30.341185041282181</v>
      </c>
      <c r="DF76" s="688">
        <f>INPUT!DQ453</f>
        <v>-9.1858678955453072</v>
      </c>
      <c r="DG76" s="670">
        <f>INPUT!DR453</f>
        <v>16.085948066413238</v>
      </c>
      <c r="DH76" s="688">
        <f>INPUT!DS453</f>
        <v>-11.775759473849048</v>
      </c>
      <c r="DI76" s="670" t="str">
        <f>INPUT!DT453</f>
        <v>NM</v>
      </c>
      <c r="DJ76" s="688">
        <f>INPUT!DU453</f>
        <v>-11.056359716661539</v>
      </c>
      <c r="DK76" s="670">
        <f>INPUT!DV453</f>
        <v>6.9677598119564976</v>
      </c>
      <c r="DL76" s="688">
        <f>INPUT!DW453</f>
        <v>-11.854284861152586</v>
      </c>
      <c r="DM76" s="670">
        <f>INPUT!DX453</f>
        <v>4.174018476795438</v>
      </c>
      <c r="DN76" s="688">
        <f>INPUT!DY453</f>
        <v>-14.232326378075358</v>
      </c>
      <c r="DO76" s="670">
        <f>INPUT!DZ453</f>
        <v>54.937198530552948</v>
      </c>
      <c r="DP76" s="688">
        <f>INPUT!EA453</f>
        <v>-12.164527421236876</v>
      </c>
      <c r="DQ76" s="670">
        <f>INPUT!EB453</f>
        <v>3.3014256808759024</v>
      </c>
      <c r="DR76" s="688">
        <f>INPUT!EC453</f>
        <v>-11.709326272433078</v>
      </c>
      <c r="DS76" s="670">
        <f>INPUT!ED453</f>
        <v>5.9058005754601295</v>
      </c>
      <c r="DT76" s="688">
        <f>INPUT!EE453</f>
        <v>-10.636492220650631</v>
      </c>
      <c r="DU76" s="670">
        <f>INPUT!EF453</f>
        <v>-10.273016506400623</v>
      </c>
      <c r="DV76" s="688">
        <f>INPUT!EG453</f>
        <v>-10.157126823793492</v>
      </c>
      <c r="DW76" s="670">
        <f>INPUT!EH453</f>
        <v>-28.633404308094267</v>
      </c>
      <c r="DX76" s="688">
        <f>INPUT!EI453</f>
        <v>-8.9031912040761636</v>
      </c>
      <c r="DY76" s="670">
        <f>INPUT!EJ453</f>
        <v>-26.810217152102922</v>
      </c>
      <c r="DZ76" s="688">
        <f>INPUT!EK453</f>
        <v>-10.071138545499601</v>
      </c>
      <c r="EA76" s="670">
        <f>INPUT!EL453</f>
        <v>-13.9904524719771</v>
      </c>
      <c r="EB76" s="688">
        <f>INPUT!EM453</f>
        <v>-10.00494427806963</v>
      </c>
      <c r="EC76" s="670">
        <f>INPUT!EN453</f>
        <v>-5.9375584495314886</v>
      </c>
      <c r="ED76" s="688">
        <f>INPUT!EO453</f>
        <v>-10.459035965440224</v>
      </c>
      <c r="EE76" s="670">
        <f>INPUT!EP453</f>
        <v>2.9723872398589757</v>
      </c>
      <c r="EF76" s="688">
        <f>INPUT!EQ453</f>
        <v>-10.391433670292445</v>
      </c>
      <c r="EG76" s="670">
        <f>INPUT!ER453</f>
        <v>16.715831796748514</v>
      </c>
      <c r="EH76" s="670"/>
      <c r="EI76" s="698">
        <f>INPUT!FB453</f>
        <v>100</v>
      </c>
      <c r="EJ76" s="671" t="str">
        <f>INPUT!FC453</f>
        <v>NA</v>
      </c>
      <c r="EK76" s="698">
        <f>INPUT!FD453</f>
        <v>6.0815284214508614</v>
      </c>
      <c r="EL76" s="671" t="str">
        <f>INPUT!FE453</f>
        <v>NM</v>
      </c>
      <c r="EM76" s="698">
        <f>INPUT!FF453</f>
        <v>-62.002945508100694</v>
      </c>
      <c r="EN76" s="671" t="str">
        <f>INPUT!FG453</f>
        <v>NM</v>
      </c>
      <c r="EO76" s="698">
        <f>INPUT!FH453</f>
        <v>-33.629629629629612</v>
      </c>
      <c r="EP76" s="671">
        <f>INPUT!FI453</f>
        <v>-45.761238673353198</v>
      </c>
      <c r="EQ76" s="698">
        <f>INPUT!FJ453</f>
        <v>-17.765549014589173</v>
      </c>
      <c r="ER76" s="670">
        <f>INPUT!FK453</f>
        <v>-47.17292693899693</v>
      </c>
      <c r="ES76" s="688">
        <f>INPUT!FL453</f>
        <v>-10.908698932844665</v>
      </c>
      <c r="ET76" s="670">
        <f>INPUT!FM453</f>
        <v>-38.596330888021654</v>
      </c>
      <c r="EU76" s="688">
        <f>INPUT!FN453</f>
        <v>-8.9845418054488029</v>
      </c>
      <c r="EV76" s="670">
        <f>INPUT!FO453</f>
        <v>-17.638740781473739</v>
      </c>
      <c r="EW76" s="688">
        <f>INPUT!FP453</f>
        <v>-1.0853554539111538</v>
      </c>
      <c r="EX76" s="670" t="str">
        <f>INPUT!FQ453</f>
        <v>NM</v>
      </c>
      <c r="EY76" s="688">
        <f>INPUT!FR453</f>
        <v>-3.6786501482100809</v>
      </c>
      <c r="EZ76" s="670" t="str">
        <f>INPUT!FS453</f>
        <v>NM</v>
      </c>
      <c r="FA76" s="688">
        <f>INPUT!FT453</f>
        <v>-2.9298787376666438</v>
      </c>
      <c r="FB76" s="670">
        <f>INPUT!FU453</f>
        <v>-20.354515389504122</v>
      </c>
      <c r="FC76" s="688">
        <f>INPUT!FV453</f>
        <v>-21.183463928667933</v>
      </c>
      <c r="FD76" s="670" t="str">
        <f>INPUT!FW453</f>
        <v>NM</v>
      </c>
      <c r="FE76" s="688">
        <f>INPUT!FX453</f>
        <v>-6.8800764452938408</v>
      </c>
      <c r="FF76" s="670" t="str">
        <f>INPUT!FY453</f>
        <v>NM</v>
      </c>
      <c r="FG76" s="688">
        <f>INPUT!FZ453</f>
        <v>-9.2368188748896554</v>
      </c>
      <c r="FH76" s="670">
        <f>INPUT!GA453</f>
        <v>34.25459656350025</v>
      </c>
      <c r="FI76" s="688">
        <f>INPUT!GB453</f>
        <v>-17.796467619848613</v>
      </c>
      <c r="FJ76" s="670">
        <f>INPUT!GC453</f>
        <v>92.668794970402772</v>
      </c>
      <c r="FK76" s="688">
        <f>INPUT!GD453</f>
        <v>-10.662194836596212</v>
      </c>
      <c r="FL76" s="670">
        <f>INPUT!GE453</f>
        <v>-40.088139599655506</v>
      </c>
      <c r="FM76" s="688">
        <f>INPUT!GF453</f>
        <v>-12.315829240649782</v>
      </c>
      <c r="FN76" s="670">
        <f>INPUT!GG453</f>
        <v>15.509324575252958</v>
      </c>
      <c r="FO76" s="688">
        <f>INPUT!GH453</f>
        <v>-10.31840865959092</v>
      </c>
      <c r="FP76" s="670">
        <f>INPUT!GI453</f>
        <v>-16.218319871358311</v>
      </c>
      <c r="FQ76" s="688">
        <f>INPUT!GJ453</f>
        <v>-10.232546193172738</v>
      </c>
      <c r="FR76" s="670">
        <f>INPUT!GK453</f>
        <v>-0.83212895758275618</v>
      </c>
      <c r="FS76" s="688">
        <f>INPUT!GL453</f>
        <v>-10.233887865808287</v>
      </c>
      <c r="FT76" s="670">
        <f>INPUT!GM453</f>
        <v>1.3111816064359516E-2</v>
      </c>
      <c r="FU76" s="688">
        <f>INPUT!GN453</f>
        <v>-10.071391568970611</v>
      </c>
      <c r="FV76" s="670">
        <f>INPUT!GO453</f>
        <v>-1.5878256530500012</v>
      </c>
      <c r="FW76" s="688">
        <f>INPUT!GP453</f>
        <v>-9.8848492507203662</v>
      </c>
      <c r="FX76" s="670">
        <f>INPUT!GQ453</f>
        <v>-1.8522000358418333</v>
      </c>
      <c r="FY76" s="688">
        <f>INPUT!GR453</f>
        <v>-9.7468697959511008</v>
      </c>
      <c r="FZ76" s="670">
        <f>INPUT!GS453</f>
        <v>-1.3958680731444684</v>
      </c>
      <c r="GA76" s="988">
        <f>INPUT!GT453</f>
        <v>-1.1331976259939758</v>
      </c>
    </row>
    <row r="77" spans="1:183" s="707" customFormat="1" ht="12.75" customHeight="1" x14ac:dyDescent="0.2">
      <c r="A77" s="991" t="str">
        <f>INPUT!B454</f>
        <v>Total (%)</v>
      </c>
      <c r="B77" s="825">
        <f>INPUT!M454</f>
        <v>20.148560817084505</v>
      </c>
      <c r="C77" s="824" t="str">
        <f>INPUT!N454</f>
        <v>NM</v>
      </c>
      <c r="D77" s="825">
        <f>INPUT!O454</f>
        <v>14.749780509218617</v>
      </c>
      <c r="E77" s="665" t="str">
        <f>INPUT!P454</f>
        <v>NM</v>
      </c>
      <c r="F77" s="825">
        <f>INPUT!Q454</f>
        <v>15.086206896551703</v>
      </c>
      <c r="G77" s="665" t="str">
        <f>INPUT!R454</f>
        <v>NM</v>
      </c>
      <c r="H77" s="825">
        <f>INPUT!S454</f>
        <v>7.8379568472038805</v>
      </c>
      <c r="I77" s="665" t="str">
        <f>INPUT!T454</f>
        <v>NM</v>
      </c>
      <c r="J77" s="825">
        <f>INPUT!U454</f>
        <v>-11.465177398160302</v>
      </c>
      <c r="K77" s="665" t="str">
        <f>INPUT!V454</f>
        <v>NM</v>
      </c>
      <c r="L77" s="825">
        <f>INPUT!W454</f>
        <v>22.39170225747403</v>
      </c>
      <c r="M77" s="665">
        <f>INPUT!X454</f>
        <v>51.810409947993527</v>
      </c>
      <c r="N77" s="825">
        <f>INPUT!Y454</f>
        <v>29.394812680115255</v>
      </c>
      <c r="O77" s="665">
        <f>INPUT!Z454</f>
        <v>94.845615479621387</v>
      </c>
      <c r="P77" s="825">
        <f>INPUT!AA454</f>
        <v>-16.032608695652158</v>
      </c>
      <c r="Q77" s="665" t="str">
        <f>INPUT!AB454</f>
        <v>NM</v>
      </c>
      <c r="R77" s="825">
        <f>INPUT!AC454</f>
        <v>100</v>
      </c>
      <c r="S77" s="665" t="str">
        <f>INPUT!AD454</f>
        <v>NM</v>
      </c>
      <c r="T77" s="825">
        <f>INPUT!AE454</f>
        <v>100</v>
      </c>
      <c r="U77" s="665" t="str">
        <f>INPUT!AF454</f>
        <v>NM</v>
      </c>
      <c r="V77" s="825">
        <f>INPUT!AG454</f>
        <v>100</v>
      </c>
      <c r="W77" s="665" t="str">
        <f>INPUT!AH454</f>
        <v>NM</v>
      </c>
      <c r="X77" s="825">
        <f>INPUT!AI454</f>
        <v>100</v>
      </c>
      <c r="Y77" s="665" t="str">
        <f>INPUT!AJ454</f>
        <v>NM</v>
      </c>
      <c r="Z77" s="825">
        <f>INPUT!AK454</f>
        <v>82.683982683982734</v>
      </c>
      <c r="AA77" s="665">
        <f>INPUT!AL454</f>
        <v>-17.316017316017263</v>
      </c>
      <c r="AB77" s="825">
        <f>INPUT!AM454</f>
        <v>100</v>
      </c>
      <c r="AC77" s="665">
        <f>INPUT!AN454</f>
        <v>0</v>
      </c>
      <c r="AD77" s="825">
        <f>INPUT!AO454</f>
        <v>99.999999999999986</v>
      </c>
      <c r="AE77" s="665">
        <f>INPUT!AP454</f>
        <v>-1.1102230246251565E-14</v>
      </c>
      <c r="AF77" s="825">
        <f>INPUT!AQ454</f>
        <v>107.97650827549388</v>
      </c>
      <c r="AG77" s="665">
        <f>INPUT!AR454</f>
        <v>7.9765082754938765</v>
      </c>
      <c r="AH77" s="825">
        <f>INPUT!AS454</f>
        <v>100</v>
      </c>
      <c r="AI77" s="665">
        <f>INPUT!AT454</f>
        <v>20.942408376963286</v>
      </c>
      <c r="AJ77" s="825">
        <f>INPUT!AU454</f>
        <v>100.00000000000001</v>
      </c>
      <c r="AK77" s="665">
        <f>INPUT!AV454</f>
        <v>2.2204460492503131E-14</v>
      </c>
      <c r="AL77" s="825">
        <f>INPUT!AW454</f>
        <v>100</v>
      </c>
      <c r="AM77" s="665">
        <f>INPUT!AX454</f>
        <v>2.2204460492503131E-14</v>
      </c>
      <c r="AN77" s="825">
        <f>INPUT!AY454</f>
        <v>93.584905660377345</v>
      </c>
      <c r="AO77" s="667">
        <f>INPUT!AZ454</f>
        <v>-13.328457129209493</v>
      </c>
      <c r="AP77" s="826">
        <f>INPUT!BA454</f>
        <v>100.00000000000001</v>
      </c>
      <c r="AQ77" s="667">
        <f>INPUT!BB454</f>
        <v>2.2204460492503131E-14</v>
      </c>
      <c r="AR77" s="826">
        <f>INPUT!BC454</f>
        <v>100</v>
      </c>
      <c r="AS77" s="667">
        <f>INPUT!BD454</f>
        <v>-1.1102230246251565E-14</v>
      </c>
      <c r="AT77" s="826">
        <f>INPUT!BE454</f>
        <v>100</v>
      </c>
      <c r="AU77" s="667">
        <f>INPUT!BF454</f>
        <v>0</v>
      </c>
      <c r="AV77" s="826">
        <f>INPUT!BG454</f>
        <v>103.74837027379402</v>
      </c>
      <c r="AW77" s="667">
        <f>INPUT!BH454</f>
        <v>10.860153719981525</v>
      </c>
      <c r="AX77" s="826">
        <f>INPUT!BI454</f>
        <v>100.00000000000001</v>
      </c>
      <c r="AY77" s="667">
        <f>INPUT!BJ454</f>
        <v>0</v>
      </c>
      <c r="AZ77" s="826">
        <f>INPUT!BK454</f>
        <v>96.186564975065991</v>
      </c>
      <c r="BA77" s="667">
        <f>INPUT!BL454</f>
        <v>-3.8134350249340088</v>
      </c>
      <c r="BB77" s="826">
        <f>INPUT!BM454</f>
        <v>98.249385749385766</v>
      </c>
      <c r="BC77" s="667">
        <f>INPUT!BN454</f>
        <v>-1.7506142506142353</v>
      </c>
      <c r="BD77" s="826">
        <f>INPUT!BO454</f>
        <v>100.00000000000001</v>
      </c>
      <c r="BE77" s="667">
        <f>INPUT!BP454</f>
        <v>-3.6129437637449024</v>
      </c>
      <c r="BF77" s="826">
        <f>INPUT!BQ454</f>
        <v>100</v>
      </c>
      <c r="BG77" s="667">
        <f>INPUT!BR454</f>
        <v>-1.1102230246251565E-14</v>
      </c>
      <c r="BH77" s="826">
        <f>INPUT!BS454</f>
        <v>99.999999999999986</v>
      </c>
      <c r="BI77" s="667">
        <f>INPUT!BT454</f>
        <v>3.9646233607807169</v>
      </c>
      <c r="BJ77" s="826">
        <f>INPUT!BU454</f>
        <v>100</v>
      </c>
      <c r="BK77" s="667">
        <f>INPUT!BV454</f>
        <v>1.7818068146295607</v>
      </c>
      <c r="BL77" s="826">
        <f>INPUT!BW454</f>
        <v>99.999999999999972</v>
      </c>
      <c r="BM77" s="667">
        <f>INPUT!BX454</f>
        <v>-4.4408920985006262E-14</v>
      </c>
      <c r="BN77" s="826">
        <f>INPUT!BY454</f>
        <v>100.00000000000001</v>
      </c>
      <c r="BO77" s="667">
        <f>INPUT!BZ454</f>
        <v>2.2204460492503131E-14</v>
      </c>
      <c r="BP77" s="826">
        <f>INPUT!CA454</f>
        <v>99.999999999999986</v>
      </c>
      <c r="BQ77" s="667">
        <f>INPUT!CB454</f>
        <v>0</v>
      </c>
      <c r="BR77" s="826">
        <f>INPUT!CC454</f>
        <v>100</v>
      </c>
      <c r="BS77" s="667">
        <f>INPUT!CD454</f>
        <v>0</v>
      </c>
      <c r="BT77" s="826">
        <f>INPUT!CE454</f>
        <v>100.00000000000003</v>
      </c>
      <c r="BU77" s="667">
        <f>INPUT!CF454</f>
        <v>6.6613381477509392E-14</v>
      </c>
      <c r="BV77" s="826">
        <f>INPUT!CG454</f>
        <v>99.999999999999986</v>
      </c>
      <c r="BW77" s="667">
        <f>INPUT!CH454</f>
        <v>-3.3306690738754696E-14</v>
      </c>
      <c r="BX77" s="826">
        <f>INPUT!CI454</f>
        <v>98.844264663392096</v>
      </c>
      <c r="BY77" s="667">
        <f>INPUT!CJ454</f>
        <v>-1.1557353366078882</v>
      </c>
      <c r="BZ77" s="826">
        <f>INPUT!CK454</f>
        <v>98.284466625077982</v>
      </c>
      <c r="CA77" s="667">
        <f>INPUT!CL454</f>
        <v>-1.7155333749220181</v>
      </c>
      <c r="CB77" s="826">
        <f>INPUT!CM454</f>
        <v>-54.523346303501881</v>
      </c>
      <c r="CC77" s="667" t="str">
        <f>INPUT!CN454</f>
        <v>NM</v>
      </c>
      <c r="CD77" s="826">
        <f>INPUT!CO454</f>
        <v>100.00000000000003</v>
      </c>
      <c r="CE77" s="667">
        <f>INPUT!CP454</f>
        <v>4.4408920985006262E-14</v>
      </c>
      <c r="CF77" s="826">
        <f>INPUT!CQ454</f>
        <v>100.00000000000001</v>
      </c>
      <c r="CG77" s="667">
        <f>INPUT!CR454</f>
        <v>1.1692487576731914</v>
      </c>
      <c r="CH77" s="826">
        <f>INPUT!CS454</f>
        <v>100</v>
      </c>
      <c r="CI77" s="667">
        <f>INPUT!CT454</f>
        <v>1.7454776261504268</v>
      </c>
      <c r="CJ77" s="826">
        <f>INPUT!CU454</f>
        <v>100.00000000000001</v>
      </c>
      <c r="CK77" s="667" t="str">
        <f>INPUT!CV454</f>
        <v>NM</v>
      </c>
      <c r="CL77" s="688">
        <f>INPUT!CW454</f>
        <v>100.32051282051282</v>
      </c>
      <c r="CM77" s="670">
        <f>INPUT!CX454</f>
        <v>0.32051282051279717</v>
      </c>
      <c r="CN77" s="688">
        <f>INPUT!CY454</f>
        <v>100.00000000000001</v>
      </c>
      <c r="CO77" s="670">
        <f>INPUT!CZ454</f>
        <v>0</v>
      </c>
      <c r="CP77" s="688">
        <f>INPUT!DA454</f>
        <v>99.999999999999986</v>
      </c>
      <c r="CQ77" s="670">
        <f>INPUT!DB454</f>
        <v>-1.1102230246251565E-14</v>
      </c>
      <c r="CR77" s="688">
        <f>INPUT!DC454</f>
        <v>103.46763540290621</v>
      </c>
      <c r="CS77" s="670">
        <f>INPUT!DD454</f>
        <v>3.4676354029061995</v>
      </c>
      <c r="CT77" s="688">
        <f>INPUT!DE454</f>
        <v>100.00000000000001</v>
      </c>
      <c r="CU77" s="670">
        <f>INPUT!DF454</f>
        <v>-0.31948881789135575</v>
      </c>
      <c r="CV77" s="688">
        <f>INPUT!DG454</f>
        <v>104.05779280664002</v>
      </c>
      <c r="CW77" s="670">
        <f>INPUT!DH454</f>
        <v>4.0577928066400037</v>
      </c>
      <c r="CX77" s="688">
        <f>INPUT!DI454</f>
        <v>100.00000000000001</v>
      </c>
      <c r="CY77" s="670">
        <f>INPUT!DJ454</f>
        <v>2.2204460492503131E-14</v>
      </c>
      <c r="CZ77" s="688">
        <f>INPUT!DK454</f>
        <v>-87.235183695360689</v>
      </c>
      <c r="DA77" s="670" t="str">
        <f>INPUT!DL454</f>
        <v>NM</v>
      </c>
      <c r="DB77" s="688">
        <f>INPUT!DM454</f>
        <v>99.999999999999986</v>
      </c>
      <c r="DC77" s="670">
        <f>INPUT!DN454</f>
        <v>-3.3306690738754696E-14</v>
      </c>
      <c r="DD77" s="688">
        <f>INPUT!DO454</f>
        <v>100.00000000000001</v>
      </c>
      <c r="DE77" s="670">
        <f>INPUT!DP454</f>
        <v>-3.8995568685376458</v>
      </c>
      <c r="DF77" s="688">
        <f>INPUT!DQ454</f>
        <v>99.999999999999972</v>
      </c>
      <c r="DG77" s="670">
        <f>INPUT!DR454</f>
        <v>-4.4408920985006262E-14</v>
      </c>
      <c r="DH77" s="688">
        <f>INPUT!DS454</f>
        <v>100.00000000000001</v>
      </c>
      <c r="DI77" s="670" t="str">
        <f>INPUT!DT454</f>
        <v>NM</v>
      </c>
      <c r="DJ77" s="688">
        <f>INPUT!DU454</f>
        <v>100</v>
      </c>
      <c r="DK77" s="670">
        <f>INPUT!DV454</f>
        <v>2.2204460492503131E-14</v>
      </c>
      <c r="DL77" s="688">
        <f>INPUT!DW454</f>
        <v>100</v>
      </c>
      <c r="DM77" s="670">
        <f>INPUT!DX454</f>
        <v>-1.1102230246251565E-14</v>
      </c>
      <c r="DN77" s="688">
        <f>INPUT!DY454</f>
        <v>100.00000000000001</v>
      </c>
      <c r="DO77" s="670">
        <f>INPUT!DZ454</f>
        <v>4.4408920985006262E-14</v>
      </c>
      <c r="DP77" s="688">
        <f>INPUT!EA454</f>
        <v>100</v>
      </c>
      <c r="DQ77" s="670">
        <f>INPUT!EB454</f>
        <v>-1.1102230246251565E-14</v>
      </c>
      <c r="DR77" s="688">
        <f>INPUT!EC454</f>
        <v>100.00000000000003</v>
      </c>
      <c r="DS77" s="670">
        <f>INPUT!ED454</f>
        <v>2.2204460492503131E-14</v>
      </c>
      <c r="DT77" s="688">
        <f>INPUT!EE454</f>
        <v>100</v>
      </c>
      <c r="DU77" s="670">
        <f>INPUT!EF454</f>
        <v>0</v>
      </c>
      <c r="DV77" s="688">
        <f>INPUT!EG454</f>
        <v>100</v>
      </c>
      <c r="DW77" s="670">
        <f>INPUT!EH454</f>
        <v>-1.1102230246251565E-14</v>
      </c>
      <c r="DX77" s="688">
        <f>INPUT!EI454</f>
        <v>94.770716009654066</v>
      </c>
      <c r="DY77" s="670">
        <f>INPUT!EJ454</f>
        <v>-5.2292839903459338</v>
      </c>
      <c r="DZ77" s="688">
        <f>INPUT!EK454</f>
        <v>100</v>
      </c>
      <c r="EA77" s="670">
        <f>INPUT!EL454</f>
        <v>-3.3306690738754696E-14</v>
      </c>
      <c r="EB77" s="688">
        <f>INPUT!EM454</f>
        <v>100</v>
      </c>
      <c r="EC77" s="670">
        <f>INPUT!EN454</f>
        <v>0</v>
      </c>
      <c r="ED77" s="688">
        <f>INPUT!EO454</f>
        <v>99.999999999999986</v>
      </c>
      <c r="EE77" s="670">
        <f>INPUT!EP454</f>
        <v>-1.1102230246251565E-14</v>
      </c>
      <c r="EF77" s="688">
        <f>INPUT!EQ454</f>
        <v>100.00000000000001</v>
      </c>
      <c r="EG77" s="670">
        <f>INPUT!ER454</f>
        <v>5.5178268251273366</v>
      </c>
      <c r="EH77" s="670"/>
      <c r="EI77" s="698">
        <f>INPUT!FB454</f>
        <v>100</v>
      </c>
      <c r="EJ77" s="671" t="str">
        <f>INPUT!FC454</f>
        <v>NA</v>
      </c>
      <c r="EK77" s="698">
        <f>INPUT!FD454</f>
        <v>99.999999999999986</v>
      </c>
      <c r="EL77" s="671">
        <f>INPUT!FE454</f>
        <v>-1.1102230246251565E-14</v>
      </c>
      <c r="EM77" s="698">
        <f>INPUT!FF454</f>
        <v>100.00000000000013</v>
      </c>
      <c r="EN77" s="671">
        <f>INPUT!FG454</f>
        <v>1.3322676295501878E-13</v>
      </c>
      <c r="EO77" s="698">
        <f>INPUT!FH454</f>
        <v>99.999999999999943</v>
      </c>
      <c r="EP77" s="671">
        <f>INPUT!FI454</f>
        <v>-1.8873791418627661E-13</v>
      </c>
      <c r="EQ77" s="698">
        <f>INPUT!FJ454</f>
        <v>97.81673918607629</v>
      </c>
      <c r="ER77" s="670">
        <f>INPUT!FK454</f>
        <v>-2.1832608139236487</v>
      </c>
      <c r="ES77" s="688">
        <f>INPUT!FL454</f>
        <v>98.167511048830448</v>
      </c>
      <c r="ET77" s="670">
        <f>INPUT!FM454</f>
        <v>0.35860105915705986</v>
      </c>
      <c r="EU77" s="688">
        <f>INPUT!FN454</f>
        <v>100.98215048253482</v>
      </c>
      <c r="EV77" s="670">
        <f>INPUT!FO454</f>
        <v>2.8671801939689656</v>
      </c>
      <c r="EW77" s="688">
        <f>INPUT!FP454</f>
        <v>98.550275215132956</v>
      </c>
      <c r="EX77" s="670">
        <f>INPUT!FQ454</f>
        <v>-2.4082228946218254</v>
      </c>
      <c r="EY77" s="688">
        <f>INPUT!FR454</f>
        <v>100.00000000000001</v>
      </c>
      <c r="EZ77" s="670">
        <f>INPUT!FS454</f>
        <v>1.4710509754562784</v>
      </c>
      <c r="FA77" s="688">
        <f>INPUT!FT454</f>
        <v>100.00000000000001</v>
      </c>
      <c r="FB77" s="670">
        <f>INPUT!FU454</f>
        <v>0</v>
      </c>
      <c r="FC77" s="688">
        <f>INPUT!FV454</f>
        <v>354.95811942718206</v>
      </c>
      <c r="FD77" s="670" t="str">
        <f>INPUT!FW454</f>
        <v>NM</v>
      </c>
      <c r="FE77" s="688">
        <f>INPUT!FX454</f>
        <v>100.00000000000004</v>
      </c>
      <c r="FF77" s="670" t="str">
        <f>INPUT!FY454</f>
        <v>NM</v>
      </c>
      <c r="FG77" s="688">
        <f>INPUT!FZ454</f>
        <v>100.92287938367706</v>
      </c>
      <c r="FH77" s="670">
        <f>INPUT!GA454</f>
        <v>0.92287938367701106</v>
      </c>
      <c r="FI77" s="688">
        <f>INPUT!GB454</f>
        <v>219.66358284272496</v>
      </c>
      <c r="FJ77" s="670" t="str">
        <f>INPUT!GC454</f>
        <v>NM</v>
      </c>
      <c r="FK77" s="688">
        <f>INPUT!GD454</f>
        <v>100</v>
      </c>
      <c r="FL77" s="670" t="str">
        <f>INPUT!GE454</f>
        <v>NM</v>
      </c>
      <c r="FM77" s="688">
        <f>INPUT!GF454</f>
        <v>100.00000000000001</v>
      </c>
      <c r="FN77" s="670">
        <f>INPUT!GG454</f>
        <v>2.2204460492503131E-14</v>
      </c>
      <c r="FO77" s="688">
        <f>INPUT!GH454</f>
        <v>98.629366697125192</v>
      </c>
      <c r="FP77" s="670">
        <f>INPUT!GI454</f>
        <v>-1.3706333028748241</v>
      </c>
      <c r="FQ77" s="688">
        <f>INPUT!GJ454</f>
        <v>99.999999999999972</v>
      </c>
      <c r="FR77" s="670">
        <f>INPUT!GK454</f>
        <v>1.3896807297605118</v>
      </c>
      <c r="FS77" s="688">
        <f>INPUT!GL454</f>
        <v>100.00000000000001</v>
      </c>
      <c r="FT77" s="670">
        <f>INPUT!GM454</f>
        <v>4.4408920985006262E-14</v>
      </c>
      <c r="FU77" s="688">
        <f>INPUT!GN454</f>
        <v>99.999999999999972</v>
      </c>
      <c r="FV77" s="670">
        <f>INPUT!GO454</f>
        <v>-4.4408920985006262E-14</v>
      </c>
      <c r="FW77" s="688">
        <f>INPUT!GP454</f>
        <v>99.999999999999986</v>
      </c>
      <c r="FX77" s="670">
        <f>INPUT!GQ454</f>
        <v>2.2204460492503131E-14</v>
      </c>
      <c r="FY77" s="688">
        <f>INPUT!GR454</f>
        <v>99.999999999999986</v>
      </c>
      <c r="FZ77" s="670">
        <f>INPUT!GS454</f>
        <v>0</v>
      </c>
      <c r="GA77" s="988">
        <f>INPUT!GT454</f>
        <v>0.27640393401302532</v>
      </c>
    </row>
    <row r="78" spans="1:183" s="836" customFormat="1" ht="12.75" hidden="1" customHeight="1" outlineLevel="1" x14ac:dyDescent="0.2">
      <c r="A78" s="1019" t="s">
        <v>517</v>
      </c>
      <c r="B78" s="827"/>
      <c r="C78" s="828"/>
      <c r="D78" s="827"/>
      <c r="E78" s="829"/>
      <c r="F78" s="827"/>
      <c r="G78" s="829"/>
      <c r="H78" s="827"/>
      <c r="I78" s="829"/>
      <c r="J78" s="827"/>
      <c r="K78" s="829"/>
      <c r="L78" s="827"/>
      <c r="M78" s="829"/>
      <c r="N78" s="827"/>
      <c r="O78" s="829"/>
      <c r="P78" s="827"/>
      <c r="Q78" s="829"/>
      <c r="R78" s="827"/>
      <c r="S78" s="829"/>
      <c r="T78" s="827"/>
      <c r="U78" s="829"/>
      <c r="V78" s="827"/>
      <c r="W78" s="829"/>
      <c r="X78" s="827"/>
      <c r="Y78" s="829"/>
      <c r="Z78" s="827"/>
      <c r="AA78" s="829"/>
      <c r="AB78" s="827"/>
      <c r="AC78" s="829"/>
      <c r="AD78" s="827"/>
      <c r="AE78" s="829"/>
      <c r="AF78" s="827"/>
      <c r="AG78" s="829"/>
      <c r="AH78" s="827"/>
      <c r="AI78" s="829"/>
      <c r="AJ78" s="827"/>
      <c r="AK78" s="829"/>
      <c r="AL78" s="827"/>
      <c r="AM78" s="829"/>
      <c r="AN78" s="827"/>
      <c r="AO78" s="830"/>
      <c r="AP78" s="827"/>
      <c r="AQ78" s="830"/>
      <c r="AR78" s="827"/>
      <c r="AS78" s="830"/>
      <c r="AT78" s="827"/>
      <c r="AU78" s="830"/>
      <c r="AV78" s="827"/>
      <c r="AW78" s="830"/>
      <c r="AX78" s="827"/>
      <c r="AY78" s="830"/>
      <c r="AZ78" s="827"/>
      <c r="BA78" s="830"/>
      <c r="BB78" s="827"/>
      <c r="BC78" s="830"/>
      <c r="BD78" s="827"/>
      <c r="BE78" s="830"/>
      <c r="BF78" s="827"/>
      <c r="BG78" s="830"/>
      <c r="BH78" s="827"/>
      <c r="BI78" s="830"/>
      <c r="BJ78" s="827"/>
      <c r="BK78" s="830"/>
      <c r="BL78" s="827"/>
      <c r="BM78" s="830"/>
      <c r="BN78" s="827"/>
      <c r="BO78" s="830"/>
      <c r="BP78" s="827"/>
      <c r="BQ78" s="830"/>
      <c r="BR78" s="827"/>
      <c r="BS78" s="830"/>
      <c r="BT78" s="827"/>
      <c r="BU78" s="830"/>
      <c r="BV78" s="827"/>
      <c r="BW78" s="830"/>
      <c r="BX78" s="827"/>
      <c r="BY78" s="830"/>
      <c r="BZ78" s="827"/>
      <c r="CA78" s="830"/>
      <c r="CB78" s="827"/>
      <c r="CC78" s="830"/>
      <c r="CD78" s="831">
        <f>(CD70+CD71+CD72+CD73+CD74+CD75+CD76)-CD77</f>
        <v>0</v>
      </c>
      <c r="CE78" s="830"/>
      <c r="CF78" s="831">
        <f>(CF70+CF71+CF72+CF73+CF74+CF75+CF76)-CF77</f>
        <v>0</v>
      </c>
      <c r="CG78" s="830"/>
      <c r="CH78" s="831">
        <f>(CH70+CH71+CH72+CH73+CH74+CH75+CH76)-CH77</f>
        <v>0</v>
      </c>
      <c r="CI78" s="830"/>
      <c r="CJ78" s="831">
        <f>(CJ70+CJ71+CJ72+CJ73+CJ74+CJ75+CJ76)-CJ77</f>
        <v>0</v>
      </c>
      <c r="CK78" s="830"/>
      <c r="CL78" s="832">
        <f>(CL70+CL71+CL72+CL73+CL74+CL75+CL76)-CL77</f>
        <v>0</v>
      </c>
      <c r="CM78" s="833"/>
      <c r="CN78" s="832">
        <f>(CN70+CN71+CN72+CN73+CN74+CN75+CN76)-CN77</f>
        <v>0</v>
      </c>
      <c r="CO78" s="833"/>
      <c r="CP78" s="832">
        <f>(CP70+CP71+CP72+CP73+CP74+CP75+CP76)-CP77</f>
        <v>0</v>
      </c>
      <c r="CQ78" s="833"/>
      <c r="CR78" s="832">
        <f>(CR70+CR71+CR72+CR73+CR74+CR75+CR76)-CR77</f>
        <v>0</v>
      </c>
      <c r="CS78" s="833"/>
      <c r="CT78" s="832">
        <f>(CT70+CT71+CT72+CT73+CT74+CT75+CT76)-CT77</f>
        <v>0</v>
      </c>
      <c r="CU78" s="833"/>
      <c r="CV78" s="832">
        <f>(CV70+CV71+CV72+CV73+CV74+CV75+CV76)-CV77</f>
        <v>0</v>
      </c>
      <c r="CW78" s="833"/>
      <c r="CX78" s="832">
        <f>(CX70+CX71+CX72+CX73+CX74+CX75+CX76)-CX77</f>
        <v>0</v>
      </c>
      <c r="CY78" s="833"/>
      <c r="CZ78" s="832">
        <f>(CZ70+CZ71+CZ72+CZ73+CZ74+CZ75+CZ76)-CZ77</f>
        <v>0</v>
      </c>
      <c r="DA78" s="833"/>
      <c r="DB78" s="832">
        <f>(DB70+DB71+DB72+DB73+DB74+DB75+DB76)-DB77</f>
        <v>0</v>
      </c>
      <c r="DC78" s="833"/>
      <c r="DD78" s="832">
        <f>(DD70+DD71+DD72+DD73+DD74+DD75+DD76)-DD77</f>
        <v>0</v>
      </c>
      <c r="DE78" s="833"/>
      <c r="DF78" s="832">
        <f>(DF70+DF71+DF72+DF73+DF74+DF75+DF76)-DF77</f>
        <v>0</v>
      </c>
      <c r="DG78" s="833"/>
      <c r="DH78" s="832">
        <f>(DH70+DH71+DH72+DH73+DH74+DH75+DH76)-DH77</f>
        <v>0</v>
      </c>
      <c r="DI78" s="833"/>
      <c r="DJ78" s="832">
        <f>(DJ70+DJ71+DJ72+DJ73+DJ74+DJ75+DJ76)-DJ77</f>
        <v>0</v>
      </c>
      <c r="DK78" s="833"/>
      <c r="DL78" s="832">
        <f>(DL70+DL71+DL72+DL73+DL74+DL75+DL76)-DL77</f>
        <v>0</v>
      </c>
      <c r="DM78" s="833"/>
      <c r="DN78" s="832">
        <f>(DN70+DN71+DN72+DN73+DN74+DN75+DN76)-DN77</f>
        <v>0</v>
      </c>
      <c r="DO78" s="833"/>
      <c r="DP78" s="832">
        <f>(DP70+DP71+DP72+DP73+DP74+DP75+DP76)-DP77</f>
        <v>0</v>
      </c>
      <c r="DQ78" s="833"/>
      <c r="DR78" s="832">
        <f t="shared" ref="DR78" si="68">(DR70+DR71+DR72+DR73+DR74+DR75+DR76)-DR77</f>
        <v>0</v>
      </c>
      <c r="DS78" s="833"/>
      <c r="DT78" s="832">
        <f t="shared" ref="DT78" si="69">(DT70+DT71+DT72+DT73+DT74+DT75+DT76)-DT77</f>
        <v>0</v>
      </c>
      <c r="DU78" s="833"/>
      <c r="DV78" s="832">
        <f t="shared" ref="DV78" si="70">(DV70+DV71+DV72+DV73+DV74+DV75+DV76)-DV77</f>
        <v>0</v>
      </c>
      <c r="DW78" s="833"/>
      <c r="DX78" s="832">
        <f t="shared" ref="DX78" si="71">(DX70+DX71+DX72+DX73+DX74+DX75+DX76)-DX77</f>
        <v>0</v>
      </c>
      <c r="DY78" s="833"/>
      <c r="DZ78" s="832">
        <f t="shared" ref="DZ78" si="72">(DZ70+DZ71+DZ72+DZ73+DZ74+DZ75+DZ76)-DZ77</f>
        <v>0</v>
      </c>
      <c r="EA78" s="833"/>
      <c r="EB78" s="832">
        <f t="shared" ref="EB78" si="73">(EB70+EB71+EB72+EB73+EB74+EB75+EB76)-EB77</f>
        <v>0</v>
      </c>
      <c r="EC78" s="833"/>
      <c r="ED78" s="832">
        <f t="shared" ref="ED78" si="74">(ED70+ED71+ED72+ED73+ED74+ED75+ED76)-ED77</f>
        <v>0</v>
      </c>
      <c r="EE78" s="833"/>
      <c r="EF78" s="832">
        <f t="shared" ref="EF78" si="75">(EF70+EF71+EF72+EF73+EF74+EF75+EF76)-EF77</f>
        <v>0</v>
      </c>
      <c r="EG78" s="833"/>
      <c r="EH78" s="833"/>
      <c r="EI78" s="834"/>
      <c r="EJ78" s="835"/>
      <c r="EK78" s="834"/>
      <c r="EL78" s="835"/>
      <c r="EM78" s="834"/>
      <c r="EN78" s="835"/>
      <c r="EO78" s="834"/>
      <c r="EP78" s="835"/>
      <c r="EQ78" s="834"/>
      <c r="ER78" s="833"/>
      <c r="ES78" s="834"/>
      <c r="ET78" s="833"/>
      <c r="EU78" s="834"/>
      <c r="EV78" s="833"/>
      <c r="EW78" s="834"/>
      <c r="EX78" s="833"/>
      <c r="EY78" s="834"/>
      <c r="EZ78" s="833"/>
      <c r="FA78" s="834"/>
      <c r="FB78" s="833"/>
      <c r="FC78" s="832">
        <f>(FC70+FC71+FC72+FC73+FC74+FC75+FC76)-FC77</f>
        <v>0</v>
      </c>
      <c r="FD78" s="833"/>
      <c r="FE78" s="832">
        <f>(FE70+FE71+FE72+FE73+FE74+FE75+FE76)-FE77</f>
        <v>0</v>
      </c>
      <c r="FF78" s="833"/>
      <c r="FG78" s="832">
        <f>(FG70+FG71+FG72+FG73+FG74+FG75+FG76)-FG77</f>
        <v>0</v>
      </c>
      <c r="FH78" s="833"/>
      <c r="FI78" s="832">
        <f>(FI70+FI71+FI72+FI73+FI74+FI75+FI76)-FI77</f>
        <v>0</v>
      </c>
      <c r="FJ78" s="833"/>
      <c r="FK78" s="832">
        <f>(FK70+FK71+FK72+FK73+FK74+FK75+FK76)-FK77</f>
        <v>0</v>
      </c>
      <c r="FL78" s="833"/>
      <c r="FM78" s="832">
        <f>(FM70+FM71+FM72+FM73+FM74+FM75+FM76)-FM77</f>
        <v>0</v>
      </c>
      <c r="FN78" s="833"/>
      <c r="FO78" s="832">
        <f>(FO70+FO71+FO72+FO73+FO74+FO75+FO76)-FO77</f>
        <v>0</v>
      </c>
      <c r="FP78" s="833"/>
      <c r="FQ78" s="832">
        <f>(FQ70+FQ71+FQ72+FQ73+FQ74+FQ75+FQ76)-FQ77</f>
        <v>0</v>
      </c>
      <c r="FR78" s="833"/>
      <c r="FS78" s="832">
        <f>(FS70+FS71+FS72+FS73+FS74+FS75+FS76)-FS77</f>
        <v>0</v>
      </c>
      <c r="FT78" s="833"/>
      <c r="FU78" s="832">
        <f>(FU70+FU71+FU72+FU73+FU74+FU75+FU76)-FU77</f>
        <v>0</v>
      </c>
      <c r="FV78" s="833"/>
      <c r="FW78" s="832">
        <f>(FW70+FW71+FW72+FW73+FW74+FW75+FW76)-FW77</f>
        <v>0</v>
      </c>
      <c r="FX78" s="833"/>
      <c r="FY78" s="832">
        <f>(FY70+FY71+FY72+FY73+FY74+FY75+FY76)-FY77</f>
        <v>0</v>
      </c>
      <c r="FZ78" s="833"/>
      <c r="GA78" s="1020"/>
    </row>
    <row r="79" spans="1:183" s="707" customFormat="1" ht="4.5" customHeight="1" collapsed="1" x14ac:dyDescent="0.2">
      <c r="A79" s="993"/>
      <c r="B79" s="664"/>
      <c r="C79" s="665"/>
      <c r="D79" s="664"/>
      <c r="E79" s="824"/>
      <c r="F79" s="664"/>
      <c r="G79" s="824"/>
      <c r="H79" s="664"/>
      <c r="I79" s="824"/>
      <c r="J79" s="664"/>
      <c r="K79" s="824"/>
      <c r="L79" s="664"/>
      <c r="M79" s="824"/>
      <c r="N79" s="664"/>
      <c r="O79" s="824"/>
      <c r="P79" s="664"/>
      <c r="Q79" s="824"/>
      <c r="R79" s="664"/>
      <c r="S79" s="824"/>
      <c r="T79" s="664"/>
      <c r="U79" s="824"/>
      <c r="V79" s="664"/>
      <c r="W79" s="824"/>
      <c r="X79" s="664"/>
      <c r="Y79" s="824"/>
      <c r="Z79" s="664"/>
      <c r="AA79" s="824"/>
      <c r="AB79" s="664"/>
      <c r="AC79" s="824"/>
      <c r="AD79" s="664"/>
      <c r="AE79" s="824"/>
      <c r="AF79" s="664"/>
      <c r="AG79" s="824"/>
      <c r="AH79" s="664"/>
      <c r="AI79" s="824"/>
      <c r="AJ79" s="664"/>
      <c r="AK79" s="824"/>
      <c r="AL79" s="664"/>
      <c r="AM79" s="824"/>
      <c r="AN79" s="664"/>
      <c r="AO79" s="667"/>
      <c r="AP79" s="664"/>
      <c r="AQ79" s="667"/>
      <c r="AR79" s="664"/>
      <c r="AS79" s="667"/>
      <c r="AT79" s="664"/>
      <c r="AU79" s="667"/>
      <c r="AV79" s="664"/>
      <c r="AW79" s="667"/>
      <c r="AX79" s="664"/>
      <c r="AY79" s="667"/>
      <c r="AZ79" s="664"/>
      <c r="BA79" s="667"/>
      <c r="BB79" s="664"/>
      <c r="BC79" s="667"/>
      <c r="BD79" s="664"/>
      <c r="BE79" s="667"/>
      <c r="BF79" s="664"/>
      <c r="BG79" s="667"/>
      <c r="BH79" s="664"/>
      <c r="BI79" s="667"/>
      <c r="BJ79" s="664"/>
      <c r="BK79" s="667"/>
      <c r="BL79" s="664"/>
      <c r="BM79" s="667"/>
      <c r="BN79" s="664"/>
      <c r="BO79" s="667"/>
      <c r="BP79" s="664"/>
      <c r="BQ79" s="667"/>
      <c r="BR79" s="664"/>
      <c r="BS79" s="667"/>
      <c r="BT79" s="664"/>
      <c r="BU79" s="667"/>
      <c r="BV79" s="664"/>
      <c r="BW79" s="667"/>
      <c r="BX79" s="664"/>
      <c r="BY79" s="667"/>
      <c r="BZ79" s="664"/>
      <c r="CA79" s="667"/>
      <c r="CB79" s="664"/>
      <c r="CC79" s="667"/>
      <c r="CD79" s="664"/>
      <c r="CE79" s="667"/>
      <c r="CF79" s="664"/>
      <c r="CG79" s="667"/>
      <c r="CH79" s="664"/>
      <c r="CI79" s="667"/>
      <c r="CJ79" s="664"/>
      <c r="CK79" s="667"/>
      <c r="CL79" s="669"/>
      <c r="CM79" s="670"/>
      <c r="CN79" s="669"/>
      <c r="CO79" s="670"/>
      <c r="CP79" s="669"/>
      <c r="CQ79" s="670"/>
      <c r="CR79" s="669"/>
      <c r="CS79" s="670"/>
      <c r="CT79" s="669"/>
      <c r="CU79" s="670"/>
      <c r="CV79" s="669"/>
      <c r="CW79" s="670"/>
      <c r="CX79" s="669"/>
      <c r="CY79" s="670"/>
      <c r="CZ79" s="669"/>
      <c r="DA79" s="670"/>
      <c r="DB79" s="669"/>
      <c r="DC79" s="670"/>
      <c r="DD79" s="669"/>
      <c r="DE79" s="670"/>
      <c r="DF79" s="669"/>
      <c r="DG79" s="670"/>
      <c r="DH79" s="669"/>
      <c r="DI79" s="670"/>
      <c r="DJ79" s="669"/>
      <c r="DK79" s="670"/>
      <c r="DL79" s="669"/>
      <c r="DM79" s="670"/>
      <c r="DN79" s="669"/>
      <c r="DO79" s="670"/>
      <c r="DP79" s="669"/>
      <c r="DQ79" s="670"/>
      <c r="DR79" s="669"/>
      <c r="DS79" s="670"/>
      <c r="DT79" s="669"/>
      <c r="DU79" s="670"/>
      <c r="DV79" s="669"/>
      <c r="DW79" s="670"/>
      <c r="DX79" s="669"/>
      <c r="DY79" s="670"/>
      <c r="DZ79" s="669"/>
      <c r="EA79" s="670"/>
      <c r="EB79" s="669"/>
      <c r="EC79" s="670"/>
      <c r="ED79" s="669"/>
      <c r="EE79" s="670"/>
      <c r="EF79" s="669"/>
      <c r="EG79" s="670"/>
      <c r="EH79" s="670"/>
      <c r="EI79" s="669"/>
      <c r="EJ79" s="681"/>
      <c r="EK79" s="669"/>
      <c r="EL79" s="681"/>
      <c r="EM79" s="669"/>
      <c r="EN79" s="681"/>
      <c r="EO79" s="669"/>
      <c r="EP79" s="681"/>
      <c r="EQ79" s="669"/>
      <c r="ER79" s="670"/>
      <c r="ES79" s="669"/>
      <c r="ET79" s="670"/>
      <c r="EU79" s="669"/>
      <c r="EV79" s="670"/>
      <c r="EW79" s="669"/>
      <c r="EX79" s="670"/>
      <c r="EY79" s="669"/>
      <c r="EZ79" s="670"/>
      <c r="FA79" s="669"/>
      <c r="FB79" s="670"/>
      <c r="FC79" s="669"/>
      <c r="FD79" s="670"/>
      <c r="FE79" s="669"/>
      <c r="FF79" s="670"/>
      <c r="FG79" s="669"/>
      <c r="FH79" s="670"/>
      <c r="FI79" s="669"/>
      <c r="FJ79" s="670"/>
      <c r="FK79" s="669"/>
      <c r="FL79" s="670"/>
      <c r="FM79" s="669"/>
      <c r="FN79" s="670"/>
      <c r="FO79" s="669"/>
      <c r="FP79" s="670"/>
      <c r="FQ79" s="669"/>
      <c r="FR79" s="670"/>
      <c r="FS79" s="669"/>
      <c r="FT79" s="670"/>
      <c r="FU79" s="669"/>
      <c r="FV79" s="670"/>
      <c r="FW79" s="669"/>
      <c r="FX79" s="670"/>
      <c r="FY79" s="669"/>
      <c r="FZ79" s="670"/>
      <c r="GA79" s="994"/>
    </row>
    <row r="80" spans="1:183" s="707" customFormat="1" ht="12.75" customHeight="1" x14ac:dyDescent="0.2">
      <c r="A80" s="991" t="str">
        <f>INPUT!B541</f>
        <v>Capital Structure Excl FAS 115</v>
      </c>
      <c r="B80" s="664"/>
      <c r="C80" s="824"/>
      <c r="D80" s="664"/>
      <c r="E80" s="665"/>
      <c r="F80" s="664"/>
      <c r="G80" s="665"/>
      <c r="H80" s="664"/>
      <c r="I80" s="665"/>
      <c r="J80" s="664"/>
      <c r="K80" s="665"/>
      <c r="L80" s="664"/>
      <c r="M80" s="665"/>
      <c r="N80" s="664"/>
      <c r="O80" s="665"/>
      <c r="P80" s="664"/>
      <c r="Q80" s="665"/>
      <c r="R80" s="664"/>
      <c r="S80" s="665"/>
      <c r="T80" s="664"/>
      <c r="U80" s="665"/>
      <c r="V80" s="664"/>
      <c r="W80" s="665"/>
      <c r="X80" s="664"/>
      <c r="Y80" s="665"/>
      <c r="Z80" s="664"/>
      <c r="AA80" s="665"/>
      <c r="AB80" s="664"/>
      <c r="AC80" s="665"/>
      <c r="AD80" s="664"/>
      <c r="AE80" s="665"/>
      <c r="AF80" s="664"/>
      <c r="AG80" s="665"/>
      <c r="AH80" s="664"/>
      <c r="AI80" s="665"/>
      <c r="AJ80" s="664"/>
      <c r="AK80" s="665"/>
      <c r="AL80" s="664"/>
      <c r="AM80" s="665"/>
      <c r="AN80" s="664"/>
      <c r="AO80" s="667"/>
      <c r="AP80" s="664"/>
      <c r="AQ80" s="667"/>
      <c r="AR80" s="664"/>
      <c r="AS80" s="667"/>
      <c r="AT80" s="664"/>
      <c r="AU80" s="667"/>
      <c r="AV80" s="664"/>
      <c r="AW80" s="667"/>
      <c r="AX80" s="664"/>
      <c r="AY80" s="667"/>
      <c r="AZ80" s="664"/>
      <c r="BA80" s="667"/>
      <c r="BB80" s="664"/>
      <c r="BC80" s="667"/>
      <c r="BD80" s="664"/>
      <c r="BE80" s="667"/>
      <c r="BF80" s="664"/>
      <c r="BG80" s="667"/>
      <c r="BH80" s="664"/>
      <c r="BI80" s="667"/>
      <c r="BJ80" s="664"/>
      <c r="BK80" s="667"/>
      <c r="BL80" s="664"/>
      <c r="BM80" s="667"/>
      <c r="BN80" s="664"/>
      <c r="BO80" s="667"/>
      <c r="BP80" s="664"/>
      <c r="BQ80" s="667"/>
      <c r="BR80" s="664"/>
      <c r="BS80" s="667"/>
      <c r="BT80" s="664"/>
      <c r="BU80" s="667"/>
      <c r="BV80" s="664"/>
      <c r="BW80" s="667"/>
      <c r="BX80" s="664"/>
      <c r="BY80" s="667"/>
      <c r="BZ80" s="664"/>
      <c r="CA80" s="667"/>
      <c r="CB80" s="664"/>
      <c r="CC80" s="667"/>
      <c r="CD80" s="664"/>
      <c r="CE80" s="667"/>
      <c r="CF80" s="664"/>
      <c r="CG80" s="667"/>
      <c r="CH80" s="664"/>
      <c r="CI80" s="667"/>
      <c r="CJ80" s="664"/>
      <c r="CK80" s="667"/>
      <c r="CL80" s="669"/>
      <c r="CM80" s="670"/>
      <c r="CN80" s="669"/>
      <c r="CO80" s="670"/>
      <c r="CP80" s="669"/>
      <c r="CQ80" s="670"/>
      <c r="CR80" s="669"/>
      <c r="CS80" s="670"/>
      <c r="CT80" s="669"/>
      <c r="CU80" s="670"/>
      <c r="CV80" s="669"/>
      <c r="CW80" s="670"/>
      <c r="CX80" s="669"/>
      <c r="CY80" s="670"/>
      <c r="CZ80" s="669"/>
      <c r="DA80" s="670"/>
      <c r="DB80" s="669"/>
      <c r="DC80" s="670"/>
      <c r="DD80" s="669"/>
      <c r="DE80" s="670"/>
      <c r="DF80" s="669"/>
      <c r="DG80" s="670"/>
      <c r="DH80" s="669"/>
      <c r="DI80" s="670"/>
      <c r="DJ80" s="669"/>
      <c r="DK80" s="670"/>
      <c r="DL80" s="669"/>
      <c r="DM80" s="670"/>
      <c r="DN80" s="669"/>
      <c r="DO80" s="670"/>
      <c r="DP80" s="669"/>
      <c r="DQ80" s="670"/>
      <c r="DR80" s="669"/>
      <c r="DS80" s="670"/>
      <c r="DT80" s="669"/>
      <c r="DU80" s="670"/>
      <c r="DV80" s="669"/>
      <c r="DW80" s="670"/>
      <c r="DX80" s="669"/>
      <c r="DY80" s="670"/>
      <c r="DZ80" s="669"/>
      <c r="EA80" s="670"/>
      <c r="EB80" s="669"/>
      <c r="EC80" s="670"/>
      <c r="ED80" s="669"/>
      <c r="EE80" s="670"/>
      <c r="EF80" s="669"/>
      <c r="EG80" s="670"/>
      <c r="EH80" s="670"/>
      <c r="EI80" s="669"/>
      <c r="EJ80" s="671"/>
      <c r="EK80" s="669"/>
      <c r="EL80" s="671"/>
      <c r="EM80" s="669"/>
      <c r="EN80" s="671"/>
      <c r="EO80" s="669"/>
      <c r="EP80" s="671"/>
      <c r="EQ80" s="669"/>
      <c r="ER80" s="670"/>
      <c r="ES80" s="669"/>
      <c r="ET80" s="670"/>
      <c r="EU80" s="669"/>
      <c r="EV80" s="670"/>
      <c r="EW80" s="669"/>
      <c r="EX80" s="670"/>
      <c r="EY80" s="669"/>
      <c r="EZ80" s="670"/>
      <c r="FA80" s="669"/>
      <c r="FB80" s="670"/>
      <c r="FC80" s="669"/>
      <c r="FD80" s="670"/>
      <c r="FE80" s="669"/>
      <c r="FF80" s="670"/>
      <c r="FG80" s="669"/>
      <c r="FH80" s="670"/>
      <c r="FI80" s="669"/>
      <c r="FJ80" s="670"/>
      <c r="FK80" s="669"/>
      <c r="FL80" s="670"/>
      <c r="FM80" s="669"/>
      <c r="FN80" s="670"/>
      <c r="FO80" s="669"/>
      <c r="FP80" s="670"/>
      <c r="FQ80" s="669"/>
      <c r="FR80" s="670"/>
      <c r="FS80" s="669"/>
      <c r="FT80" s="670"/>
      <c r="FU80" s="669"/>
      <c r="FV80" s="670"/>
      <c r="FW80" s="669"/>
      <c r="FX80" s="670"/>
      <c r="FY80" s="669"/>
      <c r="FZ80" s="670"/>
      <c r="GA80" s="988"/>
    </row>
    <row r="81" spans="1:183" s="707" customFormat="1" ht="12.75" customHeight="1" x14ac:dyDescent="0.2">
      <c r="A81" s="993" t="str">
        <f>INPUT!B508</f>
        <v>Assets (Excl FAS 115)</v>
      </c>
      <c r="B81" s="664">
        <f>INPUT!M508</f>
        <v>42588.799999999996</v>
      </c>
      <c r="C81" s="824">
        <f>INPUT!N508</f>
        <v>4.319625330371113</v>
      </c>
      <c r="D81" s="664">
        <f>INPUT!O508</f>
        <v>43178.1</v>
      </c>
      <c r="E81" s="665">
        <f>INPUT!P508</f>
        <v>5.7265777655891137</v>
      </c>
      <c r="F81" s="664">
        <f>INPUT!Q508</f>
        <v>43855.1</v>
      </c>
      <c r="G81" s="665">
        <f>INPUT!R508</f>
        <v>4.3401402301640024</v>
      </c>
      <c r="H81" s="664">
        <f>INPUT!S508</f>
        <v>44482.1</v>
      </c>
      <c r="I81" s="665">
        <f>INPUT!T508</f>
        <v>4.9237286736313779</v>
      </c>
      <c r="J81" s="664">
        <f>INPUT!U508</f>
        <v>45563.6</v>
      </c>
      <c r="K81" s="665">
        <f>INPUT!V508</f>
        <v>6.9849350063866611</v>
      </c>
      <c r="L81" s="664">
        <f>INPUT!W508</f>
        <v>48021.5</v>
      </c>
      <c r="M81" s="665">
        <f>INPUT!X508</f>
        <v>11.217260602018154</v>
      </c>
      <c r="N81" s="664">
        <f>INPUT!Y508</f>
        <v>47953.600000000006</v>
      </c>
      <c r="O81" s="665">
        <f>INPUT!Z508</f>
        <v>9.3455493203755235</v>
      </c>
      <c r="P81" s="664">
        <f>INPUT!AA508</f>
        <v>48547.100000000006</v>
      </c>
      <c r="Q81" s="665">
        <f>INPUT!AB508</f>
        <v>9.1385073996057109</v>
      </c>
      <c r="R81" s="664">
        <f>INPUT!AC508</f>
        <v>48861.4</v>
      </c>
      <c r="S81" s="665">
        <f>INPUT!AD508</f>
        <v>7.237795082039189</v>
      </c>
      <c r="T81" s="664">
        <f>INPUT!AE508</f>
        <v>47757.1</v>
      </c>
      <c r="U81" s="665">
        <f>INPUT!AF508</f>
        <v>-0.55058671636663004</v>
      </c>
      <c r="V81" s="664">
        <f>INPUT!AG508</f>
        <v>48471.6</v>
      </c>
      <c r="W81" s="665">
        <f>INPUT!AH508</f>
        <v>1.0802108705081359</v>
      </c>
      <c r="X81" s="664">
        <f>INPUT!AI508</f>
        <v>49351.200000000004</v>
      </c>
      <c r="Y81" s="665">
        <f>INPUT!AJ508</f>
        <v>1.6563296262804617</v>
      </c>
      <c r="Z81" s="664">
        <f>INPUT!AK508</f>
        <v>49663.299999999996</v>
      </c>
      <c r="AA81" s="665">
        <f>INPUT!AL508</f>
        <v>1.6411727866986858</v>
      </c>
      <c r="AB81" s="664">
        <f>INPUT!AM508</f>
        <v>50609.9</v>
      </c>
      <c r="AC81" s="665">
        <f>INPUT!AN508</f>
        <v>5.9735620462716632</v>
      </c>
      <c r="AD81" s="664">
        <f>INPUT!AO508</f>
        <v>49979.9</v>
      </c>
      <c r="AE81" s="665">
        <f>INPUT!AP508</f>
        <v>3.1117190272242023</v>
      </c>
      <c r="AF81" s="664">
        <f>INPUT!AQ508</f>
        <v>50703.3</v>
      </c>
      <c r="AG81" s="665">
        <f>INPUT!AR508</f>
        <v>2.7397510090940047</v>
      </c>
      <c r="AH81" s="664">
        <f>INPUT!AS508</f>
        <v>50161.5</v>
      </c>
      <c r="AI81" s="665">
        <f>INPUT!AT508</f>
        <v>1.0031552474362382</v>
      </c>
      <c r="AJ81" s="664">
        <f>INPUT!AU508</f>
        <v>50350.200000000004</v>
      </c>
      <c r="AK81" s="665">
        <f>INPUT!AV508</f>
        <v>-0.51314070962400482</v>
      </c>
      <c r="AL81" s="664">
        <f>INPUT!AW508</f>
        <v>51428</v>
      </c>
      <c r="AM81" s="665">
        <f>INPUT!AX508</f>
        <v>2.8973647406257186</v>
      </c>
      <c r="AN81" s="664">
        <f>INPUT!AY508</f>
        <v>52210.5</v>
      </c>
      <c r="AO81" s="667">
        <f>INPUT!AZ508</f>
        <v>2.9725875830567183</v>
      </c>
      <c r="AP81" s="664">
        <f>INPUT!BA508</f>
        <v>51781.100000000006</v>
      </c>
      <c r="AQ81" s="667">
        <f>INPUT!BB508</f>
        <v>3.2287710694457017</v>
      </c>
      <c r="AR81" s="664">
        <f>INPUT!BC508</f>
        <v>51967.5</v>
      </c>
      <c r="AS81" s="667">
        <f>INPUT!BD508</f>
        <v>3.2121024345484139</v>
      </c>
      <c r="AT81" s="664">
        <f>INPUT!BE508</f>
        <v>52168</v>
      </c>
      <c r="AU81" s="667">
        <f>INPUT!BF508</f>
        <v>1.4389048767208479</v>
      </c>
      <c r="AV81" s="664">
        <f>INPUT!BG508</f>
        <v>51969.2</v>
      </c>
      <c r="AW81" s="667">
        <f>INPUT!BH508</f>
        <v>-0.46216757165704614</v>
      </c>
      <c r="AX81" s="664">
        <f>INPUT!BI508</f>
        <v>51799.5</v>
      </c>
      <c r="AY81" s="667">
        <f>INPUT!BJ508</f>
        <v>3.5534200702569407E-2</v>
      </c>
      <c r="AZ81" s="664">
        <f>INPUT!BK508</f>
        <v>51694.8</v>
      </c>
      <c r="BA81" s="667">
        <f>INPUT!BL508</f>
        <v>-0.52475104632702108</v>
      </c>
      <c r="BB81" s="664">
        <f>INPUT!BM508</f>
        <v>50533.4</v>
      </c>
      <c r="BC81" s="667">
        <f>INPUT!BN508</f>
        <v>-3.13333844502377</v>
      </c>
      <c r="BD81" s="664">
        <f>INPUT!BO508</f>
        <v>50375.6</v>
      </c>
      <c r="BE81" s="667">
        <f>INPUT!BP508</f>
        <v>-3.0664316556729743</v>
      </c>
      <c r="BF81" s="664">
        <f>INPUT!BQ508</f>
        <v>50259.5</v>
      </c>
      <c r="BG81" s="667">
        <f>INPUT!BR508</f>
        <v>-2.9730016699002881</v>
      </c>
      <c r="BH81" s="664">
        <f>INPUT!BS508</f>
        <v>51631.700000000004</v>
      </c>
      <c r="BI81" s="667">
        <f>INPUT!BT508</f>
        <v>-0.12206256722145925</v>
      </c>
      <c r="BJ81" s="664">
        <f>INPUT!BU508</f>
        <v>54210.299999999996</v>
      </c>
      <c r="BK81" s="667">
        <f>INPUT!BV508</f>
        <v>7.2761777359132696</v>
      </c>
      <c r="BL81" s="664">
        <f>INPUT!BW508</f>
        <v>54136</v>
      </c>
      <c r="BM81" s="667">
        <f>INPUT!BX508</f>
        <v>7.4647249859058684</v>
      </c>
      <c r="BN81" s="664">
        <f>INPUT!BY508</f>
        <v>54594.299999999996</v>
      </c>
      <c r="BO81" s="667">
        <f>INPUT!BZ508</f>
        <v>8.6248370954744793</v>
      </c>
      <c r="BP81" s="664">
        <f>INPUT!CA508</f>
        <v>56354.299999999996</v>
      </c>
      <c r="BQ81" s="667">
        <f>INPUT!CB508</f>
        <v>9.146706383868807</v>
      </c>
      <c r="BR81" s="664">
        <f>INPUT!CC508</f>
        <v>58560.899999999994</v>
      </c>
      <c r="BS81" s="667">
        <f>INPUT!CD508</f>
        <v>8.0254121449244931</v>
      </c>
      <c r="BT81" s="664">
        <f>INPUT!CE508</f>
        <v>56251.299999999996</v>
      </c>
      <c r="BU81" s="667">
        <f>INPUT!CF508</f>
        <v>3.9073814097827508</v>
      </c>
      <c r="BV81" s="664">
        <f>INPUT!CG508</f>
        <v>56710.5</v>
      </c>
      <c r="BW81" s="667">
        <f>INPUT!CH508</f>
        <v>3.876228837076412</v>
      </c>
      <c r="BX81" s="664">
        <f>INPUT!CI508</f>
        <v>57571.8</v>
      </c>
      <c r="BY81" s="667">
        <f>INPUT!CJ508</f>
        <v>2.1604385113469737</v>
      </c>
      <c r="BZ81" s="664">
        <f>INPUT!CK508</f>
        <v>59154.700000000004</v>
      </c>
      <c r="CA81" s="667">
        <f>INPUT!CL508</f>
        <v>1.0139871484215801</v>
      </c>
      <c r="CB81" s="664">
        <f>INPUT!CM508</f>
        <v>59093.399999999994</v>
      </c>
      <c r="CC81" s="667">
        <f>INPUT!CN508</f>
        <v>5.052505453207301</v>
      </c>
      <c r="CD81" s="664">
        <f>INPUT!CO508</f>
        <v>59116.4</v>
      </c>
      <c r="CE81" s="667">
        <f>INPUT!CP508</f>
        <v>4.2424242424242475</v>
      </c>
      <c r="CF81" s="664">
        <f>INPUT!CQ508</f>
        <v>60078.2</v>
      </c>
      <c r="CG81" s="667">
        <f>INPUT!CR508</f>
        <v>4.3535202998690181</v>
      </c>
      <c r="CH81" s="664">
        <f>INPUT!CS508</f>
        <v>61329.299999999996</v>
      </c>
      <c r="CI81" s="667">
        <f>INPUT!CT508</f>
        <v>3.6761237906708821</v>
      </c>
      <c r="CJ81" s="664">
        <f>INPUT!CU508</f>
        <v>61608.1</v>
      </c>
      <c r="CK81" s="667">
        <f>INPUT!CV508</f>
        <v>4.2554667695546389</v>
      </c>
      <c r="CL81" s="669">
        <f>INPUT!CW508</f>
        <v>61125.700000000004</v>
      </c>
      <c r="CM81" s="670">
        <f>INPUT!CX508</f>
        <v>3.3988876183258743</v>
      </c>
      <c r="CN81" s="669">
        <f>INPUT!CY508</f>
        <v>59149.5</v>
      </c>
      <c r="CO81" s="670">
        <f>INPUT!CZ508</f>
        <v>-1.5458186164032828</v>
      </c>
      <c r="CP81" s="669">
        <f>INPUT!DA508</f>
        <v>59176.200000000004</v>
      </c>
      <c r="CQ81" s="670">
        <f>INPUT!DB508</f>
        <v>-3.5107199984346638</v>
      </c>
      <c r="CR81" s="669">
        <f>INPUT!DC508</f>
        <v>59119.1</v>
      </c>
      <c r="CS81" s="670">
        <f>INPUT!DD508</f>
        <v>-4.040053174826042</v>
      </c>
      <c r="CT81" s="669">
        <f>INPUT!DE508</f>
        <v>60625.2</v>
      </c>
      <c r="CU81" s="670">
        <f>INPUT!DF508</f>
        <v>-0.81880452902790557</v>
      </c>
      <c r="CV81" s="669">
        <f>INPUT!DG508</f>
        <v>61586.2</v>
      </c>
      <c r="CW81" s="670">
        <f>INPUT!DH508</f>
        <v>4.1195614502235856</v>
      </c>
      <c r="CX81" s="669">
        <f>INPUT!DI508</f>
        <v>61412</v>
      </c>
      <c r="CY81" s="670">
        <f>INPUT!DJ508</f>
        <v>3.7782081309715609</v>
      </c>
      <c r="CZ81" s="669">
        <f>INPUT!DK508</f>
        <v>62283.799999999996</v>
      </c>
      <c r="DA81" s="670">
        <f>INPUT!DL508</f>
        <v>5.3530923170346023</v>
      </c>
      <c r="DB81" s="669">
        <f>INPUT!DM508</f>
        <v>62754.1</v>
      </c>
      <c r="DC81" s="670">
        <f>INPUT!DN508</f>
        <v>3.5115760442852251</v>
      </c>
      <c r="DD81" s="669">
        <f>INPUT!DO508</f>
        <v>61702.400000000001</v>
      </c>
      <c r="DE81" s="670">
        <f>INPUT!DP508</f>
        <v>0.18867863255080941</v>
      </c>
      <c r="DF81" s="669">
        <f>INPUT!DQ508</f>
        <v>61481.8</v>
      </c>
      <c r="DG81" s="670">
        <f>INPUT!DR508</f>
        <v>0.11365856835798827</v>
      </c>
      <c r="DH81" s="669">
        <f>INPUT!DS508</f>
        <v>60573.599999999999</v>
      </c>
      <c r="DI81" s="670">
        <f>INPUT!DT508</f>
        <v>-2.7458183347836784</v>
      </c>
      <c r="DJ81" s="669">
        <f>INPUT!DU508</f>
        <v>61767.200000000004</v>
      </c>
      <c r="DK81" s="670">
        <f>INPUT!DV508</f>
        <v>-1.5726462494083937</v>
      </c>
      <c r="DL81" s="669">
        <f>INPUT!DW508</f>
        <v>63513.299999999996</v>
      </c>
      <c r="DM81" s="670">
        <f>INPUT!DX508</f>
        <v>2.9348939425370757</v>
      </c>
      <c r="DN81" s="669">
        <f>INPUT!DY508</f>
        <v>63454.400000000001</v>
      </c>
      <c r="DO81" s="670">
        <f>INPUT!DZ508</f>
        <v>3.208429161150117</v>
      </c>
      <c r="DP81" s="669">
        <f>INPUT!EA508</f>
        <v>61992.5</v>
      </c>
      <c r="DQ81" s="670">
        <f>INPUT!EB508</f>
        <v>2.3424396106554779</v>
      </c>
      <c r="DR81" s="669">
        <f>INPUT!EC508</f>
        <v>62524.299999999996</v>
      </c>
      <c r="DS81" s="670">
        <f>INPUT!ED508</f>
        <v>1.2257314561773702</v>
      </c>
      <c r="DT81" s="669">
        <f>INPUT!EE508</f>
        <v>63276.7</v>
      </c>
      <c r="DU81" s="670">
        <f>INPUT!EF508</f>
        <v>-0.37252040123879615</v>
      </c>
      <c r="DV81" s="669">
        <f>INPUT!EG508</f>
        <v>63681.399999999994</v>
      </c>
      <c r="DW81" s="670">
        <f>INPUT!EH508</f>
        <v>0.35773720971279399</v>
      </c>
      <c r="DX81" s="669">
        <f>INPUT!EI508</f>
        <v>63885.599999999999</v>
      </c>
      <c r="DY81" s="670">
        <f>INPUT!EJ508</f>
        <v>3.0537565028027513</v>
      </c>
      <c r="DZ81" s="669">
        <f>INPUT!EK508</f>
        <v>64671.040736999996</v>
      </c>
      <c r="EA81" s="670">
        <f>INPUT!EL508</f>
        <v>3.4334502537413547</v>
      </c>
      <c r="EB81" s="669">
        <f>INPUT!EM508</f>
        <v>65466.118831842992</v>
      </c>
      <c r="EC81" s="670">
        <f>INPUT!EN508</f>
        <v>3.4600711349406676</v>
      </c>
      <c r="ED81" s="669">
        <f>INPUT!EO508</f>
        <v>66270.952534909709</v>
      </c>
      <c r="EE81" s="670">
        <f>INPUT!EP508</f>
        <v>4.0664189777701365</v>
      </c>
      <c r="EF81" s="669">
        <f>INPUT!EQ508</f>
        <v>67085.661547513053</v>
      </c>
      <c r="EG81" s="670">
        <f>INPUT!ER508</f>
        <v>5.0090498445863441</v>
      </c>
      <c r="EH81" s="670"/>
      <c r="EI81" s="669">
        <f>INPUT!FB508</f>
        <v>42394.7</v>
      </c>
      <c r="EJ81" s="671" t="str">
        <f>INPUT!FC508</f>
        <v>NA</v>
      </c>
      <c r="EK81" s="669">
        <f>INPUT!FD508</f>
        <v>44482.1</v>
      </c>
      <c r="EL81" s="671">
        <f>INPUT!FE508</f>
        <v>4.9237286736313779</v>
      </c>
      <c r="EM81" s="669">
        <f>INPUT!FF508</f>
        <v>48547.100000000006</v>
      </c>
      <c r="EN81" s="671">
        <f>INPUT!FG508</f>
        <v>9.1385073996057109</v>
      </c>
      <c r="EO81" s="669">
        <f>INPUT!FH508</f>
        <v>49351.200000000004</v>
      </c>
      <c r="EP81" s="671">
        <f>INPUT!FI508</f>
        <v>1.6563296262804617</v>
      </c>
      <c r="EQ81" s="669">
        <f>INPUT!FJ508</f>
        <v>50703.3</v>
      </c>
      <c r="ER81" s="670">
        <f>INPUT!FK508</f>
        <v>2.7397510090940047</v>
      </c>
      <c r="ES81" s="669">
        <f>INPUT!FL508</f>
        <v>52210.5</v>
      </c>
      <c r="ET81" s="670">
        <f>INPUT!FM508</f>
        <v>2.9725875830567183</v>
      </c>
      <c r="EU81" s="669">
        <f>INPUT!FN508</f>
        <v>51969.2</v>
      </c>
      <c r="EV81" s="670">
        <f>INPUT!FO508</f>
        <v>-0.46216757165704614</v>
      </c>
      <c r="EW81" s="669">
        <f>INPUT!FP508</f>
        <v>50375.6</v>
      </c>
      <c r="EX81" s="670">
        <f>INPUT!FQ508</f>
        <v>-3.0664316556729743</v>
      </c>
      <c r="EY81" s="669">
        <f>INPUT!FR508</f>
        <v>54136</v>
      </c>
      <c r="EZ81" s="670">
        <f>INPUT!FS508</f>
        <v>7.4647249859058684</v>
      </c>
      <c r="FA81" s="669">
        <f>INPUT!FT508</f>
        <v>56251.299999999996</v>
      </c>
      <c r="FB81" s="670">
        <f>INPUT!FU508</f>
        <v>3.9073814097827508</v>
      </c>
      <c r="FC81" s="669">
        <f>INPUT!FV508</f>
        <v>59093.399999999994</v>
      </c>
      <c r="FD81" s="670">
        <f>INPUT!FW508</f>
        <v>5.052505453207301</v>
      </c>
      <c r="FE81" s="669">
        <f>INPUT!FX508</f>
        <v>61608.1</v>
      </c>
      <c r="FF81" s="670">
        <f>INPUT!FY508</f>
        <v>4.2554667695546389</v>
      </c>
      <c r="FG81" s="669">
        <f>INPUT!FZ508</f>
        <v>59119.1</v>
      </c>
      <c r="FH81" s="670">
        <f>INPUT!GA508</f>
        <v>-4.040053174826042</v>
      </c>
      <c r="FI81" s="669">
        <f>INPUT!GB508</f>
        <v>62283.799999999996</v>
      </c>
      <c r="FJ81" s="670">
        <f>INPUT!GC508</f>
        <v>5.3530923170346023</v>
      </c>
      <c r="FK81" s="669">
        <f>INPUT!GD508</f>
        <v>60573.599999999999</v>
      </c>
      <c r="FL81" s="670">
        <f>INPUT!GE508</f>
        <v>-2.7458183347836784</v>
      </c>
      <c r="FM81" s="669">
        <f>INPUT!GF508</f>
        <v>61992.5</v>
      </c>
      <c r="FN81" s="670">
        <f>INPUT!GG508</f>
        <v>2.3424396106554779</v>
      </c>
      <c r="FO81" s="669">
        <f>INPUT!GH508</f>
        <v>63885.599999999999</v>
      </c>
      <c r="FP81" s="670">
        <f>INPUT!GI508</f>
        <v>3.0537565028027513</v>
      </c>
      <c r="FQ81" s="669">
        <f>INPUT!GJ508</f>
        <v>67085.661547513053</v>
      </c>
      <c r="FR81" s="670">
        <f>INPUT!GK508</f>
        <v>5.0090498445863441</v>
      </c>
      <c r="FS81" s="669">
        <f>INPUT!GL508</f>
        <v>70446.319624888711</v>
      </c>
      <c r="FT81" s="670">
        <f>INPUT!GM508</f>
        <v>5.0095027757838917</v>
      </c>
      <c r="FU81" s="669">
        <f>INPUT!GN508</f>
        <v>73975.010606133146</v>
      </c>
      <c r="FV81" s="670">
        <f>INPUT!GO508</f>
        <v>5.0090494436529021</v>
      </c>
      <c r="FW81" s="669">
        <f>INPUT!GP508</f>
        <v>77680.136136439804</v>
      </c>
      <c r="FX81" s="670">
        <f>INPUT!GQ508</f>
        <v>5.0086177750402028</v>
      </c>
      <c r="FY81" s="669">
        <f>INPUT!GR508</f>
        <v>81570.517943261802</v>
      </c>
      <c r="FZ81" s="670">
        <f>INPUT!GS508</f>
        <v>5.0082067312405387</v>
      </c>
      <c r="GA81" s="988">
        <f>INPUT!GT508</f>
        <v>5.0088853131396105</v>
      </c>
    </row>
    <row r="82" spans="1:183" s="707" customFormat="1" ht="12.75" customHeight="1" x14ac:dyDescent="0.2">
      <c r="A82" s="993" t="str">
        <f>INPUT!B518</f>
        <v>Long-Term Debt</v>
      </c>
      <c r="B82" s="664">
        <f>INPUT!M518</f>
        <v>2005.8</v>
      </c>
      <c r="C82" s="824">
        <f>INPUT!N518</f>
        <v>7.7807630306286901</v>
      </c>
      <c r="D82" s="664">
        <f>INPUT!O518</f>
        <v>2132.8000000000002</v>
      </c>
      <c r="E82" s="665">
        <f>INPUT!P518</f>
        <v>4.5900353079639133</v>
      </c>
      <c r="F82" s="664">
        <f>INPUT!Q518</f>
        <v>2132.6999999999998</v>
      </c>
      <c r="G82" s="665">
        <f>INPUT!R518</f>
        <v>5.7467274890916187</v>
      </c>
      <c r="H82" s="664">
        <f>INPUT!S518</f>
        <v>1914</v>
      </c>
      <c r="I82" s="665">
        <f>INPUT!T518</f>
        <v>-4.5005488474204158</v>
      </c>
      <c r="J82" s="664">
        <f>INPUT!U518</f>
        <v>2214</v>
      </c>
      <c r="K82" s="665">
        <f>INPUT!V518</f>
        <v>10.379898294944656</v>
      </c>
      <c r="L82" s="664">
        <f>INPUT!W518</f>
        <v>2789</v>
      </c>
      <c r="M82" s="665">
        <f>INPUT!X518</f>
        <v>30.767066766691652</v>
      </c>
      <c r="N82" s="664">
        <f>INPUT!Y518</f>
        <v>2789</v>
      </c>
      <c r="O82" s="665">
        <f>INPUT!Z518</f>
        <v>30.773198293243318</v>
      </c>
      <c r="P82" s="664">
        <f>INPUT!AA518</f>
        <v>2789</v>
      </c>
      <c r="Q82" s="665">
        <f>INPUT!AB518</f>
        <v>45.715778474399158</v>
      </c>
      <c r="R82" s="664">
        <f>INPUT!AC518</f>
        <v>2789</v>
      </c>
      <c r="S82" s="665">
        <f>INPUT!AD518</f>
        <v>25.971093044263771</v>
      </c>
      <c r="T82" s="664">
        <f>INPUT!AE518</f>
        <v>3089</v>
      </c>
      <c r="U82" s="665">
        <f>INPUT!AF518</f>
        <v>10.756543564001442</v>
      </c>
      <c r="V82" s="664">
        <f>INPUT!AG518</f>
        <v>2862</v>
      </c>
      <c r="W82" s="665">
        <f>INPUT!AH518</f>
        <v>2.6174256005736751</v>
      </c>
      <c r="X82" s="664">
        <f>INPUT!AI518</f>
        <v>2862</v>
      </c>
      <c r="Y82" s="665">
        <f>INPUT!AJ518</f>
        <v>2.6174256005736751</v>
      </c>
      <c r="Z82" s="664">
        <f>INPUT!AK518</f>
        <v>2862</v>
      </c>
      <c r="AA82" s="665">
        <f>INPUT!AL518</f>
        <v>2.6174256005736751</v>
      </c>
      <c r="AB82" s="664">
        <f>INPUT!AM518</f>
        <v>2862</v>
      </c>
      <c r="AC82" s="665">
        <f>INPUT!AN518</f>
        <v>-7.3486565231466461</v>
      </c>
      <c r="AD82" s="664">
        <f>INPUT!AO518</f>
        <v>2862</v>
      </c>
      <c r="AE82" s="665">
        <f>INPUT!AP518</f>
        <v>0</v>
      </c>
      <c r="AF82" s="664">
        <f>INPUT!AQ518</f>
        <v>3261.6</v>
      </c>
      <c r="AG82" s="665">
        <f>INPUT!AR518</f>
        <v>13.962264150943394</v>
      </c>
      <c r="AH82" s="664">
        <f>INPUT!AS518</f>
        <v>2861.6</v>
      </c>
      <c r="AI82" s="665">
        <f>INPUT!AT518</f>
        <v>-1.3976240391333494E-2</v>
      </c>
      <c r="AJ82" s="664">
        <f>INPUT!AU518</f>
        <v>2561.6</v>
      </c>
      <c r="AK82" s="665">
        <f>INPUT!AV518</f>
        <v>-10.496156533892387</v>
      </c>
      <c r="AL82" s="664">
        <f>INPUT!AW518</f>
        <v>2561.6</v>
      </c>
      <c r="AM82" s="665">
        <f>INPUT!AX518</f>
        <v>-10.496156533892387</v>
      </c>
      <c r="AN82" s="664">
        <f>INPUT!AY518</f>
        <v>2659.6</v>
      </c>
      <c r="AO82" s="667">
        <f>INPUT!AZ518</f>
        <v>-18.457198920775074</v>
      </c>
      <c r="AP82" s="664">
        <f>INPUT!BA518</f>
        <v>2499.6999999999998</v>
      </c>
      <c r="AQ82" s="667">
        <f>INPUT!BB518</f>
        <v>-12.646771037182003</v>
      </c>
      <c r="AR82" s="664">
        <f>INPUT!BC518</f>
        <v>2287.6999999999998</v>
      </c>
      <c r="AS82" s="667">
        <f>INPUT!BD518</f>
        <v>-10.692535915053092</v>
      </c>
      <c r="AT82" s="664">
        <f>INPUT!BE518</f>
        <v>2285.1999999999998</v>
      </c>
      <c r="AU82" s="667">
        <f>INPUT!BF518</f>
        <v>-10.79013116801999</v>
      </c>
      <c r="AV82" s="664">
        <f>INPUT!BG518</f>
        <v>2515.1999999999998</v>
      </c>
      <c r="AW82" s="667">
        <f>INPUT!BH518</f>
        <v>-5.4293878778763798</v>
      </c>
      <c r="AX82" s="664">
        <f>INPUT!BI518</f>
        <v>2497.6999999999998</v>
      </c>
      <c r="AY82" s="667">
        <f>INPUT!BJ518</f>
        <v>-8.0009601152142285E-2</v>
      </c>
      <c r="AZ82" s="664">
        <f>INPUT!BK518</f>
        <v>2298.3000000000002</v>
      </c>
      <c r="BA82" s="667">
        <f>INPUT!BL518</f>
        <v>0.46334746688816431</v>
      </c>
      <c r="BB82" s="664">
        <f>INPUT!BM518</f>
        <v>2285.3999999999996</v>
      </c>
      <c r="BC82" s="667">
        <f>INPUT!BN518</f>
        <v>8.751969193054876E-3</v>
      </c>
      <c r="BD82" s="664">
        <f>INPUT!BO518</f>
        <v>2259.4</v>
      </c>
      <c r="BE82" s="667">
        <f>INPUT!BP518</f>
        <v>-10.17016539440203</v>
      </c>
      <c r="BF82" s="664">
        <f>INPUT!BQ518</f>
        <v>2254.6999999999998</v>
      </c>
      <c r="BG82" s="667">
        <f>INPUT!BR518</f>
        <v>-9.7289506345838213</v>
      </c>
      <c r="BH82" s="664">
        <f>INPUT!BS518</f>
        <v>2250.6</v>
      </c>
      <c r="BI82" s="667">
        <f>INPUT!BT518</f>
        <v>-2.0754470695731775</v>
      </c>
      <c r="BJ82" s="664">
        <f>INPUT!BU518</f>
        <v>2580.1999999999998</v>
      </c>
      <c r="BK82" s="667">
        <f>INPUT!BV518</f>
        <v>12.899273650126908</v>
      </c>
      <c r="BL82" s="664">
        <f>INPUT!BW518</f>
        <v>2549.6000000000004</v>
      </c>
      <c r="BM82" s="667">
        <f>INPUT!BX518</f>
        <v>12.844117907409046</v>
      </c>
      <c r="BN82" s="664">
        <f>INPUT!BY518</f>
        <v>2291.1999999999998</v>
      </c>
      <c r="BO82" s="667">
        <f>INPUT!BZ518</f>
        <v>1.6188406439881176</v>
      </c>
      <c r="BP82" s="664">
        <f>INPUT!CA518</f>
        <v>2266.8000000000002</v>
      </c>
      <c r="BQ82" s="667">
        <f>INPUT!CB518</f>
        <v>0.71980805118636582</v>
      </c>
      <c r="BR82" s="664">
        <f>INPUT!CC518</f>
        <v>2661.3</v>
      </c>
      <c r="BS82" s="667">
        <f>INPUT!CD518</f>
        <v>3.1431671963413788</v>
      </c>
      <c r="BT82" s="664">
        <f>INPUT!CE518</f>
        <v>2631.3</v>
      </c>
      <c r="BU82" s="667">
        <f>INPUT!CF518</f>
        <v>3.204424223407587</v>
      </c>
      <c r="BV82" s="664">
        <f>INPUT!CG518</f>
        <v>2605</v>
      </c>
      <c r="BW82" s="667">
        <f>INPUT!CH518</f>
        <v>13.69587988826817</v>
      </c>
      <c r="BX82" s="664">
        <f>INPUT!CI518</f>
        <v>2589.1</v>
      </c>
      <c r="BY82" s="667">
        <f>INPUT!CJ518</f>
        <v>14.218281277571897</v>
      </c>
      <c r="BZ82" s="664">
        <f>INPUT!CK518</f>
        <v>2586.5</v>
      </c>
      <c r="CA82" s="667">
        <f>INPUT!CL518</f>
        <v>-2.8106564460977812</v>
      </c>
      <c r="CB82" s="664">
        <f>INPUT!CM518</f>
        <v>2570.1999999999998</v>
      </c>
      <c r="CC82" s="667">
        <f>INPUT!CN518</f>
        <v>-2.322046136890521</v>
      </c>
      <c r="CD82" s="664">
        <f>INPUT!CO518</f>
        <v>2552.8000000000002</v>
      </c>
      <c r="CE82" s="667">
        <f>INPUT!CP518</f>
        <v>-2.0038387715930805</v>
      </c>
      <c r="CF82" s="664">
        <f>INPUT!CQ518</f>
        <v>2540.3000000000002</v>
      </c>
      <c r="CG82" s="667">
        <f>INPUT!CR518</f>
        <v>-1.8848248426093894</v>
      </c>
      <c r="CH82" s="664">
        <f>INPUT!CS518</f>
        <v>2781.5</v>
      </c>
      <c r="CI82" s="667">
        <f>INPUT!CT518</f>
        <v>7.5391455635028137</v>
      </c>
      <c r="CJ82" s="664">
        <f>INPUT!CU518</f>
        <v>2755.4</v>
      </c>
      <c r="CK82" s="667">
        <f>INPUT!CV518</f>
        <v>7.2056649287993269</v>
      </c>
      <c r="CL82" s="669">
        <f>INPUT!CW518</f>
        <v>2673.9</v>
      </c>
      <c r="CM82" s="670">
        <f>INPUT!CX518</f>
        <v>4.7438107176433597</v>
      </c>
      <c r="CN82" s="669">
        <f>INPUT!CY518</f>
        <v>2644</v>
      </c>
      <c r="CO82" s="670">
        <f>INPUT!CZ518</f>
        <v>4.0821950163366427</v>
      </c>
      <c r="CP82" s="669">
        <f>INPUT!DA518</f>
        <v>2631.3</v>
      </c>
      <c r="CQ82" s="670">
        <f>INPUT!DB518</f>
        <v>-5.399964048175443</v>
      </c>
      <c r="CR82" s="669">
        <f>INPUT!DC518</f>
        <v>2612</v>
      </c>
      <c r="CS82" s="670">
        <f>INPUT!DD518</f>
        <v>-5.2043260506641538</v>
      </c>
      <c r="CT82" s="669">
        <f>INPUT!DE518</f>
        <v>2948.2</v>
      </c>
      <c r="CU82" s="670">
        <f>INPUT!DF518</f>
        <v>10.258424024832635</v>
      </c>
      <c r="CV82" s="669">
        <f>INPUT!DG518</f>
        <v>2792</v>
      </c>
      <c r="CW82" s="670">
        <f>INPUT!DH518</f>
        <v>5.5975794251134747</v>
      </c>
      <c r="CX82" s="669">
        <f>INPUT!DI518</f>
        <v>2783.3</v>
      </c>
      <c r="CY82" s="670">
        <f>INPUT!DJ518</f>
        <v>5.776612320906005</v>
      </c>
      <c r="CZ82" s="669">
        <f>INPUT!DK518</f>
        <v>2628.7000000000003</v>
      </c>
      <c r="DA82" s="670">
        <f>INPUT!DL518</f>
        <v>0.63935681470139727</v>
      </c>
      <c r="DB82" s="669">
        <f>INPUT!DM518</f>
        <v>2603.3000000000002</v>
      </c>
      <c r="DC82" s="670">
        <f>INPUT!DN518</f>
        <v>-11.698663591343861</v>
      </c>
      <c r="DD82" s="669">
        <f>INPUT!DO518</f>
        <v>2580.8000000000002</v>
      </c>
      <c r="DE82" s="670">
        <f>INPUT!DP518</f>
        <v>-7.5644699140401066</v>
      </c>
      <c r="DF82" s="669">
        <f>INPUT!DQ518</f>
        <v>2217.1</v>
      </c>
      <c r="DG82" s="670">
        <f>INPUT!DR518</f>
        <v>-20.342758595911338</v>
      </c>
      <c r="DH82" s="669">
        <f>INPUT!DS518</f>
        <v>2449.4</v>
      </c>
      <c r="DI82" s="670">
        <f>INPUT!DT518</f>
        <v>-6.8208620230532313</v>
      </c>
      <c r="DJ82" s="669">
        <f>INPUT!DU518</f>
        <v>2442.5</v>
      </c>
      <c r="DK82" s="670">
        <f>INPUT!DV518</f>
        <v>-6.1767756309299759</v>
      </c>
      <c r="DL82" s="669">
        <f>INPUT!DW518</f>
        <v>3042.6</v>
      </c>
      <c r="DM82" s="670">
        <f>INPUT!DX518</f>
        <v>17.893676379417233</v>
      </c>
      <c r="DN82" s="669">
        <f>INPUT!DY518</f>
        <v>3019.7999999999997</v>
      </c>
      <c r="DO82" s="670">
        <f>INPUT!DZ518</f>
        <v>36.204952415317294</v>
      </c>
      <c r="DP82" s="669">
        <f>INPUT!EA518</f>
        <v>2999.4</v>
      </c>
      <c r="DQ82" s="670">
        <f>INPUT!EB518</f>
        <v>22.454478647832122</v>
      </c>
      <c r="DR82" s="669">
        <f>INPUT!EC518</f>
        <v>2984.6</v>
      </c>
      <c r="DS82" s="670">
        <f>INPUT!ED518</f>
        <v>22.194472876151483</v>
      </c>
      <c r="DT82" s="669">
        <f>INPUT!EE518</f>
        <v>2968.4</v>
      </c>
      <c r="DU82" s="670">
        <f>INPUT!EF518</f>
        <v>-2.4387037402221701</v>
      </c>
      <c r="DV82" s="669">
        <f>INPUT!EG518</f>
        <v>2754.1000000000004</v>
      </c>
      <c r="DW82" s="670">
        <f>INPUT!EH518</f>
        <v>-8.7985959335055153</v>
      </c>
      <c r="DX82" s="669">
        <f>INPUT!EI518</f>
        <v>2938.3</v>
      </c>
      <c r="DY82" s="670">
        <f>INPUT!EJ518</f>
        <v>-2.0370740814829591</v>
      </c>
      <c r="DZ82" s="669">
        <f>INPUT!EK518</f>
        <v>2938.3</v>
      </c>
      <c r="EA82" s="670">
        <f>INPUT!EL518</f>
        <v>-1.5512966561683217</v>
      </c>
      <c r="EB82" s="669">
        <f>INPUT!EM518</f>
        <v>2938.3</v>
      </c>
      <c r="EC82" s="670">
        <f>INPUT!EN518</f>
        <v>-1.0140142837892441</v>
      </c>
      <c r="ED82" s="669">
        <f>INPUT!EO518</f>
        <v>2938.3</v>
      </c>
      <c r="EE82" s="670">
        <f>INPUT!EP518</f>
        <v>6.6882103046367103</v>
      </c>
      <c r="EF82" s="669">
        <f>INPUT!EQ518</f>
        <v>2938.3</v>
      </c>
      <c r="EG82" s="670">
        <f>INPUT!ER518</f>
        <v>0</v>
      </c>
      <c r="EH82" s="670"/>
      <c r="EI82" s="669">
        <f>INPUT!FB518</f>
        <v>2004.2</v>
      </c>
      <c r="EJ82" s="671" t="str">
        <f>INPUT!FC518</f>
        <v>NA</v>
      </c>
      <c r="EK82" s="669">
        <f>INPUT!FD518</f>
        <v>1914</v>
      </c>
      <c r="EL82" s="671">
        <f>INPUT!FE518</f>
        <v>-4.5005488474204158</v>
      </c>
      <c r="EM82" s="669">
        <f>INPUT!FF518</f>
        <v>2789</v>
      </c>
      <c r="EN82" s="671">
        <f>INPUT!FG518</f>
        <v>45.715778474399158</v>
      </c>
      <c r="EO82" s="669">
        <f>INPUT!FH518</f>
        <v>2862</v>
      </c>
      <c r="EP82" s="671">
        <f>INPUT!FI518</f>
        <v>2.6174256005736751</v>
      </c>
      <c r="EQ82" s="669">
        <f>INPUT!FJ518</f>
        <v>3261.6</v>
      </c>
      <c r="ER82" s="670">
        <f>INPUT!FK518</f>
        <v>13.962264150943394</v>
      </c>
      <c r="ES82" s="669">
        <f>INPUT!FL518</f>
        <v>2659.6</v>
      </c>
      <c r="ET82" s="670">
        <f>INPUT!FM518</f>
        <v>-18.457198920775074</v>
      </c>
      <c r="EU82" s="669">
        <f>INPUT!FN518</f>
        <v>2515.1999999999998</v>
      </c>
      <c r="EV82" s="670">
        <f>INPUT!FO518</f>
        <v>-5.4293878778763798</v>
      </c>
      <c r="EW82" s="669">
        <f>INPUT!FP518</f>
        <v>2259.4</v>
      </c>
      <c r="EX82" s="670">
        <f>INPUT!FQ518</f>
        <v>-10.17016539440203</v>
      </c>
      <c r="EY82" s="669">
        <f>INPUT!FR518</f>
        <v>2549.6000000000004</v>
      </c>
      <c r="EZ82" s="670">
        <f>INPUT!FS518</f>
        <v>12.844117907409046</v>
      </c>
      <c r="FA82" s="669">
        <f>INPUT!FT518</f>
        <v>2631.3</v>
      </c>
      <c r="FB82" s="670">
        <f>INPUT!FU518</f>
        <v>3.204424223407587</v>
      </c>
      <c r="FC82" s="669">
        <f>INPUT!FV518</f>
        <v>2570.1999999999998</v>
      </c>
      <c r="FD82" s="670">
        <f>INPUT!FW518</f>
        <v>-2.322046136890521</v>
      </c>
      <c r="FE82" s="669">
        <f>INPUT!FX518</f>
        <v>2755.4</v>
      </c>
      <c r="FF82" s="670">
        <f>INPUT!FY518</f>
        <v>7.2056649287993269</v>
      </c>
      <c r="FG82" s="669">
        <f>INPUT!FZ518</f>
        <v>2612</v>
      </c>
      <c r="FH82" s="670">
        <f>INPUT!GA518</f>
        <v>-5.2043260506641538</v>
      </c>
      <c r="FI82" s="669">
        <f>INPUT!GB518</f>
        <v>2628.7000000000003</v>
      </c>
      <c r="FJ82" s="670">
        <f>INPUT!GC518</f>
        <v>0.63935681470139727</v>
      </c>
      <c r="FK82" s="669">
        <f>INPUT!GD518</f>
        <v>2449.4</v>
      </c>
      <c r="FL82" s="670">
        <f>INPUT!GE518</f>
        <v>-6.8208620230532313</v>
      </c>
      <c r="FM82" s="669">
        <f>INPUT!GF518</f>
        <v>2999.4</v>
      </c>
      <c r="FN82" s="670">
        <f>INPUT!GG518</f>
        <v>22.454478647832122</v>
      </c>
      <c r="FO82" s="669">
        <f>INPUT!GH518</f>
        <v>2938.3</v>
      </c>
      <c r="FP82" s="670">
        <f>INPUT!GI518</f>
        <v>-2.0370740814829591</v>
      </c>
      <c r="FQ82" s="669">
        <f>INPUT!GJ518</f>
        <v>2938.3</v>
      </c>
      <c r="FR82" s="670">
        <f>INPUT!GK518</f>
        <v>0</v>
      </c>
      <c r="FS82" s="669">
        <f>INPUT!GL518</f>
        <v>2938.3</v>
      </c>
      <c r="FT82" s="670">
        <f>INPUT!GM518</f>
        <v>0</v>
      </c>
      <c r="FU82" s="669">
        <f>INPUT!GN518</f>
        <v>2938.3</v>
      </c>
      <c r="FV82" s="670">
        <f>INPUT!GO518</f>
        <v>0</v>
      </c>
      <c r="FW82" s="669">
        <f>INPUT!GP518</f>
        <v>2938.3</v>
      </c>
      <c r="FX82" s="670">
        <f>INPUT!GQ518</f>
        <v>0</v>
      </c>
      <c r="FY82" s="669">
        <f>INPUT!GR518</f>
        <v>2938.3</v>
      </c>
      <c r="FZ82" s="670">
        <f>INPUT!GS518</f>
        <v>0</v>
      </c>
      <c r="GA82" s="988">
        <f>INPUT!GT518</f>
        <v>0</v>
      </c>
    </row>
    <row r="83" spans="1:183" s="707" customFormat="1" ht="12.75" customHeight="1" x14ac:dyDescent="0.2">
      <c r="A83" s="993" t="str">
        <f>INPUT!B531</f>
        <v>Equity EOP Excluding FAS 115</v>
      </c>
      <c r="B83" s="664">
        <f>INPUT!M531</f>
        <v>5943.5999999999995</v>
      </c>
      <c r="C83" s="824">
        <f>INPUT!N531</f>
        <v>6.3902910535925006</v>
      </c>
      <c r="D83" s="664">
        <f>INPUT!O531</f>
        <v>5958.1</v>
      </c>
      <c r="E83" s="665">
        <f>INPUT!P531</f>
        <v>4.4456131124550824</v>
      </c>
      <c r="F83" s="664">
        <f>INPUT!Q531</f>
        <v>6034.2</v>
      </c>
      <c r="G83" s="665">
        <f>INPUT!R531</f>
        <v>4.0540773568312316</v>
      </c>
      <c r="H83" s="664">
        <f>INPUT!S531</f>
        <v>6065.8</v>
      </c>
      <c r="I83" s="665">
        <f>INPUT!T531</f>
        <v>2.9515096997573043</v>
      </c>
      <c r="J83" s="664">
        <f>INPUT!U531</f>
        <v>5784.8</v>
      </c>
      <c r="K83" s="665">
        <f>INPUT!V531</f>
        <v>-2.6717814119388783</v>
      </c>
      <c r="L83" s="664">
        <f>INPUT!W531</f>
        <v>6376.9</v>
      </c>
      <c r="M83" s="665">
        <f>INPUT!X531</f>
        <v>7.0290864537352338</v>
      </c>
      <c r="N83" s="664">
        <f>INPUT!Y531</f>
        <v>6465.6</v>
      </c>
      <c r="O83" s="665">
        <f>INPUT!Z531</f>
        <v>7.1492492791090934</v>
      </c>
      <c r="P83" s="664">
        <f>INPUT!AA531</f>
        <v>6099.8</v>
      </c>
      <c r="Q83" s="665">
        <f>INPUT!AB531</f>
        <v>0.56051963467309562</v>
      </c>
      <c r="R83" s="664">
        <f>INPUT!AC531</f>
        <v>5518.8</v>
      </c>
      <c r="S83" s="665">
        <f>INPUT!AD531</f>
        <v>-4.5982575024201333</v>
      </c>
      <c r="T83" s="664">
        <f>INPUT!AE531</f>
        <v>5479.7999999999993</v>
      </c>
      <c r="U83" s="665">
        <f>INPUT!AF531</f>
        <v>-14.067964057771022</v>
      </c>
      <c r="V83" s="664">
        <f>INPUT!AG531</f>
        <v>5627.9</v>
      </c>
      <c r="W83" s="665">
        <f>INPUT!AH531</f>
        <v>-12.956260826528098</v>
      </c>
      <c r="X83" s="664">
        <f>INPUT!AI531</f>
        <v>5743</v>
      </c>
      <c r="Y83" s="665">
        <f>INPUT!AJ531</f>
        <v>-5.8493721105610019</v>
      </c>
      <c r="Z83" s="664">
        <f>INPUT!AK531</f>
        <v>5879.0999999999995</v>
      </c>
      <c r="AA83" s="665">
        <f>INPUT!AL531</f>
        <v>6.528593172428776</v>
      </c>
      <c r="AB83" s="664">
        <f>INPUT!AM531</f>
        <v>6034.1</v>
      </c>
      <c r="AC83" s="665">
        <f>INPUT!AN531</f>
        <v>10.115332676375077</v>
      </c>
      <c r="AD83" s="664">
        <f>INPUT!AO531</f>
        <v>6070.7</v>
      </c>
      <c r="AE83" s="665">
        <f>INPUT!AP531</f>
        <v>7.8679436379466727</v>
      </c>
      <c r="AF83" s="664">
        <f>INPUT!AQ531</f>
        <v>6200.4</v>
      </c>
      <c r="AG83" s="665">
        <f>INPUT!AR531</f>
        <v>7.9644784955598125</v>
      </c>
      <c r="AH83" s="664">
        <f>INPUT!AS531</f>
        <v>6258.2</v>
      </c>
      <c r="AI83" s="665">
        <f>INPUT!AT531</f>
        <v>6.4482658910377522</v>
      </c>
      <c r="AJ83" s="664">
        <f>INPUT!AU531</f>
        <v>6935.2</v>
      </c>
      <c r="AK83" s="665">
        <f>INPUT!AV531</f>
        <v>14.933461493843314</v>
      </c>
      <c r="AL83" s="664">
        <f>INPUT!AW531</f>
        <v>6850.9</v>
      </c>
      <c r="AM83" s="665">
        <f>INPUT!AX531</f>
        <v>12.851895168596705</v>
      </c>
      <c r="AN83" s="664">
        <f>INPUT!AY531</f>
        <v>7106</v>
      </c>
      <c r="AO83" s="667">
        <f>INPUT!AZ531</f>
        <v>14.605509321979238</v>
      </c>
      <c r="AP83" s="664">
        <f>INPUT!BA531</f>
        <v>6832.9000000000005</v>
      </c>
      <c r="AQ83" s="667">
        <f>INPUT!BB531</f>
        <v>9.1831517049631106</v>
      </c>
      <c r="AR83" s="664">
        <f>INPUT!BC531</f>
        <v>7267.9000000000005</v>
      </c>
      <c r="AS83" s="667">
        <f>INPUT!BD531</f>
        <v>4.7972661206598266</v>
      </c>
      <c r="AT83" s="664">
        <f>INPUT!BE531</f>
        <v>7432.2</v>
      </c>
      <c r="AU83" s="667">
        <f>INPUT!BF531</f>
        <v>8.4850165671663582</v>
      </c>
      <c r="AV83" s="664">
        <f>INPUT!BG531</f>
        <v>7576.4</v>
      </c>
      <c r="AW83" s="667">
        <f>INPUT!BH531</f>
        <v>6.6197579510272941</v>
      </c>
      <c r="AX83" s="664">
        <f>INPUT!BI531</f>
        <v>7368.7</v>
      </c>
      <c r="AY83" s="667">
        <f>INPUT!BJ531</f>
        <v>7.8414728738895434</v>
      </c>
      <c r="AZ83" s="664">
        <f>INPUT!BK531</f>
        <v>7591.3</v>
      </c>
      <c r="BA83" s="667">
        <f>INPUT!BL531</f>
        <v>4.4497034906919364</v>
      </c>
      <c r="BB83" s="664">
        <f>INPUT!BM531</f>
        <v>7331.5</v>
      </c>
      <c r="BC83" s="667">
        <f>INPUT!BN531</f>
        <v>-1.3549150991631009</v>
      </c>
      <c r="BD83" s="664">
        <f>INPUT!BO531</f>
        <v>7356.0999999999995</v>
      </c>
      <c r="BE83" s="667">
        <f>INPUT!BP531</f>
        <v>-2.9077134259014814</v>
      </c>
      <c r="BF83" s="664">
        <f>INPUT!BQ531</f>
        <v>7502.6</v>
      </c>
      <c r="BG83" s="667">
        <f>INPUT!BR531</f>
        <v>1.8171454937777387</v>
      </c>
      <c r="BH83" s="664">
        <f>INPUT!BS531</f>
        <v>7770.2999999999993</v>
      </c>
      <c r="BI83" s="667">
        <f>INPUT!BT531</f>
        <v>2.3579624043312597</v>
      </c>
      <c r="BJ83" s="664">
        <f>INPUT!BU531</f>
        <v>7978.1</v>
      </c>
      <c r="BK83" s="667">
        <f>INPUT!BV531</f>
        <v>8.8194775966718986</v>
      </c>
      <c r="BL83" s="664">
        <f>INPUT!BW531</f>
        <v>8159.1</v>
      </c>
      <c r="BM83" s="667">
        <f>INPUT!BX531</f>
        <v>10.916110438955439</v>
      </c>
      <c r="BN83" s="664">
        <f>INPUT!BY531</f>
        <v>8377.3000000000011</v>
      </c>
      <c r="BO83" s="667">
        <f>INPUT!BZ531</f>
        <v>11.658625009996548</v>
      </c>
      <c r="BP83" s="664">
        <f>INPUT!CA531</f>
        <v>8433.8000000000011</v>
      </c>
      <c r="BQ83" s="667">
        <f>INPUT!CB531</f>
        <v>8.5389238510739762</v>
      </c>
      <c r="BR83" s="664">
        <f>INPUT!CC531</f>
        <v>8430.3000000000011</v>
      </c>
      <c r="BS83" s="667">
        <f>INPUT!CD531</f>
        <v>5.6680161943319929</v>
      </c>
      <c r="BT83" s="664">
        <f>INPUT!CE531</f>
        <v>8133.5</v>
      </c>
      <c r="BU83" s="667">
        <f>INPUT!CF531</f>
        <v>-0.31376009608903299</v>
      </c>
      <c r="BV83" s="664">
        <f>INPUT!CG531</f>
        <v>8115.9000000000005</v>
      </c>
      <c r="BW83" s="667">
        <f>INPUT!CH531</f>
        <v>-3.1203371014527415</v>
      </c>
      <c r="BX83" s="664">
        <f>INPUT!CI531</f>
        <v>8173.7999999999993</v>
      </c>
      <c r="BY83" s="667">
        <f>INPUT!CJ531</f>
        <v>-3.0828333609998038</v>
      </c>
      <c r="BZ83" s="664">
        <f>INPUT!CK531</f>
        <v>8573.9</v>
      </c>
      <c r="CA83" s="667">
        <f>INPUT!CL531</f>
        <v>1.7033794764124366</v>
      </c>
      <c r="CB83" s="664">
        <f>INPUT!CM531</f>
        <v>7707.9</v>
      </c>
      <c r="CC83" s="667">
        <f>INPUT!CN531</f>
        <v>-5.2326796582037316</v>
      </c>
      <c r="CD83" s="664">
        <f>INPUT!CO531</f>
        <v>7724.5</v>
      </c>
      <c r="CE83" s="667">
        <f>INPUT!CP531</f>
        <v>-4.8226321172020414</v>
      </c>
      <c r="CF83" s="664">
        <f>INPUT!CQ531</f>
        <v>7785.4</v>
      </c>
      <c r="CG83" s="667">
        <f>INPUT!CR531</f>
        <v>-4.7517678435978317</v>
      </c>
      <c r="CH83" s="664">
        <f>INPUT!CS531</f>
        <v>7882.9999999999991</v>
      </c>
      <c r="CI83" s="667">
        <f>INPUT!CT531</f>
        <v>-8.0581765590921339</v>
      </c>
      <c r="CJ83" s="664">
        <f>INPUT!CU531</f>
        <v>7984.6</v>
      </c>
      <c r="CK83" s="667">
        <f>INPUT!CV531</f>
        <v>3.5898234279116314</v>
      </c>
      <c r="CL83" s="669">
        <f>INPUT!CW531</f>
        <v>8072.0999999999995</v>
      </c>
      <c r="CM83" s="670">
        <f>INPUT!CX531</f>
        <v>4.4999676354456453</v>
      </c>
      <c r="CN83" s="669">
        <f>INPUT!CY531</f>
        <v>8163.9000000000005</v>
      </c>
      <c r="CO83" s="670">
        <f>INPUT!CZ531</f>
        <v>4.8616641405708316</v>
      </c>
      <c r="CP83" s="669">
        <f>INPUT!DA531</f>
        <v>8260.2999999999993</v>
      </c>
      <c r="CQ83" s="670">
        <f>INPUT!DB531</f>
        <v>4.7862488900164868</v>
      </c>
      <c r="CR83" s="669">
        <f>INPUT!DC531</f>
        <v>8384.9</v>
      </c>
      <c r="CS83" s="670">
        <f>INPUT!DD531</f>
        <v>5.0134007965333183</v>
      </c>
      <c r="CT83" s="669">
        <f>INPUT!DE531</f>
        <v>8480</v>
      </c>
      <c r="CU83" s="670">
        <f>INPUT!DF531</f>
        <v>5.0532079632313875</v>
      </c>
      <c r="CV83" s="669">
        <f>INPUT!DG531</f>
        <v>8611.8000000000011</v>
      </c>
      <c r="CW83" s="670">
        <f>INPUT!DH531</f>
        <v>5.486348436409072</v>
      </c>
      <c r="CX83" s="669">
        <f>INPUT!DI531</f>
        <v>8694.4</v>
      </c>
      <c r="CY83" s="670">
        <f>INPUT!DJ531</f>
        <v>5.2552570729876624</v>
      </c>
      <c r="CZ83" s="669">
        <f>INPUT!DK531</f>
        <v>8355.5</v>
      </c>
      <c r="DA83" s="670">
        <f>INPUT!DL531</f>
        <v>-0.35063029970542336</v>
      </c>
      <c r="DB83" s="669">
        <f>INPUT!DM531</f>
        <v>8427.5</v>
      </c>
      <c r="DC83" s="670">
        <f>INPUT!DN531</f>
        <v>-0.61910377358490587</v>
      </c>
      <c r="DD83" s="669">
        <f>INPUT!DO531</f>
        <v>8511.3000000000011</v>
      </c>
      <c r="DE83" s="670">
        <f>INPUT!DP531</f>
        <v>-1.1670034139204311</v>
      </c>
      <c r="DF83" s="669">
        <f>INPUT!DQ531</f>
        <v>8559.1</v>
      </c>
      <c r="DG83" s="670">
        <f>INPUT!DR531</f>
        <v>-1.556174089068818</v>
      </c>
      <c r="DH83" s="669">
        <f>INPUT!DS531</f>
        <v>8647.7999999999993</v>
      </c>
      <c r="DI83" s="670">
        <f>INPUT!DT531</f>
        <v>3.4982945365328089</v>
      </c>
      <c r="DJ83" s="669">
        <f>INPUT!DU531</f>
        <v>8719.5999999999985</v>
      </c>
      <c r="DK83" s="670">
        <f>INPUT!DV531</f>
        <v>3.466033817858194</v>
      </c>
      <c r="DL83" s="669">
        <f>INPUT!DW531</f>
        <v>8817.2000000000007</v>
      </c>
      <c r="DM83" s="670">
        <f>INPUT!DX531</f>
        <v>3.5940455629574819</v>
      </c>
      <c r="DN83" s="669">
        <f>INPUT!DY531</f>
        <v>8910.5</v>
      </c>
      <c r="DO83" s="670">
        <f>INPUT!DZ531</f>
        <v>4.1055718475073277</v>
      </c>
      <c r="DP83" s="669">
        <f>INPUT!EA531</f>
        <v>9019</v>
      </c>
      <c r="DQ83" s="670">
        <f>INPUT!EB531</f>
        <v>4.292421193829643</v>
      </c>
      <c r="DR83" s="669">
        <f>INPUT!EC531</f>
        <v>9103.2799999999988</v>
      </c>
      <c r="DS83" s="670">
        <f>INPUT!ED531</f>
        <v>4.4002018441212876</v>
      </c>
      <c r="DT83" s="669">
        <f>INPUT!EE531</f>
        <v>9211.7000000000007</v>
      </c>
      <c r="DU83" s="670">
        <f>INPUT!EF531</f>
        <v>4.47420949961439</v>
      </c>
      <c r="DV83" s="669">
        <f>INPUT!EG531</f>
        <v>9324.3000000000011</v>
      </c>
      <c r="DW83" s="670">
        <f>INPUT!EH531</f>
        <v>4.6439593737725327</v>
      </c>
      <c r="DX83" s="669">
        <f>INPUT!EI531</f>
        <v>9447.4</v>
      </c>
      <c r="DY83" s="670">
        <f>INPUT!EJ531</f>
        <v>4.7499722807406553</v>
      </c>
      <c r="DZ83" s="669">
        <f>INPUT!EK531</f>
        <v>9558.4828303240956</v>
      </c>
      <c r="EA83" s="670">
        <f>INPUT!EL531</f>
        <v>5.0004265531115921</v>
      </c>
      <c r="EB83" s="669">
        <f>INPUT!EM531</f>
        <v>9685.2669541748146</v>
      </c>
      <c r="EC83" s="670">
        <f>INPUT!EN531</f>
        <v>5.1409289726631835</v>
      </c>
      <c r="ED83" s="669">
        <f>INPUT!EO531</f>
        <v>9806.1279088450246</v>
      </c>
      <c r="EE83" s="670">
        <f>INPUT!EP531</f>
        <v>5.1674432273202564</v>
      </c>
      <c r="EF83" s="669">
        <f>INPUT!EQ531</f>
        <v>9930.3287902548473</v>
      </c>
      <c r="EG83" s="670">
        <f>INPUT!ER531</f>
        <v>5.1117639800881465</v>
      </c>
      <c r="EH83" s="670"/>
      <c r="EI83" s="669">
        <f>INPUT!FB531</f>
        <v>5891.9</v>
      </c>
      <c r="EJ83" s="671" t="str">
        <f>INPUT!FC531</f>
        <v>NA</v>
      </c>
      <c r="EK83" s="669">
        <f>INPUT!FD531</f>
        <v>6065.8</v>
      </c>
      <c r="EL83" s="671">
        <f>INPUT!FE531</f>
        <v>2.9515096997573043</v>
      </c>
      <c r="EM83" s="669">
        <f>INPUT!FF531</f>
        <v>6099.8</v>
      </c>
      <c r="EN83" s="671">
        <f>INPUT!FG531</f>
        <v>0.56051963467309562</v>
      </c>
      <c r="EO83" s="669">
        <f>INPUT!FH531</f>
        <v>5743</v>
      </c>
      <c r="EP83" s="671">
        <f>INPUT!FI531</f>
        <v>-5.8493721105610019</v>
      </c>
      <c r="EQ83" s="669">
        <f>INPUT!FJ531</f>
        <v>6200.4</v>
      </c>
      <c r="ER83" s="670">
        <f>INPUT!FK531</f>
        <v>7.9644784955598125</v>
      </c>
      <c r="ES83" s="669">
        <f>INPUT!FL531</f>
        <v>7106</v>
      </c>
      <c r="ET83" s="670">
        <f>INPUT!FM531</f>
        <v>14.605509321979238</v>
      </c>
      <c r="EU83" s="669">
        <f>INPUT!FN531</f>
        <v>7576.4</v>
      </c>
      <c r="EV83" s="670">
        <f>INPUT!FO531</f>
        <v>6.6197579510272941</v>
      </c>
      <c r="EW83" s="669">
        <f>INPUT!FP531</f>
        <v>7356.0999999999995</v>
      </c>
      <c r="EX83" s="670">
        <f>INPUT!FQ531</f>
        <v>-2.9077134259014814</v>
      </c>
      <c r="EY83" s="669">
        <f>INPUT!FR531</f>
        <v>8159.1</v>
      </c>
      <c r="EZ83" s="670">
        <f>INPUT!FS531</f>
        <v>10.916110438955439</v>
      </c>
      <c r="FA83" s="669">
        <f>INPUT!FT531</f>
        <v>8133.5</v>
      </c>
      <c r="FB83" s="670">
        <f>INPUT!FU531</f>
        <v>-0.31376009608903299</v>
      </c>
      <c r="FC83" s="669">
        <f>INPUT!FV531</f>
        <v>7707.9</v>
      </c>
      <c r="FD83" s="670">
        <f>INPUT!FW531</f>
        <v>-5.2326796582037316</v>
      </c>
      <c r="FE83" s="669">
        <f>INPUT!FX531</f>
        <v>7984.6</v>
      </c>
      <c r="FF83" s="670">
        <f>INPUT!FY531</f>
        <v>3.5898234279116314</v>
      </c>
      <c r="FG83" s="669">
        <f>INPUT!FZ531</f>
        <v>8384.9</v>
      </c>
      <c r="FH83" s="670">
        <f>INPUT!GA531</f>
        <v>5.0134007965333183</v>
      </c>
      <c r="FI83" s="669">
        <f>INPUT!GB531</f>
        <v>8355.5</v>
      </c>
      <c r="FJ83" s="670">
        <f>INPUT!GC531</f>
        <v>-0.35063029970542336</v>
      </c>
      <c r="FK83" s="669">
        <f>INPUT!GD531</f>
        <v>8647.7999999999993</v>
      </c>
      <c r="FL83" s="670">
        <f>INPUT!GE531</f>
        <v>3.4982945365328089</v>
      </c>
      <c r="FM83" s="669">
        <f>INPUT!GF531</f>
        <v>9019</v>
      </c>
      <c r="FN83" s="670">
        <f>INPUT!GG531</f>
        <v>4.292421193829643</v>
      </c>
      <c r="FO83" s="669">
        <f>INPUT!GH531</f>
        <v>9447.4</v>
      </c>
      <c r="FP83" s="670">
        <f>INPUT!GI531</f>
        <v>4.7499722807406553</v>
      </c>
      <c r="FQ83" s="669">
        <f>INPUT!GJ531</f>
        <v>9930.3287902548473</v>
      </c>
      <c r="FR83" s="670">
        <f>INPUT!GK531</f>
        <v>5.1117639800881465</v>
      </c>
      <c r="FS83" s="669">
        <f>INPUT!GL531</f>
        <v>10429.202729138586</v>
      </c>
      <c r="FT83" s="670">
        <f>INPUT!GM531</f>
        <v>5.0237403959203286</v>
      </c>
      <c r="FU83" s="669">
        <f>INPUT!GN531</f>
        <v>10920.977516748733</v>
      </c>
      <c r="FV83" s="670">
        <f>INPUT!GO531</f>
        <v>4.7153632006419643</v>
      </c>
      <c r="FW83" s="669">
        <f>INPUT!GP531</f>
        <v>11433.772349577594</v>
      </c>
      <c r="FX83" s="670">
        <f>INPUT!GQ531</f>
        <v>4.6955030540299481</v>
      </c>
      <c r="FY83" s="669">
        <f>INPUT!GR531</f>
        <v>11937.160699800681</v>
      </c>
      <c r="FZ83" s="670">
        <f>INPUT!GS531</f>
        <v>4.4026445064011099</v>
      </c>
      <c r="GA83" s="988">
        <f>INPUT!GT531</f>
        <v>4.7894949863732661</v>
      </c>
    </row>
    <row r="84" spans="1:183" s="707" customFormat="1" ht="12.75" customHeight="1" x14ac:dyDescent="0.2">
      <c r="A84" s="993" t="str">
        <f>INPUT!B543</f>
        <v>LT Debt to LT Capital (%)</v>
      </c>
      <c r="B84" s="826">
        <f>INPUT!M543</f>
        <v>24.314495599679979</v>
      </c>
      <c r="C84" s="824">
        <f>INPUT!N543</f>
        <v>1.2246029597424046</v>
      </c>
      <c r="D84" s="826">
        <f>INPUT!O543</f>
        <v>25.418012370544279</v>
      </c>
      <c r="E84" s="665">
        <f>INPUT!P543</f>
        <v>0.26229212678845482</v>
      </c>
      <c r="F84" s="826">
        <f>INPUT!Q543</f>
        <v>25.1886759026326</v>
      </c>
      <c r="G84" s="665">
        <f>INPUT!R543</f>
        <v>1.3629386940578803</v>
      </c>
      <c r="H84" s="826">
        <f>INPUT!S543</f>
        <v>23.116500398560355</v>
      </c>
      <c r="I84" s="665">
        <f>INPUT!T543</f>
        <v>-5.4659470528687359</v>
      </c>
      <c r="J84" s="826">
        <f>INPUT!U543</f>
        <v>27.679151872780917</v>
      </c>
      <c r="K84" s="665">
        <f>INPUT!V543</f>
        <v>13.838067334389702</v>
      </c>
      <c r="L84" s="826">
        <f>INPUT!W543</f>
        <v>25.654872953010617</v>
      </c>
      <c r="M84" s="665">
        <f>INPUT!X543</f>
        <v>0.93186115032670713</v>
      </c>
      <c r="N84" s="826">
        <f>INPUT!Y543</f>
        <v>25.408985801655394</v>
      </c>
      <c r="O84" s="665">
        <f>INPUT!Z543</f>
        <v>0.87463866649604149</v>
      </c>
      <c r="P84" s="826">
        <f>INPUT!AA543</f>
        <v>26.454639546395462</v>
      </c>
      <c r="Q84" s="665">
        <f>INPUT!AB543</f>
        <v>14.440503926982817</v>
      </c>
      <c r="R84" s="826">
        <f>INPUT!AC543</f>
        <v>28.304725679481933</v>
      </c>
      <c r="S84" s="665">
        <f>INPUT!AD543</f>
        <v>2.2600902281120661</v>
      </c>
      <c r="T84" s="826">
        <f>INPUT!AE543</f>
        <v>29.193119223228457</v>
      </c>
      <c r="U84" s="665">
        <f>INPUT!AF543</f>
        <v>13.791712306268211</v>
      </c>
      <c r="V84" s="826">
        <f>INPUT!AG543</f>
        <v>26.790657133770718</v>
      </c>
      <c r="W84" s="665">
        <f>INPUT!AH543</f>
        <v>5.4377271997424925</v>
      </c>
      <c r="X84" s="826">
        <f>INPUT!AI543</f>
        <v>26.432306798373041</v>
      </c>
      <c r="Y84" s="665">
        <f>INPUT!AJ543</f>
        <v>-8.4419022165294066E-2</v>
      </c>
      <c r="Z84" s="826">
        <f>INPUT!AK543</f>
        <v>26.020752536866077</v>
      </c>
      <c r="AA84" s="665">
        <f>INPUT!AL543</f>
        <v>-8.0692290343287283</v>
      </c>
      <c r="AB84" s="826">
        <f>INPUT!AM543</f>
        <v>25.567383460167935</v>
      </c>
      <c r="AC84" s="665">
        <f>INPUT!AN543</f>
        <v>-12.419829944638415</v>
      </c>
      <c r="AD84" s="826">
        <f>INPUT!AO543</f>
        <v>25.462626081699817</v>
      </c>
      <c r="AE84" s="665">
        <f>INPUT!AP543</f>
        <v>-4.9570678518253475</v>
      </c>
      <c r="AF84" s="826">
        <f>INPUT!AQ543</f>
        <v>28.261466920312827</v>
      </c>
      <c r="AG84" s="665">
        <f>INPUT!AR543</f>
        <v>6.9201683223969468</v>
      </c>
      <c r="AH84" s="826">
        <f>INPUT!AS543</f>
        <v>24.935853856444222</v>
      </c>
      <c r="AI84" s="665">
        <f>INPUT!AT543</f>
        <v>-4.1693593560938496</v>
      </c>
      <c r="AJ84" s="826">
        <f>INPUT!AU543</f>
        <v>20.787001937494736</v>
      </c>
      <c r="AK84" s="665">
        <f>INPUT!AV543</f>
        <v>-18.697187102155667</v>
      </c>
      <c r="AL84" s="826">
        <f>INPUT!AW543</f>
        <v>20.973173970783531</v>
      </c>
      <c r="AM84" s="665">
        <f>INPUT!AX543</f>
        <v>-17.63153610515802</v>
      </c>
      <c r="AN84" s="826">
        <f>INPUT!AY543</f>
        <v>21.218358318997296</v>
      </c>
      <c r="AO84" s="667">
        <f>INPUT!AZ543</f>
        <v>-24.921242132174402</v>
      </c>
      <c r="AP84" s="826">
        <f>INPUT!BA543</f>
        <v>20.489467029552319</v>
      </c>
      <c r="AQ84" s="667">
        <f>INPUT!BB543</f>
        <v>-17.831299671909228</v>
      </c>
      <c r="AR84" s="826">
        <f>INPUT!BC543</f>
        <v>17.792707940893298</v>
      </c>
      <c r="AS84" s="667">
        <f>INPUT!BD543</f>
        <v>-14.404645776264902</v>
      </c>
      <c r="AT84" s="826">
        <f>INPUT!BE543</f>
        <v>17.470722621277297</v>
      </c>
      <c r="AU84" s="667">
        <f>INPUT!BF543</f>
        <v>-16.699672421471778</v>
      </c>
      <c r="AV84" s="826">
        <f>INPUT!BG543</f>
        <v>19.102025446906339</v>
      </c>
      <c r="AW84" s="667">
        <f>INPUT!BH543</f>
        <v>-9.9740651009562526</v>
      </c>
      <c r="AX84" s="826">
        <f>INPUT!BI543</f>
        <v>19.36065839617287</v>
      </c>
      <c r="AY84" s="667">
        <f>INPUT!BJ543</f>
        <v>-5.5092142306647052</v>
      </c>
      <c r="AZ84" s="826">
        <f>INPUT!BK543</f>
        <v>17.298980747451871</v>
      </c>
      <c r="BA84" s="667">
        <f>INPUT!BL543</f>
        <v>-2.7748850544929371</v>
      </c>
      <c r="BB84" s="826">
        <f>INPUT!BM543</f>
        <v>17.655377512504025</v>
      </c>
      <c r="BC84" s="667">
        <f>INPUT!BN543</f>
        <v>1.0569390587304106</v>
      </c>
      <c r="BD84" s="826">
        <f>INPUT!BO543</f>
        <v>17.387551349383809</v>
      </c>
      <c r="BE84" s="667">
        <f>INPUT!BP543</f>
        <v>-8.9753523901843444</v>
      </c>
      <c r="BF84" s="826">
        <f>INPUT!BQ543</f>
        <v>17.086694064956493</v>
      </c>
      <c r="BG84" s="667">
        <f>INPUT!BR543</f>
        <v>-11.745284094604369</v>
      </c>
      <c r="BH84" s="826">
        <f>INPUT!BS543</f>
        <v>16.596313704357893</v>
      </c>
      <c r="BI84" s="667">
        <f>INPUT!BT543</f>
        <v>-4.0618985207985787</v>
      </c>
      <c r="BJ84" s="826">
        <f>INPUT!BU543</f>
        <v>18.873303467414264</v>
      </c>
      <c r="BK84" s="667">
        <f>INPUT!BV543</f>
        <v>6.8983285916580872</v>
      </c>
      <c r="BL84" s="826">
        <f>INPUT!BW543</f>
        <v>18.322485455750932</v>
      </c>
      <c r="BM84" s="667">
        <f>INPUT!BX543</f>
        <v>5.377031461076065</v>
      </c>
      <c r="BN84" s="826">
        <f>INPUT!BY543</f>
        <v>15.969442752026994</v>
      </c>
      <c r="BO84" s="667">
        <f>INPUT!BZ543</f>
        <v>-6.5387213505560204</v>
      </c>
      <c r="BP84" s="826">
        <f>INPUT!CA543</f>
        <v>15.69351251331701</v>
      </c>
      <c r="BQ84" s="667">
        <f>INPUT!CB543</f>
        <v>-5.439769379653403</v>
      </c>
      <c r="BR84" s="826">
        <f>INPUT!CC543</f>
        <v>18.697031988171226</v>
      </c>
      <c r="BS84" s="667">
        <f>INPUT!CD543</f>
        <v>-0.93397257956128188</v>
      </c>
      <c r="BT84" s="826">
        <f>INPUT!CE543</f>
        <v>18.985954221165283</v>
      </c>
      <c r="BU84" s="667">
        <f>INPUT!CF543</f>
        <v>3.6210631304177454</v>
      </c>
      <c r="BV84" s="826">
        <f>INPUT!CG543</f>
        <v>18.818382785027374</v>
      </c>
      <c r="BW84" s="667">
        <f>INPUT!CH543</f>
        <v>17.839946435443178</v>
      </c>
      <c r="BX84" s="826">
        <f>INPUT!CI543</f>
        <v>18.597218221854707</v>
      </c>
      <c r="BY84" s="667">
        <f>INPUT!CJ543</f>
        <v>18.502586378120924</v>
      </c>
      <c r="BZ84" s="826">
        <f>INPUT!CK543</f>
        <v>17.911544389089997</v>
      </c>
      <c r="CA84" s="667">
        <f>INPUT!CL543</f>
        <v>-4.2011352367486543</v>
      </c>
      <c r="CB84" s="826">
        <f>INPUT!CM543</f>
        <v>19.290530350940351</v>
      </c>
      <c r="CC84" s="667">
        <f>INPUT!CN543</f>
        <v>1.6042181827002011</v>
      </c>
      <c r="CD84" s="826">
        <f>INPUT!CO543</f>
        <v>19.122726786218173</v>
      </c>
      <c r="CE84" s="667">
        <f>INPUT!CP543</f>
        <v>1.6172696913836049</v>
      </c>
      <c r="CF84" s="826">
        <f>INPUT!CQ543</f>
        <v>18.912035019417569</v>
      </c>
      <c r="CG84" s="667">
        <f>INPUT!CR543</f>
        <v>1.6928166019630986</v>
      </c>
      <c r="CH84" s="826">
        <f>INPUT!CS543</f>
        <v>20.572928876177972</v>
      </c>
      <c r="CI84" s="667">
        <f>INPUT!CT543</f>
        <v>14.858486958327477</v>
      </c>
      <c r="CJ84" s="826">
        <f>INPUT!CU543</f>
        <v>20.185288640595907</v>
      </c>
      <c r="CK84" s="667">
        <f>INPUT!CV543</f>
        <v>4.6383291354762601</v>
      </c>
      <c r="CL84" s="688">
        <f>INPUT!CW543</f>
        <v>19.415596501023639</v>
      </c>
      <c r="CM84" s="670">
        <f>INPUT!CX543</f>
        <v>1.5315269526129383</v>
      </c>
      <c r="CN84" s="688">
        <f>INPUT!CY543</f>
        <v>19.027748221208558</v>
      </c>
      <c r="CO84" s="670">
        <f>INPUT!CZ543</f>
        <v>0.61184955332507229</v>
      </c>
      <c r="CP84" s="688">
        <f>INPUT!DA543</f>
        <v>18.764919754673333</v>
      </c>
      <c r="CQ84" s="670">
        <f>INPUT!DB543</f>
        <v>-8.7882922863656514</v>
      </c>
      <c r="CR84" s="688">
        <f>INPUT!DC543</f>
        <v>18.409733652211077</v>
      </c>
      <c r="CS84" s="670">
        <f>INPUT!DD543</f>
        <v>-8.7962823816841507</v>
      </c>
      <c r="CT84" s="688">
        <f>INPUT!DE543</f>
        <v>20.656796345881236</v>
      </c>
      <c r="CU84" s="670">
        <f>INPUT!DF543</f>
        <v>6.3927978972583066</v>
      </c>
      <c r="CV84" s="688">
        <f>INPUT!DG543</f>
        <v>19.331275539732367</v>
      </c>
      <c r="CW84" s="670">
        <f>INPUT!DH543</f>
        <v>1.5951825460118974</v>
      </c>
      <c r="CX84" s="688">
        <f>INPUT!DI543</f>
        <v>19.131010568319436</v>
      </c>
      <c r="CY84" s="670">
        <f>INPUT!DJ543</f>
        <v>1.950931943393619</v>
      </c>
      <c r="CZ84" s="688">
        <f>INPUT!DK543</f>
        <v>18.583055661768725</v>
      </c>
      <c r="DA84" s="670">
        <f>INPUT!DL543</f>
        <v>0.94146940326229611</v>
      </c>
      <c r="DB84" s="688">
        <f>INPUT!DM543</f>
        <v>18.274286543133776</v>
      </c>
      <c r="DC84" s="670">
        <f>INPUT!DN543</f>
        <v>-11.533781729045845</v>
      </c>
      <c r="DD84" s="688">
        <f>INPUT!DO543</f>
        <v>17.970447435562246</v>
      </c>
      <c r="DE84" s="670">
        <f>INPUT!DP543</f>
        <v>-7.0395153251690772</v>
      </c>
      <c r="DF84" s="688">
        <f>INPUT!DQ543</f>
        <v>15.122213767376252</v>
      </c>
      <c r="DG84" s="670">
        <f>INPUT!DR543</f>
        <v>-20.954443502224972</v>
      </c>
      <c r="DH84" s="688">
        <f>INPUT!DS543</f>
        <v>16.778106188948566</v>
      </c>
      <c r="DI84" s="670">
        <f>INPUT!DT543</f>
        <v>-9.7128777186709758</v>
      </c>
      <c r="DJ84" s="688">
        <f>INPUT!DU543</f>
        <v>16.618736617661554</v>
      </c>
      <c r="DK84" s="670">
        <f>INPUT!DV543</f>
        <v>-9.0594504007832981</v>
      </c>
      <c r="DL84" s="688">
        <f>INPUT!DW543</f>
        <v>20.701023626030789</v>
      </c>
      <c r="DM84" s="670">
        <f>INPUT!DX543</f>
        <v>15.194814710428005</v>
      </c>
      <c r="DN84" s="688">
        <f>INPUT!DY543</f>
        <v>20.387584553615586</v>
      </c>
      <c r="DO84" s="670">
        <f>INPUT!DZ543</f>
        <v>34.818782932420419</v>
      </c>
      <c r="DP84" s="688">
        <f>INPUT!EA543</f>
        <v>20.068395127471213</v>
      </c>
      <c r="DQ84" s="670">
        <f>INPUT!EB543</f>
        <v>19.610609811790923</v>
      </c>
      <c r="DR84" s="688">
        <f>INPUT!EC543</f>
        <v>19.830607186702714</v>
      </c>
      <c r="DS84" s="670">
        <f>INPUT!ED543</f>
        <v>19.326803492557598</v>
      </c>
      <c r="DT84" s="688">
        <f>INPUT!EE543</f>
        <v>19.547458559453535</v>
      </c>
      <c r="DU84" s="670">
        <f>INPUT!EF543</f>
        <v>-5.572502536187085</v>
      </c>
      <c r="DV84" s="688">
        <f>INPUT!EG543</f>
        <v>17.937806331964499</v>
      </c>
      <c r="DW84" s="670">
        <f>INPUT!EH543</f>
        <v>-12.016029732255051</v>
      </c>
      <c r="DX84" s="688">
        <f>INPUT!EI543</f>
        <v>18.979952687373341</v>
      </c>
      <c r="DY84" s="670">
        <f>INPUT!EJ543</f>
        <v>-5.4236645889432662</v>
      </c>
      <c r="DZ84" s="688">
        <f>INPUT!EK543</f>
        <v>18.811241516461831</v>
      </c>
      <c r="EA84" s="670">
        <f>INPUT!EL543</f>
        <v>-5.1403653990202187</v>
      </c>
      <c r="EB84" s="688">
        <f>INPUT!EM543</f>
        <v>18.62231181197604</v>
      </c>
      <c r="EC84" s="670">
        <f>INPUT!EN543</f>
        <v>-4.7328236796802203</v>
      </c>
      <c r="ED84" s="688">
        <f>INPUT!EO543</f>
        <v>18.445708326918879</v>
      </c>
      <c r="EE84" s="670">
        <f>INPUT!EP543</f>
        <v>2.8314610245809169</v>
      </c>
      <c r="EF84" s="688">
        <f>INPUT!EQ543</f>
        <v>18.267680561119406</v>
      </c>
      <c r="EG84" s="670">
        <f>INPUT!ER543</f>
        <v>-3.7527602833687945</v>
      </c>
      <c r="EH84" s="670"/>
      <c r="EI84" s="688">
        <f>INPUT!FB543</f>
        <v>24.453093544490677</v>
      </c>
      <c r="EJ84" s="671" t="str">
        <f>INPUT!FC543</f>
        <v>NA</v>
      </c>
      <c r="EK84" s="688">
        <f>INPUT!FD543</f>
        <v>23.116500398560355</v>
      </c>
      <c r="EL84" s="671">
        <f>INPUT!FE543</f>
        <v>-5.4659470528687359</v>
      </c>
      <c r="EM84" s="688">
        <f>INPUT!FF543</f>
        <v>26.454639546395462</v>
      </c>
      <c r="EN84" s="671">
        <f>INPUT!FG543</f>
        <v>14.440503926982817</v>
      </c>
      <c r="EO84" s="688">
        <f>INPUT!FH543</f>
        <v>26.432306798373041</v>
      </c>
      <c r="EP84" s="671">
        <f>INPUT!FI543</f>
        <v>-8.4419022165294066E-2</v>
      </c>
      <c r="EQ84" s="688">
        <f>INPUT!FJ543</f>
        <v>28.261466920312827</v>
      </c>
      <c r="ER84" s="670">
        <f>INPUT!FK543</f>
        <v>6.9201683223969468</v>
      </c>
      <c r="ES84" s="688">
        <f>INPUT!FL543</f>
        <v>21.218358318997296</v>
      </c>
      <c r="ET84" s="670">
        <f>INPUT!FM543</f>
        <v>-24.921242132174402</v>
      </c>
      <c r="EU84" s="688">
        <f>INPUT!FN543</f>
        <v>19.102025446906339</v>
      </c>
      <c r="EV84" s="670">
        <f>INPUT!FO543</f>
        <v>-9.9740651009562526</v>
      </c>
      <c r="EW84" s="688">
        <f>INPUT!FP543</f>
        <v>17.387551349383809</v>
      </c>
      <c r="EX84" s="670">
        <f>INPUT!FQ543</f>
        <v>-8.9753523901843444</v>
      </c>
      <c r="EY84" s="688">
        <f>INPUT!FR543</f>
        <v>18.322485455750932</v>
      </c>
      <c r="EZ84" s="670">
        <f>INPUT!FS543</f>
        <v>5.377031461076065</v>
      </c>
      <c r="FA84" s="688">
        <f>INPUT!FT543</f>
        <v>18.985954221165283</v>
      </c>
      <c r="FB84" s="670">
        <f>INPUT!FU543</f>
        <v>3.6210631304177454</v>
      </c>
      <c r="FC84" s="688">
        <f>INPUT!FV543</f>
        <v>19.290530350940351</v>
      </c>
      <c r="FD84" s="670">
        <f>INPUT!FW543</f>
        <v>1.6042181827002011</v>
      </c>
      <c r="FE84" s="688">
        <f>INPUT!FX543</f>
        <v>20.185288640595907</v>
      </c>
      <c r="FF84" s="670">
        <f>INPUT!FY543</f>
        <v>4.6383291354762601</v>
      </c>
      <c r="FG84" s="688">
        <f>INPUT!FZ543</f>
        <v>18.409733652211077</v>
      </c>
      <c r="FH84" s="670">
        <f>INPUT!GA543</f>
        <v>-8.7962823816841507</v>
      </c>
      <c r="FI84" s="688">
        <f>INPUT!GB543</f>
        <v>18.583055661768725</v>
      </c>
      <c r="FJ84" s="670">
        <f>INPUT!GC543</f>
        <v>0.94146940326229611</v>
      </c>
      <c r="FK84" s="688">
        <f>INPUT!GD543</f>
        <v>16.778106188948566</v>
      </c>
      <c r="FL84" s="670">
        <f>INPUT!GE543</f>
        <v>-9.7128777186709758</v>
      </c>
      <c r="FM84" s="688">
        <f>INPUT!GF543</f>
        <v>20.068395127471213</v>
      </c>
      <c r="FN84" s="670">
        <f>INPUT!GG543</f>
        <v>19.610609811790923</v>
      </c>
      <c r="FO84" s="688">
        <f>INPUT!GH543</f>
        <v>18.979952687373341</v>
      </c>
      <c r="FP84" s="670">
        <f>INPUT!GI543</f>
        <v>-5.4236645889432662</v>
      </c>
      <c r="FQ84" s="688">
        <f>INPUT!GJ543</f>
        <v>18.267680561119406</v>
      </c>
      <c r="FR84" s="670">
        <f>INPUT!GK543</f>
        <v>-3.7527602833687945</v>
      </c>
      <c r="FS84" s="688">
        <f>INPUT!GL543</f>
        <v>17.585932448517166</v>
      </c>
      <c r="FT84" s="670">
        <f>INPUT!GM543</f>
        <v>-3.7319905519546892</v>
      </c>
      <c r="FU84" s="688">
        <f>INPUT!GN543</f>
        <v>16.961923138916099</v>
      </c>
      <c r="FV84" s="670">
        <f>INPUT!GO543</f>
        <v>-3.5483436060490647</v>
      </c>
      <c r="FW84" s="688">
        <f>INPUT!GP543</f>
        <v>16.356722557614262</v>
      </c>
      <c r="FX84" s="670">
        <f>INPUT!GQ543</f>
        <v>-3.5679950695762352</v>
      </c>
      <c r="FY84" s="688">
        <f>INPUT!GR543</f>
        <v>15.803208031274613</v>
      </c>
      <c r="FZ84" s="670">
        <f>INPUT!GS543</f>
        <v>-3.3840185550006785</v>
      </c>
      <c r="GA84" s="988">
        <f>INPUT!GT543</f>
        <v>-3.5971160386776058</v>
      </c>
    </row>
    <row r="85" spans="1:183" s="707" customFormat="1" ht="12.75" customHeight="1" x14ac:dyDescent="0.2">
      <c r="A85" s="993" t="str">
        <f>INPUT!B544</f>
        <v>LTD + Pref Equity to LT Capital (%)</v>
      </c>
      <c r="B85" s="826">
        <f>INPUT!M544</f>
        <v>27.951123718088596</v>
      </c>
      <c r="C85" s="824">
        <f>INPUT!N544</f>
        <v>0.21014628332400864</v>
      </c>
      <c r="D85" s="826">
        <f>INPUT!O544</f>
        <v>28.993314185605833</v>
      </c>
      <c r="E85" s="665">
        <f>INPUT!P544</f>
        <v>-0.30201722180334123</v>
      </c>
      <c r="F85" s="826">
        <f>INPUT!Q544</f>
        <v>28.731885341742547</v>
      </c>
      <c r="G85" s="665">
        <f>INPUT!R544</f>
        <v>0.6496496223447501</v>
      </c>
      <c r="H85" s="826">
        <f>INPUT!S544</f>
        <v>26.739776323099594</v>
      </c>
      <c r="I85" s="665">
        <f>INPUT!T544</f>
        <v>-4.8859123679556689</v>
      </c>
      <c r="J85" s="826">
        <f>INPUT!U544</f>
        <v>27.679151872780917</v>
      </c>
      <c r="K85" s="665">
        <f>INPUT!V544</f>
        <v>-0.97302651603832224</v>
      </c>
      <c r="L85" s="826">
        <f>INPUT!W544</f>
        <v>25.654872953010617</v>
      </c>
      <c r="M85" s="665">
        <f>INPUT!X544</f>
        <v>-11.514520938253536</v>
      </c>
      <c r="N85" s="826">
        <f>INPUT!Y544</f>
        <v>25.408985801655394</v>
      </c>
      <c r="O85" s="665">
        <f>INPUT!Z544</f>
        <v>-11.565198386962605</v>
      </c>
      <c r="P85" s="826">
        <f>INPUT!AA544</f>
        <v>26.454639546395462</v>
      </c>
      <c r="Q85" s="665">
        <f>INPUT!AB544</f>
        <v>-1.0663394235568502</v>
      </c>
      <c r="R85" s="826">
        <f>INPUT!AC544</f>
        <v>28.304725679481933</v>
      </c>
      <c r="S85" s="665">
        <f>INPUT!AD544</f>
        <v>2.2600902281120661</v>
      </c>
      <c r="T85" s="826">
        <f>INPUT!AE544</f>
        <v>29.193119223228457</v>
      </c>
      <c r="U85" s="665">
        <f>INPUT!AF544</f>
        <v>13.791712306268211</v>
      </c>
      <c r="V85" s="826">
        <f>INPUT!AG544</f>
        <v>26.790657133770718</v>
      </c>
      <c r="W85" s="665">
        <f>INPUT!AH544</f>
        <v>5.4377271997424925</v>
      </c>
      <c r="X85" s="826">
        <f>INPUT!AI544</f>
        <v>26.432306798373041</v>
      </c>
      <c r="Y85" s="665">
        <f>INPUT!AJ544</f>
        <v>-8.4419022165294066E-2</v>
      </c>
      <c r="Z85" s="826">
        <f>INPUT!AK544</f>
        <v>26.020752536866077</v>
      </c>
      <c r="AA85" s="665">
        <f>INPUT!AL544</f>
        <v>-8.0692290343287283</v>
      </c>
      <c r="AB85" s="826">
        <f>INPUT!AM544</f>
        <v>25.567383460167935</v>
      </c>
      <c r="AC85" s="665">
        <f>INPUT!AN544</f>
        <v>-12.419829944638415</v>
      </c>
      <c r="AD85" s="826">
        <f>INPUT!AO544</f>
        <v>25.462626081699817</v>
      </c>
      <c r="AE85" s="665">
        <f>INPUT!AP544</f>
        <v>-4.9570678518253475</v>
      </c>
      <c r="AF85" s="826">
        <f>INPUT!AQ544</f>
        <v>28.261466920312827</v>
      </c>
      <c r="AG85" s="665">
        <f>INPUT!AR544</f>
        <v>6.9201683223969468</v>
      </c>
      <c r="AH85" s="826">
        <f>INPUT!AS544</f>
        <v>24.935853856444222</v>
      </c>
      <c r="AI85" s="665">
        <f>INPUT!AT544</f>
        <v>-4.1693593560938496</v>
      </c>
      <c r="AJ85" s="826">
        <f>INPUT!AU544</f>
        <v>20.787001937494736</v>
      </c>
      <c r="AK85" s="665">
        <f>INPUT!AV544</f>
        <v>-18.697187102155667</v>
      </c>
      <c r="AL85" s="826">
        <f>INPUT!AW544</f>
        <v>20.973173970783531</v>
      </c>
      <c r="AM85" s="665">
        <f>INPUT!AX544</f>
        <v>-17.63153610515802</v>
      </c>
      <c r="AN85" s="826">
        <f>INPUT!AY544</f>
        <v>21.218358318997296</v>
      </c>
      <c r="AO85" s="667">
        <f>INPUT!AZ544</f>
        <v>-24.921242132174402</v>
      </c>
      <c r="AP85" s="826">
        <f>INPUT!BA544</f>
        <v>20.489467029552319</v>
      </c>
      <c r="AQ85" s="667">
        <f>INPUT!BB544</f>
        <v>-17.831299671909228</v>
      </c>
      <c r="AR85" s="826">
        <f>INPUT!BC544</f>
        <v>17.792707940893298</v>
      </c>
      <c r="AS85" s="667">
        <f>INPUT!BD544</f>
        <v>-14.404645776264902</v>
      </c>
      <c r="AT85" s="826">
        <f>INPUT!BE544</f>
        <v>17.470722621277297</v>
      </c>
      <c r="AU85" s="667">
        <f>INPUT!BF544</f>
        <v>-16.699672421471778</v>
      </c>
      <c r="AV85" s="826">
        <f>INPUT!BG544</f>
        <v>19.102025446906339</v>
      </c>
      <c r="AW85" s="667">
        <f>INPUT!BH544</f>
        <v>-9.9740651009562526</v>
      </c>
      <c r="AX85" s="826">
        <f>INPUT!BI544</f>
        <v>19.36065839617287</v>
      </c>
      <c r="AY85" s="667">
        <f>INPUT!BJ544</f>
        <v>-5.5092142306647052</v>
      </c>
      <c r="AZ85" s="826">
        <f>INPUT!BK544</f>
        <v>17.298980747451871</v>
      </c>
      <c r="BA85" s="667">
        <f>INPUT!BL544</f>
        <v>-2.7748850544929371</v>
      </c>
      <c r="BB85" s="826">
        <f>INPUT!BM544</f>
        <v>17.655377512504025</v>
      </c>
      <c r="BC85" s="667">
        <f>INPUT!BN544</f>
        <v>1.0569390587304106</v>
      </c>
      <c r="BD85" s="826">
        <f>INPUT!BO544</f>
        <v>17.387551349383809</v>
      </c>
      <c r="BE85" s="667">
        <f>INPUT!BP544</f>
        <v>-8.9753523901843444</v>
      </c>
      <c r="BF85" s="826">
        <f>INPUT!BQ544</f>
        <v>17.086694064956493</v>
      </c>
      <c r="BG85" s="667">
        <f>INPUT!BR544</f>
        <v>-11.745284094604369</v>
      </c>
      <c r="BH85" s="826">
        <f>INPUT!BS544</f>
        <v>16.596313704357893</v>
      </c>
      <c r="BI85" s="667">
        <f>INPUT!BT544</f>
        <v>-4.0618985207985787</v>
      </c>
      <c r="BJ85" s="826">
        <f>INPUT!BU544</f>
        <v>18.873303467414264</v>
      </c>
      <c r="BK85" s="667">
        <f>INPUT!BV544</f>
        <v>6.8983285916580872</v>
      </c>
      <c r="BL85" s="826">
        <f>INPUT!BW544</f>
        <v>18.322485455750932</v>
      </c>
      <c r="BM85" s="667">
        <f>INPUT!BX544</f>
        <v>5.377031461076065</v>
      </c>
      <c r="BN85" s="826">
        <f>INPUT!BY544</f>
        <v>15.969442752026994</v>
      </c>
      <c r="BO85" s="667">
        <f>INPUT!BZ544</f>
        <v>-6.5387213505560204</v>
      </c>
      <c r="BP85" s="826">
        <f>INPUT!CA544</f>
        <v>15.69351251331701</v>
      </c>
      <c r="BQ85" s="667">
        <f>INPUT!CB544</f>
        <v>-5.439769379653403</v>
      </c>
      <c r="BR85" s="826">
        <f>INPUT!CC544</f>
        <v>18.697031988171226</v>
      </c>
      <c r="BS85" s="667">
        <f>INPUT!CD544</f>
        <v>-0.93397257956128188</v>
      </c>
      <c r="BT85" s="826">
        <f>INPUT!CE544</f>
        <v>18.985954221165283</v>
      </c>
      <c r="BU85" s="667">
        <f>INPUT!CF544</f>
        <v>3.6210631304177454</v>
      </c>
      <c r="BV85" s="826">
        <f>INPUT!CG544</f>
        <v>18.818382785027374</v>
      </c>
      <c r="BW85" s="667">
        <f>INPUT!CH544</f>
        <v>17.839946435443178</v>
      </c>
      <c r="BX85" s="826">
        <f>INPUT!CI544</f>
        <v>18.597218221854707</v>
      </c>
      <c r="BY85" s="667">
        <f>INPUT!CJ544</f>
        <v>18.502586378120924</v>
      </c>
      <c r="BZ85" s="826">
        <f>INPUT!CK544</f>
        <v>17.911544389089997</v>
      </c>
      <c r="CA85" s="667">
        <f>INPUT!CL544</f>
        <v>-4.2011352367486543</v>
      </c>
      <c r="CB85" s="826">
        <f>INPUT!CM544</f>
        <v>19.290530350940351</v>
      </c>
      <c r="CC85" s="667">
        <f>INPUT!CN544</f>
        <v>1.6042181827002011</v>
      </c>
      <c r="CD85" s="826">
        <f>INPUT!CO544</f>
        <v>19.122726786218173</v>
      </c>
      <c r="CE85" s="667">
        <f>INPUT!CP544</f>
        <v>1.6172696913836049</v>
      </c>
      <c r="CF85" s="826">
        <f>INPUT!CQ544</f>
        <v>18.912035019417569</v>
      </c>
      <c r="CG85" s="667">
        <f>INPUT!CR544</f>
        <v>1.6928166019630986</v>
      </c>
      <c r="CH85" s="826">
        <f>INPUT!CS544</f>
        <v>20.572928876177972</v>
      </c>
      <c r="CI85" s="667">
        <f>INPUT!CT544</f>
        <v>14.858486958327477</v>
      </c>
      <c r="CJ85" s="826">
        <f>INPUT!CU544</f>
        <v>20.185288640595907</v>
      </c>
      <c r="CK85" s="667">
        <f>INPUT!CV544</f>
        <v>4.6383291354762601</v>
      </c>
      <c r="CL85" s="688">
        <f>INPUT!CW544</f>
        <v>19.415596501023639</v>
      </c>
      <c r="CM85" s="670">
        <f>INPUT!CX544</f>
        <v>1.5315269526129383</v>
      </c>
      <c r="CN85" s="688">
        <f>INPUT!CY544</f>
        <v>19.027748221208558</v>
      </c>
      <c r="CO85" s="670">
        <f>INPUT!CZ544</f>
        <v>0.61184955332507229</v>
      </c>
      <c r="CP85" s="688">
        <f>INPUT!DA544</f>
        <v>18.764919754673333</v>
      </c>
      <c r="CQ85" s="670">
        <f>INPUT!DB544</f>
        <v>-8.7882922863656514</v>
      </c>
      <c r="CR85" s="688">
        <f>INPUT!DC544</f>
        <v>18.409733652211077</v>
      </c>
      <c r="CS85" s="670">
        <f>INPUT!DD544</f>
        <v>-8.7962823816841507</v>
      </c>
      <c r="CT85" s="688">
        <f>INPUT!DE544</f>
        <v>20.656796345881236</v>
      </c>
      <c r="CU85" s="670">
        <f>INPUT!DF544</f>
        <v>6.3927978972583066</v>
      </c>
      <c r="CV85" s="688">
        <f>INPUT!DG544</f>
        <v>19.331275539732367</v>
      </c>
      <c r="CW85" s="670">
        <f>INPUT!DH544</f>
        <v>1.5951825460118974</v>
      </c>
      <c r="CX85" s="688">
        <f>INPUT!DI544</f>
        <v>19.131010568319436</v>
      </c>
      <c r="CY85" s="670">
        <f>INPUT!DJ544</f>
        <v>1.950931943393619</v>
      </c>
      <c r="CZ85" s="688">
        <f>INPUT!DK544</f>
        <v>18.583055661768725</v>
      </c>
      <c r="DA85" s="670">
        <f>INPUT!DL544</f>
        <v>0.94146940326229611</v>
      </c>
      <c r="DB85" s="688">
        <f>INPUT!DM544</f>
        <v>18.274286543133776</v>
      </c>
      <c r="DC85" s="670">
        <f>INPUT!DN544</f>
        <v>-11.533781729045845</v>
      </c>
      <c r="DD85" s="688">
        <f>INPUT!DO544</f>
        <v>17.970447435562246</v>
      </c>
      <c r="DE85" s="670">
        <f>INPUT!DP544</f>
        <v>-7.0395153251690772</v>
      </c>
      <c r="DF85" s="688">
        <f>INPUT!DQ544</f>
        <v>15.122213767376252</v>
      </c>
      <c r="DG85" s="670">
        <f>INPUT!DR544</f>
        <v>-20.954443502224972</v>
      </c>
      <c r="DH85" s="688">
        <f>INPUT!DS544</f>
        <v>16.778106188948566</v>
      </c>
      <c r="DI85" s="670">
        <f>INPUT!DT544</f>
        <v>-9.7128777186709758</v>
      </c>
      <c r="DJ85" s="688">
        <f>INPUT!DU544</f>
        <v>16.618736617661554</v>
      </c>
      <c r="DK85" s="670">
        <f>INPUT!DV544</f>
        <v>-9.0594504007832981</v>
      </c>
      <c r="DL85" s="688">
        <f>INPUT!DW544</f>
        <v>20.701023626030789</v>
      </c>
      <c r="DM85" s="670">
        <f>INPUT!DX544</f>
        <v>15.194814710428005</v>
      </c>
      <c r="DN85" s="688">
        <f>INPUT!DY544</f>
        <v>20.387584553615586</v>
      </c>
      <c r="DO85" s="670">
        <f>INPUT!DZ544</f>
        <v>34.818782932420419</v>
      </c>
      <c r="DP85" s="688">
        <f>INPUT!EA544</f>
        <v>20.068395127471213</v>
      </c>
      <c r="DQ85" s="670">
        <f>INPUT!EB544</f>
        <v>19.610609811790923</v>
      </c>
      <c r="DR85" s="688">
        <f>INPUT!EC544</f>
        <v>19.830607186702714</v>
      </c>
      <c r="DS85" s="670">
        <f>INPUT!ED544</f>
        <v>19.326803492557598</v>
      </c>
      <c r="DT85" s="688">
        <f>INPUT!EE544</f>
        <v>19.547458559453535</v>
      </c>
      <c r="DU85" s="670">
        <f>INPUT!EF544</f>
        <v>-5.572502536187085</v>
      </c>
      <c r="DV85" s="688">
        <f>INPUT!EG544</f>
        <v>17.937806331964499</v>
      </c>
      <c r="DW85" s="670">
        <f>INPUT!EH544</f>
        <v>-12.016029732255051</v>
      </c>
      <c r="DX85" s="688">
        <f>INPUT!EI544</f>
        <v>18.979952687373341</v>
      </c>
      <c r="DY85" s="670">
        <f>INPUT!EJ544</f>
        <v>-5.4236645889432662</v>
      </c>
      <c r="DZ85" s="688">
        <f>INPUT!EK544</f>
        <v>18.811241516461831</v>
      </c>
      <c r="EA85" s="670">
        <f>INPUT!EL544</f>
        <v>-5.1403653990202187</v>
      </c>
      <c r="EB85" s="688">
        <f>INPUT!EM544</f>
        <v>18.62231181197604</v>
      </c>
      <c r="EC85" s="670">
        <f>INPUT!EN544</f>
        <v>-4.7328236796802203</v>
      </c>
      <c r="ED85" s="688">
        <f>INPUT!EO544</f>
        <v>18.445708326918879</v>
      </c>
      <c r="EE85" s="670">
        <f>INPUT!EP544</f>
        <v>2.8314610245809169</v>
      </c>
      <c r="EF85" s="688">
        <f>INPUT!EQ544</f>
        <v>18.267680561119406</v>
      </c>
      <c r="EG85" s="670">
        <f>INPUT!ER544</f>
        <v>-3.7527602833687945</v>
      </c>
      <c r="EH85" s="670"/>
      <c r="EI85" s="688">
        <f>INPUT!FB544</f>
        <v>28.113370993521315</v>
      </c>
      <c r="EJ85" s="671" t="str">
        <f>INPUT!FC544</f>
        <v>NA</v>
      </c>
      <c r="EK85" s="688">
        <f>INPUT!FD544</f>
        <v>26.739776323099594</v>
      </c>
      <c r="EL85" s="671">
        <f>INPUT!FE544</f>
        <v>-4.8859123679556689</v>
      </c>
      <c r="EM85" s="688">
        <f>INPUT!FF544</f>
        <v>26.454639546395462</v>
      </c>
      <c r="EN85" s="671">
        <f>INPUT!FG544</f>
        <v>-1.0663394235568502</v>
      </c>
      <c r="EO85" s="688">
        <f>INPUT!FH544</f>
        <v>26.432306798373041</v>
      </c>
      <c r="EP85" s="671">
        <f>INPUT!FI544</f>
        <v>-8.4419022165294066E-2</v>
      </c>
      <c r="EQ85" s="688">
        <f>INPUT!FJ544</f>
        <v>28.261466920312827</v>
      </c>
      <c r="ER85" s="670">
        <f>INPUT!FK544</f>
        <v>6.9201683223969468</v>
      </c>
      <c r="ES85" s="688">
        <f>INPUT!FL544</f>
        <v>21.218358318997296</v>
      </c>
      <c r="ET85" s="670">
        <f>INPUT!FM544</f>
        <v>-24.921242132174402</v>
      </c>
      <c r="EU85" s="688">
        <f>INPUT!FN544</f>
        <v>19.102025446906339</v>
      </c>
      <c r="EV85" s="670">
        <f>INPUT!FO544</f>
        <v>-9.9740651009562526</v>
      </c>
      <c r="EW85" s="688">
        <f>INPUT!FP544</f>
        <v>17.387551349383809</v>
      </c>
      <c r="EX85" s="670">
        <f>INPUT!FQ544</f>
        <v>-8.9753523901843444</v>
      </c>
      <c r="EY85" s="688">
        <f>INPUT!FR544</f>
        <v>18.322485455750932</v>
      </c>
      <c r="EZ85" s="670">
        <f>INPUT!FS544</f>
        <v>5.377031461076065</v>
      </c>
      <c r="FA85" s="688">
        <f>INPUT!FT544</f>
        <v>18.985954221165283</v>
      </c>
      <c r="FB85" s="670">
        <f>INPUT!FU544</f>
        <v>3.6210631304177454</v>
      </c>
      <c r="FC85" s="688">
        <f>INPUT!FV544</f>
        <v>19.290530350940351</v>
      </c>
      <c r="FD85" s="670">
        <f>INPUT!FW544</f>
        <v>1.6042181827002011</v>
      </c>
      <c r="FE85" s="688">
        <f>INPUT!FX544</f>
        <v>20.185288640595907</v>
      </c>
      <c r="FF85" s="670">
        <f>INPUT!FY544</f>
        <v>4.6383291354762601</v>
      </c>
      <c r="FG85" s="688">
        <f>INPUT!FZ544</f>
        <v>18.409733652211077</v>
      </c>
      <c r="FH85" s="670">
        <f>INPUT!GA544</f>
        <v>-8.7962823816841507</v>
      </c>
      <c r="FI85" s="688">
        <f>INPUT!GB544</f>
        <v>18.583055661768725</v>
      </c>
      <c r="FJ85" s="670">
        <f>INPUT!GC544</f>
        <v>0.94146940326229611</v>
      </c>
      <c r="FK85" s="688">
        <f>INPUT!GD544</f>
        <v>16.778106188948566</v>
      </c>
      <c r="FL85" s="670">
        <f>INPUT!GE544</f>
        <v>-9.7128777186709758</v>
      </c>
      <c r="FM85" s="688">
        <f>INPUT!GF544</f>
        <v>20.068395127471213</v>
      </c>
      <c r="FN85" s="670">
        <f>INPUT!GG544</f>
        <v>19.610609811790923</v>
      </c>
      <c r="FO85" s="688">
        <f>INPUT!GH544</f>
        <v>18.979952687373341</v>
      </c>
      <c r="FP85" s="670">
        <f>INPUT!GI544</f>
        <v>-5.4236645889432662</v>
      </c>
      <c r="FQ85" s="688">
        <f>INPUT!GJ544</f>
        <v>18.267680561119406</v>
      </c>
      <c r="FR85" s="670">
        <f>INPUT!GK544</f>
        <v>-3.7527602833687945</v>
      </c>
      <c r="FS85" s="688">
        <f>INPUT!GL544</f>
        <v>17.585932448517166</v>
      </c>
      <c r="FT85" s="670">
        <f>INPUT!GM544</f>
        <v>-3.7319905519546892</v>
      </c>
      <c r="FU85" s="688">
        <f>INPUT!GN544</f>
        <v>16.961923138916099</v>
      </c>
      <c r="FV85" s="670">
        <f>INPUT!GO544</f>
        <v>-3.5483436060490647</v>
      </c>
      <c r="FW85" s="688">
        <f>INPUT!GP544</f>
        <v>16.356722557614262</v>
      </c>
      <c r="FX85" s="670">
        <f>INPUT!GQ544</f>
        <v>-3.5679950695762352</v>
      </c>
      <c r="FY85" s="688">
        <f>INPUT!GR544</f>
        <v>15.803208031274613</v>
      </c>
      <c r="FZ85" s="670">
        <f>INPUT!GS544</f>
        <v>-3.3840185550006785</v>
      </c>
      <c r="GA85" s="988">
        <f>INPUT!GT544</f>
        <v>-3.5971160386776058</v>
      </c>
    </row>
    <row r="86" spans="1:183" s="707" customFormat="1" ht="12.75" customHeight="1" x14ac:dyDescent="0.2">
      <c r="A86" s="993" t="str">
        <f>INPUT!B545</f>
        <v>LTD + Pref Eq to Common Eq (%)</v>
      </c>
      <c r="B86" s="826">
        <f>INPUT!M545</f>
        <v>75.27424456558316</v>
      </c>
      <c r="C86" s="824">
        <f>INPUT!N545</f>
        <v>-0.39623526999363889</v>
      </c>
      <c r="D86" s="826">
        <f>INPUT!O545</f>
        <v>77.215890971954153</v>
      </c>
      <c r="E86" s="665">
        <f>INPUT!P545</f>
        <v>0.60251462852012327</v>
      </c>
      <c r="F86" s="826">
        <f>INPUT!Q545</f>
        <v>76.238772331046363</v>
      </c>
      <c r="G86" s="665">
        <f>INPUT!R545</f>
        <v>-1.8849416069393055</v>
      </c>
      <c r="H86" s="826">
        <f>INPUT!S545</f>
        <v>72.257575258003897</v>
      </c>
      <c r="I86" s="665">
        <f>INPUT!T545</f>
        <v>-4.7616644305326083</v>
      </c>
      <c r="J86" s="826">
        <f>INPUT!U545</f>
        <v>80.127229982021845</v>
      </c>
      <c r="K86" s="665">
        <f>INPUT!V545</f>
        <v>6.447072892522332</v>
      </c>
      <c r="L86" s="826">
        <f>INPUT!W545</f>
        <v>87.785601154165832</v>
      </c>
      <c r="M86" s="665">
        <f>INPUT!X545</f>
        <v>13.688516766646819</v>
      </c>
      <c r="N86" s="826">
        <f>INPUT!Y545</f>
        <v>86.581291759465472</v>
      </c>
      <c r="O86" s="665">
        <f>INPUT!Z545</f>
        <v>13.565957467821633</v>
      </c>
      <c r="P86" s="826">
        <f>INPUT!AA545</f>
        <v>91.445621167907149</v>
      </c>
      <c r="Q86" s="665">
        <f>INPUT!AB545</f>
        <v>26.555064768489878</v>
      </c>
      <c r="R86" s="826">
        <f>INPUT!AC545</f>
        <v>101.07269696310792</v>
      </c>
      <c r="S86" s="665">
        <f>INPUT!AD545</f>
        <v>26.140260914779656</v>
      </c>
      <c r="T86" s="826">
        <f>INPUT!AE545</f>
        <v>112.74134092485129</v>
      </c>
      <c r="U86" s="665">
        <f>INPUT!AF545</f>
        <v>28.428055902766005</v>
      </c>
      <c r="V86" s="826">
        <f>INPUT!AG545</f>
        <v>105.74104017484321</v>
      </c>
      <c r="W86" s="665">
        <f>INPUT!AH545</f>
        <v>22.129201385220853</v>
      </c>
      <c r="X86" s="826">
        <f>INPUT!AI545</f>
        <v>103.62180045272507</v>
      </c>
      <c r="Y86" s="665">
        <f>INPUT!AJ545</f>
        <v>13.31521305154757</v>
      </c>
      <c r="Z86" s="826">
        <f>INPUT!AK545</f>
        <v>100.79774115085642</v>
      </c>
      <c r="AA86" s="665">
        <f>INPUT!AL545</f>
        <v>-0.27203767240113752</v>
      </c>
      <c r="AB86" s="826">
        <f>INPUT!AM545</f>
        <v>98.175369980610199</v>
      </c>
      <c r="AC86" s="665">
        <f>INPUT!AN545</f>
        <v>-12.919813463945019</v>
      </c>
      <c r="AD86" s="826">
        <f>INPUT!AO545</f>
        <v>94.288961734231634</v>
      </c>
      <c r="AE86" s="665">
        <f>INPUT!AP545</f>
        <v>-10.830306210034923</v>
      </c>
      <c r="AF86" s="826">
        <f>INPUT!AQ545</f>
        <v>105.20611573446874</v>
      </c>
      <c r="AG86" s="665">
        <f>INPUT!AR545</f>
        <v>1.5289401215012433</v>
      </c>
      <c r="AH86" s="826">
        <f>INPUT!AS545</f>
        <v>91.45121600460196</v>
      </c>
      <c r="AI86" s="665">
        <f>INPUT!AT545</f>
        <v>-9.2725541659373292</v>
      </c>
      <c r="AJ86" s="826">
        <f>INPUT!AU545</f>
        <v>73.872418964125046</v>
      </c>
      <c r="AK86" s="665">
        <f>INPUT!AV545</f>
        <v>-24.754631453168983</v>
      </c>
      <c r="AL86" s="826">
        <f>INPUT!AW545</f>
        <v>74.781415580434683</v>
      </c>
      <c r="AM86" s="665">
        <f>INPUT!AX545</f>
        <v>-20.689109090820256</v>
      </c>
      <c r="AN86" s="826">
        <f>INPUT!AY545</f>
        <v>74.855052068674354</v>
      </c>
      <c r="AO86" s="667">
        <f>INPUT!AZ545</f>
        <v>-28.849143848631275</v>
      </c>
      <c r="AP86" s="826">
        <f>INPUT!BA545</f>
        <v>73.166591052115493</v>
      </c>
      <c r="AQ86" s="667">
        <f>INPUT!BB545</f>
        <v>-19.99385656235162</v>
      </c>
      <c r="AR86" s="826">
        <f>INPUT!BC545</f>
        <v>62.953535409127802</v>
      </c>
      <c r="AS86" s="667">
        <f>INPUT!BD545</f>
        <v>-14.780731033458949</v>
      </c>
      <c r="AT86" s="826">
        <f>INPUT!BE545</f>
        <v>63.849196738516177</v>
      </c>
      <c r="AU86" s="667">
        <f>INPUT!BF545</f>
        <v>-14.618897966915112</v>
      </c>
      <c r="AV86" s="826">
        <f>INPUT!BG545</f>
        <v>68.705453777519665</v>
      </c>
      <c r="AW86" s="667">
        <f>INPUT!BH545</f>
        <v>-8.2153416786255882</v>
      </c>
      <c r="AX86" s="826">
        <f>INPUT!BI545</f>
        <v>70.167057961377182</v>
      </c>
      <c r="AY86" s="667">
        <f>INPUT!BJ545</f>
        <v>-4.0995938824070493</v>
      </c>
      <c r="AZ86" s="826">
        <f>INPUT!BK545</f>
        <v>63.712407624517539</v>
      </c>
      <c r="BA86" s="667">
        <f>INPUT!BL545</f>
        <v>1.2054481300500575</v>
      </c>
      <c r="BB86" s="826">
        <f>INPUT!BM545</f>
        <v>66.095614812794096</v>
      </c>
      <c r="BC86" s="667">
        <f>INPUT!BN545</f>
        <v>3.518318458222347</v>
      </c>
      <c r="BD86" s="826">
        <f>INPUT!BO545</f>
        <v>64.018977447288648</v>
      </c>
      <c r="BE86" s="667">
        <f>INPUT!BP545</f>
        <v>-6.8211125501137833</v>
      </c>
      <c r="BF86" s="826">
        <f>INPUT!BQ545</f>
        <v>62.862207767973757</v>
      </c>
      <c r="BG86" s="667">
        <f>INPUT!BR545</f>
        <v>-10.410654808164132</v>
      </c>
      <c r="BH86" s="826">
        <f>INPUT!BS545</f>
        <v>58.507393536929072</v>
      </c>
      <c r="BI86" s="667">
        <f>INPUT!BT545</f>
        <v>-8.1695454333850943</v>
      </c>
      <c r="BJ86" s="826">
        <f>INPUT!BU545</f>
        <v>64.682067158847332</v>
      </c>
      <c r="BK86" s="667">
        <f>INPUT!BV545</f>
        <v>-2.1386406011207004</v>
      </c>
      <c r="BL86" s="826">
        <f>INPUT!BW545</f>
        <v>62.497089139733554</v>
      </c>
      <c r="BM86" s="667">
        <f>INPUT!BX545</f>
        <v>-2.377245573483544</v>
      </c>
      <c r="BN86" s="826">
        <f>INPUT!BY545</f>
        <v>57.38722500089527</v>
      </c>
      <c r="BO86" s="667">
        <f>INPUT!BZ545</f>
        <v>-8.7094980616761131</v>
      </c>
      <c r="BP86" s="826">
        <f>INPUT!CA545</f>
        <v>56.424150442268015</v>
      </c>
      <c r="BQ86" s="667">
        <f>INPUT!CB545</f>
        <v>-3.5606492935737144</v>
      </c>
      <c r="BR86" s="826">
        <f>INPUT!CC545</f>
        <v>65.80667354661162</v>
      </c>
      <c r="BS86" s="667">
        <f>INPUT!CD545</f>
        <v>1.7386679757813939</v>
      </c>
      <c r="BT86" s="826">
        <f>INPUT!CE545</f>
        <v>67.470338722567163</v>
      </c>
      <c r="BU86" s="667">
        <f>INPUT!CF545</f>
        <v>7.9575699465205707</v>
      </c>
      <c r="BV86" s="826">
        <f>INPUT!CG545</f>
        <v>64.194975295407772</v>
      </c>
      <c r="BW86" s="667">
        <f>INPUT!CH545</f>
        <v>11.862832354075836</v>
      </c>
      <c r="BX86" s="826">
        <f>INPUT!CI545</f>
        <v>65.068878612151025</v>
      </c>
      <c r="BY86" s="667">
        <f>INPUT!CJ545</f>
        <v>15.320971786235592</v>
      </c>
      <c r="BZ86" s="826">
        <f>INPUT!CK545</f>
        <v>64.327785488517478</v>
      </c>
      <c r="CA86" s="667">
        <f>INPUT!CL545</f>
        <v>-2.2473223130578535</v>
      </c>
      <c r="CB86" s="826">
        <f>INPUT!CM545</f>
        <v>70.741706560801248</v>
      </c>
      <c r="CC86" s="667">
        <f>INPUT!CN545</f>
        <v>4.8486014746208728</v>
      </c>
      <c r="CD86" s="826">
        <f>INPUT!CO545</f>
        <v>70.914622305650852</v>
      </c>
      <c r="CE86" s="667">
        <f>INPUT!CP545</f>
        <v>10.46755914979498</v>
      </c>
      <c r="CF86" s="826">
        <f>INPUT!CQ545</f>
        <v>71.25773884450382</v>
      </c>
      <c r="CG86" s="667">
        <f>INPUT!CR545</f>
        <v>9.5112446446819163</v>
      </c>
      <c r="CH86" s="826">
        <f>INPUT!CS545</f>
        <v>76.383356590130674</v>
      </c>
      <c r="CI86" s="667">
        <f>INPUT!CT545</f>
        <v>18.740845825891395</v>
      </c>
      <c r="CJ86" s="826">
        <f>INPUT!CU545</f>
        <v>74.726348220324127</v>
      </c>
      <c r="CK86" s="667">
        <f>INPUT!CV545</f>
        <v>5.6326626162151561</v>
      </c>
      <c r="CL86" s="688">
        <f>INPUT!CW545</f>
        <v>69.177785210787775</v>
      </c>
      <c r="CM86" s="670">
        <f>INPUT!CX545</f>
        <v>-2.4491945925864123</v>
      </c>
      <c r="CN86" s="688">
        <f>INPUT!CY545</f>
        <v>66.654417619030113</v>
      </c>
      <c r="CO86" s="670">
        <f>INPUT!CZ545</f>
        <v>-6.4601000538606961</v>
      </c>
      <c r="CP86" s="688">
        <f>INPUT!DA545</f>
        <v>65.410457247315478</v>
      </c>
      <c r="CQ86" s="670">
        <f>INPUT!DB545</f>
        <v>-14.365563170646233</v>
      </c>
      <c r="CR86" s="688">
        <f>INPUT!DC545</f>
        <v>62.30247230139895</v>
      </c>
      <c r="CS86" s="670">
        <f>INPUT!DD545</f>
        <v>-16.62583039959943</v>
      </c>
      <c r="CT86" s="688">
        <f>INPUT!DE545</f>
        <v>70.259433962264154</v>
      </c>
      <c r="CU86" s="670">
        <f>INPUT!DF545</f>
        <v>1.5635781749597122</v>
      </c>
      <c r="CV86" s="688">
        <f>INPUT!DG545</f>
        <v>65.507791634733721</v>
      </c>
      <c r="CW86" s="670">
        <f>INPUT!DH545</f>
        <v>-1.7202550487351753</v>
      </c>
      <c r="CX86" s="688">
        <f>INPUT!DI545</f>
        <v>64.832535885167459</v>
      </c>
      <c r="CY86" s="670">
        <f>INPUT!DJ545</f>
        <v>-0.88353053390669567</v>
      </c>
      <c r="CZ86" s="688">
        <f>INPUT!DK545</f>
        <v>64.739393214050637</v>
      </c>
      <c r="DA86" s="670">
        <f>INPUT!DL545</f>
        <v>3.9114353293440152</v>
      </c>
      <c r="DB86" s="688">
        <f>INPUT!DM545</f>
        <v>63.583506377929396</v>
      </c>
      <c r="DC86" s="670">
        <f>INPUT!DN545</f>
        <v>-9.5018237521246611</v>
      </c>
      <c r="DD86" s="688">
        <f>INPUT!DO545</f>
        <v>62.428771163042065</v>
      </c>
      <c r="DE86" s="670">
        <f>INPUT!DP545</f>
        <v>-4.700235490855853</v>
      </c>
      <c r="DF86" s="688">
        <f>INPUT!DQ545</f>
        <v>57.719853722938154</v>
      </c>
      <c r="DG86" s="670">
        <f>INPUT!DR545</f>
        <v>-10.970852929195019</v>
      </c>
      <c r="DH86" s="688">
        <f>INPUT!DS545</f>
        <v>60.722958440296971</v>
      </c>
      <c r="DI86" s="670">
        <f>INPUT!DT545</f>
        <v>-6.2040043540012135</v>
      </c>
      <c r="DJ86" s="688">
        <f>INPUT!DU545</f>
        <v>60.053213450158275</v>
      </c>
      <c r="DK86" s="670">
        <f>INPUT!DV545</f>
        <v>-5.5522149199946131</v>
      </c>
      <c r="DL86" s="688">
        <f>INPUT!DW545</f>
        <v>72.992559996370716</v>
      </c>
      <c r="DM86" s="670">
        <f>INPUT!DX545</f>
        <v>16.921346738893405</v>
      </c>
      <c r="DN86" s="688">
        <f>INPUT!DY545</f>
        <v>67.780708153302285</v>
      </c>
      <c r="DO86" s="670">
        <f>INPUT!DZ545</f>
        <v>17.430491904323553</v>
      </c>
      <c r="DP86" s="688">
        <f>INPUT!EA545</f>
        <v>66.512917174853087</v>
      </c>
      <c r="DQ86" s="670">
        <f>INPUT!EB545</f>
        <v>9.5350405897117518</v>
      </c>
      <c r="DR86" s="688">
        <f>INPUT!EC545</f>
        <v>65.571969663681671</v>
      </c>
      <c r="DS86" s="670">
        <f>INPUT!ED545</f>
        <v>9.1897766938046299</v>
      </c>
      <c r="DT86" s="688">
        <f>INPUT!EE545</f>
        <v>64.448473137423051</v>
      </c>
      <c r="DU86" s="670">
        <f>INPUT!EF545</f>
        <v>-11.705421565393081</v>
      </c>
      <c r="DV86" s="688">
        <f>INPUT!EG545</f>
        <v>59.073603380414617</v>
      </c>
      <c r="DW86" s="670">
        <f>INPUT!EH545</f>
        <v>-12.845992628454795</v>
      </c>
      <c r="DX86" s="688">
        <f>INPUT!EI545</f>
        <v>62.203357537523566</v>
      </c>
      <c r="DY86" s="670">
        <f>INPUT!EJ545</f>
        <v>-6.4792822512960813</v>
      </c>
      <c r="DZ86" s="688">
        <f>INPUT!EK545</f>
        <v>61.480468232433338</v>
      </c>
      <c r="EA86" s="670">
        <f>INPUT!EL545</f>
        <v>-6.2397110415222006</v>
      </c>
      <c r="EB86" s="688">
        <f>INPUT!EM545</f>
        <v>60.67566364256902</v>
      </c>
      <c r="EC86" s="670">
        <f>INPUT!EN545</f>
        <v>-5.8539936032453337</v>
      </c>
      <c r="ED86" s="688">
        <f>INPUT!EO545</f>
        <v>59.927833438715084</v>
      </c>
      <c r="EE86" s="670">
        <f>INPUT!EP545</f>
        <v>1.4460435954778417</v>
      </c>
      <c r="EF86" s="688">
        <f>INPUT!EQ545</f>
        <v>59.178302391830329</v>
      </c>
      <c r="EG86" s="670">
        <f>INPUT!ER545</f>
        <v>-4.8631701976350694</v>
      </c>
      <c r="EH86" s="670"/>
      <c r="EI86" s="688">
        <f>INPUT!FB545</f>
        <v>75.870262563858859</v>
      </c>
      <c r="EJ86" s="671" t="str">
        <f>INPUT!FC545</f>
        <v>NA</v>
      </c>
      <c r="EK86" s="688">
        <f>INPUT!FD545</f>
        <v>72.257575258003897</v>
      </c>
      <c r="EL86" s="671">
        <f>INPUT!FE545</f>
        <v>-4.7616644305326083</v>
      </c>
      <c r="EM86" s="688">
        <f>INPUT!FF545</f>
        <v>91.445621167907149</v>
      </c>
      <c r="EN86" s="671">
        <f>INPUT!FG545</f>
        <v>26.555064768489878</v>
      </c>
      <c r="EO86" s="688">
        <f>INPUT!FH545</f>
        <v>103.62180045272507</v>
      </c>
      <c r="EP86" s="671">
        <f>INPUT!FI545</f>
        <v>13.31521305154757</v>
      </c>
      <c r="EQ86" s="688">
        <f>INPUT!FJ545</f>
        <v>105.20611573446874</v>
      </c>
      <c r="ER86" s="670">
        <f>INPUT!FK545</f>
        <v>1.5289401215012433</v>
      </c>
      <c r="ES86" s="688">
        <f>INPUT!FL545</f>
        <v>74.855052068674354</v>
      </c>
      <c r="ET86" s="670">
        <f>INPUT!FM545</f>
        <v>-28.849143848631275</v>
      </c>
      <c r="EU86" s="688">
        <f>INPUT!FN545</f>
        <v>68.705453777519665</v>
      </c>
      <c r="EV86" s="670">
        <f>INPUT!FO545</f>
        <v>-8.2153416786255882</v>
      </c>
      <c r="EW86" s="688">
        <f>INPUT!FP545</f>
        <v>64.018977447288648</v>
      </c>
      <c r="EX86" s="670">
        <f>INPUT!FQ545</f>
        <v>-6.8211125501137833</v>
      </c>
      <c r="EY86" s="688">
        <f>INPUT!FR545</f>
        <v>62.497089139733554</v>
      </c>
      <c r="EZ86" s="670">
        <f>INPUT!FS545</f>
        <v>-2.377245573483544</v>
      </c>
      <c r="FA86" s="688">
        <f>INPUT!FT545</f>
        <v>67.470338722567163</v>
      </c>
      <c r="FB86" s="670">
        <f>INPUT!FU545</f>
        <v>7.9575699465205707</v>
      </c>
      <c r="FC86" s="688">
        <f>INPUT!FV545</f>
        <v>70.741706560801248</v>
      </c>
      <c r="FD86" s="670">
        <f>INPUT!FW545</f>
        <v>4.8486014746208728</v>
      </c>
      <c r="FE86" s="688">
        <f>INPUT!FX545</f>
        <v>74.726348220324127</v>
      </c>
      <c r="FF86" s="670">
        <f>INPUT!FY545</f>
        <v>5.6326626162151561</v>
      </c>
      <c r="FG86" s="688">
        <f>INPUT!FZ545</f>
        <v>62.30247230139895</v>
      </c>
      <c r="FH86" s="670">
        <f>INPUT!GA545</f>
        <v>-16.62583039959943</v>
      </c>
      <c r="FI86" s="688">
        <f>INPUT!GB545</f>
        <v>64.739393214050637</v>
      </c>
      <c r="FJ86" s="670">
        <f>INPUT!GC545</f>
        <v>3.9114353293440152</v>
      </c>
      <c r="FK86" s="688">
        <f>INPUT!GD545</f>
        <v>60.722958440296971</v>
      </c>
      <c r="FL86" s="670">
        <f>INPUT!GE545</f>
        <v>-6.2040043540012135</v>
      </c>
      <c r="FM86" s="688">
        <f>INPUT!GF545</f>
        <v>66.512917174853087</v>
      </c>
      <c r="FN86" s="670">
        <f>INPUT!GG545</f>
        <v>9.5350405897117518</v>
      </c>
      <c r="FO86" s="688">
        <f>INPUT!GH545</f>
        <v>62.203357537523566</v>
      </c>
      <c r="FP86" s="670">
        <f>INPUT!GI545</f>
        <v>-6.4792822512960813</v>
      </c>
      <c r="FQ86" s="688">
        <f>INPUT!GJ545</f>
        <v>59.178302391830329</v>
      </c>
      <c r="FR86" s="670">
        <f>INPUT!GK545</f>
        <v>-4.8631701976350694</v>
      </c>
      <c r="FS86" s="688">
        <f>INPUT!GL545</f>
        <v>56.347547867500182</v>
      </c>
      <c r="FT86" s="670">
        <f>INPUT!GM545</f>
        <v>-4.783433133291326</v>
      </c>
      <c r="FU86" s="688">
        <f>INPUT!GN545</f>
        <v>53.81020143103008</v>
      </c>
      <c r="FV86" s="670">
        <f>INPUT!GO545</f>
        <v>-4.5030290269890809</v>
      </c>
      <c r="FW86" s="688">
        <f>INPUT!GP545</f>
        <v>51.396860286597402</v>
      </c>
      <c r="FX86" s="670">
        <f>INPUT!GQ545</f>
        <v>-4.4849137900476403</v>
      </c>
      <c r="FY86" s="688">
        <f>INPUT!GR545</f>
        <v>49.229462078852002</v>
      </c>
      <c r="FZ86" s="670">
        <f>INPUT!GS545</f>
        <v>-4.2169856206383578</v>
      </c>
      <c r="GA86" s="988">
        <f>INPUT!GT545</f>
        <v>-4.5705869533926968</v>
      </c>
    </row>
    <row r="87" spans="1:183" s="707" customFormat="1" ht="12.75" customHeight="1" x14ac:dyDescent="0.2">
      <c r="A87" s="993" t="str">
        <f>INPUT!B546</f>
        <v>Equity to Assets (Excl SAA)(%)</v>
      </c>
      <c r="B87" s="826">
        <f>INPUT!M546</f>
        <v>13.969426895306858</v>
      </c>
      <c r="C87" s="824">
        <f>INPUT!N546</f>
        <v>1.9603628883890556</v>
      </c>
      <c r="D87" s="826">
        <f>INPUT!O546</f>
        <v>13.809927776078029</v>
      </c>
      <c r="E87" s="665">
        <f>INPUT!P546</f>
        <v>-1.2531457594684325</v>
      </c>
      <c r="F87" s="826">
        <f>INPUT!Q546</f>
        <v>13.767816684653525</v>
      </c>
      <c r="G87" s="665">
        <f>INPUT!R546</f>
        <v>-0.32548006383409378</v>
      </c>
      <c r="H87" s="826">
        <f>INPUT!S546</f>
        <v>13.645054910447158</v>
      </c>
      <c r="I87" s="665">
        <f>INPUT!T546</f>
        <v>-1.9179029607946707</v>
      </c>
      <c r="J87" s="826">
        <f>INPUT!U546</f>
        <v>12.70351582229835</v>
      </c>
      <c r="K87" s="665">
        <f>INPUT!V546</f>
        <v>-9.0620115091035061</v>
      </c>
      <c r="L87" s="826">
        <f>INPUT!W546</f>
        <v>13.287533651722386</v>
      </c>
      <c r="M87" s="665">
        <f>INPUT!X546</f>
        <v>-3.7827433483073603</v>
      </c>
      <c r="N87" s="826">
        <f>INPUT!Y546</f>
        <v>13.491530233664555</v>
      </c>
      <c r="O87" s="665">
        <f>INPUT!Z546</f>
        <v>-2.0067557356202692</v>
      </c>
      <c r="P87" s="826">
        <f>INPUT!AA546</f>
        <v>12.573122317817727</v>
      </c>
      <c r="Q87" s="665">
        <f>INPUT!AB546</f>
        <v>-7.8558320187390285</v>
      </c>
      <c r="R87" s="826">
        <f>INPUT!AC546</f>
        <v>11.302276716138532</v>
      </c>
      <c r="S87" s="665">
        <f>INPUT!AD546</f>
        <v>-11.030325193126744</v>
      </c>
      <c r="T87" s="826">
        <f>INPUT!AE546</f>
        <v>11.482008419049933</v>
      </c>
      <c r="U87" s="665">
        <f>INPUT!AF546</f>
        <v>-13.588114092478055</v>
      </c>
      <c r="V87" s="826">
        <f>INPUT!AG546</f>
        <v>11.617882939698648</v>
      </c>
      <c r="W87" s="665">
        <f>INPUT!AH546</f>
        <v>-13.887581775495828</v>
      </c>
      <c r="X87" s="826">
        <f>INPUT!AI546</f>
        <v>11.644481391741602</v>
      </c>
      <c r="Y87" s="665">
        <f>INPUT!AJ546</f>
        <v>-7.3859213535218853</v>
      </c>
      <c r="Z87" s="826">
        <f>INPUT!AK546</f>
        <v>11.845095621479171</v>
      </c>
      <c r="AA87" s="665">
        <f>INPUT!AL546</f>
        <v>4.8027394743003216</v>
      </c>
      <c r="AB87" s="826">
        <f>INPUT!AM546</f>
        <v>11.929790569809077</v>
      </c>
      <c r="AC87" s="665">
        <f>INPUT!AN546</f>
        <v>3.8998591049299591</v>
      </c>
      <c r="AD87" s="826">
        <f>INPUT!AO546</f>
        <v>12.153748208179509</v>
      </c>
      <c r="AE87" s="665">
        <f>INPUT!AP546</f>
        <v>4.612417522729495</v>
      </c>
      <c r="AF87" s="826">
        <f>INPUT!AQ546</f>
        <v>12.235933038242717</v>
      </c>
      <c r="AG87" s="665">
        <f>INPUT!AR546</f>
        <v>5.0792442067929322</v>
      </c>
      <c r="AH87" s="826">
        <f>INPUT!AS546</f>
        <v>12.483493511104726</v>
      </c>
      <c r="AI87" s="665">
        <f>INPUT!AT546</f>
        <v>5.3895545466760453</v>
      </c>
      <c r="AJ87" s="826">
        <f>INPUT!AU546</f>
        <v>13.781481878917223</v>
      </c>
      <c r="AK87" s="665">
        <f>INPUT!AV546</f>
        <v>15.521574316604125</v>
      </c>
      <c r="AL87" s="826">
        <f>INPUT!AW546</f>
        <v>13.328599221789883</v>
      </c>
      <c r="AM87" s="665">
        <f>INPUT!AX546</f>
        <v>9.6665735827873753</v>
      </c>
      <c r="AN87" s="826">
        <f>INPUT!AY546</f>
        <v>13.617722586332452</v>
      </c>
      <c r="AO87" s="667">
        <f>INPUT!AZ546</f>
        <v>11.292882559679175</v>
      </c>
      <c r="AP87" s="826">
        <f>INPUT!BA546</f>
        <v>13.201069547644714</v>
      </c>
      <c r="AQ87" s="667">
        <f>INPUT!BB546</f>
        <v>5.7481988988232091</v>
      </c>
      <c r="AR87" s="826">
        <f>INPUT!BC546</f>
        <v>13.991367892564529</v>
      </c>
      <c r="AS87" s="667">
        <f>INPUT!BD546</f>
        <v>1.5229567871680727</v>
      </c>
      <c r="AT87" s="826">
        <f>INPUT!BE546</f>
        <v>14.252757178444245</v>
      </c>
      <c r="AU87" s="667">
        <f>INPUT!BF546</f>
        <v>6.9336465241113254</v>
      </c>
      <c r="AV87" s="826">
        <f>INPUT!BG546</f>
        <v>14.584303836454984</v>
      </c>
      <c r="AW87" s="667">
        <f>INPUT!BH546</f>
        <v>7.0979654930894975</v>
      </c>
      <c r="AX87" s="826">
        <f>INPUT!BI546</f>
        <v>14.230564224577449</v>
      </c>
      <c r="AY87" s="667">
        <f>INPUT!BJ546</f>
        <v>7.7985702083996244</v>
      </c>
      <c r="AZ87" s="826">
        <f>INPUT!BK546</f>
        <v>14.689787024889023</v>
      </c>
      <c r="BA87" s="667">
        <f>INPUT!BL546</f>
        <v>4.9917859189140268</v>
      </c>
      <c r="BB87" s="826">
        <f>INPUT!BM546</f>
        <v>14.512361685702411</v>
      </c>
      <c r="BC87" s="667">
        <f>INPUT!BN546</f>
        <v>1.8214335935701653</v>
      </c>
      <c r="BD87" s="826">
        <f>INPUT!BO546</f>
        <v>14.605550271914481</v>
      </c>
      <c r="BE87" s="667">
        <f>INPUT!BP546</f>
        <v>0.14568014831390919</v>
      </c>
      <c r="BF87" s="826">
        <f>INPUT!BQ546</f>
        <v>14.930368990619019</v>
      </c>
      <c r="BG87" s="667">
        <f>INPUT!BR546</f>
        <v>4.9176178470347942</v>
      </c>
      <c r="BH87" s="826">
        <f>INPUT!BS546</f>
        <v>15.052274122904722</v>
      </c>
      <c r="BI87" s="667">
        <f>INPUT!BT546</f>
        <v>2.4676130253048267</v>
      </c>
      <c r="BJ87" s="826">
        <f>INPUT!BU546</f>
        <v>14.719931807237366</v>
      </c>
      <c r="BK87" s="667">
        <f>INPUT!BV546</f>
        <v>1.4302987069255035</v>
      </c>
      <c r="BL87" s="826">
        <f>INPUT!BW546</f>
        <v>15.071486626274568</v>
      </c>
      <c r="BM87" s="667">
        <f>INPUT!BX546</f>
        <v>3.1901321462434185</v>
      </c>
      <c r="BN87" s="826">
        <f>INPUT!BY546</f>
        <v>15.344642206237651</v>
      </c>
      <c r="BO87" s="667">
        <f>INPUT!BZ546</f>
        <v>2.7747017898815951</v>
      </c>
      <c r="BP87" s="826">
        <f>INPUT!CA546</f>
        <v>14.965672539628743</v>
      </c>
      <c r="BQ87" s="667">
        <f>INPUT!CB546</f>
        <v>-0.57533886619961505</v>
      </c>
      <c r="BR87" s="826">
        <f>INPUT!CC546</f>
        <v>14.39578285169798</v>
      </c>
      <c r="BS87" s="667">
        <f>INPUT!CD546</f>
        <v>-2.2021090843641788</v>
      </c>
      <c r="BT87" s="826">
        <f>INPUT!CE546</f>
        <v>14.459221386883502</v>
      </c>
      <c r="BU87" s="667">
        <f>INPUT!CF546</f>
        <v>-4.0624077410100101</v>
      </c>
      <c r="BV87" s="826">
        <f>INPUT!CG546</f>
        <v>14.311106408866085</v>
      </c>
      <c r="BW87" s="667">
        <f>INPUT!CH546</f>
        <v>-6.7354831965481088</v>
      </c>
      <c r="BX87" s="826">
        <f>INPUT!CI546</f>
        <v>14.197575896532674</v>
      </c>
      <c r="BY87" s="667">
        <f>INPUT!CJ546</f>
        <v>-5.1323897476853624</v>
      </c>
      <c r="BZ87" s="826">
        <f>INPUT!CK546</f>
        <v>14.494030060164279</v>
      </c>
      <c r="CA87" s="667">
        <f>INPUT!CL546</f>
        <v>0.68247214811740786</v>
      </c>
      <c r="CB87" s="826">
        <f>INPUT!CM546</f>
        <v>13.043588624110308</v>
      </c>
      <c r="CC87" s="667">
        <f>INPUT!CN546</f>
        <v>-9.7905186240344051</v>
      </c>
      <c r="CD87" s="826">
        <f>INPUT!CO546</f>
        <v>13.066594041585752</v>
      </c>
      <c r="CE87" s="667">
        <f>INPUT!CP546</f>
        <v>-8.6961296473159209</v>
      </c>
      <c r="CF87" s="826">
        <f>INPUT!CQ546</f>
        <v>12.958777060564397</v>
      </c>
      <c r="CG87" s="667">
        <f>INPUT!CR546</f>
        <v>-8.7254249950571854</v>
      </c>
      <c r="CH87" s="826">
        <f>INPUT!CS546</f>
        <v>12.853562652761404</v>
      </c>
      <c r="CI87" s="667">
        <f>INPUT!CT546</f>
        <v>-11.318228267730534</v>
      </c>
      <c r="CJ87" s="826">
        <f>INPUT!CU546</f>
        <v>12.960308790564879</v>
      </c>
      <c r="CK87" s="667">
        <f>INPUT!CV546</f>
        <v>-0.63847332160944514</v>
      </c>
      <c r="CL87" s="688">
        <f>INPUT!CW546</f>
        <v>13.205738339192841</v>
      </c>
      <c r="CM87" s="670">
        <f>INPUT!CX546</f>
        <v>1.0648857473052997</v>
      </c>
      <c r="CN87" s="688">
        <f>INPUT!CY546</f>
        <v>13.802145411203814</v>
      </c>
      <c r="CO87" s="670">
        <f>INPUT!CZ546</f>
        <v>6.5080859613359632</v>
      </c>
      <c r="CP87" s="688">
        <f>INPUT!DA546</f>
        <v>13.958821282880615</v>
      </c>
      <c r="CQ87" s="670">
        <f>INPUT!DB546</f>
        <v>8.5988504508651697</v>
      </c>
      <c r="CR87" s="688">
        <f>INPUT!DC546</f>
        <v>14.183064356527755</v>
      </c>
      <c r="CS87" s="670">
        <f>INPUT!DD546</f>
        <v>9.4346175366827989</v>
      </c>
      <c r="CT87" s="688">
        <f>INPUT!DE546</f>
        <v>13.98758272137659</v>
      </c>
      <c r="CU87" s="670">
        <f>INPUT!DF546</f>
        <v>5.9204897303117177</v>
      </c>
      <c r="CV87" s="688">
        <f>INPUT!DG546</f>
        <v>13.983327433743275</v>
      </c>
      <c r="CW87" s="670">
        <f>INPUT!DH546</f>
        <v>1.3127091270346058</v>
      </c>
      <c r="CX87" s="688">
        <f>INPUT!DI546</f>
        <v>14.157493649449618</v>
      </c>
      <c r="CY87" s="670">
        <f>INPUT!DJ546</f>
        <v>1.4232746629735837</v>
      </c>
      <c r="CZ87" s="688">
        <f>INPUT!DK546</f>
        <v>13.415205880180721</v>
      </c>
      <c r="DA87" s="670">
        <f>INPUT!DL546</f>
        <v>-5.4139109648305705</v>
      </c>
      <c r="DB87" s="688">
        <f>INPUT!DM546</f>
        <v>13.429401425564228</v>
      </c>
      <c r="DC87" s="670">
        <f>INPUT!DN546</f>
        <v>-3.9905486668494805</v>
      </c>
      <c r="DD87" s="688">
        <f>INPUT!DO546</f>
        <v>13.79411497769941</v>
      </c>
      <c r="DE87" s="670">
        <f>INPUT!DP546</f>
        <v>-1.3531289812128366</v>
      </c>
      <c r="DF87" s="688">
        <f>INPUT!DQ546</f>
        <v>13.921355588157796</v>
      </c>
      <c r="DG87" s="670">
        <f>INPUT!DR546</f>
        <v>-1.6679369042203462</v>
      </c>
      <c r="DH87" s="688">
        <f>INPUT!DS546</f>
        <v>14.276516502238598</v>
      </c>
      <c r="DI87" s="670">
        <f>INPUT!DT546</f>
        <v>6.4204055439086138</v>
      </c>
      <c r="DJ87" s="688">
        <f>INPUT!DU546</f>
        <v>14.116877566086853</v>
      </c>
      <c r="DK87" s="670">
        <f>INPUT!DV546</f>
        <v>5.1191867659413637</v>
      </c>
      <c r="DL87" s="688">
        <f>INPUT!DW546</f>
        <v>13.882446668650505</v>
      </c>
      <c r="DM87" s="670">
        <f>INPUT!DX546</f>
        <v>0.64035779819073824</v>
      </c>
      <c r="DN87" s="688">
        <f>INPUT!DY546</f>
        <v>14.042367432360875</v>
      </c>
      <c r="DO87" s="670">
        <f>INPUT!DZ546</f>
        <v>0.86925330968499193</v>
      </c>
      <c r="DP87" s="688">
        <f>INPUT!EA546</f>
        <v>14.548534096866556</v>
      </c>
      <c r="DQ87" s="670">
        <f>INPUT!EB546</f>
        <v>1.9053499121112871</v>
      </c>
      <c r="DR87" s="688">
        <f>INPUT!EC546</f>
        <v>14.559587232484009</v>
      </c>
      <c r="DS87" s="670">
        <f>INPUT!ED546</f>
        <v>3.1360310686598503</v>
      </c>
      <c r="DT87" s="688">
        <f>INPUT!EE546</f>
        <v>14.557807218138748</v>
      </c>
      <c r="DU87" s="670">
        <f>INPUT!EF546</f>
        <v>4.8648524687896044</v>
      </c>
      <c r="DV87" s="688">
        <f>INPUT!EG546</f>
        <v>14.642108998859953</v>
      </c>
      <c r="DW87" s="670">
        <f>INPUT!EH546</f>
        <v>4.2709434102754296</v>
      </c>
      <c r="DX87" s="688">
        <f>INPUT!EI546</f>
        <v>14.787996042926732</v>
      </c>
      <c r="DY87" s="670">
        <f>INPUT!EJ546</f>
        <v>1.6459523995049796</v>
      </c>
      <c r="DZ87" s="688">
        <f>INPUT!EK546</f>
        <v>14.780159282105751</v>
      </c>
      <c r="EA87" s="670">
        <f>INPUT!EL546</f>
        <v>1.5149608714841944</v>
      </c>
      <c r="EB87" s="688">
        <f>INPUT!EM546</f>
        <v>14.794319759588163</v>
      </c>
      <c r="EC87" s="670">
        <f>INPUT!EN546</f>
        <v>1.6246439996452589</v>
      </c>
      <c r="ED87" s="688">
        <f>INPUT!EO546</f>
        <v>14.797022728290237</v>
      </c>
      <c r="EE87" s="670">
        <f>INPUT!EP546</f>
        <v>1.0580014767158641</v>
      </c>
      <c r="EF87" s="688">
        <f>INPUT!EQ546</f>
        <v>14.802460855546229</v>
      </c>
      <c r="EG87" s="670">
        <f>INPUT!ER546</f>
        <v>9.7814555653852331E-2</v>
      </c>
      <c r="EH87" s="670"/>
      <c r="EI87" s="688">
        <f>INPUT!FB546</f>
        <v>13.911871098140329</v>
      </c>
      <c r="EJ87" s="671" t="str">
        <f>INPUT!FC546</f>
        <v>NA</v>
      </c>
      <c r="EK87" s="688">
        <f>INPUT!FD546</f>
        <v>13.645054910447158</v>
      </c>
      <c r="EL87" s="671">
        <f>INPUT!FE546</f>
        <v>-1.9179029607946707</v>
      </c>
      <c r="EM87" s="688">
        <f>INPUT!FF546</f>
        <v>12.573122317817727</v>
      </c>
      <c r="EN87" s="671">
        <f>INPUT!FG546</f>
        <v>-7.8558320187390285</v>
      </c>
      <c r="EO87" s="688">
        <f>INPUT!FH546</f>
        <v>11.644481391741602</v>
      </c>
      <c r="EP87" s="671">
        <f>INPUT!FI546</f>
        <v>-7.3859213535218853</v>
      </c>
      <c r="EQ87" s="688">
        <f>INPUT!FJ546</f>
        <v>12.235933038242717</v>
      </c>
      <c r="ER87" s="670">
        <f>INPUT!FK546</f>
        <v>5.0792442067929322</v>
      </c>
      <c r="ES87" s="688">
        <f>INPUT!FL546</f>
        <v>13.617722586332452</v>
      </c>
      <c r="ET87" s="670">
        <f>INPUT!FM546</f>
        <v>11.292882559679175</v>
      </c>
      <c r="EU87" s="688">
        <f>INPUT!FN546</f>
        <v>14.584303836454984</v>
      </c>
      <c r="EV87" s="670">
        <f>INPUT!FO546</f>
        <v>7.0979654930894975</v>
      </c>
      <c r="EW87" s="688">
        <f>INPUT!FP546</f>
        <v>14.605550271914481</v>
      </c>
      <c r="EX87" s="670">
        <f>INPUT!FQ546</f>
        <v>0.14568014831390919</v>
      </c>
      <c r="EY87" s="688">
        <f>INPUT!FR546</f>
        <v>15.071486626274568</v>
      </c>
      <c r="EZ87" s="670">
        <f>INPUT!FS546</f>
        <v>3.1901321462434185</v>
      </c>
      <c r="FA87" s="688">
        <f>INPUT!FT546</f>
        <v>14.459221386883502</v>
      </c>
      <c r="FB87" s="670">
        <f>INPUT!FU546</f>
        <v>-4.0624077410100101</v>
      </c>
      <c r="FC87" s="688">
        <f>INPUT!FV546</f>
        <v>13.043588624110308</v>
      </c>
      <c r="FD87" s="670">
        <f>INPUT!FW546</f>
        <v>-9.7905186240344051</v>
      </c>
      <c r="FE87" s="688">
        <f>INPUT!FX546</f>
        <v>12.960308790564879</v>
      </c>
      <c r="FF87" s="670">
        <f>INPUT!FY546</f>
        <v>-0.63847332160944514</v>
      </c>
      <c r="FG87" s="688">
        <f>INPUT!FZ546</f>
        <v>14.183064356527755</v>
      </c>
      <c r="FH87" s="670">
        <f>INPUT!GA546</f>
        <v>9.4346175366827989</v>
      </c>
      <c r="FI87" s="688">
        <f>INPUT!GB546</f>
        <v>13.415205880180721</v>
      </c>
      <c r="FJ87" s="670">
        <f>INPUT!GC546</f>
        <v>-5.4139109648305705</v>
      </c>
      <c r="FK87" s="688">
        <f>INPUT!GD546</f>
        <v>14.276516502238598</v>
      </c>
      <c r="FL87" s="670">
        <f>INPUT!GE546</f>
        <v>6.4204055439086138</v>
      </c>
      <c r="FM87" s="688">
        <f>INPUT!GF546</f>
        <v>14.548534096866556</v>
      </c>
      <c r="FN87" s="670">
        <f>INPUT!GG546</f>
        <v>1.9053499121112871</v>
      </c>
      <c r="FO87" s="688">
        <f>INPUT!GH546</f>
        <v>14.787996042926732</v>
      </c>
      <c r="FP87" s="670">
        <f>INPUT!GI546</f>
        <v>1.6459523995049796</v>
      </c>
      <c r="FQ87" s="688">
        <f>INPUT!GJ546</f>
        <v>14.802460855546229</v>
      </c>
      <c r="FR87" s="670">
        <f>INPUT!GK546</f>
        <v>9.7814555653852331E-2</v>
      </c>
      <c r="FS87" s="688">
        <f>INPUT!GL546</f>
        <v>14.804467834049836</v>
      </c>
      <c r="FT87" s="670">
        <f>INPUT!GM546</f>
        <v>1.3558411153336003E-2</v>
      </c>
      <c r="FU87" s="688">
        <f>INPUT!GN546</f>
        <v>14.763063130731465</v>
      </c>
      <c r="FV87" s="670">
        <f>INPUT!GO546</f>
        <v>-0.27967707980114387</v>
      </c>
      <c r="FW87" s="688">
        <f>INPUT!GP546</f>
        <v>14.719042625639792</v>
      </c>
      <c r="FX87" s="670">
        <f>INPUT!GQ546</f>
        <v>-0.2981800233586851</v>
      </c>
      <c r="FY87" s="688">
        <f>INPUT!GR546</f>
        <v>14.634160724716544</v>
      </c>
      <c r="FZ87" s="670">
        <f>INPUT!GS546</f>
        <v>-0.57668085542050829</v>
      </c>
      <c r="GA87" s="988">
        <f>INPUT!GT546</f>
        <v>-0.20892548864994698</v>
      </c>
    </row>
    <row r="88" spans="1:183" s="707" customFormat="1" ht="12.75" customHeight="1" x14ac:dyDescent="0.2">
      <c r="A88" s="993" t="str">
        <f>INPUT!B547</f>
        <v>Equity to Total Assets (%)</v>
      </c>
      <c r="B88" s="826">
        <f>INPUT!M547</f>
        <v>13.955781801788264</v>
      </c>
      <c r="C88" s="824">
        <f>INPUT!N547</f>
        <v>1.9849244249716014</v>
      </c>
      <c r="D88" s="826">
        <f>INPUT!O547</f>
        <v>13.798893420507158</v>
      </c>
      <c r="E88" s="665">
        <f>INPUT!P547</f>
        <v>-1.2115824423770682</v>
      </c>
      <c r="F88" s="826">
        <f>INPUT!Q547</f>
        <v>13.759403125292154</v>
      </c>
      <c r="G88" s="665">
        <f>INPUT!R547</f>
        <v>-0.27416378078630732</v>
      </c>
      <c r="H88" s="826">
        <f>INPUT!S547</f>
        <v>13.636496478358712</v>
      </c>
      <c r="I88" s="665">
        <f>INPUT!T547</f>
        <v>-1.8796691642638086</v>
      </c>
      <c r="J88" s="826">
        <f>INPUT!U547</f>
        <v>12.696099518036327</v>
      </c>
      <c r="K88" s="665">
        <f>INPUT!V547</f>
        <v>-9.0262394586201111</v>
      </c>
      <c r="L88" s="826">
        <f>INPUT!W547</f>
        <v>13.279260331309933</v>
      </c>
      <c r="M88" s="665">
        <f>INPUT!X547</f>
        <v>-3.7657591327212803</v>
      </c>
      <c r="N88" s="826">
        <f>INPUT!Y547</f>
        <v>13.483033599145841</v>
      </c>
      <c r="O88" s="665">
        <f>INPUT!Z547</f>
        <v>-2.0085865907824019</v>
      </c>
      <c r="P88" s="826">
        <f>INPUT!AA547</f>
        <v>12.564705203812379</v>
      </c>
      <c r="Q88" s="665">
        <f>INPUT!AB547</f>
        <v>-7.8597261125486266</v>
      </c>
      <c r="R88" s="826">
        <f>INPUT!AC547</f>
        <v>11.29480530643821</v>
      </c>
      <c r="S88" s="665">
        <f>INPUT!AD547</f>
        <v>-11.03720248575093</v>
      </c>
      <c r="T88" s="826">
        <f>INPUT!AE547</f>
        <v>11.474314813922955</v>
      </c>
      <c r="U88" s="665">
        <f>INPUT!AF547</f>
        <v>-13.592214267622005</v>
      </c>
      <c r="V88" s="826">
        <f>INPUT!AG547</f>
        <v>11.610716378250356</v>
      </c>
      <c r="W88" s="665">
        <f>INPUT!AH547</f>
        <v>-13.886468554184262</v>
      </c>
      <c r="X88" s="826">
        <f>INPUT!AI547</f>
        <v>11.637001734506962</v>
      </c>
      <c r="Y88" s="665">
        <f>INPUT!AJ547</f>
        <v>-7.3834081600572148</v>
      </c>
      <c r="Z88" s="826">
        <f>INPUT!AK547</f>
        <v>11.83791652991243</v>
      </c>
      <c r="AA88" s="665">
        <f>INPUT!AL547</f>
        <v>4.8085045181313513</v>
      </c>
      <c r="AB88" s="826">
        <f>INPUT!AM547</f>
        <v>11.922766099122899</v>
      </c>
      <c r="AC88" s="665">
        <f>INPUT!AN547</f>
        <v>3.9083055718132531</v>
      </c>
      <c r="AD88" s="826">
        <f>INPUT!AO547</f>
        <v>12.146282805687886</v>
      </c>
      <c r="AE88" s="665">
        <f>INPUT!AP547</f>
        <v>4.612690638458572</v>
      </c>
      <c r="AF88" s="826">
        <f>INPUT!AQ547</f>
        <v>12.228789842081284</v>
      </c>
      <c r="AG88" s="665">
        <f>INPUT!AR547</f>
        <v>5.0854001836186491</v>
      </c>
      <c r="AH88" s="826">
        <f>INPUT!AS547</f>
        <v>12.476102189926538</v>
      </c>
      <c r="AI88" s="665">
        <f>INPUT!AT547</f>
        <v>5.3910302408495481</v>
      </c>
      <c r="AJ88" s="826">
        <f>INPUT!AU547</f>
        <v>13.773927412403525</v>
      </c>
      <c r="AK88" s="665">
        <f>INPUT!AV547</f>
        <v>15.52627383520344</v>
      </c>
      <c r="AL88" s="826">
        <f>INPUT!AW547</f>
        <v>13.321342459360658</v>
      </c>
      <c r="AM88" s="665">
        <f>INPUT!AX547</f>
        <v>9.6742326230253148</v>
      </c>
      <c r="AN88" s="826">
        <f>INPUT!AY547</f>
        <v>13.610289118089272</v>
      </c>
      <c r="AO88" s="667">
        <f>INPUT!AZ547</f>
        <v>11.297105386945328</v>
      </c>
      <c r="AP88" s="826">
        <f>INPUT!BA547</f>
        <v>13.195741303294058</v>
      </c>
      <c r="AQ88" s="667">
        <f>INPUT!BB547</f>
        <v>5.7681405811870645</v>
      </c>
      <c r="AR88" s="826">
        <f>INPUT!BC547</f>
        <v>13.985471689036419</v>
      </c>
      <c r="AS88" s="667">
        <f>INPUT!BD547</f>
        <v>1.5358312142867536</v>
      </c>
      <c r="AT88" s="826">
        <f>INPUT!BE547</f>
        <v>14.246664621990494</v>
      </c>
      <c r="AU88" s="667">
        <f>INPUT!BF547</f>
        <v>6.9461630121191664</v>
      </c>
      <c r="AV88" s="826">
        <f>INPUT!BG547</f>
        <v>14.578635037676163</v>
      </c>
      <c r="AW88" s="667">
        <f>INPUT!BH547</f>
        <v>7.1148078573869178</v>
      </c>
      <c r="AX88" s="826">
        <f>INPUT!BI547</f>
        <v>14.225426886359907</v>
      </c>
      <c r="AY88" s="667">
        <f>INPUT!BJ547</f>
        <v>7.8031658805618465</v>
      </c>
      <c r="AZ88" s="826">
        <f>INPUT!BK547</f>
        <v>14.684842576042465</v>
      </c>
      <c r="BA88" s="667">
        <f>INPUT!BL547</f>
        <v>5.0006957402394914</v>
      </c>
      <c r="BB88" s="826">
        <f>INPUT!BM547</f>
        <v>14.508226242445591</v>
      </c>
      <c r="BC88" s="667">
        <f>INPUT!BN547</f>
        <v>1.8359498689353826</v>
      </c>
      <c r="BD88" s="826">
        <f>INPUT!BO547</f>
        <v>14.602505975114935</v>
      </c>
      <c r="BE88" s="667">
        <f>INPUT!BP547</f>
        <v>0.16373917981402641</v>
      </c>
      <c r="BF88" s="826">
        <f>INPUT!BQ547</f>
        <v>14.927725106696247</v>
      </c>
      <c r="BG88" s="667">
        <f>INPUT!BR547</f>
        <v>4.9369219352548344</v>
      </c>
      <c r="BH88" s="826">
        <f>INPUT!BS547</f>
        <v>15.049475419170777</v>
      </c>
      <c r="BI88" s="667">
        <f>INPUT!BT547</f>
        <v>2.4830558532727531</v>
      </c>
      <c r="BJ88" s="826">
        <f>INPUT!BU547</f>
        <v>14.716944934818663</v>
      </c>
      <c r="BK88" s="667">
        <f>INPUT!BV547</f>
        <v>1.4386230879309014</v>
      </c>
      <c r="BL88" s="826">
        <f>INPUT!BW547</f>
        <v>15.071486626274568</v>
      </c>
      <c r="BM88" s="667">
        <f>INPUT!BX547</f>
        <v>3.2116449872292563</v>
      </c>
      <c r="BN88" s="826">
        <f>INPUT!BY547</f>
        <v>15.344642206237651</v>
      </c>
      <c r="BO88" s="667">
        <f>INPUT!BZ547</f>
        <v>2.7929044550424109</v>
      </c>
      <c r="BP88" s="826">
        <f>INPUT!CA547</f>
        <v>14.965672539628743</v>
      </c>
      <c r="BQ88" s="667">
        <f>INPUT!CB547</f>
        <v>-0.55684917386078503</v>
      </c>
      <c r="BR88" s="826">
        <f>INPUT!CC547</f>
        <v>14.39578285169798</v>
      </c>
      <c r="BS88" s="667">
        <f>INPUT!CD547</f>
        <v>-2.1822605475736223</v>
      </c>
      <c r="BT88" s="826">
        <f>INPUT!CE547</f>
        <v>14.459221386883502</v>
      </c>
      <c r="BU88" s="667">
        <f>INPUT!CF547</f>
        <v>-4.0624077410100101</v>
      </c>
      <c r="BV88" s="826">
        <f>INPUT!CG547</f>
        <v>14.311106408866085</v>
      </c>
      <c r="BW88" s="667">
        <f>INPUT!CH547</f>
        <v>-6.7354831965481088</v>
      </c>
      <c r="BX88" s="826">
        <f>INPUT!CI547</f>
        <v>14.197575896532674</v>
      </c>
      <c r="BY88" s="667">
        <f>INPUT!CJ547</f>
        <v>-5.1323897476853624</v>
      </c>
      <c r="BZ88" s="826">
        <f>INPUT!CK547</f>
        <v>14.494030060164279</v>
      </c>
      <c r="CA88" s="667">
        <f>INPUT!CL547</f>
        <v>0.68247214811740786</v>
      </c>
      <c r="CB88" s="826">
        <f>INPUT!CM547</f>
        <v>13.043588624110308</v>
      </c>
      <c r="CC88" s="667">
        <f>INPUT!CN547</f>
        <v>-9.7905186240344051</v>
      </c>
      <c r="CD88" s="826">
        <f>INPUT!CO547</f>
        <v>13.066594041585752</v>
      </c>
      <c r="CE88" s="667">
        <f>INPUT!CP547</f>
        <v>-8.6961296473159209</v>
      </c>
      <c r="CF88" s="826">
        <f>INPUT!CQ547</f>
        <v>12.958777060564397</v>
      </c>
      <c r="CG88" s="667">
        <f>INPUT!CR547</f>
        <v>-8.7254249950571854</v>
      </c>
      <c r="CH88" s="826">
        <f>INPUT!CS547</f>
        <v>12.853562652761404</v>
      </c>
      <c r="CI88" s="667">
        <f>INPUT!CT547</f>
        <v>-11.318228267730534</v>
      </c>
      <c r="CJ88" s="826">
        <f>INPUT!CU547</f>
        <v>12.960308790564879</v>
      </c>
      <c r="CK88" s="667">
        <f>INPUT!CV547</f>
        <v>-0.63847332160944514</v>
      </c>
      <c r="CL88" s="688">
        <f>INPUT!CW547</f>
        <v>13.205738339192841</v>
      </c>
      <c r="CM88" s="670">
        <f>INPUT!CX547</f>
        <v>1.0648857473052997</v>
      </c>
      <c r="CN88" s="688">
        <f>INPUT!CY547</f>
        <v>13.802145411203814</v>
      </c>
      <c r="CO88" s="670">
        <f>INPUT!CZ547</f>
        <v>6.5080859613359632</v>
      </c>
      <c r="CP88" s="688">
        <f>INPUT!DA547</f>
        <v>13.958821282880615</v>
      </c>
      <c r="CQ88" s="670">
        <f>INPUT!DB547</f>
        <v>8.5988504508651697</v>
      </c>
      <c r="CR88" s="688">
        <f>INPUT!DC547</f>
        <v>14.183064356527755</v>
      </c>
      <c r="CS88" s="670">
        <f>INPUT!DD547</f>
        <v>9.4346175366827989</v>
      </c>
      <c r="CT88" s="688">
        <f>INPUT!DE547</f>
        <v>13.98758272137659</v>
      </c>
      <c r="CU88" s="670">
        <f>INPUT!DF547</f>
        <v>5.9204897303117177</v>
      </c>
      <c r="CV88" s="688">
        <f>INPUT!DG547</f>
        <v>13.983327433743275</v>
      </c>
      <c r="CW88" s="670">
        <f>INPUT!DH547</f>
        <v>1.3127091270346058</v>
      </c>
      <c r="CX88" s="688">
        <f>INPUT!DI547</f>
        <v>14.157493649449618</v>
      </c>
      <c r="CY88" s="670">
        <f>INPUT!DJ547</f>
        <v>1.4232746629735837</v>
      </c>
      <c r="CZ88" s="688">
        <f>INPUT!DK547</f>
        <v>13.415205880180721</v>
      </c>
      <c r="DA88" s="670">
        <f>INPUT!DL547</f>
        <v>-5.4139109648305705</v>
      </c>
      <c r="DB88" s="688">
        <f>INPUT!DM547</f>
        <v>13.429401425564228</v>
      </c>
      <c r="DC88" s="670">
        <f>INPUT!DN547</f>
        <v>-3.9905486668494805</v>
      </c>
      <c r="DD88" s="688">
        <f>INPUT!DO547</f>
        <v>13.79411497769941</v>
      </c>
      <c r="DE88" s="670">
        <f>INPUT!DP547</f>
        <v>-1.3531289812128366</v>
      </c>
      <c r="DF88" s="688">
        <f>INPUT!DQ547</f>
        <v>13.921355588157796</v>
      </c>
      <c r="DG88" s="670">
        <f>INPUT!DR547</f>
        <v>-1.6679369042203462</v>
      </c>
      <c r="DH88" s="688">
        <f>INPUT!DS547</f>
        <v>14.276516502238598</v>
      </c>
      <c r="DI88" s="670">
        <f>INPUT!DT547</f>
        <v>6.4204055439086138</v>
      </c>
      <c r="DJ88" s="688">
        <f>INPUT!DU547</f>
        <v>14.116877566086853</v>
      </c>
      <c r="DK88" s="670">
        <f>INPUT!DV547</f>
        <v>5.1191867659413637</v>
      </c>
      <c r="DL88" s="688">
        <f>INPUT!DW547</f>
        <v>13.882446668650505</v>
      </c>
      <c r="DM88" s="670">
        <f>INPUT!DX547</f>
        <v>0.64035779819073824</v>
      </c>
      <c r="DN88" s="688">
        <f>INPUT!DY547</f>
        <v>14.042367432360875</v>
      </c>
      <c r="DO88" s="670">
        <f>INPUT!DZ547</f>
        <v>0.86925330968499193</v>
      </c>
      <c r="DP88" s="688">
        <f>INPUT!EA547</f>
        <v>14.548534096866556</v>
      </c>
      <c r="DQ88" s="670">
        <f>INPUT!EB547</f>
        <v>1.9053499121112871</v>
      </c>
      <c r="DR88" s="688">
        <f>INPUT!EC547</f>
        <v>14.559587232484009</v>
      </c>
      <c r="DS88" s="670">
        <f>INPUT!ED547</f>
        <v>3.1360310686598503</v>
      </c>
      <c r="DT88" s="688">
        <f>INPUT!EE547</f>
        <v>14.557807218138748</v>
      </c>
      <c r="DU88" s="670">
        <f>INPUT!EF547</f>
        <v>4.8648524687896044</v>
      </c>
      <c r="DV88" s="688">
        <f>INPUT!EG547</f>
        <v>14.642108998859953</v>
      </c>
      <c r="DW88" s="670">
        <f>INPUT!EH547</f>
        <v>4.2709434102754296</v>
      </c>
      <c r="DX88" s="688">
        <f>INPUT!EI547</f>
        <v>14.787996042926732</v>
      </c>
      <c r="DY88" s="670">
        <f>INPUT!EJ547</f>
        <v>1.6459523995049796</v>
      </c>
      <c r="DZ88" s="688">
        <f>INPUT!EK547</f>
        <v>14.780159282105751</v>
      </c>
      <c r="EA88" s="670">
        <f>INPUT!EL547</f>
        <v>1.5149608714841944</v>
      </c>
      <c r="EB88" s="688">
        <f>INPUT!EM547</f>
        <v>14.794319759588163</v>
      </c>
      <c r="EC88" s="670">
        <f>INPUT!EN547</f>
        <v>1.6246439996452589</v>
      </c>
      <c r="ED88" s="688">
        <f>INPUT!EO547</f>
        <v>14.797022728290237</v>
      </c>
      <c r="EE88" s="670">
        <f>INPUT!EP547</f>
        <v>1.0580014767158641</v>
      </c>
      <c r="EF88" s="688">
        <f>INPUT!EQ547</f>
        <v>14.802460855546229</v>
      </c>
      <c r="EG88" s="670">
        <f>INPUT!ER547</f>
        <v>9.7814555653852331E-2</v>
      </c>
      <c r="EH88" s="670"/>
      <c r="EI88" s="688">
        <f>INPUT!FB547</f>
        <v>13.897727782010488</v>
      </c>
      <c r="EJ88" s="671" t="str">
        <f>INPUT!FC547</f>
        <v>NA</v>
      </c>
      <c r="EK88" s="688">
        <f>INPUT!FD547</f>
        <v>13.636496478358712</v>
      </c>
      <c r="EL88" s="671">
        <f>INPUT!FE547</f>
        <v>-1.8796691642638086</v>
      </c>
      <c r="EM88" s="688">
        <f>INPUT!FF547</f>
        <v>12.564705203812379</v>
      </c>
      <c r="EN88" s="671">
        <f>INPUT!FG547</f>
        <v>-7.8597261125486266</v>
      </c>
      <c r="EO88" s="688">
        <f>INPUT!FH547</f>
        <v>11.637001734506962</v>
      </c>
      <c r="EP88" s="671">
        <f>INPUT!FI547</f>
        <v>-7.3834081600572148</v>
      </c>
      <c r="EQ88" s="688">
        <f>INPUT!FJ547</f>
        <v>12.228789842081284</v>
      </c>
      <c r="ER88" s="670">
        <f>INPUT!FK547</f>
        <v>5.0854001836186491</v>
      </c>
      <c r="ES88" s="688">
        <f>INPUT!FL547</f>
        <v>13.610289118089272</v>
      </c>
      <c r="ET88" s="670">
        <f>INPUT!FM547</f>
        <v>11.297105386945328</v>
      </c>
      <c r="EU88" s="688">
        <f>INPUT!FN547</f>
        <v>14.578635037676163</v>
      </c>
      <c r="EV88" s="670">
        <f>INPUT!FO547</f>
        <v>7.1148078573869178</v>
      </c>
      <c r="EW88" s="688">
        <f>INPUT!FP547</f>
        <v>14.602505975114935</v>
      </c>
      <c r="EX88" s="670">
        <f>INPUT!FQ547</f>
        <v>0.16373917981402641</v>
      </c>
      <c r="EY88" s="688">
        <f>INPUT!FR547</f>
        <v>15.071486626274568</v>
      </c>
      <c r="EZ88" s="670">
        <f>INPUT!FS547</f>
        <v>3.2116449872292563</v>
      </c>
      <c r="FA88" s="688">
        <f>INPUT!FT547</f>
        <v>14.459221386883502</v>
      </c>
      <c r="FB88" s="670">
        <f>INPUT!FU547</f>
        <v>-4.0624077410100101</v>
      </c>
      <c r="FC88" s="688">
        <f>INPUT!FV547</f>
        <v>13.043588624110308</v>
      </c>
      <c r="FD88" s="670">
        <f>INPUT!FW547</f>
        <v>-9.7905186240344051</v>
      </c>
      <c r="FE88" s="688">
        <f>INPUT!FX547</f>
        <v>12.960308790564879</v>
      </c>
      <c r="FF88" s="670">
        <f>INPUT!FY547</f>
        <v>-0.63847332160944514</v>
      </c>
      <c r="FG88" s="688">
        <f>INPUT!FZ547</f>
        <v>14.183064356527755</v>
      </c>
      <c r="FH88" s="670">
        <f>INPUT!GA547</f>
        <v>9.4346175366827989</v>
      </c>
      <c r="FI88" s="688">
        <f>INPUT!GB547</f>
        <v>13.415205880180721</v>
      </c>
      <c r="FJ88" s="670">
        <f>INPUT!GC547</f>
        <v>-5.4139109648305705</v>
      </c>
      <c r="FK88" s="688">
        <f>INPUT!GD547</f>
        <v>14.276516502238598</v>
      </c>
      <c r="FL88" s="670">
        <f>INPUT!GE547</f>
        <v>6.4204055439086138</v>
      </c>
      <c r="FM88" s="688">
        <f>INPUT!GF547</f>
        <v>14.548534096866556</v>
      </c>
      <c r="FN88" s="670">
        <f>INPUT!GG547</f>
        <v>1.9053499121112871</v>
      </c>
      <c r="FO88" s="688">
        <f>INPUT!GH547</f>
        <v>14.787996042926732</v>
      </c>
      <c r="FP88" s="670">
        <f>INPUT!GI547</f>
        <v>1.6459523995049796</v>
      </c>
      <c r="FQ88" s="688">
        <f>INPUT!GJ547</f>
        <v>14.802460855546229</v>
      </c>
      <c r="FR88" s="670">
        <f>INPUT!GK547</f>
        <v>9.7814555653852331E-2</v>
      </c>
      <c r="FS88" s="688">
        <f>INPUT!GL547</f>
        <v>14.804467834049836</v>
      </c>
      <c r="FT88" s="670">
        <f>INPUT!GM547</f>
        <v>1.3558411153336003E-2</v>
      </c>
      <c r="FU88" s="688">
        <f>INPUT!GN547</f>
        <v>14.763063130731465</v>
      </c>
      <c r="FV88" s="670">
        <f>INPUT!GO547</f>
        <v>-0.27967707980114387</v>
      </c>
      <c r="FW88" s="688">
        <f>INPUT!GP547</f>
        <v>14.719042625639792</v>
      </c>
      <c r="FX88" s="670">
        <f>INPUT!GQ547</f>
        <v>-0.2981800233586851</v>
      </c>
      <c r="FY88" s="688">
        <f>INPUT!GR547</f>
        <v>14.634160724716544</v>
      </c>
      <c r="FZ88" s="670">
        <f>INPUT!GS547</f>
        <v>-0.57668085542050829</v>
      </c>
      <c r="GA88" s="988">
        <f>INPUT!GT547</f>
        <v>-0.20892548864994698</v>
      </c>
    </row>
    <row r="89" spans="1:183" s="707" customFormat="1" ht="12.75" customHeight="1" x14ac:dyDescent="0.2">
      <c r="A89" s="993" t="str">
        <f>INPUT!B548</f>
        <v>Oper Return on Avg Assets (%)</v>
      </c>
      <c r="B89" s="825">
        <f>INPUT!M548</f>
        <v>1.3837980313825624</v>
      </c>
      <c r="C89" s="824">
        <f>INPUT!N548</f>
        <v>-22.738006331232874</v>
      </c>
      <c r="D89" s="825">
        <f>INPUT!O548</f>
        <v>1.3963428781966005</v>
      </c>
      <c r="E89" s="665">
        <f>INPUT!P548</f>
        <v>-2.5701279519293241</v>
      </c>
      <c r="F89" s="825">
        <f>INPUT!Q548</f>
        <v>1.3842993248553426</v>
      </c>
      <c r="G89" s="665">
        <f>INPUT!R548</f>
        <v>31.556537087797821</v>
      </c>
      <c r="H89" s="825">
        <f>INPUT!S548</f>
        <v>1.3702041721947265</v>
      </c>
      <c r="I89" s="665">
        <f>INPUT!T548</f>
        <v>-2.2970360134771051</v>
      </c>
      <c r="J89" s="825">
        <f>INPUT!U548</f>
        <v>-1.7182386277190413</v>
      </c>
      <c r="K89" s="665" t="str">
        <f>INPUT!V548</f>
        <v>NM</v>
      </c>
      <c r="L89" s="825">
        <f>INPUT!W548</f>
        <v>0.95228834504637994</v>
      </c>
      <c r="M89" s="665">
        <f>INPUT!X548</f>
        <v>-31.80125312227926</v>
      </c>
      <c r="N89" s="825">
        <f>INPUT!Y548</f>
        <v>0.95691486646015711</v>
      </c>
      <c r="O89" s="665">
        <f>INPUT!Z548</f>
        <v>-30.873702726095498</v>
      </c>
      <c r="P89" s="825">
        <f>INPUT!AA548</f>
        <v>-1.5262065456519995</v>
      </c>
      <c r="Q89" s="665" t="str">
        <f>INPUT!AB548</f>
        <v>NM</v>
      </c>
      <c r="R89" s="825">
        <f>INPUT!AC548</f>
        <v>-4.8069726974545341</v>
      </c>
      <c r="S89" s="665" t="str">
        <f>INPUT!AD548</f>
        <v>NM</v>
      </c>
      <c r="T89" s="825">
        <f>INPUT!AE548</f>
        <v>1.0838504013206598</v>
      </c>
      <c r="U89" s="665">
        <f>INPUT!AF548</f>
        <v>13.815359282578665</v>
      </c>
      <c r="V89" s="825">
        <f>INPUT!AG548</f>
        <v>1.0510793557431408</v>
      </c>
      <c r="W89" s="665">
        <f>INPUT!AH548</f>
        <v>9.8404249514190578</v>
      </c>
      <c r="X89" s="825">
        <f>INPUT!AI548</f>
        <v>0.95740461323945047</v>
      </c>
      <c r="Y89" s="665" t="str">
        <f>INPUT!AJ548</f>
        <v>NM</v>
      </c>
      <c r="Z89" s="825">
        <f>INPUT!AK548</f>
        <v>1.2466860914310569</v>
      </c>
      <c r="AA89" s="665" t="str">
        <f>INPUT!AL548</f>
        <v>NM</v>
      </c>
      <c r="AB89" s="825">
        <f>INPUT!AM548</f>
        <v>1.0267947966156439</v>
      </c>
      <c r="AC89" s="665">
        <f>INPUT!AN548</f>
        <v>-5.2641586546901991</v>
      </c>
      <c r="AD89" s="825">
        <f>INPUT!AO548</f>
        <v>1.0792346738933762</v>
      </c>
      <c r="AE89" s="665">
        <f>INPUT!AP548</f>
        <v>2.678705275333737</v>
      </c>
      <c r="AF89" s="825">
        <f>INPUT!AQ548</f>
        <v>1.0591637929664528</v>
      </c>
      <c r="AG89" s="665">
        <f>INPUT!AR548</f>
        <v>10.628649404841761</v>
      </c>
      <c r="AH89" s="825">
        <f>INPUT!AS548</f>
        <v>1.0556705609885697</v>
      </c>
      <c r="AI89" s="665">
        <f>INPUT!AT548</f>
        <v>-15.321862636906669</v>
      </c>
      <c r="AJ89" s="825">
        <f>INPUT!AU548</f>
        <v>1.1172430672250071</v>
      </c>
      <c r="AK89" s="665">
        <f>INPUT!AV548</f>
        <v>8.8087971333205228</v>
      </c>
      <c r="AL89" s="825">
        <f>INPUT!AW548</f>
        <v>1.2373793209154815</v>
      </c>
      <c r="AM89" s="665">
        <f>INPUT!AX548</f>
        <v>14.653406793500533</v>
      </c>
      <c r="AN89" s="825">
        <f>INPUT!AY548</f>
        <v>1.3879012143170741</v>
      </c>
      <c r="AO89" s="667">
        <f>INPUT!AZ548</f>
        <v>31.037448932228884</v>
      </c>
      <c r="AP89" s="826">
        <f>INPUT!BA548</f>
        <v>1.3431854111293602</v>
      </c>
      <c r="AQ89" s="667">
        <f>INPUT!BB548</f>
        <v>27.23528160826525</v>
      </c>
      <c r="AR89" s="826">
        <f>INPUT!BC548</f>
        <v>1.3995369576071388</v>
      </c>
      <c r="AS89" s="667">
        <f>INPUT!BD548</f>
        <v>25.26700757099254</v>
      </c>
      <c r="AT89" s="826">
        <f>INPUT!BE548</f>
        <v>1.6662905541337956</v>
      </c>
      <c r="AU89" s="667">
        <f>INPUT!BF548</f>
        <v>34.662873863204837</v>
      </c>
      <c r="AV89" s="826">
        <f>INPUT!BG548</f>
        <v>1.6370710946712612</v>
      </c>
      <c r="AW89" s="667">
        <f>INPUT!BH548</f>
        <v>17.952998223781556</v>
      </c>
      <c r="AX89" s="826">
        <f>INPUT!BI548</f>
        <v>1.6020245025715845</v>
      </c>
      <c r="AY89" s="667">
        <f>INPUT!BJ548</f>
        <v>19.270540708493144</v>
      </c>
      <c r="AZ89" s="826">
        <f>INPUT!BK548</f>
        <v>1.7253124085094522</v>
      </c>
      <c r="BA89" s="667">
        <f>INPUT!BL548</f>
        <v>23.277373929396528</v>
      </c>
      <c r="BB89" s="826">
        <f>INPUT!BM548</f>
        <v>1.6973790010975431</v>
      </c>
      <c r="BC89" s="667">
        <f>INPUT!BN548</f>
        <v>1.8657278520016973</v>
      </c>
      <c r="BD89" s="826">
        <f>INPUT!BO548</f>
        <v>1.6601096037023473</v>
      </c>
      <c r="BE89" s="667">
        <f>INPUT!BP548</f>
        <v>1.4073004590990257</v>
      </c>
      <c r="BF89" s="826">
        <f>INPUT!BQ548</f>
        <v>1.6431642637608541</v>
      </c>
      <c r="BG89" s="667">
        <f>INPUT!BR548</f>
        <v>2.5679857657127991</v>
      </c>
      <c r="BH89" s="826">
        <f>INPUT!BS548</f>
        <v>1.6943563330297426</v>
      </c>
      <c r="BI89" s="667">
        <f>INPUT!BT548</f>
        <v>-1.7942301537408722</v>
      </c>
      <c r="BJ89" s="826">
        <f>INPUT!BU548</f>
        <v>1.5993650913625959</v>
      </c>
      <c r="BK89" s="667">
        <f>INPUT!BV548</f>
        <v>-5.7744269059279318</v>
      </c>
      <c r="BL89" s="826">
        <f>INPUT!BW548</f>
        <v>1.611868610187887</v>
      </c>
      <c r="BM89" s="667">
        <f>INPUT!BX548</f>
        <v>-2.905892081274275</v>
      </c>
      <c r="BN89" s="826">
        <f>INPUT!BY548</f>
        <v>1.6672445491275205</v>
      </c>
      <c r="BO89" s="667">
        <f>INPUT!BZ548</f>
        <v>1.4654825386447801</v>
      </c>
      <c r="BP89" s="826">
        <f>INPUT!CA548</f>
        <v>1.676451978663994</v>
      </c>
      <c r="BQ89" s="667">
        <f>INPUT!CB548</f>
        <v>-1.0567053704537588</v>
      </c>
      <c r="BR89" s="826">
        <f>INPUT!CC548</f>
        <v>1.5545376068614083</v>
      </c>
      <c r="BS89" s="667">
        <f>INPUT!CD548</f>
        <v>-2.8028299944321211</v>
      </c>
      <c r="BT89" s="826">
        <f>INPUT!CE548</f>
        <v>1.479285302433019</v>
      </c>
      <c r="BU89" s="667">
        <f>INPUT!CF548</f>
        <v>-8.2254413862810729</v>
      </c>
      <c r="BV89" s="826">
        <f>INPUT!CG548</f>
        <v>1.551674991014661</v>
      </c>
      <c r="BW89" s="667">
        <f>INPUT!CH548</f>
        <v>-6.9317700377750651</v>
      </c>
      <c r="BX89" s="826">
        <f>INPUT!CI548</f>
        <v>1.6450491458432333</v>
      </c>
      <c r="BY89" s="667">
        <f>INPUT!CJ548</f>
        <v>-1.873172224460995</v>
      </c>
      <c r="BZ89" s="826">
        <f>INPUT!CK548</f>
        <v>1.5290443900913675</v>
      </c>
      <c r="CA89" s="667">
        <f>INPUT!CL548</f>
        <v>-1.6399228077544681</v>
      </c>
      <c r="CB89" s="826">
        <f>INPUT!CM548</f>
        <v>-2.4944164007709229</v>
      </c>
      <c r="CC89" s="667" t="str">
        <f>INPUT!CN548</f>
        <v>NM</v>
      </c>
      <c r="CD89" s="826">
        <f>INPUT!CO548</f>
        <v>1.4428583755323161</v>
      </c>
      <c r="CE89" s="667">
        <f>INPUT!CP548</f>
        <v>-7.0128484452268047</v>
      </c>
      <c r="CF89" s="826">
        <f>INPUT!CQ548</f>
        <v>1.5121490403088724</v>
      </c>
      <c r="CG89" s="667">
        <f>INPUT!CR548</f>
        <v>-8.078792409951852</v>
      </c>
      <c r="CH89" s="826">
        <f>INPUT!CS548</f>
        <v>1.4760208389102814</v>
      </c>
      <c r="CI89" s="667">
        <f>INPUT!CT548</f>
        <v>-3.4677574781146636</v>
      </c>
      <c r="CJ89" s="826">
        <f>INPUT!CU548</f>
        <v>1.464159808162528</v>
      </c>
      <c r="CK89" s="667" t="str">
        <f>INPUT!CV548</f>
        <v>NM</v>
      </c>
      <c r="CL89" s="688">
        <f>INPUT!CW548</f>
        <v>1.3864151521422794</v>
      </c>
      <c r="CM89" s="670">
        <f>INPUT!CX548</f>
        <v>-3.9119032295330425</v>
      </c>
      <c r="CN89" s="688">
        <f>INPUT!CY548</f>
        <v>1.4360400148991639</v>
      </c>
      <c r="CO89" s="670">
        <f>INPUT!CZ548</f>
        <v>-5.0331695739569753</v>
      </c>
      <c r="CP89" s="688">
        <f>INPUT!DA548</f>
        <v>1.4982374919396209</v>
      </c>
      <c r="CQ89" s="670">
        <f>INPUT!DB548</f>
        <v>1.5051720438948202</v>
      </c>
      <c r="CR89" s="688">
        <f>INPUT!DC548</f>
        <v>1.4492545350491519</v>
      </c>
      <c r="CS89" s="670">
        <f>INPUT!DD548</f>
        <v>-1.0180086238046449</v>
      </c>
      <c r="CT89" s="688">
        <f>INPUT!DE548</f>
        <v>1.4871689090837712</v>
      </c>
      <c r="CU89" s="670">
        <f>INPUT!DF548</f>
        <v>7.2672140654123529</v>
      </c>
      <c r="CV89" s="688">
        <f>INPUT!DG548</f>
        <v>1.4486373611627068</v>
      </c>
      <c r="CW89" s="670">
        <f>INPUT!DH548</f>
        <v>0.8772280808921229</v>
      </c>
      <c r="CX89" s="688">
        <f>INPUT!DI548</f>
        <v>1.4250615049651136</v>
      </c>
      <c r="CY89" s="670">
        <f>INPUT!DJ548</f>
        <v>-4.884138020052708</v>
      </c>
      <c r="CZ89" s="688">
        <f>INPUT!DK548</f>
        <v>-1.4816994594804354</v>
      </c>
      <c r="DA89" s="670" t="str">
        <f>INPUT!DL548</f>
        <v>NM</v>
      </c>
      <c r="DB89" s="688">
        <f>INPUT!DM548</f>
        <v>1.426127598112253</v>
      </c>
      <c r="DC89" s="670">
        <f>INPUT!DN548</f>
        <v>-4.1045311395815247</v>
      </c>
      <c r="DD89" s="688">
        <f>INPUT!DO548</f>
        <v>1.41800548786122</v>
      </c>
      <c r="DE89" s="670">
        <f>INPUT!DP548</f>
        <v>-2.1145301179379294</v>
      </c>
      <c r="DF89" s="688">
        <f>INPUT!DQ548</f>
        <v>1.4358984350265713</v>
      </c>
      <c r="DG89" s="670">
        <f>INPUT!DR548</f>
        <v>0.76045349788063099</v>
      </c>
      <c r="DH89" s="688">
        <f>INPUT!DS548</f>
        <v>1.4983360015206204</v>
      </c>
      <c r="DI89" s="670" t="str">
        <f>INPUT!DT548</f>
        <v>NM</v>
      </c>
      <c r="DJ89" s="688">
        <f>INPUT!DU548</f>
        <v>1.466068556033636</v>
      </c>
      <c r="DK89" s="670">
        <f>INPUT!DV548</f>
        <v>2.8006580879756049</v>
      </c>
      <c r="DL89" s="688">
        <f>INPUT!DW548</f>
        <v>1.4878612393788333</v>
      </c>
      <c r="DM89" s="670">
        <f>INPUT!DX548</f>
        <v>4.9263385872347243</v>
      </c>
      <c r="DN89" s="688">
        <f>INPUT!DY548</f>
        <v>1.4409964108982061</v>
      </c>
      <c r="DO89" s="670">
        <f>INPUT!DZ548</f>
        <v>0.3550373583031563</v>
      </c>
      <c r="DP89" s="688">
        <f>INPUT!EA548</f>
        <v>1.4648428936864919</v>
      </c>
      <c r="DQ89" s="670">
        <f>INPUT!EB548</f>
        <v>-2.2353536056089696</v>
      </c>
      <c r="DR89" s="688">
        <f>INPUT!EC548</f>
        <v>1.5169037431093622</v>
      </c>
      <c r="DS89" s="670">
        <f>INPUT!ED548</f>
        <v>3.4674495177263731</v>
      </c>
      <c r="DT89" s="688">
        <f>INPUT!EE548</f>
        <v>1.5287636823236705</v>
      </c>
      <c r="DU89" s="670">
        <f>INPUT!EF548</f>
        <v>2.749076450295429</v>
      </c>
      <c r="DV89" s="688">
        <f>INPUT!EG548</f>
        <v>1.5469670702381333</v>
      </c>
      <c r="DW89" s="670">
        <f>INPUT!EH548</f>
        <v>7.3539849605783081</v>
      </c>
      <c r="DX89" s="688">
        <f>INPUT!EI548</f>
        <v>1.5903799571989607</v>
      </c>
      <c r="DY89" s="670">
        <f>INPUT!EJ548</f>
        <v>8.5700018789411914</v>
      </c>
      <c r="DZ89" s="688">
        <f>INPUT!EK548</f>
        <v>1.7568451185437013</v>
      </c>
      <c r="EA89" s="670">
        <f>INPUT!EL548</f>
        <v>15.8178379164986</v>
      </c>
      <c r="EB89" s="688">
        <f>INPUT!EM548</f>
        <v>1.7469905858253032</v>
      </c>
      <c r="EC89" s="670">
        <f>INPUT!EN548</f>
        <v>14.274731014667674</v>
      </c>
      <c r="ED89" s="688">
        <f>INPUT!EO548</f>
        <v>1.7326418198597344</v>
      </c>
      <c r="EE89" s="670">
        <f>INPUT!EP548</f>
        <v>12.002501746402338</v>
      </c>
      <c r="EF89" s="688">
        <f>INPUT!EQ548</f>
        <v>1.7227347864934934</v>
      </c>
      <c r="EG89" s="670">
        <f>INPUT!ER548</f>
        <v>8.3222143674170255</v>
      </c>
      <c r="EH89" s="670"/>
      <c r="EI89" s="698">
        <f>INPUT!FB548</f>
        <v>-0.56162680712447555</v>
      </c>
      <c r="EJ89" s="671" t="str">
        <f>INPUT!FC548</f>
        <v>NA</v>
      </c>
      <c r="EK89" s="698">
        <f>INPUT!FD548</f>
        <v>1.7348705293012654</v>
      </c>
      <c r="EL89" s="671" t="str">
        <f>INPUT!FE548</f>
        <v>NM</v>
      </c>
      <c r="EM89" s="698">
        <f>INPUT!FF548</f>
        <v>9.0724202723447347E-2</v>
      </c>
      <c r="EN89" s="671" t="str">
        <f>INPUT!FG548</f>
        <v>NM</v>
      </c>
      <c r="EO89" s="698">
        <f>INPUT!FH548</f>
        <v>-0.117060255387479</v>
      </c>
      <c r="EP89" s="671" t="str">
        <f>INPUT!FI548</f>
        <v>NM</v>
      </c>
      <c r="EQ89" s="698">
        <f>INPUT!FJ548</f>
        <v>1.103398647736985</v>
      </c>
      <c r="ER89" s="670" t="str">
        <f>INPUT!FK548</f>
        <v>NM</v>
      </c>
      <c r="ES89" s="688">
        <f>INPUT!FL548</f>
        <v>1.1868044907485686</v>
      </c>
      <c r="ET89" s="670">
        <f>INPUT!FM548</f>
        <v>7.5589944923935448</v>
      </c>
      <c r="EU89" s="688">
        <f>INPUT!FN548</f>
        <v>1.5091231785079053</v>
      </c>
      <c r="EV89" s="670">
        <f>INPUT!FO548</f>
        <v>27.158532873096597</v>
      </c>
      <c r="EW89" s="688">
        <f>INPUT!FP548</f>
        <v>1.6753171631582648</v>
      </c>
      <c r="EX89" s="670">
        <f>INPUT!FQ548</f>
        <v>11.012618917872441</v>
      </c>
      <c r="EY89" s="688">
        <f>INPUT!FR548</f>
        <v>1.5591413519222201</v>
      </c>
      <c r="EZ89" s="670">
        <f>INPUT!FS548</f>
        <v>-6.9345562613966845</v>
      </c>
      <c r="FA89" s="688">
        <f>INPUT!FT548</f>
        <v>1.6210198093440085</v>
      </c>
      <c r="FB89" s="670">
        <f>INPUT!FU548</f>
        <v>3.9687522459397329</v>
      </c>
      <c r="FC89" s="688">
        <f>INPUT!FV548</f>
        <v>0.53491837943139098</v>
      </c>
      <c r="FD89" s="670" t="str">
        <f>INPUT!FW548</f>
        <v>NM</v>
      </c>
      <c r="FE89" s="688">
        <f>INPUT!FX548</f>
        <v>1.4601309842876851</v>
      </c>
      <c r="FF89" s="670" t="str">
        <f>INPUT!FY548</f>
        <v>NM</v>
      </c>
      <c r="FG89" s="688">
        <f>INPUT!FZ548</f>
        <v>1.432154477201492</v>
      </c>
      <c r="FH89" s="670">
        <f>INPUT!GA548</f>
        <v>-1.9160272186019789</v>
      </c>
      <c r="FI89" s="688">
        <f>INPUT!GB548</f>
        <v>0.7148099427608402</v>
      </c>
      <c r="FJ89" s="670" t="str">
        <f>INPUT!GC548</f>
        <v>NM</v>
      </c>
      <c r="FK89" s="688">
        <f>INPUT!GD548</f>
        <v>1.4540434682811123</v>
      </c>
      <c r="FL89" s="670" t="str">
        <f>INPUT!GE548</f>
        <v>NM</v>
      </c>
      <c r="FM89" s="688">
        <f>INPUT!GF548</f>
        <v>1.4940509651526828</v>
      </c>
      <c r="FN89" s="670">
        <f>INPUT!GG548</f>
        <v>2.7514649832900195</v>
      </c>
      <c r="FO89" s="688">
        <f>INPUT!GH548</f>
        <v>1.5500710608120072</v>
      </c>
      <c r="FP89" s="670">
        <f>INPUT!GI548</f>
        <v>3.7495438218601462</v>
      </c>
      <c r="FQ89" s="688">
        <f>INPUT!GJ548</f>
        <v>1.7393009080127302</v>
      </c>
      <c r="FR89" s="670">
        <f>INPUT!GK548</f>
        <v>12.207817562995761</v>
      </c>
      <c r="FS89" s="688">
        <f>INPUT!GL548</f>
        <v>1.6961493888999799</v>
      </c>
      <c r="FT89" s="670">
        <f>INPUT!GM548</f>
        <v>-2.4809691591579641</v>
      </c>
      <c r="FU89" s="688">
        <f>INPUT!GN548</f>
        <v>1.66058077130777</v>
      </c>
      <c r="FV89" s="670">
        <f>INPUT!GO548</f>
        <v>-2.0970215138465753</v>
      </c>
      <c r="FW89" s="688">
        <f>INPUT!GP548</f>
        <v>1.6301113958802345</v>
      </c>
      <c r="FX89" s="670">
        <f>INPUT!GQ548</f>
        <v>-1.834862594701725</v>
      </c>
      <c r="FY89" s="688">
        <f>INPUT!GR548</f>
        <v>1.5927703471956951</v>
      </c>
      <c r="FZ89" s="670">
        <f>INPUT!GS548</f>
        <v>-2.2907053333232952</v>
      </c>
      <c r="GA89" s="988">
        <f>INPUT!GT548</f>
        <v>0.54496116553135465</v>
      </c>
    </row>
    <row r="90" spans="1:183" s="707" customFormat="1" ht="12.75" customHeight="1" x14ac:dyDescent="0.2">
      <c r="A90" s="993" t="str">
        <f>INPUT!B549</f>
        <v>Book Value per Share</v>
      </c>
      <c r="B90" s="825">
        <f>INPUT!M549</f>
        <v>24.04</v>
      </c>
      <c r="C90" s="824">
        <f>INPUT!N549</f>
        <v>5.3000438020148977</v>
      </c>
      <c r="D90" s="825">
        <f>INPUT!O549</f>
        <v>24.23</v>
      </c>
      <c r="E90" s="665">
        <f>INPUT!P549</f>
        <v>3.8576939562794843</v>
      </c>
      <c r="F90" s="825">
        <f>INPUT!Q549</f>
        <v>24.69</v>
      </c>
      <c r="G90" s="665">
        <f>INPUT!R549</f>
        <v>4.1332770982707823</v>
      </c>
      <c r="H90" s="825">
        <f>INPUT!S549</f>
        <v>24.37</v>
      </c>
      <c r="I90" s="665">
        <f>INPUT!T549</f>
        <v>1.7536534446764174</v>
      </c>
      <c r="J90" s="825">
        <f>INPUT!U549</f>
        <v>23.15</v>
      </c>
      <c r="K90" s="665">
        <f>INPUT!V549</f>
        <v>-3.7021630615640677</v>
      </c>
      <c r="L90" s="825">
        <f>INPUT!W549</f>
        <v>21.06</v>
      </c>
      <c r="M90" s="665">
        <f>INPUT!X549</f>
        <v>-13.082955014444908</v>
      </c>
      <c r="N90" s="825">
        <f>INPUT!Y549</f>
        <v>21.36</v>
      </c>
      <c r="O90" s="665">
        <f>INPUT!Z549</f>
        <v>-13.487241798298911</v>
      </c>
      <c r="P90" s="825">
        <f>INPUT!AA549</f>
        <v>20.37</v>
      </c>
      <c r="Q90" s="665">
        <f>INPUT!AB549</f>
        <v>-16.413623307345095</v>
      </c>
      <c r="R90" s="825">
        <f>INPUT!AC549</f>
        <v>18.626270308985653</v>
      </c>
      <c r="S90" s="665">
        <f>INPUT!AD549</f>
        <v>-19.54094898926283</v>
      </c>
      <c r="T90" s="825">
        <f>INPUT!AE549</f>
        <v>18.487509200739208</v>
      </c>
      <c r="U90" s="665">
        <f>INPUT!AF549</f>
        <v>-12.215056026879346</v>
      </c>
      <c r="V90" s="825">
        <f>INPUT!AG549</f>
        <v>18.981657851230931</v>
      </c>
      <c r="W90" s="665">
        <f>INPUT!AH549</f>
        <v>-11.134560621578037</v>
      </c>
      <c r="X90" s="825">
        <f>INPUT!AI549</f>
        <v>19.366309728908657</v>
      </c>
      <c r="Y90" s="665">
        <f>INPUT!AJ549</f>
        <v>-4.9272963725642827</v>
      </c>
      <c r="Z90" s="825">
        <f>INPUT!AK549</f>
        <v>19.741693915913892</v>
      </c>
      <c r="AA90" s="665">
        <f>INPUT!AL549</f>
        <v>5.9884431419968021</v>
      </c>
      <c r="AB90" s="825">
        <f>INPUT!AM549</f>
        <v>20.262256548018804</v>
      </c>
      <c r="AC90" s="665">
        <f>INPUT!AN549</f>
        <v>9.5997104207452324</v>
      </c>
      <c r="AD90" s="825">
        <f>INPUT!AO549</f>
        <v>20.37016085742945</v>
      </c>
      <c r="AE90" s="665">
        <f>INPUT!AP549</f>
        <v>7.3149722594355815</v>
      </c>
      <c r="AF90" s="825">
        <f>INPUT!AQ549</f>
        <v>20.767840423670908</v>
      </c>
      <c r="AG90" s="665">
        <f>INPUT!AR549</f>
        <v>7.2369528029913921</v>
      </c>
      <c r="AH90" s="825">
        <f>INPUT!AS549</f>
        <v>20.901239386184351</v>
      </c>
      <c r="AI90" s="665">
        <f>INPUT!AT549</f>
        <v>5.8735865078717531</v>
      </c>
      <c r="AJ90" s="825">
        <f>INPUT!AU549</f>
        <v>20.247674321682329</v>
      </c>
      <c r="AK90" s="665">
        <f>INPUT!AV549</f>
        <v>-7.196743512707382E-2</v>
      </c>
      <c r="AL90" s="825">
        <f>INPUT!AW549</f>
        <v>20.000191392743684</v>
      </c>
      <c r="AM90" s="665">
        <f>INPUT!AX549</f>
        <v>-1.8162324160087895</v>
      </c>
      <c r="AN90" s="825">
        <f>INPUT!AY549</f>
        <v>20.739723356898701</v>
      </c>
      <c r="AO90" s="667">
        <f>INPUT!AZ549</f>
        <v>-0.13538753283254268</v>
      </c>
      <c r="AP90" s="825">
        <f>INPUT!BA549</f>
        <v>19.932441656863176</v>
      </c>
      <c r="AQ90" s="667">
        <f>INPUT!BB549</f>
        <v>-4.6351209678099137</v>
      </c>
      <c r="AR90" s="825">
        <f>INPUT!BC549</f>
        <v>20.144005903106432</v>
      </c>
      <c r="AS90" s="667">
        <f>INPUT!BD549</f>
        <v>-0.51200161030288127</v>
      </c>
      <c r="AT90" s="825">
        <f>INPUT!BE549</f>
        <v>20.599386435293223</v>
      </c>
      <c r="AU90" s="667">
        <f>INPUT!BF549</f>
        <v>2.9959465426262488</v>
      </c>
      <c r="AV90" s="825">
        <f>INPUT!BG549</f>
        <v>20.993452430803853</v>
      </c>
      <c r="AW90" s="667">
        <f>INPUT!BH549</f>
        <v>1.2233966169117316</v>
      </c>
      <c r="AX90" s="825">
        <f>INPUT!BI549</f>
        <v>21.278790048153013</v>
      </c>
      <c r="AY90" s="667">
        <f>INPUT!BJ549</f>
        <v>6.7545582948000726</v>
      </c>
      <c r="AZ90" s="825">
        <f>INPUT!BK549</f>
        <v>21.974856911370395</v>
      </c>
      <c r="BA90" s="667">
        <f>INPUT!BL549</f>
        <v>9.0888129057866465</v>
      </c>
      <c r="BB90" s="825">
        <f>INPUT!BM549</f>
        <v>22.012559544101169</v>
      </c>
      <c r="BC90" s="667">
        <f>INPUT!BN549</f>
        <v>6.8602679659756083</v>
      </c>
      <c r="BD90" s="825">
        <f>INPUT!BO549</f>
        <v>22.215789851269935</v>
      </c>
      <c r="BE90" s="667">
        <f>INPUT!BP549</f>
        <v>5.8224697652518476</v>
      </c>
      <c r="BF90" s="825">
        <f>INPUT!BQ549</f>
        <v>22.652262972272364</v>
      </c>
      <c r="BG90" s="667">
        <f>INPUT!BR549</f>
        <v>6.4546570599702369</v>
      </c>
      <c r="BH90" s="825">
        <f>INPUT!BS549</f>
        <v>23.451979439510819</v>
      </c>
      <c r="BI90" s="667">
        <f>INPUT!BT549</f>
        <v>6.7218755239135231</v>
      </c>
      <c r="BJ90" s="825">
        <f>INPUT!BU549</f>
        <v>24.057100503977878</v>
      </c>
      <c r="BK90" s="667">
        <f>INPUT!BV549</f>
        <v>9.2880655508531973</v>
      </c>
      <c r="BL90" s="825">
        <f>INPUT!BW549</f>
        <v>24.58973061712171</v>
      </c>
      <c r="BM90" s="667">
        <f>INPUT!BX549</f>
        <v>10.685826530340847</v>
      </c>
      <c r="BN90" s="825">
        <f>INPUT!BY549</f>
        <v>25.174032368228897</v>
      </c>
      <c r="BO90" s="667">
        <f>INPUT!BZ549</f>
        <v>11.132527461134089</v>
      </c>
      <c r="BP90" s="825">
        <f>INPUT!CA549</f>
        <v>25.780242770606343</v>
      </c>
      <c r="BQ90" s="667">
        <f>INPUT!CB549</f>
        <v>9.9277902622282319</v>
      </c>
      <c r="BR90" s="825">
        <f>INPUT!CC549</f>
        <v>26.527895780232232</v>
      </c>
      <c r="BS90" s="667">
        <f>INPUT!CD549</f>
        <v>10.270544764302759</v>
      </c>
      <c r="BT90" s="825">
        <f>INPUT!CE549</f>
        <v>25.692299681528571</v>
      </c>
      <c r="BU90" s="667">
        <f>INPUT!CF549</f>
        <v>4.4838598745736036</v>
      </c>
      <c r="BV90" s="825">
        <f>INPUT!CG549</f>
        <v>26.26791871760409</v>
      </c>
      <c r="BW90" s="667">
        <f>INPUT!CH549</f>
        <v>4.3452965078242256</v>
      </c>
      <c r="BX90" s="825">
        <f>INPUT!CI549</f>
        <v>26.941834412805292</v>
      </c>
      <c r="BY90" s="667">
        <f>INPUT!CJ549</f>
        <v>4.5057436135681028</v>
      </c>
      <c r="BZ90" s="825">
        <f>INPUT!CK549</f>
        <v>27.7</v>
      </c>
      <c r="CA90" s="667">
        <f>INPUT!CL549</f>
        <v>4.418383687413252</v>
      </c>
      <c r="CB90" s="825">
        <f>INPUT!CM549</f>
        <v>26.332353582613401</v>
      </c>
      <c r="CC90" s="667">
        <f>INPUT!CN549</f>
        <v>2.49122853547048</v>
      </c>
      <c r="CD90" s="825">
        <f>INPUT!CO549</f>
        <v>27.026469015947281</v>
      </c>
      <c r="CE90" s="667">
        <f>INPUT!CP549</f>
        <v>2.8877441966303596</v>
      </c>
      <c r="CF90" s="825">
        <f>INPUT!CQ549</f>
        <v>27.800352078993306</v>
      </c>
      <c r="CG90" s="667">
        <f>INPUT!CR549</f>
        <v>3.1865598052223332</v>
      </c>
      <c r="CH90" s="825">
        <f>INPUT!CS549</f>
        <v>28.656567154025943</v>
      </c>
      <c r="CI90" s="667">
        <f>INPUT!CT549</f>
        <v>3.4533110253644139</v>
      </c>
      <c r="CJ90" s="825">
        <f>INPUT!CU549</f>
        <v>29.550136130807413</v>
      </c>
      <c r="CK90" s="667">
        <f>INPUT!CV549</f>
        <v>12.219882047758301</v>
      </c>
      <c r="CL90" s="698">
        <f>INPUT!CW549</f>
        <v>30.23623096295681</v>
      </c>
      <c r="CM90" s="670">
        <f>INPUT!CX549</f>
        <v>11.87636440822355</v>
      </c>
      <c r="CN90" s="698">
        <f>INPUT!CY549</f>
        <v>30.974908760721714</v>
      </c>
      <c r="CO90" s="670">
        <f>INPUT!CZ549</f>
        <v>11.419124019393934</v>
      </c>
      <c r="CP90" s="698">
        <f>INPUT!DA549</f>
        <v>31.631735661669254</v>
      </c>
      <c r="CQ90" s="670">
        <f>INPUT!DB549</f>
        <v>10.382152515519749</v>
      </c>
      <c r="CR90" s="698">
        <f>INPUT!DC549</f>
        <v>32.249615384615382</v>
      </c>
      <c r="CS90" s="670">
        <f>INPUT!DD549</f>
        <v>9.1352514988708666</v>
      </c>
      <c r="CT90" s="698">
        <f>INPUT!DE549</f>
        <v>32.919254658385093</v>
      </c>
      <c r="CU90" s="670">
        <f>INPUT!DF549</f>
        <v>8.8735388306675045</v>
      </c>
      <c r="CV90" s="698">
        <f>INPUT!DG549</f>
        <v>33.798273155416013</v>
      </c>
      <c r="CW90" s="670">
        <f>INPUT!DH549</f>
        <v>9.1150047172197546</v>
      </c>
      <c r="CX90" s="698">
        <f>INPUT!DI549</f>
        <v>34.515283842794759</v>
      </c>
      <c r="CY90" s="670">
        <f>INPUT!DJ549</f>
        <v>9.1159973387730844</v>
      </c>
      <c r="CZ90" s="698">
        <f>INPUT!DK549</f>
        <v>33.117320650019813</v>
      </c>
      <c r="DA90" s="670">
        <f>INPUT!DL549</f>
        <v>2.6905910506404673</v>
      </c>
      <c r="DB90" s="698">
        <f>INPUT!DM549</f>
        <v>33.77755511022044</v>
      </c>
      <c r="DC90" s="670">
        <f>INPUT!DN549</f>
        <v>2.6072900518017139</v>
      </c>
      <c r="DD90" s="698">
        <f>INPUT!DO549</f>
        <v>34.51459854014599</v>
      </c>
      <c r="DE90" s="670">
        <f>INPUT!DP549</f>
        <v>2.1194141530132882</v>
      </c>
      <c r="DF90" s="698">
        <f>INPUT!DQ549</f>
        <v>35.164749383730488</v>
      </c>
      <c r="DG90" s="670">
        <f>INPUT!DR549</f>
        <v>1.881675213490408</v>
      </c>
      <c r="DH90" s="698">
        <f>INPUT!DS549</f>
        <v>35.897882938978825</v>
      </c>
      <c r="DI90" s="670">
        <f>INPUT!DT549</f>
        <v>8.3960967686476984</v>
      </c>
      <c r="DJ90" s="698">
        <f>INPUT!DU549</f>
        <v>36.677042146883139</v>
      </c>
      <c r="DK90" s="670">
        <f>INPUT!DV549</f>
        <v>8.5840642616119123</v>
      </c>
      <c r="DL90" s="698">
        <f>INPUT!DW549</f>
        <v>37.51521082415011</v>
      </c>
      <c r="DM90" s="670">
        <f>INPUT!DX549</f>
        <v>8.693748184594785</v>
      </c>
      <c r="DN90" s="698">
        <f>INPUT!DY549</f>
        <v>38.390779836277467</v>
      </c>
      <c r="DO90" s="670">
        <f>INPUT!DZ549</f>
        <v>9.1740464786009603</v>
      </c>
      <c r="DP90" s="698">
        <f>INPUT!EA549</f>
        <v>39.247171453437772</v>
      </c>
      <c r="DQ90" s="670">
        <f>INPUT!EB549</f>
        <v>9.3300446718606054</v>
      </c>
      <c r="DR90" s="698">
        <f>INPUT!EC549</f>
        <v>39.909162647961416</v>
      </c>
      <c r="DS90" s="670">
        <f>INPUT!ED549</f>
        <v>8.8123804753239767</v>
      </c>
      <c r="DT90" s="698">
        <f>INPUT!EE549</f>
        <v>40.741707209199475</v>
      </c>
      <c r="DU90" s="670">
        <f>INPUT!EF549</f>
        <v>8.6005018075823614</v>
      </c>
      <c r="DV90" s="698">
        <f>INPUT!EG549</f>
        <v>41.552139037433157</v>
      </c>
      <c r="DW90" s="670">
        <f>INPUT!EH549</f>
        <v>8.234683469931392</v>
      </c>
      <c r="DX90" s="698">
        <f>INPUT!EI549</f>
        <v>42.46022471910112</v>
      </c>
      <c r="DY90" s="670">
        <f>INPUT!EJ549</f>
        <v>8.1867129443334861</v>
      </c>
      <c r="DZ90" s="698">
        <f>INPUT!EK549</f>
        <v>43.332208205548568</v>
      </c>
      <c r="EA90" s="670">
        <f>INPUT!EL549</f>
        <v>8.5770919018818503</v>
      </c>
      <c r="EB90" s="698">
        <f>INPUT!EM549</f>
        <v>44.285305449135777</v>
      </c>
      <c r="EC90" s="670">
        <f>INPUT!EN549</f>
        <v>8.6977166217918178</v>
      </c>
      <c r="ED90" s="698">
        <f>INPUT!EO549</f>
        <v>45.221837405704271</v>
      </c>
      <c r="EE90" s="670">
        <f>INPUT!EP549</f>
        <v>8.8315510423306662</v>
      </c>
      <c r="EF90" s="698">
        <f>INPUT!EQ549</f>
        <v>46.184151639322444</v>
      </c>
      <c r="EG90" s="670">
        <f>INPUT!ER549</f>
        <v>8.7703890991092095</v>
      </c>
      <c r="EH90" s="670"/>
      <c r="EI90" s="688">
        <f>INPUT!FB549</f>
        <v>24.324711410288668</v>
      </c>
      <c r="EJ90" s="689" t="str">
        <f>INPUT!FC549</f>
        <v>NA</v>
      </c>
      <c r="EK90" s="688">
        <f>INPUT!FD549</f>
        <v>25.042657627001311</v>
      </c>
      <c r="EL90" s="689">
        <f>INPUT!FE549</f>
        <v>2.9515096997573043</v>
      </c>
      <c r="EM90" s="688">
        <f>INPUT!FF549</f>
        <v>20.597452270947286</v>
      </c>
      <c r="EN90" s="689">
        <f>INPUT!FG549</f>
        <v>-17.750533598563234</v>
      </c>
      <c r="EO90" s="688">
        <f>INPUT!FH549</f>
        <v>19.366309728908657</v>
      </c>
      <c r="EP90" s="689">
        <f>INPUT!FI549</f>
        <v>-5.9771593391438778</v>
      </c>
      <c r="EQ90" s="688">
        <f>INPUT!FJ549</f>
        <v>20.767840423670908</v>
      </c>
      <c r="ER90" s="670">
        <f>INPUT!FK549</f>
        <v>7.2369528029913921</v>
      </c>
      <c r="ES90" s="698">
        <f>INPUT!FL549</f>
        <v>20.739723356898701</v>
      </c>
      <c r="ET90" s="670">
        <f>INPUT!FM549</f>
        <v>-0.13538753283254268</v>
      </c>
      <c r="EU90" s="698">
        <f>INPUT!FN549</f>
        <v>20.993452430803853</v>
      </c>
      <c r="EV90" s="670">
        <f>INPUT!FO549</f>
        <v>1.2233966169117316</v>
      </c>
      <c r="EW90" s="698">
        <f>INPUT!FP549</f>
        <v>22.215789851269935</v>
      </c>
      <c r="EX90" s="670">
        <f>INPUT!FQ549</f>
        <v>5.8224697652518476</v>
      </c>
      <c r="EY90" s="698">
        <f>INPUT!FR549</f>
        <v>24.58973061712171</v>
      </c>
      <c r="EZ90" s="670">
        <f>INPUT!FS549</f>
        <v>10.685826530340847</v>
      </c>
      <c r="FA90" s="698">
        <f>INPUT!FT549</f>
        <v>25.692299681528571</v>
      </c>
      <c r="FB90" s="670">
        <f>INPUT!FU549</f>
        <v>4.4838598745736036</v>
      </c>
      <c r="FC90" s="698">
        <f>INPUT!FV549</f>
        <v>26.332353582613401</v>
      </c>
      <c r="FD90" s="670">
        <f>INPUT!FW549</f>
        <v>2.49122853547048</v>
      </c>
      <c r="FE90" s="698">
        <f>INPUT!FX549</f>
        <v>29.550136130807413</v>
      </c>
      <c r="FF90" s="670">
        <f>INPUT!FY549</f>
        <v>12.219882047758301</v>
      </c>
      <c r="FG90" s="698">
        <f>INPUT!FZ549</f>
        <v>32.249615384615382</v>
      </c>
      <c r="FH90" s="670">
        <f>INPUT!GA549</f>
        <v>9.1352514988708666</v>
      </c>
      <c r="FI90" s="698">
        <f>INPUT!GB549</f>
        <v>33.117320650019813</v>
      </c>
      <c r="FJ90" s="670">
        <f>INPUT!GC549</f>
        <v>2.6905910506404673</v>
      </c>
      <c r="FK90" s="698">
        <f>INPUT!GD549</f>
        <v>35.897882938978825</v>
      </c>
      <c r="FL90" s="670">
        <f>INPUT!GE549</f>
        <v>8.3960967686476984</v>
      </c>
      <c r="FM90" s="698">
        <f>INPUT!GF549</f>
        <v>39.247171453437772</v>
      </c>
      <c r="FN90" s="670">
        <f>INPUT!GG549</f>
        <v>9.3300446718606054</v>
      </c>
      <c r="FO90" s="698">
        <f>INPUT!GH549</f>
        <v>42.46022471910112</v>
      </c>
      <c r="FP90" s="670">
        <f>INPUT!GI549</f>
        <v>8.1867129443334861</v>
      </c>
      <c r="FQ90" s="698">
        <f>INPUT!GJ549</f>
        <v>46.184151639322444</v>
      </c>
      <c r="FR90" s="670">
        <f>INPUT!GK549</f>
        <v>8.7703890991092095</v>
      </c>
      <c r="FS90" s="698">
        <f>INPUT!GL549</f>
        <v>50.151201089424845</v>
      </c>
      <c r="FT90" s="670">
        <f>INPUT!GM549</f>
        <v>8.5896336931406303</v>
      </c>
      <c r="FU90" s="698">
        <f>INPUT!GN549</f>
        <v>54.368308593489438</v>
      </c>
      <c r="FV90" s="670">
        <f>INPUT!GO549</f>
        <v>8.4087866540724541</v>
      </c>
      <c r="FW90" s="698">
        <f>INPUT!GP549</f>
        <v>58.88412002552225</v>
      </c>
      <c r="FX90" s="670">
        <f>INPUT!GQ549</f>
        <v>8.3059626993317472</v>
      </c>
      <c r="FY90" s="698">
        <f>INPUT!GR549</f>
        <v>63.675863669672324</v>
      </c>
      <c r="FZ90" s="670">
        <f>INPUT!GS549</f>
        <v>8.1375821564000361</v>
      </c>
      <c r="GA90" s="988">
        <f>INPUT!GT549</f>
        <v>8.442247822444493</v>
      </c>
    </row>
    <row r="91" spans="1:183" s="707" customFormat="1" ht="4.5" customHeight="1" x14ac:dyDescent="0.2">
      <c r="A91" s="993"/>
      <c r="B91" s="664"/>
      <c r="C91" s="824"/>
      <c r="D91" s="664"/>
      <c r="E91" s="665"/>
      <c r="F91" s="664"/>
      <c r="G91" s="665"/>
      <c r="H91" s="664"/>
      <c r="I91" s="665"/>
      <c r="J91" s="664"/>
      <c r="K91" s="665"/>
      <c r="L91" s="664"/>
      <c r="M91" s="665"/>
      <c r="N91" s="664"/>
      <c r="O91" s="665"/>
      <c r="P91" s="664"/>
      <c r="Q91" s="665"/>
      <c r="R91" s="664"/>
      <c r="S91" s="665"/>
      <c r="T91" s="664"/>
      <c r="U91" s="665"/>
      <c r="V91" s="664"/>
      <c r="W91" s="665"/>
      <c r="X91" s="664"/>
      <c r="Y91" s="665"/>
      <c r="Z91" s="664"/>
      <c r="AA91" s="665"/>
      <c r="AB91" s="664"/>
      <c r="AC91" s="665"/>
      <c r="AD91" s="664"/>
      <c r="AE91" s="665"/>
      <c r="AF91" s="664"/>
      <c r="AG91" s="665"/>
      <c r="AH91" s="664"/>
      <c r="AI91" s="665"/>
      <c r="AJ91" s="664"/>
      <c r="AK91" s="665"/>
      <c r="AL91" s="664"/>
      <c r="AM91" s="665"/>
      <c r="AN91" s="664"/>
      <c r="AO91" s="667"/>
      <c r="AP91" s="664"/>
      <c r="AQ91" s="667"/>
      <c r="AR91" s="664"/>
      <c r="AS91" s="667"/>
      <c r="AT91" s="664"/>
      <c r="AU91" s="667"/>
      <c r="AV91" s="664"/>
      <c r="AW91" s="667"/>
      <c r="AX91" s="664"/>
      <c r="AY91" s="667"/>
      <c r="AZ91" s="664"/>
      <c r="BA91" s="667"/>
      <c r="BB91" s="664"/>
      <c r="BC91" s="667"/>
      <c r="BD91" s="664"/>
      <c r="BE91" s="667"/>
      <c r="BF91" s="664"/>
      <c r="BG91" s="667"/>
      <c r="BH91" s="664"/>
      <c r="BI91" s="667"/>
      <c r="BJ91" s="664"/>
      <c r="BK91" s="667"/>
      <c r="BL91" s="664"/>
      <c r="BM91" s="667"/>
      <c r="BN91" s="664"/>
      <c r="BO91" s="667"/>
      <c r="BP91" s="664"/>
      <c r="BQ91" s="667"/>
      <c r="BR91" s="664"/>
      <c r="BS91" s="667"/>
      <c r="BT91" s="664"/>
      <c r="BU91" s="667"/>
      <c r="BV91" s="664"/>
      <c r="BW91" s="667"/>
      <c r="BX91" s="664"/>
      <c r="BY91" s="667"/>
      <c r="BZ91" s="664"/>
      <c r="CA91" s="667"/>
      <c r="CB91" s="664"/>
      <c r="CC91" s="667"/>
      <c r="CD91" s="664"/>
      <c r="CE91" s="667"/>
      <c r="CF91" s="664"/>
      <c r="CG91" s="667"/>
      <c r="CH91" s="664"/>
      <c r="CI91" s="667"/>
      <c r="CJ91" s="664"/>
      <c r="CK91" s="667"/>
      <c r="CL91" s="669"/>
      <c r="CM91" s="670"/>
      <c r="CN91" s="669"/>
      <c r="CO91" s="670"/>
      <c r="CP91" s="669"/>
      <c r="CQ91" s="670"/>
      <c r="CR91" s="669"/>
      <c r="CS91" s="670"/>
      <c r="CT91" s="669"/>
      <c r="CU91" s="670"/>
      <c r="CV91" s="669"/>
      <c r="CW91" s="670"/>
      <c r="CX91" s="669"/>
      <c r="CY91" s="670"/>
      <c r="CZ91" s="669"/>
      <c r="DA91" s="670"/>
      <c r="DB91" s="669"/>
      <c r="DC91" s="670"/>
      <c r="DD91" s="669"/>
      <c r="DE91" s="670"/>
      <c r="DF91" s="669"/>
      <c r="DG91" s="670"/>
      <c r="DH91" s="669"/>
      <c r="DI91" s="670"/>
      <c r="DJ91" s="669"/>
      <c r="DK91" s="670"/>
      <c r="DL91" s="669"/>
      <c r="DM91" s="670"/>
      <c r="DN91" s="669"/>
      <c r="DO91" s="670"/>
      <c r="DP91" s="669"/>
      <c r="DQ91" s="670"/>
      <c r="DR91" s="669"/>
      <c r="DS91" s="670"/>
      <c r="DT91" s="669"/>
      <c r="DU91" s="670"/>
      <c r="DV91" s="669"/>
      <c r="DW91" s="670"/>
      <c r="DX91" s="669"/>
      <c r="DY91" s="670"/>
      <c r="DZ91" s="669"/>
      <c r="EA91" s="670"/>
      <c r="EB91" s="669"/>
      <c r="EC91" s="670"/>
      <c r="ED91" s="669"/>
      <c r="EE91" s="670"/>
      <c r="EF91" s="669"/>
      <c r="EG91" s="670"/>
      <c r="EH91" s="670"/>
      <c r="EI91" s="669"/>
      <c r="EJ91" s="671"/>
      <c r="EK91" s="669"/>
      <c r="EL91" s="671"/>
      <c r="EM91" s="669"/>
      <c r="EN91" s="671"/>
      <c r="EO91" s="669"/>
      <c r="EP91" s="671"/>
      <c r="EQ91" s="669"/>
      <c r="ER91" s="670"/>
      <c r="ES91" s="669"/>
      <c r="ET91" s="670"/>
      <c r="EU91" s="669"/>
      <c r="EV91" s="670"/>
      <c r="EW91" s="669"/>
      <c r="EX91" s="670"/>
      <c r="EY91" s="669"/>
      <c r="EZ91" s="670"/>
      <c r="FA91" s="669"/>
      <c r="FB91" s="670"/>
      <c r="FC91" s="669"/>
      <c r="FD91" s="670"/>
      <c r="FE91" s="669"/>
      <c r="FF91" s="670"/>
      <c r="FG91" s="669"/>
      <c r="FH91" s="670"/>
      <c r="FI91" s="669"/>
      <c r="FJ91" s="670"/>
      <c r="FK91" s="669"/>
      <c r="FL91" s="670"/>
      <c r="FM91" s="669"/>
      <c r="FN91" s="670"/>
      <c r="FO91" s="669"/>
      <c r="FP91" s="670"/>
      <c r="FQ91" s="669"/>
      <c r="FR91" s="670"/>
      <c r="FS91" s="669"/>
      <c r="FT91" s="670"/>
      <c r="FU91" s="669"/>
      <c r="FV91" s="670"/>
      <c r="FW91" s="669"/>
      <c r="FX91" s="670"/>
      <c r="FY91" s="669"/>
      <c r="FZ91" s="670"/>
      <c r="GA91" s="988"/>
    </row>
    <row r="92" spans="1:183" s="707" customFormat="1" ht="12.75" customHeight="1" x14ac:dyDescent="0.2">
      <c r="A92" s="991" t="str">
        <f>INPUT!B552</f>
        <v>Capital Structure Incl FAS 115</v>
      </c>
      <c r="B92" s="664"/>
      <c r="C92" s="824"/>
      <c r="D92" s="664"/>
      <c r="E92" s="665"/>
      <c r="F92" s="664"/>
      <c r="G92" s="665"/>
      <c r="H92" s="664"/>
      <c r="I92" s="665"/>
      <c r="J92" s="664"/>
      <c r="K92" s="665"/>
      <c r="L92" s="664"/>
      <c r="M92" s="665"/>
      <c r="N92" s="664"/>
      <c r="O92" s="665"/>
      <c r="P92" s="664"/>
      <c r="Q92" s="665"/>
      <c r="R92" s="664"/>
      <c r="S92" s="665"/>
      <c r="T92" s="664"/>
      <c r="U92" s="665"/>
      <c r="V92" s="664"/>
      <c r="W92" s="665"/>
      <c r="X92" s="664"/>
      <c r="Y92" s="665"/>
      <c r="Z92" s="664"/>
      <c r="AA92" s="665"/>
      <c r="AB92" s="664"/>
      <c r="AC92" s="665"/>
      <c r="AD92" s="664"/>
      <c r="AE92" s="665"/>
      <c r="AF92" s="664"/>
      <c r="AG92" s="665"/>
      <c r="AH92" s="664"/>
      <c r="AI92" s="665"/>
      <c r="AJ92" s="664"/>
      <c r="AK92" s="665"/>
      <c r="AL92" s="664"/>
      <c r="AM92" s="665"/>
      <c r="AN92" s="664"/>
      <c r="AO92" s="667"/>
      <c r="AP92" s="664"/>
      <c r="AQ92" s="667"/>
      <c r="AR92" s="664"/>
      <c r="AS92" s="667"/>
      <c r="AT92" s="664"/>
      <c r="AU92" s="667"/>
      <c r="AV92" s="664"/>
      <c r="AW92" s="667"/>
      <c r="AX92" s="664"/>
      <c r="AY92" s="667"/>
      <c r="AZ92" s="664"/>
      <c r="BA92" s="667"/>
      <c r="BB92" s="664"/>
      <c r="BC92" s="667"/>
      <c r="BD92" s="664"/>
      <c r="BE92" s="667"/>
      <c r="BF92" s="664"/>
      <c r="BG92" s="667"/>
      <c r="BH92" s="664"/>
      <c r="BI92" s="667"/>
      <c r="BJ92" s="664"/>
      <c r="BK92" s="667"/>
      <c r="BL92" s="664"/>
      <c r="BM92" s="667"/>
      <c r="BN92" s="664"/>
      <c r="BO92" s="667"/>
      <c r="BP92" s="664"/>
      <c r="BQ92" s="667"/>
      <c r="BR92" s="664"/>
      <c r="BS92" s="667"/>
      <c r="BT92" s="664"/>
      <c r="BU92" s="667"/>
      <c r="BV92" s="664"/>
      <c r="BW92" s="667"/>
      <c r="BX92" s="664"/>
      <c r="BY92" s="667"/>
      <c r="BZ92" s="664"/>
      <c r="CA92" s="667"/>
      <c r="CB92" s="664"/>
      <c r="CC92" s="667"/>
      <c r="CD92" s="664"/>
      <c r="CE92" s="667"/>
      <c r="CF92" s="664"/>
      <c r="CG92" s="667"/>
      <c r="CH92" s="664"/>
      <c r="CI92" s="667"/>
      <c r="CJ92" s="664"/>
      <c r="CK92" s="667"/>
      <c r="CL92" s="669"/>
      <c r="CM92" s="670"/>
      <c r="CN92" s="669"/>
      <c r="CO92" s="670"/>
      <c r="CP92" s="669"/>
      <c r="CQ92" s="670"/>
      <c r="CR92" s="669"/>
      <c r="CS92" s="670"/>
      <c r="CT92" s="669"/>
      <c r="CU92" s="670"/>
      <c r="CV92" s="669"/>
      <c r="CW92" s="670"/>
      <c r="CX92" s="669"/>
      <c r="CY92" s="670"/>
      <c r="CZ92" s="669"/>
      <c r="DA92" s="670"/>
      <c r="DB92" s="669"/>
      <c r="DC92" s="670"/>
      <c r="DD92" s="669"/>
      <c r="DE92" s="670"/>
      <c r="DF92" s="669"/>
      <c r="DG92" s="670"/>
      <c r="DH92" s="669"/>
      <c r="DI92" s="670"/>
      <c r="DJ92" s="669"/>
      <c r="DK92" s="670"/>
      <c r="DL92" s="669"/>
      <c r="DM92" s="670"/>
      <c r="DN92" s="669"/>
      <c r="DO92" s="670"/>
      <c r="DP92" s="669"/>
      <c r="DQ92" s="670"/>
      <c r="DR92" s="669"/>
      <c r="DS92" s="670"/>
      <c r="DT92" s="669"/>
      <c r="DU92" s="670"/>
      <c r="DV92" s="669"/>
      <c r="DW92" s="670"/>
      <c r="DX92" s="669"/>
      <c r="DY92" s="670"/>
      <c r="DZ92" s="669"/>
      <c r="EA92" s="670"/>
      <c r="EB92" s="669"/>
      <c r="EC92" s="670"/>
      <c r="ED92" s="669"/>
      <c r="EE92" s="670"/>
      <c r="EF92" s="669"/>
      <c r="EG92" s="670"/>
      <c r="EH92" s="670"/>
      <c r="EI92" s="669"/>
      <c r="EJ92" s="671"/>
      <c r="EK92" s="669"/>
      <c r="EL92" s="671"/>
      <c r="EM92" s="669"/>
      <c r="EN92" s="671"/>
      <c r="EO92" s="669"/>
      <c r="EP92" s="671"/>
      <c r="EQ92" s="669"/>
      <c r="ER92" s="670"/>
      <c r="ES92" s="669"/>
      <c r="ET92" s="670"/>
      <c r="EU92" s="669"/>
      <c r="EV92" s="670"/>
      <c r="EW92" s="669"/>
      <c r="EX92" s="670"/>
      <c r="EY92" s="669"/>
      <c r="EZ92" s="670"/>
      <c r="FA92" s="669"/>
      <c r="FB92" s="670"/>
      <c r="FC92" s="669"/>
      <c r="FD92" s="670"/>
      <c r="FE92" s="669"/>
      <c r="FF92" s="670"/>
      <c r="FG92" s="669"/>
      <c r="FH92" s="670"/>
      <c r="FI92" s="669"/>
      <c r="FJ92" s="670"/>
      <c r="FK92" s="669"/>
      <c r="FL92" s="670"/>
      <c r="FM92" s="669"/>
      <c r="FN92" s="670"/>
      <c r="FO92" s="669"/>
      <c r="FP92" s="670"/>
      <c r="FQ92" s="669"/>
      <c r="FR92" s="670"/>
      <c r="FS92" s="669"/>
      <c r="FT92" s="670"/>
      <c r="FU92" s="669"/>
      <c r="FV92" s="670"/>
      <c r="FW92" s="669"/>
      <c r="FX92" s="670"/>
      <c r="FY92" s="669"/>
      <c r="FZ92" s="670"/>
      <c r="GA92" s="988"/>
    </row>
    <row r="93" spans="1:183" s="707" customFormat="1" ht="12.75" customHeight="1" x14ac:dyDescent="0.2">
      <c r="A93" s="993" t="str">
        <f>INPUT!B506</f>
        <v xml:space="preserve">Total Assets </v>
      </c>
      <c r="B93" s="664">
        <f>INPUT!M506</f>
        <v>42381.1</v>
      </c>
      <c r="C93" s="824">
        <f>INPUT!N506</f>
        <v>3.2358407607782302</v>
      </c>
      <c r="D93" s="664">
        <f>INPUT!O506</f>
        <v>43356</v>
      </c>
      <c r="E93" s="665">
        <f>INPUT!P506</f>
        <v>6.0383348293227002</v>
      </c>
      <c r="F93" s="664">
        <f>INPUT!Q506</f>
        <v>44491.1</v>
      </c>
      <c r="G93" s="665">
        <f>INPUT!R506</f>
        <v>5.2844431823559912</v>
      </c>
      <c r="H93" s="664">
        <f>INPUT!S506</f>
        <v>45259.5</v>
      </c>
      <c r="I93" s="665">
        <f>INPUT!T506</f>
        <v>6.6367125559872564</v>
      </c>
      <c r="J93" s="664">
        <f>INPUT!U506</f>
        <v>46324.1</v>
      </c>
      <c r="K93" s="665">
        <f>INPUT!V506</f>
        <v>9.3036754591079518</v>
      </c>
      <c r="L93" s="664">
        <f>INPUT!W506</f>
        <v>49364.1</v>
      </c>
      <c r="M93" s="665">
        <f>INPUT!X506</f>
        <v>13.857597564350943</v>
      </c>
      <c r="N93" s="664">
        <f>INPUT!Y506</f>
        <v>49338.3</v>
      </c>
      <c r="O93" s="665">
        <f>INPUT!Z506</f>
        <v>10.894763222307402</v>
      </c>
      <c r="P93" s="664">
        <f>INPUT!AA506</f>
        <v>49718.3</v>
      </c>
      <c r="Q93" s="665">
        <f>INPUT!AB506</f>
        <v>9.8516333587423723</v>
      </c>
      <c r="R93" s="664">
        <f>INPUT!AC506</f>
        <v>50476.9</v>
      </c>
      <c r="S93" s="665">
        <f>INPUT!AD506</f>
        <v>8.9646641812793035</v>
      </c>
      <c r="T93" s="664">
        <f>INPUT!AE506</f>
        <v>48503.7</v>
      </c>
      <c r="U93" s="665">
        <f>INPUT!AF506</f>
        <v>-1.742967055005562</v>
      </c>
      <c r="V93" s="664">
        <f>INPUT!AG506</f>
        <v>49744.1</v>
      </c>
      <c r="W93" s="665">
        <f>INPUT!AH506</f>
        <v>0.82248476335826659</v>
      </c>
      <c r="X93" s="664">
        <f>INPUT!AI506</f>
        <v>50832.3</v>
      </c>
      <c r="Y93" s="665">
        <f>INPUT!AJ506</f>
        <v>2.2406236737780638</v>
      </c>
      <c r="Z93" s="664">
        <f>INPUT!AK506</f>
        <v>50836.6</v>
      </c>
      <c r="AA93" s="665">
        <f>INPUT!AL506</f>
        <v>0.71260319076646983</v>
      </c>
      <c r="AB93" s="664">
        <f>INPUT!AM506</f>
        <v>52430.400000000001</v>
      </c>
      <c r="AC93" s="665">
        <f>INPUT!AN506</f>
        <v>8.0956710518991457</v>
      </c>
      <c r="AD93" s="664">
        <f>INPUT!AO506</f>
        <v>51146.9</v>
      </c>
      <c r="AE93" s="665">
        <f>INPUT!AP506</f>
        <v>2.8200329285282155</v>
      </c>
      <c r="AF93" s="664">
        <f>INPUT!AQ506</f>
        <v>51866.8</v>
      </c>
      <c r="AG93" s="665">
        <f>INPUT!AR506</f>
        <v>2.0351233369334087</v>
      </c>
      <c r="AH93" s="664">
        <f>INPUT!AS506</f>
        <v>50471.3</v>
      </c>
      <c r="AI93" s="665">
        <f>INPUT!AT506</f>
        <v>-0.71857677342701542</v>
      </c>
      <c r="AJ93" s="664">
        <f>INPUT!AU506</f>
        <v>50401.9</v>
      </c>
      <c r="AK93" s="665">
        <f>INPUT!AV506</f>
        <v>-3.8689386310232221</v>
      </c>
      <c r="AL93" s="664">
        <f>INPUT!AW506</f>
        <v>52171.5</v>
      </c>
      <c r="AM93" s="665">
        <f>INPUT!AX506</f>
        <v>2.0032494637993725</v>
      </c>
      <c r="AN93" s="664">
        <f>INPUT!AY506</f>
        <v>52823.3</v>
      </c>
      <c r="AO93" s="667">
        <f>INPUT!AZ506</f>
        <v>1.8441469302135527</v>
      </c>
      <c r="AP93" s="664">
        <f>INPUT!BA506</f>
        <v>52324.800000000003</v>
      </c>
      <c r="AQ93" s="667">
        <f>INPUT!BB506</f>
        <v>3.6723841074036034</v>
      </c>
      <c r="AR93" s="664">
        <f>INPUT!BC506</f>
        <v>52071.199999999997</v>
      </c>
      <c r="AS93" s="667">
        <f>INPUT!BD506</f>
        <v>3.3119783182776752</v>
      </c>
      <c r="AT93" s="664">
        <f>INPUT!BE506</f>
        <v>52566.6</v>
      </c>
      <c r="AU93" s="667">
        <f>INPUT!BF506</f>
        <v>0.75731002558867555</v>
      </c>
      <c r="AV93" s="664">
        <f>INPUT!BG506</f>
        <v>52432.7</v>
      </c>
      <c r="AW93" s="667">
        <f>INPUT!BH506</f>
        <v>-0.73944641853123105</v>
      </c>
      <c r="AX93" s="664">
        <f>INPUT!BI506</f>
        <v>52069.2</v>
      </c>
      <c r="AY93" s="667">
        <f>INPUT!BJ506</f>
        <v>-0.48848729474361141</v>
      </c>
      <c r="AZ93" s="664">
        <f>INPUT!BK506</f>
        <v>51767.8</v>
      </c>
      <c r="BA93" s="667">
        <f>INPUT!BL506</f>
        <v>-0.5826637373442356</v>
      </c>
      <c r="BB93" s="664">
        <f>INPUT!BM506</f>
        <v>49937.8</v>
      </c>
      <c r="BC93" s="667">
        <f>INPUT!BN506</f>
        <v>-5.0008941038606203</v>
      </c>
      <c r="BD93" s="664">
        <f>INPUT!BO506</f>
        <v>49417.4</v>
      </c>
      <c r="BE93" s="667">
        <f>INPUT!BP506</f>
        <v>-5.7508005500384263</v>
      </c>
      <c r="BF93" s="664">
        <f>INPUT!BQ506</f>
        <v>49179.5</v>
      </c>
      <c r="BG93" s="667">
        <f>INPUT!BR506</f>
        <v>-5.5497299747259365</v>
      </c>
      <c r="BH93" s="664">
        <f>INPUT!BS506</f>
        <v>51339.8</v>
      </c>
      <c r="BI93" s="667">
        <f>INPUT!BT506</f>
        <v>-0.82676876359435436</v>
      </c>
      <c r="BJ93" s="664">
        <f>INPUT!BU506</f>
        <v>54475.199999999997</v>
      </c>
      <c r="BK93" s="667">
        <f>INPUT!BV506</f>
        <v>9.0861031122716476</v>
      </c>
      <c r="BL93" s="664">
        <f>INPUT!BW506</f>
        <v>54477</v>
      </c>
      <c r="BM93" s="667">
        <f>INPUT!BX506</f>
        <v>10.238498990234213</v>
      </c>
      <c r="BN93" s="664">
        <f>INPUT!BY506</f>
        <v>54997.2</v>
      </c>
      <c r="BO93" s="667">
        <f>INPUT!BZ506</f>
        <v>11.829522463628139</v>
      </c>
      <c r="BP93" s="664">
        <f>INPUT!CA506</f>
        <v>56792.2</v>
      </c>
      <c r="BQ93" s="667">
        <f>INPUT!CB506</f>
        <v>10.620220569616535</v>
      </c>
      <c r="BR93" s="664">
        <f>INPUT!CC506</f>
        <v>59054.7</v>
      </c>
      <c r="BS93" s="667">
        <f>INPUT!CD506</f>
        <v>8.4065776720415819</v>
      </c>
      <c r="BT93" s="664">
        <f>INPUT!CE506</f>
        <v>56602.7</v>
      </c>
      <c r="BU93" s="667">
        <f>INPUT!CF506</f>
        <v>3.9020136938524352</v>
      </c>
      <c r="BV93" s="664">
        <f>INPUT!CG506</f>
        <v>57116.800000000003</v>
      </c>
      <c r="BW93" s="667">
        <f>INPUT!CH506</f>
        <v>3.8540143861869547</v>
      </c>
      <c r="BX93" s="664">
        <f>INPUT!CI506</f>
        <v>58015.8</v>
      </c>
      <c r="BY93" s="667">
        <f>INPUT!CJ506</f>
        <v>2.1545212194632457</v>
      </c>
      <c r="BZ93" s="664">
        <f>INPUT!CK506</f>
        <v>60040.9</v>
      </c>
      <c r="CA93" s="667">
        <f>INPUT!CL506</f>
        <v>1.6699771567716182</v>
      </c>
      <c r="CB93" s="664">
        <f>INPUT!CM506</f>
        <v>59555.199999999997</v>
      </c>
      <c r="CC93" s="667">
        <f>INPUT!CN506</f>
        <v>5.2161822669236635</v>
      </c>
      <c r="CD93" s="664">
        <f>INPUT!CO506</f>
        <v>59571.8</v>
      </c>
      <c r="CE93" s="667">
        <f>INPUT!CP506</f>
        <v>4.2982099837525878</v>
      </c>
      <c r="CF93" s="664">
        <f>INPUT!CQ506</f>
        <v>60678.7</v>
      </c>
      <c r="CG93" s="667">
        <f>INPUT!CR506</f>
        <v>4.5899565290834499</v>
      </c>
      <c r="CH93" s="664">
        <f>INPUT!CS506</f>
        <v>62119.6</v>
      </c>
      <c r="CI93" s="667">
        <f>INPUT!CT506</f>
        <v>3.4621399745839776</v>
      </c>
      <c r="CJ93" s="664">
        <f>INPUT!CU506</f>
        <v>62236.1</v>
      </c>
      <c r="CK93" s="667">
        <f>INPUT!CV506</f>
        <v>4.5015380688840034</v>
      </c>
      <c r="CL93" s="669">
        <f>INPUT!CW506</f>
        <v>61611.4</v>
      </c>
      <c r="CM93" s="670">
        <f>INPUT!CX506</f>
        <v>3.4237676215927548</v>
      </c>
      <c r="CN93" s="669">
        <f>INPUT!CY506</f>
        <v>59366.2</v>
      </c>
      <c r="CO93" s="670">
        <f>INPUT!CZ506</f>
        <v>-2.1630324974002413</v>
      </c>
      <c r="CP93" s="669">
        <f>INPUT!DA506</f>
        <v>59585.8</v>
      </c>
      <c r="CQ93" s="670">
        <f>INPUT!DB506</f>
        <v>-4.0789058525811388</v>
      </c>
      <c r="CR93" s="669">
        <f>INPUT!DC506</f>
        <v>59374.1</v>
      </c>
      <c r="CS93" s="670">
        <f>INPUT!DD506</f>
        <v>-4.598617201270649</v>
      </c>
      <c r="CT93" s="669">
        <f>INPUT!DE506</f>
        <v>61078.6</v>
      </c>
      <c r="CU93" s="670">
        <f>INPUT!DF506</f>
        <v>-0.86477502540114326</v>
      </c>
      <c r="CV93" s="669">
        <f>INPUT!DG506</f>
        <v>62218.1</v>
      </c>
      <c r="CW93" s="670">
        <f>INPUT!DH506</f>
        <v>4.8039119903244609</v>
      </c>
      <c r="CX93" s="669">
        <f>INPUT!DI506</f>
        <v>61960.6</v>
      </c>
      <c r="CY93" s="670">
        <f>INPUT!DJ506</f>
        <v>3.9855133270007226</v>
      </c>
      <c r="CZ93" s="669">
        <f>INPUT!DK506</f>
        <v>62450.2</v>
      </c>
      <c r="DA93" s="670">
        <f>INPUT!DL506</f>
        <v>5.1808785312114081</v>
      </c>
      <c r="DB93" s="669">
        <f>INPUT!DM506</f>
        <v>63014.5</v>
      </c>
      <c r="DC93" s="670">
        <f>INPUT!DN506</f>
        <v>3.1695225496327639</v>
      </c>
      <c r="DD93" s="669">
        <f>INPUT!DO506</f>
        <v>61706.8</v>
      </c>
      <c r="DE93" s="670">
        <f>INPUT!DP506</f>
        <v>-0.82178658621847589</v>
      </c>
      <c r="DF93" s="669">
        <f>INPUT!DQ506</f>
        <v>61503.8</v>
      </c>
      <c r="DG93" s="670">
        <f>INPUT!DR506</f>
        <v>-0.73724269939283715</v>
      </c>
      <c r="DH93" s="669">
        <f>INPUT!DS506</f>
        <v>60589.7</v>
      </c>
      <c r="DI93" s="670">
        <f>INPUT!DT506</f>
        <v>-2.9791738056883732</v>
      </c>
      <c r="DJ93" s="669">
        <f>INPUT!DU506</f>
        <v>61967.9</v>
      </c>
      <c r="DK93" s="670">
        <f>INPUT!DV506</f>
        <v>-1.6608875734949846</v>
      </c>
      <c r="DL93" s="669">
        <f>INPUT!DW506</f>
        <v>63853.1</v>
      </c>
      <c r="DM93" s="670">
        <f>INPUT!DX506</f>
        <v>3.4782228214718547</v>
      </c>
      <c r="DN93" s="669">
        <f>INPUT!DY506</f>
        <v>63905.1</v>
      </c>
      <c r="DO93" s="670">
        <f>INPUT!DZ506</f>
        <v>3.9043116035106795</v>
      </c>
      <c r="DP93" s="669">
        <f>INPUT!EA506</f>
        <v>61941.5</v>
      </c>
      <c r="DQ93" s="670">
        <f>INPUT!EB506</f>
        <v>2.2310722779614434</v>
      </c>
      <c r="DR93" s="669">
        <f>INPUT!EC506</f>
        <v>62524.7</v>
      </c>
      <c r="DS93" s="670">
        <f>INPUT!ED506</f>
        <v>0.89852972264672371</v>
      </c>
      <c r="DT93" s="669">
        <f>INPUT!EE506</f>
        <v>63381.599999999999</v>
      </c>
      <c r="DU93" s="670">
        <f>INPUT!EF506</f>
        <v>-0.73841364005819976</v>
      </c>
      <c r="DV93" s="669">
        <f>INPUT!EG506</f>
        <v>63805.7</v>
      </c>
      <c r="DW93" s="670">
        <f>INPUT!EH506</f>
        <v>-0.15554314131422942</v>
      </c>
      <c r="DX93" s="669">
        <f>INPUT!EI506</f>
        <v>64013.1</v>
      </c>
      <c r="DY93" s="670">
        <f>INPUT!EJ506</f>
        <v>3.3444459691805983</v>
      </c>
      <c r="DZ93" s="669">
        <f>INPUT!EK506</f>
        <v>64798.540736999996</v>
      </c>
      <c r="EA93" s="670">
        <f>INPUT!EL506</f>
        <v>3.6367079522172885</v>
      </c>
      <c r="EB93" s="669">
        <f>INPUT!EM506</f>
        <v>65593.618831842992</v>
      </c>
      <c r="EC93" s="670">
        <f>INPUT!EN506</f>
        <v>3.4900015648752891</v>
      </c>
      <c r="ED93" s="669">
        <f>INPUT!EO506</f>
        <v>66398.452534909709</v>
      </c>
      <c r="EE93" s="670">
        <f>INPUT!EP506</f>
        <v>4.0635124054899663</v>
      </c>
      <c r="EF93" s="669">
        <f>INPUT!EQ506</f>
        <v>67213.161547513053</v>
      </c>
      <c r="EG93" s="670">
        <f>INPUT!ER506</f>
        <v>4.9990729202507911</v>
      </c>
      <c r="EH93" s="670"/>
      <c r="EI93" s="669">
        <f>INPUT!FB506</f>
        <v>42442.7</v>
      </c>
      <c r="EJ93" s="671" t="str">
        <f>INPUT!FC506</f>
        <v>NA</v>
      </c>
      <c r="EK93" s="669">
        <f>INPUT!FD506</f>
        <v>45259.5</v>
      </c>
      <c r="EL93" s="671">
        <f>INPUT!FE506</f>
        <v>6.6367125559872564</v>
      </c>
      <c r="EM93" s="669">
        <f>INPUT!FF506</f>
        <v>49718.3</v>
      </c>
      <c r="EN93" s="671">
        <f>INPUT!FG506</f>
        <v>9.8516333587423723</v>
      </c>
      <c r="EO93" s="669">
        <f>INPUT!FH506</f>
        <v>50832.3</v>
      </c>
      <c r="EP93" s="671">
        <f>INPUT!FI506</f>
        <v>2.2406236737780638</v>
      </c>
      <c r="EQ93" s="669">
        <f>INPUT!FJ506</f>
        <v>51866.8</v>
      </c>
      <c r="ER93" s="670">
        <f>INPUT!FK506</f>
        <v>2.0351233369334087</v>
      </c>
      <c r="ES93" s="669">
        <f>INPUT!FL506</f>
        <v>52823.3</v>
      </c>
      <c r="ET93" s="670">
        <f>INPUT!FM506</f>
        <v>1.8441469302135527</v>
      </c>
      <c r="EU93" s="669">
        <f>INPUT!FN506</f>
        <v>52432.7</v>
      </c>
      <c r="EV93" s="670">
        <f>INPUT!FO506</f>
        <v>-0.73944641853123105</v>
      </c>
      <c r="EW93" s="669">
        <f>INPUT!FP506</f>
        <v>49417.4</v>
      </c>
      <c r="EX93" s="670">
        <f>INPUT!FQ506</f>
        <v>-5.7508005500384263</v>
      </c>
      <c r="EY93" s="669">
        <f>INPUT!FR506</f>
        <v>54477</v>
      </c>
      <c r="EZ93" s="670">
        <f>INPUT!FS506</f>
        <v>10.238498990234213</v>
      </c>
      <c r="FA93" s="669">
        <f>INPUT!FT506</f>
        <v>56602.7</v>
      </c>
      <c r="FB93" s="670">
        <f>INPUT!FU506</f>
        <v>3.9020136938524352</v>
      </c>
      <c r="FC93" s="669">
        <f>INPUT!FV506</f>
        <v>59555.199999999997</v>
      </c>
      <c r="FD93" s="670">
        <f>INPUT!FW506</f>
        <v>5.2161822669236635</v>
      </c>
      <c r="FE93" s="669">
        <f>INPUT!FX506</f>
        <v>62236.1</v>
      </c>
      <c r="FF93" s="670">
        <f>INPUT!FY506</f>
        <v>4.5015380688840034</v>
      </c>
      <c r="FG93" s="669">
        <f>INPUT!FZ506</f>
        <v>59374.1</v>
      </c>
      <c r="FH93" s="670">
        <f>INPUT!GA506</f>
        <v>-4.598617201270649</v>
      </c>
      <c r="FI93" s="669">
        <f>INPUT!GB506</f>
        <v>62450.2</v>
      </c>
      <c r="FJ93" s="670">
        <f>INPUT!GC506</f>
        <v>5.1808785312114081</v>
      </c>
      <c r="FK93" s="669">
        <f>INPUT!GD506</f>
        <v>60589.7</v>
      </c>
      <c r="FL93" s="670">
        <f>INPUT!GE506</f>
        <v>-2.9791738056883732</v>
      </c>
      <c r="FM93" s="669">
        <f>INPUT!GF506</f>
        <v>61941.5</v>
      </c>
      <c r="FN93" s="670">
        <f>INPUT!GG506</f>
        <v>2.2310722779614434</v>
      </c>
      <c r="FO93" s="669">
        <f>INPUT!GH506</f>
        <v>64013.1</v>
      </c>
      <c r="FP93" s="670">
        <f>INPUT!GI506</f>
        <v>3.3444459691805983</v>
      </c>
      <c r="FQ93" s="669">
        <f>INPUT!GJ506</f>
        <v>67213.161547513053</v>
      </c>
      <c r="FR93" s="670">
        <f>INPUT!GK506</f>
        <v>4.9990729202507911</v>
      </c>
      <c r="FS93" s="669">
        <f>INPUT!GL506</f>
        <v>70573.819624888711</v>
      </c>
      <c r="FT93" s="670">
        <f>INPUT!GM506</f>
        <v>5.0000000000000044</v>
      </c>
      <c r="FU93" s="669">
        <f>INPUT!GN506</f>
        <v>74102.510606133146</v>
      </c>
      <c r="FV93" s="670">
        <f>INPUT!GO506</f>
        <v>5.0000000000000044</v>
      </c>
      <c r="FW93" s="669">
        <f>INPUT!GP506</f>
        <v>77807.636136439804</v>
      </c>
      <c r="FX93" s="670">
        <f>INPUT!GQ506</f>
        <v>5.0000000000000044</v>
      </c>
      <c r="FY93" s="669">
        <f>INPUT!GR506</f>
        <v>81698.017943261802</v>
      </c>
      <c r="FZ93" s="670">
        <f>INPUT!GS506</f>
        <v>5.0000000000000044</v>
      </c>
      <c r="GA93" s="988">
        <f>INPUT!GT506</f>
        <v>4.9998145833953123</v>
      </c>
    </row>
    <row r="94" spans="1:183" s="707" customFormat="1" ht="12.75" customHeight="1" x14ac:dyDescent="0.2">
      <c r="A94" s="993" t="str">
        <f>INPUT!B518</f>
        <v>Long-Term Debt</v>
      </c>
      <c r="B94" s="664">
        <f>INPUT!M518</f>
        <v>2005.8</v>
      </c>
      <c r="C94" s="824">
        <f>INPUT!N518</f>
        <v>7.7807630306286901</v>
      </c>
      <c r="D94" s="664">
        <f>INPUT!O518</f>
        <v>2132.8000000000002</v>
      </c>
      <c r="E94" s="665">
        <f>INPUT!P518</f>
        <v>4.5900353079639133</v>
      </c>
      <c r="F94" s="664">
        <f>INPUT!Q518</f>
        <v>2132.6999999999998</v>
      </c>
      <c r="G94" s="665">
        <f>INPUT!R518</f>
        <v>5.7467274890916187</v>
      </c>
      <c r="H94" s="664">
        <f>INPUT!S518</f>
        <v>1914</v>
      </c>
      <c r="I94" s="665">
        <f>INPUT!T518</f>
        <v>-4.5005488474204158</v>
      </c>
      <c r="J94" s="664">
        <f>INPUT!U518</f>
        <v>2214</v>
      </c>
      <c r="K94" s="665">
        <f>INPUT!V518</f>
        <v>10.379898294944656</v>
      </c>
      <c r="L94" s="664">
        <f>INPUT!W518</f>
        <v>2789</v>
      </c>
      <c r="M94" s="665">
        <f>INPUT!X518</f>
        <v>30.767066766691652</v>
      </c>
      <c r="N94" s="664">
        <f>INPUT!Y518</f>
        <v>2789</v>
      </c>
      <c r="O94" s="665">
        <f>INPUT!Z518</f>
        <v>30.773198293243318</v>
      </c>
      <c r="P94" s="664">
        <f>INPUT!AA518</f>
        <v>2789</v>
      </c>
      <c r="Q94" s="665">
        <f>INPUT!AB518</f>
        <v>45.715778474399158</v>
      </c>
      <c r="R94" s="664">
        <f>INPUT!AC518</f>
        <v>2789</v>
      </c>
      <c r="S94" s="665">
        <f>INPUT!AD518</f>
        <v>25.971093044263771</v>
      </c>
      <c r="T94" s="664">
        <f>INPUT!AE518</f>
        <v>3089</v>
      </c>
      <c r="U94" s="665">
        <f>INPUT!AF518</f>
        <v>10.756543564001442</v>
      </c>
      <c r="V94" s="664">
        <f>INPUT!AG518</f>
        <v>2862</v>
      </c>
      <c r="W94" s="665">
        <f>INPUT!AH518</f>
        <v>2.6174256005736751</v>
      </c>
      <c r="X94" s="664">
        <f>INPUT!AI518</f>
        <v>2862</v>
      </c>
      <c r="Y94" s="665">
        <f>INPUT!AJ518</f>
        <v>2.6174256005736751</v>
      </c>
      <c r="Z94" s="664">
        <f>INPUT!AK518</f>
        <v>2862</v>
      </c>
      <c r="AA94" s="665">
        <f>INPUT!AL518</f>
        <v>2.6174256005736751</v>
      </c>
      <c r="AB94" s="664">
        <f>INPUT!AM518</f>
        <v>2862</v>
      </c>
      <c r="AC94" s="665">
        <f>INPUT!AN518</f>
        <v>-7.3486565231466461</v>
      </c>
      <c r="AD94" s="664">
        <f>INPUT!AO518</f>
        <v>2862</v>
      </c>
      <c r="AE94" s="665">
        <f>INPUT!AP518</f>
        <v>0</v>
      </c>
      <c r="AF94" s="664">
        <f>INPUT!AQ518</f>
        <v>3261.6</v>
      </c>
      <c r="AG94" s="665">
        <f>INPUT!AR518</f>
        <v>13.962264150943394</v>
      </c>
      <c r="AH94" s="664">
        <f>INPUT!AS518</f>
        <v>2861.6</v>
      </c>
      <c r="AI94" s="665">
        <f>INPUT!AT518</f>
        <v>-1.3976240391333494E-2</v>
      </c>
      <c r="AJ94" s="664">
        <f>INPUT!AU518</f>
        <v>2561.6</v>
      </c>
      <c r="AK94" s="665">
        <f>INPUT!AV518</f>
        <v>-10.496156533892387</v>
      </c>
      <c r="AL94" s="664">
        <f>INPUT!AW518</f>
        <v>2561.6</v>
      </c>
      <c r="AM94" s="665">
        <f>INPUT!AX518</f>
        <v>-10.496156533892387</v>
      </c>
      <c r="AN94" s="664">
        <f>INPUT!AY518</f>
        <v>2659.6</v>
      </c>
      <c r="AO94" s="667">
        <f>INPUT!AZ518</f>
        <v>-18.457198920775074</v>
      </c>
      <c r="AP94" s="664">
        <f>INPUT!BA518</f>
        <v>2499.6999999999998</v>
      </c>
      <c r="AQ94" s="667">
        <f>INPUT!BB518</f>
        <v>-12.646771037182003</v>
      </c>
      <c r="AR94" s="664">
        <f>INPUT!BC518</f>
        <v>2287.6999999999998</v>
      </c>
      <c r="AS94" s="667">
        <f>INPUT!BD518</f>
        <v>-10.692535915053092</v>
      </c>
      <c r="AT94" s="664">
        <f>INPUT!BE518</f>
        <v>2285.1999999999998</v>
      </c>
      <c r="AU94" s="667">
        <f>INPUT!BF518</f>
        <v>-10.79013116801999</v>
      </c>
      <c r="AV94" s="664">
        <f>INPUT!BG518</f>
        <v>2515.1999999999998</v>
      </c>
      <c r="AW94" s="667">
        <f>INPUT!BH518</f>
        <v>-5.4293878778763798</v>
      </c>
      <c r="AX94" s="664">
        <f>INPUT!BI518</f>
        <v>2497.6999999999998</v>
      </c>
      <c r="AY94" s="667">
        <f>INPUT!BJ518</f>
        <v>-8.0009601152142285E-2</v>
      </c>
      <c r="AZ94" s="664">
        <f>INPUT!BK518</f>
        <v>2298.3000000000002</v>
      </c>
      <c r="BA94" s="667">
        <f>INPUT!BL518</f>
        <v>0.46334746688816431</v>
      </c>
      <c r="BB94" s="664">
        <f>INPUT!BM518</f>
        <v>2285.3999999999996</v>
      </c>
      <c r="BC94" s="667">
        <f>INPUT!BN518</f>
        <v>8.751969193054876E-3</v>
      </c>
      <c r="BD94" s="664">
        <f>INPUT!BO518</f>
        <v>2259.4</v>
      </c>
      <c r="BE94" s="667">
        <f>INPUT!BP518</f>
        <v>-10.17016539440203</v>
      </c>
      <c r="BF94" s="664">
        <f>INPUT!BQ518</f>
        <v>2254.6999999999998</v>
      </c>
      <c r="BG94" s="667">
        <f>INPUT!BR518</f>
        <v>-9.7289506345838213</v>
      </c>
      <c r="BH94" s="664">
        <f>INPUT!BS518</f>
        <v>2250.6</v>
      </c>
      <c r="BI94" s="667">
        <f>INPUT!BT518</f>
        <v>-2.0754470695731775</v>
      </c>
      <c r="BJ94" s="664">
        <f>INPUT!BU518</f>
        <v>2580.1999999999998</v>
      </c>
      <c r="BK94" s="667">
        <f>INPUT!BV518</f>
        <v>12.899273650126908</v>
      </c>
      <c r="BL94" s="664">
        <f>INPUT!BW518</f>
        <v>2549.6000000000004</v>
      </c>
      <c r="BM94" s="667">
        <f>INPUT!BX518</f>
        <v>12.844117907409046</v>
      </c>
      <c r="BN94" s="664">
        <f>INPUT!BY518</f>
        <v>2291.1999999999998</v>
      </c>
      <c r="BO94" s="667">
        <f>INPUT!BZ518</f>
        <v>1.6188406439881176</v>
      </c>
      <c r="BP94" s="664">
        <f>INPUT!CA518</f>
        <v>2266.8000000000002</v>
      </c>
      <c r="BQ94" s="667">
        <f>INPUT!CB518</f>
        <v>0.71980805118636582</v>
      </c>
      <c r="BR94" s="664">
        <f>INPUT!CC518</f>
        <v>2661.3</v>
      </c>
      <c r="BS94" s="667">
        <f>INPUT!CD518</f>
        <v>3.1431671963413788</v>
      </c>
      <c r="BT94" s="664">
        <f>INPUT!CE518</f>
        <v>2631.3</v>
      </c>
      <c r="BU94" s="667">
        <f>INPUT!CF518</f>
        <v>3.204424223407587</v>
      </c>
      <c r="BV94" s="664">
        <f>INPUT!CG518</f>
        <v>2605</v>
      </c>
      <c r="BW94" s="667">
        <f>INPUT!CH518</f>
        <v>13.69587988826817</v>
      </c>
      <c r="BX94" s="664">
        <f>INPUT!CI518</f>
        <v>2589.1</v>
      </c>
      <c r="BY94" s="667">
        <f>INPUT!CJ518</f>
        <v>14.218281277571897</v>
      </c>
      <c r="BZ94" s="664">
        <f>INPUT!CK518</f>
        <v>2586.5</v>
      </c>
      <c r="CA94" s="667">
        <f>INPUT!CL518</f>
        <v>-2.8106564460977812</v>
      </c>
      <c r="CB94" s="664">
        <f>INPUT!CM518</f>
        <v>2570.1999999999998</v>
      </c>
      <c r="CC94" s="667">
        <f>INPUT!CN518</f>
        <v>-2.322046136890521</v>
      </c>
      <c r="CD94" s="664">
        <f>INPUT!CO518</f>
        <v>2552.8000000000002</v>
      </c>
      <c r="CE94" s="667">
        <f>INPUT!CP518</f>
        <v>-2.0038387715930805</v>
      </c>
      <c r="CF94" s="664">
        <f>INPUT!CQ518</f>
        <v>2540.3000000000002</v>
      </c>
      <c r="CG94" s="667">
        <f>INPUT!CR518</f>
        <v>-1.8848248426093894</v>
      </c>
      <c r="CH94" s="664">
        <f>INPUT!CS518</f>
        <v>2781.5</v>
      </c>
      <c r="CI94" s="667">
        <f>INPUT!CT518</f>
        <v>7.5391455635028137</v>
      </c>
      <c r="CJ94" s="664">
        <f>INPUT!CU518</f>
        <v>2755.4</v>
      </c>
      <c r="CK94" s="667">
        <f>INPUT!CV518</f>
        <v>7.2056649287993269</v>
      </c>
      <c r="CL94" s="669">
        <f>INPUT!CW518</f>
        <v>2673.9</v>
      </c>
      <c r="CM94" s="670">
        <f>INPUT!CX518</f>
        <v>4.7438107176433597</v>
      </c>
      <c r="CN94" s="669">
        <f>INPUT!CY518</f>
        <v>2644</v>
      </c>
      <c r="CO94" s="670">
        <f>INPUT!CZ518</f>
        <v>4.0821950163366427</v>
      </c>
      <c r="CP94" s="669">
        <f>INPUT!DA518</f>
        <v>2631.3</v>
      </c>
      <c r="CQ94" s="670">
        <f>INPUT!DB518</f>
        <v>-5.399964048175443</v>
      </c>
      <c r="CR94" s="669">
        <f>INPUT!DC518</f>
        <v>2612</v>
      </c>
      <c r="CS94" s="670">
        <f>INPUT!DD518</f>
        <v>-5.2043260506641538</v>
      </c>
      <c r="CT94" s="669">
        <f>INPUT!DE518</f>
        <v>2948.2</v>
      </c>
      <c r="CU94" s="670">
        <f>INPUT!DF518</f>
        <v>10.258424024832635</v>
      </c>
      <c r="CV94" s="669">
        <f>INPUT!DG518</f>
        <v>2792</v>
      </c>
      <c r="CW94" s="670">
        <f>INPUT!DH518</f>
        <v>5.5975794251134747</v>
      </c>
      <c r="CX94" s="669">
        <f>INPUT!DI518</f>
        <v>2783.3</v>
      </c>
      <c r="CY94" s="670">
        <f>INPUT!DJ518</f>
        <v>5.776612320906005</v>
      </c>
      <c r="CZ94" s="669">
        <f>INPUT!DK518</f>
        <v>2628.7000000000003</v>
      </c>
      <c r="DA94" s="670">
        <f>INPUT!DL518</f>
        <v>0.63935681470139727</v>
      </c>
      <c r="DB94" s="669">
        <f>INPUT!DM518</f>
        <v>2603.3000000000002</v>
      </c>
      <c r="DC94" s="670">
        <f>INPUT!DN518</f>
        <v>-11.698663591343861</v>
      </c>
      <c r="DD94" s="669">
        <f>INPUT!DO518</f>
        <v>2580.8000000000002</v>
      </c>
      <c r="DE94" s="670">
        <f>INPUT!DP518</f>
        <v>-7.5644699140401066</v>
      </c>
      <c r="DF94" s="669">
        <f>INPUT!DQ518</f>
        <v>2217.1</v>
      </c>
      <c r="DG94" s="670">
        <f>INPUT!DR518</f>
        <v>-20.342758595911338</v>
      </c>
      <c r="DH94" s="669">
        <f>INPUT!DS518</f>
        <v>2449.4</v>
      </c>
      <c r="DI94" s="670">
        <f>INPUT!DT518</f>
        <v>-6.8208620230532313</v>
      </c>
      <c r="DJ94" s="669">
        <f>INPUT!DU518</f>
        <v>2442.5</v>
      </c>
      <c r="DK94" s="670">
        <f>INPUT!DV518</f>
        <v>-6.1767756309299759</v>
      </c>
      <c r="DL94" s="669">
        <f>INPUT!DW518</f>
        <v>3042.6</v>
      </c>
      <c r="DM94" s="670">
        <f>INPUT!DX518</f>
        <v>17.893676379417233</v>
      </c>
      <c r="DN94" s="669">
        <f>INPUT!DY518</f>
        <v>3019.7999999999997</v>
      </c>
      <c r="DO94" s="670">
        <f>INPUT!DZ518</f>
        <v>36.204952415317294</v>
      </c>
      <c r="DP94" s="669">
        <f>INPUT!EA518</f>
        <v>2999.4</v>
      </c>
      <c r="DQ94" s="670">
        <f>INPUT!EB518</f>
        <v>22.454478647832122</v>
      </c>
      <c r="DR94" s="669">
        <f>INPUT!EC518</f>
        <v>2984.6</v>
      </c>
      <c r="DS94" s="670">
        <f>INPUT!ED518</f>
        <v>22.194472876151483</v>
      </c>
      <c r="DT94" s="669">
        <f>INPUT!EE518</f>
        <v>2968.4</v>
      </c>
      <c r="DU94" s="670">
        <f>INPUT!EF518</f>
        <v>-2.4387037402221701</v>
      </c>
      <c r="DV94" s="669">
        <f>INPUT!EG518</f>
        <v>2754.1000000000004</v>
      </c>
      <c r="DW94" s="670">
        <f>INPUT!EH518</f>
        <v>-8.7985959335055153</v>
      </c>
      <c r="DX94" s="669">
        <f>INPUT!EI518</f>
        <v>2938.3</v>
      </c>
      <c r="DY94" s="670">
        <f>INPUT!EJ518</f>
        <v>-2.0370740814829591</v>
      </c>
      <c r="DZ94" s="669">
        <f>INPUT!EK518</f>
        <v>2938.3</v>
      </c>
      <c r="EA94" s="670">
        <f>INPUT!EL518</f>
        <v>-1.5512966561683217</v>
      </c>
      <c r="EB94" s="669">
        <f>INPUT!EM518</f>
        <v>2938.3</v>
      </c>
      <c r="EC94" s="670">
        <f>INPUT!EN518</f>
        <v>-1.0140142837892441</v>
      </c>
      <c r="ED94" s="669">
        <f>INPUT!EO518</f>
        <v>2938.3</v>
      </c>
      <c r="EE94" s="670">
        <f>INPUT!EP518</f>
        <v>6.6882103046367103</v>
      </c>
      <c r="EF94" s="669">
        <f>INPUT!EQ518</f>
        <v>2938.3</v>
      </c>
      <c r="EG94" s="670">
        <f>INPUT!ER518</f>
        <v>0</v>
      </c>
      <c r="EH94" s="670"/>
      <c r="EI94" s="669">
        <f>INPUT!FB518</f>
        <v>2004.2</v>
      </c>
      <c r="EJ94" s="671" t="str">
        <f>INPUT!FC518</f>
        <v>NA</v>
      </c>
      <c r="EK94" s="669">
        <f>INPUT!FD518</f>
        <v>1914</v>
      </c>
      <c r="EL94" s="671">
        <f>INPUT!FE518</f>
        <v>-4.5005488474204158</v>
      </c>
      <c r="EM94" s="669">
        <f>INPUT!FF518</f>
        <v>2789</v>
      </c>
      <c r="EN94" s="671">
        <f>INPUT!FG518</f>
        <v>45.715778474399158</v>
      </c>
      <c r="EO94" s="669">
        <f>INPUT!FH518</f>
        <v>2862</v>
      </c>
      <c r="EP94" s="671">
        <f>INPUT!FI518</f>
        <v>2.6174256005736751</v>
      </c>
      <c r="EQ94" s="669">
        <f>INPUT!FJ518</f>
        <v>3261.6</v>
      </c>
      <c r="ER94" s="670">
        <f>INPUT!FK518</f>
        <v>13.962264150943394</v>
      </c>
      <c r="ES94" s="669">
        <f>INPUT!FL518</f>
        <v>2659.6</v>
      </c>
      <c r="ET94" s="670">
        <f>INPUT!FM518</f>
        <v>-18.457198920775074</v>
      </c>
      <c r="EU94" s="669">
        <f>INPUT!FN518</f>
        <v>2515.1999999999998</v>
      </c>
      <c r="EV94" s="670">
        <f>INPUT!FO518</f>
        <v>-5.4293878778763798</v>
      </c>
      <c r="EW94" s="669">
        <f>INPUT!FP518</f>
        <v>2259.4</v>
      </c>
      <c r="EX94" s="670">
        <f>INPUT!FQ518</f>
        <v>-10.17016539440203</v>
      </c>
      <c r="EY94" s="669">
        <f>INPUT!FR518</f>
        <v>2549.6000000000004</v>
      </c>
      <c r="EZ94" s="670">
        <f>INPUT!FS518</f>
        <v>12.844117907409046</v>
      </c>
      <c r="FA94" s="669">
        <f>INPUT!FT518</f>
        <v>2631.3</v>
      </c>
      <c r="FB94" s="670">
        <f>INPUT!FU518</f>
        <v>3.204424223407587</v>
      </c>
      <c r="FC94" s="669">
        <f>INPUT!FV518</f>
        <v>2570.1999999999998</v>
      </c>
      <c r="FD94" s="670">
        <f>INPUT!FW518</f>
        <v>-2.322046136890521</v>
      </c>
      <c r="FE94" s="669">
        <f>INPUT!FX518</f>
        <v>2755.4</v>
      </c>
      <c r="FF94" s="670">
        <f>INPUT!FY518</f>
        <v>7.2056649287993269</v>
      </c>
      <c r="FG94" s="669">
        <f>INPUT!FZ518</f>
        <v>2612</v>
      </c>
      <c r="FH94" s="670">
        <f>INPUT!GA518</f>
        <v>-5.2043260506641538</v>
      </c>
      <c r="FI94" s="669">
        <f>INPUT!GB518</f>
        <v>2628.7000000000003</v>
      </c>
      <c r="FJ94" s="670">
        <f>INPUT!GC518</f>
        <v>0.63935681470139727</v>
      </c>
      <c r="FK94" s="669">
        <f>INPUT!GD518</f>
        <v>2449.4</v>
      </c>
      <c r="FL94" s="670">
        <f>INPUT!GE518</f>
        <v>-6.8208620230532313</v>
      </c>
      <c r="FM94" s="669">
        <f>INPUT!GF518</f>
        <v>2999.4</v>
      </c>
      <c r="FN94" s="670">
        <f>INPUT!GG518</f>
        <v>22.454478647832122</v>
      </c>
      <c r="FO94" s="669">
        <f>INPUT!GH518</f>
        <v>2938.3</v>
      </c>
      <c r="FP94" s="670">
        <f>INPUT!GI518</f>
        <v>-2.0370740814829591</v>
      </c>
      <c r="FQ94" s="669">
        <f>INPUT!GJ518</f>
        <v>2938.3</v>
      </c>
      <c r="FR94" s="670">
        <f>INPUT!GK518</f>
        <v>0</v>
      </c>
      <c r="FS94" s="669">
        <f>INPUT!GL518</f>
        <v>2938.3</v>
      </c>
      <c r="FT94" s="670">
        <f>INPUT!GM518</f>
        <v>0</v>
      </c>
      <c r="FU94" s="669">
        <f>INPUT!GN518</f>
        <v>2938.3</v>
      </c>
      <c r="FV94" s="670">
        <f>INPUT!GO518</f>
        <v>0</v>
      </c>
      <c r="FW94" s="669">
        <f>INPUT!GP518</f>
        <v>2938.3</v>
      </c>
      <c r="FX94" s="670">
        <f>INPUT!GQ518</f>
        <v>0</v>
      </c>
      <c r="FY94" s="669">
        <f>INPUT!GR518</f>
        <v>2938.3</v>
      </c>
      <c r="FZ94" s="670">
        <f>INPUT!GS518</f>
        <v>0</v>
      </c>
      <c r="GA94" s="988">
        <f>INPUT!GT518</f>
        <v>0</v>
      </c>
    </row>
    <row r="95" spans="1:183" s="707" customFormat="1" ht="12.75" customHeight="1" x14ac:dyDescent="0.2">
      <c r="A95" s="993" t="str">
        <f>INPUT!B529</f>
        <v>Equity EOP Including FAS 115</v>
      </c>
      <c r="B95" s="664">
        <f>INPUT!M529</f>
        <v>5735.9</v>
      </c>
      <c r="C95" s="824">
        <f>INPUT!N529</f>
        <v>-1.3433092535259816</v>
      </c>
      <c r="D95" s="664">
        <f>INPUT!O529</f>
        <v>6136</v>
      </c>
      <c r="E95" s="665">
        <f>INPUT!P529</f>
        <v>6.6722297555717791</v>
      </c>
      <c r="F95" s="664">
        <f>INPUT!Q529</f>
        <v>6670.2</v>
      </c>
      <c r="G95" s="665">
        <f>INPUT!R529</f>
        <v>10.686668215459161</v>
      </c>
      <c r="H95" s="664">
        <f>INPUT!S529</f>
        <v>6843.2</v>
      </c>
      <c r="I95" s="665">
        <f>INPUT!T529</f>
        <v>15.207326722672111</v>
      </c>
      <c r="J95" s="664">
        <f>INPUT!U529</f>
        <v>6545.3</v>
      </c>
      <c r="K95" s="665">
        <f>INPUT!V529</f>
        <v>14.111124670932206</v>
      </c>
      <c r="L95" s="664">
        <f>INPUT!W529</f>
        <v>7719.5</v>
      </c>
      <c r="M95" s="665">
        <f>INPUT!X529</f>
        <v>25.806714471968718</v>
      </c>
      <c r="N95" s="664">
        <f>INPUT!Y529</f>
        <v>7850.3</v>
      </c>
      <c r="O95" s="665">
        <f>INPUT!Z529</f>
        <v>17.692123174717402</v>
      </c>
      <c r="P95" s="664">
        <f>INPUT!AA529</f>
        <v>7271</v>
      </c>
      <c r="Q95" s="665">
        <f>INPUT!AB529</f>
        <v>6.2514613046527945</v>
      </c>
      <c r="R95" s="664">
        <f>INPUT!AC529</f>
        <v>7134.3</v>
      </c>
      <c r="S95" s="665">
        <f>INPUT!AD529</f>
        <v>8.9988235833346142</v>
      </c>
      <c r="T95" s="664">
        <f>INPUT!AE529</f>
        <v>6226.4</v>
      </c>
      <c r="U95" s="665">
        <f>INPUT!AF529</f>
        <v>-19.34192629056286</v>
      </c>
      <c r="V95" s="664">
        <f>INPUT!AG529</f>
        <v>6900.4</v>
      </c>
      <c r="W95" s="665">
        <f>INPUT!AH529</f>
        <v>-12.100174515623618</v>
      </c>
      <c r="X95" s="664">
        <f>INPUT!AI529</f>
        <v>7224.1</v>
      </c>
      <c r="Y95" s="665">
        <f>INPUT!AJ529</f>
        <v>-0.64502819419611779</v>
      </c>
      <c r="Z95" s="664">
        <f>INPUT!AK529</f>
        <v>7052.4</v>
      </c>
      <c r="AA95" s="665">
        <f>INPUT!AL529</f>
        <v>-1.1479752743787097</v>
      </c>
      <c r="AB95" s="664">
        <f>INPUT!AM529</f>
        <v>7854.6</v>
      </c>
      <c r="AC95" s="665">
        <f>INPUT!AN529</f>
        <v>26.149942181678032</v>
      </c>
      <c r="AD95" s="664">
        <f>INPUT!AO529</f>
        <v>7237.7</v>
      </c>
      <c r="AE95" s="665">
        <f>INPUT!AP529</f>
        <v>4.8881224276853485</v>
      </c>
      <c r="AF95" s="664">
        <f>INPUT!AQ529</f>
        <v>7363.9</v>
      </c>
      <c r="AG95" s="665">
        <f>INPUT!AR529</f>
        <v>1.9351891585110748</v>
      </c>
      <c r="AH95" s="664">
        <f>INPUT!AS529</f>
        <v>6568</v>
      </c>
      <c r="AI95" s="665">
        <f>INPUT!AT529</f>
        <v>-6.8685837445408566</v>
      </c>
      <c r="AJ95" s="664">
        <f>INPUT!AU529</f>
        <v>6986.9</v>
      </c>
      <c r="AK95" s="665">
        <f>INPUT!AV529</f>
        <v>-11.047029765997006</v>
      </c>
      <c r="AL95" s="664">
        <f>INPUT!AW529</f>
        <v>7594.4</v>
      </c>
      <c r="AM95" s="665">
        <f>INPUT!AX529</f>
        <v>4.9283612197244864</v>
      </c>
      <c r="AN95" s="664">
        <f>INPUT!AY529</f>
        <v>7718.8</v>
      </c>
      <c r="AO95" s="667">
        <f>INPUT!AZ529</f>
        <v>4.8194570811662452</v>
      </c>
      <c r="AP95" s="664">
        <f>INPUT!BA529</f>
        <v>7376.6</v>
      </c>
      <c r="AQ95" s="667">
        <f>INPUT!BB529</f>
        <v>12.311205846528628</v>
      </c>
      <c r="AR95" s="664">
        <f>INPUT!BC529</f>
        <v>7371.6</v>
      </c>
      <c r="AS95" s="667">
        <f>INPUT!BD529</f>
        <v>5.5060184058738582</v>
      </c>
      <c r="AT95" s="664">
        <f>INPUT!BE529</f>
        <v>7830.8</v>
      </c>
      <c r="AU95" s="667">
        <f>INPUT!BF529</f>
        <v>3.1128199726114136</v>
      </c>
      <c r="AV95" s="664">
        <f>INPUT!BG529</f>
        <v>8039.9</v>
      </c>
      <c r="AW95" s="667">
        <f>INPUT!BH529</f>
        <v>4.1599730528061318</v>
      </c>
      <c r="AX95" s="664">
        <f>INPUT!BI529</f>
        <v>7638.4</v>
      </c>
      <c r="AY95" s="667">
        <f>INPUT!BJ529</f>
        <v>3.5490605427974886</v>
      </c>
      <c r="AZ95" s="664">
        <f>INPUT!BK529</f>
        <v>7664.3</v>
      </c>
      <c r="BA95" s="667">
        <f>INPUT!BL529</f>
        <v>3.9706440935482146</v>
      </c>
      <c r="BB95" s="664">
        <f>INPUT!BM529</f>
        <v>6735.9</v>
      </c>
      <c r="BC95" s="667">
        <f>INPUT!BN529</f>
        <v>-13.981968636665476</v>
      </c>
      <c r="BD95" s="664">
        <f>INPUT!BO529</f>
        <v>6397.9</v>
      </c>
      <c r="BE95" s="667">
        <f>INPUT!BP529</f>
        <v>-20.423139591288454</v>
      </c>
      <c r="BF95" s="664">
        <f>INPUT!BQ529</f>
        <v>6422.6</v>
      </c>
      <c r="BG95" s="667">
        <f>INPUT!BR529</f>
        <v>-15.916945957268524</v>
      </c>
      <c r="BH95" s="664">
        <f>INPUT!BS529</f>
        <v>7478.4</v>
      </c>
      <c r="BI95" s="667">
        <f>INPUT!BT529</f>
        <v>-2.4255313596805994</v>
      </c>
      <c r="BJ95" s="664">
        <f>INPUT!BU529</f>
        <v>8243</v>
      </c>
      <c r="BK95" s="667">
        <f>INPUT!BV529</f>
        <v>22.374144509271222</v>
      </c>
      <c r="BL95" s="664">
        <f>INPUT!BW529</f>
        <v>8500.1</v>
      </c>
      <c r="BM95" s="667">
        <f>INPUT!BX529</f>
        <v>32.857656418512327</v>
      </c>
      <c r="BN95" s="664">
        <f>INPUT!BY529</f>
        <v>8780.2000000000007</v>
      </c>
      <c r="BO95" s="667">
        <f>INPUT!BZ529</f>
        <v>36.707875315292867</v>
      </c>
      <c r="BP95" s="664">
        <f>INPUT!CA529</f>
        <v>8871.7000000000007</v>
      </c>
      <c r="BQ95" s="667">
        <f>INPUT!CB529</f>
        <v>18.630990586221664</v>
      </c>
      <c r="BR95" s="664">
        <f>INPUT!CC529</f>
        <v>8924.1</v>
      </c>
      <c r="BS95" s="667">
        <f>INPUT!CD529</f>
        <v>8.2627684095596408</v>
      </c>
      <c r="BT95" s="664">
        <f>INPUT!CE529</f>
        <v>8484.9</v>
      </c>
      <c r="BU95" s="667">
        <f>INPUT!CF529</f>
        <v>-0.17882142563029335</v>
      </c>
      <c r="BV95" s="664">
        <f>INPUT!CG529</f>
        <v>8522.2000000000007</v>
      </c>
      <c r="BW95" s="667">
        <f>INPUT!CH529</f>
        <v>-2.9384296485273631</v>
      </c>
      <c r="BX95" s="664">
        <f>INPUT!CI529</f>
        <v>8617.7999999999993</v>
      </c>
      <c r="BY95" s="667">
        <f>INPUT!CJ529</f>
        <v>-2.8619092169482885</v>
      </c>
      <c r="BZ95" s="664">
        <f>INPUT!CK529</f>
        <v>9460.1</v>
      </c>
      <c r="CA95" s="667">
        <f>INPUT!CL529</f>
        <v>6.0062079089207909</v>
      </c>
      <c r="CB95" s="664">
        <f>INPUT!CM529</f>
        <v>8169.7</v>
      </c>
      <c r="CC95" s="667">
        <f>INPUT!CN529</f>
        <v>-3.7148345885042788</v>
      </c>
      <c r="CD95" s="664">
        <f>INPUT!CO529</f>
        <v>8179.9</v>
      </c>
      <c r="CE95" s="667">
        <f>INPUT!CP529</f>
        <v>-4.0165684917040316</v>
      </c>
      <c r="CF95" s="664">
        <f>INPUT!CQ529</f>
        <v>8385.9</v>
      </c>
      <c r="CG95" s="667">
        <f>INPUT!CR529</f>
        <v>-2.6909420037596554</v>
      </c>
      <c r="CH95" s="664">
        <f>INPUT!CS529</f>
        <v>8673.2999999999993</v>
      </c>
      <c r="CI95" s="667">
        <f>INPUT!CT529</f>
        <v>-8.3170368177926335</v>
      </c>
      <c r="CJ95" s="664">
        <f>INPUT!CU529</f>
        <v>8612.6</v>
      </c>
      <c r="CK95" s="667">
        <f>INPUT!CV529</f>
        <v>5.4212516983487724</v>
      </c>
      <c r="CL95" s="669">
        <f>INPUT!CW529</f>
        <v>8557.7999999999993</v>
      </c>
      <c r="CM95" s="670">
        <f>INPUT!CX529</f>
        <v>4.6198608784948414</v>
      </c>
      <c r="CN95" s="669">
        <f>INPUT!CY529</f>
        <v>8380.6</v>
      </c>
      <c r="CO95" s="670">
        <f>INPUT!CZ529</f>
        <v>-6.3201326035355887E-2</v>
      </c>
      <c r="CP95" s="669">
        <f>INPUT!DA529</f>
        <v>8669.9</v>
      </c>
      <c r="CQ95" s="670">
        <f>INPUT!DB529</f>
        <v>-3.9200765567892759E-2</v>
      </c>
      <c r="CR95" s="669">
        <f>INPUT!DC529</f>
        <v>8639.9</v>
      </c>
      <c r="CS95" s="670">
        <f>INPUT!DD529</f>
        <v>0.31697745164060986</v>
      </c>
      <c r="CT95" s="669">
        <f>INPUT!DE529</f>
        <v>8933.4</v>
      </c>
      <c r="CU95" s="670">
        <f>INPUT!DF529</f>
        <v>4.3889784757764838</v>
      </c>
      <c r="CV95" s="669">
        <f>INPUT!DG529</f>
        <v>9243.7000000000007</v>
      </c>
      <c r="CW95" s="670">
        <f>INPUT!DH529</f>
        <v>10.298785289836054</v>
      </c>
      <c r="CX95" s="669">
        <f>INPUT!DI529</f>
        <v>9243</v>
      </c>
      <c r="CY95" s="670">
        <f>INPUT!DJ529</f>
        <v>6.610226184846435</v>
      </c>
      <c r="CZ95" s="669">
        <f>INPUT!DK529</f>
        <v>8521.9</v>
      </c>
      <c r="DA95" s="670">
        <f>INPUT!DL529</f>
        <v>-1.365756548108199</v>
      </c>
      <c r="DB95" s="669">
        <f>INPUT!DM529</f>
        <v>8687.9</v>
      </c>
      <c r="DC95" s="670">
        <f>INPUT!DN529</f>
        <v>-2.7481138200461164</v>
      </c>
      <c r="DD95" s="669">
        <f>INPUT!DO529</f>
        <v>8515.7000000000007</v>
      </c>
      <c r="DE95" s="670">
        <f>INPUT!DP529</f>
        <v>-7.8756342157361274</v>
      </c>
      <c r="DF95" s="669">
        <f>INPUT!DQ529</f>
        <v>8581.1</v>
      </c>
      <c r="DG95" s="670">
        <f>INPUT!DR529</f>
        <v>-7.1610948826138614</v>
      </c>
      <c r="DH95" s="669">
        <f>INPUT!DS529</f>
        <v>8663.9</v>
      </c>
      <c r="DI95" s="670">
        <f>INPUT!DT529</f>
        <v>1.6662950750419459</v>
      </c>
      <c r="DJ95" s="669">
        <f>INPUT!DU529</f>
        <v>8920.2999999999993</v>
      </c>
      <c r="DK95" s="670">
        <f>INPUT!DV529</f>
        <v>2.6749847489036416</v>
      </c>
      <c r="DL95" s="669">
        <f>INPUT!DW529</f>
        <v>9157</v>
      </c>
      <c r="DM95" s="670">
        <f>INPUT!DX529</f>
        <v>7.5307960590438761</v>
      </c>
      <c r="DN95" s="669">
        <f>INPUT!DY529</f>
        <v>9361.2000000000007</v>
      </c>
      <c r="DO95" s="670">
        <f>INPUT!DZ529</f>
        <v>9.0909090909091042</v>
      </c>
      <c r="DP95" s="669">
        <f>INPUT!EA529</f>
        <v>8968</v>
      </c>
      <c r="DQ95" s="670">
        <f>INPUT!EB529</f>
        <v>3.5099666431976484</v>
      </c>
      <c r="DR95" s="669">
        <f>INPUT!EC529</f>
        <v>9103.6799999999985</v>
      </c>
      <c r="DS95" s="670">
        <f>INPUT!ED529</f>
        <v>2.055760456486877</v>
      </c>
      <c r="DT95" s="669">
        <f>INPUT!EE529</f>
        <v>9316.6</v>
      </c>
      <c r="DU95" s="670">
        <f>INPUT!EF529</f>
        <v>1.7429289068472187</v>
      </c>
      <c r="DV95" s="669">
        <f>INPUT!EG529</f>
        <v>9448.6</v>
      </c>
      <c r="DW95" s="670">
        <f>INPUT!EH529</f>
        <v>0.93364098619834746</v>
      </c>
      <c r="DX95" s="669">
        <f>INPUT!EI529</f>
        <v>9574.9</v>
      </c>
      <c r="DY95" s="670">
        <f>INPUT!EJ529</f>
        <v>6.7673951828724377</v>
      </c>
      <c r="DZ95" s="669">
        <f>INPUT!EK529</f>
        <v>9685.9828303240956</v>
      </c>
      <c r="EA95" s="670">
        <f>INPUT!EL529</f>
        <v>6.3963455473401654</v>
      </c>
      <c r="EB95" s="669">
        <f>INPUT!EM529</f>
        <v>9812.7669541748146</v>
      </c>
      <c r="EC95" s="670">
        <f>INPUT!EN529</f>
        <v>5.3256225895156328</v>
      </c>
      <c r="ED95" s="669">
        <f>INPUT!EO529</f>
        <v>9933.6279088450246</v>
      </c>
      <c r="EE95" s="670">
        <f>INPUT!EP529</f>
        <v>5.1333309574436825</v>
      </c>
      <c r="EF95" s="669">
        <f>INPUT!EQ529</f>
        <v>10057.828790254847</v>
      </c>
      <c r="EG95" s="670">
        <f>INPUT!ER529</f>
        <v>5.0436953937361917</v>
      </c>
      <c r="EH95" s="670"/>
      <c r="EI95" s="669">
        <f>INPUT!FB529</f>
        <v>5939.9</v>
      </c>
      <c r="EJ95" s="671">
        <f>INPUT!FC529</f>
        <v>6.5452914798206141</v>
      </c>
      <c r="EK95" s="669">
        <f>INPUT!FD529</f>
        <v>6843.2</v>
      </c>
      <c r="EL95" s="671">
        <f>INPUT!FE529</f>
        <v>15.207326722672111</v>
      </c>
      <c r="EM95" s="669">
        <f>INPUT!FF529</f>
        <v>7271</v>
      </c>
      <c r="EN95" s="671">
        <f>INPUT!FG529</f>
        <v>6.2514613046527945</v>
      </c>
      <c r="EO95" s="669">
        <f>INPUT!FH529</f>
        <v>7224.1</v>
      </c>
      <c r="EP95" s="671">
        <f>INPUT!FI529</f>
        <v>-0.64502819419611779</v>
      </c>
      <c r="EQ95" s="669">
        <f>INPUT!FJ529</f>
        <v>7363.9</v>
      </c>
      <c r="ER95" s="670">
        <f>INPUT!FK529</f>
        <v>1.9351891585110748</v>
      </c>
      <c r="ES95" s="669">
        <f>INPUT!FL529</f>
        <v>7718.8</v>
      </c>
      <c r="ET95" s="670">
        <f>INPUT!FM529</f>
        <v>4.8194570811662452</v>
      </c>
      <c r="EU95" s="669">
        <f>INPUT!FN529</f>
        <v>8039.9</v>
      </c>
      <c r="EV95" s="670">
        <f>INPUT!FO529</f>
        <v>4.1599730528061318</v>
      </c>
      <c r="EW95" s="669">
        <f>INPUT!FP529</f>
        <v>6397.9</v>
      </c>
      <c r="EX95" s="670">
        <f>INPUT!FQ529</f>
        <v>-20.423139591288454</v>
      </c>
      <c r="EY95" s="669">
        <f>INPUT!FR529</f>
        <v>8500.1</v>
      </c>
      <c r="EZ95" s="670">
        <f>INPUT!FS529</f>
        <v>32.857656418512327</v>
      </c>
      <c r="FA95" s="669">
        <f>INPUT!FT529</f>
        <v>8484.9</v>
      </c>
      <c r="FB95" s="670">
        <f>INPUT!FU529</f>
        <v>-0.17882142563029335</v>
      </c>
      <c r="FC95" s="669">
        <f>INPUT!FV529</f>
        <v>8169.7</v>
      </c>
      <c r="FD95" s="670">
        <f>INPUT!FW529</f>
        <v>-3.7148345885042788</v>
      </c>
      <c r="FE95" s="669">
        <f>INPUT!FX529</f>
        <v>8612.6</v>
      </c>
      <c r="FF95" s="670">
        <f>INPUT!FY529</f>
        <v>5.4212516983487724</v>
      </c>
      <c r="FG95" s="669">
        <f>INPUT!FZ529</f>
        <v>8639.9</v>
      </c>
      <c r="FH95" s="670">
        <f>INPUT!GA529</f>
        <v>0.31697745164060986</v>
      </c>
      <c r="FI95" s="669">
        <f>INPUT!GB529</f>
        <v>8521.9</v>
      </c>
      <c r="FJ95" s="670">
        <f>INPUT!GC529</f>
        <v>-1.365756548108199</v>
      </c>
      <c r="FK95" s="669">
        <f>INPUT!GD529</f>
        <v>8663.9</v>
      </c>
      <c r="FL95" s="670">
        <f>INPUT!GE529</f>
        <v>1.6662950750419459</v>
      </c>
      <c r="FM95" s="669">
        <f>INPUT!GF529</f>
        <v>8968</v>
      </c>
      <c r="FN95" s="670">
        <f>INPUT!GG529</f>
        <v>3.5099666431976484</v>
      </c>
      <c r="FO95" s="669">
        <f>INPUT!GH529</f>
        <v>9574.9</v>
      </c>
      <c r="FP95" s="670">
        <f>INPUT!GI529</f>
        <v>6.7673951828724377</v>
      </c>
      <c r="FQ95" s="669">
        <f>INPUT!GJ529</f>
        <v>10057.828790254847</v>
      </c>
      <c r="FR95" s="670">
        <f>INPUT!GK529</f>
        <v>5.0436953937361917</v>
      </c>
      <c r="FS95" s="669">
        <f>INPUT!GL529</f>
        <v>10556.702729138586</v>
      </c>
      <c r="FT95" s="670">
        <f>INPUT!GM529</f>
        <v>4.9600559851158188</v>
      </c>
      <c r="FU95" s="669">
        <f>INPUT!GN529</f>
        <v>11048.477516748733</v>
      </c>
      <c r="FV95" s="670">
        <f>INPUT!GO529</f>
        <v>4.65841276606902</v>
      </c>
      <c r="FW95" s="669">
        <f>INPUT!GP529</f>
        <v>11561.272349577594</v>
      </c>
      <c r="FX95" s="670">
        <f>INPUT!GQ529</f>
        <v>4.6413167067724803</v>
      </c>
      <c r="FY95" s="669">
        <f>INPUT!GR529</f>
        <v>12064.660699800681</v>
      </c>
      <c r="FZ95" s="670">
        <f>INPUT!GS529</f>
        <v>4.3540912712905611</v>
      </c>
      <c r="GA95" s="988">
        <f>INPUT!GT529</f>
        <v>4.731222538510016</v>
      </c>
    </row>
    <row r="96" spans="1:183" s="707" customFormat="1" ht="12.75" customHeight="1" x14ac:dyDescent="0.2">
      <c r="A96" s="993" t="str">
        <f>INPUT!B554</f>
        <v>LT Debt to LT Capital (%)</v>
      </c>
      <c r="B96" s="826">
        <f>INPUT!M554</f>
        <v>24.9424872850268</v>
      </c>
      <c r="C96" s="824">
        <f>INPUT!N554</f>
        <v>6.8868006975221441</v>
      </c>
      <c r="D96" s="826">
        <f>INPUT!O554</f>
        <v>24.890299691905522</v>
      </c>
      <c r="E96" s="665">
        <f>INPUT!P554</f>
        <v>-1.237068003587527</v>
      </c>
      <c r="F96" s="826">
        <f>INPUT!Q554</f>
        <v>23.42879741620802</v>
      </c>
      <c r="G96" s="665">
        <f>INPUT!R554</f>
        <v>-3.0808920847761212</v>
      </c>
      <c r="H96" s="826">
        <f>INPUT!S554</f>
        <v>21.132358786379896</v>
      </c>
      <c r="I96" s="665">
        <f>INPUT!T554</f>
        <v>-13.073905263549312</v>
      </c>
      <c r="J96" s="826">
        <f>INPUT!U554</f>
        <v>25.275992373819829</v>
      </c>
      <c r="K96" s="665">
        <f>INPUT!V554</f>
        <v>1.3370963568386074</v>
      </c>
      <c r="L96" s="826">
        <f>INPUT!W554</f>
        <v>26.540419660275017</v>
      </c>
      <c r="M96" s="665">
        <f>INPUT!X554</f>
        <v>6.6295705105797742</v>
      </c>
      <c r="N96" s="826">
        <f>INPUT!Y554</f>
        <v>26.214130628894761</v>
      </c>
      <c r="O96" s="665">
        <f>INPUT!Z554</f>
        <v>11.888502696941039</v>
      </c>
      <c r="P96" s="826">
        <f>INPUT!AA554</f>
        <v>27.72365805168986</v>
      </c>
      <c r="Q96" s="665">
        <f>INPUT!AB554</f>
        <v>31.190551570410353</v>
      </c>
      <c r="R96" s="826">
        <f>INPUT!AC554</f>
        <v>28.105569719750491</v>
      </c>
      <c r="S96" s="665">
        <f>INPUT!AD554</f>
        <v>11.194723056102273</v>
      </c>
      <c r="T96" s="826">
        <f>INPUT!AE554</f>
        <v>33.160143418425406</v>
      </c>
      <c r="U96" s="665">
        <f>INPUT!AF554</f>
        <v>24.942046293482733</v>
      </c>
      <c r="V96" s="826">
        <f>INPUT!AG554</f>
        <v>29.316561501270183</v>
      </c>
      <c r="W96" s="665">
        <f>INPUT!AH554</f>
        <v>11.834956178007827</v>
      </c>
      <c r="X96" s="826">
        <f>INPUT!AI554</f>
        <v>28.375685349143868</v>
      </c>
      <c r="Y96" s="665">
        <f>INPUT!AJ554</f>
        <v>2.3518804633873458</v>
      </c>
      <c r="Z96" s="826">
        <f>INPUT!AK554</f>
        <v>28.867102396514159</v>
      </c>
      <c r="AA96" s="665">
        <f>INPUT!AL554</f>
        <v>2.7095436397737149</v>
      </c>
      <c r="AB96" s="826">
        <f>INPUT!AM554</f>
        <v>26.706231454005934</v>
      </c>
      <c r="AC96" s="665">
        <f>INPUT!AN554</f>
        <v>-19.46285902018554</v>
      </c>
      <c r="AD96" s="826">
        <f>INPUT!AO554</f>
        <v>28.337475370555559</v>
      </c>
      <c r="AE96" s="665">
        <f>INPUT!AP554</f>
        <v>-3.3397031594998072</v>
      </c>
      <c r="AF96" s="826">
        <f>INPUT!AQ554</f>
        <v>30.695967248600063</v>
      </c>
      <c r="AG96" s="665">
        <f>INPUT!AR554</f>
        <v>8.1770074305049345</v>
      </c>
      <c r="AH96" s="826">
        <f>INPUT!AS554</f>
        <v>30.346992449308559</v>
      </c>
      <c r="AI96" s="665">
        <f>INPUT!AT554</f>
        <v>5.1265625225104028</v>
      </c>
      <c r="AJ96" s="826">
        <f>INPUT!AU554</f>
        <v>26.827250353458659</v>
      </c>
      <c r="AK96" s="665">
        <f>INPUT!AV554</f>
        <v>0.45314854572853225</v>
      </c>
      <c r="AL96" s="826">
        <f>INPUT!AW554</f>
        <v>25.222528554549033</v>
      </c>
      <c r="AM96" s="665">
        <f>INPUT!AX554</f>
        <v>-10.992322976108005</v>
      </c>
      <c r="AN96" s="826">
        <f>INPUT!AY554</f>
        <v>25.626300778540045</v>
      </c>
      <c r="AO96" s="667">
        <f>INPUT!AZ554</f>
        <v>-16.5157410711377</v>
      </c>
      <c r="AP96" s="826">
        <f>INPUT!BA554</f>
        <v>25.31008576086186</v>
      </c>
      <c r="AQ96" s="667">
        <f>INPUT!BB554</f>
        <v>-16.597712926117204</v>
      </c>
      <c r="AR96" s="826">
        <f>INPUT!BC554</f>
        <v>23.683910842400589</v>
      </c>
      <c r="AS96" s="667">
        <f>INPUT!BD554</f>
        <v>-11.716964913076977</v>
      </c>
      <c r="AT96" s="826">
        <f>INPUT!BE554</f>
        <v>22.589956504547253</v>
      </c>
      <c r="AU96" s="667">
        <f>INPUT!BF554</f>
        <v>-10.43738356488838</v>
      </c>
      <c r="AV96" s="826">
        <f>INPUT!BG554</f>
        <v>23.829238946101885</v>
      </c>
      <c r="AW96" s="667">
        <f>INPUT!BH554</f>
        <v>-7.0125682515326364</v>
      </c>
      <c r="AX96" s="826">
        <f>INPUT!BI554</f>
        <v>24.641627450400058</v>
      </c>
      <c r="AY96" s="667">
        <f>INPUT!BJ554</f>
        <v>-2.6410748536279893</v>
      </c>
      <c r="AZ96" s="826">
        <f>INPUT!BK554</f>
        <v>23.069279103848395</v>
      </c>
      <c r="BA96" s="667">
        <f>INPUT!BL554</f>
        <v>-2.5951446221957442</v>
      </c>
      <c r="BB96" s="826">
        <f>INPUT!BM554</f>
        <v>25.333377672840939</v>
      </c>
      <c r="BC96" s="667">
        <f>INPUT!BN554</f>
        <v>12.144428732040492</v>
      </c>
      <c r="BD96" s="826">
        <f>INPUT!BO554</f>
        <v>26.098206138172415</v>
      </c>
      <c r="BE96" s="667">
        <f>INPUT!BP554</f>
        <v>9.5217778343764436</v>
      </c>
      <c r="BF96" s="826">
        <f>INPUT!BQ554</f>
        <v>25.983888997729711</v>
      </c>
      <c r="BG96" s="667">
        <f>INPUT!BR554</f>
        <v>5.4471302678016142</v>
      </c>
      <c r="BH96" s="826">
        <f>INPUT!BS554</f>
        <v>23.132901634289237</v>
      </c>
      <c r="BI96" s="667">
        <f>INPUT!BT554</f>
        <v>0.27578898393156859</v>
      </c>
      <c r="BJ96" s="826">
        <f>INPUT!BU554</f>
        <v>23.839529898736046</v>
      </c>
      <c r="BK96" s="667">
        <f>INPUT!BV554</f>
        <v>-5.8967572085991353</v>
      </c>
      <c r="BL96" s="826">
        <f>INPUT!BW554</f>
        <v>23.073929608948664</v>
      </c>
      <c r="BM96" s="667">
        <f>INPUT!BX554</f>
        <v>-11.588062846972102</v>
      </c>
      <c r="BN96" s="826">
        <f>INPUT!BY554</f>
        <v>20.694763083259566</v>
      </c>
      <c r="BO96" s="667">
        <f>INPUT!BZ554</f>
        <v>-20.355405285684025</v>
      </c>
      <c r="BP96" s="826">
        <f>INPUT!CA554</f>
        <v>20.351034699465821</v>
      </c>
      <c r="BQ96" s="667">
        <f>INPUT!CB554</f>
        <v>-12.025585803295568</v>
      </c>
      <c r="BR96" s="826">
        <f>INPUT!CC554</f>
        <v>22.971153348179605</v>
      </c>
      <c r="BS96" s="667">
        <f>INPUT!CD554</f>
        <v>-3.6425909162012493</v>
      </c>
      <c r="BT96" s="826">
        <f>INPUT!CE554</f>
        <v>23.670858746694016</v>
      </c>
      <c r="BU96" s="667">
        <f>INPUT!CF554</f>
        <v>2.587028511666456</v>
      </c>
      <c r="BV96" s="826">
        <f>INPUT!CG554</f>
        <v>23.411100726148533</v>
      </c>
      <c r="BW96" s="667">
        <f>INPUT!CH554</f>
        <v>13.125724764089085</v>
      </c>
      <c r="BX96" s="826">
        <f>INPUT!CI554</f>
        <v>23.102731353005737</v>
      </c>
      <c r="BY96" s="667">
        <f>INPUT!CJ554</f>
        <v>13.521163391324498</v>
      </c>
      <c r="BZ96" s="826">
        <f>INPUT!CK554</f>
        <v>21.470788438231533</v>
      </c>
      <c r="CA96" s="667">
        <f>INPUT!CL554</f>
        <v>-6.5315175394402676</v>
      </c>
      <c r="CB96" s="826">
        <f>INPUT!CM554</f>
        <v>23.931321520684548</v>
      </c>
      <c r="CC96" s="667">
        <f>INPUT!CN554</f>
        <v>1.1003520268435985</v>
      </c>
      <c r="CD96" s="826">
        <f>INPUT!CO554</f>
        <v>23.785254409421675</v>
      </c>
      <c r="CE96" s="667">
        <f>INPUT!CP554</f>
        <v>1.5981891994306663</v>
      </c>
      <c r="CF96" s="826">
        <f>INPUT!CQ554</f>
        <v>23.249620179019239</v>
      </c>
      <c r="CG96" s="667">
        <f>INPUT!CR554</f>
        <v>0.63580718560531935</v>
      </c>
      <c r="CH96" s="826">
        <f>INPUT!CS554</f>
        <v>24.282396899116527</v>
      </c>
      <c r="CI96" s="667">
        <f>INPUT!CT554</f>
        <v>13.095040589560082</v>
      </c>
      <c r="CJ96" s="826">
        <f>INPUT!CU554</f>
        <v>24.238212526389869</v>
      </c>
      <c r="CK96" s="667">
        <f>INPUT!CV554</f>
        <v>1.2823821928933832</v>
      </c>
      <c r="CL96" s="688">
        <f>INPUT!CW554</f>
        <v>23.806725606987371</v>
      </c>
      <c r="CM96" s="670">
        <f>INPUT!CX554</f>
        <v>9.027104438785738E-2</v>
      </c>
      <c r="CN96" s="688">
        <f>INPUT!CY554</f>
        <v>23.98272953213722</v>
      </c>
      <c r="CO96" s="670">
        <f>INPUT!CZ554</f>
        <v>3.1532100200912128</v>
      </c>
      <c r="CP96" s="688">
        <f>INPUT!DA554</f>
        <v>23.283368137896858</v>
      </c>
      <c r="CQ96" s="670">
        <f>INPUT!DB554</f>
        <v>-4.1142098342689444</v>
      </c>
      <c r="CR96" s="688">
        <f>INPUT!DC554</f>
        <v>23.213857215225875</v>
      </c>
      <c r="CS96" s="670">
        <f>INPUT!DD554</f>
        <v>-4.2261998901474529</v>
      </c>
      <c r="CT96" s="688">
        <f>INPUT!DE554</f>
        <v>24.813156477242124</v>
      </c>
      <c r="CU96" s="670">
        <f>INPUT!DF554</f>
        <v>4.2275064906841298</v>
      </c>
      <c r="CV96" s="688">
        <f>INPUT!DG554</f>
        <v>23.197653647066645</v>
      </c>
      <c r="CW96" s="670">
        <f>INPUT!DH554</f>
        <v>-3.2735051446857288</v>
      </c>
      <c r="CX96" s="688">
        <f>INPUT!DI554</f>
        <v>23.143443952005192</v>
      </c>
      <c r="CY96" s="670">
        <f>INPUT!DJ554</f>
        <v>-0.6009619616155093</v>
      </c>
      <c r="CZ96" s="688">
        <f>INPUT!DK554</f>
        <v>23.574516169533482</v>
      </c>
      <c r="DA96" s="670">
        <f>INPUT!DL554</f>
        <v>1.5536364808475422</v>
      </c>
      <c r="DB96" s="688">
        <f>INPUT!DM554</f>
        <v>23.056008218789852</v>
      </c>
      <c r="DC96" s="670">
        <f>INPUT!DN554</f>
        <v>-7.0815184680912076</v>
      </c>
      <c r="DD96" s="688">
        <f>INPUT!DO554</f>
        <v>23.257783985941515</v>
      </c>
      <c r="DE96" s="670">
        <f>INPUT!DP554</f>
        <v>0.25920871045712612</v>
      </c>
      <c r="DF96" s="688">
        <f>INPUT!DQ554</f>
        <v>20.53212572465781</v>
      </c>
      <c r="DG96" s="670">
        <f>INPUT!DR554</f>
        <v>-11.283187725918086</v>
      </c>
      <c r="DH96" s="688">
        <f>INPUT!DS554</f>
        <v>22.04025806916038</v>
      </c>
      <c r="DI96" s="670">
        <f>INPUT!DT554</f>
        <v>-6.5081212667935873</v>
      </c>
      <c r="DJ96" s="688">
        <f>INPUT!DU554</f>
        <v>21.495582074840712</v>
      </c>
      <c r="DK96" s="670">
        <f>INPUT!DV554</f>
        <v>-6.7679805157141111</v>
      </c>
      <c r="DL96" s="688">
        <f>INPUT!DW554</f>
        <v>24.94016197252369</v>
      </c>
      <c r="DM96" s="670">
        <f>INPUT!DX554</f>
        <v>7.2336125728879042</v>
      </c>
      <c r="DN96" s="688">
        <f>INPUT!DY554</f>
        <v>24.390598497698083</v>
      </c>
      <c r="DO96" s="670">
        <f>INPUT!DZ554</f>
        <v>18.792368723938235</v>
      </c>
      <c r="DP96" s="688">
        <f>INPUT!EA554</f>
        <v>25.063088055885157</v>
      </c>
      <c r="DQ96" s="670">
        <f>INPUT!EB554</f>
        <v>13.715038985657069</v>
      </c>
      <c r="DR96" s="688">
        <f>INPUT!EC554</f>
        <v>24.690030343440096</v>
      </c>
      <c r="DS96" s="670">
        <f>INPUT!ED554</f>
        <v>14.860952624950286</v>
      </c>
      <c r="DT96" s="688">
        <f>INPUT!EE554</f>
        <v>24.162800162800163</v>
      </c>
      <c r="DU96" s="670">
        <f>INPUT!EF554</f>
        <v>-3.1169076230536774</v>
      </c>
      <c r="DV96" s="688">
        <f>INPUT!EG554</f>
        <v>22.569595253509469</v>
      </c>
      <c r="DW96" s="670">
        <f>INPUT!EH554</f>
        <v>-7.4660047573677835</v>
      </c>
      <c r="DX96" s="688">
        <f>INPUT!EI554</f>
        <v>23.481603426781319</v>
      </c>
      <c r="DY96" s="670">
        <f>INPUT!EJ554</f>
        <v>-6.3100150531230419</v>
      </c>
      <c r="DZ96" s="688">
        <f>INPUT!EK554</f>
        <v>23.27498551396576</v>
      </c>
      <c r="EA96" s="670">
        <f>INPUT!EL554</f>
        <v>-5.731239734382509</v>
      </c>
      <c r="EB96" s="688">
        <f>INPUT!EM554</f>
        <v>23.043561849057458</v>
      </c>
      <c r="EC96" s="670">
        <f>INPUT!EN554</f>
        <v>-4.6320720537424638</v>
      </c>
      <c r="ED96" s="688">
        <f>INPUT!EO554</f>
        <v>22.82719434732795</v>
      </c>
      <c r="EE96" s="670">
        <f>INPUT!EP554</f>
        <v>1.1413545122322288</v>
      </c>
      <c r="EF96" s="688">
        <f>INPUT!EQ554</f>
        <v>22.609040333636013</v>
      </c>
      <c r="EG96" s="670">
        <f>INPUT!ER554</f>
        <v>-3.7159434016764248</v>
      </c>
      <c r="EH96" s="670"/>
      <c r="EI96" s="688">
        <f>INPUT!FB554</f>
        <v>24.310719180990045</v>
      </c>
      <c r="EJ96" s="671" t="str">
        <f>INPUT!FC554</f>
        <v>NA</v>
      </c>
      <c r="EK96" s="688">
        <f>INPUT!FD554</f>
        <v>21.132358786379896</v>
      </c>
      <c r="EL96" s="671">
        <f>INPUT!FE554</f>
        <v>-13.073905263549312</v>
      </c>
      <c r="EM96" s="688">
        <f>INPUT!FF554</f>
        <v>27.72365805168986</v>
      </c>
      <c r="EN96" s="671">
        <f>INPUT!FG554</f>
        <v>31.190551570410353</v>
      </c>
      <c r="EO96" s="688">
        <f>INPUT!FH554</f>
        <v>28.375685349143868</v>
      </c>
      <c r="EP96" s="671">
        <f>INPUT!FI554</f>
        <v>2.3518804633873458</v>
      </c>
      <c r="EQ96" s="688">
        <f>INPUT!FJ554</f>
        <v>30.695967248600063</v>
      </c>
      <c r="ER96" s="670">
        <f>INPUT!FK554</f>
        <v>8.1770074305049345</v>
      </c>
      <c r="ES96" s="688">
        <f>INPUT!FL554</f>
        <v>25.626300778540045</v>
      </c>
      <c r="ET96" s="670">
        <f>INPUT!FM554</f>
        <v>-16.5157410711377</v>
      </c>
      <c r="EU96" s="688">
        <f>INPUT!FN554</f>
        <v>23.829238946101885</v>
      </c>
      <c r="EV96" s="670">
        <f>INPUT!FO554</f>
        <v>-7.0125682515326364</v>
      </c>
      <c r="EW96" s="688">
        <f>INPUT!FP554</f>
        <v>26.098206138172415</v>
      </c>
      <c r="EX96" s="670">
        <f>INPUT!FQ554</f>
        <v>9.5217778343764436</v>
      </c>
      <c r="EY96" s="688">
        <f>INPUT!FR554</f>
        <v>23.073929608948664</v>
      </c>
      <c r="EZ96" s="670">
        <f>INPUT!FS554</f>
        <v>-11.588062846972102</v>
      </c>
      <c r="FA96" s="688">
        <f>INPUT!FT554</f>
        <v>23.670858746694016</v>
      </c>
      <c r="FB96" s="670">
        <f>INPUT!FU554</f>
        <v>2.587028511666456</v>
      </c>
      <c r="FC96" s="688">
        <f>INPUT!FV554</f>
        <v>23.931321520684548</v>
      </c>
      <c r="FD96" s="670">
        <f>INPUT!FW554</f>
        <v>1.1003520268435985</v>
      </c>
      <c r="FE96" s="688">
        <f>INPUT!FX554</f>
        <v>24.238212526389869</v>
      </c>
      <c r="FF96" s="670">
        <f>INPUT!FY554</f>
        <v>1.2823821928933832</v>
      </c>
      <c r="FG96" s="688">
        <f>INPUT!FZ554</f>
        <v>23.213857215225875</v>
      </c>
      <c r="FH96" s="670">
        <f>INPUT!GA554</f>
        <v>-4.2261998901474529</v>
      </c>
      <c r="FI96" s="688">
        <f>INPUT!GB554</f>
        <v>23.574516169533482</v>
      </c>
      <c r="FJ96" s="670">
        <f>INPUT!GC554</f>
        <v>1.5536364808475422</v>
      </c>
      <c r="FK96" s="688">
        <f>INPUT!GD554</f>
        <v>22.04025806916038</v>
      </c>
      <c r="FL96" s="670">
        <f>INPUT!GE554</f>
        <v>-6.5081212667935873</v>
      </c>
      <c r="FM96" s="688">
        <f>INPUT!GF554</f>
        <v>25.063088055885157</v>
      </c>
      <c r="FN96" s="670">
        <f>INPUT!GG554</f>
        <v>13.715038985657069</v>
      </c>
      <c r="FO96" s="688">
        <f>INPUT!GH554</f>
        <v>23.481603426781319</v>
      </c>
      <c r="FP96" s="670">
        <f>INPUT!GI554</f>
        <v>-6.3100150531230419</v>
      </c>
      <c r="FQ96" s="688">
        <f>INPUT!GJ554</f>
        <v>22.609040333636013</v>
      </c>
      <c r="FR96" s="670">
        <f>INPUT!GK554</f>
        <v>-3.7159434016764248</v>
      </c>
      <c r="FS96" s="688">
        <f>INPUT!GL554</f>
        <v>21.773244948336206</v>
      </c>
      <c r="FT96" s="670">
        <f>INPUT!GM554</f>
        <v>-3.696730922525604</v>
      </c>
      <c r="FU96" s="688">
        <f>INPUT!GN554</f>
        <v>21.007698138341564</v>
      </c>
      <c r="FV96" s="670">
        <f>INPUT!GO554</f>
        <v>-3.5159977844879786</v>
      </c>
      <c r="FW96" s="688">
        <f>INPUT!GP554</f>
        <v>20.264735601568276</v>
      </c>
      <c r="FX96" s="670">
        <f>INPUT!GQ554</f>
        <v>-3.5366203944890651</v>
      </c>
      <c r="FY96" s="688">
        <f>INPUT!GR554</f>
        <v>19.5848010189018</v>
      </c>
      <c r="FZ96" s="670">
        <f>INPUT!GS554</f>
        <v>-3.3552600736318383</v>
      </c>
      <c r="GA96" s="988">
        <f>INPUT!GT554</f>
        <v>-3.5642010490693377</v>
      </c>
    </row>
    <row r="97" spans="1:183" s="707" customFormat="1" ht="12.75" customHeight="1" x14ac:dyDescent="0.2">
      <c r="A97" s="993" t="str">
        <f>INPUT!B555</f>
        <v>LTD + Pref Equity to LT Capital (%)</v>
      </c>
      <c r="B97" s="826">
        <f>INPUT!M555</f>
        <v>28.673041769775047</v>
      </c>
      <c r="C97" s="824">
        <f>INPUT!N555</f>
        <v>5.8155983868375616</v>
      </c>
      <c r="D97" s="826">
        <f>INPUT!O555</f>
        <v>28.391373354495382</v>
      </c>
      <c r="E97" s="665">
        <f>INPUT!P555</f>
        <v>-1.7929384573512563</v>
      </c>
      <c r="F97" s="826">
        <f>INPUT!Q555</f>
        <v>26.72445044985664</v>
      </c>
      <c r="G97" s="665">
        <f>INPUT!R555</f>
        <v>-3.7629100038182206</v>
      </c>
      <c r="H97" s="826">
        <f>INPUT!S555</f>
        <v>24.444640727818751</v>
      </c>
      <c r="I97" s="665">
        <f>INPUT!T555</f>
        <v>-12.540550896532176</v>
      </c>
      <c r="J97" s="826">
        <f>INPUT!U555</f>
        <v>25.275992373819829</v>
      </c>
      <c r="K97" s="665">
        <f>INPUT!V555</f>
        <v>-11.847537569369882</v>
      </c>
      <c r="L97" s="826">
        <f>INPUT!W555</f>
        <v>26.540419660275017</v>
      </c>
      <c r="M97" s="665">
        <f>INPUT!X555</f>
        <v>-6.5194228933884713</v>
      </c>
      <c r="N97" s="826">
        <f>INPUT!Y555</f>
        <v>26.214130628894761</v>
      </c>
      <c r="O97" s="665">
        <f>INPUT!Z555</f>
        <v>-1.9095615152850298</v>
      </c>
      <c r="P97" s="826">
        <f>INPUT!AA555</f>
        <v>27.72365805168986</v>
      </c>
      <c r="Q97" s="665">
        <f>INPUT!AB555</f>
        <v>13.41405406764471</v>
      </c>
      <c r="R97" s="826">
        <f>INPUT!AC555</f>
        <v>28.105569719750491</v>
      </c>
      <c r="S97" s="665">
        <f>INPUT!AD555</f>
        <v>11.194723056102273</v>
      </c>
      <c r="T97" s="826">
        <f>INPUT!AE555</f>
        <v>33.160143418425406</v>
      </c>
      <c r="U97" s="665">
        <f>INPUT!AF555</f>
        <v>24.942046293482733</v>
      </c>
      <c r="V97" s="826">
        <f>INPUT!AG555</f>
        <v>29.316561501270183</v>
      </c>
      <c r="W97" s="665">
        <f>INPUT!AH555</f>
        <v>11.834956178007827</v>
      </c>
      <c r="X97" s="826">
        <f>INPUT!AI555</f>
        <v>28.375685349143868</v>
      </c>
      <c r="Y97" s="665">
        <f>INPUT!AJ555</f>
        <v>2.3518804633873458</v>
      </c>
      <c r="Z97" s="826">
        <f>INPUT!AK555</f>
        <v>28.867102396514159</v>
      </c>
      <c r="AA97" s="665">
        <f>INPUT!AL555</f>
        <v>2.7095436397737149</v>
      </c>
      <c r="AB97" s="826">
        <f>INPUT!AM555</f>
        <v>26.706231454005934</v>
      </c>
      <c r="AC97" s="665">
        <f>INPUT!AN555</f>
        <v>-19.46285902018554</v>
      </c>
      <c r="AD97" s="826">
        <f>INPUT!AO555</f>
        <v>28.337475370555559</v>
      </c>
      <c r="AE97" s="665">
        <f>INPUT!AP555</f>
        <v>-3.3397031594998072</v>
      </c>
      <c r="AF97" s="826">
        <f>INPUT!AQ555</f>
        <v>30.695967248600063</v>
      </c>
      <c r="AG97" s="665">
        <f>INPUT!AR555</f>
        <v>8.1770074305049345</v>
      </c>
      <c r="AH97" s="826">
        <f>INPUT!AS555</f>
        <v>30.346992449308559</v>
      </c>
      <c r="AI97" s="665">
        <f>INPUT!AT555</f>
        <v>5.1265625225104028</v>
      </c>
      <c r="AJ97" s="826">
        <f>INPUT!AU555</f>
        <v>26.827250353458659</v>
      </c>
      <c r="AK97" s="665">
        <f>INPUT!AV555</f>
        <v>0.45314854572853225</v>
      </c>
      <c r="AL97" s="826">
        <f>INPUT!AW555</f>
        <v>25.222528554549033</v>
      </c>
      <c r="AM97" s="665">
        <f>INPUT!AX555</f>
        <v>-10.992322976108005</v>
      </c>
      <c r="AN97" s="826">
        <f>INPUT!AY555</f>
        <v>25.626300778540045</v>
      </c>
      <c r="AO97" s="667">
        <f>INPUT!AZ555</f>
        <v>-16.5157410711377</v>
      </c>
      <c r="AP97" s="826">
        <f>INPUT!BA555</f>
        <v>25.31008576086186</v>
      </c>
      <c r="AQ97" s="667">
        <f>INPUT!BB555</f>
        <v>-16.597712926117204</v>
      </c>
      <c r="AR97" s="826">
        <f>INPUT!BC555</f>
        <v>23.683910842400589</v>
      </c>
      <c r="AS97" s="667">
        <f>INPUT!BD555</f>
        <v>-11.716964913076977</v>
      </c>
      <c r="AT97" s="826">
        <f>INPUT!BE555</f>
        <v>22.589956504547253</v>
      </c>
      <c r="AU97" s="667">
        <f>INPUT!BF555</f>
        <v>-10.43738356488838</v>
      </c>
      <c r="AV97" s="826">
        <f>INPUT!BG555</f>
        <v>23.829238946101885</v>
      </c>
      <c r="AW97" s="667">
        <f>INPUT!BH555</f>
        <v>-7.0125682515326364</v>
      </c>
      <c r="AX97" s="826">
        <f>INPUT!BI555</f>
        <v>24.641627450400058</v>
      </c>
      <c r="AY97" s="667">
        <f>INPUT!BJ555</f>
        <v>-2.6410748536279893</v>
      </c>
      <c r="AZ97" s="826">
        <f>INPUT!BK555</f>
        <v>23.069279103848395</v>
      </c>
      <c r="BA97" s="667">
        <f>INPUT!BL555</f>
        <v>-2.5951446221957442</v>
      </c>
      <c r="BB97" s="826">
        <f>INPUT!BM555</f>
        <v>25.333377672840939</v>
      </c>
      <c r="BC97" s="667">
        <f>INPUT!BN555</f>
        <v>12.144428732040492</v>
      </c>
      <c r="BD97" s="826">
        <f>INPUT!BO555</f>
        <v>26.098206138172415</v>
      </c>
      <c r="BE97" s="667">
        <f>INPUT!BP555</f>
        <v>9.5217778343764436</v>
      </c>
      <c r="BF97" s="826">
        <f>INPUT!BQ555</f>
        <v>25.983888997729711</v>
      </c>
      <c r="BG97" s="667">
        <f>INPUT!BR555</f>
        <v>5.4471302678016142</v>
      </c>
      <c r="BH97" s="826">
        <f>INPUT!BS555</f>
        <v>23.132901634289237</v>
      </c>
      <c r="BI97" s="667">
        <f>INPUT!BT555</f>
        <v>0.27578898393156859</v>
      </c>
      <c r="BJ97" s="826">
        <f>INPUT!BU555</f>
        <v>23.839529898736046</v>
      </c>
      <c r="BK97" s="667">
        <f>INPUT!BV555</f>
        <v>-5.8967572085991353</v>
      </c>
      <c r="BL97" s="826">
        <f>INPUT!BW555</f>
        <v>23.073929608948664</v>
      </c>
      <c r="BM97" s="667">
        <f>INPUT!BX555</f>
        <v>-11.588062846972102</v>
      </c>
      <c r="BN97" s="826">
        <f>INPUT!BY555</f>
        <v>20.694763083259566</v>
      </c>
      <c r="BO97" s="667">
        <f>INPUT!BZ555</f>
        <v>-20.355405285684025</v>
      </c>
      <c r="BP97" s="826">
        <f>INPUT!CA555</f>
        <v>20.351034699465821</v>
      </c>
      <c r="BQ97" s="667">
        <f>INPUT!CB555</f>
        <v>-12.025585803295568</v>
      </c>
      <c r="BR97" s="826">
        <f>INPUT!CC555</f>
        <v>22.971153348179605</v>
      </c>
      <c r="BS97" s="667">
        <f>INPUT!CD555</f>
        <v>-3.6425909162012493</v>
      </c>
      <c r="BT97" s="826">
        <f>INPUT!CE555</f>
        <v>23.670858746694016</v>
      </c>
      <c r="BU97" s="667">
        <f>INPUT!CF555</f>
        <v>2.587028511666456</v>
      </c>
      <c r="BV97" s="826">
        <f>INPUT!CG555</f>
        <v>23.411100726148533</v>
      </c>
      <c r="BW97" s="667">
        <f>INPUT!CH555</f>
        <v>13.125724764089085</v>
      </c>
      <c r="BX97" s="826">
        <f>INPUT!CI555</f>
        <v>23.102731353005737</v>
      </c>
      <c r="BY97" s="667">
        <f>INPUT!CJ555</f>
        <v>13.521163391324498</v>
      </c>
      <c r="BZ97" s="826">
        <f>INPUT!CK555</f>
        <v>21.470788438231533</v>
      </c>
      <c r="CA97" s="667">
        <f>INPUT!CL555</f>
        <v>-6.5315175394402676</v>
      </c>
      <c r="CB97" s="826">
        <f>INPUT!CM555</f>
        <v>23.931321520684548</v>
      </c>
      <c r="CC97" s="667">
        <f>INPUT!CN555</f>
        <v>1.1003520268435985</v>
      </c>
      <c r="CD97" s="826">
        <f>INPUT!CO555</f>
        <v>23.785254409421675</v>
      </c>
      <c r="CE97" s="667">
        <f>INPUT!CP555</f>
        <v>1.5981891994306663</v>
      </c>
      <c r="CF97" s="826">
        <f>INPUT!CQ555</f>
        <v>23.249620179019239</v>
      </c>
      <c r="CG97" s="667">
        <f>INPUT!CR555</f>
        <v>0.63580718560531935</v>
      </c>
      <c r="CH97" s="826">
        <f>INPUT!CS555</f>
        <v>24.282396899116527</v>
      </c>
      <c r="CI97" s="667">
        <f>INPUT!CT555</f>
        <v>13.095040589560082</v>
      </c>
      <c r="CJ97" s="826">
        <f>INPUT!CU555</f>
        <v>24.238212526389869</v>
      </c>
      <c r="CK97" s="667">
        <f>INPUT!CV555</f>
        <v>1.2823821928933832</v>
      </c>
      <c r="CL97" s="688">
        <f>INPUT!CW555</f>
        <v>23.806725606987371</v>
      </c>
      <c r="CM97" s="670">
        <f>INPUT!CX555</f>
        <v>9.027104438785738E-2</v>
      </c>
      <c r="CN97" s="688">
        <f>INPUT!CY555</f>
        <v>23.98272953213722</v>
      </c>
      <c r="CO97" s="670">
        <f>INPUT!CZ555</f>
        <v>3.1532100200912128</v>
      </c>
      <c r="CP97" s="688">
        <f>INPUT!DA555</f>
        <v>23.283368137896858</v>
      </c>
      <c r="CQ97" s="670">
        <f>INPUT!DB555</f>
        <v>-4.1142098342689444</v>
      </c>
      <c r="CR97" s="688">
        <f>INPUT!DC555</f>
        <v>23.213857215225875</v>
      </c>
      <c r="CS97" s="670">
        <f>INPUT!DD555</f>
        <v>-4.2261998901474529</v>
      </c>
      <c r="CT97" s="688">
        <f>INPUT!DE555</f>
        <v>24.813156477242124</v>
      </c>
      <c r="CU97" s="670">
        <f>INPUT!DF555</f>
        <v>4.2275064906841298</v>
      </c>
      <c r="CV97" s="688">
        <f>INPUT!DG555</f>
        <v>23.197653647066645</v>
      </c>
      <c r="CW97" s="670">
        <f>INPUT!DH555</f>
        <v>-3.2735051446857288</v>
      </c>
      <c r="CX97" s="688">
        <f>INPUT!DI555</f>
        <v>23.143443952005192</v>
      </c>
      <c r="CY97" s="670">
        <f>INPUT!DJ555</f>
        <v>-0.6009619616155093</v>
      </c>
      <c r="CZ97" s="688">
        <f>INPUT!DK555</f>
        <v>23.574516169533482</v>
      </c>
      <c r="DA97" s="670">
        <f>INPUT!DL555</f>
        <v>1.5536364808475422</v>
      </c>
      <c r="DB97" s="688">
        <f>INPUT!DM555</f>
        <v>23.056008218789852</v>
      </c>
      <c r="DC97" s="670">
        <f>INPUT!DN555</f>
        <v>-7.0815184680912076</v>
      </c>
      <c r="DD97" s="688">
        <f>INPUT!DO555</f>
        <v>23.257783985941515</v>
      </c>
      <c r="DE97" s="670">
        <f>INPUT!DP555</f>
        <v>0.25920871045712612</v>
      </c>
      <c r="DF97" s="688">
        <f>INPUT!DQ555</f>
        <v>20.53212572465781</v>
      </c>
      <c r="DG97" s="670">
        <f>INPUT!DR555</f>
        <v>-11.283187725918086</v>
      </c>
      <c r="DH97" s="688">
        <f>INPUT!DS555</f>
        <v>22.04025806916038</v>
      </c>
      <c r="DI97" s="670">
        <f>INPUT!DT555</f>
        <v>-6.5081212667935873</v>
      </c>
      <c r="DJ97" s="688">
        <f>INPUT!DU555</f>
        <v>21.495582074840712</v>
      </c>
      <c r="DK97" s="670">
        <f>INPUT!DV555</f>
        <v>-6.7679805157141111</v>
      </c>
      <c r="DL97" s="688">
        <f>INPUT!DW555</f>
        <v>24.94016197252369</v>
      </c>
      <c r="DM97" s="670">
        <f>INPUT!DX555</f>
        <v>7.2336125728879042</v>
      </c>
      <c r="DN97" s="688">
        <f>INPUT!DY555</f>
        <v>24.390598497698083</v>
      </c>
      <c r="DO97" s="670">
        <f>INPUT!DZ555</f>
        <v>18.792368723938235</v>
      </c>
      <c r="DP97" s="688">
        <f>INPUT!EA555</f>
        <v>25.063088055885157</v>
      </c>
      <c r="DQ97" s="670">
        <f>INPUT!EB555</f>
        <v>13.715038985657069</v>
      </c>
      <c r="DR97" s="688">
        <f>INPUT!EC555</f>
        <v>24.690030343440096</v>
      </c>
      <c r="DS97" s="670">
        <f>INPUT!ED555</f>
        <v>14.860952624950286</v>
      </c>
      <c r="DT97" s="688">
        <f>INPUT!EE555</f>
        <v>24.162800162800163</v>
      </c>
      <c r="DU97" s="670">
        <f>INPUT!EF555</f>
        <v>-3.1169076230536774</v>
      </c>
      <c r="DV97" s="688">
        <f>INPUT!EG555</f>
        <v>22.569595253509469</v>
      </c>
      <c r="DW97" s="670">
        <f>INPUT!EH555</f>
        <v>-7.4660047573677835</v>
      </c>
      <c r="DX97" s="688">
        <f>INPUT!EI555</f>
        <v>23.481603426781319</v>
      </c>
      <c r="DY97" s="670">
        <f>INPUT!EJ555</f>
        <v>-6.3100150531230419</v>
      </c>
      <c r="DZ97" s="688">
        <f>INPUT!EK555</f>
        <v>23.27498551396576</v>
      </c>
      <c r="EA97" s="670">
        <f>INPUT!EL555</f>
        <v>-5.731239734382509</v>
      </c>
      <c r="EB97" s="688">
        <f>INPUT!EM555</f>
        <v>23.043561849057458</v>
      </c>
      <c r="EC97" s="670">
        <f>INPUT!EN555</f>
        <v>-4.6320720537424638</v>
      </c>
      <c r="ED97" s="688">
        <f>INPUT!EO555</f>
        <v>22.82719434732795</v>
      </c>
      <c r="EE97" s="670">
        <f>INPUT!EP555</f>
        <v>1.1413545122322288</v>
      </c>
      <c r="EF97" s="688">
        <f>INPUT!EQ555</f>
        <v>22.609040333636013</v>
      </c>
      <c r="EG97" s="670">
        <f>INPUT!ER555</f>
        <v>-3.7159434016764248</v>
      </c>
      <c r="EH97" s="670"/>
      <c r="EI97" s="688">
        <f>INPUT!FB555</f>
        <v>27.94968522943681</v>
      </c>
      <c r="EJ97" s="671" t="str">
        <f>INPUT!FC555</f>
        <v>NA</v>
      </c>
      <c r="EK97" s="688">
        <f>INPUT!FD555</f>
        <v>24.444640727818751</v>
      </c>
      <c r="EL97" s="671">
        <f>INPUT!FE555</f>
        <v>-12.540550896532176</v>
      </c>
      <c r="EM97" s="688">
        <f>INPUT!FF555</f>
        <v>27.72365805168986</v>
      </c>
      <c r="EN97" s="671">
        <f>INPUT!FG555</f>
        <v>13.41405406764471</v>
      </c>
      <c r="EO97" s="688">
        <f>INPUT!FH555</f>
        <v>28.375685349143868</v>
      </c>
      <c r="EP97" s="671">
        <f>INPUT!FI555</f>
        <v>2.3518804633873458</v>
      </c>
      <c r="EQ97" s="688">
        <f>INPUT!FJ555</f>
        <v>30.695967248600063</v>
      </c>
      <c r="ER97" s="670">
        <f>INPUT!FK555</f>
        <v>8.1770074305049345</v>
      </c>
      <c r="ES97" s="688">
        <f>INPUT!FL555</f>
        <v>25.626300778540045</v>
      </c>
      <c r="ET97" s="670">
        <f>INPUT!FM555</f>
        <v>-16.5157410711377</v>
      </c>
      <c r="EU97" s="688">
        <f>INPUT!FN555</f>
        <v>23.829238946101885</v>
      </c>
      <c r="EV97" s="670">
        <f>INPUT!FO555</f>
        <v>-7.0125682515326364</v>
      </c>
      <c r="EW97" s="688">
        <f>INPUT!FP555</f>
        <v>26.098206138172415</v>
      </c>
      <c r="EX97" s="670">
        <f>INPUT!FQ555</f>
        <v>9.5217778343764436</v>
      </c>
      <c r="EY97" s="688">
        <f>INPUT!FR555</f>
        <v>23.073929608948664</v>
      </c>
      <c r="EZ97" s="670">
        <f>INPUT!FS555</f>
        <v>-11.588062846972102</v>
      </c>
      <c r="FA97" s="688">
        <f>INPUT!FT555</f>
        <v>23.670858746694016</v>
      </c>
      <c r="FB97" s="670">
        <f>INPUT!FU555</f>
        <v>2.587028511666456</v>
      </c>
      <c r="FC97" s="688">
        <f>INPUT!FV555</f>
        <v>23.931321520684548</v>
      </c>
      <c r="FD97" s="670">
        <f>INPUT!FW555</f>
        <v>1.1003520268435985</v>
      </c>
      <c r="FE97" s="688">
        <f>INPUT!FX555</f>
        <v>24.238212526389869</v>
      </c>
      <c r="FF97" s="670">
        <f>INPUT!FY555</f>
        <v>1.2823821928933832</v>
      </c>
      <c r="FG97" s="688">
        <f>INPUT!FZ555</f>
        <v>23.213857215225875</v>
      </c>
      <c r="FH97" s="670">
        <f>INPUT!GA555</f>
        <v>-4.2261998901474529</v>
      </c>
      <c r="FI97" s="688">
        <f>INPUT!GB555</f>
        <v>23.574516169533482</v>
      </c>
      <c r="FJ97" s="670">
        <f>INPUT!GC555</f>
        <v>1.5536364808475422</v>
      </c>
      <c r="FK97" s="688">
        <f>INPUT!GD555</f>
        <v>22.04025806916038</v>
      </c>
      <c r="FL97" s="670">
        <f>INPUT!GE555</f>
        <v>-6.5081212667935873</v>
      </c>
      <c r="FM97" s="688">
        <f>INPUT!GF555</f>
        <v>25.063088055885157</v>
      </c>
      <c r="FN97" s="670">
        <f>INPUT!GG555</f>
        <v>13.715038985657069</v>
      </c>
      <c r="FO97" s="688">
        <f>INPUT!GH555</f>
        <v>23.481603426781319</v>
      </c>
      <c r="FP97" s="670">
        <f>INPUT!GI555</f>
        <v>-6.3100150531230419</v>
      </c>
      <c r="FQ97" s="688">
        <f>INPUT!GJ555</f>
        <v>22.609040333636013</v>
      </c>
      <c r="FR97" s="670">
        <f>INPUT!GK555</f>
        <v>-3.7159434016764248</v>
      </c>
      <c r="FS97" s="688">
        <f>INPUT!GL555</f>
        <v>21.773244948336206</v>
      </c>
      <c r="FT97" s="670">
        <f>INPUT!GM555</f>
        <v>-3.696730922525604</v>
      </c>
      <c r="FU97" s="688">
        <f>INPUT!GN555</f>
        <v>21.007698138341564</v>
      </c>
      <c r="FV97" s="670">
        <f>INPUT!GO555</f>
        <v>-3.5159977844879786</v>
      </c>
      <c r="FW97" s="688">
        <f>INPUT!GP555</f>
        <v>20.264735601568276</v>
      </c>
      <c r="FX97" s="670">
        <f>INPUT!GQ555</f>
        <v>-3.5366203944890651</v>
      </c>
      <c r="FY97" s="688">
        <f>INPUT!GR555</f>
        <v>19.5848010189018</v>
      </c>
      <c r="FZ97" s="670">
        <f>INPUT!GS555</f>
        <v>-3.3552600736318383</v>
      </c>
      <c r="GA97" s="988">
        <f>INPUT!GT555</f>
        <v>-3.5642010490693377</v>
      </c>
    </row>
    <row r="98" spans="1:183" s="707" customFormat="1" ht="12.75" customHeight="1" x14ac:dyDescent="0.2">
      <c r="A98" s="993" t="str">
        <f>INPUT!B556</f>
        <v>LTD + Pref Eq to Common Eq (%)</v>
      </c>
      <c r="B98" s="826">
        <f>INPUT!M556</f>
        <v>77.999965131888644</v>
      </c>
      <c r="C98" s="824">
        <f>INPUT!N556</f>
        <v>7.4116052289911138</v>
      </c>
      <c r="D98" s="826">
        <f>INPUT!O556</f>
        <v>74.977183833116044</v>
      </c>
      <c r="E98" s="665">
        <f>INPUT!P556</f>
        <v>-1.4974061655284809</v>
      </c>
      <c r="F98" s="826">
        <f>INPUT!Q556</f>
        <v>68.969446193517442</v>
      </c>
      <c r="G98" s="665">
        <f>INPUT!R556</f>
        <v>-7.7642136989026671</v>
      </c>
      <c r="H98" s="826">
        <f>INPUT!S556</f>
        <v>64.04898293196166</v>
      </c>
      <c r="I98" s="665">
        <f>INPUT!T556</f>
        <v>-14.893169496318038</v>
      </c>
      <c r="J98" s="826">
        <f>INPUT!U556</f>
        <v>70.817227628985677</v>
      </c>
      <c r="K98" s="665">
        <f>INPUT!V556</f>
        <v>-9.2086419407467872</v>
      </c>
      <c r="L98" s="826">
        <f>INPUT!W556</f>
        <v>72.51765010687221</v>
      </c>
      <c r="M98" s="665">
        <f>INPUT!X556</f>
        <v>-3.2803762431491856</v>
      </c>
      <c r="N98" s="826">
        <f>INPUT!Y556</f>
        <v>71.309376711718016</v>
      </c>
      <c r="O98" s="665">
        <f>INPUT!Z556</f>
        <v>3.3927059695899153</v>
      </c>
      <c r="P98" s="826">
        <f>INPUT!AA556</f>
        <v>76.715719983496072</v>
      </c>
      <c r="Q98" s="665">
        <f>INPUT!AB556</f>
        <v>19.776640426890314</v>
      </c>
      <c r="R98" s="826">
        <f>INPUT!AC556</f>
        <v>78.185666428381197</v>
      </c>
      <c r="S98" s="665">
        <f>INPUT!AD556</f>
        <v>10.40486763757411</v>
      </c>
      <c r="T98" s="826">
        <f>INPUT!AE556</f>
        <v>99.222664782217663</v>
      </c>
      <c r="U98" s="665">
        <f>INPUT!AF556</f>
        <v>36.825537832498952</v>
      </c>
      <c r="V98" s="826">
        <f>INPUT!AG556</f>
        <v>86.241377311460212</v>
      </c>
      <c r="W98" s="665">
        <f>INPUT!AH556</f>
        <v>20.939743534861766</v>
      </c>
      <c r="X98" s="826">
        <f>INPUT!AI556</f>
        <v>82.377043507149665</v>
      </c>
      <c r="Y98" s="665">
        <f>INPUT!AJ556</f>
        <v>7.3796133632996197</v>
      </c>
      <c r="Z98" s="826">
        <f>INPUT!AK556</f>
        <v>84.028132267029662</v>
      </c>
      <c r="AA98" s="665">
        <f>INPUT!AL556</f>
        <v>7.472553609298993</v>
      </c>
      <c r="AB98" s="826">
        <f>INPUT!AM556</f>
        <v>75.420772540931424</v>
      </c>
      <c r="AC98" s="665">
        <f>INPUT!AN556</f>
        <v>-23.988362229061934</v>
      </c>
      <c r="AD98" s="826">
        <f>INPUT!AO556</f>
        <v>79.085897453610954</v>
      </c>
      <c r="AE98" s="665">
        <f>INPUT!AP556</f>
        <v>-8.2970380122841529</v>
      </c>
      <c r="AF98" s="826">
        <f>INPUT!AQ556</f>
        <v>88.58349515881531</v>
      </c>
      <c r="AG98" s="665">
        <f>INPUT!AR556</f>
        <v>7.5342005338258744</v>
      </c>
      <c r="AH98" s="826">
        <f>INPUT!AS556</f>
        <v>87.137637028014609</v>
      </c>
      <c r="AI98" s="665">
        <f>INPUT!AT556</f>
        <v>3.7005520378620149</v>
      </c>
      <c r="AJ98" s="826">
        <f>INPUT!AU556</f>
        <v>73.325795417137783</v>
      </c>
      <c r="AK98" s="665">
        <f>INPUT!AV556</f>
        <v>-2.7777189933405722</v>
      </c>
      <c r="AL98" s="826">
        <f>INPUT!AW556</f>
        <v>67.460233856525861</v>
      </c>
      <c r="AM98" s="665">
        <f>INPUT!AX556</f>
        <v>-14.700046369081543</v>
      </c>
      <c r="AN98" s="826">
        <f>INPUT!AY556</f>
        <v>68.912266155360939</v>
      </c>
      <c r="AO98" s="667">
        <f>INPUT!AZ556</f>
        <v>-22.206426793374057</v>
      </c>
      <c r="AP98" s="826">
        <f>INPUT!BA556</f>
        <v>67.773771114063379</v>
      </c>
      <c r="AQ98" s="667">
        <f>INPUT!BB556</f>
        <v>-22.222160910475207</v>
      </c>
      <c r="AR98" s="826">
        <f>INPUT!BC556</f>
        <v>62.067936404579726</v>
      </c>
      <c r="AS98" s="667">
        <f>INPUT!BD556</f>
        <v>-15.353204078474757</v>
      </c>
      <c r="AT98" s="826">
        <f>INPUT!BE556</f>
        <v>60.599172498339883</v>
      </c>
      <c r="AU98" s="667">
        <f>INPUT!BF556</f>
        <v>-10.170527088266624</v>
      </c>
      <c r="AV98" s="826">
        <f>INPUT!BG556</f>
        <v>64.744586375452428</v>
      </c>
      <c r="AW98" s="667">
        <f>INPUT!BH556</f>
        <v>-6.0478054378774626</v>
      </c>
      <c r="AX98" s="826">
        <f>INPUT!BI556</f>
        <v>67.689568496020101</v>
      </c>
      <c r="AY98" s="667">
        <f>INPUT!BJ556</f>
        <v>-0.12424071533745362</v>
      </c>
      <c r="AZ98" s="826">
        <f>INPUT!BK556</f>
        <v>63.105567370797075</v>
      </c>
      <c r="BA98" s="667">
        <f>INPUT!BL556</f>
        <v>1.6717664970424151</v>
      </c>
      <c r="BB98" s="826">
        <f>INPUT!BM556</f>
        <v>71.939904095963414</v>
      </c>
      <c r="BC98" s="667">
        <f>INPUT!BN556</f>
        <v>18.714334090839625</v>
      </c>
      <c r="BD98" s="826">
        <f>INPUT!BO556</f>
        <v>73.606964785320201</v>
      </c>
      <c r="BE98" s="667">
        <f>INPUT!BP556</f>
        <v>13.688215348963762</v>
      </c>
      <c r="BF98" s="826">
        <f>INPUT!BQ556</f>
        <v>73.432877650795618</v>
      </c>
      <c r="BG98" s="667">
        <f>INPUT!BR556</f>
        <v>8.4847773185512398</v>
      </c>
      <c r="BH98" s="826">
        <f>INPUT!BS556</f>
        <v>60.791078305519896</v>
      </c>
      <c r="BI98" s="667">
        <f>INPUT!BT556</f>
        <v>-3.6676463927146963</v>
      </c>
      <c r="BJ98" s="826">
        <f>INPUT!BU556</f>
        <v>62.603421084556587</v>
      </c>
      <c r="BK98" s="667">
        <f>INPUT!BV556</f>
        <v>-12.978169944392103</v>
      </c>
      <c r="BL98" s="826">
        <f>INPUT!BW556</f>
        <v>59.989882471970922</v>
      </c>
      <c r="BM98" s="667">
        <f>INPUT!BX556</f>
        <v>-18.499719901594148</v>
      </c>
      <c r="BN98" s="826">
        <f>INPUT!BY556</f>
        <v>54.753878043780325</v>
      </c>
      <c r="BO98" s="667">
        <f>INPUT!BZ556</f>
        <v>-25.436834568627198</v>
      </c>
      <c r="BP98" s="826">
        <f>INPUT!CA556</f>
        <v>53.639099608868655</v>
      </c>
      <c r="BQ98" s="667">
        <f>INPUT!CB556</f>
        <v>-11.76484921143739</v>
      </c>
      <c r="BR98" s="826">
        <f>INPUT!CC556</f>
        <v>62.165372418507189</v>
      </c>
      <c r="BS98" s="667">
        <f>INPUT!CD556</f>
        <v>-0.69972001283722385</v>
      </c>
      <c r="BT98" s="826">
        <f>INPUT!CE556</f>
        <v>64.676071609565241</v>
      </c>
      <c r="BU98" s="667">
        <f>INPUT!CF556</f>
        <v>7.8116324694982531</v>
      </c>
      <c r="BV98" s="826">
        <f>INPUT!CG556</f>
        <v>61.134448851235589</v>
      </c>
      <c r="BW98" s="667">
        <f>INPUT!CH556</f>
        <v>11.653185190560311</v>
      </c>
      <c r="BX98" s="826">
        <f>INPUT!CI556</f>
        <v>61.71644735315278</v>
      </c>
      <c r="BY98" s="667">
        <f>INPUT!CJ556</f>
        <v>15.058693757321429</v>
      </c>
      <c r="BZ98" s="826">
        <f>INPUT!CK556</f>
        <v>58.301709284257029</v>
      </c>
      <c r="CA98" s="667">
        <f>INPUT!CL556</f>
        <v>-6.215137115626634</v>
      </c>
      <c r="CB98" s="826">
        <f>INPUT!CM556</f>
        <v>66.74296485795071</v>
      </c>
      <c r="CC98" s="667">
        <f>INPUT!CN556</f>
        <v>3.1957618899039364</v>
      </c>
      <c r="CD98" s="826">
        <f>INPUT!CO556</f>
        <v>66.96658883360432</v>
      </c>
      <c r="CE98" s="667">
        <f>INPUT!CP556</f>
        <v>9.5398586099314286</v>
      </c>
      <c r="CF98" s="826">
        <f>INPUT!CQ556</f>
        <v>66.155093669135113</v>
      </c>
      <c r="CG98" s="667">
        <f>INPUT!CR556</f>
        <v>7.1919990640154419</v>
      </c>
      <c r="CH98" s="826">
        <f>INPUT!CS556</f>
        <v>69.423402857044039</v>
      </c>
      <c r="CI98" s="667">
        <f>INPUT!CT556</f>
        <v>19.076102072002477</v>
      </c>
      <c r="CJ98" s="826">
        <f>INPUT!CU556</f>
        <v>69.277570071755335</v>
      </c>
      <c r="CK98" s="667">
        <f>INPUT!CV556</f>
        <v>3.7975616144698243</v>
      </c>
      <c r="CL98" s="688">
        <f>INPUT!CW556</f>
        <v>65.25158335086121</v>
      </c>
      <c r="CM98" s="670">
        <f>INPUT!CX556</f>
        <v>-2.5609867735752245</v>
      </c>
      <c r="CN98" s="688">
        <f>INPUT!CY556</f>
        <v>64.930911867885357</v>
      </c>
      <c r="CO98" s="670">
        <f>INPUT!CZ556</f>
        <v>-1.8504724781621795</v>
      </c>
      <c r="CP98" s="688">
        <f>INPUT!DA556</f>
        <v>62.320211305782081</v>
      </c>
      <c r="CQ98" s="670">
        <f>INPUT!DB556</f>
        <v>-10.231696026034298</v>
      </c>
      <c r="CR98" s="688">
        <f>INPUT!DC556</f>
        <v>60.463662773874702</v>
      </c>
      <c r="CS98" s="670">
        <f>INPUT!DD556</f>
        <v>-12.722598798935191</v>
      </c>
      <c r="CT98" s="688">
        <f>INPUT!DE556</f>
        <v>66.693532137819872</v>
      </c>
      <c r="CU98" s="670">
        <f>INPUT!DF556</f>
        <v>2.2098295748705921</v>
      </c>
      <c r="CV98" s="688">
        <f>INPUT!DG556</f>
        <v>61.029674264634281</v>
      </c>
      <c r="CW98" s="670">
        <f>INPUT!DH556</f>
        <v>-6.0082901826312041</v>
      </c>
      <c r="CX98" s="688">
        <f>INPUT!DI556</f>
        <v>60.984528832630104</v>
      </c>
      <c r="CY98" s="670">
        <f>INPUT!DJ556</f>
        <v>-2.1432572919213633</v>
      </c>
      <c r="CZ98" s="688">
        <f>INPUT!DK556</f>
        <v>63.475281333974834</v>
      </c>
      <c r="DA98" s="670">
        <f>INPUT!DL556</f>
        <v>4.9808735063953113</v>
      </c>
      <c r="DB98" s="688">
        <f>INPUT!DM556</f>
        <v>61.677735701377777</v>
      </c>
      <c r="DC98" s="670">
        <f>INPUT!DN556</f>
        <v>-7.5206639619523008</v>
      </c>
      <c r="DD98" s="688">
        <f>INPUT!DO556</f>
        <v>62.396514672898284</v>
      </c>
      <c r="DE98" s="670">
        <f>INPUT!DP556</f>
        <v>2.239632481630438</v>
      </c>
      <c r="DF98" s="688">
        <f>INPUT!DQ556</f>
        <v>57.571873069886138</v>
      </c>
      <c r="DG98" s="670">
        <f>INPUT!DR556</f>
        <v>-5.5959369172300715</v>
      </c>
      <c r="DH98" s="688">
        <f>INPUT!DS556</f>
        <v>60.610117845312175</v>
      </c>
      <c r="DI98" s="670">
        <f>INPUT!DT556</f>
        <v>-4.5138255844627384</v>
      </c>
      <c r="DJ98" s="688">
        <f>INPUT!DU556</f>
        <v>58.702061589856847</v>
      </c>
      <c r="DK98" s="670">
        <f>INPUT!DV556</f>
        <v>-4.8245514814747921</v>
      </c>
      <c r="DL98" s="688">
        <f>INPUT!DW556</f>
        <v>70.283935786829744</v>
      </c>
      <c r="DM98" s="670">
        <f>INPUT!DX556</f>
        <v>12.640803986055538</v>
      </c>
      <c r="DN98" s="688">
        <f>INPUT!DY556</f>
        <v>64.517369568004085</v>
      </c>
      <c r="DO98" s="670">
        <f>INPUT!DZ556</f>
        <v>12.064044693642062</v>
      </c>
      <c r="DP98" s="688">
        <f>INPUT!EA556</f>
        <v>66.891168599464763</v>
      </c>
      <c r="DQ98" s="670">
        <f>INPUT!EB556</f>
        <v>10.363039996363232</v>
      </c>
      <c r="DR98" s="688">
        <f>INPUT!EC556</f>
        <v>65.569088544412807</v>
      </c>
      <c r="DS98" s="670">
        <f>INPUT!ED556</f>
        <v>11.69810185293818</v>
      </c>
      <c r="DT98" s="688">
        <f>INPUT!EE556</f>
        <v>63.722817336796687</v>
      </c>
      <c r="DU98" s="670">
        <f>INPUT!EF556</f>
        <v>-9.3351608395022758</v>
      </c>
      <c r="DV98" s="688">
        <f>INPUT!EG556</f>
        <v>58.296467201490174</v>
      </c>
      <c r="DW98" s="670">
        <f>INPUT!EH556</f>
        <v>-9.6422132646880705</v>
      </c>
      <c r="DX98" s="688">
        <f>INPUT!EI556</f>
        <v>61.375053525363199</v>
      </c>
      <c r="DY98" s="670">
        <f>INPUT!EJ556</f>
        <v>-8.2464026112793913</v>
      </c>
      <c r="DZ98" s="688">
        <f>INPUT!EK556</f>
        <v>60.671179197241756</v>
      </c>
      <c r="EA98" s="670">
        <f>INPUT!EL556</f>
        <v>-7.4698450991178333</v>
      </c>
      <c r="EB98" s="688">
        <f>INPUT!EM556</f>
        <v>59.887287932582737</v>
      </c>
      <c r="EC98" s="670">
        <f>INPUT!EN556</f>
        <v>-6.0190832177771991</v>
      </c>
      <c r="ED98" s="688">
        <f>INPUT!EO556</f>
        <v>59.158648319889281</v>
      </c>
      <c r="EE98" s="670">
        <f>INPUT!EP556</f>
        <v>1.4789594632195202</v>
      </c>
      <c r="EF98" s="688">
        <f>INPUT!EQ556</f>
        <v>58.42811726616295</v>
      </c>
      <c r="EG98" s="670">
        <f>INPUT!ER556</f>
        <v>-4.8015212858143252</v>
      </c>
      <c r="EH98" s="670"/>
      <c r="EI98" s="688">
        <f>INPUT!FB556</f>
        <v>75.257159211434526</v>
      </c>
      <c r="EJ98" s="671" t="str">
        <f>INPUT!FC556</f>
        <v>NA</v>
      </c>
      <c r="EK98" s="688">
        <f>INPUT!FD556</f>
        <v>64.04898293196166</v>
      </c>
      <c r="EL98" s="671">
        <f>INPUT!FE556</f>
        <v>-14.893169496318038</v>
      </c>
      <c r="EM98" s="688">
        <f>INPUT!FF556</f>
        <v>76.715719983496072</v>
      </c>
      <c r="EN98" s="671">
        <f>INPUT!FG556</f>
        <v>19.776640426890314</v>
      </c>
      <c r="EO98" s="688">
        <f>INPUT!FH556</f>
        <v>82.377043507149665</v>
      </c>
      <c r="EP98" s="671">
        <f>INPUT!FI556</f>
        <v>7.3796133632996197</v>
      </c>
      <c r="EQ98" s="688">
        <f>INPUT!FJ556</f>
        <v>88.58349515881531</v>
      </c>
      <c r="ER98" s="670">
        <f>INPUT!FK556</f>
        <v>7.5342005338258744</v>
      </c>
      <c r="ES98" s="688">
        <f>INPUT!FL556</f>
        <v>68.912266155360939</v>
      </c>
      <c r="ET98" s="670">
        <f>INPUT!FM556</f>
        <v>-22.206426793374057</v>
      </c>
      <c r="EU98" s="688">
        <f>INPUT!FN556</f>
        <v>64.744586375452428</v>
      </c>
      <c r="EV98" s="670">
        <f>INPUT!FO556</f>
        <v>-6.0478054378774626</v>
      </c>
      <c r="EW98" s="688">
        <f>INPUT!FP556</f>
        <v>73.606964785320201</v>
      </c>
      <c r="EX98" s="670">
        <f>INPUT!FQ556</f>
        <v>13.688215348963762</v>
      </c>
      <c r="EY98" s="688">
        <f>INPUT!FR556</f>
        <v>59.989882471970922</v>
      </c>
      <c r="EZ98" s="670">
        <f>INPUT!FS556</f>
        <v>-18.499719901594148</v>
      </c>
      <c r="FA98" s="688">
        <f>INPUT!FT556</f>
        <v>64.676071609565241</v>
      </c>
      <c r="FB98" s="670">
        <f>INPUT!FU556</f>
        <v>7.8116324694982531</v>
      </c>
      <c r="FC98" s="688">
        <f>INPUT!FV556</f>
        <v>66.74296485795071</v>
      </c>
      <c r="FD98" s="670">
        <f>INPUT!FW556</f>
        <v>3.1957618899039364</v>
      </c>
      <c r="FE98" s="688">
        <f>INPUT!FX556</f>
        <v>69.277570071755335</v>
      </c>
      <c r="FF98" s="670">
        <f>INPUT!FY556</f>
        <v>3.7975616144698243</v>
      </c>
      <c r="FG98" s="688">
        <f>INPUT!FZ556</f>
        <v>60.463662773874702</v>
      </c>
      <c r="FH98" s="670">
        <f>INPUT!GA556</f>
        <v>-12.722598798935191</v>
      </c>
      <c r="FI98" s="688">
        <f>INPUT!GB556</f>
        <v>63.475281333974834</v>
      </c>
      <c r="FJ98" s="670">
        <f>INPUT!GC556</f>
        <v>4.9808735063953113</v>
      </c>
      <c r="FK98" s="688">
        <f>INPUT!GD556</f>
        <v>60.610117845312175</v>
      </c>
      <c r="FL98" s="670">
        <f>INPUT!GE556</f>
        <v>-4.5138255844627384</v>
      </c>
      <c r="FM98" s="688">
        <f>INPUT!GF556</f>
        <v>66.891168599464763</v>
      </c>
      <c r="FN98" s="670">
        <f>INPUT!GG556</f>
        <v>10.363039996363232</v>
      </c>
      <c r="FO98" s="688">
        <f>INPUT!GH556</f>
        <v>61.375053525363199</v>
      </c>
      <c r="FP98" s="670">
        <f>INPUT!GI556</f>
        <v>-8.2464026112793913</v>
      </c>
      <c r="FQ98" s="688">
        <f>INPUT!GJ556</f>
        <v>58.42811726616295</v>
      </c>
      <c r="FR98" s="670">
        <f>INPUT!GK556</f>
        <v>-4.8015212858143252</v>
      </c>
      <c r="FS98" s="688">
        <f>INPUT!GL556</f>
        <v>55.667002763840486</v>
      </c>
      <c r="FT98" s="670">
        <f>INPUT!GM556</f>
        <v>-4.7256605749326219</v>
      </c>
      <c r="FU98" s="688">
        <f>INPUT!GN556</f>
        <v>53.189228933049627</v>
      </c>
      <c r="FV98" s="670">
        <f>INPUT!GO556</f>
        <v>-4.4510638399241076</v>
      </c>
      <c r="FW98" s="688">
        <f>INPUT!GP556</f>
        <v>50.830045537459469</v>
      </c>
      <c r="FX98" s="670">
        <f>INPUT!GQ556</f>
        <v>-4.435453272991996</v>
      </c>
      <c r="FY98" s="688">
        <f>INPUT!GR556</f>
        <v>48.709202407135137</v>
      </c>
      <c r="FZ98" s="670">
        <f>INPUT!GS556</f>
        <v>-4.1724202839074076</v>
      </c>
      <c r="GA98" s="988">
        <f>INPUT!GT556</f>
        <v>-4.5174900319437494</v>
      </c>
    </row>
    <row r="99" spans="1:183" s="707" customFormat="1" ht="12.75" customHeight="1" x14ac:dyDescent="0.2">
      <c r="A99" s="993" t="str">
        <f>INPUT!B557</f>
        <v>Equity to Assets (Excl SAA)(%)</v>
      </c>
      <c r="B99" s="826">
        <f>INPUT!M557</f>
        <v>13.560720508583168</v>
      </c>
      <c r="C99" s="824">
        <f>INPUT!N557</f>
        <v>-4.4794882689784821</v>
      </c>
      <c r="D99" s="826">
        <f>INPUT!O557</f>
        <v>14.175156513502898</v>
      </c>
      <c r="E99" s="665">
        <f>INPUT!P557</f>
        <v>0.51270753702921112</v>
      </c>
      <c r="F99" s="826">
        <f>INPUT!Q557</f>
        <v>15.010295358649792</v>
      </c>
      <c r="G99" s="665">
        <f>INPUT!R557</f>
        <v>5.0222507259789939</v>
      </c>
      <c r="H99" s="826">
        <f>INPUT!S557</f>
        <v>15.138583788495191</v>
      </c>
      <c r="I99" s="665">
        <f>INPUT!T557</f>
        <v>7.9508786742868764</v>
      </c>
      <c r="J99" s="826">
        <f>INPUT!U557</f>
        <v>14.145607714567904</v>
      </c>
      <c r="K99" s="665">
        <f>INPUT!V557</f>
        <v>4.3130983019267655</v>
      </c>
      <c r="L99" s="826">
        <f>INPUT!W557</f>
        <v>15.656849402587605</v>
      </c>
      <c r="M99" s="665">
        <f>INPUT!X557</f>
        <v>10.452744473567432</v>
      </c>
      <c r="N99" s="826">
        <f>INPUT!Y557</f>
        <v>15.93067074692712</v>
      </c>
      <c r="O99" s="665">
        <f>INPUT!Z557</f>
        <v>6.1316274349455524</v>
      </c>
      <c r="P99" s="826">
        <f>INPUT!AA557</f>
        <v>14.6435382945343</v>
      </c>
      <c r="Q99" s="665">
        <f>INPUT!AB557</f>
        <v>-3.2700911847322822</v>
      </c>
      <c r="R99" s="826">
        <f>INPUT!AC557</f>
        <v>14.151903404526278</v>
      </c>
      <c r="S99" s="665">
        <f>INPUT!AD557</f>
        <v>4.4506323697146577E-2</v>
      </c>
      <c r="T99" s="826">
        <f>INPUT!AE557</f>
        <v>12.853919409079742</v>
      </c>
      <c r="U99" s="665">
        <f>INPUT!AF557</f>
        <v>-17.90226067477294</v>
      </c>
      <c r="V99" s="826">
        <f>INPUT!AG557</f>
        <v>13.888491938097147</v>
      </c>
      <c r="W99" s="665">
        <f>INPUT!AH557</f>
        <v>-12.819163996744399</v>
      </c>
      <c r="X99" s="826">
        <f>INPUT!AI557</f>
        <v>14.229380585358356</v>
      </c>
      <c r="Y99" s="665">
        <f>INPUT!AJ557</f>
        <v>-2.8282625472460299</v>
      </c>
      <c r="Z99" s="826">
        <f>INPUT!AK557</f>
        <v>13.889129595638918</v>
      </c>
      <c r="AA99" s="665">
        <f>INPUT!AL557</f>
        <v>-1.8568089491291739</v>
      </c>
      <c r="AB99" s="826">
        <f>INPUT!AM557</f>
        <v>14.998052349782705</v>
      </c>
      <c r="AC99" s="665">
        <f>INPUT!AN557</f>
        <v>16.68077161887598</v>
      </c>
      <c r="AD99" s="826">
        <f>INPUT!AO557</f>
        <v>14.167816699454832</v>
      </c>
      <c r="AE99" s="665">
        <f>INPUT!AP557</f>
        <v>2.0111957626693489</v>
      </c>
      <c r="AF99" s="826">
        <f>INPUT!AQ557</f>
        <v>14.213937723422815</v>
      </c>
      <c r="AG99" s="665">
        <f>INPUT!AR557</f>
        <v>-0.10852799841077898</v>
      </c>
      <c r="AH99" s="826">
        <f>INPUT!AS557</f>
        <v>13.028669818038994</v>
      </c>
      <c r="AI99" s="665">
        <f>INPUT!AT557</f>
        <v>-6.1952030303619736</v>
      </c>
      <c r="AJ99" s="826">
        <f>INPUT!AU557</f>
        <v>13.877572909445901</v>
      </c>
      <c r="AK99" s="665">
        <f>INPUT!AV557</f>
        <v>-7.4708329735429846</v>
      </c>
      <c r="AL99" s="826">
        <f>INPUT!AW557</f>
        <v>14.572248179524324</v>
      </c>
      <c r="AM99" s="665">
        <f>INPUT!AX557</f>
        <v>2.8545787163173353</v>
      </c>
      <c r="AN99" s="826">
        <f>INPUT!AY557</f>
        <v>14.628276001917889</v>
      </c>
      <c r="AO99" s="667">
        <f>INPUT!AZ557</f>
        <v>2.9150140274802006</v>
      </c>
      <c r="AP99" s="826">
        <f>INPUT!BA557</f>
        <v>14.108983799705449</v>
      </c>
      <c r="AQ99" s="667">
        <f>INPUT!BB557</f>
        <v>8.2918210128458014</v>
      </c>
      <c r="AR99" s="826">
        <f>INPUT!BC557</f>
        <v>14.168688037457189</v>
      </c>
      <c r="AS99" s="667">
        <f>INPUT!BD557</f>
        <v>2.0977380548520719</v>
      </c>
      <c r="AT99" s="826">
        <f>INPUT!BE557</f>
        <v>14.909561707474966</v>
      </c>
      <c r="AU99" s="667">
        <f>INPUT!BF557</f>
        <v>2.3147665603486356</v>
      </c>
      <c r="AV99" s="826">
        <f>INPUT!BG557</f>
        <v>15.345575590306208</v>
      </c>
      <c r="AW99" s="667">
        <f>INPUT!BH557</f>
        <v>4.9035141823566608</v>
      </c>
      <c r="AX99" s="826">
        <f>INPUT!BI557</f>
        <v>14.68025322975565</v>
      </c>
      <c r="AY99" s="667">
        <f>INPUT!BJ557</f>
        <v>4.0489764405436945</v>
      </c>
      <c r="AZ99" s="826">
        <f>INPUT!BK557</f>
        <v>14.815108344770264</v>
      </c>
      <c r="BA99" s="667">
        <f>INPUT!BL557</f>
        <v>4.5623159011205505</v>
      </c>
      <c r="BB99" s="826">
        <f>INPUT!BM557</f>
        <v>13.496363381354062</v>
      </c>
      <c r="BC99" s="667">
        <f>INPUT!BN557</f>
        <v>-9.4784699500079288</v>
      </c>
      <c r="BD99" s="826">
        <f>INPUT!BO557</f>
        <v>12.952158456891594</v>
      </c>
      <c r="BE99" s="667">
        <f>INPUT!BP557</f>
        <v>-15.59678957188504</v>
      </c>
      <c r="BF99" s="826">
        <f>INPUT!BQ557</f>
        <v>13.064234963396304</v>
      </c>
      <c r="BG99" s="667">
        <f>INPUT!BR557</f>
        <v>-11.008108927465987</v>
      </c>
      <c r="BH99" s="826">
        <f>INPUT!BS557</f>
        <v>14.571926283013056</v>
      </c>
      <c r="BI99" s="667">
        <f>INPUT!BT557</f>
        <v>-1.6414463944372848</v>
      </c>
      <c r="BJ99" s="826">
        <f>INPUT!BU557</f>
        <v>15.13776968112067</v>
      </c>
      <c r="BK99" s="667">
        <f>INPUT!BV557</f>
        <v>12.161841330045231</v>
      </c>
      <c r="BL99" s="826">
        <f>INPUT!BW557</f>
        <v>15.603098555353636</v>
      </c>
      <c r="BM99" s="667">
        <f>INPUT!BX557</f>
        <v>20.467168520869429</v>
      </c>
      <c r="BN99" s="826">
        <f>INPUT!BY557</f>
        <v>15.964812754103846</v>
      </c>
      <c r="BO99" s="667">
        <f>INPUT!BZ557</f>
        <v>22.202431285371492</v>
      </c>
      <c r="BP99" s="826">
        <f>INPUT!CA557</f>
        <v>15.621335324217059</v>
      </c>
      <c r="BQ99" s="667">
        <f>INPUT!CB557</f>
        <v>7.2015807712898727</v>
      </c>
      <c r="BR99" s="826">
        <f>INPUT!CC557</f>
        <v>15.111582990007571</v>
      </c>
      <c r="BS99" s="667">
        <f>INPUT!CD557</f>
        <v>-0.17298909723642009</v>
      </c>
      <c r="BT99" s="826">
        <f>INPUT!CE557</f>
        <v>14.990274315536183</v>
      </c>
      <c r="BU99" s="667">
        <f>INPUT!CF557</f>
        <v>-3.9275803946465793</v>
      </c>
      <c r="BV99" s="826">
        <f>INPUT!CG557</f>
        <v>14.920653818141073</v>
      </c>
      <c r="BW99" s="667">
        <f>INPUT!CH557</f>
        <v>-6.5403769655511095</v>
      </c>
      <c r="BX99" s="826">
        <f>INPUT!CI557</f>
        <v>14.854229365103988</v>
      </c>
      <c r="BY99" s="667">
        <f>INPUT!CJ557</f>
        <v>-4.9106298737718106</v>
      </c>
      <c r="BZ99" s="826">
        <f>INPUT!CK557</f>
        <v>15.75609292998606</v>
      </c>
      <c r="CA99" s="667">
        <f>INPUT!CL557</f>
        <v>4.265006124141113</v>
      </c>
      <c r="CB99" s="826">
        <f>INPUT!CM557</f>
        <v>13.717861748428351</v>
      </c>
      <c r="CC99" s="667">
        <f>INPUT!CN557</f>
        <v>-8.4882540527566057</v>
      </c>
      <c r="CD99" s="826">
        <f>INPUT!CO557</f>
        <v>13.731161388442182</v>
      </c>
      <c r="CE99" s="667">
        <f>INPUT!CP557</f>
        <v>-7.972120016970452</v>
      </c>
      <c r="CF99" s="826">
        <f>INPUT!CQ557</f>
        <v>13.820170834246614</v>
      </c>
      <c r="CG99" s="667">
        <f>INPUT!CR557</f>
        <v>-6.9613744708063807</v>
      </c>
      <c r="CH99" s="826">
        <f>INPUT!CS557</f>
        <v>13.962259898647126</v>
      </c>
      <c r="CI99" s="667">
        <f>INPUT!CT557</f>
        <v>-11.385011749486562</v>
      </c>
      <c r="CJ99" s="826">
        <f>INPUT!CU557</f>
        <v>13.838592071161271</v>
      </c>
      <c r="CK99" s="667">
        <f>INPUT!CV557</f>
        <v>0.88009578276111444</v>
      </c>
      <c r="CL99" s="688">
        <f>INPUT!CW557</f>
        <v>13.889961922631199</v>
      </c>
      <c r="CM99" s="670">
        <f>INPUT!CX557</f>
        <v>1.1564974709472375</v>
      </c>
      <c r="CN99" s="688">
        <f>INPUT!CY557</f>
        <v>14.116786993272267</v>
      </c>
      <c r="CO99" s="670">
        <f>INPUT!CZ557</f>
        <v>2.1462553725503319</v>
      </c>
      <c r="CP99" s="688">
        <f>INPUT!DA557</f>
        <v>14.55027875769059</v>
      </c>
      <c r="CQ99" s="670">
        <f>INPUT!DB557</f>
        <v>4.2114877055142053</v>
      </c>
      <c r="CR99" s="688">
        <f>INPUT!DC557</f>
        <v>14.551631098408228</v>
      </c>
      <c r="CS99" s="670">
        <f>INPUT!DD557</f>
        <v>5.152540255398419</v>
      </c>
      <c r="CT99" s="688">
        <f>INPUT!DE557</f>
        <v>14.626071979383942</v>
      </c>
      <c r="CU99" s="670">
        <f>INPUT!DF557</f>
        <v>5.2995829711626863</v>
      </c>
      <c r="CV99" s="688">
        <f>INPUT!DG557</f>
        <v>14.85693070023032</v>
      </c>
      <c r="CW99" s="670">
        <f>INPUT!DH557</f>
        <v>5.2430040016243629</v>
      </c>
      <c r="CX99" s="688">
        <f>INPUT!DI557</f>
        <v>14.917544374973774</v>
      </c>
      <c r="CY99" s="670">
        <f>INPUT!DJ557</f>
        <v>2.5241139595972628</v>
      </c>
      <c r="CZ99" s="688">
        <f>INPUT!DK557</f>
        <v>13.645913063529019</v>
      </c>
      <c r="DA99" s="670">
        <f>INPUT!DL557</f>
        <v>-6.2241684712463829</v>
      </c>
      <c r="DB99" s="688">
        <f>INPUT!DM557</f>
        <v>13.787144228709264</v>
      </c>
      <c r="DC99" s="670">
        <f>INPUT!DN557</f>
        <v>-5.7358377003557841</v>
      </c>
      <c r="DD99" s="688">
        <f>INPUT!DO557</f>
        <v>13.800261883617365</v>
      </c>
      <c r="DE99" s="670">
        <f>INPUT!DP557</f>
        <v>-7.1122955200738307</v>
      </c>
      <c r="DF99" s="688">
        <f>INPUT!DQ557</f>
        <v>13.952146046260555</v>
      </c>
      <c r="DG99" s="670">
        <f>INPUT!DR557</f>
        <v>-6.4715633112699678</v>
      </c>
      <c r="DH99" s="688">
        <f>INPUT!DS557</f>
        <v>14.299295094710818</v>
      </c>
      <c r="DI99" s="670">
        <f>INPUT!DT557</f>
        <v>4.7881151531594668</v>
      </c>
      <c r="DJ99" s="688">
        <f>INPUT!DU557</f>
        <v>14.395033557696808</v>
      </c>
      <c r="DK99" s="670">
        <f>INPUT!DV557</f>
        <v>4.4091025589021005</v>
      </c>
      <c r="DL99" s="688">
        <f>INPUT!DW557</f>
        <v>14.340728954428211</v>
      </c>
      <c r="DM99" s="670">
        <f>INPUT!DX557</f>
        <v>3.9163537284205407</v>
      </c>
      <c r="DN99" s="688">
        <f>INPUT!DY557</f>
        <v>14.64859612143632</v>
      </c>
      <c r="DO99" s="670">
        <f>INPUT!DZ557</f>
        <v>4.9917057409417431</v>
      </c>
      <c r="DP99" s="688">
        <f>INPUT!EA557</f>
        <v>14.478176989578879</v>
      </c>
      <c r="DQ99" s="670">
        <f>INPUT!EB557</f>
        <v>1.2509840078356538</v>
      </c>
      <c r="DR99" s="688">
        <f>INPUT!EC557</f>
        <v>14.560133835108363</v>
      </c>
      <c r="DS99" s="670">
        <f>INPUT!ED557</f>
        <v>1.1469252693980581</v>
      </c>
      <c r="DT99" s="688">
        <f>INPUT!EE557</f>
        <v>14.699218700695472</v>
      </c>
      <c r="DU99" s="670">
        <f>INPUT!EF557</f>
        <v>2.4998014215767084</v>
      </c>
      <c r="DV99" s="688">
        <f>INPUT!EG557</f>
        <v>14.808394861274152</v>
      </c>
      <c r="DW99" s="670">
        <f>INPUT!EH557</f>
        <v>1.0908809179603685</v>
      </c>
      <c r="DX99" s="688">
        <f>INPUT!EI557</f>
        <v>14.95771959177106</v>
      </c>
      <c r="DY99" s="670">
        <f>INPUT!EJ557</f>
        <v>3.3121753003665155</v>
      </c>
      <c r="DZ99" s="688">
        <f>INPUT!EK557</f>
        <v>14.947840985550767</v>
      </c>
      <c r="EA99" s="670">
        <f>INPUT!EL557</f>
        <v>2.6627993590796484</v>
      </c>
      <c r="EB99" s="688">
        <f>INPUT!EM557</f>
        <v>14.959941422550576</v>
      </c>
      <c r="EC99" s="670">
        <f>INPUT!EN557</f>
        <v>1.7737182306347243</v>
      </c>
      <c r="ED99" s="688">
        <f>INPUT!EO557</f>
        <v>14.96063165571865</v>
      </c>
      <c r="EE99" s="670">
        <f>INPUT!EP557</f>
        <v>1.0280438620840382</v>
      </c>
      <c r="EF99" s="688">
        <f>INPUT!EQ557</f>
        <v>14.964076318809907</v>
      </c>
      <c r="EG99" s="670">
        <f>INPUT!ER557</f>
        <v>4.2497969024268833E-2</v>
      </c>
      <c r="EH99" s="670"/>
      <c r="EI99" s="688">
        <f>INPUT!FB557</f>
        <v>14.023585518161319</v>
      </c>
      <c r="EJ99" s="671" t="str">
        <f>INPUT!FC557</f>
        <v>NA</v>
      </c>
      <c r="EK99" s="688">
        <f>INPUT!FD557</f>
        <v>15.138583788495191</v>
      </c>
      <c r="EL99" s="671">
        <f>INPUT!FE557</f>
        <v>7.9508786742868764</v>
      </c>
      <c r="EM99" s="688">
        <f>INPUT!FF557</f>
        <v>14.6435382945343</v>
      </c>
      <c r="EN99" s="671">
        <f>INPUT!FG557</f>
        <v>-3.2700911847322822</v>
      </c>
      <c r="EO99" s="688">
        <f>INPUT!FH557</f>
        <v>14.229380585358356</v>
      </c>
      <c r="EP99" s="671">
        <f>INPUT!FI557</f>
        <v>-2.8282625472460299</v>
      </c>
      <c r="EQ99" s="688">
        <f>INPUT!FJ557</f>
        <v>14.213937723422815</v>
      </c>
      <c r="ER99" s="670">
        <f>INPUT!FK557</f>
        <v>-0.10852799841077898</v>
      </c>
      <c r="ES99" s="688">
        <f>INPUT!FL557</f>
        <v>14.628276001917889</v>
      </c>
      <c r="ET99" s="670">
        <f>INPUT!FM557</f>
        <v>2.9150140274802006</v>
      </c>
      <c r="EU99" s="688">
        <f>INPUT!FN557</f>
        <v>15.345575590306208</v>
      </c>
      <c r="EV99" s="670">
        <f>INPUT!FO557</f>
        <v>4.9035141823566608</v>
      </c>
      <c r="EW99" s="688">
        <f>INPUT!FP557</f>
        <v>12.952158456891594</v>
      </c>
      <c r="EX99" s="670">
        <f>INPUT!FQ557</f>
        <v>-15.59678957188504</v>
      </c>
      <c r="EY99" s="688">
        <f>INPUT!FR557</f>
        <v>15.603098555353636</v>
      </c>
      <c r="EZ99" s="670">
        <f>INPUT!FS557</f>
        <v>20.467168520869429</v>
      </c>
      <c r="FA99" s="688">
        <f>INPUT!FT557</f>
        <v>14.990274315536183</v>
      </c>
      <c r="FB99" s="670">
        <f>INPUT!FU557</f>
        <v>-3.9275803946465793</v>
      </c>
      <c r="FC99" s="688">
        <f>INPUT!FV557</f>
        <v>13.717861748428351</v>
      </c>
      <c r="FD99" s="670">
        <f>INPUT!FW557</f>
        <v>-8.4882540527566057</v>
      </c>
      <c r="FE99" s="688">
        <f>INPUT!FX557</f>
        <v>13.838592071161271</v>
      </c>
      <c r="FF99" s="670">
        <f>INPUT!FY557</f>
        <v>0.88009578276111444</v>
      </c>
      <c r="FG99" s="688">
        <f>INPUT!FZ557</f>
        <v>14.551631098408228</v>
      </c>
      <c r="FH99" s="670">
        <f>INPUT!GA557</f>
        <v>5.152540255398419</v>
      </c>
      <c r="FI99" s="688">
        <f>INPUT!GB557</f>
        <v>13.645913063529019</v>
      </c>
      <c r="FJ99" s="670">
        <f>INPUT!GC557</f>
        <v>-6.2241684712463829</v>
      </c>
      <c r="FK99" s="688">
        <f>INPUT!GD557</f>
        <v>14.299295094710818</v>
      </c>
      <c r="FL99" s="670">
        <f>INPUT!GE557</f>
        <v>4.7881151531594668</v>
      </c>
      <c r="FM99" s="688">
        <f>INPUT!GF557</f>
        <v>14.478176989578879</v>
      </c>
      <c r="FN99" s="670">
        <f>INPUT!GG557</f>
        <v>1.2509840078356538</v>
      </c>
      <c r="FO99" s="688">
        <f>INPUT!GH557</f>
        <v>14.95771959177106</v>
      </c>
      <c r="FP99" s="670">
        <f>INPUT!GI557</f>
        <v>3.3121753003665155</v>
      </c>
      <c r="FQ99" s="688">
        <f>INPUT!GJ557</f>
        <v>14.964076318809907</v>
      </c>
      <c r="FR99" s="670">
        <f>INPUT!GK557</f>
        <v>4.2497969024268833E-2</v>
      </c>
      <c r="FS99" s="688">
        <f>INPUT!GL557</f>
        <v>14.958383697026989</v>
      </c>
      <c r="FT99" s="670">
        <f>INPUT!GM557</f>
        <v>-3.8041918937303798E-2</v>
      </c>
      <c r="FU99" s="688">
        <f>INPUT!GN557</f>
        <v>14.909720907397029</v>
      </c>
      <c r="FV99" s="670">
        <f>INPUT!GO557</f>
        <v>-0.32532117517236614</v>
      </c>
      <c r="FW99" s="688">
        <f>INPUT!GP557</f>
        <v>14.858788833147804</v>
      </c>
      <c r="FX99" s="670">
        <f>INPUT!GQ557</f>
        <v>-0.34160313640717588</v>
      </c>
      <c r="FY99" s="688">
        <f>INPUT!GR557</f>
        <v>14.767384819763226</v>
      </c>
      <c r="FZ99" s="670">
        <f>INPUT!GS557</f>
        <v>-0.6151511701994794</v>
      </c>
      <c r="GA99" s="988">
        <f>INPUT!GT557</f>
        <v>-0.25580239922422532</v>
      </c>
    </row>
    <row r="100" spans="1:183" s="707" customFormat="1" ht="12.75" customHeight="1" x14ac:dyDescent="0.2">
      <c r="A100" s="993" t="str">
        <f>INPUT!B558</f>
        <v>Equity to Total Assets (%)</v>
      </c>
      <c r="B100" s="826">
        <f>INPUT!M558</f>
        <v>13.53409892617228</v>
      </c>
      <c r="C100" s="824">
        <f>INPUT!N558</f>
        <v>-4.435620401363483</v>
      </c>
      <c r="D100" s="826">
        <f>INPUT!O558</f>
        <v>14.152597103053788</v>
      </c>
      <c r="E100" s="665">
        <f>INPUT!P558</f>
        <v>0.59779788815941259</v>
      </c>
      <c r="F100" s="826">
        <f>INPUT!Q558</f>
        <v>14.992211925531173</v>
      </c>
      <c r="G100" s="665">
        <f>INPUT!R558</f>
        <v>5.1310762253321096</v>
      </c>
      <c r="H100" s="826">
        <f>INPUT!S558</f>
        <v>15.119919574895876</v>
      </c>
      <c r="I100" s="665">
        <f>INPUT!T558</f>
        <v>8.0372077882511874</v>
      </c>
      <c r="J100" s="826">
        <f>INPUT!U558</f>
        <v>14.129362470074971</v>
      </c>
      <c r="K100" s="665">
        <f>INPUT!V558</f>
        <v>4.3982502799027712</v>
      </c>
      <c r="L100" s="826">
        <f>INPUT!W558</f>
        <v>15.637882590789665</v>
      </c>
      <c r="M100" s="665">
        <f>INPUT!X558</f>
        <v>10.494791004934267</v>
      </c>
      <c r="N100" s="826">
        <f>INPUT!Y558</f>
        <v>15.911168402640543</v>
      </c>
      <c r="O100" s="665">
        <f>INPUT!Z558</f>
        <v>6.1295590115320042</v>
      </c>
      <c r="P100" s="826">
        <f>INPUT!AA558</f>
        <v>14.624393834865632</v>
      </c>
      <c r="Q100" s="665">
        <f>INPUT!AB558</f>
        <v>-3.2773040727874125</v>
      </c>
      <c r="R100" s="826">
        <f>INPUT!AC558</f>
        <v>14.133791892925279</v>
      </c>
      <c r="S100" s="665">
        <f>INPUT!AD558</f>
        <v>3.1349063764829488E-2</v>
      </c>
      <c r="T100" s="826">
        <f>INPUT!AE558</f>
        <v>12.836958829944933</v>
      </c>
      <c r="U100" s="665">
        <f>INPUT!AF558</f>
        <v>-17.911144584845573</v>
      </c>
      <c r="V100" s="826">
        <f>INPUT!AG558</f>
        <v>13.871795851166269</v>
      </c>
      <c r="W100" s="665">
        <f>INPUT!AH558</f>
        <v>-12.817239437525085</v>
      </c>
      <c r="X100" s="826">
        <f>INPUT!AI558</f>
        <v>14.211633154510025</v>
      </c>
      <c r="Y100" s="665">
        <f>INPUT!AJ558</f>
        <v>-2.8224122313470157</v>
      </c>
      <c r="Z100" s="826">
        <f>INPUT!AK558</f>
        <v>13.87268228008954</v>
      </c>
      <c r="AA100" s="665">
        <f>INPUT!AL558</f>
        <v>-1.8474137359163922</v>
      </c>
      <c r="AB100" s="826">
        <f>INPUT!AM558</f>
        <v>14.981003387347799</v>
      </c>
      <c r="AC100" s="665">
        <f>INPUT!AN558</f>
        <v>16.702122253453268</v>
      </c>
      <c r="AD100" s="826">
        <f>INPUT!AO558</f>
        <v>14.150808748917335</v>
      </c>
      <c r="AE100" s="665">
        <f>INPUT!AP558</f>
        <v>2.0113682521330389</v>
      </c>
      <c r="AF100" s="826">
        <f>INPUT!AQ558</f>
        <v>14.197714144693713</v>
      </c>
      <c r="AG100" s="665">
        <f>INPUT!AR558</f>
        <v>-9.7940959107123415E-2</v>
      </c>
      <c r="AH100" s="826">
        <f>INPUT!AS558</f>
        <v>13.013336292110564</v>
      </c>
      <c r="AI100" s="665">
        <f>INPUT!AT558</f>
        <v>-6.1945193483767262</v>
      </c>
      <c r="AJ100" s="826">
        <f>INPUT!AU558</f>
        <v>13.862374235891901</v>
      </c>
      <c r="AK100" s="665">
        <f>INPUT!AV558</f>
        <v>-7.4669841701032968</v>
      </c>
      <c r="AL100" s="826">
        <f>INPUT!AW558</f>
        <v>14.556606576387491</v>
      </c>
      <c r="AM100" s="665">
        <f>INPUT!AX558</f>
        <v>2.8676652668435221</v>
      </c>
      <c r="AN100" s="826">
        <f>INPUT!AY558</f>
        <v>14.612491078747446</v>
      </c>
      <c r="AO100" s="667">
        <f>INPUT!AZ558</f>
        <v>2.9214346043778816</v>
      </c>
      <c r="AP100" s="826">
        <f>INPUT!BA558</f>
        <v>14.097712748065927</v>
      </c>
      <c r="AQ100" s="667">
        <f>INPUT!BB558</f>
        <v>8.3328089862149781</v>
      </c>
      <c r="AR100" s="826">
        <f>INPUT!BC558</f>
        <v>14.156769961130147</v>
      </c>
      <c r="AS100" s="667">
        <f>INPUT!BD558</f>
        <v>2.1237034885121631</v>
      </c>
      <c r="AT100" s="826">
        <f>INPUT!BE558</f>
        <v>14.896911727218425</v>
      </c>
      <c r="AU100" s="667">
        <f>INPUT!BF558</f>
        <v>2.3378055115053309</v>
      </c>
      <c r="AV100" s="826">
        <f>INPUT!BG558</f>
        <v>15.333751647349841</v>
      </c>
      <c r="AW100" s="667">
        <f>INPUT!BH558</f>
        <v>4.935917939764578</v>
      </c>
      <c r="AX100" s="826">
        <f>INPUT!BI558</f>
        <v>14.669708772172415</v>
      </c>
      <c r="AY100" s="667">
        <f>INPUT!BJ558</f>
        <v>4.0573675625853678</v>
      </c>
      <c r="AZ100" s="826">
        <f>INPUT!BK558</f>
        <v>14.805149146766908</v>
      </c>
      <c r="BA100" s="667">
        <f>INPUT!BL558</f>
        <v>4.5799937939021262</v>
      </c>
      <c r="BB100" s="826">
        <f>INPUT!BM558</f>
        <v>13.488579793262817</v>
      </c>
      <c r="BC100" s="667">
        <f>INPUT!BN558</f>
        <v>-9.4538516421656666</v>
      </c>
      <c r="BD100" s="826">
        <f>INPUT!BO558</f>
        <v>12.946654417270029</v>
      </c>
      <c r="BE100" s="667">
        <f>INPUT!BP558</f>
        <v>-15.567600708417483</v>
      </c>
      <c r="BF100" s="826">
        <f>INPUT!BQ558</f>
        <v>13.05950650169278</v>
      </c>
      <c r="BG100" s="667">
        <f>INPUT!BR558</f>
        <v>-10.976375165225461</v>
      </c>
      <c r="BH100" s="826">
        <f>INPUT!BS558</f>
        <v>14.566476690598714</v>
      </c>
      <c r="BI100" s="667">
        <f>INPUT!BT558</f>
        <v>-1.6120908597554662</v>
      </c>
      <c r="BJ100" s="826">
        <f>INPUT!BU558</f>
        <v>15.131656239903663</v>
      </c>
      <c r="BK100" s="667">
        <f>INPUT!BV558</f>
        <v>12.18124125611444</v>
      </c>
      <c r="BL100" s="826">
        <f>INPUT!BW558</f>
        <v>15.603098555353636</v>
      </c>
      <c r="BM100" s="667">
        <f>INPUT!BX558</f>
        <v>20.518382992752748</v>
      </c>
      <c r="BN100" s="826">
        <f>INPUT!BY558</f>
        <v>15.964812754103846</v>
      </c>
      <c r="BO100" s="667">
        <f>INPUT!BZ558</f>
        <v>22.246677177537123</v>
      </c>
      <c r="BP100" s="826">
        <f>INPUT!CA558</f>
        <v>15.621335324217059</v>
      </c>
      <c r="BQ100" s="667">
        <f>INPUT!CB558</f>
        <v>7.24168689535718</v>
      </c>
      <c r="BR100" s="826">
        <f>INPUT!CC558</f>
        <v>15.111582990007571</v>
      </c>
      <c r="BS100" s="667">
        <f>INPUT!CD558</f>
        <v>-0.13265732169592814</v>
      </c>
      <c r="BT100" s="826">
        <f>INPUT!CE558</f>
        <v>14.990274315536183</v>
      </c>
      <c r="BU100" s="667">
        <f>INPUT!CF558</f>
        <v>-3.9275803946465793</v>
      </c>
      <c r="BV100" s="826">
        <f>INPUT!CG558</f>
        <v>14.920653818141073</v>
      </c>
      <c r="BW100" s="667">
        <f>INPUT!CH558</f>
        <v>-6.5403769655511095</v>
      </c>
      <c r="BX100" s="826">
        <f>INPUT!CI558</f>
        <v>14.854229365103988</v>
      </c>
      <c r="BY100" s="667">
        <f>INPUT!CJ558</f>
        <v>-4.9106298737718106</v>
      </c>
      <c r="BZ100" s="826">
        <f>INPUT!CK558</f>
        <v>15.75609292998606</v>
      </c>
      <c r="CA100" s="667">
        <f>INPUT!CL558</f>
        <v>4.265006124141113</v>
      </c>
      <c r="CB100" s="826">
        <f>INPUT!CM558</f>
        <v>13.717861748428351</v>
      </c>
      <c r="CC100" s="667">
        <f>INPUT!CN558</f>
        <v>-8.4882540527566057</v>
      </c>
      <c r="CD100" s="826">
        <f>INPUT!CO558</f>
        <v>13.731161388442182</v>
      </c>
      <c r="CE100" s="667">
        <f>INPUT!CP558</f>
        <v>-7.972120016970452</v>
      </c>
      <c r="CF100" s="826">
        <f>INPUT!CQ558</f>
        <v>13.820170834246614</v>
      </c>
      <c r="CG100" s="667">
        <f>INPUT!CR558</f>
        <v>-6.9613744708063807</v>
      </c>
      <c r="CH100" s="826">
        <f>INPUT!CS558</f>
        <v>13.962259898647126</v>
      </c>
      <c r="CI100" s="667">
        <f>INPUT!CT558</f>
        <v>-11.385011749486562</v>
      </c>
      <c r="CJ100" s="826">
        <f>INPUT!CU558</f>
        <v>13.838592071161271</v>
      </c>
      <c r="CK100" s="667">
        <f>INPUT!CV558</f>
        <v>0.88009578276111444</v>
      </c>
      <c r="CL100" s="688">
        <f>INPUT!CW558</f>
        <v>13.889961922631199</v>
      </c>
      <c r="CM100" s="670">
        <f>INPUT!CX558</f>
        <v>1.1564974709472375</v>
      </c>
      <c r="CN100" s="688">
        <f>INPUT!CY558</f>
        <v>14.116786993272267</v>
      </c>
      <c r="CO100" s="670">
        <f>INPUT!CZ558</f>
        <v>2.1462553725503319</v>
      </c>
      <c r="CP100" s="688">
        <f>INPUT!DA558</f>
        <v>14.55027875769059</v>
      </c>
      <c r="CQ100" s="670">
        <f>INPUT!DB558</f>
        <v>4.2114877055142053</v>
      </c>
      <c r="CR100" s="688">
        <f>INPUT!DC558</f>
        <v>14.551631098408228</v>
      </c>
      <c r="CS100" s="670">
        <f>INPUT!DD558</f>
        <v>5.152540255398419</v>
      </c>
      <c r="CT100" s="688">
        <f>INPUT!DE558</f>
        <v>14.626071979383942</v>
      </c>
      <c r="CU100" s="670">
        <f>INPUT!DF558</f>
        <v>5.2995829711626863</v>
      </c>
      <c r="CV100" s="688">
        <f>INPUT!DG558</f>
        <v>14.85693070023032</v>
      </c>
      <c r="CW100" s="670">
        <f>INPUT!DH558</f>
        <v>5.2430040016243629</v>
      </c>
      <c r="CX100" s="688">
        <f>INPUT!DI558</f>
        <v>14.917544374973774</v>
      </c>
      <c r="CY100" s="670">
        <f>INPUT!DJ558</f>
        <v>2.5241139595972628</v>
      </c>
      <c r="CZ100" s="688">
        <f>INPUT!DK558</f>
        <v>13.645913063529019</v>
      </c>
      <c r="DA100" s="670">
        <f>INPUT!DL558</f>
        <v>-6.2241684712463829</v>
      </c>
      <c r="DB100" s="688">
        <f>INPUT!DM558</f>
        <v>13.787144228709264</v>
      </c>
      <c r="DC100" s="670">
        <f>INPUT!DN558</f>
        <v>-5.7358377003557841</v>
      </c>
      <c r="DD100" s="688">
        <f>INPUT!DO558</f>
        <v>13.800261883617365</v>
      </c>
      <c r="DE100" s="670">
        <f>INPUT!DP558</f>
        <v>-7.1122955200738307</v>
      </c>
      <c r="DF100" s="688">
        <f>INPUT!DQ558</f>
        <v>13.952146046260555</v>
      </c>
      <c r="DG100" s="670">
        <f>INPUT!DR558</f>
        <v>-6.4715633112699678</v>
      </c>
      <c r="DH100" s="688">
        <f>INPUT!DS558</f>
        <v>14.299295094710818</v>
      </c>
      <c r="DI100" s="670">
        <f>INPUT!DT558</f>
        <v>4.7881151531594668</v>
      </c>
      <c r="DJ100" s="688">
        <f>INPUT!DU558</f>
        <v>14.395033557696808</v>
      </c>
      <c r="DK100" s="670">
        <f>INPUT!DV558</f>
        <v>4.4091025589021005</v>
      </c>
      <c r="DL100" s="688">
        <f>INPUT!DW558</f>
        <v>14.340728954428211</v>
      </c>
      <c r="DM100" s="670">
        <f>INPUT!DX558</f>
        <v>3.9163537284205407</v>
      </c>
      <c r="DN100" s="688">
        <f>INPUT!DY558</f>
        <v>14.64859612143632</v>
      </c>
      <c r="DO100" s="670">
        <f>INPUT!DZ558</f>
        <v>4.9917057409417431</v>
      </c>
      <c r="DP100" s="688">
        <f>INPUT!EA558</f>
        <v>14.478176989578879</v>
      </c>
      <c r="DQ100" s="670">
        <f>INPUT!EB558</f>
        <v>1.2509840078356538</v>
      </c>
      <c r="DR100" s="688">
        <f>INPUT!EC558</f>
        <v>14.560133835108363</v>
      </c>
      <c r="DS100" s="670">
        <f>INPUT!ED558</f>
        <v>1.1469252693980581</v>
      </c>
      <c r="DT100" s="688">
        <f>INPUT!EE558</f>
        <v>14.699218700695472</v>
      </c>
      <c r="DU100" s="670">
        <f>INPUT!EF558</f>
        <v>2.4998014215767084</v>
      </c>
      <c r="DV100" s="688">
        <f>INPUT!EG558</f>
        <v>14.808394861274152</v>
      </c>
      <c r="DW100" s="670">
        <f>INPUT!EH558</f>
        <v>1.0908809179603685</v>
      </c>
      <c r="DX100" s="688">
        <f>INPUT!EI558</f>
        <v>14.95771959177106</v>
      </c>
      <c r="DY100" s="670">
        <f>INPUT!EJ558</f>
        <v>3.3121753003665155</v>
      </c>
      <c r="DZ100" s="688">
        <f>INPUT!EK558</f>
        <v>14.947840985550767</v>
      </c>
      <c r="EA100" s="670">
        <f>INPUT!EL558</f>
        <v>2.6627993590796484</v>
      </c>
      <c r="EB100" s="688">
        <f>INPUT!EM558</f>
        <v>14.959941422550576</v>
      </c>
      <c r="EC100" s="670">
        <f>INPUT!EN558</f>
        <v>1.7737182306347243</v>
      </c>
      <c r="ED100" s="688">
        <f>INPUT!EO558</f>
        <v>14.96063165571865</v>
      </c>
      <c r="EE100" s="670">
        <f>INPUT!EP558</f>
        <v>1.0280438620840382</v>
      </c>
      <c r="EF100" s="688">
        <f>INPUT!EQ558</f>
        <v>14.964076318809907</v>
      </c>
      <c r="EG100" s="670">
        <f>INPUT!ER558</f>
        <v>4.2497969024268833E-2</v>
      </c>
      <c r="EH100" s="670"/>
      <c r="EI100" s="688">
        <f>INPUT!FB558</f>
        <v>13.995103987258114</v>
      </c>
      <c r="EJ100" s="671" t="str">
        <f>INPUT!FC558</f>
        <v>NA</v>
      </c>
      <c r="EK100" s="688">
        <f>INPUT!FD558</f>
        <v>15.119919574895876</v>
      </c>
      <c r="EL100" s="671">
        <f>INPUT!FE558</f>
        <v>8.0372077882511874</v>
      </c>
      <c r="EM100" s="688">
        <f>INPUT!FF558</f>
        <v>14.624393834865632</v>
      </c>
      <c r="EN100" s="671">
        <f>INPUT!FG558</f>
        <v>-3.2773040727874125</v>
      </c>
      <c r="EO100" s="688">
        <f>INPUT!FH558</f>
        <v>14.211633154510025</v>
      </c>
      <c r="EP100" s="671">
        <f>INPUT!FI558</f>
        <v>-2.8224122313470157</v>
      </c>
      <c r="EQ100" s="688">
        <f>INPUT!FJ558</f>
        <v>14.197714144693713</v>
      </c>
      <c r="ER100" s="670">
        <f>INPUT!FK558</f>
        <v>-9.7940959107123415E-2</v>
      </c>
      <c r="ES100" s="688">
        <f>INPUT!FL558</f>
        <v>14.612491078747446</v>
      </c>
      <c r="ET100" s="670">
        <f>INPUT!FM558</f>
        <v>2.9214346043778816</v>
      </c>
      <c r="EU100" s="688">
        <f>INPUT!FN558</f>
        <v>15.333751647349841</v>
      </c>
      <c r="EV100" s="670">
        <f>INPUT!FO558</f>
        <v>4.935917939764578</v>
      </c>
      <c r="EW100" s="688">
        <f>INPUT!FP558</f>
        <v>12.946654417270029</v>
      </c>
      <c r="EX100" s="670">
        <f>INPUT!FQ558</f>
        <v>-15.567600708417483</v>
      </c>
      <c r="EY100" s="688">
        <f>INPUT!FR558</f>
        <v>15.603098555353636</v>
      </c>
      <c r="EZ100" s="670">
        <f>INPUT!FS558</f>
        <v>20.518382992752748</v>
      </c>
      <c r="FA100" s="688">
        <f>INPUT!FT558</f>
        <v>14.990274315536183</v>
      </c>
      <c r="FB100" s="670">
        <f>INPUT!FU558</f>
        <v>-3.9275803946465793</v>
      </c>
      <c r="FC100" s="688">
        <f>INPUT!FV558</f>
        <v>13.717861748428351</v>
      </c>
      <c r="FD100" s="670">
        <f>INPUT!FW558</f>
        <v>-8.4882540527566057</v>
      </c>
      <c r="FE100" s="688">
        <f>INPUT!FX558</f>
        <v>13.838592071161271</v>
      </c>
      <c r="FF100" s="670">
        <f>INPUT!FY558</f>
        <v>0.88009578276111444</v>
      </c>
      <c r="FG100" s="688">
        <f>INPUT!FZ558</f>
        <v>14.551631098408228</v>
      </c>
      <c r="FH100" s="670">
        <f>INPUT!GA558</f>
        <v>5.152540255398419</v>
      </c>
      <c r="FI100" s="688">
        <f>INPUT!GB558</f>
        <v>13.645913063529019</v>
      </c>
      <c r="FJ100" s="670">
        <f>INPUT!GC558</f>
        <v>-6.2241684712463829</v>
      </c>
      <c r="FK100" s="688">
        <f>INPUT!GD558</f>
        <v>14.299295094710818</v>
      </c>
      <c r="FL100" s="670">
        <f>INPUT!GE558</f>
        <v>4.7881151531594668</v>
      </c>
      <c r="FM100" s="688">
        <f>INPUT!GF558</f>
        <v>14.478176989578879</v>
      </c>
      <c r="FN100" s="670">
        <f>INPUT!GG558</f>
        <v>1.2509840078356538</v>
      </c>
      <c r="FO100" s="688">
        <f>INPUT!GH558</f>
        <v>14.95771959177106</v>
      </c>
      <c r="FP100" s="670">
        <f>INPUT!GI558</f>
        <v>3.3121753003665155</v>
      </c>
      <c r="FQ100" s="688">
        <f>INPUT!GJ558</f>
        <v>14.964076318809907</v>
      </c>
      <c r="FR100" s="670">
        <f>INPUT!GK558</f>
        <v>4.2497969024268833E-2</v>
      </c>
      <c r="FS100" s="688">
        <f>INPUT!GL558</f>
        <v>14.958383697026989</v>
      </c>
      <c r="FT100" s="670">
        <f>INPUT!GM558</f>
        <v>-3.8041918937303798E-2</v>
      </c>
      <c r="FU100" s="688">
        <f>INPUT!GN558</f>
        <v>14.909720907397029</v>
      </c>
      <c r="FV100" s="670">
        <f>INPUT!GO558</f>
        <v>-0.32532117517236614</v>
      </c>
      <c r="FW100" s="688">
        <f>INPUT!GP558</f>
        <v>14.858788833147804</v>
      </c>
      <c r="FX100" s="670">
        <f>INPUT!GQ558</f>
        <v>-0.34160313640717588</v>
      </c>
      <c r="FY100" s="688">
        <f>INPUT!GR558</f>
        <v>14.767384819763226</v>
      </c>
      <c r="FZ100" s="670">
        <f>INPUT!GS558</f>
        <v>-0.6151511701994794</v>
      </c>
      <c r="GA100" s="988">
        <f>INPUT!GT558</f>
        <v>-0.25580239922422532</v>
      </c>
    </row>
    <row r="101" spans="1:183" s="707" customFormat="1" ht="12.75" customHeight="1" x14ac:dyDescent="0.2">
      <c r="A101" s="993" t="str">
        <f>INPUT!B559</f>
        <v>Oper Return on Avg Assets (%)</v>
      </c>
      <c r="B101" s="825">
        <f>INPUT!M559</f>
        <v>1.3864033443443942</v>
      </c>
      <c r="C101" s="824">
        <f>INPUT!N559</f>
        <v>-22.161377770285672</v>
      </c>
      <c r="D101" s="825">
        <f>INPUT!O559</f>
        <v>1.3968282108912011</v>
      </c>
      <c r="E101" s="665">
        <f>INPUT!P559</f>
        <v>-2.207942383131567</v>
      </c>
      <c r="F101" s="825">
        <f>INPUT!Q559</f>
        <v>1.3714738448964165</v>
      </c>
      <c r="G101" s="665">
        <f>INPUT!R559</f>
        <v>30.769873831762638</v>
      </c>
      <c r="H101" s="825">
        <f>INPUT!S559</f>
        <v>1.3486260816083677</v>
      </c>
      <c r="I101" s="665">
        <f>INPUT!T559</f>
        <v>-3.5223199742518085</v>
      </c>
      <c r="J101" s="825">
        <f>INPUT!U559</f>
        <v>-1.6893854358203921</v>
      </c>
      <c r="K101" s="665" t="str">
        <f>INPUT!V559</f>
        <v>NM</v>
      </c>
      <c r="L101" s="825">
        <f>INPUT!W559</f>
        <v>0.93135830750291027</v>
      </c>
      <c r="M101" s="665">
        <f>INPUT!X559</f>
        <v>-33.323346404302136</v>
      </c>
      <c r="N101" s="825">
        <f>INPUT!Y559</f>
        <v>0.93047382839728554</v>
      </c>
      <c r="O101" s="665">
        <f>INPUT!Z559</f>
        <v>-32.155189699037855</v>
      </c>
      <c r="P101" s="825">
        <f>INPUT!AA559</f>
        <v>-1.4868267233076837</v>
      </c>
      <c r="Q101" s="665" t="str">
        <f>INPUT!AB559</f>
        <v>NM</v>
      </c>
      <c r="R101" s="825">
        <f>INPUT!AC559</f>
        <v>-4.673277761808948</v>
      </c>
      <c r="S101" s="665" t="str">
        <f>INPUT!AD559</f>
        <v>NM</v>
      </c>
      <c r="T101" s="825">
        <f>INPUT!AE559</f>
        <v>1.0579851001105283</v>
      </c>
      <c r="U101" s="665">
        <f>INPUT!AF559</f>
        <v>13.595926679080206</v>
      </c>
      <c r="V101" s="825">
        <f>INPUT!AG559</f>
        <v>1.0294785226742991</v>
      </c>
      <c r="W101" s="665">
        <f>INPUT!AH559</f>
        <v>10.64024492204647</v>
      </c>
      <c r="X101" s="825">
        <f>INPUT!AI559</f>
        <v>0.93119260582005436</v>
      </c>
      <c r="Y101" s="665" t="str">
        <f>INPUT!AJ559</f>
        <v>NM</v>
      </c>
      <c r="Z101" s="825">
        <f>INPUT!AK559</f>
        <v>1.2141372632142218</v>
      </c>
      <c r="AA101" s="665" t="str">
        <f>INPUT!AL559</f>
        <v>NM</v>
      </c>
      <c r="AB101" s="825">
        <f>INPUT!AM559</f>
        <v>0.99702712386338121</v>
      </c>
      <c r="AC101" s="665">
        <f>INPUT!AN559</f>
        <v>-5.7617046063105022</v>
      </c>
      <c r="AD101" s="825">
        <f>INPUT!AO559</f>
        <v>1.0481061004679593</v>
      </c>
      <c r="AE101" s="665">
        <f>INPUT!AP559</f>
        <v>1.8094187866368516</v>
      </c>
      <c r="AF101" s="825">
        <f>INPUT!AQ559</f>
        <v>1.0352021138935885</v>
      </c>
      <c r="AG101" s="665">
        <f>INPUT!AR559</f>
        <v>11.169494626940057</v>
      </c>
      <c r="AH101" s="825">
        <f>INPUT!AS559</f>
        <v>1.040472707623064</v>
      </c>
      <c r="AI101" s="665">
        <f>INPUT!AT559</f>
        <v>-14.303535592953509</v>
      </c>
      <c r="AJ101" s="825">
        <f>INPUT!AU559</f>
        <v>1.1132391953462344</v>
      </c>
      <c r="AK101" s="665">
        <f>INPUT!AV559</f>
        <v>11.655858572086085</v>
      </c>
      <c r="AL101" s="825">
        <f>INPUT!AW559</f>
        <v>1.2277865411500455</v>
      </c>
      <c r="AM101" s="665">
        <f>INPUT!AX559</f>
        <v>17.143344610041144</v>
      </c>
      <c r="AN101" s="825">
        <f>INPUT!AY559</f>
        <v>1.3699726081672625</v>
      </c>
      <c r="AO101" s="667">
        <f>INPUT!AZ559</f>
        <v>32.338660226894199</v>
      </c>
      <c r="AP101" s="826">
        <f>INPUT!BA559</f>
        <v>1.3284120207592907</v>
      </c>
      <c r="AQ101" s="667">
        <f>INPUT!BB559</f>
        <v>27.673893897132331</v>
      </c>
      <c r="AR101" s="826">
        <f>INPUT!BC559</f>
        <v>1.3908578872753745</v>
      </c>
      <c r="AS101" s="667">
        <f>INPUT!BD559</f>
        <v>24.937919280033661</v>
      </c>
      <c r="AT101" s="826">
        <f>INPUT!BE559</f>
        <v>1.6582917454304267</v>
      </c>
      <c r="AU101" s="667">
        <f>INPUT!BF559</f>
        <v>35.063522025346103</v>
      </c>
      <c r="AV101" s="826">
        <f>INPUT!BG559</f>
        <v>1.6236298718181936</v>
      </c>
      <c r="AW101" s="667">
        <f>INPUT!BH559</f>
        <v>18.515498933243023</v>
      </c>
      <c r="AX101" s="826">
        <f>INPUT!BI559</f>
        <v>1.590784473775118</v>
      </c>
      <c r="AY101" s="667">
        <f>INPUT!BJ559</f>
        <v>19.750833996959848</v>
      </c>
      <c r="AZ101" s="826">
        <f>INPUT!BK559</f>
        <v>1.7196182478307329</v>
      </c>
      <c r="BA101" s="667">
        <f>INPUT!BL559</f>
        <v>23.637235950783197</v>
      </c>
      <c r="BB101" s="826">
        <f>INPUT!BM559</f>
        <v>1.7061007456816526</v>
      </c>
      <c r="BC101" s="667">
        <f>INPUT!BN559</f>
        <v>2.883027089953738</v>
      </c>
      <c r="BD101" s="826">
        <f>INPUT!BO559</f>
        <v>1.6860717909077747</v>
      </c>
      <c r="BE101" s="667">
        <f>INPUT!BP559</f>
        <v>3.845822263645382</v>
      </c>
      <c r="BF101" s="826">
        <f>INPUT!BQ559</f>
        <v>1.6771318368021708</v>
      </c>
      <c r="BG101" s="667">
        <f>INPUT!BR559</f>
        <v>5.4279737104889092</v>
      </c>
      <c r="BH101" s="826">
        <f>INPUT!BS559</f>
        <v>1.7174811205410316</v>
      </c>
      <c r="BI101" s="667">
        <f>INPUT!BT559</f>
        <v>-0.12427917024009361</v>
      </c>
      <c r="BJ101" s="826">
        <f>INPUT!BU559</f>
        <v>1.5997731890563707</v>
      </c>
      <c r="BK101" s="667">
        <f>INPUT!BV559</f>
        <v>-6.2321968321278671</v>
      </c>
      <c r="BL101" s="826">
        <f>INPUT!BW559</f>
        <v>1.6029047600690929</v>
      </c>
      <c r="BM101" s="667">
        <f>INPUT!BX559</f>
        <v>-4.9325913218621009</v>
      </c>
      <c r="BN101" s="826">
        <f>INPUT!BY559</f>
        <v>1.65591527501457</v>
      </c>
      <c r="BO101" s="667">
        <f>INPUT!BZ559</f>
        <v>-1.2650503271141145</v>
      </c>
      <c r="BP101" s="826">
        <f>INPUT!CA559</f>
        <v>1.6638429046045511</v>
      </c>
      <c r="BQ101" s="667">
        <f>INPUT!CB559</f>
        <v>-3.1230745593048392</v>
      </c>
      <c r="BR101" s="826">
        <f>INPUT!CC559</f>
        <v>1.5420352206230816</v>
      </c>
      <c r="BS101" s="667">
        <f>INPUT!CD559</f>
        <v>-3.6091346466023633</v>
      </c>
      <c r="BT101" s="826">
        <f>INPUT!CE559</f>
        <v>1.4684749959795069</v>
      </c>
      <c r="BU101" s="667">
        <f>INPUT!CF559</f>
        <v>-8.3866345299137617</v>
      </c>
      <c r="BV101" s="826">
        <f>INPUT!CG559</f>
        <v>1.541336358320252</v>
      </c>
      <c r="BW101" s="667">
        <f>INPUT!CH559</f>
        <v>-6.9193707204198596</v>
      </c>
      <c r="BX101" s="826">
        <f>INPUT!CI559</f>
        <v>1.6328998042257372</v>
      </c>
      <c r="BY101" s="667">
        <f>INPUT!CJ559</f>
        <v>-1.8597368954233251</v>
      </c>
      <c r="BZ101" s="826">
        <f>INPUT!CK559</f>
        <v>1.5118159325137837</v>
      </c>
      <c r="CA101" s="667">
        <f>INPUT!CL559</f>
        <v>-1.9597015492997305</v>
      </c>
      <c r="CB101" s="826">
        <f>INPUT!CM559</f>
        <v>-2.4663011586498236</v>
      </c>
      <c r="CC101" s="667" t="str">
        <f>INPUT!CN559</f>
        <v>NM</v>
      </c>
      <c r="CD101" s="826">
        <f>INPUT!CO559</f>
        <v>1.4317493095603846</v>
      </c>
      <c r="CE101" s="667">
        <f>INPUT!CP559</f>
        <v>-7.1098724277999459</v>
      </c>
      <c r="CF101" s="826">
        <f>INPUT!CQ559</f>
        <v>1.4988711065650449</v>
      </c>
      <c r="CG101" s="667">
        <f>INPUT!CR559</f>
        <v>-8.2080172533454352</v>
      </c>
      <c r="CH101" s="826">
        <f>INPUT!CS559</f>
        <v>1.4593035897076752</v>
      </c>
      <c r="CI101" s="667">
        <f>INPUT!CT559</f>
        <v>-3.4734613967715711</v>
      </c>
      <c r="CJ101" s="826">
        <f>INPUT!CU559</f>
        <v>1.4474607919057989</v>
      </c>
      <c r="CK101" s="667" t="str">
        <f>INPUT!CV559</f>
        <v>NM</v>
      </c>
      <c r="CL101" s="688">
        <f>INPUT!CW559</f>
        <v>1.373947798704052</v>
      </c>
      <c r="CM101" s="670">
        <f>INPUT!CX559</f>
        <v>-4.0371251077523045</v>
      </c>
      <c r="CN101" s="688">
        <f>INPUT!CY559</f>
        <v>1.4277023184457283</v>
      </c>
      <c r="CO101" s="670">
        <f>INPUT!CZ559</f>
        <v>-4.7481593185429887</v>
      </c>
      <c r="CP101" s="688">
        <f>INPUT!DA559</f>
        <v>1.4903490483556394</v>
      </c>
      <c r="CQ101" s="670">
        <f>INPUT!DB559</f>
        <v>2.1274160405637899</v>
      </c>
      <c r="CR101" s="688">
        <f>INPUT!DC559</f>
        <v>1.4411579027890908</v>
      </c>
      <c r="CS101" s="670">
        <f>INPUT!DD559</f>
        <v>-0.43544454896145002</v>
      </c>
      <c r="CT101" s="688">
        <f>INPUT!DE559</f>
        <v>1.4784226505507954</v>
      </c>
      <c r="CU101" s="670">
        <f>INPUT!DF559</f>
        <v>7.6039899001466571</v>
      </c>
      <c r="CV101" s="688">
        <f>INPUT!DG559</f>
        <v>1.4358859563962378</v>
      </c>
      <c r="CW101" s="670">
        <f>INPUT!DH559</f>
        <v>0.57320338033903795</v>
      </c>
      <c r="CX101" s="688">
        <f>INPUT!DI559</f>
        <v>1.4115142129849969</v>
      </c>
      <c r="CY101" s="670">
        <f>INPUT!DJ559</f>
        <v>-5.2896893823379258</v>
      </c>
      <c r="CZ101" s="688">
        <f>INPUT!DK559</f>
        <v>-1.4731840001028851</v>
      </c>
      <c r="DA101" s="670" t="str">
        <f>INPUT!DL559</f>
        <v>NM</v>
      </c>
      <c r="DB101" s="688">
        <f>INPUT!DM559</f>
        <v>1.4212762633633209</v>
      </c>
      <c r="DC101" s="670">
        <f>INPUT!DN559</f>
        <v>-3.8653619901037217</v>
      </c>
      <c r="DD101" s="688">
        <f>INPUT!DO559</f>
        <v>1.4149948725678769</v>
      </c>
      <c r="DE101" s="670">
        <f>INPUT!DP559</f>
        <v>-1.4549263982491345</v>
      </c>
      <c r="DF101" s="688">
        <f>INPUT!DQ559</f>
        <v>1.4355907689760472</v>
      </c>
      <c r="DG101" s="670">
        <f>INPUT!DR559</f>
        <v>1.7057253670959893</v>
      </c>
      <c r="DH101" s="688">
        <f>INPUT!DS559</f>
        <v>1.4978684368946744</v>
      </c>
      <c r="DI101" s="670" t="str">
        <f>INPUT!DT559</f>
        <v>NM</v>
      </c>
      <c r="DJ101" s="688">
        <f>INPUT!DU559</f>
        <v>1.463475133325064</v>
      </c>
      <c r="DK101" s="670">
        <f>INPUT!DV559</f>
        <v>2.9690828623200494</v>
      </c>
      <c r="DL101" s="688">
        <f>INPUT!DW559</f>
        <v>1.4814697069646556</v>
      </c>
      <c r="DM101" s="670">
        <f>INPUT!DX559</f>
        <v>4.697885178632677</v>
      </c>
      <c r="DN101" s="688">
        <f>INPUT!DY559</f>
        <v>1.4320802891712638</v>
      </c>
      <c r="DO101" s="670">
        <f>INPUT!DZ559</f>
        <v>-0.24453206865402421</v>
      </c>
      <c r="DP101" s="688">
        <f>INPUT!EA559</f>
        <v>1.4601904223077935</v>
      </c>
      <c r="DQ101" s="670">
        <f>INPUT!EB559</f>
        <v>-2.5154421883001654</v>
      </c>
      <c r="DR101" s="688">
        <f>INPUT!EC559</f>
        <v>1.5175204191981422</v>
      </c>
      <c r="DS101" s="670">
        <f>INPUT!ED559</f>
        <v>3.6929418643612655</v>
      </c>
      <c r="DT101" s="688">
        <f>INPUT!EE559</f>
        <v>1.5274851218723775</v>
      </c>
      <c r="DU101" s="670">
        <f>INPUT!EF559</f>
        <v>3.1060651926526184</v>
      </c>
      <c r="DV101" s="688">
        <f>INPUT!EG559</f>
        <v>1.5441793323704485</v>
      </c>
      <c r="DW101" s="670">
        <f>INPUT!EH559</f>
        <v>7.8277065920693278</v>
      </c>
      <c r="DX101" s="688">
        <f>INPUT!EI559</f>
        <v>1.5872469464585794</v>
      </c>
      <c r="DY101" s="670">
        <f>INPUT!EJ559</f>
        <v>8.7013667676285813</v>
      </c>
      <c r="DZ101" s="688">
        <f>INPUT!EK559</f>
        <v>1.7533672068994941</v>
      </c>
      <c r="EA101" s="670">
        <f>INPUT!EL559</f>
        <v>15.541589076341623</v>
      </c>
      <c r="EB101" s="688">
        <f>INPUT!EM559</f>
        <v>1.7435741028031759</v>
      </c>
      <c r="EC101" s="670">
        <f>INPUT!EN559</f>
        <v>14.146715921260068</v>
      </c>
      <c r="ED101" s="688">
        <f>INPUT!EO559</f>
        <v>1.7292944698296211</v>
      </c>
      <c r="EE101" s="670">
        <f>INPUT!EP559</f>
        <v>11.987930001303981</v>
      </c>
      <c r="EF101" s="688">
        <f>INPUT!EQ559</f>
        <v>1.7194469183424144</v>
      </c>
      <c r="EG101" s="670">
        <f>INPUT!ER559</f>
        <v>8.3288849399770992</v>
      </c>
      <c r="EH101" s="670"/>
      <c r="EI101" s="698">
        <f>INPUT!FB559</f>
        <v>-0.56099164285024294</v>
      </c>
      <c r="EJ101" s="671" t="str">
        <f>INPUT!FC559</f>
        <v>NA</v>
      </c>
      <c r="EK101" s="698">
        <f>INPUT!FD559</f>
        <v>1.7185429783973509</v>
      </c>
      <c r="EL101" s="671" t="str">
        <f>INPUT!FE559</f>
        <v>NM</v>
      </c>
      <c r="EM101" s="698">
        <f>INPUT!FF559</f>
        <v>8.8862871113040393E-2</v>
      </c>
      <c r="EN101" s="671" t="str">
        <f>INPUT!FG559</f>
        <v>NM</v>
      </c>
      <c r="EO101" s="698">
        <f>INPUT!FH559</f>
        <v>-0.11397246759343094</v>
      </c>
      <c r="EP101" s="671" t="str">
        <f>INPUT!FI559</f>
        <v>NM</v>
      </c>
      <c r="EQ101" s="698">
        <f>INPUT!FJ559</f>
        <v>1.0749850777660193</v>
      </c>
      <c r="ER101" s="670" t="str">
        <f>INPUT!FK559</f>
        <v>NM</v>
      </c>
      <c r="ES101" s="688">
        <f>INPUT!FL559</f>
        <v>1.1666677173868403</v>
      </c>
      <c r="ET101" s="670">
        <f>INPUT!FM559</f>
        <v>8.5287360277922488</v>
      </c>
      <c r="EU101" s="688">
        <f>INPUT!FN559</f>
        <v>1.4936915710268301</v>
      </c>
      <c r="EV101" s="670">
        <f>INPUT!FO559</f>
        <v>28.030590781450094</v>
      </c>
      <c r="EW101" s="688">
        <f>INPUT!FP559</f>
        <v>1.6834544099613054</v>
      </c>
      <c r="EX101" s="670">
        <f>INPUT!FQ559</f>
        <v>12.704285316681796</v>
      </c>
      <c r="EY101" s="688">
        <f>INPUT!FR559</f>
        <v>1.5494226591991487</v>
      </c>
      <c r="EZ101" s="670">
        <f>INPUT!FS559</f>
        <v>-7.9617095639220476</v>
      </c>
      <c r="FA101" s="688">
        <f>INPUT!FT559</f>
        <v>1.610915405785214</v>
      </c>
      <c r="FB101" s="670">
        <f>INPUT!FU559</f>
        <v>3.9687522459397329</v>
      </c>
      <c r="FC101" s="688">
        <f>INPUT!FV559</f>
        <v>0.53117351467269946</v>
      </c>
      <c r="FD101" s="670" t="str">
        <f>INPUT!FW559</f>
        <v>NM</v>
      </c>
      <c r="FE101" s="688">
        <f>INPUT!FX559</f>
        <v>1.4470655949973441</v>
      </c>
      <c r="FF101" s="670" t="str">
        <f>INPUT!FY559</f>
        <v>NM</v>
      </c>
      <c r="FG101" s="688">
        <f>INPUT!FZ559</f>
        <v>1.421755740883577</v>
      </c>
      <c r="FH101" s="670">
        <f>INPUT!GA559</f>
        <v>-1.7490467744700644</v>
      </c>
      <c r="FI101" s="688">
        <f>INPUT!GB559</f>
        <v>0.71233735798194631</v>
      </c>
      <c r="FJ101" s="670">
        <f>INPUT!GC559</f>
        <v>-49.897346112402488</v>
      </c>
      <c r="FK101" s="688">
        <f>INPUT!GD559</f>
        <v>1.4518867456816849</v>
      </c>
      <c r="FL101" s="670" t="str">
        <f>INPUT!GE559</f>
        <v>NM</v>
      </c>
      <c r="FM101" s="688">
        <f>INPUT!GF559</f>
        <v>1.4944765088401992</v>
      </c>
      <c r="FN101" s="670">
        <f>INPUT!GG559</f>
        <v>2.9334080833224974</v>
      </c>
      <c r="FO101" s="688">
        <f>INPUT!GH559</f>
        <v>1.549129607017131</v>
      </c>
      <c r="FP101" s="670">
        <f>INPUT!GI559</f>
        <v>3.6570061726393988</v>
      </c>
      <c r="FQ101" s="688">
        <f>INPUT!GJ559</f>
        <v>1.7359210835300929</v>
      </c>
      <c r="FR101" s="670">
        <f>INPUT!GK559</f>
        <v>12.057834003484791</v>
      </c>
      <c r="FS101" s="688">
        <f>INPUT!GL559</f>
        <v>1.6930103543519457</v>
      </c>
      <c r="FT101" s="670">
        <f>INPUT!GM559</f>
        <v>-2.4719285677944458</v>
      </c>
      <c r="FU101" s="688">
        <f>INPUT!GN559</f>
        <v>1.6576539062427849</v>
      </c>
      <c r="FV101" s="670">
        <f>INPUT!GO559</f>
        <v>-2.088377547028919</v>
      </c>
      <c r="FW101" s="688">
        <f>INPUT!GP559</f>
        <v>1.6273750519633672</v>
      </c>
      <c r="FX101" s="670">
        <f>INPUT!GQ559</f>
        <v>-1.8266089299694199</v>
      </c>
      <c r="FY101" s="688">
        <f>INPUT!GR559</f>
        <v>1.5902240021091947</v>
      </c>
      <c r="FZ101" s="670">
        <f>INPUT!GS559</f>
        <v>-2.2828818599222811</v>
      </c>
      <c r="GA101" s="988">
        <f>INPUT!GT559</f>
        <v>0.5250065304307272</v>
      </c>
    </row>
    <row r="102" spans="1:183" s="707" customFormat="1" ht="12.75" customHeight="1" x14ac:dyDescent="0.2">
      <c r="A102" s="1011" t="str">
        <f>INPUT!B560</f>
        <v>Book Value per Share</v>
      </c>
      <c r="B102" s="1021">
        <f>INPUT!M560</f>
        <v>23.61</v>
      </c>
      <c r="C102" s="1022">
        <f>INPUT!N560</f>
        <v>-1.9925280199252771</v>
      </c>
      <c r="D102" s="1021">
        <f>INPUT!O560</f>
        <v>25.42</v>
      </c>
      <c r="E102" s="1022">
        <f>INPUT!P560</f>
        <v>6.9415229280605839</v>
      </c>
      <c r="F102" s="1021">
        <f>INPUT!Q560</f>
        <v>27.62</v>
      </c>
      <c r="G102" s="1022">
        <f>INPUT!R560</f>
        <v>10.923694779116477</v>
      </c>
      <c r="H102" s="1021">
        <f>INPUT!S560</f>
        <v>28.33</v>
      </c>
      <c r="I102" s="1022">
        <f>INPUT!T560</f>
        <v>15.538336052202272</v>
      </c>
      <c r="J102" s="1021">
        <f>INPUT!U560</f>
        <v>27.09</v>
      </c>
      <c r="K102" s="1022">
        <f>INPUT!V560</f>
        <v>14.739517153748416</v>
      </c>
      <c r="L102" s="1021">
        <f>INPUT!W560</f>
        <v>26.08</v>
      </c>
      <c r="M102" s="1022">
        <f>INPUT!X560</f>
        <v>2.5963808025176949</v>
      </c>
      <c r="N102" s="1021">
        <f>INPUT!Y560</f>
        <v>26.52</v>
      </c>
      <c r="O102" s="1022">
        <f>INPUT!Z560</f>
        <v>-3.9826212889210733</v>
      </c>
      <c r="P102" s="1021">
        <f>INPUT!AA560</f>
        <v>24.55</v>
      </c>
      <c r="Q102" s="1022">
        <f>INPUT!AB560</f>
        <v>-13.34274620543593</v>
      </c>
      <c r="R102" s="1021">
        <f>INPUT!AC560</f>
        <v>24.08</v>
      </c>
      <c r="S102" s="1022">
        <f>INPUT!AD560</f>
        <v>-11.111111111111116</v>
      </c>
      <c r="T102" s="1021">
        <f>INPUT!AE560</f>
        <v>21.01</v>
      </c>
      <c r="U102" s="1022">
        <f>INPUT!AF560</f>
        <v>-19.440184049079747</v>
      </c>
      <c r="V102" s="1021">
        <f>INPUT!AG560</f>
        <v>23.27</v>
      </c>
      <c r="W102" s="1022">
        <f>INPUT!AH560</f>
        <v>-12.254901960784315</v>
      </c>
      <c r="X102" s="1021">
        <f>INPUT!AI560</f>
        <v>24.36</v>
      </c>
      <c r="Y102" s="1022">
        <f>INPUT!AJ560</f>
        <v>-0.77393075356415597</v>
      </c>
      <c r="Z102" s="1021">
        <f>INPUT!AK560</f>
        <v>23.68</v>
      </c>
      <c r="AA102" s="1022">
        <f>INPUT!AL560</f>
        <v>-1.661129568106301</v>
      </c>
      <c r="AB102" s="1021">
        <f>INPUT!AM560</f>
        <v>26.37</v>
      </c>
      <c r="AC102" s="1022">
        <f>INPUT!AN560</f>
        <v>25.511661113755359</v>
      </c>
      <c r="AD102" s="1021">
        <f>INPUT!AO560</f>
        <v>24.29</v>
      </c>
      <c r="AE102" s="1022">
        <f>INPUT!AP560</f>
        <v>4.383326171035673</v>
      </c>
      <c r="AF102" s="1021">
        <f>INPUT!AQ560</f>
        <v>24.66</v>
      </c>
      <c r="AG102" s="1022">
        <f>INPUT!AR560</f>
        <v>1.2315270935960632</v>
      </c>
      <c r="AH102" s="1021">
        <f>INPUT!AS560</f>
        <v>21.94</v>
      </c>
      <c r="AI102" s="1022">
        <f>INPUT!AT560</f>
        <v>-7.3479729729729719</v>
      </c>
      <c r="AJ102" s="1021">
        <f>INPUT!AU560</f>
        <v>20.399999999999999</v>
      </c>
      <c r="AK102" s="1022">
        <f>INPUT!AV560</f>
        <v>-22.639362912400461</v>
      </c>
      <c r="AL102" s="1021">
        <f>INPUT!AW560</f>
        <v>22.17</v>
      </c>
      <c r="AM102" s="1022">
        <f>INPUT!AX560</f>
        <v>-8.7278715520790371</v>
      </c>
      <c r="AN102" s="1021">
        <f>INPUT!AY560</f>
        <v>22.52825452395577</v>
      </c>
      <c r="AO102" s="1023">
        <f>INPUT!AZ560</f>
        <v>-8.6445477536262416</v>
      </c>
      <c r="AP102" s="1021">
        <f>INPUT!BA560</f>
        <v>21.518483971083565</v>
      </c>
      <c r="AQ102" s="1023">
        <f>INPUT!BB560</f>
        <v>-1.9212216450156583</v>
      </c>
      <c r="AR102" s="1021">
        <f>INPUT!BC560</f>
        <v>20.431425021717331</v>
      </c>
      <c r="AS102" s="1023">
        <f>INPUT!BD560</f>
        <v>0.15404422410456586</v>
      </c>
      <c r="AT102" s="1021">
        <f>INPUT!BE560</f>
        <v>21.704162333830386</v>
      </c>
      <c r="AU102" s="1023">
        <f>INPUT!BF560</f>
        <v>-2.1012073350005211</v>
      </c>
      <c r="AV102" s="1021">
        <f>INPUT!BG560</f>
        <v>22.277764927725553</v>
      </c>
      <c r="AW102" s="1023">
        <f>INPUT!BH560</f>
        <v>-1.1118908300856378</v>
      </c>
      <c r="AX102" s="1021">
        <f>INPUT!BI560</f>
        <v>22.057609877429122</v>
      </c>
      <c r="AY102" s="1023">
        <f>INPUT!BJ560</f>
        <v>2.5054084064194848</v>
      </c>
      <c r="AZ102" s="1021">
        <f>INPUT!BK560</f>
        <v>22.186173096283394</v>
      </c>
      <c r="BA102" s="1023">
        <f>INPUT!BL560</f>
        <v>8.5884761963537883</v>
      </c>
      <c r="BB102" s="1021">
        <f>INPUT!BM560</f>
        <v>20.224292413982276</v>
      </c>
      <c r="BC102" s="1023">
        <f>INPUT!BN560</f>
        <v>-6.818369200738184</v>
      </c>
      <c r="BD102" s="1021">
        <f>INPUT!BO560</f>
        <v>19.321977935242849</v>
      </c>
      <c r="BE102" s="1023">
        <f>INPUT!BP560</f>
        <v>-13.267879439755248</v>
      </c>
      <c r="BF102" s="1021">
        <f>INPUT!BQ560</f>
        <v>19.391467513357568</v>
      </c>
      <c r="BG102" s="1023">
        <f>INPUT!BR560</f>
        <v>-12.087177073522081</v>
      </c>
      <c r="BH102" s="1021">
        <f>INPUT!BS560</f>
        <v>22.570979632760345</v>
      </c>
      <c r="BI102" s="1023">
        <f>INPUT!BT560</f>
        <v>1.7344430461574856</v>
      </c>
      <c r="BJ102" s="1021">
        <f>INPUT!BU560</f>
        <v>24.855877897530693</v>
      </c>
      <c r="BK102" s="1023">
        <f>INPUT!BV560</f>
        <v>22.901100264681308</v>
      </c>
      <c r="BL102" s="1021">
        <f>INPUT!BW560</f>
        <v>25.617429522691992</v>
      </c>
      <c r="BM102" s="1023">
        <f>INPUT!BX560</f>
        <v>32.581817495849542</v>
      </c>
      <c r="BN102" s="1021">
        <f>INPUT!BY560</f>
        <v>26.384758693078123</v>
      </c>
      <c r="BO102" s="1023">
        <f>INPUT!BZ560</f>
        <v>36.063754199641231</v>
      </c>
      <c r="BP102" s="1021">
        <f>INPUT!CA560</f>
        <v>27.118805258363761</v>
      </c>
      <c r="BQ102" s="1023">
        <f>INPUT!CB560</f>
        <v>20.148995301039285</v>
      </c>
      <c r="BR102" s="1021">
        <f>INPUT!CC560</f>
        <v>28.081752100443687</v>
      </c>
      <c r="BS102" s="1023">
        <f>INPUT!CD560</f>
        <v>12.978315295125697</v>
      </c>
      <c r="BT102" s="1021">
        <f>INPUT!CE560</f>
        <v>26.802310637216667</v>
      </c>
      <c r="BU102" s="1023">
        <f>INPUT!CF560</f>
        <v>4.6252927659080845</v>
      </c>
      <c r="BV102" s="1021">
        <f>INPUT!CG560</f>
        <v>27.582949136283787</v>
      </c>
      <c r="BW102" s="1023">
        <f>INPUT!CH560</f>
        <v>4.541221912027571</v>
      </c>
      <c r="BX102" s="1021">
        <f>INPUT!CI560</f>
        <v>28.405312168474079</v>
      </c>
      <c r="BY102" s="1023">
        <f>INPUT!CJ560</f>
        <v>4.7439660333618239</v>
      </c>
      <c r="BZ102" s="1021">
        <f>INPUT!CK560</f>
        <v>30.77</v>
      </c>
      <c r="CA102" s="1023">
        <f>INPUT!CL560</f>
        <v>9.5729350858910323</v>
      </c>
      <c r="CB102" s="1021">
        <f>INPUT!CM560</f>
        <v>27.909992224065789</v>
      </c>
      <c r="CC102" s="1023">
        <f>INPUT!CN560</f>
        <v>4.1327839298714641</v>
      </c>
      <c r="CD102" s="1021">
        <f>INPUT!CO560</f>
        <v>28.619821853006297</v>
      </c>
      <c r="CE102" s="1023">
        <f>INPUT!CP560</f>
        <v>3.7591075254479023</v>
      </c>
      <c r="CF102" s="1021">
        <f>INPUT!CQ560</f>
        <v>29.944636434766355</v>
      </c>
      <c r="CG102" s="1023">
        <f>INPUT!CR560</f>
        <v>5.4191422265047695</v>
      </c>
      <c r="CH102" s="1021">
        <f>INPUT!CS560</f>
        <v>31.529494341876596</v>
      </c>
      <c r="CI102" s="1023">
        <f>INPUT!CT560</f>
        <v>2.4682949037263535</v>
      </c>
      <c r="CJ102" s="1021">
        <f>INPUT!CU560</f>
        <v>31.874295824486126</v>
      </c>
      <c r="CK102" s="1023">
        <f>INPUT!CV560</f>
        <v>14.203886438212843</v>
      </c>
      <c r="CL102" s="1024">
        <f>INPUT!CW560</f>
        <v>32.055551508875233</v>
      </c>
      <c r="CM102" s="1015">
        <f>INPUT!CX560</f>
        <v>12.004720621655585</v>
      </c>
      <c r="CN102" s="1024">
        <f>INPUT!CY560</f>
        <v>31.797097019819496</v>
      </c>
      <c r="CO102" s="1015">
        <f>INPUT!CZ560</f>
        <v>6.1862851101521343</v>
      </c>
      <c r="CP102" s="1024">
        <f>INPUT!DA560</f>
        <v>33.20024515006795</v>
      </c>
      <c r="CQ102" s="1015">
        <f>INPUT!DB560</f>
        <v>5.2990092073005757</v>
      </c>
      <c r="CR102" s="1024">
        <f>INPUT!DC560</f>
        <v>33.230384615384615</v>
      </c>
      <c r="CS102" s="1015">
        <f>INPUT!DD560</f>
        <v>4.2544901960053005</v>
      </c>
      <c r="CT102" s="1024">
        <f>INPUT!DE560</f>
        <v>34.679347826086953</v>
      </c>
      <c r="CU102" s="1015">
        <f>INPUT!DF560</f>
        <v>8.1851541892369752</v>
      </c>
      <c r="CV102" s="1024">
        <f>INPUT!DG560</f>
        <v>36.278257456828889</v>
      </c>
      <c r="CW102" s="1015">
        <f>INPUT!DH560</f>
        <v>14.092986017611086</v>
      </c>
      <c r="CX102" s="1024">
        <f>INPUT!DI560</f>
        <v>36.693132195315599</v>
      </c>
      <c r="CY102" s="1015">
        <f>INPUT!DJ560</f>
        <v>10.520666427189006</v>
      </c>
      <c r="CZ102" s="1024">
        <f>INPUT!DK560</f>
        <v>33.776852952833927</v>
      </c>
      <c r="DA102" s="1015">
        <f>INPUT!DL560</f>
        <v>1.6444839377402598</v>
      </c>
      <c r="DB102" s="1024">
        <f>INPUT!DM560</f>
        <v>34.821242484969936</v>
      </c>
      <c r="DC102" s="1015">
        <f>INPUT!DN560</f>
        <v>0.40916184351149631</v>
      </c>
      <c r="DD102" s="1024">
        <f>INPUT!DO560</f>
        <v>34.532441200324413</v>
      </c>
      <c r="DE102" s="1015">
        <f>INPUT!DP560</f>
        <v>-4.8122935854402531</v>
      </c>
      <c r="DF102" s="1024">
        <f>INPUT!DQ560</f>
        <v>35.255135579293345</v>
      </c>
      <c r="DG102" s="1015">
        <f>INPUT!DR560</f>
        <v>-3.9189802831981591</v>
      </c>
      <c r="DH102" s="1024">
        <f>INPUT!DS560</f>
        <v>35.964715649647154</v>
      </c>
      <c r="DI102" s="1015">
        <f>INPUT!DT560</f>
        <v>6.4774024384934847</v>
      </c>
      <c r="DJ102" s="1024">
        <f>INPUT!DU560</f>
        <v>37.521241692605365</v>
      </c>
      <c r="DK102" s="1015">
        <f>INPUT!DV560</f>
        <v>7.7538853152665066</v>
      </c>
      <c r="DL102" s="1024">
        <f>INPUT!DW560</f>
        <v>38.960983704207976</v>
      </c>
      <c r="DM102" s="1015">
        <f>INPUT!DX560</f>
        <v>12.824296082033037</v>
      </c>
      <c r="DN102" s="1024">
        <f>INPUT!DY560</f>
        <v>40.332615252046537</v>
      </c>
      <c r="DO102" s="1015">
        <f>INPUT!DZ560</f>
        <v>14.402099408562163</v>
      </c>
      <c r="DP102" s="1024">
        <f>INPUT!EA560</f>
        <v>39.025239338555266</v>
      </c>
      <c r="DQ102" s="1015">
        <f>INPUT!EB560</f>
        <v>8.5097953191745503</v>
      </c>
      <c r="DR102" s="1024">
        <f>INPUT!EC560</f>
        <v>39.910916264796136</v>
      </c>
      <c r="DS102" s="1015">
        <f>INPUT!ED560</f>
        <v>6.3688579172520354</v>
      </c>
      <c r="DT102" s="1024">
        <f>INPUT!EE560</f>
        <v>41.205661211853162</v>
      </c>
      <c r="DU102" s="1015">
        <f>INPUT!EF560</f>
        <v>5.761347107369752</v>
      </c>
      <c r="DV102" s="1024">
        <f>INPUT!EG560</f>
        <v>42.106060606060609</v>
      </c>
      <c r="DW102" s="1015">
        <f>INPUT!EH560</f>
        <v>4.3970502357247643</v>
      </c>
      <c r="DX102" s="1024">
        <f>INPUT!EI560</f>
        <v>43.033258426966292</v>
      </c>
      <c r="DY102" s="1015">
        <f>INPUT!EJ560</f>
        <v>10.270325451793649</v>
      </c>
      <c r="DZ102" s="1024">
        <f>INPUT!EK560</f>
        <v>43.910213799561866</v>
      </c>
      <c r="EA102" s="1015">
        <f>INPUT!EL560</f>
        <v>10.020560561004599</v>
      </c>
      <c r="EB102" s="1024">
        <f>INPUT!EM560</f>
        <v>44.868291594120755</v>
      </c>
      <c r="EC102" s="1015">
        <f>INPUT!EN560</f>
        <v>8.8886581953792501</v>
      </c>
      <c r="ED102" s="1024">
        <f>INPUT!EO560</f>
        <v>45.809815078729173</v>
      </c>
      <c r="EE102" s="1015">
        <f>INPUT!EP560</f>
        <v>8.7962502769386433</v>
      </c>
      <c r="EF102" s="1024">
        <f>INPUT!EQ560</f>
        <v>46.777130931185596</v>
      </c>
      <c r="EG102" s="1015">
        <f>INPUT!ER560</f>
        <v>8.6999512495043785</v>
      </c>
      <c r="EH102" s="1015"/>
      <c r="EI102" s="1012">
        <f>INPUT!FB560</f>
        <v>24.38217461735476</v>
      </c>
      <c r="EJ102" s="1025" t="str">
        <f>INPUT!FC560</f>
        <v>NA</v>
      </c>
      <c r="EK102" s="1012">
        <f>INPUT!FD560</f>
        <v>28.152679097549481</v>
      </c>
      <c r="EL102" s="1025">
        <f>INPUT!FE560</f>
        <v>15.464184550261351</v>
      </c>
      <c r="EM102" s="1012">
        <f>INPUT!FF560</f>
        <v>26.331592736950725</v>
      </c>
      <c r="EN102" s="1025">
        <f>INPUT!FG560</f>
        <v>-6.4686076742062841</v>
      </c>
      <c r="EO102" s="1012">
        <f>INPUT!FH560</f>
        <v>24.46986876639442</v>
      </c>
      <c r="EP102" s="1025">
        <f>INPUT!FI560</f>
        <v>-7.0703052001247713</v>
      </c>
      <c r="EQ102" s="1012">
        <f>INPUT!FJ560</f>
        <v>23.563561907075552</v>
      </c>
      <c r="ER102" s="1015">
        <f>INPUT!FK560</f>
        <v>-3.7037667343910674</v>
      </c>
      <c r="ES102" s="1024">
        <f>INPUT!FL560</f>
        <v>22.52825452395577</v>
      </c>
      <c r="ET102" s="1015">
        <f>INPUT!FM560</f>
        <v>-4.3936794751259782</v>
      </c>
      <c r="EU102" s="1024">
        <f>INPUT!FN560</f>
        <v>22.277764927725553</v>
      </c>
      <c r="EV102" s="1015">
        <f>INPUT!FO560</f>
        <v>-1.1118908300856378</v>
      </c>
      <c r="EW102" s="1024">
        <f>INPUT!FP560</f>
        <v>19.321977935242849</v>
      </c>
      <c r="EX102" s="1015">
        <f>INPUT!FQ560</f>
        <v>-13.267879439755248</v>
      </c>
      <c r="EY102" s="1024">
        <f>INPUT!FR560</f>
        <v>25.617429522691992</v>
      </c>
      <c r="EZ102" s="1015">
        <f>INPUT!FS560</f>
        <v>32.581817495849542</v>
      </c>
      <c r="FA102" s="1024">
        <f>INPUT!FT560</f>
        <v>26.802310637216667</v>
      </c>
      <c r="FB102" s="1015">
        <f>INPUT!FU560</f>
        <v>4.6252927659080845</v>
      </c>
      <c r="FC102" s="1024">
        <f>INPUT!FV560</f>
        <v>27.909992224065789</v>
      </c>
      <c r="FD102" s="1015">
        <f>INPUT!FW560</f>
        <v>4.1327839298714641</v>
      </c>
      <c r="FE102" s="1024">
        <f>INPUT!FX560</f>
        <v>31.874295824486126</v>
      </c>
      <c r="FF102" s="1015">
        <f>INPUT!FY560</f>
        <v>14.203886438212843</v>
      </c>
      <c r="FG102" s="1024">
        <f>INPUT!FZ560</f>
        <v>33.230384615384615</v>
      </c>
      <c r="FH102" s="1015">
        <f>INPUT!GA560</f>
        <v>4.2544901960053005</v>
      </c>
      <c r="FI102" s="1024">
        <f>INPUT!GB560</f>
        <v>33.776852952833927</v>
      </c>
      <c r="FJ102" s="1015">
        <f>INPUT!GC560</f>
        <v>1.6444839377402598</v>
      </c>
      <c r="FK102" s="1024">
        <f>INPUT!GD560</f>
        <v>35.964715649647154</v>
      </c>
      <c r="FL102" s="1015">
        <f>INPUT!GE560</f>
        <v>6.4774024384934847</v>
      </c>
      <c r="FM102" s="1024">
        <f>INPUT!GF560</f>
        <v>39.025239338555266</v>
      </c>
      <c r="FN102" s="1015">
        <f>INPUT!GG560</f>
        <v>8.5097953191745503</v>
      </c>
      <c r="FO102" s="1024">
        <f>INPUT!GH560</f>
        <v>43.033258426966292</v>
      </c>
      <c r="FP102" s="1015">
        <f>INPUT!GI560</f>
        <v>10.270325451793649</v>
      </c>
      <c r="FQ102" s="1024">
        <f>INPUT!GJ560</f>
        <v>46.777130931185596</v>
      </c>
      <c r="FR102" s="1015">
        <f>INPUT!GK560</f>
        <v>8.6999512495043785</v>
      </c>
      <c r="FS102" s="1024">
        <f>INPUT!GL560</f>
        <v>50.764313932752401</v>
      </c>
      <c r="FT102" s="1015">
        <f>INPUT!GM560</f>
        <v>8.5237869920504536</v>
      </c>
      <c r="FU102" s="1024">
        <f>INPUT!GN560</f>
        <v>55.003046586039908</v>
      </c>
      <c r="FV102" s="1015">
        <f>INPUT!GO560</f>
        <v>8.3498275164371591</v>
      </c>
      <c r="FW102" s="1024">
        <f>INPUT!GP560</f>
        <v>59.540747171289361</v>
      </c>
      <c r="FX102" s="1015">
        <f>INPUT!GQ560</f>
        <v>8.2499077176593225</v>
      </c>
      <c r="FY102" s="1024">
        <f>INPUT!GR560</f>
        <v>64.355981230460358</v>
      </c>
      <c r="FZ102" s="1015">
        <f>INPUT!GS560</f>
        <v>8.0872919604423554</v>
      </c>
      <c r="GA102" s="1016">
        <f>INPUT!GT560</f>
        <v>8.3819441132489292</v>
      </c>
    </row>
    <row r="103" spans="1:183" s="707" customFormat="1" ht="12.75" customHeight="1" x14ac:dyDescent="0.2">
      <c r="A103" s="679"/>
      <c r="B103" s="664"/>
      <c r="C103" s="824"/>
      <c r="D103" s="664"/>
      <c r="E103" s="665"/>
      <c r="F103" s="664"/>
      <c r="G103" s="665"/>
      <c r="H103" s="664"/>
      <c r="I103" s="665"/>
      <c r="J103" s="664"/>
      <c r="K103" s="665"/>
      <c r="L103" s="664"/>
      <c r="M103" s="665"/>
      <c r="N103" s="664"/>
      <c r="O103" s="665"/>
      <c r="P103" s="664"/>
      <c r="Q103" s="665"/>
      <c r="R103" s="664"/>
      <c r="S103" s="665"/>
      <c r="T103" s="664"/>
      <c r="U103" s="665"/>
      <c r="V103" s="664"/>
      <c r="W103" s="665"/>
      <c r="X103" s="664"/>
      <c r="Y103" s="665"/>
      <c r="Z103" s="664"/>
      <c r="AA103" s="665"/>
      <c r="AB103" s="664"/>
      <c r="AC103" s="665"/>
      <c r="AD103" s="664"/>
      <c r="AE103" s="665"/>
      <c r="AF103" s="664"/>
      <c r="AG103" s="665"/>
      <c r="AH103" s="664"/>
      <c r="AI103" s="665"/>
      <c r="AJ103" s="664"/>
      <c r="AK103" s="665"/>
      <c r="AL103" s="664"/>
      <c r="AM103" s="665"/>
      <c r="AN103" s="664"/>
      <c r="AO103" s="667"/>
      <c r="AP103" s="664"/>
      <c r="AQ103" s="667"/>
      <c r="AR103" s="664"/>
      <c r="AS103" s="667"/>
      <c r="AT103" s="664"/>
      <c r="AU103" s="667"/>
      <c r="AV103" s="664"/>
      <c r="AW103" s="667"/>
      <c r="AX103" s="664"/>
      <c r="AY103" s="667"/>
      <c r="AZ103" s="664"/>
      <c r="BA103" s="667"/>
      <c r="BB103" s="664"/>
      <c r="BC103" s="667"/>
      <c r="BD103" s="664"/>
      <c r="BE103" s="667"/>
      <c r="BF103" s="664"/>
      <c r="BG103" s="667"/>
      <c r="BH103" s="664"/>
      <c r="BI103" s="667"/>
      <c r="BJ103" s="664"/>
      <c r="BK103" s="667"/>
      <c r="BL103" s="664"/>
      <c r="BM103" s="667"/>
      <c r="BN103" s="664"/>
      <c r="BO103" s="667"/>
      <c r="BP103" s="664"/>
      <c r="BQ103" s="667"/>
      <c r="BR103" s="664"/>
      <c r="BS103" s="667"/>
      <c r="BT103" s="664"/>
      <c r="BU103" s="667"/>
      <c r="BV103" s="664"/>
      <c r="BW103" s="667"/>
      <c r="BX103" s="664"/>
      <c r="BY103" s="667"/>
      <c r="BZ103" s="664"/>
      <c r="CA103" s="667"/>
      <c r="CB103" s="664"/>
      <c r="CC103" s="667"/>
      <c r="CD103" s="664"/>
      <c r="CE103" s="667"/>
      <c r="CF103" s="664"/>
      <c r="CG103" s="667"/>
      <c r="CH103" s="664"/>
      <c r="CI103" s="667"/>
      <c r="CJ103" s="664"/>
      <c r="CK103" s="667"/>
      <c r="CL103" s="669"/>
      <c r="CM103" s="670"/>
      <c r="CN103" s="669"/>
      <c r="CO103" s="670"/>
      <c r="CP103" s="669"/>
      <c r="CQ103" s="670"/>
      <c r="CR103" s="669"/>
      <c r="CS103" s="670"/>
      <c r="CT103" s="669"/>
      <c r="CU103" s="670"/>
      <c r="CV103" s="669"/>
      <c r="CW103" s="670"/>
      <c r="CX103" s="669"/>
      <c r="CY103" s="670"/>
      <c r="CZ103" s="669"/>
      <c r="DA103" s="670"/>
      <c r="DB103" s="669"/>
      <c r="DC103" s="670"/>
      <c r="DD103" s="669"/>
      <c r="DE103" s="670"/>
      <c r="DF103" s="669"/>
      <c r="DG103" s="670"/>
      <c r="DH103" s="669"/>
      <c r="DI103" s="670"/>
      <c r="DJ103" s="669"/>
      <c r="DK103" s="670"/>
      <c r="DL103" s="669"/>
      <c r="DM103" s="670"/>
      <c r="DN103" s="669"/>
      <c r="DO103" s="670"/>
      <c r="DP103" s="669"/>
      <c r="DQ103" s="670"/>
      <c r="DR103" s="669"/>
      <c r="DS103" s="670"/>
      <c r="DT103" s="669"/>
      <c r="DU103" s="670"/>
      <c r="DV103" s="669"/>
      <c r="DW103" s="670"/>
      <c r="DX103" s="669"/>
      <c r="DY103" s="670"/>
      <c r="DZ103" s="669"/>
      <c r="EA103" s="670"/>
      <c r="EB103" s="669"/>
      <c r="EC103" s="670"/>
      <c r="ED103" s="669"/>
      <c r="EE103" s="670"/>
      <c r="EF103" s="669"/>
      <c r="EG103" s="670"/>
      <c r="EH103" s="670"/>
      <c r="EI103" s="669"/>
      <c r="EJ103" s="671"/>
      <c r="EK103" s="669"/>
      <c r="EL103" s="671"/>
      <c r="EM103" s="669"/>
      <c r="EN103" s="671"/>
      <c r="EO103" s="669"/>
      <c r="EP103" s="671"/>
      <c r="EQ103" s="669"/>
      <c r="ER103" s="670"/>
      <c r="ES103" s="669"/>
      <c r="ET103" s="670"/>
      <c r="EU103" s="669"/>
      <c r="EV103" s="670"/>
      <c r="EW103" s="669"/>
      <c r="EX103" s="670"/>
      <c r="EY103" s="669"/>
      <c r="EZ103" s="670"/>
      <c r="FA103" s="669"/>
      <c r="FB103" s="670"/>
      <c r="FC103" s="669"/>
      <c r="FD103" s="670"/>
      <c r="FE103" s="669"/>
      <c r="FF103" s="670"/>
      <c r="FG103" s="669"/>
      <c r="FH103" s="670"/>
      <c r="FI103" s="669"/>
      <c r="FJ103" s="670"/>
      <c r="FK103" s="669"/>
      <c r="FL103" s="670"/>
      <c r="FM103" s="669"/>
      <c r="FN103" s="670"/>
      <c r="FO103" s="669"/>
      <c r="FP103" s="670"/>
      <c r="FQ103" s="669"/>
      <c r="FR103" s="670"/>
      <c r="FS103" s="669"/>
      <c r="FT103" s="670"/>
      <c r="FU103" s="669"/>
      <c r="FV103" s="670"/>
      <c r="FW103" s="669"/>
      <c r="FX103" s="670"/>
      <c r="FY103" s="669"/>
      <c r="FZ103" s="670"/>
      <c r="GA103" s="671"/>
    </row>
    <row r="104" spans="1:183" s="707" customFormat="1" ht="12.75" customHeight="1" x14ac:dyDescent="0.2">
      <c r="A104" s="837" t="str">
        <f>+A55</f>
        <v>Quarterly income statement ratios are annualized where appropriate     E = Morgan Stanley Research Estimates      NM = Not Meaningful       NA = Not Applicable              CAGR = Cumulative Average Growth Rate</v>
      </c>
      <c r="B104" s="664"/>
      <c r="C104" s="665"/>
      <c r="D104" s="664"/>
      <c r="E104" s="665"/>
      <c r="F104" s="664"/>
      <c r="G104" s="665"/>
      <c r="H104" s="664"/>
      <c r="I104" s="665"/>
      <c r="J104" s="664"/>
      <c r="K104" s="665"/>
      <c r="L104" s="664"/>
      <c r="M104" s="665"/>
      <c r="N104" s="664"/>
      <c r="O104" s="665"/>
      <c r="P104" s="664"/>
      <c r="Q104" s="665"/>
      <c r="R104" s="664"/>
      <c r="S104" s="665"/>
      <c r="T104" s="664"/>
      <c r="U104" s="665"/>
      <c r="V104" s="664"/>
      <c r="W104" s="665"/>
      <c r="X104" s="664"/>
      <c r="Y104" s="665"/>
      <c r="Z104" s="664"/>
      <c r="AA104" s="665"/>
      <c r="AB104" s="664"/>
      <c r="AC104" s="665"/>
      <c r="AD104" s="664"/>
      <c r="AE104" s="665"/>
      <c r="AF104" s="664"/>
      <c r="AG104" s="665"/>
      <c r="AH104" s="664"/>
      <c r="AI104" s="665"/>
      <c r="AJ104" s="664"/>
      <c r="AK104" s="665"/>
      <c r="AL104" s="664"/>
      <c r="AM104" s="665"/>
      <c r="AN104" s="664"/>
      <c r="AO104" s="667"/>
      <c r="AP104" s="664"/>
      <c r="AQ104" s="667"/>
      <c r="AR104" s="664"/>
      <c r="AS104" s="667"/>
      <c r="AT104" s="664"/>
      <c r="AU104" s="667"/>
      <c r="AV104" s="664"/>
      <c r="AW104" s="667"/>
      <c r="AX104" s="664"/>
      <c r="AY104" s="667"/>
      <c r="AZ104" s="664"/>
      <c r="BA104" s="667"/>
      <c r="BB104" s="664"/>
      <c r="BC104" s="667"/>
      <c r="BD104" s="664"/>
      <c r="BE104" s="667"/>
      <c r="BF104" s="664"/>
      <c r="BG104" s="667"/>
      <c r="BH104" s="664"/>
      <c r="BI104" s="667"/>
      <c r="BJ104" s="664"/>
      <c r="BK104" s="667"/>
      <c r="BL104" s="664"/>
      <c r="BM104" s="667"/>
      <c r="BN104" s="664"/>
      <c r="BO104" s="667"/>
      <c r="BP104" s="664"/>
      <c r="BQ104" s="667"/>
      <c r="BR104" s="664"/>
      <c r="BS104" s="667"/>
      <c r="BT104" s="664"/>
      <c r="BU104" s="667"/>
      <c r="BV104" s="664"/>
      <c r="BW104" s="667"/>
      <c r="BX104" s="664"/>
      <c r="BY104" s="667"/>
      <c r="BZ104" s="664"/>
      <c r="CA104" s="667"/>
      <c r="CB104" s="664"/>
      <c r="CC104" s="667"/>
      <c r="CD104" s="664"/>
      <c r="CE104" s="667"/>
      <c r="CF104" s="664"/>
      <c r="CG104" s="667"/>
      <c r="CH104" s="664"/>
      <c r="CI104" s="667"/>
      <c r="CJ104" s="664"/>
      <c r="CK104" s="667"/>
      <c r="CL104" s="669"/>
      <c r="CM104" s="670"/>
      <c r="CN104" s="669"/>
      <c r="CO104" s="670"/>
      <c r="CP104" s="669"/>
      <c r="CQ104" s="670"/>
      <c r="CR104" s="669"/>
      <c r="CS104" s="670"/>
      <c r="CT104" s="669"/>
      <c r="CU104" s="670"/>
      <c r="CV104" s="669"/>
      <c r="CW104" s="670"/>
      <c r="CX104" s="669"/>
      <c r="CY104" s="670"/>
      <c r="CZ104" s="669"/>
      <c r="DA104" s="670"/>
      <c r="DB104" s="669"/>
      <c r="DC104" s="670"/>
      <c r="DD104" s="669"/>
      <c r="DE104" s="670"/>
      <c r="DF104" s="669"/>
      <c r="DG104" s="670"/>
      <c r="DH104" s="669"/>
      <c r="DI104" s="670"/>
      <c r="DJ104" s="669"/>
      <c r="DK104" s="670"/>
      <c r="DL104" s="669"/>
      <c r="DM104" s="670"/>
      <c r="DN104" s="669"/>
      <c r="DO104" s="670"/>
      <c r="DP104" s="669"/>
      <c r="DQ104" s="670"/>
      <c r="DR104" s="669"/>
      <c r="DS104" s="670"/>
      <c r="DT104" s="669"/>
      <c r="DU104" s="670"/>
      <c r="DV104" s="669"/>
      <c r="DW104" s="670"/>
      <c r="DX104" s="669"/>
      <c r="DY104" s="670"/>
      <c r="DZ104" s="669"/>
      <c r="EA104" s="670"/>
      <c r="EB104" s="669"/>
      <c r="EC104" s="670"/>
      <c r="ED104" s="669"/>
      <c r="EE104" s="670"/>
      <c r="EF104" s="669"/>
      <c r="EG104" s="670"/>
      <c r="EH104" s="670"/>
      <c r="EI104" s="669"/>
      <c r="EJ104" s="671"/>
      <c r="EK104" s="669"/>
      <c r="EL104" s="671"/>
      <c r="EM104" s="669"/>
      <c r="EN104" s="671"/>
      <c r="EO104" s="669"/>
      <c r="EP104" s="671"/>
      <c r="EQ104" s="669"/>
      <c r="ER104" s="670"/>
      <c r="ES104" s="669"/>
      <c r="ET104" s="670"/>
      <c r="EU104" s="669"/>
      <c r="EV104" s="670"/>
      <c r="EW104" s="669"/>
      <c r="EX104" s="670"/>
      <c r="EY104" s="669"/>
      <c r="EZ104" s="670"/>
      <c r="FA104" s="669"/>
      <c r="FB104" s="670"/>
      <c r="FC104" s="669"/>
      <c r="FD104" s="670"/>
      <c r="FE104" s="669"/>
      <c r="FF104" s="670"/>
      <c r="FG104" s="669"/>
      <c r="FH104" s="670"/>
      <c r="FI104" s="669"/>
      <c r="FJ104" s="670"/>
      <c r="FK104" s="669"/>
      <c r="FL104" s="670"/>
      <c r="FM104" s="669"/>
      <c r="FN104" s="670"/>
      <c r="FO104" s="669"/>
      <c r="FP104" s="670"/>
      <c r="FQ104" s="669"/>
      <c r="FR104" s="670"/>
      <c r="FS104" s="669"/>
      <c r="FT104" s="670"/>
      <c r="FU104" s="669"/>
      <c r="FV104" s="670"/>
      <c r="FW104" s="669"/>
      <c r="FX104" s="670"/>
      <c r="FY104" s="669"/>
      <c r="FZ104" s="670"/>
      <c r="GA104" s="671"/>
    </row>
    <row r="105" spans="1:183" s="707" customFormat="1" ht="12.75" customHeight="1" x14ac:dyDescent="0.2">
      <c r="A105" s="701" t="s">
        <v>353</v>
      </c>
      <c r="B105" s="664"/>
      <c r="C105" s="665"/>
      <c r="D105" s="664"/>
      <c r="E105" s="665"/>
      <c r="F105" s="664"/>
      <c r="G105" s="665"/>
      <c r="H105" s="664"/>
      <c r="I105" s="665"/>
      <c r="J105" s="664"/>
      <c r="K105" s="665"/>
      <c r="L105" s="664"/>
      <c r="M105" s="665"/>
      <c r="N105" s="664"/>
      <c r="O105" s="665"/>
      <c r="P105" s="664"/>
      <c r="Q105" s="665"/>
      <c r="R105" s="664"/>
      <c r="S105" s="665"/>
      <c r="T105" s="664"/>
      <c r="U105" s="665"/>
      <c r="V105" s="664"/>
      <c r="W105" s="665"/>
      <c r="X105" s="664"/>
      <c r="Y105" s="665"/>
      <c r="Z105" s="664"/>
      <c r="AA105" s="665"/>
      <c r="AB105" s="664"/>
      <c r="AC105" s="665"/>
      <c r="AD105" s="664"/>
      <c r="AE105" s="665"/>
      <c r="AF105" s="664"/>
      <c r="AG105" s="665"/>
      <c r="AH105" s="664"/>
      <c r="AI105" s="665"/>
      <c r="AJ105" s="664"/>
      <c r="AK105" s="665"/>
      <c r="AL105" s="664"/>
      <c r="AM105" s="665"/>
      <c r="AN105" s="664"/>
      <c r="AO105" s="667"/>
      <c r="AP105" s="664"/>
      <c r="AQ105" s="667"/>
      <c r="AR105" s="664"/>
      <c r="AS105" s="667"/>
      <c r="AT105" s="664"/>
      <c r="AU105" s="667"/>
      <c r="AV105" s="664"/>
      <c r="AW105" s="667"/>
      <c r="AX105" s="664"/>
      <c r="AY105" s="667"/>
      <c r="AZ105" s="664"/>
      <c r="BA105" s="667"/>
      <c r="BB105" s="664"/>
      <c r="BC105" s="667"/>
      <c r="BD105" s="664"/>
      <c r="BE105" s="667"/>
      <c r="BF105" s="664"/>
      <c r="BG105" s="667"/>
      <c r="BH105" s="664"/>
      <c r="BI105" s="667"/>
      <c r="BJ105" s="664"/>
      <c r="BK105" s="667"/>
      <c r="BL105" s="664"/>
      <c r="BM105" s="667"/>
      <c r="BN105" s="664"/>
      <c r="BO105" s="667"/>
      <c r="BP105" s="664"/>
      <c r="BQ105" s="667"/>
      <c r="BR105" s="664"/>
      <c r="BS105" s="667"/>
      <c r="BT105" s="664"/>
      <c r="BU105" s="667"/>
      <c r="BV105" s="664"/>
      <c r="BW105" s="667"/>
      <c r="BX105" s="664"/>
      <c r="BY105" s="667"/>
      <c r="BZ105" s="664"/>
      <c r="CA105" s="667"/>
      <c r="CB105" s="664"/>
      <c r="CC105" s="667"/>
      <c r="CD105" s="664"/>
      <c r="CE105" s="667"/>
      <c r="CF105" s="664"/>
      <c r="CG105" s="667"/>
      <c r="CH105" s="664"/>
      <c r="CI105" s="667"/>
      <c r="CJ105" s="664"/>
      <c r="CK105" s="667"/>
      <c r="CL105" s="669"/>
      <c r="CM105" s="670"/>
      <c r="CN105" s="669"/>
      <c r="CO105" s="670"/>
      <c r="CP105" s="669"/>
      <c r="CQ105" s="670"/>
      <c r="CR105" s="669"/>
      <c r="CS105" s="670"/>
      <c r="CT105" s="669"/>
      <c r="CU105" s="670"/>
      <c r="CV105" s="669"/>
      <c r="CW105" s="670"/>
      <c r="CX105" s="669"/>
      <c r="CY105" s="670"/>
      <c r="CZ105" s="669"/>
      <c r="DA105" s="670"/>
      <c r="DB105" s="669"/>
      <c r="DC105" s="670"/>
      <c r="DD105" s="669"/>
      <c r="DE105" s="670"/>
      <c r="DF105" s="669"/>
      <c r="DG105" s="670"/>
      <c r="DH105" s="669"/>
      <c r="DI105" s="670"/>
      <c r="DJ105" s="669"/>
      <c r="DK105" s="670"/>
      <c r="DL105" s="669"/>
      <c r="DM105" s="670"/>
      <c r="DN105" s="669"/>
      <c r="DO105" s="670"/>
      <c r="DP105" s="669"/>
      <c r="DQ105" s="670"/>
      <c r="DR105" s="669"/>
      <c r="DS105" s="670"/>
      <c r="DT105" s="669"/>
      <c r="DU105" s="670"/>
      <c r="DV105" s="669"/>
      <c r="DW105" s="670"/>
      <c r="DX105" s="669"/>
      <c r="DY105" s="670"/>
      <c r="DZ105" s="669"/>
      <c r="EA105" s="670"/>
      <c r="EB105" s="669"/>
      <c r="EC105" s="670"/>
      <c r="ED105" s="669"/>
      <c r="EE105" s="670"/>
      <c r="EF105" s="669"/>
      <c r="EG105" s="670"/>
      <c r="EH105" s="670"/>
      <c r="EI105" s="669"/>
      <c r="EJ105" s="671"/>
      <c r="EK105" s="669"/>
      <c r="EL105" s="671"/>
      <c r="EM105" s="669"/>
      <c r="EN105" s="671"/>
      <c r="EO105" s="669"/>
      <c r="EP105" s="671"/>
      <c r="EQ105" s="669"/>
      <c r="ER105" s="670"/>
      <c r="ES105" s="669"/>
      <c r="ET105" s="670"/>
      <c r="EU105" s="669"/>
      <c r="EV105" s="670"/>
      <c r="EW105" s="669"/>
      <c r="EX105" s="670"/>
      <c r="EY105" s="669"/>
      <c r="EZ105" s="670"/>
      <c r="FA105" s="669"/>
      <c r="FB105" s="670"/>
      <c r="FC105" s="669"/>
      <c r="FD105" s="670"/>
      <c r="FE105" s="669"/>
      <c r="FF105" s="670"/>
      <c r="FG105" s="669"/>
      <c r="FH105" s="670"/>
      <c r="FI105" s="669"/>
      <c r="FJ105" s="670"/>
      <c r="FK105" s="669"/>
      <c r="FL105" s="670"/>
      <c r="FM105" s="669"/>
      <c r="FN105" s="670"/>
      <c r="FO105" s="669"/>
      <c r="FP105" s="670"/>
      <c r="FQ105" s="669"/>
      <c r="FR105" s="670"/>
      <c r="FS105" s="669"/>
      <c r="FT105" s="670"/>
      <c r="FU105" s="669"/>
      <c r="FV105" s="670"/>
      <c r="FW105" s="669"/>
      <c r="FX105" s="670"/>
      <c r="FY105" s="669"/>
      <c r="FZ105" s="670"/>
      <c r="GA105" s="671"/>
    </row>
    <row r="106" spans="1:183" s="707" customFormat="1" ht="12.75" customHeight="1" x14ac:dyDescent="0.2">
      <c r="A106" s="701" t="s">
        <v>472</v>
      </c>
      <c r="B106" s="664"/>
      <c r="C106" s="665"/>
      <c r="D106" s="664"/>
      <c r="E106" s="665"/>
      <c r="F106" s="664"/>
      <c r="G106" s="665"/>
      <c r="H106" s="664"/>
      <c r="I106" s="665"/>
      <c r="J106" s="664"/>
      <c r="K106" s="665"/>
      <c r="L106" s="664"/>
      <c r="M106" s="665"/>
      <c r="N106" s="664"/>
      <c r="O106" s="665"/>
      <c r="P106" s="664"/>
      <c r="Q106" s="665"/>
      <c r="R106" s="664"/>
      <c r="S106" s="665"/>
      <c r="T106" s="664"/>
      <c r="U106" s="665"/>
      <c r="V106" s="664"/>
      <c r="W106" s="665"/>
      <c r="X106" s="664"/>
      <c r="Y106" s="665"/>
      <c r="Z106" s="664"/>
      <c r="AA106" s="665"/>
      <c r="AB106" s="664"/>
      <c r="AC106" s="665"/>
      <c r="AD106" s="664"/>
      <c r="AE106" s="665"/>
      <c r="AF106" s="664"/>
      <c r="AG106" s="665"/>
      <c r="AH106" s="664"/>
      <c r="AI106" s="665"/>
      <c r="AJ106" s="664"/>
      <c r="AK106" s="665"/>
      <c r="AL106" s="664"/>
      <c r="AM106" s="665"/>
      <c r="AN106" s="664"/>
      <c r="AO106" s="667"/>
      <c r="AP106" s="664"/>
      <c r="AQ106" s="667"/>
      <c r="AR106" s="664"/>
      <c r="AS106" s="667"/>
      <c r="AT106" s="664"/>
      <c r="AU106" s="667"/>
      <c r="AV106" s="664"/>
      <c r="AW106" s="667"/>
      <c r="AX106" s="664"/>
      <c r="AY106" s="667"/>
      <c r="AZ106" s="664"/>
      <c r="BA106" s="667"/>
      <c r="BB106" s="664"/>
      <c r="BC106" s="667"/>
      <c r="BD106" s="664"/>
      <c r="BE106" s="667"/>
      <c r="BF106" s="664"/>
      <c r="BG106" s="667"/>
      <c r="BH106" s="664"/>
      <c r="BI106" s="667"/>
      <c r="BJ106" s="664"/>
      <c r="BK106" s="667"/>
      <c r="BL106" s="664"/>
      <c r="BM106" s="667"/>
      <c r="BN106" s="664"/>
      <c r="BO106" s="667"/>
      <c r="BP106" s="664"/>
      <c r="BQ106" s="667"/>
      <c r="BR106" s="664"/>
      <c r="BS106" s="667"/>
      <c r="BT106" s="664"/>
      <c r="BU106" s="667"/>
      <c r="BV106" s="664"/>
      <c r="BW106" s="667"/>
      <c r="BX106" s="664"/>
      <c r="BY106" s="667"/>
      <c r="BZ106" s="664"/>
      <c r="CA106" s="667"/>
      <c r="CB106" s="664"/>
      <c r="CC106" s="667"/>
      <c r="CD106" s="664"/>
      <c r="CE106" s="667"/>
      <c r="CF106" s="664"/>
      <c r="CG106" s="667"/>
      <c r="CH106" s="664"/>
      <c r="CI106" s="667"/>
      <c r="CJ106" s="664"/>
      <c r="CK106" s="667"/>
      <c r="CL106" s="669"/>
      <c r="CM106" s="670"/>
      <c r="CN106" s="669"/>
      <c r="CO106" s="670"/>
      <c r="CP106" s="669"/>
      <c r="CQ106" s="670"/>
      <c r="CR106" s="669"/>
      <c r="CS106" s="670"/>
      <c r="CT106" s="669"/>
      <c r="CU106" s="670"/>
      <c r="CV106" s="669"/>
      <c r="CW106" s="670"/>
      <c r="CX106" s="669"/>
      <c r="CY106" s="670"/>
      <c r="CZ106" s="669"/>
      <c r="DA106" s="670"/>
      <c r="DB106" s="669"/>
      <c r="DC106" s="670"/>
      <c r="DD106" s="669"/>
      <c r="DE106" s="670"/>
      <c r="DF106" s="669"/>
      <c r="DG106" s="670"/>
      <c r="DH106" s="669"/>
      <c r="DI106" s="670"/>
      <c r="DJ106" s="669"/>
      <c r="DK106" s="670"/>
      <c r="DL106" s="669"/>
      <c r="DM106" s="670"/>
      <c r="DN106" s="669"/>
      <c r="DO106" s="670"/>
      <c r="DP106" s="669"/>
      <c r="DQ106" s="670"/>
      <c r="DR106" s="669"/>
      <c r="DS106" s="670"/>
      <c r="DT106" s="669"/>
      <c r="DU106" s="670"/>
      <c r="DV106" s="669"/>
      <c r="DW106" s="670"/>
      <c r="DX106" s="669"/>
      <c r="DY106" s="670"/>
      <c r="DZ106" s="669"/>
      <c r="EA106" s="670"/>
      <c r="EB106" s="669"/>
      <c r="EC106" s="670"/>
      <c r="ED106" s="669"/>
      <c r="EE106" s="670"/>
      <c r="EF106" s="669"/>
      <c r="EG106" s="670"/>
      <c r="EH106" s="670"/>
      <c r="EI106" s="669"/>
      <c r="EJ106" s="671"/>
      <c r="EK106" s="669"/>
      <c r="EL106" s="671"/>
      <c r="EM106" s="669"/>
      <c r="EN106" s="671"/>
      <c r="EO106" s="669"/>
      <c r="EP106" s="671"/>
      <c r="EQ106" s="669"/>
      <c r="ER106" s="670"/>
      <c r="ES106" s="669"/>
      <c r="ET106" s="670"/>
      <c r="EU106" s="669"/>
      <c r="EV106" s="670"/>
      <c r="EW106" s="669"/>
      <c r="EX106" s="670"/>
      <c r="EY106" s="669"/>
      <c r="EZ106" s="670"/>
      <c r="FA106" s="669"/>
      <c r="FB106" s="670"/>
      <c r="FC106" s="669"/>
      <c r="FD106" s="670"/>
      <c r="FE106" s="669"/>
      <c r="FF106" s="670"/>
      <c r="FG106" s="669"/>
      <c r="FH106" s="670"/>
      <c r="FI106" s="669"/>
      <c r="FJ106" s="670"/>
      <c r="FK106" s="669"/>
      <c r="FL106" s="670"/>
      <c r="FM106" s="669"/>
      <c r="FN106" s="670"/>
      <c r="FO106" s="669"/>
      <c r="FP106" s="670"/>
      <c r="FQ106" s="669"/>
      <c r="FR106" s="670"/>
      <c r="FS106" s="669"/>
      <c r="FT106" s="670"/>
      <c r="FU106" s="669"/>
      <c r="FV106" s="670"/>
      <c r="FW106" s="669"/>
      <c r="FX106" s="670"/>
      <c r="FY106" s="669"/>
      <c r="FZ106" s="670"/>
      <c r="GA106" s="671"/>
    </row>
    <row r="107" spans="1:183" s="846" customFormat="1" ht="12.75" customHeight="1" x14ac:dyDescent="0.2">
      <c r="A107" s="838"/>
      <c r="B107" s="839"/>
      <c r="C107" s="840"/>
      <c r="D107" s="839"/>
      <c r="E107" s="840"/>
      <c r="F107" s="839"/>
      <c r="G107" s="840"/>
      <c r="H107" s="839"/>
      <c r="I107" s="840"/>
      <c r="J107" s="839"/>
      <c r="K107" s="840"/>
      <c r="L107" s="839"/>
      <c r="M107" s="840"/>
      <c r="N107" s="839"/>
      <c r="O107" s="840"/>
      <c r="P107" s="839"/>
      <c r="Q107" s="840"/>
      <c r="R107" s="839"/>
      <c r="S107" s="840"/>
      <c r="T107" s="839"/>
      <c r="U107" s="840"/>
      <c r="V107" s="839"/>
      <c r="W107" s="840"/>
      <c r="X107" s="839"/>
      <c r="Y107" s="840"/>
      <c r="Z107" s="839"/>
      <c r="AA107" s="840"/>
      <c r="AB107" s="839"/>
      <c r="AC107" s="840"/>
      <c r="AD107" s="839"/>
      <c r="AE107" s="840"/>
      <c r="AF107" s="839"/>
      <c r="AG107" s="840"/>
      <c r="AH107" s="839"/>
      <c r="AI107" s="840"/>
      <c r="AJ107" s="839"/>
      <c r="AK107" s="840"/>
      <c r="AL107" s="839"/>
      <c r="AM107" s="840"/>
      <c r="AN107" s="839"/>
      <c r="AO107" s="841"/>
      <c r="AP107" s="839"/>
      <c r="AQ107" s="841"/>
      <c r="AR107" s="839"/>
      <c r="AS107" s="841"/>
      <c r="AT107" s="839"/>
      <c r="AU107" s="841"/>
      <c r="AV107" s="839"/>
      <c r="AW107" s="841"/>
      <c r="AX107" s="839"/>
      <c r="AY107" s="841"/>
      <c r="AZ107" s="839"/>
      <c r="BA107" s="841"/>
      <c r="BB107" s="839"/>
      <c r="BC107" s="841"/>
      <c r="BD107" s="839"/>
      <c r="BE107" s="841"/>
      <c r="BF107" s="839"/>
      <c r="BG107" s="841"/>
      <c r="BH107" s="839"/>
      <c r="BI107" s="841"/>
      <c r="BJ107" s="839"/>
      <c r="BK107" s="841"/>
      <c r="BL107" s="839"/>
      <c r="BM107" s="841"/>
      <c r="BN107" s="839"/>
      <c r="BO107" s="841"/>
      <c r="BP107" s="839"/>
      <c r="BQ107" s="841"/>
      <c r="BR107" s="839"/>
      <c r="BS107" s="841"/>
      <c r="BT107" s="839"/>
      <c r="BU107" s="841"/>
      <c r="BV107" s="839"/>
      <c r="BW107" s="841"/>
      <c r="BX107" s="839"/>
      <c r="BY107" s="841"/>
      <c r="BZ107" s="839"/>
      <c r="CA107" s="841"/>
      <c r="CB107" s="839"/>
      <c r="CC107" s="841"/>
      <c r="CD107" s="839"/>
      <c r="CE107" s="841"/>
      <c r="CF107" s="839"/>
      <c r="CG107" s="841"/>
      <c r="CH107" s="839"/>
      <c r="CI107" s="841"/>
      <c r="CJ107" s="839"/>
      <c r="CK107" s="841"/>
      <c r="CL107" s="842"/>
      <c r="CM107" s="843"/>
      <c r="CN107" s="842"/>
      <c r="CO107" s="843"/>
      <c r="CP107" s="842"/>
      <c r="CQ107" s="843"/>
      <c r="CR107" s="842"/>
      <c r="CS107" s="843"/>
      <c r="CT107" s="842"/>
      <c r="CU107" s="843"/>
      <c r="CV107" s="842"/>
      <c r="CW107" s="843"/>
      <c r="CX107" s="842"/>
      <c r="CY107" s="843"/>
      <c r="CZ107" s="842"/>
      <c r="DA107" s="843"/>
      <c r="DB107" s="842"/>
      <c r="DC107" s="843"/>
      <c r="DD107" s="842"/>
      <c r="DE107" s="843"/>
      <c r="DF107" s="842"/>
      <c r="DG107" s="843"/>
      <c r="DH107" s="842"/>
      <c r="DI107" s="843"/>
      <c r="DJ107" s="842"/>
      <c r="DK107" s="843"/>
      <c r="DL107" s="842"/>
      <c r="DM107" s="843"/>
      <c r="DN107" s="842"/>
      <c r="DO107" s="843"/>
      <c r="DP107" s="842"/>
      <c r="DQ107" s="843"/>
      <c r="DR107" s="842"/>
      <c r="DS107" s="843"/>
      <c r="DT107" s="842"/>
      <c r="DU107" s="843"/>
      <c r="DV107" s="842"/>
      <c r="DW107" s="843"/>
      <c r="DX107" s="842"/>
      <c r="DY107" s="843"/>
      <c r="DZ107" s="842"/>
      <c r="EA107" s="843"/>
      <c r="EB107" s="842"/>
      <c r="EC107" s="843"/>
      <c r="ED107" s="842"/>
      <c r="EE107" s="843"/>
      <c r="EF107" s="842"/>
      <c r="EG107" s="843"/>
      <c r="EH107" s="844"/>
      <c r="EI107" s="842"/>
      <c r="EJ107" s="845"/>
      <c r="EK107" s="842"/>
      <c r="EL107" s="845"/>
      <c r="EM107" s="842"/>
      <c r="EN107" s="845"/>
      <c r="EO107" s="842"/>
      <c r="EP107" s="845"/>
      <c r="EQ107" s="842"/>
      <c r="ER107" s="843"/>
      <c r="ES107" s="842"/>
      <c r="ET107" s="843"/>
      <c r="EU107" s="842"/>
      <c r="EV107" s="843"/>
      <c r="EW107" s="842"/>
      <c r="EX107" s="843"/>
      <c r="EY107" s="842"/>
      <c r="EZ107" s="843"/>
      <c r="FA107" s="842"/>
      <c r="FB107" s="843"/>
      <c r="FC107" s="842"/>
      <c r="FD107" s="843"/>
      <c r="FE107" s="842"/>
      <c r="FF107" s="843"/>
      <c r="FG107" s="842"/>
      <c r="FH107" s="843"/>
      <c r="FI107" s="842"/>
      <c r="FJ107" s="843"/>
      <c r="FK107" s="842"/>
      <c r="FL107" s="843"/>
      <c r="FM107" s="842"/>
      <c r="FN107" s="843"/>
      <c r="FO107" s="978"/>
      <c r="FP107" s="843"/>
      <c r="FQ107" s="842"/>
      <c r="FR107" s="843"/>
      <c r="FS107" s="842"/>
      <c r="FT107" s="843"/>
      <c r="FU107" s="842"/>
      <c r="FV107" s="843"/>
      <c r="FW107" s="842"/>
      <c r="FX107" s="843"/>
      <c r="FY107" s="842"/>
      <c r="FZ107" s="843"/>
      <c r="GA107" s="845"/>
    </row>
    <row r="108" spans="1:183" s="707" customFormat="1" ht="21.95" hidden="1" customHeight="1" outlineLevel="1" x14ac:dyDescent="0.25">
      <c r="A108" s="663" t="str">
        <f>INPUT!$B$4</f>
        <v>Unum Group</v>
      </c>
      <c r="B108" s="664"/>
      <c r="C108" s="665"/>
      <c r="D108" s="664"/>
      <c r="E108" s="666"/>
      <c r="F108" s="664"/>
      <c r="G108" s="666"/>
      <c r="H108" s="664"/>
      <c r="I108" s="666"/>
      <c r="J108" s="664"/>
      <c r="K108" s="666"/>
      <c r="L108" s="664"/>
      <c r="M108" s="666"/>
      <c r="N108" s="664"/>
      <c r="O108" s="666"/>
      <c r="P108" s="664"/>
      <c r="Q108" s="666"/>
      <c r="R108" s="664"/>
      <c r="S108" s="666"/>
      <c r="T108" s="664"/>
      <c r="U108" s="666"/>
      <c r="V108" s="664"/>
      <c r="W108" s="666"/>
      <c r="X108" s="664"/>
      <c r="Y108" s="666"/>
      <c r="Z108" s="664"/>
      <c r="AA108" s="666"/>
      <c r="AB108" s="664"/>
      <c r="AC108" s="666"/>
      <c r="AD108" s="664"/>
      <c r="AE108" s="666"/>
      <c r="AF108" s="664"/>
      <c r="AG108" s="666"/>
      <c r="AH108" s="664"/>
      <c r="AI108" s="666"/>
      <c r="AJ108" s="664"/>
      <c r="AK108" s="666"/>
      <c r="AL108" s="664"/>
      <c r="AM108" s="666"/>
      <c r="AN108" s="664"/>
      <c r="AO108" s="667"/>
      <c r="AP108" s="664"/>
      <c r="AQ108" s="667"/>
      <c r="AR108" s="664"/>
      <c r="AS108" s="667"/>
      <c r="AT108" s="664"/>
      <c r="AU108" s="667"/>
      <c r="AV108" s="664"/>
      <c r="AW108" s="667"/>
      <c r="AX108" s="664"/>
      <c r="AY108" s="667"/>
      <c r="AZ108" s="664"/>
      <c r="BA108" s="667"/>
      <c r="BB108" s="664"/>
      <c r="BC108" s="667"/>
      <c r="BD108" s="664"/>
      <c r="BE108" s="667"/>
      <c r="BF108" s="664"/>
      <c r="BG108" s="667"/>
      <c r="BH108" s="664"/>
      <c r="BI108" s="667"/>
      <c r="BJ108" s="664"/>
      <c r="BK108" s="667"/>
      <c r="BL108" s="664"/>
      <c r="BM108" s="667"/>
      <c r="BN108" s="664"/>
      <c r="BO108" s="667"/>
      <c r="BP108" s="664"/>
      <c r="BQ108" s="667"/>
      <c r="BR108" s="664"/>
      <c r="BS108" s="667"/>
      <c r="BT108" s="664"/>
      <c r="BU108" s="667"/>
      <c r="BV108" s="664"/>
      <c r="BW108" s="667"/>
      <c r="BX108" s="664"/>
      <c r="BY108" s="667"/>
      <c r="BZ108" s="664"/>
      <c r="CA108" s="667"/>
      <c r="CB108" s="664"/>
      <c r="CC108" s="667"/>
      <c r="CD108" s="664"/>
      <c r="CE108" s="667"/>
      <c r="CF108" s="664"/>
      <c r="CG108" s="667"/>
      <c r="CH108" s="664"/>
      <c r="CI108" s="667"/>
      <c r="CJ108" s="664"/>
      <c r="CK108" s="667"/>
      <c r="CL108" s="664"/>
      <c r="CM108" s="667"/>
      <c r="CN108" s="664"/>
      <c r="CO108" s="667"/>
      <c r="CP108" s="664"/>
      <c r="CQ108" s="667"/>
      <c r="CR108" s="664"/>
      <c r="CS108" s="667"/>
      <c r="CT108" s="664"/>
      <c r="CU108" s="667"/>
      <c r="CV108" s="664"/>
      <c r="CW108" s="667"/>
      <c r="CX108" s="664"/>
      <c r="CY108" s="667"/>
      <c r="CZ108" s="664"/>
      <c r="DA108" s="667"/>
      <c r="DB108" s="664"/>
      <c r="DC108" s="667"/>
      <c r="DD108" s="664"/>
      <c r="DE108" s="667"/>
      <c r="DF108" s="664"/>
      <c r="DG108" s="667"/>
      <c r="DH108" s="664"/>
      <c r="DI108" s="667"/>
      <c r="DJ108" s="664"/>
      <c r="DK108" s="667"/>
      <c r="DL108" s="664"/>
      <c r="DM108" s="667"/>
      <c r="DN108" s="664"/>
      <c r="DO108" s="667"/>
      <c r="DP108" s="664"/>
      <c r="DQ108" s="667"/>
      <c r="DR108" s="664"/>
      <c r="DS108" s="667"/>
      <c r="DT108" s="664"/>
      <c r="DU108" s="667"/>
      <c r="DV108" s="664"/>
      <c r="DW108" s="667"/>
      <c r="DX108" s="664"/>
      <c r="DY108" s="667"/>
      <c r="DZ108" s="664"/>
      <c r="EA108" s="667"/>
      <c r="EB108" s="664"/>
      <c r="EC108" s="667"/>
      <c r="ED108" s="664"/>
      <c r="EE108" s="667"/>
      <c r="EF108" s="664"/>
      <c r="EG108" s="667"/>
      <c r="EH108" s="667"/>
      <c r="EI108" s="664"/>
      <c r="EJ108" s="666"/>
      <c r="EK108" s="664"/>
      <c r="EL108" s="666"/>
      <c r="EM108" s="664"/>
      <c r="EN108" s="666"/>
      <c r="EO108" s="664"/>
      <c r="EP108" s="666"/>
      <c r="EQ108" s="664"/>
      <c r="ER108" s="667"/>
      <c r="ES108" s="664"/>
      <c r="ET108" s="667"/>
      <c r="EU108" s="664"/>
      <c r="EV108" s="667"/>
      <c r="EW108" s="664"/>
      <c r="EX108" s="667"/>
      <c r="EY108" s="664"/>
      <c r="EZ108" s="667"/>
      <c r="FA108" s="664"/>
      <c r="FB108" s="667"/>
      <c r="FC108" s="664"/>
      <c r="FD108" s="667"/>
      <c r="FE108" s="664"/>
      <c r="FF108" s="667"/>
      <c r="FG108" s="664"/>
      <c r="FH108" s="667"/>
      <c r="FI108" s="664"/>
      <c r="FJ108" s="667"/>
      <c r="FK108" s="664"/>
      <c r="FL108" s="667"/>
      <c r="FM108" s="664"/>
      <c r="FN108" s="667"/>
      <c r="FO108" s="664"/>
      <c r="FP108" s="667"/>
      <c r="FQ108" s="664"/>
      <c r="FR108" s="667"/>
      <c r="FS108" s="664"/>
      <c r="FT108" s="667"/>
      <c r="FU108" s="664"/>
      <c r="FV108" s="667"/>
      <c r="FW108" s="664"/>
      <c r="FX108" s="667"/>
      <c r="FY108" s="664"/>
      <c r="FZ108" s="667"/>
      <c r="GA108" s="666"/>
    </row>
    <row r="109" spans="1:183" s="707" customFormat="1" ht="12.75" hidden="1" customHeight="1" outlineLevel="1" x14ac:dyDescent="0.2">
      <c r="A109" s="668" t="s">
        <v>387</v>
      </c>
      <c r="B109" s="664"/>
      <c r="C109" s="665"/>
      <c r="D109" s="664"/>
      <c r="E109" s="666"/>
      <c r="F109" s="664"/>
      <c r="G109" s="666"/>
      <c r="H109" s="664"/>
      <c r="I109" s="666"/>
      <c r="J109" s="664"/>
      <c r="K109" s="666"/>
      <c r="L109" s="664"/>
      <c r="M109" s="666"/>
      <c r="N109" s="664"/>
      <c r="O109" s="666"/>
      <c r="P109" s="664"/>
      <c r="Q109" s="666"/>
      <c r="R109" s="664"/>
      <c r="S109" s="666"/>
      <c r="T109" s="664"/>
      <c r="U109" s="666"/>
      <c r="V109" s="664"/>
      <c r="W109" s="666"/>
      <c r="X109" s="664"/>
      <c r="Y109" s="666"/>
      <c r="Z109" s="664"/>
      <c r="AA109" s="666"/>
      <c r="AB109" s="664"/>
      <c r="AC109" s="666"/>
      <c r="AD109" s="664"/>
      <c r="AE109" s="666"/>
      <c r="AF109" s="664"/>
      <c r="AG109" s="666"/>
      <c r="AH109" s="664"/>
      <c r="AI109" s="666"/>
      <c r="AJ109" s="664"/>
      <c r="AK109" s="666"/>
      <c r="AL109" s="664"/>
      <c r="AM109" s="666"/>
      <c r="AN109" s="664"/>
      <c r="AO109" s="667"/>
      <c r="AP109" s="664"/>
      <c r="AQ109" s="667"/>
      <c r="AR109" s="664"/>
      <c r="AS109" s="667"/>
      <c r="AT109" s="664"/>
      <c r="AU109" s="667"/>
      <c r="AV109" s="664"/>
      <c r="AW109" s="667"/>
      <c r="AX109" s="664"/>
      <c r="AY109" s="667"/>
      <c r="AZ109" s="664"/>
      <c r="BA109" s="667"/>
      <c r="BB109" s="664"/>
      <c r="BC109" s="667"/>
      <c r="BD109" s="664"/>
      <c r="BE109" s="667"/>
      <c r="BF109" s="664"/>
      <c r="BG109" s="667"/>
      <c r="BH109" s="664"/>
      <c r="BI109" s="667"/>
      <c r="BJ109" s="664"/>
      <c r="BK109" s="667"/>
      <c r="BL109" s="664"/>
      <c r="BM109" s="667"/>
      <c r="BN109" s="664"/>
      <c r="BO109" s="667"/>
      <c r="BP109" s="664"/>
      <c r="BQ109" s="667"/>
      <c r="BR109" s="664"/>
      <c r="BS109" s="667"/>
      <c r="BT109" s="664"/>
      <c r="BU109" s="667"/>
      <c r="BV109" s="664"/>
      <c r="BW109" s="667"/>
      <c r="BX109" s="664"/>
      <c r="BY109" s="667"/>
      <c r="BZ109" s="664"/>
      <c r="CA109" s="667"/>
      <c r="CB109" s="664"/>
      <c r="CC109" s="667"/>
      <c r="CD109" s="664"/>
      <c r="CE109" s="667"/>
      <c r="CF109" s="664"/>
      <c r="CG109" s="667"/>
      <c r="CH109" s="664"/>
      <c r="CI109" s="667"/>
      <c r="CJ109" s="664"/>
      <c r="CK109" s="667"/>
      <c r="CL109" s="664"/>
      <c r="CM109" s="667"/>
      <c r="CN109" s="664"/>
      <c r="CO109" s="667"/>
      <c r="CP109" s="664"/>
      <c r="CQ109" s="667"/>
      <c r="CR109" s="664"/>
      <c r="CS109" s="667"/>
      <c r="CT109" s="664"/>
      <c r="CU109" s="667"/>
      <c r="CV109" s="664"/>
      <c r="CW109" s="667"/>
      <c r="CX109" s="664"/>
      <c r="CY109" s="667"/>
      <c r="CZ109" s="664"/>
      <c r="DA109" s="667"/>
      <c r="DB109" s="664"/>
      <c r="DC109" s="667"/>
      <c r="DD109" s="664"/>
      <c r="DE109" s="667"/>
      <c r="DF109" s="664"/>
      <c r="DG109" s="667"/>
      <c r="DH109" s="664"/>
      <c r="DI109" s="667"/>
      <c r="DJ109" s="664"/>
      <c r="DK109" s="667"/>
      <c r="DL109" s="664"/>
      <c r="DM109" s="667"/>
      <c r="DN109" s="664"/>
      <c r="DO109" s="667"/>
      <c r="DP109" s="664"/>
      <c r="DQ109" s="667"/>
      <c r="DR109" s="664"/>
      <c r="DS109" s="667"/>
      <c r="DT109" s="664"/>
      <c r="DU109" s="667"/>
      <c r="DV109" s="664"/>
      <c r="DW109" s="667"/>
      <c r="DX109" s="664"/>
      <c r="DY109" s="667"/>
      <c r="DZ109" s="664"/>
      <c r="EA109" s="667"/>
      <c r="EB109" s="664"/>
      <c r="EC109" s="667"/>
      <c r="ED109" s="664"/>
      <c r="EE109" s="667"/>
      <c r="EF109" s="664"/>
      <c r="EG109" s="667"/>
      <c r="EH109" s="667"/>
      <c r="EI109" s="664"/>
      <c r="EJ109" s="666"/>
      <c r="EK109" s="664"/>
      <c r="EL109" s="666"/>
      <c r="EM109" s="664"/>
      <c r="EN109" s="666"/>
      <c r="EO109" s="664"/>
      <c r="EP109" s="666"/>
      <c r="EQ109" s="664"/>
      <c r="ER109" s="667"/>
      <c r="ES109" s="664"/>
      <c r="ET109" s="667"/>
      <c r="EU109" s="664"/>
      <c r="EV109" s="667"/>
      <c r="EW109" s="664"/>
      <c r="EX109" s="667"/>
      <c r="EY109" s="664"/>
      <c r="EZ109" s="667"/>
      <c r="FA109" s="664"/>
      <c r="FB109" s="667"/>
      <c r="FC109" s="664"/>
      <c r="FD109" s="667"/>
      <c r="FE109" s="664"/>
      <c r="FF109" s="667"/>
      <c r="FG109" s="664"/>
      <c r="FH109" s="667"/>
      <c r="FI109" s="664"/>
      <c r="FJ109" s="667"/>
      <c r="FK109" s="664"/>
      <c r="FL109" s="667"/>
      <c r="FM109" s="664"/>
      <c r="FN109" s="667"/>
      <c r="FO109" s="664"/>
      <c r="FP109" s="667"/>
      <c r="FQ109" s="664"/>
      <c r="FR109" s="667"/>
      <c r="FS109" s="664"/>
      <c r="FT109" s="667"/>
      <c r="FU109" s="664"/>
      <c r="FV109" s="667"/>
      <c r="FW109" s="664"/>
      <c r="FX109" s="667"/>
      <c r="FY109" s="664"/>
      <c r="FZ109" s="667"/>
      <c r="GA109" s="666"/>
    </row>
    <row r="110" spans="1:183" s="702" customFormat="1" ht="12.75" hidden="1" customHeight="1" outlineLevel="1" x14ac:dyDescent="0.2">
      <c r="A110" s="847" t="str">
        <f>A$3</f>
        <v>($Millions Except Per Share Data)</v>
      </c>
      <c r="B110" s="848"/>
      <c r="C110" s="849" t="str">
        <f>C$3</f>
        <v>1Q02/</v>
      </c>
      <c r="D110" s="848"/>
      <c r="E110" s="849" t="str">
        <f>E$3</f>
        <v>2Q02/</v>
      </c>
      <c r="F110" s="848"/>
      <c r="G110" s="849" t="str">
        <f>G$3</f>
        <v>3Q02/</v>
      </c>
      <c r="H110" s="848"/>
      <c r="I110" s="849" t="str">
        <f>I$3</f>
        <v>4Q02/</v>
      </c>
      <c r="J110" s="848"/>
      <c r="K110" s="849" t="str">
        <f>K$3</f>
        <v>1Q03/</v>
      </c>
      <c r="L110" s="848"/>
      <c r="M110" s="849" t="str">
        <f>M$3</f>
        <v>2Q03/</v>
      </c>
      <c r="N110" s="848"/>
      <c r="O110" s="849" t="str">
        <f>O$3</f>
        <v>3Q03/</v>
      </c>
      <c r="P110" s="848"/>
      <c r="Q110" s="849" t="str">
        <f>Q$3</f>
        <v>4Q03/</v>
      </c>
      <c r="R110" s="848"/>
      <c r="S110" s="849" t="str">
        <f>S$3</f>
        <v>1Q04/</v>
      </c>
      <c r="T110" s="848"/>
      <c r="U110" s="849" t="str">
        <f>U$3</f>
        <v>2Q04/</v>
      </c>
      <c r="V110" s="848"/>
      <c r="W110" s="849" t="str">
        <f>W$3</f>
        <v>3Q04/</v>
      </c>
      <c r="X110" s="848"/>
      <c r="Y110" s="849" t="str">
        <f>Y$3</f>
        <v>4Q04/</v>
      </c>
      <c r="Z110" s="848"/>
      <c r="AA110" s="849" t="str">
        <f>AA$3</f>
        <v>1Q05/</v>
      </c>
      <c r="AB110" s="848"/>
      <c r="AC110" s="849" t="str">
        <f>AC$3</f>
        <v>2Q05/</v>
      </c>
      <c r="AD110" s="848"/>
      <c r="AE110" s="849" t="str">
        <f>AE$3</f>
        <v>3Q05/</v>
      </c>
      <c r="AF110" s="848"/>
      <c r="AG110" s="849" t="str">
        <f>AG$3</f>
        <v>4Q05/</v>
      </c>
      <c r="AH110" s="848"/>
      <c r="AI110" s="849" t="str">
        <f>AI$3</f>
        <v>1Q06/</v>
      </c>
      <c r="AJ110" s="848"/>
      <c r="AK110" s="849" t="str">
        <f>AK$3</f>
        <v>2Q06/</v>
      </c>
      <c r="AL110" s="848"/>
      <c r="AM110" s="849" t="str">
        <f>AM$3</f>
        <v>3Q06/</v>
      </c>
      <c r="AN110" s="848"/>
      <c r="AO110" s="850" t="str">
        <f>AO$3</f>
        <v>4Q06/</v>
      </c>
      <c r="AP110" s="848"/>
      <c r="AQ110" s="850" t="str">
        <f>AQ$3</f>
        <v>1Q07/</v>
      </c>
      <c r="AR110" s="848"/>
      <c r="AS110" s="850" t="str">
        <f>AS$3</f>
        <v>2Q07/</v>
      </c>
      <c r="AT110" s="848"/>
      <c r="AU110" s="850" t="str">
        <f>AU$3</f>
        <v>3Q07/</v>
      </c>
      <c r="AV110" s="848"/>
      <c r="AW110" s="850" t="str">
        <f>AW$3</f>
        <v>4Q07/</v>
      </c>
      <c r="AX110" s="848"/>
      <c r="AY110" s="850" t="str">
        <f>AY$3</f>
        <v>1Q08/</v>
      </c>
      <c r="AZ110" s="848"/>
      <c r="BA110" s="850" t="str">
        <f>BA$3</f>
        <v>2Q08/</v>
      </c>
      <c r="BB110" s="848"/>
      <c r="BC110" s="850" t="str">
        <f>BC$3</f>
        <v>3Q08/</v>
      </c>
      <c r="BD110" s="848"/>
      <c r="BE110" s="850" t="str">
        <f>BE$3</f>
        <v>4Q08/</v>
      </c>
      <c r="BF110" s="848"/>
      <c r="BG110" s="850" t="str">
        <f>BG$3</f>
        <v>1Q09/</v>
      </c>
      <c r="BH110" s="848"/>
      <c r="BI110" s="850" t="str">
        <f>BI$3</f>
        <v>2Q09/</v>
      </c>
      <c r="BJ110" s="848"/>
      <c r="BK110" s="850" t="str">
        <f>BK$3</f>
        <v>3Q09/</v>
      </c>
      <c r="BL110" s="848"/>
      <c r="BM110" s="850" t="str">
        <f>BM$3</f>
        <v>4Q09/</v>
      </c>
      <c r="BN110" s="848"/>
      <c r="BO110" s="850" t="str">
        <f>BO$3</f>
        <v>1Q10/</v>
      </c>
      <c r="BP110" s="848"/>
      <c r="BQ110" s="850" t="str">
        <f>BQ$3</f>
        <v>2Q10/</v>
      </c>
      <c r="BR110" s="848"/>
      <c r="BS110" s="850" t="str">
        <f>BS$3</f>
        <v>3Q10/</v>
      </c>
      <c r="BT110" s="848"/>
      <c r="BU110" s="850">
        <f>BU$3</f>
        <v>0</v>
      </c>
      <c r="BV110" s="848"/>
      <c r="BW110" s="850" t="str">
        <f>BW$3</f>
        <v>1Q11/</v>
      </c>
      <c r="BX110" s="848"/>
      <c r="BY110" s="850" t="str">
        <f>BY$3</f>
        <v>2Q11/</v>
      </c>
      <c r="BZ110" s="848"/>
      <c r="CA110" s="850" t="str">
        <f>CA$3</f>
        <v>3Q11/</v>
      </c>
      <c r="CB110" s="848"/>
      <c r="CC110" s="850" t="str">
        <f>CC$3</f>
        <v>4Q11/</v>
      </c>
      <c r="CD110" s="848"/>
      <c r="CE110" s="850" t="str">
        <f>CE$3</f>
        <v>1Q12/</v>
      </c>
      <c r="CF110" s="848"/>
      <c r="CG110" s="850" t="str">
        <f>CG$3</f>
        <v>2Q12/</v>
      </c>
      <c r="CH110" s="848"/>
      <c r="CI110" s="850" t="str">
        <f>CI$3</f>
        <v>3Q12/</v>
      </c>
      <c r="CJ110" s="848"/>
      <c r="CK110" s="850" t="str">
        <f>CK$3</f>
        <v>4Q12/</v>
      </c>
      <c r="CL110" s="851"/>
      <c r="CM110" s="852" t="str">
        <f>CM$3</f>
        <v>1Q13/</v>
      </c>
      <c r="CN110" s="851"/>
      <c r="CO110" s="852" t="str">
        <f>CO$3</f>
        <v>2Q13/</v>
      </c>
      <c r="CP110" s="851"/>
      <c r="CQ110" s="852" t="str">
        <f>CQ$3</f>
        <v>3Q13/</v>
      </c>
      <c r="CR110" s="851"/>
      <c r="CS110" s="852" t="str">
        <f>CS$3</f>
        <v>4Q13/</v>
      </c>
      <c r="CT110" s="851"/>
      <c r="CU110" s="852" t="str">
        <f>CU$3</f>
        <v>1Q14/</v>
      </c>
      <c r="CV110" s="851"/>
      <c r="CW110" s="852" t="str">
        <f>CW$3</f>
        <v>2Q14/</v>
      </c>
      <c r="CX110" s="851"/>
      <c r="CY110" s="852" t="str">
        <f>CY$3</f>
        <v>3Q14/</v>
      </c>
      <c r="CZ110" s="851"/>
      <c r="DA110" s="852" t="str">
        <f>DA$3</f>
        <v>4Q14/</v>
      </c>
      <c r="DB110" s="851"/>
      <c r="DC110" s="852" t="str">
        <f>DC$3</f>
        <v>1Q15/</v>
      </c>
      <c r="DD110" s="851"/>
      <c r="DE110" s="852" t="str">
        <f>DE$3</f>
        <v>2Q15/</v>
      </c>
      <c r="DF110" s="851"/>
      <c r="DG110" s="852" t="str">
        <f>DG$3</f>
        <v>3Q15/</v>
      </c>
      <c r="DH110" s="851"/>
      <c r="DI110" s="852" t="str">
        <f>DI$3</f>
        <v>4Q15/</v>
      </c>
      <c r="DJ110" s="851"/>
      <c r="DK110" s="852" t="str">
        <f>DK$3</f>
        <v>1Q16/</v>
      </c>
      <c r="DL110" s="851"/>
      <c r="DM110" s="852" t="str">
        <f>DM$3</f>
        <v>2Q16/</v>
      </c>
      <c r="DN110" s="851"/>
      <c r="DO110" s="852" t="str">
        <f>DO$3</f>
        <v>3Q16/</v>
      </c>
      <c r="DP110" s="851"/>
      <c r="DQ110" s="852" t="str">
        <f>DQ$3</f>
        <v>4Q16/</v>
      </c>
      <c r="DR110" s="851"/>
      <c r="DS110" s="852" t="str">
        <f t="shared" ref="DS110" si="76">DS$3</f>
        <v>1Q17/</v>
      </c>
      <c r="DT110" s="851"/>
      <c r="DU110" s="852" t="str">
        <f t="shared" ref="DU110" si="77">DU$3</f>
        <v>2Q17/</v>
      </c>
      <c r="DV110" s="851"/>
      <c r="DW110" s="852" t="str">
        <f t="shared" ref="DW110" si="78">DW$3</f>
        <v>3Q17/</v>
      </c>
      <c r="DX110" s="851"/>
      <c r="DY110" s="852" t="str">
        <f t="shared" ref="DY110" si="79">DY$3</f>
        <v>4Q17/</v>
      </c>
      <c r="DZ110" s="851"/>
      <c r="EA110" s="852" t="str">
        <f t="shared" ref="EA110" si="80">EA$3</f>
        <v>1Q18E/</v>
      </c>
      <c r="EB110" s="851"/>
      <c r="EC110" s="852" t="str">
        <f t="shared" ref="EC110" si="81">EC$3</f>
        <v>2Q18E/</v>
      </c>
      <c r="ED110" s="851"/>
      <c r="EE110" s="852" t="str">
        <f t="shared" ref="EE110" si="82">EE$3</f>
        <v>3Q18E/</v>
      </c>
      <c r="EF110" s="851"/>
      <c r="EG110" s="852" t="str">
        <f t="shared" ref="EG110" si="83">EG$3</f>
        <v>4Q18E/</v>
      </c>
      <c r="EH110" s="852"/>
      <c r="EI110" s="851"/>
      <c r="EJ110" s="853" t="str">
        <f>EJ$3</f>
        <v>2001/</v>
      </c>
      <c r="EK110" s="851"/>
      <c r="EL110" s="853" t="str">
        <f>EL$3</f>
        <v>2002/</v>
      </c>
      <c r="EM110" s="851"/>
      <c r="EN110" s="853" t="str">
        <f>EN$3</f>
        <v>2003/</v>
      </c>
      <c r="EO110" s="851"/>
      <c r="EP110" s="853" t="str">
        <f>EP$3</f>
        <v>2004/</v>
      </c>
      <c r="EQ110" s="851"/>
      <c r="ER110" s="852" t="str">
        <f>ER$3</f>
        <v>2005/</v>
      </c>
      <c r="ES110" s="851"/>
      <c r="ET110" s="852" t="str">
        <f>ET$3</f>
        <v>2006/</v>
      </c>
      <c r="EU110" s="851"/>
      <c r="EV110" s="852" t="str">
        <f>EV$3</f>
        <v>2007/</v>
      </c>
      <c r="EW110" s="851"/>
      <c r="EX110" s="852" t="str">
        <f>EX$3</f>
        <v>2008/</v>
      </c>
      <c r="EY110" s="851"/>
      <c r="EZ110" s="852" t="str">
        <f>EZ$3</f>
        <v>2009/</v>
      </c>
      <c r="FA110" s="851"/>
      <c r="FB110" s="852" t="str">
        <f>FB$3</f>
        <v>2010/</v>
      </c>
      <c r="FC110" s="851"/>
      <c r="FD110" s="852" t="str">
        <f>FD$3</f>
        <v>2011/</v>
      </c>
      <c r="FE110" s="851"/>
      <c r="FF110" s="852" t="str">
        <f>FF$3</f>
        <v>2012/</v>
      </c>
      <c r="FG110" s="851"/>
      <c r="FH110" s="852" t="str">
        <f>FH$3</f>
        <v>2013/</v>
      </c>
      <c r="FI110" s="851"/>
      <c r="FJ110" s="852" t="str">
        <f>FJ$3</f>
        <v>2014/</v>
      </c>
      <c r="FK110" s="851"/>
      <c r="FL110" s="852" t="str">
        <f>FL$3</f>
        <v>2015/</v>
      </c>
      <c r="FM110" s="851"/>
      <c r="FN110" s="852" t="str">
        <f>FN$3</f>
        <v>2016/</v>
      </c>
      <c r="FO110" s="851"/>
      <c r="FP110" s="852" t="str">
        <f>FP$3</f>
        <v>2017/</v>
      </c>
      <c r="FQ110" s="851"/>
      <c r="FR110" s="852" t="str">
        <f>FR$3</f>
        <v>2018E/</v>
      </c>
      <c r="FS110" s="851"/>
      <c r="FT110" s="852" t="str">
        <f>FT$3</f>
        <v>2019E/</v>
      </c>
      <c r="FU110" s="851"/>
      <c r="FV110" s="852" t="str">
        <f>FV$3</f>
        <v>2020E/</v>
      </c>
      <c r="FW110" s="851"/>
      <c r="FX110" s="852" t="str">
        <f>FX$3</f>
        <v>2021E/</v>
      </c>
      <c r="FY110" s="851"/>
      <c r="FZ110" s="852" t="str">
        <f>FZ$3</f>
        <v>2022E/</v>
      </c>
      <c r="GA110" s="853" t="str">
        <f>INPUT!GT$5</f>
        <v>5-Yr</v>
      </c>
    </row>
    <row r="111" spans="1:183" s="702" customFormat="1" ht="12.75" hidden="1" customHeight="1" outlineLevel="1" x14ac:dyDescent="0.2">
      <c r="A111" s="672"/>
      <c r="B111" s="664"/>
      <c r="C111" s="665" t="str">
        <f>C$4</f>
        <v>1Q01</v>
      </c>
      <c r="D111" s="664"/>
      <c r="E111" s="665" t="str">
        <f>E$4</f>
        <v>2Q01</v>
      </c>
      <c r="F111" s="664"/>
      <c r="G111" s="665" t="str">
        <f>G$4</f>
        <v>3Q01</v>
      </c>
      <c r="H111" s="664"/>
      <c r="I111" s="665" t="str">
        <f>I$4</f>
        <v>4Q01</v>
      </c>
      <c r="J111" s="664"/>
      <c r="K111" s="665" t="str">
        <f>K$4</f>
        <v>1Q02</v>
      </c>
      <c r="L111" s="664"/>
      <c r="M111" s="665" t="str">
        <f>M$4</f>
        <v>2Q02</v>
      </c>
      <c r="N111" s="664"/>
      <c r="O111" s="665" t="str">
        <f>O$4</f>
        <v>3Q02</v>
      </c>
      <c r="P111" s="664"/>
      <c r="Q111" s="665" t="str">
        <f>Q$4</f>
        <v>4Q02</v>
      </c>
      <c r="R111" s="664"/>
      <c r="S111" s="665" t="str">
        <f>S$4</f>
        <v>1Q03</v>
      </c>
      <c r="T111" s="664"/>
      <c r="U111" s="665" t="str">
        <f>U$4</f>
        <v>2Q03</v>
      </c>
      <c r="V111" s="664"/>
      <c r="W111" s="665" t="str">
        <f>W$4</f>
        <v>3Q03</v>
      </c>
      <c r="X111" s="664"/>
      <c r="Y111" s="665" t="str">
        <f>Y$4</f>
        <v>4Q03</v>
      </c>
      <c r="Z111" s="664"/>
      <c r="AA111" s="665" t="str">
        <f>AA$4</f>
        <v>1Q04</v>
      </c>
      <c r="AB111" s="664"/>
      <c r="AC111" s="665" t="str">
        <f>AC$4</f>
        <v>2Q04</v>
      </c>
      <c r="AD111" s="664"/>
      <c r="AE111" s="665" t="str">
        <f>AE$4</f>
        <v>3Q04</v>
      </c>
      <c r="AF111" s="664"/>
      <c r="AG111" s="665" t="str">
        <f>AG$4</f>
        <v>4Q04</v>
      </c>
      <c r="AH111" s="664"/>
      <c r="AI111" s="665" t="str">
        <f>AI$4</f>
        <v>1Q05</v>
      </c>
      <c r="AJ111" s="664"/>
      <c r="AK111" s="665" t="str">
        <f>AK$4</f>
        <v>2Q05</v>
      </c>
      <c r="AL111" s="664"/>
      <c r="AM111" s="665" t="str">
        <f>AM$4</f>
        <v>3Q05</v>
      </c>
      <c r="AN111" s="664"/>
      <c r="AO111" s="667" t="str">
        <f>AO$4</f>
        <v>4Q05</v>
      </c>
      <c r="AP111" s="664"/>
      <c r="AQ111" s="667" t="str">
        <f>AQ$4</f>
        <v>1Q06</v>
      </c>
      <c r="AR111" s="664"/>
      <c r="AS111" s="667" t="str">
        <f>AS$4</f>
        <v>2Q06</v>
      </c>
      <c r="AT111" s="664"/>
      <c r="AU111" s="667" t="str">
        <f>AU$4</f>
        <v>3Q06</v>
      </c>
      <c r="AV111" s="664"/>
      <c r="AW111" s="667" t="str">
        <f>AW$4</f>
        <v>4Q06</v>
      </c>
      <c r="AX111" s="664"/>
      <c r="AY111" s="667" t="str">
        <f>AY$4</f>
        <v>1Q07</v>
      </c>
      <c r="AZ111" s="664"/>
      <c r="BA111" s="667" t="str">
        <f>BA$4</f>
        <v>2Q07</v>
      </c>
      <c r="BB111" s="664"/>
      <c r="BC111" s="667" t="str">
        <f>BC$4</f>
        <v>3Q07</v>
      </c>
      <c r="BD111" s="664"/>
      <c r="BE111" s="667" t="str">
        <f>BE$4</f>
        <v>4Q07</v>
      </c>
      <c r="BF111" s="664"/>
      <c r="BG111" s="667" t="str">
        <f>BG$4</f>
        <v>1Q08</v>
      </c>
      <c r="BH111" s="664"/>
      <c r="BI111" s="667" t="str">
        <f>BI$4</f>
        <v>2Q08</v>
      </c>
      <c r="BJ111" s="664"/>
      <c r="BK111" s="667" t="str">
        <f>BK$4</f>
        <v>3Q08</v>
      </c>
      <c r="BL111" s="664"/>
      <c r="BM111" s="667" t="str">
        <f>BM$4</f>
        <v>4Q08</v>
      </c>
      <c r="BN111" s="664"/>
      <c r="BO111" s="667" t="str">
        <f>BO$4</f>
        <v>1Q09</v>
      </c>
      <c r="BP111" s="664"/>
      <c r="BQ111" s="667" t="str">
        <f>BQ$4</f>
        <v>2Q09</v>
      </c>
      <c r="BR111" s="664"/>
      <c r="BS111" s="667" t="str">
        <f>BS$4</f>
        <v>3Q09</v>
      </c>
      <c r="BT111" s="664"/>
      <c r="BU111" s="667" t="str">
        <f>BU$4</f>
        <v>4Q09</v>
      </c>
      <c r="BV111" s="664"/>
      <c r="BW111" s="667" t="str">
        <f>BW$4</f>
        <v>1Q10</v>
      </c>
      <c r="BX111" s="664"/>
      <c r="BY111" s="667" t="str">
        <f>BY$4</f>
        <v>2Q10</v>
      </c>
      <c r="BZ111" s="664"/>
      <c r="CA111" s="667" t="str">
        <f>CA$4</f>
        <v>3Q10</v>
      </c>
      <c r="CB111" s="664"/>
      <c r="CC111" s="667" t="str">
        <f>CC$4</f>
        <v>4Q10</v>
      </c>
      <c r="CD111" s="664"/>
      <c r="CE111" s="667" t="str">
        <f>CE$4</f>
        <v>1Q11</v>
      </c>
      <c r="CF111" s="664"/>
      <c r="CG111" s="667" t="str">
        <f>CG$4</f>
        <v>2Q11</v>
      </c>
      <c r="CH111" s="664"/>
      <c r="CI111" s="667" t="str">
        <f>CI$4</f>
        <v>3Q11</v>
      </c>
      <c r="CJ111" s="664"/>
      <c r="CK111" s="667" t="str">
        <f>CK$4</f>
        <v>4Q11</v>
      </c>
      <c r="CL111" s="669"/>
      <c r="CM111" s="670" t="str">
        <f>CM$4</f>
        <v>1Q12</v>
      </c>
      <c r="CN111" s="669"/>
      <c r="CO111" s="670" t="str">
        <f>CO$4</f>
        <v>2Q12</v>
      </c>
      <c r="CP111" s="669"/>
      <c r="CQ111" s="670" t="str">
        <f>CQ$4</f>
        <v>3Q12</v>
      </c>
      <c r="CR111" s="669"/>
      <c r="CS111" s="670" t="str">
        <f>CS$4</f>
        <v>4Q12</v>
      </c>
      <c r="CT111" s="669"/>
      <c r="CU111" s="670" t="str">
        <f>CU$4</f>
        <v>1Q13</v>
      </c>
      <c r="CV111" s="669"/>
      <c r="CW111" s="670" t="str">
        <f>CW$4</f>
        <v>2Q13</v>
      </c>
      <c r="CX111" s="669"/>
      <c r="CY111" s="670" t="str">
        <f>CY$4</f>
        <v>3Q13</v>
      </c>
      <c r="CZ111" s="669"/>
      <c r="DA111" s="670" t="str">
        <f>DA$4</f>
        <v>4Q13</v>
      </c>
      <c r="DB111" s="669"/>
      <c r="DC111" s="670" t="str">
        <f>DC$4</f>
        <v>1Q14</v>
      </c>
      <c r="DD111" s="669"/>
      <c r="DE111" s="670" t="str">
        <f>DE$4</f>
        <v>2Q14</v>
      </c>
      <c r="DF111" s="669"/>
      <c r="DG111" s="670" t="str">
        <f>DG$4</f>
        <v>3Q14</v>
      </c>
      <c r="DH111" s="669"/>
      <c r="DI111" s="670" t="str">
        <f>DI$4</f>
        <v>4Q14</v>
      </c>
      <c r="DJ111" s="669"/>
      <c r="DK111" s="670" t="str">
        <f>DK$4</f>
        <v>1Q15</v>
      </c>
      <c r="DL111" s="669"/>
      <c r="DM111" s="670" t="str">
        <f>DM$4</f>
        <v>2Q15</v>
      </c>
      <c r="DN111" s="669"/>
      <c r="DO111" s="670" t="str">
        <f>DO$4</f>
        <v>3Q15</v>
      </c>
      <c r="DP111" s="669"/>
      <c r="DQ111" s="670" t="str">
        <f>DQ$4</f>
        <v>4Q15</v>
      </c>
      <c r="DR111" s="669"/>
      <c r="DS111" s="670" t="str">
        <f t="shared" ref="DS111" si="84">DS$4</f>
        <v>1Q16</v>
      </c>
      <c r="DT111" s="669"/>
      <c r="DU111" s="670" t="str">
        <f t="shared" ref="DU111" si="85">DU$4</f>
        <v>2Q16</v>
      </c>
      <c r="DV111" s="669"/>
      <c r="DW111" s="670" t="str">
        <f t="shared" ref="DW111" si="86">DW$4</f>
        <v>3Q16</v>
      </c>
      <c r="DX111" s="669"/>
      <c r="DY111" s="670" t="str">
        <f t="shared" ref="DY111" si="87">DY$4</f>
        <v>4Q16</v>
      </c>
      <c r="DZ111" s="669"/>
      <c r="EA111" s="670" t="str">
        <f t="shared" ref="EA111" si="88">EA$4</f>
        <v>1Q17</v>
      </c>
      <c r="EB111" s="669"/>
      <c r="EC111" s="670" t="str">
        <f t="shared" ref="EC111" si="89">EC$4</f>
        <v>2Q17</v>
      </c>
      <c r="ED111" s="669"/>
      <c r="EE111" s="670" t="str">
        <f t="shared" ref="EE111" si="90">EE$4</f>
        <v>3Q17</v>
      </c>
      <c r="EF111" s="669"/>
      <c r="EG111" s="670" t="str">
        <f t="shared" ref="EG111" si="91">EG$4</f>
        <v>4Q17</v>
      </c>
      <c r="EH111" s="670"/>
      <c r="EI111" s="669"/>
      <c r="EJ111" s="671" t="str">
        <f>EJ$4</f>
        <v>2000</v>
      </c>
      <c r="EK111" s="669"/>
      <c r="EL111" s="671" t="str">
        <f>EL$4</f>
        <v>2001</v>
      </c>
      <c r="EM111" s="669"/>
      <c r="EN111" s="671" t="str">
        <f>EN$4</f>
        <v>2002</v>
      </c>
      <c r="EO111" s="669"/>
      <c r="EP111" s="671" t="str">
        <f>EP$4</f>
        <v>2003</v>
      </c>
      <c r="EQ111" s="669"/>
      <c r="ER111" s="670" t="str">
        <f>ER$4</f>
        <v>2004</v>
      </c>
      <c r="ES111" s="669"/>
      <c r="ET111" s="670" t="str">
        <f>ET$4</f>
        <v>2005</v>
      </c>
      <c r="EU111" s="669"/>
      <c r="EV111" s="670">
        <f>EV$4</f>
        <v>2006</v>
      </c>
      <c r="EW111" s="669"/>
      <c r="EX111" s="670">
        <f>EX$4</f>
        <v>2007</v>
      </c>
      <c r="EY111" s="669"/>
      <c r="EZ111" s="670">
        <f>EZ$4</f>
        <v>2008</v>
      </c>
      <c r="FA111" s="669"/>
      <c r="FB111" s="670" t="str">
        <f>FB$4</f>
        <v>2009</v>
      </c>
      <c r="FC111" s="669"/>
      <c r="FD111" s="670" t="str">
        <f>FD$4</f>
        <v>2010</v>
      </c>
      <c r="FE111" s="669"/>
      <c r="FF111" s="670" t="str">
        <f>FF$4</f>
        <v>2011</v>
      </c>
      <c r="FG111" s="669"/>
      <c r="FH111" s="670" t="str">
        <f>FH$4</f>
        <v>2012</v>
      </c>
      <c r="FI111" s="669"/>
      <c r="FJ111" s="670" t="str">
        <f>FJ$4</f>
        <v>2013</v>
      </c>
      <c r="FK111" s="669"/>
      <c r="FL111" s="670" t="str">
        <f>FL$4</f>
        <v>2014</v>
      </c>
      <c r="FM111" s="669"/>
      <c r="FN111" s="670" t="str">
        <f>FN$4</f>
        <v>2015</v>
      </c>
      <c r="FO111" s="669"/>
      <c r="FP111" s="670" t="str">
        <f>FP$4</f>
        <v>2016</v>
      </c>
      <c r="FQ111" s="669"/>
      <c r="FR111" s="670" t="str">
        <f>FR$4</f>
        <v>2017</v>
      </c>
      <c r="FS111" s="669"/>
      <c r="FT111" s="670" t="str">
        <f>FT$4</f>
        <v>2018E</v>
      </c>
      <c r="FU111" s="669"/>
      <c r="FV111" s="670" t="str">
        <f>FV$4</f>
        <v>2019E</v>
      </c>
      <c r="FW111" s="669"/>
      <c r="FX111" s="670" t="str">
        <f>FX$4</f>
        <v>2020E</v>
      </c>
      <c r="FY111" s="669"/>
      <c r="FZ111" s="670" t="str">
        <f>FZ$4</f>
        <v>2021E</v>
      </c>
      <c r="GA111" s="671" t="s">
        <v>113</v>
      </c>
    </row>
    <row r="112" spans="1:183" s="702" customFormat="1" ht="12.75" hidden="1" customHeight="1" outlineLevel="1" x14ac:dyDescent="0.2">
      <c r="A112" s="703"/>
      <c r="B112" s="704" t="str">
        <f t="shared" ref="B112:DR112" si="92">B$5</f>
        <v>1Q02</v>
      </c>
      <c r="C112" s="705" t="str">
        <f t="shared" si="92"/>
        <v>% Chg</v>
      </c>
      <c r="D112" s="704" t="str">
        <f t="shared" si="92"/>
        <v>2Q02</v>
      </c>
      <c r="E112" s="705" t="str">
        <f t="shared" si="92"/>
        <v>% Chg</v>
      </c>
      <c r="F112" s="704" t="str">
        <f t="shared" si="92"/>
        <v>3Q02</v>
      </c>
      <c r="G112" s="705" t="str">
        <f t="shared" si="92"/>
        <v>% Chg</v>
      </c>
      <c r="H112" s="704" t="str">
        <f t="shared" si="92"/>
        <v>4Q02</v>
      </c>
      <c r="I112" s="705" t="str">
        <f t="shared" si="92"/>
        <v>% Chg</v>
      </c>
      <c r="J112" s="704" t="str">
        <f t="shared" si="92"/>
        <v>1Q03</v>
      </c>
      <c r="K112" s="705" t="str">
        <f t="shared" si="92"/>
        <v>% Chg</v>
      </c>
      <c r="L112" s="704" t="str">
        <f t="shared" si="92"/>
        <v>2Q03</v>
      </c>
      <c r="M112" s="705" t="str">
        <f t="shared" si="92"/>
        <v>% Chg</v>
      </c>
      <c r="N112" s="704" t="str">
        <f t="shared" si="92"/>
        <v>3Q03</v>
      </c>
      <c r="O112" s="705" t="str">
        <f t="shared" si="92"/>
        <v>% Chg</v>
      </c>
      <c r="P112" s="704" t="str">
        <f t="shared" si="92"/>
        <v>4Q03</v>
      </c>
      <c r="Q112" s="705" t="str">
        <f t="shared" si="92"/>
        <v>% Chg</v>
      </c>
      <c r="R112" s="704" t="str">
        <f t="shared" si="92"/>
        <v>1Q04</v>
      </c>
      <c r="S112" s="705" t="str">
        <f t="shared" si="92"/>
        <v>% Chg</v>
      </c>
      <c r="T112" s="704" t="str">
        <f t="shared" si="92"/>
        <v>2Q04</v>
      </c>
      <c r="U112" s="705" t="str">
        <f t="shared" si="92"/>
        <v>% Chg</v>
      </c>
      <c r="V112" s="704" t="str">
        <f t="shared" si="92"/>
        <v>3Q04</v>
      </c>
      <c r="W112" s="705" t="str">
        <f t="shared" si="92"/>
        <v>% Chg</v>
      </c>
      <c r="X112" s="704" t="str">
        <f t="shared" si="92"/>
        <v>4Q04</v>
      </c>
      <c r="Y112" s="705" t="str">
        <f t="shared" si="92"/>
        <v>% Chg</v>
      </c>
      <c r="Z112" s="704" t="str">
        <f t="shared" si="92"/>
        <v>1Q05</v>
      </c>
      <c r="AA112" s="705" t="str">
        <f t="shared" si="92"/>
        <v>% Chg</v>
      </c>
      <c r="AB112" s="704" t="str">
        <f t="shared" si="92"/>
        <v>2Q05</v>
      </c>
      <c r="AC112" s="705" t="str">
        <f t="shared" si="92"/>
        <v>% Chg</v>
      </c>
      <c r="AD112" s="704" t="str">
        <f t="shared" si="92"/>
        <v>3Q05</v>
      </c>
      <c r="AE112" s="705" t="str">
        <f t="shared" si="92"/>
        <v>% Chg</v>
      </c>
      <c r="AF112" s="704" t="str">
        <f t="shared" si="92"/>
        <v>4Q05</v>
      </c>
      <c r="AG112" s="705" t="str">
        <f t="shared" si="92"/>
        <v>% Chg</v>
      </c>
      <c r="AH112" s="704" t="str">
        <f t="shared" si="92"/>
        <v>1Q06</v>
      </c>
      <c r="AI112" s="705" t="str">
        <f t="shared" si="92"/>
        <v>% Chg</v>
      </c>
      <c r="AJ112" s="704" t="str">
        <f t="shared" si="92"/>
        <v>2Q06</v>
      </c>
      <c r="AK112" s="705" t="str">
        <f t="shared" si="92"/>
        <v>% Chg</v>
      </c>
      <c r="AL112" s="704" t="str">
        <f t="shared" si="92"/>
        <v>3Q06</v>
      </c>
      <c r="AM112" s="705" t="str">
        <f t="shared" si="92"/>
        <v>% Chg</v>
      </c>
      <c r="AN112" s="704" t="str">
        <f t="shared" si="92"/>
        <v>4Q06</v>
      </c>
      <c r="AO112" s="706" t="str">
        <f t="shared" si="92"/>
        <v>% Chg</v>
      </c>
      <c r="AP112" s="704" t="str">
        <f t="shared" si="92"/>
        <v>1Q07</v>
      </c>
      <c r="AQ112" s="706" t="str">
        <f t="shared" si="92"/>
        <v>% Chg</v>
      </c>
      <c r="AR112" s="704" t="str">
        <f t="shared" si="92"/>
        <v>2Q07</v>
      </c>
      <c r="AS112" s="706" t="str">
        <f t="shared" si="92"/>
        <v>% Chg</v>
      </c>
      <c r="AT112" s="704" t="str">
        <f t="shared" si="92"/>
        <v>3Q07</v>
      </c>
      <c r="AU112" s="706" t="str">
        <f t="shared" si="92"/>
        <v>% Chg</v>
      </c>
      <c r="AV112" s="704" t="str">
        <f t="shared" si="92"/>
        <v>4Q07</v>
      </c>
      <c r="AW112" s="706" t="str">
        <f t="shared" si="92"/>
        <v>% Chg</v>
      </c>
      <c r="AX112" s="704" t="str">
        <f t="shared" si="92"/>
        <v>1Q08</v>
      </c>
      <c r="AY112" s="706" t="str">
        <f t="shared" si="92"/>
        <v>% Chg</v>
      </c>
      <c r="AZ112" s="704" t="str">
        <f t="shared" si="92"/>
        <v>2Q08</v>
      </c>
      <c r="BA112" s="706" t="str">
        <f t="shared" si="92"/>
        <v>% Chg</v>
      </c>
      <c r="BB112" s="704" t="str">
        <f t="shared" si="92"/>
        <v>3Q08</v>
      </c>
      <c r="BC112" s="706" t="str">
        <f t="shared" si="92"/>
        <v>% Chg</v>
      </c>
      <c r="BD112" s="704" t="str">
        <f t="shared" si="92"/>
        <v>4Q08</v>
      </c>
      <c r="BE112" s="706" t="str">
        <f t="shared" si="92"/>
        <v>% Chg</v>
      </c>
      <c r="BF112" s="704" t="str">
        <f t="shared" si="92"/>
        <v>1Q09</v>
      </c>
      <c r="BG112" s="706" t="str">
        <f t="shared" si="92"/>
        <v>% Chg</v>
      </c>
      <c r="BH112" s="704" t="str">
        <f t="shared" si="92"/>
        <v>2Q09</v>
      </c>
      <c r="BI112" s="706" t="str">
        <f t="shared" si="92"/>
        <v>% Chg</v>
      </c>
      <c r="BJ112" s="704" t="str">
        <f t="shared" si="92"/>
        <v>3Q09</v>
      </c>
      <c r="BK112" s="706" t="str">
        <f t="shared" si="92"/>
        <v>% Chg</v>
      </c>
      <c r="BL112" s="704" t="str">
        <f t="shared" si="92"/>
        <v>4Q09</v>
      </c>
      <c r="BM112" s="706" t="str">
        <f t="shared" ref="BM112:DX112" si="93">BM$5</f>
        <v>% Chg</v>
      </c>
      <c r="BN112" s="704" t="str">
        <f t="shared" si="92"/>
        <v>1Q10</v>
      </c>
      <c r="BO112" s="706" t="str">
        <f t="shared" si="93"/>
        <v>% Chg</v>
      </c>
      <c r="BP112" s="704" t="str">
        <f t="shared" si="92"/>
        <v>2Q10</v>
      </c>
      <c r="BQ112" s="706" t="str">
        <f t="shared" si="93"/>
        <v>% Chg</v>
      </c>
      <c r="BR112" s="704" t="str">
        <f t="shared" si="92"/>
        <v>3Q10</v>
      </c>
      <c r="BS112" s="706" t="str">
        <f t="shared" si="93"/>
        <v>% Chg</v>
      </c>
      <c r="BT112" s="704" t="str">
        <f t="shared" si="92"/>
        <v>4Q10</v>
      </c>
      <c r="BU112" s="706" t="str">
        <f t="shared" si="93"/>
        <v>% Chg</v>
      </c>
      <c r="BV112" s="704" t="str">
        <f t="shared" si="92"/>
        <v>1Q11</v>
      </c>
      <c r="BW112" s="706" t="str">
        <f t="shared" si="93"/>
        <v>% Chg</v>
      </c>
      <c r="BX112" s="704" t="str">
        <f t="shared" si="92"/>
        <v>2Q11</v>
      </c>
      <c r="BY112" s="706" t="str">
        <f t="shared" si="93"/>
        <v>% Chg</v>
      </c>
      <c r="BZ112" s="704" t="str">
        <f t="shared" si="92"/>
        <v>3Q11</v>
      </c>
      <c r="CA112" s="706" t="str">
        <f t="shared" si="93"/>
        <v>% Chg</v>
      </c>
      <c r="CB112" s="704" t="str">
        <f t="shared" si="92"/>
        <v>4Q11</v>
      </c>
      <c r="CC112" s="706" t="str">
        <f t="shared" si="93"/>
        <v>% Chg</v>
      </c>
      <c r="CD112" s="704" t="str">
        <f t="shared" si="92"/>
        <v>1Q12</v>
      </c>
      <c r="CE112" s="706" t="str">
        <f t="shared" si="93"/>
        <v>% Chg</v>
      </c>
      <c r="CF112" s="704" t="str">
        <f t="shared" si="92"/>
        <v>2Q12</v>
      </c>
      <c r="CG112" s="706" t="str">
        <f t="shared" si="93"/>
        <v>% Chg</v>
      </c>
      <c r="CH112" s="704" t="str">
        <f t="shared" si="92"/>
        <v>3Q12</v>
      </c>
      <c r="CI112" s="706" t="str">
        <f t="shared" si="93"/>
        <v>% Chg</v>
      </c>
      <c r="CJ112" s="704" t="str">
        <f t="shared" si="92"/>
        <v>4Q12</v>
      </c>
      <c r="CK112" s="706" t="str">
        <f t="shared" si="93"/>
        <v>% Chg</v>
      </c>
      <c r="CL112" s="673" t="str">
        <f t="shared" si="92"/>
        <v>1Q13</v>
      </c>
      <c r="CM112" s="675" t="str">
        <f t="shared" si="93"/>
        <v>% Chg</v>
      </c>
      <c r="CN112" s="673" t="str">
        <f t="shared" si="92"/>
        <v>2Q13</v>
      </c>
      <c r="CO112" s="675" t="str">
        <f t="shared" si="93"/>
        <v>% Chg</v>
      </c>
      <c r="CP112" s="673" t="str">
        <f t="shared" si="92"/>
        <v>3Q13</v>
      </c>
      <c r="CQ112" s="675" t="str">
        <f t="shared" si="93"/>
        <v>% Chg</v>
      </c>
      <c r="CR112" s="673" t="str">
        <f t="shared" si="92"/>
        <v>4Q13</v>
      </c>
      <c r="CS112" s="675" t="str">
        <f t="shared" si="93"/>
        <v>% Chg</v>
      </c>
      <c r="CT112" s="673" t="str">
        <f t="shared" si="92"/>
        <v>1Q14</v>
      </c>
      <c r="CU112" s="675" t="str">
        <f t="shared" si="93"/>
        <v>% Chg</v>
      </c>
      <c r="CV112" s="673" t="str">
        <f t="shared" si="92"/>
        <v>2Q14</v>
      </c>
      <c r="CW112" s="675" t="str">
        <f t="shared" si="93"/>
        <v>% Chg</v>
      </c>
      <c r="CX112" s="673" t="str">
        <f t="shared" si="92"/>
        <v>3Q14</v>
      </c>
      <c r="CY112" s="675" t="str">
        <f t="shared" si="93"/>
        <v>% Chg</v>
      </c>
      <c r="CZ112" s="673" t="str">
        <f t="shared" si="92"/>
        <v>4Q14</v>
      </c>
      <c r="DA112" s="675" t="str">
        <f t="shared" si="93"/>
        <v>% Chg</v>
      </c>
      <c r="DB112" s="673" t="str">
        <f t="shared" si="92"/>
        <v>1Q15</v>
      </c>
      <c r="DC112" s="675" t="str">
        <f t="shared" si="93"/>
        <v>% Chg</v>
      </c>
      <c r="DD112" s="673" t="str">
        <f t="shared" si="92"/>
        <v>2Q15</v>
      </c>
      <c r="DE112" s="675" t="str">
        <f t="shared" si="93"/>
        <v>% Chg</v>
      </c>
      <c r="DF112" s="673" t="str">
        <f t="shared" si="92"/>
        <v>3Q15</v>
      </c>
      <c r="DG112" s="675" t="str">
        <f t="shared" si="93"/>
        <v>% Chg</v>
      </c>
      <c r="DH112" s="673" t="str">
        <f t="shared" si="92"/>
        <v>4Q15</v>
      </c>
      <c r="DI112" s="675" t="str">
        <f t="shared" si="93"/>
        <v>% Chg</v>
      </c>
      <c r="DJ112" s="673" t="str">
        <f t="shared" si="92"/>
        <v>1Q16</v>
      </c>
      <c r="DK112" s="675" t="str">
        <f t="shared" si="93"/>
        <v>% Chg</v>
      </c>
      <c r="DL112" s="673" t="str">
        <f t="shared" si="92"/>
        <v>2Q16</v>
      </c>
      <c r="DM112" s="675" t="str">
        <f t="shared" si="93"/>
        <v>% Chg</v>
      </c>
      <c r="DN112" s="673" t="str">
        <f t="shared" si="92"/>
        <v>3Q16</v>
      </c>
      <c r="DO112" s="675" t="str">
        <f t="shared" si="93"/>
        <v>% Chg</v>
      </c>
      <c r="DP112" s="673" t="str">
        <f t="shared" si="92"/>
        <v>4Q16</v>
      </c>
      <c r="DQ112" s="675" t="str">
        <f t="shared" si="93"/>
        <v>% Chg</v>
      </c>
      <c r="DR112" s="673" t="str">
        <f t="shared" si="92"/>
        <v>1Q17</v>
      </c>
      <c r="DS112" s="675" t="str">
        <f t="shared" si="93"/>
        <v>% Chg</v>
      </c>
      <c r="DT112" s="673" t="str">
        <f t="shared" si="93"/>
        <v>2Q17</v>
      </c>
      <c r="DU112" s="675" t="str">
        <f t="shared" si="93"/>
        <v>% Chg</v>
      </c>
      <c r="DV112" s="673" t="str">
        <f t="shared" si="93"/>
        <v>3Q17</v>
      </c>
      <c r="DW112" s="675" t="str">
        <f t="shared" si="93"/>
        <v>% Chg</v>
      </c>
      <c r="DX112" s="673" t="str">
        <f t="shared" si="93"/>
        <v>4Q17</v>
      </c>
      <c r="DY112" s="675" t="str">
        <f t="shared" ref="DY112:EG112" si="94">DY$5</f>
        <v>% Chg</v>
      </c>
      <c r="DZ112" s="673" t="str">
        <f t="shared" si="94"/>
        <v>1Q18E</v>
      </c>
      <c r="EA112" s="675" t="str">
        <f t="shared" si="94"/>
        <v>% Chg</v>
      </c>
      <c r="EB112" s="673" t="str">
        <f t="shared" si="94"/>
        <v>2Q18E</v>
      </c>
      <c r="EC112" s="675" t="str">
        <f t="shared" si="94"/>
        <v>% Chg</v>
      </c>
      <c r="ED112" s="673" t="str">
        <f t="shared" si="94"/>
        <v>3Q18E</v>
      </c>
      <c r="EE112" s="675" t="str">
        <f t="shared" si="94"/>
        <v>% Chg</v>
      </c>
      <c r="EF112" s="673" t="str">
        <f t="shared" si="94"/>
        <v>4Q18E</v>
      </c>
      <c r="EG112" s="675" t="str">
        <f t="shared" si="94"/>
        <v>% Chg</v>
      </c>
      <c r="EH112" s="675"/>
      <c r="EI112" s="673" t="str">
        <f t="shared" ref="EI112:FZ112" si="95">EI$5</f>
        <v>2001</v>
      </c>
      <c r="EJ112" s="674" t="str">
        <f t="shared" si="95"/>
        <v>% Chg</v>
      </c>
      <c r="EK112" s="673" t="str">
        <f t="shared" si="95"/>
        <v>2002</v>
      </c>
      <c r="EL112" s="674" t="str">
        <f t="shared" si="95"/>
        <v>% Chg</v>
      </c>
      <c r="EM112" s="673" t="str">
        <f t="shared" si="95"/>
        <v>2003</v>
      </c>
      <c r="EN112" s="674" t="str">
        <f t="shared" si="95"/>
        <v>% Chg</v>
      </c>
      <c r="EO112" s="673" t="str">
        <f t="shared" si="95"/>
        <v>2004</v>
      </c>
      <c r="EP112" s="674" t="str">
        <f t="shared" si="95"/>
        <v>% Chg</v>
      </c>
      <c r="EQ112" s="673" t="str">
        <f t="shared" si="95"/>
        <v>2005</v>
      </c>
      <c r="ER112" s="675" t="str">
        <f t="shared" si="95"/>
        <v>% Chg</v>
      </c>
      <c r="ES112" s="676">
        <f t="shared" si="95"/>
        <v>2006</v>
      </c>
      <c r="ET112" s="675" t="str">
        <f t="shared" si="95"/>
        <v>% Chg</v>
      </c>
      <c r="EU112" s="676">
        <f t="shared" si="95"/>
        <v>2007</v>
      </c>
      <c r="EV112" s="675" t="str">
        <f t="shared" si="95"/>
        <v>% Chg</v>
      </c>
      <c r="EW112" s="676">
        <f t="shared" si="95"/>
        <v>2008</v>
      </c>
      <c r="EX112" s="675" t="str">
        <f>EX$5</f>
        <v>% Chg</v>
      </c>
      <c r="EY112" s="673" t="str">
        <f t="shared" si="95"/>
        <v>2009</v>
      </c>
      <c r="EZ112" s="675" t="str">
        <f t="shared" si="95"/>
        <v>% Chg</v>
      </c>
      <c r="FA112" s="673" t="str">
        <f t="shared" si="95"/>
        <v>2010</v>
      </c>
      <c r="FB112" s="675" t="str">
        <f t="shared" si="95"/>
        <v>% Chg</v>
      </c>
      <c r="FC112" s="673" t="str">
        <f t="shared" si="95"/>
        <v>2011</v>
      </c>
      <c r="FD112" s="675" t="str">
        <f t="shared" si="95"/>
        <v>% Chg</v>
      </c>
      <c r="FE112" s="673" t="str">
        <f t="shared" si="95"/>
        <v>2012</v>
      </c>
      <c r="FF112" s="675" t="str">
        <f t="shared" si="95"/>
        <v>% Chg</v>
      </c>
      <c r="FG112" s="673" t="str">
        <f t="shared" si="95"/>
        <v>2013</v>
      </c>
      <c r="FH112" s="675" t="str">
        <f t="shared" si="95"/>
        <v>% Chg</v>
      </c>
      <c r="FI112" s="673" t="str">
        <f t="shared" si="95"/>
        <v>2014</v>
      </c>
      <c r="FJ112" s="675" t="str">
        <f t="shared" si="95"/>
        <v>% Chg</v>
      </c>
      <c r="FK112" s="673" t="str">
        <f t="shared" si="95"/>
        <v>2015</v>
      </c>
      <c r="FL112" s="675" t="str">
        <f t="shared" si="95"/>
        <v>% Chg</v>
      </c>
      <c r="FM112" s="673" t="str">
        <f t="shared" si="95"/>
        <v>2016</v>
      </c>
      <c r="FN112" s="675" t="str">
        <f t="shared" si="95"/>
        <v>% Chg</v>
      </c>
      <c r="FO112" s="673" t="str">
        <f t="shared" si="95"/>
        <v>2017</v>
      </c>
      <c r="FP112" s="675" t="str">
        <f t="shared" si="95"/>
        <v>% Chg</v>
      </c>
      <c r="FQ112" s="673" t="str">
        <f t="shared" si="95"/>
        <v>2018E</v>
      </c>
      <c r="FR112" s="675" t="str">
        <f t="shared" si="95"/>
        <v>% Chg</v>
      </c>
      <c r="FS112" s="673" t="str">
        <f t="shared" si="95"/>
        <v>2019E</v>
      </c>
      <c r="FT112" s="675" t="str">
        <f t="shared" si="95"/>
        <v>% Chg</v>
      </c>
      <c r="FU112" s="673" t="str">
        <f t="shared" si="95"/>
        <v>2020E</v>
      </c>
      <c r="FV112" s="675" t="str">
        <f t="shared" si="95"/>
        <v>% Chg</v>
      </c>
      <c r="FW112" s="673" t="str">
        <f t="shared" si="95"/>
        <v>2021E</v>
      </c>
      <c r="FX112" s="675" t="str">
        <f t="shared" si="95"/>
        <v>% Chg</v>
      </c>
      <c r="FY112" s="673" t="str">
        <f t="shared" si="95"/>
        <v>2022E</v>
      </c>
      <c r="FZ112" s="675" t="str">
        <f t="shared" si="95"/>
        <v>% Chg</v>
      </c>
      <c r="GA112" s="674" t="s">
        <v>351</v>
      </c>
    </row>
    <row r="113" spans="1:183" s="707" customFormat="1" ht="12.75" hidden="1" customHeight="1" outlineLevel="1" x14ac:dyDescent="0.2">
      <c r="A113" s="677"/>
      <c r="B113" s="669"/>
      <c r="C113" s="671"/>
      <c r="D113" s="669"/>
      <c r="E113" s="671"/>
      <c r="F113" s="669"/>
      <c r="G113" s="671"/>
      <c r="H113" s="669"/>
      <c r="I113" s="671"/>
      <c r="J113" s="669"/>
      <c r="K113" s="671"/>
      <c r="L113" s="669"/>
      <c r="M113" s="671"/>
      <c r="N113" s="669"/>
      <c r="O113" s="671"/>
      <c r="P113" s="669"/>
      <c r="Q113" s="671"/>
      <c r="R113" s="669"/>
      <c r="S113" s="671"/>
      <c r="T113" s="669"/>
      <c r="U113" s="671"/>
      <c r="V113" s="669"/>
      <c r="W113" s="671"/>
      <c r="X113" s="669"/>
      <c r="Y113" s="671"/>
      <c r="Z113" s="669"/>
      <c r="AA113" s="671"/>
      <c r="AB113" s="669"/>
      <c r="AC113" s="671"/>
      <c r="AD113" s="669"/>
      <c r="AE113" s="671"/>
      <c r="AF113" s="669"/>
      <c r="AG113" s="671"/>
      <c r="AH113" s="669"/>
      <c r="AI113" s="671"/>
      <c r="AJ113" s="669"/>
      <c r="AK113" s="671"/>
      <c r="AL113" s="669"/>
      <c r="AM113" s="671"/>
      <c r="AN113" s="669"/>
      <c r="AO113" s="670"/>
      <c r="AP113" s="669"/>
      <c r="AQ113" s="670"/>
      <c r="AR113" s="669"/>
      <c r="AS113" s="670"/>
      <c r="AT113" s="669"/>
      <c r="AU113" s="670"/>
      <c r="AV113" s="669"/>
      <c r="AW113" s="670"/>
      <c r="AX113" s="669"/>
      <c r="AY113" s="670"/>
      <c r="AZ113" s="669"/>
      <c r="BA113" s="670"/>
      <c r="BB113" s="669"/>
      <c r="BC113" s="670"/>
      <c r="BD113" s="669"/>
      <c r="BE113" s="670"/>
      <c r="BF113" s="669"/>
      <c r="BG113" s="670"/>
      <c r="BH113" s="669"/>
      <c r="BI113" s="670"/>
      <c r="BJ113" s="669"/>
      <c r="BK113" s="670"/>
      <c r="BL113" s="669"/>
      <c r="BM113" s="670"/>
      <c r="BN113" s="669"/>
      <c r="BO113" s="670"/>
      <c r="BP113" s="669"/>
      <c r="BQ113" s="670"/>
      <c r="BR113" s="669"/>
      <c r="BS113" s="670"/>
      <c r="BT113" s="669"/>
      <c r="BU113" s="670"/>
      <c r="BV113" s="669"/>
      <c r="BW113" s="670"/>
      <c r="BX113" s="669"/>
      <c r="BY113" s="670"/>
      <c r="BZ113" s="669"/>
      <c r="CA113" s="670"/>
      <c r="CB113" s="669"/>
      <c r="CC113" s="670"/>
      <c r="CD113" s="669"/>
      <c r="CE113" s="670"/>
      <c r="CF113" s="669"/>
      <c r="CG113" s="670"/>
      <c r="CH113" s="669"/>
      <c r="CI113" s="670"/>
      <c r="CJ113" s="669"/>
      <c r="CK113" s="670"/>
      <c r="CL113" s="669"/>
      <c r="CM113" s="670"/>
      <c r="CN113" s="669"/>
      <c r="CO113" s="670"/>
      <c r="CP113" s="669"/>
      <c r="CQ113" s="670"/>
      <c r="CR113" s="669"/>
      <c r="CS113" s="670"/>
      <c r="CT113" s="669"/>
      <c r="CU113" s="670"/>
      <c r="CV113" s="669"/>
      <c r="CW113" s="670"/>
      <c r="CX113" s="669"/>
      <c r="CY113" s="670"/>
      <c r="CZ113" s="669"/>
      <c r="DA113" s="670"/>
      <c r="DB113" s="669"/>
      <c r="DC113" s="670"/>
      <c r="DD113" s="669"/>
      <c r="DE113" s="670"/>
      <c r="DF113" s="669"/>
      <c r="DG113" s="670"/>
      <c r="DH113" s="669"/>
      <c r="DI113" s="670"/>
      <c r="DJ113" s="669"/>
      <c r="DK113" s="670"/>
      <c r="DL113" s="669"/>
      <c r="DM113" s="670"/>
      <c r="DN113" s="669"/>
      <c r="DO113" s="670"/>
      <c r="DP113" s="669"/>
      <c r="DQ113" s="670"/>
      <c r="DR113" s="669"/>
      <c r="DS113" s="670"/>
      <c r="DT113" s="669"/>
      <c r="DU113" s="670"/>
      <c r="DV113" s="669"/>
      <c r="DW113" s="670"/>
      <c r="DX113" s="669"/>
      <c r="DY113" s="670"/>
      <c r="DZ113" s="669"/>
      <c r="EA113" s="670"/>
      <c r="EB113" s="669"/>
      <c r="EC113" s="670"/>
      <c r="ED113" s="669"/>
      <c r="EE113" s="670"/>
      <c r="EF113" s="669"/>
      <c r="EG113" s="670"/>
      <c r="EH113" s="670"/>
      <c r="EI113" s="669"/>
      <c r="EJ113" s="671"/>
      <c r="EK113" s="669"/>
      <c r="EL113" s="671"/>
      <c r="EM113" s="669"/>
      <c r="EN113" s="671"/>
      <c r="EO113" s="669"/>
      <c r="EP113" s="671"/>
      <c r="EQ113" s="669"/>
      <c r="ER113" s="670"/>
      <c r="ES113" s="669"/>
      <c r="ET113" s="670"/>
      <c r="EU113" s="669"/>
      <c r="EV113" s="670"/>
      <c r="EW113" s="669"/>
      <c r="EX113" s="670"/>
      <c r="EY113" s="669"/>
      <c r="EZ113" s="670"/>
      <c r="FA113" s="669"/>
      <c r="FB113" s="670"/>
      <c r="FC113" s="669"/>
      <c r="FD113" s="670"/>
      <c r="FE113" s="669"/>
      <c r="FF113" s="670"/>
      <c r="FG113" s="669"/>
      <c r="FH113" s="670"/>
      <c r="FI113" s="669"/>
      <c r="FJ113" s="670"/>
      <c r="FK113" s="669"/>
      <c r="FL113" s="670"/>
      <c r="FM113" s="669"/>
      <c r="FN113" s="670"/>
      <c r="FO113" s="669"/>
      <c r="FP113" s="670"/>
      <c r="FQ113" s="669"/>
      <c r="FR113" s="670"/>
      <c r="FS113" s="669"/>
      <c r="FT113" s="670"/>
      <c r="FU113" s="669"/>
      <c r="FV113" s="670"/>
      <c r="FW113" s="669"/>
      <c r="FX113" s="670"/>
      <c r="FY113" s="669"/>
      <c r="FZ113" s="670"/>
      <c r="GA113" s="671"/>
    </row>
    <row r="114" spans="1:183" s="707" customFormat="1" ht="12.75" hidden="1" customHeight="1" outlineLevel="1" x14ac:dyDescent="0.2">
      <c r="A114" s="677" t="s">
        <v>285</v>
      </c>
      <c r="B114" s="669"/>
      <c r="C114" s="671"/>
      <c r="D114" s="669"/>
      <c r="E114" s="671"/>
      <c r="F114" s="669"/>
      <c r="G114" s="671"/>
      <c r="H114" s="669"/>
      <c r="I114" s="671"/>
      <c r="J114" s="669"/>
      <c r="K114" s="671"/>
      <c r="L114" s="669"/>
      <c r="M114" s="671"/>
      <c r="N114" s="669"/>
      <c r="O114" s="671"/>
      <c r="P114" s="669"/>
      <c r="Q114" s="671"/>
      <c r="R114" s="669"/>
      <c r="S114" s="671"/>
      <c r="T114" s="669"/>
      <c r="U114" s="671"/>
      <c r="V114" s="669"/>
      <c r="W114" s="671"/>
      <c r="X114" s="669"/>
      <c r="Y114" s="671"/>
      <c r="Z114" s="669"/>
      <c r="AA114" s="671"/>
      <c r="AB114" s="669"/>
      <c r="AC114" s="671"/>
      <c r="AD114" s="669"/>
      <c r="AE114" s="671"/>
      <c r="AF114" s="669"/>
      <c r="AG114" s="671"/>
      <c r="AH114" s="669"/>
      <c r="AI114" s="671"/>
      <c r="AJ114" s="669"/>
      <c r="AK114" s="671"/>
      <c r="AL114" s="669"/>
      <c r="AM114" s="671"/>
      <c r="AN114" s="669"/>
      <c r="AO114" s="670"/>
      <c r="AP114" s="669"/>
      <c r="AQ114" s="670"/>
      <c r="AR114" s="669"/>
      <c r="AS114" s="670"/>
      <c r="AT114" s="669"/>
      <c r="AU114" s="670"/>
      <c r="AV114" s="669"/>
      <c r="AW114" s="670"/>
      <c r="AX114" s="669"/>
      <c r="AY114" s="670"/>
      <c r="AZ114" s="669"/>
      <c r="BA114" s="670"/>
      <c r="BB114" s="669"/>
      <c r="BC114" s="670"/>
      <c r="BD114" s="669"/>
      <c r="BE114" s="670"/>
      <c r="BF114" s="669"/>
      <c r="BG114" s="670"/>
      <c r="BH114" s="669"/>
      <c r="BI114" s="670"/>
      <c r="BJ114" s="669"/>
      <c r="BK114" s="670"/>
      <c r="BL114" s="669"/>
      <c r="BM114" s="670"/>
      <c r="BN114" s="669"/>
      <c r="BO114" s="670"/>
      <c r="BP114" s="669"/>
      <c r="BQ114" s="670"/>
      <c r="BR114" s="669"/>
      <c r="BS114" s="670"/>
      <c r="BT114" s="669"/>
      <c r="BU114" s="670"/>
      <c r="BV114" s="669"/>
      <c r="BW114" s="670"/>
      <c r="BX114" s="669"/>
      <c r="BY114" s="670"/>
      <c r="BZ114" s="669"/>
      <c r="CA114" s="670"/>
      <c r="CB114" s="669"/>
      <c r="CC114" s="670"/>
      <c r="CD114" s="669"/>
      <c r="CE114" s="670"/>
      <c r="CF114" s="669"/>
      <c r="CG114" s="670"/>
      <c r="CH114" s="669"/>
      <c r="CI114" s="670"/>
      <c r="CJ114" s="669"/>
      <c r="CK114" s="670"/>
      <c r="CL114" s="669"/>
      <c r="CM114" s="670"/>
      <c r="CN114" s="669"/>
      <c r="CO114" s="670"/>
      <c r="CP114" s="669"/>
      <c r="CQ114" s="670"/>
      <c r="CR114" s="669"/>
      <c r="CS114" s="670"/>
      <c r="CT114" s="669"/>
      <c r="CU114" s="670"/>
      <c r="CV114" s="669"/>
      <c r="CW114" s="670"/>
      <c r="CX114" s="669"/>
      <c r="CY114" s="670"/>
      <c r="CZ114" s="669"/>
      <c r="DA114" s="670"/>
      <c r="DB114" s="669"/>
      <c r="DC114" s="670"/>
      <c r="DD114" s="669"/>
      <c r="DE114" s="670"/>
      <c r="DF114" s="669"/>
      <c r="DG114" s="670"/>
      <c r="DH114" s="669"/>
      <c r="DI114" s="670"/>
      <c r="DJ114" s="669"/>
      <c r="DK114" s="670"/>
      <c r="DL114" s="669"/>
      <c r="DM114" s="670"/>
      <c r="DN114" s="669"/>
      <c r="DO114" s="670"/>
      <c r="DP114" s="669"/>
      <c r="DQ114" s="670"/>
      <c r="DR114" s="669"/>
      <c r="DS114" s="670"/>
      <c r="DT114" s="669"/>
      <c r="DU114" s="670"/>
      <c r="DV114" s="669"/>
      <c r="DW114" s="670"/>
      <c r="DX114" s="669"/>
      <c r="DY114" s="670"/>
      <c r="DZ114" s="669"/>
      <c r="EA114" s="670"/>
      <c r="EB114" s="669"/>
      <c r="EC114" s="670"/>
      <c r="ED114" s="669"/>
      <c r="EE114" s="670"/>
      <c r="EF114" s="669"/>
      <c r="EG114" s="670"/>
      <c r="EH114" s="670"/>
      <c r="EI114" s="669"/>
      <c r="EJ114" s="671"/>
      <c r="EK114" s="669"/>
      <c r="EL114" s="671"/>
      <c r="EM114" s="669"/>
      <c r="EN114" s="671"/>
      <c r="EO114" s="669"/>
      <c r="EP114" s="671"/>
      <c r="EQ114" s="669"/>
      <c r="ER114" s="670"/>
      <c r="ES114" s="669"/>
      <c r="ET114" s="670"/>
      <c r="EU114" s="669"/>
      <c r="EV114" s="670"/>
      <c r="EW114" s="669"/>
      <c r="EX114" s="670"/>
      <c r="EY114" s="669"/>
      <c r="EZ114" s="670"/>
      <c r="FA114" s="669"/>
      <c r="FB114" s="670"/>
      <c r="FC114" s="669"/>
      <c r="FD114" s="670"/>
      <c r="FE114" s="669"/>
      <c r="FF114" s="670"/>
      <c r="FG114" s="669"/>
      <c r="FH114" s="670"/>
      <c r="FI114" s="669"/>
      <c r="FJ114" s="670"/>
      <c r="FK114" s="669"/>
      <c r="FL114" s="670"/>
      <c r="FM114" s="669"/>
      <c r="FN114" s="670"/>
      <c r="FO114" s="669"/>
      <c r="FP114" s="670"/>
      <c r="FQ114" s="669"/>
      <c r="FR114" s="670"/>
      <c r="FS114" s="669"/>
      <c r="FT114" s="670"/>
      <c r="FU114" s="669"/>
      <c r="FV114" s="670"/>
      <c r="FW114" s="669"/>
      <c r="FX114" s="670"/>
      <c r="FY114" s="669"/>
      <c r="FZ114" s="670"/>
      <c r="GA114" s="671"/>
    </row>
    <row r="115" spans="1:183" s="707" customFormat="1" ht="12.75" hidden="1" customHeight="1" outlineLevel="1" x14ac:dyDescent="0.2">
      <c r="A115" s="679" t="str">
        <f>INPUT!B39</f>
        <v>Premium Income</v>
      </c>
      <c r="B115" s="669"/>
      <c r="C115" s="671"/>
      <c r="D115" s="669"/>
      <c r="E115" s="681"/>
      <c r="F115" s="669"/>
      <c r="G115" s="681"/>
      <c r="H115" s="669"/>
      <c r="I115" s="681"/>
      <c r="J115" s="669"/>
      <c r="K115" s="681"/>
      <c r="L115" s="669"/>
      <c r="M115" s="681"/>
      <c r="N115" s="669"/>
      <c r="O115" s="681"/>
      <c r="P115" s="669"/>
      <c r="Q115" s="681"/>
      <c r="R115" s="669">
        <f>INPUT!AC39</f>
        <v>667.4</v>
      </c>
      <c r="S115" s="681" t="str">
        <f>INPUT!AD39</f>
        <v>NA</v>
      </c>
      <c r="T115" s="669">
        <f>INPUT!AE39</f>
        <v>662.9</v>
      </c>
      <c r="U115" s="681" t="str">
        <f>INPUT!AF39</f>
        <v>NA</v>
      </c>
      <c r="V115" s="669">
        <f>INPUT!AG39</f>
        <v>658.2</v>
      </c>
      <c r="W115" s="681" t="str">
        <f>INPUT!AH39</f>
        <v>NA</v>
      </c>
      <c r="X115" s="669">
        <f>INPUT!AI39</f>
        <v>656.19999999999993</v>
      </c>
      <c r="Y115" s="681" t="str">
        <f>INPUT!AJ39</f>
        <v>NA</v>
      </c>
      <c r="Z115" s="669">
        <f>INPUT!AK39</f>
        <v>635.40000000000009</v>
      </c>
      <c r="AA115" s="681">
        <f>INPUT!AL39</f>
        <v>-4.7947258016182044</v>
      </c>
      <c r="AB115" s="669">
        <f>INPUT!AM39</f>
        <v>636.79999999999995</v>
      </c>
      <c r="AC115" s="681">
        <f>INPUT!AN39</f>
        <v>-3.9372454367174625</v>
      </c>
      <c r="AD115" s="669">
        <f>INPUT!AO39</f>
        <v>626</v>
      </c>
      <c r="AE115" s="681">
        <f>INPUT!AP39</f>
        <v>-4.8921300516560411</v>
      </c>
      <c r="AF115" s="669">
        <f>INPUT!AQ39</f>
        <v>629.70000000000005</v>
      </c>
      <c r="AG115" s="681">
        <f>INPUT!AR39</f>
        <v>-4.0384029259372012</v>
      </c>
      <c r="AH115" s="669">
        <f>INPUT!AS39</f>
        <v>619.79999999999995</v>
      </c>
      <c r="AI115" s="681">
        <f>INPUT!AT39</f>
        <v>-2.4551463644948313</v>
      </c>
      <c r="AJ115" s="669">
        <f>INPUT!AU39</f>
        <v>622.9</v>
      </c>
      <c r="AK115" s="681">
        <f>INPUT!AV39</f>
        <v>-2.1827889447236126</v>
      </c>
      <c r="AL115" s="669">
        <f>INPUT!AW39</f>
        <v>615.70000000000005</v>
      </c>
      <c r="AM115" s="681">
        <f>INPUT!AX39</f>
        <v>-1.6453674121405637</v>
      </c>
      <c r="AN115" s="669">
        <f>INPUT!AY39</f>
        <v>625.1</v>
      </c>
      <c r="AO115" s="670">
        <f>INPUT!AZ39</f>
        <v>-0.73050659043989441</v>
      </c>
      <c r="AP115" s="669">
        <f>INPUT!BA39</f>
        <v>590.1</v>
      </c>
      <c r="AQ115" s="670">
        <f>INPUT!BB39</f>
        <v>-4.7918683446272929</v>
      </c>
      <c r="AR115" s="669">
        <f>INPUT!BC39</f>
        <v>609.29999999999995</v>
      </c>
      <c r="AS115" s="670">
        <f>INPUT!BD39</f>
        <v>-2.183336008990211</v>
      </c>
      <c r="AT115" s="669">
        <f>INPUT!BE39</f>
        <v>593.29999999999995</v>
      </c>
      <c r="AU115" s="670">
        <f>INPUT!BF39</f>
        <v>-3.638135455579028</v>
      </c>
      <c r="AV115" s="669">
        <f>INPUT!BG39</f>
        <v>588.6</v>
      </c>
      <c r="AW115" s="670">
        <f>INPUT!BH39</f>
        <v>-5.8390657494800884</v>
      </c>
      <c r="AX115" s="669">
        <f>INPUT!BI39</f>
        <v>568.4</v>
      </c>
      <c r="AY115" s="670">
        <f>INPUT!BJ39</f>
        <v>-3.6773428232503069</v>
      </c>
      <c r="AZ115" s="669">
        <f>INPUT!BK39</f>
        <v>573.6</v>
      </c>
      <c r="BA115" s="670">
        <f>INPUT!BL39</f>
        <v>-5.8591826686361319</v>
      </c>
      <c r="BB115" s="669">
        <f>INPUT!BM39</f>
        <v>562.4</v>
      </c>
      <c r="BC115" s="670">
        <f>INPUT!BN39</f>
        <v>-5.2081577616720054</v>
      </c>
      <c r="BD115" s="669">
        <f>INPUT!BO39</f>
        <v>569.20000000000005</v>
      </c>
      <c r="BE115" s="670">
        <f>INPUT!BP39</f>
        <v>-3.2959565069656804</v>
      </c>
      <c r="BF115" s="669">
        <f>INPUT!BQ39</f>
        <v>545.70000000000005</v>
      </c>
      <c r="BG115" s="670">
        <f>INPUT!BR39</f>
        <v>-3.9936664320900706</v>
      </c>
      <c r="BH115" s="669">
        <f>INPUT!BS39</f>
        <v>541</v>
      </c>
      <c r="BI115" s="670">
        <f>INPUT!BT39</f>
        <v>-5.6834030683403096</v>
      </c>
      <c r="BJ115" s="669">
        <f>INPUT!BU39</f>
        <v>537.4</v>
      </c>
      <c r="BK115" s="670">
        <f>INPUT!BV39</f>
        <v>-4.445234708392598</v>
      </c>
      <c r="BL115" s="669">
        <f>INPUT!BW39</f>
        <v>535.6</v>
      </c>
      <c r="BM115" s="670">
        <f>INPUT!BX39</f>
        <v>-5.9030217849613482</v>
      </c>
      <c r="BN115" s="669">
        <f>INPUT!BY39</f>
        <v>521.79999999999995</v>
      </c>
      <c r="BO115" s="670">
        <f>INPUT!BZ39</f>
        <v>-4.3796958035550837</v>
      </c>
      <c r="BP115" s="669">
        <f>INPUT!CA39</f>
        <v>520.70000000000005</v>
      </c>
      <c r="BQ115" s="670">
        <f>INPUT!CB39</f>
        <v>-3.7523105360443565</v>
      </c>
      <c r="BR115" s="669">
        <f>INPUT!CC39</f>
        <v>513.6</v>
      </c>
      <c r="BS115" s="670">
        <f>INPUT!CD39</f>
        <v>-4.4287309266840218</v>
      </c>
      <c r="BT115" s="669">
        <f>INPUT!CE39</f>
        <v>514.20000000000005</v>
      </c>
      <c r="BU115" s="670">
        <f>INPUT!CF39</f>
        <v>-3.9955190440627342</v>
      </c>
      <c r="BV115" s="669">
        <f>INPUT!CG39</f>
        <v>508</v>
      </c>
      <c r="BW115" s="670">
        <f>INPUT!CH39</f>
        <v>-2.6446914526638499</v>
      </c>
      <c r="BX115" s="669">
        <f>INPUT!CI39</f>
        <v>507.4</v>
      </c>
      <c r="BY115" s="670">
        <f>INPUT!CJ39</f>
        <v>-2.5542538889955946</v>
      </c>
      <c r="BZ115" s="669">
        <f>INPUT!CK39</f>
        <v>508.9</v>
      </c>
      <c r="CA115" s="670">
        <f>INPUT!CL39</f>
        <v>-0.91510903426792467</v>
      </c>
      <c r="CB115" s="669">
        <f>INPUT!CM39</f>
        <v>511.1</v>
      </c>
      <c r="CC115" s="670">
        <f>INPUT!CN39</f>
        <v>-0.60287825748736035</v>
      </c>
      <c r="CD115" s="669">
        <f>INPUT!CO39</f>
        <v>513.20000000000005</v>
      </c>
      <c r="CE115" s="670">
        <f>INPUT!CP39</f>
        <v>1.0236220472441104</v>
      </c>
      <c r="CF115" s="669">
        <f>INPUT!CQ39</f>
        <v>516</v>
      </c>
      <c r="CG115" s="670">
        <f>INPUT!CR39</f>
        <v>1.6949152542372836</v>
      </c>
      <c r="CH115" s="669">
        <f>INPUT!CS39</f>
        <v>512.5</v>
      </c>
      <c r="CI115" s="670">
        <f>INPUT!CT39</f>
        <v>0.70740813519356571</v>
      </c>
      <c r="CJ115" s="669">
        <f>INPUT!CU39</f>
        <v>513.79999999999995</v>
      </c>
      <c r="CK115" s="670">
        <f>INPUT!CV39</f>
        <v>0.52827235374681702</v>
      </c>
      <c r="CL115" s="669">
        <f>INPUT!CW39</f>
        <v>523.70000000000005</v>
      </c>
      <c r="CM115" s="670">
        <f>INPUT!CX39</f>
        <v>2.045985970381925</v>
      </c>
      <c r="CN115" s="669">
        <f>INPUT!CY39</f>
        <v>523.9</v>
      </c>
      <c r="CO115" s="670">
        <f>INPUT!CZ39</f>
        <v>1.5310077519379739</v>
      </c>
      <c r="CP115" s="669">
        <f>INPUT!DA39</f>
        <v>514.5</v>
      </c>
      <c r="CQ115" s="670">
        <f>INPUT!DB39</f>
        <v>0.39024390243902474</v>
      </c>
      <c r="CR115" s="669">
        <f>INPUT!DC39</f>
        <v>511.4</v>
      </c>
      <c r="CS115" s="670">
        <f>INPUT!DD39</f>
        <v>-0.46710782405604556</v>
      </c>
      <c r="CT115" s="669">
        <f>INPUT!DE39</f>
        <v>520.79999999999995</v>
      </c>
      <c r="CU115" s="670">
        <f>INPUT!DF39</f>
        <v>-0.55375214817645624</v>
      </c>
      <c r="CV115" s="669">
        <f>INPUT!DG39</f>
        <v>524</v>
      </c>
      <c r="CW115" s="670">
        <f>INPUT!DH39</f>
        <v>1.9087612139734311E-2</v>
      </c>
      <c r="CX115" s="669">
        <f>INPUT!DI39</f>
        <v>526</v>
      </c>
      <c r="CY115" s="670">
        <f>INPUT!DJ39</f>
        <v>2.2351797862002032</v>
      </c>
      <c r="CZ115" s="669">
        <f>INPUT!DK39</f>
        <v>540.79999999999995</v>
      </c>
      <c r="DA115" s="670">
        <f>INPUT!DL39</f>
        <v>5.7489245209229489</v>
      </c>
      <c r="DB115" s="669">
        <f>INPUT!DM39</f>
        <v>553</v>
      </c>
      <c r="DC115" s="670">
        <f>INPUT!DN39</f>
        <v>6.1827956989247479</v>
      </c>
      <c r="DD115" s="669">
        <f>INPUT!DO39</f>
        <v>561</v>
      </c>
      <c r="DE115" s="670">
        <f>INPUT!DP39</f>
        <v>7.0610687022900853</v>
      </c>
      <c r="DF115" s="669">
        <f>INPUT!DQ39</f>
        <v>567.5</v>
      </c>
      <c r="DG115" s="670">
        <f>INPUT!DR39</f>
        <v>7.8897338403041806</v>
      </c>
      <c r="DH115" s="669">
        <f>INPUT!DS39</f>
        <v>570.6</v>
      </c>
      <c r="DI115" s="670">
        <f>INPUT!DT39</f>
        <v>5.5103550295858117</v>
      </c>
      <c r="DJ115" s="669">
        <f>INPUT!DU39</f>
        <v>588.1</v>
      </c>
      <c r="DK115" s="670">
        <f>INPUT!DV39</f>
        <v>6.3471971066907829</v>
      </c>
      <c r="DL115" s="669">
        <f>INPUT!DW39</f>
        <v>589.1</v>
      </c>
      <c r="DM115" s="670">
        <f>INPUT!DX39</f>
        <v>5.0089126559714758</v>
      </c>
      <c r="DN115" s="669">
        <f>INPUT!DY39</f>
        <v>583.6</v>
      </c>
      <c r="DO115" s="670">
        <f>INPUT!DZ39</f>
        <v>2.8370044052863586</v>
      </c>
      <c r="DP115" s="669">
        <f>INPUT!EA39</f>
        <v>591.9</v>
      </c>
      <c r="DQ115" s="670">
        <f>INPUT!EB39</f>
        <v>3.732912723449</v>
      </c>
      <c r="DR115" s="669">
        <f>INPUT!EC39</f>
        <v>592.29999999999995</v>
      </c>
      <c r="DS115" s="670">
        <f>INPUT!ED39</f>
        <v>0.71416425777928172</v>
      </c>
      <c r="DT115" s="669">
        <f>INPUT!EE39</f>
        <v>596</v>
      </c>
      <c r="DU115" s="670">
        <f>INPUT!EF39</f>
        <v>1.171278221015104</v>
      </c>
      <c r="DV115" s="669">
        <f>INPUT!EG39</f>
        <v>596.29999999999995</v>
      </c>
      <c r="DW115" s="670">
        <f>INPUT!EH39</f>
        <v>2.1761480466072625</v>
      </c>
      <c r="DX115" s="669">
        <f>INPUT!EI39</f>
        <v>604.79999999999995</v>
      </c>
      <c r="DY115" s="670">
        <f>INPUT!EJ39</f>
        <v>2.1794221996958907</v>
      </c>
      <c r="DZ115" s="669">
        <f>INPUT!EK39</f>
        <v>628.99588499999993</v>
      </c>
      <c r="EA115" s="670">
        <f>INPUT!EL39</f>
        <v>6.1954896167482731</v>
      </c>
      <c r="EB115" s="669">
        <f>INPUT!EM39</f>
        <v>632.17981379949993</v>
      </c>
      <c r="EC115" s="670">
        <f>INPUT!EN39</f>
        <v>6.0704385569630759</v>
      </c>
      <c r="ED115" s="669">
        <f>INPUT!EO39</f>
        <v>630.29246062757557</v>
      </c>
      <c r="EE115" s="670">
        <f>INPUT!EP39</f>
        <v>5.7005635800059684</v>
      </c>
      <c r="EF115" s="669">
        <f>INPUT!EQ39</f>
        <v>629.0675514111166</v>
      </c>
      <c r="EG115" s="670">
        <f>INPUT!ER39</f>
        <v>4.0124919661237879</v>
      </c>
      <c r="EH115" s="670"/>
      <c r="EI115" s="669">
        <f>INPUT!FB39</f>
        <v>0</v>
      </c>
      <c r="EJ115" s="681">
        <f>INPUT!FC39</f>
        <v>0</v>
      </c>
      <c r="EK115" s="669">
        <f>INPUT!FD39</f>
        <v>2547.8000000000002</v>
      </c>
      <c r="EL115" s="681" t="str">
        <f>INPUT!FE39</f>
        <v>NA</v>
      </c>
      <c r="EM115" s="669">
        <f>INPUT!FF39</f>
        <v>2662.6</v>
      </c>
      <c r="EN115" s="681">
        <f>INPUT!FG39</f>
        <v>4.5058481827458863</v>
      </c>
      <c r="EO115" s="669">
        <f>INPUT!FH39</f>
        <v>2644.7</v>
      </c>
      <c r="EP115" s="681">
        <f>INPUT!FI39</f>
        <v>-0.67227521971006121</v>
      </c>
      <c r="EQ115" s="669">
        <f>INPUT!FJ39</f>
        <v>2527.9</v>
      </c>
      <c r="ER115" s="670">
        <f>INPUT!FK39</f>
        <v>-4.4163799296706552</v>
      </c>
      <c r="ES115" s="669">
        <f>INPUT!FL39</f>
        <v>2483.5</v>
      </c>
      <c r="ET115" s="670">
        <f>INPUT!FM39</f>
        <v>-1.756398591716446</v>
      </c>
      <c r="EU115" s="669">
        <f>INPUT!FN39</f>
        <v>2381.3000000000002</v>
      </c>
      <c r="EV115" s="670">
        <f>INPUT!FO39</f>
        <v>-4.115160056372047</v>
      </c>
      <c r="EW115" s="669">
        <f>INPUT!FP39</f>
        <v>2273.6000000000004</v>
      </c>
      <c r="EX115" s="670">
        <f>INPUT!FQ39</f>
        <v>-4.5227396800067154</v>
      </c>
      <c r="EY115" s="669">
        <f>INPUT!FR39</f>
        <v>2159.6999999999998</v>
      </c>
      <c r="EZ115" s="670">
        <f>INPUT!FS39</f>
        <v>-5.0096762843068525</v>
      </c>
      <c r="FA115" s="669">
        <f>INPUT!FT39</f>
        <v>2070.3000000000002</v>
      </c>
      <c r="FB115" s="670">
        <f>INPUT!FU39</f>
        <v>-4.1394638144186535</v>
      </c>
      <c r="FC115" s="669">
        <f>INPUT!FV39</f>
        <v>2035.4</v>
      </c>
      <c r="FD115" s="670">
        <f>INPUT!FW39</f>
        <v>-1.6857460271458291</v>
      </c>
      <c r="FE115" s="669">
        <f>INPUT!FX39</f>
        <v>2055.5</v>
      </c>
      <c r="FF115" s="670">
        <f>INPUT!FY39</f>
        <v>0.98752088041662578</v>
      </c>
      <c r="FG115" s="669">
        <f>INPUT!FZ39</f>
        <v>2073.5</v>
      </c>
      <c r="FH115" s="670">
        <f>INPUT!GA39</f>
        <v>0.87569934322548892</v>
      </c>
      <c r="FI115" s="669">
        <f>INPUT!GB39</f>
        <v>2111.6</v>
      </c>
      <c r="FJ115" s="670">
        <f>INPUT!GC39</f>
        <v>1.8374728719556366</v>
      </c>
      <c r="FK115" s="669">
        <f>INPUT!GD39</f>
        <v>2252.1</v>
      </c>
      <c r="FL115" s="670">
        <f>INPUT!GE39</f>
        <v>6.6537222958893638</v>
      </c>
      <c r="FM115" s="669">
        <f>INPUT!GF39</f>
        <v>2352.7000000000003</v>
      </c>
      <c r="FN115" s="670">
        <f>INPUT!GG39</f>
        <v>4.4669419652768605</v>
      </c>
      <c r="FO115" s="669">
        <f>INPUT!GH39</f>
        <v>2389.3999999999996</v>
      </c>
      <c r="FP115" s="670">
        <f>INPUT!GI39</f>
        <v>1.5599098907637776</v>
      </c>
      <c r="FQ115" s="669">
        <f>INPUT!GJ39</f>
        <v>2520.5357108381922</v>
      </c>
      <c r="FR115" s="670">
        <f>INPUT!GK39</f>
        <v>5.4882276235955763</v>
      </c>
      <c r="FS115" s="669">
        <f>INPUT!GL39</f>
        <v>2627.3445940771685</v>
      </c>
      <c r="FT115" s="670">
        <f>INPUT!GM39</f>
        <v>4.2375469143207445</v>
      </c>
      <c r="FU115" s="669">
        <f>INPUT!GN39</f>
        <v>2742.0026894109578</v>
      </c>
      <c r="FV115" s="670">
        <f>INPUT!GO39</f>
        <v>4.3640295830346565</v>
      </c>
      <c r="FW115" s="669">
        <f>INPUT!GP39</f>
        <v>2864.5749546585253</v>
      </c>
      <c r="FX115" s="670">
        <f>INPUT!GQ39</f>
        <v>4.4701730498265313</v>
      </c>
      <c r="FY115" s="669">
        <f>INPUT!GR39</f>
        <v>2995.1723488164821</v>
      </c>
      <c r="FZ115" s="670">
        <f>INPUT!GS39</f>
        <v>4.559049640002355</v>
      </c>
      <c r="GA115" s="681">
        <f>INPUT!GT39</f>
        <v>4.6228609201699689</v>
      </c>
    </row>
    <row r="116" spans="1:183" s="707" customFormat="1" ht="12.75" hidden="1" customHeight="1" outlineLevel="1" x14ac:dyDescent="0.2">
      <c r="A116" s="679" t="str">
        <f>INPUT!B40</f>
        <v>Net Investment Income</v>
      </c>
      <c r="B116" s="669"/>
      <c r="C116" s="671"/>
      <c r="D116" s="669"/>
      <c r="E116" s="681"/>
      <c r="F116" s="669"/>
      <c r="G116" s="681"/>
      <c r="H116" s="669"/>
      <c r="I116" s="681"/>
      <c r="J116" s="669"/>
      <c r="K116" s="681"/>
      <c r="L116" s="669"/>
      <c r="M116" s="681"/>
      <c r="N116" s="669"/>
      <c r="O116" s="681"/>
      <c r="P116" s="669"/>
      <c r="Q116" s="681"/>
      <c r="R116" s="669">
        <f>INPUT!AC40</f>
        <v>142.1</v>
      </c>
      <c r="S116" s="681" t="str">
        <f>INPUT!AD40</f>
        <v>NA</v>
      </c>
      <c r="T116" s="669">
        <f>INPUT!AE40</f>
        <v>150.4</v>
      </c>
      <c r="U116" s="681" t="str">
        <f>INPUT!AF40</f>
        <v>NA</v>
      </c>
      <c r="V116" s="669">
        <f>INPUT!AG40</f>
        <v>147.19999999999999</v>
      </c>
      <c r="W116" s="681" t="str">
        <f>INPUT!AH40</f>
        <v>NA</v>
      </c>
      <c r="X116" s="669">
        <f>INPUT!AI40</f>
        <v>156.09999999999994</v>
      </c>
      <c r="Y116" s="681" t="str">
        <f>INPUT!AJ40</f>
        <v>NA</v>
      </c>
      <c r="Z116" s="669">
        <f>INPUT!AK40</f>
        <v>148.69999999999999</v>
      </c>
      <c r="AA116" s="681">
        <f>INPUT!AL40</f>
        <v>4.6446164672765633</v>
      </c>
      <c r="AB116" s="669">
        <f>INPUT!AM40</f>
        <v>152.80000000000001</v>
      </c>
      <c r="AC116" s="681">
        <f>INPUT!AN40</f>
        <v>1.5957446808510634</v>
      </c>
      <c r="AD116" s="669">
        <f>INPUT!AO40</f>
        <v>151.9</v>
      </c>
      <c r="AE116" s="681">
        <f>INPUT!AP40</f>
        <v>3.192934782608714</v>
      </c>
      <c r="AF116" s="669">
        <f>INPUT!AQ40</f>
        <v>152.30000000000001</v>
      </c>
      <c r="AG116" s="681">
        <f>INPUT!AR40</f>
        <v>-2.4343369634848955</v>
      </c>
      <c r="AH116" s="669">
        <f>INPUT!AS40</f>
        <v>153.30000000000001</v>
      </c>
      <c r="AI116" s="681">
        <f>INPUT!AT40</f>
        <v>3.0934767989240219</v>
      </c>
      <c r="AJ116" s="669">
        <f>INPUT!AU40</f>
        <v>150.6</v>
      </c>
      <c r="AK116" s="681">
        <f>INPUT!AV40</f>
        <v>-1.4397905759162444</v>
      </c>
      <c r="AL116" s="669">
        <f>INPUT!AW40</f>
        <v>149.6</v>
      </c>
      <c r="AM116" s="681">
        <f>INPUT!AX40</f>
        <v>-1.5141540487162652</v>
      </c>
      <c r="AN116" s="669">
        <f>INPUT!AY40</f>
        <v>168.4</v>
      </c>
      <c r="AO116" s="670">
        <f>INPUT!AZ40</f>
        <v>10.571240971766249</v>
      </c>
      <c r="AP116" s="669">
        <f>INPUT!BA40</f>
        <v>158.60000000000002</v>
      </c>
      <c r="AQ116" s="670">
        <f>INPUT!BB40</f>
        <v>3.4572733202870243</v>
      </c>
      <c r="AR116" s="669">
        <f>INPUT!BC40</f>
        <v>168.2</v>
      </c>
      <c r="AS116" s="670">
        <f>INPUT!BD40</f>
        <v>11.686586985391756</v>
      </c>
      <c r="AT116" s="669">
        <f>INPUT!BE40</f>
        <v>163.30000000000001</v>
      </c>
      <c r="AU116" s="670">
        <f>INPUT!BF40</f>
        <v>9.1577540106952071</v>
      </c>
      <c r="AV116" s="669">
        <f>INPUT!BG40</f>
        <v>158.6</v>
      </c>
      <c r="AW116" s="670">
        <f>INPUT!BH40</f>
        <v>-5.8194774346793432</v>
      </c>
      <c r="AX116" s="669">
        <f>INPUT!BI40</f>
        <v>156.80000000000001</v>
      </c>
      <c r="AY116" s="670">
        <f>INPUT!BJ40</f>
        <v>-1.1349306431273742</v>
      </c>
      <c r="AZ116" s="669">
        <f>INPUT!BK40</f>
        <v>160.70000000000002</v>
      </c>
      <c r="BA116" s="670">
        <f>INPUT!BL40</f>
        <v>-4.4589774078477866</v>
      </c>
      <c r="BB116" s="669">
        <f>INPUT!BM40</f>
        <v>157.19999999999999</v>
      </c>
      <c r="BC116" s="670">
        <f>INPUT!BN40</f>
        <v>-3.7354562155542115</v>
      </c>
      <c r="BD116" s="669">
        <f>INPUT!BO40</f>
        <v>156.6</v>
      </c>
      <c r="BE116" s="670">
        <f>INPUT!BP40</f>
        <v>-1.2610340479192961</v>
      </c>
      <c r="BF116" s="669">
        <f>INPUT!BQ40</f>
        <v>156.5</v>
      </c>
      <c r="BG116" s="670">
        <f>INPUT!BR40</f>
        <v>-0.19132653061225691</v>
      </c>
      <c r="BH116" s="669">
        <f>INPUT!BS40</f>
        <v>161.6</v>
      </c>
      <c r="BI116" s="670">
        <f>INPUT!BT40</f>
        <v>0.56004978220285384</v>
      </c>
      <c r="BJ116" s="669">
        <f>INPUT!BU40</f>
        <v>157.30000000000001</v>
      </c>
      <c r="BK116" s="670">
        <f>INPUT!BV40</f>
        <v>6.3613231552173133E-2</v>
      </c>
      <c r="BL116" s="669">
        <f>INPUT!BW40</f>
        <v>154</v>
      </c>
      <c r="BM116" s="670">
        <f>INPUT!BX40</f>
        <v>-1.6602809706257937</v>
      </c>
      <c r="BN116" s="669">
        <f>INPUT!BY40</f>
        <v>151.30000000000001</v>
      </c>
      <c r="BO116" s="670">
        <f>INPUT!BZ40</f>
        <v>-3.3226837060702841</v>
      </c>
      <c r="BP116" s="669">
        <f>INPUT!CA40</f>
        <v>155.9</v>
      </c>
      <c r="BQ116" s="670">
        <f>INPUT!CB40</f>
        <v>-3.5272277227722748</v>
      </c>
      <c r="BR116" s="669">
        <f>INPUT!CC40</f>
        <v>150.19999999999999</v>
      </c>
      <c r="BS116" s="670">
        <f>INPUT!CD40</f>
        <v>-4.5136681500318021</v>
      </c>
      <c r="BT116" s="669">
        <f>INPUT!CE40</f>
        <v>157.19999999999999</v>
      </c>
      <c r="BU116" s="670">
        <f>INPUT!CF40</f>
        <v>2.0779220779220786</v>
      </c>
      <c r="BV116" s="669">
        <f>INPUT!CG40</f>
        <v>147.69999999999999</v>
      </c>
      <c r="BW116" s="670">
        <f>INPUT!CH40</f>
        <v>-2.3793787177792569</v>
      </c>
      <c r="BX116" s="669">
        <f>INPUT!CI40</f>
        <v>153.5</v>
      </c>
      <c r="BY116" s="670">
        <f>INPUT!CJ40</f>
        <v>-1.5394483643361156</v>
      </c>
      <c r="BZ116" s="669">
        <f>INPUT!CK40</f>
        <v>153</v>
      </c>
      <c r="CA116" s="670">
        <f>INPUT!CL40</f>
        <v>1.8641810918775148</v>
      </c>
      <c r="CB116" s="669">
        <f>INPUT!CM40</f>
        <v>150.80000000000001</v>
      </c>
      <c r="CC116" s="670">
        <f>INPUT!CN40</f>
        <v>-4.0712468193384037</v>
      </c>
      <c r="CD116" s="669">
        <f>INPUT!CO40</f>
        <v>147.4</v>
      </c>
      <c r="CE116" s="670">
        <f>INPUT!CP40</f>
        <v>-0.20311442112388445</v>
      </c>
      <c r="CF116" s="669">
        <f>INPUT!CQ40</f>
        <v>142</v>
      </c>
      <c r="CG116" s="670">
        <f>INPUT!CR40</f>
        <v>-7.4918566775244333</v>
      </c>
      <c r="CH116" s="669">
        <f>INPUT!CS40</f>
        <v>142.9</v>
      </c>
      <c r="CI116" s="670">
        <f>INPUT!CT40</f>
        <v>-6.6013071895424824</v>
      </c>
      <c r="CJ116" s="669">
        <f>INPUT!CU40</f>
        <v>144.6</v>
      </c>
      <c r="CK116" s="670">
        <f>INPUT!CV40</f>
        <v>-4.1114058355437795</v>
      </c>
      <c r="CL116" s="669">
        <f>INPUT!CW40</f>
        <v>140.80000000000001</v>
      </c>
      <c r="CM116" s="670">
        <f>INPUT!CX40</f>
        <v>-4.4776119402984982</v>
      </c>
      <c r="CN116" s="669">
        <f>INPUT!CY40</f>
        <v>136.69999999999999</v>
      </c>
      <c r="CO116" s="670">
        <f>INPUT!CZ40</f>
        <v>-3.7323943661971892</v>
      </c>
      <c r="CP116" s="669">
        <f>INPUT!DA40</f>
        <v>136.30000000000001</v>
      </c>
      <c r="CQ116" s="670">
        <f>INPUT!DB40</f>
        <v>-4.6186144156752924</v>
      </c>
      <c r="CR116" s="669">
        <f>INPUT!DC40</f>
        <v>133.6</v>
      </c>
      <c r="CS116" s="670">
        <f>INPUT!DD40</f>
        <v>-7.6071922544951542</v>
      </c>
      <c r="CT116" s="669">
        <f>INPUT!DE40</f>
        <v>131.5</v>
      </c>
      <c r="CU116" s="670">
        <f>INPUT!DF40</f>
        <v>-6.6051136363636465</v>
      </c>
      <c r="CV116" s="669">
        <f>INPUT!DG40</f>
        <v>127.5</v>
      </c>
      <c r="CW116" s="670">
        <f>INPUT!DH40</f>
        <v>-6.7300658376005735</v>
      </c>
      <c r="CX116" s="669">
        <f>INPUT!DI40</f>
        <v>124.8</v>
      </c>
      <c r="CY116" s="670">
        <f>INPUT!DJ40</f>
        <v>-8.4372707263389639</v>
      </c>
      <c r="CZ116" s="669">
        <f>INPUT!DK40</f>
        <v>132.1</v>
      </c>
      <c r="DA116" s="670">
        <f>INPUT!DL40</f>
        <v>-1.1227544910179632</v>
      </c>
      <c r="DB116" s="669">
        <f>INPUT!DM40</f>
        <v>125</v>
      </c>
      <c r="DC116" s="670">
        <f>INPUT!DN40</f>
        <v>-4.9429657794676789</v>
      </c>
      <c r="DD116" s="669">
        <f>INPUT!DO40</f>
        <v>125.2</v>
      </c>
      <c r="DE116" s="670">
        <f>INPUT!DP40</f>
        <v>-1.8039215686274535</v>
      </c>
      <c r="DF116" s="669">
        <f>INPUT!DQ40</f>
        <v>121.7</v>
      </c>
      <c r="DG116" s="670">
        <f>INPUT!DR40</f>
        <v>-2.4839743589743501</v>
      </c>
      <c r="DH116" s="669">
        <f>INPUT!DS40</f>
        <v>124.6</v>
      </c>
      <c r="DI116" s="670">
        <f>INPUT!DT40</f>
        <v>-5.6775170325510942</v>
      </c>
      <c r="DJ116" s="669">
        <f>INPUT!DU40</f>
        <v>120.8</v>
      </c>
      <c r="DK116" s="670">
        <f>INPUT!DV40</f>
        <v>-3.3600000000000074</v>
      </c>
      <c r="DL116" s="669">
        <f>INPUT!DW40</f>
        <v>119.8</v>
      </c>
      <c r="DM116" s="670">
        <f>INPUT!DX40</f>
        <v>-4.3130990415335528</v>
      </c>
      <c r="DN116" s="669">
        <f>INPUT!DY40</f>
        <v>120.1</v>
      </c>
      <c r="DO116" s="670">
        <f>INPUT!DZ40</f>
        <v>-1.3147082990961456</v>
      </c>
      <c r="DP116" s="669">
        <f>INPUT!EA40</f>
        <v>118.8</v>
      </c>
      <c r="DQ116" s="670">
        <f>INPUT!EB40</f>
        <v>-4.6548956661316199</v>
      </c>
      <c r="DR116" s="669">
        <f>INPUT!EC40</f>
        <v>115.5</v>
      </c>
      <c r="DS116" s="670">
        <f>INPUT!ED40</f>
        <v>-4.3874172185430442</v>
      </c>
      <c r="DT116" s="669">
        <f>INPUT!EE40</f>
        <v>118.1</v>
      </c>
      <c r="DU116" s="670">
        <f>INPUT!EF40</f>
        <v>-1.4190317195325597</v>
      </c>
      <c r="DV116" s="669">
        <f>INPUT!EG40</f>
        <v>113.7</v>
      </c>
      <c r="DW116" s="670">
        <f>INPUT!EH40</f>
        <v>-5.3288925895087385</v>
      </c>
      <c r="DX116" s="669">
        <f>INPUT!EI40</f>
        <v>113.2</v>
      </c>
      <c r="DY116" s="670">
        <f>INPUT!EJ40</f>
        <v>-4.7138047138047146</v>
      </c>
      <c r="DZ116" s="669">
        <f>INPUT!EK40</f>
        <v>114.33200000000001</v>
      </c>
      <c r="EA116" s="670">
        <f>INPUT!EL40</f>
        <v>-1.0112554112554073</v>
      </c>
      <c r="EB116" s="669">
        <f>INPUT!EM40</f>
        <v>115.47532000000001</v>
      </c>
      <c r="EC116" s="670">
        <f>INPUT!EN40</f>
        <v>-2.2224216765452831</v>
      </c>
      <c r="ED116" s="669">
        <f>INPUT!EO40</f>
        <v>116.63007320000001</v>
      </c>
      <c r="EE116" s="670">
        <f>INPUT!EP40</f>
        <v>2.577021284080927</v>
      </c>
      <c r="EF116" s="669">
        <f>INPUT!EQ40</f>
        <v>117.79637393200001</v>
      </c>
      <c r="EG116" s="670">
        <f>INPUT!ER40</f>
        <v>4.0604010000000024</v>
      </c>
      <c r="EH116" s="670"/>
      <c r="EI116" s="669">
        <f>INPUT!FB40</f>
        <v>0</v>
      </c>
      <c r="EJ116" s="681">
        <f>INPUT!FC40</f>
        <v>0</v>
      </c>
      <c r="EK116" s="669">
        <f>INPUT!FD40</f>
        <v>568.29999999999995</v>
      </c>
      <c r="EL116" s="681" t="str">
        <f>INPUT!FE40</f>
        <v>NA</v>
      </c>
      <c r="EM116" s="669">
        <f>INPUT!FF40</f>
        <v>609.70000000000005</v>
      </c>
      <c r="EN116" s="681">
        <f>INPUT!FG40</f>
        <v>7.2848847439732634</v>
      </c>
      <c r="EO116" s="669">
        <f>INPUT!FH40</f>
        <v>595.79999999999995</v>
      </c>
      <c r="EP116" s="681">
        <f>INPUT!FI40</f>
        <v>-2.2798097424963193</v>
      </c>
      <c r="EQ116" s="669">
        <f>INPUT!FJ40</f>
        <v>605.70000000000005</v>
      </c>
      <c r="ER116" s="670">
        <f>INPUT!FK40</f>
        <v>1.6616314199396021</v>
      </c>
      <c r="ES116" s="669">
        <f>INPUT!FL40</f>
        <v>621.9</v>
      </c>
      <c r="ET116" s="670">
        <f>INPUT!FM40</f>
        <v>2.6745913818722045</v>
      </c>
      <c r="EU116" s="669">
        <f>INPUT!FN40</f>
        <v>648.70000000000005</v>
      </c>
      <c r="EV116" s="670">
        <f>INPUT!FO40</f>
        <v>4.3093744975076564</v>
      </c>
      <c r="EW116" s="669">
        <f>INPUT!FP40</f>
        <v>631.29999999999995</v>
      </c>
      <c r="EX116" s="670">
        <f>INPUT!FQ40</f>
        <v>-2.6822876522275441</v>
      </c>
      <c r="EY116" s="669">
        <f>INPUT!FR40</f>
        <v>629.40000000000009</v>
      </c>
      <c r="EZ116" s="670">
        <f>INPUT!FS40</f>
        <v>-0.30096626009818994</v>
      </c>
      <c r="FA116" s="669">
        <f>INPUT!FT40</f>
        <v>614.6</v>
      </c>
      <c r="FB116" s="670">
        <f>INPUT!FU40</f>
        <v>-2.3514458214172307</v>
      </c>
      <c r="FC116" s="669">
        <f>INPUT!FV40</f>
        <v>605</v>
      </c>
      <c r="FD116" s="670">
        <f>INPUT!FW40</f>
        <v>-1.5619915392125039</v>
      </c>
      <c r="FE116" s="669">
        <f>INPUT!FX40</f>
        <v>575.6</v>
      </c>
      <c r="FF116" s="670">
        <f>INPUT!FY40</f>
        <v>-4.8595041322313959</v>
      </c>
      <c r="FG116" s="669">
        <f>INPUT!FZ40</f>
        <v>547.4</v>
      </c>
      <c r="FH116" s="670">
        <f>INPUT!GA40</f>
        <v>-4.899235580264083</v>
      </c>
      <c r="FI116" s="669">
        <f>INPUT!GB40</f>
        <v>515.9</v>
      </c>
      <c r="FJ116" s="670">
        <f>INPUT!GC40</f>
        <v>-5.7544757033248128</v>
      </c>
      <c r="FK116" s="669">
        <f>INPUT!GD40</f>
        <v>496.5</v>
      </c>
      <c r="FL116" s="670">
        <f>INPUT!GE40</f>
        <v>-3.7604186857918109</v>
      </c>
      <c r="FM116" s="669">
        <f>INPUT!GF40</f>
        <v>479.5</v>
      </c>
      <c r="FN116" s="670">
        <f>INPUT!GG40</f>
        <v>-3.423967774420944</v>
      </c>
      <c r="FO116" s="669">
        <f>INPUT!GH40</f>
        <v>460.5</v>
      </c>
      <c r="FP116" s="670">
        <f>INPUT!GI40</f>
        <v>-3.9624608967674613</v>
      </c>
      <c r="FQ116" s="669">
        <f>INPUT!GJ40</f>
        <v>464.23376713200003</v>
      </c>
      <c r="FR116" s="670">
        <f>INPUT!GK40</f>
        <v>0.81080719478827668</v>
      </c>
      <c r="FS116" s="669">
        <f>INPUT!GL40</f>
        <v>473.51844247464004</v>
      </c>
      <c r="FT116" s="670">
        <f>INPUT!GM40</f>
        <v>2.0000000000000018</v>
      </c>
      <c r="FU116" s="669">
        <f>INPUT!GN40</f>
        <v>482.98881132413283</v>
      </c>
      <c r="FV116" s="670">
        <f>INPUT!GO40</f>
        <v>2.0000000000000018</v>
      </c>
      <c r="FW116" s="669">
        <f>INPUT!GP40</f>
        <v>492.6485875506155</v>
      </c>
      <c r="FX116" s="670">
        <f>INPUT!GQ40</f>
        <v>2.0000000000000018</v>
      </c>
      <c r="FY116" s="669">
        <f>INPUT!GR40</f>
        <v>502.50155930162782</v>
      </c>
      <c r="FZ116" s="670">
        <f>INPUT!GS40</f>
        <v>2.0000000000000018</v>
      </c>
      <c r="GA116" s="681">
        <f>INPUT!GT40</f>
        <v>1.7610444557998317</v>
      </c>
    </row>
    <row r="117" spans="1:183" s="707" customFormat="1" ht="12.75" hidden="1" customHeight="1" outlineLevel="1" x14ac:dyDescent="0.2">
      <c r="A117" s="679" t="str">
        <f>INPUT!B41</f>
        <v>Other Income</v>
      </c>
      <c r="B117" s="669"/>
      <c r="C117" s="671"/>
      <c r="D117" s="669"/>
      <c r="E117" s="681"/>
      <c r="F117" s="669"/>
      <c r="G117" s="681"/>
      <c r="H117" s="669"/>
      <c r="I117" s="681"/>
      <c r="J117" s="669"/>
      <c r="K117" s="681"/>
      <c r="L117" s="669"/>
      <c r="M117" s="681"/>
      <c r="N117" s="669"/>
      <c r="O117" s="681"/>
      <c r="P117" s="669"/>
      <c r="Q117" s="681"/>
      <c r="R117" s="669">
        <f>INPUT!AC41</f>
        <v>17.000000000000004</v>
      </c>
      <c r="S117" s="681" t="str">
        <f>INPUT!AD41</f>
        <v>NA</v>
      </c>
      <c r="T117" s="669">
        <f>INPUT!AE41</f>
        <v>17.7</v>
      </c>
      <c r="U117" s="681" t="str">
        <f>INPUT!AF41</f>
        <v>NA</v>
      </c>
      <c r="V117" s="669">
        <f>INPUT!AG41</f>
        <v>17.7</v>
      </c>
      <c r="W117" s="681" t="str">
        <f>INPUT!AH41</f>
        <v>NA</v>
      </c>
      <c r="X117" s="669">
        <f>INPUT!AI41</f>
        <v>17.199999999999985</v>
      </c>
      <c r="Y117" s="681" t="str">
        <f>INPUT!AJ41</f>
        <v>NA</v>
      </c>
      <c r="Z117" s="669">
        <f>INPUT!AK41</f>
        <v>20.399999999999999</v>
      </c>
      <c r="AA117" s="681">
        <f>INPUT!AL41</f>
        <v>19.999999999999972</v>
      </c>
      <c r="AB117" s="669">
        <f>INPUT!AM41</f>
        <v>18.399999999999999</v>
      </c>
      <c r="AC117" s="681">
        <f>INPUT!AN41</f>
        <v>3.9548022598870025</v>
      </c>
      <c r="AD117" s="669">
        <f>INPUT!AO41</f>
        <v>20.2</v>
      </c>
      <c r="AE117" s="681">
        <f>INPUT!AP41</f>
        <v>14.124293785310726</v>
      </c>
      <c r="AF117" s="669">
        <f>INPUT!AQ41</f>
        <v>21.3</v>
      </c>
      <c r="AG117" s="681">
        <f>INPUT!AR41</f>
        <v>23.837209302325689</v>
      </c>
      <c r="AH117" s="669">
        <f>INPUT!AS41</f>
        <v>19.5</v>
      </c>
      <c r="AI117" s="681">
        <f>INPUT!AT41</f>
        <v>-4.4117647058823479</v>
      </c>
      <c r="AJ117" s="669">
        <f>INPUT!AU41</f>
        <v>21.5</v>
      </c>
      <c r="AK117" s="681">
        <f>INPUT!AV41</f>
        <v>16.847826086956541</v>
      </c>
      <c r="AL117" s="669">
        <f>INPUT!AW41</f>
        <v>20.7</v>
      </c>
      <c r="AM117" s="681">
        <f>INPUT!AX41</f>
        <v>2.4752475247524774</v>
      </c>
      <c r="AN117" s="669">
        <f>INPUT!AY41</f>
        <v>20.6</v>
      </c>
      <c r="AO117" s="670">
        <f>INPUT!AZ41</f>
        <v>-3.2863849765258135</v>
      </c>
      <c r="AP117" s="669">
        <f>INPUT!BA41</f>
        <v>24.599999999999998</v>
      </c>
      <c r="AQ117" s="670">
        <f>INPUT!BB41</f>
        <v>26.15384615384615</v>
      </c>
      <c r="AR117" s="669">
        <f>INPUT!BC41</f>
        <v>24.700000000000003</v>
      </c>
      <c r="AS117" s="670">
        <f>INPUT!BD41</f>
        <v>14.883720930232581</v>
      </c>
      <c r="AT117" s="669">
        <f>INPUT!BE41</f>
        <v>24.4</v>
      </c>
      <c r="AU117" s="670">
        <f>INPUT!BF41</f>
        <v>17.874396135265691</v>
      </c>
      <c r="AV117" s="669">
        <f>INPUT!BG41</f>
        <v>26.4</v>
      </c>
      <c r="AW117" s="670">
        <f>INPUT!BH41</f>
        <v>28.155339805825228</v>
      </c>
      <c r="AX117" s="669">
        <f>INPUT!BI41</f>
        <v>24.4</v>
      </c>
      <c r="AY117" s="670">
        <f>INPUT!BJ41</f>
        <v>-0.81300813008129413</v>
      </c>
      <c r="AZ117" s="669">
        <f>INPUT!BK41</f>
        <v>25.3</v>
      </c>
      <c r="BA117" s="670">
        <f>INPUT!BL41</f>
        <v>2.4291497975708509</v>
      </c>
      <c r="BB117" s="669">
        <f>INPUT!BM41</f>
        <v>25.599999999999998</v>
      </c>
      <c r="BC117" s="670">
        <f>INPUT!BN41</f>
        <v>4.9180327868852514</v>
      </c>
      <c r="BD117" s="669">
        <f>INPUT!BO41</f>
        <v>24.9</v>
      </c>
      <c r="BE117" s="670">
        <f>INPUT!BP41</f>
        <v>-5.6818181818181763</v>
      </c>
      <c r="BF117" s="669">
        <f>INPUT!BQ41</f>
        <v>23.4</v>
      </c>
      <c r="BG117" s="670">
        <f>INPUT!BR41</f>
        <v>-4.098360655737709</v>
      </c>
      <c r="BH117" s="669">
        <f>INPUT!BS41</f>
        <v>21.8</v>
      </c>
      <c r="BI117" s="670">
        <f>INPUT!BT41</f>
        <v>-13.833992094861658</v>
      </c>
      <c r="BJ117" s="669">
        <f>INPUT!BU41</f>
        <v>21.9</v>
      </c>
      <c r="BK117" s="670">
        <f>INPUT!BV41</f>
        <v>-14.453125</v>
      </c>
      <c r="BL117" s="669">
        <f>INPUT!BW41</f>
        <v>21.8</v>
      </c>
      <c r="BM117" s="670">
        <f>INPUT!BX41</f>
        <v>-12.449799196787136</v>
      </c>
      <c r="BN117" s="669">
        <f>INPUT!BY41</f>
        <v>21.7</v>
      </c>
      <c r="BO117" s="670">
        <f>INPUT!BZ41</f>
        <v>-7.2649572649572614</v>
      </c>
      <c r="BP117" s="669">
        <f>INPUT!CA41</f>
        <v>21.6</v>
      </c>
      <c r="BQ117" s="670">
        <f>INPUT!CB41</f>
        <v>-0.91743119266054496</v>
      </c>
      <c r="BR117" s="669">
        <f>INPUT!CC41</f>
        <v>21.5</v>
      </c>
      <c r="BS117" s="670">
        <f>INPUT!CD41</f>
        <v>-1.826484018264829</v>
      </c>
      <c r="BT117" s="669">
        <f>INPUT!CE41</f>
        <v>21.9</v>
      </c>
      <c r="BU117" s="670">
        <f>INPUT!CF41</f>
        <v>0.45871559633026138</v>
      </c>
      <c r="BV117" s="669">
        <f>INPUT!CG41</f>
        <v>22.2</v>
      </c>
      <c r="BW117" s="670">
        <f>INPUT!CH41</f>
        <v>2.3041474654377891</v>
      </c>
      <c r="BX117" s="669">
        <f>INPUT!CI41</f>
        <v>21.8</v>
      </c>
      <c r="BY117" s="670">
        <f>INPUT!CJ41</f>
        <v>0.92592592592593004</v>
      </c>
      <c r="BZ117" s="669">
        <f>INPUT!CK41</f>
        <v>23.1</v>
      </c>
      <c r="CA117" s="670">
        <f>INPUT!CL41</f>
        <v>7.441860465116279</v>
      </c>
      <c r="CB117" s="669">
        <f>INPUT!CM41</f>
        <v>22.3</v>
      </c>
      <c r="CC117" s="670">
        <f>INPUT!CN41</f>
        <v>1.8264840182648401</v>
      </c>
      <c r="CD117" s="669">
        <f>INPUT!CO41</f>
        <v>23.5</v>
      </c>
      <c r="CE117" s="670">
        <f>INPUT!CP41</f>
        <v>5.8558558558558627</v>
      </c>
      <c r="CF117" s="669">
        <f>INPUT!CQ41</f>
        <v>23.1</v>
      </c>
      <c r="CG117" s="670">
        <f>INPUT!CR41</f>
        <v>5.9633027522935755</v>
      </c>
      <c r="CH117" s="669">
        <f>INPUT!CS41</f>
        <v>23.4</v>
      </c>
      <c r="CI117" s="670">
        <f>INPUT!CT41</f>
        <v>1.298701298701288</v>
      </c>
      <c r="CJ117" s="669">
        <f>INPUT!CU41</f>
        <v>23.7</v>
      </c>
      <c r="CK117" s="670">
        <f>INPUT!CV41</f>
        <v>6.2780269058295923</v>
      </c>
      <c r="CL117" s="669">
        <f>INPUT!CW41</f>
        <v>27.8</v>
      </c>
      <c r="CM117" s="670">
        <f>INPUT!CX41</f>
        <v>18.297872340425524</v>
      </c>
      <c r="CN117" s="669">
        <f>INPUT!CY41</f>
        <v>22.7</v>
      </c>
      <c r="CO117" s="670">
        <f>INPUT!CZ41</f>
        <v>-1.7316017316017396</v>
      </c>
      <c r="CP117" s="669">
        <f>INPUT!DA41</f>
        <v>23.1</v>
      </c>
      <c r="CQ117" s="670">
        <f>INPUT!DB41</f>
        <v>-1.2820512820512664</v>
      </c>
      <c r="CR117" s="669">
        <f>INPUT!DC41</f>
        <v>22</v>
      </c>
      <c r="CS117" s="670">
        <f>INPUT!DD41</f>
        <v>-7.1729957805907185</v>
      </c>
      <c r="CT117" s="669">
        <f>INPUT!DE41</f>
        <v>21.8</v>
      </c>
      <c r="CU117" s="670">
        <f>INPUT!DF41</f>
        <v>-21.582733812949641</v>
      </c>
      <c r="CV117" s="669">
        <f>INPUT!DG41</f>
        <v>22.9</v>
      </c>
      <c r="CW117" s="670">
        <f>INPUT!DH41</f>
        <v>0.88105726872247381</v>
      </c>
      <c r="CX117" s="669">
        <f>INPUT!DI41</f>
        <v>22.9</v>
      </c>
      <c r="CY117" s="670">
        <f>INPUT!DJ41</f>
        <v>-0.86580086580088089</v>
      </c>
      <c r="CZ117" s="669">
        <f>INPUT!DK41</f>
        <v>23.4</v>
      </c>
      <c r="DA117" s="670">
        <f>INPUT!DL41</f>
        <v>6.3636363636363491</v>
      </c>
      <c r="DB117" s="669">
        <f>INPUT!DM41</f>
        <v>23.6</v>
      </c>
      <c r="DC117" s="670">
        <f>INPUT!DN41</f>
        <v>8.2568807339449499</v>
      </c>
      <c r="DD117" s="669">
        <f>INPUT!DO41</f>
        <v>24.8</v>
      </c>
      <c r="DE117" s="670">
        <f>INPUT!DP41</f>
        <v>8.2969432314410554</v>
      </c>
      <c r="DF117" s="669">
        <f>INPUT!DQ41</f>
        <v>21.6</v>
      </c>
      <c r="DG117" s="670">
        <f>INPUT!DR41</f>
        <v>-5.676855895196498</v>
      </c>
      <c r="DH117" s="669">
        <f>INPUT!DS41</f>
        <v>22.9</v>
      </c>
      <c r="DI117" s="670">
        <f>INPUT!DT41</f>
        <v>-2.1367521367521403</v>
      </c>
      <c r="DJ117" s="669">
        <f>INPUT!DU41</f>
        <v>22.9</v>
      </c>
      <c r="DK117" s="670">
        <f>INPUT!DV41</f>
        <v>-2.9661016949152685</v>
      </c>
      <c r="DL117" s="669">
        <f>INPUT!DW41</f>
        <v>22.5</v>
      </c>
      <c r="DM117" s="670">
        <f>INPUT!DX41</f>
        <v>-9.2741935483870996</v>
      </c>
      <c r="DN117" s="669">
        <f>INPUT!DY41</f>
        <v>22.8</v>
      </c>
      <c r="DO117" s="670">
        <f>INPUT!DZ41</f>
        <v>5.555555555555558</v>
      </c>
      <c r="DP117" s="669">
        <f>INPUT!EA41</f>
        <v>22.9</v>
      </c>
      <c r="DQ117" s="670">
        <f>INPUT!EB41</f>
        <v>0</v>
      </c>
      <c r="DR117" s="669">
        <f>INPUT!EC41</f>
        <v>24</v>
      </c>
      <c r="DS117" s="670">
        <f>INPUT!ED41</f>
        <v>4.8034934497816595</v>
      </c>
      <c r="DT117" s="669">
        <f>INPUT!EE41</f>
        <v>25.6</v>
      </c>
      <c r="DU117" s="670">
        <f>INPUT!EF41</f>
        <v>13.777777777777779</v>
      </c>
      <c r="DV117" s="669">
        <f>INPUT!EG41</f>
        <v>23.8</v>
      </c>
      <c r="DW117" s="670">
        <f>INPUT!EH41</f>
        <v>4.3859649122806932</v>
      </c>
      <c r="DX117" s="669">
        <f>INPUT!EI41</f>
        <v>24.9</v>
      </c>
      <c r="DY117" s="670">
        <f>INPUT!EJ41</f>
        <v>8.7336244541484689</v>
      </c>
      <c r="DZ117" s="669">
        <f>INPUT!EK41</f>
        <v>25.148999999999997</v>
      </c>
      <c r="EA117" s="670">
        <f>INPUT!EL41</f>
        <v>4.787499999999989</v>
      </c>
      <c r="EB117" s="669">
        <f>INPUT!EM41</f>
        <v>25.400489999999998</v>
      </c>
      <c r="EC117" s="670">
        <f>INPUT!EN41</f>
        <v>-0.77933593750001418</v>
      </c>
      <c r="ED117" s="669">
        <f>INPUT!EO41</f>
        <v>25.6544949</v>
      </c>
      <c r="EE117" s="670">
        <f>INPUT!EP41</f>
        <v>7.7919953781512508</v>
      </c>
      <c r="EF117" s="669">
        <f>INPUT!EQ41</f>
        <v>25.911039848999998</v>
      </c>
      <c r="EG117" s="670">
        <f>INPUT!ER41</f>
        <v>4.0604010000000024</v>
      </c>
      <c r="EH117" s="670"/>
      <c r="EI117" s="669">
        <f>INPUT!FB41</f>
        <v>0</v>
      </c>
      <c r="EJ117" s="681">
        <f>INPUT!FC41</f>
        <v>0</v>
      </c>
      <c r="EK117" s="669">
        <f>INPUT!FD41</f>
        <v>33.9</v>
      </c>
      <c r="EL117" s="681" t="str">
        <f>INPUT!FE41</f>
        <v>NA</v>
      </c>
      <c r="EM117" s="669">
        <f>INPUT!FF41</f>
        <v>56.4</v>
      </c>
      <c r="EN117" s="681">
        <f>INPUT!FG41</f>
        <v>66.371681415929203</v>
      </c>
      <c r="EO117" s="669">
        <f>INPUT!FH41</f>
        <v>69.599999999999994</v>
      </c>
      <c r="EP117" s="681">
        <f>INPUT!FI41</f>
        <v>23.404255319148938</v>
      </c>
      <c r="EQ117" s="669">
        <f>INPUT!FJ41</f>
        <v>80.3</v>
      </c>
      <c r="ER117" s="670">
        <f>INPUT!FK41</f>
        <v>15.373563218390807</v>
      </c>
      <c r="ES117" s="669">
        <f>INPUT!FL41</f>
        <v>82.300000000000011</v>
      </c>
      <c r="ET117" s="670">
        <f>INPUT!FM41</f>
        <v>2.4906600249066102</v>
      </c>
      <c r="EU117" s="669">
        <f>INPUT!FN41</f>
        <v>100.1</v>
      </c>
      <c r="EV117" s="670">
        <f>INPUT!FO41</f>
        <v>21.628189550425247</v>
      </c>
      <c r="EW117" s="669">
        <f>INPUT!FP41</f>
        <v>100.19999999999999</v>
      </c>
      <c r="EX117" s="670">
        <f>INPUT!FQ41</f>
        <v>9.9900099900085415E-2</v>
      </c>
      <c r="EY117" s="669">
        <f>INPUT!FR41</f>
        <v>88.899999999999991</v>
      </c>
      <c r="EZ117" s="670">
        <f>INPUT!FS41</f>
        <v>-11.277445109780437</v>
      </c>
      <c r="FA117" s="669">
        <f>INPUT!FT41</f>
        <v>86.699999999999989</v>
      </c>
      <c r="FB117" s="670">
        <f>INPUT!FU41</f>
        <v>-2.4746906636670452</v>
      </c>
      <c r="FC117" s="669">
        <f>INPUT!FV41</f>
        <v>89.399999999999991</v>
      </c>
      <c r="FD117" s="670">
        <f>INPUT!FW41</f>
        <v>3.114186851211076</v>
      </c>
      <c r="FE117" s="669">
        <f>INPUT!FX41</f>
        <v>93.7</v>
      </c>
      <c r="FF117" s="670">
        <f>INPUT!FY41</f>
        <v>4.8098434004474333</v>
      </c>
      <c r="FG117" s="669">
        <f>INPUT!FZ41</f>
        <v>95.6</v>
      </c>
      <c r="FH117" s="670">
        <f>INPUT!GA41</f>
        <v>2.0277481323372371</v>
      </c>
      <c r="FI117" s="669">
        <f>INPUT!GB41</f>
        <v>91</v>
      </c>
      <c r="FJ117" s="670">
        <f>INPUT!GC41</f>
        <v>-4.8117154811715412</v>
      </c>
      <c r="FK117" s="669">
        <f>INPUT!GD41</f>
        <v>92.9</v>
      </c>
      <c r="FL117" s="670">
        <f>INPUT!GE41</f>
        <v>2.0879120879121027</v>
      </c>
      <c r="FM117" s="669">
        <f>INPUT!GF41</f>
        <v>91.1</v>
      </c>
      <c r="FN117" s="670">
        <f>INPUT!GG41</f>
        <v>-1.9375672766415608</v>
      </c>
      <c r="FO117" s="669">
        <f>INPUT!GH41</f>
        <v>98.300000000000011</v>
      </c>
      <c r="FP117" s="670">
        <f>INPUT!GI41</f>
        <v>7.9034028540066137</v>
      </c>
      <c r="FQ117" s="669">
        <f>INPUT!GJ41</f>
        <v>102.11502474899999</v>
      </c>
      <c r="FR117" s="670">
        <f>INPUT!GK41</f>
        <v>3.8810017792471729</v>
      </c>
      <c r="FS117" s="669">
        <f>INPUT!GL41</f>
        <v>106.19962573895999</v>
      </c>
      <c r="FT117" s="670">
        <f>INPUT!GM41</f>
        <v>4.0000000000000036</v>
      </c>
      <c r="FU117" s="669">
        <f>INPUT!GN41</f>
        <v>110.4476107685184</v>
      </c>
      <c r="FV117" s="670">
        <f>INPUT!GO41</f>
        <v>4.0000000000000036</v>
      </c>
      <c r="FW117" s="669">
        <f>INPUT!GP41</f>
        <v>114.86551519925914</v>
      </c>
      <c r="FX117" s="670">
        <f>INPUT!GQ41</f>
        <v>4.0000000000000036</v>
      </c>
      <c r="FY117" s="669">
        <f>INPUT!GR41</f>
        <v>119.46013580722951</v>
      </c>
      <c r="FZ117" s="670">
        <f>INPUT!GS41</f>
        <v>4.0000000000000036</v>
      </c>
      <c r="GA117" s="681">
        <f>INPUT!GT41</f>
        <v>3.9761894556140875</v>
      </c>
    </row>
    <row r="118" spans="1:183" s="707" customFormat="1" ht="12.75" hidden="1" customHeight="1" outlineLevel="1" x14ac:dyDescent="0.2">
      <c r="A118" s="679" t="str">
        <f>INPUT!B42</f>
        <v xml:space="preserve"> Total Revenues</v>
      </c>
      <c r="B118" s="669"/>
      <c r="C118" s="671"/>
      <c r="D118" s="669"/>
      <c r="E118" s="681"/>
      <c r="F118" s="669"/>
      <c r="G118" s="681"/>
      <c r="H118" s="669"/>
      <c r="I118" s="681"/>
      <c r="J118" s="669"/>
      <c r="K118" s="681"/>
      <c r="L118" s="669"/>
      <c r="M118" s="681"/>
      <c r="N118" s="669"/>
      <c r="O118" s="681"/>
      <c r="P118" s="669"/>
      <c r="Q118" s="681"/>
      <c r="R118" s="669">
        <f>INPUT!AC42</f>
        <v>826.5</v>
      </c>
      <c r="S118" s="681" t="str">
        <f>INPUT!AD42</f>
        <v>NA</v>
      </c>
      <c r="T118" s="669">
        <f>INPUT!AE42</f>
        <v>831</v>
      </c>
      <c r="U118" s="681" t="str">
        <f>INPUT!AF42</f>
        <v>NA</v>
      </c>
      <c r="V118" s="669">
        <f>INPUT!AG42</f>
        <v>823.10000000000014</v>
      </c>
      <c r="W118" s="681" t="str">
        <f>INPUT!AH42</f>
        <v>NA</v>
      </c>
      <c r="X118" s="669">
        <f>INPUT!AI42</f>
        <v>829.49999999999977</v>
      </c>
      <c r="Y118" s="681" t="str">
        <f>INPUT!AJ42</f>
        <v>NA</v>
      </c>
      <c r="Z118" s="669">
        <f>INPUT!AK42</f>
        <v>804.50000000000011</v>
      </c>
      <c r="AA118" s="681">
        <f>INPUT!AL42</f>
        <v>-2.661826981246207</v>
      </c>
      <c r="AB118" s="669">
        <f>INPUT!AM42</f>
        <v>807.99999999999989</v>
      </c>
      <c r="AC118" s="681">
        <f>INPUT!AN42</f>
        <v>-2.7677496991576511</v>
      </c>
      <c r="AD118" s="669">
        <f>INPUT!AO42</f>
        <v>798.1</v>
      </c>
      <c r="AE118" s="681">
        <f>INPUT!AP42</f>
        <v>-3.0372980196817001</v>
      </c>
      <c r="AF118" s="669">
        <f>INPUT!AQ42</f>
        <v>803.3</v>
      </c>
      <c r="AG118" s="681">
        <f>INPUT!AR42</f>
        <v>-3.1585292344785798</v>
      </c>
      <c r="AH118" s="669">
        <f>INPUT!AS42</f>
        <v>792.59999999999991</v>
      </c>
      <c r="AI118" s="681">
        <f>INPUT!AT42</f>
        <v>-1.4791796146675251</v>
      </c>
      <c r="AJ118" s="669">
        <f>INPUT!AU42</f>
        <v>795</v>
      </c>
      <c r="AK118" s="681">
        <f>INPUT!AV42</f>
        <v>-1.6089108910890992</v>
      </c>
      <c r="AL118" s="669">
        <f>INPUT!AW42</f>
        <v>786.00000000000011</v>
      </c>
      <c r="AM118" s="681">
        <f>INPUT!AX42</f>
        <v>-1.5161007392557213</v>
      </c>
      <c r="AN118" s="669">
        <f>INPUT!AY42</f>
        <v>814.1</v>
      </c>
      <c r="AO118" s="670">
        <f>INPUT!AZ42</f>
        <v>1.3444541267272569</v>
      </c>
      <c r="AP118" s="669">
        <f>INPUT!BA42</f>
        <v>773.30000000000007</v>
      </c>
      <c r="AQ118" s="670">
        <f>INPUT!BB42</f>
        <v>-2.4350239717385591</v>
      </c>
      <c r="AR118" s="669">
        <f>INPUT!BC42</f>
        <v>802.2</v>
      </c>
      <c r="AS118" s="670">
        <f>INPUT!BD42</f>
        <v>0.90566037735848592</v>
      </c>
      <c r="AT118" s="669">
        <f>INPUT!BE42</f>
        <v>780.99999999999989</v>
      </c>
      <c r="AU118" s="670">
        <f>INPUT!BF42</f>
        <v>-0.63613231552165361</v>
      </c>
      <c r="AV118" s="669">
        <f>INPUT!BG42</f>
        <v>773.6</v>
      </c>
      <c r="AW118" s="670">
        <f>INPUT!BH42</f>
        <v>-4.9748188183269875</v>
      </c>
      <c r="AX118" s="669">
        <f>INPUT!BI42</f>
        <v>749.6</v>
      </c>
      <c r="AY118" s="670">
        <f>INPUT!BJ42</f>
        <v>-3.0647872753135963</v>
      </c>
      <c r="AZ118" s="669">
        <f>INPUT!BK42</f>
        <v>759.6</v>
      </c>
      <c r="BA118" s="670">
        <f>INPUT!BL42</f>
        <v>-5.3103964098728529</v>
      </c>
      <c r="BB118" s="669">
        <f>INPUT!BM42</f>
        <v>745.19999999999993</v>
      </c>
      <c r="BC118" s="670">
        <f>INPUT!BN42</f>
        <v>-4.5838668373879621</v>
      </c>
      <c r="BD118" s="669">
        <f>INPUT!BO42</f>
        <v>750.7</v>
      </c>
      <c r="BE118" s="670">
        <f>INPUT!BP42</f>
        <v>-2.9601861427094089</v>
      </c>
      <c r="BF118" s="669">
        <f>INPUT!BQ42</f>
        <v>725.6</v>
      </c>
      <c r="BG118" s="670">
        <f>INPUT!BR42</f>
        <v>-3.2017075773746018</v>
      </c>
      <c r="BH118" s="669">
        <f>INPUT!BS42</f>
        <v>724.4</v>
      </c>
      <c r="BI118" s="670">
        <f>INPUT!BT42</f>
        <v>-4.6340179041600926</v>
      </c>
      <c r="BJ118" s="669">
        <f>INPUT!BU42</f>
        <v>716.6</v>
      </c>
      <c r="BK118" s="670">
        <f>INPUT!BV42</f>
        <v>-3.8378958668813579</v>
      </c>
      <c r="BL118" s="669">
        <f>INPUT!BW42</f>
        <v>711.4</v>
      </c>
      <c r="BM118" s="670">
        <f>INPUT!BX42</f>
        <v>-5.2351138936992285</v>
      </c>
      <c r="BN118" s="669">
        <f>INPUT!BY42</f>
        <v>694.8</v>
      </c>
      <c r="BO118" s="670">
        <f>INPUT!BZ42</f>
        <v>-4.2447629547960446</v>
      </c>
      <c r="BP118" s="669">
        <f>INPUT!CA42</f>
        <v>698.2</v>
      </c>
      <c r="BQ118" s="670">
        <f>INPUT!CB42</f>
        <v>-3.6167863059083261</v>
      </c>
      <c r="BR118" s="669">
        <f>INPUT!CC42</f>
        <v>685.3</v>
      </c>
      <c r="BS118" s="670">
        <f>INPUT!CD42</f>
        <v>-4.3678481719229829</v>
      </c>
      <c r="BT118" s="669">
        <f>INPUT!CE42</f>
        <v>693.30000000000007</v>
      </c>
      <c r="BU118" s="670">
        <f>INPUT!CF42</f>
        <v>-2.544278886702267</v>
      </c>
      <c r="BV118" s="669">
        <f>INPUT!CG42</f>
        <v>677.90000000000009</v>
      </c>
      <c r="BW118" s="670">
        <f>INPUT!CH42</f>
        <v>-2.4323546344271585</v>
      </c>
      <c r="BX118" s="669">
        <f>INPUT!CI42</f>
        <v>682.69999999999993</v>
      </c>
      <c r="BY118" s="670">
        <f>INPUT!CJ42</f>
        <v>-2.2199942709825393</v>
      </c>
      <c r="BZ118" s="669">
        <f>INPUT!CK42</f>
        <v>685</v>
      </c>
      <c r="CA118" s="670">
        <f>INPUT!CL42</f>
        <v>-4.377644827082694E-2</v>
      </c>
      <c r="CB118" s="669">
        <f>INPUT!CM42</f>
        <v>684.2</v>
      </c>
      <c r="CC118" s="670">
        <f>INPUT!CN42</f>
        <v>-1.31256310399539</v>
      </c>
      <c r="CD118" s="669">
        <f>INPUT!CO42</f>
        <v>684.1</v>
      </c>
      <c r="CE118" s="670">
        <f>INPUT!CP42</f>
        <v>0.91458917244431337</v>
      </c>
      <c r="CF118" s="669">
        <f>INPUT!CQ42</f>
        <v>681.1</v>
      </c>
      <c r="CG118" s="670">
        <f>INPUT!CR42</f>
        <v>-0.23436355646695439</v>
      </c>
      <c r="CH118" s="669">
        <f>INPUT!CS42</f>
        <v>678.8</v>
      </c>
      <c r="CI118" s="670">
        <f>INPUT!CT42</f>
        <v>-0.90510948905110356</v>
      </c>
      <c r="CJ118" s="669">
        <f>INPUT!CU42</f>
        <v>682.1</v>
      </c>
      <c r="CK118" s="670">
        <f>INPUT!CV42</f>
        <v>-0.30692779888921162</v>
      </c>
      <c r="CL118" s="669">
        <f>INPUT!CW42</f>
        <v>692.3</v>
      </c>
      <c r="CM118" s="670">
        <f>INPUT!CX42</f>
        <v>1.198655167373186</v>
      </c>
      <c r="CN118" s="669">
        <f>INPUT!CY42</f>
        <v>683.3</v>
      </c>
      <c r="CO118" s="670">
        <f>INPUT!CZ42</f>
        <v>0.32300690060196313</v>
      </c>
      <c r="CP118" s="669">
        <f>INPUT!DA42</f>
        <v>673.9</v>
      </c>
      <c r="CQ118" s="670">
        <f>INPUT!DB42</f>
        <v>-0.72186210960518693</v>
      </c>
      <c r="CR118" s="669">
        <f>INPUT!DC42</f>
        <v>667</v>
      </c>
      <c r="CS118" s="670">
        <f>INPUT!DD42</f>
        <v>-2.2137516493182852</v>
      </c>
      <c r="CT118" s="669">
        <f>INPUT!DE42</f>
        <v>674.09999999999991</v>
      </c>
      <c r="CU118" s="670">
        <f>INPUT!DF42</f>
        <v>-2.6289180990899941</v>
      </c>
      <c r="CV118" s="669">
        <f>INPUT!DG42</f>
        <v>674.4</v>
      </c>
      <c r="CW118" s="670">
        <f>INPUT!DH42</f>
        <v>-1.3025025611005381</v>
      </c>
      <c r="CX118" s="669">
        <f>INPUT!DI42</f>
        <v>673.69999999999993</v>
      </c>
      <c r="CY118" s="670">
        <f>INPUT!DJ42</f>
        <v>-2.9677993767629474E-2</v>
      </c>
      <c r="CZ118" s="669">
        <f>INPUT!DK42</f>
        <v>696.3</v>
      </c>
      <c r="DA118" s="670">
        <f>INPUT!DL42</f>
        <v>4.3928035982008895</v>
      </c>
      <c r="DB118" s="669">
        <f>INPUT!DM42</f>
        <v>701.6</v>
      </c>
      <c r="DC118" s="670">
        <f>INPUT!DN42</f>
        <v>4.0795134253078347</v>
      </c>
      <c r="DD118" s="669">
        <f>INPUT!DO42</f>
        <v>711</v>
      </c>
      <c r="DE118" s="670">
        <f>INPUT!DP42</f>
        <v>5.4270462633452032</v>
      </c>
      <c r="DF118" s="669">
        <f>INPUT!DQ42</f>
        <v>710.80000000000007</v>
      </c>
      <c r="DG118" s="670">
        <f>INPUT!DR42</f>
        <v>5.5069021819801334</v>
      </c>
      <c r="DH118" s="669">
        <f>INPUT!DS42</f>
        <v>718.1</v>
      </c>
      <c r="DI118" s="670">
        <f>INPUT!DT42</f>
        <v>3.1308344104552743</v>
      </c>
      <c r="DJ118" s="669">
        <f>INPUT!DU42</f>
        <v>731.8</v>
      </c>
      <c r="DK118" s="670">
        <f>INPUT!DV42</f>
        <v>4.3044469783352302</v>
      </c>
      <c r="DL118" s="669">
        <f>INPUT!DW42</f>
        <v>731.4</v>
      </c>
      <c r="DM118" s="670">
        <f>INPUT!DX42</f>
        <v>2.8691983122362874</v>
      </c>
      <c r="DN118" s="669">
        <f>INPUT!DY42</f>
        <v>726.5</v>
      </c>
      <c r="DO118" s="670">
        <f>INPUT!DZ42</f>
        <v>2.2087788407428199</v>
      </c>
      <c r="DP118" s="669">
        <f>INPUT!EA42</f>
        <v>733.59999999999991</v>
      </c>
      <c r="DQ118" s="670">
        <f>INPUT!EB42</f>
        <v>2.1584737501740614</v>
      </c>
      <c r="DR118" s="669">
        <f>INPUT!EC42</f>
        <v>731.8</v>
      </c>
      <c r="DS118" s="670">
        <f>INPUT!ED42</f>
        <v>0</v>
      </c>
      <c r="DT118" s="669">
        <f>INPUT!EE42</f>
        <v>739.7</v>
      </c>
      <c r="DU118" s="670">
        <f>INPUT!EF42</f>
        <v>1.1348099535138267</v>
      </c>
      <c r="DV118" s="669">
        <f>INPUT!EG42</f>
        <v>733.8</v>
      </c>
      <c r="DW118" s="670">
        <f>INPUT!EH42</f>
        <v>1.0048176187198887</v>
      </c>
      <c r="DX118" s="669">
        <f>INPUT!EI42</f>
        <v>742.9</v>
      </c>
      <c r="DY118" s="670">
        <f>INPUT!EJ42</f>
        <v>1.2677208287895425</v>
      </c>
      <c r="DZ118" s="669">
        <f>INPUT!EK42</f>
        <v>768.47688499999992</v>
      </c>
      <c r="EA118" s="670">
        <f>INPUT!EL42</f>
        <v>5.0118727794479234</v>
      </c>
      <c r="EB118" s="669">
        <f>INPUT!EM42</f>
        <v>773.05562379949993</v>
      </c>
      <c r="EC118" s="670">
        <f>INPUT!EN42</f>
        <v>4.5093448424361027</v>
      </c>
      <c r="ED118" s="669">
        <f>INPUT!EO42</f>
        <v>772.57702872757557</v>
      </c>
      <c r="EE118" s="670">
        <f>INPUT!EP42</f>
        <v>5.2844138358647541</v>
      </c>
      <c r="EF118" s="669">
        <f>INPUT!EQ42</f>
        <v>772.77496519211661</v>
      </c>
      <c r="EG118" s="670">
        <f>INPUT!ER42</f>
        <v>4.0213979259815069</v>
      </c>
      <c r="EH118" s="670"/>
      <c r="EI118" s="669">
        <f>INPUT!FB42</f>
        <v>0</v>
      </c>
      <c r="EJ118" s="681">
        <f>INPUT!FC42</f>
        <v>0</v>
      </c>
      <c r="EK118" s="669">
        <f>INPUT!FD42</f>
        <v>3150.0000000000005</v>
      </c>
      <c r="EL118" s="681" t="str">
        <f>INPUT!FE42</f>
        <v>NA</v>
      </c>
      <c r="EM118" s="669">
        <f>INPUT!FF42</f>
        <v>3328.7000000000003</v>
      </c>
      <c r="EN118" s="681">
        <f>INPUT!FG42</f>
        <v>5.6730158730158742</v>
      </c>
      <c r="EO118" s="669">
        <f>INPUT!FH42</f>
        <v>3310.1</v>
      </c>
      <c r="EP118" s="681">
        <f>INPUT!FI42</f>
        <v>-0.55877669961247323</v>
      </c>
      <c r="EQ118" s="669">
        <f>INPUT!FJ42</f>
        <v>3213.9000000000005</v>
      </c>
      <c r="ER118" s="670">
        <f>INPUT!FK42</f>
        <v>-2.9062566085616526</v>
      </c>
      <c r="ES118" s="669">
        <f>INPUT!FL42</f>
        <v>3187.7000000000003</v>
      </c>
      <c r="ET118" s="670">
        <f>INPUT!FM42</f>
        <v>-0.81520893618346468</v>
      </c>
      <c r="EU118" s="669">
        <f>INPUT!FN42</f>
        <v>3130.1</v>
      </c>
      <c r="EV118" s="670">
        <f>INPUT!FO42</f>
        <v>-1.8069454465602264</v>
      </c>
      <c r="EW118" s="669">
        <f>INPUT!FP42</f>
        <v>3005.1000000000004</v>
      </c>
      <c r="EX118" s="670">
        <f>INPUT!FQ42</f>
        <v>-3.9934826363374865</v>
      </c>
      <c r="EY118" s="669">
        <f>INPUT!FR42</f>
        <v>2878</v>
      </c>
      <c r="EZ118" s="670">
        <f>INPUT!FS42</f>
        <v>-4.229476556520595</v>
      </c>
      <c r="FA118" s="669">
        <f>INPUT!FT42</f>
        <v>2771.6</v>
      </c>
      <c r="FB118" s="670">
        <f>INPUT!FU42</f>
        <v>-3.6970118137595542</v>
      </c>
      <c r="FC118" s="669">
        <f>INPUT!FV42</f>
        <v>2729.8</v>
      </c>
      <c r="FD118" s="670">
        <f>INPUT!FW42</f>
        <v>-1.5081541347957805</v>
      </c>
      <c r="FE118" s="669">
        <f>INPUT!FX42</f>
        <v>2724.7999999999997</v>
      </c>
      <c r="FF118" s="670">
        <f>INPUT!FY42</f>
        <v>-0.18316360172908608</v>
      </c>
      <c r="FG118" s="669">
        <f>INPUT!FZ42</f>
        <v>2716.5</v>
      </c>
      <c r="FH118" s="670">
        <f>INPUT!GA42</f>
        <v>-0.30460951262476499</v>
      </c>
      <c r="FI118" s="669">
        <f>INPUT!GB42</f>
        <v>2718.5</v>
      </c>
      <c r="FJ118" s="670">
        <f>INPUT!GC42</f>
        <v>7.3624148720785598E-2</v>
      </c>
      <c r="FK118" s="669">
        <f>INPUT!GD42</f>
        <v>2841.5</v>
      </c>
      <c r="FL118" s="670">
        <f>INPUT!GE42</f>
        <v>4.5245539819753544</v>
      </c>
      <c r="FM118" s="669">
        <f>INPUT!GF42</f>
        <v>2923.3</v>
      </c>
      <c r="FN118" s="670">
        <f>INPUT!GG42</f>
        <v>2.8787612176667254</v>
      </c>
      <c r="FO118" s="669">
        <f>INPUT!GH42</f>
        <v>2948.2</v>
      </c>
      <c r="FP118" s="670">
        <f>INPUT!GI42</f>
        <v>0.8517771012212183</v>
      </c>
      <c r="FQ118" s="669">
        <f>INPUT!GJ42</f>
        <v>3086.8845027191924</v>
      </c>
      <c r="FR118" s="670">
        <f>INPUT!GK42</f>
        <v>4.7040398453019661</v>
      </c>
      <c r="FS118" s="669">
        <f>INPUT!GL42</f>
        <v>3207.0626622907685</v>
      </c>
      <c r="FT118" s="670">
        <f>INPUT!GM42</f>
        <v>3.8931861385067323</v>
      </c>
      <c r="FU118" s="669">
        <f>INPUT!GN42</f>
        <v>3335.4391115036087</v>
      </c>
      <c r="FV118" s="670">
        <f>INPUT!GO42</f>
        <v>4.0029292449540899</v>
      </c>
      <c r="FW118" s="669">
        <f>INPUT!GP42</f>
        <v>3472.0890574084001</v>
      </c>
      <c r="FX118" s="670">
        <f>INPUT!GQ42</f>
        <v>4.0969102219104769</v>
      </c>
      <c r="FY118" s="669">
        <f>INPUT!GR42</f>
        <v>3617.1340439253395</v>
      </c>
      <c r="FZ118" s="670">
        <f>INPUT!GS42</f>
        <v>4.1774558232444248</v>
      </c>
      <c r="GA118" s="681">
        <f>INPUT!GT42</f>
        <v>4.1745258062923618</v>
      </c>
    </row>
    <row r="119" spans="1:183" s="707" customFormat="1" ht="12.75" hidden="1" customHeight="1" outlineLevel="1" x14ac:dyDescent="0.2">
      <c r="A119" s="679"/>
      <c r="B119" s="669"/>
      <c r="C119" s="671"/>
      <c r="D119" s="669"/>
      <c r="E119" s="681"/>
      <c r="F119" s="669"/>
      <c r="G119" s="681"/>
      <c r="H119" s="669"/>
      <c r="I119" s="681"/>
      <c r="J119" s="669"/>
      <c r="K119" s="681"/>
      <c r="L119" s="669"/>
      <c r="M119" s="681"/>
      <c r="N119" s="669"/>
      <c r="O119" s="681"/>
      <c r="P119" s="669"/>
      <c r="Q119" s="681"/>
      <c r="R119" s="669"/>
      <c r="S119" s="681"/>
      <c r="T119" s="669"/>
      <c r="U119" s="681"/>
      <c r="V119" s="669"/>
      <c r="W119" s="681"/>
      <c r="X119" s="669"/>
      <c r="Y119" s="681"/>
      <c r="Z119" s="669"/>
      <c r="AA119" s="681"/>
      <c r="AB119" s="669"/>
      <c r="AC119" s="681"/>
      <c r="AD119" s="669"/>
      <c r="AE119" s="681"/>
      <c r="AF119" s="669"/>
      <c r="AG119" s="681"/>
      <c r="AH119" s="669"/>
      <c r="AI119" s="681"/>
      <c r="AJ119" s="669"/>
      <c r="AK119" s="681"/>
      <c r="AL119" s="669"/>
      <c r="AM119" s="681"/>
      <c r="AN119" s="669"/>
      <c r="AO119" s="670"/>
      <c r="AP119" s="669"/>
      <c r="AQ119" s="670"/>
      <c r="AR119" s="669"/>
      <c r="AS119" s="670"/>
      <c r="AT119" s="669"/>
      <c r="AU119" s="670"/>
      <c r="AV119" s="669"/>
      <c r="AW119" s="670"/>
      <c r="AX119" s="669"/>
      <c r="AY119" s="670"/>
      <c r="AZ119" s="669"/>
      <c r="BA119" s="670"/>
      <c r="BB119" s="669"/>
      <c r="BC119" s="670"/>
      <c r="BD119" s="669"/>
      <c r="BE119" s="670"/>
      <c r="BF119" s="669"/>
      <c r="BG119" s="670"/>
      <c r="BH119" s="669"/>
      <c r="BI119" s="670"/>
      <c r="BJ119" s="669"/>
      <c r="BK119" s="670"/>
      <c r="BL119" s="669"/>
      <c r="BM119" s="670"/>
      <c r="BN119" s="669"/>
      <c r="BO119" s="670"/>
      <c r="BP119" s="669"/>
      <c r="BQ119" s="670"/>
      <c r="BR119" s="669"/>
      <c r="BS119" s="670"/>
      <c r="BT119" s="669"/>
      <c r="BU119" s="670"/>
      <c r="BV119" s="669"/>
      <c r="BW119" s="670"/>
      <c r="BX119" s="669"/>
      <c r="BY119" s="670"/>
      <c r="BZ119" s="669"/>
      <c r="CA119" s="670"/>
      <c r="CB119" s="669"/>
      <c r="CC119" s="670"/>
      <c r="CD119" s="669"/>
      <c r="CE119" s="670"/>
      <c r="CF119" s="669"/>
      <c r="CG119" s="670"/>
      <c r="CH119" s="669"/>
      <c r="CI119" s="670"/>
      <c r="CJ119" s="669"/>
      <c r="CK119" s="670"/>
      <c r="CL119" s="669"/>
      <c r="CM119" s="670"/>
      <c r="CN119" s="669"/>
      <c r="CO119" s="670"/>
      <c r="CP119" s="669"/>
      <c r="CQ119" s="670"/>
      <c r="CR119" s="669"/>
      <c r="CS119" s="670"/>
      <c r="CT119" s="669"/>
      <c r="CU119" s="670"/>
      <c r="CV119" s="669"/>
      <c r="CW119" s="670"/>
      <c r="CX119" s="669"/>
      <c r="CY119" s="670"/>
      <c r="CZ119" s="669"/>
      <c r="DA119" s="670"/>
      <c r="DB119" s="669"/>
      <c r="DC119" s="670"/>
      <c r="DD119" s="669"/>
      <c r="DE119" s="670"/>
      <c r="DF119" s="669"/>
      <c r="DG119" s="670"/>
      <c r="DH119" s="669"/>
      <c r="DI119" s="670"/>
      <c r="DJ119" s="669"/>
      <c r="DK119" s="670"/>
      <c r="DL119" s="669"/>
      <c r="DM119" s="670"/>
      <c r="DN119" s="669"/>
      <c r="DO119" s="670"/>
      <c r="DP119" s="669"/>
      <c r="DQ119" s="670"/>
      <c r="DR119" s="669"/>
      <c r="DS119" s="670"/>
      <c r="DT119" s="669"/>
      <c r="DU119" s="670"/>
      <c r="DV119" s="669"/>
      <c r="DW119" s="670"/>
      <c r="DX119" s="669"/>
      <c r="DY119" s="670"/>
      <c r="DZ119" s="669"/>
      <c r="EA119" s="670"/>
      <c r="EB119" s="669"/>
      <c r="EC119" s="670"/>
      <c r="ED119" s="669"/>
      <c r="EE119" s="670"/>
      <c r="EF119" s="669"/>
      <c r="EG119" s="670"/>
      <c r="EH119" s="670"/>
      <c r="EI119" s="669"/>
      <c r="EJ119" s="681"/>
      <c r="EK119" s="669"/>
      <c r="EL119" s="681"/>
      <c r="EM119" s="669"/>
      <c r="EN119" s="681"/>
      <c r="EO119" s="669"/>
      <c r="EP119" s="681"/>
      <c r="EQ119" s="669"/>
      <c r="ER119" s="670"/>
      <c r="ES119" s="669"/>
      <c r="ET119" s="670"/>
      <c r="EU119" s="669"/>
      <c r="EV119" s="670"/>
      <c r="EW119" s="669"/>
      <c r="EX119" s="670"/>
      <c r="EY119" s="669"/>
      <c r="EZ119" s="670"/>
      <c r="FA119" s="669"/>
      <c r="FB119" s="670"/>
      <c r="FC119" s="669"/>
      <c r="FD119" s="670"/>
      <c r="FE119" s="669"/>
      <c r="FF119" s="670"/>
      <c r="FG119" s="669"/>
      <c r="FH119" s="670"/>
      <c r="FI119" s="669"/>
      <c r="FJ119" s="670"/>
      <c r="FK119" s="669"/>
      <c r="FL119" s="670"/>
      <c r="FM119" s="669"/>
      <c r="FN119" s="670"/>
      <c r="FO119" s="669"/>
      <c r="FP119" s="670"/>
      <c r="FQ119" s="669"/>
      <c r="FR119" s="670"/>
      <c r="FS119" s="669"/>
      <c r="FT119" s="670"/>
      <c r="FU119" s="669"/>
      <c r="FV119" s="670"/>
      <c r="FW119" s="669"/>
      <c r="FX119" s="670"/>
      <c r="FY119" s="669"/>
      <c r="FZ119" s="670"/>
      <c r="GA119" s="681"/>
    </row>
    <row r="120" spans="1:183" s="707" customFormat="1" ht="12.75" hidden="1" customHeight="1" outlineLevel="1" x14ac:dyDescent="0.2">
      <c r="A120" s="677" t="s">
        <v>454</v>
      </c>
      <c r="B120" s="669"/>
      <c r="C120" s="671"/>
      <c r="D120" s="669"/>
      <c r="E120" s="681"/>
      <c r="F120" s="669"/>
      <c r="G120" s="681"/>
      <c r="H120" s="669"/>
      <c r="I120" s="681"/>
      <c r="J120" s="669"/>
      <c r="K120" s="681"/>
      <c r="L120" s="669"/>
      <c r="M120" s="681"/>
      <c r="N120" s="669"/>
      <c r="O120" s="681"/>
      <c r="P120" s="669"/>
      <c r="Q120" s="681"/>
      <c r="R120" s="669"/>
      <c r="S120" s="681"/>
      <c r="T120" s="669"/>
      <c r="U120" s="681"/>
      <c r="V120" s="669"/>
      <c r="W120" s="681"/>
      <c r="X120" s="669"/>
      <c r="Y120" s="681"/>
      <c r="Z120" s="669"/>
      <c r="AA120" s="681"/>
      <c r="AB120" s="669"/>
      <c r="AC120" s="681"/>
      <c r="AD120" s="669"/>
      <c r="AE120" s="681"/>
      <c r="AF120" s="669"/>
      <c r="AG120" s="681"/>
      <c r="AH120" s="669"/>
      <c r="AI120" s="681"/>
      <c r="AJ120" s="669"/>
      <c r="AK120" s="681"/>
      <c r="AL120" s="669"/>
      <c r="AM120" s="681"/>
      <c r="AN120" s="669"/>
      <c r="AO120" s="670"/>
      <c r="AP120" s="669"/>
      <c r="AQ120" s="670"/>
      <c r="AR120" s="669"/>
      <c r="AS120" s="670"/>
      <c r="AT120" s="669"/>
      <c r="AU120" s="670"/>
      <c r="AV120" s="669"/>
      <c r="AW120" s="670"/>
      <c r="AX120" s="669"/>
      <c r="AY120" s="670"/>
      <c r="AZ120" s="669"/>
      <c r="BA120" s="670"/>
      <c r="BB120" s="669"/>
      <c r="BC120" s="670"/>
      <c r="BD120" s="669"/>
      <c r="BE120" s="670"/>
      <c r="BF120" s="669"/>
      <c r="BG120" s="670"/>
      <c r="BH120" s="669"/>
      <c r="BI120" s="670"/>
      <c r="BJ120" s="669"/>
      <c r="BK120" s="670"/>
      <c r="BL120" s="669"/>
      <c r="BM120" s="670"/>
      <c r="BN120" s="669"/>
      <c r="BO120" s="670"/>
      <c r="BP120" s="669"/>
      <c r="BQ120" s="670"/>
      <c r="BR120" s="669"/>
      <c r="BS120" s="670"/>
      <c r="BT120" s="669"/>
      <c r="BU120" s="670"/>
      <c r="BV120" s="669"/>
      <c r="BW120" s="670"/>
      <c r="BX120" s="669"/>
      <c r="BY120" s="670"/>
      <c r="BZ120" s="669"/>
      <c r="CA120" s="670"/>
      <c r="CB120" s="669"/>
      <c r="CC120" s="670"/>
      <c r="CD120" s="669"/>
      <c r="CE120" s="670"/>
      <c r="CF120" s="669"/>
      <c r="CG120" s="670"/>
      <c r="CH120" s="669"/>
      <c r="CI120" s="670"/>
      <c r="CJ120" s="669"/>
      <c r="CK120" s="670"/>
      <c r="CL120" s="669"/>
      <c r="CM120" s="670"/>
      <c r="CN120" s="669"/>
      <c r="CO120" s="670"/>
      <c r="CP120" s="669"/>
      <c r="CQ120" s="670"/>
      <c r="CR120" s="669"/>
      <c r="CS120" s="670"/>
      <c r="CT120" s="669"/>
      <c r="CU120" s="670"/>
      <c r="CV120" s="669"/>
      <c r="CW120" s="670"/>
      <c r="CX120" s="669"/>
      <c r="CY120" s="670"/>
      <c r="CZ120" s="669"/>
      <c r="DA120" s="670"/>
      <c r="DB120" s="669"/>
      <c r="DC120" s="670"/>
      <c r="DD120" s="669"/>
      <c r="DE120" s="670"/>
      <c r="DF120" s="669"/>
      <c r="DG120" s="670"/>
      <c r="DH120" s="669"/>
      <c r="DI120" s="670"/>
      <c r="DJ120" s="669"/>
      <c r="DK120" s="670"/>
      <c r="DL120" s="669"/>
      <c r="DM120" s="670"/>
      <c r="DN120" s="669"/>
      <c r="DO120" s="670"/>
      <c r="DP120" s="669"/>
      <c r="DQ120" s="670"/>
      <c r="DR120" s="669"/>
      <c r="DS120" s="670"/>
      <c r="DT120" s="669"/>
      <c r="DU120" s="670"/>
      <c r="DV120" s="669"/>
      <c r="DW120" s="670"/>
      <c r="DX120" s="669"/>
      <c r="DY120" s="670"/>
      <c r="DZ120" s="669"/>
      <c r="EA120" s="670"/>
      <c r="EB120" s="669"/>
      <c r="EC120" s="670"/>
      <c r="ED120" s="669"/>
      <c r="EE120" s="670"/>
      <c r="EF120" s="669"/>
      <c r="EG120" s="670"/>
      <c r="EH120" s="670"/>
      <c r="EI120" s="669"/>
      <c r="EJ120" s="681"/>
      <c r="EK120" s="669"/>
      <c r="EL120" s="681"/>
      <c r="EM120" s="669"/>
      <c r="EN120" s="681"/>
      <c r="EO120" s="669"/>
      <c r="EP120" s="681"/>
      <c r="EQ120" s="669"/>
      <c r="ER120" s="670"/>
      <c r="ES120" s="669"/>
      <c r="ET120" s="670"/>
      <c r="EU120" s="669"/>
      <c r="EV120" s="670"/>
      <c r="EW120" s="669"/>
      <c r="EX120" s="670"/>
      <c r="EY120" s="669"/>
      <c r="EZ120" s="670"/>
      <c r="FA120" s="669"/>
      <c r="FB120" s="670"/>
      <c r="FC120" s="669"/>
      <c r="FD120" s="670"/>
      <c r="FE120" s="669"/>
      <c r="FF120" s="670"/>
      <c r="FG120" s="669"/>
      <c r="FH120" s="670"/>
      <c r="FI120" s="669"/>
      <c r="FJ120" s="670"/>
      <c r="FK120" s="669"/>
      <c r="FL120" s="670"/>
      <c r="FM120" s="669"/>
      <c r="FN120" s="670"/>
      <c r="FO120" s="669"/>
      <c r="FP120" s="670"/>
      <c r="FQ120" s="669"/>
      <c r="FR120" s="670"/>
      <c r="FS120" s="669"/>
      <c r="FT120" s="670"/>
      <c r="FU120" s="669"/>
      <c r="FV120" s="670"/>
      <c r="FW120" s="669"/>
      <c r="FX120" s="670"/>
      <c r="FY120" s="669"/>
      <c r="FZ120" s="670"/>
      <c r="GA120" s="681"/>
    </row>
    <row r="121" spans="1:183" s="707" customFormat="1" ht="12.75" hidden="1" customHeight="1" outlineLevel="1" x14ac:dyDescent="0.2">
      <c r="A121" s="679" t="str">
        <f>INPUT!B45</f>
        <v>Benefit Expenses</v>
      </c>
      <c r="B121" s="669"/>
      <c r="C121" s="671"/>
      <c r="D121" s="669"/>
      <c r="E121" s="681"/>
      <c r="F121" s="669"/>
      <c r="G121" s="681"/>
      <c r="H121" s="669"/>
      <c r="I121" s="681"/>
      <c r="J121" s="669"/>
      <c r="K121" s="681"/>
      <c r="L121" s="669"/>
      <c r="M121" s="681"/>
      <c r="N121" s="669"/>
      <c r="O121" s="681"/>
      <c r="P121" s="669"/>
      <c r="Q121" s="681"/>
      <c r="R121" s="669">
        <f>INPUT!AC45</f>
        <v>621.29999999999995</v>
      </c>
      <c r="S121" s="681" t="str">
        <f>INPUT!AD45</f>
        <v>NA</v>
      </c>
      <c r="T121" s="669">
        <f>INPUT!AE45</f>
        <v>612.79999999999995</v>
      </c>
      <c r="U121" s="681" t="str">
        <f>INPUT!AF45</f>
        <v>NA</v>
      </c>
      <c r="V121" s="669">
        <f>INPUT!AG45</f>
        <v>611.70000000000005</v>
      </c>
      <c r="W121" s="681" t="str">
        <f>INPUT!AH45</f>
        <v>NA</v>
      </c>
      <c r="X121" s="669">
        <f>INPUT!AI45</f>
        <v>687.3</v>
      </c>
      <c r="Y121" s="681" t="str">
        <f>INPUT!AJ45</f>
        <v>NA</v>
      </c>
      <c r="Z121" s="669">
        <f>INPUT!AK45</f>
        <v>605.49999999999989</v>
      </c>
      <c r="AA121" s="681">
        <f>INPUT!AL45</f>
        <v>-2.5430548849187273</v>
      </c>
      <c r="AB121" s="669">
        <f>INPUT!AM45</f>
        <v>595.1</v>
      </c>
      <c r="AC121" s="681">
        <f>INPUT!AN45</f>
        <v>-2.8883812010443766</v>
      </c>
      <c r="AD121" s="669">
        <f>INPUT!AO45</f>
        <v>578.70000000000005</v>
      </c>
      <c r="AE121" s="681">
        <f>INPUT!AP45</f>
        <v>-5.3948013732221689</v>
      </c>
      <c r="AF121" s="669">
        <f>INPUT!AQ45</f>
        <v>591.1</v>
      </c>
      <c r="AG121" s="681">
        <f>INPUT!AR45</f>
        <v>-13.99679906882001</v>
      </c>
      <c r="AH121" s="669">
        <f>INPUT!AS45</f>
        <v>591.6</v>
      </c>
      <c r="AI121" s="681">
        <f>INPUT!AT45</f>
        <v>-2.2956234516927965</v>
      </c>
      <c r="AJ121" s="669">
        <f>INPUT!AU45</f>
        <v>592.1</v>
      </c>
      <c r="AK121" s="681">
        <f>INPUT!AV45</f>
        <v>-0.50411695513359334</v>
      </c>
      <c r="AL121" s="669">
        <f>INPUT!AW45</f>
        <v>567</v>
      </c>
      <c r="AM121" s="681">
        <f>INPUT!AX45</f>
        <v>-2.021772939346822</v>
      </c>
      <c r="AN121" s="669">
        <f>INPUT!AY45</f>
        <v>587.6</v>
      </c>
      <c r="AO121" s="670">
        <f>INPUT!AZ45</f>
        <v>-0.5921163931652873</v>
      </c>
      <c r="AP121" s="669">
        <f>INPUT!BA45</f>
        <v>551.1</v>
      </c>
      <c r="AQ121" s="670">
        <f>INPUT!BB45</f>
        <v>-6.845841784989859</v>
      </c>
      <c r="AR121" s="669">
        <f>INPUT!BC45</f>
        <v>575</v>
      </c>
      <c r="AS121" s="670">
        <f>INPUT!BD45</f>
        <v>-2.8880256713393004</v>
      </c>
      <c r="AT121" s="669">
        <f>INPUT!BE45</f>
        <v>546.4</v>
      </c>
      <c r="AU121" s="670">
        <f>INPUT!BF45</f>
        <v>-3.633156966490303</v>
      </c>
      <c r="AV121" s="669">
        <f>INPUT!BG45</f>
        <v>538.70000000000005</v>
      </c>
      <c r="AW121" s="670">
        <f>INPUT!BH45</f>
        <v>-8.3219877467665011</v>
      </c>
      <c r="AX121" s="669">
        <f>INPUT!BI45</f>
        <v>517.4</v>
      </c>
      <c r="AY121" s="670">
        <f>INPUT!BJ45</f>
        <v>-6.1150426419887545</v>
      </c>
      <c r="AZ121" s="669">
        <f>INPUT!BK45</f>
        <v>519.1</v>
      </c>
      <c r="BA121" s="670">
        <f>INPUT!BL45</f>
        <v>-9.7217391304347807</v>
      </c>
      <c r="BB121" s="669">
        <f>INPUT!BM45</f>
        <v>502.5</v>
      </c>
      <c r="BC121" s="670">
        <f>INPUT!BN45</f>
        <v>-8.0344070278184461</v>
      </c>
      <c r="BD121" s="669">
        <f>INPUT!BO45</f>
        <v>504.9</v>
      </c>
      <c r="BE121" s="670">
        <f>INPUT!BP45</f>
        <v>-6.274364210135519</v>
      </c>
      <c r="BF121" s="669">
        <f>INPUT!BQ45</f>
        <v>480.4</v>
      </c>
      <c r="BG121" s="670">
        <f>INPUT!BR45</f>
        <v>-7.1511403169694621</v>
      </c>
      <c r="BH121" s="669">
        <f>INPUT!BS45</f>
        <v>470.8</v>
      </c>
      <c r="BI121" s="670">
        <f>INPUT!BT45</f>
        <v>-9.30456559429782</v>
      </c>
      <c r="BJ121" s="669">
        <f>INPUT!BU45</f>
        <v>458.5</v>
      </c>
      <c r="BK121" s="670">
        <f>INPUT!BV45</f>
        <v>-8.7562189054726343</v>
      </c>
      <c r="BL121" s="669">
        <f>INPUT!BW45</f>
        <v>453.1</v>
      </c>
      <c r="BM121" s="670">
        <f>INPUT!BX45</f>
        <v>-10.259457318280841</v>
      </c>
      <c r="BN121" s="669">
        <f>INPUT!BY45</f>
        <v>439.3</v>
      </c>
      <c r="BO121" s="670">
        <f>INPUT!BZ45</f>
        <v>-8.5553705245628553</v>
      </c>
      <c r="BP121" s="669">
        <f>INPUT!CA45</f>
        <v>440.6</v>
      </c>
      <c r="BQ121" s="670">
        <f>INPUT!CB45</f>
        <v>-6.4146134239592145</v>
      </c>
      <c r="BR121" s="669">
        <f>INPUT!CC45</f>
        <v>434.7</v>
      </c>
      <c r="BS121" s="670">
        <f>INPUT!CD45</f>
        <v>-5.190839694656491</v>
      </c>
      <c r="BT121" s="669">
        <f>INPUT!CE45</f>
        <v>433.2</v>
      </c>
      <c r="BU121" s="670">
        <f>INPUT!CF45</f>
        <v>-4.3919664533215723</v>
      </c>
      <c r="BV121" s="669">
        <f>INPUT!CG45</f>
        <v>426.3</v>
      </c>
      <c r="BW121" s="670">
        <f>INPUT!CH45</f>
        <v>-2.9592533576143887</v>
      </c>
      <c r="BX121" s="669">
        <f>INPUT!CI45</f>
        <v>428.1</v>
      </c>
      <c r="BY121" s="670">
        <f>INPUT!CJ45</f>
        <v>-2.8370403994552928</v>
      </c>
      <c r="BZ121" s="669">
        <f>INPUT!CK45</f>
        <v>435</v>
      </c>
      <c r="CA121" s="670">
        <f>INPUT!CL45</f>
        <v>6.9013112491367323E-2</v>
      </c>
      <c r="CB121" s="669">
        <f>INPUT!CM45</f>
        <v>432.7</v>
      </c>
      <c r="CC121" s="670">
        <f>INPUT!CN45</f>
        <v>-0.11542012927054923</v>
      </c>
      <c r="CD121" s="669">
        <f>INPUT!CO45</f>
        <v>435.7</v>
      </c>
      <c r="CE121" s="670">
        <f>INPUT!CP45</f>
        <v>2.2050199390100778</v>
      </c>
      <c r="CF121" s="669">
        <f>INPUT!CQ45</f>
        <v>436.8</v>
      </c>
      <c r="CG121" s="670">
        <f>INPUT!CR45</f>
        <v>2.0322354590049052</v>
      </c>
      <c r="CH121" s="669">
        <f>INPUT!CS45</f>
        <v>435.1</v>
      </c>
      <c r="CI121" s="670">
        <f>INPUT!CT45</f>
        <v>2.2988505747134624E-2</v>
      </c>
      <c r="CJ121" s="669">
        <f>INPUT!CU45</f>
        <v>434</v>
      </c>
      <c r="CK121" s="670">
        <f>INPUT!CV45</f>
        <v>0.30043910330483925</v>
      </c>
      <c r="CL121" s="669">
        <f>INPUT!CW45</f>
        <v>441.4</v>
      </c>
      <c r="CM121" s="670">
        <f>INPUT!CX45</f>
        <v>1.3082396144135755</v>
      </c>
      <c r="CN121" s="669">
        <f>INPUT!CY45</f>
        <v>439.6</v>
      </c>
      <c r="CO121" s="670">
        <f>INPUT!CZ45</f>
        <v>0.64102564102563875</v>
      </c>
      <c r="CP121" s="669">
        <f>INPUT!DA45</f>
        <v>426.3</v>
      </c>
      <c r="CQ121" s="670">
        <f>INPUT!DB45</f>
        <v>-2.0225235578028022</v>
      </c>
      <c r="CR121" s="669">
        <f>INPUT!DC45</f>
        <v>425.6</v>
      </c>
      <c r="CS121" s="670">
        <f>INPUT!DD45</f>
        <v>-1.9354838709677358</v>
      </c>
      <c r="CT121" s="669">
        <f>INPUT!DE45</f>
        <v>432.5</v>
      </c>
      <c r="CU121" s="670">
        <f>INPUT!DF45</f>
        <v>-2.0163117353873994</v>
      </c>
      <c r="CV121" s="669">
        <f>INPUT!DG45</f>
        <v>429.1</v>
      </c>
      <c r="CW121" s="670">
        <f>INPUT!DH45</f>
        <v>-2.3885350318471388</v>
      </c>
      <c r="CX121" s="669">
        <f>INPUT!DI45</f>
        <v>431.9</v>
      </c>
      <c r="CY121" s="670">
        <f>INPUT!DJ45</f>
        <v>1.3136288998357948</v>
      </c>
      <c r="CZ121" s="669">
        <f>INPUT!DK45</f>
        <v>452.9</v>
      </c>
      <c r="DA121" s="670">
        <f>INPUT!DL45</f>
        <v>6.4144736842105088</v>
      </c>
      <c r="DB121" s="669">
        <f>INPUT!DM45</f>
        <v>443</v>
      </c>
      <c r="DC121" s="670">
        <f>INPUT!DN45</f>
        <v>2.4277456647398887</v>
      </c>
      <c r="DD121" s="669">
        <f>INPUT!DO45</f>
        <v>467.8</v>
      </c>
      <c r="DE121" s="670">
        <f>INPUT!DP45</f>
        <v>9.0188767187135745</v>
      </c>
      <c r="DF121" s="669">
        <f>INPUT!DQ45</f>
        <v>457.1</v>
      </c>
      <c r="DG121" s="670">
        <f>INPUT!DR45</f>
        <v>5.8346839546191465</v>
      </c>
      <c r="DH121" s="669">
        <f>INPUT!DS45</f>
        <v>466.1</v>
      </c>
      <c r="DI121" s="670">
        <f>INPUT!DT45</f>
        <v>2.9145506734378657</v>
      </c>
      <c r="DJ121" s="669">
        <f>INPUT!DU45</f>
        <v>474.3</v>
      </c>
      <c r="DK121" s="670">
        <f>INPUT!DV45</f>
        <v>7.0654627539503467</v>
      </c>
      <c r="DL121" s="669">
        <f>INPUT!DW45</f>
        <v>471.2</v>
      </c>
      <c r="DM121" s="670">
        <f>INPUT!DX45</f>
        <v>0.72680632749038132</v>
      </c>
      <c r="DN121" s="669">
        <f>INPUT!DY45</f>
        <v>458.5</v>
      </c>
      <c r="DO121" s="670">
        <f>INPUT!DZ45</f>
        <v>0.30627871362940429</v>
      </c>
      <c r="DP121" s="669">
        <f>INPUT!EA45</f>
        <v>459.8</v>
      </c>
      <c r="DQ121" s="670">
        <f>INPUT!EB45</f>
        <v>-1.3516412786955589</v>
      </c>
      <c r="DR121" s="669">
        <f>INPUT!EC45</f>
        <v>453.8</v>
      </c>
      <c r="DS121" s="670">
        <f>INPUT!ED45</f>
        <v>-4.3221589711153303</v>
      </c>
      <c r="DT121" s="669">
        <f>INPUT!EE45</f>
        <v>455.9</v>
      </c>
      <c r="DU121" s="670">
        <f>INPUT!EF45</f>
        <v>-3.2470288624787846</v>
      </c>
      <c r="DV121" s="669">
        <f>INPUT!EG45</f>
        <v>457.1</v>
      </c>
      <c r="DW121" s="670">
        <f>INPUT!EH45</f>
        <v>-0.30534351145037331</v>
      </c>
      <c r="DX121" s="669">
        <f>INPUT!EI45</f>
        <v>461.7</v>
      </c>
      <c r="DY121" s="670">
        <f>INPUT!EJ45</f>
        <v>0.41322314049585529</v>
      </c>
      <c r="DZ121" s="669">
        <f>INPUT!EK45</f>
        <v>480.17096578125</v>
      </c>
      <c r="EA121" s="670">
        <f>INPUT!EL45</f>
        <v>5.8111427459784037</v>
      </c>
      <c r="EB121" s="669">
        <f>INPUT!EM45</f>
        <v>482.60155428443971</v>
      </c>
      <c r="EC121" s="670">
        <f>INPUT!EN45</f>
        <v>5.856888415099748</v>
      </c>
      <c r="ED121" s="669">
        <f>INPUT!EO45</f>
        <v>481.16076235408678</v>
      </c>
      <c r="EE121" s="670">
        <f>INPUT!EP45</f>
        <v>5.2637852448231826</v>
      </c>
      <c r="EF121" s="669">
        <f>INPUT!EQ45</f>
        <v>478.96754030477126</v>
      </c>
      <c r="EG121" s="670">
        <f>INPUT!ER45</f>
        <v>3.7399914023762859</v>
      </c>
      <c r="EH121" s="670"/>
      <c r="EI121" s="669">
        <f>INPUT!FB45</f>
        <v>0</v>
      </c>
      <c r="EJ121" s="681">
        <f>INPUT!FC45</f>
        <v>0</v>
      </c>
      <c r="EK121" s="669">
        <f>INPUT!FD45</f>
        <v>2148.5</v>
      </c>
      <c r="EL121" s="681" t="str">
        <f>INPUT!FE45</f>
        <v>NA</v>
      </c>
      <c r="EM121" s="669">
        <f>INPUT!FF45</f>
        <v>3412.1</v>
      </c>
      <c r="EN121" s="681">
        <f>INPUT!FG45</f>
        <v>58.81312543635093</v>
      </c>
      <c r="EO121" s="669">
        <f>INPUT!FH45</f>
        <v>2533.1</v>
      </c>
      <c r="EP121" s="681">
        <f>INPUT!FI45</f>
        <v>-25.761261393276868</v>
      </c>
      <c r="EQ121" s="669">
        <f>INPUT!FJ45</f>
        <v>2370.4</v>
      </c>
      <c r="ER121" s="670">
        <f>INPUT!FK45</f>
        <v>-6.4229600094745543</v>
      </c>
      <c r="ES121" s="669">
        <f>INPUT!FL45</f>
        <v>2338.3000000000002</v>
      </c>
      <c r="ET121" s="670">
        <f>INPUT!FM45</f>
        <v>-1.354201822477219</v>
      </c>
      <c r="EU121" s="669">
        <f>INPUT!FN45</f>
        <v>2211.1999999999998</v>
      </c>
      <c r="EV121" s="670">
        <f>INPUT!FO45</f>
        <v>-5.4355728520720348</v>
      </c>
      <c r="EW121" s="669">
        <f>INPUT!FP45</f>
        <v>2043.9</v>
      </c>
      <c r="EX121" s="670">
        <f>INPUT!FQ45</f>
        <v>-7.566027496382044</v>
      </c>
      <c r="EY121" s="669">
        <f>INPUT!FR45</f>
        <v>1862.8000000000002</v>
      </c>
      <c r="EZ121" s="670">
        <f>INPUT!FS45</f>
        <v>-8.8605117667204798</v>
      </c>
      <c r="FA121" s="669">
        <f>INPUT!FT45</f>
        <v>1747.8000000000002</v>
      </c>
      <c r="FB121" s="670">
        <f>INPUT!FU45</f>
        <v>-6.1735022546703933</v>
      </c>
      <c r="FC121" s="669">
        <f>INPUT!FV45</f>
        <v>1722.1000000000001</v>
      </c>
      <c r="FD121" s="670">
        <f>INPUT!FW45</f>
        <v>-1.4704199565167664</v>
      </c>
      <c r="FE121" s="669">
        <f>INPUT!FX45</f>
        <v>1741.6</v>
      </c>
      <c r="FF121" s="670">
        <f>INPUT!FY45</f>
        <v>1.1323384240171652</v>
      </c>
      <c r="FG121" s="669">
        <f>INPUT!FZ45</f>
        <v>1732.9</v>
      </c>
      <c r="FH121" s="670">
        <f>INPUT!GA45</f>
        <v>-0.49954065227375555</v>
      </c>
      <c r="FI121" s="669">
        <f>INPUT!GB45</f>
        <v>1746.4</v>
      </c>
      <c r="FJ121" s="670">
        <f>INPUT!GC45</f>
        <v>0.77904091407468012</v>
      </c>
      <c r="FK121" s="669">
        <f>INPUT!GD45</f>
        <v>1834</v>
      </c>
      <c r="FL121" s="670">
        <f>INPUT!GE45</f>
        <v>5.0160329821346661</v>
      </c>
      <c r="FM121" s="669">
        <f>INPUT!GF45</f>
        <v>1863.8</v>
      </c>
      <c r="FN121" s="670">
        <f>INPUT!GG45</f>
        <v>1.6248636859323762</v>
      </c>
      <c r="FO121" s="669">
        <f>INPUT!GH45</f>
        <v>1828.5000000000002</v>
      </c>
      <c r="FP121" s="670">
        <f>INPUT!GI45</f>
        <v>-1.8939800407768881</v>
      </c>
      <c r="FQ121" s="669">
        <f>INPUT!GJ45</f>
        <v>1922.9008227245479</v>
      </c>
      <c r="FR121" s="670">
        <f>INPUT!GK45</f>
        <v>5.1627466625401963</v>
      </c>
      <c r="FS121" s="669">
        <f>INPUT!GL45</f>
        <v>2004.3846472033601</v>
      </c>
      <c r="FT121" s="670">
        <f>INPUT!GM45</f>
        <v>4.2375469143207445</v>
      </c>
      <c r="FU121" s="669">
        <f>INPUT!GN45</f>
        <v>2091.8565861651196</v>
      </c>
      <c r="FV121" s="670">
        <f>INPUT!GO45</f>
        <v>4.3640295830346565</v>
      </c>
      <c r="FW121" s="669">
        <f>INPUT!GP45</f>
        <v>2185.3661955208941</v>
      </c>
      <c r="FX121" s="670">
        <f>INPUT!GQ45</f>
        <v>4.4701730498265313</v>
      </c>
      <c r="FY121" s="669">
        <f>INPUT!GR45</f>
        <v>2284.9981251905224</v>
      </c>
      <c r="FZ121" s="670">
        <f>INPUT!GS45</f>
        <v>4.559049640002355</v>
      </c>
      <c r="GA121" s="681">
        <f>INPUT!GT45</f>
        <v>4.5582189111376126</v>
      </c>
    </row>
    <row r="122" spans="1:183" s="707" customFormat="1" ht="12.75" hidden="1" customHeight="1" outlineLevel="1" x14ac:dyDescent="0.2">
      <c r="A122" s="679" t="str">
        <f>INPUT!B46</f>
        <v xml:space="preserve">Commissions </v>
      </c>
      <c r="B122" s="669"/>
      <c r="C122" s="671"/>
      <c r="D122" s="669"/>
      <c r="E122" s="681"/>
      <c r="F122" s="669"/>
      <c r="G122" s="681"/>
      <c r="H122" s="669"/>
      <c r="I122" s="681"/>
      <c r="J122" s="669"/>
      <c r="K122" s="681"/>
      <c r="L122" s="669"/>
      <c r="M122" s="681"/>
      <c r="N122" s="669"/>
      <c r="O122" s="681"/>
      <c r="P122" s="669"/>
      <c r="Q122" s="681"/>
      <c r="R122" s="669">
        <f>INPUT!AC46</f>
        <v>51.800000000000004</v>
      </c>
      <c r="S122" s="681" t="str">
        <f>INPUT!AD46</f>
        <v>NA</v>
      </c>
      <c r="T122" s="669">
        <f>INPUT!AE46</f>
        <v>50.9</v>
      </c>
      <c r="U122" s="681" t="str">
        <f>INPUT!AF46</f>
        <v>NA</v>
      </c>
      <c r="V122" s="669">
        <f>INPUT!AG46</f>
        <v>49.4</v>
      </c>
      <c r="W122" s="681" t="str">
        <f>INPUT!AH46</f>
        <v>NA</v>
      </c>
      <c r="X122" s="669">
        <f>INPUT!AI46</f>
        <v>46.899999999999984</v>
      </c>
      <c r="Y122" s="681" t="str">
        <f>INPUT!AJ46</f>
        <v>NA</v>
      </c>
      <c r="Z122" s="669">
        <f>INPUT!AK46</f>
        <v>48.1</v>
      </c>
      <c r="AA122" s="681">
        <f>INPUT!AL46</f>
        <v>-7.1428571428571512</v>
      </c>
      <c r="AB122" s="669">
        <f>INPUT!AM46</f>
        <v>47.9</v>
      </c>
      <c r="AC122" s="681">
        <f>INPUT!AN46</f>
        <v>-5.8939096267190516</v>
      </c>
      <c r="AD122" s="669">
        <f>INPUT!AO46</f>
        <v>39</v>
      </c>
      <c r="AE122" s="681">
        <f>INPUT!AP46</f>
        <v>-21.052631578947366</v>
      </c>
      <c r="AF122" s="669">
        <f>INPUT!AQ46</f>
        <v>40.1</v>
      </c>
      <c r="AG122" s="681">
        <f>INPUT!AR46</f>
        <v>-14.498933901918942</v>
      </c>
      <c r="AH122" s="669">
        <f>INPUT!AS46</f>
        <v>46.6</v>
      </c>
      <c r="AI122" s="681">
        <f>INPUT!AT46</f>
        <v>-3.1185031185031131</v>
      </c>
      <c r="AJ122" s="669">
        <f>INPUT!AU46</f>
        <v>44.1</v>
      </c>
      <c r="AK122" s="681">
        <f>INPUT!AV46</f>
        <v>-7.9331941544885094</v>
      </c>
      <c r="AL122" s="669">
        <f>INPUT!AW46</f>
        <v>42.1</v>
      </c>
      <c r="AM122" s="681">
        <f>INPUT!AX46</f>
        <v>7.9487179487179427</v>
      </c>
      <c r="AN122" s="669">
        <f>INPUT!AY46</f>
        <v>43</v>
      </c>
      <c r="AO122" s="670">
        <f>INPUT!AZ46</f>
        <v>7.2319201995012516</v>
      </c>
      <c r="AP122" s="669">
        <f>INPUT!BA46</f>
        <v>45.4</v>
      </c>
      <c r="AQ122" s="670">
        <f>INPUT!BB46</f>
        <v>-2.5751072961373467</v>
      </c>
      <c r="AR122" s="669">
        <f>INPUT!BC46</f>
        <v>41.5</v>
      </c>
      <c r="AS122" s="670">
        <f>INPUT!BD46</f>
        <v>-5.8956916099773267</v>
      </c>
      <c r="AT122" s="669">
        <f>INPUT!BE46</f>
        <v>40.5</v>
      </c>
      <c r="AU122" s="670">
        <f>INPUT!BF46</f>
        <v>-3.8004750593824244</v>
      </c>
      <c r="AV122" s="669">
        <f>INPUT!BG46</f>
        <v>40.299999999999997</v>
      </c>
      <c r="AW122" s="670">
        <f>INPUT!BH46</f>
        <v>-6.2790697674418698</v>
      </c>
      <c r="AX122" s="669">
        <f>INPUT!BI46</f>
        <v>42.8</v>
      </c>
      <c r="AY122" s="670">
        <f>INPUT!BJ46</f>
        <v>-5.7268722466960353</v>
      </c>
      <c r="AZ122" s="669">
        <f>INPUT!BK46</f>
        <v>41.6</v>
      </c>
      <c r="BA122" s="670">
        <f>INPUT!BL46</f>
        <v>0.24096385542169418</v>
      </c>
      <c r="BB122" s="669">
        <f>INPUT!BM46</f>
        <v>41.7</v>
      </c>
      <c r="BC122" s="670">
        <f>INPUT!BN46</f>
        <v>2.9629629629629672</v>
      </c>
      <c r="BD122" s="669">
        <f>INPUT!BO46</f>
        <v>39.799999999999997</v>
      </c>
      <c r="BE122" s="670">
        <f>INPUT!BP46</f>
        <v>-1.2406947890818865</v>
      </c>
      <c r="BF122" s="669">
        <f>INPUT!BQ46</f>
        <v>42.1</v>
      </c>
      <c r="BG122" s="670">
        <f>INPUT!BR46</f>
        <v>-1.6355140186915751</v>
      </c>
      <c r="BH122" s="669">
        <f>INPUT!BS46</f>
        <v>41.5</v>
      </c>
      <c r="BI122" s="670">
        <f>INPUT!BT46</f>
        <v>-0.24038461538461453</v>
      </c>
      <c r="BJ122" s="669">
        <f>INPUT!BU46</f>
        <v>39.9</v>
      </c>
      <c r="BK122" s="670">
        <f>INPUT!BV46</f>
        <v>-4.316546762589935</v>
      </c>
      <c r="BL122" s="669">
        <f>INPUT!BW46</f>
        <v>38.700000000000003</v>
      </c>
      <c r="BM122" s="670">
        <f>INPUT!BX46</f>
        <v>-2.7638190954773711</v>
      </c>
      <c r="BN122" s="669">
        <f>INPUT!BY46</f>
        <v>41.1</v>
      </c>
      <c r="BO122" s="670">
        <f>INPUT!BZ46</f>
        <v>-2.3752969121140111</v>
      </c>
      <c r="BP122" s="669">
        <f>INPUT!CA46</f>
        <v>39.6</v>
      </c>
      <c r="BQ122" s="670">
        <f>INPUT!CB46</f>
        <v>-4.5783132530120447</v>
      </c>
      <c r="BR122" s="669">
        <f>INPUT!CC46</f>
        <v>38.5</v>
      </c>
      <c r="BS122" s="670">
        <f>INPUT!CD46</f>
        <v>-3.5087719298245612</v>
      </c>
      <c r="BT122" s="669">
        <f>INPUT!CE46</f>
        <v>40.5</v>
      </c>
      <c r="BU122" s="670">
        <f>INPUT!CF46</f>
        <v>4.6511627906976605</v>
      </c>
      <c r="BV122" s="669">
        <f>INPUT!CG46</f>
        <v>40.799999999999997</v>
      </c>
      <c r="BW122" s="670">
        <f>INPUT!CH46</f>
        <v>-0.72992700729928028</v>
      </c>
      <c r="BX122" s="669">
        <f>INPUT!CI46</f>
        <v>39.5</v>
      </c>
      <c r="BY122" s="670">
        <f>INPUT!CJ46</f>
        <v>-0.2525252525252597</v>
      </c>
      <c r="BZ122" s="669">
        <f>INPUT!CK46</f>
        <v>39.9</v>
      </c>
      <c r="CA122" s="670">
        <f>INPUT!CL46</f>
        <v>3.6363636363636376</v>
      </c>
      <c r="CB122" s="669">
        <f>INPUT!CM46</f>
        <v>39.299999999999997</v>
      </c>
      <c r="CC122" s="670">
        <f>INPUT!CN46</f>
        <v>-2.9629629629629672</v>
      </c>
      <c r="CD122" s="669">
        <f>INPUT!CO46</f>
        <v>40.4</v>
      </c>
      <c r="CE122" s="670">
        <f>INPUT!CP46</f>
        <v>-0.98039215686274161</v>
      </c>
      <c r="CF122" s="669">
        <f>INPUT!CQ46</f>
        <v>40.299999999999997</v>
      </c>
      <c r="CG122" s="670">
        <f>INPUT!CR46</f>
        <v>2.0253164556961911</v>
      </c>
      <c r="CH122" s="669">
        <f>INPUT!CS46</f>
        <v>39.4</v>
      </c>
      <c r="CI122" s="670">
        <f>INPUT!CT46</f>
        <v>-1.253132832080206</v>
      </c>
      <c r="CJ122" s="669">
        <f>INPUT!CU46</f>
        <v>39.200000000000003</v>
      </c>
      <c r="CK122" s="670">
        <f>INPUT!CV46</f>
        <v>-0.25445292620863702</v>
      </c>
      <c r="CL122" s="669">
        <f>INPUT!CW46</f>
        <v>43.6</v>
      </c>
      <c r="CM122" s="670">
        <f>INPUT!CX46</f>
        <v>7.9207920792079278</v>
      </c>
      <c r="CN122" s="669">
        <f>INPUT!CY46</f>
        <v>40.700000000000003</v>
      </c>
      <c r="CO122" s="670">
        <f>INPUT!CZ46</f>
        <v>0.99255583126551805</v>
      </c>
      <c r="CP122" s="669">
        <f>INPUT!DA46</f>
        <v>40.299999999999997</v>
      </c>
      <c r="CQ122" s="670">
        <f>INPUT!DB46</f>
        <v>2.2842639593908531</v>
      </c>
      <c r="CR122" s="669">
        <f>INPUT!DC46</f>
        <v>39.4</v>
      </c>
      <c r="CS122" s="670">
        <f>INPUT!DD46</f>
        <v>0.51020408163264808</v>
      </c>
      <c r="CT122" s="669">
        <f>INPUT!DE46</f>
        <v>41.4</v>
      </c>
      <c r="CU122" s="670">
        <f>INPUT!DF46</f>
        <v>-5.0458715596330306</v>
      </c>
      <c r="CV122" s="669">
        <f>INPUT!DG46</f>
        <v>39.799999999999997</v>
      </c>
      <c r="CW122" s="670">
        <f>INPUT!DH46</f>
        <v>-2.211302211302224</v>
      </c>
      <c r="CX122" s="669">
        <f>INPUT!DI46</f>
        <v>39.700000000000003</v>
      </c>
      <c r="CY122" s="670">
        <f>INPUT!DJ46</f>
        <v>-1.4888337468982438</v>
      </c>
      <c r="CZ122" s="669">
        <f>INPUT!DK46</f>
        <v>40.299999999999997</v>
      </c>
      <c r="DA122" s="670">
        <f>INPUT!DL46</f>
        <v>2.2842639593908531</v>
      </c>
      <c r="DB122" s="669">
        <f>INPUT!DM46</f>
        <v>44.5</v>
      </c>
      <c r="DC122" s="670">
        <f>INPUT!DN46</f>
        <v>7.4879227053140207</v>
      </c>
      <c r="DD122" s="669">
        <f>INPUT!DO46</f>
        <v>42</v>
      </c>
      <c r="DE122" s="670">
        <f>INPUT!DP46</f>
        <v>5.5276381909547867</v>
      </c>
      <c r="DF122" s="669">
        <f>INPUT!DQ46</f>
        <v>42.4</v>
      </c>
      <c r="DG122" s="670">
        <f>INPUT!DR46</f>
        <v>6.8010075566750539</v>
      </c>
      <c r="DH122" s="669">
        <f>INPUT!DS46</f>
        <v>43.3</v>
      </c>
      <c r="DI122" s="670">
        <f>INPUT!DT46</f>
        <v>7.4441687344913188</v>
      </c>
      <c r="DJ122" s="669">
        <f>INPUT!DU46</f>
        <v>45.2</v>
      </c>
      <c r="DK122" s="670">
        <f>INPUT!DV46</f>
        <v>1.5730337078651679</v>
      </c>
      <c r="DL122" s="669">
        <f>INPUT!DW46</f>
        <v>44.9</v>
      </c>
      <c r="DM122" s="670">
        <f>INPUT!DX46</f>
        <v>6.9047619047619024</v>
      </c>
      <c r="DN122" s="669">
        <f>INPUT!DY46</f>
        <v>44.2</v>
      </c>
      <c r="DO122" s="670">
        <f>INPUT!DZ46</f>
        <v>4.2452830188679291</v>
      </c>
      <c r="DP122" s="669">
        <f>INPUT!EA46</f>
        <v>43.9</v>
      </c>
      <c r="DQ122" s="670">
        <f>INPUT!EB46</f>
        <v>1.3856812933025431</v>
      </c>
      <c r="DR122" s="669">
        <f>INPUT!EC46</f>
        <v>46.4</v>
      </c>
      <c r="DS122" s="670">
        <f>INPUT!ED46</f>
        <v>2.6548672566371501</v>
      </c>
      <c r="DT122" s="669">
        <f>INPUT!EE46</f>
        <v>44.9</v>
      </c>
      <c r="DU122" s="670">
        <f>INPUT!EF46</f>
        <v>0</v>
      </c>
      <c r="DV122" s="669">
        <f>INPUT!EG46</f>
        <v>45.8</v>
      </c>
      <c r="DW122" s="670">
        <f>INPUT!EH46</f>
        <v>3.6199095022624306</v>
      </c>
      <c r="DX122" s="669">
        <f>INPUT!EI46</f>
        <v>44.8</v>
      </c>
      <c r="DY122" s="670">
        <f>INPUT!EJ46</f>
        <v>2.0501138952163878</v>
      </c>
      <c r="DZ122" s="669">
        <f>INPUT!EK46</f>
        <v>45.023999999999994</v>
      </c>
      <c r="EA122" s="670">
        <f>INPUT!EL46</f>
        <v>-2.9655172413793229</v>
      </c>
      <c r="EB122" s="669">
        <f>INPUT!EM46</f>
        <v>45.474239999999995</v>
      </c>
      <c r="EC122" s="670">
        <f>INPUT!EN46</f>
        <v>1.2789309576837438</v>
      </c>
      <c r="ED122" s="669">
        <f>INPUT!EO46</f>
        <v>45.928982399999995</v>
      </c>
      <c r="EE122" s="670">
        <f>INPUT!EP46</f>
        <v>0.28162096069868081</v>
      </c>
      <c r="EF122" s="669">
        <f>INPUT!EQ46</f>
        <v>46.388272223999998</v>
      </c>
      <c r="EG122" s="670">
        <f>INPUT!ER46</f>
        <v>3.5452505000000079</v>
      </c>
      <c r="EH122" s="670"/>
      <c r="EI122" s="669">
        <f>INPUT!FB46</f>
        <v>0</v>
      </c>
      <c r="EJ122" s="681">
        <f>INPUT!FC46</f>
        <v>0</v>
      </c>
      <c r="EK122" s="669">
        <f>INPUT!FD46</f>
        <v>205.6</v>
      </c>
      <c r="EL122" s="681" t="str">
        <f>INPUT!FE46</f>
        <v>NA</v>
      </c>
      <c r="EM122" s="669">
        <f>INPUT!FF46</f>
        <v>200.1</v>
      </c>
      <c r="EN122" s="681">
        <f>INPUT!FG46</f>
        <v>-2.675097276264593</v>
      </c>
      <c r="EO122" s="669">
        <f>INPUT!FH46</f>
        <v>199</v>
      </c>
      <c r="EP122" s="681">
        <f>INPUT!FI46</f>
        <v>-0.54972513743127838</v>
      </c>
      <c r="EQ122" s="669">
        <f>INPUT!FJ46</f>
        <v>175.1</v>
      </c>
      <c r="ER122" s="670">
        <f>INPUT!FK46</f>
        <v>-12.010050251256288</v>
      </c>
      <c r="ES122" s="669">
        <f>INPUT!FL46</f>
        <v>175.8</v>
      </c>
      <c r="ET122" s="670">
        <f>INPUT!FM46</f>
        <v>0.39977155910908557</v>
      </c>
      <c r="EU122" s="669">
        <f>INPUT!FN46</f>
        <v>167.7</v>
      </c>
      <c r="EV122" s="670">
        <f>INPUT!FO46</f>
        <v>-4.6075085324232212</v>
      </c>
      <c r="EW122" s="669">
        <f>INPUT!FP46</f>
        <v>165.9</v>
      </c>
      <c r="EX122" s="670">
        <f>INPUT!FQ46</f>
        <v>-1.0733452593917558</v>
      </c>
      <c r="EY122" s="669">
        <f>INPUT!FR46</f>
        <v>162.19999999999999</v>
      </c>
      <c r="EZ122" s="670">
        <f>INPUT!FS46</f>
        <v>-2.2302591922845227</v>
      </c>
      <c r="FA122" s="669">
        <f>INPUT!FT46</f>
        <v>159.69999999999999</v>
      </c>
      <c r="FB122" s="670">
        <f>INPUT!FU46</f>
        <v>-1.5413070283600505</v>
      </c>
      <c r="FC122" s="669">
        <f>INPUT!FV46</f>
        <v>159.5</v>
      </c>
      <c r="FD122" s="670">
        <f>INPUT!FW46</f>
        <v>-0.12523481527864089</v>
      </c>
      <c r="FE122" s="669">
        <f>INPUT!FX46</f>
        <v>159.30000000000001</v>
      </c>
      <c r="FF122" s="670">
        <f>INPUT!FY46</f>
        <v>-0.12539184952977678</v>
      </c>
      <c r="FG122" s="669">
        <f>INPUT!FZ46</f>
        <v>164</v>
      </c>
      <c r="FH122" s="670">
        <f>INPUT!GA46</f>
        <v>2.9504080351537842</v>
      </c>
      <c r="FI122" s="669">
        <f>INPUT!GB46</f>
        <v>161.19999999999999</v>
      </c>
      <c r="FJ122" s="670">
        <f>INPUT!GC46</f>
        <v>-1.7073170731707332</v>
      </c>
      <c r="FK122" s="669">
        <f>INPUT!GD46</f>
        <v>172.2</v>
      </c>
      <c r="FL122" s="670">
        <f>INPUT!GE46</f>
        <v>6.8238213399503644</v>
      </c>
      <c r="FM122" s="669">
        <f>INPUT!GF46</f>
        <v>178.20000000000002</v>
      </c>
      <c r="FN122" s="670">
        <f>INPUT!GG46</f>
        <v>3.484320557491305</v>
      </c>
      <c r="FO122" s="669">
        <f>INPUT!GH46</f>
        <v>181.89999999999998</v>
      </c>
      <c r="FP122" s="670">
        <f>INPUT!GI46</f>
        <v>2.0763187429853946</v>
      </c>
      <c r="FQ122" s="669">
        <f>INPUT!GJ46</f>
        <v>182.81549462399997</v>
      </c>
      <c r="FR122" s="670">
        <f>INPUT!GK46</f>
        <v>0.50329556019790278</v>
      </c>
      <c r="FS122" s="669">
        <f>INPUT!GL46</f>
        <v>188.29995946271998</v>
      </c>
      <c r="FT122" s="670">
        <f>INPUT!GM46</f>
        <v>3.0000000000000027</v>
      </c>
      <c r="FU122" s="669">
        <f>INPUT!GN46</f>
        <v>193.94895824660159</v>
      </c>
      <c r="FV122" s="670">
        <f>INPUT!GO46</f>
        <v>3.0000000000000027</v>
      </c>
      <c r="FW122" s="669">
        <f>INPUT!GP46</f>
        <v>199.76742699399963</v>
      </c>
      <c r="FX122" s="670">
        <f>INPUT!GQ46</f>
        <v>3.0000000000000027</v>
      </c>
      <c r="FY122" s="669">
        <f>INPUT!GR46</f>
        <v>205.76044980381963</v>
      </c>
      <c r="FZ122" s="670">
        <f>INPUT!GS46</f>
        <v>3.0000000000000027</v>
      </c>
      <c r="GA122" s="681">
        <f>INPUT!GT46</f>
        <v>2.4957459002277194</v>
      </c>
    </row>
    <row r="123" spans="1:183" s="707" customFormat="1" ht="12.75" hidden="1" customHeight="1" outlineLevel="1" x14ac:dyDescent="0.2">
      <c r="A123" s="679" t="str">
        <f>INPUT!B47</f>
        <v>Net Change in DPAC</v>
      </c>
      <c r="B123" s="669"/>
      <c r="C123" s="671"/>
      <c r="D123" s="669"/>
      <c r="E123" s="681"/>
      <c r="F123" s="669"/>
      <c r="G123" s="681"/>
      <c r="H123" s="669"/>
      <c r="I123" s="681"/>
      <c r="J123" s="669"/>
      <c r="K123" s="681"/>
      <c r="L123" s="669"/>
      <c r="M123" s="681"/>
      <c r="N123" s="669"/>
      <c r="O123" s="681"/>
      <c r="P123" s="669"/>
      <c r="Q123" s="681"/>
      <c r="R123" s="669">
        <f>INPUT!AC47</f>
        <v>2.399999999999995</v>
      </c>
      <c r="S123" s="681" t="str">
        <f>INPUT!AD47</f>
        <v>NA</v>
      </c>
      <c r="T123" s="669">
        <f>INPUT!AE47</f>
        <v>3.8000000000000007</v>
      </c>
      <c r="U123" s="681" t="str">
        <f>INPUT!AF47</f>
        <v>NA</v>
      </c>
      <c r="V123" s="669">
        <f>INPUT!AG47</f>
        <v>2.5</v>
      </c>
      <c r="W123" s="681" t="str">
        <f>INPUT!AH47</f>
        <v>NA</v>
      </c>
      <c r="X123" s="669">
        <f>INPUT!AI47</f>
        <v>7.7000000000000099</v>
      </c>
      <c r="Y123" s="681" t="str">
        <f>INPUT!AJ47</f>
        <v>NA</v>
      </c>
      <c r="Z123" s="669">
        <f>INPUT!AK47</f>
        <v>3.2999999999999972</v>
      </c>
      <c r="AA123" s="681">
        <f>INPUT!AL47</f>
        <v>37.500000000000178</v>
      </c>
      <c r="AB123" s="669">
        <f>INPUT!AM47</f>
        <v>4.1000000000000014</v>
      </c>
      <c r="AC123" s="681">
        <f>INPUT!AN47</f>
        <v>7.8947368421052877</v>
      </c>
      <c r="AD123" s="669">
        <f>INPUT!AO47</f>
        <v>9.5000000000000018</v>
      </c>
      <c r="AE123" s="681" t="str">
        <f>INPUT!AP47</f>
        <v>NM</v>
      </c>
      <c r="AF123" s="669">
        <f>INPUT!AQ47</f>
        <v>10.7</v>
      </c>
      <c r="AG123" s="681">
        <f>INPUT!AR47</f>
        <v>38.961038961038774</v>
      </c>
      <c r="AH123" s="669">
        <f>INPUT!AS47</f>
        <v>4.1999999999999993</v>
      </c>
      <c r="AI123" s="681">
        <f>INPUT!AT47</f>
        <v>27.272727272727359</v>
      </c>
      <c r="AJ123" s="669">
        <f>INPUT!AU47</f>
        <v>6.6000000000000014</v>
      </c>
      <c r="AK123" s="681">
        <f>INPUT!AV47</f>
        <v>60.975609756097548</v>
      </c>
      <c r="AL123" s="669">
        <f>INPUT!AW47</f>
        <v>6.4</v>
      </c>
      <c r="AM123" s="681">
        <f>INPUT!AX47</f>
        <v>-32.631578947368432</v>
      </c>
      <c r="AN123" s="669">
        <f>INPUT!AY47</f>
        <v>4.6999999999999993</v>
      </c>
      <c r="AO123" s="670" t="str">
        <f>INPUT!AZ47</f>
        <v>NM</v>
      </c>
      <c r="AP123" s="669">
        <f>INPUT!BA47</f>
        <v>1.1000000000000014</v>
      </c>
      <c r="AQ123" s="670" t="str">
        <f>INPUT!BB47</f>
        <v>NM</v>
      </c>
      <c r="AR123" s="669">
        <f>INPUT!BC47</f>
        <v>1.6000000000000014</v>
      </c>
      <c r="AS123" s="670" t="str">
        <f>INPUT!BD47</f>
        <v>NM</v>
      </c>
      <c r="AT123" s="669">
        <f>INPUT!BE47</f>
        <v>1.6999999999999993</v>
      </c>
      <c r="AU123" s="670" t="str">
        <f>INPUT!BF47</f>
        <v>NM</v>
      </c>
      <c r="AV123" s="669">
        <f>INPUT!BG47</f>
        <v>1.4000000000000021</v>
      </c>
      <c r="AW123" s="670" t="str">
        <f>INPUT!BH47</f>
        <v>NM</v>
      </c>
      <c r="AX123" s="669">
        <f>INPUT!BI47</f>
        <v>4.9999999999999982</v>
      </c>
      <c r="AY123" s="670" t="str">
        <f>INPUT!BJ47</f>
        <v>NM</v>
      </c>
      <c r="AZ123" s="669">
        <f>INPUT!BK47</f>
        <v>4.1000000000000014</v>
      </c>
      <c r="BA123" s="670" t="str">
        <f>INPUT!BL47</f>
        <v>NM</v>
      </c>
      <c r="BB123" s="669">
        <f>INPUT!BM47</f>
        <v>4.4000000000000021</v>
      </c>
      <c r="BC123" s="670" t="str">
        <f>INPUT!BN47</f>
        <v>NM</v>
      </c>
      <c r="BD123" s="669">
        <f>INPUT!BO47</f>
        <v>3.8000000000000007</v>
      </c>
      <c r="BE123" s="670" t="str">
        <f>INPUT!BP47</f>
        <v>NM</v>
      </c>
      <c r="BF123" s="669">
        <f>INPUT!BQ47</f>
        <v>1.0999999999999979</v>
      </c>
      <c r="BG123" s="670" t="str">
        <f>INPUT!BR47</f>
        <v>NM</v>
      </c>
      <c r="BH123" s="669">
        <f>INPUT!BS47</f>
        <v>1.3000000000000007</v>
      </c>
      <c r="BI123" s="670" t="str">
        <f>INPUT!BT47</f>
        <v>NM</v>
      </c>
      <c r="BJ123" s="669">
        <f>INPUT!BU47</f>
        <v>1.3000000000000007</v>
      </c>
      <c r="BK123" s="670" t="str">
        <f>INPUT!BV47</f>
        <v>NM</v>
      </c>
      <c r="BL123" s="669">
        <f>INPUT!BW47</f>
        <v>1.1000000000000014</v>
      </c>
      <c r="BM123" s="670" t="str">
        <f>INPUT!BX47</f>
        <v>NM</v>
      </c>
      <c r="BN123" s="669">
        <f>INPUT!BY47</f>
        <v>0.39999999999999947</v>
      </c>
      <c r="BO123" s="670" t="str">
        <f>INPUT!BZ47</f>
        <v>NM</v>
      </c>
      <c r="BP123" s="669">
        <f>INPUT!CA47</f>
        <v>0.70000000000000018</v>
      </c>
      <c r="BQ123" s="670">
        <f>INPUT!CB47</f>
        <v>-46.153846153846168</v>
      </c>
      <c r="BR123" s="669">
        <f>INPUT!CC47</f>
        <v>0.59999999999999964</v>
      </c>
      <c r="BS123" s="670" t="str">
        <f>INPUT!CD47</f>
        <v>NM</v>
      </c>
      <c r="BT123" s="669">
        <f>INPUT!CE47</f>
        <v>0.59999999999999964</v>
      </c>
      <c r="BU123" s="670">
        <f>INPUT!CF47</f>
        <v>-45.45454545454556</v>
      </c>
      <c r="BV123" s="669">
        <f>INPUT!CG47</f>
        <v>-0.40000000000000036</v>
      </c>
      <c r="BW123" s="670" t="str">
        <f>INPUT!CH47</f>
        <v>NM</v>
      </c>
      <c r="BX123" s="669">
        <f>INPUT!CI47</f>
        <v>-0.39999999999999947</v>
      </c>
      <c r="BY123" s="670" t="str">
        <f>INPUT!CJ47</f>
        <v>NM</v>
      </c>
      <c r="BZ123" s="669">
        <f>INPUT!CK47</f>
        <v>-0.29999999999999982</v>
      </c>
      <c r="CA123" s="670" t="str">
        <f>INPUT!CL47</f>
        <v>NM</v>
      </c>
      <c r="CB123" s="669">
        <f>INPUT!CM47</f>
        <v>-1</v>
      </c>
      <c r="CC123" s="670" t="str">
        <f>INPUT!CN47</f>
        <v>NM</v>
      </c>
      <c r="CD123" s="669">
        <f>INPUT!CO47</f>
        <v>-1.8999999999999995</v>
      </c>
      <c r="CE123" s="670" t="str">
        <f>INPUT!CP47</f>
        <v>NM</v>
      </c>
      <c r="CF123" s="669">
        <f>INPUT!CQ47</f>
        <v>-1.2999999999999998</v>
      </c>
      <c r="CG123" s="670" t="str">
        <f>INPUT!CR47</f>
        <v>NM</v>
      </c>
      <c r="CH123" s="669">
        <f>INPUT!CS47</f>
        <v>-1</v>
      </c>
      <c r="CI123" s="670" t="str">
        <f>INPUT!CT47</f>
        <v>NM</v>
      </c>
      <c r="CJ123" s="669">
        <f>INPUT!CU47</f>
        <v>-3.8000000000000007</v>
      </c>
      <c r="CK123" s="670" t="str">
        <f>INPUT!CV47</f>
        <v>NM</v>
      </c>
      <c r="CL123" s="669">
        <f>INPUT!CW47</f>
        <v>-1.5</v>
      </c>
      <c r="CM123" s="670">
        <f>INPUT!CX47</f>
        <v>-21.052631578947345</v>
      </c>
      <c r="CN123" s="669">
        <f>INPUT!CY47</f>
        <v>-1.7000000000000002</v>
      </c>
      <c r="CO123" s="670">
        <f>INPUT!CZ47</f>
        <v>30.769230769230795</v>
      </c>
      <c r="CP123" s="669">
        <f>INPUT!DA47</f>
        <v>-3.1999999999999993</v>
      </c>
      <c r="CQ123" s="670" t="str">
        <f>INPUT!DB47</f>
        <v>NM</v>
      </c>
      <c r="CR123" s="669">
        <f>INPUT!DC47</f>
        <v>-2.1000000000000005</v>
      </c>
      <c r="CS123" s="670">
        <f>INPUT!DD47</f>
        <v>-44.73684210526315</v>
      </c>
      <c r="CT123" s="669">
        <f>INPUT!DE47</f>
        <v>-3.4000000000000004</v>
      </c>
      <c r="CU123" s="670" t="str">
        <f>INPUT!DF47</f>
        <v>NM</v>
      </c>
      <c r="CV123" s="669">
        <f>INPUT!DG47</f>
        <v>-2.5999999999999996</v>
      </c>
      <c r="CW123" s="670">
        <f>INPUT!DH47</f>
        <v>52.941176470588204</v>
      </c>
      <c r="CX123" s="669">
        <f>INPUT!DI47</f>
        <v>-2.8000000000000007</v>
      </c>
      <c r="CY123" s="670">
        <f>INPUT!DJ47</f>
        <v>-12.499999999999956</v>
      </c>
      <c r="CZ123" s="669">
        <f>INPUT!DK47</f>
        <v>-5.1000000000000005</v>
      </c>
      <c r="DA123" s="670" t="str">
        <f>INPUT!DL47</f>
        <v>NM</v>
      </c>
      <c r="DB123" s="669">
        <f>INPUT!DM47</f>
        <v>-2</v>
      </c>
      <c r="DC123" s="670">
        <f>INPUT!DN47</f>
        <v>-41.176470588235304</v>
      </c>
      <c r="DD123" s="669">
        <f>INPUT!DO47</f>
        <v>-2.6999999999999993</v>
      </c>
      <c r="DE123" s="670">
        <f>INPUT!DP47</f>
        <v>3.8461538461538325</v>
      </c>
      <c r="DF123" s="669">
        <f>INPUT!DQ47</f>
        <v>-1.9000000000000004</v>
      </c>
      <c r="DG123" s="670">
        <f>INPUT!DR47</f>
        <v>-32.142857142857153</v>
      </c>
      <c r="DH123" s="669">
        <f>INPUT!DS47</f>
        <v>-2.9000000000000004</v>
      </c>
      <c r="DI123" s="670">
        <f>INPUT!DT47</f>
        <v>-43.137254901960787</v>
      </c>
      <c r="DJ123" s="669">
        <f>INPUT!DU47</f>
        <v>-3.3000000000000007</v>
      </c>
      <c r="DK123" s="670">
        <f>INPUT!DV47</f>
        <v>65.000000000000028</v>
      </c>
      <c r="DL123" s="669">
        <f>INPUT!DW47</f>
        <v>-2.4000000000000004</v>
      </c>
      <c r="DM123" s="670">
        <f>INPUT!DX47</f>
        <v>-11.111111111111072</v>
      </c>
      <c r="DN123" s="669">
        <f>INPUT!DY47</f>
        <v>-2.5999999999999996</v>
      </c>
      <c r="DO123" s="670">
        <f>INPUT!DZ47</f>
        <v>36.842105263157855</v>
      </c>
      <c r="DP123" s="669">
        <f>INPUT!EA47</f>
        <v>-2.1999999999999993</v>
      </c>
      <c r="DQ123" s="670">
        <f>INPUT!EB47</f>
        <v>-24.137931034482797</v>
      </c>
      <c r="DR123" s="669">
        <f>INPUT!EC47</f>
        <v>-2</v>
      </c>
      <c r="DS123" s="670">
        <f>INPUT!ED47</f>
        <v>-39.393939393939405</v>
      </c>
      <c r="DT123" s="669">
        <f>INPUT!EE47</f>
        <v>-1.5</v>
      </c>
      <c r="DU123" s="670">
        <f>INPUT!EF47</f>
        <v>-37.500000000000014</v>
      </c>
      <c r="DV123" s="669">
        <f>INPUT!EG47</f>
        <v>-2.4000000000000004</v>
      </c>
      <c r="DW123" s="670">
        <f>INPUT!EH47</f>
        <v>-7.692307692307665</v>
      </c>
      <c r="DX123" s="669">
        <f>INPUT!EI47</f>
        <v>-1.0999999999999996</v>
      </c>
      <c r="DY123" s="670">
        <f>INPUT!EJ47</f>
        <v>-50</v>
      </c>
      <c r="DZ123" s="669">
        <f>INPUT!EK47</f>
        <v>-1.1109999999999995</v>
      </c>
      <c r="EA123" s="670">
        <f>INPUT!EL47</f>
        <v>-44.450000000000024</v>
      </c>
      <c r="EB123" s="669">
        <f>INPUT!EM47</f>
        <v>-1.1221099999999995</v>
      </c>
      <c r="EC123" s="670">
        <f>INPUT!EN47</f>
        <v>-25.192666666666696</v>
      </c>
      <c r="ED123" s="669">
        <f>INPUT!EO47</f>
        <v>-1.1333310999999995</v>
      </c>
      <c r="EE123" s="670" t="str">
        <f>INPUT!EP47</f>
        <v>NM</v>
      </c>
      <c r="EF123" s="669">
        <f>INPUT!EQ47</f>
        <v>-1.1446644109999995</v>
      </c>
      <c r="EG123" s="670">
        <f>INPUT!ER47</f>
        <v>4.0604009999999802</v>
      </c>
      <c r="EH123" s="670"/>
      <c r="EI123" s="669">
        <f>INPUT!FB47</f>
        <v>0</v>
      </c>
      <c r="EJ123" s="681">
        <f>INPUT!FC47</f>
        <v>0</v>
      </c>
      <c r="EK123" s="669">
        <f>INPUT!FD47</f>
        <v>-41.8</v>
      </c>
      <c r="EL123" s="681" t="str">
        <f>INPUT!FE47</f>
        <v>NA</v>
      </c>
      <c r="EM123" s="669">
        <f>INPUT!FF47</f>
        <v>-29</v>
      </c>
      <c r="EN123" s="681">
        <f>INPUT!FG47</f>
        <v>-30.622009569377983</v>
      </c>
      <c r="EO123" s="669">
        <f>INPUT!FH47</f>
        <v>16.400000000000006</v>
      </c>
      <c r="EP123" s="681" t="str">
        <f>INPUT!FI47</f>
        <v>NM</v>
      </c>
      <c r="EQ123" s="669">
        <f>INPUT!FJ47</f>
        <v>27.6</v>
      </c>
      <c r="ER123" s="670">
        <f>INPUT!FK47</f>
        <v>68.292682926829215</v>
      </c>
      <c r="ES123" s="669">
        <f>INPUT!FL47</f>
        <v>21.900000000000002</v>
      </c>
      <c r="ET123" s="670">
        <f>INPUT!FM47</f>
        <v>-20.65217391304347</v>
      </c>
      <c r="EU123" s="669">
        <f>INPUT!FN47</f>
        <v>5.8000000000000043</v>
      </c>
      <c r="EV123" s="670" t="str">
        <f>INPUT!FO47</f>
        <v>NM</v>
      </c>
      <c r="EW123" s="669">
        <f>INPUT!FP47</f>
        <v>17.300000000000004</v>
      </c>
      <c r="EX123" s="670" t="str">
        <f>INPUT!FQ47</f>
        <v>NM</v>
      </c>
      <c r="EY123" s="669">
        <f>INPUT!FR47</f>
        <v>9.9999999999997868E-2</v>
      </c>
      <c r="EZ123" s="670" t="str">
        <f>INPUT!FS47</f>
        <v>NM</v>
      </c>
      <c r="FA123" s="669">
        <f>INPUT!FT47</f>
        <v>2.2999999999999989</v>
      </c>
      <c r="FB123" s="670" t="str">
        <f>INPUT!FU47</f>
        <v>NM</v>
      </c>
      <c r="FC123" s="669">
        <f>INPUT!FV47</f>
        <v>-2.0999999999999996</v>
      </c>
      <c r="FD123" s="670" t="str">
        <f>INPUT!FW47</f>
        <v>NM</v>
      </c>
      <c r="FE123" s="669">
        <f>INPUT!FX47</f>
        <v>-8</v>
      </c>
      <c r="FF123" s="670" t="str">
        <f>INPUT!FY47</f>
        <v>NM</v>
      </c>
      <c r="FG123" s="669">
        <f>INPUT!FZ47</f>
        <v>-8.5</v>
      </c>
      <c r="FH123" s="670">
        <f>INPUT!GA47</f>
        <v>6.25</v>
      </c>
      <c r="FI123" s="669">
        <f>INPUT!GB47</f>
        <v>-13.900000000000002</v>
      </c>
      <c r="FJ123" s="670">
        <f>INPUT!GC47</f>
        <v>63.529411764705898</v>
      </c>
      <c r="FK123" s="669">
        <f>INPUT!GD47</f>
        <v>-9.5</v>
      </c>
      <c r="FL123" s="670">
        <f>INPUT!GE47</f>
        <v>-31.654676258992819</v>
      </c>
      <c r="FM123" s="669">
        <f>INPUT!GF47</f>
        <v>-10.5</v>
      </c>
      <c r="FN123" s="670">
        <f>INPUT!GG47</f>
        <v>10.526315789473696</v>
      </c>
      <c r="FO123" s="669">
        <f>INPUT!GH47</f>
        <v>-7</v>
      </c>
      <c r="FP123" s="670">
        <f>INPUT!GI47</f>
        <v>-33.333333333333336</v>
      </c>
      <c r="FQ123" s="669">
        <f>INPUT!GJ47</f>
        <v>-4.5111055109999985</v>
      </c>
      <c r="FR123" s="670">
        <f>INPUT!GK47</f>
        <v>-35.555635557142885</v>
      </c>
      <c r="FS123" s="669">
        <f>INPUT!GL47</f>
        <v>-4.6013276212199985</v>
      </c>
      <c r="FT123" s="670">
        <f>INPUT!GM47</f>
        <v>2.0000000000000018</v>
      </c>
      <c r="FU123" s="669">
        <f>INPUT!GN47</f>
        <v>-4.6933541736443987</v>
      </c>
      <c r="FV123" s="670">
        <f>INPUT!GO47</f>
        <v>2.0000000000000018</v>
      </c>
      <c r="FW123" s="669">
        <f>INPUT!GP47</f>
        <v>-4.7872212571172863</v>
      </c>
      <c r="FX123" s="670">
        <f>INPUT!GQ47</f>
        <v>2.0000000000000018</v>
      </c>
      <c r="FY123" s="669">
        <f>INPUT!GR47</f>
        <v>-4.8829656822596323</v>
      </c>
      <c r="FZ123" s="670">
        <f>INPUT!GS47</f>
        <v>2.0000000000000018</v>
      </c>
      <c r="GA123" s="681">
        <f>INPUT!GT47</f>
        <v>-6.9498395352237452</v>
      </c>
    </row>
    <row r="124" spans="1:183" s="707" customFormat="1" ht="12.75" hidden="1" customHeight="1" outlineLevel="1" x14ac:dyDescent="0.2">
      <c r="A124" s="679" t="str">
        <f>INPUT!B48</f>
        <v>Operating Expenses &amp; VOBA</v>
      </c>
      <c r="B124" s="669"/>
      <c r="C124" s="671"/>
      <c r="D124" s="669"/>
      <c r="E124" s="681"/>
      <c r="F124" s="669"/>
      <c r="G124" s="681"/>
      <c r="H124" s="669"/>
      <c r="I124" s="681"/>
      <c r="J124" s="669"/>
      <c r="K124" s="681"/>
      <c r="L124" s="669"/>
      <c r="M124" s="681"/>
      <c r="N124" s="669"/>
      <c r="O124" s="681"/>
      <c r="P124" s="669"/>
      <c r="Q124" s="681"/>
      <c r="R124" s="669">
        <f>INPUT!AC48</f>
        <v>156.10000000000002</v>
      </c>
      <c r="S124" s="681" t="str">
        <f>INPUT!AD48</f>
        <v>NA</v>
      </c>
      <c r="T124" s="669">
        <f>INPUT!AE48</f>
        <v>144.5</v>
      </c>
      <c r="U124" s="681" t="str">
        <f>INPUT!AF48</f>
        <v>NA</v>
      </c>
      <c r="V124" s="669">
        <f>INPUT!AG48</f>
        <v>142.80000000000001</v>
      </c>
      <c r="W124" s="681" t="str">
        <f>INPUT!AH48</f>
        <v>NA</v>
      </c>
      <c r="X124" s="669">
        <f>INPUT!AI48</f>
        <v>176.2</v>
      </c>
      <c r="Y124" s="681" t="str">
        <f>INPUT!AJ48</f>
        <v>NA</v>
      </c>
      <c r="Z124" s="669">
        <f>INPUT!AK48</f>
        <v>144.09999999999997</v>
      </c>
      <c r="AA124" s="681">
        <f>INPUT!AL48</f>
        <v>-7.6873798846893386</v>
      </c>
      <c r="AB124" s="669">
        <f>INPUT!AM48</f>
        <v>140.80000000000001</v>
      </c>
      <c r="AC124" s="681">
        <f>INPUT!AN48</f>
        <v>-2.5605536332179879</v>
      </c>
      <c r="AD124" s="669">
        <f>INPUT!AO48</f>
        <v>139.70000000000002</v>
      </c>
      <c r="AE124" s="681">
        <f>INPUT!AP48</f>
        <v>-2.1708683473389279</v>
      </c>
      <c r="AF124" s="669">
        <f>INPUT!AQ48</f>
        <v>147.80000000000001</v>
      </c>
      <c r="AG124" s="681">
        <f>INPUT!AR48</f>
        <v>-16.118047673098733</v>
      </c>
      <c r="AH124" s="669">
        <f>INPUT!AS48</f>
        <v>149</v>
      </c>
      <c r="AI124" s="681">
        <f>INPUT!AT48</f>
        <v>3.4004163775156471</v>
      </c>
      <c r="AJ124" s="669">
        <f>INPUT!AU48</f>
        <v>141.80000000000001</v>
      </c>
      <c r="AK124" s="681">
        <f>INPUT!AV48</f>
        <v>0.71022727272727071</v>
      </c>
      <c r="AL124" s="669">
        <f>INPUT!AW48</f>
        <v>154.1</v>
      </c>
      <c r="AM124" s="681">
        <f>INPUT!AX48</f>
        <v>10.307802433786662</v>
      </c>
      <c r="AN124" s="669">
        <f>INPUT!AY48</f>
        <v>143.69999999999999</v>
      </c>
      <c r="AO124" s="670">
        <f>INPUT!AZ48</f>
        <v>-2.7740189445196406</v>
      </c>
      <c r="AP124" s="669">
        <f>INPUT!BA48</f>
        <v>146</v>
      </c>
      <c r="AQ124" s="670">
        <f>INPUT!BB48</f>
        <v>-2.0134228187919434</v>
      </c>
      <c r="AR124" s="669">
        <f>INPUT!BC48</f>
        <v>132.20000000000002</v>
      </c>
      <c r="AS124" s="670">
        <f>INPUT!BD48</f>
        <v>-6.7700987306064881</v>
      </c>
      <c r="AT124" s="669">
        <f>INPUT!BE48</f>
        <v>140.9</v>
      </c>
      <c r="AU124" s="670">
        <f>INPUT!BF48</f>
        <v>-8.5658663205710468</v>
      </c>
      <c r="AV124" s="669">
        <f>INPUT!BG48</f>
        <v>150.00000000000003</v>
      </c>
      <c r="AW124" s="670">
        <f>INPUT!BH48</f>
        <v>4.3841336116910545</v>
      </c>
      <c r="AX124" s="669">
        <f>INPUT!BI48</f>
        <v>144.30000000000001</v>
      </c>
      <c r="AY124" s="670">
        <f>INPUT!BJ48</f>
        <v>-1.1643835616438225</v>
      </c>
      <c r="AZ124" s="669">
        <f>INPUT!BK48</f>
        <v>147.80000000000001</v>
      </c>
      <c r="BA124" s="670">
        <f>INPUT!BL48</f>
        <v>11.800302571860822</v>
      </c>
      <c r="BB124" s="669">
        <f>INPUT!BM48</f>
        <v>142</v>
      </c>
      <c r="BC124" s="670">
        <f>INPUT!BN48</f>
        <v>0.78069552874378001</v>
      </c>
      <c r="BD124" s="669">
        <f>INPUT!BO48</f>
        <v>142.5</v>
      </c>
      <c r="BE124" s="670">
        <f>INPUT!BP48</f>
        <v>-5.000000000000016</v>
      </c>
      <c r="BF124" s="669">
        <f>INPUT!BQ48</f>
        <v>144.30000000000001</v>
      </c>
      <c r="BG124" s="670">
        <f>INPUT!BR48</f>
        <v>0</v>
      </c>
      <c r="BH124" s="669">
        <f>INPUT!BS48</f>
        <v>142.5</v>
      </c>
      <c r="BI124" s="670">
        <f>INPUT!BT48</f>
        <v>-3.5859269282814688</v>
      </c>
      <c r="BJ124" s="669">
        <f>INPUT!BU48</f>
        <v>141.9</v>
      </c>
      <c r="BK124" s="670">
        <f>INPUT!BV48</f>
        <v>-7.0422535211267512E-2</v>
      </c>
      <c r="BL124" s="669">
        <f>INPUT!BW48</f>
        <v>145.9</v>
      </c>
      <c r="BM124" s="670">
        <f>INPUT!BX48</f>
        <v>2.3859649122807136</v>
      </c>
      <c r="BN124" s="669">
        <f>INPUT!BY48</f>
        <v>138.20000000000002</v>
      </c>
      <c r="BO124" s="670">
        <f>INPUT!BZ48</f>
        <v>-4.2273042273042183</v>
      </c>
      <c r="BP124" s="669">
        <f>INPUT!CA48</f>
        <v>132.60000000000002</v>
      </c>
      <c r="BQ124" s="670">
        <f>INPUT!CB48</f>
        <v>-6.9473684210526132</v>
      </c>
      <c r="BR124" s="669">
        <f>INPUT!CC48</f>
        <v>133</v>
      </c>
      <c r="BS124" s="670">
        <f>INPUT!CD48</f>
        <v>-6.2720225510923271</v>
      </c>
      <c r="BT124" s="669">
        <f>INPUT!CE48</f>
        <v>140.80000000000001</v>
      </c>
      <c r="BU124" s="670">
        <f>INPUT!CF48</f>
        <v>-3.4955448937628475</v>
      </c>
      <c r="BV124" s="669">
        <f>INPUT!CG48</f>
        <v>137.4</v>
      </c>
      <c r="BW124" s="670">
        <f>INPUT!CH48</f>
        <v>-0.57887120115774904</v>
      </c>
      <c r="BX124" s="669">
        <f>INPUT!CI48</f>
        <v>136.79999999999998</v>
      </c>
      <c r="BY124" s="670">
        <f>INPUT!CJ48</f>
        <v>3.1674208144796046</v>
      </c>
      <c r="BZ124" s="669">
        <f>INPUT!CK48</f>
        <v>137.70000000000002</v>
      </c>
      <c r="CA124" s="670">
        <f>INPUT!CL48</f>
        <v>3.5338345864661891</v>
      </c>
      <c r="CB124" s="669">
        <f>INPUT!CM48</f>
        <v>136.1</v>
      </c>
      <c r="CC124" s="670">
        <f>INPUT!CN48</f>
        <v>-3.338068181818199</v>
      </c>
      <c r="CD124" s="669">
        <f>INPUT!CO48</f>
        <v>135.20000000000002</v>
      </c>
      <c r="CE124" s="670">
        <f>INPUT!CP48</f>
        <v>-1.6011644832605421</v>
      </c>
      <c r="CF124" s="669">
        <f>INPUT!CQ48</f>
        <v>134.9</v>
      </c>
      <c r="CG124" s="670">
        <f>INPUT!CR48</f>
        <v>-1.3888888888888729</v>
      </c>
      <c r="CH124" s="669">
        <f>INPUT!CS48</f>
        <v>130.79999999999998</v>
      </c>
      <c r="CI124" s="670">
        <f>INPUT!CT48</f>
        <v>-5.0108932461873863</v>
      </c>
      <c r="CJ124" s="669">
        <f>INPUT!CU48</f>
        <v>139.20000000000002</v>
      </c>
      <c r="CK124" s="670">
        <f>INPUT!CV48</f>
        <v>2.2777369581190365</v>
      </c>
      <c r="CL124" s="669">
        <f>INPUT!CW48</f>
        <v>131.6</v>
      </c>
      <c r="CM124" s="670">
        <f>INPUT!CX48</f>
        <v>-2.6627218934911379</v>
      </c>
      <c r="CN124" s="669">
        <f>INPUT!CY48</f>
        <v>132.69999999999999</v>
      </c>
      <c r="CO124" s="670">
        <f>INPUT!CZ48</f>
        <v>-1.630837657524109</v>
      </c>
      <c r="CP124" s="669">
        <f>INPUT!DA48</f>
        <v>132.6</v>
      </c>
      <c r="CQ124" s="670">
        <f>INPUT!DB48</f>
        <v>1.3761467889908285</v>
      </c>
      <c r="CR124" s="669">
        <f>INPUT!DC48</f>
        <v>135.5</v>
      </c>
      <c r="CS124" s="670">
        <f>INPUT!DD48</f>
        <v>-2.6580459770115028</v>
      </c>
      <c r="CT124" s="669">
        <f>INPUT!DE48</f>
        <v>136</v>
      </c>
      <c r="CU124" s="670">
        <f>INPUT!DF48</f>
        <v>3.3434650455927084</v>
      </c>
      <c r="CV124" s="669">
        <f>INPUT!DG48</f>
        <v>135.4</v>
      </c>
      <c r="CW124" s="670">
        <f>INPUT!DH48</f>
        <v>2.0346646571213434</v>
      </c>
      <c r="CX124" s="669">
        <f>INPUT!DI48</f>
        <v>136.30000000000001</v>
      </c>
      <c r="CY124" s="670">
        <f>INPUT!DJ48</f>
        <v>2.7903469079939791</v>
      </c>
      <c r="CZ124" s="669">
        <f>INPUT!DK48</f>
        <v>142.30000000000001</v>
      </c>
      <c r="DA124" s="670">
        <f>INPUT!DL48</f>
        <v>5.0184501845018437</v>
      </c>
      <c r="DB124" s="669">
        <f>INPUT!DM48</f>
        <v>141.80000000000001</v>
      </c>
      <c r="DC124" s="670">
        <f>INPUT!DN48</f>
        <v>4.2647058823529482</v>
      </c>
      <c r="DD124" s="669">
        <f>INPUT!DO48</f>
        <v>142.69999999999999</v>
      </c>
      <c r="DE124" s="670">
        <f>INPUT!DP48</f>
        <v>5.3914327917282012</v>
      </c>
      <c r="DF124" s="669">
        <f>INPUT!DQ48</f>
        <v>142.4</v>
      </c>
      <c r="DG124" s="670">
        <f>INPUT!DR48</f>
        <v>4.4754218635363108</v>
      </c>
      <c r="DH124" s="669">
        <f>INPUT!DS48</f>
        <v>145.5</v>
      </c>
      <c r="DI124" s="670">
        <f>INPUT!DT48</f>
        <v>2.2487702037947921</v>
      </c>
      <c r="DJ124" s="669">
        <f>INPUT!DU48</f>
        <v>145.19999999999999</v>
      </c>
      <c r="DK124" s="670">
        <f>INPUT!DV48</f>
        <v>2.3977433004231052</v>
      </c>
      <c r="DL124" s="669">
        <f>INPUT!DW48</f>
        <v>143.30000000000001</v>
      </c>
      <c r="DM124" s="670">
        <f>INPUT!DX48</f>
        <v>0.42046250875964475</v>
      </c>
      <c r="DN124" s="669">
        <f>INPUT!DY48</f>
        <v>141</v>
      </c>
      <c r="DO124" s="670">
        <f>INPUT!DZ48</f>
        <v>-0.98314606741572996</v>
      </c>
      <c r="DP124" s="669">
        <f>INPUT!EA48</f>
        <v>142.6</v>
      </c>
      <c r="DQ124" s="670">
        <f>INPUT!EB48</f>
        <v>-1.993127147766327</v>
      </c>
      <c r="DR124" s="669">
        <f>INPUT!EC48</f>
        <v>144.9</v>
      </c>
      <c r="DS124" s="670">
        <f>INPUT!ED48</f>
        <v>-0.20661157024792765</v>
      </c>
      <c r="DT124" s="669">
        <f>INPUT!EE48</f>
        <v>148</v>
      </c>
      <c r="DU124" s="670">
        <f>INPUT!EF48</f>
        <v>3.2798325191905064</v>
      </c>
      <c r="DV124" s="669">
        <f>INPUT!EG48</f>
        <v>143.30000000000001</v>
      </c>
      <c r="DW124" s="670">
        <f>INPUT!EH48</f>
        <v>1.6312056737588732</v>
      </c>
      <c r="DX124" s="669">
        <f>INPUT!EI48</f>
        <v>150.80000000000001</v>
      </c>
      <c r="DY124" s="670">
        <f>INPUT!EJ48</f>
        <v>5.7503506311360475</v>
      </c>
      <c r="DZ124" s="669">
        <f>INPUT!EK48</f>
        <v>154.45485435760804</v>
      </c>
      <c r="EA124" s="670">
        <f>INPUT!EL48</f>
        <v>6.5941023862029269</v>
      </c>
      <c r="EB124" s="669">
        <f>INPUT!EM48</f>
        <v>155.37512723532549</v>
      </c>
      <c r="EC124" s="670">
        <f>INPUT!EN48</f>
        <v>4.9831940779226258</v>
      </c>
      <c r="ED124" s="669">
        <f>INPUT!EO48</f>
        <v>155.27893523062994</v>
      </c>
      <c r="EE124" s="670">
        <f>INPUT!EP48</f>
        <v>8.3593407052546596</v>
      </c>
      <c r="EF124" s="669">
        <f>INPUT!EQ48</f>
        <v>155.3187181419959</v>
      </c>
      <c r="EG124" s="670">
        <f>INPUT!ER48</f>
        <v>2.9964974416418322</v>
      </c>
      <c r="EH124" s="670"/>
      <c r="EI124" s="669">
        <f>INPUT!FB48</f>
        <v>0</v>
      </c>
      <c r="EJ124" s="681">
        <f>INPUT!FC48</f>
        <v>0</v>
      </c>
      <c r="EK124" s="669">
        <f>INPUT!FD48</f>
        <v>547.79999999999995</v>
      </c>
      <c r="EL124" s="681" t="str">
        <f>INPUT!FE48</f>
        <v>NA</v>
      </c>
      <c r="EM124" s="669">
        <f>INPUT!FF48</f>
        <v>615.5</v>
      </c>
      <c r="EN124" s="681">
        <f>INPUT!FG48</f>
        <v>12.358525009127419</v>
      </c>
      <c r="EO124" s="669">
        <f>INPUT!FH48</f>
        <v>619.6</v>
      </c>
      <c r="EP124" s="681">
        <f>INPUT!FI48</f>
        <v>0.66612510154346882</v>
      </c>
      <c r="EQ124" s="669">
        <f>INPUT!FJ48</f>
        <v>572.4</v>
      </c>
      <c r="ER124" s="670">
        <f>INPUT!FK48</f>
        <v>-7.6178179470626333</v>
      </c>
      <c r="ES124" s="669">
        <f>INPUT!FL48</f>
        <v>588.59999999999991</v>
      </c>
      <c r="ET124" s="670">
        <f>INPUT!FM48</f>
        <v>2.8301886792452713</v>
      </c>
      <c r="EU124" s="669">
        <f>INPUT!FN48</f>
        <v>569.1</v>
      </c>
      <c r="EV124" s="670">
        <f>INPUT!FO48</f>
        <v>-3.3129459734964173</v>
      </c>
      <c r="EW124" s="669">
        <f>INPUT!FP48</f>
        <v>576.6</v>
      </c>
      <c r="EX124" s="670">
        <f>INPUT!FQ48</f>
        <v>1.317870321560366</v>
      </c>
      <c r="EY124" s="669">
        <f>INPUT!FR48</f>
        <v>574.6</v>
      </c>
      <c r="EZ124" s="670">
        <f>INPUT!FS48</f>
        <v>-0.3468609087755814</v>
      </c>
      <c r="FA124" s="669">
        <f>INPUT!FT48</f>
        <v>544.60000000000014</v>
      </c>
      <c r="FB124" s="670">
        <f>INPUT!FU48</f>
        <v>-5.2210233205708168</v>
      </c>
      <c r="FC124" s="669">
        <f>INPUT!FV48</f>
        <v>548</v>
      </c>
      <c r="FD124" s="670">
        <f>INPUT!FW48</f>
        <v>0.62431142122656436</v>
      </c>
      <c r="FE124" s="669">
        <f>INPUT!FX48</f>
        <v>540.1</v>
      </c>
      <c r="FF124" s="670">
        <f>INPUT!FY48</f>
        <v>-1.4416058394160491</v>
      </c>
      <c r="FG124" s="669">
        <f>INPUT!FZ48</f>
        <v>532.4</v>
      </c>
      <c r="FH124" s="670">
        <f>INPUT!GA48</f>
        <v>-1.4256619144602967</v>
      </c>
      <c r="FI124" s="669">
        <f>INPUT!GB48</f>
        <v>550</v>
      </c>
      <c r="FJ124" s="670">
        <f>INPUT!GC48</f>
        <v>3.3057851239669533</v>
      </c>
      <c r="FK124" s="669">
        <f>INPUT!GD48</f>
        <v>572.4</v>
      </c>
      <c r="FL124" s="670">
        <f>INPUT!GE48</f>
        <v>4.0727272727272723</v>
      </c>
      <c r="FM124" s="669">
        <f>INPUT!GF48</f>
        <v>572.1</v>
      </c>
      <c r="FN124" s="670">
        <f>INPUT!GG48</f>
        <v>-5.2410901467492277E-2</v>
      </c>
      <c r="FO124" s="669">
        <f>INPUT!GH48</f>
        <v>587</v>
      </c>
      <c r="FP124" s="670">
        <f>INPUT!GI48</f>
        <v>2.604439783254664</v>
      </c>
      <c r="FQ124" s="669">
        <f>INPUT!GJ48</f>
        <v>620.42763496555938</v>
      </c>
      <c r="FR124" s="670">
        <f>INPUT!GK48</f>
        <v>5.6946567232639467</v>
      </c>
      <c r="FS124" s="669">
        <f>INPUT!GL48</f>
        <v>644.5820376495036</v>
      </c>
      <c r="FT124" s="670">
        <f>INPUT!GM48</f>
        <v>3.8931861385067101</v>
      </c>
      <c r="FU124" s="669">
        <f>INPUT!GN48</f>
        <v>670.38420054229653</v>
      </c>
      <c r="FV124" s="670">
        <f>INPUT!GO48</f>
        <v>4.0029292449540899</v>
      </c>
      <c r="FW124" s="669">
        <f>INPUT!GP48</f>
        <v>697.84923938038673</v>
      </c>
      <c r="FX124" s="670">
        <f>INPUT!GQ48</f>
        <v>4.0969102219104769</v>
      </c>
      <c r="FY124" s="669">
        <f>INPUT!GR48</f>
        <v>727.00158306834953</v>
      </c>
      <c r="FZ124" s="670">
        <f>INPUT!GS48</f>
        <v>4.1774558232444026</v>
      </c>
      <c r="GA124" s="681">
        <f>INPUT!GT48</f>
        <v>4.3709054349535092</v>
      </c>
    </row>
    <row r="125" spans="1:183" s="707" customFormat="1" ht="12.75" hidden="1" customHeight="1" outlineLevel="1" x14ac:dyDescent="0.2">
      <c r="A125" s="679" t="str">
        <f>INPUT!B49</f>
        <v xml:space="preserve"> Total Benefits and Expenses</v>
      </c>
      <c r="B125" s="669"/>
      <c r="C125" s="671"/>
      <c r="D125" s="669"/>
      <c r="E125" s="681"/>
      <c r="F125" s="669"/>
      <c r="G125" s="681"/>
      <c r="H125" s="669"/>
      <c r="I125" s="681"/>
      <c r="J125" s="669"/>
      <c r="K125" s="681"/>
      <c r="L125" s="669"/>
      <c r="M125" s="681"/>
      <c r="N125" s="669"/>
      <c r="O125" s="681"/>
      <c r="P125" s="669"/>
      <c r="Q125" s="681"/>
      <c r="R125" s="669">
        <f>INPUT!AC49</f>
        <v>831.59999999999991</v>
      </c>
      <c r="S125" s="681" t="str">
        <f>INPUT!AD49</f>
        <v>NA</v>
      </c>
      <c r="T125" s="669">
        <f>INPUT!AE49</f>
        <v>811.99999999999989</v>
      </c>
      <c r="U125" s="681" t="str">
        <f>INPUT!AF49</f>
        <v>NA</v>
      </c>
      <c r="V125" s="669">
        <f>INPUT!AG49</f>
        <v>806.40000000000009</v>
      </c>
      <c r="W125" s="681" t="str">
        <f>INPUT!AH49</f>
        <v>NA</v>
      </c>
      <c r="X125" s="669">
        <f>INPUT!AI49</f>
        <v>918.09999999999991</v>
      </c>
      <c r="Y125" s="681" t="str">
        <f>INPUT!AJ49</f>
        <v>NA</v>
      </c>
      <c r="Z125" s="669">
        <f>INPUT!AK49</f>
        <v>800.99999999999977</v>
      </c>
      <c r="AA125" s="681">
        <f>INPUT!AL49</f>
        <v>-3.6796536796536938</v>
      </c>
      <c r="AB125" s="669">
        <f>INPUT!AM49</f>
        <v>787.90000000000009</v>
      </c>
      <c r="AC125" s="681">
        <f>INPUT!AN49</f>
        <v>-2.9679802955664747</v>
      </c>
      <c r="AD125" s="669">
        <f>INPUT!AO49</f>
        <v>766.90000000000009</v>
      </c>
      <c r="AE125" s="681">
        <f>INPUT!AP49</f>
        <v>-4.8983134920634885</v>
      </c>
      <c r="AF125" s="669">
        <f>INPUT!AQ49</f>
        <v>789.7</v>
      </c>
      <c r="AG125" s="681">
        <f>INPUT!AR49</f>
        <v>-13.985404640017418</v>
      </c>
      <c r="AH125" s="669">
        <f>INPUT!AS49</f>
        <v>791.40000000000009</v>
      </c>
      <c r="AI125" s="681">
        <f>INPUT!AT49</f>
        <v>-1.1985018726591412</v>
      </c>
      <c r="AJ125" s="669">
        <f>INPUT!AU49</f>
        <v>784.60000000000014</v>
      </c>
      <c r="AK125" s="681">
        <f>INPUT!AV49</f>
        <v>-0.41883487752252258</v>
      </c>
      <c r="AL125" s="669">
        <f>INPUT!AW49</f>
        <v>769.6</v>
      </c>
      <c r="AM125" s="681">
        <f>INPUT!AX49</f>
        <v>0.35206676228973777</v>
      </c>
      <c r="AN125" s="669">
        <f>INPUT!AY49</f>
        <v>779</v>
      </c>
      <c r="AO125" s="670">
        <f>INPUT!AZ49</f>
        <v>-1.3549449157908122</v>
      </c>
      <c r="AP125" s="669">
        <f>INPUT!BA49</f>
        <v>743.6</v>
      </c>
      <c r="AQ125" s="670">
        <f>INPUT!BB49</f>
        <v>-6.0399292393227277</v>
      </c>
      <c r="AR125" s="669">
        <f>INPUT!BC49</f>
        <v>750.30000000000007</v>
      </c>
      <c r="AS125" s="670">
        <f>INPUT!BD49</f>
        <v>-4.3716543461636554</v>
      </c>
      <c r="AT125" s="669">
        <f>INPUT!BE49</f>
        <v>729.5</v>
      </c>
      <c r="AU125" s="670">
        <f>INPUT!BF49</f>
        <v>-5.210498960498966</v>
      </c>
      <c r="AV125" s="669">
        <f>INPUT!BG49</f>
        <v>730.4</v>
      </c>
      <c r="AW125" s="670">
        <f>INPUT!BH49</f>
        <v>-6.2387676508344097</v>
      </c>
      <c r="AX125" s="669">
        <f>INPUT!BI49</f>
        <v>709.5</v>
      </c>
      <c r="AY125" s="670">
        <f>INPUT!BJ49</f>
        <v>-4.5857988165680545</v>
      </c>
      <c r="AZ125" s="669">
        <f>INPUT!BK49</f>
        <v>712.60000000000014</v>
      </c>
      <c r="BA125" s="670">
        <f>INPUT!BL49</f>
        <v>-5.0246568039450823</v>
      </c>
      <c r="BB125" s="669">
        <f>INPUT!BM49</f>
        <v>690.6</v>
      </c>
      <c r="BC125" s="670">
        <f>INPUT!BN49</f>
        <v>-5.3324194653872503</v>
      </c>
      <c r="BD125" s="669">
        <f>INPUT!BO49</f>
        <v>690.99999999999989</v>
      </c>
      <c r="BE125" s="670">
        <f>INPUT!BP49</f>
        <v>-5.3943044906900495</v>
      </c>
      <c r="BF125" s="669">
        <f>INPUT!BQ49</f>
        <v>667.90000000000009</v>
      </c>
      <c r="BG125" s="670">
        <f>INPUT!BR49</f>
        <v>-5.8632840028188689</v>
      </c>
      <c r="BH125" s="669">
        <f>INPUT!BS49</f>
        <v>656.09999999999991</v>
      </c>
      <c r="BI125" s="670">
        <f>INPUT!BT49</f>
        <v>-7.9287117597530488</v>
      </c>
      <c r="BJ125" s="669">
        <f>INPUT!BU49</f>
        <v>641.6</v>
      </c>
      <c r="BK125" s="670">
        <f>INPUT!BV49</f>
        <v>-7.0952794671300339</v>
      </c>
      <c r="BL125" s="669">
        <f>INPUT!BW49</f>
        <v>638.80000000000007</v>
      </c>
      <c r="BM125" s="670">
        <f>INPUT!BX49</f>
        <v>-7.5542691751085078</v>
      </c>
      <c r="BN125" s="669">
        <f>INPUT!BY49</f>
        <v>619</v>
      </c>
      <c r="BO125" s="670">
        <f>INPUT!BZ49</f>
        <v>-7.321455307680802</v>
      </c>
      <c r="BP125" s="669">
        <f>INPUT!CA49</f>
        <v>613.5</v>
      </c>
      <c r="BQ125" s="670">
        <f>INPUT!CB49</f>
        <v>-6.4929126657521596</v>
      </c>
      <c r="BR125" s="669">
        <f>INPUT!CC49</f>
        <v>606.79999999999995</v>
      </c>
      <c r="BS125" s="670">
        <f>INPUT!CD49</f>
        <v>-5.4239401496259498</v>
      </c>
      <c r="BT125" s="669">
        <f>INPUT!CE49</f>
        <v>615.1</v>
      </c>
      <c r="BU125" s="670">
        <f>INPUT!CF49</f>
        <v>-3.7100814026299389</v>
      </c>
      <c r="BV125" s="669">
        <f>INPUT!CG49</f>
        <v>604.1</v>
      </c>
      <c r="BW125" s="670">
        <f>INPUT!CH49</f>
        <v>-2.4071082390953125</v>
      </c>
      <c r="BX125" s="669">
        <f>INPUT!CI49</f>
        <v>604</v>
      </c>
      <c r="BY125" s="670">
        <f>INPUT!CJ49</f>
        <v>-1.5484922575387139</v>
      </c>
      <c r="BZ125" s="669">
        <f>INPUT!CK49</f>
        <v>612.29999999999995</v>
      </c>
      <c r="CA125" s="670">
        <f>INPUT!CL49</f>
        <v>0.90639419907712071</v>
      </c>
      <c r="CB125" s="669">
        <f>INPUT!CM49</f>
        <v>607.1</v>
      </c>
      <c r="CC125" s="670">
        <f>INPUT!CN49</f>
        <v>-1.3006015282067906</v>
      </c>
      <c r="CD125" s="669">
        <f>INPUT!CO49</f>
        <v>609.4</v>
      </c>
      <c r="CE125" s="670">
        <f>INPUT!CP49</f>
        <v>0.87733818904154326</v>
      </c>
      <c r="CF125" s="669">
        <f>INPUT!CQ49</f>
        <v>610.70000000000005</v>
      </c>
      <c r="CG125" s="670">
        <f>INPUT!CR49</f>
        <v>1.1092715231788119</v>
      </c>
      <c r="CH125" s="669">
        <f>INPUT!CS49</f>
        <v>604.29999999999995</v>
      </c>
      <c r="CI125" s="670">
        <f>INPUT!CT49</f>
        <v>-1.306549077249719</v>
      </c>
      <c r="CJ125" s="669">
        <f>INPUT!CU49</f>
        <v>608.6</v>
      </c>
      <c r="CK125" s="670">
        <f>INPUT!CV49</f>
        <v>0.24707626420688023</v>
      </c>
      <c r="CL125" s="669">
        <f>INPUT!CW49</f>
        <v>615.1</v>
      </c>
      <c r="CM125" s="670">
        <f>INPUT!CX49</f>
        <v>0.93534624220545926</v>
      </c>
      <c r="CN125" s="669">
        <f>INPUT!CY49</f>
        <v>611.29999999999995</v>
      </c>
      <c r="CO125" s="670">
        <f>INPUT!CZ49</f>
        <v>9.8247912231852474E-2</v>
      </c>
      <c r="CP125" s="669">
        <f>INPUT!DA49</f>
        <v>596</v>
      </c>
      <c r="CQ125" s="670">
        <f>INPUT!DB49</f>
        <v>-1.3734899884163432</v>
      </c>
      <c r="CR125" s="669">
        <f>INPUT!DC49</f>
        <v>598.4</v>
      </c>
      <c r="CS125" s="670">
        <f>INPUT!DD49</f>
        <v>-1.6759776536312887</v>
      </c>
      <c r="CT125" s="669">
        <f>INPUT!DE49</f>
        <v>606.5</v>
      </c>
      <c r="CU125" s="670">
        <f>INPUT!DF49</f>
        <v>-1.3981466428223066</v>
      </c>
      <c r="CV125" s="669">
        <f>INPUT!DG49</f>
        <v>601.70000000000005</v>
      </c>
      <c r="CW125" s="670">
        <f>INPUT!DH49</f>
        <v>-1.5704236872239319</v>
      </c>
      <c r="CX125" s="669">
        <f>INPUT!DI49</f>
        <v>605.09999999999991</v>
      </c>
      <c r="CY125" s="670">
        <f>INPUT!DJ49</f>
        <v>1.5268456375838735</v>
      </c>
      <c r="CZ125" s="669">
        <f>INPUT!DK49</f>
        <v>630.4</v>
      </c>
      <c r="DA125" s="670">
        <f>INPUT!DL49</f>
        <v>5.3475935828876997</v>
      </c>
      <c r="DB125" s="669">
        <f>INPUT!DM49</f>
        <v>627.29999999999995</v>
      </c>
      <c r="DC125" s="670">
        <f>INPUT!DN49</f>
        <v>3.429513602638079</v>
      </c>
      <c r="DD125" s="669">
        <f>INPUT!DO49</f>
        <v>649.79999999999995</v>
      </c>
      <c r="DE125" s="670">
        <f>INPUT!DP49</f>
        <v>7.994016951969396</v>
      </c>
      <c r="DF125" s="669">
        <f>INPUT!DQ49</f>
        <v>640</v>
      </c>
      <c r="DG125" s="670">
        <f>INPUT!DR49</f>
        <v>5.7676417121137247</v>
      </c>
      <c r="DH125" s="669">
        <f>INPUT!DS49</f>
        <v>652</v>
      </c>
      <c r="DI125" s="670">
        <f>INPUT!DT49</f>
        <v>3.4263959390862908</v>
      </c>
      <c r="DJ125" s="669">
        <f>INPUT!DU49</f>
        <v>661.40000000000009</v>
      </c>
      <c r="DK125" s="670">
        <f>INPUT!DV49</f>
        <v>5.4359955364259749</v>
      </c>
      <c r="DL125" s="669">
        <f>INPUT!DW49</f>
        <v>657</v>
      </c>
      <c r="DM125" s="670">
        <f>INPUT!DX49</f>
        <v>1.1080332409972415</v>
      </c>
      <c r="DN125" s="669">
        <f>INPUT!DY49</f>
        <v>641.09999999999991</v>
      </c>
      <c r="DO125" s="670">
        <f>INPUT!DZ49</f>
        <v>0.17187499999997691</v>
      </c>
      <c r="DP125" s="669">
        <f>INPUT!EA49</f>
        <v>644.1</v>
      </c>
      <c r="DQ125" s="670">
        <f>INPUT!EB49</f>
        <v>-1.21165644171779</v>
      </c>
      <c r="DR125" s="669">
        <f>INPUT!EC49</f>
        <v>643.1</v>
      </c>
      <c r="DS125" s="670">
        <f>INPUT!ED49</f>
        <v>-2.7668581796190028</v>
      </c>
      <c r="DT125" s="669">
        <f>INPUT!EE49</f>
        <v>647.29999999999995</v>
      </c>
      <c r="DU125" s="670">
        <f>INPUT!EF49</f>
        <v>-1.4764079147640885</v>
      </c>
      <c r="DV125" s="669">
        <f>INPUT!EG49</f>
        <v>643.80000000000007</v>
      </c>
      <c r="DW125" s="670">
        <f>INPUT!EH49</f>
        <v>0.42115114646703589</v>
      </c>
      <c r="DX125" s="669">
        <f>INPUT!EI49</f>
        <v>656.2</v>
      </c>
      <c r="DY125" s="670">
        <f>INPUT!EJ49</f>
        <v>1.8785902810122712</v>
      </c>
      <c r="DZ125" s="669">
        <f>INPUT!EK49</f>
        <v>678.538820138858</v>
      </c>
      <c r="EA125" s="670">
        <f>INPUT!EL49</f>
        <v>5.5106235638093581</v>
      </c>
      <c r="EB125" s="669">
        <f>INPUT!EM49</f>
        <v>682.32881151976517</v>
      </c>
      <c r="EC125" s="670">
        <f>INPUT!EN49</f>
        <v>5.4115265749675956</v>
      </c>
      <c r="ED125" s="669">
        <f>INPUT!EO49</f>
        <v>681.2353488847167</v>
      </c>
      <c r="EE125" s="670">
        <f>INPUT!EP49</f>
        <v>5.8147481958242597</v>
      </c>
      <c r="EF125" s="669">
        <f>INPUT!EQ49</f>
        <v>679.52986625976712</v>
      </c>
      <c r="EG125" s="670">
        <f>INPUT!ER49</f>
        <v>3.5552981194402644</v>
      </c>
      <c r="EH125" s="670"/>
      <c r="EI125" s="669">
        <f>INPUT!FB49</f>
        <v>0</v>
      </c>
      <c r="EJ125" s="681">
        <f>INPUT!FC49</f>
        <v>0</v>
      </c>
      <c r="EK125" s="669">
        <f>INPUT!FD49</f>
        <v>2860.0999999999995</v>
      </c>
      <c r="EL125" s="681" t="str">
        <f>INPUT!FE49</f>
        <v>NA</v>
      </c>
      <c r="EM125" s="669">
        <f>INPUT!FF49</f>
        <v>4198.7</v>
      </c>
      <c r="EN125" s="681">
        <f>INPUT!FG49</f>
        <v>46.802559351071672</v>
      </c>
      <c r="EO125" s="669">
        <f>INPUT!FH49</f>
        <v>3368.1</v>
      </c>
      <c r="EP125" s="681">
        <f>INPUT!FI49</f>
        <v>-19.782313573248867</v>
      </c>
      <c r="EQ125" s="669">
        <f>INPUT!FJ49</f>
        <v>3145.5</v>
      </c>
      <c r="ER125" s="670">
        <f>INPUT!FK49</f>
        <v>-6.609067426739113</v>
      </c>
      <c r="ES125" s="669">
        <f>INPUT!FL49</f>
        <v>3124.6000000000004</v>
      </c>
      <c r="ET125" s="670">
        <f>INPUT!FM49</f>
        <v>-0.66444126529962011</v>
      </c>
      <c r="EU125" s="669">
        <f>INPUT!FN49</f>
        <v>2953.7999999999997</v>
      </c>
      <c r="EV125" s="670">
        <f>INPUT!FO49</f>
        <v>-5.4662996863598767</v>
      </c>
      <c r="EW125" s="669">
        <f>INPUT!FP49</f>
        <v>2803.7000000000003</v>
      </c>
      <c r="EX125" s="670">
        <f>INPUT!FQ49</f>
        <v>-5.0815898165075364</v>
      </c>
      <c r="EY125" s="669">
        <f>INPUT!FR49</f>
        <v>2599.7000000000003</v>
      </c>
      <c r="EZ125" s="670">
        <f>INPUT!FS49</f>
        <v>-7.2760994400256855</v>
      </c>
      <c r="FA125" s="669">
        <f>INPUT!FT49</f>
        <v>2454.4000000000005</v>
      </c>
      <c r="FB125" s="670">
        <f>INPUT!FU49</f>
        <v>-5.5891064353579161</v>
      </c>
      <c r="FC125" s="669">
        <f>INPUT!FV49</f>
        <v>2427.5</v>
      </c>
      <c r="FD125" s="670">
        <f>INPUT!FW49</f>
        <v>-1.0959908735332702</v>
      </c>
      <c r="FE125" s="669">
        <f>INPUT!FX49</f>
        <v>2433</v>
      </c>
      <c r="FF125" s="670">
        <f>INPUT!FY49</f>
        <v>0.22657054582904124</v>
      </c>
      <c r="FG125" s="669">
        <f>INPUT!FZ49</f>
        <v>2420.8000000000002</v>
      </c>
      <c r="FH125" s="670">
        <f>INPUT!GA49</f>
        <v>-0.50143855322646314</v>
      </c>
      <c r="FI125" s="669">
        <f>INPUT!GB49</f>
        <v>2443.6999999999998</v>
      </c>
      <c r="FJ125" s="670">
        <f>INPUT!GC49</f>
        <v>0.94596827495041502</v>
      </c>
      <c r="FK125" s="669">
        <f>INPUT!GD49</f>
        <v>2569.1</v>
      </c>
      <c r="FL125" s="670">
        <f>INPUT!GE49</f>
        <v>5.1315627941236786</v>
      </c>
      <c r="FM125" s="669">
        <f>INPUT!GF49</f>
        <v>2603.6</v>
      </c>
      <c r="FN125" s="670">
        <f>INPUT!GG49</f>
        <v>1.3428827215756556</v>
      </c>
      <c r="FO125" s="669">
        <f>INPUT!GH49</f>
        <v>2590.4</v>
      </c>
      <c r="FP125" s="670">
        <f>INPUT!GI49</f>
        <v>-0.50699032109385866</v>
      </c>
      <c r="FQ125" s="669">
        <f>INPUT!GJ49</f>
        <v>2721.632846803107</v>
      </c>
      <c r="FR125" s="670">
        <f>INPUT!GK49</f>
        <v>5.0661228691749161</v>
      </c>
      <c r="FS125" s="669">
        <f>INPUT!GL49</f>
        <v>2832.6653166943634</v>
      </c>
      <c r="FT125" s="670">
        <f>INPUT!GM49</f>
        <v>4.0796270526231249</v>
      </c>
      <c r="FU125" s="669">
        <f>INPUT!GN49</f>
        <v>2951.4963907803735</v>
      </c>
      <c r="FV125" s="670">
        <f>INPUT!GO49</f>
        <v>4.1950269728540546</v>
      </c>
      <c r="FW125" s="669">
        <f>INPUT!GP49</f>
        <v>3078.1956406381632</v>
      </c>
      <c r="FX125" s="670">
        <f>INPUT!GQ49</f>
        <v>4.2927123425785529</v>
      </c>
      <c r="FY125" s="669">
        <f>INPUT!GR49</f>
        <v>3212.877192380432</v>
      </c>
      <c r="FZ125" s="670">
        <f>INPUT!GS49</f>
        <v>4.3753408641156621</v>
      </c>
      <c r="GA125" s="681">
        <f>INPUT!GT49</f>
        <v>4.4011923812574683</v>
      </c>
    </row>
    <row r="126" spans="1:183" s="707" customFormat="1" ht="12.75" hidden="1" customHeight="1" outlineLevel="1" x14ac:dyDescent="0.2">
      <c r="A126" s="679"/>
      <c r="B126" s="669"/>
      <c r="C126" s="671"/>
      <c r="D126" s="669"/>
      <c r="E126" s="681"/>
      <c r="F126" s="669"/>
      <c r="G126" s="681"/>
      <c r="H126" s="669"/>
      <c r="I126" s="681"/>
      <c r="J126" s="669"/>
      <c r="K126" s="681"/>
      <c r="L126" s="669"/>
      <c r="M126" s="681"/>
      <c r="N126" s="669"/>
      <c r="O126" s="681"/>
      <c r="P126" s="669"/>
      <c r="Q126" s="681"/>
      <c r="R126" s="669"/>
      <c r="S126" s="681"/>
      <c r="T126" s="669"/>
      <c r="U126" s="681"/>
      <c r="V126" s="669"/>
      <c r="W126" s="681"/>
      <c r="X126" s="669"/>
      <c r="Y126" s="681"/>
      <c r="Z126" s="669"/>
      <c r="AA126" s="681"/>
      <c r="AB126" s="669"/>
      <c r="AC126" s="681"/>
      <c r="AD126" s="669"/>
      <c r="AE126" s="681"/>
      <c r="AF126" s="669"/>
      <c r="AG126" s="681"/>
      <c r="AH126" s="669"/>
      <c r="AI126" s="681"/>
      <c r="AJ126" s="669"/>
      <c r="AK126" s="681"/>
      <c r="AL126" s="669"/>
      <c r="AM126" s="681"/>
      <c r="AN126" s="669"/>
      <c r="AO126" s="670"/>
      <c r="AP126" s="669"/>
      <c r="AQ126" s="670"/>
      <c r="AR126" s="669"/>
      <c r="AS126" s="670"/>
      <c r="AT126" s="669"/>
      <c r="AU126" s="670"/>
      <c r="AV126" s="669"/>
      <c r="AW126" s="670"/>
      <c r="AX126" s="669"/>
      <c r="AY126" s="670"/>
      <c r="AZ126" s="669"/>
      <c r="BA126" s="670"/>
      <c r="BB126" s="669"/>
      <c r="BC126" s="670"/>
      <c r="BD126" s="669"/>
      <c r="BE126" s="670"/>
      <c r="BF126" s="669"/>
      <c r="BG126" s="670"/>
      <c r="BH126" s="669"/>
      <c r="BI126" s="670"/>
      <c r="BJ126" s="669"/>
      <c r="BK126" s="670"/>
      <c r="BL126" s="669"/>
      <c r="BM126" s="670"/>
      <c r="BN126" s="669"/>
      <c r="BO126" s="670"/>
      <c r="BP126" s="669"/>
      <c r="BQ126" s="670"/>
      <c r="BR126" s="669"/>
      <c r="BS126" s="670"/>
      <c r="BT126" s="669"/>
      <c r="BU126" s="670"/>
      <c r="BV126" s="669"/>
      <c r="BW126" s="670"/>
      <c r="BX126" s="669"/>
      <c r="BY126" s="670"/>
      <c r="BZ126" s="669"/>
      <c r="CA126" s="670"/>
      <c r="CB126" s="669"/>
      <c r="CC126" s="670"/>
      <c r="CD126" s="669"/>
      <c r="CE126" s="670"/>
      <c r="CF126" s="669"/>
      <c r="CG126" s="670"/>
      <c r="CH126" s="669"/>
      <c r="CI126" s="670"/>
      <c r="CJ126" s="669"/>
      <c r="CK126" s="670"/>
      <c r="CL126" s="669"/>
      <c r="CM126" s="670"/>
      <c r="CN126" s="669"/>
      <c r="CO126" s="670"/>
      <c r="CP126" s="669"/>
      <c r="CQ126" s="670"/>
      <c r="CR126" s="669"/>
      <c r="CS126" s="670"/>
      <c r="CT126" s="669"/>
      <c r="CU126" s="670"/>
      <c r="CV126" s="669"/>
      <c r="CW126" s="670"/>
      <c r="CX126" s="669"/>
      <c r="CY126" s="670"/>
      <c r="CZ126" s="669"/>
      <c r="DA126" s="670"/>
      <c r="DB126" s="669"/>
      <c r="DC126" s="670"/>
      <c r="DD126" s="669"/>
      <c r="DE126" s="670"/>
      <c r="DF126" s="669"/>
      <c r="DG126" s="670"/>
      <c r="DH126" s="669"/>
      <c r="DI126" s="670"/>
      <c r="DJ126" s="669"/>
      <c r="DK126" s="670"/>
      <c r="DL126" s="669"/>
      <c r="DM126" s="670"/>
      <c r="DN126" s="669"/>
      <c r="DO126" s="670"/>
      <c r="DP126" s="669"/>
      <c r="DQ126" s="670"/>
      <c r="DR126" s="669"/>
      <c r="DS126" s="670"/>
      <c r="DT126" s="669"/>
      <c r="DU126" s="670"/>
      <c r="DV126" s="669"/>
      <c r="DW126" s="670"/>
      <c r="DX126" s="669"/>
      <c r="DY126" s="670"/>
      <c r="DZ126" s="669"/>
      <c r="EA126" s="670"/>
      <c r="EB126" s="669"/>
      <c r="EC126" s="670"/>
      <c r="ED126" s="669"/>
      <c r="EE126" s="670"/>
      <c r="EF126" s="669"/>
      <c r="EG126" s="670"/>
      <c r="EH126" s="670"/>
      <c r="EI126" s="669"/>
      <c r="EJ126" s="681"/>
      <c r="EK126" s="669"/>
      <c r="EL126" s="681"/>
      <c r="EM126" s="669"/>
      <c r="EN126" s="681"/>
      <c r="EO126" s="669"/>
      <c r="EP126" s="681"/>
      <c r="EQ126" s="669"/>
      <c r="ER126" s="670"/>
      <c r="ES126" s="669"/>
      <c r="ET126" s="670"/>
      <c r="EU126" s="669"/>
      <c r="EV126" s="670"/>
      <c r="EW126" s="669"/>
      <c r="EX126" s="670"/>
      <c r="EY126" s="669"/>
      <c r="EZ126" s="670"/>
      <c r="FA126" s="669"/>
      <c r="FB126" s="670"/>
      <c r="FC126" s="669"/>
      <c r="FD126" s="670"/>
      <c r="FE126" s="669"/>
      <c r="FF126" s="670"/>
      <c r="FG126" s="669"/>
      <c r="FH126" s="670"/>
      <c r="FI126" s="669"/>
      <c r="FJ126" s="670"/>
      <c r="FK126" s="669"/>
      <c r="FL126" s="670"/>
      <c r="FM126" s="669"/>
      <c r="FN126" s="670"/>
      <c r="FO126" s="669"/>
      <c r="FP126" s="670"/>
      <c r="FQ126" s="669"/>
      <c r="FR126" s="670"/>
      <c r="FS126" s="669"/>
      <c r="FT126" s="670"/>
      <c r="FU126" s="669"/>
      <c r="FV126" s="670"/>
      <c r="FW126" s="669"/>
      <c r="FX126" s="670"/>
      <c r="FY126" s="669"/>
      <c r="FZ126" s="670"/>
      <c r="GA126" s="681"/>
    </row>
    <row r="127" spans="1:183" ht="12.75" hidden="1" customHeight="1" outlineLevel="1" x14ac:dyDescent="0.2">
      <c r="A127" s="644" t="str">
        <f>INPUT!B55</f>
        <v>Pretax Earnings</v>
      </c>
      <c r="B127" s="645"/>
      <c r="C127" s="646"/>
      <c r="D127" s="645"/>
      <c r="E127" s="646"/>
      <c r="F127" s="645"/>
      <c r="G127" s="646"/>
      <c r="H127" s="645"/>
      <c r="I127" s="646"/>
      <c r="J127" s="645"/>
      <c r="K127" s="646"/>
      <c r="L127" s="645"/>
      <c r="M127" s="646"/>
      <c r="N127" s="645"/>
      <c r="O127" s="646"/>
      <c r="P127" s="645"/>
      <c r="Q127" s="646"/>
      <c r="R127" s="645">
        <f>INPUT!AC55</f>
        <v>-5.0999999999999091</v>
      </c>
      <c r="S127" s="646" t="str">
        <f>INPUT!AD55</f>
        <v>NA</v>
      </c>
      <c r="T127" s="645">
        <f>INPUT!AE55</f>
        <v>19.000000000000114</v>
      </c>
      <c r="U127" s="646" t="str">
        <f>INPUT!AF55</f>
        <v>NA</v>
      </c>
      <c r="V127" s="645">
        <f>INPUT!AG55</f>
        <v>16.700000000000045</v>
      </c>
      <c r="W127" s="646" t="str">
        <f>INPUT!AH55</f>
        <v>NA</v>
      </c>
      <c r="X127" s="645">
        <f>INPUT!AI55</f>
        <v>-88.600000000000136</v>
      </c>
      <c r="Y127" s="646" t="str">
        <f>INPUT!AJ55</f>
        <v>NA</v>
      </c>
      <c r="Z127" s="645">
        <f>INPUT!AK55</f>
        <v>3.5000000000003411</v>
      </c>
      <c r="AA127" s="646" t="str">
        <f>INPUT!AL55</f>
        <v>NM</v>
      </c>
      <c r="AB127" s="645">
        <f>INPUT!AM55</f>
        <v>20.099999999999795</v>
      </c>
      <c r="AC127" s="646">
        <f>INPUT!AN55</f>
        <v>5.7894736842088124</v>
      </c>
      <c r="AD127" s="645">
        <f>INPUT!AO55</f>
        <v>31.199999999999932</v>
      </c>
      <c r="AE127" s="646">
        <f>INPUT!AP55</f>
        <v>86.826347305388296</v>
      </c>
      <c r="AF127" s="645">
        <f>INPUT!AQ55</f>
        <v>13.599999999999909</v>
      </c>
      <c r="AG127" s="646" t="str">
        <f>INPUT!AR55</f>
        <v>NM</v>
      </c>
      <c r="AH127" s="645">
        <f>INPUT!AS55</f>
        <v>1.1999999999998181</v>
      </c>
      <c r="AI127" s="646" t="str">
        <f>INPUT!AT55</f>
        <v>NM</v>
      </c>
      <c r="AJ127" s="645">
        <f>INPUT!AU55</f>
        <v>10.399999999999864</v>
      </c>
      <c r="AK127" s="646">
        <f>INPUT!AV55</f>
        <v>-48.258706467661838</v>
      </c>
      <c r="AL127" s="645">
        <f>INPUT!AW55</f>
        <v>16.400000000000091</v>
      </c>
      <c r="AM127" s="646">
        <f>INPUT!AX55</f>
        <v>-47.435897435897033</v>
      </c>
      <c r="AN127" s="645">
        <f>INPUT!AY55</f>
        <v>35.100000000000023</v>
      </c>
      <c r="AO127" s="647" t="str">
        <f>INPUT!AZ55</f>
        <v>NM</v>
      </c>
      <c r="AP127" s="645">
        <f>INPUT!BA55</f>
        <v>29.700000000000045</v>
      </c>
      <c r="AQ127" s="647" t="str">
        <f>INPUT!BB55</f>
        <v>NM</v>
      </c>
      <c r="AR127" s="645">
        <f>INPUT!BC55</f>
        <v>51.899999999999977</v>
      </c>
      <c r="AS127" s="647" t="str">
        <f>INPUT!BD55</f>
        <v>NM</v>
      </c>
      <c r="AT127" s="645">
        <f>INPUT!BE55</f>
        <v>51.499999999999886</v>
      </c>
      <c r="AU127" s="647" t="str">
        <f>INPUT!BF55</f>
        <v>NM</v>
      </c>
      <c r="AV127" s="645">
        <f>INPUT!BG55</f>
        <v>43.200000000000045</v>
      </c>
      <c r="AW127" s="647">
        <f>INPUT!BH55</f>
        <v>23.07692307692313</v>
      </c>
      <c r="AX127" s="645">
        <f>INPUT!BI55</f>
        <v>40.100000000000023</v>
      </c>
      <c r="AY127" s="647">
        <f>INPUT!BJ55</f>
        <v>35.016835016834882</v>
      </c>
      <c r="AZ127" s="645">
        <f>INPUT!BK55</f>
        <v>46.999999999999886</v>
      </c>
      <c r="BA127" s="647">
        <f>INPUT!BL55</f>
        <v>-9.4412331406552816</v>
      </c>
      <c r="BB127" s="645">
        <f>INPUT!BM55</f>
        <v>54.599999999999909</v>
      </c>
      <c r="BC127" s="647">
        <f>INPUT!BN55</f>
        <v>6.019417475728206</v>
      </c>
      <c r="BD127" s="645">
        <f>INPUT!BO55</f>
        <v>59.700000000000159</v>
      </c>
      <c r="BE127" s="647">
        <f>INPUT!BP55</f>
        <v>38.194444444444663</v>
      </c>
      <c r="BF127" s="645">
        <f>INPUT!BQ55</f>
        <v>57.699999999999932</v>
      </c>
      <c r="BG127" s="647">
        <f>INPUT!BR55</f>
        <v>43.890274314214217</v>
      </c>
      <c r="BH127" s="645">
        <f>INPUT!BS55</f>
        <v>68.300000000000068</v>
      </c>
      <c r="BI127" s="647">
        <f>INPUT!BT55</f>
        <v>45.319148936170706</v>
      </c>
      <c r="BJ127" s="645">
        <f>INPUT!BU55</f>
        <v>75</v>
      </c>
      <c r="BK127" s="647">
        <f>INPUT!BV55</f>
        <v>37.362637362637585</v>
      </c>
      <c r="BL127" s="645">
        <f>INPUT!BW55</f>
        <v>72.599999999999909</v>
      </c>
      <c r="BM127" s="647">
        <f>INPUT!BX55</f>
        <v>21.608040201004552</v>
      </c>
      <c r="BN127" s="645">
        <f>INPUT!BY55</f>
        <v>75.799999999999955</v>
      </c>
      <c r="BO127" s="647">
        <f>INPUT!BZ55</f>
        <v>31.369150779896081</v>
      </c>
      <c r="BP127" s="645">
        <f>INPUT!CA55</f>
        <v>84.700000000000045</v>
      </c>
      <c r="BQ127" s="647">
        <f>INPUT!CB55</f>
        <v>24.011713030746652</v>
      </c>
      <c r="BR127" s="645">
        <f>INPUT!CC55</f>
        <v>78.5</v>
      </c>
      <c r="BS127" s="647">
        <f>INPUT!CD55</f>
        <v>4.6666666666666634</v>
      </c>
      <c r="BT127" s="645">
        <f>INPUT!CE55</f>
        <v>78.200000000000045</v>
      </c>
      <c r="BU127" s="647">
        <f>INPUT!CF55</f>
        <v>7.7134986225897206</v>
      </c>
      <c r="BV127" s="645">
        <f>INPUT!CG55</f>
        <v>73.800000000000068</v>
      </c>
      <c r="BW127" s="647">
        <f>INPUT!CH55</f>
        <v>-2.6385224274404817</v>
      </c>
      <c r="BX127" s="645">
        <f>INPUT!CI55</f>
        <v>78.699999999999932</v>
      </c>
      <c r="BY127" s="647">
        <f>INPUT!CJ55</f>
        <v>-7.083825265643573</v>
      </c>
      <c r="BZ127" s="645">
        <f>INPUT!CK55</f>
        <v>72.700000000000045</v>
      </c>
      <c r="CA127" s="647">
        <f>INPUT!CL55</f>
        <v>-7.3885350318470771</v>
      </c>
      <c r="CB127" s="645">
        <f>INPUT!CM55</f>
        <v>77.100000000000023</v>
      </c>
      <c r="CC127" s="647">
        <f>INPUT!CN55</f>
        <v>-1.4066496163683162</v>
      </c>
      <c r="CD127" s="645">
        <f>INPUT!CO55</f>
        <v>74.700000000000045</v>
      </c>
      <c r="CE127" s="647">
        <f>INPUT!CP55</f>
        <v>1.2195121951219301</v>
      </c>
      <c r="CF127" s="645">
        <f>INPUT!CQ55</f>
        <v>70.399999999999977</v>
      </c>
      <c r="CG127" s="647">
        <f>INPUT!CR55</f>
        <v>-10.546378653113042</v>
      </c>
      <c r="CH127" s="645">
        <f>INPUT!CS55</f>
        <v>74.5</v>
      </c>
      <c r="CI127" s="647">
        <f>INPUT!CT55</f>
        <v>2.475928473177369</v>
      </c>
      <c r="CJ127" s="645">
        <f>INPUT!CU55</f>
        <v>73.5</v>
      </c>
      <c r="CK127" s="647">
        <f>INPUT!CV55</f>
        <v>-4.6692607003891329</v>
      </c>
      <c r="CL127" s="645">
        <f>INPUT!CW55</f>
        <v>77.199999999999932</v>
      </c>
      <c r="CM127" s="647">
        <f>INPUT!CX55</f>
        <v>3.3467202141899355</v>
      </c>
      <c r="CN127" s="645">
        <f>INPUT!CY55</f>
        <v>72</v>
      </c>
      <c r="CO127" s="647">
        <f>INPUT!CZ55</f>
        <v>2.2727272727273151</v>
      </c>
      <c r="CP127" s="645">
        <f>INPUT!DA55</f>
        <v>77.899999999999977</v>
      </c>
      <c r="CQ127" s="647">
        <f>INPUT!DB55</f>
        <v>4.5637583892617073</v>
      </c>
      <c r="CR127" s="645">
        <f>INPUT!DC55</f>
        <v>68.600000000000023</v>
      </c>
      <c r="CS127" s="647">
        <f>INPUT!DD55</f>
        <v>-6.6666666666666323</v>
      </c>
      <c r="CT127" s="645">
        <f>INPUT!DE55</f>
        <v>67.599999999999909</v>
      </c>
      <c r="CU127" s="647">
        <f>INPUT!DF55</f>
        <v>-12.435233160621806</v>
      </c>
      <c r="CV127" s="645">
        <f>INPUT!DG55</f>
        <v>72.699999999999932</v>
      </c>
      <c r="CW127" s="647">
        <f>INPUT!DH55</f>
        <v>0.97222222222212995</v>
      </c>
      <c r="CX127" s="645">
        <f>INPUT!DI55</f>
        <v>68.600000000000023</v>
      </c>
      <c r="CY127" s="647">
        <f>INPUT!DJ55</f>
        <v>-11.938382541720093</v>
      </c>
      <c r="CZ127" s="645">
        <f>INPUT!DK55</f>
        <v>65.899999999999977</v>
      </c>
      <c r="DA127" s="647">
        <f>INPUT!DL55</f>
        <v>-3.9358600583091041</v>
      </c>
      <c r="DB127" s="645">
        <f>INPUT!DM55</f>
        <v>74.300000000000068</v>
      </c>
      <c r="DC127" s="647">
        <f>INPUT!DN55</f>
        <v>9.9112426035505408</v>
      </c>
      <c r="DD127" s="645">
        <f>INPUT!DO55</f>
        <v>61.200000000000045</v>
      </c>
      <c r="DE127" s="647">
        <f>INPUT!DP55</f>
        <v>-15.818431911966846</v>
      </c>
      <c r="DF127" s="645">
        <f>INPUT!DQ55</f>
        <v>70.800000000000068</v>
      </c>
      <c r="DG127" s="647">
        <f>INPUT!DR55</f>
        <v>3.2069970845481688</v>
      </c>
      <c r="DH127" s="645">
        <f>INPUT!DS55</f>
        <v>66.100000000000023</v>
      </c>
      <c r="DI127" s="647">
        <f>INPUT!DT55</f>
        <v>0.30349013657062773</v>
      </c>
      <c r="DJ127" s="645">
        <f>INPUT!DU55</f>
        <v>70.399999999999864</v>
      </c>
      <c r="DK127" s="647">
        <f>INPUT!DV55</f>
        <v>-5.2489905787351248</v>
      </c>
      <c r="DL127" s="645">
        <f>INPUT!DW55</f>
        <v>74.399999999999977</v>
      </c>
      <c r="DM127" s="647">
        <f>INPUT!DX55</f>
        <v>21.568627450980273</v>
      </c>
      <c r="DN127" s="645">
        <f>INPUT!DY55</f>
        <v>85.400000000000091</v>
      </c>
      <c r="DO127" s="647">
        <f>INPUT!DZ55</f>
        <v>20.621468926553675</v>
      </c>
      <c r="DP127" s="645">
        <f>INPUT!EA55</f>
        <v>89.499999999999886</v>
      </c>
      <c r="DQ127" s="647">
        <f>INPUT!EB55</f>
        <v>35.400907715582242</v>
      </c>
      <c r="DR127" s="645">
        <f>INPUT!EC55</f>
        <v>88.699999999999932</v>
      </c>
      <c r="DS127" s="647">
        <f>INPUT!ED55</f>
        <v>25.994318181818322</v>
      </c>
      <c r="DT127" s="645">
        <f>INPUT!EE55</f>
        <v>92.400000000000091</v>
      </c>
      <c r="DU127" s="647">
        <f>INPUT!EF55</f>
        <v>24.193548387096932</v>
      </c>
      <c r="DV127" s="645">
        <f>INPUT!EG55</f>
        <v>89.999999999999886</v>
      </c>
      <c r="DW127" s="647">
        <f>INPUT!EH55</f>
        <v>5.3864168618264596</v>
      </c>
      <c r="DX127" s="645">
        <f>INPUT!EI55</f>
        <v>86.699999999999932</v>
      </c>
      <c r="DY127" s="647">
        <f>INPUT!EJ55</f>
        <v>-3.1284916201116841</v>
      </c>
      <c r="DZ127" s="645">
        <f>INPUT!EK55</f>
        <v>89.938064861141925</v>
      </c>
      <c r="EA127" s="647">
        <f>INPUT!EL55</f>
        <v>1.3957890204532086</v>
      </c>
      <c r="EB127" s="645">
        <f>INPUT!EM55</f>
        <v>90.726812279734759</v>
      </c>
      <c r="EC127" s="647">
        <f>INPUT!EN55</f>
        <v>-1.8108092210663784</v>
      </c>
      <c r="ED127" s="645">
        <f>INPUT!EO55</f>
        <v>91.341679842858866</v>
      </c>
      <c r="EE127" s="647">
        <f>INPUT!EP55</f>
        <v>1.4907553809544227</v>
      </c>
      <c r="EF127" s="645">
        <f>INPUT!EQ55</f>
        <v>93.245098932349492</v>
      </c>
      <c r="EG127" s="647">
        <f>INPUT!ER55</f>
        <v>7.5491337166661676</v>
      </c>
      <c r="EH127" s="648"/>
      <c r="EI127" s="645">
        <f>INPUT!FB55</f>
        <v>0</v>
      </c>
      <c r="EJ127" s="646">
        <f>INPUT!FC55</f>
        <v>0</v>
      </c>
      <c r="EK127" s="645">
        <f>INPUT!FD55</f>
        <v>289.900000000001</v>
      </c>
      <c r="EL127" s="646" t="str">
        <f>INPUT!FE55</f>
        <v>NA</v>
      </c>
      <c r="EM127" s="645">
        <f>INPUT!FF55</f>
        <v>-869.99999999999955</v>
      </c>
      <c r="EN127" s="646" t="str">
        <f>INPUT!FG55</f>
        <v>NM</v>
      </c>
      <c r="EO127" s="645">
        <f>INPUT!FH55</f>
        <v>-58</v>
      </c>
      <c r="EP127" s="646" t="str">
        <f>INPUT!FI55</f>
        <v>NM</v>
      </c>
      <c r="EQ127" s="645">
        <f>INPUT!FJ55</f>
        <v>68.400000000000546</v>
      </c>
      <c r="ER127" s="647" t="str">
        <f>INPUT!FK55</f>
        <v>NM</v>
      </c>
      <c r="ES127" s="645">
        <f>INPUT!FL55</f>
        <v>63.099999999999909</v>
      </c>
      <c r="ET127" s="647">
        <f>INPUT!FM55</f>
        <v>-7.7485380116967706</v>
      </c>
      <c r="EU127" s="645">
        <f>INPUT!FN55</f>
        <v>176.30000000000018</v>
      </c>
      <c r="EV127" s="647" t="str">
        <f>INPUT!FO55</f>
        <v>NM</v>
      </c>
      <c r="EW127" s="645">
        <f>INPUT!FP55</f>
        <v>201.40000000000009</v>
      </c>
      <c r="EX127" s="647">
        <f>INPUT!FQ55</f>
        <v>14.237095859330617</v>
      </c>
      <c r="EY127" s="645">
        <f>INPUT!FR55</f>
        <v>278.29999999999973</v>
      </c>
      <c r="EZ127" s="647">
        <f>INPUT!FS55</f>
        <v>38.182720953326509</v>
      </c>
      <c r="FA127" s="645">
        <f>INPUT!FT55</f>
        <v>317.19999999999936</v>
      </c>
      <c r="FB127" s="647">
        <f>INPUT!FU55</f>
        <v>13.977721882860106</v>
      </c>
      <c r="FC127" s="645">
        <f>INPUT!FV55</f>
        <v>302.30000000000018</v>
      </c>
      <c r="FD127" s="647">
        <f>INPUT!FW55</f>
        <v>-4.6973518284991194</v>
      </c>
      <c r="FE127" s="645">
        <f>INPUT!FX55</f>
        <v>291.79999999999973</v>
      </c>
      <c r="FF127" s="647">
        <f>INPUT!FY55</f>
        <v>-3.473370823685229</v>
      </c>
      <c r="FG127" s="645">
        <f>INPUT!FZ55</f>
        <v>295.69999999999982</v>
      </c>
      <c r="FH127" s="647">
        <f>INPUT!GA55</f>
        <v>1.3365318711446417</v>
      </c>
      <c r="FI127" s="645">
        <f>INPUT!GB55</f>
        <v>274.80000000000018</v>
      </c>
      <c r="FJ127" s="647">
        <f>INPUT!GC55</f>
        <v>-7.0679742982751588</v>
      </c>
      <c r="FK127" s="645">
        <f>INPUT!GD55</f>
        <v>272.40000000000009</v>
      </c>
      <c r="FL127" s="647">
        <f>INPUT!GE55</f>
        <v>-0.8733624454148825</v>
      </c>
      <c r="FM127" s="645">
        <f>INPUT!GF55</f>
        <v>319.70000000000027</v>
      </c>
      <c r="FN127" s="647">
        <f>INPUT!GG55</f>
        <v>17.36417033773867</v>
      </c>
      <c r="FO127" s="645">
        <f>INPUT!GH55</f>
        <v>357.79999999999973</v>
      </c>
      <c r="FP127" s="647">
        <f>INPUT!GI55</f>
        <v>11.91742258367201</v>
      </c>
      <c r="FQ127" s="645">
        <f>INPUT!GJ55</f>
        <v>365.25165591608538</v>
      </c>
      <c r="FR127" s="647">
        <f>INPUT!GK55</f>
        <v>2.0826316143336188</v>
      </c>
      <c r="FS127" s="645">
        <f>INPUT!GL55</f>
        <v>374.3973455964051</v>
      </c>
      <c r="FT127" s="647">
        <f>INPUT!GM55</f>
        <v>2.5039420170132942</v>
      </c>
      <c r="FU127" s="645">
        <f>INPUT!GN55</f>
        <v>383.9427207232352</v>
      </c>
      <c r="FV127" s="647">
        <f>INPUT!GO55</f>
        <v>2.5495306628375181</v>
      </c>
      <c r="FW127" s="645">
        <f>INPUT!GP55</f>
        <v>393.89341677023685</v>
      </c>
      <c r="FX127" s="647">
        <f>INPUT!GQ55</f>
        <v>2.5917136879838321</v>
      </c>
      <c r="FY127" s="645">
        <f>INPUT!GR55</f>
        <v>404.25685154490748</v>
      </c>
      <c r="FZ127" s="647">
        <f>INPUT!GS55</f>
        <v>2.6310251284843655</v>
      </c>
      <c r="GA127" s="646">
        <f>INPUT!GT55</f>
        <v>2.4715748100562429</v>
      </c>
    </row>
    <row r="128" spans="1:183" ht="12.75" hidden="1" customHeight="1" outlineLevel="2" x14ac:dyDescent="0.2">
      <c r="A128" s="614" t="s">
        <v>517</v>
      </c>
      <c r="B128" s="615"/>
      <c r="C128" s="616"/>
      <c r="D128" s="615"/>
      <c r="E128" s="616"/>
      <c r="F128" s="615"/>
      <c r="G128" s="616"/>
      <c r="H128" s="615"/>
      <c r="I128" s="616"/>
      <c r="J128" s="615"/>
      <c r="K128" s="616"/>
      <c r="L128" s="615"/>
      <c r="M128" s="616"/>
      <c r="N128" s="615"/>
      <c r="O128" s="616"/>
      <c r="P128" s="615"/>
      <c r="Q128" s="616"/>
      <c r="R128" s="615"/>
      <c r="S128" s="616"/>
      <c r="T128" s="615"/>
      <c r="U128" s="616"/>
      <c r="V128" s="615"/>
      <c r="W128" s="616"/>
      <c r="X128" s="615"/>
      <c r="Y128" s="616"/>
      <c r="Z128" s="615"/>
      <c r="AA128" s="616"/>
      <c r="AB128" s="615"/>
      <c r="AC128" s="616"/>
      <c r="AD128" s="615"/>
      <c r="AE128" s="616"/>
      <c r="AF128" s="615"/>
      <c r="AG128" s="616"/>
      <c r="AH128" s="615"/>
      <c r="AI128" s="616"/>
      <c r="AJ128" s="615"/>
      <c r="AK128" s="616"/>
      <c r="AL128" s="615"/>
      <c r="AM128" s="616"/>
      <c r="AN128" s="615"/>
      <c r="AO128" s="617"/>
      <c r="AP128" s="615"/>
      <c r="AQ128" s="617"/>
      <c r="AR128" s="615"/>
      <c r="AS128" s="617"/>
      <c r="AT128" s="615"/>
      <c r="AU128" s="617"/>
      <c r="AV128" s="615"/>
      <c r="AW128" s="617"/>
      <c r="AX128" s="615"/>
      <c r="AY128" s="617"/>
      <c r="AZ128" s="615"/>
      <c r="BA128" s="617"/>
      <c r="BB128" s="615"/>
      <c r="BC128" s="617"/>
      <c r="BD128" s="615"/>
      <c r="BE128" s="617"/>
      <c r="BF128" s="615"/>
      <c r="BG128" s="617"/>
      <c r="BH128" s="615"/>
      <c r="BI128" s="617"/>
      <c r="BJ128" s="615"/>
      <c r="BK128" s="617"/>
      <c r="BL128" s="615"/>
      <c r="BM128" s="617"/>
      <c r="BN128" s="615"/>
      <c r="BO128" s="617"/>
      <c r="BP128" s="615"/>
      <c r="BQ128" s="617"/>
      <c r="BR128" s="615"/>
      <c r="BS128" s="617"/>
      <c r="BT128" s="615"/>
      <c r="BU128" s="617"/>
      <c r="BV128" s="618">
        <f>(BV115+BV116+BV117-BV121-BV122-BV123-BV124)-BV127</f>
        <v>0</v>
      </c>
      <c r="BW128" s="617"/>
      <c r="BX128" s="618">
        <f>(BX115+BX116+BX117-BX121-BX122-BX123-BX124)-BX127</f>
        <v>0</v>
      </c>
      <c r="BY128" s="617"/>
      <c r="BZ128" s="618">
        <f>(BZ115+BZ116+BZ117-BZ121-BZ122-BZ123-BZ124)-BZ127</f>
        <v>0</v>
      </c>
      <c r="CA128" s="617"/>
      <c r="CB128" s="618">
        <f>(CB115+CB116+CB117-CB121-CB122-CB123-CB124)-CB127</f>
        <v>0</v>
      </c>
      <c r="CC128" s="617"/>
      <c r="CD128" s="618">
        <f>(CD115+CD116+CD117-CD121-CD122-CD123-CD124)-CD127</f>
        <v>0</v>
      </c>
      <c r="CE128" s="617"/>
      <c r="CF128" s="618">
        <f>(CF115+CF116+CF117-CF121-CF122-CF123-CF124)-CF127</f>
        <v>0</v>
      </c>
      <c r="CG128" s="617"/>
      <c r="CH128" s="618">
        <f>(CH115+CH116+CH117-CH121-CH122-CH123-CH124)-CH127</f>
        <v>0</v>
      </c>
      <c r="CI128" s="617"/>
      <c r="CJ128" s="618">
        <f>(CJ115+CJ116+CJ117-CJ121-CJ122-CJ123-CJ124)-CJ127</f>
        <v>0</v>
      </c>
      <c r="CK128" s="617"/>
      <c r="CL128" s="618">
        <f>(CL115+CL116+CL117-CL121-CL122-CL123-CL124)-CL127</f>
        <v>0</v>
      </c>
      <c r="CM128" s="617"/>
      <c r="CN128" s="618">
        <f>(CN115+CN116+CN117-CN121-CN122-CN123-CN124)-CN127</f>
        <v>0</v>
      </c>
      <c r="CO128" s="617"/>
      <c r="CP128" s="618">
        <f>(CP115+CP116+CP117-CP121-CP122-CP123-CP124)-CP127</f>
        <v>0</v>
      </c>
      <c r="CQ128" s="617"/>
      <c r="CR128" s="618">
        <f>(CR115+CR116+CR117-CR121-CR122-CR123-CR124)-CR127</f>
        <v>0</v>
      </c>
      <c r="CS128" s="617"/>
      <c r="CT128" s="618">
        <f>(CT115+CT116+CT117-CT121-CT122-CT123-CT124)-CT127</f>
        <v>0</v>
      </c>
      <c r="CU128" s="617"/>
      <c r="CV128" s="618">
        <f>(CV115+CV116+CV117-CV121-CV122-CV123-CV124)-CV127</f>
        <v>0</v>
      </c>
      <c r="CW128" s="617"/>
      <c r="CX128" s="618">
        <f>(CX115+CX116+CX117-CX121-CX122-CX123-CX124)-CX127</f>
        <v>0</v>
      </c>
      <c r="CY128" s="617"/>
      <c r="CZ128" s="618">
        <f>(CZ115+CZ116+CZ117-CZ121-CZ122-CZ123-CZ124)-CZ127</f>
        <v>0</v>
      </c>
      <c r="DA128" s="617"/>
      <c r="DB128" s="618">
        <f>(DB115+DB116+DB117-DB121-DB122-DB123-DB124)-DB127</f>
        <v>0</v>
      </c>
      <c r="DC128" s="617"/>
      <c r="DD128" s="618">
        <f>(DD115+DD116+DD117-DD121-DD122-DD123-DD124)-DD127</f>
        <v>-5.6843418860808015E-14</v>
      </c>
      <c r="DE128" s="617"/>
      <c r="DF128" s="618">
        <f>(DF115+DF116+DF117-DF121-DF122-DF123-DF124)-DF127</f>
        <v>0</v>
      </c>
      <c r="DG128" s="617"/>
      <c r="DH128" s="618">
        <f>(DH115+DH116+DH117-DH121-DH122-DH123-DH124)-DH127</f>
        <v>0</v>
      </c>
      <c r="DI128" s="617"/>
      <c r="DJ128" s="618">
        <f>(DJ115+DJ116+DJ117-DJ121-DJ122-DJ123-DJ124)-DJ127</f>
        <v>1.1368683772161603E-13</v>
      </c>
      <c r="DK128" s="617"/>
      <c r="DL128" s="618">
        <f>(DL115+DL116+DL117-DL121-DL122-DL123-DL124)-DL127</f>
        <v>0</v>
      </c>
      <c r="DM128" s="617"/>
      <c r="DN128" s="618">
        <f>(DN115+DN116+DN117-DN121-DN122-DN123-DN124)-DN127</f>
        <v>0</v>
      </c>
      <c r="DO128" s="617"/>
      <c r="DP128" s="618">
        <f>(DP115+DP116+DP117-DP121-DP122-DP123-DP124)-DP127</f>
        <v>0</v>
      </c>
      <c r="DQ128" s="617"/>
      <c r="DR128" s="618">
        <f t="shared" ref="DR128" si="96">(DR115+DR116+DR117-DR121-DR122-DR123-DR124)-DR127</f>
        <v>0</v>
      </c>
      <c r="DS128" s="617"/>
      <c r="DT128" s="618">
        <f t="shared" ref="DT128" si="97">(DT115+DT116+DT117-DT121-DT122-DT123-DT124)-DT127</f>
        <v>0</v>
      </c>
      <c r="DU128" s="617"/>
      <c r="DV128" s="618">
        <f t="shared" ref="DV128" si="98">(DV115+DV116+DV117-DV121-DV122-DV123-DV124)-DV127</f>
        <v>0</v>
      </c>
      <c r="DW128" s="617"/>
      <c r="DX128" s="618">
        <f t="shared" ref="DX128" si="99">(DX115+DX116+DX117-DX121-DX122-DX123-DX124)-DX127</f>
        <v>0</v>
      </c>
      <c r="DY128" s="617"/>
      <c r="DZ128" s="618">
        <f t="shared" ref="DZ128" si="100">(DZ115+DZ116+DZ117-DZ121-DZ122-DZ123-DZ124)-DZ127</f>
        <v>0</v>
      </c>
      <c r="EA128" s="617"/>
      <c r="EB128" s="618">
        <f t="shared" ref="EB128" si="101">(EB115+EB116+EB117-EB121-EB122-EB123-EB124)-EB127</f>
        <v>0</v>
      </c>
      <c r="EC128" s="617"/>
      <c r="ED128" s="618">
        <f t="shared" ref="ED128" si="102">(ED115+ED116+ED117-ED121-ED122-ED123-ED124)-ED127</f>
        <v>0</v>
      </c>
      <c r="EE128" s="617"/>
      <c r="EF128" s="618">
        <f t="shared" ref="EF128" si="103">(EF115+EF116+EF117-EF121-EF122-EF123-EF124)-EF127</f>
        <v>0</v>
      </c>
      <c r="EG128" s="617"/>
      <c r="EH128" s="617"/>
      <c r="EI128" s="615"/>
      <c r="EJ128" s="616"/>
      <c r="EK128" s="615"/>
      <c r="EL128" s="616"/>
      <c r="EM128" s="615"/>
      <c r="EN128" s="616"/>
      <c r="EO128" s="615"/>
      <c r="EP128" s="616"/>
      <c r="EQ128" s="615"/>
      <c r="ER128" s="617"/>
      <c r="ES128" s="615"/>
      <c r="ET128" s="617"/>
      <c r="EU128" s="615"/>
      <c r="EV128" s="617"/>
      <c r="EW128" s="615"/>
      <c r="EX128" s="617"/>
      <c r="EY128" s="615"/>
      <c r="EZ128" s="617"/>
      <c r="FA128" s="618">
        <f>(FA115+FA116+FA117-FA121-FA122-FA123-FA124)-FA127</f>
        <v>0</v>
      </c>
      <c r="FB128" s="617"/>
      <c r="FC128" s="618">
        <f>(FC115+FC116+FC117-FC121-FC122-FC123-FC124)-FC127</f>
        <v>0</v>
      </c>
      <c r="FD128" s="617"/>
      <c r="FE128" s="618">
        <f>(FE115+FE116+FE117-FE121-FE122-FE123-FE124)-FE127</f>
        <v>0</v>
      </c>
      <c r="FF128" s="617"/>
      <c r="FG128" s="618">
        <f>(FG115+FG116+FG117-FG121-FG122-FG123-FG124)-FG127</f>
        <v>0</v>
      </c>
      <c r="FH128" s="617"/>
      <c r="FI128" s="618">
        <f>(FI115+FI116+FI117-FI121-FI122-FI123-FI124)-FI127</f>
        <v>0</v>
      </c>
      <c r="FJ128" s="617"/>
      <c r="FK128" s="618">
        <f>(FK115+FK116+FK117-FK121-FK122-FK123-FK124)-FK127</f>
        <v>0</v>
      </c>
      <c r="FL128" s="617"/>
      <c r="FM128" s="618">
        <f>(FM115+FM116+FM117-FM121-FM122-FM123-FM124)-FM127</f>
        <v>0</v>
      </c>
      <c r="FN128" s="617"/>
      <c r="FO128" s="618">
        <f>(FO115+FO116+FO117-FO121-FO122-FO123-FO124)-FO127</f>
        <v>0</v>
      </c>
      <c r="FP128" s="617"/>
      <c r="FQ128" s="618">
        <f>(FQ115+FQ116+FQ117-FQ121-FQ122-FQ123-FQ124)-FQ127</f>
        <v>0</v>
      </c>
      <c r="FR128" s="617"/>
      <c r="FS128" s="618">
        <f>(FS115+FS116+FS117-FS121-FS122-FS123-FS124)-FS127</f>
        <v>0</v>
      </c>
      <c r="FT128" s="617"/>
      <c r="FU128" s="618">
        <f>(FU115+FU116+FU117-FU121-FU122-FU123-FU124)-FU127</f>
        <v>0</v>
      </c>
      <c r="FV128" s="617"/>
      <c r="FW128" s="618">
        <f>(FW115+FW116+FW117-FW121-FW122-FW123-FW124)-FW127</f>
        <v>0</v>
      </c>
      <c r="FX128" s="617"/>
      <c r="FY128" s="618">
        <f>(FY115+FY116+FY117-FY121-FY122-FY123-FY124)-FY127</f>
        <v>0</v>
      </c>
      <c r="FZ128" s="617"/>
      <c r="GA128" s="616"/>
    </row>
    <row r="129" spans="1:183" s="707" customFormat="1" ht="12.75" hidden="1" customHeight="1" outlineLevel="1" collapsed="1" x14ac:dyDescent="0.2">
      <c r="A129" s="679"/>
      <c r="B129" s="669"/>
      <c r="C129" s="671"/>
      <c r="D129" s="669"/>
      <c r="E129" s="671"/>
      <c r="F129" s="669"/>
      <c r="G129" s="671"/>
      <c r="H129" s="669"/>
      <c r="I129" s="671"/>
      <c r="J129" s="669"/>
      <c r="K129" s="671"/>
      <c r="L129" s="669"/>
      <c r="M129" s="671"/>
      <c r="N129" s="669"/>
      <c r="O129" s="671"/>
      <c r="P129" s="669"/>
      <c r="Q129" s="671"/>
      <c r="R129" s="669"/>
      <c r="S129" s="671"/>
      <c r="T129" s="669"/>
      <c r="U129" s="671"/>
      <c r="V129" s="669"/>
      <c r="W129" s="671"/>
      <c r="X129" s="669"/>
      <c r="Y129" s="671"/>
      <c r="Z129" s="669"/>
      <c r="AA129" s="671"/>
      <c r="AB129" s="669"/>
      <c r="AC129" s="671"/>
      <c r="AD129" s="669"/>
      <c r="AE129" s="671"/>
      <c r="AF129" s="669"/>
      <c r="AG129" s="671"/>
      <c r="AH129" s="669"/>
      <c r="AI129" s="671"/>
      <c r="AJ129" s="669"/>
      <c r="AK129" s="671"/>
      <c r="AL129" s="669"/>
      <c r="AM129" s="671"/>
      <c r="AN129" s="669"/>
      <c r="AO129" s="670"/>
      <c r="AP129" s="669"/>
      <c r="AQ129" s="670"/>
      <c r="AR129" s="669"/>
      <c r="AS129" s="670"/>
      <c r="AT129" s="669"/>
      <c r="AU129" s="670"/>
      <c r="AV129" s="669"/>
      <c r="AW129" s="670"/>
      <c r="AX129" s="669"/>
      <c r="AY129" s="670"/>
      <c r="AZ129" s="669"/>
      <c r="BA129" s="670"/>
      <c r="BB129" s="669"/>
      <c r="BC129" s="670"/>
      <c r="BD129" s="669"/>
      <c r="BE129" s="670"/>
      <c r="BF129" s="669"/>
      <c r="BG129" s="670"/>
      <c r="BH129" s="669"/>
      <c r="BI129" s="670"/>
      <c r="BJ129" s="669"/>
      <c r="BK129" s="670"/>
      <c r="BL129" s="669"/>
      <c r="BM129" s="670"/>
      <c r="BN129" s="669"/>
      <c r="BO129" s="670"/>
      <c r="BP129" s="669"/>
      <c r="BQ129" s="670"/>
      <c r="BR129" s="669"/>
      <c r="BS129" s="670"/>
      <c r="BT129" s="669"/>
      <c r="BU129" s="670"/>
      <c r="BV129" s="669"/>
      <c r="BW129" s="670"/>
      <c r="BX129" s="669"/>
      <c r="BY129" s="670"/>
      <c r="BZ129" s="669"/>
      <c r="CA129" s="670"/>
      <c r="CB129" s="669"/>
      <c r="CC129" s="670"/>
      <c r="CD129" s="669"/>
      <c r="CE129" s="670"/>
      <c r="CF129" s="669"/>
      <c r="CG129" s="670"/>
      <c r="CH129" s="669"/>
      <c r="CI129" s="670"/>
      <c r="CJ129" s="669"/>
      <c r="CK129" s="670"/>
      <c r="CL129" s="669"/>
      <c r="CM129" s="670"/>
      <c r="CN129" s="669"/>
      <c r="CO129" s="670"/>
      <c r="CP129" s="669"/>
      <c r="CQ129" s="670"/>
      <c r="CR129" s="669"/>
      <c r="CS129" s="670"/>
      <c r="CT129" s="669"/>
      <c r="CU129" s="670"/>
      <c r="CV129" s="669"/>
      <c r="CW129" s="670"/>
      <c r="CX129" s="669"/>
      <c r="CY129" s="670"/>
      <c r="CZ129" s="669"/>
      <c r="DA129" s="670"/>
      <c r="DB129" s="669"/>
      <c r="DC129" s="670"/>
      <c r="DD129" s="669"/>
      <c r="DE129" s="670"/>
      <c r="DF129" s="669"/>
      <c r="DG129" s="670"/>
      <c r="DH129" s="669"/>
      <c r="DI129" s="670"/>
      <c r="DJ129" s="669"/>
      <c r="DK129" s="670"/>
      <c r="DL129" s="669"/>
      <c r="DM129" s="670"/>
      <c r="DN129" s="669"/>
      <c r="DO129" s="670"/>
      <c r="DP129" s="669"/>
      <c r="DQ129" s="670"/>
      <c r="DR129" s="669"/>
      <c r="DS129" s="670"/>
      <c r="DT129" s="669"/>
      <c r="DU129" s="670"/>
      <c r="DV129" s="669"/>
      <c r="DW129" s="670"/>
      <c r="DX129" s="669"/>
      <c r="DY129" s="670"/>
      <c r="DZ129" s="669"/>
      <c r="EA129" s="670"/>
      <c r="EB129" s="669"/>
      <c r="EC129" s="670"/>
      <c r="ED129" s="669"/>
      <c r="EE129" s="670"/>
      <c r="EF129" s="669"/>
      <c r="EG129" s="670"/>
      <c r="EH129" s="670"/>
      <c r="EI129" s="669"/>
      <c r="EJ129" s="671"/>
      <c r="EK129" s="669"/>
      <c r="EL129" s="671"/>
      <c r="EM129" s="669"/>
      <c r="EN129" s="671"/>
      <c r="EO129" s="669"/>
      <c r="EP129" s="671"/>
      <c r="EQ129" s="669"/>
      <c r="ER129" s="670"/>
      <c r="ES129" s="669"/>
      <c r="ET129" s="670"/>
      <c r="EU129" s="669"/>
      <c r="EV129" s="670"/>
      <c r="EW129" s="669"/>
      <c r="EX129" s="670"/>
      <c r="EY129" s="669"/>
      <c r="EZ129" s="670"/>
      <c r="FA129" s="669"/>
      <c r="FB129" s="670"/>
      <c r="FC129" s="669"/>
      <c r="FD129" s="670"/>
      <c r="FE129" s="669"/>
      <c r="FF129" s="670"/>
      <c r="FG129" s="669"/>
      <c r="FH129" s="670"/>
      <c r="FI129" s="669"/>
      <c r="FJ129" s="670"/>
      <c r="FK129" s="669"/>
      <c r="FL129" s="670"/>
      <c r="FM129" s="669"/>
      <c r="FN129" s="670"/>
      <c r="FO129" s="669"/>
      <c r="FP129" s="670"/>
      <c r="FQ129" s="669"/>
      <c r="FR129" s="670"/>
      <c r="FS129" s="669"/>
      <c r="FT129" s="670"/>
      <c r="FU129" s="669"/>
      <c r="FV129" s="670"/>
      <c r="FW129" s="669"/>
      <c r="FX129" s="670"/>
      <c r="FY129" s="669"/>
      <c r="FZ129" s="670"/>
      <c r="GA129" s="671"/>
    </row>
    <row r="130" spans="1:183" s="707" customFormat="1" ht="12.75" hidden="1" customHeight="1" outlineLevel="1" x14ac:dyDescent="0.2">
      <c r="A130" s="677" t="s">
        <v>260</v>
      </c>
      <c r="B130" s="688"/>
      <c r="C130" s="681"/>
      <c r="D130" s="688"/>
      <c r="E130" s="681"/>
      <c r="F130" s="688"/>
      <c r="G130" s="681"/>
      <c r="H130" s="688"/>
      <c r="I130" s="681"/>
      <c r="J130" s="688"/>
      <c r="K130" s="681"/>
      <c r="L130" s="688"/>
      <c r="M130" s="681"/>
      <c r="N130" s="688"/>
      <c r="O130" s="681"/>
      <c r="P130" s="688"/>
      <c r="Q130" s="681"/>
      <c r="R130" s="688">
        <f>INPUT!AC447</f>
        <v>0.64110622250155991</v>
      </c>
      <c r="S130" s="681" t="str">
        <f>INPUT!AD447</f>
        <v>NA</v>
      </c>
      <c r="T130" s="688">
        <f>INPUT!AE447</f>
        <v>9.5669687814703384</v>
      </c>
      <c r="U130" s="681" t="str">
        <f>INPUT!AF447</f>
        <v>NA</v>
      </c>
      <c r="V130" s="688">
        <f>INPUT!AG447</f>
        <v>8.7010889386755821</v>
      </c>
      <c r="W130" s="681" t="str">
        <f>INPUT!AH447</f>
        <v>NA</v>
      </c>
      <c r="X130" s="688">
        <f>INPUT!AI447</f>
        <v>-76.136461287273377</v>
      </c>
      <c r="Y130" s="681" t="str">
        <f>INPUT!AJ447</f>
        <v>NA</v>
      </c>
      <c r="Z130" s="688">
        <f>INPUT!AK447</f>
        <v>1.8939393939395734</v>
      </c>
      <c r="AA130" s="681" t="str">
        <f>INPUT!AL447</f>
        <v>NM</v>
      </c>
      <c r="AB130" s="688">
        <f>INPUT!AM447</f>
        <v>10.034947578631963</v>
      </c>
      <c r="AC130" s="681">
        <f>INPUT!AN447</f>
        <v>4.8916099534893842</v>
      </c>
      <c r="AD130" s="688">
        <f>INPUT!AO447</f>
        <v>14.92822966507174</v>
      </c>
      <c r="AE130" s="681">
        <f>INPUT!AP447</f>
        <v>71.567372432168355</v>
      </c>
      <c r="AF130" s="688">
        <f>INPUT!AQ447</f>
        <v>7.2610784837159175</v>
      </c>
      <c r="AG130" s="681" t="str">
        <f>INPUT!AR447</f>
        <v>NM</v>
      </c>
      <c r="AH130" s="688">
        <f>INPUT!AS447</f>
        <v>0.59494298463054984</v>
      </c>
      <c r="AI130" s="681" t="str">
        <f>INPUT!AT447</f>
        <v>NM</v>
      </c>
      <c r="AJ130" s="688">
        <f>INPUT!AU447</f>
        <v>4.8036951501154164</v>
      </c>
      <c r="AK130" s="681" t="str">
        <f>INPUT!AV447</f>
        <v>NM</v>
      </c>
      <c r="AL130" s="688">
        <f>INPUT!AW447</f>
        <v>6.7075664621677227</v>
      </c>
      <c r="AM130" s="681" t="str">
        <f>INPUT!AX447</f>
        <v>NM</v>
      </c>
      <c r="AN130" s="688">
        <f>INPUT!AY447</f>
        <v>8.7169811320754764</v>
      </c>
      <c r="AO130" s="670">
        <f>INPUT!AZ447</f>
        <v>20.050776914540226</v>
      </c>
      <c r="AP130" s="688">
        <f>INPUT!BA447</f>
        <v>11.267071320182112</v>
      </c>
      <c r="AQ130" s="670" t="str">
        <f>INPUT!BB447</f>
        <v>NM</v>
      </c>
      <c r="AR130" s="688">
        <f>INPUT!BC447</f>
        <v>18.838475499092549</v>
      </c>
      <c r="AS130" s="670" t="str">
        <f>INPUT!BD447</f>
        <v>NM</v>
      </c>
      <c r="AT130" s="688">
        <f>INPUT!BE447</f>
        <v>15.846153846153818</v>
      </c>
      <c r="AU130" s="670" t="str">
        <f>INPUT!BF447</f>
        <v>NM</v>
      </c>
      <c r="AV130" s="688">
        <f>INPUT!BG447</f>
        <v>17.014341590612787</v>
      </c>
      <c r="AW130" s="670">
        <f>INPUT!BH447</f>
        <v>95.186169762440969</v>
      </c>
      <c r="AX130" s="688">
        <f>INPUT!BI447</f>
        <v>12.803320561941259</v>
      </c>
      <c r="AY130" s="670">
        <f>INPUT!BJ447</f>
        <v>13.634858590158604</v>
      </c>
      <c r="AZ130" s="688">
        <f>INPUT!BK447</f>
        <v>14.960398943971818</v>
      </c>
      <c r="BA130" s="670">
        <f>INPUT!BL447</f>
        <v>-20.585936241536839</v>
      </c>
      <c r="BB130" s="688">
        <f>INPUT!BM447</f>
        <v>16.769041769041749</v>
      </c>
      <c r="BC130" s="670">
        <f>INPUT!BN447</f>
        <v>5.8240499988073458</v>
      </c>
      <c r="BD130" s="688">
        <f>INPUT!BO447</f>
        <v>19.245647969052264</v>
      </c>
      <c r="BE130" s="670">
        <f>INPUT!BP447</f>
        <v>13.114268139946962</v>
      </c>
      <c r="BF130" s="688">
        <f>INPUT!BQ447</f>
        <v>18.30583756345176</v>
      </c>
      <c r="BG130" s="670">
        <f>INPUT!BR447</f>
        <v>42.977264959428616</v>
      </c>
      <c r="BH130" s="688">
        <f>INPUT!BS447</f>
        <v>21.086755171349196</v>
      </c>
      <c r="BI130" s="670">
        <f>INPUT!BT447</f>
        <v>40.950487017901004</v>
      </c>
      <c r="BJ130" s="688">
        <f>INPUT!BU447</f>
        <v>23.459493274945274</v>
      </c>
      <c r="BK130" s="670">
        <f>INPUT!BV447</f>
        <v>39.897637551688469</v>
      </c>
      <c r="BL130" s="688">
        <f>INPUT!BW447</f>
        <v>22.560596643878171</v>
      </c>
      <c r="BM130" s="670">
        <f>INPUT!BX447</f>
        <v>17.224406682261218</v>
      </c>
      <c r="BN130" s="688">
        <f>INPUT!BY447</f>
        <v>22.287562481623038</v>
      </c>
      <c r="BO130" s="670">
        <f>INPUT!BZ447</f>
        <v>21.751121216769278</v>
      </c>
      <c r="BP130" s="688">
        <f>INPUT!CA447</f>
        <v>24.650756693830051</v>
      </c>
      <c r="BQ130" s="670">
        <f>INPUT!CB447</f>
        <v>16.901611905293535</v>
      </c>
      <c r="BR130" s="688">
        <f>INPUT!CC447</f>
        <v>23.759079903147693</v>
      </c>
      <c r="BS130" s="670">
        <f>INPUT!CD447</f>
        <v>1.2770379338175042</v>
      </c>
      <c r="BT130" s="688">
        <f>INPUT!CE447</f>
        <v>24.936224489795908</v>
      </c>
      <c r="BU130" s="670">
        <f>INPUT!CF447</f>
        <v>10.529986788103706</v>
      </c>
      <c r="BV130" s="688">
        <f>INPUT!CG447</f>
        <v>23.048094940662118</v>
      </c>
      <c r="BW130" s="670">
        <f>INPUT!CH447</f>
        <v>3.4123626559260156</v>
      </c>
      <c r="BX130" s="688">
        <f>INPUT!CI447</f>
        <v>22.739092747760733</v>
      </c>
      <c r="BY130" s="670">
        <f>INPUT!CJ447</f>
        <v>-7.754990931161954</v>
      </c>
      <c r="BZ130" s="688">
        <f>INPUT!CK447</f>
        <v>22.676232064878366</v>
      </c>
      <c r="CA130" s="670">
        <f>INPUT!CL447</f>
        <v>-4.5576168887157431</v>
      </c>
      <c r="CB130" s="688">
        <f>INPUT!CM447</f>
        <v>-12.499999999999996</v>
      </c>
      <c r="CC130" s="670" t="str">
        <f>INPUT!CN447</f>
        <v>NM</v>
      </c>
      <c r="CD130" s="688">
        <f>INPUT!CO447</f>
        <v>24.159120310478674</v>
      </c>
      <c r="CE130" s="670">
        <f>INPUT!CP447</f>
        <v>4.8204650869276611</v>
      </c>
      <c r="CF130" s="688">
        <f>INPUT!CQ447</f>
        <v>22.702354079329247</v>
      </c>
      <c r="CG130" s="670">
        <f>INPUT!CR447</f>
        <v>-0.1615661136485036</v>
      </c>
      <c r="CH130" s="688">
        <f>INPUT!CS447</f>
        <v>23.978113936272933</v>
      </c>
      <c r="CI130" s="670">
        <f>INPUT!CT447</f>
        <v>5.7411736997124985</v>
      </c>
      <c r="CJ130" s="688">
        <f>INPUT!CU447</f>
        <v>23.732644494672268</v>
      </c>
      <c r="CK130" s="670" t="str">
        <f>INPUT!CV447</f>
        <v>NM</v>
      </c>
      <c r="CL130" s="688">
        <f>INPUT!CW447</f>
        <v>23.461538461538431</v>
      </c>
      <c r="CM130" s="670">
        <f>INPUT!CX447</f>
        <v>-2.8874472247968241</v>
      </c>
      <c r="CN130" s="688">
        <f>INPUT!CY447</f>
        <v>22.864401397268981</v>
      </c>
      <c r="CO130" s="670">
        <f>INPUT!CZ447</f>
        <v>0.71379081382261234</v>
      </c>
      <c r="CP130" s="688">
        <f>INPUT!DA447</f>
        <v>24.620733249051824</v>
      </c>
      <c r="CQ130" s="670">
        <f>INPUT!DB447</f>
        <v>2.6800244359785452</v>
      </c>
      <c r="CR130" s="688">
        <f>INPUT!DC447</f>
        <v>22.655217965653907</v>
      </c>
      <c r="CS130" s="670">
        <f>INPUT!DD447</f>
        <v>-4.5398502862174954</v>
      </c>
      <c r="CT130" s="688">
        <f>INPUT!DE447</f>
        <v>20.806401969836859</v>
      </c>
      <c r="CU130" s="670">
        <f>INPUT!DF447</f>
        <v>-11.316975210531311</v>
      </c>
      <c r="CV130" s="688">
        <f>INPUT!DG447</f>
        <v>22.348601291115873</v>
      </c>
      <c r="CW130" s="670">
        <f>INPUT!DH447</f>
        <v>-2.255909075383522</v>
      </c>
      <c r="CX130" s="688">
        <f>INPUT!DI447</f>
        <v>21.626733921815894</v>
      </c>
      <c r="CY130" s="670">
        <f>INPUT!DJ447</f>
        <v>-12.160479937579572</v>
      </c>
      <c r="CZ130" s="688">
        <f>INPUT!DK447</f>
        <v>-17.672298203271648</v>
      </c>
      <c r="DA130" s="670" t="str">
        <f>INPUT!DL447</f>
        <v>NM</v>
      </c>
      <c r="DB130" s="688">
        <f>INPUT!DM447</f>
        <v>23.342758404021382</v>
      </c>
      <c r="DC130" s="670">
        <f>INPUT!DN447</f>
        <v>12.190269311635383</v>
      </c>
      <c r="DD130" s="688">
        <f>INPUT!DO447</f>
        <v>19.184952978056444</v>
      </c>
      <c r="DE130" s="670">
        <f>INPUT!DP447</f>
        <v>-14.155911915243923</v>
      </c>
      <c r="DF130" s="688">
        <f>INPUT!DQ447</f>
        <v>21.751152073732722</v>
      </c>
      <c r="DG130" s="670">
        <f>INPUT!DR447</f>
        <v>0.57529792693904458</v>
      </c>
      <c r="DH130" s="688">
        <f>INPUT!DS447</f>
        <v>20.701534606952723</v>
      </c>
      <c r="DI130" s="670" t="str">
        <f>INPUT!DT447</f>
        <v>NM</v>
      </c>
      <c r="DJ130" s="688">
        <f>INPUT!DU447</f>
        <v>21.681552202032616</v>
      </c>
      <c r="DK130" s="670">
        <f>INPUT!DV447</f>
        <v>-7.1165805396100072</v>
      </c>
      <c r="DL130" s="688">
        <f>INPUT!DW447</f>
        <v>22.215586742311135</v>
      </c>
      <c r="DM130" s="670">
        <f>INPUT!DX447</f>
        <v>15.796930895379834</v>
      </c>
      <c r="DN130" s="688">
        <f>INPUT!DY447</f>
        <v>26.596075988788552</v>
      </c>
      <c r="DO130" s="670">
        <f>INPUT!DZ447</f>
        <v>22.274332406082941</v>
      </c>
      <c r="DP130" s="688">
        <f>INPUT!EA447</f>
        <v>26.108518086347694</v>
      </c>
      <c r="DQ130" s="670">
        <f>INPUT!EB447</f>
        <v>26.118756807425303</v>
      </c>
      <c r="DR130" s="688">
        <f>INPUT!EC447</f>
        <v>26.09591056192998</v>
      </c>
      <c r="DS130" s="670">
        <f>INPUT!ED447</f>
        <v>20.3599738559471</v>
      </c>
      <c r="DT130" s="688">
        <f>INPUT!EE447</f>
        <v>26.138613861386155</v>
      </c>
      <c r="DU130" s="670">
        <f>INPUT!EF447</f>
        <v>17.658894921750324</v>
      </c>
      <c r="DV130" s="688">
        <f>INPUT!EG447</f>
        <v>25.252525252525228</v>
      </c>
      <c r="DW130" s="670">
        <f>INPUT!EH447</f>
        <v>-5.0516878385732262</v>
      </c>
      <c r="DX130" s="688">
        <f>INPUT!EI447</f>
        <v>23.250201126307317</v>
      </c>
      <c r="DY130" s="670">
        <f>INPUT!EJ447</f>
        <v>-10.94783300448986</v>
      </c>
      <c r="DZ130" s="688">
        <f>INPUT!EK447</f>
        <v>25.644923888184877</v>
      </c>
      <c r="EA130" s="670">
        <f>INPUT!EL447</f>
        <v>-1.7281890688383372</v>
      </c>
      <c r="EB130" s="688">
        <f>INPUT!EM447</f>
        <v>25.699793357464038</v>
      </c>
      <c r="EC130" s="670">
        <f>INPUT!EN447</f>
        <v>-1.6788208672777971</v>
      </c>
      <c r="ED130" s="688">
        <f>INPUT!EO447</f>
        <v>25.771403145945165</v>
      </c>
      <c r="EE130" s="670">
        <f>INPUT!EP447</f>
        <v>2.0547564579429523</v>
      </c>
      <c r="EF130" s="688">
        <f>INPUT!EQ447</f>
        <v>26.138393866613619</v>
      </c>
      <c r="EG130" s="670">
        <f>INPUT!ER447</f>
        <v>12.422226907268975</v>
      </c>
      <c r="EH130" s="670"/>
      <c r="EI130" s="688">
        <f>INPUT!FB447</f>
        <v>0</v>
      </c>
      <c r="EJ130" s="681" t="str">
        <f>INPUT!FC447</f>
        <v>NA</v>
      </c>
      <c r="EK130" s="688">
        <f>INPUT!FD447</f>
        <v>27.418897190958173</v>
      </c>
      <c r="EL130" s="681" t="str">
        <f>INPUT!FE447</f>
        <v>NA</v>
      </c>
      <c r="EM130" s="688">
        <f>INPUT!FF447</f>
        <v>1281.2960235640764</v>
      </c>
      <c r="EN130" s="681" t="str">
        <f>INPUT!FG447</f>
        <v>NM</v>
      </c>
      <c r="EO130" s="688">
        <f>INPUT!FH447</f>
        <v>42.962962962962905</v>
      </c>
      <c r="EP130" s="681" t="str">
        <f>INPUT!FI447</f>
        <v>NM</v>
      </c>
      <c r="EQ130" s="688">
        <f>INPUT!FJ447</f>
        <v>8.7535193242897957</v>
      </c>
      <c r="ER130" s="670" t="str">
        <f>INPUT!FK447</f>
        <v>NM</v>
      </c>
      <c r="ES130" s="688">
        <f>INPUT!FL447</f>
        <v>5.5082462002802517</v>
      </c>
      <c r="ET130" s="670">
        <f>INPUT!FM447</f>
        <v>-37.073924255863169</v>
      </c>
      <c r="EU130" s="688">
        <f>INPUT!FN447</f>
        <v>15.825433427278176</v>
      </c>
      <c r="EV130" s="670" t="str">
        <f>INPUT!FO447</f>
        <v>NM</v>
      </c>
      <c r="EW130" s="688">
        <f>INPUT!FP447</f>
        <v>15.923715016667966</v>
      </c>
      <c r="EX130" s="670">
        <f>INPUT!FQ447</f>
        <v>0.62103568816247456</v>
      </c>
      <c r="EY130" s="688">
        <f>INPUT!FR447</f>
        <v>21.152238352207949</v>
      </c>
      <c r="EZ130" s="670">
        <f>INPUT!FS447</f>
        <v>32.834821083315589</v>
      </c>
      <c r="FA130" s="688">
        <f>INPUT!FT447</f>
        <v>23.890939218196849</v>
      </c>
      <c r="FB130" s="670">
        <f>INPUT!FU447</f>
        <v>12.947569994184672</v>
      </c>
      <c r="FC130" s="688">
        <f>INPUT!FV447</f>
        <v>81.680626857606143</v>
      </c>
      <c r="FD130" s="670" t="str">
        <f>INPUT!FW447</f>
        <v>NM</v>
      </c>
      <c r="FE130" s="688">
        <f>INPUT!FX447</f>
        <v>23.236184105749324</v>
      </c>
      <c r="FF130" s="670" t="str">
        <f>INPUT!FY447</f>
        <v>NM</v>
      </c>
      <c r="FG130" s="688">
        <f>INPUT!FZ447</f>
        <v>23.409036192921903</v>
      </c>
      <c r="FH130" s="670">
        <f>INPUT!GA447</f>
        <v>0.74389188167005571</v>
      </c>
      <c r="FI130" s="688">
        <f>INPUT!GB447</f>
        <v>46.22371740958792</v>
      </c>
      <c r="FJ130" s="670">
        <f>INPUT!GC447</f>
        <v>97.461001933793412</v>
      </c>
      <c r="FK130" s="688">
        <f>INPUT!GD447</f>
        <v>21.246392637079804</v>
      </c>
      <c r="FL130" s="670" t="str">
        <f>INPUT!GE447</f>
        <v>NM</v>
      </c>
      <c r="FM130" s="688">
        <f>INPUT!GF447</f>
        <v>24.155647903286738</v>
      </c>
      <c r="FN130" s="670">
        <f>INPUT!GG447</f>
        <v>13.692937506622282</v>
      </c>
      <c r="FO130" s="688">
        <f>INPUT!GH447</f>
        <v>25.149363885569681</v>
      </c>
      <c r="FP130" s="670">
        <f>INPUT!GI447</f>
        <v>4.1138038866170623</v>
      </c>
      <c r="FQ130" s="688">
        <f>INPUT!GJ447</f>
        <v>25.814715024825109</v>
      </c>
      <c r="FR130" s="670">
        <f>INPUT!GK447</f>
        <v>2.6455982834508118</v>
      </c>
      <c r="FS130" s="688">
        <f>INPUT!GL447</f>
        <v>25.839900540125999</v>
      </c>
      <c r="FT130" s="670">
        <f>INPUT!GM447</f>
        <v>9.7562631532710498E-2</v>
      </c>
      <c r="FU130" s="688">
        <f>INPUT!GN447</f>
        <v>25.775136183090673</v>
      </c>
      <c r="FV130" s="670">
        <f>INPUT!GO447</f>
        <v>-0.25063702135678101</v>
      </c>
      <c r="FW130" s="688">
        <f>INPUT!GP447</f>
        <v>25.652527467623916</v>
      </c>
      <c r="FX130" s="670">
        <f>INPUT!GQ447</f>
        <v>-0.47568600451155518</v>
      </c>
      <c r="FY130" s="688">
        <f>INPUT!GR447</f>
        <v>25.659540725698204</v>
      </c>
      <c r="FZ130" s="670">
        <f>INPUT!GS447</f>
        <v>2.7339442802043479E-2</v>
      </c>
      <c r="GA130" s="681">
        <f>INPUT!GT447</f>
        <v>0.40246486674442306</v>
      </c>
    </row>
    <row r="131" spans="1:183" s="707" customFormat="1" ht="12.75" hidden="1" customHeight="1" outlineLevel="1" x14ac:dyDescent="0.2">
      <c r="A131" s="679"/>
      <c r="B131" s="688"/>
      <c r="C131" s="681"/>
      <c r="D131" s="688"/>
      <c r="E131" s="681"/>
      <c r="F131" s="688"/>
      <c r="G131" s="681"/>
      <c r="H131" s="688"/>
      <c r="I131" s="681"/>
      <c r="J131" s="688"/>
      <c r="K131" s="681"/>
      <c r="L131" s="688"/>
      <c r="M131" s="681"/>
      <c r="N131" s="688"/>
      <c r="O131" s="681"/>
      <c r="P131" s="688"/>
      <c r="Q131" s="681"/>
      <c r="R131" s="688"/>
      <c r="S131" s="681"/>
      <c r="T131" s="688"/>
      <c r="U131" s="681"/>
      <c r="V131" s="688"/>
      <c r="W131" s="681"/>
      <c r="X131" s="688"/>
      <c r="Y131" s="681"/>
      <c r="Z131" s="688"/>
      <c r="AA131" s="681"/>
      <c r="AB131" s="688"/>
      <c r="AC131" s="681"/>
      <c r="AD131" s="688"/>
      <c r="AE131" s="681"/>
      <c r="AF131" s="688"/>
      <c r="AG131" s="681"/>
      <c r="AH131" s="688"/>
      <c r="AI131" s="681"/>
      <c r="AJ131" s="688"/>
      <c r="AK131" s="681"/>
      <c r="AL131" s="688"/>
      <c r="AM131" s="681"/>
      <c r="AN131" s="688"/>
      <c r="AO131" s="670"/>
      <c r="AP131" s="688"/>
      <c r="AQ131" s="670"/>
      <c r="AR131" s="688"/>
      <c r="AS131" s="670"/>
      <c r="AT131" s="688"/>
      <c r="AU131" s="670"/>
      <c r="AV131" s="688"/>
      <c r="AW131" s="670"/>
      <c r="AX131" s="688"/>
      <c r="AY131" s="670"/>
      <c r="AZ131" s="688"/>
      <c r="BA131" s="670"/>
      <c r="BB131" s="688"/>
      <c r="BC131" s="670"/>
      <c r="BD131" s="688"/>
      <c r="BE131" s="670"/>
      <c r="BF131" s="688"/>
      <c r="BG131" s="670"/>
      <c r="BH131" s="688"/>
      <c r="BI131" s="670"/>
      <c r="BJ131" s="688"/>
      <c r="BK131" s="670"/>
      <c r="BL131" s="688"/>
      <c r="BM131" s="670"/>
      <c r="BN131" s="688"/>
      <c r="BO131" s="670"/>
      <c r="BP131" s="688"/>
      <c r="BQ131" s="670"/>
      <c r="BR131" s="688"/>
      <c r="BS131" s="670"/>
      <c r="BT131" s="688"/>
      <c r="BU131" s="670"/>
      <c r="BV131" s="688"/>
      <c r="BW131" s="670"/>
      <c r="BX131" s="688"/>
      <c r="BY131" s="670"/>
      <c r="BZ131" s="688"/>
      <c r="CA131" s="670"/>
      <c r="CB131" s="688"/>
      <c r="CC131" s="670"/>
      <c r="CD131" s="688"/>
      <c r="CE131" s="670"/>
      <c r="CF131" s="688"/>
      <c r="CG131" s="670"/>
      <c r="CH131" s="688"/>
      <c r="CI131" s="670"/>
      <c r="CJ131" s="688"/>
      <c r="CK131" s="670"/>
      <c r="CL131" s="688"/>
      <c r="CM131" s="670"/>
      <c r="CN131" s="688"/>
      <c r="CO131" s="670"/>
      <c r="CP131" s="688"/>
      <c r="CQ131" s="670"/>
      <c r="CR131" s="688"/>
      <c r="CS131" s="670"/>
      <c r="CT131" s="688"/>
      <c r="CU131" s="670"/>
      <c r="CV131" s="688"/>
      <c r="CW131" s="670"/>
      <c r="CX131" s="688"/>
      <c r="CY131" s="670"/>
      <c r="CZ131" s="688"/>
      <c r="DA131" s="670"/>
      <c r="DB131" s="688"/>
      <c r="DC131" s="670"/>
      <c r="DD131" s="688"/>
      <c r="DE131" s="670"/>
      <c r="DF131" s="688"/>
      <c r="DG131" s="670"/>
      <c r="DH131" s="688"/>
      <c r="DI131" s="670"/>
      <c r="DJ131" s="688"/>
      <c r="DK131" s="670"/>
      <c r="DL131" s="688"/>
      <c r="DM131" s="670"/>
      <c r="DN131" s="688"/>
      <c r="DO131" s="670"/>
      <c r="DP131" s="688"/>
      <c r="DQ131" s="670"/>
      <c r="DR131" s="688"/>
      <c r="DS131" s="670"/>
      <c r="DT131" s="688"/>
      <c r="DU131" s="670"/>
      <c r="DV131" s="688"/>
      <c r="DW131" s="670"/>
      <c r="DX131" s="688"/>
      <c r="DY131" s="670"/>
      <c r="DZ131" s="688"/>
      <c r="EA131" s="670"/>
      <c r="EB131" s="688"/>
      <c r="EC131" s="670"/>
      <c r="ED131" s="688"/>
      <c r="EE131" s="670"/>
      <c r="EF131" s="688"/>
      <c r="EG131" s="670"/>
      <c r="EH131" s="670"/>
      <c r="EI131" s="688"/>
      <c r="EJ131" s="681"/>
      <c r="EK131" s="688"/>
      <c r="EL131" s="681"/>
      <c r="EM131" s="688"/>
      <c r="EN131" s="681"/>
      <c r="EO131" s="688"/>
      <c r="EP131" s="681"/>
      <c r="EQ131" s="688"/>
      <c r="ER131" s="670"/>
      <c r="ES131" s="688"/>
      <c r="ET131" s="670"/>
      <c r="EU131" s="688"/>
      <c r="EV131" s="670"/>
      <c r="EW131" s="688"/>
      <c r="EX131" s="670"/>
      <c r="EY131" s="688"/>
      <c r="EZ131" s="670"/>
      <c r="FA131" s="688"/>
      <c r="FB131" s="670"/>
      <c r="FC131" s="688"/>
      <c r="FD131" s="670"/>
      <c r="FE131" s="688"/>
      <c r="FF131" s="670"/>
      <c r="FG131" s="688"/>
      <c r="FH131" s="670"/>
      <c r="FI131" s="688"/>
      <c r="FJ131" s="670"/>
      <c r="FK131" s="688"/>
      <c r="FL131" s="670"/>
      <c r="FM131" s="688"/>
      <c r="FN131" s="670"/>
      <c r="FO131" s="688"/>
      <c r="FP131" s="670"/>
      <c r="FQ131" s="688"/>
      <c r="FR131" s="670"/>
      <c r="FS131" s="688"/>
      <c r="FT131" s="670"/>
      <c r="FU131" s="688"/>
      <c r="FV131" s="670"/>
      <c r="FW131" s="688"/>
      <c r="FX131" s="670"/>
      <c r="FY131" s="688"/>
      <c r="FZ131" s="670"/>
      <c r="GA131" s="681"/>
    </row>
    <row r="132" spans="1:183" s="707" customFormat="1" ht="12.75" hidden="1" customHeight="1" outlineLevel="1" x14ac:dyDescent="0.2">
      <c r="A132" s="677" t="s">
        <v>450</v>
      </c>
      <c r="B132" s="688"/>
      <c r="C132" s="671"/>
      <c r="D132" s="688"/>
      <c r="E132" s="681"/>
      <c r="F132" s="688"/>
      <c r="G132" s="681"/>
      <c r="H132" s="688"/>
      <c r="I132" s="681"/>
      <c r="J132" s="688"/>
      <c r="K132" s="681"/>
      <c r="L132" s="688"/>
      <c r="M132" s="681"/>
      <c r="N132" s="688"/>
      <c r="O132" s="681"/>
      <c r="P132" s="688"/>
      <c r="Q132" s="681"/>
      <c r="R132" s="688"/>
      <c r="S132" s="681"/>
      <c r="T132" s="688"/>
      <c r="U132" s="681"/>
      <c r="V132" s="688"/>
      <c r="W132" s="681"/>
      <c r="X132" s="688"/>
      <c r="Y132" s="681"/>
      <c r="Z132" s="688"/>
      <c r="AA132" s="681"/>
      <c r="AB132" s="688"/>
      <c r="AC132" s="681"/>
      <c r="AD132" s="688"/>
      <c r="AE132" s="681"/>
      <c r="AF132" s="688"/>
      <c r="AG132" s="681"/>
      <c r="AH132" s="688"/>
      <c r="AI132" s="681"/>
      <c r="AJ132" s="688"/>
      <c r="AK132" s="681"/>
      <c r="AL132" s="688"/>
      <c r="AM132" s="681"/>
      <c r="AN132" s="688"/>
      <c r="AO132" s="670"/>
      <c r="AP132" s="688"/>
      <c r="AQ132" s="670"/>
      <c r="AR132" s="688"/>
      <c r="AS132" s="670"/>
      <c r="AT132" s="688"/>
      <c r="AU132" s="670"/>
      <c r="AV132" s="688"/>
      <c r="AW132" s="670"/>
      <c r="AX132" s="688"/>
      <c r="AY132" s="670"/>
      <c r="AZ132" s="688"/>
      <c r="BA132" s="670"/>
      <c r="BB132" s="688"/>
      <c r="BC132" s="670"/>
      <c r="BD132" s="688"/>
      <c r="BE132" s="670"/>
      <c r="BF132" s="688"/>
      <c r="BG132" s="670"/>
      <c r="BH132" s="688"/>
      <c r="BI132" s="670"/>
      <c r="BJ132" s="688"/>
      <c r="BK132" s="670"/>
      <c r="BL132" s="688"/>
      <c r="BM132" s="670"/>
      <c r="BN132" s="688"/>
      <c r="BO132" s="670"/>
      <c r="BP132" s="688"/>
      <c r="BQ132" s="670"/>
      <c r="BR132" s="688"/>
      <c r="BS132" s="670"/>
      <c r="BT132" s="688"/>
      <c r="BU132" s="670"/>
      <c r="BV132" s="688"/>
      <c r="BW132" s="670"/>
      <c r="BX132" s="688"/>
      <c r="BY132" s="670"/>
      <c r="BZ132" s="688"/>
      <c r="CA132" s="670"/>
      <c r="CB132" s="688"/>
      <c r="CC132" s="670"/>
      <c r="CD132" s="688"/>
      <c r="CE132" s="670"/>
      <c r="CF132" s="688"/>
      <c r="CG132" s="670"/>
      <c r="CH132" s="688"/>
      <c r="CI132" s="670"/>
      <c r="CJ132" s="688"/>
      <c r="CK132" s="670"/>
      <c r="CL132" s="688"/>
      <c r="CM132" s="670"/>
      <c r="CN132" s="688"/>
      <c r="CO132" s="670"/>
      <c r="CP132" s="688"/>
      <c r="CQ132" s="670"/>
      <c r="CR132" s="688"/>
      <c r="CS132" s="670"/>
      <c r="CT132" s="688"/>
      <c r="CU132" s="670"/>
      <c r="CV132" s="688"/>
      <c r="CW132" s="670"/>
      <c r="CX132" s="688"/>
      <c r="CY132" s="670"/>
      <c r="CZ132" s="688"/>
      <c r="DA132" s="670"/>
      <c r="DB132" s="688"/>
      <c r="DC132" s="670"/>
      <c r="DD132" s="688"/>
      <c r="DE132" s="670"/>
      <c r="DF132" s="688"/>
      <c r="DG132" s="670"/>
      <c r="DH132" s="688"/>
      <c r="DI132" s="670"/>
      <c r="DJ132" s="688"/>
      <c r="DK132" s="670"/>
      <c r="DL132" s="688"/>
      <c r="DM132" s="670"/>
      <c r="DN132" s="688"/>
      <c r="DO132" s="670"/>
      <c r="DP132" s="688"/>
      <c r="DQ132" s="670"/>
      <c r="DR132" s="688"/>
      <c r="DS132" s="670"/>
      <c r="DT132" s="688"/>
      <c r="DU132" s="670"/>
      <c r="DV132" s="688"/>
      <c r="DW132" s="670"/>
      <c r="DX132" s="688"/>
      <c r="DY132" s="670"/>
      <c r="DZ132" s="688"/>
      <c r="EA132" s="670"/>
      <c r="EB132" s="688"/>
      <c r="EC132" s="670"/>
      <c r="ED132" s="688"/>
      <c r="EE132" s="670"/>
      <c r="EF132" s="688"/>
      <c r="EG132" s="670"/>
      <c r="EH132" s="670"/>
      <c r="EI132" s="688"/>
      <c r="EJ132" s="681"/>
      <c r="EK132" s="688"/>
      <c r="EL132" s="681"/>
      <c r="EM132" s="688"/>
      <c r="EN132" s="681"/>
      <c r="EO132" s="688"/>
      <c r="EP132" s="681"/>
      <c r="EQ132" s="688"/>
      <c r="ER132" s="670"/>
      <c r="ES132" s="688"/>
      <c r="ET132" s="670"/>
      <c r="EU132" s="688"/>
      <c r="EV132" s="670"/>
      <c r="EW132" s="688"/>
      <c r="EX132" s="670"/>
      <c r="EY132" s="688"/>
      <c r="EZ132" s="670"/>
      <c r="FA132" s="688"/>
      <c r="FB132" s="670"/>
      <c r="FC132" s="688"/>
      <c r="FD132" s="670"/>
      <c r="FE132" s="688"/>
      <c r="FF132" s="670"/>
      <c r="FG132" s="688"/>
      <c r="FH132" s="670"/>
      <c r="FI132" s="688"/>
      <c r="FJ132" s="670"/>
      <c r="FK132" s="688"/>
      <c r="FL132" s="670"/>
      <c r="FM132" s="688"/>
      <c r="FN132" s="670"/>
      <c r="FO132" s="688"/>
      <c r="FP132" s="670"/>
      <c r="FQ132" s="688"/>
      <c r="FR132" s="670"/>
      <c r="FS132" s="688"/>
      <c r="FT132" s="670"/>
      <c r="FU132" s="688"/>
      <c r="FV132" s="670"/>
      <c r="FW132" s="688"/>
      <c r="FX132" s="670"/>
      <c r="FY132" s="688"/>
      <c r="FZ132" s="670"/>
      <c r="GA132" s="681"/>
    </row>
    <row r="133" spans="1:183" s="707" customFormat="1" ht="12.75" hidden="1" customHeight="1" outlineLevel="1" x14ac:dyDescent="0.2">
      <c r="A133" s="679" t="str">
        <f>INPUT!B56</f>
        <v>Pretax Earnings/Revenues (%)</v>
      </c>
      <c r="B133" s="688"/>
      <c r="C133" s="671"/>
      <c r="D133" s="688"/>
      <c r="E133" s="681"/>
      <c r="F133" s="688"/>
      <c r="G133" s="681"/>
      <c r="H133" s="688"/>
      <c r="I133" s="681"/>
      <c r="J133" s="688"/>
      <c r="K133" s="681"/>
      <c r="L133" s="688"/>
      <c r="M133" s="681"/>
      <c r="N133" s="688"/>
      <c r="O133" s="681"/>
      <c r="P133" s="688"/>
      <c r="Q133" s="681"/>
      <c r="R133" s="688">
        <f>INPUT!AC56</f>
        <v>-0.61705989110706705</v>
      </c>
      <c r="S133" s="681" t="str">
        <f>INPUT!AD56</f>
        <v>NA</v>
      </c>
      <c r="T133" s="688">
        <f>INPUT!AE56</f>
        <v>2.2864019253911088</v>
      </c>
      <c r="U133" s="681" t="str">
        <f>INPUT!AF56</f>
        <v>NA</v>
      </c>
      <c r="V133" s="688">
        <f>INPUT!AG56</f>
        <v>2.0289150771473747</v>
      </c>
      <c r="W133" s="681" t="str">
        <f>INPUT!AH56</f>
        <v>NA</v>
      </c>
      <c r="X133" s="688">
        <f>INPUT!AI56</f>
        <v>-10.681133212778802</v>
      </c>
      <c r="Y133" s="681" t="str">
        <f>INPUT!AJ56</f>
        <v>NA</v>
      </c>
      <c r="Z133" s="688">
        <f>INPUT!AK56</f>
        <v>0.43505282784342336</v>
      </c>
      <c r="AA133" s="681" t="str">
        <f>INPUT!AL56</f>
        <v>NM</v>
      </c>
      <c r="AB133" s="688">
        <f>INPUT!AM56</f>
        <v>2.487623762376213</v>
      </c>
      <c r="AC133" s="681">
        <f>INPUT!AN56</f>
        <v>8.8008077123484583</v>
      </c>
      <c r="AD133" s="688">
        <f>INPUT!AO56</f>
        <v>3.9092845508081604</v>
      </c>
      <c r="AE133" s="681">
        <f>INPUT!AP56</f>
        <v>92.678569686837648</v>
      </c>
      <c r="AF133" s="688">
        <f>INPUT!AQ56</f>
        <v>1.6930163077306</v>
      </c>
      <c r="AG133" s="681" t="str">
        <f>INPUT!AR56</f>
        <v>NM</v>
      </c>
      <c r="AH133" s="688">
        <f>INPUT!AS56</f>
        <v>0.15140045420133966</v>
      </c>
      <c r="AI133" s="681" t="str">
        <f>INPUT!AT56</f>
        <v>NM</v>
      </c>
      <c r="AJ133" s="688">
        <f>INPUT!AU56</f>
        <v>1.3081761006289137</v>
      </c>
      <c r="AK133" s="681">
        <f>INPUT!AV56</f>
        <v>-47.412622422478968</v>
      </c>
      <c r="AL133" s="688">
        <f>INPUT!AW56</f>
        <v>2.0865139949109528</v>
      </c>
      <c r="AM133" s="681">
        <f>INPUT!AX56</f>
        <v>-46.62670450838349</v>
      </c>
      <c r="AN133" s="688">
        <f>INPUT!AY56</f>
        <v>4.3115096425500576</v>
      </c>
      <c r="AO133" s="670" t="str">
        <f>INPUT!AZ56</f>
        <v>NM</v>
      </c>
      <c r="AP133" s="688">
        <f>INPUT!BA56</f>
        <v>3.8406827880512147</v>
      </c>
      <c r="AQ133" s="670" t="str">
        <f>INPUT!BB56</f>
        <v>NM</v>
      </c>
      <c r="AR133" s="688">
        <f>INPUT!BC56</f>
        <v>6.4697083021690318</v>
      </c>
      <c r="AS133" s="670" t="str">
        <f>INPUT!BD56</f>
        <v>NM</v>
      </c>
      <c r="AT133" s="688">
        <f>INPUT!BE56</f>
        <v>6.5941101152368624</v>
      </c>
      <c r="AU133" s="670" t="str">
        <f>INPUT!BF56</f>
        <v>NM</v>
      </c>
      <c r="AV133" s="688">
        <f>INPUT!BG56</f>
        <v>5.5842812823164483</v>
      </c>
      <c r="AW133" s="670">
        <f>INPUT!BH56</f>
        <v>29.520324556519029</v>
      </c>
      <c r="AX133" s="688">
        <f>INPUT!BI56</f>
        <v>5.3495197438633966</v>
      </c>
      <c r="AY133" s="670">
        <f>INPUT!BJ56</f>
        <v>39.285643701331942</v>
      </c>
      <c r="AZ133" s="688">
        <f>INPUT!BK56</f>
        <v>6.1874670879410063</v>
      </c>
      <c r="BA133" s="670">
        <f>INPUT!BL56</f>
        <v>-4.3625029297441609</v>
      </c>
      <c r="BB133" s="688">
        <f>INPUT!BM56</f>
        <v>7.3268921095007933</v>
      </c>
      <c r="BC133" s="670">
        <f>INPUT!BN56</f>
        <v>11.112674514954012</v>
      </c>
      <c r="BD133" s="688">
        <f>INPUT!BO56</f>
        <v>7.9525775942453913</v>
      </c>
      <c r="BE133" s="670">
        <f>INPUT!BP56</f>
        <v>42.410046919171961</v>
      </c>
      <c r="BF133" s="688">
        <f>INPUT!BQ56</f>
        <v>7.9520396912899569</v>
      </c>
      <c r="BG133" s="670">
        <f>INPUT!BR56</f>
        <v>48.649599815235625</v>
      </c>
      <c r="BH133" s="688">
        <f>INPUT!BS56</f>
        <v>9.4284925455549526</v>
      </c>
      <c r="BI133" s="670">
        <f>INPUT!BT56</f>
        <v>52.380488034118301</v>
      </c>
      <c r="BJ133" s="688">
        <f>INPUT!BU56</f>
        <v>10.466089868825007</v>
      </c>
      <c r="BK133" s="670">
        <f>INPUT!BV56</f>
        <v>42.844874912974504</v>
      </c>
      <c r="BL133" s="688">
        <f>INPUT!BW56</f>
        <v>10.205229125667685</v>
      </c>
      <c r="BM133" s="670">
        <f>INPUT!BX56</f>
        <v>28.326055354082278</v>
      </c>
      <c r="BN133" s="688">
        <f>INPUT!BY56</f>
        <v>10.909614277489919</v>
      </c>
      <c r="BO133" s="670">
        <f>INPUT!BZ56</f>
        <v>37.192653721779799</v>
      </c>
      <c r="BP133" s="688">
        <f>INPUT!CA56</f>
        <v>12.131194500143232</v>
      </c>
      <c r="BQ133" s="670">
        <f>INPUT!CB56</f>
        <v>28.665260554959705</v>
      </c>
      <c r="BR133" s="688">
        <f>INPUT!CC56</f>
        <v>11.454837297533928</v>
      </c>
      <c r="BS133" s="670">
        <f>INPUT!CD56</f>
        <v>9.4471520988375079</v>
      </c>
      <c r="BT133" s="688">
        <f>INPUT!CE56</f>
        <v>11.279388432136166</v>
      </c>
      <c r="BU133" s="670">
        <f>INPUT!CF56</f>
        <v>10.525577556772436</v>
      </c>
      <c r="BV133" s="688">
        <f>INPUT!CG56</f>
        <v>10.886561439740383</v>
      </c>
      <c r="BW133" s="670">
        <f>INPUT!CH56</f>
        <v>-0.21130754179916611</v>
      </c>
      <c r="BX133" s="688">
        <f>INPUT!CI56</f>
        <v>11.527757433719048</v>
      </c>
      <c r="BY133" s="670">
        <f>INPUT!CJ56</f>
        <v>-4.9742592653762134</v>
      </c>
      <c r="BZ133" s="688">
        <f>INPUT!CK56</f>
        <v>10.613138686131393</v>
      </c>
      <c r="CA133" s="670">
        <f>INPUT!CL56</f>
        <v>-7.3479752661676052</v>
      </c>
      <c r="CB133" s="688">
        <f>INPUT!CM56</f>
        <v>11.268634902075419</v>
      </c>
      <c r="CC133" s="670">
        <f>INPUT!CN56</f>
        <v>-9.5337882239332483E-2</v>
      </c>
      <c r="CD133" s="688">
        <f>INPUT!CO56</f>
        <v>10.919456219850906</v>
      </c>
      <c r="CE133" s="670">
        <f>INPUT!CP56</f>
        <v>0.30215950456535801</v>
      </c>
      <c r="CF133" s="688">
        <f>INPUT!CQ56</f>
        <v>10.336220819262953</v>
      </c>
      <c r="CG133" s="670">
        <f>INPUT!CR56</f>
        <v>-10.336239475084829</v>
      </c>
      <c r="CH133" s="688">
        <f>INPUT!CS56</f>
        <v>10.975250441956394</v>
      </c>
      <c r="CI133" s="670">
        <f>INPUT!CT56</f>
        <v>3.4119195700154759</v>
      </c>
      <c r="CJ133" s="688">
        <f>INPUT!CU56</f>
        <v>10.775546107608855</v>
      </c>
      <c r="CK133" s="670">
        <f>INPUT!CV56</f>
        <v>-4.3757633355904435</v>
      </c>
      <c r="CL133" s="688">
        <f>INPUT!CW56</f>
        <v>11.151235013722365</v>
      </c>
      <c r="CM133" s="670">
        <f>INPUT!CX56</f>
        <v>2.1226221270075785</v>
      </c>
      <c r="CN133" s="688">
        <f>INPUT!CY56</f>
        <v>10.537099370701011</v>
      </c>
      <c r="CO133" s="670">
        <f>INPUT!CZ56</f>
        <v>1.9434429173929013</v>
      </c>
      <c r="CP133" s="688">
        <f>INPUT!DA56</f>
        <v>11.559578572488496</v>
      </c>
      <c r="CQ133" s="670">
        <f>INPUT!DB56</f>
        <v>5.3240528188616132</v>
      </c>
      <c r="CR133" s="688">
        <f>INPUT!DC56</f>
        <v>10.284857571214397</v>
      </c>
      <c r="CS133" s="670">
        <f>INPUT!DD56</f>
        <v>-4.5537231384307431</v>
      </c>
      <c r="CT133" s="688">
        <f>INPUT!DE56</f>
        <v>10.028185729120297</v>
      </c>
      <c r="CU133" s="670">
        <f>INPUT!DF56</f>
        <v>-10.071075385103789</v>
      </c>
      <c r="CV133" s="688">
        <f>INPUT!DG56</f>
        <v>10.779952550415175</v>
      </c>
      <c r="CW133" s="670">
        <f>INPUT!DH56</f>
        <v>2.3047441347040065</v>
      </c>
      <c r="CX133" s="688">
        <f>INPUT!DI56</f>
        <v>10.182573845925491</v>
      </c>
      <c r="CY133" s="670">
        <f>INPUT!DJ56</f>
        <v>-11.912239861756213</v>
      </c>
      <c r="CZ133" s="688">
        <f>INPUT!DK56</f>
        <v>9.4643113600459543</v>
      </c>
      <c r="DA133" s="670">
        <f>INPUT!DL56</f>
        <v>-7.9781971260838418</v>
      </c>
      <c r="DB133" s="688">
        <f>INPUT!DM56</f>
        <v>10.590079817559872</v>
      </c>
      <c r="DC133" s="670">
        <f>INPUT!DN56</f>
        <v>5.6031480032117997</v>
      </c>
      <c r="DD133" s="688">
        <f>INPUT!DO56</f>
        <v>8.6075949367088676</v>
      </c>
      <c r="DE133" s="670">
        <f>INPUT!DP56</f>
        <v>-20.151829087806526</v>
      </c>
      <c r="DF133" s="688">
        <f>INPUT!DQ56</f>
        <v>9.9606077658975885</v>
      </c>
      <c r="DG133" s="670">
        <f>INPUT!DR56</f>
        <v>-2.1798622174168836</v>
      </c>
      <c r="DH133" s="688">
        <f>INPUT!DS56</f>
        <v>9.2048461217100712</v>
      </c>
      <c r="DI133" s="670">
        <f>INPUT!DT56</f>
        <v>-2.7415120706111629</v>
      </c>
      <c r="DJ133" s="688">
        <f>INPUT!DU56</f>
        <v>9.6201147854604905</v>
      </c>
      <c r="DK133" s="670">
        <f>INPUT!DV56</f>
        <v>-9.1591852829195908</v>
      </c>
      <c r="DL133" s="688">
        <f>INPUT!DW56</f>
        <v>10.172272354388841</v>
      </c>
      <c r="DM133" s="670">
        <f>INPUT!DX56</f>
        <v>18.177869999517338</v>
      </c>
      <c r="DN133" s="688">
        <f>INPUT!DY56</f>
        <v>11.754989676531327</v>
      </c>
      <c r="DO133" s="670">
        <f>INPUT!DZ56</f>
        <v>18.01478336269011</v>
      </c>
      <c r="DP133" s="688">
        <f>INPUT!EA56</f>
        <v>12.200109051254076</v>
      </c>
      <c r="DQ133" s="670">
        <f>INPUT!EB56</f>
        <v>32.540065199781388</v>
      </c>
      <c r="DR133" s="688">
        <f>INPUT!EC56</f>
        <v>12.12079803224924</v>
      </c>
      <c r="DS133" s="670">
        <f>INPUT!ED56</f>
        <v>25.994318181818322</v>
      </c>
      <c r="DT133" s="688">
        <f>INPUT!EE56</f>
        <v>12.491550628633242</v>
      </c>
      <c r="DU133" s="670">
        <f>INPUT!EF56</f>
        <v>22.800001744386478</v>
      </c>
      <c r="DV133" s="688">
        <f>INPUT!EG56</f>
        <v>12.264922322158611</v>
      </c>
      <c r="DW133" s="670">
        <f>INPUT!EH56</f>
        <v>4.3380101527894732</v>
      </c>
      <c r="DX133" s="688">
        <f>INPUT!EI56</f>
        <v>11.670480549199077</v>
      </c>
      <c r="DY133" s="670">
        <f>INPUT!EJ56</f>
        <v>-4.3411784257826547</v>
      </c>
      <c r="DZ133" s="688">
        <f>INPUT!EK56</f>
        <v>11.703418361261697</v>
      </c>
      <c r="EA133" s="670">
        <f>INPUT!EL56</f>
        <v>-3.4434999236604757</v>
      </c>
      <c r="EB133" s="688">
        <f>INPUT!EM56</f>
        <v>11.736129909232211</v>
      </c>
      <c r="EC133" s="670">
        <f>INPUT!EN56</f>
        <v>-6.047453529663871</v>
      </c>
      <c r="ED133" s="688">
        <f>INPUT!EO56</f>
        <v>11.822986763313095</v>
      </c>
      <c r="EE133" s="670">
        <f>INPUT!EP56</f>
        <v>-3.6032479231204451</v>
      </c>
      <c r="EF133" s="688">
        <f>INPUT!EQ56</f>
        <v>12.066268077042091</v>
      </c>
      <c r="EG133" s="670">
        <f>INPUT!ER56</f>
        <v>3.3913558758313256</v>
      </c>
      <c r="EH133" s="670"/>
      <c r="EI133" s="688">
        <f>INPUT!FB56</f>
        <v>0</v>
      </c>
      <c r="EJ133" s="681">
        <f>INPUT!FC56</f>
        <v>0</v>
      </c>
      <c r="EK133" s="688">
        <f>INPUT!FD56</f>
        <v>9.2031746031746344</v>
      </c>
      <c r="EL133" s="681" t="str">
        <f>INPUT!FE56</f>
        <v>NA</v>
      </c>
      <c r="EM133" s="688">
        <f>INPUT!FF56</f>
        <v>-26.136329498002208</v>
      </c>
      <c r="EN133" s="681" t="str">
        <f>INPUT!FG56</f>
        <v>NM</v>
      </c>
      <c r="EO133" s="688">
        <f>INPUT!FH56</f>
        <v>-1.7522129240808437</v>
      </c>
      <c r="EP133" s="681" t="str">
        <f>INPUT!FI56</f>
        <v>NM</v>
      </c>
      <c r="EQ133" s="688">
        <f>INPUT!FJ56</f>
        <v>2.1282553906468942</v>
      </c>
      <c r="ER133" s="670" t="str">
        <f>INPUT!FK56</f>
        <v>NM</v>
      </c>
      <c r="ES133" s="688">
        <f>INPUT!FL56</f>
        <v>1.979483640242178</v>
      </c>
      <c r="ET133" s="670">
        <f>INPUT!FM56</f>
        <v>-6.9903147459899673</v>
      </c>
      <c r="EU133" s="688">
        <f>INPUT!FN56</f>
        <v>5.6324079102904125</v>
      </c>
      <c r="EV133" s="670" t="str">
        <f>INPUT!FO56</f>
        <v>NM</v>
      </c>
      <c r="EW133" s="688">
        <f>INPUT!FP56</f>
        <v>6.7019400352733713</v>
      </c>
      <c r="EX133" s="670">
        <f>INPUT!FQ56</f>
        <v>18.988896791884024</v>
      </c>
      <c r="EY133" s="688">
        <f>INPUT!FR56</f>
        <v>9.6699096594857448</v>
      </c>
      <c r="EZ133" s="670">
        <f>INPUT!FS56</f>
        <v>44.285230971800395</v>
      </c>
      <c r="FA133" s="688">
        <f>INPUT!FT56</f>
        <v>11.444652908067519</v>
      </c>
      <c r="FB133" s="670">
        <f>INPUT!FU56</f>
        <v>18.353255729135288</v>
      </c>
      <c r="FC133" s="688">
        <f>INPUT!FV56</f>
        <v>11.074071360539239</v>
      </c>
      <c r="FD133" s="670">
        <f>INPUT!FW56</f>
        <v>-3.2380322103700565</v>
      </c>
      <c r="FE133" s="688">
        <f>INPUT!FX56</f>
        <v>10.709042865531407</v>
      </c>
      <c r="FF133" s="670">
        <f>INPUT!FY56</f>
        <v>-3.2962447425484043</v>
      </c>
      <c r="FG133" s="688">
        <f>INPUT!FZ56</f>
        <v>10.885330388367377</v>
      </c>
      <c r="FH133" s="670">
        <f>INPUT!GA56</f>
        <v>1.6461557307178021</v>
      </c>
      <c r="FI133" s="688">
        <f>INPUT!GB56</f>
        <v>10.108515725583969</v>
      </c>
      <c r="FJ133" s="670">
        <f>INPUT!GC56</f>
        <v>-7.1363443742006432</v>
      </c>
      <c r="FK133" s="688">
        <f>INPUT!GD56</f>
        <v>9.5864860109097343</v>
      </c>
      <c r="FL133" s="670">
        <f>INPUT!GE56</f>
        <v>-5.1642568389443362</v>
      </c>
      <c r="FM133" s="688">
        <f>INPUT!GF56</f>
        <v>10.936270653029119</v>
      </c>
      <c r="FN133" s="670">
        <f>INPUT!GG56</f>
        <v>14.080077314912742</v>
      </c>
      <c r="FO133" s="688">
        <f>INPUT!GH56</f>
        <v>12.136218709721177</v>
      </c>
      <c r="FP133" s="670">
        <f>INPUT!GI56</f>
        <v>10.972186906874848</v>
      </c>
      <c r="FQ133" s="688">
        <f>INPUT!GJ56</f>
        <v>11.832371946353692</v>
      </c>
      <c r="FR133" s="670">
        <f>INPUT!GK56</f>
        <v>-2.5036361871437096</v>
      </c>
      <c r="FS133" s="688">
        <f>INPUT!GL56</f>
        <v>11.674151241216389</v>
      </c>
      <c r="FT133" s="670">
        <f>INPUT!GM56</f>
        <v>-1.3371850196617685</v>
      </c>
      <c r="FU133" s="688">
        <f>INPUT!GN56</f>
        <v>11.511009731793745</v>
      </c>
      <c r="FV133" s="670">
        <f>INPUT!GO56</f>
        <v>-1.3974592760685023</v>
      </c>
      <c r="FW133" s="688">
        <f>INPUT!GP56</f>
        <v>11.344565483704574</v>
      </c>
      <c r="FX133" s="670">
        <f>INPUT!GQ56</f>
        <v>-1.4459569748207834</v>
      </c>
      <c r="FY133" s="688">
        <f>INPUT!GR56</f>
        <v>11.176164516872729</v>
      </c>
      <c r="FZ133" s="670">
        <f>INPUT!GS56</f>
        <v>-1.4844197168568329</v>
      </c>
      <c r="GA133" s="681">
        <f>INPUT!GT56</f>
        <v>-1.6347096212395384</v>
      </c>
    </row>
    <row r="134" spans="1:183" s="707" customFormat="1" ht="12.75" hidden="1" customHeight="1" outlineLevel="1" x14ac:dyDescent="0.2">
      <c r="A134" s="679"/>
      <c r="B134" s="688"/>
      <c r="C134" s="681"/>
      <c r="D134" s="688"/>
      <c r="E134" s="681"/>
      <c r="F134" s="688"/>
      <c r="G134" s="681"/>
      <c r="H134" s="688"/>
      <c r="I134" s="681"/>
      <c r="J134" s="688"/>
      <c r="K134" s="681"/>
      <c r="L134" s="688"/>
      <c r="M134" s="681"/>
      <c r="N134" s="688"/>
      <c r="O134" s="681"/>
      <c r="P134" s="688"/>
      <c r="Q134" s="681"/>
      <c r="R134" s="688"/>
      <c r="S134" s="681"/>
      <c r="T134" s="688"/>
      <c r="U134" s="681"/>
      <c r="V134" s="688"/>
      <c r="W134" s="681"/>
      <c r="X134" s="688"/>
      <c r="Y134" s="681"/>
      <c r="Z134" s="688"/>
      <c r="AA134" s="681"/>
      <c r="AB134" s="688"/>
      <c r="AC134" s="681"/>
      <c r="AD134" s="688"/>
      <c r="AE134" s="681"/>
      <c r="AF134" s="688"/>
      <c r="AG134" s="681"/>
      <c r="AH134" s="688"/>
      <c r="AI134" s="681"/>
      <c r="AJ134" s="688"/>
      <c r="AK134" s="681"/>
      <c r="AL134" s="688"/>
      <c r="AM134" s="681"/>
      <c r="AN134" s="688"/>
      <c r="AO134" s="670"/>
      <c r="AP134" s="688"/>
      <c r="AQ134" s="670"/>
      <c r="AR134" s="688"/>
      <c r="AS134" s="670"/>
      <c r="AT134" s="688"/>
      <c r="AU134" s="670"/>
      <c r="AV134" s="688"/>
      <c r="AW134" s="670"/>
      <c r="AX134" s="688"/>
      <c r="AY134" s="670"/>
      <c r="AZ134" s="688"/>
      <c r="BA134" s="670"/>
      <c r="BB134" s="688"/>
      <c r="BC134" s="670"/>
      <c r="BD134" s="688"/>
      <c r="BE134" s="670"/>
      <c r="BF134" s="688"/>
      <c r="BG134" s="670"/>
      <c r="BH134" s="688"/>
      <c r="BI134" s="670"/>
      <c r="BJ134" s="688"/>
      <c r="BK134" s="670"/>
      <c r="BL134" s="688"/>
      <c r="BM134" s="670"/>
      <c r="BN134" s="688"/>
      <c r="BO134" s="670"/>
      <c r="BP134" s="688"/>
      <c r="BQ134" s="670"/>
      <c r="BR134" s="688"/>
      <c r="BS134" s="670"/>
      <c r="BT134" s="688"/>
      <c r="BU134" s="670"/>
      <c r="BV134" s="688"/>
      <c r="BW134" s="670"/>
      <c r="BX134" s="688"/>
      <c r="BY134" s="670"/>
      <c r="BZ134" s="688"/>
      <c r="CA134" s="670"/>
      <c r="CB134" s="688"/>
      <c r="CC134" s="670"/>
      <c r="CD134" s="688"/>
      <c r="CE134" s="670"/>
      <c r="CF134" s="688"/>
      <c r="CG134" s="670"/>
      <c r="CH134" s="688"/>
      <c r="CI134" s="670"/>
      <c r="CJ134" s="688"/>
      <c r="CK134" s="670"/>
      <c r="CL134" s="688"/>
      <c r="CM134" s="670"/>
      <c r="CN134" s="688"/>
      <c r="CO134" s="670"/>
      <c r="CP134" s="688"/>
      <c r="CQ134" s="670"/>
      <c r="CR134" s="688"/>
      <c r="CS134" s="670"/>
      <c r="CT134" s="688"/>
      <c r="CU134" s="670"/>
      <c r="CV134" s="688"/>
      <c r="CW134" s="670"/>
      <c r="CX134" s="688"/>
      <c r="CY134" s="670"/>
      <c r="CZ134" s="688"/>
      <c r="DA134" s="670"/>
      <c r="DB134" s="688"/>
      <c r="DC134" s="670"/>
      <c r="DD134" s="688"/>
      <c r="DE134" s="670"/>
      <c r="DF134" s="688"/>
      <c r="DG134" s="670"/>
      <c r="DH134" s="688"/>
      <c r="DI134" s="670"/>
      <c r="DJ134" s="688"/>
      <c r="DK134" s="670"/>
      <c r="DL134" s="688"/>
      <c r="DM134" s="670"/>
      <c r="DN134" s="688"/>
      <c r="DO134" s="670"/>
      <c r="DP134" s="688"/>
      <c r="DQ134" s="670"/>
      <c r="DR134" s="688"/>
      <c r="DS134" s="670"/>
      <c r="DT134" s="688"/>
      <c r="DU134" s="670"/>
      <c r="DV134" s="688"/>
      <c r="DW134" s="670"/>
      <c r="DX134" s="688"/>
      <c r="DY134" s="670"/>
      <c r="DZ134" s="688"/>
      <c r="EA134" s="670"/>
      <c r="EB134" s="688"/>
      <c r="EC134" s="670"/>
      <c r="ED134" s="688"/>
      <c r="EE134" s="670"/>
      <c r="EF134" s="688"/>
      <c r="EG134" s="670"/>
      <c r="EH134" s="670"/>
      <c r="EI134" s="688"/>
      <c r="EJ134" s="681"/>
      <c r="EK134" s="688"/>
      <c r="EL134" s="681"/>
      <c r="EM134" s="688"/>
      <c r="EN134" s="681"/>
      <c r="EO134" s="688"/>
      <c r="EP134" s="681"/>
      <c r="EQ134" s="688"/>
      <c r="ER134" s="670"/>
      <c r="ES134" s="688"/>
      <c r="ET134" s="670"/>
      <c r="EU134" s="688"/>
      <c r="EV134" s="670"/>
      <c r="EW134" s="688"/>
      <c r="EX134" s="670"/>
      <c r="EY134" s="688"/>
      <c r="EZ134" s="670"/>
      <c r="FA134" s="688"/>
      <c r="FB134" s="670"/>
      <c r="FC134" s="688"/>
      <c r="FD134" s="670"/>
      <c r="FE134" s="688"/>
      <c r="FF134" s="670"/>
      <c r="FG134" s="688"/>
      <c r="FH134" s="670"/>
      <c r="FI134" s="688"/>
      <c r="FJ134" s="670"/>
      <c r="FK134" s="688"/>
      <c r="FL134" s="670"/>
      <c r="FM134" s="688"/>
      <c r="FN134" s="670"/>
      <c r="FO134" s="688"/>
      <c r="FP134" s="670"/>
      <c r="FQ134" s="688"/>
      <c r="FR134" s="670"/>
      <c r="FS134" s="688"/>
      <c r="FT134" s="670"/>
      <c r="FU134" s="688"/>
      <c r="FV134" s="670"/>
      <c r="FW134" s="688"/>
      <c r="FX134" s="670"/>
      <c r="FY134" s="688"/>
      <c r="FZ134" s="670"/>
      <c r="GA134" s="681"/>
    </row>
    <row r="135" spans="1:183" s="707" customFormat="1" ht="12.75" hidden="1" customHeight="1" outlineLevel="1" x14ac:dyDescent="0.2">
      <c r="A135" s="677" t="s">
        <v>438</v>
      </c>
      <c r="B135" s="688"/>
      <c r="C135" s="681"/>
      <c r="D135" s="688"/>
      <c r="E135" s="681"/>
      <c r="F135" s="688"/>
      <c r="G135" s="681"/>
      <c r="H135" s="688"/>
      <c r="I135" s="681"/>
      <c r="J135" s="688"/>
      <c r="K135" s="681"/>
      <c r="L135" s="688"/>
      <c r="M135" s="681"/>
      <c r="N135" s="688"/>
      <c r="O135" s="681"/>
      <c r="P135" s="688"/>
      <c r="Q135" s="681"/>
      <c r="R135" s="688"/>
      <c r="S135" s="681"/>
      <c r="T135" s="688"/>
      <c r="U135" s="681"/>
      <c r="V135" s="688"/>
      <c r="W135" s="681"/>
      <c r="X135" s="688"/>
      <c r="Y135" s="681"/>
      <c r="Z135" s="688"/>
      <c r="AA135" s="681"/>
      <c r="AB135" s="688"/>
      <c r="AC135" s="681"/>
      <c r="AD135" s="688"/>
      <c r="AE135" s="681"/>
      <c r="AF135" s="688"/>
      <c r="AG135" s="681"/>
      <c r="AH135" s="688"/>
      <c r="AI135" s="681"/>
      <c r="AJ135" s="688"/>
      <c r="AK135" s="681"/>
      <c r="AL135" s="688"/>
      <c r="AM135" s="681"/>
      <c r="AN135" s="688"/>
      <c r="AO135" s="670"/>
      <c r="AP135" s="688"/>
      <c r="AQ135" s="670"/>
      <c r="AR135" s="688"/>
      <c r="AS135" s="670"/>
      <c r="AT135" s="688"/>
      <c r="AU135" s="670"/>
      <c r="AV135" s="688"/>
      <c r="AW135" s="670"/>
      <c r="AX135" s="688"/>
      <c r="AY135" s="670"/>
      <c r="AZ135" s="688"/>
      <c r="BA135" s="670"/>
      <c r="BB135" s="688"/>
      <c r="BC135" s="670"/>
      <c r="BD135" s="688"/>
      <c r="BE135" s="670"/>
      <c r="BF135" s="688"/>
      <c r="BG135" s="670"/>
      <c r="BH135" s="688"/>
      <c r="BI135" s="670"/>
      <c r="BJ135" s="688"/>
      <c r="BK135" s="670"/>
      <c r="BL135" s="688"/>
      <c r="BM135" s="670"/>
      <c r="BN135" s="688"/>
      <c r="BO135" s="670"/>
      <c r="BP135" s="688"/>
      <c r="BQ135" s="670"/>
      <c r="BR135" s="688"/>
      <c r="BS135" s="670"/>
      <c r="BT135" s="688"/>
      <c r="BU135" s="670"/>
      <c r="BV135" s="688"/>
      <c r="BW135" s="670"/>
      <c r="BX135" s="688"/>
      <c r="BY135" s="670"/>
      <c r="BZ135" s="688"/>
      <c r="CA135" s="670"/>
      <c r="CB135" s="688"/>
      <c r="CC135" s="670"/>
      <c r="CD135" s="688"/>
      <c r="CE135" s="670"/>
      <c r="CF135" s="688"/>
      <c r="CG135" s="670"/>
      <c r="CH135" s="688"/>
      <c r="CI135" s="670"/>
      <c r="CJ135" s="688"/>
      <c r="CK135" s="670"/>
      <c r="CL135" s="688"/>
      <c r="CM135" s="670"/>
      <c r="CN135" s="688"/>
      <c r="CO135" s="670"/>
      <c r="CP135" s="688"/>
      <c r="CQ135" s="670"/>
      <c r="CR135" s="688"/>
      <c r="CS135" s="670"/>
      <c r="CT135" s="688"/>
      <c r="CU135" s="670"/>
      <c r="CV135" s="688"/>
      <c r="CW135" s="670"/>
      <c r="CX135" s="688"/>
      <c r="CY135" s="670"/>
      <c r="CZ135" s="688"/>
      <c r="DA135" s="670"/>
      <c r="DB135" s="688"/>
      <c r="DC135" s="670"/>
      <c r="DD135" s="688"/>
      <c r="DE135" s="670"/>
      <c r="DF135" s="688"/>
      <c r="DG135" s="670"/>
      <c r="DH135" s="688"/>
      <c r="DI135" s="670"/>
      <c r="DJ135" s="688"/>
      <c r="DK135" s="670"/>
      <c r="DL135" s="688"/>
      <c r="DM135" s="670"/>
      <c r="DN135" s="688"/>
      <c r="DO135" s="670"/>
      <c r="DP135" s="688"/>
      <c r="DQ135" s="670"/>
      <c r="DR135" s="688"/>
      <c r="DS135" s="670"/>
      <c r="DT135" s="688"/>
      <c r="DU135" s="670"/>
      <c r="DV135" s="688"/>
      <c r="DW135" s="670"/>
      <c r="DX135" s="688"/>
      <c r="DY135" s="670"/>
      <c r="DZ135" s="688"/>
      <c r="EA135" s="670"/>
      <c r="EB135" s="688"/>
      <c r="EC135" s="670"/>
      <c r="ED135" s="688"/>
      <c r="EE135" s="670"/>
      <c r="EF135" s="688"/>
      <c r="EG135" s="670"/>
      <c r="EH135" s="670"/>
      <c r="EI135" s="688"/>
      <c r="EJ135" s="681"/>
      <c r="EK135" s="688"/>
      <c r="EL135" s="681"/>
      <c r="EM135" s="688"/>
      <c r="EN135" s="681"/>
      <c r="EO135" s="688"/>
      <c r="EP135" s="681"/>
      <c r="EQ135" s="688"/>
      <c r="ER135" s="670"/>
      <c r="ES135" s="688"/>
      <c r="ET135" s="670"/>
      <c r="EU135" s="688"/>
      <c r="EV135" s="670"/>
      <c r="EW135" s="688"/>
      <c r="EX135" s="670"/>
      <c r="EY135" s="688"/>
      <c r="EZ135" s="670"/>
      <c r="FA135" s="688"/>
      <c r="FB135" s="670"/>
      <c r="FC135" s="688"/>
      <c r="FD135" s="670"/>
      <c r="FE135" s="688"/>
      <c r="FF135" s="670"/>
      <c r="FG135" s="688"/>
      <c r="FH135" s="670"/>
      <c r="FI135" s="688"/>
      <c r="FJ135" s="670"/>
      <c r="FK135" s="688"/>
      <c r="FL135" s="670"/>
      <c r="FM135" s="688"/>
      <c r="FN135" s="670"/>
      <c r="FO135" s="688"/>
      <c r="FP135" s="670"/>
      <c r="FQ135" s="688"/>
      <c r="FR135" s="670"/>
      <c r="FS135" s="688"/>
      <c r="FT135" s="670"/>
      <c r="FU135" s="688"/>
      <c r="FV135" s="670"/>
      <c r="FW135" s="688"/>
      <c r="FX135" s="670"/>
      <c r="FY135" s="688"/>
      <c r="FZ135" s="670"/>
      <c r="GA135" s="681"/>
    </row>
    <row r="136" spans="1:183" s="707" customFormat="1" ht="12.75" hidden="1" customHeight="1" outlineLevel="1" x14ac:dyDescent="0.2">
      <c r="A136" s="679" t="str">
        <f>INPUT!B51</f>
        <v>Benefits/Premiums (%)</v>
      </c>
      <c r="B136" s="688"/>
      <c r="C136" s="681"/>
      <c r="D136" s="688"/>
      <c r="E136" s="681"/>
      <c r="F136" s="688"/>
      <c r="G136" s="681"/>
      <c r="H136" s="688"/>
      <c r="I136" s="681"/>
      <c r="J136" s="688"/>
      <c r="K136" s="681"/>
      <c r="L136" s="688"/>
      <c r="M136" s="681"/>
      <c r="N136" s="688"/>
      <c r="O136" s="681"/>
      <c r="P136" s="688"/>
      <c r="Q136" s="681"/>
      <c r="R136" s="688">
        <f>INPUT!AC51</f>
        <v>93.092598142043741</v>
      </c>
      <c r="S136" s="681" t="str">
        <f>INPUT!AD51</f>
        <v>NA</v>
      </c>
      <c r="T136" s="688">
        <f>INPUT!AE51</f>
        <v>92.442298989289483</v>
      </c>
      <c r="U136" s="681" t="str">
        <f>INPUT!AF51</f>
        <v>NA</v>
      </c>
      <c r="V136" s="688">
        <f>INPUT!AG51</f>
        <v>92.935278030993615</v>
      </c>
      <c r="W136" s="681" t="str">
        <f>INPUT!AH51</f>
        <v>NA</v>
      </c>
      <c r="X136" s="688">
        <f>INPUT!AI51</f>
        <v>104.73940871685463</v>
      </c>
      <c r="Y136" s="681" t="str">
        <f>INPUT!AJ51</f>
        <v>NA</v>
      </c>
      <c r="Z136" s="688">
        <f>INPUT!AK51</f>
        <v>95.294302801384916</v>
      </c>
      <c r="AA136" s="681">
        <f>INPUT!AL51</f>
        <v>2.3650695149594503</v>
      </c>
      <c r="AB136" s="688">
        <f>INPUT!AM51</f>
        <v>93.451633165829151</v>
      </c>
      <c r="AC136" s="681">
        <f>INPUT!AN51</f>
        <v>1.0918531749806615</v>
      </c>
      <c r="AD136" s="688">
        <f>INPUT!AO51</f>
        <v>92.444089456869023</v>
      </c>
      <c r="AE136" s="681">
        <f>INPUT!AP51</f>
        <v>-0.52852757804284778</v>
      </c>
      <c r="AF136" s="688">
        <f>INPUT!AQ51</f>
        <v>93.870096871526115</v>
      </c>
      <c r="AG136" s="681">
        <f>INPUT!AR51</f>
        <v>-10.377480624042734</v>
      </c>
      <c r="AH136" s="688">
        <f>INPUT!AS51</f>
        <v>95.450145208131659</v>
      </c>
      <c r="AI136" s="681">
        <f>INPUT!AT51</f>
        <v>0.1635380103168993</v>
      </c>
      <c r="AJ136" s="688">
        <f>INPUT!AU51</f>
        <v>95.055386097286885</v>
      </c>
      <c r="AK136" s="681">
        <f>INPUT!AV51</f>
        <v>1.7161315186561721</v>
      </c>
      <c r="AL136" s="688">
        <f>INPUT!AW51</f>
        <v>92.090303719343822</v>
      </c>
      <c r="AM136" s="681">
        <f>INPUT!AX51</f>
        <v>-0.38270238757693864</v>
      </c>
      <c r="AN136" s="688">
        <f>INPUT!AY51</f>
        <v>94.000959846424564</v>
      </c>
      <c r="AO136" s="670">
        <f>INPUT!AZ51</f>
        <v>0.13940858618433083</v>
      </c>
      <c r="AP136" s="688">
        <f>INPUT!BA51</f>
        <v>93.390950686324345</v>
      </c>
      <c r="AQ136" s="670">
        <f>INPUT!BB51</f>
        <v>-2.1573508529685093</v>
      </c>
      <c r="AR136" s="688">
        <f>INPUT!BC51</f>
        <v>94.370589200722151</v>
      </c>
      <c r="AS136" s="670">
        <f>INPUT!BD51</f>
        <v>-0.72041882599251927</v>
      </c>
      <c r="AT136" s="688">
        <f>INPUT!BE51</f>
        <v>92.095061520310125</v>
      </c>
      <c r="AU136" s="670">
        <f>INPUT!BF51</f>
        <v>5.1664515960281321E-3</v>
      </c>
      <c r="AV136" s="688">
        <f>INPUT!BG51</f>
        <v>91.522256201155287</v>
      </c>
      <c r="AW136" s="670">
        <f>INPUT!BH51</f>
        <v>-2.6368918459118929</v>
      </c>
      <c r="AX136" s="688">
        <f>INPUT!BI51</f>
        <v>91.027445460942999</v>
      </c>
      <c r="AY136" s="670">
        <f>INPUT!BJ51</f>
        <v>-2.5307647132961963</v>
      </c>
      <c r="AZ136" s="688">
        <f>INPUT!BK51</f>
        <v>90.498605299860529</v>
      </c>
      <c r="BA136" s="670">
        <f>INPUT!BL51</f>
        <v>-4.102956157904325</v>
      </c>
      <c r="BB136" s="688">
        <f>INPUT!BM51</f>
        <v>89.349217638691329</v>
      </c>
      <c r="BC136" s="670">
        <f>INPUT!BN51</f>
        <v>-2.9815321650154325</v>
      </c>
      <c r="BD136" s="688">
        <f>INPUT!BO51</f>
        <v>88.703443429374545</v>
      </c>
      <c r="BE136" s="670">
        <f>INPUT!BP51</f>
        <v>-3.079920544774728</v>
      </c>
      <c r="BF136" s="688">
        <f>INPUT!BQ51</f>
        <v>88.033718160161243</v>
      </c>
      <c r="BG136" s="670">
        <f>INPUT!BR51</f>
        <v>-3.2888183180602049</v>
      </c>
      <c r="BH136" s="688">
        <f>INPUT!BS51</f>
        <v>87.024029574861373</v>
      </c>
      <c r="BI136" s="670">
        <f>INPUT!BT51</f>
        <v>-3.8393693620872971</v>
      </c>
      <c r="BJ136" s="688">
        <f>INPUT!BU51</f>
        <v>85.318198734648306</v>
      </c>
      <c r="BK136" s="670">
        <f>INPUT!BV51</f>
        <v>-4.5115324012612863</v>
      </c>
      <c r="BL136" s="688">
        <f>INPUT!BW51</f>
        <v>84.596713965646003</v>
      </c>
      <c r="BM136" s="670">
        <f>INPUT!BX51</f>
        <v>-4.6297294726763472</v>
      </c>
      <c r="BN136" s="688">
        <f>INPUT!BY51</f>
        <v>84.189344576466084</v>
      </c>
      <c r="BO136" s="670">
        <f>INPUT!BZ51</f>
        <v>-4.3669331070409045</v>
      </c>
      <c r="BP136" s="688">
        <f>INPUT!CA51</f>
        <v>84.616861916650649</v>
      </c>
      <c r="BQ136" s="670">
        <f>INPUT!CB51</f>
        <v>-2.7660953761512341</v>
      </c>
      <c r="BR136" s="688">
        <f>INPUT!CC51</f>
        <v>84.637850467289709</v>
      </c>
      <c r="BS136" s="670">
        <f>INPUT!CD51</f>
        <v>-0.79742455589641992</v>
      </c>
      <c r="BT136" s="688">
        <f>INPUT!CE51</f>
        <v>84.247374562427055</v>
      </c>
      <c r="BU136" s="670">
        <f>INPUT!CF51</f>
        <v>-0.41294677634974297</v>
      </c>
      <c r="BV136" s="688">
        <f>INPUT!CG51</f>
        <v>83.917322834645674</v>
      </c>
      <c r="BW136" s="670">
        <f>INPUT!CH51</f>
        <v>-0.32310709055745068</v>
      </c>
      <c r="BX136" s="688">
        <f>INPUT!CI51</f>
        <v>84.371304690579436</v>
      </c>
      <c r="BY136" s="670">
        <f>INPUT!CJ51</f>
        <v>-0.29019892786037449</v>
      </c>
      <c r="BZ136" s="688">
        <f>INPUT!CK51</f>
        <v>85.478483002554526</v>
      </c>
      <c r="CA136" s="670">
        <f>INPUT!CL51</f>
        <v>0.99321111136878582</v>
      </c>
      <c r="CB136" s="688">
        <f>INPUT!CM51</f>
        <v>84.660536098610834</v>
      </c>
      <c r="CC136" s="670">
        <f>INPUT!CN51</f>
        <v>0.49041473200761576</v>
      </c>
      <c r="CD136" s="688">
        <f>INPUT!CO51</f>
        <v>84.898674980514414</v>
      </c>
      <c r="CE136" s="670">
        <f>INPUT!CP51</f>
        <v>1.1694273753256379</v>
      </c>
      <c r="CF136" s="688">
        <f>INPUT!CQ51</f>
        <v>84.651162790697683</v>
      </c>
      <c r="CG136" s="670">
        <f>INPUT!CR51</f>
        <v>0.33169820135481309</v>
      </c>
      <c r="CH136" s="688">
        <f>INPUT!CS51</f>
        <v>84.897560975609764</v>
      </c>
      <c r="CI136" s="670">
        <f>INPUT!CT51</f>
        <v>-0.67961199887859314</v>
      </c>
      <c r="CJ136" s="688">
        <f>INPUT!CU51</f>
        <v>84.46866485013625</v>
      </c>
      <c r="CK136" s="670">
        <f>INPUT!CV51</f>
        <v>-0.22663599513602639</v>
      </c>
      <c r="CL136" s="688">
        <f>INPUT!CW51</f>
        <v>84.284895932785929</v>
      </c>
      <c r="CM136" s="670">
        <f>INPUT!CX51</f>
        <v>-0.7229548021442711</v>
      </c>
      <c r="CN136" s="688">
        <f>INPUT!CY51</f>
        <v>83.90914296621493</v>
      </c>
      <c r="CO136" s="670">
        <f>INPUT!CZ51</f>
        <v>-0.87656188057028128</v>
      </c>
      <c r="CP136" s="688">
        <f>INPUT!DA51</f>
        <v>82.857142857142861</v>
      </c>
      <c r="CQ136" s="670">
        <f>INPUT!DB51</f>
        <v>-2.4033883836228176</v>
      </c>
      <c r="CR136" s="688">
        <f>INPUT!DC51</f>
        <v>83.22252639812281</v>
      </c>
      <c r="CS136" s="670">
        <f>INPUT!DD51</f>
        <v>-1.4752671351255908</v>
      </c>
      <c r="CT136" s="688">
        <f>INPUT!DE51</f>
        <v>83.045314900153627</v>
      </c>
      <c r="CU136" s="670">
        <f>INPUT!DF51</f>
        <v>-1.4707036402119122</v>
      </c>
      <c r="CV136" s="688">
        <f>INPUT!DG51</f>
        <v>81.889312977099237</v>
      </c>
      <c r="CW136" s="670">
        <f>INPUT!DH51</f>
        <v>-2.4071631740166355</v>
      </c>
      <c r="CX136" s="688">
        <f>INPUT!DI51</f>
        <v>82.110266159695811</v>
      </c>
      <c r="CY136" s="670">
        <f>INPUT!DJ51</f>
        <v>-0.901402910711957</v>
      </c>
      <c r="CZ136" s="688">
        <f>INPUT!DK51</f>
        <v>83.746301775147941</v>
      </c>
      <c r="DA136" s="670">
        <f>INPUT!DL51</f>
        <v>0.62936731158518278</v>
      </c>
      <c r="DB136" s="688">
        <f>INPUT!DM51</f>
        <v>80.10849909584087</v>
      </c>
      <c r="DC136" s="670">
        <f>INPUT!DN51</f>
        <v>-3.5364015511817004</v>
      </c>
      <c r="DD136" s="688">
        <f>INPUT!DO51</f>
        <v>83.386809269162214</v>
      </c>
      <c r="DE136" s="670">
        <f>INPUT!DP51</f>
        <v>1.8286834235399674</v>
      </c>
      <c r="DF136" s="688">
        <f>INPUT!DQ51</f>
        <v>80.546255506607935</v>
      </c>
      <c r="DG136" s="670">
        <f>INPUT!DR51</f>
        <v>-1.9047687046173212</v>
      </c>
      <c r="DH136" s="688">
        <f>INPUT!DS51</f>
        <v>81.68594461969856</v>
      </c>
      <c r="DI136" s="670">
        <f>INPUT!DT51</f>
        <v>-2.4602365857077202</v>
      </c>
      <c r="DJ136" s="688">
        <f>INPUT!DU51</f>
        <v>80.649549396361166</v>
      </c>
      <c r="DK136" s="670">
        <f>INPUT!DV51</f>
        <v>0.67539687627025113</v>
      </c>
      <c r="DL136" s="688">
        <f>INPUT!DW51</f>
        <v>79.986419962654892</v>
      </c>
      <c r="DM136" s="670">
        <f>INPUT!DX51</f>
        <v>-4.0778503654352427</v>
      </c>
      <c r="DN136" s="688">
        <f>INPUT!DY51</f>
        <v>78.564084989718992</v>
      </c>
      <c r="DO136" s="670">
        <f>INPUT!DZ51</f>
        <v>-2.4609095785046442</v>
      </c>
      <c r="DP136" s="688">
        <f>INPUT!EA51</f>
        <v>77.682040885284692</v>
      </c>
      <c r="DQ136" s="670">
        <f>INPUT!EB51</f>
        <v>-4.9015822159548472</v>
      </c>
      <c r="DR136" s="688">
        <f>INPUT!EC51</f>
        <v>76.616579436096572</v>
      </c>
      <c r="DS136" s="670">
        <f>INPUT!ED51</f>
        <v>-5.0006106549264295</v>
      </c>
      <c r="DT136" s="688">
        <f>INPUT!EE51</f>
        <v>76.493288590604024</v>
      </c>
      <c r="DU136" s="670">
        <f>INPUT!EF51</f>
        <v>-4.3671555417554515</v>
      </c>
      <c r="DV136" s="688">
        <f>INPUT!EG51</f>
        <v>76.656045614623523</v>
      </c>
      <c r="DW136" s="670">
        <f>INPUT!EH51</f>
        <v>-2.4286407400342824</v>
      </c>
      <c r="DX136" s="688">
        <f>INPUT!EI51</f>
        <v>76.339285714285722</v>
      </c>
      <c r="DY136" s="670">
        <f>INPUT!EJ51</f>
        <v>-1.7285271546635284</v>
      </c>
      <c r="DZ136" s="688">
        <f>INPUT!EK51</f>
        <v>76.339285714285722</v>
      </c>
      <c r="EA136" s="670">
        <f>INPUT!EL51</f>
        <v>-0.36192391235911892</v>
      </c>
      <c r="EB136" s="688">
        <f>INPUT!EM51</f>
        <v>76.339285714285722</v>
      </c>
      <c r="EC136" s="670">
        <f>INPUT!EN51</f>
        <v>-0.20132861216430875</v>
      </c>
      <c r="ED136" s="688">
        <f>INPUT!EO51</f>
        <v>76.339285714285722</v>
      </c>
      <c r="EE136" s="670">
        <f>INPUT!EP51</f>
        <v>-0.41322233334375458</v>
      </c>
      <c r="EF136" s="688">
        <f>INPUT!EQ51</f>
        <v>76.13928571428572</v>
      </c>
      <c r="EG136" s="670">
        <f>INPUT!ER51</f>
        <v>-0.26198830409357443</v>
      </c>
      <c r="EH136" s="670"/>
      <c r="EI136" s="688">
        <f>INPUT!FB51</f>
        <v>0</v>
      </c>
      <c r="EJ136" s="681">
        <f>INPUT!FC51</f>
        <v>0</v>
      </c>
      <c r="EK136" s="688">
        <f>INPUT!FD51</f>
        <v>84.327655231964826</v>
      </c>
      <c r="EL136" s="681" t="str">
        <f>INPUT!FE51</f>
        <v>NA</v>
      </c>
      <c r="EM136" s="688">
        <f>INPUT!FF51</f>
        <v>128.1491774956809</v>
      </c>
      <c r="EN136" s="681">
        <f>INPUT!FG51</f>
        <v>51.965778181752768</v>
      </c>
      <c r="EO136" s="688">
        <f>INPUT!FH51</f>
        <v>95.780239724732482</v>
      </c>
      <c r="EP136" s="681">
        <f>INPUT!FI51</f>
        <v>-25.25879479174915</v>
      </c>
      <c r="EQ136" s="688">
        <f>INPUT!FJ51</f>
        <v>93.769532022627473</v>
      </c>
      <c r="ER136" s="670">
        <f>INPUT!FK51</f>
        <v>-2.0992928268750211</v>
      </c>
      <c r="ES136" s="688">
        <f>INPUT!FL51</f>
        <v>94.153412522649489</v>
      </c>
      <c r="ET136" s="670">
        <f>INPUT!FM51</f>
        <v>0.40938724097436818</v>
      </c>
      <c r="EU136" s="688">
        <f>INPUT!FN51</f>
        <v>92.856842900936456</v>
      </c>
      <c r="EV136" s="670">
        <f>INPUT!FO51</f>
        <v>-1.3770819208503204</v>
      </c>
      <c r="EW136" s="688">
        <f>INPUT!FP51</f>
        <v>89.897079521463752</v>
      </c>
      <c r="EX136" s="670">
        <f>INPUT!FQ51</f>
        <v>-3.1874477819909375</v>
      </c>
      <c r="EY136" s="688">
        <f>INPUT!FR51</f>
        <v>86.252720285224811</v>
      </c>
      <c r="EZ136" s="670">
        <f>INPUT!FS51</f>
        <v>-4.0539239490742451</v>
      </c>
      <c r="FA136" s="688">
        <f>INPUT!FT51</f>
        <v>84.4225474568903</v>
      </c>
      <c r="FB136" s="670">
        <f>INPUT!FU51</f>
        <v>-2.1218725882295675</v>
      </c>
      <c r="FC136" s="688">
        <f>INPUT!FV51</f>
        <v>84.607448167436388</v>
      </c>
      <c r="FD136" s="670">
        <f>INPUT!FW51</f>
        <v>0.21901816056961732</v>
      </c>
      <c r="FE136" s="688">
        <f>INPUT!FX51</f>
        <v>84.728776453417652</v>
      </c>
      <c r="FF136" s="670">
        <f>INPUT!FY51</f>
        <v>0.14340142458990623</v>
      </c>
      <c r="FG136" s="688">
        <f>INPUT!FZ51</f>
        <v>83.573667711598759</v>
      </c>
      <c r="FH136" s="670">
        <f>INPUT!GA51</f>
        <v>-1.3633015725819542</v>
      </c>
      <c r="FI136" s="688">
        <f>INPUT!GB51</f>
        <v>82.705057776093966</v>
      </c>
      <c r="FJ136" s="670">
        <f>INPUT!GC51</f>
        <v>-1.0393344689648476</v>
      </c>
      <c r="FK136" s="688">
        <f>INPUT!GD51</f>
        <v>81.435105013098891</v>
      </c>
      <c r="FL136" s="670">
        <f>INPUT!GE51</f>
        <v>-1.5355200723433327</v>
      </c>
      <c r="FM136" s="688">
        <f>INPUT!GF51</f>
        <v>79.21962001105112</v>
      </c>
      <c r="FN136" s="670">
        <f>INPUT!GG51</f>
        <v>-2.7205527661460116</v>
      </c>
      <c r="FO136" s="688">
        <f>INPUT!GH51</f>
        <v>76.525487570101305</v>
      </c>
      <c r="FP136" s="670">
        <f>INPUT!GI51</f>
        <v>-3.40083989367026</v>
      </c>
      <c r="FQ136" s="688">
        <f>INPUT!GJ51</f>
        <v>76.289370329337501</v>
      </c>
      <c r="FR136" s="670">
        <f>INPUT!GK51</f>
        <v>-0.30854718899701039</v>
      </c>
      <c r="FS136" s="688">
        <f>INPUT!GL51</f>
        <v>76.289370329337501</v>
      </c>
      <c r="FT136" s="670">
        <f>INPUT!GM51</f>
        <v>0</v>
      </c>
      <c r="FU136" s="688">
        <f>INPUT!GN51</f>
        <v>76.289370329337501</v>
      </c>
      <c r="FV136" s="670">
        <f>INPUT!GO51</f>
        <v>0</v>
      </c>
      <c r="FW136" s="688">
        <f>INPUT!GP51</f>
        <v>76.289370329337501</v>
      </c>
      <c r="FX136" s="670">
        <f>INPUT!GQ51</f>
        <v>0</v>
      </c>
      <c r="FY136" s="688">
        <f>INPUT!GR51</f>
        <v>76.289370329337501</v>
      </c>
      <c r="FZ136" s="670">
        <f>INPUT!GS51</f>
        <v>0</v>
      </c>
      <c r="GA136" s="681">
        <f>INPUT!GT51</f>
        <v>-6.1785740194664207E-2</v>
      </c>
    </row>
    <row r="137" spans="1:183" s="707" customFormat="1" ht="12.75" hidden="1" customHeight="1" outlineLevel="1" x14ac:dyDescent="0.2">
      <c r="A137" s="679" t="str">
        <f>INPUT!B53</f>
        <v>Other Expenses/Revenues (%)</v>
      </c>
      <c r="B137" s="688"/>
      <c r="C137" s="681"/>
      <c r="D137" s="688"/>
      <c r="E137" s="681"/>
      <c r="F137" s="688"/>
      <c r="G137" s="681"/>
      <c r="H137" s="688"/>
      <c r="I137" s="681"/>
      <c r="J137" s="688"/>
      <c r="K137" s="681"/>
      <c r="L137" s="688"/>
      <c r="M137" s="681"/>
      <c r="N137" s="688"/>
      <c r="O137" s="681"/>
      <c r="P137" s="688"/>
      <c r="Q137" s="681"/>
      <c r="R137" s="688">
        <f>INPUT!AC53</f>
        <v>18.886872353297036</v>
      </c>
      <c r="S137" s="681" t="str">
        <f>INPUT!AD53</f>
        <v>NA</v>
      </c>
      <c r="T137" s="688">
        <f>INPUT!AE53</f>
        <v>17.388688327316487</v>
      </c>
      <c r="U137" s="681" t="str">
        <f>INPUT!AF53</f>
        <v>NA</v>
      </c>
      <c r="V137" s="688">
        <f>INPUT!AG53</f>
        <v>17.349046288421818</v>
      </c>
      <c r="W137" s="681" t="str">
        <f>INPUT!AH53</f>
        <v>NA</v>
      </c>
      <c r="X137" s="688">
        <f>INPUT!AI53</f>
        <v>21.24171187462327</v>
      </c>
      <c r="Y137" s="681" t="str">
        <f>INPUT!AJ53</f>
        <v>NA</v>
      </c>
      <c r="Z137" s="688">
        <f>INPUT!AK53</f>
        <v>17.911746426351765</v>
      </c>
      <c r="AA137" s="681">
        <f>INPUT!AL53</f>
        <v>-5.1629825664334827</v>
      </c>
      <c r="AB137" s="688">
        <f>INPUT!AM53</f>
        <v>17.425742574257431</v>
      </c>
      <c r="AC137" s="681">
        <f>INPUT!AN53</f>
        <v>0.21309397375726125</v>
      </c>
      <c r="AD137" s="688">
        <f>INPUT!AO53</f>
        <v>17.504072171407092</v>
      </c>
      <c r="AE137" s="681">
        <f>INPUT!AP53</f>
        <v>0.8935700580194661</v>
      </c>
      <c r="AF137" s="688">
        <f>INPUT!AQ53</f>
        <v>18.399103697248851</v>
      </c>
      <c r="AG137" s="681">
        <f>INPUT!AR53</f>
        <v>-13.382199109716685</v>
      </c>
      <c r="AH137" s="688">
        <f>INPUT!AS53</f>
        <v>18.798889730002525</v>
      </c>
      <c r="AI137" s="681">
        <f>INPUT!AT53</f>
        <v>4.952857652928766</v>
      </c>
      <c r="AJ137" s="688">
        <f>INPUT!AU53</f>
        <v>17.836477987421382</v>
      </c>
      <c r="AK137" s="681">
        <f>INPUT!AV53</f>
        <v>2.3570611778158668</v>
      </c>
      <c r="AL137" s="688">
        <f>INPUT!AW53</f>
        <v>19.605597964376585</v>
      </c>
      <c r="AM137" s="681">
        <f>INPUT!AX53</f>
        <v>12.005925092118485</v>
      </c>
      <c r="AN137" s="688">
        <f>INPUT!AY53</f>
        <v>17.651394177619455</v>
      </c>
      <c r="AO137" s="670">
        <f>INPUT!AZ53</f>
        <v>-4.0638366516799307</v>
      </c>
      <c r="AP137" s="688">
        <f>INPUT!BA53</f>
        <v>18.880124143282035</v>
      </c>
      <c r="AQ137" s="670">
        <f>INPUT!BB53</f>
        <v>0.43212346285463887</v>
      </c>
      <c r="AR137" s="688">
        <f>INPUT!BC53</f>
        <v>16.479680877586638</v>
      </c>
      <c r="AS137" s="670">
        <f>INPUT!BD53</f>
        <v>-7.606866730032591</v>
      </c>
      <c r="AT137" s="688">
        <f>INPUT!BE53</f>
        <v>18.040973111395651</v>
      </c>
      <c r="AU137" s="670">
        <f>INPUT!BF53</f>
        <v>-7.9805005479754332</v>
      </c>
      <c r="AV137" s="688">
        <f>INPUT!BG53</f>
        <v>19.389865563598761</v>
      </c>
      <c r="AW137" s="670">
        <f>INPUT!BH53</f>
        <v>9.8489182694902802</v>
      </c>
      <c r="AX137" s="688">
        <f>INPUT!BI53</f>
        <v>19.250266808964785</v>
      </c>
      <c r="AY137" s="670">
        <f>INPUT!BJ53</f>
        <v>1.960488516249792</v>
      </c>
      <c r="AZ137" s="688">
        <f>INPUT!BK53</f>
        <v>19.457609268035807</v>
      </c>
      <c r="BA137" s="670">
        <f>INPUT!BL53</f>
        <v>18.070303742952511</v>
      </c>
      <c r="BB137" s="688">
        <f>INPUT!BM53</f>
        <v>19.055287171229203</v>
      </c>
      <c r="BC137" s="670">
        <f>INPUT!BN53</f>
        <v>5.6222802039034958</v>
      </c>
      <c r="BD137" s="688">
        <f>INPUT!BO53</f>
        <v>18.982283202344476</v>
      </c>
      <c r="BE137" s="670">
        <f>INPUT!BP53</f>
        <v>-2.1020380977754272</v>
      </c>
      <c r="BF137" s="688">
        <f>INPUT!BQ53</f>
        <v>19.886990077177511</v>
      </c>
      <c r="BG137" s="670">
        <f>INPUT!BR53</f>
        <v>3.3076074972436587</v>
      </c>
      <c r="BH137" s="688">
        <f>INPUT!BS53</f>
        <v>19.671452236333518</v>
      </c>
      <c r="BI137" s="670">
        <f>INPUT!BT53</f>
        <v>1.0990197477600994</v>
      </c>
      <c r="BJ137" s="688">
        <f>INPUT!BU53</f>
        <v>19.801842031816914</v>
      </c>
      <c r="BK137" s="670">
        <f>INPUT!BV53</f>
        <v>3.9178357895067739</v>
      </c>
      <c r="BL137" s="688">
        <f>INPUT!BW53</f>
        <v>20.508855777340457</v>
      </c>
      <c r="BM137" s="670">
        <f>INPUT!BX53</f>
        <v>8.042091452978827</v>
      </c>
      <c r="BN137" s="688">
        <f>INPUT!BY53</f>
        <v>19.890616004605647</v>
      </c>
      <c r="BO137" s="670">
        <f>INPUT!BZ53</f>
        <v>1.8232660719719185E-2</v>
      </c>
      <c r="BP137" s="688">
        <f>INPUT!CA53</f>
        <v>18.991692924663422</v>
      </c>
      <c r="BQ137" s="670">
        <f>INPUT!CB53</f>
        <v>-3.4555624236759175</v>
      </c>
      <c r="BR137" s="688">
        <f>INPUT!CC53</f>
        <v>19.40755873340143</v>
      </c>
      <c r="BS137" s="670">
        <f>INPUT!CD53</f>
        <v>-1.9911445499967262</v>
      </c>
      <c r="BT137" s="688">
        <f>INPUT!CE53</f>
        <v>20.308668685994519</v>
      </c>
      <c r="BU137" s="670">
        <f>INPUT!CF53</f>
        <v>-0.97610073189513535</v>
      </c>
      <c r="BV137" s="688">
        <f>INPUT!CG53</f>
        <v>20.2684761764272</v>
      </c>
      <c r="BW137" s="670">
        <f>INPUT!CH53</f>
        <v>1.8996906467555252</v>
      </c>
      <c r="BX137" s="688">
        <f>INPUT!CI53</f>
        <v>20.038084077925884</v>
      </c>
      <c r="BY137" s="670">
        <f>INPUT!CJ53</f>
        <v>5.509730793422718</v>
      </c>
      <c r="BZ137" s="688">
        <f>INPUT!CK53</f>
        <v>20.102189781021902</v>
      </c>
      <c r="CA137" s="670">
        <f>INPUT!CL53</f>
        <v>3.5791778716865341</v>
      </c>
      <c r="CB137" s="688">
        <f>INPUT!CM53</f>
        <v>19.891844489915229</v>
      </c>
      <c r="CC137" s="670">
        <f>INPUT!CN53</f>
        <v>-2.0524447098137166</v>
      </c>
      <c r="CD137" s="688">
        <f>INPUT!CO53</f>
        <v>19.763192515714078</v>
      </c>
      <c r="CE137" s="670">
        <f>INPUT!CP53</f>
        <v>-2.4929533740715049</v>
      </c>
      <c r="CF137" s="688">
        <f>INPUT!CQ53</f>
        <v>19.806195859638819</v>
      </c>
      <c r="CG137" s="670">
        <f>INPUT!CR53</f>
        <v>-1.1572374753258674</v>
      </c>
      <c r="CH137" s="688">
        <f>INPUT!CS53</f>
        <v>19.269298762522098</v>
      </c>
      <c r="CI137" s="670">
        <f>INPUT!CT53</f>
        <v>-4.1432850230382456</v>
      </c>
      <c r="CJ137" s="688">
        <f>INPUT!CU53</f>
        <v>20.407564873185752</v>
      </c>
      <c r="CK137" s="670">
        <f>INPUT!CV53</f>
        <v>2.59262223536878</v>
      </c>
      <c r="CL137" s="688">
        <f>INPUT!CW53</f>
        <v>19.009100101112235</v>
      </c>
      <c r="CM137" s="670">
        <f>INPUT!CX53</f>
        <v>-3.8156406866059256</v>
      </c>
      <c r="CN137" s="688">
        <f>INPUT!CY53</f>
        <v>19.420459534611446</v>
      </c>
      <c r="CO137" s="670">
        <f>INPUT!CZ53</f>
        <v>-1.9475538248787561</v>
      </c>
      <c r="CP137" s="688">
        <f>INPUT!DA53</f>
        <v>19.676509867932928</v>
      </c>
      <c r="CQ137" s="670">
        <f>INPUT!DB53</f>
        <v>2.1132637488751715</v>
      </c>
      <c r="CR137" s="688">
        <f>INPUT!DC53</f>
        <v>20.314842578710646</v>
      </c>
      <c r="CS137" s="670">
        <f>INPUT!DD53</f>
        <v>-0.45435256509676059</v>
      </c>
      <c r="CT137" s="688">
        <f>INPUT!DE53</f>
        <v>20.175048212431392</v>
      </c>
      <c r="CU137" s="670">
        <f>INPUT!DF53</f>
        <v>6.1336312877374732</v>
      </c>
      <c r="CV137" s="688">
        <f>INPUT!DG53</f>
        <v>20.077105575326218</v>
      </c>
      <c r="CW137" s="670">
        <f>INPUT!DH53</f>
        <v>3.3812075329344715</v>
      </c>
      <c r="CX137" s="688">
        <f>INPUT!DI53</f>
        <v>20.231557072881106</v>
      </c>
      <c r="CY137" s="670">
        <f>INPUT!DJ53</f>
        <v>2.820862077033004</v>
      </c>
      <c r="CZ137" s="688">
        <f>INPUT!DK53</f>
        <v>20.436593422375417</v>
      </c>
      <c r="DA137" s="670">
        <f>INPUT!DL53</f>
        <v>0.59931965110260332</v>
      </c>
      <c r="DB137" s="688">
        <f>INPUT!DM53</f>
        <v>20.210946408209807</v>
      </c>
      <c r="DC137" s="670">
        <f>INPUT!DN53</f>
        <v>0.17793363069287249</v>
      </c>
      <c r="DD137" s="688">
        <f>INPUT!DO53</f>
        <v>20.070323488045005</v>
      </c>
      <c r="DE137" s="670">
        <f>INPUT!DP53</f>
        <v>-3.3780204301703254E-2</v>
      </c>
      <c r="DF137" s="688">
        <f>INPUT!DQ53</f>
        <v>20.033764772087785</v>
      </c>
      <c r="DG137" s="670">
        <f>INPUT!DR53</f>
        <v>-0.97764250216038073</v>
      </c>
      <c r="DH137" s="688">
        <f>INPUT!DS53</f>
        <v>20.261801977440467</v>
      </c>
      <c r="DI137" s="670">
        <f>INPUT!DT53</f>
        <v>-0.85528659949547503</v>
      </c>
      <c r="DJ137" s="688">
        <f>INPUT!DU53</f>
        <v>19.8414867450123</v>
      </c>
      <c r="DK137" s="670">
        <f>INPUT!DV53</f>
        <v>-1.8280176283453464</v>
      </c>
      <c r="DL137" s="688">
        <f>INPUT!DW53</f>
        <v>19.59256220946131</v>
      </c>
      <c r="DM137" s="670">
        <f>INPUT!DX53</f>
        <v>-2.3804363635109183</v>
      </c>
      <c r="DN137" s="688">
        <f>INPUT!DY53</f>
        <v>19.408121128699243</v>
      </c>
      <c r="DO137" s="670">
        <f>INPUT!DZ53</f>
        <v>-3.1229459390489933</v>
      </c>
      <c r="DP137" s="688">
        <f>INPUT!EA53</f>
        <v>19.438386041439479</v>
      </c>
      <c r="DQ137" s="670">
        <f>INPUT!EB53</f>
        <v>-4.0638830490880355</v>
      </c>
      <c r="DR137" s="688">
        <f>INPUT!EC53</f>
        <v>19.800491937687895</v>
      </c>
      <c r="DS137" s="670">
        <f>INPUT!ED53</f>
        <v>-0.20661157024793875</v>
      </c>
      <c r="DT137" s="688">
        <f>INPUT!EE53</f>
        <v>20.008111396512099</v>
      </c>
      <c r="DU137" s="670">
        <f>INPUT!EF53</f>
        <v>2.1209537711720072</v>
      </c>
      <c r="DV137" s="688">
        <f>INPUT!EG53</f>
        <v>19.528481875170346</v>
      </c>
      <c r="DW137" s="670">
        <f>INPUT!EH53</f>
        <v>0.6201566121365687</v>
      </c>
      <c r="DX137" s="688">
        <f>INPUT!EI53</f>
        <v>20.29882891371652</v>
      </c>
      <c r="DY137" s="670">
        <f>INPUT!EJ53</f>
        <v>4.4265139628501871</v>
      </c>
      <c r="DZ137" s="688">
        <f>INPUT!EK53</f>
        <v>20.09882891371652</v>
      </c>
      <c r="EA137" s="670">
        <f>INPUT!EL53</f>
        <v>1.5067149693426485</v>
      </c>
      <c r="EB137" s="688">
        <f>INPUT!EM53</f>
        <v>20.09882891371652</v>
      </c>
      <c r="EC137" s="670">
        <f>INPUT!EN53</f>
        <v>0.45340369916291312</v>
      </c>
      <c r="ED137" s="688">
        <f>INPUT!EO53</f>
        <v>20.09882891371652</v>
      </c>
      <c r="EE137" s="670">
        <f>INPUT!EP53</f>
        <v>2.9205907668191422</v>
      </c>
      <c r="EF137" s="688">
        <f>INPUT!EQ53</f>
        <v>20.09882891371652</v>
      </c>
      <c r="EG137" s="670">
        <f>INPUT!ER53</f>
        <v>-0.98527851458886095</v>
      </c>
      <c r="EH137" s="670"/>
      <c r="EI137" s="688">
        <f>INPUT!FB53</f>
        <v>0</v>
      </c>
      <c r="EJ137" s="681">
        <f>INPUT!FC53</f>
        <v>0</v>
      </c>
      <c r="EK137" s="688">
        <f>INPUT!FD53</f>
        <v>17.390476190476186</v>
      </c>
      <c r="EL137" s="681" t="str">
        <f>INPUT!FE53</f>
        <v>NA</v>
      </c>
      <c r="EM137" s="688">
        <f>INPUT!FF53</f>
        <v>18.49070207588548</v>
      </c>
      <c r="EN137" s="681">
        <f>INPUT!FG53</f>
        <v>6.3266001077752376</v>
      </c>
      <c r="EO137" s="688">
        <f>INPUT!FH53</f>
        <v>18.718467720008462</v>
      </c>
      <c r="EP137" s="681">
        <f>INPUT!FI53</f>
        <v>1.2317847272009352</v>
      </c>
      <c r="EQ137" s="688">
        <f>INPUT!FJ53</f>
        <v>17.810137216465971</v>
      </c>
      <c r="ER137" s="670">
        <f>INPUT!FK53</f>
        <v>-4.8525900577404695</v>
      </c>
      <c r="ES137" s="688">
        <f>INPUT!FL53</f>
        <v>18.464723782037201</v>
      </c>
      <c r="ET137" s="670">
        <f>INPUT!FM53</f>
        <v>3.6753594743000884</v>
      </c>
      <c r="EU137" s="688">
        <f>INPUT!FN53</f>
        <v>18.181527746717357</v>
      </c>
      <c r="EV137" s="670">
        <f>INPUT!FO53</f>
        <v>-1.5337139004231504</v>
      </c>
      <c r="EW137" s="688">
        <f>INPUT!FP53</f>
        <v>19.187381451532392</v>
      </c>
      <c r="EX137" s="670">
        <f>INPUT!FQ53</f>
        <v>5.5322837487990606</v>
      </c>
      <c r="EY137" s="688">
        <f>INPUT!FR53</f>
        <v>19.965253648366925</v>
      </c>
      <c r="EZ137" s="670">
        <f>INPUT!FS53</f>
        <v>4.0540820997354343</v>
      </c>
      <c r="FA137" s="688">
        <f>INPUT!FT53</f>
        <v>19.649300043296297</v>
      </c>
      <c r="FB137" s="670">
        <f>INPUT!FU53</f>
        <v>-1.5825173605869658</v>
      </c>
      <c r="FC137" s="688">
        <f>INPUT!FV53</f>
        <v>20.074730749505456</v>
      </c>
      <c r="FD137" s="670">
        <f>INPUT!FW53</f>
        <v>2.1651188860251747</v>
      </c>
      <c r="FE137" s="688">
        <f>INPUT!FX53</f>
        <v>19.821638285378747</v>
      </c>
      <c r="FF137" s="670">
        <f>INPUT!FY53</f>
        <v>-1.2607514754983451</v>
      </c>
      <c r="FG137" s="688">
        <f>INPUT!FZ53</f>
        <v>19.598748389471744</v>
      </c>
      <c r="FH137" s="670">
        <f>INPUT!GA53</f>
        <v>-1.1244776677789337</v>
      </c>
      <c r="FI137" s="688">
        <f>INPUT!GB53</f>
        <v>20.231745447857275</v>
      </c>
      <c r="FJ137" s="670">
        <f>INPUT!GC53</f>
        <v>3.2297830749517198</v>
      </c>
      <c r="FK137" s="688">
        <f>INPUT!GD53</f>
        <v>20.144289987682562</v>
      </c>
      <c r="FL137" s="670">
        <f>INPUT!GE53</f>
        <v>-0.43226848815446361</v>
      </c>
      <c r="FM137" s="688">
        <f>INPUT!GF53</f>
        <v>19.5703485786611</v>
      </c>
      <c r="FN137" s="670">
        <f>INPUT!GG53</f>
        <v>-2.8491518409058059</v>
      </c>
      <c r="FO137" s="688">
        <f>INPUT!GH53</f>
        <v>19.910453836239061</v>
      </c>
      <c r="FP137" s="670">
        <f>INPUT!GI53</f>
        <v>1.7378599885992774</v>
      </c>
      <c r="FQ137" s="688">
        <f>INPUT!GJ53</f>
        <v>20.098828913716517</v>
      </c>
      <c r="FR137" s="670">
        <f>INPUT!GK53</f>
        <v>0.94611141979392688</v>
      </c>
      <c r="FS137" s="688">
        <f>INPUT!GL53</f>
        <v>20.098828913716517</v>
      </c>
      <c r="FT137" s="670">
        <f>INPUT!GM53</f>
        <v>0</v>
      </c>
      <c r="FU137" s="688">
        <f>INPUT!GN53</f>
        <v>20.098828913716517</v>
      </c>
      <c r="FV137" s="670">
        <f>INPUT!GO53</f>
        <v>0</v>
      </c>
      <c r="FW137" s="688">
        <f>INPUT!GP53</f>
        <v>20.098828913716517</v>
      </c>
      <c r="FX137" s="670">
        <f>INPUT!GQ53</f>
        <v>0</v>
      </c>
      <c r="FY137" s="688">
        <f>INPUT!GR53</f>
        <v>20.098828913716517</v>
      </c>
      <c r="FZ137" s="670">
        <f>INPUT!GS53</f>
        <v>0</v>
      </c>
      <c r="GA137" s="681">
        <f>INPUT!GT53</f>
        <v>0.18851022084449554</v>
      </c>
    </row>
    <row r="138" spans="1:183" s="707" customFormat="1" ht="12.75" hidden="1" customHeight="1" outlineLevel="1" x14ac:dyDescent="0.2">
      <c r="A138" s="679"/>
      <c r="B138" s="688"/>
      <c r="C138" s="681"/>
      <c r="D138" s="688"/>
      <c r="E138" s="681"/>
      <c r="F138" s="688"/>
      <c r="G138" s="681"/>
      <c r="H138" s="688"/>
      <c r="I138" s="681"/>
      <c r="J138" s="688"/>
      <c r="K138" s="681"/>
      <c r="L138" s="688"/>
      <c r="M138" s="681"/>
      <c r="N138" s="688"/>
      <c r="O138" s="681"/>
      <c r="P138" s="688"/>
      <c r="Q138" s="681"/>
      <c r="R138" s="688"/>
      <c r="S138" s="681"/>
      <c r="T138" s="688"/>
      <c r="U138" s="681"/>
      <c r="V138" s="688"/>
      <c r="W138" s="681"/>
      <c r="X138" s="688"/>
      <c r="Y138" s="681"/>
      <c r="Z138" s="688"/>
      <c r="AA138" s="681"/>
      <c r="AB138" s="688"/>
      <c r="AC138" s="681"/>
      <c r="AD138" s="688"/>
      <c r="AE138" s="681"/>
      <c r="AF138" s="688"/>
      <c r="AG138" s="681"/>
      <c r="AH138" s="688"/>
      <c r="AI138" s="681"/>
      <c r="AJ138" s="688"/>
      <c r="AK138" s="681"/>
      <c r="AL138" s="688"/>
      <c r="AM138" s="681"/>
      <c r="AN138" s="688"/>
      <c r="AO138" s="670"/>
      <c r="AP138" s="688"/>
      <c r="AQ138" s="670"/>
      <c r="AR138" s="688"/>
      <c r="AS138" s="670"/>
      <c r="AT138" s="688"/>
      <c r="AU138" s="670"/>
      <c r="AV138" s="688"/>
      <c r="AW138" s="670"/>
      <c r="AX138" s="688"/>
      <c r="AY138" s="670"/>
      <c r="AZ138" s="688"/>
      <c r="BA138" s="670"/>
      <c r="BB138" s="688"/>
      <c r="BC138" s="670"/>
      <c r="BD138" s="688"/>
      <c r="BE138" s="670"/>
      <c r="BF138" s="688"/>
      <c r="BG138" s="670"/>
      <c r="BH138" s="688"/>
      <c r="BI138" s="670"/>
      <c r="BJ138" s="688"/>
      <c r="BK138" s="670"/>
      <c r="BL138" s="688"/>
      <c r="BM138" s="670"/>
      <c r="BN138" s="688"/>
      <c r="BO138" s="670"/>
      <c r="BP138" s="688"/>
      <c r="BQ138" s="670"/>
      <c r="BR138" s="688"/>
      <c r="BS138" s="670"/>
      <c r="BT138" s="688"/>
      <c r="BU138" s="670"/>
      <c r="BV138" s="688"/>
      <c r="BW138" s="670"/>
      <c r="BX138" s="688"/>
      <c r="BY138" s="670"/>
      <c r="BZ138" s="688"/>
      <c r="CA138" s="670"/>
      <c r="CB138" s="688"/>
      <c r="CC138" s="670"/>
      <c r="CD138" s="688"/>
      <c r="CE138" s="670"/>
      <c r="CF138" s="688"/>
      <c r="CG138" s="670"/>
      <c r="CH138" s="688"/>
      <c r="CI138" s="670"/>
      <c r="CJ138" s="688"/>
      <c r="CK138" s="670"/>
      <c r="CL138" s="688"/>
      <c r="CM138" s="670"/>
      <c r="CN138" s="688"/>
      <c r="CO138" s="670"/>
      <c r="CP138" s="688"/>
      <c r="CQ138" s="670"/>
      <c r="CR138" s="688"/>
      <c r="CS138" s="670"/>
      <c r="CT138" s="688"/>
      <c r="CU138" s="670"/>
      <c r="CV138" s="688"/>
      <c r="CW138" s="670"/>
      <c r="CX138" s="688"/>
      <c r="CY138" s="670"/>
      <c r="CZ138" s="688"/>
      <c r="DA138" s="670"/>
      <c r="DB138" s="688"/>
      <c r="DC138" s="670"/>
      <c r="DD138" s="688"/>
      <c r="DE138" s="670"/>
      <c r="DF138" s="688"/>
      <c r="DG138" s="670"/>
      <c r="DH138" s="688"/>
      <c r="DI138" s="670"/>
      <c r="DJ138" s="688"/>
      <c r="DK138" s="670"/>
      <c r="DL138" s="688"/>
      <c r="DM138" s="670"/>
      <c r="DN138" s="688"/>
      <c r="DO138" s="670"/>
      <c r="DP138" s="688"/>
      <c r="DQ138" s="670"/>
      <c r="DR138" s="688"/>
      <c r="DS138" s="670"/>
      <c r="DT138" s="688"/>
      <c r="DU138" s="670"/>
      <c r="DV138" s="688"/>
      <c r="DW138" s="670"/>
      <c r="DX138" s="688"/>
      <c r="DY138" s="670"/>
      <c r="DZ138" s="688"/>
      <c r="EA138" s="670"/>
      <c r="EB138" s="688"/>
      <c r="EC138" s="670"/>
      <c r="ED138" s="688"/>
      <c r="EE138" s="670"/>
      <c r="EF138" s="688"/>
      <c r="EG138" s="670"/>
      <c r="EH138" s="670"/>
      <c r="EI138" s="688"/>
      <c r="EJ138" s="681"/>
      <c r="EK138" s="688"/>
      <c r="EL138" s="681"/>
      <c r="EM138" s="688"/>
      <c r="EN138" s="681"/>
      <c r="EO138" s="688"/>
      <c r="EP138" s="681"/>
      <c r="EQ138" s="688"/>
      <c r="ER138" s="670"/>
      <c r="ES138" s="688"/>
      <c r="ET138" s="670"/>
      <c r="EU138" s="688"/>
      <c r="EV138" s="670"/>
      <c r="EW138" s="688"/>
      <c r="EX138" s="670"/>
      <c r="EY138" s="688"/>
      <c r="EZ138" s="670"/>
      <c r="FA138" s="688"/>
      <c r="FB138" s="670"/>
      <c r="FC138" s="688"/>
      <c r="FD138" s="670"/>
      <c r="FE138" s="688"/>
      <c r="FF138" s="670"/>
      <c r="FG138" s="688"/>
      <c r="FH138" s="670"/>
      <c r="FI138" s="688"/>
      <c r="FJ138" s="670"/>
      <c r="FK138" s="688"/>
      <c r="FL138" s="670"/>
      <c r="FM138" s="688"/>
      <c r="FN138" s="670"/>
      <c r="FO138" s="688"/>
      <c r="FP138" s="670"/>
      <c r="FQ138" s="688"/>
      <c r="FR138" s="670"/>
      <c r="FS138" s="688"/>
      <c r="FT138" s="670"/>
      <c r="FU138" s="688"/>
      <c r="FV138" s="670"/>
      <c r="FW138" s="688"/>
      <c r="FX138" s="670"/>
      <c r="FY138" s="688"/>
      <c r="FZ138" s="670"/>
      <c r="GA138" s="681"/>
    </row>
    <row r="139" spans="1:183" s="707" customFormat="1" ht="12.75" hidden="1" customHeight="1" outlineLevel="1" x14ac:dyDescent="0.2">
      <c r="A139" s="677" t="str">
        <f>INPUT!B61</f>
        <v>Sales Data</v>
      </c>
      <c r="B139" s="688"/>
      <c r="C139" s="681"/>
      <c r="D139" s="688"/>
      <c r="E139" s="681"/>
      <c r="F139" s="688"/>
      <c r="G139" s="681"/>
      <c r="H139" s="688"/>
      <c r="I139" s="681"/>
      <c r="J139" s="688"/>
      <c r="K139" s="681"/>
      <c r="L139" s="688"/>
      <c r="M139" s="681"/>
      <c r="N139" s="688"/>
      <c r="O139" s="681"/>
      <c r="P139" s="688"/>
      <c r="Q139" s="681"/>
      <c r="R139" s="688"/>
      <c r="S139" s="681"/>
      <c r="T139" s="688"/>
      <c r="U139" s="681"/>
      <c r="V139" s="688"/>
      <c r="W139" s="681"/>
      <c r="X139" s="688"/>
      <c r="Y139" s="681"/>
      <c r="Z139" s="688"/>
      <c r="AA139" s="681"/>
      <c r="AB139" s="688"/>
      <c r="AC139" s="681"/>
      <c r="AD139" s="688"/>
      <c r="AE139" s="681"/>
      <c r="AF139" s="688"/>
      <c r="AG139" s="681"/>
      <c r="AH139" s="688"/>
      <c r="AI139" s="681"/>
      <c r="AJ139" s="688"/>
      <c r="AK139" s="681"/>
      <c r="AL139" s="688"/>
      <c r="AM139" s="681"/>
      <c r="AN139" s="688"/>
      <c r="AO139" s="670"/>
      <c r="AP139" s="688"/>
      <c r="AQ139" s="670"/>
      <c r="AR139" s="688"/>
      <c r="AS139" s="670"/>
      <c r="AT139" s="688"/>
      <c r="AU139" s="670"/>
      <c r="AV139" s="688"/>
      <c r="AW139" s="670"/>
      <c r="AX139" s="688"/>
      <c r="AY139" s="670"/>
      <c r="AZ139" s="688"/>
      <c r="BA139" s="670"/>
      <c r="BB139" s="688"/>
      <c r="BC139" s="670"/>
      <c r="BD139" s="688"/>
      <c r="BE139" s="670"/>
      <c r="BF139" s="688"/>
      <c r="BG139" s="670"/>
      <c r="BH139" s="688"/>
      <c r="BI139" s="670"/>
      <c r="BJ139" s="688"/>
      <c r="BK139" s="670"/>
      <c r="BL139" s="688"/>
      <c r="BM139" s="670"/>
      <c r="BN139" s="688"/>
      <c r="BO139" s="670"/>
      <c r="BP139" s="688"/>
      <c r="BQ139" s="670"/>
      <c r="BR139" s="688"/>
      <c r="BS139" s="670"/>
      <c r="BT139" s="688"/>
      <c r="BU139" s="670"/>
      <c r="BV139" s="688"/>
      <c r="BW139" s="670"/>
      <c r="BX139" s="688"/>
      <c r="BY139" s="670"/>
      <c r="BZ139" s="688"/>
      <c r="CA139" s="670"/>
      <c r="CB139" s="688"/>
      <c r="CC139" s="670"/>
      <c r="CD139" s="688"/>
      <c r="CE139" s="670"/>
      <c r="CF139" s="688"/>
      <c r="CG139" s="670"/>
      <c r="CH139" s="688"/>
      <c r="CI139" s="670"/>
      <c r="CJ139" s="688"/>
      <c r="CK139" s="670"/>
      <c r="CL139" s="688"/>
      <c r="CM139" s="670"/>
      <c r="CN139" s="688"/>
      <c r="CO139" s="670"/>
      <c r="CP139" s="688"/>
      <c r="CQ139" s="670"/>
      <c r="CR139" s="688"/>
      <c r="CS139" s="670"/>
      <c r="CT139" s="688"/>
      <c r="CU139" s="670"/>
      <c r="CV139" s="688"/>
      <c r="CW139" s="670"/>
      <c r="CX139" s="688"/>
      <c r="CY139" s="670"/>
      <c r="CZ139" s="688"/>
      <c r="DA139" s="670"/>
      <c r="DB139" s="688"/>
      <c r="DC139" s="670"/>
      <c r="DD139" s="688"/>
      <c r="DE139" s="670"/>
      <c r="DF139" s="688"/>
      <c r="DG139" s="670"/>
      <c r="DH139" s="688"/>
      <c r="DI139" s="670"/>
      <c r="DJ139" s="688"/>
      <c r="DK139" s="670"/>
      <c r="DL139" s="688"/>
      <c r="DM139" s="670"/>
      <c r="DN139" s="688"/>
      <c r="DO139" s="670"/>
      <c r="DP139" s="688"/>
      <c r="DQ139" s="670"/>
      <c r="DR139" s="688"/>
      <c r="DS139" s="670"/>
      <c r="DT139" s="688"/>
      <c r="DU139" s="670"/>
      <c r="DV139" s="688"/>
      <c r="DW139" s="670"/>
      <c r="DX139" s="688"/>
      <c r="DY139" s="670"/>
      <c r="DZ139" s="688"/>
      <c r="EA139" s="670"/>
      <c r="EB139" s="688"/>
      <c r="EC139" s="670"/>
      <c r="ED139" s="688"/>
      <c r="EE139" s="670"/>
      <c r="EF139" s="688"/>
      <c r="EG139" s="670"/>
      <c r="EH139" s="670"/>
      <c r="EI139" s="688"/>
      <c r="EJ139" s="681"/>
      <c r="EK139" s="688"/>
      <c r="EL139" s="681"/>
      <c r="EM139" s="688"/>
      <c r="EN139" s="681"/>
      <c r="EO139" s="688"/>
      <c r="EP139" s="681"/>
      <c r="EQ139" s="688"/>
      <c r="ER139" s="670"/>
      <c r="ES139" s="688"/>
      <c r="ET139" s="670"/>
      <c r="EU139" s="688"/>
      <c r="EV139" s="670"/>
      <c r="EW139" s="688"/>
      <c r="EX139" s="670"/>
      <c r="EY139" s="688"/>
      <c r="EZ139" s="670"/>
      <c r="FA139" s="688"/>
      <c r="FB139" s="670"/>
      <c r="FC139" s="688"/>
      <c r="FD139" s="670"/>
      <c r="FE139" s="688"/>
      <c r="FF139" s="670"/>
      <c r="FG139" s="688"/>
      <c r="FH139" s="670"/>
      <c r="FI139" s="688"/>
      <c r="FJ139" s="670"/>
      <c r="FK139" s="688"/>
      <c r="FL139" s="670"/>
      <c r="FM139" s="688"/>
      <c r="FN139" s="670"/>
      <c r="FO139" s="688"/>
      <c r="FP139" s="670"/>
      <c r="FQ139" s="688"/>
      <c r="FR139" s="670"/>
      <c r="FS139" s="688"/>
      <c r="FT139" s="670"/>
      <c r="FU139" s="688"/>
      <c r="FV139" s="670"/>
      <c r="FW139" s="688"/>
      <c r="FX139" s="670"/>
      <c r="FY139" s="688"/>
      <c r="FZ139" s="670"/>
      <c r="GA139" s="681"/>
    </row>
    <row r="140" spans="1:183" s="707" customFormat="1" ht="12.75" hidden="1" customHeight="1" outlineLevel="1" x14ac:dyDescent="0.2">
      <c r="A140" s="679" t="str">
        <f>INPUT!B62</f>
        <v xml:space="preserve">  LTD Fully Insured</v>
      </c>
      <c r="B140" s="688"/>
      <c r="C140" s="681"/>
      <c r="D140" s="688"/>
      <c r="E140" s="681"/>
      <c r="F140" s="688"/>
      <c r="G140" s="681"/>
      <c r="H140" s="688"/>
      <c r="I140" s="681"/>
      <c r="J140" s="688"/>
      <c r="K140" s="681"/>
      <c r="L140" s="688"/>
      <c r="M140" s="681"/>
      <c r="N140" s="688"/>
      <c r="O140" s="681"/>
      <c r="P140" s="688"/>
      <c r="Q140" s="681"/>
      <c r="R140" s="688">
        <f>INPUT!AC62</f>
        <v>35.799999999999997</v>
      </c>
      <c r="S140" s="681" t="str">
        <f>INPUT!AD62</f>
        <v>NA</v>
      </c>
      <c r="T140" s="688">
        <f>INPUT!AE62</f>
        <v>41</v>
      </c>
      <c r="U140" s="681" t="str">
        <f>INPUT!AF62</f>
        <v>NA</v>
      </c>
      <c r="V140" s="688">
        <f>INPUT!AG62</f>
        <v>23.8</v>
      </c>
      <c r="W140" s="681" t="str">
        <f>INPUT!AH62</f>
        <v>NA</v>
      </c>
      <c r="X140" s="688">
        <f>INPUT!AI62</f>
        <v>79.8</v>
      </c>
      <c r="Y140" s="681" t="str">
        <f>INPUT!AJ62</f>
        <v>NA</v>
      </c>
      <c r="Z140" s="688">
        <f>INPUT!AK62</f>
        <v>37</v>
      </c>
      <c r="AA140" s="681">
        <f>INPUT!AL62</f>
        <v>3.3519553072625774</v>
      </c>
      <c r="AB140" s="688">
        <f>INPUT!AM62</f>
        <v>47.7</v>
      </c>
      <c r="AC140" s="681">
        <f>INPUT!AN62</f>
        <v>16.341463414634163</v>
      </c>
      <c r="AD140" s="688">
        <f>INPUT!AO62</f>
        <v>27.6</v>
      </c>
      <c r="AE140" s="681">
        <f>INPUT!AP62</f>
        <v>15.96638655462186</v>
      </c>
      <c r="AF140" s="688">
        <f>INPUT!AQ62</f>
        <v>68.099999999999994</v>
      </c>
      <c r="AG140" s="681">
        <f>INPUT!AR62</f>
        <v>-14.661654135338352</v>
      </c>
      <c r="AH140" s="688">
        <f>INPUT!AS62</f>
        <v>43.1</v>
      </c>
      <c r="AI140" s="681">
        <f>INPUT!AT62</f>
        <v>16.486486486486495</v>
      </c>
      <c r="AJ140" s="688">
        <f>INPUT!AU62</f>
        <v>50.9</v>
      </c>
      <c r="AK140" s="681">
        <f>INPUT!AV62</f>
        <v>6.7085953878406546</v>
      </c>
      <c r="AL140" s="688">
        <f>INPUT!AW62</f>
        <v>25.4</v>
      </c>
      <c r="AM140" s="681">
        <f>INPUT!AX62</f>
        <v>-7.9710144927536364</v>
      </c>
      <c r="AN140" s="688">
        <f>INPUT!AY62</f>
        <v>89.1</v>
      </c>
      <c r="AO140" s="670">
        <f>INPUT!AZ62</f>
        <v>30.83700440528634</v>
      </c>
      <c r="AP140" s="688">
        <f>INPUT!BA62</f>
        <v>25.5</v>
      </c>
      <c r="AQ140" s="670">
        <f>INPUT!BB62</f>
        <v>-40.835266821345705</v>
      </c>
      <c r="AR140" s="688">
        <f>INPUT!BC62</f>
        <v>53</v>
      </c>
      <c r="AS140" s="670">
        <f>INPUT!BD62</f>
        <v>4.1257367387033339</v>
      </c>
      <c r="AT140" s="688">
        <f>INPUT!BE62</f>
        <v>23.9</v>
      </c>
      <c r="AU140" s="670">
        <f>INPUT!BF62</f>
        <v>-5.9055118110236222</v>
      </c>
      <c r="AV140" s="688">
        <f>INPUT!BG62</f>
        <v>75.3</v>
      </c>
      <c r="AW140" s="670">
        <f>INPUT!BH62</f>
        <v>-15.488215488215484</v>
      </c>
      <c r="AX140" s="688">
        <f>INPUT!BI62</f>
        <v>36.1</v>
      </c>
      <c r="AY140" s="670">
        <f>INPUT!BJ62</f>
        <v>41.568627450980401</v>
      </c>
      <c r="AZ140" s="688">
        <f>INPUT!BK62</f>
        <v>45.4</v>
      </c>
      <c r="BA140" s="670">
        <f>INPUT!BL62</f>
        <v>-14.339622641509441</v>
      </c>
      <c r="BB140" s="688">
        <f>INPUT!BM62</f>
        <v>31.4</v>
      </c>
      <c r="BC140" s="670">
        <f>INPUT!BN62</f>
        <v>31.380753138075313</v>
      </c>
      <c r="BD140" s="688">
        <f>INPUT!BO62</f>
        <v>77.400000000000006</v>
      </c>
      <c r="BE140" s="670">
        <f>INPUT!BP62</f>
        <v>2.788844621513964</v>
      </c>
      <c r="BF140" s="688">
        <f>INPUT!BQ62</f>
        <v>31.7</v>
      </c>
      <c r="BG140" s="670">
        <f>INPUT!BR62</f>
        <v>-12.188365650969535</v>
      </c>
      <c r="BH140" s="688">
        <f>INPUT!BS62</f>
        <v>54.3</v>
      </c>
      <c r="BI140" s="670">
        <f>INPUT!BT62</f>
        <v>19.6035242290749</v>
      </c>
      <c r="BJ140" s="688">
        <f>INPUT!BU62</f>
        <v>20.7</v>
      </c>
      <c r="BK140" s="670">
        <f>INPUT!BV62</f>
        <v>0</v>
      </c>
      <c r="BL140" s="688">
        <f>INPUT!BW62</f>
        <v>75.400000000000006</v>
      </c>
      <c r="BM140" s="670">
        <f>INPUT!BX62</f>
        <v>0</v>
      </c>
      <c r="BN140" s="688">
        <f>INPUT!BY62</f>
        <v>27.6</v>
      </c>
      <c r="BO140" s="670">
        <f>INPUT!BZ62</f>
        <v>-12.933753943217663</v>
      </c>
      <c r="BP140" s="688">
        <f>INPUT!CA62</f>
        <v>32.200000000000003</v>
      </c>
      <c r="BQ140" s="670">
        <f>INPUT!CB62</f>
        <v>-40.699815837937379</v>
      </c>
      <c r="BR140" s="688">
        <f>INPUT!CC62</f>
        <v>21.2</v>
      </c>
      <c r="BS140" s="670">
        <f>INPUT!CD62</f>
        <v>2.4154589371980784</v>
      </c>
      <c r="BT140" s="688">
        <f>INPUT!CE62</f>
        <v>67.3</v>
      </c>
      <c r="BU140" s="670">
        <f>INPUT!CF62</f>
        <v>-10.742705570291788</v>
      </c>
      <c r="BV140" s="688">
        <f>INPUT!CG62</f>
        <v>29.5</v>
      </c>
      <c r="BW140" s="670">
        <f>INPUT!CH62</f>
        <v>6.8840579710144789</v>
      </c>
      <c r="BX140" s="688">
        <f>INPUT!CI62</f>
        <v>38.299999999999997</v>
      </c>
      <c r="BY140" s="670">
        <f>INPUT!CJ62</f>
        <v>18.944099378881972</v>
      </c>
      <c r="BZ140" s="688">
        <f>INPUT!CK62</f>
        <v>22</v>
      </c>
      <c r="CA140" s="670">
        <f>INPUT!CL62</f>
        <v>3.7735849056603765</v>
      </c>
      <c r="CB140" s="688">
        <f>INPUT!CM62</f>
        <v>75.2</v>
      </c>
      <c r="CC140" s="670">
        <f>INPUT!CN62</f>
        <v>11.738484398216942</v>
      </c>
      <c r="CD140" s="688">
        <f>INPUT!CO62</f>
        <v>35.799999999999997</v>
      </c>
      <c r="CE140" s="670">
        <f>INPUT!CP62</f>
        <v>21.355932203389827</v>
      </c>
      <c r="CF140" s="688">
        <f>INPUT!CQ62</f>
        <v>36</v>
      </c>
      <c r="CG140" s="670">
        <f>INPUT!CR62</f>
        <v>-6.0052219321148792</v>
      </c>
      <c r="CH140" s="688">
        <f>INPUT!CS62</f>
        <v>23.6</v>
      </c>
      <c r="CI140" s="670">
        <f>INPUT!CT62</f>
        <v>7.2727272727272751</v>
      </c>
      <c r="CJ140" s="688">
        <f>INPUT!CU62</f>
        <v>86.8</v>
      </c>
      <c r="CK140" s="670">
        <f>INPUT!CV62</f>
        <v>15.42553191489362</v>
      </c>
      <c r="CL140" s="688">
        <f>INPUT!CW62</f>
        <v>31.1</v>
      </c>
      <c r="CM140" s="670">
        <f>INPUT!CX62</f>
        <v>-13.128491620111726</v>
      </c>
      <c r="CN140" s="688">
        <f>INPUT!CY62</f>
        <v>32.799999999999997</v>
      </c>
      <c r="CO140" s="670">
        <f>INPUT!CZ62</f>
        <v>-8.8888888888889017</v>
      </c>
      <c r="CP140" s="688">
        <f>INPUT!DA62</f>
        <v>25.7</v>
      </c>
      <c r="CQ140" s="670">
        <f>INPUT!DB62</f>
        <v>8.8983050847457612</v>
      </c>
      <c r="CR140" s="688">
        <f>INPUT!DC62</f>
        <v>83.7</v>
      </c>
      <c r="CS140" s="670">
        <f>INPUT!DD62</f>
        <v>-3.5714285714285698</v>
      </c>
      <c r="CT140" s="688">
        <f>INPUT!DE62</f>
        <v>32.700000000000003</v>
      </c>
      <c r="CU140" s="670">
        <f>INPUT!DF62</f>
        <v>5.1446945337620731</v>
      </c>
      <c r="CV140" s="688">
        <f>INPUT!DG62</f>
        <v>46.8</v>
      </c>
      <c r="CW140" s="670">
        <f>INPUT!DH62</f>
        <v>42.682926829268283</v>
      </c>
      <c r="CX140" s="688">
        <f>INPUT!DI62</f>
        <v>28</v>
      </c>
      <c r="CY140" s="670">
        <f>INPUT!DJ62</f>
        <v>8.949416342412464</v>
      </c>
      <c r="CZ140" s="688">
        <f>INPUT!DK62</f>
        <v>116.1</v>
      </c>
      <c r="DA140" s="670">
        <f>INPUT!DL62</f>
        <v>38.709677419354826</v>
      </c>
      <c r="DB140" s="688">
        <f>INPUT!DM62</f>
        <v>37.299999999999997</v>
      </c>
      <c r="DC140" s="670">
        <f>INPUT!DN62</f>
        <v>14.067278287461749</v>
      </c>
      <c r="DD140" s="688">
        <f>INPUT!DO62</f>
        <v>51.9</v>
      </c>
      <c r="DE140" s="670">
        <f>INPUT!DP62</f>
        <v>10.897435897435903</v>
      </c>
      <c r="DF140" s="688">
        <f>INPUT!DQ62</f>
        <v>34.299999999999997</v>
      </c>
      <c r="DG140" s="670">
        <f>INPUT!DR62</f>
        <v>22.499999999999986</v>
      </c>
      <c r="DH140" s="688">
        <f>INPUT!DS62</f>
        <v>116.2</v>
      </c>
      <c r="DI140" s="670">
        <f>INPUT!DT62</f>
        <v>8.6132644272196579E-2</v>
      </c>
      <c r="DJ140" s="688">
        <f>INPUT!DU62</f>
        <v>37.5</v>
      </c>
      <c r="DK140" s="670">
        <f>INPUT!DV62</f>
        <v>0.53619302949061698</v>
      </c>
      <c r="DL140" s="688">
        <f>INPUT!DW62</f>
        <v>48.3</v>
      </c>
      <c r="DM140" s="670">
        <f>INPUT!DX62</f>
        <v>-6.9364161849711063</v>
      </c>
      <c r="DN140" s="688">
        <f>INPUT!DY62</f>
        <v>24.3</v>
      </c>
      <c r="DO140" s="670">
        <f>INPUT!DZ62</f>
        <v>-29.154518950437314</v>
      </c>
      <c r="DP140" s="688">
        <f>INPUT!EA62</f>
        <v>107.7</v>
      </c>
      <c r="DQ140" s="670">
        <f>INPUT!EB62</f>
        <v>-7.3149741824440673</v>
      </c>
      <c r="DR140" s="688">
        <f>INPUT!EC62</f>
        <v>36</v>
      </c>
      <c r="DS140" s="670">
        <f>INPUT!ED62</f>
        <v>-4.0000000000000036</v>
      </c>
      <c r="DT140" s="688">
        <f>INPUT!EE62</f>
        <v>47.5</v>
      </c>
      <c r="DU140" s="670">
        <f>INPUT!EF62</f>
        <v>-1.6563146997929601</v>
      </c>
      <c r="DV140" s="688">
        <f>INPUT!EG62</f>
        <v>31.1</v>
      </c>
      <c r="DW140" s="670">
        <f>INPUT!EH62</f>
        <v>27.983539094650212</v>
      </c>
      <c r="DX140" s="688">
        <f>INPUT!EI62</f>
        <v>126.2</v>
      </c>
      <c r="DY140" s="670">
        <f>INPUT!EJ62</f>
        <v>17.177344475394605</v>
      </c>
      <c r="DZ140" s="688">
        <f>INPUT!EK62</f>
        <v>0</v>
      </c>
      <c r="EA140" s="670" t="str">
        <f>INPUT!EL62</f>
        <v>NM</v>
      </c>
      <c r="EB140" s="688">
        <f>INPUT!EM62</f>
        <v>0</v>
      </c>
      <c r="EC140" s="670" t="str">
        <f>INPUT!EN62</f>
        <v>NM</v>
      </c>
      <c r="ED140" s="688">
        <f>INPUT!EO62</f>
        <v>0</v>
      </c>
      <c r="EE140" s="670" t="str">
        <f>INPUT!EP62</f>
        <v>NM</v>
      </c>
      <c r="EF140" s="688">
        <f>INPUT!EQ62</f>
        <v>0</v>
      </c>
      <c r="EG140" s="670" t="str">
        <f>INPUT!ER62</f>
        <v>NM</v>
      </c>
      <c r="EH140" s="670"/>
      <c r="EI140" s="688">
        <f>INPUT!FB62</f>
        <v>0</v>
      </c>
      <c r="EJ140" s="681">
        <f>INPUT!FC62</f>
        <v>0</v>
      </c>
      <c r="EK140" s="688">
        <f>INPUT!FD62</f>
        <v>325.2</v>
      </c>
      <c r="EL140" s="681" t="str">
        <f>INPUT!FE62</f>
        <v>NA</v>
      </c>
      <c r="EM140" s="688">
        <f>INPUT!FF62</f>
        <v>299.10000000000002</v>
      </c>
      <c r="EN140" s="681">
        <f>INPUT!FG62</f>
        <v>-8.0258302583025696</v>
      </c>
      <c r="EO140" s="688">
        <f>INPUT!FH62</f>
        <v>180.4</v>
      </c>
      <c r="EP140" s="681">
        <f>INPUT!FI62</f>
        <v>-39.685723838181211</v>
      </c>
      <c r="EQ140" s="688">
        <f>INPUT!FJ62</f>
        <v>0</v>
      </c>
      <c r="ER140" s="670" t="str">
        <f>INPUT!FK62</f>
        <v>NM</v>
      </c>
      <c r="ES140" s="688">
        <f>INPUT!FL62</f>
        <v>0</v>
      </c>
      <c r="ET140" s="670" t="str">
        <f>INPUT!FM62</f>
        <v>NA</v>
      </c>
      <c r="EU140" s="688">
        <f>INPUT!FN62</f>
        <v>0</v>
      </c>
      <c r="EV140" s="670" t="str">
        <f>INPUT!FO62</f>
        <v>NA</v>
      </c>
      <c r="EW140" s="688">
        <f>INPUT!FP62</f>
        <v>190.3</v>
      </c>
      <c r="EX140" s="670" t="str">
        <f>INPUT!FQ62</f>
        <v>NA</v>
      </c>
      <c r="EY140" s="669">
        <f>INPUT!FR62</f>
        <v>182.10000000000002</v>
      </c>
      <c r="EZ140" s="670">
        <f>INPUT!FS62</f>
        <v>-4.3089858118759761</v>
      </c>
      <c r="FA140" s="669">
        <f>INPUT!FT62</f>
        <v>148.30000000000001</v>
      </c>
      <c r="FB140" s="670">
        <f>INPUT!FU62</f>
        <v>-18.561230093355306</v>
      </c>
      <c r="FC140" s="669">
        <f>INPUT!FV62</f>
        <v>165</v>
      </c>
      <c r="FD140" s="670">
        <f>INPUT!FW62</f>
        <v>11.26095751854348</v>
      </c>
      <c r="FE140" s="669">
        <f>INPUT!FX62</f>
        <v>182.2</v>
      </c>
      <c r="FF140" s="670">
        <f>INPUT!FY62</f>
        <v>10.424242424242426</v>
      </c>
      <c r="FG140" s="669">
        <f>INPUT!FZ62</f>
        <v>173.3</v>
      </c>
      <c r="FH140" s="670">
        <f>INPUT!GA62</f>
        <v>-4.8847420417123866</v>
      </c>
      <c r="FI140" s="669">
        <f>INPUT!GB62</f>
        <v>223.6</v>
      </c>
      <c r="FJ140" s="670">
        <f>INPUT!GC62</f>
        <v>29.024812463935355</v>
      </c>
      <c r="FK140" s="669">
        <f>INPUT!GD62</f>
        <v>0</v>
      </c>
      <c r="FL140" s="670" t="str">
        <f>INPUT!GE62</f>
        <v>NM</v>
      </c>
      <c r="FM140" s="669">
        <f>INPUT!GF62</f>
        <v>0</v>
      </c>
      <c r="FN140" s="670" t="str">
        <f>INPUT!GG62</f>
        <v>NA</v>
      </c>
      <c r="FO140" s="669">
        <f>INPUT!GH62</f>
        <v>0</v>
      </c>
      <c r="FP140" s="670" t="str">
        <f>INPUT!GI62</f>
        <v>NA</v>
      </c>
      <c r="FQ140" s="669">
        <f>INPUT!GJ62</f>
        <v>0</v>
      </c>
      <c r="FR140" s="670" t="str">
        <f>INPUT!GK62</f>
        <v>NA</v>
      </c>
      <c r="FS140" s="669">
        <f>INPUT!GL62</f>
        <v>0</v>
      </c>
      <c r="FT140" s="670" t="str">
        <f>INPUT!GM62</f>
        <v>NA</v>
      </c>
      <c r="FU140" s="669">
        <f>INPUT!GN62</f>
        <v>0</v>
      </c>
      <c r="FV140" s="670" t="str">
        <f>INPUT!GO62</f>
        <v>NA</v>
      </c>
      <c r="FW140" s="669">
        <f>INPUT!GP62</f>
        <v>0</v>
      </c>
      <c r="FX140" s="670" t="str">
        <f>INPUT!GQ62</f>
        <v>NA</v>
      </c>
      <c r="FY140" s="669">
        <f>INPUT!GR62</f>
        <v>0</v>
      </c>
      <c r="FZ140" s="670" t="str">
        <f>INPUT!GS62</f>
        <v>NA</v>
      </c>
      <c r="GA140" s="681">
        <f>INPUT!GT56</f>
        <v>-1.6347096212395384</v>
      </c>
    </row>
    <row r="141" spans="1:183" s="707" customFormat="1" ht="12.75" hidden="1" customHeight="1" outlineLevel="1" x14ac:dyDescent="0.2">
      <c r="A141" s="679" t="str">
        <f>INPUT!B63</f>
        <v xml:space="preserve">  LTD ASO Premium Equivalent</v>
      </c>
      <c r="B141" s="688"/>
      <c r="C141" s="681"/>
      <c r="D141" s="688"/>
      <c r="E141" s="681"/>
      <c r="F141" s="688"/>
      <c r="G141" s="681"/>
      <c r="H141" s="688"/>
      <c r="I141" s="681"/>
      <c r="J141" s="688"/>
      <c r="K141" s="681"/>
      <c r="L141" s="688"/>
      <c r="M141" s="681"/>
      <c r="N141" s="688"/>
      <c r="O141" s="681"/>
      <c r="P141" s="688"/>
      <c r="Q141" s="681"/>
      <c r="R141" s="688">
        <f>INPUT!AC63</f>
        <v>0.2</v>
      </c>
      <c r="S141" s="681" t="str">
        <f>INPUT!AD63</f>
        <v>NA</v>
      </c>
      <c r="T141" s="688">
        <f>INPUT!AE63</f>
        <v>0.1</v>
      </c>
      <c r="U141" s="681" t="str">
        <f>INPUT!AF63</f>
        <v>NA</v>
      </c>
      <c r="V141" s="688">
        <f>INPUT!AG63</f>
        <v>0.1</v>
      </c>
      <c r="W141" s="681" t="str">
        <f>INPUT!AH63</f>
        <v>NA</v>
      </c>
      <c r="X141" s="688">
        <f>INPUT!AI63</f>
        <v>0.7</v>
      </c>
      <c r="Y141" s="681" t="str">
        <f>INPUT!AJ63</f>
        <v>NA</v>
      </c>
      <c r="Z141" s="688">
        <f>INPUT!AK63</f>
        <v>0.1</v>
      </c>
      <c r="AA141" s="681">
        <f>INPUT!AL63</f>
        <v>-50</v>
      </c>
      <c r="AB141" s="688">
        <f>INPUT!AM63</f>
        <v>0.5</v>
      </c>
      <c r="AC141" s="681" t="str">
        <f>INPUT!AN63</f>
        <v>NM</v>
      </c>
      <c r="AD141" s="688">
        <f>INPUT!AO63</f>
        <v>0.9</v>
      </c>
      <c r="AE141" s="681" t="str">
        <f>INPUT!AP63</f>
        <v>NM</v>
      </c>
      <c r="AF141" s="688">
        <f>INPUT!AQ63</f>
        <v>0.3</v>
      </c>
      <c r="AG141" s="681" t="str">
        <f>INPUT!AR63</f>
        <v>NM</v>
      </c>
      <c r="AH141" s="688">
        <f>INPUT!AS63</f>
        <v>0</v>
      </c>
      <c r="AI141" s="681" t="str">
        <f>INPUT!AT63</f>
        <v>NM</v>
      </c>
      <c r="AJ141" s="688">
        <f>INPUT!AU63</f>
        <v>0.5</v>
      </c>
      <c r="AK141" s="681">
        <f>INPUT!AV63</f>
        <v>0</v>
      </c>
      <c r="AL141" s="688">
        <f>INPUT!AW63</f>
        <v>0</v>
      </c>
      <c r="AM141" s="681" t="str">
        <f>INPUT!AX63</f>
        <v>NM</v>
      </c>
      <c r="AN141" s="688">
        <f>INPUT!AY63</f>
        <v>3.2</v>
      </c>
      <c r="AO141" s="670" t="str">
        <f>INPUT!AZ63</f>
        <v>NM</v>
      </c>
      <c r="AP141" s="688">
        <f>INPUT!BA63</f>
        <v>0</v>
      </c>
      <c r="AQ141" s="670" t="str">
        <f>INPUT!BB63</f>
        <v>NA</v>
      </c>
      <c r="AR141" s="688">
        <f>INPUT!BC63</f>
        <v>1.6</v>
      </c>
      <c r="AS141" s="670" t="str">
        <f>INPUT!BD63</f>
        <v>NM</v>
      </c>
      <c r="AT141" s="688">
        <f>INPUT!BE63</f>
        <v>0</v>
      </c>
      <c r="AU141" s="670" t="str">
        <f>INPUT!BF63</f>
        <v>NA</v>
      </c>
      <c r="AV141" s="688">
        <f>INPUT!BG63</f>
        <v>0</v>
      </c>
      <c r="AW141" s="670" t="str">
        <f>INPUT!BH63</f>
        <v>NM</v>
      </c>
      <c r="AX141" s="698">
        <f>INPUT!BI63</f>
        <v>1.2</v>
      </c>
      <c r="AY141" s="670" t="str">
        <f>INPUT!BJ63</f>
        <v>NA</v>
      </c>
      <c r="AZ141" s="698">
        <f>INPUT!BK63</f>
        <v>0</v>
      </c>
      <c r="BA141" s="670" t="str">
        <f>INPUT!BL63</f>
        <v>NM</v>
      </c>
      <c r="BB141" s="698">
        <f>INPUT!BM63</f>
        <v>0.1</v>
      </c>
      <c r="BC141" s="670" t="str">
        <f>INPUT!BN63</f>
        <v>NA</v>
      </c>
      <c r="BD141" s="698">
        <f>INPUT!BO63</f>
        <v>0.1</v>
      </c>
      <c r="BE141" s="670" t="str">
        <f>INPUT!BP63</f>
        <v>NA</v>
      </c>
      <c r="BF141" s="698">
        <f>INPUT!BQ63</f>
        <v>0</v>
      </c>
      <c r="BG141" s="670" t="str">
        <f>INPUT!BR63</f>
        <v>NM</v>
      </c>
      <c r="BH141" s="698">
        <f>INPUT!BS63</f>
        <v>0</v>
      </c>
      <c r="BI141" s="670" t="str">
        <f>INPUT!BT63</f>
        <v>NA</v>
      </c>
      <c r="BJ141" s="698">
        <f>INPUT!BU63</f>
        <v>0</v>
      </c>
      <c r="BK141" s="670">
        <f>INPUT!BV63</f>
        <v>0</v>
      </c>
      <c r="BL141" s="698">
        <f>INPUT!BW63</f>
        <v>0</v>
      </c>
      <c r="BM141" s="670">
        <f>INPUT!BX63</f>
        <v>0</v>
      </c>
      <c r="BN141" s="688">
        <f>INPUT!BY63</f>
        <v>0</v>
      </c>
      <c r="BO141" s="670" t="str">
        <f>INPUT!BZ63</f>
        <v>NA</v>
      </c>
      <c r="BP141" s="688">
        <f>INPUT!CA63</f>
        <v>0</v>
      </c>
      <c r="BQ141" s="670" t="str">
        <f>INPUT!CB63</f>
        <v>NA</v>
      </c>
      <c r="BR141" s="688">
        <f>INPUT!CC63</f>
        <v>0</v>
      </c>
      <c r="BS141" s="670" t="str">
        <f>INPUT!CD63</f>
        <v>NA</v>
      </c>
      <c r="BT141" s="688">
        <f>INPUT!CE63</f>
        <v>0</v>
      </c>
      <c r="BU141" s="670" t="str">
        <f>INPUT!CF63</f>
        <v>NA</v>
      </c>
      <c r="BV141" s="688">
        <f>INPUT!CG63</f>
        <v>0</v>
      </c>
      <c r="BW141" s="670" t="str">
        <f>INPUT!CH63</f>
        <v>NA</v>
      </c>
      <c r="BX141" s="688">
        <f>INPUT!CI63</f>
        <v>0</v>
      </c>
      <c r="BY141" s="670" t="str">
        <f>INPUT!CJ63</f>
        <v>NA</v>
      </c>
      <c r="BZ141" s="688">
        <f>INPUT!CK63</f>
        <v>0</v>
      </c>
      <c r="CA141" s="670" t="str">
        <f>INPUT!CL63</f>
        <v>NA</v>
      </c>
      <c r="CB141" s="688">
        <f>INPUT!CM63</f>
        <v>0</v>
      </c>
      <c r="CC141" s="670" t="str">
        <f>INPUT!CN63</f>
        <v>NA</v>
      </c>
      <c r="CD141" s="688">
        <f>INPUT!CO63</f>
        <v>0</v>
      </c>
      <c r="CE141" s="670" t="str">
        <f>INPUT!CP63</f>
        <v>NA</v>
      </c>
      <c r="CF141" s="688">
        <f>INPUT!CQ63</f>
        <v>0</v>
      </c>
      <c r="CG141" s="670" t="str">
        <f>INPUT!CR63</f>
        <v>NA</v>
      </c>
      <c r="CH141" s="688">
        <f>INPUT!CS63</f>
        <v>0</v>
      </c>
      <c r="CI141" s="670" t="str">
        <f>INPUT!CT63</f>
        <v>NA</v>
      </c>
      <c r="CJ141" s="688">
        <f>INPUT!CU63</f>
        <v>0</v>
      </c>
      <c r="CK141" s="670" t="str">
        <f>INPUT!CV63</f>
        <v>NA</v>
      </c>
      <c r="CL141" s="688">
        <f>INPUT!CW63</f>
        <v>0</v>
      </c>
      <c r="CM141" s="670" t="str">
        <f>INPUT!CX63</f>
        <v>NA</v>
      </c>
      <c r="CN141" s="688">
        <f>INPUT!CY63</f>
        <v>0</v>
      </c>
      <c r="CO141" s="670" t="str">
        <f>INPUT!CZ63</f>
        <v>NA</v>
      </c>
      <c r="CP141" s="688">
        <f>INPUT!DA63</f>
        <v>0</v>
      </c>
      <c r="CQ141" s="670" t="str">
        <f>INPUT!DB63</f>
        <v>NA</v>
      </c>
      <c r="CR141" s="688">
        <f>INPUT!DC63</f>
        <v>0</v>
      </c>
      <c r="CS141" s="670" t="str">
        <f>INPUT!DD63</f>
        <v>NA</v>
      </c>
      <c r="CT141" s="688">
        <f>INPUT!DE63</f>
        <v>0</v>
      </c>
      <c r="CU141" s="670" t="str">
        <f>INPUT!DF63</f>
        <v>NA</v>
      </c>
      <c r="CV141" s="688">
        <f>INPUT!DG63</f>
        <v>0</v>
      </c>
      <c r="CW141" s="670" t="str">
        <f>INPUT!DH63</f>
        <v>NA</v>
      </c>
      <c r="CX141" s="688">
        <f>INPUT!DI63</f>
        <v>0</v>
      </c>
      <c r="CY141" s="670" t="str">
        <f>INPUT!DJ63</f>
        <v>NA</v>
      </c>
      <c r="CZ141" s="688">
        <f>INPUT!DK63</f>
        <v>0</v>
      </c>
      <c r="DA141" s="670" t="str">
        <f>INPUT!DL63</f>
        <v>NA</v>
      </c>
      <c r="DB141" s="688">
        <f>INPUT!DM63</f>
        <v>0</v>
      </c>
      <c r="DC141" s="670" t="str">
        <f>INPUT!DN63</f>
        <v>NA</v>
      </c>
      <c r="DD141" s="688">
        <f>INPUT!DO63</f>
        <v>0</v>
      </c>
      <c r="DE141" s="670" t="str">
        <f>INPUT!DP63</f>
        <v>NA</v>
      </c>
      <c r="DF141" s="688">
        <f>INPUT!DQ63</f>
        <v>0</v>
      </c>
      <c r="DG141" s="670" t="str">
        <f>INPUT!DR63</f>
        <v>NA</v>
      </c>
      <c r="DH141" s="688">
        <f>INPUT!DS63</f>
        <v>0</v>
      </c>
      <c r="DI141" s="670" t="str">
        <f>INPUT!DT63</f>
        <v>NA</v>
      </c>
      <c r="DJ141" s="688">
        <f>INPUT!DU63</f>
        <v>0</v>
      </c>
      <c r="DK141" s="670" t="str">
        <f>INPUT!DV63</f>
        <v>NA</v>
      </c>
      <c r="DL141" s="688">
        <f>INPUT!DW63</f>
        <v>0</v>
      </c>
      <c r="DM141" s="670" t="str">
        <f>INPUT!DX63</f>
        <v>NA</v>
      </c>
      <c r="DN141" s="688">
        <f>INPUT!DY63</f>
        <v>0</v>
      </c>
      <c r="DO141" s="670" t="str">
        <f>INPUT!DZ63</f>
        <v>NA</v>
      </c>
      <c r="DP141" s="688">
        <f>INPUT!EA63</f>
        <v>0</v>
      </c>
      <c r="DQ141" s="670" t="str">
        <f>INPUT!EB63</f>
        <v>NA</v>
      </c>
      <c r="DR141" s="688">
        <f>INPUT!EC63</f>
        <v>0</v>
      </c>
      <c r="DS141" s="670" t="str">
        <f>INPUT!ED63</f>
        <v>NA</v>
      </c>
      <c r="DT141" s="688">
        <f>INPUT!EE63</f>
        <v>0</v>
      </c>
      <c r="DU141" s="670" t="str">
        <f>INPUT!EF63</f>
        <v>NA</v>
      </c>
      <c r="DV141" s="688">
        <f>INPUT!EG63</f>
        <v>0</v>
      </c>
      <c r="DW141" s="670" t="str">
        <f>INPUT!EH63</f>
        <v>NA</v>
      </c>
      <c r="DX141" s="688">
        <f>INPUT!EI63</f>
        <v>0</v>
      </c>
      <c r="DY141" s="670" t="str">
        <f>INPUT!EJ63</f>
        <v>NA</v>
      </c>
      <c r="DZ141" s="688">
        <f>INPUT!EK63</f>
        <v>0</v>
      </c>
      <c r="EA141" s="670" t="str">
        <f>INPUT!EL63</f>
        <v>NA</v>
      </c>
      <c r="EB141" s="688">
        <f>INPUT!EM63</f>
        <v>0</v>
      </c>
      <c r="EC141" s="670" t="str">
        <f>INPUT!EN63</f>
        <v>NA</v>
      </c>
      <c r="ED141" s="688">
        <f>INPUT!EO63</f>
        <v>0</v>
      </c>
      <c r="EE141" s="670" t="str">
        <f>INPUT!EP63</f>
        <v>NA</v>
      </c>
      <c r="EF141" s="688">
        <f>INPUT!EQ63</f>
        <v>0</v>
      </c>
      <c r="EG141" s="670" t="str">
        <f>INPUT!ER63</f>
        <v>NA</v>
      </c>
      <c r="EH141" s="670"/>
      <c r="EI141" s="688">
        <f>INPUT!FB63</f>
        <v>0</v>
      </c>
      <c r="EJ141" s="681">
        <f>INPUT!FC63</f>
        <v>0</v>
      </c>
      <c r="EK141" s="688">
        <f>INPUT!FD63</f>
        <v>4.8</v>
      </c>
      <c r="EL141" s="681" t="str">
        <f>INPUT!FE63</f>
        <v>NA</v>
      </c>
      <c r="EM141" s="688">
        <f>INPUT!FF63</f>
        <v>6.5</v>
      </c>
      <c r="EN141" s="681">
        <f>INPUT!FG63</f>
        <v>35.416666666666671</v>
      </c>
      <c r="EO141" s="688">
        <f>INPUT!FH63</f>
        <v>1.1000000000000001</v>
      </c>
      <c r="EP141" s="681" t="str">
        <f>INPUT!FI63</f>
        <v>NM</v>
      </c>
      <c r="EQ141" s="688">
        <f>INPUT!FJ63</f>
        <v>0</v>
      </c>
      <c r="ER141" s="670" t="str">
        <f>INPUT!FK63</f>
        <v>NM</v>
      </c>
      <c r="ES141" s="688">
        <f>INPUT!FL63</f>
        <v>0</v>
      </c>
      <c r="ET141" s="670" t="str">
        <f>INPUT!FM63</f>
        <v>NA</v>
      </c>
      <c r="EU141" s="688">
        <f>INPUT!FN63</f>
        <v>0</v>
      </c>
      <c r="EV141" s="670" t="str">
        <f>INPUT!FO63</f>
        <v>NA</v>
      </c>
      <c r="EW141" s="688">
        <f>INPUT!FP63</f>
        <v>1.4000000000000001</v>
      </c>
      <c r="EX141" s="670" t="str">
        <f>INPUT!FQ63</f>
        <v>NA</v>
      </c>
      <c r="EY141" s="669">
        <f>INPUT!FR63</f>
        <v>0</v>
      </c>
      <c r="EZ141" s="670" t="str">
        <f>INPUT!FS63</f>
        <v>NM</v>
      </c>
      <c r="FA141" s="669">
        <f>INPUT!FT63</f>
        <v>0</v>
      </c>
      <c r="FB141" s="670" t="str">
        <f>INPUT!FU63</f>
        <v>NA</v>
      </c>
      <c r="FC141" s="669">
        <f>INPUT!FV63</f>
        <v>0</v>
      </c>
      <c r="FD141" s="670" t="str">
        <f>INPUT!FW63</f>
        <v>NA</v>
      </c>
      <c r="FE141" s="669">
        <f>INPUT!FX63</f>
        <v>0</v>
      </c>
      <c r="FF141" s="670" t="str">
        <f>INPUT!FY63</f>
        <v>NA</v>
      </c>
      <c r="FG141" s="669">
        <f>INPUT!FZ63</f>
        <v>0</v>
      </c>
      <c r="FH141" s="670" t="str">
        <f>INPUT!GA63</f>
        <v>NA</v>
      </c>
      <c r="FI141" s="669">
        <f>INPUT!GB63</f>
        <v>0</v>
      </c>
      <c r="FJ141" s="670" t="str">
        <f>INPUT!GC63</f>
        <v>NA</v>
      </c>
      <c r="FK141" s="669">
        <f>INPUT!GD63</f>
        <v>0</v>
      </c>
      <c r="FL141" s="670" t="str">
        <f>INPUT!GE63</f>
        <v>NA</v>
      </c>
      <c r="FM141" s="669">
        <f>INPUT!GF63</f>
        <v>0</v>
      </c>
      <c r="FN141" s="670" t="str">
        <f>INPUT!GG63</f>
        <v>NA</v>
      </c>
      <c r="FO141" s="669">
        <f>INPUT!GH63</f>
        <v>0</v>
      </c>
      <c r="FP141" s="670" t="str">
        <f>INPUT!GI63</f>
        <v>NA</v>
      </c>
      <c r="FQ141" s="669">
        <f>INPUT!GJ63</f>
        <v>0</v>
      </c>
      <c r="FR141" s="670" t="str">
        <f>INPUT!GK63</f>
        <v>NA</v>
      </c>
      <c r="FS141" s="669">
        <f>INPUT!GL63</f>
        <v>0</v>
      </c>
      <c r="FT141" s="670" t="str">
        <f>INPUT!GM63</f>
        <v>NA</v>
      </c>
      <c r="FU141" s="669">
        <f>INPUT!GN63</f>
        <v>0</v>
      </c>
      <c r="FV141" s="670" t="str">
        <f>INPUT!GO63</f>
        <v>NA</v>
      </c>
      <c r="FW141" s="669">
        <f>INPUT!GP63</f>
        <v>0</v>
      </c>
      <c r="FX141" s="670" t="str">
        <f>INPUT!GQ63</f>
        <v>NA</v>
      </c>
      <c r="FY141" s="669">
        <f>INPUT!GR63</f>
        <v>0</v>
      </c>
      <c r="FZ141" s="670" t="str">
        <f>INPUT!GS63</f>
        <v>NA</v>
      </c>
      <c r="GA141" s="681">
        <f>INPUT!GT60</f>
        <v>0</v>
      </c>
    </row>
    <row r="142" spans="1:183" s="707" customFormat="1" ht="12.75" hidden="1" customHeight="1" outlineLevel="1" x14ac:dyDescent="0.2">
      <c r="A142" s="679" t="str">
        <f>INPUT!B64</f>
        <v>Group Long Term Income Protection</v>
      </c>
      <c r="B142" s="688"/>
      <c r="C142" s="681"/>
      <c r="D142" s="688"/>
      <c r="E142" s="681"/>
      <c r="F142" s="688"/>
      <c r="G142" s="681"/>
      <c r="H142" s="688"/>
      <c r="I142" s="681"/>
      <c r="J142" s="688"/>
      <c r="K142" s="681"/>
      <c r="L142" s="688"/>
      <c r="M142" s="681"/>
      <c r="N142" s="688"/>
      <c r="O142" s="681"/>
      <c r="P142" s="688"/>
      <c r="Q142" s="681"/>
      <c r="R142" s="688">
        <f>INPUT!AC64</f>
        <v>36</v>
      </c>
      <c r="S142" s="681" t="str">
        <f>INPUT!AD64</f>
        <v>NA</v>
      </c>
      <c r="T142" s="688">
        <f>INPUT!AE64</f>
        <v>41.1</v>
      </c>
      <c r="U142" s="681" t="str">
        <f>INPUT!AF64</f>
        <v>NA</v>
      </c>
      <c r="V142" s="688">
        <f>INPUT!AG64</f>
        <v>23.900000000000002</v>
      </c>
      <c r="W142" s="681" t="str">
        <f>INPUT!AH64</f>
        <v>NA</v>
      </c>
      <c r="X142" s="688">
        <f>INPUT!AI64</f>
        <v>80.5</v>
      </c>
      <c r="Y142" s="681" t="str">
        <f>INPUT!AJ64</f>
        <v>NA</v>
      </c>
      <c r="Z142" s="688">
        <f>INPUT!AK64</f>
        <v>37.1</v>
      </c>
      <c r="AA142" s="681">
        <f>INPUT!AL64</f>
        <v>3.0555555555555669</v>
      </c>
      <c r="AB142" s="688">
        <f>INPUT!AM64</f>
        <v>48.2</v>
      </c>
      <c r="AC142" s="681">
        <f>INPUT!AN64</f>
        <v>17.274939172749406</v>
      </c>
      <c r="AD142" s="688">
        <f>INPUT!AO64</f>
        <v>28.5</v>
      </c>
      <c r="AE142" s="681">
        <f>INPUT!AP64</f>
        <v>19.246861924686186</v>
      </c>
      <c r="AF142" s="688">
        <f>INPUT!AQ64</f>
        <v>68.399999999999991</v>
      </c>
      <c r="AG142" s="681">
        <f>INPUT!AR64</f>
        <v>-15.031055900621126</v>
      </c>
      <c r="AH142" s="688">
        <f>INPUT!AS64</f>
        <v>43.1</v>
      </c>
      <c r="AI142" s="681">
        <f>INPUT!AT64</f>
        <v>16.172506738544467</v>
      </c>
      <c r="AJ142" s="688">
        <f>INPUT!AU64</f>
        <v>51.4</v>
      </c>
      <c r="AK142" s="681">
        <f>INPUT!AV64</f>
        <v>6.639004149377592</v>
      </c>
      <c r="AL142" s="688">
        <f>INPUT!AW64</f>
        <v>25.4</v>
      </c>
      <c r="AM142" s="681">
        <f>INPUT!AX64</f>
        <v>-10.87719298245614</v>
      </c>
      <c r="AN142" s="688">
        <f>INPUT!AY64</f>
        <v>92.3</v>
      </c>
      <c r="AO142" s="670">
        <f>INPUT!AZ64</f>
        <v>34.94152046783627</v>
      </c>
      <c r="AP142" s="688">
        <f>INPUT!BA64</f>
        <v>25.5</v>
      </c>
      <c r="AQ142" s="670">
        <f>INPUT!BB64</f>
        <v>-40.835266821345705</v>
      </c>
      <c r="AR142" s="688">
        <f>INPUT!BC64</f>
        <v>54.6</v>
      </c>
      <c r="AS142" s="670">
        <f>INPUT!BD64</f>
        <v>6.2256809338521402</v>
      </c>
      <c r="AT142" s="688">
        <f>INPUT!BE64</f>
        <v>23.9</v>
      </c>
      <c r="AU142" s="670">
        <f>INPUT!BF64</f>
        <v>-5.9055118110236222</v>
      </c>
      <c r="AV142" s="688">
        <f>INPUT!BG64</f>
        <v>75.3</v>
      </c>
      <c r="AW142" s="670">
        <f>INPUT!BH64</f>
        <v>-18.418201516793065</v>
      </c>
      <c r="AX142" s="688">
        <f>INPUT!BI64</f>
        <v>37.300000000000004</v>
      </c>
      <c r="AY142" s="670">
        <f>INPUT!BJ64</f>
        <v>46.274509803921582</v>
      </c>
      <c r="AZ142" s="688">
        <f>INPUT!BK64</f>
        <v>45.4</v>
      </c>
      <c r="BA142" s="670">
        <f>INPUT!BL64</f>
        <v>-16.849816849816857</v>
      </c>
      <c r="BB142" s="688">
        <f>INPUT!BM64</f>
        <v>31.5</v>
      </c>
      <c r="BC142" s="670">
        <f>INPUT!BN64</f>
        <v>31.799163179916334</v>
      </c>
      <c r="BD142" s="688">
        <f>INPUT!BO64</f>
        <v>77.5</v>
      </c>
      <c r="BE142" s="670">
        <f>INPUT!BP64</f>
        <v>2.921646746347939</v>
      </c>
      <c r="BF142" s="688">
        <f>INPUT!BQ64</f>
        <v>31.7</v>
      </c>
      <c r="BG142" s="670">
        <f>INPUT!BR64</f>
        <v>-15.013404825737275</v>
      </c>
      <c r="BH142" s="688">
        <f>INPUT!BS64</f>
        <v>54.3</v>
      </c>
      <c r="BI142" s="670">
        <f>INPUT!BT64</f>
        <v>19.6035242290749</v>
      </c>
      <c r="BJ142" s="688">
        <f>INPUT!BU64</f>
        <v>20.7</v>
      </c>
      <c r="BK142" s="670">
        <f>INPUT!BV64</f>
        <v>0</v>
      </c>
      <c r="BL142" s="688">
        <f>INPUT!BW64</f>
        <v>75.400000000000006</v>
      </c>
      <c r="BM142" s="670">
        <f>INPUT!BX64</f>
        <v>0</v>
      </c>
      <c r="BN142" s="688">
        <f>INPUT!BY64</f>
        <v>27.6</v>
      </c>
      <c r="BO142" s="670">
        <f>INPUT!BZ64</f>
        <v>-12.933753943217663</v>
      </c>
      <c r="BP142" s="688">
        <f>INPUT!CA64</f>
        <v>32.200000000000003</v>
      </c>
      <c r="BQ142" s="670">
        <f>INPUT!CB64</f>
        <v>-40.699815837937379</v>
      </c>
      <c r="BR142" s="688">
        <f>INPUT!CC64</f>
        <v>21.2</v>
      </c>
      <c r="BS142" s="670">
        <f>INPUT!CD64</f>
        <v>2.4154589371980784</v>
      </c>
      <c r="BT142" s="688">
        <f>INPUT!CE64</f>
        <v>67.3</v>
      </c>
      <c r="BU142" s="670">
        <f>INPUT!CF64</f>
        <v>-10.742705570291788</v>
      </c>
      <c r="BV142" s="688">
        <f>INPUT!CG64</f>
        <v>29.5</v>
      </c>
      <c r="BW142" s="670">
        <f>INPUT!CH64</f>
        <v>6.8840579710144789</v>
      </c>
      <c r="BX142" s="688">
        <f>INPUT!CI64</f>
        <v>38.299999999999997</v>
      </c>
      <c r="BY142" s="670">
        <f>INPUT!CJ64</f>
        <v>18.944099378881972</v>
      </c>
      <c r="BZ142" s="688">
        <f>INPUT!CK64</f>
        <v>22</v>
      </c>
      <c r="CA142" s="670">
        <f>INPUT!CL64</f>
        <v>3.7735849056603765</v>
      </c>
      <c r="CB142" s="688">
        <f>INPUT!CM64</f>
        <v>75.2</v>
      </c>
      <c r="CC142" s="670">
        <f>INPUT!CN64</f>
        <v>11.738484398216942</v>
      </c>
      <c r="CD142" s="688">
        <f>INPUT!CO64</f>
        <v>35.799999999999997</v>
      </c>
      <c r="CE142" s="670">
        <f>INPUT!CP64</f>
        <v>21.355932203389827</v>
      </c>
      <c r="CF142" s="688">
        <f>INPUT!CQ64</f>
        <v>36</v>
      </c>
      <c r="CG142" s="670">
        <f>INPUT!CR64</f>
        <v>-6.0052219321148792</v>
      </c>
      <c r="CH142" s="688">
        <f>INPUT!CS64</f>
        <v>23.6</v>
      </c>
      <c r="CI142" s="670">
        <f>INPUT!CT64</f>
        <v>7.2727272727272751</v>
      </c>
      <c r="CJ142" s="688">
        <f>INPUT!CU64</f>
        <v>86.8</v>
      </c>
      <c r="CK142" s="670">
        <f>INPUT!CV64</f>
        <v>15.42553191489362</v>
      </c>
      <c r="CL142" s="688">
        <f>INPUT!CW64</f>
        <v>31.1</v>
      </c>
      <c r="CM142" s="670">
        <f>INPUT!CX64</f>
        <v>-13.128491620111726</v>
      </c>
      <c r="CN142" s="688">
        <f>INPUT!CY64</f>
        <v>32.799999999999997</v>
      </c>
      <c r="CO142" s="670">
        <f>INPUT!CZ64</f>
        <v>-8.8888888888889017</v>
      </c>
      <c r="CP142" s="688">
        <f>INPUT!DA64</f>
        <v>25.7</v>
      </c>
      <c r="CQ142" s="670">
        <f>INPUT!DB64</f>
        <v>8.8983050847457612</v>
      </c>
      <c r="CR142" s="688">
        <f>INPUT!DC64</f>
        <v>83.7</v>
      </c>
      <c r="CS142" s="670">
        <f>INPUT!DD64</f>
        <v>-3.5714285714285698</v>
      </c>
      <c r="CT142" s="688">
        <f>INPUT!DE64</f>
        <v>32.700000000000003</v>
      </c>
      <c r="CU142" s="670">
        <f>INPUT!DF64</f>
        <v>5.1446945337620731</v>
      </c>
      <c r="CV142" s="688">
        <f>INPUT!DG64</f>
        <v>46.8</v>
      </c>
      <c r="CW142" s="670">
        <f>INPUT!DH64</f>
        <v>42.682926829268283</v>
      </c>
      <c r="CX142" s="688">
        <f>INPUT!DI64</f>
        <v>28</v>
      </c>
      <c r="CY142" s="670">
        <f>INPUT!DJ64</f>
        <v>8.949416342412464</v>
      </c>
      <c r="CZ142" s="688">
        <f>INPUT!DK64</f>
        <v>116.1</v>
      </c>
      <c r="DA142" s="670">
        <f>INPUT!DL64</f>
        <v>38.709677419354826</v>
      </c>
      <c r="DB142" s="688">
        <f>INPUT!DM64</f>
        <v>37.299999999999997</v>
      </c>
      <c r="DC142" s="670">
        <f>INPUT!DN64</f>
        <v>14.067278287461749</v>
      </c>
      <c r="DD142" s="688">
        <f>INPUT!DO64</f>
        <v>51.9</v>
      </c>
      <c r="DE142" s="670">
        <f>INPUT!DP64</f>
        <v>10.897435897435903</v>
      </c>
      <c r="DF142" s="688">
        <f>INPUT!DQ64</f>
        <v>34.299999999999997</v>
      </c>
      <c r="DG142" s="670">
        <f>INPUT!DR64</f>
        <v>22.499999999999986</v>
      </c>
      <c r="DH142" s="688">
        <f>INPUT!DS64</f>
        <v>116.2</v>
      </c>
      <c r="DI142" s="670">
        <f>INPUT!DT64</f>
        <v>8.6132644272196579E-2</v>
      </c>
      <c r="DJ142" s="688">
        <f>INPUT!DU64</f>
        <v>37.5</v>
      </c>
      <c r="DK142" s="670">
        <f>INPUT!DV64</f>
        <v>0.53619302949061698</v>
      </c>
      <c r="DL142" s="688">
        <f>INPUT!DW64</f>
        <v>48.3</v>
      </c>
      <c r="DM142" s="670">
        <f>INPUT!DX64</f>
        <v>-6.9364161849711063</v>
      </c>
      <c r="DN142" s="688">
        <f>INPUT!DY64</f>
        <v>24.3</v>
      </c>
      <c r="DO142" s="670">
        <f>INPUT!DZ64</f>
        <v>-29.154518950437314</v>
      </c>
      <c r="DP142" s="688">
        <f>INPUT!EA64</f>
        <v>107.7</v>
      </c>
      <c r="DQ142" s="670">
        <f>INPUT!EB64</f>
        <v>-7.3149741824440673</v>
      </c>
      <c r="DR142" s="688">
        <f>INPUT!EC64</f>
        <v>36</v>
      </c>
      <c r="DS142" s="670">
        <f>INPUT!ED64</f>
        <v>-4.0000000000000036</v>
      </c>
      <c r="DT142" s="688">
        <f>INPUT!EE64</f>
        <v>47.5</v>
      </c>
      <c r="DU142" s="670">
        <f>INPUT!EF64</f>
        <v>-1.6563146997929601</v>
      </c>
      <c r="DV142" s="688">
        <f>INPUT!EG64</f>
        <v>31.1</v>
      </c>
      <c r="DW142" s="670">
        <f>INPUT!EH64</f>
        <v>27.983539094650212</v>
      </c>
      <c r="DX142" s="688">
        <f>INPUT!EI64</f>
        <v>126.2</v>
      </c>
      <c r="DY142" s="670">
        <f>INPUT!EJ64</f>
        <v>17.177344475394605</v>
      </c>
      <c r="DZ142" s="688">
        <f>INPUT!EK64</f>
        <v>0</v>
      </c>
      <c r="EA142" s="670" t="str">
        <f>INPUT!EL64</f>
        <v>NM</v>
      </c>
      <c r="EB142" s="688">
        <f>INPUT!EM64</f>
        <v>0</v>
      </c>
      <c r="EC142" s="670" t="str">
        <f>INPUT!EN64</f>
        <v>NM</v>
      </c>
      <c r="ED142" s="688">
        <f>INPUT!EO64</f>
        <v>0</v>
      </c>
      <c r="EE142" s="670" t="str">
        <f>INPUT!EP64</f>
        <v>NM</v>
      </c>
      <c r="EF142" s="688">
        <f>INPUT!EQ64</f>
        <v>0</v>
      </c>
      <c r="EG142" s="670" t="str">
        <f>INPUT!ER64</f>
        <v>NM</v>
      </c>
      <c r="EH142" s="670"/>
      <c r="EI142" s="688">
        <f>INPUT!FB64</f>
        <v>0</v>
      </c>
      <c r="EJ142" s="681">
        <f>INPUT!FC64</f>
        <v>0</v>
      </c>
      <c r="EK142" s="688">
        <f>INPUT!FD64</f>
        <v>330</v>
      </c>
      <c r="EL142" s="681" t="str">
        <f>INPUT!FE64</f>
        <v>NA</v>
      </c>
      <c r="EM142" s="688">
        <f>INPUT!FF64</f>
        <v>305.60000000000002</v>
      </c>
      <c r="EN142" s="681">
        <f>INPUT!FG64</f>
        <v>-7.3939393939393856</v>
      </c>
      <c r="EO142" s="688">
        <f>INPUT!FH64</f>
        <v>181.5</v>
      </c>
      <c r="EP142" s="681">
        <f>INPUT!FI64</f>
        <v>-40.608638743455508</v>
      </c>
      <c r="EQ142" s="688">
        <f>INPUT!FJ64</f>
        <v>0</v>
      </c>
      <c r="ER142" s="670" t="str">
        <f>INPUT!FK64</f>
        <v>NM</v>
      </c>
      <c r="ES142" s="688">
        <f>INPUT!FL64</f>
        <v>0</v>
      </c>
      <c r="ET142" s="670" t="str">
        <f>INPUT!FM64</f>
        <v>NA</v>
      </c>
      <c r="EU142" s="688">
        <f>INPUT!FN64</f>
        <v>0</v>
      </c>
      <c r="EV142" s="670" t="str">
        <f>INPUT!FO64</f>
        <v>NA</v>
      </c>
      <c r="EW142" s="688">
        <f>INPUT!FP64</f>
        <v>191.70000000000002</v>
      </c>
      <c r="EX142" s="670" t="str">
        <f>INPUT!FQ64</f>
        <v>NA</v>
      </c>
      <c r="EY142" s="669">
        <f>INPUT!FR64</f>
        <v>182.10000000000002</v>
      </c>
      <c r="EZ142" s="670">
        <f>INPUT!FS64</f>
        <v>-5.0078247261345794</v>
      </c>
      <c r="FA142" s="669">
        <f>INPUT!FT64</f>
        <v>148.30000000000001</v>
      </c>
      <c r="FB142" s="670">
        <f>INPUT!FU64</f>
        <v>-18.561230093355306</v>
      </c>
      <c r="FC142" s="669">
        <f>INPUT!FV64</f>
        <v>165</v>
      </c>
      <c r="FD142" s="670">
        <f>INPUT!FW64</f>
        <v>11.26095751854348</v>
      </c>
      <c r="FE142" s="669">
        <f>INPUT!FX64</f>
        <v>182.2</v>
      </c>
      <c r="FF142" s="670">
        <f>INPUT!FY64</f>
        <v>10.424242424242426</v>
      </c>
      <c r="FG142" s="669">
        <f>INPUT!FZ64</f>
        <v>173.3</v>
      </c>
      <c r="FH142" s="670">
        <f>INPUT!GA64</f>
        <v>-4.8847420417123866</v>
      </c>
      <c r="FI142" s="669">
        <f>INPUT!GB64</f>
        <v>223.6</v>
      </c>
      <c r="FJ142" s="670">
        <f>INPUT!GC64</f>
        <v>29.024812463935355</v>
      </c>
      <c r="FK142" s="669">
        <f>INPUT!GD64</f>
        <v>0</v>
      </c>
      <c r="FL142" s="670" t="str">
        <f>INPUT!GE64</f>
        <v>NM</v>
      </c>
      <c r="FM142" s="669">
        <f>INPUT!GF64</f>
        <v>0</v>
      </c>
      <c r="FN142" s="670" t="str">
        <f>INPUT!GG64</f>
        <v>NA</v>
      </c>
      <c r="FO142" s="669">
        <f>INPUT!GH64</f>
        <v>0</v>
      </c>
      <c r="FP142" s="670" t="str">
        <f>INPUT!GI64</f>
        <v>NA</v>
      </c>
      <c r="FQ142" s="669">
        <f>INPUT!GJ64</f>
        <v>0</v>
      </c>
      <c r="FR142" s="670" t="str">
        <f>INPUT!GK64</f>
        <v>NA</v>
      </c>
      <c r="FS142" s="669">
        <f>INPUT!GL64</f>
        <v>0</v>
      </c>
      <c r="FT142" s="670" t="str">
        <f>INPUT!GM64</f>
        <v>NA</v>
      </c>
      <c r="FU142" s="669">
        <f>INPUT!GN64</f>
        <v>0</v>
      </c>
      <c r="FV142" s="670" t="str">
        <f>INPUT!GO64</f>
        <v>NA</v>
      </c>
      <c r="FW142" s="669">
        <f>INPUT!GP64</f>
        <v>0</v>
      </c>
      <c r="FX142" s="670" t="str">
        <f>INPUT!GQ64</f>
        <v>NA</v>
      </c>
      <c r="FY142" s="669">
        <f>INPUT!GR64</f>
        <v>0</v>
      </c>
      <c r="FZ142" s="670" t="str">
        <f>INPUT!GS64</f>
        <v>NA</v>
      </c>
      <c r="GA142" s="681">
        <f>INPUT!GT61</f>
        <v>0</v>
      </c>
    </row>
    <row r="143" spans="1:183" s="707" customFormat="1" ht="12.75" hidden="1" customHeight="1" outlineLevel="1" x14ac:dyDescent="0.2">
      <c r="A143" s="679" t="str">
        <f>INPUT!B66</f>
        <v xml:space="preserve">  STD Fully Insured</v>
      </c>
      <c r="B143" s="688"/>
      <c r="C143" s="681"/>
      <c r="D143" s="688"/>
      <c r="E143" s="681"/>
      <c r="F143" s="688"/>
      <c r="G143" s="681"/>
      <c r="H143" s="688"/>
      <c r="I143" s="681"/>
      <c r="J143" s="688"/>
      <c r="K143" s="681"/>
      <c r="L143" s="688"/>
      <c r="M143" s="681"/>
      <c r="N143" s="688"/>
      <c r="O143" s="681"/>
      <c r="P143" s="688"/>
      <c r="Q143" s="681"/>
      <c r="R143" s="688">
        <f>INPUT!AC66</f>
        <v>25.7</v>
      </c>
      <c r="S143" s="681" t="str">
        <f>INPUT!AD66</f>
        <v>NA</v>
      </c>
      <c r="T143" s="688">
        <f>INPUT!AE66</f>
        <v>16.899999999999999</v>
      </c>
      <c r="U143" s="681" t="str">
        <f>INPUT!AF66</f>
        <v>NA</v>
      </c>
      <c r="V143" s="688">
        <f>INPUT!AG66</f>
        <v>8.3000000000000007</v>
      </c>
      <c r="W143" s="681" t="str">
        <f>INPUT!AH66</f>
        <v>NA</v>
      </c>
      <c r="X143" s="688">
        <f>INPUT!AI66</f>
        <v>28.600000000000005</v>
      </c>
      <c r="Y143" s="681" t="str">
        <f>INPUT!AJ66</f>
        <v>NA</v>
      </c>
      <c r="Z143" s="688">
        <f>INPUT!AK66</f>
        <v>16</v>
      </c>
      <c r="AA143" s="681">
        <f>INPUT!AL66</f>
        <v>-37.7431906614786</v>
      </c>
      <c r="AB143" s="688">
        <f>INPUT!AM66</f>
        <v>14.7</v>
      </c>
      <c r="AC143" s="681">
        <f>INPUT!AN66</f>
        <v>-13.017751479289942</v>
      </c>
      <c r="AD143" s="688">
        <f>INPUT!AO66</f>
        <v>11.5</v>
      </c>
      <c r="AE143" s="681">
        <f>INPUT!AP66</f>
        <v>38.554216867469869</v>
      </c>
      <c r="AF143" s="688">
        <f>INPUT!AQ66</f>
        <v>32.6</v>
      </c>
      <c r="AG143" s="681">
        <f>INPUT!AR66</f>
        <v>13.98601398601398</v>
      </c>
      <c r="AH143" s="688">
        <f>INPUT!AS66</f>
        <v>12</v>
      </c>
      <c r="AI143" s="681">
        <f>INPUT!AT66</f>
        <v>-25</v>
      </c>
      <c r="AJ143" s="688">
        <f>INPUT!AU66</f>
        <v>18.8</v>
      </c>
      <c r="AK143" s="681">
        <f>INPUT!AV66</f>
        <v>27.891156462585045</v>
      </c>
      <c r="AL143" s="688">
        <f>INPUT!AW66</f>
        <v>9.8000000000000007</v>
      </c>
      <c r="AM143" s="681">
        <f>INPUT!AX66</f>
        <v>-14.782608695652167</v>
      </c>
      <c r="AN143" s="688">
        <f>INPUT!AY66</f>
        <v>33.5</v>
      </c>
      <c r="AO143" s="670">
        <f>INPUT!AZ66</f>
        <v>2.7607361963190247</v>
      </c>
      <c r="AP143" s="688">
        <f>INPUT!BA66</f>
        <v>15.2</v>
      </c>
      <c r="AQ143" s="670">
        <f>INPUT!BB66</f>
        <v>26.666666666666661</v>
      </c>
      <c r="AR143" s="688">
        <f>INPUT!BC66</f>
        <v>16.2</v>
      </c>
      <c r="AS143" s="670">
        <f>INPUT!BD66</f>
        <v>-13.829787234042556</v>
      </c>
      <c r="AT143" s="688">
        <f>INPUT!BE66</f>
        <v>8.5</v>
      </c>
      <c r="AU143" s="670">
        <f>INPUT!BF66</f>
        <v>-13.265306122448983</v>
      </c>
      <c r="AV143" s="688">
        <f>INPUT!BG66</f>
        <v>24.8</v>
      </c>
      <c r="AW143" s="670">
        <f>INPUT!BH66</f>
        <v>-25.970149253731346</v>
      </c>
      <c r="AX143" s="688">
        <f>INPUT!BI66</f>
        <v>13.4</v>
      </c>
      <c r="AY143" s="670">
        <f>INPUT!BJ66</f>
        <v>-11.842105263157887</v>
      </c>
      <c r="AZ143" s="688">
        <f>INPUT!BK66</f>
        <v>16.399999999999999</v>
      </c>
      <c r="BA143" s="670">
        <f>INPUT!BL66</f>
        <v>1.2345679012345734</v>
      </c>
      <c r="BB143" s="688">
        <f>INPUT!BM66</f>
        <v>10.7</v>
      </c>
      <c r="BC143" s="670">
        <f>INPUT!BN66</f>
        <v>0</v>
      </c>
      <c r="BD143" s="688">
        <f>INPUT!BO66</f>
        <v>31</v>
      </c>
      <c r="BE143" s="670">
        <f>INPUT!BP66</f>
        <v>0</v>
      </c>
      <c r="BF143" s="688">
        <f>INPUT!BQ66</f>
        <v>15.9</v>
      </c>
      <c r="BG143" s="670">
        <f>INPUT!BR66</f>
        <v>18.656716417910445</v>
      </c>
      <c r="BH143" s="688">
        <f>INPUT!BS66</f>
        <v>19.399999999999999</v>
      </c>
      <c r="BI143" s="670">
        <f>INPUT!BT66</f>
        <v>0</v>
      </c>
      <c r="BJ143" s="688">
        <f>INPUT!BU66</f>
        <v>13.8</v>
      </c>
      <c r="BK143" s="670">
        <f>INPUT!BV66</f>
        <v>0</v>
      </c>
      <c r="BL143" s="688">
        <f>INPUT!BW66</f>
        <v>34.799999999999997</v>
      </c>
      <c r="BM143" s="670">
        <f>INPUT!BX66</f>
        <v>0</v>
      </c>
      <c r="BN143" s="688">
        <f>INPUT!BY66</f>
        <v>14.3</v>
      </c>
      <c r="BO143" s="670">
        <f>INPUT!BZ66</f>
        <v>-10.062893081761004</v>
      </c>
      <c r="BP143" s="688">
        <f>INPUT!CA66</f>
        <v>17.100000000000001</v>
      </c>
      <c r="BQ143" s="670">
        <f>INPUT!CB66</f>
        <v>-11.855670103092775</v>
      </c>
      <c r="BR143" s="688">
        <f>INPUT!CC66</f>
        <v>11.5</v>
      </c>
      <c r="BS143" s="670">
        <f>INPUT!CD66</f>
        <v>-16.666666666666675</v>
      </c>
      <c r="BT143" s="688">
        <f>INPUT!CE66</f>
        <v>37.4</v>
      </c>
      <c r="BU143" s="670">
        <f>INPUT!CF66</f>
        <v>7.4712643678160884</v>
      </c>
      <c r="BV143" s="688">
        <f>INPUT!CG66</f>
        <v>14</v>
      </c>
      <c r="BW143" s="670">
        <f>INPUT!CH66</f>
        <v>-2.0979020979021046</v>
      </c>
      <c r="BX143" s="688">
        <f>INPUT!CI66</f>
        <v>17.7</v>
      </c>
      <c r="BY143" s="670">
        <f>INPUT!CJ66</f>
        <v>3.5087719298245501</v>
      </c>
      <c r="BZ143" s="688">
        <f>INPUT!CK66</f>
        <v>12.4</v>
      </c>
      <c r="CA143" s="670">
        <f>INPUT!CL66</f>
        <v>7.8260869565217384</v>
      </c>
      <c r="CB143" s="688">
        <f>INPUT!CM66</f>
        <v>40.799999999999997</v>
      </c>
      <c r="CC143" s="670">
        <f>INPUT!CN66</f>
        <v>9.0909090909090828</v>
      </c>
      <c r="CD143" s="688">
        <f>INPUT!CO66</f>
        <v>13.4</v>
      </c>
      <c r="CE143" s="670">
        <f>INPUT!CP66</f>
        <v>-4.2857142857142811</v>
      </c>
      <c r="CF143" s="688">
        <f>INPUT!CQ66</f>
        <v>23.6</v>
      </c>
      <c r="CG143" s="670">
        <f>INPUT!CR66</f>
        <v>33.33333333333335</v>
      </c>
      <c r="CH143" s="688">
        <f>INPUT!CS66</f>
        <v>14.1</v>
      </c>
      <c r="CI143" s="670">
        <f>INPUT!CT66</f>
        <v>13.709677419354826</v>
      </c>
      <c r="CJ143" s="688">
        <f>INPUT!CU66</f>
        <v>46.3</v>
      </c>
      <c r="CK143" s="670">
        <f>INPUT!CV66</f>
        <v>13.480392156862742</v>
      </c>
      <c r="CL143" s="688">
        <f>INPUT!CW66</f>
        <v>15.8</v>
      </c>
      <c r="CM143" s="670">
        <f>INPUT!CX66</f>
        <v>17.910447761194035</v>
      </c>
      <c r="CN143" s="688">
        <f>INPUT!CY66</f>
        <v>18.7</v>
      </c>
      <c r="CO143" s="670">
        <f>INPUT!CZ66</f>
        <v>-20.762711864406789</v>
      </c>
      <c r="CP143" s="688">
        <f>INPUT!DA66</f>
        <v>12.8</v>
      </c>
      <c r="CQ143" s="670">
        <f>INPUT!DB66</f>
        <v>-9.2198581560283603</v>
      </c>
      <c r="CR143" s="688">
        <f>INPUT!DC66</f>
        <v>54.6</v>
      </c>
      <c r="CS143" s="670">
        <f>INPUT!DD66</f>
        <v>17.926565874730027</v>
      </c>
      <c r="CT143" s="688">
        <f>INPUT!DE66</f>
        <v>19.8</v>
      </c>
      <c r="CU143" s="670">
        <f>INPUT!DF66</f>
        <v>25.316455696202532</v>
      </c>
      <c r="CV143" s="688">
        <f>INPUT!DG66</f>
        <v>23.3</v>
      </c>
      <c r="CW143" s="670">
        <f>INPUT!DH66</f>
        <v>24.598930481283432</v>
      </c>
      <c r="CX143" s="688">
        <f>INPUT!DI66</f>
        <v>15.6</v>
      </c>
      <c r="CY143" s="670">
        <f>INPUT!DJ66</f>
        <v>21.875</v>
      </c>
      <c r="CZ143" s="688">
        <f>INPUT!DK66</f>
        <v>60.1</v>
      </c>
      <c r="DA143" s="670">
        <f>INPUT!DL66</f>
        <v>10.073260073260082</v>
      </c>
      <c r="DB143" s="688">
        <f>INPUT!DM66</f>
        <v>24</v>
      </c>
      <c r="DC143" s="670">
        <f>INPUT!DN66</f>
        <v>21.212121212121215</v>
      </c>
      <c r="DD143" s="688">
        <f>INPUT!DO66</f>
        <v>32.4</v>
      </c>
      <c r="DE143" s="670">
        <f>INPUT!DP66</f>
        <v>39.055793991416301</v>
      </c>
      <c r="DF143" s="688">
        <f>INPUT!DQ66</f>
        <v>15.2</v>
      </c>
      <c r="DG143" s="670">
        <f>INPUT!DR66</f>
        <v>-2.5641025641025661</v>
      </c>
      <c r="DH143" s="688">
        <f>INPUT!DS66</f>
        <v>48.1</v>
      </c>
      <c r="DI143" s="670">
        <f>INPUT!DT66</f>
        <v>-19.966722129783697</v>
      </c>
      <c r="DJ143" s="688">
        <f>INPUT!DU66</f>
        <v>16.2</v>
      </c>
      <c r="DK143" s="670">
        <f>INPUT!DV66</f>
        <v>-32.500000000000007</v>
      </c>
      <c r="DL143" s="688">
        <f>INPUT!DW66</f>
        <v>24.9</v>
      </c>
      <c r="DM143" s="670">
        <f>INPUT!DX66</f>
        <v>-23.148148148148152</v>
      </c>
      <c r="DN143" s="688">
        <f>INPUT!DY66</f>
        <v>11.7</v>
      </c>
      <c r="DO143" s="670">
        <f>INPUT!DZ66</f>
        <v>-23.026315789473685</v>
      </c>
      <c r="DP143" s="688">
        <f>INPUT!EA66</f>
        <v>61.8</v>
      </c>
      <c r="DQ143" s="670">
        <f>INPUT!EB66</f>
        <v>28.482328482328477</v>
      </c>
      <c r="DR143" s="688">
        <f>INPUT!EC66</f>
        <v>16.899999999999999</v>
      </c>
      <c r="DS143" s="670">
        <f>INPUT!ED66</f>
        <v>4.3209876543209846</v>
      </c>
      <c r="DT143" s="688">
        <f>INPUT!EE66</f>
        <v>27.4</v>
      </c>
      <c r="DU143" s="670">
        <f>INPUT!EF66</f>
        <v>10.040160642570273</v>
      </c>
      <c r="DV143" s="688">
        <f>INPUT!EG66</f>
        <v>20.7</v>
      </c>
      <c r="DW143" s="670">
        <f>INPUT!EH66</f>
        <v>76.923076923076934</v>
      </c>
      <c r="DX143" s="688">
        <f>INPUT!EI66</f>
        <v>97.5</v>
      </c>
      <c r="DY143" s="670">
        <f>INPUT!EJ66</f>
        <v>57.766990291262132</v>
      </c>
      <c r="DZ143" s="688">
        <f>INPUT!EK66</f>
        <v>0</v>
      </c>
      <c r="EA143" s="670" t="str">
        <f>INPUT!EL66</f>
        <v>NM</v>
      </c>
      <c r="EB143" s="688">
        <f>INPUT!EM66</f>
        <v>0</v>
      </c>
      <c r="EC143" s="670" t="str">
        <f>INPUT!EN66</f>
        <v>NM</v>
      </c>
      <c r="ED143" s="688">
        <f>INPUT!EO66</f>
        <v>0</v>
      </c>
      <c r="EE143" s="670" t="str">
        <f>INPUT!EP66</f>
        <v>NM</v>
      </c>
      <c r="EF143" s="688">
        <f>INPUT!EQ66</f>
        <v>0</v>
      </c>
      <c r="EG143" s="670" t="str">
        <f>INPUT!ER66</f>
        <v>NM</v>
      </c>
      <c r="EH143" s="670"/>
      <c r="EI143" s="688">
        <f>INPUT!FB66</f>
        <v>0</v>
      </c>
      <c r="EJ143" s="681">
        <f>INPUT!FC66</f>
        <v>0</v>
      </c>
      <c r="EK143" s="688">
        <f>INPUT!FD66</f>
        <v>129.30000000000001</v>
      </c>
      <c r="EL143" s="681" t="str">
        <f>INPUT!FE66</f>
        <v>NA</v>
      </c>
      <c r="EM143" s="688">
        <f>INPUT!FF66</f>
        <v>127.2</v>
      </c>
      <c r="EN143" s="681">
        <f>INPUT!FG66</f>
        <v>-1.6241299303944357</v>
      </c>
      <c r="EO143" s="688">
        <f>INPUT!FH66</f>
        <v>79.5</v>
      </c>
      <c r="EP143" s="681">
        <f>INPUT!FI66</f>
        <v>-37.5</v>
      </c>
      <c r="EQ143" s="688">
        <f>INPUT!FJ66</f>
        <v>0</v>
      </c>
      <c r="ER143" s="670" t="str">
        <f>INPUT!FK66</f>
        <v>NM</v>
      </c>
      <c r="ES143" s="688" t="str">
        <f>INPUT!FL66</f>
        <v xml:space="preserve"> </v>
      </c>
      <c r="ET143" s="670" t="str">
        <f>INPUT!FM66</f>
        <v>NA</v>
      </c>
      <c r="EU143" s="688" t="str">
        <f>INPUT!FN66</f>
        <v xml:space="preserve"> </v>
      </c>
      <c r="EV143" s="670" t="str">
        <f>INPUT!FO66</f>
        <v>NA</v>
      </c>
      <c r="EW143" s="688">
        <f>INPUT!FP66</f>
        <v>71.5</v>
      </c>
      <c r="EX143" s="670" t="str">
        <f>INPUT!FQ66</f>
        <v>NA</v>
      </c>
      <c r="EY143" s="669">
        <f>INPUT!FR66</f>
        <v>83.899999999999991</v>
      </c>
      <c r="EZ143" s="670">
        <f>INPUT!FS66</f>
        <v>17.34265734265734</v>
      </c>
      <c r="FA143" s="669">
        <f>INPUT!FT66</f>
        <v>80.300000000000011</v>
      </c>
      <c r="FB143" s="670">
        <f>INPUT!FU66</f>
        <v>-4.2908224076281032</v>
      </c>
      <c r="FC143" s="669">
        <f>INPUT!FV66</f>
        <v>84.9</v>
      </c>
      <c r="FD143" s="670">
        <f>INPUT!FW66</f>
        <v>5.7285180572851813</v>
      </c>
      <c r="FE143" s="669">
        <f>INPUT!FX66</f>
        <v>97.4</v>
      </c>
      <c r="FF143" s="670">
        <f>INPUT!FY66</f>
        <v>14.723203769140159</v>
      </c>
      <c r="FG143" s="669">
        <f>INPUT!FZ66</f>
        <v>101.9</v>
      </c>
      <c r="FH143" s="670">
        <f>INPUT!GA66</f>
        <v>4.62012320328542</v>
      </c>
      <c r="FI143" s="669">
        <f>INPUT!GB66</f>
        <v>118.80000000000001</v>
      </c>
      <c r="FJ143" s="670">
        <f>INPUT!GC66</f>
        <v>16.584887144259074</v>
      </c>
      <c r="FK143" s="669">
        <f>INPUT!GD66</f>
        <v>0</v>
      </c>
      <c r="FL143" s="670" t="str">
        <f>INPUT!GE66</f>
        <v>NM</v>
      </c>
      <c r="FM143" s="669">
        <f>INPUT!GF66</f>
        <v>0</v>
      </c>
      <c r="FN143" s="670" t="str">
        <f>INPUT!GG66</f>
        <v>NA</v>
      </c>
      <c r="FO143" s="669">
        <f>INPUT!GH66</f>
        <v>0</v>
      </c>
      <c r="FP143" s="670" t="str">
        <f>INPUT!GI66</f>
        <v>NA</v>
      </c>
      <c r="FQ143" s="669">
        <f>INPUT!GJ66</f>
        <v>0</v>
      </c>
      <c r="FR143" s="670" t="str">
        <f>INPUT!GK66</f>
        <v>NA</v>
      </c>
      <c r="FS143" s="669">
        <f>INPUT!GL66</f>
        <v>0</v>
      </c>
      <c r="FT143" s="670" t="str">
        <f>INPUT!GM66</f>
        <v>NA</v>
      </c>
      <c r="FU143" s="669">
        <f>INPUT!GN66</f>
        <v>0</v>
      </c>
      <c r="FV143" s="670" t="str">
        <f>INPUT!GO66</f>
        <v>NA</v>
      </c>
      <c r="FW143" s="669">
        <f>INPUT!GP66</f>
        <v>0</v>
      </c>
      <c r="FX143" s="670" t="str">
        <f>INPUT!GQ66</f>
        <v>NA</v>
      </c>
      <c r="FY143" s="669">
        <f>INPUT!GR66</f>
        <v>0</v>
      </c>
      <c r="FZ143" s="670" t="str">
        <f>INPUT!GS66</f>
        <v>NA</v>
      </c>
      <c r="GA143" s="681">
        <f>INPUT!GT62</f>
        <v>0</v>
      </c>
    </row>
    <row r="144" spans="1:183" s="707" customFormat="1" ht="12.75" hidden="1" customHeight="1" outlineLevel="1" x14ac:dyDescent="0.2">
      <c r="A144" s="679" t="str">
        <f>INPUT!B67</f>
        <v xml:space="preserve">  STD ASO Premium Equivalent</v>
      </c>
      <c r="B144" s="688"/>
      <c r="C144" s="681"/>
      <c r="D144" s="688"/>
      <c r="E144" s="681"/>
      <c r="F144" s="688"/>
      <c r="G144" s="681"/>
      <c r="H144" s="688"/>
      <c r="I144" s="681"/>
      <c r="J144" s="688"/>
      <c r="K144" s="681"/>
      <c r="L144" s="688"/>
      <c r="M144" s="681"/>
      <c r="N144" s="688"/>
      <c r="O144" s="681"/>
      <c r="P144" s="688"/>
      <c r="Q144" s="681"/>
      <c r="R144" s="688">
        <f>INPUT!AC67</f>
        <v>1.6</v>
      </c>
      <c r="S144" s="681" t="str">
        <f>INPUT!AD67</f>
        <v>NA</v>
      </c>
      <c r="T144" s="688">
        <f>INPUT!AE67</f>
        <v>0.9</v>
      </c>
      <c r="U144" s="681" t="str">
        <f>INPUT!AF67</f>
        <v>NA</v>
      </c>
      <c r="V144" s="688">
        <f>INPUT!AG67</f>
        <v>0.9</v>
      </c>
      <c r="W144" s="681" t="str">
        <f>INPUT!AH67</f>
        <v>NA</v>
      </c>
      <c r="X144" s="688">
        <f>INPUT!AI67</f>
        <v>3.899999999999999</v>
      </c>
      <c r="Y144" s="681" t="str">
        <f>INPUT!AJ67</f>
        <v>NA</v>
      </c>
      <c r="Z144" s="688">
        <f>INPUT!AK67</f>
        <v>0.7</v>
      </c>
      <c r="AA144" s="681" t="str">
        <f>INPUT!AL67</f>
        <v>NM</v>
      </c>
      <c r="AB144" s="688">
        <f>INPUT!AM67</f>
        <v>0.7</v>
      </c>
      <c r="AC144" s="681">
        <f>INPUT!AN67</f>
        <v>-22.222222222222232</v>
      </c>
      <c r="AD144" s="688">
        <f>INPUT!AO67</f>
        <v>0.8</v>
      </c>
      <c r="AE144" s="681">
        <f>INPUT!AP67</f>
        <v>-11.111111111111105</v>
      </c>
      <c r="AF144" s="688">
        <f>INPUT!AQ67</f>
        <v>3.6</v>
      </c>
      <c r="AG144" s="681">
        <f>INPUT!AR67</f>
        <v>-7.692307692307665</v>
      </c>
      <c r="AH144" s="688">
        <f>INPUT!AS67</f>
        <v>1.3</v>
      </c>
      <c r="AI144" s="681">
        <f>INPUT!AT67</f>
        <v>85.714285714285737</v>
      </c>
      <c r="AJ144" s="688">
        <f>INPUT!AU67</f>
        <v>1.9</v>
      </c>
      <c r="AK144" s="681" t="str">
        <f>INPUT!AV67</f>
        <v>NM</v>
      </c>
      <c r="AL144" s="688">
        <f>INPUT!AW67</f>
        <v>0.4</v>
      </c>
      <c r="AM144" s="681">
        <f>INPUT!AX67</f>
        <v>-50</v>
      </c>
      <c r="AN144" s="688">
        <f>INPUT!AY67</f>
        <v>6.4</v>
      </c>
      <c r="AO144" s="670">
        <f>INPUT!AZ67</f>
        <v>77.777777777777786</v>
      </c>
      <c r="AP144" s="688">
        <f>INPUT!BA67</f>
        <v>0.7</v>
      </c>
      <c r="AQ144" s="670">
        <f>INPUT!BB67</f>
        <v>-46.153846153846153</v>
      </c>
      <c r="AR144" s="688">
        <f>INPUT!BC67</f>
        <v>0.8</v>
      </c>
      <c r="AS144" s="670" t="str">
        <f>INPUT!BD67</f>
        <v>NM</v>
      </c>
      <c r="AT144" s="688">
        <f>INPUT!BE67</f>
        <v>1.5</v>
      </c>
      <c r="AU144" s="670" t="str">
        <f>INPUT!BF67</f>
        <v>NM</v>
      </c>
      <c r="AV144" s="688">
        <f>INPUT!BG67</f>
        <v>2.6</v>
      </c>
      <c r="AW144" s="670" t="str">
        <f>INPUT!BH67</f>
        <v>NM</v>
      </c>
      <c r="AX144" s="688">
        <f>INPUT!BI67</f>
        <v>1.2</v>
      </c>
      <c r="AY144" s="670">
        <f>INPUT!BJ67</f>
        <v>71.428571428571445</v>
      </c>
      <c r="AZ144" s="688">
        <f>INPUT!BK67</f>
        <v>1.7</v>
      </c>
      <c r="BA144" s="670" t="str">
        <f>INPUT!BL67</f>
        <v>NM</v>
      </c>
      <c r="BB144" s="688">
        <f>INPUT!BM67</f>
        <v>0.5</v>
      </c>
      <c r="BC144" s="670">
        <f>INPUT!BN67</f>
        <v>0</v>
      </c>
      <c r="BD144" s="688">
        <f>INPUT!BO67</f>
        <v>3.7</v>
      </c>
      <c r="BE144" s="670">
        <f>INPUT!BP67</f>
        <v>0</v>
      </c>
      <c r="BF144" s="688">
        <f>INPUT!BQ67</f>
        <v>0.7</v>
      </c>
      <c r="BG144" s="670">
        <f>INPUT!BR67</f>
        <v>-41.666666666666664</v>
      </c>
      <c r="BH144" s="688">
        <f>INPUT!BS67</f>
        <v>2.2000000000000002</v>
      </c>
      <c r="BI144" s="670">
        <f>INPUT!BT67</f>
        <v>0</v>
      </c>
      <c r="BJ144" s="688">
        <f>INPUT!BU67</f>
        <v>0.3</v>
      </c>
      <c r="BK144" s="670">
        <f>INPUT!BV67</f>
        <v>0</v>
      </c>
      <c r="BL144" s="688">
        <f>INPUT!BW67</f>
        <v>4.5</v>
      </c>
      <c r="BM144" s="670">
        <f>INPUT!BX67</f>
        <v>0</v>
      </c>
      <c r="BN144" s="688">
        <f>INPUT!BY67</f>
        <v>0.6</v>
      </c>
      <c r="BO144" s="670">
        <f>INPUT!BZ67</f>
        <v>-14.285714285714279</v>
      </c>
      <c r="BP144" s="688">
        <f>INPUT!CA67</f>
        <v>1.1000000000000001</v>
      </c>
      <c r="BQ144" s="670">
        <f>INPUT!CB67</f>
        <v>-50</v>
      </c>
      <c r="BR144" s="688">
        <f>INPUT!CC67</f>
        <v>0.1</v>
      </c>
      <c r="BS144" s="670" t="str">
        <f>INPUT!CD67</f>
        <v>NM</v>
      </c>
      <c r="BT144" s="688">
        <f>INPUT!CE67</f>
        <v>4.5</v>
      </c>
      <c r="BU144" s="670">
        <f>INPUT!CF67</f>
        <v>0</v>
      </c>
      <c r="BV144" s="688">
        <f>INPUT!CG67</f>
        <v>1.4</v>
      </c>
      <c r="BW144" s="670" t="str">
        <f>INPUT!CH67</f>
        <v>NM</v>
      </c>
      <c r="BX144" s="688">
        <f>INPUT!CI67</f>
        <v>1.2</v>
      </c>
      <c r="BY144" s="670">
        <f>INPUT!CJ67</f>
        <v>9.0909090909090828</v>
      </c>
      <c r="BZ144" s="688">
        <f>INPUT!CK67</f>
        <v>0</v>
      </c>
      <c r="CA144" s="670" t="str">
        <f>INPUT!CL67</f>
        <v>NM</v>
      </c>
      <c r="CB144" s="688">
        <f>INPUT!CM67</f>
        <v>3.4</v>
      </c>
      <c r="CC144" s="670">
        <f>INPUT!CN67</f>
        <v>-24.444444444444446</v>
      </c>
      <c r="CD144" s="688">
        <f>INPUT!CO67</f>
        <v>0.6</v>
      </c>
      <c r="CE144" s="670" t="str">
        <f>INPUT!CP67</f>
        <v>NM</v>
      </c>
      <c r="CF144" s="688">
        <f>INPUT!CQ67</f>
        <v>0</v>
      </c>
      <c r="CG144" s="670" t="str">
        <f>INPUT!CR67</f>
        <v>NM</v>
      </c>
      <c r="CH144" s="688">
        <f>INPUT!CS67</f>
        <v>0</v>
      </c>
      <c r="CI144" s="670" t="str">
        <f>INPUT!CT67</f>
        <v>NA</v>
      </c>
      <c r="CJ144" s="688">
        <f>INPUT!CU67</f>
        <v>0</v>
      </c>
      <c r="CK144" s="670" t="str">
        <f>INPUT!CV67</f>
        <v>NM</v>
      </c>
      <c r="CL144" s="688">
        <f>INPUT!CW67</f>
        <v>0</v>
      </c>
      <c r="CM144" s="670" t="str">
        <f>INPUT!CX67</f>
        <v>NM</v>
      </c>
      <c r="CN144" s="688">
        <f>INPUT!CY67</f>
        <v>0</v>
      </c>
      <c r="CO144" s="670" t="str">
        <f>INPUT!CZ67</f>
        <v>NA</v>
      </c>
      <c r="CP144" s="688">
        <f>INPUT!DA67</f>
        <v>0</v>
      </c>
      <c r="CQ144" s="670" t="str">
        <f>INPUT!DB67</f>
        <v>NA</v>
      </c>
      <c r="CR144" s="688">
        <f>INPUT!DC67</f>
        <v>0</v>
      </c>
      <c r="CS144" s="670" t="str">
        <f>INPUT!DD67</f>
        <v>NA</v>
      </c>
      <c r="CT144" s="688">
        <f>INPUT!DE67</f>
        <v>0</v>
      </c>
      <c r="CU144" s="670" t="str">
        <f>INPUT!DF67</f>
        <v>NA</v>
      </c>
      <c r="CV144" s="688">
        <f>INPUT!DG67</f>
        <v>0</v>
      </c>
      <c r="CW144" s="670" t="str">
        <f>INPUT!DH67</f>
        <v>NA</v>
      </c>
      <c r="CX144" s="688">
        <f>INPUT!DI67</f>
        <v>0</v>
      </c>
      <c r="CY144" s="670" t="str">
        <f>INPUT!DJ67</f>
        <v>NA</v>
      </c>
      <c r="CZ144" s="688">
        <f>INPUT!DK67</f>
        <v>0</v>
      </c>
      <c r="DA144" s="670" t="str">
        <f>INPUT!DL67</f>
        <v>NA</v>
      </c>
      <c r="DB144" s="688">
        <f>INPUT!DM67</f>
        <v>0</v>
      </c>
      <c r="DC144" s="670" t="str">
        <f>INPUT!DN67</f>
        <v>NA</v>
      </c>
      <c r="DD144" s="688">
        <f>INPUT!DO67</f>
        <v>0</v>
      </c>
      <c r="DE144" s="670" t="str">
        <f>INPUT!DP67</f>
        <v>NA</v>
      </c>
      <c r="DF144" s="688">
        <f>INPUT!DQ67</f>
        <v>0</v>
      </c>
      <c r="DG144" s="670" t="str">
        <f>INPUT!DR67</f>
        <v>NA</v>
      </c>
      <c r="DH144" s="688">
        <f>INPUT!DS67</f>
        <v>0</v>
      </c>
      <c r="DI144" s="670" t="str">
        <f>INPUT!DT67</f>
        <v>NA</v>
      </c>
      <c r="DJ144" s="688">
        <f>INPUT!DU67</f>
        <v>0</v>
      </c>
      <c r="DK144" s="670" t="str">
        <f>INPUT!DV67</f>
        <v>NA</v>
      </c>
      <c r="DL144" s="688">
        <f>INPUT!DW67</f>
        <v>0</v>
      </c>
      <c r="DM144" s="670" t="str">
        <f>INPUT!DX67</f>
        <v>NA</v>
      </c>
      <c r="DN144" s="688">
        <f>INPUT!DY67</f>
        <v>0</v>
      </c>
      <c r="DO144" s="670" t="str">
        <f>INPUT!DZ67</f>
        <v>NA</v>
      </c>
      <c r="DP144" s="688">
        <f>INPUT!EA67</f>
        <v>0</v>
      </c>
      <c r="DQ144" s="670" t="str">
        <f>INPUT!EB67</f>
        <v>NA</v>
      </c>
      <c r="DR144" s="688">
        <f>INPUT!EC67</f>
        <v>0</v>
      </c>
      <c r="DS144" s="670" t="str">
        <f>INPUT!ED67</f>
        <v>NA</v>
      </c>
      <c r="DT144" s="688">
        <f>INPUT!EE67</f>
        <v>0</v>
      </c>
      <c r="DU144" s="670" t="str">
        <f>INPUT!EF67</f>
        <v>NA</v>
      </c>
      <c r="DV144" s="688">
        <f>INPUT!EG67</f>
        <v>0</v>
      </c>
      <c r="DW144" s="670" t="str">
        <f>INPUT!EH67</f>
        <v>NA</v>
      </c>
      <c r="DX144" s="688">
        <f>INPUT!EI67</f>
        <v>0</v>
      </c>
      <c r="DY144" s="670" t="str">
        <f>INPUT!EJ67</f>
        <v>NA</v>
      </c>
      <c r="DZ144" s="688">
        <f>INPUT!EK67</f>
        <v>0</v>
      </c>
      <c r="EA144" s="670" t="str">
        <f>INPUT!EL67</f>
        <v>NA</v>
      </c>
      <c r="EB144" s="688">
        <f>INPUT!EM67</f>
        <v>0</v>
      </c>
      <c r="EC144" s="670" t="str">
        <f>INPUT!EN67</f>
        <v>NA</v>
      </c>
      <c r="ED144" s="688">
        <f>INPUT!EO67</f>
        <v>0</v>
      </c>
      <c r="EE144" s="670" t="str">
        <f>INPUT!EP67</f>
        <v>NA</v>
      </c>
      <c r="EF144" s="688">
        <f>INPUT!EQ67</f>
        <v>0</v>
      </c>
      <c r="EG144" s="670" t="str">
        <f>INPUT!ER67</f>
        <v>NA</v>
      </c>
      <c r="EH144" s="670"/>
      <c r="EI144" s="688">
        <f>INPUT!FB67</f>
        <v>0</v>
      </c>
      <c r="EJ144" s="681">
        <f>INPUT!FC67</f>
        <v>0</v>
      </c>
      <c r="EK144" s="688">
        <f>INPUT!FD67</f>
        <v>20.2</v>
      </c>
      <c r="EL144" s="681" t="str">
        <f>INPUT!FE67</f>
        <v>NA</v>
      </c>
      <c r="EM144" s="688">
        <f>INPUT!FF67</f>
        <v>14.4</v>
      </c>
      <c r="EN144" s="681">
        <f>INPUT!FG67</f>
        <v>-28.712871287128706</v>
      </c>
      <c r="EO144" s="688">
        <f>INPUT!FH67</f>
        <v>7.3</v>
      </c>
      <c r="EP144" s="681">
        <f>INPUT!FI67</f>
        <v>-49.305555555555557</v>
      </c>
      <c r="EQ144" s="688">
        <f>INPUT!FJ67</f>
        <v>0</v>
      </c>
      <c r="ER144" s="670" t="str">
        <f>INPUT!FK67</f>
        <v>NM</v>
      </c>
      <c r="ES144" s="688">
        <f>INPUT!FL67</f>
        <v>0</v>
      </c>
      <c r="ET144" s="670" t="str">
        <f>INPUT!FM67</f>
        <v>NA</v>
      </c>
      <c r="EU144" s="688">
        <f>INPUT!FN67</f>
        <v>0</v>
      </c>
      <c r="EV144" s="670" t="str">
        <f>INPUT!FO67</f>
        <v>NA</v>
      </c>
      <c r="EW144" s="688">
        <f>INPUT!FP67</f>
        <v>7.1</v>
      </c>
      <c r="EX144" s="670" t="str">
        <f>INPUT!FQ67</f>
        <v>NA</v>
      </c>
      <c r="EY144" s="669">
        <f>INPUT!FR67</f>
        <v>7.7</v>
      </c>
      <c r="EZ144" s="670">
        <f>INPUT!FS67</f>
        <v>8.4507042253521227</v>
      </c>
      <c r="FA144" s="669">
        <f>INPUT!FT67</f>
        <v>6.3000000000000007</v>
      </c>
      <c r="FB144" s="670">
        <f>INPUT!FU67</f>
        <v>-18.181818181818176</v>
      </c>
      <c r="FC144" s="669">
        <f>INPUT!FV67</f>
        <v>6</v>
      </c>
      <c r="FD144" s="670">
        <f>INPUT!FW67</f>
        <v>-4.7619047619047672</v>
      </c>
      <c r="FE144" s="669">
        <f>INPUT!FX67</f>
        <v>0.6</v>
      </c>
      <c r="FF144" s="670" t="str">
        <f>INPUT!FY67</f>
        <v>NM</v>
      </c>
      <c r="FG144" s="669">
        <f>INPUT!FZ67</f>
        <v>0</v>
      </c>
      <c r="FH144" s="670" t="str">
        <f>INPUT!GA67</f>
        <v>NM</v>
      </c>
      <c r="FI144" s="669">
        <f>INPUT!GB67</f>
        <v>0</v>
      </c>
      <c r="FJ144" s="670" t="str">
        <f>INPUT!GC67</f>
        <v>NA</v>
      </c>
      <c r="FK144" s="669">
        <f>INPUT!GD67</f>
        <v>0</v>
      </c>
      <c r="FL144" s="670" t="str">
        <f>INPUT!GE67</f>
        <v>NA</v>
      </c>
      <c r="FM144" s="669">
        <f>INPUT!GF67</f>
        <v>0</v>
      </c>
      <c r="FN144" s="670" t="str">
        <f>INPUT!GG67</f>
        <v>NA</v>
      </c>
      <c r="FO144" s="669">
        <f>INPUT!GH67</f>
        <v>0</v>
      </c>
      <c r="FP144" s="670" t="str">
        <f>INPUT!GI67</f>
        <v>NA</v>
      </c>
      <c r="FQ144" s="669">
        <f>INPUT!GJ67</f>
        <v>0</v>
      </c>
      <c r="FR144" s="670" t="str">
        <f>INPUT!GK67</f>
        <v>NA</v>
      </c>
      <c r="FS144" s="669">
        <f>INPUT!GL67</f>
        <v>0</v>
      </c>
      <c r="FT144" s="670" t="str">
        <f>INPUT!GM67</f>
        <v>NA</v>
      </c>
      <c r="FU144" s="669">
        <f>INPUT!GN67</f>
        <v>0</v>
      </c>
      <c r="FV144" s="670" t="str">
        <f>INPUT!GO67</f>
        <v>NA</v>
      </c>
      <c r="FW144" s="669">
        <f>INPUT!GP67</f>
        <v>0</v>
      </c>
      <c r="FX144" s="670" t="str">
        <f>INPUT!GQ67</f>
        <v>NA</v>
      </c>
      <c r="FY144" s="669">
        <f>INPUT!GR67</f>
        <v>0</v>
      </c>
      <c r="FZ144" s="670" t="str">
        <f>INPUT!GS67</f>
        <v>NA</v>
      </c>
      <c r="GA144" s="681">
        <f>INPUT!GT63</f>
        <v>0</v>
      </c>
    </row>
    <row r="145" spans="1:183" s="707" customFormat="1" ht="12.75" hidden="1" customHeight="1" outlineLevel="1" x14ac:dyDescent="0.2">
      <c r="A145" s="679" t="str">
        <f>INPUT!B68</f>
        <v>Group Short Term Income Protection</v>
      </c>
      <c r="B145" s="688"/>
      <c r="C145" s="681"/>
      <c r="D145" s="688"/>
      <c r="E145" s="681"/>
      <c r="F145" s="688"/>
      <c r="G145" s="681"/>
      <c r="H145" s="688"/>
      <c r="I145" s="681"/>
      <c r="J145" s="688"/>
      <c r="K145" s="681"/>
      <c r="L145" s="688"/>
      <c r="M145" s="681"/>
      <c r="N145" s="688"/>
      <c r="O145" s="681"/>
      <c r="P145" s="688"/>
      <c r="Q145" s="681"/>
      <c r="R145" s="688">
        <f>INPUT!AC68</f>
        <v>27.3</v>
      </c>
      <c r="S145" s="681" t="str">
        <f>INPUT!AD68</f>
        <v>NA</v>
      </c>
      <c r="T145" s="688">
        <f>INPUT!AE68</f>
        <v>17.799999999999997</v>
      </c>
      <c r="U145" s="681" t="str">
        <f>INPUT!AF68</f>
        <v>NA</v>
      </c>
      <c r="V145" s="688">
        <f>INPUT!AG68</f>
        <v>9.2000000000000011</v>
      </c>
      <c r="W145" s="681" t="str">
        <f>INPUT!AH68</f>
        <v>NA</v>
      </c>
      <c r="X145" s="688">
        <f>INPUT!AI68</f>
        <v>32.500000000000007</v>
      </c>
      <c r="Y145" s="681" t="str">
        <f>INPUT!AJ68</f>
        <v>NA</v>
      </c>
      <c r="Z145" s="688">
        <f>INPUT!AK68</f>
        <v>16.7</v>
      </c>
      <c r="AA145" s="681">
        <f>INPUT!AL68</f>
        <v>-38.827838827838832</v>
      </c>
      <c r="AB145" s="688">
        <f>INPUT!AM68</f>
        <v>15.399999999999999</v>
      </c>
      <c r="AC145" s="681">
        <f>INPUT!AN68</f>
        <v>-13.48314606741573</v>
      </c>
      <c r="AD145" s="688">
        <f>INPUT!AO68</f>
        <v>12.3</v>
      </c>
      <c r="AE145" s="681">
        <f>INPUT!AP68</f>
        <v>33.695652173913039</v>
      </c>
      <c r="AF145" s="688">
        <f>INPUT!AQ68</f>
        <v>36.200000000000003</v>
      </c>
      <c r="AG145" s="681">
        <f>INPUT!AR68</f>
        <v>11.384615384615371</v>
      </c>
      <c r="AH145" s="688">
        <f>INPUT!AS68</f>
        <v>13.3</v>
      </c>
      <c r="AI145" s="681">
        <f>INPUT!AT68</f>
        <v>-20.359281437125741</v>
      </c>
      <c r="AJ145" s="688">
        <f>INPUT!AU68</f>
        <v>20.7</v>
      </c>
      <c r="AK145" s="681">
        <f>INPUT!AV68</f>
        <v>34.415584415584433</v>
      </c>
      <c r="AL145" s="688">
        <f>INPUT!AW68</f>
        <v>10.200000000000001</v>
      </c>
      <c r="AM145" s="681">
        <f>INPUT!AX68</f>
        <v>-17.073170731707311</v>
      </c>
      <c r="AN145" s="688">
        <f>INPUT!AY68</f>
        <v>39.9</v>
      </c>
      <c r="AO145" s="670">
        <f>INPUT!AZ68</f>
        <v>10.220994475138113</v>
      </c>
      <c r="AP145" s="688">
        <f>INPUT!BA68</f>
        <v>15.899999999999999</v>
      </c>
      <c r="AQ145" s="670">
        <f>INPUT!BB68</f>
        <v>19.548872180451117</v>
      </c>
      <c r="AR145" s="688">
        <f>INPUT!BC68</f>
        <v>17</v>
      </c>
      <c r="AS145" s="670">
        <f>INPUT!BD68</f>
        <v>-17.874396135265702</v>
      </c>
      <c r="AT145" s="688">
        <f>INPUT!BE68</f>
        <v>10</v>
      </c>
      <c r="AU145" s="670">
        <f>INPUT!BF68</f>
        <v>-1.9607843137255054</v>
      </c>
      <c r="AV145" s="688">
        <f>INPUT!BG68</f>
        <v>27.400000000000002</v>
      </c>
      <c r="AW145" s="670">
        <f>INPUT!BH68</f>
        <v>-31.328320802005006</v>
      </c>
      <c r="AX145" s="688">
        <f>INPUT!BI68</f>
        <v>14.6</v>
      </c>
      <c r="AY145" s="670">
        <f>INPUT!BJ68</f>
        <v>-8.1761006289308149</v>
      </c>
      <c r="AZ145" s="688">
        <f>INPUT!BK68</f>
        <v>18.099999999999998</v>
      </c>
      <c r="BA145" s="670">
        <f>INPUT!BL68</f>
        <v>6.4705882352940947</v>
      </c>
      <c r="BB145" s="688">
        <f>INPUT!BM68</f>
        <v>11.2</v>
      </c>
      <c r="BC145" s="670">
        <f>INPUT!BN68</f>
        <v>0</v>
      </c>
      <c r="BD145" s="688">
        <f>INPUT!BO68</f>
        <v>34.700000000000003</v>
      </c>
      <c r="BE145" s="670">
        <f>INPUT!BP68</f>
        <v>0</v>
      </c>
      <c r="BF145" s="688">
        <f>INPUT!BQ68</f>
        <v>16.600000000000001</v>
      </c>
      <c r="BG145" s="670">
        <f>INPUT!BR68</f>
        <v>13.698630136986312</v>
      </c>
      <c r="BH145" s="688">
        <f>INPUT!BS68</f>
        <v>21.599999999999998</v>
      </c>
      <c r="BI145" s="670">
        <f>INPUT!BT68</f>
        <v>0</v>
      </c>
      <c r="BJ145" s="688">
        <f>INPUT!BU68</f>
        <v>14.100000000000001</v>
      </c>
      <c r="BK145" s="670">
        <f>INPUT!BV68</f>
        <v>0</v>
      </c>
      <c r="BL145" s="688">
        <f>INPUT!BW68</f>
        <v>39.299999999999997</v>
      </c>
      <c r="BM145" s="670">
        <f>INPUT!BX68</f>
        <v>0</v>
      </c>
      <c r="BN145" s="688">
        <f>INPUT!BY68</f>
        <v>14.9</v>
      </c>
      <c r="BO145" s="670">
        <f>INPUT!BZ68</f>
        <v>-10.240963855421692</v>
      </c>
      <c r="BP145" s="688">
        <f>INPUT!CA68</f>
        <v>18.200000000000003</v>
      </c>
      <c r="BQ145" s="670">
        <f>INPUT!CB68</f>
        <v>-15.740740740740723</v>
      </c>
      <c r="BR145" s="688">
        <f>INPUT!CC68</f>
        <v>11.6</v>
      </c>
      <c r="BS145" s="670">
        <f>INPUT!CD68</f>
        <v>-17.730496453900724</v>
      </c>
      <c r="BT145" s="688">
        <f>INPUT!CE68</f>
        <v>41.9</v>
      </c>
      <c r="BU145" s="670">
        <f>INPUT!CF68</f>
        <v>6.61577608142494</v>
      </c>
      <c r="BV145" s="688">
        <f>INPUT!CG68</f>
        <v>15.4</v>
      </c>
      <c r="BW145" s="670">
        <f>INPUT!CH68</f>
        <v>3.3557046979865834</v>
      </c>
      <c r="BX145" s="688">
        <f>INPUT!CI68</f>
        <v>18.899999999999999</v>
      </c>
      <c r="BY145" s="670">
        <f>INPUT!CJ68</f>
        <v>3.8461538461538325</v>
      </c>
      <c r="BZ145" s="688">
        <f>INPUT!CK68</f>
        <v>12.4</v>
      </c>
      <c r="CA145" s="670">
        <f>INPUT!CL68</f>
        <v>6.8965517241379448</v>
      </c>
      <c r="CB145" s="688">
        <f>INPUT!CM68</f>
        <v>44.199999999999996</v>
      </c>
      <c r="CC145" s="670">
        <f>INPUT!CN68</f>
        <v>5.4892601431980825</v>
      </c>
      <c r="CD145" s="688">
        <f>INPUT!CO68</f>
        <v>14</v>
      </c>
      <c r="CE145" s="670">
        <f>INPUT!CP68</f>
        <v>-9.0909090909090935</v>
      </c>
      <c r="CF145" s="688">
        <f>INPUT!CQ68</f>
        <v>23.6</v>
      </c>
      <c r="CG145" s="670">
        <f>INPUT!CR68</f>
        <v>24.867724867724881</v>
      </c>
      <c r="CH145" s="688">
        <f>INPUT!CS68</f>
        <v>14.1</v>
      </c>
      <c r="CI145" s="670">
        <f>INPUT!CT68</f>
        <v>13.709677419354826</v>
      </c>
      <c r="CJ145" s="688">
        <f>INPUT!CU68</f>
        <v>46.3</v>
      </c>
      <c r="CK145" s="670">
        <f>INPUT!CV68</f>
        <v>4.7511312217194623</v>
      </c>
      <c r="CL145" s="688">
        <f>INPUT!CW68</f>
        <v>15.8</v>
      </c>
      <c r="CM145" s="670">
        <f>INPUT!CX68</f>
        <v>12.857142857142856</v>
      </c>
      <c r="CN145" s="688">
        <f>INPUT!CY68</f>
        <v>18.7</v>
      </c>
      <c r="CO145" s="670">
        <f>INPUT!CZ68</f>
        <v>-20.762711864406789</v>
      </c>
      <c r="CP145" s="688">
        <f>INPUT!DA68</f>
        <v>12.8</v>
      </c>
      <c r="CQ145" s="670">
        <f>INPUT!DB68</f>
        <v>-9.2198581560283603</v>
      </c>
      <c r="CR145" s="688">
        <f>INPUT!DC68</f>
        <v>54.6</v>
      </c>
      <c r="CS145" s="670">
        <f>INPUT!DD68</f>
        <v>17.926565874730027</v>
      </c>
      <c r="CT145" s="688">
        <f>INPUT!DE68</f>
        <v>19.8</v>
      </c>
      <c r="CU145" s="670">
        <f>INPUT!DF68</f>
        <v>25.316455696202532</v>
      </c>
      <c r="CV145" s="688">
        <f>INPUT!DG68</f>
        <v>23.3</v>
      </c>
      <c r="CW145" s="670">
        <f>INPUT!DH68</f>
        <v>24.598930481283432</v>
      </c>
      <c r="CX145" s="688">
        <f>INPUT!DI68</f>
        <v>15.6</v>
      </c>
      <c r="CY145" s="670">
        <f>INPUT!DJ68</f>
        <v>21.875</v>
      </c>
      <c r="CZ145" s="688">
        <f>INPUT!DK68</f>
        <v>60.1</v>
      </c>
      <c r="DA145" s="670">
        <f>INPUT!DL68</f>
        <v>10.073260073260082</v>
      </c>
      <c r="DB145" s="688">
        <f>INPUT!DM68</f>
        <v>24</v>
      </c>
      <c r="DC145" s="670">
        <f>INPUT!DN68</f>
        <v>21.212121212121215</v>
      </c>
      <c r="DD145" s="688">
        <f>INPUT!DO68</f>
        <v>32.4</v>
      </c>
      <c r="DE145" s="670">
        <f>INPUT!DP68</f>
        <v>39.055793991416301</v>
      </c>
      <c r="DF145" s="688">
        <f>INPUT!DQ68</f>
        <v>15.2</v>
      </c>
      <c r="DG145" s="670">
        <f>INPUT!DR68</f>
        <v>-2.5641025641025661</v>
      </c>
      <c r="DH145" s="688">
        <f>INPUT!DS68</f>
        <v>48.1</v>
      </c>
      <c r="DI145" s="670">
        <f>INPUT!DT68</f>
        <v>-19.966722129783697</v>
      </c>
      <c r="DJ145" s="688">
        <f>INPUT!DU68</f>
        <v>16.2</v>
      </c>
      <c r="DK145" s="670">
        <f>INPUT!DV68</f>
        <v>-32.500000000000007</v>
      </c>
      <c r="DL145" s="688">
        <f>INPUT!DW68</f>
        <v>24.9</v>
      </c>
      <c r="DM145" s="670">
        <f>INPUT!DX68</f>
        <v>-23.148148148148152</v>
      </c>
      <c r="DN145" s="688">
        <f>INPUT!DY68</f>
        <v>11.7</v>
      </c>
      <c r="DO145" s="670">
        <f>INPUT!DZ68</f>
        <v>-23.026315789473685</v>
      </c>
      <c r="DP145" s="688">
        <f>INPUT!EA68</f>
        <v>61.8</v>
      </c>
      <c r="DQ145" s="670">
        <f>INPUT!EB68</f>
        <v>28.482328482328477</v>
      </c>
      <c r="DR145" s="688">
        <f>INPUT!EC68</f>
        <v>16.899999999999999</v>
      </c>
      <c r="DS145" s="670">
        <f>INPUT!ED68</f>
        <v>4.3209876543209846</v>
      </c>
      <c r="DT145" s="688">
        <f>INPUT!EE68</f>
        <v>27.4</v>
      </c>
      <c r="DU145" s="670">
        <f>INPUT!EF68</f>
        <v>10.040160642570273</v>
      </c>
      <c r="DV145" s="688">
        <f>INPUT!EG68</f>
        <v>20.7</v>
      </c>
      <c r="DW145" s="670">
        <f>INPUT!EH68</f>
        <v>76.923076923076934</v>
      </c>
      <c r="DX145" s="688">
        <f>INPUT!EI68</f>
        <v>97.5</v>
      </c>
      <c r="DY145" s="670">
        <f>INPUT!EJ68</f>
        <v>57.766990291262132</v>
      </c>
      <c r="DZ145" s="688">
        <f>INPUT!EK68</f>
        <v>0</v>
      </c>
      <c r="EA145" s="670" t="str">
        <f>INPUT!EL68</f>
        <v>NM</v>
      </c>
      <c r="EB145" s="688">
        <f>INPUT!EM68</f>
        <v>0</v>
      </c>
      <c r="EC145" s="670" t="str">
        <f>INPUT!EN68</f>
        <v>NM</v>
      </c>
      <c r="ED145" s="688">
        <f>INPUT!EO68</f>
        <v>0</v>
      </c>
      <c r="EE145" s="670" t="str">
        <f>INPUT!EP68</f>
        <v>NM</v>
      </c>
      <c r="EF145" s="688">
        <f>INPUT!EQ68</f>
        <v>0</v>
      </c>
      <c r="EG145" s="670" t="str">
        <f>INPUT!ER68</f>
        <v>NM</v>
      </c>
      <c r="EH145" s="670"/>
      <c r="EI145" s="688">
        <f>INPUT!FB68</f>
        <v>0</v>
      </c>
      <c r="EJ145" s="681">
        <f>INPUT!FC68</f>
        <v>0</v>
      </c>
      <c r="EK145" s="688">
        <f>INPUT!FD68</f>
        <v>149.5</v>
      </c>
      <c r="EL145" s="681" t="str">
        <f>INPUT!FE68</f>
        <v>NA</v>
      </c>
      <c r="EM145" s="688">
        <f>INPUT!FF68</f>
        <v>141.6</v>
      </c>
      <c r="EN145" s="681">
        <f>INPUT!FG68</f>
        <v>-5.2842809364548549</v>
      </c>
      <c r="EO145" s="688">
        <f>INPUT!FH68</f>
        <v>86.8</v>
      </c>
      <c r="EP145" s="681">
        <f>INPUT!FI68</f>
        <v>-38.700564971751419</v>
      </c>
      <c r="EQ145" s="688">
        <f>INPUT!FJ68</f>
        <v>0</v>
      </c>
      <c r="ER145" s="670" t="str">
        <f>INPUT!FK68</f>
        <v>NM</v>
      </c>
      <c r="ES145" s="688">
        <f>INPUT!FL68</f>
        <v>0</v>
      </c>
      <c r="ET145" s="670" t="str">
        <f>INPUT!FM68</f>
        <v>NA</v>
      </c>
      <c r="EU145" s="688">
        <f>INPUT!FN68</f>
        <v>0</v>
      </c>
      <c r="EV145" s="670" t="str">
        <f>INPUT!FO68</f>
        <v>NA</v>
      </c>
      <c r="EW145" s="688">
        <f>INPUT!FP68</f>
        <v>78.599999999999994</v>
      </c>
      <c r="EX145" s="670" t="str">
        <f>INPUT!FQ68</f>
        <v>NA</v>
      </c>
      <c r="EY145" s="669">
        <f>INPUT!FR68</f>
        <v>91.6</v>
      </c>
      <c r="EZ145" s="670">
        <f>INPUT!FS68</f>
        <v>16.53944020356235</v>
      </c>
      <c r="FA145" s="669">
        <f>INPUT!FT68</f>
        <v>86.600000000000009</v>
      </c>
      <c r="FB145" s="670">
        <f>INPUT!FU68</f>
        <v>-5.4585152838427797</v>
      </c>
      <c r="FC145" s="669">
        <f>INPUT!FV68</f>
        <v>90.9</v>
      </c>
      <c r="FD145" s="670">
        <f>INPUT!FW68</f>
        <v>4.9653579676674386</v>
      </c>
      <c r="FE145" s="669">
        <f>INPUT!FX68</f>
        <v>98</v>
      </c>
      <c r="FF145" s="670">
        <f>INPUT!FY68</f>
        <v>7.810781078107798</v>
      </c>
      <c r="FG145" s="669">
        <f>INPUT!FZ68</f>
        <v>101.9</v>
      </c>
      <c r="FH145" s="670">
        <f>INPUT!GA68</f>
        <v>3.9795918367347083</v>
      </c>
      <c r="FI145" s="669">
        <f>INPUT!GB68</f>
        <v>118.80000000000001</v>
      </c>
      <c r="FJ145" s="670">
        <f>INPUT!GC68</f>
        <v>16.584887144259074</v>
      </c>
      <c r="FK145" s="669">
        <f>INPUT!GD68</f>
        <v>0</v>
      </c>
      <c r="FL145" s="670" t="str">
        <f>INPUT!GE68</f>
        <v>NM</v>
      </c>
      <c r="FM145" s="669">
        <f>INPUT!GF68</f>
        <v>0</v>
      </c>
      <c r="FN145" s="670" t="str">
        <f>INPUT!GG68</f>
        <v>NA</v>
      </c>
      <c r="FO145" s="669">
        <f>INPUT!GH68</f>
        <v>0</v>
      </c>
      <c r="FP145" s="670" t="str">
        <f>INPUT!GI68</f>
        <v>NA</v>
      </c>
      <c r="FQ145" s="669">
        <f>INPUT!GJ68</f>
        <v>0</v>
      </c>
      <c r="FR145" s="670" t="str">
        <f>INPUT!GK68</f>
        <v>NA</v>
      </c>
      <c r="FS145" s="669">
        <f>INPUT!GL68</f>
        <v>0</v>
      </c>
      <c r="FT145" s="670" t="str">
        <f>INPUT!GM68</f>
        <v>NA</v>
      </c>
      <c r="FU145" s="669">
        <f>INPUT!GN68</f>
        <v>0</v>
      </c>
      <c r="FV145" s="670" t="str">
        <f>INPUT!GO68</f>
        <v>NA</v>
      </c>
      <c r="FW145" s="669">
        <f>INPUT!GP68</f>
        <v>0</v>
      </c>
      <c r="FX145" s="670" t="str">
        <f>INPUT!GQ68</f>
        <v>NA</v>
      </c>
      <c r="FY145" s="669">
        <f>INPUT!GR68</f>
        <v>0</v>
      </c>
      <c r="FZ145" s="670" t="str">
        <f>INPUT!GS68</f>
        <v>NA</v>
      </c>
      <c r="GA145" s="681">
        <f>INPUT!GT64</f>
        <v>0</v>
      </c>
    </row>
    <row r="146" spans="1:183" s="707" customFormat="1" ht="12.75" hidden="1" customHeight="1" outlineLevel="1" x14ac:dyDescent="0.2">
      <c r="A146" s="679" t="str">
        <f>INPUT!B70</f>
        <v>Total Group Inc Protection Sales</v>
      </c>
      <c r="B146" s="688"/>
      <c r="C146" s="681"/>
      <c r="D146" s="688"/>
      <c r="E146" s="681"/>
      <c r="F146" s="688"/>
      <c r="G146" s="681"/>
      <c r="H146" s="688"/>
      <c r="I146" s="681"/>
      <c r="J146" s="688"/>
      <c r="K146" s="681"/>
      <c r="L146" s="688"/>
      <c r="M146" s="681"/>
      <c r="N146" s="688"/>
      <c r="O146" s="681"/>
      <c r="P146" s="688"/>
      <c r="Q146" s="681"/>
      <c r="R146" s="688">
        <f>INPUT!AC70</f>
        <v>63.3</v>
      </c>
      <c r="S146" s="681" t="str">
        <f>INPUT!AD70</f>
        <v>NA</v>
      </c>
      <c r="T146" s="688">
        <f>INPUT!AE70</f>
        <v>58.9</v>
      </c>
      <c r="U146" s="681" t="str">
        <f>INPUT!AF70</f>
        <v>NA</v>
      </c>
      <c r="V146" s="688">
        <f>INPUT!AG70</f>
        <v>33.1</v>
      </c>
      <c r="W146" s="681" t="str">
        <f>INPUT!AH70</f>
        <v>NA</v>
      </c>
      <c r="X146" s="688">
        <f>INPUT!AI70</f>
        <v>113</v>
      </c>
      <c r="Y146" s="681" t="str">
        <f>INPUT!AJ70</f>
        <v>NA</v>
      </c>
      <c r="Z146" s="688">
        <f>INPUT!AK70</f>
        <v>53.8</v>
      </c>
      <c r="AA146" s="681">
        <f>INPUT!AL70</f>
        <v>-15.007898894154813</v>
      </c>
      <c r="AB146" s="688">
        <f>INPUT!AM70</f>
        <v>63.6</v>
      </c>
      <c r="AC146" s="681">
        <f>INPUT!AN70</f>
        <v>7.9796264855687582</v>
      </c>
      <c r="AD146" s="688">
        <f>INPUT!AO70</f>
        <v>40.799999999999997</v>
      </c>
      <c r="AE146" s="681">
        <f>INPUT!AP70</f>
        <v>23.262839879154072</v>
      </c>
      <c r="AF146" s="688">
        <f>INPUT!AQ70</f>
        <v>104.6</v>
      </c>
      <c r="AG146" s="681">
        <f>INPUT!AR70</f>
        <v>-7.4336283185840735</v>
      </c>
      <c r="AH146" s="688">
        <f>INPUT!AS70</f>
        <v>56.400000000000006</v>
      </c>
      <c r="AI146" s="681">
        <f>INPUT!AT70</f>
        <v>4.8327137546468668</v>
      </c>
      <c r="AJ146" s="688">
        <f>INPUT!AU70</f>
        <v>72.099999999999994</v>
      </c>
      <c r="AK146" s="681">
        <f>INPUT!AV70</f>
        <v>13.364779874213827</v>
      </c>
      <c r="AL146" s="688">
        <f>INPUT!AW70</f>
        <v>35.6</v>
      </c>
      <c r="AM146" s="681">
        <f>INPUT!AX70</f>
        <v>-12.745098039215675</v>
      </c>
      <c r="AN146" s="688">
        <f>INPUT!AY70</f>
        <v>132.19999999999999</v>
      </c>
      <c r="AO146" s="670">
        <f>INPUT!AZ70</f>
        <v>26.386233269598456</v>
      </c>
      <c r="AP146" s="688">
        <f>INPUT!BA70</f>
        <v>41.4</v>
      </c>
      <c r="AQ146" s="670">
        <f>INPUT!BB70</f>
        <v>-26.595744680851073</v>
      </c>
      <c r="AR146" s="688">
        <f>INPUT!BC70</f>
        <v>71.599999999999994</v>
      </c>
      <c r="AS146" s="670">
        <f>INPUT!BD70</f>
        <v>-0.69348127600554754</v>
      </c>
      <c r="AT146" s="688">
        <f>INPUT!BE70</f>
        <v>33.9</v>
      </c>
      <c r="AU146" s="670">
        <f>INPUT!BF70</f>
        <v>-4.7752808988764102</v>
      </c>
      <c r="AV146" s="688">
        <f>INPUT!BG70</f>
        <v>102.7</v>
      </c>
      <c r="AW146" s="670">
        <f>INPUT!BH70</f>
        <v>-22.314674735249618</v>
      </c>
      <c r="AX146" s="688">
        <f>INPUT!BI70</f>
        <v>51.900000000000006</v>
      </c>
      <c r="AY146" s="670">
        <f>INPUT!BJ70</f>
        <v>25.362318840579732</v>
      </c>
      <c r="AZ146" s="688">
        <f>INPUT!BK70</f>
        <v>63.5</v>
      </c>
      <c r="BA146" s="670">
        <f>INPUT!BL70</f>
        <v>-11.312849162011162</v>
      </c>
      <c r="BB146" s="688">
        <f>INPUT!BM70</f>
        <v>42.7</v>
      </c>
      <c r="BC146" s="670">
        <f>INPUT!BN70</f>
        <v>0</v>
      </c>
      <c r="BD146" s="688">
        <f>INPUT!BO70</f>
        <v>112.2</v>
      </c>
      <c r="BE146" s="670">
        <f>INPUT!BP70</f>
        <v>0</v>
      </c>
      <c r="BF146" s="688">
        <f>INPUT!BQ70</f>
        <v>48.3</v>
      </c>
      <c r="BG146" s="670">
        <f>INPUT!BR70</f>
        <v>-6.936416184971117</v>
      </c>
      <c r="BH146" s="688">
        <f>INPUT!BS70</f>
        <v>75.899999999999991</v>
      </c>
      <c r="BI146" s="670">
        <f>INPUT!BT70</f>
        <v>0</v>
      </c>
      <c r="BJ146" s="688">
        <f>INPUT!BU70</f>
        <v>34.799999999999997</v>
      </c>
      <c r="BK146" s="670">
        <f>INPUT!BV70</f>
        <v>0</v>
      </c>
      <c r="BL146" s="688">
        <f>INPUT!BW70</f>
        <v>114.7</v>
      </c>
      <c r="BM146" s="670">
        <f>INPUT!BX70</f>
        <v>0</v>
      </c>
      <c r="BN146" s="688">
        <f>INPUT!BY70</f>
        <v>42.5</v>
      </c>
      <c r="BO146" s="670">
        <f>INPUT!BZ70</f>
        <v>-12.008281573498959</v>
      </c>
      <c r="BP146" s="688">
        <f>INPUT!CA70</f>
        <v>50.400000000000006</v>
      </c>
      <c r="BQ146" s="670">
        <f>INPUT!CB70</f>
        <v>-33.596837944664017</v>
      </c>
      <c r="BR146" s="688">
        <f>INPUT!CC70</f>
        <v>32.799999999999997</v>
      </c>
      <c r="BS146" s="670">
        <f>INPUT!CD70</f>
        <v>-5.7471264367816133</v>
      </c>
      <c r="BT146" s="688">
        <f>INPUT!CE70</f>
        <v>109.19999999999999</v>
      </c>
      <c r="BU146" s="670">
        <f>INPUT!CF70</f>
        <v>-4.7951176983435211</v>
      </c>
      <c r="BV146" s="688">
        <f>INPUT!CG70</f>
        <v>44.9</v>
      </c>
      <c r="BW146" s="670">
        <f>INPUT!CH70</f>
        <v>5.647058823529405</v>
      </c>
      <c r="BX146" s="688">
        <f>INPUT!CI70</f>
        <v>57.199999999999996</v>
      </c>
      <c r="BY146" s="670">
        <f>INPUT!CJ70</f>
        <v>13.492063492063465</v>
      </c>
      <c r="BZ146" s="688">
        <f>INPUT!CK70</f>
        <v>34.4</v>
      </c>
      <c r="CA146" s="670">
        <f>INPUT!CL70</f>
        <v>4.8780487804878092</v>
      </c>
      <c r="CB146" s="688">
        <f>INPUT!CM70</f>
        <v>119.4</v>
      </c>
      <c r="CC146" s="670">
        <f>INPUT!CN70</f>
        <v>9.3406593406593519</v>
      </c>
      <c r="CD146" s="688">
        <f>INPUT!CO70</f>
        <v>49.8</v>
      </c>
      <c r="CE146" s="670">
        <f>INPUT!CP70</f>
        <v>10.913140311804014</v>
      </c>
      <c r="CF146" s="688">
        <f>INPUT!CQ70</f>
        <v>59.6</v>
      </c>
      <c r="CG146" s="670">
        <f>INPUT!CR70</f>
        <v>4.1958041958042092</v>
      </c>
      <c r="CH146" s="688">
        <f>INPUT!CS70</f>
        <v>37.700000000000003</v>
      </c>
      <c r="CI146" s="670">
        <f>INPUT!CT70</f>
        <v>9.5930232558139714</v>
      </c>
      <c r="CJ146" s="688">
        <f>INPUT!CU70</f>
        <v>133.1</v>
      </c>
      <c r="CK146" s="670">
        <f>INPUT!CV70</f>
        <v>11.474036850921255</v>
      </c>
      <c r="CL146" s="688">
        <f>INPUT!CW70</f>
        <v>46.900000000000006</v>
      </c>
      <c r="CM146" s="670">
        <f>INPUT!CX70</f>
        <v>-5.8232931726907466</v>
      </c>
      <c r="CN146" s="688">
        <f>INPUT!CY70</f>
        <v>51.5</v>
      </c>
      <c r="CO146" s="670">
        <f>INPUT!CZ70</f>
        <v>-13.590604026845643</v>
      </c>
      <c r="CP146" s="688">
        <f>INPUT!DA70</f>
        <v>38.5</v>
      </c>
      <c r="CQ146" s="670">
        <f>INPUT!DB70</f>
        <v>2.1220159151193574</v>
      </c>
      <c r="CR146" s="688">
        <f>INPUT!DC70</f>
        <v>138.30000000000001</v>
      </c>
      <c r="CS146" s="670">
        <f>INPUT!DD70</f>
        <v>3.9068369646882095</v>
      </c>
      <c r="CT146" s="688">
        <f>INPUT!DE70</f>
        <v>52.5</v>
      </c>
      <c r="CU146" s="670">
        <f>INPUT!DF70</f>
        <v>11.940298507462677</v>
      </c>
      <c r="CV146" s="688">
        <f>INPUT!DG70</f>
        <v>70.099999999999994</v>
      </c>
      <c r="CW146" s="670">
        <f>INPUT!DH70</f>
        <v>36.116504854368927</v>
      </c>
      <c r="CX146" s="688">
        <f>INPUT!DI70</f>
        <v>43.6</v>
      </c>
      <c r="CY146" s="670">
        <f>INPUT!DJ70</f>
        <v>13.24675324675324</v>
      </c>
      <c r="CZ146" s="688">
        <f>INPUT!DK70</f>
        <v>176.2</v>
      </c>
      <c r="DA146" s="670">
        <f>INPUT!DL70</f>
        <v>27.404193781634099</v>
      </c>
      <c r="DB146" s="688">
        <f>INPUT!DM70</f>
        <v>61.3</v>
      </c>
      <c r="DC146" s="670">
        <f>INPUT!DN70</f>
        <v>16.761904761904756</v>
      </c>
      <c r="DD146" s="688">
        <f>INPUT!DO70</f>
        <v>84.3</v>
      </c>
      <c r="DE146" s="670">
        <f>INPUT!DP70</f>
        <v>20.256776034236811</v>
      </c>
      <c r="DF146" s="688">
        <f>INPUT!DQ70</f>
        <v>49.5</v>
      </c>
      <c r="DG146" s="670">
        <f>INPUT!DR70</f>
        <v>13.53211009174311</v>
      </c>
      <c r="DH146" s="688">
        <f>INPUT!DS70</f>
        <v>164.3</v>
      </c>
      <c r="DI146" s="670">
        <f>INPUT!DT70</f>
        <v>-6.7536889897843233</v>
      </c>
      <c r="DJ146" s="688">
        <f>INPUT!DU70</f>
        <v>53.7</v>
      </c>
      <c r="DK146" s="670">
        <f>INPUT!DV70</f>
        <v>-12.398042414355615</v>
      </c>
      <c r="DL146" s="688">
        <f>INPUT!DW70</f>
        <v>73.199999999999989</v>
      </c>
      <c r="DM146" s="670">
        <f>INPUT!DX70</f>
        <v>-13.167259786476881</v>
      </c>
      <c r="DN146" s="688">
        <f>INPUT!DY70</f>
        <v>36</v>
      </c>
      <c r="DO146" s="670">
        <f>INPUT!DZ70</f>
        <v>-27.27272727272727</v>
      </c>
      <c r="DP146" s="688">
        <f>INPUT!EA70</f>
        <v>169.5</v>
      </c>
      <c r="DQ146" s="670">
        <f>INPUT!EB70</f>
        <v>3.1649421789409438</v>
      </c>
      <c r="DR146" s="688">
        <f>INPUT!EC70</f>
        <v>52.9</v>
      </c>
      <c r="DS146" s="670">
        <f>INPUT!ED70</f>
        <v>-1.4897579143389295</v>
      </c>
      <c r="DT146" s="688">
        <f>INPUT!EE70</f>
        <v>74.900000000000006</v>
      </c>
      <c r="DU146" s="670">
        <f>INPUT!EF70</f>
        <v>2.3224043715847298</v>
      </c>
      <c r="DV146" s="688">
        <f>INPUT!EG70</f>
        <v>51.8</v>
      </c>
      <c r="DW146" s="670">
        <f>INPUT!EH70</f>
        <v>43.888888888888886</v>
      </c>
      <c r="DX146" s="688">
        <f>INPUT!EI70</f>
        <v>223.7</v>
      </c>
      <c r="DY146" s="670">
        <f>INPUT!EJ70</f>
        <v>31.976401179941007</v>
      </c>
      <c r="DZ146" s="688">
        <f>INPUT!EK70</f>
        <v>0</v>
      </c>
      <c r="EA146" s="670" t="str">
        <f>INPUT!EL70</f>
        <v>NM</v>
      </c>
      <c r="EB146" s="688">
        <f>INPUT!EM70</f>
        <v>0</v>
      </c>
      <c r="EC146" s="670" t="str">
        <f>INPUT!EN70</f>
        <v>NM</v>
      </c>
      <c r="ED146" s="688">
        <f>INPUT!EO70</f>
        <v>0</v>
      </c>
      <c r="EE146" s="670" t="str">
        <f>INPUT!EP70</f>
        <v>NM</v>
      </c>
      <c r="EF146" s="688">
        <f>INPUT!EQ70</f>
        <v>0</v>
      </c>
      <c r="EG146" s="670" t="str">
        <f>INPUT!ER70</f>
        <v>NM</v>
      </c>
      <c r="EH146" s="670"/>
      <c r="EI146" s="688">
        <f>INPUT!FB70</f>
        <v>0</v>
      </c>
      <c r="EJ146" s="681">
        <f>INPUT!FC70</f>
        <v>0</v>
      </c>
      <c r="EK146" s="688">
        <f>INPUT!FD70</f>
        <v>479.5</v>
      </c>
      <c r="EL146" s="681" t="str">
        <f>INPUT!FE70</f>
        <v>NA</v>
      </c>
      <c r="EM146" s="688">
        <f>INPUT!FF70</f>
        <v>447.20000000000005</v>
      </c>
      <c r="EN146" s="681">
        <f>INPUT!FG70</f>
        <v>-6.7361835245046802</v>
      </c>
      <c r="EO146" s="688">
        <f>INPUT!FH70</f>
        <v>268.3</v>
      </c>
      <c r="EP146" s="681">
        <f>INPUT!FI70</f>
        <v>-40.004472271914139</v>
      </c>
      <c r="EQ146" s="688">
        <f>INPUT!FJ70</f>
        <v>0</v>
      </c>
      <c r="ER146" s="670" t="str">
        <f>INPUT!FK70</f>
        <v>NM</v>
      </c>
      <c r="ES146" s="688">
        <f>INPUT!FL70</f>
        <v>0</v>
      </c>
      <c r="ET146" s="670" t="str">
        <f>INPUT!FM70</f>
        <v>NA</v>
      </c>
      <c r="EU146" s="688">
        <f>INPUT!FN70</f>
        <v>0</v>
      </c>
      <c r="EV146" s="670" t="str">
        <f>INPUT!FO70</f>
        <v>NA</v>
      </c>
      <c r="EW146" s="688">
        <f>INPUT!FP70</f>
        <v>270.3</v>
      </c>
      <c r="EX146" s="670" t="str">
        <f>INPUT!FQ70</f>
        <v>NA</v>
      </c>
      <c r="EY146" s="669">
        <f>INPUT!FR70</f>
        <v>273.70000000000005</v>
      </c>
      <c r="EZ146" s="670">
        <f>INPUT!FS70</f>
        <v>1.2578616352201477</v>
      </c>
      <c r="FA146" s="669">
        <f>INPUT!FT70</f>
        <v>234.90000000000003</v>
      </c>
      <c r="FB146" s="670">
        <f>INPUT!FU70</f>
        <v>-14.176105224698576</v>
      </c>
      <c r="FC146" s="669">
        <f>INPUT!FV70</f>
        <v>255.9</v>
      </c>
      <c r="FD146" s="670">
        <f>INPUT!FW70</f>
        <v>8.9399744572158149</v>
      </c>
      <c r="FE146" s="669">
        <f>INPUT!FX70</f>
        <v>280.2</v>
      </c>
      <c r="FF146" s="670">
        <f>INPUT!FY70</f>
        <v>9.4958968347010462</v>
      </c>
      <c r="FG146" s="669">
        <f>INPUT!FZ70</f>
        <v>275.20000000000005</v>
      </c>
      <c r="FH146" s="670">
        <f>INPUT!GA70</f>
        <v>-1.7844396859385991</v>
      </c>
      <c r="FI146" s="669">
        <f>INPUT!GB70</f>
        <v>342.4</v>
      </c>
      <c r="FJ146" s="670">
        <f>INPUT!GC70</f>
        <v>24.418604651162767</v>
      </c>
      <c r="FK146" s="669">
        <f>INPUT!GD70</f>
        <v>0</v>
      </c>
      <c r="FL146" s="670" t="str">
        <f>INPUT!GE70</f>
        <v>NM</v>
      </c>
      <c r="FM146" s="669">
        <f>INPUT!GF70</f>
        <v>0</v>
      </c>
      <c r="FN146" s="670" t="str">
        <f>INPUT!GG70</f>
        <v>NA</v>
      </c>
      <c r="FO146" s="669">
        <f>INPUT!GH70</f>
        <v>0</v>
      </c>
      <c r="FP146" s="670" t="str">
        <f>INPUT!GI70</f>
        <v>NA</v>
      </c>
      <c r="FQ146" s="669">
        <f>INPUT!GJ70</f>
        <v>0</v>
      </c>
      <c r="FR146" s="670" t="str">
        <f>INPUT!GK70</f>
        <v>NA</v>
      </c>
      <c r="FS146" s="669">
        <f>INPUT!GL70</f>
        <v>0</v>
      </c>
      <c r="FT146" s="670" t="str">
        <f>INPUT!GM70</f>
        <v>NA</v>
      </c>
      <c r="FU146" s="669">
        <f>INPUT!GN70</f>
        <v>0</v>
      </c>
      <c r="FV146" s="670" t="str">
        <f>INPUT!GO70</f>
        <v>NA</v>
      </c>
      <c r="FW146" s="669">
        <f>INPUT!GP70</f>
        <v>0</v>
      </c>
      <c r="FX146" s="670" t="str">
        <f>INPUT!GQ70</f>
        <v>NA</v>
      </c>
      <c r="FY146" s="669">
        <f>INPUT!GR70</f>
        <v>0</v>
      </c>
      <c r="FZ146" s="670" t="str">
        <f>INPUT!GS70</f>
        <v>NA</v>
      </c>
      <c r="GA146" s="681">
        <f>INPUT!GT65</f>
        <v>0</v>
      </c>
    </row>
    <row r="147" spans="1:183" s="707" customFormat="1" ht="12.75" hidden="1" customHeight="1" outlineLevel="1" x14ac:dyDescent="0.2">
      <c r="A147" s="679"/>
      <c r="B147" s="688"/>
      <c r="C147" s="681"/>
      <c r="D147" s="688"/>
      <c r="E147" s="681"/>
      <c r="F147" s="688"/>
      <c r="G147" s="681"/>
      <c r="H147" s="688"/>
      <c r="I147" s="681"/>
      <c r="J147" s="688"/>
      <c r="K147" s="681"/>
      <c r="L147" s="688"/>
      <c r="M147" s="681"/>
      <c r="N147" s="688"/>
      <c r="O147" s="681"/>
      <c r="P147" s="688"/>
      <c r="Q147" s="681"/>
      <c r="R147" s="688"/>
      <c r="S147" s="681"/>
      <c r="T147" s="688"/>
      <c r="U147" s="681"/>
      <c r="V147" s="688"/>
      <c r="W147" s="681"/>
      <c r="X147" s="688"/>
      <c r="Y147" s="681"/>
      <c r="Z147" s="688"/>
      <c r="AA147" s="681"/>
      <c r="AB147" s="688"/>
      <c r="AC147" s="681"/>
      <c r="AD147" s="688"/>
      <c r="AE147" s="681"/>
      <c r="AF147" s="688"/>
      <c r="AG147" s="681"/>
      <c r="AH147" s="688"/>
      <c r="AI147" s="681"/>
      <c r="AJ147" s="688"/>
      <c r="AK147" s="681"/>
      <c r="AL147" s="688"/>
      <c r="AM147" s="681"/>
      <c r="AN147" s="688"/>
      <c r="AO147" s="670"/>
      <c r="AP147" s="688"/>
      <c r="AQ147" s="670"/>
      <c r="AR147" s="688"/>
      <c r="AS147" s="670"/>
      <c r="AT147" s="688"/>
      <c r="AU147" s="670"/>
      <c r="AV147" s="688"/>
      <c r="AW147" s="670"/>
      <c r="AX147" s="688"/>
      <c r="AY147" s="670"/>
      <c r="AZ147" s="688"/>
      <c r="BA147" s="670"/>
      <c r="BB147" s="688"/>
      <c r="BC147" s="670"/>
      <c r="BD147" s="688"/>
      <c r="BE147" s="670"/>
      <c r="BF147" s="688"/>
      <c r="BG147" s="670"/>
      <c r="BH147" s="688"/>
      <c r="BI147" s="670"/>
      <c r="BJ147" s="688"/>
      <c r="BK147" s="670"/>
      <c r="BL147" s="688"/>
      <c r="BM147" s="670"/>
      <c r="BN147" s="688"/>
      <c r="BO147" s="670"/>
      <c r="BP147" s="688"/>
      <c r="BQ147" s="670"/>
      <c r="BR147" s="688"/>
      <c r="BS147" s="670"/>
      <c r="BT147" s="688"/>
      <c r="BU147" s="670"/>
      <c r="BV147" s="688"/>
      <c r="BW147" s="670"/>
      <c r="BX147" s="688"/>
      <c r="BY147" s="670"/>
      <c r="BZ147" s="688"/>
      <c r="CA147" s="670"/>
      <c r="CB147" s="688"/>
      <c r="CC147" s="670"/>
      <c r="CD147" s="688"/>
      <c r="CE147" s="670"/>
      <c r="CF147" s="688"/>
      <c r="CG147" s="670"/>
      <c r="CH147" s="688"/>
      <c r="CI147" s="670"/>
      <c r="CJ147" s="688"/>
      <c r="CK147" s="670"/>
      <c r="CL147" s="688"/>
      <c r="CM147" s="670"/>
      <c r="CN147" s="688"/>
      <c r="CO147" s="670"/>
      <c r="CP147" s="688"/>
      <c r="CQ147" s="670"/>
      <c r="CR147" s="688"/>
      <c r="CS147" s="670"/>
      <c r="CT147" s="688"/>
      <c r="CU147" s="670"/>
      <c r="CV147" s="688"/>
      <c r="CW147" s="670"/>
      <c r="CX147" s="688"/>
      <c r="CY147" s="670"/>
      <c r="CZ147" s="688"/>
      <c r="DA147" s="670"/>
      <c r="DB147" s="688"/>
      <c r="DC147" s="670"/>
      <c r="DD147" s="688"/>
      <c r="DE147" s="670"/>
      <c r="DF147" s="688"/>
      <c r="DG147" s="670"/>
      <c r="DH147" s="688"/>
      <c r="DI147" s="670"/>
      <c r="DJ147" s="688"/>
      <c r="DK147" s="670"/>
      <c r="DL147" s="688"/>
      <c r="DM147" s="670"/>
      <c r="DN147" s="688"/>
      <c r="DO147" s="670"/>
      <c r="DP147" s="688"/>
      <c r="DQ147" s="670"/>
      <c r="DR147" s="688"/>
      <c r="DS147" s="670"/>
      <c r="DT147" s="688"/>
      <c r="DU147" s="670"/>
      <c r="DV147" s="688"/>
      <c r="DW147" s="670"/>
      <c r="DX147" s="688"/>
      <c r="DY147" s="670"/>
      <c r="DZ147" s="688"/>
      <c r="EA147" s="670"/>
      <c r="EB147" s="688"/>
      <c r="EC147" s="670"/>
      <c r="ED147" s="688"/>
      <c r="EE147" s="670"/>
      <c r="EF147" s="688"/>
      <c r="EG147" s="670"/>
      <c r="EH147" s="670"/>
      <c r="EI147" s="688"/>
      <c r="EJ147" s="681"/>
      <c r="EK147" s="688"/>
      <c r="EL147" s="681"/>
      <c r="EM147" s="688"/>
      <c r="EN147" s="681"/>
      <c r="EO147" s="688"/>
      <c r="EP147" s="681"/>
      <c r="EQ147" s="688"/>
      <c r="ER147" s="670"/>
      <c r="ES147" s="688"/>
      <c r="ET147" s="670"/>
      <c r="EU147" s="688"/>
      <c r="EV147" s="670"/>
      <c r="EW147" s="688"/>
      <c r="EX147" s="670"/>
      <c r="EY147" s="688"/>
      <c r="EZ147" s="670"/>
      <c r="FA147" s="688"/>
      <c r="FB147" s="670"/>
      <c r="FC147" s="688"/>
      <c r="FD147" s="670"/>
      <c r="FE147" s="688"/>
      <c r="FF147" s="670"/>
      <c r="FG147" s="688"/>
      <c r="FH147" s="670"/>
      <c r="FI147" s="688"/>
      <c r="FJ147" s="670"/>
      <c r="FK147" s="688"/>
      <c r="FL147" s="670"/>
      <c r="FM147" s="688"/>
      <c r="FN147" s="670"/>
      <c r="FO147" s="688"/>
      <c r="FP147" s="670"/>
      <c r="FQ147" s="688"/>
      <c r="FR147" s="670"/>
      <c r="FS147" s="688"/>
      <c r="FT147" s="670"/>
      <c r="FU147" s="688"/>
      <c r="FV147" s="670"/>
      <c r="FW147" s="688"/>
      <c r="FX147" s="670"/>
      <c r="FY147" s="688"/>
      <c r="FZ147" s="670"/>
      <c r="GA147" s="681"/>
    </row>
    <row r="148" spans="1:183" s="707" customFormat="1" ht="12.75" hidden="1" customHeight="1" outlineLevel="1" x14ac:dyDescent="0.2">
      <c r="A148" s="837" t="str">
        <f>+A55</f>
        <v>Quarterly income statement ratios are annualized where appropriate     E = Morgan Stanley Research Estimates      NM = Not Meaningful       NA = Not Applicable              CAGR = Cumulative Average Growth Rate</v>
      </c>
      <c r="B148" s="669"/>
      <c r="C148" s="671"/>
      <c r="D148" s="669"/>
      <c r="E148" s="671"/>
      <c r="F148" s="669"/>
      <c r="G148" s="671"/>
      <c r="H148" s="669"/>
      <c r="I148" s="671"/>
      <c r="J148" s="669"/>
      <c r="K148" s="671"/>
      <c r="L148" s="669"/>
      <c r="M148" s="671"/>
      <c r="N148" s="669"/>
      <c r="O148" s="671"/>
      <c r="P148" s="669"/>
      <c r="Q148" s="671"/>
      <c r="R148" s="669"/>
      <c r="S148" s="671"/>
      <c r="T148" s="669"/>
      <c r="U148" s="671"/>
      <c r="V148" s="669"/>
      <c r="W148" s="671"/>
      <c r="X148" s="669"/>
      <c r="Y148" s="671"/>
      <c r="Z148" s="669"/>
      <c r="AA148" s="671"/>
      <c r="AB148" s="669"/>
      <c r="AC148" s="671"/>
      <c r="AD148" s="669"/>
      <c r="AE148" s="671"/>
      <c r="AF148" s="669"/>
      <c r="AG148" s="671"/>
      <c r="AH148" s="669"/>
      <c r="AI148" s="671"/>
      <c r="AJ148" s="669"/>
      <c r="AK148" s="671"/>
      <c r="AL148" s="669"/>
      <c r="AM148" s="671"/>
      <c r="AN148" s="669"/>
      <c r="AO148" s="670"/>
      <c r="AP148" s="669"/>
      <c r="AQ148" s="670"/>
      <c r="AR148" s="669"/>
      <c r="AS148" s="670"/>
      <c r="AT148" s="669"/>
      <c r="AU148" s="670"/>
      <c r="AV148" s="669"/>
      <c r="AW148" s="670"/>
      <c r="AX148" s="669"/>
      <c r="AY148" s="670"/>
      <c r="AZ148" s="669"/>
      <c r="BA148" s="670"/>
      <c r="BB148" s="669"/>
      <c r="BC148" s="670"/>
      <c r="BD148" s="669"/>
      <c r="BE148" s="670"/>
      <c r="BF148" s="669"/>
      <c r="BG148" s="670"/>
      <c r="BH148" s="669"/>
      <c r="BI148" s="670"/>
      <c r="BJ148" s="669"/>
      <c r="BK148" s="670"/>
      <c r="BL148" s="669"/>
      <c r="BM148" s="670"/>
      <c r="BN148" s="669"/>
      <c r="BO148" s="670"/>
      <c r="BP148" s="669"/>
      <c r="BQ148" s="670"/>
      <c r="BR148" s="669"/>
      <c r="BS148" s="670"/>
      <c r="BT148" s="669"/>
      <c r="BU148" s="670"/>
      <c r="BV148" s="669"/>
      <c r="BW148" s="670"/>
      <c r="BX148" s="669"/>
      <c r="BY148" s="670"/>
      <c r="BZ148" s="669"/>
      <c r="CA148" s="670"/>
      <c r="CB148" s="669"/>
      <c r="CC148" s="670"/>
      <c r="CD148" s="669"/>
      <c r="CE148" s="670"/>
      <c r="CF148" s="669"/>
      <c r="CG148" s="670"/>
      <c r="CH148" s="669"/>
      <c r="CI148" s="670"/>
      <c r="CJ148" s="669"/>
      <c r="CK148" s="670"/>
      <c r="CL148" s="669"/>
      <c r="CM148" s="670"/>
      <c r="CN148" s="669"/>
      <c r="CO148" s="670"/>
      <c r="CP148" s="669"/>
      <c r="CQ148" s="670"/>
      <c r="CR148" s="669"/>
      <c r="CS148" s="670"/>
      <c r="CT148" s="669"/>
      <c r="CU148" s="670"/>
      <c r="CV148" s="669"/>
      <c r="CW148" s="670"/>
      <c r="CX148" s="669"/>
      <c r="CY148" s="670"/>
      <c r="CZ148" s="669"/>
      <c r="DA148" s="670"/>
      <c r="DB148" s="669"/>
      <c r="DC148" s="670"/>
      <c r="DD148" s="669"/>
      <c r="DE148" s="670"/>
      <c r="DF148" s="669"/>
      <c r="DG148" s="670"/>
      <c r="DH148" s="669"/>
      <c r="DI148" s="670"/>
      <c r="DJ148" s="669"/>
      <c r="DK148" s="670"/>
      <c r="DL148" s="669"/>
      <c r="DM148" s="670"/>
      <c r="DN148" s="669"/>
      <c r="DO148" s="670"/>
      <c r="DP148" s="669"/>
      <c r="DQ148" s="670"/>
      <c r="DR148" s="669"/>
      <c r="DS148" s="670"/>
      <c r="DT148" s="669"/>
      <c r="DU148" s="670"/>
      <c r="DV148" s="669"/>
      <c r="DW148" s="670"/>
      <c r="DX148" s="669"/>
      <c r="DY148" s="670"/>
      <c r="DZ148" s="669"/>
      <c r="EA148" s="670"/>
      <c r="EB148" s="669"/>
      <c r="EC148" s="670"/>
      <c r="ED148" s="669"/>
      <c r="EE148" s="670"/>
      <c r="EF148" s="669"/>
      <c r="EG148" s="670"/>
      <c r="EH148" s="670"/>
      <c r="EI148" s="669"/>
      <c r="EJ148" s="671"/>
      <c r="EK148" s="669"/>
      <c r="EL148" s="671"/>
      <c r="EM148" s="669"/>
      <c r="EN148" s="671"/>
      <c r="EO148" s="669"/>
      <c r="EP148" s="671"/>
      <c r="EQ148" s="669"/>
      <c r="ER148" s="670"/>
      <c r="ES148" s="669"/>
      <c r="ET148" s="670"/>
      <c r="EU148" s="669"/>
      <c r="EV148" s="670"/>
      <c r="EW148" s="669"/>
      <c r="EX148" s="670"/>
      <c r="EY148" s="669"/>
      <c r="EZ148" s="670"/>
      <c r="FA148" s="669"/>
      <c r="FB148" s="670"/>
      <c r="FC148" s="669"/>
      <c r="FD148" s="670"/>
      <c r="FE148" s="669"/>
      <c r="FF148" s="670"/>
      <c r="FG148" s="669"/>
      <c r="FH148" s="670"/>
      <c r="FI148" s="669"/>
      <c r="FJ148" s="670"/>
      <c r="FK148" s="669"/>
      <c r="FL148" s="670"/>
      <c r="FM148" s="669"/>
      <c r="FN148" s="670"/>
      <c r="FO148" s="669"/>
      <c r="FP148" s="670"/>
      <c r="FQ148" s="669"/>
      <c r="FR148" s="670"/>
      <c r="FS148" s="669"/>
      <c r="FT148" s="670"/>
      <c r="FU148" s="669"/>
      <c r="FV148" s="670"/>
      <c r="FW148" s="669"/>
      <c r="FX148" s="670"/>
      <c r="FY148" s="669"/>
      <c r="FZ148" s="670"/>
      <c r="GA148" s="671"/>
    </row>
    <row r="149" spans="1:183" s="707" customFormat="1" ht="12.75" hidden="1" customHeight="1" outlineLevel="1" x14ac:dyDescent="0.2">
      <c r="A149" s="701" t="s">
        <v>89</v>
      </c>
      <c r="B149" s="669"/>
      <c r="C149" s="671"/>
      <c r="D149" s="669"/>
      <c r="E149" s="671"/>
      <c r="F149" s="669"/>
      <c r="G149" s="671"/>
      <c r="H149" s="669"/>
      <c r="I149" s="671"/>
      <c r="J149" s="669"/>
      <c r="K149" s="671"/>
      <c r="L149" s="669"/>
      <c r="M149" s="671"/>
      <c r="N149" s="669"/>
      <c r="O149" s="671"/>
      <c r="P149" s="669"/>
      <c r="Q149" s="671"/>
      <c r="R149" s="669"/>
      <c r="S149" s="671"/>
      <c r="T149" s="669"/>
      <c r="U149" s="671"/>
      <c r="V149" s="669"/>
      <c r="W149" s="671"/>
      <c r="X149" s="669"/>
      <c r="Y149" s="671"/>
      <c r="Z149" s="669"/>
      <c r="AA149" s="671"/>
      <c r="AB149" s="669"/>
      <c r="AC149" s="671"/>
      <c r="AD149" s="669"/>
      <c r="AE149" s="671"/>
      <c r="AF149" s="669"/>
      <c r="AG149" s="671"/>
      <c r="AH149" s="669"/>
      <c r="AI149" s="671"/>
      <c r="AJ149" s="669"/>
      <c r="AK149" s="671"/>
      <c r="AL149" s="669"/>
      <c r="AM149" s="671"/>
      <c r="AN149" s="669"/>
      <c r="AO149" s="670"/>
      <c r="AP149" s="669"/>
      <c r="AQ149" s="670"/>
      <c r="AR149" s="669"/>
      <c r="AS149" s="670"/>
      <c r="AT149" s="669"/>
      <c r="AU149" s="670"/>
      <c r="AV149" s="669"/>
      <c r="AW149" s="670"/>
      <c r="AX149" s="669"/>
      <c r="AY149" s="670"/>
      <c r="AZ149" s="669"/>
      <c r="BA149" s="670"/>
      <c r="BB149" s="669"/>
      <c r="BC149" s="670"/>
      <c r="BD149" s="669"/>
      <c r="BE149" s="670"/>
      <c r="BF149" s="669"/>
      <c r="BG149" s="670"/>
      <c r="BH149" s="669"/>
      <c r="BI149" s="670"/>
      <c r="BJ149" s="669"/>
      <c r="BK149" s="670"/>
      <c r="BL149" s="669"/>
      <c r="BM149" s="670"/>
      <c r="BN149" s="669"/>
      <c r="BO149" s="670"/>
      <c r="BP149" s="669"/>
      <c r="BQ149" s="670"/>
      <c r="BR149" s="669"/>
      <c r="BS149" s="670"/>
      <c r="BT149" s="669"/>
      <c r="BU149" s="670"/>
      <c r="BV149" s="669"/>
      <c r="BW149" s="670"/>
      <c r="BX149" s="669"/>
      <c r="BY149" s="670"/>
      <c r="BZ149" s="669"/>
      <c r="CA149" s="670"/>
      <c r="CB149" s="669"/>
      <c r="CC149" s="670"/>
      <c r="CD149" s="669"/>
      <c r="CE149" s="670"/>
      <c r="CF149" s="669"/>
      <c r="CG149" s="670"/>
      <c r="CH149" s="669"/>
      <c r="CI149" s="670"/>
      <c r="CJ149" s="669"/>
      <c r="CK149" s="670"/>
      <c r="CL149" s="669"/>
      <c r="CM149" s="670"/>
      <c r="CN149" s="669"/>
      <c r="CO149" s="670"/>
      <c r="CP149" s="669"/>
      <c r="CQ149" s="670"/>
      <c r="CR149" s="669"/>
      <c r="CS149" s="670"/>
      <c r="CT149" s="669"/>
      <c r="CU149" s="670"/>
      <c r="CV149" s="669"/>
      <c r="CW149" s="670"/>
      <c r="CX149" s="669"/>
      <c r="CY149" s="670"/>
      <c r="CZ149" s="669"/>
      <c r="DA149" s="670"/>
      <c r="DB149" s="669"/>
      <c r="DC149" s="670"/>
      <c r="DD149" s="669"/>
      <c r="DE149" s="670"/>
      <c r="DF149" s="669"/>
      <c r="DG149" s="670"/>
      <c r="DH149" s="669"/>
      <c r="DI149" s="670"/>
      <c r="DJ149" s="669"/>
      <c r="DK149" s="670"/>
      <c r="DL149" s="669"/>
      <c r="DM149" s="670"/>
      <c r="DN149" s="669"/>
      <c r="DO149" s="670"/>
      <c r="DP149" s="669"/>
      <c r="DQ149" s="670"/>
      <c r="DR149" s="669"/>
      <c r="DS149" s="670"/>
      <c r="DT149" s="669"/>
      <c r="DU149" s="670"/>
      <c r="DV149" s="669"/>
      <c r="DW149" s="670"/>
      <c r="DX149" s="669"/>
      <c r="DY149" s="670"/>
      <c r="DZ149" s="669"/>
      <c r="EA149" s="670"/>
      <c r="EB149" s="669"/>
      <c r="EC149" s="670"/>
      <c r="ED149" s="669"/>
      <c r="EE149" s="670"/>
      <c r="EF149" s="669"/>
      <c r="EG149" s="670"/>
      <c r="EH149" s="670"/>
      <c r="EI149" s="669"/>
      <c r="EJ149" s="671"/>
      <c r="EK149" s="669"/>
      <c r="EL149" s="671"/>
      <c r="EM149" s="669"/>
      <c r="EN149" s="671"/>
      <c r="EO149" s="669"/>
      <c r="EP149" s="671"/>
      <c r="EQ149" s="669"/>
      <c r="ER149" s="670"/>
      <c r="ES149" s="669"/>
      <c r="ET149" s="670"/>
      <c r="EU149" s="669"/>
      <c r="EV149" s="670"/>
      <c r="EW149" s="669"/>
      <c r="EX149" s="670"/>
      <c r="EY149" s="669"/>
      <c r="EZ149" s="670"/>
      <c r="FA149" s="669"/>
      <c r="FB149" s="670"/>
      <c r="FC149" s="669"/>
      <c r="FD149" s="670"/>
      <c r="FE149" s="669"/>
      <c r="FF149" s="670"/>
      <c r="FG149" s="669"/>
      <c r="FH149" s="670"/>
      <c r="FI149" s="669"/>
      <c r="FJ149" s="670"/>
      <c r="FK149" s="669"/>
      <c r="FL149" s="670"/>
      <c r="FM149" s="669"/>
      <c r="FN149" s="670"/>
      <c r="FO149" s="669"/>
      <c r="FP149" s="670"/>
      <c r="FQ149" s="669"/>
      <c r="FR149" s="670"/>
      <c r="FS149" s="669"/>
      <c r="FT149" s="670"/>
      <c r="FU149" s="669"/>
      <c r="FV149" s="670"/>
      <c r="FW149" s="669"/>
      <c r="FX149" s="670"/>
      <c r="FY149" s="669"/>
      <c r="FZ149" s="670"/>
      <c r="GA149" s="671"/>
    </row>
    <row r="150" spans="1:183" s="846" customFormat="1" ht="12.75" hidden="1" customHeight="1" outlineLevel="1" x14ac:dyDescent="0.2">
      <c r="A150" s="838"/>
      <c r="B150" s="839"/>
      <c r="C150" s="840"/>
      <c r="D150" s="839"/>
      <c r="E150" s="840"/>
      <c r="F150" s="839"/>
      <c r="G150" s="840"/>
      <c r="H150" s="839"/>
      <c r="I150" s="840"/>
      <c r="J150" s="839"/>
      <c r="K150" s="840"/>
      <c r="L150" s="839"/>
      <c r="M150" s="840"/>
      <c r="N150" s="839"/>
      <c r="O150" s="840"/>
      <c r="P150" s="839"/>
      <c r="Q150" s="840"/>
      <c r="R150" s="839"/>
      <c r="S150" s="840"/>
      <c r="T150" s="839"/>
      <c r="U150" s="840"/>
      <c r="V150" s="839"/>
      <c r="W150" s="840"/>
      <c r="X150" s="839"/>
      <c r="Y150" s="840"/>
      <c r="Z150" s="839"/>
      <c r="AA150" s="840"/>
      <c r="AB150" s="839"/>
      <c r="AC150" s="840"/>
      <c r="AD150" s="839"/>
      <c r="AE150" s="840"/>
      <c r="AF150" s="839"/>
      <c r="AG150" s="840"/>
      <c r="AH150" s="839"/>
      <c r="AI150" s="840"/>
      <c r="AJ150" s="839"/>
      <c r="AK150" s="840"/>
      <c r="AL150" s="839"/>
      <c r="AM150" s="840"/>
      <c r="AN150" s="839"/>
      <c r="AO150" s="841"/>
      <c r="AP150" s="839"/>
      <c r="AQ150" s="841"/>
      <c r="AR150" s="839"/>
      <c r="AS150" s="841"/>
      <c r="AT150" s="839"/>
      <c r="AU150" s="841"/>
      <c r="AV150" s="839"/>
      <c r="AW150" s="841"/>
      <c r="AX150" s="839"/>
      <c r="AY150" s="841"/>
      <c r="AZ150" s="839"/>
      <c r="BA150" s="841"/>
      <c r="BB150" s="839"/>
      <c r="BC150" s="841"/>
      <c r="BD150" s="839"/>
      <c r="BE150" s="841"/>
      <c r="BF150" s="839"/>
      <c r="BG150" s="841"/>
      <c r="BH150" s="839"/>
      <c r="BI150" s="841"/>
      <c r="BJ150" s="839"/>
      <c r="BK150" s="841"/>
      <c r="BL150" s="839"/>
      <c r="BM150" s="841"/>
      <c r="BN150" s="839"/>
      <c r="BO150" s="841"/>
      <c r="BP150" s="839"/>
      <c r="BQ150" s="841"/>
      <c r="BR150" s="839"/>
      <c r="BS150" s="841"/>
      <c r="BT150" s="839"/>
      <c r="BU150" s="841"/>
      <c r="BV150" s="839"/>
      <c r="BW150" s="841"/>
      <c r="BX150" s="839"/>
      <c r="BY150" s="841"/>
      <c r="BZ150" s="839"/>
      <c r="CA150" s="841"/>
      <c r="CB150" s="839"/>
      <c r="CC150" s="841"/>
      <c r="CD150" s="839"/>
      <c r="CE150" s="841"/>
      <c r="CF150" s="839"/>
      <c r="CG150" s="841"/>
      <c r="CH150" s="839"/>
      <c r="CI150" s="841"/>
      <c r="CJ150" s="839"/>
      <c r="CK150" s="841"/>
      <c r="CL150" s="839"/>
      <c r="CM150" s="841"/>
      <c r="CN150" s="839"/>
      <c r="CO150" s="841"/>
      <c r="CP150" s="839"/>
      <c r="CQ150" s="841"/>
      <c r="CR150" s="839"/>
      <c r="CS150" s="841"/>
      <c r="CT150" s="839"/>
      <c r="CU150" s="841"/>
      <c r="CV150" s="839"/>
      <c r="CW150" s="841"/>
      <c r="CX150" s="839"/>
      <c r="CY150" s="841"/>
      <c r="CZ150" s="839"/>
      <c r="DA150" s="841"/>
      <c r="DB150" s="839"/>
      <c r="DC150" s="841"/>
      <c r="DD150" s="839"/>
      <c r="DE150" s="841"/>
      <c r="DF150" s="839"/>
      <c r="DG150" s="841"/>
      <c r="DH150" s="839"/>
      <c r="DI150" s="841"/>
      <c r="DJ150" s="839"/>
      <c r="DK150" s="841"/>
      <c r="DL150" s="839"/>
      <c r="DM150" s="841"/>
      <c r="DN150" s="839"/>
      <c r="DO150" s="841"/>
      <c r="DP150" s="839"/>
      <c r="DQ150" s="841"/>
      <c r="DR150" s="839"/>
      <c r="DS150" s="841"/>
      <c r="DT150" s="839"/>
      <c r="DU150" s="841"/>
      <c r="DV150" s="839"/>
      <c r="DW150" s="841"/>
      <c r="DX150" s="839"/>
      <c r="DY150" s="841"/>
      <c r="DZ150" s="839"/>
      <c r="EA150" s="841"/>
      <c r="EB150" s="839"/>
      <c r="EC150" s="841"/>
      <c r="ED150" s="839"/>
      <c r="EE150" s="841"/>
      <c r="EF150" s="839"/>
      <c r="EG150" s="841"/>
      <c r="EH150" s="854"/>
      <c r="EI150" s="839"/>
      <c r="EJ150" s="840"/>
      <c r="EK150" s="839"/>
      <c r="EL150" s="840"/>
      <c r="EM150" s="839"/>
      <c r="EN150" s="840"/>
      <c r="EO150" s="839"/>
      <c r="EP150" s="840"/>
      <c r="EQ150" s="839"/>
      <c r="ER150" s="841"/>
      <c r="ES150" s="839"/>
      <c r="ET150" s="841"/>
      <c r="EU150" s="839"/>
      <c r="EV150" s="841"/>
      <c r="EW150" s="839"/>
      <c r="EX150" s="841"/>
      <c r="EY150" s="839"/>
      <c r="EZ150" s="841"/>
      <c r="FA150" s="839"/>
      <c r="FB150" s="841"/>
      <c r="FC150" s="839"/>
      <c r="FD150" s="841"/>
      <c r="FE150" s="839"/>
      <c r="FF150" s="841"/>
      <c r="FG150" s="839"/>
      <c r="FH150" s="841"/>
      <c r="FI150" s="839"/>
      <c r="FJ150" s="841"/>
      <c r="FK150" s="839"/>
      <c r="FL150" s="841"/>
      <c r="FM150" s="839"/>
      <c r="FN150" s="841"/>
      <c r="FO150" s="839"/>
      <c r="FP150" s="841"/>
      <c r="FQ150" s="839"/>
      <c r="FR150" s="841"/>
      <c r="FS150" s="839"/>
      <c r="FT150" s="841"/>
      <c r="FU150" s="839"/>
      <c r="FV150" s="841"/>
      <c r="FW150" s="839"/>
      <c r="FX150" s="841"/>
      <c r="FY150" s="839"/>
      <c r="FZ150" s="841"/>
      <c r="GA150" s="840"/>
    </row>
    <row r="151" spans="1:183" s="707" customFormat="1" ht="21.95" hidden="1" customHeight="1" outlineLevel="1" x14ac:dyDescent="0.25">
      <c r="A151" s="663" t="str">
        <f>INPUT!$B$4</f>
        <v>Unum Group</v>
      </c>
      <c r="B151" s="664"/>
      <c r="C151" s="665"/>
      <c r="D151" s="664"/>
      <c r="E151" s="666"/>
      <c r="F151" s="664"/>
      <c r="G151" s="666"/>
      <c r="H151" s="664"/>
      <c r="I151" s="666"/>
      <c r="J151" s="664"/>
      <c r="K151" s="666"/>
      <c r="L151" s="664"/>
      <c r="M151" s="666"/>
      <c r="N151" s="664"/>
      <c r="O151" s="666"/>
      <c r="P151" s="664"/>
      <c r="Q151" s="666"/>
      <c r="R151" s="664"/>
      <c r="S151" s="666"/>
      <c r="T151" s="664"/>
      <c r="U151" s="666"/>
      <c r="V151" s="664"/>
      <c r="W151" s="666"/>
      <c r="X151" s="664"/>
      <c r="Y151" s="666"/>
      <c r="Z151" s="664"/>
      <c r="AA151" s="666"/>
      <c r="AB151" s="664"/>
      <c r="AC151" s="666"/>
      <c r="AD151" s="664"/>
      <c r="AE151" s="666"/>
      <c r="AF151" s="664"/>
      <c r="AG151" s="666"/>
      <c r="AH151" s="664"/>
      <c r="AI151" s="666"/>
      <c r="AJ151" s="664"/>
      <c r="AK151" s="666"/>
      <c r="AL151" s="664"/>
      <c r="AM151" s="666"/>
      <c r="AN151" s="664"/>
      <c r="AO151" s="667"/>
      <c r="AP151" s="664"/>
      <c r="AQ151" s="667"/>
      <c r="AR151" s="664"/>
      <c r="AS151" s="667"/>
      <c r="AT151" s="664"/>
      <c r="AU151" s="667"/>
      <c r="AV151" s="664"/>
      <c r="AW151" s="667"/>
      <c r="AX151" s="664"/>
      <c r="AY151" s="667"/>
      <c r="AZ151" s="664"/>
      <c r="BA151" s="667"/>
      <c r="BB151" s="664"/>
      <c r="BC151" s="667"/>
      <c r="BD151" s="664"/>
      <c r="BE151" s="667"/>
      <c r="BF151" s="664"/>
      <c r="BG151" s="667"/>
      <c r="BH151" s="664"/>
      <c r="BI151" s="667"/>
      <c r="BJ151" s="664"/>
      <c r="BK151" s="667"/>
      <c r="BL151" s="664"/>
      <c r="BM151" s="667"/>
      <c r="BN151" s="664"/>
      <c r="BO151" s="667"/>
      <c r="BP151" s="664"/>
      <c r="BQ151" s="667"/>
      <c r="BR151" s="664"/>
      <c r="BS151" s="667"/>
      <c r="BT151" s="664"/>
      <c r="BU151" s="667"/>
      <c r="BV151" s="664"/>
      <c r="BW151" s="667"/>
      <c r="BX151" s="664"/>
      <c r="BY151" s="667"/>
      <c r="BZ151" s="664"/>
      <c r="CA151" s="667"/>
      <c r="CB151" s="664"/>
      <c r="CC151" s="667"/>
      <c r="CD151" s="664"/>
      <c r="CE151" s="667"/>
      <c r="CF151" s="664"/>
      <c r="CG151" s="667"/>
      <c r="CH151" s="664"/>
      <c r="CI151" s="667"/>
      <c r="CJ151" s="664"/>
      <c r="CK151" s="667"/>
      <c r="CL151" s="664"/>
      <c r="CM151" s="667"/>
      <c r="CN151" s="664"/>
      <c r="CO151" s="667"/>
      <c r="CP151" s="664"/>
      <c r="CQ151" s="667"/>
      <c r="CR151" s="664"/>
      <c r="CS151" s="667"/>
      <c r="CT151" s="664"/>
      <c r="CU151" s="667"/>
      <c r="CV151" s="664"/>
      <c r="CW151" s="667"/>
      <c r="CX151" s="664"/>
      <c r="CY151" s="667"/>
      <c r="CZ151" s="664"/>
      <c r="DA151" s="667"/>
      <c r="DB151" s="664"/>
      <c r="DC151" s="667"/>
      <c r="DD151" s="664"/>
      <c r="DE151" s="667"/>
      <c r="DF151" s="664"/>
      <c r="DG151" s="667"/>
      <c r="DH151" s="664"/>
      <c r="DI151" s="667"/>
      <c r="DJ151" s="664"/>
      <c r="DK151" s="667"/>
      <c r="DL151" s="664"/>
      <c r="DM151" s="667"/>
      <c r="DN151" s="664"/>
      <c r="DO151" s="667"/>
      <c r="DP151" s="664"/>
      <c r="DQ151" s="667"/>
      <c r="DR151" s="664"/>
      <c r="DS151" s="667"/>
      <c r="DT151" s="664"/>
      <c r="DU151" s="667"/>
      <c r="DV151" s="664"/>
      <c r="DW151" s="667"/>
      <c r="DX151" s="664"/>
      <c r="DY151" s="667"/>
      <c r="DZ151" s="664"/>
      <c r="EA151" s="667"/>
      <c r="EB151" s="664"/>
      <c r="EC151" s="667"/>
      <c r="ED151" s="664"/>
      <c r="EE151" s="667"/>
      <c r="EF151" s="664"/>
      <c r="EG151" s="667"/>
      <c r="EH151" s="667"/>
      <c r="EI151" s="664"/>
      <c r="EJ151" s="666"/>
      <c r="EK151" s="664"/>
      <c r="EL151" s="666"/>
      <c r="EM151" s="664"/>
      <c r="EN151" s="666"/>
      <c r="EO151" s="664"/>
      <c r="EP151" s="666"/>
      <c r="EQ151" s="664"/>
      <c r="ER151" s="667"/>
      <c r="ES151" s="664"/>
      <c r="ET151" s="667"/>
      <c r="EU151" s="664"/>
      <c r="EV151" s="667"/>
      <c r="EW151" s="664"/>
      <c r="EX151" s="667"/>
      <c r="EY151" s="664"/>
      <c r="EZ151" s="667"/>
      <c r="FA151" s="664"/>
      <c r="FB151" s="667"/>
      <c r="FC151" s="664"/>
      <c r="FD151" s="667"/>
      <c r="FE151" s="664"/>
      <c r="FF151" s="667"/>
      <c r="FG151" s="664"/>
      <c r="FH151" s="667"/>
      <c r="FI151" s="664"/>
      <c r="FJ151" s="667"/>
      <c r="FK151" s="664"/>
      <c r="FL151" s="667"/>
      <c r="FM151" s="664"/>
      <c r="FN151" s="667"/>
      <c r="FO151" s="664"/>
      <c r="FP151" s="667"/>
      <c r="FQ151" s="664"/>
      <c r="FR151" s="667"/>
      <c r="FS151" s="664"/>
      <c r="FT151" s="667"/>
      <c r="FU151" s="664"/>
      <c r="FV151" s="667"/>
      <c r="FW151" s="664"/>
      <c r="FX151" s="667"/>
      <c r="FY151" s="664"/>
      <c r="FZ151" s="667"/>
      <c r="GA151" s="666"/>
    </row>
    <row r="152" spans="1:183" s="707" customFormat="1" ht="12.75" hidden="1" customHeight="1" outlineLevel="1" x14ac:dyDescent="0.2">
      <c r="A152" s="668" t="s">
        <v>33</v>
      </c>
      <c r="B152" s="664"/>
      <c r="C152" s="665"/>
      <c r="D152" s="664"/>
      <c r="E152" s="666"/>
      <c r="F152" s="664"/>
      <c r="G152" s="666"/>
      <c r="H152" s="664"/>
      <c r="I152" s="666"/>
      <c r="J152" s="664"/>
      <c r="K152" s="666"/>
      <c r="L152" s="664"/>
      <c r="M152" s="666"/>
      <c r="N152" s="664"/>
      <c r="O152" s="666"/>
      <c r="P152" s="664"/>
      <c r="Q152" s="666"/>
      <c r="R152" s="664"/>
      <c r="S152" s="666"/>
      <c r="T152" s="664"/>
      <c r="U152" s="666"/>
      <c r="V152" s="664"/>
      <c r="W152" s="666"/>
      <c r="X152" s="664"/>
      <c r="Y152" s="666"/>
      <c r="Z152" s="664"/>
      <c r="AA152" s="666"/>
      <c r="AB152" s="664"/>
      <c r="AC152" s="666"/>
      <c r="AD152" s="664"/>
      <c r="AE152" s="666"/>
      <c r="AF152" s="664"/>
      <c r="AG152" s="666"/>
      <c r="AH152" s="664"/>
      <c r="AI152" s="666"/>
      <c r="AJ152" s="664"/>
      <c r="AK152" s="666"/>
      <c r="AL152" s="664"/>
      <c r="AM152" s="666"/>
      <c r="AN152" s="664"/>
      <c r="AO152" s="667"/>
      <c r="AP152" s="664"/>
      <c r="AQ152" s="667"/>
      <c r="AR152" s="664"/>
      <c r="AS152" s="667"/>
      <c r="AT152" s="664"/>
      <c r="AU152" s="667"/>
      <c r="AV152" s="664"/>
      <c r="AW152" s="667"/>
      <c r="AX152" s="664"/>
      <c r="AY152" s="667"/>
      <c r="AZ152" s="664"/>
      <c r="BA152" s="667"/>
      <c r="BB152" s="664"/>
      <c r="BC152" s="667"/>
      <c r="BD152" s="664"/>
      <c r="BE152" s="667"/>
      <c r="BF152" s="664"/>
      <c r="BG152" s="667"/>
      <c r="BH152" s="664"/>
      <c r="BI152" s="667"/>
      <c r="BJ152" s="664"/>
      <c r="BK152" s="667"/>
      <c r="BL152" s="664"/>
      <c r="BM152" s="667"/>
      <c r="BN152" s="664"/>
      <c r="BO152" s="667"/>
      <c r="BP152" s="664"/>
      <c r="BQ152" s="667"/>
      <c r="BR152" s="664"/>
      <c r="BS152" s="667"/>
      <c r="BT152" s="664"/>
      <c r="BU152" s="667"/>
      <c r="BV152" s="664"/>
      <c r="BW152" s="667"/>
      <c r="BX152" s="664"/>
      <c r="BY152" s="667"/>
      <c r="BZ152" s="664"/>
      <c r="CA152" s="667"/>
      <c r="CB152" s="664"/>
      <c r="CC152" s="667"/>
      <c r="CD152" s="664"/>
      <c r="CE152" s="667"/>
      <c r="CF152" s="664"/>
      <c r="CG152" s="667"/>
      <c r="CH152" s="664"/>
      <c r="CI152" s="667"/>
      <c r="CJ152" s="664"/>
      <c r="CK152" s="667"/>
      <c r="CL152" s="664"/>
      <c r="CM152" s="667"/>
      <c r="CN152" s="664"/>
      <c r="CO152" s="667"/>
      <c r="CP152" s="664"/>
      <c r="CQ152" s="667"/>
      <c r="CR152" s="664"/>
      <c r="CS152" s="667"/>
      <c r="CT152" s="664"/>
      <c r="CU152" s="667"/>
      <c r="CV152" s="664"/>
      <c r="CW152" s="667"/>
      <c r="CX152" s="664"/>
      <c r="CY152" s="667"/>
      <c r="CZ152" s="664"/>
      <c r="DA152" s="667"/>
      <c r="DB152" s="664"/>
      <c r="DC152" s="667"/>
      <c r="DD152" s="664"/>
      <c r="DE152" s="667"/>
      <c r="DF152" s="664"/>
      <c r="DG152" s="667"/>
      <c r="DH152" s="664"/>
      <c r="DI152" s="667"/>
      <c r="DJ152" s="664"/>
      <c r="DK152" s="667"/>
      <c r="DL152" s="664"/>
      <c r="DM152" s="667"/>
      <c r="DN152" s="664"/>
      <c r="DO152" s="667"/>
      <c r="DP152" s="664"/>
      <c r="DQ152" s="667"/>
      <c r="DR152" s="664"/>
      <c r="DS152" s="667"/>
      <c r="DT152" s="664"/>
      <c r="DU152" s="667"/>
      <c r="DV152" s="664"/>
      <c r="DW152" s="667"/>
      <c r="DX152" s="664"/>
      <c r="DY152" s="667"/>
      <c r="DZ152" s="664"/>
      <c r="EA152" s="667"/>
      <c r="EB152" s="664"/>
      <c r="EC152" s="667"/>
      <c r="ED152" s="664"/>
      <c r="EE152" s="667"/>
      <c r="EF152" s="664"/>
      <c r="EG152" s="667"/>
      <c r="EH152" s="667"/>
      <c r="EI152" s="664"/>
      <c r="EJ152" s="666"/>
      <c r="EK152" s="664"/>
      <c r="EL152" s="666"/>
      <c r="EM152" s="664"/>
      <c r="EN152" s="666"/>
      <c r="EO152" s="664"/>
      <c r="EP152" s="666"/>
      <c r="EQ152" s="664"/>
      <c r="ER152" s="667"/>
      <c r="ES152" s="664"/>
      <c r="ET152" s="667"/>
      <c r="EU152" s="664"/>
      <c r="EV152" s="667"/>
      <c r="EW152" s="664"/>
      <c r="EX152" s="667"/>
      <c r="EY152" s="664"/>
      <c r="EZ152" s="667"/>
      <c r="FA152" s="664"/>
      <c r="FB152" s="667"/>
      <c r="FC152" s="664"/>
      <c r="FD152" s="667"/>
      <c r="FE152" s="664"/>
      <c r="FF152" s="667"/>
      <c r="FG152" s="664"/>
      <c r="FH152" s="667"/>
      <c r="FI152" s="664"/>
      <c r="FJ152" s="667"/>
      <c r="FK152" s="664"/>
      <c r="FL152" s="667"/>
      <c r="FM152" s="664"/>
      <c r="FN152" s="667"/>
      <c r="FO152" s="664"/>
      <c r="FP152" s="667"/>
      <c r="FQ152" s="664"/>
      <c r="FR152" s="667"/>
      <c r="FS152" s="664"/>
      <c r="FT152" s="667"/>
      <c r="FU152" s="664"/>
      <c r="FV152" s="667"/>
      <c r="FW152" s="664"/>
      <c r="FX152" s="667"/>
      <c r="FY152" s="664"/>
      <c r="FZ152" s="667"/>
      <c r="GA152" s="666"/>
    </row>
    <row r="153" spans="1:183" s="702" customFormat="1" ht="12.75" hidden="1" customHeight="1" outlineLevel="1" x14ac:dyDescent="0.2">
      <c r="A153" s="847" t="str">
        <f>A$3</f>
        <v>($Millions Except Per Share Data)</v>
      </c>
      <c r="B153" s="848"/>
      <c r="C153" s="849" t="str">
        <f>C$3</f>
        <v>1Q02/</v>
      </c>
      <c r="D153" s="848"/>
      <c r="E153" s="849" t="str">
        <f>E$3</f>
        <v>2Q02/</v>
      </c>
      <c r="F153" s="848"/>
      <c r="G153" s="849" t="str">
        <f>G$3</f>
        <v>3Q02/</v>
      </c>
      <c r="H153" s="848"/>
      <c r="I153" s="849" t="str">
        <f>I$3</f>
        <v>4Q02/</v>
      </c>
      <c r="J153" s="848"/>
      <c r="K153" s="849" t="str">
        <f>K$3</f>
        <v>1Q03/</v>
      </c>
      <c r="L153" s="848"/>
      <c r="M153" s="849" t="str">
        <f>M$3</f>
        <v>2Q03/</v>
      </c>
      <c r="N153" s="848"/>
      <c r="O153" s="849" t="str">
        <f>O$3</f>
        <v>3Q03/</v>
      </c>
      <c r="P153" s="848"/>
      <c r="Q153" s="849" t="str">
        <f>Q$3</f>
        <v>4Q03/</v>
      </c>
      <c r="R153" s="848"/>
      <c r="S153" s="849" t="str">
        <f>S$3</f>
        <v>1Q04/</v>
      </c>
      <c r="T153" s="848"/>
      <c r="U153" s="849" t="str">
        <f>U$3</f>
        <v>2Q04/</v>
      </c>
      <c r="V153" s="848"/>
      <c r="W153" s="849" t="str">
        <f>W$3</f>
        <v>3Q04/</v>
      </c>
      <c r="X153" s="848"/>
      <c r="Y153" s="849" t="str">
        <f>Y$3</f>
        <v>4Q04/</v>
      </c>
      <c r="Z153" s="848"/>
      <c r="AA153" s="849" t="str">
        <f>AA$3</f>
        <v>1Q05/</v>
      </c>
      <c r="AB153" s="848"/>
      <c r="AC153" s="849" t="str">
        <f>AC$3</f>
        <v>2Q05/</v>
      </c>
      <c r="AD153" s="848"/>
      <c r="AE153" s="849" t="str">
        <f>AE$3</f>
        <v>3Q05/</v>
      </c>
      <c r="AF153" s="848"/>
      <c r="AG153" s="849" t="str">
        <f>AG$3</f>
        <v>4Q05/</v>
      </c>
      <c r="AH153" s="848"/>
      <c r="AI153" s="849" t="str">
        <f>AI$3</f>
        <v>1Q06/</v>
      </c>
      <c r="AJ153" s="848"/>
      <c r="AK153" s="849" t="str">
        <f>AK$3</f>
        <v>2Q06/</v>
      </c>
      <c r="AL153" s="848"/>
      <c r="AM153" s="849" t="str">
        <f>AM$3</f>
        <v>3Q06/</v>
      </c>
      <c r="AN153" s="848"/>
      <c r="AO153" s="850" t="str">
        <f>AO$3</f>
        <v>4Q06/</v>
      </c>
      <c r="AP153" s="848"/>
      <c r="AQ153" s="850" t="str">
        <f>AQ$3</f>
        <v>1Q07/</v>
      </c>
      <c r="AR153" s="848"/>
      <c r="AS153" s="850" t="str">
        <f>AS$3</f>
        <v>2Q07/</v>
      </c>
      <c r="AT153" s="848"/>
      <c r="AU153" s="850" t="str">
        <f>AU$3</f>
        <v>3Q07/</v>
      </c>
      <c r="AV153" s="848"/>
      <c r="AW153" s="850" t="str">
        <f>AW$3</f>
        <v>4Q07/</v>
      </c>
      <c r="AX153" s="848"/>
      <c r="AY153" s="850" t="str">
        <f>AY$3</f>
        <v>1Q08/</v>
      </c>
      <c r="AZ153" s="848"/>
      <c r="BA153" s="850" t="str">
        <f>BA$3</f>
        <v>2Q08/</v>
      </c>
      <c r="BB153" s="848"/>
      <c r="BC153" s="850" t="str">
        <f>BC$3</f>
        <v>3Q08/</v>
      </c>
      <c r="BD153" s="848"/>
      <c r="BE153" s="850" t="str">
        <f>BE$3</f>
        <v>4Q08/</v>
      </c>
      <c r="BF153" s="848"/>
      <c r="BG153" s="850" t="str">
        <f>BG$3</f>
        <v>1Q09/</v>
      </c>
      <c r="BH153" s="848"/>
      <c r="BI153" s="850" t="str">
        <f>BI$3</f>
        <v>2Q09/</v>
      </c>
      <c r="BJ153" s="848"/>
      <c r="BK153" s="850" t="str">
        <f>BK$3</f>
        <v>3Q09/</v>
      </c>
      <c r="BL153" s="848"/>
      <c r="BM153" s="850" t="str">
        <f>BM$3</f>
        <v>4Q09/</v>
      </c>
      <c r="BN153" s="848"/>
      <c r="BO153" s="850" t="str">
        <f>BO$3</f>
        <v>1Q10/</v>
      </c>
      <c r="BP153" s="848"/>
      <c r="BQ153" s="850" t="str">
        <f>BQ$3</f>
        <v>2Q10/</v>
      </c>
      <c r="BR153" s="848"/>
      <c r="BS153" s="850" t="str">
        <f>BS$3</f>
        <v>3Q10/</v>
      </c>
      <c r="BT153" s="848"/>
      <c r="BU153" s="850">
        <f>BU$3</f>
        <v>0</v>
      </c>
      <c r="BV153" s="848"/>
      <c r="BW153" s="850" t="str">
        <f>BW$3</f>
        <v>1Q11/</v>
      </c>
      <c r="BX153" s="848"/>
      <c r="BY153" s="850" t="str">
        <f>BY$3</f>
        <v>2Q11/</v>
      </c>
      <c r="BZ153" s="848"/>
      <c r="CA153" s="850" t="str">
        <f>CA$3</f>
        <v>3Q11/</v>
      </c>
      <c r="CB153" s="848"/>
      <c r="CC153" s="850" t="str">
        <f>CC$3</f>
        <v>4Q11/</v>
      </c>
      <c r="CD153" s="848"/>
      <c r="CE153" s="850" t="str">
        <f>CE$3</f>
        <v>1Q12/</v>
      </c>
      <c r="CF153" s="848"/>
      <c r="CG153" s="850" t="str">
        <f>CG$3</f>
        <v>2Q12/</v>
      </c>
      <c r="CH153" s="848"/>
      <c r="CI153" s="850" t="str">
        <f>CI$3</f>
        <v>3Q12/</v>
      </c>
      <c r="CJ153" s="848"/>
      <c r="CK153" s="850" t="str">
        <f>CK$3</f>
        <v>4Q12/</v>
      </c>
      <c r="CL153" s="851"/>
      <c r="CM153" s="852" t="str">
        <f>CM$3</f>
        <v>1Q13/</v>
      </c>
      <c r="CN153" s="851"/>
      <c r="CO153" s="852" t="str">
        <f>CO$3</f>
        <v>2Q13/</v>
      </c>
      <c r="CP153" s="851"/>
      <c r="CQ153" s="852" t="str">
        <f>CQ$3</f>
        <v>3Q13/</v>
      </c>
      <c r="CR153" s="851"/>
      <c r="CS153" s="852" t="str">
        <f>CS$3</f>
        <v>4Q13/</v>
      </c>
      <c r="CT153" s="851"/>
      <c r="CU153" s="852" t="str">
        <f>CU$3</f>
        <v>1Q14/</v>
      </c>
      <c r="CV153" s="851"/>
      <c r="CW153" s="852" t="str">
        <f>CW$3</f>
        <v>2Q14/</v>
      </c>
      <c r="CX153" s="851"/>
      <c r="CY153" s="852" t="str">
        <f>CY$3</f>
        <v>3Q14/</v>
      </c>
      <c r="CZ153" s="851"/>
      <c r="DA153" s="852" t="str">
        <f>DA$3</f>
        <v>4Q14/</v>
      </c>
      <c r="DB153" s="851"/>
      <c r="DC153" s="852" t="str">
        <f>DC$3</f>
        <v>1Q15/</v>
      </c>
      <c r="DD153" s="851"/>
      <c r="DE153" s="852" t="str">
        <f>DE$3</f>
        <v>2Q15/</v>
      </c>
      <c r="DF153" s="851"/>
      <c r="DG153" s="852" t="str">
        <f>DG$3</f>
        <v>3Q15/</v>
      </c>
      <c r="DH153" s="851"/>
      <c r="DI153" s="852" t="str">
        <f>DI$3</f>
        <v>4Q15/</v>
      </c>
      <c r="DJ153" s="851"/>
      <c r="DK153" s="852" t="str">
        <f>DK$3</f>
        <v>1Q16/</v>
      </c>
      <c r="DL153" s="851"/>
      <c r="DM153" s="852" t="str">
        <f>DM$3</f>
        <v>2Q16/</v>
      </c>
      <c r="DN153" s="851"/>
      <c r="DO153" s="852" t="str">
        <f>DO$3</f>
        <v>3Q16/</v>
      </c>
      <c r="DP153" s="851"/>
      <c r="DQ153" s="852" t="str">
        <f>DQ$3</f>
        <v>4Q16/</v>
      </c>
      <c r="DR153" s="851"/>
      <c r="DS153" s="852" t="str">
        <f t="shared" ref="DS153" si="104">DS$3</f>
        <v>1Q17/</v>
      </c>
      <c r="DT153" s="851"/>
      <c r="DU153" s="852" t="str">
        <f t="shared" ref="DU153" si="105">DU$3</f>
        <v>2Q17/</v>
      </c>
      <c r="DV153" s="851"/>
      <c r="DW153" s="852" t="str">
        <f t="shared" ref="DW153" si="106">DW$3</f>
        <v>3Q17/</v>
      </c>
      <c r="DX153" s="851"/>
      <c r="DY153" s="852" t="str">
        <f t="shared" ref="DY153" si="107">DY$3</f>
        <v>4Q17/</v>
      </c>
      <c r="DZ153" s="851"/>
      <c r="EA153" s="852" t="str">
        <f t="shared" ref="EA153" si="108">EA$3</f>
        <v>1Q18E/</v>
      </c>
      <c r="EB153" s="851"/>
      <c r="EC153" s="852" t="str">
        <f t="shared" ref="EC153" si="109">EC$3</f>
        <v>2Q18E/</v>
      </c>
      <c r="ED153" s="851"/>
      <c r="EE153" s="852" t="str">
        <f t="shared" ref="EE153" si="110">EE$3</f>
        <v>3Q18E/</v>
      </c>
      <c r="EF153" s="851"/>
      <c r="EG153" s="852" t="str">
        <f t="shared" ref="EG153" si="111">EG$3</f>
        <v>4Q18E/</v>
      </c>
      <c r="EH153" s="852"/>
      <c r="EI153" s="851"/>
      <c r="EJ153" s="853" t="str">
        <f>EJ$3</f>
        <v>2001/</v>
      </c>
      <c r="EK153" s="851"/>
      <c r="EL153" s="853" t="str">
        <f>EL$3</f>
        <v>2002/</v>
      </c>
      <c r="EM153" s="851"/>
      <c r="EN153" s="853" t="str">
        <f>EN$3</f>
        <v>2003/</v>
      </c>
      <c r="EO153" s="851"/>
      <c r="EP153" s="853" t="str">
        <f>EP$3</f>
        <v>2004/</v>
      </c>
      <c r="EQ153" s="851"/>
      <c r="ER153" s="852" t="str">
        <f>ER$3</f>
        <v>2005/</v>
      </c>
      <c r="ES153" s="851"/>
      <c r="ET153" s="852" t="str">
        <f>ET$3</f>
        <v>2006/</v>
      </c>
      <c r="EU153" s="851"/>
      <c r="EV153" s="852" t="str">
        <f>EV$3</f>
        <v>2007/</v>
      </c>
      <c r="EW153" s="851"/>
      <c r="EX153" s="852" t="str">
        <f>EX$3</f>
        <v>2008/</v>
      </c>
      <c r="EY153" s="851"/>
      <c r="EZ153" s="852" t="str">
        <f>EZ$3</f>
        <v>2009/</v>
      </c>
      <c r="FA153" s="851"/>
      <c r="FB153" s="852" t="str">
        <f>FB$3</f>
        <v>2010/</v>
      </c>
      <c r="FC153" s="851"/>
      <c r="FD153" s="852" t="str">
        <f>FD$3</f>
        <v>2011/</v>
      </c>
      <c r="FE153" s="851"/>
      <c r="FF153" s="852" t="str">
        <f>FF$3</f>
        <v>2012/</v>
      </c>
      <c r="FG153" s="851"/>
      <c r="FH153" s="852" t="str">
        <f>FH$3</f>
        <v>2013/</v>
      </c>
      <c r="FI153" s="851"/>
      <c r="FJ153" s="852" t="str">
        <f>FJ$3</f>
        <v>2014/</v>
      </c>
      <c r="FK153" s="851"/>
      <c r="FL153" s="852" t="str">
        <f>FL$3</f>
        <v>2015/</v>
      </c>
      <c r="FM153" s="851"/>
      <c r="FN153" s="852" t="str">
        <f>FN$3</f>
        <v>2016/</v>
      </c>
      <c r="FO153" s="851"/>
      <c r="FP153" s="852" t="str">
        <f>FP$3</f>
        <v>2017/</v>
      </c>
      <c r="FQ153" s="851"/>
      <c r="FR153" s="852" t="str">
        <f>FR$3</f>
        <v>2018E/</v>
      </c>
      <c r="FS153" s="851"/>
      <c r="FT153" s="852" t="str">
        <f>FT$3</f>
        <v>2019E/</v>
      </c>
      <c r="FU153" s="851"/>
      <c r="FV153" s="852" t="str">
        <f>FV$3</f>
        <v>2020E/</v>
      </c>
      <c r="FW153" s="851"/>
      <c r="FX153" s="852" t="str">
        <f>FX$3</f>
        <v>2021E/</v>
      </c>
      <c r="FY153" s="851"/>
      <c r="FZ153" s="852" t="str">
        <f>FZ$3</f>
        <v>2022E/</v>
      </c>
      <c r="GA153" s="853" t="str">
        <f>INPUT!GT$5</f>
        <v>5-Yr</v>
      </c>
    </row>
    <row r="154" spans="1:183" s="702" customFormat="1" ht="12.75" hidden="1" customHeight="1" outlineLevel="1" x14ac:dyDescent="0.2">
      <c r="A154" s="672"/>
      <c r="B154" s="664"/>
      <c r="C154" s="665" t="str">
        <f>C$4</f>
        <v>1Q01</v>
      </c>
      <c r="D154" s="664"/>
      <c r="E154" s="665" t="str">
        <f>E$4</f>
        <v>2Q01</v>
      </c>
      <c r="F154" s="664"/>
      <c r="G154" s="665" t="str">
        <f>G$4</f>
        <v>3Q01</v>
      </c>
      <c r="H154" s="664"/>
      <c r="I154" s="665" t="str">
        <f>I$4</f>
        <v>4Q01</v>
      </c>
      <c r="J154" s="664"/>
      <c r="K154" s="665" t="str">
        <f>K$4</f>
        <v>1Q02</v>
      </c>
      <c r="L154" s="664"/>
      <c r="M154" s="665" t="str">
        <f>M$4</f>
        <v>2Q02</v>
      </c>
      <c r="N154" s="664"/>
      <c r="O154" s="665" t="str">
        <f>O$4</f>
        <v>3Q02</v>
      </c>
      <c r="P154" s="664"/>
      <c r="Q154" s="665" t="str">
        <f>Q$4</f>
        <v>4Q02</v>
      </c>
      <c r="R154" s="664"/>
      <c r="S154" s="665" t="str">
        <f>S$4</f>
        <v>1Q03</v>
      </c>
      <c r="T154" s="664"/>
      <c r="U154" s="665" t="str">
        <f>U$4</f>
        <v>2Q03</v>
      </c>
      <c r="V154" s="664"/>
      <c r="W154" s="665" t="str">
        <f>W$4</f>
        <v>3Q03</v>
      </c>
      <c r="X154" s="664"/>
      <c r="Y154" s="665" t="str">
        <f>Y$4</f>
        <v>4Q03</v>
      </c>
      <c r="Z154" s="664"/>
      <c r="AA154" s="665" t="str">
        <f>AA$4</f>
        <v>1Q04</v>
      </c>
      <c r="AB154" s="664"/>
      <c r="AC154" s="665" t="str">
        <f>AC$4</f>
        <v>2Q04</v>
      </c>
      <c r="AD154" s="664"/>
      <c r="AE154" s="665" t="str">
        <f>AE$4</f>
        <v>3Q04</v>
      </c>
      <c r="AF154" s="664"/>
      <c r="AG154" s="665" t="str">
        <f>AG$4</f>
        <v>4Q04</v>
      </c>
      <c r="AH154" s="664"/>
      <c r="AI154" s="665" t="str">
        <f>AI$4</f>
        <v>1Q05</v>
      </c>
      <c r="AJ154" s="664"/>
      <c r="AK154" s="665" t="str">
        <f>AK$4</f>
        <v>2Q05</v>
      </c>
      <c r="AL154" s="664"/>
      <c r="AM154" s="665" t="str">
        <f>AM$4</f>
        <v>3Q05</v>
      </c>
      <c r="AN154" s="664"/>
      <c r="AO154" s="667" t="str">
        <f>AO$4</f>
        <v>4Q05</v>
      </c>
      <c r="AP154" s="664"/>
      <c r="AQ154" s="667" t="str">
        <f>AQ$4</f>
        <v>1Q06</v>
      </c>
      <c r="AR154" s="664"/>
      <c r="AS154" s="667" t="str">
        <f>AS$4</f>
        <v>2Q06</v>
      </c>
      <c r="AT154" s="664"/>
      <c r="AU154" s="667" t="str">
        <f>AU$4</f>
        <v>3Q06</v>
      </c>
      <c r="AV154" s="664"/>
      <c r="AW154" s="667" t="str">
        <f>AW$4</f>
        <v>4Q06</v>
      </c>
      <c r="AX154" s="664"/>
      <c r="AY154" s="667" t="str">
        <f>AY$4</f>
        <v>1Q07</v>
      </c>
      <c r="AZ154" s="664"/>
      <c r="BA154" s="667" t="str">
        <f>BA$4</f>
        <v>2Q07</v>
      </c>
      <c r="BB154" s="664"/>
      <c r="BC154" s="667" t="str">
        <f>BC$4</f>
        <v>3Q07</v>
      </c>
      <c r="BD154" s="664"/>
      <c r="BE154" s="667" t="str">
        <f>BE$4</f>
        <v>4Q07</v>
      </c>
      <c r="BF154" s="664"/>
      <c r="BG154" s="667" t="str">
        <f>BG$4</f>
        <v>1Q08</v>
      </c>
      <c r="BH154" s="664"/>
      <c r="BI154" s="667" t="str">
        <f>BI$4</f>
        <v>2Q08</v>
      </c>
      <c r="BJ154" s="664"/>
      <c r="BK154" s="667" t="str">
        <f>BK$4</f>
        <v>3Q08</v>
      </c>
      <c r="BL154" s="664"/>
      <c r="BM154" s="667" t="str">
        <f>BM$4</f>
        <v>4Q08</v>
      </c>
      <c r="BN154" s="664"/>
      <c r="BO154" s="667" t="str">
        <f>BO$4</f>
        <v>1Q09</v>
      </c>
      <c r="BP154" s="664"/>
      <c r="BQ154" s="667" t="str">
        <f>BQ$4</f>
        <v>2Q09</v>
      </c>
      <c r="BR154" s="664"/>
      <c r="BS154" s="667" t="str">
        <f>BS$4</f>
        <v>3Q09</v>
      </c>
      <c r="BT154" s="664"/>
      <c r="BU154" s="667" t="str">
        <f>BU$4</f>
        <v>4Q09</v>
      </c>
      <c r="BV154" s="664"/>
      <c r="BW154" s="667" t="str">
        <f>BW$4</f>
        <v>1Q10</v>
      </c>
      <c r="BX154" s="664"/>
      <c r="BY154" s="667" t="str">
        <f>BY$4</f>
        <v>2Q10</v>
      </c>
      <c r="BZ154" s="664"/>
      <c r="CA154" s="667" t="str">
        <f>CA$4</f>
        <v>3Q10</v>
      </c>
      <c r="CB154" s="664"/>
      <c r="CC154" s="667" t="str">
        <f>CC$4</f>
        <v>4Q10</v>
      </c>
      <c r="CD154" s="664"/>
      <c r="CE154" s="667" t="str">
        <f>CE$4</f>
        <v>1Q11</v>
      </c>
      <c r="CF154" s="664"/>
      <c r="CG154" s="667" t="str">
        <f>CG$4</f>
        <v>2Q11</v>
      </c>
      <c r="CH154" s="664"/>
      <c r="CI154" s="667" t="str">
        <f>CI$4</f>
        <v>3Q11</v>
      </c>
      <c r="CJ154" s="664"/>
      <c r="CK154" s="667" t="str">
        <f>CK$4</f>
        <v>4Q11</v>
      </c>
      <c r="CL154" s="669"/>
      <c r="CM154" s="670" t="str">
        <f>CM$4</f>
        <v>1Q12</v>
      </c>
      <c r="CN154" s="669"/>
      <c r="CO154" s="670" t="str">
        <f>CO$4</f>
        <v>2Q12</v>
      </c>
      <c r="CP154" s="669"/>
      <c r="CQ154" s="670" t="str">
        <f>CQ$4</f>
        <v>3Q12</v>
      </c>
      <c r="CR154" s="669"/>
      <c r="CS154" s="670" t="str">
        <f>CS$4</f>
        <v>4Q12</v>
      </c>
      <c r="CT154" s="669"/>
      <c r="CU154" s="670" t="str">
        <f>CU$4</f>
        <v>1Q13</v>
      </c>
      <c r="CV154" s="669"/>
      <c r="CW154" s="670" t="str">
        <f>CW$4</f>
        <v>2Q13</v>
      </c>
      <c r="CX154" s="669"/>
      <c r="CY154" s="670" t="str">
        <f>CY$4</f>
        <v>3Q13</v>
      </c>
      <c r="CZ154" s="669"/>
      <c r="DA154" s="670" t="str">
        <f>DA$4</f>
        <v>4Q13</v>
      </c>
      <c r="DB154" s="669"/>
      <c r="DC154" s="670" t="str">
        <f>DC$4</f>
        <v>1Q14</v>
      </c>
      <c r="DD154" s="669"/>
      <c r="DE154" s="670" t="str">
        <f>DE$4</f>
        <v>2Q14</v>
      </c>
      <c r="DF154" s="669"/>
      <c r="DG154" s="670" t="str">
        <f>DG$4</f>
        <v>3Q14</v>
      </c>
      <c r="DH154" s="669"/>
      <c r="DI154" s="670" t="str">
        <f>DI$4</f>
        <v>4Q14</v>
      </c>
      <c r="DJ154" s="669"/>
      <c r="DK154" s="670" t="str">
        <f>DK$4</f>
        <v>1Q15</v>
      </c>
      <c r="DL154" s="669"/>
      <c r="DM154" s="670" t="str">
        <f>DM$4</f>
        <v>2Q15</v>
      </c>
      <c r="DN154" s="669"/>
      <c r="DO154" s="670" t="str">
        <f>DO$4</f>
        <v>3Q15</v>
      </c>
      <c r="DP154" s="669"/>
      <c r="DQ154" s="670" t="str">
        <f>DQ$4</f>
        <v>4Q15</v>
      </c>
      <c r="DR154" s="669"/>
      <c r="DS154" s="670" t="str">
        <f t="shared" ref="DS154" si="112">DS$4</f>
        <v>1Q16</v>
      </c>
      <c r="DT154" s="669"/>
      <c r="DU154" s="670" t="str">
        <f t="shared" ref="DU154" si="113">DU$4</f>
        <v>2Q16</v>
      </c>
      <c r="DV154" s="669"/>
      <c r="DW154" s="670" t="str">
        <f t="shared" ref="DW154" si="114">DW$4</f>
        <v>3Q16</v>
      </c>
      <c r="DX154" s="669"/>
      <c r="DY154" s="670" t="str">
        <f t="shared" ref="DY154" si="115">DY$4</f>
        <v>4Q16</v>
      </c>
      <c r="DZ154" s="669"/>
      <c r="EA154" s="670" t="str">
        <f t="shared" ref="EA154" si="116">EA$4</f>
        <v>1Q17</v>
      </c>
      <c r="EB154" s="669"/>
      <c r="EC154" s="670" t="str">
        <f t="shared" ref="EC154" si="117">EC$4</f>
        <v>2Q17</v>
      </c>
      <c r="ED154" s="669"/>
      <c r="EE154" s="670" t="str">
        <f t="shared" ref="EE154" si="118">EE$4</f>
        <v>3Q17</v>
      </c>
      <c r="EF154" s="669"/>
      <c r="EG154" s="670" t="str">
        <f t="shared" ref="EG154" si="119">EG$4</f>
        <v>4Q17</v>
      </c>
      <c r="EH154" s="670"/>
      <c r="EI154" s="669"/>
      <c r="EJ154" s="671" t="str">
        <f>EJ$4</f>
        <v>2000</v>
      </c>
      <c r="EK154" s="669"/>
      <c r="EL154" s="671" t="str">
        <f>EL$4</f>
        <v>2001</v>
      </c>
      <c r="EM154" s="669"/>
      <c r="EN154" s="671" t="str">
        <f>EN$4</f>
        <v>2002</v>
      </c>
      <c r="EO154" s="669"/>
      <c r="EP154" s="671" t="str">
        <f>EP$4</f>
        <v>2003</v>
      </c>
      <c r="EQ154" s="669"/>
      <c r="ER154" s="670" t="str">
        <f>ER$4</f>
        <v>2004</v>
      </c>
      <c r="ES154" s="669"/>
      <c r="ET154" s="670" t="str">
        <f>ET$4</f>
        <v>2005</v>
      </c>
      <c r="EU154" s="669"/>
      <c r="EV154" s="670">
        <f>EV$4</f>
        <v>2006</v>
      </c>
      <c r="EW154" s="669"/>
      <c r="EX154" s="670">
        <f>EX$4</f>
        <v>2007</v>
      </c>
      <c r="EY154" s="669"/>
      <c r="EZ154" s="670">
        <f>EZ$4</f>
        <v>2008</v>
      </c>
      <c r="FA154" s="669"/>
      <c r="FB154" s="670" t="str">
        <f>FB$4</f>
        <v>2009</v>
      </c>
      <c r="FC154" s="669"/>
      <c r="FD154" s="670" t="str">
        <f>FD$4</f>
        <v>2010</v>
      </c>
      <c r="FE154" s="669"/>
      <c r="FF154" s="670" t="str">
        <f>FF$4</f>
        <v>2011</v>
      </c>
      <c r="FG154" s="669"/>
      <c r="FH154" s="670" t="str">
        <f>FH$4</f>
        <v>2012</v>
      </c>
      <c r="FI154" s="669"/>
      <c r="FJ154" s="670" t="str">
        <f>FJ$4</f>
        <v>2013</v>
      </c>
      <c r="FK154" s="669"/>
      <c r="FL154" s="670" t="str">
        <f>FL$4</f>
        <v>2014</v>
      </c>
      <c r="FM154" s="669"/>
      <c r="FN154" s="670" t="str">
        <f>FN$4</f>
        <v>2015</v>
      </c>
      <c r="FO154" s="669"/>
      <c r="FP154" s="670" t="str">
        <f>FP$4</f>
        <v>2016</v>
      </c>
      <c r="FQ154" s="669"/>
      <c r="FR154" s="670" t="str">
        <f>FR$4</f>
        <v>2017</v>
      </c>
      <c r="FS154" s="669"/>
      <c r="FT154" s="670" t="str">
        <f>FT$4</f>
        <v>2018E</v>
      </c>
      <c r="FU154" s="669"/>
      <c r="FV154" s="670" t="str">
        <f>FV$4</f>
        <v>2019E</v>
      </c>
      <c r="FW154" s="669"/>
      <c r="FX154" s="670" t="str">
        <f>FX$4</f>
        <v>2020E</v>
      </c>
      <c r="FY154" s="669"/>
      <c r="FZ154" s="670" t="str">
        <f>FZ$4</f>
        <v>2021E</v>
      </c>
      <c r="GA154" s="671" t="s">
        <v>113</v>
      </c>
    </row>
    <row r="155" spans="1:183" s="702" customFormat="1" ht="12.75" hidden="1" customHeight="1" outlineLevel="1" x14ac:dyDescent="0.2">
      <c r="A155" s="703"/>
      <c r="B155" s="704" t="str">
        <f t="shared" ref="B155:DR155" si="120">B$5</f>
        <v>1Q02</v>
      </c>
      <c r="C155" s="705" t="str">
        <f t="shared" si="120"/>
        <v>% Chg</v>
      </c>
      <c r="D155" s="704" t="str">
        <f t="shared" si="120"/>
        <v>2Q02</v>
      </c>
      <c r="E155" s="705" t="str">
        <f t="shared" si="120"/>
        <v>% Chg</v>
      </c>
      <c r="F155" s="704" t="str">
        <f t="shared" si="120"/>
        <v>3Q02</v>
      </c>
      <c r="G155" s="705" t="str">
        <f t="shared" si="120"/>
        <v>% Chg</v>
      </c>
      <c r="H155" s="704" t="str">
        <f t="shared" si="120"/>
        <v>4Q02</v>
      </c>
      <c r="I155" s="705" t="str">
        <f t="shared" si="120"/>
        <v>% Chg</v>
      </c>
      <c r="J155" s="704" t="str">
        <f t="shared" si="120"/>
        <v>1Q03</v>
      </c>
      <c r="K155" s="705" t="str">
        <f t="shared" si="120"/>
        <v>% Chg</v>
      </c>
      <c r="L155" s="704" t="str">
        <f t="shared" si="120"/>
        <v>2Q03</v>
      </c>
      <c r="M155" s="705" t="str">
        <f t="shared" si="120"/>
        <v>% Chg</v>
      </c>
      <c r="N155" s="704" t="str">
        <f t="shared" si="120"/>
        <v>3Q03</v>
      </c>
      <c r="O155" s="705" t="str">
        <f t="shared" si="120"/>
        <v>% Chg</v>
      </c>
      <c r="P155" s="704" t="str">
        <f t="shared" si="120"/>
        <v>4Q03</v>
      </c>
      <c r="Q155" s="705" t="str">
        <f t="shared" si="120"/>
        <v>% Chg</v>
      </c>
      <c r="R155" s="704" t="str">
        <f t="shared" si="120"/>
        <v>1Q04</v>
      </c>
      <c r="S155" s="705" t="str">
        <f t="shared" si="120"/>
        <v>% Chg</v>
      </c>
      <c r="T155" s="704" t="str">
        <f t="shared" si="120"/>
        <v>2Q04</v>
      </c>
      <c r="U155" s="705" t="str">
        <f t="shared" si="120"/>
        <v>% Chg</v>
      </c>
      <c r="V155" s="704" t="str">
        <f t="shared" si="120"/>
        <v>3Q04</v>
      </c>
      <c r="W155" s="705" t="str">
        <f t="shared" si="120"/>
        <v>% Chg</v>
      </c>
      <c r="X155" s="704" t="str">
        <f t="shared" si="120"/>
        <v>4Q04</v>
      </c>
      <c r="Y155" s="705" t="str">
        <f t="shared" si="120"/>
        <v>% Chg</v>
      </c>
      <c r="Z155" s="704" t="str">
        <f t="shared" si="120"/>
        <v>1Q05</v>
      </c>
      <c r="AA155" s="705" t="str">
        <f t="shared" si="120"/>
        <v>% Chg</v>
      </c>
      <c r="AB155" s="704" t="str">
        <f t="shared" si="120"/>
        <v>2Q05</v>
      </c>
      <c r="AC155" s="705" t="str">
        <f t="shared" si="120"/>
        <v>% Chg</v>
      </c>
      <c r="AD155" s="704" t="str">
        <f t="shared" si="120"/>
        <v>3Q05</v>
      </c>
      <c r="AE155" s="705" t="str">
        <f t="shared" si="120"/>
        <v>% Chg</v>
      </c>
      <c r="AF155" s="704" t="str">
        <f t="shared" si="120"/>
        <v>4Q05</v>
      </c>
      <c r="AG155" s="705" t="str">
        <f t="shared" si="120"/>
        <v>% Chg</v>
      </c>
      <c r="AH155" s="704" t="str">
        <f t="shared" si="120"/>
        <v>1Q06</v>
      </c>
      <c r="AI155" s="705" t="str">
        <f t="shared" si="120"/>
        <v>% Chg</v>
      </c>
      <c r="AJ155" s="704" t="str">
        <f t="shared" si="120"/>
        <v>2Q06</v>
      </c>
      <c r="AK155" s="705" t="str">
        <f t="shared" si="120"/>
        <v>% Chg</v>
      </c>
      <c r="AL155" s="704" t="str">
        <f t="shared" si="120"/>
        <v>3Q06</v>
      </c>
      <c r="AM155" s="705" t="str">
        <f t="shared" si="120"/>
        <v>% Chg</v>
      </c>
      <c r="AN155" s="704" t="str">
        <f t="shared" si="120"/>
        <v>4Q06</v>
      </c>
      <c r="AO155" s="706" t="str">
        <f t="shared" si="120"/>
        <v>% Chg</v>
      </c>
      <c r="AP155" s="704" t="str">
        <f t="shared" si="120"/>
        <v>1Q07</v>
      </c>
      <c r="AQ155" s="706" t="str">
        <f t="shared" si="120"/>
        <v>% Chg</v>
      </c>
      <c r="AR155" s="704" t="str">
        <f t="shared" si="120"/>
        <v>2Q07</v>
      </c>
      <c r="AS155" s="706" t="str">
        <f t="shared" si="120"/>
        <v>% Chg</v>
      </c>
      <c r="AT155" s="704" t="str">
        <f t="shared" si="120"/>
        <v>3Q07</v>
      </c>
      <c r="AU155" s="706" t="str">
        <f t="shared" si="120"/>
        <v>% Chg</v>
      </c>
      <c r="AV155" s="704" t="str">
        <f t="shared" si="120"/>
        <v>4Q07</v>
      </c>
      <c r="AW155" s="706" t="str">
        <f t="shared" si="120"/>
        <v>% Chg</v>
      </c>
      <c r="AX155" s="704" t="str">
        <f t="shared" si="120"/>
        <v>1Q08</v>
      </c>
      <c r="AY155" s="706" t="str">
        <f t="shared" si="120"/>
        <v>% Chg</v>
      </c>
      <c r="AZ155" s="704" t="str">
        <f t="shared" si="120"/>
        <v>2Q08</v>
      </c>
      <c r="BA155" s="706" t="str">
        <f t="shared" si="120"/>
        <v>% Chg</v>
      </c>
      <c r="BB155" s="704" t="str">
        <f t="shared" si="120"/>
        <v>3Q08</v>
      </c>
      <c r="BC155" s="706" t="str">
        <f t="shared" si="120"/>
        <v>% Chg</v>
      </c>
      <c r="BD155" s="704" t="str">
        <f t="shared" si="120"/>
        <v>4Q08</v>
      </c>
      <c r="BE155" s="706" t="str">
        <f t="shared" si="120"/>
        <v>% Chg</v>
      </c>
      <c r="BF155" s="704" t="str">
        <f t="shared" si="120"/>
        <v>1Q09</v>
      </c>
      <c r="BG155" s="706" t="str">
        <f t="shared" si="120"/>
        <v>% Chg</v>
      </c>
      <c r="BH155" s="704" t="str">
        <f t="shared" si="120"/>
        <v>2Q09</v>
      </c>
      <c r="BI155" s="706" t="str">
        <f t="shared" si="120"/>
        <v>% Chg</v>
      </c>
      <c r="BJ155" s="704" t="str">
        <f t="shared" si="120"/>
        <v>3Q09</v>
      </c>
      <c r="BK155" s="706" t="str">
        <f t="shared" si="120"/>
        <v>% Chg</v>
      </c>
      <c r="BL155" s="704" t="str">
        <f t="shared" si="120"/>
        <v>4Q09</v>
      </c>
      <c r="BM155" s="706" t="str">
        <f t="shared" ref="BM155:DX155" si="121">BM$5</f>
        <v>% Chg</v>
      </c>
      <c r="BN155" s="704" t="str">
        <f t="shared" si="120"/>
        <v>1Q10</v>
      </c>
      <c r="BO155" s="706" t="str">
        <f t="shared" si="121"/>
        <v>% Chg</v>
      </c>
      <c r="BP155" s="704" t="str">
        <f t="shared" si="120"/>
        <v>2Q10</v>
      </c>
      <c r="BQ155" s="706" t="str">
        <f t="shared" si="121"/>
        <v>% Chg</v>
      </c>
      <c r="BR155" s="704" t="str">
        <f t="shared" si="120"/>
        <v>3Q10</v>
      </c>
      <c r="BS155" s="706" t="str">
        <f t="shared" si="121"/>
        <v>% Chg</v>
      </c>
      <c r="BT155" s="704" t="str">
        <f t="shared" si="120"/>
        <v>4Q10</v>
      </c>
      <c r="BU155" s="706" t="str">
        <f t="shared" si="121"/>
        <v>% Chg</v>
      </c>
      <c r="BV155" s="704" t="str">
        <f t="shared" si="120"/>
        <v>1Q11</v>
      </c>
      <c r="BW155" s="706" t="str">
        <f t="shared" si="121"/>
        <v>% Chg</v>
      </c>
      <c r="BX155" s="704" t="str">
        <f t="shared" si="120"/>
        <v>2Q11</v>
      </c>
      <c r="BY155" s="706" t="str">
        <f t="shared" si="121"/>
        <v>% Chg</v>
      </c>
      <c r="BZ155" s="704" t="str">
        <f t="shared" si="120"/>
        <v>3Q11</v>
      </c>
      <c r="CA155" s="706" t="str">
        <f t="shared" si="121"/>
        <v>% Chg</v>
      </c>
      <c r="CB155" s="704" t="str">
        <f t="shared" si="120"/>
        <v>4Q11</v>
      </c>
      <c r="CC155" s="706" t="str">
        <f t="shared" si="121"/>
        <v>% Chg</v>
      </c>
      <c r="CD155" s="704" t="str">
        <f t="shared" si="120"/>
        <v>1Q12</v>
      </c>
      <c r="CE155" s="706" t="str">
        <f t="shared" si="121"/>
        <v>% Chg</v>
      </c>
      <c r="CF155" s="704" t="str">
        <f t="shared" si="120"/>
        <v>2Q12</v>
      </c>
      <c r="CG155" s="706" t="str">
        <f t="shared" si="121"/>
        <v>% Chg</v>
      </c>
      <c r="CH155" s="704" t="str">
        <f t="shared" si="120"/>
        <v>3Q12</v>
      </c>
      <c r="CI155" s="706" t="str">
        <f t="shared" si="121"/>
        <v>% Chg</v>
      </c>
      <c r="CJ155" s="704" t="str">
        <f t="shared" si="120"/>
        <v>4Q12</v>
      </c>
      <c r="CK155" s="706" t="str">
        <f t="shared" si="121"/>
        <v>% Chg</v>
      </c>
      <c r="CL155" s="673" t="str">
        <f t="shared" si="120"/>
        <v>1Q13</v>
      </c>
      <c r="CM155" s="675" t="str">
        <f t="shared" si="121"/>
        <v>% Chg</v>
      </c>
      <c r="CN155" s="673" t="str">
        <f t="shared" si="120"/>
        <v>2Q13</v>
      </c>
      <c r="CO155" s="675" t="str">
        <f t="shared" si="121"/>
        <v>% Chg</v>
      </c>
      <c r="CP155" s="673" t="str">
        <f t="shared" si="120"/>
        <v>3Q13</v>
      </c>
      <c r="CQ155" s="675" t="str">
        <f t="shared" si="121"/>
        <v>% Chg</v>
      </c>
      <c r="CR155" s="673" t="str">
        <f t="shared" si="120"/>
        <v>4Q13</v>
      </c>
      <c r="CS155" s="675" t="str">
        <f t="shared" si="121"/>
        <v>% Chg</v>
      </c>
      <c r="CT155" s="673" t="str">
        <f t="shared" si="120"/>
        <v>1Q14</v>
      </c>
      <c r="CU155" s="675" t="str">
        <f t="shared" si="121"/>
        <v>% Chg</v>
      </c>
      <c r="CV155" s="673" t="str">
        <f t="shared" si="120"/>
        <v>2Q14</v>
      </c>
      <c r="CW155" s="675" t="str">
        <f t="shared" si="121"/>
        <v>% Chg</v>
      </c>
      <c r="CX155" s="673" t="str">
        <f t="shared" si="120"/>
        <v>3Q14</v>
      </c>
      <c r="CY155" s="675" t="str">
        <f t="shared" si="121"/>
        <v>% Chg</v>
      </c>
      <c r="CZ155" s="673" t="str">
        <f t="shared" si="120"/>
        <v>4Q14</v>
      </c>
      <c r="DA155" s="675" t="str">
        <f t="shared" si="121"/>
        <v>% Chg</v>
      </c>
      <c r="DB155" s="673" t="str">
        <f t="shared" si="120"/>
        <v>1Q15</v>
      </c>
      <c r="DC155" s="675" t="str">
        <f t="shared" si="121"/>
        <v>% Chg</v>
      </c>
      <c r="DD155" s="673" t="str">
        <f t="shared" si="120"/>
        <v>2Q15</v>
      </c>
      <c r="DE155" s="675" t="str">
        <f t="shared" si="121"/>
        <v>% Chg</v>
      </c>
      <c r="DF155" s="673" t="str">
        <f t="shared" si="120"/>
        <v>3Q15</v>
      </c>
      <c r="DG155" s="675" t="str">
        <f t="shared" si="121"/>
        <v>% Chg</v>
      </c>
      <c r="DH155" s="673" t="str">
        <f t="shared" si="120"/>
        <v>4Q15</v>
      </c>
      <c r="DI155" s="675" t="str">
        <f t="shared" si="121"/>
        <v>% Chg</v>
      </c>
      <c r="DJ155" s="673" t="str">
        <f t="shared" si="120"/>
        <v>1Q16</v>
      </c>
      <c r="DK155" s="675" t="str">
        <f t="shared" si="121"/>
        <v>% Chg</v>
      </c>
      <c r="DL155" s="673" t="str">
        <f t="shared" si="120"/>
        <v>2Q16</v>
      </c>
      <c r="DM155" s="675" t="str">
        <f t="shared" si="121"/>
        <v>% Chg</v>
      </c>
      <c r="DN155" s="673" t="str">
        <f t="shared" si="120"/>
        <v>3Q16</v>
      </c>
      <c r="DO155" s="675" t="str">
        <f t="shared" si="121"/>
        <v>% Chg</v>
      </c>
      <c r="DP155" s="673" t="str">
        <f t="shared" si="120"/>
        <v>4Q16</v>
      </c>
      <c r="DQ155" s="675" t="str">
        <f t="shared" si="121"/>
        <v>% Chg</v>
      </c>
      <c r="DR155" s="673" t="str">
        <f t="shared" si="120"/>
        <v>1Q17</v>
      </c>
      <c r="DS155" s="675" t="str">
        <f t="shared" si="121"/>
        <v>% Chg</v>
      </c>
      <c r="DT155" s="673" t="str">
        <f t="shared" si="121"/>
        <v>2Q17</v>
      </c>
      <c r="DU155" s="675" t="str">
        <f t="shared" si="121"/>
        <v>% Chg</v>
      </c>
      <c r="DV155" s="673" t="str">
        <f t="shared" si="121"/>
        <v>3Q17</v>
      </c>
      <c r="DW155" s="675" t="str">
        <f t="shared" si="121"/>
        <v>% Chg</v>
      </c>
      <c r="DX155" s="673" t="str">
        <f t="shared" si="121"/>
        <v>4Q17</v>
      </c>
      <c r="DY155" s="675" t="str">
        <f t="shared" ref="DY155:EG155" si="122">DY$5</f>
        <v>% Chg</v>
      </c>
      <c r="DZ155" s="673" t="str">
        <f t="shared" si="122"/>
        <v>1Q18E</v>
      </c>
      <c r="EA155" s="675" t="str">
        <f t="shared" si="122"/>
        <v>% Chg</v>
      </c>
      <c r="EB155" s="673" t="str">
        <f t="shared" si="122"/>
        <v>2Q18E</v>
      </c>
      <c r="EC155" s="675" t="str">
        <f t="shared" si="122"/>
        <v>% Chg</v>
      </c>
      <c r="ED155" s="673" t="str">
        <f t="shared" si="122"/>
        <v>3Q18E</v>
      </c>
      <c r="EE155" s="675" t="str">
        <f t="shared" si="122"/>
        <v>% Chg</v>
      </c>
      <c r="EF155" s="673" t="str">
        <f t="shared" si="122"/>
        <v>4Q18E</v>
      </c>
      <c r="EG155" s="675" t="str">
        <f t="shared" si="122"/>
        <v>% Chg</v>
      </c>
      <c r="EH155" s="675"/>
      <c r="EI155" s="673" t="str">
        <f t="shared" ref="EI155:FZ155" si="123">EI$5</f>
        <v>2001</v>
      </c>
      <c r="EJ155" s="674" t="str">
        <f t="shared" si="123"/>
        <v>% Chg</v>
      </c>
      <c r="EK155" s="673" t="str">
        <f t="shared" si="123"/>
        <v>2002</v>
      </c>
      <c r="EL155" s="674" t="str">
        <f t="shared" si="123"/>
        <v>% Chg</v>
      </c>
      <c r="EM155" s="673" t="str">
        <f t="shared" si="123"/>
        <v>2003</v>
      </c>
      <c r="EN155" s="674" t="str">
        <f t="shared" si="123"/>
        <v>% Chg</v>
      </c>
      <c r="EO155" s="673" t="str">
        <f t="shared" si="123"/>
        <v>2004</v>
      </c>
      <c r="EP155" s="674" t="str">
        <f t="shared" si="123"/>
        <v>% Chg</v>
      </c>
      <c r="EQ155" s="673" t="str">
        <f t="shared" si="123"/>
        <v>2005</v>
      </c>
      <c r="ER155" s="675" t="str">
        <f t="shared" si="123"/>
        <v>% Chg</v>
      </c>
      <c r="ES155" s="676">
        <f t="shared" si="123"/>
        <v>2006</v>
      </c>
      <c r="ET155" s="675" t="str">
        <f t="shared" si="123"/>
        <v>% Chg</v>
      </c>
      <c r="EU155" s="676">
        <f t="shared" si="123"/>
        <v>2007</v>
      </c>
      <c r="EV155" s="675" t="str">
        <f t="shared" si="123"/>
        <v>% Chg</v>
      </c>
      <c r="EW155" s="676">
        <f t="shared" si="123"/>
        <v>2008</v>
      </c>
      <c r="EX155" s="675" t="str">
        <f>EX$5</f>
        <v>% Chg</v>
      </c>
      <c r="EY155" s="673" t="str">
        <f t="shared" si="123"/>
        <v>2009</v>
      </c>
      <c r="EZ155" s="675" t="str">
        <f t="shared" si="123"/>
        <v>% Chg</v>
      </c>
      <c r="FA155" s="673" t="str">
        <f t="shared" si="123"/>
        <v>2010</v>
      </c>
      <c r="FB155" s="675" t="str">
        <f t="shared" si="123"/>
        <v>% Chg</v>
      </c>
      <c r="FC155" s="673" t="str">
        <f t="shared" si="123"/>
        <v>2011</v>
      </c>
      <c r="FD155" s="675" t="str">
        <f t="shared" si="123"/>
        <v>% Chg</v>
      </c>
      <c r="FE155" s="673" t="str">
        <f t="shared" si="123"/>
        <v>2012</v>
      </c>
      <c r="FF155" s="675" t="str">
        <f t="shared" si="123"/>
        <v>% Chg</v>
      </c>
      <c r="FG155" s="673" t="str">
        <f t="shared" si="123"/>
        <v>2013</v>
      </c>
      <c r="FH155" s="675" t="str">
        <f t="shared" si="123"/>
        <v>% Chg</v>
      </c>
      <c r="FI155" s="673" t="str">
        <f t="shared" si="123"/>
        <v>2014</v>
      </c>
      <c r="FJ155" s="675" t="str">
        <f t="shared" si="123"/>
        <v>% Chg</v>
      </c>
      <c r="FK155" s="673" t="str">
        <f t="shared" si="123"/>
        <v>2015</v>
      </c>
      <c r="FL155" s="675" t="str">
        <f t="shared" si="123"/>
        <v>% Chg</v>
      </c>
      <c r="FM155" s="673" t="str">
        <f t="shared" si="123"/>
        <v>2016</v>
      </c>
      <c r="FN155" s="675" t="str">
        <f t="shared" si="123"/>
        <v>% Chg</v>
      </c>
      <c r="FO155" s="673" t="str">
        <f t="shared" si="123"/>
        <v>2017</v>
      </c>
      <c r="FP155" s="675" t="str">
        <f t="shared" si="123"/>
        <v>% Chg</v>
      </c>
      <c r="FQ155" s="673" t="str">
        <f t="shared" si="123"/>
        <v>2018E</v>
      </c>
      <c r="FR155" s="675" t="str">
        <f t="shared" si="123"/>
        <v>% Chg</v>
      </c>
      <c r="FS155" s="673" t="str">
        <f t="shared" si="123"/>
        <v>2019E</v>
      </c>
      <c r="FT155" s="675" t="str">
        <f t="shared" si="123"/>
        <v>% Chg</v>
      </c>
      <c r="FU155" s="673" t="str">
        <f t="shared" si="123"/>
        <v>2020E</v>
      </c>
      <c r="FV155" s="675" t="str">
        <f t="shared" si="123"/>
        <v>% Chg</v>
      </c>
      <c r="FW155" s="673" t="str">
        <f t="shared" si="123"/>
        <v>2021E</v>
      </c>
      <c r="FX155" s="675" t="str">
        <f t="shared" si="123"/>
        <v>% Chg</v>
      </c>
      <c r="FY155" s="673" t="str">
        <f t="shared" si="123"/>
        <v>2022E</v>
      </c>
      <c r="FZ155" s="675" t="str">
        <f t="shared" si="123"/>
        <v>% Chg</v>
      </c>
      <c r="GA155" s="674" t="s">
        <v>351</v>
      </c>
    </row>
    <row r="156" spans="1:183" s="707" customFormat="1" ht="12.75" hidden="1" customHeight="1" outlineLevel="1" x14ac:dyDescent="0.2">
      <c r="A156" s="677"/>
      <c r="B156" s="669"/>
      <c r="C156" s="671"/>
      <c r="D156" s="669"/>
      <c r="E156" s="671"/>
      <c r="F156" s="669"/>
      <c r="G156" s="671"/>
      <c r="H156" s="669"/>
      <c r="I156" s="671"/>
      <c r="J156" s="669"/>
      <c r="K156" s="671"/>
      <c r="L156" s="669"/>
      <c r="M156" s="671"/>
      <c r="N156" s="669"/>
      <c r="O156" s="671"/>
      <c r="P156" s="669"/>
      <c r="Q156" s="671"/>
      <c r="R156" s="669"/>
      <c r="S156" s="671"/>
      <c r="T156" s="669"/>
      <c r="U156" s="671"/>
      <c r="V156" s="669"/>
      <c r="W156" s="671"/>
      <c r="X156" s="669"/>
      <c r="Y156" s="671"/>
      <c r="Z156" s="669"/>
      <c r="AA156" s="671"/>
      <c r="AB156" s="669"/>
      <c r="AC156" s="671"/>
      <c r="AD156" s="669"/>
      <c r="AE156" s="671"/>
      <c r="AF156" s="669"/>
      <c r="AG156" s="671"/>
      <c r="AH156" s="669"/>
      <c r="AI156" s="671"/>
      <c r="AJ156" s="669"/>
      <c r="AK156" s="671"/>
      <c r="AL156" s="669"/>
      <c r="AM156" s="671"/>
      <c r="AN156" s="669"/>
      <c r="AO156" s="670"/>
      <c r="AP156" s="669"/>
      <c r="AQ156" s="670"/>
      <c r="AR156" s="669"/>
      <c r="AS156" s="670"/>
      <c r="AT156" s="669"/>
      <c r="AU156" s="670"/>
      <c r="AV156" s="669"/>
      <c r="AW156" s="670"/>
      <c r="AX156" s="669"/>
      <c r="AY156" s="670"/>
      <c r="AZ156" s="669"/>
      <c r="BA156" s="670"/>
      <c r="BB156" s="669"/>
      <c r="BC156" s="670"/>
      <c r="BD156" s="669"/>
      <c r="BE156" s="670"/>
      <c r="BF156" s="669"/>
      <c r="BG156" s="670"/>
      <c r="BH156" s="669"/>
      <c r="BI156" s="670"/>
      <c r="BJ156" s="669"/>
      <c r="BK156" s="670"/>
      <c r="BL156" s="669"/>
      <c r="BM156" s="670"/>
      <c r="BN156" s="669"/>
      <c r="BO156" s="670"/>
      <c r="BP156" s="669"/>
      <c r="BQ156" s="670"/>
      <c r="BR156" s="669"/>
      <c r="BS156" s="670"/>
      <c r="BT156" s="669"/>
      <c r="BU156" s="670"/>
      <c r="BV156" s="669"/>
      <c r="BW156" s="670"/>
      <c r="BX156" s="669"/>
      <c r="BY156" s="670"/>
      <c r="BZ156" s="669"/>
      <c r="CA156" s="670"/>
      <c r="CB156" s="669"/>
      <c r="CC156" s="670"/>
      <c r="CD156" s="669"/>
      <c r="CE156" s="670"/>
      <c r="CF156" s="669"/>
      <c r="CG156" s="670"/>
      <c r="CH156" s="669"/>
      <c r="CI156" s="670"/>
      <c r="CJ156" s="669"/>
      <c r="CK156" s="670"/>
      <c r="CL156" s="669"/>
      <c r="CM156" s="670"/>
      <c r="CN156" s="669"/>
      <c r="CO156" s="670"/>
      <c r="CP156" s="669"/>
      <c r="CQ156" s="670"/>
      <c r="CR156" s="669"/>
      <c r="CS156" s="670"/>
      <c r="CT156" s="669"/>
      <c r="CU156" s="670"/>
      <c r="CV156" s="669"/>
      <c r="CW156" s="670"/>
      <c r="CX156" s="669"/>
      <c r="CY156" s="670"/>
      <c r="CZ156" s="669"/>
      <c r="DA156" s="670"/>
      <c r="DB156" s="669"/>
      <c r="DC156" s="670"/>
      <c r="DD156" s="669"/>
      <c r="DE156" s="670"/>
      <c r="DF156" s="669"/>
      <c r="DG156" s="670"/>
      <c r="DH156" s="669"/>
      <c r="DI156" s="670"/>
      <c r="DJ156" s="669"/>
      <c r="DK156" s="670"/>
      <c r="DL156" s="669"/>
      <c r="DM156" s="670"/>
      <c r="DN156" s="669"/>
      <c r="DO156" s="670"/>
      <c r="DP156" s="669"/>
      <c r="DQ156" s="670"/>
      <c r="DR156" s="669"/>
      <c r="DS156" s="670"/>
      <c r="DT156" s="669"/>
      <c r="DU156" s="670"/>
      <c r="DV156" s="669"/>
      <c r="DW156" s="670"/>
      <c r="DX156" s="669"/>
      <c r="DY156" s="670"/>
      <c r="DZ156" s="669"/>
      <c r="EA156" s="670"/>
      <c r="EB156" s="669"/>
      <c r="EC156" s="670"/>
      <c r="ED156" s="669"/>
      <c r="EE156" s="670"/>
      <c r="EF156" s="669"/>
      <c r="EG156" s="670"/>
      <c r="EH156" s="670"/>
      <c r="EI156" s="669"/>
      <c r="EJ156" s="671"/>
      <c r="EK156" s="669"/>
      <c r="EL156" s="671"/>
      <c r="EM156" s="669"/>
      <c r="EN156" s="671"/>
      <c r="EO156" s="669"/>
      <c r="EP156" s="671"/>
      <c r="EQ156" s="669"/>
      <c r="ER156" s="670"/>
      <c r="ES156" s="669"/>
      <c r="ET156" s="670"/>
      <c r="EU156" s="669"/>
      <c r="EV156" s="670"/>
      <c r="EW156" s="669"/>
      <c r="EX156" s="670"/>
      <c r="EY156" s="669"/>
      <c r="EZ156" s="670"/>
      <c r="FA156" s="669"/>
      <c r="FB156" s="670"/>
      <c r="FC156" s="669"/>
      <c r="FD156" s="670"/>
      <c r="FE156" s="669"/>
      <c r="FF156" s="670"/>
      <c r="FG156" s="669"/>
      <c r="FH156" s="670"/>
      <c r="FI156" s="669"/>
      <c r="FJ156" s="670"/>
      <c r="FK156" s="669"/>
      <c r="FL156" s="670"/>
      <c r="FM156" s="669"/>
      <c r="FN156" s="670"/>
      <c r="FO156" s="669"/>
      <c r="FP156" s="670"/>
      <c r="FQ156" s="669"/>
      <c r="FR156" s="670"/>
      <c r="FS156" s="669"/>
      <c r="FT156" s="670"/>
      <c r="FU156" s="669"/>
      <c r="FV156" s="670"/>
      <c r="FW156" s="669"/>
      <c r="FX156" s="670"/>
      <c r="FY156" s="669"/>
      <c r="FZ156" s="670"/>
      <c r="GA156" s="671"/>
    </row>
    <row r="157" spans="1:183" s="707" customFormat="1" ht="12.75" hidden="1" customHeight="1" outlineLevel="1" x14ac:dyDescent="0.2">
      <c r="A157" s="677" t="s">
        <v>285</v>
      </c>
      <c r="B157" s="669"/>
      <c r="C157" s="671"/>
      <c r="D157" s="669"/>
      <c r="E157" s="671"/>
      <c r="F157" s="669"/>
      <c r="G157" s="671"/>
      <c r="H157" s="669"/>
      <c r="I157" s="671"/>
      <c r="J157" s="669"/>
      <c r="K157" s="671"/>
      <c r="L157" s="669"/>
      <c r="M157" s="671"/>
      <c r="N157" s="669"/>
      <c r="O157" s="671"/>
      <c r="P157" s="669"/>
      <c r="Q157" s="671"/>
      <c r="R157" s="669"/>
      <c r="S157" s="671"/>
      <c r="T157" s="669"/>
      <c r="U157" s="671"/>
      <c r="V157" s="669"/>
      <c r="W157" s="671"/>
      <c r="X157" s="669"/>
      <c r="Y157" s="671"/>
      <c r="Z157" s="669"/>
      <c r="AA157" s="671"/>
      <c r="AB157" s="669"/>
      <c r="AC157" s="671"/>
      <c r="AD157" s="669"/>
      <c r="AE157" s="671"/>
      <c r="AF157" s="669"/>
      <c r="AG157" s="671"/>
      <c r="AH157" s="669"/>
      <c r="AI157" s="671"/>
      <c r="AJ157" s="669"/>
      <c r="AK157" s="671"/>
      <c r="AL157" s="669"/>
      <c r="AM157" s="671"/>
      <c r="AN157" s="669"/>
      <c r="AO157" s="670"/>
      <c r="AP157" s="669"/>
      <c r="AQ157" s="670"/>
      <c r="AR157" s="669"/>
      <c r="AS157" s="670"/>
      <c r="AT157" s="669"/>
      <c r="AU157" s="670"/>
      <c r="AV157" s="669"/>
      <c r="AW157" s="670"/>
      <c r="AX157" s="669"/>
      <c r="AY157" s="670"/>
      <c r="AZ157" s="669"/>
      <c r="BA157" s="670"/>
      <c r="BB157" s="669"/>
      <c r="BC157" s="670"/>
      <c r="BD157" s="669"/>
      <c r="BE157" s="670"/>
      <c r="BF157" s="669"/>
      <c r="BG157" s="670"/>
      <c r="BH157" s="669"/>
      <c r="BI157" s="670"/>
      <c r="BJ157" s="669"/>
      <c r="BK157" s="670"/>
      <c r="BL157" s="669"/>
      <c r="BM157" s="670"/>
      <c r="BN157" s="669"/>
      <c r="BO157" s="670"/>
      <c r="BP157" s="669"/>
      <c r="BQ157" s="670"/>
      <c r="BR157" s="669"/>
      <c r="BS157" s="670"/>
      <c r="BT157" s="669"/>
      <c r="BU157" s="670"/>
      <c r="BV157" s="669"/>
      <c r="BW157" s="670"/>
      <c r="BX157" s="669"/>
      <c r="BY157" s="670"/>
      <c r="BZ157" s="669"/>
      <c r="CA157" s="670"/>
      <c r="CB157" s="669"/>
      <c r="CC157" s="670"/>
      <c r="CD157" s="669"/>
      <c r="CE157" s="670"/>
      <c r="CF157" s="669"/>
      <c r="CG157" s="670"/>
      <c r="CH157" s="669"/>
      <c r="CI157" s="670"/>
      <c r="CJ157" s="669"/>
      <c r="CK157" s="670"/>
      <c r="CL157" s="669"/>
      <c r="CM157" s="670"/>
      <c r="CN157" s="669"/>
      <c r="CO157" s="670"/>
      <c r="CP157" s="669"/>
      <c r="CQ157" s="670"/>
      <c r="CR157" s="669"/>
      <c r="CS157" s="670"/>
      <c r="CT157" s="669"/>
      <c r="CU157" s="670"/>
      <c r="CV157" s="669"/>
      <c r="CW157" s="670"/>
      <c r="CX157" s="669"/>
      <c r="CY157" s="670"/>
      <c r="CZ157" s="669"/>
      <c r="DA157" s="670"/>
      <c r="DB157" s="669"/>
      <c r="DC157" s="670"/>
      <c r="DD157" s="669"/>
      <c r="DE157" s="670"/>
      <c r="DF157" s="669"/>
      <c r="DG157" s="670"/>
      <c r="DH157" s="669"/>
      <c r="DI157" s="670"/>
      <c r="DJ157" s="669"/>
      <c r="DK157" s="670"/>
      <c r="DL157" s="669"/>
      <c r="DM157" s="670"/>
      <c r="DN157" s="669"/>
      <c r="DO157" s="670"/>
      <c r="DP157" s="669"/>
      <c r="DQ157" s="670"/>
      <c r="DR157" s="669"/>
      <c r="DS157" s="670"/>
      <c r="DT157" s="669"/>
      <c r="DU157" s="670"/>
      <c r="DV157" s="669"/>
      <c r="DW157" s="670"/>
      <c r="DX157" s="669"/>
      <c r="DY157" s="670"/>
      <c r="DZ157" s="669"/>
      <c r="EA157" s="670"/>
      <c r="EB157" s="669"/>
      <c r="EC157" s="670"/>
      <c r="ED157" s="669"/>
      <c r="EE157" s="670"/>
      <c r="EF157" s="669"/>
      <c r="EG157" s="670"/>
      <c r="EH157" s="670"/>
      <c r="EI157" s="669"/>
      <c r="EJ157" s="671"/>
      <c r="EK157" s="669"/>
      <c r="EL157" s="671"/>
      <c r="EM157" s="669"/>
      <c r="EN157" s="671"/>
      <c r="EO157" s="669"/>
      <c r="EP157" s="671"/>
      <c r="EQ157" s="669"/>
      <c r="ER157" s="670"/>
      <c r="ES157" s="669"/>
      <c r="ET157" s="670"/>
      <c r="EU157" s="669"/>
      <c r="EV157" s="670"/>
      <c r="EW157" s="669"/>
      <c r="EX157" s="670"/>
      <c r="EY157" s="669"/>
      <c r="EZ157" s="670"/>
      <c r="FA157" s="669"/>
      <c r="FB157" s="670"/>
      <c r="FC157" s="669"/>
      <c r="FD157" s="670"/>
      <c r="FE157" s="669"/>
      <c r="FF157" s="670"/>
      <c r="FG157" s="669"/>
      <c r="FH157" s="670"/>
      <c r="FI157" s="669"/>
      <c r="FJ157" s="670"/>
      <c r="FK157" s="669"/>
      <c r="FL157" s="670"/>
      <c r="FM157" s="669"/>
      <c r="FN157" s="670"/>
      <c r="FO157" s="669"/>
      <c r="FP157" s="670"/>
      <c r="FQ157" s="669"/>
      <c r="FR157" s="670"/>
      <c r="FS157" s="669"/>
      <c r="FT157" s="670"/>
      <c r="FU157" s="669"/>
      <c r="FV157" s="670"/>
      <c r="FW157" s="669"/>
      <c r="FX157" s="670"/>
      <c r="FY157" s="669"/>
      <c r="FZ157" s="670"/>
      <c r="GA157" s="671"/>
    </row>
    <row r="158" spans="1:183" s="707" customFormat="1" ht="12.75" hidden="1" customHeight="1" outlineLevel="1" x14ac:dyDescent="0.2">
      <c r="A158" s="679" t="str">
        <f>INPUT!B75</f>
        <v>Premium Income</v>
      </c>
      <c r="B158" s="669"/>
      <c r="C158" s="671"/>
      <c r="D158" s="669"/>
      <c r="E158" s="681"/>
      <c r="F158" s="669"/>
      <c r="G158" s="681"/>
      <c r="H158" s="669"/>
      <c r="I158" s="681"/>
      <c r="J158" s="669"/>
      <c r="K158" s="681"/>
      <c r="L158" s="669"/>
      <c r="M158" s="681"/>
      <c r="N158" s="669"/>
      <c r="O158" s="681"/>
      <c r="P158" s="669"/>
      <c r="Q158" s="681"/>
      <c r="R158" s="669">
        <f>INPUT!AC75</f>
        <v>413.70000000000005</v>
      </c>
      <c r="S158" s="681" t="str">
        <f>INPUT!AD75</f>
        <v>NA</v>
      </c>
      <c r="T158" s="669">
        <f>INPUT!AE75</f>
        <v>412</v>
      </c>
      <c r="U158" s="681" t="str">
        <f>INPUT!AF75</f>
        <v>NA</v>
      </c>
      <c r="V158" s="669">
        <f>INPUT!AG75</f>
        <v>398.3</v>
      </c>
      <c r="W158" s="681" t="str">
        <f>INPUT!AH75</f>
        <v>NA</v>
      </c>
      <c r="X158" s="669">
        <f>INPUT!AI75</f>
        <v>399.40000000000009</v>
      </c>
      <c r="Y158" s="681" t="str">
        <f>INPUT!AJ75</f>
        <v>NA</v>
      </c>
      <c r="Z158" s="669">
        <f>INPUT!AK75</f>
        <v>369.70000000000005</v>
      </c>
      <c r="AA158" s="681">
        <f>INPUT!AL75</f>
        <v>-10.635726371766985</v>
      </c>
      <c r="AB158" s="669">
        <f>INPUT!AM75</f>
        <v>371.5</v>
      </c>
      <c r="AC158" s="681">
        <f>INPUT!AN75</f>
        <v>-9.8300970873786415</v>
      </c>
      <c r="AD158" s="669">
        <f>INPUT!AO75</f>
        <v>355.9</v>
      </c>
      <c r="AE158" s="681">
        <f>INPUT!AP75</f>
        <v>-10.645242279688683</v>
      </c>
      <c r="AF158" s="669">
        <f>INPUT!AQ75</f>
        <v>366.1</v>
      </c>
      <c r="AG158" s="681">
        <f>INPUT!AR75</f>
        <v>-8.3375062593890945</v>
      </c>
      <c r="AH158" s="669">
        <f>INPUT!AS75</f>
        <v>358.8</v>
      </c>
      <c r="AI158" s="681">
        <f>INPUT!AT75</f>
        <v>-2.948336489045178</v>
      </c>
      <c r="AJ158" s="669">
        <f>INPUT!AU75</f>
        <v>361.5</v>
      </c>
      <c r="AK158" s="681">
        <f>INPUT!AV75</f>
        <v>-2.6917900403768513</v>
      </c>
      <c r="AL158" s="669">
        <f>INPUT!AW75</f>
        <v>330.6</v>
      </c>
      <c r="AM158" s="681">
        <f>INPUT!AX75</f>
        <v>-7.1087384096656265</v>
      </c>
      <c r="AN158" s="669">
        <f>INPUT!AY75</f>
        <v>348.8</v>
      </c>
      <c r="AO158" s="670">
        <f>INPUT!AZ75</f>
        <v>-4.725484840207594</v>
      </c>
      <c r="AP158" s="669">
        <f>INPUT!BA75</f>
        <v>313.2</v>
      </c>
      <c r="AQ158" s="670">
        <f>INPUT!BB75</f>
        <v>-12.70903010033445</v>
      </c>
      <c r="AR158" s="669">
        <f>INPUT!BC75</f>
        <v>309.2</v>
      </c>
      <c r="AS158" s="670">
        <f>INPUT!BD75</f>
        <v>-14.467496542185343</v>
      </c>
      <c r="AT158" s="669">
        <f>INPUT!BE75</f>
        <v>309.60000000000002</v>
      </c>
      <c r="AU158" s="670">
        <f>INPUT!BF75</f>
        <v>-6.3520871143375679</v>
      </c>
      <c r="AV158" s="669">
        <f>INPUT!BG75</f>
        <v>306.39999999999998</v>
      </c>
      <c r="AW158" s="670">
        <f>INPUT!BH75</f>
        <v>-12.155963302752305</v>
      </c>
      <c r="AX158" s="669">
        <f>INPUT!BI75</f>
        <v>292.39999999999998</v>
      </c>
      <c r="AY158" s="670">
        <f>INPUT!BJ75</f>
        <v>-6.6411238825031971</v>
      </c>
      <c r="AZ158" s="669">
        <f>INPUT!BK75</f>
        <v>300.60000000000002</v>
      </c>
      <c r="BA158" s="670">
        <f>INPUT!BL75</f>
        <v>-2.7813712807244428</v>
      </c>
      <c r="BB158" s="669">
        <f>INPUT!BM75</f>
        <v>300.3</v>
      </c>
      <c r="BC158" s="670">
        <f>INPUT!BN75</f>
        <v>-3.0038759689922534</v>
      </c>
      <c r="BD158" s="669">
        <f>INPUT!BO75</f>
        <v>297.10000000000002</v>
      </c>
      <c r="BE158" s="670">
        <f>INPUT!BP75</f>
        <v>-3.0352480417754402</v>
      </c>
      <c r="BF158" s="669">
        <f>INPUT!BQ75</f>
        <v>288</v>
      </c>
      <c r="BG158" s="670">
        <f>INPUT!BR75</f>
        <v>-1.5047879616962967</v>
      </c>
      <c r="BH158" s="669">
        <f>INPUT!BS75</f>
        <v>291.8</v>
      </c>
      <c r="BI158" s="670">
        <f>INPUT!BT75</f>
        <v>-2.9274783765801726</v>
      </c>
      <c r="BJ158" s="669">
        <f>INPUT!BU75</f>
        <v>293.39999999999998</v>
      </c>
      <c r="BK158" s="670">
        <f>INPUT!BV75</f>
        <v>-2.2977022977023087</v>
      </c>
      <c r="BL158" s="669">
        <f>INPUT!BW75</f>
        <v>289.39999999999998</v>
      </c>
      <c r="BM158" s="670">
        <f>INPUT!BX75</f>
        <v>-2.591719959609573</v>
      </c>
      <c r="BN158" s="669">
        <f>INPUT!BY75</f>
        <v>296.10000000000002</v>
      </c>
      <c r="BO158" s="670">
        <f>INPUT!BZ75</f>
        <v>2.8125000000000178</v>
      </c>
      <c r="BP158" s="669">
        <f>INPUT!CA75</f>
        <v>297.7</v>
      </c>
      <c r="BQ158" s="670">
        <f>INPUT!CB75</f>
        <v>2.0219328307059525</v>
      </c>
      <c r="BR158" s="669">
        <f>INPUT!CC75</f>
        <v>300</v>
      </c>
      <c r="BS158" s="670">
        <f>INPUT!CD75</f>
        <v>2.249488752556239</v>
      </c>
      <c r="BT158" s="669">
        <f>INPUT!CE75</f>
        <v>302.60000000000002</v>
      </c>
      <c r="BU158" s="670">
        <f>INPUT!CF75</f>
        <v>4.5611610228058153</v>
      </c>
      <c r="BV158" s="669">
        <f>INPUT!CG75</f>
        <v>300.5</v>
      </c>
      <c r="BW158" s="670">
        <f>INPUT!CH75</f>
        <v>1.4859844647078679</v>
      </c>
      <c r="BX158" s="669">
        <f>INPUT!CI75</f>
        <v>301.10000000000002</v>
      </c>
      <c r="BY158" s="670">
        <f>INPUT!CJ75</f>
        <v>1.1420893516963515</v>
      </c>
      <c r="BZ158" s="669">
        <f>INPUT!CK75</f>
        <v>305.3</v>
      </c>
      <c r="CA158" s="670">
        <f>INPUT!CL75</f>
        <v>1.7666666666666719</v>
      </c>
      <c r="CB158" s="669">
        <f>INPUT!CM75</f>
        <v>309</v>
      </c>
      <c r="CC158" s="670">
        <f>INPUT!CN75</f>
        <v>2.1150033046926531</v>
      </c>
      <c r="CD158" s="669">
        <f>INPUT!CO75</f>
        <v>321.89999999999998</v>
      </c>
      <c r="CE158" s="670">
        <f>INPUT!CP75</f>
        <v>7.12146422628952</v>
      </c>
      <c r="CF158" s="669">
        <f>INPUT!CQ75</f>
        <v>322.89999999999998</v>
      </c>
      <c r="CG158" s="670">
        <f>INPUT!CR75</f>
        <v>7.2401195616074165</v>
      </c>
      <c r="CH158" s="669">
        <f>INPUT!CS75</f>
        <v>326.5</v>
      </c>
      <c r="CI158" s="670">
        <f>INPUT!CT75</f>
        <v>6.9439895185063882</v>
      </c>
      <c r="CJ158" s="669">
        <f>INPUT!CU75</f>
        <v>326.10000000000002</v>
      </c>
      <c r="CK158" s="670">
        <f>INPUT!CV75</f>
        <v>5.5339805825242783</v>
      </c>
      <c r="CL158" s="669">
        <f>INPUT!CW75</f>
        <v>333.1</v>
      </c>
      <c r="CM158" s="670">
        <f>INPUT!CX75</f>
        <v>3.4793414103759135</v>
      </c>
      <c r="CN158" s="669">
        <f>INPUT!CY75</f>
        <v>333.8</v>
      </c>
      <c r="CO158" s="670">
        <f>INPUT!CZ75</f>
        <v>3.3756580984825035</v>
      </c>
      <c r="CP158" s="669">
        <f>INPUT!DA75</f>
        <v>335.7</v>
      </c>
      <c r="CQ158" s="670">
        <f>INPUT!DB75</f>
        <v>2.8177641653905017</v>
      </c>
      <c r="CR158" s="669">
        <f>INPUT!DC75</f>
        <v>332.9</v>
      </c>
      <c r="CS158" s="670">
        <f>INPUT!DD75</f>
        <v>2.0852499233363853</v>
      </c>
      <c r="CT158" s="669">
        <f>INPUT!DE75</f>
        <v>340.5</v>
      </c>
      <c r="CU158" s="670">
        <f>INPUT!DF75</f>
        <v>2.2215550885619884</v>
      </c>
      <c r="CV158" s="669">
        <f>INPUT!DG75</f>
        <v>344.3</v>
      </c>
      <c r="CW158" s="670">
        <f>INPUT!DH75</f>
        <v>3.1455961653684916</v>
      </c>
      <c r="CX158" s="669">
        <f>INPUT!DI75</f>
        <v>348.3</v>
      </c>
      <c r="CY158" s="670">
        <f>INPUT!DJ75</f>
        <v>3.7533512064343189</v>
      </c>
      <c r="CZ158" s="669">
        <f>INPUT!DK75</f>
        <v>355.1</v>
      </c>
      <c r="DA158" s="670">
        <f>INPUT!DL75</f>
        <v>6.6686692700510752</v>
      </c>
      <c r="DB158" s="669">
        <f>INPUT!DM75</f>
        <v>367.6</v>
      </c>
      <c r="DC158" s="670">
        <f>INPUT!DN75</f>
        <v>7.9588839941262979</v>
      </c>
      <c r="DD158" s="669">
        <f>INPUT!DO75</f>
        <v>369.3</v>
      </c>
      <c r="DE158" s="670">
        <f>INPUT!DP75</f>
        <v>7.2611094975312263</v>
      </c>
      <c r="DF158" s="669">
        <f>INPUT!DQ75</f>
        <v>368.6</v>
      </c>
      <c r="DG158" s="670">
        <f>INPUT!DR75</f>
        <v>5.828308929084125</v>
      </c>
      <c r="DH158" s="669">
        <f>INPUT!DS75</f>
        <v>373.6</v>
      </c>
      <c r="DI158" s="670">
        <f>INPUT!DT75</f>
        <v>5.2098000563221669</v>
      </c>
      <c r="DJ158" s="669">
        <f>INPUT!DU75</f>
        <v>386.1</v>
      </c>
      <c r="DK158" s="670">
        <f>INPUT!DV75</f>
        <v>5.032644178454837</v>
      </c>
      <c r="DL158" s="669">
        <f>INPUT!DW75</f>
        <v>383.6</v>
      </c>
      <c r="DM158" s="670">
        <f>INPUT!DX75</f>
        <v>3.8721906309233667</v>
      </c>
      <c r="DN158" s="669">
        <f>INPUT!DY75</f>
        <v>388.7</v>
      </c>
      <c r="DO158" s="670">
        <f>INPUT!DZ75</f>
        <v>5.4530656538252842</v>
      </c>
      <c r="DP158" s="669">
        <f>INPUT!EA75</f>
        <v>391.9</v>
      </c>
      <c r="DQ158" s="670">
        <f>INPUT!EB75</f>
        <v>4.8982869379014859</v>
      </c>
      <c r="DR158" s="669">
        <f>INPUT!EC75</f>
        <v>404.4</v>
      </c>
      <c r="DS158" s="670">
        <f>INPUT!ED75</f>
        <v>4.7397047397047309</v>
      </c>
      <c r="DT158" s="669">
        <f>INPUT!EE75</f>
        <v>400.6</v>
      </c>
      <c r="DU158" s="670">
        <f>INPUT!EF75</f>
        <v>4.4316996871741399</v>
      </c>
      <c r="DV158" s="669">
        <f>INPUT!EG75</f>
        <v>407.2</v>
      </c>
      <c r="DW158" s="670">
        <f>INPUT!EH75</f>
        <v>4.7594545922305054</v>
      </c>
      <c r="DX158" s="669">
        <f>INPUT!EI75</f>
        <v>402.8</v>
      </c>
      <c r="DY158" s="670">
        <f>INPUT!EJ75</f>
        <v>2.7813217657565836</v>
      </c>
      <c r="DZ158" s="669">
        <f>INPUT!EK75</f>
        <v>420.57599999999996</v>
      </c>
      <c r="EA158" s="670">
        <f>INPUT!EL75</f>
        <v>4.0000000000000036</v>
      </c>
      <c r="EB158" s="669">
        <f>INPUT!EM75</f>
        <v>416.62400000000002</v>
      </c>
      <c r="EC158" s="670">
        <f>INPUT!EN75</f>
        <v>4.0000000000000036</v>
      </c>
      <c r="ED158" s="669">
        <f>INPUT!EO75</f>
        <v>423.488</v>
      </c>
      <c r="EE158" s="670">
        <f>INPUT!EP75</f>
        <v>4.0000000000000036</v>
      </c>
      <c r="EF158" s="669">
        <f>INPUT!EQ75</f>
        <v>418.91200000000003</v>
      </c>
      <c r="EG158" s="670">
        <f>INPUT!ER75</f>
        <v>4.0000000000000036</v>
      </c>
      <c r="EH158" s="670"/>
      <c r="EI158" s="669">
        <f>INPUT!FB75</f>
        <v>0</v>
      </c>
      <c r="EJ158" s="681">
        <f>INPUT!FC75</f>
        <v>0</v>
      </c>
      <c r="EK158" s="669">
        <f>INPUT!FD75</f>
        <v>1606.3</v>
      </c>
      <c r="EL158" s="681" t="str">
        <f>INPUT!FE75</f>
        <v>NA</v>
      </c>
      <c r="EM158" s="669">
        <f>INPUT!FF75</f>
        <v>1662.4</v>
      </c>
      <c r="EN158" s="681">
        <f>INPUT!FG75</f>
        <v>3.4924982879910527</v>
      </c>
      <c r="EO158" s="669">
        <f>INPUT!FH75</f>
        <v>1623.4</v>
      </c>
      <c r="EP158" s="681">
        <f>INPUT!FI75</f>
        <v>-2.346005774783444</v>
      </c>
      <c r="EQ158" s="669">
        <f>INPUT!FJ75</f>
        <v>1463.2</v>
      </c>
      <c r="ER158" s="670">
        <f>INPUT!FK75</f>
        <v>-9.8681778982382724</v>
      </c>
      <c r="ES158" s="669">
        <f>INPUT!FL75</f>
        <v>1399.7</v>
      </c>
      <c r="ET158" s="670">
        <f>INPUT!FM75</f>
        <v>-4.3398031711317619</v>
      </c>
      <c r="EU158" s="669">
        <f>INPUT!FN75</f>
        <v>1238.4000000000001</v>
      </c>
      <c r="EV158" s="670">
        <f>INPUT!FO75</f>
        <v>-11.523897978138164</v>
      </c>
      <c r="EW158" s="669">
        <f>INPUT!FP75</f>
        <v>1190.4000000000001</v>
      </c>
      <c r="EX158" s="670">
        <f>INPUT!FQ75</f>
        <v>-3.8759689922480578</v>
      </c>
      <c r="EY158" s="669">
        <f>INPUT!FR75</f>
        <v>1162.5999999999999</v>
      </c>
      <c r="EZ158" s="670">
        <f>INPUT!FS75</f>
        <v>-2.3353494623656101</v>
      </c>
      <c r="FA158" s="669">
        <f>INPUT!FT75</f>
        <v>1196.4000000000001</v>
      </c>
      <c r="FB158" s="670">
        <f>INPUT!FU75</f>
        <v>2.9072767933941313</v>
      </c>
      <c r="FC158" s="669">
        <f>INPUT!FV75</f>
        <v>1215.9000000000001</v>
      </c>
      <c r="FD158" s="670">
        <f>INPUT!FW75</f>
        <v>1.6298896690070119</v>
      </c>
      <c r="FE158" s="669">
        <f>INPUT!FX75</f>
        <v>1297.4000000000001</v>
      </c>
      <c r="FF158" s="670">
        <f>INPUT!FY75</f>
        <v>6.7028538531129112</v>
      </c>
      <c r="FG158" s="669">
        <f>INPUT!FZ75</f>
        <v>1335.5</v>
      </c>
      <c r="FH158" s="670">
        <f>INPUT!GA75</f>
        <v>2.9366425158008358</v>
      </c>
      <c r="FI158" s="669">
        <f>INPUT!GB75</f>
        <v>1388.1999999999998</v>
      </c>
      <c r="FJ158" s="670">
        <f>INPUT!GC75</f>
        <v>3.9460876076375717</v>
      </c>
      <c r="FK158" s="669">
        <f>INPUT!GD75</f>
        <v>1479.1</v>
      </c>
      <c r="FL158" s="670">
        <f>INPUT!GE75</f>
        <v>6.548047831724535</v>
      </c>
      <c r="FM158" s="669">
        <f>INPUT!GF75</f>
        <v>1550.3000000000002</v>
      </c>
      <c r="FN158" s="670">
        <f>INPUT!GG75</f>
        <v>4.8137380839700095</v>
      </c>
      <c r="FO158" s="669">
        <f>INPUT!GH75</f>
        <v>1615</v>
      </c>
      <c r="FP158" s="670">
        <f>INPUT!GI75</f>
        <v>4.1733857962974685</v>
      </c>
      <c r="FQ158" s="669">
        <f>INPUT!GJ75</f>
        <v>1679.6000000000001</v>
      </c>
      <c r="FR158" s="670">
        <f>INPUT!GK75</f>
        <v>4.0000000000000036</v>
      </c>
      <c r="FS158" s="669">
        <f>INPUT!GL75</f>
        <v>1721.59</v>
      </c>
      <c r="FT158" s="670">
        <f>INPUT!GM75</f>
        <v>2.4999999999999911</v>
      </c>
      <c r="FU158" s="669">
        <f>INPUT!GN75</f>
        <v>1764.6297499999998</v>
      </c>
      <c r="FV158" s="670">
        <f>INPUT!GO75</f>
        <v>2.4999999999999911</v>
      </c>
      <c r="FW158" s="669">
        <f>INPUT!GP75</f>
        <v>1808.7454937499997</v>
      </c>
      <c r="FX158" s="670">
        <f>INPUT!GQ75</f>
        <v>2.4999999999999911</v>
      </c>
      <c r="FY158" s="669">
        <f>INPUT!GR75</f>
        <v>1853.9641310937495</v>
      </c>
      <c r="FZ158" s="670">
        <f>INPUT!GS75</f>
        <v>2.4999999999999911</v>
      </c>
      <c r="GA158" s="681">
        <f>INPUT!GT75</f>
        <v>2.7982591656139144</v>
      </c>
    </row>
    <row r="159" spans="1:183" s="707" customFormat="1" ht="12.75" hidden="1" customHeight="1" outlineLevel="1" x14ac:dyDescent="0.2">
      <c r="A159" s="679" t="str">
        <f>INPUT!B76</f>
        <v>Net Investment Income</v>
      </c>
      <c r="B159" s="669"/>
      <c r="C159" s="671"/>
      <c r="D159" s="669"/>
      <c r="E159" s="681"/>
      <c r="F159" s="669"/>
      <c r="G159" s="681"/>
      <c r="H159" s="669"/>
      <c r="I159" s="681"/>
      <c r="J159" s="669"/>
      <c r="K159" s="681"/>
      <c r="L159" s="669"/>
      <c r="M159" s="681"/>
      <c r="N159" s="669"/>
      <c r="O159" s="681"/>
      <c r="P159" s="669"/>
      <c r="Q159" s="681"/>
      <c r="R159" s="669">
        <f>INPUT!AC76</f>
        <v>33.1</v>
      </c>
      <c r="S159" s="681" t="str">
        <f>INPUT!AD76</f>
        <v>NA</v>
      </c>
      <c r="T159" s="669">
        <f>INPUT!AE76</f>
        <v>33.1</v>
      </c>
      <c r="U159" s="681" t="str">
        <f>INPUT!AF76</f>
        <v>NA</v>
      </c>
      <c r="V159" s="669">
        <f>INPUT!AG76</f>
        <v>37.1</v>
      </c>
      <c r="W159" s="681" t="str">
        <f>INPUT!AH76</f>
        <v>NA</v>
      </c>
      <c r="X159" s="669">
        <f>INPUT!AI76</f>
        <v>44.600000000000016</v>
      </c>
      <c r="Y159" s="681" t="str">
        <f>INPUT!AJ76</f>
        <v>NA</v>
      </c>
      <c r="Z159" s="669">
        <f>INPUT!AK76</f>
        <v>39.799999999999997</v>
      </c>
      <c r="AA159" s="681">
        <f>INPUT!AL76</f>
        <v>20.241691842900277</v>
      </c>
      <c r="AB159" s="669">
        <f>INPUT!AM76</f>
        <v>38.200000000000003</v>
      </c>
      <c r="AC159" s="681">
        <f>INPUT!AN76</f>
        <v>15.407854984894254</v>
      </c>
      <c r="AD159" s="669">
        <f>INPUT!AO76</f>
        <v>36.200000000000003</v>
      </c>
      <c r="AE159" s="681">
        <f>INPUT!AP76</f>
        <v>-2.425876010781669</v>
      </c>
      <c r="AF159" s="669">
        <f>INPUT!AQ76</f>
        <v>37.700000000000003</v>
      </c>
      <c r="AG159" s="681">
        <f>INPUT!AR76</f>
        <v>-15.470852017937242</v>
      </c>
      <c r="AH159" s="669">
        <f>INPUT!AS76</f>
        <v>35.1</v>
      </c>
      <c r="AI159" s="681">
        <f>INPUT!AT76</f>
        <v>-11.809045226130642</v>
      </c>
      <c r="AJ159" s="669">
        <f>INPUT!AU76</f>
        <v>35.200000000000003</v>
      </c>
      <c r="AK159" s="681">
        <f>INPUT!AV76</f>
        <v>-7.8534031413612588</v>
      </c>
      <c r="AL159" s="669">
        <f>INPUT!AW76</f>
        <v>35.4</v>
      </c>
      <c r="AM159" s="681">
        <f>INPUT!AX76</f>
        <v>-2.209944751381232</v>
      </c>
      <c r="AN159" s="669">
        <f>INPUT!AY76</f>
        <v>35.6</v>
      </c>
      <c r="AO159" s="670">
        <f>INPUT!AZ76</f>
        <v>-5.5702917771883298</v>
      </c>
      <c r="AP159" s="669">
        <f>INPUT!BA76</f>
        <v>34.4</v>
      </c>
      <c r="AQ159" s="670">
        <f>INPUT!BB76</f>
        <v>-1.9943019943020057</v>
      </c>
      <c r="AR159" s="669">
        <f>INPUT!BC76</f>
        <v>35.1</v>
      </c>
      <c r="AS159" s="670">
        <f>INPUT!BD76</f>
        <v>-0.28409090909091717</v>
      </c>
      <c r="AT159" s="669">
        <f>INPUT!BE76</f>
        <v>32.9</v>
      </c>
      <c r="AU159" s="670">
        <f>INPUT!BF76</f>
        <v>-7.0621468926553632</v>
      </c>
      <c r="AV159" s="669">
        <f>INPUT!BG76</f>
        <v>32.5</v>
      </c>
      <c r="AW159" s="670">
        <f>INPUT!BH76</f>
        <v>-8.70786516853933</v>
      </c>
      <c r="AX159" s="669">
        <f>INPUT!BI76</f>
        <v>31.3</v>
      </c>
      <c r="AY159" s="670">
        <f>INPUT!BJ76</f>
        <v>-9.011627906976738</v>
      </c>
      <c r="AZ159" s="669">
        <f>INPUT!BK76</f>
        <v>31.9</v>
      </c>
      <c r="BA159" s="670">
        <f>INPUT!BL76</f>
        <v>-9.1168091168091223</v>
      </c>
      <c r="BB159" s="669">
        <f>INPUT!BM76</f>
        <v>30.9</v>
      </c>
      <c r="BC159" s="670">
        <f>INPUT!BN76</f>
        <v>-6.0790273556231007</v>
      </c>
      <c r="BD159" s="669">
        <f>INPUT!BO76</f>
        <v>31.9</v>
      </c>
      <c r="BE159" s="670">
        <f>INPUT!BP76</f>
        <v>-1.8461538461538529</v>
      </c>
      <c r="BF159" s="669">
        <f>INPUT!BQ76</f>
        <v>31</v>
      </c>
      <c r="BG159" s="670">
        <f>INPUT!BR76</f>
        <v>-0.95846645367412275</v>
      </c>
      <c r="BH159" s="669">
        <f>INPUT!BS76</f>
        <v>32.1</v>
      </c>
      <c r="BI159" s="670">
        <f>INPUT!BT76</f>
        <v>0.62695924764890609</v>
      </c>
      <c r="BJ159" s="669">
        <f>INPUT!BU76</f>
        <v>32</v>
      </c>
      <c r="BK159" s="670">
        <f>INPUT!BV76</f>
        <v>3.5598705501618255</v>
      </c>
      <c r="BL159" s="669">
        <f>INPUT!BW76</f>
        <v>31.4</v>
      </c>
      <c r="BM159" s="670">
        <f>INPUT!BX76</f>
        <v>-1.5673981191222541</v>
      </c>
      <c r="BN159" s="669">
        <f>INPUT!BY76</f>
        <v>31.8</v>
      </c>
      <c r="BO159" s="670">
        <f>INPUT!BZ76</f>
        <v>2.5806451612903292</v>
      </c>
      <c r="BP159" s="669">
        <f>INPUT!CA76</f>
        <v>31.5</v>
      </c>
      <c r="BQ159" s="670">
        <f>INPUT!CB76</f>
        <v>-1.8691588785046731</v>
      </c>
      <c r="BR159" s="669">
        <f>INPUT!CC76</f>
        <v>32.5</v>
      </c>
      <c r="BS159" s="670">
        <f>INPUT!CD76</f>
        <v>1.5625</v>
      </c>
      <c r="BT159" s="669">
        <f>INPUT!CE76</f>
        <v>33.799999999999997</v>
      </c>
      <c r="BU159" s="670">
        <f>INPUT!CF76</f>
        <v>7.6433121019108263</v>
      </c>
      <c r="BV159" s="669">
        <f>INPUT!CG76</f>
        <v>34.200000000000003</v>
      </c>
      <c r="BW159" s="670">
        <f>INPUT!CH76</f>
        <v>7.547169811320753</v>
      </c>
      <c r="BX159" s="669">
        <f>INPUT!CI76</f>
        <v>33.700000000000003</v>
      </c>
      <c r="BY159" s="670">
        <f>INPUT!CJ76</f>
        <v>6.9841269841270037</v>
      </c>
      <c r="BZ159" s="669">
        <f>INPUT!CK76</f>
        <v>33.700000000000003</v>
      </c>
      <c r="CA159" s="670">
        <f>INPUT!CL76</f>
        <v>3.6923076923077058</v>
      </c>
      <c r="CB159" s="669">
        <f>INPUT!CM76</f>
        <v>33.9</v>
      </c>
      <c r="CC159" s="670">
        <f>INPUT!CN76</f>
        <v>0.29585798816569309</v>
      </c>
      <c r="CD159" s="669">
        <f>INPUT!CO76</f>
        <v>34.9</v>
      </c>
      <c r="CE159" s="670">
        <f>INPUT!CP76</f>
        <v>2.0467836257309857</v>
      </c>
      <c r="CF159" s="669">
        <f>INPUT!CQ76</f>
        <v>38.200000000000003</v>
      </c>
      <c r="CG159" s="670">
        <f>INPUT!CR76</f>
        <v>13.353115727002972</v>
      </c>
      <c r="CH159" s="669">
        <f>INPUT!CS76</f>
        <v>35.9</v>
      </c>
      <c r="CI159" s="670">
        <f>INPUT!CT76</f>
        <v>6.5281899109792096</v>
      </c>
      <c r="CJ159" s="669">
        <f>INPUT!CU76</f>
        <v>37.9</v>
      </c>
      <c r="CK159" s="670">
        <f>INPUT!CV76</f>
        <v>11.799410029498535</v>
      </c>
      <c r="CL159" s="669">
        <f>INPUT!CW76</f>
        <v>34.799999999999997</v>
      </c>
      <c r="CM159" s="670">
        <f>INPUT!CX76</f>
        <v>-0.28653295128939771</v>
      </c>
      <c r="CN159" s="669">
        <f>INPUT!CY76</f>
        <v>33.9</v>
      </c>
      <c r="CO159" s="670">
        <f>INPUT!CZ76</f>
        <v>-11.256544502617816</v>
      </c>
      <c r="CP159" s="669">
        <f>INPUT!DA76</f>
        <v>35.700000000000003</v>
      </c>
      <c r="CQ159" s="670">
        <f>INPUT!DB76</f>
        <v>-0.55710306406684396</v>
      </c>
      <c r="CR159" s="669">
        <f>INPUT!DC76</f>
        <v>34.700000000000003</v>
      </c>
      <c r="CS159" s="670">
        <f>INPUT!DD76</f>
        <v>-8.4432717678100122</v>
      </c>
      <c r="CT159" s="669">
        <f>INPUT!DE76</f>
        <v>34.1</v>
      </c>
      <c r="CU159" s="670">
        <f>INPUT!DF76</f>
        <v>-2.0114942528735469</v>
      </c>
      <c r="CV159" s="669">
        <f>INPUT!DG76</f>
        <v>33.200000000000003</v>
      </c>
      <c r="CW159" s="670">
        <f>INPUT!DH76</f>
        <v>-2.0648967551622266</v>
      </c>
      <c r="CX159" s="669">
        <f>INPUT!DI76</f>
        <v>33.799999999999997</v>
      </c>
      <c r="CY159" s="670">
        <f>INPUT!DJ76</f>
        <v>-5.3221288515406311</v>
      </c>
      <c r="CZ159" s="669">
        <f>INPUT!DK76</f>
        <v>34.1</v>
      </c>
      <c r="DA159" s="670">
        <f>INPUT!DL76</f>
        <v>-1.7291066282420831</v>
      </c>
      <c r="DB159" s="669">
        <f>INPUT!DM76</f>
        <v>33.5</v>
      </c>
      <c r="DC159" s="670">
        <f>INPUT!DN76</f>
        <v>-1.7595307917888658</v>
      </c>
      <c r="DD159" s="669">
        <f>INPUT!DO76</f>
        <v>33.799999999999997</v>
      </c>
      <c r="DE159" s="670">
        <f>INPUT!DP76</f>
        <v>1.8072289156626287</v>
      </c>
      <c r="DF159" s="669">
        <f>INPUT!DQ76</f>
        <v>34.700000000000003</v>
      </c>
      <c r="DG159" s="670">
        <f>INPUT!DR76</f>
        <v>2.662721893491149</v>
      </c>
      <c r="DH159" s="669">
        <f>INPUT!DS76</f>
        <v>33.1</v>
      </c>
      <c r="DI159" s="670">
        <f>INPUT!DT76</f>
        <v>-2.9325513196480912</v>
      </c>
      <c r="DJ159" s="669">
        <f>INPUT!DU76</f>
        <v>28.5</v>
      </c>
      <c r="DK159" s="670">
        <f>INPUT!DV76</f>
        <v>-14.925373134328357</v>
      </c>
      <c r="DL159" s="669">
        <f>INPUT!DW76</f>
        <v>28.9</v>
      </c>
      <c r="DM159" s="670">
        <f>INPUT!DX76</f>
        <v>-14.49704142011834</v>
      </c>
      <c r="DN159" s="669">
        <f>INPUT!DY76</f>
        <v>28.1</v>
      </c>
      <c r="DO159" s="670">
        <f>INPUT!DZ76</f>
        <v>-19.020172910662826</v>
      </c>
      <c r="DP159" s="669">
        <f>INPUT!EA76</f>
        <v>27.9</v>
      </c>
      <c r="DQ159" s="670">
        <f>INPUT!EB76</f>
        <v>-15.70996978851964</v>
      </c>
      <c r="DR159" s="669">
        <f>INPUT!EC76</f>
        <v>27.6</v>
      </c>
      <c r="DS159" s="670">
        <f>INPUT!ED76</f>
        <v>-3.157894736842104</v>
      </c>
      <c r="DT159" s="669">
        <f>INPUT!EE76</f>
        <v>27.8</v>
      </c>
      <c r="DU159" s="670">
        <f>INPUT!EF76</f>
        <v>-3.8062283737024138</v>
      </c>
      <c r="DV159" s="669">
        <f>INPUT!EG76</f>
        <v>27.3</v>
      </c>
      <c r="DW159" s="670">
        <f>INPUT!EH76</f>
        <v>-2.8469750889679735</v>
      </c>
      <c r="DX159" s="669">
        <f>INPUT!EI76</f>
        <v>27.2</v>
      </c>
      <c r="DY159" s="670">
        <f>INPUT!EJ76</f>
        <v>-2.508960573476704</v>
      </c>
      <c r="DZ159" s="669">
        <f>INPUT!EK76</f>
        <v>27.471999999999998</v>
      </c>
      <c r="EA159" s="670">
        <f>INPUT!EL76</f>
        <v>-0.46376811594204259</v>
      </c>
      <c r="EB159" s="669">
        <f>INPUT!EM76</f>
        <v>27.746719999999996</v>
      </c>
      <c r="EC159" s="670">
        <f>INPUT!EN76</f>
        <v>-0.19165467625901211</v>
      </c>
      <c r="ED159" s="669">
        <f>INPUT!EO76</f>
        <v>28.301654399999997</v>
      </c>
      <c r="EE159" s="670">
        <f>INPUT!EP76</f>
        <v>3.6690637362637224</v>
      </c>
      <c r="EF159" s="669">
        <f>INPUT!EQ76</f>
        <v>28.867687487999998</v>
      </c>
      <c r="EG159" s="670">
        <f>INPUT!ER76</f>
        <v>6.1312040000000012</v>
      </c>
      <c r="EH159" s="670"/>
      <c r="EI159" s="669">
        <f>INPUT!FB76</f>
        <v>0</v>
      </c>
      <c r="EJ159" s="681">
        <f>INPUT!FC76</f>
        <v>0</v>
      </c>
      <c r="EK159" s="669">
        <f>INPUT!FD76</f>
        <v>152.4</v>
      </c>
      <c r="EL159" s="681" t="str">
        <f>INPUT!FE76</f>
        <v>NA</v>
      </c>
      <c r="EM159" s="669">
        <f>INPUT!FF76</f>
        <v>145</v>
      </c>
      <c r="EN159" s="681">
        <f>INPUT!FG76</f>
        <v>-4.8556430446194287</v>
      </c>
      <c r="EO159" s="669">
        <f>INPUT!FH76</f>
        <v>147.9</v>
      </c>
      <c r="EP159" s="681">
        <f>INPUT!FI76</f>
        <v>2.0000000000000018</v>
      </c>
      <c r="EQ159" s="669">
        <f>INPUT!FJ76</f>
        <v>151.9</v>
      </c>
      <c r="ER159" s="670">
        <f>INPUT!FK76</f>
        <v>2.7045300878972167</v>
      </c>
      <c r="ES159" s="669">
        <f>INPUT!FL76</f>
        <v>141.30000000000001</v>
      </c>
      <c r="ET159" s="670">
        <f>INPUT!FM76</f>
        <v>-6.97827518104015</v>
      </c>
      <c r="EU159" s="669">
        <f>INPUT!FN76</f>
        <v>134.9</v>
      </c>
      <c r="EV159" s="670">
        <f>INPUT!FO76</f>
        <v>-4.5293701344656823</v>
      </c>
      <c r="EW159" s="669">
        <f>INPUT!FP76</f>
        <v>126</v>
      </c>
      <c r="EX159" s="670">
        <f>INPUT!FQ76</f>
        <v>-6.5974796145292895</v>
      </c>
      <c r="EY159" s="669">
        <f>INPUT!FR76</f>
        <v>126.5</v>
      </c>
      <c r="EZ159" s="670">
        <f>INPUT!FS76</f>
        <v>0.39682539682539542</v>
      </c>
      <c r="FA159" s="669">
        <f>INPUT!FT76</f>
        <v>129.6</v>
      </c>
      <c r="FB159" s="670">
        <f>INPUT!FU76</f>
        <v>2.4505928853754799</v>
      </c>
      <c r="FC159" s="669">
        <f>INPUT!FV76</f>
        <v>135.5</v>
      </c>
      <c r="FD159" s="670">
        <f>INPUT!FW76</f>
        <v>4.5524691358024727</v>
      </c>
      <c r="FE159" s="669">
        <f>INPUT!FX76</f>
        <v>145.4</v>
      </c>
      <c r="FF159" s="670">
        <f>INPUT!FY76</f>
        <v>7.3062730627306394</v>
      </c>
      <c r="FG159" s="669">
        <f>INPUT!FZ76</f>
        <v>139.1</v>
      </c>
      <c r="FH159" s="670">
        <f>INPUT!GA76</f>
        <v>-4.3328748280605289</v>
      </c>
      <c r="FI159" s="669">
        <f>INPUT!GB76</f>
        <v>135.20000000000002</v>
      </c>
      <c r="FJ159" s="670">
        <f>INPUT!GC76</f>
        <v>-2.8037383177569986</v>
      </c>
      <c r="FK159" s="669">
        <f>INPUT!GD76</f>
        <v>135.1</v>
      </c>
      <c r="FL159" s="670">
        <f>INPUT!GE76</f>
        <v>-7.3964497041434374E-2</v>
      </c>
      <c r="FM159" s="669">
        <f>INPUT!GF76</f>
        <v>113.4</v>
      </c>
      <c r="FN159" s="670">
        <f>INPUT!GG76</f>
        <v>-16.062176165803098</v>
      </c>
      <c r="FO159" s="669">
        <f>INPUT!GH76</f>
        <v>109.9</v>
      </c>
      <c r="FP159" s="670">
        <f>INPUT!GI76</f>
        <v>-3.0864197530864224</v>
      </c>
      <c r="FQ159" s="669">
        <f>INPUT!GJ76</f>
        <v>112.38806188799998</v>
      </c>
      <c r="FR159" s="670">
        <f>INPUT!GK76</f>
        <v>2.263932564149207</v>
      </c>
      <c r="FS159" s="669">
        <f>INPUT!GL76</f>
        <v>116.88358436351999</v>
      </c>
      <c r="FT159" s="670">
        <f>INPUT!GM76</f>
        <v>4.0000000000000036</v>
      </c>
      <c r="FU159" s="669">
        <f>INPUT!GN76</f>
        <v>121.55892773806079</v>
      </c>
      <c r="FV159" s="670">
        <f>INPUT!GO76</f>
        <v>4.0000000000000036</v>
      </c>
      <c r="FW159" s="669">
        <f>INPUT!GP76</f>
        <v>126.42128484758322</v>
      </c>
      <c r="FX159" s="670">
        <f>INPUT!GQ76</f>
        <v>4.0000000000000036</v>
      </c>
      <c r="FY159" s="669">
        <f>INPUT!GR76</f>
        <v>131.47813624148657</v>
      </c>
      <c r="FZ159" s="670">
        <f>INPUT!GS76</f>
        <v>4.0000000000000036</v>
      </c>
      <c r="GA159" s="681">
        <f>INPUT!GT76</f>
        <v>3.6504446095568133</v>
      </c>
    </row>
    <row r="160" spans="1:183" s="707" customFormat="1" ht="12.75" hidden="1" customHeight="1" outlineLevel="1" x14ac:dyDescent="0.2">
      <c r="A160" s="679" t="str">
        <f>INPUT!B77</f>
        <v>Other Income</v>
      </c>
      <c r="B160" s="669"/>
      <c r="C160" s="671"/>
      <c r="D160" s="669"/>
      <c r="E160" s="681"/>
      <c r="F160" s="669"/>
      <c r="G160" s="681"/>
      <c r="H160" s="669"/>
      <c r="I160" s="681"/>
      <c r="J160" s="669"/>
      <c r="K160" s="681"/>
      <c r="L160" s="669"/>
      <c r="M160" s="681"/>
      <c r="N160" s="669"/>
      <c r="O160" s="681"/>
      <c r="P160" s="669"/>
      <c r="Q160" s="681"/>
      <c r="R160" s="669">
        <f>INPUT!AC77</f>
        <v>-0.2</v>
      </c>
      <c r="S160" s="681" t="str">
        <f>INPUT!AD77</f>
        <v>NA</v>
      </c>
      <c r="T160" s="669">
        <f>INPUT!AE77</f>
        <v>0</v>
      </c>
      <c r="U160" s="681" t="str">
        <f>INPUT!AF77</f>
        <v>NA</v>
      </c>
      <c r="V160" s="669">
        <f>INPUT!AG77</f>
        <v>-0.2</v>
      </c>
      <c r="W160" s="681" t="str">
        <f>INPUT!AH77</f>
        <v>NA</v>
      </c>
      <c r="X160" s="669">
        <f>INPUT!AI77</f>
        <v>-0.19999999999999996</v>
      </c>
      <c r="Y160" s="681" t="str">
        <f>INPUT!AJ77</f>
        <v>NA</v>
      </c>
      <c r="Z160" s="669">
        <f>INPUT!AK77</f>
        <v>0</v>
      </c>
      <c r="AA160" s="681" t="str">
        <f>INPUT!AL77</f>
        <v>NM</v>
      </c>
      <c r="AB160" s="669">
        <f>INPUT!AM77</f>
        <v>0.3</v>
      </c>
      <c r="AC160" s="681" t="str">
        <f>INPUT!AN77</f>
        <v>NA</v>
      </c>
      <c r="AD160" s="669">
        <f>INPUT!AO77</f>
        <v>1.4</v>
      </c>
      <c r="AE160" s="681" t="str">
        <f>INPUT!AP77</f>
        <v>NM</v>
      </c>
      <c r="AF160" s="669">
        <f>INPUT!AQ77</f>
        <v>0.3</v>
      </c>
      <c r="AG160" s="681" t="str">
        <f>INPUT!AR77</f>
        <v>NM</v>
      </c>
      <c r="AH160" s="669">
        <f>INPUT!AS77</f>
        <v>0</v>
      </c>
      <c r="AI160" s="681" t="str">
        <f>INPUT!AT77</f>
        <v>NA</v>
      </c>
      <c r="AJ160" s="669">
        <f>INPUT!AU77</f>
        <v>-0.1</v>
      </c>
      <c r="AK160" s="681" t="str">
        <f>INPUT!AV77</f>
        <v>NM</v>
      </c>
      <c r="AL160" s="669">
        <f>INPUT!AW77</f>
        <v>0.1</v>
      </c>
      <c r="AM160" s="681" t="str">
        <f>INPUT!AX77</f>
        <v>NM</v>
      </c>
      <c r="AN160" s="669">
        <f>INPUT!AY77</f>
        <v>0</v>
      </c>
      <c r="AO160" s="670" t="str">
        <f>INPUT!AZ77</f>
        <v>NM</v>
      </c>
      <c r="AP160" s="669">
        <f>INPUT!BA77</f>
        <v>0.6</v>
      </c>
      <c r="AQ160" s="670" t="str">
        <f>INPUT!BB77</f>
        <v>NA</v>
      </c>
      <c r="AR160" s="669">
        <f>INPUT!BC77</f>
        <v>0.6</v>
      </c>
      <c r="AS160" s="670" t="str">
        <f>INPUT!BD77</f>
        <v>NM</v>
      </c>
      <c r="AT160" s="669">
        <f>INPUT!BE77</f>
        <v>0.7</v>
      </c>
      <c r="AU160" s="670" t="str">
        <f>INPUT!BF77</f>
        <v>NM</v>
      </c>
      <c r="AV160" s="669">
        <f>INPUT!BG77</f>
        <v>0.5</v>
      </c>
      <c r="AW160" s="670" t="str">
        <f>INPUT!BH77</f>
        <v>NA</v>
      </c>
      <c r="AX160" s="669">
        <f>INPUT!BI77</f>
        <v>0.5</v>
      </c>
      <c r="AY160" s="670">
        <f>INPUT!BJ77</f>
        <v>-16.666666666666664</v>
      </c>
      <c r="AZ160" s="669">
        <f>INPUT!BK77</f>
        <v>0.7</v>
      </c>
      <c r="BA160" s="670">
        <f>INPUT!BL77</f>
        <v>16.666666666666675</v>
      </c>
      <c r="BB160" s="669">
        <f>INPUT!BM77</f>
        <v>0.5</v>
      </c>
      <c r="BC160" s="670">
        <f>INPUT!BN77</f>
        <v>-28.571428571428569</v>
      </c>
      <c r="BD160" s="669">
        <f>INPUT!BO77</f>
        <v>0.6</v>
      </c>
      <c r="BE160" s="670">
        <f>INPUT!BP77</f>
        <v>19.999999999999996</v>
      </c>
      <c r="BF160" s="669">
        <f>INPUT!BQ77</f>
        <v>0.5</v>
      </c>
      <c r="BG160" s="670">
        <f>INPUT!BR77</f>
        <v>0</v>
      </c>
      <c r="BH160" s="669">
        <f>INPUT!BS77</f>
        <v>0.6</v>
      </c>
      <c r="BI160" s="670">
        <f>INPUT!BT77</f>
        <v>-14.285714285714279</v>
      </c>
      <c r="BJ160" s="669">
        <f>INPUT!BU77</f>
        <v>0.5</v>
      </c>
      <c r="BK160" s="670">
        <f>INPUT!BV77</f>
        <v>0</v>
      </c>
      <c r="BL160" s="669">
        <f>INPUT!BW77</f>
        <v>0.3</v>
      </c>
      <c r="BM160" s="670">
        <f>INPUT!BX77</f>
        <v>-50</v>
      </c>
      <c r="BN160" s="669">
        <f>INPUT!BY77</f>
        <v>0.6</v>
      </c>
      <c r="BO160" s="670">
        <f>INPUT!BZ77</f>
        <v>19.999999999999996</v>
      </c>
      <c r="BP160" s="669">
        <f>INPUT!CA77</f>
        <v>0.6</v>
      </c>
      <c r="BQ160" s="670">
        <f>INPUT!CB77</f>
        <v>0</v>
      </c>
      <c r="BR160" s="669">
        <f>INPUT!CC77</f>
        <v>0.6</v>
      </c>
      <c r="BS160" s="670">
        <f>INPUT!CD77</f>
        <v>19.999999999999996</v>
      </c>
      <c r="BT160" s="669">
        <f>INPUT!CE77</f>
        <v>0.6</v>
      </c>
      <c r="BU160" s="670">
        <f>INPUT!CF77</f>
        <v>100</v>
      </c>
      <c r="BV160" s="669">
        <f>INPUT!CG77</f>
        <v>0.5</v>
      </c>
      <c r="BW160" s="670">
        <f>INPUT!CH77</f>
        <v>-16.666666666666664</v>
      </c>
      <c r="BX160" s="669">
        <f>INPUT!CI77</f>
        <v>0.7</v>
      </c>
      <c r="BY160" s="670">
        <f>INPUT!CJ77</f>
        <v>16.666666666666675</v>
      </c>
      <c r="BZ160" s="669">
        <f>INPUT!CK77</f>
        <v>0.5</v>
      </c>
      <c r="CA160" s="670">
        <f>INPUT!CL77</f>
        <v>-16.666666666666664</v>
      </c>
      <c r="CB160" s="669">
        <f>INPUT!CM77</f>
        <v>0.5</v>
      </c>
      <c r="CC160" s="670">
        <f>INPUT!CN77</f>
        <v>-16.666666666666664</v>
      </c>
      <c r="CD160" s="669">
        <f>INPUT!CO77</f>
        <v>0.5</v>
      </c>
      <c r="CE160" s="670">
        <f>INPUT!CP77</f>
        <v>0</v>
      </c>
      <c r="CF160" s="669">
        <f>INPUT!CQ77</f>
        <v>0.4</v>
      </c>
      <c r="CG160" s="670">
        <f>INPUT!CR77</f>
        <v>-42.857142857142847</v>
      </c>
      <c r="CH160" s="669">
        <f>INPUT!CS77</f>
        <v>0.6</v>
      </c>
      <c r="CI160" s="670">
        <f>INPUT!CT77</f>
        <v>19.999999999999996</v>
      </c>
      <c r="CJ160" s="669">
        <f>INPUT!CU77</f>
        <v>0.4</v>
      </c>
      <c r="CK160" s="670">
        <f>INPUT!CV77</f>
        <v>-19.999999999999996</v>
      </c>
      <c r="CL160" s="669">
        <f>INPUT!CW77</f>
        <v>0.5</v>
      </c>
      <c r="CM160" s="670">
        <f>INPUT!CX77</f>
        <v>0</v>
      </c>
      <c r="CN160" s="669">
        <f>INPUT!CY77</f>
        <v>0.4</v>
      </c>
      <c r="CO160" s="670">
        <f>INPUT!CZ77</f>
        <v>0</v>
      </c>
      <c r="CP160" s="669">
        <f>INPUT!DA77</f>
        <v>0.6</v>
      </c>
      <c r="CQ160" s="670">
        <f>INPUT!DB77</f>
        <v>0</v>
      </c>
      <c r="CR160" s="669">
        <f>INPUT!DC77</f>
        <v>0.3</v>
      </c>
      <c r="CS160" s="670">
        <f>INPUT!DD77</f>
        <v>-25.000000000000011</v>
      </c>
      <c r="CT160" s="669">
        <f>INPUT!DE77</f>
        <v>0.4</v>
      </c>
      <c r="CU160" s="670">
        <f>INPUT!DF77</f>
        <v>-19.999999999999996</v>
      </c>
      <c r="CV160" s="669">
        <f>INPUT!DG77</f>
        <v>0.4</v>
      </c>
      <c r="CW160" s="670">
        <f>INPUT!DH77</f>
        <v>0</v>
      </c>
      <c r="CX160" s="669">
        <f>INPUT!DI77</f>
        <v>0.4</v>
      </c>
      <c r="CY160" s="670">
        <f>INPUT!DJ77</f>
        <v>-33.333333333333329</v>
      </c>
      <c r="CZ160" s="669">
        <f>INPUT!DK77</f>
        <v>0.2</v>
      </c>
      <c r="DA160" s="670">
        <f>INPUT!DL77</f>
        <v>-33.333333333333329</v>
      </c>
      <c r="DB160" s="669">
        <f>INPUT!DM77</f>
        <v>0.3</v>
      </c>
      <c r="DC160" s="670">
        <f>INPUT!DN77</f>
        <v>-25.000000000000011</v>
      </c>
      <c r="DD160" s="669">
        <f>INPUT!DO77</f>
        <v>0.7</v>
      </c>
      <c r="DE160" s="670">
        <f>INPUT!DP77</f>
        <v>74.999999999999972</v>
      </c>
      <c r="DF160" s="669">
        <f>INPUT!DQ77</f>
        <v>0.5</v>
      </c>
      <c r="DG160" s="670">
        <f>INPUT!DR77</f>
        <v>25</v>
      </c>
      <c r="DH160" s="669">
        <f>INPUT!DS77</f>
        <v>0.6</v>
      </c>
      <c r="DI160" s="670" t="str">
        <f>INPUT!DT77</f>
        <v>NM</v>
      </c>
      <c r="DJ160" s="669">
        <f>INPUT!DU77</f>
        <v>1</v>
      </c>
      <c r="DK160" s="670" t="str">
        <f>INPUT!DV77</f>
        <v>NM</v>
      </c>
      <c r="DL160" s="669">
        <f>INPUT!DW77</f>
        <v>1.2</v>
      </c>
      <c r="DM160" s="670">
        <f>INPUT!DX77</f>
        <v>71.428571428571445</v>
      </c>
      <c r="DN160" s="669">
        <f>INPUT!DY77</f>
        <v>1.1000000000000001</v>
      </c>
      <c r="DO160" s="670" t="str">
        <f>INPUT!DZ77</f>
        <v>NM</v>
      </c>
      <c r="DP160" s="669">
        <f>INPUT!EA77</f>
        <v>1.2</v>
      </c>
      <c r="DQ160" s="670">
        <f>INPUT!EB77</f>
        <v>100</v>
      </c>
      <c r="DR160" s="669">
        <f>INPUT!EC77</f>
        <v>1</v>
      </c>
      <c r="DS160" s="670">
        <f>INPUT!ED77</f>
        <v>0</v>
      </c>
      <c r="DT160" s="669">
        <f>INPUT!EE77</f>
        <v>1.2</v>
      </c>
      <c r="DU160" s="670">
        <f>INPUT!EF77</f>
        <v>0</v>
      </c>
      <c r="DV160" s="669">
        <f>INPUT!EG77</f>
        <v>1.4</v>
      </c>
      <c r="DW160" s="670">
        <f>INPUT!EH77</f>
        <v>27.272727272727249</v>
      </c>
      <c r="DX160" s="669">
        <f>INPUT!EI77</f>
        <v>1.2</v>
      </c>
      <c r="DY160" s="670">
        <f>INPUT!EJ77</f>
        <v>0</v>
      </c>
      <c r="DZ160" s="669">
        <f>INPUT!EK77</f>
        <v>1.0249999999999999</v>
      </c>
      <c r="EA160" s="670">
        <f>INPUT!EL77</f>
        <v>2.4999999999999911</v>
      </c>
      <c r="EB160" s="669">
        <f>INPUT!EM77</f>
        <v>1.2299999999999998</v>
      </c>
      <c r="EC160" s="670">
        <f>INPUT!EN77</f>
        <v>2.4999999999999911</v>
      </c>
      <c r="ED160" s="669">
        <f>INPUT!EO77</f>
        <v>1.4349999999999998</v>
      </c>
      <c r="EE160" s="670">
        <f>INPUT!EP77</f>
        <v>2.4999999999999911</v>
      </c>
      <c r="EF160" s="669">
        <f>INPUT!EQ77</f>
        <v>1.2299999999999998</v>
      </c>
      <c r="EG160" s="670">
        <f>INPUT!ER77</f>
        <v>2.4999999999999911</v>
      </c>
      <c r="EH160" s="670"/>
      <c r="EI160" s="669">
        <f>INPUT!FB77</f>
        <v>0</v>
      </c>
      <c r="EJ160" s="681">
        <f>INPUT!FC77</f>
        <v>0</v>
      </c>
      <c r="EK160" s="669">
        <f>INPUT!FD77</f>
        <v>2.6</v>
      </c>
      <c r="EL160" s="681" t="str">
        <f>INPUT!FE77</f>
        <v>NA</v>
      </c>
      <c r="EM160" s="669">
        <f>INPUT!FF77</f>
        <v>0.5</v>
      </c>
      <c r="EN160" s="681" t="str">
        <f>INPUT!FG77</f>
        <v>NM</v>
      </c>
      <c r="EO160" s="669">
        <f>INPUT!FH77</f>
        <v>-0.6</v>
      </c>
      <c r="EP160" s="681" t="str">
        <f>INPUT!FI77</f>
        <v>NM</v>
      </c>
      <c r="EQ160" s="669">
        <f>INPUT!FJ77</f>
        <v>2</v>
      </c>
      <c r="ER160" s="670" t="str">
        <f>INPUT!FK77</f>
        <v>NM</v>
      </c>
      <c r="ES160" s="669">
        <f>INPUT!FL77</f>
        <v>0</v>
      </c>
      <c r="ET160" s="670" t="str">
        <f>INPUT!FM77</f>
        <v>NM</v>
      </c>
      <c r="EU160" s="669">
        <f>INPUT!FN77</f>
        <v>2.4</v>
      </c>
      <c r="EV160" s="670" t="str">
        <f>INPUT!FO77</f>
        <v>NA</v>
      </c>
      <c r="EW160" s="669">
        <f>INPUT!FP77</f>
        <v>2.2999999999999998</v>
      </c>
      <c r="EX160" s="670">
        <f>INPUT!FQ77</f>
        <v>-4.1666666666666741</v>
      </c>
      <c r="EY160" s="669">
        <f>INPUT!FR77</f>
        <v>1.9000000000000001</v>
      </c>
      <c r="EZ160" s="670">
        <f>INPUT!FS77</f>
        <v>-17.391304347826075</v>
      </c>
      <c r="FA160" s="669">
        <f>INPUT!FT77</f>
        <v>2.4</v>
      </c>
      <c r="FB160" s="670">
        <f>INPUT!FU77</f>
        <v>26.315789473684205</v>
      </c>
      <c r="FC160" s="669">
        <f>INPUT!FV77</f>
        <v>2.2000000000000002</v>
      </c>
      <c r="FD160" s="670">
        <f>INPUT!FW77</f>
        <v>-8.333333333333325</v>
      </c>
      <c r="FE160" s="669">
        <f>INPUT!FX77</f>
        <v>1.9</v>
      </c>
      <c r="FF160" s="670">
        <f>INPUT!FY77</f>
        <v>-13.636363636363647</v>
      </c>
      <c r="FG160" s="669">
        <f>INPUT!FZ77</f>
        <v>1.8</v>
      </c>
      <c r="FH160" s="670">
        <f>INPUT!GA77</f>
        <v>-5.2631578947368363</v>
      </c>
      <c r="FI160" s="669">
        <f>INPUT!GB77</f>
        <v>1.4000000000000001</v>
      </c>
      <c r="FJ160" s="670">
        <f>INPUT!GC77</f>
        <v>-22.222222222222221</v>
      </c>
      <c r="FK160" s="669">
        <f>INPUT!GD77</f>
        <v>2.1</v>
      </c>
      <c r="FL160" s="670">
        <f>INPUT!GE77</f>
        <v>50</v>
      </c>
      <c r="FM160" s="669">
        <f>INPUT!GF77</f>
        <v>4.5</v>
      </c>
      <c r="FN160" s="670" t="str">
        <f>INPUT!GG77</f>
        <v>NM</v>
      </c>
      <c r="FO160" s="669">
        <f>INPUT!GH77</f>
        <v>4.8</v>
      </c>
      <c r="FP160" s="670">
        <f>INPUT!GI77</f>
        <v>6.6666666666666652</v>
      </c>
      <c r="FQ160" s="669">
        <f>INPUT!GJ77</f>
        <v>4.919999999999999</v>
      </c>
      <c r="FR160" s="670">
        <f>INPUT!GK77</f>
        <v>2.4999999999999911</v>
      </c>
      <c r="FS160" s="669">
        <f>INPUT!GL77</f>
        <v>5.1167999999999996</v>
      </c>
      <c r="FT160" s="670">
        <f>INPUT!GM77</f>
        <v>4.0000000000000036</v>
      </c>
      <c r="FU160" s="669">
        <f>INPUT!GN77</f>
        <v>5.321472</v>
      </c>
      <c r="FV160" s="670">
        <f>INPUT!GO77</f>
        <v>4.0000000000000036</v>
      </c>
      <c r="FW160" s="669">
        <f>INPUT!GP77</f>
        <v>5.5343308799999997</v>
      </c>
      <c r="FX160" s="670">
        <f>INPUT!GQ77</f>
        <v>4.0000000000000036</v>
      </c>
      <c r="FY160" s="669">
        <f>INPUT!GR77</f>
        <v>5.7557041152000004</v>
      </c>
      <c r="FZ160" s="670">
        <f>INPUT!GS77</f>
        <v>4.0000000000000036</v>
      </c>
      <c r="GA160" s="681">
        <f>INPUT!GT77</f>
        <v>3.6982541000633473</v>
      </c>
    </row>
    <row r="161" spans="1:183" s="707" customFormat="1" ht="12.75" hidden="1" customHeight="1" outlineLevel="1" x14ac:dyDescent="0.2">
      <c r="A161" s="679" t="str">
        <f>INPUT!B78</f>
        <v xml:space="preserve"> Total Revenues</v>
      </c>
      <c r="B161" s="669"/>
      <c r="C161" s="671"/>
      <c r="D161" s="669"/>
      <c r="E161" s="681"/>
      <c r="F161" s="669"/>
      <c r="G161" s="681"/>
      <c r="H161" s="669"/>
      <c r="I161" s="681"/>
      <c r="J161" s="669"/>
      <c r="K161" s="681"/>
      <c r="L161" s="669"/>
      <c r="M161" s="681"/>
      <c r="N161" s="669"/>
      <c r="O161" s="681"/>
      <c r="P161" s="669"/>
      <c r="Q161" s="681"/>
      <c r="R161" s="669">
        <f>INPUT!AC78</f>
        <v>446.60000000000008</v>
      </c>
      <c r="S161" s="681" t="str">
        <f>INPUT!AD78</f>
        <v>NA</v>
      </c>
      <c r="T161" s="669">
        <f>INPUT!AE78</f>
        <v>445.1</v>
      </c>
      <c r="U161" s="681" t="str">
        <f>INPUT!AF78</f>
        <v>NA</v>
      </c>
      <c r="V161" s="669">
        <f>INPUT!AG78</f>
        <v>435.20000000000005</v>
      </c>
      <c r="W161" s="681" t="str">
        <f>INPUT!AH78</f>
        <v>NA</v>
      </c>
      <c r="X161" s="669">
        <f>INPUT!AI78</f>
        <v>443.80000000000013</v>
      </c>
      <c r="Y161" s="681" t="str">
        <f>INPUT!AJ78</f>
        <v>NA</v>
      </c>
      <c r="Z161" s="669">
        <f>INPUT!AK78</f>
        <v>409.50000000000006</v>
      </c>
      <c r="AA161" s="681">
        <f>INPUT!AL78</f>
        <v>-8.3072100313479673</v>
      </c>
      <c r="AB161" s="669">
        <f>INPUT!AM78</f>
        <v>410</v>
      </c>
      <c r="AC161" s="681">
        <f>INPUT!AN78</f>
        <v>-7.8858683441923265</v>
      </c>
      <c r="AD161" s="669">
        <f>INPUT!AO78</f>
        <v>393.49999999999994</v>
      </c>
      <c r="AE161" s="681">
        <f>INPUT!AP78</f>
        <v>-9.5818014705882586</v>
      </c>
      <c r="AF161" s="669">
        <f>INPUT!AQ78</f>
        <v>404.1</v>
      </c>
      <c r="AG161" s="681">
        <f>INPUT!AR78</f>
        <v>-8.9454709328526612</v>
      </c>
      <c r="AH161" s="669">
        <f>INPUT!AS78</f>
        <v>393.90000000000003</v>
      </c>
      <c r="AI161" s="681">
        <f>INPUT!AT78</f>
        <v>-3.8095238095238182</v>
      </c>
      <c r="AJ161" s="669">
        <f>INPUT!AU78</f>
        <v>396.59999999999997</v>
      </c>
      <c r="AK161" s="681">
        <f>INPUT!AV78</f>
        <v>-3.2682926829268322</v>
      </c>
      <c r="AL161" s="669">
        <f>INPUT!AW78</f>
        <v>366.1</v>
      </c>
      <c r="AM161" s="681">
        <f>INPUT!AX78</f>
        <v>-6.9631512071156143</v>
      </c>
      <c r="AN161" s="669">
        <f>INPUT!AY78</f>
        <v>384.40000000000003</v>
      </c>
      <c r="AO161" s="670">
        <f>INPUT!AZ78</f>
        <v>-4.8750309329373849</v>
      </c>
      <c r="AP161" s="669">
        <f>INPUT!BA78</f>
        <v>348.2</v>
      </c>
      <c r="AQ161" s="670">
        <f>INPUT!BB78</f>
        <v>-11.60192942371161</v>
      </c>
      <c r="AR161" s="669">
        <f>INPUT!BC78</f>
        <v>344.90000000000003</v>
      </c>
      <c r="AS161" s="670">
        <f>INPUT!BD78</f>
        <v>-13.035804336863322</v>
      </c>
      <c r="AT161" s="669">
        <f>INPUT!BE78</f>
        <v>343.2</v>
      </c>
      <c r="AU161" s="670">
        <f>INPUT!BF78</f>
        <v>-6.2551215514886742</v>
      </c>
      <c r="AV161" s="669">
        <f>INPUT!BG78</f>
        <v>339.4</v>
      </c>
      <c r="AW161" s="670">
        <f>INPUT!BH78</f>
        <v>-11.706555671175867</v>
      </c>
      <c r="AX161" s="669">
        <f>INPUT!BI78</f>
        <v>324.2</v>
      </c>
      <c r="AY161" s="670">
        <f>INPUT!BJ78</f>
        <v>-6.8925904652498593</v>
      </c>
      <c r="AZ161" s="669">
        <f>INPUT!BK78</f>
        <v>333.2</v>
      </c>
      <c r="BA161" s="670">
        <f>INPUT!BL78</f>
        <v>-3.3922876195998986</v>
      </c>
      <c r="BB161" s="669">
        <f>INPUT!BM78</f>
        <v>331.7</v>
      </c>
      <c r="BC161" s="670">
        <f>INPUT!BN78</f>
        <v>-3.350815850815847</v>
      </c>
      <c r="BD161" s="669">
        <f>INPUT!BO78</f>
        <v>329.6</v>
      </c>
      <c r="BE161" s="670">
        <f>INPUT!BP78</f>
        <v>-2.8874484384207255</v>
      </c>
      <c r="BF161" s="669">
        <f>INPUT!BQ78</f>
        <v>319.5</v>
      </c>
      <c r="BG161" s="670">
        <f>INPUT!BR78</f>
        <v>-1.4497223935842074</v>
      </c>
      <c r="BH161" s="669">
        <f>INPUT!BS78</f>
        <v>324.50000000000006</v>
      </c>
      <c r="BI161" s="670">
        <f>INPUT!BT78</f>
        <v>-2.6110444177670833</v>
      </c>
      <c r="BJ161" s="669">
        <f>INPUT!BU78</f>
        <v>325.89999999999998</v>
      </c>
      <c r="BK161" s="670">
        <f>INPUT!BV78</f>
        <v>-1.7485679831172773</v>
      </c>
      <c r="BL161" s="669">
        <f>INPUT!BW78</f>
        <v>321.09999999999997</v>
      </c>
      <c r="BM161" s="670">
        <f>INPUT!BX78</f>
        <v>-2.5788834951456452</v>
      </c>
      <c r="BN161" s="669">
        <f>INPUT!BY78</f>
        <v>328.50000000000006</v>
      </c>
      <c r="BO161" s="670">
        <f>INPUT!BZ78</f>
        <v>2.8169014084507227</v>
      </c>
      <c r="BP161" s="669">
        <f>INPUT!CA78</f>
        <v>329.8</v>
      </c>
      <c r="BQ161" s="670">
        <f>INPUT!CB78</f>
        <v>1.6332819722649994</v>
      </c>
      <c r="BR161" s="669">
        <f>INPUT!CC78</f>
        <v>333.1</v>
      </c>
      <c r="BS161" s="670">
        <f>INPUT!CD78</f>
        <v>2.2092666462105059</v>
      </c>
      <c r="BT161" s="669">
        <f>INPUT!CE78</f>
        <v>337.00000000000006</v>
      </c>
      <c r="BU161" s="670">
        <f>INPUT!CF78</f>
        <v>4.9517284335098388</v>
      </c>
      <c r="BV161" s="669">
        <f>INPUT!CG78</f>
        <v>335.2</v>
      </c>
      <c r="BW161" s="670">
        <f>INPUT!CH78</f>
        <v>2.0395738203957237</v>
      </c>
      <c r="BX161" s="669">
        <f>INPUT!CI78</f>
        <v>335.5</v>
      </c>
      <c r="BY161" s="670">
        <f>INPUT!CJ78</f>
        <v>1.7283201940569981</v>
      </c>
      <c r="BZ161" s="669">
        <f>INPUT!CK78</f>
        <v>339.5</v>
      </c>
      <c r="CA161" s="670">
        <f>INPUT!CL78</f>
        <v>1.9213449414590134</v>
      </c>
      <c r="CB161" s="669">
        <f>INPUT!CM78</f>
        <v>343.4</v>
      </c>
      <c r="CC161" s="670">
        <f>INPUT!CN78</f>
        <v>1.8991097922848477</v>
      </c>
      <c r="CD161" s="669">
        <f>INPUT!CO78</f>
        <v>357.29999999999995</v>
      </c>
      <c r="CE161" s="670">
        <f>INPUT!CP78</f>
        <v>6.5930787589498774</v>
      </c>
      <c r="CF161" s="669">
        <f>INPUT!CQ78</f>
        <v>361.49999999999994</v>
      </c>
      <c r="CG161" s="670">
        <f>INPUT!CR78</f>
        <v>7.7496274217585537</v>
      </c>
      <c r="CH161" s="669">
        <f>INPUT!CS78</f>
        <v>363</v>
      </c>
      <c r="CI161" s="670">
        <f>INPUT!CT78</f>
        <v>6.9219440353460948</v>
      </c>
      <c r="CJ161" s="669">
        <f>INPUT!CU78</f>
        <v>364.4</v>
      </c>
      <c r="CK161" s="670">
        <f>INPUT!CV78</f>
        <v>6.1153174140943456</v>
      </c>
      <c r="CL161" s="669">
        <f>INPUT!CW78</f>
        <v>368.40000000000003</v>
      </c>
      <c r="CM161" s="670">
        <f>INPUT!CX78</f>
        <v>3.1066330814441878</v>
      </c>
      <c r="CN161" s="669">
        <f>INPUT!CY78</f>
        <v>368.09999999999997</v>
      </c>
      <c r="CO161" s="670">
        <f>INPUT!CZ78</f>
        <v>1.8257261410788539</v>
      </c>
      <c r="CP161" s="669">
        <f>INPUT!DA78</f>
        <v>372</v>
      </c>
      <c r="CQ161" s="670">
        <f>INPUT!DB78</f>
        <v>2.4793388429751984</v>
      </c>
      <c r="CR161" s="669">
        <f>INPUT!DC78</f>
        <v>367.9</v>
      </c>
      <c r="CS161" s="670">
        <f>INPUT!DD78</f>
        <v>0.96048298572997126</v>
      </c>
      <c r="CT161" s="669">
        <f>INPUT!DE78</f>
        <v>375</v>
      </c>
      <c r="CU161" s="670">
        <f>INPUT!DF78</f>
        <v>1.791530944625408</v>
      </c>
      <c r="CV161" s="669">
        <f>INPUT!DG78</f>
        <v>377.9</v>
      </c>
      <c r="CW161" s="670">
        <f>INPUT!DH78</f>
        <v>2.6623200217332332</v>
      </c>
      <c r="CX161" s="669">
        <f>INPUT!DI78</f>
        <v>382.5</v>
      </c>
      <c r="CY161" s="670">
        <f>INPUT!DJ78</f>
        <v>2.8225806451612989</v>
      </c>
      <c r="CZ161" s="669">
        <f>INPUT!DK78</f>
        <v>389.40000000000003</v>
      </c>
      <c r="DA161" s="670">
        <f>INPUT!DL78</f>
        <v>5.8439793422125685</v>
      </c>
      <c r="DB161" s="669">
        <f>INPUT!DM78</f>
        <v>401.40000000000003</v>
      </c>
      <c r="DC161" s="670">
        <f>INPUT!DN78</f>
        <v>7.0400000000000018</v>
      </c>
      <c r="DD161" s="669">
        <f>INPUT!DO78</f>
        <v>403.8</v>
      </c>
      <c r="DE161" s="670">
        <f>INPUT!DP78</f>
        <v>6.8536649907382952</v>
      </c>
      <c r="DF161" s="669">
        <f>INPUT!DQ78</f>
        <v>403.8</v>
      </c>
      <c r="DG161" s="670">
        <f>INPUT!DR78</f>
        <v>5.5686274509803901</v>
      </c>
      <c r="DH161" s="669">
        <f>INPUT!DS78</f>
        <v>407.30000000000007</v>
      </c>
      <c r="DI161" s="670">
        <f>INPUT!DT78</f>
        <v>4.5968156137647709</v>
      </c>
      <c r="DJ161" s="669">
        <f>INPUT!DU78</f>
        <v>415.6</v>
      </c>
      <c r="DK161" s="670">
        <f>INPUT!DV78</f>
        <v>3.5376183358246216</v>
      </c>
      <c r="DL161" s="669">
        <f>INPUT!DW78</f>
        <v>413.7</v>
      </c>
      <c r="DM161" s="670">
        <f>INPUT!DX78</f>
        <v>2.4517087667161874</v>
      </c>
      <c r="DN161" s="669">
        <f>INPUT!DY78</f>
        <v>417.90000000000003</v>
      </c>
      <c r="DO161" s="670">
        <f>INPUT!DZ78</f>
        <v>3.4918276374442891</v>
      </c>
      <c r="DP161" s="669">
        <f>INPUT!EA78</f>
        <v>420.99999999999994</v>
      </c>
      <c r="DQ161" s="670">
        <f>INPUT!EB78</f>
        <v>3.3636140437024009</v>
      </c>
      <c r="DR161" s="669">
        <f>INPUT!EC78</f>
        <v>433</v>
      </c>
      <c r="DS161" s="670">
        <f>INPUT!ED78</f>
        <v>4.1867179980750624</v>
      </c>
      <c r="DT161" s="669">
        <f>INPUT!EE78</f>
        <v>429.6</v>
      </c>
      <c r="DU161" s="670">
        <f>INPUT!EF78</f>
        <v>3.8433647570703444</v>
      </c>
      <c r="DV161" s="669">
        <f>INPUT!EG78</f>
        <v>435.9</v>
      </c>
      <c r="DW161" s="670">
        <f>INPUT!EH78</f>
        <v>4.3072505384063042</v>
      </c>
      <c r="DX161" s="669">
        <f>INPUT!EI78</f>
        <v>431.2</v>
      </c>
      <c r="DY161" s="670">
        <f>INPUT!EJ78</f>
        <v>2.4228028503562982</v>
      </c>
      <c r="DZ161" s="669">
        <f>INPUT!EK78</f>
        <v>449.07299999999992</v>
      </c>
      <c r="EA161" s="670">
        <f>INPUT!EL78</f>
        <v>3.7120092378752689</v>
      </c>
      <c r="EB161" s="669">
        <f>INPUT!EM78</f>
        <v>445.60072000000002</v>
      </c>
      <c r="EC161" s="670">
        <f>INPUT!EN78</f>
        <v>3.7245623836126729</v>
      </c>
      <c r="ED161" s="669">
        <f>INPUT!EO78</f>
        <v>453.22465440000002</v>
      </c>
      <c r="EE161" s="670">
        <f>INPUT!EP78</f>
        <v>3.9744561596696482</v>
      </c>
      <c r="EF161" s="669">
        <f>INPUT!EQ78</f>
        <v>449.00968748800005</v>
      </c>
      <c r="EG161" s="670">
        <f>INPUT!ER78</f>
        <v>4.1302614768089274</v>
      </c>
      <c r="EH161" s="670"/>
      <c r="EI161" s="669">
        <f>INPUT!FB78</f>
        <v>0</v>
      </c>
      <c r="EJ161" s="681">
        <f>INPUT!FC78</f>
        <v>0</v>
      </c>
      <c r="EK161" s="669">
        <f>INPUT!FD78</f>
        <v>1761.3</v>
      </c>
      <c r="EL161" s="681" t="str">
        <f>INPUT!FE78</f>
        <v>NA</v>
      </c>
      <c r="EM161" s="669">
        <f>INPUT!FF78</f>
        <v>1807.9</v>
      </c>
      <c r="EN161" s="681">
        <f>INPUT!FG78</f>
        <v>2.6457730085732267</v>
      </c>
      <c r="EO161" s="669">
        <f>INPUT!FH78</f>
        <v>1770.7000000000003</v>
      </c>
      <c r="EP161" s="681">
        <f>INPUT!FI78</f>
        <v>-2.057635931190871</v>
      </c>
      <c r="EQ161" s="669">
        <f>INPUT!FJ78</f>
        <v>1617.1000000000001</v>
      </c>
      <c r="ER161" s="670">
        <f>INPUT!FK78</f>
        <v>-8.6745354944372295</v>
      </c>
      <c r="ES161" s="669">
        <f>INPUT!FL78</f>
        <v>1541</v>
      </c>
      <c r="ET161" s="670">
        <f>INPUT!FM78</f>
        <v>-4.7059551048172725</v>
      </c>
      <c r="EU161" s="669">
        <f>INPUT!FN78</f>
        <v>1375.7000000000003</v>
      </c>
      <c r="EV161" s="670">
        <f>INPUT!FO78</f>
        <v>-10.726800778715106</v>
      </c>
      <c r="EW161" s="669">
        <f>INPUT!FP78</f>
        <v>1318.7</v>
      </c>
      <c r="EX161" s="670">
        <f>INPUT!FQ78</f>
        <v>-4.1433452060769209</v>
      </c>
      <c r="EY161" s="669">
        <f>INPUT!FR78</f>
        <v>1291</v>
      </c>
      <c r="EZ161" s="670">
        <f>INPUT!FS78</f>
        <v>-2.1005535754910154</v>
      </c>
      <c r="FA161" s="669">
        <f>INPUT!FT78</f>
        <v>1328.4</v>
      </c>
      <c r="FB161" s="670">
        <f>INPUT!FU78</f>
        <v>2.8969790859798783</v>
      </c>
      <c r="FC161" s="669">
        <f>INPUT!FV78</f>
        <v>1353.6000000000001</v>
      </c>
      <c r="FD161" s="670">
        <f>INPUT!FW78</f>
        <v>1.8970189701897011</v>
      </c>
      <c r="FE161" s="669">
        <f>INPUT!FX78</f>
        <v>1444.7000000000003</v>
      </c>
      <c r="FF161" s="670">
        <f>INPUT!FY78</f>
        <v>6.7302009456264855</v>
      </c>
      <c r="FG161" s="669">
        <f>INPUT!FZ78</f>
        <v>1476.3999999999999</v>
      </c>
      <c r="FH161" s="670">
        <f>INPUT!GA78</f>
        <v>2.1942271751920428</v>
      </c>
      <c r="FI161" s="669">
        <f>INPUT!GB78</f>
        <v>1524.8</v>
      </c>
      <c r="FJ161" s="670">
        <f>INPUT!GC78</f>
        <v>3.2782443782172876</v>
      </c>
      <c r="FK161" s="669">
        <f>INPUT!GD78</f>
        <v>1616.2999999999997</v>
      </c>
      <c r="FL161" s="670">
        <f>INPUT!GE78</f>
        <v>6.000786988457496</v>
      </c>
      <c r="FM161" s="669">
        <f>INPUT!GF78</f>
        <v>1668.2000000000003</v>
      </c>
      <c r="FN161" s="670">
        <f>INPUT!GG78</f>
        <v>3.2110375549093906</v>
      </c>
      <c r="FO161" s="669">
        <f>INPUT!GH78</f>
        <v>1729.7</v>
      </c>
      <c r="FP161" s="670">
        <f>INPUT!GI78</f>
        <v>3.6866083203452638</v>
      </c>
      <c r="FQ161" s="669">
        <f>INPUT!GJ78</f>
        <v>1796.9080618880002</v>
      </c>
      <c r="FR161" s="670">
        <f>INPUT!GK78</f>
        <v>3.8855328604960437</v>
      </c>
      <c r="FS161" s="669">
        <f>INPUT!GL78</f>
        <v>1843.5903843635199</v>
      </c>
      <c r="FT161" s="670">
        <f>INPUT!GM78</f>
        <v>2.5979249281385508</v>
      </c>
      <c r="FU161" s="669">
        <f>INPUT!GN78</f>
        <v>1891.5101497380606</v>
      </c>
      <c r="FV161" s="670">
        <f>INPUT!GO78</f>
        <v>2.5992631433193525</v>
      </c>
      <c r="FW161" s="669">
        <f>INPUT!GP78</f>
        <v>1940.7011094775828</v>
      </c>
      <c r="FX161" s="670">
        <f>INPUT!GQ78</f>
        <v>2.6006183337865973</v>
      </c>
      <c r="FY161" s="669">
        <f>INPUT!GR78</f>
        <v>1991.1979714504359</v>
      </c>
      <c r="FZ161" s="670">
        <f>INPUT!GS78</f>
        <v>2.6019906788452563</v>
      </c>
      <c r="GA161" s="681">
        <f>INPUT!GT78</f>
        <v>2.8557869088456034</v>
      </c>
    </row>
    <row r="162" spans="1:183" s="707" customFormat="1" ht="12.75" hidden="1" customHeight="1" outlineLevel="1" x14ac:dyDescent="0.2">
      <c r="A162" s="679"/>
      <c r="B162" s="669"/>
      <c r="C162" s="671"/>
      <c r="D162" s="669"/>
      <c r="E162" s="681"/>
      <c r="F162" s="669"/>
      <c r="G162" s="681"/>
      <c r="H162" s="669"/>
      <c r="I162" s="681"/>
      <c r="J162" s="669"/>
      <c r="K162" s="681"/>
      <c r="L162" s="669"/>
      <c r="M162" s="681"/>
      <c r="N162" s="669"/>
      <c r="O162" s="681"/>
      <c r="P162" s="669"/>
      <c r="Q162" s="681"/>
      <c r="R162" s="669"/>
      <c r="S162" s="681"/>
      <c r="T162" s="669"/>
      <c r="U162" s="681"/>
      <c r="V162" s="669"/>
      <c r="W162" s="681"/>
      <c r="X162" s="669"/>
      <c r="Y162" s="681"/>
      <c r="Z162" s="669"/>
      <c r="AA162" s="681"/>
      <c r="AB162" s="669"/>
      <c r="AC162" s="681"/>
      <c r="AD162" s="669"/>
      <c r="AE162" s="681"/>
      <c r="AF162" s="669"/>
      <c r="AG162" s="681"/>
      <c r="AH162" s="669"/>
      <c r="AI162" s="681"/>
      <c r="AJ162" s="669"/>
      <c r="AK162" s="681"/>
      <c r="AL162" s="669"/>
      <c r="AM162" s="681"/>
      <c r="AN162" s="669"/>
      <c r="AO162" s="670"/>
      <c r="AP162" s="669"/>
      <c r="AQ162" s="670"/>
      <c r="AR162" s="669"/>
      <c r="AS162" s="670"/>
      <c r="AT162" s="669"/>
      <c r="AU162" s="670"/>
      <c r="AV162" s="669"/>
      <c r="AW162" s="670"/>
      <c r="AX162" s="669"/>
      <c r="AY162" s="670"/>
      <c r="AZ162" s="669"/>
      <c r="BA162" s="670"/>
      <c r="BB162" s="669"/>
      <c r="BC162" s="670"/>
      <c r="BD162" s="669"/>
      <c r="BE162" s="670"/>
      <c r="BF162" s="669"/>
      <c r="BG162" s="670"/>
      <c r="BH162" s="669"/>
      <c r="BI162" s="670"/>
      <c r="BJ162" s="669"/>
      <c r="BK162" s="670"/>
      <c r="BL162" s="669"/>
      <c r="BM162" s="670"/>
      <c r="BN162" s="669"/>
      <c r="BO162" s="670"/>
      <c r="BP162" s="669"/>
      <c r="BQ162" s="670"/>
      <c r="BR162" s="669"/>
      <c r="BS162" s="670"/>
      <c r="BT162" s="669"/>
      <c r="BU162" s="670"/>
      <c r="BV162" s="669"/>
      <c r="BW162" s="670"/>
      <c r="BX162" s="669"/>
      <c r="BY162" s="670"/>
      <c r="BZ162" s="669"/>
      <c r="CA162" s="670"/>
      <c r="CB162" s="669"/>
      <c r="CC162" s="670"/>
      <c r="CD162" s="669"/>
      <c r="CE162" s="670"/>
      <c r="CF162" s="669"/>
      <c r="CG162" s="670"/>
      <c r="CH162" s="669"/>
      <c r="CI162" s="670"/>
      <c r="CJ162" s="669"/>
      <c r="CK162" s="670"/>
      <c r="CL162" s="669"/>
      <c r="CM162" s="670"/>
      <c r="CN162" s="669"/>
      <c r="CO162" s="670"/>
      <c r="CP162" s="669"/>
      <c r="CQ162" s="670"/>
      <c r="CR162" s="669"/>
      <c r="CS162" s="670"/>
      <c r="CT162" s="669"/>
      <c r="CU162" s="670"/>
      <c r="CV162" s="669"/>
      <c r="CW162" s="670"/>
      <c r="CX162" s="669"/>
      <c r="CY162" s="670"/>
      <c r="CZ162" s="669"/>
      <c r="DA162" s="670"/>
      <c r="DB162" s="669"/>
      <c r="DC162" s="670"/>
      <c r="DD162" s="669"/>
      <c r="DE162" s="670"/>
      <c r="DF162" s="669"/>
      <c r="DG162" s="670"/>
      <c r="DH162" s="669"/>
      <c r="DI162" s="670"/>
      <c r="DJ162" s="669"/>
      <c r="DK162" s="670"/>
      <c r="DL162" s="669"/>
      <c r="DM162" s="670"/>
      <c r="DN162" s="669"/>
      <c r="DO162" s="670"/>
      <c r="DP162" s="669"/>
      <c r="DQ162" s="670"/>
      <c r="DR162" s="669"/>
      <c r="DS162" s="670"/>
      <c r="DT162" s="669"/>
      <c r="DU162" s="670"/>
      <c r="DV162" s="669"/>
      <c r="DW162" s="670"/>
      <c r="DX162" s="669"/>
      <c r="DY162" s="670"/>
      <c r="DZ162" s="669"/>
      <c r="EA162" s="670"/>
      <c r="EB162" s="669"/>
      <c r="EC162" s="670"/>
      <c r="ED162" s="669"/>
      <c r="EE162" s="670"/>
      <c r="EF162" s="669"/>
      <c r="EG162" s="670"/>
      <c r="EH162" s="670"/>
      <c r="EI162" s="669"/>
      <c r="EJ162" s="681"/>
      <c r="EK162" s="669"/>
      <c r="EL162" s="681"/>
      <c r="EM162" s="669"/>
      <c r="EN162" s="681"/>
      <c r="EO162" s="669"/>
      <c r="EP162" s="681"/>
      <c r="EQ162" s="669"/>
      <c r="ER162" s="670"/>
      <c r="ES162" s="669"/>
      <c r="ET162" s="670"/>
      <c r="EU162" s="669"/>
      <c r="EV162" s="670"/>
      <c r="EW162" s="669"/>
      <c r="EX162" s="670"/>
      <c r="EY162" s="669"/>
      <c r="EZ162" s="670"/>
      <c r="FA162" s="669"/>
      <c r="FB162" s="670"/>
      <c r="FC162" s="669"/>
      <c r="FD162" s="670"/>
      <c r="FE162" s="669"/>
      <c r="FF162" s="670"/>
      <c r="FG162" s="669"/>
      <c r="FH162" s="670"/>
      <c r="FI162" s="669"/>
      <c r="FJ162" s="670"/>
      <c r="FK162" s="669"/>
      <c r="FL162" s="670"/>
      <c r="FM162" s="669"/>
      <c r="FN162" s="670"/>
      <c r="FO162" s="669"/>
      <c r="FP162" s="670"/>
      <c r="FQ162" s="669"/>
      <c r="FR162" s="670"/>
      <c r="FS162" s="669"/>
      <c r="FT162" s="670"/>
      <c r="FU162" s="669"/>
      <c r="FV162" s="670"/>
      <c r="FW162" s="669"/>
      <c r="FX162" s="670"/>
      <c r="FY162" s="669"/>
      <c r="FZ162" s="670"/>
      <c r="GA162" s="681"/>
    </row>
    <row r="163" spans="1:183" s="707" customFormat="1" ht="12.75" hidden="1" customHeight="1" outlineLevel="1" x14ac:dyDescent="0.2">
      <c r="A163" s="677" t="s">
        <v>454</v>
      </c>
      <c r="B163" s="669"/>
      <c r="C163" s="671"/>
      <c r="D163" s="669"/>
      <c r="E163" s="681"/>
      <c r="F163" s="669"/>
      <c r="G163" s="681"/>
      <c r="H163" s="669"/>
      <c r="I163" s="681"/>
      <c r="J163" s="669"/>
      <c r="K163" s="681"/>
      <c r="L163" s="669"/>
      <c r="M163" s="681"/>
      <c r="N163" s="669"/>
      <c r="O163" s="681"/>
      <c r="P163" s="669"/>
      <c r="Q163" s="681"/>
      <c r="R163" s="669"/>
      <c r="S163" s="681"/>
      <c r="T163" s="669"/>
      <c r="U163" s="681"/>
      <c r="V163" s="669"/>
      <c r="W163" s="681"/>
      <c r="X163" s="669"/>
      <c r="Y163" s="681"/>
      <c r="Z163" s="669"/>
      <c r="AA163" s="681"/>
      <c r="AB163" s="669"/>
      <c r="AC163" s="681"/>
      <c r="AD163" s="669"/>
      <c r="AE163" s="681"/>
      <c r="AF163" s="669"/>
      <c r="AG163" s="681"/>
      <c r="AH163" s="669"/>
      <c r="AI163" s="681"/>
      <c r="AJ163" s="669"/>
      <c r="AK163" s="681"/>
      <c r="AL163" s="669"/>
      <c r="AM163" s="681"/>
      <c r="AN163" s="669"/>
      <c r="AO163" s="670"/>
      <c r="AP163" s="669"/>
      <c r="AQ163" s="670"/>
      <c r="AR163" s="669"/>
      <c r="AS163" s="670"/>
      <c r="AT163" s="669"/>
      <c r="AU163" s="670"/>
      <c r="AV163" s="669"/>
      <c r="AW163" s="670"/>
      <c r="AX163" s="669"/>
      <c r="AY163" s="670"/>
      <c r="AZ163" s="669"/>
      <c r="BA163" s="670"/>
      <c r="BB163" s="669"/>
      <c r="BC163" s="670"/>
      <c r="BD163" s="669"/>
      <c r="BE163" s="670"/>
      <c r="BF163" s="669"/>
      <c r="BG163" s="670"/>
      <c r="BH163" s="669"/>
      <c r="BI163" s="670"/>
      <c r="BJ163" s="669"/>
      <c r="BK163" s="670"/>
      <c r="BL163" s="669"/>
      <c r="BM163" s="670"/>
      <c r="BN163" s="669"/>
      <c r="BO163" s="670"/>
      <c r="BP163" s="669"/>
      <c r="BQ163" s="670"/>
      <c r="BR163" s="669"/>
      <c r="BS163" s="670"/>
      <c r="BT163" s="669"/>
      <c r="BU163" s="670"/>
      <c r="BV163" s="669"/>
      <c r="BW163" s="670"/>
      <c r="BX163" s="669"/>
      <c r="BY163" s="670"/>
      <c r="BZ163" s="669"/>
      <c r="CA163" s="670"/>
      <c r="CB163" s="669"/>
      <c r="CC163" s="670"/>
      <c r="CD163" s="669"/>
      <c r="CE163" s="670"/>
      <c r="CF163" s="669"/>
      <c r="CG163" s="670"/>
      <c r="CH163" s="669"/>
      <c r="CI163" s="670"/>
      <c r="CJ163" s="669"/>
      <c r="CK163" s="670"/>
      <c r="CL163" s="669"/>
      <c r="CM163" s="670"/>
      <c r="CN163" s="669"/>
      <c r="CO163" s="670"/>
      <c r="CP163" s="669"/>
      <c r="CQ163" s="670"/>
      <c r="CR163" s="669"/>
      <c r="CS163" s="670"/>
      <c r="CT163" s="669"/>
      <c r="CU163" s="670"/>
      <c r="CV163" s="669"/>
      <c r="CW163" s="670"/>
      <c r="CX163" s="669"/>
      <c r="CY163" s="670"/>
      <c r="CZ163" s="669"/>
      <c r="DA163" s="670"/>
      <c r="DB163" s="669"/>
      <c r="DC163" s="670"/>
      <c r="DD163" s="669"/>
      <c r="DE163" s="670"/>
      <c r="DF163" s="669"/>
      <c r="DG163" s="670"/>
      <c r="DH163" s="669"/>
      <c r="DI163" s="670"/>
      <c r="DJ163" s="669"/>
      <c r="DK163" s="670"/>
      <c r="DL163" s="669"/>
      <c r="DM163" s="670"/>
      <c r="DN163" s="669"/>
      <c r="DO163" s="670"/>
      <c r="DP163" s="669"/>
      <c r="DQ163" s="670"/>
      <c r="DR163" s="669"/>
      <c r="DS163" s="670"/>
      <c r="DT163" s="669"/>
      <c r="DU163" s="670"/>
      <c r="DV163" s="669"/>
      <c r="DW163" s="670"/>
      <c r="DX163" s="669"/>
      <c r="DY163" s="670"/>
      <c r="DZ163" s="669"/>
      <c r="EA163" s="670"/>
      <c r="EB163" s="669"/>
      <c r="EC163" s="670"/>
      <c r="ED163" s="669"/>
      <c r="EE163" s="670"/>
      <c r="EF163" s="669"/>
      <c r="EG163" s="670"/>
      <c r="EH163" s="670"/>
      <c r="EI163" s="669"/>
      <c r="EJ163" s="681"/>
      <c r="EK163" s="669"/>
      <c r="EL163" s="681"/>
      <c r="EM163" s="669"/>
      <c r="EN163" s="681"/>
      <c r="EO163" s="669"/>
      <c r="EP163" s="681"/>
      <c r="EQ163" s="669"/>
      <c r="ER163" s="670"/>
      <c r="ES163" s="669"/>
      <c r="ET163" s="670"/>
      <c r="EU163" s="669"/>
      <c r="EV163" s="670"/>
      <c r="EW163" s="669"/>
      <c r="EX163" s="670"/>
      <c r="EY163" s="669"/>
      <c r="EZ163" s="670"/>
      <c r="FA163" s="669"/>
      <c r="FB163" s="670"/>
      <c r="FC163" s="669"/>
      <c r="FD163" s="670"/>
      <c r="FE163" s="669"/>
      <c r="FF163" s="670"/>
      <c r="FG163" s="669"/>
      <c r="FH163" s="670"/>
      <c r="FI163" s="669"/>
      <c r="FJ163" s="670"/>
      <c r="FK163" s="669"/>
      <c r="FL163" s="670"/>
      <c r="FM163" s="669"/>
      <c r="FN163" s="670"/>
      <c r="FO163" s="669"/>
      <c r="FP163" s="670"/>
      <c r="FQ163" s="669"/>
      <c r="FR163" s="670"/>
      <c r="FS163" s="669"/>
      <c r="FT163" s="670"/>
      <c r="FU163" s="669"/>
      <c r="FV163" s="670"/>
      <c r="FW163" s="669"/>
      <c r="FX163" s="670"/>
      <c r="FY163" s="669"/>
      <c r="FZ163" s="670"/>
      <c r="GA163" s="681"/>
    </row>
    <row r="164" spans="1:183" s="707" customFormat="1" ht="12.75" hidden="1" customHeight="1" outlineLevel="1" x14ac:dyDescent="0.2">
      <c r="A164" s="679" t="str">
        <f>INPUT!B81</f>
        <v>Benefits &amp; Change in Reserves for Future Benefits</v>
      </c>
      <c r="B164" s="669"/>
      <c r="C164" s="671"/>
      <c r="D164" s="669"/>
      <c r="E164" s="681"/>
      <c r="F164" s="669"/>
      <c r="G164" s="681"/>
      <c r="H164" s="669"/>
      <c r="I164" s="681"/>
      <c r="J164" s="669"/>
      <c r="K164" s="681"/>
      <c r="L164" s="669"/>
      <c r="M164" s="681"/>
      <c r="N164" s="669"/>
      <c r="O164" s="681"/>
      <c r="P164" s="669"/>
      <c r="Q164" s="681"/>
      <c r="R164" s="669">
        <f>INPUT!AC81</f>
        <v>319.8</v>
      </c>
      <c r="S164" s="681" t="str">
        <f>INPUT!AD81</f>
        <v>NA</v>
      </c>
      <c r="T164" s="669">
        <f>INPUT!AE81</f>
        <v>317.3</v>
      </c>
      <c r="U164" s="681" t="str">
        <f>INPUT!AF81</f>
        <v>NA</v>
      </c>
      <c r="V164" s="669">
        <f>INPUT!AG81</f>
        <v>305.39999999999998</v>
      </c>
      <c r="W164" s="681" t="str">
        <f>INPUT!AH81</f>
        <v>NA</v>
      </c>
      <c r="X164" s="669">
        <f>INPUT!AI81</f>
        <v>301.7999999999999</v>
      </c>
      <c r="Y164" s="681" t="str">
        <f>INPUT!AJ81</f>
        <v>NA</v>
      </c>
      <c r="Z164" s="669">
        <f>INPUT!AK81</f>
        <v>275.10000000000002</v>
      </c>
      <c r="AA164" s="681">
        <f>INPUT!AL81</f>
        <v>-13.977485928705436</v>
      </c>
      <c r="AB164" s="669">
        <f>INPUT!AM81</f>
        <v>284.39999999999998</v>
      </c>
      <c r="AC164" s="681">
        <f>INPUT!AN81</f>
        <v>-10.368736211786967</v>
      </c>
      <c r="AD164" s="669">
        <f>INPUT!AO81</f>
        <v>272.60000000000002</v>
      </c>
      <c r="AE164" s="681">
        <f>INPUT!AP81</f>
        <v>-10.74001309757694</v>
      </c>
      <c r="AF164" s="669">
        <f>INPUT!AQ81</f>
        <v>279.8</v>
      </c>
      <c r="AG164" s="681">
        <f>INPUT!AR81</f>
        <v>-7.2895957587806093</v>
      </c>
      <c r="AH164" s="669">
        <f>INPUT!AS81</f>
        <v>274.8</v>
      </c>
      <c r="AI164" s="681">
        <f>INPUT!AT81</f>
        <v>-0.10905125408942062</v>
      </c>
      <c r="AJ164" s="669">
        <f>INPUT!AU81</f>
        <v>276</v>
      </c>
      <c r="AK164" s="681">
        <f>INPUT!AV81</f>
        <v>-2.9535864978902926</v>
      </c>
      <c r="AL164" s="669">
        <f>INPUT!AW81</f>
        <v>251.6</v>
      </c>
      <c r="AM164" s="681">
        <f>INPUT!AX81</f>
        <v>-7.7035950110051488</v>
      </c>
      <c r="AN164" s="669">
        <f>INPUT!AY81</f>
        <v>264.89999999999998</v>
      </c>
      <c r="AO164" s="670">
        <f>INPUT!AZ81</f>
        <v>-5.325232308792005</v>
      </c>
      <c r="AP164" s="669">
        <f>INPUT!BA81</f>
        <v>235.4</v>
      </c>
      <c r="AQ164" s="670">
        <f>INPUT!BB81</f>
        <v>-14.337700145560406</v>
      </c>
      <c r="AR164" s="669">
        <f>INPUT!BC81</f>
        <v>229.6</v>
      </c>
      <c r="AS164" s="670">
        <f>INPUT!BD81</f>
        <v>-16.811594202898551</v>
      </c>
      <c r="AT164" s="669">
        <f>INPUT!BE81</f>
        <v>223.7</v>
      </c>
      <c r="AU164" s="670">
        <f>INPUT!BF81</f>
        <v>-11.089030206677265</v>
      </c>
      <c r="AV164" s="669">
        <f>INPUT!BG81</f>
        <v>212.9</v>
      </c>
      <c r="AW164" s="670">
        <f>INPUT!BH81</f>
        <v>-19.630049075122681</v>
      </c>
      <c r="AX164" s="669">
        <f>INPUT!BI81</f>
        <v>199.3</v>
      </c>
      <c r="AY164" s="670">
        <f>INPUT!BJ81</f>
        <v>-15.335598980458787</v>
      </c>
      <c r="AZ164" s="669">
        <f>INPUT!BK81</f>
        <v>208.9</v>
      </c>
      <c r="BA164" s="670">
        <f>INPUT!BL81</f>
        <v>-9.0156794425087057</v>
      </c>
      <c r="BB164" s="669">
        <f>INPUT!BM81</f>
        <v>211.5</v>
      </c>
      <c r="BC164" s="670">
        <f>INPUT!BN81</f>
        <v>-5.4537326776933348</v>
      </c>
      <c r="BD164" s="669">
        <f>INPUT!BO81</f>
        <v>207.9</v>
      </c>
      <c r="BE164" s="670">
        <f>INPUT!BP81</f>
        <v>-2.3485204321277542</v>
      </c>
      <c r="BF164" s="669">
        <f>INPUT!BQ81</f>
        <v>201.1</v>
      </c>
      <c r="BG164" s="670">
        <f>INPUT!BR81</f>
        <v>0.90316106372301252</v>
      </c>
      <c r="BH164" s="669">
        <f>INPUT!BS81</f>
        <v>205.7</v>
      </c>
      <c r="BI164" s="670">
        <f>INPUT!BT81</f>
        <v>-1.5318334131163347</v>
      </c>
      <c r="BJ164" s="669">
        <f>INPUT!BU81</f>
        <v>206.4</v>
      </c>
      <c r="BK164" s="670">
        <f>INPUT!BV81</f>
        <v>-2.4113475177304888</v>
      </c>
      <c r="BL164" s="669">
        <f>INPUT!BW81</f>
        <v>202.3</v>
      </c>
      <c r="BM164" s="670">
        <f>INPUT!BX81</f>
        <v>-2.6936026936026924</v>
      </c>
      <c r="BN164" s="669">
        <f>INPUT!BY81</f>
        <v>206.5</v>
      </c>
      <c r="BO164" s="670">
        <f>INPUT!BZ81</f>
        <v>2.6852312282446666</v>
      </c>
      <c r="BP164" s="669">
        <f>INPUT!CA81</f>
        <v>209.4</v>
      </c>
      <c r="BQ164" s="670">
        <f>INPUT!CB81</f>
        <v>1.798736023334957</v>
      </c>
      <c r="BR164" s="669">
        <f>INPUT!CC81</f>
        <v>211.3</v>
      </c>
      <c r="BS164" s="670">
        <f>INPUT!CD81</f>
        <v>2.3740310077519311</v>
      </c>
      <c r="BT164" s="669">
        <f>INPUT!CE81</f>
        <v>212.7</v>
      </c>
      <c r="BU164" s="670">
        <f>INPUT!CF81</f>
        <v>5.1408798813642909</v>
      </c>
      <c r="BV164" s="669">
        <f>INPUT!CG81</f>
        <v>210.2</v>
      </c>
      <c r="BW164" s="670">
        <f>INPUT!CH81</f>
        <v>1.7917675544794065</v>
      </c>
      <c r="BX164" s="669">
        <f>INPUT!CI81</f>
        <v>211.6</v>
      </c>
      <c r="BY164" s="670">
        <f>INPUT!CJ81</f>
        <v>1.0506208213944657</v>
      </c>
      <c r="BZ164" s="669">
        <f>INPUT!CK81</f>
        <v>214.3</v>
      </c>
      <c r="CA164" s="670">
        <f>INPUT!CL81</f>
        <v>1.4197823000473342</v>
      </c>
      <c r="CB164" s="669">
        <f>INPUT!CM81</f>
        <v>218.5</v>
      </c>
      <c r="CC164" s="670">
        <f>INPUT!CN81</f>
        <v>2.7268453220498312</v>
      </c>
      <c r="CD164" s="669">
        <f>INPUT!CO81</f>
        <v>231.7</v>
      </c>
      <c r="CE164" s="670">
        <f>INPUT!CP81</f>
        <v>10.228353948620361</v>
      </c>
      <c r="CF164" s="669">
        <f>INPUT!CQ81</f>
        <v>232.2</v>
      </c>
      <c r="CG164" s="670">
        <f>INPUT!CR81</f>
        <v>9.7353497164461178</v>
      </c>
      <c r="CH164" s="669">
        <f>INPUT!CS81</f>
        <v>236</v>
      </c>
      <c r="CI164" s="670">
        <f>INPUT!CT81</f>
        <v>10.125991600559958</v>
      </c>
      <c r="CJ164" s="669">
        <f>INPUT!CU81</f>
        <v>236.5</v>
      </c>
      <c r="CK164" s="670">
        <f>INPUT!CV81</f>
        <v>8.2379862700228799</v>
      </c>
      <c r="CL164" s="669">
        <f>INPUT!CW81</f>
        <v>235.3</v>
      </c>
      <c r="CM164" s="670">
        <f>INPUT!CX81</f>
        <v>1.5537332757876721</v>
      </c>
      <c r="CN164" s="669">
        <f>INPUT!CY81</f>
        <v>237.3</v>
      </c>
      <c r="CO164" s="670">
        <f>INPUT!CZ81</f>
        <v>2.1963824289405798</v>
      </c>
      <c r="CP164" s="669">
        <f>INPUT!DA81</f>
        <v>240.3</v>
      </c>
      <c r="CQ164" s="670">
        <f>INPUT!DB81</f>
        <v>1.8220338983050866</v>
      </c>
      <c r="CR164" s="669">
        <f>INPUT!DC81</f>
        <v>197</v>
      </c>
      <c r="CS164" s="670">
        <f>INPUT!DD81</f>
        <v>-16.701902748414376</v>
      </c>
      <c r="CT164" s="669">
        <f>INPUT!DE81</f>
        <v>239.3</v>
      </c>
      <c r="CU164" s="670">
        <f>INPUT!DF81</f>
        <v>1.6999575010624657</v>
      </c>
      <c r="CV164" s="669">
        <f>INPUT!DG81</f>
        <v>241.5</v>
      </c>
      <c r="CW164" s="670">
        <f>INPUT!DH81</f>
        <v>1.7699115044247815</v>
      </c>
      <c r="CX164" s="669">
        <f>INPUT!DI81</f>
        <v>243.7</v>
      </c>
      <c r="CY164" s="670">
        <f>INPUT!DJ81</f>
        <v>1.4148980441115233</v>
      </c>
      <c r="CZ164" s="669">
        <f>INPUT!DK81</f>
        <v>251.3</v>
      </c>
      <c r="DA164" s="670">
        <f>INPUT!DL81</f>
        <v>27.56345177664976</v>
      </c>
      <c r="DB164" s="669">
        <f>INPUT!DM81</f>
        <v>260.8</v>
      </c>
      <c r="DC164" s="670">
        <f>INPUT!DN81</f>
        <v>8.9845382365231874</v>
      </c>
      <c r="DD164" s="669">
        <f>INPUT!DO81</f>
        <v>269.89999999999998</v>
      </c>
      <c r="DE164" s="670">
        <f>INPUT!DP81</f>
        <v>11.759834368530008</v>
      </c>
      <c r="DF164" s="669">
        <f>INPUT!DQ81</f>
        <v>261.8</v>
      </c>
      <c r="DG164" s="670">
        <f>INPUT!DR81</f>
        <v>7.4271645465736613</v>
      </c>
      <c r="DH164" s="669">
        <f>INPUT!DS81</f>
        <v>269.10000000000002</v>
      </c>
      <c r="DI164" s="670">
        <f>INPUT!DT81</f>
        <v>7.0831675288499873</v>
      </c>
      <c r="DJ164" s="669">
        <f>INPUT!DU81</f>
        <v>275.89999999999998</v>
      </c>
      <c r="DK164" s="670">
        <f>INPUT!DV81</f>
        <v>5.7898773006134885</v>
      </c>
      <c r="DL164" s="669">
        <f>INPUT!DW81</f>
        <v>274.39999999999998</v>
      </c>
      <c r="DM164" s="670">
        <f>INPUT!DX81</f>
        <v>1.6672841793256676</v>
      </c>
      <c r="DN164" s="669">
        <f>INPUT!DY81</f>
        <v>282.2</v>
      </c>
      <c r="DO164" s="670">
        <f>INPUT!DZ81</f>
        <v>7.7922077922077726</v>
      </c>
      <c r="DP164" s="669">
        <f>INPUT!EA81</f>
        <v>280.10000000000002</v>
      </c>
      <c r="DQ164" s="670">
        <f>INPUT!EB81</f>
        <v>4.0876997398736625</v>
      </c>
      <c r="DR164" s="669">
        <f>INPUT!EC81</f>
        <v>290.7</v>
      </c>
      <c r="DS164" s="670">
        <f>INPUT!ED81</f>
        <v>5.3642624139180972</v>
      </c>
      <c r="DT164" s="669">
        <f>INPUT!EE81</f>
        <v>282.8</v>
      </c>
      <c r="DU164" s="670">
        <f>INPUT!EF81</f>
        <v>3.0612244897959329</v>
      </c>
      <c r="DV164" s="669">
        <f>INPUT!EG81</f>
        <v>290.60000000000002</v>
      </c>
      <c r="DW164" s="670">
        <f>INPUT!EH81</f>
        <v>2.9766123316796733</v>
      </c>
      <c r="DX164" s="669">
        <f>INPUT!EI81</f>
        <v>305.7</v>
      </c>
      <c r="DY164" s="670">
        <f>INPUT!EJ81</f>
        <v>9.1395930024990903</v>
      </c>
      <c r="DZ164" s="669">
        <f>INPUT!EK81</f>
        <v>299.02953599999995</v>
      </c>
      <c r="EA164" s="670">
        <f>INPUT!EL81</f>
        <v>2.865337461300288</v>
      </c>
      <c r="EB164" s="669">
        <f>INPUT!EM81</f>
        <v>296.21966399999997</v>
      </c>
      <c r="EC164" s="670">
        <f>INPUT!EN81</f>
        <v>4.7452842998585432</v>
      </c>
      <c r="ED164" s="669">
        <f>INPUT!EO81</f>
        <v>301.09996799999999</v>
      </c>
      <c r="EE164" s="670">
        <f>INPUT!EP81</f>
        <v>3.6132030282174599</v>
      </c>
      <c r="EF164" s="669">
        <f>INPUT!EQ81</f>
        <v>297.84643199999999</v>
      </c>
      <c r="EG164" s="670">
        <f>INPUT!ER81</f>
        <v>-2.5690441609421022</v>
      </c>
      <c r="EH164" s="670"/>
      <c r="EI164" s="669">
        <f>INPUT!FB81</f>
        <v>0</v>
      </c>
      <c r="EJ164" s="681">
        <f>INPUT!FC81</f>
        <v>0</v>
      </c>
      <c r="EK164" s="669">
        <f>INPUT!FD81</f>
        <v>1247.9000000000001</v>
      </c>
      <c r="EL164" s="681" t="str">
        <f>INPUT!FE81</f>
        <v>NA</v>
      </c>
      <c r="EM164" s="669">
        <f>INPUT!FF81</f>
        <v>1280</v>
      </c>
      <c r="EN164" s="681">
        <f>INPUT!FG81</f>
        <v>2.5723215001201893</v>
      </c>
      <c r="EO164" s="669">
        <f>INPUT!FH81</f>
        <v>1244.3</v>
      </c>
      <c r="EP164" s="681">
        <f>INPUT!FI81</f>
        <v>-2.7890625000000058</v>
      </c>
      <c r="EQ164" s="669">
        <f>INPUT!FJ81</f>
        <v>1111.9000000000001</v>
      </c>
      <c r="ER164" s="670">
        <f>INPUT!FK81</f>
        <v>-10.640520774732776</v>
      </c>
      <c r="ES164" s="669">
        <f>INPUT!FL81</f>
        <v>1067.3</v>
      </c>
      <c r="ET164" s="670">
        <f>INPUT!FM81</f>
        <v>-4.0111520820217734</v>
      </c>
      <c r="EU164" s="669">
        <f>INPUT!FN81</f>
        <v>901.6</v>
      </c>
      <c r="EV164" s="670">
        <f>INPUT!FO81</f>
        <v>-15.525156938068019</v>
      </c>
      <c r="EW164" s="669">
        <f>INPUT!FP81</f>
        <v>827.6</v>
      </c>
      <c r="EX164" s="670">
        <f>INPUT!FQ81</f>
        <v>-8.2076308784383318</v>
      </c>
      <c r="EY164" s="669">
        <f>INPUT!FR81</f>
        <v>815.5</v>
      </c>
      <c r="EZ164" s="670">
        <f>INPUT!FS81</f>
        <v>-1.46205896568391</v>
      </c>
      <c r="FA164" s="669">
        <f>INPUT!FT81</f>
        <v>839.90000000000009</v>
      </c>
      <c r="FB164" s="670">
        <f>INPUT!FU81</f>
        <v>2.9920294297976824</v>
      </c>
      <c r="FC164" s="669">
        <f>INPUT!FV81</f>
        <v>854.59999999999991</v>
      </c>
      <c r="FD164" s="670">
        <f>INPUT!FW81</f>
        <v>1.7502083581378614</v>
      </c>
      <c r="FE164" s="669">
        <f>INPUT!FX81</f>
        <v>936.4</v>
      </c>
      <c r="FF164" s="670">
        <f>INPUT!FY81</f>
        <v>9.5717294640767605</v>
      </c>
      <c r="FG164" s="669">
        <f>INPUT!FZ81</f>
        <v>909.90000000000009</v>
      </c>
      <c r="FH164" s="670">
        <f>INPUT!GA81</f>
        <v>-2.8299871849636782</v>
      </c>
      <c r="FI164" s="669">
        <f>INPUT!GB81</f>
        <v>975.8</v>
      </c>
      <c r="FJ164" s="670">
        <f>INPUT!GC81</f>
        <v>7.2425541268271054</v>
      </c>
      <c r="FK164" s="669">
        <f>INPUT!GD81</f>
        <v>1061.5999999999999</v>
      </c>
      <c r="FL164" s="670">
        <f>INPUT!GE81</f>
        <v>8.7927854068456703</v>
      </c>
      <c r="FM164" s="669">
        <f>INPUT!GF81</f>
        <v>1112.5999999999999</v>
      </c>
      <c r="FN164" s="670">
        <f>INPUT!GG81</f>
        <v>4.8040693293142533</v>
      </c>
      <c r="FO164" s="669">
        <f>INPUT!GH81</f>
        <v>1169.8</v>
      </c>
      <c r="FP164" s="670">
        <f>INPUT!GI81</f>
        <v>5.1411109113787656</v>
      </c>
      <c r="FQ164" s="669">
        <f>INPUT!GJ81</f>
        <v>1194.1956</v>
      </c>
      <c r="FR164" s="670">
        <f>INPUT!GK81</f>
        <v>2.0854505043597316</v>
      </c>
      <c r="FS164" s="669">
        <f>INPUT!GL81</f>
        <v>1224.0504899999999</v>
      </c>
      <c r="FT164" s="670">
        <f>INPUT!GM81</f>
        <v>2.4999999999999911</v>
      </c>
      <c r="FU164" s="669">
        <f>INPUT!GN81</f>
        <v>1254.6517522499998</v>
      </c>
      <c r="FV164" s="670">
        <f>INPUT!GO81</f>
        <v>2.4999999999999911</v>
      </c>
      <c r="FW164" s="669">
        <f>INPUT!GP81</f>
        <v>1284.2093005624999</v>
      </c>
      <c r="FX164" s="670">
        <f>INPUT!GQ81</f>
        <v>2.3558368495077531</v>
      </c>
      <c r="FY164" s="669">
        <f>INPUT!GR81</f>
        <v>1316.3145330765622</v>
      </c>
      <c r="FZ164" s="670">
        <f>INPUT!GS81</f>
        <v>2.4999999999999689</v>
      </c>
      <c r="GA164" s="681">
        <f>INPUT!GT81</f>
        <v>2.3881301549752321</v>
      </c>
    </row>
    <row r="165" spans="1:183" s="707" customFormat="1" ht="12.75" hidden="1" customHeight="1" outlineLevel="1" x14ac:dyDescent="0.2">
      <c r="A165" s="679" t="str">
        <f>INPUT!B82</f>
        <v xml:space="preserve">Commissions </v>
      </c>
      <c r="B165" s="669"/>
      <c r="C165" s="671"/>
      <c r="D165" s="669"/>
      <c r="E165" s="681"/>
      <c r="F165" s="669"/>
      <c r="G165" s="681"/>
      <c r="H165" s="669"/>
      <c r="I165" s="681"/>
      <c r="J165" s="669"/>
      <c r="K165" s="681"/>
      <c r="L165" s="669"/>
      <c r="M165" s="681"/>
      <c r="N165" s="669"/>
      <c r="O165" s="681"/>
      <c r="P165" s="669"/>
      <c r="Q165" s="681"/>
      <c r="R165" s="669">
        <f>INPUT!AC82</f>
        <v>27.400000000000002</v>
      </c>
      <c r="S165" s="681" t="str">
        <f>INPUT!AD82</f>
        <v>NA</v>
      </c>
      <c r="T165" s="669">
        <f>INPUT!AE82</f>
        <v>27.2</v>
      </c>
      <c r="U165" s="681" t="str">
        <f>INPUT!AF82</f>
        <v>NA</v>
      </c>
      <c r="V165" s="669">
        <f>INPUT!AG82</f>
        <v>25.3</v>
      </c>
      <c r="W165" s="681" t="str">
        <f>INPUT!AH82</f>
        <v>NA</v>
      </c>
      <c r="X165" s="669">
        <f>INPUT!AI82</f>
        <v>26.3</v>
      </c>
      <c r="Y165" s="681" t="str">
        <f>INPUT!AJ82</f>
        <v>NA</v>
      </c>
      <c r="Z165" s="669">
        <f>INPUT!AK82</f>
        <v>25.400000000000002</v>
      </c>
      <c r="AA165" s="681">
        <f>INPUT!AL82</f>
        <v>-7.2992700729927034</v>
      </c>
      <c r="AB165" s="669">
        <f>INPUT!AM82</f>
        <v>30.8</v>
      </c>
      <c r="AC165" s="681">
        <f>INPUT!AN82</f>
        <v>13.235294117647056</v>
      </c>
      <c r="AD165" s="669">
        <f>INPUT!AO82</f>
        <v>20.7</v>
      </c>
      <c r="AE165" s="681">
        <f>INPUT!AP82</f>
        <v>-18.181818181818187</v>
      </c>
      <c r="AF165" s="669">
        <f>INPUT!AQ82</f>
        <v>20.9</v>
      </c>
      <c r="AG165" s="681">
        <f>INPUT!AR82</f>
        <v>-20.532319391634989</v>
      </c>
      <c r="AH165" s="669">
        <f>INPUT!AS82</f>
        <v>23</v>
      </c>
      <c r="AI165" s="681">
        <f>INPUT!AT82</f>
        <v>-9.4488188976377998</v>
      </c>
      <c r="AJ165" s="669">
        <f>INPUT!AU82</f>
        <v>23.1</v>
      </c>
      <c r="AK165" s="681">
        <f>INPUT!AV82</f>
        <v>-25</v>
      </c>
      <c r="AL165" s="669">
        <f>INPUT!AW82</f>
        <v>21</v>
      </c>
      <c r="AM165" s="681">
        <f>INPUT!AX82</f>
        <v>1.449275362318847</v>
      </c>
      <c r="AN165" s="669">
        <f>INPUT!AY82</f>
        <v>23</v>
      </c>
      <c r="AO165" s="670">
        <f>INPUT!AZ82</f>
        <v>10.047846889952151</v>
      </c>
      <c r="AP165" s="669">
        <f>INPUT!BA82</f>
        <v>22.6</v>
      </c>
      <c r="AQ165" s="670">
        <f>INPUT!BB82</f>
        <v>-1.7391304347825987</v>
      </c>
      <c r="AR165" s="669">
        <f>INPUT!BC82</f>
        <v>22.5</v>
      </c>
      <c r="AS165" s="670">
        <f>INPUT!BD82</f>
        <v>-2.5974025974025983</v>
      </c>
      <c r="AT165" s="669">
        <f>INPUT!BE82</f>
        <v>21.2</v>
      </c>
      <c r="AU165" s="670">
        <f>INPUT!BF82</f>
        <v>0.952380952380949</v>
      </c>
      <c r="AV165" s="669">
        <f>INPUT!BG82</f>
        <v>22.4</v>
      </c>
      <c r="AW165" s="670">
        <f>INPUT!BH82</f>
        <v>-2.6086956521739202</v>
      </c>
      <c r="AX165" s="669">
        <f>INPUT!BI82</f>
        <v>21.6</v>
      </c>
      <c r="AY165" s="670">
        <f>INPUT!BJ82</f>
        <v>-4.4247787610619422</v>
      </c>
      <c r="AZ165" s="669">
        <f>INPUT!BK82</f>
        <v>20.8</v>
      </c>
      <c r="BA165" s="670">
        <f>INPUT!BL82</f>
        <v>-7.5555555555555483</v>
      </c>
      <c r="BB165" s="669">
        <f>INPUT!BM82</f>
        <v>21.2</v>
      </c>
      <c r="BC165" s="670">
        <f>INPUT!BN82</f>
        <v>0</v>
      </c>
      <c r="BD165" s="669">
        <f>INPUT!BO82</f>
        <v>21.8</v>
      </c>
      <c r="BE165" s="670">
        <f>INPUT!BP82</f>
        <v>-2.6785714285714191</v>
      </c>
      <c r="BF165" s="669">
        <f>INPUT!BQ82</f>
        <v>21.4</v>
      </c>
      <c r="BG165" s="670">
        <f>INPUT!BR82</f>
        <v>-0.92592592592594114</v>
      </c>
      <c r="BH165" s="669">
        <f>INPUT!BS82</f>
        <v>21.7</v>
      </c>
      <c r="BI165" s="670">
        <f>INPUT!BT82</f>
        <v>4.3269230769230616</v>
      </c>
      <c r="BJ165" s="669">
        <f>INPUT!BU82</f>
        <v>21.3</v>
      </c>
      <c r="BK165" s="670">
        <f>INPUT!BV82</f>
        <v>0.47169811320755262</v>
      </c>
      <c r="BL165" s="669">
        <f>INPUT!BW82</f>
        <v>21</v>
      </c>
      <c r="BM165" s="670">
        <f>INPUT!BX82</f>
        <v>-3.669724770642202</v>
      </c>
      <c r="BN165" s="669">
        <f>INPUT!BY82</f>
        <v>22.3</v>
      </c>
      <c r="BO165" s="670">
        <f>INPUT!BZ82</f>
        <v>4.20560747663552</v>
      </c>
      <c r="BP165" s="669">
        <f>INPUT!CA82</f>
        <v>21.4</v>
      </c>
      <c r="BQ165" s="670">
        <f>INPUT!CB82</f>
        <v>-1.3824884792626779</v>
      </c>
      <c r="BR165" s="669">
        <f>INPUT!CC82</f>
        <v>22.2</v>
      </c>
      <c r="BS165" s="670">
        <f>INPUT!CD82</f>
        <v>4.2253521126760507</v>
      </c>
      <c r="BT165" s="669">
        <f>INPUT!CE82</f>
        <v>23.4</v>
      </c>
      <c r="BU165" s="670">
        <f>INPUT!CF82</f>
        <v>11.428571428571432</v>
      </c>
      <c r="BV165" s="669">
        <f>INPUT!CG82</f>
        <v>23.5</v>
      </c>
      <c r="BW165" s="670">
        <f>INPUT!CH82</f>
        <v>5.3811659192825045</v>
      </c>
      <c r="BX165" s="669">
        <f>INPUT!CI82</f>
        <v>23.4</v>
      </c>
      <c r="BY165" s="670">
        <f>INPUT!CJ82</f>
        <v>9.3457943925233664</v>
      </c>
      <c r="BZ165" s="669">
        <f>INPUT!CK82</f>
        <v>24.2</v>
      </c>
      <c r="CA165" s="670">
        <f>INPUT!CL82</f>
        <v>9.0090090090090058</v>
      </c>
      <c r="CB165" s="669">
        <f>INPUT!CM82</f>
        <v>24.4</v>
      </c>
      <c r="CC165" s="670">
        <f>INPUT!CN82</f>
        <v>4.2735042735042805</v>
      </c>
      <c r="CD165" s="669">
        <f>INPUT!CO82</f>
        <v>26.2</v>
      </c>
      <c r="CE165" s="670">
        <f>INPUT!CP82</f>
        <v>11.489361702127665</v>
      </c>
      <c r="CF165" s="669">
        <f>INPUT!CQ82</f>
        <v>25.9</v>
      </c>
      <c r="CG165" s="670">
        <f>INPUT!CR82</f>
        <v>10.68376068376069</v>
      </c>
      <c r="CH165" s="669">
        <f>INPUT!CS82</f>
        <v>26.1</v>
      </c>
      <c r="CI165" s="670">
        <f>INPUT!CT82</f>
        <v>7.8512396694214948</v>
      </c>
      <c r="CJ165" s="669">
        <f>INPUT!CU82</f>
        <v>26.4</v>
      </c>
      <c r="CK165" s="670">
        <f>INPUT!CV82</f>
        <v>8.196721311475418</v>
      </c>
      <c r="CL165" s="669">
        <f>INPUT!CW82</f>
        <v>28.4</v>
      </c>
      <c r="CM165" s="670">
        <f>INPUT!CX82</f>
        <v>8.3969465648855</v>
      </c>
      <c r="CN165" s="669">
        <f>INPUT!CY82</f>
        <v>27.2</v>
      </c>
      <c r="CO165" s="670">
        <f>INPUT!CZ82</f>
        <v>5.0193050193050315</v>
      </c>
      <c r="CP165" s="669">
        <f>INPUT!DA82</f>
        <v>27.4</v>
      </c>
      <c r="CQ165" s="670">
        <f>INPUT!DB82</f>
        <v>4.9808429118773923</v>
      </c>
      <c r="CR165" s="669">
        <f>INPUT!DC82</f>
        <v>25.9</v>
      </c>
      <c r="CS165" s="670">
        <f>INPUT!DD82</f>
        <v>-1.8939393939393923</v>
      </c>
      <c r="CT165" s="669">
        <f>INPUT!DE82</f>
        <v>28.5</v>
      </c>
      <c r="CU165" s="670">
        <f>INPUT!DF82</f>
        <v>0.35211267605634866</v>
      </c>
      <c r="CV165" s="669">
        <f>INPUT!DG82</f>
        <v>28</v>
      </c>
      <c r="CW165" s="670">
        <f>INPUT!DH82</f>
        <v>2.941176470588247</v>
      </c>
      <c r="CX165" s="669">
        <f>INPUT!DI82</f>
        <v>28.3</v>
      </c>
      <c r="CY165" s="670">
        <f>INPUT!DJ82</f>
        <v>3.284671532846728</v>
      </c>
      <c r="CZ165" s="669">
        <f>INPUT!DK82</f>
        <v>28.5</v>
      </c>
      <c r="DA165" s="670">
        <f>INPUT!DL82</f>
        <v>10.038610038610042</v>
      </c>
      <c r="DB165" s="669">
        <f>INPUT!DM82</f>
        <v>30.3</v>
      </c>
      <c r="DC165" s="670">
        <f>INPUT!DN82</f>
        <v>6.315789473684208</v>
      </c>
      <c r="DD165" s="669">
        <f>INPUT!DO82</f>
        <v>30.2</v>
      </c>
      <c r="DE165" s="670">
        <f>INPUT!DP82</f>
        <v>7.8571428571428514</v>
      </c>
      <c r="DF165" s="669">
        <f>INPUT!DQ82</f>
        <v>30</v>
      </c>
      <c r="DG165" s="670">
        <f>INPUT!DR82</f>
        <v>6.0070671378091856</v>
      </c>
      <c r="DH165" s="669">
        <f>INPUT!DS82</f>
        <v>30.7</v>
      </c>
      <c r="DI165" s="670">
        <f>INPUT!DT82</f>
        <v>7.7192982456140369</v>
      </c>
      <c r="DJ165" s="669">
        <f>INPUT!DU82</f>
        <v>32.299999999999997</v>
      </c>
      <c r="DK165" s="670">
        <f>INPUT!DV82</f>
        <v>6.6006600660065917</v>
      </c>
      <c r="DL165" s="669">
        <f>INPUT!DW82</f>
        <v>31</v>
      </c>
      <c r="DM165" s="670">
        <f>INPUT!DX82</f>
        <v>2.6490066225165476</v>
      </c>
      <c r="DN165" s="669">
        <f>INPUT!DY82</f>
        <v>31.5</v>
      </c>
      <c r="DO165" s="670">
        <f>INPUT!DZ82</f>
        <v>5.0000000000000044</v>
      </c>
      <c r="DP165" s="669">
        <f>INPUT!EA82</f>
        <v>32</v>
      </c>
      <c r="DQ165" s="670">
        <f>INPUT!EB82</f>
        <v>4.2345276872964188</v>
      </c>
      <c r="DR165" s="669">
        <f>INPUT!EC82</f>
        <v>32.6</v>
      </c>
      <c r="DS165" s="670">
        <f>INPUT!ED82</f>
        <v>0.92879256965945345</v>
      </c>
      <c r="DT165" s="669">
        <f>INPUT!EE82</f>
        <v>32.1</v>
      </c>
      <c r="DU165" s="670">
        <f>INPUT!EF82</f>
        <v>3.5483870967742082</v>
      </c>
      <c r="DV165" s="669">
        <f>INPUT!EG82</f>
        <v>33.299999999999997</v>
      </c>
      <c r="DW165" s="670">
        <f>INPUT!EH82</f>
        <v>5.7142857142857162</v>
      </c>
      <c r="DX165" s="669">
        <f>INPUT!EI82</f>
        <v>33.299999999999997</v>
      </c>
      <c r="DY165" s="670">
        <f>INPUT!EJ82</f>
        <v>4.0624999999999911</v>
      </c>
      <c r="DZ165" s="669">
        <f>INPUT!EK82</f>
        <v>34.769565044687191</v>
      </c>
      <c r="EA165" s="670">
        <f>INPUT!EL82</f>
        <v>6.655107499040458</v>
      </c>
      <c r="EB165" s="669">
        <f>INPUT!EM82</f>
        <v>34.442848063555118</v>
      </c>
      <c r="EC165" s="670">
        <f>INPUT!EN82</f>
        <v>7.2985920983025476</v>
      </c>
      <c r="ED165" s="669">
        <f>INPUT!EO82</f>
        <v>34.798559872889768</v>
      </c>
      <c r="EE165" s="670">
        <f>INPUT!EP82</f>
        <v>4.5001797984677738</v>
      </c>
      <c r="EF165" s="669">
        <f>INPUT!EQ82</f>
        <v>34.213087999999999</v>
      </c>
      <c r="EG165" s="670">
        <f>INPUT!ER82</f>
        <v>2.7420060060060036</v>
      </c>
      <c r="EH165" s="670"/>
      <c r="EI165" s="669">
        <f>INPUT!FB82</f>
        <v>0</v>
      </c>
      <c r="EJ165" s="681">
        <f>INPUT!FC82</f>
        <v>0</v>
      </c>
      <c r="EK165" s="669">
        <f>INPUT!FD82</f>
        <v>115.9</v>
      </c>
      <c r="EL165" s="681" t="str">
        <f>INPUT!FE82</f>
        <v>NA</v>
      </c>
      <c r="EM165" s="669">
        <f>INPUT!FF82</f>
        <v>113.2</v>
      </c>
      <c r="EN165" s="681">
        <f>INPUT!FG82</f>
        <v>-2.3295944779982758</v>
      </c>
      <c r="EO165" s="669">
        <f>INPUT!FH82</f>
        <v>106.2</v>
      </c>
      <c r="EP165" s="681">
        <f>INPUT!FI82</f>
        <v>-6.1837455830388688</v>
      </c>
      <c r="EQ165" s="669">
        <f>INPUT!FJ82</f>
        <v>97.8</v>
      </c>
      <c r="ER165" s="670">
        <f>INPUT!FK82</f>
        <v>-7.9096045197740157</v>
      </c>
      <c r="ES165" s="669">
        <f>INPUT!FL82</f>
        <v>90.1</v>
      </c>
      <c r="ET165" s="670">
        <f>INPUT!FM82</f>
        <v>-7.8732106339468366</v>
      </c>
      <c r="EU165" s="669">
        <f>INPUT!FN82</f>
        <v>88.699999999999989</v>
      </c>
      <c r="EV165" s="670">
        <f>INPUT!FO82</f>
        <v>-1.5538290788013387</v>
      </c>
      <c r="EW165" s="669">
        <f>INPUT!FP82</f>
        <v>85.4</v>
      </c>
      <c r="EX165" s="670">
        <f>INPUT!FQ82</f>
        <v>-3.7204058624576986</v>
      </c>
      <c r="EY165" s="669">
        <f>INPUT!FR82</f>
        <v>85.399999999999991</v>
      </c>
      <c r="EZ165" s="670">
        <f>INPUT!FS82</f>
        <v>-1.1102230246251565E-14</v>
      </c>
      <c r="FA165" s="669">
        <f>INPUT!FT82</f>
        <v>89.300000000000011</v>
      </c>
      <c r="FB165" s="670">
        <f>INPUT!FU82</f>
        <v>4.5667447306791731</v>
      </c>
      <c r="FC165" s="669">
        <f>INPUT!FV82</f>
        <v>95.5</v>
      </c>
      <c r="FD165" s="670">
        <f>INPUT!FW82</f>
        <v>6.9428891377379509</v>
      </c>
      <c r="FE165" s="669">
        <f>INPUT!FX82</f>
        <v>104.6</v>
      </c>
      <c r="FF165" s="670">
        <f>INPUT!FY82</f>
        <v>9.5287958115183091</v>
      </c>
      <c r="FG165" s="669">
        <f>INPUT!FZ82</f>
        <v>108.9</v>
      </c>
      <c r="FH165" s="670">
        <f>INPUT!GA82</f>
        <v>4.1108986615678855</v>
      </c>
      <c r="FI165" s="669">
        <f>INPUT!GB82</f>
        <v>113.3</v>
      </c>
      <c r="FJ165" s="670">
        <f>INPUT!GC82</f>
        <v>4.040404040404022</v>
      </c>
      <c r="FK165" s="669">
        <f>INPUT!GD82</f>
        <v>121.2</v>
      </c>
      <c r="FL165" s="670">
        <f>INPUT!GE82</f>
        <v>6.9726390114739578</v>
      </c>
      <c r="FM165" s="669">
        <f>INPUT!GF82</f>
        <v>126.8</v>
      </c>
      <c r="FN165" s="670">
        <f>INPUT!GG82</f>
        <v>4.6204620462046098</v>
      </c>
      <c r="FO165" s="669">
        <f>INPUT!GH82</f>
        <v>131.30000000000001</v>
      </c>
      <c r="FP165" s="670">
        <f>INPUT!GI82</f>
        <v>3.5488958990536501</v>
      </c>
      <c r="FQ165" s="669">
        <f>INPUT!GJ82</f>
        <v>138.22406098113208</v>
      </c>
      <c r="FR165" s="670">
        <f>INPUT!GK82</f>
        <v>5.2734660937791888</v>
      </c>
      <c r="FS165" s="669">
        <f>INPUT!GL82</f>
        <v>141.67966250566039</v>
      </c>
      <c r="FT165" s="670">
        <f>INPUT!GM82</f>
        <v>2.4999999999999911</v>
      </c>
      <c r="FU165" s="669">
        <f>INPUT!GN82</f>
        <v>145.22165406830189</v>
      </c>
      <c r="FV165" s="670">
        <f>INPUT!GO82</f>
        <v>2.4999999999999911</v>
      </c>
      <c r="FW165" s="669">
        <f>INPUT!GP82</f>
        <v>148.85219542000942</v>
      </c>
      <c r="FX165" s="670">
        <f>INPUT!GQ82</f>
        <v>2.4999999999999911</v>
      </c>
      <c r="FY165" s="669">
        <f>INPUT!GR82</f>
        <v>152.57350030550964</v>
      </c>
      <c r="FZ165" s="670">
        <f>INPUT!GS82</f>
        <v>2.4999999999999911</v>
      </c>
      <c r="GA165" s="681">
        <f>INPUT!GT82</f>
        <v>3.0487852765012091</v>
      </c>
    </row>
    <row r="166" spans="1:183" s="707" customFormat="1" ht="12.75" hidden="1" customHeight="1" outlineLevel="1" x14ac:dyDescent="0.2">
      <c r="A166" s="679" t="str">
        <f>INPUT!B83</f>
        <v>Net Change in DPAC</v>
      </c>
      <c r="B166" s="669"/>
      <c r="C166" s="671"/>
      <c r="D166" s="669"/>
      <c r="E166" s="681"/>
      <c r="F166" s="669"/>
      <c r="G166" s="681"/>
      <c r="H166" s="669"/>
      <c r="I166" s="681"/>
      <c r="J166" s="669"/>
      <c r="K166" s="681"/>
      <c r="L166" s="669"/>
      <c r="M166" s="681"/>
      <c r="N166" s="669"/>
      <c r="O166" s="681"/>
      <c r="P166" s="669"/>
      <c r="Q166" s="681"/>
      <c r="R166" s="669">
        <f>INPUT!AC83</f>
        <v>3.1000000000000032</v>
      </c>
      <c r="S166" s="681" t="str">
        <f>INPUT!AD83</f>
        <v>NA</v>
      </c>
      <c r="T166" s="669">
        <f>INPUT!AE83</f>
        <v>4.0999999999999996</v>
      </c>
      <c r="U166" s="681" t="str">
        <f>INPUT!AF83</f>
        <v>NA</v>
      </c>
      <c r="V166" s="669">
        <f>INPUT!AG83</f>
        <v>4.67</v>
      </c>
      <c r="W166" s="681" t="str">
        <f>INPUT!AH83</f>
        <v>NA</v>
      </c>
      <c r="X166" s="669">
        <f>INPUT!AI83</f>
        <v>8.1299999999999972</v>
      </c>
      <c r="Y166" s="681" t="str">
        <f>INPUT!AJ83</f>
        <v>NA</v>
      </c>
      <c r="Z166" s="669">
        <f>INPUT!AK83</f>
        <v>6.5999999999999979</v>
      </c>
      <c r="AA166" s="681" t="str">
        <f>INPUT!AL83</f>
        <v>NM</v>
      </c>
      <c r="AB166" s="669">
        <f>INPUT!AM83</f>
        <v>0.30000000000000071</v>
      </c>
      <c r="AC166" s="681" t="str">
        <f>INPUT!AN83</f>
        <v>NM</v>
      </c>
      <c r="AD166" s="669">
        <f>INPUT!AO83</f>
        <v>11.4</v>
      </c>
      <c r="AE166" s="681" t="str">
        <f>INPUT!AP83</f>
        <v>NM</v>
      </c>
      <c r="AF166" s="669">
        <f>INPUT!AQ83</f>
        <v>12.000000000000002</v>
      </c>
      <c r="AG166" s="681">
        <f>INPUT!AR83</f>
        <v>47.601476014760216</v>
      </c>
      <c r="AH166" s="669">
        <f>INPUT!AS83</f>
        <v>6.5999999999999979</v>
      </c>
      <c r="AI166" s="681">
        <f>INPUT!AT83</f>
        <v>0</v>
      </c>
      <c r="AJ166" s="669">
        <f>INPUT!AU83</f>
        <v>6.4</v>
      </c>
      <c r="AK166" s="681" t="str">
        <f>INPUT!AV83</f>
        <v>NM</v>
      </c>
      <c r="AL166" s="669">
        <f>INPUT!AW83</f>
        <v>7.1000000000000014</v>
      </c>
      <c r="AM166" s="681">
        <f>INPUT!AX83</f>
        <v>-37.71929824561402</v>
      </c>
      <c r="AN166" s="669">
        <f>INPUT!AY83</f>
        <v>7.1999999999999993</v>
      </c>
      <c r="AO166" s="670">
        <f>INPUT!AZ83</f>
        <v>-40.000000000000014</v>
      </c>
      <c r="AP166" s="669">
        <f>INPUT!BA83</f>
        <v>0.20000000000000107</v>
      </c>
      <c r="AQ166" s="670" t="str">
        <f>INPUT!BB83</f>
        <v>NM</v>
      </c>
      <c r="AR166" s="669">
        <f>INPUT!BC83</f>
        <v>1.4000000000000004</v>
      </c>
      <c r="AS166" s="670" t="str">
        <f>INPUT!BD83</f>
        <v>NM</v>
      </c>
      <c r="AT166" s="669">
        <f>INPUT!BE83</f>
        <v>1.2000000000000011</v>
      </c>
      <c r="AU166" s="670" t="str">
        <f>INPUT!BF83</f>
        <v>NM</v>
      </c>
      <c r="AV166" s="669">
        <f>INPUT!BG83</f>
        <v>0.5</v>
      </c>
      <c r="AW166" s="670" t="str">
        <f>INPUT!BH83</f>
        <v>NM</v>
      </c>
      <c r="AX166" s="669">
        <f>INPUT!BI83</f>
        <v>4.0999999999999996</v>
      </c>
      <c r="AY166" s="670" t="str">
        <f>INPUT!BJ83</f>
        <v>NM</v>
      </c>
      <c r="AZ166" s="669">
        <f>INPUT!BK83</f>
        <v>3.5</v>
      </c>
      <c r="BA166" s="670" t="str">
        <f>INPUT!BL83</f>
        <v>NM</v>
      </c>
      <c r="BB166" s="669">
        <f>INPUT!BM83</f>
        <v>3.5999999999999996</v>
      </c>
      <c r="BC166" s="670" t="str">
        <f>INPUT!BN83</f>
        <v>NM</v>
      </c>
      <c r="BD166" s="669">
        <f>INPUT!BO83</f>
        <v>3.5</v>
      </c>
      <c r="BE166" s="670" t="str">
        <f>INPUT!BP83</f>
        <v>NM</v>
      </c>
      <c r="BF166" s="669">
        <f>INPUT!BQ83</f>
        <v>-0.30000000000000071</v>
      </c>
      <c r="BG166" s="670" t="str">
        <f>INPUT!BR83</f>
        <v>NM</v>
      </c>
      <c r="BH166" s="669">
        <f>INPUT!BS83</f>
        <v>-0.59999999999999964</v>
      </c>
      <c r="BI166" s="670" t="str">
        <f>INPUT!BT83</f>
        <v>NM</v>
      </c>
      <c r="BJ166" s="669">
        <f>INPUT!BU83</f>
        <v>-0.40000000000000036</v>
      </c>
      <c r="BK166" s="670" t="str">
        <f>INPUT!BV83</f>
        <v>NM</v>
      </c>
      <c r="BL166" s="669">
        <f>INPUT!BW83</f>
        <v>-0.90000000000000036</v>
      </c>
      <c r="BM166" s="670" t="str">
        <f>INPUT!BX83</f>
        <v>NM</v>
      </c>
      <c r="BN166" s="669">
        <f>INPUT!BY83</f>
        <v>-0.10000000000000009</v>
      </c>
      <c r="BO166" s="670" t="str">
        <f>INPUT!BZ83</f>
        <v>NM</v>
      </c>
      <c r="BP166" s="669">
        <f>INPUT!CA83</f>
        <v>-0.29999999999999982</v>
      </c>
      <c r="BQ166" s="670">
        <f>INPUT!CB83</f>
        <v>-50</v>
      </c>
      <c r="BR166" s="669">
        <f>INPUT!CC83</f>
        <v>-0.59999999999999964</v>
      </c>
      <c r="BS166" s="670">
        <f>INPUT!CD83</f>
        <v>49.99999999999978</v>
      </c>
      <c r="BT166" s="669">
        <f>INPUT!CE83</f>
        <v>-0.30000000000000027</v>
      </c>
      <c r="BU166" s="670" t="str">
        <f>INPUT!CF83</f>
        <v>NM</v>
      </c>
      <c r="BV166" s="669">
        <f>INPUT!CG83</f>
        <v>-1.1000000000000001</v>
      </c>
      <c r="BW166" s="670" t="str">
        <f>INPUT!CH83</f>
        <v>NM</v>
      </c>
      <c r="BX166" s="669">
        <f>INPUT!CI83</f>
        <v>-1.1000000000000001</v>
      </c>
      <c r="BY166" s="670" t="str">
        <f>INPUT!CJ83</f>
        <v>NM</v>
      </c>
      <c r="BZ166" s="669">
        <f>INPUT!CK83</f>
        <v>-0.89999999999999991</v>
      </c>
      <c r="CA166" s="670">
        <f>INPUT!CL83</f>
        <v>50.000000000000064</v>
      </c>
      <c r="CB166" s="669">
        <f>INPUT!CM83</f>
        <v>-1.1999999999999997</v>
      </c>
      <c r="CC166" s="670" t="str">
        <f>INPUT!CN83</f>
        <v>NM</v>
      </c>
      <c r="CD166" s="669">
        <f>INPUT!CO83</f>
        <v>-1.6999999999999997</v>
      </c>
      <c r="CE166" s="670">
        <f>INPUT!CP83</f>
        <v>54.545454545454518</v>
      </c>
      <c r="CF166" s="669">
        <f>INPUT!CQ83</f>
        <v>-1.7000000000000002</v>
      </c>
      <c r="CG166" s="670">
        <f>INPUT!CR83</f>
        <v>54.54545454545454</v>
      </c>
      <c r="CH166" s="669">
        <f>INPUT!CS83</f>
        <v>-1.6000000000000005</v>
      </c>
      <c r="CI166" s="670">
        <f>INPUT!CT83</f>
        <v>77.777777777777857</v>
      </c>
      <c r="CJ166" s="669">
        <f>INPUT!CU83</f>
        <v>-3.8000000000000003</v>
      </c>
      <c r="CK166" s="670" t="str">
        <f>INPUT!CV83</f>
        <v>NM</v>
      </c>
      <c r="CL166" s="669">
        <f>INPUT!CW83</f>
        <v>-1.6000000000000005</v>
      </c>
      <c r="CM166" s="670">
        <f>INPUT!CX83</f>
        <v>-5.8823529411764275</v>
      </c>
      <c r="CN166" s="669">
        <f>INPUT!CY83</f>
        <v>-2.1</v>
      </c>
      <c r="CO166" s="670">
        <f>INPUT!CZ83</f>
        <v>23.529411764705866</v>
      </c>
      <c r="CP166" s="669">
        <f>INPUT!DA83</f>
        <v>-3.3</v>
      </c>
      <c r="CQ166" s="670" t="str">
        <f>INPUT!DB83</f>
        <v>NM</v>
      </c>
      <c r="CR166" s="669">
        <f>INPUT!DC83</f>
        <v>-2.1</v>
      </c>
      <c r="CS166" s="670">
        <f>INPUT!DD83</f>
        <v>-44.736842105263165</v>
      </c>
      <c r="CT166" s="669">
        <f>INPUT!DE83</f>
        <v>-1.9000000000000004</v>
      </c>
      <c r="CU166" s="670">
        <f>INPUT!DF83</f>
        <v>18.749999999999979</v>
      </c>
      <c r="CV166" s="669">
        <f>INPUT!DG83</f>
        <v>-2.2000000000000002</v>
      </c>
      <c r="CW166" s="670">
        <f>INPUT!DH83</f>
        <v>4.7619047619047672</v>
      </c>
      <c r="CX166" s="669">
        <f>INPUT!DI83</f>
        <v>-2.0999999999999996</v>
      </c>
      <c r="CY166" s="670">
        <f>INPUT!DJ83</f>
        <v>-36.363636363636374</v>
      </c>
      <c r="CZ166" s="669">
        <f>INPUT!DK83</f>
        <v>-3.7000000000000011</v>
      </c>
      <c r="DA166" s="670">
        <f>INPUT!DL83</f>
        <v>76.190476190476232</v>
      </c>
      <c r="DB166" s="669">
        <f>INPUT!DM83</f>
        <v>-1.5</v>
      </c>
      <c r="DC166" s="670">
        <f>INPUT!DN83</f>
        <v>-21.052631578947377</v>
      </c>
      <c r="DD166" s="669">
        <f>INPUT!DO83</f>
        <v>-2.2000000000000011</v>
      </c>
      <c r="DE166" s="670">
        <f>INPUT!DP83</f>
        <v>4.4408920985006262E-14</v>
      </c>
      <c r="DF166" s="669">
        <f>INPUT!DQ83</f>
        <v>-1.4000000000000004</v>
      </c>
      <c r="DG166" s="670">
        <f>INPUT!DR83</f>
        <v>-33.3333333333333</v>
      </c>
      <c r="DH166" s="669">
        <f>INPUT!DS83</f>
        <v>-2</v>
      </c>
      <c r="DI166" s="670">
        <f>INPUT!DT83</f>
        <v>-45.945945945945965</v>
      </c>
      <c r="DJ166" s="669">
        <f>INPUT!DU83</f>
        <v>-2.3000000000000007</v>
      </c>
      <c r="DK166" s="670">
        <f>INPUT!DV83</f>
        <v>53.333333333333385</v>
      </c>
      <c r="DL166" s="669">
        <f>INPUT!DW83</f>
        <v>-1.4999999999999991</v>
      </c>
      <c r="DM166" s="670">
        <f>INPUT!DX83</f>
        <v>-31.818181818181891</v>
      </c>
      <c r="DN166" s="669">
        <f>INPUT!DY83</f>
        <v>-1.6000000000000005</v>
      </c>
      <c r="DO166" s="670">
        <f>INPUT!DZ83</f>
        <v>14.285714285714302</v>
      </c>
      <c r="DP166" s="669">
        <f>INPUT!EA83</f>
        <v>-1.1000000000000005</v>
      </c>
      <c r="DQ166" s="670">
        <f>INPUT!EB83</f>
        <v>-44.999999999999972</v>
      </c>
      <c r="DR166" s="669">
        <f>INPUT!EC83</f>
        <v>-1.3000000000000007</v>
      </c>
      <c r="DS166" s="670">
        <f>INPUT!ED83</f>
        <v>-43.478260869565197</v>
      </c>
      <c r="DT166" s="669">
        <f>INPUT!EE83</f>
        <v>-0.80000000000000071</v>
      </c>
      <c r="DU166" s="670">
        <f>INPUT!EF83</f>
        <v>-46.666666666666586</v>
      </c>
      <c r="DV166" s="669">
        <f>INPUT!EG83</f>
        <v>-1.5999999999999996</v>
      </c>
      <c r="DW166" s="670">
        <f>INPUT!EH83</f>
        <v>-5.5511151231257827E-14</v>
      </c>
      <c r="DX166" s="669">
        <f>INPUT!EI83</f>
        <v>-0.59999999999999964</v>
      </c>
      <c r="DY166" s="670">
        <f>INPUT!EJ83</f>
        <v>-45.454545454545517</v>
      </c>
      <c r="DZ166" s="669">
        <f>INPUT!EK83</f>
        <v>-0.62647864945382292</v>
      </c>
      <c r="EA166" s="670" t="str">
        <f>INPUT!EL83</f>
        <v>NM</v>
      </c>
      <c r="EB166" s="669">
        <f>INPUT!EM83</f>
        <v>-0.62059185700099273</v>
      </c>
      <c r="EC166" s="670">
        <f>INPUT!EN83</f>
        <v>-22.426017874875981</v>
      </c>
      <c r="ED166" s="669">
        <f>INPUT!EO83</f>
        <v>-0.62700107879080624</v>
      </c>
      <c r="EE166" s="670" t="str">
        <f>INPUT!EP83</f>
        <v>NM</v>
      </c>
      <c r="EF166" s="669">
        <f>INPUT!EQ83</f>
        <v>-0.6164520360360356</v>
      </c>
      <c r="EG166" s="670">
        <f>INPUT!ER83</f>
        <v>2.7420060060060036</v>
      </c>
      <c r="EH166" s="670"/>
      <c r="EI166" s="669">
        <f>INPUT!FB83</f>
        <v>0</v>
      </c>
      <c r="EJ166" s="681">
        <f>INPUT!FC83</f>
        <v>0</v>
      </c>
      <c r="EK166" s="669">
        <f>INPUT!FD83</f>
        <v>-29.200000000000003</v>
      </c>
      <c r="EL166" s="681" t="str">
        <f>INPUT!FE83</f>
        <v>NA</v>
      </c>
      <c r="EM166" s="669">
        <f>INPUT!FF83</f>
        <v>-8.0999999999999943</v>
      </c>
      <c r="EN166" s="681" t="str">
        <f>INPUT!FG83</f>
        <v>NM</v>
      </c>
      <c r="EO166" s="669">
        <f>INPUT!FH83</f>
        <v>20</v>
      </c>
      <c r="EP166" s="681" t="str">
        <f>INPUT!FI83</f>
        <v>NM</v>
      </c>
      <c r="EQ166" s="669">
        <f>INPUT!FJ83</f>
        <v>30.3</v>
      </c>
      <c r="ER166" s="670">
        <f>INPUT!FK83</f>
        <v>51.500000000000014</v>
      </c>
      <c r="ES166" s="669">
        <f>INPUT!FL83</f>
        <v>27.3</v>
      </c>
      <c r="ET166" s="670">
        <f>INPUT!FM83</f>
        <v>-9.9009900990098991</v>
      </c>
      <c r="EU166" s="669">
        <f>INPUT!FN83</f>
        <v>3.3000000000000025</v>
      </c>
      <c r="EV166" s="670" t="str">
        <f>INPUT!FO83</f>
        <v>NM</v>
      </c>
      <c r="EW166" s="669">
        <f>INPUT!FP83</f>
        <v>14.7</v>
      </c>
      <c r="EX166" s="670" t="str">
        <f>INPUT!FQ83</f>
        <v>NM</v>
      </c>
      <c r="EY166" s="669">
        <f>INPUT!FR83</f>
        <v>-1.0999999999999979</v>
      </c>
      <c r="EZ166" s="670" t="str">
        <f>INPUT!FS83</f>
        <v>NM</v>
      </c>
      <c r="FA166" s="669">
        <f>INPUT!FT83</f>
        <v>-1.2999999999999998</v>
      </c>
      <c r="FB166" s="670">
        <f>INPUT!FU83</f>
        <v>18.181818181818386</v>
      </c>
      <c r="FC166" s="669">
        <f>INPUT!FV83</f>
        <v>-4.3</v>
      </c>
      <c r="FD166" s="670" t="str">
        <f>INPUT!FW83</f>
        <v>NM</v>
      </c>
      <c r="FE166" s="669">
        <f>INPUT!FX83</f>
        <v>-8.8000000000000007</v>
      </c>
      <c r="FF166" s="670" t="str">
        <f>INPUT!FY83</f>
        <v>NM</v>
      </c>
      <c r="FG166" s="669">
        <f>INPUT!FZ83</f>
        <v>-9.1</v>
      </c>
      <c r="FH166" s="670">
        <f>INPUT!GA83</f>
        <v>3.409090909090895</v>
      </c>
      <c r="FI166" s="669">
        <f>INPUT!GB83</f>
        <v>-9.9000000000000021</v>
      </c>
      <c r="FJ166" s="670">
        <f>INPUT!GC83</f>
        <v>8.7912087912088275</v>
      </c>
      <c r="FK166" s="669">
        <f>INPUT!GD83</f>
        <v>-7.1000000000000014</v>
      </c>
      <c r="FL166" s="670">
        <f>INPUT!GE83</f>
        <v>-28.282828282828287</v>
      </c>
      <c r="FM166" s="669">
        <f>INPUT!GF83</f>
        <v>-6.5000000000000009</v>
      </c>
      <c r="FN166" s="670">
        <f>INPUT!GG83</f>
        <v>-8.4507042253521227</v>
      </c>
      <c r="FO166" s="669">
        <f>INPUT!GH83</f>
        <v>-4.3000000000000007</v>
      </c>
      <c r="FP166" s="670">
        <f>INPUT!GI83</f>
        <v>-33.846153846153847</v>
      </c>
      <c r="FQ166" s="669">
        <f>INPUT!GJ83</f>
        <v>-2.4905236212816577</v>
      </c>
      <c r="FR166" s="670">
        <f>INPUT!GK83</f>
        <v>-42.080846016705642</v>
      </c>
      <c r="FS166" s="669">
        <f>INPUT!GL83</f>
        <v>-2.5527867118136993</v>
      </c>
      <c r="FT166" s="670">
        <f>INPUT!GM83</f>
        <v>2.5000000000000133</v>
      </c>
      <c r="FU166" s="669">
        <f>INPUT!GN83</f>
        <v>-2.6166063796090415</v>
      </c>
      <c r="FV166" s="670">
        <f>INPUT!GO83</f>
        <v>2.4999999999999911</v>
      </c>
      <c r="FW166" s="669">
        <f>INPUT!GP83</f>
        <v>-2.6820215390992677</v>
      </c>
      <c r="FX166" s="670">
        <f>INPUT!GQ83</f>
        <v>2.5000000000000133</v>
      </c>
      <c r="FY166" s="669">
        <f>INPUT!GR83</f>
        <v>-2.749072077576749</v>
      </c>
      <c r="FZ166" s="670">
        <f>INPUT!GS83</f>
        <v>2.4999999999999911</v>
      </c>
      <c r="GA166" s="681">
        <f>INPUT!GT83</f>
        <v>-8.5584594386410533</v>
      </c>
    </row>
    <row r="167" spans="1:183" s="707" customFormat="1" ht="12.75" hidden="1" customHeight="1" outlineLevel="1" x14ac:dyDescent="0.2">
      <c r="A167" s="679" t="str">
        <f>INPUT!B84</f>
        <v>Operating Expenses</v>
      </c>
      <c r="B167" s="669"/>
      <c r="C167" s="671"/>
      <c r="D167" s="669"/>
      <c r="E167" s="681"/>
      <c r="F167" s="669"/>
      <c r="G167" s="681"/>
      <c r="H167" s="669"/>
      <c r="I167" s="681"/>
      <c r="J167" s="669"/>
      <c r="K167" s="681"/>
      <c r="L167" s="669"/>
      <c r="M167" s="681"/>
      <c r="N167" s="669"/>
      <c r="O167" s="681"/>
      <c r="P167" s="669"/>
      <c r="Q167" s="681"/>
      <c r="R167" s="669">
        <f>INPUT!AC84</f>
        <v>49.699999999999996</v>
      </c>
      <c r="S167" s="681" t="str">
        <f>INPUT!AD84</f>
        <v>NA</v>
      </c>
      <c r="T167" s="669">
        <f>INPUT!AE84</f>
        <v>46.4</v>
      </c>
      <c r="U167" s="681" t="str">
        <f>INPUT!AF84</f>
        <v>NA</v>
      </c>
      <c r="V167" s="669">
        <f>INPUT!AG84</f>
        <v>44.6</v>
      </c>
      <c r="W167" s="681" t="str">
        <f>INPUT!AH84</f>
        <v>NA</v>
      </c>
      <c r="X167" s="669">
        <f>INPUT!AI84</f>
        <v>46.100000000000016</v>
      </c>
      <c r="Y167" s="681" t="str">
        <f>INPUT!AJ84</f>
        <v>NA</v>
      </c>
      <c r="Z167" s="669">
        <f>INPUT!AK84</f>
        <v>46.9</v>
      </c>
      <c r="AA167" s="681">
        <f>INPUT!AL84</f>
        <v>-5.6338028169014009</v>
      </c>
      <c r="AB167" s="669">
        <f>INPUT!AM84</f>
        <v>46.6</v>
      </c>
      <c r="AC167" s="681">
        <f>INPUT!AN84</f>
        <v>0.43103448275862988</v>
      </c>
      <c r="AD167" s="669">
        <f>INPUT!AO84</f>
        <v>46.9</v>
      </c>
      <c r="AE167" s="681">
        <f>INPUT!AP84</f>
        <v>5.1569506726457437</v>
      </c>
      <c r="AF167" s="669">
        <f>INPUT!AQ84</f>
        <v>47.9</v>
      </c>
      <c r="AG167" s="681">
        <f>INPUT!AR84</f>
        <v>3.9045553145335754</v>
      </c>
      <c r="AH167" s="669">
        <f>INPUT!AS84</f>
        <v>45.6</v>
      </c>
      <c r="AI167" s="681">
        <f>INPUT!AT84</f>
        <v>-2.771855010660973</v>
      </c>
      <c r="AJ167" s="669">
        <f>INPUT!AU84</f>
        <v>46.3</v>
      </c>
      <c r="AK167" s="681">
        <f>INPUT!AV84</f>
        <v>-0.64377682403434777</v>
      </c>
      <c r="AL167" s="669">
        <f>INPUT!AW84</f>
        <v>43.4</v>
      </c>
      <c r="AM167" s="681">
        <f>INPUT!AX84</f>
        <v>-7.4626865671641784</v>
      </c>
      <c r="AN167" s="669">
        <f>INPUT!AY84</f>
        <v>43</v>
      </c>
      <c r="AO167" s="670">
        <f>INPUT!AZ84</f>
        <v>-10.229645093945717</v>
      </c>
      <c r="AP167" s="669">
        <f>INPUT!BA84</f>
        <v>40.6</v>
      </c>
      <c r="AQ167" s="670">
        <f>INPUT!BB84</f>
        <v>-10.964912280701755</v>
      </c>
      <c r="AR167" s="669">
        <f>INPUT!BC84</f>
        <v>39.9</v>
      </c>
      <c r="AS167" s="670">
        <f>INPUT!BD84</f>
        <v>-13.822894168466515</v>
      </c>
      <c r="AT167" s="669">
        <f>INPUT!BE84</f>
        <v>40.9</v>
      </c>
      <c r="AU167" s="670">
        <f>INPUT!BF84</f>
        <v>-5.7603686635944733</v>
      </c>
      <c r="AV167" s="669">
        <f>INPUT!BG84</f>
        <v>43.5</v>
      </c>
      <c r="AW167" s="670">
        <f>INPUT!BH84</f>
        <v>1.1627906976744207</v>
      </c>
      <c r="AX167" s="669">
        <f>INPUT!BI84</f>
        <v>43.8</v>
      </c>
      <c r="AY167" s="670">
        <f>INPUT!BJ84</f>
        <v>7.8817733990147687</v>
      </c>
      <c r="AZ167" s="669">
        <f>INPUT!BK84</f>
        <v>45.7</v>
      </c>
      <c r="BA167" s="670">
        <f>INPUT!BL84</f>
        <v>14.536340852130337</v>
      </c>
      <c r="BB167" s="669">
        <f>INPUT!BM84</f>
        <v>44.5</v>
      </c>
      <c r="BC167" s="670">
        <f>INPUT!BN84</f>
        <v>8.8019559902200442</v>
      </c>
      <c r="BD167" s="669">
        <f>INPUT!BO84</f>
        <v>46.1</v>
      </c>
      <c r="BE167" s="670">
        <f>INPUT!BP84</f>
        <v>5.9770114942528707</v>
      </c>
      <c r="BF167" s="669">
        <f>INPUT!BQ84</f>
        <v>49</v>
      </c>
      <c r="BG167" s="670">
        <f>INPUT!BR84</f>
        <v>11.872146118721471</v>
      </c>
      <c r="BH167" s="669">
        <f>INPUT!BS84</f>
        <v>49</v>
      </c>
      <c r="BI167" s="670">
        <f>INPUT!BT84</f>
        <v>7.2210065645514243</v>
      </c>
      <c r="BJ167" s="669">
        <f>INPUT!BU84</f>
        <v>48.6</v>
      </c>
      <c r="BK167" s="670">
        <f>INPUT!BV84</f>
        <v>9.2134831460674249</v>
      </c>
      <c r="BL167" s="669">
        <f>INPUT!BW84</f>
        <v>51</v>
      </c>
      <c r="BM167" s="670">
        <f>INPUT!BX84</f>
        <v>10.629067245119295</v>
      </c>
      <c r="BN167" s="669">
        <f>INPUT!BY84</f>
        <v>49.3</v>
      </c>
      <c r="BO167" s="670">
        <f>INPUT!BZ84</f>
        <v>0.61224489795916881</v>
      </c>
      <c r="BP167" s="669">
        <f>INPUT!CA84</f>
        <v>48.9</v>
      </c>
      <c r="BQ167" s="670">
        <f>INPUT!CB84</f>
        <v>-0.20408163265306367</v>
      </c>
      <c r="BR167" s="669">
        <f>INPUT!CC84</f>
        <v>49.1</v>
      </c>
      <c r="BS167" s="670">
        <f>INPUT!CD84</f>
        <v>1.0288065843621297</v>
      </c>
      <c r="BT167" s="669">
        <f>INPUT!CE84</f>
        <v>49.2</v>
      </c>
      <c r="BU167" s="670">
        <f>INPUT!CF84</f>
        <v>-3.5294117647058809</v>
      </c>
      <c r="BV167" s="669">
        <f>INPUT!CG84</f>
        <v>51</v>
      </c>
      <c r="BW167" s="670">
        <f>INPUT!CH84</f>
        <v>3.4482758620689724</v>
      </c>
      <c r="BX167" s="669">
        <f>INPUT!CI84</f>
        <v>49.6</v>
      </c>
      <c r="BY167" s="670">
        <f>INPUT!CJ84</f>
        <v>1.4314928425357865</v>
      </c>
      <c r="BZ167" s="669">
        <f>INPUT!CK84</f>
        <v>49.6</v>
      </c>
      <c r="CA167" s="670">
        <f>INPUT!CL84</f>
        <v>1.0183299389002087</v>
      </c>
      <c r="CB167" s="669">
        <f>INPUT!CM84</f>
        <v>49.1</v>
      </c>
      <c r="CC167" s="670">
        <f>INPUT!CN84</f>
        <v>-0.20325203252032908</v>
      </c>
      <c r="CD167" s="669">
        <f>INPUT!CO84</f>
        <v>48.7</v>
      </c>
      <c r="CE167" s="670">
        <f>INPUT!CP84</f>
        <v>-4.5098039215686221</v>
      </c>
      <c r="CF167" s="669">
        <f>INPUT!CQ84</f>
        <v>47.8</v>
      </c>
      <c r="CG167" s="670">
        <f>INPUT!CR84</f>
        <v>-3.629032258064524</v>
      </c>
      <c r="CH167" s="669">
        <f>INPUT!CS84</f>
        <v>46.4</v>
      </c>
      <c r="CI167" s="670">
        <f>INPUT!CT84</f>
        <v>-6.4516129032258114</v>
      </c>
      <c r="CJ167" s="669">
        <f>INPUT!CU84</f>
        <v>50.2</v>
      </c>
      <c r="CK167" s="670">
        <f>INPUT!CV84</f>
        <v>2.2403258655804503</v>
      </c>
      <c r="CL167" s="669">
        <f>INPUT!CW84</f>
        <v>49.3</v>
      </c>
      <c r="CM167" s="670">
        <f>INPUT!CX84</f>
        <v>1.2320328542094305</v>
      </c>
      <c r="CN167" s="669">
        <f>INPUT!CY84</f>
        <v>49.6</v>
      </c>
      <c r="CO167" s="670">
        <f>INPUT!CZ84</f>
        <v>3.7656903765690419</v>
      </c>
      <c r="CP167" s="669">
        <f>INPUT!DA84</f>
        <v>49.9</v>
      </c>
      <c r="CQ167" s="670">
        <f>INPUT!DB84</f>
        <v>7.5431034482758674</v>
      </c>
      <c r="CR167" s="669">
        <f>INPUT!DC84</f>
        <v>49.4</v>
      </c>
      <c r="CS167" s="670">
        <f>INPUT!DD84</f>
        <v>-1.5936254980079778</v>
      </c>
      <c r="CT167" s="669">
        <f>INPUT!DE84</f>
        <v>50.4</v>
      </c>
      <c r="CU167" s="670">
        <f>INPUT!DF84</f>
        <v>2.2312373225152227</v>
      </c>
      <c r="CV167" s="669">
        <f>INPUT!DG84</f>
        <v>50</v>
      </c>
      <c r="CW167" s="670">
        <f>INPUT!DH84</f>
        <v>0.80645161290322509</v>
      </c>
      <c r="CX167" s="669">
        <f>INPUT!DI84</f>
        <v>50.8</v>
      </c>
      <c r="CY167" s="670">
        <f>INPUT!DJ84</f>
        <v>1.8036072144288484</v>
      </c>
      <c r="CZ167" s="669">
        <f>INPUT!DK84</f>
        <v>54</v>
      </c>
      <c r="DA167" s="670">
        <f>INPUT!DL84</f>
        <v>9.3117408906882702</v>
      </c>
      <c r="DB167" s="669">
        <f>INPUT!DM84</f>
        <v>53.9</v>
      </c>
      <c r="DC167" s="670">
        <f>INPUT!DN84</f>
        <v>6.944444444444442</v>
      </c>
      <c r="DD167" s="669">
        <f>INPUT!DO84</f>
        <v>53.4</v>
      </c>
      <c r="DE167" s="670">
        <f>INPUT!DP84</f>
        <v>6.800000000000006</v>
      </c>
      <c r="DF167" s="669">
        <f>INPUT!DQ84</f>
        <v>53.2</v>
      </c>
      <c r="DG167" s="670">
        <f>INPUT!DR84</f>
        <v>4.7244094488189115</v>
      </c>
      <c r="DH167" s="669">
        <f>INPUT!DS84</f>
        <v>55.2</v>
      </c>
      <c r="DI167" s="670">
        <f>INPUT!DT84</f>
        <v>2.2222222222222365</v>
      </c>
      <c r="DJ167" s="669">
        <f>INPUT!DU84</f>
        <v>54.3</v>
      </c>
      <c r="DK167" s="670">
        <f>INPUT!DV84</f>
        <v>0.74211502782930427</v>
      </c>
      <c r="DL167" s="669">
        <f>INPUT!DW84</f>
        <v>52.9</v>
      </c>
      <c r="DM167" s="670">
        <f>INPUT!DX84</f>
        <v>-0.93632958801498356</v>
      </c>
      <c r="DN167" s="669">
        <f>INPUT!DY84</f>
        <v>52.4</v>
      </c>
      <c r="DO167" s="670">
        <f>INPUT!DZ84</f>
        <v>-1.5037593984962516</v>
      </c>
      <c r="DP167" s="669">
        <f>INPUT!EA84</f>
        <v>53.9</v>
      </c>
      <c r="DQ167" s="670">
        <f>INPUT!EB84</f>
        <v>-2.3550724637681264</v>
      </c>
      <c r="DR167" s="669">
        <f>INPUT!EC84</f>
        <v>55</v>
      </c>
      <c r="DS167" s="670">
        <f>INPUT!ED84</f>
        <v>1.2891344383057168</v>
      </c>
      <c r="DT167" s="669">
        <f>INPUT!EE84</f>
        <v>54.6</v>
      </c>
      <c r="DU167" s="670">
        <f>INPUT!EF84</f>
        <v>3.2136105860113506</v>
      </c>
      <c r="DV167" s="669">
        <f>INPUT!EG84</f>
        <v>53.5</v>
      </c>
      <c r="DW167" s="670">
        <f>INPUT!EH84</f>
        <v>2.0992366412213803</v>
      </c>
      <c r="DX167" s="669">
        <f>INPUT!EI84</f>
        <v>54.3</v>
      </c>
      <c r="DY167" s="670">
        <f>INPUT!EJ84</f>
        <v>0.74211502782930427</v>
      </c>
      <c r="DZ167" s="669">
        <f>INPUT!EK84</f>
        <v>56.550704777365475</v>
      </c>
      <c r="EA167" s="670">
        <f>INPUT!EL84</f>
        <v>2.8194632315735824</v>
      </c>
      <c r="EB167" s="669">
        <f>INPUT!EM84</f>
        <v>56.11344873840445</v>
      </c>
      <c r="EC167" s="670">
        <f>INPUT!EN84</f>
        <v>2.7718841362718738</v>
      </c>
      <c r="ED167" s="669">
        <f>INPUT!EO84</f>
        <v>57.073512833766223</v>
      </c>
      <c r="EE167" s="670">
        <f>INPUT!EP84</f>
        <v>6.6794632406845356</v>
      </c>
      <c r="EF167" s="669">
        <f>INPUT!EQ84</f>
        <v>56.542731981907238</v>
      </c>
      <c r="EG167" s="670">
        <f>INPUT!ER84</f>
        <v>4.1302614768089052</v>
      </c>
      <c r="EH167" s="670"/>
      <c r="EI167" s="669">
        <f>INPUT!FB84</f>
        <v>0</v>
      </c>
      <c r="EJ167" s="681">
        <f>INPUT!FC84</f>
        <v>0</v>
      </c>
      <c r="EK167" s="669">
        <f>INPUT!FD84</f>
        <v>202.6</v>
      </c>
      <c r="EL167" s="681" t="str">
        <f>INPUT!FE84</f>
        <v>NA</v>
      </c>
      <c r="EM167" s="669">
        <f>INPUT!FF84</f>
        <v>200.1</v>
      </c>
      <c r="EN167" s="681">
        <f>INPUT!FG84</f>
        <v>-1.2339585389930852</v>
      </c>
      <c r="EO167" s="669">
        <f>INPUT!FH84</f>
        <v>186.8</v>
      </c>
      <c r="EP167" s="681">
        <f>INPUT!FI84</f>
        <v>-6.6466766616691597</v>
      </c>
      <c r="EQ167" s="669">
        <f>INPUT!FJ84</f>
        <v>188.3</v>
      </c>
      <c r="ER167" s="670">
        <f>INPUT!FK84</f>
        <v>0.80299785867237183</v>
      </c>
      <c r="ES167" s="669">
        <f>INPUT!FL84</f>
        <v>178.3</v>
      </c>
      <c r="ET167" s="670">
        <f>INPUT!FM84</f>
        <v>-5.3106744556558727</v>
      </c>
      <c r="EU167" s="669">
        <f>INPUT!FN84</f>
        <v>164.9</v>
      </c>
      <c r="EV167" s="670">
        <f>INPUT!FO84</f>
        <v>-7.5154234436343277</v>
      </c>
      <c r="EW167" s="669">
        <f>INPUT!FP84</f>
        <v>180.1</v>
      </c>
      <c r="EX167" s="670">
        <f>INPUT!FQ84</f>
        <v>9.2177077016373445</v>
      </c>
      <c r="EY167" s="669">
        <f>INPUT!FR84</f>
        <v>197.6</v>
      </c>
      <c r="EZ167" s="670">
        <f>INPUT!FS84</f>
        <v>9.7168239866740613</v>
      </c>
      <c r="FA167" s="669">
        <f>INPUT!FT84</f>
        <v>196.5</v>
      </c>
      <c r="FB167" s="670">
        <f>INPUT!FU84</f>
        <v>-0.5566801619433126</v>
      </c>
      <c r="FC167" s="669">
        <f>INPUT!FV84</f>
        <v>199.29999999999998</v>
      </c>
      <c r="FD167" s="670">
        <f>INPUT!FW84</f>
        <v>1.4249363867684384</v>
      </c>
      <c r="FE167" s="669">
        <f>INPUT!FX84</f>
        <v>193.10000000000002</v>
      </c>
      <c r="FF167" s="670">
        <f>INPUT!FY84</f>
        <v>-3.1108881083793061</v>
      </c>
      <c r="FG167" s="669">
        <f>INPUT!FZ84</f>
        <v>198.20000000000002</v>
      </c>
      <c r="FH167" s="670">
        <f>INPUT!GA84</f>
        <v>2.641118591403413</v>
      </c>
      <c r="FI167" s="669">
        <f>INPUT!GB84</f>
        <v>205.2</v>
      </c>
      <c r="FJ167" s="670">
        <f>INPUT!GC84</f>
        <v>3.5317860746720386</v>
      </c>
      <c r="FK167" s="669">
        <f>INPUT!GD84</f>
        <v>215.7</v>
      </c>
      <c r="FL167" s="670">
        <f>INPUT!GE84</f>
        <v>5.1169590643274754</v>
      </c>
      <c r="FM167" s="669">
        <f>INPUT!GF84</f>
        <v>213.5</v>
      </c>
      <c r="FN167" s="670">
        <f>INPUT!GG84</f>
        <v>-1.0199350950394037</v>
      </c>
      <c r="FO167" s="669">
        <f>INPUT!GH84</f>
        <v>217.39999999999998</v>
      </c>
      <c r="FP167" s="670">
        <f>INPUT!GI84</f>
        <v>1.8266978922716559</v>
      </c>
      <c r="FQ167" s="669">
        <f>INPUT!GJ84</f>
        <v>226.28039833144339</v>
      </c>
      <c r="FR167" s="670">
        <f>INPUT!GK84</f>
        <v>4.084819839670395</v>
      </c>
      <c r="FS167" s="669">
        <f>INPUT!GL84</f>
        <v>232.15899320718717</v>
      </c>
      <c r="FT167" s="670">
        <f>INPUT!GM84</f>
        <v>2.5979249281385508</v>
      </c>
      <c r="FU167" s="669">
        <f>INPUT!GN84</f>
        <v>238.19341635152287</v>
      </c>
      <c r="FV167" s="670">
        <f>INPUT!GO84</f>
        <v>2.5992631433193525</v>
      </c>
      <c r="FW167" s="669">
        <f>INPUT!GP84</f>
        <v>244.38791800703319</v>
      </c>
      <c r="FX167" s="670">
        <f>INPUT!GQ84</f>
        <v>2.6006183337865973</v>
      </c>
      <c r="FY167" s="669">
        <f>INPUT!GR84</f>
        <v>250.74686885380018</v>
      </c>
      <c r="FZ167" s="670">
        <f>INPUT!GS84</f>
        <v>2.6019906788452563</v>
      </c>
      <c r="GA167" s="681">
        <f>INPUT!GT84</f>
        <v>2.8952189797552874</v>
      </c>
    </row>
    <row r="168" spans="1:183" s="707" customFormat="1" ht="12.75" hidden="1" customHeight="1" outlineLevel="1" x14ac:dyDescent="0.2">
      <c r="A168" s="679" t="str">
        <f>INPUT!B85</f>
        <v xml:space="preserve"> Total Benefits and Expenses</v>
      </c>
      <c r="B168" s="669"/>
      <c r="C168" s="671"/>
      <c r="D168" s="669"/>
      <c r="E168" s="681"/>
      <c r="F168" s="669"/>
      <c r="G168" s="681"/>
      <c r="H168" s="669"/>
      <c r="I168" s="681"/>
      <c r="J168" s="669"/>
      <c r="K168" s="681"/>
      <c r="L168" s="669"/>
      <c r="M168" s="681"/>
      <c r="N168" s="669"/>
      <c r="O168" s="681"/>
      <c r="P168" s="669"/>
      <c r="Q168" s="681"/>
      <c r="R168" s="669">
        <f>INPUT!AC85</f>
        <v>400</v>
      </c>
      <c r="S168" s="681" t="str">
        <f>INPUT!AD85</f>
        <v>NA</v>
      </c>
      <c r="T168" s="669">
        <f>INPUT!AE85</f>
        <v>395</v>
      </c>
      <c r="U168" s="681" t="str">
        <f>INPUT!AF85</f>
        <v>NA</v>
      </c>
      <c r="V168" s="669">
        <f>INPUT!AG85</f>
        <v>379.97</v>
      </c>
      <c r="W168" s="681" t="str">
        <f>INPUT!AH85</f>
        <v>NA</v>
      </c>
      <c r="X168" s="669">
        <f>INPUT!AI85</f>
        <v>382.32999999999993</v>
      </c>
      <c r="Y168" s="681" t="str">
        <f>INPUT!AJ85</f>
        <v>NA</v>
      </c>
      <c r="Z168" s="669">
        <f>INPUT!AK85</f>
        <v>354</v>
      </c>
      <c r="AA168" s="681">
        <f>INPUT!AL85</f>
        <v>-11.5</v>
      </c>
      <c r="AB168" s="669">
        <f>INPUT!AM85</f>
        <v>362.1</v>
      </c>
      <c r="AC168" s="681">
        <f>INPUT!AN85</f>
        <v>-8.329113924050624</v>
      </c>
      <c r="AD168" s="669">
        <f>INPUT!AO85</f>
        <v>351.59999999999997</v>
      </c>
      <c r="AE168" s="681">
        <f>INPUT!AP85</f>
        <v>-7.4663789246519618</v>
      </c>
      <c r="AF168" s="669">
        <f>INPUT!AQ85</f>
        <v>360.59999999999997</v>
      </c>
      <c r="AG168" s="681">
        <f>INPUT!AR85</f>
        <v>-5.6835717835377775</v>
      </c>
      <c r="AH168" s="669">
        <f>INPUT!AS85</f>
        <v>350.00000000000006</v>
      </c>
      <c r="AI168" s="681">
        <f>INPUT!AT85</f>
        <v>-1.1299435028248372</v>
      </c>
      <c r="AJ168" s="669">
        <f>INPUT!AU85</f>
        <v>351.8</v>
      </c>
      <c r="AK168" s="681">
        <f>INPUT!AV85</f>
        <v>-2.8445180889257182</v>
      </c>
      <c r="AL168" s="669">
        <f>INPUT!AW85</f>
        <v>323.10000000000002</v>
      </c>
      <c r="AM168" s="681">
        <f>INPUT!AX85</f>
        <v>-8.1058020477815518</v>
      </c>
      <c r="AN168" s="669">
        <f>INPUT!AY85</f>
        <v>338.09999999999997</v>
      </c>
      <c r="AO168" s="670">
        <f>INPUT!AZ85</f>
        <v>-6.2396006655574094</v>
      </c>
      <c r="AP168" s="669">
        <f>INPUT!BA85</f>
        <v>298.8</v>
      </c>
      <c r="AQ168" s="670">
        <f>INPUT!BB85</f>
        <v>-14.628571428571435</v>
      </c>
      <c r="AR168" s="669">
        <f>INPUT!BC85</f>
        <v>293.39999999999998</v>
      </c>
      <c r="AS168" s="670">
        <f>INPUT!BD85</f>
        <v>-16.600341102899385</v>
      </c>
      <c r="AT168" s="669">
        <f>INPUT!BE85</f>
        <v>286.99999999999994</v>
      </c>
      <c r="AU168" s="670">
        <f>INPUT!BF85</f>
        <v>-11.173011451563008</v>
      </c>
      <c r="AV168" s="669">
        <f>INPUT!BG85</f>
        <v>279.3</v>
      </c>
      <c r="AW168" s="670">
        <f>INPUT!BH85</f>
        <v>-17.391304347826075</v>
      </c>
      <c r="AX168" s="669">
        <f>INPUT!BI85</f>
        <v>268.8</v>
      </c>
      <c r="AY168" s="670">
        <f>INPUT!BJ85</f>
        <v>-10.040160642570283</v>
      </c>
      <c r="AZ168" s="669">
        <f>INPUT!BK85</f>
        <v>278.90000000000003</v>
      </c>
      <c r="BA168" s="670">
        <f>INPUT!BL85</f>
        <v>-4.9420586230402019</v>
      </c>
      <c r="BB168" s="669">
        <f>INPUT!BM85</f>
        <v>280.79999999999995</v>
      </c>
      <c r="BC168" s="670">
        <f>INPUT!BN85</f>
        <v>-2.1602787456445949</v>
      </c>
      <c r="BD168" s="669">
        <f>INPUT!BO85</f>
        <v>279.3</v>
      </c>
      <c r="BE168" s="670">
        <f>INPUT!BP85</f>
        <v>0</v>
      </c>
      <c r="BF168" s="669">
        <f>INPUT!BQ85</f>
        <v>271.2</v>
      </c>
      <c r="BG168" s="670">
        <f>INPUT!BR85</f>
        <v>0.89285714285713969</v>
      </c>
      <c r="BH168" s="669">
        <f>INPUT!BS85</f>
        <v>275.79999999999995</v>
      </c>
      <c r="BI168" s="670">
        <f>INPUT!BT85</f>
        <v>-1.1115095016135057</v>
      </c>
      <c r="BJ168" s="669">
        <f>INPUT!BU85</f>
        <v>275.90000000000003</v>
      </c>
      <c r="BK168" s="670">
        <f>INPUT!BV85</f>
        <v>-1.7450142450142203</v>
      </c>
      <c r="BL168" s="669">
        <f>INPUT!BW85</f>
        <v>273.39999999999998</v>
      </c>
      <c r="BM168" s="670">
        <f>INPUT!BX85</f>
        <v>-2.1124239169352022</v>
      </c>
      <c r="BN168" s="669">
        <f>INPUT!BY85</f>
        <v>278</v>
      </c>
      <c r="BO168" s="670">
        <f>INPUT!BZ85</f>
        <v>2.5073746312684442</v>
      </c>
      <c r="BP168" s="669">
        <f>INPUT!CA85</f>
        <v>279.39999999999998</v>
      </c>
      <c r="BQ168" s="670">
        <f>INPUT!CB85</f>
        <v>1.3052936910805002</v>
      </c>
      <c r="BR168" s="669">
        <f>INPUT!CC85</f>
        <v>282</v>
      </c>
      <c r="BS168" s="670">
        <f>INPUT!CD85</f>
        <v>2.2109459949256838</v>
      </c>
      <c r="BT168" s="669">
        <f>INPUT!CE85</f>
        <v>285</v>
      </c>
      <c r="BU168" s="670">
        <f>INPUT!CF85</f>
        <v>4.24286759326995</v>
      </c>
      <c r="BV168" s="669">
        <f>INPUT!CG85</f>
        <v>283.60000000000002</v>
      </c>
      <c r="BW168" s="670">
        <f>INPUT!CH85</f>
        <v>2.0143884892086517</v>
      </c>
      <c r="BX168" s="669">
        <f>INPUT!CI85</f>
        <v>283.5</v>
      </c>
      <c r="BY168" s="670">
        <f>INPUT!CJ85</f>
        <v>1.4674302075877055</v>
      </c>
      <c r="BZ168" s="669">
        <f>INPUT!CK85</f>
        <v>287.2</v>
      </c>
      <c r="CA168" s="670">
        <f>INPUT!CL85</f>
        <v>1.8439716312056653</v>
      </c>
      <c r="CB168" s="669">
        <f>INPUT!CM85</f>
        <v>290.8</v>
      </c>
      <c r="CC168" s="670">
        <f>INPUT!CN85</f>
        <v>2.0350877192982564</v>
      </c>
      <c r="CD168" s="669">
        <f>INPUT!CO85</f>
        <v>304.89999999999998</v>
      </c>
      <c r="CE168" s="670">
        <f>INPUT!CP85</f>
        <v>7.5105782792665554</v>
      </c>
      <c r="CF168" s="669">
        <f>INPUT!CQ85</f>
        <v>304.2</v>
      </c>
      <c r="CG168" s="670">
        <f>INPUT!CR85</f>
        <v>7.3015873015872979</v>
      </c>
      <c r="CH168" s="669">
        <f>INPUT!CS85</f>
        <v>306.89999999999998</v>
      </c>
      <c r="CI168" s="670">
        <f>INPUT!CT85</f>
        <v>6.8593314763231161</v>
      </c>
      <c r="CJ168" s="669">
        <f>INPUT!CU85</f>
        <v>309.29999999999995</v>
      </c>
      <c r="CK168" s="670">
        <f>INPUT!CV85</f>
        <v>6.361760660247584</v>
      </c>
      <c r="CL168" s="669">
        <f>INPUT!CW85</f>
        <v>311.39999999999998</v>
      </c>
      <c r="CM168" s="670">
        <f>INPUT!CX85</f>
        <v>2.1318465070514936</v>
      </c>
      <c r="CN168" s="669">
        <f>INPUT!CY85</f>
        <v>312</v>
      </c>
      <c r="CO168" s="670">
        <f>INPUT!CZ85</f>
        <v>2.5641025641025772</v>
      </c>
      <c r="CP168" s="669">
        <f>INPUT!DA85</f>
        <v>314.29999999999995</v>
      </c>
      <c r="CQ168" s="670">
        <f>INPUT!DB85</f>
        <v>2.4112088628217565</v>
      </c>
      <c r="CR168" s="669">
        <f>INPUT!DC85</f>
        <v>270.2</v>
      </c>
      <c r="CS168" s="670">
        <f>INPUT!DD85</f>
        <v>-12.641448431943092</v>
      </c>
      <c r="CT168" s="669">
        <f>INPUT!DE85</f>
        <v>316.3</v>
      </c>
      <c r="CU168" s="670">
        <f>INPUT!DF85</f>
        <v>1.573538856775869</v>
      </c>
      <c r="CV168" s="669">
        <f>INPUT!DG85</f>
        <v>317.3</v>
      </c>
      <c r="CW168" s="670">
        <f>INPUT!DH85</f>
        <v>1.6987179487179427</v>
      </c>
      <c r="CX168" s="669">
        <f>INPUT!DI85</f>
        <v>320.7</v>
      </c>
      <c r="CY168" s="670">
        <f>INPUT!DJ85</f>
        <v>2.0362710785873483</v>
      </c>
      <c r="CZ168" s="669">
        <f>INPUT!DK85</f>
        <v>330.1</v>
      </c>
      <c r="DA168" s="670">
        <f>INPUT!DL85</f>
        <v>22.168763878608445</v>
      </c>
      <c r="DB168" s="669">
        <f>INPUT!DM85</f>
        <v>343.5</v>
      </c>
      <c r="DC168" s="670">
        <f>INPUT!DN85</f>
        <v>8.5994309200126509</v>
      </c>
      <c r="DD168" s="669">
        <f>INPUT!DO85</f>
        <v>351.29999999999995</v>
      </c>
      <c r="DE168" s="670">
        <f>INPUT!DP85</f>
        <v>10.715411282697751</v>
      </c>
      <c r="DF168" s="669">
        <f>INPUT!DQ85</f>
        <v>343.6</v>
      </c>
      <c r="DG168" s="670">
        <f>INPUT!DR85</f>
        <v>7.140629872154669</v>
      </c>
      <c r="DH168" s="669">
        <f>INPUT!DS85</f>
        <v>353</v>
      </c>
      <c r="DI168" s="670">
        <f>INPUT!DT85</f>
        <v>6.9372917297788383</v>
      </c>
      <c r="DJ168" s="669">
        <f>INPUT!DU85</f>
        <v>360.2</v>
      </c>
      <c r="DK168" s="670">
        <f>INPUT!DV85</f>
        <v>4.8617176128093131</v>
      </c>
      <c r="DL168" s="669">
        <f>INPUT!DW85</f>
        <v>356.79999999999995</v>
      </c>
      <c r="DM168" s="670">
        <f>INPUT!DX85</f>
        <v>1.5656134358098539</v>
      </c>
      <c r="DN168" s="669">
        <f>INPUT!DY85</f>
        <v>364.49999999999994</v>
      </c>
      <c r="DO168" s="670">
        <f>INPUT!DZ85</f>
        <v>6.082654249126862</v>
      </c>
      <c r="DP168" s="669">
        <f>INPUT!EA85</f>
        <v>364.9</v>
      </c>
      <c r="DQ168" s="670">
        <f>INPUT!EB85</f>
        <v>3.3711048158640233</v>
      </c>
      <c r="DR168" s="669">
        <f>INPUT!EC85</f>
        <v>377</v>
      </c>
      <c r="DS168" s="670">
        <f>INPUT!ED85</f>
        <v>4.6640755136035494</v>
      </c>
      <c r="DT168" s="669">
        <f>INPUT!EE85</f>
        <v>368.70000000000005</v>
      </c>
      <c r="DU168" s="670">
        <f>INPUT!EF85</f>
        <v>3.335201793721998</v>
      </c>
      <c r="DV168" s="669">
        <f>INPUT!EG85</f>
        <v>375.8</v>
      </c>
      <c r="DW168" s="670">
        <f>INPUT!EH85</f>
        <v>3.1001371742112704</v>
      </c>
      <c r="DX168" s="669">
        <f>INPUT!EI85</f>
        <v>392.7</v>
      </c>
      <c r="DY168" s="670">
        <f>INPUT!EJ85</f>
        <v>7.6185256234584831</v>
      </c>
      <c r="DZ168" s="669">
        <f>INPUT!EK85</f>
        <v>389.72332717259877</v>
      </c>
      <c r="EA168" s="670">
        <f>INPUT!EL85</f>
        <v>3.374887844190666</v>
      </c>
      <c r="EB168" s="669">
        <f>INPUT!EM85</f>
        <v>386.15536894495852</v>
      </c>
      <c r="EC168" s="670">
        <f>INPUT!EN85</f>
        <v>4.7343013140652257</v>
      </c>
      <c r="ED168" s="669">
        <f>INPUT!EO85</f>
        <v>392.34503962786522</v>
      </c>
      <c r="EE168" s="670">
        <f>INPUT!EP85</f>
        <v>4.4026183150253306</v>
      </c>
      <c r="EF168" s="669">
        <f>INPUT!EQ85</f>
        <v>387.98579994587124</v>
      </c>
      <c r="EG168" s="670">
        <f>INPUT!ER85</f>
        <v>-1.2004583789479883</v>
      </c>
      <c r="EH168" s="670"/>
      <c r="EI168" s="669">
        <f>INPUT!FB85</f>
        <v>0</v>
      </c>
      <c r="EJ168" s="681">
        <f>INPUT!FC85</f>
        <v>0</v>
      </c>
      <c r="EK168" s="669">
        <f>INPUT!FD85</f>
        <v>1537.2</v>
      </c>
      <c r="EL168" s="681" t="str">
        <f>INPUT!FE85</f>
        <v>NA</v>
      </c>
      <c r="EM168" s="669">
        <f>INPUT!FF85</f>
        <v>1585.2</v>
      </c>
      <c r="EN168" s="681">
        <f>INPUT!FG85</f>
        <v>3.1225604996096834</v>
      </c>
      <c r="EO168" s="669">
        <f>INPUT!FH85</f>
        <v>1557.3</v>
      </c>
      <c r="EP168" s="681">
        <f>INPUT!FI85</f>
        <v>-1.7600302800908407</v>
      </c>
      <c r="EQ168" s="669">
        <f>INPUT!FJ85</f>
        <v>1428.3</v>
      </c>
      <c r="ER168" s="670">
        <f>INPUT!FK85</f>
        <v>-8.2835677133500258</v>
      </c>
      <c r="ES168" s="669">
        <f>INPUT!FL85</f>
        <v>1362.9999999999998</v>
      </c>
      <c r="ET168" s="670">
        <f>INPUT!FM85</f>
        <v>-4.5718686550444758</v>
      </c>
      <c r="EU168" s="669">
        <f>INPUT!FN85</f>
        <v>1158.5</v>
      </c>
      <c r="EV168" s="670">
        <f>INPUT!FO85</f>
        <v>-15.003668378576652</v>
      </c>
      <c r="EW168" s="669">
        <f>INPUT!FP85</f>
        <v>1107.8</v>
      </c>
      <c r="EX168" s="670">
        <f>INPUT!FQ85</f>
        <v>-4.3763487268019041</v>
      </c>
      <c r="EY168" s="669">
        <f>INPUT!FR85</f>
        <v>1097.3999999999999</v>
      </c>
      <c r="EZ168" s="670">
        <f>INPUT!FS85</f>
        <v>-0.93879761689836805</v>
      </c>
      <c r="FA168" s="669">
        <f>INPUT!FT85</f>
        <v>1124.4000000000001</v>
      </c>
      <c r="FB168" s="670">
        <f>INPUT!FU85</f>
        <v>2.4603608529251142</v>
      </c>
      <c r="FC168" s="669">
        <f>INPUT!FV85</f>
        <v>1145.0999999999999</v>
      </c>
      <c r="FD168" s="670">
        <f>INPUT!FW85</f>
        <v>1.8409818569903758</v>
      </c>
      <c r="FE168" s="669">
        <f>INPUT!FX85</f>
        <v>1225.3000000000002</v>
      </c>
      <c r="FF168" s="670">
        <f>INPUT!FY85</f>
        <v>7.0037551305563106</v>
      </c>
      <c r="FG168" s="669">
        <f>INPUT!FZ85</f>
        <v>1207.9000000000001</v>
      </c>
      <c r="FH168" s="670">
        <f>INPUT!GA85</f>
        <v>-1.4200603933730571</v>
      </c>
      <c r="FI168" s="669">
        <f>INPUT!GB85</f>
        <v>1284.3999999999999</v>
      </c>
      <c r="FJ168" s="670">
        <f>INPUT!GC85</f>
        <v>6.3333057372298773</v>
      </c>
      <c r="FK168" s="669">
        <f>INPUT!GD85</f>
        <v>1391.4</v>
      </c>
      <c r="FL168" s="670">
        <f>INPUT!GE85</f>
        <v>8.3307380878231196</v>
      </c>
      <c r="FM168" s="669">
        <f>INPUT!GF85</f>
        <v>1446.3999999999999</v>
      </c>
      <c r="FN168" s="670">
        <f>INPUT!GG85</f>
        <v>3.9528532413396489</v>
      </c>
      <c r="FO168" s="669">
        <f>INPUT!GH85</f>
        <v>1514.1999999999998</v>
      </c>
      <c r="FP168" s="670">
        <f>INPUT!GI85</f>
        <v>4.6875</v>
      </c>
      <c r="FQ168" s="669">
        <f>INPUT!GJ85</f>
        <v>1556.2095356912937</v>
      </c>
      <c r="FR168" s="670">
        <f>INPUT!GK85</f>
        <v>2.7743716610285185</v>
      </c>
      <c r="FS168" s="669">
        <f>INPUT!GL85</f>
        <v>1595.3363590010338</v>
      </c>
      <c r="FT168" s="670">
        <f>INPUT!GM85</f>
        <v>2.5142387584946357</v>
      </c>
      <c r="FU168" s="669">
        <f>INPUT!GN85</f>
        <v>1635.4502162902156</v>
      </c>
      <c r="FV168" s="670">
        <f>INPUT!GO85</f>
        <v>2.5144451239298649</v>
      </c>
      <c r="FW168" s="669">
        <f>INPUT!GP85</f>
        <v>1674.7673924504434</v>
      </c>
      <c r="FX168" s="670">
        <f>INPUT!GQ85</f>
        <v>2.4040582690076029</v>
      </c>
      <c r="FY168" s="669">
        <f>INPUT!GR85</f>
        <v>1716.8858301582952</v>
      </c>
      <c r="FZ168" s="670">
        <f>INPUT!GS85</f>
        <v>2.5148828367279163</v>
      </c>
      <c r="GA168" s="681">
        <f>INPUT!GT85</f>
        <v>2.5443259951967834</v>
      </c>
    </row>
    <row r="169" spans="1:183" s="707" customFormat="1" ht="12.75" hidden="1" customHeight="1" outlineLevel="1" x14ac:dyDescent="0.2">
      <c r="A169" s="679"/>
      <c r="B169" s="669"/>
      <c r="C169" s="671"/>
      <c r="D169" s="669"/>
      <c r="E169" s="681"/>
      <c r="F169" s="669"/>
      <c r="G169" s="681"/>
      <c r="H169" s="669"/>
      <c r="I169" s="681"/>
      <c r="J169" s="669"/>
      <c r="K169" s="681"/>
      <c r="L169" s="669"/>
      <c r="M169" s="681"/>
      <c r="N169" s="669"/>
      <c r="O169" s="681"/>
      <c r="P169" s="669"/>
      <c r="Q169" s="681"/>
      <c r="R169" s="669"/>
      <c r="S169" s="681"/>
      <c r="T169" s="669"/>
      <c r="U169" s="681"/>
      <c r="V169" s="669"/>
      <c r="W169" s="681"/>
      <c r="X169" s="669"/>
      <c r="Y169" s="681"/>
      <c r="Z169" s="669"/>
      <c r="AA169" s="681"/>
      <c r="AB169" s="669"/>
      <c r="AC169" s="681"/>
      <c r="AD169" s="669"/>
      <c r="AE169" s="681"/>
      <c r="AF169" s="669"/>
      <c r="AG169" s="681"/>
      <c r="AH169" s="669"/>
      <c r="AI169" s="681"/>
      <c r="AJ169" s="669"/>
      <c r="AK169" s="681"/>
      <c r="AL169" s="669"/>
      <c r="AM169" s="681"/>
      <c r="AN169" s="669"/>
      <c r="AO169" s="670"/>
      <c r="AP169" s="669"/>
      <c r="AQ169" s="670"/>
      <c r="AR169" s="669"/>
      <c r="AS169" s="670"/>
      <c r="AT169" s="669"/>
      <c r="AU169" s="670"/>
      <c r="AV169" s="669"/>
      <c r="AW169" s="670"/>
      <c r="AX169" s="669"/>
      <c r="AY169" s="670"/>
      <c r="AZ169" s="669"/>
      <c r="BA169" s="670"/>
      <c r="BB169" s="669"/>
      <c r="BC169" s="670"/>
      <c r="BD169" s="669"/>
      <c r="BE169" s="670"/>
      <c r="BF169" s="669"/>
      <c r="BG169" s="670"/>
      <c r="BH169" s="669"/>
      <c r="BI169" s="670"/>
      <c r="BJ169" s="669"/>
      <c r="BK169" s="670"/>
      <c r="BL169" s="669"/>
      <c r="BM169" s="670"/>
      <c r="BN169" s="669"/>
      <c r="BO169" s="670"/>
      <c r="BP169" s="669"/>
      <c r="BQ169" s="670"/>
      <c r="BR169" s="669"/>
      <c r="BS169" s="670"/>
      <c r="BT169" s="669"/>
      <c r="BU169" s="670"/>
      <c r="BV169" s="669"/>
      <c r="BW169" s="670"/>
      <c r="BX169" s="669"/>
      <c r="BY169" s="670"/>
      <c r="BZ169" s="669"/>
      <c r="CA169" s="670"/>
      <c r="CB169" s="669"/>
      <c r="CC169" s="670"/>
      <c r="CD169" s="669"/>
      <c r="CE169" s="670"/>
      <c r="CF169" s="669"/>
      <c r="CG169" s="670"/>
      <c r="CH169" s="669"/>
      <c r="CI169" s="670"/>
      <c r="CJ169" s="669"/>
      <c r="CK169" s="670"/>
      <c r="CL169" s="669"/>
      <c r="CM169" s="670"/>
      <c r="CN169" s="669"/>
      <c r="CO169" s="670"/>
      <c r="CP169" s="669"/>
      <c r="CQ169" s="670"/>
      <c r="CR169" s="669"/>
      <c r="CS169" s="670"/>
      <c r="CT169" s="669"/>
      <c r="CU169" s="670"/>
      <c r="CV169" s="669"/>
      <c r="CW169" s="670"/>
      <c r="CX169" s="669"/>
      <c r="CY169" s="670"/>
      <c r="CZ169" s="669"/>
      <c r="DA169" s="670"/>
      <c r="DB169" s="669"/>
      <c r="DC169" s="670"/>
      <c r="DD169" s="669"/>
      <c r="DE169" s="670"/>
      <c r="DF169" s="669"/>
      <c r="DG169" s="670"/>
      <c r="DH169" s="669"/>
      <c r="DI169" s="670"/>
      <c r="DJ169" s="669"/>
      <c r="DK169" s="670"/>
      <c r="DL169" s="669"/>
      <c r="DM169" s="670"/>
      <c r="DN169" s="669"/>
      <c r="DO169" s="670"/>
      <c r="DP169" s="669"/>
      <c r="DQ169" s="670"/>
      <c r="DR169" s="669"/>
      <c r="DS169" s="670"/>
      <c r="DT169" s="669"/>
      <c r="DU169" s="670"/>
      <c r="DV169" s="669"/>
      <c r="DW169" s="670"/>
      <c r="DX169" s="669"/>
      <c r="DY169" s="670"/>
      <c r="DZ169" s="669"/>
      <c r="EA169" s="670"/>
      <c r="EB169" s="669"/>
      <c r="EC169" s="670"/>
      <c r="ED169" s="669"/>
      <c r="EE169" s="670"/>
      <c r="EF169" s="669"/>
      <c r="EG169" s="670"/>
      <c r="EH169" s="670"/>
      <c r="EI169" s="669"/>
      <c r="EJ169" s="681"/>
      <c r="EK169" s="669"/>
      <c r="EL169" s="681"/>
      <c r="EM169" s="669"/>
      <c r="EN169" s="681"/>
      <c r="EO169" s="669"/>
      <c r="EP169" s="681"/>
      <c r="EQ169" s="669"/>
      <c r="ER169" s="670"/>
      <c r="ES169" s="669"/>
      <c r="ET169" s="670"/>
      <c r="EU169" s="669"/>
      <c r="EV169" s="670"/>
      <c r="EW169" s="669"/>
      <c r="EX169" s="670"/>
      <c r="EY169" s="669"/>
      <c r="EZ169" s="670"/>
      <c r="FA169" s="669"/>
      <c r="FB169" s="670"/>
      <c r="FC169" s="669"/>
      <c r="FD169" s="670"/>
      <c r="FE169" s="669"/>
      <c r="FF169" s="670"/>
      <c r="FG169" s="669"/>
      <c r="FH169" s="670"/>
      <c r="FI169" s="669"/>
      <c r="FJ169" s="670"/>
      <c r="FK169" s="669"/>
      <c r="FL169" s="670"/>
      <c r="FM169" s="669"/>
      <c r="FN169" s="670"/>
      <c r="FO169" s="669"/>
      <c r="FP169" s="670"/>
      <c r="FQ169" s="669"/>
      <c r="FR169" s="670"/>
      <c r="FS169" s="669"/>
      <c r="FT169" s="670"/>
      <c r="FU169" s="669"/>
      <c r="FV169" s="670"/>
      <c r="FW169" s="669"/>
      <c r="FX169" s="670"/>
      <c r="FY169" s="669"/>
      <c r="FZ169" s="670"/>
      <c r="GA169" s="681"/>
    </row>
    <row r="170" spans="1:183" ht="12.75" hidden="1" customHeight="1" outlineLevel="1" x14ac:dyDescent="0.2">
      <c r="A170" s="644" t="str">
        <f>INPUT!B93</f>
        <v>Pretax Earnings</v>
      </c>
      <c r="B170" s="645"/>
      <c r="C170" s="646"/>
      <c r="D170" s="645"/>
      <c r="E170" s="646"/>
      <c r="F170" s="645"/>
      <c r="G170" s="646"/>
      <c r="H170" s="645"/>
      <c r="I170" s="646"/>
      <c r="J170" s="645"/>
      <c r="K170" s="646"/>
      <c r="L170" s="645"/>
      <c r="M170" s="646"/>
      <c r="N170" s="645"/>
      <c r="O170" s="646"/>
      <c r="P170" s="645"/>
      <c r="Q170" s="646"/>
      <c r="R170" s="645">
        <f>INPUT!AC93</f>
        <v>46.60000000000008</v>
      </c>
      <c r="S170" s="646" t="str">
        <f>INPUT!AD93</f>
        <v>NA</v>
      </c>
      <c r="T170" s="645">
        <f>INPUT!AE93</f>
        <v>50.100000000000023</v>
      </c>
      <c r="U170" s="646" t="str">
        <f>INPUT!AF93</f>
        <v>NA</v>
      </c>
      <c r="V170" s="645">
        <f>INPUT!AG93</f>
        <v>55.230000000000018</v>
      </c>
      <c r="W170" s="646" t="str">
        <f>INPUT!AH93</f>
        <v>NA</v>
      </c>
      <c r="X170" s="645">
        <f>INPUT!AI93</f>
        <v>61.470000000000198</v>
      </c>
      <c r="Y170" s="646" t="str">
        <f>INPUT!AJ93</f>
        <v>NA</v>
      </c>
      <c r="Z170" s="645">
        <f>INPUT!AK93</f>
        <v>55.500000000000057</v>
      </c>
      <c r="AA170" s="646">
        <f>INPUT!AL93</f>
        <v>19.09871244635184</v>
      </c>
      <c r="AB170" s="645">
        <f>INPUT!AM93</f>
        <v>47.899999999999977</v>
      </c>
      <c r="AC170" s="646">
        <f>INPUT!AN93</f>
        <v>-4.3912175648703533</v>
      </c>
      <c r="AD170" s="645">
        <f>INPUT!AO93</f>
        <v>41.899999999999977</v>
      </c>
      <c r="AE170" s="646">
        <f>INPUT!AP93</f>
        <v>-24.135433641137126</v>
      </c>
      <c r="AF170" s="645">
        <f>INPUT!AQ93</f>
        <v>43.500000000000057</v>
      </c>
      <c r="AG170" s="646">
        <f>INPUT!AR93</f>
        <v>-29.233772571986471</v>
      </c>
      <c r="AH170" s="645">
        <f>INPUT!AS93</f>
        <v>43.899999999999977</v>
      </c>
      <c r="AI170" s="646">
        <f>INPUT!AT93</f>
        <v>-20.900900900901021</v>
      </c>
      <c r="AJ170" s="645">
        <f>INPUT!AU93</f>
        <v>44.799999999999955</v>
      </c>
      <c r="AK170" s="646">
        <f>INPUT!AV93</f>
        <v>-6.4718162839248912</v>
      </c>
      <c r="AL170" s="645">
        <f>INPUT!AW93</f>
        <v>43</v>
      </c>
      <c r="AM170" s="646">
        <f>INPUT!AX93</f>
        <v>2.6252983293556742</v>
      </c>
      <c r="AN170" s="645">
        <f>INPUT!AY93</f>
        <v>46.300000000000068</v>
      </c>
      <c r="AO170" s="647">
        <f>INPUT!AZ93</f>
        <v>6.43678160919543</v>
      </c>
      <c r="AP170" s="645">
        <f>INPUT!BA93</f>
        <v>49.399999999999977</v>
      </c>
      <c r="AQ170" s="647">
        <f>INPUT!BB93</f>
        <v>12.528473804100226</v>
      </c>
      <c r="AR170" s="645">
        <f>INPUT!BC93</f>
        <v>51.500000000000057</v>
      </c>
      <c r="AS170" s="647">
        <f>INPUT!BD93</f>
        <v>14.955357142857384</v>
      </c>
      <c r="AT170" s="645">
        <f>INPUT!BE93</f>
        <v>56.200000000000045</v>
      </c>
      <c r="AU170" s="647">
        <f>INPUT!BF93</f>
        <v>30.697674418604759</v>
      </c>
      <c r="AV170" s="645">
        <f>INPUT!BG93</f>
        <v>60.099999999999966</v>
      </c>
      <c r="AW170" s="647">
        <f>INPUT!BH93</f>
        <v>29.805615550755672</v>
      </c>
      <c r="AX170" s="645">
        <f>INPUT!BI93</f>
        <v>55.399999999999977</v>
      </c>
      <c r="AY170" s="647">
        <f>INPUT!BJ93</f>
        <v>12.145748987854255</v>
      </c>
      <c r="AZ170" s="645">
        <f>INPUT!BK93</f>
        <v>54.299999999999955</v>
      </c>
      <c r="BA170" s="647">
        <f>INPUT!BL93</f>
        <v>5.4368932038832973</v>
      </c>
      <c r="BB170" s="645">
        <f>INPUT!BM93</f>
        <v>50.900000000000034</v>
      </c>
      <c r="BC170" s="647">
        <f>INPUT!BN93</f>
        <v>-9.4306049822064146</v>
      </c>
      <c r="BD170" s="645">
        <f>INPUT!BO93</f>
        <v>50.300000000000011</v>
      </c>
      <c r="BE170" s="647">
        <f>INPUT!BP93</f>
        <v>-16.306156405989945</v>
      </c>
      <c r="BF170" s="645">
        <f>INPUT!BQ93</f>
        <v>48.300000000000011</v>
      </c>
      <c r="BG170" s="647">
        <f>INPUT!BR93</f>
        <v>-12.815884476534245</v>
      </c>
      <c r="BH170" s="645">
        <f>INPUT!BS93</f>
        <v>48.700000000000102</v>
      </c>
      <c r="BI170" s="647">
        <f>INPUT!BT93</f>
        <v>-10.313075506445413</v>
      </c>
      <c r="BJ170" s="645">
        <f>INPUT!BU93</f>
        <v>49.999999999999943</v>
      </c>
      <c r="BK170" s="647">
        <f>INPUT!BV93</f>
        <v>-1.7681728880158953</v>
      </c>
      <c r="BL170" s="645">
        <f>INPUT!BW93</f>
        <v>47.699999999999989</v>
      </c>
      <c r="BM170" s="647">
        <f>INPUT!BX93</f>
        <v>-5.1689860834990498</v>
      </c>
      <c r="BN170" s="645">
        <f>INPUT!BY93</f>
        <v>50.500000000000057</v>
      </c>
      <c r="BO170" s="647">
        <f>INPUT!BZ93</f>
        <v>4.5548654244307318</v>
      </c>
      <c r="BP170" s="645">
        <f>INPUT!CA93</f>
        <v>50.400000000000034</v>
      </c>
      <c r="BQ170" s="647">
        <f>INPUT!CB93</f>
        <v>3.4907597535932755</v>
      </c>
      <c r="BR170" s="645">
        <f>INPUT!CC93</f>
        <v>51.100000000000023</v>
      </c>
      <c r="BS170" s="647">
        <f>INPUT!CD93</f>
        <v>2.2000000000001574</v>
      </c>
      <c r="BT170" s="645">
        <f>INPUT!CE93</f>
        <v>52.000000000000057</v>
      </c>
      <c r="BU170" s="647">
        <f>INPUT!CF93</f>
        <v>9.0146750524110466</v>
      </c>
      <c r="BV170" s="645">
        <f>INPUT!CG93</f>
        <v>51.599999999999966</v>
      </c>
      <c r="BW170" s="647">
        <f>INPUT!CH93</f>
        <v>2.1782178217820025</v>
      </c>
      <c r="BX170" s="645">
        <f>INPUT!CI93</f>
        <v>52</v>
      </c>
      <c r="BY170" s="647">
        <f>INPUT!CJ93</f>
        <v>3.1746031746030967</v>
      </c>
      <c r="BZ170" s="645">
        <f>INPUT!CK93</f>
        <v>52.300000000000011</v>
      </c>
      <c r="CA170" s="647">
        <f>INPUT!CL93</f>
        <v>2.348336594911915</v>
      </c>
      <c r="CB170" s="645">
        <f>INPUT!CM93</f>
        <v>52.599999999999966</v>
      </c>
      <c r="CC170" s="647">
        <f>INPUT!CN93</f>
        <v>1.1538461538459721</v>
      </c>
      <c r="CD170" s="645">
        <f>INPUT!CO93</f>
        <v>52.399999999999977</v>
      </c>
      <c r="CE170" s="647">
        <f>INPUT!CP93</f>
        <v>1.5503875968992498</v>
      </c>
      <c r="CF170" s="645">
        <f>INPUT!CQ93</f>
        <v>57.299999999999955</v>
      </c>
      <c r="CG170" s="647">
        <f>INPUT!CR93</f>
        <v>10.192307692307612</v>
      </c>
      <c r="CH170" s="645">
        <f>INPUT!CS93</f>
        <v>56.100000000000023</v>
      </c>
      <c r="CI170" s="647">
        <f>INPUT!CT93</f>
        <v>7.2657743785851103</v>
      </c>
      <c r="CJ170" s="645">
        <f>INPUT!CU93</f>
        <v>55.100000000000023</v>
      </c>
      <c r="CK170" s="647">
        <f>INPUT!CV93</f>
        <v>4.7528517110267288</v>
      </c>
      <c r="CL170" s="645">
        <f>INPUT!CW93</f>
        <v>57.000000000000057</v>
      </c>
      <c r="CM170" s="647">
        <f>INPUT!CX93</f>
        <v>8.7786259541986276</v>
      </c>
      <c r="CN170" s="645">
        <f>INPUT!CY93</f>
        <v>56.099999999999966</v>
      </c>
      <c r="CO170" s="647">
        <f>INPUT!CZ93</f>
        <v>-2.0942408376963151</v>
      </c>
      <c r="CP170" s="645">
        <f>INPUT!DA93</f>
        <v>57.700000000000045</v>
      </c>
      <c r="CQ170" s="647">
        <f>INPUT!DB93</f>
        <v>2.8520499108734887</v>
      </c>
      <c r="CR170" s="645">
        <f>INPUT!DC93</f>
        <v>97.699999999999989</v>
      </c>
      <c r="CS170" s="647">
        <f>INPUT!DD93</f>
        <v>77.313974591651458</v>
      </c>
      <c r="CT170" s="645">
        <f>INPUT!DE93</f>
        <v>58.699999999999989</v>
      </c>
      <c r="CU170" s="647">
        <f>INPUT!DF93</f>
        <v>2.9824561403507532</v>
      </c>
      <c r="CV170" s="645">
        <f>INPUT!DG93</f>
        <v>60.599999999999966</v>
      </c>
      <c r="CW170" s="647">
        <f>INPUT!DH93</f>
        <v>8.0213903743315598</v>
      </c>
      <c r="CX170" s="645">
        <f>INPUT!DI93</f>
        <v>61.800000000000011</v>
      </c>
      <c r="CY170" s="647">
        <f>INPUT!DJ93</f>
        <v>7.1057192374349487</v>
      </c>
      <c r="CZ170" s="645">
        <f>INPUT!DK93</f>
        <v>59.300000000000011</v>
      </c>
      <c r="DA170" s="647">
        <f>INPUT!DL93</f>
        <v>-39.303991811668347</v>
      </c>
      <c r="DB170" s="645">
        <f>INPUT!DM93</f>
        <v>57.900000000000034</v>
      </c>
      <c r="DC170" s="647">
        <f>INPUT!DN93</f>
        <v>-1.3628620102213884</v>
      </c>
      <c r="DD170" s="645">
        <f>INPUT!DO93</f>
        <v>52.500000000000057</v>
      </c>
      <c r="DE170" s="647">
        <f>INPUT!DP93</f>
        <v>-13.366336633663224</v>
      </c>
      <c r="DF170" s="645">
        <f>INPUT!DQ93</f>
        <v>60.199999999999989</v>
      </c>
      <c r="DG170" s="647">
        <f>INPUT!DR93</f>
        <v>-2.5889967637540812</v>
      </c>
      <c r="DH170" s="645">
        <f>INPUT!DS93</f>
        <v>54.300000000000068</v>
      </c>
      <c r="DI170" s="647">
        <f>INPUT!DT93</f>
        <v>-8.4317032040471247</v>
      </c>
      <c r="DJ170" s="645">
        <f>INPUT!DU93</f>
        <v>55.400000000000034</v>
      </c>
      <c r="DK170" s="647">
        <f>INPUT!DV93</f>
        <v>-4.3177892918825567</v>
      </c>
      <c r="DL170" s="645">
        <f>INPUT!DW93</f>
        <v>56.900000000000034</v>
      </c>
      <c r="DM170" s="647">
        <f>INPUT!DX93</f>
        <v>8.3809523809523334</v>
      </c>
      <c r="DN170" s="645">
        <f>INPUT!DY93</f>
        <v>53.400000000000091</v>
      </c>
      <c r="DO170" s="647">
        <f>INPUT!DZ93</f>
        <v>-11.295681063122753</v>
      </c>
      <c r="DP170" s="645">
        <f>INPUT!EA93</f>
        <v>56.099999999999966</v>
      </c>
      <c r="DQ170" s="647">
        <f>INPUT!EB93</f>
        <v>3.3149171270716371</v>
      </c>
      <c r="DR170" s="645">
        <f>INPUT!EC93</f>
        <v>56</v>
      </c>
      <c r="DS170" s="647">
        <f>INPUT!ED93</f>
        <v>1.083032490974678</v>
      </c>
      <c r="DT170" s="645">
        <f>INPUT!EE93</f>
        <v>60.899999999999977</v>
      </c>
      <c r="DU170" s="647">
        <f>INPUT!EF93</f>
        <v>7.0298769771528047</v>
      </c>
      <c r="DV170" s="645">
        <f>INPUT!EG93</f>
        <v>60.099999999999966</v>
      </c>
      <c r="DW170" s="647">
        <f>INPUT!EH93</f>
        <v>12.546816479400501</v>
      </c>
      <c r="DX170" s="645">
        <f>INPUT!EI93</f>
        <v>57</v>
      </c>
      <c r="DY170" s="647">
        <f>INPUT!EJ93</f>
        <v>1.604278074866361</v>
      </c>
      <c r="DZ170" s="645">
        <f>INPUT!EK93</f>
        <v>59.34967282740115</v>
      </c>
      <c r="EA170" s="647">
        <f>INPUT!EL93</f>
        <v>5.9815586203592064</v>
      </c>
      <c r="EB170" s="645">
        <f>INPUT!EM93</f>
        <v>59.445351055041499</v>
      </c>
      <c r="EC170" s="647">
        <f>INPUT!EN93</f>
        <v>-2.3885861165163891</v>
      </c>
      <c r="ED170" s="645">
        <f>INPUT!EO93</f>
        <v>60.879614772134801</v>
      </c>
      <c r="EE170" s="647">
        <f>INPUT!EP93</f>
        <v>1.2971959602908978</v>
      </c>
      <c r="EF170" s="645">
        <f>INPUT!EQ93</f>
        <v>61.023887542128818</v>
      </c>
      <c r="EG170" s="647">
        <f>INPUT!ER93</f>
        <v>7.0594518282961705</v>
      </c>
      <c r="EH170" s="648"/>
      <c r="EI170" s="645">
        <f>INPUT!FB93</f>
        <v>0</v>
      </c>
      <c r="EJ170" s="646">
        <f>INPUT!FC93</f>
        <v>0</v>
      </c>
      <c r="EK170" s="645">
        <f>INPUT!FD93</f>
        <v>224.09999999999991</v>
      </c>
      <c r="EL170" s="646" t="str">
        <f>INPUT!FE93</f>
        <v>NA</v>
      </c>
      <c r="EM170" s="645">
        <f>INPUT!FF93</f>
        <v>222.70000000000005</v>
      </c>
      <c r="EN170" s="646">
        <f>INPUT!FG93</f>
        <v>-0.62472110664876235</v>
      </c>
      <c r="EO170" s="645">
        <f>INPUT!FH93</f>
        <v>213.40000000000032</v>
      </c>
      <c r="EP170" s="646">
        <f>INPUT!FI93</f>
        <v>-4.1760215536595036</v>
      </c>
      <c r="EQ170" s="645">
        <f>INPUT!FJ93</f>
        <v>188.80000000000018</v>
      </c>
      <c r="ER170" s="647">
        <f>INPUT!FK93</f>
        <v>-11.527647610121882</v>
      </c>
      <c r="ES170" s="645">
        <f>INPUT!FL93</f>
        <v>178.00000000000023</v>
      </c>
      <c r="ET170" s="647">
        <f>INPUT!FM93</f>
        <v>-5.7203389830508211</v>
      </c>
      <c r="EU170" s="645">
        <f>INPUT!FN93</f>
        <v>217.20000000000027</v>
      </c>
      <c r="EV170" s="647">
        <f>INPUT!FO93</f>
        <v>22.022471910112351</v>
      </c>
      <c r="EW170" s="645">
        <f>INPUT!FP93</f>
        <v>210.90000000000009</v>
      </c>
      <c r="EX170" s="647">
        <f>INPUT!FQ93</f>
        <v>-2.9005524861879239</v>
      </c>
      <c r="EY170" s="645">
        <f>INPUT!FR93</f>
        <v>193.60000000000014</v>
      </c>
      <c r="EZ170" s="647">
        <f>INPUT!FS93</f>
        <v>-8.2029397818871193</v>
      </c>
      <c r="FA170" s="645">
        <f>INPUT!FT93</f>
        <v>204</v>
      </c>
      <c r="FB170" s="647">
        <f>INPUT!FU93</f>
        <v>5.3719008264462076</v>
      </c>
      <c r="FC170" s="645">
        <f>INPUT!FV93</f>
        <v>208.50000000000023</v>
      </c>
      <c r="FD170" s="647">
        <f>INPUT!FW93</f>
        <v>2.2058823529412797</v>
      </c>
      <c r="FE170" s="645">
        <f>INPUT!FX93</f>
        <v>219.40000000000009</v>
      </c>
      <c r="FF170" s="647">
        <f>INPUT!FY93</f>
        <v>5.227817745803276</v>
      </c>
      <c r="FG170" s="645">
        <f>INPUT!FZ93</f>
        <v>268.49999999999977</v>
      </c>
      <c r="FH170" s="647">
        <f>INPUT!GA93</f>
        <v>22.379216043755545</v>
      </c>
      <c r="FI170" s="645">
        <f>INPUT!GB93</f>
        <v>240.40000000000009</v>
      </c>
      <c r="FJ170" s="647">
        <f>INPUT!GC93</f>
        <v>-10.465549348230807</v>
      </c>
      <c r="FK170" s="645">
        <f>INPUT!GD93</f>
        <v>224.89999999999964</v>
      </c>
      <c r="FL170" s="647">
        <f>INPUT!GE93</f>
        <v>-6.4475873544095013</v>
      </c>
      <c r="FM170" s="645">
        <f>INPUT!GF93</f>
        <v>221.80000000000041</v>
      </c>
      <c r="FN170" s="647">
        <f>INPUT!GG93</f>
        <v>-1.3783903957310994</v>
      </c>
      <c r="FO170" s="645">
        <f>INPUT!GH93</f>
        <v>234.00000000000023</v>
      </c>
      <c r="FP170" s="647">
        <f>INPUT!GI93</f>
        <v>5.5004508566274923</v>
      </c>
      <c r="FQ170" s="645">
        <f>INPUT!GJ93</f>
        <v>240.69852619670655</v>
      </c>
      <c r="FR170" s="647">
        <f>INPUT!GK93</f>
        <v>2.8626180327804729</v>
      </c>
      <c r="FS170" s="645">
        <f>INPUT!GL93</f>
        <v>248.25402536248612</v>
      </c>
      <c r="FT170" s="647">
        <f>INPUT!GM93</f>
        <v>3.1389885451998945</v>
      </c>
      <c r="FU170" s="645">
        <f>INPUT!GN93</f>
        <v>256.05993344784497</v>
      </c>
      <c r="FV170" s="647">
        <f>INPUT!GO93</f>
        <v>3.1443228660486433</v>
      </c>
      <c r="FW170" s="645">
        <f>INPUT!GP93</f>
        <v>265.93371702713944</v>
      </c>
      <c r="FX170" s="647">
        <f>INPUT!GQ93</f>
        <v>3.8560439528137147</v>
      </c>
      <c r="FY170" s="645">
        <f>INPUT!GR93</f>
        <v>274.31214129214072</v>
      </c>
      <c r="FZ170" s="647">
        <f>INPUT!GS93</f>
        <v>3.1505686299064584</v>
      </c>
      <c r="GA170" s="646">
        <f>INPUT!GT93</f>
        <v>3.2299779496921976</v>
      </c>
    </row>
    <row r="171" spans="1:183" ht="12.75" hidden="1" customHeight="1" outlineLevel="2" x14ac:dyDescent="0.2">
      <c r="A171" s="614" t="s">
        <v>517</v>
      </c>
      <c r="B171" s="615"/>
      <c r="C171" s="616"/>
      <c r="D171" s="615"/>
      <c r="E171" s="616"/>
      <c r="F171" s="615"/>
      <c r="G171" s="616"/>
      <c r="H171" s="615"/>
      <c r="I171" s="616"/>
      <c r="J171" s="615"/>
      <c r="K171" s="616"/>
      <c r="L171" s="615"/>
      <c r="M171" s="616"/>
      <c r="N171" s="615"/>
      <c r="O171" s="616"/>
      <c r="P171" s="615"/>
      <c r="Q171" s="616"/>
      <c r="R171" s="615"/>
      <c r="S171" s="616"/>
      <c r="T171" s="615"/>
      <c r="U171" s="616"/>
      <c r="V171" s="615"/>
      <c r="W171" s="616"/>
      <c r="X171" s="615"/>
      <c r="Y171" s="616"/>
      <c r="Z171" s="615"/>
      <c r="AA171" s="616"/>
      <c r="AB171" s="615"/>
      <c r="AC171" s="616"/>
      <c r="AD171" s="615"/>
      <c r="AE171" s="616"/>
      <c r="AF171" s="615"/>
      <c r="AG171" s="616"/>
      <c r="AH171" s="615"/>
      <c r="AI171" s="616"/>
      <c r="AJ171" s="615"/>
      <c r="AK171" s="616"/>
      <c r="AL171" s="615"/>
      <c r="AM171" s="616"/>
      <c r="AN171" s="615"/>
      <c r="AO171" s="617"/>
      <c r="AP171" s="615"/>
      <c r="AQ171" s="617"/>
      <c r="AR171" s="615"/>
      <c r="AS171" s="617"/>
      <c r="AT171" s="615"/>
      <c r="AU171" s="617"/>
      <c r="AV171" s="615"/>
      <c r="AW171" s="617"/>
      <c r="AX171" s="615"/>
      <c r="AY171" s="617"/>
      <c r="AZ171" s="615"/>
      <c r="BA171" s="617"/>
      <c r="BB171" s="615"/>
      <c r="BC171" s="617"/>
      <c r="BD171" s="615"/>
      <c r="BE171" s="617"/>
      <c r="BF171" s="615"/>
      <c r="BG171" s="617"/>
      <c r="BH171" s="615"/>
      <c r="BI171" s="617"/>
      <c r="BJ171" s="615"/>
      <c r="BK171" s="617"/>
      <c r="BL171" s="615"/>
      <c r="BM171" s="617"/>
      <c r="BN171" s="615"/>
      <c r="BO171" s="617"/>
      <c r="BP171" s="615"/>
      <c r="BQ171" s="617"/>
      <c r="BR171" s="615"/>
      <c r="BS171" s="617"/>
      <c r="BT171" s="615"/>
      <c r="BU171" s="617"/>
      <c r="BV171" s="618">
        <f>(BV158+BV159+BV160-BV164-BV165-BV166-BV167)-BV170</f>
        <v>0</v>
      </c>
      <c r="BW171" s="617"/>
      <c r="BX171" s="618">
        <f>(BX158+BX159+BX160-BX164-BX165-BX166-BX167)-BX170</f>
        <v>0</v>
      </c>
      <c r="BY171" s="617"/>
      <c r="BZ171" s="618">
        <f>(BZ158+BZ159+BZ160-BZ164-BZ165-BZ166-BZ167)-BZ170</f>
        <v>0</v>
      </c>
      <c r="CA171" s="617"/>
      <c r="CB171" s="618">
        <f>(CB158+CB159+CB160-CB164-CB165-CB166-CB167)-CB170</f>
        <v>0</v>
      </c>
      <c r="CC171" s="617"/>
      <c r="CD171" s="618">
        <f>(CD158+CD159+CD160-CD164-CD165-CD166-CD167)-CD170</f>
        <v>0</v>
      </c>
      <c r="CE171" s="617"/>
      <c r="CF171" s="618">
        <f>(CF158+CF159+CF160-CF164-CF165-CF166-CF167)-CF170</f>
        <v>0</v>
      </c>
      <c r="CG171" s="617"/>
      <c r="CH171" s="618">
        <f>(CH158+CH159+CH160-CH164-CH165-CH166-CH167)-CH170</f>
        <v>0</v>
      </c>
      <c r="CI171" s="617"/>
      <c r="CJ171" s="618">
        <f>(CJ158+CJ159+CJ160-CJ164-CJ165-CJ166-CJ167)-CJ170</f>
        <v>-5.6843418860808015E-14</v>
      </c>
      <c r="CK171" s="617"/>
      <c r="CL171" s="618">
        <f>(CL158+CL159+CL160-CL164-CL165-CL166-CL167)-CL170</f>
        <v>0</v>
      </c>
      <c r="CM171" s="617"/>
      <c r="CN171" s="618">
        <f>(CN158+CN159+CN160-CN164-CN165-CN166-CN167)-CN170</f>
        <v>0</v>
      </c>
      <c r="CO171" s="617"/>
      <c r="CP171" s="618">
        <f>(CP158+CP159+CP160-CP164-CP165-CP166-CP167)-CP170</f>
        <v>-6.3948846218409017E-14</v>
      </c>
      <c r="CQ171" s="617"/>
      <c r="CR171" s="618">
        <f>(CR158+CR159+CR160-CR164-CR165-CR166-CR167)-CR170</f>
        <v>0</v>
      </c>
      <c r="CS171" s="617"/>
      <c r="CT171" s="618">
        <f>(CT158+CT159+CT160-CT164-CT165-CT166-CT167)-CT170</f>
        <v>0</v>
      </c>
      <c r="CU171" s="617"/>
      <c r="CV171" s="618">
        <f>(CV158+CV159+CV160-CV164-CV165-CV166-CV167)-CV170</f>
        <v>0</v>
      </c>
      <c r="CW171" s="617"/>
      <c r="CX171" s="618">
        <f>(CX158+CX159+CX160-CX164-CX165-CX166-CX167)-CX170</f>
        <v>0</v>
      </c>
      <c r="CY171" s="617"/>
      <c r="CZ171" s="618">
        <f>(CZ158+CZ159+CZ160-CZ164-CZ165-CZ166-CZ167)-CZ170</f>
        <v>0</v>
      </c>
      <c r="DA171" s="617"/>
      <c r="DB171" s="618">
        <f>(DB158+DB159+DB160-DB164-DB165-DB166-DB167)-DB170</f>
        <v>0</v>
      </c>
      <c r="DC171" s="617"/>
      <c r="DD171" s="618">
        <f>(DD158+DD159+DD160-DD164-DD165-DD166-DD167)-DD170</f>
        <v>0</v>
      </c>
      <c r="DE171" s="617"/>
      <c r="DF171" s="618">
        <f>(DF158+DF159+DF160-DF164-DF165-DF166-DF167)-DF170</f>
        <v>0</v>
      </c>
      <c r="DG171" s="617"/>
      <c r="DH171" s="618">
        <f>(DH158+DH159+DH160-DH164-DH165-DH166-DH167)-DH170</f>
        <v>0</v>
      </c>
      <c r="DI171" s="617"/>
      <c r="DJ171" s="618">
        <f>(DJ158+DJ159+DJ160-DJ164-DJ165-DJ166-DJ167)-DJ170</f>
        <v>0</v>
      </c>
      <c r="DK171" s="617"/>
      <c r="DL171" s="618">
        <f>(DL158+DL159+DL160-DL164-DL165-DL166-DL167)-DL170</f>
        <v>0</v>
      </c>
      <c r="DM171" s="617"/>
      <c r="DN171" s="618">
        <f>(DN158+DN159+DN160-DN164-DN165-DN166-DN167)-DN170</f>
        <v>0</v>
      </c>
      <c r="DO171" s="617"/>
      <c r="DP171" s="618">
        <f>(DP158+DP159+DP160-DP164-DP165-DP166-DP167)-DP170</f>
        <v>0</v>
      </c>
      <c r="DQ171" s="617"/>
      <c r="DR171" s="618">
        <f t="shared" ref="DR171" si="124">(DR158+DR159+DR160-DR164-DR165-DR166-DR167)-DR170</f>
        <v>0</v>
      </c>
      <c r="DS171" s="617"/>
      <c r="DT171" s="618">
        <f t="shared" ref="DT171" si="125">(DT158+DT159+DT160-DT164-DT165-DT166-DT167)-DT170</f>
        <v>0</v>
      </c>
      <c r="DU171" s="617"/>
      <c r="DV171" s="618">
        <f t="shared" ref="DV171" si="126">(DV158+DV159+DV160-DV164-DV165-DV166-DV167)-DV170</f>
        <v>0</v>
      </c>
      <c r="DW171" s="617"/>
      <c r="DX171" s="618">
        <f t="shared" ref="DX171" si="127">(DX158+DX159+DX160-DX164-DX165-DX166-DX167)-DX170</f>
        <v>-18.5</v>
      </c>
      <c r="DY171" s="617"/>
      <c r="DZ171" s="618">
        <f t="shared" ref="DZ171" si="128">(DZ158+DZ159+DZ160-DZ164-DZ165-DZ166-DZ167)-DZ170</f>
        <v>0</v>
      </c>
      <c r="EA171" s="617"/>
      <c r="EB171" s="618">
        <f t="shared" ref="EB171" si="129">(EB158+EB159+EB160-EB164-EB165-EB166-EB167)-EB170</f>
        <v>0</v>
      </c>
      <c r="EC171" s="617"/>
      <c r="ED171" s="618">
        <f t="shared" ref="ED171" si="130">(ED158+ED159+ED160-ED164-ED165-ED166-ED167)-ED170</f>
        <v>0</v>
      </c>
      <c r="EE171" s="617"/>
      <c r="EF171" s="618">
        <f t="shared" ref="EF171" si="131">(EF158+EF159+EF160-EF164-EF165-EF166-EF167)-EF170</f>
        <v>0</v>
      </c>
      <c r="EG171" s="617"/>
      <c r="EH171" s="617"/>
      <c r="EI171" s="615"/>
      <c r="EJ171" s="616"/>
      <c r="EK171" s="615"/>
      <c r="EL171" s="616"/>
      <c r="EM171" s="615"/>
      <c r="EN171" s="616"/>
      <c r="EO171" s="615"/>
      <c r="EP171" s="616"/>
      <c r="EQ171" s="615"/>
      <c r="ER171" s="617"/>
      <c r="ES171" s="615"/>
      <c r="ET171" s="617"/>
      <c r="EU171" s="615"/>
      <c r="EV171" s="617"/>
      <c r="EW171" s="615"/>
      <c r="EX171" s="617"/>
      <c r="EY171" s="615"/>
      <c r="EZ171" s="617"/>
      <c r="FA171" s="618">
        <f>(FA158+FA159+FA160-FA164-FA165-FA166-FA167)-FA170</f>
        <v>0</v>
      </c>
      <c r="FB171" s="617"/>
      <c r="FC171" s="618">
        <f>(FC158+FC159+FC160-FC164-FC165-FC166-FC167)-FC170</f>
        <v>0</v>
      </c>
      <c r="FD171" s="617"/>
      <c r="FE171" s="618">
        <f>(FE158+FE159+FE160-FE164-FE165-FE166-FE167)-FE170</f>
        <v>0</v>
      </c>
      <c r="FF171" s="617"/>
      <c r="FG171" s="618">
        <f>(FG158+FG159+FG160-FG164-FG165-FG166-FG167)-FG170</f>
        <v>0</v>
      </c>
      <c r="FH171" s="617"/>
      <c r="FI171" s="618">
        <f>(FI158+FI159+FI160-FI164-FI165-FI166-FI167)-FI170</f>
        <v>0</v>
      </c>
      <c r="FJ171" s="617"/>
      <c r="FK171" s="618">
        <f>(FK158+FK159+FK160-FK164-FK165-FK166-FK167)-FK170</f>
        <v>2.2737367544323206E-13</v>
      </c>
      <c r="FL171" s="617"/>
      <c r="FM171" s="618">
        <f>(FM158+FM159+FM160-FM164-FM165-FM166-FM167)-FM170</f>
        <v>0</v>
      </c>
      <c r="FN171" s="617"/>
      <c r="FO171" s="618">
        <f>(FO158+FO159+FO160-FO164-FO165-FO166-FO167)-FO170</f>
        <v>-18.500000000000114</v>
      </c>
      <c r="FP171" s="617"/>
      <c r="FQ171" s="618">
        <f>(FQ158+FQ159+FQ160-FQ164-FQ165-FQ166-FQ167)-FQ170</f>
        <v>0</v>
      </c>
      <c r="FR171" s="617"/>
      <c r="FS171" s="618">
        <f>(FS158+FS159+FS160-FS164-FS165-FS166-FS167)-FS170</f>
        <v>0</v>
      </c>
      <c r="FT171" s="617"/>
      <c r="FU171" s="618">
        <f>(FU158+FU159+FU160-FU164-FU165-FU166-FU167)-FU170</f>
        <v>0</v>
      </c>
      <c r="FV171" s="617"/>
      <c r="FW171" s="618">
        <f>(FW158+FW159+FW160-FW164-FW165-FW166-FW167)-FW170</f>
        <v>0</v>
      </c>
      <c r="FX171" s="617"/>
      <c r="FY171" s="618">
        <f>(FY158+FY159+FY160-FY164-FY165-FY166-FY167)-FY170</f>
        <v>0</v>
      </c>
      <c r="FZ171" s="617"/>
      <c r="GA171" s="616"/>
    </row>
    <row r="172" spans="1:183" ht="12.75" hidden="1" customHeight="1" outlineLevel="1" collapsed="1" x14ac:dyDescent="0.2">
      <c r="A172" s="612"/>
      <c r="B172" s="96"/>
      <c r="C172" s="399"/>
      <c r="D172" s="96"/>
      <c r="E172" s="399"/>
      <c r="F172" s="96"/>
      <c r="G172" s="399"/>
      <c r="H172" s="96"/>
      <c r="I172" s="399"/>
      <c r="J172" s="96"/>
      <c r="K172" s="399"/>
      <c r="L172" s="96"/>
      <c r="M172" s="399"/>
      <c r="N172" s="96"/>
      <c r="O172" s="399"/>
      <c r="P172" s="96"/>
      <c r="Q172" s="399"/>
      <c r="R172" s="96"/>
      <c r="S172" s="399"/>
      <c r="T172" s="96"/>
      <c r="U172" s="399"/>
      <c r="V172" s="96"/>
      <c r="W172" s="399"/>
      <c r="X172" s="96"/>
      <c r="Y172" s="399"/>
      <c r="Z172" s="96"/>
      <c r="AA172" s="399"/>
      <c r="AB172" s="96"/>
      <c r="AC172" s="399"/>
      <c r="AD172" s="96"/>
      <c r="AE172" s="399"/>
      <c r="AF172" s="96"/>
      <c r="AG172" s="399"/>
      <c r="AH172" s="96"/>
      <c r="AI172" s="399"/>
      <c r="AJ172" s="96"/>
      <c r="AK172" s="399"/>
      <c r="AL172" s="96"/>
      <c r="AM172" s="399"/>
      <c r="AN172" s="96"/>
      <c r="AO172" s="18"/>
      <c r="AP172" s="96"/>
      <c r="AQ172" s="18"/>
      <c r="AR172" s="96"/>
      <c r="AS172" s="18"/>
      <c r="AT172" s="96"/>
      <c r="AU172" s="18"/>
      <c r="AV172" s="96"/>
      <c r="AW172" s="18"/>
      <c r="AX172" s="96"/>
      <c r="AY172" s="18"/>
      <c r="AZ172" s="96"/>
      <c r="BA172" s="18"/>
      <c r="BB172" s="96"/>
      <c r="BC172" s="18"/>
      <c r="BD172" s="96"/>
      <c r="BE172" s="18"/>
      <c r="BF172" s="96"/>
      <c r="BG172" s="18"/>
      <c r="BH172" s="96"/>
      <c r="BI172" s="18"/>
      <c r="BJ172" s="96"/>
      <c r="BK172" s="18"/>
      <c r="BL172" s="96"/>
      <c r="BM172" s="18"/>
      <c r="BN172" s="96"/>
      <c r="BO172" s="18"/>
      <c r="BP172" s="96"/>
      <c r="BQ172" s="18"/>
      <c r="BR172" s="96"/>
      <c r="BS172" s="18"/>
      <c r="BT172" s="96"/>
      <c r="BU172" s="18"/>
      <c r="BV172" s="96"/>
      <c r="BW172" s="18"/>
      <c r="BX172" s="96"/>
      <c r="BY172" s="18"/>
      <c r="BZ172" s="96"/>
      <c r="CA172" s="18"/>
      <c r="CB172" s="96"/>
      <c r="CC172" s="18"/>
      <c r="CD172" s="96"/>
      <c r="CE172" s="18"/>
      <c r="CF172" s="96"/>
      <c r="CG172" s="18"/>
      <c r="CH172" s="96"/>
      <c r="CI172" s="18"/>
      <c r="CJ172" s="96"/>
      <c r="CK172" s="18"/>
      <c r="CL172" s="96"/>
      <c r="CM172" s="18"/>
      <c r="CN172" s="96"/>
      <c r="CO172" s="18"/>
      <c r="CP172" s="96"/>
      <c r="CQ172" s="18"/>
      <c r="CR172" s="96"/>
      <c r="CS172" s="18"/>
      <c r="CT172" s="96"/>
      <c r="CU172" s="18"/>
      <c r="CV172" s="96"/>
      <c r="CW172" s="18"/>
      <c r="CX172" s="96"/>
      <c r="CY172" s="18"/>
      <c r="CZ172" s="96"/>
      <c r="DA172" s="18"/>
      <c r="DB172" s="96"/>
      <c r="DC172" s="18"/>
      <c r="DD172" s="96"/>
      <c r="DE172" s="18"/>
      <c r="DF172" s="96"/>
      <c r="DG172" s="18"/>
      <c r="DH172" s="96"/>
      <c r="DI172" s="18"/>
      <c r="DJ172" s="96"/>
      <c r="DK172" s="18"/>
      <c r="DL172" s="96"/>
      <c r="DM172" s="18"/>
      <c r="DN172" s="96"/>
      <c r="DO172" s="18"/>
      <c r="DP172" s="96"/>
      <c r="DQ172" s="18"/>
      <c r="DR172" s="96"/>
      <c r="DS172" s="18"/>
      <c r="DT172" s="96"/>
      <c r="DU172" s="18"/>
      <c r="DV172" s="96"/>
      <c r="DW172" s="18"/>
      <c r="DX172" s="96"/>
      <c r="DY172" s="18"/>
      <c r="DZ172" s="96"/>
      <c r="EA172" s="18"/>
      <c r="EB172" s="96"/>
      <c r="EC172" s="18"/>
      <c r="ED172" s="96"/>
      <c r="EE172" s="18"/>
      <c r="EF172" s="96"/>
      <c r="EG172" s="18"/>
      <c r="EH172" s="18"/>
      <c r="EI172" s="96"/>
      <c r="EJ172" s="399"/>
      <c r="EK172" s="96"/>
      <c r="EL172" s="399"/>
      <c r="EM172" s="96"/>
      <c r="EN172" s="399"/>
      <c r="EO172" s="96"/>
      <c r="EP172" s="399"/>
      <c r="EQ172" s="96"/>
      <c r="ER172" s="18"/>
      <c r="ES172" s="96"/>
      <c r="ET172" s="18"/>
      <c r="EU172" s="96"/>
      <c r="EV172" s="18"/>
      <c r="EW172" s="96"/>
      <c r="EX172" s="18"/>
      <c r="EY172" s="96"/>
      <c r="EZ172" s="18"/>
      <c r="FA172" s="96"/>
      <c r="FB172" s="18"/>
      <c r="FC172" s="96"/>
      <c r="FD172" s="18"/>
      <c r="FE172" s="96"/>
      <c r="FF172" s="18"/>
      <c r="FG172" s="96"/>
      <c r="FH172" s="18"/>
      <c r="FI172" s="96"/>
      <c r="FJ172" s="18"/>
      <c r="FK172" s="96"/>
      <c r="FL172" s="18"/>
      <c r="FM172" s="96"/>
      <c r="FN172" s="18"/>
      <c r="FO172" s="96"/>
      <c r="FP172" s="18"/>
      <c r="FQ172" s="96"/>
      <c r="FR172" s="18"/>
      <c r="FS172" s="96"/>
      <c r="FT172" s="18"/>
      <c r="FU172" s="96"/>
      <c r="FV172" s="18"/>
      <c r="FW172" s="96"/>
      <c r="FX172" s="18"/>
      <c r="FY172" s="96"/>
      <c r="FZ172" s="18"/>
      <c r="GA172" s="399"/>
    </row>
    <row r="173" spans="1:183" ht="12.75" hidden="1" customHeight="1" outlineLevel="1" x14ac:dyDescent="0.2">
      <c r="A173" s="610" t="s">
        <v>260</v>
      </c>
      <c r="B173" s="119"/>
      <c r="C173" s="399"/>
      <c r="D173" s="119"/>
      <c r="E173" s="5"/>
      <c r="F173" s="119"/>
      <c r="G173" s="5"/>
      <c r="H173" s="119"/>
      <c r="I173" s="5"/>
      <c r="J173" s="119"/>
      <c r="K173" s="5"/>
      <c r="L173" s="119"/>
      <c r="M173" s="5"/>
      <c r="N173" s="119"/>
      <c r="O173" s="5"/>
      <c r="P173" s="119"/>
      <c r="Q173" s="5"/>
      <c r="R173" s="119">
        <f>INPUT!AC448</f>
        <v>-5.8579509742300546</v>
      </c>
      <c r="S173" s="5" t="str">
        <f>INPUT!AD448</f>
        <v>NA</v>
      </c>
      <c r="T173" s="119">
        <f>INPUT!AE448</f>
        <v>25.226586102719018</v>
      </c>
      <c r="U173" s="5" t="str">
        <f>INPUT!AF448</f>
        <v>NA</v>
      </c>
      <c r="V173" s="119">
        <f>INPUT!AG448</f>
        <v>28.776116292398285</v>
      </c>
      <c r="W173" s="5" t="str">
        <f>INPUT!AH448</f>
        <v>NA</v>
      </c>
      <c r="X173" s="119">
        <f>INPUT!AI448</f>
        <v>52.822892498066622</v>
      </c>
      <c r="Y173" s="5" t="str">
        <f>INPUT!AJ448</f>
        <v>NA</v>
      </c>
      <c r="Z173" s="119">
        <f>INPUT!AK448</f>
        <v>30.032467532467482</v>
      </c>
      <c r="AA173" s="5" t="str">
        <f>INPUT!AL448</f>
        <v>NM</v>
      </c>
      <c r="AB173" s="119">
        <f>INPUT!AM448</f>
        <v>23.914128806789837</v>
      </c>
      <c r="AC173" s="5">
        <f>INPUT!AN448</f>
        <v>-5.2026750293719726</v>
      </c>
      <c r="AD173" s="119">
        <f>INPUT!AO448</f>
        <v>20.047846889952147</v>
      </c>
      <c r="AE173" s="5">
        <f>INPUT!AP448</f>
        <v>-30.331644874370568</v>
      </c>
      <c r="AF173" s="119">
        <f>INPUT!AQ448</f>
        <v>23.224773091297422</v>
      </c>
      <c r="AG173" s="5" t="str">
        <f>INPUT!AR448</f>
        <v>NM</v>
      </c>
      <c r="AH173" s="119">
        <f>INPUT!AS448</f>
        <v>21.764997521070899</v>
      </c>
      <c r="AI173" s="5">
        <f>INPUT!AT448</f>
        <v>-27.528440686596234</v>
      </c>
      <c r="AJ173" s="119">
        <f>INPUT!AU448</f>
        <v>20.692840646651277</v>
      </c>
      <c r="AK173" s="5">
        <f>INPUT!AV448</f>
        <v>-13.470230030809038</v>
      </c>
      <c r="AL173" s="119">
        <f>INPUT!AW448</f>
        <v>17.586912065439662</v>
      </c>
      <c r="AM173" s="5">
        <f>INPUT!AX448</f>
        <v>-12.275307358546762</v>
      </c>
      <c r="AN173" s="119">
        <f>INPUT!AY448</f>
        <v>17.471698113207566</v>
      </c>
      <c r="AO173" s="18">
        <f>INPUT!AZ448</f>
        <v>-24.771286055085707</v>
      </c>
      <c r="AP173" s="119">
        <f>INPUT!BA448</f>
        <v>18.740515933232164</v>
      </c>
      <c r="AQ173" s="18">
        <f>INPUT!BB448</f>
        <v>-13.89608055278071</v>
      </c>
      <c r="AR173" s="119">
        <f>INPUT!BC448</f>
        <v>18.693284936479149</v>
      </c>
      <c r="AS173" s="18">
        <f>INPUT!BD448</f>
        <v>-9.6630315011666408</v>
      </c>
      <c r="AT173" s="119">
        <f>INPUT!BE448</f>
        <v>17.292307692307716</v>
      </c>
      <c r="AU173" s="18">
        <f>INPUT!BF448</f>
        <v>-1.6751341681572329</v>
      </c>
      <c r="AV173" s="119">
        <f>INPUT!BG448</f>
        <v>20.893089960886556</v>
      </c>
      <c r="AW173" s="18">
        <f>INPUT!BH448</f>
        <v>19.582480337687503</v>
      </c>
      <c r="AX173" s="119">
        <f>INPUT!BI448</f>
        <v>17.688378033205613</v>
      </c>
      <c r="AY173" s="18">
        <f>INPUT!BJ448</f>
        <v>-5.6142419118825675</v>
      </c>
      <c r="AZ173" s="119">
        <f>INPUT!BK448</f>
        <v>16.2217659137577</v>
      </c>
      <c r="BA173" s="18">
        <f>INPUT!BL448</f>
        <v>-13.22142700504385</v>
      </c>
      <c r="BB173" s="119">
        <f>INPUT!BM448</f>
        <v>15.63267813267815</v>
      </c>
      <c r="BC173" s="18">
        <f>INPUT!BN448</f>
        <v>-9.5975019017723877</v>
      </c>
      <c r="BD173" s="119">
        <f>INPUT!BO448</f>
        <v>16.215344938749187</v>
      </c>
      <c r="BE173" s="18">
        <f>INPUT!BP448</f>
        <v>-22.38895745384939</v>
      </c>
      <c r="BF173" s="119">
        <f>INPUT!BQ448</f>
        <v>15.323604060913713</v>
      </c>
      <c r="BG173" s="18">
        <f>INPUT!BR448</f>
        <v>-13.369083179094288</v>
      </c>
      <c r="BH173" s="119">
        <f>INPUT!BS448</f>
        <v>15.035504785427625</v>
      </c>
      <c r="BI173" s="18">
        <f>INPUT!BT448</f>
        <v>-7.3127742974271719</v>
      </c>
      <c r="BJ173" s="119">
        <f>INPUT!BU448</f>
        <v>15.639662183296831</v>
      </c>
      <c r="BK173" s="18">
        <f>INPUT!BV448</f>
        <v>4.4675970165863887E-2</v>
      </c>
      <c r="BL173" s="119">
        <f>INPUT!BW448</f>
        <v>14.822871348663771</v>
      </c>
      <c r="BM173" s="18">
        <f>INPUT!BX448</f>
        <v>-8.5873818617196118</v>
      </c>
      <c r="BN173" s="119">
        <f>INPUT!BY448</f>
        <v>14.848573948838592</v>
      </c>
      <c r="BO173" s="18">
        <f>INPUT!BZ448</f>
        <v>-3.0999894684488161</v>
      </c>
      <c r="BP173" s="119">
        <f>INPUT!CA448</f>
        <v>14.668218859138543</v>
      </c>
      <c r="BQ173" s="18">
        <f>INPUT!CB448</f>
        <v>-2.4427907910684499</v>
      </c>
      <c r="BR173" s="119">
        <f>INPUT!CC448</f>
        <v>15.466101694915258</v>
      </c>
      <c r="BS173" s="18">
        <f>INPUT!CD448</f>
        <v>-1.1097457627117779</v>
      </c>
      <c r="BT173" s="119">
        <f>INPUT!CE448</f>
        <v>16.581632653061227</v>
      </c>
      <c r="BU173" s="18">
        <f>INPUT!CF448</f>
        <v>11.865186326102762</v>
      </c>
      <c r="BV173" s="119">
        <f>INPUT!CG448</f>
        <v>16.114928169893812</v>
      </c>
      <c r="BW173" s="18">
        <f>INPUT!CH448</f>
        <v>8.5284568431857508</v>
      </c>
      <c r="BX173" s="119">
        <f>INPUT!CI448</f>
        <v>15.024559375902912</v>
      </c>
      <c r="BY173" s="18">
        <f>INPUT!CJ448</f>
        <v>2.429337332544379</v>
      </c>
      <c r="BZ173" s="119">
        <f>INPUT!CK448</f>
        <v>16.313162819713039</v>
      </c>
      <c r="CA173" s="18">
        <f>INPUT!CL448</f>
        <v>5.4768883685555103</v>
      </c>
      <c r="CB173" s="119">
        <f>INPUT!CM448</f>
        <v>-8.5278858625162037</v>
      </c>
      <c r="CC173" s="18" t="str">
        <f>INPUT!CN448</f>
        <v>NM</v>
      </c>
      <c r="CD173" s="119">
        <f>INPUT!CO448</f>
        <v>16.94695989650711</v>
      </c>
      <c r="CE173" s="18">
        <f>INPUT!CP448</f>
        <v>5.1631116058445281</v>
      </c>
      <c r="CF173" s="119">
        <f>INPUT!CQ448</f>
        <v>18.477910351499506</v>
      </c>
      <c r="CG173" s="18">
        <f>INPUT!CR448</f>
        <v>22.984707166422737</v>
      </c>
      <c r="CH173" s="119">
        <f>INPUT!CS448</f>
        <v>18.056002574831034</v>
      </c>
      <c r="CI173" s="18">
        <f>INPUT!CT448</f>
        <v>10.683641022769198</v>
      </c>
      <c r="CJ173" s="119">
        <f>INPUT!CU448</f>
        <v>17.791411042944798</v>
      </c>
      <c r="CK173" s="18" t="str">
        <f>INPUT!CV448</f>
        <v>NM</v>
      </c>
      <c r="CL173" s="119">
        <f>INPUT!CW448</f>
        <v>18.269230769230781</v>
      </c>
      <c r="CM173" s="18">
        <f>INPUT!CX448</f>
        <v>7.8024075161480688</v>
      </c>
      <c r="CN173" s="119">
        <f>INPUT!CY448</f>
        <v>17.815179422038735</v>
      </c>
      <c r="CO173" s="18">
        <f>INPUT!CZ448</f>
        <v>-3.586611888757163</v>
      </c>
      <c r="CP173" s="119">
        <f>INPUT!DA448</f>
        <v>18.236409608091037</v>
      </c>
      <c r="CQ173" s="18">
        <f>INPUT!DB448</f>
        <v>0.99915267796581997</v>
      </c>
      <c r="CR173" s="119">
        <f>INPUT!DC448</f>
        <v>20.409511228533685</v>
      </c>
      <c r="CS173" s="18">
        <f>INPUT!DD448</f>
        <v>14.715528629344421</v>
      </c>
      <c r="CT173" s="119">
        <f>INPUT!DE448</f>
        <v>18.06709756848262</v>
      </c>
      <c r="CU173" s="18">
        <f>INPUT!DF448</f>
        <v>-1.1064133093583561</v>
      </c>
      <c r="CV173" s="119">
        <f>INPUT!DG448</f>
        <v>18.628957885029195</v>
      </c>
      <c r="CW173" s="18">
        <f>INPUT!DH448</f>
        <v>4.5678937254134633</v>
      </c>
      <c r="CX173" s="119">
        <f>INPUT!DI448</f>
        <v>19.48297604035309</v>
      </c>
      <c r="CY173" s="18">
        <f>INPUT!DJ448</f>
        <v>6.8355913200643492</v>
      </c>
      <c r="CZ173" s="119">
        <f>INPUT!DK448</f>
        <v>-15.902386698846877</v>
      </c>
      <c r="DA173" s="18" t="str">
        <f>INPUT!DL448</f>
        <v>NM</v>
      </c>
      <c r="DB173" s="119">
        <f>INPUT!DM448</f>
        <v>18.190386427898218</v>
      </c>
      <c r="DC173" s="18">
        <f>INPUT!DN448</f>
        <v>0.68239438541954911</v>
      </c>
      <c r="DD173" s="119">
        <f>INPUT!DO448</f>
        <v>16.457680250783721</v>
      </c>
      <c r="DE173" s="18">
        <f>INPUT!DP448</f>
        <v>-11.655389676898565</v>
      </c>
      <c r="DF173" s="119">
        <f>INPUT!DQ448</f>
        <v>18.494623655913962</v>
      </c>
      <c r="DG173" s="18">
        <f>INPUT!DR448</f>
        <v>-5.0729025298396735</v>
      </c>
      <c r="DH173" s="119">
        <f>INPUT!DS448</f>
        <v>17.00595051675543</v>
      </c>
      <c r="DI173" s="18" t="str">
        <f>INPUT!DT448</f>
        <v>NM</v>
      </c>
      <c r="DJ173" s="119">
        <f>INPUT!DU448</f>
        <v>17.061903295349573</v>
      </c>
      <c r="DK173" s="18">
        <f>INPUT!DV448</f>
        <v>-6.2037336975860669</v>
      </c>
      <c r="DL173" s="119">
        <f>INPUT!DW448</f>
        <v>16.990146312332051</v>
      </c>
      <c r="DM173" s="18">
        <f>INPUT!DX448</f>
        <v>3.2353652120746146</v>
      </c>
      <c r="DN173" s="119">
        <f>INPUT!DY448</f>
        <v>16.630333229523529</v>
      </c>
      <c r="DO173" s="18">
        <f>INPUT!DZ448</f>
        <v>-10.080174979901768</v>
      </c>
      <c r="DP173" s="119">
        <f>INPUT!EA448</f>
        <v>16.36522753792298</v>
      </c>
      <c r="DQ173" s="18">
        <f>INPUT!EB448</f>
        <v>-3.7676399105193492</v>
      </c>
      <c r="DR173" s="119">
        <f>INPUT!EC448</f>
        <v>16.47543395116212</v>
      </c>
      <c r="DS173" s="18">
        <f>INPUT!ED448</f>
        <v>-3.4373031779362018</v>
      </c>
      <c r="DT173" s="119">
        <f>INPUT!EE448</f>
        <v>17.227722772277215</v>
      </c>
      <c r="DU173" s="18">
        <f>INPUT!EF448</f>
        <v>1.398319093772149</v>
      </c>
      <c r="DV173" s="119">
        <f>INPUT!EG448</f>
        <v>16.863075196408523</v>
      </c>
      <c r="DW173" s="18">
        <f>INPUT!EH448</f>
        <v>1.3995027259695147</v>
      </c>
      <c r="DX173" s="119">
        <f>INPUT!EI448</f>
        <v>15.285599356395824</v>
      </c>
      <c r="DY173" s="18">
        <f>INPUT!EJ448</f>
        <v>-6.5970862856953527</v>
      </c>
      <c r="DZ173" s="119">
        <f>INPUT!EK448</f>
        <v>16.922955200306632</v>
      </c>
      <c r="EA173" s="18">
        <f>INPUT!EL448</f>
        <v>2.7162941532896223</v>
      </c>
      <c r="EB173" s="119">
        <f>INPUT!EM448</f>
        <v>16.838828564438789</v>
      </c>
      <c r="EC173" s="18">
        <f>INPUT!EN448</f>
        <v>-2.2573744248092553</v>
      </c>
      <c r="ED173" s="119">
        <f>INPUT!EO448</f>
        <v>17.176748866034636</v>
      </c>
      <c r="EE173" s="18">
        <f>INPUT!EP448</f>
        <v>1.8601213952536888</v>
      </c>
      <c r="EF173" s="119">
        <f>INPUT!EQ448</f>
        <v>17.106168861543491</v>
      </c>
      <c r="EG173" s="18">
        <f>INPUT!ER448</f>
        <v>11.910357341571309</v>
      </c>
      <c r="EH173" s="18"/>
      <c r="EI173" s="119"/>
      <c r="EJ173" s="5" t="str">
        <f>INPUT!FC448</f>
        <v>NA</v>
      </c>
      <c r="EK173" s="119">
        <f>INPUT!FD448</f>
        <v>21.195497966518463</v>
      </c>
      <c r="EL173" s="5" t="str">
        <f>INPUT!FE448</f>
        <v>NA</v>
      </c>
      <c r="EM173" s="119">
        <f>INPUT!FF448</f>
        <v>-327.98232695140229</v>
      </c>
      <c r="EN173" s="5" t="str">
        <f>INPUT!FG448</f>
        <v>NM</v>
      </c>
      <c r="EO173" s="119">
        <f>INPUT!FH448</f>
        <v>-158.0740740740741</v>
      </c>
      <c r="EP173" s="5" t="str">
        <f>INPUT!FI448</f>
        <v>NM</v>
      </c>
      <c r="EQ173" s="119">
        <f>INPUT!FJ448</f>
        <v>24.161760941899153</v>
      </c>
      <c r="ER173" s="18" t="str">
        <f>INPUT!FK448</f>
        <v>NM</v>
      </c>
      <c r="ES173" s="119">
        <f>INPUT!FL448</f>
        <v>19.187237253422463</v>
      </c>
      <c r="ET173" s="18">
        <f>INPUT!FM448</f>
        <v>-20.588415308133932</v>
      </c>
      <c r="EU173" s="119">
        <f>INPUT!FN448</f>
        <v>18.89145102058248</v>
      </c>
      <c r="EV173" s="18">
        <f>INPUT!FO448</f>
        <v>-1.5415780236272547</v>
      </c>
      <c r="EW173" s="119">
        <f>INPUT!FP448</f>
        <v>16.427630048841007</v>
      </c>
      <c r="EX173" s="18">
        <f>INPUT!FQ448</f>
        <v>-13.041989040741807</v>
      </c>
      <c r="EY173" s="119">
        <f>INPUT!FR448</f>
        <v>14.714600592840336</v>
      </c>
      <c r="EZ173" s="18">
        <f>INPUT!FS448</f>
        <v>-10.427733342592093</v>
      </c>
      <c r="FA173" s="119">
        <f>INPUT!FT448</f>
        <v>15.364916773367487</v>
      </c>
      <c r="FB173" s="18">
        <f>INPUT!FU448</f>
        <v>4.4195299520638942</v>
      </c>
      <c r="FC173" s="119">
        <f>INPUT!FV448</f>
        <v>56.336125371521305</v>
      </c>
      <c r="FD173" s="18" t="str">
        <f>INPUT!FW448</f>
        <v>NM</v>
      </c>
      <c r="FE173" s="119">
        <f>INPUT!FX448</f>
        <v>17.470934862239236</v>
      </c>
      <c r="FF173" s="18" t="str">
        <f>INPUT!FY448</f>
        <v>NM</v>
      </c>
      <c r="FG173" s="119">
        <f>INPUT!FZ448</f>
        <v>18.666238664633639</v>
      </c>
      <c r="FH173" s="18">
        <f>INPUT!GA448</f>
        <v>6.8416705334862771</v>
      </c>
      <c r="FI173" s="119">
        <f>INPUT!GB448</f>
        <v>40.437342304457538</v>
      </c>
      <c r="FJ173" s="18" t="str">
        <f>INPUT!GC448</f>
        <v>NM</v>
      </c>
      <c r="FK173" s="119">
        <f>INPUT!GD448</f>
        <v>17.541533421729948</v>
      </c>
      <c r="FL173" s="18" t="str">
        <f>INPUT!GE448</f>
        <v>NM</v>
      </c>
      <c r="FM173" s="119">
        <f>INPUT!GF448</f>
        <v>16.75859463543636</v>
      </c>
      <c r="FN173" s="18">
        <f>INPUT!GG448</f>
        <v>-4.4633428986527779</v>
      </c>
      <c r="FO173" s="119">
        <f>INPUT!GH448</f>
        <v>16.447599634497806</v>
      </c>
      <c r="FP173" s="18">
        <f>INPUT!GI448</f>
        <v>-1.8557343721468667</v>
      </c>
      <c r="FQ173" s="119">
        <f>INPUT!GJ448</f>
        <v>17.011733581547166</v>
      </c>
      <c r="FR173" s="18">
        <f>INPUT!GK448</f>
        <v>3.4298861814834325</v>
      </c>
      <c r="FS173" s="119">
        <f>INPUT!GL448</f>
        <v>17.133826934146278</v>
      </c>
      <c r="FT173" s="18">
        <f>INPUT!GM448</f>
        <v>0.71770082698419113</v>
      </c>
      <c r="FU173" s="119">
        <f>INPUT!GN448</f>
        <v>17.190011164214596</v>
      </c>
      <c r="FV173" s="18">
        <f>INPUT!GO448</f>
        <v>0.32791407479637602</v>
      </c>
      <c r="FW173" s="119">
        <f>INPUT!GP448</f>
        <v>17.319080975108822</v>
      </c>
      <c r="FX173" s="18">
        <f>INPUT!GQ448</f>
        <v>0.7508419259373067</v>
      </c>
      <c r="FY173" s="119">
        <f>INPUT!GR448</f>
        <v>17.411513334010266</v>
      </c>
      <c r="FZ173" s="18">
        <f>INPUT!GS448</f>
        <v>0.53370244664996402</v>
      </c>
      <c r="GA173" s="5">
        <f>INPUT!GT448</f>
        <v>1.1455543012853786</v>
      </c>
    </row>
    <row r="174" spans="1:183" ht="12.75" hidden="1" customHeight="1" outlineLevel="1" x14ac:dyDescent="0.2">
      <c r="A174" s="612"/>
      <c r="B174" s="119"/>
      <c r="C174" s="399"/>
      <c r="D174" s="119"/>
      <c r="E174" s="5"/>
      <c r="F174" s="119"/>
      <c r="G174" s="5"/>
      <c r="H174" s="119"/>
      <c r="I174" s="5"/>
      <c r="J174" s="119"/>
      <c r="K174" s="5"/>
      <c r="L174" s="119"/>
      <c r="M174" s="5"/>
      <c r="N174" s="119"/>
      <c r="O174" s="5"/>
      <c r="P174" s="119"/>
      <c r="Q174" s="5"/>
      <c r="R174" s="119"/>
      <c r="S174" s="5"/>
      <c r="T174" s="119"/>
      <c r="U174" s="5"/>
      <c r="V174" s="119"/>
      <c r="W174" s="5"/>
      <c r="X174" s="119"/>
      <c r="Y174" s="5"/>
      <c r="Z174" s="119"/>
      <c r="AA174" s="5"/>
      <c r="AB174" s="119"/>
      <c r="AC174" s="5"/>
      <c r="AD174" s="119"/>
      <c r="AE174" s="5"/>
      <c r="AF174" s="119"/>
      <c r="AG174" s="5"/>
      <c r="AH174" s="119"/>
      <c r="AI174" s="5"/>
      <c r="AJ174" s="119"/>
      <c r="AK174" s="5"/>
      <c r="AL174" s="119"/>
      <c r="AM174" s="5"/>
      <c r="AN174" s="119"/>
      <c r="AO174" s="18"/>
      <c r="AP174" s="119"/>
      <c r="AQ174" s="18"/>
      <c r="AR174" s="119"/>
      <c r="AS174" s="18"/>
      <c r="AT174" s="119"/>
      <c r="AU174" s="18"/>
      <c r="AV174" s="119"/>
      <c r="AW174" s="18"/>
      <c r="AX174" s="119"/>
      <c r="AY174" s="18"/>
      <c r="AZ174" s="119"/>
      <c r="BA174" s="18"/>
      <c r="BB174" s="119"/>
      <c r="BC174" s="18"/>
      <c r="BD174" s="119"/>
      <c r="BE174" s="18"/>
      <c r="BF174" s="119"/>
      <c r="BG174" s="18"/>
      <c r="BH174" s="119"/>
      <c r="BI174" s="18"/>
      <c r="BJ174" s="119"/>
      <c r="BK174" s="18"/>
      <c r="BL174" s="119"/>
      <c r="BM174" s="18"/>
      <c r="BN174" s="119"/>
      <c r="BO174" s="18"/>
      <c r="BP174" s="119"/>
      <c r="BQ174" s="18"/>
      <c r="BR174" s="119"/>
      <c r="BS174" s="18"/>
      <c r="BT174" s="119"/>
      <c r="BU174" s="18"/>
      <c r="BV174" s="119"/>
      <c r="BW174" s="18"/>
      <c r="BX174" s="119"/>
      <c r="BY174" s="18"/>
      <c r="BZ174" s="119"/>
      <c r="CA174" s="18"/>
      <c r="CB174" s="119"/>
      <c r="CC174" s="18"/>
      <c r="CD174" s="119"/>
      <c r="CE174" s="18"/>
      <c r="CF174" s="119"/>
      <c r="CG174" s="18"/>
      <c r="CH174" s="119"/>
      <c r="CI174" s="18"/>
      <c r="CJ174" s="119"/>
      <c r="CK174" s="18"/>
      <c r="CL174" s="119"/>
      <c r="CM174" s="18"/>
      <c r="CN174" s="119"/>
      <c r="CO174" s="18"/>
      <c r="CP174" s="119"/>
      <c r="CQ174" s="18"/>
      <c r="CR174" s="119"/>
      <c r="CS174" s="18"/>
      <c r="CT174" s="119"/>
      <c r="CU174" s="18"/>
      <c r="CV174" s="119"/>
      <c r="CW174" s="18"/>
      <c r="CX174" s="119"/>
      <c r="CY174" s="18"/>
      <c r="CZ174" s="119"/>
      <c r="DA174" s="18"/>
      <c r="DB174" s="119"/>
      <c r="DC174" s="18"/>
      <c r="DD174" s="119"/>
      <c r="DE174" s="18"/>
      <c r="DF174" s="119"/>
      <c r="DG174" s="18"/>
      <c r="DH174" s="119"/>
      <c r="DI174" s="18"/>
      <c r="DJ174" s="119"/>
      <c r="DK174" s="18"/>
      <c r="DL174" s="119"/>
      <c r="DM174" s="18"/>
      <c r="DN174" s="119"/>
      <c r="DO174" s="18"/>
      <c r="DP174" s="119"/>
      <c r="DQ174" s="18"/>
      <c r="DR174" s="119"/>
      <c r="DS174" s="18"/>
      <c r="DT174" s="119"/>
      <c r="DU174" s="18"/>
      <c r="DV174" s="119"/>
      <c r="DW174" s="18"/>
      <c r="DX174" s="119"/>
      <c r="DY174" s="18"/>
      <c r="DZ174" s="119"/>
      <c r="EA174" s="18"/>
      <c r="EB174" s="119"/>
      <c r="EC174" s="18"/>
      <c r="ED174" s="119"/>
      <c r="EE174" s="18"/>
      <c r="EF174" s="119"/>
      <c r="EG174" s="18"/>
      <c r="EH174" s="18"/>
      <c r="EI174" s="119"/>
      <c r="EJ174" s="5"/>
      <c r="EK174" s="119"/>
      <c r="EL174" s="5"/>
      <c r="EM174" s="119"/>
      <c r="EN174" s="5"/>
      <c r="EO174" s="119"/>
      <c r="EP174" s="5"/>
      <c r="EQ174" s="119"/>
      <c r="ER174" s="18"/>
      <c r="ES174" s="119"/>
      <c r="ET174" s="18"/>
      <c r="EU174" s="119"/>
      <c r="EV174" s="18"/>
      <c r="EW174" s="119"/>
      <c r="EX174" s="18"/>
      <c r="EY174" s="119"/>
      <c r="EZ174" s="18"/>
      <c r="FA174" s="119"/>
      <c r="FB174" s="18"/>
      <c r="FC174" s="119"/>
      <c r="FD174" s="18"/>
      <c r="FE174" s="119"/>
      <c r="FF174" s="18"/>
      <c r="FG174" s="119"/>
      <c r="FH174" s="18"/>
      <c r="FI174" s="119"/>
      <c r="FJ174" s="18"/>
      <c r="FK174" s="119"/>
      <c r="FL174" s="18"/>
      <c r="FM174" s="119"/>
      <c r="FN174" s="18"/>
      <c r="FO174" s="119"/>
      <c r="FP174" s="18"/>
      <c r="FQ174" s="119"/>
      <c r="FR174" s="18"/>
      <c r="FS174" s="119"/>
      <c r="FT174" s="18"/>
      <c r="FU174" s="119"/>
      <c r="FV174" s="18"/>
      <c r="FW174" s="119"/>
      <c r="FX174" s="18"/>
      <c r="FY174" s="119"/>
      <c r="FZ174" s="18"/>
      <c r="GA174" s="5"/>
    </row>
    <row r="175" spans="1:183" ht="12.75" hidden="1" customHeight="1" outlineLevel="1" x14ac:dyDescent="0.2">
      <c r="A175" s="610" t="s">
        <v>450</v>
      </c>
      <c r="B175" s="119"/>
      <c r="C175" s="399"/>
      <c r="D175" s="119"/>
      <c r="E175" s="5"/>
      <c r="F175" s="119"/>
      <c r="G175" s="5"/>
      <c r="H175" s="119"/>
      <c r="I175" s="5"/>
      <c r="J175" s="119"/>
      <c r="K175" s="5"/>
      <c r="L175" s="119"/>
      <c r="M175" s="5"/>
      <c r="N175" s="119"/>
      <c r="O175" s="5"/>
      <c r="P175" s="119"/>
      <c r="Q175" s="5"/>
      <c r="R175" s="119"/>
      <c r="S175" s="5"/>
      <c r="T175" s="119"/>
      <c r="U175" s="5"/>
      <c r="V175" s="119"/>
      <c r="W175" s="5"/>
      <c r="X175" s="119"/>
      <c r="Y175" s="5"/>
      <c r="Z175" s="119"/>
      <c r="AA175" s="5"/>
      <c r="AB175" s="119"/>
      <c r="AC175" s="5"/>
      <c r="AD175" s="119"/>
      <c r="AE175" s="5"/>
      <c r="AF175" s="119"/>
      <c r="AG175" s="5"/>
      <c r="AH175" s="119"/>
      <c r="AI175" s="5"/>
      <c r="AJ175" s="119"/>
      <c r="AK175" s="5"/>
      <c r="AL175" s="119"/>
      <c r="AM175" s="5"/>
      <c r="AN175" s="119"/>
      <c r="AO175" s="18"/>
      <c r="AP175" s="119"/>
      <c r="AQ175" s="18"/>
      <c r="AR175" s="119"/>
      <c r="AS175" s="18"/>
      <c r="AT175" s="119"/>
      <c r="AU175" s="18"/>
      <c r="AV175" s="119"/>
      <c r="AW175" s="18"/>
      <c r="AX175" s="119"/>
      <c r="AY175" s="18"/>
      <c r="AZ175" s="119"/>
      <c r="BA175" s="18"/>
      <c r="BB175" s="119"/>
      <c r="BC175" s="18"/>
      <c r="BD175" s="119"/>
      <c r="BE175" s="18"/>
      <c r="BF175" s="119"/>
      <c r="BG175" s="18"/>
      <c r="BH175" s="119"/>
      <c r="BI175" s="18"/>
      <c r="BJ175" s="119"/>
      <c r="BK175" s="18"/>
      <c r="BL175" s="119"/>
      <c r="BM175" s="18"/>
      <c r="BN175" s="119"/>
      <c r="BO175" s="18"/>
      <c r="BP175" s="119"/>
      <c r="BQ175" s="18"/>
      <c r="BR175" s="119"/>
      <c r="BS175" s="18"/>
      <c r="BT175" s="119"/>
      <c r="BU175" s="18"/>
      <c r="BV175" s="119"/>
      <c r="BW175" s="18"/>
      <c r="BX175" s="119"/>
      <c r="BY175" s="18"/>
      <c r="BZ175" s="119"/>
      <c r="CA175" s="18"/>
      <c r="CB175" s="119"/>
      <c r="CC175" s="18"/>
      <c r="CD175" s="119"/>
      <c r="CE175" s="18"/>
      <c r="CF175" s="119"/>
      <c r="CG175" s="18"/>
      <c r="CH175" s="119"/>
      <c r="CI175" s="18"/>
      <c r="CJ175" s="119"/>
      <c r="CK175" s="18"/>
      <c r="CL175" s="119"/>
      <c r="CM175" s="18"/>
      <c r="CN175" s="119"/>
      <c r="CO175" s="18"/>
      <c r="CP175" s="119"/>
      <c r="CQ175" s="18"/>
      <c r="CR175" s="119"/>
      <c r="CS175" s="18"/>
      <c r="CT175" s="119"/>
      <c r="CU175" s="18"/>
      <c r="CV175" s="119"/>
      <c r="CW175" s="18"/>
      <c r="CX175" s="119"/>
      <c r="CY175" s="18"/>
      <c r="CZ175" s="119"/>
      <c r="DA175" s="18"/>
      <c r="DB175" s="119"/>
      <c r="DC175" s="18"/>
      <c r="DD175" s="119"/>
      <c r="DE175" s="18"/>
      <c r="DF175" s="119"/>
      <c r="DG175" s="18"/>
      <c r="DH175" s="119"/>
      <c r="DI175" s="18"/>
      <c r="DJ175" s="119"/>
      <c r="DK175" s="18"/>
      <c r="DL175" s="119"/>
      <c r="DM175" s="18"/>
      <c r="DN175" s="119"/>
      <c r="DO175" s="18"/>
      <c r="DP175" s="119"/>
      <c r="DQ175" s="18"/>
      <c r="DR175" s="119"/>
      <c r="DS175" s="18"/>
      <c r="DT175" s="119"/>
      <c r="DU175" s="18"/>
      <c r="DV175" s="119"/>
      <c r="DW175" s="18"/>
      <c r="DX175" s="119"/>
      <c r="DY175" s="18"/>
      <c r="DZ175" s="119"/>
      <c r="EA175" s="18"/>
      <c r="EB175" s="119"/>
      <c r="EC175" s="18"/>
      <c r="ED175" s="119"/>
      <c r="EE175" s="18"/>
      <c r="EF175" s="119"/>
      <c r="EG175" s="18"/>
      <c r="EH175" s="18"/>
      <c r="EI175" s="119"/>
      <c r="EJ175" s="5"/>
      <c r="EK175" s="119"/>
      <c r="EL175" s="5"/>
      <c r="EM175" s="119"/>
      <c r="EN175" s="5"/>
      <c r="EO175" s="119"/>
      <c r="EP175" s="5"/>
      <c r="EQ175" s="119"/>
      <c r="ER175" s="18"/>
      <c r="ES175" s="119"/>
      <c r="ET175" s="18"/>
      <c r="EU175" s="119"/>
      <c r="EV175" s="18"/>
      <c r="EW175" s="119"/>
      <c r="EX175" s="18"/>
      <c r="EY175" s="119"/>
      <c r="EZ175" s="18"/>
      <c r="FA175" s="119"/>
      <c r="FB175" s="18"/>
      <c r="FC175" s="119"/>
      <c r="FD175" s="18"/>
      <c r="FE175" s="119"/>
      <c r="FF175" s="18"/>
      <c r="FG175" s="119"/>
      <c r="FH175" s="18"/>
      <c r="FI175" s="119"/>
      <c r="FJ175" s="18"/>
      <c r="FK175" s="119"/>
      <c r="FL175" s="18"/>
      <c r="FM175" s="119"/>
      <c r="FN175" s="18"/>
      <c r="FO175" s="119"/>
      <c r="FP175" s="18"/>
      <c r="FQ175" s="119"/>
      <c r="FR175" s="18"/>
      <c r="FS175" s="119"/>
      <c r="FT175" s="18"/>
      <c r="FU175" s="119"/>
      <c r="FV175" s="18"/>
      <c r="FW175" s="119"/>
      <c r="FX175" s="18"/>
      <c r="FY175" s="119"/>
      <c r="FZ175" s="18"/>
      <c r="GA175" s="5"/>
    </row>
    <row r="176" spans="1:183" ht="12.75" hidden="1" customHeight="1" outlineLevel="1" x14ac:dyDescent="0.2">
      <c r="A176" s="612" t="str">
        <f>INPUT!B94</f>
        <v>Pretax Earnings/Revenues (%)</v>
      </c>
      <c r="B176" s="119"/>
      <c r="C176" s="399"/>
      <c r="D176" s="119"/>
      <c r="E176" s="5"/>
      <c r="F176" s="119"/>
      <c r="G176" s="5"/>
      <c r="H176" s="119"/>
      <c r="I176" s="5"/>
      <c r="J176" s="119"/>
      <c r="K176" s="5"/>
      <c r="L176" s="119"/>
      <c r="M176" s="5"/>
      <c r="N176" s="119"/>
      <c r="O176" s="5"/>
      <c r="P176" s="119"/>
      <c r="Q176" s="5"/>
      <c r="R176" s="119">
        <f>INPUT!AC94</f>
        <v>10.434393193013898</v>
      </c>
      <c r="S176" s="5" t="str">
        <f>INPUT!AD94</f>
        <v>NA</v>
      </c>
      <c r="T176" s="119">
        <f>INPUT!AE94</f>
        <v>11.255897551112113</v>
      </c>
      <c r="U176" s="5" t="str">
        <f>INPUT!AF94</f>
        <v>NA</v>
      </c>
      <c r="V176" s="119">
        <f>INPUT!AG94</f>
        <v>12.69071691176471</v>
      </c>
      <c r="W176" s="5" t="str">
        <f>INPUT!AH94</f>
        <v>NA</v>
      </c>
      <c r="X176" s="119">
        <f>INPUT!AI94</f>
        <v>13.850833708877913</v>
      </c>
      <c r="Y176" s="5" t="str">
        <f>INPUT!AJ94</f>
        <v>NA</v>
      </c>
      <c r="Z176" s="119">
        <f>INPUT!AK94</f>
        <v>13.553113553113565</v>
      </c>
      <c r="AA176" s="5">
        <f>INPUT!AL94</f>
        <v>29.888852206448703</v>
      </c>
      <c r="AB176" s="119">
        <f>INPUT!AM94</f>
        <v>11.682926829268288</v>
      </c>
      <c r="AC176" s="5">
        <f>INPUT!AN94</f>
        <v>3.7938269801858882</v>
      </c>
      <c r="AD176" s="119">
        <f>INPUT!AO94</f>
        <v>10.648030495552728</v>
      </c>
      <c r="AE176" s="5">
        <f>INPUT!AP94</f>
        <v>-16.09591034465787</v>
      </c>
      <c r="AF176" s="119">
        <f>INPUT!AQ94</f>
        <v>10.764662212323696</v>
      </c>
      <c r="AG176" s="5">
        <f>INPUT!AR94</f>
        <v>-22.28148544282995</v>
      </c>
      <c r="AH176" s="119">
        <f>INPUT!AS94</f>
        <v>11.144960649911138</v>
      </c>
      <c r="AI176" s="5">
        <f>INPUT!AT94</f>
        <v>-17.768263312817901</v>
      </c>
      <c r="AJ176" s="119">
        <f>INPUT!AU94</f>
        <v>11.2960161371659</v>
      </c>
      <c r="AK176" s="5">
        <f>INPUT!AV94</f>
        <v>-3.3117616651770154</v>
      </c>
      <c r="AL176" s="119">
        <f>INPUT!AW94</f>
        <v>11.745424747336793</v>
      </c>
      <c r="AM176" s="5">
        <f>INPUT!AX94</f>
        <v>10.306077281074689</v>
      </c>
      <c r="AN176" s="119">
        <f>INPUT!AY94</f>
        <v>12.044745057232067</v>
      </c>
      <c r="AO176" s="18">
        <f>INPUT!AZ94</f>
        <v>11.891528221321202</v>
      </c>
      <c r="AP176" s="119">
        <f>INPUT!BA94</f>
        <v>14.187248707639283</v>
      </c>
      <c r="AQ176" s="18">
        <f>INPUT!BB94</f>
        <v>27.297432025947987</v>
      </c>
      <c r="AR176" s="119">
        <f>INPUT!BC94</f>
        <v>14.931864308495232</v>
      </c>
      <c r="AS176" s="18">
        <f>INPUT!BD94</f>
        <v>32.186995195294976</v>
      </c>
      <c r="AT176" s="119">
        <f>INPUT!BE94</f>
        <v>16.37529137529139</v>
      </c>
      <c r="AU176" s="18">
        <f>INPUT!BF94</f>
        <v>39.41846912777158</v>
      </c>
      <c r="AV176" s="119">
        <f>INPUT!BG94</f>
        <v>17.707719505008832</v>
      </c>
      <c r="AW176" s="18">
        <f>INPUT!BH94</f>
        <v>47.016142067502933</v>
      </c>
      <c r="AX176" s="119">
        <f>INPUT!BI94</f>
        <v>17.088217149907457</v>
      </c>
      <c r="AY176" s="18">
        <f>INPUT!BJ94</f>
        <v>20.447716833963135</v>
      </c>
      <c r="AZ176" s="119">
        <f>INPUT!BK94</f>
        <v>16.296518607442962</v>
      </c>
      <c r="BA176" s="18">
        <f>INPUT!BL94</f>
        <v>9.1392090816907015</v>
      </c>
      <c r="BB176" s="119">
        <f>INPUT!BM94</f>
        <v>15.345191438046438</v>
      </c>
      <c r="BC176" s="18">
        <f>INPUT!BN94</f>
        <v>-6.2905747057378498</v>
      </c>
      <c r="BD176" s="119">
        <f>INPUT!BO94</f>
        <v>15.26092233009709</v>
      </c>
      <c r="BE176" s="18">
        <f>INPUT!BP94</f>
        <v>-13.817686541847685</v>
      </c>
      <c r="BF176" s="119">
        <f>INPUT!BQ94</f>
        <v>15.117370892018783</v>
      </c>
      <c r="BG176" s="18">
        <f>INPUT!BR94</f>
        <v>-11.533363841290766</v>
      </c>
      <c r="BH176" s="119">
        <f>INPUT!BS94</f>
        <v>15.007704160246563</v>
      </c>
      <c r="BI176" s="18">
        <f>INPUT!BT94</f>
        <v>-7.9085262211020417</v>
      </c>
      <c r="BJ176" s="119">
        <f>INPUT!BU94</f>
        <v>15.342129487572858</v>
      </c>
      <c r="BK176" s="18">
        <f>INPUT!BV94</f>
        <v>-1.9953810846484732E-2</v>
      </c>
      <c r="BL176" s="119">
        <f>INPUT!BW94</f>
        <v>14.855185300529428</v>
      </c>
      <c r="BM176" s="18">
        <f>INPUT!BX94</f>
        <v>-2.6586664999105669</v>
      </c>
      <c r="BN176" s="119">
        <f>INPUT!BY94</f>
        <v>15.372907153729088</v>
      </c>
      <c r="BO176" s="18">
        <f>INPUT!BZ94</f>
        <v>1.6903485634874205</v>
      </c>
      <c r="BP176" s="119">
        <f>INPUT!CA94</f>
        <v>15.281989084293521</v>
      </c>
      <c r="BQ176" s="18">
        <f>INPUT!CB94</f>
        <v>1.8276274713190377</v>
      </c>
      <c r="BR176" s="119">
        <f>INPUT!CC94</f>
        <v>15.34073851696188</v>
      </c>
      <c r="BS176" s="18">
        <f>INPUT!CD94</f>
        <v>-9.0663464423657025E-3</v>
      </c>
      <c r="BT176" s="119">
        <f>INPUT!CE94</f>
        <v>15.430267062314554</v>
      </c>
      <c r="BU176" s="18">
        <f>INPUT!CF94</f>
        <v>3.8712526983061712</v>
      </c>
      <c r="BV176" s="119">
        <f>INPUT!CG94</f>
        <v>15.39379474940333</v>
      </c>
      <c r="BW176" s="18">
        <f>INPUT!CH94</f>
        <v>0.13587277582156609</v>
      </c>
      <c r="BX176" s="119">
        <f>INPUT!CI94</f>
        <v>15.499254843517138</v>
      </c>
      <c r="BY176" s="18">
        <f>INPUT!CJ94</f>
        <v>1.4217112577767699</v>
      </c>
      <c r="BZ176" s="119">
        <f>INPUT!CK94</f>
        <v>15.405007363770254</v>
      </c>
      <c r="CA176" s="18">
        <f>INPUT!CL94</f>
        <v>0.41894232625967476</v>
      </c>
      <c r="CB176" s="119">
        <f>INPUT!CM94</f>
        <v>15.317414094350603</v>
      </c>
      <c r="CC176" s="18">
        <f>INPUT!CN94</f>
        <v>-0.73137404238176051</v>
      </c>
      <c r="CD176" s="119">
        <f>INPUT!CO94</f>
        <v>14.665547159249925</v>
      </c>
      <c r="CE176" s="18">
        <f>INPUT!CP94</f>
        <v>-4.7307866709190183</v>
      </c>
      <c r="CF176" s="119">
        <f>INPUT!CQ94</f>
        <v>15.850622406638996</v>
      </c>
      <c r="CG176" s="18">
        <f>INPUT!CR94</f>
        <v>2.2669964889881378</v>
      </c>
      <c r="CH176" s="119">
        <f>INPUT!CS94</f>
        <v>15.45454545454546</v>
      </c>
      <c r="CI176" s="18">
        <f>INPUT!CT94</f>
        <v>0.32157135407615556</v>
      </c>
      <c r="CJ176" s="119">
        <f>INPUT!CU94</f>
        <v>15.120746432491774</v>
      </c>
      <c r="CK176" s="18">
        <f>INPUT!CV94</f>
        <v>-1.2839481954813992</v>
      </c>
      <c r="CL176" s="119">
        <f>INPUT!CW94</f>
        <v>15.472312703583077</v>
      </c>
      <c r="CM176" s="18">
        <f>INPUT!CX94</f>
        <v>5.5010940646991413</v>
      </c>
      <c r="CN176" s="119">
        <f>INPUT!CY94</f>
        <v>15.240423797881004</v>
      </c>
      <c r="CO176" s="18">
        <f>INPUT!CZ94</f>
        <v>-3.8496823222690102</v>
      </c>
      <c r="CP176" s="119">
        <f>INPUT!DA94</f>
        <v>15.510752688172055</v>
      </c>
      <c r="CQ176" s="18">
        <f>INPUT!DB94</f>
        <v>0.36369386464267794</v>
      </c>
      <c r="CR176" s="119">
        <f>INPUT!DC94</f>
        <v>26.556129382984505</v>
      </c>
      <c r="CS176" s="18">
        <f>INPUT!DD94</f>
        <v>75.627106119048079</v>
      </c>
      <c r="CT176" s="119">
        <f>INPUT!DE94</f>
        <v>15.653333333333331</v>
      </c>
      <c r="CU176" s="18">
        <f>INPUT!DF94</f>
        <v>1.1699649122805855</v>
      </c>
      <c r="CV176" s="119">
        <f>INPUT!DG94</f>
        <v>16.035988356708117</v>
      </c>
      <c r="CW176" s="18">
        <f>INPUT!DH94</f>
        <v>5.220094725566149</v>
      </c>
      <c r="CX176" s="119">
        <f>INPUT!DI94</f>
        <v>16.156862745098042</v>
      </c>
      <c r="CY176" s="18">
        <f>INPUT!DJ94</f>
        <v>4.1655622387602564</v>
      </c>
      <c r="CZ176" s="119">
        <f>INPUT!DK94</f>
        <v>15.228556753980484</v>
      </c>
      <c r="DA176" s="18">
        <f>INPUT!DL94</f>
        <v>-42.655209521090889</v>
      </c>
      <c r="DB176" s="119">
        <f>INPUT!DM94</f>
        <v>14.42451420029896</v>
      </c>
      <c r="DC176" s="18">
        <f>INPUT!DN94</f>
        <v>-7.8502074086522882</v>
      </c>
      <c r="DD176" s="119">
        <f>INPUT!DO94</f>
        <v>13.001485884101054</v>
      </c>
      <c r="DE176" s="18">
        <f>INPUT!DP94</f>
        <v>-18.923077300300484</v>
      </c>
      <c r="DF176" s="119">
        <f>INPUT!DQ94</f>
        <v>14.908370480435856</v>
      </c>
      <c r="DG176" s="18">
        <f>INPUT!DR94</f>
        <v>-7.7273186283703277</v>
      </c>
      <c r="DH176" s="119">
        <f>INPUT!DS94</f>
        <v>13.331696538178262</v>
      </c>
      <c r="DI176" s="18">
        <f>INPUT!DT94</f>
        <v>-12.455942125352204</v>
      </c>
      <c r="DJ176" s="119">
        <f>INPUT!DU94</f>
        <v>13.330125120307995</v>
      </c>
      <c r="DK176" s="18">
        <f>INPUT!DV94</f>
        <v>-7.5870082333052373</v>
      </c>
      <c r="DL176" s="119">
        <f>INPUT!DW94</f>
        <v>13.753927967125945</v>
      </c>
      <c r="DM176" s="18">
        <f>INPUT!DX94</f>
        <v>5.7873545357228551</v>
      </c>
      <c r="DN176" s="119">
        <f>INPUT!DY94</f>
        <v>12.778176597272095</v>
      </c>
      <c r="DO176" s="18">
        <f>INPUT!DZ94</f>
        <v>-14.288576246204766</v>
      </c>
      <c r="DP176" s="119">
        <f>INPUT!EA94</f>
        <v>13.325415676959615</v>
      </c>
      <c r="DQ176" s="18">
        <f>INPUT!EB94</f>
        <v>-4.71122426216386E-2</v>
      </c>
      <c r="DR176" s="119">
        <f>INPUT!EC94</f>
        <v>12.933025404157044</v>
      </c>
      <c r="DS176" s="18">
        <f>INPUT!ED94</f>
        <v>-2.978964657623373</v>
      </c>
      <c r="DT176" s="119">
        <f>INPUT!EE94</f>
        <v>14.175977653631278</v>
      </c>
      <c r="DU176" s="18">
        <f>INPUT!EF94</f>
        <v>3.0685756644509121</v>
      </c>
      <c r="DV176" s="119">
        <f>INPUT!EG94</f>
        <v>13.787565955494371</v>
      </c>
      <c r="DW176" s="18">
        <f>INPUT!EH94</f>
        <v>7.899322337099024</v>
      </c>
      <c r="DX176" s="119">
        <f>INPUT!EI94</f>
        <v>13.218923933209648</v>
      </c>
      <c r="DY176" s="18">
        <f>INPUT!EJ94</f>
        <v>-0.79916264026267392</v>
      </c>
      <c r="DZ176" s="119">
        <f>INPUT!EK94</f>
        <v>13.216041228798247</v>
      </c>
      <c r="EA176" s="18">
        <f>INPUT!EL94</f>
        <v>2.1883187869578657</v>
      </c>
      <c r="EB176" s="119">
        <f>INPUT!EM94</f>
        <v>13.340497083362319</v>
      </c>
      <c r="EC176" s="18">
        <f>INPUT!EN94</f>
        <v>-5.8936363380549306</v>
      </c>
      <c r="ED176" s="119">
        <f>INPUT!EO94</f>
        <v>13.432547011973583</v>
      </c>
      <c r="EE176" s="18">
        <f>INPUT!EP94</f>
        <v>-2.574921089529314</v>
      </c>
      <c r="EF176" s="119">
        <f>INPUT!EQ94</f>
        <v>13.59077303733223</v>
      </c>
      <c r="EG176" s="18">
        <f>INPUT!ER94</f>
        <v>2.8130058543448744</v>
      </c>
      <c r="EH176" s="18"/>
      <c r="EI176" s="119"/>
      <c r="EJ176" s="5">
        <f>INPUT!FC94</f>
        <v>0</v>
      </c>
      <c r="EK176" s="119">
        <f>INPUT!FD94</f>
        <v>12.723556463975468</v>
      </c>
      <c r="EL176" s="5" t="str">
        <f>INPUT!FE94</f>
        <v>NA</v>
      </c>
      <c r="EM176" s="119">
        <f>INPUT!FF94</f>
        <v>12.318159190220699</v>
      </c>
      <c r="EN176" s="5">
        <f>INPUT!FG94</f>
        <v>-3.1861946375023376</v>
      </c>
      <c r="EO176" s="119">
        <f>INPUT!FH94</f>
        <v>12.051730953860071</v>
      </c>
      <c r="EP176" s="5">
        <f>INPUT!FI94</f>
        <v>-2.1628900247704475</v>
      </c>
      <c r="EQ176" s="119">
        <f>INPUT!FJ94</f>
        <v>11.675221074763476</v>
      </c>
      <c r="ER176" s="18">
        <f>INPUT!FK94</f>
        <v>-3.124114540376477</v>
      </c>
      <c r="ES176" s="119">
        <f>INPUT!FL94</f>
        <v>11.550940947436745</v>
      </c>
      <c r="ET176" s="18">
        <f>INPUT!FM94</f>
        <v>-1.0644777219282697</v>
      </c>
      <c r="EU176" s="119">
        <f>INPUT!FN94</f>
        <v>15.788325943156229</v>
      </c>
      <c r="EV176" s="18">
        <f>INPUT!FO94</f>
        <v>36.684327406762463</v>
      </c>
      <c r="EW176" s="119">
        <f>INPUT!FP94</f>
        <v>15.993023432168052</v>
      </c>
      <c r="EX176" s="18">
        <f>INPUT!FQ94</f>
        <v>1.2965116741876725</v>
      </c>
      <c r="EY176" s="119">
        <f>INPUT!FR94</f>
        <v>14.996127033307523</v>
      </c>
      <c r="EZ176" s="18">
        <f>INPUT!FS94</f>
        <v>-6.2333204418083321</v>
      </c>
      <c r="FA176" s="119">
        <f>INPUT!FT94</f>
        <v>15.356820234869014</v>
      </c>
      <c r="FB176" s="18">
        <f>INPUT!FU94</f>
        <v>2.4052423719828742</v>
      </c>
      <c r="FC176" s="119">
        <f>INPUT!FV94</f>
        <v>15.403368794326255</v>
      </c>
      <c r="FD176" s="18">
        <f>INPUT!FW94</f>
        <v>0.30311326658332138</v>
      </c>
      <c r="FE176" s="119">
        <f>INPUT!FX94</f>
        <v>15.186543919152767</v>
      </c>
      <c r="FF176" s="18">
        <f>INPUT!FY94</f>
        <v>-1.4076458083205456</v>
      </c>
      <c r="FG176" s="119">
        <f>INPUT!FZ94</f>
        <v>18.186128420482241</v>
      </c>
      <c r="FH176" s="18">
        <f>INPUT!GA94</f>
        <v>19.751594024934782</v>
      </c>
      <c r="FI176" s="119">
        <f>INPUT!GB94</f>
        <v>15.766002098635893</v>
      </c>
      <c r="FJ176" s="18">
        <f>INPUT!GC94</f>
        <v>-13.30754004310597</v>
      </c>
      <c r="FK176" s="119">
        <f>INPUT!GD94</f>
        <v>13.914496071273877</v>
      </c>
      <c r="FL176" s="18">
        <f>INPUT!GE94</f>
        <v>-11.743662190189685</v>
      </c>
      <c r="FM176" s="119">
        <f>INPUT!GF94</f>
        <v>13.295767893537969</v>
      </c>
      <c r="FN176" s="18">
        <f>INPUT!GG94</f>
        <v>-4.4466445250091136</v>
      </c>
      <c r="FO176" s="119">
        <f>INPUT!GH94</f>
        <v>13.528357518644865</v>
      </c>
      <c r="FP176" s="18">
        <f>INPUT!GI94</f>
        <v>1.7493508232791832</v>
      </c>
      <c r="FQ176" s="119">
        <f>INPUT!GJ94</f>
        <v>13.395149774318787</v>
      </c>
      <c r="FR176" s="18">
        <f>INPUT!GK94</f>
        <v>-0.98465570667016777</v>
      </c>
      <c r="FS176" s="119">
        <f>INPUT!GL94</f>
        <v>13.465790853980463</v>
      </c>
      <c r="FT176" s="18">
        <f>INPUT!GM94</f>
        <v>0.52736311912771061</v>
      </c>
      <c r="FU176" s="119">
        <f>INPUT!GN94</f>
        <v>13.53732801715627</v>
      </c>
      <c r="FV176" s="18">
        <f>INPUT!GO94</f>
        <v>0.53125110846838908</v>
      </c>
      <c r="FW176" s="119">
        <f>INPUT!GP94</f>
        <v>13.702971350324322</v>
      </c>
      <c r="FX176" s="18">
        <f>INPUT!GQ94</f>
        <v>1.223604340222284</v>
      </c>
      <c r="FY176" s="119">
        <f>INPUT!GR94</f>
        <v>13.776236477999484</v>
      </c>
      <c r="FZ176" s="18">
        <f>INPUT!GS94</f>
        <v>0.53466599179183838</v>
      </c>
      <c r="GA176" s="5">
        <f>INPUT!GT94</f>
        <v>0.36380164120295433</v>
      </c>
    </row>
    <row r="177" spans="1:183" ht="12.75" hidden="1" customHeight="1" outlineLevel="1" x14ac:dyDescent="0.2">
      <c r="A177" s="612"/>
      <c r="B177" s="119"/>
      <c r="C177" s="399"/>
      <c r="D177" s="119"/>
      <c r="E177" s="5"/>
      <c r="F177" s="119"/>
      <c r="G177" s="5"/>
      <c r="H177" s="119"/>
      <c r="I177" s="5"/>
      <c r="J177" s="119"/>
      <c r="K177" s="5"/>
      <c r="L177" s="119"/>
      <c r="M177" s="5"/>
      <c r="N177" s="119"/>
      <c r="O177" s="5"/>
      <c r="P177" s="119"/>
      <c r="Q177" s="5"/>
      <c r="R177" s="119"/>
      <c r="S177" s="5"/>
      <c r="T177" s="119"/>
      <c r="U177" s="5"/>
      <c r="V177" s="119"/>
      <c r="W177" s="5"/>
      <c r="X177" s="119"/>
      <c r="Y177" s="5"/>
      <c r="Z177" s="119"/>
      <c r="AA177" s="5"/>
      <c r="AB177" s="119"/>
      <c r="AC177" s="5"/>
      <c r="AD177" s="119"/>
      <c r="AE177" s="5"/>
      <c r="AF177" s="119"/>
      <c r="AG177" s="5"/>
      <c r="AH177" s="119"/>
      <c r="AI177" s="5"/>
      <c r="AJ177" s="119"/>
      <c r="AK177" s="5"/>
      <c r="AL177" s="119"/>
      <c r="AM177" s="5"/>
      <c r="AN177" s="119"/>
      <c r="AO177" s="18"/>
      <c r="AP177" s="119"/>
      <c r="AQ177" s="18"/>
      <c r="AR177" s="119"/>
      <c r="AS177" s="18"/>
      <c r="AT177" s="119"/>
      <c r="AU177" s="18"/>
      <c r="AV177" s="119"/>
      <c r="AW177" s="18"/>
      <c r="AX177" s="119"/>
      <c r="AY177" s="18"/>
      <c r="AZ177" s="119"/>
      <c r="BA177" s="18"/>
      <c r="BB177" s="119"/>
      <c r="BC177" s="18"/>
      <c r="BD177" s="119"/>
      <c r="BE177" s="18"/>
      <c r="BF177" s="119"/>
      <c r="BG177" s="18"/>
      <c r="BH177" s="119"/>
      <c r="BI177" s="18"/>
      <c r="BJ177" s="119"/>
      <c r="BK177" s="18"/>
      <c r="BL177" s="119"/>
      <c r="BM177" s="18"/>
      <c r="BN177" s="119"/>
      <c r="BO177" s="18"/>
      <c r="BP177" s="119"/>
      <c r="BQ177" s="18"/>
      <c r="BR177" s="119"/>
      <c r="BS177" s="18"/>
      <c r="BT177" s="119"/>
      <c r="BU177" s="18"/>
      <c r="BV177" s="119"/>
      <c r="BW177" s="18"/>
      <c r="BX177" s="119"/>
      <c r="BY177" s="18"/>
      <c r="BZ177" s="119"/>
      <c r="CA177" s="18"/>
      <c r="CB177" s="119"/>
      <c r="CC177" s="18"/>
      <c r="CD177" s="119"/>
      <c r="CE177" s="18"/>
      <c r="CF177" s="119"/>
      <c r="CG177" s="18"/>
      <c r="CH177" s="119"/>
      <c r="CI177" s="18"/>
      <c r="CJ177" s="119"/>
      <c r="CK177" s="18"/>
      <c r="CL177" s="119"/>
      <c r="CM177" s="18"/>
      <c r="CN177" s="119"/>
      <c r="CO177" s="18"/>
      <c r="CP177" s="119"/>
      <c r="CQ177" s="18"/>
      <c r="CR177" s="119"/>
      <c r="CS177" s="18"/>
      <c r="CT177" s="119"/>
      <c r="CU177" s="18"/>
      <c r="CV177" s="119"/>
      <c r="CW177" s="18"/>
      <c r="CX177" s="119"/>
      <c r="CY177" s="18"/>
      <c r="CZ177" s="119"/>
      <c r="DA177" s="18"/>
      <c r="DB177" s="119"/>
      <c r="DC177" s="18"/>
      <c r="DD177" s="119"/>
      <c r="DE177" s="18"/>
      <c r="DF177" s="119"/>
      <c r="DG177" s="18"/>
      <c r="DH177" s="119"/>
      <c r="DI177" s="18"/>
      <c r="DJ177" s="119"/>
      <c r="DK177" s="18"/>
      <c r="DL177" s="119"/>
      <c r="DM177" s="18"/>
      <c r="DN177" s="119"/>
      <c r="DO177" s="18"/>
      <c r="DP177" s="119"/>
      <c r="DQ177" s="18"/>
      <c r="DR177" s="119"/>
      <c r="DS177" s="18"/>
      <c r="DT177" s="119"/>
      <c r="DU177" s="18"/>
      <c r="DV177" s="119"/>
      <c r="DW177" s="18"/>
      <c r="DX177" s="119"/>
      <c r="DY177" s="18"/>
      <c r="DZ177" s="119"/>
      <c r="EA177" s="18"/>
      <c r="EB177" s="119"/>
      <c r="EC177" s="18"/>
      <c r="ED177" s="119"/>
      <c r="EE177" s="18"/>
      <c r="EF177" s="119"/>
      <c r="EG177" s="18"/>
      <c r="EH177" s="18"/>
      <c r="EI177" s="119"/>
      <c r="EJ177" s="5"/>
      <c r="EK177" s="119"/>
      <c r="EL177" s="5"/>
      <c r="EM177" s="119"/>
      <c r="EN177" s="5"/>
      <c r="EO177" s="119"/>
      <c r="EP177" s="5"/>
      <c r="EQ177" s="119"/>
      <c r="ER177" s="18"/>
      <c r="ES177" s="119"/>
      <c r="ET177" s="18"/>
      <c r="EU177" s="119"/>
      <c r="EV177" s="18"/>
      <c r="EW177" s="119"/>
      <c r="EX177" s="18"/>
      <c r="EY177" s="119"/>
      <c r="EZ177" s="18"/>
      <c r="FA177" s="119"/>
      <c r="FB177" s="18"/>
      <c r="FC177" s="119"/>
      <c r="FD177" s="18"/>
      <c r="FE177" s="119"/>
      <c r="FF177" s="18"/>
      <c r="FG177" s="119"/>
      <c r="FH177" s="18"/>
      <c r="FI177" s="119"/>
      <c r="FJ177" s="18"/>
      <c r="FK177" s="119"/>
      <c r="FL177" s="18"/>
      <c r="FM177" s="119"/>
      <c r="FN177" s="18"/>
      <c r="FO177" s="119"/>
      <c r="FP177" s="18"/>
      <c r="FQ177" s="119"/>
      <c r="FR177" s="18"/>
      <c r="FS177" s="119"/>
      <c r="FT177" s="18"/>
      <c r="FU177" s="119"/>
      <c r="FV177" s="18"/>
      <c r="FW177" s="119"/>
      <c r="FX177" s="18"/>
      <c r="FY177" s="119"/>
      <c r="FZ177" s="18"/>
      <c r="GA177" s="5"/>
    </row>
    <row r="178" spans="1:183" ht="12.75" hidden="1" customHeight="1" outlineLevel="1" x14ac:dyDescent="0.2">
      <c r="A178" s="610" t="s">
        <v>438</v>
      </c>
      <c r="B178" s="119"/>
      <c r="C178" s="399"/>
      <c r="D178" s="119"/>
      <c r="E178" s="5"/>
      <c r="F178" s="119"/>
      <c r="G178" s="5"/>
      <c r="H178" s="119"/>
      <c r="I178" s="5"/>
      <c r="J178" s="119"/>
      <c r="K178" s="5"/>
      <c r="L178" s="119"/>
      <c r="M178" s="5"/>
      <c r="N178" s="119"/>
      <c r="O178" s="5"/>
      <c r="P178" s="119"/>
      <c r="Q178" s="5"/>
      <c r="R178" s="119"/>
      <c r="S178" s="5"/>
      <c r="T178" s="119"/>
      <c r="U178" s="5"/>
      <c r="V178" s="119"/>
      <c r="W178" s="5"/>
      <c r="X178" s="119"/>
      <c r="Y178" s="5"/>
      <c r="Z178" s="119"/>
      <c r="AA178" s="5"/>
      <c r="AB178" s="119"/>
      <c r="AC178" s="5"/>
      <c r="AD178" s="119"/>
      <c r="AE178" s="5"/>
      <c r="AF178" s="119"/>
      <c r="AG178" s="5"/>
      <c r="AH178" s="119"/>
      <c r="AI178" s="5"/>
      <c r="AJ178" s="119"/>
      <c r="AK178" s="5"/>
      <c r="AL178" s="119"/>
      <c r="AM178" s="5"/>
      <c r="AN178" s="119"/>
      <c r="AO178" s="18"/>
      <c r="AP178" s="119"/>
      <c r="AQ178" s="18"/>
      <c r="AR178" s="119"/>
      <c r="AS178" s="18"/>
      <c r="AT178" s="119"/>
      <c r="AU178" s="18"/>
      <c r="AV178" s="119"/>
      <c r="AW178" s="18"/>
      <c r="AX178" s="119"/>
      <c r="AY178" s="18"/>
      <c r="AZ178" s="119"/>
      <c r="BA178" s="18"/>
      <c r="BB178" s="119"/>
      <c r="BC178" s="18"/>
      <c r="BD178" s="119"/>
      <c r="BE178" s="18"/>
      <c r="BF178" s="119"/>
      <c r="BG178" s="18"/>
      <c r="BH178" s="119"/>
      <c r="BI178" s="18"/>
      <c r="BJ178" s="119"/>
      <c r="BK178" s="18"/>
      <c r="BL178" s="119"/>
      <c r="BM178" s="18"/>
      <c r="BN178" s="119"/>
      <c r="BO178" s="18"/>
      <c r="BP178" s="119"/>
      <c r="BQ178" s="18"/>
      <c r="BR178" s="119"/>
      <c r="BS178" s="18"/>
      <c r="BT178" s="119"/>
      <c r="BU178" s="18"/>
      <c r="BV178" s="119"/>
      <c r="BW178" s="18"/>
      <c r="BX178" s="119"/>
      <c r="BY178" s="18"/>
      <c r="BZ178" s="119"/>
      <c r="CA178" s="18"/>
      <c r="CB178" s="119"/>
      <c r="CC178" s="18"/>
      <c r="CD178" s="119"/>
      <c r="CE178" s="18"/>
      <c r="CF178" s="119"/>
      <c r="CG178" s="18"/>
      <c r="CH178" s="119"/>
      <c r="CI178" s="18"/>
      <c r="CJ178" s="119"/>
      <c r="CK178" s="18"/>
      <c r="CL178" s="119"/>
      <c r="CM178" s="18"/>
      <c r="CN178" s="119"/>
      <c r="CO178" s="18"/>
      <c r="CP178" s="119"/>
      <c r="CQ178" s="18"/>
      <c r="CR178" s="119"/>
      <c r="CS178" s="18"/>
      <c r="CT178" s="119"/>
      <c r="CU178" s="18"/>
      <c r="CV178" s="119"/>
      <c r="CW178" s="18"/>
      <c r="CX178" s="119"/>
      <c r="CY178" s="18"/>
      <c r="CZ178" s="119"/>
      <c r="DA178" s="18"/>
      <c r="DB178" s="119"/>
      <c r="DC178" s="18"/>
      <c r="DD178" s="119"/>
      <c r="DE178" s="18"/>
      <c r="DF178" s="119"/>
      <c r="DG178" s="18"/>
      <c r="DH178" s="119"/>
      <c r="DI178" s="18"/>
      <c r="DJ178" s="119"/>
      <c r="DK178" s="18"/>
      <c r="DL178" s="119"/>
      <c r="DM178" s="18"/>
      <c r="DN178" s="119"/>
      <c r="DO178" s="18"/>
      <c r="DP178" s="119"/>
      <c r="DQ178" s="18"/>
      <c r="DR178" s="119"/>
      <c r="DS178" s="18"/>
      <c r="DT178" s="119"/>
      <c r="DU178" s="18"/>
      <c r="DV178" s="119"/>
      <c r="DW178" s="18"/>
      <c r="DX178" s="119"/>
      <c r="DY178" s="18"/>
      <c r="DZ178" s="119"/>
      <c r="EA178" s="18"/>
      <c r="EB178" s="119"/>
      <c r="EC178" s="18"/>
      <c r="ED178" s="119"/>
      <c r="EE178" s="18"/>
      <c r="EF178" s="119"/>
      <c r="EG178" s="18"/>
      <c r="EH178" s="18"/>
      <c r="EI178" s="119"/>
      <c r="EJ178" s="5"/>
      <c r="EK178" s="119"/>
      <c r="EL178" s="5"/>
      <c r="EM178" s="119"/>
      <c r="EN178" s="5"/>
      <c r="EO178" s="119"/>
      <c r="EP178" s="5"/>
      <c r="EQ178" s="119"/>
      <c r="ER178" s="18"/>
      <c r="ES178" s="119"/>
      <c r="ET178" s="18"/>
      <c r="EU178" s="119"/>
      <c r="EV178" s="18"/>
      <c r="EW178" s="119"/>
      <c r="EX178" s="18"/>
      <c r="EY178" s="119"/>
      <c r="EZ178" s="18"/>
      <c r="FA178" s="119"/>
      <c r="FB178" s="18"/>
      <c r="FC178" s="119"/>
      <c r="FD178" s="18"/>
      <c r="FE178" s="119"/>
      <c r="FF178" s="18"/>
      <c r="FG178" s="119"/>
      <c r="FH178" s="18"/>
      <c r="FI178" s="119"/>
      <c r="FJ178" s="18"/>
      <c r="FK178" s="119"/>
      <c r="FL178" s="18"/>
      <c r="FM178" s="119"/>
      <c r="FN178" s="18"/>
      <c r="FO178" s="119"/>
      <c r="FP178" s="18"/>
      <c r="FQ178" s="119"/>
      <c r="FR178" s="18"/>
      <c r="FS178" s="119"/>
      <c r="FT178" s="18"/>
      <c r="FU178" s="119"/>
      <c r="FV178" s="18"/>
      <c r="FW178" s="119"/>
      <c r="FX178" s="18"/>
      <c r="FY178" s="119"/>
      <c r="FZ178" s="18"/>
      <c r="GA178" s="5"/>
    </row>
    <row r="179" spans="1:183" ht="12.75" hidden="1" customHeight="1" outlineLevel="1" x14ac:dyDescent="0.2">
      <c r="A179" s="612" t="str">
        <f>INPUT!B87</f>
        <v>Benefits/Premiums (%)</v>
      </c>
      <c r="B179" s="119"/>
      <c r="C179" s="399"/>
      <c r="D179" s="119"/>
      <c r="E179" s="5"/>
      <c r="F179" s="119"/>
      <c r="G179" s="5"/>
      <c r="H179" s="119"/>
      <c r="I179" s="5"/>
      <c r="J179" s="119"/>
      <c r="K179" s="5"/>
      <c r="L179" s="119"/>
      <c r="M179" s="5"/>
      <c r="N179" s="119"/>
      <c r="O179" s="5"/>
      <c r="P179" s="119"/>
      <c r="Q179" s="5"/>
      <c r="R179" s="119">
        <f>INPUT!AC87</f>
        <v>77.302393038433635</v>
      </c>
      <c r="S179" s="5" t="str">
        <f>INPUT!AD87</f>
        <v>NA</v>
      </c>
      <c r="T179" s="119">
        <f>INPUT!AE87</f>
        <v>77.014563106796118</v>
      </c>
      <c r="U179" s="5" t="str">
        <f>INPUT!AF87</f>
        <v>NA</v>
      </c>
      <c r="V179" s="119">
        <f>INPUT!AG87</f>
        <v>76.675872457946255</v>
      </c>
      <c r="W179" s="5" t="str">
        <f>INPUT!AH87</f>
        <v>NA</v>
      </c>
      <c r="X179" s="119">
        <f>INPUT!AI87</f>
        <v>75.563345017526245</v>
      </c>
      <c r="Y179" s="5" t="str">
        <f>INPUT!AJ87</f>
        <v>NA</v>
      </c>
      <c r="Z179" s="119">
        <f>INPUT!AK87</f>
        <v>74.411685150121727</v>
      </c>
      <c r="AA179" s="5">
        <f>INPUT!AL87</f>
        <v>-3.7394804671502135</v>
      </c>
      <c r="AB179" s="119">
        <f>INPUT!AM87</f>
        <v>76.55450874831763</v>
      </c>
      <c r="AC179" s="5">
        <f>INPUT!AN87</f>
        <v>-0.59736021334111378</v>
      </c>
      <c r="AD179" s="119">
        <f>INPUT!AO87</f>
        <v>76.594549030626595</v>
      </c>
      <c r="AE179" s="5">
        <f>INPUT!AP87</f>
        <v>-0.10606130026660221</v>
      </c>
      <c r="AF179" s="119">
        <f>INPUT!AQ87</f>
        <v>76.427205681507786</v>
      </c>
      <c r="AG179" s="5">
        <f>INPUT!AR87</f>
        <v>1.1432271345070522</v>
      </c>
      <c r="AH179" s="119">
        <f>INPUT!AS87</f>
        <v>76.588628762541816</v>
      </c>
      <c r="AI179" s="5">
        <f>INPUT!AT87</f>
        <v>2.9255399982250241</v>
      </c>
      <c r="AJ179" s="119">
        <f>INPUT!AU87</f>
        <v>76.348547717842322</v>
      </c>
      <c r="AK179" s="5">
        <f>INPUT!AV87</f>
        <v>-0.26903840654562972</v>
      </c>
      <c r="AL179" s="119">
        <f>INPUT!AW87</f>
        <v>76.104053236539613</v>
      </c>
      <c r="AM179" s="5">
        <f>INPUT!AX87</f>
        <v>-0.64037950519280074</v>
      </c>
      <c r="AN179" s="119">
        <f>INPUT!AY87</f>
        <v>75.946100917431181</v>
      </c>
      <c r="AO179" s="18">
        <f>INPUT!AZ87</f>
        <v>-0.62949411768564723</v>
      </c>
      <c r="AP179" s="119">
        <f>INPUT!BA87</f>
        <v>75.159642401021713</v>
      </c>
      <c r="AQ179" s="18">
        <f>INPUT!BB87</f>
        <v>-1.8657944196266874</v>
      </c>
      <c r="AR179" s="119">
        <f>INPUT!BC87</f>
        <v>74.256144890038811</v>
      </c>
      <c r="AS179" s="18">
        <f>INPUT!BD87</f>
        <v>-2.7405928342426389</v>
      </c>
      <c r="AT179" s="119">
        <f>INPUT!BE87</f>
        <v>72.254521963824274</v>
      </c>
      <c r="AU179" s="18">
        <f>INPUT!BF87</f>
        <v>-5.0582473718588705</v>
      </c>
      <c r="AV179" s="119">
        <f>INPUT!BG87</f>
        <v>69.484334203655365</v>
      </c>
      <c r="AW179" s="18">
        <f>INPUT!BH87</f>
        <v>-8.5083587382597354</v>
      </c>
      <c r="AX179" s="119">
        <f>INPUT!BI87</f>
        <v>68.160054719562254</v>
      </c>
      <c r="AY179" s="18">
        <f>INPUT!BJ87</f>
        <v>-9.3129603306418947</v>
      </c>
      <c r="AZ179" s="119">
        <f>INPUT!BK87</f>
        <v>69.494344644045242</v>
      </c>
      <c r="BA179" s="18">
        <f>INPUT!BL87</f>
        <v>-6.4126682755279223</v>
      </c>
      <c r="BB179" s="119">
        <f>INPUT!BM87</f>
        <v>70.429570429570433</v>
      </c>
      <c r="BC179" s="18">
        <f>INPUT!BN87</f>
        <v>-2.5257263969825194</v>
      </c>
      <c r="BD179" s="119">
        <f>INPUT!BO87</f>
        <v>69.976438909458096</v>
      </c>
      <c r="BE179" s="18">
        <f>INPUT!BP87</f>
        <v>0.7082239636353016</v>
      </c>
      <c r="BF179" s="119">
        <f>INPUT!BQ87</f>
        <v>69.826388888888886</v>
      </c>
      <c r="BG179" s="18">
        <f>INPUT!BR87</f>
        <v>2.4447371355298841</v>
      </c>
      <c r="BH179" s="119">
        <f>INPUT!BS87</f>
        <v>70.493488690884163</v>
      </c>
      <c r="BI179" s="18">
        <f>INPUT!BT87</f>
        <v>1.4377343249390995</v>
      </c>
      <c r="BJ179" s="119">
        <f>INPUT!BU87</f>
        <v>70.347648261758707</v>
      </c>
      <c r="BK179" s="18">
        <f>INPUT!BV87</f>
        <v>-0.11631785812700191</v>
      </c>
      <c r="BL179" s="119">
        <f>INPUT!BW87</f>
        <v>69.903248099516247</v>
      </c>
      <c r="BM179" s="18">
        <f>INPUT!BX87</f>
        <v>-0.10459350473170925</v>
      </c>
      <c r="BN179" s="119">
        <f>INPUT!BY87</f>
        <v>69.739952718676108</v>
      </c>
      <c r="BO179" s="18">
        <f>INPUT!BZ87</f>
        <v>-0.12378725520278966</v>
      </c>
      <c r="BP179" s="119">
        <f>INPUT!CA87</f>
        <v>70.339267719180384</v>
      </c>
      <c r="BQ179" s="18">
        <f>INPUT!CB87</f>
        <v>-0.21877335704016954</v>
      </c>
      <c r="BR179" s="119">
        <f>INPUT!CC87</f>
        <v>70.433333333333337</v>
      </c>
      <c r="BS179" s="18">
        <f>INPUT!CD87</f>
        <v>0.12180232558138826</v>
      </c>
      <c r="BT179" s="119">
        <f>INPUT!CE87</f>
        <v>70.290812954395236</v>
      </c>
      <c r="BU179" s="18">
        <f>INPUT!CF87</f>
        <v>0.55443039546207995</v>
      </c>
      <c r="BV179" s="119">
        <f>INPUT!CG87</f>
        <v>69.950083194675543</v>
      </c>
      <c r="BW179" s="18">
        <f>INPUT!CH87</f>
        <v>0.30130573338225108</v>
      </c>
      <c r="BX179" s="119">
        <f>INPUT!CI87</f>
        <v>70.275655928263021</v>
      </c>
      <c r="BY179" s="18">
        <f>INPUT!CJ87</f>
        <v>-9.0435674097899543E-2</v>
      </c>
      <c r="BZ179" s="119">
        <f>INPUT!CK87</f>
        <v>70.193252538486746</v>
      </c>
      <c r="CA179" s="18">
        <f>INPUT!CL87</f>
        <v>-0.34086246310448542</v>
      </c>
      <c r="CB179" s="119">
        <f>INPUT!CM87</f>
        <v>70.711974110032358</v>
      </c>
      <c r="CC179" s="18">
        <f>INPUT!CN87</f>
        <v>0.59916956133423405</v>
      </c>
      <c r="CD179" s="119">
        <f>INPUT!CO87</f>
        <v>71.978875427151294</v>
      </c>
      <c r="CE179" s="18">
        <f>INPUT!CP87</f>
        <v>2.900342844238657</v>
      </c>
      <c r="CF179" s="119">
        <f>INPUT!CQ87</f>
        <v>71.910808299783213</v>
      </c>
      <c r="CG179" s="18">
        <f>INPUT!CR87</f>
        <v>2.3267692772435344</v>
      </c>
      <c r="CH179" s="119">
        <f>INPUT!CS87</f>
        <v>72.281776416539046</v>
      </c>
      <c r="CI179" s="18">
        <f>INPUT!CT87</f>
        <v>2.9753912271085703</v>
      </c>
      <c r="CJ179" s="119">
        <f>INPUT!CU87</f>
        <v>72.523765716038028</v>
      </c>
      <c r="CK179" s="18">
        <f>INPUT!CV87</f>
        <v>2.5622133009416626</v>
      </c>
      <c r="CL179" s="119">
        <f>INPUT!CW87</f>
        <v>70.639447613329338</v>
      </c>
      <c r="CM179" s="18">
        <f>INPUT!CX87</f>
        <v>-1.8608623792373269</v>
      </c>
      <c r="CN179" s="119">
        <f>INPUT!CY87</f>
        <v>71.090473337327737</v>
      </c>
      <c r="CO179" s="18">
        <f>INPUT!CZ87</f>
        <v>-1.140767266911602</v>
      </c>
      <c r="CP179" s="119">
        <f>INPUT!DA87</f>
        <v>71.58176943699732</v>
      </c>
      <c r="CQ179" s="18">
        <f>INPUT!DB87</f>
        <v>-0.96844185940836436</v>
      </c>
      <c r="CR179" s="119">
        <f>INPUT!DC87</f>
        <v>59.17693000901172</v>
      </c>
      <c r="CS179" s="18">
        <f>INPUT!DD87</f>
        <v>-18.403395873409213</v>
      </c>
      <c r="CT179" s="119">
        <f>INPUT!DE87</f>
        <v>70.279001468428788</v>
      </c>
      <c r="CU179" s="18">
        <f>INPUT!DF87</f>
        <v>-0.51026183963609473</v>
      </c>
      <c r="CV179" s="119">
        <f>INPUT!DG87</f>
        <v>70.142317746151605</v>
      </c>
      <c r="CW179" s="18">
        <f>INPUT!DH87</f>
        <v>-1.3337308737235265</v>
      </c>
      <c r="CX179" s="119">
        <f>INPUT!DI87</f>
        <v>69.968418030433526</v>
      </c>
      <c r="CY179" s="18">
        <f>INPUT!DJ87</f>
        <v>-2.253857957484251</v>
      </c>
      <c r="CZ179" s="119">
        <f>INPUT!DK87</f>
        <v>70.768797521824837</v>
      </c>
      <c r="DA179" s="18">
        <f>INPUT!DL87</f>
        <v>19.58849083764207</v>
      </c>
      <c r="DB179" s="119">
        <f>INPUT!DM87</f>
        <v>70.94668117519042</v>
      </c>
      <c r="DC179" s="18">
        <f>INPUT!DN87</f>
        <v>0.95004153845523742</v>
      </c>
      <c r="DD179" s="119">
        <f>INPUT!DO87</f>
        <v>73.084213376658539</v>
      </c>
      <c r="DE179" s="18">
        <f>INPUT!DP87</f>
        <v>4.1941808098697297</v>
      </c>
      <c r="DF179" s="119">
        <f>INPUT!DQ87</f>
        <v>71.025501899077597</v>
      </c>
      <c r="DG179" s="18">
        <f>INPUT!DR87</f>
        <v>1.5108014421367555</v>
      </c>
      <c r="DH179" s="119">
        <f>INPUT!DS87</f>
        <v>72.028907922912211</v>
      </c>
      <c r="DI179" s="18">
        <f>INPUT!DT87</f>
        <v>1.7806016849428064</v>
      </c>
      <c r="DJ179" s="119">
        <f>INPUT!DU87</f>
        <v>71.458171458171449</v>
      </c>
      <c r="DK179" s="18">
        <f>INPUT!DV87</f>
        <v>0.72095026082754643</v>
      </c>
      <c r="DL179" s="119">
        <f>INPUT!DW87</f>
        <v>71.532846715328461</v>
      </c>
      <c r="DM179" s="18">
        <f>INPUT!DX87</f>
        <v>-2.122711033824376</v>
      </c>
      <c r="DN179" s="119">
        <f>INPUT!DY87</f>
        <v>72.600977617700025</v>
      </c>
      <c r="DO179" s="18">
        <f>INPUT!DZ87</f>
        <v>2.2181831546379982</v>
      </c>
      <c r="DP179" s="119">
        <f>INPUT!EA87</f>
        <v>71.472314365909682</v>
      </c>
      <c r="DQ179" s="18">
        <f>INPUT!EB87</f>
        <v>-0.77273635412911101</v>
      </c>
      <c r="DR179" s="119">
        <f>INPUT!EC87</f>
        <v>71.884272997032639</v>
      </c>
      <c r="DS179" s="18">
        <f>INPUT!ED87</f>
        <v>0.59629504949005874</v>
      </c>
      <c r="DT179" s="119">
        <f>INPUT!EE87</f>
        <v>70.59410883674488</v>
      </c>
      <c r="DU179" s="18">
        <f>INPUT!EF87</f>
        <v>-1.3123172384280624</v>
      </c>
      <c r="DV179" s="119">
        <f>INPUT!EG87</f>
        <v>71.365422396856587</v>
      </c>
      <c r="DW179" s="18">
        <f>INPUT!EH87</f>
        <v>-1.7018437786741503</v>
      </c>
      <c r="DX179" s="119">
        <f>INPUT!EI87</f>
        <v>75.893743793445879</v>
      </c>
      <c r="DY179" s="18">
        <f>INPUT!EJ87</f>
        <v>6.1862127549140888</v>
      </c>
      <c r="DZ179" s="119">
        <f>INPUT!EK87</f>
        <v>71.099999999999994</v>
      </c>
      <c r="EA179" s="18">
        <f>INPUT!EL87</f>
        <v>-1.0910216718266308</v>
      </c>
      <c r="EB179" s="119">
        <f>INPUT!EM87</f>
        <v>71.099999999999994</v>
      </c>
      <c r="EC179" s="18">
        <f>INPUT!EN87</f>
        <v>0.71661951909476329</v>
      </c>
      <c r="ED179" s="119">
        <f>INPUT!EO87</f>
        <v>71.099999999999994</v>
      </c>
      <c r="EE179" s="18">
        <f>INPUT!EP87</f>
        <v>-0.37192016517550996</v>
      </c>
      <c r="EF179" s="119">
        <f>INPUT!EQ87</f>
        <v>71.099999999999994</v>
      </c>
      <c r="EG179" s="18">
        <f>INPUT!ER87</f>
        <v>-6.3163886162904914</v>
      </c>
      <c r="EH179" s="18"/>
      <c r="EI179" s="119"/>
      <c r="EJ179" s="5">
        <f>INPUT!FC87</f>
        <v>0</v>
      </c>
      <c r="EK179" s="119">
        <f>INPUT!FD87</f>
        <v>77.687854074581338</v>
      </c>
      <c r="EL179" s="5" t="str">
        <f>INPUT!FE87</f>
        <v>NA</v>
      </c>
      <c r="EM179" s="119">
        <f>INPUT!FF87</f>
        <v>76.997112608277192</v>
      </c>
      <c r="EN179" s="5">
        <f>INPUT!FG87</f>
        <v>-0.88912414241874016</v>
      </c>
      <c r="EO179" s="119">
        <f>INPUT!FH87</f>
        <v>76.647776272021673</v>
      </c>
      <c r="EP179" s="5">
        <f>INPUT!FI87</f>
        <v>-0.45370056671185655</v>
      </c>
      <c r="EQ179" s="119">
        <f>INPUT!FJ87</f>
        <v>75.990978676872615</v>
      </c>
      <c r="ER179" s="18">
        <f>INPUT!FK87</f>
        <v>-0.85690365343162878</v>
      </c>
      <c r="ES179" s="119">
        <f>INPUT!FL87</f>
        <v>76.252054011573904</v>
      </c>
      <c r="ET179" s="18">
        <f>INPUT!FM87</f>
        <v>0.34356095848091517</v>
      </c>
      <c r="EU179" s="119">
        <f>INPUT!FN87</f>
        <v>72.803617571059434</v>
      </c>
      <c r="EV179" s="18">
        <f>INPUT!FO87</f>
        <v>-4.5224177698754868</v>
      </c>
      <c r="EW179" s="119">
        <f>INPUT!FP87</f>
        <v>69.522849462365585</v>
      </c>
      <c r="EX179" s="18">
        <f>INPUT!FQ87</f>
        <v>-4.5063256719237614</v>
      </c>
      <c r="EY179" s="119">
        <f>INPUT!FR87</f>
        <v>70.14450369860657</v>
      </c>
      <c r="EZ179" s="18">
        <f>INPUT!FS87</f>
        <v>0.89417255053318989</v>
      </c>
      <c r="FA179" s="119">
        <f>INPUT!FT87</f>
        <v>70.202273487128053</v>
      </c>
      <c r="FB179" s="18">
        <f>INPUT!FU87</f>
        <v>8.2358253997649733E-2</v>
      </c>
      <c r="FC179" s="119">
        <f>INPUT!FV87</f>
        <v>70.285385311292032</v>
      </c>
      <c r="FD179" s="18">
        <f>INPUT!FW87</f>
        <v>0.11838907778281005</v>
      </c>
      <c r="FE179" s="119">
        <f>INPUT!FX87</f>
        <v>72.175119469708633</v>
      </c>
      <c r="FF179" s="18">
        <f>INPUT!FY87</f>
        <v>2.6886587446978139</v>
      </c>
      <c r="FG179" s="119">
        <f>INPUT!FZ87</f>
        <v>68.131785847997008</v>
      </c>
      <c r="FH179" s="18">
        <f>INPUT!GA87</f>
        <v>-5.6021155924910975</v>
      </c>
      <c r="FI179" s="119">
        <f>INPUT!GB87</f>
        <v>70.292465062671099</v>
      </c>
      <c r="FJ179" s="18">
        <f>INPUT!GC87</f>
        <v>3.1713233225598936</v>
      </c>
      <c r="FK179" s="119">
        <f>INPUT!GD87</f>
        <v>71.773375701440074</v>
      </c>
      <c r="FL179" s="18">
        <f>INPUT!GE87</f>
        <v>2.1067843295133226</v>
      </c>
      <c r="FM179" s="119">
        <f>INPUT!GF87</f>
        <v>71.76675482164741</v>
      </c>
      <c r="FN179" s="18">
        <f>INPUT!GG87</f>
        <v>-9.2247016779678503E-3</v>
      </c>
      <c r="FO179" s="119">
        <f>INPUT!GH87</f>
        <v>72.433436532507727</v>
      </c>
      <c r="FP179" s="18">
        <f>INPUT!GI87</f>
        <v>0.92895618941826186</v>
      </c>
      <c r="FQ179" s="119">
        <f>INPUT!GJ87</f>
        <v>71.099999999999994</v>
      </c>
      <c r="FR179" s="18">
        <f>INPUT!GK87</f>
        <v>-1.8409129765771803</v>
      </c>
      <c r="FS179" s="119">
        <f>INPUT!GL87</f>
        <v>71.099999999999994</v>
      </c>
      <c r="FT179" s="18">
        <f>INPUT!GM87</f>
        <v>0</v>
      </c>
      <c r="FU179" s="119">
        <f>INPUT!GN87</f>
        <v>71.099999999999994</v>
      </c>
      <c r="FV179" s="18">
        <f>INPUT!GO87</f>
        <v>0</v>
      </c>
      <c r="FW179" s="119">
        <f>INPUT!GP87</f>
        <v>71</v>
      </c>
      <c r="FX179" s="18">
        <f>INPUT!GQ87</f>
        <v>-0.14064697609000865</v>
      </c>
      <c r="FY179" s="119">
        <f>INPUT!GR87</f>
        <v>71</v>
      </c>
      <c r="FZ179" s="18">
        <f>INPUT!GS87</f>
        <v>0</v>
      </c>
      <c r="GA179" s="5">
        <f>INPUT!GT87</f>
        <v>-0.39896493770186225</v>
      </c>
    </row>
    <row r="180" spans="1:183" ht="12.75" hidden="1" customHeight="1" outlineLevel="1" x14ac:dyDescent="0.2">
      <c r="A180" s="612" t="str">
        <f>INPUT!B89</f>
        <v>Commissions/Premiums (%)</v>
      </c>
      <c r="B180" s="119"/>
      <c r="C180" s="399"/>
      <c r="D180" s="119"/>
      <c r="E180" s="5"/>
      <c r="F180" s="119"/>
      <c r="G180" s="5"/>
      <c r="H180" s="119"/>
      <c r="I180" s="5"/>
      <c r="J180" s="119"/>
      <c r="K180" s="5"/>
      <c r="L180" s="119"/>
      <c r="M180" s="5"/>
      <c r="N180" s="119"/>
      <c r="O180" s="5"/>
      <c r="P180" s="119"/>
      <c r="Q180" s="5"/>
      <c r="R180" s="119">
        <f>INPUT!AC89</f>
        <v>6.623156876963983</v>
      </c>
      <c r="S180" s="5" t="str">
        <f>INPUT!AD89</f>
        <v>NA</v>
      </c>
      <c r="T180" s="119">
        <f>INPUT!AE89</f>
        <v>6.6019417475728144</v>
      </c>
      <c r="U180" s="5" t="str">
        <f>INPUT!AF89</f>
        <v>NA</v>
      </c>
      <c r="V180" s="119">
        <f>INPUT!AG89</f>
        <v>6.3519959829274413</v>
      </c>
      <c r="W180" s="5" t="str">
        <f>INPUT!AH89</f>
        <v>NA</v>
      </c>
      <c r="X180" s="119">
        <f>INPUT!AI89</f>
        <v>6.5848773159739595</v>
      </c>
      <c r="Y180" s="5" t="str">
        <f>INPUT!AJ89</f>
        <v>NA</v>
      </c>
      <c r="Z180" s="119">
        <f>INPUT!AK89</f>
        <v>6.8704354882337029</v>
      </c>
      <c r="AA180" s="5">
        <f>INPUT!AL89</f>
        <v>3.7335460394993802</v>
      </c>
      <c r="AB180" s="119">
        <f>INPUT!AM89</f>
        <v>8.2907133243607003</v>
      </c>
      <c r="AC180" s="5">
        <f>INPUT!AN89</f>
        <v>25.579922413110623</v>
      </c>
      <c r="AD180" s="119">
        <f>INPUT!AO89</f>
        <v>5.8162405169991569</v>
      </c>
      <c r="AE180" s="5">
        <f>INPUT!AP89</f>
        <v>-8.4344427699302607</v>
      </c>
      <c r="AF180" s="119">
        <f>INPUT!AQ89</f>
        <v>5.7088227260311379</v>
      </c>
      <c r="AG180" s="5">
        <f>INPUT!AR89</f>
        <v>-13.304038145367414</v>
      </c>
      <c r="AH180" s="119">
        <f>INPUT!AS89</f>
        <v>6.4102564102564097</v>
      </c>
      <c r="AI180" s="5">
        <f>INPUT!AT89</f>
        <v>-6.6979608318191053</v>
      </c>
      <c r="AJ180" s="119">
        <f>INPUT!AU89</f>
        <v>6.3900414937759349</v>
      </c>
      <c r="AK180" s="5">
        <f>INPUT!AV89</f>
        <v>-22.925311203319488</v>
      </c>
      <c r="AL180" s="119">
        <f>INPUT!AW89</f>
        <v>6.3520871143375679</v>
      </c>
      <c r="AM180" s="5">
        <f>INPUT!AX89</f>
        <v>9.2129373909536572</v>
      </c>
      <c r="AN180" s="119">
        <f>INPUT!AY89</f>
        <v>6.5940366972477058</v>
      </c>
      <c r="AO180" s="18">
        <f>INPUT!AZ89</f>
        <v>15.506068653702654</v>
      </c>
      <c r="AP180" s="119">
        <f>INPUT!BA89</f>
        <v>7.2158365261813548</v>
      </c>
      <c r="AQ180" s="18">
        <f>INPUT!BB89</f>
        <v>12.567049808429154</v>
      </c>
      <c r="AR180" s="119">
        <f>INPUT!BC89</f>
        <v>7.2768434670116431</v>
      </c>
      <c r="AS180" s="18">
        <f>INPUT!BD89</f>
        <v>13.87787503570166</v>
      </c>
      <c r="AT180" s="119">
        <f>INPUT!BE89</f>
        <v>6.847545219638242</v>
      </c>
      <c r="AU180" s="18">
        <f>INPUT!BF89</f>
        <v>7.7999261720191893</v>
      </c>
      <c r="AV180" s="119">
        <f>INPUT!BG89</f>
        <v>7.3107049608355092</v>
      </c>
      <c r="AW180" s="18">
        <f>INPUT!BH89</f>
        <v>10.868430014757656</v>
      </c>
      <c r="AX180" s="119">
        <f>INPUT!BI89</f>
        <v>7.3871409028727779</v>
      </c>
      <c r="AY180" s="18">
        <f>INPUT!BJ89</f>
        <v>2.3740057867147613</v>
      </c>
      <c r="AZ180" s="119">
        <f>INPUT!BK89</f>
        <v>6.9194943446440451</v>
      </c>
      <c r="BA180" s="18">
        <f>INPUT!BL89</f>
        <v>-4.9107710504916131</v>
      </c>
      <c r="BB180" s="119">
        <f>INPUT!BM89</f>
        <v>7.0596070596070595</v>
      </c>
      <c r="BC180" s="18">
        <f>INPUT!BN89</f>
        <v>3.0969030969031142</v>
      </c>
      <c r="BD180" s="119">
        <f>INPUT!BO89</f>
        <v>7.3375967687647261</v>
      </c>
      <c r="BE180" s="18">
        <f>INPUT!BP89</f>
        <v>0.36784151560320666</v>
      </c>
      <c r="BF180" s="119">
        <f>INPUT!BQ89</f>
        <v>7.4305555555555554</v>
      </c>
      <c r="BG180" s="18">
        <f>INPUT!BR89</f>
        <v>0.58770576131685903</v>
      </c>
      <c r="BH180" s="119">
        <f>INPUT!BS89</f>
        <v>7.4366004112405752</v>
      </c>
      <c r="BI180" s="18">
        <f>INPUT!BT89</f>
        <v>7.4731770970633216</v>
      </c>
      <c r="BJ180" s="119">
        <f>INPUT!BU89</f>
        <v>7.259713701431493</v>
      </c>
      <c r="BK180" s="18">
        <f>INPUT!BV89</f>
        <v>2.83452945942817</v>
      </c>
      <c r="BL180" s="119">
        <f>INPUT!BW89</f>
        <v>7.2563925362819637</v>
      </c>
      <c r="BM180" s="18">
        <f>INPUT!BX89</f>
        <v>-1.1066870399370932</v>
      </c>
      <c r="BN180" s="119">
        <f>INPUT!BY89</f>
        <v>7.5312394461330632</v>
      </c>
      <c r="BO180" s="18">
        <f>INPUT!BZ89</f>
        <v>1.3549981535664557</v>
      </c>
      <c r="BP180" s="119">
        <f>INPUT!CA89</f>
        <v>7.188444743029895</v>
      </c>
      <c r="BQ180" s="18">
        <f>INPUT!CB89</f>
        <v>-3.3369504140035255</v>
      </c>
      <c r="BR180" s="119">
        <f>INPUT!CC89</f>
        <v>7.3999999999999995</v>
      </c>
      <c r="BS180" s="18">
        <f>INPUT!CD89</f>
        <v>1.9323943661971654</v>
      </c>
      <c r="BT180" s="119">
        <f>INPUT!CE89</f>
        <v>7.73298083278255</v>
      </c>
      <c r="BU180" s="18">
        <f>INPUT!CF89</f>
        <v>6.5678406193937944</v>
      </c>
      <c r="BV180" s="119">
        <f>INPUT!CG89</f>
        <v>7.8202995008319469</v>
      </c>
      <c r="BW180" s="18">
        <f>INPUT!CH89</f>
        <v>3.8381471836923531</v>
      </c>
      <c r="BX180" s="119">
        <f>INPUT!CI89</f>
        <v>7.7715044835602782</v>
      </c>
      <c r="BY180" s="18">
        <f>INPUT!CJ89</f>
        <v>8.1110693811165859</v>
      </c>
      <c r="BZ180" s="119">
        <f>INPUT!CK89</f>
        <v>7.9266295447101207</v>
      </c>
      <c r="CA180" s="18">
        <f>INPUT!CL89</f>
        <v>7.1166154690556871</v>
      </c>
      <c r="CB180" s="119">
        <f>INPUT!CM89</f>
        <v>7.8964401294498376</v>
      </c>
      <c r="CC180" s="18">
        <f>INPUT!CN89</f>
        <v>2.1137941526291115</v>
      </c>
      <c r="CD180" s="119">
        <f>INPUT!CO89</f>
        <v>8.1391736564150357</v>
      </c>
      <c r="CE180" s="18">
        <f>INPUT!CP89</f>
        <v>4.077518457562479</v>
      </c>
      <c r="CF180" s="119">
        <f>INPUT!CQ89</f>
        <v>8.021059151440074</v>
      </c>
      <c r="CG180" s="18">
        <f>INPUT!CR89</f>
        <v>3.2111500213079625</v>
      </c>
      <c r="CH180" s="119">
        <f>INPUT!CS89</f>
        <v>7.9938744257274124</v>
      </c>
      <c r="CI180" s="18">
        <f>INPUT!CT89</f>
        <v>0.84834141217269288</v>
      </c>
      <c r="CJ180" s="119">
        <f>INPUT!CU89</f>
        <v>8.0956761729530804</v>
      </c>
      <c r="CK180" s="18">
        <f>INPUT!CV89</f>
        <v>2.5231121902664855</v>
      </c>
      <c r="CL180" s="119">
        <f>INPUT!CW89</f>
        <v>8.5259681777244065</v>
      </c>
      <c r="CM180" s="18">
        <f>INPUT!CX89</f>
        <v>4.7522578782246638</v>
      </c>
      <c r="CN180" s="119">
        <f>INPUT!CY89</f>
        <v>8.148591971240263</v>
      </c>
      <c r="CO180" s="18">
        <f>INPUT!CZ89</f>
        <v>1.5899748074703179</v>
      </c>
      <c r="CP180" s="119">
        <f>INPUT!DA89</f>
        <v>8.16204944891272</v>
      </c>
      <c r="CQ180" s="18">
        <f>INPUT!DB89</f>
        <v>2.1037986616859294</v>
      </c>
      <c r="CR180" s="119">
        <f>INPUT!DC89</f>
        <v>7.7801141483929106</v>
      </c>
      <c r="CS180" s="18">
        <f>INPUT!DD89</f>
        <v>-3.8979081897375534</v>
      </c>
      <c r="CT180" s="119">
        <f>INPUT!DE89</f>
        <v>8.3700440528634363</v>
      </c>
      <c r="CU180" s="18">
        <f>INPUT!DF89</f>
        <v>-1.8288142954644093</v>
      </c>
      <c r="CV180" s="119">
        <f>INPUT!DG89</f>
        <v>8.1324426372349699</v>
      </c>
      <c r="CW180" s="18">
        <f>INPUT!DH89</f>
        <v>-0.19818557687377725</v>
      </c>
      <c r="CX180" s="119">
        <f>INPUT!DI89</f>
        <v>8.1251794430088999</v>
      </c>
      <c r="CY180" s="18">
        <f>INPUT!DJ89</f>
        <v>-0.45172485335446266</v>
      </c>
      <c r="CZ180" s="119">
        <f>INPUT!DK89</f>
        <v>8.0259081948746829</v>
      </c>
      <c r="DA180" s="18">
        <f>INPUT!DL89</f>
        <v>3.1592601572888901</v>
      </c>
      <c r="DB180" s="119">
        <f>INPUT!DM89</f>
        <v>8.2426550598476602</v>
      </c>
      <c r="DC180" s="18">
        <f>INPUT!DN89</f>
        <v>-1.5219632323463794</v>
      </c>
      <c r="DD180" s="119">
        <f>INPUT!DO89</f>
        <v>8.1776333604115887</v>
      </c>
      <c r="DE180" s="18">
        <f>INPUT!DP89</f>
        <v>0.55568449963250277</v>
      </c>
      <c r="DF180" s="119">
        <f>INPUT!DQ89</f>
        <v>8.138903960933261</v>
      </c>
      <c r="DG180" s="18">
        <f>INPUT!DR89</f>
        <v>0.16891341318214792</v>
      </c>
      <c r="DH180" s="119">
        <f>INPUT!DS89</f>
        <v>8.217344753747323</v>
      </c>
      <c r="DI180" s="18">
        <f>INPUT!DT89</f>
        <v>2.3852323528306796</v>
      </c>
      <c r="DJ180" s="119">
        <f>INPUT!DU89</f>
        <v>8.3657083657083646</v>
      </c>
      <c r="DK180" s="18">
        <f>INPUT!DV89</f>
        <v>1.4928843311681428</v>
      </c>
      <c r="DL180" s="119">
        <f>INPUT!DW89</f>
        <v>8.0813347236704907</v>
      </c>
      <c r="DM180" s="18">
        <f>INPUT!DX89</f>
        <v>-1.1775856473009161</v>
      </c>
      <c r="DN180" s="119">
        <f>INPUT!DY89</f>
        <v>8.1039361975816835</v>
      </c>
      <c r="DO180" s="18">
        <f>INPUT!DZ89</f>
        <v>-0.42963725237971095</v>
      </c>
      <c r="DP180" s="119">
        <f>INPUT!EA89</f>
        <v>8.1653483031385559</v>
      </c>
      <c r="DQ180" s="18">
        <f>INPUT!EB89</f>
        <v>-0.63276462369495912</v>
      </c>
      <c r="DR180" s="119">
        <f>INPUT!EC89</f>
        <v>8.0613254203758657</v>
      </c>
      <c r="DS180" s="18">
        <f>INPUT!ED89</f>
        <v>-3.6384599130921957</v>
      </c>
      <c r="DT180" s="119">
        <f>INPUT!EE89</f>
        <v>8.0129805292061906</v>
      </c>
      <c r="DU180" s="18">
        <f>INPUT!EF89</f>
        <v>-0.84582803214533486</v>
      </c>
      <c r="DV180" s="119">
        <f>INPUT!EG89</f>
        <v>8.177799607072691</v>
      </c>
      <c r="DW180" s="18">
        <f>INPUT!EH89</f>
        <v>0.91145102441760883</v>
      </c>
      <c r="DX180" s="119">
        <f>INPUT!EI89</f>
        <v>8.2671300893743798</v>
      </c>
      <c r="DY180" s="18">
        <f>INPUT!EJ89</f>
        <v>1.2465088133068569</v>
      </c>
      <c r="DZ180" s="119">
        <f>INPUT!EK89</f>
        <v>8.2671300893743798</v>
      </c>
      <c r="EA180" s="18">
        <f>INPUT!EL89</f>
        <v>2.5529879798465993</v>
      </c>
      <c r="EB180" s="119">
        <f>INPUT!EM89</f>
        <v>8.2671300893743798</v>
      </c>
      <c r="EC180" s="18">
        <f>INPUT!EN89</f>
        <v>3.1717231714447625</v>
      </c>
      <c r="ED180" s="119">
        <f>INPUT!EO89</f>
        <v>8.2171300893743791</v>
      </c>
      <c r="EE180" s="18">
        <f>INPUT!EP89</f>
        <v>0.48094211391134234</v>
      </c>
      <c r="EF180" s="119">
        <f>INPUT!EQ89</f>
        <v>8.1671300893743783</v>
      </c>
      <c r="EG180" s="18">
        <f>INPUT!ER89</f>
        <v>-1.2096096096096298</v>
      </c>
      <c r="EH180" s="18"/>
      <c r="EI180" s="119"/>
      <c r="EJ180" s="5">
        <f>INPUT!FC89</f>
        <v>0</v>
      </c>
      <c r="EK180" s="119">
        <f>INPUT!FD89</f>
        <v>7.2153396003237251</v>
      </c>
      <c r="EL180" s="5" t="str">
        <f>INPUT!FE89</f>
        <v>NA</v>
      </c>
      <c r="EM180" s="119">
        <f>INPUT!FF89</f>
        <v>6.8094321462945135</v>
      </c>
      <c r="EN180" s="5">
        <f>INPUT!FG89</f>
        <v>-5.6256181484652501</v>
      </c>
      <c r="EO180" s="119">
        <f>INPUT!FH89</f>
        <v>6.5418257977085128</v>
      </c>
      <c r="EP180" s="5">
        <f>INPUT!FI89</f>
        <v>-3.9299363417788613</v>
      </c>
      <c r="EQ180" s="119">
        <f>INPUT!FJ89</f>
        <v>6.6839803171131766</v>
      </c>
      <c r="ER180" s="18">
        <f>INPUT!FK89</f>
        <v>2.1730098568882417</v>
      </c>
      <c r="ES180" s="119">
        <f>INPUT!FL89</f>
        <v>6.4370936629277704</v>
      </c>
      <c r="ET180" s="18">
        <f>INPUT!FM89</f>
        <v>-3.6937070797963822</v>
      </c>
      <c r="EU180" s="119">
        <f>INPUT!FN89</f>
        <v>7.1624677002583956</v>
      </c>
      <c r="EV180" s="18">
        <f>INPUT!FO89</f>
        <v>11.268657492249456</v>
      </c>
      <c r="EW180" s="119">
        <f>INPUT!FP89</f>
        <v>7.1740591397849469</v>
      </c>
      <c r="EX180" s="18">
        <f>INPUT!FQ89</f>
        <v>0.16183583663675893</v>
      </c>
      <c r="EY180" s="119">
        <f>INPUT!FR89</f>
        <v>7.3456046791673835</v>
      </c>
      <c r="EZ180" s="18">
        <f>INPUT!FS89</f>
        <v>2.3911921555134885</v>
      </c>
      <c r="FA180" s="119">
        <f>INPUT!FT89</f>
        <v>7.4640588431962556</v>
      </c>
      <c r="FB180" s="18">
        <f>INPUT!FU89</f>
        <v>1.6125856100698721</v>
      </c>
      <c r="FC180" s="119">
        <f>INPUT!FV89</f>
        <v>7.8542643309482685</v>
      </c>
      <c r="FD180" s="18">
        <f>INPUT!FW89</f>
        <v>5.2277922233651575</v>
      </c>
      <c r="FE180" s="119">
        <f>INPUT!FX89</f>
        <v>8.0622784029597643</v>
      </c>
      <c r="FF180" s="18">
        <f>INPUT!FY89</f>
        <v>2.6484220959034355</v>
      </c>
      <c r="FG180" s="119">
        <f>INPUT!FZ89</f>
        <v>8.1542493448146764</v>
      </c>
      <c r="FH180" s="18">
        <f>INPUT!GA89</f>
        <v>1.1407562137912386</v>
      </c>
      <c r="FI180" s="119">
        <f>INPUT!GB89</f>
        <v>8.1616481774960388</v>
      </c>
      <c r="FJ180" s="18">
        <f>INPUT!GC89</f>
        <v>9.073591410431181E-2</v>
      </c>
      <c r="FK180" s="119">
        <f>INPUT!GD89</f>
        <v>8.1941721317017109</v>
      </c>
      <c r="FL180" s="18">
        <f>INPUT!GE89</f>
        <v>0.39849738065591556</v>
      </c>
      <c r="FM180" s="119">
        <f>INPUT!GF89</f>
        <v>8.1790621170096092</v>
      </c>
      <c r="FN180" s="18">
        <f>INPUT!GG89</f>
        <v>-0.18439952748422472</v>
      </c>
      <c r="FO180" s="119">
        <f>INPUT!GH89</f>
        <v>8.1300309597523235</v>
      </c>
      <c r="FP180" s="18">
        <f>INPUT!GI89</f>
        <v>-0.59947163324897135</v>
      </c>
      <c r="FQ180" s="119">
        <f>INPUT!GJ89</f>
        <v>8.2295821017582806</v>
      </c>
      <c r="FR180" s="18">
        <f>INPUT!GK89</f>
        <v>1.2244866286338141</v>
      </c>
      <c r="FS180" s="119">
        <f>INPUT!GL89</f>
        <v>8.2295821017582806</v>
      </c>
      <c r="FT180" s="18">
        <f>INPUT!GM89</f>
        <v>0</v>
      </c>
      <c r="FU180" s="119">
        <f>INPUT!GN89</f>
        <v>8.2295821017582806</v>
      </c>
      <c r="FV180" s="18">
        <f>INPUT!GO89</f>
        <v>0</v>
      </c>
      <c r="FW180" s="119">
        <f>INPUT!GP89</f>
        <v>8.2295821017582806</v>
      </c>
      <c r="FX180" s="18">
        <f>INPUT!GQ89</f>
        <v>0</v>
      </c>
      <c r="FY180" s="119">
        <f>INPUT!GR89</f>
        <v>8.2295821017582806</v>
      </c>
      <c r="FZ180" s="18">
        <f>INPUT!GS89</f>
        <v>0</v>
      </c>
      <c r="GA180" s="5">
        <f>INPUT!GT89</f>
        <v>0.24370656946988145</v>
      </c>
    </row>
    <row r="181" spans="1:183" ht="12.75" hidden="1" customHeight="1" outlineLevel="1" x14ac:dyDescent="0.2">
      <c r="A181" s="612" t="str">
        <f>INPUT!B90</f>
        <v>Other Expenses/Revenues (%)</v>
      </c>
      <c r="B181" s="119"/>
      <c r="C181" s="399"/>
      <c r="D181" s="119"/>
      <c r="E181" s="5"/>
      <c r="F181" s="119"/>
      <c r="G181" s="5"/>
      <c r="H181" s="119"/>
      <c r="I181" s="5"/>
      <c r="J181" s="119"/>
      <c r="K181" s="5"/>
      <c r="L181" s="119"/>
      <c r="M181" s="5"/>
      <c r="N181" s="119"/>
      <c r="O181" s="5"/>
      <c r="P181" s="119"/>
      <c r="Q181" s="5"/>
      <c r="R181" s="119">
        <f>INPUT!AC90</f>
        <v>11.128526645768023</v>
      </c>
      <c r="S181" s="5" t="str">
        <f>INPUT!AD90</f>
        <v>NA</v>
      </c>
      <c r="T181" s="119">
        <f>INPUT!AE90</f>
        <v>10.424623680071893</v>
      </c>
      <c r="U181" s="5" t="str">
        <f>INPUT!AF90</f>
        <v>NA</v>
      </c>
      <c r="V181" s="119">
        <f>INPUT!AG90</f>
        <v>10.248161764705882</v>
      </c>
      <c r="W181" s="5" t="str">
        <f>INPUT!AH90</f>
        <v>NA</v>
      </c>
      <c r="X181" s="119">
        <f>INPUT!AI90</f>
        <v>10.387561964849032</v>
      </c>
      <c r="Y181" s="5" t="str">
        <f>INPUT!AJ90</f>
        <v>NA</v>
      </c>
      <c r="Z181" s="119">
        <f>INPUT!AK90</f>
        <v>11.452991452991451</v>
      </c>
      <c r="AA181" s="5">
        <f>INPUT!AL90</f>
        <v>2.9156133381485594</v>
      </c>
      <c r="AB181" s="119">
        <f>INPUT!AM90</f>
        <v>11.365853658536587</v>
      </c>
      <c r="AC181" s="5">
        <f>INPUT!AN90</f>
        <v>9.028910849453343</v>
      </c>
      <c r="AD181" s="119">
        <f>INPUT!AO90</f>
        <v>11.918678526048286</v>
      </c>
      <c r="AE181" s="5">
        <f>INPUT!AP90</f>
        <v>16.30064785955636</v>
      </c>
      <c r="AF181" s="119">
        <f>INPUT!AQ90</f>
        <v>11.853501608512744</v>
      </c>
      <c r="AG181" s="5">
        <f>INPUT!AR90</f>
        <v>14.112451493664956</v>
      </c>
      <c r="AH181" s="119">
        <f>INPUT!AS90</f>
        <v>11.576542269611576</v>
      </c>
      <c r="AI181" s="5">
        <f>INPUT!AT90</f>
        <v>1.0787645928772127</v>
      </c>
      <c r="AJ181" s="119">
        <f>INPUT!AU90</f>
        <v>11.674230963187091</v>
      </c>
      <c r="AK181" s="5">
        <f>INPUT!AV90</f>
        <v>2.7131908778263325</v>
      </c>
      <c r="AL181" s="119">
        <f>INPUT!AW90</f>
        <v>11.854684512428298</v>
      </c>
      <c r="AM181" s="5">
        <f>INPUT!AX90</f>
        <v>-0.53692205457281927</v>
      </c>
      <c r="AN181" s="119">
        <f>INPUT!AY90</f>
        <v>11.186264308012486</v>
      </c>
      <c r="AO181" s="18">
        <f>INPUT!AZ90</f>
        <v>-5.6290311718612536</v>
      </c>
      <c r="AP181" s="119">
        <f>INPUT!BA90</f>
        <v>11.659965537047674</v>
      </c>
      <c r="AQ181" s="18">
        <f>INPUT!BB90</f>
        <v>0.72062335620788343</v>
      </c>
      <c r="AR181" s="119">
        <f>INPUT!BC90</f>
        <v>11.568570600173961</v>
      </c>
      <c r="AS181" s="18">
        <f>INPUT!BD90</f>
        <v>-0.90507343349907066</v>
      </c>
      <c r="AT181" s="119">
        <f>INPUT!BE90</f>
        <v>11.917249417249417</v>
      </c>
      <c r="AU181" s="18">
        <f>INPUT!BF90</f>
        <v>0.52776524550719461</v>
      </c>
      <c r="AV181" s="119">
        <f>INPUT!BG90</f>
        <v>12.816735415439009</v>
      </c>
      <c r="AW181" s="18">
        <f>INPUT!BH90</f>
        <v>14.575653341738493</v>
      </c>
      <c r="AX181" s="119">
        <f>INPUT!BI90</f>
        <v>13.510178901912399</v>
      </c>
      <c r="AY181" s="18">
        <f>INPUT!BJ90</f>
        <v>15.868086050391561</v>
      </c>
      <c r="AZ181" s="119">
        <f>INPUT!BK90</f>
        <v>13.715486194477791</v>
      </c>
      <c r="BA181" s="18">
        <f>INPUT!BL90</f>
        <v>18.558175149759172</v>
      </c>
      <c r="BB181" s="119">
        <f>INPUT!BM90</f>
        <v>13.415737111848056</v>
      </c>
      <c r="BC181" s="18">
        <f>INPUT!BN90</f>
        <v>12.574107011888813</v>
      </c>
      <c r="BD181" s="119">
        <f>INPUT!BO90</f>
        <v>13.986650485436893</v>
      </c>
      <c r="BE181" s="18">
        <f>INPUT!BP90</f>
        <v>9.1280270059145288</v>
      </c>
      <c r="BF181" s="119">
        <f>INPUT!BQ90</f>
        <v>15.336463223787167</v>
      </c>
      <c r="BG181" s="18">
        <f>INPUT!BR90</f>
        <v>13.517839660999996</v>
      </c>
      <c r="BH181" s="119">
        <f>INPUT!BS90</f>
        <v>15.100154083204927</v>
      </c>
      <c r="BI181" s="18">
        <f>INPUT!BT90</f>
        <v>10.095652965511647</v>
      </c>
      <c r="BJ181" s="119">
        <f>INPUT!BU90</f>
        <v>14.912549861920837</v>
      </c>
      <c r="BK181" s="18">
        <f>INPUT!BV90</f>
        <v>11.157141330317778</v>
      </c>
      <c r="BL181" s="119">
        <f>INPUT!BW90</f>
        <v>15.882902522578638</v>
      </c>
      <c r="BM181" s="18">
        <f>INPUT!BX90</f>
        <v>13.557585063816035</v>
      </c>
      <c r="BN181" s="119">
        <f>INPUT!BY90</f>
        <v>15.007610350076101</v>
      </c>
      <c r="BO181" s="18">
        <f>INPUT!BZ90</f>
        <v>-2.1442549622588847</v>
      </c>
      <c r="BP181" s="119">
        <f>INPUT!CA90</f>
        <v>14.8271679805943</v>
      </c>
      <c r="BQ181" s="18">
        <f>INPUT!CB90</f>
        <v>-1.8078365366764992</v>
      </c>
      <c r="BR181" s="119">
        <f>INPUT!CC90</f>
        <v>14.74031822275593</v>
      </c>
      <c r="BS181" s="18">
        <f>INPUT!CD90</f>
        <v>-1.1549442634535723</v>
      </c>
      <c r="BT181" s="119">
        <f>INPUT!CE90</f>
        <v>14.59940652818991</v>
      </c>
      <c r="BU181" s="18">
        <f>INPUT!CF90</f>
        <v>-8.0809914470239335</v>
      </c>
      <c r="BV181" s="119">
        <f>INPUT!CG90</f>
        <v>15.214797136038186</v>
      </c>
      <c r="BW181" s="18">
        <f>INPUT!CH90</f>
        <v>1.3805448111266605</v>
      </c>
      <c r="BX181" s="119">
        <f>INPUT!CI90</f>
        <v>14.783904619970196</v>
      </c>
      <c r="BY181" s="18">
        <f>INPUT!CJ90</f>
        <v>-0.29178438310489829</v>
      </c>
      <c r="BZ181" s="119">
        <f>INPUT!CK90</f>
        <v>14.609720176730487</v>
      </c>
      <c r="CA181" s="18">
        <f>INPUT!CL90</f>
        <v>-0.88599203932941961</v>
      </c>
      <c r="CB181" s="119">
        <f>INPUT!CM90</f>
        <v>14.298194525334887</v>
      </c>
      <c r="CC181" s="18">
        <f>INPUT!CN90</f>
        <v>-2.063179775653301</v>
      </c>
      <c r="CD181" s="119">
        <f>INPUT!CO90</f>
        <v>13.630002798768546</v>
      </c>
      <c r="CE181" s="18">
        <f>INPUT!CP90</f>
        <v>-10.416138467701641</v>
      </c>
      <c r="CF181" s="119">
        <f>INPUT!CQ90</f>
        <v>13.222683264177041</v>
      </c>
      <c r="CG181" s="18">
        <f>INPUT!CR90</f>
        <v>-10.560277517512162</v>
      </c>
      <c r="CH181" s="119">
        <f>INPUT!CS90</f>
        <v>12.782369146005509</v>
      </c>
      <c r="CI181" s="18">
        <f>INPUT!CT90</f>
        <v>-12.507775704256652</v>
      </c>
      <c r="CJ181" s="119">
        <f>INPUT!CU90</f>
        <v>13.776070252469816</v>
      </c>
      <c r="CK181" s="18">
        <f>INPUT!CV90</f>
        <v>-3.6516797413821855</v>
      </c>
      <c r="CL181" s="119">
        <f>INPUT!CW90</f>
        <v>13.382193268186752</v>
      </c>
      <c r="CM181" s="18">
        <f>INPUT!CX90</f>
        <v>-1.8181179728311014</v>
      </c>
      <c r="CN181" s="119">
        <f>INPUT!CY90</f>
        <v>13.474599293670201</v>
      </c>
      <c r="CO181" s="18">
        <f>INPUT!CZ90</f>
        <v>1.9051808506648005</v>
      </c>
      <c r="CP181" s="119">
        <f>INPUT!DA90</f>
        <v>13.413978494623654</v>
      </c>
      <c r="CQ181" s="18">
        <f>INPUT!DB90</f>
        <v>4.9412541713014457</v>
      </c>
      <c r="CR181" s="119">
        <f>INPUT!DC90</f>
        <v>13.427561837455832</v>
      </c>
      <c r="CS181" s="18">
        <f>INPUT!DD90</f>
        <v>-2.5298100882688468</v>
      </c>
      <c r="CT181" s="119">
        <f>INPUT!DE90</f>
        <v>13.44</v>
      </c>
      <c r="CU181" s="18">
        <f>INPUT!DF90</f>
        <v>0.43196754563894491</v>
      </c>
      <c r="CV181" s="119">
        <f>INPUT!DG90</f>
        <v>13.231013495633768</v>
      </c>
      <c r="CW181" s="18">
        <f>INPUT!DH90</f>
        <v>-1.8077405697018323</v>
      </c>
      <c r="CX181" s="119">
        <f>INPUT!DI90</f>
        <v>13.281045751633986</v>
      </c>
      <c r="CY181" s="18">
        <f>INPUT!DJ90</f>
        <v>-0.99100161106526752</v>
      </c>
      <c r="CZ181" s="119">
        <f>INPUT!DK90</f>
        <v>13.86748844375963</v>
      </c>
      <c r="DA181" s="18">
        <f>INPUT!DL90</f>
        <v>3.2762955153677664</v>
      </c>
      <c r="DB181" s="119">
        <f>INPUT!DM90</f>
        <v>13.428001993024413</v>
      </c>
      <c r="DC181" s="18">
        <f>INPUT!DN90</f>
        <v>-8.9270885235015474E-2</v>
      </c>
      <c r="DD181" s="119">
        <f>INPUT!DO90</f>
        <v>13.224368499257059</v>
      </c>
      <c r="DE181" s="18">
        <f>INPUT!DP90</f>
        <v>-5.0222882615169606E-2</v>
      </c>
      <c r="DF181" s="119">
        <f>INPUT!DQ90</f>
        <v>13.174839029222388</v>
      </c>
      <c r="DG181" s="18">
        <f>INPUT!DR90</f>
        <v>-0.79968644335504102</v>
      </c>
      <c r="DH181" s="119">
        <f>INPUT!DS90</f>
        <v>13.552663884114901</v>
      </c>
      <c r="DI181" s="18">
        <f>INPUT!DT90</f>
        <v>-2.27023488010476</v>
      </c>
      <c r="DJ181" s="119">
        <f>INPUT!DU90</f>
        <v>13.065447545717035</v>
      </c>
      <c r="DK181" s="18">
        <f>INPUT!DV90</f>
        <v>-2.6999880361629258</v>
      </c>
      <c r="DL181" s="119">
        <f>INPUT!DW90</f>
        <v>12.787043751510756</v>
      </c>
      <c r="DM181" s="18">
        <f>INPUT!DX90</f>
        <v>-3.3069612947557503</v>
      </c>
      <c r="DN181" s="119">
        <f>INPUT!DY90</f>
        <v>12.538884900693944</v>
      </c>
      <c r="DO181" s="18">
        <f>INPUT!DZ90</f>
        <v>-4.8270352838305612</v>
      </c>
      <c r="DP181" s="119">
        <f>INPUT!EA90</f>
        <v>12.802850356294538</v>
      </c>
      <c r="DQ181" s="18">
        <f>INPUT!EB90</f>
        <v>-5.5325914833556862</v>
      </c>
      <c r="DR181" s="119">
        <f>INPUT!EC90</f>
        <v>12.702078521939955</v>
      </c>
      <c r="DS181" s="18">
        <f>INPUT!ED90</f>
        <v>-2.7811448670673089</v>
      </c>
      <c r="DT181" s="119">
        <f>INPUT!EE90</f>
        <v>12.70949720670391</v>
      </c>
      <c r="DU181" s="18">
        <f>INPUT!EF90</f>
        <v>-0.60644623037037215</v>
      </c>
      <c r="DV181" s="119">
        <f>INPUT!EG90</f>
        <v>12.27345721495756</v>
      </c>
      <c r="DW181" s="18">
        <f>INPUT!EH90</f>
        <v>-2.1168364478861612</v>
      </c>
      <c r="DX181" s="119">
        <f>INPUT!EI90</f>
        <v>12.592764378478662</v>
      </c>
      <c r="DY181" s="18">
        <f>INPUT!EJ90</f>
        <v>-1.6409312924022923</v>
      </c>
      <c r="DZ181" s="119">
        <f>INPUT!EK90</f>
        <v>12.592764378478662</v>
      </c>
      <c r="EA181" s="18">
        <f>INPUT!EL90</f>
        <v>-0.86060043852254076</v>
      </c>
      <c r="EB181" s="119">
        <f>INPUT!EM90</f>
        <v>12.592764378478662</v>
      </c>
      <c r="EC181" s="18">
        <f>INPUT!EN90</f>
        <v>-0.91846928581623688</v>
      </c>
      <c r="ED181" s="119">
        <f>INPUT!EO90</f>
        <v>12.592764378478662</v>
      </c>
      <c r="EE181" s="18">
        <f>INPUT!EP90</f>
        <v>2.6016073379224069</v>
      </c>
      <c r="EF181" s="119">
        <f>INPUT!EQ90</f>
        <v>12.592764378478662</v>
      </c>
      <c r="EG181" s="18">
        <f>INPUT!ER90</f>
        <v>0</v>
      </c>
      <c r="EH181" s="18"/>
      <c r="EI181" s="119"/>
      <c r="EJ181" s="5">
        <f>INPUT!FC90</f>
        <v>0</v>
      </c>
      <c r="EK181" s="119">
        <f>INPUT!FD90</f>
        <v>11.502867200363367</v>
      </c>
      <c r="EL181" s="5" t="str">
        <f>INPUT!FE90</f>
        <v>NA</v>
      </c>
      <c r="EM181" s="119">
        <f>INPUT!FF90</f>
        <v>11.068090049228385</v>
      </c>
      <c r="EN181" s="5">
        <f>INPUT!FG90</f>
        <v>-3.7797285108294387</v>
      </c>
      <c r="EO181" s="119">
        <f>INPUT!FH90</f>
        <v>10.54950019766194</v>
      </c>
      <c r="EP181" s="5">
        <f>INPUT!FI90</f>
        <v>-4.6854502381158181</v>
      </c>
      <c r="EQ181" s="119">
        <f>INPUT!FJ90</f>
        <v>11.644301527425638</v>
      </c>
      <c r="ER181" s="18">
        <f>INPUT!FK90</f>
        <v>10.377755431544866</v>
      </c>
      <c r="ES181" s="119">
        <f>INPUT!FL90</f>
        <v>11.570408825438028</v>
      </c>
      <c r="ET181" s="18">
        <f>INPUT!FM90</f>
        <v>-0.63458251929986442</v>
      </c>
      <c r="EU181" s="119">
        <f>INPUT!FN90</f>
        <v>11.986624990913715</v>
      </c>
      <c r="EV181" s="18">
        <f>INPUT!FO90</f>
        <v>3.5972468367808874</v>
      </c>
      <c r="EW181" s="119">
        <f>INPUT!FP90</f>
        <v>13.657389853643739</v>
      </c>
      <c r="EX181" s="18">
        <f>INPUT!FQ90</f>
        <v>13.938576238069711</v>
      </c>
      <c r="EY181" s="119">
        <f>INPUT!FR90</f>
        <v>15.305964368706428</v>
      </c>
      <c r="EZ181" s="18">
        <f>INPUT!FS90</f>
        <v>12.07093399785213</v>
      </c>
      <c r="FA181" s="119">
        <f>INPUT!FT90</f>
        <v>14.792231255645888</v>
      </c>
      <c r="FB181" s="18">
        <f>INPUT!FU90</f>
        <v>-3.3564243368479629</v>
      </c>
      <c r="FC181" s="119">
        <f>INPUT!FV90</f>
        <v>14.723699763593379</v>
      </c>
      <c r="FD181" s="18">
        <f>INPUT!FW90</f>
        <v>-0.46329381192139474</v>
      </c>
      <c r="FE181" s="119">
        <f>INPUT!FX90</f>
        <v>13.36609676749498</v>
      </c>
      <c r="FF181" s="18">
        <f>INPUT!FY90</f>
        <v>-9.2205289288449173</v>
      </c>
      <c r="FG181" s="119">
        <f>INPUT!FZ90</f>
        <v>13.424546193443513</v>
      </c>
      <c r="FH181" s="18">
        <f>INPUT!GA90</f>
        <v>0.43729614535392702</v>
      </c>
      <c r="FI181" s="119">
        <f>INPUT!GB90</f>
        <v>13.457502623294859</v>
      </c>
      <c r="FJ181" s="18">
        <f>INPUT!GC90</f>
        <v>0.24549380944767218</v>
      </c>
      <c r="FK181" s="119">
        <f>INPUT!GD90</f>
        <v>13.345294809131969</v>
      </c>
      <c r="FL181" s="18">
        <f>INPUT!GE90</f>
        <v>-0.83379373799012946</v>
      </c>
      <c r="FM181" s="119">
        <f>INPUT!GF90</f>
        <v>12.798225632418173</v>
      </c>
      <c r="FN181" s="18">
        <f>INPUT!GG90</f>
        <v>-4.0993412625058294</v>
      </c>
      <c r="FO181" s="119">
        <f>INPUT!GH90</f>
        <v>12.568653523732436</v>
      </c>
      <c r="FP181" s="18">
        <f>INPUT!GI90</f>
        <v>-1.793780757421759</v>
      </c>
      <c r="FQ181" s="119">
        <f>INPUT!GJ90</f>
        <v>12.592764378478661</v>
      </c>
      <c r="FR181" s="18">
        <f>INPUT!GK90</f>
        <v>0.19183323576146272</v>
      </c>
      <c r="FS181" s="119">
        <f>INPUT!GL90</f>
        <v>12.592764378478661</v>
      </c>
      <c r="FT181" s="18">
        <f>INPUT!GM90</f>
        <v>0</v>
      </c>
      <c r="FU181" s="119">
        <f>INPUT!GN90</f>
        <v>12.592764378478661</v>
      </c>
      <c r="FV181" s="18">
        <f>INPUT!GO90</f>
        <v>0</v>
      </c>
      <c r="FW181" s="119">
        <f>INPUT!GP90</f>
        <v>12.592764378478661</v>
      </c>
      <c r="FX181" s="18">
        <f>INPUT!GQ90</f>
        <v>0</v>
      </c>
      <c r="FY181" s="119">
        <f>INPUT!GR90</f>
        <v>12.592764378478661</v>
      </c>
      <c r="FZ181" s="18">
        <f>INPUT!GS90</f>
        <v>0</v>
      </c>
      <c r="GA181" s="5">
        <f>INPUT!GT90</f>
        <v>3.8337240999997135E-2</v>
      </c>
    </row>
    <row r="182" spans="1:183" ht="12.75" hidden="1" customHeight="1" outlineLevel="1" x14ac:dyDescent="0.2">
      <c r="A182" s="612"/>
      <c r="B182" s="119"/>
      <c r="C182" s="399"/>
      <c r="D182" s="119"/>
      <c r="E182" s="5"/>
      <c r="F182" s="119"/>
      <c r="G182" s="5"/>
      <c r="H182" s="119"/>
      <c r="I182" s="5"/>
      <c r="J182" s="119"/>
      <c r="K182" s="5"/>
      <c r="L182" s="119"/>
      <c r="M182" s="5"/>
      <c r="N182" s="119"/>
      <c r="O182" s="5"/>
      <c r="P182" s="119"/>
      <c r="Q182" s="5"/>
      <c r="R182" s="119"/>
      <c r="S182" s="5"/>
      <c r="T182" s="119"/>
      <c r="U182" s="5"/>
      <c r="V182" s="119"/>
      <c r="W182" s="5"/>
      <c r="X182" s="119"/>
      <c r="Y182" s="5"/>
      <c r="Z182" s="119"/>
      <c r="AA182" s="5"/>
      <c r="AB182" s="119"/>
      <c r="AC182" s="5"/>
      <c r="AD182" s="119"/>
      <c r="AE182" s="5"/>
      <c r="AF182" s="119"/>
      <c r="AG182" s="5"/>
      <c r="AH182" s="119"/>
      <c r="AI182" s="5"/>
      <c r="AJ182" s="119"/>
      <c r="AK182" s="5"/>
      <c r="AL182" s="119"/>
      <c r="AM182" s="5"/>
      <c r="AN182" s="119"/>
      <c r="AO182" s="18"/>
      <c r="AP182" s="119"/>
      <c r="AQ182" s="18"/>
      <c r="AR182" s="119"/>
      <c r="AS182" s="18"/>
      <c r="AT182" s="119"/>
      <c r="AU182" s="18"/>
      <c r="AV182" s="119"/>
      <c r="AW182" s="18"/>
      <c r="AX182" s="119"/>
      <c r="AY182" s="18"/>
      <c r="AZ182" s="119"/>
      <c r="BA182" s="18"/>
      <c r="BB182" s="119"/>
      <c r="BC182" s="18"/>
      <c r="BD182" s="119"/>
      <c r="BE182" s="18"/>
      <c r="BF182" s="119"/>
      <c r="BG182" s="18"/>
      <c r="BH182" s="119"/>
      <c r="BI182" s="18"/>
      <c r="BJ182" s="119"/>
      <c r="BK182" s="18"/>
      <c r="BL182" s="119"/>
      <c r="BM182" s="18"/>
      <c r="BN182" s="119"/>
      <c r="BO182" s="18"/>
      <c r="BP182" s="119"/>
      <c r="BQ182" s="18"/>
      <c r="BR182" s="119"/>
      <c r="BS182" s="18"/>
      <c r="BT182" s="119"/>
      <c r="BU182" s="18"/>
      <c r="BV182" s="119"/>
      <c r="BW182" s="18"/>
      <c r="BX182" s="119"/>
      <c r="BY182" s="18"/>
      <c r="BZ182" s="119"/>
      <c r="CA182" s="18"/>
      <c r="CB182" s="119"/>
      <c r="CC182" s="18"/>
      <c r="CD182" s="119"/>
      <c r="CE182" s="18"/>
      <c r="CF182" s="119"/>
      <c r="CG182" s="18"/>
      <c r="CH182" s="119"/>
      <c r="CI182" s="18"/>
      <c r="CJ182" s="119"/>
      <c r="CK182" s="18"/>
      <c r="CL182" s="119"/>
      <c r="CM182" s="18"/>
      <c r="CN182" s="119"/>
      <c r="CO182" s="18"/>
      <c r="CP182" s="119"/>
      <c r="CQ182" s="18"/>
      <c r="CR182" s="119"/>
      <c r="CS182" s="18"/>
      <c r="CT182" s="119"/>
      <c r="CU182" s="18"/>
      <c r="CV182" s="119"/>
      <c r="CW182" s="18"/>
      <c r="CX182" s="119"/>
      <c r="CY182" s="18"/>
      <c r="CZ182" s="119"/>
      <c r="DA182" s="18"/>
      <c r="DB182" s="119"/>
      <c r="DC182" s="18"/>
      <c r="DD182" s="119"/>
      <c r="DE182" s="18"/>
      <c r="DF182" s="119"/>
      <c r="DG182" s="18"/>
      <c r="DH182" s="119"/>
      <c r="DI182" s="18"/>
      <c r="DJ182" s="119"/>
      <c r="DK182" s="18"/>
      <c r="DL182" s="119"/>
      <c r="DM182" s="18"/>
      <c r="DN182" s="119"/>
      <c r="DO182" s="18"/>
      <c r="DP182" s="119"/>
      <c r="DQ182" s="18"/>
      <c r="DR182" s="119"/>
      <c r="DS182" s="18"/>
      <c r="DT182" s="119"/>
      <c r="DU182" s="18"/>
      <c r="DV182" s="119"/>
      <c r="DW182" s="18"/>
      <c r="DX182" s="119"/>
      <c r="DY182" s="18"/>
      <c r="DZ182" s="119"/>
      <c r="EA182" s="18"/>
      <c r="EB182" s="119"/>
      <c r="EC182" s="18"/>
      <c r="ED182" s="119"/>
      <c r="EE182" s="18"/>
      <c r="EF182" s="119"/>
      <c r="EG182" s="18"/>
      <c r="EH182" s="18"/>
      <c r="EI182" s="119"/>
      <c r="EJ182" s="5"/>
      <c r="EK182" s="119"/>
      <c r="EL182" s="5"/>
      <c r="EM182" s="119"/>
      <c r="EN182" s="5"/>
      <c r="EO182" s="119"/>
      <c r="EP182" s="5"/>
      <c r="EQ182" s="119"/>
      <c r="ER182" s="18"/>
      <c r="ES182" s="119"/>
      <c r="ET182" s="18"/>
      <c r="EU182" s="119"/>
      <c r="EV182" s="18"/>
      <c r="EW182" s="119"/>
      <c r="EX182" s="18"/>
      <c r="EY182" s="119"/>
      <c r="EZ182" s="18"/>
      <c r="FA182" s="119"/>
      <c r="FB182" s="18"/>
      <c r="FC182" s="119"/>
      <c r="FD182" s="18"/>
      <c r="FE182" s="119"/>
      <c r="FF182" s="18"/>
      <c r="FG182" s="119"/>
      <c r="FH182" s="18"/>
      <c r="FI182" s="119"/>
      <c r="FJ182" s="18"/>
      <c r="FK182" s="119"/>
      <c r="FL182" s="18"/>
      <c r="FM182" s="119"/>
      <c r="FN182" s="18"/>
      <c r="FO182" s="119"/>
      <c r="FP182" s="18"/>
      <c r="FQ182" s="119"/>
      <c r="FR182" s="18"/>
      <c r="FS182" s="119"/>
      <c r="FT182" s="18"/>
      <c r="FU182" s="119"/>
      <c r="FV182" s="18"/>
      <c r="FW182" s="119"/>
      <c r="FX182" s="18"/>
      <c r="FY182" s="119"/>
      <c r="FZ182" s="18"/>
      <c r="GA182" s="5"/>
    </row>
    <row r="183" spans="1:183" ht="12.75" hidden="1" customHeight="1" outlineLevel="1" x14ac:dyDescent="0.2">
      <c r="A183" s="610" t="str">
        <f>+INPUT!B99</f>
        <v>Sales Data</v>
      </c>
      <c r="B183" s="119"/>
      <c r="C183" s="399"/>
      <c r="D183" s="119"/>
      <c r="E183" s="5"/>
      <c r="F183" s="119"/>
      <c r="G183" s="5"/>
      <c r="H183" s="119"/>
      <c r="I183" s="5"/>
      <c r="J183" s="119"/>
      <c r="K183" s="5"/>
      <c r="L183" s="119"/>
      <c r="M183" s="5"/>
      <c r="N183" s="119"/>
      <c r="O183" s="5"/>
      <c r="P183" s="119"/>
      <c r="Q183" s="5"/>
      <c r="R183" s="119"/>
      <c r="S183" s="5"/>
      <c r="T183" s="119"/>
      <c r="U183" s="5"/>
      <c r="V183" s="119"/>
      <c r="W183" s="5"/>
      <c r="X183" s="119"/>
      <c r="Y183" s="5"/>
      <c r="Z183" s="119"/>
      <c r="AA183" s="5"/>
      <c r="AB183" s="119"/>
      <c r="AC183" s="5"/>
      <c r="AD183" s="119"/>
      <c r="AE183" s="5"/>
      <c r="AF183" s="119"/>
      <c r="AG183" s="5"/>
      <c r="AH183" s="119"/>
      <c r="AI183" s="5"/>
      <c r="AJ183" s="119"/>
      <c r="AK183" s="5"/>
      <c r="AL183" s="119"/>
      <c r="AM183" s="5"/>
      <c r="AN183" s="119"/>
      <c r="AO183" s="18"/>
      <c r="AP183" s="119"/>
      <c r="AQ183" s="18"/>
      <c r="AR183" s="119"/>
      <c r="AS183" s="18"/>
      <c r="AT183" s="119"/>
      <c r="AU183" s="18"/>
      <c r="AV183" s="119"/>
      <c r="AW183" s="18"/>
      <c r="AX183" s="119"/>
      <c r="AY183" s="18"/>
      <c r="AZ183" s="119"/>
      <c r="BA183" s="18"/>
      <c r="BB183" s="119"/>
      <c r="BC183" s="18"/>
      <c r="BD183" s="119"/>
      <c r="BE183" s="18"/>
      <c r="BF183" s="119"/>
      <c r="BG183" s="18"/>
      <c r="BH183" s="119"/>
      <c r="BI183" s="18"/>
      <c r="BJ183" s="119"/>
      <c r="BK183" s="18"/>
      <c r="BL183" s="119"/>
      <c r="BM183" s="18"/>
      <c r="BN183" s="119"/>
      <c r="BO183" s="18"/>
      <c r="BP183" s="119"/>
      <c r="BQ183" s="18"/>
      <c r="BR183" s="119"/>
      <c r="BS183" s="18"/>
      <c r="BT183" s="119"/>
      <c r="BU183" s="18"/>
      <c r="BV183" s="119"/>
      <c r="BW183" s="18"/>
      <c r="BX183" s="119"/>
      <c r="BY183" s="18"/>
      <c r="BZ183" s="119"/>
      <c r="CA183" s="18"/>
      <c r="CB183" s="119"/>
      <c r="CC183" s="18"/>
      <c r="CD183" s="119"/>
      <c r="CE183" s="18"/>
      <c r="CF183" s="119"/>
      <c r="CG183" s="18"/>
      <c r="CH183" s="119"/>
      <c r="CI183" s="18"/>
      <c r="CJ183" s="119"/>
      <c r="CK183" s="18"/>
      <c r="CL183" s="119"/>
      <c r="CM183" s="18"/>
      <c r="CN183" s="119"/>
      <c r="CO183" s="18"/>
      <c r="CP183" s="119"/>
      <c r="CQ183" s="18"/>
      <c r="CR183" s="119"/>
      <c r="CS183" s="18"/>
      <c r="CT183" s="119"/>
      <c r="CU183" s="18"/>
      <c r="CV183" s="119"/>
      <c r="CW183" s="18"/>
      <c r="CX183" s="119"/>
      <c r="CY183" s="18"/>
      <c r="CZ183" s="119"/>
      <c r="DA183" s="18"/>
      <c r="DB183" s="119"/>
      <c r="DC183" s="18"/>
      <c r="DD183" s="119"/>
      <c r="DE183" s="18"/>
      <c r="DF183" s="119"/>
      <c r="DG183" s="18"/>
      <c r="DH183" s="119"/>
      <c r="DI183" s="18"/>
      <c r="DJ183" s="119"/>
      <c r="DK183" s="18"/>
      <c r="DL183" s="119"/>
      <c r="DM183" s="18"/>
      <c r="DN183" s="119"/>
      <c r="DO183" s="18"/>
      <c r="DP183" s="119"/>
      <c r="DQ183" s="18"/>
      <c r="DR183" s="119"/>
      <c r="DS183" s="18"/>
      <c r="DT183" s="119"/>
      <c r="DU183" s="18"/>
      <c r="DV183" s="119"/>
      <c r="DW183" s="18"/>
      <c r="DX183" s="119"/>
      <c r="DY183" s="18"/>
      <c r="DZ183" s="119"/>
      <c r="EA183" s="18"/>
      <c r="EB183" s="119"/>
      <c r="EC183" s="18"/>
      <c r="ED183" s="119"/>
      <c r="EE183" s="18"/>
      <c r="EF183" s="119"/>
      <c r="EG183" s="18"/>
      <c r="EH183" s="18"/>
      <c r="EI183" s="119"/>
      <c r="EJ183" s="5"/>
      <c r="EK183" s="119"/>
      <c r="EL183" s="5"/>
      <c r="EM183" s="119"/>
      <c r="EN183" s="5"/>
      <c r="EO183" s="119"/>
      <c r="EP183" s="5"/>
      <c r="EQ183" s="119"/>
      <c r="ER183" s="18"/>
      <c r="ES183" s="119"/>
      <c r="ET183" s="18"/>
      <c r="EU183" s="119"/>
      <c r="EV183" s="18"/>
      <c r="EW183" s="119"/>
      <c r="EX183" s="18"/>
      <c r="EY183" s="119"/>
      <c r="EZ183" s="18"/>
      <c r="FA183" s="119"/>
      <c r="FB183" s="18"/>
      <c r="FC183" s="119"/>
      <c r="FD183" s="18"/>
      <c r="FE183" s="119"/>
      <c r="FF183" s="18"/>
      <c r="FG183" s="119"/>
      <c r="FH183" s="18"/>
      <c r="FI183" s="119"/>
      <c r="FJ183" s="18"/>
      <c r="FK183" s="119"/>
      <c r="FL183" s="18"/>
      <c r="FM183" s="119"/>
      <c r="FN183" s="18"/>
      <c r="FO183" s="119"/>
      <c r="FP183" s="18"/>
      <c r="FQ183" s="119"/>
      <c r="FR183" s="18"/>
      <c r="FS183" s="119"/>
      <c r="FT183" s="18"/>
      <c r="FU183" s="119"/>
      <c r="FV183" s="18"/>
      <c r="FW183" s="119"/>
      <c r="FX183" s="18"/>
      <c r="FY183" s="119"/>
      <c r="FZ183" s="18"/>
      <c r="GA183" s="5"/>
    </row>
    <row r="184" spans="1:183" ht="12.75" hidden="1" customHeight="1" outlineLevel="1" x14ac:dyDescent="0.2">
      <c r="A184" s="612" t="str">
        <f>+INPUT!B100</f>
        <v xml:space="preserve">  Group Life</v>
      </c>
      <c r="B184" s="119"/>
      <c r="C184" s="399"/>
      <c r="D184" s="119"/>
      <c r="E184" s="5"/>
      <c r="F184" s="119"/>
      <c r="G184" s="5"/>
      <c r="H184" s="119"/>
      <c r="I184" s="5"/>
      <c r="J184" s="119"/>
      <c r="K184" s="5"/>
      <c r="L184" s="119"/>
      <c r="M184" s="5"/>
      <c r="N184" s="119"/>
      <c r="O184" s="5"/>
      <c r="P184" s="119"/>
      <c r="Q184" s="5"/>
      <c r="R184" s="119">
        <f>+INPUT!AC100</f>
        <v>30.1</v>
      </c>
      <c r="S184" s="5" t="str">
        <f>+INPUT!AD100</f>
        <v>NA</v>
      </c>
      <c r="T184" s="119">
        <f>+INPUT!AE100</f>
        <v>39.1</v>
      </c>
      <c r="U184" s="5" t="str">
        <f>+INPUT!AF100</f>
        <v>NA</v>
      </c>
      <c r="V184" s="119">
        <f>+INPUT!AG100</f>
        <v>27.7</v>
      </c>
      <c r="W184" s="5" t="str">
        <f>+INPUT!AH100</f>
        <v>NA</v>
      </c>
      <c r="X184" s="119">
        <f>+INPUT!AI100</f>
        <v>69.600000000000023</v>
      </c>
      <c r="Y184" s="5" t="str">
        <f>+INPUT!AJ100</f>
        <v>NA</v>
      </c>
      <c r="Z184" s="119">
        <f>+INPUT!AK100</f>
        <v>31.700000000000003</v>
      </c>
      <c r="AA184" s="5">
        <f>+INPUT!AL100</f>
        <v>5.315614617940212</v>
      </c>
      <c r="AB184" s="119">
        <f>+INPUT!AM100</f>
        <v>38.5</v>
      </c>
      <c r="AC184" s="5">
        <f>+INPUT!AN100</f>
        <v>-1.5345268542199531</v>
      </c>
      <c r="AD184" s="119">
        <f>+INPUT!AO100</f>
        <v>23.4</v>
      </c>
      <c r="AE184" s="5">
        <f>+INPUT!AP100</f>
        <v>-15.523465703971118</v>
      </c>
      <c r="AF184" s="119">
        <f>+INPUT!AQ100</f>
        <v>64.2</v>
      </c>
      <c r="AG184" s="5">
        <f>+INPUT!AR100</f>
        <v>-7.7586206896551939</v>
      </c>
      <c r="AH184" s="119">
        <f>+INPUT!AS100</f>
        <v>33.200000000000003</v>
      </c>
      <c r="AI184" s="5">
        <f>+INPUT!AT100</f>
        <v>4.7318611987381631</v>
      </c>
      <c r="AJ184" s="119">
        <f>+INPUT!AU100</f>
        <v>43.5</v>
      </c>
      <c r="AK184" s="5">
        <f>+INPUT!AV100</f>
        <v>12.987012987012992</v>
      </c>
      <c r="AL184" s="119">
        <f>+INPUT!AW100</f>
        <v>17.7</v>
      </c>
      <c r="AM184" s="5">
        <f>+INPUT!AX100</f>
        <v>-24.358974358974361</v>
      </c>
      <c r="AN184" s="119">
        <f>+INPUT!AY100</f>
        <v>55.4</v>
      </c>
      <c r="AO184" s="18">
        <f>+INPUT!AZ100</f>
        <v>-13.707165109034269</v>
      </c>
      <c r="AP184" s="119">
        <f>+INPUT!BA100</f>
        <v>20.100000000000001</v>
      </c>
      <c r="AQ184" s="18">
        <f>+INPUT!BB100</f>
        <v>-39.457831325301207</v>
      </c>
      <c r="AR184" s="119">
        <f>+INPUT!BC100</f>
        <v>35.299999999999997</v>
      </c>
      <c r="AS184" s="18">
        <f>+INPUT!BD100</f>
        <v>-18.850574712643684</v>
      </c>
      <c r="AT184" s="119">
        <f>+INPUT!BE100</f>
        <v>17.3</v>
      </c>
      <c r="AU184" s="18">
        <f>+INPUT!BF100</f>
        <v>-2.2598870056497078</v>
      </c>
      <c r="AV184" s="119">
        <f>+INPUT!BG100</f>
        <v>61.3</v>
      </c>
      <c r="AW184" s="18">
        <f>+INPUT!BH100</f>
        <v>10.649819494584833</v>
      </c>
      <c r="AX184" s="119">
        <f>+INPUT!BI100</f>
        <v>27.1</v>
      </c>
      <c r="AY184" s="18">
        <f>+INPUT!BJ100</f>
        <v>34.825870646766163</v>
      </c>
      <c r="AZ184" s="119">
        <f>+INPUT!BK100</f>
        <v>38.6</v>
      </c>
      <c r="BA184" s="18">
        <f>+INPUT!BL100</f>
        <v>9.3484419263456289</v>
      </c>
      <c r="BB184" s="119">
        <f>+INPUT!BM100</f>
        <v>17.100000000000001</v>
      </c>
      <c r="BC184" s="18">
        <f>+INPUT!BN100</f>
        <v>0</v>
      </c>
      <c r="BD184" s="119">
        <f>+INPUT!BO100</f>
        <v>82.6</v>
      </c>
      <c r="BE184" s="18">
        <f>+INPUT!BP100</f>
        <v>0</v>
      </c>
      <c r="BF184" s="119">
        <f>+INPUT!BQ100</f>
        <v>31.8</v>
      </c>
      <c r="BG184" s="18">
        <f>+INPUT!BR100</f>
        <v>17.343173431734304</v>
      </c>
      <c r="BH184" s="119">
        <f>+INPUT!BS100</f>
        <v>48.6</v>
      </c>
      <c r="BI184" s="18">
        <f>+INPUT!BT100</f>
        <v>0</v>
      </c>
      <c r="BJ184" s="119">
        <f>+INPUT!BU100</f>
        <v>28</v>
      </c>
      <c r="BK184" s="18">
        <f>+INPUT!BV100</f>
        <v>0</v>
      </c>
      <c r="BL184" s="119">
        <f>+INPUT!BW100</f>
        <v>76.5</v>
      </c>
      <c r="BM184" s="18">
        <f>+INPUT!BX100</f>
        <v>0</v>
      </c>
      <c r="BN184" s="119">
        <f>+INPUT!BY100</f>
        <v>28.5</v>
      </c>
      <c r="BO184" s="18">
        <f>+INPUT!BZ100</f>
        <v>-10.377358490566035</v>
      </c>
      <c r="BP184" s="119">
        <f>+INPUT!CA100</f>
        <v>36.299999999999997</v>
      </c>
      <c r="BQ184" s="18">
        <f>+INPUT!CB100</f>
        <v>-25.308641975308653</v>
      </c>
      <c r="BR184" s="119">
        <f>+INPUT!CC100</f>
        <v>24.5</v>
      </c>
      <c r="BS184" s="18">
        <f>+INPUT!CD100</f>
        <v>-12.5</v>
      </c>
      <c r="BT184" s="119">
        <f>+INPUT!CE100</f>
        <v>77.599999999999994</v>
      </c>
      <c r="BU184" s="18">
        <f>+INPUT!CF100</f>
        <v>1.437908496732021</v>
      </c>
      <c r="BV184" s="119">
        <f>+INPUT!CG100</f>
        <v>30.8</v>
      </c>
      <c r="BW184" s="18">
        <f>+INPUT!CH100</f>
        <v>0</v>
      </c>
      <c r="BX184" s="119">
        <f>+INPUT!CI100</f>
        <v>40.9</v>
      </c>
      <c r="BY184" s="18">
        <f>+INPUT!CJ100</f>
        <v>0</v>
      </c>
      <c r="BZ184" s="119">
        <f>+INPUT!CK100</f>
        <v>25.2</v>
      </c>
      <c r="CA184" s="18">
        <f>+INPUT!CL100</f>
        <v>0</v>
      </c>
      <c r="CB184" s="119">
        <f>+INPUT!CM100</f>
        <v>88.4</v>
      </c>
      <c r="CC184" s="18">
        <f>+INPUT!CN100</f>
        <v>0</v>
      </c>
      <c r="CD184" s="119">
        <f>+INPUT!CO100</f>
        <v>33</v>
      </c>
      <c r="CE184" s="18">
        <f>+INPUT!CP100</f>
        <v>0</v>
      </c>
      <c r="CF184" s="119">
        <f>+INPUT!CQ100</f>
        <v>45.2</v>
      </c>
      <c r="CG184" s="18">
        <f>+INPUT!CR100</f>
        <v>0</v>
      </c>
      <c r="CH184" s="119">
        <f>+INPUT!CS100</f>
        <v>24.5</v>
      </c>
      <c r="CI184" s="18">
        <f>+INPUT!CT100</f>
        <v>0</v>
      </c>
      <c r="CJ184" s="119">
        <f>+INPUT!CU100</f>
        <v>85.3</v>
      </c>
      <c r="CK184" s="18">
        <f>+INPUT!CV100</f>
        <v>0</v>
      </c>
      <c r="CL184" s="119">
        <f>+INPUT!CW100</f>
        <v>33.700000000000003</v>
      </c>
      <c r="CM184" s="18">
        <f>+INPUT!CX100</f>
        <v>0</v>
      </c>
      <c r="CN184" s="119">
        <f>+INPUT!CY100</f>
        <v>33.6</v>
      </c>
      <c r="CO184" s="18">
        <f>+INPUT!CZ100</f>
        <v>0</v>
      </c>
      <c r="CP184" s="119">
        <f>+INPUT!DA100</f>
        <v>23.3</v>
      </c>
      <c r="CQ184" s="18">
        <f>+INPUT!DB100</f>
        <v>0</v>
      </c>
      <c r="CR184" s="119">
        <f>+INPUT!DC100</f>
        <v>0</v>
      </c>
      <c r="CS184" s="18">
        <f>+INPUT!DD100</f>
        <v>0</v>
      </c>
      <c r="CT184" s="119">
        <f>+INPUT!DE100</f>
        <v>0</v>
      </c>
      <c r="CU184" s="18">
        <f>+INPUT!DF100</f>
        <v>0</v>
      </c>
      <c r="CV184" s="119">
        <f>+INPUT!DG100</f>
        <v>0</v>
      </c>
      <c r="CW184" s="18">
        <f>+INPUT!DH100</f>
        <v>0</v>
      </c>
      <c r="CX184" s="119">
        <f>+INPUT!DI100</f>
        <v>0</v>
      </c>
      <c r="CY184" s="18">
        <f>+INPUT!DJ100</f>
        <v>0</v>
      </c>
      <c r="CZ184" s="119">
        <f>+INPUT!DK100</f>
        <v>0</v>
      </c>
      <c r="DA184" s="18">
        <f>+INPUT!DL100</f>
        <v>0</v>
      </c>
      <c r="DB184" s="119">
        <f>+INPUT!DM100</f>
        <v>0</v>
      </c>
      <c r="DC184" s="18">
        <f>+INPUT!DN100</f>
        <v>0</v>
      </c>
      <c r="DD184" s="119">
        <f>+INPUT!DO100</f>
        <v>0</v>
      </c>
      <c r="DE184" s="18">
        <f>+INPUT!DP100</f>
        <v>0</v>
      </c>
      <c r="DF184" s="119">
        <f>+INPUT!DQ100</f>
        <v>0</v>
      </c>
      <c r="DG184" s="18">
        <f>+INPUT!DR100</f>
        <v>0</v>
      </c>
      <c r="DH184" s="119">
        <f>+INPUT!DS100</f>
        <v>0</v>
      </c>
      <c r="DI184" s="18">
        <f>+INPUT!DT100</f>
        <v>0</v>
      </c>
      <c r="DJ184" s="119">
        <f>+INPUT!DU100</f>
        <v>0</v>
      </c>
      <c r="DK184" s="18">
        <f>+INPUT!DV100</f>
        <v>0</v>
      </c>
      <c r="DL184" s="119">
        <f>+INPUT!DW100</f>
        <v>0</v>
      </c>
      <c r="DM184" s="18">
        <f>+INPUT!DX100</f>
        <v>0</v>
      </c>
      <c r="DN184" s="119">
        <f>+INPUT!DY100</f>
        <v>0</v>
      </c>
      <c r="DO184" s="18">
        <f>+INPUT!DZ100</f>
        <v>0</v>
      </c>
      <c r="DP184" s="119">
        <f>+INPUT!EA100</f>
        <v>0</v>
      </c>
      <c r="DQ184" s="18">
        <f>+INPUT!EB100</f>
        <v>0</v>
      </c>
      <c r="DR184" s="119">
        <f>+INPUT!EC100</f>
        <v>0</v>
      </c>
      <c r="DS184" s="18">
        <f>+INPUT!ED100</f>
        <v>0</v>
      </c>
      <c r="DT184" s="119">
        <f>+INPUT!EE100</f>
        <v>0</v>
      </c>
      <c r="DU184" s="18">
        <f>+INPUT!EF100</f>
        <v>0</v>
      </c>
      <c r="DV184" s="119">
        <f>+INPUT!EG100</f>
        <v>0</v>
      </c>
      <c r="DW184" s="18">
        <f>+INPUT!EH100</f>
        <v>0</v>
      </c>
      <c r="DX184" s="119">
        <f>+INPUT!EI100</f>
        <v>0</v>
      </c>
      <c r="DY184" s="18">
        <f>+INPUT!EJ100</f>
        <v>0</v>
      </c>
      <c r="DZ184" s="119">
        <f>+INPUT!EK100</f>
        <v>0</v>
      </c>
      <c r="EA184" s="18">
        <f>+INPUT!EL100</f>
        <v>0</v>
      </c>
      <c r="EB184" s="119">
        <f>+INPUT!EM100</f>
        <v>0</v>
      </c>
      <c r="EC184" s="18">
        <f>+INPUT!EN100</f>
        <v>0</v>
      </c>
      <c r="ED184" s="119">
        <f>+INPUT!EO100</f>
        <v>0</v>
      </c>
      <c r="EE184" s="18">
        <f>+INPUT!EP100</f>
        <v>0</v>
      </c>
      <c r="EF184" s="119">
        <f>+INPUT!EQ100</f>
        <v>0</v>
      </c>
      <c r="EG184" s="18">
        <f>+INPUT!ER100</f>
        <v>0</v>
      </c>
      <c r="EH184" s="18"/>
      <c r="EI184" s="119">
        <f>+INPUT!FB100</f>
        <v>0</v>
      </c>
      <c r="EJ184" s="5">
        <f>+INPUT!FC100</f>
        <v>0</v>
      </c>
      <c r="EK184" s="119">
        <f>+INPUT!FD100</f>
        <v>274.10000000000002</v>
      </c>
      <c r="EL184" s="5" t="str">
        <f>+INPUT!FE100</f>
        <v>NA</v>
      </c>
      <c r="EM184" s="119">
        <f>+INPUT!FF100</f>
        <v>241.6</v>
      </c>
      <c r="EN184" s="5">
        <f>+INPUT!FG100</f>
        <v>-11.856986501276911</v>
      </c>
      <c r="EO184" s="119">
        <f>+INPUT!FH100</f>
        <v>166.5</v>
      </c>
      <c r="EP184" s="5">
        <f>+INPUT!FI100</f>
        <v>-31.084437086092709</v>
      </c>
      <c r="EQ184" s="119">
        <f>+INPUT!FJ100</f>
        <v>0</v>
      </c>
      <c r="ER184" s="18" t="str">
        <f>+INPUT!FK100</f>
        <v>NM</v>
      </c>
      <c r="ES184" s="119">
        <f>+INPUT!FL100</f>
        <v>0</v>
      </c>
      <c r="ET184" s="18" t="str">
        <f>+INPUT!FM100</f>
        <v>NA</v>
      </c>
      <c r="EU184" s="119">
        <f>+INPUT!FN100</f>
        <v>0</v>
      </c>
      <c r="EV184" s="18" t="str">
        <f>+INPUT!FO100</f>
        <v>NA</v>
      </c>
      <c r="EW184" s="119">
        <f>+INPUT!FP100</f>
        <v>0</v>
      </c>
      <c r="EX184" s="18" t="str">
        <f>+INPUT!FQ100</f>
        <v>NA</v>
      </c>
      <c r="EY184" s="119">
        <f>+INPUT!FR100</f>
        <v>184.9</v>
      </c>
      <c r="EZ184" s="18" t="str">
        <f>+INPUT!FS100</f>
        <v>NA</v>
      </c>
      <c r="FA184" s="119">
        <f>+INPUT!FT100</f>
        <v>166.89999999999998</v>
      </c>
      <c r="FB184" s="18">
        <f>+INPUT!FU100</f>
        <v>-9.7349918875067729</v>
      </c>
      <c r="FC184" s="119">
        <f>+INPUT!FV100</f>
        <v>185.3</v>
      </c>
      <c r="FD184" s="18">
        <f>+INPUT!FW100</f>
        <v>11.024565608148617</v>
      </c>
      <c r="FE184" s="119">
        <f>+INPUT!FX100</f>
        <v>188</v>
      </c>
      <c r="FF184" s="18">
        <f>+INPUT!FY100</f>
        <v>1.4570966001079322</v>
      </c>
      <c r="FG184" s="119">
        <f>+INPUT!FZ100</f>
        <v>90.600000000000009</v>
      </c>
      <c r="FH184" s="18" t="str">
        <f>+INPUT!GA100</f>
        <v>NM</v>
      </c>
      <c r="FI184" s="119">
        <f>+INPUT!GB100</f>
        <v>0</v>
      </c>
      <c r="FJ184" s="18" t="str">
        <f>+INPUT!GC100</f>
        <v>NM</v>
      </c>
      <c r="FK184" s="119">
        <f>+INPUT!GD100</f>
        <v>0</v>
      </c>
      <c r="FL184" s="18" t="str">
        <f>+INPUT!GE100</f>
        <v>NA</v>
      </c>
      <c r="FM184" s="119">
        <f>+INPUT!GF100</f>
        <v>0</v>
      </c>
      <c r="FN184" s="18" t="str">
        <f>+INPUT!GG100</f>
        <v>NA</v>
      </c>
      <c r="FO184" s="119">
        <f>+INPUT!GH100</f>
        <v>0</v>
      </c>
      <c r="FP184" s="18" t="str">
        <f>+INPUT!GI100</f>
        <v>NA</v>
      </c>
      <c r="FQ184" s="119">
        <f>+INPUT!GJ100</f>
        <v>0</v>
      </c>
      <c r="FR184" s="18" t="str">
        <f>+INPUT!GK100</f>
        <v>NA</v>
      </c>
      <c r="FS184" s="119">
        <f>+INPUT!GL100</f>
        <v>0</v>
      </c>
      <c r="FT184" s="18" t="str">
        <f>+INPUT!GM100</f>
        <v>NA</v>
      </c>
      <c r="FU184" s="119">
        <f>+INPUT!GN100</f>
        <v>0</v>
      </c>
      <c r="FV184" s="18" t="str">
        <f>+INPUT!GO100</f>
        <v>NA</v>
      </c>
      <c r="FW184" s="119">
        <f>+INPUT!GP100</f>
        <v>0</v>
      </c>
      <c r="FX184" s="18" t="str">
        <f>+INPUT!GQ100</f>
        <v>NA</v>
      </c>
      <c r="FY184" s="119">
        <f>+INPUT!GR100</f>
        <v>0</v>
      </c>
      <c r="FZ184" s="18" t="str">
        <f>+INPUT!GS100</f>
        <v>NA</v>
      </c>
      <c r="GA184" s="5">
        <f>+INPUT!GT100</f>
        <v>0</v>
      </c>
    </row>
    <row r="185" spans="1:183" ht="12.75" hidden="1" customHeight="1" outlineLevel="1" x14ac:dyDescent="0.2">
      <c r="A185" s="612" t="str">
        <f>+INPUT!B101</f>
        <v xml:space="preserve">  Accidental Death &amp; Dismemberment</v>
      </c>
      <c r="B185" s="119"/>
      <c r="C185" s="399"/>
      <c r="D185" s="119"/>
      <c r="E185" s="5"/>
      <c r="F185" s="119"/>
      <c r="G185" s="5"/>
      <c r="H185" s="119"/>
      <c r="I185" s="5"/>
      <c r="J185" s="119"/>
      <c r="K185" s="5"/>
      <c r="L185" s="119"/>
      <c r="M185" s="5"/>
      <c r="N185" s="119"/>
      <c r="O185" s="5"/>
      <c r="P185" s="119"/>
      <c r="Q185" s="5"/>
      <c r="R185" s="119">
        <f>+INPUT!AC101</f>
        <v>2.4999999999999996</v>
      </c>
      <c r="S185" s="5" t="str">
        <f>+INPUT!AD101</f>
        <v>NA</v>
      </c>
      <c r="T185" s="119">
        <f>+INPUT!AE101</f>
        <v>3.6</v>
      </c>
      <c r="U185" s="5" t="str">
        <f>+INPUT!AF101</f>
        <v>NA</v>
      </c>
      <c r="V185" s="119">
        <f>+INPUT!AG101</f>
        <v>2.1</v>
      </c>
      <c r="W185" s="5" t="str">
        <f>+INPUT!AH101</f>
        <v>NA</v>
      </c>
      <c r="X185" s="119">
        <f>+INPUT!AI101</f>
        <v>4.6000000000000014</v>
      </c>
      <c r="Y185" s="5" t="str">
        <f>+INPUT!AJ101</f>
        <v>NA</v>
      </c>
      <c r="Z185" s="119">
        <f>+INPUT!AK101</f>
        <v>3.4000000000000004</v>
      </c>
      <c r="AA185" s="5">
        <f>+INPUT!AL101</f>
        <v>36.000000000000028</v>
      </c>
      <c r="AB185" s="119">
        <f>+INPUT!AM101</f>
        <v>3.3</v>
      </c>
      <c r="AC185" s="5">
        <f>+INPUT!AN101</f>
        <v>-8.3333333333333375</v>
      </c>
      <c r="AD185" s="119">
        <f>+INPUT!AO101</f>
        <v>1.7</v>
      </c>
      <c r="AE185" s="5">
        <f>+INPUT!AP101</f>
        <v>-19.047619047619058</v>
      </c>
      <c r="AF185" s="119">
        <f>+INPUT!AQ101</f>
        <v>6.3</v>
      </c>
      <c r="AG185" s="5">
        <f>+INPUT!AR101</f>
        <v>36.956521739130402</v>
      </c>
      <c r="AH185" s="119">
        <f>+INPUT!AS101</f>
        <v>2.8</v>
      </c>
      <c r="AI185" s="5">
        <f>+INPUT!AT101</f>
        <v>-17.647058823529427</v>
      </c>
      <c r="AJ185" s="119">
        <f>+INPUT!AU101</f>
        <v>3.1</v>
      </c>
      <c r="AK185" s="5">
        <f>+INPUT!AV101</f>
        <v>-6.0606060606060552</v>
      </c>
      <c r="AL185" s="119">
        <f>+INPUT!AW101</f>
        <v>1.8</v>
      </c>
      <c r="AM185" s="5">
        <f>+INPUT!AX101</f>
        <v>5.8823529411764719</v>
      </c>
      <c r="AN185" s="119">
        <f>+INPUT!AY101</f>
        <v>6</v>
      </c>
      <c r="AO185" s="18">
        <f>+INPUT!AZ101</f>
        <v>-4.7619047619047556</v>
      </c>
      <c r="AP185" s="119">
        <f>+INPUT!BA101</f>
        <v>2</v>
      </c>
      <c r="AQ185" s="18">
        <f>+INPUT!BB101</f>
        <v>-28.571428571428569</v>
      </c>
      <c r="AR185" s="119">
        <f>+INPUT!BC101</f>
        <v>3.2</v>
      </c>
      <c r="AS185" s="18">
        <f>+INPUT!BD101</f>
        <v>3.2258064516129004</v>
      </c>
      <c r="AT185" s="119">
        <f>+INPUT!BE101</f>
        <v>2.4</v>
      </c>
      <c r="AU185" s="18">
        <f>+INPUT!BF101</f>
        <v>33.333333333333329</v>
      </c>
      <c r="AV185" s="119">
        <f>+INPUT!BG101</f>
        <v>6.2</v>
      </c>
      <c r="AW185" s="18">
        <f>+INPUT!BH101</f>
        <v>3.3333333333333437</v>
      </c>
      <c r="AX185" s="119">
        <f>+INPUT!BI101</f>
        <v>2.9</v>
      </c>
      <c r="AY185" s="18">
        <f>+INPUT!BJ101</f>
        <v>44.999999999999993</v>
      </c>
      <c r="AZ185" s="119">
        <f>+INPUT!BK101</f>
        <v>3.4</v>
      </c>
      <c r="BA185" s="18">
        <f>+INPUT!BL101</f>
        <v>6.25</v>
      </c>
      <c r="BB185" s="119">
        <f>+INPUT!BM101</f>
        <v>1.7</v>
      </c>
      <c r="BC185" s="18">
        <f>+INPUT!BN101</f>
        <v>0</v>
      </c>
      <c r="BD185" s="119">
        <f>+INPUT!BO101</f>
        <v>9.1999999999999993</v>
      </c>
      <c r="BE185" s="18">
        <f>+INPUT!BP101</f>
        <v>0</v>
      </c>
      <c r="BF185" s="119">
        <f>+INPUT!BQ101</f>
        <v>2.9</v>
      </c>
      <c r="BG185" s="18">
        <f>+INPUT!BR101</f>
        <v>0</v>
      </c>
      <c r="BH185" s="119">
        <f>+INPUT!BS101</f>
        <v>5.0999999999999996</v>
      </c>
      <c r="BI185" s="18">
        <f>+INPUT!BT101</f>
        <v>0</v>
      </c>
      <c r="BJ185" s="119">
        <f>+INPUT!BU101</f>
        <v>2.9</v>
      </c>
      <c r="BK185" s="18">
        <f>+INPUT!BV101</f>
        <v>0</v>
      </c>
      <c r="BL185" s="119">
        <f>+INPUT!BW101</f>
        <v>7.8</v>
      </c>
      <c r="BM185" s="18">
        <f>+INPUT!BX101</f>
        <v>0</v>
      </c>
      <c r="BN185" s="119">
        <f>+INPUT!BY101</f>
        <v>3.5</v>
      </c>
      <c r="BO185" s="18">
        <f>+INPUT!BZ101</f>
        <v>20.68965517241379</v>
      </c>
      <c r="BP185" s="119">
        <f>+INPUT!CA101</f>
        <v>3.7</v>
      </c>
      <c r="BQ185" s="18">
        <f>+INPUT!CB101</f>
        <v>-27.450980392156854</v>
      </c>
      <c r="BR185" s="119">
        <f>+INPUT!CC101</f>
        <v>2.6</v>
      </c>
      <c r="BS185" s="18">
        <f>+INPUT!CD101</f>
        <v>-10.344827586206895</v>
      </c>
      <c r="BT185" s="119">
        <f>+INPUT!CE101</f>
        <v>8.3000000000000007</v>
      </c>
      <c r="BU185" s="18">
        <f>+INPUT!CF101</f>
        <v>6.4102564102564319</v>
      </c>
      <c r="BV185" s="119">
        <f>+INPUT!CG101</f>
        <v>2.5</v>
      </c>
      <c r="BW185" s="18">
        <f>+INPUT!CH101</f>
        <v>0</v>
      </c>
      <c r="BX185" s="119">
        <f>+INPUT!CI101</f>
        <v>3.8</v>
      </c>
      <c r="BY185" s="18">
        <f>+INPUT!CJ101</f>
        <v>0</v>
      </c>
      <c r="BZ185" s="119">
        <f>+INPUT!CK101</f>
        <v>2.6</v>
      </c>
      <c r="CA185" s="18">
        <f>+INPUT!CL101</f>
        <v>0</v>
      </c>
      <c r="CB185" s="119">
        <f>+INPUT!CM101</f>
        <v>8.6999999999999993</v>
      </c>
      <c r="CC185" s="18">
        <f>+INPUT!CN101</f>
        <v>0</v>
      </c>
      <c r="CD185" s="119">
        <f>+INPUT!CO101</f>
        <v>2.9</v>
      </c>
      <c r="CE185" s="18">
        <f>+INPUT!CP101</f>
        <v>0</v>
      </c>
      <c r="CF185" s="119">
        <f>+INPUT!CQ101</f>
        <v>4.9000000000000004</v>
      </c>
      <c r="CG185" s="18">
        <f>+INPUT!CR101</f>
        <v>0</v>
      </c>
      <c r="CH185" s="119">
        <f>+INPUT!CS101</f>
        <v>2.2000000000000002</v>
      </c>
      <c r="CI185" s="18">
        <f>+INPUT!CT101</f>
        <v>0</v>
      </c>
      <c r="CJ185" s="119">
        <f>+INPUT!CU101</f>
        <v>9.5</v>
      </c>
      <c r="CK185" s="18">
        <f>+INPUT!CV101</f>
        <v>0</v>
      </c>
      <c r="CL185" s="119">
        <f>+INPUT!CW101</f>
        <v>3.1</v>
      </c>
      <c r="CM185" s="18">
        <f>+INPUT!CX101</f>
        <v>0</v>
      </c>
      <c r="CN185" s="119">
        <f>+INPUT!CY101</f>
        <v>2.9</v>
      </c>
      <c r="CO185" s="18">
        <f>+INPUT!CZ101</f>
        <v>0</v>
      </c>
      <c r="CP185" s="119">
        <f>+INPUT!DA101</f>
        <v>2.2000000000000002</v>
      </c>
      <c r="CQ185" s="18">
        <f>+INPUT!DB101</f>
        <v>0</v>
      </c>
      <c r="CR185" s="119">
        <f>+INPUT!DC101</f>
        <v>0</v>
      </c>
      <c r="CS185" s="18">
        <f>+INPUT!DD101</f>
        <v>0</v>
      </c>
      <c r="CT185" s="119">
        <f>+INPUT!DE101</f>
        <v>0</v>
      </c>
      <c r="CU185" s="18">
        <f>+INPUT!DF101</f>
        <v>0</v>
      </c>
      <c r="CV185" s="119">
        <f>+INPUT!DG101</f>
        <v>0</v>
      </c>
      <c r="CW185" s="18">
        <f>+INPUT!DH101</f>
        <v>0</v>
      </c>
      <c r="CX185" s="119">
        <f>+INPUT!DI101</f>
        <v>0</v>
      </c>
      <c r="CY185" s="18">
        <f>+INPUT!DJ101</f>
        <v>0</v>
      </c>
      <c r="CZ185" s="119">
        <f>+INPUT!DK101</f>
        <v>0</v>
      </c>
      <c r="DA185" s="18">
        <f>+INPUT!DL101</f>
        <v>0</v>
      </c>
      <c r="DB185" s="119">
        <f>+INPUT!DM101</f>
        <v>0</v>
      </c>
      <c r="DC185" s="18">
        <f>+INPUT!DN101</f>
        <v>0</v>
      </c>
      <c r="DD185" s="119">
        <f>+INPUT!DO101</f>
        <v>0</v>
      </c>
      <c r="DE185" s="18">
        <f>+INPUT!DP101</f>
        <v>0</v>
      </c>
      <c r="DF185" s="119">
        <f>+INPUT!DQ101</f>
        <v>0</v>
      </c>
      <c r="DG185" s="18">
        <f>+INPUT!DR101</f>
        <v>0</v>
      </c>
      <c r="DH185" s="119">
        <f>+INPUT!DS101</f>
        <v>0</v>
      </c>
      <c r="DI185" s="18">
        <f>+INPUT!DT101</f>
        <v>0</v>
      </c>
      <c r="DJ185" s="119">
        <f>+INPUT!DU101</f>
        <v>0</v>
      </c>
      <c r="DK185" s="18">
        <f>+INPUT!DV101</f>
        <v>0</v>
      </c>
      <c r="DL185" s="119">
        <f>+INPUT!DW101</f>
        <v>0</v>
      </c>
      <c r="DM185" s="18">
        <f>+INPUT!DX101</f>
        <v>0</v>
      </c>
      <c r="DN185" s="119">
        <f>+INPUT!DY101</f>
        <v>0</v>
      </c>
      <c r="DO185" s="18">
        <f>+INPUT!DZ101</f>
        <v>0</v>
      </c>
      <c r="DP185" s="119">
        <f>+INPUT!EA101</f>
        <v>0</v>
      </c>
      <c r="DQ185" s="18">
        <f>+INPUT!EB101</f>
        <v>0</v>
      </c>
      <c r="DR185" s="119">
        <f>+INPUT!EC101</f>
        <v>0</v>
      </c>
      <c r="DS185" s="18">
        <f>+INPUT!ED101</f>
        <v>0</v>
      </c>
      <c r="DT185" s="119">
        <f>+INPUT!EE101</f>
        <v>0</v>
      </c>
      <c r="DU185" s="18">
        <f>+INPUT!EF101</f>
        <v>0</v>
      </c>
      <c r="DV185" s="119">
        <f>+INPUT!EG101</f>
        <v>0</v>
      </c>
      <c r="DW185" s="18">
        <f>+INPUT!EH101</f>
        <v>0</v>
      </c>
      <c r="DX185" s="119">
        <f>+INPUT!EI101</f>
        <v>0</v>
      </c>
      <c r="DY185" s="18">
        <f>+INPUT!EJ101</f>
        <v>0</v>
      </c>
      <c r="DZ185" s="119">
        <f>+INPUT!EK101</f>
        <v>0</v>
      </c>
      <c r="EA185" s="18">
        <f>+INPUT!EL101</f>
        <v>0</v>
      </c>
      <c r="EB185" s="119">
        <f>+INPUT!EM101</f>
        <v>0</v>
      </c>
      <c r="EC185" s="18">
        <f>+INPUT!EN101</f>
        <v>0</v>
      </c>
      <c r="ED185" s="119">
        <f>+INPUT!EO101</f>
        <v>0</v>
      </c>
      <c r="EE185" s="18">
        <f>+INPUT!EP101</f>
        <v>0</v>
      </c>
      <c r="EF185" s="119">
        <f>+INPUT!EQ101</f>
        <v>0</v>
      </c>
      <c r="EG185" s="18">
        <f>+INPUT!ER101</f>
        <v>0</v>
      </c>
      <c r="EH185" s="18"/>
      <c r="EI185" s="119">
        <f>+INPUT!FB101</f>
        <v>0</v>
      </c>
      <c r="EJ185" s="5">
        <f>+INPUT!FC101</f>
        <v>0</v>
      </c>
      <c r="EK185" s="119">
        <f>+INPUT!FD101</f>
        <v>41.1</v>
      </c>
      <c r="EL185" s="5" t="str">
        <f>+INPUT!FE101</f>
        <v>NA</v>
      </c>
      <c r="EM185" s="119">
        <f>+INPUT!FF101</f>
        <v>26.6</v>
      </c>
      <c r="EN185" s="5">
        <f>+INPUT!FG101</f>
        <v>-35.279805352798057</v>
      </c>
      <c r="EO185" s="119">
        <f>+INPUT!FH101</f>
        <v>12.8</v>
      </c>
      <c r="EP185" s="5" t="str">
        <f>+INPUT!FI101</f>
        <v>NM</v>
      </c>
      <c r="EQ185" s="119">
        <f>+INPUT!FJ101</f>
        <v>0</v>
      </c>
      <c r="ER185" s="18" t="str">
        <f>+INPUT!FK101</f>
        <v>NM</v>
      </c>
      <c r="ES185" s="119">
        <f>+INPUT!FL101</f>
        <v>0</v>
      </c>
      <c r="ET185" s="18" t="str">
        <f>+INPUT!FM101</f>
        <v>NA</v>
      </c>
      <c r="EU185" s="119">
        <f>+INPUT!FN101</f>
        <v>0</v>
      </c>
      <c r="EV185" s="18" t="str">
        <f>+INPUT!FO101</f>
        <v>NA</v>
      </c>
      <c r="EW185" s="119">
        <f>+INPUT!FP101</f>
        <v>0</v>
      </c>
      <c r="EX185" s="18" t="str">
        <f>+INPUT!FQ101</f>
        <v>NA</v>
      </c>
      <c r="EY185" s="119">
        <f>+INPUT!FR101</f>
        <v>18.7</v>
      </c>
      <c r="EZ185" s="18" t="str">
        <f>+INPUT!FS101</f>
        <v>NA</v>
      </c>
      <c r="FA185" s="119">
        <f>+INPUT!FT101</f>
        <v>18.100000000000001</v>
      </c>
      <c r="FB185" s="18">
        <f>+INPUT!FU101</f>
        <v>-3.2085561497326109</v>
      </c>
      <c r="FC185" s="119">
        <f>+INPUT!FV101</f>
        <v>17.600000000000001</v>
      </c>
      <c r="FD185" s="18">
        <f>+INPUT!FW101</f>
        <v>-2.7624309392265234</v>
      </c>
      <c r="FE185" s="119">
        <f>+INPUT!FX101</f>
        <v>19.5</v>
      </c>
      <c r="FF185" s="18">
        <f>+INPUT!FY101</f>
        <v>10.795454545454541</v>
      </c>
      <c r="FG185" s="119">
        <f>+INPUT!FZ101</f>
        <v>8.1999999999999993</v>
      </c>
      <c r="FH185" s="18" t="str">
        <f>+INPUT!GA101</f>
        <v>NM</v>
      </c>
      <c r="FI185" s="119">
        <f>+INPUT!GB101</f>
        <v>0</v>
      </c>
      <c r="FJ185" s="18" t="str">
        <f>+INPUT!GC101</f>
        <v>NM</v>
      </c>
      <c r="FK185" s="119">
        <f>+INPUT!GD101</f>
        <v>0</v>
      </c>
      <c r="FL185" s="18" t="str">
        <f>+INPUT!GE101</f>
        <v>NA</v>
      </c>
      <c r="FM185" s="119">
        <f>+INPUT!GF101</f>
        <v>0</v>
      </c>
      <c r="FN185" s="18" t="str">
        <f>+INPUT!GG101</f>
        <v>NA</v>
      </c>
      <c r="FO185" s="119">
        <f>+INPUT!GH101</f>
        <v>0</v>
      </c>
      <c r="FP185" s="18" t="str">
        <f>+INPUT!GI101</f>
        <v>NA</v>
      </c>
      <c r="FQ185" s="119">
        <f>+INPUT!GJ101</f>
        <v>0</v>
      </c>
      <c r="FR185" s="18" t="str">
        <f>+INPUT!GK101</f>
        <v>NA</v>
      </c>
      <c r="FS185" s="119">
        <f>+INPUT!GL101</f>
        <v>0</v>
      </c>
      <c r="FT185" s="18" t="str">
        <f>+INPUT!GM101</f>
        <v>NA</v>
      </c>
      <c r="FU185" s="119">
        <f>+INPUT!GN101</f>
        <v>0</v>
      </c>
      <c r="FV185" s="18" t="str">
        <f>+INPUT!GO101</f>
        <v>NA</v>
      </c>
      <c r="FW185" s="119">
        <f>+INPUT!GP101</f>
        <v>0</v>
      </c>
      <c r="FX185" s="18" t="str">
        <f>+INPUT!GQ101</f>
        <v>NA</v>
      </c>
      <c r="FY185" s="119">
        <f>+INPUT!GR101</f>
        <v>0</v>
      </c>
      <c r="FZ185" s="18" t="str">
        <f>+INPUT!GS101</f>
        <v>NA</v>
      </c>
      <c r="GA185" s="5">
        <f>+INPUT!GT101</f>
        <v>0</v>
      </c>
    </row>
    <row r="186" spans="1:183" ht="12.75" hidden="1" customHeight="1" outlineLevel="1" x14ac:dyDescent="0.2">
      <c r="A186" s="612" t="str">
        <f>+INPUT!B102</f>
        <v>Total</v>
      </c>
      <c r="B186" s="119"/>
      <c r="C186" s="399"/>
      <c r="D186" s="119"/>
      <c r="E186" s="5"/>
      <c r="F186" s="119"/>
      <c r="G186" s="5"/>
      <c r="H186" s="119"/>
      <c r="I186" s="5"/>
      <c r="J186" s="119"/>
      <c r="K186" s="5"/>
      <c r="L186" s="119"/>
      <c r="M186" s="5"/>
      <c r="N186" s="119"/>
      <c r="O186" s="5"/>
      <c r="P186" s="119"/>
      <c r="Q186" s="5"/>
      <c r="R186" s="119">
        <f>+INPUT!AC102</f>
        <v>32.6</v>
      </c>
      <c r="S186" s="5" t="str">
        <f>+INPUT!AD102</f>
        <v>NA</v>
      </c>
      <c r="T186" s="119">
        <f>+INPUT!AE102</f>
        <v>42.7</v>
      </c>
      <c r="U186" s="5" t="str">
        <f>+INPUT!AF102</f>
        <v>NA</v>
      </c>
      <c r="V186" s="119">
        <f>+INPUT!AG102</f>
        <v>29.8</v>
      </c>
      <c r="W186" s="5" t="str">
        <f>+INPUT!AH102</f>
        <v>NA</v>
      </c>
      <c r="X186" s="119">
        <f>+INPUT!AI102</f>
        <v>74.200000000000017</v>
      </c>
      <c r="Y186" s="5" t="str">
        <f>+INPUT!AJ102</f>
        <v>NA</v>
      </c>
      <c r="Z186" s="119">
        <f>+INPUT!AK102</f>
        <v>35.1</v>
      </c>
      <c r="AA186" s="5">
        <f>+INPUT!AL102</f>
        <v>7.6687116564417179</v>
      </c>
      <c r="AB186" s="119">
        <f>+INPUT!AM102</f>
        <v>41.8</v>
      </c>
      <c r="AC186" s="5">
        <f>+INPUT!AN102</f>
        <v>-2.1077283372365474</v>
      </c>
      <c r="AD186" s="119">
        <f>+INPUT!AO102</f>
        <v>25.099999999999998</v>
      </c>
      <c r="AE186" s="5">
        <f>+INPUT!AP102</f>
        <v>-15.771812080536918</v>
      </c>
      <c r="AF186" s="119">
        <f>+INPUT!AQ102</f>
        <v>70.5</v>
      </c>
      <c r="AG186" s="5">
        <f>+INPUT!AR102</f>
        <v>-4.9865229110512388</v>
      </c>
      <c r="AH186" s="119">
        <f>+INPUT!AS102</f>
        <v>36</v>
      </c>
      <c r="AI186" s="5">
        <f>+INPUT!AT102</f>
        <v>2.564102564102555</v>
      </c>
      <c r="AJ186" s="119">
        <f>+INPUT!AU102</f>
        <v>46.6</v>
      </c>
      <c r="AK186" s="5">
        <f>+INPUT!AV102</f>
        <v>11.483253588516762</v>
      </c>
      <c r="AL186" s="119">
        <f>+INPUT!AW102</f>
        <v>19.5</v>
      </c>
      <c r="AM186" s="5">
        <f>+INPUT!AX102</f>
        <v>-22.310756972111545</v>
      </c>
      <c r="AN186" s="119">
        <f>+INPUT!AY102</f>
        <v>61.4</v>
      </c>
      <c r="AO186" s="18">
        <f>+INPUT!AZ102</f>
        <v>-12.907801418439725</v>
      </c>
      <c r="AP186" s="119">
        <f>+INPUT!BA102</f>
        <v>22.1</v>
      </c>
      <c r="AQ186" s="18">
        <f>+INPUT!BB102</f>
        <v>-38.611111111111107</v>
      </c>
      <c r="AR186" s="119">
        <f>+INPUT!BC102</f>
        <v>38.5</v>
      </c>
      <c r="AS186" s="18">
        <f>+INPUT!BD102</f>
        <v>-17.381974248927044</v>
      </c>
      <c r="AT186" s="119">
        <f>+INPUT!BE102</f>
        <v>19.7</v>
      </c>
      <c r="AU186" s="18">
        <f>+INPUT!BF102</f>
        <v>1.025641025641022</v>
      </c>
      <c r="AV186" s="119">
        <f>+INPUT!BG102</f>
        <v>67.5</v>
      </c>
      <c r="AW186" s="18">
        <f>+INPUT!BH102</f>
        <v>9.934853420195445</v>
      </c>
      <c r="AX186" s="119">
        <f>+INPUT!BI102</f>
        <v>30</v>
      </c>
      <c r="AY186" s="18">
        <f>+INPUT!BJ102</f>
        <v>35.746606334841616</v>
      </c>
      <c r="AZ186" s="119">
        <f>+INPUT!BK102</f>
        <v>42</v>
      </c>
      <c r="BA186" s="18">
        <f>+INPUT!BL102</f>
        <v>9.0909090909090828</v>
      </c>
      <c r="BB186" s="119">
        <f>+INPUT!BM102</f>
        <v>18.8</v>
      </c>
      <c r="BC186" s="18">
        <f>+INPUT!BN102</f>
        <v>0</v>
      </c>
      <c r="BD186" s="119">
        <f>+INPUT!BO102</f>
        <v>91.8</v>
      </c>
      <c r="BE186" s="18">
        <f>+INPUT!BP102</f>
        <v>0</v>
      </c>
      <c r="BF186" s="119">
        <f>+INPUT!BQ102</f>
        <v>34.700000000000003</v>
      </c>
      <c r="BG186" s="18">
        <f>+INPUT!BR102</f>
        <v>15.666666666666673</v>
      </c>
      <c r="BH186" s="119">
        <f>+INPUT!BS102</f>
        <v>53.7</v>
      </c>
      <c r="BI186" s="18">
        <f>+INPUT!BT102</f>
        <v>0</v>
      </c>
      <c r="BJ186" s="119">
        <f>+INPUT!BU102</f>
        <v>30.9</v>
      </c>
      <c r="BK186" s="18">
        <f>+INPUT!BV102</f>
        <v>0</v>
      </c>
      <c r="BL186" s="119">
        <f>+INPUT!BW102</f>
        <v>84.3</v>
      </c>
      <c r="BM186" s="18">
        <f>+INPUT!BX102</f>
        <v>0</v>
      </c>
      <c r="BN186" s="119">
        <f>+INPUT!BY102</f>
        <v>32</v>
      </c>
      <c r="BO186" s="18">
        <f>+INPUT!BZ102</f>
        <v>-7.7809798270893404</v>
      </c>
      <c r="BP186" s="119">
        <f>+INPUT!CA102</f>
        <v>40</v>
      </c>
      <c r="BQ186" s="18">
        <f>+INPUT!CB102</f>
        <v>-25.512104283054004</v>
      </c>
      <c r="BR186" s="119">
        <f>+INPUT!CC102</f>
        <v>27.1</v>
      </c>
      <c r="BS186" s="18">
        <f>+INPUT!CD102</f>
        <v>-12.297734627831701</v>
      </c>
      <c r="BT186" s="119">
        <f>+INPUT!CE102</f>
        <v>85.899999999999991</v>
      </c>
      <c r="BU186" s="18">
        <f>+INPUT!CF102</f>
        <v>1.8979833926453082</v>
      </c>
      <c r="BV186" s="119">
        <f>+INPUT!CG102</f>
        <v>33.299999999999997</v>
      </c>
      <c r="BW186" s="18">
        <f>+INPUT!CH102</f>
        <v>0</v>
      </c>
      <c r="BX186" s="119">
        <f>+INPUT!CI102</f>
        <v>44.699999999999996</v>
      </c>
      <c r="BY186" s="18">
        <f>+INPUT!CJ102</f>
        <v>0</v>
      </c>
      <c r="BZ186" s="119">
        <f>+INPUT!CK102</f>
        <v>27.8</v>
      </c>
      <c r="CA186" s="18">
        <f>+INPUT!CL102</f>
        <v>0</v>
      </c>
      <c r="CB186" s="119">
        <f>+INPUT!CM102</f>
        <v>97.100000000000009</v>
      </c>
      <c r="CC186" s="18">
        <f>+INPUT!CN102</f>
        <v>0</v>
      </c>
      <c r="CD186" s="119">
        <f>+INPUT!CO102</f>
        <v>35.9</v>
      </c>
      <c r="CE186" s="18">
        <f>+INPUT!CP102</f>
        <v>0</v>
      </c>
      <c r="CF186" s="119">
        <f>+INPUT!CQ102</f>
        <v>50.1</v>
      </c>
      <c r="CG186" s="18">
        <f>+INPUT!CR102</f>
        <v>0</v>
      </c>
      <c r="CH186" s="119">
        <f>+INPUT!CS102</f>
        <v>26.7</v>
      </c>
      <c r="CI186" s="18">
        <f>+INPUT!CT102</f>
        <v>0</v>
      </c>
      <c r="CJ186" s="119">
        <f>+INPUT!CU102</f>
        <v>94.8</v>
      </c>
      <c r="CK186" s="18">
        <f>+INPUT!CV102</f>
        <v>0</v>
      </c>
      <c r="CL186" s="119">
        <f>+INPUT!CW102</f>
        <v>36.800000000000004</v>
      </c>
      <c r="CM186" s="18">
        <f>+INPUT!CX102</f>
        <v>2.5069637883008422</v>
      </c>
      <c r="CN186" s="119">
        <f>+INPUT!CY102</f>
        <v>36.5</v>
      </c>
      <c r="CO186" s="18">
        <f>+INPUT!CZ102</f>
        <v>-27.145708582834338</v>
      </c>
      <c r="CP186" s="119">
        <f>+INPUT!DA102</f>
        <v>25.5</v>
      </c>
      <c r="CQ186" s="18">
        <f>+INPUT!DB102</f>
        <v>-4.4943820224719104</v>
      </c>
      <c r="CR186" s="119">
        <f>+INPUT!DC102</f>
        <v>100.6</v>
      </c>
      <c r="CS186" s="18">
        <f>+INPUT!DD102</f>
        <v>6.1181434599156148</v>
      </c>
      <c r="CT186" s="119">
        <f>+INPUT!DE102</f>
        <v>41.3</v>
      </c>
      <c r="CU186" s="18">
        <f>+INPUT!DF102</f>
        <v>12.228260869565188</v>
      </c>
      <c r="CV186" s="119">
        <f>+INPUT!DG102</f>
        <v>62.3</v>
      </c>
      <c r="CW186" s="18">
        <f>+INPUT!DH102</f>
        <v>0</v>
      </c>
      <c r="CX186" s="119">
        <f>+INPUT!DI102</f>
        <v>33.6</v>
      </c>
      <c r="CY186" s="18">
        <f>+INPUT!DJ102</f>
        <v>0</v>
      </c>
      <c r="CZ186" s="119">
        <f>+INPUT!DK102</f>
        <v>127.6</v>
      </c>
      <c r="DA186" s="18">
        <f>+INPUT!DL102</f>
        <v>0</v>
      </c>
      <c r="DB186" s="119">
        <f>+INPUT!DM102</f>
        <v>42.9</v>
      </c>
      <c r="DC186" s="18">
        <f>+INPUT!DN102</f>
        <v>3.874092009685226</v>
      </c>
      <c r="DD186" s="119">
        <f>+INPUT!DO102</f>
        <v>48.7</v>
      </c>
      <c r="DE186" s="18">
        <f>+INPUT!DP102</f>
        <v>-21.8298555377207</v>
      </c>
      <c r="DF186" s="119">
        <f>+INPUT!DQ102</f>
        <v>34.1</v>
      </c>
      <c r="DG186" s="18">
        <f>+INPUT!DR102</f>
        <v>1.4880952380952328</v>
      </c>
      <c r="DH186" s="119">
        <f>+INPUT!DS102</f>
        <v>124.4</v>
      </c>
      <c r="DI186" s="18">
        <f>+INPUT!DT102</f>
        <v>0</v>
      </c>
      <c r="DJ186" s="119">
        <f>+INPUT!DU102</f>
        <v>40.799999999999997</v>
      </c>
      <c r="DK186" s="18">
        <f>+INPUT!DV102</f>
        <v>0</v>
      </c>
      <c r="DL186" s="119">
        <f>+INPUT!DW102</f>
        <v>55.3</v>
      </c>
      <c r="DM186" s="18">
        <f>+INPUT!DX102</f>
        <v>0</v>
      </c>
      <c r="DN186" s="119">
        <f>+INPUT!DY102</f>
        <v>31.1</v>
      </c>
      <c r="DO186" s="18">
        <f>+INPUT!DZ102</f>
        <v>0</v>
      </c>
      <c r="DP186" s="119">
        <f>+INPUT!EA102</f>
        <v>142.9</v>
      </c>
      <c r="DQ186" s="18">
        <f>+INPUT!EB102</f>
        <v>0</v>
      </c>
      <c r="DR186" s="119">
        <f>+INPUT!EC102</f>
        <v>37.200000000000003</v>
      </c>
      <c r="DS186" s="18">
        <f>+INPUT!ED102</f>
        <v>0</v>
      </c>
      <c r="DT186" s="119">
        <f>+INPUT!EE102</f>
        <v>59.5</v>
      </c>
      <c r="DU186" s="18">
        <f>+INPUT!EF102</f>
        <v>0</v>
      </c>
      <c r="DV186" s="119">
        <f>+INPUT!EG102</f>
        <v>35.1</v>
      </c>
      <c r="DW186" s="18">
        <f>+INPUT!EH102</f>
        <v>0</v>
      </c>
      <c r="DX186" s="119">
        <f>+INPUT!EI102</f>
        <v>178.7</v>
      </c>
      <c r="DY186" s="18">
        <f>+INPUT!EJ102</f>
        <v>0</v>
      </c>
      <c r="DZ186" s="119">
        <f>+INPUT!EK102</f>
        <v>0</v>
      </c>
      <c r="EA186" s="18">
        <f>+INPUT!EL102</f>
        <v>0</v>
      </c>
      <c r="EB186" s="119">
        <f>+INPUT!EM102</f>
        <v>0</v>
      </c>
      <c r="EC186" s="18">
        <f>+INPUT!EN102</f>
        <v>0</v>
      </c>
      <c r="ED186" s="119">
        <f>+INPUT!EO102</f>
        <v>0</v>
      </c>
      <c r="EE186" s="18">
        <f>+INPUT!EP102</f>
        <v>0</v>
      </c>
      <c r="EF186" s="119">
        <f>+INPUT!EQ102</f>
        <v>0</v>
      </c>
      <c r="EG186" s="18">
        <f>+INPUT!ER102</f>
        <v>0</v>
      </c>
      <c r="EH186" s="18"/>
      <c r="EI186" s="119">
        <f>+INPUT!FB102</f>
        <v>0</v>
      </c>
      <c r="EJ186" s="5">
        <f>+INPUT!FC102</f>
        <v>0</v>
      </c>
      <c r="EK186" s="119">
        <f>+INPUT!FD102</f>
        <v>315.20000000000005</v>
      </c>
      <c r="EL186" s="5" t="str">
        <f>+INPUT!FE102</f>
        <v>NA</v>
      </c>
      <c r="EM186" s="119">
        <f>+INPUT!FF102</f>
        <v>268.2</v>
      </c>
      <c r="EN186" s="5">
        <f>+INPUT!FG102</f>
        <v>-14.911167512690371</v>
      </c>
      <c r="EO186" s="119">
        <f>+INPUT!FH102</f>
        <v>179.3</v>
      </c>
      <c r="EP186" s="5">
        <f>+INPUT!FI102</f>
        <v>-33.146905294556298</v>
      </c>
      <c r="EQ186" s="119">
        <f>+INPUT!FJ102</f>
        <v>0</v>
      </c>
      <c r="ER186" s="18" t="str">
        <f>+INPUT!FK102</f>
        <v>NM</v>
      </c>
      <c r="ES186" s="119">
        <f>+INPUT!FL102</f>
        <v>0</v>
      </c>
      <c r="ET186" s="18" t="str">
        <f>+INPUT!FM102</f>
        <v>NA</v>
      </c>
      <c r="EU186" s="119">
        <f>+INPUT!FN102</f>
        <v>0</v>
      </c>
      <c r="EV186" s="18" t="str">
        <f>+INPUT!FO102</f>
        <v>NA</v>
      </c>
      <c r="EW186" s="119">
        <f>+INPUT!FP102</f>
        <v>0</v>
      </c>
      <c r="EX186" s="18" t="str">
        <f>+INPUT!FQ102</f>
        <v>NA</v>
      </c>
      <c r="EY186" s="119">
        <f>+INPUT!FR102</f>
        <v>203.60000000000002</v>
      </c>
      <c r="EZ186" s="18" t="str">
        <f>+INPUT!FS102</f>
        <v>NA</v>
      </c>
      <c r="FA186" s="119">
        <f>+INPUT!FT102</f>
        <v>185</v>
      </c>
      <c r="FB186" s="18">
        <f>+INPUT!FU102</f>
        <v>-9.1355599214145489</v>
      </c>
      <c r="FC186" s="119">
        <f>+INPUT!FV102</f>
        <v>202.9</v>
      </c>
      <c r="FD186" s="18">
        <f>+INPUT!FW102</f>
        <v>9.6756756756756879</v>
      </c>
      <c r="FE186" s="119">
        <f>+INPUT!FX102</f>
        <v>207.5</v>
      </c>
      <c r="FF186" s="18">
        <f>+INPUT!FY102</f>
        <v>2.2671266633809806</v>
      </c>
      <c r="FG186" s="119">
        <f>+INPUT!FZ102</f>
        <v>199.4</v>
      </c>
      <c r="FH186" s="18">
        <f>+INPUT!GA102</f>
        <v>-3.9036144578313281</v>
      </c>
      <c r="FI186" s="119">
        <f>+INPUT!GB102</f>
        <v>264.79999999999995</v>
      </c>
      <c r="FJ186" s="18">
        <f>+INPUT!GC102</f>
        <v>32.79839518555665</v>
      </c>
      <c r="FK186" s="119">
        <f>+INPUT!GD102</f>
        <v>0</v>
      </c>
      <c r="FL186" s="18" t="str">
        <f>+INPUT!GE102</f>
        <v>NM</v>
      </c>
      <c r="FM186" s="119">
        <f>+INPUT!GF102</f>
        <v>0</v>
      </c>
      <c r="FN186" s="18" t="str">
        <f>+INPUT!GG102</f>
        <v>NA</v>
      </c>
      <c r="FO186" s="119">
        <f>+INPUT!GH102</f>
        <v>0</v>
      </c>
      <c r="FP186" s="18" t="str">
        <f>+INPUT!GI102</f>
        <v>NA</v>
      </c>
      <c r="FQ186" s="119">
        <f>+INPUT!GJ102</f>
        <v>0</v>
      </c>
      <c r="FR186" s="18" t="str">
        <f>+INPUT!GK102</f>
        <v>NA</v>
      </c>
      <c r="FS186" s="119">
        <f>+INPUT!GL102</f>
        <v>0</v>
      </c>
      <c r="FT186" s="18" t="str">
        <f>+INPUT!GM102</f>
        <v>NA</v>
      </c>
      <c r="FU186" s="119">
        <f>+INPUT!GN102</f>
        <v>0</v>
      </c>
      <c r="FV186" s="18" t="str">
        <f>+INPUT!GO102</f>
        <v>NA</v>
      </c>
      <c r="FW186" s="119">
        <f>+INPUT!GP102</f>
        <v>0</v>
      </c>
      <c r="FX186" s="18" t="str">
        <f>+INPUT!GQ102</f>
        <v>NA</v>
      </c>
      <c r="FY186" s="119">
        <f>+INPUT!GR102</f>
        <v>0</v>
      </c>
      <c r="FZ186" s="18" t="str">
        <f>+INPUT!GS102</f>
        <v>NA</v>
      </c>
      <c r="GA186" s="5">
        <f>+INPUT!GT102</f>
        <v>0</v>
      </c>
    </row>
    <row r="187" spans="1:183" ht="12.75" hidden="1" customHeight="1" outlineLevel="1" x14ac:dyDescent="0.2">
      <c r="A187" s="612"/>
      <c r="B187" s="96"/>
      <c r="C187" s="613"/>
      <c r="D187" s="96"/>
      <c r="E187" s="5"/>
      <c r="F187" s="96"/>
      <c r="G187" s="5"/>
      <c r="H187" s="96"/>
      <c r="I187" s="5"/>
      <c r="J187" s="96"/>
      <c r="K187" s="5"/>
      <c r="L187" s="96"/>
      <c r="M187" s="5"/>
      <c r="N187" s="96"/>
      <c r="O187" s="5"/>
      <c r="P187" s="96"/>
      <c r="Q187" s="5"/>
      <c r="R187" s="96"/>
      <c r="S187" s="5"/>
      <c r="T187" s="96"/>
      <c r="U187" s="5"/>
      <c r="V187" s="96"/>
      <c r="W187" s="5"/>
      <c r="X187" s="96"/>
      <c r="Y187" s="5"/>
      <c r="Z187" s="96"/>
      <c r="AA187" s="5"/>
      <c r="AB187" s="96"/>
      <c r="AC187" s="5"/>
      <c r="AD187" s="96"/>
      <c r="AE187" s="5"/>
      <c r="AF187" s="96"/>
      <c r="AG187" s="5"/>
      <c r="AH187" s="96"/>
      <c r="AI187" s="5"/>
      <c r="AJ187" s="96"/>
      <c r="AK187" s="5"/>
      <c r="AL187" s="96"/>
      <c r="AM187" s="5"/>
      <c r="AN187" s="96"/>
      <c r="AO187" s="18"/>
      <c r="AP187" s="96"/>
      <c r="AQ187" s="18"/>
      <c r="AR187" s="96"/>
      <c r="AS187" s="18"/>
      <c r="AT187" s="96"/>
      <c r="AU187" s="18"/>
      <c r="AV187" s="96"/>
      <c r="AW187" s="18"/>
      <c r="AX187" s="96"/>
      <c r="AY187" s="18"/>
      <c r="AZ187" s="96"/>
      <c r="BA187" s="18"/>
      <c r="BB187" s="96"/>
      <c r="BC187" s="18"/>
      <c r="BD187" s="96"/>
      <c r="BE187" s="18"/>
      <c r="BF187" s="96"/>
      <c r="BG187" s="18"/>
      <c r="BH187" s="96"/>
      <c r="BI187" s="18"/>
      <c r="BJ187" s="96"/>
      <c r="BK187" s="18"/>
      <c r="BL187" s="96"/>
      <c r="BM187" s="18"/>
      <c r="BN187" s="96"/>
      <c r="BO187" s="18"/>
      <c r="BP187" s="96"/>
      <c r="BQ187" s="18"/>
      <c r="BR187" s="96"/>
      <c r="BS187" s="18"/>
      <c r="BT187" s="96"/>
      <c r="BU187" s="18"/>
      <c r="BV187" s="96"/>
      <c r="BW187" s="18"/>
      <c r="BX187" s="96"/>
      <c r="BY187" s="18"/>
      <c r="BZ187" s="96"/>
      <c r="CA187" s="18"/>
      <c r="CB187" s="96"/>
      <c r="CC187" s="18"/>
      <c r="CD187" s="96"/>
      <c r="CE187" s="18"/>
      <c r="CF187" s="96"/>
      <c r="CG187" s="18"/>
      <c r="CH187" s="96"/>
      <c r="CI187" s="18"/>
      <c r="CJ187" s="96"/>
      <c r="CK187" s="18"/>
      <c r="CL187" s="96"/>
      <c r="CM187" s="18"/>
      <c r="CN187" s="96"/>
      <c r="CO187" s="18"/>
      <c r="CP187" s="96"/>
      <c r="CQ187" s="18"/>
      <c r="CR187" s="96"/>
      <c r="CS187" s="18"/>
      <c r="CT187" s="96"/>
      <c r="CU187" s="18"/>
      <c r="CV187" s="96"/>
      <c r="CW187" s="18"/>
      <c r="CX187" s="96"/>
      <c r="CY187" s="18"/>
      <c r="CZ187" s="96"/>
      <c r="DA187" s="18"/>
      <c r="DB187" s="96"/>
      <c r="DC187" s="18"/>
      <c r="DD187" s="96"/>
      <c r="DE187" s="18"/>
      <c r="DF187" s="96"/>
      <c r="DG187" s="18"/>
      <c r="DH187" s="96"/>
      <c r="DI187" s="18"/>
      <c r="DJ187" s="96"/>
      <c r="DK187" s="18"/>
      <c r="DL187" s="96"/>
      <c r="DM187" s="18"/>
      <c r="DN187" s="96"/>
      <c r="DO187" s="18"/>
      <c r="DP187" s="96"/>
      <c r="DQ187" s="18"/>
      <c r="DR187" s="96"/>
      <c r="DS187" s="18"/>
      <c r="DT187" s="96"/>
      <c r="DU187" s="18"/>
      <c r="DV187" s="96"/>
      <c r="DW187" s="18"/>
      <c r="DX187" s="96"/>
      <c r="DY187" s="18"/>
      <c r="DZ187" s="96"/>
      <c r="EA187" s="18"/>
      <c r="EB187" s="96"/>
      <c r="EC187" s="18"/>
      <c r="ED187" s="96"/>
      <c r="EE187" s="18"/>
      <c r="EF187" s="96"/>
      <c r="EG187" s="18"/>
      <c r="EH187" s="649"/>
      <c r="EI187" s="96"/>
      <c r="EJ187" s="5"/>
      <c r="EK187" s="96"/>
      <c r="EL187" s="5"/>
      <c r="EM187" s="96"/>
      <c r="EN187" s="5"/>
      <c r="EO187" s="96"/>
      <c r="EP187" s="5"/>
      <c r="EQ187" s="96"/>
      <c r="ER187" s="18"/>
      <c r="ES187" s="96"/>
      <c r="ET187" s="18"/>
      <c r="EU187" s="96"/>
      <c r="EV187" s="18"/>
      <c r="EW187" s="96"/>
      <c r="EX187" s="18"/>
      <c r="EY187" s="96"/>
      <c r="EZ187" s="18"/>
      <c r="FA187" s="96"/>
      <c r="FB187" s="18"/>
      <c r="FC187" s="96"/>
      <c r="FD187" s="18"/>
      <c r="FE187" s="96"/>
      <c r="FF187" s="18"/>
      <c r="FG187" s="96"/>
      <c r="FH187" s="18"/>
      <c r="FI187" s="96"/>
      <c r="FJ187" s="18"/>
      <c r="FK187" s="96"/>
      <c r="FL187" s="18"/>
      <c r="FM187" s="96"/>
      <c r="FN187" s="18"/>
      <c r="FO187" s="96"/>
      <c r="FP187" s="18"/>
      <c r="FQ187" s="96"/>
      <c r="FR187" s="18"/>
      <c r="FS187" s="96"/>
      <c r="FT187" s="18"/>
      <c r="FU187" s="96"/>
      <c r="FV187" s="18"/>
      <c r="FW187" s="96"/>
      <c r="FX187" s="18"/>
      <c r="FY187" s="96"/>
      <c r="FZ187" s="18"/>
      <c r="GA187" s="5"/>
    </row>
    <row r="188" spans="1:183" ht="12.75" hidden="1" customHeight="1" outlineLevel="1" x14ac:dyDescent="0.2">
      <c r="A188" s="640" t="str">
        <f>+A55</f>
        <v>Quarterly income statement ratios are annualized where appropriate     E = Morgan Stanley Research Estimates      NM = Not Meaningful       NA = Not Applicable              CAGR = Cumulative Average Growth Rate</v>
      </c>
      <c r="B188" s="96"/>
      <c r="C188" s="399"/>
      <c r="D188" s="96"/>
      <c r="E188" s="399"/>
      <c r="F188" s="96"/>
      <c r="G188" s="399"/>
      <c r="H188" s="96"/>
      <c r="I188" s="399"/>
      <c r="J188" s="96"/>
      <c r="K188" s="399"/>
      <c r="L188" s="96"/>
      <c r="M188" s="399"/>
      <c r="N188" s="96"/>
      <c r="O188" s="399"/>
      <c r="P188" s="96"/>
      <c r="Q188" s="399"/>
      <c r="R188" s="96"/>
      <c r="S188" s="399"/>
      <c r="T188" s="96"/>
      <c r="U188" s="399"/>
      <c r="V188" s="96"/>
      <c r="W188" s="399"/>
      <c r="X188" s="96"/>
      <c r="Y188" s="399"/>
      <c r="Z188" s="96"/>
      <c r="AA188" s="399"/>
      <c r="AB188" s="96"/>
      <c r="AC188" s="399"/>
      <c r="AD188" s="96"/>
      <c r="AE188" s="399"/>
      <c r="AF188" s="96"/>
      <c r="AG188" s="399"/>
      <c r="AH188" s="96"/>
      <c r="AI188" s="399"/>
      <c r="AJ188" s="96"/>
      <c r="AK188" s="399"/>
      <c r="AL188" s="96"/>
      <c r="AM188" s="399"/>
      <c r="AN188" s="96"/>
      <c r="AO188" s="18"/>
      <c r="AP188" s="96"/>
      <c r="AQ188" s="18"/>
      <c r="AR188" s="96"/>
      <c r="AS188" s="18"/>
      <c r="AT188" s="96"/>
      <c r="AU188" s="18"/>
      <c r="AV188" s="96"/>
      <c r="AW188" s="18"/>
      <c r="AX188" s="96"/>
      <c r="AY188" s="18"/>
      <c r="AZ188" s="96"/>
      <c r="BA188" s="18"/>
      <c r="BB188" s="96"/>
      <c r="BC188" s="18"/>
      <c r="BD188" s="96"/>
      <c r="BE188" s="18"/>
      <c r="BF188" s="96"/>
      <c r="BG188" s="18"/>
      <c r="BH188" s="96"/>
      <c r="BI188" s="18"/>
      <c r="BJ188" s="96"/>
      <c r="BK188" s="18"/>
      <c r="BL188" s="96"/>
      <c r="BM188" s="18"/>
      <c r="BN188" s="96"/>
      <c r="BO188" s="18"/>
      <c r="BP188" s="96"/>
      <c r="BQ188" s="18"/>
      <c r="BR188" s="96"/>
      <c r="BS188" s="18"/>
      <c r="BT188" s="96"/>
      <c r="BU188" s="18"/>
      <c r="BV188" s="96"/>
      <c r="BW188" s="18"/>
      <c r="BX188" s="96"/>
      <c r="BY188" s="18"/>
      <c r="BZ188" s="96"/>
      <c r="CA188" s="18"/>
      <c r="CB188" s="96"/>
      <c r="CC188" s="18"/>
      <c r="CD188" s="96"/>
      <c r="CE188" s="18"/>
      <c r="CF188" s="96"/>
      <c r="CG188" s="18"/>
      <c r="CH188" s="96"/>
      <c r="CI188" s="18"/>
      <c r="CJ188" s="96"/>
      <c r="CK188" s="18"/>
      <c r="CL188" s="96"/>
      <c r="CM188" s="18"/>
      <c r="CN188" s="96"/>
      <c r="CO188" s="18"/>
      <c r="CP188" s="96"/>
      <c r="CQ188" s="18"/>
      <c r="CR188" s="96"/>
      <c r="CS188" s="18"/>
      <c r="CT188" s="96"/>
      <c r="CU188" s="18"/>
      <c r="CV188" s="96"/>
      <c r="CW188" s="18"/>
      <c r="CX188" s="96"/>
      <c r="CY188" s="18"/>
      <c r="CZ188" s="96"/>
      <c r="DA188" s="18"/>
      <c r="DB188" s="96"/>
      <c r="DC188" s="18"/>
      <c r="DD188" s="96"/>
      <c r="DE188" s="18"/>
      <c r="DF188" s="96"/>
      <c r="DG188" s="18"/>
      <c r="DH188" s="96"/>
      <c r="DI188" s="18"/>
      <c r="DJ188" s="96"/>
      <c r="DK188" s="18"/>
      <c r="DL188" s="96"/>
      <c r="DM188" s="18"/>
      <c r="DN188" s="96"/>
      <c r="DO188" s="18"/>
      <c r="DP188" s="96"/>
      <c r="DQ188" s="18"/>
      <c r="DR188" s="96"/>
      <c r="DS188" s="18"/>
      <c r="DT188" s="96"/>
      <c r="DU188" s="18"/>
      <c r="DV188" s="96"/>
      <c r="DW188" s="18"/>
      <c r="DX188" s="96"/>
      <c r="DY188" s="18"/>
      <c r="DZ188" s="96"/>
      <c r="EA188" s="18"/>
      <c r="EB188" s="96"/>
      <c r="EC188" s="18"/>
      <c r="ED188" s="96"/>
      <c r="EE188" s="18"/>
      <c r="EF188" s="96"/>
      <c r="EG188" s="18"/>
      <c r="EH188" s="18"/>
      <c r="EI188" s="96"/>
      <c r="EJ188" s="399"/>
      <c r="EK188" s="96"/>
      <c r="EL188" s="399"/>
      <c r="EM188" s="96"/>
      <c r="EN188" s="399"/>
      <c r="EO188" s="96"/>
      <c r="EP188" s="399"/>
      <c r="EQ188" s="96"/>
      <c r="ER188" s="18"/>
      <c r="ES188" s="96"/>
      <c r="ET188" s="18"/>
      <c r="EU188" s="96"/>
      <c r="EV188" s="18"/>
      <c r="EW188" s="96"/>
      <c r="EX188" s="18"/>
      <c r="EY188" s="96"/>
      <c r="EZ188" s="18"/>
      <c r="FA188" s="96"/>
      <c r="FB188" s="18"/>
      <c r="FC188" s="96"/>
      <c r="FD188" s="18"/>
      <c r="FE188" s="96"/>
      <c r="FF188" s="18"/>
      <c r="FG188" s="96"/>
      <c r="FH188" s="18"/>
      <c r="FI188" s="96"/>
      <c r="FJ188" s="18"/>
      <c r="FK188" s="96"/>
      <c r="FL188" s="18"/>
      <c r="FM188" s="96"/>
      <c r="FN188" s="18"/>
      <c r="FO188" s="96"/>
      <c r="FP188" s="18"/>
      <c r="FQ188" s="96"/>
      <c r="FR188" s="18"/>
      <c r="FS188" s="96"/>
      <c r="FT188" s="18"/>
      <c r="FU188" s="96"/>
      <c r="FV188" s="18"/>
      <c r="FW188" s="96"/>
      <c r="FX188" s="18"/>
      <c r="FY188" s="96"/>
      <c r="FZ188" s="18"/>
      <c r="GA188" s="399"/>
    </row>
    <row r="189" spans="1:183" ht="12.75" hidden="1" customHeight="1" outlineLevel="1" x14ac:dyDescent="0.2">
      <c r="A189" s="605" t="s">
        <v>473</v>
      </c>
      <c r="B189" s="96"/>
      <c r="C189" s="399"/>
      <c r="D189" s="96"/>
      <c r="E189" s="399"/>
      <c r="F189" s="96"/>
      <c r="G189" s="399"/>
      <c r="H189" s="96"/>
      <c r="I189" s="399"/>
      <c r="J189" s="96"/>
      <c r="K189" s="399"/>
      <c r="L189" s="96"/>
      <c r="M189" s="399"/>
      <c r="N189" s="96"/>
      <c r="O189" s="399"/>
      <c r="P189" s="96"/>
      <c r="Q189" s="399"/>
      <c r="R189" s="96"/>
      <c r="S189" s="399"/>
      <c r="T189" s="96"/>
      <c r="U189" s="399"/>
      <c r="V189" s="96"/>
      <c r="W189" s="399"/>
      <c r="X189" s="96"/>
      <c r="Y189" s="399"/>
      <c r="Z189" s="96"/>
      <c r="AA189" s="399"/>
      <c r="AB189" s="96"/>
      <c r="AC189" s="399"/>
      <c r="AD189" s="96"/>
      <c r="AE189" s="399"/>
      <c r="AF189" s="96"/>
      <c r="AG189" s="399"/>
      <c r="AH189" s="96"/>
      <c r="AI189" s="399"/>
      <c r="AJ189" s="96"/>
      <c r="AK189" s="399"/>
      <c r="AL189" s="96"/>
      <c r="AM189" s="399"/>
      <c r="AN189" s="96"/>
      <c r="AO189" s="18"/>
      <c r="AP189" s="96"/>
      <c r="AQ189" s="18"/>
      <c r="AR189" s="96"/>
      <c r="AS189" s="18"/>
      <c r="AT189" s="96"/>
      <c r="AU189" s="18"/>
      <c r="AV189" s="96"/>
      <c r="AW189" s="18"/>
      <c r="AX189" s="96"/>
      <c r="AY189" s="18"/>
      <c r="AZ189" s="96"/>
      <c r="BA189" s="18"/>
      <c r="BB189" s="96"/>
      <c r="BC189" s="18"/>
      <c r="BD189" s="96"/>
      <c r="BE189" s="18"/>
      <c r="BF189" s="96"/>
      <c r="BG189" s="18"/>
      <c r="BH189" s="96"/>
      <c r="BI189" s="18"/>
      <c r="BJ189" s="96"/>
      <c r="BK189" s="18"/>
      <c r="BL189" s="96"/>
      <c r="BM189" s="18"/>
      <c r="BN189" s="96"/>
      <c r="BO189" s="18"/>
      <c r="BP189" s="96"/>
      <c r="BQ189" s="18"/>
      <c r="BR189" s="96"/>
      <c r="BS189" s="18"/>
      <c r="BT189" s="96"/>
      <c r="BU189" s="18"/>
      <c r="BV189" s="96"/>
      <c r="BW189" s="18"/>
      <c r="BX189" s="96"/>
      <c r="BY189" s="18"/>
      <c r="BZ189" s="96"/>
      <c r="CA189" s="18"/>
      <c r="CB189" s="96"/>
      <c r="CC189" s="18"/>
      <c r="CD189" s="96"/>
      <c r="CE189" s="18"/>
      <c r="CF189" s="96"/>
      <c r="CG189" s="18"/>
      <c r="CH189" s="96"/>
      <c r="CI189" s="18"/>
      <c r="CJ189" s="96"/>
      <c r="CK189" s="18"/>
      <c r="CL189" s="96"/>
      <c r="CM189" s="18"/>
      <c r="CN189" s="96"/>
      <c r="CO189" s="18"/>
      <c r="CP189" s="96"/>
      <c r="CQ189" s="18"/>
      <c r="CR189" s="96"/>
      <c r="CS189" s="18"/>
      <c r="CT189" s="96"/>
      <c r="CU189" s="18"/>
      <c r="CV189" s="96"/>
      <c r="CW189" s="18"/>
      <c r="CX189" s="96"/>
      <c r="CY189" s="18"/>
      <c r="CZ189" s="96"/>
      <c r="DA189" s="18"/>
      <c r="DB189" s="96"/>
      <c r="DC189" s="18"/>
      <c r="DD189" s="96"/>
      <c r="DE189" s="18"/>
      <c r="DF189" s="96"/>
      <c r="DG189" s="18"/>
      <c r="DH189" s="96"/>
      <c r="DI189" s="18"/>
      <c r="DJ189" s="96"/>
      <c r="DK189" s="18"/>
      <c r="DL189" s="96"/>
      <c r="DM189" s="18"/>
      <c r="DN189" s="96"/>
      <c r="DO189" s="18"/>
      <c r="DP189" s="96"/>
      <c r="DQ189" s="18"/>
      <c r="DR189" s="96"/>
      <c r="DS189" s="18"/>
      <c r="DT189" s="96"/>
      <c r="DU189" s="18"/>
      <c r="DV189" s="96"/>
      <c r="DW189" s="18"/>
      <c r="DX189" s="96"/>
      <c r="DY189" s="18"/>
      <c r="DZ189" s="96"/>
      <c r="EA189" s="18"/>
      <c r="EB189" s="96"/>
      <c r="EC189" s="18"/>
      <c r="ED189" s="96"/>
      <c r="EE189" s="18"/>
      <c r="EF189" s="96"/>
      <c r="EG189" s="18"/>
      <c r="EH189" s="18"/>
      <c r="EI189" s="96"/>
      <c r="EJ189" s="399"/>
      <c r="EK189" s="96"/>
      <c r="EL189" s="399"/>
      <c r="EM189" s="96"/>
      <c r="EN189" s="399"/>
      <c r="EO189" s="96"/>
      <c r="EP189" s="399"/>
      <c r="EQ189" s="96"/>
      <c r="ER189" s="18"/>
      <c r="ES189" s="96"/>
      <c r="ET189" s="18"/>
      <c r="EU189" s="96"/>
      <c r="EV189" s="18"/>
      <c r="EW189" s="96"/>
      <c r="EX189" s="18"/>
      <c r="EY189" s="96"/>
      <c r="EZ189" s="18"/>
      <c r="FA189" s="96"/>
      <c r="FB189" s="18"/>
      <c r="FC189" s="96"/>
      <c r="FD189" s="18"/>
      <c r="FE189" s="96"/>
      <c r="FF189" s="18"/>
      <c r="FG189" s="96"/>
      <c r="FH189" s="18"/>
      <c r="FI189" s="96"/>
      <c r="FJ189" s="18"/>
      <c r="FK189" s="96"/>
      <c r="FL189" s="18"/>
      <c r="FM189" s="96"/>
      <c r="FN189" s="18"/>
      <c r="FO189" s="96"/>
      <c r="FP189" s="18"/>
      <c r="FQ189" s="96"/>
      <c r="FR189" s="18"/>
      <c r="FS189" s="96"/>
      <c r="FT189" s="18"/>
      <c r="FU189" s="96"/>
      <c r="FV189" s="18"/>
      <c r="FW189" s="96"/>
      <c r="FX189" s="18"/>
      <c r="FY189" s="96"/>
      <c r="FZ189" s="18"/>
      <c r="GA189" s="399"/>
    </row>
    <row r="190" spans="1:183" s="434" customFormat="1" ht="12.75" hidden="1" customHeight="1" outlineLevel="1" x14ac:dyDescent="0.2">
      <c r="A190" s="533"/>
      <c r="B190" s="530"/>
      <c r="C190" s="545"/>
      <c r="D190" s="530"/>
      <c r="E190" s="545"/>
      <c r="F190" s="530"/>
      <c r="G190" s="545"/>
      <c r="H190" s="530"/>
      <c r="I190" s="545"/>
      <c r="J190" s="530"/>
      <c r="K190" s="545"/>
      <c r="L190" s="530"/>
      <c r="M190" s="545"/>
      <c r="N190" s="530"/>
      <c r="O190" s="545"/>
      <c r="P190" s="530"/>
      <c r="Q190" s="545"/>
      <c r="R190" s="530"/>
      <c r="S190" s="545"/>
      <c r="T190" s="530"/>
      <c r="U190" s="545"/>
      <c r="V190" s="530"/>
      <c r="W190" s="545"/>
      <c r="X190" s="530"/>
      <c r="Y190" s="545"/>
      <c r="Z190" s="530"/>
      <c r="AA190" s="545"/>
      <c r="AB190" s="530"/>
      <c r="AC190" s="545"/>
      <c r="AD190" s="530"/>
      <c r="AE190" s="545"/>
      <c r="AF190" s="530"/>
      <c r="AG190" s="545"/>
      <c r="AH190" s="530"/>
      <c r="AI190" s="545"/>
      <c r="AJ190" s="530"/>
      <c r="AK190" s="545"/>
      <c r="AL190" s="530"/>
      <c r="AM190" s="545"/>
      <c r="AN190" s="530"/>
      <c r="AO190" s="546"/>
      <c r="AP190" s="530"/>
      <c r="AQ190" s="546"/>
      <c r="AR190" s="530"/>
      <c r="AS190" s="546"/>
      <c r="AT190" s="530"/>
      <c r="AU190" s="546"/>
      <c r="AV190" s="530"/>
      <c r="AW190" s="546"/>
      <c r="AX190" s="530"/>
      <c r="AY190" s="546"/>
      <c r="AZ190" s="530"/>
      <c r="BA190" s="546"/>
      <c r="BB190" s="530"/>
      <c r="BC190" s="546"/>
      <c r="BD190" s="530"/>
      <c r="BE190" s="546"/>
      <c r="BF190" s="530"/>
      <c r="BG190" s="546"/>
      <c r="BH190" s="530"/>
      <c r="BI190" s="546"/>
      <c r="BJ190" s="530"/>
      <c r="BK190" s="546"/>
      <c r="BL190" s="530"/>
      <c r="BM190" s="546"/>
      <c r="BN190" s="530"/>
      <c r="BO190" s="546"/>
      <c r="BP190" s="530"/>
      <c r="BQ190" s="546"/>
      <c r="BR190" s="530"/>
      <c r="BS190" s="546"/>
      <c r="BT190" s="530"/>
      <c r="BU190" s="546"/>
      <c r="BV190" s="530"/>
      <c r="BW190" s="546"/>
      <c r="BX190" s="530"/>
      <c r="BY190" s="546"/>
      <c r="BZ190" s="530"/>
      <c r="CA190" s="546"/>
      <c r="CB190" s="530"/>
      <c r="CC190" s="546"/>
      <c r="CD190" s="530"/>
      <c r="CE190" s="546"/>
      <c r="CF190" s="530"/>
      <c r="CG190" s="546"/>
      <c r="CH190" s="530"/>
      <c r="CI190" s="546"/>
      <c r="CJ190" s="530"/>
      <c r="CK190" s="546"/>
      <c r="CL190" s="530"/>
      <c r="CM190" s="546"/>
      <c r="CN190" s="530"/>
      <c r="CO190" s="546"/>
      <c r="CP190" s="530"/>
      <c r="CQ190" s="546"/>
      <c r="CR190" s="530"/>
      <c r="CS190" s="546"/>
      <c r="CT190" s="530"/>
      <c r="CU190" s="546"/>
      <c r="CV190" s="530"/>
      <c r="CW190" s="546"/>
      <c r="CX190" s="530"/>
      <c r="CY190" s="546"/>
      <c r="CZ190" s="530"/>
      <c r="DA190" s="546"/>
      <c r="DB190" s="530"/>
      <c r="DC190" s="546"/>
      <c r="DD190" s="530"/>
      <c r="DE190" s="546"/>
      <c r="DF190" s="530"/>
      <c r="DG190" s="546"/>
      <c r="DH190" s="530"/>
      <c r="DI190" s="546"/>
      <c r="DJ190" s="530"/>
      <c r="DK190" s="546"/>
      <c r="DL190" s="530"/>
      <c r="DM190" s="546"/>
      <c r="DN190" s="530"/>
      <c r="DO190" s="546"/>
      <c r="DP190" s="530"/>
      <c r="DQ190" s="546"/>
      <c r="DR190" s="530"/>
      <c r="DS190" s="546"/>
      <c r="DT190" s="530"/>
      <c r="DU190" s="546"/>
      <c r="DV190" s="530"/>
      <c r="DW190" s="546"/>
      <c r="DX190" s="530"/>
      <c r="DY190" s="546"/>
      <c r="DZ190" s="530"/>
      <c r="EA190" s="546"/>
      <c r="EB190" s="530"/>
      <c r="EC190" s="546"/>
      <c r="ED190" s="530"/>
      <c r="EE190" s="546"/>
      <c r="EF190" s="530"/>
      <c r="EG190" s="546"/>
      <c r="EH190" s="531"/>
      <c r="EI190" s="530"/>
      <c r="EJ190" s="545"/>
      <c r="EK190" s="530"/>
      <c r="EL190" s="545"/>
      <c r="EM190" s="530"/>
      <c r="EN190" s="545"/>
      <c r="EO190" s="530"/>
      <c r="EP190" s="545"/>
      <c r="EQ190" s="530"/>
      <c r="ER190" s="546"/>
      <c r="ES190" s="530"/>
      <c r="ET190" s="546"/>
      <c r="EU190" s="530"/>
      <c r="EV190" s="546"/>
      <c r="EW190" s="530"/>
      <c r="EX190" s="546"/>
      <c r="EY190" s="530"/>
      <c r="EZ190" s="546"/>
      <c r="FA190" s="530"/>
      <c r="FB190" s="546"/>
      <c r="FC190" s="530"/>
      <c r="FD190" s="546"/>
      <c r="FE190" s="530"/>
      <c r="FF190" s="546"/>
      <c r="FG190" s="530"/>
      <c r="FH190" s="546"/>
      <c r="FI190" s="530"/>
      <c r="FJ190" s="546"/>
      <c r="FK190" s="530"/>
      <c r="FL190" s="546"/>
      <c r="FM190" s="530"/>
      <c r="FN190" s="546"/>
      <c r="FO190" s="530"/>
      <c r="FP190" s="546"/>
      <c r="FQ190" s="530"/>
      <c r="FR190" s="546"/>
      <c r="FS190" s="530"/>
      <c r="FT190" s="546"/>
      <c r="FU190" s="530"/>
      <c r="FV190" s="546"/>
      <c r="FW190" s="530"/>
      <c r="FX190" s="546"/>
      <c r="FY190" s="530"/>
      <c r="FZ190" s="546"/>
      <c r="GA190" s="545"/>
    </row>
    <row r="191" spans="1:183" ht="21.95" hidden="1" customHeight="1" outlineLevel="1" x14ac:dyDescent="0.25">
      <c r="A191" s="551" t="str">
        <f>INPUT!$B$4</f>
        <v>Unum Group</v>
      </c>
      <c r="B191" s="504"/>
      <c r="C191" s="512"/>
      <c r="D191" s="504"/>
      <c r="E191" s="505"/>
      <c r="F191" s="504"/>
      <c r="G191" s="505"/>
      <c r="H191" s="504"/>
      <c r="I191" s="505"/>
      <c r="J191" s="504"/>
      <c r="K191" s="505"/>
      <c r="L191" s="504"/>
      <c r="M191" s="505"/>
      <c r="N191" s="504"/>
      <c r="O191" s="505"/>
      <c r="P191" s="504"/>
      <c r="Q191" s="505"/>
      <c r="R191" s="504"/>
      <c r="S191" s="505"/>
      <c r="T191" s="504"/>
      <c r="U191" s="505"/>
      <c r="V191" s="504"/>
      <c r="W191" s="505"/>
      <c r="X191" s="504"/>
      <c r="Y191" s="505"/>
      <c r="Z191" s="504"/>
      <c r="AA191" s="505"/>
      <c r="AB191" s="504"/>
      <c r="AC191" s="505"/>
      <c r="AD191" s="504"/>
      <c r="AE191" s="505"/>
      <c r="AF191" s="504"/>
      <c r="AG191" s="505"/>
      <c r="AH191" s="504"/>
      <c r="AI191" s="505"/>
      <c r="AJ191" s="504"/>
      <c r="AK191" s="505"/>
      <c r="AL191" s="504"/>
      <c r="AM191" s="505"/>
      <c r="AN191" s="504"/>
      <c r="AO191" s="506"/>
      <c r="AP191" s="504"/>
      <c r="AQ191" s="506"/>
      <c r="AR191" s="504"/>
      <c r="AS191" s="506"/>
      <c r="AT191" s="504"/>
      <c r="AU191" s="506"/>
      <c r="AV191" s="504"/>
      <c r="AW191" s="506"/>
      <c r="AX191" s="504"/>
      <c r="AY191" s="506"/>
      <c r="AZ191" s="504"/>
      <c r="BA191" s="506"/>
      <c r="BB191" s="504"/>
      <c r="BC191" s="506"/>
      <c r="BD191" s="504"/>
      <c r="BE191" s="506"/>
      <c r="BF191" s="504"/>
      <c r="BG191" s="506"/>
      <c r="BH191" s="504"/>
      <c r="BI191" s="506"/>
      <c r="BJ191" s="504"/>
      <c r="BK191" s="506"/>
      <c r="BL191" s="504"/>
      <c r="BM191" s="506"/>
      <c r="BN191" s="504"/>
      <c r="BO191" s="506"/>
      <c r="BP191" s="504"/>
      <c r="BQ191" s="506"/>
      <c r="BR191" s="504"/>
      <c r="BS191" s="506"/>
      <c r="BT191" s="504"/>
      <c r="BU191" s="506"/>
      <c r="BV191" s="504"/>
      <c r="BW191" s="506"/>
      <c r="BX191" s="504"/>
      <c r="BY191" s="506"/>
      <c r="BZ191" s="504"/>
      <c r="CA191" s="506"/>
      <c r="CB191" s="504"/>
      <c r="CC191" s="506"/>
      <c r="CD191" s="504"/>
      <c r="CE191" s="506"/>
      <c r="CF191" s="504"/>
      <c r="CG191" s="506"/>
      <c r="CH191" s="504"/>
      <c r="CI191" s="506"/>
      <c r="CJ191" s="504"/>
      <c r="CK191" s="506"/>
      <c r="CL191" s="504"/>
      <c r="CM191" s="506"/>
      <c r="CN191" s="504"/>
      <c r="CO191" s="506"/>
      <c r="CP191" s="504"/>
      <c r="CQ191" s="506"/>
      <c r="CR191" s="504"/>
      <c r="CS191" s="506"/>
      <c r="CT191" s="504"/>
      <c r="CU191" s="506"/>
      <c r="CV191" s="504"/>
      <c r="CW191" s="506"/>
      <c r="CX191" s="504"/>
      <c r="CY191" s="506"/>
      <c r="CZ191" s="504"/>
      <c r="DA191" s="506"/>
      <c r="DB191" s="504"/>
      <c r="DC191" s="506"/>
      <c r="DD191" s="504"/>
      <c r="DE191" s="506"/>
      <c r="DF191" s="504"/>
      <c r="DG191" s="506"/>
      <c r="DH191" s="504"/>
      <c r="DI191" s="506"/>
      <c r="DJ191" s="504"/>
      <c r="DK191" s="506"/>
      <c r="DL191" s="504"/>
      <c r="DM191" s="506"/>
      <c r="DN191" s="504"/>
      <c r="DO191" s="506"/>
      <c r="DP191" s="504"/>
      <c r="DQ191" s="506"/>
      <c r="DR191" s="504"/>
      <c r="DS191" s="506"/>
      <c r="DT191" s="504"/>
      <c r="DU191" s="506"/>
      <c r="DV191" s="504"/>
      <c r="DW191" s="506"/>
      <c r="DX191" s="504"/>
      <c r="DY191" s="506"/>
      <c r="DZ191" s="504"/>
      <c r="EA191" s="506"/>
      <c r="EB191" s="504"/>
      <c r="EC191" s="506"/>
      <c r="ED191" s="504"/>
      <c r="EE191" s="506"/>
      <c r="EF191" s="504"/>
      <c r="EG191" s="506"/>
      <c r="EH191" s="506"/>
      <c r="EI191" s="504"/>
      <c r="EJ191" s="505"/>
      <c r="EK191" s="504"/>
      <c r="EL191" s="505"/>
      <c r="EM191" s="504"/>
      <c r="EN191" s="505"/>
      <c r="EO191" s="504"/>
      <c r="EP191" s="505"/>
      <c r="EQ191" s="504"/>
      <c r="ER191" s="506"/>
      <c r="ES191" s="504"/>
      <c r="ET191" s="506"/>
      <c r="EU191" s="504"/>
      <c r="EV191" s="506"/>
      <c r="EW191" s="504"/>
      <c r="EX191" s="506"/>
      <c r="EY191" s="504"/>
      <c r="EZ191" s="506"/>
      <c r="FA191" s="504"/>
      <c r="FB191" s="506"/>
      <c r="FC191" s="504"/>
      <c r="FD191" s="506"/>
      <c r="FE191" s="504"/>
      <c r="FF191" s="506"/>
      <c r="FG191" s="504"/>
      <c r="FH191" s="506"/>
      <c r="FI191" s="504"/>
      <c r="FJ191" s="506"/>
      <c r="FK191" s="504"/>
      <c r="FL191" s="506"/>
      <c r="FM191" s="504"/>
      <c r="FN191" s="506"/>
      <c r="FO191" s="504"/>
      <c r="FP191" s="506"/>
      <c r="FQ191" s="504"/>
      <c r="FR191" s="506"/>
      <c r="FS191" s="504"/>
      <c r="FT191" s="506"/>
      <c r="FU191" s="504"/>
      <c r="FV191" s="506"/>
      <c r="FW191" s="504"/>
      <c r="FX191" s="506"/>
      <c r="FY191" s="504"/>
      <c r="FZ191" s="506"/>
      <c r="GA191" s="505"/>
    </row>
    <row r="192" spans="1:183" ht="12.75" hidden="1" customHeight="1" outlineLevel="1" x14ac:dyDescent="0.2">
      <c r="A192" s="604" t="s">
        <v>313</v>
      </c>
      <c r="B192" s="504"/>
      <c r="C192" s="512"/>
      <c r="D192" s="504"/>
      <c r="E192" s="505"/>
      <c r="F192" s="504"/>
      <c r="G192" s="505"/>
      <c r="H192" s="504"/>
      <c r="I192" s="505"/>
      <c r="J192" s="504"/>
      <c r="K192" s="505"/>
      <c r="L192" s="504"/>
      <c r="M192" s="505"/>
      <c r="N192" s="504"/>
      <c r="O192" s="505"/>
      <c r="P192" s="504"/>
      <c r="Q192" s="505"/>
      <c r="R192" s="504"/>
      <c r="S192" s="505"/>
      <c r="T192" s="504"/>
      <c r="U192" s="505"/>
      <c r="V192" s="504"/>
      <c r="W192" s="505"/>
      <c r="X192" s="504"/>
      <c r="Y192" s="505"/>
      <c r="Z192" s="504"/>
      <c r="AA192" s="505"/>
      <c r="AB192" s="504"/>
      <c r="AC192" s="505"/>
      <c r="AD192" s="504"/>
      <c r="AE192" s="505"/>
      <c r="AF192" s="504"/>
      <c r="AG192" s="505"/>
      <c r="AH192" s="504"/>
      <c r="AI192" s="505"/>
      <c r="AJ192" s="504"/>
      <c r="AK192" s="505"/>
      <c r="AL192" s="504"/>
      <c r="AM192" s="505"/>
      <c r="AN192" s="504"/>
      <c r="AO192" s="506"/>
      <c r="AP192" s="504"/>
      <c r="AQ192" s="506"/>
      <c r="AR192" s="504"/>
      <c r="AS192" s="506"/>
      <c r="AT192" s="504"/>
      <c r="AU192" s="506"/>
      <c r="AV192" s="504"/>
      <c r="AW192" s="506"/>
      <c r="AX192" s="504"/>
      <c r="AY192" s="506"/>
      <c r="AZ192" s="504"/>
      <c r="BA192" s="506"/>
      <c r="BB192" s="504"/>
      <c r="BC192" s="506"/>
      <c r="BD192" s="504"/>
      <c r="BE192" s="506"/>
      <c r="BF192" s="504"/>
      <c r="BG192" s="506"/>
      <c r="BH192" s="504"/>
      <c r="BI192" s="506"/>
      <c r="BJ192" s="504"/>
      <c r="BK192" s="506"/>
      <c r="BL192" s="504"/>
      <c r="BM192" s="506"/>
      <c r="BN192" s="504"/>
      <c r="BO192" s="506"/>
      <c r="BP192" s="504"/>
      <c r="BQ192" s="506"/>
      <c r="BR192" s="504"/>
      <c r="BS192" s="506"/>
      <c r="BT192" s="504"/>
      <c r="BU192" s="506"/>
      <c r="BV192" s="504"/>
      <c r="BW192" s="506"/>
      <c r="BX192" s="504"/>
      <c r="BY192" s="506"/>
      <c r="BZ192" s="504"/>
      <c r="CA192" s="506"/>
      <c r="CB192" s="504"/>
      <c r="CC192" s="506"/>
      <c r="CD192" s="504"/>
      <c r="CE192" s="506"/>
      <c r="CF192" s="504"/>
      <c r="CG192" s="506"/>
      <c r="CH192" s="504"/>
      <c r="CI192" s="506"/>
      <c r="CJ192" s="504"/>
      <c r="CK192" s="506"/>
      <c r="CL192" s="504"/>
      <c r="CM192" s="506"/>
      <c r="CN192" s="504"/>
      <c r="CO192" s="506"/>
      <c r="CP192" s="504"/>
      <c r="CQ192" s="506"/>
      <c r="CR192" s="504"/>
      <c r="CS192" s="506"/>
      <c r="CT192" s="504"/>
      <c r="CU192" s="506"/>
      <c r="CV192" s="504"/>
      <c r="CW192" s="506"/>
      <c r="CX192" s="504"/>
      <c r="CY192" s="506"/>
      <c r="CZ192" s="504"/>
      <c r="DA192" s="506"/>
      <c r="DB192" s="504"/>
      <c r="DC192" s="506"/>
      <c r="DD192" s="504"/>
      <c r="DE192" s="506"/>
      <c r="DF192" s="504"/>
      <c r="DG192" s="506"/>
      <c r="DH192" s="504"/>
      <c r="DI192" s="506"/>
      <c r="DJ192" s="504"/>
      <c r="DK192" s="506"/>
      <c r="DL192" s="504"/>
      <c r="DM192" s="506"/>
      <c r="DN192" s="504"/>
      <c r="DO192" s="506"/>
      <c r="DP192" s="504"/>
      <c r="DQ192" s="506"/>
      <c r="DR192" s="504"/>
      <c r="DS192" s="506"/>
      <c r="DT192" s="504"/>
      <c r="DU192" s="506"/>
      <c r="DV192" s="504"/>
      <c r="DW192" s="506"/>
      <c r="DX192" s="504"/>
      <c r="DY192" s="506"/>
      <c r="DZ192" s="504"/>
      <c r="EA192" s="506"/>
      <c r="EB192" s="504"/>
      <c r="EC192" s="506"/>
      <c r="ED192" s="504"/>
      <c r="EE192" s="506"/>
      <c r="EF192" s="504"/>
      <c r="EG192" s="506"/>
      <c r="EH192" s="506"/>
      <c r="EI192" s="504"/>
      <c r="EJ192" s="505"/>
      <c r="EK192" s="504"/>
      <c r="EL192" s="505"/>
      <c r="EM192" s="504"/>
      <c r="EN192" s="505"/>
      <c r="EO192" s="504"/>
      <c r="EP192" s="505"/>
      <c r="EQ192" s="504"/>
      <c r="ER192" s="506"/>
      <c r="ES192" s="504"/>
      <c r="ET192" s="506"/>
      <c r="EU192" s="504"/>
      <c r="EV192" s="506"/>
      <c r="EW192" s="504"/>
      <c r="EX192" s="506"/>
      <c r="EY192" s="504"/>
      <c r="EZ192" s="506"/>
      <c r="FA192" s="504"/>
      <c r="FB192" s="506"/>
      <c r="FC192" s="504"/>
      <c r="FD192" s="506"/>
      <c r="FE192" s="504"/>
      <c r="FF192" s="506"/>
      <c r="FG192" s="504"/>
      <c r="FH192" s="506"/>
      <c r="FI192" s="504"/>
      <c r="FJ192" s="506"/>
      <c r="FK192" s="504"/>
      <c r="FL192" s="506"/>
      <c r="FM192" s="504"/>
      <c r="FN192" s="506"/>
      <c r="FO192" s="504"/>
      <c r="FP192" s="506"/>
      <c r="FQ192" s="504"/>
      <c r="FR192" s="506"/>
      <c r="FS192" s="504"/>
      <c r="FT192" s="506"/>
      <c r="FU192" s="504"/>
      <c r="FV192" s="506"/>
      <c r="FW192" s="504"/>
      <c r="FX192" s="506"/>
      <c r="FY192" s="504"/>
      <c r="FZ192" s="506"/>
      <c r="GA192" s="505"/>
    </row>
    <row r="193" spans="1:183" s="502" customFormat="1" ht="12.75" hidden="1" customHeight="1" outlineLevel="1" x14ac:dyDescent="0.2">
      <c r="A193" s="507" t="str">
        <f>A$3</f>
        <v>($Millions Except Per Share Data)</v>
      </c>
      <c r="B193" s="508"/>
      <c r="C193" s="509" t="str">
        <f>C$3</f>
        <v>1Q02/</v>
      </c>
      <c r="D193" s="508"/>
      <c r="E193" s="509" t="str">
        <f>E$3</f>
        <v>2Q02/</v>
      </c>
      <c r="F193" s="508"/>
      <c r="G193" s="509" t="str">
        <f>G$3</f>
        <v>3Q02/</v>
      </c>
      <c r="H193" s="508"/>
      <c r="I193" s="509" t="str">
        <f>I$3</f>
        <v>4Q02/</v>
      </c>
      <c r="J193" s="508"/>
      <c r="K193" s="509" t="str">
        <f>K$3</f>
        <v>1Q03/</v>
      </c>
      <c r="L193" s="508"/>
      <c r="M193" s="509" t="str">
        <f>M$3</f>
        <v>2Q03/</v>
      </c>
      <c r="N193" s="508"/>
      <c r="O193" s="509" t="str">
        <f>O$3</f>
        <v>3Q03/</v>
      </c>
      <c r="P193" s="508"/>
      <c r="Q193" s="509" t="str">
        <f>Q$3</f>
        <v>4Q03/</v>
      </c>
      <c r="R193" s="508"/>
      <c r="S193" s="509" t="str">
        <f>S$3</f>
        <v>1Q04/</v>
      </c>
      <c r="T193" s="508"/>
      <c r="U193" s="509" t="str">
        <f>U$3</f>
        <v>2Q04/</v>
      </c>
      <c r="V193" s="508"/>
      <c r="W193" s="509" t="str">
        <f>W$3</f>
        <v>3Q04/</v>
      </c>
      <c r="X193" s="508"/>
      <c r="Y193" s="509" t="str">
        <f>Y$3</f>
        <v>4Q04/</v>
      </c>
      <c r="Z193" s="508"/>
      <c r="AA193" s="509" t="str">
        <f>AA$3</f>
        <v>1Q05/</v>
      </c>
      <c r="AB193" s="508"/>
      <c r="AC193" s="509" t="str">
        <f>AC$3</f>
        <v>2Q05/</v>
      </c>
      <c r="AD193" s="508"/>
      <c r="AE193" s="509" t="str">
        <f>AE$3</f>
        <v>3Q05/</v>
      </c>
      <c r="AF193" s="508"/>
      <c r="AG193" s="509" t="str">
        <f>AG$3</f>
        <v>4Q05/</v>
      </c>
      <c r="AH193" s="508"/>
      <c r="AI193" s="509" t="str">
        <f>AI$3</f>
        <v>1Q06/</v>
      </c>
      <c r="AJ193" s="508"/>
      <c r="AK193" s="509" t="str">
        <f>AK$3</f>
        <v>2Q06/</v>
      </c>
      <c r="AL193" s="508"/>
      <c r="AM193" s="509" t="str">
        <f>AM$3</f>
        <v>3Q06/</v>
      </c>
      <c r="AN193" s="508"/>
      <c r="AO193" s="510" t="str">
        <f>AO$3</f>
        <v>4Q06/</v>
      </c>
      <c r="AP193" s="508"/>
      <c r="AQ193" s="510" t="str">
        <f>AQ$3</f>
        <v>1Q07/</v>
      </c>
      <c r="AR193" s="508"/>
      <c r="AS193" s="510" t="str">
        <f>AS$3</f>
        <v>2Q07/</v>
      </c>
      <c r="AT193" s="508"/>
      <c r="AU193" s="510" t="str">
        <f>AU$3</f>
        <v>3Q07/</v>
      </c>
      <c r="AV193" s="508"/>
      <c r="AW193" s="510" t="str">
        <f>AW$3</f>
        <v>4Q07/</v>
      </c>
      <c r="AX193" s="508"/>
      <c r="AY193" s="510" t="str">
        <f>AY$3</f>
        <v>1Q08/</v>
      </c>
      <c r="AZ193" s="508"/>
      <c r="BA193" s="510" t="str">
        <f>BA$3</f>
        <v>2Q08/</v>
      </c>
      <c r="BB193" s="508"/>
      <c r="BC193" s="510" t="str">
        <f>BC$3</f>
        <v>3Q08/</v>
      </c>
      <c r="BD193" s="508"/>
      <c r="BE193" s="510" t="str">
        <f>BE$3</f>
        <v>4Q08/</v>
      </c>
      <c r="BF193" s="508"/>
      <c r="BG193" s="510" t="str">
        <f>BG$3</f>
        <v>1Q09/</v>
      </c>
      <c r="BH193" s="508"/>
      <c r="BI193" s="510" t="str">
        <f>BI$3</f>
        <v>2Q09/</v>
      </c>
      <c r="BJ193" s="508"/>
      <c r="BK193" s="510" t="str">
        <f>BK$3</f>
        <v>3Q09/</v>
      </c>
      <c r="BL193" s="508"/>
      <c r="BM193" s="510" t="str">
        <f>BM$3</f>
        <v>4Q09/</v>
      </c>
      <c r="BN193" s="508"/>
      <c r="BO193" s="510" t="str">
        <f>BO$3</f>
        <v>1Q10/</v>
      </c>
      <c r="BP193" s="508"/>
      <c r="BQ193" s="510" t="str">
        <f>BQ$3</f>
        <v>2Q10/</v>
      </c>
      <c r="BR193" s="508"/>
      <c r="BS193" s="510" t="str">
        <f>BS$3</f>
        <v>3Q10/</v>
      </c>
      <c r="BT193" s="508"/>
      <c r="BU193" s="510">
        <f>BU$3</f>
        <v>0</v>
      </c>
      <c r="BV193" s="508"/>
      <c r="BW193" s="510" t="str">
        <f>BW$3</f>
        <v>1Q11/</v>
      </c>
      <c r="BX193" s="508"/>
      <c r="BY193" s="510" t="str">
        <f>BY$3</f>
        <v>2Q11/</v>
      </c>
      <c r="BZ193" s="508"/>
      <c r="CA193" s="510" t="str">
        <f>CA$3</f>
        <v>3Q11/</v>
      </c>
      <c r="CB193" s="508"/>
      <c r="CC193" s="510" t="str">
        <f>CC$3</f>
        <v>4Q11/</v>
      </c>
      <c r="CD193" s="508"/>
      <c r="CE193" s="510" t="str">
        <f>CE$3</f>
        <v>1Q12/</v>
      </c>
      <c r="CF193" s="508"/>
      <c r="CG193" s="510" t="str">
        <f>CG$3</f>
        <v>2Q12/</v>
      </c>
      <c r="CH193" s="508"/>
      <c r="CI193" s="510" t="str">
        <f>CI$3</f>
        <v>3Q12/</v>
      </c>
      <c r="CJ193" s="508"/>
      <c r="CK193" s="510" t="str">
        <f>CK$3</f>
        <v>4Q12/</v>
      </c>
      <c r="CL193" s="641"/>
      <c r="CM193" s="642" t="str">
        <f>CM$3</f>
        <v>1Q13/</v>
      </c>
      <c r="CN193" s="641"/>
      <c r="CO193" s="642" t="str">
        <f>CO$3</f>
        <v>2Q13/</v>
      </c>
      <c r="CP193" s="641"/>
      <c r="CQ193" s="642" t="str">
        <f>CQ$3</f>
        <v>3Q13/</v>
      </c>
      <c r="CR193" s="641"/>
      <c r="CS193" s="642" t="str">
        <f>CS$3</f>
        <v>4Q13/</v>
      </c>
      <c r="CT193" s="641"/>
      <c r="CU193" s="642" t="str">
        <f>CU$3</f>
        <v>1Q14/</v>
      </c>
      <c r="CV193" s="641"/>
      <c r="CW193" s="642" t="str">
        <f>CW$3</f>
        <v>2Q14/</v>
      </c>
      <c r="CX193" s="641"/>
      <c r="CY193" s="642" t="str">
        <f>CY$3</f>
        <v>3Q14/</v>
      </c>
      <c r="CZ193" s="641"/>
      <c r="DA193" s="642" t="str">
        <f>DA$3</f>
        <v>4Q14/</v>
      </c>
      <c r="DB193" s="641"/>
      <c r="DC193" s="642" t="str">
        <f>DC$3</f>
        <v>1Q15/</v>
      </c>
      <c r="DD193" s="641"/>
      <c r="DE193" s="642" t="str">
        <f>DE$3</f>
        <v>2Q15/</v>
      </c>
      <c r="DF193" s="641"/>
      <c r="DG193" s="642" t="str">
        <f>DG$3</f>
        <v>3Q15/</v>
      </c>
      <c r="DH193" s="641"/>
      <c r="DI193" s="642" t="str">
        <f>DI$3</f>
        <v>4Q15/</v>
      </c>
      <c r="DJ193" s="641"/>
      <c r="DK193" s="642" t="str">
        <f>DK$3</f>
        <v>1Q16/</v>
      </c>
      <c r="DL193" s="641"/>
      <c r="DM193" s="642" t="str">
        <f>DM$3</f>
        <v>2Q16/</v>
      </c>
      <c r="DN193" s="641"/>
      <c r="DO193" s="642" t="str">
        <f>DO$3</f>
        <v>3Q16/</v>
      </c>
      <c r="DP193" s="641"/>
      <c r="DQ193" s="642" t="str">
        <f>DQ$3</f>
        <v>4Q16/</v>
      </c>
      <c r="DR193" s="641"/>
      <c r="DS193" s="642" t="str">
        <f t="shared" ref="DS193" si="132">DS$3</f>
        <v>1Q17/</v>
      </c>
      <c r="DT193" s="641"/>
      <c r="DU193" s="642" t="str">
        <f t="shared" ref="DU193" si="133">DU$3</f>
        <v>2Q17/</v>
      </c>
      <c r="DV193" s="641"/>
      <c r="DW193" s="642" t="str">
        <f t="shared" ref="DW193" si="134">DW$3</f>
        <v>3Q17/</v>
      </c>
      <c r="DX193" s="641"/>
      <c r="DY193" s="642" t="str">
        <f t="shared" ref="DY193" si="135">DY$3</f>
        <v>4Q17/</v>
      </c>
      <c r="DZ193" s="641"/>
      <c r="EA193" s="642" t="str">
        <f t="shared" ref="EA193" si="136">EA$3</f>
        <v>1Q18E/</v>
      </c>
      <c r="EB193" s="641"/>
      <c r="EC193" s="642" t="str">
        <f t="shared" ref="EC193" si="137">EC$3</f>
        <v>2Q18E/</v>
      </c>
      <c r="ED193" s="641"/>
      <c r="EE193" s="642" t="str">
        <f t="shared" ref="EE193" si="138">EE$3</f>
        <v>3Q18E/</v>
      </c>
      <c r="EF193" s="641"/>
      <c r="EG193" s="642" t="str">
        <f t="shared" ref="EG193" si="139">EG$3</f>
        <v>4Q18E/</v>
      </c>
      <c r="EH193" s="642"/>
      <c r="EI193" s="641"/>
      <c r="EJ193" s="643" t="str">
        <f>EJ$3</f>
        <v>2001/</v>
      </c>
      <c r="EK193" s="641"/>
      <c r="EL193" s="643" t="str">
        <f>EL$3</f>
        <v>2002/</v>
      </c>
      <c r="EM193" s="641"/>
      <c r="EN193" s="643" t="str">
        <f>EN$3</f>
        <v>2003/</v>
      </c>
      <c r="EO193" s="641"/>
      <c r="EP193" s="643" t="str">
        <f>EP$3</f>
        <v>2004/</v>
      </c>
      <c r="EQ193" s="641"/>
      <c r="ER193" s="642" t="str">
        <f>ER$3</f>
        <v>2005/</v>
      </c>
      <c r="ES193" s="641"/>
      <c r="ET193" s="642" t="str">
        <f>ET$3</f>
        <v>2006/</v>
      </c>
      <c r="EU193" s="641"/>
      <c r="EV193" s="642" t="str">
        <f>EV$3</f>
        <v>2007/</v>
      </c>
      <c r="EW193" s="641"/>
      <c r="EX193" s="642" t="str">
        <f>EX$3</f>
        <v>2008/</v>
      </c>
      <c r="EY193" s="641"/>
      <c r="EZ193" s="642" t="str">
        <f>EZ$3</f>
        <v>2009/</v>
      </c>
      <c r="FA193" s="641"/>
      <c r="FB193" s="642" t="str">
        <f>FB$3</f>
        <v>2010/</v>
      </c>
      <c r="FC193" s="641"/>
      <c r="FD193" s="642" t="str">
        <f>FD$3</f>
        <v>2011/</v>
      </c>
      <c r="FE193" s="641"/>
      <c r="FF193" s="642" t="str">
        <f>FF$3</f>
        <v>2012/</v>
      </c>
      <c r="FG193" s="641"/>
      <c r="FH193" s="642" t="str">
        <f>FH$3</f>
        <v>2013/</v>
      </c>
      <c r="FI193" s="641"/>
      <c r="FJ193" s="642" t="str">
        <f>FJ$3</f>
        <v>2014/</v>
      </c>
      <c r="FK193" s="641"/>
      <c r="FL193" s="642" t="str">
        <f>FL$3</f>
        <v>2015/</v>
      </c>
      <c r="FM193" s="641"/>
      <c r="FN193" s="642" t="str">
        <f>FN$3</f>
        <v>2016/</v>
      </c>
      <c r="FO193" s="641"/>
      <c r="FP193" s="642" t="str">
        <f>FP$3</f>
        <v>2017/</v>
      </c>
      <c r="FQ193" s="641"/>
      <c r="FR193" s="642" t="str">
        <f>FR$3</f>
        <v>2018E/</v>
      </c>
      <c r="FS193" s="641"/>
      <c r="FT193" s="642" t="str">
        <f>FT$3</f>
        <v>2019E/</v>
      </c>
      <c r="FU193" s="641"/>
      <c r="FV193" s="642" t="str">
        <f>FV$3</f>
        <v>2020E/</v>
      </c>
      <c r="FW193" s="641"/>
      <c r="FX193" s="642" t="str">
        <f>FX$3</f>
        <v>2021E/</v>
      </c>
      <c r="FY193" s="641"/>
      <c r="FZ193" s="642" t="str">
        <f>FZ$3</f>
        <v>2022E/</v>
      </c>
      <c r="GA193" s="643" t="str">
        <f>INPUT!GT$5</f>
        <v>5-Yr</v>
      </c>
    </row>
    <row r="194" spans="1:183" s="502" customFormat="1" ht="12.75" hidden="1" customHeight="1" outlineLevel="1" x14ac:dyDescent="0.2">
      <c r="A194" s="511"/>
      <c r="B194" s="504"/>
      <c r="C194" s="512" t="str">
        <f>C$4</f>
        <v>1Q01</v>
      </c>
      <c r="D194" s="504"/>
      <c r="E194" s="512" t="str">
        <f>E$4</f>
        <v>2Q01</v>
      </c>
      <c r="F194" s="504"/>
      <c r="G194" s="512" t="str">
        <f>G$4</f>
        <v>3Q01</v>
      </c>
      <c r="H194" s="504"/>
      <c r="I194" s="512" t="str">
        <f>I$4</f>
        <v>4Q01</v>
      </c>
      <c r="J194" s="504"/>
      <c r="K194" s="512" t="str">
        <f>K$4</f>
        <v>1Q02</v>
      </c>
      <c r="L194" s="504"/>
      <c r="M194" s="512" t="str">
        <f>M$4</f>
        <v>2Q02</v>
      </c>
      <c r="N194" s="504"/>
      <c r="O194" s="512" t="str">
        <f>O$4</f>
        <v>3Q02</v>
      </c>
      <c r="P194" s="504"/>
      <c r="Q194" s="512" t="str">
        <f>Q$4</f>
        <v>4Q02</v>
      </c>
      <c r="R194" s="504"/>
      <c r="S194" s="512" t="str">
        <f>S$4</f>
        <v>1Q03</v>
      </c>
      <c r="T194" s="504"/>
      <c r="U194" s="512" t="str">
        <f>U$4</f>
        <v>2Q03</v>
      </c>
      <c r="V194" s="504"/>
      <c r="W194" s="512" t="str">
        <f>W$4</f>
        <v>3Q03</v>
      </c>
      <c r="X194" s="504"/>
      <c r="Y194" s="512" t="str">
        <f>Y$4</f>
        <v>4Q03</v>
      </c>
      <c r="Z194" s="504"/>
      <c r="AA194" s="512" t="str">
        <f>AA$4</f>
        <v>1Q04</v>
      </c>
      <c r="AB194" s="504"/>
      <c r="AC194" s="512" t="str">
        <f>AC$4</f>
        <v>2Q04</v>
      </c>
      <c r="AD194" s="504"/>
      <c r="AE194" s="512" t="str">
        <f>AE$4</f>
        <v>3Q04</v>
      </c>
      <c r="AF194" s="504"/>
      <c r="AG194" s="512" t="str">
        <f>AG$4</f>
        <v>4Q04</v>
      </c>
      <c r="AH194" s="504"/>
      <c r="AI194" s="512" t="str">
        <f>AI$4</f>
        <v>1Q05</v>
      </c>
      <c r="AJ194" s="504"/>
      <c r="AK194" s="512" t="str">
        <f>AK$4</f>
        <v>2Q05</v>
      </c>
      <c r="AL194" s="504"/>
      <c r="AM194" s="512" t="str">
        <f>AM$4</f>
        <v>3Q05</v>
      </c>
      <c r="AN194" s="504"/>
      <c r="AO194" s="506" t="str">
        <f>AO$4</f>
        <v>4Q05</v>
      </c>
      <c r="AP194" s="504"/>
      <c r="AQ194" s="506" t="str">
        <f>AQ$4</f>
        <v>1Q06</v>
      </c>
      <c r="AR194" s="504"/>
      <c r="AS194" s="506" t="str">
        <f>AS$4</f>
        <v>2Q06</v>
      </c>
      <c r="AT194" s="504"/>
      <c r="AU194" s="506" t="str">
        <f>AU$4</f>
        <v>3Q06</v>
      </c>
      <c r="AV194" s="504"/>
      <c r="AW194" s="506" t="str">
        <f>AW$4</f>
        <v>4Q06</v>
      </c>
      <c r="AX194" s="504"/>
      <c r="AY194" s="506" t="str">
        <f>AY$4</f>
        <v>1Q07</v>
      </c>
      <c r="AZ194" s="504"/>
      <c r="BA194" s="506" t="str">
        <f>BA$4</f>
        <v>2Q07</v>
      </c>
      <c r="BB194" s="504"/>
      <c r="BC194" s="506" t="str">
        <f>BC$4</f>
        <v>3Q07</v>
      </c>
      <c r="BD194" s="504"/>
      <c r="BE194" s="506" t="str">
        <f>BE$4</f>
        <v>4Q07</v>
      </c>
      <c r="BF194" s="504"/>
      <c r="BG194" s="506" t="str">
        <f>BG$4</f>
        <v>1Q08</v>
      </c>
      <c r="BH194" s="504"/>
      <c r="BI194" s="506" t="str">
        <f>BI$4</f>
        <v>2Q08</v>
      </c>
      <c r="BJ194" s="504"/>
      <c r="BK194" s="506" t="str">
        <f>BK$4</f>
        <v>3Q08</v>
      </c>
      <c r="BL194" s="504"/>
      <c r="BM194" s="506" t="str">
        <f>BM$4</f>
        <v>4Q08</v>
      </c>
      <c r="BN194" s="504"/>
      <c r="BO194" s="506" t="str">
        <f>BO$4</f>
        <v>1Q09</v>
      </c>
      <c r="BP194" s="504"/>
      <c r="BQ194" s="506" t="str">
        <f>BQ$4</f>
        <v>2Q09</v>
      </c>
      <c r="BR194" s="504"/>
      <c r="BS194" s="506" t="str">
        <f>BS$4</f>
        <v>3Q09</v>
      </c>
      <c r="BT194" s="504"/>
      <c r="BU194" s="506" t="str">
        <f>BU$4</f>
        <v>4Q09</v>
      </c>
      <c r="BV194" s="504"/>
      <c r="BW194" s="506" t="str">
        <f>BW$4</f>
        <v>1Q10</v>
      </c>
      <c r="BX194" s="504"/>
      <c r="BY194" s="506" t="str">
        <f>BY$4</f>
        <v>2Q10</v>
      </c>
      <c r="BZ194" s="504"/>
      <c r="CA194" s="506" t="str">
        <f>CA$4</f>
        <v>3Q10</v>
      </c>
      <c r="CB194" s="504"/>
      <c r="CC194" s="506" t="str">
        <f>CC$4</f>
        <v>4Q10</v>
      </c>
      <c r="CD194" s="504"/>
      <c r="CE194" s="506" t="str">
        <f>CE$4</f>
        <v>1Q11</v>
      </c>
      <c r="CF194" s="504"/>
      <c r="CG194" s="506" t="str">
        <f>CG$4</f>
        <v>2Q11</v>
      </c>
      <c r="CH194" s="504"/>
      <c r="CI194" s="506" t="str">
        <f>CI$4</f>
        <v>3Q11</v>
      </c>
      <c r="CJ194" s="504"/>
      <c r="CK194" s="506" t="str">
        <f>CK$4</f>
        <v>4Q11</v>
      </c>
      <c r="CL194" s="638"/>
      <c r="CM194" s="639" t="str">
        <f>CM$4</f>
        <v>1Q12</v>
      </c>
      <c r="CN194" s="638"/>
      <c r="CO194" s="639" t="str">
        <f>CO$4</f>
        <v>2Q12</v>
      </c>
      <c r="CP194" s="638"/>
      <c r="CQ194" s="639" t="str">
        <f>CQ$4</f>
        <v>3Q12</v>
      </c>
      <c r="CR194" s="638"/>
      <c r="CS194" s="639" t="str">
        <f>CS$4</f>
        <v>4Q12</v>
      </c>
      <c r="CT194" s="638"/>
      <c r="CU194" s="639" t="str">
        <f>CU$4</f>
        <v>1Q13</v>
      </c>
      <c r="CV194" s="638"/>
      <c r="CW194" s="639" t="str">
        <f>CW$4</f>
        <v>2Q13</v>
      </c>
      <c r="CX194" s="638"/>
      <c r="CY194" s="639" t="str">
        <f>CY$4</f>
        <v>3Q13</v>
      </c>
      <c r="CZ194" s="638"/>
      <c r="DA194" s="639" t="str">
        <f>DA$4</f>
        <v>4Q13</v>
      </c>
      <c r="DB194" s="638"/>
      <c r="DC194" s="639" t="str">
        <f>DC$4</f>
        <v>1Q14</v>
      </c>
      <c r="DD194" s="638"/>
      <c r="DE194" s="639" t="str">
        <f>DE$4</f>
        <v>2Q14</v>
      </c>
      <c r="DF194" s="638"/>
      <c r="DG194" s="639" t="str">
        <f>DG$4</f>
        <v>3Q14</v>
      </c>
      <c r="DH194" s="638"/>
      <c r="DI194" s="639" t="str">
        <f>DI$4</f>
        <v>4Q14</v>
      </c>
      <c r="DJ194" s="638"/>
      <c r="DK194" s="639" t="str">
        <f>DK$4</f>
        <v>1Q15</v>
      </c>
      <c r="DL194" s="638"/>
      <c r="DM194" s="639" t="str">
        <f>DM$4</f>
        <v>2Q15</v>
      </c>
      <c r="DN194" s="638"/>
      <c r="DO194" s="639" t="str">
        <f>DO$4</f>
        <v>3Q15</v>
      </c>
      <c r="DP194" s="638"/>
      <c r="DQ194" s="639" t="str">
        <f>DQ$4</f>
        <v>4Q15</v>
      </c>
      <c r="DR194" s="638"/>
      <c r="DS194" s="639" t="str">
        <f t="shared" ref="DS194" si="140">DS$4</f>
        <v>1Q16</v>
      </c>
      <c r="DT194" s="638"/>
      <c r="DU194" s="639" t="str">
        <f t="shared" ref="DU194" si="141">DU$4</f>
        <v>2Q16</v>
      </c>
      <c r="DV194" s="638"/>
      <c r="DW194" s="639" t="str">
        <f t="shared" ref="DW194" si="142">DW$4</f>
        <v>3Q16</v>
      </c>
      <c r="DX194" s="638"/>
      <c r="DY194" s="639" t="str">
        <f t="shared" ref="DY194" si="143">DY$4</f>
        <v>4Q16</v>
      </c>
      <c r="DZ194" s="638"/>
      <c r="EA194" s="639" t="str">
        <f t="shared" ref="EA194" si="144">EA$4</f>
        <v>1Q17</v>
      </c>
      <c r="EB194" s="638"/>
      <c r="EC194" s="639" t="str">
        <f t="shared" ref="EC194" si="145">EC$4</f>
        <v>2Q17</v>
      </c>
      <c r="ED194" s="638"/>
      <c r="EE194" s="639" t="str">
        <f t="shared" ref="EE194" si="146">EE$4</f>
        <v>3Q17</v>
      </c>
      <c r="EF194" s="638"/>
      <c r="EG194" s="639" t="str">
        <f t="shared" ref="EG194" si="147">EG$4</f>
        <v>4Q17</v>
      </c>
      <c r="EH194" s="639"/>
      <c r="EI194" s="638"/>
      <c r="EJ194" s="418" t="str">
        <f>EJ$4</f>
        <v>2000</v>
      </c>
      <c r="EK194" s="638"/>
      <c r="EL194" s="418" t="str">
        <f>EL$4</f>
        <v>2001</v>
      </c>
      <c r="EM194" s="638"/>
      <c r="EN194" s="418" t="str">
        <f>EN$4</f>
        <v>2002</v>
      </c>
      <c r="EO194" s="638"/>
      <c r="EP194" s="418" t="str">
        <f>EP$4</f>
        <v>2003</v>
      </c>
      <c r="EQ194" s="638"/>
      <c r="ER194" s="639" t="str">
        <f>ER$4</f>
        <v>2004</v>
      </c>
      <c r="ES194" s="638"/>
      <c r="ET194" s="639" t="str">
        <f>ET$4</f>
        <v>2005</v>
      </c>
      <c r="EU194" s="638"/>
      <c r="EV194" s="639">
        <f>EV$4</f>
        <v>2006</v>
      </c>
      <c r="EW194" s="638"/>
      <c r="EX194" s="639">
        <f>EX$4</f>
        <v>2007</v>
      </c>
      <c r="EY194" s="638"/>
      <c r="EZ194" s="639">
        <f>EZ$4</f>
        <v>2008</v>
      </c>
      <c r="FA194" s="638"/>
      <c r="FB194" s="639" t="str">
        <f>FB$4</f>
        <v>2009</v>
      </c>
      <c r="FC194" s="638"/>
      <c r="FD194" s="639" t="str">
        <f>FD$4</f>
        <v>2010</v>
      </c>
      <c r="FE194" s="638"/>
      <c r="FF194" s="639" t="str">
        <f>FF$4</f>
        <v>2011</v>
      </c>
      <c r="FG194" s="638"/>
      <c r="FH194" s="639" t="str">
        <f>FH$4</f>
        <v>2012</v>
      </c>
      <c r="FI194" s="638"/>
      <c r="FJ194" s="639" t="str">
        <f>FJ$4</f>
        <v>2013</v>
      </c>
      <c r="FK194" s="638"/>
      <c r="FL194" s="639" t="str">
        <f>FL$4</f>
        <v>2014</v>
      </c>
      <c r="FM194" s="638"/>
      <c r="FN194" s="639" t="str">
        <f>FN$4</f>
        <v>2015</v>
      </c>
      <c r="FO194" s="638"/>
      <c r="FP194" s="639" t="str">
        <f>FP$4</f>
        <v>2016</v>
      </c>
      <c r="FQ194" s="638"/>
      <c r="FR194" s="639" t="str">
        <f>FR$4</f>
        <v>2017</v>
      </c>
      <c r="FS194" s="638"/>
      <c r="FT194" s="639" t="str">
        <f>FT$4</f>
        <v>2018E</v>
      </c>
      <c r="FU194" s="638"/>
      <c r="FV194" s="639" t="str">
        <f>FV$4</f>
        <v>2019E</v>
      </c>
      <c r="FW194" s="638"/>
      <c r="FX194" s="639" t="str">
        <f>FX$4</f>
        <v>2020E</v>
      </c>
      <c r="FY194" s="638"/>
      <c r="FZ194" s="639" t="str">
        <f>FZ$4</f>
        <v>2021E</v>
      </c>
      <c r="GA194" s="418" t="s">
        <v>113</v>
      </c>
    </row>
    <row r="195" spans="1:183" s="502" customFormat="1" ht="12.75" hidden="1" customHeight="1" outlineLevel="1" x14ac:dyDescent="0.2">
      <c r="A195" s="513"/>
      <c r="B195" s="514" t="str">
        <f t="shared" ref="B195:DR195" si="148">B$5</f>
        <v>1Q02</v>
      </c>
      <c r="C195" s="515" t="str">
        <f t="shared" si="148"/>
        <v>% Chg</v>
      </c>
      <c r="D195" s="514" t="str">
        <f t="shared" si="148"/>
        <v>2Q02</v>
      </c>
      <c r="E195" s="515" t="str">
        <f t="shared" si="148"/>
        <v>% Chg</v>
      </c>
      <c r="F195" s="514" t="str">
        <f t="shared" si="148"/>
        <v>3Q02</v>
      </c>
      <c r="G195" s="515" t="str">
        <f t="shared" si="148"/>
        <v>% Chg</v>
      </c>
      <c r="H195" s="514" t="str">
        <f t="shared" si="148"/>
        <v>4Q02</v>
      </c>
      <c r="I195" s="515" t="str">
        <f t="shared" si="148"/>
        <v>% Chg</v>
      </c>
      <c r="J195" s="514" t="str">
        <f t="shared" si="148"/>
        <v>1Q03</v>
      </c>
      <c r="K195" s="515" t="str">
        <f t="shared" si="148"/>
        <v>% Chg</v>
      </c>
      <c r="L195" s="514" t="str">
        <f t="shared" si="148"/>
        <v>2Q03</v>
      </c>
      <c r="M195" s="515" t="str">
        <f t="shared" si="148"/>
        <v>% Chg</v>
      </c>
      <c r="N195" s="514" t="str">
        <f t="shared" si="148"/>
        <v>3Q03</v>
      </c>
      <c r="O195" s="515" t="str">
        <f t="shared" si="148"/>
        <v>% Chg</v>
      </c>
      <c r="P195" s="514" t="str">
        <f t="shared" si="148"/>
        <v>4Q03</v>
      </c>
      <c r="Q195" s="515" t="str">
        <f t="shared" si="148"/>
        <v>% Chg</v>
      </c>
      <c r="R195" s="514" t="str">
        <f t="shared" si="148"/>
        <v>1Q04</v>
      </c>
      <c r="S195" s="515" t="str">
        <f t="shared" si="148"/>
        <v>% Chg</v>
      </c>
      <c r="T195" s="514" t="str">
        <f t="shared" si="148"/>
        <v>2Q04</v>
      </c>
      <c r="U195" s="515" t="str">
        <f t="shared" si="148"/>
        <v>% Chg</v>
      </c>
      <c r="V195" s="514" t="str">
        <f t="shared" si="148"/>
        <v>3Q04</v>
      </c>
      <c r="W195" s="515" t="str">
        <f t="shared" si="148"/>
        <v>% Chg</v>
      </c>
      <c r="X195" s="514" t="str">
        <f t="shared" si="148"/>
        <v>4Q04</v>
      </c>
      <c r="Y195" s="515" t="str">
        <f t="shared" si="148"/>
        <v>% Chg</v>
      </c>
      <c r="Z195" s="514" t="str">
        <f t="shared" si="148"/>
        <v>1Q05</v>
      </c>
      <c r="AA195" s="515" t="str">
        <f t="shared" si="148"/>
        <v>% Chg</v>
      </c>
      <c r="AB195" s="514" t="str">
        <f t="shared" si="148"/>
        <v>2Q05</v>
      </c>
      <c r="AC195" s="515" t="str">
        <f t="shared" si="148"/>
        <v>% Chg</v>
      </c>
      <c r="AD195" s="514" t="str">
        <f t="shared" si="148"/>
        <v>3Q05</v>
      </c>
      <c r="AE195" s="515" t="str">
        <f t="shared" si="148"/>
        <v>% Chg</v>
      </c>
      <c r="AF195" s="514" t="str">
        <f t="shared" si="148"/>
        <v>4Q05</v>
      </c>
      <c r="AG195" s="515" t="str">
        <f t="shared" si="148"/>
        <v>% Chg</v>
      </c>
      <c r="AH195" s="514" t="str">
        <f t="shared" si="148"/>
        <v>1Q06</v>
      </c>
      <c r="AI195" s="515" t="str">
        <f t="shared" si="148"/>
        <v>% Chg</v>
      </c>
      <c r="AJ195" s="514" t="str">
        <f t="shared" si="148"/>
        <v>2Q06</v>
      </c>
      <c r="AK195" s="515" t="str">
        <f t="shared" si="148"/>
        <v>% Chg</v>
      </c>
      <c r="AL195" s="514" t="str">
        <f t="shared" si="148"/>
        <v>3Q06</v>
      </c>
      <c r="AM195" s="515" t="str">
        <f t="shared" si="148"/>
        <v>% Chg</v>
      </c>
      <c r="AN195" s="514" t="str">
        <f t="shared" si="148"/>
        <v>4Q06</v>
      </c>
      <c r="AO195" s="516" t="str">
        <f t="shared" si="148"/>
        <v>% Chg</v>
      </c>
      <c r="AP195" s="514" t="str">
        <f t="shared" si="148"/>
        <v>1Q07</v>
      </c>
      <c r="AQ195" s="516" t="str">
        <f t="shared" si="148"/>
        <v>% Chg</v>
      </c>
      <c r="AR195" s="514" t="str">
        <f t="shared" si="148"/>
        <v>2Q07</v>
      </c>
      <c r="AS195" s="516" t="str">
        <f t="shared" si="148"/>
        <v>% Chg</v>
      </c>
      <c r="AT195" s="514" t="str">
        <f t="shared" si="148"/>
        <v>3Q07</v>
      </c>
      <c r="AU195" s="516" t="str">
        <f t="shared" si="148"/>
        <v>% Chg</v>
      </c>
      <c r="AV195" s="514" t="str">
        <f t="shared" si="148"/>
        <v>4Q07</v>
      </c>
      <c r="AW195" s="516" t="str">
        <f t="shared" si="148"/>
        <v>% Chg</v>
      </c>
      <c r="AX195" s="514" t="str">
        <f t="shared" si="148"/>
        <v>1Q08</v>
      </c>
      <c r="AY195" s="516" t="str">
        <f t="shared" si="148"/>
        <v>% Chg</v>
      </c>
      <c r="AZ195" s="514" t="str">
        <f t="shared" si="148"/>
        <v>2Q08</v>
      </c>
      <c r="BA195" s="516" t="str">
        <f t="shared" si="148"/>
        <v>% Chg</v>
      </c>
      <c r="BB195" s="514" t="str">
        <f t="shared" si="148"/>
        <v>3Q08</v>
      </c>
      <c r="BC195" s="516" t="str">
        <f t="shared" si="148"/>
        <v>% Chg</v>
      </c>
      <c r="BD195" s="514" t="str">
        <f t="shared" si="148"/>
        <v>4Q08</v>
      </c>
      <c r="BE195" s="516" t="str">
        <f t="shared" si="148"/>
        <v>% Chg</v>
      </c>
      <c r="BF195" s="514" t="str">
        <f t="shared" si="148"/>
        <v>1Q09</v>
      </c>
      <c r="BG195" s="516" t="str">
        <f t="shared" si="148"/>
        <v>% Chg</v>
      </c>
      <c r="BH195" s="514" t="str">
        <f t="shared" si="148"/>
        <v>2Q09</v>
      </c>
      <c r="BI195" s="516" t="str">
        <f t="shared" si="148"/>
        <v>% Chg</v>
      </c>
      <c r="BJ195" s="514" t="str">
        <f t="shared" si="148"/>
        <v>3Q09</v>
      </c>
      <c r="BK195" s="516" t="str">
        <f t="shared" si="148"/>
        <v>% Chg</v>
      </c>
      <c r="BL195" s="514" t="str">
        <f t="shared" si="148"/>
        <v>4Q09</v>
      </c>
      <c r="BM195" s="516" t="str">
        <f t="shared" ref="BM195:DX195" si="149">BM$5</f>
        <v>% Chg</v>
      </c>
      <c r="BN195" s="514" t="str">
        <f t="shared" si="148"/>
        <v>1Q10</v>
      </c>
      <c r="BO195" s="516" t="str">
        <f t="shared" si="149"/>
        <v>% Chg</v>
      </c>
      <c r="BP195" s="514" t="str">
        <f t="shared" si="148"/>
        <v>2Q10</v>
      </c>
      <c r="BQ195" s="516" t="str">
        <f t="shared" si="149"/>
        <v>% Chg</v>
      </c>
      <c r="BR195" s="514" t="str">
        <f t="shared" si="148"/>
        <v>3Q10</v>
      </c>
      <c r="BS195" s="516" t="str">
        <f t="shared" si="149"/>
        <v>% Chg</v>
      </c>
      <c r="BT195" s="514" t="str">
        <f t="shared" si="148"/>
        <v>4Q10</v>
      </c>
      <c r="BU195" s="516" t="str">
        <f t="shared" si="149"/>
        <v>% Chg</v>
      </c>
      <c r="BV195" s="514" t="str">
        <f t="shared" si="148"/>
        <v>1Q11</v>
      </c>
      <c r="BW195" s="516" t="str">
        <f t="shared" si="149"/>
        <v>% Chg</v>
      </c>
      <c r="BX195" s="514" t="str">
        <f t="shared" si="148"/>
        <v>2Q11</v>
      </c>
      <c r="BY195" s="516" t="str">
        <f t="shared" si="149"/>
        <v>% Chg</v>
      </c>
      <c r="BZ195" s="514" t="str">
        <f t="shared" si="148"/>
        <v>3Q11</v>
      </c>
      <c r="CA195" s="516" t="str">
        <f t="shared" si="149"/>
        <v>% Chg</v>
      </c>
      <c r="CB195" s="514" t="str">
        <f t="shared" si="148"/>
        <v>4Q11</v>
      </c>
      <c r="CC195" s="516" t="str">
        <f t="shared" si="149"/>
        <v>% Chg</v>
      </c>
      <c r="CD195" s="514" t="str">
        <f t="shared" si="148"/>
        <v>1Q12</v>
      </c>
      <c r="CE195" s="516" t="str">
        <f t="shared" si="149"/>
        <v>% Chg</v>
      </c>
      <c r="CF195" s="514" t="str">
        <f t="shared" si="148"/>
        <v>2Q12</v>
      </c>
      <c r="CG195" s="516" t="str">
        <f t="shared" si="149"/>
        <v>% Chg</v>
      </c>
      <c r="CH195" s="514" t="str">
        <f t="shared" si="148"/>
        <v>3Q12</v>
      </c>
      <c r="CI195" s="516" t="str">
        <f t="shared" si="149"/>
        <v>% Chg</v>
      </c>
      <c r="CJ195" s="514" t="str">
        <f t="shared" si="148"/>
        <v>4Q12</v>
      </c>
      <c r="CK195" s="516" t="str">
        <f t="shared" si="149"/>
        <v>% Chg</v>
      </c>
      <c r="CL195" s="607" t="str">
        <f t="shared" si="148"/>
        <v>1Q13</v>
      </c>
      <c r="CM195" s="30" t="str">
        <f t="shared" si="149"/>
        <v>% Chg</v>
      </c>
      <c r="CN195" s="607" t="str">
        <f t="shared" si="148"/>
        <v>2Q13</v>
      </c>
      <c r="CO195" s="30" t="str">
        <f t="shared" si="149"/>
        <v>% Chg</v>
      </c>
      <c r="CP195" s="607" t="str">
        <f t="shared" si="148"/>
        <v>3Q13</v>
      </c>
      <c r="CQ195" s="30" t="str">
        <f t="shared" si="149"/>
        <v>% Chg</v>
      </c>
      <c r="CR195" s="607" t="str">
        <f t="shared" si="148"/>
        <v>4Q13</v>
      </c>
      <c r="CS195" s="30" t="str">
        <f t="shared" si="149"/>
        <v>% Chg</v>
      </c>
      <c r="CT195" s="607" t="str">
        <f t="shared" si="148"/>
        <v>1Q14</v>
      </c>
      <c r="CU195" s="30" t="str">
        <f t="shared" si="149"/>
        <v>% Chg</v>
      </c>
      <c r="CV195" s="607" t="str">
        <f t="shared" si="148"/>
        <v>2Q14</v>
      </c>
      <c r="CW195" s="30" t="str">
        <f t="shared" si="149"/>
        <v>% Chg</v>
      </c>
      <c r="CX195" s="607" t="str">
        <f t="shared" si="148"/>
        <v>3Q14</v>
      </c>
      <c r="CY195" s="30" t="str">
        <f t="shared" si="149"/>
        <v>% Chg</v>
      </c>
      <c r="CZ195" s="607" t="str">
        <f t="shared" si="148"/>
        <v>4Q14</v>
      </c>
      <c r="DA195" s="30" t="str">
        <f t="shared" si="149"/>
        <v>% Chg</v>
      </c>
      <c r="DB195" s="607" t="str">
        <f t="shared" si="148"/>
        <v>1Q15</v>
      </c>
      <c r="DC195" s="30" t="str">
        <f t="shared" si="149"/>
        <v>% Chg</v>
      </c>
      <c r="DD195" s="607" t="str">
        <f t="shared" si="148"/>
        <v>2Q15</v>
      </c>
      <c r="DE195" s="30" t="str">
        <f t="shared" si="149"/>
        <v>% Chg</v>
      </c>
      <c r="DF195" s="607" t="str">
        <f t="shared" si="148"/>
        <v>3Q15</v>
      </c>
      <c r="DG195" s="30" t="str">
        <f t="shared" si="149"/>
        <v>% Chg</v>
      </c>
      <c r="DH195" s="607" t="str">
        <f t="shared" si="148"/>
        <v>4Q15</v>
      </c>
      <c r="DI195" s="30" t="str">
        <f t="shared" si="149"/>
        <v>% Chg</v>
      </c>
      <c r="DJ195" s="607" t="str">
        <f t="shared" si="148"/>
        <v>1Q16</v>
      </c>
      <c r="DK195" s="30" t="str">
        <f t="shared" si="149"/>
        <v>% Chg</v>
      </c>
      <c r="DL195" s="607" t="str">
        <f t="shared" si="148"/>
        <v>2Q16</v>
      </c>
      <c r="DM195" s="30" t="str">
        <f t="shared" si="149"/>
        <v>% Chg</v>
      </c>
      <c r="DN195" s="607" t="str">
        <f t="shared" si="148"/>
        <v>3Q16</v>
      </c>
      <c r="DO195" s="30" t="str">
        <f t="shared" si="149"/>
        <v>% Chg</v>
      </c>
      <c r="DP195" s="607" t="str">
        <f t="shared" si="148"/>
        <v>4Q16</v>
      </c>
      <c r="DQ195" s="30" t="str">
        <f t="shared" si="149"/>
        <v>% Chg</v>
      </c>
      <c r="DR195" s="607" t="str">
        <f t="shared" si="148"/>
        <v>1Q17</v>
      </c>
      <c r="DS195" s="30" t="str">
        <f t="shared" si="149"/>
        <v>% Chg</v>
      </c>
      <c r="DT195" s="607" t="str">
        <f t="shared" si="149"/>
        <v>2Q17</v>
      </c>
      <c r="DU195" s="30" t="str">
        <f t="shared" si="149"/>
        <v>% Chg</v>
      </c>
      <c r="DV195" s="607" t="str">
        <f t="shared" si="149"/>
        <v>3Q17</v>
      </c>
      <c r="DW195" s="30" t="str">
        <f t="shared" si="149"/>
        <v>% Chg</v>
      </c>
      <c r="DX195" s="607" t="str">
        <f t="shared" si="149"/>
        <v>4Q17</v>
      </c>
      <c r="DY195" s="30" t="str">
        <f t="shared" ref="DY195:EG195" si="150">DY$5</f>
        <v>% Chg</v>
      </c>
      <c r="DZ195" s="607" t="str">
        <f t="shared" si="150"/>
        <v>1Q18E</v>
      </c>
      <c r="EA195" s="30" t="str">
        <f t="shared" si="150"/>
        <v>% Chg</v>
      </c>
      <c r="EB195" s="607" t="str">
        <f t="shared" si="150"/>
        <v>2Q18E</v>
      </c>
      <c r="EC195" s="30" t="str">
        <f t="shared" si="150"/>
        <v>% Chg</v>
      </c>
      <c r="ED195" s="607" t="str">
        <f t="shared" si="150"/>
        <v>3Q18E</v>
      </c>
      <c r="EE195" s="30" t="str">
        <f t="shared" si="150"/>
        <v>% Chg</v>
      </c>
      <c r="EF195" s="607" t="str">
        <f t="shared" si="150"/>
        <v>4Q18E</v>
      </c>
      <c r="EG195" s="30" t="str">
        <f t="shared" si="150"/>
        <v>% Chg</v>
      </c>
      <c r="EH195" s="30"/>
      <c r="EI195" s="607" t="str">
        <f t="shared" ref="EI195:FZ195" si="151">EI$5</f>
        <v>2001</v>
      </c>
      <c r="EJ195" s="608" t="str">
        <f t="shared" si="151"/>
        <v>% Chg</v>
      </c>
      <c r="EK195" s="607" t="str">
        <f t="shared" si="151"/>
        <v>2002</v>
      </c>
      <c r="EL195" s="608" t="str">
        <f t="shared" si="151"/>
        <v>% Chg</v>
      </c>
      <c r="EM195" s="607" t="str">
        <f t="shared" si="151"/>
        <v>2003</v>
      </c>
      <c r="EN195" s="608" t="str">
        <f t="shared" si="151"/>
        <v>% Chg</v>
      </c>
      <c r="EO195" s="607" t="str">
        <f t="shared" si="151"/>
        <v>2004</v>
      </c>
      <c r="EP195" s="608" t="str">
        <f t="shared" si="151"/>
        <v>% Chg</v>
      </c>
      <c r="EQ195" s="607" t="str">
        <f t="shared" si="151"/>
        <v>2005</v>
      </c>
      <c r="ER195" s="30" t="str">
        <f t="shared" si="151"/>
        <v>% Chg</v>
      </c>
      <c r="ES195" s="609">
        <f t="shared" si="151"/>
        <v>2006</v>
      </c>
      <c r="ET195" s="30" t="str">
        <f t="shared" si="151"/>
        <v>% Chg</v>
      </c>
      <c r="EU195" s="609">
        <f t="shared" si="151"/>
        <v>2007</v>
      </c>
      <c r="EV195" s="30" t="str">
        <f t="shared" si="151"/>
        <v>% Chg</v>
      </c>
      <c r="EW195" s="609">
        <f t="shared" si="151"/>
        <v>2008</v>
      </c>
      <c r="EX195" s="30" t="str">
        <f>EX$5</f>
        <v>% Chg</v>
      </c>
      <c r="EY195" s="607" t="str">
        <f t="shared" si="151"/>
        <v>2009</v>
      </c>
      <c r="EZ195" s="30" t="str">
        <f t="shared" si="151"/>
        <v>% Chg</v>
      </c>
      <c r="FA195" s="607" t="str">
        <f t="shared" si="151"/>
        <v>2010</v>
      </c>
      <c r="FB195" s="30" t="str">
        <f t="shared" si="151"/>
        <v>% Chg</v>
      </c>
      <c r="FC195" s="607" t="str">
        <f t="shared" si="151"/>
        <v>2011</v>
      </c>
      <c r="FD195" s="30" t="str">
        <f t="shared" si="151"/>
        <v>% Chg</v>
      </c>
      <c r="FE195" s="607" t="str">
        <f t="shared" si="151"/>
        <v>2012</v>
      </c>
      <c r="FF195" s="30" t="str">
        <f t="shared" si="151"/>
        <v>% Chg</v>
      </c>
      <c r="FG195" s="607" t="str">
        <f t="shared" si="151"/>
        <v>2013</v>
      </c>
      <c r="FH195" s="30" t="str">
        <f t="shared" si="151"/>
        <v>% Chg</v>
      </c>
      <c r="FI195" s="607" t="str">
        <f t="shared" si="151"/>
        <v>2014</v>
      </c>
      <c r="FJ195" s="30" t="str">
        <f t="shared" si="151"/>
        <v>% Chg</v>
      </c>
      <c r="FK195" s="607" t="str">
        <f t="shared" si="151"/>
        <v>2015</v>
      </c>
      <c r="FL195" s="30" t="str">
        <f t="shared" si="151"/>
        <v>% Chg</v>
      </c>
      <c r="FM195" s="607" t="str">
        <f t="shared" si="151"/>
        <v>2016</v>
      </c>
      <c r="FN195" s="30" t="str">
        <f t="shared" si="151"/>
        <v>% Chg</v>
      </c>
      <c r="FO195" s="607" t="str">
        <f t="shared" si="151"/>
        <v>2017</v>
      </c>
      <c r="FP195" s="30" t="str">
        <f t="shared" si="151"/>
        <v>% Chg</v>
      </c>
      <c r="FQ195" s="607" t="str">
        <f t="shared" si="151"/>
        <v>2018E</v>
      </c>
      <c r="FR195" s="30" t="str">
        <f t="shared" si="151"/>
        <v>% Chg</v>
      </c>
      <c r="FS195" s="607" t="str">
        <f t="shared" si="151"/>
        <v>2019E</v>
      </c>
      <c r="FT195" s="30" t="str">
        <f t="shared" si="151"/>
        <v>% Chg</v>
      </c>
      <c r="FU195" s="607" t="str">
        <f t="shared" si="151"/>
        <v>2020E</v>
      </c>
      <c r="FV195" s="30" t="str">
        <f t="shared" si="151"/>
        <v>% Chg</v>
      </c>
      <c r="FW195" s="607" t="str">
        <f t="shared" si="151"/>
        <v>2021E</v>
      </c>
      <c r="FX195" s="30" t="str">
        <f t="shared" si="151"/>
        <v>% Chg</v>
      </c>
      <c r="FY195" s="607" t="str">
        <f t="shared" si="151"/>
        <v>2022E</v>
      </c>
      <c r="FZ195" s="30" t="str">
        <f t="shared" si="151"/>
        <v>% Chg</v>
      </c>
      <c r="GA195" s="608" t="s">
        <v>351</v>
      </c>
    </row>
    <row r="196" spans="1:183" ht="12.75" hidden="1" customHeight="1" outlineLevel="1" x14ac:dyDescent="0.2">
      <c r="A196" s="610"/>
      <c r="B196" s="96"/>
      <c r="C196" s="399"/>
      <c r="D196" s="96"/>
      <c r="E196" s="399"/>
      <c r="F196" s="96"/>
      <c r="G196" s="399"/>
      <c r="H196" s="96"/>
      <c r="I196" s="399"/>
      <c r="J196" s="96"/>
      <c r="K196" s="399"/>
      <c r="L196" s="96"/>
      <c r="M196" s="399"/>
      <c r="N196" s="96"/>
      <c r="O196" s="399"/>
      <c r="P196" s="96"/>
      <c r="Q196" s="399"/>
      <c r="R196" s="96"/>
      <c r="S196" s="399"/>
      <c r="T196" s="96"/>
      <c r="U196" s="399"/>
      <c r="V196" s="96"/>
      <c r="W196" s="399"/>
      <c r="X196" s="96"/>
      <c r="Y196" s="399"/>
      <c r="Z196" s="96"/>
      <c r="AA196" s="399"/>
      <c r="AB196" s="96"/>
      <c r="AC196" s="399"/>
      <c r="AD196" s="96"/>
      <c r="AE196" s="399"/>
      <c r="AF196" s="96"/>
      <c r="AG196" s="399"/>
      <c r="AH196" s="96"/>
      <c r="AI196" s="399"/>
      <c r="AJ196" s="96"/>
      <c r="AK196" s="399"/>
      <c r="AL196" s="96"/>
      <c r="AM196" s="399"/>
      <c r="AN196" s="96"/>
      <c r="AO196" s="18"/>
      <c r="AP196" s="96"/>
      <c r="AQ196" s="18"/>
      <c r="AR196" s="96"/>
      <c r="AS196" s="18"/>
      <c r="AT196" s="96"/>
      <c r="AU196" s="18"/>
      <c r="AV196" s="96"/>
      <c r="AW196" s="18"/>
      <c r="AX196" s="96"/>
      <c r="AY196" s="18"/>
      <c r="AZ196" s="96"/>
      <c r="BA196" s="18"/>
      <c r="BB196" s="96"/>
      <c r="BC196" s="18"/>
      <c r="BD196" s="96"/>
      <c r="BE196" s="18"/>
      <c r="BF196" s="96"/>
      <c r="BG196" s="18"/>
      <c r="BH196" s="96"/>
      <c r="BI196" s="18"/>
      <c r="BJ196" s="96"/>
      <c r="BK196" s="18"/>
      <c r="BL196" s="96"/>
      <c r="BM196" s="18"/>
      <c r="BN196" s="96"/>
      <c r="BO196" s="18"/>
      <c r="BP196" s="96"/>
      <c r="BQ196" s="18"/>
      <c r="BR196" s="96"/>
      <c r="BS196" s="18"/>
      <c r="BT196" s="96"/>
      <c r="BU196" s="18"/>
      <c r="BV196" s="96"/>
      <c r="BW196" s="18"/>
      <c r="BX196" s="96"/>
      <c r="BY196" s="18"/>
      <c r="BZ196" s="96"/>
      <c r="CA196" s="18"/>
      <c r="CB196" s="96"/>
      <c r="CC196" s="18"/>
      <c r="CD196" s="96"/>
      <c r="CE196" s="18"/>
      <c r="CF196" s="96"/>
      <c r="CG196" s="18"/>
      <c r="CH196" s="96"/>
      <c r="CI196" s="18"/>
      <c r="CJ196" s="96"/>
      <c r="CK196" s="18"/>
      <c r="CL196" s="96"/>
      <c r="CM196" s="18"/>
      <c r="CN196" s="96"/>
      <c r="CO196" s="18"/>
      <c r="CP196" s="96"/>
      <c r="CQ196" s="18"/>
      <c r="CR196" s="96"/>
      <c r="CS196" s="18"/>
      <c r="CT196" s="96"/>
      <c r="CU196" s="18"/>
      <c r="CV196" s="96"/>
      <c r="CW196" s="18"/>
      <c r="CX196" s="96"/>
      <c r="CY196" s="18"/>
      <c r="CZ196" s="96"/>
      <c r="DA196" s="18"/>
      <c r="DB196" s="96"/>
      <c r="DC196" s="18"/>
      <c r="DD196" s="96"/>
      <c r="DE196" s="18"/>
      <c r="DF196" s="96"/>
      <c r="DG196" s="18"/>
      <c r="DH196" s="96"/>
      <c r="DI196" s="18"/>
      <c r="DJ196" s="96"/>
      <c r="DK196" s="18"/>
      <c r="DL196" s="96"/>
      <c r="DM196" s="18"/>
      <c r="DN196" s="96"/>
      <c r="DO196" s="18"/>
      <c r="DP196" s="96"/>
      <c r="DQ196" s="18"/>
      <c r="DR196" s="96"/>
      <c r="DS196" s="18"/>
      <c r="DT196" s="96"/>
      <c r="DU196" s="18"/>
      <c r="DV196" s="96"/>
      <c r="DW196" s="18"/>
      <c r="DX196" s="96"/>
      <c r="DY196" s="18"/>
      <c r="DZ196" s="96"/>
      <c r="EA196" s="18"/>
      <c r="EB196" s="96"/>
      <c r="EC196" s="18"/>
      <c r="ED196" s="96"/>
      <c r="EE196" s="18"/>
      <c r="EF196" s="96"/>
      <c r="EG196" s="18"/>
      <c r="EH196" s="18"/>
      <c r="EI196" s="96"/>
      <c r="EJ196" s="399"/>
      <c r="EK196" s="96"/>
      <c r="EL196" s="399"/>
      <c r="EM196" s="96"/>
      <c r="EN196" s="399"/>
      <c r="EO196" s="96"/>
      <c r="EP196" s="399"/>
      <c r="EQ196" s="96"/>
      <c r="ER196" s="18"/>
      <c r="ES196" s="96"/>
      <c r="ET196" s="18"/>
      <c r="EU196" s="96"/>
      <c r="EV196" s="18"/>
      <c r="EW196" s="96"/>
      <c r="EX196" s="18"/>
      <c r="EY196" s="96"/>
      <c r="EZ196" s="18"/>
      <c r="FA196" s="96"/>
      <c r="FB196" s="18"/>
      <c r="FC196" s="96"/>
      <c r="FD196" s="18"/>
      <c r="FE196" s="96"/>
      <c r="FF196" s="18"/>
      <c r="FG196" s="96"/>
      <c r="FH196" s="18"/>
      <c r="FI196" s="96"/>
      <c r="FJ196" s="18"/>
      <c r="FK196" s="96"/>
      <c r="FL196" s="18"/>
      <c r="FM196" s="96"/>
      <c r="FN196" s="18"/>
      <c r="FO196" s="96"/>
      <c r="FP196" s="18"/>
      <c r="FQ196" s="96"/>
      <c r="FR196" s="18"/>
      <c r="FS196" s="96"/>
      <c r="FT196" s="18"/>
      <c r="FU196" s="96"/>
      <c r="FV196" s="18"/>
      <c r="FW196" s="96"/>
      <c r="FX196" s="18"/>
      <c r="FY196" s="96"/>
      <c r="FZ196" s="18"/>
      <c r="GA196" s="399"/>
    </row>
    <row r="197" spans="1:183" ht="12.75" hidden="1" customHeight="1" outlineLevel="1" x14ac:dyDescent="0.2">
      <c r="A197" s="610" t="s">
        <v>285</v>
      </c>
      <c r="B197" s="96"/>
      <c r="C197" s="399"/>
      <c r="D197" s="96"/>
      <c r="E197" s="399"/>
      <c r="F197" s="96"/>
      <c r="G197" s="399"/>
      <c r="H197" s="96"/>
      <c r="I197" s="399"/>
      <c r="J197" s="96"/>
      <c r="K197" s="399"/>
      <c r="L197" s="96"/>
      <c r="M197" s="399"/>
      <c r="N197" s="96"/>
      <c r="O197" s="399"/>
      <c r="P197" s="96"/>
      <c r="Q197" s="399"/>
      <c r="R197" s="96"/>
      <c r="S197" s="399"/>
      <c r="T197" s="96"/>
      <c r="U197" s="399"/>
      <c r="V197" s="96"/>
      <c r="W197" s="399"/>
      <c r="X197" s="96"/>
      <c r="Y197" s="399"/>
      <c r="Z197" s="96"/>
      <c r="AA197" s="399"/>
      <c r="AB197" s="96"/>
      <c r="AC197" s="399"/>
      <c r="AD197" s="96"/>
      <c r="AE197" s="399"/>
      <c r="AF197" s="96"/>
      <c r="AG197" s="399"/>
      <c r="AH197" s="96"/>
      <c r="AI197" s="399"/>
      <c r="AJ197" s="96"/>
      <c r="AK197" s="399"/>
      <c r="AL197" s="96"/>
      <c r="AM197" s="399"/>
      <c r="AN197" s="96"/>
      <c r="AO197" s="18"/>
      <c r="AP197" s="96"/>
      <c r="AQ197" s="18"/>
      <c r="AR197" s="96"/>
      <c r="AS197" s="18"/>
      <c r="AT197" s="96"/>
      <c r="AU197" s="18"/>
      <c r="AV197" s="96"/>
      <c r="AW197" s="18"/>
      <c r="AX197" s="96"/>
      <c r="AY197" s="18"/>
      <c r="AZ197" s="96"/>
      <c r="BA197" s="18"/>
      <c r="BB197" s="96"/>
      <c r="BC197" s="18"/>
      <c r="BD197" s="96"/>
      <c r="BE197" s="18"/>
      <c r="BF197" s="96"/>
      <c r="BG197" s="18"/>
      <c r="BH197" s="96"/>
      <c r="BI197" s="18"/>
      <c r="BJ197" s="96"/>
      <c r="BK197" s="18"/>
      <c r="BL197" s="96"/>
      <c r="BM197" s="18"/>
      <c r="BN197" s="96"/>
      <c r="BO197" s="18"/>
      <c r="BP197" s="96"/>
      <c r="BQ197" s="18"/>
      <c r="BR197" s="96"/>
      <c r="BS197" s="18"/>
      <c r="BT197" s="96"/>
      <c r="BU197" s="18"/>
      <c r="BV197" s="96"/>
      <c r="BW197" s="18"/>
      <c r="BX197" s="96"/>
      <c r="BY197" s="18"/>
      <c r="BZ197" s="96"/>
      <c r="CA197" s="18"/>
      <c r="CB197" s="96"/>
      <c r="CC197" s="18"/>
      <c r="CD197" s="96"/>
      <c r="CE197" s="18"/>
      <c r="CF197" s="96"/>
      <c r="CG197" s="18"/>
      <c r="CH197" s="96"/>
      <c r="CI197" s="18"/>
      <c r="CJ197" s="96"/>
      <c r="CK197" s="18"/>
      <c r="CL197" s="96"/>
      <c r="CM197" s="18"/>
      <c r="CN197" s="96"/>
      <c r="CO197" s="18"/>
      <c r="CP197" s="96"/>
      <c r="CQ197" s="18"/>
      <c r="CR197" s="96"/>
      <c r="CS197" s="18"/>
      <c r="CT197" s="96"/>
      <c r="CU197" s="18"/>
      <c r="CV197" s="96"/>
      <c r="CW197" s="18"/>
      <c r="CX197" s="96"/>
      <c r="CY197" s="18"/>
      <c r="CZ197" s="96"/>
      <c r="DA197" s="18"/>
      <c r="DB197" s="96"/>
      <c r="DC197" s="18"/>
      <c r="DD197" s="96"/>
      <c r="DE197" s="18"/>
      <c r="DF197" s="96"/>
      <c r="DG197" s="18"/>
      <c r="DH197" s="96"/>
      <c r="DI197" s="18"/>
      <c r="DJ197" s="96"/>
      <c r="DK197" s="18"/>
      <c r="DL197" s="96"/>
      <c r="DM197" s="18"/>
      <c r="DN197" s="96"/>
      <c r="DO197" s="18"/>
      <c r="DP197" s="96"/>
      <c r="DQ197" s="18"/>
      <c r="DR197" s="96"/>
      <c r="DS197" s="18"/>
      <c r="DT197" s="96"/>
      <c r="DU197" s="18"/>
      <c r="DV197" s="96"/>
      <c r="DW197" s="18"/>
      <c r="DX197" s="96"/>
      <c r="DY197" s="18"/>
      <c r="DZ197" s="96"/>
      <c r="EA197" s="18"/>
      <c r="EB197" s="96"/>
      <c r="EC197" s="18"/>
      <c r="ED197" s="96"/>
      <c r="EE197" s="18"/>
      <c r="EF197" s="96"/>
      <c r="EG197" s="18"/>
      <c r="EH197" s="18"/>
      <c r="EI197" s="96"/>
      <c r="EJ197" s="399"/>
      <c r="EK197" s="96"/>
      <c r="EL197" s="399"/>
      <c r="EM197" s="96"/>
      <c r="EN197" s="399"/>
      <c r="EO197" s="96"/>
      <c r="EP197" s="399"/>
      <c r="EQ197" s="96"/>
      <c r="ER197" s="18"/>
      <c r="ES197" s="96"/>
      <c r="ET197" s="18"/>
      <c r="EU197" s="96"/>
      <c r="EV197" s="18"/>
      <c r="EW197" s="96"/>
      <c r="EX197" s="18"/>
      <c r="EY197" s="96"/>
      <c r="EZ197" s="18"/>
      <c r="FA197" s="96"/>
      <c r="FB197" s="18"/>
      <c r="FC197" s="96"/>
      <c r="FD197" s="18"/>
      <c r="FE197" s="96"/>
      <c r="FF197" s="18"/>
      <c r="FG197" s="96"/>
      <c r="FH197" s="18"/>
      <c r="FI197" s="96"/>
      <c r="FJ197" s="18"/>
      <c r="FK197" s="96"/>
      <c r="FL197" s="18"/>
      <c r="FM197" s="96"/>
      <c r="FN197" s="18"/>
      <c r="FO197" s="96"/>
      <c r="FP197" s="18"/>
      <c r="FQ197" s="96"/>
      <c r="FR197" s="18"/>
      <c r="FS197" s="96"/>
      <c r="FT197" s="18"/>
      <c r="FU197" s="96"/>
      <c r="FV197" s="18"/>
      <c r="FW197" s="96"/>
      <c r="FX197" s="18"/>
      <c r="FY197" s="96"/>
      <c r="FZ197" s="18"/>
      <c r="GA197" s="399"/>
    </row>
    <row r="198" spans="1:183" ht="12.75" hidden="1" customHeight="1" outlineLevel="1" x14ac:dyDescent="0.2">
      <c r="A198" s="612" t="str">
        <f>INPUT!B107</f>
        <v>Premium Income</v>
      </c>
      <c r="B198" s="96"/>
      <c r="C198" s="399"/>
      <c r="D198" s="96"/>
      <c r="E198" s="399"/>
      <c r="F198" s="96"/>
      <c r="G198" s="399"/>
      <c r="H198" s="96"/>
      <c r="I198" s="399"/>
      <c r="J198" s="96"/>
      <c r="K198" s="399"/>
      <c r="L198" s="96"/>
      <c r="M198" s="399"/>
      <c r="N198" s="96"/>
      <c r="O198" s="399"/>
      <c r="P198" s="96"/>
      <c r="Q198" s="399"/>
      <c r="R198" s="96">
        <f>INPUT!AC107</f>
        <v>283.29999999999995</v>
      </c>
      <c r="S198" s="399" t="str">
        <f>INPUT!AD107</f>
        <v>NA</v>
      </c>
      <c r="T198" s="96">
        <f>INPUT!AE107</f>
        <v>284.60000000000002</v>
      </c>
      <c r="U198" s="399" t="str">
        <f>INPUT!AF107</f>
        <v>NA</v>
      </c>
      <c r="V198" s="96">
        <f>INPUT!AG107</f>
        <v>291.89999999999998</v>
      </c>
      <c r="W198" s="399" t="str">
        <f>INPUT!AH107</f>
        <v>NA</v>
      </c>
      <c r="X198" s="96">
        <f>INPUT!AI107</f>
        <v>293.70000000000005</v>
      </c>
      <c r="Y198" s="399" t="str">
        <f>INPUT!AJ107</f>
        <v>NA</v>
      </c>
      <c r="Z198" s="96">
        <f>INPUT!AK107</f>
        <v>304.10000000000002</v>
      </c>
      <c r="AA198" s="399">
        <f>INPUT!AL107</f>
        <v>7.3420402400282692</v>
      </c>
      <c r="AB198" s="96">
        <f>INPUT!AM107</f>
        <v>309</v>
      </c>
      <c r="AC198" s="399">
        <f>INPUT!AN107</f>
        <v>8.5734364019676601</v>
      </c>
      <c r="AD198" s="96">
        <f>INPUT!AO107</f>
        <v>311.60000000000002</v>
      </c>
      <c r="AE198" s="399">
        <f>INPUT!AP107</f>
        <v>6.7488866050017249</v>
      </c>
      <c r="AF198" s="96">
        <f>INPUT!AQ107</f>
        <v>313.2</v>
      </c>
      <c r="AG198" s="399">
        <f>INPUT!AR107</f>
        <v>6.6394279877425744</v>
      </c>
      <c r="AH198" s="96">
        <f>INPUT!AS107</f>
        <v>325.2</v>
      </c>
      <c r="AI198" s="399">
        <f>INPUT!AT107</f>
        <v>6.938507070042732</v>
      </c>
      <c r="AJ198" s="96">
        <f>INPUT!AU107</f>
        <v>327.2</v>
      </c>
      <c r="AK198" s="399">
        <f>INPUT!AV107</f>
        <v>5.8899676375404386</v>
      </c>
      <c r="AL198" s="96">
        <f>INPUT!AW107</f>
        <v>332.3</v>
      </c>
      <c r="AM198" s="399">
        <f>INPUT!AX107</f>
        <v>6.6431322207958887</v>
      </c>
      <c r="AN198" s="96">
        <f>INPUT!AY107</f>
        <v>328.1</v>
      </c>
      <c r="AO198" s="18">
        <f>INPUT!AZ107</f>
        <v>4.757343550447013</v>
      </c>
      <c r="AP198" s="96">
        <f>INPUT!BA107</f>
        <v>341.6</v>
      </c>
      <c r="AQ198" s="18">
        <f>INPUT!BB107</f>
        <v>5.0430504305043256</v>
      </c>
      <c r="AR198" s="96">
        <f>INPUT!BC107</f>
        <v>347.2</v>
      </c>
      <c r="AS198" s="18">
        <f>INPUT!BD107</f>
        <v>6.112469437652801</v>
      </c>
      <c r="AT198" s="96">
        <f>INPUT!BE107</f>
        <v>352.4</v>
      </c>
      <c r="AU198" s="18">
        <f>INPUT!BF107</f>
        <v>6.048751128498342</v>
      </c>
      <c r="AV198" s="96">
        <f>INPUT!BG107</f>
        <v>353.1</v>
      </c>
      <c r="AW198" s="18">
        <f>INPUT!BH107</f>
        <v>7.6196281621456974</v>
      </c>
      <c r="AX198" s="96">
        <f>INPUT!BI107</f>
        <v>369.6</v>
      </c>
      <c r="AY198" s="18">
        <f>INPUT!BJ107</f>
        <v>8.196721311475418</v>
      </c>
      <c r="AZ198" s="96">
        <f>INPUT!BK107</f>
        <v>372.7</v>
      </c>
      <c r="BA198" s="18">
        <f>INPUT!BL107</f>
        <v>7.3444700460829404</v>
      </c>
      <c r="BB198" s="96">
        <f>INPUT!BM107</f>
        <v>376.4</v>
      </c>
      <c r="BC198" s="18">
        <f>INPUT!BN107</f>
        <v>6.8104426787741312</v>
      </c>
      <c r="BD198" s="96">
        <f>INPUT!BO107</f>
        <v>380.3</v>
      </c>
      <c r="BE198" s="18">
        <f>INPUT!BP107</f>
        <v>7.7032002265646993</v>
      </c>
      <c r="BF198" s="96">
        <f>INPUT!BQ107</f>
        <v>392.6</v>
      </c>
      <c r="BG198" s="18">
        <f>INPUT!BR107</f>
        <v>6.222943722943719</v>
      </c>
      <c r="BH198" s="96">
        <f>INPUT!BS107</f>
        <v>390.9</v>
      </c>
      <c r="BI198" s="18">
        <f>INPUT!BT107</f>
        <v>4.8832841427421503</v>
      </c>
      <c r="BJ198" s="96">
        <f>INPUT!BU107</f>
        <v>384.4</v>
      </c>
      <c r="BK198" s="18">
        <f>INPUT!BV107</f>
        <v>2.1253985122210439</v>
      </c>
      <c r="BL198" s="96">
        <f>INPUT!BW107</f>
        <v>382.9</v>
      </c>
      <c r="BM198" s="18">
        <f>INPUT!BX107</f>
        <v>0.68367078622140198</v>
      </c>
      <c r="BN198" s="96">
        <f>INPUT!BY107</f>
        <v>249</v>
      </c>
      <c r="BO198" s="18">
        <f>INPUT!BZ107</f>
        <v>-36.576668364747846</v>
      </c>
      <c r="BP198" s="96">
        <f>INPUT!CA107</f>
        <v>248.6</v>
      </c>
      <c r="BQ198" s="18">
        <f>INPUT!CB107</f>
        <v>-36.403172166794576</v>
      </c>
      <c r="BR198" s="96">
        <f>INPUT!CC107</f>
        <v>247.6</v>
      </c>
      <c r="BS198" s="18">
        <f>INPUT!CD107</f>
        <v>-35.587929240374606</v>
      </c>
      <c r="BT198" s="96">
        <f>INPUT!CE107</f>
        <v>243.5</v>
      </c>
      <c r="BU198" s="18">
        <f>INPUT!CF107</f>
        <v>-36.406372420997648</v>
      </c>
      <c r="BV198" s="96">
        <f>INPUT!CG107</f>
        <v>260.3</v>
      </c>
      <c r="BW198" s="18">
        <f>INPUT!CH107</f>
        <v>4.5381526104417702</v>
      </c>
      <c r="BX198" s="96">
        <f>INPUT!CI107</f>
        <v>261.3</v>
      </c>
      <c r="BY198" s="18">
        <f>INPUT!CJ107</f>
        <v>5.1086082059533355</v>
      </c>
      <c r="BZ198" s="96">
        <f>INPUT!CK107</f>
        <v>260.2</v>
      </c>
      <c r="CA198" s="18">
        <f>INPUT!CL107</f>
        <v>5.0888529886914391</v>
      </c>
      <c r="CB198" s="96">
        <f>INPUT!CM107</f>
        <v>262.89999999999998</v>
      </c>
      <c r="CC198" s="18">
        <f>INPUT!CN107</f>
        <v>7.9671457905543974</v>
      </c>
      <c r="CD198" s="96">
        <f>INPUT!CO107</f>
        <v>276.89999999999998</v>
      </c>
      <c r="CE198" s="18">
        <f>INPUT!CP107</f>
        <v>6.3772570111409799</v>
      </c>
      <c r="CF198" s="96">
        <f>INPUT!CQ107</f>
        <v>276.10000000000002</v>
      </c>
      <c r="CG198" s="18">
        <f>INPUT!CR107</f>
        <v>5.6639877535400007</v>
      </c>
      <c r="CH198" s="96">
        <f>INPUT!CS107</f>
        <v>272.89999999999998</v>
      </c>
      <c r="CI198" s="18">
        <f>INPUT!CT107</f>
        <v>4.880860876249038</v>
      </c>
      <c r="CJ198" s="96">
        <f>INPUT!CU107</f>
        <v>277.7</v>
      </c>
      <c r="CK198" s="18">
        <f>INPUT!CV107</f>
        <v>5.6295169265880629</v>
      </c>
      <c r="CL198" s="96">
        <f>INPUT!CW107</f>
        <v>282.89999999999998</v>
      </c>
      <c r="CM198" s="18">
        <f>INPUT!CX107</f>
        <v>2.1668472372697645</v>
      </c>
      <c r="CN198" s="96">
        <f>INPUT!CY107</f>
        <v>273.8</v>
      </c>
      <c r="CO198" s="18">
        <f>INPUT!CZ107</f>
        <v>-0.83303151032234624</v>
      </c>
      <c r="CP198" s="96">
        <f>INPUT!DA107</f>
        <v>274.39999999999998</v>
      </c>
      <c r="CQ198" s="18">
        <f>INPUT!DB107</f>
        <v>0.54965188713813617</v>
      </c>
      <c r="CR198" s="96">
        <f>INPUT!DC107</f>
        <v>277</v>
      </c>
      <c r="CS198" s="18">
        <f>INPUT!DD107</f>
        <v>-0.25207057976233127</v>
      </c>
      <c r="CT198" s="96">
        <f>INPUT!DE107</f>
        <v>291.2</v>
      </c>
      <c r="CU198" s="18">
        <f>INPUT!DF107</f>
        <v>2.9338989042064334</v>
      </c>
      <c r="CV198" s="96">
        <f>INPUT!DG107</f>
        <v>289.39999999999998</v>
      </c>
      <c r="CW198" s="18">
        <f>INPUT!DH107</f>
        <v>5.6975894813732442</v>
      </c>
      <c r="CX198" s="96">
        <f>INPUT!DI107</f>
        <v>288.39999999999998</v>
      </c>
      <c r="CY198" s="18">
        <f>INPUT!DJ107</f>
        <v>5.1020408163265252</v>
      </c>
      <c r="CZ198" s="96">
        <f>INPUT!DK107</f>
        <v>290.89999999999998</v>
      </c>
      <c r="DA198" s="18">
        <f>INPUT!DL107</f>
        <v>5.018050541516228</v>
      </c>
      <c r="DB198" s="96">
        <f>INPUT!DM107</f>
        <v>309.60000000000002</v>
      </c>
      <c r="DC198" s="18">
        <f>INPUT!DN107</f>
        <v>6.3186813186813406</v>
      </c>
      <c r="DD198" s="96">
        <f>INPUT!DO107</f>
        <v>306.10000000000002</v>
      </c>
      <c r="DE198" s="18">
        <f>INPUT!DP107</f>
        <v>5.7705597788528129</v>
      </c>
      <c r="DF198" s="96">
        <f>INPUT!DQ107</f>
        <v>305.7</v>
      </c>
      <c r="DG198" s="18">
        <f>INPUT!DR107</f>
        <v>5.9986130374479973</v>
      </c>
      <c r="DH198" s="96">
        <f>INPUT!DS107</f>
        <v>307.39999999999998</v>
      </c>
      <c r="DI198" s="18">
        <f>INPUT!DT107</f>
        <v>5.6720522516328531</v>
      </c>
      <c r="DJ198" s="96">
        <f>INPUT!DU107</f>
        <v>327.10000000000002</v>
      </c>
      <c r="DK198" s="18">
        <f>INPUT!DV107</f>
        <v>5.6524547803617597</v>
      </c>
      <c r="DL198" s="96">
        <f>INPUT!DW107</f>
        <v>326.7</v>
      </c>
      <c r="DM198" s="18">
        <f>INPUT!DX107</f>
        <v>6.7298268539692785</v>
      </c>
      <c r="DN198" s="96">
        <f>INPUT!DY107</f>
        <v>342.7</v>
      </c>
      <c r="DO198" s="18">
        <f>INPUT!DZ107</f>
        <v>12.103369316323187</v>
      </c>
      <c r="DP198" s="96">
        <f>INPUT!EA107</f>
        <v>341.4</v>
      </c>
      <c r="DQ198" s="18">
        <f>INPUT!EB107</f>
        <v>11.060507482108006</v>
      </c>
      <c r="DR198" s="96">
        <f>INPUT!EC107</f>
        <v>363.7</v>
      </c>
      <c r="DS198" s="18">
        <f>INPUT!ED107</f>
        <v>11.189238764903697</v>
      </c>
      <c r="DT198" s="96">
        <f>INPUT!EE107</f>
        <v>361.1</v>
      </c>
      <c r="DU198" s="18">
        <f>INPUT!EF107</f>
        <v>10.529537802265088</v>
      </c>
      <c r="DV198" s="96">
        <f>INPUT!EG107</f>
        <v>357.4</v>
      </c>
      <c r="DW198" s="18">
        <f>INPUT!EH107</f>
        <v>4.2894660052523959</v>
      </c>
      <c r="DX198" s="96">
        <f>INPUT!EI107</f>
        <v>356.9</v>
      </c>
      <c r="DY198" s="18">
        <f>INPUT!EJ107</f>
        <v>4.5401288810779095</v>
      </c>
      <c r="DZ198" s="96">
        <f>INPUT!EK107</f>
        <v>363.32419999999996</v>
      </c>
      <c r="EA198" s="18">
        <f>INPUT!EL107</f>
        <v>-0.10332691778939251</v>
      </c>
      <c r="EB198" s="96">
        <f>INPUT!EM107</f>
        <v>369.86403559999997</v>
      </c>
      <c r="EC198" s="18">
        <f>INPUT!EN107</f>
        <v>2.4270383827194486</v>
      </c>
      <c r="ED198" s="96">
        <f>INPUT!EO107</f>
        <v>376.52158824079999</v>
      </c>
      <c r="EE198" s="18">
        <f>INPUT!EP107</f>
        <v>5.3501925687744922</v>
      </c>
      <c r="EF198" s="96">
        <f>INPUT!EQ107</f>
        <v>382.16941206441197</v>
      </c>
      <c r="EG198" s="18">
        <f>INPUT!ER107</f>
        <v>7.0802499480000058</v>
      </c>
      <c r="EH198" s="18"/>
      <c r="EI198" s="96">
        <f>INPUT!FB107</f>
        <v>0</v>
      </c>
      <c r="EJ198" s="399">
        <f>INPUT!FC107</f>
        <v>0</v>
      </c>
      <c r="EK198" s="96">
        <f>INPUT!FD107</f>
        <v>902.6</v>
      </c>
      <c r="EL198" s="399" t="str">
        <f>INPUT!FE107</f>
        <v>NA</v>
      </c>
      <c r="EM198" s="96">
        <f>INPUT!FF107</f>
        <v>1057.4000000000001</v>
      </c>
      <c r="EN198" s="399">
        <f>INPUT!FG107</f>
        <v>17.150454243297155</v>
      </c>
      <c r="EO198" s="96">
        <f>INPUT!FH107</f>
        <v>1153.5</v>
      </c>
      <c r="EP198" s="399">
        <f>INPUT!FI107</f>
        <v>9.0883298657083333</v>
      </c>
      <c r="EQ198" s="96">
        <f>INPUT!FJ107</f>
        <v>1237.9000000000001</v>
      </c>
      <c r="ER198" s="18">
        <f>INPUT!FK107</f>
        <v>7.3168617251842205</v>
      </c>
      <c r="ES198" s="96">
        <f>INPUT!FL107</f>
        <v>1312.8000000000002</v>
      </c>
      <c r="ET198" s="18">
        <f>INPUT!FM107</f>
        <v>6.0505695128847403</v>
      </c>
      <c r="EU198" s="96">
        <f>INPUT!FN107</f>
        <v>1394.2999999999997</v>
      </c>
      <c r="EV198" s="18">
        <f>INPUT!FO107</f>
        <v>6.2081048141376938</v>
      </c>
      <c r="EW198" s="96">
        <f>INPUT!FP107</f>
        <v>1498.9999999999998</v>
      </c>
      <c r="EX198" s="18">
        <f>INPUT!FQ107</f>
        <v>7.5091443735207708</v>
      </c>
      <c r="EY198" s="96">
        <f>INPUT!FR107</f>
        <v>956.1</v>
      </c>
      <c r="EZ198" s="18">
        <f>INPUT!FS107</f>
        <v>-36.217478318879238</v>
      </c>
      <c r="FA198" s="96">
        <f>INPUT!FT107</f>
        <v>988.7</v>
      </c>
      <c r="FB198" s="18">
        <f>INPUT!FU107</f>
        <v>3.4096851793745442</v>
      </c>
      <c r="FC198" s="96">
        <f>INPUT!FV107</f>
        <v>1044.6999999999998</v>
      </c>
      <c r="FD198" s="18">
        <f>INPUT!FW107</f>
        <v>5.6640032365732562</v>
      </c>
      <c r="FE198" s="96">
        <f>INPUT!FX107</f>
        <v>1103.5999999999999</v>
      </c>
      <c r="FF198" s="18">
        <f>INPUT!FY107</f>
        <v>5.6379821958457033</v>
      </c>
      <c r="FG198" s="96">
        <f>INPUT!FZ107</f>
        <v>1108.0999999999999</v>
      </c>
      <c r="FH198" s="18">
        <f>INPUT!GA107</f>
        <v>0.40775643349040269</v>
      </c>
      <c r="FI198" s="96">
        <f>INPUT!GB107</f>
        <v>1159.8999999999999</v>
      </c>
      <c r="FJ198" s="18">
        <f>INPUT!GC107</f>
        <v>4.6746683512318254</v>
      </c>
      <c r="FK198" s="96">
        <f>INPUT!GD107</f>
        <v>1228.8000000000002</v>
      </c>
      <c r="FL198" s="18">
        <f>INPUT!GE107</f>
        <v>5.9401672557979346</v>
      </c>
      <c r="FM198" s="96">
        <f>INPUT!GF107</f>
        <v>1337.9</v>
      </c>
      <c r="FN198" s="18">
        <f>INPUT!GG107</f>
        <v>8.8785807291666519</v>
      </c>
      <c r="FO198" s="96">
        <f>INPUT!GH107</f>
        <v>1439.1</v>
      </c>
      <c r="FP198" s="18">
        <f>INPUT!GI107</f>
        <v>7.5640929815382174</v>
      </c>
      <c r="FQ198" s="96">
        <f>INPUT!GJ107</f>
        <v>1491.8792359052118</v>
      </c>
      <c r="FR198" s="18">
        <f>INPUT!GK107</f>
        <v>3.6675169137107888</v>
      </c>
      <c r="FS198" s="96">
        <f>INPUT!GL107</f>
        <v>1566.4731977004724</v>
      </c>
      <c r="FT198" s="18">
        <f>INPUT!GM107</f>
        <v>5.0000000000000044</v>
      </c>
      <c r="FU198" s="96">
        <f>INPUT!GN107</f>
        <v>1644.7968575854961</v>
      </c>
      <c r="FV198" s="18">
        <f>INPUT!GO107</f>
        <v>5.0000000000000044</v>
      </c>
      <c r="FW198" s="96">
        <f>INPUT!GP107</f>
        <v>1727.036700464771</v>
      </c>
      <c r="FX198" s="18">
        <f>INPUT!GQ107</f>
        <v>5.0000000000000044</v>
      </c>
      <c r="FY198" s="96">
        <f>INPUT!GR107</f>
        <v>1813.3885354880097</v>
      </c>
      <c r="FZ198" s="18">
        <f>INPUT!GS107</f>
        <v>5.0000000000000044</v>
      </c>
      <c r="GA198" s="399">
        <f>INPUT!GT107</f>
        <v>4.7321402196822682</v>
      </c>
    </row>
    <row r="199" spans="1:183" ht="12.75" hidden="1" customHeight="1" outlineLevel="1" x14ac:dyDescent="0.2">
      <c r="A199" s="612" t="str">
        <f>INPUT!B108</f>
        <v>Net Investment Income</v>
      </c>
      <c r="B199" s="96"/>
      <c r="C199" s="399"/>
      <c r="D199" s="96"/>
      <c r="E199" s="399"/>
      <c r="F199" s="96"/>
      <c r="G199" s="399"/>
      <c r="H199" s="96"/>
      <c r="I199" s="399"/>
      <c r="J199" s="96"/>
      <c r="K199" s="399"/>
      <c r="L199" s="96"/>
      <c r="M199" s="399"/>
      <c r="N199" s="96"/>
      <c r="O199" s="399"/>
      <c r="P199" s="96"/>
      <c r="Q199" s="399"/>
      <c r="R199" s="96">
        <f>INPUT!AC108</f>
        <v>54.499999999999993</v>
      </c>
      <c r="S199" s="399" t="str">
        <f>INPUT!AD108</f>
        <v>NA</v>
      </c>
      <c r="T199" s="96">
        <f>INPUT!AE108</f>
        <v>54.6</v>
      </c>
      <c r="U199" s="399" t="str">
        <f>INPUT!AF108</f>
        <v>NA</v>
      </c>
      <c r="V199" s="96">
        <f>INPUT!AG108</f>
        <v>52.8</v>
      </c>
      <c r="W199" s="399" t="str">
        <f>INPUT!AH108</f>
        <v>NA</v>
      </c>
      <c r="X199" s="96">
        <f>INPUT!AI108</f>
        <v>60.200000000000024</v>
      </c>
      <c r="Y199" s="399" t="str">
        <f>INPUT!AJ108</f>
        <v>NA</v>
      </c>
      <c r="Z199" s="96">
        <f>INPUT!AK108</f>
        <v>55.500000000000007</v>
      </c>
      <c r="AA199" s="399">
        <f>INPUT!AL108</f>
        <v>1.8348623853211343</v>
      </c>
      <c r="AB199" s="96">
        <f>INPUT!AM108</f>
        <v>59.4</v>
      </c>
      <c r="AC199" s="399">
        <f>INPUT!AN108</f>
        <v>8.7912087912087813</v>
      </c>
      <c r="AD199" s="96">
        <f>INPUT!AO108</f>
        <v>60.3</v>
      </c>
      <c r="AE199" s="399">
        <f>INPUT!AP108</f>
        <v>14.204545454545459</v>
      </c>
      <c r="AF199" s="96">
        <f>INPUT!AQ108</f>
        <v>65.400000000000006</v>
      </c>
      <c r="AG199" s="399">
        <f>INPUT!AR108</f>
        <v>8.6378737541527926</v>
      </c>
      <c r="AH199" s="96">
        <f>INPUT!AS108</f>
        <v>69.3</v>
      </c>
      <c r="AI199" s="399">
        <f>INPUT!AT108</f>
        <v>24.864864864864835</v>
      </c>
      <c r="AJ199" s="96">
        <f>INPUT!AU108</f>
        <v>73.099999999999994</v>
      </c>
      <c r="AK199" s="399">
        <f>INPUT!AV108</f>
        <v>23.063973063973052</v>
      </c>
      <c r="AL199" s="96">
        <f>INPUT!AW108</f>
        <v>76.900000000000006</v>
      </c>
      <c r="AM199" s="399">
        <f>INPUT!AX108</f>
        <v>27.529021558872312</v>
      </c>
      <c r="AN199" s="96">
        <f>INPUT!AY108</f>
        <v>80.599999999999994</v>
      </c>
      <c r="AO199" s="18">
        <f>INPUT!AZ108</f>
        <v>23.241590214067266</v>
      </c>
      <c r="AP199" s="96">
        <f>INPUT!BA108</f>
        <v>80.7</v>
      </c>
      <c r="AQ199" s="18">
        <f>INPUT!BB108</f>
        <v>16.450216450216448</v>
      </c>
      <c r="AR199" s="96">
        <f>INPUT!BC108</f>
        <v>79.399999999999991</v>
      </c>
      <c r="AS199" s="18">
        <f>INPUT!BD108</f>
        <v>8.618331053351568</v>
      </c>
      <c r="AT199" s="96">
        <f>INPUT!BE108</f>
        <v>82.300000000000011</v>
      </c>
      <c r="AU199" s="18">
        <f>INPUT!BF108</f>
        <v>7.0221066319896108</v>
      </c>
      <c r="AV199" s="96">
        <f>INPUT!BG108</f>
        <v>88</v>
      </c>
      <c r="AW199" s="18">
        <f>INPUT!BH108</f>
        <v>9.1811414392059643</v>
      </c>
      <c r="AX199" s="96">
        <f>INPUT!BI108</f>
        <v>87.899999999999991</v>
      </c>
      <c r="AY199" s="18">
        <f>INPUT!BJ108</f>
        <v>8.9219330855018431</v>
      </c>
      <c r="AZ199" s="96">
        <f>INPUT!BK108</f>
        <v>93.899999999999991</v>
      </c>
      <c r="BA199" s="18">
        <f>INPUT!BL108</f>
        <v>18.261964735516379</v>
      </c>
      <c r="BB199" s="96">
        <f>INPUT!BM108</f>
        <v>96.199999999999989</v>
      </c>
      <c r="BC199" s="18">
        <f>INPUT!BN108</f>
        <v>16.88942891859049</v>
      </c>
      <c r="BD199" s="96">
        <f>INPUT!BO108</f>
        <v>101.1</v>
      </c>
      <c r="BE199" s="18">
        <f>INPUT!BP108</f>
        <v>14.886363636363619</v>
      </c>
      <c r="BF199" s="96">
        <f>INPUT!BQ108</f>
        <v>103.8</v>
      </c>
      <c r="BG199" s="18">
        <f>INPUT!BR108</f>
        <v>18.088737201365191</v>
      </c>
      <c r="BH199" s="96">
        <f>INPUT!BS108</f>
        <v>110.4</v>
      </c>
      <c r="BI199" s="18">
        <f>INPUT!BT108</f>
        <v>17.571884984025576</v>
      </c>
      <c r="BJ199" s="96">
        <f>INPUT!BU108</f>
        <v>113.5</v>
      </c>
      <c r="BK199" s="18">
        <f>INPUT!BV108</f>
        <v>17.983367983367991</v>
      </c>
      <c r="BL199" s="96">
        <f>INPUT!BW108</f>
        <v>116.9</v>
      </c>
      <c r="BM199" s="18">
        <f>INPUT!BX108</f>
        <v>15.628090999010901</v>
      </c>
      <c r="BN199" s="96">
        <f>INPUT!BY108</f>
        <v>46.2</v>
      </c>
      <c r="BO199" s="18" t="str">
        <f>INPUT!BZ108</f>
        <v>NM</v>
      </c>
      <c r="BP199" s="96">
        <f>INPUT!CA108</f>
        <v>50.4</v>
      </c>
      <c r="BQ199" s="18" t="str">
        <f>INPUT!CB108</f>
        <v>NM</v>
      </c>
      <c r="BR199" s="96">
        <f>INPUT!CC108</f>
        <v>49.4</v>
      </c>
      <c r="BS199" s="18" t="str">
        <f>INPUT!CD108</f>
        <v>NM</v>
      </c>
      <c r="BT199" s="96">
        <f>INPUT!CE108</f>
        <v>51.3</v>
      </c>
      <c r="BU199" s="18" t="str">
        <f>INPUT!CF108</f>
        <v>NM</v>
      </c>
      <c r="BV199" s="96">
        <f>INPUT!CG108</f>
        <v>51.8</v>
      </c>
      <c r="BW199" s="18">
        <f>INPUT!CH108</f>
        <v>12.12121212121211</v>
      </c>
      <c r="BX199" s="96">
        <f>INPUT!CI108</f>
        <v>51.7</v>
      </c>
      <c r="BY199" s="18">
        <f>INPUT!CJ108</f>
        <v>2.5793650793650924</v>
      </c>
      <c r="BZ199" s="96">
        <f>INPUT!CK108</f>
        <v>53.3</v>
      </c>
      <c r="CA199" s="18">
        <f>INPUT!CL108</f>
        <v>7.8947368421052655</v>
      </c>
      <c r="CB199" s="96">
        <f>INPUT!CM108</f>
        <v>54.1</v>
      </c>
      <c r="CC199" s="18">
        <f>INPUT!CN108</f>
        <v>5.4580896686159841</v>
      </c>
      <c r="CD199" s="96">
        <f>INPUT!CO108</f>
        <v>56.3</v>
      </c>
      <c r="CE199" s="18">
        <f>INPUT!CP108</f>
        <v>8.6872586872586801</v>
      </c>
      <c r="CF199" s="96">
        <f>INPUT!CQ108</f>
        <v>56.7</v>
      </c>
      <c r="CG199" s="18">
        <f>INPUT!CR108</f>
        <v>9.6711798839458361</v>
      </c>
      <c r="CH199" s="96">
        <f>INPUT!CS108</f>
        <v>57.5</v>
      </c>
      <c r="CI199" s="18">
        <f>INPUT!CT108</f>
        <v>7.879924953095685</v>
      </c>
      <c r="CJ199" s="96">
        <f>INPUT!CU108</f>
        <v>58</v>
      </c>
      <c r="CK199" s="18">
        <f>INPUT!CV108</f>
        <v>7.2088724584103536</v>
      </c>
      <c r="CL199" s="96">
        <f>INPUT!CW108</f>
        <v>57.2</v>
      </c>
      <c r="CM199" s="18">
        <f>INPUT!CX108</f>
        <v>1.598579040852588</v>
      </c>
      <c r="CN199" s="96">
        <f>INPUT!CY108</f>
        <v>57.6</v>
      </c>
      <c r="CO199" s="18">
        <f>INPUT!CZ108</f>
        <v>1.5873015873015817</v>
      </c>
      <c r="CP199" s="96">
        <f>INPUT!DA108</f>
        <v>58.2</v>
      </c>
      <c r="CQ199" s="18">
        <f>INPUT!DB108</f>
        <v>1.2173913043478368</v>
      </c>
      <c r="CR199" s="96">
        <f>INPUT!DC108</f>
        <v>59.9</v>
      </c>
      <c r="CS199" s="18">
        <f>INPUT!DD108</f>
        <v>3.2758620689655071</v>
      </c>
      <c r="CT199" s="96">
        <f>INPUT!DE108</f>
        <v>57.5</v>
      </c>
      <c r="CU199" s="18">
        <f>INPUT!DF108</f>
        <v>0.52447552447552059</v>
      </c>
      <c r="CV199" s="96">
        <f>INPUT!DG108</f>
        <v>57.5</v>
      </c>
      <c r="CW199" s="18">
        <f>INPUT!DH108</f>
        <v>-0.17361111111111605</v>
      </c>
      <c r="CX199" s="96">
        <f>INPUT!DI108</f>
        <v>55.8</v>
      </c>
      <c r="CY199" s="18">
        <f>INPUT!DJ108</f>
        <v>-4.1237113402061931</v>
      </c>
      <c r="CZ199" s="96">
        <f>INPUT!DK108</f>
        <v>57</v>
      </c>
      <c r="DA199" s="18">
        <f>INPUT!DL108</f>
        <v>-4.8414023372287174</v>
      </c>
      <c r="DB199" s="96">
        <f>INPUT!DM108</f>
        <v>56.5</v>
      </c>
      <c r="DC199" s="18">
        <f>INPUT!DN108</f>
        <v>-1.7391304347826098</v>
      </c>
      <c r="DD199" s="96">
        <f>INPUT!DO108</f>
        <v>56.7</v>
      </c>
      <c r="DE199" s="18">
        <f>INPUT!DP108</f>
        <v>-1.3913043478260834</v>
      </c>
      <c r="DF199" s="96">
        <f>INPUT!DQ108</f>
        <v>57.9</v>
      </c>
      <c r="DG199" s="18">
        <f>INPUT!DR108</f>
        <v>3.7634408602150504</v>
      </c>
      <c r="DH199" s="96">
        <f>INPUT!DS108</f>
        <v>62.6</v>
      </c>
      <c r="DI199" s="18">
        <f>INPUT!DT108</f>
        <v>9.8245614035087812</v>
      </c>
      <c r="DJ199" s="96">
        <f>INPUT!DU108</f>
        <v>58.1</v>
      </c>
      <c r="DK199" s="18">
        <f>INPUT!DV108</f>
        <v>2.831858407079646</v>
      </c>
      <c r="DL199" s="96">
        <f>INPUT!DW108</f>
        <v>59</v>
      </c>
      <c r="DM199" s="18">
        <f>INPUT!DX108</f>
        <v>4.0564373897707284</v>
      </c>
      <c r="DN199" s="96">
        <f>INPUT!DY108</f>
        <v>59.1</v>
      </c>
      <c r="DO199" s="18">
        <f>INPUT!DZ108</f>
        <v>2.0725388601036343</v>
      </c>
      <c r="DP199" s="96">
        <f>INPUT!EA108</f>
        <v>59.6</v>
      </c>
      <c r="DQ199" s="18">
        <f>INPUT!EB108</f>
        <v>-4.7923322683706022</v>
      </c>
      <c r="DR199" s="96">
        <f>INPUT!EC108</f>
        <v>59.4</v>
      </c>
      <c r="DS199" s="18">
        <f>INPUT!ED108</f>
        <v>2.2375215146299476</v>
      </c>
      <c r="DT199" s="96">
        <f>INPUT!EE108</f>
        <v>59.7</v>
      </c>
      <c r="DU199" s="18">
        <f>INPUT!EF108</f>
        <v>1.1864406779661163</v>
      </c>
      <c r="DV199" s="96">
        <f>INPUT!EG108</f>
        <v>60</v>
      </c>
      <c r="DW199" s="18">
        <f>INPUT!EH108</f>
        <v>1.5228426395939021</v>
      </c>
      <c r="DX199" s="96">
        <f>INPUT!EI108</f>
        <v>61.7</v>
      </c>
      <c r="DY199" s="18">
        <f>INPUT!EJ108</f>
        <v>3.5234899328859148</v>
      </c>
      <c r="DZ199" s="96">
        <f>INPUT!EK108</f>
        <v>62.317</v>
      </c>
      <c r="EA199" s="18">
        <f>INPUT!EL108</f>
        <v>4.91077441077441</v>
      </c>
      <c r="EB199" s="96">
        <f>INPUT!EM108</f>
        <v>62.940170000000002</v>
      </c>
      <c r="EC199" s="18">
        <f>INPUT!EN108</f>
        <v>5.4274204355108768</v>
      </c>
      <c r="ED199" s="96">
        <f>INPUT!EO108</f>
        <v>63.569571700000004</v>
      </c>
      <c r="EE199" s="18">
        <f>INPUT!EP108</f>
        <v>5.9492861666666785</v>
      </c>
      <c r="EF199" s="96">
        <f>INPUT!EQ108</f>
        <v>63.8874195585</v>
      </c>
      <c r="EG199" s="18">
        <f>INPUT!ER108</f>
        <v>3.5452504999999856</v>
      </c>
      <c r="EH199" s="18"/>
      <c r="EI199" s="96">
        <f>INPUT!FB108</f>
        <v>0</v>
      </c>
      <c r="EJ199" s="399">
        <f>INPUT!FC108</f>
        <v>0</v>
      </c>
      <c r="EK199" s="96">
        <f>INPUT!FD108</f>
        <v>174.4</v>
      </c>
      <c r="EL199" s="399" t="str">
        <f>INPUT!FE108</f>
        <v>NA</v>
      </c>
      <c r="EM199" s="96">
        <f>INPUT!FF108</f>
        <v>219.3</v>
      </c>
      <c r="EN199" s="399">
        <f>INPUT!FG108</f>
        <v>25.745412844036707</v>
      </c>
      <c r="EO199" s="96">
        <f>INPUT!FH108</f>
        <v>222.1</v>
      </c>
      <c r="EP199" s="399">
        <f>INPUT!FI108</f>
        <v>1.276789785681709</v>
      </c>
      <c r="EQ199" s="96">
        <f>INPUT!FJ108</f>
        <v>240.6</v>
      </c>
      <c r="ER199" s="18">
        <f>INPUT!FK108</f>
        <v>8.3295812696983376</v>
      </c>
      <c r="ES199" s="96">
        <f>INPUT!FL108</f>
        <v>299.89999999999998</v>
      </c>
      <c r="ET199" s="18">
        <f>INPUT!FM108</f>
        <v>24.646716541978385</v>
      </c>
      <c r="EU199" s="96">
        <f>INPUT!FN108</f>
        <v>330.4</v>
      </c>
      <c r="EV199" s="18">
        <f>INPUT!FO108</f>
        <v>10.170056685561857</v>
      </c>
      <c r="EW199" s="96">
        <f>INPUT!FP108</f>
        <v>379.1</v>
      </c>
      <c r="EX199" s="18">
        <f>INPUT!FQ108</f>
        <v>14.739709443099279</v>
      </c>
      <c r="EY199" s="96">
        <f>INPUT!FR108</f>
        <v>178.4</v>
      </c>
      <c r="EZ199" s="18" t="str">
        <f>INPUT!FS108</f>
        <v>NM</v>
      </c>
      <c r="FA199" s="96">
        <f>INPUT!FT108</f>
        <v>197.3</v>
      </c>
      <c r="FB199" s="18">
        <f>INPUT!FU108</f>
        <v>10.594170403587455</v>
      </c>
      <c r="FC199" s="96">
        <f>INPUT!FV108</f>
        <v>210.9</v>
      </c>
      <c r="FD199" s="18">
        <f>INPUT!FW108</f>
        <v>6.893056259503294</v>
      </c>
      <c r="FE199" s="96">
        <f>INPUT!FX108</f>
        <v>227</v>
      </c>
      <c r="FF199" s="18">
        <f>INPUT!FY108</f>
        <v>7.6339497392128974</v>
      </c>
      <c r="FG199" s="96">
        <f>INPUT!FZ108</f>
        <v>232.9</v>
      </c>
      <c r="FH199" s="18">
        <f>INPUT!GA108</f>
        <v>2.5991189427312822</v>
      </c>
      <c r="FI199" s="96">
        <f>INPUT!GB108</f>
        <v>227.8</v>
      </c>
      <c r="FJ199" s="18">
        <f>INPUT!GC108</f>
        <v>-2.1897810218978075</v>
      </c>
      <c r="FK199" s="96">
        <f>INPUT!GD108</f>
        <v>233.7</v>
      </c>
      <c r="FL199" s="18">
        <f>INPUT!GE108</f>
        <v>2.589991220368737</v>
      </c>
      <c r="FM199" s="96">
        <f>INPUT!GF108</f>
        <v>235.79999999999998</v>
      </c>
      <c r="FN199" s="18">
        <f>INPUT!GG108</f>
        <v>0.89858793324775199</v>
      </c>
      <c r="FO199" s="96">
        <f>INPUT!GH108</f>
        <v>240.8</v>
      </c>
      <c r="FP199" s="18">
        <f>INPUT!GI108</f>
        <v>2.120441051738764</v>
      </c>
      <c r="FQ199" s="96">
        <f>INPUT!GJ108</f>
        <v>252.71416125850001</v>
      </c>
      <c r="FR199" s="18">
        <f>INPUT!GK108</f>
        <v>4.947741386420268</v>
      </c>
      <c r="FS199" s="96">
        <f>INPUT!GL108</f>
        <v>260.29558609625502</v>
      </c>
      <c r="FT199" s="18">
        <f>INPUT!GM108</f>
        <v>3.0000000000000027</v>
      </c>
      <c r="FU199" s="96">
        <f>INPUT!GN108</f>
        <v>268.10445367914269</v>
      </c>
      <c r="FV199" s="18">
        <f>INPUT!GO108</f>
        <v>3.0000000000000027</v>
      </c>
      <c r="FW199" s="96">
        <f>INPUT!GP108</f>
        <v>276.14758728951699</v>
      </c>
      <c r="FX199" s="18">
        <f>INPUT!GQ108</f>
        <v>3.0000000000000027</v>
      </c>
      <c r="FY199" s="96">
        <f>INPUT!GR108</f>
        <v>284.43201490820252</v>
      </c>
      <c r="FZ199" s="18">
        <f>INPUT!GS108</f>
        <v>3.0000000000000027</v>
      </c>
      <c r="GA199" s="399">
        <f>INPUT!GT108</f>
        <v>3.3866347124839491</v>
      </c>
    </row>
    <row r="200" spans="1:183" ht="12.75" hidden="1" customHeight="1" outlineLevel="1" x14ac:dyDescent="0.2">
      <c r="A200" s="612" t="str">
        <f>INPUT!B109</f>
        <v>Other Income</v>
      </c>
      <c r="B200" s="96"/>
      <c r="C200" s="399"/>
      <c r="D200" s="96"/>
      <c r="E200" s="399"/>
      <c r="F200" s="96"/>
      <c r="G200" s="399"/>
      <c r="H200" s="96"/>
      <c r="I200" s="399"/>
      <c r="J200" s="96"/>
      <c r="K200" s="399"/>
      <c r="L200" s="96"/>
      <c r="M200" s="399"/>
      <c r="N200" s="96"/>
      <c r="O200" s="399"/>
      <c r="P200" s="96"/>
      <c r="Q200" s="399"/>
      <c r="R200" s="96">
        <f>INPUT!AC109</f>
        <v>5.3000000000000007</v>
      </c>
      <c r="S200" s="399" t="str">
        <f>INPUT!AD109</f>
        <v>NA</v>
      </c>
      <c r="T200" s="96">
        <f>INPUT!AE109</f>
        <v>4</v>
      </c>
      <c r="U200" s="399" t="str">
        <f>INPUT!AF109</f>
        <v>NA</v>
      </c>
      <c r="V200" s="96">
        <f>INPUT!AG109</f>
        <v>5.3</v>
      </c>
      <c r="W200" s="399" t="str">
        <f>INPUT!AH109</f>
        <v>NA</v>
      </c>
      <c r="X200" s="96">
        <f>INPUT!AI109</f>
        <v>6.1999999999999993</v>
      </c>
      <c r="Y200" s="399" t="str">
        <f>INPUT!AJ109</f>
        <v>NA</v>
      </c>
      <c r="Z200" s="96">
        <f>INPUT!AK109</f>
        <v>6.6</v>
      </c>
      <c r="AA200" s="399">
        <f>INPUT!AL109</f>
        <v>24.528301886792427</v>
      </c>
      <c r="AB200" s="96">
        <f>INPUT!AM109</f>
        <v>6.5</v>
      </c>
      <c r="AC200" s="399">
        <f>INPUT!AN109</f>
        <v>62.5</v>
      </c>
      <c r="AD200" s="96">
        <f>INPUT!AO109</f>
        <v>6.2</v>
      </c>
      <c r="AE200" s="399">
        <f>INPUT!AP109</f>
        <v>16.981132075471695</v>
      </c>
      <c r="AF200" s="96">
        <f>INPUT!AQ109</f>
        <v>7</v>
      </c>
      <c r="AG200" s="399">
        <f>INPUT!AR109</f>
        <v>12.903225806451623</v>
      </c>
      <c r="AH200" s="96">
        <f>INPUT!AS109</f>
        <v>5.9</v>
      </c>
      <c r="AI200" s="399">
        <f>INPUT!AT109</f>
        <v>-10.606060606060597</v>
      </c>
      <c r="AJ200" s="96">
        <f>INPUT!AU109</f>
        <v>6.7</v>
      </c>
      <c r="AK200" s="399">
        <f>INPUT!AV109</f>
        <v>3.0769230769230882</v>
      </c>
      <c r="AL200" s="96">
        <f>INPUT!AW109</f>
        <v>6.5</v>
      </c>
      <c r="AM200" s="399">
        <f>INPUT!AX109</f>
        <v>4.8387096774193505</v>
      </c>
      <c r="AN200" s="96">
        <f>INPUT!AY109</f>
        <v>7.1</v>
      </c>
      <c r="AO200" s="18">
        <f>INPUT!AZ109</f>
        <v>1.4285714285714235</v>
      </c>
      <c r="AP200" s="96">
        <f>INPUT!BA109</f>
        <v>9.4</v>
      </c>
      <c r="AQ200" s="18">
        <f>INPUT!BB109</f>
        <v>59.322033898305079</v>
      </c>
      <c r="AR200" s="96">
        <f>INPUT!BC109</f>
        <v>9.3000000000000007</v>
      </c>
      <c r="AS200" s="18">
        <f>INPUT!BD109</f>
        <v>38.805970149253731</v>
      </c>
      <c r="AT200" s="96">
        <f>INPUT!BE109</f>
        <v>7.7</v>
      </c>
      <c r="AU200" s="18">
        <f>INPUT!BF109</f>
        <v>18.461538461538463</v>
      </c>
      <c r="AV200" s="96">
        <f>INPUT!BG109</f>
        <v>6.7</v>
      </c>
      <c r="AW200" s="18">
        <f>INPUT!BH109</f>
        <v>-5.6338028169014009</v>
      </c>
      <c r="AX200" s="96">
        <f>INPUT!BI109</f>
        <v>7.7</v>
      </c>
      <c r="AY200" s="18">
        <f>INPUT!BJ109</f>
        <v>-18.085106382978722</v>
      </c>
      <c r="AZ200" s="96">
        <f>INPUT!BK109</f>
        <v>7.4</v>
      </c>
      <c r="BA200" s="18">
        <f>INPUT!BL109</f>
        <v>-20.430107526881724</v>
      </c>
      <c r="BB200" s="96">
        <f>INPUT!BM109</f>
        <v>7.4</v>
      </c>
      <c r="BC200" s="18">
        <f>INPUT!BN109</f>
        <v>-3.8961038961038974</v>
      </c>
      <c r="BD200" s="96">
        <f>INPUT!BO109</f>
        <v>7.7</v>
      </c>
      <c r="BE200" s="18">
        <f>INPUT!BP109</f>
        <v>14.925373134328357</v>
      </c>
      <c r="BF200" s="96">
        <f>INPUT!BQ109</f>
        <v>7.7</v>
      </c>
      <c r="BG200" s="18">
        <f>INPUT!BR109</f>
        <v>0</v>
      </c>
      <c r="BH200" s="96">
        <f>INPUT!BS109</f>
        <v>7.6</v>
      </c>
      <c r="BI200" s="18">
        <f>INPUT!BT109</f>
        <v>2.7027027027026973</v>
      </c>
      <c r="BJ200" s="96">
        <f>INPUT!BU109</f>
        <v>6.4</v>
      </c>
      <c r="BK200" s="18">
        <f>INPUT!BV109</f>
        <v>-13.513513513513509</v>
      </c>
      <c r="BL200" s="96">
        <f>INPUT!BW109</f>
        <v>6.2</v>
      </c>
      <c r="BM200" s="18">
        <f>INPUT!BX109</f>
        <v>-19.480519480519476</v>
      </c>
      <c r="BN200" s="96">
        <f>INPUT!BY109</f>
        <v>7.7</v>
      </c>
      <c r="BO200" s="18">
        <f>INPUT!BZ109</f>
        <v>0</v>
      </c>
      <c r="BP200" s="96">
        <f>INPUT!CA109</f>
        <v>8.4</v>
      </c>
      <c r="BQ200" s="18">
        <f>INPUT!CB109</f>
        <v>10.526315789473696</v>
      </c>
      <c r="BR200" s="96">
        <f>INPUT!CC109</f>
        <v>7.5</v>
      </c>
      <c r="BS200" s="18">
        <f>INPUT!CD109</f>
        <v>17.1875</v>
      </c>
      <c r="BT200" s="96">
        <f>INPUT!CE109</f>
        <v>10.1</v>
      </c>
      <c r="BU200" s="18">
        <f>INPUT!CF109</f>
        <v>62.903225806451601</v>
      </c>
      <c r="BV200" s="96">
        <f>INPUT!CG109</f>
        <v>8.3000000000000007</v>
      </c>
      <c r="BW200" s="18">
        <f>INPUT!CH109</f>
        <v>7.7922077922077948</v>
      </c>
      <c r="BX200" s="96">
        <f>INPUT!CI109</f>
        <v>7</v>
      </c>
      <c r="BY200" s="18">
        <f>INPUT!CJ109</f>
        <v>-16.666666666666675</v>
      </c>
      <c r="BZ200" s="96">
        <f>INPUT!CK109</f>
        <v>6.8</v>
      </c>
      <c r="CA200" s="18">
        <f>INPUT!CL109</f>
        <v>-9.3333333333333375</v>
      </c>
      <c r="CB200" s="96">
        <f>INPUT!CM109</f>
        <v>7.9</v>
      </c>
      <c r="CC200" s="18">
        <f>INPUT!CN109</f>
        <v>-21.78217821782178</v>
      </c>
      <c r="CD200" s="96">
        <f>INPUT!CO109</f>
        <v>7.1</v>
      </c>
      <c r="CE200" s="18">
        <f>INPUT!CP109</f>
        <v>-14.457831325301218</v>
      </c>
      <c r="CF200" s="96">
        <f>INPUT!CQ109</f>
        <v>7.2</v>
      </c>
      <c r="CG200" s="18">
        <f>INPUT!CR109</f>
        <v>2.8571428571428692</v>
      </c>
      <c r="CH200" s="96">
        <f>INPUT!CS109</f>
        <v>7.3</v>
      </c>
      <c r="CI200" s="18">
        <f>INPUT!CT109</f>
        <v>7.3529411764705843</v>
      </c>
      <c r="CJ200" s="96">
        <f>INPUT!CU109</f>
        <v>7.4</v>
      </c>
      <c r="CK200" s="18">
        <f>INPUT!CV109</f>
        <v>-6.3291139240506329</v>
      </c>
      <c r="CL200" s="96">
        <f>INPUT!CW109</f>
        <v>8.4</v>
      </c>
      <c r="CM200" s="18">
        <f>INPUT!CX109</f>
        <v>18.309859154929597</v>
      </c>
      <c r="CN200" s="96">
        <f>INPUT!CY109</f>
        <v>9</v>
      </c>
      <c r="CO200" s="18">
        <f>INPUT!CZ109</f>
        <v>25</v>
      </c>
      <c r="CP200" s="96">
        <f>INPUT!DA109</f>
        <v>6.5</v>
      </c>
      <c r="CQ200" s="18">
        <f>INPUT!DB109</f>
        <v>-10.95890410958904</v>
      </c>
      <c r="CR200" s="96">
        <f>INPUT!DC109</f>
        <v>7</v>
      </c>
      <c r="CS200" s="18">
        <f>INPUT!DD109</f>
        <v>-5.4054054054054053</v>
      </c>
      <c r="CT200" s="96">
        <f>INPUT!DE109</f>
        <v>8.6999999999999993</v>
      </c>
      <c r="CU200" s="18">
        <f>INPUT!DF109</f>
        <v>3.5714285714285587</v>
      </c>
      <c r="CV200" s="96">
        <f>INPUT!DG109</f>
        <v>7</v>
      </c>
      <c r="CW200" s="18">
        <f>INPUT!DH109</f>
        <v>-22.222222222222221</v>
      </c>
      <c r="CX200" s="96">
        <f>INPUT!DI109</f>
        <v>6.9</v>
      </c>
      <c r="CY200" s="18">
        <f>INPUT!DJ109</f>
        <v>6.1538461538461542</v>
      </c>
      <c r="CZ200" s="96">
        <f>INPUT!DK109</f>
        <v>7.1</v>
      </c>
      <c r="DA200" s="18">
        <f>INPUT!DL109</f>
        <v>1.4285714285714235</v>
      </c>
      <c r="DB200" s="96">
        <f>INPUT!DM109</f>
        <v>7</v>
      </c>
      <c r="DC200" s="18">
        <f>INPUT!DN109</f>
        <v>-19.540229885057471</v>
      </c>
      <c r="DD200" s="96">
        <f>INPUT!DO109</f>
        <v>5.9</v>
      </c>
      <c r="DE200" s="18">
        <f>INPUT!DP109</f>
        <v>-15.714285714285714</v>
      </c>
      <c r="DF200" s="96">
        <f>INPUT!DQ109</f>
        <v>6</v>
      </c>
      <c r="DG200" s="18">
        <f>INPUT!DR109</f>
        <v>-13.043478260869568</v>
      </c>
      <c r="DH200" s="96">
        <f>INPUT!DS109</f>
        <v>5.3</v>
      </c>
      <c r="DI200" s="18">
        <f>INPUT!DT109</f>
        <v>-25.352112676056336</v>
      </c>
      <c r="DJ200" s="96">
        <f>INPUT!DU109</f>
        <v>5.0999999999999996</v>
      </c>
      <c r="DK200" s="18">
        <f>INPUT!DV109</f>
        <v>-27.142857142857146</v>
      </c>
      <c r="DL200" s="96">
        <f>INPUT!DW109</f>
        <v>4.2</v>
      </c>
      <c r="DM200" s="18">
        <f>INPUT!DX109</f>
        <v>-28.8135593220339</v>
      </c>
      <c r="DN200" s="96">
        <f>INPUT!DY109</f>
        <v>4.8</v>
      </c>
      <c r="DO200" s="18">
        <f>INPUT!DZ109</f>
        <v>-20.000000000000007</v>
      </c>
      <c r="DP200" s="96">
        <f>INPUT!EA109</f>
        <v>3.6</v>
      </c>
      <c r="DQ200" s="18">
        <f>INPUT!EB109</f>
        <v>-32.075471698113198</v>
      </c>
      <c r="DR200" s="96">
        <f>INPUT!EC109</f>
        <v>3.7</v>
      </c>
      <c r="DS200" s="18">
        <f>INPUT!ED109</f>
        <v>-27.450980392156854</v>
      </c>
      <c r="DT200" s="96">
        <f>INPUT!EE109</f>
        <v>3.3</v>
      </c>
      <c r="DU200" s="18">
        <f>INPUT!EF109</f>
        <v>-21.428571428571441</v>
      </c>
      <c r="DV200" s="96">
        <f>INPUT!EG109</f>
        <v>1.3</v>
      </c>
      <c r="DW200" s="18" t="str">
        <f>INPUT!EH109</f>
        <v>NM</v>
      </c>
      <c r="DX200" s="96">
        <f>INPUT!EI109</f>
        <v>1.8</v>
      </c>
      <c r="DY200" s="18">
        <f>INPUT!EJ109</f>
        <v>-50</v>
      </c>
      <c r="DZ200" s="96">
        <f>INPUT!EK109</f>
        <v>1.8360000000000001</v>
      </c>
      <c r="EA200" s="18" t="str">
        <f>INPUT!EL109</f>
        <v>NM</v>
      </c>
      <c r="EB200" s="96">
        <f>INPUT!EM109</f>
        <v>1.8727200000000002</v>
      </c>
      <c r="EC200" s="18">
        <f>INPUT!EN109</f>
        <v>-43.250909090909083</v>
      </c>
      <c r="ED200" s="96">
        <f>INPUT!EO109</f>
        <v>1.9101744000000003</v>
      </c>
      <c r="EE200" s="18">
        <f>INPUT!EP109</f>
        <v>46.936492307692326</v>
      </c>
      <c r="EF200" s="96">
        <f>INPUT!EQ109</f>
        <v>1.9483778880000002</v>
      </c>
      <c r="EG200" s="18">
        <f>INPUT!ER109</f>
        <v>8.2432160000000199</v>
      </c>
      <c r="EH200" s="18"/>
      <c r="EI200" s="96">
        <f>INPUT!FB109</f>
        <v>0</v>
      </c>
      <c r="EJ200" s="399">
        <f>INPUT!FC109</f>
        <v>0</v>
      </c>
      <c r="EK200" s="96">
        <f>INPUT!FD109</f>
        <v>10.1</v>
      </c>
      <c r="EL200" s="399" t="str">
        <f>INPUT!FE109</f>
        <v>NA</v>
      </c>
      <c r="EM200" s="96">
        <f>INPUT!FF109</f>
        <v>13.7</v>
      </c>
      <c r="EN200" s="399">
        <f>INPUT!FG109</f>
        <v>35.643564356435633</v>
      </c>
      <c r="EO200" s="96">
        <f>INPUT!FH109</f>
        <v>20.8</v>
      </c>
      <c r="EP200" s="399">
        <f>INPUT!FI109</f>
        <v>51.824817518248189</v>
      </c>
      <c r="EQ200" s="96">
        <f>INPUT!FJ109</f>
        <v>26.299999999999997</v>
      </c>
      <c r="ER200" s="18">
        <f>INPUT!FK109</f>
        <v>26.442307692307665</v>
      </c>
      <c r="ES200" s="96">
        <f>INPUT!FL109</f>
        <v>26.200000000000003</v>
      </c>
      <c r="ET200" s="18">
        <f>INPUT!FM109</f>
        <v>-0.38022813688211032</v>
      </c>
      <c r="EU200" s="96">
        <f>INPUT!FN109</f>
        <v>33.1</v>
      </c>
      <c r="EV200" s="18">
        <f>INPUT!FO109</f>
        <v>26.335877862595414</v>
      </c>
      <c r="EW200" s="96">
        <f>INPUT!FP109</f>
        <v>30.2</v>
      </c>
      <c r="EX200" s="18">
        <f>INPUT!FQ109</f>
        <v>-8.7613293051359555</v>
      </c>
      <c r="EY200" s="96">
        <f>INPUT!FR109</f>
        <v>28</v>
      </c>
      <c r="EZ200" s="18">
        <f>INPUT!FS109</f>
        <v>-7.2847682119205226</v>
      </c>
      <c r="FA200" s="96">
        <f>INPUT!FT109</f>
        <v>33.700000000000003</v>
      </c>
      <c r="FB200" s="18">
        <f>INPUT!FU109</f>
        <v>20.357142857142875</v>
      </c>
      <c r="FC200" s="96">
        <f>INPUT!FV109</f>
        <v>30</v>
      </c>
      <c r="FD200" s="18">
        <f>INPUT!FW109</f>
        <v>-10.979228486646896</v>
      </c>
      <c r="FE200" s="96">
        <f>INPUT!FX109</f>
        <v>29</v>
      </c>
      <c r="FF200" s="18">
        <f>INPUT!FY109</f>
        <v>-3.3333333333333326</v>
      </c>
      <c r="FG200" s="96">
        <f>INPUT!FZ109</f>
        <v>30.9</v>
      </c>
      <c r="FH200" s="18">
        <f>INPUT!GA109</f>
        <v>6.5517241379310365</v>
      </c>
      <c r="FI200" s="96">
        <f>INPUT!GB109</f>
        <v>29.700000000000003</v>
      </c>
      <c r="FJ200" s="18">
        <f>INPUT!GC109</f>
        <v>-3.8834951456310551</v>
      </c>
      <c r="FK200" s="96">
        <f>INPUT!GD109</f>
        <v>24.2</v>
      </c>
      <c r="FL200" s="18">
        <f>INPUT!GE109</f>
        <v>-18.518518518518533</v>
      </c>
      <c r="FM200" s="96">
        <f>INPUT!GF109</f>
        <v>17.700000000000003</v>
      </c>
      <c r="FN200" s="18">
        <f>INPUT!GG109</f>
        <v>-26.859504132231393</v>
      </c>
      <c r="FO200" s="96">
        <f>INPUT!GH109</f>
        <v>10.100000000000001</v>
      </c>
      <c r="FP200" s="18">
        <f>INPUT!GI109</f>
        <v>-42.937853107344637</v>
      </c>
      <c r="FQ200" s="96">
        <f>INPUT!GJ109</f>
        <v>7.5672722880000007</v>
      </c>
      <c r="FR200" s="18">
        <f>INPUT!GK109</f>
        <v>-25.076512000000008</v>
      </c>
      <c r="FS200" s="96">
        <f>INPUT!GL109</f>
        <v>7.9456359024000012</v>
      </c>
      <c r="FT200" s="18">
        <f>INPUT!GM109</f>
        <v>5.0000000000000044</v>
      </c>
      <c r="FU200" s="96">
        <f>INPUT!GN109</f>
        <v>8.3429176975200008</v>
      </c>
      <c r="FV200" s="18">
        <f>INPUT!GO109</f>
        <v>5.0000000000000044</v>
      </c>
      <c r="FW200" s="96">
        <f>INPUT!GP109</f>
        <v>8.7600635823960005</v>
      </c>
      <c r="FX200" s="18">
        <f>INPUT!GQ109</f>
        <v>5.0000000000000044</v>
      </c>
      <c r="FY200" s="96">
        <f>INPUT!GR109</f>
        <v>9.1980667615158005</v>
      </c>
      <c r="FZ200" s="18">
        <f>INPUT!GS109</f>
        <v>5.0000000000000044</v>
      </c>
      <c r="GA200" s="399">
        <f>INPUT!GT109</f>
        <v>-1.8534503076597542</v>
      </c>
    </row>
    <row r="201" spans="1:183" ht="12.75" hidden="1" customHeight="1" outlineLevel="1" x14ac:dyDescent="0.2">
      <c r="A201" s="612" t="str">
        <f>INPUT!B110</f>
        <v xml:space="preserve"> Total Revenues</v>
      </c>
      <c r="B201" s="96"/>
      <c r="C201" s="399"/>
      <c r="D201" s="96"/>
      <c r="E201" s="399"/>
      <c r="F201" s="96"/>
      <c r="G201" s="399"/>
      <c r="H201" s="96"/>
      <c r="I201" s="399"/>
      <c r="J201" s="96"/>
      <c r="K201" s="399"/>
      <c r="L201" s="96"/>
      <c r="M201" s="399"/>
      <c r="N201" s="96"/>
      <c r="O201" s="399"/>
      <c r="P201" s="96"/>
      <c r="Q201" s="399"/>
      <c r="R201" s="96">
        <f>INPUT!AC110</f>
        <v>343.09999999999997</v>
      </c>
      <c r="S201" s="399" t="str">
        <f>INPUT!AD110</f>
        <v>NA</v>
      </c>
      <c r="T201" s="96">
        <f>INPUT!AE110</f>
        <v>343.20000000000005</v>
      </c>
      <c r="U201" s="399" t="str">
        <f>INPUT!AF110</f>
        <v>NA</v>
      </c>
      <c r="V201" s="96">
        <f>INPUT!AG110</f>
        <v>350</v>
      </c>
      <c r="W201" s="399" t="str">
        <f>INPUT!AH110</f>
        <v>NA</v>
      </c>
      <c r="X201" s="96">
        <f>INPUT!AI110</f>
        <v>360.10000000000008</v>
      </c>
      <c r="Y201" s="399" t="str">
        <f>INPUT!AJ110</f>
        <v>NA</v>
      </c>
      <c r="Z201" s="96">
        <f>INPUT!AK110</f>
        <v>366.20000000000005</v>
      </c>
      <c r="AA201" s="399">
        <f>INPUT!AL110</f>
        <v>6.732730982220958</v>
      </c>
      <c r="AB201" s="96">
        <f>INPUT!AM110</f>
        <v>374.9</v>
      </c>
      <c r="AC201" s="399">
        <f>INPUT!AN110</f>
        <v>9.236596736596713</v>
      </c>
      <c r="AD201" s="96">
        <f>INPUT!AO110</f>
        <v>378.1</v>
      </c>
      <c r="AE201" s="399">
        <f>INPUT!AP110</f>
        <v>8.0285714285714285</v>
      </c>
      <c r="AF201" s="96">
        <f>INPUT!AQ110</f>
        <v>385.6</v>
      </c>
      <c r="AG201" s="399">
        <f>INPUT!AR110</f>
        <v>7.0813662871424432</v>
      </c>
      <c r="AH201" s="96">
        <f>INPUT!AS110</f>
        <v>400.4</v>
      </c>
      <c r="AI201" s="399">
        <f>INPUT!AT110</f>
        <v>9.3391589295466879</v>
      </c>
      <c r="AJ201" s="96">
        <f>INPUT!AU110</f>
        <v>406.99999999999994</v>
      </c>
      <c r="AK201" s="399">
        <f>INPUT!AV110</f>
        <v>8.562283275540139</v>
      </c>
      <c r="AL201" s="96">
        <f>INPUT!AW110</f>
        <v>415.70000000000005</v>
      </c>
      <c r="AM201" s="399">
        <f>INPUT!AX110</f>
        <v>9.9444591377942473</v>
      </c>
      <c r="AN201" s="96">
        <f>INPUT!AY110</f>
        <v>415.80000000000007</v>
      </c>
      <c r="AO201" s="18">
        <f>INPUT!AZ110</f>
        <v>7.8319502074688963</v>
      </c>
      <c r="AP201" s="96">
        <f>INPUT!BA110</f>
        <v>431.7</v>
      </c>
      <c r="AQ201" s="18">
        <f>INPUT!BB110</f>
        <v>7.8171828171828217</v>
      </c>
      <c r="AR201" s="96">
        <f>INPUT!BC110</f>
        <v>435.9</v>
      </c>
      <c r="AS201" s="18">
        <f>INPUT!BD110</f>
        <v>7.100737100737109</v>
      </c>
      <c r="AT201" s="96">
        <f>INPUT!BE110</f>
        <v>442.4</v>
      </c>
      <c r="AU201" s="18">
        <f>INPUT!BF110</f>
        <v>6.4229011306230266</v>
      </c>
      <c r="AV201" s="96">
        <f>INPUT!BG110</f>
        <v>447.8</v>
      </c>
      <c r="AW201" s="18">
        <f>INPUT!BH110</f>
        <v>7.6960076960076895</v>
      </c>
      <c r="AX201" s="96">
        <f>INPUT!BI110</f>
        <v>465.2</v>
      </c>
      <c r="AY201" s="18">
        <f>INPUT!BJ110</f>
        <v>7.7600185313875469</v>
      </c>
      <c r="AZ201" s="96">
        <f>INPUT!BK110</f>
        <v>473.99999999999994</v>
      </c>
      <c r="BA201" s="18">
        <f>INPUT!BL110</f>
        <v>8.740536820371636</v>
      </c>
      <c r="BB201" s="96">
        <f>INPUT!BM110</f>
        <v>479.99999999999994</v>
      </c>
      <c r="BC201" s="18">
        <f>INPUT!BN110</f>
        <v>8.4990958408679873</v>
      </c>
      <c r="BD201" s="96">
        <f>INPUT!BO110</f>
        <v>489.09999999999997</v>
      </c>
      <c r="BE201" s="18">
        <f>INPUT!BP110</f>
        <v>9.2228673514962001</v>
      </c>
      <c r="BF201" s="96">
        <f>INPUT!BQ110</f>
        <v>504.1</v>
      </c>
      <c r="BG201" s="18">
        <f>INPUT!BR110</f>
        <v>8.3619948409286327</v>
      </c>
      <c r="BH201" s="96">
        <f>INPUT!BS110</f>
        <v>508.9</v>
      </c>
      <c r="BI201" s="18">
        <f>INPUT!BT110</f>
        <v>7.3628691983122385</v>
      </c>
      <c r="BJ201" s="96">
        <f>INPUT!BU110</f>
        <v>504.29999999999995</v>
      </c>
      <c r="BK201" s="18">
        <f>INPUT!BV110</f>
        <v>5.062499999999992</v>
      </c>
      <c r="BL201" s="96">
        <f>INPUT!BW110</f>
        <v>505.99999999999994</v>
      </c>
      <c r="BM201" s="18">
        <f>INPUT!BX110</f>
        <v>3.4553261091801124</v>
      </c>
      <c r="BN201" s="96">
        <f>INPUT!BY110</f>
        <v>302.89999999999998</v>
      </c>
      <c r="BO201" s="18">
        <f>INPUT!BZ110</f>
        <v>-39.912715731005754</v>
      </c>
      <c r="BP201" s="96">
        <f>INPUT!CA110</f>
        <v>307.39999999999998</v>
      </c>
      <c r="BQ201" s="18">
        <f>INPUT!CB110</f>
        <v>-39.595205344861469</v>
      </c>
      <c r="BR201" s="96">
        <f>INPUT!CC110</f>
        <v>304.5</v>
      </c>
      <c r="BS201" s="18">
        <f>INPUT!CD110</f>
        <v>-39.619274241522895</v>
      </c>
      <c r="BT201" s="96">
        <f>INPUT!CE110</f>
        <v>304.90000000000003</v>
      </c>
      <c r="BU201" s="18">
        <f>INPUT!CF110</f>
        <v>-39.743083003952549</v>
      </c>
      <c r="BV201" s="96">
        <f>INPUT!CG110</f>
        <v>320.40000000000003</v>
      </c>
      <c r="BW201" s="18">
        <f>INPUT!CH110</f>
        <v>5.7774843182568647</v>
      </c>
      <c r="BX201" s="96">
        <f>INPUT!CI110</f>
        <v>320</v>
      </c>
      <c r="BY201" s="18">
        <f>INPUT!CJ110</f>
        <v>4.0988939492518028</v>
      </c>
      <c r="BZ201" s="96">
        <f>INPUT!CK110</f>
        <v>320.3</v>
      </c>
      <c r="CA201" s="18">
        <f>INPUT!CL110</f>
        <v>5.1888341543514072</v>
      </c>
      <c r="CB201" s="96">
        <f>INPUT!CM110</f>
        <v>324.89999999999998</v>
      </c>
      <c r="CC201" s="18">
        <f>INPUT!CN110</f>
        <v>6.5595277140045649</v>
      </c>
      <c r="CD201" s="96">
        <f>INPUT!CO110</f>
        <v>340.3</v>
      </c>
      <c r="CE201" s="18">
        <f>INPUT!CP110</f>
        <v>6.2109862671660299</v>
      </c>
      <c r="CF201" s="96">
        <f>INPUT!CQ110</f>
        <v>340</v>
      </c>
      <c r="CG201" s="18">
        <f>INPUT!CR110</f>
        <v>6.25</v>
      </c>
      <c r="CH201" s="96">
        <f>INPUT!CS110</f>
        <v>337.7</v>
      </c>
      <c r="CI201" s="18">
        <f>INPUT!CT110</f>
        <v>5.4324071183265543</v>
      </c>
      <c r="CJ201" s="96">
        <f>INPUT!CU110</f>
        <v>343.09999999999997</v>
      </c>
      <c r="CK201" s="18">
        <f>INPUT!CV110</f>
        <v>5.6017236072637644</v>
      </c>
      <c r="CL201" s="96">
        <f>INPUT!CW110</f>
        <v>348.49999999999994</v>
      </c>
      <c r="CM201" s="18">
        <f>INPUT!CX110</f>
        <v>2.409638554216853</v>
      </c>
      <c r="CN201" s="96">
        <f>INPUT!CY110</f>
        <v>340.40000000000003</v>
      </c>
      <c r="CO201" s="18">
        <f>INPUT!CZ110</f>
        <v>0.11764705882353343</v>
      </c>
      <c r="CP201" s="96">
        <f>INPUT!DA110</f>
        <v>339.09999999999997</v>
      </c>
      <c r="CQ201" s="18">
        <f>INPUT!DB110</f>
        <v>0.41456914421083013</v>
      </c>
      <c r="CR201" s="96">
        <f>INPUT!DC110</f>
        <v>343.9</v>
      </c>
      <c r="CS201" s="18">
        <f>INPUT!DD110</f>
        <v>0.23316817254444011</v>
      </c>
      <c r="CT201" s="96">
        <f>INPUT!DE110</f>
        <v>357.4</v>
      </c>
      <c r="CU201" s="18">
        <f>INPUT!DF110</f>
        <v>2.5538020086083302</v>
      </c>
      <c r="CV201" s="96">
        <f>INPUT!DG110</f>
        <v>353.9</v>
      </c>
      <c r="CW201" s="18">
        <f>INPUT!DH110</f>
        <v>3.9659224441833008</v>
      </c>
      <c r="CX201" s="96">
        <f>INPUT!DI110</f>
        <v>351.09999999999997</v>
      </c>
      <c r="CY201" s="18">
        <f>INPUT!DJ110</f>
        <v>3.5387791212031949</v>
      </c>
      <c r="CZ201" s="96">
        <f>INPUT!DK110</f>
        <v>355</v>
      </c>
      <c r="DA201" s="18">
        <f>INPUT!DL110</f>
        <v>3.2276824658330927</v>
      </c>
      <c r="DB201" s="96">
        <f>INPUT!DM110</f>
        <v>373.1</v>
      </c>
      <c r="DC201" s="18">
        <f>INPUT!DN110</f>
        <v>4.3928371572467872</v>
      </c>
      <c r="DD201" s="96">
        <f>INPUT!DO110</f>
        <v>368.7</v>
      </c>
      <c r="DE201" s="18">
        <f>INPUT!DP110</f>
        <v>4.1819723085617433</v>
      </c>
      <c r="DF201" s="96">
        <f>INPUT!DQ110</f>
        <v>369.59999999999997</v>
      </c>
      <c r="DG201" s="18">
        <f>INPUT!DR110</f>
        <v>5.2691540871546483</v>
      </c>
      <c r="DH201" s="96">
        <f>INPUT!DS110</f>
        <v>375.3</v>
      </c>
      <c r="DI201" s="18">
        <f>INPUT!DT110</f>
        <v>5.7183098591549353</v>
      </c>
      <c r="DJ201" s="96">
        <f>INPUT!DU110</f>
        <v>390.30000000000007</v>
      </c>
      <c r="DK201" s="18">
        <f>INPUT!DV110</f>
        <v>4.6100241222192473</v>
      </c>
      <c r="DL201" s="96">
        <f>INPUT!DW110</f>
        <v>389.9</v>
      </c>
      <c r="DM201" s="18">
        <f>INPUT!DX110</f>
        <v>5.749932194195817</v>
      </c>
      <c r="DN201" s="96">
        <f>INPUT!DY110</f>
        <v>406.6</v>
      </c>
      <c r="DO201" s="18">
        <f>INPUT!DZ110</f>
        <v>10.010822510822525</v>
      </c>
      <c r="DP201" s="96">
        <f>INPUT!EA110</f>
        <v>404.6</v>
      </c>
      <c r="DQ201" s="18">
        <f>INPUT!EB110</f>
        <v>7.8070876632027719</v>
      </c>
      <c r="DR201" s="96">
        <f>INPUT!EC110</f>
        <v>426.79999999999995</v>
      </c>
      <c r="DS201" s="18">
        <f>INPUT!ED110</f>
        <v>9.3517806815269999</v>
      </c>
      <c r="DT201" s="96">
        <f>INPUT!EE110</f>
        <v>424.1</v>
      </c>
      <c r="DU201" s="18">
        <f>INPUT!EF110</f>
        <v>8.7714798666324931</v>
      </c>
      <c r="DV201" s="96">
        <f>INPUT!EG110</f>
        <v>418.7</v>
      </c>
      <c r="DW201" s="18">
        <f>INPUT!EH110</f>
        <v>2.9758976881455901</v>
      </c>
      <c r="DX201" s="96">
        <f>INPUT!EI110</f>
        <v>420.4</v>
      </c>
      <c r="DY201" s="18">
        <f>INPUT!EJ110</f>
        <v>3.9050914483440335</v>
      </c>
      <c r="DZ201" s="96">
        <f>INPUT!EK110</f>
        <v>427.47719999999998</v>
      </c>
      <c r="EA201" s="18">
        <f>INPUT!EL110</f>
        <v>0.15866916588567204</v>
      </c>
      <c r="EB201" s="96">
        <f>INPUT!EM110</f>
        <v>434.6769256</v>
      </c>
      <c r="EC201" s="18">
        <f>INPUT!EN110</f>
        <v>2.4939697241216585</v>
      </c>
      <c r="ED201" s="96">
        <f>INPUT!EO110</f>
        <v>442.00133434079999</v>
      </c>
      <c r="EE201" s="18">
        <f>INPUT!EP110</f>
        <v>5.5651622500119347</v>
      </c>
      <c r="EF201" s="96">
        <f>INPUT!EQ110</f>
        <v>448.00520951091198</v>
      </c>
      <c r="EG201" s="18">
        <f>INPUT!ER110</f>
        <v>6.5664152024053291</v>
      </c>
      <c r="EH201" s="18"/>
      <c r="EI201" s="96">
        <f>INPUT!FB110</f>
        <v>0</v>
      </c>
      <c r="EJ201" s="399">
        <f>INPUT!FC110</f>
        <v>0</v>
      </c>
      <c r="EK201" s="96">
        <f>INPUT!FD110</f>
        <v>1087.0999999999999</v>
      </c>
      <c r="EL201" s="399" t="str">
        <f>INPUT!FE110</f>
        <v>NA</v>
      </c>
      <c r="EM201" s="96">
        <f>INPUT!FF110</f>
        <v>1290.4000000000001</v>
      </c>
      <c r="EN201" s="399">
        <f>INPUT!FG110</f>
        <v>18.701131450648532</v>
      </c>
      <c r="EO201" s="96">
        <f>INPUT!FH110</f>
        <v>1396.3999999999999</v>
      </c>
      <c r="EP201" s="399">
        <f>INPUT!FI110</f>
        <v>8.2145071295722119</v>
      </c>
      <c r="EQ201" s="96">
        <f>INPUT!FJ110</f>
        <v>1504.8</v>
      </c>
      <c r="ER201" s="18">
        <f>INPUT!FK110</f>
        <v>7.7628186765969609</v>
      </c>
      <c r="ES201" s="96">
        <f>INPUT!FL110</f>
        <v>1638.9000000000003</v>
      </c>
      <c r="ET201" s="18">
        <f>INPUT!FM110</f>
        <v>8.911483253588548</v>
      </c>
      <c r="EU201" s="96">
        <f>INPUT!FN110</f>
        <v>1757.7999999999997</v>
      </c>
      <c r="EV201" s="18">
        <f>INPUT!FO110</f>
        <v>7.2548660687045796</v>
      </c>
      <c r="EW201" s="96">
        <f>INPUT!FP110</f>
        <v>1908.3</v>
      </c>
      <c r="EX201" s="18">
        <f>INPUT!FQ110</f>
        <v>8.5618386619638276</v>
      </c>
      <c r="EY201" s="96">
        <f>INPUT!FR110</f>
        <v>1162.5</v>
      </c>
      <c r="EZ201" s="18">
        <f>INPUT!FS110</f>
        <v>-39.081905360792327</v>
      </c>
      <c r="FA201" s="96">
        <f>INPUT!FT110</f>
        <v>1219.7</v>
      </c>
      <c r="FB201" s="18">
        <f>INPUT!FU110</f>
        <v>4.9204301075268964</v>
      </c>
      <c r="FC201" s="96">
        <f>INPUT!FV110</f>
        <v>1285.5999999999999</v>
      </c>
      <c r="FD201" s="18">
        <f>INPUT!FW110</f>
        <v>5.4029679429367761</v>
      </c>
      <c r="FE201" s="96">
        <f>INPUT!FX110</f>
        <v>1359.6</v>
      </c>
      <c r="FF201" s="18">
        <f>INPUT!FY110</f>
        <v>5.7560672059738582</v>
      </c>
      <c r="FG201" s="96">
        <f>INPUT!FZ110</f>
        <v>1371.9</v>
      </c>
      <c r="FH201" s="18">
        <f>INPUT!GA110</f>
        <v>0.90467784642542792</v>
      </c>
      <c r="FI201" s="96">
        <f>INPUT!GB110</f>
        <v>1417.3999999999999</v>
      </c>
      <c r="FJ201" s="18">
        <f>INPUT!GC110</f>
        <v>3.3165682629929139</v>
      </c>
      <c r="FK201" s="96">
        <f>INPUT!GD110</f>
        <v>1486.7000000000003</v>
      </c>
      <c r="FL201" s="18">
        <f>INPUT!GE110</f>
        <v>4.8892338083815767</v>
      </c>
      <c r="FM201" s="96">
        <f>INPUT!GF110</f>
        <v>1591.4</v>
      </c>
      <c r="FN201" s="18">
        <f>INPUT!GG110</f>
        <v>7.0424429945516787</v>
      </c>
      <c r="FO201" s="96">
        <f>INPUT!GH110</f>
        <v>1689.9999999999998</v>
      </c>
      <c r="FP201" s="18">
        <f>INPUT!GI110</f>
        <v>6.1958024381048027</v>
      </c>
      <c r="FQ201" s="96">
        <f>INPUT!GJ110</f>
        <v>1752.1606694517118</v>
      </c>
      <c r="FR201" s="18">
        <f>INPUT!GK110</f>
        <v>3.6781461214030697</v>
      </c>
      <c r="FS201" s="96">
        <f>INPUT!GL110</f>
        <v>1834.7144196991273</v>
      </c>
      <c r="FT201" s="18">
        <f>INPUT!GM110</f>
        <v>4.7115399681496362</v>
      </c>
      <c r="FU201" s="96">
        <f>INPUT!GN110</f>
        <v>1921.244228962159</v>
      </c>
      <c r="FV201" s="18">
        <f>INPUT!GO110</f>
        <v>4.7162549295939771</v>
      </c>
      <c r="FW201" s="96">
        <f>INPUT!GP110</f>
        <v>2011.9443513366841</v>
      </c>
      <c r="FX201" s="18">
        <f>INPUT!GQ110</f>
        <v>4.7209053907488085</v>
      </c>
      <c r="FY201" s="96">
        <f>INPUT!GR110</f>
        <v>2107.0186171577279</v>
      </c>
      <c r="FZ201" s="18">
        <f>INPUT!GS110</f>
        <v>4.725491823761363</v>
      </c>
      <c r="GA201" s="399">
        <f>INPUT!GT110</f>
        <v>4.509635649862731</v>
      </c>
    </row>
    <row r="202" spans="1:183" ht="12.75" hidden="1" customHeight="1" outlineLevel="1" x14ac:dyDescent="0.2">
      <c r="A202" s="612"/>
      <c r="B202" s="96"/>
      <c r="C202" s="399"/>
      <c r="D202" s="96"/>
      <c r="E202" s="399"/>
      <c r="F202" s="96"/>
      <c r="G202" s="399"/>
      <c r="H202" s="96"/>
      <c r="I202" s="399"/>
      <c r="J202" s="96"/>
      <c r="K202" s="399"/>
      <c r="L202" s="96"/>
      <c r="M202" s="399"/>
      <c r="N202" s="96"/>
      <c r="O202" s="399"/>
      <c r="P202" s="96"/>
      <c r="Q202" s="399"/>
      <c r="R202" s="96"/>
      <c r="S202" s="399"/>
      <c r="T202" s="96"/>
      <c r="U202" s="399"/>
      <c r="V202" s="96"/>
      <c r="W202" s="399"/>
      <c r="X202" s="96"/>
      <c r="Y202" s="399"/>
      <c r="Z202" s="96"/>
      <c r="AA202" s="399"/>
      <c r="AB202" s="96"/>
      <c r="AC202" s="399"/>
      <c r="AD202" s="96"/>
      <c r="AE202" s="399"/>
      <c r="AF202" s="96"/>
      <c r="AG202" s="399"/>
      <c r="AH202" s="96"/>
      <c r="AI202" s="399"/>
      <c r="AJ202" s="96"/>
      <c r="AK202" s="399"/>
      <c r="AL202" s="96"/>
      <c r="AM202" s="399"/>
      <c r="AN202" s="96"/>
      <c r="AO202" s="18"/>
      <c r="AP202" s="96"/>
      <c r="AQ202" s="18"/>
      <c r="AR202" s="96"/>
      <c r="AS202" s="18"/>
      <c r="AT202" s="96"/>
      <c r="AU202" s="18"/>
      <c r="AV202" s="96"/>
      <c r="AW202" s="18"/>
      <c r="AX202" s="96"/>
      <c r="AY202" s="18"/>
      <c r="AZ202" s="96"/>
      <c r="BA202" s="18"/>
      <c r="BB202" s="96"/>
      <c r="BC202" s="18"/>
      <c r="BD202" s="96"/>
      <c r="BE202" s="18"/>
      <c r="BF202" s="96"/>
      <c r="BG202" s="18"/>
      <c r="BH202" s="96"/>
      <c r="BI202" s="18"/>
      <c r="BJ202" s="96"/>
      <c r="BK202" s="18"/>
      <c r="BL202" s="96"/>
      <c r="BM202" s="18"/>
      <c r="BN202" s="96"/>
      <c r="BO202" s="18"/>
      <c r="BP202" s="96"/>
      <c r="BQ202" s="18"/>
      <c r="BR202" s="96"/>
      <c r="BS202" s="18"/>
      <c r="BT202" s="96"/>
      <c r="BU202" s="18"/>
      <c r="BV202" s="96"/>
      <c r="BW202" s="18"/>
      <c r="BX202" s="96"/>
      <c r="BY202" s="18"/>
      <c r="BZ202" s="96"/>
      <c r="CA202" s="18"/>
      <c r="CB202" s="96"/>
      <c r="CC202" s="18"/>
      <c r="CD202" s="96"/>
      <c r="CE202" s="18"/>
      <c r="CF202" s="96"/>
      <c r="CG202" s="18"/>
      <c r="CH202" s="96"/>
      <c r="CI202" s="18"/>
      <c r="CJ202" s="96"/>
      <c r="CK202" s="18"/>
      <c r="CL202" s="96"/>
      <c r="CM202" s="18"/>
      <c r="CN202" s="96"/>
      <c r="CO202" s="18"/>
      <c r="CP202" s="96"/>
      <c r="CQ202" s="18"/>
      <c r="CR202" s="96"/>
      <c r="CS202" s="18"/>
      <c r="CT202" s="96"/>
      <c r="CU202" s="18"/>
      <c r="CV202" s="96"/>
      <c r="CW202" s="18"/>
      <c r="CX202" s="96"/>
      <c r="CY202" s="18"/>
      <c r="CZ202" s="96"/>
      <c r="DA202" s="18"/>
      <c r="DB202" s="96"/>
      <c r="DC202" s="18"/>
      <c r="DD202" s="96"/>
      <c r="DE202" s="18"/>
      <c r="DF202" s="96"/>
      <c r="DG202" s="18"/>
      <c r="DH202" s="96"/>
      <c r="DI202" s="18"/>
      <c r="DJ202" s="96"/>
      <c r="DK202" s="18"/>
      <c r="DL202" s="96"/>
      <c r="DM202" s="18"/>
      <c r="DN202" s="96"/>
      <c r="DO202" s="18"/>
      <c r="DP202" s="96"/>
      <c r="DQ202" s="18"/>
      <c r="DR202" s="96"/>
      <c r="DS202" s="18"/>
      <c r="DT202" s="96"/>
      <c r="DU202" s="18"/>
      <c r="DV202" s="96"/>
      <c r="DW202" s="18"/>
      <c r="DX202" s="96"/>
      <c r="DY202" s="18"/>
      <c r="DZ202" s="96"/>
      <c r="EA202" s="18"/>
      <c r="EB202" s="96"/>
      <c r="EC202" s="18"/>
      <c r="ED202" s="96"/>
      <c r="EE202" s="18"/>
      <c r="EF202" s="96"/>
      <c r="EG202" s="18"/>
      <c r="EH202" s="18"/>
      <c r="EI202" s="96"/>
      <c r="EJ202" s="399"/>
      <c r="EK202" s="96"/>
      <c r="EL202" s="399"/>
      <c r="EM202" s="96"/>
      <c r="EN202" s="399"/>
      <c r="EO202" s="96"/>
      <c r="EP202" s="399"/>
      <c r="EQ202" s="96"/>
      <c r="ER202" s="18"/>
      <c r="ES202" s="96"/>
      <c r="ET202" s="18"/>
      <c r="EU202" s="96"/>
      <c r="EV202" s="18"/>
      <c r="EW202" s="96"/>
      <c r="EX202" s="18"/>
      <c r="EY202" s="96"/>
      <c r="EZ202" s="18"/>
      <c r="FA202" s="96"/>
      <c r="FB202" s="18"/>
      <c r="FC202" s="96"/>
      <c r="FD202" s="18"/>
      <c r="FE202" s="96"/>
      <c r="FF202" s="18"/>
      <c r="FG202" s="96"/>
      <c r="FH202" s="18"/>
      <c r="FI202" s="96"/>
      <c r="FJ202" s="18"/>
      <c r="FK202" s="96"/>
      <c r="FL202" s="18"/>
      <c r="FM202" s="96"/>
      <c r="FN202" s="18"/>
      <c r="FO202" s="96"/>
      <c r="FP202" s="18"/>
      <c r="FQ202" s="96"/>
      <c r="FR202" s="18"/>
      <c r="FS202" s="96"/>
      <c r="FT202" s="18"/>
      <c r="FU202" s="96"/>
      <c r="FV202" s="18"/>
      <c r="FW202" s="96"/>
      <c r="FX202" s="18"/>
      <c r="FY202" s="96"/>
      <c r="FZ202" s="18"/>
      <c r="GA202" s="399"/>
    </row>
    <row r="203" spans="1:183" ht="12.75" hidden="1" customHeight="1" outlineLevel="1" x14ac:dyDescent="0.2">
      <c r="A203" s="610" t="s">
        <v>454</v>
      </c>
      <c r="B203" s="96"/>
      <c r="C203" s="399"/>
      <c r="D203" s="96"/>
      <c r="E203" s="399"/>
      <c r="F203" s="96"/>
      <c r="G203" s="399"/>
      <c r="H203" s="96"/>
      <c r="I203" s="399"/>
      <c r="J203" s="96"/>
      <c r="K203" s="399"/>
      <c r="L203" s="96"/>
      <c r="M203" s="399"/>
      <c r="N203" s="96"/>
      <c r="O203" s="399"/>
      <c r="P203" s="96"/>
      <c r="Q203" s="399"/>
      <c r="R203" s="96"/>
      <c r="S203" s="399"/>
      <c r="T203" s="96"/>
      <c r="U203" s="399"/>
      <c r="V203" s="96"/>
      <c r="W203" s="399"/>
      <c r="X203" s="96"/>
      <c r="Y203" s="399"/>
      <c r="Z203" s="96"/>
      <c r="AA203" s="399"/>
      <c r="AB203" s="96"/>
      <c r="AC203" s="399"/>
      <c r="AD203" s="96"/>
      <c r="AE203" s="399"/>
      <c r="AF203" s="96"/>
      <c r="AG203" s="399"/>
      <c r="AH203" s="96"/>
      <c r="AI203" s="399"/>
      <c r="AJ203" s="96"/>
      <c r="AK203" s="399"/>
      <c r="AL203" s="96"/>
      <c r="AM203" s="399"/>
      <c r="AN203" s="96"/>
      <c r="AO203" s="18"/>
      <c r="AP203" s="96"/>
      <c r="AQ203" s="18"/>
      <c r="AR203" s="96"/>
      <c r="AS203" s="18"/>
      <c r="AT203" s="96"/>
      <c r="AU203" s="18"/>
      <c r="AV203" s="96"/>
      <c r="AW203" s="18"/>
      <c r="AX203" s="96"/>
      <c r="AY203" s="18"/>
      <c r="AZ203" s="96"/>
      <c r="BA203" s="18"/>
      <c r="BB203" s="96"/>
      <c r="BC203" s="18"/>
      <c r="BD203" s="96"/>
      <c r="BE203" s="18"/>
      <c r="BF203" s="96"/>
      <c r="BG203" s="18"/>
      <c r="BH203" s="96"/>
      <c r="BI203" s="18"/>
      <c r="BJ203" s="96"/>
      <c r="BK203" s="18"/>
      <c r="BL203" s="96"/>
      <c r="BM203" s="18"/>
      <c r="BN203" s="96"/>
      <c r="BO203" s="18"/>
      <c r="BP203" s="96"/>
      <c r="BQ203" s="18"/>
      <c r="BR203" s="96"/>
      <c r="BS203" s="18"/>
      <c r="BT203" s="96"/>
      <c r="BU203" s="18"/>
      <c r="BV203" s="96"/>
      <c r="BW203" s="18"/>
      <c r="BX203" s="96"/>
      <c r="BY203" s="18"/>
      <c r="BZ203" s="96"/>
      <c r="CA203" s="18"/>
      <c r="CB203" s="96"/>
      <c r="CC203" s="18"/>
      <c r="CD203" s="96"/>
      <c r="CE203" s="18"/>
      <c r="CF203" s="96"/>
      <c r="CG203" s="18"/>
      <c r="CH203" s="96"/>
      <c r="CI203" s="18"/>
      <c r="CJ203" s="96"/>
      <c r="CK203" s="18"/>
      <c r="CL203" s="96"/>
      <c r="CM203" s="18"/>
      <c r="CN203" s="96"/>
      <c r="CO203" s="18"/>
      <c r="CP203" s="96"/>
      <c r="CQ203" s="18"/>
      <c r="CR203" s="96"/>
      <c r="CS203" s="18"/>
      <c r="CT203" s="96"/>
      <c r="CU203" s="18"/>
      <c r="CV203" s="96"/>
      <c r="CW203" s="18"/>
      <c r="CX203" s="96"/>
      <c r="CY203" s="18"/>
      <c r="CZ203" s="96"/>
      <c r="DA203" s="18"/>
      <c r="DB203" s="96"/>
      <c r="DC203" s="18"/>
      <c r="DD203" s="96"/>
      <c r="DE203" s="18"/>
      <c r="DF203" s="96"/>
      <c r="DG203" s="18"/>
      <c r="DH203" s="96"/>
      <c r="DI203" s="18"/>
      <c r="DJ203" s="96"/>
      <c r="DK203" s="18"/>
      <c r="DL203" s="96"/>
      <c r="DM203" s="18"/>
      <c r="DN203" s="96"/>
      <c r="DO203" s="18"/>
      <c r="DP203" s="96"/>
      <c r="DQ203" s="18"/>
      <c r="DR203" s="96"/>
      <c r="DS203" s="18"/>
      <c r="DT203" s="96"/>
      <c r="DU203" s="18"/>
      <c r="DV203" s="96"/>
      <c r="DW203" s="18"/>
      <c r="DX203" s="96"/>
      <c r="DY203" s="18"/>
      <c r="DZ203" s="96"/>
      <c r="EA203" s="18"/>
      <c r="EB203" s="96"/>
      <c r="EC203" s="18"/>
      <c r="ED203" s="96"/>
      <c r="EE203" s="18"/>
      <c r="EF203" s="96"/>
      <c r="EG203" s="18"/>
      <c r="EH203" s="18"/>
      <c r="EI203" s="96"/>
      <c r="EJ203" s="399"/>
      <c r="EK203" s="96"/>
      <c r="EL203" s="399"/>
      <c r="EM203" s="96"/>
      <c r="EN203" s="399"/>
      <c r="EO203" s="96"/>
      <c r="EP203" s="399"/>
      <c r="EQ203" s="96"/>
      <c r="ER203" s="18"/>
      <c r="ES203" s="96"/>
      <c r="ET203" s="18"/>
      <c r="EU203" s="96"/>
      <c r="EV203" s="18"/>
      <c r="EW203" s="96"/>
      <c r="EX203" s="18"/>
      <c r="EY203" s="96"/>
      <c r="EZ203" s="18"/>
      <c r="FA203" s="96"/>
      <c r="FB203" s="18"/>
      <c r="FC203" s="96"/>
      <c r="FD203" s="18"/>
      <c r="FE203" s="96"/>
      <c r="FF203" s="18"/>
      <c r="FG203" s="96"/>
      <c r="FH203" s="18"/>
      <c r="FI203" s="96"/>
      <c r="FJ203" s="18"/>
      <c r="FK203" s="96"/>
      <c r="FL203" s="18"/>
      <c r="FM203" s="96"/>
      <c r="FN203" s="18"/>
      <c r="FO203" s="96"/>
      <c r="FP203" s="18"/>
      <c r="FQ203" s="96"/>
      <c r="FR203" s="18"/>
      <c r="FS203" s="96"/>
      <c r="FT203" s="18"/>
      <c r="FU203" s="96"/>
      <c r="FV203" s="18"/>
      <c r="FW203" s="96"/>
      <c r="FX203" s="18"/>
      <c r="FY203" s="96"/>
      <c r="FZ203" s="18"/>
      <c r="GA203" s="399"/>
    </row>
    <row r="204" spans="1:183" ht="12.75" hidden="1" customHeight="1" outlineLevel="1" x14ac:dyDescent="0.2">
      <c r="A204" s="612" t="str">
        <f>INPUT!B113</f>
        <v>Benefit Expense</v>
      </c>
      <c r="B204" s="96"/>
      <c r="C204" s="399"/>
      <c r="D204" s="96"/>
      <c r="E204" s="399"/>
      <c r="F204" s="96"/>
      <c r="G204" s="399"/>
      <c r="H204" s="96"/>
      <c r="I204" s="399"/>
      <c r="J204" s="96"/>
      <c r="K204" s="399"/>
      <c r="L204" s="96"/>
      <c r="M204" s="399"/>
      <c r="N204" s="96"/>
      <c r="O204" s="399"/>
      <c r="P204" s="96"/>
      <c r="Q204" s="399"/>
      <c r="R204" s="96">
        <f>INPUT!AC113</f>
        <v>195.9</v>
      </c>
      <c r="S204" s="399" t="str">
        <f>INPUT!AD113</f>
        <v>NA</v>
      </c>
      <c r="T204" s="96">
        <f>INPUT!AE113</f>
        <v>204.6</v>
      </c>
      <c r="U204" s="399" t="str">
        <f>INPUT!AF113</f>
        <v>NA</v>
      </c>
      <c r="V204" s="96">
        <f>INPUT!AG113</f>
        <v>213.9</v>
      </c>
      <c r="W204" s="399" t="str">
        <f>INPUT!AH113</f>
        <v>NA</v>
      </c>
      <c r="X204" s="96">
        <f>INPUT!AI113</f>
        <v>222.6</v>
      </c>
      <c r="Y204" s="399" t="str">
        <f>INPUT!AJ113</f>
        <v>NA</v>
      </c>
      <c r="Z204" s="96">
        <f>INPUT!AK113</f>
        <v>219.29999999999998</v>
      </c>
      <c r="AA204" s="399">
        <f>INPUT!AL113</f>
        <v>11.944869831546701</v>
      </c>
      <c r="AB204" s="96">
        <f>INPUT!AM113</f>
        <v>219.9</v>
      </c>
      <c r="AC204" s="399">
        <f>INPUT!AN113</f>
        <v>7.4780058651026549</v>
      </c>
      <c r="AD204" s="96">
        <f>INPUT!AO113</f>
        <v>233.39999999999998</v>
      </c>
      <c r="AE204" s="399">
        <f>INPUT!AP113</f>
        <v>9.1164095371668807</v>
      </c>
      <c r="AF204" s="96">
        <f>INPUT!AQ113</f>
        <v>234.8</v>
      </c>
      <c r="AG204" s="399">
        <f>INPUT!AR113</f>
        <v>5.480682839173423</v>
      </c>
      <c r="AH204" s="96">
        <f>INPUT!AS113</f>
        <v>231.9</v>
      </c>
      <c r="AI204" s="399">
        <f>INPUT!AT113</f>
        <v>5.7455540355677348</v>
      </c>
      <c r="AJ204" s="96">
        <f>INPUT!AU113</f>
        <v>246</v>
      </c>
      <c r="AK204" s="399">
        <f>INPUT!AV113</f>
        <v>11.869031377899052</v>
      </c>
      <c r="AL204" s="96">
        <f>INPUT!AW113</f>
        <v>249.4</v>
      </c>
      <c r="AM204" s="399">
        <f>INPUT!AX113</f>
        <v>6.8551842330762724</v>
      </c>
      <c r="AN204" s="96">
        <f>INPUT!AY113</f>
        <v>255</v>
      </c>
      <c r="AO204" s="18">
        <f>INPUT!AZ113</f>
        <v>8.6030664395229994</v>
      </c>
      <c r="AP204" s="96">
        <f>INPUT!BA113</f>
        <v>259.5</v>
      </c>
      <c r="AQ204" s="18">
        <f>INPUT!BB113</f>
        <v>11.901681759379045</v>
      </c>
      <c r="AR204" s="96">
        <f>INPUT!BC113</f>
        <v>267.8</v>
      </c>
      <c r="AS204" s="18">
        <f>INPUT!BD113</f>
        <v>8.8617886178861802</v>
      </c>
      <c r="AT204" s="96">
        <f>INPUT!BE113</f>
        <v>272.7</v>
      </c>
      <c r="AU204" s="18">
        <f>INPUT!BF113</f>
        <v>9.3424218123496328</v>
      </c>
      <c r="AV204" s="96">
        <f>INPUT!BG113</f>
        <v>267.39999999999998</v>
      </c>
      <c r="AW204" s="18">
        <f>INPUT!BH113</f>
        <v>4.8627450980392117</v>
      </c>
      <c r="AX204" s="96">
        <f>INPUT!BI113</f>
        <v>273.2</v>
      </c>
      <c r="AY204" s="18">
        <f>INPUT!BJ113</f>
        <v>5.2793834296724462</v>
      </c>
      <c r="AZ204" s="96">
        <f>INPUT!BK113</f>
        <v>278.8</v>
      </c>
      <c r="BA204" s="18">
        <f>INPUT!BL113</f>
        <v>4.1075429424944021</v>
      </c>
      <c r="BB204" s="96">
        <f>INPUT!BM113</f>
        <v>286.7</v>
      </c>
      <c r="BC204" s="18">
        <f>INPUT!BN113</f>
        <v>5.1338467180051417</v>
      </c>
      <c r="BD204" s="96">
        <f>INPUT!BO113</f>
        <v>288.2</v>
      </c>
      <c r="BE204" s="18">
        <f>INPUT!BP113</f>
        <v>7.7786088257292496</v>
      </c>
      <c r="BF204" s="96">
        <f>INPUT!BQ113</f>
        <v>291.10000000000002</v>
      </c>
      <c r="BG204" s="18">
        <f>INPUT!BR113</f>
        <v>6.5519765739385116</v>
      </c>
      <c r="BH204" s="96">
        <f>INPUT!BS113</f>
        <v>297.7</v>
      </c>
      <c r="BI204" s="18">
        <f>INPUT!BT113</f>
        <v>6.7790530846484787</v>
      </c>
      <c r="BJ204" s="96">
        <f>INPUT!BU113</f>
        <v>299.10000000000002</v>
      </c>
      <c r="BK204" s="18">
        <f>INPUT!BV113</f>
        <v>4.3250784792466135</v>
      </c>
      <c r="BL204" s="96">
        <f>INPUT!BW113</f>
        <v>289.7</v>
      </c>
      <c r="BM204" s="18">
        <f>INPUT!BX113</f>
        <v>0.52047189451769338</v>
      </c>
      <c r="BN204" s="96">
        <f>INPUT!BY113</f>
        <v>132.6</v>
      </c>
      <c r="BO204" s="18" t="str">
        <f>INPUT!BZ113</f>
        <v>NM</v>
      </c>
      <c r="BP204" s="96">
        <f>INPUT!CA113</f>
        <v>136.80000000000001</v>
      </c>
      <c r="BQ204" s="18" t="str">
        <f>INPUT!CB113</f>
        <v>NM</v>
      </c>
      <c r="BR204" s="96">
        <f>INPUT!CC113</f>
        <v>134.9</v>
      </c>
      <c r="BS204" s="18" t="str">
        <f>INPUT!CD113</f>
        <v>NM</v>
      </c>
      <c r="BT204" s="96">
        <f>INPUT!CE113</f>
        <v>132.4</v>
      </c>
      <c r="BU204" s="18" t="str">
        <f>INPUT!CF113</f>
        <v>NM</v>
      </c>
      <c r="BV204" s="96">
        <f>INPUT!CG113</f>
        <v>133.9</v>
      </c>
      <c r="BW204" s="18">
        <f>INPUT!CH113</f>
        <v>0.98039215686276382</v>
      </c>
      <c r="BX204" s="96">
        <f>INPUT!CI113</f>
        <v>133.4</v>
      </c>
      <c r="BY204" s="18">
        <f>INPUT!CJ113</f>
        <v>-2.4853801169590684</v>
      </c>
      <c r="BZ204" s="96">
        <f>INPUT!CK113</f>
        <v>133</v>
      </c>
      <c r="CA204" s="18">
        <f>INPUT!CL113</f>
        <v>-1.4084507042253613</v>
      </c>
      <c r="CB204" s="96">
        <f>INPUT!CM113</f>
        <v>136.5</v>
      </c>
      <c r="CC204" s="18">
        <f>INPUT!CN113</f>
        <v>3.09667673716012</v>
      </c>
      <c r="CD204" s="96">
        <f>INPUT!CO113</f>
        <v>138.80000000000001</v>
      </c>
      <c r="CE204" s="18">
        <f>INPUT!CP113</f>
        <v>3.6594473487677304</v>
      </c>
      <c r="CF204" s="96">
        <f>INPUT!CQ113</f>
        <v>135.4</v>
      </c>
      <c r="CG204" s="18">
        <f>INPUT!CR113</f>
        <v>1.4992503748125996</v>
      </c>
      <c r="CH204" s="96">
        <f>INPUT!CS113</f>
        <v>140.6</v>
      </c>
      <c r="CI204" s="18">
        <f>INPUT!CT113</f>
        <v>5.7142857142857162</v>
      </c>
      <c r="CJ204" s="96">
        <f>INPUT!CU113</f>
        <v>145.80000000000001</v>
      </c>
      <c r="CK204" s="18">
        <f>INPUT!CV113</f>
        <v>6.8131868131868112</v>
      </c>
      <c r="CL204" s="96">
        <f>INPUT!CW113</f>
        <v>131.19999999999999</v>
      </c>
      <c r="CM204" s="18">
        <f>INPUT!CX113</f>
        <v>-5.4755043227665894</v>
      </c>
      <c r="CN204" s="96">
        <f>INPUT!CY113</f>
        <v>137.80000000000001</v>
      </c>
      <c r="CO204" s="18">
        <f>INPUT!CZ113</f>
        <v>1.7725258493353158</v>
      </c>
      <c r="CP204" s="96">
        <f>INPUT!DA113</f>
        <v>143.4</v>
      </c>
      <c r="CQ204" s="18">
        <f>INPUT!DB113</f>
        <v>1.9914651493598834</v>
      </c>
      <c r="CR204" s="96">
        <f>INPUT!DC113</f>
        <v>167.2</v>
      </c>
      <c r="CS204" s="18">
        <f>INPUT!DD113</f>
        <v>14.677640603566511</v>
      </c>
      <c r="CT204" s="96">
        <f>INPUT!DE113</f>
        <v>137.69999999999999</v>
      </c>
      <c r="CU204" s="18">
        <f>INPUT!DF113</f>
        <v>4.9542682926829285</v>
      </c>
      <c r="CV204" s="96">
        <f>INPUT!DG113</f>
        <v>144.19999999999999</v>
      </c>
      <c r="CW204" s="18">
        <f>INPUT!DH113</f>
        <v>4.6444121915819814</v>
      </c>
      <c r="CX204" s="96">
        <f>INPUT!DI113</f>
        <v>142.4</v>
      </c>
      <c r="CY204" s="18">
        <f>INPUT!DJ113</f>
        <v>-0.69735006973500324</v>
      </c>
      <c r="CZ204" s="96">
        <f>INPUT!DK113</f>
        <v>141.6</v>
      </c>
      <c r="DA204" s="18">
        <f>INPUT!DL113</f>
        <v>-15.311004784688997</v>
      </c>
      <c r="DB204" s="96">
        <f>INPUT!DM113</f>
        <v>136.1</v>
      </c>
      <c r="DC204" s="18">
        <f>INPUT!DN113</f>
        <v>-1.1619462599854691</v>
      </c>
      <c r="DD204" s="96">
        <f>INPUT!DO113</f>
        <v>142.1</v>
      </c>
      <c r="DE204" s="18">
        <f>INPUT!DP113</f>
        <v>-1.4563106796116498</v>
      </c>
      <c r="DF204" s="96">
        <f>INPUT!DQ113</f>
        <v>147.69999999999999</v>
      </c>
      <c r="DG204" s="18">
        <f>INPUT!DR113</f>
        <v>3.7219101123595388</v>
      </c>
      <c r="DH204" s="96">
        <f>INPUT!DS113</f>
        <v>155.19999999999999</v>
      </c>
      <c r="DI204" s="18">
        <f>INPUT!DT113</f>
        <v>9.6045197740112886</v>
      </c>
      <c r="DJ204" s="96">
        <f>INPUT!DU113</f>
        <v>152</v>
      </c>
      <c r="DK204" s="18">
        <f>INPUT!DV113</f>
        <v>11.682586333578261</v>
      </c>
      <c r="DL204" s="96">
        <f>INPUT!DW113</f>
        <v>152.80000000000001</v>
      </c>
      <c r="DM204" s="18">
        <f>INPUT!DX113</f>
        <v>7.5299085151302014</v>
      </c>
      <c r="DN204" s="96">
        <f>INPUT!DY113</f>
        <v>171.4</v>
      </c>
      <c r="DO204" s="18">
        <f>INPUT!DZ113</f>
        <v>16.046039268788093</v>
      </c>
      <c r="DP204" s="96">
        <f>INPUT!EA113</f>
        <v>171.7</v>
      </c>
      <c r="DQ204" s="18">
        <f>INPUT!EB113</f>
        <v>10.631443298969078</v>
      </c>
      <c r="DR204" s="96">
        <f>INPUT!EC113</f>
        <v>178.9</v>
      </c>
      <c r="DS204" s="18">
        <f>INPUT!ED113</f>
        <v>17.69736842105263</v>
      </c>
      <c r="DT204" s="96">
        <f>INPUT!EE113</f>
        <v>177</v>
      </c>
      <c r="DU204" s="18">
        <f>INPUT!EF113</f>
        <v>15.837696335078522</v>
      </c>
      <c r="DV204" s="96">
        <f>INPUT!EG113</f>
        <v>173</v>
      </c>
      <c r="DW204" s="18">
        <f>INPUT!EH113</f>
        <v>0.93348891481912499</v>
      </c>
      <c r="DX204" s="96">
        <f>INPUT!EI113</f>
        <v>166.2</v>
      </c>
      <c r="DY204" s="18">
        <f>INPUT!EJ113</f>
        <v>-3.2032615026208466</v>
      </c>
      <c r="DZ204" s="96">
        <f>INPUT!EK113</f>
        <v>172.82484199999999</v>
      </c>
      <c r="EA204" s="18">
        <f>INPUT!EL113</f>
        <v>-3.3958401341531719</v>
      </c>
      <c r="EB204" s="96">
        <f>INPUT!EM113</f>
        <v>175.93568915599997</v>
      </c>
      <c r="EC204" s="18">
        <f>INPUT!EN113</f>
        <v>-0.60130556158194404</v>
      </c>
      <c r="ED204" s="96">
        <f>INPUT!EO113</f>
        <v>179.10253156080799</v>
      </c>
      <c r="EE204" s="18">
        <f>INPUT!EP113</f>
        <v>3.5274748906404474</v>
      </c>
      <c r="EF204" s="96">
        <f>INPUT!EQ113</f>
        <v>181.78906953422012</v>
      </c>
      <c r="EG204" s="18">
        <f>INPUT!ER113</f>
        <v>9.3797048942359407</v>
      </c>
      <c r="EH204" s="18"/>
      <c r="EI204" s="96">
        <f>INPUT!FB113</f>
        <v>0</v>
      </c>
      <c r="EJ204" s="399">
        <f>INPUT!FC113</f>
        <v>0</v>
      </c>
      <c r="EK204" s="96">
        <f>INPUT!FD113</f>
        <v>635.1</v>
      </c>
      <c r="EL204" s="399" t="str">
        <f>INPUT!FE113</f>
        <v>NA</v>
      </c>
      <c r="EM204" s="96">
        <f>INPUT!FF113</f>
        <v>745.4</v>
      </c>
      <c r="EN204" s="399">
        <f>INPUT!FG113</f>
        <v>17.367343725397568</v>
      </c>
      <c r="EO204" s="96">
        <f>INPUT!FH113</f>
        <v>837</v>
      </c>
      <c r="EP204" s="399">
        <f>INPUT!FI113</f>
        <v>12.288704051515964</v>
      </c>
      <c r="EQ204" s="96">
        <f>INPUT!FJ113</f>
        <v>907.4</v>
      </c>
      <c r="ER204" s="18">
        <f>INPUT!FK113</f>
        <v>8.4109916367980819</v>
      </c>
      <c r="ES204" s="96">
        <f>INPUT!FL113</f>
        <v>982.3</v>
      </c>
      <c r="ET204" s="18">
        <f>INPUT!FM113</f>
        <v>8.2543530967599708</v>
      </c>
      <c r="EU204" s="96">
        <f>INPUT!FN113</f>
        <v>1067.4000000000001</v>
      </c>
      <c r="EV204" s="18">
        <f>INPUT!FO113</f>
        <v>8.6633411381451744</v>
      </c>
      <c r="EW204" s="96">
        <f>INPUT!FP113</f>
        <v>1126.9000000000001</v>
      </c>
      <c r="EX204" s="18">
        <f>INPUT!FQ113</f>
        <v>5.5742926737867737</v>
      </c>
      <c r="EY204" s="96">
        <f>INPUT!FR113</f>
        <v>513.79999999999995</v>
      </c>
      <c r="EZ204" s="18" t="str">
        <f>INPUT!FS113</f>
        <v>NM</v>
      </c>
      <c r="FA204" s="96">
        <f>INPUT!FT113</f>
        <v>536.69999999999993</v>
      </c>
      <c r="FB204" s="18">
        <f>INPUT!FU113</f>
        <v>4.4569871545348416</v>
      </c>
      <c r="FC204" s="96">
        <f>INPUT!FV113</f>
        <v>536.79999999999995</v>
      </c>
      <c r="FD204" s="18">
        <f>INPUT!FW113</f>
        <v>1.8632383081795822E-2</v>
      </c>
      <c r="FE204" s="96">
        <f>INPUT!FX113</f>
        <v>560.60000000000014</v>
      </c>
      <c r="FF204" s="18">
        <f>INPUT!FY113</f>
        <v>4.4336810730253751</v>
      </c>
      <c r="FG204" s="96">
        <f>INPUT!FZ113</f>
        <v>579.59999999999991</v>
      </c>
      <c r="FH204" s="18">
        <f>INPUT!GA113</f>
        <v>3.3892258294683897</v>
      </c>
      <c r="FI204" s="96">
        <f>INPUT!GB113</f>
        <v>565.9</v>
      </c>
      <c r="FJ204" s="18">
        <f>INPUT!GC113</f>
        <v>-2.3636991028295307</v>
      </c>
      <c r="FK204" s="96">
        <f>INPUT!GD113</f>
        <v>581.09999999999991</v>
      </c>
      <c r="FL204" s="18">
        <f>INPUT!GE113</f>
        <v>2.6859869234846956</v>
      </c>
      <c r="FM204" s="96">
        <f>INPUT!GF113</f>
        <v>647.90000000000009</v>
      </c>
      <c r="FN204" s="18">
        <f>INPUT!GG113</f>
        <v>11.495439683359177</v>
      </c>
      <c r="FO204" s="96">
        <f>INPUT!GH113</f>
        <v>695.09999999999991</v>
      </c>
      <c r="FP204" s="18">
        <f>INPUT!GI113</f>
        <v>7.285074857231022</v>
      </c>
      <c r="FQ204" s="96">
        <f>INPUT!GJ113</f>
        <v>709.65213225102798</v>
      </c>
      <c r="FR204" s="18">
        <f>INPUT!GK113</f>
        <v>2.0935307511189771</v>
      </c>
      <c r="FS204" s="96">
        <f>INPUT!GL113</f>
        <v>745.13473886357929</v>
      </c>
      <c r="FT204" s="18">
        <f>INPUT!GM113</f>
        <v>4.9999999999999822</v>
      </c>
      <c r="FU204" s="96">
        <f>INPUT!GN113</f>
        <v>782.39147580675842</v>
      </c>
      <c r="FV204" s="18">
        <f>INPUT!GO113</f>
        <v>5.0000000000000266</v>
      </c>
      <c r="FW204" s="96">
        <f>INPUT!GP113</f>
        <v>821.5110495970963</v>
      </c>
      <c r="FX204" s="18">
        <f>INPUT!GQ113</f>
        <v>5.0000000000000044</v>
      </c>
      <c r="FY204" s="96">
        <f>INPUT!GR113</f>
        <v>864.39999061243918</v>
      </c>
      <c r="FZ204" s="18">
        <f>INPUT!GS113</f>
        <v>5.2207381795263075</v>
      </c>
      <c r="GA204" s="399">
        <f>INPUT!GT113</f>
        <v>4.4560245070069726</v>
      </c>
    </row>
    <row r="205" spans="1:183" ht="12.75" hidden="1" customHeight="1" outlineLevel="1" x14ac:dyDescent="0.2">
      <c r="A205" s="612" t="str">
        <f>INPUT!B114</f>
        <v xml:space="preserve">Commissions </v>
      </c>
      <c r="B205" s="96"/>
      <c r="C205" s="399"/>
      <c r="D205" s="96"/>
      <c r="E205" s="399"/>
      <c r="F205" s="96"/>
      <c r="G205" s="399"/>
      <c r="H205" s="96"/>
      <c r="I205" s="399"/>
      <c r="J205" s="96"/>
      <c r="K205" s="399"/>
      <c r="L205" s="96"/>
      <c r="M205" s="399"/>
      <c r="N205" s="96"/>
      <c r="O205" s="399"/>
      <c r="P205" s="96"/>
      <c r="Q205" s="399"/>
      <c r="R205" s="96">
        <f>INPUT!AC114</f>
        <v>63.099999999999994</v>
      </c>
      <c r="S205" s="399" t="str">
        <f>INPUT!AD114</f>
        <v>NA</v>
      </c>
      <c r="T205" s="96">
        <f>INPUT!AE114</f>
        <v>58</v>
      </c>
      <c r="U205" s="399" t="str">
        <f>INPUT!AF114</f>
        <v>NA</v>
      </c>
      <c r="V205" s="96">
        <f>INPUT!AG114</f>
        <v>56.6</v>
      </c>
      <c r="W205" s="399" t="str">
        <f>INPUT!AH114</f>
        <v>NA</v>
      </c>
      <c r="X205" s="96">
        <f>INPUT!AI114</f>
        <v>55.400000000000006</v>
      </c>
      <c r="Y205" s="399" t="str">
        <f>INPUT!AJ114</f>
        <v>NA</v>
      </c>
      <c r="Z205" s="96">
        <f>INPUT!AK114</f>
        <v>58.600000000000009</v>
      </c>
      <c r="AA205" s="399">
        <f>INPUT!AL114</f>
        <v>-7.1315372424722412</v>
      </c>
      <c r="AB205" s="96">
        <f>INPUT!AM114</f>
        <v>59.8</v>
      </c>
      <c r="AC205" s="399">
        <f>INPUT!AN114</f>
        <v>3.1034482758620641</v>
      </c>
      <c r="AD205" s="96">
        <f>INPUT!AO114</f>
        <v>55.5</v>
      </c>
      <c r="AE205" s="399">
        <f>INPUT!AP114</f>
        <v>-1.9434628975265045</v>
      </c>
      <c r="AF205" s="96">
        <f>INPUT!AQ114</f>
        <v>54.8</v>
      </c>
      <c r="AG205" s="399">
        <f>INPUT!AR114</f>
        <v>-1.0830324909747446</v>
      </c>
      <c r="AH205" s="96">
        <f>INPUT!AS114</f>
        <v>64.8</v>
      </c>
      <c r="AI205" s="399">
        <f>INPUT!AT114</f>
        <v>10.580204778156975</v>
      </c>
      <c r="AJ205" s="96">
        <f>INPUT!AU114</f>
        <v>57</v>
      </c>
      <c r="AK205" s="399">
        <f>INPUT!AV114</f>
        <v>-4.6822742474916357</v>
      </c>
      <c r="AL205" s="96">
        <f>INPUT!AW114</f>
        <v>58.3</v>
      </c>
      <c r="AM205" s="399">
        <f>INPUT!AX114</f>
        <v>5.0450450450450379</v>
      </c>
      <c r="AN205" s="96">
        <f>INPUT!AY114</f>
        <v>59.2</v>
      </c>
      <c r="AO205" s="18">
        <f>INPUT!AZ114</f>
        <v>8.0291970802919721</v>
      </c>
      <c r="AP205" s="96">
        <f>INPUT!BA114</f>
        <v>61.5</v>
      </c>
      <c r="AQ205" s="18">
        <f>INPUT!BB114</f>
        <v>-5.0925925925925934</v>
      </c>
      <c r="AR205" s="96">
        <f>INPUT!BC114</f>
        <v>59.6</v>
      </c>
      <c r="AS205" s="18">
        <f>INPUT!BD114</f>
        <v>4.5614035087719218</v>
      </c>
      <c r="AT205" s="96">
        <f>INPUT!BE114</f>
        <v>62.6</v>
      </c>
      <c r="AU205" s="18">
        <f>INPUT!BF114</f>
        <v>7.3756432246998349</v>
      </c>
      <c r="AV205" s="96">
        <f>INPUT!BG114</f>
        <v>61.4</v>
      </c>
      <c r="AW205" s="18">
        <f>INPUT!BH114</f>
        <v>3.716216216216206</v>
      </c>
      <c r="AX205" s="96">
        <f>INPUT!BI114</f>
        <v>67.8</v>
      </c>
      <c r="AY205" s="18">
        <f>INPUT!BJ114</f>
        <v>10.243902439024378</v>
      </c>
      <c r="AZ205" s="96">
        <f>INPUT!BK114</f>
        <v>67.900000000000006</v>
      </c>
      <c r="BA205" s="18">
        <f>INPUT!BL114</f>
        <v>13.926174496644306</v>
      </c>
      <c r="BB205" s="96">
        <f>INPUT!BM114</f>
        <v>65.7</v>
      </c>
      <c r="BC205" s="18">
        <f>INPUT!BN114</f>
        <v>4.9520766773162972</v>
      </c>
      <c r="BD205" s="96">
        <f>INPUT!BO114</f>
        <v>65.900000000000006</v>
      </c>
      <c r="BE205" s="18">
        <f>INPUT!BP114</f>
        <v>7.3289902280130326</v>
      </c>
      <c r="BF205" s="96">
        <f>INPUT!BQ114</f>
        <v>72.3</v>
      </c>
      <c r="BG205" s="18">
        <f>INPUT!BR114</f>
        <v>6.6371681415929196</v>
      </c>
      <c r="BH205" s="96">
        <f>INPUT!BS114</f>
        <v>69.400000000000006</v>
      </c>
      <c r="BI205" s="18">
        <f>INPUT!BT114</f>
        <v>2.2091310751104487</v>
      </c>
      <c r="BJ205" s="96">
        <f>INPUT!BU114</f>
        <v>63.7</v>
      </c>
      <c r="BK205" s="18">
        <f>INPUT!BV114</f>
        <v>-3.0441400304414001</v>
      </c>
      <c r="BL205" s="96">
        <f>INPUT!BW114</f>
        <v>63.6</v>
      </c>
      <c r="BM205" s="18">
        <f>INPUT!BX114</f>
        <v>-3.490136570561464</v>
      </c>
      <c r="BN205" s="96">
        <f>INPUT!BY114</f>
        <v>56.9</v>
      </c>
      <c r="BO205" s="18">
        <f>INPUT!BZ114</f>
        <v>-21.300138312586448</v>
      </c>
      <c r="BP205" s="96">
        <f>INPUT!CA114</f>
        <v>53.2</v>
      </c>
      <c r="BQ205" s="18">
        <f>INPUT!CB114</f>
        <v>-23.342939481268012</v>
      </c>
      <c r="BR205" s="96">
        <f>INPUT!CC114</f>
        <v>52.6</v>
      </c>
      <c r="BS205" s="18">
        <f>INPUT!CD114</f>
        <v>-17.425431711146</v>
      </c>
      <c r="BT205" s="96">
        <f>INPUT!CE114</f>
        <v>48.9</v>
      </c>
      <c r="BU205" s="18">
        <f>INPUT!CF114</f>
        <v>-23.113207547169811</v>
      </c>
      <c r="BV205" s="96">
        <f>INPUT!CG114</f>
        <v>58.7</v>
      </c>
      <c r="BW205" s="18">
        <f>INPUT!CH114</f>
        <v>3.1634446397188043</v>
      </c>
      <c r="BX205" s="96">
        <f>INPUT!CI114</f>
        <v>55.3</v>
      </c>
      <c r="BY205" s="18">
        <f>INPUT!CJ114</f>
        <v>3.9473684210526105</v>
      </c>
      <c r="BZ205" s="96">
        <f>INPUT!CK114</f>
        <v>55.4</v>
      </c>
      <c r="CA205" s="18">
        <f>INPUT!CL114</f>
        <v>5.323193916349811</v>
      </c>
      <c r="CB205" s="96">
        <f>INPUT!CM114</f>
        <v>49.6</v>
      </c>
      <c r="CC205" s="18">
        <f>INPUT!CN114</f>
        <v>1.4314928425357865</v>
      </c>
      <c r="CD205" s="96">
        <f>INPUT!CO114</f>
        <v>62.7</v>
      </c>
      <c r="CE205" s="18">
        <f>INPUT!CP114</f>
        <v>6.8143100511073307</v>
      </c>
      <c r="CF205" s="96">
        <f>INPUT!CQ114</f>
        <v>63.5</v>
      </c>
      <c r="CG205" s="18">
        <f>INPUT!CR114</f>
        <v>14.828209764918633</v>
      </c>
      <c r="CH205" s="96">
        <f>INPUT!CS114</f>
        <v>58.9</v>
      </c>
      <c r="CI205" s="18">
        <f>INPUT!CT114</f>
        <v>6.3176895306859215</v>
      </c>
      <c r="CJ205" s="96">
        <f>INPUT!CU114</f>
        <v>58.5</v>
      </c>
      <c r="CK205" s="18">
        <f>INPUT!CV114</f>
        <v>17.943548387096776</v>
      </c>
      <c r="CL205" s="96">
        <f>INPUT!CW114</f>
        <v>63.9</v>
      </c>
      <c r="CM205" s="18">
        <f>INPUT!CX114</f>
        <v>1.9138755980861122</v>
      </c>
      <c r="CN205" s="96">
        <f>INPUT!CY114</f>
        <v>54.8</v>
      </c>
      <c r="CO205" s="18">
        <f>INPUT!CZ114</f>
        <v>-13.700787401574811</v>
      </c>
      <c r="CP205" s="96">
        <f>INPUT!DA114</f>
        <v>56.6</v>
      </c>
      <c r="CQ205" s="18">
        <f>INPUT!DB114</f>
        <v>-3.9049235993208753</v>
      </c>
      <c r="CR205" s="96">
        <f>INPUT!DC114</f>
        <v>57</v>
      </c>
      <c r="CS205" s="18">
        <f>INPUT!DD114</f>
        <v>-2.5641025641025661</v>
      </c>
      <c r="CT205" s="96">
        <f>INPUT!DE114</f>
        <v>66.599999999999994</v>
      </c>
      <c r="CU205" s="18">
        <f>INPUT!DF114</f>
        <v>4.2253521126760507</v>
      </c>
      <c r="CV205" s="96">
        <f>INPUT!DG114</f>
        <v>61.9</v>
      </c>
      <c r="CW205" s="18">
        <f>INPUT!DH114</f>
        <v>12.956204379562042</v>
      </c>
      <c r="CX205" s="96">
        <f>INPUT!DI114</f>
        <v>62.3</v>
      </c>
      <c r="CY205" s="18">
        <f>INPUT!DJ114</f>
        <v>10.070671378091856</v>
      </c>
      <c r="CZ205" s="96">
        <f>INPUT!DK114</f>
        <v>63.4</v>
      </c>
      <c r="DA205" s="18">
        <f>INPUT!DL114</f>
        <v>11.228070175438587</v>
      </c>
      <c r="DB205" s="96">
        <f>INPUT!DM114</f>
        <v>71.099999999999994</v>
      </c>
      <c r="DC205" s="18">
        <f>INPUT!DN114</f>
        <v>6.7567567567567544</v>
      </c>
      <c r="DD205" s="96">
        <f>INPUT!DO114</f>
        <v>66.3</v>
      </c>
      <c r="DE205" s="18">
        <f>INPUT!DP114</f>
        <v>7.1082390953150165</v>
      </c>
      <c r="DF205" s="96">
        <f>INPUT!DQ114</f>
        <v>65</v>
      </c>
      <c r="DG205" s="18">
        <f>INPUT!DR114</f>
        <v>4.3338683788122001</v>
      </c>
      <c r="DH205" s="96">
        <f>INPUT!DS114</f>
        <v>66.400000000000006</v>
      </c>
      <c r="DI205" s="18">
        <f>INPUT!DT114</f>
        <v>4.7318611987381853</v>
      </c>
      <c r="DJ205" s="96">
        <f>INPUT!DU114</f>
        <v>71.5</v>
      </c>
      <c r="DK205" s="18">
        <f>INPUT!DV114</f>
        <v>0.56258790436005679</v>
      </c>
      <c r="DL205" s="96">
        <f>INPUT!DW114</f>
        <v>69.5</v>
      </c>
      <c r="DM205" s="18">
        <f>INPUT!DX114</f>
        <v>4.8265460030165963</v>
      </c>
      <c r="DN205" s="96">
        <f>INPUT!DY114</f>
        <v>69.7</v>
      </c>
      <c r="DO205" s="18">
        <f>INPUT!DZ114</f>
        <v>7.2307692307692406</v>
      </c>
      <c r="DP205" s="96">
        <f>INPUT!EA114</f>
        <v>64.7</v>
      </c>
      <c r="DQ205" s="18">
        <f>INPUT!EB114</f>
        <v>-2.5602409638554202</v>
      </c>
      <c r="DR205" s="96">
        <f>INPUT!EC114</f>
        <v>74.2</v>
      </c>
      <c r="DS205" s="18">
        <f>INPUT!ED114</f>
        <v>3.7762237762237749</v>
      </c>
      <c r="DT205" s="96">
        <f>INPUT!EE114</f>
        <v>67.7</v>
      </c>
      <c r="DU205" s="18">
        <f>INPUT!EF114</f>
        <v>-2.5899280575539474</v>
      </c>
      <c r="DV205" s="96">
        <f>INPUT!EG114</f>
        <v>65</v>
      </c>
      <c r="DW205" s="18">
        <f>INPUT!EH114</f>
        <v>-6.7431850789096188</v>
      </c>
      <c r="DX205" s="96">
        <f>INPUT!EI114</f>
        <v>70.7</v>
      </c>
      <c r="DY205" s="18">
        <f>INPUT!EJ114</f>
        <v>9.2735703245749654</v>
      </c>
      <c r="DZ205" s="96">
        <f>INPUT!EK114</f>
        <v>70.121570599999998</v>
      </c>
      <c r="EA205" s="18">
        <f>INPUT!EL114</f>
        <v>-5.496535579514827</v>
      </c>
      <c r="EB205" s="96">
        <f>INPUT!EM114</f>
        <v>71.383758870799994</v>
      </c>
      <c r="EC205" s="18">
        <f>INPUT!EN114</f>
        <v>5.4412981843426689</v>
      </c>
      <c r="ED205" s="96">
        <f>INPUT!EO114</f>
        <v>72.668666530474397</v>
      </c>
      <c r="EE205" s="18">
        <f>INPUT!EP114</f>
        <v>11.797948508422152</v>
      </c>
      <c r="EF205" s="96">
        <f>INPUT!EQ114</f>
        <v>73.758696528431514</v>
      </c>
      <c r="EG205" s="18">
        <f>INPUT!ER114</f>
        <v>4.3263034348394847</v>
      </c>
      <c r="EH205" s="18"/>
      <c r="EI205" s="96">
        <f>INPUT!FB114</f>
        <v>0</v>
      </c>
      <c r="EJ205" s="399">
        <f>INPUT!FC114</f>
        <v>0</v>
      </c>
      <c r="EK205" s="96">
        <f>INPUT!FD114</f>
        <v>213.6</v>
      </c>
      <c r="EL205" s="399" t="str">
        <f>INPUT!FE114</f>
        <v>NA</v>
      </c>
      <c r="EM205" s="96">
        <f>INPUT!FF114</f>
        <v>235.5</v>
      </c>
      <c r="EN205" s="399">
        <f>INPUT!FG114</f>
        <v>10.252808988764039</v>
      </c>
      <c r="EO205" s="96">
        <f>INPUT!FH114</f>
        <v>233.1</v>
      </c>
      <c r="EP205" s="399">
        <f>INPUT!FI114</f>
        <v>-1.0191082802547768</v>
      </c>
      <c r="EQ205" s="96">
        <f>INPUT!FJ114</f>
        <v>228.7</v>
      </c>
      <c r="ER205" s="18">
        <f>INPUT!FK114</f>
        <v>-1.8876018876018863</v>
      </c>
      <c r="ES205" s="96">
        <f>INPUT!FL114</f>
        <v>239.3</v>
      </c>
      <c r="ET205" s="18">
        <f>INPUT!FM114</f>
        <v>4.6348928727590888</v>
      </c>
      <c r="EU205" s="96">
        <f>INPUT!FN114</f>
        <v>245.1</v>
      </c>
      <c r="EV205" s="18">
        <f>INPUT!FO114</f>
        <v>2.4237358963643985</v>
      </c>
      <c r="EW205" s="96">
        <f>INPUT!FP114</f>
        <v>267.29999999999995</v>
      </c>
      <c r="EX205" s="18">
        <f>INPUT!FQ114</f>
        <v>9.0575275397796631</v>
      </c>
      <c r="EY205" s="96">
        <f>INPUT!FR114</f>
        <v>200.7</v>
      </c>
      <c r="EZ205" s="18">
        <f>INPUT!FS114</f>
        <v>-24.915824915824903</v>
      </c>
      <c r="FA205" s="96">
        <f>INPUT!FT114</f>
        <v>211.6</v>
      </c>
      <c r="FB205" s="18">
        <f>INPUT!FU114</f>
        <v>5.4309915296462341</v>
      </c>
      <c r="FC205" s="96">
        <f>INPUT!FV114</f>
        <v>219</v>
      </c>
      <c r="FD205" s="18">
        <f>INPUT!FW114</f>
        <v>3.4971644612476371</v>
      </c>
      <c r="FE205" s="96">
        <f>INPUT!FX114</f>
        <v>243.6</v>
      </c>
      <c r="FF205" s="18">
        <f>INPUT!FY114</f>
        <v>11.232876712328753</v>
      </c>
      <c r="FG205" s="96">
        <f>INPUT!FZ114</f>
        <v>232.29999999999998</v>
      </c>
      <c r="FH205" s="18">
        <f>INPUT!GA114</f>
        <v>-4.6387520525451587</v>
      </c>
      <c r="FI205" s="96">
        <f>INPUT!GB114</f>
        <v>254.20000000000002</v>
      </c>
      <c r="FJ205" s="18">
        <f>INPUT!GC114</f>
        <v>9.4274644855790068</v>
      </c>
      <c r="FK205" s="96">
        <f>INPUT!GD114</f>
        <v>268.79999999999995</v>
      </c>
      <c r="FL205" s="18">
        <f>INPUT!GE114</f>
        <v>5.7435090479936779</v>
      </c>
      <c r="FM205" s="96">
        <f>INPUT!GF114</f>
        <v>275.39999999999998</v>
      </c>
      <c r="FN205" s="18">
        <f>INPUT!GG114</f>
        <v>2.4553571428571619</v>
      </c>
      <c r="FO205" s="96">
        <f>INPUT!GH114</f>
        <v>277.60000000000002</v>
      </c>
      <c r="FP205" s="18">
        <f>INPUT!GI114</f>
        <v>0.79883805374003636</v>
      </c>
      <c r="FQ205" s="96">
        <f>INPUT!GJ114</f>
        <v>287.93269252970595</v>
      </c>
      <c r="FR205" s="18">
        <f>INPUT!GK114</f>
        <v>3.7221514876462303</v>
      </c>
      <c r="FS205" s="96">
        <f>INPUT!GL114</f>
        <v>302.32932715619125</v>
      </c>
      <c r="FT205" s="18">
        <f>INPUT!GM114</f>
        <v>5.0000000000000044</v>
      </c>
      <c r="FU205" s="96">
        <f>INPUT!GN114</f>
        <v>317.44579351400085</v>
      </c>
      <c r="FV205" s="18">
        <f>INPUT!GO114</f>
        <v>5.0000000000000044</v>
      </c>
      <c r="FW205" s="96">
        <f>INPUT!GP114</f>
        <v>333.31808318970087</v>
      </c>
      <c r="FX205" s="18">
        <f>INPUT!GQ114</f>
        <v>4.9999999999999822</v>
      </c>
      <c r="FY205" s="96">
        <f>INPUT!GR114</f>
        <v>349.9839873491859</v>
      </c>
      <c r="FZ205" s="18">
        <f>INPUT!GS114</f>
        <v>5.0000000000000044</v>
      </c>
      <c r="GA205" s="399">
        <f>INPUT!GT114</f>
        <v>4.743177023058176</v>
      </c>
    </row>
    <row r="206" spans="1:183" ht="12.75" hidden="1" customHeight="1" outlineLevel="1" x14ac:dyDescent="0.2">
      <c r="A206" s="612" t="str">
        <f>INPUT!B115</f>
        <v>Net Change in DPAC</v>
      </c>
      <c r="B206" s="96"/>
      <c r="C206" s="399"/>
      <c r="D206" s="96"/>
      <c r="E206" s="399"/>
      <c r="F206" s="96"/>
      <c r="G206" s="399"/>
      <c r="H206" s="96"/>
      <c r="I206" s="399"/>
      <c r="J206" s="96"/>
      <c r="K206" s="399"/>
      <c r="L206" s="96"/>
      <c r="M206" s="399"/>
      <c r="N206" s="96"/>
      <c r="O206" s="399"/>
      <c r="P206" s="96"/>
      <c r="Q206" s="399"/>
      <c r="R206" s="96">
        <f>INPUT!AC115</f>
        <v>-30.200000000000003</v>
      </c>
      <c r="S206" s="399" t="str">
        <f>INPUT!AD115</f>
        <v>NA</v>
      </c>
      <c r="T206" s="96">
        <f>INPUT!AE115</f>
        <v>-25.699999999999996</v>
      </c>
      <c r="U206" s="399" t="str">
        <f>INPUT!AF115</f>
        <v>NA</v>
      </c>
      <c r="V206" s="96">
        <f>INPUT!AG115</f>
        <v>-21.299999999999997</v>
      </c>
      <c r="W206" s="399" t="str">
        <f>INPUT!AH115</f>
        <v>NA</v>
      </c>
      <c r="X206" s="96">
        <f>INPUT!AI115</f>
        <v>-18.900000000000013</v>
      </c>
      <c r="Y206" s="399" t="str">
        <f>INPUT!AJ115</f>
        <v>NA</v>
      </c>
      <c r="Z206" s="96">
        <f>INPUT!AK115</f>
        <v>-17.399999999999999</v>
      </c>
      <c r="AA206" s="399">
        <f>INPUT!AL115</f>
        <v>-42.384105960264904</v>
      </c>
      <c r="AB206" s="96">
        <f>INPUT!AM115</f>
        <v>-13.899999999999999</v>
      </c>
      <c r="AC206" s="399">
        <f>INPUT!AN115</f>
        <v>-45.914396887159526</v>
      </c>
      <c r="AD206" s="96">
        <f>INPUT!AO115</f>
        <v>-14.899999999999999</v>
      </c>
      <c r="AE206" s="399">
        <f>INPUT!AP115</f>
        <v>-30.046948356807512</v>
      </c>
      <c r="AF206" s="96">
        <f>INPUT!AQ115</f>
        <v>-16.699999999999996</v>
      </c>
      <c r="AG206" s="399">
        <f>INPUT!AR115</f>
        <v>-11.640211640211717</v>
      </c>
      <c r="AH206" s="96">
        <f>INPUT!AS115</f>
        <v>-13.399999999999999</v>
      </c>
      <c r="AI206" s="399">
        <f>INPUT!AT115</f>
        <v>-22.988505747126442</v>
      </c>
      <c r="AJ206" s="96">
        <f>INPUT!AU115</f>
        <v>-9.9000000000000057</v>
      </c>
      <c r="AK206" s="399">
        <f>INPUT!AV115</f>
        <v>-28.776978417266143</v>
      </c>
      <c r="AL206" s="96">
        <f>INPUT!AW115</f>
        <v>-11.899999999999999</v>
      </c>
      <c r="AM206" s="399">
        <f>INPUT!AX115</f>
        <v>-20.134228187919469</v>
      </c>
      <c r="AN206" s="96">
        <f>INPUT!AY115</f>
        <v>-17.899999999999999</v>
      </c>
      <c r="AO206" s="18">
        <f>INPUT!AZ115</f>
        <v>7.1856287425149823</v>
      </c>
      <c r="AP206" s="96">
        <f>INPUT!BA115</f>
        <v>-11.399999999999999</v>
      </c>
      <c r="AQ206" s="18">
        <f>INPUT!BB115</f>
        <v>-14.925373134328357</v>
      </c>
      <c r="AR206" s="96">
        <f>INPUT!BC115</f>
        <v>-5.0999999999999943</v>
      </c>
      <c r="AS206" s="18">
        <f>INPUT!BD115</f>
        <v>-48.484848484848577</v>
      </c>
      <c r="AT206" s="96">
        <f>INPUT!BE115</f>
        <v>-8.3999999999999986</v>
      </c>
      <c r="AU206" s="18">
        <f>INPUT!BF115</f>
        <v>-29.411764705882359</v>
      </c>
      <c r="AV206" s="96">
        <f>INPUT!BG115</f>
        <v>-11.300000000000004</v>
      </c>
      <c r="AW206" s="18">
        <f>INPUT!BH115</f>
        <v>-36.87150837988824</v>
      </c>
      <c r="AX206" s="96">
        <f>INPUT!BI115</f>
        <v>-8.5</v>
      </c>
      <c r="AY206" s="18">
        <f>INPUT!BJ115</f>
        <v>-25.438596491228061</v>
      </c>
      <c r="AZ206" s="96">
        <f>INPUT!BK115</f>
        <v>-14.299999999999997</v>
      </c>
      <c r="BA206" s="18" t="str">
        <f>INPUT!BL115</f>
        <v>NM</v>
      </c>
      <c r="BB206" s="96">
        <f>INPUT!BM115</f>
        <v>-9.7999999999999972</v>
      </c>
      <c r="BC206" s="18">
        <f>INPUT!BN115</f>
        <v>16.66666666666665</v>
      </c>
      <c r="BD206" s="96">
        <f>INPUT!BO115</f>
        <v>-8.8000000000000043</v>
      </c>
      <c r="BE206" s="18">
        <f>INPUT!BP115</f>
        <v>-22.123893805309724</v>
      </c>
      <c r="BF206" s="96">
        <f>INPUT!BQ115</f>
        <v>-12.200000000000003</v>
      </c>
      <c r="BG206" s="18">
        <f>INPUT!BR115</f>
        <v>43.529411764705905</v>
      </c>
      <c r="BH206" s="96">
        <f>INPUT!BS115</f>
        <v>-4.5</v>
      </c>
      <c r="BI206" s="18" t="str">
        <f>INPUT!BT115</f>
        <v>NM</v>
      </c>
      <c r="BJ206" s="96">
        <f>INPUT!BU115</f>
        <v>-1</v>
      </c>
      <c r="BK206" s="18" t="str">
        <f>INPUT!BV115</f>
        <v>NM</v>
      </c>
      <c r="BL206" s="96">
        <f>INPUT!BW115</f>
        <v>-3.1999999999999957</v>
      </c>
      <c r="BM206" s="18" t="str">
        <f>INPUT!BX115</f>
        <v>NM</v>
      </c>
      <c r="BN206" s="96">
        <f>INPUT!BY115</f>
        <v>-4.5</v>
      </c>
      <c r="BO206" s="18" t="str">
        <f>INPUT!BZ115</f>
        <v>NM</v>
      </c>
      <c r="BP206" s="96">
        <f>INPUT!CA115</f>
        <v>-5.3999999999999986</v>
      </c>
      <c r="BQ206" s="18">
        <f>INPUT!CB115</f>
        <v>19.999999999999972</v>
      </c>
      <c r="BR206" s="96">
        <f>INPUT!CC115</f>
        <v>-4.8999999999999986</v>
      </c>
      <c r="BS206" s="18" t="str">
        <f>INPUT!CD115</f>
        <v>NM</v>
      </c>
      <c r="BT206" s="96">
        <f>INPUT!CE115</f>
        <v>-1.3999999999999986</v>
      </c>
      <c r="BU206" s="18" t="str">
        <f>INPUT!CF115</f>
        <v>NM</v>
      </c>
      <c r="BV206" s="96">
        <f>INPUT!CG115</f>
        <v>-5.5</v>
      </c>
      <c r="BW206" s="18">
        <f>INPUT!CH115</f>
        <v>22.222222222222232</v>
      </c>
      <c r="BX206" s="96">
        <f>INPUT!CI115</f>
        <v>-5.7000000000000028</v>
      </c>
      <c r="BY206" s="18">
        <f>INPUT!CJ115</f>
        <v>5.5555555555556468</v>
      </c>
      <c r="BZ206" s="96">
        <f>INPUT!CK115</f>
        <v>-12.199999999999996</v>
      </c>
      <c r="CA206" s="18" t="str">
        <f>INPUT!CL115</f>
        <v>NM</v>
      </c>
      <c r="CB206" s="96">
        <f>INPUT!CM115</f>
        <v>-2.3999999999999986</v>
      </c>
      <c r="CC206" s="18">
        <f>INPUT!CN115</f>
        <v>71.428571428571502</v>
      </c>
      <c r="CD206" s="96">
        <f>INPUT!CO115</f>
        <v>-4.7000000000000028</v>
      </c>
      <c r="CE206" s="18">
        <f>INPUT!CP115</f>
        <v>-14.545454545454495</v>
      </c>
      <c r="CF206" s="96">
        <f>INPUT!CQ115</f>
        <v>-8.1000000000000014</v>
      </c>
      <c r="CG206" s="18">
        <f>INPUT!CR115</f>
        <v>42.10526315789469</v>
      </c>
      <c r="CH206" s="96">
        <f>INPUT!CS115</f>
        <v>-11.700000000000003</v>
      </c>
      <c r="CI206" s="18">
        <f>INPUT!CT115</f>
        <v>-4.0983606557376433</v>
      </c>
      <c r="CJ206" s="96">
        <f>INPUT!CU115</f>
        <v>-11.400000000000006</v>
      </c>
      <c r="CK206" s="18" t="str">
        <f>INPUT!CV115</f>
        <v>NM</v>
      </c>
      <c r="CL206" s="96">
        <f>INPUT!CW115</f>
        <v>15.800000000000004</v>
      </c>
      <c r="CM206" s="18" t="str">
        <f>INPUT!CX115</f>
        <v>NM</v>
      </c>
      <c r="CN206" s="96">
        <f>INPUT!CY115</f>
        <v>-1.6000000000000014</v>
      </c>
      <c r="CO206" s="18" t="str">
        <f>INPUT!CZ115</f>
        <v>NM</v>
      </c>
      <c r="CP206" s="96">
        <f>INPUT!DA115</f>
        <v>-9.1000000000000014</v>
      </c>
      <c r="CQ206" s="18">
        <f>INPUT!DB115</f>
        <v>-22.222222222222232</v>
      </c>
      <c r="CR206" s="96">
        <f>INPUT!DC115</f>
        <v>-9.5</v>
      </c>
      <c r="CS206" s="18">
        <f>INPUT!DD115</f>
        <v>-16.666666666666707</v>
      </c>
      <c r="CT206" s="96">
        <f>INPUT!DE115</f>
        <v>1.8999999999999986</v>
      </c>
      <c r="CU206" s="18" t="str">
        <f>INPUT!DF115</f>
        <v>NM</v>
      </c>
      <c r="CV206" s="96">
        <f>INPUT!DG115</f>
        <v>-5.3999999999999986</v>
      </c>
      <c r="CW206" s="18" t="str">
        <f>INPUT!DH115</f>
        <v>NM</v>
      </c>
      <c r="CX206" s="96">
        <f>INPUT!DI115</f>
        <v>-7.2000000000000028</v>
      </c>
      <c r="CY206" s="18">
        <f>INPUT!DJ115</f>
        <v>-20.879120879120862</v>
      </c>
      <c r="CZ206" s="96">
        <f>INPUT!DK115</f>
        <v>-10.100000000000001</v>
      </c>
      <c r="DA206" s="18">
        <f>INPUT!DL115</f>
        <v>6.3157894736842302</v>
      </c>
      <c r="DB206" s="96">
        <f>INPUT!DM115</f>
        <v>6.7999999999999972</v>
      </c>
      <c r="DC206" s="18" t="str">
        <f>INPUT!DN115</f>
        <v>NM</v>
      </c>
      <c r="DD206" s="96">
        <f>INPUT!DO115</f>
        <v>-3.6000000000000014</v>
      </c>
      <c r="DE206" s="18">
        <f>INPUT!DP115</f>
        <v>-33.333333333333293</v>
      </c>
      <c r="DF206" s="96">
        <f>INPUT!DQ115</f>
        <v>-5.7999999999999972</v>
      </c>
      <c r="DG206" s="18">
        <f>INPUT!DR115</f>
        <v>-19.444444444444521</v>
      </c>
      <c r="DH206" s="96">
        <f>INPUT!DS115</f>
        <v>-15.800000000000004</v>
      </c>
      <c r="DI206" s="18">
        <f>INPUT!DT115</f>
        <v>56.435643564356461</v>
      </c>
      <c r="DJ206" s="96">
        <f>INPUT!DU115</f>
        <v>-0.80000000000000426</v>
      </c>
      <c r="DK206" s="18" t="str">
        <f>INPUT!DV115</f>
        <v>NM</v>
      </c>
      <c r="DL206" s="96">
        <f>INPUT!DW115</f>
        <v>-3.6000000000000014</v>
      </c>
      <c r="DM206" s="18">
        <f>INPUT!DX115</f>
        <v>0</v>
      </c>
      <c r="DN206" s="96">
        <f>INPUT!DY115</f>
        <v>-7.7000000000000028</v>
      </c>
      <c r="DO206" s="18">
        <f>INPUT!DZ115</f>
        <v>32.758620689655295</v>
      </c>
      <c r="DP206" s="96">
        <f>INPUT!EA115</f>
        <v>-9.7999999999999972</v>
      </c>
      <c r="DQ206" s="18">
        <f>INPUT!EB115</f>
        <v>-37.974683544303836</v>
      </c>
      <c r="DR206" s="96">
        <f>INPUT!EC115</f>
        <v>-0.5</v>
      </c>
      <c r="DS206" s="18">
        <f>INPUT!ED115</f>
        <v>-37.500000000000334</v>
      </c>
      <c r="DT206" s="96">
        <f>INPUT!EE115</f>
        <v>3.4000000000000057</v>
      </c>
      <c r="DU206" s="18" t="str">
        <f>INPUT!EF115</f>
        <v>NM</v>
      </c>
      <c r="DV206" s="96">
        <f>INPUT!EG115</f>
        <v>-9</v>
      </c>
      <c r="DW206" s="18">
        <f>INPUT!EH115</f>
        <v>16.883116883116834</v>
      </c>
      <c r="DX206" s="96">
        <f>INPUT!EI115</f>
        <v>-14.5</v>
      </c>
      <c r="DY206" s="18">
        <f>INPUT!EJ115</f>
        <v>47.959183673469433</v>
      </c>
      <c r="DZ206" s="96">
        <f>INPUT!EK115</f>
        <v>2.5</v>
      </c>
      <c r="EA206" s="18" t="str">
        <f>INPUT!EL115</f>
        <v>NM</v>
      </c>
      <c r="EB206" s="96">
        <f>INPUT!EM115</f>
        <v>2.5374999999999996</v>
      </c>
      <c r="EC206" s="18">
        <f>INPUT!EN115</f>
        <v>-25.36764705882366</v>
      </c>
      <c r="ED206" s="96">
        <f>INPUT!EO115</f>
        <v>2.5755624999999993</v>
      </c>
      <c r="EE206" s="18" t="str">
        <f>INPUT!EP115</f>
        <v>NM</v>
      </c>
      <c r="EF206" s="96">
        <f>INPUT!EQ115</f>
        <v>2.614195937499999</v>
      </c>
      <c r="EG206" s="18" t="str">
        <f>INPUT!ER115</f>
        <v>NM</v>
      </c>
      <c r="EH206" s="18"/>
      <c r="EI206" s="96">
        <f>INPUT!FB115</f>
        <v>0</v>
      </c>
      <c r="EJ206" s="399">
        <f>INPUT!FC115</f>
        <v>0</v>
      </c>
      <c r="EK206" s="96">
        <f>INPUT!FD115</f>
        <v>-167.9</v>
      </c>
      <c r="EL206" s="399" t="str">
        <f>INPUT!FE115</f>
        <v>NA</v>
      </c>
      <c r="EM206" s="96">
        <f>INPUT!FF115</f>
        <v>-139.69999999999999</v>
      </c>
      <c r="EN206" s="399">
        <f>INPUT!FG115</f>
        <v>-16.795711733174524</v>
      </c>
      <c r="EO206" s="96">
        <f>INPUT!FH115</f>
        <v>-96.100000000000009</v>
      </c>
      <c r="EP206" s="399">
        <f>INPUT!FI115</f>
        <v>-31.209735146743011</v>
      </c>
      <c r="EQ206" s="96">
        <f>INPUT!FJ115</f>
        <v>-62.899999999999991</v>
      </c>
      <c r="ER206" s="18">
        <f>INPUT!FK115</f>
        <v>-34.547346514047881</v>
      </c>
      <c r="ES206" s="96">
        <f>INPUT!FL115</f>
        <v>-53.1</v>
      </c>
      <c r="ET206" s="18">
        <f>INPUT!FM115</f>
        <v>-15.58028616852145</v>
      </c>
      <c r="EU206" s="96">
        <f>INPUT!FN115</f>
        <v>-36.199999999999996</v>
      </c>
      <c r="EV206" s="18">
        <f>INPUT!FO115</f>
        <v>-31.826741996233533</v>
      </c>
      <c r="EW206" s="96">
        <f>INPUT!FP115</f>
        <v>-41.4</v>
      </c>
      <c r="EX206" s="18">
        <f>INPUT!FQ115</f>
        <v>14.364640883977909</v>
      </c>
      <c r="EY206" s="96">
        <f>INPUT!FR115</f>
        <v>-28.200000000000017</v>
      </c>
      <c r="EZ206" s="18">
        <f>INPUT!FS115</f>
        <v>-31.884057971014446</v>
      </c>
      <c r="FA206" s="96">
        <f>INPUT!FT115</f>
        <v>-16.199999999999996</v>
      </c>
      <c r="FB206" s="18">
        <f>INPUT!FU115</f>
        <v>-42.553191489361751</v>
      </c>
      <c r="FC206" s="96">
        <f>INPUT!FV115</f>
        <v>-25.799999999999997</v>
      </c>
      <c r="FD206" s="18">
        <f>INPUT!FW115</f>
        <v>59.259259259259281</v>
      </c>
      <c r="FE206" s="96">
        <f>INPUT!FX115</f>
        <v>-35.900000000000013</v>
      </c>
      <c r="FF206" s="18">
        <f>INPUT!FY115</f>
        <v>39.147286821705492</v>
      </c>
      <c r="FG206" s="96">
        <f>INPUT!FZ115</f>
        <v>-4.3999999999999986</v>
      </c>
      <c r="FH206" s="18" t="str">
        <f>INPUT!GA115</f>
        <v>NM</v>
      </c>
      <c r="FI206" s="96">
        <f>INPUT!GB115</f>
        <v>-20.800000000000004</v>
      </c>
      <c r="FJ206" s="18" t="str">
        <f>INPUT!GC115</f>
        <v>NM</v>
      </c>
      <c r="FK206" s="96">
        <f>INPUT!GD115</f>
        <v>-18.400000000000006</v>
      </c>
      <c r="FL206" s="18">
        <f>INPUT!GE115</f>
        <v>-11.538461538461531</v>
      </c>
      <c r="FM206" s="96">
        <f>INPUT!GF115</f>
        <v>-21.900000000000006</v>
      </c>
      <c r="FN206" s="18">
        <f>INPUT!GG115</f>
        <v>19.021739130434767</v>
      </c>
      <c r="FO206" s="96">
        <f>INPUT!GH115</f>
        <v>-20.599999999999994</v>
      </c>
      <c r="FP206" s="18">
        <f>INPUT!GI115</f>
        <v>-5.9360730593607798</v>
      </c>
      <c r="FQ206" s="96">
        <f>INPUT!GJ115</f>
        <v>10.227258437499998</v>
      </c>
      <c r="FR206" s="18" t="str">
        <f>INPUT!GK115</f>
        <v>NM</v>
      </c>
      <c r="FS206" s="96">
        <f>INPUT!GL115</f>
        <v>10.738621359374998</v>
      </c>
      <c r="FT206" s="18">
        <f>INPUT!GM115</f>
        <v>5.0000000000000044</v>
      </c>
      <c r="FU206" s="96">
        <f>INPUT!GN115</f>
        <v>11.275552427343747</v>
      </c>
      <c r="FV206" s="18">
        <f>INPUT!GO115</f>
        <v>5.0000000000000044</v>
      </c>
      <c r="FW206" s="96">
        <f>INPUT!GP115</f>
        <v>11.839330048710933</v>
      </c>
      <c r="FX206" s="18">
        <f>INPUT!GQ115</f>
        <v>4.9999999999999822</v>
      </c>
      <c r="FY206" s="96">
        <f>INPUT!GR115</f>
        <v>12.431296551146479</v>
      </c>
      <c r="FZ206" s="18">
        <f>INPUT!GS115</f>
        <v>5.0000000000000044</v>
      </c>
      <c r="GA206" s="399" t="str">
        <f>INPUT!GT115</f>
        <v>NM</v>
      </c>
    </row>
    <row r="207" spans="1:183" ht="12.75" hidden="1" customHeight="1" outlineLevel="1" x14ac:dyDescent="0.2">
      <c r="A207" s="612" t="str">
        <f>INPUT!B116</f>
        <v>Operating Expenses</v>
      </c>
      <c r="B207" s="96"/>
      <c r="C207" s="399"/>
      <c r="D207" s="96"/>
      <c r="E207" s="399"/>
      <c r="F207" s="96"/>
      <c r="G207" s="399"/>
      <c r="H207" s="96"/>
      <c r="I207" s="399"/>
      <c r="J207" s="96"/>
      <c r="K207" s="399"/>
      <c r="L207" s="96"/>
      <c r="M207" s="399"/>
      <c r="N207" s="96"/>
      <c r="O207" s="399"/>
      <c r="P207" s="96"/>
      <c r="Q207" s="399"/>
      <c r="R207" s="96">
        <f>INPUT!AC116</f>
        <v>62.999999999999993</v>
      </c>
      <c r="S207" s="399" t="str">
        <f>INPUT!AD116</f>
        <v>NA</v>
      </c>
      <c r="T207" s="96">
        <f>INPUT!AE116</f>
        <v>61.800000000000004</v>
      </c>
      <c r="U207" s="399" t="str">
        <f>INPUT!AF116</f>
        <v>NA</v>
      </c>
      <c r="V207" s="96">
        <f>INPUT!AG116</f>
        <v>58.6</v>
      </c>
      <c r="W207" s="399" t="str">
        <f>INPUT!AH116</f>
        <v>NA</v>
      </c>
      <c r="X207" s="96">
        <f>INPUT!AI116</f>
        <v>58.899999999999984</v>
      </c>
      <c r="Y207" s="399" t="str">
        <f>INPUT!AJ116</f>
        <v>NA</v>
      </c>
      <c r="Z207" s="96">
        <f>INPUT!AK116</f>
        <v>64.2</v>
      </c>
      <c r="AA207" s="399">
        <f>INPUT!AL116</f>
        <v>1.9047619047619202</v>
      </c>
      <c r="AB207" s="96">
        <f>INPUT!AM116</f>
        <v>65.7</v>
      </c>
      <c r="AC207" s="399">
        <f>INPUT!AN116</f>
        <v>6.3106796116504826</v>
      </c>
      <c r="AD207" s="96">
        <f>INPUT!AO116</f>
        <v>64.599999999999994</v>
      </c>
      <c r="AE207" s="399">
        <f>INPUT!AP116</f>
        <v>10.238907849829349</v>
      </c>
      <c r="AF207" s="96">
        <f>INPUT!AQ116</f>
        <v>65.899999999999991</v>
      </c>
      <c r="AG207" s="399">
        <f>INPUT!AR116</f>
        <v>11.884550084889668</v>
      </c>
      <c r="AH207" s="96">
        <f>INPUT!AS116</f>
        <v>60.9</v>
      </c>
      <c r="AI207" s="399">
        <f>INPUT!AT116</f>
        <v>-5.1401869158878561</v>
      </c>
      <c r="AJ207" s="96">
        <f>INPUT!AU116</f>
        <v>64.599999999999994</v>
      </c>
      <c r="AK207" s="399">
        <f>INPUT!AV116</f>
        <v>-1.6742770167427867</v>
      </c>
      <c r="AL207" s="96">
        <f>INPUT!AW116</f>
        <v>61.1</v>
      </c>
      <c r="AM207" s="399">
        <f>INPUT!AX116</f>
        <v>-5.4179566563467336</v>
      </c>
      <c r="AN207" s="96">
        <f>INPUT!AY116</f>
        <v>65</v>
      </c>
      <c r="AO207" s="18">
        <f>INPUT!AZ116</f>
        <v>-1.3657056145675139</v>
      </c>
      <c r="AP207" s="96">
        <f>INPUT!BA116</f>
        <v>64.3</v>
      </c>
      <c r="AQ207" s="18">
        <f>INPUT!BB116</f>
        <v>5.5829228243021278</v>
      </c>
      <c r="AR207" s="96">
        <f>INPUT!BC116</f>
        <v>64.3</v>
      </c>
      <c r="AS207" s="18">
        <f>INPUT!BD116</f>
        <v>-0.46439628482971562</v>
      </c>
      <c r="AT207" s="96">
        <f>INPUT!BE116</f>
        <v>65.400000000000006</v>
      </c>
      <c r="AU207" s="18">
        <f>INPUT!BF116</f>
        <v>7.0376432078559814</v>
      </c>
      <c r="AV207" s="96">
        <f>INPUT!BG116</f>
        <v>72.7</v>
      </c>
      <c r="AW207" s="18">
        <f>INPUT!BH116</f>
        <v>11.84615384615384</v>
      </c>
      <c r="AX207" s="96">
        <f>INPUT!BI116</f>
        <v>69.900000000000006</v>
      </c>
      <c r="AY207" s="18">
        <f>INPUT!BJ116</f>
        <v>8.7091757387247384</v>
      </c>
      <c r="AZ207" s="96">
        <f>INPUT!BK116</f>
        <v>71.3</v>
      </c>
      <c r="BA207" s="18">
        <f>INPUT!BL116</f>
        <v>10.886469673405919</v>
      </c>
      <c r="BB207" s="96">
        <f>INPUT!BM116</f>
        <v>71.3</v>
      </c>
      <c r="BC207" s="18">
        <f>INPUT!BN116</f>
        <v>9.0214067278287402</v>
      </c>
      <c r="BD207" s="96">
        <f>INPUT!BO116</f>
        <v>71.2</v>
      </c>
      <c r="BE207" s="18">
        <f>INPUT!BP116</f>
        <v>-2.063273727647863</v>
      </c>
      <c r="BF207" s="96">
        <f>INPUT!BQ116</f>
        <v>75.3</v>
      </c>
      <c r="BG207" s="18">
        <f>INPUT!BR116</f>
        <v>7.7253218884119956</v>
      </c>
      <c r="BH207" s="96">
        <f>INPUT!BS116</f>
        <v>72</v>
      </c>
      <c r="BI207" s="18">
        <f>INPUT!BT116</f>
        <v>0.9817671809256634</v>
      </c>
      <c r="BJ207" s="96">
        <f>INPUT!BU116</f>
        <v>70.400000000000006</v>
      </c>
      <c r="BK207" s="18">
        <f>INPUT!BV116</f>
        <v>-1.2622720897615625</v>
      </c>
      <c r="BL207" s="96">
        <f>INPUT!BW116</f>
        <v>73.2</v>
      </c>
      <c r="BM207" s="18">
        <f>INPUT!BX116</f>
        <v>2.8089887640449396</v>
      </c>
      <c r="BN207" s="96">
        <f>INPUT!BY116</f>
        <v>61.7</v>
      </c>
      <c r="BO207" s="18">
        <f>INPUT!BZ116</f>
        <v>-18.061088977423633</v>
      </c>
      <c r="BP207" s="96">
        <f>INPUT!CA116</f>
        <v>57.1</v>
      </c>
      <c r="BQ207" s="18">
        <f>INPUT!CB116</f>
        <v>-20.694444444444436</v>
      </c>
      <c r="BR207" s="96">
        <f>INPUT!CC116</f>
        <v>60.5</v>
      </c>
      <c r="BS207" s="18">
        <f>INPUT!CD116</f>
        <v>-14.062500000000011</v>
      </c>
      <c r="BT207" s="96">
        <f>INPUT!CE116</f>
        <v>60.2</v>
      </c>
      <c r="BU207" s="18">
        <f>INPUT!CF116</f>
        <v>-17.759562841530052</v>
      </c>
      <c r="BV207" s="96">
        <f>INPUT!CG116</f>
        <v>64</v>
      </c>
      <c r="BW207" s="18">
        <f>INPUT!CH116</f>
        <v>3.7277147487844386</v>
      </c>
      <c r="BX207" s="96">
        <f>INPUT!CI116</f>
        <v>62.1</v>
      </c>
      <c r="BY207" s="18">
        <f>INPUT!CJ116</f>
        <v>8.7565674255691839</v>
      </c>
      <c r="BZ207" s="96">
        <f>INPUT!CK116</f>
        <v>59.9</v>
      </c>
      <c r="CA207" s="18">
        <f>INPUT!CL116</f>
        <v>-0.991735537190086</v>
      </c>
      <c r="CB207" s="96">
        <f>INPUT!CM116</f>
        <v>63.5</v>
      </c>
      <c r="CC207" s="18">
        <f>INPUT!CN116</f>
        <v>5.4817275747508276</v>
      </c>
      <c r="CD207" s="96">
        <f>INPUT!CO116</f>
        <v>64.7</v>
      </c>
      <c r="CE207" s="18">
        <f>INPUT!CP116</f>
        <v>1.0937500000000044</v>
      </c>
      <c r="CF207" s="96">
        <f>INPUT!CQ116</f>
        <v>64.2</v>
      </c>
      <c r="CG207" s="18">
        <f>INPUT!CR116</f>
        <v>3.3816425120772875</v>
      </c>
      <c r="CH207" s="96">
        <f>INPUT!CS116</f>
        <v>64.2</v>
      </c>
      <c r="CI207" s="18">
        <f>INPUT!CT116</f>
        <v>7.1786310517529373</v>
      </c>
      <c r="CJ207" s="96">
        <f>INPUT!CU116</f>
        <v>66.599999999999994</v>
      </c>
      <c r="CK207" s="18">
        <f>INPUT!CV116</f>
        <v>4.8818897637795233</v>
      </c>
      <c r="CL207" s="96">
        <f>INPUT!CW116</f>
        <v>66.599999999999994</v>
      </c>
      <c r="CM207" s="18">
        <f>INPUT!CX116</f>
        <v>2.9366306027820643</v>
      </c>
      <c r="CN207" s="96">
        <f>INPUT!CY116</f>
        <v>66.400000000000006</v>
      </c>
      <c r="CO207" s="18">
        <f>INPUT!CZ116</f>
        <v>3.4267912772585785</v>
      </c>
      <c r="CP207" s="96">
        <f>INPUT!DA116</f>
        <v>66.900000000000006</v>
      </c>
      <c r="CQ207" s="18">
        <f>INPUT!DB116</f>
        <v>4.20560747663552</v>
      </c>
      <c r="CR207" s="96">
        <f>INPUT!DC116</f>
        <v>70.3</v>
      </c>
      <c r="CS207" s="18">
        <f>INPUT!DD116</f>
        <v>5.555555555555558</v>
      </c>
      <c r="CT207" s="96">
        <f>INPUT!DE116</f>
        <v>70</v>
      </c>
      <c r="CU207" s="18">
        <f>INPUT!DF116</f>
        <v>5.1051051051051122</v>
      </c>
      <c r="CV207" s="96">
        <f>INPUT!DG116</f>
        <v>70.7</v>
      </c>
      <c r="CW207" s="18">
        <f>INPUT!DH116</f>
        <v>6.475903614457823</v>
      </c>
      <c r="CX207" s="96">
        <f>INPUT!DI116</f>
        <v>71.900000000000006</v>
      </c>
      <c r="CY207" s="18">
        <f>INPUT!DJ116</f>
        <v>7.4738415545590353</v>
      </c>
      <c r="CZ207" s="96">
        <f>INPUT!DK116</f>
        <v>75.8</v>
      </c>
      <c r="DA207" s="18">
        <f>INPUT!DL116</f>
        <v>7.8236130867709752</v>
      </c>
      <c r="DB207" s="96">
        <f>INPUT!DM116</f>
        <v>77</v>
      </c>
      <c r="DC207" s="18">
        <f>INPUT!DN116</f>
        <v>10.000000000000009</v>
      </c>
      <c r="DD207" s="96">
        <f>INPUT!DO116</f>
        <v>74.8</v>
      </c>
      <c r="DE207" s="18">
        <f>INPUT!DP116</f>
        <v>5.7991513437057884</v>
      </c>
      <c r="DF207" s="96">
        <f>INPUT!DQ116</f>
        <v>75</v>
      </c>
      <c r="DG207" s="18">
        <f>INPUT!DR116</f>
        <v>4.311543810848395</v>
      </c>
      <c r="DH207" s="96">
        <f>INPUT!DS116</f>
        <v>75.7</v>
      </c>
      <c r="DI207" s="18">
        <f>INPUT!DT116</f>
        <v>-0.13192612137202797</v>
      </c>
      <c r="DJ207" s="96">
        <f>INPUT!DU116</f>
        <v>77.5</v>
      </c>
      <c r="DK207" s="18">
        <f>INPUT!DV116</f>
        <v>0.64935064935065512</v>
      </c>
      <c r="DL207" s="96">
        <f>INPUT!DW116</f>
        <v>75.3</v>
      </c>
      <c r="DM207" s="18">
        <f>INPUT!DX116</f>
        <v>0.66844919786095414</v>
      </c>
      <c r="DN207" s="96">
        <f>INPUT!DY116</f>
        <v>81</v>
      </c>
      <c r="DO207" s="18">
        <f>INPUT!DZ116</f>
        <v>8.0000000000000071</v>
      </c>
      <c r="DP207" s="96">
        <f>INPUT!EA116</f>
        <v>83.5</v>
      </c>
      <c r="DQ207" s="18">
        <f>INPUT!EB116</f>
        <v>10.303830911492739</v>
      </c>
      <c r="DR207" s="96">
        <f>INPUT!EC116</f>
        <v>79.8</v>
      </c>
      <c r="DS207" s="18">
        <f>INPUT!ED116</f>
        <v>2.9677419354838586</v>
      </c>
      <c r="DT207" s="96">
        <f>INPUT!EE116</f>
        <v>81.5</v>
      </c>
      <c r="DU207" s="18">
        <f>INPUT!EF116</f>
        <v>8.2337317397078493</v>
      </c>
      <c r="DV207" s="96">
        <f>INPUT!EG116</f>
        <v>81.400000000000006</v>
      </c>
      <c r="DW207" s="18">
        <f>INPUT!EH116</f>
        <v>0.49382716049384268</v>
      </c>
      <c r="DX207" s="96">
        <f>INPUT!EI116</f>
        <v>85.6</v>
      </c>
      <c r="DY207" s="18">
        <f>INPUT!EJ116</f>
        <v>2.5149700598802394</v>
      </c>
      <c r="DZ207" s="96">
        <f>INPUT!EK116</f>
        <v>83.564565999999999</v>
      </c>
      <c r="EA207" s="18">
        <f>INPUT!EL116</f>
        <v>4.7175012531328386</v>
      </c>
      <c r="EB207" s="96">
        <f>INPUT!EM116</f>
        <v>85.06872818799998</v>
      </c>
      <c r="EC207" s="18">
        <f>INPUT!EN116</f>
        <v>4.3788075926380232</v>
      </c>
      <c r="ED207" s="96">
        <f>INPUT!EO116</f>
        <v>86.599965295383996</v>
      </c>
      <c r="EE207" s="18">
        <f>INPUT!EP116</f>
        <v>6.3881637535429858</v>
      </c>
      <c r="EF207" s="96">
        <f>INPUT!EQ116</f>
        <v>87.898964774814758</v>
      </c>
      <c r="EG207" s="18">
        <f>INPUT!ER116</f>
        <v>2.6857065126340673</v>
      </c>
      <c r="EH207" s="18"/>
      <c r="EI207" s="96">
        <f>INPUT!FB116</f>
        <v>0</v>
      </c>
      <c r="EJ207" s="399">
        <f>INPUT!FC116</f>
        <v>0</v>
      </c>
      <c r="EK207" s="96">
        <f>INPUT!FD116</f>
        <v>217.3</v>
      </c>
      <c r="EL207" s="399" t="str">
        <f>INPUT!FE116</f>
        <v>NA</v>
      </c>
      <c r="EM207" s="96">
        <f>INPUT!FF116</f>
        <v>233.10000000000002</v>
      </c>
      <c r="EN207" s="399">
        <f>INPUT!FG116</f>
        <v>7.271053842613906</v>
      </c>
      <c r="EO207" s="96">
        <f>INPUT!FH116</f>
        <v>242.29999999999998</v>
      </c>
      <c r="EP207" s="399">
        <f>INPUT!FI116</f>
        <v>3.946803946803934</v>
      </c>
      <c r="EQ207" s="96">
        <f>INPUT!FJ116</f>
        <v>260.39999999999998</v>
      </c>
      <c r="ER207" s="18">
        <f>INPUT!FK116</f>
        <v>7.4700784151877864</v>
      </c>
      <c r="ES207" s="96">
        <f>INPUT!FL116</f>
        <v>251.6</v>
      </c>
      <c r="ET207" s="18">
        <f>INPUT!FM116</f>
        <v>-3.3794162826420782</v>
      </c>
      <c r="EU207" s="96">
        <f>INPUT!FN116</f>
        <v>266.7</v>
      </c>
      <c r="EV207" s="18">
        <f>INPUT!FO116</f>
        <v>6.0015898251192246</v>
      </c>
      <c r="EW207" s="96">
        <f>INPUT!FP116</f>
        <v>283.7</v>
      </c>
      <c r="EX207" s="18">
        <f>INPUT!FQ116</f>
        <v>6.3742032245969193</v>
      </c>
      <c r="EY207" s="96">
        <f>INPUT!FR116</f>
        <v>229.1</v>
      </c>
      <c r="EZ207" s="18">
        <f>INPUT!FS116</f>
        <v>-19.245682058512514</v>
      </c>
      <c r="FA207" s="96">
        <f>INPUT!FT116</f>
        <v>239.5</v>
      </c>
      <c r="FB207" s="18">
        <f>INPUT!FU116</f>
        <v>4.5395024006983808</v>
      </c>
      <c r="FC207" s="96">
        <f>INPUT!FV116</f>
        <v>249.5</v>
      </c>
      <c r="FD207" s="18">
        <f>INPUT!FW116</f>
        <v>4.175365344467652</v>
      </c>
      <c r="FE207" s="96">
        <f>INPUT!FX116</f>
        <v>259.70000000000005</v>
      </c>
      <c r="FF207" s="18">
        <f>INPUT!FY116</f>
        <v>4.0881763527054193</v>
      </c>
      <c r="FG207" s="96">
        <f>INPUT!FZ116</f>
        <v>270.2</v>
      </c>
      <c r="FH207" s="18">
        <f>INPUT!GA116</f>
        <v>4.0431266846360892</v>
      </c>
      <c r="FI207" s="96">
        <f>INPUT!GB116</f>
        <v>288.39999999999998</v>
      </c>
      <c r="FJ207" s="18">
        <f>INPUT!GC116</f>
        <v>6.7357512953367893</v>
      </c>
      <c r="FK207" s="96">
        <f>INPUT!GD116</f>
        <v>302.5</v>
      </c>
      <c r="FL207" s="18">
        <f>INPUT!GE116</f>
        <v>4.8890429958391213</v>
      </c>
      <c r="FM207" s="96">
        <f>INPUT!GF116</f>
        <v>317.3</v>
      </c>
      <c r="FN207" s="18">
        <f>INPUT!GG116</f>
        <v>4.8925619834710776</v>
      </c>
      <c r="FO207" s="96">
        <f>INPUT!GH116</f>
        <v>328.3</v>
      </c>
      <c r="FP207" s="18">
        <f>INPUT!GI116</f>
        <v>3.4667507091080907</v>
      </c>
      <c r="FQ207" s="96">
        <f>INPUT!GJ116</f>
        <v>343.13222425819873</v>
      </c>
      <c r="FR207" s="18">
        <f>INPUT!GK116</f>
        <v>4.5178873768500605</v>
      </c>
      <c r="FS207" s="96">
        <f>INPUT!GL116</f>
        <v>360.2888354711086</v>
      </c>
      <c r="FT207" s="18">
        <f>INPUT!GM116</f>
        <v>4.9999999999999822</v>
      </c>
      <c r="FU207" s="96">
        <f>INPUT!GN116</f>
        <v>378.30327724466412</v>
      </c>
      <c r="FV207" s="18">
        <f>INPUT!GO116</f>
        <v>5.0000000000000266</v>
      </c>
      <c r="FW207" s="96">
        <f>INPUT!GP116</f>
        <v>397.21844110689727</v>
      </c>
      <c r="FX207" s="18">
        <f>INPUT!GQ116</f>
        <v>4.9999999999999822</v>
      </c>
      <c r="FY207" s="96">
        <f>INPUT!GR116</f>
        <v>418.89275169773026</v>
      </c>
      <c r="FZ207" s="18">
        <f>INPUT!GS116</f>
        <v>5.456521739130471</v>
      </c>
      <c r="GA207" s="399">
        <f>INPUT!GT116</f>
        <v>4.994462010681322</v>
      </c>
    </row>
    <row r="208" spans="1:183" ht="12.75" hidden="1" customHeight="1" outlineLevel="1" x14ac:dyDescent="0.2">
      <c r="A208" s="612" t="str">
        <f>INPUT!B117</f>
        <v xml:space="preserve"> Total Benefits and Expenses</v>
      </c>
      <c r="B208" s="96"/>
      <c r="C208" s="399"/>
      <c r="D208" s="96"/>
      <c r="E208" s="399"/>
      <c r="F208" s="96"/>
      <c r="G208" s="399"/>
      <c r="H208" s="96"/>
      <c r="I208" s="399"/>
      <c r="J208" s="96"/>
      <c r="K208" s="399"/>
      <c r="L208" s="96"/>
      <c r="M208" s="399"/>
      <c r="N208" s="96"/>
      <c r="O208" s="399"/>
      <c r="P208" s="96"/>
      <c r="Q208" s="399"/>
      <c r="R208" s="96">
        <f>INPUT!AC117</f>
        <v>291.8</v>
      </c>
      <c r="S208" s="399" t="str">
        <f>INPUT!AD117</f>
        <v>NA</v>
      </c>
      <c r="T208" s="96">
        <f>INPUT!AE117</f>
        <v>298.70000000000005</v>
      </c>
      <c r="U208" s="399" t="str">
        <f>INPUT!AF117</f>
        <v>NA</v>
      </c>
      <c r="V208" s="96">
        <f>INPUT!AG117</f>
        <v>307.8</v>
      </c>
      <c r="W208" s="399" t="str">
        <f>INPUT!AH117</f>
        <v>NA</v>
      </c>
      <c r="X208" s="96">
        <f>INPUT!AI117</f>
        <v>317.99999999999994</v>
      </c>
      <c r="Y208" s="399" t="str">
        <f>INPUT!AJ117</f>
        <v>NA</v>
      </c>
      <c r="Z208" s="96">
        <f>INPUT!AK117</f>
        <v>324.7</v>
      </c>
      <c r="AA208" s="399">
        <f>INPUT!AL117</f>
        <v>11.274845784784082</v>
      </c>
      <c r="AB208" s="96">
        <f>INPUT!AM117</f>
        <v>331.5</v>
      </c>
      <c r="AC208" s="399">
        <f>INPUT!AN117</f>
        <v>10.980917308336103</v>
      </c>
      <c r="AD208" s="96">
        <f>INPUT!AO117</f>
        <v>338.6</v>
      </c>
      <c r="AE208" s="399">
        <f>INPUT!AP117</f>
        <v>10.006497725795981</v>
      </c>
      <c r="AF208" s="96">
        <f>INPUT!AQ117</f>
        <v>338.8</v>
      </c>
      <c r="AG208" s="399">
        <f>INPUT!AR117</f>
        <v>6.5408805031446748</v>
      </c>
      <c r="AH208" s="96">
        <f>INPUT!AS117</f>
        <v>344.2</v>
      </c>
      <c r="AI208" s="399">
        <f>INPUT!AT117</f>
        <v>6.0055435786880107</v>
      </c>
      <c r="AJ208" s="96">
        <f>INPUT!AU117</f>
        <v>357.70000000000005</v>
      </c>
      <c r="AK208" s="399">
        <f>INPUT!AV117</f>
        <v>7.9034690799396845</v>
      </c>
      <c r="AL208" s="96">
        <f>INPUT!AW117</f>
        <v>356.90000000000003</v>
      </c>
      <c r="AM208" s="399">
        <f>INPUT!AX117</f>
        <v>5.4046072061429529</v>
      </c>
      <c r="AN208" s="96">
        <f>INPUT!AY117</f>
        <v>361.3</v>
      </c>
      <c r="AO208" s="18">
        <f>INPUT!AZ117</f>
        <v>6.6410861865407345</v>
      </c>
      <c r="AP208" s="96">
        <f>INPUT!BA117</f>
        <v>373.90000000000003</v>
      </c>
      <c r="AQ208" s="18">
        <f>INPUT!BB117</f>
        <v>8.6287042417199533</v>
      </c>
      <c r="AR208" s="96">
        <f>INPUT!BC117</f>
        <v>386.60000000000008</v>
      </c>
      <c r="AS208" s="18">
        <f>INPUT!BD117</f>
        <v>8.079396142018469</v>
      </c>
      <c r="AT208" s="96">
        <f>INPUT!BE117</f>
        <v>392.30000000000007</v>
      </c>
      <c r="AU208" s="18">
        <f>INPUT!BF117</f>
        <v>9.9187447464275778</v>
      </c>
      <c r="AV208" s="96">
        <f>INPUT!BG117</f>
        <v>390.19999999999993</v>
      </c>
      <c r="AW208" s="18">
        <f>INPUT!BH117</f>
        <v>7.9988928867976483</v>
      </c>
      <c r="AX208" s="96">
        <f>INPUT!BI117</f>
        <v>402.4</v>
      </c>
      <c r="AY208" s="18">
        <f>INPUT!BJ117</f>
        <v>7.6223589194971852</v>
      </c>
      <c r="AZ208" s="96">
        <f>INPUT!BK117</f>
        <v>403.70000000000005</v>
      </c>
      <c r="BA208" s="18">
        <f>INPUT!BL117</f>
        <v>4.4231764097258042</v>
      </c>
      <c r="BB208" s="96">
        <f>INPUT!BM117</f>
        <v>413.9</v>
      </c>
      <c r="BC208" s="18">
        <f>INPUT!BN117</f>
        <v>5.5059903135355359</v>
      </c>
      <c r="BD208" s="96">
        <f>INPUT!BO117</f>
        <v>416.5</v>
      </c>
      <c r="BE208" s="18">
        <f>INPUT!BP117</f>
        <v>6.7401332649923207</v>
      </c>
      <c r="BF208" s="96">
        <f>INPUT!BQ117</f>
        <v>426.50000000000006</v>
      </c>
      <c r="BG208" s="18">
        <f>INPUT!BR117</f>
        <v>5.9890656063618541</v>
      </c>
      <c r="BH208" s="96">
        <f>INPUT!BS117</f>
        <v>434.6</v>
      </c>
      <c r="BI208" s="18">
        <f>INPUT!BT117</f>
        <v>7.6541986623730462</v>
      </c>
      <c r="BJ208" s="96">
        <f>INPUT!BU117</f>
        <v>432.20000000000005</v>
      </c>
      <c r="BK208" s="18">
        <f>INPUT!BV117</f>
        <v>4.4213578158975864</v>
      </c>
      <c r="BL208" s="96">
        <f>INPUT!BW117</f>
        <v>423.3</v>
      </c>
      <c r="BM208" s="18">
        <f>INPUT!BX117</f>
        <v>1.6326530612244872</v>
      </c>
      <c r="BN208" s="96">
        <f>INPUT!BY117</f>
        <v>246.7</v>
      </c>
      <c r="BO208" s="18">
        <f>INPUT!BZ117</f>
        <v>-42.157092614302471</v>
      </c>
      <c r="BP208" s="96">
        <f>INPUT!CA117</f>
        <v>241.7</v>
      </c>
      <c r="BQ208" s="18">
        <f>INPUT!CB117</f>
        <v>-44.385641969627251</v>
      </c>
      <c r="BR208" s="96">
        <f>INPUT!CC117</f>
        <v>243.1</v>
      </c>
      <c r="BS208" s="18">
        <f>INPUT!CD117</f>
        <v>-43.752892179546507</v>
      </c>
      <c r="BT208" s="96">
        <f>INPUT!CE117</f>
        <v>240.10000000000002</v>
      </c>
      <c r="BU208" s="18">
        <f>INPUT!CF117</f>
        <v>-43.278998346326482</v>
      </c>
      <c r="BV208" s="96">
        <f>INPUT!CG117</f>
        <v>251.10000000000002</v>
      </c>
      <c r="BW208" s="18">
        <f>INPUT!CH117</f>
        <v>1.7835427644913082</v>
      </c>
      <c r="BX208" s="96">
        <f>INPUT!CI117</f>
        <v>245.1</v>
      </c>
      <c r="BY208" s="18">
        <f>INPUT!CJ117</f>
        <v>1.4067025237898267</v>
      </c>
      <c r="BZ208" s="96">
        <f>INPUT!CK117</f>
        <v>236.10000000000002</v>
      </c>
      <c r="CA208" s="18">
        <f>INPUT!CL117</f>
        <v>-2.8794734677087486</v>
      </c>
      <c r="CB208" s="96">
        <f>INPUT!CM117</f>
        <v>247.2</v>
      </c>
      <c r="CC208" s="18">
        <f>INPUT!CN117</f>
        <v>2.9571012078300596</v>
      </c>
      <c r="CD208" s="96">
        <f>INPUT!CO117</f>
        <v>261.5</v>
      </c>
      <c r="CE208" s="18">
        <f>INPUT!CP117</f>
        <v>4.1417761847869272</v>
      </c>
      <c r="CF208" s="96">
        <f>INPUT!CQ117</f>
        <v>255</v>
      </c>
      <c r="CG208" s="18">
        <f>INPUT!CR117</f>
        <v>4.0391676866585069</v>
      </c>
      <c r="CH208" s="96">
        <f>INPUT!CS117</f>
        <v>252</v>
      </c>
      <c r="CI208" s="18">
        <f>INPUT!CT117</f>
        <v>6.7344345616264123</v>
      </c>
      <c r="CJ208" s="96">
        <f>INPUT!CU117</f>
        <v>259.5</v>
      </c>
      <c r="CK208" s="18">
        <f>INPUT!CV117</f>
        <v>4.9757281553398203</v>
      </c>
      <c r="CL208" s="96">
        <f>INPUT!CW117</f>
        <v>277.5</v>
      </c>
      <c r="CM208" s="18">
        <f>INPUT!CX117</f>
        <v>6.118546845124273</v>
      </c>
      <c r="CN208" s="96">
        <f>INPUT!CY117</f>
        <v>257.40000000000003</v>
      </c>
      <c r="CO208" s="18">
        <f>INPUT!CZ117</f>
        <v>0.94117647058824527</v>
      </c>
      <c r="CP208" s="96">
        <f>INPUT!DA117</f>
        <v>257.8</v>
      </c>
      <c r="CQ208" s="18">
        <f>INPUT!DB117</f>
        <v>2.3015873015873156</v>
      </c>
      <c r="CR208" s="96">
        <f>INPUT!DC117</f>
        <v>285</v>
      </c>
      <c r="CS208" s="18">
        <f>INPUT!DD117</f>
        <v>9.8265895953757223</v>
      </c>
      <c r="CT208" s="96">
        <f>INPUT!DE117</f>
        <v>276.2</v>
      </c>
      <c r="CU208" s="18">
        <f>INPUT!DF117</f>
        <v>-0.46846846846847479</v>
      </c>
      <c r="CV208" s="96">
        <f>INPUT!DG117</f>
        <v>271.39999999999998</v>
      </c>
      <c r="CW208" s="18">
        <f>INPUT!DH117</f>
        <v>5.4390054390054177</v>
      </c>
      <c r="CX208" s="96">
        <f>INPUT!DI117</f>
        <v>269.39999999999998</v>
      </c>
      <c r="CY208" s="18">
        <f>INPUT!DJ117</f>
        <v>4.4996121024049485</v>
      </c>
      <c r="CZ208" s="96">
        <f>INPUT!DK117</f>
        <v>270.7</v>
      </c>
      <c r="DA208" s="18">
        <f>INPUT!DL117</f>
        <v>-5.0175438596491322</v>
      </c>
      <c r="DB208" s="96">
        <f>INPUT!DM117</f>
        <v>291</v>
      </c>
      <c r="DC208" s="18">
        <f>INPUT!DN117</f>
        <v>5.3584359160028905</v>
      </c>
      <c r="DD208" s="96">
        <f>INPUT!DO117</f>
        <v>279.59999999999997</v>
      </c>
      <c r="DE208" s="18">
        <f>INPUT!DP117</f>
        <v>3.0213706705968901</v>
      </c>
      <c r="DF208" s="96">
        <f>INPUT!DQ117</f>
        <v>281.89999999999998</v>
      </c>
      <c r="DG208" s="18">
        <f>INPUT!DR117</f>
        <v>4.6399406087602069</v>
      </c>
      <c r="DH208" s="96">
        <f>INPUT!DS117</f>
        <v>281.5</v>
      </c>
      <c r="DI208" s="18">
        <f>INPUT!DT117</f>
        <v>3.9896564462504669</v>
      </c>
      <c r="DJ208" s="96">
        <f>INPUT!DU117</f>
        <v>300.2</v>
      </c>
      <c r="DK208" s="18">
        <f>INPUT!DV117</f>
        <v>3.1615120274913977</v>
      </c>
      <c r="DL208" s="96">
        <f>INPUT!DW117</f>
        <v>294</v>
      </c>
      <c r="DM208" s="18">
        <f>INPUT!DX117</f>
        <v>5.1502145922746934</v>
      </c>
      <c r="DN208" s="96">
        <f>INPUT!DY117</f>
        <v>314.40000000000003</v>
      </c>
      <c r="DO208" s="18">
        <f>INPUT!DZ117</f>
        <v>11.528910961333839</v>
      </c>
      <c r="DP208" s="96">
        <f>INPUT!EA117</f>
        <v>310.09999999999997</v>
      </c>
      <c r="DQ208" s="18">
        <f>INPUT!EB117</f>
        <v>10.159857904085246</v>
      </c>
      <c r="DR208" s="96">
        <f>INPUT!EC117</f>
        <v>332.40000000000003</v>
      </c>
      <c r="DS208" s="18">
        <f>INPUT!ED117</f>
        <v>10.726182544970042</v>
      </c>
      <c r="DT208" s="96">
        <f>INPUT!EE117</f>
        <v>329.6</v>
      </c>
      <c r="DU208" s="18">
        <f>INPUT!EF117</f>
        <v>12.10884353741497</v>
      </c>
      <c r="DV208" s="96">
        <f>INPUT!EG117</f>
        <v>310.39999999999998</v>
      </c>
      <c r="DW208" s="18">
        <f>INPUT!EH117</f>
        <v>-1.2722646310432739</v>
      </c>
      <c r="DX208" s="96">
        <f>INPUT!EI117</f>
        <v>308</v>
      </c>
      <c r="DY208" s="18">
        <f>INPUT!EJ117</f>
        <v>-0.67720090293452717</v>
      </c>
      <c r="DZ208" s="96">
        <f>INPUT!EK117</f>
        <v>329.01097859999999</v>
      </c>
      <c r="EA208" s="18">
        <f>INPUT!EL117</f>
        <v>-1.0195611913357494</v>
      </c>
      <c r="EB208" s="96">
        <f>INPUT!EM117</f>
        <v>334.92567621479992</v>
      </c>
      <c r="EC208" s="18">
        <f>INPUT!EN117</f>
        <v>1.6157998224514358</v>
      </c>
      <c r="ED208" s="96">
        <f>INPUT!EO117</f>
        <v>340.94672588666634</v>
      </c>
      <c r="EE208" s="18">
        <f>INPUT!EP117</f>
        <v>9.8410843707043671</v>
      </c>
      <c r="EF208" s="96">
        <f>INPUT!EQ117</f>
        <v>346.06092677496639</v>
      </c>
      <c r="EG208" s="18">
        <f>INPUT!ER117</f>
        <v>12.357443758105969</v>
      </c>
      <c r="EH208" s="18"/>
      <c r="EI208" s="96">
        <f>INPUT!FB117</f>
        <v>0</v>
      </c>
      <c r="EJ208" s="399">
        <f>INPUT!FC117</f>
        <v>0</v>
      </c>
      <c r="EK208" s="96">
        <f>INPUT!FD117</f>
        <v>898.10000000000014</v>
      </c>
      <c r="EL208" s="399" t="str">
        <f>INPUT!FE117</f>
        <v>NA</v>
      </c>
      <c r="EM208" s="96">
        <f>INPUT!FF117</f>
        <v>1074.3000000000002</v>
      </c>
      <c r="EN208" s="399">
        <f>INPUT!FG117</f>
        <v>19.619196080614643</v>
      </c>
      <c r="EO208" s="96">
        <f>INPUT!FH117</f>
        <v>1216.3</v>
      </c>
      <c r="EP208" s="399">
        <f>INPUT!FI117</f>
        <v>13.217909336311994</v>
      </c>
      <c r="EQ208" s="96">
        <f>INPUT!FJ117</f>
        <v>1333.6</v>
      </c>
      <c r="ER208" s="18">
        <f>INPUT!FK117</f>
        <v>9.6440023020636367</v>
      </c>
      <c r="ES208" s="96">
        <f>INPUT!FL117</f>
        <v>1420.1</v>
      </c>
      <c r="ET208" s="18">
        <f>INPUT!FM117</f>
        <v>6.486202759448112</v>
      </c>
      <c r="EU208" s="96">
        <f>INPUT!FN117</f>
        <v>1543</v>
      </c>
      <c r="EV208" s="18">
        <f>INPUT!FO117</f>
        <v>8.6543201183015395</v>
      </c>
      <c r="EW208" s="96">
        <f>INPUT!FP117</f>
        <v>1636.5</v>
      </c>
      <c r="EX208" s="18">
        <f>INPUT!FQ117</f>
        <v>6.0596241088788139</v>
      </c>
      <c r="EY208" s="96">
        <f>INPUT!FR117</f>
        <v>915.4</v>
      </c>
      <c r="EZ208" s="18">
        <f>INPUT!FS117</f>
        <v>-44.063550259700577</v>
      </c>
      <c r="FA208" s="96">
        <f>INPUT!FT117</f>
        <v>971.59999999999991</v>
      </c>
      <c r="FB208" s="18">
        <f>INPUT!FU117</f>
        <v>6.139392615250161</v>
      </c>
      <c r="FC208" s="96">
        <f>INPUT!FV117</f>
        <v>979.5</v>
      </c>
      <c r="FD208" s="18">
        <f>INPUT!FW117</f>
        <v>0.8130918073281368</v>
      </c>
      <c r="FE208" s="96">
        <f>INPUT!FX117</f>
        <v>1028.0000000000002</v>
      </c>
      <c r="FF208" s="18">
        <f>INPUT!FY117</f>
        <v>4.9515058703420323</v>
      </c>
      <c r="FG208" s="96">
        <f>INPUT!FZ117</f>
        <v>1077.6999999999998</v>
      </c>
      <c r="FH208" s="18">
        <f>INPUT!GA117</f>
        <v>4.8346303501945131</v>
      </c>
      <c r="FI208" s="96">
        <f>INPUT!GB117</f>
        <v>1087.7</v>
      </c>
      <c r="FJ208" s="18">
        <f>INPUT!GC117</f>
        <v>0.92790201354739921</v>
      </c>
      <c r="FK208" s="96">
        <f>INPUT!GD117</f>
        <v>1134</v>
      </c>
      <c r="FL208" s="18">
        <f>INPUT!GE117</f>
        <v>4.2566884251172166</v>
      </c>
      <c r="FM208" s="96">
        <f>INPUT!GF117</f>
        <v>1218.7</v>
      </c>
      <c r="FN208" s="18">
        <f>INPUT!GG117</f>
        <v>7.469135802469129</v>
      </c>
      <c r="FO208" s="96">
        <f>INPUT!GH117</f>
        <v>1280.3999999999999</v>
      </c>
      <c r="FP208" s="18">
        <f>INPUT!GI117</f>
        <v>5.0627718060227922</v>
      </c>
      <c r="FQ208" s="96">
        <f>INPUT!GJ117</f>
        <v>1350.9443074764326</v>
      </c>
      <c r="FR208" s="18">
        <f>INPUT!GK117</f>
        <v>5.5095522865067803</v>
      </c>
      <c r="FS208" s="96">
        <f>INPUT!GL117</f>
        <v>1418.4915228502541</v>
      </c>
      <c r="FT208" s="18">
        <f>INPUT!GM117</f>
        <v>4.9999999999999822</v>
      </c>
      <c r="FU208" s="96">
        <f>INPUT!GN117</f>
        <v>1489.416098992767</v>
      </c>
      <c r="FV208" s="18">
        <f>INPUT!GO117</f>
        <v>5.0000000000000266</v>
      </c>
      <c r="FW208" s="96">
        <f>INPUT!GP117</f>
        <v>1563.8869039424053</v>
      </c>
      <c r="FX208" s="18">
        <f>INPUT!GQ117</f>
        <v>4.9999999999999822</v>
      </c>
      <c r="FY208" s="96">
        <f>INPUT!GR117</f>
        <v>1645.7080262105019</v>
      </c>
      <c r="FZ208" s="18">
        <f>INPUT!GS117</f>
        <v>5.2319078868064972</v>
      </c>
      <c r="GA208" s="399">
        <f>INPUT!GT117</f>
        <v>5.1480987531547617</v>
      </c>
    </row>
    <row r="209" spans="1:183" ht="12.75" hidden="1" customHeight="1" outlineLevel="1" x14ac:dyDescent="0.2">
      <c r="A209" s="612"/>
      <c r="B209" s="96"/>
      <c r="C209" s="399"/>
      <c r="D209" s="96"/>
      <c r="E209" s="399"/>
      <c r="F209" s="96"/>
      <c r="G209" s="399"/>
      <c r="H209" s="96"/>
      <c r="I209" s="399"/>
      <c r="J209" s="96"/>
      <c r="K209" s="399"/>
      <c r="L209" s="96"/>
      <c r="M209" s="399"/>
      <c r="N209" s="96"/>
      <c r="O209" s="399"/>
      <c r="P209" s="96"/>
      <c r="Q209" s="399"/>
      <c r="R209" s="96"/>
      <c r="S209" s="399"/>
      <c r="T209" s="96"/>
      <c r="U209" s="399"/>
      <c r="V209" s="96"/>
      <c r="W209" s="399"/>
      <c r="X209" s="96"/>
      <c r="Y209" s="399"/>
      <c r="Z209" s="96"/>
      <c r="AA209" s="399"/>
      <c r="AB209" s="96"/>
      <c r="AC209" s="399"/>
      <c r="AD209" s="96"/>
      <c r="AE209" s="399"/>
      <c r="AF209" s="96"/>
      <c r="AG209" s="399"/>
      <c r="AH209" s="96"/>
      <c r="AI209" s="399"/>
      <c r="AJ209" s="96"/>
      <c r="AK209" s="399"/>
      <c r="AL209" s="96"/>
      <c r="AM209" s="399"/>
      <c r="AN209" s="96"/>
      <c r="AO209" s="18"/>
      <c r="AP209" s="96"/>
      <c r="AQ209" s="18"/>
      <c r="AR209" s="96"/>
      <c r="AS209" s="18"/>
      <c r="AT209" s="96"/>
      <c r="AU209" s="18"/>
      <c r="AV209" s="96"/>
      <c r="AW209" s="18"/>
      <c r="AX209" s="96"/>
      <c r="AY209" s="18"/>
      <c r="AZ209" s="96"/>
      <c r="BA209" s="18"/>
      <c r="BB209" s="96"/>
      <c r="BC209" s="18"/>
      <c r="BD209" s="96"/>
      <c r="BE209" s="18"/>
      <c r="BF209" s="96"/>
      <c r="BG209" s="18"/>
      <c r="BH209" s="96"/>
      <c r="BI209" s="18"/>
      <c r="BJ209" s="96"/>
      <c r="BK209" s="18"/>
      <c r="BL209" s="96"/>
      <c r="BM209" s="18"/>
      <c r="BN209" s="96"/>
      <c r="BO209" s="18"/>
      <c r="BP209" s="96"/>
      <c r="BQ209" s="18"/>
      <c r="BR209" s="96"/>
      <c r="BS209" s="18"/>
      <c r="BT209" s="96"/>
      <c r="BU209" s="18"/>
      <c r="BV209" s="96"/>
      <c r="BW209" s="18"/>
      <c r="BX209" s="96"/>
      <c r="BY209" s="18"/>
      <c r="BZ209" s="96"/>
      <c r="CA209" s="18"/>
      <c r="CB209" s="96"/>
      <c r="CC209" s="18"/>
      <c r="CD209" s="96"/>
      <c r="CE209" s="18"/>
      <c r="CF209" s="96"/>
      <c r="CG209" s="18"/>
      <c r="CH209" s="96"/>
      <c r="CI209" s="18"/>
      <c r="CJ209" s="96"/>
      <c r="CK209" s="18"/>
      <c r="CL209" s="96"/>
      <c r="CM209" s="18"/>
      <c r="CN209" s="96"/>
      <c r="CO209" s="18"/>
      <c r="CP209" s="96"/>
      <c r="CQ209" s="18"/>
      <c r="CR209" s="96"/>
      <c r="CS209" s="18"/>
      <c r="CT209" s="96"/>
      <c r="CU209" s="18"/>
      <c r="CV209" s="96"/>
      <c r="CW209" s="18"/>
      <c r="CX209" s="96"/>
      <c r="CY209" s="18"/>
      <c r="CZ209" s="96"/>
      <c r="DA209" s="18"/>
      <c r="DB209" s="96"/>
      <c r="DC209" s="18"/>
      <c r="DD209" s="96"/>
      <c r="DE209" s="18"/>
      <c r="DF209" s="96"/>
      <c r="DG209" s="18"/>
      <c r="DH209" s="96"/>
      <c r="DI209" s="18"/>
      <c r="DJ209" s="96"/>
      <c r="DK209" s="18"/>
      <c r="DL209" s="96"/>
      <c r="DM209" s="18"/>
      <c r="DN209" s="96"/>
      <c r="DO209" s="18"/>
      <c r="DP209" s="96"/>
      <c r="DQ209" s="18"/>
      <c r="DR209" s="96"/>
      <c r="DS209" s="18"/>
      <c r="DT209" s="96"/>
      <c r="DU209" s="18"/>
      <c r="DV209" s="96"/>
      <c r="DW209" s="18"/>
      <c r="DX209" s="96"/>
      <c r="DY209" s="18"/>
      <c r="DZ209" s="96"/>
      <c r="EA209" s="18"/>
      <c r="EB209" s="96"/>
      <c r="EC209" s="18"/>
      <c r="ED209" s="96"/>
      <c r="EE209" s="18"/>
      <c r="EF209" s="96"/>
      <c r="EG209" s="18"/>
      <c r="EH209" s="18"/>
      <c r="EI209" s="96"/>
      <c r="EJ209" s="399"/>
      <c r="EK209" s="96"/>
      <c r="EL209" s="399"/>
      <c r="EM209" s="96"/>
      <c r="EN209" s="399"/>
      <c r="EO209" s="96"/>
      <c r="EP209" s="399"/>
      <c r="EQ209" s="96"/>
      <c r="ER209" s="18"/>
      <c r="ES209" s="96"/>
      <c r="ET209" s="18"/>
      <c r="EU209" s="96"/>
      <c r="EV209" s="18"/>
      <c r="EW209" s="96"/>
      <c r="EX209" s="18"/>
      <c r="EY209" s="96"/>
      <c r="EZ209" s="18"/>
      <c r="FA209" s="96"/>
      <c r="FB209" s="18"/>
      <c r="FC209" s="96"/>
      <c r="FD209" s="18"/>
      <c r="FE209" s="96"/>
      <c r="FF209" s="18"/>
      <c r="FG209" s="96"/>
      <c r="FH209" s="18"/>
      <c r="FI209" s="96"/>
      <c r="FJ209" s="18"/>
      <c r="FK209" s="96"/>
      <c r="FL209" s="18"/>
      <c r="FM209" s="96"/>
      <c r="FN209" s="18"/>
      <c r="FO209" s="96"/>
      <c r="FP209" s="18"/>
      <c r="FQ209" s="96"/>
      <c r="FR209" s="18"/>
      <c r="FS209" s="96"/>
      <c r="FT209" s="18"/>
      <c r="FU209" s="96"/>
      <c r="FV209" s="18"/>
      <c r="FW209" s="96"/>
      <c r="FX209" s="18"/>
      <c r="FY209" s="96"/>
      <c r="FZ209" s="18"/>
      <c r="GA209" s="399"/>
    </row>
    <row r="210" spans="1:183" ht="12.75" hidden="1" customHeight="1" outlineLevel="1" x14ac:dyDescent="0.2">
      <c r="A210" s="644" t="str">
        <f>INPUT!B125</f>
        <v>Pretax Earnings</v>
      </c>
      <c r="B210" s="645"/>
      <c r="C210" s="646"/>
      <c r="D210" s="645"/>
      <c r="E210" s="646"/>
      <c r="F210" s="645"/>
      <c r="G210" s="646"/>
      <c r="H210" s="645"/>
      <c r="I210" s="646"/>
      <c r="J210" s="645"/>
      <c r="K210" s="646"/>
      <c r="L210" s="645"/>
      <c r="M210" s="646"/>
      <c r="N210" s="645"/>
      <c r="O210" s="646"/>
      <c r="P210" s="645"/>
      <c r="Q210" s="646"/>
      <c r="R210" s="645">
        <f>INPUT!AC125</f>
        <v>51.299999999999955</v>
      </c>
      <c r="S210" s="646" t="str">
        <f>INPUT!AD125</f>
        <v>NA</v>
      </c>
      <c r="T210" s="645">
        <f>INPUT!AE125</f>
        <v>44.5</v>
      </c>
      <c r="U210" s="646" t="str">
        <f>INPUT!AF125</f>
        <v>NA</v>
      </c>
      <c r="V210" s="645">
        <f>INPUT!AG125</f>
        <v>42.199999999999989</v>
      </c>
      <c r="W210" s="646" t="str">
        <f>INPUT!AH125</f>
        <v>NA</v>
      </c>
      <c r="X210" s="645">
        <f>INPUT!AI125</f>
        <v>42.200000000000138</v>
      </c>
      <c r="Y210" s="646" t="str">
        <f>INPUT!AJ125</f>
        <v>NA</v>
      </c>
      <c r="Z210" s="645">
        <f>INPUT!AK125</f>
        <v>41.500000000000057</v>
      </c>
      <c r="AA210" s="646">
        <f>INPUT!AL125</f>
        <v>-19.103313840155767</v>
      </c>
      <c r="AB210" s="645">
        <f>INPUT!AM125</f>
        <v>43.399999999999977</v>
      </c>
      <c r="AC210" s="646">
        <f>INPUT!AN125</f>
        <v>-2.4719101123595988</v>
      </c>
      <c r="AD210" s="645">
        <f>INPUT!AO125</f>
        <v>39.5</v>
      </c>
      <c r="AE210" s="646">
        <f>INPUT!AP125</f>
        <v>-6.3981042654028153</v>
      </c>
      <c r="AF210" s="645">
        <f>INPUT!AQ125</f>
        <v>46.800000000000011</v>
      </c>
      <c r="AG210" s="646">
        <f>INPUT!AR125</f>
        <v>10.900473933648946</v>
      </c>
      <c r="AH210" s="645">
        <f>INPUT!AS125</f>
        <v>56.199999999999989</v>
      </c>
      <c r="AI210" s="646">
        <f>INPUT!AT125</f>
        <v>35.421686746987731</v>
      </c>
      <c r="AJ210" s="645">
        <f>INPUT!AU125</f>
        <v>49.299999999999898</v>
      </c>
      <c r="AK210" s="646">
        <f>INPUT!AV125</f>
        <v>13.594470046082762</v>
      </c>
      <c r="AL210" s="645">
        <f>INPUT!AW125</f>
        <v>58.800000000000011</v>
      </c>
      <c r="AM210" s="646">
        <f>INPUT!AX125</f>
        <v>48.860759493670926</v>
      </c>
      <c r="AN210" s="645">
        <f>INPUT!AY125</f>
        <v>54.500000000000057</v>
      </c>
      <c r="AO210" s="647">
        <f>INPUT!AZ125</f>
        <v>16.452991452991551</v>
      </c>
      <c r="AP210" s="645">
        <f>INPUT!BA125</f>
        <v>57.799999999999955</v>
      </c>
      <c r="AQ210" s="647">
        <f>INPUT!BB125</f>
        <v>2.846975088967918</v>
      </c>
      <c r="AR210" s="645">
        <f>INPUT!BC125</f>
        <v>49.299999999999898</v>
      </c>
      <c r="AS210" s="647">
        <f>INPUT!BD125</f>
        <v>0</v>
      </c>
      <c r="AT210" s="645">
        <f>INPUT!BE125</f>
        <v>50.099999999999909</v>
      </c>
      <c r="AU210" s="647">
        <f>INPUT!BF125</f>
        <v>-14.795918367347106</v>
      </c>
      <c r="AV210" s="645">
        <f>INPUT!BG125</f>
        <v>57.60000000000008</v>
      </c>
      <c r="AW210" s="647">
        <f>INPUT!BH125</f>
        <v>5.6880733944954409</v>
      </c>
      <c r="AX210" s="645">
        <f>INPUT!BI125</f>
        <v>62.800000000000011</v>
      </c>
      <c r="AY210" s="647">
        <f>INPUT!BJ125</f>
        <v>8.6505190311419788</v>
      </c>
      <c r="AZ210" s="645">
        <f>INPUT!BK125</f>
        <v>70.299999999999898</v>
      </c>
      <c r="BA210" s="647">
        <f>INPUT!BL125</f>
        <v>42.59634888438142</v>
      </c>
      <c r="BB210" s="645">
        <f>INPUT!BM125</f>
        <v>66.099999999999966</v>
      </c>
      <c r="BC210" s="647">
        <f>INPUT!BN125</f>
        <v>31.936127744511154</v>
      </c>
      <c r="BD210" s="645">
        <f>INPUT!BO125</f>
        <v>72.599999999999966</v>
      </c>
      <c r="BE210" s="647">
        <f>INPUT!BP125</f>
        <v>26.04166666666643</v>
      </c>
      <c r="BF210" s="645">
        <f>INPUT!BQ125</f>
        <v>77.599999999999966</v>
      </c>
      <c r="BG210" s="647">
        <f>INPUT!BR125</f>
        <v>23.566878980891648</v>
      </c>
      <c r="BH210" s="645">
        <f>INPUT!BS125</f>
        <v>74.299999999999955</v>
      </c>
      <c r="BI210" s="647">
        <f>INPUT!BT125</f>
        <v>5.6899004267426223</v>
      </c>
      <c r="BJ210" s="645">
        <f>INPUT!BU125</f>
        <v>72.099999999999909</v>
      </c>
      <c r="BK210" s="647">
        <f>INPUT!BV125</f>
        <v>9.0771558245082318</v>
      </c>
      <c r="BL210" s="645">
        <f>INPUT!BW125</f>
        <v>82.699999999999932</v>
      </c>
      <c r="BM210" s="647">
        <f>INPUT!BX125</f>
        <v>13.911845730027505</v>
      </c>
      <c r="BN210" s="645">
        <f>INPUT!BY125</f>
        <v>56.199999999999989</v>
      </c>
      <c r="BO210" s="647">
        <f>INPUT!BZ125</f>
        <v>-27.577319587628846</v>
      </c>
      <c r="BP210" s="645">
        <f>INPUT!CA125</f>
        <v>65.699999999999989</v>
      </c>
      <c r="BQ210" s="647">
        <f>INPUT!CB125</f>
        <v>-11.574697173620418</v>
      </c>
      <c r="BR210" s="645">
        <f>INPUT!CC125</f>
        <v>61.400000000000006</v>
      </c>
      <c r="BS210" s="647">
        <f>INPUT!CD125</f>
        <v>-14.840499306518605</v>
      </c>
      <c r="BT210" s="645">
        <f>INPUT!CE125</f>
        <v>64.800000000000011</v>
      </c>
      <c r="BU210" s="647">
        <f>INPUT!CF125</f>
        <v>-21.644498186215156</v>
      </c>
      <c r="BV210" s="645">
        <f>INPUT!CG125</f>
        <v>69.300000000000011</v>
      </c>
      <c r="BW210" s="647">
        <f>INPUT!CH125</f>
        <v>23.309608540925318</v>
      </c>
      <c r="BX210" s="645">
        <f>INPUT!CI125</f>
        <v>74.900000000000006</v>
      </c>
      <c r="BY210" s="647">
        <f>INPUT!CJ125</f>
        <v>14.003044140030463</v>
      </c>
      <c r="BZ210" s="645">
        <f>INPUT!CK125</f>
        <v>84.199999999999989</v>
      </c>
      <c r="CA210" s="647">
        <f>INPUT!CL125</f>
        <v>37.133550488599319</v>
      </c>
      <c r="CB210" s="645">
        <f>INPUT!CM125</f>
        <v>77.699999999999989</v>
      </c>
      <c r="CC210" s="647">
        <f>INPUT!CN125</f>
        <v>19.907407407407373</v>
      </c>
      <c r="CD210" s="645">
        <f>INPUT!CO125</f>
        <v>78.800000000000011</v>
      </c>
      <c r="CE210" s="647">
        <f>INPUT!CP125</f>
        <v>13.708513708513713</v>
      </c>
      <c r="CF210" s="645">
        <f>INPUT!CQ125</f>
        <v>85</v>
      </c>
      <c r="CG210" s="647">
        <f>INPUT!CR125</f>
        <v>13.484646194926553</v>
      </c>
      <c r="CH210" s="645">
        <f>INPUT!CS125</f>
        <v>85.699999999999989</v>
      </c>
      <c r="CI210" s="647">
        <f>INPUT!CT125</f>
        <v>1.7814726840855055</v>
      </c>
      <c r="CJ210" s="645">
        <f>INPUT!CU125</f>
        <v>83.599999999999966</v>
      </c>
      <c r="CK210" s="647">
        <f>INPUT!CV125</f>
        <v>7.5933075933075633</v>
      </c>
      <c r="CL210" s="645">
        <f>INPUT!CW125</f>
        <v>70.999999999999943</v>
      </c>
      <c r="CM210" s="647">
        <f>INPUT!CX125</f>
        <v>-9.8984771573604853</v>
      </c>
      <c r="CN210" s="645">
        <f>INPUT!CY125</f>
        <v>83</v>
      </c>
      <c r="CO210" s="647">
        <f>INPUT!CZ125</f>
        <v>-2.352941176470591</v>
      </c>
      <c r="CP210" s="645">
        <f>INPUT!DA125</f>
        <v>81.299999999999955</v>
      </c>
      <c r="CQ210" s="647">
        <f>INPUT!DB125</f>
        <v>-5.1341890315052874</v>
      </c>
      <c r="CR210" s="645">
        <f>INPUT!DC125</f>
        <v>58.899999999999977</v>
      </c>
      <c r="CS210" s="647">
        <f>INPUT!DD125</f>
        <v>-29.54545454545454</v>
      </c>
      <c r="CT210" s="645">
        <f>INPUT!DE125</f>
        <v>81.199999999999989</v>
      </c>
      <c r="CU210" s="647">
        <f>INPUT!DF125</f>
        <v>14.366197183098661</v>
      </c>
      <c r="CV210" s="645">
        <f>INPUT!DG125</f>
        <v>82.5</v>
      </c>
      <c r="CW210" s="647">
        <f>INPUT!DH125</f>
        <v>-0.60240963855421326</v>
      </c>
      <c r="CX210" s="645">
        <f>INPUT!DI125</f>
        <v>81.699999999999989</v>
      </c>
      <c r="CY210" s="647">
        <f>INPUT!DJ125</f>
        <v>0.49200492004923824</v>
      </c>
      <c r="CZ210" s="645">
        <f>INPUT!DK125</f>
        <v>84.300000000000011</v>
      </c>
      <c r="DA210" s="647">
        <f>INPUT!DL125</f>
        <v>43.12393887945678</v>
      </c>
      <c r="DB210" s="645">
        <f>INPUT!DM125</f>
        <v>82.100000000000023</v>
      </c>
      <c r="DC210" s="647">
        <f>INPUT!DN125</f>
        <v>1.108374384236499</v>
      </c>
      <c r="DD210" s="645">
        <f>INPUT!DO125</f>
        <v>89.100000000000023</v>
      </c>
      <c r="DE210" s="647">
        <f>INPUT!DP125</f>
        <v>8.0000000000000284</v>
      </c>
      <c r="DF210" s="645">
        <f>INPUT!DQ125</f>
        <v>87.699999999999989</v>
      </c>
      <c r="DG210" s="647">
        <f>INPUT!DR125</f>
        <v>7.3439412484700206</v>
      </c>
      <c r="DH210" s="645">
        <f>INPUT!DS125</f>
        <v>93.800000000000011</v>
      </c>
      <c r="DI210" s="647">
        <f>INPUT!DT125</f>
        <v>11.26927639383155</v>
      </c>
      <c r="DJ210" s="645">
        <f>INPUT!DU125</f>
        <v>90.10000000000008</v>
      </c>
      <c r="DK210" s="647">
        <f>INPUT!DV125</f>
        <v>9.7442143727162644</v>
      </c>
      <c r="DL210" s="645">
        <f>INPUT!DW125</f>
        <v>95.899999999999977</v>
      </c>
      <c r="DM210" s="647">
        <f>INPUT!DX125</f>
        <v>7.6318742985409083</v>
      </c>
      <c r="DN210" s="645">
        <f>INPUT!DY125</f>
        <v>92.199999999999989</v>
      </c>
      <c r="DO210" s="647">
        <f>INPUT!DZ125</f>
        <v>5.1311288483466333</v>
      </c>
      <c r="DP210" s="645">
        <f>INPUT!EA125</f>
        <v>94.500000000000057</v>
      </c>
      <c r="DQ210" s="647">
        <f>INPUT!EB125</f>
        <v>0.74626865671647558</v>
      </c>
      <c r="DR210" s="645">
        <f>INPUT!EC125</f>
        <v>94.39999999999992</v>
      </c>
      <c r="DS210" s="647">
        <f>INPUT!ED125</f>
        <v>4.7724750277467587</v>
      </c>
      <c r="DT210" s="645">
        <f>INPUT!EE125</f>
        <v>94.5</v>
      </c>
      <c r="DU210" s="647">
        <f>INPUT!EF125</f>
        <v>-1.4598540145985162</v>
      </c>
      <c r="DV210" s="645">
        <f>INPUT!EG125</f>
        <v>108.30000000000001</v>
      </c>
      <c r="DW210" s="647">
        <f>INPUT!EH125</f>
        <v>17.462039045553169</v>
      </c>
      <c r="DX210" s="645">
        <f>INPUT!EI125</f>
        <v>120.49999999999997</v>
      </c>
      <c r="DY210" s="647">
        <f>INPUT!EJ125</f>
        <v>27.513227513227399</v>
      </c>
      <c r="DZ210" s="645">
        <f>INPUT!EK125</f>
        <v>98.466221399999995</v>
      </c>
      <c r="EA210" s="647">
        <f>INPUT!EL125</f>
        <v>4.3074379237288962</v>
      </c>
      <c r="EB210" s="645">
        <f>INPUT!EM125</f>
        <v>99.751249385200083</v>
      </c>
      <c r="EC210" s="647">
        <f>INPUT!EN125</f>
        <v>5.5568776562963773</v>
      </c>
      <c r="ED210" s="645">
        <f>INPUT!EO125</f>
        <v>101.05460845413364</v>
      </c>
      <c r="EE210" s="647">
        <f>INPUT!EP125</f>
        <v>-6.6901122307168714</v>
      </c>
      <c r="EF210" s="645">
        <f>INPUT!EQ125</f>
        <v>101.94428273594559</v>
      </c>
      <c r="EG210" s="647">
        <f>INPUT!ER125</f>
        <v>-15.398935488841815</v>
      </c>
      <c r="EH210" s="648"/>
      <c r="EI210" s="645">
        <f>INPUT!FB125</f>
        <v>0</v>
      </c>
      <c r="EJ210" s="646">
        <f>INPUT!FC125</f>
        <v>0</v>
      </c>
      <c r="EK210" s="645">
        <f>INPUT!FD125</f>
        <v>188.99999999999977</v>
      </c>
      <c r="EL210" s="646" t="str">
        <f>INPUT!FE125</f>
        <v>NA</v>
      </c>
      <c r="EM210" s="645">
        <f>INPUT!FF125</f>
        <v>216.09999999999991</v>
      </c>
      <c r="EN210" s="646">
        <f>INPUT!FG125</f>
        <v>14.338624338624427</v>
      </c>
      <c r="EO210" s="645">
        <f>INPUT!FH125</f>
        <v>180.09999999999991</v>
      </c>
      <c r="EP210" s="646">
        <f>INPUT!FI125</f>
        <v>-16.658954187875985</v>
      </c>
      <c r="EQ210" s="645">
        <f>INPUT!FJ125</f>
        <v>171.20000000000005</v>
      </c>
      <c r="ER210" s="647">
        <f>INPUT!FK125</f>
        <v>-4.9416990560798846</v>
      </c>
      <c r="ES210" s="645">
        <f>INPUT!FL125</f>
        <v>218.80000000000041</v>
      </c>
      <c r="ET210" s="647">
        <f>INPUT!FM125</f>
        <v>27.803738317757222</v>
      </c>
      <c r="EU210" s="645">
        <f>INPUT!FN125</f>
        <v>214.79999999999973</v>
      </c>
      <c r="EV210" s="647">
        <f>INPUT!FO125</f>
        <v>-1.8281535648997593</v>
      </c>
      <c r="EW210" s="645">
        <f>INPUT!FP125</f>
        <v>271.79999999999995</v>
      </c>
      <c r="EX210" s="647">
        <f>INPUT!FQ125</f>
        <v>26.536312849162158</v>
      </c>
      <c r="EY210" s="645">
        <f>INPUT!FR125</f>
        <v>247.10000000000002</v>
      </c>
      <c r="EZ210" s="647">
        <f>INPUT!FS125</f>
        <v>-9.0875643855776076</v>
      </c>
      <c r="FA210" s="645">
        <f>INPUT!FT125</f>
        <v>248.10000000000014</v>
      </c>
      <c r="FB210" s="647">
        <f>INPUT!FU125</f>
        <v>0.40469445568600548</v>
      </c>
      <c r="FC210" s="645">
        <f>INPUT!FV125</f>
        <v>306.09999999999991</v>
      </c>
      <c r="FD210" s="647">
        <f>INPUT!FW125</f>
        <v>23.377670294236097</v>
      </c>
      <c r="FE210" s="645">
        <f>INPUT!FX125</f>
        <v>331.59999999999968</v>
      </c>
      <c r="FF210" s="647">
        <f>INPUT!FY125</f>
        <v>8.3306109114667635</v>
      </c>
      <c r="FG210" s="645">
        <f>INPUT!FZ125</f>
        <v>294.20000000000027</v>
      </c>
      <c r="FH210" s="647">
        <f>INPUT!GA125</f>
        <v>-11.278648974668105</v>
      </c>
      <c r="FI210" s="645">
        <f>INPUT!GB125</f>
        <v>329.69999999999982</v>
      </c>
      <c r="FJ210" s="647">
        <f>INPUT!GC125</f>
        <v>12.066621346022943</v>
      </c>
      <c r="FK210" s="645">
        <f>INPUT!GD125</f>
        <v>352.70000000000027</v>
      </c>
      <c r="FL210" s="647">
        <f>INPUT!GE125</f>
        <v>6.9760388231727255</v>
      </c>
      <c r="FM210" s="645">
        <f>INPUT!GF125</f>
        <v>372.70000000000005</v>
      </c>
      <c r="FN210" s="647">
        <f>INPUT!GG125</f>
        <v>5.6705415367166889</v>
      </c>
      <c r="FO210" s="645">
        <f>INPUT!GH125</f>
        <v>417.69999999999993</v>
      </c>
      <c r="FP210" s="647">
        <f>INPUT!GI125</f>
        <v>12.074054199087714</v>
      </c>
      <c r="FQ210" s="645">
        <f>INPUT!GJ125</f>
        <v>401.21636197527914</v>
      </c>
      <c r="FR210" s="647">
        <f>INPUT!GK125</f>
        <v>-3.9462863358201594</v>
      </c>
      <c r="FS210" s="645">
        <f>INPUT!GL125</f>
        <v>416.22289684887323</v>
      </c>
      <c r="FT210" s="647">
        <f>INPUT!GM125</f>
        <v>3.7402599434662953</v>
      </c>
      <c r="FU210" s="645">
        <f>INPUT!GN125</f>
        <v>431.82812996939197</v>
      </c>
      <c r="FV210" s="647">
        <f>INPUT!GO125</f>
        <v>3.7492490775164811</v>
      </c>
      <c r="FW210" s="645">
        <f>INPUT!GP125</f>
        <v>448.05744739427882</v>
      </c>
      <c r="FX210" s="647">
        <f>INPUT!GQ125</f>
        <v>3.7582816631323235</v>
      </c>
      <c r="FY210" s="645">
        <f>INPUT!GR125</f>
        <v>461.31059094722605</v>
      </c>
      <c r="FZ210" s="647">
        <f>INPUT!GS125</f>
        <v>2.9579116762866287</v>
      </c>
      <c r="GA210" s="646">
        <f>INPUT!GT125</f>
        <v>2.0060169785684812</v>
      </c>
    </row>
    <row r="211" spans="1:183" ht="12.75" hidden="1" customHeight="1" outlineLevel="2" x14ac:dyDescent="0.2">
      <c r="A211" s="614" t="s">
        <v>517</v>
      </c>
      <c r="B211" s="615"/>
      <c r="C211" s="616"/>
      <c r="D211" s="615"/>
      <c r="E211" s="616"/>
      <c r="F211" s="615"/>
      <c r="G211" s="616"/>
      <c r="H211" s="615"/>
      <c r="I211" s="616"/>
      <c r="J211" s="615"/>
      <c r="K211" s="616"/>
      <c r="L211" s="615"/>
      <c r="M211" s="616"/>
      <c r="N211" s="615"/>
      <c r="O211" s="616"/>
      <c r="P211" s="615"/>
      <c r="Q211" s="616"/>
      <c r="R211" s="615"/>
      <c r="S211" s="616"/>
      <c r="T211" s="615"/>
      <c r="U211" s="616"/>
      <c r="V211" s="615"/>
      <c r="W211" s="616"/>
      <c r="X211" s="615"/>
      <c r="Y211" s="616"/>
      <c r="Z211" s="615"/>
      <c r="AA211" s="616"/>
      <c r="AB211" s="615"/>
      <c r="AC211" s="616"/>
      <c r="AD211" s="615"/>
      <c r="AE211" s="616"/>
      <c r="AF211" s="615"/>
      <c r="AG211" s="616"/>
      <c r="AH211" s="615"/>
      <c r="AI211" s="616"/>
      <c r="AJ211" s="615"/>
      <c r="AK211" s="616"/>
      <c r="AL211" s="615"/>
      <c r="AM211" s="616"/>
      <c r="AN211" s="615"/>
      <c r="AO211" s="617"/>
      <c r="AP211" s="615"/>
      <c r="AQ211" s="617"/>
      <c r="AR211" s="615"/>
      <c r="AS211" s="617"/>
      <c r="AT211" s="615"/>
      <c r="AU211" s="617"/>
      <c r="AV211" s="615"/>
      <c r="AW211" s="617"/>
      <c r="AX211" s="615"/>
      <c r="AY211" s="617"/>
      <c r="AZ211" s="615"/>
      <c r="BA211" s="617"/>
      <c r="BB211" s="615"/>
      <c r="BC211" s="617"/>
      <c r="BD211" s="615"/>
      <c r="BE211" s="617"/>
      <c r="BF211" s="615"/>
      <c r="BG211" s="617"/>
      <c r="BH211" s="615"/>
      <c r="BI211" s="617"/>
      <c r="BJ211" s="615"/>
      <c r="BK211" s="617"/>
      <c r="BL211" s="615"/>
      <c r="BM211" s="617"/>
      <c r="BN211" s="615"/>
      <c r="BO211" s="617"/>
      <c r="BP211" s="615"/>
      <c r="BQ211" s="617"/>
      <c r="BR211" s="615"/>
      <c r="BS211" s="617"/>
      <c r="BT211" s="615"/>
      <c r="BU211" s="617"/>
      <c r="BV211" s="618">
        <f>(BV198+BV199+BV200-BV204-BV205-BV206-BV207)-BV210</f>
        <v>0</v>
      </c>
      <c r="BW211" s="617"/>
      <c r="BX211" s="618">
        <f>(BX198+BX199+BX200-BX204-BX205-BX206-BX207)-BX210</f>
        <v>0</v>
      </c>
      <c r="BY211" s="617"/>
      <c r="BZ211" s="618">
        <f>(BZ198+BZ199+BZ200-BZ204-BZ205-BZ206-BZ207)-BZ210</f>
        <v>0</v>
      </c>
      <c r="CA211" s="617"/>
      <c r="CB211" s="618">
        <f>(CB198+CB199+CB200-CB204-CB205-CB206-CB207)-CB210</f>
        <v>0</v>
      </c>
      <c r="CC211" s="617"/>
      <c r="CD211" s="618">
        <f>(CD198+CD199+CD200-CD204-CD205-CD206-CD207)-CD210</f>
        <v>0</v>
      </c>
      <c r="CE211" s="617"/>
      <c r="CF211" s="618">
        <f>(CF198+CF199+CF200-CF204-CF205-CF206-CF207)-CF210</f>
        <v>0</v>
      </c>
      <c r="CG211" s="617"/>
      <c r="CH211" s="618">
        <f>(CH198+CH199+CH200-CH204-CH205-CH206-CH207)-CH210</f>
        <v>0</v>
      </c>
      <c r="CI211" s="617"/>
      <c r="CJ211" s="618">
        <f>(CJ198+CJ199+CJ200-CJ204-CJ205-CJ206-CJ207)-CJ210</f>
        <v>0</v>
      </c>
      <c r="CK211" s="617"/>
      <c r="CL211" s="618">
        <f>(CL198+CL199+CL200-CL204-CL205-CL206-CL207)-CL210</f>
        <v>0</v>
      </c>
      <c r="CM211" s="617"/>
      <c r="CN211" s="618">
        <f>(CN198+CN199+CN200-CN204-CN205-CN206-CN207)-CN210</f>
        <v>0</v>
      </c>
      <c r="CO211" s="617"/>
      <c r="CP211" s="618">
        <f>(CP198+CP199+CP200-CP204-CP205-CP206-CP207)-CP210</f>
        <v>0</v>
      </c>
      <c r="CQ211" s="617"/>
      <c r="CR211" s="618">
        <f>(CR198+CR199+CR200-CR204-CR205-CR206-CR207)-CR210</f>
        <v>0</v>
      </c>
      <c r="CS211" s="617"/>
      <c r="CT211" s="618">
        <f>(CT198+CT199+CT200-CT204-CT205-CT206-CT207)-CT210</f>
        <v>0</v>
      </c>
      <c r="CU211" s="617"/>
      <c r="CV211" s="618">
        <f>(CV198+CV199+CV200-CV204-CV205-CV206-CV207)-CV210</f>
        <v>0</v>
      </c>
      <c r="CW211" s="617"/>
      <c r="CX211" s="618">
        <f>(CX198+CX199+CX200-CX204-CX205-CX206-CX207)-CX210</f>
        <v>0</v>
      </c>
      <c r="CY211" s="617"/>
      <c r="CZ211" s="618">
        <f>(CZ198+CZ199+CZ200-CZ204-CZ205-CZ206-CZ207)-CZ210</f>
        <v>0</v>
      </c>
      <c r="DA211" s="617"/>
      <c r="DB211" s="618">
        <f>(DB198+DB199+DB200-DB204-DB205-DB206-DB207)-DB210</f>
        <v>0</v>
      </c>
      <c r="DC211" s="617"/>
      <c r="DD211" s="618">
        <f>(DD198+DD199+DD200-DD204-DD205-DD206-DD207)-DD210</f>
        <v>0</v>
      </c>
      <c r="DE211" s="617"/>
      <c r="DF211" s="618">
        <f>(DF198+DF199+DF200-DF204-DF205-DF206-DF207)-DF210</f>
        <v>0</v>
      </c>
      <c r="DG211" s="617"/>
      <c r="DH211" s="618">
        <f>(DH198+DH199+DH200-DH204-DH205-DH206-DH207)-DH210</f>
        <v>0</v>
      </c>
      <c r="DI211" s="617"/>
      <c r="DJ211" s="618">
        <f>(DJ198+DJ199+DJ200-DJ204-DJ205-DJ206-DJ207)-DJ210</f>
        <v>0</v>
      </c>
      <c r="DK211" s="617"/>
      <c r="DL211" s="618">
        <f>(DL198+DL199+DL200-DL204-DL205-DL206-DL207)-DL210</f>
        <v>0</v>
      </c>
      <c r="DM211" s="617"/>
      <c r="DN211" s="618">
        <f>(DN198+DN199+DN200-DN204-DN205-DN206-DN207)-DN210</f>
        <v>0</v>
      </c>
      <c r="DO211" s="617"/>
      <c r="DP211" s="618">
        <f>(DP198+DP199+DP200-DP204-DP205-DP206-DP207)-DP210</f>
        <v>0</v>
      </c>
      <c r="DQ211" s="617"/>
      <c r="DR211" s="618">
        <f t="shared" ref="DR211" si="152">(DR198+DR199+DR200-DR204-DR205-DR206-DR207)-DR210</f>
        <v>0</v>
      </c>
      <c r="DS211" s="617"/>
      <c r="DT211" s="618">
        <f t="shared" ref="DT211" si="153">(DT198+DT199+DT200-DT204-DT205-DT206-DT207)-DT210</f>
        <v>0</v>
      </c>
      <c r="DU211" s="617"/>
      <c r="DV211" s="618">
        <f t="shared" ref="DV211" si="154">(DV198+DV199+DV200-DV204-DV205-DV206-DV207)-DV210</f>
        <v>0</v>
      </c>
      <c r="DW211" s="617"/>
      <c r="DX211" s="618">
        <f t="shared" ref="DX211" si="155">(DX198+DX199+DX200-DX204-DX205-DX206-DX207)-DX210</f>
        <v>-8.0999999999999659</v>
      </c>
      <c r="DY211" s="617"/>
      <c r="DZ211" s="618">
        <f t="shared" ref="DZ211" si="156">(DZ198+DZ199+DZ200-DZ204-DZ205-DZ206-DZ207)-DZ210</f>
        <v>0</v>
      </c>
      <c r="EA211" s="617"/>
      <c r="EB211" s="618">
        <f t="shared" ref="EB211" si="157">(EB198+EB199+EB200-EB204-EB205-EB206-EB207)-EB210</f>
        <v>0</v>
      </c>
      <c r="EC211" s="617"/>
      <c r="ED211" s="618">
        <f t="shared" ref="ED211" si="158">(ED198+ED199+ED200-ED204-ED205-ED206-ED207)-ED210</f>
        <v>0</v>
      </c>
      <c r="EE211" s="617"/>
      <c r="EF211" s="618">
        <f t="shared" ref="EF211" si="159">(EF198+EF199+EF200-EF204-EF205-EF206-EF207)-EF210</f>
        <v>0</v>
      </c>
      <c r="EG211" s="617"/>
      <c r="EH211" s="617"/>
      <c r="EI211" s="615"/>
      <c r="EJ211" s="616"/>
      <c r="EK211" s="615"/>
      <c r="EL211" s="616"/>
      <c r="EM211" s="615"/>
      <c r="EN211" s="616"/>
      <c r="EO211" s="615"/>
      <c r="EP211" s="616"/>
      <c r="EQ211" s="615"/>
      <c r="ER211" s="617"/>
      <c r="ES211" s="615"/>
      <c r="ET211" s="617"/>
      <c r="EU211" s="615"/>
      <c r="EV211" s="617"/>
      <c r="EW211" s="615"/>
      <c r="EX211" s="617"/>
      <c r="EY211" s="615"/>
      <c r="EZ211" s="617"/>
      <c r="FA211" s="618">
        <f>(FA198+FA199+FA200-FA204-FA205-FA206-FA207)-FA210</f>
        <v>0</v>
      </c>
      <c r="FB211" s="617"/>
      <c r="FC211" s="618">
        <f>(FC198+FC199+FC200-FC204-FC205-FC206-FC207)-FC210</f>
        <v>0</v>
      </c>
      <c r="FD211" s="617"/>
      <c r="FE211" s="618">
        <f>(FE198+FE199+FE200-FE204-FE205-FE206-FE207)-FE210</f>
        <v>0</v>
      </c>
      <c r="FF211" s="617"/>
      <c r="FG211" s="618">
        <f>(FG198+FG199+FG200-FG204-FG205-FG206-FG207)-FG210</f>
        <v>0</v>
      </c>
      <c r="FH211" s="617"/>
      <c r="FI211" s="618">
        <f>(FI198+FI199+FI200-FI204-FI205-FI206-FI207)-FI210</f>
        <v>0</v>
      </c>
      <c r="FJ211" s="617"/>
      <c r="FK211" s="618">
        <f>(FK198+FK199+FK200-FK204-FK205-FK206-FK207)-FK210</f>
        <v>0</v>
      </c>
      <c r="FL211" s="617"/>
      <c r="FM211" s="618">
        <f>(FM198+FM199+FM200-FM204-FM205-FM206-FM207)-FM210</f>
        <v>0</v>
      </c>
      <c r="FN211" s="617"/>
      <c r="FO211" s="618">
        <f>(FO198+FO199+FO200-FO204-FO205-FO206-FO207)-FO210</f>
        <v>-8.1000000000000796</v>
      </c>
      <c r="FP211" s="617"/>
      <c r="FQ211" s="618">
        <f>(FQ198+FQ199+FQ200-FQ204-FQ205-FQ206-FQ207)-FQ210</f>
        <v>0</v>
      </c>
      <c r="FR211" s="617"/>
      <c r="FS211" s="618">
        <f>(FS198+FS199+FS200-FS204-FS205-FS206-FS207)-FS210</f>
        <v>0</v>
      </c>
      <c r="FT211" s="617"/>
      <c r="FU211" s="618">
        <f>(FU198+FU199+FU200-FU204-FU205-FU206-FU207)-FU210</f>
        <v>0</v>
      </c>
      <c r="FV211" s="617"/>
      <c r="FW211" s="618">
        <f>(FW198+FW199+FW200-FW204-FW205-FW206-FW207)-FW210</f>
        <v>0</v>
      </c>
      <c r="FX211" s="617"/>
      <c r="FY211" s="618">
        <f>(FY198+FY199+FY200-FY204-FY205-FY206-FY207)-FY210</f>
        <v>0</v>
      </c>
      <c r="FZ211" s="617"/>
      <c r="GA211" s="616"/>
    </row>
    <row r="212" spans="1:183" ht="12.75" hidden="1" customHeight="1" outlineLevel="1" collapsed="1" x14ac:dyDescent="0.2">
      <c r="A212" s="612"/>
      <c r="B212" s="96"/>
      <c r="C212" s="399"/>
      <c r="D212" s="96"/>
      <c r="E212" s="399"/>
      <c r="F212" s="96"/>
      <c r="G212" s="399"/>
      <c r="H212" s="96"/>
      <c r="I212" s="399"/>
      <c r="J212" s="96"/>
      <c r="K212" s="399"/>
      <c r="L212" s="96"/>
      <c r="M212" s="399"/>
      <c r="N212" s="96"/>
      <c r="O212" s="399"/>
      <c r="P212" s="96"/>
      <c r="Q212" s="399"/>
      <c r="R212" s="96"/>
      <c r="S212" s="399"/>
      <c r="T212" s="96"/>
      <c r="U212" s="399"/>
      <c r="V212" s="96"/>
      <c r="W212" s="399"/>
      <c r="X212" s="96"/>
      <c r="Y212" s="399"/>
      <c r="Z212" s="96"/>
      <c r="AA212" s="399"/>
      <c r="AB212" s="96"/>
      <c r="AC212" s="399"/>
      <c r="AD212" s="96"/>
      <c r="AE212" s="399"/>
      <c r="AF212" s="96"/>
      <c r="AG212" s="399"/>
      <c r="AH212" s="96"/>
      <c r="AI212" s="399"/>
      <c r="AJ212" s="96"/>
      <c r="AK212" s="399"/>
      <c r="AL212" s="96"/>
      <c r="AM212" s="399"/>
      <c r="AN212" s="96"/>
      <c r="AO212" s="18"/>
      <c r="AP212" s="96"/>
      <c r="AQ212" s="18"/>
      <c r="AR212" s="96"/>
      <c r="AS212" s="18"/>
      <c r="AT212" s="96"/>
      <c r="AU212" s="18"/>
      <c r="AV212" s="96"/>
      <c r="AW212" s="18"/>
      <c r="AX212" s="96"/>
      <c r="AY212" s="18"/>
      <c r="AZ212" s="96"/>
      <c r="BA212" s="18"/>
      <c r="BB212" s="96"/>
      <c r="BC212" s="18"/>
      <c r="BD212" s="96"/>
      <c r="BE212" s="18"/>
      <c r="BF212" s="96"/>
      <c r="BG212" s="18"/>
      <c r="BH212" s="96"/>
      <c r="BI212" s="18"/>
      <c r="BJ212" s="96"/>
      <c r="BK212" s="18"/>
      <c r="BL212" s="96"/>
      <c r="BM212" s="18"/>
      <c r="BN212" s="96"/>
      <c r="BO212" s="18"/>
      <c r="BP212" s="96"/>
      <c r="BQ212" s="18"/>
      <c r="BR212" s="96"/>
      <c r="BS212" s="18"/>
      <c r="BT212" s="96"/>
      <c r="BU212" s="18"/>
      <c r="BV212" s="96"/>
      <c r="BW212" s="18"/>
      <c r="BX212" s="96"/>
      <c r="BY212" s="18"/>
      <c r="BZ212" s="96"/>
      <c r="CA212" s="18"/>
      <c r="CB212" s="96"/>
      <c r="CC212" s="18"/>
      <c r="CD212" s="96"/>
      <c r="CE212" s="18"/>
      <c r="CF212" s="96"/>
      <c r="CG212" s="18"/>
      <c r="CH212" s="96"/>
      <c r="CI212" s="18"/>
      <c r="CJ212" s="96"/>
      <c r="CK212" s="18"/>
      <c r="CL212" s="96"/>
      <c r="CM212" s="18"/>
      <c r="CN212" s="96"/>
      <c r="CO212" s="18"/>
      <c r="CP212" s="96"/>
      <c r="CQ212" s="18"/>
      <c r="CR212" s="96"/>
      <c r="CS212" s="18"/>
      <c r="CT212" s="96"/>
      <c r="CU212" s="18"/>
      <c r="CV212" s="96"/>
      <c r="CW212" s="18"/>
      <c r="CX212" s="96"/>
      <c r="CY212" s="18"/>
      <c r="CZ212" s="96"/>
      <c r="DA212" s="18"/>
      <c r="DB212" s="96"/>
      <c r="DC212" s="18"/>
      <c r="DD212" s="96"/>
      <c r="DE212" s="18"/>
      <c r="DF212" s="96"/>
      <c r="DG212" s="18"/>
      <c r="DH212" s="96"/>
      <c r="DI212" s="18"/>
      <c r="DJ212" s="96"/>
      <c r="DK212" s="18"/>
      <c r="DL212" s="96"/>
      <c r="DM212" s="18"/>
      <c r="DN212" s="96"/>
      <c r="DO212" s="18"/>
      <c r="DP212" s="96"/>
      <c r="DQ212" s="18"/>
      <c r="DR212" s="96"/>
      <c r="DS212" s="18"/>
      <c r="DT212" s="96"/>
      <c r="DU212" s="18"/>
      <c r="DV212" s="96"/>
      <c r="DW212" s="18"/>
      <c r="DX212" s="96"/>
      <c r="DY212" s="18"/>
      <c r="DZ212" s="96"/>
      <c r="EA212" s="18"/>
      <c r="EB212" s="96"/>
      <c r="EC212" s="18"/>
      <c r="ED212" s="96"/>
      <c r="EE212" s="18"/>
      <c r="EF212" s="96"/>
      <c r="EG212" s="18"/>
      <c r="EH212" s="18"/>
      <c r="EI212" s="96"/>
      <c r="EJ212" s="399"/>
      <c r="EK212" s="96"/>
      <c r="EL212" s="399"/>
      <c r="EM212" s="96"/>
      <c r="EN212" s="399"/>
      <c r="EO212" s="96"/>
      <c r="EP212" s="399"/>
      <c r="EQ212" s="96"/>
      <c r="ER212" s="18"/>
      <c r="ES212" s="96"/>
      <c r="ET212" s="18"/>
      <c r="EU212" s="96"/>
      <c r="EV212" s="18"/>
      <c r="EW212" s="96"/>
      <c r="EX212" s="18"/>
      <c r="EY212" s="96"/>
      <c r="EZ212" s="18"/>
      <c r="FA212" s="96"/>
      <c r="FB212" s="18"/>
      <c r="FC212" s="96"/>
      <c r="FD212" s="18"/>
      <c r="FE212" s="96"/>
      <c r="FF212" s="18"/>
      <c r="FG212" s="96"/>
      <c r="FH212" s="18"/>
      <c r="FI212" s="96"/>
      <c r="FJ212" s="18"/>
      <c r="FK212" s="96"/>
      <c r="FL212" s="18"/>
      <c r="FM212" s="96"/>
      <c r="FN212" s="18"/>
      <c r="FO212" s="96"/>
      <c r="FP212" s="18"/>
      <c r="FQ212" s="96"/>
      <c r="FR212" s="18"/>
      <c r="FS212" s="96"/>
      <c r="FT212" s="18"/>
      <c r="FU212" s="96"/>
      <c r="FV212" s="18"/>
      <c r="FW212" s="96"/>
      <c r="FX212" s="18"/>
      <c r="FY212" s="96"/>
      <c r="FZ212" s="18"/>
      <c r="GA212" s="399"/>
    </row>
    <row r="213" spans="1:183" ht="12.75" hidden="1" customHeight="1" outlineLevel="1" x14ac:dyDescent="0.2">
      <c r="A213" s="610" t="s">
        <v>260</v>
      </c>
      <c r="B213" s="119"/>
      <c r="C213" s="399"/>
      <c r="D213" s="119"/>
      <c r="E213" s="399"/>
      <c r="F213" s="119"/>
      <c r="G213" s="399"/>
      <c r="H213" s="119"/>
      <c r="I213" s="399"/>
      <c r="J213" s="119"/>
      <c r="K213" s="399"/>
      <c r="L213" s="119"/>
      <c r="M213" s="399"/>
      <c r="N213" s="119"/>
      <c r="O213" s="399"/>
      <c r="P213" s="119"/>
      <c r="Q213" s="399"/>
      <c r="R213" s="119">
        <f>INPUT!AC449</f>
        <v>-6.4487743557510937</v>
      </c>
      <c r="S213" s="399" t="str">
        <f>INPUT!AD449</f>
        <v>NA</v>
      </c>
      <c r="T213" s="119">
        <f>INPUT!AE449</f>
        <v>22.406847935548818</v>
      </c>
      <c r="U213" s="399" t="str">
        <f>INPUT!AF449</f>
        <v>NA</v>
      </c>
      <c r="V213" s="119">
        <f>INPUT!AG449</f>
        <v>21.987182827072367</v>
      </c>
      <c r="W213" s="399" t="str">
        <f>INPUT!AH449</f>
        <v>NA</v>
      </c>
      <c r="X213" s="119">
        <f>INPUT!AI449</f>
        <v>36.263641832087387</v>
      </c>
      <c r="Y213" s="399" t="str">
        <f>INPUT!AJ449</f>
        <v>NA</v>
      </c>
      <c r="Z213" s="119">
        <f>INPUT!AK449</f>
        <v>22.456709956709929</v>
      </c>
      <c r="AA213" s="399" t="str">
        <f>INPUT!AL449</f>
        <v>NM</v>
      </c>
      <c r="AB213" s="119">
        <f>INPUT!AM449</f>
        <v>21.667498751872209</v>
      </c>
      <c r="AC213" s="399">
        <f>INPUT!AN449</f>
        <v>-3.2996572556893145</v>
      </c>
      <c r="AD213" s="119">
        <f>INPUT!AO449</f>
        <v>18.899521531100483</v>
      </c>
      <c r="AE213" s="399">
        <f>INPUT!AP449</f>
        <v>-14.043005510328999</v>
      </c>
      <c r="AF213" s="119">
        <f>INPUT!AQ449</f>
        <v>24.986652429257887</v>
      </c>
      <c r="AG213" s="399">
        <f>INPUT!AR449</f>
        <v>-31.0972335736319</v>
      </c>
      <c r="AH213" s="119">
        <f>INPUT!AS449</f>
        <v>27.863163113534966</v>
      </c>
      <c r="AI213" s="399">
        <f>INPUT!AT449</f>
        <v>24.075001045331756</v>
      </c>
      <c r="AJ213" s="119">
        <f>INPUT!AU449</f>
        <v>22.771362586605061</v>
      </c>
      <c r="AK213" s="399">
        <f>INPUT!AV449</f>
        <v>5.0945605091472279</v>
      </c>
      <c r="AL213" s="119">
        <f>INPUT!AW449</f>
        <v>24.049079754601223</v>
      </c>
      <c r="AM213" s="399">
        <f>INPUT!AX449</f>
        <v>27.247029587636828</v>
      </c>
      <c r="AN213" s="119">
        <f>INPUT!AY449</f>
        <v>20.566037735849068</v>
      </c>
      <c r="AO213" s="18">
        <f>INPUT!AZ449</f>
        <v>-17.691904531527168</v>
      </c>
      <c r="AP213" s="119">
        <f>INPUT!BA449</f>
        <v>21.927162367223051</v>
      </c>
      <c r="AQ213" s="18">
        <f>INPUT!BB449</f>
        <v>-21.304116557493114</v>
      </c>
      <c r="AR213" s="119">
        <f>INPUT!BC449</f>
        <v>17.894736842105228</v>
      </c>
      <c r="AS213" s="18">
        <f>INPUT!BD449</f>
        <v>-21.415607985481032</v>
      </c>
      <c r="AT213" s="119">
        <f>INPUT!BE449</f>
        <v>15.415384615384594</v>
      </c>
      <c r="AU213" s="18">
        <f>INPUT!BF449</f>
        <v>-35.900313971742627</v>
      </c>
      <c r="AV213" s="119">
        <f>INPUT!BG449</f>
        <v>18.611473272490244</v>
      </c>
      <c r="AW213" s="18">
        <f>INPUT!BH449</f>
        <v>-9.5038455557814316</v>
      </c>
      <c r="AX213" s="119">
        <f>INPUT!BI449</f>
        <v>20.05108556832695</v>
      </c>
      <c r="AY213" s="18">
        <f>INPUT!BJ449</f>
        <v>-8.5559488614015962</v>
      </c>
      <c r="AZ213" s="119">
        <f>INPUT!BK449</f>
        <v>20.621883250219991</v>
      </c>
      <c r="BA213" s="18">
        <f>INPUT!BL449</f>
        <v>15.239935810053119</v>
      </c>
      <c r="BB213" s="119">
        <f>INPUT!BM449</f>
        <v>20.300982800982801</v>
      </c>
      <c r="BC213" s="18">
        <f>INPUT!BN449</f>
        <v>31.69300220198441</v>
      </c>
      <c r="BD213" s="119">
        <f>INPUT!BO449</f>
        <v>23.404255319148909</v>
      </c>
      <c r="BE213" s="18">
        <f>INPUT!BP449</f>
        <v>25.75176062898208</v>
      </c>
      <c r="BF213" s="119">
        <f>INPUT!BQ449</f>
        <v>24.619289340101517</v>
      </c>
      <c r="BG213" s="18">
        <f>INPUT!BR449</f>
        <v>22.7828251802515</v>
      </c>
      <c r="BH213" s="119">
        <f>INPUT!BS449</f>
        <v>22.939178758876171</v>
      </c>
      <c r="BI213" s="18">
        <f>INPUT!BT449</f>
        <v>11.237070254635739</v>
      </c>
      <c r="BJ213" s="119">
        <f>INPUT!BU449</f>
        <v>22.552392868314026</v>
      </c>
      <c r="BK213" s="18">
        <f>INPUT!BV449</f>
        <v>11.09015306994019</v>
      </c>
      <c r="BL213" s="119">
        <f>INPUT!BW449</f>
        <v>25.699192044748287</v>
      </c>
      <c r="BM213" s="18">
        <f>INPUT!BX449</f>
        <v>9.8056387366519004</v>
      </c>
      <c r="BN213" s="119">
        <f>INPUT!BY449</f>
        <v>16.52455160246986</v>
      </c>
      <c r="BO213" s="18">
        <f>INPUT!BZ449</f>
        <v>-32.879656377596632</v>
      </c>
      <c r="BP213" s="119">
        <f>INPUT!CA449</f>
        <v>19.121071012805587</v>
      </c>
      <c r="BQ213" s="18">
        <f>INPUT!CB449</f>
        <v>-16.644483162210822</v>
      </c>
      <c r="BR213" s="119">
        <f>INPUT!CC449</f>
        <v>18.583535108958834</v>
      </c>
      <c r="BS213" s="18">
        <f>INPUT!CD449</f>
        <v>-17.598388705490375</v>
      </c>
      <c r="BT213" s="119">
        <f>INPUT!CE449</f>
        <v>20.663265306122433</v>
      </c>
      <c r="BU213" s="18">
        <f>INPUT!CF449</f>
        <v>-19.595661722972192</v>
      </c>
      <c r="BV213" s="119">
        <f>INPUT!CG449</f>
        <v>21.642723297938801</v>
      </c>
      <c r="BW213" s="18">
        <f>INPUT!CH449</f>
        <v>30.973135117953497</v>
      </c>
      <c r="BX213" s="119">
        <f>INPUT!CI449</f>
        <v>21.641144177983236</v>
      </c>
      <c r="BY213" s="18">
        <f>INPUT!CJ449</f>
        <v>13.179560723821005</v>
      </c>
      <c r="BZ213" s="119">
        <f>INPUT!CK449</f>
        <v>24.547723019338736</v>
      </c>
      <c r="CA213" s="18">
        <f>INPUT!CL449</f>
        <v>32.093936247386324</v>
      </c>
      <c r="CB213" s="119">
        <f>INPUT!CM449</f>
        <v>-12.59727626459143</v>
      </c>
      <c r="CC213" s="18" t="str">
        <f>INPUT!CN449</f>
        <v>NM</v>
      </c>
      <c r="CD213" s="119">
        <f>INPUT!CO449</f>
        <v>25.485122897800789</v>
      </c>
      <c r="CE213" s="18">
        <f>INPUT!CP449</f>
        <v>17.753771311339218</v>
      </c>
      <c r="CF213" s="119">
        <f>INPUT!CQ449</f>
        <v>27.410512737826515</v>
      </c>
      <c r="CG213" s="18">
        <f>INPUT!CR449</f>
        <v>26.659258458768488</v>
      </c>
      <c r="CH213" s="119">
        <f>INPUT!CS449</f>
        <v>27.58287737367235</v>
      </c>
      <c r="CI213" s="18">
        <f>INPUT!CT449</f>
        <v>12.364300965684327</v>
      </c>
      <c r="CJ213" s="119">
        <f>INPUT!CU449</f>
        <v>26.99386503067484</v>
      </c>
      <c r="CK213" s="18" t="str">
        <f>INPUT!CV449</f>
        <v>NM</v>
      </c>
      <c r="CL213" s="119">
        <f>INPUT!CW449</f>
        <v>25.961538461538435</v>
      </c>
      <c r="CM213" s="18">
        <f>INPUT!CX449</f>
        <v>1.869386958219299</v>
      </c>
      <c r="CN213" s="119">
        <f>INPUT!CY449</f>
        <v>26.357573832962849</v>
      </c>
      <c r="CO213" s="18">
        <f>INPUT!CZ449</f>
        <v>-3.84136887527321</v>
      </c>
      <c r="CP213" s="119">
        <f>INPUT!DA449</f>
        <v>25.695322376738289</v>
      </c>
      <c r="CQ213" s="18">
        <f>INPUT!DB449</f>
        <v>-6.843212806854293</v>
      </c>
      <c r="CR213" s="119">
        <f>INPUT!DC449</f>
        <v>28.137384412153231</v>
      </c>
      <c r="CS213" s="18">
        <f>INPUT!DD449</f>
        <v>4.2362195268404124</v>
      </c>
      <c r="CT213" s="119">
        <f>INPUT!DE449</f>
        <v>24.992305324715314</v>
      </c>
      <c r="CU213" s="18">
        <f>INPUT!DF449</f>
        <v>-3.7333424529483183</v>
      </c>
      <c r="CV213" s="119">
        <f>INPUT!DG449</f>
        <v>25.361205041500153</v>
      </c>
      <c r="CW213" s="18">
        <f>INPUT!DH449</f>
        <v>-3.7801991859229278</v>
      </c>
      <c r="CX213" s="119">
        <f>INPUT!DI449</f>
        <v>25.756620428751571</v>
      </c>
      <c r="CY213" s="18">
        <f>INPUT!DJ449</f>
        <v>0.23855724055352745</v>
      </c>
      <c r="CZ213" s="119">
        <f>INPUT!DK449</f>
        <v>-22.606596942880131</v>
      </c>
      <c r="DA213" s="18" t="str">
        <f>INPUT!DL449</f>
        <v>NM</v>
      </c>
      <c r="DB213" s="119">
        <f>INPUT!DM449</f>
        <v>25.793276782909206</v>
      </c>
      <c r="DC213" s="18">
        <f>INPUT!DN449</f>
        <v>3.2048722508275285</v>
      </c>
      <c r="DD213" s="119">
        <f>INPUT!DO449</f>
        <v>27.931034482758633</v>
      </c>
      <c r="DE213" s="18">
        <f>INPUT!DP449</f>
        <v>10.132915360501627</v>
      </c>
      <c r="DF213" s="119">
        <f>INPUT!DQ449</f>
        <v>26.943164362519177</v>
      </c>
      <c r="DG213" s="18">
        <f>INPUT!DR449</f>
        <v>4.6067531920573446</v>
      </c>
      <c r="DH213" s="119">
        <f>INPUT!DS449</f>
        <v>29.376761666144702</v>
      </c>
      <c r="DI213" s="18" t="str">
        <f>INPUT!DT449</f>
        <v>NM</v>
      </c>
      <c r="DJ213" s="119">
        <f>INPUT!DU449</f>
        <v>27.748691099476481</v>
      </c>
      <c r="DK213" s="18">
        <f>INPUT!DV449</f>
        <v>7.5811008156317028</v>
      </c>
      <c r="DL213" s="119">
        <f>INPUT!DW449</f>
        <v>28.63541355628546</v>
      </c>
      <c r="DM213" s="18">
        <f>INPUT!DX449</f>
        <v>2.5218510039849429</v>
      </c>
      <c r="DN213" s="119">
        <f>INPUT!DY449</f>
        <v>28.713796325132336</v>
      </c>
      <c r="DO213" s="18">
        <f>INPUT!DZ449</f>
        <v>6.571729804225579</v>
      </c>
      <c r="DP213" s="119">
        <f>INPUT!EA449</f>
        <v>27.567094515752643</v>
      </c>
      <c r="DQ213" s="18">
        <f>INPUT!EB449</f>
        <v>-6.1601995855030349</v>
      </c>
      <c r="DR213" s="119">
        <f>INPUT!EC449</f>
        <v>27.772874374816119</v>
      </c>
      <c r="DS213" s="18">
        <f>INPUT!ED449</f>
        <v>8.7151048865496961E-2</v>
      </c>
      <c r="DT213" s="119">
        <f>INPUT!EE449</f>
        <v>26.732673267326724</v>
      </c>
      <c r="DU213" s="18">
        <f>INPUT!EF449</f>
        <v>-6.6447103521614199</v>
      </c>
      <c r="DV213" s="119">
        <f>INPUT!EG449</f>
        <v>30.387205387205395</v>
      </c>
      <c r="DW213" s="18">
        <f>INPUT!EH449</f>
        <v>5.8278920806036805</v>
      </c>
      <c r="DX213" s="119">
        <f>INPUT!EI449</f>
        <v>27.085009385894349</v>
      </c>
      <c r="DY213" s="18">
        <f>INPUT!EJ449</f>
        <v>-1.7487701853483917</v>
      </c>
      <c r="DZ213" s="119">
        <f>INPUT!EK449</f>
        <v>28.076640933500506</v>
      </c>
      <c r="EA213" s="18">
        <f>INPUT!EL449</f>
        <v>1.0937526832290656</v>
      </c>
      <c r="EB213" s="119">
        <f>INPUT!EM449</f>
        <v>28.256106788413206</v>
      </c>
      <c r="EC213" s="18">
        <f>INPUT!EN449</f>
        <v>5.6987698381383289</v>
      </c>
      <c r="ED213" s="119">
        <f>INPUT!EO449</f>
        <v>28.511836641361306</v>
      </c>
      <c r="EE213" s="18">
        <f>INPUT!EP449</f>
        <v>-6.1715736012819322</v>
      </c>
      <c r="EF213" s="119">
        <f>INPUT!EQ449</f>
        <v>28.576942328462856</v>
      </c>
      <c r="EG213" s="18">
        <f>INPUT!ER449</f>
        <v>5.5083345968692576</v>
      </c>
      <c r="EH213" s="18"/>
      <c r="EI213" s="119">
        <f>INPUT!FB449</f>
        <v>0</v>
      </c>
      <c r="EJ213" s="399" t="str">
        <f>INPUT!FC449</f>
        <v>NA</v>
      </c>
      <c r="EK213" s="119">
        <f>INPUT!FD449</f>
        <v>17.875721176581823</v>
      </c>
      <c r="EL213" s="399" t="str">
        <f>INPUT!FE449</f>
        <v>NA</v>
      </c>
      <c r="EM213" s="119">
        <f>INPUT!FF449</f>
        <v>-318.262150220916</v>
      </c>
      <c r="EN213" s="399" t="str">
        <f>INPUT!FG449</f>
        <v>NM</v>
      </c>
      <c r="EO213" s="119">
        <f>INPUT!FH449</f>
        <v>-133.40740740740716</v>
      </c>
      <c r="EP213" s="399" t="str">
        <f>INPUT!FI449</f>
        <v>NM</v>
      </c>
      <c r="EQ213" s="119">
        <f>INPUT!FJ449</f>
        <v>21.909393396467859</v>
      </c>
      <c r="ER213" s="18" t="str">
        <f>INPUT!FK449</f>
        <v>NM</v>
      </c>
      <c r="ES213" s="119">
        <f>INPUT!FL449</f>
        <v>23.585210736229424</v>
      </c>
      <c r="ET213" s="18">
        <f>INPUT!FM449</f>
        <v>7.6488532084677985</v>
      </c>
      <c r="EU213" s="119">
        <f>INPUT!FN449</f>
        <v>18.302160731061552</v>
      </c>
      <c r="EV213" s="18">
        <f>INPUT!FO449</f>
        <v>-22.399842275110725</v>
      </c>
      <c r="EW213" s="119">
        <f>INPUT!FP449</f>
        <v>21.07140088378944</v>
      </c>
      <c r="EX213" s="18">
        <f>INPUT!FQ449</f>
        <v>15.130673330980349</v>
      </c>
      <c r="EY213" s="119">
        <f>INPUT!FR449</f>
        <v>18.780877099642794</v>
      </c>
      <c r="EZ213" s="18">
        <f>INPUT!FS449</f>
        <v>-10.870296648899046</v>
      </c>
      <c r="FA213" s="119">
        <f>INPUT!FT449</f>
        <v>18.68645025231606</v>
      </c>
      <c r="FB213" s="18">
        <f>INPUT!FU449</f>
        <v>-0.50278188194166074</v>
      </c>
      <c r="FC213" s="119">
        <f>INPUT!FV449</f>
        <v>81.221291542826279</v>
      </c>
      <c r="FD213" s="18" t="str">
        <f>INPUT!FW449</f>
        <v>NM</v>
      </c>
      <c r="FE213" s="119">
        <f>INPUT!FX449</f>
        <v>26.405478579391623</v>
      </c>
      <c r="FF213" s="18" t="str">
        <f>INPUT!FY449</f>
        <v>NM</v>
      </c>
      <c r="FG213" s="119">
        <f>INPUT!FZ449</f>
        <v>26.522750983067194</v>
      </c>
      <c r="FH213" s="18">
        <f>INPUT!GA449</f>
        <v>0.44412148533106155</v>
      </c>
      <c r="FI213" s="119">
        <f>INPUT!GB449</f>
        <v>55.458368376787185</v>
      </c>
      <c r="FJ213" s="18" t="str">
        <f>INPUT!GC449</f>
        <v>NM</v>
      </c>
      <c r="FK213" s="119">
        <f>INPUT!GD449</f>
        <v>27.509554636923827</v>
      </c>
      <c r="FL213" s="18" t="str">
        <f>INPUT!GE449</f>
        <v>NM</v>
      </c>
      <c r="FM213" s="119">
        <f>INPUT!GF449</f>
        <v>28.160181337363031</v>
      </c>
      <c r="FN213" s="18">
        <f>INPUT!GG449</f>
        <v>2.3650935430482134</v>
      </c>
      <c r="FO213" s="119">
        <f>INPUT!GH449</f>
        <v>27.989034933577006</v>
      </c>
      <c r="FP213" s="18">
        <f>INPUT!GI449</f>
        <v>-0.60776030429515737</v>
      </c>
      <c r="FQ213" s="119">
        <f>INPUT!GJ449</f>
        <v>28.356575199397422</v>
      </c>
      <c r="FR213" s="18">
        <f>INPUT!GK449</f>
        <v>1.3131580516893671</v>
      </c>
      <c r="FS213" s="119">
        <f>INPUT!GL449</f>
        <v>28.726587898120172</v>
      </c>
      <c r="FT213" s="18">
        <f>INPUT!GM449</f>
        <v>1.3048567964251578</v>
      </c>
      <c r="FU213" s="119">
        <f>INPUT!GN449</f>
        <v>28.989816076429324</v>
      </c>
      <c r="FV213" s="18">
        <f>INPUT!GO449</f>
        <v>0.91632246489803393</v>
      </c>
      <c r="FW213" s="119">
        <f>INPUT!GP449</f>
        <v>29.179990035374669</v>
      </c>
      <c r="FX213" s="18">
        <f>INPUT!GQ449</f>
        <v>0.65600264052716462</v>
      </c>
      <c r="FY213" s="119">
        <f>INPUT!GR449</f>
        <v>29.280933273907216</v>
      </c>
      <c r="FZ213" s="18">
        <f>INPUT!GS449</f>
        <v>0.34593308088926022</v>
      </c>
      <c r="GA213" s="399">
        <f>INPUT!GT449</f>
        <v>0.90655935644667895</v>
      </c>
    </row>
    <row r="214" spans="1:183" ht="12.75" hidden="1" customHeight="1" outlineLevel="1" x14ac:dyDescent="0.2">
      <c r="A214" s="612"/>
      <c r="B214" s="119"/>
      <c r="C214" s="399"/>
      <c r="D214" s="119"/>
      <c r="E214" s="399"/>
      <c r="F214" s="119"/>
      <c r="G214" s="399"/>
      <c r="H214" s="119"/>
      <c r="I214" s="399"/>
      <c r="J214" s="119"/>
      <c r="K214" s="399"/>
      <c r="L214" s="119"/>
      <c r="M214" s="399"/>
      <c r="N214" s="119"/>
      <c r="O214" s="399"/>
      <c r="P214" s="119"/>
      <c r="Q214" s="399"/>
      <c r="R214" s="119"/>
      <c r="S214" s="399"/>
      <c r="T214" s="119"/>
      <c r="U214" s="399"/>
      <c r="V214" s="119"/>
      <c r="W214" s="399"/>
      <c r="X214" s="119"/>
      <c r="Y214" s="399"/>
      <c r="Z214" s="119"/>
      <c r="AA214" s="399"/>
      <c r="AB214" s="119"/>
      <c r="AC214" s="399"/>
      <c r="AD214" s="119"/>
      <c r="AE214" s="399"/>
      <c r="AF214" s="119"/>
      <c r="AG214" s="399"/>
      <c r="AH214" s="119"/>
      <c r="AI214" s="399"/>
      <c r="AJ214" s="119"/>
      <c r="AK214" s="399"/>
      <c r="AL214" s="119"/>
      <c r="AM214" s="399"/>
      <c r="AN214" s="119"/>
      <c r="AO214" s="18"/>
      <c r="AP214" s="119"/>
      <c r="AQ214" s="18"/>
      <c r="AR214" s="119"/>
      <c r="AS214" s="18"/>
      <c r="AT214" s="119"/>
      <c r="AU214" s="18"/>
      <c r="AV214" s="119"/>
      <c r="AW214" s="18"/>
      <c r="AX214" s="119"/>
      <c r="AY214" s="18"/>
      <c r="AZ214" s="119"/>
      <c r="BA214" s="18"/>
      <c r="BB214" s="119"/>
      <c r="BC214" s="18"/>
      <c r="BD214" s="119"/>
      <c r="BE214" s="18"/>
      <c r="BF214" s="119"/>
      <c r="BG214" s="18"/>
      <c r="BH214" s="119"/>
      <c r="BI214" s="18"/>
      <c r="BJ214" s="119"/>
      <c r="BK214" s="18"/>
      <c r="BL214" s="119"/>
      <c r="BM214" s="18"/>
      <c r="BN214" s="119"/>
      <c r="BO214" s="18"/>
      <c r="BP214" s="119"/>
      <c r="BQ214" s="18"/>
      <c r="BR214" s="119"/>
      <c r="BS214" s="18"/>
      <c r="BT214" s="119"/>
      <c r="BU214" s="18"/>
      <c r="BV214" s="119"/>
      <c r="BW214" s="18"/>
      <c r="BX214" s="119"/>
      <c r="BY214" s="18"/>
      <c r="BZ214" s="119"/>
      <c r="CA214" s="18"/>
      <c r="CB214" s="119"/>
      <c r="CC214" s="18"/>
      <c r="CD214" s="119"/>
      <c r="CE214" s="18"/>
      <c r="CF214" s="119"/>
      <c r="CG214" s="18"/>
      <c r="CH214" s="119"/>
      <c r="CI214" s="18"/>
      <c r="CJ214" s="119"/>
      <c r="CK214" s="18"/>
      <c r="CL214" s="119"/>
      <c r="CM214" s="18"/>
      <c r="CN214" s="119"/>
      <c r="CO214" s="18"/>
      <c r="CP214" s="119"/>
      <c r="CQ214" s="18"/>
      <c r="CR214" s="119"/>
      <c r="CS214" s="18"/>
      <c r="CT214" s="119"/>
      <c r="CU214" s="18"/>
      <c r="CV214" s="119"/>
      <c r="CW214" s="18"/>
      <c r="CX214" s="119"/>
      <c r="CY214" s="18"/>
      <c r="CZ214" s="119"/>
      <c r="DA214" s="18"/>
      <c r="DB214" s="119"/>
      <c r="DC214" s="18"/>
      <c r="DD214" s="119"/>
      <c r="DE214" s="18"/>
      <c r="DF214" s="119"/>
      <c r="DG214" s="18"/>
      <c r="DH214" s="119"/>
      <c r="DI214" s="18"/>
      <c r="DJ214" s="119"/>
      <c r="DK214" s="18"/>
      <c r="DL214" s="119"/>
      <c r="DM214" s="18"/>
      <c r="DN214" s="119"/>
      <c r="DO214" s="18"/>
      <c r="DP214" s="119"/>
      <c r="DQ214" s="18"/>
      <c r="DR214" s="119"/>
      <c r="DS214" s="18"/>
      <c r="DT214" s="119"/>
      <c r="DU214" s="18"/>
      <c r="DV214" s="119"/>
      <c r="DW214" s="18"/>
      <c r="DX214" s="119"/>
      <c r="DY214" s="18"/>
      <c r="DZ214" s="119"/>
      <c r="EA214" s="18"/>
      <c r="EB214" s="119"/>
      <c r="EC214" s="18"/>
      <c r="ED214" s="119"/>
      <c r="EE214" s="18"/>
      <c r="EF214" s="119"/>
      <c r="EG214" s="18"/>
      <c r="EH214" s="18"/>
      <c r="EI214" s="119"/>
      <c r="EJ214" s="399"/>
      <c r="EK214" s="119"/>
      <c r="EL214" s="399"/>
      <c r="EM214" s="119"/>
      <c r="EN214" s="399"/>
      <c r="EO214" s="119"/>
      <c r="EP214" s="399"/>
      <c r="EQ214" s="119"/>
      <c r="ER214" s="18"/>
      <c r="ES214" s="119"/>
      <c r="ET214" s="18"/>
      <c r="EU214" s="119"/>
      <c r="EV214" s="18"/>
      <c r="EW214" s="119"/>
      <c r="EX214" s="18"/>
      <c r="EY214" s="119"/>
      <c r="EZ214" s="18"/>
      <c r="FA214" s="119"/>
      <c r="FB214" s="18"/>
      <c r="FC214" s="119"/>
      <c r="FD214" s="18"/>
      <c r="FE214" s="119"/>
      <c r="FF214" s="18"/>
      <c r="FG214" s="119"/>
      <c r="FH214" s="18"/>
      <c r="FI214" s="119"/>
      <c r="FJ214" s="18"/>
      <c r="FK214" s="119"/>
      <c r="FL214" s="18"/>
      <c r="FM214" s="119"/>
      <c r="FN214" s="18"/>
      <c r="FO214" s="119"/>
      <c r="FP214" s="18"/>
      <c r="FQ214" s="119"/>
      <c r="FR214" s="18"/>
      <c r="FS214" s="119"/>
      <c r="FT214" s="18"/>
      <c r="FU214" s="119"/>
      <c r="FV214" s="18"/>
      <c r="FW214" s="119"/>
      <c r="FX214" s="18"/>
      <c r="FY214" s="119"/>
      <c r="FZ214" s="18"/>
      <c r="GA214" s="399"/>
    </row>
    <row r="215" spans="1:183" ht="12.75" hidden="1" customHeight="1" outlineLevel="1" x14ac:dyDescent="0.2">
      <c r="A215" s="610" t="s">
        <v>450</v>
      </c>
      <c r="B215" s="119"/>
      <c r="C215" s="399"/>
      <c r="D215" s="119"/>
      <c r="E215" s="399"/>
      <c r="F215" s="119"/>
      <c r="G215" s="399"/>
      <c r="H215" s="119"/>
      <c r="I215" s="399"/>
      <c r="J215" s="119"/>
      <c r="K215" s="399"/>
      <c r="L215" s="119"/>
      <c r="M215" s="399"/>
      <c r="N215" s="119"/>
      <c r="O215" s="399"/>
      <c r="P215" s="119"/>
      <c r="Q215" s="399"/>
      <c r="R215" s="119"/>
      <c r="S215" s="399"/>
      <c r="T215" s="119"/>
      <c r="U215" s="399"/>
      <c r="V215" s="119"/>
      <c r="W215" s="399"/>
      <c r="X215" s="119"/>
      <c r="Y215" s="399"/>
      <c r="Z215" s="119"/>
      <c r="AA215" s="399"/>
      <c r="AB215" s="119"/>
      <c r="AC215" s="399"/>
      <c r="AD215" s="119"/>
      <c r="AE215" s="399"/>
      <c r="AF215" s="119"/>
      <c r="AG215" s="399"/>
      <c r="AH215" s="119"/>
      <c r="AI215" s="399"/>
      <c r="AJ215" s="119"/>
      <c r="AK215" s="399"/>
      <c r="AL215" s="119"/>
      <c r="AM215" s="399"/>
      <c r="AN215" s="119"/>
      <c r="AO215" s="18"/>
      <c r="AP215" s="119"/>
      <c r="AQ215" s="18"/>
      <c r="AR215" s="119"/>
      <c r="AS215" s="18"/>
      <c r="AT215" s="119"/>
      <c r="AU215" s="18"/>
      <c r="AV215" s="119"/>
      <c r="AW215" s="18"/>
      <c r="AX215" s="119"/>
      <c r="AY215" s="18"/>
      <c r="AZ215" s="119"/>
      <c r="BA215" s="18"/>
      <c r="BB215" s="119"/>
      <c r="BC215" s="18"/>
      <c r="BD215" s="119"/>
      <c r="BE215" s="18"/>
      <c r="BF215" s="119"/>
      <c r="BG215" s="18"/>
      <c r="BH215" s="119"/>
      <c r="BI215" s="18"/>
      <c r="BJ215" s="119"/>
      <c r="BK215" s="18"/>
      <c r="BL215" s="119"/>
      <c r="BM215" s="18"/>
      <c r="BN215" s="119"/>
      <c r="BO215" s="18"/>
      <c r="BP215" s="119"/>
      <c r="BQ215" s="18"/>
      <c r="BR215" s="119"/>
      <c r="BS215" s="18"/>
      <c r="BT215" s="119"/>
      <c r="BU215" s="18"/>
      <c r="BV215" s="119"/>
      <c r="BW215" s="18"/>
      <c r="BX215" s="119"/>
      <c r="BY215" s="18"/>
      <c r="BZ215" s="119"/>
      <c r="CA215" s="18"/>
      <c r="CB215" s="119"/>
      <c r="CC215" s="18"/>
      <c r="CD215" s="119"/>
      <c r="CE215" s="18"/>
      <c r="CF215" s="119"/>
      <c r="CG215" s="18"/>
      <c r="CH215" s="119"/>
      <c r="CI215" s="18"/>
      <c r="CJ215" s="119"/>
      <c r="CK215" s="18"/>
      <c r="CL215" s="119"/>
      <c r="CM215" s="18"/>
      <c r="CN215" s="119"/>
      <c r="CO215" s="18"/>
      <c r="CP215" s="119"/>
      <c r="CQ215" s="18"/>
      <c r="CR215" s="119"/>
      <c r="CS215" s="18"/>
      <c r="CT215" s="119"/>
      <c r="CU215" s="18"/>
      <c r="CV215" s="119"/>
      <c r="CW215" s="18"/>
      <c r="CX215" s="119"/>
      <c r="CY215" s="18"/>
      <c r="CZ215" s="119"/>
      <c r="DA215" s="18"/>
      <c r="DB215" s="119"/>
      <c r="DC215" s="18"/>
      <c r="DD215" s="119"/>
      <c r="DE215" s="18"/>
      <c r="DF215" s="119"/>
      <c r="DG215" s="18"/>
      <c r="DH215" s="119"/>
      <c r="DI215" s="18"/>
      <c r="DJ215" s="119"/>
      <c r="DK215" s="18"/>
      <c r="DL215" s="119"/>
      <c r="DM215" s="18"/>
      <c r="DN215" s="119"/>
      <c r="DO215" s="18"/>
      <c r="DP215" s="119"/>
      <c r="DQ215" s="18"/>
      <c r="DR215" s="119"/>
      <c r="DS215" s="18"/>
      <c r="DT215" s="119"/>
      <c r="DU215" s="18"/>
      <c r="DV215" s="119"/>
      <c r="DW215" s="18"/>
      <c r="DX215" s="119"/>
      <c r="DY215" s="18"/>
      <c r="DZ215" s="119"/>
      <c r="EA215" s="18"/>
      <c r="EB215" s="119"/>
      <c r="EC215" s="18"/>
      <c r="ED215" s="119"/>
      <c r="EE215" s="18"/>
      <c r="EF215" s="119"/>
      <c r="EG215" s="18"/>
      <c r="EH215" s="18"/>
      <c r="EI215" s="119"/>
      <c r="EJ215" s="399"/>
      <c r="EK215" s="119"/>
      <c r="EL215" s="399"/>
      <c r="EM215" s="119"/>
      <c r="EN215" s="399"/>
      <c r="EO215" s="119"/>
      <c r="EP215" s="399"/>
      <c r="EQ215" s="119"/>
      <c r="ER215" s="18"/>
      <c r="ES215" s="119"/>
      <c r="ET215" s="18"/>
      <c r="EU215" s="119"/>
      <c r="EV215" s="18"/>
      <c r="EW215" s="119"/>
      <c r="EX215" s="18"/>
      <c r="EY215" s="119"/>
      <c r="EZ215" s="18"/>
      <c r="FA215" s="119"/>
      <c r="FB215" s="18"/>
      <c r="FC215" s="119"/>
      <c r="FD215" s="18"/>
      <c r="FE215" s="119"/>
      <c r="FF215" s="18"/>
      <c r="FG215" s="119"/>
      <c r="FH215" s="18"/>
      <c r="FI215" s="119"/>
      <c r="FJ215" s="18"/>
      <c r="FK215" s="119"/>
      <c r="FL215" s="18"/>
      <c r="FM215" s="119"/>
      <c r="FN215" s="18"/>
      <c r="FO215" s="119"/>
      <c r="FP215" s="18"/>
      <c r="FQ215" s="119"/>
      <c r="FR215" s="18"/>
      <c r="FS215" s="119"/>
      <c r="FT215" s="18"/>
      <c r="FU215" s="119"/>
      <c r="FV215" s="18"/>
      <c r="FW215" s="119"/>
      <c r="FX215" s="18"/>
      <c r="FY215" s="119"/>
      <c r="FZ215" s="18"/>
      <c r="GA215" s="399"/>
    </row>
    <row r="216" spans="1:183" ht="12.75" hidden="1" customHeight="1" outlineLevel="1" x14ac:dyDescent="0.2">
      <c r="A216" s="612" t="str">
        <f>INPUT!B126</f>
        <v>Pretax Earnings/Revenues (%)</v>
      </c>
      <c r="B216" s="119"/>
      <c r="C216" s="399"/>
      <c r="D216" s="119"/>
      <c r="E216" s="399"/>
      <c r="F216" s="119"/>
      <c r="G216" s="399"/>
      <c r="H216" s="119"/>
      <c r="I216" s="399"/>
      <c r="J216" s="119"/>
      <c r="K216" s="399"/>
      <c r="L216" s="119"/>
      <c r="M216" s="399"/>
      <c r="N216" s="119"/>
      <c r="O216" s="399"/>
      <c r="P216" s="119"/>
      <c r="Q216" s="399"/>
      <c r="R216" s="119">
        <f>INPUT!AC126</f>
        <v>14.951909064412696</v>
      </c>
      <c r="S216" s="399" t="str">
        <f>INPUT!AD126</f>
        <v>NA</v>
      </c>
      <c r="T216" s="119">
        <f>INPUT!AE126</f>
        <v>12.966200466200464</v>
      </c>
      <c r="U216" s="399" t="str">
        <f>INPUT!AF126</f>
        <v>NA</v>
      </c>
      <c r="V216" s="119">
        <f>INPUT!AG126</f>
        <v>12.057142857142853</v>
      </c>
      <c r="W216" s="399" t="str">
        <f>INPUT!AH126</f>
        <v>NA</v>
      </c>
      <c r="X216" s="119">
        <f>INPUT!AI126</f>
        <v>11.718966953624028</v>
      </c>
      <c r="Y216" s="399" t="str">
        <f>INPUT!AJ126</f>
        <v>NA</v>
      </c>
      <c r="Z216" s="119">
        <f>INPUT!AK126</f>
        <v>11.332605133806677</v>
      </c>
      <c r="AA216" s="399">
        <f>INPUT!AL126</f>
        <v>-24.206299777600904</v>
      </c>
      <c r="AB216" s="119">
        <f>INPUT!AM126</f>
        <v>11.576420378767665</v>
      </c>
      <c r="AC216" s="399">
        <f>INPUT!AN126</f>
        <v>-10.718483730492956</v>
      </c>
      <c r="AD216" s="119">
        <f>INPUT!AO126</f>
        <v>10.446971700608303</v>
      </c>
      <c r="AE216" s="399">
        <f>INPUT!AP126</f>
        <v>-13.354500113438217</v>
      </c>
      <c r="AF216" s="119">
        <f>INPUT!AQ126</f>
        <v>12.136929460580916</v>
      </c>
      <c r="AG216" s="399">
        <f>INPUT!AR126</f>
        <v>3.5665473638667011</v>
      </c>
      <c r="AH216" s="119">
        <f>INPUT!AS126</f>
        <v>14.035964035964035</v>
      </c>
      <c r="AI216" s="399">
        <f>INPUT!AT126</f>
        <v>23.854699517349953</v>
      </c>
      <c r="AJ216" s="119">
        <f>INPUT!AU126</f>
        <v>12.11302211302209</v>
      </c>
      <c r="AK216" s="399">
        <f>INPUT!AV126</f>
        <v>4.6352993127185327</v>
      </c>
      <c r="AL216" s="119">
        <f>INPUT!AW126</f>
        <v>14.144815973057495</v>
      </c>
      <c r="AM216" s="399">
        <f>INPUT!AX126</f>
        <v>35.396327073747848</v>
      </c>
      <c r="AN216" s="119">
        <f>INPUT!AY126</f>
        <v>13.107263107263121</v>
      </c>
      <c r="AO216" s="18">
        <f>INPUT!AZ126</f>
        <v>7.9948857726636291</v>
      </c>
      <c r="AP216" s="119">
        <f>INPUT!BA126</f>
        <v>13.388927495946248</v>
      </c>
      <c r="AQ216" s="18">
        <f>INPUT!BB126</f>
        <v>-4.6098475199843776</v>
      </c>
      <c r="AR216" s="119">
        <f>INPUT!BC126</f>
        <v>11.309933470979558</v>
      </c>
      <c r="AS216" s="18">
        <f>INPUT!BD126</f>
        <v>-6.629961000229434</v>
      </c>
      <c r="AT216" s="119">
        <f>INPUT!BE126</f>
        <v>11.324593128390577</v>
      </c>
      <c r="AU216" s="18">
        <f>INPUT!BF126</f>
        <v>-19.938208104218337</v>
      </c>
      <c r="AV216" s="119">
        <f>INPUT!BG126</f>
        <v>12.862885216614577</v>
      </c>
      <c r="AW216" s="18">
        <f>INPUT!BH126</f>
        <v>-1.8644463657186083</v>
      </c>
      <c r="AX216" s="119">
        <f>INPUT!BI126</f>
        <v>13.499570077386073</v>
      </c>
      <c r="AY216" s="18">
        <f>INPUT!BJ126</f>
        <v>0.82637374407563691</v>
      </c>
      <c r="AZ216" s="119">
        <f>INPUT!BK126</f>
        <v>14.831223628691964</v>
      </c>
      <c r="BA216" s="18">
        <f>INPUT!BL126</f>
        <v>31.134490461396357</v>
      </c>
      <c r="BB216" s="119">
        <f>INPUT!BM126</f>
        <v>13.770833333333327</v>
      </c>
      <c r="BC216" s="18">
        <f>INPUT!BN126</f>
        <v>21.601131071191105</v>
      </c>
      <c r="BD216" s="119">
        <f>INPUT!BO126</f>
        <v>14.843590267838882</v>
      </c>
      <c r="BE216" s="18">
        <f>INPUT!BP126</f>
        <v>15.398606283650039</v>
      </c>
      <c r="BF216" s="119">
        <f>INPUT!BQ126</f>
        <v>15.393771077167221</v>
      </c>
      <c r="BG216" s="18">
        <f>INPUT!BR126</f>
        <v>14.031565367805566</v>
      </c>
      <c r="BH216" s="119">
        <f>INPUT!BS126</f>
        <v>14.600117901355858</v>
      </c>
      <c r="BI216" s="18">
        <f>INPUT!BT126</f>
        <v>-1.5582377632619382</v>
      </c>
      <c r="BJ216" s="119">
        <f>INPUT!BU126</f>
        <v>14.297045409478468</v>
      </c>
      <c r="BK216" s="18">
        <f>INPUT!BV126</f>
        <v>3.8212072095259897</v>
      </c>
      <c r="BL216" s="119">
        <f>INPUT!BW126</f>
        <v>16.343873517786552</v>
      </c>
      <c r="BM216" s="18">
        <f>INPUT!BX126</f>
        <v>10.107280131534502</v>
      </c>
      <c r="BN216" s="119">
        <f>INPUT!BY126</f>
        <v>18.553978210630572</v>
      </c>
      <c r="BO216" s="18">
        <f>INPUT!BZ126</f>
        <v>20.529129071892726</v>
      </c>
      <c r="BP216" s="119">
        <f>INPUT!CA126</f>
        <v>21.372804163955756</v>
      </c>
      <c r="BQ216" s="18">
        <f>INPUT!CB126</f>
        <v>46.38788747021654</v>
      </c>
      <c r="BR216" s="119">
        <f>INPUT!CC126</f>
        <v>20.164203612479476</v>
      </c>
      <c r="BS216" s="18">
        <f>INPUT!CD126</f>
        <v>41.037557306149949</v>
      </c>
      <c r="BT216" s="119">
        <f>INPUT!CE126</f>
        <v>21.252869793374877</v>
      </c>
      <c r="BU216" s="18">
        <f>INPUT!CF126</f>
        <v>30.03569668014141</v>
      </c>
      <c r="BV216" s="119">
        <f>INPUT!CG126</f>
        <v>21.629213483146067</v>
      </c>
      <c r="BW216" s="18">
        <f>INPUT!CH126</f>
        <v>16.574533168059503</v>
      </c>
      <c r="BX216" s="119">
        <f>INPUT!CI126</f>
        <v>23.40625</v>
      </c>
      <c r="BY216" s="18">
        <f>INPUT!CJ126</f>
        <v>9.5141742770167514</v>
      </c>
      <c r="BZ216" s="119">
        <f>INPUT!CK126</f>
        <v>26.287855135810172</v>
      </c>
      <c r="CA216" s="18">
        <f>INPUT!CL126</f>
        <v>30.368923271240988</v>
      </c>
      <c r="CB216" s="119">
        <f>INPUT!CM126</f>
        <v>23.915050784856877</v>
      </c>
      <c r="CC216" s="18">
        <f>INPUT!CN126</f>
        <v>12.526218893562691</v>
      </c>
      <c r="CD216" s="119">
        <f>INPUT!CO126</f>
        <v>23.156038789303558</v>
      </c>
      <c r="CE216" s="18">
        <f>INPUT!CP126</f>
        <v>7.0590884284684075</v>
      </c>
      <c r="CF216" s="119">
        <f>INPUT!CQ126</f>
        <v>25</v>
      </c>
      <c r="CG216" s="18">
        <f>INPUT!CR126</f>
        <v>6.809078771695587</v>
      </c>
      <c r="CH216" s="119">
        <f>INPUT!CS126</f>
        <v>25.377554042049155</v>
      </c>
      <c r="CI216" s="18">
        <f>INPUT!CT126</f>
        <v>-3.4628199564329387</v>
      </c>
      <c r="CJ216" s="119">
        <f>INPUT!CU126</f>
        <v>24.366074030894776</v>
      </c>
      <c r="CK216" s="18">
        <f>INPUT!CV126</f>
        <v>1.8859389013862637</v>
      </c>
      <c r="CL216" s="119">
        <f>INPUT!CW126</f>
        <v>20.373027259684349</v>
      </c>
      <c r="CM216" s="18">
        <f>INPUT!CX126</f>
        <v>-12.01851298895199</v>
      </c>
      <c r="CN216" s="119">
        <f>INPUT!CY126</f>
        <v>24.383078730904813</v>
      </c>
      <c r="CO216" s="18">
        <f>INPUT!CZ126</f>
        <v>-2.4676850763807434</v>
      </c>
      <c r="CP216" s="119">
        <f>INPUT!DA126</f>
        <v>23.975228546151566</v>
      </c>
      <c r="CQ216" s="18">
        <f>INPUT!DB126</f>
        <v>-5.5258497078718332</v>
      </c>
      <c r="CR216" s="119">
        <f>INPUT!DC126</f>
        <v>17.127071823204414</v>
      </c>
      <c r="CS216" s="18">
        <f>INPUT!DD126</f>
        <v>-29.709349969600051</v>
      </c>
      <c r="CT216" s="119">
        <f>INPUT!DE126</f>
        <v>22.719641857862339</v>
      </c>
      <c r="CU216" s="18">
        <f>INPUT!DF126</f>
        <v>11.518242076972252</v>
      </c>
      <c r="CV216" s="119">
        <f>INPUT!DG126</f>
        <v>23.311669963266461</v>
      </c>
      <c r="CW216" s="18">
        <f>INPUT!DH126</f>
        <v>-4.3940668012541595</v>
      </c>
      <c r="CX216" s="119">
        <f>INPUT!DI126</f>
        <v>23.26972372543435</v>
      </c>
      <c r="CY216" s="18">
        <f>INPUT!DJ126</f>
        <v>-2.9426406482805478</v>
      </c>
      <c r="CZ216" s="119">
        <f>INPUT!DK126</f>
        <v>23.74647887323944</v>
      </c>
      <c r="DA216" s="18">
        <f>INPUT!DL126</f>
        <v>38.648796001817431</v>
      </c>
      <c r="DB216" s="119">
        <f>INPUT!DM126</f>
        <v>22.00482444384884</v>
      </c>
      <c r="DC216" s="18">
        <f>INPUT!DN126</f>
        <v>-3.1462530020741952</v>
      </c>
      <c r="DD216" s="119">
        <f>INPUT!DO126</f>
        <v>24.165988608624904</v>
      </c>
      <c r="DE216" s="18">
        <f>INPUT!DP126</f>
        <v>3.6647681041497293</v>
      </c>
      <c r="DF216" s="119">
        <f>INPUT!DQ126</f>
        <v>23.728354978354975</v>
      </c>
      <c r="DG216" s="18">
        <f>INPUT!DR126</f>
        <v>1.9709355312170329</v>
      </c>
      <c r="DH216" s="119">
        <f>INPUT!DS126</f>
        <v>24.993338662403414</v>
      </c>
      <c r="DI216" s="18">
        <f>INPUT!DT126</f>
        <v>5.250714414628832</v>
      </c>
      <c r="DJ216" s="119">
        <f>INPUT!DU126</f>
        <v>23.084806559057153</v>
      </c>
      <c r="DK216" s="18">
        <f>INPUT!DV126</f>
        <v>4.9079333396372826</v>
      </c>
      <c r="DL216" s="119">
        <f>INPUT!DW126</f>
        <v>24.596050269299816</v>
      </c>
      <c r="DM216" s="18">
        <f>INPUT!DX126</f>
        <v>1.7796154241396245</v>
      </c>
      <c r="DN216" s="119">
        <f>INPUT!DY126</f>
        <v>22.675848499754053</v>
      </c>
      <c r="DO216" s="18">
        <f>INPUT!DZ126</f>
        <v>-4.435648739919051</v>
      </c>
      <c r="DP216" s="119">
        <f>INPUT!EA126</f>
        <v>23.356401384083057</v>
      </c>
      <c r="DQ216" s="18">
        <f>INPUT!EB126</f>
        <v>-6.5494942489725982</v>
      </c>
      <c r="DR216" s="119">
        <f>INPUT!EC126</f>
        <v>22.118088097469524</v>
      </c>
      <c r="DS216" s="18">
        <f>INPUT!ED126</f>
        <v>-4.1876827475876954</v>
      </c>
      <c r="DT216" s="119">
        <f>INPUT!EE126</f>
        <v>22.282480547040791</v>
      </c>
      <c r="DU216" s="18">
        <f>INPUT!EF126</f>
        <v>-9.4062652211553086</v>
      </c>
      <c r="DV216" s="119">
        <f>INPUT!EG126</f>
        <v>25.86577501791259</v>
      </c>
      <c r="DW216" s="18">
        <f>INPUT!EH126</f>
        <v>14.067506749276149</v>
      </c>
      <c r="DX216" s="119">
        <f>INPUT!EI126</f>
        <v>28.663177925784961</v>
      </c>
      <c r="DY216" s="18">
        <f>INPUT!EJ126</f>
        <v>22.720865489657037</v>
      </c>
      <c r="DZ216" s="119">
        <f>INPUT!EK126</f>
        <v>23.034262739626815</v>
      </c>
      <c r="EA216" s="18">
        <f>INPUT!EL126</f>
        <v>4.1421963694145303</v>
      </c>
      <c r="EB216" s="119">
        <f>INPUT!EM126</f>
        <v>22.948365443486537</v>
      </c>
      <c r="EC216" s="18">
        <f>INPUT!EN126</f>
        <v>2.9883786728321704</v>
      </c>
      <c r="ED216" s="119">
        <f>INPUT!EO126</f>
        <v>22.862964566576775</v>
      </c>
      <c r="EE216" s="18">
        <f>INPUT!EP126</f>
        <v>-11.609203471600239</v>
      </c>
      <c r="EF216" s="119">
        <f>INPUT!EQ126</f>
        <v>22.755155648131485</v>
      </c>
      <c r="EG216" s="18">
        <f>INPUT!ER126</f>
        <v>-20.611888510585242</v>
      </c>
      <c r="EH216" s="18"/>
      <c r="EI216" s="119">
        <f>INPUT!FB126</f>
        <v>0</v>
      </c>
      <c r="EJ216" s="399">
        <f>INPUT!FC126</f>
        <v>0</v>
      </c>
      <c r="EK216" s="119">
        <f>INPUT!FD126</f>
        <v>17.385705086928507</v>
      </c>
      <c r="EL216" s="399" t="str">
        <f>INPUT!FE126</f>
        <v>NA</v>
      </c>
      <c r="EM216" s="119">
        <f>INPUT!FF126</f>
        <v>16.746745195288273</v>
      </c>
      <c r="EN216" s="399">
        <f>INPUT!FG126</f>
        <v>-3.6752026359899381</v>
      </c>
      <c r="EO216" s="119">
        <f>INPUT!FH126</f>
        <v>12.897450587224284</v>
      </c>
      <c r="EP216" s="399">
        <f>INPUT!FI126</f>
        <v>-22.985329765135464</v>
      </c>
      <c r="EQ216" s="119">
        <f>INPUT!FJ126</f>
        <v>11.376927166400854</v>
      </c>
      <c r="ER216" s="18">
        <f>INPUT!FK126</f>
        <v>-11.789333175112937</v>
      </c>
      <c r="ES216" s="119">
        <f>INPUT!FL126</f>
        <v>13.350417963268068</v>
      </c>
      <c r="ET216" s="18">
        <f>INPUT!FM126</f>
        <v>17.346430789286103</v>
      </c>
      <c r="EU216" s="119">
        <f>INPUT!FN126</f>
        <v>12.219820229832731</v>
      </c>
      <c r="EV216" s="18">
        <f>INPUT!FO126</f>
        <v>-8.4686317428115725</v>
      </c>
      <c r="EW216" s="119">
        <f>INPUT!FP126</f>
        <v>14.243043546612167</v>
      </c>
      <c r="EX216" s="18">
        <f>INPUT!FQ126</f>
        <v>16.556899191037687</v>
      </c>
      <c r="EY216" s="119">
        <f>INPUT!FR126</f>
        <v>21.255913978494625</v>
      </c>
      <c r="EZ216" s="18">
        <f>INPUT!FS126</f>
        <v>49.237162049894387</v>
      </c>
      <c r="FA216" s="119">
        <f>INPUT!FT126</f>
        <v>20.341067475608767</v>
      </c>
      <c r="FB216" s="18">
        <f>INPUT!FU126</f>
        <v>-4.3039621999385265</v>
      </c>
      <c r="FC216" s="119">
        <f>INPUT!FV126</f>
        <v>23.809894212818911</v>
      </c>
      <c r="FD216" s="18">
        <f>INPUT!FW126</f>
        <v>17.053317095426081</v>
      </c>
      <c r="FE216" s="119">
        <f>INPUT!FX126</f>
        <v>24.389526331273885</v>
      </c>
      <c r="FF216" s="18">
        <f>INPUT!FY126</f>
        <v>2.4344170254352093</v>
      </c>
      <c r="FG216" s="119">
        <f>INPUT!FZ126</f>
        <v>21.444711713681773</v>
      </c>
      <c r="FH216" s="18">
        <f>INPUT!GA126</f>
        <v>-12.074095157051378</v>
      </c>
      <c r="FI216" s="119">
        <f>INPUT!GB126</f>
        <v>23.260900239875816</v>
      </c>
      <c r="FJ216" s="18">
        <f>INPUT!GC126</f>
        <v>8.4691673660285627</v>
      </c>
      <c r="FK216" s="119">
        <f>INPUT!GD126</f>
        <v>23.72368332548599</v>
      </c>
      <c r="FL216" s="18">
        <f>INPUT!GE126</f>
        <v>1.9895321369240548</v>
      </c>
      <c r="FM216" s="119">
        <f>INPUT!GF126</f>
        <v>23.41963051401282</v>
      </c>
      <c r="FN216" s="18">
        <f>INPUT!GG126</f>
        <v>-1.2816425143667765</v>
      </c>
      <c r="FO216" s="119">
        <f>INPUT!GH126</f>
        <v>24.715976331360945</v>
      </c>
      <c r="FP216" s="18">
        <f>INPUT!GI126</f>
        <v>5.5352957706675809</v>
      </c>
      <c r="FQ216" s="119">
        <f>INPUT!GJ126</f>
        <v>22.898377356046247</v>
      </c>
      <c r="FR216" s="18">
        <f>INPUT!GK126</f>
        <v>-7.3539436635907123</v>
      </c>
      <c r="FS216" s="119">
        <f>INPUT!GL126</f>
        <v>22.685977304147919</v>
      </c>
      <c r="FT216" s="18">
        <f>INPUT!GM126</f>
        <v>-0.92757686973066189</v>
      </c>
      <c r="FU216" s="119">
        <f>INPUT!GN126</f>
        <v>22.476482867701943</v>
      </c>
      <c r="FV216" s="18">
        <f>INPUT!GO126</f>
        <v>-0.92345343397514101</v>
      </c>
      <c r="FW216" s="119">
        <f>INPUT!GP126</f>
        <v>22.269872777375824</v>
      </c>
      <c r="FX216" s="18">
        <f>INPUT!GQ126</f>
        <v>-0.91922785047038325</v>
      </c>
      <c r="FY216" s="119">
        <f>INPUT!GR126</f>
        <v>21.893996910644908</v>
      </c>
      <c r="FZ216" s="18">
        <f>INPUT!GS126</f>
        <v>-1.6878222452746616</v>
      </c>
      <c r="GA216" s="399">
        <f>INPUT!GT126</f>
        <v>-2.3955864506906233</v>
      </c>
    </row>
    <row r="217" spans="1:183" ht="12.75" hidden="1" customHeight="1" outlineLevel="1" x14ac:dyDescent="0.2">
      <c r="A217" s="612"/>
      <c r="B217" s="119"/>
      <c r="C217" s="399"/>
      <c r="D217" s="119"/>
      <c r="E217" s="399"/>
      <c r="F217" s="119"/>
      <c r="G217" s="399"/>
      <c r="H217" s="119"/>
      <c r="I217" s="399"/>
      <c r="J217" s="119"/>
      <c r="K217" s="399"/>
      <c r="L217" s="119"/>
      <c r="M217" s="399"/>
      <c r="N217" s="119"/>
      <c r="O217" s="399"/>
      <c r="P217" s="119"/>
      <c r="Q217" s="399"/>
      <c r="R217" s="119"/>
      <c r="S217" s="399"/>
      <c r="T217" s="119"/>
      <c r="U217" s="399"/>
      <c r="V217" s="119"/>
      <c r="W217" s="399"/>
      <c r="X217" s="119"/>
      <c r="Y217" s="399"/>
      <c r="Z217" s="119"/>
      <c r="AA217" s="399"/>
      <c r="AB217" s="119"/>
      <c r="AC217" s="399"/>
      <c r="AD217" s="119"/>
      <c r="AE217" s="399"/>
      <c r="AF217" s="119"/>
      <c r="AG217" s="399"/>
      <c r="AH217" s="119"/>
      <c r="AI217" s="399"/>
      <c r="AJ217" s="119"/>
      <c r="AK217" s="399"/>
      <c r="AL217" s="119"/>
      <c r="AM217" s="399"/>
      <c r="AN217" s="119"/>
      <c r="AO217" s="18"/>
      <c r="AP217" s="119"/>
      <c r="AQ217" s="18"/>
      <c r="AR217" s="119"/>
      <c r="AS217" s="18"/>
      <c r="AT217" s="119"/>
      <c r="AU217" s="18"/>
      <c r="AV217" s="119"/>
      <c r="AW217" s="18"/>
      <c r="AX217" s="119"/>
      <c r="AY217" s="18"/>
      <c r="AZ217" s="119"/>
      <c r="BA217" s="18"/>
      <c r="BB217" s="119"/>
      <c r="BC217" s="18"/>
      <c r="BD217" s="119"/>
      <c r="BE217" s="18"/>
      <c r="BF217" s="119"/>
      <c r="BG217" s="18"/>
      <c r="BH217" s="119"/>
      <c r="BI217" s="18"/>
      <c r="BJ217" s="119"/>
      <c r="BK217" s="18"/>
      <c r="BL217" s="119"/>
      <c r="BM217" s="18"/>
      <c r="BN217" s="119"/>
      <c r="BO217" s="18"/>
      <c r="BP217" s="119"/>
      <c r="BQ217" s="18"/>
      <c r="BR217" s="119"/>
      <c r="BS217" s="18"/>
      <c r="BT217" s="119"/>
      <c r="BU217" s="18"/>
      <c r="BV217" s="119"/>
      <c r="BW217" s="18"/>
      <c r="BX217" s="119"/>
      <c r="BY217" s="18"/>
      <c r="BZ217" s="119"/>
      <c r="CA217" s="18"/>
      <c r="CB217" s="119"/>
      <c r="CC217" s="18"/>
      <c r="CD217" s="119"/>
      <c r="CE217" s="18"/>
      <c r="CF217" s="119"/>
      <c r="CG217" s="18"/>
      <c r="CH217" s="119"/>
      <c r="CI217" s="18"/>
      <c r="CJ217" s="119"/>
      <c r="CK217" s="18"/>
      <c r="CL217" s="119"/>
      <c r="CM217" s="18"/>
      <c r="CN217" s="119"/>
      <c r="CO217" s="18"/>
      <c r="CP217" s="119"/>
      <c r="CQ217" s="18"/>
      <c r="CR217" s="119"/>
      <c r="CS217" s="18"/>
      <c r="CT217" s="119"/>
      <c r="CU217" s="18"/>
      <c r="CV217" s="119"/>
      <c r="CW217" s="18"/>
      <c r="CX217" s="119"/>
      <c r="CY217" s="18"/>
      <c r="CZ217" s="119"/>
      <c r="DA217" s="18"/>
      <c r="DB217" s="119"/>
      <c r="DC217" s="18"/>
      <c r="DD217" s="119"/>
      <c r="DE217" s="18"/>
      <c r="DF217" s="119"/>
      <c r="DG217" s="18"/>
      <c r="DH217" s="119"/>
      <c r="DI217" s="18"/>
      <c r="DJ217" s="119"/>
      <c r="DK217" s="18"/>
      <c r="DL217" s="119"/>
      <c r="DM217" s="18"/>
      <c r="DN217" s="119"/>
      <c r="DO217" s="18"/>
      <c r="DP217" s="119"/>
      <c r="DQ217" s="18"/>
      <c r="DR217" s="119"/>
      <c r="DS217" s="18"/>
      <c r="DT217" s="119"/>
      <c r="DU217" s="18"/>
      <c r="DV217" s="119"/>
      <c r="DW217" s="18"/>
      <c r="DX217" s="119"/>
      <c r="DY217" s="18"/>
      <c r="DZ217" s="119"/>
      <c r="EA217" s="18"/>
      <c r="EB217" s="119"/>
      <c r="EC217" s="18"/>
      <c r="ED217" s="119"/>
      <c r="EE217" s="18"/>
      <c r="EF217" s="119"/>
      <c r="EG217" s="18"/>
      <c r="EH217" s="18"/>
      <c r="EI217" s="119"/>
      <c r="EJ217" s="399"/>
      <c r="EK217" s="119"/>
      <c r="EL217" s="399"/>
      <c r="EM217" s="119"/>
      <c r="EN217" s="399"/>
      <c r="EO217" s="119"/>
      <c r="EP217" s="399"/>
      <c r="EQ217" s="119"/>
      <c r="ER217" s="18"/>
      <c r="ES217" s="119"/>
      <c r="ET217" s="18"/>
      <c r="EU217" s="119"/>
      <c r="EV217" s="18"/>
      <c r="EW217" s="119"/>
      <c r="EX217" s="18"/>
      <c r="EY217" s="119"/>
      <c r="EZ217" s="18"/>
      <c r="FA217" s="119"/>
      <c r="FB217" s="18"/>
      <c r="FC217" s="119"/>
      <c r="FD217" s="18"/>
      <c r="FE217" s="119"/>
      <c r="FF217" s="18"/>
      <c r="FG217" s="119"/>
      <c r="FH217" s="18"/>
      <c r="FI217" s="119"/>
      <c r="FJ217" s="18"/>
      <c r="FK217" s="119"/>
      <c r="FL217" s="18"/>
      <c r="FM217" s="119"/>
      <c r="FN217" s="18"/>
      <c r="FO217" s="119"/>
      <c r="FP217" s="18"/>
      <c r="FQ217" s="119"/>
      <c r="FR217" s="18"/>
      <c r="FS217" s="119"/>
      <c r="FT217" s="18"/>
      <c r="FU217" s="119"/>
      <c r="FV217" s="18"/>
      <c r="FW217" s="119"/>
      <c r="FX217" s="18"/>
      <c r="FY217" s="119"/>
      <c r="FZ217" s="18"/>
      <c r="GA217" s="399"/>
    </row>
    <row r="218" spans="1:183" ht="12.75" hidden="1" customHeight="1" outlineLevel="1" x14ac:dyDescent="0.2">
      <c r="A218" s="610" t="s">
        <v>438</v>
      </c>
      <c r="B218" s="119"/>
      <c r="C218" s="399"/>
      <c r="D218" s="119"/>
      <c r="E218" s="399"/>
      <c r="F218" s="119"/>
      <c r="G218" s="399"/>
      <c r="H218" s="119"/>
      <c r="I218" s="399"/>
      <c r="J218" s="119"/>
      <c r="K218" s="399"/>
      <c r="L218" s="119"/>
      <c r="M218" s="399"/>
      <c r="N218" s="119"/>
      <c r="O218" s="399"/>
      <c r="P218" s="119"/>
      <c r="Q218" s="399"/>
      <c r="R218" s="119"/>
      <c r="S218" s="399"/>
      <c r="T218" s="119"/>
      <c r="U218" s="399"/>
      <c r="V218" s="119"/>
      <c r="W218" s="399"/>
      <c r="X218" s="119"/>
      <c r="Y218" s="399"/>
      <c r="Z218" s="119"/>
      <c r="AA218" s="399"/>
      <c r="AB218" s="119"/>
      <c r="AC218" s="399"/>
      <c r="AD218" s="119"/>
      <c r="AE218" s="399"/>
      <c r="AF218" s="119"/>
      <c r="AG218" s="399"/>
      <c r="AH218" s="119"/>
      <c r="AI218" s="399"/>
      <c r="AJ218" s="119"/>
      <c r="AK218" s="399"/>
      <c r="AL218" s="119"/>
      <c r="AM218" s="399"/>
      <c r="AN218" s="119"/>
      <c r="AO218" s="18"/>
      <c r="AP218" s="119"/>
      <c r="AQ218" s="18"/>
      <c r="AR218" s="119"/>
      <c r="AS218" s="18"/>
      <c r="AT218" s="119"/>
      <c r="AU218" s="18"/>
      <c r="AV218" s="119"/>
      <c r="AW218" s="18"/>
      <c r="AX218" s="119"/>
      <c r="AY218" s="18"/>
      <c r="AZ218" s="119"/>
      <c r="BA218" s="18"/>
      <c r="BB218" s="119"/>
      <c r="BC218" s="18"/>
      <c r="BD218" s="119"/>
      <c r="BE218" s="18"/>
      <c r="BF218" s="119"/>
      <c r="BG218" s="18"/>
      <c r="BH218" s="119"/>
      <c r="BI218" s="18"/>
      <c r="BJ218" s="119"/>
      <c r="BK218" s="18"/>
      <c r="BL218" s="119"/>
      <c r="BM218" s="18"/>
      <c r="BN218" s="119"/>
      <c r="BO218" s="18"/>
      <c r="BP218" s="119"/>
      <c r="BQ218" s="18"/>
      <c r="BR218" s="119"/>
      <c r="BS218" s="18"/>
      <c r="BT218" s="119"/>
      <c r="BU218" s="18"/>
      <c r="BV218" s="119"/>
      <c r="BW218" s="18"/>
      <c r="BX218" s="119"/>
      <c r="BY218" s="18"/>
      <c r="BZ218" s="119"/>
      <c r="CA218" s="18"/>
      <c r="CB218" s="119"/>
      <c r="CC218" s="18"/>
      <c r="CD218" s="119"/>
      <c r="CE218" s="18"/>
      <c r="CF218" s="119"/>
      <c r="CG218" s="18"/>
      <c r="CH218" s="119"/>
      <c r="CI218" s="18"/>
      <c r="CJ218" s="119"/>
      <c r="CK218" s="18"/>
      <c r="CL218" s="119"/>
      <c r="CM218" s="18"/>
      <c r="CN218" s="119"/>
      <c r="CO218" s="18"/>
      <c r="CP218" s="119"/>
      <c r="CQ218" s="18"/>
      <c r="CR218" s="119"/>
      <c r="CS218" s="18"/>
      <c r="CT218" s="119"/>
      <c r="CU218" s="18"/>
      <c r="CV218" s="119"/>
      <c r="CW218" s="18"/>
      <c r="CX218" s="119"/>
      <c r="CY218" s="18"/>
      <c r="CZ218" s="119"/>
      <c r="DA218" s="18"/>
      <c r="DB218" s="119"/>
      <c r="DC218" s="18"/>
      <c r="DD218" s="119"/>
      <c r="DE218" s="18"/>
      <c r="DF218" s="119"/>
      <c r="DG218" s="18"/>
      <c r="DH218" s="119"/>
      <c r="DI218" s="18"/>
      <c r="DJ218" s="119"/>
      <c r="DK218" s="18"/>
      <c r="DL218" s="119"/>
      <c r="DM218" s="18"/>
      <c r="DN218" s="119"/>
      <c r="DO218" s="18"/>
      <c r="DP218" s="119"/>
      <c r="DQ218" s="18"/>
      <c r="DR218" s="119"/>
      <c r="DS218" s="18"/>
      <c r="DT218" s="119"/>
      <c r="DU218" s="18"/>
      <c r="DV218" s="119"/>
      <c r="DW218" s="18"/>
      <c r="DX218" s="119"/>
      <c r="DY218" s="18"/>
      <c r="DZ218" s="119"/>
      <c r="EA218" s="18"/>
      <c r="EB218" s="119"/>
      <c r="EC218" s="18"/>
      <c r="ED218" s="119"/>
      <c r="EE218" s="18"/>
      <c r="EF218" s="119"/>
      <c r="EG218" s="18"/>
      <c r="EH218" s="18"/>
      <c r="EI218" s="119"/>
      <c r="EJ218" s="399"/>
      <c r="EK218" s="119"/>
      <c r="EL218" s="399"/>
      <c r="EM218" s="119"/>
      <c r="EN218" s="399"/>
      <c r="EO218" s="119"/>
      <c r="EP218" s="399"/>
      <c r="EQ218" s="119"/>
      <c r="ER218" s="18"/>
      <c r="ES218" s="119"/>
      <c r="ET218" s="18"/>
      <c r="EU218" s="119"/>
      <c r="EV218" s="18"/>
      <c r="EW218" s="119"/>
      <c r="EX218" s="18"/>
      <c r="EY218" s="119"/>
      <c r="EZ218" s="18"/>
      <c r="FA218" s="119"/>
      <c r="FB218" s="18"/>
      <c r="FC218" s="119"/>
      <c r="FD218" s="18"/>
      <c r="FE218" s="119"/>
      <c r="FF218" s="18"/>
      <c r="FG218" s="119"/>
      <c r="FH218" s="18"/>
      <c r="FI218" s="119"/>
      <c r="FJ218" s="18"/>
      <c r="FK218" s="119"/>
      <c r="FL218" s="18"/>
      <c r="FM218" s="119"/>
      <c r="FN218" s="18"/>
      <c r="FO218" s="119"/>
      <c r="FP218" s="18"/>
      <c r="FQ218" s="119"/>
      <c r="FR218" s="18"/>
      <c r="FS218" s="119"/>
      <c r="FT218" s="18"/>
      <c r="FU218" s="119"/>
      <c r="FV218" s="18"/>
      <c r="FW218" s="119"/>
      <c r="FX218" s="18"/>
      <c r="FY218" s="119"/>
      <c r="FZ218" s="18"/>
      <c r="GA218" s="399"/>
    </row>
    <row r="219" spans="1:183" ht="12.75" hidden="1" customHeight="1" outlineLevel="1" x14ac:dyDescent="0.2">
      <c r="A219" s="612" t="str">
        <f>INPUT!B119</f>
        <v>Benefits/Premiums (%)</v>
      </c>
      <c r="B219" s="119"/>
      <c r="C219" s="399"/>
      <c r="D219" s="119"/>
      <c r="E219" s="399"/>
      <c r="F219" s="119"/>
      <c r="G219" s="399"/>
      <c r="H219" s="119"/>
      <c r="I219" s="399"/>
      <c r="J219" s="119"/>
      <c r="K219" s="399"/>
      <c r="L219" s="119"/>
      <c r="M219" s="399"/>
      <c r="N219" s="119"/>
      <c r="O219" s="399"/>
      <c r="P219" s="119"/>
      <c r="Q219" s="399"/>
      <c r="R219" s="119">
        <f>INPUT!AC119</f>
        <v>69.149311683727504</v>
      </c>
      <c r="S219" s="399" t="str">
        <f>INPUT!AD119</f>
        <v>NA</v>
      </c>
      <c r="T219" s="119">
        <f>INPUT!AE119</f>
        <v>71.890372452565003</v>
      </c>
      <c r="U219" s="399" t="str">
        <f>INPUT!AF119</f>
        <v>NA</v>
      </c>
      <c r="V219" s="119">
        <f>INPUT!AG119</f>
        <v>73.278520041109971</v>
      </c>
      <c r="W219" s="399" t="str">
        <f>INPUT!AH119</f>
        <v>NA</v>
      </c>
      <c r="X219" s="119">
        <f>INPUT!AI119</f>
        <v>75.791624106230842</v>
      </c>
      <c r="Y219" s="399" t="str">
        <f>INPUT!AJ119</f>
        <v>NA</v>
      </c>
      <c r="Z219" s="119">
        <f>INPUT!AK119</f>
        <v>72.114436040776056</v>
      </c>
      <c r="AA219" s="399">
        <f>INPUT!AL119</f>
        <v>4.2880027072580651</v>
      </c>
      <c r="AB219" s="119">
        <f>INPUT!AM119</f>
        <v>71.165048543689323</v>
      </c>
      <c r="AC219" s="399">
        <f>INPUT!AN119</f>
        <v>-1.0089305203617727</v>
      </c>
      <c r="AD219" s="119">
        <f>INPUT!AO119</f>
        <v>74.903722721437731</v>
      </c>
      <c r="AE219" s="399">
        <f>INPUT!AP119</f>
        <v>2.2178432089185351</v>
      </c>
      <c r="AF219" s="119">
        <f>INPUT!AQ119</f>
        <v>74.968071519795672</v>
      </c>
      <c r="AG219" s="399">
        <f>INPUT!AR119</f>
        <v>-1.0866010540701243</v>
      </c>
      <c r="AH219" s="119">
        <f>INPUT!AS119</f>
        <v>71.309963099631005</v>
      </c>
      <c r="AI219" s="399">
        <f>INPUT!AT119</f>
        <v>-1.1155504851901976</v>
      </c>
      <c r="AJ219" s="119">
        <f>INPUT!AU119</f>
        <v>75.183374083129578</v>
      </c>
      <c r="AK219" s="399">
        <f>INPUT!AV119</f>
        <v>5.646487456512217</v>
      </c>
      <c r="AL219" s="119">
        <f>INPUT!AW119</f>
        <v>75.052663256093894</v>
      </c>
      <c r="AM219" s="399">
        <f>INPUT!AX119</f>
        <v>0.19884263324276841</v>
      </c>
      <c r="AN219" s="119">
        <f>INPUT!AY119</f>
        <v>77.720207253886002</v>
      </c>
      <c r="AO219" s="18">
        <f>INPUT!AZ119</f>
        <v>3.6710771376366802</v>
      </c>
      <c r="AP219" s="119">
        <f>INPUT!BA119</f>
        <v>75.966042154566736</v>
      </c>
      <c r="AQ219" s="18">
        <f>INPUT!BB119</f>
        <v>6.5293527756149272</v>
      </c>
      <c r="AR219" s="119">
        <f>INPUT!BC119</f>
        <v>77.131336405529964</v>
      </c>
      <c r="AS219" s="18">
        <f>INPUT!BD119</f>
        <v>2.590948259713044</v>
      </c>
      <c r="AT219" s="119">
        <f>INPUT!BE119</f>
        <v>77.383654937570938</v>
      </c>
      <c r="AU219" s="18">
        <f>INPUT!BF119</f>
        <v>3.1058080824170942</v>
      </c>
      <c r="AV219" s="119">
        <f>INPUT!BG119</f>
        <v>75.729255168507493</v>
      </c>
      <c r="AW219" s="18">
        <f>INPUT!BH119</f>
        <v>-2.5616916831870173</v>
      </c>
      <c r="AX219" s="119">
        <f>INPUT!BI119</f>
        <v>73.917748917748909</v>
      </c>
      <c r="AY219" s="18">
        <f>INPUT!BJ119</f>
        <v>-2.6963274362118317</v>
      </c>
      <c r="AZ219" s="119">
        <f>INPUT!BK119</f>
        <v>74.805473571236931</v>
      </c>
      <c r="BA219" s="18">
        <f>INPUT!BL119</f>
        <v>-3.0154577149609452</v>
      </c>
      <c r="BB219" s="119">
        <f>INPUT!BM119</f>
        <v>76.168969181721579</v>
      </c>
      <c r="BC219" s="18">
        <f>INPUT!BN119</f>
        <v>-1.5696929239505497</v>
      </c>
      <c r="BD219" s="119">
        <f>INPUT!BO119</f>
        <v>75.782277149618722</v>
      </c>
      <c r="BE219" s="18">
        <f>INPUT!BP119</f>
        <v>7.0015188969230202E-2</v>
      </c>
      <c r="BF219" s="119">
        <f>INPUT!BQ119</f>
        <v>74.146714212939386</v>
      </c>
      <c r="BG219" s="18">
        <f>INPUT!BR119</f>
        <v>0.30975685615812765</v>
      </c>
      <c r="BH219" s="119">
        <f>INPUT!BS119</f>
        <v>76.157585060117682</v>
      </c>
      <c r="BI219" s="18">
        <f>INPUT!BT119</f>
        <v>1.8075034142964741</v>
      </c>
      <c r="BJ219" s="119">
        <f>INPUT!BU119</f>
        <v>77.809573361082215</v>
      </c>
      <c r="BK219" s="18">
        <f>INPUT!BV119</f>
        <v>2.1539009874828929</v>
      </c>
      <c r="BL219" s="119">
        <f>INPUT!BW119</f>
        <v>75.659441107338736</v>
      </c>
      <c r="BM219" s="18">
        <f>INPUT!BX119</f>
        <v>-0.16209072477126885</v>
      </c>
      <c r="BN219" s="119">
        <f>INPUT!BY119</f>
        <v>53.253012048192772</v>
      </c>
      <c r="BO219" s="18">
        <f>INPUT!BZ119</f>
        <v>-28.178864547851322</v>
      </c>
      <c r="BP219" s="119">
        <f>INPUT!CA119</f>
        <v>55.028157683024951</v>
      </c>
      <c r="BQ219" s="18">
        <f>INPUT!CB119</f>
        <v>-27.744350559978326</v>
      </c>
      <c r="BR219" s="119">
        <f>INPUT!CC119</f>
        <v>54.483037156704363</v>
      </c>
      <c r="BS219" s="18">
        <f>INPUT!CD119</f>
        <v>-29.979005406094437</v>
      </c>
      <c r="BT219" s="119">
        <f>INPUT!CE119</f>
        <v>54.373716632443539</v>
      </c>
      <c r="BU219" s="18">
        <f>INPUT!CF119</f>
        <v>-28.133599935924646</v>
      </c>
      <c r="BV219" s="119">
        <f>INPUT!CG119</f>
        <v>51.440645409143293</v>
      </c>
      <c r="BW219" s="18">
        <f>INPUT!CH119</f>
        <v>-3.4033129194820488</v>
      </c>
      <c r="BX219" s="119">
        <f>INPUT!CI119</f>
        <v>51.052430156907768</v>
      </c>
      <c r="BY219" s="18">
        <f>INPUT!CJ119</f>
        <v>-7.2248966593035924</v>
      </c>
      <c r="BZ219" s="119">
        <f>INPUT!CK119</f>
        <v>51.11452728670254</v>
      </c>
      <c r="CA219" s="18">
        <f>INPUT!CL119</f>
        <v>-6.1826763811152823</v>
      </c>
      <c r="CB219" s="119">
        <f>INPUT!CM119</f>
        <v>51.92088246481552</v>
      </c>
      <c r="CC219" s="18">
        <f>INPUT!CN119</f>
        <v>-4.5110658596482107</v>
      </c>
      <c r="CD219" s="119">
        <f>INPUT!CO119</f>
        <v>50.126399422174075</v>
      </c>
      <c r="CE219" s="18">
        <f>INPUT!CP119</f>
        <v>-2.5548784944592007</v>
      </c>
      <c r="CF219" s="119">
        <f>INPUT!CQ119</f>
        <v>49.040202825063375</v>
      </c>
      <c r="CG219" s="18">
        <f>INPUT!CR119</f>
        <v>-3.941491767698202</v>
      </c>
      <c r="CH219" s="119">
        <f>INPUT!CS119</f>
        <v>51.520703554415533</v>
      </c>
      <c r="CI219" s="18">
        <f>INPUT!CT119</f>
        <v>0.79463958540542112</v>
      </c>
      <c r="CJ219" s="119">
        <f>INPUT!CU119</f>
        <v>52.502700756211752</v>
      </c>
      <c r="CK219" s="18">
        <f>INPUT!CV119</f>
        <v>1.1205862916342069</v>
      </c>
      <c r="CL219" s="119">
        <f>INPUT!CW119</f>
        <v>46.376811594202898</v>
      </c>
      <c r="CM219" s="18">
        <f>INPUT!CX119</f>
        <v>-7.480265630873328</v>
      </c>
      <c r="CN219" s="119">
        <f>INPUT!CY119</f>
        <v>50.32870708546384</v>
      </c>
      <c r="CO219" s="18">
        <f>INPUT!CZ119</f>
        <v>2.6274448027811648</v>
      </c>
      <c r="CP219" s="119">
        <f>INPUT!DA119</f>
        <v>52.259475218658899</v>
      </c>
      <c r="CQ219" s="18">
        <f>INPUT!DB119</f>
        <v>1.433931629957419</v>
      </c>
      <c r="CR219" s="119">
        <f>INPUT!DC119</f>
        <v>60.361010830324901</v>
      </c>
      <c r="CS219" s="18">
        <f>INPUT!DD119</f>
        <v>14.967439695344442</v>
      </c>
      <c r="CT219" s="119">
        <f>INPUT!DE119</f>
        <v>47.287087912087912</v>
      </c>
      <c r="CU219" s="18">
        <f>INPUT!DF119</f>
        <v>1.9627833104395531</v>
      </c>
      <c r="CV219" s="119">
        <f>INPUT!DG119</f>
        <v>49.82722874913614</v>
      </c>
      <c r="CW219" s="18">
        <f>INPUT!DH119</f>
        <v>-0.99640615737680571</v>
      </c>
      <c r="CX219" s="119">
        <f>INPUT!DI119</f>
        <v>49.375866851595013</v>
      </c>
      <c r="CY219" s="18">
        <f>INPUT!DJ119</f>
        <v>-5.5178670566410792</v>
      </c>
      <c r="CZ219" s="119">
        <f>INPUT!DK119</f>
        <v>48.676521141285669</v>
      </c>
      <c r="DA219" s="18">
        <f>INPUT!DL119</f>
        <v>-19.357677295836528</v>
      </c>
      <c r="DB219" s="119">
        <f>INPUT!DM119</f>
        <v>43.959948320413432</v>
      </c>
      <c r="DC219" s="18">
        <f>INPUT!DN119</f>
        <v>-7.0360424770922965</v>
      </c>
      <c r="DD219" s="119">
        <f>INPUT!DO119</f>
        <v>46.42273766742894</v>
      </c>
      <c r="DE219" s="18">
        <f>INPUT!DP119</f>
        <v>-6.8325916716093227</v>
      </c>
      <c r="DF219" s="119">
        <f>INPUT!DQ119</f>
        <v>48.315341838403661</v>
      </c>
      <c r="DG219" s="18">
        <f>INPUT!DR119</f>
        <v>-2.1478610519970909</v>
      </c>
      <c r="DH219" s="119">
        <f>INPUT!DS119</f>
        <v>50.487963565387119</v>
      </c>
      <c r="DI219" s="18">
        <f>INPUT!DT119</f>
        <v>3.7213884263496588</v>
      </c>
      <c r="DJ219" s="119">
        <f>INPUT!DU119</f>
        <v>46.468969734026288</v>
      </c>
      <c r="DK219" s="18">
        <f>INPUT!DV119</f>
        <v>5.7075167498496837</v>
      </c>
      <c r="DL219" s="119">
        <f>INPUT!DW119</f>
        <v>46.770737679828592</v>
      </c>
      <c r="DM219" s="18">
        <f>INPUT!DX119</f>
        <v>0.74963267977152803</v>
      </c>
      <c r="DN219" s="119">
        <f>INPUT!DY119</f>
        <v>50.014590020426027</v>
      </c>
      <c r="DO219" s="18">
        <f>INPUT!DZ119</f>
        <v>3.5169950524322147</v>
      </c>
      <c r="DP219" s="119">
        <f>INPUT!EA119</f>
        <v>50.292911540714705</v>
      </c>
      <c r="DQ219" s="18">
        <f>INPUT!EB119</f>
        <v>-0.38633371381636694</v>
      </c>
      <c r="DR219" s="119">
        <f>INPUT!EC119</f>
        <v>49.188891943909816</v>
      </c>
      <c r="DS219" s="18">
        <f>INPUT!ED119</f>
        <v>5.8532010187690942</v>
      </c>
      <c r="DT219" s="119">
        <f>INPUT!EE119</f>
        <v>49.016892827471608</v>
      </c>
      <c r="DU219" s="18">
        <f>INPUT!EF119</f>
        <v>4.8024796252288837</v>
      </c>
      <c r="DV219" s="119">
        <f>INPUT!EG119</f>
        <v>48.405148293228876</v>
      </c>
      <c r="DW219" s="18">
        <f>INPUT!EH119</f>
        <v>-3.2179444568871896</v>
      </c>
      <c r="DX219" s="119">
        <f>INPUT!EI119</f>
        <v>46.567666012888765</v>
      </c>
      <c r="DY219" s="18">
        <f>INPUT!EJ119</f>
        <v>-7.407098562607894</v>
      </c>
      <c r="DZ219" s="119">
        <f>INPUT!EK119</f>
        <v>47.567666012888765</v>
      </c>
      <c r="EA219" s="18">
        <f>INPUT!EL119</f>
        <v>-3.2959187876599016</v>
      </c>
      <c r="EB219" s="119">
        <f>INPUT!EM119</f>
        <v>47.567666012888765</v>
      </c>
      <c r="EC219" s="18">
        <f>INPUT!EN119</f>
        <v>-2.9565864561913235</v>
      </c>
      <c r="ED219" s="119">
        <f>INPUT!EO119</f>
        <v>47.567666012888765</v>
      </c>
      <c r="EE219" s="18">
        <f>INPUT!EP119</f>
        <v>-1.7301512542980069</v>
      </c>
      <c r="EF219" s="119">
        <f>INPUT!EQ119</f>
        <v>47.567666012888765</v>
      </c>
      <c r="EG219" s="18">
        <f>INPUT!ER119</f>
        <v>2.1474127557159939</v>
      </c>
      <c r="EH219" s="18"/>
      <c r="EI219" s="119">
        <f>INPUT!FB119</f>
        <v>0</v>
      </c>
      <c r="EJ219" s="399">
        <f>INPUT!FC119</f>
        <v>0</v>
      </c>
      <c r="EK219" s="119">
        <f>INPUT!FD119</f>
        <v>70.36339463771327</v>
      </c>
      <c r="EL219" s="399" t="str">
        <f>INPUT!FE119</f>
        <v>NA</v>
      </c>
      <c r="EM219" s="119">
        <f>INPUT!FF119</f>
        <v>70.493663703423479</v>
      </c>
      <c r="EN219" s="399">
        <f>INPUT!FG119</f>
        <v>0.18513755111011498</v>
      </c>
      <c r="EO219" s="119">
        <f>INPUT!FH119</f>
        <v>72.561768530559164</v>
      </c>
      <c r="EP219" s="399">
        <f>INPUT!FI119</f>
        <v>2.9337456992396982</v>
      </c>
      <c r="EQ219" s="119">
        <f>INPUT!FJ119</f>
        <v>73.301559092010663</v>
      </c>
      <c r="ER219" s="18">
        <f>INPUT!FK119</f>
        <v>1.0195321536849544</v>
      </c>
      <c r="ES219" s="119">
        <f>INPUT!FL119</f>
        <v>74.824801950030448</v>
      </c>
      <c r="ET219" s="18">
        <f>INPUT!FM119</f>
        <v>2.0780497398530828</v>
      </c>
      <c r="EU219" s="119">
        <f>INPUT!FN119</f>
        <v>76.554543498529753</v>
      </c>
      <c r="EV219" s="18">
        <f>INPUT!FO119</f>
        <v>2.3117221875902372</v>
      </c>
      <c r="EW219" s="119">
        <f>INPUT!FP119</f>
        <v>75.176784523015357</v>
      </c>
      <c r="EX219" s="18">
        <f>INPUT!FQ119</f>
        <v>-1.799708955930035</v>
      </c>
      <c r="EY219" s="119">
        <f>INPUT!FR119</f>
        <v>53.739148624620846</v>
      </c>
      <c r="EZ219" s="18">
        <f>INPUT!FS119</f>
        <v>-28.516297996000862</v>
      </c>
      <c r="FA219" s="119">
        <f>INPUT!FT119</f>
        <v>54.283402447658538</v>
      </c>
      <c r="FB219" s="18">
        <f>INPUT!FU119</f>
        <v>1.0127697162443328</v>
      </c>
      <c r="FC219" s="119">
        <f>INPUT!FV119</f>
        <v>51.383172202546191</v>
      </c>
      <c r="FD219" s="18">
        <f>INPUT!FW119</f>
        <v>-5.342756928158332</v>
      </c>
      <c r="FE219" s="119">
        <f>INPUT!FX119</f>
        <v>50.79739035882568</v>
      </c>
      <c r="FF219" s="18">
        <f>INPUT!FY119</f>
        <v>-1.1400266246922808</v>
      </c>
      <c r="FG219" s="119">
        <f>INPUT!FZ119</f>
        <v>52.305748578648135</v>
      </c>
      <c r="FH219" s="18">
        <f>INPUT!GA119</f>
        <v>2.9693616328863026</v>
      </c>
      <c r="FI219" s="119">
        <f>INPUT!GB119</f>
        <v>48.788688680058627</v>
      </c>
      <c r="FJ219" s="18">
        <f>INPUT!GC119</f>
        <v>-6.7240408447671429</v>
      </c>
      <c r="FK219" s="119">
        <f>INPUT!GD119</f>
        <v>47.290039062499986</v>
      </c>
      <c r="FL219" s="18">
        <f>INPUT!GE119</f>
        <v>-3.0717153055420887</v>
      </c>
      <c r="FM219" s="119">
        <f>INPUT!GF119</f>
        <v>48.426638762239335</v>
      </c>
      <c r="FN219" s="18">
        <f>INPUT!GG119</f>
        <v>2.403465343382738</v>
      </c>
      <c r="FO219" s="119">
        <f>INPUT!GH119</f>
        <v>48.301021471753174</v>
      </c>
      <c r="FP219" s="18">
        <f>INPUT!GI119</f>
        <v>-0.25939708742311884</v>
      </c>
      <c r="FQ219" s="119">
        <f>INPUT!GJ119</f>
        <v>47.567666012888758</v>
      </c>
      <c r="FR219" s="18">
        <f>INPUT!GK119</f>
        <v>-1.5183021735747149</v>
      </c>
      <c r="FS219" s="119">
        <f>INPUT!GL119</f>
        <v>47.567666012888758</v>
      </c>
      <c r="FT219" s="18">
        <f>INPUT!GM119</f>
        <v>0</v>
      </c>
      <c r="FU219" s="119">
        <f>INPUT!GN119</f>
        <v>47.567666012888758</v>
      </c>
      <c r="FV219" s="18">
        <f>INPUT!GO119</f>
        <v>0</v>
      </c>
      <c r="FW219" s="119">
        <f>INPUT!GP119</f>
        <v>47.567666012888758</v>
      </c>
      <c r="FX219" s="18">
        <f>INPUT!GQ119</f>
        <v>0</v>
      </c>
      <c r="FY219" s="119">
        <f>INPUT!GR119</f>
        <v>47.667666012888759</v>
      </c>
      <c r="FZ219" s="18">
        <f>INPUT!GS119</f>
        <v>0.21022683764408967</v>
      </c>
      <c r="GA219" s="399">
        <f>INPUT!GT119</f>
        <v>-0.26363990279977267</v>
      </c>
    </row>
    <row r="220" spans="1:183" ht="12.75" hidden="1" customHeight="1" outlineLevel="1" x14ac:dyDescent="0.2">
      <c r="A220" s="612" t="str">
        <f>INPUT!B121</f>
        <v>Commissions/Premiums (%)</v>
      </c>
      <c r="B220" s="119"/>
      <c r="C220" s="399"/>
      <c r="D220" s="119"/>
      <c r="E220" s="399"/>
      <c r="F220" s="119"/>
      <c r="G220" s="399"/>
      <c r="H220" s="119"/>
      <c r="I220" s="399"/>
      <c r="J220" s="119"/>
      <c r="K220" s="399"/>
      <c r="L220" s="119"/>
      <c r="M220" s="399"/>
      <c r="N220" s="119"/>
      <c r="O220" s="399"/>
      <c r="P220" s="119"/>
      <c r="Q220" s="399"/>
      <c r="R220" s="119">
        <f>INPUT!AC121</f>
        <v>22.273208612777974</v>
      </c>
      <c r="S220" s="399" t="str">
        <f>INPUT!AD121</f>
        <v>NA</v>
      </c>
      <c r="T220" s="119">
        <f>INPUT!AE121</f>
        <v>20.379479971890373</v>
      </c>
      <c r="U220" s="399" t="str">
        <f>INPUT!AF121</f>
        <v>NA</v>
      </c>
      <c r="V220" s="119">
        <f>INPUT!AG121</f>
        <v>19.390202124015076</v>
      </c>
      <c r="W220" s="399" t="str">
        <f>INPUT!AH121</f>
        <v>NA</v>
      </c>
      <c r="X220" s="119">
        <f>INPUT!AI121</f>
        <v>18.862785154919987</v>
      </c>
      <c r="Y220" s="399" t="str">
        <f>INPUT!AJ121</f>
        <v>NA</v>
      </c>
      <c r="Z220" s="119">
        <f>INPUT!AK121</f>
        <v>19.269976981256168</v>
      </c>
      <c r="AA220" s="399">
        <f>INPUT!AL121</f>
        <v>-13.483605724407733</v>
      </c>
      <c r="AB220" s="119">
        <f>INPUT!AM121</f>
        <v>19.352750809061487</v>
      </c>
      <c r="AC220" s="399">
        <f>INPUT!AN121</f>
        <v>-5.0380537886396741</v>
      </c>
      <c r="AD220" s="119">
        <f>INPUT!AO121</f>
        <v>17.81129653401797</v>
      </c>
      <c r="AE220" s="399">
        <f>INPUT!AP121</f>
        <v>-8.142801090462104</v>
      </c>
      <c r="AF220" s="119">
        <f>INPUT!AQ121</f>
        <v>17.496807151979567</v>
      </c>
      <c r="AG220" s="399">
        <f>INPUT!AR121</f>
        <v>-7.241655946996417</v>
      </c>
      <c r="AH220" s="119">
        <f>INPUT!AS121</f>
        <v>19.926199261992618</v>
      </c>
      <c r="AI220" s="399">
        <f>INPUT!AT121</f>
        <v>3.4054128937193617</v>
      </c>
      <c r="AJ220" s="119">
        <f>INPUT!AU121</f>
        <v>17.420537897310513</v>
      </c>
      <c r="AK220" s="399">
        <f>INPUT!AV121</f>
        <v>-9.984177085803525</v>
      </c>
      <c r="AL220" s="119">
        <f>INPUT!AW121</f>
        <v>17.54438760156485</v>
      </c>
      <c r="AM220" s="399">
        <f>INPUT!AX121</f>
        <v>-1.4985373577007577</v>
      </c>
      <c r="AN220" s="119">
        <f>INPUT!AY121</f>
        <v>18.043279487960987</v>
      </c>
      <c r="AO220" s="18">
        <f>INPUT!AZ121</f>
        <v>3.1232688983463541</v>
      </c>
      <c r="AP220" s="119">
        <f>INPUT!BA121</f>
        <v>18.003512880562059</v>
      </c>
      <c r="AQ220" s="18">
        <f>INPUT!BB121</f>
        <v>-9.6490372105126241</v>
      </c>
      <c r="AR220" s="119">
        <f>INPUT!BC121</f>
        <v>17.165898617511523</v>
      </c>
      <c r="AS220" s="18">
        <f>INPUT!BD121</f>
        <v>-1.4617188131619274</v>
      </c>
      <c r="AT220" s="119">
        <f>INPUT!BE121</f>
        <v>17.763904653802499</v>
      </c>
      <c r="AU220" s="18">
        <f>INPUT!BF121</f>
        <v>1.2512095447439142</v>
      </c>
      <c r="AV220" s="119">
        <f>INPUT!BG121</f>
        <v>17.388841687907107</v>
      </c>
      <c r="AW220" s="18">
        <f>INPUT!BH121</f>
        <v>-3.6270446317175353</v>
      </c>
      <c r="AX220" s="119">
        <f>INPUT!BI121</f>
        <v>18.344155844155843</v>
      </c>
      <c r="AY220" s="18">
        <f>INPUT!BJ121</f>
        <v>1.8920916481892203</v>
      </c>
      <c r="AZ220" s="119">
        <f>INPUT!BK121</f>
        <v>18.218406224845722</v>
      </c>
      <c r="BA220" s="18">
        <f>INPUT!BL121</f>
        <v>6.1313865984300886</v>
      </c>
      <c r="BB220" s="119">
        <f>INPUT!BM121</f>
        <v>17.454835281615306</v>
      </c>
      <c r="BC220" s="18">
        <f>INPUT!BN121</f>
        <v>-1.7398729514179978</v>
      </c>
      <c r="BD220" s="119">
        <f>INPUT!BO121</f>
        <v>17.328424927688669</v>
      </c>
      <c r="BE220" s="18">
        <f>INPUT!BP121</f>
        <v>-0.34744557057215797</v>
      </c>
      <c r="BF220" s="119">
        <f>INPUT!BQ121</f>
        <v>18.415690269994904</v>
      </c>
      <c r="BG220" s="18">
        <f>INPUT!BR121</f>
        <v>0.38995757802533504</v>
      </c>
      <c r="BH220" s="119">
        <f>INPUT!BS121</f>
        <v>17.753901253517526</v>
      </c>
      <c r="BI220" s="18">
        <f>INPUT!BT121</f>
        <v>-2.549646580471554</v>
      </c>
      <c r="BJ220" s="119">
        <f>INPUT!BU121</f>
        <v>16.571279916753383</v>
      </c>
      <c r="BK220" s="18">
        <f>INPUT!BV121</f>
        <v>-5.0619518924509554</v>
      </c>
      <c r="BL220" s="119">
        <f>INPUT!BW121</f>
        <v>16.610080961086446</v>
      </c>
      <c r="BM220" s="18">
        <f>INPUT!BX121</f>
        <v>-4.1454660166741375</v>
      </c>
      <c r="BN220" s="119">
        <f>INPUT!BY121</f>
        <v>22.85140562248996</v>
      </c>
      <c r="BO220" s="18">
        <f>INPUT!BZ121</f>
        <v>24.08660923083761</v>
      </c>
      <c r="BP220" s="119">
        <f>INPUT!CA121</f>
        <v>21.399839098954146</v>
      </c>
      <c r="BQ220" s="18">
        <f>INPUT!CB121</f>
        <v>20.535981322495324</v>
      </c>
      <c r="BR220" s="119">
        <f>INPUT!CC121</f>
        <v>21.24394184168013</v>
      </c>
      <c r="BS220" s="18">
        <f>INPUT!CD121</f>
        <v>28.197350768317754</v>
      </c>
      <c r="BT220" s="119">
        <f>INPUT!CE121</f>
        <v>20.08213552361396</v>
      </c>
      <c r="BU220" s="18">
        <f>INPUT!CF121</f>
        <v>20.903297043895996</v>
      </c>
      <c r="BV220" s="119">
        <f>INPUT!CG121</f>
        <v>22.550902804456396</v>
      </c>
      <c r="BW220" s="18">
        <f>INPUT!CH121</f>
        <v>-1.3150299066846616</v>
      </c>
      <c r="BX220" s="119">
        <f>INPUT!CI121</f>
        <v>21.163413700727133</v>
      </c>
      <c r="BY220" s="18">
        <f>INPUT!CJ121</f>
        <v>-1.1047998872036779</v>
      </c>
      <c r="BZ220" s="119">
        <f>INPUT!CK121</f>
        <v>21.291314373558802</v>
      </c>
      <c r="CA220" s="18">
        <f>INPUT!CL121</f>
        <v>0.22299313485092398</v>
      </c>
      <c r="CB220" s="119">
        <f>INPUT!CM121</f>
        <v>18.86648915937619</v>
      </c>
      <c r="CC220" s="18">
        <f>INPUT!CN121</f>
        <v>-6.0533719773394061</v>
      </c>
      <c r="CD220" s="119">
        <f>INPUT!CO121</f>
        <v>22.643553629469125</v>
      </c>
      <c r="CE220" s="18">
        <f>INPUT!CP121</f>
        <v>0.41085195486905146</v>
      </c>
      <c r="CF220" s="119">
        <f>INPUT!CQ121</f>
        <v>22.998913437160446</v>
      </c>
      <c r="CG220" s="18">
        <f>INPUT!CR121</f>
        <v>8.6729851922246795</v>
      </c>
      <c r="CH220" s="119">
        <f>INPUT!CS121</f>
        <v>21.582997434957861</v>
      </c>
      <c r="CI220" s="18">
        <f>INPUT!CT121</f>
        <v>1.3699626818779009</v>
      </c>
      <c r="CJ220" s="119">
        <f>INPUT!CU121</f>
        <v>21.06589845156644</v>
      </c>
      <c r="CK220" s="18">
        <f>INPUT!CV121</f>
        <v>11.657756107193883</v>
      </c>
      <c r="CL220" s="119">
        <f>INPUT!CW121</f>
        <v>22.587486744432663</v>
      </c>
      <c r="CM220" s="18">
        <f>INPUT!CX121</f>
        <v>-0.24760638702705506</v>
      </c>
      <c r="CN220" s="119">
        <f>INPUT!CY121</f>
        <v>20.014609203798393</v>
      </c>
      <c r="CO220" s="18">
        <f>INPUT!CZ121</f>
        <v>-12.975848800492329</v>
      </c>
      <c r="CP220" s="119">
        <f>INPUT!DA121</f>
        <v>20.626822157434404</v>
      </c>
      <c r="CQ220" s="18">
        <f>INPUT!DB121</f>
        <v>-4.4302246729397528</v>
      </c>
      <c r="CR220" s="119">
        <f>INPUT!DC121</f>
        <v>20.577617328519857</v>
      </c>
      <c r="CS220" s="18">
        <f>INPUT!DD121</f>
        <v>-2.3178746644450632</v>
      </c>
      <c r="CT220" s="119">
        <f>INPUT!DE121</f>
        <v>22.87087912087912</v>
      </c>
      <c r="CU220" s="18">
        <f>INPUT!DF121</f>
        <v>1.254643244079845</v>
      </c>
      <c r="CV220" s="119">
        <f>INPUT!DG121</f>
        <v>21.389080856945405</v>
      </c>
      <c r="CW220" s="18">
        <f>INPUT!DH121</f>
        <v>6.867341945833072</v>
      </c>
      <c r="CX220" s="119">
        <f>INPUT!DI121</f>
        <v>21.601941747572816</v>
      </c>
      <c r="CY220" s="18">
        <f>INPUT!DJ121</f>
        <v>4.7274349034272189</v>
      </c>
      <c r="CZ220" s="119">
        <f>INPUT!DK121</f>
        <v>21.794431075971126</v>
      </c>
      <c r="DA220" s="18">
        <f>INPUT!DL121</f>
        <v>5.9132878604210681</v>
      </c>
      <c r="DB220" s="119">
        <f>INPUT!DM121</f>
        <v>22.965116279069765</v>
      </c>
      <c r="DC220" s="18">
        <f>INPUT!DN121</f>
        <v>0.41203994692364798</v>
      </c>
      <c r="DD220" s="119">
        <f>INPUT!DO121</f>
        <v>21.659588369813783</v>
      </c>
      <c r="DE220" s="18">
        <f>INPUT!DP121</f>
        <v>1.2646990989355178</v>
      </c>
      <c r="DF220" s="119">
        <f>INPUT!DQ121</f>
        <v>21.262675825973176</v>
      </c>
      <c r="DG220" s="18">
        <f>INPUT!DR121</f>
        <v>-1.5705343786410308</v>
      </c>
      <c r="DH220" s="119">
        <f>INPUT!DS121</f>
        <v>21.600520494469748</v>
      </c>
      <c r="DI220" s="18">
        <f>INPUT!DT121</f>
        <v>-0.88972536527998081</v>
      </c>
      <c r="DJ220" s="119">
        <f>INPUT!DU121</f>
        <v>21.858758789361048</v>
      </c>
      <c r="DK220" s="18">
        <f>INPUT!DV121</f>
        <v>-4.8175566640480838</v>
      </c>
      <c r="DL220" s="119">
        <f>INPUT!DW121</f>
        <v>21.27333945515764</v>
      </c>
      <c r="DM220" s="18">
        <f>INPUT!DX121</f>
        <v>-1.7832698759614685</v>
      </c>
      <c r="DN220" s="119">
        <f>INPUT!DY121</f>
        <v>20.338488473883864</v>
      </c>
      <c r="DO220" s="18">
        <f>INPUT!DZ121</f>
        <v>-4.3465242082108109</v>
      </c>
      <c r="DP220" s="119">
        <f>INPUT!EA121</f>
        <v>18.95137668424136</v>
      </c>
      <c r="DQ220" s="18">
        <f>INPUT!EB121</f>
        <v>-12.264259145545275</v>
      </c>
      <c r="DR220" s="119">
        <f>INPUT!EC121</f>
        <v>20.401429749793788</v>
      </c>
      <c r="DS220" s="18">
        <f>INPUT!ED121</f>
        <v>-6.6670255782160908</v>
      </c>
      <c r="DT220" s="119">
        <f>INPUT!EE121</f>
        <v>18.748269177513155</v>
      </c>
      <c r="DU220" s="18">
        <f>INPUT!EF121</f>
        <v>-11.86964690225112</v>
      </c>
      <c r="DV220" s="119">
        <f>INPUT!EG121</f>
        <v>18.186905428091777</v>
      </c>
      <c r="DW220" s="18">
        <f>INPUT!EH121</f>
        <v>-10.57887388512121</v>
      </c>
      <c r="DX220" s="119">
        <f>INPUT!EI121</f>
        <v>19.809470439899133</v>
      </c>
      <c r="DY220" s="18">
        <f>INPUT!EJ121</f>
        <v>4.5278702964693052</v>
      </c>
      <c r="DZ220" s="119">
        <f>INPUT!EK121</f>
        <v>19.3</v>
      </c>
      <c r="EA220" s="18">
        <f>INPUT!EL121</f>
        <v>-5.3987870619946143</v>
      </c>
      <c r="EB220" s="119">
        <f>INPUT!EM121</f>
        <v>19.3</v>
      </c>
      <c r="EC220" s="18">
        <f>INPUT!EN121</f>
        <v>2.9428360413589427</v>
      </c>
      <c r="ED220" s="119">
        <f>INPUT!EO121</f>
        <v>19.3</v>
      </c>
      <c r="EE220" s="18">
        <f>INPUT!EP121</f>
        <v>6.1203076923076916</v>
      </c>
      <c r="EF220" s="119">
        <f>INPUT!EQ121</f>
        <v>19.3</v>
      </c>
      <c r="EG220" s="18">
        <f>INPUT!ER121</f>
        <v>-2.5718528995756773</v>
      </c>
      <c r="EH220" s="18"/>
      <c r="EI220" s="119">
        <f>INPUT!FB121</f>
        <v>0</v>
      </c>
      <c r="EJ220" s="399">
        <f>INPUT!FC121</f>
        <v>0</v>
      </c>
      <c r="EK220" s="119">
        <f>INPUT!FD121</f>
        <v>23.664967870596055</v>
      </c>
      <c r="EL220" s="399" t="str">
        <f>INPUT!FE121</f>
        <v>NA</v>
      </c>
      <c r="EM220" s="119">
        <f>INPUT!FF121</f>
        <v>22.271609608473614</v>
      </c>
      <c r="EN220" s="399">
        <f>INPUT!FG121</f>
        <v>-5.8878519072645847</v>
      </c>
      <c r="EO220" s="119">
        <f>INPUT!FH121</f>
        <v>20.208062418725618</v>
      </c>
      <c r="EP220" s="399">
        <f>INPUT!FI121</f>
        <v>-9.2653706940107554</v>
      </c>
      <c r="EQ220" s="119">
        <f>INPUT!FJ121</f>
        <v>18.474836416511835</v>
      </c>
      <c r="ER220" s="18">
        <f>INPUT!FK121</f>
        <v>-8.5769034472483856</v>
      </c>
      <c r="ES220" s="119">
        <f>INPUT!FL121</f>
        <v>18.228214503351616</v>
      </c>
      <c r="ET220" s="18">
        <f>INPUT!FM121</f>
        <v>-1.3349071547924529</v>
      </c>
      <c r="EU220" s="119">
        <f>INPUT!FN121</f>
        <v>17.578713332855202</v>
      </c>
      <c r="EV220" s="18">
        <f>INPUT!FO121</f>
        <v>-3.5631639641775736</v>
      </c>
      <c r="EW220" s="119">
        <f>INPUT!FP121</f>
        <v>17.831887925283521</v>
      </c>
      <c r="EX220" s="18">
        <f>INPUT!FQ121</f>
        <v>1.4402339217576721</v>
      </c>
      <c r="EY220" s="119">
        <f>INPUT!FR121</f>
        <v>20.99152808283652</v>
      </c>
      <c r="EZ220" s="18">
        <f>INPUT!FS121</f>
        <v>17.719044504945547</v>
      </c>
      <c r="FA220" s="119">
        <f>INPUT!FT121</f>
        <v>21.401840801051886</v>
      </c>
      <c r="FB220" s="18">
        <f>INPUT!FU121</f>
        <v>1.9546586441739455</v>
      </c>
      <c r="FC220" s="119">
        <f>INPUT!FV121</f>
        <v>20.962955872499286</v>
      </c>
      <c r="FD220" s="18">
        <f>INPUT!FW121</f>
        <v>-2.0506877545366509</v>
      </c>
      <c r="FE220" s="119">
        <f>INPUT!FX121</f>
        <v>22.073214932946723</v>
      </c>
      <c r="FF220" s="18">
        <f>INPUT!FY121</f>
        <v>5.2962905956595252</v>
      </c>
      <c r="FG220" s="119">
        <f>INPUT!FZ121</f>
        <v>20.963811930331197</v>
      </c>
      <c r="FH220" s="18">
        <f>INPUT!GA121</f>
        <v>-5.0260145882039975</v>
      </c>
      <c r="FI220" s="119">
        <f>INPUT!GB121</f>
        <v>21.915682386412627</v>
      </c>
      <c r="FJ220" s="18">
        <f>INPUT!GC121</f>
        <v>4.5405409056557655</v>
      </c>
      <c r="FK220" s="119">
        <f>INPUT!GD121</f>
        <v>21.874999999999993</v>
      </c>
      <c r="FL220" s="18">
        <f>INPUT!GE121</f>
        <v>-0.18563139260430184</v>
      </c>
      <c r="FM220" s="119">
        <f>INPUT!GF121</f>
        <v>20.58449809402795</v>
      </c>
      <c r="FN220" s="18">
        <f>INPUT!GG121</f>
        <v>-5.899437284443632</v>
      </c>
      <c r="FO220" s="119">
        <f>INPUT!GH121</f>
        <v>19.289833923980268</v>
      </c>
      <c r="FP220" s="18">
        <f>INPUT!GI121</f>
        <v>-6.2895105051081863</v>
      </c>
      <c r="FQ220" s="119">
        <f>INPUT!GJ121</f>
        <v>19.300000000000004</v>
      </c>
      <c r="FR220" s="18">
        <f>INPUT!GK121</f>
        <v>5.2701729106630069E-2</v>
      </c>
      <c r="FS220" s="119">
        <f>INPUT!GL121</f>
        <v>19.300000000000004</v>
      </c>
      <c r="FT220" s="18">
        <f>INPUT!GM121</f>
        <v>0</v>
      </c>
      <c r="FU220" s="119">
        <f>INPUT!GN121</f>
        <v>19.300000000000004</v>
      </c>
      <c r="FV220" s="18">
        <f>INPUT!GO121</f>
        <v>0</v>
      </c>
      <c r="FW220" s="119">
        <f>INPUT!GP121</f>
        <v>19.300000000000004</v>
      </c>
      <c r="FX220" s="18">
        <f>INPUT!GQ121</f>
        <v>0</v>
      </c>
      <c r="FY220" s="119">
        <f>INPUT!GR121</f>
        <v>19.300000000000004</v>
      </c>
      <c r="FZ220" s="18">
        <f>INPUT!GS121</f>
        <v>0</v>
      </c>
      <c r="GA220" s="399">
        <f>INPUT!GT121</f>
        <v>1.0538124545877992E-2</v>
      </c>
    </row>
    <row r="221" spans="1:183" ht="12.75" hidden="1" customHeight="1" outlineLevel="1" x14ac:dyDescent="0.2">
      <c r="A221" s="612" t="str">
        <f>INPUT!B122</f>
        <v>Other Expenses/Premiums (%)</v>
      </c>
      <c r="B221" s="119"/>
      <c r="C221" s="399"/>
      <c r="D221" s="119"/>
      <c r="E221" s="399"/>
      <c r="F221" s="119"/>
      <c r="G221" s="399"/>
      <c r="H221" s="119"/>
      <c r="I221" s="399"/>
      <c r="J221" s="119"/>
      <c r="K221" s="399"/>
      <c r="L221" s="119"/>
      <c r="M221" s="399"/>
      <c r="N221" s="119"/>
      <c r="O221" s="399"/>
      <c r="P221" s="119"/>
      <c r="Q221" s="399"/>
      <c r="R221" s="119">
        <f>INPUT!AC122</f>
        <v>22.237910342393224</v>
      </c>
      <c r="S221" s="399" t="str">
        <f>INPUT!AD122</f>
        <v>NA</v>
      </c>
      <c r="T221" s="119">
        <f>INPUT!AE122</f>
        <v>21.714687280393534</v>
      </c>
      <c r="U221" s="399" t="str">
        <f>INPUT!AF122</f>
        <v>NA</v>
      </c>
      <c r="V221" s="119">
        <f>INPUT!AG122</f>
        <v>20.075368276807129</v>
      </c>
      <c r="W221" s="399" t="str">
        <f>INPUT!AH122</f>
        <v>NA</v>
      </c>
      <c r="X221" s="119">
        <f>INPUT!AI122</f>
        <v>20.054477357848135</v>
      </c>
      <c r="Y221" s="399" t="str">
        <f>INPUT!AJ122</f>
        <v>NA</v>
      </c>
      <c r="Z221" s="119">
        <f>INPUT!AK122</f>
        <v>21.111476487997368</v>
      </c>
      <c r="AA221" s="399">
        <f>INPUT!AL122</f>
        <v>-5.0653763642912075</v>
      </c>
      <c r="AB221" s="119">
        <f>INPUT!AM122</f>
        <v>21.262135922330096</v>
      </c>
      <c r="AC221" s="399">
        <f>INPUT!AN122</f>
        <v>-2.0840795550947311</v>
      </c>
      <c r="AD221" s="119">
        <f>INPUT!AO122</f>
        <v>20.731707317073166</v>
      </c>
      <c r="AE221" s="399">
        <f>INPUT!AP122</f>
        <v>3.2693748439190484</v>
      </c>
      <c r="AF221" s="119">
        <f>INPUT!AQ122</f>
        <v>21.040868454661556</v>
      </c>
      <c r="AG221" s="399">
        <f>INPUT!AR122</f>
        <v>4.9185579819032599</v>
      </c>
      <c r="AH221" s="119">
        <f>INPUT!AS122</f>
        <v>18.726937269372694</v>
      </c>
      <c r="AI221" s="399">
        <f>INPUT!AT122</f>
        <v>-11.294990286351458</v>
      </c>
      <c r="AJ221" s="119">
        <f>INPUT!AU122</f>
        <v>19.743276283618581</v>
      </c>
      <c r="AK221" s="399">
        <f>INPUT!AV122</f>
        <v>-7.1434951044422874</v>
      </c>
      <c r="AL221" s="119">
        <f>INPUT!AW122</f>
        <v>18.386999699067108</v>
      </c>
      <c r="AM221" s="399">
        <f>INPUT!AX122</f>
        <v>-11.309766157440993</v>
      </c>
      <c r="AN221" s="119">
        <f>INPUT!AY122</f>
        <v>19.811033221578786</v>
      </c>
      <c r="AO221" s="18">
        <f>INPUT!AZ122</f>
        <v>-5.8449832321930799</v>
      </c>
      <c r="AP221" s="119">
        <f>INPUT!BA122</f>
        <v>18.823185011709601</v>
      </c>
      <c r="AQ221" s="18">
        <f>INPUT!BB122</f>
        <v>0.51395346154288202</v>
      </c>
      <c r="AR221" s="119">
        <f>INPUT!BC122</f>
        <v>18.519585253456221</v>
      </c>
      <c r="AS221" s="18">
        <f>INPUT!BD122</f>
        <v>-6.1980140103579657</v>
      </c>
      <c r="AT221" s="119">
        <f>INPUT!BE122</f>
        <v>18.558456299659483</v>
      </c>
      <c r="AU221" s="18">
        <f>INPUT!BF122</f>
        <v>0.93248818947375689</v>
      </c>
      <c r="AV221" s="119">
        <f>INPUT!BG122</f>
        <v>20.589068252619654</v>
      </c>
      <c r="AW221" s="18">
        <f>INPUT!BH122</f>
        <v>3.9272814413001456</v>
      </c>
      <c r="AX221" s="119">
        <f>INPUT!BI122</f>
        <v>18.912337662337663</v>
      </c>
      <c r="AY221" s="18">
        <f>INPUT!BJ122</f>
        <v>0.47363212215467687</v>
      </c>
      <c r="AZ221" s="119">
        <f>INPUT!BK122</f>
        <v>19.130668097665684</v>
      </c>
      <c r="BA221" s="18">
        <f>INPUT!BL122</f>
        <v>3.2996572863067675</v>
      </c>
      <c r="BB221" s="119">
        <f>INPUT!BM122</f>
        <v>18.942614240170034</v>
      </c>
      <c r="BC221" s="18">
        <f>INPUT!BN122</f>
        <v>2.069988658041555</v>
      </c>
      <c r="BD221" s="119">
        <f>INPUT!BO122</f>
        <v>18.722061530370759</v>
      </c>
      <c r="BE221" s="18">
        <f>INPUT!BP122</f>
        <v>-9.0679514941689803</v>
      </c>
      <c r="BF221" s="119">
        <f>INPUT!BQ122</f>
        <v>19.179826795720835</v>
      </c>
      <c r="BG221" s="18">
        <f>INPUT!BR122</f>
        <v>1.4143631430389103</v>
      </c>
      <c r="BH221" s="119">
        <f>INPUT!BS122</f>
        <v>18.41903300076746</v>
      </c>
      <c r="BI221" s="18">
        <f>INPUT!BT122</f>
        <v>-3.7198653662548153</v>
      </c>
      <c r="BJ221" s="119">
        <f>INPUT!BU122</f>
        <v>18.31425598335068</v>
      </c>
      <c r="BK221" s="18">
        <f>INPUT!BV122</f>
        <v>-3.3171675717644455</v>
      </c>
      <c r="BL221" s="119">
        <f>INPUT!BW122</f>
        <v>19.117262992948554</v>
      </c>
      <c r="BM221" s="18">
        <f>INPUT!BX122</f>
        <v>2.1108864637406688</v>
      </c>
      <c r="BN221" s="119">
        <f>INPUT!BY122</f>
        <v>24.779116465863453</v>
      </c>
      <c r="BO221" s="18">
        <f>INPUT!BZ122</f>
        <v>29.193640431580235</v>
      </c>
      <c r="BP221" s="119">
        <f>INPUT!CA122</f>
        <v>22.968624296057925</v>
      </c>
      <c r="BQ221" s="18">
        <f>INPUT!CB122</f>
        <v>24.700489407347813</v>
      </c>
      <c r="BR221" s="119">
        <f>INPUT!CC122</f>
        <v>24.434571890145396</v>
      </c>
      <c r="BS221" s="18">
        <f>INPUT!CD122</f>
        <v>33.418315831987044</v>
      </c>
      <c r="BT221" s="119">
        <f>INPUT!CE122</f>
        <v>24.722792607802877</v>
      </c>
      <c r="BU221" s="18">
        <f>INPUT!CF122</f>
        <v>29.321820895187422</v>
      </c>
      <c r="BV221" s="119">
        <f>INPUT!CG122</f>
        <v>24.587014982712255</v>
      </c>
      <c r="BW221" s="18">
        <f>INPUT!CH122</f>
        <v>-0.77525558030224762</v>
      </c>
      <c r="BX221" s="119">
        <f>INPUT!CI122</f>
        <v>23.765786452353616</v>
      </c>
      <c r="BY221" s="18">
        <f>INPUT!CJ122</f>
        <v>3.4706569536796739</v>
      </c>
      <c r="BZ221" s="119">
        <f>INPUT!CK122</f>
        <v>23.020753266717911</v>
      </c>
      <c r="CA221" s="18">
        <f>INPUT!CL122</f>
        <v>-5.7861403497627357</v>
      </c>
      <c r="CB221" s="119">
        <f>INPUT!CM122</f>
        <v>24.153670597185243</v>
      </c>
      <c r="CC221" s="18">
        <f>INPUT!CN122</f>
        <v>-2.3020134482623522</v>
      </c>
      <c r="CD221" s="119">
        <f>INPUT!CO122</f>
        <v>23.365836041892383</v>
      </c>
      <c r="CE221" s="18">
        <f>INPUT!CP122</f>
        <v>-4.9667637233658191</v>
      </c>
      <c r="CF221" s="119">
        <f>INPUT!CQ122</f>
        <v>23.252444766388987</v>
      </c>
      <c r="CG221" s="18">
        <f>INPUT!CR122</f>
        <v>-2.1600029394936882</v>
      </c>
      <c r="CH221" s="119">
        <f>INPUT!CS122</f>
        <v>23.525100769512644</v>
      </c>
      <c r="CI221" s="18">
        <f>INPUT!CT122</f>
        <v>2.1908384011216864</v>
      </c>
      <c r="CJ221" s="119">
        <f>INPUT!CU122</f>
        <v>23.982715160244865</v>
      </c>
      <c r="CK221" s="18">
        <f>INPUT!CV122</f>
        <v>-0.70778243104921978</v>
      </c>
      <c r="CL221" s="119">
        <f>INPUT!CW122</f>
        <v>23.541887592788971</v>
      </c>
      <c r="CM221" s="18">
        <f>INPUT!CX122</f>
        <v>0.75345710113239317</v>
      </c>
      <c r="CN221" s="119">
        <f>INPUT!CY122</f>
        <v>24.25127830533236</v>
      </c>
      <c r="CO221" s="18">
        <f>INPUT!CZ122</f>
        <v>4.2956065436489999</v>
      </c>
      <c r="CP221" s="119">
        <f>INPUT!DA122</f>
        <v>24.380466472303212</v>
      </c>
      <c r="CQ221" s="18">
        <f>INPUT!DB122</f>
        <v>3.6359704095256351</v>
      </c>
      <c r="CR221" s="119">
        <f>INPUT!DC122</f>
        <v>25.379061371841154</v>
      </c>
      <c r="CS221" s="18">
        <f>INPUT!DD122</f>
        <v>5.8223024468512019</v>
      </c>
      <c r="CT221" s="119">
        <f>INPUT!DE122</f>
        <v>24.03846153846154</v>
      </c>
      <c r="CU221" s="18">
        <f>INPUT!DF122</f>
        <v>2.1093208593208734</v>
      </c>
      <c r="CV221" s="119">
        <f>INPUT!DG122</f>
        <v>24.429854872149278</v>
      </c>
      <c r="CW221" s="18">
        <f>INPUT!DH122</f>
        <v>0.73635939750711366</v>
      </c>
      <c r="CX221" s="119">
        <f>INPUT!DI122</f>
        <v>24.930651872399448</v>
      </c>
      <c r="CY221" s="18">
        <f>INPUT!DJ122</f>
        <v>2.2566647800658757</v>
      </c>
      <c r="CZ221" s="119">
        <f>INPUT!DK122</f>
        <v>26.057064283258853</v>
      </c>
      <c r="DA221" s="18">
        <f>INPUT!DL122</f>
        <v>2.6715050705932164</v>
      </c>
      <c r="DB221" s="119">
        <f>INPUT!DM122</f>
        <v>24.870801033591729</v>
      </c>
      <c r="DC221" s="18">
        <f>INPUT!DN122</f>
        <v>3.4625322997415831</v>
      </c>
      <c r="DD221" s="119">
        <f>INPUT!DO122</f>
        <v>24.436458673636064</v>
      </c>
      <c r="DE221" s="18">
        <f>INPUT!DP122</f>
        <v>2.7031685293854579E-2</v>
      </c>
      <c r="DF221" s="119">
        <f>INPUT!DQ122</f>
        <v>24.533856722276742</v>
      </c>
      <c r="DG221" s="18">
        <f>INPUT!DR122</f>
        <v>-1.5915955673906579</v>
      </c>
      <c r="DH221" s="119">
        <f>INPUT!DS122</f>
        <v>24.625894599869881</v>
      </c>
      <c r="DI221" s="18">
        <f>INPUT!DT122</f>
        <v>-5.4924440751695558</v>
      </c>
      <c r="DJ221" s="119">
        <f>INPUT!DU122</f>
        <v>23.693060226230507</v>
      </c>
      <c r="DK221" s="18">
        <f>INPUT!DV122</f>
        <v>-4.7354357657017454</v>
      </c>
      <c r="DL221" s="119">
        <f>INPUT!DW122</f>
        <v>23.048668503213957</v>
      </c>
      <c r="DM221" s="18">
        <f>INPUT!DX122</f>
        <v>-5.6791787589065112</v>
      </c>
      <c r="DN221" s="119">
        <f>INPUT!DY122</f>
        <v>23.635833090166329</v>
      </c>
      <c r="DO221" s="18">
        <f>INPUT!DZ122</f>
        <v>-3.6603443244820455</v>
      </c>
      <c r="DP221" s="119">
        <f>INPUT!EA122</f>
        <v>24.458113649677799</v>
      </c>
      <c r="DQ221" s="18">
        <f>INPUT!EB122</f>
        <v>-0.68131920857392725</v>
      </c>
      <c r="DR221" s="119">
        <f>INPUT!EC122</f>
        <v>21.941160296948034</v>
      </c>
      <c r="DS221" s="18">
        <f>INPUT!ED122</f>
        <v>-7.3941479595909243</v>
      </c>
      <c r="DT221" s="119">
        <f>INPUT!EE122</f>
        <v>22.56992522846857</v>
      </c>
      <c r="DU221" s="18">
        <f>INPUT!EF122</f>
        <v>-2.0770973155287864</v>
      </c>
      <c r="DV221" s="119">
        <f>INPUT!EG122</f>
        <v>22.775601566871856</v>
      </c>
      <c r="DW221" s="18">
        <f>INPUT!EH122</f>
        <v>-3.6395227534940289</v>
      </c>
      <c r="DX221" s="119">
        <f>INPUT!EI122</f>
        <v>23.984309330344633</v>
      </c>
      <c r="DY221" s="18">
        <f>INPUT!EJ122</f>
        <v>-1.9372071212017117</v>
      </c>
      <c r="DZ221" s="119">
        <f>INPUT!EK122</f>
        <v>23</v>
      </c>
      <c r="EA221" s="18">
        <f>INPUT!EL122</f>
        <v>4.8258145363408556</v>
      </c>
      <c r="EB221" s="119">
        <f>INPUT!EM122</f>
        <v>23</v>
      </c>
      <c r="EC221" s="18">
        <f>INPUT!EN122</f>
        <v>1.9055214723926239</v>
      </c>
      <c r="ED221" s="119">
        <f>INPUT!EO122</f>
        <v>23</v>
      </c>
      <c r="EE221" s="18">
        <f>INPUT!EP122</f>
        <v>0.98525798525797015</v>
      </c>
      <c r="EF221" s="119">
        <f>INPUT!EQ122</f>
        <v>23</v>
      </c>
      <c r="EG221" s="18">
        <f>INPUT!ER122</f>
        <v>-4.1039719626168143</v>
      </c>
      <c r="EH221" s="18"/>
      <c r="EI221" s="119">
        <f>INPUT!FB122</f>
        <v>0</v>
      </c>
      <c r="EJ221" s="399">
        <f>INPUT!FC122</f>
        <v>0</v>
      </c>
      <c r="EK221" s="119">
        <f>INPUT!FD122</f>
        <v>24.07489474850432</v>
      </c>
      <c r="EL221" s="399" t="str">
        <f>INPUT!FE122</f>
        <v>NA</v>
      </c>
      <c r="EM221" s="119">
        <f>INPUT!FF122</f>
        <v>22.044637790807641</v>
      </c>
      <c r="EN221" s="399">
        <f>INPUT!FG122</f>
        <v>-8.4330875748597443</v>
      </c>
      <c r="EO221" s="119">
        <f>INPUT!FH122</f>
        <v>21.005635023840483</v>
      </c>
      <c r="EP221" s="399">
        <f>INPUT!FI122</f>
        <v>-4.7131768588205674</v>
      </c>
      <c r="EQ221" s="119">
        <f>INPUT!FJ122</f>
        <v>21.035624848533804</v>
      </c>
      <c r="ER221" s="18">
        <f>INPUT!FK122</f>
        <v>0.14277037880208177</v>
      </c>
      <c r="ES221" s="119">
        <f>INPUT!FL122</f>
        <v>19.165143205362583</v>
      </c>
      <c r="ET221" s="18">
        <f>INPUT!FM122</f>
        <v>-8.8919709142920684</v>
      </c>
      <c r="EU221" s="119">
        <f>INPUT!FN122</f>
        <v>19.127877788137422</v>
      </c>
      <c r="EV221" s="18">
        <f>INPUT!FO122</f>
        <v>-0.19444371913033276</v>
      </c>
      <c r="EW221" s="119">
        <f>INPUT!FP122</f>
        <v>18.925950633755839</v>
      </c>
      <c r="EX221" s="18">
        <f>INPUT!FQ122</f>
        <v>-1.0556694089022933</v>
      </c>
      <c r="EY221" s="119">
        <f>INPUT!FR122</f>
        <v>23.961928668549316</v>
      </c>
      <c r="EZ221" s="18">
        <f>INPUT!FS122</f>
        <v>26.608851160223558</v>
      </c>
      <c r="FA221" s="119">
        <f>INPUT!FT122</f>
        <v>24.223728127844645</v>
      </c>
      <c r="FB221" s="18">
        <f>INPUT!FU122</f>
        <v>1.0925642210050768</v>
      </c>
      <c r="FC221" s="119">
        <f>INPUT!FV122</f>
        <v>23.882454293098501</v>
      </c>
      <c r="FD221" s="18">
        <f>INPUT!FW122</f>
        <v>-1.4088410873215551</v>
      </c>
      <c r="FE221" s="119">
        <f>INPUT!FX122</f>
        <v>23.532076839434584</v>
      </c>
      <c r="FF221" s="18">
        <f>INPUT!FY122</f>
        <v>-1.4670914863434636</v>
      </c>
      <c r="FG221" s="119">
        <f>INPUT!FZ122</f>
        <v>24.384080859128236</v>
      </c>
      <c r="FH221" s="18">
        <f>INPUT!GA122</f>
        <v>3.6206069931995044</v>
      </c>
      <c r="FI221" s="119">
        <f>INPUT!GB122</f>
        <v>24.864212432106218</v>
      </c>
      <c r="FJ221" s="18">
        <f>INPUT!GC122</f>
        <v>1.9690369948812014</v>
      </c>
      <c r="FK221" s="119">
        <f>INPUT!GD122</f>
        <v>24.617513020833329</v>
      </c>
      <c r="FL221" s="18">
        <f>INPUT!GE122</f>
        <v>-0.99218670990091073</v>
      </c>
      <c r="FM221" s="119">
        <f>INPUT!GF122</f>
        <v>23.716271769190524</v>
      </c>
      <c r="FN221" s="18">
        <f>INPUT!GG122</f>
        <v>-3.6609760331196006</v>
      </c>
      <c r="FO221" s="119">
        <f>INPUT!GH122</f>
        <v>22.812869154332571</v>
      </c>
      <c r="FP221" s="18">
        <f>INPUT!GI122</f>
        <v>-3.8092100801085826</v>
      </c>
      <c r="FQ221" s="119">
        <f>INPUT!GJ122</f>
        <v>23</v>
      </c>
      <c r="FR221" s="18">
        <f>INPUT!GK122</f>
        <v>0.82028632348460917</v>
      </c>
      <c r="FS221" s="119">
        <f>INPUT!GL122</f>
        <v>23</v>
      </c>
      <c r="FT221" s="18">
        <f>INPUT!GM122</f>
        <v>0</v>
      </c>
      <c r="FU221" s="119">
        <f>INPUT!GN122</f>
        <v>23</v>
      </c>
      <c r="FV221" s="18">
        <f>INPUT!GO122</f>
        <v>0</v>
      </c>
      <c r="FW221" s="119">
        <f>INPUT!GP122</f>
        <v>23</v>
      </c>
      <c r="FX221" s="18">
        <f>INPUT!GQ122</f>
        <v>0</v>
      </c>
      <c r="FY221" s="119">
        <f>INPUT!GR122</f>
        <v>23.1</v>
      </c>
      <c r="FZ221" s="18">
        <f>INPUT!GS122</f>
        <v>0.43478260869564966</v>
      </c>
      <c r="GA221" s="399">
        <f>INPUT!GT122</f>
        <v>0.25046923556495404</v>
      </c>
    </row>
    <row r="222" spans="1:183" ht="12.75" hidden="1" customHeight="1" outlineLevel="1" x14ac:dyDescent="0.2">
      <c r="A222" s="612"/>
      <c r="B222" s="119"/>
      <c r="C222" s="399"/>
      <c r="D222" s="119"/>
      <c r="E222" s="399"/>
      <c r="F222" s="119"/>
      <c r="G222" s="399"/>
      <c r="H222" s="119"/>
      <c r="I222" s="399"/>
      <c r="J222" s="119"/>
      <c r="K222" s="399"/>
      <c r="L222" s="119"/>
      <c r="M222" s="399"/>
      <c r="N222" s="119"/>
      <c r="O222" s="399"/>
      <c r="P222" s="119"/>
      <c r="Q222" s="399"/>
      <c r="R222" s="119"/>
      <c r="S222" s="399"/>
      <c r="T222" s="119"/>
      <c r="U222" s="399"/>
      <c r="V222" s="119"/>
      <c r="W222" s="399"/>
      <c r="X222" s="119"/>
      <c r="Y222" s="399"/>
      <c r="Z222" s="119"/>
      <c r="AA222" s="399"/>
      <c r="AB222" s="119"/>
      <c r="AC222" s="399"/>
      <c r="AD222" s="119"/>
      <c r="AE222" s="399"/>
      <c r="AF222" s="119"/>
      <c r="AG222" s="399"/>
      <c r="AH222" s="119"/>
      <c r="AI222" s="399"/>
      <c r="AJ222" s="119"/>
      <c r="AK222" s="399"/>
      <c r="AL222" s="119"/>
      <c r="AM222" s="399"/>
      <c r="AN222" s="119"/>
      <c r="AO222" s="18"/>
      <c r="AP222" s="119"/>
      <c r="AQ222" s="18"/>
      <c r="AR222" s="119"/>
      <c r="AS222" s="18"/>
      <c r="AT222" s="119"/>
      <c r="AU222" s="18"/>
      <c r="AV222" s="119"/>
      <c r="AW222" s="18"/>
      <c r="AX222" s="119"/>
      <c r="AY222" s="18"/>
      <c r="AZ222" s="119"/>
      <c r="BA222" s="18"/>
      <c r="BB222" s="119"/>
      <c r="BC222" s="18"/>
      <c r="BD222" s="119"/>
      <c r="BE222" s="18"/>
      <c r="BF222" s="119"/>
      <c r="BG222" s="18"/>
      <c r="BH222" s="119"/>
      <c r="BI222" s="18"/>
      <c r="BJ222" s="119"/>
      <c r="BK222" s="18"/>
      <c r="BL222" s="119"/>
      <c r="BM222" s="18"/>
      <c r="BN222" s="119"/>
      <c r="BO222" s="18"/>
      <c r="BP222" s="119"/>
      <c r="BQ222" s="18"/>
      <c r="BR222" s="119"/>
      <c r="BS222" s="18"/>
      <c r="BT222" s="119"/>
      <c r="BU222" s="18"/>
      <c r="BV222" s="119"/>
      <c r="BW222" s="18"/>
      <c r="BX222" s="119"/>
      <c r="BY222" s="18"/>
      <c r="BZ222" s="119"/>
      <c r="CA222" s="18"/>
      <c r="CB222" s="119"/>
      <c r="CC222" s="18"/>
      <c r="CD222" s="119"/>
      <c r="CE222" s="18"/>
      <c r="CF222" s="119"/>
      <c r="CG222" s="18"/>
      <c r="CH222" s="119"/>
      <c r="CI222" s="18"/>
      <c r="CJ222" s="119"/>
      <c r="CK222" s="18"/>
      <c r="CL222" s="119"/>
      <c r="CM222" s="18"/>
      <c r="CN222" s="119"/>
      <c r="CO222" s="18"/>
      <c r="CP222" s="119"/>
      <c r="CQ222" s="18"/>
      <c r="CR222" s="119"/>
      <c r="CS222" s="18"/>
      <c r="CT222" s="119"/>
      <c r="CU222" s="18"/>
      <c r="CV222" s="119"/>
      <c r="CW222" s="18"/>
      <c r="CX222" s="119"/>
      <c r="CY222" s="18"/>
      <c r="CZ222" s="119"/>
      <c r="DA222" s="18"/>
      <c r="DB222" s="119"/>
      <c r="DC222" s="18"/>
      <c r="DD222" s="119"/>
      <c r="DE222" s="18"/>
      <c r="DF222" s="119"/>
      <c r="DG222" s="18"/>
      <c r="DH222" s="119"/>
      <c r="DI222" s="18"/>
      <c r="DJ222" s="119"/>
      <c r="DK222" s="18"/>
      <c r="DL222" s="119"/>
      <c r="DM222" s="18"/>
      <c r="DN222" s="119"/>
      <c r="DO222" s="18"/>
      <c r="DP222" s="119"/>
      <c r="DQ222" s="18"/>
      <c r="DR222" s="119"/>
      <c r="DS222" s="18"/>
      <c r="DT222" s="119"/>
      <c r="DU222" s="18"/>
      <c r="DV222" s="119"/>
      <c r="DW222" s="18"/>
      <c r="DX222" s="119"/>
      <c r="DY222" s="18"/>
      <c r="DZ222" s="119"/>
      <c r="EA222" s="18"/>
      <c r="EB222" s="119"/>
      <c r="EC222" s="18"/>
      <c r="ED222" s="119"/>
      <c r="EE222" s="18"/>
      <c r="EF222" s="119"/>
      <c r="EG222" s="18"/>
      <c r="EH222" s="18"/>
      <c r="EI222" s="119"/>
      <c r="EJ222" s="399"/>
      <c r="EK222" s="119"/>
      <c r="EL222" s="399"/>
      <c r="EM222" s="119"/>
      <c r="EN222" s="399"/>
      <c r="EO222" s="119"/>
      <c r="EP222" s="399"/>
      <c r="EQ222" s="119"/>
      <c r="ER222" s="18"/>
      <c r="ES222" s="119"/>
      <c r="ET222" s="18"/>
      <c r="EU222" s="119"/>
      <c r="EV222" s="18"/>
      <c r="EW222" s="119"/>
      <c r="EX222" s="18"/>
      <c r="EY222" s="119"/>
      <c r="EZ222" s="18"/>
      <c r="FA222" s="119"/>
      <c r="FB222" s="18"/>
      <c r="FC222" s="119"/>
      <c r="FD222" s="18"/>
      <c r="FE222" s="119"/>
      <c r="FF222" s="18"/>
      <c r="FG222" s="119"/>
      <c r="FH222" s="18"/>
      <c r="FI222" s="119"/>
      <c r="FJ222" s="18"/>
      <c r="FK222" s="119"/>
      <c r="FL222" s="18"/>
      <c r="FM222" s="119"/>
      <c r="FN222" s="18"/>
      <c r="FO222" s="119"/>
      <c r="FP222" s="18"/>
      <c r="FQ222" s="119"/>
      <c r="FR222" s="18"/>
      <c r="FS222" s="119"/>
      <c r="FT222" s="18"/>
      <c r="FU222" s="119"/>
      <c r="FV222" s="18"/>
      <c r="FW222" s="119"/>
      <c r="FX222" s="18"/>
      <c r="FY222" s="119"/>
      <c r="FZ222" s="18"/>
      <c r="GA222" s="399"/>
    </row>
    <row r="223" spans="1:183" ht="12.75" hidden="1" customHeight="1" outlineLevel="1" x14ac:dyDescent="0.2">
      <c r="A223" s="610" t="str">
        <f>+INPUT!B131</f>
        <v>Sales Data</v>
      </c>
      <c r="B223" s="119"/>
      <c r="C223" s="399"/>
      <c r="D223" s="119"/>
      <c r="E223" s="399"/>
      <c r="F223" s="119"/>
      <c r="G223" s="399"/>
      <c r="H223" s="119"/>
      <c r="I223" s="399"/>
      <c r="J223" s="119"/>
      <c r="K223" s="399"/>
      <c r="L223" s="119"/>
      <c r="M223" s="399"/>
      <c r="N223" s="119"/>
      <c r="O223" s="399"/>
      <c r="P223" s="119"/>
      <c r="Q223" s="399"/>
      <c r="R223" s="119"/>
      <c r="S223" s="399"/>
      <c r="T223" s="119"/>
      <c r="U223" s="399"/>
      <c r="V223" s="119"/>
      <c r="W223" s="399"/>
      <c r="X223" s="119"/>
      <c r="Y223" s="399"/>
      <c r="Z223" s="119"/>
      <c r="AA223" s="399"/>
      <c r="AB223" s="119"/>
      <c r="AC223" s="399"/>
      <c r="AD223" s="119"/>
      <c r="AE223" s="399"/>
      <c r="AF223" s="119"/>
      <c r="AG223" s="399"/>
      <c r="AH223" s="119"/>
      <c r="AI223" s="399"/>
      <c r="AJ223" s="119"/>
      <c r="AK223" s="399"/>
      <c r="AL223" s="119"/>
      <c r="AM223" s="399"/>
      <c r="AN223" s="119"/>
      <c r="AO223" s="18"/>
      <c r="AP223" s="119"/>
      <c r="AQ223" s="18"/>
      <c r="AR223" s="119"/>
      <c r="AS223" s="18"/>
      <c r="AT223" s="119"/>
      <c r="AU223" s="18"/>
      <c r="AV223" s="119"/>
      <c r="AW223" s="18"/>
      <c r="AX223" s="119"/>
      <c r="AY223" s="18"/>
      <c r="AZ223" s="119"/>
      <c r="BA223" s="18"/>
      <c r="BB223" s="119"/>
      <c r="BC223" s="18"/>
      <c r="BD223" s="119"/>
      <c r="BE223" s="18"/>
      <c r="BF223" s="119"/>
      <c r="BG223" s="18"/>
      <c r="BH223" s="119"/>
      <c r="BI223" s="18"/>
      <c r="BJ223" s="119"/>
      <c r="BK223" s="18"/>
      <c r="BL223" s="119"/>
      <c r="BM223" s="18"/>
      <c r="BN223" s="119"/>
      <c r="BO223" s="18"/>
      <c r="BP223" s="119"/>
      <c r="BQ223" s="18"/>
      <c r="BR223" s="119"/>
      <c r="BS223" s="18"/>
      <c r="BT223" s="119"/>
      <c r="BU223" s="18"/>
      <c r="BV223" s="119"/>
      <c r="BW223" s="18"/>
      <c r="BX223" s="119"/>
      <c r="BY223" s="18"/>
      <c r="BZ223" s="119"/>
      <c r="CA223" s="18"/>
      <c r="CB223" s="119"/>
      <c r="CC223" s="18"/>
      <c r="CD223" s="119"/>
      <c r="CE223" s="18"/>
      <c r="CF223" s="119"/>
      <c r="CG223" s="18"/>
      <c r="CH223" s="119"/>
      <c r="CI223" s="18"/>
      <c r="CJ223" s="119"/>
      <c r="CK223" s="18"/>
      <c r="CL223" s="119"/>
      <c r="CM223" s="18"/>
      <c r="CN223" s="119"/>
      <c r="CO223" s="18"/>
      <c r="CP223" s="119"/>
      <c r="CQ223" s="18"/>
      <c r="CR223" s="119"/>
      <c r="CS223" s="18"/>
      <c r="CT223" s="119"/>
      <c r="CU223" s="18"/>
      <c r="CV223" s="119"/>
      <c r="CW223" s="18"/>
      <c r="CX223" s="119"/>
      <c r="CY223" s="18"/>
      <c r="CZ223" s="119"/>
      <c r="DA223" s="18"/>
      <c r="DB223" s="119"/>
      <c r="DC223" s="18"/>
      <c r="DD223" s="119"/>
      <c r="DE223" s="18"/>
      <c r="DF223" s="119"/>
      <c r="DG223" s="18"/>
      <c r="DH223" s="119"/>
      <c r="DI223" s="18"/>
      <c r="DJ223" s="119"/>
      <c r="DK223" s="18"/>
      <c r="DL223" s="119"/>
      <c r="DM223" s="18"/>
      <c r="DN223" s="119"/>
      <c r="DO223" s="18"/>
      <c r="DP223" s="119"/>
      <c r="DQ223" s="18"/>
      <c r="DR223" s="119"/>
      <c r="DS223" s="18"/>
      <c r="DT223" s="119"/>
      <c r="DU223" s="18"/>
      <c r="DV223" s="119"/>
      <c r="DW223" s="18"/>
      <c r="DX223" s="119"/>
      <c r="DY223" s="18"/>
      <c r="DZ223" s="119"/>
      <c r="EA223" s="18"/>
      <c r="EB223" s="119"/>
      <c r="EC223" s="18"/>
      <c r="ED223" s="119"/>
      <c r="EE223" s="18"/>
      <c r="EF223" s="119"/>
      <c r="EG223" s="18"/>
      <c r="EH223" s="18"/>
      <c r="EI223" s="119"/>
      <c r="EJ223" s="399"/>
      <c r="EK223" s="119"/>
      <c r="EL223" s="399"/>
      <c r="EM223" s="119"/>
      <c r="EN223" s="399"/>
      <c r="EO223" s="119"/>
      <c r="EP223" s="399"/>
      <c r="EQ223" s="119"/>
      <c r="ER223" s="18"/>
      <c r="ES223" s="119"/>
      <c r="ET223" s="18"/>
      <c r="EU223" s="119"/>
      <c r="EV223" s="18"/>
      <c r="EW223" s="119"/>
      <c r="EX223" s="18"/>
      <c r="EY223" s="119"/>
      <c r="EZ223" s="18"/>
      <c r="FA223" s="119"/>
      <c r="FB223" s="18"/>
      <c r="FC223" s="119"/>
      <c r="FD223" s="18"/>
      <c r="FE223" s="119"/>
      <c r="FF223" s="18"/>
      <c r="FG223" s="119"/>
      <c r="FH223" s="18"/>
      <c r="FI223" s="119"/>
      <c r="FJ223" s="18"/>
      <c r="FK223" s="119"/>
      <c r="FL223" s="18"/>
      <c r="FM223" s="119"/>
      <c r="FN223" s="18"/>
      <c r="FO223" s="119"/>
      <c r="FP223" s="18"/>
      <c r="FQ223" s="119"/>
      <c r="FR223" s="18"/>
      <c r="FS223" s="119"/>
      <c r="FT223" s="18"/>
      <c r="FU223" s="119"/>
      <c r="FV223" s="18"/>
      <c r="FW223" s="119"/>
      <c r="FX223" s="18"/>
      <c r="FY223" s="119"/>
      <c r="FZ223" s="18"/>
      <c r="GA223" s="399"/>
    </row>
    <row r="224" spans="1:183" ht="12.75" hidden="1" customHeight="1" outlineLevel="1" x14ac:dyDescent="0.2">
      <c r="A224" s="612" t="str">
        <f>+INPUT!B132</f>
        <v xml:space="preserve">  Individual Income Protection - Recently Issued</v>
      </c>
      <c r="B224" s="119">
        <f>+INPUT!M132</f>
        <v>0</v>
      </c>
      <c r="C224" s="613">
        <f>+INPUT!N132</f>
        <v>0</v>
      </c>
      <c r="D224" s="119">
        <f>+INPUT!O132</f>
        <v>0</v>
      </c>
      <c r="E224" s="5">
        <f>+INPUT!P132</f>
        <v>0</v>
      </c>
      <c r="F224" s="119">
        <f>+INPUT!Q132</f>
        <v>0</v>
      </c>
      <c r="G224" s="5">
        <f>+INPUT!R132</f>
        <v>0</v>
      </c>
      <c r="H224" s="119">
        <f>+INPUT!S132</f>
        <v>0</v>
      </c>
      <c r="I224" s="5">
        <f>+INPUT!T132</f>
        <v>0</v>
      </c>
      <c r="J224" s="119">
        <f>+INPUT!U132</f>
        <v>0</v>
      </c>
      <c r="K224" s="5">
        <f>+INPUT!V132</f>
        <v>0</v>
      </c>
      <c r="L224" s="119">
        <f>+INPUT!W132</f>
        <v>0</v>
      </c>
      <c r="M224" s="5">
        <f>+INPUT!X132</f>
        <v>0</v>
      </c>
      <c r="N224" s="119">
        <f>+INPUT!Y132</f>
        <v>0</v>
      </c>
      <c r="O224" s="5">
        <f>+INPUT!Z132</f>
        <v>0</v>
      </c>
      <c r="P224" s="119">
        <f>+INPUT!AA132</f>
        <v>0</v>
      </c>
      <c r="Q224" s="5" t="str">
        <f>+INPUT!AB132</f>
        <v>NA</v>
      </c>
      <c r="R224" s="119">
        <f>+INPUT!AC132</f>
        <v>16.7</v>
      </c>
      <c r="S224" s="5" t="str">
        <f>+INPUT!AD132</f>
        <v>NA</v>
      </c>
      <c r="T224" s="119">
        <f>+INPUT!AE132</f>
        <v>15.2</v>
      </c>
      <c r="U224" s="5" t="str">
        <f>+INPUT!AF132</f>
        <v>NA</v>
      </c>
      <c r="V224" s="119">
        <f>+INPUT!AG132</f>
        <v>15.4</v>
      </c>
      <c r="W224" s="5" t="str">
        <f>+INPUT!AH132</f>
        <v>NA</v>
      </c>
      <c r="X224" s="119">
        <f>+INPUT!AI132</f>
        <v>14.300000000000004</v>
      </c>
      <c r="Y224" s="5" t="str">
        <f>+INPUT!AJ132</f>
        <v>NA</v>
      </c>
      <c r="Z224" s="119">
        <f>+INPUT!AK132</f>
        <v>13.3</v>
      </c>
      <c r="AA224" s="5">
        <f>+INPUT!AL132</f>
        <v>-20.359281437125741</v>
      </c>
      <c r="AB224" s="119">
        <f>+INPUT!AM132</f>
        <v>12</v>
      </c>
      <c r="AC224" s="5">
        <f>+INPUT!AN132</f>
        <v>-21.052631578947366</v>
      </c>
      <c r="AD224" s="119">
        <f>+INPUT!AO132</f>
        <v>13.4</v>
      </c>
      <c r="AE224" s="5">
        <f>+INPUT!AP132</f>
        <v>-12.987012987012992</v>
      </c>
      <c r="AF224" s="119">
        <f>+INPUT!AQ132</f>
        <v>15.1</v>
      </c>
      <c r="AG224" s="5">
        <f>+INPUT!AR132</f>
        <v>5.5944055944055604</v>
      </c>
      <c r="AH224" s="119">
        <f>+INPUT!AS132</f>
        <v>12.3</v>
      </c>
      <c r="AI224" s="5">
        <f>+INPUT!AT132</f>
        <v>-7.518796992481203</v>
      </c>
      <c r="AJ224" s="119">
        <f>+INPUT!AU132</f>
        <v>12.6</v>
      </c>
      <c r="AK224" s="5">
        <f>+INPUT!AV132</f>
        <v>5.0000000000000044</v>
      </c>
      <c r="AL224" s="119">
        <f>+INPUT!AW132</f>
        <v>14.1</v>
      </c>
      <c r="AM224" s="5">
        <f>+INPUT!AX132</f>
        <v>5.2238805970149294</v>
      </c>
      <c r="AN224" s="119">
        <f>+INPUT!AY132</f>
        <v>16.399999999999999</v>
      </c>
      <c r="AO224" s="18">
        <f>+INPUT!AZ132</f>
        <v>8.6092715231788084</v>
      </c>
      <c r="AP224" s="119">
        <f>+INPUT!BA132</f>
        <v>14.5</v>
      </c>
      <c r="AQ224" s="18">
        <f>+INPUT!BB132</f>
        <v>17.886178861788604</v>
      </c>
      <c r="AR224" s="119">
        <f>+INPUT!BC132</f>
        <v>14.5</v>
      </c>
      <c r="AS224" s="18">
        <f>+INPUT!BD132</f>
        <v>15.079365079365093</v>
      </c>
      <c r="AT224" s="119">
        <f>+INPUT!BE132</f>
        <v>15.2</v>
      </c>
      <c r="AU224" s="18">
        <f>+INPUT!BF132</f>
        <v>7.8014184397163122</v>
      </c>
      <c r="AV224" s="119">
        <f>+INPUT!BG132</f>
        <v>15.5</v>
      </c>
      <c r="AW224" s="18">
        <f>+INPUT!BH132</f>
        <v>-5.4878048780487738</v>
      </c>
      <c r="AX224" s="119">
        <f>+INPUT!BI132</f>
        <v>16.5</v>
      </c>
      <c r="AY224" s="18">
        <f>+INPUT!BJ132</f>
        <v>13.793103448275868</v>
      </c>
      <c r="AZ224" s="119">
        <f>+INPUT!BK132</f>
        <v>12.8</v>
      </c>
      <c r="BA224" s="18">
        <f>+INPUT!BL132</f>
        <v>-11.724137931034473</v>
      </c>
      <c r="BB224" s="119">
        <f>+INPUT!BM132</f>
        <v>15.1</v>
      </c>
      <c r="BC224" s="18">
        <f>+INPUT!BN132</f>
        <v>0</v>
      </c>
      <c r="BD224" s="119">
        <f>+INPUT!BO132</f>
        <v>13.5</v>
      </c>
      <c r="BE224" s="18">
        <f>+INPUT!BP132</f>
        <v>0</v>
      </c>
      <c r="BF224" s="119">
        <f>+INPUT!BQ132</f>
        <v>15.7</v>
      </c>
      <c r="BG224" s="18">
        <f>+INPUT!BR132</f>
        <v>-4.8484848484848575</v>
      </c>
      <c r="BH224" s="119">
        <f>+INPUT!BS132</f>
        <v>11.6</v>
      </c>
      <c r="BI224" s="18">
        <f>+INPUT!BT132</f>
        <v>0</v>
      </c>
      <c r="BJ224" s="119">
        <f>+INPUT!BU132</f>
        <v>12.2</v>
      </c>
      <c r="BK224" s="18">
        <f>+INPUT!BV132</f>
        <v>0</v>
      </c>
      <c r="BL224" s="119">
        <f>+INPUT!BW132</f>
        <v>12.1</v>
      </c>
      <c r="BM224" s="18">
        <f>+INPUT!BX132</f>
        <v>0</v>
      </c>
      <c r="BN224" s="119">
        <f>+INPUT!BY132</f>
        <v>9.6</v>
      </c>
      <c r="BO224" s="18">
        <f>+INPUT!BZ132</f>
        <v>-38.853503184713375</v>
      </c>
      <c r="BP224" s="119">
        <f>+INPUT!CA132</f>
        <v>10.3</v>
      </c>
      <c r="BQ224" s="18">
        <f>+INPUT!CB132</f>
        <v>-11.206896551724132</v>
      </c>
      <c r="BR224" s="119">
        <f>+INPUT!CC132</f>
        <v>11.6</v>
      </c>
      <c r="BS224" s="18">
        <f>+INPUT!CD132</f>
        <v>-4.9180327868852398</v>
      </c>
      <c r="BT224" s="119">
        <f>+INPUT!CE132</f>
        <v>11.2</v>
      </c>
      <c r="BU224" s="18">
        <f>+INPUT!CF132</f>
        <v>-7.4380165289256279</v>
      </c>
      <c r="BV224" s="119">
        <f>+INPUT!CG132</f>
        <v>14.2</v>
      </c>
      <c r="BW224" s="18">
        <f>+INPUT!CH132</f>
        <v>47.916666666666671</v>
      </c>
      <c r="BX224" s="119">
        <f>+INPUT!CI132</f>
        <v>13.5</v>
      </c>
      <c r="BY224" s="18">
        <f>+INPUT!CJ132</f>
        <v>31.06796116504853</v>
      </c>
      <c r="BZ224" s="119">
        <f>+INPUT!CK132</f>
        <v>12.9</v>
      </c>
      <c r="CA224" s="18">
        <f>+INPUT!CL132</f>
        <v>11.206896551724155</v>
      </c>
      <c r="CB224" s="119">
        <f>+INPUT!CM132</f>
        <v>15</v>
      </c>
      <c r="CC224" s="18">
        <f>+INPUT!CN132</f>
        <v>33.928571428571445</v>
      </c>
      <c r="CD224" s="119">
        <f>+INPUT!CO132</f>
        <v>14.9</v>
      </c>
      <c r="CE224" s="18">
        <f>+INPUT!CP132</f>
        <v>4.929577464788748</v>
      </c>
      <c r="CF224" s="119">
        <f>+INPUT!CQ132</f>
        <v>15.3</v>
      </c>
      <c r="CG224" s="18">
        <f>+INPUT!CR132</f>
        <v>13.33333333333333</v>
      </c>
      <c r="CH224" s="119">
        <f>+INPUT!CS132</f>
        <v>14.6</v>
      </c>
      <c r="CI224" s="18">
        <f>+INPUT!CT132</f>
        <v>13.178294573643413</v>
      </c>
      <c r="CJ224" s="119">
        <f>+INPUT!CU132</f>
        <v>12.2</v>
      </c>
      <c r="CK224" s="18">
        <f>+INPUT!CV132</f>
        <v>-18.666666666666675</v>
      </c>
      <c r="CL224" s="119">
        <f>+INPUT!CW132</f>
        <v>15.2</v>
      </c>
      <c r="CM224" s="18">
        <f>+INPUT!CX132</f>
        <v>2.0134228187919323</v>
      </c>
      <c r="CN224" s="119">
        <f>+INPUT!CY132</f>
        <v>10.199999999999999</v>
      </c>
      <c r="CO224" s="18">
        <f>+INPUT!CZ132</f>
        <v>-33.333333333333336</v>
      </c>
      <c r="CP224" s="119">
        <f>+INPUT!DA132</f>
        <v>11.2</v>
      </c>
      <c r="CQ224" s="18">
        <f>+INPUT!DB132</f>
        <v>-23.287671232876718</v>
      </c>
      <c r="CR224" s="119">
        <f>+INPUT!DC132</f>
        <v>15.6</v>
      </c>
      <c r="CS224" s="18">
        <f>+INPUT!DD132</f>
        <v>27.868852459016402</v>
      </c>
      <c r="CT224" s="119">
        <f>+INPUT!DE132</f>
        <v>14.6</v>
      </c>
      <c r="CU224" s="18">
        <f>+INPUT!DF132</f>
        <v>-3.9473684210526327</v>
      </c>
      <c r="CV224" s="119">
        <f>+INPUT!DG132</f>
        <v>11.7</v>
      </c>
      <c r="CW224" s="18">
        <f>+INPUT!DH132</f>
        <v>14.705882352941169</v>
      </c>
      <c r="CX224" s="119">
        <f>+INPUT!DI132</f>
        <v>14.4</v>
      </c>
      <c r="CY224" s="18">
        <f>+INPUT!DJ132</f>
        <v>28.57142857142858</v>
      </c>
      <c r="CZ224" s="119">
        <f>+INPUT!DK132</f>
        <v>16.100000000000001</v>
      </c>
      <c r="DA224" s="18">
        <f>+INPUT!DL132</f>
        <v>3.2051282051282159</v>
      </c>
      <c r="DB224" s="119">
        <f>+INPUT!DM132</f>
        <v>12.3</v>
      </c>
      <c r="DC224" s="18">
        <f>+INPUT!DN132</f>
        <v>-15.753424657534243</v>
      </c>
      <c r="DD224" s="119">
        <f>+INPUT!DO132</f>
        <v>13</v>
      </c>
      <c r="DE224" s="18">
        <f>+INPUT!DP132</f>
        <v>11.111111111111116</v>
      </c>
      <c r="DF224" s="119">
        <f>+INPUT!DQ132</f>
        <v>21.2</v>
      </c>
      <c r="DG224" s="18">
        <f>+INPUT!DR132</f>
        <v>47.222222222222207</v>
      </c>
      <c r="DH224" s="119">
        <f>+INPUT!DS132</f>
        <v>21</v>
      </c>
      <c r="DI224" s="18">
        <f>+INPUT!DT132</f>
        <v>30.434782608695631</v>
      </c>
      <c r="DJ224" s="119">
        <f>+INPUT!DU132</f>
        <v>16.7</v>
      </c>
      <c r="DK224" s="18">
        <f>+INPUT!DV132</f>
        <v>35.77235772357723</v>
      </c>
      <c r="DL224" s="119">
        <f>+INPUT!DW132</f>
        <v>14.6</v>
      </c>
      <c r="DM224" s="18">
        <f>+INPUT!DX132</f>
        <v>12.307692307692308</v>
      </c>
      <c r="DN224" s="119">
        <f>+INPUT!DY132</f>
        <v>16.399999999999999</v>
      </c>
      <c r="DO224" s="18">
        <f>+INPUT!DZ132</f>
        <v>-22.64150943396227</v>
      </c>
      <c r="DP224" s="119">
        <f>+INPUT!EA132</f>
        <v>17.399999999999999</v>
      </c>
      <c r="DQ224" s="18">
        <f>+INPUT!EB132</f>
        <v>-17.142857142857149</v>
      </c>
      <c r="DR224" s="119">
        <f>+INPUT!EC132</f>
        <v>16.2</v>
      </c>
      <c r="DS224" s="18">
        <f>+INPUT!ED132</f>
        <v>-2.9940119760479056</v>
      </c>
      <c r="DT224" s="119">
        <f>+INPUT!EE132</f>
        <v>13.6</v>
      </c>
      <c r="DU224" s="18">
        <f>+INPUT!EF132</f>
        <v>-6.8493150684931559</v>
      </c>
      <c r="DV224" s="119">
        <f>+INPUT!EG132</f>
        <v>20.399999999999999</v>
      </c>
      <c r="DW224" s="18">
        <f>+INPUT!EH132</f>
        <v>24.390243902439025</v>
      </c>
      <c r="DX224" s="119">
        <f>+INPUT!EI132</f>
        <v>17.7</v>
      </c>
      <c r="DY224" s="18">
        <f>+INPUT!EJ132</f>
        <v>1.7241379310344973</v>
      </c>
      <c r="DZ224" s="119">
        <f>+INPUT!EK132</f>
        <v>0</v>
      </c>
      <c r="EA224" s="18" t="str">
        <f>+INPUT!EL132</f>
        <v>NM</v>
      </c>
      <c r="EB224" s="119">
        <f>+INPUT!EM132</f>
        <v>0</v>
      </c>
      <c r="EC224" s="18" t="str">
        <f>+INPUT!EN132</f>
        <v>NM</v>
      </c>
      <c r="ED224" s="119">
        <f>+INPUT!EO132</f>
        <v>0</v>
      </c>
      <c r="EE224" s="18" t="str">
        <f>+INPUT!EP132</f>
        <v>NM</v>
      </c>
      <c r="EF224" s="119">
        <f>+INPUT!EQ132</f>
        <v>0</v>
      </c>
      <c r="EG224" s="18" t="str">
        <f>+INPUT!ER132</f>
        <v>NM</v>
      </c>
      <c r="EH224" s="18"/>
      <c r="EI224" s="119">
        <f>+INPUT!FB132</f>
        <v>0</v>
      </c>
      <c r="EJ224" s="5">
        <f>+INPUT!FC132</f>
        <v>0</v>
      </c>
      <c r="EK224" s="119">
        <f>+INPUT!FD132</f>
        <v>83.9</v>
      </c>
      <c r="EL224" s="5" t="str">
        <f>+INPUT!FE132</f>
        <v>NA</v>
      </c>
      <c r="EM224" s="119">
        <f>+INPUT!FF132</f>
        <v>72.900000000000006</v>
      </c>
      <c r="EN224" s="5">
        <f>+INPUT!FG132</f>
        <v>-13.110846245530395</v>
      </c>
      <c r="EO224" s="119">
        <f>+INPUT!FH132</f>
        <v>61.6</v>
      </c>
      <c r="EP224" s="5">
        <f>+INPUT!FI132</f>
        <v>-15.500685871056241</v>
      </c>
      <c r="EQ224" s="119">
        <f>+INPUT!FJ132</f>
        <v>0</v>
      </c>
      <c r="ER224" s="18" t="str">
        <f>+INPUT!FK132</f>
        <v>NM</v>
      </c>
      <c r="ES224" s="119">
        <f>+INPUT!FL132</f>
        <v>0</v>
      </c>
      <c r="ET224" s="18" t="str">
        <f>+INPUT!FM132</f>
        <v>NA</v>
      </c>
      <c r="EU224" s="119">
        <f>+INPUT!FN132</f>
        <v>0</v>
      </c>
      <c r="EV224" s="18" t="str">
        <f>+INPUT!FO132</f>
        <v>NA</v>
      </c>
      <c r="EW224" s="119">
        <f>+INPUT!FP132</f>
        <v>57.9</v>
      </c>
      <c r="EX224" s="18" t="str">
        <f>+INPUT!FQ132</f>
        <v>NA</v>
      </c>
      <c r="EY224" s="96">
        <f>+INPUT!FR132</f>
        <v>51.6</v>
      </c>
      <c r="EZ224" s="18">
        <f>+INPUT!FS132</f>
        <v>-10.880829015544036</v>
      </c>
      <c r="FA224" s="96">
        <f>+INPUT!FT132</f>
        <v>42.7</v>
      </c>
      <c r="FB224" s="18">
        <f>+INPUT!FU132</f>
        <v>-17.248062015503873</v>
      </c>
      <c r="FC224" s="96">
        <f>+INPUT!FV132</f>
        <v>55.6</v>
      </c>
      <c r="FD224" s="18">
        <f>+INPUT!FW132</f>
        <v>30.210772833723642</v>
      </c>
      <c r="FE224" s="96">
        <f>+INPUT!FX132</f>
        <v>57</v>
      </c>
      <c r="FF224" s="18">
        <f>+INPUT!FY132</f>
        <v>2.5179856115107979</v>
      </c>
      <c r="FG224" s="96">
        <f>+INPUT!FZ132</f>
        <v>52.199999999999996</v>
      </c>
      <c r="FH224" s="18">
        <f>+INPUT!GA132</f>
        <v>-8.4210526315789522</v>
      </c>
      <c r="FI224" s="96">
        <f>+INPUT!GB132</f>
        <v>56.8</v>
      </c>
      <c r="FJ224" s="18">
        <f>+INPUT!GC132</f>
        <v>8.8122605363984761</v>
      </c>
      <c r="FK224" s="96">
        <f>+INPUT!GD132</f>
        <v>0</v>
      </c>
      <c r="FL224" s="18" t="str">
        <f>+INPUT!GE132</f>
        <v>NM</v>
      </c>
      <c r="FM224" s="96">
        <f>+INPUT!GF132</f>
        <v>0</v>
      </c>
      <c r="FN224" s="18" t="str">
        <f>+INPUT!GG132</f>
        <v>NA</v>
      </c>
      <c r="FO224" s="96">
        <f>+INPUT!GH132</f>
        <v>0</v>
      </c>
      <c r="FP224" s="18" t="str">
        <f>+INPUT!GI132</f>
        <v>NA</v>
      </c>
      <c r="FQ224" s="96">
        <f>+INPUT!GJ132</f>
        <v>0</v>
      </c>
      <c r="FR224" s="18" t="str">
        <f>+INPUT!GK132</f>
        <v>NA</v>
      </c>
      <c r="FS224" s="96">
        <f>+INPUT!GL132</f>
        <v>0</v>
      </c>
      <c r="FT224" s="18" t="str">
        <f>+INPUT!GM132</f>
        <v>NA</v>
      </c>
      <c r="FU224" s="96">
        <f>+INPUT!GN132</f>
        <v>0</v>
      </c>
      <c r="FV224" s="18" t="str">
        <f>+INPUT!GO132</f>
        <v>NA</v>
      </c>
      <c r="FW224" s="96">
        <f>+INPUT!GP132</f>
        <v>0</v>
      </c>
      <c r="FX224" s="18" t="str">
        <f>+INPUT!GQ132</f>
        <v>NA</v>
      </c>
      <c r="FY224" s="96">
        <f>+INPUT!GR132</f>
        <v>0</v>
      </c>
      <c r="FZ224" s="18" t="str">
        <f>+INPUT!GS132</f>
        <v>NA</v>
      </c>
      <c r="GA224" s="5">
        <f>+INPUT!GT132</f>
        <v>0</v>
      </c>
    </row>
    <row r="225" spans="1:183" ht="12.75" hidden="1" customHeight="1" outlineLevel="1" x14ac:dyDescent="0.2">
      <c r="A225" s="612" t="str">
        <f>+INPUT!B133</f>
        <v xml:space="preserve">  Group Long Term Care</v>
      </c>
      <c r="B225" s="119">
        <f>+INPUT!M133</f>
        <v>4.7130000000000001</v>
      </c>
      <c r="C225" s="613">
        <f>+INPUT!N133</f>
        <v>71.631463947560079</v>
      </c>
      <c r="D225" s="119">
        <f>+INPUT!O133</f>
        <v>5.6219999999999999</v>
      </c>
      <c r="E225" s="5">
        <f>+INPUT!P133</f>
        <v>0.84304932735426164</v>
      </c>
      <c r="F225" s="119">
        <f>+INPUT!Q133</f>
        <v>4.9640000000000004</v>
      </c>
      <c r="G225" s="5">
        <f>+INPUT!R133</f>
        <v>18.106114679990483</v>
      </c>
      <c r="H225" s="119">
        <f>+INPUT!S133</f>
        <v>8.1859999999999999</v>
      </c>
      <c r="I225" s="5">
        <f>+INPUT!T133</f>
        <v>-11.060408518035647</v>
      </c>
      <c r="J225" s="119">
        <f>+INPUT!U133</f>
        <v>4.4000000000000004</v>
      </c>
      <c r="K225" s="5">
        <f>+INPUT!V133</f>
        <v>-6.6412051771695291</v>
      </c>
      <c r="L225" s="119">
        <f>+INPUT!W133</f>
        <v>5.8</v>
      </c>
      <c r="M225" s="5">
        <f>+INPUT!X133</f>
        <v>3.1661330487370964</v>
      </c>
      <c r="N225" s="119">
        <f>+INPUT!Y133</f>
        <v>5</v>
      </c>
      <c r="O225" s="5">
        <f>+INPUT!Z133</f>
        <v>0.72522159548749077</v>
      </c>
      <c r="P225" s="119">
        <f>+INPUT!AA133</f>
        <v>11.8</v>
      </c>
      <c r="Q225" s="5">
        <f>+INPUT!AB133</f>
        <v>44.148546298558536</v>
      </c>
      <c r="R225" s="119">
        <f>+INPUT!AC133</f>
        <v>3.3</v>
      </c>
      <c r="S225" s="5">
        <f>+INPUT!AD133</f>
        <v>-25.000000000000011</v>
      </c>
      <c r="T225" s="119">
        <f>+INPUT!AE133</f>
        <v>4.5</v>
      </c>
      <c r="U225" s="5">
        <f>+INPUT!AF133</f>
        <v>-22.413793103448278</v>
      </c>
      <c r="V225" s="119">
        <f>+INPUT!AG133</f>
        <v>3.6</v>
      </c>
      <c r="W225" s="5">
        <f>+INPUT!AH133</f>
        <v>-28.000000000000004</v>
      </c>
      <c r="X225" s="119">
        <f>+INPUT!AI133</f>
        <v>7.3</v>
      </c>
      <c r="Y225" s="5">
        <f>+INPUT!AJ133</f>
        <v>-38.13559322033899</v>
      </c>
      <c r="Z225" s="119">
        <f>+INPUT!AK133</f>
        <v>5</v>
      </c>
      <c r="AA225" s="5">
        <f>+INPUT!AL133</f>
        <v>51.515151515151516</v>
      </c>
      <c r="AB225" s="119">
        <f>+INPUT!AM133</f>
        <v>5.4</v>
      </c>
      <c r="AC225" s="5">
        <f>+INPUT!AN133</f>
        <v>20.000000000000018</v>
      </c>
      <c r="AD225" s="119">
        <f>+INPUT!AO133</f>
        <v>4.3</v>
      </c>
      <c r="AE225" s="5">
        <f>+INPUT!AP133</f>
        <v>19.444444444444443</v>
      </c>
      <c r="AF225" s="119">
        <f>+INPUT!AQ133</f>
        <v>6.4</v>
      </c>
      <c r="AG225" s="5">
        <f>+INPUT!AR133</f>
        <v>-12.328767123287665</v>
      </c>
      <c r="AH225" s="119">
        <f>+INPUT!AS133</f>
        <v>3.9</v>
      </c>
      <c r="AI225" s="5">
        <f>+INPUT!AT133</f>
        <v>-21.999999999999996</v>
      </c>
      <c r="AJ225" s="119">
        <f>+INPUT!AU133</f>
        <v>4.4000000000000004</v>
      </c>
      <c r="AK225" s="5">
        <f>+INPUT!AV133</f>
        <v>-18.518518518518512</v>
      </c>
      <c r="AL225" s="119">
        <f>+INPUT!AW133</f>
        <v>5.5</v>
      </c>
      <c r="AM225" s="5">
        <f>+INPUT!AX133</f>
        <v>27.906976744186053</v>
      </c>
      <c r="AN225" s="119">
        <f>+INPUT!AY133</f>
        <v>11.3</v>
      </c>
      <c r="AO225" s="18">
        <f>+INPUT!AZ133</f>
        <v>76.5625</v>
      </c>
      <c r="AP225" s="119">
        <f>+INPUT!BA133</f>
        <v>6.1</v>
      </c>
      <c r="AQ225" s="18">
        <f>+INPUT!BB133</f>
        <v>56.410256410256409</v>
      </c>
      <c r="AR225" s="119">
        <f>+INPUT!BC133</f>
        <v>7.1</v>
      </c>
      <c r="AS225" s="18">
        <f>+INPUT!BD133</f>
        <v>61.363636363636353</v>
      </c>
      <c r="AT225" s="119">
        <f>+INPUT!BE133</f>
        <v>8.1999999999999993</v>
      </c>
      <c r="AU225" s="18">
        <f>+INPUT!BF133</f>
        <v>49.090909090909072</v>
      </c>
      <c r="AV225" s="119">
        <f>+INPUT!BG133</f>
        <v>11.4</v>
      </c>
      <c r="AW225" s="18">
        <f>+INPUT!BH133</f>
        <v>0.88495575221239076</v>
      </c>
      <c r="AX225" s="119">
        <f>+INPUT!BI133</f>
        <v>8.8000000000000007</v>
      </c>
      <c r="AY225" s="18">
        <f>+INPUT!BJ133</f>
        <v>44.262295081967238</v>
      </c>
      <c r="AZ225" s="119">
        <f>+INPUT!BK133</f>
        <v>7.9</v>
      </c>
      <c r="BA225" s="18">
        <f>+INPUT!BL133</f>
        <v>11.267605633802823</v>
      </c>
      <c r="BB225" s="119">
        <f>+INPUT!BM133</f>
        <v>5.5</v>
      </c>
      <c r="BC225" s="18">
        <f>+INPUT!BN133</f>
        <v>0</v>
      </c>
      <c r="BD225" s="119">
        <f>+INPUT!BO133</f>
        <v>10</v>
      </c>
      <c r="BE225" s="18">
        <f>+INPUT!BP133</f>
        <v>0</v>
      </c>
      <c r="BF225" s="119">
        <f>+INPUT!BQ133</f>
        <v>7</v>
      </c>
      <c r="BG225" s="18">
        <f>+INPUT!BR133</f>
        <v>-20.45454545454546</v>
      </c>
      <c r="BH225" s="119">
        <f>+INPUT!BS133</f>
        <v>4.9000000000000004</v>
      </c>
      <c r="BI225" s="18">
        <f>+INPUT!BT133</f>
        <v>0</v>
      </c>
      <c r="BJ225" s="119">
        <f>+INPUT!BU133</f>
        <v>3.3</v>
      </c>
      <c r="BK225" s="18">
        <f>+INPUT!BV133</f>
        <v>0</v>
      </c>
      <c r="BL225" s="119">
        <f>+INPUT!BW133</f>
        <v>7.2</v>
      </c>
      <c r="BM225" s="18">
        <f>+INPUT!BX133</f>
        <v>0</v>
      </c>
      <c r="BN225" s="119">
        <f>+INPUT!BY133</f>
        <v>5.4</v>
      </c>
      <c r="BO225" s="18">
        <f>+INPUT!BZ133</f>
        <v>-22.857142857142854</v>
      </c>
      <c r="BP225" s="119">
        <f>+INPUT!CA133</f>
        <v>5.2</v>
      </c>
      <c r="BQ225" s="18">
        <f>+INPUT!CB133</f>
        <v>6.1224489795918435</v>
      </c>
      <c r="BR225" s="119">
        <f>+INPUT!CC133</f>
        <v>5.7</v>
      </c>
      <c r="BS225" s="18">
        <f>+INPUT!CD133</f>
        <v>72.727272727272748</v>
      </c>
      <c r="BT225" s="119">
        <f>+INPUT!CE133</f>
        <v>9.5</v>
      </c>
      <c r="BU225" s="18">
        <f>+INPUT!CF133</f>
        <v>31.944444444444443</v>
      </c>
      <c r="BV225" s="119">
        <f>+INPUT!CG133</f>
        <v>7</v>
      </c>
      <c r="BW225" s="18">
        <f>+INPUT!CH133</f>
        <v>29.629629629629626</v>
      </c>
      <c r="BX225" s="119">
        <f>+INPUT!CI133</f>
        <v>8.4</v>
      </c>
      <c r="BY225" s="18">
        <f>+INPUT!CJ133</f>
        <v>61.53846153846154</v>
      </c>
      <c r="BZ225" s="119">
        <f>+INPUT!CK133</f>
        <v>7.4</v>
      </c>
      <c r="CA225" s="18">
        <f>+INPUT!CL133</f>
        <v>29.824561403508774</v>
      </c>
      <c r="CB225" s="119">
        <f>+INPUT!CM133</f>
        <v>0</v>
      </c>
      <c r="CC225" s="18">
        <f>+INPUT!CN133</f>
        <v>0</v>
      </c>
      <c r="CD225" s="119">
        <f>+INPUT!CO133</f>
        <v>0</v>
      </c>
      <c r="CE225" s="18">
        <f>+INPUT!CP133</f>
        <v>0</v>
      </c>
      <c r="CF225" s="119">
        <f>+INPUT!CQ133</f>
        <v>0</v>
      </c>
      <c r="CG225" s="18">
        <f>+INPUT!CR133</f>
        <v>0</v>
      </c>
      <c r="CH225" s="119">
        <f>+INPUT!CS133</f>
        <v>0</v>
      </c>
      <c r="CI225" s="18">
        <f>+INPUT!CT133</f>
        <v>0</v>
      </c>
      <c r="CJ225" s="119">
        <f>+INPUT!CU133</f>
        <v>0</v>
      </c>
      <c r="CK225" s="18">
        <f>+INPUT!CV133</f>
        <v>0</v>
      </c>
      <c r="CL225" s="119">
        <f>+INPUT!CW133</f>
        <v>0</v>
      </c>
      <c r="CM225" s="18">
        <f>+INPUT!CX133</f>
        <v>0</v>
      </c>
      <c r="CN225" s="119">
        <f>+INPUT!CY133</f>
        <v>0</v>
      </c>
      <c r="CO225" s="18">
        <f>+INPUT!CZ133</f>
        <v>0</v>
      </c>
      <c r="CP225" s="119">
        <f>+INPUT!DA133</f>
        <v>0</v>
      </c>
      <c r="CQ225" s="18">
        <f>+INPUT!DB133</f>
        <v>0</v>
      </c>
      <c r="CR225" s="119">
        <f>+INPUT!DC133</f>
        <v>0</v>
      </c>
      <c r="CS225" s="18">
        <f>+INPUT!DD133</f>
        <v>0</v>
      </c>
      <c r="CT225" s="119">
        <f>+INPUT!DE133</f>
        <v>0</v>
      </c>
      <c r="CU225" s="18">
        <f>+INPUT!DF133</f>
        <v>0</v>
      </c>
      <c r="CV225" s="119">
        <f>+INPUT!DG133</f>
        <v>0</v>
      </c>
      <c r="CW225" s="18">
        <f>+INPUT!DH133</f>
        <v>0</v>
      </c>
      <c r="CX225" s="119">
        <f>+INPUT!DI133</f>
        <v>0</v>
      </c>
      <c r="CY225" s="18">
        <f>+INPUT!DJ133</f>
        <v>0</v>
      </c>
      <c r="CZ225" s="119">
        <f>+INPUT!DK133</f>
        <v>0</v>
      </c>
      <c r="DA225" s="18">
        <f>+INPUT!DL133</f>
        <v>0</v>
      </c>
      <c r="DB225" s="119">
        <f>+INPUT!DM133</f>
        <v>0</v>
      </c>
      <c r="DC225" s="18">
        <f>+INPUT!DN133</f>
        <v>0</v>
      </c>
      <c r="DD225" s="119">
        <f>+INPUT!DO133</f>
        <v>0</v>
      </c>
      <c r="DE225" s="18">
        <f>+INPUT!DP133</f>
        <v>0</v>
      </c>
      <c r="DF225" s="119">
        <f>+INPUT!DQ133</f>
        <v>0</v>
      </c>
      <c r="DG225" s="18">
        <f>+INPUT!DR133</f>
        <v>0</v>
      </c>
      <c r="DH225" s="119">
        <f>+INPUT!DS133</f>
        <v>0</v>
      </c>
      <c r="DI225" s="18">
        <f>+INPUT!DT133</f>
        <v>0</v>
      </c>
      <c r="DJ225" s="119">
        <f>+INPUT!DU133</f>
        <v>0</v>
      </c>
      <c r="DK225" s="18">
        <f>+INPUT!DV133</f>
        <v>0</v>
      </c>
      <c r="DL225" s="119">
        <f>+INPUT!DW133</f>
        <v>0</v>
      </c>
      <c r="DM225" s="18">
        <f>+INPUT!DX133</f>
        <v>0</v>
      </c>
      <c r="DN225" s="119">
        <f>+INPUT!DY133</f>
        <v>0</v>
      </c>
      <c r="DO225" s="18">
        <f>+INPUT!DZ133</f>
        <v>0</v>
      </c>
      <c r="DP225" s="119">
        <f>+INPUT!EA133</f>
        <v>0</v>
      </c>
      <c r="DQ225" s="18">
        <f>+INPUT!EB133</f>
        <v>0</v>
      </c>
      <c r="DR225" s="119">
        <f>+INPUT!EC133</f>
        <v>0</v>
      </c>
      <c r="DS225" s="18">
        <f>+INPUT!ED133</f>
        <v>0</v>
      </c>
      <c r="DT225" s="119">
        <f>+INPUT!EE133</f>
        <v>0</v>
      </c>
      <c r="DU225" s="18">
        <f>+INPUT!EF133</f>
        <v>0</v>
      </c>
      <c r="DV225" s="119">
        <f>+INPUT!EG133</f>
        <v>0</v>
      </c>
      <c r="DW225" s="18">
        <f>+INPUT!EH133</f>
        <v>0</v>
      </c>
      <c r="DX225" s="119">
        <f>+INPUT!EI133</f>
        <v>0</v>
      </c>
      <c r="DY225" s="18">
        <f>+INPUT!EJ133</f>
        <v>0</v>
      </c>
      <c r="DZ225" s="119">
        <f>+INPUT!EK133</f>
        <v>0</v>
      </c>
      <c r="EA225" s="18">
        <f>+INPUT!EL133</f>
        <v>0</v>
      </c>
      <c r="EB225" s="119">
        <f>+INPUT!EM133</f>
        <v>0</v>
      </c>
      <c r="EC225" s="18">
        <f>+INPUT!EN133</f>
        <v>0</v>
      </c>
      <c r="ED225" s="119">
        <f>+INPUT!EO133</f>
        <v>0</v>
      </c>
      <c r="EE225" s="18">
        <f>+INPUT!EP133</f>
        <v>0</v>
      </c>
      <c r="EF225" s="119">
        <f>+INPUT!EQ133</f>
        <v>0</v>
      </c>
      <c r="EG225" s="18">
        <f>+INPUT!ER133</f>
        <v>0</v>
      </c>
      <c r="EH225" s="18"/>
      <c r="EI225" s="119">
        <f>+INPUT!FB133</f>
        <v>0</v>
      </c>
      <c r="EJ225" s="5">
        <f>+INPUT!FC133</f>
        <v>0</v>
      </c>
      <c r="EK225" s="119">
        <f>+INPUT!FD133</f>
        <v>23.484999999999999</v>
      </c>
      <c r="EL225" s="5" t="str">
        <f>+INPUT!FE133</f>
        <v>NA</v>
      </c>
      <c r="EM225" s="119">
        <f>+INPUT!FF133</f>
        <v>27</v>
      </c>
      <c r="EN225" s="5">
        <f>+INPUT!FG133</f>
        <v>14.967000212901848</v>
      </c>
      <c r="EO225" s="119">
        <f>+INPUT!FH133</f>
        <v>18.7</v>
      </c>
      <c r="EP225" s="5">
        <f>+INPUT!FI133</f>
        <v>-30.740740740740748</v>
      </c>
      <c r="EQ225" s="119">
        <f>+INPUT!FJ133</f>
        <v>0</v>
      </c>
      <c r="ER225" s="18" t="str">
        <f>+INPUT!FK133</f>
        <v>NM</v>
      </c>
      <c r="ES225" s="119">
        <f>+INPUT!FL133</f>
        <v>0</v>
      </c>
      <c r="ET225" s="18" t="str">
        <f>+INPUT!FM133</f>
        <v>NA</v>
      </c>
      <c r="EU225" s="119">
        <f>+INPUT!FN133</f>
        <v>0</v>
      </c>
      <c r="EV225" s="18" t="str">
        <f>+INPUT!FO133</f>
        <v>NA</v>
      </c>
      <c r="EW225" s="119">
        <f>+INPUT!FP133</f>
        <v>32.200000000000003</v>
      </c>
      <c r="EX225" s="18" t="str">
        <f>+INPUT!FQ133</f>
        <v>NA</v>
      </c>
      <c r="EY225" s="96">
        <f>+INPUT!FR133</f>
        <v>22.4</v>
      </c>
      <c r="EZ225" s="18">
        <f>+INPUT!FS133</f>
        <v>-30.434782608695667</v>
      </c>
      <c r="FA225" s="96">
        <f>+INPUT!FT133</f>
        <v>25.8</v>
      </c>
      <c r="FB225" s="18">
        <f>+INPUT!FU133</f>
        <v>15.178571428571441</v>
      </c>
      <c r="FC225" s="96">
        <f>+INPUT!FV133</f>
        <v>22.8</v>
      </c>
      <c r="FD225" s="18">
        <f>+INPUT!FW133</f>
        <v>-11.627906976744185</v>
      </c>
      <c r="FE225" s="96">
        <f>+INPUT!FX133</f>
        <v>0</v>
      </c>
      <c r="FF225" s="18" t="str">
        <f>+INPUT!FY133</f>
        <v>NM</v>
      </c>
      <c r="FG225" s="96">
        <f>+INPUT!FZ133</f>
        <v>0</v>
      </c>
      <c r="FH225" s="18" t="str">
        <f>+INPUT!GA133</f>
        <v>NA</v>
      </c>
      <c r="FI225" s="96">
        <f>+INPUT!GB133</f>
        <v>0</v>
      </c>
      <c r="FJ225" s="18" t="str">
        <f>+INPUT!GC133</f>
        <v>NA</v>
      </c>
      <c r="FK225" s="96">
        <f>+INPUT!GD133</f>
        <v>0</v>
      </c>
      <c r="FL225" s="18" t="str">
        <f>+INPUT!GE133</f>
        <v>NA</v>
      </c>
      <c r="FM225" s="96">
        <f>+INPUT!GF133</f>
        <v>0</v>
      </c>
      <c r="FN225" s="18" t="str">
        <f>+INPUT!GG133</f>
        <v>NA</v>
      </c>
      <c r="FO225" s="96">
        <f>+INPUT!GH133</f>
        <v>0</v>
      </c>
      <c r="FP225" s="18" t="str">
        <f>+INPUT!GI133</f>
        <v>NA</v>
      </c>
      <c r="FQ225" s="96">
        <f>+INPUT!GJ133</f>
        <v>0</v>
      </c>
      <c r="FR225" s="18" t="str">
        <f>+INPUT!GK133</f>
        <v>NA</v>
      </c>
      <c r="FS225" s="96">
        <f>+INPUT!GL133</f>
        <v>0</v>
      </c>
      <c r="FT225" s="18" t="str">
        <f>+INPUT!GM133</f>
        <v>NA</v>
      </c>
      <c r="FU225" s="96">
        <f>+INPUT!GN133</f>
        <v>0</v>
      </c>
      <c r="FV225" s="18" t="str">
        <f>+INPUT!GO133</f>
        <v>NA</v>
      </c>
      <c r="FW225" s="96">
        <f>+INPUT!GP133</f>
        <v>0</v>
      </c>
      <c r="FX225" s="18" t="str">
        <f>+INPUT!GQ133</f>
        <v>NA</v>
      </c>
      <c r="FY225" s="96">
        <f>+INPUT!GR133</f>
        <v>0</v>
      </c>
      <c r="FZ225" s="18" t="str">
        <f>+INPUT!GS133</f>
        <v>NA</v>
      </c>
      <c r="GA225" s="5">
        <f>+INPUT!GT133</f>
        <v>0</v>
      </c>
    </row>
    <row r="226" spans="1:183" ht="12.75" hidden="1" customHeight="1" outlineLevel="1" x14ac:dyDescent="0.2">
      <c r="A226" s="612" t="str">
        <f>+INPUT!B134</f>
        <v xml:space="preserve">  Individual Long Term Care</v>
      </c>
      <c r="B226" s="119">
        <f>+INPUT!M134</f>
        <v>12.026</v>
      </c>
      <c r="C226" s="613">
        <f>+INPUT!N134</f>
        <v>1.9671019162285752</v>
      </c>
      <c r="D226" s="119">
        <f>+INPUT!O134</f>
        <v>15.711</v>
      </c>
      <c r="E226" s="5">
        <f>+INPUT!P134</f>
        <v>14.70394977002265</v>
      </c>
      <c r="F226" s="119">
        <f>+INPUT!Q134</f>
        <v>16.611999999999998</v>
      </c>
      <c r="G226" s="5">
        <f>+INPUT!R134</f>
        <v>26.500152299725844</v>
      </c>
      <c r="H226" s="119">
        <f>+INPUT!S134</f>
        <v>19.321000000000002</v>
      </c>
      <c r="I226" s="5">
        <f>+INPUT!T134</f>
        <v>27.497690378777897</v>
      </c>
      <c r="J226" s="119">
        <f>+INPUT!U134</f>
        <v>14.3</v>
      </c>
      <c r="K226" s="5">
        <f>+INPUT!V134</f>
        <v>18.909030434059538</v>
      </c>
      <c r="L226" s="119">
        <f>+INPUT!W134</f>
        <v>12</v>
      </c>
      <c r="M226" s="5">
        <f>+INPUT!X134</f>
        <v>-23.620393354974222</v>
      </c>
      <c r="N226" s="119">
        <f>+INPUT!Y134</f>
        <v>9.6999999999999993</v>
      </c>
      <c r="O226" s="5">
        <f>+INPUT!Z134</f>
        <v>-41.608475800626053</v>
      </c>
      <c r="P226" s="119">
        <f>+INPUT!AA134</f>
        <v>7.9</v>
      </c>
      <c r="Q226" s="5" t="str">
        <f>+INPUT!AB134</f>
        <v>NM</v>
      </c>
      <c r="R226" s="119">
        <f>+INPUT!AC134</f>
        <v>5.4</v>
      </c>
      <c r="S226" s="5" t="str">
        <f>+INPUT!AD134</f>
        <v>NM</v>
      </c>
      <c r="T226" s="119">
        <f>+INPUT!AE134</f>
        <v>6</v>
      </c>
      <c r="U226" s="5">
        <f>+INPUT!AF134</f>
        <v>-50</v>
      </c>
      <c r="V226" s="119">
        <f>+INPUT!AG134</f>
        <v>4.2</v>
      </c>
      <c r="W226" s="5" t="str">
        <f>+INPUT!AH134</f>
        <v>NM</v>
      </c>
      <c r="X226" s="119">
        <f>+INPUT!AI134</f>
        <v>3.9</v>
      </c>
      <c r="Y226" s="5" t="str">
        <f>+INPUT!AJ134</f>
        <v>NM</v>
      </c>
      <c r="Z226" s="119">
        <f>+INPUT!AK134</f>
        <v>3.1</v>
      </c>
      <c r="AA226" s="5">
        <f>+INPUT!AL134</f>
        <v>-42.592592592592595</v>
      </c>
      <c r="AB226" s="119">
        <f>+INPUT!AM134</f>
        <v>3.3</v>
      </c>
      <c r="AC226" s="5">
        <f>+INPUT!AN134</f>
        <v>-45.000000000000007</v>
      </c>
      <c r="AD226" s="119">
        <f>+INPUT!AO134</f>
        <v>3.5</v>
      </c>
      <c r="AE226" s="5">
        <f>+INPUT!AP134</f>
        <v>-16.666666666666675</v>
      </c>
      <c r="AF226" s="119">
        <f>+INPUT!AQ134</f>
        <v>3.1</v>
      </c>
      <c r="AG226" s="5">
        <f>+INPUT!AR134</f>
        <v>-20.512820512820507</v>
      </c>
      <c r="AH226" s="119">
        <f>+INPUT!AS134</f>
        <v>2.7</v>
      </c>
      <c r="AI226" s="5">
        <f>+INPUT!AT134</f>
        <v>-12.903225806451612</v>
      </c>
      <c r="AJ226" s="119">
        <f>+INPUT!AU134</f>
        <v>2.8</v>
      </c>
      <c r="AK226" s="5">
        <f>+INPUT!AV134</f>
        <v>-15.151515151515149</v>
      </c>
      <c r="AL226" s="119">
        <f>+INPUT!AW134</f>
        <v>2.9</v>
      </c>
      <c r="AM226" s="5">
        <f>+INPUT!AX134</f>
        <v>-17.142857142857149</v>
      </c>
      <c r="AN226" s="119">
        <f>+INPUT!AY134</f>
        <v>2.6</v>
      </c>
      <c r="AO226" s="18">
        <f>+INPUT!AZ134</f>
        <v>-16.129032258064512</v>
      </c>
      <c r="AP226" s="119">
        <f>+INPUT!BA134</f>
        <v>2.1</v>
      </c>
      <c r="AQ226" s="18">
        <f>+INPUT!BB134</f>
        <v>-22.222222222222221</v>
      </c>
      <c r="AR226" s="119">
        <f>+INPUT!BC134</f>
        <v>2.2999999999999998</v>
      </c>
      <c r="AS226" s="18">
        <f>+INPUT!BD134</f>
        <v>-17.857142857142861</v>
      </c>
      <c r="AT226" s="119">
        <f>+INPUT!BE134</f>
        <v>2.2000000000000002</v>
      </c>
      <c r="AU226" s="18">
        <f>+INPUT!BF134</f>
        <v>-24.137931034482751</v>
      </c>
      <c r="AV226" s="119">
        <f>+INPUT!BG134</f>
        <v>3.3</v>
      </c>
      <c r="AW226" s="18">
        <f>+INPUT!BH134</f>
        <v>26.923076923076916</v>
      </c>
      <c r="AX226" s="119">
        <f>+INPUT!BI134</f>
        <v>2.7</v>
      </c>
      <c r="AY226" s="18">
        <f>+INPUT!BJ134</f>
        <v>28.57142857142858</v>
      </c>
      <c r="AZ226" s="119">
        <f>+INPUT!BK134</f>
        <v>2.2000000000000002</v>
      </c>
      <c r="BA226" s="18">
        <f>+INPUT!BL134</f>
        <v>-4.3478260869565073</v>
      </c>
      <c r="BB226" s="119">
        <f>+INPUT!BM134</f>
        <v>1.6</v>
      </c>
      <c r="BC226" s="18">
        <f>+INPUT!BN134</f>
        <v>0</v>
      </c>
      <c r="BD226" s="119">
        <f>+INPUT!BO134</f>
        <v>1.9</v>
      </c>
      <c r="BE226" s="18">
        <f>+INPUT!BP134</f>
        <v>0</v>
      </c>
      <c r="BF226" s="119">
        <f>+INPUT!BQ134</f>
        <v>1.5</v>
      </c>
      <c r="BG226" s="18">
        <f>+INPUT!BR134</f>
        <v>-44.44444444444445</v>
      </c>
      <c r="BH226" s="119">
        <f>+INPUT!BS134</f>
        <v>0.8</v>
      </c>
      <c r="BI226" s="18">
        <f>+INPUT!BT134</f>
        <v>0</v>
      </c>
      <c r="BJ226" s="119">
        <f>+INPUT!BU134</f>
        <v>0.4</v>
      </c>
      <c r="BK226" s="18">
        <f>+INPUT!BV134</f>
        <v>0</v>
      </c>
      <c r="BL226" s="119">
        <f>+INPUT!BW134</f>
        <v>1</v>
      </c>
      <c r="BM226" s="18">
        <f>+INPUT!BX134</f>
        <v>0</v>
      </c>
      <c r="BN226" s="119">
        <f>+INPUT!BY134</f>
        <v>0</v>
      </c>
      <c r="BO226" s="18" t="str">
        <f>+INPUT!BZ134</f>
        <v>NM</v>
      </c>
      <c r="BP226" s="119">
        <f>+INPUT!CA134</f>
        <v>0.1</v>
      </c>
      <c r="BQ226" s="18" t="str">
        <f>+INPUT!CB134</f>
        <v>NM</v>
      </c>
      <c r="BR226" s="119">
        <f>+INPUT!CC134</f>
        <v>0</v>
      </c>
      <c r="BS226" s="18" t="str">
        <f>+INPUT!CD134</f>
        <v>NM</v>
      </c>
      <c r="BT226" s="119">
        <f>+INPUT!CE134</f>
        <v>0.1</v>
      </c>
      <c r="BU226" s="18" t="str">
        <f>+INPUT!CF134</f>
        <v>NM</v>
      </c>
      <c r="BV226" s="119">
        <f>+INPUT!CG134</f>
        <v>0</v>
      </c>
      <c r="BW226" s="18" t="str">
        <f>+INPUT!CH134</f>
        <v>NA</v>
      </c>
      <c r="BX226" s="119">
        <f>+INPUT!CI134</f>
        <v>0</v>
      </c>
      <c r="BY226" s="18" t="str">
        <f>+INPUT!CJ134</f>
        <v>NM</v>
      </c>
      <c r="BZ226" s="119">
        <f>+INPUT!CK134</f>
        <v>0</v>
      </c>
      <c r="CA226" s="18" t="str">
        <f>+INPUT!CL134</f>
        <v>NA</v>
      </c>
      <c r="CB226" s="119">
        <f>+INPUT!CM134</f>
        <v>0</v>
      </c>
      <c r="CC226" s="18">
        <f>+INPUT!CN134</f>
        <v>0</v>
      </c>
      <c r="CD226" s="119">
        <f>+INPUT!CO134</f>
        <v>0</v>
      </c>
      <c r="CE226" s="18">
        <f>+INPUT!CP134</f>
        <v>0</v>
      </c>
      <c r="CF226" s="119">
        <f>+INPUT!CQ134</f>
        <v>0</v>
      </c>
      <c r="CG226" s="18">
        <f>+INPUT!CR134</f>
        <v>0</v>
      </c>
      <c r="CH226" s="119">
        <f>+INPUT!CS134</f>
        <v>0</v>
      </c>
      <c r="CI226" s="18">
        <f>+INPUT!CT134</f>
        <v>0</v>
      </c>
      <c r="CJ226" s="119">
        <f>+INPUT!CU134</f>
        <v>0</v>
      </c>
      <c r="CK226" s="18">
        <f>+INPUT!CV134</f>
        <v>0</v>
      </c>
      <c r="CL226" s="119">
        <f>+INPUT!CW134</f>
        <v>0</v>
      </c>
      <c r="CM226" s="18">
        <f>+INPUT!CX134</f>
        <v>0</v>
      </c>
      <c r="CN226" s="119">
        <f>+INPUT!CY134</f>
        <v>0</v>
      </c>
      <c r="CO226" s="18">
        <f>+INPUT!CZ134</f>
        <v>0</v>
      </c>
      <c r="CP226" s="119">
        <f>+INPUT!DA134</f>
        <v>0</v>
      </c>
      <c r="CQ226" s="18">
        <f>+INPUT!DB134</f>
        <v>0</v>
      </c>
      <c r="CR226" s="119">
        <f>+INPUT!DC134</f>
        <v>0</v>
      </c>
      <c r="CS226" s="18">
        <f>+INPUT!DD134</f>
        <v>0</v>
      </c>
      <c r="CT226" s="119">
        <f>+INPUT!DE134</f>
        <v>0</v>
      </c>
      <c r="CU226" s="18">
        <f>+INPUT!DF134</f>
        <v>0</v>
      </c>
      <c r="CV226" s="119">
        <f>+INPUT!DG134</f>
        <v>0</v>
      </c>
      <c r="CW226" s="18">
        <f>+INPUT!DH134</f>
        <v>0</v>
      </c>
      <c r="CX226" s="119">
        <f>+INPUT!DI134</f>
        <v>0</v>
      </c>
      <c r="CY226" s="18">
        <f>+INPUT!DJ134</f>
        <v>0</v>
      </c>
      <c r="CZ226" s="119">
        <f>+INPUT!DK134</f>
        <v>0</v>
      </c>
      <c r="DA226" s="18">
        <f>+INPUT!DL134</f>
        <v>0</v>
      </c>
      <c r="DB226" s="119">
        <f>+INPUT!DM134</f>
        <v>0</v>
      </c>
      <c r="DC226" s="18">
        <f>+INPUT!DN134</f>
        <v>0</v>
      </c>
      <c r="DD226" s="119">
        <f>+INPUT!DO134</f>
        <v>0</v>
      </c>
      <c r="DE226" s="18">
        <f>+INPUT!DP134</f>
        <v>0</v>
      </c>
      <c r="DF226" s="119">
        <f>+INPUT!DQ134</f>
        <v>0</v>
      </c>
      <c r="DG226" s="18">
        <f>+INPUT!DR134</f>
        <v>0</v>
      </c>
      <c r="DH226" s="119">
        <f>+INPUT!DS134</f>
        <v>0</v>
      </c>
      <c r="DI226" s="18">
        <f>+INPUT!DT134</f>
        <v>0</v>
      </c>
      <c r="DJ226" s="119">
        <f>+INPUT!DU134</f>
        <v>0</v>
      </c>
      <c r="DK226" s="18">
        <f>+INPUT!DV134</f>
        <v>0</v>
      </c>
      <c r="DL226" s="119">
        <f>+INPUT!DW134</f>
        <v>0</v>
      </c>
      <c r="DM226" s="18">
        <f>+INPUT!DX134</f>
        <v>0</v>
      </c>
      <c r="DN226" s="119">
        <f>+INPUT!DY134</f>
        <v>0</v>
      </c>
      <c r="DO226" s="18">
        <f>+INPUT!DZ134</f>
        <v>0</v>
      </c>
      <c r="DP226" s="119">
        <f>+INPUT!EA134</f>
        <v>0</v>
      </c>
      <c r="DQ226" s="18">
        <f>+INPUT!EB134</f>
        <v>0</v>
      </c>
      <c r="DR226" s="119">
        <f>+INPUT!EC134</f>
        <v>0</v>
      </c>
      <c r="DS226" s="18">
        <f>+INPUT!ED134</f>
        <v>0</v>
      </c>
      <c r="DT226" s="119">
        <f>+INPUT!EE134</f>
        <v>0</v>
      </c>
      <c r="DU226" s="18">
        <f>+INPUT!EF134</f>
        <v>0</v>
      </c>
      <c r="DV226" s="119">
        <f>+INPUT!EG134</f>
        <v>0</v>
      </c>
      <c r="DW226" s="18">
        <f>+INPUT!EH134</f>
        <v>0</v>
      </c>
      <c r="DX226" s="119">
        <f>+INPUT!EI134</f>
        <v>0</v>
      </c>
      <c r="DY226" s="18">
        <f>+INPUT!EJ134</f>
        <v>0</v>
      </c>
      <c r="DZ226" s="119">
        <f>+INPUT!EK134</f>
        <v>0</v>
      </c>
      <c r="EA226" s="18">
        <f>+INPUT!EL134</f>
        <v>0</v>
      </c>
      <c r="EB226" s="119">
        <f>+INPUT!EM134</f>
        <v>0</v>
      </c>
      <c r="EC226" s="18">
        <f>+INPUT!EN134</f>
        <v>0</v>
      </c>
      <c r="ED226" s="119">
        <f>+INPUT!EO134</f>
        <v>0</v>
      </c>
      <c r="EE226" s="18">
        <f>+INPUT!EP134</f>
        <v>0</v>
      </c>
      <c r="EF226" s="119">
        <f>+INPUT!EQ134</f>
        <v>0</v>
      </c>
      <c r="EG226" s="18">
        <f>+INPUT!ER134</f>
        <v>0</v>
      </c>
      <c r="EH226" s="18"/>
      <c r="EI226" s="119">
        <f>+INPUT!FB134</f>
        <v>0</v>
      </c>
      <c r="EJ226" s="5">
        <f>+INPUT!FC134</f>
        <v>0</v>
      </c>
      <c r="EK226" s="119">
        <f>+INPUT!FD134</f>
        <v>63.67</v>
      </c>
      <c r="EL226" s="5" t="str">
        <f>+INPUT!FE134</f>
        <v>NA</v>
      </c>
      <c r="EM226" s="119">
        <f>+INPUT!FF134</f>
        <v>43.900000000000006</v>
      </c>
      <c r="EN226" s="5">
        <f>+INPUT!FG134</f>
        <v>-31.05073032825506</v>
      </c>
      <c r="EO226" s="119">
        <f>+INPUT!FH134</f>
        <v>19.5</v>
      </c>
      <c r="EP226" s="5" t="str">
        <f>+INPUT!FI134</f>
        <v>NM</v>
      </c>
      <c r="EQ226" s="119">
        <f>+INPUT!FJ134</f>
        <v>0</v>
      </c>
      <c r="ER226" s="18" t="str">
        <f>+INPUT!FK134</f>
        <v>NM</v>
      </c>
      <c r="ES226" s="119">
        <f>+INPUT!FL134</f>
        <v>0</v>
      </c>
      <c r="ET226" s="18" t="str">
        <f>+INPUT!FM134</f>
        <v>NA</v>
      </c>
      <c r="EU226" s="119">
        <f>+INPUT!FN134</f>
        <v>0</v>
      </c>
      <c r="EV226" s="18" t="str">
        <f>+INPUT!FO134</f>
        <v>NA</v>
      </c>
      <c r="EW226" s="119">
        <f>+INPUT!FP134</f>
        <v>8.4</v>
      </c>
      <c r="EX226" s="18" t="str">
        <f>+INPUT!FQ134</f>
        <v>NA</v>
      </c>
      <c r="EY226" s="96">
        <f>+INPUT!FR134</f>
        <v>3.6999999999999997</v>
      </c>
      <c r="EZ226" s="18" t="str">
        <f>+INPUT!FS134</f>
        <v>NM</v>
      </c>
      <c r="FA226" s="96">
        <f>+INPUT!FT134</f>
        <v>0.2</v>
      </c>
      <c r="FB226" s="18" t="str">
        <f>+INPUT!FU134</f>
        <v>NM</v>
      </c>
      <c r="FC226" s="96">
        <f>+INPUT!FV134</f>
        <v>0</v>
      </c>
      <c r="FD226" s="18" t="str">
        <f>+INPUT!FW134</f>
        <v>NM</v>
      </c>
      <c r="FE226" s="96">
        <f>+INPUT!FX134</f>
        <v>0</v>
      </c>
      <c r="FF226" s="18" t="str">
        <f>+INPUT!FY134</f>
        <v>NA</v>
      </c>
      <c r="FG226" s="96">
        <f>+INPUT!FZ134</f>
        <v>0</v>
      </c>
      <c r="FH226" s="18" t="str">
        <f>+INPUT!GA134</f>
        <v>NA</v>
      </c>
      <c r="FI226" s="96">
        <f>+INPUT!GB134</f>
        <v>0</v>
      </c>
      <c r="FJ226" s="18" t="str">
        <f>+INPUT!GC134</f>
        <v>NA</v>
      </c>
      <c r="FK226" s="96">
        <f>+INPUT!GD134</f>
        <v>0</v>
      </c>
      <c r="FL226" s="18" t="str">
        <f>+INPUT!GE134</f>
        <v>NA</v>
      </c>
      <c r="FM226" s="96">
        <f>+INPUT!GF134</f>
        <v>0</v>
      </c>
      <c r="FN226" s="18" t="str">
        <f>+INPUT!GG134</f>
        <v>NA</v>
      </c>
      <c r="FO226" s="96">
        <f>+INPUT!GH134</f>
        <v>0</v>
      </c>
      <c r="FP226" s="18" t="str">
        <f>+INPUT!GI134</f>
        <v>NA</v>
      </c>
      <c r="FQ226" s="96">
        <f>+INPUT!GJ134</f>
        <v>0</v>
      </c>
      <c r="FR226" s="18" t="str">
        <f>+INPUT!GK134</f>
        <v>NA</v>
      </c>
      <c r="FS226" s="96">
        <f>+INPUT!GL134</f>
        <v>0</v>
      </c>
      <c r="FT226" s="18" t="str">
        <f>+INPUT!GM134</f>
        <v>NA</v>
      </c>
      <c r="FU226" s="96">
        <f>+INPUT!GN134</f>
        <v>0</v>
      </c>
      <c r="FV226" s="18" t="str">
        <f>+INPUT!GO134</f>
        <v>NA</v>
      </c>
      <c r="FW226" s="96">
        <f>+INPUT!GP134</f>
        <v>0</v>
      </c>
      <c r="FX226" s="18" t="str">
        <f>+INPUT!GQ134</f>
        <v>NA</v>
      </c>
      <c r="FY226" s="96">
        <f>+INPUT!GR134</f>
        <v>0</v>
      </c>
      <c r="FZ226" s="18" t="str">
        <f>+INPUT!GS134</f>
        <v>NA</v>
      </c>
      <c r="GA226" s="5">
        <f>+INPUT!GT134</f>
        <v>0</v>
      </c>
    </row>
    <row r="227" spans="1:183" ht="12.75" hidden="1" customHeight="1" outlineLevel="1" x14ac:dyDescent="0.2">
      <c r="A227" s="612" t="str">
        <f>+INPUT!B136</f>
        <v xml:space="preserve">  Voluntary Workspace Benefits</v>
      </c>
      <c r="B227" s="119">
        <f>+INPUT!M136</f>
        <v>0</v>
      </c>
      <c r="C227" s="613">
        <f>+INPUT!N136</f>
        <v>0</v>
      </c>
      <c r="D227" s="119">
        <f>+INPUT!O136</f>
        <v>0</v>
      </c>
      <c r="E227" s="5">
        <f>+INPUT!P136</f>
        <v>0</v>
      </c>
      <c r="F227" s="119">
        <f>+INPUT!Q136</f>
        <v>0</v>
      </c>
      <c r="G227" s="5">
        <f>+INPUT!R136</f>
        <v>0</v>
      </c>
      <c r="H227" s="119">
        <f>+INPUT!S136</f>
        <v>0</v>
      </c>
      <c r="I227" s="5">
        <f>+INPUT!T136</f>
        <v>0</v>
      </c>
      <c r="J227" s="119">
        <f>+INPUT!U136</f>
        <v>0</v>
      </c>
      <c r="K227" s="5">
        <f>+INPUT!V136</f>
        <v>0</v>
      </c>
      <c r="L227" s="119">
        <f>+INPUT!W136</f>
        <v>0</v>
      </c>
      <c r="M227" s="5">
        <f>+INPUT!X136</f>
        <v>0</v>
      </c>
      <c r="N227" s="119">
        <f>+INPUT!Y136</f>
        <v>0</v>
      </c>
      <c r="O227" s="5">
        <f>+INPUT!Z136</f>
        <v>0</v>
      </c>
      <c r="P227" s="119">
        <f>+INPUT!AA136</f>
        <v>0</v>
      </c>
      <c r="Q227" s="5" t="str">
        <f>+INPUT!AB136</f>
        <v>NA</v>
      </c>
      <c r="R227" s="119">
        <f>+INPUT!AC136</f>
        <v>45.899999999999991</v>
      </c>
      <c r="S227" s="5" t="str">
        <f>+INPUT!AD136</f>
        <v>NA</v>
      </c>
      <c r="T227" s="119">
        <f>+INPUT!AE136</f>
        <v>18.7</v>
      </c>
      <c r="U227" s="5" t="str">
        <f>+INPUT!AF136</f>
        <v>NA</v>
      </c>
      <c r="V227" s="119">
        <f>+INPUT!AG136</f>
        <v>23.1</v>
      </c>
      <c r="W227" s="5" t="str">
        <f>+INPUT!AH136</f>
        <v>NA</v>
      </c>
      <c r="X227" s="119">
        <f>+INPUT!AI136</f>
        <v>26.400000000000006</v>
      </c>
      <c r="Y227" s="5" t="str">
        <f>+INPUT!AJ136</f>
        <v>NA</v>
      </c>
      <c r="Z227" s="119">
        <f>+INPUT!AK136</f>
        <v>50.900000000000006</v>
      </c>
      <c r="AA227" s="5">
        <f>+INPUT!AL136</f>
        <v>10.89324618736387</v>
      </c>
      <c r="AB227" s="119">
        <f>+INPUT!AM136</f>
        <v>24.3</v>
      </c>
      <c r="AC227" s="5">
        <f>+INPUT!AN136</f>
        <v>29.946524064171133</v>
      </c>
      <c r="AD227" s="119">
        <f>+INPUT!AO136</f>
        <v>27.5</v>
      </c>
      <c r="AE227" s="5">
        <f>+INPUT!AP136</f>
        <v>19.047619047619047</v>
      </c>
      <c r="AF227" s="119">
        <f>+INPUT!AQ136</f>
        <v>27.5</v>
      </c>
      <c r="AG227" s="5">
        <f>+INPUT!AR136</f>
        <v>4.1666666666666519</v>
      </c>
      <c r="AH227" s="119">
        <f>+INPUT!AS136</f>
        <v>54.7</v>
      </c>
      <c r="AI227" s="5">
        <f>+INPUT!AT136</f>
        <v>7.4656188605108031</v>
      </c>
      <c r="AJ227" s="119">
        <f>+INPUT!AU136</f>
        <v>25.8</v>
      </c>
      <c r="AK227" s="5">
        <f>+INPUT!AV136</f>
        <v>6.1728395061728447</v>
      </c>
      <c r="AL227" s="119">
        <f>+INPUT!AW136</f>
        <v>28.2</v>
      </c>
      <c r="AM227" s="5">
        <f>+INPUT!AX136</f>
        <v>2.5454545454545396</v>
      </c>
      <c r="AN227" s="119">
        <f>+INPUT!AY136</f>
        <v>25.5</v>
      </c>
      <c r="AO227" s="18">
        <f>+INPUT!AZ136</f>
        <v>-7.2727272727272751</v>
      </c>
      <c r="AP227" s="119">
        <f>+INPUT!BA136</f>
        <v>49.4</v>
      </c>
      <c r="AQ227" s="18">
        <f>+INPUT!BB136</f>
        <v>-9.6892138939670964</v>
      </c>
      <c r="AR227" s="119">
        <f>+INPUT!BC136</f>
        <v>28.6</v>
      </c>
      <c r="AS227" s="18">
        <f>+INPUT!BD136</f>
        <v>10.852713178294572</v>
      </c>
      <c r="AT227" s="119">
        <f>+INPUT!BE136</f>
        <v>31.3</v>
      </c>
      <c r="AU227" s="18">
        <f>+INPUT!BF136</f>
        <v>10.99290780141844</v>
      </c>
      <c r="AV227" s="119">
        <f>+INPUT!BG136</f>
        <v>29.1</v>
      </c>
      <c r="AW227" s="18">
        <f>+INPUT!BH136</f>
        <v>14.117647058823547</v>
      </c>
      <c r="AX227" s="119">
        <f>+INPUT!BI136</f>
        <v>66.2</v>
      </c>
      <c r="AY227" s="18">
        <f>+INPUT!BJ136</f>
        <v>34.008097165991913</v>
      </c>
      <c r="AZ227" s="119">
        <f>+INPUT!BK136</f>
        <v>27.7</v>
      </c>
      <c r="BA227" s="18">
        <f>+INPUT!BL136</f>
        <v>-3.1468531468531569</v>
      </c>
      <c r="BB227" s="119">
        <f>+INPUT!BM136</f>
        <v>35.4</v>
      </c>
      <c r="BC227" s="18">
        <f>+INPUT!BN136</f>
        <v>0</v>
      </c>
      <c r="BD227" s="119">
        <f>+INPUT!BO136</f>
        <v>29.3</v>
      </c>
      <c r="BE227" s="18">
        <f>+INPUT!BP136</f>
        <v>0</v>
      </c>
      <c r="BF227" s="119">
        <f>+INPUT!BQ136</f>
        <v>73.8</v>
      </c>
      <c r="BG227" s="18">
        <f>+INPUT!BR136</f>
        <v>11.480362537764343</v>
      </c>
      <c r="BH227" s="119">
        <f>+INPUT!BS136</f>
        <v>26</v>
      </c>
      <c r="BI227" s="18">
        <f>+INPUT!BT136</f>
        <v>0</v>
      </c>
      <c r="BJ227" s="119">
        <f>+INPUT!BU136</f>
        <v>29.1</v>
      </c>
      <c r="BK227" s="18">
        <f>+INPUT!BV136</f>
        <v>0</v>
      </c>
      <c r="BL227" s="119">
        <f>+INPUT!BW136</f>
        <v>33</v>
      </c>
      <c r="BM227" s="18">
        <f>+INPUT!BX136</f>
        <v>0</v>
      </c>
      <c r="BN227" s="119">
        <f>+INPUT!BY136</f>
        <v>74.8</v>
      </c>
      <c r="BO227" s="18">
        <f>+INPUT!BZ136</f>
        <v>1.3550135501354976</v>
      </c>
      <c r="BP227" s="119">
        <f>+INPUT!CA136</f>
        <v>39.200000000000003</v>
      </c>
      <c r="BQ227" s="18">
        <f>+INPUT!CB136</f>
        <v>50.769230769230788</v>
      </c>
      <c r="BR227" s="119">
        <f>+INPUT!CC136</f>
        <v>36.9</v>
      </c>
      <c r="BS227" s="18">
        <f>+INPUT!CD136</f>
        <v>26.8041237113402</v>
      </c>
      <c r="BT227" s="119">
        <f>+INPUT!CE136</f>
        <v>36.299999999999997</v>
      </c>
      <c r="BU227" s="18">
        <f>+INPUT!CF136</f>
        <v>9.9999999999999858</v>
      </c>
      <c r="BV227" s="119">
        <f>+INPUT!CG136</f>
        <v>82</v>
      </c>
      <c r="BW227" s="18">
        <f>+INPUT!CH136</f>
        <v>9.625668449197855</v>
      </c>
      <c r="BX227" s="119">
        <f>+INPUT!CI136</f>
        <v>33.9</v>
      </c>
      <c r="BY227" s="18">
        <f>+INPUT!CJ136</f>
        <v>-13.520408163265319</v>
      </c>
      <c r="BZ227" s="119">
        <f>+INPUT!CK136</f>
        <v>42.7</v>
      </c>
      <c r="CA227" s="18">
        <f>+INPUT!CL136</f>
        <v>15.718157181571835</v>
      </c>
      <c r="CB227" s="119">
        <f>+INPUT!CM136</f>
        <v>40.299999999999997</v>
      </c>
      <c r="CC227" s="18">
        <f>+INPUT!CN136</f>
        <v>11.019283746556475</v>
      </c>
      <c r="CD227" s="119">
        <f>+INPUT!CO136</f>
        <v>94.9</v>
      </c>
      <c r="CE227" s="18">
        <f>+INPUT!CP136</f>
        <v>15.731707317073184</v>
      </c>
      <c r="CF227" s="119">
        <f>+INPUT!CQ136</f>
        <v>36.6</v>
      </c>
      <c r="CG227" s="18">
        <f>+INPUT!CR136</f>
        <v>7.9646017699115168</v>
      </c>
      <c r="CH227" s="119">
        <f>+INPUT!CS136</f>
        <v>43.8</v>
      </c>
      <c r="CI227" s="18">
        <f>+INPUT!CT136</f>
        <v>2.5761124121779666</v>
      </c>
      <c r="CJ227" s="119">
        <f>+INPUT!CU136</f>
        <v>41.1</v>
      </c>
      <c r="CK227" s="18">
        <f>+INPUT!CV136</f>
        <v>1.9851116625310361</v>
      </c>
      <c r="CL227" s="119">
        <f>+INPUT!CW136</f>
        <v>98.6</v>
      </c>
      <c r="CM227" s="18">
        <f>+INPUT!CX136</f>
        <v>3.8988408851422518</v>
      </c>
      <c r="CN227" s="119">
        <f>+INPUT!CY136</f>
        <v>33.200000000000003</v>
      </c>
      <c r="CO227" s="18">
        <f>+INPUT!CZ136</f>
        <v>-9.2896174863387966</v>
      </c>
      <c r="CP227" s="119">
        <f>+INPUT!DA136</f>
        <v>46.6</v>
      </c>
      <c r="CQ227" s="18">
        <f>+INPUT!DB136</f>
        <v>6.3926940639269514</v>
      </c>
      <c r="CR227" s="119">
        <f>+INPUT!DC136</f>
        <v>40.4</v>
      </c>
      <c r="CS227" s="18">
        <f>+INPUT!DD136</f>
        <v>-1.7031630170316392</v>
      </c>
      <c r="CT227" s="119">
        <f>+INPUT!DE136</f>
        <v>103.3</v>
      </c>
      <c r="CU227" s="18">
        <f>+INPUT!DF136</f>
        <v>4.7667342799188717</v>
      </c>
      <c r="CV227" s="119">
        <f>+INPUT!DG136</f>
        <v>39.9</v>
      </c>
      <c r="CW227" s="18">
        <f>+INPUT!DH136</f>
        <v>20.180722891566248</v>
      </c>
      <c r="CX227" s="119">
        <f>+INPUT!DI136</f>
        <v>46.1</v>
      </c>
      <c r="CY227" s="18">
        <f>+INPUT!DJ136</f>
        <v>-1.0729613733905574</v>
      </c>
      <c r="CZ227" s="119">
        <f>+INPUT!DK136</f>
        <v>48.8</v>
      </c>
      <c r="DA227" s="18">
        <f>+INPUT!DL136</f>
        <v>20.792079207920789</v>
      </c>
      <c r="DB227" s="119">
        <f>+INPUT!DM136</f>
        <v>131.9</v>
      </c>
      <c r="DC227" s="18">
        <f>+INPUT!DN136</f>
        <v>27.686350435624398</v>
      </c>
      <c r="DD227" s="119">
        <f>+INPUT!DO136</f>
        <v>39.299999999999997</v>
      </c>
      <c r="DE227" s="18">
        <f>+INPUT!DP136</f>
        <v>-1.5037593984962405</v>
      </c>
      <c r="DF227" s="119">
        <f>+INPUT!DQ136</f>
        <v>46.2</v>
      </c>
      <c r="DG227" s="18">
        <f>+INPUT!DR136</f>
        <v>0.21691973969630851</v>
      </c>
      <c r="DH227" s="119">
        <f>+INPUT!DS136</f>
        <v>45.2</v>
      </c>
      <c r="DI227" s="18">
        <f>+INPUT!DT136</f>
        <v>-7.3770491803278553</v>
      </c>
      <c r="DJ227" s="119">
        <f>+INPUT!DU136</f>
        <v>125.9</v>
      </c>
      <c r="DK227" s="18">
        <f>+INPUT!DV136</f>
        <v>-4.5489006823351001</v>
      </c>
      <c r="DL227" s="119">
        <f>+INPUT!DW136</f>
        <v>44.8</v>
      </c>
      <c r="DM227" s="18">
        <f>+INPUT!DX136</f>
        <v>13.994910941475824</v>
      </c>
      <c r="DN227" s="119">
        <f>+INPUT!DY136</f>
        <v>50.1</v>
      </c>
      <c r="DO227" s="18">
        <f>+INPUT!DZ136</f>
        <v>8.4415584415584277</v>
      </c>
      <c r="DP227" s="119">
        <f>+INPUT!EA136</f>
        <v>45.4</v>
      </c>
      <c r="DQ227" s="18">
        <f>+INPUT!EB136</f>
        <v>0.44247787610618428</v>
      </c>
      <c r="DR227" s="119">
        <f>+INPUT!EC136</f>
        <v>147.30000000000001</v>
      </c>
      <c r="DS227" s="18">
        <f>+INPUT!ED136</f>
        <v>0</v>
      </c>
      <c r="DT227" s="119">
        <f>+INPUT!EE136</f>
        <v>49.6</v>
      </c>
      <c r="DU227" s="18">
        <f>+INPUT!EF136</f>
        <v>10.714285714285721</v>
      </c>
      <c r="DV227" s="119">
        <f>+INPUT!EG136</f>
        <v>44.8</v>
      </c>
      <c r="DW227" s="18">
        <f>+INPUT!EH136</f>
        <v>-10.578842315369275</v>
      </c>
      <c r="DX227" s="119">
        <f>+INPUT!EI136</f>
        <v>50.8</v>
      </c>
      <c r="DY227" s="18">
        <f>+INPUT!EJ136</f>
        <v>11.894273127753308</v>
      </c>
      <c r="DZ227" s="119">
        <f>+INPUT!EK136</f>
        <v>0</v>
      </c>
      <c r="EA227" s="18" t="str">
        <f>+INPUT!EL136</f>
        <v>NM</v>
      </c>
      <c r="EB227" s="119">
        <f>+INPUT!EM136</f>
        <v>0</v>
      </c>
      <c r="EC227" s="18" t="str">
        <f>+INPUT!EN136</f>
        <v>NM</v>
      </c>
      <c r="ED227" s="119">
        <f>+INPUT!EO136</f>
        <v>0</v>
      </c>
      <c r="EE227" s="18" t="str">
        <f>+INPUT!EP136</f>
        <v>NM</v>
      </c>
      <c r="EF227" s="119">
        <f>+INPUT!EQ136</f>
        <v>0</v>
      </c>
      <c r="EG227" s="18" t="str">
        <f>+INPUT!ER136</f>
        <v>NM</v>
      </c>
      <c r="EH227" s="18"/>
      <c r="EI227" s="119">
        <f>+INPUT!FB136</f>
        <v>0</v>
      </c>
      <c r="EJ227" s="5">
        <f>+INPUT!FC136</f>
        <v>0</v>
      </c>
      <c r="EK227" s="119">
        <f>+INPUT!FD136</f>
        <v>79.099999999999994</v>
      </c>
      <c r="EL227" s="5" t="str">
        <f>+INPUT!FE136</f>
        <v>NA</v>
      </c>
      <c r="EM227" s="119">
        <f>+INPUT!FF136</f>
        <v>105.8</v>
      </c>
      <c r="EN227" s="5">
        <f>+INPUT!FG136</f>
        <v>33.754740834386851</v>
      </c>
      <c r="EO227" s="119">
        <f>+INPUT!FH136</f>
        <v>114.1</v>
      </c>
      <c r="EP227" s="5">
        <f>+INPUT!FI136</f>
        <v>7.844990548204156</v>
      </c>
      <c r="EQ227" s="119">
        <f>+INPUT!FJ136</f>
        <v>0</v>
      </c>
      <c r="ER227" s="18" t="str">
        <f>+INPUT!FK136</f>
        <v>NM</v>
      </c>
      <c r="ES227" s="119">
        <f>+INPUT!FL136</f>
        <v>0</v>
      </c>
      <c r="ET227" s="18" t="str">
        <f>+INPUT!FM136</f>
        <v>NA</v>
      </c>
      <c r="EU227" s="119">
        <f>+INPUT!FN136</f>
        <v>0</v>
      </c>
      <c r="EV227" s="18" t="str">
        <f>+INPUT!FO136</f>
        <v>NA</v>
      </c>
      <c r="EW227" s="119">
        <f>+INPUT!FP136</f>
        <v>158.60000000000002</v>
      </c>
      <c r="EX227" s="18" t="str">
        <f>+INPUT!FQ136</f>
        <v>NA</v>
      </c>
      <c r="EY227" s="96">
        <f>+INPUT!FR136</f>
        <v>161.9</v>
      </c>
      <c r="EZ227" s="18">
        <f>+INPUT!FS136</f>
        <v>2.0807061790668158</v>
      </c>
      <c r="FA227" s="96">
        <f>+INPUT!FT136</f>
        <v>187.2</v>
      </c>
      <c r="FB227" s="18">
        <f>+INPUT!FU136</f>
        <v>15.626930203829502</v>
      </c>
      <c r="FC227" s="96">
        <f>+INPUT!FV136</f>
        <v>198.90000000000003</v>
      </c>
      <c r="FD227" s="18">
        <f>+INPUT!FW136</f>
        <v>6.2500000000000222</v>
      </c>
      <c r="FE227" s="96">
        <f>+INPUT!FX136</f>
        <v>216.4</v>
      </c>
      <c r="FF227" s="18">
        <f>+INPUT!FY136</f>
        <v>8.7983911513323179</v>
      </c>
      <c r="FG227" s="96">
        <f>+INPUT!FZ136</f>
        <v>218.8</v>
      </c>
      <c r="FH227" s="18">
        <f>+INPUT!GA136</f>
        <v>1.109057301293892</v>
      </c>
      <c r="FI227" s="96">
        <f>+INPUT!GB136</f>
        <v>238.09999999999997</v>
      </c>
      <c r="FJ227" s="18">
        <f>+INPUT!GC136</f>
        <v>8.8208409506398411</v>
      </c>
      <c r="FK227" s="96">
        <f>+INPUT!GD136</f>
        <v>0</v>
      </c>
      <c r="FL227" s="18" t="str">
        <f>+INPUT!GE136</f>
        <v>NM</v>
      </c>
      <c r="FM227" s="96">
        <f>+INPUT!GF136</f>
        <v>0</v>
      </c>
      <c r="FN227" s="18" t="str">
        <f>+INPUT!GG136</f>
        <v>NA</v>
      </c>
      <c r="FO227" s="96">
        <f>+INPUT!GH136</f>
        <v>0</v>
      </c>
      <c r="FP227" s="18" t="str">
        <f>+INPUT!GI136</f>
        <v>NA</v>
      </c>
      <c r="FQ227" s="96">
        <f>+INPUT!GJ136</f>
        <v>0</v>
      </c>
      <c r="FR227" s="18" t="str">
        <f>+INPUT!GK136</f>
        <v>NA</v>
      </c>
      <c r="FS227" s="96">
        <f>+INPUT!GL136</f>
        <v>0</v>
      </c>
      <c r="FT227" s="18" t="str">
        <f>+INPUT!GM136</f>
        <v>NA</v>
      </c>
      <c r="FU227" s="96">
        <f>+INPUT!GN136</f>
        <v>0</v>
      </c>
      <c r="FV227" s="18" t="str">
        <f>+INPUT!GO136</f>
        <v>NA</v>
      </c>
      <c r="FW227" s="96">
        <f>+INPUT!GP136</f>
        <v>0</v>
      </c>
      <c r="FX227" s="18" t="str">
        <f>+INPUT!GQ136</f>
        <v>NA</v>
      </c>
      <c r="FY227" s="96">
        <f>+INPUT!GR136</f>
        <v>0</v>
      </c>
      <c r="FZ227" s="18" t="str">
        <f>+INPUT!GS136</f>
        <v>NA</v>
      </c>
      <c r="GA227" s="5">
        <f>+INPUT!GT136</f>
        <v>0</v>
      </c>
    </row>
    <row r="228" spans="1:183" ht="12.75" hidden="1" customHeight="1" outlineLevel="1" x14ac:dyDescent="0.2">
      <c r="A228" s="610" t="str">
        <f>+INPUT!B137</f>
        <v xml:space="preserve">Total </v>
      </c>
      <c r="B228" s="119">
        <f>+INPUT!M137</f>
        <v>0</v>
      </c>
      <c r="C228" s="613">
        <f>+INPUT!N137</f>
        <v>0</v>
      </c>
      <c r="D228" s="119">
        <f>+INPUT!O137</f>
        <v>0</v>
      </c>
      <c r="E228" s="5">
        <f>+INPUT!P137</f>
        <v>0</v>
      </c>
      <c r="F228" s="119">
        <f>+INPUT!Q137</f>
        <v>0</v>
      </c>
      <c r="G228" s="5">
        <f>+INPUT!R137</f>
        <v>0</v>
      </c>
      <c r="H228" s="119">
        <f>+INPUT!S137</f>
        <v>0</v>
      </c>
      <c r="I228" s="5">
        <f>+INPUT!T137</f>
        <v>0</v>
      </c>
      <c r="J228" s="119">
        <f>+INPUT!U137</f>
        <v>0</v>
      </c>
      <c r="K228" s="5">
        <f>+INPUT!V137</f>
        <v>0</v>
      </c>
      <c r="L228" s="119">
        <f>+INPUT!W137</f>
        <v>0</v>
      </c>
      <c r="M228" s="5">
        <f>+INPUT!X137</f>
        <v>0</v>
      </c>
      <c r="N228" s="119">
        <f>+INPUT!Y137</f>
        <v>0</v>
      </c>
      <c r="O228" s="5">
        <f>+INPUT!Z137</f>
        <v>0</v>
      </c>
      <c r="P228" s="119">
        <f>+INPUT!AA137</f>
        <v>0</v>
      </c>
      <c r="Q228" s="5" t="str">
        <f>+INPUT!AB137</f>
        <v>NA</v>
      </c>
      <c r="R228" s="119">
        <f>+INPUT!AC137</f>
        <v>71.299999999999983</v>
      </c>
      <c r="S228" s="5" t="str">
        <f>+INPUT!AD137</f>
        <v>NA</v>
      </c>
      <c r="T228" s="119">
        <f>+INPUT!AE137</f>
        <v>44.4</v>
      </c>
      <c r="U228" s="5" t="str">
        <f>+INPUT!AF137</f>
        <v>NA</v>
      </c>
      <c r="V228" s="119">
        <f>+INPUT!AG137</f>
        <v>46.3</v>
      </c>
      <c r="W228" s="5" t="str">
        <f>+INPUT!AH137</f>
        <v>NA</v>
      </c>
      <c r="X228" s="119">
        <f>+INPUT!AI137</f>
        <v>51.900000000000006</v>
      </c>
      <c r="Y228" s="5" t="str">
        <f>+INPUT!AJ137</f>
        <v>NA</v>
      </c>
      <c r="Z228" s="119">
        <f>+INPUT!AK137</f>
        <v>72.300000000000011</v>
      </c>
      <c r="AA228" s="5">
        <f>+INPUT!AL137</f>
        <v>1.4025245441795731</v>
      </c>
      <c r="AB228" s="119">
        <f>+INPUT!AM137</f>
        <v>45</v>
      </c>
      <c r="AC228" s="5">
        <f>+INPUT!AN137</f>
        <v>1.3513513513513598</v>
      </c>
      <c r="AD228" s="119">
        <f>+INPUT!AO137</f>
        <v>48.7</v>
      </c>
      <c r="AE228" s="5">
        <f>+INPUT!AP137</f>
        <v>5.1835853131749543</v>
      </c>
      <c r="AF228" s="119">
        <f>+INPUT!AQ137</f>
        <v>52.1</v>
      </c>
      <c r="AG228" s="5">
        <f>+INPUT!AR137</f>
        <v>0.38535645472059787</v>
      </c>
      <c r="AH228" s="119">
        <f>+INPUT!AS137</f>
        <v>67</v>
      </c>
      <c r="AI228" s="5">
        <f>+INPUT!AT137</f>
        <v>-7.3305670816044444</v>
      </c>
      <c r="AJ228" s="119">
        <f>+INPUT!AU137</f>
        <v>38.4</v>
      </c>
      <c r="AK228" s="5">
        <f>+INPUT!AV137</f>
        <v>-14.666666666666671</v>
      </c>
      <c r="AL228" s="119">
        <f>+INPUT!AW137</f>
        <v>42.3</v>
      </c>
      <c r="AM228" s="5">
        <f>+INPUT!AX137</f>
        <v>-13.141683778234093</v>
      </c>
      <c r="AN228" s="119">
        <f>+INPUT!AY137</f>
        <v>41.9</v>
      </c>
      <c r="AO228" s="18">
        <f>+INPUT!AZ137</f>
        <v>1.3365442504515332</v>
      </c>
      <c r="AP228" s="119">
        <f>+INPUT!BA137</f>
        <v>63.9</v>
      </c>
      <c r="AQ228" s="18">
        <f>+INPUT!BB137</f>
        <v>-4.6268656716417889</v>
      </c>
      <c r="AR228" s="119">
        <f>+INPUT!BC137</f>
        <v>43.1</v>
      </c>
      <c r="AS228" s="18">
        <f>+INPUT!BD137</f>
        <v>12.239583333333348</v>
      </c>
      <c r="AT228" s="119">
        <f>+INPUT!BE137</f>
        <v>46.5</v>
      </c>
      <c r="AU228" s="18">
        <f>+INPUT!BF137</f>
        <v>9.9290780141844124</v>
      </c>
      <c r="AV228" s="119">
        <f>+INPUT!BG137</f>
        <v>44.6</v>
      </c>
      <c r="AW228" s="18">
        <f>+INPUT!BH137</f>
        <v>6.4439140811455964</v>
      </c>
      <c r="AX228" s="119">
        <f>+INPUT!BI137</f>
        <v>82.7</v>
      </c>
      <c r="AY228" s="18">
        <f>+INPUT!BJ137</f>
        <v>29.42097026604069</v>
      </c>
      <c r="AZ228" s="119">
        <f>+INPUT!BK137</f>
        <v>40.5</v>
      </c>
      <c r="BA228" s="18">
        <f>+INPUT!BL137</f>
        <v>-6.0324825986078912</v>
      </c>
      <c r="BB228" s="119">
        <f>+INPUT!BM137</f>
        <v>50.5</v>
      </c>
      <c r="BC228" s="18">
        <f>+INPUT!BN137</f>
        <v>0</v>
      </c>
      <c r="BD228" s="119">
        <f>+INPUT!BO137</f>
        <v>42.8</v>
      </c>
      <c r="BE228" s="18">
        <f>+INPUT!BP137</f>
        <v>0</v>
      </c>
      <c r="BF228" s="119">
        <f>+INPUT!BQ137</f>
        <v>89.5</v>
      </c>
      <c r="BG228" s="18">
        <f>+INPUT!BR137</f>
        <v>8.222490931076166</v>
      </c>
      <c r="BH228" s="119">
        <f>+INPUT!BS137</f>
        <v>37.6</v>
      </c>
      <c r="BI228" s="18">
        <f>+INPUT!BT137</f>
        <v>0</v>
      </c>
      <c r="BJ228" s="119">
        <f>+INPUT!BU137</f>
        <v>41.3</v>
      </c>
      <c r="BK228" s="18">
        <f>+INPUT!BV137</f>
        <v>0</v>
      </c>
      <c r="BL228" s="119">
        <f>+INPUT!BW137</f>
        <v>45.1</v>
      </c>
      <c r="BM228" s="18">
        <f>+INPUT!BX137</f>
        <v>0</v>
      </c>
      <c r="BN228" s="119">
        <f>+INPUT!BY137</f>
        <v>84.399999999999991</v>
      </c>
      <c r="BO228" s="18">
        <f>+INPUT!BZ137</f>
        <v>-5.6983240223463794</v>
      </c>
      <c r="BP228" s="119">
        <f>+INPUT!CA137</f>
        <v>49.5</v>
      </c>
      <c r="BQ228" s="18">
        <f>+INPUT!CB137</f>
        <v>31.64893617021276</v>
      </c>
      <c r="BR228" s="119">
        <f>+INPUT!CC137</f>
        <v>48.5</v>
      </c>
      <c r="BS228" s="18">
        <f>+INPUT!CD137</f>
        <v>17.433414043583539</v>
      </c>
      <c r="BT228" s="119">
        <f>+INPUT!CE137</f>
        <v>47.5</v>
      </c>
      <c r="BU228" s="18">
        <f>+INPUT!CF137</f>
        <v>5.3215077605321515</v>
      </c>
      <c r="BV228" s="119">
        <f>+INPUT!CG137</f>
        <v>96.2</v>
      </c>
      <c r="BW228" s="18">
        <f>+INPUT!CH137</f>
        <v>13.981042654028442</v>
      </c>
      <c r="BX228" s="119">
        <f>+INPUT!CI137</f>
        <v>47.4</v>
      </c>
      <c r="BY228" s="18">
        <f>+INPUT!CJ137</f>
        <v>-4.2424242424242475</v>
      </c>
      <c r="BZ228" s="119">
        <f>+INPUT!CK137</f>
        <v>55.6</v>
      </c>
      <c r="CA228" s="18">
        <f>+INPUT!CL137</f>
        <v>14.639175257731951</v>
      </c>
      <c r="CB228" s="119">
        <f>+INPUT!CM137</f>
        <v>55.3</v>
      </c>
      <c r="CC228" s="18">
        <f>+INPUT!CN137</f>
        <v>16.421052631578938</v>
      </c>
      <c r="CD228" s="119">
        <f>+INPUT!CO137</f>
        <v>109.80000000000001</v>
      </c>
      <c r="CE228" s="18">
        <f>+INPUT!CP137</f>
        <v>14.137214137214137</v>
      </c>
      <c r="CF228" s="119">
        <f>+INPUT!CQ137</f>
        <v>51.900000000000006</v>
      </c>
      <c r="CG228" s="18">
        <f>+INPUT!CR137</f>
        <v>9.4936708860759556</v>
      </c>
      <c r="CH228" s="119">
        <f>+INPUT!CS137</f>
        <v>58.4</v>
      </c>
      <c r="CI228" s="18">
        <f>+INPUT!CT137</f>
        <v>5.0359712230215736</v>
      </c>
      <c r="CJ228" s="119">
        <f>+INPUT!CU137</f>
        <v>53.3</v>
      </c>
      <c r="CK228" s="18">
        <f>+INPUT!CV137</f>
        <v>-3.6166365280289381</v>
      </c>
      <c r="CL228" s="119">
        <f>+INPUT!CW137</f>
        <v>113.8</v>
      </c>
      <c r="CM228" s="18">
        <f>+INPUT!CX137</f>
        <v>3.6429872495446158</v>
      </c>
      <c r="CN228" s="119">
        <f>+INPUT!CY137</f>
        <v>43.400000000000006</v>
      </c>
      <c r="CO228" s="18">
        <f>+INPUT!CZ137</f>
        <v>-16.377649325626198</v>
      </c>
      <c r="CP228" s="119">
        <f>+INPUT!DA137</f>
        <v>57.8</v>
      </c>
      <c r="CQ228" s="18">
        <f>+INPUT!DB137</f>
        <v>-1.0273972602739767</v>
      </c>
      <c r="CR228" s="119">
        <f>+INPUT!DC137</f>
        <v>56</v>
      </c>
      <c r="CS228" s="18">
        <f>+INPUT!DD137</f>
        <v>5.065666041275807</v>
      </c>
      <c r="CT228" s="119">
        <f>+INPUT!DE137</f>
        <v>117.89999999999999</v>
      </c>
      <c r="CU228" s="18">
        <f>+INPUT!DF137</f>
        <v>3.6028119507908629</v>
      </c>
      <c r="CV228" s="119">
        <f>+INPUT!DG137</f>
        <v>51.599999999999994</v>
      </c>
      <c r="CW228" s="18">
        <f>+INPUT!DH137</f>
        <v>18.894009216589836</v>
      </c>
      <c r="CX228" s="119">
        <f>+INPUT!DI137</f>
        <v>60.5</v>
      </c>
      <c r="CY228" s="18">
        <f>+INPUT!DJ137</f>
        <v>4.6712802768166251</v>
      </c>
      <c r="CZ228" s="119">
        <f>+INPUT!DK137</f>
        <v>64.900000000000006</v>
      </c>
      <c r="DA228" s="18">
        <f>+INPUT!DL137</f>
        <v>15.892857142857153</v>
      </c>
      <c r="DB228" s="119">
        <f>+INPUT!DM137</f>
        <v>144.20000000000002</v>
      </c>
      <c r="DC228" s="18">
        <f>+INPUT!DN137</f>
        <v>22.307039864291788</v>
      </c>
      <c r="DD228" s="119">
        <f>+INPUT!DO137</f>
        <v>52.3</v>
      </c>
      <c r="DE228" s="18">
        <f>+INPUT!DP137</f>
        <v>1.3565891472868241</v>
      </c>
      <c r="DF228" s="119">
        <f>+INPUT!DQ137</f>
        <v>67.400000000000006</v>
      </c>
      <c r="DG228" s="18">
        <f>+INPUT!DR137</f>
        <v>11.404958677685961</v>
      </c>
      <c r="DH228" s="119">
        <f>+INPUT!DS137</f>
        <v>66.2</v>
      </c>
      <c r="DI228" s="18">
        <f>+INPUT!DT137</f>
        <v>2.003081664098616</v>
      </c>
      <c r="DJ228" s="119">
        <f>+INPUT!DU137</f>
        <v>142.6</v>
      </c>
      <c r="DK228" s="18">
        <f>+INPUT!DV137</f>
        <v>-1.1095700416088872</v>
      </c>
      <c r="DL228" s="119">
        <f>+INPUT!DW137</f>
        <v>59.4</v>
      </c>
      <c r="DM228" s="18">
        <f>+INPUT!DX137</f>
        <v>13.575525812619516</v>
      </c>
      <c r="DN228" s="119">
        <f>+INPUT!DY137</f>
        <v>66.5</v>
      </c>
      <c r="DO228" s="18">
        <f>+INPUT!DZ137</f>
        <v>-1.335311572700304</v>
      </c>
      <c r="DP228" s="119">
        <f>+INPUT!EA137</f>
        <v>72.8</v>
      </c>
      <c r="DQ228" s="18">
        <f>+INPUT!EB137</f>
        <v>9.9697885196374578</v>
      </c>
      <c r="DR228" s="119">
        <f>+INPUT!EC137</f>
        <v>173.4</v>
      </c>
      <c r="DS228" s="18">
        <f>+INPUT!ED137</f>
        <v>0</v>
      </c>
      <c r="DT228" s="119">
        <f>+INPUT!EE137</f>
        <v>73.600000000000009</v>
      </c>
      <c r="DU228" s="18">
        <f>+INPUT!EF137</f>
        <v>23.905723905723917</v>
      </c>
      <c r="DV228" s="119">
        <f>+INPUT!EG137</f>
        <v>74.899999999999991</v>
      </c>
      <c r="DW228" s="18">
        <f>+INPUT!EH137</f>
        <v>12.631578947368416</v>
      </c>
      <c r="DX228" s="119">
        <f>+INPUT!EI137</f>
        <v>93.3</v>
      </c>
      <c r="DY228" s="18">
        <f>+INPUT!EJ137</f>
        <v>28.159340659340671</v>
      </c>
      <c r="DZ228" s="119">
        <f>+INPUT!EK137</f>
        <v>0</v>
      </c>
      <c r="EA228" s="18" t="str">
        <f>+INPUT!EL137</f>
        <v>NM</v>
      </c>
      <c r="EB228" s="119">
        <f>+INPUT!EM137</f>
        <v>0</v>
      </c>
      <c r="EC228" s="18" t="str">
        <f>+INPUT!EN137</f>
        <v>NM</v>
      </c>
      <c r="ED228" s="119">
        <f>+INPUT!EO137</f>
        <v>0</v>
      </c>
      <c r="EE228" s="18" t="str">
        <f>+INPUT!EP137</f>
        <v>NM</v>
      </c>
      <c r="EF228" s="119">
        <f>+INPUT!EQ137</f>
        <v>0</v>
      </c>
      <c r="EG228" s="18" t="str">
        <f>+INPUT!ER137</f>
        <v>NM</v>
      </c>
      <c r="EH228" s="18"/>
      <c r="EI228" s="119">
        <f>+INPUT!FB137</f>
        <v>0</v>
      </c>
      <c r="EJ228" s="5">
        <f>+INPUT!FC137</f>
        <v>0</v>
      </c>
      <c r="EK228" s="119">
        <f>+INPUT!FD137</f>
        <v>0</v>
      </c>
      <c r="EL228" s="5" t="str">
        <f>+INPUT!FE137</f>
        <v>NA</v>
      </c>
      <c r="EM228" s="119">
        <f>+INPUT!FF137</f>
        <v>0</v>
      </c>
      <c r="EN228" s="5" t="str">
        <f>+INPUT!FG137</f>
        <v>NA</v>
      </c>
      <c r="EO228" s="119">
        <f>+INPUT!FH137</f>
        <v>213.89999999999998</v>
      </c>
      <c r="EP228" s="5" t="str">
        <f>+INPUT!FI137</f>
        <v>NA</v>
      </c>
      <c r="EQ228" s="119">
        <f>+INPUT!FJ137</f>
        <v>0</v>
      </c>
      <c r="ER228" s="18" t="str">
        <f>+INPUT!FK137</f>
        <v>NM</v>
      </c>
      <c r="ES228" s="119">
        <f>+INPUT!FL137</f>
        <v>0</v>
      </c>
      <c r="ET228" s="18" t="str">
        <f>+INPUT!FM137</f>
        <v>NA</v>
      </c>
      <c r="EU228" s="119">
        <f>+INPUT!FN137</f>
        <v>0</v>
      </c>
      <c r="EV228" s="18" t="str">
        <f>+INPUT!FO137</f>
        <v>NA</v>
      </c>
      <c r="EW228" s="119">
        <f>+INPUT!FP137</f>
        <v>216.50000000000003</v>
      </c>
      <c r="EX228" s="18" t="str">
        <f>+INPUT!FQ137</f>
        <v>NA</v>
      </c>
      <c r="EY228" s="96">
        <f>+INPUT!FR137</f>
        <v>213.5</v>
      </c>
      <c r="EZ228" s="18">
        <f>+INPUT!FS137</f>
        <v>-1.3856812933025542</v>
      </c>
      <c r="FA228" s="96">
        <f>+INPUT!FT137</f>
        <v>229.89999999999998</v>
      </c>
      <c r="FB228" s="18">
        <f>+INPUT!FU137</f>
        <v>7.6814988290398123</v>
      </c>
      <c r="FC228" s="96">
        <f>+INPUT!FV137</f>
        <v>254.50000000000003</v>
      </c>
      <c r="FD228" s="18">
        <f>+INPUT!FW137</f>
        <v>10.7003044802088</v>
      </c>
      <c r="FE228" s="96">
        <f>+INPUT!FX137</f>
        <v>273.39999999999998</v>
      </c>
      <c r="FF228" s="18">
        <f>+INPUT!FY137</f>
        <v>7.4263261296659833</v>
      </c>
      <c r="FG228" s="96">
        <f>+INPUT!FZ137</f>
        <v>271</v>
      </c>
      <c r="FH228" s="18">
        <f>+INPUT!GA137</f>
        <v>-0.87783467446963526</v>
      </c>
      <c r="FI228" s="96">
        <f>+INPUT!GB137</f>
        <v>294.89999999999998</v>
      </c>
      <c r="FJ228" s="18">
        <f>+INPUT!GC137</f>
        <v>8.8191881918819206</v>
      </c>
      <c r="FK228" s="96">
        <f>+INPUT!GD137</f>
        <v>0</v>
      </c>
      <c r="FL228" s="18" t="str">
        <f>+INPUT!GE137</f>
        <v>NM</v>
      </c>
      <c r="FM228" s="96">
        <f>+INPUT!GF137</f>
        <v>0</v>
      </c>
      <c r="FN228" s="18" t="str">
        <f>+INPUT!GG137</f>
        <v>NA</v>
      </c>
      <c r="FO228" s="96">
        <f>+INPUT!GH137</f>
        <v>0</v>
      </c>
      <c r="FP228" s="18" t="str">
        <f>+INPUT!GI137</f>
        <v>NA</v>
      </c>
      <c r="FQ228" s="96">
        <f>+INPUT!GJ137</f>
        <v>0</v>
      </c>
      <c r="FR228" s="18" t="str">
        <f>+INPUT!GK137</f>
        <v>NA</v>
      </c>
      <c r="FS228" s="96">
        <f>+INPUT!GL137</f>
        <v>0</v>
      </c>
      <c r="FT228" s="18" t="str">
        <f>+INPUT!GM137</f>
        <v>NA</v>
      </c>
      <c r="FU228" s="96">
        <f>+INPUT!GN137</f>
        <v>0</v>
      </c>
      <c r="FV228" s="18" t="str">
        <f>+INPUT!GO137</f>
        <v>NA</v>
      </c>
      <c r="FW228" s="96">
        <f>+INPUT!GP137</f>
        <v>0</v>
      </c>
      <c r="FX228" s="18" t="str">
        <f>+INPUT!GQ137</f>
        <v>NA</v>
      </c>
      <c r="FY228" s="96">
        <f>+INPUT!GR137</f>
        <v>0</v>
      </c>
      <c r="FZ228" s="18" t="str">
        <f>+INPUT!GS137</f>
        <v>NA</v>
      </c>
      <c r="GA228" s="5">
        <f>+INPUT!GT137</f>
        <v>0</v>
      </c>
    </row>
    <row r="229" spans="1:183" ht="12.75" hidden="1" customHeight="1" outlineLevel="1" x14ac:dyDescent="0.2">
      <c r="A229" s="10"/>
      <c r="B229" s="96"/>
      <c r="C229" s="399"/>
      <c r="D229" s="96"/>
      <c r="E229" s="399"/>
      <c r="F229" s="96"/>
      <c r="G229" s="399"/>
      <c r="H229" s="96"/>
      <c r="I229" s="399"/>
      <c r="J229" s="96"/>
      <c r="K229" s="399"/>
      <c r="L229" s="96"/>
      <c r="M229" s="399"/>
      <c r="N229" s="96"/>
      <c r="O229" s="399"/>
      <c r="P229" s="96"/>
      <c r="Q229" s="399"/>
      <c r="R229" s="96"/>
      <c r="S229" s="399"/>
      <c r="T229" s="96"/>
      <c r="U229" s="399"/>
      <c r="V229" s="96"/>
      <c r="W229" s="399"/>
      <c r="X229" s="96"/>
      <c r="Y229" s="399"/>
      <c r="Z229" s="96"/>
      <c r="AA229" s="399"/>
      <c r="AB229" s="96"/>
      <c r="AC229" s="399"/>
      <c r="AD229" s="96"/>
      <c r="AE229" s="399"/>
      <c r="AF229" s="96"/>
      <c r="AG229" s="399"/>
      <c r="AH229" s="96"/>
      <c r="AI229" s="399"/>
      <c r="AJ229" s="96"/>
      <c r="AK229" s="399"/>
      <c r="AL229" s="96"/>
      <c r="AM229" s="399"/>
      <c r="AN229" s="96"/>
      <c r="AO229" s="18"/>
      <c r="AP229" s="96"/>
      <c r="AQ229" s="18"/>
      <c r="AR229" s="96"/>
      <c r="AS229" s="18"/>
      <c r="AT229" s="96"/>
      <c r="AU229" s="18"/>
      <c r="AV229" s="96"/>
      <c r="AW229" s="18"/>
      <c r="AX229" s="96"/>
      <c r="AY229" s="18"/>
      <c r="AZ229" s="96"/>
      <c r="BA229" s="18"/>
      <c r="BB229" s="96"/>
      <c r="BC229" s="18"/>
      <c r="BD229" s="96"/>
      <c r="BE229" s="18"/>
      <c r="BF229" s="96"/>
      <c r="BG229" s="18"/>
      <c r="BH229" s="96"/>
      <c r="BI229" s="18"/>
      <c r="BJ229" s="96"/>
      <c r="BK229" s="18"/>
      <c r="BL229" s="96"/>
      <c r="BM229" s="18"/>
      <c r="BN229" s="96"/>
      <c r="BO229" s="18"/>
      <c r="BP229" s="96"/>
      <c r="BQ229" s="18"/>
      <c r="BR229" s="96"/>
      <c r="BS229" s="18"/>
      <c r="BT229" s="96"/>
      <c r="BU229" s="18"/>
      <c r="BV229" s="96"/>
      <c r="BW229" s="18"/>
      <c r="BX229" s="96"/>
      <c r="BY229" s="18"/>
      <c r="BZ229" s="96"/>
      <c r="CA229" s="18"/>
      <c r="CB229" s="96"/>
      <c r="CC229" s="18"/>
      <c r="CD229" s="96"/>
      <c r="CE229" s="18"/>
      <c r="CF229" s="96"/>
      <c r="CG229" s="18"/>
      <c r="CH229" s="96"/>
      <c r="CI229" s="18"/>
      <c r="CJ229" s="96"/>
      <c r="CK229" s="18"/>
      <c r="CL229" s="96"/>
      <c r="CM229" s="18"/>
      <c r="CN229" s="96"/>
      <c r="CO229" s="18"/>
      <c r="CP229" s="96"/>
      <c r="CQ229" s="18"/>
      <c r="CR229" s="96"/>
      <c r="CS229" s="18"/>
      <c r="CT229" s="96"/>
      <c r="CU229" s="18"/>
      <c r="CV229" s="96"/>
      <c r="CW229" s="18"/>
      <c r="CX229" s="96"/>
      <c r="CY229" s="18"/>
      <c r="CZ229" s="96"/>
      <c r="DA229" s="18"/>
      <c r="DB229" s="96"/>
      <c r="DC229" s="18"/>
      <c r="DD229" s="96"/>
      <c r="DE229" s="18"/>
      <c r="DF229" s="96"/>
      <c r="DG229" s="18"/>
      <c r="DH229" s="96"/>
      <c r="DI229" s="18"/>
      <c r="DJ229" s="96"/>
      <c r="DK229" s="18"/>
      <c r="DL229" s="96"/>
      <c r="DM229" s="18"/>
      <c r="DN229" s="96"/>
      <c r="DO229" s="18"/>
      <c r="DP229" s="96"/>
      <c r="DQ229" s="18"/>
      <c r="DR229" s="96"/>
      <c r="DS229" s="18"/>
      <c r="DT229" s="96"/>
      <c r="DU229" s="18"/>
      <c r="DV229" s="96"/>
      <c r="DW229" s="18"/>
      <c r="DX229" s="96"/>
      <c r="DY229" s="18"/>
      <c r="DZ229" s="96"/>
      <c r="EA229" s="18"/>
      <c r="EB229" s="96"/>
      <c r="EC229" s="18"/>
      <c r="ED229" s="96"/>
      <c r="EE229" s="18"/>
      <c r="EF229" s="96"/>
      <c r="EG229" s="18"/>
      <c r="EH229" s="18"/>
      <c r="EI229" s="96"/>
      <c r="EJ229" s="399"/>
      <c r="EK229" s="96"/>
      <c r="EL229" s="399"/>
      <c r="EM229" s="96"/>
      <c r="EN229" s="399"/>
      <c r="EO229" s="96"/>
      <c r="EP229" s="399"/>
      <c r="EQ229" s="96"/>
      <c r="ER229" s="18"/>
      <c r="ES229" s="96"/>
      <c r="ET229" s="18"/>
      <c r="EU229" s="96"/>
      <c r="EV229" s="18"/>
      <c r="EW229" s="96"/>
      <c r="EX229" s="18"/>
      <c r="EY229" s="96"/>
      <c r="EZ229" s="18"/>
      <c r="FA229" s="96"/>
      <c r="FB229" s="18"/>
      <c r="FC229" s="96"/>
      <c r="FD229" s="18"/>
      <c r="FE229" s="96"/>
      <c r="FF229" s="18"/>
      <c r="FG229" s="96"/>
      <c r="FH229" s="18"/>
      <c r="FI229" s="96"/>
      <c r="FJ229" s="18"/>
      <c r="FK229" s="96"/>
      <c r="FL229" s="18"/>
      <c r="FM229" s="96"/>
      <c r="FN229" s="18"/>
      <c r="FO229" s="96"/>
      <c r="FP229" s="18"/>
      <c r="FQ229" s="96"/>
      <c r="FR229" s="18"/>
      <c r="FS229" s="96"/>
      <c r="FT229" s="18"/>
      <c r="FU229" s="96"/>
      <c r="FV229" s="18"/>
      <c r="FW229" s="96"/>
      <c r="FX229" s="18"/>
      <c r="FY229" s="96"/>
      <c r="FZ229" s="18"/>
      <c r="GA229" s="399"/>
    </row>
    <row r="230" spans="1:183" ht="12.75" hidden="1" customHeight="1" outlineLevel="1" x14ac:dyDescent="0.2">
      <c r="A230" s="640" t="str">
        <f>+A55</f>
        <v>Quarterly income statement ratios are annualized where appropriate     E = Morgan Stanley Research Estimates      NM = Not Meaningful       NA = Not Applicable              CAGR = Cumulative Average Growth Rate</v>
      </c>
      <c r="B230" s="96"/>
      <c r="C230" s="399"/>
      <c r="D230" s="96"/>
      <c r="E230" s="399"/>
      <c r="F230" s="96"/>
      <c r="G230" s="399"/>
      <c r="H230" s="96"/>
      <c r="I230" s="399"/>
      <c r="J230" s="96"/>
      <c r="K230" s="399"/>
      <c r="L230" s="96"/>
      <c r="M230" s="399"/>
      <c r="N230" s="96"/>
      <c r="O230" s="399"/>
      <c r="P230" s="96"/>
      <c r="Q230" s="399"/>
      <c r="R230" s="96"/>
      <c r="S230" s="399"/>
      <c r="T230" s="96"/>
      <c r="U230" s="399"/>
      <c r="V230" s="96"/>
      <c r="W230" s="399"/>
      <c r="X230" s="96"/>
      <c r="Y230" s="399"/>
      <c r="Z230" s="96"/>
      <c r="AA230" s="399"/>
      <c r="AB230" s="96"/>
      <c r="AC230" s="399"/>
      <c r="AD230" s="96"/>
      <c r="AE230" s="399"/>
      <c r="AF230" s="96"/>
      <c r="AG230" s="399"/>
      <c r="AH230" s="96"/>
      <c r="AI230" s="399"/>
      <c r="AJ230" s="96"/>
      <c r="AK230" s="399"/>
      <c r="AL230" s="96"/>
      <c r="AM230" s="399"/>
      <c r="AN230" s="96"/>
      <c r="AO230" s="18"/>
      <c r="AP230" s="96"/>
      <c r="AQ230" s="18"/>
      <c r="AR230" s="96"/>
      <c r="AS230" s="18"/>
      <c r="AT230" s="96"/>
      <c r="AU230" s="18"/>
      <c r="AV230" s="96"/>
      <c r="AW230" s="18"/>
      <c r="AX230" s="96"/>
      <c r="AY230" s="18"/>
      <c r="AZ230" s="96"/>
      <c r="BA230" s="18"/>
      <c r="BB230" s="96"/>
      <c r="BC230" s="18"/>
      <c r="BD230" s="96"/>
      <c r="BE230" s="18"/>
      <c r="BF230" s="96"/>
      <c r="BG230" s="18"/>
      <c r="BH230" s="96"/>
      <c r="BI230" s="18"/>
      <c r="BJ230" s="96"/>
      <c r="BK230" s="18"/>
      <c r="BL230" s="96"/>
      <c r="BM230" s="18"/>
      <c r="BN230" s="96"/>
      <c r="BO230" s="18"/>
      <c r="BP230" s="96"/>
      <c r="BQ230" s="18"/>
      <c r="BR230" s="96"/>
      <c r="BS230" s="18"/>
      <c r="BT230" s="96"/>
      <c r="BU230" s="18"/>
      <c r="BV230" s="96"/>
      <c r="BW230" s="18"/>
      <c r="BX230" s="96"/>
      <c r="BY230" s="18"/>
      <c r="BZ230" s="96"/>
      <c r="CA230" s="18"/>
      <c r="CB230" s="96"/>
      <c r="CC230" s="18"/>
      <c r="CD230" s="96"/>
      <c r="CE230" s="18"/>
      <c r="CF230" s="96"/>
      <c r="CG230" s="18"/>
      <c r="CH230" s="96"/>
      <c r="CI230" s="18"/>
      <c r="CJ230" s="96"/>
      <c r="CK230" s="18"/>
      <c r="CL230" s="96"/>
      <c r="CM230" s="18"/>
      <c r="CN230" s="96"/>
      <c r="CO230" s="18"/>
      <c r="CP230" s="96"/>
      <c r="CQ230" s="18"/>
      <c r="CR230" s="96"/>
      <c r="CS230" s="18"/>
      <c r="CT230" s="96"/>
      <c r="CU230" s="18"/>
      <c r="CV230" s="96"/>
      <c r="CW230" s="18"/>
      <c r="CX230" s="96"/>
      <c r="CY230" s="18"/>
      <c r="CZ230" s="96"/>
      <c r="DA230" s="18"/>
      <c r="DB230" s="96"/>
      <c r="DC230" s="18"/>
      <c r="DD230" s="96"/>
      <c r="DE230" s="18"/>
      <c r="DF230" s="96"/>
      <c r="DG230" s="18"/>
      <c r="DH230" s="96"/>
      <c r="DI230" s="18"/>
      <c r="DJ230" s="96"/>
      <c r="DK230" s="18"/>
      <c r="DL230" s="96"/>
      <c r="DM230" s="18"/>
      <c r="DN230" s="96"/>
      <c r="DO230" s="18"/>
      <c r="DP230" s="96"/>
      <c r="DQ230" s="18"/>
      <c r="DR230" s="96"/>
      <c r="DS230" s="18"/>
      <c r="DT230" s="96"/>
      <c r="DU230" s="18"/>
      <c r="DV230" s="96"/>
      <c r="DW230" s="18"/>
      <c r="DX230" s="96"/>
      <c r="DY230" s="18"/>
      <c r="DZ230" s="96"/>
      <c r="EA230" s="18"/>
      <c r="EB230" s="96"/>
      <c r="EC230" s="18"/>
      <c r="ED230" s="96"/>
      <c r="EE230" s="18"/>
      <c r="EF230" s="96"/>
      <c r="EG230" s="18"/>
      <c r="EH230" s="18"/>
      <c r="EI230" s="96"/>
      <c r="EJ230" s="399"/>
      <c r="EK230" s="96"/>
      <c r="EL230" s="399"/>
      <c r="EM230" s="96"/>
      <c r="EN230" s="399"/>
      <c r="EO230" s="96"/>
      <c r="EP230" s="399"/>
      <c r="EQ230" s="96"/>
      <c r="ER230" s="18"/>
      <c r="ES230" s="96"/>
      <c r="ET230" s="18"/>
      <c r="EU230" s="96"/>
      <c r="EV230" s="18"/>
      <c r="EW230" s="96"/>
      <c r="EX230" s="18"/>
      <c r="EY230" s="96"/>
      <c r="EZ230" s="18"/>
      <c r="FA230" s="96"/>
      <c r="FB230" s="18"/>
      <c r="FC230" s="96"/>
      <c r="FD230" s="18"/>
      <c r="FE230" s="96"/>
      <c r="FF230" s="18"/>
      <c r="FG230" s="96"/>
      <c r="FH230" s="18"/>
      <c r="FI230" s="96"/>
      <c r="FJ230" s="18"/>
      <c r="FK230" s="96"/>
      <c r="FL230" s="18"/>
      <c r="FM230" s="96"/>
      <c r="FN230" s="18"/>
      <c r="FO230" s="96"/>
      <c r="FP230" s="18"/>
      <c r="FQ230" s="96"/>
      <c r="FR230" s="18"/>
      <c r="FS230" s="96"/>
      <c r="FT230" s="18"/>
      <c r="FU230" s="96"/>
      <c r="FV230" s="18"/>
      <c r="FW230" s="96"/>
      <c r="FX230" s="18"/>
      <c r="FY230" s="96"/>
      <c r="FZ230" s="18"/>
      <c r="GA230" s="399"/>
    </row>
    <row r="231" spans="1:183" ht="12.75" hidden="1" customHeight="1" outlineLevel="1" x14ac:dyDescent="0.2">
      <c r="A231" s="605" t="s">
        <v>398</v>
      </c>
      <c r="B231" s="96"/>
      <c r="C231" s="399"/>
      <c r="D231" s="96"/>
      <c r="E231" s="399"/>
      <c r="F231" s="96"/>
      <c r="G231" s="399"/>
      <c r="H231" s="96"/>
      <c r="I231" s="399"/>
      <c r="J231" s="96"/>
      <c r="K231" s="399"/>
      <c r="L231" s="96"/>
      <c r="M231" s="399"/>
      <c r="N231" s="96"/>
      <c r="O231" s="399"/>
      <c r="P231" s="96"/>
      <c r="Q231" s="399"/>
      <c r="R231" s="96"/>
      <c r="S231" s="399"/>
      <c r="T231" s="96"/>
      <c r="U231" s="399"/>
      <c r="V231" s="96"/>
      <c r="W231" s="399"/>
      <c r="X231" s="96"/>
      <c r="Y231" s="399"/>
      <c r="Z231" s="96"/>
      <c r="AA231" s="399"/>
      <c r="AB231" s="96"/>
      <c r="AC231" s="399"/>
      <c r="AD231" s="96"/>
      <c r="AE231" s="399"/>
      <c r="AF231" s="96"/>
      <c r="AG231" s="399"/>
      <c r="AH231" s="96"/>
      <c r="AI231" s="399"/>
      <c r="AJ231" s="96"/>
      <c r="AK231" s="399"/>
      <c r="AL231" s="96"/>
      <c r="AM231" s="399"/>
      <c r="AN231" s="96"/>
      <c r="AO231" s="18"/>
      <c r="AP231" s="96"/>
      <c r="AQ231" s="18"/>
      <c r="AR231" s="96"/>
      <c r="AS231" s="18"/>
      <c r="AT231" s="96"/>
      <c r="AU231" s="18"/>
      <c r="AV231" s="96"/>
      <c r="AW231" s="18"/>
      <c r="AX231" s="96"/>
      <c r="AY231" s="18"/>
      <c r="AZ231" s="96"/>
      <c r="BA231" s="18"/>
      <c r="BB231" s="96"/>
      <c r="BC231" s="18"/>
      <c r="BD231" s="96"/>
      <c r="BE231" s="18"/>
      <c r="BF231" s="96"/>
      <c r="BG231" s="18"/>
      <c r="BH231" s="96"/>
      <c r="BI231" s="18"/>
      <c r="BJ231" s="96"/>
      <c r="BK231" s="18"/>
      <c r="BL231" s="96"/>
      <c r="BM231" s="18"/>
      <c r="BN231" s="96"/>
      <c r="BO231" s="18"/>
      <c r="BP231" s="96"/>
      <c r="BQ231" s="18"/>
      <c r="BR231" s="96"/>
      <c r="BS231" s="18"/>
      <c r="BT231" s="96"/>
      <c r="BU231" s="18"/>
      <c r="BV231" s="96"/>
      <c r="BW231" s="18"/>
      <c r="BX231" s="96"/>
      <c r="BY231" s="18"/>
      <c r="BZ231" s="96"/>
      <c r="CA231" s="18"/>
      <c r="CB231" s="96"/>
      <c r="CC231" s="18"/>
      <c r="CD231" s="96"/>
      <c r="CE231" s="18"/>
      <c r="CF231" s="96"/>
      <c r="CG231" s="18"/>
      <c r="CH231" s="96"/>
      <c r="CI231" s="18"/>
      <c r="CJ231" s="96"/>
      <c r="CK231" s="18"/>
      <c r="CL231" s="96"/>
      <c r="CM231" s="18"/>
      <c r="CN231" s="96"/>
      <c r="CO231" s="18"/>
      <c r="CP231" s="96"/>
      <c r="CQ231" s="18"/>
      <c r="CR231" s="96"/>
      <c r="CS231" s="18"/>
      <c r="CT231" s="96"/>
      <c r="CU231" s="18"/>
      <c r="CV231" s="96"/>
      <c r="CW231" s="18"/>
      <c r="CX231" s="96"/>
      <c r="CY231" s="18"/>
      <c r="CZ231" s="96"/>
      <c r="DA231" s="18"/>
      <c r="DB231" s="96"/>
      <c r="DC231" s="18"/>
      <c r="DD231" s="96"/>
      <c r="DE231" s="18"/>
      <c r="DF231" s="96"/>
      <c r="DG231" s="18"/>
      <c r="DH231" s="96"/>
      <c r="DI231" s="18"/>
      <c r="DJ231" s="96"/>
      <c r="DK231" s="18"/>
      <c r="DL231" s="96"/>
      <c r="DM231" s="18"/>
      <c r="DN231" s="96"/>
      <c r="DO231" s="18"/>
      <c r="DP231" s="96"/>
      <c r="DQ231" s="18"/>
      <c r="DR231" s="96"/>
      <c r="DS231" s="18"/>
      <c r="DT231" s="96"/>
      <c r="DU231" s="18"/>
      <c r="DV231" s="96"/>
      <c r="DW231" s="18"/>
      <c r="DX231" s="96"/>
      <c r="DY231" s="18"/>
      <c r="DZ231" s="96"/>
      <c r="EA231" s="18"/>
      <c r="EB231" s="96"/>
      <c r="EC231" s="18"/>
      <c r="ED231" s="96"/>
      <c r="EE231" s="18"/>
      <c r="EF231" s="96"/>
      <c r="EG231" s="18"/>
      <c r="EH231" s="18"/>
      <c r="EI231" s="96"/>
      <c r="EJ231" s="399"/>
      <c r="EK231" s="96"/>
      <c r="EL231" s="399"/>
      <c r="EM231" s="96"/>
      <c r="EN231" s="399"/>
      <c r="EO231" s="96"/>
      <c r="EP231" s="399"/>
      <c r="EQ231" s="96"/>
      <c r="ER231" s="18"/>
      <c r="ES231" s="96"/>
      <c r="ET231" s="18"/>
      <c r="EU231" s="96"/>
      <c r="EV231" s="18"/>
      <c r="EW231" s="96"/>
      <c r="EX231" s="18"/>
      <c r="EY231" s="96"/>
      <c r="EZ231" s="18"/>
      <c r="FA231" s="96"/>
      <c r="FB231" s="18"/>
      <c r="FC231" s="96"/>
      <c r="FD231" s="18"/>
      <c r="FE231" s="96"/>
      <c r="FF231" s="18"/>
      <c r="FG231" s="96"/>
      <c r="FH231" s="18"/>
      <c r="FI231" s="96"/>
      <c r="FJ231" s="18"/>
      <c r="FK231" s="96"/>
      <c r="FL231" s="18"/>
      <c r="FM231" s="96"/>
      <c r="FN231" s="18"/>
      <c r="FO231" s="96"/>
      <c r="FP231" s="18"/>
      <c r="FQ231" s="96"/>
      <c r="FR231" s="18"/>
      <c r="FS231" s="96"/>
      <c r="FT231" s="18"/>
      <c r="FU231" s="96"/>
      <c r="FV231" s="18"/>
      <c r="FW231" s="96"/>
      <c r="FX231" s="18"/>
      <c r="FY231" s="96"/>
      <c r="FZ231" s="18"/>
      <c r="GA231" s="399"/>
    </row>
    <row r="232" spans="1:183" ht="12.75" hidden="1" customHeight="1" outlineLevel="1" x14ac:dyDescent="0.2">
      <c r="A232" s="529"/>
      <c r="B232" s="518"/>
      <c r="C232" s="524"/>
      <c r="D232" s="518"/>
      <c r="E232" s="524"/>
      <c r="F232" s="518"/>
      <c r="G232" s="524"/>
      <c r="H232" s="518"/>
      <c r="I232" s="524"/>
      <c r="J232" s="518"/>
      <c r="K232" s="524"/>
      <c r="L232" s="518"/>
      <c r="M232" s="524"/>
      <c r="N232" s="518"/>
      <c r="O232" s="524"/>
      <c r="P232" s="518"/>
      <c r="Q232" s="524"/>
      <c r="R232" s="518"/>
      <c r="S232" s="524"/>
      <c r="T232" s="518"/>
      <c r="U232" s="524"/>
      <c r="V232" s="518"/>
      <c r="W232" s="524"/>
      <c r="X232" s="518"/>
      <c r="Y232" s="524"/>
      <c r="Z232" s="518"/>
      <c r="AA232" s="524"/>
      <c r="AB232" s="518"/>
      <c r="AC232" s="524"/>
      <c r="AD232" s="518"/>
      <c r="AE232" s="524"/>
      <c r="AF232" s="518"/>
      <c r="AG232" s="524"/>
      <c r="AH232" s="518"/>
      <c r="AI232" s="524"/>
      <c r="AJ232" s="518"/>
      <c r="AK232" s="524"/>
      <c r="AL232" s="518"/>
      <c r="AM232" s="524"/>
      <c r="AN232" s="518"/>
      <c r="AO232" s="520"/>
      <c r="AP232" s="518"/>
      <c r="AQ232" s="520"/>
      <c r="AR232" s="518"/>
      <c r="AS232" s="520"/>
      <c r="AT232" s="518"/>
      <c r="AU232" s="520"/>
      <c r="AV232" s="518"/>
      <c r="AW232" s="520"/>
      <c r="AX232" s="518"/>
      <c r="AY232" s="520"/>
      <c r="AZ232" s="518"/>
      <c r="BA232" s="520"/>
      <c r="BB232" s="518"/>
      <c r="BC232" s="520"/>
      <c r="BD232" s="518"/>
      <c r="BE232" s="520"/>
      <c r="BF232" s="518"/>
      <c r="BG232" s="520"/>
      <c r="BH232" s="518"/>
      <c r="BI232" s="520"/>
      <c r="BJ232" s="518"/>
      <c r="BK232" s="520"/>
      <c r="BL232" s="518"/>
      <c r="BM232" s="520"/>
      <c r="BN232" s="518"/>
      <c r="BO232" s="520"/>
      <c r="BP232" s="518"/>
      <c r="BQ232" s="520"/>
      <c r="BR232" s="518"/>
      <c r="BS232" s="520"/>
      <c r="BT232" s="518"/>
      <c r="BU232" s="520"/>
      <c r="BV232" s="518"/>
      <c r="BW232" s="520"/>
      <c r="BX232" s="518"/>
      <c r="BY232" s="520"/>
      <c r="BZ232" s="518"/>
      <c r="CA232" s="520"/>
      <c r="CB232" s="518"/>
      <c r="CC232" s="520"/>
      <c r="CD232" s="518"/>
      <c r="CE232" s="520"/>
      <c r="CF232" s="518"/>
      <c r="CG232" s="520"/>
      <c r="CH232" s="518"/>
      <c r="CI232" s="520"/>
      <c r="CJ232" s="518"/>
      <c r="CK232" s="520"/>
      <c r="CL232" s="518"/>
      <c r="CM232" s="520"/>
      <c r="CN232" s="518"/>
      <c r="CO232" s="520"/>
      <c r="CP232" s="518"/>
      <c r="CQ232" s="520"/>
      <c r="CR232" s="518"/>
      <c r="CS232" s="520"/>
      <c r="CT232" s="518"/>
      <c r="CU232" s="520"/>
      <c r="CV232" s="518"/>
      <c r="CW232" s="520"/>
      <c r="CX232" s="518"/>
      <c r="CY232" s="520"/>
      <c r="CZ232" s="518"/>
      <c r="DA232" s="520"/>
      <c r="DB232" s="518"/>
      <c r="DC232" s="520"/>
      <c r="DD232" s="518"/>
      <c r="DE232" s="520"/>
      <c r="DF232" s="518"/>
      <c r="DG232" s="520"/>
      <c r="DH232" s="518"/>
      <c r="DI232" s="520"/>
      <c r="DJ232" s="518"/>
      <c r="DK232" s="520"/>
      <c r="DL232" s="518"/>
      <c r="DM232" s="520"/>
      <c r="DN232" s="518"/>
      <c r="DO232" s="520"/>
      <c r="DP232" s="518"/>
      <c r="DQ232" s="520"/>
      <c r="DR232" s="518"/>
      <c r="DS232" s="520"/>
      <c r="DT232" s="518"/>
      <c r="DU232" s="520"/>
      <c r="DV232" s="518"/>
      <c r="DW232" s="520"/>
      <c r="DX232" s="518"/>
      <c r="DY232" s="520"/>
      <c r="DZ232" s="518"/>
      <c r="EA232" s="520"/>
      <c r="EB232" s="518"/>
      <c r="EC232" s="520"/>
      <c r="ED232" s="518"/>
      <c r="EE232" s="520"/>
      <c r="EF232" s="518"/>
      <c r="EG232" s="520"/>
      <c r="EH232" s="520"/>
      <c r="EI232" s="518"/>
      <c r="EJ232" s="524"/>
      <c r="EK232" s="518"/>
      <c r="EL232" s="524"/>
      <c r="EM232" s="518"/>
      <c r="EN232" s="524"/>
      <c r="EO232" s="518"/>
      <c r="EP232" s="524"/>
      <c r="EQ232" s="518"/>
      <c r="ER232" s="520"/>
      <c r="ES232" s="518"/>
      <c r="ET232" s="520"/>
      <c r="EU232" s="518"/>
      <c r="EV232" s="520"/>
      <c r="EW232" s="518"/>
      <c r="EX232" s="520"/>
      <c r="EY232" s="518"/>
      <c r="EZ232" s="520"/>
      <c r="FA232" s="518"/>
      <c r="FB232" s="520"/>
      <c r="FC232" s="518"/>
      <c r="FD232" s="520"/>
      <c r="FE232" s="518"/>
      <c r="FF232" s="520"/>
      <c r="FG232" s="518"/>
      <c r="FH232" s="520"/>
      <c r="FI232" s="518"/>
      <c r="FJ232" s="520"/>
      <c r="FK232" s="518"/>
      <c r="FL232" s="520"/>
      <c r="FM232" s="518"/>
      <c r="FN232" s="520"/>
      <c r="FO232" s="518"/>
      <c r="FP232" s="520"/>
      <c r="FQ232" s="518"/>
      <c r="FR232" s="520"/>
      <c r="FS232" s="518"/>
      <c r="FT232" s="520"/>
      <c r="FU232" s="518"/>
      <c r="FV232" s="520"/>
      <c r="FW232" s="518"/>
      <c r="FX232" s="520"/>
      <c r="FY232" s="518"/>
      <c r="FZ232" s="520"/>
      <c r="GA232" s="524"/>
    </row>
    <row r="233" spans="1:183" ht="21.95" hidden="1" customHeight="1" outlineLevel="1" x14ac:dyDescent="0.25">
      <c r="A233" s="551" t="str">
        <f>INPUT!$B$4</f>
        <v>Unum Group</v>
      </c>
      <c r="B233" s="504"/>
      <c r="C233" s="512"/>
      <c r="D233" s="504"/>
      <c r="E233" s="505"/>
      <c r="F233" s="504"/>
      <c r="G233" s="505"/>
      <c r="H233" s="504"/>
      <c r="I233" s="505"/>
      <c r="J233" s="504"/>
      <c r="K233" s="505"/>
      <c r="L233" s="504"/>
      <c r="M233" s="505"/>
      <c r="N233" s="504"/>
      <c r="O233" s="505"/>
      <c r="P233" s="504"/>
      <c r="Q233" s="505"/>
      <c r="R233" s="504"/>
      <c r="S233" s="505"/>
      <c r="T233" s="504"/>
      <c r="U233" s="505"/>
      <c r="V233" s="504"/>
      <c r="W233" s="505"/>
      <c r="X233" s="504"/>
      <c r="Y233" s="505"/>
      <c r="Z233" s="504"/>
      <c r="AA233" s="505"/>
      <c r="AB233" s="504"/>
      <c r="AC233" s="505"/>
      <c r="AD233" s="504"/>
      <c r="AE233" s="505"/>
      <c r="AF233" s="504"/>
      <c r="AG233" s="505"/>
      <c r="AH233" s="504"/>
      <c r="AI233" s="505"/>
      <c r="AJ233" s="504"/>
      <c r="AK233" s="505"/>
      <c r="AL233" s="504"/>
      <c r="AM233" s="505"/>
      <c r="AN233" s="504"/>
      <c r="AO233" s="506"/>
      <c r="AP233" s="504"/>
      <c r="AQ233" s="506"/>
      <c r="AR233" s="504"/>
      <c r="AS233" s="506"/>
      <c r="AT233" s="504"/>
      <c r="AU233" s="506"/>
      <c r="AV233" s="504"/>
      <c r="AW233" s="506"/>
      <c r="AX233" s="504"/>
      <c r="AY233" s="506"/>
      <c r="AZ233" s="504"/>
      <c r="BA233" s="506"/>
      <c r="BB233" s="504"/>
      <c r="BC233" s="506"/>
      <c r="BD233" s="504"/>
      <c r="BE233" s="506"/>
      <c r="BF233" s="504"/>
      <c r="BG233" s="506"/>
      <c r="BH233" s="504"/>
      <c r="BI233" s="506"/>
      <c r="BJ233" s="504"/>
      <c r="BK233" s="506"/>
      <c r="BL233" s="504"/>
      <c r="BM233" s="506"/>
      <c r="BN233" s="504"/>
      <c r="BO233" s="506"/>
      <c r="BP233" s="504"/>
      <c r="BQ233" s="506"/>
      <c r="BR233" s="504"/>
      <c r="BS233" s="506"/>
      <c r="BT233" s="504"/>
      <c r="BU233" s="506"/>
      <c r="BV233" s="504"/>
      <c r="BW233" s="506"/>
      <c r="BX233" s="504"/>
      <c r="BY233" s="506"/>
      <c r="BZ233" s="504"/>
      <c r="CA233" s="506"/>
      <c r="CB233" s="504"/>
      <c r="CC233" s="506"/>
      <c r="CD233" s="504"/>
      <c r="CE233" s="506"/>
      <c r="CF233" s="504"/>
      <c r="CG233" s="506"/>
      <c r="CH233" s="504"/>
      <c r="CI233" s="506"/>
      <c r="CJ233" s="504"/>
      <c r="CK233" s="506"/>
      <c r="CL233" s="504"/>
      <c r="CM233" s="506"/>
      <c r="CN233" s="504"/>
      <c r="CO233" s="506"/>
      <c r="CP233" s="504"/>
      <c r="CQ233" s="506"/>
      <c r="CR233" s="504"/>
      <c r="CS233" s="506"/>
      <c r="CT233" s="504"/>
      <c r="CU233" s="506"/>
      <c r="CV233" s="504"/>
      <c r="CW233" s="506"/>
      <c r="CX233" s="504"/>
      <c r="CY233" s="506"/>
      <c r="CZ233" s="504"/>
      <c r="DA233" s="506"/>
      <c r="DB233" s="504"/>
      <c r="DC233" s="506"/>
      <c r="DD233" s="504"/>
      <c r="DE233" s="506"/>
      <c r="DF233" s="504"/>
      <c r="DG233" s="506"/>
      <c r="DH233" s="504"/>
      <c r="DI233" s="506"/>
      <c r="DJ233" s="504"/>
      <c r="DK233" s="506"/>
      <c r="DL233" s="504"/>
      <c r="DM233" s="506"/>
      <c r="DN233" s="504"/>
      <c r="DO233" s="506"/>
      <c r="DP233" s="504"/>
      <c r="DQ233" s="506"/>
      <c r="DR233" s="504"/>
      <c r="DS233" s="506"/>
      <c r="DT233" s="504"/>
      <c r="DU233" s="506"/>
      <c r="DV233" s="504"/>
      <c r="DW233" s="506"/>
      <c r="DX233" s="504"/>
      <c r="DY233" s="506"/>
      <c r="DZ233" s="504"/>
      <c r="EA233" s="506"/>
      <c r="EB233" s="504"/>
      <c r="EC233" s="506"/>
      <c r="ED233" s="504"/>
      <c r="EE233" s="506"/>
      <c r="EF233" s="504"/>
      <c r="EG233" s="506"/>
      <c r="EH233" s="506"/>
      <c r="EI233" s="504"/>
      <c r="EJ233" s="505"/>
      <c r="EK233" s="504"/>
      <c r="EL233" s="505"/>
      <c r="EM233" s="504"/>
      <c r="EN233" s="505"/>
      <c r="EO233" s="504"/>
      <c r="EP233" s="505"/>
      <c r="EQ233" s="504"/>
      <c r="ER233" s="506"/>
      <c r="ES233" s="504"/>
      <c r="ET233" s="506"/>
      <c r="EU233" s="504"/>
      <c r="EV233" s="506"/>
      <c r="EW233" s="504"/>
      <c r="EX233" s="506"/>
      <c r="EY233" s="504"/>
      <c r="EZ233" s="506"/>
      <c r="FA233" s="504"/>
      <c r="FB233" s="506"/>
      <c r="FC233" s="504"/>
      <c r="FD233" s="506"/>
      <c r="FE233" s="504"/>
      <c r="FF233" s="506"/>
      <c r="FG233" s="504"/>
      <c r="FH233" s="506"/>
      <c r="FI233" s="504"/>
      <c r="FJ233" s="506"/>
      <c r="FK233" s="504"/>
      <c r="FL233" s="506"/>
      <c r="FM233" s="504"/>
      <c r="FN233" s="506"/>
      <c r="FO233" s="504"/>
      <c r="FP233" s="506"/>
      <c r="FQ233" s="504"/>
      <c r="FR233" s="506"/>
      <c r="FS233" s="504"/>
      <c r="FT233" s="506"/>
      <c r="FU233" s="504"/>
      <c r="FV233" s="506"/>
      <c r="FW233" s="504"/>
      <c r="FX233" s="506"/>
      <c r="FY233" s="504"/>
      <c r="FZ233" s="506"/>
      <c r="GA233" s="505"/>
    </row>
    <row r="234" spans="1:183" ht="12.75" hidden="1" customHeight="1" outlineLevel="1" x14ac:dyDescent="0.2">
      <c r="A234" s="604" t="s">
        <v>34</v>
      </c>
      <c r="B234" s="504"/>
      <c r="C234" s="512"/>
      <c r="D234" s="504"/>
      <c r="E234" s="505"/>
      <c r="F234" s="504"/>
      <c r="G234" s="505"/>
      <c r="H234" s="504"/>
      <c r="I234" s="505"/>
      <c r="J234" s="504"/>
      <c r="K234" s="505"/>
      <c r="L234" s="504"/>
      <c r="M234" s="505"/>
      <c r="N234" s="504"/>
      <c r="O234" s="505"/>
      <c r="P234" s="504"/>
      <c r="Q234" s="505"/>
      <c r="R234" s="504"/>
      <c r="S234" s="505"/>
      <c r="T234" s="504"/>
      <c r="U234" s="505"/>
      <c r="V234" s="504"/>
      <c r="W234" s="505"/>
      <c r="X234" s="504"/>
      <c r="Y234" s="505"/>
      <c r="Z234" s="504"/>
      <c r="AA234" s="505"/>
      <c r="AB234" s="504"/>
      <c r="AC234" s="505"/>
      <c r="AD234" s="504"/>
      <c r="AE234" s="505"/>
      <c r="AF234" s="504"/>
      <c r="AG234" s="505"/>
      <c r="AH234" s="504"/>
      <c r="AI234" s="505"/>
      <c r="AJ234" s="504"/>
      <c r="AK234" s="505"/>
      <c r="AL234" s="504"/>
      <c r="AM234" s="505"/>
      <c r="AN234" s="504"/>
      <c r="AO234" s="506"/>
      <c r="AP234" s="504"/>
      <c r="AQ234" s="506"/>
      <c r="AR234" s="504"/>
      <c r="AS234" s="506"/>
      <c r="AT234" s="504"/>
      <c r="AU234" s="506"/>
      <c r="AV234" s="504"/>
      <c r="AW234" s="506"/>
      <c r="AX234" s="504"/>
      <c r="AY234" s="506"/>
      <c r="AZ234" s="504"/>
      <c r="BA234" s="506"/>
      <c r="BB234" s="504"/>
      <c r="BC234" s="506"/>
      <c r="BD234" s="504"/>
      <c r="BE234" s="506"/>
      <c r="BF234" s="504"/>
      <c r="BG234" s="506"/>
      <c r="BH234" s="504"/>
      <c r="BI234" s="506"/>
      <c r="BJ234" s="504"/>
      <c r="BK234" s="506"/>
      <c r="BL234" s="504"/>
      <c r="BM234" s="506"/>
      <c r="BN234" s="504"/>
      <c r="BO234" s="506"/>
      <c r="BP234" s="504"/>
      <c r="BQ234" s="506"/>
      <c r="BR234" s="504"/>
      <c r="BS234" s="506"/>
      <c r="BT234" s="504"/>
      <c r="BU234" s="506"/>
      <c r="BV234" s="504"/>
      <c r="BW234" s="506"/>
      <c r="BX234" s="504"/>
      <c r="BY234" s="506"/>
      <c r="BZ234" s="504"/>
      <c r="CA234" s="506"/>
      <c r="CB234" s="504"/>
      <c r="CC234" s="506"/>
      <c r="CD234" s="504"/>
      <c r="CE234" s="506"/>
      <c r="CF234" s="504"/>
      <c r="CG234" s="506"/>
      <c r="CH234" s="504"/>
      <c r="CI234" s="506"/>
      <c r="CJ234" s="504"/>
      <c r="CK234" s="506"/>
      <c r="CL234" s="504"/>
      <c r="CM234" s="506"/>
      <c r="CN234" s="504"/>
      <c r="CO234" s="506"/>
      <c r="CP234" s="504"/>
      <c r="CQ234" s="506"/>
      <c r="CR234" s="504"/>
      <c r="CS234" s="506"/>
      <c r="CT234" s="504"/>
      <c r="CU234" s="506"/>
      <c r="CV234" s="504"/>
      <c r="CW234" s="506"/>
      <c r="CX234" s="504"/>
      <c r="CY234" s="506"/>
      <c r="CZ234" s="504"/>
      <c r="DA234" s="506"/>
      <c r="DB234" s="504"/>
      <c r="DC234" s="506"/>
      <c r="DD234" s="504"/>
      <c r="DE234" s="506"/>
      <c r="DF234" s="504"/>
      <c r="DG234" s="506"/>
      <c r="DH234" s="504"/>
      <c r="DI234" s="506"/>
      <c r="DJ234" s="504"/>
      <c r="DK234" s="506"/>
      <c r="DL234" s="504"/>
      <c r="DM234" s="506"/>
      <c r="DN234" s="504"/>
      <c r="DO234" s="506"/>
      <c r="DP234" s="504"/>
      <c r="DQ234" s="506"/>
      <c r="DR234" s="504"/>
      <c r="DS234" s="506"/>
      <c r="DT234" s="504"/>
      <c r="DU234" s="506"/>
      <c r="DV234" s="504"/>
      <c r="DW234" s="506"/>
      <c r="DX234" s="504"/>
      <c r="DY234" s="506"/>
      <c r="DZ234" s="504"/>
      <c r="EA234" s="506"/>
      <c r="EB234" s="504"/>
      <c r="EC234" s="506"/>
      <c r="ED234" s="504"/>
      <c r="EE234" s="506"/>
      <c r="EF234" s="504"/>
      <c r="EG234" s="506"/>
      <c r="EH234" s="506"/>
      <c r="EI234" s="504"/>
      <c r="EJ234" s="505"/>
      <c r="EK234" s="504"/>
      <c r="EL234" s="505"/>
      <c r="EM234" s="504"/>
      <c r="EN234" s="505"/>
      <c r="EO234" s="504"/>
      <c r="EP234" s="505"/>
      <c r="EQ234" s="504"/>
      <c r="ER234" s="506"/>
      <c r="ES234" s="504"/>
      <c r="ET234" s="506"/>
      <c r="EU234" s="504"/>
      <c r="EV234" s="506"/>
      <c r="EW234" s="504"/>
      <c r="EX234" s="506"/>
      <c r="EY234" s="504"/>
      <c r="EZ234" s="506"/>
      <c r="FA234" s="504"/>
      <c r="FB234" s="506"/>
      <c r="FC234" s="504"/>
      <c r="FD234" s="506"/>
      <c r="FE234" s="504"/>
      <c r="FF234" s="506"/>
      <c r="FG234" s="504"/>
      <c r="FH234" s="506"/>
      <c r="FI234" s="504"/>
      <c r="FJ234" s="506"/>
      <c r="FK234" s="504"/>
      <c r="FL234" s="506"/>
      <c r="FM234" s="504"/>
      <c r="FN234" s="506"/>
      <c r="FO234" s="504"/>
      <c r="FP234" s="506"/>
      <c r="FQ234" s="504"/>
      <c r="FR234" s="506"/>
      <c r="FS234" s="504"/>
      <c r="FT234" s="506"/>
      <c r="FU234" s="504"/>
      <c r="FV234" s="506"/>
      <c r="FW234" s="504"/>
      <c r="FX234" s="506"/>
      <c r="FY234" s="504"/>
      <c r="FZ234" s="506"/>
      <c r="GA234" s="505"/>
    </row>
    <row r="235" spans="1:183" s="502" customFormat="1" ht="12.75" hidden="1" customHeight="1" outlineLevel="1" x14ac:dyDescent="0.2">
      <c r="A235" s="507" t="str">
        <f>A$3</f>
        <v>($Millions Except Per Share Data)</v>
      </c>
      <c r="B235" s="508"/>
      <c r="C235" s="509" t="str">
        <f>C$3</f>
        <v>1Q02/</v>
      </c>
      <c r="D235" s="508"/>
      <c r="E235" s="509" t="str">
        <f>E$3</f>
        <v>2Q02/</v>
      </c>
      <c r="F235" s="508"/>
      <c r="G235" s="509" t="str">
        <f>G$3</f>
        <v>3Q02/</v>
      </c>
      <c r="H235" s="508"/>
      <c r="I235" s="509" t="str">
        <f>I$3</f>
        <v>4Q02/</v>
      </c>
      <c r="J235" s="508"/>
      <c r="K235" s="509" t="str">
        <f>K$3</f>
        <v>1Q03/</v>
      </c>
      <c r="L235" s="508"/>
      <c r="M235" s="509" t="str">
        <f>M$3</f>
        <v>2Q03/</v>
      </c>
      <c r="N235" s="508"/>
      <c r="O235" s="509" t="str">
        <f>O$3</f>
        <v>3Q03/</v>
      </c>
      <c r="P235" s="508"/>
      <c r="Q235" s="509" t="str">
        <f>Q$3</f>
        <v>4Q03/</v>
      </c>
      <c r="R235" s="508"/>
      <c r="S235" s="509" t="str">
        <f>S$3</f>
        <v>1Q04/</v>
      </c>
      <c r="T235" s="508"/>
      <c r="U235" s="509" t="str">
        <f>U$3</f>
        <v>2Q04/</v>
      </c>
      <c r="V235" s="508"/>
      <c r="W235" s="509" t="str">
        <f>W$3</f>
        <v>3Q04/</v>
      </c>
      <c r="X235" s="508"/>
      <c r="Y235" s="509" t="str">
        <f>Y$3</f>
        <v>4Q04/</v>
      </c>
      <c r="Z235" s="508"/>
      <c r="AA235" s="509" t="str">
        <f>AA$3</f>
        <v>1Q05/</v>
      </c>
      <c r="AB235" s="508"/>
      <c r="AC235" s="509" t="str">
        <f>AC$3</f>
        <v>2Q05/</v>
      </c>
      <c r="AD235" s="508"/>
      <c r="AE235" s="509" t="str">
        <f>AE$3</f>
        <v>3Q05/</v>
      </c>
      <c r="AF235" s="508"/>
      <c r="AG235" s="509" t="str">
        <f>AG$3</f>
        <v>4Q05/</v>
      </c>
      <c r="AH235" s="508"/>
      <c r="AI235" s="509" t="str">
        <f>AI$3</f>
        <v>1Q06/</v>
      </c>
      <c r="AJ235" s="508"/>
      <c r="AK235" s="509" t="str">
        <f>AK$3</f>
        <v>2Q06/</v>
      </c>
      <c r="AL235" s="508"/>
      <c r="AM235" s="509" t="str">
        <f>AM$3</f>
        <v>3Q06/</v>
      </c>
      <c r="AN235" s="508"/>
      <c r="AO235" s="510" t="str">
        <f>AO$3</f>
        <v>4Q06/</v>
      </c>
      <c r="AP235" s="508"/>
      <c r="AQ235" s="510" t="str">
        <f>AQ$3</f>
        <v>1Q07/</v>
      </c>
      <c r="AR235" s="508"/>
      <c r="AS235" s="510" t="str">
        <f>AS$3</f>
        <v>2Q07/</v>
      </c>
      <c r="AT235" s="508"/>
      <c r="AU235" s="510" t="str">
        <f>AU$3</f>
        <v>3Q07/</v>
      </c>
      <c r="AV235" s="508"/>
      <c r="AW235" s="510" t="str">
        <f>AW$3</f>
        <v>4Q07/</v>
      </c>
      <c r="AX235" s="508"/>
      <c r="AY235" s="510" t="str">
        <f>AY$3</f>
        <v>1Q08/</v>
      </c>
      <c r="AZ235" s="508"/>
      <c r="BA235" s="510" t="str">
        <f>BA$3</f>
        <v>2Q08/</v>
      </c>
      <c r="BB235" s="508"/>
      <c r="BC235" s="510" t="str">
        <f>BC$3</f>
        <v>3Q08/</v>
      </c>
      <c r="BD235" s="508"/>
      <c r="BE235" s="510" t="str">
        <f>BE$3</f>
        <v>4Q08/</v>
      </c>
      <c r="BF235" s="508"/>
      <c r="BG235" s="510" t="str">
        <f>BG$3</f>
        <v>1Q09/</v>
      </c>
      <c r="BH235" s="508"/>
      <c r="BI235" s="510" t="str">
        <f>BI$3</f>
        <v>2Q09/</v>
      </c>
      <c r="BJ235" s="508"/>
      <c r="BK235" s="510" t="str">
        <f>BK$3</f>
        <v>3Q09/</v>
      </c>
      <c r="BL235" s="508"/>
      <c r="BM235" s="510" t="str">
        <f>BM$3</f>
        <v>4Q09/</v>
      </c>
      <c r="BN235" s="508"/>
      <c r="BO235" s="510" t="str">
        <f>BO$3</f>
        <v>1Q10/</v>
      </c>
      <c r="BP235" s="508"/>
      <c r="BQ235" s="510" t="str">
        <f>BQ$3</f>
        <v>2Q10/</v>
      </c>
      <c r="BR235" s="508"/>
      <c r="BS235" s="510" t="str">
        <f>BS$3</f>
        <v>3Q10/</v>
      </c>
      <c r="BT235" s="508"/>
      <c r="BU235" s="510">
        <f>BU$3</f>
        <v>0</v>
      </c>
      <c r="BV235" s="508"/>
      <c r="BW235" s="510" t="str">
        <f>BW$3</f>
        <v>1Q11/</v>
      </c>
      <c r="BX235" s="508"/>
      <c r="BY235" s="510" t="str">
        <f>BY$3</f>
        <v>2Q11/</v>
      </c>
      <c r="BZ235" s="508"/>
      <c r="CA235" s="510" t="str">
        <f>CA$3</f>
        <v>3Q11/</v>
      </c>
      <c r="CB235" s="508"/>
      <c r="CC235" s="510" t="str">
        <f>CC$3</f>
        <v>4Q11/</v>
      </c>
      <c r="CD235" s="508"/>
      <c r="CE235" s="510" t="str">
        <f>CE$3</f>
        <v>1Q12/</v>
      </c>
      <c r="CF235" s="508"/>
      <c r="CG235" s="510" t="str">
        <f>CG$3</f>
        <v>2Q12/</v>
      </c>
      <c r="CH235" s="508"/>
      <c r="CI235" s="510" t="str">
        <f>CI$3</f>
        <v>3Q12/</v>
      </c>
      <c r="CJ235" s="508"/>
      <c r="CK235" s="510" t="str">
        <f>CK$3</f>
        <v>4Q12/</v>
      </c>
      <c r="CL235" s="641"/>
      <c r="CM235" s="642" t="str">
        <f>CM$3</f>
        <v>1Q13/</v>
      </c>
      <c r="CN235" s="641"/>
      <c r="CO235" s="642" t="str">
        <f>CO$3</f>
        <v>2Q13/</v>
      </c>
      <c r="CP235" s="641"/>
      <c r="CQ235" s="642" t="str">
        <f>CQ$3</f>
        <v>3Q13/</v>
      </c>
      <c r="CR235" s="641"/>
      <c r="CS235" s="642" t="str">
        <f>CS$3</f>
        <v>4Q13/</v>
      </c>
      <c r="CT235" s="641"/>
      <c r="CU235" s="642" t="str">
        <f>CU$3</f>
        <v>1Q14/</v>
      </c>
      <c r="CV235" s="641"/>
      <c r="CW235" s="642" t="str">
        <f>CW$3</f>
        <v>2Q14/</v>
      </c>
      <c r="CX235" s="641"/>
      <c r="CY235" s="642" t="str">
        <f>CY$3</f>
        <v>3Q14/</v>
      </c>
      <c r="CZ235" s="641"/>
      <c r="DA235" s="642" t="str">
        <f>DA$3</f>
        <v>4Q14/</v>
      </c>
      <c r="DB235" s="641"/>
      <c r="DC235" s="642" t="str">
        <f>DC$3</f>
        <v>1Q15/</v>
      </c>
      <c r="DD235" s="641"/>
      <c r="DE235" s="642" t="str">
        <f>DE$3</f>
        <v>2Q15/</v>
      </c>
      <c r="DF235" s="641"/>
      <c r="DG235" s="642" t="str">
        <f>DG$3</f>
        <v>3Q15/</v>
      </c>
      <c r="DH235" s="641"/>
      <c r="DI235" s="642" t="str">
        <f>DI$3</f>
        <v>4Q15/</v>
      </c>
      <c r="DJ235" s="641"/>
      <c r="DK235" s="642" t="str">
        <f>DK$3</f>
        <v>1Q16/</v>
      </c>
      <c r="DL235" s="641"/>
      <c r="DM235" s="642" t="str">
        <f>DM$3</f>
        <v>2Q16/</v>
      </c>
      <c r="DN235" s="641"/>
      <c r="DO235" s="642" t="str">
        <f>DO$3</f>
        <v>3Q16/</v>
      </c>
      <c r="DP235" s="641"/>
      <c r="DQ235" s="642" t="str">
        <f>DQ$3</f>
        <v>4Q16/</v>
      </c>
      <c r="DR235" s="641"/>
      <c r="DS235" s="642" t="str">
        <f t="shared" ref="DS235" si="160">DS$3</f>
        <v>1Q17/</v>
      </c>
      <c r="DT235" s="641"/>
      <c r="DU235" s="642" t="str">
        <f t="shared" ref="DU235" si="161">DU$3</f>
        <v>2Q17/</v>
      </c>
      <c r="DV235" s="641"/>
      <c r="DW235" s="642" t="str">
        <f t="shared" ref="DW235" si="162">DW$3</f>
        <v>3Q17/</v>
      </c>
      <c r="DX235" s="641"/>
      <c r="DY235" s="642" t="str">
        <f t="shared" ref="DY235" si="163">DY$3</f>
        <v>4Q17/</v>
      </c>
      <c r="DZ235" s="641"/>
      <c r="EA235" s="642" t="str">
        <f t="shared" ref="EA235" si="164">EA$3</f>
        <v>1Q18E/</v>
      </c>
      <c r="EB235" s="641"/>
      <c r="EC235" s="642" t="str">
        <f t="shared" ref="EC235" si="165">EC$3</f>
        <v>2Q18E/</v>
      </c>
      <c r="ED235" s="641"/>
      <c r="EE235" s="642" t="str">
        <f t="shared" ref="EE235" si="166">EE$3</f>
        <v>3Q18E/</v>
      </c>
      <c r="EF235" s="641"/>
      <c r="EG235" s="642" t="str">
        <f t="shared" ref="EG235" si="167">EG$3</f>
        <v>4Q18E/</v>
      </c>
      <c r="EH235" s="642"/>
      <c r="EI235" s="641"/>
      <c r="EJ235" s="643" t="str">
        <f>EJ$3</f>
        <v>2001/</v>
      </c>
      <c r="EK235" s="641"/>
      <c r="EL235" s="643" t="str">
        <f>EL$3</f>
        <v>2002/</v>
      </c>
      <c r="EM235" s="641"/>
      <c r="EN235" s="643" t="str">
        <f>EN$3</f>
        <v>2003/</v>
      </c>
      <c r="EO235" s="641"/>
      <c r="EP235" s="643" t="str">
        <f>EP$3</f>
        <v>2004/</v>
      </c>
      <c r="EQ235" s="641"/>
      <c r="ER235" s="642" t="str">
        <f>ER$3</f>
        <v>2005/</v>
      </c>
      <c r="ES235" s="641"/>
      <c r="ET235" s="642" t="str">
        <f>ET$3</f>
        <v>2006/</v>
      </c>
      <c r="EU235" s="641"/>
      <c r="EV235" s="642" t="str">
        <f>EV$3</f>
        <v>2007/</v>
      </c>
      <c r="EW235" s="641"/>
      <c r="EX235" s="642" t="str">
        <f>EX$3</f>
        <v>2008/</v>
      </c>
      <c r="EY235" s="641"/>
      <c r="EZ235" s="642" t="str">
        <f>EZ$3</f>
        <v>2009/</v>
      </c>
      <c r="FA235" s="641"/>
      <c r="FB235" s="642" t="str">
        <f>FB$3</f>
        <v>2010/</v>
      </c>
      <c r="FC235" s="641"/>
      <c r="FD235" s="642" t="str">
        <f>FD$3</f>
        <v>2011/</v>
      </c>
      <c r="FE235" s="641"/>
      <c r="FF235" s="642" t="str">
        <f>FF$3</f>
        <v>2012/</v>
      </c>
      <c r="FG235" s="641"/>
      <c r="FH235" s="642" t="str">
        <f>FH$3</f>
        <v>2013/</v>
      </c>
      <c r="FI235" s="641"/>
      <c r="FJ235" s="642" t="str">
        <f>FJ$3</f>
        <v>2014/</v>
      </c>
      <c r="FK235" s="641"/>
      <c r="FL235" s="642" t="str">
        <f>FL$3</f>
        <v>2015/</v>
      </c>
      <c r="FM235" s="641"/>
      <c r="FN235" s="642" t="str">
        <f>FN$3</f>
        <v>2016/</v>
      </c>
      <c r="FO235" s="641"/>
      <c r="FP235" s="642" t="str">
        <f>FP$3</f>
        <v>2017/</v>
      </c>
      <c r="FQ235" s="641"/>
      <c r="FR235" s="642" t="str">
        <f>FR$3</f>
        <v>2018E/</v>
      </c>
      <c r="FS235" s="641"/>
      <c r="FT235" s="642" t="str">
        <f>FT$3</f>
        <v>2019E/</v>
      </c>
      <c r="FU235" s="641"/>
      <c r="FV235" s="642" t="str">
        <f>FV$3</f>
        <v>2020E/</v>
      </c>
      <c r="FW235" s="641"/>
      <c r="FX235" s="642" t="str">
        <f>FX$3</f>
        <v>2021E/</v>
      </c>
      <c r="FY235" s="641"/>
      <c r="FZ235" s="642" t="str">
        <f>FZ$3</f>
        <v>2022E/</v>
      </c>
      <c r="GA235" s="643" t="str">
        <f>INPUT!GT$5</f>
        <v>5-Yr</v>
      </c>
    </row>
    <row r="236" spans="1:183" s="502" customFormat="1" ht="12.75" hidden="1" customHeight="1" outlineLevel="1" x14ac:dyDescent="0.2">
      <c r="A236" s="511"/>
      <c r="B236" s="504"/>
      <c r="C236" s="512" t="str">
        <f>C$4</f>
        <v>1Q01</v>
      </c>
      <c r="D236" s="504"/>
      <c r="E236" s="512" t="str">
        <f>E$4</f>
        <v>2Q01</v>
      </c>
      <c r="F236" s="504"/>
      <c r="G236" s="512" t="str">
        <f>G$4</f>
        <v>3Q01</v>
      </c>
      <c r="H236" s="504"/>
      <c r="I236" s="512" t="str">
        <f>I$4</f>
        <v>4Q01</v>
      </c>
      <c r="J236" s="504"/>
      <c r="K236" s="512" t="str">
        <f>K$4</f>
        <v>1Q02</v>
      </c>
      <c r="L236" s="504"/>
      <c r="M236" s="512" t="str">
        <f>M$4</f>
        <v>2Q02</v>
      </c>
      <c r="N236" s="504"/>
      <c r="O236" s="512" t="str">
        <f>O$4</f>
        <v>3Q02</v>
      </c>
      <c r="P236" s="504"/>
      <c r="Q236" s="512" t="str">
        <f>Q$4</f>
        <v>4Q02</v>
      </c>
      <c r="R236" s="504"/>
      <c r="S236" s="512" t="str">
        <f>S$4</f>
        <v>1Q03</v>
      </c>
      <c r="T236" s="504"/>
      <c r="U236" s="512" t="str">
        <f>U$4</f>
        <v>2Q03</v>
      </c>
      <c r="V236" s="504"/>
      <c r="W236" s="512" t="str">
        <f>W$4</f>
        <v>3Q03</v>
      </c>
      <c r="X236" s="504"/>
      <c r="Y236" s="512" t="str">
        <f>Y$4</f>
        <v>4Q03</v>
      </c>
      <c r="Z236" s="504"/>
      <c r="AA236" s="512" t="str">
        <f>AA$4</f>
        <v>1Q04</v>
      </c>
      <c r="AB236" s="504"/>
      <c r="AC236" s="512" t="str">
        <f>AC$4</f>
        <v>2Q04</v>
      </c>
      <c r="AD236" s="504"/>
      <c r="AE236" s="512" t="str">
        <f>AE$4</f>
        <v>3Q04</v>
      </c>
      <c r="AF236" s="504"/>
      <c r="AG236" s="512" t="str">
        <f>AG$4</f>
        <v>4Q04</v>
      </c>
      <c r="AH236" s="504"/>
      <c r="AI236" s="512" t="str">
        <f>AI$4</f>
        <v>1Q05</v>
      </c>
      <c r="AJ236" s="504"/>
      <c r="AK236" s="512" t="str">
        <f>AK$4</f>
        <v>2Q05</v>
      </c>
      <c r="AL236" s="504"/>
      <c r="AM236" s="512" t="str">
        <f>AM$4</f>
        <v>3Q05</v>
      </c>
      <c r="AN236" s="504"/>
      <c r="AO236" s="506" t="str">
        <f>AO$4</f>
        <v>4Q05</v>
      </c>
      <c r="AP236" s="504"/>
      <c r="AQ236" s="506" t="str">
        <f>AQ$4</f>
        <v>1Q06</v>
      </c>
      <c r="AR236" s="504"/>
      <c r="AS236" s="506" t="str">
        <f>AS$4</f>
        <v>2Q06</v>
      </c>
      <c r="AT236" s="504"/>
      <c r="AU236" s="506" t="str">
        <f>AU$4</f>
        <v>3Q06</v>
      </c>
      <c r="AV236" s="504"/>
      <c r="AW236" s="506" t="str">
        <f>AW$4</f>
        <v>4Q06</v>
      </c>
      <c r="AX236" s="504"/>
      <c r="AY236" s="506" t="str">
        <f>AY$4</f>
        <v>1Q07</v>
      </c>
      <c r="AZ236" s="504"/>
      <c r="BA236" s="506" t="str">
        <f>BA$4</f>
        <v>2Q07</v>
      </c>
      <c r="BB236" s="504"/>
      <c r="BC236" s="506" t="str">
        <f>BC$4</f>
        <v>3Q07</v>
      </c>
      <c r="BD236" s="504"/>
      <c r="BE236" s="506" t="str">
        <f>BE$4</f>
        <v>4Q07</v>
      </c>
      <c r="BF236" s="504"/>
      <c r="BG236" s="506" t="str">
        <f>BG$4</f>
        <v>1Q08</v>
      </c>
      <c r="BH236" s="504"/>
      <c r="BI236" s="506" t="str">
        <f>BI$4</f>
        <v>2Q08</v>
      </c>
      <c r="BJ236" s="504"/>
      <c r="BK236" s="506" t="str">
        <f>BK$4</f>
        <v>3Q08</v>
      </c>
      <c r="BL236" s="504"/>
      <c r="BM236" s="506" t="str">
        <f>BM$4</f>
        <v>4Q08</v>
      </c>
      <c r="BN236" s="504"/>
      <c r="BO236" s="506" t="str">
        <f>BO$4</f>
        <v>1Q09</v>
      </c>
      <c r="BP236" s="504"/>
      <c r="BQ236" s="506" t="str">
        <f>BQ$4</f>
        <v>2Q09</v>
      </c>
      <c r="BR236" s="504"/>
      <c r="BS236" s="506" t="str">
        <f>BS$4</f>
        <v>3Q09</v>
      </c>
      <c r="BT236" s="504"/>
      <c r="BU236" s="506" t="str">
        <f>BU$4</f>
        <v>4Q09</v>
      </c>
      <c r="BV236" s="504"/>
      <c r="BW236" s="506" t="str">
        <f>BW$4</f>
        <v>1Q10</v>
      </c>
      <c r="BX236" s="504"/>
      <c r="BY236" s="506" t="str">
        <f>BY$4</f>
        <v>2Q10</v>
      </c>
      <c r="BZ236" s="504"/>
      <c r="CA236" s="506" t="str">
        <f>CA$4</f>
        <v>3Q10</v>
      </c>
      <c r="CB236" s="504"/>
      <c r="CC236" s="506" t="str">
        <f>CC$4</f>
        <v>4Q10</v>
      </c>
      <c r="CD236" s="504"/>
      <c r="CE236" s="506" t="str">
        <f>CE$4</f>
        <v>1Q11</v>
      </c>
      <c r="CF236" s="504"/>
      <c r="CG236" s="506" t="str">
        <f>CG$4</f>
        <v>2Q11</v>
      </c>
      <c r="CH236" s="504"/>
      <c r="CI236" s="506" t="str">
        <f>CI$4</f>
        <v>3Q11</v>
      </c>
      <c r="CJ236" s="504"/>
      <c r="CK236" s="506" t="str">
        <f>CK$4</f>
        <v>4Q11</v>
      </c>
      <c r="CL236" s="638"/>
      <c r="CM236" s="639" t="str">
        <f>CM$4</f>
        <v>1Q12</v>
      </c>
      <c r="CN236" s="638"/>
      <c r="CO236" s="639" t="str">
        <f>CO$4</f>
        <v>2Q12</v>
      </c>
      <c r="CP236" s="638"/>
      <c r="CQ236" s="639" t="str">
        <f>CQ$4</f>
        <v>3Q12</v>
      </c>
      <c r="CR236" s="638"/>
      <c r="CS236" s="639" t="str">
        <f>CS$4</f>
        <v>4Q12</v>
      </c>
      <c r="CT236" s="638"/>
      <c r="CU236" s="639" t="str">
        <f>CU$4</f>
        <v>1Q13</v>
      </c>
      <c r="CV236" s="638"/>
      <c r="CW236" s="639" t="str">
        <f>CW$4</f>
        <v>2Q13</v>
      </c>
      <c r="CX236" s="638"/>
      <c r="CY236" s="639" t="str">
        <f>CY$4</f>
        <v>3Q13</v>
      </c>
      <c r="CZ236" s="638"/>
      <c r="DA236" s="639" t="str">
        <f>DA$4</f>
        <v>4Q13</v>
      </c>
      <c r="DB236" s="638"/>
      <c r="DC236" s="639" t="str">
        <f>DC$4</f>
        <v>1Q14</v>
      </c>
      <c r="DD236" s="638"/>
      <c r="DE236" s="639" t="str">
        <f>DE$4</f>
        <v>2Q14</v>
      </c>
      <c r="DF236" s="638"/>
      <c r="DG236" s="639" t="str">
        <f>DG$4</f>
        <v>3Q14</v>
      </c>
      <c r="DH236" s="638"/>
      <c r="DI236" s="639" t="str">
        <f>DI$4</f>
        <v>4Q14</v>
      </c>
      <c r="DJ236" s="638"/>
      <c r="DK236" s="639" t="str">
        <f>DK$4</f>
        <v>1Q15</v>
      </c>
      <c r="DL236" s="638"/>
      <c r="DM236" s="639" t="str">
        <f>DM$4</f>
        <v>2Q15</v>
      </c>
      <c r="DN236" s="638"/>
      <c r="DO236" s="639" t="str">
        <f>DO$4</f>
        <v>3Q15</v>
      </c>
      <c r="DP236" s="638"/>
      <c r="DQ236" s="639" t="str">
        <f>DQ$4</f>
        <v>4Q15</v>
      </c>
      <c r="DR236" s="638"/>
      <c r="DS236" s="639" t="str">
        <f t="shared" ref="DS236" si="168">DS$4</f>
        <v>1Q16</v>
      </c>
      <c r="DT236" s="638"/>
      <c r="DU236" s="639" t="str">
        <f t="shared" ref="DU236" si="169">DU$4</f>
        <v>2Q16</v>
      </c>
      <c r="DV236" s="638"/>
      <c r="DW236" s="639" t="str">
        <f t="shared" ref="DW236" si="170">DW$4</f>
        <v>3Q16</v>
      </c>
      <c r="DX236" s="638"/>
      <c r="DY236" s="639" t="str">
        <f t="shared" ref="DY236" si="171">DY$4</f>
        <v>4Q16</v>
      </c>
      <c r="DZ236" s="638"/>
      <c r="EA236" s="639" t="str">
        <f t="shared" ref="EA236" si="172">EA$4</f>
        <v>1Q17</v>
      </c>
      <c r="EB236" s="638"/>
      <c r="EC236" s="639" t="str">
        <f t="shared" ref="EC236" si="173">EC$4</f>
        <v>2Q17</v>
      </c>
      <c r="ED236" s="638"/>
      <c r="EE236" s="639" t="str">
        <f t="shared" ref="EE236" si="174">EE$4</f>
        <v>3Q17</v>
      </c>
      <c r="EF236" s="638"/>
      <c r="EG236" s="639" t="str">
        <f t="shared" ref="EG236" si="175">EG$4</f>
        <v>4Q17</v>
      </c>
      <c r="EH236" s="639"/>
      <c r="EI236" s="638"/>
      <c r="EJ236" s="418" t="str">
        <f>EJ$4</f>
        <v>2000</v>
      </c>
      <c r="EK236" s="638"/>
      <c r="EL236" s="418" t="str">
        <f>EL$4</f>
        <v>2001</v>
      </c>
      <c r="EM236" s="638"/>
      <c r="EN236" s="418" t="str">
        <f>EN$4</f>
        <v>2002</v>
      </c>
      <c r="EO236" s="638"/>
      <c r="EP236" s="418" t="str">
        <f>EP$4</f>
        <v>2003</v>
      </c>
      <c r="EQ236" s="638"/>
      <c r="ER236" s="639" t="str">
        <f>ER$4</f>
        <v>2004</v>
      </c>
      <c r="ES236" s="638"/>
      <c r="ET236" s="639" t="str">
        <f>ET$4</f>
        <v>2005</v>
      </c>
      <c r="EU236" s="638"/>
      <c r="EV236" s="639">
        <f>EV$4</f>
        <v>2006</v>
      </c>
      <c r="EW236" s="638"/>
      <c r="EX236" s="639">
        <f>EX$4</f>
        <v>2007</v>
      </c>
      <c r="EY236" s="638"/>
      <c r="EZ236" s="639">
        <f>EZ$4</f>
        <v>2008</v>
      </c>
      <c r="FA236" s="638"/>
      <c r="FB236" s="639" t="str">
        <f>FB$4</f>
        <v>2009</v>
      </c>
      <c r="FC236" s="638"/>
      <c r="FD236" s="639" t="str">
        <f>FD$4</f>
        <v>2010</v>
      </c>
      <c r="FE236" s="638"/>
      <c r="FF236" s="639" t="str">
        <f>FF$4</f>
        <v>2011</v>
      </c>
      <c r="FG236" s="638"/>
      <c r="FH236" s="639" t="str">
        <f>FH$4</f>
        <v>2012</v>
      </c>
      <c r="FI236" s="638"/>
      <c r="FJ236" s="639" t="str">
        <f>FJ$4</f>
        <v>2013</v>
      </c>
      <c r="FK236" s="638"/>
      <c r="FL236" s="639" t="str">
        <f>FL$4</f>
        <v>2014</v>
      </c>
      <c r="FM236" s="638"/>
      <c r="FN236" s="639" t="str">
        <f>FN$4</f>
        <v>2015</v>
      </c>
      <c r="FO236" s="638"/>
      <c r="FP236" s="639" t="str">
        <f>FP$4</f>
        <v>2016</v>
      </c>
      <c r="FQ236" s="638"/>
      <c r="FR236" s="639" t="str">
        <f>FR$4</f>
        <v>2017</v>
      </c>
      <c r="FS236" s="638"/>
      <c r="FT236" s="639" t="str">
        <f>FT$4</f>
        <v>2018E</v>
      </c>
      <c r="FU236" s="638"/>
      <c r="FV236" s="639" t="str">
        <f>FV$4</f>
        <v>2019E</v>
      </c>
      <c r="FW236" s="638"/>
      <c r="FX236" s="639" t="str">
        <f>FX$4</f>
        <v>2020E</v>
      </c>
      <c r="FY236" s="638"/>
      <c r="FZ236" s="639" t="str">
        <f>FZ$4</f>
        <v>2021E</v>
      </c>
      <c r="GA236" s="418" t="s">
        <v>113</v>
      </c>
    </row>
    <row r="237" spans="1:183" s="502" customFormat="1" ht="12.75" hidden="1" customHeight="1" outlineLevel="1" x14ac:dyDescent="0.2">
      <c r="A237" s="513"/>
      <c r="B237" s="514" t="str">
        <f t="shared" ref="B237:DR237" si="176">B$5</f>
        <v>1Q02</v>
      </c>
      <c r="C237" s="515" t="str">
        <f t="shared" si="176"/>
        <v>% Chg</v>
      </c>
      <c r="D237" s="514" t="str">
        <f t="shared" si="176"/>
        <v>2Q02</v>
      </c>
      <c r="E237" s="515" t="str">
        <f t="shared" si="176"/>
        <v>% Chg</v>
      </c>
      <c r="F237" s="514" t="str">
        <f t="shared" si="176"/>
        <v>3Q02</v>
      </c>
      <c r="G237" s="515" t="str">
        <f t="shared" si="176"/>
        <v>% Chg</v>
      </c>
      <c r="H237" s="514" t="str">
        <f t="shared" si="176"/>
        <v>4Q02</v>
      </c>
      <c r="I237" s="515" t="str">
        <f t="shared" si="176"/>
        <v>% Chg</v>
      </c>
      <c r="J237" s="514" t="str">
        <f t="shared" si="176"/>
        <v>1Q03</v>
      </c>
      <c r="K237" s="515" t="str">
        <f t="shared" si="176"/>
        <v>% Chg</v>
      </c>
      <c r="L237" s="514" t="str">
        <f t="shared" si="176"/>
        <v>2Q03</v>
      </c>
      <c r="M237" s="515" t="str">
        <f t="shared" si="176"/>
        <v>% Chg</v>
      </c>
      <c r="N237" s="514" t="str">
        <f t="shared" si="176"/>
        <v>3Q03</v>
      </c>
      <c r="O237" s="515" t="str">
        <f t="shared" si="176"/>
        <v>% Chg</v>
      </c>
      <c r="P237" s="514" t="str">
        <f t="shared" si="176"/>
        <v>4Q03</v>
      </c>
      <c r="Q237" s="515" t="str">
        <f t="shared" si="176"/>
        <v>% Chg</v>
      </c>
      <c r="R237" s="514" t="str">
        <f t="shared" si="176"/>
        <v>1Q04</v>
      </c>
      <c r="S237" s="515" t="str">
        <f t="shared" si="176"/>
        <v>% Chg</v>
      </c>
      <c r="T237" s="514" t="str">
        <f t="shared" si="176"/>
        <v>2Q04</v>
      </c>
      <c r="U237" s="515" t="str">
        <f t="shared" si="176"/>
        <v>% Chg</v>
      </c>
      <c r="V237" s="514" t="str">
        <f t="shared" si="176"/>
        <v>3Q04</v>
      </c>
      <c r="W237" s="515" t="str">
        <f t="shared" si="176"/>
        <v>% Chg</v>
      </c>
      <c r="X237" s="514" t="str">
        <f t="shared" si="176"/>
        <v>4Q04</v>
      </c>
      <c r="Y237" s="515" t="str">
        <f t="shared" si="176"/>
        <v>% Chg</v>
      </c>
      <c r="Z237" s="514" t="str">
        <f t="shared" si="176"/>
        <v>1Q05</v>
      </c>
      <c r="AA237" s="515" t="str">
        <f t="shared" si="176"/>
        <v>% Chg</v>
      </c>
      <c r="AB237" s="514" t="str">
        <f t="shared" si="176"/>
        <v>2Q05</v>
      </c>
      <c r="AC237" s="515" t="str">
        <f t="shared" si="176"/>
        <v>% Chg</v>
      </c>
      <c r="AD237" s="514" t="str">
        <f t="shared" si="176"/>
        <v>3Q05</v>
      </c>
      <c r="AE237" s="515" t="str">
        <f t="shared" si="176"/>
        <v>% Chg</v>
      </c>
      <c r="AF237" s="514" t="str">
        <f t="shared" si="176"/>
        <v>4Q05</v>
      </c>
      <c r="AG237" s="515" t="str">
        <f t="shared" si="176"/>
        <v>% Chg</v>
      </c>
      <c r="AH237" s="514" t="str">
        <f t="shared" si="176"/>
        <v>1Q06</v>
      </c>
      <c r="AI237" s="515" t="str">
        <f t="shared" si="176"/>
        <v>% Chg</v>
      </c>
      <c r="AJ237" s="514" t="str">
        <f t="shared" si="176"/>
        <v>2Q06</v>
      </c>
      <c r="AK237" s="515" t="str">
        <f t="shared" si="176"/>
        <v>% Chg</v>
      </c>
      <c r="AL237" s="514" t="str">
        <f t="shared" si="176"/>
        <v>3Q06</v>
      </c>
      <c r="AM237" s="515" t="str">
        <f t="shared" si="176"/>
        <v>% Chg</v>
      </c>
      <c r="AN237" s="514" t="str">
        <f t="shared" si="176"/>
        <v>4Q06</v>
      </c>
      <c r="AO237" s="516" t="str">
        <f t="shared" si="176"/>
        <v>% Chg</v>
      </c>
      <c r="AP237" s="514" t="str">
        <f t="shared" si="176"/>
        <v>1Q07</v>
      </c>
      <c r="AQ237" s="516" t="str">
        <f t="shared" si="176"/>
        <v>% Chg</v>
      </c>
      <c r="AR237" s="514" t="str">
        <f t="shared" si="176"/>
        <v>2Q07</v>
      </c>
      <c r="AS237" s="516" t="str">
        <f t="shared" si="176"/>
        <v>% Chg</v>
      </c>
      <c r="AT237" s="514" t="str">
        <f t="shared" si="176"/>
        <v>3Q07</v>
      </c>
      <c r="AU237" s="516" t="str">
        <f t="shared" si="176"/>
        <v>% Chg</v>
      </c>
      <c r="AV237" s="514" t="str">
        <f t="shared" si="176"/>
        <v>4Q07</v>
      </c>
      <c r="AW237" s="516" t="str">
        <f t="shared" si="176"/>
        <v>% Chg</v>
      </c>
      <c r="AX237" s="514" t="str">
        <f t="shared" si="176"/>
        <v>1Q08</v>
      </c>
      <c r="AY237" s="516" t="str">
        <f t="shared" si="176"/>
        <v>% Chg</v>
      </c>
      <c r="AZ237" s="514" t="str">
        <f t="shared" si="176"/>
        <v>2Q08</v>
      </c>
      <c r="BA237" s="516" t="str">
        <f t="shared" si="176"/>
        <v>% Chg</v>
      </c>
      <c r="BB237" s="514" t="str">
        <f t="shared" si="176"/>
        <v>3Q08</v>
      </c>
      <c r="BC237" s="516" t="str">
        <f t="shared" si="176"/>
        <v>% Chg</v>
      </c>
      <c r="BD237" s="514" t="str">
        <f t="shared" si="176"/>
        <v>4Q08</v>
      </c>
      <c r="BE237" s="516" t="str">
        <f t="shared" si="176"/>
        <v>% Chg</v>
      </c>
      <c r="BF237" s="514" t="str">
        <f t="shared" si="176"/>
        <v>1Q09</v>
      </c>
      <c r="BG237" s="516" t="str">
        <f t="shared" si="176"/>
        <v>% Chg</v>
      </c>
      <c r="BH237" s="514" t="str">
        <f t="shared" si="176"/>
        <v>2Q09</v>
      </c>
      <c r="BI237" s="516" t="str">
        <f t="shared" si="176"/>
        <v>% Chg</v>
      </c>
      <c r="BJ237" s="514" t="str">
        <f t="shared" si="176"/>
        <v>3Q09</v>
      </c>
      <c r="BK237" s="516" t="str">
        <f t="shared" si="176"/>
        <v>% Chg</v>
      </c>
      <c r="BL237" s="514" t="str">
        <f t="shared" si="176"/>
        <v>4Q09</v>
      </c>
      <c r="BM237" s="516" t="str">
        <f t="shared" ref="BM237:DX237" si="177">BM$5</f>
        <v>% Chg</v>
      </c>
      <c r="BN237" s="514" t="str">
        <f t="shared" si="176"/>
        <v>1Q10</v>
      </c>
      <c r="BO237" s="516" t="str">
        <f t="shared" si="177"/>
        <v>% Chg</v>
      </c>
      <c r="BP237" s="514" t="str">
        <f t="shared" si="176"/>
        <v>2Q10</v>
      </c>
      <c r="BQ237" s="516" t="str">
        <f t="shared" si="177"/>
        <v>% Chg</v>
      </c>
      <c r="BR237" s="514" t="str">
        <f t="shared" si="176"/>
        <v>3Q10</v>
      </c>
      <c r="BS237" s="516" t="str">
        <f t="shared" si="177"/>
        <v>% Chg</v>
      </c>
      <c r="BT237" s="514" t="str">
        <f t="shared" si="176"/>
        <v>4Q10</v>
      </c>
      <c r="BU237" s="516" t="str">
        <f t="shared" si="177"/>
        <v>% Chg</v>
      </c>
      <c r="BV237" s="514" t="str">
        <f t="shared" si="176"/>
        <v>1Q11</v>
      </c>
      <c r="BW237" s="516" t="str">
        <f t="shared" si="177"/>
        <v>% Chg</v>
      </c>
      <c r="BX237" s="514" t="str">
        <f t="shared" si="176"/>
        <v>2Q11</v>
      </c>
      <c r="BY237" s="516" t="str">
        <f t="shared" si="177"/>
        <v>% Chg</v>
      </c>
      <c r="BZ237" s="514" t="str">
        <f t="shared" si="176"/>
        <v>3Q11</v>
      </c>
      <c r="CA237" s="516" t="str">
        <f t="shared" si="177"/>
        <v>% Chg</v>
      </c>
      <c r="CB237" s="514" t="str">
        <f t="shared" si="176"/>
        <v>4Q11</v>
      </c>
      <c r="CC237" s="516" t="str">
        <f t="shared" si="177"/>
        <v>% Chg</v>
      </c>
      <c r="CD237" s="514" t="str">
        <f t="shared" si="176"/>
        <v>1Q12</v>
      </c>
      <c r="CE237" s="516" t="str">
        <f t="shared" si="177"/>
        <v>% Chg</v>
      </c>
      <c r="CF237" s="514" t="str">
        <f t="shared" si="176"/>
        <v>2Q12</v>
      </c>
      <c r="CG237" s="516" t="str">
        <f t="shared" si="177"/>
        <v>% Chg</v>
      </c>
      <c r="CH237" s="514" t="str">
        <f t="shared" si="176"/>
        <v>3Q12</v>
      </c>
      <c r="CI237" s="516" t="str">
        <f t="shared" si="177"/>
        <v>% Chg</v>
      </c>
      <c r="CJ237" s="514" t="str">
        <f t="shared" si="176"/>
        <v>4Q12</v>
      </c>
      <c r="CK237" s="516" t="str">
        <f t="shared" si="177"/>
        <v>% Chg</v>
      </c>
      <c r="CL237" s="607" t="str">
        <f t="shared" si="176"/>
        <v>1Q13</v>
      </c>
      <c r="CM237" s="30" t="str">
        <f t="shared" si="177"/>
        <v>% Chg</v>
      </c>
      <c r="CN237" s="607" t="str">
        <f t="shared" si="176"/>
        <v>2Q13</v>
      </c>
      <c r="CO237" s="30" t="str">
        <f t="shared" si="177"/>
        <v>% Chg</v>
      </c>
      <c r="CP237" s="607" t="str">
        <f t="shared" si="176"/>
        <v>3Q13</v>
      </c>
      <c r="CQ237" s="30" t="str">
        <f t="shared" si="177"/>
        <v>% Chg</v>
      </c>
      <c r="CR237" s="607" t="str">
        <f t="shared" si="176"/>
        <v>4Q13</v>
      </c>
      <c r="CS237" s="30" t="str">
        <f t="shared" si="177"/>
        <v>% Chg</v>
      </c>
      <c r="CT237" s="607" t="str">
        <f t="shared" si="176"/>
        <v>1Q14</v>
      </c>
      <c r="CU237" s="30" t="str">
        <f t="shared" si="177"/>
        <v>% Chg</v>
      </c>
      <c r="CV237" s="607" t="str">
        <f t="shared" si="176"/>
        <v>2Q14</v>
      </c>
      <c r="CW237" s="30" t="str">
        <f t="shared" si="177"/>
        <v>% Chg</v>
      </c>
      <c r="CX237" s="607" t="str">
        <f t="shared" si="176"/>
        <v>3Q14</v>
      </c>
      <c r="CY237" s="30" t="str">
        <f t="shared" si="177"/>
        <v>% Chg</v>
      </c>
      <c r="CZ237" s="607" t="str">
        <f t="shared" si="176"/>
        <v>4Q14</v>
      </c>
      <c r="DA237" s="30" t="str">
        <f t="shared" si="177"/>
        <v>% Chg</v>
      </c>
      <c r="DB237" s="607" t="str">
        <f t="shared" si="176"/>
        <v>1Q15</v>
      </c>
      <c r="DC237" s="30" t="str">
        <f t="shared" si="177"/>
        <v>% Chg</v>
      </c>
      <c r="DD237" s="607" t="str">
        <f t="shared" si="176"/>
        <v>2Q15</v>
      </c>
      <c r="DE237" s="30" t="str">
        <f t="shared" si="177"/>
        <v>% Chg</v>
      </c>
      <c r="DF237" s="607" t="str">
        <f t="shared" si="176"/>
        <v>3Q15</v>
      </c>
      <c r="DG237" s="30" t="str">
        <f t="shared" si="177"/>
        <v>% Chg</v>
      </c>
      <c r="DH237" s="607" t="str">
        <f t="shared" si="176"/>
        <v>4Q15</v>
      </c>
      <c r="DI237" s="30" t="str">
        <f t="shared" si="177"/>
        <v>% Chg</v>
      </c>
      <c r="DJ237" s="607" t="str">
        <f t="shared" si="176"/>
        <v>1Q16</v>
      </c>
      <c r="DK237" s="30" t="str">
        <f t="shared" si="177"/>
        <v>% Chg</v>
      </c>
      <c r="DL237" s="607" t="str">
        <f t="shared" si="176"/>
        <v>2Q16</v>
      </c>
      <c r="DM237" s="30" t="str">
        <f t="shared" si="177"/>
        <v>% Chg</v>
      </c>
      <c r="DN237" s="607" t="str">
        <f t="shared" si="176"/>
        <v>3Q16</v>
      </c>
      <c r="DO237" s="30" t="str">
        <f t="shared" si="177"/>
        <v>% Chg</v>
      </c>
      <c r="DP237" s="607" t="str">
        <f t="shared" si="176"/>
        <v>4Q16</v>
      </c>
      <c r="DQ237" s="30" t="str">
        <f t="shared" si="177"/>
        <v>% Chg</v>
      </c>
      <c r="DR237" s="607" t="str">
        <f t="shared" si="176"/>
        <v>1Q17</v>
      </c>
      <c r="DS237" s="30" t="str">
        <f t="shared" si="177"/>
        <v>% Chg</v>
      </c>
      <c r="DT237" s="607" t="str">
        <f t="shared" si="177"/>
        <v>2Q17</v>
      </c>
      <c r="DU237" s="30" t="str">
        <f t="shared" si="177"/>
        <v>% Chg</v>
      </c>
      <c r="DV237" s="607" t="str">
        <f t="shared" si="177"/>
        <v>3Q17</v>
      </c>
      <c r="DW237" s="30" t="str">
        <f t="shared" si="177"/>
        <v>% Chg</v>
      </c>
      <c r="DX237" s="607" t="str">
        <f t="shared" si="177"/>
        <v>4Q17</v>
      </c>
      <c r="DY237" s="30" t="str">
        <f t="shared" ref="DY237:EG237" si="178">DY$5</f>
        <v>% Chg</v>
      </c>
      <c r="DZ237" s="607" t="str">
        <f t="shared" si="178"/>
        <v>1Q18E</v>
      </c>
      <c r="EA237" s="30" t="str">
        <f t="shared" si="178"/>
        <v>% Chg</v>
      </c>
      <c r="EB237" s="607" t="str">
        <f t="shared" si="178"/>
        <v>2Q18E</v>
      </c>
      <c r="EC237" s="30" t="str">
        <f t="shared" si="178"/>
        <v>% Chg</v>
      </c>
      <c r="ED237" s="607" t="str">
        <f t="shared" si="178"/>
        <v>3Q18E</v>
      </c>
      <c r="EE237" s="30" t="str">
        <f t="shared" si="178"/>
        <v>% Chg</v>
      </c>
      <c r="EF237" s="607" t="str">
        <f t="shared" si="178"/>
        <v>4Q18E</v>
      </c>
      <c r="EG237" s="30" t="str">
        <f t="shared" si="178"/>
        <v>% Chg</v>
      </c>
      <c r="EH237" s="30"/>
      <c r="EI237" s="607" t="str">
        <f t="shared" ref="EI237:FZ237" si="179">EI$5</f>
        <v>2001</v>
      </c>
      <c r="EJ237" s="608" t="str">
        <f t="shared" si="179"/>
        <v>% Chg</v>
      </c>
      <c r="EK237" s="607" t="str">
        <f t="shared" si="179"/>
        <v>2002</v>
      </c>
      <c r="EL237" s="608" t="str">
        <f t="shared" si="179"/>
        <v>% Chg</v>
      </c>
      <c r="EM237" s="607" t="str">
        <f t="shared" si="179"/>
        <v>2003</v>
      </c>
      <c r="EN237" s="608" t="str">
        <f t="shared" si="179"/>
        <v>% Chg</v>
      </c>
      <c r="EO237" s="607" t="str">
        <f t="shared" si="179"/>
        <v>2004</v>
      </c>
      <c r="EP237" s="608" t="str">
        <f t="shared" si="179"/>
        <v>% Chg</v>
      </c>
      <c r="EQ237" s="607" t="str">
        <f t="shared" si="179"/>
        <v>2005</v>
      </c>
      <c r="ER237" s="30" t="str">
        <f t="shared" si="179"/>
        <v>% Chg</v>
      </c>
      <c r="ES237" s="609">
        <f t="shared" si="179"/>
        <v>2006</v>
      </c>
      <c r="ET237" s="30" t="str">
        <f t="shared" si="179"/>
        <v>% Chg</v>
      </c>
      <c r="EU237" s="609">
        <f t="shared" si="179"/>
        <v>2007</v>
      </c>
      <c r="EV237" s="30" t="str">
        <f t="shared" si="179"/>
        <v>% Chg</v>
      </c>
      <c r="EW237" s="609">
        <f t="shared" si="179"/>
        <v>2008</v>
      </c>
      <c r="EX237" s="30" t="str">
        <f>EX$5</f>
        <v>% Chg</v>
      </c>
      <c r="EY237" s="607" t="str">
        <f t="shared" si="179"/>
        <v>2009</v>
      </c>
      <c r="EZ237" s="30" t="str">
        <f t="shared" si="179"/>
        <v>% Chg</v>
      </c>
      <c r="FA237" s="607" t="str">
        <f t="shared" si="179"/>
        <v>2010</v>
      </c>
      <c r="FB237" s="30" t="str">
        <f t="shared" si="179"/>
        <v>% Chg</v>
      </c>
      <c r="FC237" s="607" t="str">
        <f t="shared" si="179"/>
        <v>2011</v>
      </c>
      <c r="FD237" s="30" t="str">
        <f t="shared" si="179"/>
        <v>% Chg</v>
      </c>
      <c r="FE237" s="607" t="str">
        <f t="shared" si="179"/>
        <v>2012</v>
      </c>
      <c r="FF237" s="30" t="str">
        <f t="shared" si="179"/>
        <v>% Chg</v>
      </c>
      <c r="FG237" s="607" t="str">
        <f t="shared" si="179"/>
        <v>2013</v>
      </c>
      <c r="FH237" s="30" t="str">
        <f t="shared" si="179"/>
        <v>% Chg</v>
      </c>
      <c r="FI237" s="607" t="str">
        <f t="shared" si="179"/>
        <v>2014</v>
      </c>
      <c r="FJ237" s="30" t="str">
        <f t="shared" si="179"/>
        <v>% Chg</v>
      </c>
      <c r="FK237" s="607" t="str">
        <f t="shared" si="179"/>
        <v>2015</v>
      </c>
      <c r="FL237" s="30" t="str">
        <f t="shared" si="179"/>
        <v>% Chg</v>
      </c>
      <c r="FM237" s="607" t="str">
        <f t="shared" si="179"/>
        <v>2016</v>
      </c>
      <c r="FN237" s="30" t="str">
        <f t="shared" si="179"/>
        <v>% Chg</v>
      </c>
      <c r="FO237" s="607" t="str">
        <f t="shared" si="179"/>
        <v>2017</v>
      </c>
      <c r="FP237" s="30" t="str">
        <f t="shared" si="179"/>
        <v>% Chg</v>
      </c>
      <c r="FQ237" s="607" t="str">
        <f t="shared" si="179"/>
        <v>2018E</v>
      </c>
      <c r="FR237" s="30" t="str">
        <f t="shared" si="179"/>
        <v>% Chg</v>
      </c>
      <c r="FS237" s="607" t="str">
        <f t="shared" si="179"/>
        <v>2019E</v>
      </c>
      <c r="FT237" s="30" t="str">
        <f t="shared" si="179"/>
        <v>% Chg</v>
      </c>
      <c r="FU237" s="607" t="str">
        <f t="shared" si="179"/>
        <v>2020E</v>
      </c>
      <c r="FV237" s="30" t="str">
        <f t="shared" si="179"/>
        <v>% Chg</v>
      </c>
      <c r="FW237" s="607" t="str">
        <f t="shared" si="179"/>
        <v>2021E</v>
      </c>
      <c r="FX237" s="30" t="str">
        <f t="shared" si="179"/>
        <v>% Chg</v>
      </c>
      <c r="FY237" s="607" t="str">
        <f t="shared" si="179"/>
        <v>2022E</v>
      </c>
      <c r="FZ237" s="30" t="str">
        <f t="shared" si="179"/>
        <v>% Chg</v>
      </c>
      <c r="GA237" s="608" t="s">
        <v>351</v>
      </c>
    </row>
    <row r="238" spans="1:183" ht="12.75" hidden="1" customHeight="1" outlineLevel="1" x14ac:dyDescent="0.2">
      <c r="A238" s="517"/>
      <c r="B238" s="518"/>
      <c r="C238" s="524"/>
      <c r="D238" s="518"/>
      <c r="E238" s="524"/>
      <c r="F238" s="518"/>
      <c r="G238" s="524"/>
      <c r="H238" s="518"/>
      <c r="I238" s="524"/>
      <c r="J238" s="518"/>
      <c r="K238" s="524"/>
      <c r="L238" s="518"/>
      <c r="M238" s="524"/>
      <c r="N238" s="518"/>
      <c r="O238" s="524"/>
      <c r="P238" s="518"/>
      <c r="Q238" s="524"/>
      <c r="R238" s="518"/>
      <c r="S238" s="524"/>
      <c r="T238" s="518"/>
      <c r="U238" s="524"/>
      <c r="V238" s="518"/>
      <c r="W238" s="524"/>
      <c r="X238" s="518"/>
      <c r="Y238" s="524"/>
      <c r="Z238" s="518"/>
      <c r="AA238" s="524"/>
      <c r="AB238" s="518"/>
      <c r="AC238" s="524"/>
      <c r="AD238" s="518"/>
      <c r="AE238" s="524"/>
      <c r="AF238" s="518"/>
      <c r="AG238" s="524"/>
      <c r="AH238" s="518"/>
      <c r="AI238" s="524"/>
      <c r="AJ238" s="518"/>
      <c r="AK238" s="524"/>
      <c r="AL238" s="518"/>
      <c r="AM238" s="524"/>
      <c r="AN238" s="518"/>
      <c r="AO238" s="520"/>
      <c r="AP238" s="518"/>
      <c r="AQ238" s="520"/>
      <c r="AR238" s="518"/>
      <c r="AS238" s="520"/>
      <c r="AT238" s="518"/>
      <c r="AU238" s="520"/>
      <c r="AV238" s="518"/>
      <c r="AW238" s="520"/>
      <c r="AX238" s="518"/>
      <c r="AY238" s="520"/>
      <c r="AZ238" s="518"/>
      <c r="BA238" s="520"/>
      <c r="BB238" s="518"/>
      <c r="BC238" s="520"/>
      <c r="BD238" s="518"/>
      <c r="BE238" s="520"/>
      <c r="BF238" s="518"/>
      <c r="BG238" s="520"/>
      <c r="BH238" s="518"/>
      <c r="BI238" s="520"/>
      <c r="BJ238" s="518"/>
      <c r="BK238" s="520"/>
      <c r="BL238" s="518"/>
      <c r="BM238" s="520"/>
      <c r="BN238" s="518"/>
      <c r="BO238" s="520"/>
      <c r="BP238" s="518"/>
      <c r="BQ238" s="520"/>
      <c r="BR238" s="518"/>
      <c r="BS238" s="520"/>
      <c r="BT238" s="518"/>
      <c r="BU238" s="520"/>
      <c r="BV238" s="518"/>
      <c r="BW238" s="520"/>
      <c r="BX238" s="518"/>
      <c r="BY238" s="520"/>
      <c r="BZ238" s="518"/>
      <c r="CA238" s="520"/>
      <c r="CB238" s="518"/>
      <c r="CC238" s="520"/>
      <c r="CD238" s="518"/>
      <c r="CE238" s="520"/>
      <c r="CF238" s="518"/>
      <c r="CG238" s="520"/>
      <c r="CH238" s="518"/>
      <c r="CI238" s="520"/>
      <c r="CJ238" s="518"/>
      <c r="CK238" s="520"/>
      <c r="CL238" s="518"/>
      <c r="CM238" s="520"/>
      <c r="CN238" s="518"/>
      <c r="CO238" s="520"/>
      <c r="CP238" s="518"/>
      <c r="CQ238" s="520"/>
      <c r="CR238" s="518"/>
      <c r="CS238" s="520"/>
      <c r="CT238" s="518"/>
      <c r="CU238" s="520"/>
      <c r="CV238" s="518"/>
      <c r="CW238" s="520"/>
      <c r="CX238" s="518"/>
      <c r="CY238" s="520"/>
      <c r="CZ238" s="518"/>
      <c r="DA238" s="520"/>
      <c r="DB238" s="518"/>
      <c r="DC238" s="520"/>
      <c r="DD238" s="518"/>
      <c r="DE238" s="520"/>
      <c r="DF238" s="518"/>
      <c r="DG238" s="520"/>
      <c r="DH238" s="518"/>
      <c r="DI238" s="520"/>
      <c r="DJ238" s="518"/>
      <c r="DK238" s="520"/>
      <c r="DL238" s="518"/>
      <c r="DM238" s="520"/>
      <c r="DN238" s="518"/>
      <c r="DO238" s="520"/>
      <c r="DP238" s="518"/>
      <c r="DQ238" s="520"/>
      <c r="DR238" s="518"/>
      <c r="DS238" s="520"/>
      <c r="DT238" s="518"/>
      <c r="DU238" s="520"/>
      <c r="DV238" s="518"/>
      <c r="DW238" s="520"/>
      <c r="DX238" s="518"/>
      <c r="DY238" s="520"/>
      <c r="DZ238" s="518"/>
      <c r="EA238" s="520"/>
      <c r="EB238" s="518"/>
      <c r="EC238" s="520"/>
      <c r="ED238" s="518"/>
      <c r="EE238" s="520"/>
      <c r="EF238" s="518"/>
      <c r="EG238" s="520"/>
      <c r="EH238" s="520"/>
      <c r="EI238" s="518"/>
      <c r="EJ238" s="524"/>
      <c r="EK238" s="518"/>
      <c r="EL238" s="524"/>
      <c r="EM238" s="518"/>
      <c r="EN238" s="524"/>
      <c r="EO238" s="518"/>
      <c r="EP238" s="524"/>
      <c r="EQ238" s="518"/>
      <c r="ER238" s="520"/>
      <c r="ES238" s="518"/>
      <c r="ET238" s="520"/>
      <c r="EU238" s="518"/>
      <c r="EV238" s="520"/>
      <c r="EW238" s="518"/>
      <c r="EX238" s="520"/>
      <c r="EY238" s="518"/>
      <c r="EZ238" s="520"/>
      <c r="FA238" s="518"/>
      <c r="FB238" s="520"/>
      <c r="FC238" s="518"/>
      <c r="FD238" s="520"/>
      <c r="FE238" s="518"/>
      <c r="FF238" s="520"/>
      <c r="FG238" s="518"/>
      <c r="FH238" s="520"/>
      <c r="FI238" s="518"/>
      <c r="FJ238" s="520"/>
      <c r="FK238" s="518"/>
      <c r="FL238" s="520"/>
      <c r="FM238" s="518"/>
      <c r="FN238" s="520"/>
      <c r="FO238" s="518"/>
      <c r="FP238" s="520"/>
      <c r="FQ238" s="518"/>
      <c r="FR238" s="520"/>
      <c r="FS238" s="518"/>
      <c r="FT238" s="520"/>
      <c r="FU238" s="518"/>
      <c r="FV238" s="520"/>
      <c r="FW238" s="518"/>
      <c r="FX238" s="520"/>
      <c r="FY238" s="518"/>
      <c r="FZ238" s="520"/>
      <c r="GA238" s="524"/>
    </row>
    <row r="239" spans="1:183" ht="12.75" hidden="1" customHeight="1" outlineLevel="1" x14ac:dyDescent="0.2">
      <c r="A239" s="610" t="s">
        <v>285</v>
      </c>
      <c r="B239" s="96"/>
      <c r="C239" s="399"/>
      <c r="D239" s="96"/>
      <c r="E239" s="399"/>
      <c r="F239" s="96"/>
      <c r="G239" s="399"/>
      <c r="H239" s="96"/>
      <c r="I239" s="399"/>
      <c r="J239" s="96"/>
      <c r="K239" s="399"/>
      <c r="L239" s="96"/>
      <c r="M239" s="399"/>
      <c r="N239" s="96"/>
      <c r="O239" s="399"/>
      <c r="P239" s="96"/>
      <c r="Q239" s="399"/>
      <c r="R239" s="96"/>
      <c r="S239" s="399"/>
      <c r="T239" s="96"/>
      <c r="U239" s="399"/>
      <c r="V239" s="96"/>
      <c r="W239" s="399"/>
      <c r="X239" s="96"/>
      <c r="Y239" s="399"/>
      <c r="Z239" s="96"/>
      <c r="AA239" s="399"/>
      <c r="AB239" s="96"/>
      <c r="AC239" s="399"/>
      <c r="AD239" s="96"/>
      <c r="AE239" s="399"/>
      <c r="AF239" s="96"/>
      <c r="AG239" s="399"/>
      <c r="AH239" s="96"/>
      <c r="AI239" s="399"/>
      <c r="AJ239" s="96"/>
      <c r="AK239" s="399"/>
      <c r="AL239" s="96"/>
      <c r="AM239" s="399"/>
      <c r="AN239" s="96"/>
      <c r="AO239" s="18"/>
      <c r="AP239" s="96"/>
      <c r="AQ239" s="18"/>
      <c r="AR239" s="96"/>
      <c r="AS239" s="18"/>
      <c r="AT239" s="96"/>
      <c r="AU239" s="18"/>
      <c r="AV239" s="96"/>
      <c r="AW239" s="18"/>
      <c r="AX239" s="96"/>
      <c r="AY239" s="18"/>
      <c r="AZ239" s="96"/>
      <c r="BA239" s="18"/>
      <c r="BB239" s="96"/>
      <c r="BC239" s="18"/>
      <c r="BD239" s="96"/>
      <c r="BE239" s="18"/>
      <c r="BF239" s="96"/>
      <c r="BG239" s="18"/>
      <c r="BH239" s="96"/>
      <c r="BI239" s="18"/>
      <c r="BJ239" s="96"/>
      <c r="BK239" s="18"/>
      <c r="BL239" s="96"/>
      <c r="BM239" s="18"/>
      <c r="BN239" s="96"/>
      <c r="BO239" s="18"/>
      <c r="BP239" s="96"/>
      <c r="BQ239" s="18"/>
      <c r="BR239" s="96"/>
      <c r="BS239" s="18"/>
      <c r="BT239" s="96"/>
      <c r="BU239" s="18"/>
      <c r="BV239" s="96"/>
      <c r="BW239" s="18"/>
      <c r="BX239" s="96"/>
      <c r="BY239" s="18"/>
      <c r="BZ239" s="96"/>
      <c r="CA239" s="18"/>
      <c r="CB239" s="96"/>
      <c r="CC239" s="18"/>
      <c r="CD239" s="96"/>
      <c r="CE239" s="18"/>
      <c r="CF239" s="96"/>
      <c r="CG239" s="18"/>
      <c r="CH239" s="96"/>
      <c r="CI239" s="18"/>
      <c r="CJ239" s="96"/>
      <c r="CK239" s="18"/>
      <c r="CL239" s="96"/>
      <c r="CM239" s="18"/>
      <c r="CN239" s="96"/>
      <c r="CO239" s="18"/>
      <c r="CP239" s="96"/>
      <c r="CQ239" s="18"/>
      <c r="CR239" s="96"/>
      <c r="CS239" s="18"/>
      <c r="CT239" s="96"/>
      <c r="CU239" s="18"/>
      <c r="CV239" s="96"/>
      <c r="CW239" s="18"/>
      <c r="CX239" s="96"/>
      <c r="CY239" s="18"/>
      <c r="CZ239" s="96"/>
      <c r="DA239" s="18"/>
      <c r="DB239" s="96"/>
      <c r="DC239" s="18"/>
      <c r="DD239" s="96"/>
      <c r="DE239" s="18"/>
      <c r="DF239" s="96"/>
      <c r="DG239" s="18"/>
      <c r="DH239" s="96"/>
      <c r="DI239" s="18"/>
      <c r="DJ239" s="96"/>
      <c r="DK239" s="18"/>
      <c r="DL239" s="96"/>
      <c r="DM239" s="18"/>
      <c r="DN239" s="96"/>
      <c r="DO239" s="18"/>
      <c r="DP239" s="96"/>
      <c r="DQ239" s="18"/>
      <c r="DR239" s="96"/>
      <c r="DS239" s="18"/>
      <c r="DT239" s="96"/>
      <c r="DU239" s="18"/>
      <c r="DV239" s="96"/>
      <c r="DW239" s="18"/>
      <c r="DX239" s="96"/>
      <c r="DY239" s="18"/>
      <c r="DZ239" s="96"/>
      <c r="EA239" s="18"/>
      <c r="EB239" s="96"/>
      <c r="EC239" s="18"/>
      <c r="ED239" s="96"/>
      <c r="EE239" s="18"/>
      <c r="EF239" s="96"/>
      <c r="EG239" s="18"/>
      <c r="EH239" s="18"/>
      <c r="EI239" s="96"/>
      <c r="EJ239" s="399"/>
      <c r="EK239" s="96"/>
      <c r="EL239" s="399"/>
      <c r="EM239" s="96"/>
      <c r="EN239" s="399"/>
      <c r="EO239" s="96"/>
      <c r="EP239" s="399"/>
      <c r="EQ239" s="96"/>
      <c r="ER239" s="18"/>
      <c r="ES239" s="96"/>
      <c r="ET239" s="18"/>
      <c r="EU239" s="96"/>
      <c r="EV239" s="18"/>
      <c r="EW239" s="96"/>
      <c r="EX239" s="18"/>
      <c r="EY239" s="96"/>
      <c r="EZ239" s="18"/>
      <c r="FA239" s="96"/>
      <c r="FB239" s="18"/>
      <c r="FC239" s="96"/>
      <c r="FD239" s="18"/>
      <c r="FE239" s="96"/>
      <c r="FF239" s="18"/>
      <c r="FG239" s="96"/>
      <c r="FH239" s="18"/>
      <c r="FI239" s="96"/>
      <c r="FJ239" s="18"/>
      <c r="FK239" s="96"/>
      <c r="FL239" s="18"/>
      <c r="FM239" s="96"/>
      <c r="FN239" s="18"/>
      <c r="FO239" s="96"/>
      <c r="FP239" s="18"/>
      <c r="FQ239" s="96"/>
      <c r="FR239" s="18"/>
      <c r="FS239" s="96"/>
      <c r="FT239" s="18"/>
      <c r="FU239" s="96"/>
      <c r="FV239" s="18"/>
      <c r="FW239" s="96"/>
      <c r="FX239" s="18"/>
      <c r="FY239" s="96"/>
      <c r="FZ239" s="18"/>
      <c r="GA239" s="399"/>
    </row>
    <row r="240" spans="1:183" ht="12.75" hidden="1" customHeight="1" outlineLevel="1" x14ac:dyDescent="0.2">
      <c r="A240" s="650" t="str">
        <f>INPUT!B188</f>
        <v>Total Premiums</v>
      </c>
      <c r="B240" s="651"/>
      <c r="C240" s="652"/>
      <c r="D240" s="651"/>
      <c r="E240" s="5"/>
      <c r="F240" s="651"/>
      <c r="G240" s="5"/>
      <c r="H240" s="651"/>
      <c r="I240" s="5"/>
      <c r="J240" s="651">
        <f>INPUT!U188</f>
        <v>101.10000000000002</v>
      </c>
      <c r="K240" s="5" t="str">
        <f>INPUT!V188</f>
        <v>NA</v>
      </c>
      <c r="L240" s="651">
        <f>INPUT!W188</f>
        <v>121.9</v>
      </c>
      <c r="M240" s="5" t="str">
        <f>INPUT!X188</f>
        <v>NA</v>
      </c>
      <c r="N240" s="651">
        <f>INPUT!Y188</f>
        <v>119.9</v>
      </c>
      <c r="O240" s="5" t="str">
        <f>INPUT!Z188</f>
        <v>NA</v>
      </c>
      <c r="P240" s="651">
        <f>INPUT!AA188</f>
        <v>134.1</v>
      </c>
      <c r="Q240" s="5" t="str">
        <f>INPUT!AB188</f>
        <v>NA</v>
      </c>
      <c r="R240" s="651">
        <f>INPUT!AC188</f>
        <v>150.80000000000001</v>
      </c>
      <c r="S240" s="5">
        <f>INPUT!AD188</f>
        <v>49.159248269040525</v>
      </c>
      <c r="T240" s="651">
        <f>INPUT!AE188</f>
        <v>161.19999999999999</v>
      </c>
      <c r="U240" s="5">
        <f>INPUT!AF188</f>
        <v>32.239540607054941</v>
      </c>
      <c r="V240" s="651">
        <f>INPUT!AG188</f>
        <v>170.1</v>
      </c>
      <c r="W240" s="5">
        <f>INPUT!AH188</f>
        <v>41.868223519599645</v>
      </c>
      <c r="X240" s="651">
        <f>INPUT!AI188</f>
        <v>177</v>
      </c>
      <c r="Y240" s="5">
        <f>INPUT!AJ188</f>
        <v>31.991051454138699</v>
      </c>
      <c r="Z240" s="651">
        <f>INPUT!AK188</f>
        <v>190.00000000000003</v>
      </c>
      <c r="AA240" s="5">
        <f>INPUT!AL188</f>
        <v>25.994694960212207</v>
      </c>
      <c r="AB240" s="651">
        <f>INPUT!AM188</f>
        <v>193.1</v>
      </c>
      <c r="AC240" s="5">
        <f>INPUT!AN188</f>
        <v>19.789081885856085</v>
      </c>
      <c r="AD240" s="651">
        <f>INPUT!AO188</f>
        <v>204</v>
      </c>
      <c r="AE240" s="5">
        <f>INPUT!AP188</f>
        <v>19.929453262786588</v>
      </c>
      <c r="AF240" s="651">
        <f>INPUT!AQ188</f>
        <v>198.2</v>
      </c>
      <c r="AG240" s="5">
        <f>INPUT!AR188</f>
        <v>11.977401129943498</v>
      </c>
      <c r="AH240" s="651">
        <f>INPUT!AS188</f>
        <v>191.4</v>
      </c>
      <c r="AI240" s="5">
        <f>INPUT!AT188</f>
        <v>0.73684210526314686</v>
      </c>
      <c r="AJ240" s="651">
        <f>INPUT!AU188</f>
        <v>200.7</v>
      </c>
      <c r="AK240" s="5">
        <f>INPUT!AV188</f>
        <v>3.9357845675815684</v>
      </c>
      <c r="AL240" s="651">
        <f>INPUT!AW188</f>
        <v>219.7</v>
      </c>
      <c r="AM240" s="5">
        <f>INPUT!AX188</f>
        <v>7.6960784313725439</v>
      </c>
      <c r="AN240" s="651">
        <f>INPUT!AY188</f>
        <v>231</v>
      </c>
      <c r="AO240" s="18">
        <f>INPUT!AZ188</f>
        <v>16.548940464177608</v>
      </c>
      <c r="AP240" s="651">
        <f>INPUT!BA188</f>
        <v>222.3</v>
      </c>
      <c r="AQ240" s="18">
        <f>INPUT!BB188</f>
        <v>16.144200626959247</v>
      </c>
      <c r="AR240" s="651">
        <f>INPUT!BC188</f>
        <v>247</v>
      </c>
      <c r="AS240" s="18">
        <f>INPUT!BD188</f>
        <v>23.069257598405592</v>
      </c>
      <c r="AT240" s="651">
        <f>INPUT!BE188</f>
        <v>247.6</v>
      </c>
      <c r="AU240" s="18">
        <f>INPUT!BF188</f>
        <v>12.699135184342293</v>
      </c>
      <c r="AV240" s="651">
        <f>INPUT!BG188</f>
        <v>251.4</v>
      </c>
      <c r="AW240" s="18">
        <f>INPUT!BH188</f>
        <v>8.831168831168835</v>
      </c>
      <c r="AX240" s="651">
        <f>INPUT!BI188</f>
        <v>240.6</v>
      </c>
      <c r="AY240" s="18">
        <f>INPUT!BJ188</f>
        <v>8.2321187584345488</v>
      </c>
      <c r="AZ240" s="651">
        <f>INPUT!BK188</f>
        <v>241.7</v>
      </c>
      <c r="BA240" s="18">
        <f>INPUT!BL188</f>
        <v>-2.1457489878542568</v>
      </c>
      <c r="BB240" s="651">
        <f>INPUT!BM188</f>
        <v>224.7</v>
      </c>
      <c r="BC240" s="18">
        <f>INPUT!BN188</f>
        <v>-9.2487883683360259</v>
      </c>
      <c r="BD240" s="651">
        <f>INPUT!BO188</f>
        <v>182.3</v>
      </c>
      <c r="BE240" s="18">
        <f>INPUT!BP188</f>
        <v>-27.486077963404931</v>
      </c>
      <c r="BF240" s="651">
        <f>INPUT!BQ188</f>
        <v>163</v>
      </c>
      <c r="BG240" s="18">
        <f>INPUT!BR188</f>
        <v>-32.252701579384869</v>
      </c>
      <c r="BH240" s="651">
        <f>INPUT!BS188</f>
        <v>173.4</v>
      </c>
      <c r="BI240" s="18">
        <f>INPUT!BT188</f>
        <v>-28.258171286719069</v>
      </c>
      <c r="BJ240" s="651">
        <f>INPUT!BU188</f>
        <v>169.7</v>
      </c>
      <c r="BK240" s="18">
        <f>INPUT!BV188</f>
        <v>-24.477080551846907</v>
      </c>
      <c r="BL240" s="651">
        <f>INPUT!BW188</f>
        <v>180</v>
      </c>
      <c r="BM240" s="18">
        <f>INPUT!BX188</f>
        <v>-1.2616566099835524</v>
      </c>
      <c r="BN240" s="651">
        <f>INPUT!BY188</f>
        <v>165.8</v>
      </c>
      <c r="BO240" s="18">
        <f>INPUT!BZ188</f>
        <v>1.7177914110429571</v>
      </c>
      <c r="BP240" s="651">
        <f>INPUT!CA188</f>
        <v>152.9</v>
      </c>
      <c r="BQ240" s="18">
        <f>INPUT!CB188</f>
        <v>-11.82237600922722</v>
      </c>
      <c r="BR240" s="651">
        <f>INPUT!CC188</f>
        <v>161.4</v>
      </c>
      <c r="BS240" s="18">
        <f>INPUT!CD188</f>
        <v>-4.890984089569816</v>
      </c>
      <c r="BT240" s="651">
        <f>INPUT!CE188</f>
        <v>170.5</v>
      </c>
      <c r="BU240" s="18">
        <f>INPUT!CF188</f>
        <v>-5.2777777777777812</v>
      </c>
      <c r="BV240" s="651">
        <f>INPUT!CG188</f>
        <v>167.1</v>
      </c>
      <c r="BW240" s="18">
        <f>INPUT!CH188</f>
        <v>0.78407720144750837</v>
      </c>
      <c r="BX240" s="651">
        <f>INPUT!CI188</f>
        <v>175.8</v>
      </c>
      <c r="BY240" s="18">
        <f>INPUT!CJ188</f>
        <v>14.977109221713537</v>
      </c>
      <c r="BZ240" s="651">
        <f>INPUT!CK188</f>
        <v>175.5</v>
      </c>
      <c r="CA240" s="18">
        <f>INPUT!CL188</f>
        <v>8.7360594795538926</v>
      </c>
      <c r="CB240" s="651">
        <f>INPUT!CM188</f>
        <v>169.2</v>
      </c>
      <c r="CC240" s="18">
        <f>INPUT!CN188</f>
        <v>-0.76246334310851038</v>
      </c>
      <c r="CD240" s="651">
        <f>INPUT!CO188</f>
        <v>170.7</v>
      </c>
      <c r="CE240" s="18">
        <f>INPUT!CP188</f>
        <v>2.1543985637342944</v>
      </c>
      <c r="CF240" s="651">
        <f>INPUT!CQ188</f>
        <v>173.2</v>
      </c>
      <c r="CG240" s="18">
        <f>INPUT!CR188</f>
        <v>-1.4789533560864765</v>
      </c>
      <c r="CH240" s="651">
        <f>INPUT!CS188</f>
        <v>175.2</v>
      </c>
      <c r="CI240" s="18">
        <f>INPUT!CT188</f>
        <v>-0.17094017094018144</v>
      </c>
      <c r="CJ240" s="651">
        <f>INPUT!CU188</f>
        <v>175.5</v>
      </c>
      <c r="CK240" s="18">
        <f>INPUT!CV188</f>
        <v>3.7234042553191626</v>
      </c>
      <c r="CL240" s="651">
        <f>INPUT!CW188</f>
        <v>143.80000000000001</v>
      </c>
      <c r="CM240" s="18">
        <f>INPUT!CX188</f>
        <v>-15.758640890451069</v>
      </c>
      <c r="CN240" s="651">
        <f>INPUT!CY188</f>
        <v>137.6</v>
      </c>
      <c r="CO240" s="18">
        <f>INPUT!CZ188</f>
        <v>-20.554272517321014</v>
      </c>
      <c r="CP240" s="651">
        <f>INPUT!DA188</f>
        <v>137.30000000000001</v>
      </c>
      <c r="CQ240" s="18">
        <f>INPUT!DB188</f>
        <v>-21.632420091324189</v>
      </c>
      <c r="CR240" s="651">
        <f>INPUT!DC188</f>
        <v>137.9</v>
      </c>
      <c r="CS240" s="18">
        <f>INPUT!DD188</f>
        <v>-21.424501424501418</v>
      </c>
      <c r="CT240" s="651">
        <f>INPUT!DE188</f>
        <v>151.69999999999999</v>
      </c>
      <c r="CU240" s="18">
        <f>INPUT!DF188</f>
        <v>5.4937413073713248</v>
      </c>
      <c r="CV240" s="651">
        <f>INPUT!DG188</f>
        <v>154</v>
      </c>
      <c r="CW240" s="18">
        <f>INPUT!DH188</f>
        <v>11.91860465116279</v>
      </c>
      <c r="CX240" s="651">
        <f>INPUT!DI188</f>
        <v>152.6</v>
      </c>
      <c r="CY240" s="18">
        <f>INPUT!DJ188</f>
        <v>11.143481427530944</v>
      </c>
      <c r="CZ240" s="651">
        <f>INPUT!DK188</f>
        <v>148.9</v>
      </c>
      <c r="DA240" s="18">
        <f>INPUT!DL188</f>
        <v>7.9767947788252247</v>
      </c>
      <c r="DB240" s="651">
        <f>INPUT!DM188</f>
        <v>139</v>
      </c>
      <c r="DC240" s="18">
        <f>INPUT!DN188</f>
        <v>-8.3717864205669059</v>
      </c>
      <c r="DD240" s="651">
        <f>INPUT!DO188</f>
        <v>142.19999999999999</v>
      </c>
      <c r="DE240" s="18">
        <f>INPUT!DP188</f>
        <v>-7.66233766233767</v>
      </c>
      <c r="DF240" s="651">
        <f>INPUT!DQ188</f>
        <v>144.6</v>
      </c>
      <c r="DG240" s="18">
        <f>INPUT!DR188</f>
        <v>-5.2424639580602843</v>
      </c>
      <c r="DH240" s="651">
        <f>INPUT!DS188</f>
        <v>150.4</v>
      </c>
      <c r="DI240" s="18">
        <f>INPUT!DT188</f>
        <v>1.0073875083948858</v>
      </c>
      <c r="DJ240" s="651">
        <f>INPUT!DU188</f>
        <v>139.30000000000001</v>
      </c>
      <c r="DK240" s="18">
        <f>INPUT!DV188</f>
        <v>0.21582733812950394</v>
      </c>
      <c r="DL240" s="651">
        <f>INPUT!DW188</f>
        <v>140.80000000000001</v>
      </c>
      <c r="DM240" s="18">
        <f>INPUT!DX188</f>
        <v>-0.98452883263008273</v>
      </c>
      <c r="DN240" s="651">
        <f>INPUT!DY188</f>
        <v>127.3</v>
      </c>
      <c r="DO240" s="18">
        <f>INPUT!DZ188</f>
        <v>-11.964038727524207</v>
      </c>
      <c r="DP240" s="651">
        <f>INPUT!EA188</f>
        <v>121.9</v>
      </c>
      <c r="DQ240" s="18">
        <f>INPUT!EB188</f>
        <v>-18.949468085106382</v>
      </c>
      <c r="DR240" s="651">
        <f>INPUT!EC188</f>
        <v>121.3</v>
      </c>
      <c r="DS240" s="18">
        <f>INPUT!ED188</f>
        <v>-12.921751615218957</v>
      </c>
      <c r="DT240" s="651">
        <f>INPUT!EE188</f>
        <v>126.8</v>
      </c>
      <c r="DU240" s="18">
        <f>INPUT!EF188</f>
        <v>-9.9431818181818237</v>
      </c>
      <c r="DV240" s="651">
        <f>INPUT!EG188</f>
        <v>131.5</v>
      </c>
      <c r="DW240" s="18">
        <f>INPUT!EH188</f>
        <v>3.2992930086410022</v>
      </c>
      <c r="DX240" s="651">
        <f>INPUT!EI188</f>
        <v>133.4</v>
      </c>
      <c r="DY240" s="18">
        <f>INPUT!EJ188</f>
        <v>9.4339622641509422</v>
      </c>
      <c r="DZ240" s="651">
        <f>INPUT!EK188</f>
        <v>138.70103277005515</v>
      </c>
      <c r="EA240" s="18">
        <f>INPUT!EL188</f>
        <v>14.345451582897905</v>
      </c>
      <c r="EB240" s="651">
        <f>INPUT!EM188</f>
        <v>140.44647542481462</v>
      </c>
      <c r="EC240" s="18">
        <f>INPUT!EN188</f>
        <v>10.762204593702386</v>
      </c>
      <c r="ED240" s="651">
        <f>INPUT!EO188</f>
        <v>142.41452752833112</v>
      </c>
      <c r="EE240" s="18">
        <f>INPUT!EP188</f>
        <v>8.3000209340920996</v>
      </c>
      <c r="EF240" s="651">
        <f>INPUT!EQ188</f>
        <v>141.04839827459787</v>
      </c>
      <c r="EG240" s="18">
        <f>INPUT!ER188</f>
        <v>5.7334319899534192</v>
      </c>
      <c r="EH240" s="18"/>
      <c r="EI240" s="651">
        <f>INPUT!FB188</f>
        <v>0</v>
      </c>
      <c r="EJ240" s="5">
        <f>INPUT!FC188</f>
        <v>0</v>
      </c>
      <c r="EK240" s="651">
        <f>INPUT!FD188</f>
        <v>313.8</v>
      </c>
      <c r="EL240" s="5" t="str">
        <f>INPUT!FE188</f>
        <v>NA</v>
      </c>
      <c r="EM240" s="651">
        <f>INPUT!FF188</f>
        <v>477</v>
      </c>
      <c r="EN240" s="5">
        <f>INPUT!FG188</f>
        <v>52.007648183556412</v>
      </c>
      <c r="EO240" s="651">
        <f>INPUT!FH188</f>
        <v>659.1</v>
      </c>
      <c r="EP240" s="5">
        <f>INPUT!FI188</f>
        <v>38.176100628930818</v>
      </c>
      <c r="EQ240" s="651">
        <f>INPUT!FJ188</f>
        <v>785.3</v>
      </c>
      <c r="ER240" s="18">
        <f>INPUT!FK188</f>
        <v>19.147322105901978</v>
      </c>
      <c r="ES240" s="651">
        <f>INPUT!FL188</f>
        <v>842.8</v>
      </c>
      <c r="ET240" s="18">
        <f>INPUT!FM188</f>
        <v>7.322042531516626</v>
      </c>
      <c r="EU240" s="651">
        <f>INPUT!FN188</f>
        <v>968.3</v>
      </c>
      <c r="EV240" s="18">
        <f>INPUT!FO188</f>
        <v>14.890840056953024</v>
      </c>
      <c r="EW240" s="651">
        <f>INPUT!FP188</f>
        <v>889.3</v>
      </c>
      <c r="EX240" s="18">
        <f>INPUT!FQ188</f>
        <v>-8.1586285242177041</v>
      </c>
      <c r="EY240" s="651">
        <f>INPUT!FR188</f>
        <v>686.09999999999991</v>
      </c>
      <c r="EZ240" s="18">
        <f>INPUT!FS188</f>
        <v>-22.849432137636349</v>
      </c>
      <c r="FA240" s="651">
        <f>INPUT!FT188</f>
        <v>650.6</v>
      </c>
      <c r="FB240" s="18">
        <f>INPUT!FU188</f>
        <v>-5.1741728610989473</v>
      </c>
      <c r="FC240" s="651">
        <f>INPUT!FV188</f>
        <v>687.59999999999991</v>
      </c>
      <c r="FD240" s="18">
        <f>INPUT!FW188</f>
        <v>5.6870581002151699</v>
      </c>
      <c r="FE240" s="651">
        <f>INPUT!FX188</f>
        <v>694.59999999999991</v>
      </c>
      <c r="FF240" s="18">
        <f>INPUT!FY188</f>
        <v>1.0180337405468309</v>
      </c>
      <c r="FG240" s="651">
        <f>INPUT!FZ188</f>
        <v>556.6</v>
      </c>
      <c r="FH240" s="18">
        <f>INPUT!GA188</f>
        <v>-19.867549668874162</v>
      </c>
      <c r="FI240" s="651">
        <f>INPUT!GB188</f>
        <v>607.19999999999993</v>
      </c>
      <c r="FJ240" s="18">
        <f>INPUT!GC188</f>
        <v>9.0909090909090828</v>
      </c>
      <c r="FK240" s="651">
        <f>INPUT!GD188</f>
        <v>576.19999999999993</v>
      </c>
      <c r="FL240" s="18">
        <f>INPUT!GE188</f>
        <v>-5.1054018445322757</v>
      </c>
      <c r="FM240" s="651">
        <f>INPUT!GF188</f>
        <v>529.30000000000007</v>
      </c>
      <c r="FN240" s="18">
        <f>INPUT!GG188</f>
        <v>-8.1395348837209109</v>
      </c>
      <c r="FO240" s="651">
        <f>INPUT!GH188</f>
        <v>513</v>
      </c>
      <c r="FP240" s="18">
        <f>INPUT!GI188</f>
        <v>-3.0795390137918099</v>
      </c>
      <c r="FQ240" s="651">
        <f>INPUT!GJ188</f>
        <v>562.61043399779874</v>
      </c>
      <c r="FR240" s="18">
        <f>INPUT!GK188</f>
        <v>9.6706499021050227</v>
      </c>
      <c r="FS240" s="651">
        <f>INPUT!GL188</f>
        <v>585.11485135771068</v>
      </c>
      <c r="FT240" s="18">
        <f>INPUT!GM188</f>
        <v>4.0000000000000036</v>
      </c>
      <c r="FU240" s="651">
        <f>INPUT!GN188</f>
        <v>608.51944541201908</v>
      </c>
      <c r="FV240" s="18">
        <f>INPUT!GO188</f>
        <v>4.0000000000000036</v>
      </c>
      <c r="FW240" s="651">
        <f>INPUT!GP188</f>
        <v>632.86022322849988</v>
      </c>
      <c r="FX240" s="18">
        <f>INPUT!GQ188</f>
        <v>4.0000000000000036</v>
      </c>
      <c r="FY240" s="651">
        <f>INPUT!GR188</f>
        <v>658.17463215763985</v>
      </c>
      <c r="FZ240" s="18">
        <f>INPUT!GS188</f>
        <v>4.0000000000000036</v>
      </c>
      <c r="GA240" s="5">
        <f>INPUT!GT188</f>
        <v>5.1101739597718021</v>
      </c>
    </row>
    <row r="241" spans="1:183" ht="12.75" hidden="1" customHeight="1" outlineLevel="1" x14ac:dyDescent="0.2">
      <c r="A241" s="650" t="str">
        <f>INPUT!B189</f>
        <v>Net Investment Income</v>
      </c>
      <c r="B241" s="651"/>
      <c r="C241" s="652"/>
      <c r="D241" s="651"/>
      <c r="E241" s="5"/>
      <c r="F241" s="651"/>
      <c r="G241" s="5"/>
      <c r="H241" s="651"/>
      <c r="I241" s="5"/>
      <c r="J241" s="651">
        <f>INPUT!U189</f>
        <v>25.6</v>
      </c>
      <c r="K241" s="5" t="str">
        <f>INPUT!V189</f>
        <v>NA</v>
      </c>
      <c r="L241" s="651">
        <f>INPUT!W189</f>
        <v>25.7</v>
      </c>
      <c r="M241" s="5" t="str">
        <f>INPUT!X189</f>
        <v>NA</v>
      </c>
      <c r="N241" s="651">
        <f>INPUT!Y189</f>
        <v>26.3</v>
      </c>
      <c r="O241" s="5" t="str">
        <f>INPUT!Z189</f>
        <v>NA</v>
      </c>
      <c r="P241" s="651">
        <f>INPUT!AA189</f>
        <v>28.9</v>
      </c>
      <c r="Q241" s="5" t="str">
        <f>INPUT!AB189</f>
        <v>NA</v>
      </c>
      <c r="R241" s="651">
        <f>INPUT!AC189</f>
        <v>32.400000000000006</v>
      </c>
      <c r="S241" s="5">
        <f>INPUT!AD189</f>
        <v>26.562500000000021</v>
      </c>
      <c r="T241" s="651">
        <f>INPUT!AE189</f>
        <v>34.5</v>
      </c>
      <c r="U241" s="5">
        <f>INPUT!AF189</f>
        <v>34.241245136186784</v>
      </c>
      <c r="V241" s="651">
        <f>INPUT!AG189</f>
        <v>35.299999999999997</v>
      </c>
      <c r="W241" s="5">
        <f>INPUT!AH189</f>
        <v>34.220532319391616</v>
      </c>
      <c r="X241" s="651">
        <f>INPUT!AI189</f>
        <v>37.399999999999991</v>
      </c>
      <c r="Y241" s="5">
        <f>INPUT!AJ189</f>
        <v>29.411764705882337</v>
      </c>
      <c r="Z241" s="651">
        <f>INPUT!AK189</f>
        <v>37.699999999999996</v>
      </c>
      <c r="AA241" s="5">
        <f>INPUT!AL189</f>
        <v>16.358024691357986</v>
      </c>
      <c r="AB241" s="651">
        <f>INPUT!AM189</f>
        <v>39.6</v>
      </c>
      <c r="AC241" s="5">
        <f>INPUT!AN189</f>
        <v>14.782608695652177</v>
      </c>
      <c r="AD241" s="651">
        <f>INPUT!AO189</f>
        <v>39.200000000000003</v>
      </c>
      <c r="AE241" s="5">
        <f>INPUT!AP189</f>
        <v>11.048158640226635</v>
      </c>
      <c r="AF241" s="651">
        <f>INPUT!AQ189</f>
        <v>37.700000000000003</v>
      </c>
      <c r="AG241" s="5">
        <f>INPUT!AR189</f>
        <v>0.80213903743318049</v>
      </c>
      <c r="AH241" s="651">
        <f>INPUT!AS189</f>
        <v>38</v>
      </c>
      <c r="AI241" s="5">
        <f>INPUT!AT189</f>
        <v>0.79575596816976457</v>
      </c>
      <c r="AJ241" s="651">
        <f>INPUT!AU189</f>
        <v>39.9</v>
      </c>
      <c r="AK241" s="5">
        <f>INPUT!AV189</f>
        <v>0.7575757575757569</v>
      </c>
      <c r="AL241" s="651">
        <f>INPUT!AW189</f>
        <v>45.8</v>
      </c>
      <c r="AM241" s="5">
        <f>INPUT!AX189</f>
        <v>16.836734693877542</v>
      </c>
      <c r="AN241" s="651">
        <f>INPUT!AY189</f>
        <v>50.9</v>
      </c>
      <c r="AO241" s="18">
        <f>INPUT!AZ189</f>
        <v>35.013262599469485</v>
      </c>
      <c r="AP241" s="651">
        <f>INPUT!BA189</f>
        <v>43.099999999999994</v>
      </c>
      <c r="AQ241" s="18">
        <f>INPUT!BB189</f>
        <v>13.421052631578934</v>
      </c>
      <c r="AR241" s="651">
        <f>INPUT!BC189</f>
        <v>46.3</v>
      </c>
      <c r="AS241" s="18">
        <f>INPUT!BD189</f>
        <v>16.040100250626566</v>
      </c>
      <c r="AT241" s="651">
        <f>INPUT!BE189</f>
        <v>44</v>
      </c>
      <c r="AU241" s="18">
        <f>INPUT!BF189</f>
        <v>-3.9301310043668103</v>
      </c>
      <c r="AV241" s="651">
        <f>INPUT!BG189</f>
        <v>54</v>
      </c>
      <c r="AW241" s="18">
        <f>INPUT!BH189</f>
        <v>6.0903732809430178</v>
      </c>
      <c r="AX241" s="651">
        <f>INPUT!BI189</f>
        <v>42.5</v>
      </c>
      <c r="AY241" s="18">
        <f>INPUT!BJ189</f>
        <v>-1.3921113689094988</v>
      </c>
      <c r="AZ241" s="651">
        <f>INPUT!BK189</f>
        <v>54.9</v>
      </c>
      <c r="BA241" s="18">
        <f>INPUT!BL189</f>
        <v>18.574514038876888</v>
      </c>
      <c r="BB241" s="651">
        <f>INPUT!BM189</f>
        <v>45.8</v>
      </c>
      <c r="BC241" s="18">
        <f>INPUT!BN189</f>
        <v>4.0909090909090784</v>
      </c>
      <c r="BD241" s="651">
        <f>INPUT!BO189</f>
        <v>42.1</v>
      </c>
      <c r="BE241" s="18">
        <f>INPUT!BP189</f>
        <v>-22.037037037037031</v>
      </c>
      <c r="BF241" s="651">
        <f>INPUT!BQ189</f>
        <v>26.9</v>
      </c>
      <c r="BG241" s="18">
        <f>INPUT!BR189</f>
        <v>-36.705882352941174</v>
      </c>
      <c r="BH241" s="651">
        <f>INPUT!BS189</f>
        <v>34.299999999999997</v>
      </c>
      <c r="BI241" s="18">
        <f>INPUT!BT189</f>
        <v>-37.522768670309659</v>
      </c>
      <c r="BJ241" s="651">
        <f>INPUT!BU189</f>
        <v>22.5</v>
      </c>
      <c r="BK241" s="18" t="str">
        <f>INPUT!BV189</f>
        <v>NM</v>
      </c>
      <c r="BL241" s="651">
        <f>INPUT!BW189</f>
        <v>40.799999999999997</v>
      </c>
      <c r="BM241" s="18">
        <f>INPUT!BX189</f>
        <v>-3.0878859857482288</v>
      </c>
      <c r="BN241" s="651">
        <f>INPUT!BY189</f>
        <v>39.799999999999997</v>
      </c>
      <c r="BO241" s="18">
        <f>INPUT!BZ189</f>
        <v>47.955390334572478</v>
      </c>
      <c r="BP241" s="651">
        <f>INPUT!CA189</f>
        <v>43.1</v>
      </c>
      <c r="BQ241" s="18">
        <f>INPUT!CB189</f>
        <v>25.65597667638486</v>
      </c>
      <c r="BR241" s="651">
        <f>INPUT!CC189</f>
        <v>39</v>
      </c>
      <c r="BS241" s="18">
        <f>INPUT!CD189</f>
        <v>73.333333333333343</v>
      </c>
      <c r="BT241" s="651">
        <f>INPUT!CE189</f>
        <v>48.6</v>
      </c>
      <c r="BU241" s="18">
        <f>INPUT!CF189</f>
        <v>19.11764705882355</v>
      </c>
      <c r="BV241" s="651">
        <f>INPUT!CG189</f>
        <v>44.9</v>
      </c>
      <c r="BW241" s="18">
        <f>INPUT!CH189</f>
        <v>12.814070351758788</v>
      </c>
      <c r="BX241" s="651">
        <f>INPUT!CI189</f>
        <v>51.1</v>
      </c>
      <c r="BY241" s="18">
        <f>INPUT!CJ189</f>
        <v>18.561484918793504</v>
      </c>
      <c r="BZ241" s="651">
        <f>INPUT!CK189</f>
        <v>43.3</v>
      </c>
      <c r="CA241" s="18">
        <f>INPUT!CL189</f>
        <v>11.025641025641008</v>
      </c>
      <c r="CB241" s="651">
        <f>INPUT!CM189</f>
        <v>50.6</v>
      </c>
      <c r="CC241" s="18">
        <f>INPUT!CN189</f>
        <v>4.1152263374485631</v>
      </c>
      <c r="CD241" s="651">
        <f>INPUT!CO189</f>
        <v>36.5</v>
      </c>
      <c r="CE241" s="18">
        <f>INPUT!CP189</f>
        <v>-18.70824053452116</v>
      </c>
      <c r="CF241" s="651">
        <f>INPUT!CQ189</f>
        <v>49.2</v>
      </c>
      <c r="CG241" s="18">
        <f>INPUT!CR189</f>
        <v>-3.7181996086105618</v>
      </c>
      <c r="CH241" s="651">
        <f>INPUT!CS189</f>
        <v>34.799999999999997</v>
      </c>
      <c r="CI241" s="18">
        <f>INPUT!CT189</f>
        <v>-19.630484988452658</v>
      </c>
      <c r="CJ241" s="651">
        <f>INPUT!CU189</f>
        <v>50.3</v>
      </c>
      <c r="CK241" s="18">
        <f>INPUT!CV189</f>
        <v>-0.59288537549407883</v>
      </c>
      <c r="CL241" s="651">
        <f>INPUT!CW189</f>
        <v>30.8</v>
      </c>
      <c r="CM241" s="18">
        <f>INPUT!CX189</f>
        <v>-15.616438356164386</v>
      </c>
      <c r="CN241" s="651">
        <f>INPUT!CY189</f>
        <v>45.4</v>
      </c>
      <c r="CO241" s="18">
        <f>INPUT!CZ189</f>
        <v>-7.7235772357723604</v>
      </c>
      <c r="CP241" s="651">
        <f>INPUT!DA189</f>
        <v>30.3</v>
      </c>
      <c r="CQ241" s="18">
        <f>INPUT!DB189</f>
        <v>-12.931034482758609</v>
      </c>
      <c r="CR241" s="651">
        <f>INPUT!DC189</f>
        <v>42</v>
      </c>
      <c r="CS241" s="18">
        <f>INPUT!DD189</f>
        <v>-16.50099403578529</v>
      </c>
      <c r="CT241" s="651">
        <f>INPUT!DE189</f>
        <v>33.6</v>
      </c>
      <c r="CU241" s="18">
        <f>INPUT!DF189</f>
        <v>9.0909090909090828</v>
      </c>
      <c r="CV241" s="651">
        <f>INPUT!DG189</f>
        <v>44.3</v>
      </c>
      <c r="CW241" s="18">
        <f>INPUT!DH189</f>
        <v>-2.4229074889867919</v>
      </c>
      <c r="CX241" s="651">
        <f>INPUT!DI189</f>
        <v>34.4</v>
      </c>
      <c r="CY241" s="18">
        <f>INPUT!DJ189</f>
        <v>13.531353135313529</v>
      </c>
      <c r="CZ241" s="651">
        <f>INPUT!DK189</f>
        <v>38.700000000000003</v>
      </c>
      <c r="DA241" s="18">
        <f>INPUT!DL189</f>
        <v>-7.8571428571428514</v>
      </c>
      <c r="DB241" s="651">
        <f>INPUT!DM189</f>
        <v>23.5</v>
      </c>
      <c r="DC241" s="18">
        <f>INPUT!DN189</f>
        <v>-30.059523809523814</v>
      </c>
      <c r="DD241" s="651">
        <f>INPUT!DO189</f>
        <v>38.6</v>
      </c>
      <c r="DE241" s="18">
        <f>INPUT!DP189</f>
        <v>-12.866817155756195</v>
      </c>
      <c r="DF241" s="651">
        <f>INPUT!DQ189</f>
        <v>28</v>
      </c>
      <c r="DG241" s="18">
        <f>INPUT!DR189</f>
        <v>-18.604651162790699</v>
      </c>
      <c r="DH241" s="651">
        <f>INPUT!DS189</f>
        <v>34.799999999999997</v>
      </c>
      <c r="DI241" s="18">
        <f>INPUT!DT189</f>
        <v>-10.077519379844979</v>
      </c>
      <c r="DJ241" s="651">
        <f>INPUT!DU189</f>
        <v>26.8</v>
      </c>
      <c r="DK241" s="18">
        <f>INPUT!DV189</f>
        <v>14.042553191489372</v>
      </c>
      <c r="DL241" s="651">
        <f>INPUT!DW189</f>
        <v>34</v>
      </c>
      <c r="DM241" s="18">
        <f>INPUT!DX189</f>
        <v>-11.917098445595853</v>
      </c>
      <c r="DN241" s="651">
        <f>INPUT!DY189</f>
        <v>28.5</v>
      </c>
      <c r="DO241" s="18">
        <f>INPUT!DZ189</f>
        <v>1.7857142857142794</v>
      </c>
      <c r="DP241" s="651">
        <f>INPUT!EA189</f>
        <v>28.8</v>
      </c>
      <c r="DQ241" s="18">
        <f>INPUT!EB189</f>
        <v>-17.241379310344819</v>
      </c>
      <c r="DR241" s="651">
        <f>INPUT!EC189</f>
        <v>26.6</v>
      </c>
      <c r="DS241" s="18">
        <f>INPUT!ED189</f>
        <v>-0.74626865671642006</v>
      </c>
      <c r="DT241" s="651">
        <f>INPUT!EE189</f>
        <v>33.200000000000003</v>
      </c>
      <c r="DU241" s="18">
        <f>INPUT!EF189</f>
        <v>-2.3529411764705799</v>
      </c>
      <c r="DV241" s="651">
        <f>INPUT!EG189</f>
        <v>28.5</v>
      </c>
      <c r="DW241" s="18">
        <f>INPUT!EH189</f>
        <v>0</v>
      </c>
      <c r="DX241" s="651">
        <f>INPUT!EI189</f>
        <v>31.9</v>
      </c>
      <c r="DY241" s="18">
        <f>INPUT!EJ189</f>
        <v>10.763888888888884</v>
      </c>
      <c r="DZ241" s="651">
        <f>INPUT!EK189</f>
        <v>33.228039584921945</v>
      </c>
      <c r="EA241" s="18">
        <f>INPUT!EL189</f>
        <v>24.917442048578732</v>
      </c>
      <c r="EB241" s="651">
        <f>INPUT!EM189</f>
        <v>33.228039584921945</v>
      </c>
      <c r="EC241" s="18">
        <f>INPUT!EN189</f>
        <v>8.4456581090175398E-2</v>
      </c>
      <c r="ED241" s="651">
        <f>INPUT!EO189</f>
        <v>33.228039584921945</v>
      </c>
      <c r="EE241" s="18">
        <f>INPUT!EP189</f>
        <v>16.589612578673485</v>
      </c>
      <c r="EF241" s="651">
        <f>INPUT!EQ189</f>
        <v>33.228039584921945</v>
      </c>
      <c r="EG241" s="18">
        <f>INPUT!ER189</f>
        <v>4.1631334950531285</v>
      </c>
      <c r="EH241" s="18"/>
      <c r="EI241" s="651">
        <f>INPUT!FB189</f>
        <v>0</v>
      </c>
      <c r="EJ241" s="5">
        <f>INPUT!FC189</f>
        <v>0</v>
      </c>
      <c r="EK241" s="651">
        <f>INPUT!FD189</f>
        <v>80.599999999999994</v>
      </c>
      <c r="EL241" s="5" t="str">
        <f>INPUT!FE189</f>
        <v>NA</v>
      </c>
      <c r="EM241" s="651">
        <f>INPUT!FF189</f>
        <v>106.5</v>
      </c>
      <c r="EN241" s="5">
        <f>INPUT!FG189</f>
        <v>32.133995037220856</v>
      </c>
      <c r="EO241" s="651">
        <f>INPUT!FH189</f>
        <v>139.6</v>
      </c>
      <c r="EP241" s="5">
        <f>INPUT!FI189</f>
        <v>31.079812206572765</v>
      </c>
      <c r="EQ241" s="651">
        <f>INPUT!FJ189</f>
        <v>154.19999999999999</v>
      </c>
      <c r="ER241" s="18">
        <f>INPUT!FK189</f>
        <v>10.458452722063027</v>
      </c>
      <c r="ES241" s="651">
        <f>INPUT!FL189</f>
        <v>174.6</v>
      </c>
      <c r="ET241" s="18">
        <f>INPUT!FM189</f>
        <v>13.229571984435795</v>
      </c>
      <c r="EU241" s="651">
        <f>INPUT!FN189</f>
        <v>187.39999999999998</v>
      </c>
      <c r="EV241" s="18">
        <f>INPUT!FO189</f>
        <v>7.3310423825887705</v>
      </c>
      <c r="EW241" s="651">
        <f>INPUT!FP189</f>
        <v>185.29999999999998</v>
      </c>
      <c r="EX241" s="18">
        <f>INPUT!FQ189</f>
        <v>-1.1205976520811123</v>
      </c>
      <c r="EY241" s="651">
        <f>INPUT!FR189</f>
        <v>124.49999999999999</v>
      </c>
      <c r="EZ241" s="18">
        <f>INPUT!FS189</f>
        <v>-32.811656772800866</v>
      </c>
      <c r="FA241" s="651">
        <f>INPUT!FT189</f>
        <v>170.5</v>
      </c>
      <c r="FB241" s="18">
        <f>INPUT!FU189</f>
        <v>36.947791164658653</v>
      </c>
      <c r="FC241" s="651">
        <f>INPUT!FV189</f>
        <v>189.9</v>
      </c>
      <c r="FD241" s="18">
        <f>INPUT!FW189</f>
        <v>11.378299120234603</v>
      </c>
      <c r="FE241" s="651">
        <f>INPUT!FX189</f>
        <v>170.8</v>
      </c>
      <c r="FF241" s="18">
        <f>INPUT!FY189</f>
        <v>-10.057925223802</v>
      </c>
      <c r="FG241" s="651">
        <f>INPUT!FZ189</f>
        <v>148.5</v>
      </c>
      <c r="FH241" s="18">
        <f>INPUT!GA189</f>
        <v>-13.056206088992983</v>
      </c>
      <c r="FI241" s="651">
        <f>INPUT!GB189</f>
        <v>151</v>
      </c>
      <c r="FJ241" s="18">
        <f>INPUT!GC189</f>
        <v>1.6835016835016869</v>
      </c>
      <c r="FK241" s="651">
        <f>INPUT!GD189</f>
        <v>124.89999999999999</v>
      </c>
      <c r="FL241" s="18">
        <f>INPUT!GE189</f>
        <v>-17.284768211920532</v>
      </c>
      <c r="FM241" s="651">
        <f>INPUT!GF189</f>
        <v>118.1</v>
      </c>
      <c r="FN241" s="18">
        <f>INPUT!GG189</f>
        <v>-5.4443554843875086</v>
      </c>
      <c r="FO241" s="651">
        <f>INPUT!GH189</f>
        <v>120.20000000000002</v>
      </c>
      <c r="FP241" s="18">
        <f>INPUT!GI189</f>
        <v>1.778154106689267</v>
      </c>
      <c r="FQ241" s="651">
        <f>INPUT!GJ189</f>
        <v>132.91215833968778</v>
      </c>
      <c r="FR241" s="18">
        <f>INPUT!GK189</f>
        <v>10.575838884931589</v>
      </c>
      <c r="FS241" s="651">
        <f>INPUT!GL189</f>
        <v>138.22864467327528</v>
      </c>
      <c r="FT241" s="18">
        <f>INPUT!GM189</f>
        <v>4.0000000000000036</v>
      </c>
      <c r="FU241" s="651">
        <f>INPUT!GN189</f>
        <v>143.75779046020631</v>
      </c>
      <c r="FV241" s="18">
        <f>INPUT!GO189</f>
        <v>4.0000000000000036</v>
      </c>
      <c r="FW241" s="651">
        <f>INPUT!GP189</f>
        <v>149.50810207861457</v>
      </c>
      <c r="FX241" s="18">
        <f>INPUT!GQ189</f>
        <v>4.0000000000000036</v>
      </c>
      <c r="FY241" s="651">
        <f>INPUT!GR189</f>
        <v>155.48842616175915</v>
      </c>
      <c r="FZ241" s="18">
        <f>INPUT!GS189</f>
        <v>4.0000000000000036</v>
      </c>
      <c r="GA241" s="5">
        <f>INPUT!GT189</f>
        <v>5.2831135751911784</v>
      </c>
    </row>
    <row r="242" spans="1:183" ht="12.75" hidden="1" customHeight="1" outlineLevel="1" x14ac:dyDescent="0.2">
      <c r="A242" s="650" t="str">
        <f>INPUT!B190</f>
        <v>Other Income</v>
      </c>
      <c r="B242" s="651"/>
      <c r="C242" s="652"/>
      <c r="D242" s="651"/>
      <c r="E242" s="5"/>
      <c r="F242" s="651"/>
      <c r="G242" s="5"/>
      <c r="H242" s="651"/>
      <c r="I242" s="5"/>
      <c r="J242" s="651">
        <f>INPUT!U190</f>
        <v>2.5000000000000009</v>
      </c>
      <c r="K242" s="5" t="str">
        <f>INPUT!V190</f>
        <v>NA</v>
      </c>
      <c r="L242" s="651">
        <f>INPUT!W190</f>
        <v>3.3</v>
      </c>
      <c r="M242" s="5" t="str">
        <f>INPUT!X190</f>
        <v>NA</v>
      </c>
      <c r="N242" s="651">
        <f>INPUT!Y190</f>
        <v>2.4</v>
      </c>
      <c r="O242" s="5" t="str">
        <f>INPUT!Z190</f>
        <v>NA</v>
      </c>
      <c r="P242" s="651">
        <f>INPUT!AA190</f>
        <v>1.7</v>
      </c>
      <c r="Q242" s="5" t="str">
        <f>INPUT!AB190</f>
        <v>NA</v>
      </c>
      <c r="R242" s="651">
        <f>INPUT!AC190</f>
        <v>1.3</v>
      </c>
      <c r="S242" s="5">
        <f>INPUT!AD190</f>
        <v>-48.000000000000021</v>
      </c>
      <c r="T242" s="651">
        <f>INPUT!AE190</f>
        <v>0.8</v>
      </c>
      <c r="U242" s="5" t="str">
        <f>INPUT!AF190</f>
        <v>NM</v>
      </c>
      <c r="V242" s="651">
        <f>INPUT!AG190</f>
        <v>0.5</v>
      </c>
      <c r="W242" s="5" t="str">
        <f>INPUT!AH190</f>
        <v>NM</v>
      </c>
      <c r="X242" s="651">
        <f>INPUT!AI190</f>
        <v>0.5</v>
      </c>
      <c r="Y242" s="5" t="str">
        <f>INPUT!AJ190</f>
        <v>NM</v>
      </c>
      <c r="Z242" s="651">
        <f>INPUT!AK190</f>
        <v>0.5</v>
      </c>
      <c r="AA242" s="5" t="str">
        <f>INPUT!AL190</f>
        <v>NM</v>
      </c>
      <c r="AB242" s="651">
        <f>INPUT!AM190</f>
        <v>-0.1</v>
      </c>
      <c r="AC242" s="5" t="str">
        <f>INPUT!AN190</f>
        <v>NM</v>
      </c>
      <c r="AD242" s="651">
        <f>INPUT!AO190</f>
        <v>0</v>
      </c>
      <c r="AE242" s="5" t="str">
        <f>INPUT!AP190</f>
        <v>NM</v>
      </c>
      <c r="AF242" s="651">
        <f>INPUT!AQ190</f>
        <v>0</v>
      </c>
      <c r="AG242" s="5" t="str">
        <f>INPUT!AR190</f>
        <v>NM</v>
      </c>
      <c r="AH242" s="651">
        <f>INPUT!AS190</f>
        <v>0.1</v>
      </c>
      <c r="AI242" s="5" t="str">
        <f>INPUT!AT190</f>
        <v>NM</v>
      </c>
      <c r="AJ242" s="651">
        <f>INPUT!AU190</f>
        <v>-0.1</v>
      </c>
      <c r="AK242" s="5">
        <f>INPUT!AV190</f>
        <v>0</v>
      </c>
      <c r="AL242" s="651">
        <f>INPUT!AW190</f>
        <v>0</v>
      </c>
      <c r="AM242" s="5" t="str">
        <f>INPUT!AX190</f>
        <v>NA</v>
      </c>
      <c r="AN242" s="651">
        <f>INPUT!AY190</f>
        <v>0.1</v>
      </c>
      <c r="AO242" s="18" t="str">
        <f>INPUT!AZ190</f>
        <v>NA</v>
      </c>
      <c r="AP242" s="651">
        <f>INPUT!BA190</f>
        <v>1.7</v>
      </c>
      <c r="AQ242" s="18" t="str">
        <f>INPUT!BB190</f>
        <v>NM</v>
      </c>
      <c r="AR242" s="651">
        <f>INPUT!BC190</f>
        <v>0.3</v>
      </c>
      <c r="AS242" s="18" t="str">
        <f>INPUT!BD190</f>
        <v>NM</v>
      </c>
      <c r="AT242" s="651">
        <f>INPUT!BE190</f>
        <v>0.7</v>
      </c>
      <c r="AU242" s="18" t="str">
        <f>INPUT!BF190</f>
        <v>NA</v>
      </c>
      <c r="AV242" s="651">
        <f>INPUT!BG190</f>
        <v>0.4</v>
      </c>
      <c r="AW242" s="18" t="str">
        <f>INPUT!BH190</f>
        <v>NM</v>
      </c>
      <c r="AX242" s="651">
        <f>INPUT!BI190</f>
        <v>0.2</v>
      </c>
      <c r="AY242" s="18" t="str">
        <f>INPUT!BJ190</f>
        <v>NM</v>
      </c>
      <c r="AZ242" s="651">
        <f>INPUT!BK190</f>
        <v>-3.1999999999999997</v>
      </c>
      <c r="BA242" s="18" t="str">
        <f>INPUT!BL190</f>
        <v>NM</v>
      </c>
      <c r="BB242" s="651">
        <f>INPUT!BM190</f>
        <v>0.9</v>
      </c>
      <c r="BC242" s="18">
        <f>INPUT!BN190</f>
        <v>28.57142857142858</v>
      </c>
      <c r="BD242" s="651">
        <f>INPUT!BO190</f>
        <v>0.7</v>
      </c>
      <c r="BE242" s="18">
        <f>INPUT!BP190</f>
        <v>74.999999999999972</v>
      </c>
      <c r="BF242" s="651">
        <f>INPUT!BQ190</f>
        <v>0.6</v>
      </c>
      <c r="BG242" s="18" t="str">
        <f>INPUT!BR190</f>
        <v>NM</v>
      </c>
      <c r="BH242" s="651">
        <f>INPUT!BS190</f>
        <v>0.6</v>
      </c>
      <c r="BI242" s="18" t="str">
        <f>INPUT!BT190</f>
        <v>NM</v>
      </c>
      <c r="BJ242" s="651">
        <f>INPUT!BU190</f>
        <v>0.6</v>
      </c>
      <c r="BK242" s="18">
        <f>INPUT!BV190</f>
        <v>-33.333333333333336</v>
      </c>
      <c r="BL242" s="651">
        <f>INPUT!BW190</f>
        <v>0.6</v>
      </c>
      <c r="BM242" s="18">
        <f>INPUT!BX190</f>
        <v>-14.285714285714279</v>
      </c>
      <c r="BN242" s="651">
        <f>INPUT!BY190</f>
        <v>0.5</v>
      </c>
      <c r="BO242" s="18">
        <f>INPUT!BZ190</f>
        <v>-16.666666666666664</v>
      </c>
      <c r="BP242" s="651">
        <f>INPUT!CA190</f>
        <v>0.4</v>
      </c>
      <c r="BQ242" s="18">
        <f>INPUT!CB190</f>
        <v>-33.333333333333329</v>
      </c>
      <c r="BR242" s="651">
        <f>INPUT!CC190</f>
        <v>0.2</v>
      </c>
      <c r="BS242" s="18" t="str">
        <f>INPUT!CD190</f>
        <v>NM</v>
      </c>
      <c r="BT242" s="651">
        <f>INPUT!CE190</f>
        <v>0.1</v>
      </c>
      <c r="BU242" s="18" t="str">
        <f>INPUT!CF190</f>
        <v>NM</v>
      </c>
      <c r="BV242" s="651">
        <f>INPUT!CG190</f>
        <v>0.1</v>
      </c>
      <c r="BW242" s="18" t="str">
        <f>INPUT!CH190</f>
        <v>NM</v>
      </c>
      <c r="BX242" s="651">
        <f>INPUT!CI190</f>
        <v>0</v>
      </c>
      <c r="BY242" s="18" t="str">
        <f>INPUT!CJ190</f>
        <v>NM</v>
      </c>
      <c r="BZ242" s="651">
        <f>INPUT!CK190</f>
        <v>0</v>
      </c>
      <c r="CA242" s="18" t="str">
        <f>INPUT!CL190</f>
        <v>NM</v>
      </c>
      <c r="CB242" s="651">
        <f>INPUT!CM190</f>
        <v>0.2</v>
      </c>
      <c r="CC242" s="18">
        <f>INPUT!CN190</f>
        <v>100</v>
      </c>
      <c r="CD242" s="651">
        <f>INPUT!CO190</f>
        <v>0.1</v>
      </c>
      <c r="CE242" s="18">
        <f>INPUT!CP190</f>
        <v>0</v>
      </c>
      <c r="CF242" s="651">
        <f>INPUT!CQ190</f>
        <v>0</v>
      </c>
      <c r="CG242" s="18" t="str">
        <f>INPUT!CR190</f>
        <v>NA</v>
      </c>
      <c r="CH242" s="651">
        <f>INPUT!CS190</f>
        <v>0</v>
      </c>
      <c r="CI242" s="18" t="str">
        <f>INPUT!CT190</f>
        <v>NA</v>
      </c>
      <c r="CJ242" s="651">
        <f>INPUT!CU190</f>
        <v>0</v>
      </c>
      <c r="CK242" s="18" t="str">
        <f>INPUT!CV190</f>
        <v>NM</v>
      </c>
      <c r="CL242" s="651">
        <f>INPUT!CW190</f>
        <v>0.1</v>
      </c>
      <c r="CM242" s="18">
        <f>INPUT!CX190</f>
        <v>0</v>
      </c>
      <c r="CN242" s="651">
        <f>INPUT!CY190</f>
        <v>-0.1</v>
      </c>
      <c r="CO242" s="18" t="str">
        <f>INPUT!CZ190</f>
        <v>NA</v>
      </c>
      <c r="CP242" s="651">
        <f>INPUT!DA190</f>
        <v>0.1</v>
      </c>
      <c r="CQ242" s="18" t="str">
        <f>INPUT!DB190</f>
        <v>NA</v>
      </c>
      <c r="CR242" s="651">
        <f>INPUT!DC190</f>
        <v>0</v>
      </c>
      <c r="CS242" s="18" t="str">
        <f>INPUT!DD190</f>
        <v>NA</v>
      </c>
      <c r="CT242" s="651">
        <f>INPUT!DE190</f>
        <v>-0.1</v>
      </c>
      <c r="CU242" s="18" t="str">
        <f>INPUT!DF190</f>
        <v>NM</v>
      </c>
      <c r="CV242" s="651">
        <f>INPUT!DG190</f>
        <v>0.2</v>
      </c>
      <c r="CW242" s="18" t="str">
        <f>INPUT!DH190</f>
        <v>NM</v>
      </c>
      <c r="CX242" s="651">
        <f>INPUT!DI190</f>
        <v>0</v>
      </c>
      <c r="CY242" s="18" t="str">
        <f>INPUT!DJ190</f>
        <v>NM</v>
      </c>
      <c r="CZ242" s="651">
        <f>INPUT!DK190</f>
        <v>-0.1</v>
      </c>
      <c r="DA242" s="18" t="str">
        <f>INPUT!DL190</f>
        <v>NA</v>
      </c>
      <c r="DB242" s="651">
        <f>INPUT!DM190</f>
        <v>0</v>
      </c>
      <c r="DC242" s="18" t="str">
        <f>INPUT!DN190</f>
        <v>NM</v>
      </c>
      <c r="DD242" s="651">
        <f>INPUT!DO190</f>
        <v>0</v>
      </c>
      <c r="DE242" s="18" t="str">
        <f>INPUT!DP190</f>
        <v>NM</v>
      </c>
      <c r="DF242" s="651">
        <f>INPUT!DQ190</f>
        <v>0</v>
      </c>
      <c r="DG242" s="18" t="str">
        <f>INPUT!DR190</f>
        <v>NA</v>
      </c>
      <c r="DH242" s="651">
        <f>INPUT!DS190</f>
        <v>0</v>
      </c>
      <c r="DI242" s="18" t="str">
        <f>INPUT!DT190</f>
        <v>NM</v>
      </c>
      <c r="DJ242" s="651">
        <f>INPUT!DU190</f>
        <v>0</v>
      </c>
      <c r="DK242" s="18" t="str">
        <f>INPUT!DV190</f>
        <v>NA</v>
      </c>
      <c r="DL242" s="651">
        <f>INPUT!DW190</f>
        <v>0.2</v>
      </c>
      <c r="DM242" s="18" t="str">
        <f>INPUT!DX190</f>
        <v>NA</v>
      </c>
      <c r="DN242" s="651">
        <f>INPUT!DY190</f>
        <v>0</v>
      </c>
      <c r="DO242" s="18" t="str">
        <f>INPUT!DZ190</f>
        <v>NA</v>
      </c>
      <c r="DP242" s="651">
        <f>INPUT!EA190</f>
        <v>0</v>
      </c>
      <c r="DQ242" s="18" t="str">
        <f>INPUT!EB190</f>
        <v>NA</v>
      </c>
      <c r="DR242" s="651">
        <f>INPUT!EC190</f>
        <v>0</v>
      </c>
      <c r="DS242" s="18" t="str">
        <f>INPUT!ED190</f>
        <v>NA</v>
      </c>
      <c r="DT242" s="651">
        <f>INPUT!EE190</f>
        <v>0</v>
      </c>
      <c r="DU242" s="18" t="str">
        <f>INPUT!EF190</f>
        <v>NM</v>
      </c>
      <c r="DV242" s="651">
        <f>INPUT!EG190</f>
        <v>0</v>
      </c>
      <c r="DW242" s="18" t="str">
        <f>INPUT!EH190</f>
        <v>NA</v>
      </c>
      <c r="DX242" s="651">
        <f>INPUT!EI190</f>
        <v>0.1</v>
      </c>
      <c r="DY242" s="18" t="str">
        <f>INPUT!EJ190</f>
        <v>NA</v>
      </c>
      <c r="DZ242" s="651">
        <f>INPUT!EK190</f>
        <v>0</v>
      </c>
      <c r="EA242" s="18" t="str">
        <f>INPUT!EL190</f>
        <v>NA</v>
      </c>
      <c r="EB242" s="651">
        <f>INPUT!EM190</f>
        <v>0</v>
      </c>
      <c r="EC242" s="18" t="str">
        <f>INPUT!EN190</f>
        <v>NA</v>
      </c>
      <c r="ED242" s="651">
        <f>INPUT!EO190</f>
        <v>0</v>
      </c>
      <c r="EE242" s="18" t="str">
        <f>INPUT!EP190</f>
        <v>NA</v>
      </c>
      <c r="EF242" s="651">
        <f>INPUT!EQ190</f>
        <v>0</v>
      </c>
      <c r="EG242" s="18" t="str">
        <f>INPUT!ER190</f>
        <v>NM</v>
      </c>
      <c r="EH242" s="18"/>
      <c r="EI242" s="651">
        <f>INPUT!FB190</f>
        <v>0</v>
      </c>
      <c r="EJ242" s="5">
        <f>INPUT!FC190</f>
        <v>0</v>
      </c>
      <c r="EK242" s="651">
        <f>INPUT!FD190</f>
        <v>8.8000000000000007</v>
      </c>
      <c r="EL242" s="5" t="str">
        <f>INPUT!FE190</f>
        <v>NA</v>
      </c>
      <c r="EM242" s="651">
        <f>INPUT!FF190</f>
        <v>9.9</v>
      </c>
      <c r="EN242" s="5">
        <f>INPUT!FG190</f>
        <v>12.5</v>
      </c>
      <c r="EO242" s="651">
        <f>INPUT!FH190</f>
        <v>3.1</v>
      </c>
      <c r="EP242" s="5" t="str">
        <f>INPUT!FI190</f>
        <v>NM</v>
      </c>
      <c r="EQ242" s="651">
        <f>INPUT!FJ190</f>
        <v>0.4</v>
      </c>
      <c r="ER242" s="18" t="str">
        <f>INPUT!FK190</f>
        <v>NM</v>
      </c>
      <c r="ES242" s="651">
        <f>INPUT!FL190</f>
        <v>0.1</v>
      </c>
      <c r="ET242" s="18" t="str">
        <f>INPUT!FM190</f>
        <v>NM</v>
      </c>
      <c r="EU242" s="651">
        <f>INPUT!FN190</f>
        <v>3.1</v>
      </c>
      <c r="EV242" s="18" t="str">
        <f>INPUT!FO190</f>
        <v>NM</v>
      </c>
      <c r="EW242" s="651">
        <f>INPUT!FP190</f>
        <v>-1.3999999999999997</v>
      </c>
      <c r="EX242" s="18" t="str">
        <f>INPUT!FQ190</f>
        <v>NM</v>
      </c>
      <c r="EY242" s="651">
        <f>INPUT!FR190</f>
        <v>2.4</v>
      </c>
      <c r="EZ242" s="18" t="str">
        <f>INPUT!FS190</f>
        <v>NM</v>
      </c>
      <c r="FA242" s="651">
        <f>INPUT!FT190</f>
        <v>1.2000000000000002</v>
      </c>
      <c r="FB242" s="18">
        <f>INPUT!FU190</f>
        <v>-49.999999999999986</v>
      </c>
      <c r="FC242" s="651">
        <f>INPUT!FV190</f>
        <v>0.30000000000000004</v>
      </c>
      <c r="FD242" s="18" t="str">
        <f>INPUT!FW190</f>
        <v>NM</v>
      </c>
      <c r="FE242" s="651">
        <f>INPUT!FX190</f>
        <v>0.1</v>
      </c>
      <c r="FF242" s="18" t="str">
        <f>INPUT!FY190</f>
        <v>NM</v>
      </c>
      <c r="FG242" s="651">
        <f>INPUT!FZ190</f>
        <v>0.1</v>
      </c>
      <c r="FH242" s="18">
        <f>INPUT!GA190</f>
        <v>0</v>
      </c>
      <c r="FI242" s="651">
        <f>INPUT!GB190</f>
        <v>0</v>
      </c>
      <c r="FJ242" s="18" t="str">
        <f>INPUT!GC190</f>
        <v>NM</v>
      </c>
      <c r="FK242" s="651">
        <f>INPUT!GD190</f>
        <v>0</v>
      </c>
      <c r="FL242" s="18" t="str">
        <f>INPUT!GE190</f>
        <v>NA</v>
      </c>
      <c r="FM242" s="651">
        <f>INPUT!GF190</f>
        <v>0.2</v>
      </c>
      <c r="FN242" s="18" t="str">
        <f>INPUT!GG190</f>
        <v>NA</v>
      </c>
      <c r="FO242" s="651">
        <f>INPUT!GH190</f>
        <v>0.1</v>
      </c>
      <c r="FP242" s="18">
        <f>INPUT!GI190</f>
        <v>-50</v>
      </c>
      <c r="FQ242" s="651">
        <f>INPUT!GJ190</f>
        <v>0</v>
      </c>
      <c r="FR242" s="18" t="str">
        <f>INPUT!GK190</f>
        <v>NM</v>
      </c>
      <c r="FS242" s="651">
        <f>INPUT!GL190</f>
        <v>0</v>
      </c>
      <c r="FT242" s="18" t="str">
        <f>INPUT!GM190</f>
        <v>NA</v>
      </c>
      <c r="FU242" s="651">
        <f>INPUT!GN190</f>
        <v>0</v>
      </c>
      <c r="FV242" s="18" t="str">
        <f>INPUT!GO190</f>
        <v>NA</v>
      </c>
      <c r="FW242" s="651">
        <f>INPUT!GP190</f>
        <v>0</v>
      </c>
      <c r="FX242" s="18" t="str">
        <f>INPUT!GQ190</f>
        <v>NA</v>
      </c>
      <c r="FY242" s="651">
        <f>INPUT!GR190</f>
        <v>0</v>
      </c>
      <c r="FZ242" s="18" t="str">
        <f>INPUT!GS190</f>
        <v>NA</v>
      </c>
      <c r="GA242" s="5" t="str">
        <f>INPUT!GT190</f>
        <v>NM</v>
      </c>
    </row>
    <row r="243" spans="1:183" ht="12.75" hidden="1" customHeight="1" outlineLevel="1" x14ac:dyDescent="0.2">
      <c r="A243" s="650" t="str">
        <f>INPUT!B191</f>
        <v xml:space="preserve"> Total Revenues</v>
      </c>
      <c r="B243" s="651"/>
      <c r="C243" s="652"/>
      <c r="D243" s="651"/>
      <c r="E243" s="5"/>
      <c r="F243" s="651"/>
      <c r="G243" s="5"/>
      <c r="H243" s="651"/>
      <c r="I243" s="5"/>
      <c r="J243" s="651">
        <f>INPUT!U191</f>
        <v>129.20000000000002</v>
      </c>
      <c r="K243" s="5" t="str">
        <f>INPUT!V191</f>
        <v>NA</v>
      </c>
      <c r="L243" s="651">
        <f>INPUT!W191</f>
        <v>150.9</v>
      </c>
      <c r="M243" s="5" t="str">
        <f>INPUT!X191</f>
        <v>NA</v>
      </c>
      <c r="N243" s="651">
        <f>INPUT!Y191</f>
        <v>148.6</v>
      </c>
      <c r="O243" s="5" t="str">
        <f>INPUT!Z191</f>
        <v>NA</v>
      </c>
      <c r="P243" s="651">
        <f>INPUT!AA191</f>
        <v>164.7</v>
      </c>
      <c r="Q243" s="5" t="str">
        <f>INPUT!AB191</f>
        <v>NA</v>
      </c>
      <c r="R243" s="651">
        <f>INPUT!AC191</f>
        <v>184.5</v>
      </c>
      <c r="S243" s="5">
        <f>INPUT!AD191</f>
        <v>42.801857585139302</v>
      </c>
      <c r="T243" s="651">
        <f>INPUT!AE191</f>
        <v>196.5</v>
      </c>
      <c r="U243" s="5">
        <f>INPUT!AF191</f>
        <v>30.218687872763404</v>
      </c>
      <c r="V243" s="651">
        <f>INPUT!AG191</f>
        <v>205.89999999999998</v>
      </c>
      <c r="W243" s="5">
        <f>INPUT!AH191</f>
        <v>38.559892328398384</v>
      </c>
      <c r="X243" s="651">
        <f>INPUT!AI191</f>
        <v>214.89999999999998</v>
      </c>
      <c r="Y243" s="5">
        <f>INPUT!AJ191</f>
        <v>30.47965998785671</v>
      </c>
      <c r="Z243" s="651">
        <f>INPUT!AK191</f>
        <v>228.20000000000002</v>
      </c>
      <c r="AA243" s="5">
        <f>INPUT!AL191</f>
        <v>23.685636856368575</v>
      </c>
      <c r="AB243" s="651">
        <f>INPUT!AM191</f>
        <v>232.6</v>
      </c>
      <c r="AC243" s="5">
        <f>INPUT!AN191</f>
        <v>18.371501272264634</v>
      </c>
      <c r="AD243" s="651">
        <f>INPUT!AO191</f>
        <v>243.2</v>
      </c>
      <c r="AE243" s="5">
        <f>INPUT!AP191</f>
        <v>18.115590092277813</v>
      </c>
      <c r="AF243" s="651">
        <f>INPUT!AQ191</f>
        <v>235.89999999999998</v>
      </c>
      <c r="AG243" s="5">
        <f>INPUT!AR191</f>
        <v>9.7719869706840434</v>
      </c>
      <c r="AH243" s="651">
        <f>INPUT!AS191</f>
        <v>229.5</v>
      </c>
      <c r="AI243" s="5">
        <f>INPUT!AT191</f>
        <v>0.56967572304995606</v>
      </c>
      <c r="AJ243" s="651">
        <f>INPUT!AU191</f>
        <v>240.5</v>
      </c>
      <c r="AK243" s="5">
        <f>INPUT!AV191</f>
        <v>3.3963886500429918</v>
      </c>
      <c r="AL243" s="651">
        <f>INPUT!AW191</f>
        <v>265.5</v>
      </c>
      <c r="AM243" s="5">
        <f>INPUT!AX191</f>
        <v>9.1694078947368354</v>
      </c>
      <c r="AN243" s="651">
        <f>INPUT!AY191</f>
        <v>282</v>
      </c>
      <c r="AO243" s="18">
        <f>INPUT!AZ191</f>
        <v>19.542178889359917</v>
      </c>
      <c r="AP243" s="651">
        <f>INPUT!BA191</f>
        <v>267.10000000000002</v>
      </c>
      <c r="AQ243" s="18">
        <f>INPUT!BB191</f>
        <v>16.383442265795225</v>
      </c>
      <c r="AR243" s="651">
        <f>INPUT!BC191</f>
        <v>293.60000000000002</v>
      </c>
      <c r="AS243" s="18">
        <f>INPUT!BD191</f>
        <v>22.079002079002088</v>
      </c>
      <c r="AT243" s="651">
        <f>INPUT!BE191</f>
        <v>292.3</v>
      </c>
      <c r="AU243" s="18">
        <f>INPUT!BF191</f>
        <v>10.094161958568737</v>
      </c>
      <c r="AV243" s="651">
        <f>INPUT!BG191</f>
        <v>305.8</v>
      </c>
      <c r="AW243" s="18">
        <f>INPUT!BH191</f>
        <v>8.4397163120567331</v>
      </c>
      <c r="AX243" s="651">
        <f>INPUT!BI191</f>
        <v>283.3</v>
      </c>
      <c r="AY243" s="18">
        <f>INPUT!BJ191</f>
        <v>6.0651441407712392</v>
      </c>
      <c r="AZ243" s="651">
        <f>INPUT!BK191</f>
        <v>293.39999999999998</v>
      </c>
      <c r="BA243" s="18">
        <f>INPUT!BL191</f>
        <v>-6.8119891008189271E-2</v>
      </c>
      <c r="BB243" s="651">
        <f>INPUT!BM191</f>
        <v>271.39999999999998</v>
      </c>
      <c r="BC243" s="18">
        <f>INPUT!BN191</f>
        <v>-7.1501881628464048</v>
      </c>
      <c r="BD243" s="651">
        <f>INPUT!BO191</f>
        <v>225.10000000000002</v>
      </c>
      <c r="BE243" s="18">
        <f>INPUT!BP191</f>
        <v>-26.389797253106607</v>
      </c>
      <c r="BF243" s="651">
        <f>INPUT!BQ191</f>
        <v>190.5</v>
      </c>
      <c r="BG243" s="18">
        <f>INPUT!BR191</f>
        <v>-32.756794917049071</v>
      </c>
      <c r="BH243" s="651">
        <f>INPUT!BS191</f>
        <v>208.3</v>
      </c>
      <c r="BI243" s="18">
        <f>INPUT!BT191</f>
        <v>-29.004771642808446</v>
      </c>
      <c r="BJ243" s="651">
        <f>INPUT!BU191</f>
        <v>192.79999999999998</v>
      </c>
      <c r="BK243" s="18">
        <f>INPUT!BV191</f>
        <v>-28.960943257184969</v>
      </c>
      <c r="BL243" s="651">
        <f>INPUT!BW191</f>
        <v>221.4</v>
      </c>
      <c r="BM243" s="18">
        <f>INPUT!BX191</f>
        <v>-1.6437139049311544</v>
      </c>
      <c r="BN243" s="651">
        <f>INPUT!BY191</f>
        <v>206.10000000000002</v>
      </c>
      <c r="BO243" s="18">
        <f>INPUT!BZ191</f>
        <v>8.1889763779527733</v>
      </c>
      <c r="BP243" s="651">
        <f>INPUT!CA191</f>
        <v>196.4</v>
      </c>
      <c r="BQ243" s="18">
        <f>INPUT!CB191</f>
        <v>-5.7129140662506073</v>
      </c>
      <c r="BR243" s="651">
        <f>INPUT!CC191</f>
        <v>200.60000000000002</v>
      </c>
      <c r="BS243" s="18">
        <f>INPUT!CD191</f>
        <v>4.045643153527001</v>
      </c>
      <c r="BT243" s="651">
        <f>INPUT!CE191</f>
        <v>219.2</v>
      </c>
      <c r="BU243" s="18">
        <f>INPUT!CF191</f>
        <v>-0.9936766034327138</v>
      </c>
      <c r="BV243" s="651">
        <f>INPUT!CG191</f>
        <v>212.1</v>
      </c>
      <c r="BW243" s="18">
        <f>INPUT!CH191</f>
        <v>2.9112081513828159</v>
      </c>
      <c r="BX243" s="651">
        <f>INPUT!CI191</f>
        <v>226.9</v>
      </c>
      <c r="BY243" s="18">
        <f>INPUT!CJ191</f>
        <v>15.529531568228116</v>
      </c>
      <c r="BZ243" s="651">
        <f>INPUT!CK191</f>
        <v>218.8</v>
      </c>
      <c r="CA243" s="18">
        <f>INPUT!CL191</f>
        <v>9.0727816550348894</v>
      </c>
      <c r="CB243" s="651">
        <f>INPUT!CM191</f>
        <v>220</v>
      </c>
      <c r="CC243" s="18">
        <f>INPUT!CN191</f>
        <v>0.36496350364965124</v>
      </c>
      <c r="CD243" s="651">
        <f>INPUT!CO191</f>
        <v>207.29999999999998</v>
      </c>
      <c r="CE243" s="18">
        <f>INPUT!CP191</f>
        <v>-2.2630834512022635</v>
      </c>
      <c r="CF243" s="651">
        <f>INPUT!CQ191</f>
        <v>222.39999999999998</v>
      </c>
      <c r="CG243" s="18">
        <f>INPUT!CR191</f>
        <v>-1.9832525341560325</v>
      </c>
      <c r="CH243" s="651">
        <f>INPUT!CS191</f>
        <v>210</v>
      </c>
      <c r="CI243" s="18">
        <f>INPUT!CT191</f>
        <v>-4.0219378427788</v>
      </c>
      <c r="CJ243" s="651">
        <f>INPUT!CU191</f>
        <v>225.8</v>
      </c>
      <c r="CK243" s="18">
        <f>INPUT!CV191</f>
        <v>2.6363636363636367</v>
      </c>
      <c r="CL243" s="651">
        <f>INPUT!CW191</f>
        <v>174.70000000000002</v>
      </c>
      <c r="CM243" s="18">
        <f>INPUT!CX191</f>
        <v>-15.726000964785324</v>
      </c>
      <c r="CN243" s="651">
        <f>INPUT!CY191</f>
        <v>182.89999999999998</v>
      </c>
      <c r="CO243" s="18">
        <f>INPUT!CZ191</f>
        <v>-17.760791366906481</v>
      </c>
      <c r="CP243" s="651">
        <f>INPUT!DA191</f>
        <v>167.70000000000002</v>
      </c>
      <c r="CQ243" s="18">
        <f>INPUT!DB191</f>
        <v>-20.142857142857139</v>
      </c>
      <c r="CR243" s="651">
        <f>INPUT!DC191</f>
        <v>179.9</v>
      </c>
      <c r="CS243" s="18">
        <f>INPUT!DD191</f>
        <v>-20.327723649247119</v>
      </c>
      <c r="CT243" s="651">
        <f>INPUT!DE191</f>
        <v>185.2</v>
      </c>
      <c r="CU243" s="18">
        <f>INPUT!DF191</f>
        <v>6.0103033772180625</v>
      </c>
      <c r="CV243" s="651">
        <f>INPUT!DG191</f>
        <v>198.5</v>
      </c>
      <c r="CW243" s="18">
        <f>INPUT!DH191</f>
        <v>8.5292509568070116</v>
      </c>
      <c r="CX243" s="651">
        <f>INPUT!DI191</f>
        <v>187</v>
      </c>
      <c r="CY243" s="18">
        <f>INPUT!DJ191</f>
        <v>11.508646392367305</v>
      </c>
      <c r="CZ243" s="651">
        <f>INPUT!DK191</f>
        <v>187.5</v>
      </c>
      <c r="DA243" s="18">
        <f>INPUT!DL191</f>
        <v>4.2245692051139594</v>
      </c>
      <c r="DB243" s="651">
        <f>INPUT!DM191</f>
        <v>162.5</v>
      </c>
      <c r="DC243" s="18">
        <f>INPUT!DN191</f>
        <v>-12.257019438444916</v>
      </c>
      <c r="DD243" s="651">
        <f>INPUT!DO191</f>
        <v>180.79999999999998</v>
      </c>
      <c r="DE243" s="18">
        <f>INPUT!DP191</f>
        <v>-8.9168765743073095</v>
      </c>
      <c r="DF243" s="651">
        <f>INPUT!DQ191</f>
        <v>172.6</v>
      </c>
      <c r="DG243" s="18">
        <f>INPUT!DR191</f>
        <v>-7.7005347593582911</v>
      </c>
      <c r="DH243" s="651">
        <f>INPUT!DS191</f>
        <v>185.2</v>
      </c>
      <c r="DI243" s="18">
        <f>INPUT!DT191</f>
        <v>-1.2266666666666759</v>
      </c>
      <c r="DJ243" s="651">
        <f>INPUT!DU191</f>
        <v>166.10000000000002</v>
      </c>
      <c r="DK243" s="18">
        <f>INPUT!DV191</f>
        <v>2.2153846153846191</v>
      </c>
      <c r="DL243" s="651">
        <f>INPUT!DW191</f>
        <v>175</v>
      </c>
      <c r="DM243" s="18">
        <f>INPUT!DX191</f>
        <v>-3.2079646017698971</v>
      </c>
      <c r="DN243" s="651">
        <f>INPUT!DY191</f>
        <v>155.80000000000001</v>
      </c>
      <c r="DO243" s="18">
        <f>INPUT!DZ191</f>
        <v>-9.7334878331401971</v>
      </c>
      <c r="DP243" s="651">
        <f>INPUT!EA191</f>
        <v>150.70000000000002</v>
      </c>
      <c r="DQ243" s="18">
        <f>INPUT!EB191</f>
        <v>-18.628509719222453</v>
      </c>
      <c r="DR243" s="651">
        <f>INPUT!EC191</f>
        <v>147.9</v>
      </c>
      <c r="DS243" s="18">
        <f>INPUT!ED191</f>
        <v>-10.957254665863946</v>
      </c>
      <c r="DT243" s="651">
        <f>INPUT!EE191</f>
        <v>160</v>
      </c>
      <c r="DU243" s="18">
        <f>INPUT!EF191</f>
        <v>-8.5714285714285747</v>
      </c>
      <c r="DV243" s="651">
        <f>INPUT!EG191</f>
        <v>160</v>
      </c>
      <c r="DW243" s="18">
        <f>INPUT!EH191</f>
        <v>2.695763799743256</v>
      </c>
      <c r="DX243" s="651">
        <f>INPUT!EI191</f>
        <v>165.4</v>
      </c>
      <c r="DY243" s="18">
        <f>INPUT!EJ191</f>
        <v>9.7544790975447881</v>
      </c>
      <c r="DZ243" s="651">
        <f>INPUT!EK191</f>
        <v>171.92907235497711</v>
      </c>
      <c r="EA243" s="18">
        <f>INPUT!EL191</f>
        <v>16.246837292073767</v>
      </c>
      <c r="EB243" s="651">
        <f>INPUT!EM191</f>
        <v>173.67451500973658</v>
      </c>
      <c r="EC243" s="18">
        <f>INPUT!EN191</f>
        <v>8.546571881085363</v>
      </c>
      <c r="ED243" s="651">
        <f>INPUT!EO191</f>
        <v>175.64256711325305</v>
      </c>
      <c r="EE243" s="18">
        <f>INPUT!EP191</f>
        <v>9.7766044457831658</v>
      </c>
      <c r="EF243" s="651">
        <f>INPUT!EQ191</f>
        <v>174.27643785951983</v>
      </c>
      <c r="EG243" s="18">
        <f>INPUT!ER191</f>
        <v>5.3666492500119789</v>
      </c>
      <c r="EH243" s="18"/>
      <c r="EI243" s="651">
        <f>INPUT!FB191</f>
        <v>0</v>
      </c>
      <c r="EJ243" s="5">
        <f>INPUT!FC191</f>
        <v>0</v>
      </c>
      <c r="EK243" s="651">
        <f>INPUT!FD191</f>
        <v>403.2</v>
      </c>
      <c r="EL243" s="5" t="str">
        <f>INPUT!FE191</f>
        <v>NA</v>
      </c>
      <c r="EM243" s="651">
        <f>INPUT!FF191</f>
        <v>593.4</v>
      </c>
      <c r="EN243" s="5">
        <f>INPUT!FG191</f>
        <v>47.172619047619044</v>
      </c>
      <c r="EO243" s="651">
        <f>INPUT!FH191</f>
        <v>801.8</v>
      </c>
      <c r="EP243" s="5">
        <f>INPUT!FI191</f>
        <v>35.11964947758679</v>
      </c>
      <c r="EQ243" s="651">
        <f>INPUT!FJ191</f>
        <v>939.9</v>
      </c>
      <c r="ER243" s="18">
        <f>INPUT!FK191</f>
        <v>17.223746570217013</v>
      </c>
      <c r="ES243" s="651">
        <f>INPUT!FL191</f>
        <v>1017.5</v>
      </c>
      <c r="ET243" s="18">
        <f>INPUT!FM191</f>
        <v>8.2561974678157171</v>
      </c>
      <c r="EU243" s="651">
        <f>INPUT!FN191</f>
        <v>1158.8</v>
      </c>
      <c r="EV243" s="18">
        <f>INPUT!FO191</f>
        <v>13.886977886977881</v>
      </c>
      <c r="EW243" s="651">
        <f>INPUT!FP191</f>
        <v>1073.1999999999998</v>
      </c>
      <c r="EX243" s="18">
        <f>INPUT!FQ191</f>
        <v>-7.3869520193303506</v>
      </c>
      <c r="EY243" s="651">
        <f>INPUT!FR191</f>
        <v>812.99999999999989</v>
      </c>
      <c r="EZ243" s="18">
        <f>INPUT!FS191</f>
        <v>-24.245247856876627</v>
      </c>
      <c r="FA243" s="651">
        <f>INPUT!FT191</f>
        <v>822.3</v>
      </c>
      <c r="FB243" s="18">
        <f>INPUT!FU191</f>
        <v>1.143911439114409</v>
      </c>
      <c r="FC243" s="651">
        <f>INPUT!FV191</f>
        <v>877.8</v>
      </c>
      <c r="FD243" s="18">
        <f>INPUT!FW191</f>
        <v>6.7493615468807056</v>
      </c>
      <c r="FE243" s="651">
        <f>INPUT!FX191</f>
        <v>865.49999999999989</v>
      </c>
      <c r="FF243" s="18">
        <f>INPUT!FY191</f>
        <v>-1.4012303485987809</v>
      </c>
      <c r="FG243" s="651">
        <f>INPUT!FZ191</f>
        <v>705.2</v>
      </c>
      <c r="FH243" s="18">
        <f>INPUT!GA191</f>
        <v>-18.521086077411887</v>
      </c>
      <c r="FI243" s="651">
        <f>INPUT!GB191</f>
        <v>758.19999999999993</v>
      </c>
      <c r="FJ243" s="18">
        <f>INPUT!GC191</f>
        <v>7.5155984117980523</v>
      </c>
      <c r="FK243" s="651">
        <f>INPUT!GD191</f>
        <v>701.09999999999991</v>
      </c>
      <c r="FL243" s="18">
        <f>INPUT!GE191</f>
        <v>-7.5309944605645001</v>
      </c>
      <c r="FM243" s="651">
        <f>INPUT!GF191</f>
        <v>647.6</v>
      </c>
      <c r="FN243" s="18">
        <f>INPUT!GG191</f>
        <v>-7.6308657823420223</v>
      </c>
      <c r="FO243" s="651">
        <f>INPUT!GH191</f>
        <v>633.29999999999995</v>
      </c>
      <c r="FP243" s="18">
        <f>INPUT!GI191</f>
        <v>-2.2081531809759247</v>
      </c>
      <c r="FQ243" s="651">
        <f>INPUT!GJ191</f>
        <v>695.52259233748646</v>
      </c>
      <c r="FR243" s="18">
        <f>INPUT!GK191</f>
        <v>9.8251369552323489</v>
      </c>
      <c r="FS243" s="651">
        <f>INPUT!GL191</f>
        <v>723.34349603098599</v>
      </c>
      <c r="FT243" s="18">
        <f>INPUT!GM191</f>
        <v>4.0000000000000036</v>
      </c>
      <c r="FU243" s="651">
        <f>INPUT!GN191</f>
        <v>752.27723587222545</v>
      </c>
      <c r="FV243" s="18">
        <f>INPUT!GO191</f>
        <v>4.0000000000000036</v>
      </c>
      <c r="FW243" s="651">
        <f>INPUT!GP191</f>
        <v>782.36832530711445</v>
      </c>
      <c r="FX243" s="18">
        <f>INPUT!GQ191</f>
        <v>4.0000000000000036</v>
      </c>
      <c r="FY243" s="651">
        <f>INPUT!GR191</f>
        <v>813.66305831939894</v>
      </c>
      <c r="FZ243" s="18">
        <f>INPUT!GS191</f>
        <v>3.9999999999999813</v>
      </c>
      <c r="GA243" s="5">
        <f>INPUT!GT191</f>
        <v>5.1397698803659519</v>
      </c>
    </row>
    <row r="244" spans="1:183" ht="12.75" hidden="1" customHeight="1" outlineLevel="1" x14ac:dyDescent="0.2">
      <c r="A244" s="650"/>
      <c r="B244" s="96"/>
      <c r="C244" s="611"/>
      <c r="D244" s="96"/>
      <c r="E244" s="5"/>
      <c r="F244" s="96"/>
      <c r="G244" s="5"/>
      <c r="H244" s="96"/>
      <c r="I244" s="5"/>
      <c r="J244" s="96"/>
      <c r="K244" s="5"/>
      <c r="L244" s="96"/>
      <c r="M244" s="5"/>
      <c r="N244" s="96"/>
      <c r="O244" s="5"/>
      <c r="P244" s="96"/>
      <c r="Q244" s="5"/>
      <c r="R244" s="96"/>
      <c r="S244" s="5"/>
      <c r="T244" s="96"/>
      <c r="U244" s="5"/>
      <c r="V244" s="96"/>
      <c r="W244" s="5"/>
      <c r="X244" s="96"/>
      <c r="Y244" s="5"/>
      <c r="Z244" s="96"/>
      <c r="AA244" s="5"/>
      <c r="AB244" s="96"/>
      <c r="AC244" s="5"/>
      <c r="AD244" s="96"/>
      <c r="AE244" s="5"/>
      <c r="AF244" s="96"/>
      <c r="AG244" s="5"/>
      <c r="AH244" s="96"/>
      <c r="AI244" s="5"/>
      <c r="AJ244" s="96"/>
      <c r="AK244" s="5"/>
      <c r="AL244" s="96"/>
      <c r="AM244" s="5"/>
      <c r="AN244" s="96"/>
      <c r="AO244" s="18"/>
      <c r="AP244" s="96"/>
      <c r="AQ244" s="18"/>
      <c r="AR244" s="96"/>
      <c r="AS244" s="18"/>
      <c r="AT244" s="96"/>
      <c r="AU244" s="18"/>
      <c r="AV244" s="96"/>
      <c r="AW244" s="18"/>
      <c r="AX244" s="96"/>
      <c r="AY244" s="18"/>
      <c r="AZ244" s="96"/>
      <c r="BA244" s="18"/>
      <c r="BB244" s="96"/>
      <c r="BC244" s="18"/>
      <c r="BD244" s="96"/>
      <c r="BE244" s="18"/>
      <c r="BF244" s="96"/>
      <c r="BG244" s="18"/>
      <c r="BH244" s="96"/>
      <c r="BI244" s="18"/>
      <c r="BJ244" s="96"/>
      <c r="BK244" s="18"/>
      <c r="BL244" s="96"/>
      <c r="BM244" s="18"/>
      <c r="BN244" s="96"/>
      <c r="BO244" s="18"/>
      <c r="BP244" s="96"/>
      <c r="BQ244" s="18"/>
      <c r="BR244" s="96"/>
      <c r="BS244" s="18"/>
      <c r="BT244" s="96"/>
      <c r="BU244" s="18"/>
      <c r="BV244" s="96"/>
      <c r="BW244" s="18"/>
      <c r="BX244" s="96"/>
      <c r="BY244" s="18"/>
      <c r="BZ244" s="96"/>
      <c r="CA244" s="18"/>
      <c r="CB244" s="96"/>
      <c r="CC244" s="18"/>
      <c r="CD244" s="96"/>
      <c r="CE244" s="18"/>
      <c r="CF244" s="96"/>
      <c r="CG244" s="18"/>
      <c r="CH244" s="96"/>
      <c r="CI244" s="18"/>
      <c r="CJ244" s="96"/>
      <c r="CK244" s="18"/>
      <c r="CL244" s="96"/>
      <c r="CM244" s="18"/>
      <c r="CN244" s="96"/>
      <c r="CO244" s="18"/>
      <c r="CP244" s="96"/>
      <c r="CQ244" s="18"/>
      <c r="CR244" s="96"/>
      <c r="CS244" s="18"/>
      <c r="CT244" s="96"/>
      <c r="CU244" s="18"/>
      <c r="CV244" s="96"/>
      <c r="CW244" s="18"/>
      <c r="CX244" s="96"/>
      <c r="CY244" s="18"/>
      <c r="CZ244" s="96"/>
      <c r="DA244" s="18"/>
      <c r="DB244" s="96"/>
      <c r="DC244" s="18"/>
      <c r="DD244" s="96"/>
      <c r="DE244" s="18"/>
      <c r="DF244" s="96"/>
      <c r="DG244" s="18"/>
      <c r="DH244" s="96"/>
      <c r="DI244" s="18"/>
      <c r="DJ244" s="96"/>
      <c r="DK244" s="18"/>
      <c r="DL244" s="96"/>
      <c r="DM244" s="18"/>
      <c r="DN244" s="96"/>
      <c r="DO244" s="18"/>
      <c r="DP244" s="96"/>
      <c r="DQ244" s="18"/>
      <c r="DR244" s="96"/>
      <c r="DS244" s="18"/>
      <c r="DT244" s="96"/>
      <c r="DU244" s="18"/>
      <c r="DV244" s="96"/>
      <c r="DW244" s="18"/>
      <c r="DX244" s="96"/>
      <c r="DY244" s="18"/>
      <c r="DZ244" s="96"/>
      <c r="EA244" s="18"/>
      <c r="EB244" s="96"/>
      <c r="EC244" s="18"/>
      <c r="ED244" s="96"/>
      <c r="EE244" s="18"/>
      <c r="EF244" s="96"/>
      <c r="EG244" s="18"/>
      <c r="EH244" s="18"/>
      <c r="EI244" s="96"/>
      <c r="EJ244" s="5"/>
      <c r="EK244" s="96"/>
      <c r="EL244" s="5"/>
      <c r="EM244" s="96"/>
      <c r="EN244" s="5"/>
      <c r="EO244" s="96"/>
      <c r="EP244" s="5"/>
      <c r="EQ244" s="96"/>
      <c r="ER244" s="18"/>
      <c r="ES244" s="96"/>
      <c r="ET244" s="18"/>
      <c r="EU244" s="96"/>
      <c r="EV244" s="18"/>
      <c r="EW244" s="96"/>
      <c r="EX244" s="18"/>
      <c r="EY244" s="96"/>
      <c r="EZ244" s="18"/>
      <c r="FA244" s="96"/>
      <c r="FB244" s="18"/>
      <c r="FC244" s="96"/>
      <c r="FD244" s="18"/>
      <c r="FE244" s="96"/>
      <c r="FF244" s="18"/>
      <c r="FG244" s="96"/>
      <c r="FH244" s="18"/>
      <c r="FI244" s="96"/>
      <c r="FJ244" s="18"/>
      <c r="FK244" s="96"/>
      <c r="FL244" s="18"/>
      <c r="FM244" s="96"/>
      <c r="FN244" s="18"/>
      <c r="FO244" s="96"/>
      <c r="FP244" s="18"/>
      <c r="FQ244" s="96"/>
      <c r="FR244" s="18"/>
      <c r="FS244" s="96"/>
      <c r="FT244" s="18"/>
      <c r="FU244" s="96"/>
      <c r="FV244" s="18"/>
      <c r="FW244" s="96"/>
      <c r="FX244" s="18"/>
      <c r="FY244" s="96"/>
      <c r="FZ244" s="18"/>
      <c r="GA244" s="5"/>
    </row>
    <row r="245" spans="1:183" ht="12.75" hidden="1" customHeight="1" outlineLevel="1" x14ac:dyDescent="0.2">
      <c r="A245" s="610" t="s">
        <v>454</v>
      </c>
      <c r="B245" s="119"/>
      <c r="C245" s="613"/>
      <c r="D245" s="119"/>
      <c r="E245" s="5"/>
      <c r="F245" s="119"/>
      <c r="G245" s="5"/>
      <c r="H245" s="119"/>
      <c r="I245" s="5"/>
      <c r="J245" s="119"/>
      <c r="K245" s="5"/>
      <c r="L245" s="119"/>
      <c r="M245" s="5"/>
      <c r="N245" s="119"/>
      <c r="O245" s="5"/>
      <c r="P245" s="119"/>
      <c r="Q245" s="5"/>
      <c r="R245" s="119"/>
      <c r="S245" s="5"/>
      <c r="T245" s="119"/>
      <c r="U245" s="5"/>
      <c r="V245" s="119"/>
      <c r="W245" s="5"/>
      <c r="X245" s="119"/>
      <c r="Y245" s="5"/>
      <c r="Z245" s="119"/>
      <c r="AA245" s="5"/>
      <c r="AB245" s="119"/>
      <c r="AC245" s="5"/>
      <c r="AD245" s="119"/>
      <c r="AE245" s="5"/>
      <c r="AF245" s="119"/>
      <c r="AG245" s="5"/>
      <c r="AH245" s="119"/>
      <c r="AI245" s="5"/>
      <c r="AJ245" s="119"/>
      <c r="AK245" s="5"/>
      <c r="AL245" s="119"/>
      <c r="AM245" s="5"/>
      <c r="AN245" s="119"/>
      <c r="AO245" s="18"/>
      <c r="AP245" s="119"/>
      <c r="AQ245" s="18"/>
      <c r="AR245" s="119"/>
      <c r="AS245" s="18"/>
      <c r="AT245" s="119"/>
      <c r="AU245" s="18"/>
      <c r="AV245" s="119"/>
      <c r="AW245" s="18"/>
      <c r="AX245" s="119"/>
      <c r="AY245" s="18"/>
      <c r="AZ245" s="119"/>
      <c r="BA245" s="18"/>
      <c r="BB245" s="119"/>
      <c r="BC245" s="18"/>
      <c r="BD245" s="119"/>
      <c r="BE245" s="18"/>
      <c r="BF245" s="119"/>
      <c r="BG245" s="18"/>
      <c r="BH245" s="119"/>
      <c r="BI245" s="18"/>
      <c r="BJ245" s="119"/>
      <c r="BK245" s="18"/>
      <c r="BL245" s="119"/>
      <c r="BM245" s="18"/>
      <c r="BN245" s="119"/>
      <c r="BO245" s="18"/>
      <c r="BP245" s="119"/>
      <c r="BQ245" s="18"/>
      <c r="BR245" s="119"/>
      <c r="BS245" s="18"/>
      <c r="BT245" s="119"/>
      <c r="BU245" s="18"/>
      <c r="BV245" s="119"/>
      <c r="BW245" s="18"/>
      <c r="BX245" s="119"/>
      <c r="BY245" s="18"/>
      <c r="BZ245" s="119"/>
      <c r="CA245" s="18"/>
      <c r="CB245" s="119"/>
      <c r="CC245" s="18"/>
      <c r="CD245" s="119"/>
      <c r="CE245" s="18"/>
      <c r="CF245" s="119"/>
      <c r="CG245" s="18"/>
      <c r="CH245" s="119"/>
      <c r="CI245" s="18"/>
      <c r="CJ245" s="119"/>
      <c r="CK245" s="18"/>
      <c r="CL245" s="119"/>
      <c r="CM245" s="18"/>
      <c r="CN245" s="119"/>
      <c r="CO245" s="18"/>
      <c r="CP245" s="119"/>
      <c r="CQ245" s="18"/>
      <c r="CR245" s="119"/>
      <c r="CS245" s="18"/>
      <c r="CT245" s="119"/>
      <c r="CU245" s="18"/>
      <c r="CV245" s="119"/>
      <c r="CW245" s="18"/>
      <c r="CX245" s="119"/>
      <c r="CY245" s="18"/>
      <c r="CZ245" s="119"/>
      <c r="DA245" s="18"/>
      <c r="DB245" s="119"/>
      <c r="DC245" s="18"/>
      <c r="DD245" s="119"/>
      <c r="DE245" s="18"/>
      <c r="DF245" s="119"/>
      <c r="DG245" s="18"/>
      <c r="DH245" s="119"/>
      <c r="DI245" s="18"/>
      <c r="DJ245" s="119"/>
      <c r="DK245" s="18"/>
      <c r="DL245" s="119"/>
      <c r="DM245" s="18"/>
      <c r="DN245" s="119"/>
      <c r="DO245" s="18"/>
      <c r="DP245" s="119"/>
      <c r="DQ245" s="18"/>
      <c r="DR245" s="119"/>
      <c r="DS245" s="18"/>
      <c r="DT245" s="119"/>
      <c r="DU245" s="18"/>
      <c r="DV245" s="119"/>
      <c r="DW245" s="18"/>
      <c r="DX245" s="119"/>
      <c r="DY245" s="18"/>
      <c r="DZ245" s="119"/>
      <c r="EA245" s="18"/>
      <c r="EB245" s="119"/>
      <c r="EC245" s="18"/>
      <c r="ED245" s="119"/>
      <c r="EE245" s="18"/>
      <c r="EF245" s="119"/>
      <c r="EG245" s="18"/>
      <c r="EH245" s="18"/>
      <c r="EI245" s="119"/>
      <c r="EJ245" s="5"/>
      <c r="EK245" s="119"/>
      <c r="EL245" s="5"/>
      <c r="EM245" s="119"/>
      <c r="EN245" s="5"/>
      <c r="EO245" s="119"/>
      <c r="EP245" s="5"/>
      <c r="EQ245" s="119"/>
      <c r="ER245" s="18"/>
      <c r="ES245" s="119"/>
      <c r="ET245" s="18"/>
      <c r="EU245" s="119"/>
      <c r="EV245" s="18"/>
      <c r="EW245" s="119"/>
      <c r="EX245" s="18"/>
      <c r="EY245" s="119"/>
      <c r="EZ245" s="18"/>
      <c r="FA245" s="119"/>
      <c r="FB245" s="18"/>
      <c r="FC245" s="119"/>
      <c r="FD245" s="18"/>
      <c r="FE245" s="119"/>
      <c r="FF245" s="18"/>
      <c r="FG245" s="119"/>
      <c r="FH245" s="18"/>
      <c r="FI245" s="119"/>
      <c r="FJ245" s="18"/>
      <c r="FK245" s="119"/>
      <c r="FL245" s="18"/>
      <c r="FM245" s="119"/>
      <c r="FN245" s="18"/>
      <c r="FO245" s="119"/>
      <c r="FP245" s="18"/>
      <c r="FQ245" s="119"/>
      <c r="FR245" s="18"/>
      <c r="FS245" s="119"/>
      <c r="FT245" s="18"/>
      <c r="FU245" s="119"/>
      <c r="FV245" s="18"/>
      <c r="FW245" s="119"/>
      <c r="FX245" s="18"/>
      <c r="FY245" s="119"/>
      <c r="FZ245" s="18"/>
      <c r="GA245" s="5"/>
    </row>
    <row r="246" spans="1:183" ht="12.75" hidden="1" customHeight="1" outlineLevel="1" x14ac:dyDescent="0.2">
      <c r="A246" s="650" t="str">
        <f>INPUT!B194</f>
        <v>Total Benefits Expense</v>
      </c>
      <c r="B246" s="651"/>
      <c r="C246" s="652"/>
      <c r="D246" s="651"/>
      <c r="E246" s="5"/>
      <c r="F246" s="651"/>
      <c r="G246" s="5"/>
      <c r="H246" s="651"/>
      <c r="I246" s="5"/>
      <c r="J246" s="651">
        <f>INPUT!U194</f>
        <v>0</v>
      </c>
      <c r="K246" s="5">
        <f>INPUT!V194</f>
        <v>0</v>
      </c>
      <c r="L246" s="651">
        <f>INPUT!W194</f>
        <v>0</v>
      </c>
      <c r="M246" s="5">
        <f>INPUT!X194</f>
        <v>0</v>
      </c>
      <c r="N246" s="651">
        <f>INPUT!Y194</f>
        <v>0</v>
      </c>
      <c r="O246" s="5">
        <f>INPUT!Z194</f>
        <v>0</v>
      </c>
      <c r="P246" s="651">
        <f>INPUT!AA194</f>
        <v>0</v>
      </c>
      <c r="Q246" s="5">
        <f>INPUT!AB194</f>
        <v>0</v>
      </c>
      <c r="R246" s="651">
        <f>INPUT!AC194</f>
        <v>106.70000000000002</v>
      </c>
      <c r="S246" s="5" t="str">
        <f>INPUT!AD194</f>
        <v>NA</v>
      </c>
      <c r="T246" s="651">
        <f>INPUT!AE194</f>
        <v>120.1</v>
      </c>
      <c r="U246" s="5" t="str">
        <f>INPUT!AF194</f>
        <v>NA</v>
      </c>
      <c r="V246" s="651">
        <f>INPUT!AG194</f>
        <v>120.2</v>
      </c>
      <c r="W246" s="5" t="str">
        <f>INPUT!AH194</f>
        <v>NA</v>
      </c>
      <c r="X246" s="651">
        <f>INPUT!AI194</f>
        <v>117.5</v>
      </c>
      <c r="Y246" s="5" t="str">
        <f>INPUT!AJ194</f>
        <v>NA</v>
      </c>
      <c r="Z246" s="651">
        <f>INPUT!AK194</f>
        <v>129.4</v>
      </c>
      <c r="AA246" s="5">
        <f>INPUT!AL194</f>
        <v>21.274601686972815</v>
      </c>
      <c r="AB246" s="651">
        <f>INPUT!AM194</f>
        <v>140.4</v>
      </c>
      <c r="AC246" s="5">
        <f>INPUT!AN194</f>
        <v>16.902581182348065</v>
      </c>
      <c r="AD246" s="651">
        <f>INPUT!AO194</f>
        <v>146.1</v>
      </c>
      <c r="AE246" s="5">
        <f>INPUT!AP194</f>
        <v>21.54742096505824</v>
      </c>
      <c r="AF246" s="651">
        <f>INPUT!AQ194</f>
        <v>129.9</v>
      </c>
      <c r="AG246" s="5">
        <f>INPUT!AR194</f>
        <v>10.553191489361712</v>
      </c>
      <c r="AH246" s="651">
        <f>INPUT!AS194</f>
        <v>129.1</v>
      </c>
      <c r="AI246" s="5">
        <f>INPUT!AT194</f>
        <v>-0.23183925811438577</v>
      </c>
      <c r="AJ246" s="651">
        <f>INPUT!AU194</f>
        <v>137.80000000000001</v>
      </c>
      <c r="AK246" s="5">
        <f>INPUT!AV194</f>
        <v>-1.851851851851849</v>
      </c>
      <c r="AL246" s="651">
        <f>INPUT!AW194</f>
        <v>147.6</v>
      </c>
      <c r="AM246" s="5">
        <f>INPUT!AX194</f>
        <v>1.0266940451745477</v>
      </c>
      <c r="AN246" s="651">
        <f>INPUT!AY194</f>
        <v>139</v>
      </c>
      <c r="AO246" s="18">
        <f>INPUT!AZ194</f>
        <v>7.0053887605850518</v>
      </c>
      <c r="AP246" s="651">
        <f>INPUT!BA194</f>
        <v>135.80000000000001</v>
      </c>
      <c r="AQ246" s="18">
        <f>INPUT!BB194</f>
        <v>5.1897753679318592</v>
      </c>
      <c r="AR246" s="651">
        <f>INPUT!BC194</f>
        <v>153.6</v>
      </c>
      <c r="AS246" s="18">
        <f>INPUT!BD194</f>
        <v>11.465892597968065</v>
      </c>
      <c r="AT246" s="651">
        <f>INPUT!BE194</f>
        <v>132</v>
      </c>
      <c r="AU246" s="18">
        <f>INPUT!BF194</f>
        <v>-10.569105691056912</v>
      </c>
      <c r="AV246" s="651">
        <f>INPUT!BG194</f>
        <v>152.9</v>
      </c>
      <c r="AW246" s="18">
        <f>INPUT!BH194</f>
        <v>10.000000000000009</v>
      </c>
      <c r="AX246" s="651">
        <f>INPUT!BI194</f>
        <v>137.80000000000001</v>
      </c>
      <c r="AY246" s="18">
        <f>INPUT!BJ194</f>
        <v>1.4727540500736325</v>
      </c>
      <c r="AZ246" s="651">
        <f>INPUT!BK194</f>
        <v>141</v>
      </c>
      <c r="BA246" s="18">
        <f>INPUT!BL194</f>
        <v>-8.203125</v>
      </c>
      <c r="BB246" s="651">
        <f>INPUT!BM194</f>
        <v>117.8</v>
      </c>
      <c r="BC246" s="18">
        <f>INPUT!BN194</f>
        <v>-10.757575757575754</v>
      </c>
      <c r="BD246" s="651">
        <f>INPUT!BO194</f>
        <v>114.8</v>
      </c>
      <c r="BE246" s="18">
        <f>INPUT!BP194</f>
        <v>-24.918247220405497</v>
      </c>
      <c r="BF246" s="651">
        <f>INPUT!BQ194</f>
        <v>86.8</v>
      </c>
      <c r="BG246" s="18">
        <f>INPUT!BR194</f>
        <v>-37.010159651669092</v>
      </c>
      <c r="BH246" s="651">
        <f>INPUT!BS194</f>
        <v>94.3</v>
      </c>
      <c r="BI246" s="18">
        <f>INPUT!BT194</f>
        <v>-33.120567375886523</v>
      </c>
      <c r="BJ246" s="651">
        <f>INPUT!BU194</f>
        <v>85.2</v>
      </c>
      <c r="BK246" s="18">
        <f>INPUT!BV194</f>
        <v>-27.674023769100163</v>
      </c>
      <c r="BL246" s="651">
        <f>INPUT!BW194</f>
        <v>107.3</v>
      </c>
      <c r="BM246" s="18">
        <f>INPUT!BX194</f>
        <v>-6.5331010452961635</v>
      </c>
      <c r="BN246" s="651">
        <f>INPUT!BY194</f>
        <v>104.6</v>
      </c>
      <c r="BO246" s="18">
        <f>INPUT!BZ194</f>
        <v>20.506912442396306</v>
      </c>
      <c r="BP246" s="651">
        <f>INPUT!CA194</f>
        <v>100.9</v>
      </c>
      <c r="BQ246" s="18">
        <f>INPUT!CB194</f>
        <v>6.9989395546129485</v>
      </c>
      <c r="BR246" s="651">
        <f>INPUT!CC194</f>
        <v>108</v>
      </c>
      <c r="BS246" s="18">
        <f>INPUT!CD194</f>
        <v>26.760563380281678</v>
      </c>
      <c r="BT246" s="651">
        <f>INPUT!CE194</f>
        <v>122.3</v>
      </c>
      <c r="BU246" s="18">
        <f>INPUT!CF194</f>
        <v>13.979496738117426</v>
      </c>
      <c r="BV246" s="651">
        <f>INPUT!CG194</f>
        <v>115.8</v>
      </c>
      <c r="BW246" s="18">
        <f>INPUT!CH194</f>
        <v>10.707456978967489</v>
      </c>
      <c r="BX246" s="651">
        <f>INPUT!CI194</f>
        <v>122.7</v>
      </c>
      <c r="BY246" s="18">
        <f>INPUT!CJ194</f>
        <v>21.605550049554001</v>
      </c>
      <c r="BZ246" s="651">
        <f>INPUT!CK194</f>
        <v>138.30000000000001</v>
      </c>
      <c r="CA246" s="18">
        <f>INPUT!CL194</f>
        <v>28.055555555555568</v>
      </c>
      <c r="CB246" s="651">
        <f>INPUT!CM194</f>
        <v>117</v>
      </c>
      <c r="CC246" s="18">
        <f>INPUT!CN194</f>
        <v>-4.333605887162717</v>
      </c>
      <c r="CD246" s="651">
        <f>INPUT!CO194</f>
        <v>123.6</v>
      </c>
      <c r="CE246" s="18">
        <f>INPUT!CP194</f>
        <v>6.7357512953367893</v>
      </c>
      <c r="CF246" s="651">
        <f>INPUT!CQ194</f>
        <v>147.9</v>
      </c>
      <c r="CG246" s="18">
        <f>INPUT!CR194</f>
        <v>20.537897310513454</v>
      </c>
      <c r="CH246" s="651">
        <f>INPUT!CS194</f>
        <v>136.19999999999999</v>
      </c>
      <c r="CI246" s="18">
        <f>INPUT!CT194</f>
        <v>-1.518438177874204</v>
      </c>
      <c r="CJ246" s="651">
        <f>INPUT!CU194</f>
        <v>133.69999999999999</v>
      </c>
      <c r="CK246" s="18">
        <f>INPUT!CV194</f>
        <v>14.273504273504267</v>
      </c>
      <c r="CL246" s="651">
        <f>INPUT!CW194</f>
        <v>100</v>
      </c>
      <c r="CM246" s="18">
        <f>INPUT!CX194</f>
        <v>-19.09385113268608</v>
      </c>
      <c r="CN246" s="651">
        <f>INPUT!CY194</f>
        <v>115.8</v>
      </c>
      <c r="CO246" s="18">
        <f>INPUT!CZ194</f>
        <v>-21.703853955375262</v>
      </c>
      <c r="CP246" s="651">
        <f>INPUT!DA194</f>
        <v>96.9</v>
      </c>
      <c r="CQ246" s="18">
        <f>INPUT!DB194</f>
        <v>-28.854625550660785</v>
      </c>
      <c r="CR246" s="651">
        <f>INPUT!DC194</f>
        <v>100.6</v>
      </c>
      <c r="CS246" s="18">
        <f>INPUT!DD194</f>
        <v>-24.756918474195956</v>
      </c>
      <c r="CT246" s="651">
        <f>INPUT!DE194</f>
        <v>106.4</v>
      </c>
      <c r="CU246" s="18">
        <f>INPUT!DF194</f>
        <v>6.4000000000000057</v>
      </c>
      <c r="CV246" s="651">
        <f>INPUT!DG194</f>
        <v>114</v>
      </c>
      <c r="CW246" s="18">
        <f>INPUT!DH194</f>
        <v>-1.5544041450777146</v>
      </c>
      <c r="CX246" s="651">
        <f>INPUT!DI194</f>
        <v>108</v>
      </c>
      <c r="CY246" s="18">
        <f>INPUT!DJ194</f>
        <v>11.455108359133126</v>
      </c>
      <c r="CZ246" s="651">
        <f>INPUT!DK194</f>
        <v>102.6</v>
      </c>
      <c r="DA246" s="18">
        <f>INPUT!DL194</f>
        <v>1.9880715705765439</v>
      </c>
      <c r="DB246" s="651">
        <f>INPUT!DM194</f>
        <v>90.9</v>
      </c>
      <c r="DC246" s="18">
        <f>INPUT!DN194</f>
        <v>-14.56766917293233</v>
      </c>
      <c r="DD246" s="651">
        <f>INPUT!DO194</f>
        <v>100.6</v>
      </c>
      <c r="DE246" s="18">
        <f>INPUT!DP194</f>
        <v>-11.754385964912284</v>
      </c>
      <c r="DF246" s="651">
        <f>INPUT!DQ194</f>
        <v>98</v>
      </c>
      <c r="DG246" s="18">
        <f>INPUT!DR194</f>
        <v>-9.259259259259256</v>
      </c>
      <c r="DH246" s="651">
        <f>INPUT!DS194</f>
        <v>105.3</v>
      </c>
      <c r="DI246" s="18">
        <f>INPUT!DT194</f>
        <v>2.6315789473684292</v>
      </c>
      <c r="DJ246" s="651">
        <f>INPUT!DU194</f>
        <v>94.7</v>
      </c>
      <c r="DK246" s="18">
        <f>INPUT!DV194</f>
        <v>4.1804180418041792</v>
      </c>
      <c r="DL246" s="651">
        <f>INPUT!DW194</f>
        <v>98.8</v>
      </c>
      <c r="DM246" s="18">
        <f>INPUT!DX194</f>
        <v>-1.7892644135188873</v>
      </c>
      <c r="DN246" s="651">
        <f>INPUT!DY194</f>
        <v>91.3</v>
      </c>
      <c r="DO246" s="18">
        <f>INPUT!DZ194</f>
        <v>-6.8367346938775553</v>
      </c>
      <c r="DP246" s="651">
        <f>INPUT!EA194</f>
        <v>82.6</v>
      </c>
      <c r="DQ246" s="18">
        <f>INPUT!EB194</f>
        <v>-21.557454890788229</v>
      </c>
      <c r="DR246" s="651">
        <f>INPUT!EC194</f>
        <v>86.7</v>
      </c>
      <c r="DS246" s="18">
        <f>INPUT!ED194</f>
        <v>-8.4477296726504729</v>
      </c>
      <c r="DT246" s="651">
        <f>INPUT!EE194</f>
        <v>95.8</v>
      </c>
      <c r="DU246" s="18">
        <f>INPUT!EF194</f>
        <v>-3.0364372469635637</v>
      </c>
      <c r="DV246" s="651">
        <f>INPUT!EG194</f>
        <v>98.4</v>
      </c>
      <c r="DW246" s="18">
        <f>INPUT!EH194</f>
        <v>7.7765607886089994</v>
      </c>
      <c r="DX246" s="651">
        <f>INPUT!EI194</f>
        <v>101</v>
      </c>
      <c r="DY246" s="18">
        <f>INPUT!EJ194</f>
        <v>22.276029055690081</v>
      </c>
      <c r="DZ246" s="651">
        <f>INPUT!EK194</f>
        <v>104.02577457754137</v>
      </c>
      <c r="EA246" s="18">
        <f>INPUT!EL194</f>
        <v>19.983592361639403</v>
      </c>
      <c r="EB246" s="651">
        <f>INPUT!EM194</f>
        <v>105.33485656861097</v>
      </c>
      <c r="EC246" s="18">
        <f>INPUT!EN194</f>
        <v>9.9528774202619843</v>
      </c>
      <c r="ED246" s="651">
        <f>INPUT!EO194</f>
        <v>106.81089564624834</v>
      </c>
      <c r="EE246" s="18">
        <f>INPUT!EP194</f>
        <v>8.5476581770816296</v>
      </c>
      <c r="EF246" s="651">
        <f>INPUT!EQ194</f>
        <v>106.52680279689004</v>
      </c>
      <c r="EG246" s="18">
        <f>INPUT!ER194</f>
        <v>5.4720819771188589</v>
      </c>
      <c r="EH246" s="18"/>
      <c r="EI246" s="651">
        <f>INPUT!FB194</f>
        <v>0</v>
      </c>
      <c r="EJ246" s="5">
        <f>INPUT!FC194</f>
        <v>0</v>
      </c>
      <c r="EK246" s="651">
        <f>INPUT!FD194</f>
        <v>230.8</v>
      </c>
      <c r="EL246" s="5" t="str">
        <f>INPUT!FE194</f>
        <v>NA</v>
      </c>
      <c r="EM246" s="651">
        <f>INPUT!FF194</f>
        <v>344.5</v>
      </c>
      <c r="EN246" s="5">
        <f>INPUT!FG194</f>
        <v>49.263431542460999</v>
      </c>
      <c r="EO246" s="651">
        <f>INPUT!FH194</f>
        <v>464.5</v>
      </c>
      <c r="EP246" s="5">
        <f>INPUT!FI194</f>
        <v>34.833091436865018</v>
      </c>
      <c r="EQ246" s="651">
        <f>INPUT!FJ194</f>
        <v>545.79999999999995</v>
      </c>
      <c r="ER246" s="18">
        <f>INPUT!FK194</f>
        <v>17.502691065662003</v>
      </c>
      <c r="ES246" s="651">
        <f>INPUT!FL194</f>
        <v>553.5</v>
      </c>
      <c r="ET246" s="18">
        <f>INPUT!FM194</f>
        <v>1.4107731769879228</v>
      </c>
      <c r="EU246" s="651">
        <f>INPUT!FN194</f>
        <v>574.29999999999995</v>
      </c>
      <c r="EV246" s="18">
        <f>INPUT!FO194</f>
        <v>3.7579042457091205</v>
      </c>
      <c r="EW246" s="651">
        <f>INPUT!FP194</f>
        <v>511.40000000000003</v>
      </c>
      <c r="EX246" s="18">
        <f>INPUT!FQ194</f>
        <v>-10.952463869057972</v>
      </c>
      <c r="EY246" s="651">
        <f>INPUT!FR194</f>
        <v>373.6</v>
      </c>
      <c r="EZ246" s="18">
        <f>INPUT!FS194</f>
        <v>-26.945639421196709</v>
      </c>
      <c r="FA246" s="651">
        <f>INPUT!FT194</f>
        <v>435.8</v>
      </c>
      <c r="FB246" s="18">
        <f>INPUT!FU194</f>
        <v>16.648822269807283</v>
      </c>
      <c r="FC246" s="651">
        <f>INPUT!FV194</f>
        <v>493.8</v>
      </c>
      <c r="FD246" s="18">
        <f>INPUT!FW194</f>
        <v>13.30885727397888</v>
      </c>
      <c r="FE246" s="651">
        <f>INPUT!FX194</f>
        <v>541.4</v>
      </c>
      <c r="FF246" s="18">
        <f>INPUT!FY194</f>
        <v>9.6395301741595709</v>
      </c>
      <c r="FG246" s="651">
        <f>INPUT!FZ194</f>
        <v>413.30000000000007</v>
      </c>
      <c r="FH246" s="18">
        <f>INPUT!GA194</f>
        <v>-23.660879202068696</v>
      </c>
      <c r="FI246" s="651">
        <f>INPUT!GB194</f>
        <v>431</v>
      </c>
      <c r="FJ246" s="18">
        <f>INPUT!GC194</f>
        <v>4.2826034357609233</v>
      </c>
      <c r="FK246" s="651">
        <f>INPUT!GD194</f>
        <v>394.8</v>
      </c>
      <c r="FL246" s="18">
        <f>INPUT!GE194</f>
        <v>-8.399071925754054</v>
      </c>
      <c r="FM246" s="651">
        <f>INPUT!GF194</f>
        <v>367.4</v>
      </c>
      <c r="FN246" s="18">
        <f>INPUT!GG194</f>
        <v>-6.9402228976697122</v>
      </c>
      <c r="FO246" s="651">
        <f>INPUT!GH194</f>
        <v>381.9</v>
      </c>
      <c r="FP246" s="18">
        <f>INPUT!GI194</f>
        <v>3.946652150244967</v>
      </c>
      <c r="FQ246" s="651">
        <f>INPUT!GJ194</f>
        <v>422.69832958929072</v>
      </c>
      <c r="FR246" s="18">
        <f>INPUT!GK194</f>
        <v>10.682987585569714</v>
      </c>
      <c r="FS246" s="651">
        <f>INPUT!GL194</f>
        <v>439.02114792150462</v>
      </c>
      <c r="FT246" s="18">
        <f>INPUT!GM194</f>
        <v>3.861576256540622</v>
      </c>
      <c r="FU246" s="651">
        <f>INPUT!GN194</f>
        <v>455.97347439295277</v>
      </c>
      <c r="FV246" s="18">
        <f>INPUT!GO194</f>
        <v>3.8613917693275157</v>
      </c>
      <c r="FW246" s="651">
        <f>INPUT!GP194</f>
        <v>473.57955314544245</v>
      </c>
      <c r="FX246" s="18">
        <f>INPUT!GQ194</f>
        <v>3.8612067896995672</v>
      </c>
      <c r="FY246" s="651">
        <f>INPUT!GR194</f>
        <v>492.52273527126016</v>
      </c>
      <c r="FZ246" s="18">
        <f>INPUT!GS194</f>
        <v>4.0000000000000036</v>
      </c>
      <c r="GA246" s="5">
        <f>INPUT!GT194</f>
        <v>5.219279807964039</v>
      </c>
    </row>
    <row r="247" spans="1:183" ht="12.75" hidden="1" customHeight="1" outlineLevel="1" x14ac:dyDescent="0.2">
      <c r="A247" s="650" t="str">
        <f>INPUT!B195</f>
        <v xml:space="preserve">Commissions </v>
      </c>
      <c r="B247" s="651"/>
      <c r="C247" s="652"/>
      <c r="D247" s="651"/>
      <c r="E247" s="5"/>
      <c r="F247" s="651"/>
      <c r="G247" s="5"/>
      <c r="H247" s="651"/>
      <c r="I247" s="5"/>
      <c r="J247" s="651">
        <f>INPUT!U195</f>
        <v>0</v>
      </c>
      <c r="K247" s="5">
        <f>INPUT!V195</f>
        <v>0</v>
      </c>
      <c r="L247" s="651">
        <f>INPUT!W195</f>
        <v>0</v>
      </c>
      <c r="M247" s="5">
        <f>INPUT!X195</f>
        <v>0</v>
      </c>
      <c r="N247" s="651">
        <f>INPUT!Y195</f>
        <v>0</v>
      </c>
      <c r="O247" s="5">
        <f>INPUT!Z195</f>
        <v>0</v>
      </c>
      <c r="P247" s="651">
        <f>INPUT!AA195</f>
        <v>0</v>
      </c>
      <c r="Q247" s="5">
        <f>INPUT!AB195</f>
        <v>0</v>
      </c>
      <c r="R247" s="651">
        <f>INPUT!AC195</f>
        <v>11</v>
      </c>
      <c r="S247" s="5" t="str">
        <f>INPUT!AD195</f>
        <v>NA</v>
      </c>
      <c r="T247" s="651">
        <f>INPUT!AE195</f>
        <v>11.5</v>
      </c>
      <c r="U247" s="5" t="str">
        <f>INPUT!AF195</f>
        <v>NA</v>
      </c>
      <c r="V247" s="651">
        <f>INPUT!AG195</f>
        <v>13.1</v>
      </c>
      <c r="W247" s="5" t="str">
        <f>INPUT!AH195</f>
        <v>NA</v>
      </c>
      <c r="X247" s="651">
        <f>INPUT!AI195</f>
        <v>13.299999999999997</v>
      </c>
      <c r="Y247" s="5" t="str">
        <f>INPUT!AJ195</f>
        <v>NA</v>
      </c>
      <c r="Z247" s="651">
        <f>INPUT!AK195</f>
        <v>14.6</v>
      </c>
      <c r="AA247" s="5">
        <f>INPUT!AL195</f>
        <v>32.72727272727272</v>
      </c>
      <c r="AB247" s="651">
        <f>INPUT!AM195</f>
        <v>11.9</v>
      </c>
      <c r="AC247" s="5">
        <f>INPUT!AN195</f>
        <v>3.4782608695652195</v>
      </c>
      <c r="AD247" s="651">
        <f>INPUT!AO195</f>
        <v>14.5</v>
      </c>
      <c r="AE247" s="5">
        <f>INPUT!AP195</f>
        <v>10.687022900763354</v>
      </c>
      <c r="AF247" s="651">
        <f>INPUT!AQ195</f>
        <v>15.4</v>
      </c>
      <c r="AG247" s="5">
        <f>INPUT!AR195</f>
        <v>15.789473684210552</v>
      </c>
      <c r="AH247" s="651">
        <f>INPUT!AS195</f>
        <v>11.9</v>
      </c>
      <c r="AI247" s="5">
        <f>INPUT!AT195</f>
        <v>-18.493150684931503</v>
      </c>
      <c r="AJ247" s="651">
        <f>INPUT!AU195</f>
        <v>11.2</v>
      </c>
      <c r="AK247" s="5">
        <f>INPUT!AV195</f>
        <v>-5.8823529411764834</v>
      </c>
      <c r="AL247" s="651">
        <f>INPUT!AW195</f>
        <v>13.8</v>
      </c>
      <c r="AM247" s="5">
        <f>INPUT!AX195</f>
        <v>-4.8275862068965498</v>
      </c>
      <c r="AN247" s="651">
        <f>INPUT!AY195</f>
        <v>12.8</v>
      </c>
      <c r="AO247" s="18">
        <f>INPUT!AZ195</f>
        <v>-16.883116883116877</v>
      </c>
      <c r="AP247" s="651">
        <f>INPUT!BA195</f>
        <v>15.4</v>
      </c>
      <c r="AQ247" s="18">
        <f>INPUT!BB195</f>
        <v>29.411764705882359</v>
      </c>
      <c r="AR247" s="651">
        <f>INPUT!BC195</f>
        <v>17.899999999999999</v>
      </c>
      <c r="AS247" s="18">
        <f>INPUT!BD195</f>
        <v>59.821428571428555</v>
      </c>
      <c r="AT247" s="651">
        <f>INPUT!BE195</f>
        <v>16</v>
      </c>
      <c r="AU247" s="18">
        <f>INPUT!BF195</f>
        <v>15.94202898550725</v>
      </c>
      <c r="AV247" s="651">
        <f>INPUT!BG195</f>
        <v>17.7</v>
      </c>
      <c r="AW247" s="18">
        <f>INPUT!BH195</f>
        <v>38.281249999999979</v>
      </c>
      <c r="AX247" s="651">
        <f>INPUT!BI195</f>
        <v>17.100000000000001</v>
      </c>
      <c r="AY247" s="18">
        <f>INPUT!BJ195</f>
        <v>11.038961038961048</v>
      </c>
      <c r="AZ247" s="651">
        <f>INPUT!BK195</f>
        <v>13.7</v>
      </c>
      <c r="BA247" s="18">
        <f>INPUT!BL195</f>
        <v>-23.463687150837988</v>
      </c>
      <c r="BB247" s="651">
        <f>INPUT!BM195</f>
        <v>15.9</v>
      </c>
      <c r="BC247" s="18">
        <f>INPUT!BN195</f>
        <v>-0.62499999999999778</v>
      </c>
      <c r="BD247" s="651">
        <f>INPUT!BO195</f>
        <v>12.3</v>
      </c>
      <c r="BE247" s="18">
        <f>INPUT!BP195</f>
        <v>-30.508474576271183</v>
      </c>
      <c r="BF247" s="651">
        <f>INPUT!BQ195</f>
        <v>10.6</v>
      </c>
      <c r="BG247" s="18">
        <f>INPUT!BR195</f>
        <v>-38.011695906432749</v>
      </c>
      <c r="BH247" s="651">
        <f>INPUT!BS195</f>
        <v>11.6</v>
      </c>
      <c r="BI247" s="18">
        <f>INPUT!BT195</f>
        <v>-15.328467153284675</v>
      </c>
      <c r="BJ247" s="651">
        <f>INPUT!BU195</f>
        <v>11.1</v>
      </c>
      <c r="BK247" s="18">
        <f>INPUT!BV195</f>
        <v>-30.188679245283023</v>
      </c>
      <c r="BL247" s="651">
        <f>INPUT!BW195</f>
        <v>13.4</v>
      </c>
      <c r="BM247" s="18">
        <f>INPUT!BX195</f>
        <v>8.9430894308943021</v>
      </c>
      <c r="BN247" s="651">
        <f>INPUT!BY195</f>
        <v>10.3</v>
      </c>
      <c r="BO247" s="18">
        <f>INPUT!BZ195</f>
        <v>-2.8301886792452713</v>
      </c>
      <c r="BP247" s="651">
        <f>INPUT!CA195</f>
        <v>9.9</v>
      </c>
      <c r="BQ247" s="18">
        <f>INPUT!CB195</f>
        <v>-14.655172413793094</v>
      </c>
      <c r="BR247" s="651">
        <f>INPUT!CC195</f>
        <v>11.7</v>
      </c>
      <c r="BS247" s="18">
        <f>INPUT!CD195</f>
        <v>5.4054054054053946</v>
      </c>
      <c r="BT247" s="651">
        <f>INPUT!CE195</f>
        <v>12.2</v>
      </c>
      <c r="BU247" s="18">
        <f>INPUT!CF195</f>
        <v>-8.9552238805970177</v>
      </c>
      <c r="BV247" s="651">
        <f>INPUT!CG195</f>
        <v>10.9</v>
      </c>
      <c r="BW247" s="18">
        <f>INPUT!CH195</f>
        <v>5.8252427184465994</v>
      </c>
      <c r="BX247" s="651">
        <f>INPUT!CI195</f>
        <v>11.4</v>
      </c>
      <c r="BY247" s="18">
        <f>INPUT!CJ195</f>
        <v>15.151515151515159</v>
      </c>
      <c r="BZ247" s="651">
        <f>INPUT!CK195</f>
        <v>11</v>
      </c>
      <c r="CA247" s="18">
        <f>INPUT!CL195</f>
        <v>-5.9829059829059723</v>
      </c>
      <c r="CB247" s="651">
        <f>INPUT!CM195</f>
        <v>12.4</v>
      </c>
      <c r="CC247" s="18">
        <f>INPUT!CN195</f>
        <v>1.6393442622950838</v>
      </c>
      <c r="CD247" s="651">
        <f>INPUT!CO195</f>
        <v>10.6</v>
      </c>
      <c r="CE247" s="18">
        <f>INPUT!CP195</f>
        <v>-2.7522935779816571</v>
      </c>
      <c r="CF247" s="651">
        <f>INPUT!CQ195</f>
        <v>10</v>
      </c>
      <c r="CG247" s="18">
        <f>INPUT!CR195</f>
        <v>-12.280701754385969</v>
      </c>
      <c r="CH247" s="651">
        <f>INPUT!CS195</f>
        <v>11.1</v>
      </c>
      <c r="CI247" s="18">
        <f>INPUT!CT195</f>
        <v>0.90909090909090384</v>
      </c>
      <c r="CJ247" s="651">
        <f>INPUT!CU195</f>
        <v>10.9</v>
      </c>
      <c r="CK247" s="18">
        <f>INPUT!CV195</f>
        <v>-12.096774193548388</v>
      </c>
      <c r="CL247" s="651">
        <f>INPUT!CW195</f>
        <v>10.3</v>
      </c>
      <c r="CM247" s="18">
        <f>INPUT!CX195</f>
        <v>-2.8301886792452713</v>
      </c>
      <c r="CN247" s="651">
        <f>INPUT!CY195</f>
        <v>8.5</v>
      </c>
      <c r="CO247" s="18">
        <f>INPUT!CZ195</f>
        <v>-15.000000000000002</v>
      </c>
      <c r="CP247" s="651">
        <f>INPUT!DA195</f>
        <v>9.6</v>
      </c>
      <c r="CQ247" s="18">
        <f>INPUT!DB195</f>
        <v>-13.513513513513509</v>
      </c>
      <c r="CR247" s="651">
        <f>INPUT!DC195</f>
        <v>9.6</v>
      </c>
      <c r="CS247" s="18">
        <f>INPUT!DD195</f>
        <v>-11.926605504587162</v>
      </c>
      <c r="CT247" s="651">
        <f>INPUT!DE195</f>
        <v>9.9</v>
      </c>
      <c r="CU247" s="18">
        <f>INPUT!DF195</f>
        <v>-3.8834951456310662</v>
      </c>
      <c r="CV247" s="651">
        <f>INPUT!DG195</f>
        <v>10.6</v>
      </c>
      <c r="CW247" s="18">
        <f>INPUT!DH195</f>
        <v>24.705882352941178</v>
      </c>
      <c r="CX247" s="651">
        <f>INPUT!DI195</f>
        <v>11.5</v>
      </c>
      <c r="CY247" s="18">
        <f>INPUT!DJ195</f>
        <v>19.791666666666675</v>
      </c>
      <c r="CZ247" s="651">
        <f>INPUT!DK195</f>
        <v>10.8</v>
      </c>
      <c r="DA247" s="18">
        <f>INPUT!DL195</f>
        <v>12.500000000000021</v>
      </c>
      <c r="DB247" s="651">
        <f>INPUT!DM195</f>
        <v>12</v>
      </c>
      <c r="DC247" s="18">
        <f>INPUT!DN195</f>
        <v>21.212121212121215</v>
      </c>
      <c r="DD247" s="651">
        <f>INPUT!DO195</f>
        <v>10.3</v>
      </c>
      <c r="DE247" s="18">
        <f>INPUT!DP195</f>
        <v>-2.8301886792452713</v>
      </c>
      <c r="DF247" s="651">
        <f>INPUT!DQ195</f>
        <v>11.3</v>
      </c>
      <c r="DG247" s="18">
        <f>INPUT!DR195</f>
        <v>-1.7391304347825987</v>
      </c>
      <c r="DH247" s="651">
        <f>INPUT!DS195</f>
        <v>8.1999999999999993</v>
      </c>
      <c r="DI247" s="18">
        <f>INPUT!DT195</f>
        <v>-24.07407407407408</v>
      </c>
      <c r="DJ247" s="651">
        <f>INPUT!DU195</f>
        <v>9</v>
      </c>
      <c r="DK247" s="18">
        <f>INPUT!DV195</f>
        <v>-25</v>
      </c>
      <c r="DL247" s="651">
        <f>INPUT!DW195</f>
        <v>9.6999999999999993</v>
      </c>
      <c r="DM247" s="18">
        <f>INPUT!DX195</f>
        <v>-5.82524271844661</v>
      </c>
      <c r="DN247" s="651">
        <f>INPUT!DY195</f>
        <v>9.1999999999999993</v>
      </c>
      <c r="DO247" s="18">
        <f>INPUT!DZ195</f>
        <v>-18.584070796460182</v>
      </c>
      <c r="DP247" s="651">
        <f>INPUT!EA195</f>
        <v>11</v>
      </c>
      <c r="DQ247" s="18">
        <f>INPUT!EB195</f>
        <v>34.146341463414643</v>
      </c>
      <c r="DR247" s="651">
        <f>INPUT!EC195</f>
        <v>8.8000000000000007</v>
      </c>
      <c r="DS247" s="18">
        <f>INPUT!ED195</f>
        <v>-2.2222222222222143</v>
      </c>
      <c r="DT247" s="651">
        <f>INPUT!EE195</f>
        <v>9</v>
      </c>
      <c r="DU247" s="18">
        <f>INPUT!EF195</f>
        <v>-7.2164948453608213</v>
      </c>
      <c r="DV247" s="651">
        <f>INPUT!EG195</f>
        <v>9.1999999999999993</v>
      </c>
      <c r="DW247" s="18">
        <f>INPUT!EH195</f>
        <v>0</v>
      </c>
      <c r="DX247" s="651">
        <f>INPUT!EI195</f>
        <v>8.5</v>
      </c>
      <c r="DY247" s="18">
        <f>INPUT!EJ195</f>
        <v>-22.72727272727273</v>
      </c>
      <c r="DZ247" s="651">
        <f>INPUT!EK195</f>
        <v>9.7090722939038603</v>
      </c>
      <c r="EA247" s="18">
        <f>INPUT!EL195</f>
        <v>10.330366976180215</v>
      </c>
      <c r="EB247" s="651">
        <f>INPUT!EM195</f>
        <v>9.8312532797370231</v>
      </c>
      <c r="EC247" s="18">
        <f>INPUT!EN195</f>
        <v>9.2361475526336001</v>
      </c>
      <c r="ED247" s="651">
        <f>INPUT!EO195</f>
        <v>9.9690169269831799</v>
      </c>
      <c r="EE247" s="18">
        <f>INPUT!EP195</f>
        <v>8.3588796411215185</v>
      </c>
      <c r="EF247" s="651">
        <f>INPUT!EQ195</f>
        <v>9.8733878792218519</v>
      </c>
      <c r="EG247" s="18">
        <f>INPUT!ER195</f>
        <v>16.157504461433557</v>
      </c>
      <c r="EH247" s="18"/>
      <c r="EI247" s="651">
        <f>INPUT!FB195</f>
        <v>0</v>
      </c>
      <c r="EJ247" s="5">
        <f>INPUT!FC195</f>
        <v>0</v>
      </c>
      <c r="EK247" s="651">
        <f>INPUT!FD195</f>
        <v>28.9</v>
      </c>
      <c r="EL247" s="5" t="str">
        <f>INPUT!FE195</f>
        <v>NA</v>
      </c>
      <c r="EM247" s="651">
        <f>INPUT!FF195</f>
        <v>34.1</v>
      </c>
      <c r="EN247" s="5">
        <f>INPUT!FG195</f>
        <v>17.993079584775096</v>
      </c>
      <c r="EO247" s="651">
        <f>INPUT!FH195</f>
        <v>48.9</v>
      </c>
      <c r="EP247" s="5">
        <f>INPUT!FI195</f>
        <v>43.401759530791772</v>
      </c>
      <c r="EQ247" s="651">
        <f>INPUT!FJ195</f>
        <v>56.4</v>
      </c>
      <c r="ER247" s="18">
        <f>INPUT!FK195</f>
        <v>15.337423312883436</v>
      </c>
      <c r="ES247" s="651">
        <f>INPUT!FL195</f>
        <v>49.7</v>
      </c>
      <c r="ET247" s="18">
        <f>INPUT!FM195</f>
        <v>-11.879432624113473</v>
      </c>
      <c r="EU247" s="651">
        <f>INPUT!FN195</f>
        <v>67</v>
      </c>
      <c r="EV247" s="18">
        <f>INPUT!FO195</f>
        <v>34.808853118712271</v>
      </c>
      <c r="EW247" s="651">
        <f>INPUT!FP195</f>
        <v>59</v>
      </c>
      <c r="EX247" s="18">
        <f>INPUT!FQ195</f>
        <v>-11.940298507462687</v>
      </c>
      <c r="EY247" s="651">
        <f>INPUT!FR195</f>
        <v>46.699999999999996</v>
      </c>
      <c r="EZ247" s="18">
        <f>INPUT!FS195</f>
        <v>-20.847457627118647</v>
      </c>
      <c r="FA247" s="651">
        <f>INPUT!FT195</f>
        <v>44.1</v>
      </c>
      <c r="FB247" s="18">
        <f>INPUT!FU195</f>
        <v>-5.5674518201284666</v>
      </c>
      <c r="FC247" s="651">
        <f>INPUT!FV195</f>
        <v>45.699999999999996</v>
      </c>
      <c r="FD247" s="18">
        <f>INPUT!FW195</f>
        <v>3.6281179138321962</v>
      </c>
      <c r="FE247" s="651">
        <f>INPUT!FX195</f>
        <v>42.6</v>
      </c>
      <c r="FF247" s="18">
        <f>INPUT!FY195</f>
        <v>-6.7833698030634437</v>
      </c>
      <c r="FG247" s="651">
        <f>INPUT!FZ195</f>
        <v>38</v>
      </c>
      <c r="FH247" s="18">
        <f>INPUT!GA195</f>
        <v>-10.7981220657277</v>
      </c>
      <c r="FI247" s="651">
        <f>INPUT!GB195</f>
        <v>42.8</v>
      </c>
      <c r="FJ247" s="18">
        <f>INPUT!GC195</f>
        <v>12.631578947368416</v>
      </c>
      <c r="FK247" s="651">
        <f>INPUT!GD195</f>
        <v>41.8</v>
      </c>
      <c r="FL247" s="18">
        <f>INPUT!GE195</f>
        <v>-2.3364485981308358</v>
      </c>
      <c r="FM247" s="651">
        <f>INPUT!GF195</f>
        <v>38.9</v>
      </c>
      <c r="FN247" s="18">
        <f>INPUT!GG195</f>
        <v>-6.9377990430621983</v>
      </c>
      <c r="FO247" s="651">
        <f>INPUT!GH195</f>
        <v>35.5</v>
      </c>
      <c r="FP247" s="18">
        <f>INPUT!GI195</f>
        <v>-8.7403598971722332</v>
      </c>
      <c r="FQ247" s="651">
        <f>INPUT!GJ195</f>
        <v>39.382730379845917</v>
      </c>
      <c r="FR247" s="18">
        <f>INPUT!GK195</f>
        <v>10.937268675622303</v>
      </c>
      <c r="FS247" s="651">
        <f>INPUT!GL195</f>
        <v>40.958039595039757</v>
      </c>
      <c r="FT247" s="18">
        <f>INPUT!GM195</f>
        <v>4.0000000000000036</v>
      </c>
      <c r="FU247" s="651">
        <f>INPUT!GN195</f>
        <v>42.596361178841342</v>
      </c>
      <c r="FV247" s="18">
        <f>INPUT!GO195</f>
        <v>3.9999999999999813</v>
      </c>
      <c r="FW247" s="651">
        <f>INPUT!GP195</f>
        <v>44.300215625994994</v>
      </c>
      <c r="FX247" s="18">
        <f>INPUT!GQ195</f>
        <v>4.0000000000000036</v>
      </c>
      <c r="FY247" s="651">
        <f>INPUT!GR195</f>
        <v>46.072224251034797</v>
      </c>
      <c r="FZ247" s="18">
        <f>INPUT!GS195</f>
        <v>4.0000000000000036</v>
      </c>
      <c r="GA247" s="5">
        <f>INPUT!GT195</f>
        <v>5.3518497474211779</v>
      </c>
    </row>
    <row r="248" spans="1:183" ht="12.75" hidden="1" customHeight="1" outlineLevel="1" x14ac:dyDescent="0.2">
      <c r="A248" s="650" t="str">
        <f>INPUT!B196</f>
        <v>Net Change in DPAC</v>
      </c>
      <c r="B248" s="651"/>
      <c r="C248" s="652"/>
      <c r="D248" s="651"/>
      <c r="E248" s="5"/>
      <c r="F248" s="651"/>
      <c r="G248" s="5"/>
      <c r="H248" s="651"/>
      <c r="I248" s="5"/>
      <c r="J248" s="651">
        <f>INPUT!U196</f>
        <v>0</v>
      </c>
      <c r="K248" s="5">
        <f>INPUT!V196</f>
        <v>0</v>
      </c>
      <c r="L248" s="651">
        <f>INPUT!W196</f>
        <v>0</v>
      </c>
      <c r="M248" s="5">
        <f>INPUT!X196</f>
        <v>0</v>
      </c>
      <c r="N248" s="651">
        <f>INPUT!Y196</f>
        <v>0</v>
      </c>
      <c r="O248" s="5">
        <f>INPUT!Z196</f>
        <v>0</v>
      </c>
      <c r="P248" s="651">
        <f>INPUT!AA196</f>
        <v>0</v>
      </c>
      <c r="Q248" s="5">
        <f>INPUT!AB196</f>
        <v>0</v>
      </c>
      <c r="R248" s="651">
        <f>INPUT!AC196</f>
        <v>-2.8000000000000016</v>
      </c>
      <c r="S248" s="5" t="str">
        <f>INPUT!AD196</f>
        <v>NA</v>
      </c>
      <c r="T248" s="651">
        <f>INPUT!AE196</f>
        <v>-6.7</v>
      </c>
      <c r="U248" s="5" t="str">
        <f>INPUT!AF196</f>
        <v>NA</v>
      </c>
      <c r="V248" s="651">
        <f>INPUT!AG196</f>
        <v>-5.4</v>
      </c>
      <c r="W248" s="5" t="str">
        <f>INPUT!AH196</f>
        <v>NA</v>
      </c>
      <c r="X248" s="651">
        <f>INPUT!AI196</f>
        <v>-3.6000000000000014</v>
      </c>
      <c r="Y248" s="5" t="str">
        <f>INPUT!AJ196</f>
        <v>NA</v>
      </c>
      <c r="Z248" s="651">
        <f>INPUT!AK196</f>
        <v>-3.4000000000000004</v>
      </c>
      <c r="AA248" s="5">
        <f>INPUT!AL196</f>
        <v>21.428571428571374</v>
      </c>
      <c r="AB248" s="651">
        <f>INPUT!AM196</f>
        <v>-4.5999999999999996</v>
      </c>
      <c r="AC248" s="5">
        <f>INPUT!AN196</f>
        <v>-31.343283582089555</v>
      </c>
      <c r="AD248" s="651">
        <f>INPUT!AO196</f>
        <v>-2.8</v>
      </c>
      <c r="AE248" s="5">
        <f>INPUT!AP196</f>
        <v>-48.148148148148152</v>
      </c>
      <c r="AF248" s="651">
        <f>INPUT!AQ196</f>
        <v>-1.7000000000000002</v>
      </c>
      <c r="AG248" s="5" t="str">
        <f>INPUT!AR196</f>
        <v>NM</v>
      </c>
      <c r="AH248" s="651">
        <f>INPUT!AS196</f>
        <v>-2.8999999999999995</v>
      </c>
      <c r="AI248" s="5">
        <f>INPUT!AT196</f>
        <v>-14.705882352941202</v>
      </c>
      <c r="AJ248" s="651">
        <f>INPUT!AU196</f>
        <v>-3.3</v>
      </c>
      <c r="AK248" s="5">
        <f>INPUT!AV196</f>
        <v>-28.260869565217394</v>
      </c>
      <c r="AL248" s="651">
        <f>INPUT!AW196</f>
        <v>-0.7000000000000004</v>
      </c>
      <c r="AM248" s="5" t="str">
        <f>INPUT!AX196</f>
        <v>NM</v>
      </c>
      <c r="AN248" s="651">
        <f>INPUT!AY196</f>
        <v>7.7999999999999989</v>
      </c>
      <c r="AO248" s="18" t="str">
        <f>INPUT!AZ196</f>
        <v>NM</v>
      </c>
      <c r="AP248" s="651">
        <f>INPUT!BA196</f>
        <v>2.5999999999999996</v>
      </c>
      <c r="AQ248" s="18" t="str">
        <f>INPUT!BB196</f>
        <v>NM</v>
      </c>
      <c r="AR248" s="651">
        <f>INPUT!BC196</f>
        <v>1.9000000000000004</v>
      </c>
      <c r="AS248" s="18" t="str">
        <f>INPUT!BD196</f>
        <v>NM</v>
      </c>
      <c r="AT248" s="651">
        <f>INPUT!BE196</f>
        <v>1.9000000000000004</v>
      </c>
      <c r="AU248" s="18" t="str">
        <f>INPUT!BF196</f>
        <v>NM</v>
      </c>
      <c r="AV248" s="651">
        <f>INPUT!BG196</f>
        <v>1.8000000000000007</v>
      </c>
      <c r="AW248" s="18" t="str">
        <f>INPUT!BH196</f>
        <v>NM</v>
      </c>
      <c r="AX248" s="651">
        <f>INPUT!BI196</f>
        <v>-1.1999999999999993</v>
      </c>
      <c r="AY248" s="18" t="str">
        <f>INPUT!BJ196</f>
        <v>NM</v>
      </c>
      <c r="AZ248" s="651">
        <f>INPUT!BK196</f>
        <v>-3.5999999999999996</v>
      </c>
      <c r="BA248" s="18" t="str">
        <f>INPUT!BL196</f>
        <v>NM</v>
      </c>
      <c r="BB248" s="651">
        <f>INPUT!BM196</f>
        <v>-1.5</v>
      </c>
      <c r="BC248" s="18" t="str">
        <f>INPUT!BN196</f>
        <v>NM</v>
      </c>
      <c r="BD248" s="651">
        <f>INPUT!BO196</f>
        <v>1.3000000000000007</v>
      </c>
      <c r="BE248" s="18">
        <f>INPUT!BP196</f>
        <v>-27.777777777777768</v>
      </c>
      <c r="BF248" s="651">
        <f>INPUT!BQ196</f>
        <v>1</v>
      </c>
      <c r="BG248" s="18" t="str">
        <f>INPUT!BR196</f>
        <v>NM</v>
      </c>
      <c r="BH248" s="651">
        <f>INPUT!BS196</f>
        <v>0.70000000000000018</v>
      </c>
      <c r="BI248" s="18" t="str">
        <f>INPUT!BT196</f>
        <v>NM</v>
      </c>
      <c r="BJ248" s="651">
        <f>INPUT!BU196</f>
        <v>-0.20000000000000018</v>
      </c>
      <c r="BK248" s="18" t="str">
        <f>INPUT!BV196</f>
        <v>NM</v>
      </c>
      <c r="BL248" s="651">
        <f>INPUT!BW196</f>
        <v>-9.9999999999999645E-2</v>
      </c>
      <c r="BM248" s="18" t="str">
        <f>INPUT!BX196</f>
        <v>NM</v>
      </c>
      <c r="BN248" s="651">
        <f>INPUT!BY196</f>
        <v>0.20000000000000018</v>
      </c>
      <c r="BO248" s="18" t="str">
        <f>INPUT!BZ196</f>
        <v>NM</v>
      </c>
      <c r="BP248" s="651">
        <f>INPUT!CA196</f>
        <v>-0.5</v>
      </c>
      <c r="BQ248" s="18" t="str">
        <f>INPUT!CB196</f>
        <v>NM</v>
      </c>
      <c r="BR248" s="651">
        <f>INPUT!CC196</f>
        <v>-0.40000000000000036</v>
      </c>
      <c r="BS248" s="18">
        <f>INPUT!CD196</f>
        <v>100</v>
      </c>
      <c r="BT248" s="651">
        <f>INPUT!CE196</f>
        <v>-0.80000000000000027</v>
      </c>
      <c r="BU248" s="18" t="str">
        <f>INPUT!CF196</f>
        <v>NM</v>
      </c>
      <c r="BV248" s="651">
        <f>INPUT!CG196</f>
        <v>0.29999999999999982</v>
      </c>
      <c r="BW248" s="18">
        <f>INPUT!CH196</f>
        <v>49.99999999999978</v>
      </c>
      <c r="BX248" s="651">
        <f>INPUT!CI196</f>
        <v>-0.29999999999999982</v>
      </c>
      <c r="BY248" s="18">
        <f>INPUT!CJ196</f>
        <v>-40.000000000000036</v>
      </c>
      <c r="BZ248" s="651">
        <f>INPUT!CK196</f>
        <v>0.29999999999999982</v>
      </c>
      <c r="CA248" s="18" t="str">
        <f>INPUT!CL196</f>
        <v>NM</v>
      </c>
      <c r="CB248" s="651">
        <f>INPUT!CM196</f>
        <v>-0.40000000000000036</v>
      </c>
      <c r="CC248" s="18">
        <f>INPUT!CN196</f>
        <v>-49.999999999999979</v>
      </c>
      <c r="CD248" s="651">
        <f>INPUT!CO196</f>
        <v>0.29999999999999982</v>
      </c>
      <c r="CE248" s="18">
        <f>INPUT!CP196</f>
        <v>0</v>
      </c>
      <c r="CF248" s="651">
        <f>INPUT!CQ196</f>
        <v>0.59999999999999964</v>
      </c>
      <c r="CG248" s="18" t="str">
        <f>INPUT!CR196</f>
        <v>NM</v>
      </c>
      <c r="CH248" s="651">
        <f>INPUT!CS196</f>
        <v>1</v>
      </c>
      <c r="CI248" s="18" t="str">
        <f>INPUT!CT196</f>
        <v>NM</v>
      </c>
      <c r="CJ248" s="651">
        <f>INPUT!CU196</f>
        <v>2</v>
      </c>
      <c r="CK248" s="18" t="str">
        <f>INPUT!CV196</f>
        <v>NM</v>
      </c>
      <c r="CL248" s="651">
        <f>INPUT!CW196</f>
        <v>1.7999999999999998</v>
      </c>
      <c r="CM248" s="18" t="str">
        <f>INPUT!CX196</f>
        <v>NM</v>
      </c>
      <c r="CN248" s="651">
        <f>INPUT!CY196</f>
        <v>1.1000000000000001</v>
      </c>
      <c r="CO248" s="18">
        <f>INPUT!CZ196</f>
        <v>83.333333333333456</v>
      </c>
      <c r="CP248" s="651">
        <f>INPUT!DA196</f>
        <v>1.2000000000000002</v>
      </c>
      <c r="CQ248" s="18">
        <f>INPUT!DB196</f>
        <v>20.000000000000018</v>
      </c>
      <c r="CR248" s="651">
        <f>INPUT!DC196</f>
        <v>0.79999999999999982</v>
      </c>
      <c r="CS248" s="18" t="str">
        <f>INPUT!DD196</f>
        <v>NM</v>
      </c>
      <c r="CT248" s="651">
        <f>INPUT!DE196</f>
        <v>1</v>
      </c>
      <c r="CU248" s="18">
        <f>INPUT!DF196</f>
        <v>-44.444444444444443</v>
      </c>
      <c r="CV248" s="651">
        <f>INPUT!DG196</f>
        <v>0.70000000000000018</v>
      </c>
      <c r="CW248" s="18">
        <f>INPUT!DH196</f>
        <v>-36.363636363636353</v>
      </c>
      <c r="CX248" s="651">
        <f>INPUT!DI196</f>
        <v>0.30000000000000027</v>
      </c>
      <c r="CY248" s="18" t="str">
        <f>INPUT!DJ196</f>
        <v>NM</v>
      </c>
      <c r="CZ248" s="651">
        <f>INPUT!DK196</f>
        <v>0</v>
      </c>
      <c r="DA248" s="18" t="str">
        <f>INPUT!DL196</f>
        <v>NM</v>
      </c>
      <c r="DB248" s="651">
        <f>INPUT!DM196</f>
        <v>0.79999999999999982</v>
      </c>
      <c r="DC248" s="18">
        <f>INPUT!DN196</f>
        <v>-20.000000000000018</v>
      </c>
      <c r="DD248" s="651">
        <f>INPUT!DO196</f>
        <v>0.19999999999999973</v>
      </c>
      <c r="DE248" s="18" t="str">
        <f>INPUT!DP196</f>
        <v>NM</v>
      </c>
      <c r="DF248" s="651">
        <f>INPUT!DQ196</f>
        <v>0.60000000000000009</v>
      </c>
      <c r="DG248" s="18">
        <f>INPUT!DR196</f>
        <v>99.999999999999844</v>
      </c>
      <c r="DH248" s="651">
        <f>INPUT!DS196</f>
        <v>0.10000000000000009</v>
      </c>
      <c r="DI248" s="18" t="str">
        <f>INPUT!DT196</f>
        <v>NA</v>
      </c>
      <c r="DJ248" s="651">
        <f>INPUT!DU196</f>
        <v>0.70000000000000018</v>
      </c>
      <c r="DK248" s="18">
        <f>INPUT!DV196</f>
        <v>-12.499999999999956</v>
      </c>
      <c r="DL248" s="651">
        <f>INPUT!DW196</f>
        <v>0.39999999999999991</v>
      </c>
      <c r="DM248" s="18">
        <f>INPUT!DX196</f>
        <v>100.00000000000023</v>
      </c>
      <c r="DN248" s="651">
        <f>INPUT!DY196</f>
        <v>0.19999999999999973</v>
      </c>
      <c r="DO248" s="18" t="str">
        <f>INPUT!DZ196</f>
        <v>NM</v>
      </c>
      <c r="DP248" s="651">
        <f>INPUT!EA196</f>
        <v>0.19999999999999973</v>
      </c>
      <c r="DQ248" s="18">
        <f>INPUT!EB196</f>
        <v>99.999999999999559</v>
      </c>
      <c r="DR248" s="651">
        <f>INPUT!EC196</f>
        <v>0.40000000000000013</v>
      </c>
      <c r="DS248" s="18">
        <f>INPUT!ED196</f>
        <v>-42.857142857142847</v>
      </c>
      <c r="DT248" s="651">
        <f>INPUT!EE196</f>
        <v>0.29999999999999982</v>
      </c>
      <c r="DU248" s="18">
        <f>INPUT!EF196</f>
        <v>-25.000000000000021</v>
      </c>
      <c r="DV248" s="651">
        <f>INPUT!EG196</f>
        <v>0.69999999999999973</v>
      </c>
      <c r="DW248" s="18" t="str">
        <f>INPUT!EH196</f>
        <v>NM</v>
      </c>
      <c r="DX248" s="651">
        <f>INPUT!EI196</f>
        <v>0.69999999999999973</v>
      </c>
      <c r="DY248" s="18" t="str">
        <f>INPUT!EJ196</f>
        <v>NM</v>
      </c>
      <c r="DZ248" s="651">
        <f>INPUT!EK196</f>
        <v>0.45511753996361343</v>
      </c>
      <c r="EA248" s="18">
        <f>INPUT!EL196</f>
        <v>13.779384990903321</v>
      </c>
      <c r="EB248" s="651">
        <f>INPUT!EM196</f>
        <v>0.33064163054456669</v>
      </c>
      <c r="EC248" s="18">
        <f>INPUT!EN196</f>
        <v>10.213876848188953</v>
      </c>
      <c r="ED248" s="651">
        <f>INPUT!EO196</f>
        <v>0.75434717551617592</v>
      </c>
      <c r="EE248" s="18">
        <f>INPUT!EP196</f>
        <v>7.763882216596607</v>
      </c>
      <c r="EF248" s="651">
        <f>INPUT!EQ196</f>
        <v>0.73646999410823955</v>
      </c>
      <c r="EG248" s="18">
        <f>INPUT!ER196</f>
        <v>5.2099991583199667</v>
      </c>
      <c r="EH248" s="18"/>
      <c r="EI248" s="651">
        <f>INPUT!FB196</f>
        <v>0</v>
      </c>
      <c r="EJ248" s="5">
        <f>INPUT!FC196</f>
        <v>0</v>
      </c>
      <c r="EK248" s="651">
        <f>INPUT!FD196</f>
        <v>-15.8</v>
      </c>
      <c r="EL248" s="5" t="str">
        <f>INPUT!FE196</f>
        <v>NA</v>
      </c>
      <c r="EM248" s="651">
        <f>INPUT!FF196</f>
        <v>-16.600000000000001</v>
      </c>
      <c r="EN248" s="5">
        <f>INPUT!FG196</f>
        <v>5.0632911392405111</v>
      </c>
      <c r="EO248" s="651">
        <f>INPUT!FH196</f>
        <v>-18.500000000000004</v>
      </c>
      <c r="EP248" s="5">
        <f>INPUT!FI196</f>
        <v>11.44578313253013</v>
      </c>
      <c r="EQ248" s="651">
        <f>INPUT!FJ196</f>
        <v>-12.5</v>
      </c>
      <c r="ER248" s="18">
        <f>INPUT!FK196</f>
        <v>-32.432432432432442</v>
      </c>
      <c r="ES248" s="651">
        <f>INPUT!FL196</f>
        <v>0.89999999999999947</v>
      </c>
      <c r="ET248" s="18" t="str">
        <f>INPUT!FM196</f>
        <v>NM</v>
      </c>
      <c r="EU248" s="651">
        <f>INPUT!FN196</f>
        <v>8.2000000000000011</v>
      </c>
      <c r="EV248" s="18" t="str">
        <f>INPUT!FO196</f>
        <v>NM</v>
      </c>
      <c r="EW248" s="651">
        <f>INPUT!FP196</f>
        <v>-4.9999999999999982</v>
      </c>
      <c r="EX248" s="18" t="str">
        <f>INPUT!FQ196</f>
        <v>NM</v>
      </c>
      <c r="EY248" s="651">
        <f>INPUT!FR196</f>
        <v>-1</v>
      </c>
      <c r="EZ248" s="18" t="str">
        <f>INPUT!FS196</f>
        <v>NM</v>
      </c>
      <c r="FA248" s="651">
        <f>INPUT!FT196</f>
        <v>-1.5000000000000004</v>
      </c>
      <c r="FB248" s="18">
        <f>INPUT!FU196</f>
        <v>50.000000000000043</v>
      </c>
      <c r="FC248" s="651">
        <f>INPUT!FV196</f>
        <v>-0.10000000000000053</v>
      </c>
      <c r="FD248" s="18" t="str">
        <f>INPUT!FW196</f>
        <v>NM</v>
      </c>
      <c r="FE248" s="651">
        <f>INPUT!FX196</f>
        <v>3.8999999999999995</v>
      </c>
      <c r="FF248" s="18" t="str">
        <f>INPUT!FY196</f>
        <v>NM</v>
      </c>
      <c r="FG248" s="651">
        <f>INPUT!FZ196</f>
        <v>4.8999999999999995</v>
      </c>
      <c r="FH248" s="18">
        <f>INPUT!GA196</f>
        <v>25.641025641025639</v>
      </c>
      <c r="FI248" s="651">
        <f>INPUT!GB196</f>
        <v>2.0000000000000004</v>
      </c>
      <c r="FJ248" s="18" t="str">
        <f>INPUT!GC196</f>
        <v>NM</v>
      </c>
      <c r="FK248" s="651">
        <f>INPUT!GD196</f>
        <v>1.6999999999999997</v>
      </c>
      <c r="FL248" s="18">
        <f>INPUT!GE196</f>
        <v>-15.000000000000036</v>
      </c>
      <c r="FM248" s="651">
        <f>INPUT!GF196</f>
        <v>1.4999999999999996</v>
      </c>
      <c r="FN248" s="18">
        <f>INPUT!GG196</f>
        <v>-11.764705882352954</v>
      </c>
      <c r="FO248" s="651">
        <f>INPUT!GH196</f>
        <v>2.0999999999999996</v>
      </c>
      <c r="FP248" s="18">
        <f>INPUT!GI196</f>
        <v>40.000000000000014</v>
      </c>
      <c r="FQ248" s="651">
        <f>INPUT!GJ196</f>
        <v>2.2765763401325954</v>
      </c>
      <c r="FR248" s="18">
        <f>INPUT!GK196</f>
        <v>8.4083971491712326</v>
      </c>
      <c r="FS248" s="651">
        <f>INPUT!GL196</f>
        <v>2.2765763401325954</v>
      </c>
      <c r="FT248" s="18">
        <f>INPUT!GM196</f>
        <v>0</v>
      </c>
      <c r="FU248" s="651">
        <f>INPUT!GN196</f>
        <v>2.2765763401325954</v>
      </c>
      <c r="FV248" s="18">
        <f>INPUT!GO196</f>
        <v>0</v>
      </c>
      <c r="FW248" s="651">
        <f>INPUT!GP196</f>
        <v>2.2765763401325954</v>
      </c>
      <c r="FX248" s="18">
        <f>INPUT!GQ196</f>
        <v>0</v>
      </c>
      <c r="FY248" s="651">
        <f>INPUT!GR196</f>
        <v>2.2765763401325954</v>
      </c>
      <c r="FZ248" s="18">
        <f>INPUT!GS196</f>
        <v>0</v>
      </c>
      <c r="GA248" s="5">
        <f>INPUT!GT196</f>
        <v>1.6278141387398026</v>
      </c>
    </row>
    <row r="249" spans="1:183" ht="12.75" hidden="1" customHeight="1" outlineLevel="1" x14ac:dyDescent="0.2">
      <c r="A249" s="650" t="str">
        <f>INPUT!B197</f>
        <v>Operating Expenses</v>
      </c>
      <c r="B249" s="651"/>
      <c r="C249" s="652"/>
      <c r="D249" s="651"/>
      <c r="E249" s="5"/>
      <c r="F249" s="651"/>
      <c r="G249" s="5"/>
      <c r="H249" s="651"/>
      <c r="I249" s="5"/>
      <c r="J249" s="651">
        <f>INPUT!U197</f>
        <v>0</v>
      </c>
      <c r="K249" s="5">
        <f>INPUT!V197</f>
        <v>0</v>
      </c>
      <c r="L249" s="651">
        <f>INPUT!W197</f>
        <v>0</v>
      </c>
      <c r="M249" s="5">
        <f>INPUT!X197</f>
        <v>0</v>
      </c>
      <c r="N249" s="651">
        <f>INPUT!Y197</f>
        <v>0</v>
      </c>
      <c r="O249" s="5">
        <f>INPUT!Z197</f>
        <v>0</v>
      </c>
      <c r="P249" s="651">
        <f>INPUT!AA197</f>
        <v>0</v>
      </c>
      <c r="Q249" s="5">
        <f>INPUT!AB197</f>
        <v>0</v>
      </c>
      <c r="R249" s="651">
        <f>INPUT!AC197</f>
        <v>34.800000000000004</v>
      </c>
      <c r="S249" s="5" t="str">
        <f>INPUT!AD197</f>
        <v>NA</v>
      </c>
      <c r="T249" s="651">
        <f>INPUT!AE197</f>
        <v>39.9</v>
      </c>
      <c r="U249" s="5" t="str">
        <f>INPUT!AF197</f>
        <v>NA</v>
      </c>
      <c r="V249" s="651">
        <f>INPUT!AG197</f>
        <v>39.900000000000006</v>
      </c>
      <c r="W249" s="5" t="str">
        <f>INPUT!AH197</f>
        <v>NA</v>
      </c>
      <c r="X249" s="651">
        <f>INPUT!AI197</f>
        <v>40.999999999999979</v>
      </c>
      <c r="Y249" s="5" t="str">
        <f>INPUT!AJ197</f>
        <v>NA</v>
      </c>
      <c r="Z249" s="651">
        <f>INPUT!AK197</f>
        <v>40.29999999999999</v>
      </c>
      <c r="AA249" s="5">
        <f>INPUT!AL197</f>
        <v>15.804597701149392</v>
      </c>
      <c r="AB249" s="651">
        <f>INPUT!AM197</f>
        <v>43.6</v>
      </c>
      <c r="AC249" s="5">
        <f>INPUT!AN197</f>
        <v>9.2731829573934998</v>
      </c>
      <c r="AD249" s="651">
        <f>INPUT!AO197</f>
        <v>41.3</v>
      </c>
      <c r="AE249" s="5">
        <f>INPUT!AP197</f>
        <v>3.5087719298245501</v>
      </c>
      <c r="AF249" s="651">
        <f>INPUT!AQ197</f>
        <v>43</v>
      </c>
      <c r="AG249" s="5">
        <f>INPUT!AR197</f>
        <v>4.8780487804878536</v>
      </c>
      <c r="AH249" s="651">
        <f>INPUT!AS197</f>
        <v>37</v>
      </c>
      <c r="AI249" s="5">
        <f>INPUT!AT197</f>
        <v>-8.1885856079404249</v>
      </c>
      <c r="AJ249" s="651">
        <f>INPUT!AU197</f>
        <v>38.699999999999996</v>
      </c>
      <c r="AK249" s="5">
        <f>INPUT!AV197</f>
        <v>-11.238532110091759</v>
      </c>
      <c r="AL249" s="651">
        <f>INPUT!AW197</f>
        <v>39.299999999999997</v>
      </c>
      <c r="AM249" s="5">
        <f>INPUT!AX197</f>
        <v>-4.842615012106533</v>
      </c>
      <c r="AN249" s="651">
        <f>INPUT!AY197</f>
        <v>40.6</v>
      </c>
      <c r="AO249" s="18">
        <f>INPUT!AZ197</f>
        <v>-5.5813953488372032</v>
      </c>
      <c r="AP249" s="651">
        <f>INPUT!BA197</f>
        <v>40.9</v>
      </c>
      <c r="AQ249" s="18">
        <f>INPUT!BB197</f>
        <v>10.540540540540544</v>
      </c>
      <c r="AR249" s="651">
        <f>INPUT!BC197</f>
        <v>46.1</v>
      </c>
      <c r="AS249" s="18">
        <f>INPUT!BD197</f>
        <v>19.121447028423798</v>
      </c>
      <c r="AT249" s="651">
        <f>INPUT!BE197</f>
        <v>44.8</v>
      </c>
      <c r="AU249" s="18">
        <f>INPUT!BF197</f>
        <v>13.994910941475824</v>
      </c>
      <c r="AV249" s="651">
        <f>INPUT!BG197</f>
        <v>51.7</v>
      </c>
      <c r="AW249" s="18">
        <f>INPUT!BH197</f>
        <v>27.33990147783252</v>
      </c>
      <c r="AX249" s="651">
        <f>INPUT!BI197</f>
        <v>45.3</v>
      </c>
      <c r="AY249" s="18">
        <f>INPUT!BJ197</f>
        <v>10.757946210268955</v>
      </c>
      <c r="AZ249" s="651">
        <f>INPUT!BK197</f>
        <v>49.7</v>
      </c>
      <c r="BA249" s="18">
        <f>INPUT!BL197</f>
        <v>7.8091106290672396</v>
      </c>
      <c r="BB249" s="651">
        <f>INPUT!BM197</f>
        <v>46.7</v>
      </c>
      <c r="BC249" s="18">
        <f>INPUT!BN197</f>
        <v>4.2410714285714413</v>
      </c>
      <c r="BD249" s="651">
        <f>INPUT!BO197</f>
        <v>42.1</v>
      </c>
      <c r="BE249" s="18">
        <f>INPUT!BP197</f>
        <v>-18.568665377176018</v>
      </c>
      <c r="BF249" s="651">
        <f>INPUT!BQ197</f>
        <v>29.8</v>
      </c>
      <c r="BG249" s="18">
        <f>INPUT!BR197</f>
        <v>-34.216335540838848</v>
      </c>
      <c r="BH249" s="651">
        <f>INPUT!BS197</f>
        <v>34.4</v>
      </c>
      <c r="BI249" s="18">
        <f>INPUT!BT197</f>
        <v>-30.784708249496983</v>
      </c>
      <c r="BJ249" s="651">
        <f>INPUT!BU197</f>
        <v>38</v>
      </c>
      <c r="BK249" s="18">
        <f>INPUT!BV197</f>
        <v>-18.629550321199151</v>
      </c>
      <c r="BL249" s="651">
        <f>INPUT!BW197</f>
        <v>39.5</v>
      </c>
      <c r="BM249" s="18">
        <f>INPUT!BX197</f>
        <v>-6.1757719714964354</v>
      </c>
      <c r="BN249" s="651">
        <f>INPUT!BY197</f>
        <v>30.4</v>
      </c>
      <c r="BO249" s="18">
        <f>INPUT!BZ197</f>
        <v>2.0134228187919323</v>
      </c>
      <c r="BP249" s="651">
        <f>INPUT!CA197</f>
        <v>33.299999999999997</v>
      </c>
      <c r="BQ249" s="18">
        <f>INPUT!CB197</f>
        <v>-3.1976744186046568</v>
      </c>
      <c r="BR249" s="651">
        <f>INPUT!CC197</f>
        <v>33.5</v>
      </c>
      <c r="BS249" s="18">
        <f>INPUT!CD197</f>
        <v>-11.842105263157897</v>
      </c>
      <c r="BT249" s="651">
        <f>INPUT!CE197</f>
        <v>37.700000000000003</v>
      </c>
      <c r="BU249" s="18">
        <f>INPUT!CF197</f>
        <v>-4.5569620253164462</v>
      </c>
      <c r="BV249" s="651">
        <f>INPUT!CG197</f>
        <v>36.200000000000003</v>
      </c>
      <c r="BW249" s="18">
        <f>INPUT!CH197</f>
        <v>19.078947368421062</v>
      </c>
      <c r="BX249" s="651">
        <f>INPUT!CI197</f>
        <v>37.9</v>
      </c>
      <c r="BY249" s="18">
        <f>INPUT!CJ197</f>
        <v>13.813813813813812</v>
      </c>
      <c r="BZ249" s="651">
        <f>INPUT!CK197</f>
        <v>34.5</v>
      </c>
      <c r="CA249" s="18">
        <f>INPUT!CL197</f>
        <v>2.9850746268656803</v>
      </c>
      <c r="CB249" s="651">
        <f>INPUT!CM197</f>
        <v>39.1</v>
      </c>
      <c r="CC249" s="18">
        <f>INPUT!CN197</f>
        <v>3.7135278514588865</v>
      </c>
      <c r="CD249" s="651">
        <f>INPUT!CO197</f>
        <v>34</v>
      </c>
      <c r="CE249" s="18">
        <f>INPUT!CP197</f>
        <v>-6.0773480662983488</v>
      </c>
      <c r="CF249" s="651">
        <f>INPUT!CQ197</f>
        <v>33.9</v>
      </c>
      <c r="CG249" s="18">
        <f>INPUT!CR197</f>
        <v>-10.554089709762538</v>
      </c>
      <c r="CH249" s="651">
        <f>INPUT!CS197</f>
        <v>34.200000000000003</v>
      </c>
      <c r="CI249" s="18">
        <f>INPUT!CT197</f>
        <v>-0.86956521739129933</v>
      </c>
      <c r="CJ249" s="651">
        <f>INPUT!CU197</f>
        <v>44.2</v>
      </c>
      <c r="CK249" s="18">
        <f>INPUT!CV197</f>
        <v>13.043478260869579</v>
      </c>
      <c r="CL249" s="651">
        <f>INPUT!CW197</f>
        <v>31.3</v>
      </c>
      <c r="CM249" s="18">
        <f>INPUT!CX197</f>
        <v>-7.9411764705882293</v>
      </c>
      <c r="CN249" s="651">
        <f>INPUT!CY197</f>
        <v>24</v>
      </c>
      <c r="CO249" s="18">
        <f>INPUT!CZ197</f>
        <v>-29.20353982300885</v>
      </c>
      <c r="CP249" s="651">
        <f>INPUT!DA197</f>
        <v>28.7</v>
      </c>
      <c r="CQ249" s="18">
        <f>INPUT!DB197</f>
        <v>-16.081871345029253</v>
      </c>
      <c r="CR249" s="651">
        <f>INPUT!DC197</f>
        <v>33</v>
      </c>
      <c r="CS249" s="18">
        <f>INPUT!DD197</f>
        <v>-25.339366515837114</v>
      </c>
      <c r="CT249" s="651">
        <f>INPUT!DE197</f>
        <v>31.4</v>
      </c>
      <c r="CU249" s="18">
        <f>INPUT!DF197</f>
        <v>0.31948881789136685</v>
      </c>
      <c r="CV249" s="651">
        <f>INPUT!DG197</f>
        <v>33.6</v>
      </c>
      <c r="CW249" s="18">
        <f>INPUT!DH197</f>
        <v>40.000000000000014</v>
      </c>
      <c r="CX249" s="651">
        <f>INPUT!DI197</f>
        <v>33.700000000000003</v>
      </c>
      <c r="CY249" s="18">
        <f>INPUT!DJ197</f>
        <v>17.421602787456457</v>
      </c>
      <c r="CZ249" s="651">
        <f>INPUT!DK197</f>
        <v>35.9</v>
      </c>
      <c r="DA249" s="18">
        <f>INPUT!DL197</f>
        <v>8.787878787878789</v>
      </c>
      <c r="DB249" s="651">
        <f>INPUT!DM197</f>
        <v>26.2</v>
      </c>
      <c r="DC249" s="18">
        <f>INPUT!DN197</f>
        <v>-16.560509554140125</v>
      </c>
      <c r="DD249" s="651">
        <f>INPUT!DO197</f>
        <v>31.4</v>
      </c>
      <c r="DE249" s="18">
        <f>INPUT!DP197</f>
        <v>-6.5476190476190581</v>
      </c>
      <c r="DF249" s="651">
        <f>INPUT!DQ197</f>
        <v>30</v>
      </c>
      <c r="DG249" s="18">
        <f>INPUT!DR197</f>
        <v>-10.979228486646896</v>
      </c>
      <c r="DH249" s="651">
        <f>INPUT!DS197</f>
        <v>34.6</v>
      </c>
      <c r="DI249" s="18">
        <f>INPUT!DT197</f>
        <v>-3.6211699164345301</v>
      </c>
      <c r="DJ249" s="651">
        <f>INPUT!DU197</f>
        <v>28.1</v>
      </c>
      <c r="DK249" s="18">
        <f>INPUT!DV197</f>
        <v>7.2519083969465825</v>
      </c>
      <c r="DL249" s="651">
        <f>INPUT!DW197</f>
        <v>29.2</v>
      </c>
      <c r="DM249" s="18">
        <f>INPUT!DX197</f>
        <v>-7.0063694267515908</v>
      </c>
      <c r="DN249" s="651">
        <f>INPUT!DY197</f>
        <v>26.9</v>
      </c>
      <c r="DO249" s="18">
        <f>INPUT!DZ197</f>
        <v>-10.333333333333339</v>
      </c>
      <c r="DP249" s="651">
        <f>INPUT!EA197</f>
        <v>27</v>
      </c>
      <c r="DQ249" s="18">
        <f>INPUT!EB197</f>
        <v>-21.965317919075144</v>
      </c>
      <c r="DR249" s="651">
        <f>INPUT!EC197</f>
        <v>25.4</v>
      </c>
      <c r="DS249" s="18">
        <f>INPUT!ED197</f>
        <v>-9.6085409252669169</v>
      </c>
      <c r="DT249" s="651">
        <f>INPUT!EE197</f>
        <v>26</v>
      </c>
      <c r="DU249" s="18">
        <f>INPUT!EF197</f>
        <v>-10.95890410958904</v>
      </c>
      <c r="DV249" s="651">
        <f>INPUT!EG197</f>
        <v>25.8</v>
      </c>
      <c r="DW249" s="18">
        <f>INPUT!EH197</f>
        <v>-4.0892193308550091</v>
      </c>
      <c r="DX249" s="651">
        <f>INPUT!EI197</f>
        <v>25.5</v>
      </c>
      <c r="DY249" s="18">
        <f>INPUT!EJ197</f>
        <v>-5.555555555555558</v>
      </c>
      <c r="DZ249" s="651">
        <f>INPUT!EK197</f>
        <v>27.508651576796339</v>
      </c>
      <c r="EA249" s="18">
        <f>INPUT!EL197</f>
        <v>8.3017778614029147</v>
      </c>
      <c r="EB249" s="651">
        <f>INPUT!EM197</f>
        <v>27.787922401557854</v>
      </c>
      <c r="EC249" s="18">
        <f>INPUT!EN197</f>
        <v>6.8766246213763704</v>
      </c>
      <c r="ED249" s="651">
        <f>INPUT!EO197</f>
        <v>28.102810738120489</v>
      </c>
      <c r="EE249" s="18">
        <f>INPUT!EP197</f>
        <v>8.9256230159708849</v>
      </c>
      <c r="EF249" s="651">
        <f>INPUT!EQ197</f>
        <v>27.884230057523173</v>
      </c>
      <c r="EG249" s="18">
        <f>INPUT!ER197</f>
        <v>9.3499217942085266</v>
      </c>
      <c r="EH249" s="18"/>
      <c r="EI249" s="651">
        <f>INPUT!FB197</f>
        <v>0</v>
      </c>
      <c r="EJ249" s="5">
        <f>INPUT!FC197</f>
        <v>0</v>
      </c>
      <c r="EK249" s="651">
        <f>INPUT!FD197</f>
        <v>89.8</v>
      </c>
      <c r="EL249" s="5" t="str">
        <f>INPUT!FE197</f>
        <v>NA</v>
      </c>
      <c r="EM249" s="651">
        <f>INPUT!FF197</f>
        <v>119.4</v>
      </c>
      <c r="EN249" s="5">
        <f>INPUT!FG197</f>
        <v>32.962138084632528</v>
      </c>
      <c r="EO249" s="651">
        <f>INPUT!FH197</f>
        <v>155.6</v>
      </c>
      <c r="EP249" s="5">
        <f>INPUT!FI197</f>
        <v>30.318257956448889</v>
      </c>
      <c r="EQ249" s="651">
        <f>INPUT!FJ197</f>
        <v>168.2</v>
      </c>
      <c r="ER249" s="18">
        <f>INPUT!FK197</f>
        <v>8.0976863753213344</v>
      </c>
      <c r="ES249" s="651">
        <f>INPUT!FL197</f>
        <v>155.6</v>
      </c>
      <c r="ET249" s="18">
        <f>INPUT!FM197</f>
        <v>-7.4910820451843048</v>
      </c>
      <c r="EU249" s="651">
        <f>INPUT!FN197</f>
        <v>183.5</v>
      </c>
      <c r="EV249" s="18">
        <f>INPUT!FO197</f>
        <v>17.930591259640117</v>
      </c>
      <c r="EW249" s="651">
        <f>INPUT!FP197</f>
        <v>183.79999999999998</v>
      </c>
      <c r="EX249" s="18">
        <f>INPUT!FQ197</f>
        <v>0.16348773841960984</v>
      </c>
      <c r="EY249" s="651">
        <f>INPUT!FR197</f>
        <v>141.69999999999999</v>
      </c>
      <c r="EZ249" s="18">
        <f>INPUT!FS197</f>
        <v>-22.905331882480962</v>
      </c>
      <c r="FA249" s="651">
        <f>INPUT!FT197</f>
        <v>134.89999999999998</v>
      </c>
      <c r="FB249" s="18">
        <f>INPUT!FU197</f>
        <v>-4.7988708539167373</v>
      </c>
      <c r="FC249" s="651">
        <f>INPUT!FV197</f>
        <v>147.69999999999999</v>
      </c>
      <c r="FD249" s="18">
        <f>INPUT!FW197</f>
        <v>9.4885100074129092</v>
      </c>
      <c r="FE249" s="651">
        <f>INPUT!FX197</f>
        <v>146.30000000000001</v>
      </c>
      <c r="FF249" s="18">
        <f>INPUT!FY197</f>
        <v>-0.94786729857818663</v>
      </c>
      <c r="FG249" s="651">
        <f>INPUT!FZ197</f>
        <v>117</v>
      </c>
      <c r="FH249" s="18">
        <f>INPUT!GA197</f>
        <v>-20.027341079972661</v>
      </c>
      <c r="FI249" s="651">
        <f>INPUT!GB197</f>
        <v>134.6</v>
      </c>
      <c r="FJ249" s="18">
        <f>INPUT!GC197</f>
        <v>15.042735042735034</v>
      </c>
      <c r="FK249" s="651">
        <f>INPUT!GD197</f>
        <v>122.19999999999999</v>
      </c>
      <c r="FL249" s="18">
        <f>INPUT!GE197</f>
        <v>-9.212481426448738</v>
      </c>
      <c r="FM249" s="651">
        <f>INPUT!GF197</f>
        <v>111.19999999999999</v>
      </c>
      <c r="FN249" s="18">
        <f>INPUT!GG197</f>
        <v>-9.0016366612111316</v>
      </c>
      <c r="FO249" s="651">
        <f>INPUT!GH197</f>
        <v>102.7</v>
      </c>
      <c r="FP249" s="18">
        <f>INPUT!GI197</f>
        <v>-7.6438848920863167</v>
      </c>
      <c r="FQ249" s="651">
        <f>INPUT!GJ197</f>
        <v>111.28361477399785</v>
      </c>
      <c r="FR249" s="18">
        <f>INPUT!GK197</f>
        <v>8.3579501207379217</v>
      </c>
      <c r="FS249" s="651">
        <f>INPUT!GL197</f>
        <v>115.73495936495777</v>
      </c>
      <c r="FT249" s="18">
        <f>INPUT!GM197</f>
        <v>4.0000000000000036</v>
      </c>
      <c r="FU249" s="651">
        <f>INPUT!GN197</f>
        <v>120.3643577395561</v>
      </c>
      <c r="FV249" s="18">
        <f>INPUT!GO197</f>
        <v>4.0000000000000036</v>
      </c>
      <c r="FW249" s="651">
        <f>INPUT!GP197</f>
        <v>125.17893204913834</v>
      </c>
      <c r="FX249" s="18">
        <f>INPUT!GQ197</f>
        <v>4.0000000000000036</v>
      </c>
      <c r="FY249" s="651">
        <f>INPUT!GR197</f>
        <v>130.18608933110386</v>
      </c>
      <c r="FZ249" s="18">
        <f>INPUT!GS197</f>
        <v>3.9999999999999813</v>
      </c>
      <c r="GA249" s="5">
        <f>INPUT!GT197</f>
        <v>4.8573378601860506</v>
      </c>
    </row>
    <row r="250" spans="1:183" ht="12.75" hidden="1" customHeight="1" outlineLevel="1" x14ac:dyDescent="0.2">
      <c r="A250" s="650" t="str">
        <f>INPUT!B198</f>
        <v xml:space="preserve"> Total Benefits and Expenses</v>
      </c>
      <c r="B250" s="651"/>
      <c r="C250" s="652"/>
      <c r="D250" s="651"/>
      <c r="E250" s="5"/>
      <c r="F250" s="651"/>
      <c r="G250" s="5"/>
      <c r="H250" s="651"/>
      <c r="I250" s="5"/>
      <c r="J250" s="651">
        <f>INPUT!U198</f>
        <v>106.49999999999997</v>
      </c>
      <c r="K250" s="5" t="str">
        <f>INPUT!V198</f>
        <v>NA</v>
      </c>
      <c r="L250" s="651">
        <f>INPUT!W198</f>
        <v>121.3</v>
      </c>
      <c r="M250" s="5" t="str">
        <f>INPUT!X198</f>
        <v>NA</v>
      </c>
      <c r="N250" s="651">
        <f>INPUT!Y198</f>
        <v>121</v>
      </c>
      <c r="O250" s="5" t="str">
        <f>INPUT!Z198</f>
        <v>NA</v>
      </c>
      <c r="P250" s="651">
        <f>INPUT!AA198</f>
        <v>132.6</v>
      </c>
      <c r="Q250" s="5" t="str">
        <f>INPUT!AB198</f>
        <v>NA</v>
      </c>
      <c r="R250" s="651">
        <f>INPUT!AC198</f>
        <v>149.70000000000002</v>
      </c>
      <c r="S250" s="5">
        <f>INPUT!AD198</f>
        <v>40.5633802816902</v>
      </c>
      <c r="T250" s="651">
        <f>INPUT!AE198</f>
        <v>164.79999999999998</v>
      </c>
      <c r="U250" s="5">
        <f>INPUT!AF198</f>
        <v>35.861500412201153</v>
      </c>
      <c r="V250" s="651">
        <f>INPUT!AG198</f>
        <v>167.8</v>
      </c>
      <c r="W250" s="5">
        <f>INPUT!AH198</f>
        <v>38.677685950413235</v>
      </c>
      <c r="X250" s="651">
        <f>INPUT!AI198</f>
        <v>168.2</v>
      </c>
      <c r="Y250" s="5">
        <f>INPUT!AJ198</f>
        <v>26.847662141779782</v>
      </c>
      <c r="Z250" s="651">
        <f>INPUT!AK198</f>
        <v>180.89999999999998</v>
      </c>
      <c r="AA250" s="5">
        <f>INPUT!AL198</f>
        <v>20.841683366733442</v>
      </c>
      <c r="AB250" s="651">
        <f>INPUT!AM198</f>
        <v>191.3</v>
      </c>
      <c r="AC250" s="5">
        <f>INPUT!AN198</f>
        <v>16.080097087378654</v>
      </c>
      <c r="AD250" s="651">
        <f>INPUT!AO198</f>
        <v>199.09999999999997</v>
      </c>
      <c r="AE250" s="5">
        <f>INPUT!AP198</f>
        <v>18.653158522050028</v>
      </c>
      <c r="AF250" s="651">
        <f>INPUT!AQ198</f>
        <v>186.60000000000002</v>
      </c>
      <c r="AG250" s="5">
        <f>INPUT!AR198</f>
        <v>10.939357907253289</v>
      </c>
      <c r="AH250" s="651">
        <f>INPUT!AS198</f>
        <v>175.1</v>
      </c>
      <c r="AI250" s="5">
        <f>INPUT!AT198</f>
        <v>-3.2061912658927549</v>
      </c>
      <c r="AJ250" s="651">
        <f>INPUT!AU198</f>
        <v>184.39999999999998</v>
      </c>
      <c r="AK250" s="5">
        <f>INPUT!AV198</f>
        <v>-3.6069001568217685</v>
      </c>
      <c r="AL250" s="651">
        <f>INPUT!AW198</f>
        <v>200</v>
      </c>
      <c r="AM250" s="5">
        <f>INPUT!AX198</f>
        <v>0.45203415369163835</v>
      </c>
      <c r="AN250" s="651">
        <f>INPUT!AY198</f>
        <v>200.20000000000002</v>
      </c>
      <c r="AO250" s="18">
        <f>INPUT!AZ198</f>
        <v>7.2883172561629017</v>
      </c>
      <c r="AP250" s="651">
        <f>INPUT!BA198</f>
        <v>194.70000000000002</v>
      </c>
      <c r="AQ250" s="18">
        <f>INPUT!BB198</f>
        <v>11.193603655054263</v>
      </c>
      <c r="AR250" s="651">
        <f>INPUT!BC198</f>
        <v>219.5</v>
      </c>
      <c r="AS250" s="18">
        <f>INPUT!BD198</f>
        <v>19.034707158351427</v>
      </c>
      <c r="AT250" s="651">
        <f>INPUT!BE198</f>
        <v>194.7</v>
      </c>
      <c r="AU250" s="18">
        <f>INPUT!BF198</f>
        <v>-2.6500000000000079</v>
      </c>
      <c r="AV250" s="651">
        <f>INPUT!BG198</f>
        <v>224.10000000000002</v>
      </c>
      <c r="AW250" s="18">
        <f>INPUT!BH198</f>
        <v>11.938061938061949</v>
      </c>
      <c r="AX250" s="651">
        <f>INPUT!BI198</f>
        <v>199</v>
      </c>
      <c r="AY250" s="18">
        <f>INPUT!BJ198</f>
        <v>2.2085259373394894</v>
      </c>
      <c r="AZ250" s="651">
        <f>INPUT!BK198</f>
        <v>200.8</v>
      </c>
      <c r="BA250" s="18">
        <f>INPUT!BL198</f>
        <v>-8.5193621867881486</v>
      </c>
      <c r="BB250" s="651">
        <f>INPUT!BM198</f>
        <v>178.89999999999998</v>
      </c>
      <c r="BC250" s="18">
        <f>INPUT!BN198</f>
        <v>-8.1150487930148998</v>
      </c>
      <c r="BD250" s="651">
        <f>INPUT!BO198</f>
        <v>170.5</v>
      </c>
      <c r="BE250" s="18">
        <f>INPUT!BP198</f>
        <v>-23.917893797411882</v>
      </c>
      <c r="BF250" s="651">
        <f>INPUT!BQ198</f>
        <v>128.19999999999999</v>
      </c>
      <c r="BG250" s="18">
        <f>INPUT!BR198</f>
        <v>-35.577889447236188</v>
      </c>
      <c r="BH250" s="651">
        <f>INPUT!BS198</f>
        <v>141</v>
      </c>
      <c r="BI250" s="18">
        <f>INPUT!BT198</f>
        <v>-29.780876494023911</v>
      </c>
      <c r="BJ250" s="651">
        <f>INPUT!BU198</f>
        <v>134.1</v>
      </c>
      <c r="BK250" s="18">
        <f>INPUT!BV198</f>
        <v>-25.041922861934029</v>
      </c>
      <c r="BL250" s="651">
        <f>INPUT!BW198</f>
        <v>160.10000000000002</v>
      </c>
      <c r="BM250" s="18">
        <f>INPUT!BX198</f>
        <v>-6.0997067448680165</v>
      </c>
      <c r="BN250" s="651">
        <f>INPUT!BY198</f>
        <v>145.5</v>
      </c>
      <c r="BO250" s="18">
        <f>INPUT!BZ198</f>
        <v>13.494539781591275</v>
      </c>
      <c r="BP250" s="651">
        <f>INPUT!CA198</f>
        <v>143.60000000000002</v>
      </c>
      <c r="BQ250" s="18">
        <f>INPUT!CB198</f>
        <v>1.8439716312056875</v>
      </c>
      <c r="BR250" s="651">
        <f>INPUT!CC198</f>
        <v>152.80000000000001</v>
      </c>
      <c r="BS250" s="18">
        <f>INPUT!CD198</f>
        <v>13.944817300522017</v>
      </c>
      <c r="BT250" s="651">
        <f>INPUT!CE198</f>
        <v>171.39999999999998</v>
      </c>
      <c r="BU250" s="18">
        <f>INPUT!CF198</f>
        <v>7.0580886945658561</v>
      </c>
      <c r="BV250" s="651">
        <f>INPUT!CG198</f>
        <v>163.19999999999999</v>
      </c>
      <c r="BW250" s="18">
        <f>INPUT!CH198</f>
        <v>12.164948453608249</v>
      </c>
      <c r="BX250" s="651">
        <f>INPUT!CI198</f>
        <v>171.7</v>
      </c>
      <c r="BY250" s="18">
        <f>INPUT!CJ198</f>
        <v>19.56824512534816</v>
      </c>
      <c r="BZ250" s="651">
        <f>INPUT!CK198</f>
        <v>184.10000000000002</v>
      </c>
      <c r="CA250" s="18">
        <f>INPUT!CL198</f>
        <v>20.484293193717274</v>
      </c>
      <c r="CB250" s="651">
        <f>INPUT!CM198</f>
        <v>168.1</v>
      </c>
      <c r="CC250" s="18">
        <f>INPUT!CN198</f>
        <v>-1.9253208868144633</v>
      </c>
      <c r="CD250" s="651">
        <f>INPUT!CO198</f>
        <v>168.5</v>
      </c>
      <c r="CE250" s="18">
        <f>INPUT!CP198</f>
        <v>3.2475490196078427</v>
      </c>
      <c r="CF250" s="651">
        <f>INPUT!CQ198</f>
        <v>192.4</v>
      </c>
      <c r="CG250" s="18">
        <f>INPUT!CR198</f>
        <v>12.055911473500291</v>
      </c>
      <c r="CH250" s="651">
        <f>INPUT!CS198</f>
        <v>182.5</v>
      </c>
      <c r="CI250" s="18">
        <f>INPUT!CT198</f>
        <v>-0.86909288430202514</v>
      </c>
      <c r="CJ250" s="651">
        <f>INPUT!CU198</f>
        <v>190.8</v>
      </c>
      <c r="CK250" s="18">
        <f>INPUT!CV198</f>
        <v>13.503866745984539</v>
      </c>
      <c r="CL250" s="651">
        <f>INPUT!CW198</f>
        <v>143.4</v>
      </c>
      <c r="CM250" s="18">
        <f>INPUT!CX198</f>
        <v>-14.896142433234417</v>
      </c>
      <c r="CN250" s="651">
        <f>INPUT!CY198</f>
        <v>149.39999999999998</v>
      </c>
      <c r="CO250" s="18">
        <f>INPUT!CZ198</f>
        <v>-22.349272349272365</v>
      </c>
      <c r="CP250" s="651">
        <f>INPUT!DA198</f>
        <v>136.4</v>
      </c>
      <c r="CQ250" s="18">
        <f>INPUT!DB198</f>
        <v>-25.260273972602732</v>
      </c>
      <c r="CR250" s="651">
        <f>INPUT!DC198</f>
        <v>144</v>
      </c>
      <c r="CS250" s="18">
        <f>INPUT!DD198</f>
        <v>-24.528301886792459</v>
      </c>
      <c r="CT250" s="651">
        <f>INPUT!DE198</f>
        <v>148.70000000000002</v>
      </c>
      <c r="CU250" s="18">
        <f>INPUT!DF198</f>
        <v>3.6959553695955494</v>
      </c>
      <c r="CV250" s="651">
        <f>INPUT!DG198</f>
        <v>158.9</v>
      </c>
      <c r="CW250" s="18">
        <f>INPUT!DH198</f>
        <v>6.3587684069611905</v>
      </c>
      <c r="CX250" s="651">
        <f>INPUT!DI198</f>
        <v>153.5</v>
      </c>
      <c r="CY250" s="18">
        <f>INPUT!DJ198</f>
        <v>12.536656891495589</v>
      </c>
      <c r="CZ250" s="651">
        <f>INPUT!DK198</f>
        <v>149.29999999999998</v>
      </c>
      <c r="DA250" s="18">
        <f>INPUT!DL198</f>
        <v>3.6805555555555536</v>
      </c>
      <c r="DB250" s="651">
        <f>INPUT!DM198</f>
        <v>129.9</v>
      </c>
      <c r="DC250" s="18">
        <f>INPUT!DN198</f>
        <v>-12.642905178211173</v>
      </c>
      <c r="DD250" s="651">
        <f>INPUT!DO198</f>
        <v>142.5</v>
      </c>
      <c r="DE250" s="18">
        <f>INPUT!DP198</f>
        <v>-10.320956576463193</v>
      </c>
      <c r="DF250" s="651">
        <f>INPUT!DQ198</f>
        <v>139.89999999999998</v>
      </c>
      <c r="DG250" s="18">
        <f>INPUT!DR198</f>
        <v>-8.8599348534202154</v>
      </c>
      <c r="DH250" s="651">
        <f>INPUT!DS198</f>
        <v>148.19999999999999</v>
      </c>
      <c r="DI250" s="18">
        <f>INPUT!DT198</f>
        <v>-0.73677160080374282</v>
      </c>
      <c r="DJ250" s="651">
        <f>INPUT!DU198</f>
        <v>132.5</v>
      </c>
      <c r="DK250" s="18">
        <f>INPUT!DV198</f>
        <v>2.0015396458814338</v>
      </c>
      <c r="DL250" s="651">
        <f>INPUT!DW198</f>
        <v>138.1</v>
      </c>
      <c r="DM250" s="18">
        <f>INPUT!DX198</f>
        <v>-3.087719298245617</v>
      </c>
      <c r="DN250" s="651">
        <f>INPUT!DY198</f>
        <v>127.6</v>
      </c>
      <c r="DO250" s="18">
        <f>INPUT!DZ198</f>
        <v>-8.791994281629723</v>
      </c>
      <c r="DP250" s="651">
        <f>INPUT!EA198</f>
        <v>120.8</v>
      </c>
      <c r="DQ250" s="18">
        <f>INPUT!EB198</f>
        <v>-18.488529014844801</v>
      </c>
      <c r="DR250" s="651">
        <f>INPUT!EC198</f>
        <v>121.30000000000001</v>
      </c>
      <c r="DS250" s="18">
        <f>INPUT!ED198</f>
        <v>-8.4528301886792399</v>
      </c>
      <c r="DT250" s="651">
        <f>INPUT!EE198</f>
        <v>131.1</v>
      </c>
      <c r="DU250" s="18">
        <f>INPUT!EF198</f>
        <v>-5.0687907313540892</v>
      </c>
      <c r="DV250" s="651">
        <f>INPUT!EG198</f>
        <v>134.10000000000002</v>
      </c>
      <c r="DW250" s="18">
        <f>INPUT!EH198</f>
        <v>5.0940438871473592</v>
      </c>
      <c r="DX250" s="651">
        <f>INPUT!EI198</f>
        <v>135.69999999999999</v>
      </c>
      <c r="DY250" s="18">
        <f>INPUT!EJ198</f>
        <v>12.334437086092699</v>
      </c>
      <c r="DZ250" s="651">
        <f>INPUT!EK198</f>
        <v>141.69861598820518</v>
      </c>
      <c r="EA250" s="18">
        <f>INPUT!EL198</f>
        <v>16.816666107341426</v>
      </c>
      <c r="EB250" s="651">
        <f>INPUT!EM198</f>
        <v>143.28467388045041</v>
      </c>
      <c r="EC250" s="18">
        <f>INPUT!EN198</f>
        <v>9.2941829751719496</v>
      </c>
      <c r="ED250" s="651">
        <f>INPUT!EO198</f>
        <v>145.63707048686817</v>
      </c>
      <c r="EE250" s="18">
        <f>INPUT!EP198</f>
        <v>8.603333696396831</v>
      </c>
      <c r="EF250" s="651">
        <f>INPUT!EQ198</f>
        <v>145.02089072774331</v>
      </c>
      <c r="EG250" s="18">
        <f>INPUT!ER198</f>
        <v>6.8687477728395896</v>
      </c>
      <c r="EH250" s="18"/>
      <c r="EI250" s="651">
        <f>INPUT!FB198</f>
        <v>0</v>
      </c>
      <c r="EJ250" s="5">
        <f>INPUT!FC198</f>
        <v>0</v>
      </c>
      <c r="EK250" s="651">
        <f>INPUT!FD198</f>
        <v>333.7</v>
      </c>
      <c r="EL250" s="5" t="str">
        <f>INPUT!FE198</f>
        <v>NA</v>
      </c>
      <c r="EM250" s="651">
        <f>INPUT!FF198</f>
        <v>481.4</v>
      </c>
      <c r="EN250" s="5">
        <f>INPUT!FG198</f>
        <v>44.261312556188194</v>
      </c>
      <c r="EO250" s="651">
        <f>INPUT!FH198</f>
        <v>650.5</v>
      </c>
      <c r="EP250" s="5">
        <f>INPUT!FI198</f>
        <v>35.126713751557958</v>
      </c>
      <c r="EQ250" s="651">
        <f>INPUT!FJ198</f>
        <v>757.89999999999986</v>
      </c>
      <c r="ER250" s="18">
        <f>INPUT!FK198</f>
        <v>16.510376633358923</v>
      </c>
      <c r="ES250" s="651">
        <f>INPUT!FL198</f>
        <v>759.7</v>
      </c>
      <c r="ET250" s="18">
        <f>INPUT!FM198</f>
        <v>0.23749835070592251</v>
      </c>
      <c r="EU250" s="651">
        <f>INPUT!FN198</f>
        <v>833</v>
      </c>
      <c r="EV250" s="18">
        <f>INPUT!FO198</f>
        <v>9.6485454784783329</v>
      </c>
      <c r="EW250" s="651">
        <f>INPUT!FP198</f>
        <v>749.2</v>
      </c>
      <c r="EX250" s="18">
        <f>INPUT!FQ198</f>
        <v>-10.06002400960384</v>
      </c>
      <c r="EY250" s="651">
        <f>INPUT!FR198</f>
        <v>561</v>
      </c>
      <c r="EZ250" s="18">
        <f>INPUT!FS198</f>
        <v>-25.120128136679131</v>
      </c>
      <c r="FA250" s="651">
        <f>INPUT!FT198</f>
        <v>613.29999999999995</v>
      </c>
      <c r="FB250" s="18">
        <f>INPUT!FU198</f>
        <v>9.3226381461675381</v>
      </c>
      <c r="FC250" s="651">
        <f>INPUT!FV198</f>
        <v>687.09999999999991</v>
      </c>
      <c r="FD250" s="18">
        <f>INPUT!FW198</f>
        <v>12.033262677319412</v>
      </c>
      <c r="FE250" s="651">
        <f>INPUT!FX198</f>
        <v>734.2</v>
      </c>
      <c r="FF250" s="18">
        <f>INPUT!FY198</f>
        <v>6.8548973948479253</v>
      </c>
      <c r="FG250" s="651">
        <f>INPUT!FZ198</f>
        <v>573.20000000000005</v>
      </c>
      <c r="FH250" s="18">
        <f>INPUT!GA198</f>
        <v>-21.928629801144105</v>
      </c>
      <c r="FI250" s="651">
        <f>INPUT!GB198</f>
        <v>610.4</v>
      </c>
      <c r="FJ250" s="18">
        <f>INPUT!GC198</f>
        <v>6.4898813677599421</v>
      </c>
      <c r="FK250" s="651">
        <f>INPUT!GD198</f>
        <v>560.5</v>
      </c>
      <c r="FL250" s="18">
        <f>INPUT!GE198</f>
        <v>-8.1749672346002615</v>
      </c>
      <c r="FM250" s="651">
        <f>INPUT!GF198</f>
        <v>519</v>
      </c>
      <c r="FN250" s="18">
        <f>INPUT!GG198</f>
        <v>-7.4041034790365723</v>
      </c>
      <c r="FO250" s="651">
        <f>INPUT!GH198</f>
        <v>522.20000000000005</v>
      </c>
      <c r="FP250" s="18">
        <f>INPUT!GI198</f>
        <v>0.61657032755300101</v>
      </c>
      <c r="FQ250" s="651">
        <f>INPUT!GJ198</f>
        <v>575.64125108326709</v>
      </c>
      <c r="FR250" s="18">
        <f>INPUT!GK198</f>
        <v>10.233866542180593</v>
      </c>
      <c r="FS250" s="651">
        <f>INPUT!GL198</f>
        <v>597.99072322163465</v>
      </c>
      <c r="FT250" s="18">
        <f>INPUT!GM198</f>
        <v>3.8825348420234551</v>
      </c>
      <c r="FU250" s="651">
        <f>INPUT!GN198</f>
        <v>621.21076965148279</v>
      </c>
      <c r="FV250" s="18">
        <f>INPUT!GO198</f>
        <v>3.8830111451815918</v>
      </c>
      <c r="FW250" s="651">
        <f>INPUT!GP198</f>
        <v>645.3352771607083</v>
      </c>
      <c r="FX250" s="18">
        <f>INPUT!GQ198</f>
        <v>3.8834657555534724</v>
      </c>
      <c r="FY250" s="651">
        <f>INPUT!GR198</f>
        <v>671.05762519353141</v>
      </c>
      <c r="FZ250" s="18">
        <f>INPUT!GS198</f>
        <v>3.9858890321313512</v>
      </c>
      <c r="GA250" s="5">
        <f>INPUT!GT198</f>
        <v>5.1440229347311295</v>
      </c>
    </row>
    <row r="251" spans="1:183" ht="12.75" hidden="1" customHeight="1" outlineLevel="1" x14ac:dyDescent="0.2">
      <c r="A251" s="650"/>
      <c r="B251" s="119"/>
      <c r="C251" s="613"/>
      <c r="D251" s="119"/>
      <c r="E251" s="613"/>
      <c r="F251" s="119"/>
      <c r="G251" s="613"/>
      <c r="H251" s="119"/>
      <c r="I251" s="613"/>
      <c r="J251" s="119"/>
      <c r="K251" s="613"/>
      <c r="L251" s="119"/>
      <c r="M251" s="613"/>
      <c r="N251" s="119"/>
      <c r="O251" s="613"/>
      <c r="P251" s="119"/>
      <c r="Q251" s="613"/>
      <c r="R251" s="119"/>
      <c r="S251" s="613"/>
      <c r="T251" s="119"/>
      <c r="U251" s="613"/>
      <c r="V251" s="119"/>
      <c r="W251" s="613"/>
      <c r="X251" s="119"/>
      <c r="Y251" s="613"/>
      <c r="Z251" s="119"/>
      <c r="AA251" s="613"/>
      <c r="AB251" s="119"/>
      <c r="AC251" s="613"/>
      <c r="AD251" s="119"/>
      <c r="AE251" s="613"/>
      <c r="AF251" s="119"/>
      <c r="AG251" s="613"/>
      <c r="AH251" s="119"/>
      <c r="AI251" s="613"/>
      <c r="AJ251" s="119"/>
      <c r="AK251" s="613"/>
      <c r="AL251" s="119"/>
      <c r="AM251" s="613"/>
      <c r="AN251" s="119"/>
      <c r="AO251" s="18"/>
      <c r="AP251" s="119"/>
      <c r="AQ251" s="18"/>
      <c r="AR251" s="119"/>
      <c r="AS251" s="18"/>
      <c r="AT251" s="119"/>
      <c r="AU251" s="18"/>
      <c r="AV251" s="119"/>
      <c r="AW251" s="18"/>
      <c r="AX251" s="119"/>
      <c r="AY251" s="18"/>
      <c r="AZ251" s="119"/>
      <c r="BA251" s="18"/>
      <c r="BB251" s="119"/>
      <c r="BC251" s="18"/>
      <c r="BD251" s="119"/>
      <c r="BE251" s="18"/>
      <c r="BF251" s="119"/>
      <c r="BG251" s="18"/>
      <c r="BH251" s="119"/>
      <c r="BI251" s="18"/>
      <c r="BJ251" s="119"/>
      <c r="BK251" s="18"/>
      <c r="BL251" s="119"/>
      <c r="BM251" s="18"/>
      <c r="BN251" s="119"/>
      <c r="BO251" s="18"/>
      <c r="BP251" s="119"/>
      <c r="BQ251" s="18"/>
      <c r="BR251" s="119"/>
      <c r="BS251" s="18"/>
      <c r="BT251" s="119"/>
      <c r="BU251" s="18"/>
      <c r="BV251" s="119"/>
      <c r="BW251" s="18"/>
      <c r="BX251" s="119"/>
      <c r="BY251" s="18"/>
      <c r="BZ251" s="119"/>
      <c r="CA251" s="18"/>
      <c r="CB251" s="119"/>
      <c r="CC251" s="18"/>
      <c r="CD251" s="119"/>
      <c r="CE251" s="18"/>
      <c r="CF251" s="119"/>
      <c r="CG251" s="18"/>
      <c r="CH251" s="119"/>
      <c r="CI251" s="18"/>
      <c r="CJ251" s="119"/>
      <c r="CK251" s="18"/>
      <c r="CL251" s="119"/>
      <c r="CM251" s="18"/>
      <c r="CN251" s="119"/>
      <c r="CO251" s="18"/>
      <c r="CP251" s="119"/>
      <c r="CQ251" s="18"/>
      <c r="CR251" s="119"/>
      <c r="CS251" s="18"/>
      <c r="CT251" s="119"/>
      <c r="CU251" s="18"/>
      <c r="CV251" s="119"/>
      <c r="CW251" s="18"/>
      <c r="CX251" s="119"/>
      <c r="CY251" s="18"/>
      <c r="CZ251" s="119"/>
      <c r="DA251" s="18"/>
      <c r="DB251" s="119"/>
      <c r="DC251" s="18"/>
      <c r="DD251" s="119"/>
      <c r="DE251" s="18"/>
      <c r="DF251" s="119"/>
      <c r="DG251" s="18"/>
      <c r="DH251" s="119"/>
      <c r="DI251" s="18"/>
      <c r="DJ251" s="119"/>
      <c r="DK251" s="18"/>
      <c r="DL251" s="119"/>
      <c r="DM251" s="18"/>
      <c r="DN251" s="119"/>
      <c r="DO251" s="18"/>
      <c r="DP251" s="119"/>
      <c r="DQ251" s="18"/>
      <c r="DR251" s="119"/>
      <c r="DS251" s="18"/>
      <c r="DT251" s="119"/>
      <c r="DU251" s="18"/>
      <c r="DV251" s="119"/>
      <c r="DW251" s="18"/>
      <c r="DX251" s="119"/>
      <c r="DY251" s="18"/>
      <c r="DZ251" s="119"/>
      <c r="EA251" s="18"/>
      <c r="EB251" s="119"/>
      <c r="EC251" s="18"/>
      <c r="ED251" s="119"/>
      <c r="EE251" s="18"/>
      <c r="EF251" s="119"/>
      <c r="EG251" s="18"/>
      <c r="EH251" s="649"/>
      <c r="EI251" s="119"/>
      <c r="EJ251" s="613"/>
      <c r="EK251" s="119"/>
      <c r="EL251" s="613"/>
      <c r="EM251" s="119"/>
      <c r="EN251" s="613"/>
      <c r="EO251" s="119"/>
      <c r="EP251" s="613"/>
      <c r="EQ251" s="119"/>
      <c r="ER251" s="18"/>
      <c r="ES251" s="119"/>
      <c r="ET251" s="18"/>
      <c r="EU251" s="119"/>
      <c r="EV251" s="18"/>
      <c r="EW251" s="119"/>
      <c r="EX251" s="18"/>
      <c r="EY251" s="119"/>
      <c r="EZ251" s="18"/>
      <c r="FA251" s="119"/>
      <c r="FB251" s="18"/>
      <c r="FC251" s="119"/>
      <c r="FD251" s="18"/>
      <c r="FE251" s="119"/>
      <c r="FF251" s="18"/>
      <c r="FG251" s="119"/>
      <c r="FH251" s="18"/>
      <c r="FI251" s="119"/>
      <c r="FJ251" s="18"/>
      <c r="FK251" s="119"/>
      <c r="FL251" s="18"/>
      <c r="FM251" s="119"/>
      <c r="FN251" s="18"/>
      <c r="FO251" s="119"/>
      <c r="FP251" s="18"/>
      <c r="FQ251" s="119"/>
      <c r="FR251" s="18"/>
      <c r="FS251" s="119"/>
      <c r="FT251" s="18"/>
      <c r="FU251" s="119"/>
      <c r="FV251" s="18"/>
      <c r="FW251" s="119"/>
      <c r="FX251" s="18"/>
      <c r="FY251" s="119"/>
      <c r="FZ251" s="18"/>
      <c r="GA251" s="613"/>
    </row>
    <row r="252" spans="1:183" ht="12.75" hidden="1" customHeight="1" outlineLevel="1" x14ac:dyDescent="0.2">
      <c r="A252" s="644" t="str">
        <f>INPUT!B205</f>
        <v>Pretax Earnings</v>
      </c>
      <c r="B252" s="653"/>
      <c r="C252" s="654"/>
      <c r="D252" s="653"/>
      <c r="E252" s="646"/>
      <c r="F252" s="653"/>
      <c r="G252" s="646"/>
      <c r="H252" s="653"/>
      <c r="I252" s="646"/>
      <c r="J252" s="653">
        <f>INPUT!U205</f>
        <v>22.700000000000003</v>
      </c>
      <c r="K252" s="646" t="str">
        <f>INPUT!V205</f>
        <v>NA</v>
      </c>
      <c r="L252" s="653">
        <f>INPUT!W205</f>
        <v>29.600000000000009</v>
      </c>
      <c r="M252" s="646" t="str">
        <f>INPUT!X205</f>
        <v>NA</v>
      </c>
      <c r="N252" s="653">
        <f>INPUT!Y205</f>
        <v>27.599999999999994</v>
      </c>
      <c r="O252" s="646" t="str">
        <f>INPUT!Z205</f>
        <v>NA</v>
      </c>
      <c r="P252" s="653">
        <f>INPUT!AA205</f>
        <v>32.099999999999994</v>
      </c>
      <c r="Q252" s="646" t="str">
        <f>INPUT!AB205</f>
        <v>NA</v>
      </c>
      <c r="R252" s="653">
        <f>INPUT!AC205</f>
        <v>34.799999999999983</v>
      </c>
      <c r="S252" s="646">
        <f>INPUT!AD205</f>
        <v>53.303964757709153</v>
      </c>
      <c r="T252" s="653">
        <f>INPUT!AE205</f>
        <v>31.700000000000017</v>
      </c>
      <c r="U252" s="646">
        <f>INPUT!AF205</f>
        <v>7.0945945945946276</v>
      </c>
      <c r="V252" s="653">
        <f>INPUT!AG205</f>
        <v>38.099999999999966</v>
      </c>
      <c r="W252" s="646">
        <f>INPUT!AH205</f>
        <v>38.04347826086947</v>
      </c>
      <c r="X252" s="653">
        <f>INPUT!AI205</f>
        <v>46.699999999999989</v>
      </c>
      <c r="Y252" s="646">
        <f>INPUT!AJ205</f>
        <v>45.48286604361369</v>
      </c>
      <c r="Z252" s="653">
        <f>INPUT!AK205</f>
        <v>47.30000000000004</v>
      </c>
      <c r="AA252" s="646">
        <f>INPUT!AL205</f>
        <v>35.919540229885236</v>
      </c>
      <c r="AB252" s="653">
        <f>INPUT!AM205</f>
        <v>41.299999999999983</v>
      </c>
      <c r="AC252" s="646">
        <f>INPUT!AN205</f>
        <v>30.283911671924169</v>
      </c>
      <c r="AD252" s="653">
        <f>INPUT!AO205</f>
        <v>44.100000000000023</v>
      </c>
      <c r="AE252" s="646">
        <f>INPUT!AP205</f>
        <v>15.748031496063163</v>
      </c>
      <c r="AF252" s="653">
        <f>INPUT!AQ205</f>
        <v>49.299999999999955</v>
      </c>
      <c r="AG252" s="646">
        <f>INPUT!AR205</f>
        <v>5.5674518201284107</v>
      </c>
      <c r="AH252" s="653">
        <f>INPUT!AS205</f>
        <v>54.400000000000006</v>
      </c>
      <c r="AI252" s="646">
        <f>INPUT!AT205</f>
        <v>15.010570824524239</v>
      </c>
      <c r="AJ252" s="653">
        <f>INPUT!AU205</f>
        <v>56.100000000000023</v>
      </c>
      <c r="AK252" s="646">
        <f>INPUT!AV205</f>
        <v>35.835351089588485</v>
      </c>
      <c r="AL252" s="653">
        <f>INPUT!AW205</f>
        <v>65.5</v>
      </c>
      <c r="AM252" s="646">
        <f>INPUT!AX205</f>
        <v>48.526077097505585</v>
      </c>
      <c r="AN252" s="653">
        <f>INPUT!AY205</f>
        <v>81.799999999999983</v>
      </c>
      <c r="AO252" s="647">
        <f>INPUT!AZ205</f>
        <v>65.922920892495057</v>
      </c>
      <c r="AP252" s="653">
        <f>INPUT!BA205</f>
        <v>72.400000000000006</v>
      </c>
      <c r="AQ252" s="647">
        <f>INPUT!BB205</f>
        <v>33.088235294117638</v>
      </c>
      <c r="AR252" s="653">
        <f>INPUT!BC205</f>
        <v>74.100000000000023</v>
      </c>
      <c r="AS252" s="647">
        <f>INPUT!BD205</f>
        <v>32.085561497326196</v>
      </c>
      <c r="AT252" s="653">
        <f>INPUT!BE205</f>
        <v>97.600000000000023</v>
      </c>
      <c r="AU252" s="647">
        <f>INPUT!BF205</f>
        <v>49.007633587786302</v>
      </c>
      <c r="AV252" s="653">
        <f>INPUT!BG205</f>
        <v>81.699999999999989</v>
      </c>
      <c r="AW252" s="647">
        <f>INPUT!BH205</f>
        <v>-0.12224938875304847</v>
      </c>
      <c r="AX252" s="653">
        <f>INPUT!BI205</f>
        <v>84.300000000000011</v>
      </c>
      <c r="AY252" s="647">
        <f>INPUT!BJ205</f>
        <v>16.436464088397805</v>
      </c>
      <c r="AZ252" s="653">
        <f>INPUT!BK205</f>
        <v>92.599999999999966</v>
      </c>
      <c r="BA252" s="647">
        <f>INPUT!BL205</f>
        <v>24.966261808366987</v>
      </c>
      <c r="BB252" s="653">
        <f>INPUT!BM205</f>
        <v>92.5</v>
      </c>
      <c r="BC252" s="647">
        <f>INPUT!BN205</f>
        <v>-5.2254098360655981</v>
      </c>
      <c r="BD252" s="653">
        <f>INPUT!BO205</f>
        <v>54.600000000000023</v>
      </c>
      <c r="BE252" s="647">
        <f>INPUT!BP205</f>
        <v>-33.170134638922853</v>
      </c>
      <c r="BF252" s="653">
        <f>INPUT!BQ205</f>
        <v>62.300000000000011</v>
      </c>
      <c r="BG252" s="647">
        <f>INPUT!BR205</f>
        <v>-26.097271648873065</v>
      </c>
      <c r="BH252" s="653">
        <f>INPUT!BS205</f>
        <v>67.300000000000011</v>
      </c>
      <c r="BI252" s="647">
        <f>INPUT!BT205</f>
        <v>-27.321814254859579</v>
      </c>
      <c r="BJ252" s="653">
        <f>INPUT!BU205</f>
        <v>58.699999999999989</v>
      </c>
      <c r="BK252" s="647">
        <f>INPUT!BV205</f>
        <v>-36.540540540540555</v>
      </c>
      <c r="BL252" s="653">
        <f>INPUT!BW205</f>
        <v>61.299999999999983</v>
      </c>
      <c r="BM252" s="647">
        <f>INPUT!BX205</f>
        <v>12.271062271062183</v>
      </c>
      <c r="BN252" s="653">
        <f>INPUT!BY205</f>
        <v>60.600000000000023</v>
      </c>
      <c r="BO252" s="647">
        <f>INPUT!BZ205</f>
        <v>-2.728731942215068</v>
      </c>
      <c r="BP252" s="653">
        <f>INPUT!CA205</f>
        <v>52.799999999999983</v>
      </c>
      <c r="BQ252" s="647">
        <f>INPUT!CB205</f>
        <v>-21.545319465081757</v>
      </c>
      <c r="BR252" s="653">
        <f>INPUT!CC205</f>
        <v>47.800000000000011</v>
      </c>
      <c r="BS252" s="647">
        <f>INPUT!CD205</f>
        <v>-18.568994889267433</v>
      </c>
      <c r="BT252" s="653">
        <f>INPUT!CE205</f>
        <v>47.800000000000011</v>
      </c>
      <c r="BU252" s="647">
        <f>INPUT!CF205</f>
        <v>-22.022838499184296</v>
      </c>
      <c r="BV252" s="653">
        <f>INPUT!CG205</f>
        <v>48.900000000000006</v>
      </c>
      <c r="BW252" s="647">
        <f>INPUT!CH205</f>
        <v>-19.306930693069326</v>
      </c>
      <c r="BX252" s="653">
        <f>INPUT!CI205</f>
        <v>55.200000000000017</v>
      </c>
      <c r="BY252" s="647">
        <f>INPUT!CJ205</f>
        <v>4.545454545454608</v>
      </c>
      <c r="BZ252" s="653">
        <f>INPUT!CK205</f>
        <v>34.699999999999989</v>
      </c>
      <c r="CA252" s="647">
        <f>INPUT!CL205</f>
        <v>-27.405857740585816</v>
      </c>
      <c r="CB252" s="653">
        <f>INPUT!CM205</f>
        <v>51.900000000000006</v>
      </c>
      <c r="CC252" s="647">
        <f>INPUT!CN205</f>
        <v>8.5774058577405619</v>
      </c>
      <c r="CD252" s="653">
        <f>INPUT!CO205</f>
        <v>38.799999999999983</v>
      </c>
      <c r="CE252" s="647">
        <f>INPUT!CP205</f>
        <v>-20.654396728016401</v>
      </c>
      <c r="CF252" s="653">
        <f>INPUT!CQ205</f>
        <v>29.999999999999972</v>
      </c>
      <c r="CG252" s="647">
        <f>INPUT!CR205</f>
        <v>-45.652173913043548</v>
      </c>
      <c r="CH252" s="653">
        <f>INPUT!CS205</f>
        <v>27.5</v>
      </c>
      <c r="CI252" s="647">
        <f>INPUT!CT205</f>
        <v>-20.749279538904876</v>
      </c>
      <c r="CJ252" s="653">
        <f>INPUT!CU205</f>
        <v>35</v>
      </c>
      <c r="CK252" s="647">
        <f>INPUT!CV205</f>
        <v>-32.562620423892106</v>
      </c>
      <c r="CL252" s="653">
        <f>INPUT!CW205</f>
        <v>31.300000000000011</v>
      </c>
      <c r="CM252" s="647">
        <f>INPUT!CX205</f>
        <v>-19.329896907216426</v>
      </c>
      <c r="CN252" s="653">
        <f>INPUT!CY205</f>
        <v>33.5</v>
      </c>
      <c r="CO252" s="647">
        <f>INPUT!CZ205</f>
        <v>11.666666666666782</v>
      </c>
      <c r="CP252" s="653">
        <f>INPUT!DA205</f>
        <v>31.300000000000011</v>
      </c>
      <c r="CQ252" s="647">
        <f>INPUT!DB205</f>
        <v>13.818181818181863</v>
      </c>
      <c r="CR252" s="653">
        <f>INPUT!DC205</f>
        <v>35.900000000000006</v>
      </c>
      <c r="CS252" s="647">
        <f>INPUT!DD205</f>
        <v>2.5714285714285801</v>
      </c>
      <c r="CT252" s="653">
        <f>INPUT!DE205</f>
        <v>36.499999999999972</v>
      </c>
      <c r="CU252" s="647">
        <f>INPUT!DF205</f>
        <v>16.613418530351296</v>
      </c>
      <c r="CV252" s="653">
        <f>INPUT!DG205</f>
        <v>39.599999999999994</v>
      </c>
      <c r="CW252" s="647">
        <f>INPUT!DH205</f>
        <v>18.208955223880572</v>
      </c>
      <c r="CX252" s="653">
        <f>INPUT!DI205</f>
        <v>33.5</v>
      </c>
      <c r="CY252" s="647">
        <f>INPUT!DJ205</f>
        <v>7.0287539936101817</v>
      </c>
      <c r="CZ252" s="653">
        <f>INPUT!DK205</f>
        <v>38.200000000000017</v>
      </c>
      <c r="DA252" s="647">
        <f>INPUT!DL205</f>
        <v>6.4066852367688387</v>
      </c>
      <c r="DB252" s="653">
        <f>INPUT!DM205</f>
        <v>32.599999999999994</v>
      </c>
      <c r="DC252" s="647">
        <f>INPUT!DN205</f>
        <v>-10.68493150684926</v>
      </c>
      <c r="DD252" s="653">
        <f>INPUT!DO205</f>
        <v>38.299999999999983</v>
      </c>
      <c r="DE252" s="647">
        <f>INPUT!DP205</f>
        <v>-3.2828282828283095</v>
      </c>
      <c r="DF252" s="653">
        <f>INPUT!DQ205</f>
        <v>32.700000000000017</v>
      </c>
      <c r="DG252" s="647">
        <f>INPUT!DR205</f>
        <v>-2.3880597014924843</v>
      </c>
      <c r="DH252" s="653">
        <f>INPUT!DS205</f>
        <v>37</v>
      </c>
      <c r="DI252" s="647">
        <f>INPUT!DT205</f>
        <v>-3.1413612565445503</v>
      </c>
      <c r="DJ252" s="653">
        <f>INPUT!DU205</f>
        <v>33.600000000000023</v>
      </c>
      <c r="DK252" s="647">
        <f>INPUT!DV205</f>
        <v>3.0674846625767804</v>
      </c>
      <c r="DL252" s="653">
        <f>INPUT!DW205</f>
        <v>36.900000000000006</v>
      </c>
      <c r="DM252" s="647">
        <f>INPUT!DX205</f>
        <v>-3.6553524804176951</v>
      </c>
      <c r="DN252" s="653">
        <f>INPUT!DY205</f>
        <v>28.200000000000017</v>
      </c>
      <c r="DO252" s="647">
        <f>INPUT!DZ205</f>
        <v>-13.761467889908252</v>
      </c>
      <c r="DP252" s="653">
        <f>INPUT!EA205</f>
        <v>29.90000000000002</v>
      </c>
      <c r="DQ252" s="647">
        <f>INPUT!EB205</f>
        <v>-19.189189189189136</v>
      </c>
      <c r="DR252" s="653">
        <f>INPUT!EC205</f>
        <v>26.599999999999994</v>
      </c>
      <c r="DS252" s="647">
        <f>INPUT!ED205</f>
        <v>-20.833333333333403</v>
      </c>
      <c r="DT252" s="653">
        <f>INPUT!EE205</f>
        <v>28.900000000000006</v>
      </c>
      <c r="DU252" s="647">
        <f>INPUT!EF205</f>
        <v>-21.680216802168019</v>
      </c>
      <c r="DV252" s="653">
        <f>INPUT!EG205</f>
        <v>25.899999999999977</v>
      </c>
      <c r="DW252" s="647">
        <f>INPUT!EH205</f>
        <v>-8.1560283687944661</v>
      </c>
      <c r="DX252" s="653">
        <f>INPUT!EI205</f>
        <v>29.700000000000017</v>
      </c>
      <c r="DY252" s="647">
        <f>INPUT!EJ205</f>
        <v>-0.66889632107024477</v>
      </c>
      <c r="DZ252" s="653">
        <f>INPUT!EK205</f>
        <v>30.230456366771932</v>
      </c>
      <c r="EA252" s="647">
        <f>INPUT!EL205</f>
        <v>13.648332205909552</v>
      </c>
      <c r="EB252" s="653">
        <f>INPUT!EM205</f>
        <v>30.389841129286168</v>
      </c>
      <c r="EC252" s="647">
        <f>INPUT!EN205</f>
        <v>5.1551596169071345</v>
      </c>
      <c r="ED252" s="653">
        <f>INPUT!EO205</f>
        <v>30.005496626384883</v>
      </c>
      <c r="EE252" s="647">
        <f>INPUT!EP205</f>
        <v>15.851338325810449</v>
      </c>
      <c r="EF252" s="653">
        <f>INPUT!EQ205</f>
        <v>29.255547131776524</v>
      </c>
      <c r="EG252" s="647">
        <f>INPUT!ER205</f>
        <v>-1.4964743037828021</v>
      </c>
      <c r="EH252" s="648"/>
      <c r="EI252" s="653">
        <f>INPUT!FB205</f>
        <v>0</v>
      </c>
      <c r="EJ252" s="646">
        <f>INPUT!FC205</f>
        <v>0</v>
      </c>
      <c r="EK252" s="653">
        <f>INPUT!FD205</f>
        <v>69.5</v>
      </c>
      <c r="EL252" s="646" t="str">
        <f>INPUT!FE205</f>
        <v>NA</v>
      </c>
      <c r="EM252" s="653">
        <f>INPUT!FF205</f>
        <v>112</v>
      </c>
      <c r="EN252" s="646">
        <f>INPUT!FG205</f>
        <v>61.151079136690647</v>
      </c>
      <c r="EO252" s="653">
        <f>INPUT!FH205</f>
        <v>151.29999999999995</v>
      </c>
      <c r="EP252" s="646">
        <f>INPUT!FI205</f>
        <v>35.089285714285666</v>
      </c>
      <c r="EQ252" s="653">
        <f>INPUT!FJ205</f>
        <v>182.00000000000011</v>
      </c>
      <c r="ER252" s="647">
        <f>INPUT!FK205</f>
        <v>20.290812954395342</v>
      </c>
      <c r="ES252" s="653">
        <f>INPUT!FL205</f>
        <v>257.79999999999995</v>
      </c>
      <c r="ET252" s="647">
        <f>INPUT!FM205</f>
        <v>41.648351648351543</v>
      </c>
      <c r="EU252" s="653">
        <f>INPUT!FN205</f>
        <v>325.79999999999995</v>
      </c>
      <c r="EV252" s="647">
        <f>INPUT!FO205</f>
        <v>26.377036462373948</v>
      </c>
      <c r="EW252" s="653">
        <f>INPUT!FP205</f>
        <v>323.99999999999977</v>
      </c>
      <c r="EX252" s="647">
        <f>INPUT!FQ205</f>
        <v>-0.55248618784535797</v>
      </c>
      <c r="EY252" s="653">
        <f>INPUT!FR205</f>
        <v>251.99999999999989</v>
      </c>
      <c r="EZ252" s="647">
        <f>INPUT!FS205</f>
        <v>-22.2222222222222</v>
      </c>
      <c r="FA252" s="653">
        <f>INPUT!FT205</f>
        <v>209</v>
      </c>
      <c r="FB252" s="647">
        <f>INPUT!FU205</f>
        <v>-17.063492063492024</v>
      </c>
      <c r="FC252" s="653">
        <f>INPUT!FV205</f>
        <v>190.70000000000005</v>
      </c>
      <c r="FD252" s="647">
        <f>INPUT!FW205</f>
        <v>-8.7559808612439944</v>
      </c>
      <c r="FE252" s="653">
        <f>INPUT!FX205</f>
        <v>131.29999999999984</v>
      </c>
      <c r="FF252" s="647">
        <f>INPUT!FY205</f>
        <v>-31.148400629260721</v>
      </c>
      <c r="FG252" s="653">
        <f>INPUT!FZ205</f>
        <v>132</v>
      </c>
      <c r="FH252" s="647">
        <f>INPUT!GA205</f>
        <v>0.53313023610066512</v>
      </c>
      <c r="FI252" s="653">
        <f>INPUT!GB205</f>
        <v>147.79999999999995</v>
      </c>
      <c r="FJ252" s="647">
        <f>INPUT!GC205</f>
        <v>11.96969696969694</v>
      </c>
      <c r="FK252" s="653">
        <f>INPUT!GD205</f>
        <v>140.59999999999991</v>
      </c>
      <c r="FL252" s="647">
        <f>INPUT!GE205</f>
        <v>-4.8714479025710684</v>
      </c>
      <c r="FM252" s="653">
        <f>INPUT!GF205</f>
        <v>128.60000000000002</v>
      </c>
      <c r="FN252" s="647">
        <f>INPUT!GG205</f>
        <v>-8.5348506401137225</v>
      </c>
      <c r="FO252" s="653">
        <f>INPUT!GH205</f>
        <v>111.09999999999991</v>
      </c>
      <c r="FP252" s="647">
        <f>INPUT!GI205</f>
        <v>-13.60808709175747</v>
      </c>
      <c r="FQ252" s="653">
        <f>INPUT!GJ205</f>
        <v>119.88134125421936</v>
      </c>
      <c r="FR252" s="647">
        <f>INPUT!GK205</f>
        <v>7.9039975285503772</v>
      </c>
      <c r="FS252" s="653">
        <f>INPUT!GL205</f>
        <v>125.35277280935134</v>
      </c>
      <c r="FT252" s="647">
        <f>INPUT!GM205</f>
        <v>4.564039322457436</v>
      </c>
      <c r="FU252" s="653">
        <f>INPUT!GN205</f>
        <v>131.06646622074265</v>
      </c>
      <c r="FV252" s="647">
        <f>INPUT!GO205</f>
        <v>4.5580909646739665</v>
      </c>
      <c r="FW252" s="653">
        <f>INPUT!GP205</f>
        <v>137.03304814640614</v>
      </c>
      <c r="FX252" s="647">
        <f>INPUT!GQ205</f>
        <v>4.5523329480895214</v>
      </c>
      <c r="FY252" s="653">
        <f>INPUT!GR205</f>
        <v>142.60543312586753</v>
      </c>
      <c r="FZ252" s="647">
        <f>INPUT!GS205</f>
        <v>4.0664533518278478</v>
      </c>
      <c r="GA252" s="646">
        <f>INPUT!GT205</f>
        <v>5.119770151790215</v>
      </c>
    </row>
    <row r="253" spans="1:183" ht="12.75" hidden="1" customHeight="1" outlineLevel="2" x14ac:dyDescent="0.2">
      <c r="A253" s="614" t="s">
        <v>517</v>
      </c>
      <c r="B253" s="615"/>
      <c r="C253" s="616"/>
      <c r="D253" s="615"/>
      <c r="E253" s="616"/>
      <c r="F253" s="615"/>
      <c r="G253" s="616"/>
      <c r="H253" s="615"/>
      <c r="I253" s="616"/>
      <c r="J253" s="615"/>
      <c r="K253" s="616"/>
      <c r="L253" s="615"/>
      <c r="M253" s="616"/>
      <c r="N253" s="615"/>
      <c r="O253" s="616"/>
      <c r="P253" s="615"/>
      <c r="Q253" s="616"/>
      <c r="R253" s="615"/>
      <c r="S253" s="616"/>
      <c r="T253" s="615"/>
      <c r="U253" s="616"/>
      <c r="V253" s="615"/>
      <c r="W253" s="616"/>
      <c r="X253" s="615"/>
      <c r="Y253" s="616"/>
      <c r="Z253" s="615"/>
      <c r="AA253" s="616"/>
      <c r="AB253" s="615"/>
      <c r="AC253" s="616"/>
      <c r="AD253" s="615"/>
      <c r="AE253" s="616"/>
      <c r="AF253" s="615"/>
      <c r="AG253" s="616"/>
      <c r="AH253" s="615"/>
      <c r="AI253" s="616"/>
      <c r="AJ253" s="615"/>
      <c r="AK253" s="616"/>
      <c r="AL253" s="615"/>
      <c r="AM253" s="616"/>
      <c r="AN253" s="615"/>
      <c r="AO253" s="617"/>
      <c r="AP253" s="615"/>
      <c r="AQ253" s="617"/>
      <c r="AR253" s="615"/>
      <c r="AS253" s="617"/>
      <c r="AT253" s="615"/>
      <c r="AU253" s="617"/>
      <c r="AV253" s="615"/>
      <c r="AW253" s="617"/>
      <c r="AX253" s="615"/>
      <c r="AY253" s="617"/>
      <c r="AZ253" s="615"/>
      <c r="BA253" s="617"/>
      <c r="BB253" s="615"/>
      <c r="BC253" s="617"/>
      <c r="BD253" s="615"/>
      <c r="BE253" s="617"/>
      <c r="BF253" s="615"/>
      <c r="BG253" s="617"/>
      <c r="BH253" s="615"/>
      <c r="BI253" s="617"/>
      <c r="BJ253" s="615"/>
      <c r="BK253" s="617"/>
      <c r="BL253" s="615"/>
      <c r="BM253" s="617"/>
      <c r="BN253" s="615"/>
      <c r="BO253" s="617"/>
      <c r="BP253" s="615"/>
      <c r="BQ253" s="617"/>
      <c r="BR253" s="615"/>
      <c r="BS253" s="617"/>
      <c r="BT253" s="615"/>
      <c r="BU253" s="617"/>
      <c r="BV253" s="618">
        <f>(BV240+BV241+BV242-BV246-BV247-BV248-BV249)-BV252</f>
        <v>0</v>
      </c>
      <c r="BW253" s="617"/>
      <c r="BX253" s="618">
        <f>(BX240+BX241+BX242-BX246-BX247-BX248-BX249)-BX252</f>
        <v>0</v>
      </c>
      <c r="BY253" s="617"/>
      <c r="BZ253" s="618">
        <f>(BZ240+BZ241+BZ242-BZ246-BZ247-BZ248-BZ249)-BZ252</f>
        <v>0</v>
      </c>
      <c r="CA253" s="617"/>
      <c r="CB253" s="618">
        <f>(CB240+CB241+CB242-CB246-CB247-CB248-CB249)-CB252</f>
        <v>0</v>
      </c>
      <c r="CC253" s="617"/>
      <c r="CD253" s="618">
        <f>(CD240+CD241+CD242-CD246-CD247-CD248-CD249)-CD252</f>
        <v>0</v>
      </c>
      <c r="CE253" s="617"/>
      <c r="CF253" s="618">
        <f>(CF240+CF241+CF242-CF246-CF247-CF248-CF249)-CF252</f>
        <v>0</v>
      </c>
      <c r="CG253" s="617"/>
      <c r="CH253" s="618">
        <f>(CH240+CH241+CH242-CH246-CH247-CH248-CH249)-CH252</f>
        <v>0</v>
      </c>
      <c r="CI253" s="617"/>
      <c r="CJ253" s="618">
        <f>(CJ240+CJ241+CJ242-CJ246-CJ247-CJ248-CJ249)-CJ252</f>
        <v>0</v>
      </c>
      <c r="CK253" s="617"/>
      <c r="CL253" s="618">
        <f>(CL240+CL241+CL242-CL246-CL247-CL248-CL249)-CL252</f>
        <v>0</v>
      </c>
      <c r="CM253" s="617"/>
      <c r="CN253" s="618">
        <f>(CN240+CN241+CN242-CN246-CN247-CN248-CN249)-CN252</f>
        <v>0</v>
      </c>
      <c r="CO253" s="617"/>
      <c r="CP253" s="618">
        <f>(CP240+CP241+CP242-CP246-CP247-CP248-CP249)-CP252</f>
        <v>0</v>
      </c>
      <c r="CQ253" s="617"/>
      <c r="CR253" s="618">
        <f>(CR240+CR241+CR242-CR246-CR247-CR248-CR249)-CR252</f>
        <v>0</v>
      </c>
      <c r="CS253" s="617"/>
      <c r="CT253" s="618">
        <f>(CT240+CT241+CT242-CT246-CT247-CT248-CT249)-CT252</f>
        <v>0</v>
      </c>
      <c r="CU253" s="617"/>
      <c r="CV253" s="618">
        <f>(CV240+CV241+CV242-CV246-CV247-CV248-CV249)-CV252</f>
        <v>0</v>
      </c>
      <c r="CW253" s="617"/>
      <c r="CX253" s="618">
        <f>(CX240+CX241+CX242-CX246-CX247-CX248-CX249)-CX252</f>
        <v>0</v>
      </c>
      <c r="CY253" s="617"/>
      <c r="CZ253" s="618">
        <f>(CZ240+CZ241+CZ242-CZ246-CZ247-CZ248-CZ249)-CZ252</f>
        <v>0</v>
      </c>
      <c r="DA253" s="617"/>
      <c r="DB253" s="618">
        <f>(DB240+DB241+DB242-DB246-DB247-DB248-DB249)-DB252</f>
        <v>0</v>
      </c>
      <c r="DC253" s="617"/>
      <c r="DD253" s="618">
        <f>(DD240+DD241+DD242-DD246-DD247-DD248-DD249)-DD252</f>
        <v>0</v>
      </c>
      <c r="DE253" s="617"/>
      <c r="DF253" s="618">
        <f>(DF240+DF241+DF242-DF246-DF247-DF248-DF249)-DF252</f>
        <v>0</v>
      </c>
      <c r="DG253" s="617"/>
      <c r="DH253" s="618">
        <f>(DH240+DH241+DH242-DH246-DH247-DH248-DH249)-DH252</f>
        <v>0</v>
      </c>
      <c r="DI253" s="617"/>
      <c r="DJ253" s="618">
        <f>(DJ240+DJ241+DJ242-DJ246-DJ247-DJ248-DJ249)-DJ252</f>
        <v>0</v>
      </c>
      <c r="DK253" s="617"/>
      <c r="DL253" s="618">
        <f>(DL240+DL241+DL242-DL246-DL247-DL248-DL249)-DL252</f>
        <v>0</v>
      </c>
      <c r="DM253" s="617"/>
      <c r="DN253" s="618">
        <f>(DN240+DN241+DN242-DN246-DN247-DN248-DN249)-DN252</f>
        <v>0</v>
      </c>
      <c r="DO253" s="617"/>
      <c r="DP253" s="618">
        <f>(DP240+DP241+DP242-DP246-DP247-DP248-DP249)-DP252</f>
        <v>0</v>
      </c>
      <c r="DQ253" s="617"/>
      <c r="DR253" s="618">
        <f t="shared" ref="DR253" si="180">(DR240+DR241+DR242-DR246-DR247-DR248-DR249)-DR252</f>
        <v>0</v>
      </c>
      <c r="DS253" s="617"/>
      <c r="DT253" s="618">
        <f t="shared" ref="DT253" si="181">(DT240+DT241+DT242-DT246-DT247-DT248-DT249)-DT252</f>
        <v>0</v>
      </c>
      <c r="DU253" s="617"/>
      <c r="DV253" s="618">
        <f t="shared" ref="DV253" si="182">(DV240+DV241+DV242-DV246-DV247-DV248-DV249)-DV252</f>
        <v>0</v>
      </c>
      <c r="DW253" s="617"/>
      <c r="DX253" s="618">
        <f t="shared" ref="DX253" si="183">(DX240+DX241+DX242-DX246-DX247-DX248-DX249)-DX252</f>
        <v>0</v>
      </c>
      <c r="DY253" s="617"/>
      <c r="DZ253" s="618">
        <f t="shared" ref="DZ253" si="184">(DZ240+DZ241+DZ242-DZ246-DZ247-DZ248-DZ249)-DZ252</f>
        <v>0</v>
      </c>
      <c r="EA253" s="617"/>
      <c r="EB253" s="618">
        <f t="shared" ref="EB253" si="185">(EB240+EB241+EB242-EB246-EB247-EB248-EB249)-EB252</f>
        <v>0</v>
      </c>
      <c r="EC253" s="617"/>
      <c r="ED253" s="618">
        <f t="shared" ref="ED253" si="186">(ED240+ED241+ED242-ED246-ED247-ED248-ED249)-ED252</f>
        <v>0</v>
      </c>
      <c r="EE253" s="617"/>
      <c r="EF253" s="618">
        <f t="shared" ref="EF253" si="187">(EF240+EF241+EF242-EF246-EF247-EF248-EF249)-EF252</f>
        <v>0</v>
      </c>
      <c r="EG253" s="617"/>
      <c r="EH253" s="617"/>
      <c r="EI253" s="615"/>
      <c r="EJ253" s="616"/>
      <c r="EK253" s="615"/>
      <c r="EL253" s="616"/>
      <c r="EM253" s="615"/>
      <c r="EN253" s="616"/>
      <c r="EO253" s="615"/>
      <c r="EP253" s="616"/>
      <c r="EQ253" s="615"/>
      <c r="ER253" s="617"/>
      <c r="ES253" s="615"/>
      <c r="ET253" s="617"/>
      <c r="EU253" s="615"/>
      <c r="EV253" s="617"/>
      <c r="EW253" s="615"/>
      <c r="EX253" s="617"/>
      <c r="EY253" s="615"/>
      <c r="EZ253" s="617"/>
      <c r="FA253" s="618">
        <f>(FA240+FA241+FA242-FA246-FA247-FA248-FA249)-FA252</f>
        <v>0</v>
      </c>
      <c r="FB253" s="617"/>
      <c r="FC253" s="618">
        <f>(FC240+FC241+FC242-FC246-FC247-FC248-FC249)-FC252</f>
        <v>0</v>
      </c>
      <c r="FD253" s="617"/>
      <c r="FE253" s="618">
        <f>(FE240+FE241+FE242-FE246-FE247-FE248-FE249)-FE252</f>
        <v>0</v>
      </c>
      <c r="FF253" s="617"/>
      <c r="FG253" s="618">
        <f>(FG240+FG241+FG242-FG246-FG247-FG248-FG249)-FG252</f>
        <v>0</v>
      </c>
      <c r="FH253" s="617"/>
      <c r="FI253" s="618">
        <f>(FI240+FI241+FI242-FI246-FI247-FI248-FI249)-FI252</f>
        <v>0</v>
      </c>
      <c r="FJ253" s="617"/>
      <c r="FK253" s="618">
        <f>(FK240+FK241+FK242-FK246-FK247-FK248-FK249)-FK252</f>
        <v>0</v>
      </c>
      <c r="FL253" s="617"/>
      <c r="FM253" s="618">
        <f>(FM240+FM241+FM242-FM246-FM247-FM248-FM249)-FM252</f>
        <v>0</v>
      </c>
      <c r="FN253" s="617"/>
      <c r="FO253" s="618">
        <f>(FO240+FO241+FO242-FO246-FO247-FO248-FO249)-FO252</f>
        <v>1.8474111129762605E-13</v>
      </c>
      <c r="FP253" s="617"/>
      <c r="FQ253" s="618">
        <f>(FQ240+FQ241+FQ242-FQ246-FQ247-FQ248-FQ249)-FQ252</f>
        <v>0</v>
      </c>
      <c r="FR253" s="617"/>
      <c r="FS253" s="618">
        <f>(FS240+FS241+FS242-FS246-FS247-FS248-FS249)-FS252</f>
        <v>-1.1368683772161603E-13</v>
      </c>
      <c r="FT253" s="617"/>
      <c r="FU253" s="618">
        <f>(FU240+FU241+FU242-FU246-FU247-FU248-FU249)-FU252</f>
        <v>0</v>
      </c>
      <c r="FV253" s="617"/>
      <c r="FW253" s="618">
        <f>(FW240+FW241+FW242-FW246-FW247-FW248-FW249)-FW252</f>
        <v>0</v>
      </c>
      <c r="FX253" s="617"/>
      <c r="FY253" s="618">
        <f>(FY240+FY241+FY242-FY246-FY247-FY248-FY249)-FY252</f>
        <v>0</v>
      </c>
      <c r="FZ253" s="617"/>
      <c r="GA253" s="616"/>
    </row>
    <row r="254" spans="1:183" ht="12.75" hidden="1" customHeight="1" outlineLevel="1" collapsed="1" x14ac:dyDescent="0.2">
      <c r="A254" s="650"/>
      <c r="B254" s="119"/>
      <c r="C254" s="613"/>
      <c r="D254" s="119"/>
      <c r="E254" s="613"/>
      <c r="F254" s="119"/>
      <c r="G254" s="613"/>
      <c r="H254" s="119"/>
      <c r="I254" s="613"/>
      <c r="J254" s="119"/>
      <c r="K254" s="613"/>
      <c r="L254" s="119"/>
      <c r="M254" s="613"/>
      <c r="N254" s="119"/>
      <c r="O254" s="613"/>
      <c r="P254" s="119"/>
      <c r="Q254" s="613"/>
      <c r="R254" s="119"/>
      <c r="S254" s="613"/>
      <c r="T254" s="119"/>
      <c r="U254" s="613"/>
      <c r="V254" s="119"/>
      <c r="W254" s="613"/>
      <c r="X254" s="119"/>
      <c r="Y254" s="613"/>
      <c r="Z254" s="119"/>
      <c r="AA254" s="613"/>
      <c r="AB254" s="119"/>
      <c r="AC254" s="613"/>
      <c r="AD254" s="119"/>
      <c r="AE254" s="613"/>
      <c r="AF254" s="119"/>
      <c r="AG254" s="613"/>
      <c r="AH254" s="119"/>
      <c r="AI254" s="613"/>
      <c r="AJ254" s="119"/>
      <c r="AK254" s="613"/>
      <c r="AL254" s="119"/>
      <c r="AM254" s="613"/>
      <c r="AN254" s="119"/>
      <c r="AO254" s="18"/>
      <c r="AP254" s="119"/>
      <c r="AQ254" s="18"/>
      <c r="AR254" s="119"/>
      <c r="AS254" s="18"/>
      <c r="AT254" s="119"/>
      <c r="AU254" s="18"/>
      <c r="AV254" s="119"/>
      <c r="AW254" s="18"/>
      <c r="AX254" s="119"/>
      <c r="AY254" s="18"/>
      <c r="AZ254" s="119"/>
      <c r="BA254" s="18"/>
      <c r="BB254" s="119"/>
      <c r="BC254" s="18"/>
      <c r="BD254" s="119"/>
      <c r="BE254" s="18"/>
      <c r="BF254" s="119"/>
      <c r="BG254" s="18"/>
      <c r="BH254" s="119"/>
      <c r="BI254" s="18"/>
      <c r="BJ254" s="119"/>
      <c r="BK254" s="18"/>
      <c r="BL254" s="119"/>
      <c r="BM254" s="18"/>
      <c r="BN254" s="119"/>
      <c r="BO254" s="18"/>
      <c r="BP254" s="119"/>
      <c r="BQ254" s="18"/>
      <c r="BR254" s="119"/>
      <c r="BS254" s="18"/>
      <c r="BT254" s="119"/>
      <c r="BU254" s="18"/>
      <c r="BV254" s="119"/>
      <c r="BW254" s="18"/>
      <c r="BX254" s="119"/>
      <c r="BY254" s="18"/>
      <c r="BZ254" s="119"/>
      <c r="CA254" s="18"/>
      <c r="CB254" s="119"/>
      <c r="CC254" s="18"/>
      <c r="CD254" s="119"/>
      <c r="CE254" s="18"/>
      <c r="CF254" s="119"/>
      <c r="CG254" s="18"/>
      <c r="CH254" s="119"/>
      <c r="CI254" s="18"/>
      <c r="CJ254" s="119"/>
      <c r="CK254" s="18"/>
      <c r="CL254" s="119"/>
      <c r="CM254" s="18"/>
      <c r="CN254" s="119"/>
      <c r="CO254" s="18"/>
      <c r="CP254" s="119"/>
      <c r="CQ254" s="18"/>
      <c r="CR254" s="119"/>
      <c r="CS254" s="18"/>
      <c r="CT254" s="119"/>
      <c r="CU254" s="18"/>
      <c r="CV254" s="119"/>
      <c r="CW254" s="18"/>
      <c r="CX254" s="119"/>
      <c r="CY254" s="18"/>
      <c r="CZ254" s="119"/>
      <c r="DA254" s="18"/>
      <c r="DB254" s="119"/>
      <c r="DC254" s="18"/>
      <c r="DD254" s="119"/>
      <c r="DE254" s="18"/>
      <c r="DF254" s="119"/>
      <c r="DG254" s="18"/>
      <c r="DH254" s="119"/>
      <c r="DI254" s="18"/>
      <c r="DJ254" s="119"/>
      <c r="DK254" s="18"/>
      <c r="DL254" s="119"/>
      <c r="DM254" s="18"/>
      <c r="DN254" s="119"/>
      <c r="DO254" s="18"/>
      <c r="DP254" s="119"/>
      <c r="DQ254" s="18"/>
      <c r="DR254" s="119"/>
      <c r="DS254" s="18"/>
      <c r="DT254" s="119"/>
      <c r="DU254" s="18"/>
      <c r="DV254" s="119"/>
      <c r="DW254" s="18"/>
      <c r="DX254" s="119"/>
      <c r="DY254" s="18"/>
      <c r="DZ254" s="119"/>
      <c r="EA254" s="18"/>
      <c r="EB254" s="119"/>
      <c r="EC254" s="18"/>
      <c r="ED254" s="119"/>
      <c r="EE254" s="18"/>
      <c r="EF254" s="119"/>
      <c r="EG254" s="18"/>
      <c r="EH254" s="649"/>
      <c r="EI254" s="119"/>
      <c r="EJ254" s="613"/>
      <c r="EK254" s="119"/>
      <c r="EL254" s="613"/>
      <c r="EM254" s="119"/>
      <c r="EN254" s="613"/>
      <c r="EO254" s="119"/>
      <c r="EP254" s="613"/>
      <c r="EQ254" s="119"/>
      <c r="ER254" s="18"/>
      <c r="ES254" s="119"/>
      <c r="ET254" s="18"/>
      <c r="EU254" s="119"/>
      <c r="EV254" s="18"/>
      <c r="EW254" s="119"/>
      <c r="EX254" s="18"/>
      <c r="EY254" s="119"/>
      <c r="EZ254" s="18"/>
      <c r="FA254" s="119"/>
      <c r="FB254" s="18"/>
      <c r="FC254" s="119"/>
      <c r="FD254" s="18"/>
      <c r="FE254" s="119"/>
      <c r="FF254" s="18"/>
      <c r="FG254" s="119"/>
      <c r="FH254" s="18"/>
      <c r="FI254" s="119"/>
      <c r="FJ254" s="18"/>
      <c r="FK254" s="119"/>
      <c r="FL254" s="18"/>
      <c r="FM254" s="119"/>
      <c r="FN254" s="18"/>
      <c r="FO254" s="119"/>
      <c r="FP254" s="18"/>
      <c r="FQ254" s="119"/>
      <c r="FR254" s="18"/>
      <c r="FS254" s="119"/>
      <c r="FT254" s="18"/>
      <c r="FU254" s="119"/>
      <c r="FV254" s="18"/>
      <c r="FW254" s="119"/>
      <c r="FX254" s="18"/>
      <c r="FY254" s="119"/>
      <c r="FZ254" s="18"/>
      <c r="GA254" s="613"/>
    </row>
    <row r="255" spans="1:183" ht="12.75" hidden="1" customHeight="1" outlineLevel="1" x14ac:dyDescent="0.2">
      <c r="A255" s="610" t="s">
        <v>260</v>
      </c>
      <c r="B255" s="119"/>
      <c r="C255" s="613"/>
      <c r="D255" s="119"/>
      <c r="E255" s="5"/>
      <c r="F255" s="119"/>
      <c r="G255" s="5"/>
      <c r="H255" s="119"/>
      <c r="I255" s="5"/>
      <c r="J255" s="119">
        <f>INPUT!U450</f>
        <v>-7.4572930354796192</v>
      </c>
      <c r="K255" s="5" t="str">
        <f>INPUT!V450</f>
        <v>NA</v>
      </c>
      <c r="L255" s="119">
        <f>INPUT!W450</f>
        <v>18.059792556436861</v>
      </c>
      <c r="M255" s="5" t="str">
        <f>INPUT!X450</f>
        <v>NA</v>
      </c>
      <c r="N255" s="119">
        <f>INPUT!Y450</f>
        <v>15.907780979827061</v>
      </c>
      <c r="O255" s="5" t="str">
        <f>INPUT!Z450</f>
        <v>NA</v>
      </c>
      <c r="P255" s="119">
        <f>INPUT!AA450</f>
        <v>-10.903532608695652</v>
      </c>
      <c r="Q255" s="5" t="str">
        <f>INPUT!AB450</f>
        <v>NA</v>
      </c>
      <c r="R255" s="119">
        <f>INPUT!AC450</f>
        <v>-4.3746071653048375</v>
      </c>
      <c r="S255" s="5">
        <f>INPUT!AD450</f>
        <v>-41.337866911066314</v>
      </c>
      <c r="T255" s="119">
        <f>INPUT!AE450</f>
        <v>15.961732124874109</v>
      </c>
      <c r="U255" s="5">
        <f>INPUT!AF450</f>
        <v>-11.617300835578881</v>
      </c>
      <c r="V255" s="119">
        <f>INPUT!AG450</f>
        <v>19.850987339134043</v>
      </c>
      <c r="W255" s="5">
        <f>INPUT!AH450</f>
        <v>24.78790954129575</v>
      </c>
      <c r="X255" s="119">
        <f>INPUT!AI450</f>
        <v>40.130617856835897</v>
      </c>
      <c r="Y255" s="5" t="str">
        <f>INPUT!AJ450</f>
        <v>NM</v>
      </c>
      <c r="Z255" s="119">
        <f>INPUT!AK450</f>
        <v>25.595238095238049</v>
      </c>
      <c r="AA255" s="5" t="str">
        <f>INPUT!AL450</f>
        <v>NM</v>
      </c>
      <c r="AB255" s="119">
        <f>INPUT!AM450</f>
        <v>20.619071392910655</v>
      </c>
      <c r="AC255" s="5">
        <f>INPUT!AN450</f>
        <v>29.178157054639065</v>
      </c>
      <c r="AD255" s="119">
        <f>INPUT!AO450</f>
        <v>21.100478468899539</v>
      </c>
      <c r="AE255" s="5">
        <f>INPUT!AP450</f>
        <v>6.2943525599971517</v>
      </c>
      <c r="AF255" s="119">
        <f>INPUT!AQ450</f>
        <v>26.321409503470349</v>
      </c>
      <c r="AG255" s="5">
        <f>INPUT!AR450</f>
        <v>-34.410654734071755</v>
      </c>
      <c r="AH255" s="119">
        <f>INPUT!AS450</f>
        <v>26.970748636589015</v>
      </c>
      <c r="AI255" s="5">
        <f>INPUT!AT450</f>
        <v>5.3740876964409878</v>
      </c>
      <c r="AJ255" s="119">
        <f>INPUT!AU450</f>
        <v>25.91224018475755</v>
      </c>
      <c r="AK255" s="5">
        <f>INPUT!AV450</f>
        <v>25.671227820991092</v>
      </c>
      <c r="AL255" s="119">
        <f>INPUT!AW450</f>
        <v>26.789366053169722</v>
      </c>
      <c r="AM255" s="5">
        <f>INPUT!AX450</f>
        <v>26.960941159012862</v>
      </c>
      <c r="AN255" s="119">
        <f>INPUT!AY450</f>
        <v>26.71698113207545</v>
      </c>
      <c r="AO255" s="18">
        <f>INPUT!AZ450</f>
        <v>1.5028512380879322</v>
      </c>
      <c r="AP255" s="119">
        <f>INPUT!BA450</f>
        <v>27.46585735963582</v>
      </c>
      <c r="AQ255" s="18">
        <f>INPUT!BB450</f>
        <v>1.8357248058555209</v>
      </c>
      <c r="AR255" s="119">
        <f>INPUT!BC450</f>
        <v>26.896551724137939</v>
      </c>
      <c r="AS255" s="18">
        <f>INPUT!BD450</f>
        <v>3.7986354416373214</v>
      </c>
      <c r="AT255" s="119">
        <f>INPUT!BE450</f>
        <v>30.030769230769256</v>
      </c>
      <c r="AU255" s="18">
        <f>INPUT!BF450</f>
        <v>12.099588960657815</v>
      </c>
      <c r="AV255" s="119">
        <f>INPUT!BG450</f>
        <v>26.303780964797909</v>
      </c>
      <c r="AW255" s="18">
        <f>INPUT!BH450</f>
        <v>-1.5465825470133976</v>
      </c>
      <c r="AX255" s="119">
        <f>INPUT!BI450</f>
        <v>26.91570881226054</v>
      </c>
      <c r="AY255" s="18">
        <f>INPUT!BJ450</f>
        <v>-2.0030270316039211</v>
      </c>
      <c r="AZ255" s="119">
        <f>INPUT!BK450</f>
        <v>25.403344089175722</v>
      </c>
      <c r="BA255" s="18">
        <f>INPUT!BL450</f>
        <v>-5.5516694120390175</v>
      </c>
      <c r="BB255" s="119">
        <f>INPUT!BM450</f>
        <v>25.214987714987725</v>
      </c>
      <c r="BC255" s="18">
        <f>INPUT!BN450</f>
        <v>-16.036157711362662</v>
      </c>
      <c r="BD255" s="119">
        <f>INPUT!BO450</f>
        <v>17.601547388781427</v>
      </c>
      <c r="BE255" s="18">
        <f>INPUT!BP450</f>
        <v>-33.083584400518674</v>
      </c>
      <c r="BF255" s="119">
        <f>INPUT!BQ450</f>
        <v>19.765228426395947</v>
      </c>
      <c r="BG255" s="18">
        <f>INPUT!BR450</f>
        <v>-26.566197590187311</v>
      </c>
      <c r="BH255" s="119">
        <f>INPUT!BS450</f>
        <v>20.778017906761338</v>
      </c>
      <c r="BI255" s="18">
        <f>INPUT!BT450</f>
        <v>-18.207548447864465</v>
      </c>
      <c r="BJ255" s="119">
        <f>INPUT!BU450</f>
        <v>18.360963403190496</v>
      </c>
      <c r="BK255" s="18">
        <f>INPUT!BV450</f>
        <v>-27.182342459454045</v>
      </c>
      <c r="BL255" s="119">
        <f>INPUT!BW450</f>
        <v>19.049098819142333</v>
      </c>
      <c r="BM255" s="18">
        <f>INPUT!BX450</f>
        <v>8.2240009834789962</v>
      </c>
      <c r="BN255" s="119">
        <f>INPUT!BY450</f>
        <v>17.818288738606299</v>
      </c>
      <c r="BO255" s="18">
        <f>INPUT!BZ450</f>
        <v>-9.8503272807591742</v>
      </c>
      <c r="BP255" s="119">
        <f>INPUT!CA450</f>
        <v>15.366705471478459</v>
      </c>
      <c r="BQ255" s="18">
        <f>INPUT!CB450</f>
        <v>-26.043448704132622</v>
      </c>
      <c r="BR255" s="119">
        <f>INPUT!CC450</f>
        <v>14.46731234866828</v>
      </c>
      <c r="BS255" s="18">
        <f>INPUT!CD450</f>
        <v>-21.206137003931048</v>
      </c>
      <c r="BT255" s="119">
        <f>INPUT!CE450</f>
        <v>15.2423469387755</v>
      </c>
      <c r="BU255" s="18">
        <f>INPUT!CF450</f>
        <v>-19.983894863002394</v>
      </c>
      <c r="BV255" s="119">
        <f>INPUT!CG450</f>
        <v>15.271705184259845</v>
      </c>
      <c r="BW255" s="18">
        <f>INPUT!CH450</f>
        <v>-14.291964799228197</v>
      </c>
      <c r="BX255" s="119">
        <f>INPUT!CI450</f>
        <v>15.949147645189251</v>
      </c>
      <c r="BY255" s="18">
        <f>INPUT!CJ450</f>
        <v>3.7902865698300703</v>
      </c>
      <c r="BZ255" s="119">
        <f>INPUT!CK450</f>
        <v>10.823456019962565</v>
      </c>
      <c r="CA255" s="18">
        <f>INPUT!CL450</f>
        <v>-25.186822824359169</v>
      </c>
      <c r="CB255" s="119">
        <f>INPUT!CM450</f>
        <v>-8.4143968871595298</v>
      </c>
      <c r="CC255" s="18" t="str">
        <f>INPUT!CN450</f>
        <v>NM</v>
      </c>
      <c r="CD255" s="119">
        <f>INPUT!CO450</f>
        <v>12.548512289780076</v>
      </c>
      <c r="CE255" s="18">
        <f>INPUT!CP450</f>
        <v>-17.831623002299011</v>
      </c>
      <c r="CF255" s="119">
        <f>INPUT!CQ450</f>
        <v>9.6742986133505244</v>
      </c>
      <c r="CG255" s="18">
        <f>INPUT!CR450</f>
        <v>-39.342848730423604</v>
      </c>
      <c r="CH255" s="119">
        <f>INPUT!CS450</f>
        <v>8.850981654328935</v>
      </c>
      <c r="CI255" s="18">
        <f>INPUT!CT450</f>
        <v>-18.224071516488248</v>
      </c>
      <c r="CJ255" s="119">
        <f>INPUT!CU450</f>
        <v>11.30125928317727</v>
      </c>
      <c r="CK255" s="18" t="str">
        <f>INPUT!CV450</f>
        <v>NM</v>
      </c>
      <c r="CL255" s="119">
        <f>INPUT!CW450</f>
        <v>10.032051282051283</v>
      </c>
      <c r="CM255" s="18">
        <f>INPUT!CX450</f>
        <v>-20.053859370869663</v>
      </c>
      <c r="CN255" s="119">
        <f>INPUT!CY450</f>
        <v>10.638297872340429</v>
      </c>
      <c r="CO255" s="18">
        <f>INPUT!CZ450</f>
        <v>9.9645390070923092</v>
      </c>
      <c r="CP255" s="119">
        <f>INPUT!DA450</f>
        <v>9.8925410872313542</v>
      </c>
      <c r="CQ255" s="18">
        <f>INPUT!DB450</f>
        <v>11.767727847373877</v>
      </c>
      <c r="CR255" s="119">
        <f>INPUT!DC450</f>
        <v>11.856010568031708</v>
      </c>
      <c r="CS255" s="18">
        <f>INPUT!DD450</f>
        <v>4.9087563691262659</v>
      </c>
      <c r="CT255" s="119">
        <f>INPUT!DE450</f>
        <v>11.234225915666359</v>
      </c>
      <c r="CU255" s="18">
        <f>INPUT!DF450</f>
        <v>11.983338200891502</v>
      </c>
      <c r="CV255" s="119">
        <f>INPUT!DG450</f>
        <v>12.173378419920072</v>
      </c>
      <c r="CW255" s="18">
        <f>INPUT!DH450</f>
        <v>14.429757147248633</v>
      </c>
      <c r="CX255" s="119">
        <f>INPUT!DI450</f>
        <v>10.561160151324083</v>
      </c>
      <c r="CY255" s="18">
        <f>INPUT!DJ450</f>
        <v>6.7588201878255427</v>
      </c>
      <c r="CZ255" s="119">
        <f>INPUT!DK450</f>
        <v>-10.244033252882815</v>
      </c>
      <c r="DA255" s="18" t="str">
        <f>INPUT!DL450</f>
        <v>NM</v>
      </c>
      <c r="DB255" s="119">
        <f>INPUT!DM450</f>
        <v>10.241910147659437</v>
      </c>
      <c r="DC255" s="18">
        <f>INPUT!DN450</f>
        <v>-8.8329696719301012</v>
      </c>
      <c r="DD255" s="119">
        <f>INPUT!DO450</f>
        <v>12.006269592476485</v>
      </c>
      <c r="DE255" s="18">
        <f>INPUT!DP450</f>
        <v>-1.3727399385706773</v>
      </c>
      <c r="DF255" s="119">
        <f>INPUT!DQ450</f>
        <v>10.046082949308754</v>
      </c>
      <c r="DG255" s="18">
        <f>INPUT!DR450</f>
        <v>-4.8770892083361828</v>
      </c>
      <c r="DH255" s="119">
        <f>INPUT!DS450</f>
        <v>11.587848418415287</v>
      </c>
      <c r="DI255" s="18" t="str">
        <f>INPUT!DT450</f>
        <v>NM</v>
      </c>
      <c r="DJ255" s="119">
        <f>INPUT!DU450</f>
        <v>10.348013550970139</v>
      </c>
      <c r="DK255" s="18">
        <f>INPUT!DV450</f>
        <v>1.0359727998096924</v>
      </c>
      <c r="DL255" s="119">
        <f>INPUT!DW450</f>
        <v>11.018214392355931</v>
      </c>
      <c r="DM255" s="18">
        <f>INPUT!DX450</f>
        <v>-8.2294937033539632</v>
      </c>
      <c r="DN255" s="119">
        <f>INPUT!DY450</f>
        <v>8.7823108066023039</v>
      </c>
      <c r="DO255" s="18">
        <f>INPUT!DZ450</f>
        <v>-12.579750227857788</v>
      </c>
      <c r="DP255" s="119">
        <f>INPUT!EA450</f>
        <v>8.7222870478413128</v>
      </c>
      <c r="DQ255" s="18">
        <f>INPUT!EB450</f>
        <v>-24.729020152007287</v>
      </c>
      <c r="DR255" s="119">
        <f>INPUT!EC450</f>
        <v>7.8258311268020044</v>
      </c>
      <c r="DS255" s="18">
        <f>INPUT!ED450</f>
        <v>-24.373590271648581</v>
      </c>
      <c r="DT255" s="119">
        <f>INPUT!EE450</f>
        <v>8.175388967468173</v>
      </c>
      <c r="DU255" s="18">
        <f>INPUT!EF450</f>
        <v>-25.801144574387802</v>
      </c>
      <c r="DV255" s="119">
        <f>INPUT!EG450</f>
        <v>7.2671156004489283</v>
      </c>
      <c r="DW255" s="18">
        <f>INPUT!EH450</f>
        <v>-17.252807826093928</v>
      </c>
      <c r="DX255" s="119">
        <f>INPUT!EI450</f>
        <v>7.9646017699115124</v>
      </c>
      <c r="DY255" s="18">
        <f>INPUT!EJ450</f>
        <v>-8.6867730192085375</v>
      </c>
      <c r="DZ255" s="119">
        <f>INPUT!EK450</f>
        <v>8.6199069751823529</v>
      </c>
      <c r="EA255" s="18">
        <f>INPUT!EL450</f>
        <v>10.146856423476702</v>
      </c>
      <c r="EB255" s="119">
        <f>INPUT!EM450</f>
        <v>8.608399408773975</v>
      </c>
      <c r="EC255" s="18">
        <f>INPUT!EN450</f>
        <v>5.2965117993633681</v>
      </c>
      <c r="ED255" s="119">
        <f>INPUT!EO450</f>
        <v>8.4658367514500892</v>
      </c>
      <c r="EE255" s="18">
        <f>INPUT!EP450</f>
        <v>16.495143560494753</v>
      </c>
      <c r="EF255" s="119">
        <f>INPUT!EQ450</f>
        <v>8.2008922985694674</v>
      </c>
      <c r="EG255" s="18">
        <f>INPUT!ER450</f>
        <v>2.9667588598165429</v>
      </c>
      <c r="EH255" s="18"/>
      <c r="EI255" s="119">
        <f>INPUT!FB450</f>
        <v>0</v>
      </c>
      <c r="EJ255" s="5" t="str">
        <f>INPUT!FC450</f>
        <v>NA</v>
      </c>
      <c r="EK255" s="119">
        <f>INPUT!FD450</f>
        <v>6.5733472051451765</v>
      </c>
      <c r="EL255" s="5" t="str">
        <f>INPUT!FE450</f>
        <v>NA</v>
      </c>
      <c r="EM255" s="119">
        <f>INPUT!FF450</f>
        <v>-164.948453608249</v>
      </c>
      <c r="EN255" s="5" t="str">
        <f>INPUT!FG450</f>
        <v>NM</v>
      </c>
      <c r="EO255" s="119">
        <f>INPUT!FH450</f>
        <v>-112.07407407407391</v>
      </c>
      <c r="EP255" s="5">
        <f>INPUT!FI450</f>
        <v>-32.055092592593347</v>
      </c>
      <c r="EQ255" s="119">
        <f>INPUT!FJ450</f>
        <v>23.291528026618877</v>
      </c>
      <c r="ER255" s="18" t="str">
        <f>INPUT!FK450</f>
        <v>NM</v>
      </c>
      <c r="ES255" s="119">
        <f>INPUT!FL450</f>
        <v>26.603427832273351</v>
      </c>
      <c r="ET255" s="18">
        <f>INPUT!FM450</f>
        <v>14.21933246229894</v>
      </c>
      <c r="EU255" s="119">
        <f>INPUT!FN450</f>
        <v>27.739345802374238</v>
      </c>
      <c r="EV255" s="18">
        <f>INPUT!FO450</f>
        <v>4.2698180748079073</v>
      </c>
      <c r="EW255" s="119">
        <f>INPUT!FP450</f>
        <v>23.846809830219385</v>
      </c>
      <c r="EX255" s="18">
        <f>INPUT!FQ450</f>
        <v>-14.032544241983125</v>
      </c>
      <c r="EY255" s="119">
        <f>INPUT!FR450</f>
        <v>19.153302424564878</v>
      </c>
      <c r="EZ255" s="18">
        <f>INPUT!FS450</f>
        <v>-19.681908980993988</v>
      </c>
      <c r="FA255" s="119">
        <f>INPUT!FT450</f>
        <v>15.741507870753946</v>
      </c>
      <c r="FB255" s="18">
        <f>INPUT!FU450</f>
        <v>-17.813087676385088</v>
      </c>
      <c r="FC255" s="119">
        <f>INPUT!FV450</f>
        <v>51.526614428532866</v>
      </c>
      <c r="FD255" s="18" t="str">
        <f>INPUT!FW450</f>
        <v>NM</v>
      </c>
      <c r="FE255" s="119">
        <f>INPUT!FX450</f>
        <v>10.455486542443062</v>
      </c>
      <c r="FF255" s="18" t="str">
        <f>INPUT!FY450</f>
        <v>NM</v>
      </c>
      <c r="FG255" s="119">
        <f>INPUT!FZ450</f>
        <v>10.593050316989007</v>
      </c>
      <c r="FH255" s="18">
        <f>INPUT!GA450</f>
        <v>1.3157089723899285</v>
      </c>
      <c r="FI255" s="119">
        <f>INPUT!GB450</f>
        <v>24.861227922624046</v>
      </c>
      <c r="FJ255" s="18" t="str">
        <f>INPUT!GC450</f>
        <v>NM</v>
      </c>
      <c r="FK255" s="119">
        <f>INPUT!GD450</f>
        <v>10.966383277435453</v>
      </c>
      <c r="FL255" s="18" t="str">
        <f>INPUT!GE450</f>
        <v>NM</v>
      </c>
      <c r="FM255" s="119">
        <f>INPUT!GF450</f>
        <v>9.7166603702304428</v>
      </c>
      <c r="FN255" s="18">
        <f>INPUT!GG450</f>
        <v>-11.395944091945543</v>
      </c>
      <c r="FO255" s="119">
        <f>INPUT!GH450</f>
        <v>7.8090953820200983</v>
      </c>
      <c r="FP255" s="18">
        <f>INPUT!GI450</f>
        <v>-19.631899392662465</v>
      </c>
      <c r="FQ255" s="119">
        <f>INPUT!GJ450</f>
        <v>8.4727957044018822</v>
      </c>
      <c r="FR255" s="18">
        <f>INPUT!GK450</f>
        <v>8.4990679446675479</v>
      </c>
      <c r="FS255" s="119">
        <f>INPUT!GL450</f>
        <v>8.6515121432360669</v>
      </c>
      <c r="FT255" s="18">
        <f>INPUT!GM450</f>
        <v>2.1092971560890517</v>
      </c>
      <c r="FU255" s="119">
        <f>INPUT!GN450</f>
        <v>8.7988541871882742</v>
      </c>
      <c r="FV255" s="18">
        <f>INPUT!GO450</f>
        <v>1.7030785082744471</v>
      </c>
      <c r="FW255" s="119">
        <f>INPUT!GP450</f>
        <v>8.9243533450532411</v>
      </c>
      <c r="FX255" s="18">
        <f>INPUT!GQ450</f>
        <v>1.4263125083684436</v>
      </c>
      <c r="FY255" s="119">
        <f>INPUT!GR450</f>
        <v>9.0516460141988286</v>
      </c>
      <c r="FZ255" s="18">
        <f>INPUT!GS450</f>
        <v>1.4263517391559288</v>
      </c>
      <c r="GA255" s="5">
        <f>INPUT!GT450</f>
        <v>2.9971877472268371</v>
      </c>
    </row>
    <row r="256" spans="1:183" ht="12.75" hidden="1" customHeight="1" outlineLevel="1" x14ac:dyDescent="0.2">
      <c r="A256" s="650"/>
      <c r="B256" s="119"/>
      <c r="C256" s="613"/>
      <c r="D256" s="119"/>
      <c r="E256" s="5"/>
      <c r="F256" s="119"/>
      <c r="G256" s="5"/>
      <c r="H256" s="119"/>
      <c r="I256" s="5"/>
      <c r="J256" s="119"/>
      <c r="K256" s="5"/>
      <c r="L256" s="119"/>
      <c r="M256" s="5"/>
      <c r="N256" s="119"/>
      <c r="O256" s="5"/>
      <c r="P256" s="119"/>
      <c r="Q256" s="5"/>
      <c r="R256" s="119"/>
      <c r="S256" s="5"/>
      <c r="T256" s="119"/>
      <c r="U256" s="5"/>
      <c r="V256" s="119"/>
      <c r="W256" s="5"/>
      <c r="X256" s="119"/>
      <c r="Y256" s="5"/>
      <c r="Z256" s="119"/>
      <c r="AA256" s="5"/>
      <c r="AB256" s="119"/>
      <c r="AC256" s="5"/>
      <c r="AD256" s="119"/>
      <c r="AE256" s="5"/>
      <c r="AF256" s="119"/>
      <c r="AG256" s="5"/>
      <c r="AH256" s="119"/>
      <c r="AI256" s="5"/>
      <c r="AJ256" s="119"/>
      <c r="AK256" s="5"/>
      <c r="AL256" s="119"/>
      <c r="AM256" s="5"/>
      <c r="AN256" s="119"/>
      <c r="AO256" s="18"/>
      <c r="AP256" s="119"/>
      <c r="AQ256" s="18"/>
      <c r="AR256" s="119"/>
      <c r="AS256" s="18"/>
      <c r="AT256" s="119"/>
      <c r="AU256" s="18"/>
      <c r="AV256" s="119"/>
      <c r="AW256" s="18"/>
      <c r="AX256" s="119"/>
      <c r="AY256" s="18"/>
      <c r="AZ256" s="119"/>
      <c r="BA256" s="18"/>
      <c r="BB256" s="119"/>
      <c r="BC256" s="18"/>
      <c r="BD256" s="119"/>
      <c r="BE256" s="18"/>
      <c r="BF256" s="119"/>
      <c r="BG256" s="18"/>
      <c r="BH256" s="119"/>
      <c r="BI256" s="18"/>
      <c r="BJ256" s="119"/>
      <c r="BK256" s="18"/>
      <c r="BL256" s="119"/>
      <c r="BM256" s="18"/>
      <c r="BN256" s="119"/>
      <c r="BO256" s="18"/>
      <c r="BP256" s="119"/>
      <c r="BQ256" s="18"/>
      <c r="BR256" s="119"/>
      <c r="BS256" s="18"/>
      <c r="BT256" s="119"/>
      <c r="BU256" s="18"/>
      <c r="BV256" s="119"/>
      <c r="BW256" s="18"/>
      <c r="BX256" s="119"/>
      <c r="BY256" s="18"/>
      <c r="BZ256" s="119"/>
      <c r="CA256" s="18"/>
      <c r="CB256" s="119"/>
      <c r="CC256" s="18"/>
      <c r="CD256" s="119"/>
      <c r="CE256" s="18"/>
      <c r="CF256" s="119"/>
      <c r="CG256" s="18"/>
      <c r="CH256" s="119"/>
      <c r="CI256" s="18"/>
      <c r="CJ256" s="119"/>
      <c r="CK256" s="18"/>
      <c r="CL256" s="119"/>
      <c r="CM256" s="18"/>
      <c r="CN256" s="119"/>
      <c r="CO256" s="18"/>
      <c r="CP256" s="119"/>
      <c r="CQ256" s="18"/>
      <c r="CR256" s="119"/>
      <c r="CS256" s="18"/>
      <c r="CT256" s="119"/>
      <c r="CU256" s="18"/>
      <c r="CV256" s="119"/>
      <c r="CW256" s="18"/>
      <c r="CX256" s="119"/>
      <c r="CY256" s="18"/>
      <c r="CZ256" s="119"/>
      <c r="DA256" s="18"/>
      <c r="DB256" s="119"/>
      <c r="DC256" s="18"/>
      <c r="DD256" s="119"/>
      <c r="DE256" s="18"/>
      <c r="DF256" s="119"/>
      <c r="DG256" s="18"/>
      <c r="DH256" s="119"/>
      <c r="DI256" s="18"/>
      <c r="DJ256" s="119"/>
      <c r="DK256" s="18"/>
      <c r="DL256" s="119"/>
      <c r="DM256" s="18"/>
      <c r="DN256" s="119"/>
      <c r="DO256" s="18"/>
      <c r="DP256" s="119"/>
      <c r="DQ256" s="18"/>
      <c r="DR256" s="119"/>
      <c r="DS256" s="18"/>
      <c r="DT256" s="119"/>
      <c r="DU256" s="18"/>
      <c r="DV256" s="119"/>
      <c r="DW256" s="18"/>
      <c r="DX256" s="119"/>
      <c r="DY256" s="18"/>
      <c r="DZ256" s="119"/>
      <c r="EA256" s="18"/>
      <c r="EB256" s="119"/>
      <c r="EC256" s="18"/>
      <c r="ED256" s="119"/>
      <c r="EE256" s="18"/>
      <c r="EF256" s="119"/>
      <c r="EG256" s="18"/>
      <c r="EH256" s="18"/>
      <c r="EI256" s="119"/>
      <c r="EJ256" s="5"/>
      <c r="EK256" s="119"/>
      <c r="EL256" s="5"/>
      <c r="EM256" s="119"/>
      <c r="EN256" s="5"/>
      <c r="EO256" s="119"/>
      <c r="EP256" s="5"/>
      <c r="EQ256" s="119"/>
      <c r="ER256" s="18"/>
      <c r="ES256" s="119"/>
      <c r="ET256" s="18"/>
      <c r="EU256" s="119"/>
      <c r="EV256" s="18"/>
      <c r="EW256" s="119"/>
      <c r="EX256" s="18"/>
      <c r="EY256" s="119"/>
      <c r="EZ256" s="18"/>
      <c r="FA256" s="119"/>
      <c r="FB256" s="18"/>
      <c r="FC256" s="119"/>
      <c r="FD256" s="18"/>
      <c r="FE256" s="119"/>
      <c r="FF256" s="18"/>
      <c r="FG256" s="119"/>
      <c r="FH256" s="18"/>
      <c r="FI256" s="119"/>
      <c r="FJ256" s="18"/>
      <c r="FK256" s="119"/>
      <c r="FL256" s="18"/>
      <c r="FM256" s="119"/>
      <c r="FN256" s="18"/>
      <c r="FO256" s="119"/>
      <c r="FP256" s="18"/>
      <c r="FQ256" s="119"/>
      <c r="FR256" s="18"/>
      <c r="FS256" s="119"/>
      <c r="FT256" s="18"/>
      <c r="FU256" s="119"/>
      <c r="FV256" s="18"/>
      <c r="FW256" s="119"/>
      <c r="FX256" s="18"/>
      <c r="FY256" s="119"/>
      <c r="FZ256" s="18"/>
      <c r="GA256" s="5"/>
    </row>
    <row r="257" spans="1:183" ht="12.75" hidden="1" customHeight="1" outlineLevel="1" x14ac:dyDescent="0.2">
      <c r="A257" s="610" t="s">
        <v>450</v>
      </c>
      <c r="B257" s="119"/>
      <c r="C257" s="613"/>
      <c r="D257" s="119"/>
      <c r="E257" s="5"/>
      <c r="F257" s="119"/>
      <c r="G257" s="5"/>
      <c r="H257" s="119"/>
      <c r="I257" s="5"/>
      <c r="J257" s="119"/>
      <c r="K257" s="5"/>
      <c r="L257" s="119"/>
      <c r="M257" s="5"/>
      <c r="N257" s="119"/>
      <c r="O257" s="5"/>
      <c r="P257" s="119"/>
      <c r="Q257" s="5"/>
      <c r="R257" s="119"/>
      <c r="S257" s="5"/>
      <c r="T257" s="119"/>
      <c r="U257" s="5"/>
      <c r="V257" s="119"/>
      <c r="W257" s="5"/>
      <c r="X257" s="119"/>
      <c r="Y257" s="5"/>
      <c r="Z257" s="119"/>
      <c r="AA257" s="5"/>
      <c r="AB257" s="119"/>
      <c r="AC257" s="5"/>
      <c r="AD257" s="119"/>
      <c r="AE257" s="5"/>
      <c r="AF257" s="119"/>
      <c r="AG257" s="5"/>
      <c r="AH257" s="119"/>
      <c r="AI257" s="5"/>
      <c r="AJ257" s="119"/>
      <c r="AK257" s="5"/>
      <c r="AL257" s="119"/>
      <c r="AM257" s="5"/>
      <c r="AN257" s="119"/>
      <c r="AO257" s="18"/>
      <c r="AP257" s="119"/>
      <c r="AQ257" s="18"/>
      <c r="AR257" s="119"/>
      <c r="AS257" s="18"/>
      <c r="AT257" s="119"/>
      <c r="AU257" s="18"/>
      <c r="AV257" s="119"/>
      <c r="AW257" s="18"/>
      <c r="AX257" s="119"/>
      <c r="AY257" s="18"/>
      <c r="AZ257" s="119"/>
      <c r="BA257" s="18"/>
      <c r="BB257" s="119"/>
      <c r="BC257" s="18"/>
      <c r="BD257" s="119"/>
      <c r="BE257" s="18"/>
      <c r="BF257" s="119"/>
      <c r="BG257" s="18"/>
      <c r="BH257" s="119"/>
      <c r="BI257" s="18"/>
      <c r="BJ257" s="119"/>
      <c r="BK257" s="18"/>
      <c r="BL257" s="119"/>
      <c r="BM257" s="18"/>
      <c r="BN257" s="119"/>
      <c r="BO257" s="18"/>
      <c r="BP257" s="119"/>
      <c r="BQ257" s="18"/>
      <c r="BR257" s="119"/>
      <c r="BS257" s="18"/>
      <c r="BT257" s="119"/>
      <c r="BU257" s="18"/>
      <c r="BV257" s="119"/>
      <c r="BW257" s="18"/>
      <c r="BX257" s="119"/>
      <c r="BY257" s="18"/>
      <c r="BZ257" s="119"/>
      <c r="CA257" s="18"/>
      <c r="CB257" s="119"/>
      <c r="CC257" s="18"/>
      <c r="CD257" s="119"/>
      <c r="CE257" s="18"/>
      <c r="CF257" s="119"/>
      <c r="CG257" s="18"/>
      <c r="CH257" s="119"/>
      <c r="CI257" s="18"/>
      <c r="CJ257" s="119"/>
      <c r="CK257" s="18"/>
      <c r="CL257" s="119"/>
      <c r="CM257" s="18"/>
      <c r="CN257" s="119"/>
      <c r="CO257" s="18"/>
      <c r="CP257" s="119"/>
      <c r="CQ257" s="18"/>
      <c r="CR257" s="119"/>
      <c r="CS257" s="18"/>
      <c r="CT257" s="119"/>
      <c r="CU257" s="18"/>
      <c r="CV257" s="119"/>
      <c r="CW257" s="18"/>
      <c r="CX257" s="119"/>
      <c r="CY257" s="18"/>
      <c r="CZ257" s="119"/>
      <c r="DA257" s="18"/>
      <c r="DB257" s="119"/>
      <c r="DC257" s="18"/>
      <c r="DD257" s="119"/>
      <c r="DE257" s="18"/>
      <c r="DF257" s="119"/>
      <c r="DG257" s="18"/>
      <c r="DH257" s="119"/>
      <c r="DI257" s="18"/>
      <c r="DJ257" s="119"/>
      <c r="DK257" s="18"/>
      <c r="DL257" s="119"/>
      <c r="DM257" s="18"/>
      <c r="DN257" s="119"/>
      <c r="DO257" s="18"/>
      <c r="DP257" s="119"/>
      <c r="DQ257" s="18"/>
      <c r="DR257" s="119"/>
      <c r="DS257" s="18"/>
      <c r="DT257" s="119"/>
      <c r="DU257" s="18"/>
      <c r="DV257" s="119"/>
      <c r="DW257" s="18"/>
      <c r="DX257" s="119"/>
      <c r="DY257" s="18"/>
      <c r="DZ257" s="119"/>
      <c r="EA257" s="18"/>
      <c r="EB257" s="119"/>
      <c r="EC257" s="18"/>
      <c r="ED257" s="119"/>
      <c r="EE257" s="18"/>
      <c r="EF257" s="119"/>
      <c r="EG257" s="18"/>
      <c r="EH257" s="18"/>
      <c r="EI257" s="119"/>
      <c r="EJ257" s="5"/>
      <c r="EK257" s="119"/>
      <c r="EL257" s="5"/>
      <c r="EM257" s="119"/>
      <c r="EN257" s="5"/>
      <c r="EO257" s="119"/>
      <c r="EP257" s="5"/>
      <c r="EQ257" s="119"/>
      <c r="ER257" s="18"/>
      <c r="ES257" s="119"/>
      <c r="ET257" s="18"/>
      <c r="EU257" s="119"/>
      <c r="EV257" s="18"/>
      <c r="EW257" s="119"/>
      <c r="EX257" s="18"/>
      <c r="EY257" s="119"/>
      <c r="EZ257" s="18"/>
      <c r="FA257" s="119"/>
      <c r="FB257" s="18"/>
      <c r="FC257" s="119"/>
      <c r="FD257" s="18"/>
      <c r="FE257" s="119"/>
      <c r="FF257" s="18"/>
      <c r="FG257" s="119"/>
      <c r="FH257" s="18"/>
      <c r="FI257" s="119"/>
      <c r="FJ257" s="18"/>
      <c r="FK257" s="119"/>
      <c r="FL257" s="18"/>
      <c r="FM257" s="119"/>
      <c r="FN257" s="18"/>
      <c r="FO257" s="119"/>
      <c r="FP257" s="18"/>
      <c r="FQ257" s="119"/>
      <c r="FR257" s="18"/>
      <c r="FS257" s="119"/>
      <c r="FT257" s="18"/>
      <c r="FU257" s="119"/>
      <c r="FV257" s="18"/>
      <c r="FW257" s="119"/>
      <c r="FX257" s="18"/>
      <c r="FY257" s="119"/>
      <c r="FZ257" s="18"/>
      <c r="GA257" s="5"/>
    </row>
    <row r="258" spans="1:183" ht="12.75" hidden="1" customHeight="1" outlineLevel="1" x14ac:dyDescent="0.2">
      <c r="A258" s="650" t="str">
        <f>INPUT!B206</f>
        <v>Pretax Earnings/Revenues (%)</v>
      </c>
      <c r="B258" s="119"/>
      <c r="C258" s="613"/>
      <c r="D258" s="119"/>
      <c r="E258" s="5"/>
      <c r="F258" s="119"/>
      <c r="G258" s="5"/>
      <c r="H258" s="119"/>
      <c r="I258" s="5"/>
      <c r="J258" s="119">
        <f>INPUT!U206</f>
        <v>17.569659442724458</v>
      </c>
      <c r="K258" s="5" t="str">
        <f>INPUT!V206</f>
        <v>NA</v>
      </c>
      <c r="L258" s="119">
        <f>INPUT!W206</f>
        <v>19.615639496355207</v>
      </c>
      <c r="M258" s="5" t="str">
        <f>INPUT!X206</f>
        <v>NA</v>
      </c>
      <c r="N258" s="119">
        <f>INPUT!Y206</f>
        <v>18.573351278600267</v>
      </c>
      <c r="O258" s="5" t="str">
        <f>INPUT!Z206</f>
        <v>NA</v>
      </c>
      <c r="P258" s="119">
        <f>INPUT!AA206</f>
        <v>19.489981785063751</v>
      </c>
      <c r="Q258" s="5" t="str">
        <f>INPUT!AB206</f>
        <v>NA</v>
      </c>
      <c r="R258" s="119">
        <f>INPUT!AC206</f>
        <v>18.86178861788617</v>
      </c>
      <c r="S258" s="5">
        <f>INPUT!AD206</f>
        <v>7.3543211203036751</v>
      </c>
      <c r="T258" s="119">
        <f>INPUT!AE206</f>
        <v>16.132315521628506</v>
      </c>
      <c r="U258" s="5">
        <f>INPUT!AF206</f>
        <v>-17.75789147926551</v>
      </c>
      <c r="V258" s="119">
        <f>INPUT!AG206</f>
        <v>18.504128217581336</v>
      </c>
      <c r="W258" s="5">
        <f>INPUT!AH206</f>
        <v>-0.37270097345699638</v>
      </c>
      <c r="X258" s="119">
        <f>INPUT!AI206</f>
        <v>21.731037691949741</v>
      </c>
      <c r="Y258" s="5">
        <f>INPUT!AJ206</f>
        <v>11.498501802620641</v>
      </c>
      <c r="Z258" s="119">
        <f>INPUT!AK206</f>
        <v>20.727432077125343</v>
      </c>
      <c r="AA258" s="5">
        <f>INPUT!AL206</f>
        <v>9.891126960621488</v>
      </c>
      <c r="AB258" s="119">
        <f>INPUT!AM206</f>
        <v>17.755803955288041</v>
      </c>
      <c r="AC258" s="5">
        <f>INPUT!AN206</f>
        <v>10.063579722842221</v>
      </c>
      <c r="AD258" s="119">
        <f>INPUT!AO206</f>
        <v>18.133223684210538</v>
      </c>
      <c r="AE258" s="5">
        <f>INPUT!AP206</f>
        <v>-2.0044420845419242</v>
      </c>
      <c r="AF258" s="119">
        <f>INPUT!AQ206</f>
        <v>20.898685883849073</v>
      </c>
      <c r="AG258" s="5">
        <f>INPUT!AR206</f>
        <v>-3.830244187598153</v>
      </c>
      <c r="AH258" s="119">
        <f>INPUT!AS206</f>
        <v>23.703703703703706</v>
      </c>
      <c r="AI258" s="5">
        <f>INPUT!AT206</f>
        <v>14.359094824211027</v>
      </c>
      <c r="AJ258" s="119">
        <f>INPUT!AU206</f>
        <v>23.326403326403337</v>
      </c>
      <c r="AK258" s="5">
        <f>INPUT!AV206</f>
        <v>31.373399847976223</v>
      </c>
      <c r="AL258" s="119">
        <f>INPUT!AW206</f>
        <v>24.670433145009415</v>
      </c>
      <c r="AM258" s="5">
        <f>INPUT!AX206</f>
        <v>36.051005461820537</v>
      </c>
      <c r="AN258" s="119">
        <f>INPUT!AY206</f>
        <v>29.007092198581553</v>
      </c>
      <c r="AO258" s="18">
        <f>INPUT!AZ206</f>
        <v>38.798641980636781</v>
      </c>
      <c r="AP258" s="119">
        <f>INPUT!BA206</f>
        <v>27.105952826656683</v>
      </c>
      <c r="AQ258" s="18">
        <f>INPUT!BB206</f>
        <v>14.353238487457865</v>
      </c>
      <c r="AR258" s="119">
        <f>INPUT!BC206</f>
        <v>25.238419618528617</v>
      </c>
      <c r="AS258" s="18">
        <f>INPUT!BD206</f>
        <v>8.1967899867402707</v>
      </c>
      <c r="AT258" s="119">
        <f>INPUT!BE206</f>
        <v>33.390352377694157</v>
      </c>
      <c r="AU258" s="18">
        <f>INPUT!BF206</f>
        <v>35.345626813401523</v>
      </c>
      <c r="AV258" s="119">
        <f>INPUT!BG206</f>
        <v>26.716808371484625</v>
      </c>
      <c r="AW258" s="18">
        <f>INPUT!BH206</f>
        <v>-7.8955995017278013</v>
      </c>
      <c r="AX258" s="119">
        <f>INPUT!BI206</f>
        <v>29.756441934345219</v>
      </c>
      <c r="AY258" s="18">
        <f>INPUT!BJ206</f>
        <v>9.7782547052984512</v>
      </c>
      <c r="AZ258" s="119">
        <f>INPUT!BK206</f>
        <v>31.561008861622348</v>
      </c>
      <c r="BA258" s="18">
        <f>INPUT!BL206</f>
        <v>25.051446717575153</v>
      </c>
      <c r="BB258" s="119">
        <f>INPUT!BM206</f>
        <v>34.082535003684598</v>
      </c>
      <c r="BC258" s="18">
        <f>INPUT!BN206</f>
        <v>2.0730018604201428</v>
      </c>
      <c r="BD258" s="119">
        <f>INPUT!BO206</f>
        <v>24.255886272767665</v>
      </c>
      <c r="BE258" s="18">
        <f>INPUT!BP206</f>
        <v>-9.2111380390164861</v>
      </c>
      <c r="BF258" s="119">
        <f>INPUT!BQ206</f>
        <v>32.703412073490817</v>
      </c>
      <c r="BG258" s="18">
        <f>INPUT!BR206</f>
        <v>9.903637490153594</v>
      </c>
      <c r="BH258" s="119">
        <f>INPUT!BS206</f>
        <v>32.309169467114742</v>
      </c>
      <c r="BI258" s="18">
        <f>INPUT!BT206</f>
        <v>2.3705218320893007</v>
      </c>
      <c r="BJ258" s="119">
        <f>INPUT!BU206</f>
        <v>30.446058091286304</v>
      </c>
      <c r="BK258" s="18">
        <f>INPUT!BV206</f>
        <v>-10.669619827296184</v>
      </c>
      <c r="BL258" s="119">
        <f>INPUT!BW206</f>
        <v>27.68744354110207</v>
      </c>
      <c r="BM258" s="18">
        <f>INPUT!BX206</f>
        <v>14.147317602602104</v>
      </c>
      <c r="BN258" s="119">
        <f>INPUT!BY206</f>
        <v>29.403202328966525</v>
      </c>
      <c r="BO258" s="18">
        <f>INPUT!BZ206</f>
        <v>-10.091331562309435</v>
      </c>
      <c r="BP258" s="119">
        <f>INPUT!CA206</f>
        <v>26.883910386965365</v>
      </c>
      <c r="BQ258" s="18">
        <f>INPUT!CB206</f>
        <v>-16.791700837966051</v>
      </c>
      <c r="BR258" s="119">
        <f>INPUT!CC206</f>
        <v>23.828514456630113</v>
      </c>
      <c r="BS258" s="18">
        <f>INPUT!CD206</f>
        <v>-21.73530515778047</v>
      </c>
      <c r="BT258" s="119">
        <f>INPUT!CE206</f>
        <v>21.8065693430657</v>
      </c>
      <c r="BU258" s="18">
        <f>INPUT!CF206</f>
        <v>-21.240221002369541</v>
      </c>
      <c r="BV258" s="119">
        <f>INPUT!CG206</f>
        <v>23.055162659123056</v>
      </c>
      <c r="BW258" s="18">
        <f>INPUT!CH206</f>
        <v>-21.589620065259719</v>
      </c>
      <c r="BX258" s="119">
        <f>INPUT!CI206</f>
        <v>24.327897752313802</v>
      </c>
      <c r="BY258" s="18">
        <f>INPUT!CJ206</f>
        <v>-9.5075924516205834</v>
      </c>
      <c r="BZ258" s="119">
        <f>INPUT!CK206</f>
        <v>15.859232175502736</v>
      </c>
      <c r="CA258" s="18">
        <f>INPUT!CL206</f>
        <v>-33.444310158873471</v>
      </c>
      <c r="CB258" s="119">
        <f>INPUT!CM206</f>
        <v>23.590909090909093</v>
      </c>
      <c r="CC258" s="18">
        <f>INPUT!CN206</f>
        <v>8.1825789273487715</v>
      </c>
      <c r="CD258" s="119">
        <f>INPUT!CO206</f>
        <v>18.716835504100331</v>
      </c>
      <c r="CE258" s="18">
        <f>INPUT!CP206</f>
        <v>-18.817161341110832</v>
      </c>
      <c r="CF258" s="119">
        <f>INPUT!CQ206</f>
        <v>13.489208633093513</v>
      </c>
      <c r="CG258" s="18">
        <f>INPUT!CR206</f>
        <v>-44.55251016578049</v>
      </c>
      <c r="CH258" s="119">
        <f>INPUT!CS206</f>
        <v>13.095238095238097</v>
      </c>
      <c r="CI258" s="18">
        <f>INPUT!CT206</f>
        <v>-17.428296967201828</v>
      </c>
      <c r="CJ258" s="119">
        <f>INPUT!CU206</f>
        <v>15.500442869796279</v>
      </c>
      <c r="CK258" s="18">
        <f>INPUT!CV206</f>
        <v>-34.294847180054312</v>
      </c>
      <c r="CL258" s="119">
        <f>INPUT!CW206</f>
        <v>17.916428162564401</v>
      </c>
      <c r="CM258" s="18">
        <f>INPUT!CX206</f>
        <v>-4.2764031417628416</v>
      </c>
      <c r="CN258" s="119">
        <f>INPUT!CY206</f>
        <v>18.316019682886825</v>
      </c>
      <c r="CO258" s="18">
        <f>INPUT!CZ206</f>
        <v>35.782759249134457</v>
      </c>
      <c r="CP258" s="119">
        <f>INPUT!DA206</f>
        <v>18.664281454979132</v>
      </c>
      <c r="CQ258" s="18">
        <f>INPUT!DB206</f>
        <v>42.527240201658813</v>
      </c>
      <c r="CR258" s="119">
        <f>INPUT!DC206</f>
        <v>19.955530850472485</v>
      </c>
      <c r="CS258" s="18">
        <f>INPUT!DD206</f>
        <v>28.741681886762493</v>
      </c>
      <c r="CT258" s="119">
        <f>INPUT!DE206</f>
        <v>19.708423326133897</v>
      </c>
      <c r="CU258" s="18">
        <f>INPUT!DF206</f>
        <v>10.001966615833568</v>
      </c>
      <c r="CV258" s="119">
        <f>INPUT!DG206</f>
        <v>19.949622166246851</v>
      </c>
      <c r="CW258" s="18">
        <f>INPUT!DH206</f>
        <v>8.9189819166134008</v>
      </c>
      <c r="CX258" s="119">
        <f>INPUT!DI206</f>
        <v>17.914438502673796</v>
      </c>
      <c r="CY258" s="18">
        <f>INPUT!DJ206</f>
        <v>-4.0175291725752293</v>
      </c>
      <c r="CZ258" s="119">
        <f>INPUT!DK206</f>
        <v>20.373333333333342</v>
      </c>
      <c r="DA258" s="18">
        <f>INPUT!DL206</f>
        <v>2.093667595171822</v>
      </c>
      <c r="DB258" s="119">
        <f>INPUT!DM206</f>
        <v>20.061538461538458</v>
      </c>
      <c r="DC258" s="18">
        <f>INPUT!DN206</f>
        <v>1.7916965226554726</v>
      </c>
      <c r="DD258" s="119">
        <f>INPUT!DO206</f>
        <v>21.183628318584063</v>
      </c>
      <c r="DE258" s="18">
        <f>INPUT!DP206</f>
        <v>6.1856116474478862</v>
      </c>
      <c r="DF258" s="119">
        <f>INPUT!DQ206</f>
        <v>18.945538818076489</v>
      </c>
      <c r="DG258" s="18">
        <f>INPUT!DR206</f>
        <v>5.7556942979195114</v>
      </c>
      <c r="DH258" s="119">
        <f>INPUT!DS206</f>
        <v>19.978401727861772</v>
      </c>
      <c r="DI258" s="18">
        <f>INPUT!DT206</f>
        <v>-1.9384731943957956</v>
      </c>
      <c r="DJ258" s="119">
        <f>INPUT!DU206</f>
        <v>20.228777844671892</v>
      </c>
      <c r="DK258" s="18">
        <f>INPUT!DV206</f>
        <v>0.83363189445346819</v>
      </c>
      <c r="DL258" s="119">
        <f>INPUT!DW206</f>
        <v>21.085714285714289</v>
      </c>
      <c r="DM258" s="18">
        <f>INPUT!DX206</f>
        <v>-0.46221559119725697</v>
      </c>
      <c r="DN258" s="119">
        <f>INPUT!DY206</f>
        <v>18.100128369704759</v>
      </c>
      <c r="DO258" s="18">
        <f>INPUT!DZ206</f>
        <v>-4.4623193696929793</v>
      </c>
      <c r="DP258" s="119">
        <f>INPUT!EA206</f>
        <v>19.840743198407441</v>
      </c>
      <c r="DQ258" s="18">
        <f>INPUT!EB206</f>
        <v>-0.68903674743087118</v>
      </c>
      <c r="DR258" s="119">
        <f>INPUT!EC206</f>
        <v>17.985125084516561</v>
      </c>
      <c r="DS258" s="18">
        <f>INPUT!ED206</f>
        <v>-11.091390579220251</v>
      </c>
      <c r="DT258" s="119">
        <f>INPUT!EE206</f>
        <v>18.062500000000004</v>
      </c>
      <c r="DU258" s="18">
        <f>INPUT!EF206</f>
        <v>-14.337737127371275</v>
      </c>
      <c r="DV258" s="119">
        <f>INPUT!EG206</f>
        <v>16.187499999999986</v>
      </c>
      <c r="DW258" s="18">
        <f>INPUT!EH206</f>
        <v>-10.566932624113601</v>
      </c>
      <c r="DX258" s="119">
        <f>INPUT!EI206</f>
        <v>17.956469165659016</v>
      </c>
      <c r="DY258" s="18">
        <f>INPUT!EJ206</f>
        <v>-9.4969932018457381</v>
      </c>
      <c r="DZ258" s="119">
        <f>INPUT!EK206</f>
        <v>17.583097467283462</v>
      </c>
      <c r="EA258" s="18">
        <f>INPUT!EL206</f>
        <v>-2.235334007096812</v>
      </c>
      <c r="EB258" s="119">
        <f>INPUT!EM206</f>
        <v>17.498158050179352</v>
      </c>
      <c r="EC258" s="18">
        <f>INPUT!EN206</f>
        <v>-3.1243844972769663</v>
      </c>
      <c r="ED258" s="119">
        <f>INPUT!EO206</f>
        <v>17.083271509597989</v>
      </c>
      <c r="EE258" s="18">
        <f>INPUT!EP206</f>
        <v>5.5337236114162414</v>
      </c>
      <c r="EF258" s="119">
        <f>INPUT!EQ206</f>
        <v>16.786863153215663</v>
      </c>
      <c r="EG258" s="18">
        <f>INPUT!ER206</f>
        <v>-6.5135634497687001</v>
      </c>
      <c r="EH258" s="18"/>
      <c r="EI258" s="119">
        <f>INPUT!FB206</f>
        <v>0</v>
      </c>
      <c r="EJ258" s="5">
        <f>INPUT!FC206</f>
        <v>0</v>
      </c>
      <c r="EK258" s="119">
        <f>INPUT!FD206</f>
        <v>17.237103174603174</v>
      </c>
      <c r="EL258" s="5" t="str">
        <f>INPUT!FE206</f>
        <v>NA</v>
      </c>
      <c r="EM258" s="119">
        <f>INPUT!FF206</f>
        <v>18.874283788338388</v>
      </c>
      <c r="EN258" s="5">
        <f>INPUT!FG206</f>
        <v>9.4980032152235836</v>
      </c>
      <c r="EO258" s="119">
        <f>INPUT!FH206</f>
        <v>18.870042404589668</v>
      </c>
      <c r="EP258" s="5">
        <f>INPUT!FI206</f>
        <v>-2.247175996866746E-2</v>
      </c>
      <c r="EQ258" s="119">
        <f>INPUT!FJ206</f>
        <v>19.363762102351327</v>
      </c>
      <c r="ER258" s="18">
        <f>INPUT!FK206</f>
        <v>2.6164207116014415</v>
      </c>
      <c r="ES258" s="119">
        <f>INPUT!FL206</f>
        <v>25.336609336609335</v>
      </c>
      <c r="ET258" s="18">
        <f>INPUT!FM206</f>
        <v>30.845489645489543</v>
      </c>
      <c r="EU258" s="119">
        <f>INPUT!FN206</f>
        <v>28.11529168104936</v>
      </c>
      <c r="EV258" s="18">
        <f>INPUT!FO206</f>
        <v>10.967064722528018</v>
      </c>
      <c r="EW258" s="119">
        <f>INPUT!FP206</f>
        <v>30.190085724934757</v>
      </c>
      <c r="EX258" s="18">
        <f>INPUT!FQ206</f>
        <v>7.3795928117077914</v>
      </c>
      <c r="EY258" s="119">
        <f>INPUT!FR206</f>
        <v>30.996309963099623</v>
      </c>
      <c r="EZ258" s="18">
        <f>INPUT!FS206</f>
        <v>2.6704933716004131</v>
      </c>
      <c r="FA258" s="119">
        <f>INPUT!FT206</f>
        <v>25.416514654019217</v>
      </c>
      <c r="FB258" s="18">
        <f>INPUT!FU206</f>
        <v>-18.001482485247511</v>
      </c>
      <c r="FC258" s="119">
        <f>INPUT!FV206</f>
        <v>21.724766461608574</v>
      </c>
      <c r="FD258" s="18">
        <f>INPUT!FW206</f>
        <v>-14.5249977924367</v>
      </c>
      <c r="FE258" s="119">
        <f>INPUT!FX206</f>
        <v>15.170421721548221</v>
      </c>
      <c r="FF258" s="18">
        <f>INPUT!FY206</f>
        <v>-30.169920360907053</v>
      </c>
      <c r="FG258" s="119">
        <f>INPUT!FZ206</f>
        <v>18.718094157685762</v>
      </c>
      <c r="FH258" s="18">
        <f>INPUT!GA206</f>
        <v>23.385456919094018</v>
      </c>
      <c r="FI258" s="119">
        <f>INPUT!GB206</f>
        <v>19.493537325243995</v>
      </c>
      <c r="FJ258" s="18">
        <f>INPUT!GC206</f>
        <v>4.1427463769853512</v>
      </c>
      <c r="FK258" s="119">
        <f>INPUT!GD206</f>
        <v>20.054200542005411</v>
      </c>
      <c r="FL258" s="18">
        <f>INPUT!GE206</f>
        <v>2.8761491945095141</v>
      </c>
      <c r="FM258" s="119">
        <f>INPUT!GF206</f>
        <v>19.857936998147007</v>
      </c>
      <c r="FN258" s="18">
        <f>INPUT!GG206</f>
        <v>-0.97866550923987328</v>
      </c>
      <c r="FO258" s="119">
        <f>INPUT!GH206</f>
        <v>17.54302858045159</v>
      </c>
      <c r="FP258" s="18">
        <f>INPUT!GI206</f>
        <v>-11.657345966559497</v>
      </c>
      <c r="FQ258" s="119">
        <f>INPUT!GJ206</f>
        <v>17.236153444178804</v>
      </c>
      <c r="FR258" s="18">
        <f>INPUT!GK206</f>
        <v>-1.7492711413281348</v>
      </c>
      <c r="FS258" s="119">
        <f>INPUT!GL206</f>
        <v>17.329632947163677</v>
      </c>
      <c r="FT258" s="18">
        <f>INPUT!GM206</f>
        <v>0.54234550236291756</v>
      </c>
      <c r="FU258" s="119">
        <f>INPUT!GN206</f>
        <v>17.422628250711064</v>
      </c>
      <c r="FV258" s="18">
        <f>INPUT!GO206</f>
        <v>0.53662592757111049</v>
      </c>
      <c r="FW258" s="119">
        <f>INPUT!GP206</f>
        <v>17.515157977876285</v>
      </c>
      <c r="FX258" s="18">
        <f>INPUT!GQ206</f>
        <v>0.5310893731629962</v>
      </c>
      <c r="FY258" s="119">
        <f>INPUT!GR206</f>
        <v>17.526349717832286</v>
      </c>
      <c r="FZ258" s="18">
        <f>INPUT!GS206</f>
        <v>6.3897453680628047E-2</v>
      </c>
      <c r="GA258" s="5">
        <f>INPUT!GT206</f>
        <v>-1.9022039517957445E-2</v>
      </c>
    </row>
    <row r="259" spans="1:183" ht="12.75" hidden="1" customHeight="1" outlineLevel="1" x14ac:dyDescent="0.2">
      <c r="A259" s="650"/>
      <c r="B259" s="119"/>
      <c r="C259" s="613"/>
      <c r="D259" s="119"/>
      <c r="E259" s="5"/>
      <c r="F259" s="119"/>
      <c r="G259" s="5"/>
      <c r="H259" s="119"/>
      <c r="I259" s="5"/>
      <c r="J259" s="119"/>
      <c r="K259" s="5"/>
      <c r="L259" s="119"/>
      <c r="M259" s="5"/>
      <c r="N259" s="119"/>
      <c r="O259" s="5"/>
      <c r="P259" s="119"/>
      <c r="Q259" s="5"/>
      <c r="R259" s="119"/>
      <c r="S259" s="5"/>
      <c r="T259" s="119"/>
      <c r="U259" s="5"/>
      <c r="V259" s="119"/>
      <c r="W259" s="5"/>
      <c r="X259" s="119"/>
      <c r="Y259" s="5"/>
      <c r="Z259" s="119"/>
      <c r="AA259" s="5"/>
      <c r="AB259" s="119"/>
      <c r="AC259" s="5"/>
      <c r="AD259" s="119"/>
      <c r="AE259" s="5"/>
      <c r="AF259" s="119"/>
      <c r="AG259" s="5"/>
      <c r="AH259" s="119"/>
      <c r="AI259" s="5"/>
      <c r="AJ259" s="119"/>
      <c r="AK259" s="5"/>
      <c r="AL259" s="119"/>
      <c r="AM259" s="5"/>
      <c r="AN259" s="119"/>
      <c r="AO259" s="18"/>
      <c r="AP259" s="119"/>
      <c r="AQ259" s="18"/>
      <c r="AR259" s="119"/>
      <c r="AS259" s="18"/>
      <c r="AT259" s="119"/>
      <c r="AU259" s="18"/>
      <c r="AV259" s="119"/>
      <c r="AW259" s="18"/>
      <c r="AX259" s="119"/>
      <c r="AY259" s="18"/>
      <c r="AZ259" s="119"/>
      <c r="BA259" s="18"/>
      <c r="BB259" s="119"/>
      <c r="BC259" s="18"/>
      <c r="BD259" s="119"/>
      <c r="BE259" s="18"/>
      <c r="BF259" s="119"/>
      <c r="BG259" s="18"/>
      <c r="BH259" s="119"/>
      <c r="BI259" s="18"/>
      <c r="BJ259" s="119"/>
      <c r="BK259" s="18"/>
      <c r="BL259" s="119"/>
      <c r="BM259" s="18"/>
      <c r="BN259" s="119"/>
      <c r="BO259" s="18"/>
      <c r="BP259" s="119"/>
      <c r="BQ259" s="18"/>
      <c r="BR259" s="119"/>
      <c r="BS259" s="18"/>
      <c r="BT259" s="119"/>
      <c r="BU259" s="18"/>
      <c r="BV259" s="119"/>
      <c r="BW259" s="18"/>
      <c r="BX259" s="119"/>
      <c r="BY259" s="18"/>
      <c r="BZ259" s="119"/>
      <c r="CA259" s="18"/>
      <c r="CB259" s="119"/>
      <c r="CC259" s="18"/>
      <c r="CD259" s="119"/>
      <c r="CE259" s="18"/>
      <c r="CF259" s="119"/>
      <c r="CG259" s="18"/>
      <c r="CH259" s="119"/>
      <c r="CI259" s="18"/>
      <c r="CJ259" s="119"/>
      <c r="CK259" s="18"/>
      <c r="CL259" s="119"/>
      <c r="CM259" s="18"/>
      <c r="CN259" s="119"/>
      <c r="CO259" s="18"/>
      <c r="CP259" s="119"/>
      <c r="CQ259" s="18"/>
      <c r="CR259" s="119"/>
      <c r="CS259" s="18"/>
      <c r="CT259" s="119"/>
      <c r="CU259" s="18"/>
      <c r="CV259" s="119"/>
      <c r="CW259" s="18"/>
      <c r="CX259" s="119"/>
      <c r="CY259" s="18"/>
      <c r="CZ259" s="119"/>
      <c r="DA259" s="18"/>
      <c r="DB259" s="119"/>
      <c r="DC259" s="18"/>
      <c r="DD259" s="119"/>
      <c r="DE259" s="18"/>
      <c r="DF259" s="119"/>
      <c r="DG259" s="18"/>
      <c r="DH259" s="119"/>
      <c r="DI259" s="18"/>
      <c r="DJ259" s="119"/>
      <c r="DK259" s="18"/>
      <c r="DL259" s="119"/>
      <c r="DM259" s="18"/>
      <c r="DN259" s="119"/>
      <c r="DO259" s="18"/>
      <c r="DP259" s="119"/>
      <c r="DQ259" s="18"/>
      <c r="DR259" s="119"/>
      <c r="DS259" s="18"/>
      <c r="DT259" s="119"/>
      <c r="DU259" s="18"/>
      <c r="DV259" s="119"/>
      <c r="DW259" s="18"/>
      <c r="DX259" s="119"/>
      <c r="DY259" s="18"/>
      <c r="DZ259" s="119"/>
      <c r="EA259" s="18"/>
      <c r="EB259" s="119"/>
      <c r="EC259" s="18"/>
      <c r="ED259" s="119"/>
      <c r="EE259" s="18"/>
      <c r="EF259" s="119"/>
      <c r="EG259" s="18"/>
      <c r="EH259" s="18"/>
      <c r="EI259" s="119"/>
      <c r="EJ259" s="5"/>
      <c r="EK259" s="119"/>
      <c r="EL259" s="5"/>
      <c r="EM259" s="119"/>
      <c r="EN259" s="5"/>
      <c r="EO259" s="119"/>
      <c r="EP259" s="5"/>
      <c r="EQ259" s="119"/>
      <c r="ER259" s="18"/>
      <c r="ES259" s="119"/>
      <c r="ET259" s="18"/>
      <c r="EU259" s="119"/>
      <c r="EV259" s="18"/>
      <c r="EW259" s="119"/>
      <c r="EX259" s="18"/>
      <c r="EY259" s="119"/>
      <c r="EZ259" s="18"/>
      <c r="FA259" s="119"/>
      <c r="FB259" s="18"/>
      <c r="FC259" s="119"/>
      <c r="FD259" s="18"/>
      <c r="FE259" s="119"/>
      <c r="FF259" s="18"/>
      <c r="FG259" s="119"/>
      <c r="FH259" s="18"/>
      <c r="FI259" s="119"/>
      <c r="FJ259" s="18"/>
      <c r="FK259" s="119"/>
      <c r="FL259" s="18"/>
      <c r="FM259" s="119"/>
      <c r="FN259" s="18"/>
      <c r="FO259" s="119"/>
      <c r="FP259" s="18"/>
      <c r="FQ259" s="119"/>
      <c r="FR259" s="18"/>
      <c r="FS259" s="119"/>
      <c r="FT259" s="18"/>
      <c r="FU259" s="119"/>
      <c r="FV259" s="18"/>
      <c r="FW259" s="119"/>
      <c r="FX259" s="18"/>
      <c r="FY259" s="119"/>
      <c r="FZ259" s="18"/>
      <c r="GA259" s="5"/>
    </row>
    <row r="260" spans="1:183" ht="12.75" hidden="1" customHeight="1" outlineLevel="1" x14ac:dyDescent="0.2">
      <c r="A260" s="610" t="s">
        <v>438</v>
      </c>
      <c r="B260" s="119"/>
      <c r="C260" s="613"/>
      <c r="D260" s="119"/>
      <c r="E260" s="5"/>
      <c r="F260" s="119"/>
      <c r="G260" s="5"/>
      <c r="H260" s="119"/>
      <c r="I260" s="5"/>
      <c r="J260" s="119"/>
      <c r="K260" s="5"/>
      <c r="L260" s="119"/>
      <c r="M260" s="5"/>
      <c r="N260" s="119"/>
      <c r="O260" s="5"/>
      <c r="P260" s="119"/>
      <c r="Q260" s="5"/>
      <c r="R260" s="119"/>
      <c r="S260" s="5"/>
      <c r="T260" s="119"/>
      <c r="U260" s="5"/>
      <c r="V260" s="119"/>
      <c r="W260" s="5"/>
      <c r="X260" s="119"/>
      <c r="Y260" s="5"/>
      <c r="Z260" s="119"/>
      <c r="AA260" s="5"/>
      <c r="AB260" s="119"/>
      <c r="AC260" s="5"/>
      <c r="AD260" s="119"/>
      <c r="AE260" s="5"/>
      <c r="AF260" s="119"/>
      <c r="AG260" s="5"/>
      <c r="AH260" s="119"/>
      <c r="AI260" s="5"/>
      <c r="AJ260" s="119"/>
      <c r="AK260" s="5"/>
      <c r="AL260" s="119"/>
      <c r="AM260" s="5"/>
      <c r="AN260" s="119"/>
      <c r="AO260" s="18"/>
      <c r="AP260" s="119"/>
      <c r="AQ260" s="18"/>
      <c r="AR260" s="119"/>
      <c r="AS260" s="18"/>
      <c r="AT260" s="119"/>
      <c r="AU260" s="18"/>
      <c r="AV260" s="119"/>
      <c r="AW260" s="18"/>
      <c r="AX260" s="119"/>
      <c r="AY260" s="18"/>
      <c r="AZ260" s="119"/>
      <c r="BA260" s="18"/>
      <c r="BB260" s="119"/>
      <c r="BC260" s="18"/>
      <c r="BD260" s="119"/>
      <c r="BE260" s="18"/>
      <c r="BF260" s="119"/>
      <c r="BG260" s="18"/>
      <c r="BH260" s="119"/>
      <c r="BI260" s="18"/>
      <c r="BJ260" s="119"/>
      <c r="BK260" s="18"/>
      <c r="BL260" s="119"/>
      <c r="BM260" s="18"/>
      <c r="BN260" s="119"/>
      <c r="BO260" s="18"/>
      <c r="BP260" s="119"/>
      <c r="BQ260" s="18"/>
      <c r="BR260" s="119"/>
      <c r="BS260" s="18"/>
      <c r="BT260" s="119"/>
      <c r="BU260" s="18"/>
      <c r="BV260" s="119"/>
      <c r="BW260" s="18"/>
      <c r="BX260" s="119"/>
      <c r="BY260" s="18"/>
      <c r="BZ260" s="119"/>
      <c r="CA260" s="18"/>
      <c r="CB260" s="119"/>
      <c r="CC260" s="18"/>
      <c r="CD260" s="119"/>
      <c r="CE260" s="18"/>
      <c r="CF260" s="119"/>
      <c r="CG260" s="18"/>
      <c r="CH260" s="119"/>
      <c r="CI260" s="18"/>
      <c r="CJ260" s="119"/>
      <c r="CK260" s="18"/>
      <c r="CL260" s="119"/>
      <c r="CM260" s="18"/>
      <c r="CN260" s="119"/>
      <c r="CO260" s="18"/>
      <c r="CP260" s="119"/>
      <c r="CQ260" s="18"/>
      <c r="CR260" s="119"/>
      <c r="CS260" s="18"/>
      <c r="CT260" s="119"/>
      <c r="CU260" s="18"/>
      <c r="CV260" s="119"/>
      <c r="CW260" s="18"/>
      <c r="CX260" s="119"/>
      <c r="CY260" s="18"/>
      <c r="CZ260" s="119"/>
      <c r="DA260" s="18"/>
      <c r="DB260" s="119"/>
      <c r="DC260" s="18"/>
      <c r="DD260" s="119"/>
      <c r="DE260" s="18"/>
      <c r="DF260" s="119"/>
      <c r="DG260" s="18"/>
      <c r="DH260" s="119"/>
      <c r="DI260" s="18"/>
      <c r="DJ260" s="119"/>
      <c r="DK260" s="18"/>
      <c r="DL260" s="119"/>
      <c r="DM260" s="18"/>
      <c r="DN260" s="119"/>
      <c r="DO260" s="18"/>
      <c r="DP260" s="119"/>
      <c r="DQ260" s="18"/>
      <c r="DR260" s="119"/>
      <c r="DS260" s="18"/>
      <c r="DT260" s="119"/>
      <c r="DU260" s="18"/>
      <c r="DV260" s="119"/>
      <c r="DW260" s="18"/>
      <c r="DX260" s="119"/>
      <c r="DY260" s="18"/>
      <c r="DZ260" s="119"/>
      <c r="EA260" s="18"/>
      <c r="EB260" s="119"/>
      <c r="EC260" s="18"/>
      <c r="ED260" s="119"/>
      <c r="EE260" s="18"/>
      <c r="EF260" s="119"/>
      <c r="EG260" s="18"/>
      <c r="EH260" s="18"/>
      <c r="EI260" s="119"/>
      <c r="EJ260" s="5"/>
      <c r="EK260" s="119"/>
      <c r="EL260" s="5"/>
      <c r="EM260" s="119"/>
      <c r="EN260" s="5"/>
      <c r="EO260" s="119"/>
      <c r="EP260" s="5"/>
      <c r="EQ260" s="119"/>
      <c r="ER260" s="18"/>
      <c r="ES260" s="119"/>
      <c r="ET260" s="18"/>
      <c r="EU260" s="119"/>
      <c r="EV260" s="18"/>
      <c r="EW260" s="119"/>
      <c r="EX260" s="18"/>
      <c r="EY260" s="119"/>
      <c r="EZ260" s="18"/>
      <c r="FA260" s="119"/>
      <c r="FB260" s="18"/>
      <c r="FC260" s="119"/>
      <c r="FD260" s="18"/>
      <c r="FE260" s="119"/>
      <c r="FF260" s="18"/>
      <c r="FG260" s="119"/>
      <c r="FH260" s="18"/>
      <c r="FI260" s="119"/>
      <c r="FJ260" s="18"/>
      <c r="FK260" s="119"/>
      <c r="FL260" s="18"/>
      <c r="FM260" s="119"/>
      <c r="FN260" s="18"/>
      <c r="FO260" s="119"/>
      <c r="FP260" s="18"/>
      <c r="FQ260" s="119"/>
      <c r="FR260" s="18"/>
      <c r="FS260" s="119"/>
      <c r="FT260" s="18"/>
      <c r="FU260" s="119"/>
      <c r="FV260" s="18"/>
      <c r="FW260" s="119"/>
      <c r="FX260" s="18"/>
      <c r="FY260" s="119"/>
      <c r="FZ260" s="18"/>
      <c r="GA260" s="5"/>
    </row>
    <row r="261" spans="1:183" ht="12.75" hidden="1" customHeight="1" outlineLevel="1" x14ac:dyDescent="0.2">
      <c r="A261" s="612" t="str">
        <f>INPUT!B200</f>
        <v>Benefits/Premiums (%)</v>
      </c>
      <c r="B261" s="119"/>
      <c r="C261" s="613"/>
      <c r="D261" s="119"/>
      <c r="E261" s="5"/>
      <c r="F261" s="119"/>
      <c r="G261" s="5"/>
      <c r="H261" s="119"/>
      <c r="I261" s="5"/>
      <c r="J261" s="119"/>
      <c r="K261" s="5"/>
      <c r="L261" s="119"/>
      <c r="M261" s="5"/>
      <c r="N261" s="119"/>
      <c r="O261" s="5"/>
      <c r="P261" s="119"/>
      <c r="Q261" s="5"/>
      <c r="R261" s="119">
        <f>INPUT!AC200</f>
        <v>70.755968169761275</v>
      </c>
      <c r="S261" s="5" t="str">
        <f>INPUT!AD200</f>
        <v>NA</v>
      </c>
      <c r="T261" s="119">
        <f>INPUT!AE200</f>
        <v>74.503722084367254</v>
      </c>
      <c r="U261" s="5" t="str">
        <f>INPUT!AF200</f>
        <v>NA</v>
      </c>
      <c r="V261" s="119">
        <f>INPUT!AG200</f>
        <v>70.664315108759553</v>
      </c>
      <c r="W261" s="5" t="str">
        <f>INPUT!AH200</f>
        <v>NA</v>
      </c>
      <c r="X261" s="119">
        <f>INPUT!AI200</f>
        <v>66.384180790960457</v>
      </c>
      <c r="Y261" s="5" t="str">
        <f>INPUT!AJ200</f>
        <v>NA</v>
      </c>
      <c r="Z261" s="119">
        <f>INPUT!AK200</f>
        <v>68.105263157894726</v>
      </c>
      <c r="AA261" s="5">
        <f>INPUT!AL200</f>
        <v>-3.7462635031815905</v>
      </c>
      <c r="AB261" s="119">
        <f>INPUT!AM200</f>
        <v>72.708441222164694</v>
      </c>
      <c r="AC261" s="5">
        <f>INPUT!AN200</f>
        <v>-2.4096525810745395</v>
      </c>
      <c r="AD261" s="119">
        <f>INPUT!AO200</f>
        <v>71.617647058823536</v>
      </c>
      <c r="AE261" s="5">
        <f>INPUT!AP200</f>
        <v>1.3490995399823902</v>
      </c>
      <c r="AF261" s="119">
        <f>INPUT!AQ200</f>
        <v>65.539858728557022</v>
      </c>
      <c r="AG261" s="5">
        <f>INPUT!AR200</f>
        <v>-1.2718723833651802</v>
      </c>
      <c r="AH261" s="119">
        <f>INPUT!AS200</f>
        <v>67.450365726227787</v>
      </c>
      <c r="AI261" s="5">
        <f>INPUT!AT200</f>
        <v>-0.96159591975825132</v>
      </c>
      <c r="AJ261" s="119">
        <f>INPUT!AU200</f>
        <v>68.659691081215755</v>
      </c>
      <c r="AK261" s="5">
        <f>INPUT!AV200</f>
        <v>-5.5684733063905973</v>
      </c>
      <c r="AL261" s="119">
        <f>INPUT!AW200</f>
        <v>67.182521620391441</v>
      </c>
      <c r="AM261" s="5">
        <f>INPUT!AX200</f>
        <v>-6.192782953046871</v>
      </c>
      <c r="AN261" s="119">
        <f>INPUT!AY200</f>
        <v>60.173160173160177</v>
      </c>
      <c r="AO261" s="18">
        <f>INPUT!AZ200</f>
        <v>-8.1884499898356786</v>
      </c>
      <c r="AP261" s="119">
        <f>INPUT!BA200</f>
        <v>61.088618983355822</v>
      </c>
      <c r="AQ261" s="18">
        <f>INPUT!BB200</f>
        <v>-9.431745364722655</v>
      </c>
      <c r="AR261" s="119">
        <f>INPUT!BC200</f>
        <v>62.186234817813769</v>
      </c>
      <c r="AS261" s="18">
        <f>INPUT!BD200</f>
        <v>-9.4283212776834375</v>
      </c>
      <c r="AT261" s="119">
        <f>INPUT!BE200</f>
        <v>53.311793214862682</v>
      </c>
      <c r="AU261" s="18">
        <f>INPUT!BF200</f>
        <v>-20.646334896305341</v>
      </c>
      <c r="AV261" s="119">
        <f>INPUT!BG200</f>
        <v>60.819411296738267</v>
      </c>
      <c r="AW261" s="18">
        <f>INPUT!BH200</f>
        <v>1.0739856801909253</v>
      </c>
      <c r="AX261" s="119">
        <f>INPUT!BI200</f>
        <v>57.273482959268506</v>
      </c>
      <c r="AY261" s="18">
        <f>INPUT!BJ200</f>
        <v>-6.2452484400192247</v>
      </c>
      <c r="AZ261" s="119">
        <f>INPUT!BK200</f>
        <v>58.336781133636741</v>
      </c>
      <c r="BA261" s="18">
        <f>INPUT!BL200</f>
        <v>-6.1902022134877939</v>
      </c>
      <c r="BB261" s="119">
        <f>INPUT!BM200</f>
        <v>52.425456163773923</v>
      </c>
      <c r="BC261" s="18">
        <f>INPUT!BN200</f>
        <v>-1.6625534382543661</v>
      </c>
      <c r="BD261" s="119">
        <f>INPUT!BO200</f>
        <v>62.973121228743821</v>
      </c>
      <c r="BE261" s="18">
        <f>INPUT!BP200</f>
        <v>3.5411555062537348</v>
      </c>
      <c r="BF261" s="119">
        <f>INPUT!BQ200</f>
        <v>53.25153374233129</v>
      </c>
      <c r="BG261" s="18">
        <f>INPUT!BR200</f>
        <v>-7.0223583570035881</v>
      </c>
      <c r="BH261" s="119">
        <f>INPUT!BS200</f>
        <v>54.382929642445212</v>
      </c>
      <c r="BI261" s="18">
        <f>INPUT!BT200</f>
        <v>-6.7776305349006583</v>
      </c>
      <c r="BJ261" s="119">
        <f>INPUT!BU200</f>
        <v>50.206246317030057</v>
      </c>
      <c r="BK261" s="18">
        <f>INPUT!BV200</f>
        <v>-4.2330768468874957</v>
      </c>
      <c r="BL261" s="119">
        <f>INPUT!BW200</f>
        <v>59.611111111111114</v>
      </c>
      <c r="BM261" s="18">
        <f>INPUT!BX200</f>
        <v>-5.3388017808749355</v>
      </c>
      <c r="BN261" s="119">
        <f>INPUT!BY200</f>
        <v>63.088057901085634</v>
      </c>
      <c r="BO261" s="18">
        <f>INPUT!BZ200</f>
        <v>18.471813800425775</v>
      </c>
      <c r="BP261" s="119">
        <f>INPUT!CA200</f>
        <v>65.990843688685416</v>
      </c>
      <c r="BQ261" s="18">
        <f>INPUT!CB200</f>
        <v>21.344775139109771</v>
      </c>
      <c r="BR261" s="119">
        <f>INPUT!CC200</f>
        <v>66.914498141263934</v>
      </c>
      <c r="BS261" s="18">
        <f>INPUT!CD200</f>
        <v>33.27922927901983</v>
      </c>
      <c r="BT261" s="119">
        <f>INPUT!CE200</f>
        <v>71.730205278592379</v>
      </c>
      <c r="BU261" s="18">
        <f>INPUT!CF200</f>
        <v>20.330260485989072</v>
      </c>
      <c r="BV261" s="119">
        <f>INPUT!CG200</f>
        <v>69.299820466786358</v>
      </c>
      <c r="BW261" s="18">
        <f>INPUT!CH200</f>
        <v>9.8461781395141621</v>
      </c>
      <c r="BX261" s="119">
        <f>INPUT!CI200</f>
        <v>69.795221843003404</v>
      </c>
      <c r="BY261" s="18">
        <f>INPUT!CJ200</f>
        <v>5.7650091159090255</v>
      </c>
      <c r="BZ261" s="119">
        <f>INPUT!CK200</f>
        <v>78.803418803418808</v>
      </c>
      <c r="CA261" s="18">
        <f>INPUT!CL200</f>
        <v>17.767331433998113</v>
      </c>
      <c r="CB261" s="119">
        <f>INPUT!CM200</f>
        <v>69.148936170212778</v>
      </c>
      <c r="CC261" s="18">
        <f>INPUT!CN200</f>
        <v>-3.5985804004801447</v>
      </c>
      <c r="CD261" s="119">
        <f>INPUT!CO200</f>
        <v>72.40773286467487</v>
      </c>
      <c r="CE261" s="18">
        <f>INPUT!CP200</f>
        <v>4.4847336933261595</v>
      </c>
      <c r="CF261" s="119">
        <f>INPUT!CQ200</f>
        <v>85.392609699769068</v>
      </c>
      <c r="CG261" s="18">
        <f>INPUT!CR200</f>
        <v>22.347357662749822</v>
      </c>
      <c r="CH261" s="119">
        <f>INPUT!CS200</f>
        <v>77.739726027397253</v>
      </c>
      <c r="CI261" s="18">
        <f>INPUT!CT200</f>
        <v>-1.3498053665349397</v>
      </c>
      <c r="CJ261" s="119">
        <f>INPUT!CU200</f>
        <v>76.182336182336172</v>
      </c>
      <c r="CK261" s="18">
        <f>INPUT!CV200</f>
        <v>10.171378479070746</v>
      </c>
      <c r="CL261" s="119">
        <f>INPUT!CW200</f>
        <v>69.54102920723227</v>
      </c>
      <c r="CM261" s="18">
        <f>INPUT!CX200</f>
        <v>-3.9591125754486423</v>
      </c>
      <c r="CN261" s="119">
        <f>INPUT!CY200</f>
        <v>84.156976744186053</v>
      </c>
      <c r="CO261" s="18">
        <f>INPUT!CZ200</f>
        <v>-1.4470022170857244</v>
      </c>
      <c r="CP261" s="119">
        <f>INPUT!DA200</f>
        <v>70.575382374362704</v>
      </c>
      <c r="CQ261" s="18">
        <f>INPUT!DB200</f>
        <v>-9.2158076946523781</v>
      </c>
      <c r="CR261" s="119">
        <f>INPUT!DC200</f>
        <v>72.951414068165334</v>
      </c>
      <c r="CS261" s="18">
        <f>INPUT!DD200</f>
        <v>-4.241038377239958</v>
      </c>
      <c r="CT261" s="119">
        <f>INPUT!DE200</f>
        <v>70.138431114040884</v>
      </c>
      <c r="CU261" s="18">
        <f>INPUT!DF200</f>
        <v>0.85906394199077862</v>
      </c>
      <c r="CV261" s="119">
        <f>INPUT!DG200</f>
        <v>74.025974025974023</v>
      </c>
      <c r="CW261" s="18">
        <f>INPUT!DH200</f>
        <v>-12.038220846511017</v>
      </c>
      <c r="CX261" s="119">
        <f>INPUT!DI200</f>
        <v>70.773263433813895</v>
      </c>
      <c r="CY261" s="18">
        <f>INPUT!DJ200</f>
        <v>0.28038255379410071</v>
      </c>
      <c r="CZ261" s="119">
        <f>INPUT!DK200</f>
        <v>68.905305574210871</v>
      </c>
      <c r="DA261" s="18">
        <f>INPUT!DL200</f>
        <v>-5.5463057784922558</v>
      </c>
      <c r="DB261" s="119">
        <f>INPUT!DM200</f>
        <v>65.395683453237424</v>
      </c>
      <c r="DC261" s="18">
        <f>INPUT!DN200</f>
        <v>-6.7619813923297407</v>
      </c>
      <c r="DD261" s="119">
        <f>INPUT!DO200</f>
        <v>70.745428973277086</v>
      </c>
      <c r="DE261" s="18">
        <f>INPUT!DP200</f>
        <v>-4.4316134922397161</v>
      </c>
      <c r="DF261" s="119">
        <f>INPUT!DQ200</f>
        <v>67.7731673582296</v>
      </c>
      <c r="DG261" s="18">
        <f>INPUT!DR200</f>
        <v>-4.2390246401311398</v>
      </c>
      <c r="DH261" s="119">
        <f>INPUT!DS200</f>
        <v>70.013297872340416</v>
      </c>
      <c r="DI261" s="18">
        <f>INPUT!DT200</f>
        <v>1.6079927211646083</v>
      </c>
      <c r="DJ261" s="119">
        <f>INPUT!DU200</f>
        <v>67.982770997846373</v>
      </c>
      <c r="DK261" s="18">
        <f>INPUT!DV200</f>
        <v>3.9560524609531855</v>
      </c>
      <c r="DL261" s="119">
        <f>INPUT!DW200</f>
        <v>70.170454545454547</v>
      </c>
      <c r="DM261" s="18">
        <f>INPUT!DX200</f>
        <v>-0.81273721308513514</v>
      </c>
      <c r="DN261" s="119">
        <f>INPUT!DY200</f>
        <v>71.720345640219946</v>
      </c>
      <c r="DO261" s="18">
        <f>INPUT!DZ200</f>
        <v>5.8241018324061589</v>
      </c>
      <c r="DP261" s="119">
        <f>INPUT!EA200</f>
        <v>67.760459392945023</v>
      </c>
      <c r="DQ261" s="18">
        <f>INPUT!EB200</f>
        <v>-3.217729414065218</v>
      </c>
      <c r="DR261" s="119">
        <f>INPUT!EC200</f>
        <v>71.475680131904369</v>
      </c>
      <c r="DS261" s="18">
        <f>INPUT!ED200</f>
        <v>5.1379328656206757</v>
      </c>
      <c r="DT261" s="119">
        <f>INPUT!EE200</f>
        <v>75.552050473186114</v>
      </c>
      <c r="DU261" s="18">
        <f>INPUT!EF200</f>
        <v>7.6693188929615852</v>
      </c>
      <c r="DV261" s="119">
        <f>INPUT!EG200</f>
        <v>74.828897338403038</v>
      </c>
      <c r="DW261" s="18">
        <f>INPUT!EH200</f>
        <v>4.3342675923188079</v>
      </c>
      <c r="DX261" s="119">
        <f>INPUT!EI200</f>
        <v>75.712143928035985</v>
      </c>
      <c r="DY261" s="18">
        <f>INPUT!EJ200</f>
        <v>11.734992068130602</v>
      </c>
      <c r="DZ261" s="119">
        <f>INPUT!EK200</f>
        <v>75</v>
      </c>
      <c r="EA261" s="18">
        <f>INPUT!EL200</f>
        <v>4.9307958477508684</v>
      </c>
      <c r="EB261" s="119">
        <f>INPUT!EM200</f>
        <v>75</v>
      </c>
      <c r="EC261" s="18">
        <f>INPUT!EN200</f>
        <v>-0.73068893528183132</v>
      </c>
      <c r="ED261" s="119">
        <f>INPUT!EO200</f>
        <v>75</v>
      </c>
      <c r="EE261" s="18">
        <f>INPUT!EP200</f>
        <v>0.22865853658537993</v>
      </c>
      <c r="EF261" s="119">
        <f>INPUT!EQ200</f>
        <v>75</v>
      </c>
      <c r="EG261" s="18">
        <f>INPUT!ER200</f>
        <v>-0.94059405940594143</v>
      </c>
      <c r="EH261" s="18"/>
      <c r="EI261" s="119">
        <f>INPUT!FB200</f>
        <v>0</v>
      </c>
      <c r="EJ261" s="5">
        <f>INPUT!FC200</f>
        <v>0</v>
      </c>
      <c r="EK261" s="119">
        <f>INPUT!FD200</f>
        <v>73.550031867431485</v>
      </c>
      <c r="EL261" s="5" t="str">
        <f>INPUT!FE200</f>
        <v>NA</v>
      </c>
      <c r="EM261" s="119">
        <f>INPUT!FF200</f>
        <v>72.222222222222214</v>
      </c>
      <c r="EN261" s="5">
        <f>INPUT!FG200</f>
        <v>-1.8053148469093117</v>
      </c>
      <c r="EO261" s="119">
        <f>INPUT!FH200</f>
        <v>70.474890001517224</v>
      </c>
      <c r="EP261" s="5">
        <f>INPUT!FI200</f>
        <v>-2.41938307482229</v>
      </c>
      <c r="EQ261" s="119">
        <f>INPUT!FJ200</f>
        <v>69.502101107856873</v>
      </c>
      <c r="ER261" s="18">
        <f>INPUT!FK200</f>
        <v>-1.3803340361927652</v>
      </c>
      <c r="ES261" s="119">
        <f>INPUT!FL200</f>
        <v>65.673943996203135</v>
      </c>
      <c r="ET261" s="18">
        <f>INPUT!FM200</f>
        <v>-5.5079732132313648</v>
      </c>
      <c r="EU261" s="119">
        <f>INPUT!FN200</f>
        <v>59.310131157699054</v>
      </c>
      <c r="EV261" s="18">
        <f>INPUT!FO200</f>
        <v>-9.6900116717095521</v>
      </c>
      <c r="EW261" s="119">
        <f>INPUT!FP200</f>
        <v>57.50590351962218</v>
      </c>
      <c r="EX261" s="18">
        <f>INPUT!FQ200</f>
        <v>-3.0420226744729884</v>
      </c>
      <c r="EY261" s="119">
        <f>INPUT!FR200</f>
        <v>54.452703687509121</v>
      </c>
      <c r="EZ261" s="18">
        <f>INPUT!FS200</f>
        <v>-5.309367639222029</v>
      </c>
      <c r="FA261" s="119">
        <f>INPUT!FT200</f>
        <v>66.984322164156168</v>
      </c>
      <c r="FB261" s="18">
        <f>INPUT!FU200</f>
        <v>23.013767229195771</v>
      </c>
      <c r="FC261" s="119">
        <f>INPUT!FV200</f>
        <v>71.815008726003498</v>
      </c>
      <c r="FD261" s="18">
        <f>INPUT!FW200</f>
        <v>7.2116674555710691</v>
      </c>
      <c r="FE261" s="119">
        <f>INPUT!FX200</f>
        <v>77.944140512525209</v>
      </c>
      <c r="FF261" s="18">
        <f>INPUT!FY200</f>
        <v>8.5346112118516171</v>
      </c>
      <c r="FG261" s="119">
        <f>INPUT!FZ200</f>
        <v>74.254401724757471</v>
      </c>
      <c r="FH261" s="18">
        <f>INPUT!GA200</f>
        <v>-4.7338244587799565</v>
      </c>
      <c r="FI261" s="119">
        <f>INPUT!GB200</f>
        <v>70.981554677206859</v>
      </c>
      <c r="FJ261" s="18">
        <f>INPUT!GC200</f>
        <v>-4.4076135172191444</v>
      </c>
      <c r="FK261" s="119">
        <f>INPUT!GD200</f>
        <v>68.517875737591126</v>
      </c>
      <c r="FL261" s="18">
        <f>INPUT!GE200</f>
        <v>-3.470872046716178</v>
      </c>
      <c r="FM261" s="119">
        <f>INPUT!GF200</f>
        <v>69.412431513319461</v>
      </c>
      <c r="FN261" s="18">
        <f>INPUT!GG200</f>
        <v>1.3055801367139575</v>
      </c>
      <c r="FO261" s="119">
        <f>INPUT!GH200</f>
        <v>74.444444444444429</v>
      </c>
      <c r="FP261" s="18">
        <f>INPUT!GI200</f>
        <v>7.2494405129135631</v>
      </c>
      <c r="FQ261" s="119">
        <f>INPUT!GJ200</f>
        <v>75.13161933128039</v>
      </c>
      <c r="FR261" s="18">
        <f>INPUT!GK200</f>
        <v>0.92307074351098972</v>
      </c>
      <c r="FS261" s="119">
        <f>INPUT!GL200</f>
        <v>75.031619331280396</v>
      </c>
      <c r="FT261" s="18">
        <f>INPUT!GM200</f>
        <v>-0.13309975332630453</v>
      </c>
      <c r="FU261" s="119">
        <f>INPUT!GN200</f>
        <v>74.931619331280402</v>
      </c>
      <c r="FV261" s="18">
        <f>INPUT!GO200</f>
        <v>-0.13327714487737508</v>
      </c>
      <c r="FW261" s="119">
        <f>INPUT!GP200</f>
        <v>74.831619331280407</v>
      </c>
      <c r="FX261" s="18">
        <f>INPUT!GQ200</f>
        <v>-0.13345500990427084</v>
      </c>
      <c r="FY261" s="119">
        <f>INPUT!GR200</f>
        <v>74.831619331280407</v>
      </c>
      <c r="FZ261" s="18">
        <f>INPUT!GS200</f>
        <v>0</v>
      </c>
      <c r="GA261" s="5">
        <f>INPUT!GT200</f>
        <v>0.10380141529782172</v>
      </c>
    </row>
    <row r="262" spans="1:183" ht="12.75" hidden="1" customHeight="1" outlineLevel="1" x14ac:dyDescent="0.2">
      <c r="A262" s="612" t="str">
        <f>INPUT!B202</f>
        <v>Commissions/Premiums (%)</v>
      </c>
      <c r="B262" s="119"/>
      <c r="C262" s="613"/>
      <c r="D262" s="119"/>
      <c r="E262" s="5"/>
      <c r="F262" s="119"/>
      <c r="G262" s="5"/>
      <c r="H262" s="119"/>
      <c r="I262" s="5"/>
      <c r="J262" s="119"/>
      <c r="K262" s="5"/>
      <c r="L262" s="119"/>
      <c r="M262" s="5"/>
      <c r="N262" s="119"/>
      <c r="O262" s="5"/>
      <c r="P262" s="119"/>
      <c r="Q262" s="5"/>
      <c r="R262" s="119">
        <f>INPUT!AC202</f>
        <v>7.2944297082228102</v>
      </c>
      <c r="S262" s="5" t="str">
        <f>INPUT!AD202</f>
        <v>NA</v>
      </c>
      <c r="T262" s="119">
        <f>INPUT!AE202</f>
        <v>7.1339950372208447</v>
      </c>
      <c r="U262" s="5" t="str">
        <f>INPUT!AF202</f>
        <v>NA</v>
      </c>
      <c r="V262" s="119">
        <f>INPUT!AG202</f>
        <v>7.7013521457965899</v>
      </c>
      <c r="W262" s="5" t="str">
        <f>INPUT!AH202</f>
        <v>NA</v>
      </c>
      <c r="X262" s="119">
        <f>INPUT!AI202</f>
        <v>7.5141242937853097</v>
      </c>
      <c r="Y262" s="5" t="str">
        <f>INPUT!AJ202</f>
        <v>NA</v>
      </c>
      <c r="Z262" s="119">
        <f>INPUT!AK202</f>
        <v>7.6842105263157876</v>
      </c>
      <c r="AA262" s="5">
        <f>INPUT!AL202</f>
        <v>5.3435406698564503</v>
      </c>
      <c r="AB262" s="119">
        <f>INPUT!AM202</f>
        <v>6.1626100466079752</v>
      </c>
      <c r="AC262" s="5">
        <f>INPUT!AN202</f>
        <v>-13.616283520590834</v>
      </c>
      <c r="AD262" s="119">
        <f>INPUT!AO202</f>
        <v>7.1078431372549016</v>
      </c>
      <c r="AE262" s="5">
        <f>INPUT!AP202</f>
        <v>-7.7065559048046683</v>
      </c>
      <c r="AF262" s="119">
        <f>INPUT!AQ202</f>
        <v>7.7699293642785081</v>
      </c>
      <c r="AG262" s="5">
        <f>INPUT!AR202</f>
        <v>3.4043231185936884</v>
      </c>
      <c r="AH262" s="119">
        <f>INPUT!AS202</f>
        <v>6.2173458725182869</v>
      </c>
      <c r="AI262" s="5">
        <f>INPUT!AT202</f>
        <v>-19.089334535720901</v>
      </c>
      <c r="AJ262" s="119">
        <f>INPUT!AU202</f>
        <v>5.5804683607374193</v>
      </c>
      <c r="AK262" s="5">
        <f>INPUT!AV202</f>
        <v>-9.4463495413112941</v>
      </c>
      <c r="AL262" s="119">
        <f>INPUT!AW202</f>
        <v>6.2812926718252173</v>
      </c>
      <c r="AM262" s="5">
        <f>INPUT!AX202</f>
        <v>-11.628709996390041</v>
      </c>
      <c r="AN262" s="119">
        <f>INPUT!AY202</f>
        <v>5.5411255411255409</v>
      </c>
      <c r="AO262" s="18">
        <f>INPUT!AZ202</f>
        <v>-28.684994659020646</v>
      </c>
      <c r="AP262" s="119">
        <f>INPUT!BA202</f>
        <v>6.9275753486279807</v>
      </c>
      <c r="AQ262" s="18">
        <f>INPUT!BB202</f>
        <v>11.423354767008021</v>
      </c>
      <c r="AR262" s="119">
        <f>INPUT!BC202</f>
        <v>7.2469635627530362</v>
      </c>
      <c r="AS262" s="18">
        <f>INPUT!BD202</f>
        <v>29.862998843262002</v>
      </c>
      <c r="AT262" s="119">
        <f>INPUT!BE202</f>
        <v>6.4620355411954762</v>
      </c>
      <c r="AU262" s="18">
        <f>INPUT!BF202</f>
        <v>2.8774788696120268</v>
      </c>
      <c r="AV262" s="119">
        <f>INPUT!BG202</f>
        <v>7.0405727923627675</v>
      </c>
      <c r="AW262" s="18">
        <f>INPUT!BH202</f>
        <v>27.060337112171815</v>
      </c>
      <c r="AX262" s="119">
        <f>INPUT!BI202</f>
        <v>7.1072319201995029</v>
      </c>
      <c r="AY262" s="18">
        <f>INPUT!BJ202</f>
        <v>2.5933542766460649</v>
      </c>
      <c r="AZ262" s="119">
        <f>INPUT!BK202</f>
        <v>5.6681836988001653</v>
      </c>
      <c r="BA262" s="18">
        <f>INPUT!BL202</f>
        <v>-21.785398122701626</v>
      </c>
      <c r="BB262" s="119">
        <f>INPUT!BM202</f>
        <v>7.0761014686248336</v>
      </c>
      <c r="BC262" s="18">
        <f>INPUT!BN202</f>
        <v>9.5026702269693111</v>
      </c>
      <c r="BD262" s="119">
        <f>INPUT!BO202</f>
        <v>6.7471201316511245</v>
      </c>
      <c r="BE262" s="18">
        <f>INPUT!BP202</f>
        <v>-4.1680225368874062</v>
      </c>
      <c r="BF262" s="119">
        <f>INPUT!BQ202</f>
        <v>6.5030674846625764</v>
      </c>
      <c r="BG262" s="18">
        <f>INPUT!BR202</f>
        <v>-8.5006996017651719</v>
      </c>
      <c r="BH262" s="119">
        <f>INPUT!BS202</f>
        <v>6.6897347174163775</v>
      </c>
      <c r="BI262" s="18">
        <f>INPUT!BT202</f>
        <v>18.02254607295901</v>
      </c>
      <c r="BJ262" s="119">
        <f>INPUT!BU202</f>
        <v>6.5409546258102536</v>
      </c>
      <c r="BK262" s="18">
        <f>INPUT!BV202</f>
        <v>-7.5627355710966127</v>
      </c>
      <c r="BL262" s="119">
        <f>INPUT!BW202</f>
        <v>7.4444444444444455</v>
      </c>
      <c r="BM262" s="18">
        <f>INPUT!BX202</f>
        <v>10.335140018066857</v>
      </c>
      <c r="BN262" s="119">
        <f>INPUT!BY202</f>
        <v>6.2123039806996383</v>
      </c>
      <c r="BO262" s="18">
        <f>INPUT!BZ202</f>
        <v>-4.4711746364112237</v>
      </c>
      <c r="BP262" s="119">
        <f>INPUT!CA202</f>
        <v>6.4748201438848918</v>
      </c>
      <c r="BQ262" s="18">
        <f>INPUT!CB202</f>
        <v>-3.2126023319275498</v>
      </c>
      <c r="BR262" s="119">
        <f>INPUT!CC202</f>
        <v>7.2490706319702598</v>
      </c>
      <c r="BS262" s="18">
        <f>INPUT!CD202</f>
        <v>10.825881643725509</v>
      </c>
      <c r="BT262" s="119">
        <f>INPUT!CE202</f>
        <v>7.1554252199413488</v>
      </c>
      <c r="BU262" s="18">
        <f>INPUT!CF202</f>
        <v>-3.882347791832641</v>
      </c>
      <c r="BV262" s="119">
        <f>INPUT!CG202</f>
        <v>6.5230400957510479</v>
      </c>
      <c r="BW262" s="18">
        <f>INPUT!CH202</f>
        <v>5.0019463956819221</v>
      </c>
      <c r="BX262" s="119">
        <f>INPUT!CI202</f>
        <v>6.4846416382252556</v>
      </c>
      <c r="BY262" s="18">
        <f>INPUT!CJ202</f>
        <v>0.15168752370118277</v>
      </c>
      <c r="BZ262" s="119">
        <f>INPUT!CK202</f>
        <v>6.267806267806268</v>
      </c>
      <c r="CA262" s="18">
        <f>INPUT!CL202</f>
        <v>-13.536416100518656</v>
      </c>
      <c r="CB262" s="119">
        <f>INPUT!CM202</f>
        <v>7.3286052009456277</v>
      </c>
      <c r="CC262" s="18">
        <f>INPUT!CN202</f>
        <v>2.4202612099368581</v>
      </c>
      <c r="CD262" s="119">
        <f>INPUT!CO202</f>
        <v>6.2097246631517287</v>
      </c>
      <c r="CE262" s="18">
        <f>INPUT!CP202</f>
        <v>-4.8032118153528707</v>
      </c>
      <c r="CF262" s="119">
        <f>INPUT!CQ202</f>
        <v>5.7736720554272525</v>
      </c>
      <c r="CG262" s="18">
        <f>INPUT!CR202</f>
        <v>-10.963899355779738</v>
      </c>
      <c r="CH262" s="119">
        <f>INPUT!CS202</f>
        <v>6.3356164383561646</v>
      </c>
      <c r="CI262" s="18">
        <f>INPUT!CT202</f>
        <v>1.081880448318806</v>
      </c>
      <c r="CJ262" s="119">
        <f>INPUT!CU202</f>
        <v>6.2108262108262116</v>
      </c>
      <c r="CK262" s="18">
        <f>INPUT!CV202</f>
        <v>-15.252274607113325</v>
      </c>
      <c r="CL262" s="119">
        <f>INPUT!CW202</f>
        <v>7.1627260083449231</v>
      </c>
      <c r="CM262" s="18">
        <f>INPUT!CX202</f>
        <v>15.346917889101718</v>
      </c>
      <c r="CN262" s="119">
        <f>INPUT!CY202</f>
        <v>6.1773255813953494</v>
      </c>
      <c r="CO262" s="18">
        <f>INPUT!CZ202</f>
        <v>6.9912790697674421</v>
      </c>
      <c r="CP262" s="119">
        <f>INPUT!DA202</f>
        <v>6.9919883466860888</v>
      </c>
      <c r="CQ262" s="18">
        <f>INPUT!DB202</f>
        <v>10.360032282829067</v>
      </c>
      <c r="CR262" s="119">
        <f>INPUT!DC202</f>
        <v>6.9615663524292968</v>
      </c>
      <c r="CS262" s="18">
        <f>INPUT!DD202</f>
        <v>12.087605032233162</v>
      </c>
      <c r="CT262" s="119">
        <f>INPUT!DE202</f>
        <v>6.5260382333553064</v>
      </c>
      <c r="CU262" s="18">
        <f>INPUT!DF202</f>
        <v>-8.8889031110200847</v>
      </c>
      <c r="CV262" s="119">
        <f>INPUT!DG202</f>
        <v>6.883116883116883</v>
      </c>
      <c r="CW262" s="18">
        <f>INPUT!DH202</f>
        <v>11.42551566080976</v>
      </c>
      <c r="CX262" s="119">
        <f>INPUT!DI202</f>
        <v>7.536041939711664</v>
      </c>
      <c r="CY262" s="18">
        <f>INPUT!DJ202</f>
        <v>7.781099825251192</v>
      </c>
      <c r="CZ262" s="119">
        <f>INPUT!DK202</f>
        <v>7.2531900604432504</v>
      </c>
      <c r="DA262" s="18">
        <f>INPUT!DL202</f>
        <v>4.1890530557421091</v>
      </c>
      <c r="DB262" s="119">
        <f>INPUT!DM202</f>
        <v>8.6330935251798557</v>
      </c>
      <c r="DC262" s="18">
        <f>INPUT!DN202</f>
        <v>32.28689775452365</v>
      </c>
      <c r="DD262" s="119">
        <f>INPUT!DO202</f>
        <v>7.2433192686357257</v>
      </c>
      <c r="DE262" s="18">
        <f>INPUT!DP202</f>
        <v>5.2331289971605521</v>
      </c>
      <c r="DF262" s="119">
        <f>INPUT!DQ202</f>
        <v>7.8146611341632104</v>
      </c>
      <c r="DG262" s="18">
        <f>INPUT!DR202</f>
        <v>3.6971555715918258</v>
      </c>
      <c r="DH262" s="119">
        <f>INPUT!DS202</f>
        <v>5.4521276595744679</v>
      </c>
      <c r="DI262" s="18">
        <f>INPUT!DT202</f>
        <v>-24.83131402679275</v>
      </c>
      <c r="DJ262" s="119">
        <f>INPUT!DU202</f>
        <v>6.4608758076094759</v>
      </c>
      <c r="DK262" s="18">
        <f>INPUT!DV202</f>
        <v>-25.16152189519023</v>
      </c>
      <c r="DL262" s="119">
        <f>INPUT!DW202</f>
        <v>6.8892045454545441</v>
      </c>
      <c r="DM262" s="18">
        <f>INPUT!DX202</f>
        <v>-4.8888459841130105</v>
      </c>
      <c r="DN262" s="119">
        <f>INPUT!DY202</f>
        <v>7.2270227808326784</v>
      </c>
      <c r="DO262" s="18">
        <f>INPUT!DZ202</f>
        <v>-7.5196907868668061</v>
      </c>
      <c r="DP262" s="119">
        <f>INPUT!EA202</f>
        <v>9.0237899917965549</v>
      </c>
      <c r="DQ262" s="18">
        <f>INPUT!EB202</f>
        <v>65.50951399587828</v>
      </c>
      <c r="DR262" s="119">
        <f>INPUT!EC202</f>
        <v>7.2547403132728778</v>
      </c>
      <c r="DS262" s="18">
        <f>INPUT!ED202</f>
        <v>12.287258404323541</v>
      </c>
      <c r="DT262" s="119">
        <f>INPUT!EE202</f>
        <v>7.0977917981072558</v>
      </c>
      <c r="DU262" s="18">
        <f>INPUT!EF202</f>
        <v>3.0277407395362665</v>
      </c>
      <c r="DV262" s="119">
        <f>INPUT!EG202</f>
        <v>6.9961977186311781</v>
      </c>
      <c r="DW262" s="18">
        <f>INPUT!EH202</f>
        <v>-3.1939163498098888</v>
      </c>
      <c r="DX262" s="119">
        <f>INPUT!EI202</f>
        <v>6.3718140929535236</v>
      </c>
      <c r="DY262" s="18">
        <f>INPUT!EJ202</f>
        <v>-29.388714733542322</v>
      </c>
      <c r="DZ262" s="119">
        <f>INPUT!EK202</f>
        <v>7</v>
      </c>
      <c r="EA262" s="18">
        <f>INPUT!EL202</f>
        <v>-3.5113636363636402</v>
      </c>
      <c r="EB262" s="119">
        <f>INPUT!EM202</f>
        <v>7</v>
      </c>
      <c r="EC262" s="18">
        <f>INPUT!EN202</f>
        <v>-1.3777777777777778</v>
      </c>
      <c r="ED262" s="119">
        <f>INPUT!EO202</f>
        <v>7</v>
      </c>
      <c r="EE262" s="18">
        <f>INPUT!EP202</f>
        <v>5.4347826086975637E-2</v>
      </c>
      <c r="EF262" s="119">
        <f>INPUT!EQ202</f>
        <v>7</v>
      </c>
      <c r="EG262" s="18">
        <f>INPUT!ER202</f>
        <v>9.8588235294117652</v>
      </c>
      <c r="EH262" s="18"/>
      <c r="EI262" s="119">
        <f>INPUT!FB202</f>
        <v>0</v>
      </c>
      <c r="EJ262" s="5">
        <f>INPUT!FC202</f>
        <v>0</v>
      </c>
      <c r="EK262" s="119">
        <f>INPUT!FD202</f>
        <v>9.2096876991714449</v>
      </c>
      <c r="EL262" s="5" t="str">
        <f>INPUT!FE202</f>
        <v>NA</v>
      </c>
      <c r="EM262" s="119">
        <f>INPUT!FF202</f>
        <v>7.1488469601677149</v>
      </c>
      <c r="EN262" s="5">
        <f>INPUT!FG202</f>
        <v>-22.376879719701403</v>
      </c>
      <c r="EO262" s="119">
        <f>INPUT!FH202</f>
        <v>7.4192080109239873</v>
      </c>
      <c r="EP262" s="5">
        <f>INPUT!FI202</f>
        <v>3.7818833199630975</v>
      </c>
      <c r="EQ262" s="119">
        <f>INPUT!FJ202</f>
        <v>7.1819686743919515</v>
      </c>
      <c r="ER262" s="18">
        <f>INPUT!FK202</f>
        <v>-3.1976369469992827</v>
      </c>
      <c r="ES262" s="119">
        <f>INPUT!FL202</f>
        <v>5.897009966777409</v>
      </c>
      <c r="ET262" s="18">
        <f>INPUT!FM202</f>
        <v>-17.891455196625895</v>
      </c>
      <c r="EU262" s="119">
        <f>INPUT!FN202</f>
        <v>6.9193431787669111</v>
      </c>
      <c r="EV262" s="18">
        <f>INPUT!FO202</f>
        <v>17.336467425850156</v>
      </c>
      <c r="EW262" s="119">
        <f>INPUT!FP202</f>
        <v>6.6344315753963796</v>
      </c>
      <c r="EX262" s="18">
        <f>INPUT!FQ202</f>
        <v>-4.1176105305027688</v>
      </c>
      <c r="EY262" s="119">
        <f>INPUT!FR202</f>
        <v>6.8065879609386384</v>
      </c>
      <c r="EZ262" s="18">
        <f>INPUT!FS202</f>
        <v>2.5948927739445793</v>
      </c>
      <c r="FA262" s="119">
        <f>INPUT!FT202</f>
        <v>6.7783584383645863</v>
      </c>
      <c r="FB262" s="18">
        <f>INPUT!FU202</f>
        <v>-0.41473823207831551</v>
      </c>
      <c r="FC262" s="119">
        <f>INPUT!FV202</f>
        <v>6.6463059918557308</v>
      </c>
      <c r="FD262" s="18">
        <f>INPUT!FW202</f>
        <v>-1.9481478843233924</v>
      </c>
      <c r="FE262" s="119">
        <f>INPUT!FX202</f>
        <v>6.1330262021307238</v>
      </c>
      <c r="FF262" s="18">
        <f>INPUT!FY202</f>
        <v>-7.7227830068909098</v>
      </c>
      <c r="FG262" s="119">
        <f>INPUT!FZ202</f>
        <v>6.8271649299317279</v>
      </c>
      <c r="FH262" s="18">
        <f>INPUT!GA202</f>
        <v>11.318046017149697</v>
      </c>
      <c r="FI262" s="119">
        <f>INPUT!GB202</f>
        <v>7.0487483530961796</v>
      </c>
      <c r="FJ262" s="18">
        <f>INPUT!GC202</f>
        <v>3.2456140350877405</v>
      </c>
      <c r="FK262" s="119">
        <f>INPUT!GD202</f>
        <v>7.2544255466851792</v>
      </c>
      <c r="FL262" s="18">
        <f>INPUT!GE202</f>
        <v>2.9179250454962835</v>
      </c>
      <c r="FM262" s="119">
        <f>INPUT!GF202</f>
        <v>7.3493293028528237</v>
      </c>
      <c r="FN262" s="18">
        <f>INPUT!GG202</f>
        <v>1.3082187632487363</v>
      </c>
      <c r="FO262" s="119">
        <f>INPUT!GH202</f>
        <v>6.9200779727095512</v>
      </c>
      <c r="FP262" s="18">
        <f>INPUT!GI202</f>
        <v>-5.8406871219751739</v>
      </c>
      <c r="FQ262" s="119">
        <f>INPUT!GJ202</f>
        <v>7.0000000000000009</v>
      </c>
      <c r="FR262" s="18">
        <f>INPUT!GK202</f>
        <v>1.1549295774648138</v>
      </c>
      <c r="FS262" s="119">
        <f>INPUT!GL202</f>
        <v>7.0000000000000009</v>
      </c>
      <c r="FT262" s="18">
        <f>INPUT!GM202</f>
        <v>0</v>
      </c>
      <c r="FU262" s="119">
        <f>INPUT!GN202</f>
        <v>7.0000000000000009</v>
      </c>
      <c r="FV262" s="18">
        <f>INPUT!GO202</f>
        <v>0</v>
      </c>
      <c r="FW262" s="119">
        <f>INPUT!GP202</f>
        <v>7.0000000000000009</v>
      </c>
      <c r="FX262" s="18">
        <f>INPUT!GQ202</f>
        <v>0</v>
      </c>
      <c r="FY262" s="119">
        <f>INPUT!GR202</f>
        <v>7.0000000000000009</v>
      </c>
      <c r="FZ262" s="18">
        <f>INPUT!GS202</f>
        <v>0</v>
      </c>
      <c r="GA262" s="5">
        <f>INPUT!GT202</f>
        <v>0.22992616085089068</v>
      </c>
    </row>
    <row r="263" spans="1:183" ht="12.75" hidden="1" customHeight="1" outlineLevel="1" x14ac:dyDescent="0.2">
      <c r="A263" s="612" t="str">
        <f>INPUT!B203</f>
        <v>Other Expenses/Revenues (%)</v>
      </c>
      <c r="B263" s="119"/>
      <c r="C263" s="613"/>
      <c r="D263" s="119"/>
      <c r="E263" s="5"/>
      <c r="F263" s="119"/>
      <c r="G263" s="5"/>
      <c r="H263" s="119"/>
      <c r="I263" s="5"/>
      <c r="J263" s="119"/>
      <c r="K263" s="5"/>
      <c r="L263" s="119"/>
      <c r="M263" s="5"/>
      <c r="N263" s="119"/>
      <c r="O263" s="5"/>
      <c r="P263" s="119"/>
      <c r="Q263" s="5"/>
      <c r="R263" s="119">
        <f>INPUT!AC203</f>
        <v>18.86178861788618</v>
      </c>
      <c r="S263" s="5" t="str">
        <f>INPUT!AD203</f>
        <v>NA</v>
      </c>
      <c r="T263" s="119">
        <f>INPUT!AE203</f>
        <v>20.305343511450381</v>
      </c>
      <c r="U263" s="5" t="str">
        <f>INPUT!AF203</f>
        <v>NA</v>
      </c>
      <c r="V263" s="119">
        <f>INPUT!AG203</f>
        <v>19.378338999514334</v>
      </c>
      <c r="W263" s="5" t="str">
        <f>INPUT!AH203</f>
        <v>NA</v>
      </c>
      <c r="X263" s="119">
        <f>INPUT!AI203</f>
        <v>19.078641228478354</v>
      </c>
      <c r="Y263" s="5" t="str">
        <f>INPUT!AJ203</f>
        <v>NA</v>
      </c>
      <c r="Z263" s="119">
        <f>INPUT!AK203</f>
        <v>17.659947414548636</v>
      </c>
      <c r="AA263" s="5">
        <f>INPUT!AL203</f>
        <v>-6.3718305176947325</v>
      </c>
      <c r="AB263" s="119">
        <f>INPUT!AM203</f>
        <v>18.744625967325881</v>
      </c>
      <c r="AC263" s="5">
        <f>INPUT!AN203</f>
        <v>-7.686240536853739</v>
      </c>
      <c r="AD263" s="119">
        <f>INPUT!AO203</f>
        <v>16.981907894736842</v>
      </c>
      <c r="AE263" s="5">
        <f>INPUT!AP203</f>
        <v>-12.366545475530955</v>
      </c>
      <c r="AF263" s="119">
        <f>INPUT!AQ203</f>
        <v>18.228062738448497</v>
      </c>
      <c r="AG263" s="5">
        <f>INPUT!AR203</f>
        <v>-4.4582760367662511</v>
      </c>
      <c r="AH263" s="119">
        <f>INPUT!AS203</f>
        <v>16.122004357298476</v>
      </c>
      <c r="AI263" s="5">
        <f>INPUT!AT203</f>
        <v>-8.7086502646274599</v>
      </c>
      <c r="AJ263" s="119">
        <f>INPUT!AU203</f>
        <v>16.091476091476089</v>
      </c>
      <c r="AK263" s="5">
        <f>INPUT!AV203</f>
        <v>-14.154189475290401</v>
      </c>
      <c r="AL263" s="119">
        <f>INPUT!AW203</f>
        <v>14.802259887005647</v>
      </c>
      <c r="AM263" s="5">
        <f>INPUT!AX203</f>
        <v>-12.835118534630185</v>
      </c>
      <c r="AN263" s="119">
        <f>INPUT!AY203</f>
        <v>14.397163120567377</v>
      </c>
      <c r="AO263" s="18">
        <f>INPUT!AZ203</f>
        <v>-21.016493485073397</v>
      </c>
      <c r="AP263" s="119">
        <f>INPUT!BA203</f>
        <v>15.312616997379259</v>
      </c>
      <c r="AQ263" s="18">
        <f>INPUT!BB203</f>
        <v>-5.0203891649043371</v>
      </c>
      <c r="AR263" s="119">
        <f>INPUT!BC203</f>
        <v>15.701634877384196</v>
      </c>
      <c r="AS263" s="18">
        <f>INPUT!BD203</f>
        <v>-2.4226566405452288</v>
      </c>
      <c r="AT263" s="119">
        <f>INPUT!BE203</f>
        <v>15.326719124187477</v>
      </c>
      <c r="AU263" s="18">
        <f>INPUT!BF203</f>
        <v>3.5431024801978683</v>
      </c>
      <c r="AV263" s="119">
        <f>INPUT!BG203</f>
        <v>16.906474820143885</v>
      </c>
      <c r="AW263" s="18">
        <f>INPUT!BH203</f>
        <v>17.429209341886075</v>
      </c>
      <c r="AX263" s="119">
        <f>INPUT!BI203</f>
        <v>15.990116484292269</v>
      </c>
      <c r="AY263" s="18">
        <f>INPUT!BJ203</f>
        <v>4.424452639473464</v>
      </c>
      <c r="AZ263" s="119">
        <f>INPUT!BK203</f>
        <v>16.939331970006819</v>
      </c>
      <c r="BA263" s="18">
        <f>INPUT!BL203</f>
        <v>7.8826001386985256</v>
      </c>
      <c r="BB263" s="119">
        <f>INPUT!BM203</f>
        <v>17.207074428887253</v>
      </c>
      <c r="BC263" s="18">
        <f>INPUT!BN203</f>
        <v>12.26847891883358</v>
      </c>
      <c r="BD263" s="119">
        <f>INPUT!BO203</f>
        <v>18.702798756108397</v>
      </c>
      <c r="BE263" s="18">
        <f>INPUT!BP203</f>
        <v>10.625064982939026</v>
      </c>
      <c r="BF263" s="119">
        <f>INPUT!BQ203</f>
        <v>15.643044619422572</v>
      </c>
      <c r="BG263" s="18">
        <f>INPUT!BR203</f>
        <v>-2.170539940785543</v>
      </c>
      <c r="BH263" s="119">
        <f>INPUT!BS203</f>
        <v>16.514642342774842</v>
      </c>
      <c r="BI263" s="18">
        <f>INPUT!BT203</f>
        <v>-2.5071214613654358</v>
      </c>
      <c r="BJ263" s="119">
        <f>INPUT!BU203</f>
        <v>19.709543568464731</v>
      </c>
      <c r="BK263" s="18">
        <f>INPUT!BV203</f>
        <v>14.543257483540195</v>
      </c>
      <c r="BL263" s="119">
        <f>INPUT!BW203</f>
        <v>17.841011743450768</v>
      </c>
      <c r="BM263" s="18">
        <f>INPUT!BX203</f>
        <v>-4.6077970676777324</v>
      </c>
      <c r="BN263" s="119">
        <f>INPUT!BY203</f>
        <v>14.750121300339639</v>
      </c>
      <c r="BO263" s="18">
        <f>INPUT!BZ203</f>
        <v>-5.7081171907818362</v>
      </c>
      <c r="BP263" s="119">
        <f>INPUT!CA203</f>
        <v>16.955193482688387</v>
      </c>
      <c r="BQ263" s="18">
        <f>INPUT!CB203</f>
        <v>2.6676396059299723</v>
      </c>
      <c r="BR263" s="119">
        <f>INPUT!CC203</f>
        <v>16.699900299102691</v>
      </c>
      <c r="BS263" s="18">
        <f>INPUT!CD203</f>
        <v>-15.269979535078981</v>
      </c>
      <c r="BT263" s="119">
        <f>INPUT!CE203</f>
        <v>17.198905109489054</v>
      </c>
      <c r="BU263" s="18">
        <f>INPUT!CF203</f>
        <v>-3.5990483230157855</v>
      </c>
      <c r="BV263" s="119">
        <f>INPUT!CG203</f>
        <v>17.067421027817069</v>
      </c>
      <c r="BW263" s="18">
        <f>INPUT!CH203</f>
        <v>15.710377428720346</v>
      </c>
      <c r="BX263" s="119">
        <f>INPUT!CI203</f>
        <v>16.703393565447332</v>
      </c>
      <c r="BY263" s="18">
        <f>INPUT!CJ203</f>
        <v>-1.4850902025868806</v>
      </c>
      <c r="BZ263" s="119">
        <f>INPUT!CK203</f>
        <v>15.767824497257768</v>
      </c>
      <c r="CA263" s="18">
        <f>INPUT!CL203</f>
        <v>-5.5813255477639263</v>
      </c>
      <c r="CB263" s="119">
        <f>INPUT!CM203</f>
        <v>17.772727272727273</v>
      </c>
      <c r="CC263" s="18">
        <f>INPUT!CN203</f>
        <v>3.3363877501808359</v>
      </c>
      <c r="CD263" s="119">
        <f>INPUT!CO203</f>
        <v>16.401350699469369</v>
      </c>
      <c r="CE263" s="18">
        <f>INPUT!CP203</f>
        <v>-3.9025833326670534</v>
      </c>
      <c r="CF263" s="119">
        <f>INPUT!CQ203</f>
        <v>15.242805755395683</v>
      </c>
      <c r="CG263" s="18">
        <f>INPUT!CR203</f>
        <v>-8.7442578918395579</v>
      </c>
      <c r="CH263" s="119">
        <f>INPUT!CS203</f>
        <v>16.285714285714288</v>
      </c>
      <c r="CI263" s="18">
        <f>INPUT!CT203</f>
        <v>3.2844720496894686</v>
      </c>
      <c r="CJ263" s="119">
        <f>INPUT!CU203</f>
        <v>19.574844995571304</v>
      </c>
      <c r="CK263" s="18">
        <f>INPUT!CV203</f>
        <v>10.139792813956184</v>
      </c>
      <c r="CL263" s="119">
        <f>INPUT!CW203</f>
        <v>17.916428162564394</v>
      </c>
      <c r="CM263" s="18">
        <f>INPUT!CX203</f>
        <v>9.2375164146940811</v>
      </c>
      <c r="CN263" s="119">
        <f>INPUT!CY203</f>
        <v>13.121924548933844</v>
      </c>
      <c r="CO263" s="18">
        <f>INPUT!CZ203</f>
        <v>-13.91398172026882</v>
      </c>
      <c r="CP263" s="119">
        <f>INPUT!DA203</f>
        <v>17.113893858079901</v>
      </c>
      <c r="CQ263" s="18">
        <f>INPUT!DB203</f>
        <v>5.0853131636485083</v>
      </c>
      <c r="CR263" s="119">
        <f>INPUT!DC203</f>
        <v>18.343524180100054</v>
      </c>
      <c r="CS263" s="18">
        <f>INPUT!DD203</f>
        <v>-6.2903221749639915</v>
      </c>
      <c r="CT263" s="119">
        <f>INPUT!DE203</f>
        <v>16.954643628509718</v>
      </c>
      <c r="CU263" s="18">
        <f>INPUT!DF203</f>
        <v>-5.3681711852828107</v>
      </c>
      <c r="CV263" s="119">
        <f>INPUT!DG203</f>
        <v>16.926952141057935</v>
      </c>
      <c r="CW263" s="18">
        <f>INPUT!DH203</f>
        <v>28.99748110831235</v>
      </c>
      <c r="CX263" s="119">
        <f>INPUT!DI203</f>
        <v>18.021390374331553</v>
      </c>
      <c r="CY263" s="18">
        <f>INPUT!DJ203</f>
        <v>5.3026887029756775</v>
      </c>
      <c r="CZ263" s="119">
        <f>INPUT!DK203</f>
        <v>19.146666666666665</v>
      </c>
      <c r="DA263" s="18">
        <f>INPUT!DL203</f>
        <v>4.3783434343434235</v>
      </c>
      <c r="DB263" s="119">
        <f>INPUT!DM203</f>
        <v>16.123076923076923</v>
      </c>
      <c r="DC263" s="18">
        <f>INPUT!DN203</f>
        <v>-4.9046545810876978</v>
      </c>
      <c r="DD263" s="119">
        <f>INPUT!DO203</f>
        <v>17.367256637168143</v>
      </c>
      <c r="DE263" s="18">
        <f>INPUT!DP203</f>
        <v>2.6012036451748877</v>
      </c>
      <c r="DF263" s="119">
        <f>INPUT!DQ203</f>
        <v>17.381228273464657</v>
      </c>
      <c r="DG263" s="18">
        <f>INPUT!DR203</f>
        <v>-3.5522348030299522</v>
      </c>
      <c r="DH263" s="119">
        <f>INPUT!DS203</f>
        <v>18.682505399568036</v>
      </c>
      <c r="DI263" s="18">
        <f>INPUT!DT203</f>
        <v>-2.4242406011418582</v>
      </c>
      <c r="DJ263" s="119">
        <f>INPUT!DU203</f>
        <v>16.917519566526188</v>
      </c>
      <c r="DK263" s="18">
        <f>INPUT!DV203</f>
        <v>4.9273637236834311</v>
      </c>
      <c r="DL263" s="119">
        <f>INPUT!DW203</f>
        <v>16.685714285714283</v>
      </c>
      <c r="DM263" s="18">
        <f>INPUT!DX203</f>
        <v>-3.924294813466811</v>
      </c>
      <c r="DN263" s="119">
        <f>INPUT!DY203</f>
        <v>17.265725288831835</v>
      </c>
      <c r="DO263" s="18">
        <f>INPUT!DZ203</f>
        <v>-0.66452717158750341</v>
      </c>
      <c r="DP263" s="119">
        <f>INPUT!EA203</f>
        <v>17.916390179163898</v>
      </c>
      <c r="DQ263" s="18">
        <f>INPUT!EB203</f>
        <v>-4.100709214417531</v>
      </c>
      <c r="DR263" s="119">
        <f>INPUT!EC203</f>
        <v>17.173766058147397</v>
      </c>
      <c r="DS263" s="18">
        <f>INPUT!ED203</f>
        <v>1.5146812191559667</v>
      </c>
      <c r="DT263" s="119">
        <f>INPUT!EE203</f>
        <v>16.25</v>
      </c>
      <c r="DU263" s="18">
        <f>INPUT!EF203</f>
        <v>-2.611301369862995</v>
      </c>
      <c r="DV263" s="119">
        <f>INPUT!EG203</f>
        <v>16.125</v>
      </c>
      <c r="DW263" s="18">
        <f>INPUT!EH203</f>
        <v>-6.6068773234200684</v>
      </c>
      <c r="DX263" s="119">
        <f>INPUT!EI203</f>
        <v>15.417170495767834</v>
      </c>
      <c r="DY263" s="18">
        <f>INPUT!EJ203</f>
        <v>-13.949348381029147</v>
      </c>
      <c r="DZ263" s="119">
        <f>INPUT!EK203</f>
        <v>16</v>
      </c>
      <c r="EA263" s="18">
        <f>INPUT!EL203</f>
        <v>-6.8346456692913389</v>
      </c>
      <c r="EB263" s="119">
        <f>INPUT!EM203</f>
        <v>16</v>
      </c>
      <c r="EC263" s="18">
        <f>INPUT!EN203</f>
        <v>-1.538461538461533</v>
      </c>
      <c r="ED263" s="119">
        <f>INPUT!EO203</f>
        <v>16</v>
      </c>
      <c r="EE263" s="18">
        <f>INPUT!EP203</f>
        <v>-0.77519379844961378</v>
      </c>
      <c r="EF263" s="119">
        <f>INPUT!EQ203</f>
        <v>16</v>
      </c>
      <c r="EG263" s="18">
        <f>INPUT!ER203</f>
        <v>3.7803921568627441</v>
      </c>
      <c r="EH263" s="18"/>
      <c r="EI263" s="119">
        <f>INPUT!FB203</f>
        <v>0</v>
      </c>
      <c r="EJ263" s="5">
        <f>INPUT!FC203</f>
        <v>0</v>
      </c>
      <c r="EK263" s="119">
        <f>INPUT!FD203</f>
        <v>22.271825396825395</v>
      </c>
      <c r="EL263" s="5" t="str">
        <f>INPUT!FE203</f>
        <v>NA</v>
      </c>
      <c r="EM263" s="119">
        <f>INPUT!FF203</f>
        <v>20.121334681496464</v>
      </c>
      <c r="EN263" s="5">
        <f>INPUT!FG203</f>
        <v>-9.6556554167107507</v>
      </c>
      <c r="EO263" s="119">
        <f>INPUT!FH203</f>
        <v>19.406335744574708</v>
      </c>
      <c r="EP263" s="5">
        <f>INPUT!FI203</f>
        <v>-3.5534369277166689</v>
      </c>
      <c r="EQ263" s="119">
        <f>INPUT!FJ203</f>
        <v>17.895520800085116</v>
      </c>
      <c r="ER263" s="18">
        <f>INPUT!FK203</f>
        <v>-7.7851633836231056</v>
      </c>
      <c r="ES263" s="119">
        <f>INPUT!FL203</f>
        <v>15.29238329238329</v>
      </c>
      <c r="ET263" s="18">
        <f>INPUT!FM203</f>
        <v>-14.546307630730947</v>
      </c>
      <c r="EU263" s="119">
        <f>INPUT!FN203</f>
        <v>15.83534691059717</v>
      </c>
      <c r="EV263" s="18">
        <f>INPUT!FO203</f>
        <v>3.5505493671762478</v>
      </c>
      <c r="EW263" s="119">
        <f>INPUT!FP203</f>
        <v>17.126351099515468</v>
      </c>
      <c r="EX263" s="18">
        <f>INPUT!FQ203</f>
        <v>8.1526738644061236</v>
      </c>
      <c r="EY263" s="119">
        <f>INPUT!FR203</f>
        <v>17.429274292742928</v>
      </c>
      <c r="EZ263" s="18">
        <f>INPUT!FS203</f>
        <v>1.7687550107274852</v>
      </c>
      <c r="FA263" s="119">
        <f>INPUT!FT203</f>
        <v>16.405204913048763</v>
      </c>
      <c r="FB263" s="18">
        <f>INPUT!FU203</f>
        <v>-5.8755709646531873</v>
      </c>
      <c r="FC263" s="119">
        <f>INPUT!FV203</f>
        <v>16.826156299840513</v>
      </c>
      <c r="FD263" s="18">
        <f>INPUT!FW203</f>
        <v>2.5659623822005706</v>
      </c>
      <c r="FE263" s="119">
        <f>INPUT!FX203</f>
        <v>16.903523974581169</v>
      </c>
      <c r="FF263" s="18">
        <f>INPUT!FY203</f>
        <v>0.45980599111272724</v>
      </c>
      <c r="FG263" s="119">
        <f>INPUT!FZ203</f>
        <v>16.591038003403288</v>
      </c>
      <c r="FH263" s="18">
        <f>INPUT!GA203</f>
        <v>-1.8486439374877373</v>
      </c>
      <c r="FI263" s="119">
        <f>INPUT!GB203</f>
        <v>17.752571880770248</v>
      </c>
      <c r="FJ263" s="18">
        <f>INPUT!GC203</f>
        <v>7.0009717121297443</v>
      </c>
      <c r="FK263" s="119">
        <f>INPUT!GD203</f>
        <v>17.429753244900869</v>
      </c>
      <c r="FL263" s="18">
        <f>INPUT!GE203</f>
        <v>-1.8184330588124964</v>
      </c>
      <c r="FM263" s="119">
        <f>INPUT!GF203</f>
        <v>17.171093267449038</v>
      </c>
      <c r="FN263" s="18">
        <f>INPUT!GG203</f>
        <v>-1.4840139950202835</v>
      </c>
      <c r="FO263" s="119">
        <f>INPUT!GH203</f>
        <v>16.216642981209539</v>
      </c>
      <c r="FP263" s="18">
        <f>INPUT!GI203</f>
        <v>-5.5584712713012578</v>
      </c>
      <c r="FQ263" s="119">
        <f>INPUT!GJ203</f>
        <v>16.000000000000004</v>
      </c>
      <c r="FR263" s="18">
        <f>INPUT!GK203</f>
        <v>-1.3359298928919072</v>
      </c>
      <c r="FS263" s="119">
        <f>INPUT!GL203</f>
        <v>16.000000000000004</v>
      </c>
      <c r="FT263" s="18">
        <f>INPUT!GM203</f>
        <v>0</v>
      </c>
      <c r="FU263" s="119">
        <f>INPUT!GN203</f>
        <v>16.000000000000004</v>
      </c>
      <c r="FV263" s="18">
        <f>INPUT!GO203</f>
        <v>0</v>
      </c>
      <c r="FW263" s="119">
        <f>INPUT!GP203</f>
        <v>16.000000000000004</v>
      </c>
      <c r="FX263" s="18">
        <f>INPUT!GQ203</f>
        <v>0</v>
      </c>
      <c r="FY263" s="119">
        <f>INPUT!GR203</f>
        <v>16.000000000000004</v>
      </c>
      <c r="FZ263" s="18">
        <f>INPUT!GS203</f>
        <v>0</v>
      </c>
      <c r="GA263" s="5">
        <f>INPUT!GT203</f>
        <v>-0.26862529802116342</v>
      </c>
    </row>
    <row r="264" spans="1:183" ht="12.75" hidden="1" customHeight="1" outlineLevel="1" x14ac:dyDescent="0.2">
      <c r="A264" s="612"/>
      <c r="B264" s="119"/>
      <c r="C264" s="613"/>
      <c r="D264" s="119"/>
      <c r="E264" s="5"/>
      <c r="F264" s="119"/>
      <c r="G264" s="5"/>
      <c r="H264" s="119"/>
      <c r="I264" s="5"/>
      <c r="J264" s="119"/>
      <c r="K264" s="5"/>
      <c r="L264" s="119"/>
      <c r="M264" s="5"/>
      <c r="N264" s="119"/>
      <c r="O264" s="5"/>
      <c r="P264" s="119"/>
      <c r="Q264" s="5"/>
      <c r="R264" s="119"/>
      <c r="S264" s="5"/>
      <c r="T264" s="119"/>
      <c r="U264" s="5"/>
      <c r="V264" s="119"/>
      <c r="W264" s="5"/>
      <c r="X264" s="119"/>
      <c r="Y264" s="5"/>
      <c r="Z264" s="119"/>
      <c r="AA264" s="5"/>
      <c r="AB264" s="119"/>
      <c r="AC264" s="5"/>
      <c r="AD264" s="119"/>
      <c r="AE264" s="5"/>
      <c r="AF264" s="119"/>
      <c r="AG264" s="5"/>
      <c r="AH264" s="119"/>
      <c r="AI264" s="5"/>
      <c r="AJ264" s="119"/>
      <c r="AK264" s="5"/>
      <c r="AL264" s="119"/>
      <c r="AM264" s="5"/>
      <c r="AN264" s="119"/>
      <c r="AO264" s="18"/>
      <c r="AP264" s="119"/>
      <c r="AQ264" s="18"/>
      <c r="AR264" s="119"/>
      <c r="AS264" s="18"/>
      <c r="AT264" s="119"/>
      <c r="AU264" s="18"/>
      <c r="AV264" s="119"/>
      <c r="AW264" s="18"/>
      <c r="AX264" s="119"/>
      <c r="AY264" s="18"/>
      <c r="AZ264" s="119"/>
      <c r="BA264" s="18"/>
      <c r="BB264" s="119"/>
      <c r="BC264" s="18"/>
      <c r="BD264" s="119"/>
      <c r="BE264" s="18"/>
      <c r="BF264" s="119"/>
      <c r="BG264" s="18"/>
      <c r="BH264" s="119"/>
      <c r="BI264" s="18"/>
      <c r="BJ264" s="119"/>
      <c r="BK264" s="18"/>
      <c r="BL264" s="119"/>
      <c r="BM264" s="18"/>
      <c r="BN264" s="119"/>
      <c r="BO264" s="18"/>
      <c r="BP264" s="119"/>
      <c r="BQ264" s="18"/>
      <c r="BR264" s="119"/>
      <c r="BS264" s="18"/>
      <c r="BT264" s="119"/>
      <c r="BU264" s="18"/>
      <c r="BV264" s="119"/>
      <c r="BW264" s="18"/>
      <c r="BX264" s="119"/>
      <c r="BY264" s="18"/>
      <c r="BZ264" s="119"/>
      <c r="CA264" s="18"/>
      <c r="CB264" s="119"/>
      <c r="CC264" s="18"/>
      <c r="CD264" s="119"/>
      <c r="CE264" s="18"/>
      <c r="CF264" s="119"/>
      <c r="CG264" s="18"/>
      <c r="CH264" s="119"/>
      <c r="CI264" s="18"/>
      <c r="CJ264" s="119"/>
      <c r="CK264" s="18"/>
      <c r="CL264" s="119"/>
      <c r="CM264" s="18"/>
      <c r="CN264" s="119"/>
      <c r="CO264" s="18"/>
      <c r="CP264" s="119"/>
      <c r="CQ264" s="18"/>
      <c r="CR264" s="119"/>
      <c r="CS264" s="18"/>
      <c r="CT264" s="119"/>
      <c r="CU264" s="18"/>
      <c r="CV264" s="119"/>
      <c r="CW264" s="18"/>
      <c r="CX264" s="119"/>
      <c r="CY264" s="18"/>
      <c r="CZ264" s="119"/>
      <c r="DA264" s="18"/>
      <c r="DB264" s="119"/>
      <c r="DC264" s="18"/>
      <c r="DD264" s="119"/>
      <c r="DE264" s="18"/>
      <c r="DF264" s="119"/>
      <c r="DG264" s="18"/>
      <c r="DH264" s="119"/>
      <c r="DI264" s="18"/>
      <c r="DJ264" s="119"/>
      <c r="DK264" s="18"/>
      <c r="DL264" s="119"/>
      <c r="DM264" s="18"/>
      <c r="DN264" s="119"/>
      <c r="DO264" s="18"/>
      <c r="DP264" s="119"/>
      <c r="DQ264" s="18"/>
      <c r="DR264" s="119"/>
      <c r="DS264" s="18"/>
      <c r="DT264" s="119"/>
      <c r="DU264" s="18"/>
      <c r="DV264" s="119"/>
      <c r="DW264" s="18"/>
      <c r="DX264" s="119"/>
      <c r="DY264" s="18"/>
      <c r="DZ264" s="119"/>
      <c r="EA264" s="18"/>
      <c r="EB264" s="119"/>
      <c r="EC264" s="18"/>
      <c r="ED264" s="119"/>
      <c r="EE264" s="18"/>
      <c r="EF264" s="119"/>
      <c r="EG264" s="18"/>
      <c r="EH264" s="18"/>
      <c r="EI264" s="119"/>
      <c r="EJ264" s="5"/>
      <c r="EK264" s="119"/>
      <c r="EL264" s="5"/>
      <c r="EM264" s="119"/>
      <c r="EN264" s="5"/>
      <c r="EO264" s="119"/>
      <c r="EP264" s="5"/>
      <c r="EQ264" s="119"/>
      <c r="ER264" s="18"/>
      <c r="ES264" s="119"/>
      <c r="ET264" s="18"/>
      <c r="EU264" s="119"/>
      <c r="EV264" s="18"/>
      <c r="EW264" s="119"/>
      <c r="EX264" s="18"/>
      <c r="EY264" s="119"/>
      <c r="EZ264" s="18"/>
      <c r="FA264" s="119"/>
      <c r="FB264" s="18"/>
      <c r="FC264" s="119"/>
      <c r="FD264" s="18"/>
      <c r="FE264" s="119"/>
      <c r="FF264" s="18"/>
      <c r="FG264" s="119"/>
      <c r="FH264" s="18"/>
      <c r="FI264" s="119"/>
      <c r="FJ264" s="18"/>
      <c r="FK264" s="119"/>
      <c r="FL264" s="18"/>
      <c r="FM264" s="119"/>
      <c r="FN264" s="18"/>
      <c r="FO264" s="119"/>
      <c r="FP264" s="18"/>
      <c r="FQ264" s="119"/>
      <c r="FR264" s="18"/>
      <c r="FS264" s="119"/>
      <c r="FT264" s="18"/>
      <c r="FU264" s="119"/>
      <c r="FV264" s="18"/>
      <c r="FW264" s="119"/>
      <c r="FX264" s="18"/>
      <c r="FY264" s="119"/>
      <c r="FZ264" s="18"/>
      <c r="GA264" s="5"/>
    </row>
    <row r="265" spans="1:183" ht="12.75" hidden="1" customHeight="1" outlineLevel="1" x14ac:dyDescent="0.2">
      <c r="A265" s="612" t="str">
        <f>INPUT!B212</f>
        <v>Sales Data</v>
      </c>
      <c r="B265" s="119"/>
      <c r="C265" s="613"/>
      <c r="D265" s="119"/>
      <c r="E265" s="5"/>
      <c r="F265" s="119"/>
      <c r="G265" s="5"/>
      <c r="H265" s="119"/>
      <c r="I265" s="5"/>
      <c r="J265" s="119"/>
      <c r="K265" s="5"/>
      <c r="L265" s="119"/>
      <c r="M265" s="5"/>
      <c r="N265" s="119"/>
      <c r="O265" s="5"/>
      <c r="P265" s="119"/>
      <c r="Q265" s="5"/>
      <c r="R265" s="119"/>
      <c r="S265" s="5"/>
      <c r="T265" s="119"/>
      <c r="U265" s="5"/>
      <c r="V265" s="119"/>
      <c r="W265" s="5"/>
      <c r="X265" s="119"/>
      <c r="Y265" s="5"/>
      <c r="Z265" s="119"/>
      <c r="AA265" s="5"/>
      <c r="AB265" s="119"/>
      <c r="AC265" s="5"/>
      <c r="AD265" s="119"/>
      <c r="AE265" s="5"/>
      <c r="AF265" s="119"/>
      <c r="AG265" s="5"/>
      <c r="AH265" s="119"/>
      <c r="AI265" s="5"/>
      <c r="AJ265" s="119"/>
      <c r="AK265" s="5"/>
      <c r="AL265" s="119"/>
      <c r="AM265" s="5"/>
      <c r="AN265" s="119"/>
      <c r="AO265" s="18"/>
      <c r="AP265" s="119"/>
      <c r="AQ265" s="18"/>
      <c r="AR265" s="119"/>
      <c r="AS265" s="18"/>
      <c r="AT265" s="119"/>
      <c r="AU265" s="18"/>
      <c r="AV265" s="119"/>
      <c r="AW265" s="18"/>
      <c r="AX265" s="119"/>
      <c r="AY265" s="18"/>
      <c r="AZ265" s="119"/>
      <c r="BA265" s="18"/>
      <c r="BB265" s="119"/>
      <c r="BC265" s="18"/>
      <c r="BD265" s="119"/>
      <c r="BE265" s="18"/>
      <c r="BF265" s="119"/>
      <c r="BG265" s="18"/>
      <c r="BH265" s="119"/>
      <c r="BI265" s="18"/>
      <c r="BJ265" s="119"/>
      <c r="BK265" s="18"/>
      <c r="BL265" s="119"/>
      <c r="BM265" s="18"/>
      <c r="BN265" s="119"/>
      <c r="BO265" s="18"/>
      <c r="BP265" s="119"/>
      <c r="BQ265" s="18"/>
      <c r="BR265" s="119"/>
      <c r="BS265" s="18"/>
      <c r="BT265" s="119"/>
      <c r="BU265" s="18"/>
      <c r="BV265" s="119"/>
      <c r="BW265" s="18"/>
      <c r="BX265" s="119"/>
      <c r="BY265" s="18"/>
      <c r="BZ265" s="119"/>
      <c r="CA265" s="18"/>
      <c r="CB265" s="119"/>
      <c r="CC265" s="18"/>
      <c r="CD265" s="119"/>
      <c r="CE265" s="18"/>
      <c r="CF265" s="119"/>
      <c r="CG265" s="18"/>
      <c r="CH265" s="119"/>
      <c r="CI265" s="18"/>
      <c r="CJ265" s="119"/>
      <c r="CK265" s="18"/>
      <c r="CL265" s="119"/>
      <c r="CM265" s="18"/>
      <c r="CN265" s="119"/>
      <c r="CO265" s="18"/>
      <c r="CP265" s="119"/>
      <c r="CQ265" s="18"/>
      <c r="CR265" s="119"/>
      <c r="CS265" s="18"/>
      <c r="CT265" s="119"/>
      <c r="CU265" s="18"/>
      <c r="CV265" s="119"/>
      <c r="CW265" s="18"/>
      <c r="CX265" s="119"/>
      <c r="CY265" s="18"/>
      <c r="CZ265" s="119"/>
      <c r="DA265" s="18"/>
      <c r="DB265" s="119"/>
      <c r="DC265" s="18"/>
      <c r="DD265" s="119"/>
      <c r="DE265" s="18"/>
      <c r="DF265" s="119"/>
      <c r="DG265" s="18"/>
      <c r="DH265" s="119"/>
      <c r="DI265" s="18"/>
      <c r="DJ265" s="119"/>
      <c r="DK265" s="18"/>
      <c r="DL265" s="119"/>
      <c r="DM265" s="18"/>
      <c r="DN265" s="119"/>
      <c r="DO265" s="18"/>
      <c r="DP265" s="119"/>
      <c r="DQ265" s="18"/>
      <c r="DR265" s="119"/>
      <c r="DS265" s="18"/>
      <c r="DT265" s="119"/>
      <c r="DU265" s="18"/>
      <c r="DV265" s="119"/>
      <c r="DW265" s="18"/>
      <c r="DX265" s="119"/>
      <c r="DY265" s="18"/>
      <c r="DZ265" s="119"/>
      <c r="EA265" s="18"/>
      <c r="EB265" s="119"/>
      <c r="EC265" s="18"/>
      <c r="ED265" s="119"/>
      <c r="EE265" s="18"/>
      <c r="EF265" s="119"/>
      <c r="EG265" s="18"/>
      <c r="EH265" s="18"/>
      <c r="EI265" s="119"/>
      <c r="EJ265" s="5"/>
      <c r="EK265" s="119"/>
      <c r="EL265" s="5"/>
      <c r="EM265" s="119"/>
      <c r="EN265" s="5"/>
      <c r="EO265" s="119"/>
      <c r="EP265" s="5"/>
      <c r="EQ265" s="119"/>
      <c r="ER265" s="18"/>
      <c r="ES265" s="119"/>
      <c r="ET265" s="18"/>
      <c r="EU265" s="119"/>
      <c r="EV265" s="18"/>
      <c r="EW265" s="119"/>
      <c r="EX265" s="18"/>
      <c r="EY265" s="119"/>
      <c r="EZ265" s="18"/>
      <c r="FA265" s="119"/>
      <c r="FB265" s="18"/>
      <c r="FC265" s="119"/>
      <c r="FD265" s="18"/>
      <c r="FE265" s="119"/>
      <c r="FF265" s="18"/>
      <c r="FG265" s="119"/>
      <c r="FH265" s="18"/>
      <c r="FI265" s="119"/>
      <c r="FJ265" s="18"/>
      <c r="FK265" s="119"/>
      <c r="FL265" s="18"/>
      <c r="FM265" s="119"/>
      <c r="FN265" s="18"/>
      <c r="FO265" s="119"/>
      <c r="FP265" s="18"/>
      <c r="FQ265" s="119"/>
      <c r="FR265" s="18"/>
      <c r="FS265" s="119"/>
      <c r="FT265" s="18"/>
      <c r="FU265" s="119"/>
      <c r="FV265" s="18"/>
      <c r="FW265" s="119"/>
      <c r="FX265" s="18"/>
      <c r="FY265" s="119"/>
      <c r="FZ265" s="18"/>
      <c r="GA265" s="5"/>
    </row>
    <row r="266" spans="1:183" ht="12.75" hidden="1" customHeight="1" outlineLevel="1" x14ac:dyDescent="0.2">
      <c r="A266" s="612" t="str">
        <f>INPUT!B213</f>
        <v>Group Long Term Income Protection</v>
      </c>
      <c r="B266" s="119"/>
      <c r="C266" s="613"/>
      <c r="D266" s="119"/>
      <c r="E266" s="5"/>
      <c r="F266" s="119"/>
      <c r="G266" s="5"/>
      <c r="H266" s="119"/>
      <c r="I266" s="5"/>
      <c r="J266" s="119"/>
      <c r="K266" s="5"/>
      <c r="L266" s="119"/>
      <c r="M266" s="5"/>
      <c r="N266" s="119"/>
      <c r="O266" s="5"/>
      <c r="P266" s="119"/>
      <c r="Q266" s="5"/>
      <c r="R266" s="119">
        <f>INPUT!AC213</f>
        <v>29.300000000000004</v>
      </c>
      <c r="S266" s="5" t="str">
        <f>INPUT!AD213</f>
        <v>NA</v>
      </c>
      <c r="T266" s="119">
        <f>INPUT!AE213</f>
        <v>32.299999999999997</v>
      </c>
      <c r="U266" s="5" t="str">
        <f>INPUT!AF213</f>
        <v>NA</v>
      </c>
      <c r="V266" s="119">
        <f>INPUT!AG213</f>
        <v>17.3</v>
      </c>
      <c r="W266" s="5" t="str">
        <f>INPUT!AH213</f>
        <v>NA</v>
      </c>
      <c r="X266" s="119">
        <f>INPUT!AI213</f>
        <v>24.4</v>
      </c>
      <c r="Y266" s="5" t="str">
        <f>INPUT!AJ213</f>
        <v>NA</v>
      </c>
      <c r="Z266" s="119">
        <f>INPUT!AK213</f>
        <v>17.800000000000004</v>
      </c>
      <c r="AA266" s="5">
        <f>INPUT!AL213</f>
        <v>-39.249146757679178</v>
      </c>
      <c r="AB266" s="119">
        <f>INPUT!AM213</f>
        <v>38.799999999999997</v>
      </c>
      <c r="AC266" s="5">
        <f>INPUT!AN213</f>
        <v>20.123839009287934</v>
      </c>
      <c r="AD266" s="119">
        <f>INPUT!AO213</f>
        <v>17.100000000000001</v>
      </c>
      <c r="AE266" s="5">
        <f>INPUT!AP213</f>
        <v>-1.1560693641618491</v>
      </c>
      <c r="AF266" s="119">
        <f>INPUT!AQ213</f>
        <v>17.100000000000001</v>
      </c>
      <c r="AG266" s="5">
        <f>INPUT!AR213</f>
        <v>-29.918032786885242</v>
      </c>
      <c r="AH266" s="119">
        <f>INPUT!AS213</f>
        <v>7.2</v>
      </c>
      <c r="AI266" s="5" t="str">
        <f>INPUT!AT213</f>
        <v>NM</v>
      </c>
      <c r="AJ266" s="119">
        <f>INPUT!AU213</f>
        <v>14.1</v>
      </c>
      <c r="AK266" s="5" t="str">
        <f>INPUT!AV213</f>
        <v>NM</v>
      </c>
      <c r="AL266" s="119">
        <f>INPUT!AW213</f>
        <v>18</v>
      </c>
      <c r="AM266" s="5">
        <f>INPUT!AX213</f>
        <v>5.2631578947368363</v>
      </c>
      <c r="AN266" s="119">
        <f>INPUT!AY213</f>
        <v>39.799999999999997</v>
      </c>
      <c r="AO266" s="18" t="str">
        <f>INPUT!AZ213</f>
        <v>NM</v>
      </c>
      <c r="AP266" s="119">
        <f>INPUT!BA213</f>
        <v>16.3</v>
      </c>
      <c r="AQ266" s="18" t="str">
        <f>INPUT!BB213</f>
        <v>NM</v>
      </c>
      <c r="AR266" s="119">
        <f>INPUT!BC213</f>
        <v>22.2</v>
      </c>
      <c r="AS266" s="18">
        <f>INPUT!BD213</f>
        <v>57.446808510638306</v>
      </c>
      <c r="AT266" s="119">
        <f>INPUT!BE213</f>
        <v>16.600000000000001</v>
      </c>
      <c r="AU266" s="18">
        <f>INPUT!BF213</f>
        <v>-7.7777777777777724</v>
      </c>
      <c r="AV266" s="119">
        <f>INPUT!BG213</f>
        <v>29.3</v>
      </c>
      <c r="AW266" s="18">
        <f>INPUT!BH213</f>
        <v>-26.38190954773869</v>
      </c>
      <c r="AX266" s="119">
        <f>INPUT!BI213</f>
        <v>14.8</v>
      </c>
      <c r="AY266" s="18">
        <f>INPUT!BJ213</f>
        <v>-9.2024539877300633</v>
      </c>
      <c r="AZ266" s="119">
        <f>INPUT!BK213</f>
        <v>23.2</v>
      </c>
      <c r="BA266" s="18">
        <f>INPUT!BL213</f>
        <v>4.5045045045045029</v>
      </c>
      <c r="BB266" s="119">
        <f>INPUT!BM213</f>
        <v>16.2</v>
      </c>
      <c r="BC266" s="18">
        <f>INPUT!BN213</f>
        <v>0</v>
      </c>
      <c r="BD266" s="119">
        <f>INPUT!BO213</f>
        <v>18.5</v>
      </c>
      <c r="BE266" s="18">
        <f>INPUT!BP213</f>
        <v>0</v>
      </c>
      <c r="BF266" s="119">
        <f>INPUT!BQ213</f>
        <v>16.3</v>
      </c>
      <c r="BG266" s="18">
        <f>INPUT!BR213</f>
        <v>0</v>
      </c>
      <c r="BH266" s="119">
        <f>INPUT!BS213</f>
        <v>15.5</v>
      </c>
      <c r="BI266" s="18">
        <f>INPUT!BT213</f>
        <v>0</v>
      </c>
      <c r="BJ266" s="119">
        <f>INPUT!BU213</f>
        <v>13.5</v>
      </c>
      <c r="BK266" s="18">
        <f>INPUT!BV213</f>
        <v>0</v>
      </c>
      <c r="BL266" s="119">
        <f>INPUT!BW213</f>
        <v>18.5</v>
      </c>
      <c r="BM266" s="18">
        <f>INPUT!BX213</f>
        <v>0</v>
      </c>
      <c r="BN266" s="119">
        <f>INPUT!BY213</f>
        <v>11.7</v>
      </c>
      <c r="BO266" s="18">
        <f>INPUT!BZ213</f>
        <v>0</v>
      </c>
      <c r="BP266" s="119">
        <f>INPUT!CA213</f>
        <v>13.7</v>
      </c>
      <c r="BQ266" s="18">
        <f>INPUT!CB213</f>
        <v>0</v>
      </c>
      <c r="BR266" s="119">
        <f>INPUT!CC213</f>
        <v>14.5</v>
      </c>
      <c r="BS266" s="18">
        <f>INPUT!CD213</f>
        <v>0</v>
      </c>
      <c r="BT266" s="119">
        <f>INPUT!CE213</f>
        <v>14.1</v>
      </c>
      <c r="BU266" s="18">
        <f>INPUT!CF213</f>
        <v>-23.783783783783786</v>
      </c>
      <c r="BV266" s="119">
        <f>INPUT!CG213</f>
        <v>8.1999999999999993</v>
      </c>
      <c r="BW266" s="18">
        <f>INPUT!CH213</f>
        <v>-29.914529914529918</v>
      </c>
      <c r="BX266" s="119">
        <f>INPUT!CI213</f>
        <v>12.6</v>
      </c>
      <c r="BY266" s="18">
        <f>INPUT!CJ213</f>
        <v>-8.0291970802919721</v>
      </c>
      <c r="BZ266" s="119">
        <f>INPUT!CK213</f>
        <v>9.9</v>
      </c>
      <c r="CA266" s="18">
        <f>INPUT!CL213</f>
        <v>-31.72413793103448</v>
      </c>
      <c r="CB266" s="119">
        <f>INPUT!CM213</f>
        <v>17.100000000000001</v>
      </c>
      <c r="CC266" s="18">
        <f>INPUT!CN213</f>
        <v>21.276595744680861</v>
      </c>
      <c r="CD266" s="119">
        <f>INPUT!CO213</f>
        <v>11.2</v>
      </c>
      <c r="CE266" s="18">
        <f>INPUT!CP213</f>
        <v>36.585365853658544</v>
      </c>
      <c r="CF266" s="119">
        <f>INPUT!CQ213</f>
        <v>13.5</v>
      </c>
      <c r="CG266" s="18">
        <f>INPUT!CR213</f>
        <v>7.1428571428571397</v>
      </c>
      <c r="CH266" s="119">
        <f>INPUT!CS213</f>
        <v>10.4</v>
      </c>
      <c r="CI266" s="18">
        <f>INPUT!CT213</f>
        <v>5.0505050505050608</v>
      </c>
      <c r="CJ266" s="119">
        <f>INPUT!CU213</f>
        <v>16.100000000000001</v>
      </c>
      <c r="CK266" s="18">
        <f>INPUT!CV213</f>
        <v>-5.8479532163742682</v>
      </c>
      <c r="CL266" s="119">
        <f>INPUT!CW213</f>
        <v>10.9</v>
      </c>
      <c r="CM266" s="18">
        <f>INPUT!CX213</f>
        <v>-2.6785714285714191</v>
      </c>
      <c r="CN266" s="119">
        <f>INPUT!CY213</f>
        <v>13.8</v>
      </c>
      <c r="CO266" s="18">
        <f>INPUT!CZ213</f>
        <v>2.2222222222222365</v>
      </c>
      <c r="CP266" s="119">
        <f>INPUT!DA213</f>
        <v>10.3</v>
      </c>
      <c r="CQ266" s="18">
        <f>INPUT!DB213</f>
        <v>-0.96153846153845812</v>
      </c>
      <c r="CR266" s="119">
        <f>INPUT!DC213</f>
        <v>15.5</v>
      </c>
      <c r="CS266" s="18">
        <f>INPUT!DD213</f>
        <v>-3.7267080745341685</v>
      </c>
      <c r="CT266" s="119">
        <f>INPUT!DE213</f>
        <v>12.3</v>
      </c>
      <c r="CU266" s="18">
        <f>INPUT!DF213</f>
        <v>12.844036697247718</v>
      </c>
      <c r="CV266" s="119">
        <f>INPUT!DG213</f>
        <v>14.8</v>
      </c>
      <c r="CW266" s="18">
        <f>INPUT!DH213</f>
        <v>7.2463768115942129</v>
      </c>
      <c r="CX266" s="119">
        <f>INPUT!DI213</f>
        <v>12</v>
      </c>
      <c r="CY266" s="18">
        <f>INPUT!DJ213</f>
        <v>16.50485436893203</v>
      </c>
      <c r="CZ266" s="119">
        <f>INPUT!DK213</f>
        <v>18.3</v>
      </c>
      <c r="DA266" s="18">
        <f>INPUT!DL213</f>
        <v>18.06451612903226</v>
      </c>
      <c r="DB266" s="119">
        <f>INPUT!DM213</f>
        <v>10.6</v>
      </c>
      <c r="DC266" s="18">
        <f>INPUT!DN213</f>
        <v>-13.821138211382122</v>
      </c>
      <c r="DD266" s="119">
        <f>INPUT!DO213</f>
        <v>14.4</v>
      </c>
      <c r="DE266" s="18">
        <f>INPUT!DP213</f>
        <v>-2.7027027027027084</v>
      </c>
      <c r="DF266" s="119">
        <f>INPUT!DQ213</f>
        <v>11.8</v>
      </c>
      <c r="DG266" s="18">
        <f>INPUT!DR213</f>
        <v>-1.6666666666666607</v>
      </c>
      <c r="DH266" s="119">
        <f>INPUT!DS213</f>
        <v>16.600000000000001</v>
      </c>
      <c r="DI266" s="18">
        <f>INPUT!DT213</f>
        <v>-9.2896174863387966</v>
      </c>
      <c r="DJ266" s="119">
        <f>INPUT!DU213</f>
        <v>10.199999999999999</v>
      </c>
      <c r="DK266" s="18">
        <f>INPUT!DV213</f>
        <v>-3.7735849056603765</v>
      </c>
      <c r="DL266" s="119">
        <f>INPUT!DW213</f>
        <v>14.6</v>
      </c>
      <c r="DM266" s="18">
        <f>INPUT!DX213</f>
        <v>1.388888888888884</v>
      </c>
      <c r="DN266" s="119">
        <f>INPUT!DY213</f>
        <v>11.6</v>
      </c>
      <c r="DO266" s="18">
        <f>INPUT!DZ213</f>
        <v>-1.6949152542372947</v>
      </c>
      <c r="DP266" s="119">
        <f>INPUT!EA213</f>
        <v>13.8</v>
      </c>
      <c r="DQ266" s="18">
        <f>INPUT!EB213</f>
        <v>-16.867469879518072</v>
      </c>
      <c r="DR266" s="119">
        <f>INPUT!EC213</f>
        <v>13.5</v>
      </c>
      <c r="DS266" s="18">
        <f>INPUT!ED213</f>
        <v>32.352941176470608</v>
      </c>
      <c r="DT266" s="119">
        <f>INPUT!EE213</f>
        <v>11.5</v>
      </c>
      <c r="DU266" s="18">
        <f>INPUT!EF213</f>
        <v>-21.232876712328764</v>
      </c>
      <c r="DV266" s="119">
        <f>INPUT!EG213</f>
        <v>6.5</v>
      </c>
      <c r="DW266" s="18">
        <f>INPUT!EH213</f>
        <v>-43.965517241379303</v>
      </c>
      <c r="DX266" s="119">
        <f>INPUT!EI213</f>
        <v>15.6</v>
      </c>
      <c r="DY266" s="18">
        <f>INPUT!EJ213</f>
        <v>13.043478260869556</v>
      </c>
      <c r="DZ266" s="119">
        <f>INPUT!EK213</f>
        <v>0</v>
      </c>
      <c r="EA266" s="18" t="str">
        <f>INPUT!EL213</f>
        <v>NM</v>
      </c>
      <c r="EB266" s="119">
        <f>INPUT!EM213</f>
        <v>0</v>
      </c>
      <c r="EC266" s="18" t="str">
        <f>INPUT!EN213</f>
        <v>NM</v>
      </c>
      <c r="ED266" s="119">
        <f>INPUT!EO213</f>
        <v>0</v>
      </c>
      <c r="EE266" s="18" t="str">
        <f>INPUT!EP213</f>
        <v>NM</v>
      </c>
      <c r="EF266" s="119">
        <f>INPUT!EQ213</f>
        <v>0</v>
      </c>
      <c r="EG266" s="18" t="str">
        <f>INPUT!ER213</f>
        <v>NM</v>
      </c>
      <c r="EH266" s="18"/>
      <c r="EI266" s="119">
        <f>INPUT!FB213</f>
        <v>0</v>
      </c>
      <c r="EJ266" s="5">
        <f>INPUT!FC213</f>
        <v>0</v>
      </c>
      <c r="EK266" s="119">
        <f>INPUT!FD213</f>
        <v>57</v>
      </c>
      <c r="EL266" s="5" t="str">
        <f>INPUT!FE213</f>
        <v>NA</v>
      </c>
      <c r="EM266" s="119">
        <f>INPUT!FF213</f>
        <v>81.5</v>
      </c>
      <c r="EN266" s="5">
        <f>INPUT!FG213</f>
        <v>42.982456140350877</v>
      </c>
      <c r="EO266" s="119">
        <f>INPUT!FH213</f>
        <v>103.3</v>
      </c>
      <c r="EP266" s="5">
        <f>INPUT!FI213</f>
        <v>26.748466257668714</v>
      </c>
      <c r="EQ266" s="119">
        <f>INPUT!FJ213</f>
        <v>0</v>
      </c>
      <c r="ER266" s="18" t="str">
        <f>INPUT!FK213</f>
        <v>NM</v>
      </c>
      <c r="ES266" s="119">
        <f>INPUT!FL213</f>
        <v>0</v>
      </c>
      <c r="ET266" s="18" t="str">
        <f>INPUT!FM213</f>
        <v>NA</v>
      </c>
      <c r="EU266" s="119">
        <f>INPUT!FN213</f>
        <v>0</v>
      </c>
      <c r="EV266" s="18" t="str">
        <f>INPUT!FO213</f>
        <v>NA</v>
      </c>
      <c r="EW266" s="119">
        <f>INPUT!FP213</f>
        <v>72.7</v>
      </c>
      <c r="EX266" s="18" t="str">
        <f>INPUT!FQ213</f>
        <v>NA</v>
      </c>
      <c r="EY266" s="96">
        <f>INPUT!FR213</f>
        <v>63.8</v>
      </c>
      <c r="EZ266" s="18">
        <f>INPUT!FS213</f>
        <v>-12.242090784044024</v>
      </c>
      <c r="FA266" s="96">
        <f>INPUT!FT213</f>
        <v>54</v>
      </c>
      <c r="FB266" s="18">
        <f>INPUT!FU213</f>
        <v>-15.36050156739811</v>
      </c>
      <c r="FC266" s="96">
        <f>INPUT!FV213</f>
        <v>47.8</v>
      </c>
      <c r="FD266" s="18">
        <f>INPUT!FW213</f>
        <v>-11.481481481481481</v>
      </c>
      <c r="FE266" s="96">
        <f>INPUT!FX213</f>
        <v>51.2</v>
      </c>
      <c r="FF266" s="18">
        <f>INPUT!FY213</f>
        <v>7.1129707112970841</v>
      </c>
      <c r="FG266" s="96">
        <f>INPUT!FZ213</f>
        <v>50.5</v>
      </c>
      <c r="FH266" s="18">
        <f>INPUT!GA213</f>
        <v>-1.3671875</v>
      </c>
      <c r="FI266" s="96">
        <f>INPUT!GB213</f>
        <v>57.400000000000006</v>
      </c>
      <c r="FJ266" s="18">
        <f>INPUT!GC213</f>
        <v>13.663366336633676</v>
      </c>
      <c r="FK266" s="96">
        <f>INPUT!GD213</f>
        <v>55.7</v>
      </c>
      <c r="FL266" s="18">
        <f>INPUT!GE213</f>
        <v>-2.9616724738676048</v>
      </c>
      <c r="FM266" s="96">
        <f>INPUT!GF213</f>
        <v>50.2</v>
      </c>
      <c r="FN266" s="18">
        <f>INPUT!GG213</f>
        <v>-9.8743267504488372</v>
      </c>
      <c r="FO266" s="96">
        <f>INPUT!GH213</f>
        <v>47.1</v>
      </c>
      <c r="FP266" s="18">
        <f>INPUT!GI213</f>
        <v>-6.1752988047808817</v>
      </c>
      <c r="FQ266" s="96">
        <f>INPUT!GJ213</f>
        <v>0</v>
      </c>
      <c r="FR266" s="18" t="str">
        <f>INPUT!GK213</f>
        <v>NM</v>
      </c>
      <c r="FS266" s="96">
        <f>INPUT!GL213</f>
        <v>0</v>
      </c>
      <c r="FT266" s="18" t="str">
        <f>INPUT!GM213</f>
        <v>NA</v>
      </c>
      <c r="FU266" s="96">
        <f>INPUT!GN213</f>
        <v>0</v>
      </c>
      <c r="FV266" s="18" t="str">
        <f>INPUT!GO213</f>
        <v>NA</v>
      </c>
      <c r="FW266" s="96">
        <f>INPUT!GP213</f>
        <v>0</v>
      </c>
      <c r="FX266" s="18" t="str">
        <f>INPUT!GQ213</f>
        <v>NA</v>
      </c>
      <c r="FY266" s="96">
        <f>INPUT!GR213</f>
        <v>0</v>
      </c>
      <c r="FZ266" s="18" t="str">
        <f>INPUT!GS213</f>
        <v>NA</v>
      </c>
      <c r="GA266" s="5">
        <f>INPUT!GT213</f>
        <v>0</v>
      </c>
    </row>
    <row r="267" spans="1:183" ht="12.75" hidden="1" customHeight="1" outlineLevel="1" x14ac:dyDescent="0.2">
      <c r="A267" s="612" t="str">
        <f>INPUT!B214</f>
        <v>Group Life</v>
      </c>
      <c r="B267" s="119"/>
      <c r="C267" s="613"/>
      <c r="D267" s="119"/>
      <c r="E267" s="5"/>
      <c r="F267" s="119"/>
      <c r="G267" s="5"/>
      <c r="H267" s="119"/>
      <c r="I267" s="5"/>
      <c r="J267" s="119"/>
      <c r="K267" s="5"/>
      <c r="L267" s="119"/>
      <c r="M267" s="5"/>
      <c r="N267" s="119"/>
      <c r="O267" s="5"/>
      <c r="P267" s="119"/>
      <c r="Q267" s="5"/>
      <c r="R267" s="119">
        <f>INPUT!AC214</f>
        <v>9.5000000000000036</v>
      </c>
      <c r="S267" s="5" t="str">
        <f>INPUT!AD214</f>
        <v>NA</v>
      </c>
      <c r="T267" s="119">
        <f>INPUT!AE214</f>
        <v>28.7</v>
      </c>
      <c r="U267" s="5" t="str">
        <f>INPUT!AF214</f>
        <v>NA</v>
      </c>
      <c r="V267" s="119">
        <f>INPUT!AG214</f>
        <v>19.2</v>
      </c>
      <c r="W267" s="5" t="str">
        <f>INPUT!AH214</f>
        <v>NA</v>
      </c>
      <c r="X267" s="119">
        <f>INPUT!AI214</f>
        <v>10.699999999999989</v>
      </c>
      <c r="Y267" s="5" t="str">
        <f>INPUT!AJ214</f>
        <v>NA</v>
      </c>
      <c r="Z267" s="119">
        <f>INPUT!AK214</f>
        <v>15.8</v>
      </c>
      <c r="AA267" s="5">
        <f>INPUT!AL214</f>
        <v>66.315789473684148</v>
      </c>
      <c r="AB267" s="119">
        <f>INPUT!AM214</f>
        <v>5</v>
      </c>
      <c r="AC267" s="5" t="str">
        <f>INPUT!AN214</f>
        <v>NM</v>
      </c>
      <c r="AD267" s="119">
        <f>INPUT!AO214</f>
        <v>6.4</v>
      </c>
      <c r="AE267" s="5" t="str">
        <f>INPUT!AP214</f>
        <v>NM</v>
      </c>
      <c r="AF267" s="119">
        <f>INPUT!AQ214</f>
        <v>6.4</v>
      </c>
      <c r="AG267" s="5">
        <f>INPUT!AR214</f>
        <v>-40.186915887850404</v>
      </c>
      <c r="AH267" s="119">
        <f>INPUT!AS214</f>
        <v>3.1</v>
      </c>
      <c r="AI267" s="5" t="str">
        <f>INPUT!AT214</f>
        <v>NM</v>
      </c>
      <c r="AJ267" s="119">
        <f>INPUT!AU214</f>
        <v>4.5999999999999996</v>
      </c>
      <c r="AK267" s="5">
        <f>INPUT!AV214</f>
        <v>-8.0000000000000071</v>
      </c>
      <c r="AL267" s="119">
        <f>INPUT!AW214</f>
        <v>6</v>
      </c>
      <c r="AM267" s="5">
        <f>INPUT!AX214</f>
        <v>-6.25</v>
      </c>
      <c r="AN267" s="119">
        <f>INPUT!AY214</f>
        <v>2.8</v>
      </c>
      <c r="AO267" s="18" t="str">
        <f>INPUT!AZ214</f>
        <v>NM</v>
      </c>
      <c r="AP267" s="119">
        <f>INPUT!BA214</f>
        <v>2.8</v>
      </c>
      <c r="AQ267" s="18">
        <f>INPUT!BB214</f>
        <v>-9.6774193548387224</v>
      </c>
      <c r="AR267" s="119">
        <f>INPUT!BC214</f>
        <v>4</v>
      </c>
      <c r="AS267" s="18">
        <f>INPUT!BD214</f>
        <v>-13.043478260869556</v>
      </c>
      <c r="AT267" s="119">
        <f>INPUT!BE214</f>
        <v>3.4</v>
      </c>
      <c r="AU267" s="18">
        <f>INPUT!BF214</f>
        <v>-43.333333333333336</v>
      </c>
      <c r="AV267" s="119">
        <f>INPUT!BG214</f>
        <v>3</v>
      </c>
      <c r="AW267" s="18">
        <f>INPUT!BH214</f>
        <v>7.1428571428571397</v>
      </c>
      <c r="AX267" s="119">
        <f>INPUT!BI214</f>
        <v>2.1</v>
      </c>
      <c r="AY267" s="18">
        <f>INPUT!BJ214</f>
        <v>-24.999999999999989</v>
      </c>
      <c r="AZ267" s="119">
        <f>INPUT!BK214</f>
        <v>5.8</v>
      </c>
      <c r="BA267" s="18">
        <f>INPUT!BL214</f>
        <v>44.999999999999993</v>
      </c>
      <c r="BB267" s="119">
        <f>INPUT!BM214</f>
        <v>4.8</v>
      </c>
      <c r="BC267" s="18">
        <f>INPUT!BN214</f>
        <v>0</v>
      </c>
      <c r="BD267" s="119">
        <f>INPUT!BO214</f>
        <v>6.9</v>
      </c>
      <c r="BE267" s="18">
        <f>INPUT!BP214</f>
        <v>0</v>
      </c>
      <c r="BF267" s="119">
        <f>INPUT!BQ214</f>
        <v>2.1</v>
      </c>
      <c r="BG267" s="18">
        <f>INPUT!BR214</f>
        <v>0</v>
      </c>
      <c r="BH267" s="119">
        <f>INPUT!BS214</f>
        <v>12.6</v>
      </c>
      <c r="BI267" s="18">
        <f>INPUT!BT214</f>
        <v>0</v>
      </c>
      <c r="BJ267" s="119">
        <f>INPUT!BU214</f>
        <v>17.100000000000001</v>
      </c>
      <c r="BK267" s="18">
        <f>INPUT!BV214</f>
        <v>0</v>
      </c>
      <c r="BL267" s="119">
        <f>INPUT!BW214</f>
        <v>22</v>
      </c>
      <c r="BM267" s="18">
        <f>INPUT!BX214</f>
        <v>0</v>
      </c>
      <c r="BN267" s="119">
        <f>INPUT!BY214</f>
        <v>10.9</v>
      </c>
      <c r="BO267" s="18">
        <f>INPUT!BZ214</f>
        <v>0</v>
      </c>
      <c r="BP267" s="119">
        <f>INPUT!CA214</f>
        <v>16.100000000000001</v>
      </c>
      <c r="BQ267" s="18">
        <f>INPUT!CB214</f>
        <v>0</v>
      </c>
      <c r="BR267" s="119">
        <f>INPUT!CC214</f>
        <v>14</v>
      </c>
      <c r="BS267" s="18">
        <f>INPUT!CD214</f>
        <v>0</v>
      </c>
      <c r="BT267" s="119">
        <f>INPUT!CE214</f>
        <v>16.3</v>
      </c>
      <c r="BU267" s="18">
        <f>INPUT!CF214</f>
        <v>-25.909090909090903</v>
      </c>
      <c r="BV267" s="119">
        <f>INPUT!CG214</f>
        <v>6.8</v>
      </c>
      <c r="BW267" s="18">
        <f>INPUT!CH214</f>
        <v>-37.614678899082577</v>
      </c>
      <c r="BX267" s="119">
        <f>INPUT!CI214</f>
        <v>9.6999999999999993</v>
      </c>
      <c r="BY267" s="18">
        <f>INPUT!CJ214</f>
        <v>-39.751552795031067</v>
      </c>
      <c r="BZ267" s="119">
        <f>INPUT!CK214</f>
        <v>9</v>
      </c>
      <c r="CA267" s="18">
        <f>INPUT!CL214</f>
        <v>-35.714285714285708</v>
      </c>
      <c r="CB267" s="119">
        <f>INPUT!CM214</f>
        <v>8.3000000000000007</v>
      </c>
      <c r="CC267" s="18">
        <f>INPUT!CN214</f>
        <v>-49.079754601226988</v>
      </c>
      <c r="CD267" s="119">
        <f>INPUT!CO214</f>
        <v>18</v>
      </c>
      <c r="CE267" s="18" t="str">
        <f>INPUT!CP214</f>
        <v>NM</v>
      </c>
      <c r="CF267" s="119">
        <f>INPUT!CQ214</f>
        <v>9.1</v>
      </c>
      <c r="CG267" s="18">
        <f>INPUT!CR214</f>
        <v>-6.1855670103092786</v>
      </c>
      <c r="CH267" s="119">
        <f>INPUT!CS214</f>
        <v>5.6</v>
      </c>
      <c r="CI267" s="18">
        <f>INPUT!CT214</f>
        <v>-37.777777777777779</v>
      </c>
      <c r="CJ267" s="119">
        <f>INPUT!CU214</f>
        <v>5.3</v>
      </c>
      <c r="CK267" s="18">
        <f>INPUT!CV214</f>
        <v>-36.144578313253021</v>
      </c>
      <c r="CL267" s="119">
        <f>INPUT!CW214</f>
        <v>4.5</v>
      </c>
      <c r="CM267" s="18" t="str">
        <f>INPUT!CX214</f>
        <v>NM</v>
      </c>
      <c r="CN267" s="119">
        <f>INPUT!CY214</f>
        <v>6.8</v>
      </c>
      <c r="CO267" s="18">
        <f>INPUT!CZ214</f>
        <v>-25.274725274725274</v>
      </c>
      <c r="CP267" s="119">
        <f>INPUT!DA214</f>
        <v>6.1</v>
      </c>
      <c r="CQ267" s="18">
        <f>INPUT!DB214</f>
        <v>8.9285714285714199</v>
      </c>
      <c r="CR267" s="119">
        <f>INPUT!DC214</f>
        <v>4</v>
      </c>
      <c r="CS267" s="18">
        <f>INPUT!DD214</f>
        <v>-24.528301886792448</v>
      </c>
      <c r="CT267" s="119">
        <f>INPUT!DE214</f>
        <v>4</v>
      </c>
      <c r="CU267" s="18">
        <f>INPUT!DF214</f>
        <v>-11.111111111111116</v>
      </c>
      <c r="CV267" s="119">
        <f>INPUT!DG214</f>
        <v>5.4</v>
      </c>
      <c r="CW267" s="18">
        <f>INPUT!DH214</f>
        <v>-20.588235294117641</v>
      </c>
      <c r="CX267" s="119">
        <f>INPUT!DI214</f>
        <v>8.4</v>
      </c>
      <c r="CY267" s="18">
        <f>INPUT!DJ214</f>
        <v>37.704918032786907</v>
      </c>
      <c r="CZ267" s="119">
        <f>INPUT!DK214</f>
        <v>6</v>
      </c>
      <c r="DA267" s="18">
        <f>INPUT!DL214</f>
        <v>50</v>
      </c>
      <c r="DB267" s="119">
        <f>INPUT!DM214</f>
        <v>5.5</v>
      </c>
      <c r="DC267" s="18">
        <f>INPUT!DN214</f>
        <v>37.5</v>
      </c>
      <c r="DD267" s="119">
        <f>INPUT!DO214</f>
        <v>4.7</v>
      </c>
      <c r="DE267" s="18">
        <f>INPUT!DP214</f>
        <v>-12.962962962962965</v>
      </c>
      <c r="DF267" s="119">
        <f>INPUT!DQ214</f>
        <v>6.7</v>
      </c>
      <c r="DG267" s="18">
        <f>INPUT!DR214</f>
        <v>-20.238095238095244</v>
      </c>
      <c r="DH267" s="119">
        <f>INPUT!DS214</f>
        <v>8.8000000000000007</v>
      </c>
      <c r="DI267" s="18">
        <f>INPUT!DT214</f>
        <v>46.666666666666679</v>
      </c>
      <c r="DJ267" s="119">
        <f>INPUT!DU214</f>
        <v>4.7</v>
      </c>
      <c r="DK267" s="18">
        <f>INPUT!DV214</f>
        <v>-14.54545454545454</v>
      </c>
      <c r="DL267" s="119">
        <f>INPUT!DW214</f>
        <v>5.4</v>
      </c>
      <c r="DM267" s="18">
        <f>INPUT!DX214</f>
        <v>14.893617021276606</v>
      </c>
      <c r="DN267" s="119">
        <f>INPUT!DY214</f>
        <v>6.1</v>
      </c>
      <c r="DO267" s="18">
        <f>INPUT!DZ214</f>
        <v>-8.9552238805970177</v>
      </c>
      <c r="DP267" s="119">
        <f>INPUT!EA214</f>
        <v>7.6</v>
      </c>
      <c r="DQ267" s="18">
        <f>INPUT!EB214</f>
        <v>-13.636363636363647</v>
      </c>
      <c r="DR267" s="119">
        <f>INPUT!EC214</f>
        <v>3.9</v>
      </c>
      <c r="DS267" s="18">
        <f>INPUT!ED214</f>
        <v>-17.021276595744684</v>
      </c>
      <c r="DT267" s="119">
        <f>INPUT!EE214</f>
        <v>6</v>
      </c>
      <c r="DU267" s="18">
        <f>INPUT!EF214</f>
        <v>11.111111111111093</v>
      </c>
      <c r="DV267" s="119">
        <f>INPUT!EG214</f>
        <v>7.8</v>
      </c>
      <c r="DW267" s="18">
        <f>INPUT!EH214</f>
        <v>27.868852459016402</v>
      </c>
      <c r="DX267" s="119">
        <f>INPUT!EI214</f>
        <v>6.7</v>
      </c>
      <c r="DY267" s="18">
        <f>INPUT!EJ214</f>
        <v>-11.842105263157887</v>
      </c>
      <c r="DZ267" s="119">
        <f>INPUT!EK214</f>
        <v>0</v>
      </c>
      <c r="EA267" s="18" t="str">
        <f>INPUT!EL214</f>
        <v>NM</v>
      </c>
      <c r="EB267" s="119">
        <f>INPUT!EM214</f>
        <v>0</v>
      </c>
      <c r="EC267" s="18" t="str">
        <f>INPUT!EN214</f>
        <v>NM</v>
      </c>
      <c r="ED267" s="119">
        <f>INPUT!EO214</f>
        <v>0</v>
      </c>
      <c r="EE267" s="18" t="str">
        <f>INPUT!EP214</f>
        <v>NM</v>
      </c>
      <c r="EF267" s="119">
        <f>INPUT!EQ214</f>
        <v>0</v>
      </c>
      <c r="EG267" s="18" t="str">
        <f>INPUT!ER214</f>
        <v>NM</v>
      </c>
      <c r="EH267" s="18"/>
      <c r="EI267" s="119">
        <f>INPUT!FB214</f>
        <v>0</v>
      </c>
      <c r="EJ267" s="5">
        <f>INPUT!FC214</f>
        <v>0</v>
      </c>
      <c r="EK267" s="119">
        <f>INPUT!FD214</f>
        <v>14.5</v>
      </c>
      <c r="EL267" s="5" t="str">
        <f>INPUT!FE214</f>
        <v>NA</v>
      </c>
      <c r="EM267" s="119">
        <f>INPUT!FF214</f>
        <v>27.7</v>
      </c>
      <c r="EN267" s="5">
        <f>INPUT!FG214</f>
        <v>91.034482758620697</v>
      </c>
      <c r="EO267" s="119">
        <f>INPUT!FH214</f>
        <v>68.099999999999994</v>
      </c>
      <c r="EP267" s="5" t="str">
        <f>INPUT!FI214</f>
        <v>NM</v>
      </c>
      <c r="EQ267" s="119">
        <f>INPUT!FJ214</f>
        <v>0</v>
      </c>
      <c r="ER267" s="18" t="str">
        <f>INPUT!FK214</f>
        <v>NM</v>
      </c>
      <c r="ES267" s="119">
        <f>INPUT!FL214</f>
        <v>0</v>
      </c>
      <c r="ET267" s="18" t="str">
        <f>INPUT!FM214</f>
        <v>NA</v>
      </c>
      <c r="EU267" s="119">
        <f>INPUT!FN214</f>
        <v>0</v>
      </c>
      <c r="EV267" s="18" t="str">
        <f>INPUT!FO214</f>
        <v>NA</v>
      </c>
      <c r="EW267" s="119">
        <f>INPUT!FP214</f>
        <v>19.600000000000001</v>
      </c>
      <c r="EX267" s="18" t="str">
        <f>INPUT!FQ214</f>
        <v>NA</v>
      </c>
      <c r="EY267" s="96">
        <f>INPUT!FR214</f>
        <v>53.8</v>
      </c>
      <c r="EZ267" s="18" t="str">
        <f>INPUT!FS214</f>
        <v>NM</v>
      </c>
      <c r="FA267" s="96">
        <f>INPUT!FT214</f>
        <v>57.3</v>
      </c>
      <c r="FB267" s="18">
        <f>INPUT!FU214</f>
        <v>6.505576208178443</v>
      </c>
      <c r="FC267" s="96">
        <f>INPUT!FV214</f>
        <v>33.799999999999997</v>
      </c>
      <c r="FD267" s="18">
        <f>INPUT!FW214</f>
        <v>-41.012216404886559</v>
      </c>
      <c r="FE267" s="96">
        <f>INPUT!FX214</f>
        <v>38</v>
      </c>
      <c r="FF267" s="18">
        <f>INPUT!FY214</f>
        <v>12.426035502958598</v>
      </c>
      <c r="FG267" s="96">
        <f>INPUT!FZ214</f>
        <v>21.4</v>
      </c>
      <c r="FH267" s="18">
        <f>INPUT!GA214</f>
        <v>-43.684210526315795</v>
      </c>
      <c r="FI267" s="96">
        <f>INPUT!GB214</f>
        <v>23.8</v>
      </c>
      <c r="FJ267" s="18">
        <f>INPUT!GC214</f>
        <v>11.214953271028039</v>
      </c>
      <c r="FK267" s="96">
        <f>INPUT!GD214</f>
        <v>25.3</v>
      </c>
      <c r="FL267" s="18">
        <f>INPUT!GE214</f>
        <v>6.3025210084033612</v>
      </c>
      <c r="FM267" s="96">
        <f>INPUT!GF214</f>
        <v>23.800000000000004</v>
      </c>
      <c r="FN267" s="18">
        <f>INPUT!GG214</f>
        <v>-5.9288537549406994</v>
      </c>
      <c r="FO267" s="96">
        <f>INPUT!GH214</f>
        <v>24.4</v>
      </c>
      <c r="FP267" s="18">
        <f>INPUT!GI214</f>
        <v>2.5210084033613134</v>
      </c>
      <c r="FQ267" s="96">
        <f>INPUT!GJ214</f>
        <v>0</v>
      </c>
      <c r="FR267" s="18" t="str">
        <f>INPUT!GK214</f>
        <v>NM</v>
      </c>
      <c r="FS267" s="96">
        <f>INPUT!GL214</f>
        <v>0</v>
      </c>
      <c r="FT267" s="18" t="str">
        <f>INPUT!GM214</f>
        <v>NA</v>
      </c>
      <c r="FU267" s="96">
        <f>INPUT!GN214</f>
        <v>0</v>
      </c>
      <c r="FV267" s="18" t="str">
        <f>INPUT!GO214</f>
        <v>NA</v>
      </c>
      <c r="FW267" s="96">
        <f>INPUT!GP214</f>
        <v>0</v>
      </c>
      <c r="FX267" s="18" t="str">
        <f>INPUT!GQ214</f>
        <v>NA</v>
      </c>
      <c r="FY267" s="96">
        <f>INPUT!GR214</f>
        <v>0</v>
      </c>
      <c r="FZ267" s="18" t="str">
        <f>INPUT!GS214</f>
        <v>NA</v>
      </c>
      <c r="GA267" s="5">
        <f>INPUT!GT214</f>
        <v>0</v>
      </c>
    </row>
    <row r="268" spans="1:183" ht="12.75" hidden="1" customHeight="1" outlineLevel="1" x14ac:dyDescent="0.2">
      <c r="A268" s="612" t="str">
        <f>INPUT!B215</f>
        <v>Other</v>
      </c>
      <c r="B268" s="119"/>
      <c r="C268" s="613"/>
      <c r="D268" s="119"/>
      <c r="E268" s="5"/>
      <c r="F268" s="119"/>
      <c r="G268" s="5"/>
      <c r="H268" s="119"/>
      <c r="I268" s="5"/>
      <c r="J268" s="119"/>
      <c r="K268" s="5"/>
      <c r="L268" s="119"/>
      <c r="M268" s="5"/>
      <c r="N268" s="119"/>
      <c r="O268" s="5"/>
      <c r="P268" s="119"/>
      <c r="Q268" s="5"/>
      <c r="R268" s="119">
        <f>INPUT!AC215</f>
        <v>2.4000000000000004</v>
      </c>
      <c r="S268" s="5" t="str">
        <f>INPUT!AD215</f>
        <v>NA</v>
      </c>
      <c r="T268" s="119">
        <f>INPUT!AE215</f>
        <v>2.5</v>
      </c>
      <c r="U268" s="5" t="str">
        <f>INPUT!AF215</f>
        <v>NA</v>
      </c>
      <c r="V268" s="119">
        <f>INPUT!AG215</f>
        <v>3</v>
      </c>
      <c r="W268" s="5" t="str">
        <f>INPUT!AH215</f>
        <v>NA</v>
      </c>
      <c r="X268" s="119">
        <f>INPUT!AI215</f>
        <v>3.1999999999999993</v>
      </c>
      <c r="Y268" s="5" t="str">
        <f>INPUT!AJ215</f>
        <v>NA</v>
      </c>
      <c r="Z268" s="119">
        <f>INPUT!AK215</f>
        <v>3.0999999999999996</v>
      </c>
      <c r="AA268" s="5">
        <f>INPUT!AL215</f>
        <v>29.166666666666629</v>
      </c>
      <c r="AB268" s="119">
        <f>INPUT!AM215</f>
        <v>2.2000000000000002</v>
      </c>
      <c r="AC268" s="5">
        <f>INPUT!AN215</f>
        <v>-11.999999999999989</v>
      </c>
      <c r="AD268" s="119">
        <f>INPUT!AO215</f>
        <v>1.2</v>
      </c>
      <c r="AE268" s="5" t="str">
        <f>INPUT!AP215</f>
        <v>NM</v>
      </c>
      <c r="AF268" s="119">
        <f>INPUT!AQ215</f>
        <v>1.2</v>
      </c>
      <c r="AG268" s="5" t="str">
        <f>INPUT!AR215</f>
        <v>NM</v>
      </c>
      <c r="AH268" s="119">
        <f>INPUT!AS215</f>
        <v>1.4</v>
      </c>
      <c r="AI268" s="5" t="str">
        <f>INPUT!AT215</f>
        <v>NM</v>
      </c>
      <c r="AJ268" s="119">
        <f>INPUT!AU215</f>
        <v>1.3</v>
      </c>
      <c r="AK268" s="5">
        <f>INPUT!AV215</f>
        <v>-40.909090909090921</v>
      </c>
      <c r="AL268" s="119">
        <f>INPUT!AW215</f>
        <v>1.4</v>
      </c>
      <c r="AM268" s="5">
        <f>INPUT!AX215</f>
        <v>16.666666666666675</v>
      </c>
      <c r="AN268" s="119">
        <f>INPUT!AY215</f>
        <v>1.4</v>
      </c>
      <c r="AO268" s="18">
        <f>INPUT!AZ215</f>
        <v>16.666666666666675</v>
      </c>
      <c r="AP268" s="119">
        <f>INPUT!BA215</f>
        <v>1.7</v>
      </c>
      <c r="AQ268" s="18">
        <f>INPUT!BB215</f>
        <v>21.428571428571441</v>
      </c>
      <c r="AR268" s="119">
        <f>INPUT!BC215</f>
        <v>1.6</v>
      </c>
      <c r="AS268" s="18">
        <f>INPUT!BD215</f>
        <v>23.076923076923084</v>
      </c>
      <c r="AT268" s="119">
        <f>INPUT!BE215</f>
        <v>2.2000000000000002</v>
      </c>
      <c r="AU268" s="18">
        <f>INPUT!BF215</f>
        <v>57.14285714285716</v>
      </c>
      <c r="AV268" s="119">
        <f>INPUT!BG215</f>
        <v>2.2999999999999998</v>
      </c>
      <c r="AW268" s="18">
        <f>INPUT!BH215</f>
        <v>64.285714285714278</v>
      </c>
      <c r="AX268" s="119">
        <f>INPUT!BI215</f>
        <v>1.8</v>
      </c>
      <c r="AY268" s="18">
        <f>INPUT!BJ215</f>
        <v>5.8823529411764719</v>
      </c>
      <c r="AZ268" s="119">
        <f>INPUT!BK215</f>
        <v>1.9</v>
      </c>
      <c r="BA268" s="18">
        <f>INPUT!BL215</f>
        <v>18.749999999999979</v>
      </c>
      <c r="BB268" s="119">
        <f>INPUT!BM215</f>
        <v>1.9</v>
      </c>
      <c r="BC268" s="18">
        <f>INPUT!BN215</f>
        <v>0</v>
      </c>
      <c r="BD268" s="119">
        <f>INPUT!BO215</f>
        <v>1.6</v>
      </c>
      <c r="BE268" s="18">
        <f>INPUT!BP215</f>
        <v>0</v>
      </c>
      <c r="BF268" s="119">
        <f>INPUT!BQ215</f>
        <v>1.2</v>
      </c>
      <c r="BG268" s="18">
        <f>INPUT!BR215</f>
        <v>0</v>
      </c>
      <c r="BH268" s="119">
        <f>INPUT!BS215</f>
        <v>1.4</v>
      </c>
      <c r="BI268" s="18">
        <f>INPUT!BT215</f>
        <v>0</v>
      </c>
      <c r="BJ268" s="119">
        <f>INPUT!BU215</f>
        <v>1.5</v>
      </c>
      <c r="BK268" s="18">
        <f>INPUT!BV215</f>
        <v>0</v>
      </c>
      <c r="BL268" s="119">
        <f>INPUT!BW215</f>
        <v>1.5</v>
      </c>
      <c r="BM268" s="18">
        <f>INPUT!BX215</f>
        <v>0</v>
      </c>
      <c r="BN268" s="119">
        <f>INPUT!BY215</f>
        <v>1.6</v>
      </c>
      <c r="BO268" s="18">
        <f>INPUT!BZ215</f>
        <v>0</v>
      </c>
      <c r="BP268" s="119">
        <f>INPUT!CA215</f>
        <v>3</v>
      </c>
      <c r="BQ268" s="18">
        <f>INPUT!CB215</f>
        <v>0</v>
      </c>
      <c r="BR268" s="119">
        <f>INPUT!CC215</f>
        <v>1.1000000000000001</v>
      </c>
      <c r="BS268" s="18">
        <f>INPUT!CD215</f>
        <v>0</v>
      </c>
      <c r="BT268" s="119">
        <f>INPUT!CE215</f>
        <v>2.2000000000000002</v>
      </c>
      <c r="BU268" s="18">
        <f>INPUT!CF215</f>
        <v>46.666666666666679</v>
      </c>
      <c r="BV268" s="119">
        <f>INPUT!CG215</f>
        <v>2.6</v>
      </c>
      <c r="BW268" s="18">
        <f>INPUT!CH215</f>
        <v>62.5</v>
      </c>
      <c r="BX268" s="119">
        <f>INPUT!CI215</f>
        <v>1.4</v>
      </c>
      <c r="BY268" s="18" t="str">
        <f>INPUT!CJ215</f>
        <v>NM</v>
      </c>
      <c r="BZ268" s="119">
        <f>INPUT!CK215</f>
        <v>2.4</v>
      </c>
      <c r="CA268" s="18" t="str">
        <f>INPUT!CL215</f>
        <v>NM</v>
      </c>
      <c r="CB268" s="119">
        <f>INPUT!CM215</f>
        <v>2.2000000000000002</v>
      </c>
      <c r="CC268" s="18">
        <f>INPUT!CN215</f>
        <v>0</v>
      </c>
      <c r="CD268" s="119">
        <f>INPUT!CO215</f>
        <v>1.6</v>
      </c>
      <c r="CE268" s="18">
        <f>INPUT!CP215</f>
        <v>-38.46153846153846</v>
      </c>
      <c r="CF268" s="119">
        <f>INPUT!CQ215</f>
        <v>1.4</v>
      </c>
      <c r="CG268" s="18">
        <f>INPUT!CR215</f>
        <v>0</v>
      </c>
      <c r="CH268" s="119">
        <f>INPUT!CS215</f>
        <v>1</v>
      </c>
      <c r="CI268" s="18" t="str">
        <f>INPUT!CT215</f>
        <v>NM</v>
      </c>
      <c r="CJ268" s="119">
        <f>INPUT!CU215</f>
        <v>0.9</v>
      </c>
      <c r="CK268" s="18" t="str">
        <f>INPUT!CV215</f>
        <v>NM</v>
      </c>
      <c r="CL268" s="119">
        <f>INPUT!CW215</f>
        <v>1</v>
      </c>
      <c r="CM268" s="18">
        <f>INPUT!CX215</f>
        <v>-37.5</v>
      </c>
      <c r="CN268" s="119">
        <f>INPUT!CY215</f>
        <v>1.1000000000000001</v>
      </c>
      <c r="CO268" s="18">
        <f>INPUT!CZ215</f>
        <v>-21.42857142857142</v>
      </c>
      <c r="CP268" s="119">
        <f>INPUT!DA215</f>
        <v>0.9</v>
      </c>
      <c r="CQ268" s="18">
        <f>INPUT!DB215</f>
        <v>-9.9999999999999982</v>
      </c>
      <c r="CR268" s="119">
        <f>INPUT!DC215</f>
        <v>0.9</v>
      </c>
      <c r="CS268" s="18">
        <f>INPUT!DD215</f>
        <v>0</v>
      </c>
      <c r="CT268" s="119">
        <f>INPUT!DE215</f>
        <v>1</v>
      </c>
      <c r="CU268" s="18">
        <f>INPUT!DF215</f>
        <v>0</v>
      </c>
      <c r="CV268" s="119">
        <f>INPUT!DG215</f>
        <v>0.9</v>
      </c>
      <c r="CW268" s="18">
        <f>INPUT!DH215</f>
        <v>-18.181818181818187</v>
      </c>
      <c r="CX268" s="119">
        <f>INPUT!DI215</f>
        <v>1</v>
      </c>
      <c r="CY268" s="18">
        <f>INPUT!DJ215</f>
        <v>11.111111111111116</v>
      </c>
      <c r="CZ268" s="119">
        <f>INPUT!DK215</f>
        <v>1</v>
      </c>
      <c r="DA268" s="18">
        <f>INPUT!DL215</f>
        <v>11.111111111111116</v>
      </c>
      <c r="DB268" s="119">
        <f>INPUT!DM215</f>
        <v>0.6</v>
      </c>
      <c r="DC268" s="18">
        <f>INPUT!DN215</f>
        <v>-40</v>
      </c>
      <c r="DD268" s="119">
        <f>INPUT!DO215</f>
        <v>1.4</v>
      </c>
      <c r="DE268" s="18">
        <f>INPUT!DP215</f>
        <v>55.555555555555536</v>
      </c>
      <c r="DF268" s="119">
        <f>INPUT!DQ215</f>
        <v>1.2</v>
      </c>
      <c r="DG268" s="18">
        <f>INPUT!DR215</f>
        <v>19.999999999999996</v>
      </c>
      <c r="DH268" s="119">
        <f>INPUT!DS215</f>
        <v>1.8</v>
      </c>
      <c r="DI268" s="18">
        <f>INPUT!DT215</f>
        <v>80</v>
      </c>
      <c r="DJ268" s="119">
        <f>INPUT!DU215</f>
        <v>3.5</v>
      </c>
      <c r="DK268" s="18" t="str">
        <f>INPUT!DV215</f>
        <v>NM</v>
      </c>
      <c r="DL268" s="119">
        <f>INPUT!DW215</f>
        <v>3</v>
      </c>
      <c r="DM268" s="18" t="str">
        <f>INPUT!DX215</f>
        <v>NM</v>
      </c>
      <c r="DN268" s="119">
        <f>INPUT!DY215</f>
        <v>1.7</v>
      </c>
      <c r="DO268" s="18">
        <f>INPUT!DZ215</f>
        <v>41.666666666666671</v>
      </c>
      <c r="DP268" s="119">
        <f>INPUT!EA215</f>
        <v>2.2999999999999998</v>
      </c>
      <c r="DQ268" s="18">
        <f>INPUT!EB215</f>
        <v>27.777777777777768</v>
      </c>
      <c r="DR268" s="119">
        <f>INPUT!EC215</f>
        <v>2.2999999999999998</v>
      </c>
      <c r="DS268" s="18">
        <f>INPUT!ED215</f>
        <v>-34.285714285714285</v>
      </c>
      <c r="DT268" s="119">
        <f>INPUT!EE215</f>
        <v>7.7</v>
      </c>
      <c r="DU268" s="18" t="str">
        <f>INPUT!EF215</f>
        <v>NM</v>
      </c>
      <c r="DV268" s="119">
        <f>INPUT!EG215</f>
        <v>2.2000000000000002</v>
      </c>
      <c r="DW268" s="18">
        <f>INPUT!EH215</f>
        <v>29.411764705882359</v>
      </c>
      <c r="DX268" s="119">
        <f>INPUT!EI215</f>
        <v>2.2000000000000002</v>
      </c>
      <c r="DY268" s="18">
        <f>INPUT!EJ215</f>
        <v>-4.3478260869565073</v>
      </c>
      <c r="DZ268" s="119">
        <f>INPUT!EK215</f>
        <v>0</v>
      </c>
      <c r="EA268" s="18" t="str">
        <f>INPUT!EL215</f>
        <v>NM</v>
      </c>
      <c r="EB268" s="119">
        <f>INPUT!EM215</f>
        <v>0</v>
      </c>
      <c r="EC268" s="18" t="str">
        <f>INPUT!EN215</f>
        <v>NM</v>
      </c>
      <c r="ED268" s="119">
        <f>INPUT!EO215</f>
        <v>0</v>
      </c>
      <c r="EE268" s="18" t="str">
        <f>INPUT!EP215</f>
        <v>NM</v>
      </c>
      <c r="EF268" s="119">
        <f>INPUT!EQ215</f>
        <v>0</v>
      </c>
      <c r="EG268" s="18" t="str">
        <f>INPUT!ER215</f>
        <v>NM</v>
      </c>
      <c r="EH268" s="18"/>
      <c r="EI268" s="119">
        <f>INPUT!FB215</f>
        <v>0</v>
      </c>
      <c r="EJ268" s="5">
        <f>INPUT!FC215</f>
        <v>0</v>
      </c>
      <c r="EK268" s="119">
        <f>INPUT!FD215</f>
        <v>22.7</v>
      </c>
      <c r="EL268" s="5" t="str">
        <f>INPUT!FE215</f>
        <v>NA</v>
      </c>
      <c r="EM268" s="119">
        <f>INPUT!FF215</f>
        <v>19.399999999999999</v>
      </c>
      <c r="EN268" s="5">
        <f>INPUT!FG215</f>
        <v>-14.537444933920707</v>
      </c>
      <c r="EO268" s="119">
        <f>INPUT!FH215</f>
        <v>11.1</v>
      </c>
      <c r="EP268" s="5">
        <f>INPUT!FI215</f>
        <v>-42.783505154639165</v>
      </c>
      <c r="EQ268" s="119">
        <f>INPUT!FJ215</f>
        <v>0</v>
      </c>
      <c r="ER268" s="18" t="str">
        <f>INPUT!FK215</f>
        <v>NM</v>
      </c>
      <c r="ES268" s="119">
        <f>INPUT!FL215</f>
        <v>0</v>
      </c>
      <c r="ET268" s="18" t="str">
        <f>INPUT!FM215</f>
        <v>NA</v>
      </c>
      <c r="EU268" s="119">
        <f>INPUT!FN215</f>
        <v>0</v>
      </c>
      <c r="EV268" s="18" t="str">
        <f>INPUT!FO215</f>
        <v>NA</v>
      </c>
      <c r="EW268" s="119">
        <f>INPUT!FP215</f>
        <v>7.1999999999999993</v>
      </c>
      <c r="EX268" s="18" t="str">
        <f>INPUT!FQ215</f>
        <v>NA</v>
      </c>
      <c r="EY268" s="96">
        <f>INPUT!FR215</f>
        <v>5.6</v>
      </c>
      <c r="EZ268" s="18">
        <f>INPUT!FS215</f>
        <v>-22.222222222222221</v>
      </c>
      <c r="FA268" s="96">
        <f>INPUT!FT215</f>
        <v>7.8999999999999995</v>
      </c>
      <c r="FB268" s="18">
        <f>INPUT!FU215</f>
        <v>41.071428571428584</v>
      </c>
      <c r="FC268" s="96">
        <f>INPUT!FV215</f>
        <v>8.6000000000000014</v>
      </c>
      <c r="FD268" s="18">
        <f>INPUT!FW215</f>
        <v>8.860759493670912</v>
      </c>
      <c r="FE268" s="96">
        <f>INPUT!FX215</f>
        <v>4.9000000000000004</v>
      </c>
      <c r="FF268" s="18">
        <f>INPUT!FY215</f>
        <v>-43.023255813953497</v>
      </c>
      <c r="FG268" s="96">
        <f>INPUT!FZ215</f>
        <v>3.9</v>
      </c>
      <c r="FH268" s="18">
        <f>INPUT!GA215</f>
        <v>-20.408163265306133</v>
      </c>
      <c r="FI268" s="96">
        <f>INPUT!GB215</f>
        <v>3.9</v>
      </c>
      <c r="FJ268" s="18">
        <f>INPUT!GC215</f>
        <v>0</v>
      </c>
      <c r="FK268" s="96">
        <f>INPUT!GD215</f>
        <v>5</v>
      </c>
      <c r="FL268" s="18">
        <f>INPUT!GE215</f>
        <v>28.205128205128215</v>
      </c>
      <c r="FM268" s="96">
        <f>INPUT!GF215</f>
        <v>10.5</v>
      </c>
      <c r="FN268" s="18" t="str">
        <f>INPUT!GG215</f>
        <v>NM</v>
      </c>
      <c r="FO268" s="96">
        <f>INPUT!GH215</f>
        <v>14.399999999999999</v>
      </c>
      <c r="FP268" s="18">
        <f>INPUT!GI215</f>
        <v>37.142857142857125</v>
      </c>
      <c r="FQ268" s="96">
        <f>INPUT!GJ215</f>
        <v>0</v>
      </c>
      <c r="FR268" s="18" t="str">
        <f>INPUT!GK215</f>
        <v>NM</v>
      </c>
      <c r="FS268" s="96">
        <f>INPUT!GL215</f>
        <v>0</v>
      </c>
      <c r="FT268" s="18" t="str">
        <f>INPUT!GM215</f>
        <v>NA</v>
      </c>
      <c r="FU268" s="96">
        <f>INPUT!GN215</f>
        <v>0</v>
      </c>
      <c r="FV268" s="18" t="str">
        <f>INPUT!GO215</f>
        <v>NA</v>
      </c>
      <c r="FW268" s="96">
        <f>INPUT!GP215</f>
        <v>0</v>
      </c>
      <c r="FX268" s="18" t="str">
        <f>INPUT!GQ215</f>
        <v>NA</v>
      </c>
      <c r="FY268" s="96">
        <f>INPUT!GR215</f>
        <v>0</v>
      </c>
      <c r="FZ268" s="18" t="str">
        <f>INPUT!GS215</f>
        <v>NA</v>
      </c>
      <c r="GA268" s="5">
        <f>INPUT!GT215</f>
        <v>0</v>
      </c>
    </row>
    <row r="269" spans="1:183" ht="12.75" hidden="1" customHeight="1" outlineLevel="1" x14ac:dyDescent="0.2">
      <c r="A269" s="612" t="str">
        <f>INPUT!B216</f>
        <v>Total Sales</v>
      </c>
      <c r="B269" s="119"/>
      <c r="C269" s="613"/>
      <c r="D269" s="119"/>
      <c r="E269" s="5"/>
      <c r="F269" s="119"/>
      <c r="G269" s="5"/>
      <c r="H269" s="119"/>
      <c r="I269" s="5"/>
      <c r="J269" s="119"/>
      <c r="K269" s="5"/>
      <c r="L269" s="119"/>
      <c r="M269" s="5"/>
      <c r="N269" s="119"/>
      <c r="O269" s="5"/>
      <c r="P269" s="119"/>
      <c r="Q269" s="5"/>
      <c r="R269" s="119">
        <f>INPUT!AC216</f>
        <v>41.20000000000001</v>
      </c>
      <c r="S269" s="5" t="str">
        <f>INPUT!AD216</f>
        <v>NA</v>
      </c>
      <c r="T269" s="119">
        <f>INPUT!AE216</f>
        <v>63.5</v>
      </c>
      <c r="U269" s="5" t="str">
        <f>INPUT!AF216</f>
        <v>NA</v>
      </c>
      <c r="V269" s="119">
        <f>INPUT!AG216</f>
        <v>39.5</v>
      </c>
      <c r="W269" s="5" t="str">
        <f>INPUT!AH216</f>
        <v>NA</v>
      </c>
      <c r="X269" s="119">
        <f>INPUT!AI216</f>
        <v>38.299999999999983</v>
      </c>
      <c r="Y269" s="5" t="str">
        <f>INPUT!AJ216</f>
        <v>NA</v>
      </c>
      <c r="Z269" s="119">
        <f>INPUT!AK216</f>
        <v>36.70000000000001</v>
      </c>
      <c r="AA269" s="5">
        <f>INPUT!AL216</f>
        <v>-10.922330097087373</v>
      </c>
      <c r="AB269" s="119">
        <f>INPUT!AM216</f>
        <v>46</v>
      </c>
      <c r="AC269" s="5">
        <f>INPUT!AN216</f>
        <v>-27.55905511811023</v>
      </c>
      <c r="AD269" s="119">
        <f>INPUT!AO216</f>
        <v>24.7</v>
      </c>
      <c r="AE269" s="5">
        <f>INPUT!AP216</f>
        <v>-37.468354430379748</v>
      </c>
      <c r="AF269" s="119">
        <f>INPUT!AQ216</f>
        <v>24.7</v>
      </c>
      <c r="AG269" s="5">
        <f>INPUT!AR216</f>
        <v>-35.509138381201019</v>
      </c>
      <c r="AH269" s="119">
        <f>INPUT!AS216</f>
        <v>11.700000000000001</v>
      </c>
      <c r="AI269" s="5" t="str">
        <f>INPUT!AT216</f>
        <v>NM</v>
      </c>
      <c r="AJ269" s="119">
        <f>INPUT!AU216</f>
        <v>20</v>
      </c>
      <c r="AK269" s="5" t="str">
        <f>INPUT!AV216</f>
        <v>NM</v>
      </c>
      <c r="AL269" s="119">
        <f>INPUT!AW216</f>
        <v>25.4</v>
      </c>
      <c r="AM269" s="5">
        <f>INPUT!AX216</f>
        <v>2.8340080971659853</v>
      </c>
      <c r="AN269" s="119">
        <f>INPUT!AY216</f>
        <v>43.999999999999993</v>
      </c>
      <c r="AO269" s="18">
        <f>INPUT!AZ216</f>
        <v>78.13765182186232</v>
      </c>
      <c r="AP269" s="119">
        <f>INPUT!BA216</f>
        <v>20.8</v>
      </c>
      <c r="AQ269" s="18">
        <f>INPUT!BB216</f>
        <v>77.777777777777771</v>
      </c>
      <c r="AR269" s="119">
        <f>INPUT!BC216</f>
        <v>27.8</v>
      </c>
      <c r="AS269" s="18">
        <f>INPUT!BD216</f>
        <v>39.000000000000014</v>
      </c>
      <c r="AT269" s="119">
        <f>INPUT!BE216</f>
        <v>22.2</v>
      </c>
      <c r="AU269" s="18">
        <f>INPUT!BF216</f>
        <v>-12.598425196850393</v>
      </c>
      <c r="AV269" s="119">
        <f>INPUT!BG216</f>
        <v>34.599999999999994</v>
      </c>
      <c r="AW269" s="18">
        <f>INPUT!BH216</f>
        <v>-21.363636363636363</v>
      </c>
      <c r="AX269" s="119">
        <f>INPUT!BI216</f>
        <v>18.700000000000003</v>
      </c>
      <c r="AY269" s="18">
        <f>INPUT!BJ216</f>
        <v>-10.096153846153832</v>
      </c>
      <c r="AZ269" s="119">
        <f>INPUT!BK216</f>
        <v>30.9</v>
      </c>
      <c r="BA269" s="18">
        <f>INPUT!BL216</f>
        <v>11.151079136690644</v>
      </c>
      <c r="BB269" s="119">
        <f>INPUT!BM216</f>
        <v>22.9</v>
      </c>
      <c r="BC269" s="18">
        <f>INPUT!BN216</f>
        <v>0</v>
      </c>
      <c r="BD269" s="119">
        <f>INPUT!BO216</f>
        <v>27</v>
      </c>
      <c r="BE269" s="18">
        <f>INPUT!BP216</f>
        <v>0</v>
      </c>
      <c r="BF269" s="119">
        <f>INPUT!BQ216</f>
        <v>19.600000000000001</v>
      </c>
      <c r="BG269" s="18">
        <f>INPUT!BR216</f>
        <v>0</v>
      </c>
      <c r="BH269" s="119">
        <f>INPUT!BS216</f>
        <v>29.5</v>
      </c>
      <c r="BI269" s="18">
        <f>INPUT!BT216</f>
        <v>0</v>
      </c>
      <c r="BJ269" s="119">
        <f>INPUT!BU216</f>
        <v>32.1</v>
      </c>
      <c r="BK269" s="18">
        <f>INPUT!BV216</f>
        <v>0</v>
      </c>
      <c r="BL269" s="119">
        <f>INPUT!BW216</f>
        <v>42</v>
      </c>
      <c r="BM269" s="18">
        <f>INPUT!BX216</f>
        <v>0</v>
      </c>
      <c r="BN269" s="119">
        <f>INPUT!BY216</f>
        <v>24.200000000000003</v>
      </c>
      <c r="BO269" s="18">
        <f>INPUT!BZ216</f>
        <v>0</v>
      </c>
      <c r="BP269" s="119">
        <f>INPUT!CA216</f>
        <v>32.799999999999997</v>
      </c>
      <c r="BQ269" s="18">
        <f>INPUT!CB216</f>
        <v>0</v>
      </c>
      <c r="BR269" s="119">
        <f>INPUT!CC216</f>
        <v>29.6</v>
      </c>
      <c r="BS269" s="18">
        <f>INPUT!CD216</f>
        <v>0</v>
      </c>
      <c r="BT269" s="119">
        <f>INPUT!CE216</f>
        <v>32.6</v>
      </c>
      <c r="BU269" s="18">
        <f>INPUT!CF216</f>
        <v>-22.38095238095238</v>
      </c>
      <c r="BV269" s="119">
        <f>INPUT!CG216</f>
        <v>17.600000000000001</v>
      </c>
      <c r="BW269" s="18">
        <f>INPUT!CH216</f>
        <v>-27.27272727272727</v>
      </c>
      <c r="BX269" s="119">
        <f>INPUT!CI216</f>
        <v>23.699999999999996</v>
      </c>
      <c r="BY269" s="18">
        <f>INPUT!CJ216</f>
        <v>-27.743902439024392</v>
      </c>
      <c r="BZ269" s="119">
        <f>INPUT!CK216</f>
        <v>21.299999999999997</v>
      </c>
      <c r="CA269" s="18">
        <f>INPUT!CL216</f>
        <v>-28.040540540540547</v>
      </c>
      <c r="CB269" s="119">
        <f>INPUT!CM216</f>
        <v>27.6</v>
      </c>
      <c r="CC269" s="18">
        <f>INPUT!CN216</f>
        <v>-15.337423312883436</v>
      </c>
      <c r="CD269" s="119">
        <f>INPUT!CO216</f>
        <v>30.8</v>
      </c>
      <c r="CE269" s="18">
        <f>INPUT!CP216</f>
        <v>75</v>
      </c>
      <c r="CF269" s="119">
        <f>INPUT!CQ216</f>
        <v>24</v>
      </c>
      <c r="CG269" s="18">
        <f>INPUT!CR216</f>
        <v>1.2658227848101555</v>
      </c>
      <c r="CH269" s="119">
        <f>INPUT!CS216</f>
        <v>17</v>
      </c>
      <c r="CI269" s="18">
        <f>INPUT!CT216</f>
        <v>-20.187793427230037</v>
      </c>
      <c r="CJ269" s="119">
        <f>INPUT!CU216</f>
        <v>22.3</v>
      </c>
      <c r="CK269" s="18">
        <f>INPUT!CV216</f>
        <v>-19.202898550724633</v>
      </c>
      <c r="CL269" s="119">
        <f>INPUT!CW216</f>
        <v>16.399999999999999</v>
      </c>
      <c r="CM269" s="18">
        <f>INPUT!CX216</f>
        <v>-46.753246753246756</v>
      </c>
      <c r="CN269" s="119">
        <f>INPUT!CY216</f>
        <v>21.700000000000003</v>
      </c>
      <c r="CO269" s="18">
        <f>INPUT!CZ216</f>
        <v>-9.5833333333333215</v>
      </c>
      <c r="CP269" s="119">
        <f>INPUT!DA216</f>
        <v>17.299999999999997</v>
      </c>
      <c r="CQ269" s="18">
        <f>INPUT!DB216</f>
        <v>1.7647058823529349</v>
      </c>
      <c r="CR269" s="119">
        <f>INPUT!DC216</f>
        <v>20.399999999999999</v>
      </c>
      <c r="CS269" s="18">
        <f>INPUT!DD216</f>
        <v>-8.5201793721973225</v>
      </c>
      <c r="CT269" s="119">
        <f>INPUT!DE216</f>
        <v>17.3</v>
      </c>
      <c r="CU269" s="18">
        <f>INPUT!DF216</f>
        <v>5.4878048780487854</v>
      </c>
      <c r="CV269" s="119">
        <f>INPUT!DG216</f>
        <v>21.1</v>
      </c>
      <c r="CW269" s="18">
        <f>INPUT!DH216</f>
        <v>-2.7649769585253559</v>
      </c>
      <c r="CX269" s="119">
        <f>INPUT!DI216</f>
        <v>21.4</v>
      </c>
      <c r="CY269" s="18">
        <f>INPUT!DJ216</f>
        <v>23.699421965317935</v>
      </c>
      <c r="CZ269" s="119">
        <f>INPUT!DK216</f>
        <v>25.3</v>
      </c>
      <c r="DA269" s="18">
        <f>INPUT!DL216</f>
        <v>24.019607843137258</v>
      </c>
      <c r="DB269" s="119">
        <f>INPUT!DM216</f>
        <v>16.700000000000003</v>
      </c>
      <c r="DC269" s="18">
        <f>INPUT!DN216</f>
        <v>-3.4682080924855363</v>
      </c>
      <c r="DD269" s="119">
        <f>INPUT!DO216</f>
        <v>20.5</v>
      </c>
      <c r="DE269" s="18">
        <f>INPUT!DP216</f>
        <v>-2.8436018957346043</v>
      </c>
      <c r="DF269" s="119">
        <f>INPUT!DQ216</f>
        <v>19.7</v>
      </c>
      <c r="DG269" s="18">
        <f>INPUT!DR216</f>
        <v>-7.9439252336448547</v>
      </c>
      <c r="DH269" s="119">
        <f>INPUT!DS216</f>
        <v>27.200000000000003</v>
      </c>
      <c r="DI269" s="18">
        <f>INPUT!DT216</f>
        <v>7.5098814229249022</v>
      </c>
      <c r="DJ269" s="119">
        <f>INPUT!DU216</f>
        <v>18.399999999999999</v>
      </c>
      <c r="DK269" s="18">
        <f>INPUT!DV216</f>
        <v>10.179640718562855</v>
      </c>
      <c r="DL269" s="119">
        <f>INPUT!DW216</f>
        <v>23</v>
      </c>
      <c r="DM269" s="18">
        <f>INPUT!DX216</f>
        <v>12.195121951219523</v>
      </c>
      <c r="DN269" s="119">
        <f>INPUT!DY216</f>
        <v>19.399999999999999</v>
      </c>
      <c r="DO269" s="18">
        <f>INPUT!DZ216</f>
        <v>-1.5228426395939132</v>
      </c>
      <c r="DP269" s="119">
        <f>INPUT!EA216</f>
        <v>23.7</v>
      </c>
      <c r="DQ269" s="18">
        <f>INPUT!EB216</f>
        <v>-12.86764705882354</v>
      </c>
      <c r="DR269" s="119">
        <f>INPUT!EC216</f>
        <v>19.7</v>
      </c>
      <c r="DS269" s="18">
        <f>INPUT!ED216</f>
        <v>7.0652173913043459</v>
      </c>
      <c r="DT269" s="119">
        <f>INPUT!EE216</f>
        <v>25.2</v>
      </c>
      <c r="DU269" s="18">
        <f>INPUT!EF216</f>
        <v>9.565217391304337</v>
      </c>
      <c r="DV269" s="119">
        <f>INPUT!EG216</f>
        <v>16.5</v>
      </c>
      <c r="DW269" s="18">
        <f>INPUT!EH216</f>
        <v>-14.948453608247414</v>
      </c>
      <c r="DX269" s="119">
        <f>INPUT!EI216</f>
        <v>24.5</v>
      </c>
      <c r="DY269" s="18">
        <f>INPUT!EJ216</f>
        <v>3.3755274261603407</v>
      </c>
      <c r="DZ269" s="119">
        <f>INPUT!EK216</f>
        <v>0</v>
      </c>
      <c r="EA269" s="18" t="str">
        <f>INPUT!EL216</f>
        <v>NM</v>
      </c>
      <c r="EB269" s="119">
        <f>INPUT!EM216</f>
        <v>0</v>
      </c>
      <c r="EC269" s="18" t="str">
        <f>INPUT!EN216</f>
        <v>NM</v>
      </c>
      <c r="ED269" s="119">
        <f>INPUT!EO216</f>
        <v>0</v>
      </c>
      <c r="EE269" s="18" t="str">
        <f>INPUT!EP216</f>
        <v>NM</v>
      </c>
      <c r="EF269" s="119">
        <f>INPUT!EQ216</f>
        <v>0</v>
      </c>
      <c r="EG269" s="18" t="str">
        <f>INPUT!ER216</f>
        <v>NM</v>
      </c>
      <c r="EH269" s="18"/>
      <c r="EI269" s="119">
        <f>INPUT!FB216</f>
        <v>0</v>
      </c>
      <c r="EJ269" s="5">
        <f>INPUT!FC216</f>
        <v>0</v>
      </c>
      <c r="EK269" s="119">
        <f>INPUT!FD216</f>
        <v>94.2</v>
      </c>
      <c r="EL269" s="5" t="str">
        <f>INPUT!FE216</f>
        <v>NA</v>
      </c>
      <c r="EM269" s="119">
        <f>INPUT!FF216</f>
        <v>128.6</v>
      </c>
      <c r="EN269" s="5">
        <f>INPUT!FG216</f>
        <v>36.518046709129507</v>
      </c>
      <c r="EO269" s="119">
        <f>INPUT!FH216</f>
        <v>182.49999999999997</v>
      </c>
      <c r="EP269" s="5">
        <f>INPUT!FI216</f>
        <v>41.912908242612737</v>
      </c>
      <c r="EQ269" s="119">
        <f>INPUT!FJ216</f>
        <v>0</v>
      </c>
      <c r="ER269" s="18" t="str">
        <f>INPUT!FK216</f>
        <v>NM</v>
      </c>
      <c r="ES269" s="119">
        <f>INPUT!FL216</f>
        <v>0</v>
      </c>
      <c r="ET269" s="18" t="str">
        <f>INPUT!FM216</f>
        <v>NA</v>
      </c>
      <c r="EU269" s="119">
        <f>INPUT!FN216</f>
        <v>0</v>
      </c>
      <c r="EV269" s="18" t="str">
        <f>INPUT!FO216</f>
        <v>NA</v>
      </c>
      <c r="EW269" s="119">
        <f>INPUT!FP216</f>
        <v>99.5</v>
      </c>
      <c r="EX269" s="18" t="str">
        <f>INPUT!FQ216</f>
        <v>NA</v>
      </c>
      <c r="EY269" s="96">
        <f>INPUT!FR216</f>
        <v>123.2</v>
      </c>
      <c r="EZ269" s="18">
        <f>INPUT!FS216</f>
        <v>23.819095477386941</v>
      </c>
      <c r="FA269" s="96">
        <f>INPUT!FT216</f>
        <v>119.19999999999999</v>
      </c>
      <c r="FB269" s="18">
        <f>INPUT!FU216</f>
        <v>-3.2467532467532534</v>
      </c>
      <c r="FC269" s="96">
        <f>INPUT!FV216</f>
        <v>90.199999999999989</v>
      </c>
      <c r="FD269" s="18">
        <f>INPUT!FW216</f>
        <v>-24.328859060402685</v>
      </c>
      <c r="FE269" s="96">
        <f>INPUT!FX216</f>
        <v>94.1</v>
      </c>
      <c r="FF269" s="18">
        <f>INPUT!FY216</f>
        <v>4.3237250554323703</v>
      </c>
      <c r="FG269" s="96">
        <f>INPUT!FZ216</f>
        <v>75.800000000000011</v>
      </c>
      <c r="FH269" s="18">
        <f>INPUT!GA216</f>
        <v>-19.447396386822511</v>
      </c>
      <c r="FI269" s="96">
        <f>INPUT!GB216</f>
        <v>85.100000000000009</v>
      </c>
      <c r="FJ269" s="18">
        <f>INPUT!GC216</f>
        <v>12.269129287598934</v>
      </c>
      <c r="FK269" s="96">
        <f>INPUT!GD216</f>
        <v>86</v>
      </c>
      <c r="FL269" s="18">
        <f>INPUT!GE216</f>
        <v>1.0575793184488758</v>
      </c>
      <c r="FM269" s="96">
        <f>INPUT!GF216</f>
        <v>84.5</v>
      </c>
      <c r="FN269" s="18">
        <f>INPUT!GG216</f>
        <v>-1.744186046511631</v>
      </c>
      <c r="FO269" s="96">
        <f>INPUT!GH216</f>
        <v>85.9</v>
      </c>
      <c r="FP269" s="18">
        <f>INPUT!GI216</f>
        <v>1.6568047337278236</v>
      </c>
      <c r="FQ269" s="96">
        <f>INPUT!GJ216</f>
        <v>0</v>
      </c>
      <c r="FR269" s="18" t="str">
        <f>INPUT!GK216</f>
        <v>NM</v>
      </c>
      <c r="FS269" s="96">
        <f>INPUT!GL216</f>
        <v>0</v>
      </c>
      <c r="FT269" s="18" t="str">
        <f>INPUT!GM216</f>
        <v>NA</v>
      </c>
      <c r="FU269" s="96">
        <f>INPUT!GN216</f>
        <v>0</v>
      </c>
      <c r="FV269" s="18" t="str">
        <f>INPUT!GO216</f>
        <v>NA</v>
      </c>
      <c r="FW269" s="96">
        <f>INPUT!GP216</f>
        <v>0</v>
      </c>
      <c r="FX269" s="18" t="str">
        <f>INPUT!GQ216</f>
        <v>NA</v>
      </c>
      <c r="FY269" s="96">
        <f>INPUT!GR216</f>
        <v>0</v>
      </c>
      <c r="FZ269" s="18" t="str">
        <f>INPUT!GS216</f>
        <v>NA</v>
      </c>
      <c r="GA269" s="5">
        <f>INPUT!GT216</f>
        <v>0</v>
      </c>
    </row>
    <row r="270" spans="1:183" ht="12.75" hidden="1" customHeight="1" outlineLevel="1" x14ac:dyDescent="0.2">
      <c r="A270" s="612"/>
      <c r="B270" s="119"/>
      <c r="C270" s="399"/>
      <c r="D270" s="119"/>
      <c r="E270" s="399"/>
      <c r="F270" s="119"/>
      <c r="G270" s="399"/>
      <c r="H270" s="119"/>
      <c r="I270" s="399"/>
      <c r="J270" s="119"/>
      <c r="K270" s="399"/>
      <c r="L270" s="119"/>
      <c r="M270" s="399"/>
      <c r="N270" s="119"/>
      <c r="O270" s="399"/>
      <c r="P270" s="119"/>
      <c r="Q270" s="399"/>
      <c r="R270" s="119"/>
      <c r="S270" s="399"/>
      <c r="T270" s="119"/>
      <c r="U270" s="399"/>
      <c r="V270" s="119"/>
      <c r="W270" s="399"/>
      <c r="X270" s="119"/>
      <c r="Y270" s="399"/>
      <c r="Z270" s="119"/>
      <c r="AA270" s="399"/>
      <c r="AB270" s="119"/>
      <c r="AC270" s="399"/>
      <c r="AD270" s="119"/>
      <c r="AE270" s="399"/>
      <c r="AF270" s="119"/>
      <c r="AG270" s="399"/>
      <c r="AH270" s="119"/>
      <c r="AI270" s="399"/>
      <c r="AJ270" s="119"/>
      <c r="AK270" s="399"/>
      <c r="AL270" s="119"/>
      <c r="AM270" s="399"/>
      <c r="AN270" s="119"/>
      <c r="AO270" s="18"/>
      <c r="AP270" s="119"/>
      <c r="AQ270" s="18"/>
      <c r="AR270" s="119"/>
      <c r="AS270" s="18"/>
      <c r="AT270" s="119"/>
      <c r="AU270" s="18"/>
      <c r="AV270" s="119"/>
      <c r="AW270" s="18"/>
      <c r="AX270" s="119"/>
      <c r="AY270" s="18"/>
      <c r="AZ270" s="119"/>
      <c r="BA270" s="18"/>
      <c r="BB270" s="119"/>
      <c r="BC270" s="18"/>
      <c r="BD270" s="119"/>
      <c r="BE270" s="18"/>
      <c r="BF270" s="119"/>
      <c r="BG270" s="18"/>
      <c r="BH270" s="119"/>
      <c r="BI270" s="18"/>
      <c r="BJ270" s="119"/>
      <c r="BK270" s="18"/>
      <c r="BL270" s="119"/>
      <c r="BM270" s="18"/>
      <c r="BN270" s="119"/>
      <c r="BO270" s="18"/>
      <c r="BP270" s="119"/>
      <c r="BQ270" s="18"/>
      <c r="BR270" s="119"/>
      <c r="BS270" s="18"/>
      <c r="BT270" s="119"/>
      <c r="BU270" s="18"/>
      <c r="BV270" s="119"/>
      <c r="BW270" s="18"/>
      <c r="BX270" s="119"/>
      <c r="BY270" s="18"/>
      <c r="BZ270" s="119"/>
      <c r="CA270" s="18"/>
      <c r="CB270" s="119"/>
      <c r="CC270" s="18"/>
      <c r="CD270" s="119"/>
      <c r="CE270" s="18"/>
      <c r="CF270" s="119"/>
      <c r="CG270" s="18"/>
      <c r="CH270" s="119"/>
      <c r="CI270" s="18"/>
      <c r="CJ270" s="119"/>
      <c r="CK270" s="18"/>
      <c r="CL270" s="119"/>
      <c r="CM270" s="18"/>
      <c r="CN270" s="119"/>
      <c r="CO270" s="18"/>
      <c r="CP270" s="119"/>
      <c r="CQ270" s="18"/>
      <c r="CR270" s="119"/>
      <c r="CS270" s="18"/>
      <c r="CT270" s="119"/>
      <c r="CU270" s="18"/>
      <c r="CV270" s="119"/>
      <c r="CW270" s="18"/>
      <c r="CX270" s="119"/>
      <c r="CY270" s="18"/>
      <c r="CZ270" s="119"/>
      <c r="DA270" s="18"/>
      <c r="DB270" s="119"/>
      <c r="DC270" s="18"/>
      <c r="DD270" s="119"/>
      <c r="DE270" s="18"/>
      <c r="DF270" s="119"/>
      <c r="DG270" s="18"/>
      <c r="DH270" s="119"/>
      <c r="DI270" s="18"/>
      <c r="DJ270" s="119"/>
      <c r="DK270" s="18"/>
      <c r="DL270" s="119"/>
      <c r="DM270" s="18"/>
      <c r="DN270" s="119"/>
      <c r="DO270" s="18"/>
      <c r="DP270" s="119"/>
      <c r="DQ270" s="18"/>
      <c r="DR270" s="119"/>
      <c r="DS270" s="18"/>
      <c r="DT270" s="119"/>
      <c r="DU270" s="18"/>
      <c r="DV270" s="119"/>
      <c r="DW270" s="18"/>
      <c r="DX270" s="119"/>
      <c r="DY270" s="18"/>
      <c r="DZ270" s="119"/>
      <c r="EA270" s="18"/>
      <c r="EB270" s="119"/>
      <c r="EC270" s="18"/>
      <c r="ED270" s="119"/>
      <c r="EE270" s="18"/>
      <c r="EF270" s="119"/>
      <c r="EG270" s="18"/>
      <c r="EH270" s="18"/>
      <c r="EI270" s="119"/>
      <c r="EJ270" s="399"/>
      <c r="EK270" s="119"/>
      <c r="EL270" s="399"/>
      <c r="EM270" s="119"/>
      <c r="EN270" s="399"/>
      <c r="EO270" s="119"/>
      <c r="EP270" s="399"/>
      <c r="EQ270" s="119"/>
      <c r="ER270" s="18"/>
      <c r="ES270" s="119"/>
      <c r="ET270" s="18"/>
      <c r="EU270" s="119"/>
      <c r="EV270" s="18"/>
      <c r="EW270" s="119"/>
      <c r="EX270" s="18"/>
      <c r="EY270" s="119"/>
      <c r="EZ270" s="18"/>
      <c r="FA270" s="119"/>
      <c r="FB270" s="18"/>
      <c r="FC270" s="119"/>
      <c r="FD270" s="18"/>
      <c r="FE270" s="119"/>
      <c r="FF270" s="18"/>
      <c r="FG270" s="119"/>
      <c r="FH270" s="18"/>
      <c r="FI270" s="119"/>
      <c r="FJ270" s="18"/>
      <c r="FK270" s="119"/>
      <c r="FL270" s="18"/>
      <c r="FM270" s="119"/>
      <c r="FN270" s="18"/>
      <c r="FO270" s="119"/>
      <c r="FP270" s="18"/>
      <c r="FQ270" s="119"/>
      <c r="FR270" s="18"/>
      <c r="FS270" s="119"/>
      <c r="FT270" s="18"/>
      <c r="FU270" s="119"/>
      <c r="FV270" s="18"/>
      <c r="FW270" s="119"/>
      <c r="FX270" s="18"/>
      <c r="FY270" s="119"/>
      <c r="FZ270" s="18"/>
      <c r="GA270" s="399"/>
    </row>
    <row r="271" spans="1:183" ht="12.75" hidden="1" customHeight="1" outlineLevel="1" x14ac:dyDescent="0.2">
      <c r="A271" s="640" t="str">
        <f>+A55</f>
        <v>Quarterly income statement ratios are annualized where appropriate     E = Morgan Stanley Research Estimates      NM = Not Meaningful       NA = Not Applicable              CAGR = Cumulative Average Growth Rate</v>
      </c>
      <c r="B271" s="96"/>
      <c r="C271" s="399"/>
      <c r="D271" s="96"/>
      <c r="E271" s="399"/>
      <c r="F271" s="96"/>
      <c r="G271" s="399"/>
      <c r="H271" s="96"/>
      <c r="I271" s="399"/>
      <c r="J271" s="96"/>
      <c r="K271" s="399"/>
      <c r="L271" s="96"/>
      <c r="M271" s="399"/>
      <c r="N271" s="96"/>
      <c r="O271" s="399"/>
      <c r="P271" s="96"/>
      <c r="Q271" s="399"/>
      <c r="R271" s="96"/>
      <c r="S271" s="399"/>
      <c r="T271" s="96"/>
      <c r="U271" s="399"/>
      <c r="V271" s="96"/>
      <c r="W271" s="399"/>
      <c r="X271" s="96"/>
      <c r="Y271" s="399"/>
      <c r="Z271" s="96"/>
      <c r="AA271" s="399"/>
      <c r="AB271" s="96"/>
      <c r="AC271" s="399"/>
      <c r="AD271" s="96"/>
      <c r="AE271" s="399"/>
      <c r="AF271" s="96"/>
      <c r="AG271" s="399"/>
      <c r="AH271" s="96"/>
      <c r="AI271" s="399"/>
      <c r="AJ271" s="96"/>
      <c r="AK271" s="399"/>
      <c r="AL271" s="96"/>
      <c r="AM271" s="399"/>
      <c r="AN271" s="96"/>
      <c r="AO271" s="18"/>
      <c r="AP271" s="96"/>
      <c r="AQ271" s="18"/>
      <c r="AR271" s="96"/>
      <c r="AS271" s="18"/>
      <c r="AT271" s="96"/>
      <c r="AU271" s="18"/>
      <c r="AV271" s="96"/>
      <c r="AW271" s="18"/>
      <c r="AX271" s="96"/>
      <c r="AY271" s="18"/>
      <c r="AZ271" s="96"/>
      <c r="BA271" s="18"/>
      <c r="BB271" s="96"/>
      <c r="BC271" s="18"/>
      <c r="BD271" s="96"/>
      <c r="BE271" s="18"/>
      <c r="BF271" s="96"/>
      <c r="BG271" s="18"/>
      <c r="BH271" s="96"/>
      <c r="BI271" s="18"/>
      <c r="BJ271" s="96"/>
      <c r="BK271" s="18"/>
      <c r="BL271" s="96"/>
      <c r="BM271" s="18"/>
      <c r="BN271" s="96"/>
      <c r="BO271" s="18"/>
      <c r="BP271" s="96"/>
      <c r="BQ271" s="18"/>
      <c r="BR271" s="96"/>
      <c r="BS271" s="18"/>
      <c r="BT271" s="96"/>
      <c r="BU271" s="18"/>
      <c r="BV271" s="96"/>
      <c r="BW271" s="18"/>
      <c r="BX271" s="96"/>
      <c r="BY271" s="18"/>
      <c r="BZ271" s="96"/>
      <c r="CA271" s="18"/>
      <c r="CB271" s="96"/>
      <c r="CC271" s="18"/>
      <c r="CD271" s="96"/>
      <c r="CE271" s="18"/>
      <c r="CF271" s="96"/>
      <c r="CG271" s="18"/>
      <c r="CH271" s="96"/>
      <c r="CI271" s="18"/>
      <c r="CJ271" s="96"/>
      <c r="CK271" s="18"/>
      <c r="CL271" s="96"/>
      <c r="CM271" s="18"/>
      <c r="CN271" s="96"/>
      <c r="CO271" s="18"/>
      <c r="CP271" s="96"/>
      <c r="CQ271" s="18"/>
      <c r="CR271" s="96"/>
      <c r="CS271" s="18"/>
      <c r="CT271" s="96"/>
      <c r="CU271" s="18"/>
      <c r="CV271" s="96"/>
      <c r="CW271" s="18"/>
      <c r="CX271" s="96"/>
      <c r="CY271" s="18"/>
      <c r="CZ271" s="96"/>
      <c r="DA271" s="18"/>
      <c r="DB271" s="96"/>
      <c r="DC271" s="18"/>
      <c r="DD271" s="96"/>
      <c r="DE271" s="18"/>
      <c r="DF271" s="96"/>
      <c r="DG271" s="18"/>
      <c r="DH271" s="96"/>
      <c r="DI271" s="18"/>
      <c r="DJ271" s="96"/>
      <c r="DK271" s="18"/>
      <c r="DL271" s="96"/>
      <c r="DM271" s="18"/>
      <c r="DN271" s="96"/>
      <c r="DO271" s="18"/>
      <c r="DP271" s="96"/>
      <c r="DQ271" s="18"/>
      <c r="DR271" s="96"/>
      <c r="DS271" s="18"/>
      <c r="DT271" s="96"/>
      <c r="DU271" s="18"/>
      <c r="DV271" s="96"/>
      <c r="DW271" s="18"/>
      <c r="DX271" s="96"/>
      <c r="DY271" s="18"/>
      <c r="DZ271" s="96"/>
      <c r="EA271" s="18"/>
      <c r="EB271" s="96"/>
      <c r="EC271" s="18"/>
      <c r="ED271" s="96"/>
      <c r="EE271" s="18"/>
      <c r="EF271" s="96"/>
      <c r="EG271" s="18"/>
      <c r="EH271" s="18"/>
      <c r="EI271" s="96"/>
      <c r="EJ271" s="399"/>
      <c r="EK271" s="96"/>
      <c r="EL271" s="399"/>
      <c r="EM271" s="96"/>
      <c r="EN271" s="399"/>
      <c r="EO271" s="96"/>
      <c r="EP271" s="399"/>
      <c r="EQ271" s="96"/>
      <c r="ER271" s="18"/>
      <c r="ES271" s="96"/>
      <c r="ET271" s="18"/>
      <c r="EU271" s="96"/>
      <c r="EV271" s="18"/>
      <c r="EW271" s="96"/>
      <c r="EX271" s="18"/>
      <c r="EY271" s="96"/>
      <c r="EZ271" s="18"/>
      <c r="FA271" s="96"/>
      <c r="FB271" s="18"/>
      <c r="FC271" s="96"/>
      <c r="FD271" s="18"/>
      <c r="FE271" s="96"/>
      <c r="FF271" s="18"/>
      <c r="FG271" s="96"/>
      <c r="FH271" s="18"/>
      <c r="FI271" s="96"/>
      <c r="FJ271" s="18"/>
      <c r="FK271" s="96"/>
      <c r="FL271" s="18"/>
      <c r="FM271" s="96"/>
      <c r="FN271" s="18"/>
      <c r="FO271" s="96"/>
      <c r="FP271" s="18"/>
      <c r="FQ271" s="96"/>
      <c r="FR271" s="18"/>
      <c r="FS271" s="96"/>
      <c r="FT271" s="18"/>
      <c r="FU271" s="96"/>
      <c r="FV271" s="18"/>
      <c r="FW271" s="96"/>
      <c r="FX271" s="18"/>
      <c r="FY271" s="96"/>
      <c r="FZ271" s="18"/>
      <c r="GA271" s="399"/>
    </row>
    <row r="272" spans="1:183" ht="12.75" hidden="1" customHeight="1" outlineLevel="1" x14ac:dyDescent="0.2">
      <c r="A272" s="640" t="s">
        <v>280</v>
      </c>
      <c r="B272" s="96"/>
      <c r="C272" s="399"/>
      <c r="D272" s="96"/>
      <c r="E272" s="399"/>
      <c r="F272" s="96"/>
      <c r="G272" s="399"/>
      <c r="H272" s="96"/>
      <c r="I272" s="399"/>
      <c r="J272" s="96"/>
      <c r="K272" s="399"/>
      <c r="L272" s="96"/>
      <c r="M272" s="399"/>
      <c r="N272" s="96"/>
      <c r="O272" s="399"/>
      <c r="P272" s="96"/>
      <c r="Q272" s="399"/>
      <c r="R272" s="96"/>
      <c r="S272" s="399"/>
      <c r="T272" s="96"/>
      <c r="U272" s="399"/>
      <c r="V272" s="96"/>
      <c r="W272" s="399"/>
      <c r="X272" s="96"/>
      <c r="Y272" s="399"/>
      <c r="Z272" s="96"/>
      <c r="AA272" s="399"/>
      <c r="AB272" s="96"/>
      <c r="AC272" s="399"/>
      <c r="AD272" s="96"/>
      <c r="AE272" s="399"/>
      <c r="AF272" s="96"/>
      <c r="AG272" s="399"/>
      <c r="AH272" s="96"/>
      <c r="AI272" s="399"/>
      <c r="AJ272" s="96"/>
      <c r="AK272" s="399"/>
      <c r="AL272" s="96"/>
      <c r="AM272" s="399"/>
      <c r="AN272" s="96"/>
      <c r="AO272" s="18"/>
      <c r="AP272" s="96"/>
      <c r="AQ272" s="18"/>
      <c r="AR272" s="96"/>
      <c r="AS272" s="18"/>
      <c r="AT272" s="96"/>
      <c r="AU272" s="18"/>
      <c r="AV272" s="96"/>
      <c r="AW272" s="18"/>
      <c r="AX272" s="96"/>
      <c r="AY272" s="18"/>
      <c r="AZ272" s="96"/>
      <c r="BA272" s="18"/>
      <c r="BB272" s="96"/>
      <c r="BC272" s="18"/>
      <c r="BD272" s="96"/>
      <c r="BE272" s="18"/>
      <c r="BF272" s="96"/>
      <c r="BG272" s="18"/>
      <c r="BH272" s="96"/>
      <c r="BI272" s="18"/>
      <c r="BJ272" s="96"/>
      <c r="BK272" s="18"/>
      <c r="BL272" s="96"/>
      <c r="BM272" s="18"/>
      <c r="BN272" s="96"/>
      <c r="BO272" s="18"/>
      <c r="BP272" s="96"/>
      <c r="BQ272" s="18"/>
      <c r="BR272" s="96"/>
      <c r="BS272" s="18"/>
      <c r="BT272" s="96"/>
      <c r="BU272" s="18"/>
      <c r="BV272" s="96"/>
      <c r="BW272" s="18"/>
      <c r="BX272" s="96"/>
      <c r="BY272" s="18"/>
      <c r="BZ272" s="96"/>
      <c r="CA272" s="18"/>
      <c r="CB272" s="96"/>
      <c r="CC272" s="18"/>
      <c r="CD272" s="96"/>
      <c r="CE272" s="18"/>
      <c r="CF272" s="96"/>
      <c r="CG272" s="18"/>
      <c r="CH272" s="96"/>
      <c r="CI272" s="18"/>
      <c r="CJ272" s="96"/>
      <c r="CK272" s="18"/>
      <c r="CL272" s="96"/>
      <c r="CM272" s="18"/>
      <c r="CN272" s="96"/>
      <c r="CO272" s="18"/>
      <c r="CP272" s="96"/>
      <c r="CQ272" s="18"/>
      <c r="CR272" s="96"/>
      <c r="CS272" s="18"/>
      <c r="CT272" s="96"/>
      <c r="CU272" s="18"/>
      <c r="CV272" s="96"/>
      <c r="CW272" s="18"/>
      <c r="CX272" s="96"/>
      <c r="CY272" s="18"/>
      <c r="CZ272" s="96"/>
      <c r="DA272" s="18"/>
      <c r="DB272" s="96"/>
      <c r="DC272" s="18"/>
      <c r="DD272" s="96"/>
      <c r="DE272" s="18"/>
      <c r="DF272" s="96"/>
      <c r="DG272" s="18"/>
      <c r="DH272" s="96"/>
      <c r="DI272" s="18"/>
      <c r="DJ272" s="96"/>
      <c r="DK272" s="18"/>
      <c r="DL272" s="96"/>
      <c r="DM272" s="18"/>
      <c r="DN272" s="96"/>
      <c r="DO272" s="18"/>
      <c r="DP272" s="96"/>
      <c r="DQ272" s="18"/>
      <c r="DR272" s="96"/>
      <c r="DS272" s="18"/>
      <c r="DT272" s="96"/>
      <c r="DU272" s="18"/>
      <c r="DV272" s="96"/>
      <c r="DW272" s="18"/>
      <c r="DX272" s="96"/>
      <c r="DY272" s="18"/>
      <c r="DZ272" s="96"/>
      <c r="EA272" s="18"/>
      <c r="EB272" s="96"/>
      <c r="EC272" s="18"/>
      <c r="ED272" s="96"/>
      <c r="EE272" s="18"/>
      <c r="EF272" s="96"/>
      <c r="EG272" s="18"/>
      <c r="EH272" s="18"/>
      <c r="EI272" s="96"/>
      <c r="EJ272" s="399"/>
      <c r="EK272" s="96"/>
      <c r="EL272" s="399"/>
      <c r="EM272" s="96"/>
      <c r="EN272" s="399"/>
      <c r="EO272" s="96"/>
      <c r="EP272" s="399"/>
      <c r="EQ272" s="96"/>
      <c r="ER272" s="18"/>
      <c r="ES272" s="96"/>
      <c r="ET272" s="18"/>
      <c r="EU272" s="96"/>
      <c r="EV272" s="18"/>
      <c r="EW272" s="96"/>
      <c r="EX272" s="18"/>
      <c r="EY272" s="96"/>
      <c r="EZ272" s="18"/>
      <c r="FA272" s="96"/>
      <c r="FB272" s="18"/>
      <c r="FC272" s="96"/>
      <c r="FD272" s="18"/>
      <c r="FE272" s="96"/>
      <c r="FF272" s="18"/>
      <c r="FG272" s="96"/>
      <c r="FH272" s="18"/>
      <c r="FI272" s="96"/>
      <c r="FJ272" s="18"/>
      <c r="FK272" s="96"/>
      <c r="FL272" s="18"/>
      <c r="FM272" s="96"/>
      <c r="FN272" s="18"/>
      <c r="FO272" s="96"/>
      <c r="FP272" s="18"/>
      <c r="FQ272" s="96"/>
      <c r="FR272" s="18"/>
      <c r="FS272" s="96"/>
      <c r="FT272" s="18"/>
      <c r="FU272" s="96"/>
      <c r="FV272" s="18"/>
      <c r="FW272" s="96"/>
      <c r="FX272" s="18"/>
      <c r="FY272" s="96"/>
      <c r="FZ272" s="18"/>
      <c r="GA272" s="399"/>
    </row>
    <row r="273" spans="1:183" s="434" customFormat="1" ht="12.75" hidden="1" customHeight="1" outlineLevel="1" x14ac:dyDescent="0.2">
      <c r="A273" s="537"/>
      <c r="B273" s="530"/>
      <c r="C273" s="545"/>
      <c r="D273" s="530"/>
      <c r="E273" s="545"/>
      <c r="F273" s="530"/>
      <c r="G273" s="545"/>
      <c r="H273" s="530"/>
      <c r="I273" s="545"/>
      <c r="J273" s="530"/>
      <c r="K273" s="545"/>
      <c r="L273" s="530"/>
      <c r="M273" s="545"/>
      <c r="N273" s="530"/>
      <c r="O273" s="545"/>
      <c r="P273" s="530"/>
      <c r="Q273" s="545"/>
      <c r="R273" s="530"/>
      <c r="S273" s="545"/>
      <c r="T273" s="530"/>
      <c r="U273" s="545"/>
      <c r="V273" s="530"/>
      <c r="W273" s="545"/>
      <c r="X273" s="530"/>
      <c r="Y273" s="545"/>
      <c r="Z273" s="530"/>
      <c r="AA273" s="545"/>
      <c r="AB273" s="530"/>
      <c r="AC273" s="545"/>
      <c r="AD273" s="530"/>
      <c r="AE273" s="545"/>
      <c r="AF273" s="530"/>
      <c r="AG273" s="545"/>
      <c r="AH273" s="530"/>
      <c r="AI273" s="545"/>
      <c r="AJ273" s="530"/>
      <c r="AK273" s="545"/>
      <c r="AL273" s="530"/>
      <c r="AM273" s="545"/>
      <c r="AN273" s="530"/>
      <c r="AO273" s="546"/>
      <c r="AP273" s="530"/>
      <c r="AQ273" s="546"/>
      <c r="AR273" s="530"/>
      <c r="AS273" s="546"/>
      <c r="AT273" s="530"/>
      <c r="AU273" s="546"/>
      <c r="AV273" s="530"/>
      <c r="AW273" s="546"/>
      <c r="AX273" s="530"/>
      <c r="AY273" s="546"/>
      <c r="AZ273" s="530"/>
      <c r="BA273" s="546"/>
      <c r="BB273" s="530"/>
      <c r="BC273" s="546"/>
      <c r="BD273" s="530"/>
      <c r="BE273" s="546"/>
      <c r="BF273" s="530"/>
      <c r="BG273" s="546"/>
      <c r="BH273" s="530"/>
      <c r="BI273" s="546"/>
      <c r="BJ273" s="530"/>
      <c r="BK273" s="546"/>
      <c r="BL273" s="530"/>
      <c r="BM273" s="546"/>
      <c r="BN273" s="530"/>
      <c r="BO273" s="546"/>
      <c r="BP273" s="530"/>
      <c r="BQ273" s="546"/>
      <c r="BR273" s="530"/>
      <c r="BS273" s="546"/>
      <c r="BT273" s="530"/>
      <c r="BU273" s="546"/>
      <c r="BV273" s="530"/>
      <c r="BW273" s="546"/>
      <c r="BX273" s="530"/>
      <c r="BY273" s="546"/>
      <c r="BZ273" s="530"/>
      <c r="CA273" s="546"/>
      <c r="CB273" s="530"/>
      <c r="CC273" s="546"/>
      <c r="CD273" s="530"/>
      <c r="CE273" s="546"/>
      <c r="CF273" s="530"/>
      <c r="CG273" s="546"/>
      <c r="CH273" s="530"/>
      <c r="CI273" s="546"/>
      <c r="CJ273" s="530"/>
      <c r="CK273" s="546"/>
      <c r="CL273" s="530"/>
      <c r="CM273" s="546"/>
      <c r="CN273" s="530"/>
      <c r="CO273" s="546"/>
      <c r="CP273" s="530"/>
      <c r="CQ273" s="546"/>
      <c r="CR273" s="530"/>
      <c r="CS273" s="546"/>
      <c r="CT273" s="530"/>
      <c r="CU273" s="546"/>
      <c r="CV273" s="530"/>
      <c r="CW273" s="546"/>
      <c r="CX273" s="530"/>
      <c r="CY273" s="546"/>
      <c r="CZ273" s="530"/>
      <c r="DA273" s="546"/>
      <c r="DB273" s="530"/>
      <c r="DC273" s="546"/>
      <c r="DD273" s="530"/>
      <c r="DE273" s="546"/>
      <c r="DF273" s="530"/>
      <c r="DG273" s="546"/>
      <c r="DH273" s="530"/>
      <c r="DI273" s="546"/>
      <c r="DJ273" s="530"/>
      <c r="DK273" s="546"/>
      <c r="DL273" s="530"/>
      <c r="DM273" s="546"/>
      <c r="DN273" s="530"/>
      <c r="DO273" s="546"/>
      <c r="DP273" s="530"/>
      <c r="DQ273" s="546"/>
      <c r="DR273" s="530"/>
      <c r="DS273" s="546"/>
      <c r="DT273" s="530"/>
      <c r="DU273" s="546"/>
      <c r="DV273" s="530"/>
      <c r="DW273" s="546"/>
      <c r="DX273" s="530"/>
      <c r="DY273" s="546"/>
      <c r="DZ273" s="530"/>
      <c r="EA273" s="546"/>
      <c r="EB273" s="530"/>
      <c r="EC273" s="546"/>
      <c r="ED273" s="530"/>
      <c r="EE273" s="546"/>
      <c r="EF273" s="530"/>
      <c r="EG273" s="546"/>
      <c r="EH273" s="531"/>
      <c r="EI273" s="530"/>
      <c r="EJ273" s="545"/>
      <c r="EK273" s="530"/>
      <c r="EL273" s="545"/>
      <c r="EM273" s="530"/>
      <c r="EN273" s="545"/>
      <c r="EO273" s="530"/>
      <c r="EP273" s="545"/>
      <c r="EQ273" s="530"/>
      <c r="ER273" s="546"/>
      <c r="ES273" s="530"/>
      <c r="ET273" s="546"/>
      <c r="EU273" s="530"/>
      <c r="EV273" s="546"/>
      <c r="EW273" s="530"/>
      <c r="EX273" s="546"/>
      <c r="EY273" s="530"/>
      <c r="EZ273" s="546"/>
      <c r="FA273" s="530"/>
      <c r="FB273" s="546"/>
      <c r="FC273" s="530"/>
      <c r="FD273" s="546"/>
      <c r="FE273" s="530"/>
      <c r="FF273" s="546"/>
      <c r="FG273" s="530"/>
      <c r="FH273" s="546"/>
      <c r="FI273" s="530"/>
      <c r="FJ273" s="546"/>
      <c r="FK273" s="530"/>
      <c r="FL273" s="546"/>
      <c r="FM273" s="530"/>
      <c r="FN273" s="546"/>
      <c r="FO273" s="530"/>
      <c r="FP273" s="546"/>
      <c r="FQ273" s="530"/>
      <c r="FR273" s="546"/>
      <c r="FS273" s="530"/>
      <c r="FT273" s="546"/>
      <c r="FU273" s="530"/>
      <c r="FV273" s="546"/>
      <c r="FW273" s="530"/>
      <c r="FX273" s="546"/>
      <c r="FY273" s="530"/>
      <c r="FZ273" s="546"/>
      <c r="GA273" s="545"/>
    </row>
    <row r="274" spans="1:183" ht="21.95" hidden="1" customHeight="1" outlineLevel="1" x14ac:dyDescent="0.25">
      <c r="A274" s="551" t="str">
        <f>INPUT!$B$4</f>
        <v>Unum Group</v>
      </c>
      <c r="B274" s="504"/>
      <c r="C274" s="512"/>
      <c r="D274" s="504"/>
      <c r="E274" s="505"/>
      <c r="F274" s="504"/>
      <c r="G274" s="505"/>
      <c r="H274" s="504"/>
      <c r="I274" s="505"/>
      <c r="J274" s="504"/>
      <c r="K274" s="505"/>
      <c r="L274" s="504"/>
      <c r="M274" s="505"/>
      <c r="N274" s="504"/>
      <c r="O274" s="505"/>
      <c r="P274" s="504"/>
      <c r="Q274" s="505"/>
      <c r="R274" s="504"/>
      <c r="S274" s="505"/>
      <c r="T274" s="504"/>
      <c r="U274" s="505"/>
      <c r="V274" s="504"/>
      <c r="W274" s="505"/>
      <c r="X274" s="504"/>
      <c r="Y274" s="505"/>
      <c r="Z274" s="504"/>
      <c r="AA274" s="505"/>
      <c r="AB274" s="504"/>
      <c r="AC274" s="505"/>
      <c r="AD274" s="504"/>
      <c r="AE274" s="505"/>
      <c r="AF274" s="504"/>
      <c r="AG274" s="505"/>
      <c r="AH274" s="504"/>
      <c r="AI274" s="505"/>
      <c r="AJ274" s="504"/>
      <c r="AK274" s="505"/>
      <c r="AL274" s="504"/>
      <c r="AM274" s="505"/>
      <c r="AN274" s="504"/>
      <c r="AO274" s="506"/>
      <c r="AP274" s="504"/>
      <c r="AQ274" s="506"/>
      <c r="AR274" s="504"/>
      <c r="AS274" s="506"/>
      <c r="AT274" s="504"/>
      <c r="AU274" s="506"/>
      <c r="AV274" s="504"/>
      <c r="AW274" s="506"/>
      <c r="AX274" s="504"/>
      <c r="AY274" s="506"/>
      <c r="AZ274" s="504"/>
      <c r="BA274" s="506"/>
      <c r="BB274" s="504"/>
      <c r="BC274" s="506"/>
      <c r="BD274" s="504"/>
      <c r="BE274" s="506"/>
      <c r="BF274" s="504"/>
      <c r="BG274" s="506"/>
      <c r="BH274" s="504"/>
      <c r="BI274" s="506"/>
      <c r="BJ274" s="504"/>
      <c r="BK274" s="506"/>
      <c r="BL274" s="504"/>
      <c r="BM274" s="506"/>
      <c r="BN274" s="504"/>
      <c r="BO274" s="506"/>
      <c r="BP274" s="504"/>
      <c r="BQ274" s="506"/>
      <c r="BR274" s="504"/>
      <c r="BS274" s="506"/>
      <c r="BT274" s="504"/>
      <c r="BU274" s="506"/>
      <c r="BV274" s="504"/>
      <c r="BW274" s="506"/>
      <c r="BX274" s="504"/>
      <c r="BY274" s="506"/>
      <c r="BZ274" s="504"/>
      <c r="CA274" s="506"/>
      <c r="CB274" s="504"/>
      <c r="CC274" s="506"/>
      <c r="CD274" s="504"/>
      <c r="CE274" s="506"/>
      <c r="CF274" s="504"/>
      <c r="CG274" s="506"/>
      <c r="CH274" s="504"/>
      <c r="CI274" s="506"/>
      <c r="CJ274" s="504"/>
      <c r="CK274" s="506"/>
      <c r="CL274" s="504"/>
      <c r="CM274" s="506"/>
      <c r="CN274" s="504"/>
      <c r="CO274" s="506"/>
      <c r="CP274" s="504"/>
      <c r="CQ274" s="506"/>
      <c r="CR274" s="504"/>
      <c r="CS274" s="506"/>
      <c r="CT274" s="504"/>
      <c r="CU274" s="506"/>
      <c r="CV274" s="504"/>
      <c r="CW274" s="506"/>
      <c r="CX274" s="504"/>
      <c r="CY274" s="506"/>
      <c r="CZ274" s="504"/>
      <c r="DA274" s="506"/>
      <c r="DB274" s="504"/>
      <c r="DC274" s="506"/>
      <c r="DD274" s="504"/>
      <c r="DE274" s="506"/>
      <c r="DF274" s="504"/>
      <c r="DG274" s="506"/>
      <c r="DH274" s="504"/>
      <c r="DI274" s="506"/>
      <c r="DJ274" s="504"/>
      <c r="DK274" s="506"/>
      <c r="DL274" s="504"/>
      <c r="DM274" s="506"/>
      <c r="DN274" s="504"/>
      <c r="DO274" s="506"/>
      <c r="DP274" s="504"/>
      <c r="DQ274" s="506"/>
      <c r="DR274" s="504"/>
      <c r="DS274" s="506"/>
      <c r="DT274" s="504"/>
      <c r="DU274" s="506"/>
      <c r="DV274" s="504"/>
      <c r="DW274" s="506"/>
      <c r="DX274" s="504"/>
      <c r="DY274" s="506"/>
      <c r="DZ274" s="504"/>
      <c r="EA274" s="506"/>
      <c r="EB274" s="504"/>
      <c r="EC274" s="506"/>
      <c r="ED274" s="504"/>
      <c r="EE274" s="506"/>
      <c r="EF274" s="504"/>
      <c r="EG274" s="506"/>
      <c r="EH274" s="506"/>
      <c r="EI274" s="504"/>
      <c r="EJ274" s="505"/>
      <c r="EK274" s="504"/>
      <c r="EL274" s="505"/>
      <c r="EM274" s="504"/>
      <c r="EN274" s="505"/>
      <c r="EO274" s="504"/>
      <c r="EP274" s="505"/>
      <c r="EQ274" s="504"/>
      <c r="ER274" s="506"/>
      <c r="ES274" s="504"/>
      <c r="ET274" s="506"/>
      <c r="EU274" s="504"/>
      <c r="EV274" s="506"/>
      <c r="EW274" s="504"/>
      <c r="EX274" s="506"/>
      <c r="EY274" s="504"/>
      <c r="EZ274" s="506"/>
      <c r="FA274" s="504"/>
      <c r="FB274" s="506"/>
      <c r="FC274" s="504"/>
      <c r="FD274" s="506"/>
      <c r="FE274" s="504"/>
      <c r="FF274" s="506"/>
      <c r="FG274" s="504"/>
      <c r="FH274" s="506"/>
      <c r="FI274" s="504"/>
      <c r="FJ274" s="506"/>
      <c r="FK274" s="504"/>
      <c r="FL274" s="506"/>
      <c r="FM274" s="504"/>
      <c r="FN274" s="506"/>
      <c r="FO274" s="504"/>
      <c r="FP274" s="506"/>
      <c r="FQ274" s="504"/>
      <c r="FR274" s="506"/>
      <c r="FS274" s="504"/>
      <c r="FT274" s="506"/>
      <c r="FU274" s="504"/>
      <c r="FV274" s="506"/>
      <c r="FW274" s="504"/>
      <c r="FX274" s="506"/>
      <c r="FY274" s="504"/>
      <c r="FZ274" s="506"/>
      <c r="GA274" s="505"/>
    </row>
    <row r="275" spans="1:183" ht="12.75" hidden="1" customHeight="1" outlineLevel="1" x14ac:dyDescent="0.2">
      <c r="A275" s="604" t="s">
        <v>518</v>
      </c>
      <c r="B275" s="504"/>
      <c r="C275" s="512"/>
      <c r="D275" s="504"/>
      <c r="E275" s="505"/>
      <c r="F275" s="504"/>
      <c r="G275" s="505"/>
      <c r="H275" s="504"/>
      <c r="I275" s="505"/>
      <c r="J275" s="504"/>
      <c r="K275" s="505"/>
      <c r="L275" s="504"/>
      <c r="M275" s="505"/>
      <c r="N275" s="504"/>
      <c r="O275" s="505"/>
      <c r="P275" s="504"/>
      <c r="Q275" s="505"/>
      <c r="R275" s="504"/>
      <c r="S275" s="505"/>
      <c r="T275" s="504"/>
      <c r="U275" s="505"/>
      <c r="V275" s="504"/>
      <c r="W275" s="505"/>
      <c r="X275" s="504"/>
      <c r="Y275" s="505"/>
      <c r="Z275" s="504"/>
      <c r="AA275" s="505"/>
      <c r="AB275" s="504"/>
      <c r="AC275" s="505"/>
      <c r="AD275" s="504"/>
      <c r="AE275" s="505"/>
      <c r="AF275" s="504"/>
      <c r="AG275" s="505"/>
      <c r="AH275" s="504"/>
      <c r="AI275" s="505"/>
      <c r="AJ275" s="504"/>
      <c r="AK275" s="505"/>
      <c r="AL275" s="504"/>
      <c r="AM275" s="505"/>
      <c r="AN275" s="504"/>
      <c r="AO275" s="506"/>
      <c r="AP275" s="504"/>
      <c r="AQ275" s="506"/>
      <c r="AR275" s="504"/>
      <c r="AS275" s="506"/>
      <c r="AT275" s="504"/>
      <c r="AU275" s="506"/>
      <c r="AV275" s="504"/>
      <c r="AW275" s="506"/>
      <c r="AX275" s="504"/>
      <c r="AY275" s="506"/>
      <c r="AZ275" s="504"/>
      <c r="BA275" s="506"/>
      <c r="BB275" s="504"/>
      <c r="BC275" s="506"/>
      <c r="BD275" s="504"/>
      <c r="BE275" s="506"/>
      <c r="BF275" s="504"/>
      <c r="BG275" s="506"/>
      <c r="BH275" s="504"/>
      <c r="BI275" s="506"/>
      <c r="BJ275" s="504"/>
      <c r="BK275" s="506"/>
      <c r="BL275" s="504"/>
      <c r="BM275" s="506"/>
      <c r="BN275" s="504"/>
      <c r="BO275" s="506"/>
      <c r="BP275" s="504"/>
      <c r="BQ275" s="506"/>
      <c r="BR275" s="504"/>
      <c r="BS275" s="506"/>
      <c r="BT275" s="504"/>
      <c r="BU275" s="506"/>
      <c r="BV275" s="504"/>
      <c r="BW275" s="506"/>
      <c r="BX275" s="504"/>
      <c r="BY275" s="506"/>
      <c r="BZ275" s="504"/>
      <c r="CA275" s="506"/>
      <c r="CB275" s="504"/>
      <c r="CC275" s="506"/>
      <c r="CD275" s="504"/>
      <c r="CE275" s="506"/>
      <c r="CF275" s="504"/>
      <c r="CG275" s="506"/>
      <c r="CH275" s="504"/>
      <c r="CI275" s="506"/>
      <c r="CJ275" s="504"/>
      <c r="CK275" s="506"/>
      <c r="CL275" s="504"/>
      <c r="CM275" s="506"/>
      <c r="CN275" s="504"/>
      <c r="CO275" s="506"/>
      <c r="CP275" s="504"/>
      <c r="CQ275" s="506"/>
      <c r="CR275" s="504"/>
      <c r="CS275" s="506"/>
      <c r="CT275" s="504"/>
      <c r="CU275" s="506"/>
      <c r="CV275" s="504"/>
      <c r="CW275" s="506"/>
      <c r="CX275" s="504"/>
      <c r="CY275" s="506"/>
      <c r="CZ275" s="504"/>
      <c r="DA275" s="506"/>
      <c r="DB275" s="504"/>
      <c r="DC275" s="506"/>
      <c r="DD275" s="504"/>
      <c r="DE275" s="506"/>
      <c r="DF275" s="504"/>
      <c r="DG275" s="506"/>
      <c r="DH275" s="504"/>
      <c r="DI275" s="506"/>
      <c r="DJ275" s="504"/>
      <c r="DK275" s="506"/>
      <c r="DL275" s="504"/>
      <c r="DM275" s="506"/>
      <c r="DN275" s="504"/>
      <c r="DO275" s="506"/>
      <c r="DP275" s="504"/>
      <c r="DQ275" s="506"/>
      <c r="DR275" s="504"/>
      <c r="DS275" s="506"/>
      <c r="DT275" s="504"/>
      <c r="DU275" s="506"/>
      <c r="DV275" s="504"/>
      <c r="DW275" s="506"/>
      <c r="DX275" s="504"/>
      <c r="DY275" s="506"/>
      <c r="DZ275" s="504"/>
      <c r="EA275" s="506"/>
      <c r="EB275" s="504"/>
      <c r="EC275" s="506"/>
      <c r="ED275" s="504"/>
      <c r="EE275" s="506"/>
      <c r="EF275" s="504"/>
      <c r="EG275" s="506"/>
      <c r="EH275" s="506"/>
      <c r="EI275" s="504"/>
      <c r="EJ275" s="505"/>
      <c r="EK275" s="504"/>
      <c r="EL275" s="505"/>
      <c r="EM275" s="504"/>
      <c r="EN275" s="505"/>
      <c r="EO275" s="504"/>
      <c r="EP275" s="505"/>
      <c r="EQ275" s="504"/>
      <c r="ER275" s="506"/>
      <c r="ES275" s="504"/>
      <c r="ET275" s="506"/>
      <c r="EU275" s="504"/>
      <c r="EV275" s="506"/>
      <c r="EW275" s="504"/>
      <c r="EX275" s="506"/>
      <c r="EY275" s="504"/>
      <c r="EZ275" s="506"/>
      <c r="FA275" s="504"/>
      <c r="FB275" s="506"/>
      <c r="FC275" s="504"/>
      <c r="FD275" s="506"/>
      <c r="FE275" s="504"/>
      <c r="FF275" s="506"/>
      <c r="FG275" s="504"/>
      <c r="FH275" s="506"/>
      <c r="FI275" s="504"/>
      <c r="FJ275" s="506"/>
      <c r="FK275" s="504"/>
      <c r="FL275" s="506"/>
      <c r="FM275" s="504"/>
      <c r="FN275" s="506"/>
      <c r="FO275" s="504"/>
      <c r="FP275" s="506"/>
      <c r="FQ275" s="504"/>
      <c r="FR275" s="506"/>
      <c r="FS275" s="504"/>
      <c r="FT275" s="506"/>
      <c r="FU275" s="504"/>
      <c r="FV275" s="506"/>
      <c r="FW275" s="504"/>
      <c r="FX275" s="506"/>
      <c r="FY275" s="504"/>
      <c r="FZ275" s="506"/>
      <c r="GA275" s="505"/>
    </row>
    <row r="276" spans="1:183" s="502" customFormat="1" ht="12.75" hidden="1" customHeight="1" outlineLevel="1" x14ac:dyDescent="0.2">
      <c r="A276" s="655" t="str">
        <f>A$3</f>
        <v>($Millions Except Per Share Data)</v>
      </c>
      <c r="B276" s="641"/>
      <c r="C276" s="643" t="str">
        <f>C$3</f>
        <v>1Q02/</v>
      </c>
      <c r="D276" s="641"/>
      <c r="E276" s="643" t="str">
        <f>E$3</f>
        <v>2Q02/</v>
      </c>
      <c r="F276" s="641"/>
      <c r="G276" s="643" t="str">
        <f>G$3</f>
        <v>3Q02/</v>
      </c>
      <c r="H276" s="641"/>
      <c r="I276" s="643" t="str">
        <f>I$3</f>
        <v>4Q02/</v>
      </c>
      <c r="J276" s="641"/>
      <c r="K276" s="643" t="str">
        <f>K$3</f>
        <v>1Q03/</v>
      </c>
      <c r="L276" s="641"/>
      <c r="M276" s="643" t="str">
        <f>M$3</f>
        <v>2Q03/</v>
      </c>
      <c r="N276" s="641"/>
      <c r="O276" s="643" t="str">
        <f>O$3</f>
        <v>3Q03/</v>
      </c>
      <c r="P276" s="641"/>
      <c r="Q276" s="643" t="str">
        <f>Q$3</f>
        <v>4Q03/</v>
      </c>
      <c r="R276" s="641"/>
      <c r="S276" s="643" t="str">
        <f>S$3</f>
        <v>1Q04/</v>
      </c>
      <c r="T276" s="641"/>
      <c r="U276" s="643" t="str">
        <f>U$3</f>
        <v>2Q04/</v>
      </c>
      <c r="V276" s="641"/>
      <c r="W276" s="643" t="str">
        <f>W$3</f>
        <v>3Q04/</v>
      </c>
      <c r="X276" s="641"/>
      <c r="Y276" s="643" t="str">
        <f>Y$3</f>
        <v>4Q04/</v>
      </c>
      <c r="Z276" s="641"/>
      <c r="AA276" s="643" t="str">
        <f>AA$3</f>
        <v>1Q05/</v>
      </c>
      <c r="AB276" s="641"/>
      <c r="AC276" s="643" t="str">
        <f>AC$3</f>
        <v>2Q05/</v>
      </c>
      <c r="AD276" s="641"/>
      <c r="AE276" s="643" t="str">
        <f>AE$3</f>
        <v>3Q05/</v>
      </c>
      <c r="AF276" s="641"/>
      <c r="AG276" s="643" t="str">
        <f>AG$3</f>
        <v>4Q05/</v>
      </c>
      <c r="AH276" s="641"/>
      <c r="AI276" s="643" t="str">
        <f>AI$3</f>
        <v>1Q06/</v>
      </c>
      <c r="AJ276" s="641"/>
      <c r="AK276" s="643" t="str">
        <f>AK$3</f>
        <v>2Q06/</v>
      </c>
      <c r="AL276" s="641"/>
      <c r="AM276" s="643" t="str">
        <f>AM$3</f>
        <v>3Q06/</v>
      </c>
      <c r="AN276" s="641"/>
      <c r="AO276" s="642" t="str">
        <f>AO$3</f>
        <v>4Q06/</v>
      </c>
      <c r="AP276" s="641"/>
      <c r="AQ276" s="642" t="str">
        <f>AQ$3</f>
        <v>1Q07/</v>
      </c>
      <c r="AR276" s="641"/>
      <c r="AS276" s="642" t="str">
        <f>AS$3</f>
        <v>2Q07/</v>
      </c>
      <c r="AT276" s="641"/>
      <c r="AU276" s="642" t="str">
        <f>AU$3</f>
        <v>3Q07/</v>
      </c>
      <c r="AV276" s="641"/>
      <c r="AW276" s="642" t="str">
        <f>AW$3</f>
        <v>4Q07/</v>
      </c>
      <c r="AX276" s="641"/>
      <c r="AY276" s="642" t="str">
        <f>AY$3</f>
        <v>1Q08/</v>
      </c>
      <c r="AZ276" s="641"/>
      <c r="BA276" s="642" t="str">
        <f>BA$3</f>
        <v>2Q08/</v>
      </c>
      <c r="BB276" s="641"/>
      <c r="BC276" s="642" t="str">
        <f>BC$3</f>
        <v>3Q08/</v>
      </c>
      <c r="BD276" s="641"/>
      <c r="BE276" s="642" t="str">
        <f>BE$3</f>
        <v>4Q08/</v>
      </c>
      <c r="BF276" s="641"/>
      <c r="BG276" s="642" t="str">
        <f>BG$3</f>
        <v>1Q09/</v>
      </c>
      <c r="BH276" s="641"/>
      <c r="BI276" s="642" t="str">
        <f>BI$3</f>
        <v>2Q09/</v>
      </c>
      <c r="BJ276" s="641"/>
      <c r="BK276" s="642" t="str">
        <f>BK$3</f>
        <v>3Q09/</v>
      </c>
      <c r="BL276" s="641"/>
      <c r="BM276" s="642" t="str">
        <f>BM$3</f>
        <v>4Q09/</v>
      </c>
      <c r="BN276" s="641"/>
      <c r="BO276" s="642" t="str">
        <f>BO$3</f>
        <v>1Q10/</v>
      </c>
      <c r="BP276" s="641"/>
      <c r="BQ276" s="642" t="str">
        <f>BQ$3</f>
        <v>2Q10/</v>
      </c>
      <c r="BR276" s="641"/>
      <c r="BS276" s="642" t="str">
        <f>BS$3</f>
        <v>3Q10/</v>
      </c>
      <c r="BT276" s="641"/>
      <c r="BU276" s="642">
        <f>BU$3</f>
        <v>0</v>
      </c>
      <c r="BV276" s="641"/>
      <c r="BW276" s="642" t="str">
        <f>BW$3</f>
        <v>1Q11/</v>
      </c>
      <c r="BX276" s="641"/>
      <c r="BY276" s="642" t="str">
        <f>BY$3</f>
        <v>2Q11/</v>
      </c>
      <c r="BZ276" s="641"/>
      <c r="CA276" s="642" t="str">
        <f>CA$3</f>
        <v>3Q11/</v>
      </c>
      <c r="CB276" s="641"/>
      <c r="CC276" s="642" t="str">
        <f>CC$3</f>
        <v>4Q11/</v>
      </c>
      <c r="CD276" s="641"/>
      <c r="CE276" s="642" t="str">
        <f>CE$3</f>
        <v>1Q12/</v>
      </c>
      <c r="CF276" s="641"/>
      <c r="CG276" s="642" t="str">
        <f>CG$3</f>
        <v>2Q12/</v>
      </c>
      <c r="CH276" s="641"/>
      <c r="CI276" s="642" t="str">
        <f>CI$3</f>
        <v>3Q12/</v>
      </c>
      <c r="CJ276" s="641"/>
      <c r="CK276" s="642" t="str">
        <f>CK$3</f>
        <v>4Q12/</v>
      </c>
      <c r="CL276" s="641"/>
      <c r="CM276" s="642" t="str">
        <f>CM$3</f>
        <v>1Q13/</v>
      </c>
      <c r="CN276" s="641"/>
      <c r="CO276" s="642" t="str">
        <f>CO$3</f>
        <v>2Q13/</v>
      </c>
      <c r="CP276" s="641"/>
      <c r="CQ276" s="642" t="str">
        <f>CQ$3</f>
        <v>3Q13/</v>
      </c>
      <c r="CR276" s="641"/>
      <c r="CS276" s="642" t="str">
        <f>CS$3</f>
        <v>4Q13/</v>
      </c>
      <c r="CT276" s="641"/>
      <c r="CU276" s="642" t="str">
        <f>CU$3</f>
        <v>1Q14/</v>
      </c>
      <c r="CV276" s="641"/>
      <c r="CW276" s="642" t="str">
        <f>CW$3</f>
        <v>2Q14/</v>
      </c>
      <c r="CX276" s="641"/>
      <c r="CY276" s="642" t="str">
        <f>CY$3</f>
        <v>3Q14/</v>
      </c>
      <c r="CZ276" s="641"/>
      <c r="DA276" s="642" t="str">
        <f>DA$3</f>
        <v>4Q14/</v>
      </c>
      <c r="DB276" s="641"/>
      <c r="DC276" s="642" t="str">
        <f>DC$3</f>
        <v>1Q15/</v>
      </c>
      <c r="DD276" s="641"/>
      <c r="DE276" s="642" t="str">
        <f>DE$3</f>
        <v>2Q15/</v>
      </c>
      <c r="DF276" s="641"/>
      <c r="DG276" s="642" t="str">
        <f>DG$3</f>
        <v>3Q15/</v>
      </c>
      <c r="DH276" s="641"/>
      <c r="DI276" s="642" t="str">
        <f>DI$3</f>
        <v>4Q15/</v>
      </c>
      <c r="DJ276" s="641"/>
      <c r="DK276" s="642" t="str">
        <f>DK$3</f>
        <v>1Q16/</v>
      </c>
      <c r="DL276" s="641"/>
      <c r="DM276" s="642" t="str">
        <f>DM$3</f>
        <v>2Q16/</v>
      </c>
      <c r="DN276" s="641"/>
      <c r="DO276" s="642" t="str">
        <f>DO$3</f>
        <v>3Q16/</v>
      </c>
      <c r="DP276" s="641"/>
      <c r="DQ276" s="642" t="str">
        <f>DQ$3</f>
        <v>4Q16/</v>
      </c>
      <c r="DR276" s="641"/>
      <c r="DS276" s="642" t="str">
        <f t="shared" ref="DS276" si="188">DS$3</f>
        <v>1Q17/</v>
      </c>
      <c r="DT276" s="641"/>
      <c r="DU276" s="642" t="str">
        <f t="shared" ref="DU276" si="189">DU$3</f>
        <v>2Q17/</v>
      </c>
      <c r="DV276" s="641"/>
      <c r="DW276" s="642" t="str">
        <f t="shared" ref="DW276" si="190">DW$3</f>
        <v>3Q17/</v>
      </c>
      <c r="DX276" s="641"/>
      <c r="DY276" s="642" t="str">
        <f t="shared" ref="DY276" si="191">DY$3</f>
        <v>4Q17/</v>
      </c>
      <c r="DZ276" s="641"/>
      <c r="EA276" s="642" t="str">
        <f t="shared" ref="EA276" si="192">EA$3</f>
        <v>1Q18E/</v>
      </c>
      <c r="EB276" s="641"/>
      <c r="EC276" s="642" t="str">
        <f t="shared" ref="EC276" si="193">EC$3</f>
        <v>2Q18E/</v>
      </c>
      <c r="ED276" s="641"/>
      <c r="EE276" s="642" t="str">
        <f t="shared" ref="EE276" si="194">EE$3</f>
        <v>3Q18E/</v>
      </c>
      <c r="EF276" s="641"/>
      <c r="EG276" s="642" t="str">
        <f t="shared" ref="EG276" si="195">EG$3</f>
        <v>4Q18E/</v>
      </c>
      <c r="EH276" s="642"/>
      <c r="EI276" s="641"/>
      <c r="EJ276" s="643" t="str">
        <f>EJ$3</f>
        <v>2001/</v>
      </c>
      <c r="EK276" s="641"/>
      <c r="EL276" s="643" t="str">
        <f>EL$3</f>
        <v>2002/</v>
      </c>
      <c r="EM276" s="641"/>
      <c r="EN276" s="643" t="str">
        <f>EN$3</f>
        <v>2003/</v>
      </c>
      <c r="EO276" s="641"/>
      <c r="EP276" s="643" t="str">
        <f>EP$3</f>
        <v>2004/</v>
      </c>
      <c r="EQ276" s="641"/>
      <c r="ER276" s="642" t="str">
        <f>ER3</f>
        <v>2005/</v>
      </c>
      <c r="ES276" s="641"/>
      <c r="ET276" s="642" t="str">
        <f>ET3</f>
        <v>2006/</v>
      </c>
      <c r="EU276" s="641"/>
      <c r="EV276" s="642" t="str">
        <f>EV3</f>
        <v>2007/</v>
      </c>
      <c r="EW276" s="641"/>
      <c r="EX276" s="642" t="str">
        <f>EX3</f>
        <v>2008/</v>
      </c>
      <c r="EY276" s="641"/>
      <c r="EZ276" s="642" t="str">
        <f>EZ3</f>
        <v>2009/</v>
      </c>
      <c r="FA276" s="641"/>
      <c r="FB276" s="642" t="str">
        <f>FB3</f>
        <v>2010/</v>
      </c>
      <c r="FC276" s="641"/>
      <c r="FD276" s="642" t="str">
        <f>FD3</f>
        <v>2011/</v>
      </c>
      <c r="FE276" s="641"/>
      <c r="FF276" s="642" t="str">
        <f>FF3</f>
        <v>2012/</v>
      </c>
      <c r="FG276" s="641"/>
      <c r="FH276" s="642" t="str">
        <f>FH3</f>
        <v>2013/</v>
      </c>
      <c r="FI276" s="641"/>
      <c r="FJ276" s="642" t="str">
        <f>FJ3</f>
        <v>2014/</v>
      </c>
      <c r="FK276" s="641"/>
      <c r="FL276" s="642" t="str">
        <f>FL3</f>
        <v>2015/</v>
      </c>
      <c r="FM276" s="641"/>
      <c r="FN276" s="642" t="str">
        <f>FN3</f>
        <v>2016/</v>
      </c>
      <c r="FO276" s="641"/>
      <c r="FP276" s="642" t="str">
        <f>FP3</f>
        <v>2017/</v>
      </c>
      <c r="FQ276" s="641"/>
      <c r="FR276" s="642" t="str">
        <f>FR3</f>
        <v>2018E/</v>
      </c>
      <c r="FS276" s="641"/>
      <c r="FT276" s="642" t="str">
        <f>FT3</f>
        <v>2019E/</v>
      </c>
      <c r="FU276" s="641"/>
      <c r="FV276" s="642" t="str">
        <f>FV3</f>
        <v>2020E/</v>
      </c>
      <c r="FW276" s="641"/>
      <c r="FX276" s="642" t="str">
        <f>FX3</f>
        <v>2021E/</v>
      </c>
      <c r="FY276" s="641"/>
      <c r="FZ276" s="642" t="str">
        <f>FZ3</f>
        <v>2022E/</v>
      </c>
      <c r="GA276" s="643" t="str">
        <f>INPUT!GT$5</f>
        <v>5-Yr</v>
      </c>
    </row>
    <row r="277" spans="1:183" s="502" customFormat="1" ht="12.75" hidden="1" customHeight="1" outlineLevel="1" x14ac:dyDescent="0.2">
      <c r="A277" s="656"/>
      <c r="B277" s="638"/>
      <c r="C277" s="418" t="str">
        <f>C$4</f>
        <v>1Q01</v>
      </c>
      <c r="D277" s="638"/>
      <c r="E277" s="418" t="str">
        <f>E$4</f>
        <v>2Q01</v>
      </c>
      <c r="F277" s="638"/>
      <c r="G277" s="418" t="str">
        <f>G$4</f>
        <v>3Q01</v>
      </c>
      <c r="H277" s="638"/>
      <c r="I277" s="418" t="str">
        <f>I$4</f>
        <v>4Q01</v>
      </c>
      <c r="J277" s="638"/>
      <c r="K277" s="418" t="str">
        <f>K$4</f>
        <v>1Q02</v>
      </c>
      <c r="L277" s="638"/>
      <c r="M277" s="418" t="str">
        <f>M$4</f>
        <v>2Q02</v>
      </c>
      <c r="N277" s="638"/>
      <c r="O277" s="418" t="str">
        <f>O$4</f>
        <v>3Q02</v>
      </c>
      <c r="P277" s="638"/>
      <c r="Q277" s="418" t="str">
        <f>Q$4</f>
        <v>4Q02</v>
      </c>
      <c r="R277" s="638"/>
      <c r="S277" s="418" t="str">
        <f>S$4</f>
        <v>1Q03</v>
      </c>
      <c r="T277" s="638"/>
      <c r="U277" s="418" t="str">
        <f>U$4</f>
        <v>2Q03</v>
      </c>
      <c r="V277" s="638"/>
      <c r="W277" s="418" t="str">
        <f>W$4</f>
        <v>3Q03</v>
      </c>
      <c r="X277" s="638"/>
      <c r="Y277" s="418" t="str">
        <f>Y$4</f>
        <v>4Q03</v>
      </c>
      <c r="Z277" s="638"/>
      <c r="AA277" s="418" t="str">
        <f>AA$4</f>
        <v>1Q04</v>
      </c>
      <c r="AB277" s="638"/>
      <c r="AC277" s="418" t="str">
        <f>AC$4</f>
        <v>2Q04</v>
      </c>
      <c r="AD277" s="638"/>
      <c r="AE277" s="418" t="str">
        <f>AE$4</f>
        <v>3Q04</v>
      </c>
      <c r="AF277" s="638"/>
      <c r="AG277" s="418" t="str">
        <f>AG$4</f>
        <v>4Q04</v>
      </c>
      <c r="AH277" s="638"/>
      <c r="AI277" s="418" t="str">
        <f>AI$4</f>
        <v>1Q05</v>
      </c>
      <c r="AJ277" s="638"/>
      <c r="AK277" s="418" t="str">
        <f>AK$4</f>
        <v>2Q05</v>
      </c>
      <c r="AL277" s="638"/>
      <c r="AM277" s="418" t="str">
        <f>AM$4</f>
        <v>3Q05</v>
      </c>
      <c r="AN277" s="638"/>
      <c r="AO277" s="639" t="str">
        <f>AO$4</f>
        <v>4Q05</v>
      </c>
      <c r="AP277" s="638"/>
      <c r="AQ277" s="639" t="str">
        <f>AQ$4</f>
        <v>1Q06</v>
      </c>
      <c r="AR277" s="638"/>
      <c r="AS277" s="639" t="str">
        <f>AS$4</f>
        <v>2Q06</v>
      </c>
      <c r="AT277" s="638"/>
      <c r="AU277" s="639" t="str">
        <f>AU$4</f>
        <v>3Q06</v>
      </c>
      <c r="AV277" s="638"/>
      <c r="AW277" s="639" t="str">
        <f>AW$4</f>
        <v>4Q06</v>
      </c>
      <c r="AX277" s="638"/>
      <c r="AY277" s="639" t="str">
        <f>AY$4</f>
        <v>1Q07</v>
      </c>
      <c r="AZ277" s="638"/>
      <c r="BA277" s="639" t="str">
        <f>BA$4</f>
        <v>2Q07</v>
      </c>
      <c r="BB277" s="638"/>
      <c r="BC277" s="639" t="str">
        <f>BC$4</f>
        <v>3Q07</v>
      </c>
      <c r="BD277" s="638"/>
      <c r="BE277" s="639" t="str">
        <f>BE$4</f>
        <v>4Q07</v>
      </c>
      <c r="BF277" s="638"/>
      <c r="BG277" s="639" t="str">
        <f>BG$4</f>
        <v>1Q08</v>
      </c>
      <c r="BH277" s="638"/>
      <c r="BI277" s="639" t="str">
        <f>BI$4</f>
        <v>2Q08</v>
      </c>
      <c r="BJ277" s="638"/>
      <c r="BK277" s="639" t="str">
        <f>BK$4</f>
        <v>3Q08</v>
      </c>
      <c r="BL277" s="638"/>
      <c r="BM277" s="639" t="str">
        <f>BM$4</f>
        <v>4Q08</v>
      </c>
      <c r="BN277" s="638"/>
      <c r="BO277" s="639" t="str">
        <f>BO$4</f>
        <v>1Q09</v>
      </c>
      <c r="BP277" s="638"/>
      <c r="BQ277" s="639" t="str">
        <f>BQ$4</f>
        <v>2Q09</v>
      </c>
      <c r="BR277" s="638"/>
      <c r="BS277" s="639" t="str">
        <f>BS$4</f>
        <v>3Q09</v>
      </c>
      <c r="BT277" s="638"/>
      <c r="BU277" s="639" t="str">
        <f>BU$4</f>
        <v>4Q09</v>
      </c>
      <c r="BV277" s="638"/>
      <c r="BW277" s="639" t="str">
        <f>BW$4</f>
        <v>1Q10</v>
      </c>
      <c r="BX277" s="638"/>
      <c r="BY277" s="639" t="str">
        <f>BY$4</f>
        <v>2Q10</v>
      </c>
      <c r="BZ277" s="638"/>
      <c r="CA277" s="639" t="str">
        <f>CA$4</f>
        <v>3Q10</v>
      </c>
      <c r="CB277" s="638"/>
      <c r="CC277" s="639" t="str">
        <f>CC$4</f>
        <v>4Q10</v>
      </c>
      <c r="CD277" s="638"/>
      <c r="CE277" s="639" t="str">
        <f>CE$4</f>
        <v>1Q11</v>
      </c>
      <c r="CF277" s="638"/>
      <c r="CG277" s="639" t="str">
        <f>CG$4</f>
        <v>2Q11</v>
      </c>
      <c r="CH277" s="638"/>
      <c r="CI277" s="639" t="str">
        <f>CI$4</f>
        <v>3Q11</v>
      </c>
      <c r="CJ277" s="638"/>
      <c r="CK277" s="639" t="str">
        <f>CK$4</f>
        <v>4Q11</v>
      </c>
      <c r="CL277" s="638"/>
      <c r="CM277" s="639" t="str">
        <f>CM$4</f>
        <v>1Q12</v>
      </c>
      <c r="CN277" s="638"/>
      <c r="CO277" s="639" t="str">
        <f>CO$4</f>
        <v>2Q12</v>
      </c>
      <c r="CP277" s="638"/>
      <c r="CQ277" s="639" t="str">
        <f>CQ$4</f>
        <v>3Q12</v>
      </c>
      <c r="CR277" s="638"/>
      <c r="CS277" s="639" t="str">
        <f>CS$4</f>
        <v>4Q12</v>
      </c>
      <c r="CT277" s="638"/>
      <c r="CU277" s="639" t="str">
        <f>CU$4</f>
        <v>1Q13</v>
      </c>
      <c r="CV277" s="638"/>
      <c r="CW277" s="639" t="str">
        <f>CW$4</f>
        <v>2Q13</v>
      </c>
      <c r="CX277" s="638"/>
      <c r="CY277" s="639" t="str">
        <f>CY$4</f>
        <v>3Q13</v>
      </c>
      <c r="CZ277" s="638"/>
      <c r="DA277" s="639" t="str">
        <f>DA$4</f>
        <v>4Q13</v>
      </c>
      <c r="DB277" s="638"/>
      <c r="DC277" s="639" t="str">
        <f>DC$4</f>
        <v>1Q14</v>
      </c>
      <c r="DD277" s="638"/>
      <c r="DE277" s="639" t="str">
        <f>DE$4</f>
        <v>2Q14</v>
      </c>
      <c r="DF277" s="638"/>
      <c r="DG277" s="639" t="str">
        <f>DG$4</f>
        <v>3Q14</v>
      </c>
      <c r="DH277" s="638"/>
      <c r="DI277" s="639" t="str">
        <f>DI$4</f>
        <v>4Q14</v>
      </c>
      <c r="DJ277" s="638"/>
      <c r="DK277" s="639" t="str">
        <f>DK$4</f>
        <v>1Q15</v>
      </c>
      <c r="DL277" s="638"/>
      <c r="DM277" s="639" t="str">
        <f>DM$4</f>
        <v>2Q15</v>
      </c>
      <c r="DN277" s="638"/>
      <c r="DO277" s="639" t="str">
        <f>DO$4</f>
        <v>3Q15</v>
      </c>
      <c r="DP277" s="638"/>
      <c r="DQ277" s="639" t="str">
        <f>DQ$4</f>
        <v>4Q15</v>
      </c>
      <c r="DR277" s="638"/>
      <c r="DS277" s="639" t="str">
        <f t="shared" ref="DS277" si="196">DS$4</f>
        <v>1Q16</v>
      </c>
      <c r="DT277" s="638"/>
      <c r="DU277" s="639" t="str">
        <f t="shared" ref="DU277" si="197">DU$4</f>
        <v>2Q16</v>
      </c>
      <c r="DV277" s="638"/>
      <c r="DW277" s="639" t="str">
        <f t="shared" ref="DW277" si="198">DW$4</f>
        <v>3Q16</v>
      </c>
      <c r="DX277" s="638"/>
      <c r="DY277" s="639" t="str">
        <f t="shared" ref="DY277" si="199">DY$4</f>
        <v>4Q16</v>
      </c>
      <c r="DZ277" s="638"/>
      <c r="EA277" s="639" t="str">
        <f t="shared" ref="EA277" si="200">EA$4</f>
        <v>1Q17</v>
      </c>
      <c r="EB277" s="638"/>
      <c r="EC277" s="639" t="str">
        <f t="shared" ref="EC277" si="201">EC$4</f>
        <v>2Q17</v>
      </c>
      <c r="ED277" s="638"/>
      <c r="EE277" s="639" t="str">
        <f t="shared" ref="EE277" si="202">EE$4</f>
        <v>3Q17</v>
      </c>
      <c r="EF277" s="638"/>
      <c r="EG277" s="639" t="str">
        <f t="shared" ref="EG277" si="203">EG$4</f>
        <v>4Q17</v>
      </c>
      <c r="EH277" s="639"/>
      <c r="EI277" s="638"/>
      <c r="EJ277" s="418" t="str">
        <f>EJ$4</f>
        <v>2000</v>
      </c>
      <c r="EK277" s="638"/>
      <c r="EL277" s="418" t="str">
        <f>EL$4</f>
        <v>2001</v>
      </c>
      <c r="EM277" s="638"/>
      <c r="EN277" s="418" t="str">
        <f>EN$4</f>
        <v>2002</v>
      </c>
      <c r="EO277" s="638"/>
      <c r="EP277" s="418" t="str">
        <f>EP$4</f>
        <v>2003</v>
      </c>
      <c r="EQ277" s="638"/>
      <c r="ER277" s="639" t="str">
        <f>ER4</f>
        <v>2004</v>
      </c>
      <c r="ES277" s="638"/>
      <c r="ET277" s="639" t="str">
        <f>ET4</f>
        <v>2005</v>
      </c>
      <c r="EU277" s="638"/>
      <c r="EV277" s="639">
        <f>EV4</f>
        <v>2006</v>
      </c>
      <c r="EW277" s="638"/>
      <c r="EX277" s="639">
        <f>EX4</f>
        <v>2007</v>
      </c>
      <c r="EY277" s="638"/>
      <c r="EZ277" s="639">
        <f>EZ4</f>
        <v>2008</v>
      </c>
      <c r="FA277" s="638"/>
      <c r="FB277" s="639" t="str">
        <f>FB4</f>
        <v>2009</v>
      </c>
      <c r="FC277" s="638"/>
      <c r="FD277" s="639" t="str">
        <f>FD4</f>
        <v>2010</v>
      </c>
      <c r="FE277" s="638"/>
      <c r="FF277" s="639" t="str">
        <f>FF4</f>
        <v>2011</v>
      </c>
      <c r="FG277" s="638"/>
      <c r="FH277" s="639" t="str">
        <f>FH4</f>
        <v>2012</v>
      </c>
      <c r="FI277" s="638"/>
      <c r="FJ277" s="639" t="str">
        <f>FJ4</f>
        <v>2013</v>
      </c>
      <c r="FK277" s="638"/>
      <c r="FL277" s="639" t="str">
        <f>FL4</f>
        <v>2014</v>
      </c>
      <c r="FM277" s="638"/>
      <c r="FN277" s="639" t="str">
        <f>FN4</f>
        <v>2015</v>
      </c>
      <c r="FO277" s="638"/>
      <c r="FP277" s="639" t="str">
        <f>FP4</f>
        <v>2016</v>
      </c>
      <c r="FQ277" s="638"/>
      <c r="FR277" s="639" t="str">
        <f>FR4</f>
        <v>2017</v>
      </c>
      <c r="FS277" s="638"/>
      <c r="FT277" s="639" t="str">
        <f>FT4</f>
        <v>2018E</v>
      </c>
      <c r="FU277" s="638"/>
      <c r="FV277" s="639" t="str">
        <f>FV4</f>
        <v>2019E</v>
      </c>
      <c r="FW277" s="638"/>
      <c r="FX277" s="639" t="str">
        <f>FX4</f>
        <v>2020E</v>
      </c>
      <c r="FY277" s="638"/>
      <c r="FZ277" s="639" t="str">
        <f>FZ4</f>
        <v>2021E</v>
      </c>
      <c r="GA277" s="418" t="s">
        <v>113</v>
      </c>
    </row>
    <row r="278" spans="1:183" s="502" customFormat="1" ht="12.75" hidden="1" customHeight="1" outlineLevel="1" x14ac:dyDescent="0.2">
      <c r="A278" s="606"/>
      <c r="B278" s="607" t="str">
        <f t="shared" ref="B278:DR278" si="204">B$5</f>
        <v>1Q02</v>
      </c>
      <c r="C278" s="608" t="str">
        <f t="shared" si="204"/>
        <v>% Chg</v>
      </c>
      <c r="D278" s="607" t="str">
        <f t="shared" si="204"/>
        <v>2Q02</v>
      </c>
      <c r="E278" s="608" t="str">
        <f t="shared" si="204"/>
        <v>% Chg</v>
      </c>
      <c r="F278" s="607" t="str">
        <f t="shared" si="204"/>
        <v>3Q02</v>
      </c>
      <c r="G278" s="608" t="str">
        <f t="shared" si="204"/>
        <v>% Chg</v>
      </c>
      <c r="H278" s="607" t="str">
        <f t="shared" si="204"/>
        <v>4Q02</v>
      </c>
      <c r="I278" s="608" t="str">
        <f t="shared" si="204"/>
        <v>% Chg</v>
      </c>
      <c r="J278" s="607" t="str">
        <f t="shared" si="204"/>
        <v>1Q03</v>
      </c>
      <c r="K278" s="608" t="str">
        <f t="shared" si="204"/>
        <v>% Chg</v>
      </c>
      <c r="L278" s="607" t="str">
        <f t="shared" si="204"/>
        <v>2Q03</v>
      </c>
      <c r="M278" s="608" t="str">
        <f t="shared" si="204"/>
        <v>% Chg</v>
      </c>
      <c r="N278" s="607" t="str">
        <f t="shared" si="204"/>
        <v>3Q03</v>
      </c>
      <c r="O278" s="608" t="str">
        <f t="shared" si="204"/>
        <v>% Chg</v>
      </c>
      <c r="P278" s="607" t="str">
        <f t="shared" si="204"/>
        <v>4Q03</v>
      </c>
      <c r="Q278" s="608" t="str">
        <f t="shared" si="204"/>
        <v>% Chg</v>
      </c>
      <c r="R278" s="607" t="str">
        <f t="shared" si="204"/>
        <v>1Q04</v>
      </c>
      <c r="S278" s="608" t="str">
        <f t="shared" si="204"/>
        <v>% Chg</v>
      </c>
      <c r="T278" s="607" t="str">
        <f t="shared" si="204"/>
        <v>2Q04</v>
      </c>
      <c r="U278" s="608" t="str">
        <f t="shared" si="204"/>
        <v>% Chg</v>
      </c>
      <c r="V278" s="607" t="str">
        <f t="shared" si="204"/>
        <v>3Q04</v>
      </c>
      <c r="W278" s="608" t="str">
        <f t="shared" si="204"/>
        <v>% Chg</v>
      </c>
      <c r="X278" s="607" t="str">
        <f t="shared" si="204"/>
        <v>4Q04</v>
      </c>
      <c r="Y278" s="608" t="str">
        <f t="shared" si="204"/>
        <v>% Chg</v>
      </c>
      <c r="Z278" s="607" t="str">
        <f t="shared" si="204"/>
        <v>1Q05</v>
      </c>
      <c r="AA278" s="608" t="str">
        <f t="shared" si="204"/>
        <v>% Chg</v>
      </c>
      <c r="AB278" s="607" t="str">
        <f t="shared" si="204"/>
        <v>2Q05</v>
      </c>
      <c r="AC278" s="608" t="str">
        <f t="shared" si="204"/>
        <v>% Chg</v>
      </c>
      <c r="AD278" s="607" t="str">
        <f t="shared" si="204"/>
        <v>3Q05</v>
      </c>
      <c r="AE278" s="608" t="str">
        <f t="shared" si="204"/>
        <v>% Chg</v>
      </c>
      <c r="AF278" s="607" t="str">
        <f t="shared" si="204"/>
        <v>4Q05</v>
      </c>
      <c r="AG278" s="608" t="str">
        <f t="shared" si="204"/>
        <v>% Chg</v>
      </c>
      <c r="AH278" s="607" t="str">
        <f t="shared" si="204"/>
        <v>1Q06</v>
      </c>
      <c r="AI278" s="608" t="str">
        <f t="shared" si="204"/>
        <v>% Chg</v>
      </c>
      <c r="AJ278" s="607" t="str">
        <f t="shared" si="204"/>
        <v>2Q06</v>
      </c>
      <c r="AK278" s="608" t="str">
        <f t="shared" si="204"/>
        <v>% Chg</v>
      </c>
      <c r="AL278" s="607" t="str">
        <f t="shared" si="204"/>
        <v>3Q06</v>
      </c>
      <c r="AM278" s="608" t="str">
        <f t="shared" si="204"/>
        <v>% Chg</v>
      </c>
      <c r="AN278" s="607" t="str">
        <f t="shared" si="204"/>
        <v>4Q06</v>
      </c>
      <c r="AO278" s="30" t="str">
        <f t="shared" si="204"/>
        <v>% Chg</v>
      </c>
      <c r="AP278" s="607" t="str">
        <f t="shared" si="204"/>
        <v>1Q07</v>
      </c>
      <c r="AQ278" s="30" t="str">
        <f t="shared" si="204"/>
        <v>% Chg</v>
      </c>
      <c r="AR278" s="607" t="str">
        <f t="shared" si="204"/>
        <v>2Q07</v>
      </c>
      <c r="AS278" s="30" t="str">
        <f t="shared" si="204"/>
        <v>% Chg</v>
      </c>
      <c r="AT278" s="607" t="str">
        <f t="shared" si="204"/>
        <v>3Q07</v>
      </c>
      <c r="AU278" s="30" t="str">
        <f t="shared" si="204"/>
        <v>% Chg</v>
      </c>
      <c r="AV278" s="607" t="str">
        <f t="shared" si="204"/>
        <v>4Q07</v>
      </c>
      <c r="AW278" s="30" t="str">
        <f t="shared" si="204"/>
        <v>% Chg</v>
      </c>
      <c r="AX278" s="607" t="str">
        <f t="shared" si="204"/>
        <v>1Q08</v>
      </c>
      <c r="AY278" s="30" t="str">
        <f t="shared" si="204"/>
        <v>% Chg</v>
      </c>
      <c r="AZ278" s="607" t="str">
        <f t="shared" si="204"/>
        <v>2Q08</v>
      </c>
      <c r="BA278" s="30" t="str">
        <f t="shared" si="204"/>
        <v>% Chg</v>
      </c>
      <c r="BB278" s="607" t="str">
        <f t="shared" si="204"/>
        <v>3Q08</v>
      </c>
      <c r="BC278" s="30" t="str">
        <f t="shared" si="204"/>
        <v>% Chg</v>
      </c>
      <c r="BD278" s="607" t="str">
        <f t="shared" si="204"/>
        <v>4Q08</v>
      </c>
      <c r="BE278" s="30" t="str">
        <f t="shared" si="204"/>
        <v>% Chg</v>
      </c>
      <c r="BF278" s="607" t="str">
        <f t="shared" si="204"/>
        <v>1Q09</v>
      </c>
      <c r="BG278" s="30" t="str">
        <f t="shared" si="204"/>
        <v>% Chg</v>
      </c>
      <c r="BH278" s="607" t="str">
        <f t="shared" si="204"/>
        <v>2Q09</v>
      </c>
      <c r="BI278" s="30" t="str">
        <f t="shared" si="204"/>
        <v>% Chg</v>
      </c>
      <c r="BJ278" s="607" t="str">
        <f t="shared" si="204"/>
        <v>3Q09</v>
      </c>
      <c r="BK278" s="30" t="str">
        <f t="shared" si="204"/>
        <v>% Chg</v>
      </c>
      <c r="BL278" s="607" t="str">
        <f t="shared" si="204"/>
        <v>4Q09</v>
      </c>
      <c r="BM278" s="30" t="str">
        <f t="shared" ref="BM278:DX278" si="205">BM$5</f>
        <v>% Chg</v>
      </c>
      <c r="BN278" s="607" t="str">
        <f t="shared" si="204"/>
        <v>1Q10</v>
      </c>
      <c r="BO278" s="30" t="str">
        <f t="shared" si="205"/>
        <v>% Chg</v>
      </c>
      <c r="BP278" s="607" t="str">
        <f t="shared" si="204"/>
        <v>2Q10</v>
      </c>
      <c r="BQ278" s="30" t="str">
        <f t="shared" si="205"/>
        <v>% Chg</v>
      </c>
      <c r="BR278" s="607" t="str">
        <f t="shared" si="204"/>
        <v>3Q10</v>
      </c>
      <c r="BS278" s="30" t="str">
        <f t="shared" si="205"/>
        <v>% Chg</v>
      </c>
      <c r="BT278" s="607" t="str">
        <f t="shared" si="204"/>
        <v>4Q10</v>
      </c>
      <c r="BU278" s="30" t="str">
        <f t="shared" si="205"/>
        <v>% Chg</v>
      </c>
      <c r="BV278" s="607" t="str">
        <f t="shared" si="204"/>
        <v>1Q11</v>
      </c>
      <c r="BW278" s="30" t="str">
        <f t="shared" si="205"/>
        <v>% Chg</v>
      </c>
      <c r="BX278" s="607" t="str">
        <f t="shared" si="204"/>
        <v>2Q11</v>
      </c>
      <c r="BY278" s="30" t="str">
        <f t="shared" si="205"/>
        <v>% Chg</v>
      </c>
      <c r="BZ278" s="607" t="str">
        <f t="shared" si="204"/>
        <v>3Q11</v>
      </c>
      <c r="CA278" s="30" t="str">
        <f t="shared" si="205"/>
        <v>% Chg</v>
      </c>
      <c r="CB278" s="607" t="str">
        <f t="shared" si="204"/>
        <v>4Q11</v>
      </c>
      <c r="CC278" s="30" t="str">
        <f t="shared" si="205"/>
        <v>% Chg</v>
      </c>
      <c r="CD278" s="607" t="str">
        <f t="shared" si="204"/>
        <v>1Q12</v>
      </c>
      <c r="CE278" s="30" t="str">
        <f t="shared" si="205"/>
        <v>% Chg</v>
      </c>
      <c r="CF278" s="607" t="str">
        <f t="shared" si="204"/>
        <v>2Q12</v>
      </c>
      <c r="CG278" s="30" t="str">
        <f t="shared" si="205"/>
        <v>% Chg</v>
      </c>
      <c r="CH278" s="607" t="str">
        <f t="shared" si="204"/>
        <v>3Q12</v>
      </c>
      <c r="CI278" s="30" t="str">
        <f t="shared" si="205"/>
        <v>% Chg</v>
      </c>
      <c r="CJ278" s="607" t="str">
        <f t="shared" si="204"/>
        <v>4Q12</v>
      </c>
      <c r="CK278" s="30" t="str">
        <f t="shared" si="205"/>
        <v>% Chg</v>
      </c>
      <c r="CL278" s="607" t="str">
        <f t="shared" si="204"/>
        <v>1Q13</v>
      </c>
      <c r="CM278" s="30" t="str">
        <f t="shared" si="205"/>
        <v>% Chg</v>
      </c>
      <c r="CN278" s="607" t="str">
        <f t="shared" si="204"/>
        <v>2Q13</v>
      </c>
      <c r="CO278" s="30" t="str">
        <f t="shared" si="205"/>
        <v>% Chg</v>
      </c>
      <c r="CP278" s="607" t="str">
        <f t="shared" si="204"/>
        <v>3Q13</v>
      </c>
      <c r="CQ278" s="30" t="str">
        <f t="shared" si="205"/>
        <v>% Chg</v>
      </c>
      <c r="CR278" s="607" t="str">
        <f t="shared" si="204"/>
        <v>4Q13</v>
      </c>
      <c r="CS278" s="30" t="str">
        <f t="shared" si="205"/>
        <v>% Chg</v>
      </c>
      <c r="CT278" s="607" t="str">
        <f t="shared" si="204"/>
        <v>1Q14</v>
      </c>
      <c r="CU278" s="30" t="str">
        <f t="shared" si="205"/>
        <v>% Chg</v>
      </c>
      <c r="CV278" s="607" t="str">
        <f t="shared" si="204"/>
        <v>2Q14</v>
      </c>
      <c r="CW278" s="30" t="str">
        <f t="shared" si="205"/>
        <v>% Chg</v>
      </c>
      <c r="CX278" s="607" t="str">
        <f t="shared" si="204"/>
        <v>3Q14</v>
      </c>
      <c r="CY278" s="30" t="str">
        <f t="shared" si="205"/>
        <v>% Chg</v>
      </c>
      <c r="CZ278" s="607" t="str">
        <f t="shared" si="204"/>
        <v>4Q14</v>
      </c>
      <c r="DA278" s="30" t="str">
        <f t="shared" si="205"/>
        <v>% Chg</v>
      </c>
      <c r="DB278" s="607" t="str">
        <f t="shared" si="204"/>
        <v>1Q15</v>
      </c>
      <c r="DC278" s="30" t="str">
        <f t="shared" si="205"/>
        <v>% Chg</v>
      </c>
      <c r="DD278" s="607" t="str">
        <f t="shared" si="204"/>
        <v>2Q15</v>
      </c>
      <c r="DE278" s="30" t="str">
        <f t="shared" si="205"/>
        <v>% Chg</v>
      </c>
      <c r="DF278" s="607" t="str">
        <f t="shared" si="204"/>
        <v>3Q15</v>
      </c>
      <c r="DG278" s="30" t="str">
        <f t="shared" si="205"/>
        <v>% Chg</v>
      </c>
      <c r="DH278" s="607" t="str">
        <f t="shared" si="204"/>
        <v>4Q15</v>
      </c>
      <c r="DI278" s="30" t="str">
        <f t="shared" si="205"/>
        <v>% Chg</v>
      </c>
      <c r="DJ278" s="607" t="str">
        <f t="shared" si="204"/>
        <v>1Q16</v>
      </c>
      <c r="DK278" s="30" t="str">
        <f t="shared" si="205"/>
        <v>% Chg</v>
      </c>
      <c r="DL278" s="607" t="str">
        <f t="shared" si="204"/>
        <v>2Q16</v>
      </c>
      <c r="DM278" s="30" t="str">
        <f t="shared" si="205"/>
        <v>% Chg</v>
      </c>
      <c r="DN278" s="607" t="str">
        <f t="shared" si="204"/>
        <v>3Q16</v>
      </c>
      <c r="DO278" s="30" t="str">
        <f t="shared" si="205"/>
        <v>% Chg</v>
      </c>
      <c r="DP278" s="607" t="str">
        <f t="shared" si="204"/>
        <v>4Q16</v>
      </c>
      <c r="DQ278" s="30" t="str">
        <f t="shared" si="205"/>
        <v>% Chg</v>
      </c>
      <c r="DR278" s="607" t="str">
        <f t="shared" si="204"/>
        <v>1Q17</v>
      </c>
      <c r="DS278" s="30" t="str">
        <f t="shared" si="205"/>
        <v>% Chg</v>
      </c>
      <c r="DT278" s="607" t="str">
        <f t="shared" si="205"/>
        <v>2Q17</v>
      </c>
      <c r="DU278" s="30" t="str">
        <f t="shared" si="205"/>
        <v>% Chg</v>
      </c>
      <c r="DV278" s="607" t="str">
        <f t="shared" si="205"/>
        <v>3Q17</v>
      </c>
      <c r="DW278" s="30" t="str">
        <f t="shared" si="205"/>
        <v>% Chg</v>
      </c>
      <c r="DX278" s="607" t="str">
        <f t="shared" si="205"/>
        <v>4Q17</v>
      </c>
      <c r="DY278" s="30" t="str">
        <f t="shared" ref="DY278:EG278" si="206">DY$5</f>
        <v>% Chg</v>
      </c>
      <c r="DZ278" s="607" t="str">
        <f t="shared" si="206"/>
        <v>1Q18E</v>
      </c>
      <c r="EA278" s="30" t="str">
        <f t="shared" si="206"/>
        <v>% Chg</v>
      </c>
      <c r="EB278" s="607" t="str">
        <f t="shared" si="206"/>
        <v>2Q18E</v>
      </c>
      <c r="EC278" s="30" t="str">
        <f t="shared" si="206"/>
        <v>% Chg</v>
      </c>
      <c r="ED278" s="607" t="str">
        <f t="shared" si="206"/>
        <v>3Q18E</v>
      </c>
      <c r="EE278" s="30" t="str">
        <f t="shared" si="206"/>
        <v>% Chg</v>
      </c>
      <c r="EF278" s="607" t="str">
        <f t="shared" si="206"/>
        <v>4Q18E</v>
      </c>
      <c r="EG278" s="30" t="str">
        <f t="shared" si="206"/>
        <v>% Chg</v>
      </c>
      <c r="EH278" s="30"/>
      <c r="EI278" s="607" t="str">
        <f t="shared" ref="EI278:FY278" si="207">EI$5</f>
        <v>2001</v>
      </c>
      <c r="EJ278" s="608" t="str">
        <f t="shared" si="207"/>
        <v>% Chg</v>
      </c>
      <c r="EK278" s="607" t="str">
        <f t="shared" si="207"/>
        <v>2002</v>
      </c>
      <c r="EL278" s="608" t="str">
        <f t="shared" si="207"/>
        <v>% Chg</v>
      </c>
      <c r="EM278" s="607" t="str">
        <f t="shared" si="207"/>
        <v>2003</v>
      </c>
      <c r="EN278" s="608" t="str">
        <f t="shared" si="207"/>
        <v>% Chg</v>
      </c>
      <c r="EO278" s="607" t="str">
        <f t="shared" si="207"/>
        <v>2004</v>
      </c>
      <c r="EP278" s="608" t="str">
        <f t="shared" si="207"/>
        <v>% Chg</v>
      </c>
      <c r="EQ278" s="607" t="str">
        <f t="shared" si="207"/>
        <v>2005</v>
      </c>
      <c r="ER278" s="30" t="str">
        <f>ER5</f>
        <v>% Chg</v>
      </c>
      <c r="ES278" s="609">
        <f t="shared" si="207"/>
        <v>2006</v>
      </c>
      <c r="ET278" s="30" t="str">
        <f>ET5</f>
        <v>% Chg</v>
      </c>
      <c r="EU278" s="609">
        <f t="shared" si="207"/>
        <v>2007</v>
      </c>
      <c r="EV278" s="30" t="str">
        <f>EV5</f>
        <v>% Chg</v>
      </c>
      <c r="EW278" s="609">
        <f t="shared" si="207"/>
        <v>2008</v>
      </c>
      <c r="EX278" s="30" t="str">
        <f>EX5</f>
        <v>% Chg</v>
      </c>
      <c r="EY278" s="607" t="str">
        <f t="shared" si="207"/>
        <v>2009</v>
      </c>
      <c r="EZ278" s="30" t="str">
        <f>EZ5</f>
        <v>% Chg</v>
      </c>
      <c r="FA278" s="607" t="str">
        <f t="shared" si="207"/>
        <v>2010</v>
      </c>
      <c r="FB278" s="30" t="str">
        <f>FB5</f>
        <v>% Chg</v>
      </c>
      <c r="FC278" s="607" t="str">
        <f t="shared" si="207"/>
        <v>2011</v>
      </c>
      <c r="FD278" s="30" t="str">
        <f>FD5</f>
        <v>% Chg</v>
      </c>
      <c r="FE278" s="607" t="str">
        <f t="shared" si="207"/>
        <v>2012</v>
      </c>
      <c r="FF278" s="30" t="str">
        <f>FF5</f>
        <v>% Chg</v>
      </c>
      <c r="FG278" s="607" t="str">
        <f t="shared" si="207"/>
        <v>2013</v>
      </c>
      <c r="FH278" s="30" t="str">
        <f>FH5</f>
        <v>% Chg</v>
      </c>
      <c r="FI278" s="607" t="str">
        <f t="shared" si="207"/>
        <v>2014</v>
      </c>
      <c r="FJ278" s="30" t="str">
        <f>FJ5</f>
        <v>% Chg</v>
      </c>
      <c r="FK278" s="607" t="str">
        <f t="shared" si="207"/>
        <v>2015</v>
      </c>
      <c r="FL278" s="30" t="str">
        <f>FL5</f>
        <v>% Chg</v>
      </c>
      <c r="FM278" s="607" t="str">
        <f t="shared" si="207"/>
        <v>2016</v>
      </c>
      <c r="FN278" s="30" t="str">
        <f>FN5</f>
        <v>% Chg</v>
      </c>
      <c r="FO278" s="607" t="str">
        <f t="shared" si="207"/>
        <v>2017</v>
      </c>
      <c r="FP278" s="30" t="str">
        <f>FP5</f>
        <v>% Chg</v>
      </c>
      <c r="FQ278" s="607" t="str">
        <f t="shared" si="207"/>
        <v>2018E</v>
      </c>
      <c r="FR278" s="30" t="str">
        <f>FR5</f>
        <v>% Chg</v>
      </c>
      <c r="FS278" s="607" t="str">
        <f t="shared" si="207"/>
        <v>2019E</v>
      </c>
      <c r="FT278" s="30" t="str">
        <f>FT5</f>
        <v>% Chg</v>
      </c>
      <c r="FU278" s="607" t="str">
        <f t="shared" si="207"/>
        <v>2020E</v>
      </c>
      <c r="FV278" s="30" t="str">
        <f>FV5</f>
        <v>% Chg</v>
      </c>
      <c r="FW278" s="607" t="str">
        <f t="shared" si="207"/>
        <v>2021E</v>
      </c>
      <c r="FX278" s="30" t="str">
        <f>FX5</f>
        <v>% Chg</v>
      </c>
      <c r="FY278" s="607" t="str">
        <f t="shared" si="207"/>
        <v>2022E</v>
      </c>
      <c r="FZ278" s="30" t="str">
        <f>FZ5</f>
        <v>% Chg</v>
      </c>
      <c r="GA278" s="608" t="s">
        <v>351</v>
      </c>
    </row>
    <row r="279" spans="1:183" ht="12.75" hidden="1" customHeight="1" outlineLevel="1" x14ac:dyDescent="0.2">
      <c r="A279" s="656"/>
      <c r="B279" s="638"/>
      <c r="C279" s="418"/>
      <c r="D279" s="638"/>
      <c r="E279" s="418"/>
      <c r="F279" s="638"/>
      <c r="G279" s="418"/>
      <c r="H279" s="638"/>
      <c r="I279" s="418"/>
      <c r="J279" s="638"/>
      <c r="K279" s="418"/>
      <c r="L279" s="638"/>
      <c r="M279" s="418"/>
      <c r="N279" s="638"/>
      <c r="O279" s="418"/>
      <c r="P279" s="638"/>
      <c r="Q279" s="418"/>
      <c r="R279" s="638"/>
      <c r="S279" s="418"/>
      <c r="T279" s="638"/>
      <c r="U279" s="418"/>
      <c r="V279" s="638"/>
      <c r="W279" s="418"/>
      <c r="X279" s="638"/>
      <c r="Y279" s="418"/>
      <c r="Z279" s="638"/>
      <c r="AA279" s="418"/>
      <c r="AB279" s="638"/>
      <c r="AC279" s="418"/>
      <c r="AD279" s="638"/>
      <c r="AE279" s="418"/>
      <c r="AF279" s="638"/>
      <c r="AG279" s="418"/>
      <c r="AH279" s="638"/>
      <c r="AI279" s="418"/>
      <c r="AJ279" s="638"/>
      <c r="AK279" s="418"/>
      <c r="AL279" s="638"/>
      <c r="AM279" s="418"/>
      <c r="AN279" s="638"/>
      <c r="AO279" s="639"/>
      <c r="AP279" s="638"/>
      <c r="AQ279" s="639"/>
      <c r="AR279" s="638"/>
      <c r="AS279" s="639"/>
      <c r="AT279" s="638"/>
      <c r="AU279" s="639"/>
      <c r="AV279" s="638"/>
      <c r="AW279" s="639"/>
      <c r="AX279" s="638"/>
      <c r="AY279" s="639"/>
      <c r="AZ279" s="638"/>
      <c r="BA279" s="639"/>
      <c r="BB279" s="638"/>
      <c r="BC279" s="639"/>
      <c r="BD279" s="638"/>
      <c r="BE279" s="639"/>
      <c r="BF279" s="638"/>
      <c r="BG279" s="639"/>
      <c r="BH279" s="638"/>
      <c r="BI279" s="639"/>
      <c r="BJ279" s="638"/>
      <c r="BK279" s="639"/>
      <c r="BL279" s="638"/>
      <c r="BM279" s="639"/>
      <c r="BN279" s="638"/>
      <c r="BO279" s="639"/>
      <c r="BP279" s="638"/>
      <c r="BQ279" s="639"/>
      <c r="BR279" s="638"/>
      <c r="BS279" s="639"/>
      <c r="BT279" s="638"/>
      <c r="BU279" s="639"/>
      <c r="BV279" s="638"/>
      <c r="BW279" s="639"/>
      <c r="BX279" s="638"/>
      <c r="BY279" s="639"/>
      <c r="BZ279" s="638"/>
      <c r="CA279" s="639"/>
      <c r="CB279" s="638"/>
      <c r="CC279" s="639"/>
      <c r="CD279" s="638"/>
      <c r="CE279" s="639"/>
      <c r="CF279" s="638"/>
      <c r="CG279" s="639"/>
      <c r="CH279" s="638"/>
      <c r="CI279" s="639"/>
      <c r="CJ279" s="638"/>
      <c r="CK279" s="639"/>
      <c r="CL279" s="638"/>
      <c r="CM279" s="639"/>
      <c r="CN279" s="638"/>
      <c r="CO279" s="639"/>
      <c r="CP279" s="638"/>
      <c r="CQ279" s="639"/>
      <c r="CR279" s="638"/>
      <c r="CS279" s="639"/>
      <c r="CT279" s="638"/>
      <c r="CU279" s="639"/>
      <c r="CV279" s="638"/>
      <c r="CW279" s="639"/>
      <c r="CX279" s="638"/>
      <c r="CY279" s="639"/>
      <c r="CZ279" s="638"/>
      <c r="DA279" s="639"/>
      <c r="DB279" s="638"/>
      <c r="DC279" s="639"/>
      <c r="DD279" s="638"/>
      <c r="DE279" s="639"/>
      <c r="DF279" s="638"/>
      <c r="DG279" s="639"/>
      <c r="DH279" s="638"/>
      <c r="DI279" s="639"/>
      <c r="DJ279" s="638"/>
      <c r="DK279" s="639"/>
      <c r="DL279" s="638"/>
      <c r="DM279" s="639"/>
      <c r="DN279" s="638"/>
      <c r="DO279" s="639"/>
      <c r="DP279" s="638"/>
      <c r="DQ279" s="639"/>
      <c r="DR279" s="638"/>
      <c r="DS279" s="639"/>
      <c r="DT279" s="638"/>
      <c r="DU279" s="639"/>
      <c r="DV279" s="638"/>
      <c r="DW279" s="639"/>
      <c r="DX279" s="638"/>
      <c r="DY279" s="639"/>
      <c r="DZ279" s="638"/>
      <c r="EA279" s="639"/>
      <c r="EB279" s="638"/>
      <c r="EC279" s="639"/>
      <c r="ED279" s="638"/>
      <c r="EE279" s="639"/>
      <c r="EF279" s="638"/>
      <c r="EG279" s="639"/>
      <c r="EH279" s="639"/>
      <c r="EI279" s="638"/>
      <c r="EJ279" s="418"/>
      <c r="EK279" s="638"/>
      <c r="EL279" s="418"/>
      <c r="EM279" s="638"/>
      <c r="EN279" s="418"/>
      <c r="EO279" s="638"/>
      <c r="EP279" s="418"/>
      <c r="EQ279" s="638"/>
      <c r="ER279" s="639"/>
      <c r="ES279" s="638"/>
      <c r="ET279" s="639"/>
      <c r="EU279" s="638"/>
      <c r="EV279" s="639"/>
      <c r="EW279" s="638"/>
      <c r="EX279" s="639"/>
      <c r="EY279" s="638"/>
      <c r="EZ279" s="639"/>
      <c r="FA279" s="638"/>
      <c r="FB279" s="639"/>
      <c r="FC279" s="638"/>
      <c r="FD279" s="639"/>
      <c r="FE279" s="638"/>
      <c r="FF279" s="639"/>
      <c r="FG279" s="638"/>
      <c r="FH279" s="639"/>
      <c r="FI279" s="638"/>
      <c r="FJ279" s="639"/>
      <c r="FK279" s="638"/>
      <c r="FL279" s="639"/>
      <c r="FM279" s="638"/>
      <c r="FN279" s="639"/>
      <c r="FO279" s="638"/>
      <c r="FP279" s="639"/>
      <c r="FQ279" s="638"/>
      <c r="FR279" s="639"/>
      <c r="FS279" s="638"/>
      <c r="FT279" s="639"/>
      <c r="FU279" s="638"/>
      <c r="FV279" s="639"/>
      <c r="FW279" s="638"/>
      <c r="FX279" s="639"/>
      <c r="FY279" s="638"/>
      <c r="FZ279" s="639"/>
      <c r="GA279" s="418"/>
    </row>
    <row r="280" spans="1:183" ht="12.75" hidden="1" customHeight="1" outlineLevel="1" x14ac:dyDescent="0.2">
      <c r="A280" s="610" t="s">
        <v>285</v>
      </c>
      <c r="B280" s="96"/>
      <c r="C280" s="399"/>
      <c r="D280" s="96"/>
      <c r="E280" s="399"/>
      <c r="F280" s="96"/>
      <c r="G280" s="399"/>
      <c r="H280" s="96"/>
      <c r="I280" s="399"/>
      <c r="J280" s="96"/>
      <c r="K280" s="399"/>
      <c r="L280" s="96"/>
      <c r="M280" s="399"/>
      <c r="N280" s="96"/>
      <c r="O280" s="399"/>
      <c r="P280" s="96"/>
      <c r="Q280" s="399"/>
      <c r="R280" s="96"/>
      <c r="S280" s="399"/>
      <c r="T280" s="96"/>
      <c r="U280" s="399"/>
      <c r="V280" s="96"/>
      <c r="W280" s="399"/>
      <c r="X280" s="96"/>
      <c r="Y280" s="399"/>
      <c r="Z280" s="96"/>
      <c r="AA280" s="399"/>
      <c r="AB280" s="96"/>
      <c r="AC280" s="399"/>
      <c r="AD280" s="96"/>
      <c r="AE280" s="399"/>
      <c r="AF280" s="96"/>
      <c r="AG280" s="399"/>
      <c r="AH280" s="96"/>
      <c r="AI280" s="399"/>
      <c r="AJ280" s="96"/>
      <c r="AK280" s="399"/>
      <c r="AL280" s="96"/>
      <c r="AM280" s="399"/>
      <c r="AN280" s="96"/>
      <c r="AO280" s="18"/>
      <c r="AP280" s="96"/>
      <c r="AQ280" s="18"/>
      <c r="AR280" s="96"/>
      <c r="AS280" s="18"/>
      <c r="AT280" s="96"/>
      <c r="AU280" s="18"/>
      <c r="AV280" s="96"/>
      <c r="AW280" s="18"/>
      <c r="AX280" s="96"/>
      <c r="AY280" s="18"/>
      <c r="AZ280" s="96"/>
      <c r="BA280" s="18"/>
      <c r="BB280" s="96"/>
      <c r="BC280" s="18"/>
      <c r="BD280" s="96"/>
      <c r="BE280" s="18"/>
      <c r="BF280" s="96"/>
      <c r="BG280" s="18"/>
      <c r="BH280" s="96"/>
      <c r="BI280" s="18"/>
      <c r="BJ280" s="96"/>
      <c r="BK280" s="18"/>
      <c r="BL280" s="96"/>
      <c r="BM280" s="18"/>
      <c r="BN280" s="96"/>
      <c r="BO280" s="18"/>
      <c r="BP280" s="96"/>
      <c r="BQ280" s="18"/>
      <c r="BR280" s="96"/>
      <c r="BS280" s="18"/>
      <c r="BT280" s="96"/>
      <c r="BU280" s="18"/>
      <c r="BV280" s="96"/>
      <c r="BW280" s="18"/>
      <c r="BX280" s="96"/>
      <c r="BY280" s="18"/>
      <c r="BZ280" s="96"/>
      <c r="CA280" s="18"/>
      <c r="CB280" s="96"/>
      <c r="CC280" s="18"/>
      <c r="CD280" s="96"/>
      <c r="CE280" s="18"/>
      <c r="CF280" s="96"/>
      <c r="CG280" s="18"/>
      <c r="CH280" s="96"/>
      <c r="CI280" s="18"/>
      <c r="CJ280" s="96"/>
      <c r="CK280" s="18"/>
      <c r="CL280" s="96"/>
      <c r="CM280" s="18"/>
      <c r="CN280" s="96"/>
      <c r="CO280" s="18"/>
      <c r="CP280" s="96"/>
      <c r="CQ280" s="18"/>
      <c r="CR280" s="96"/>
      <c r="CS280" s="18"/>
      <c r="CT280" s="96"/>
      <c r="CU280" s="18"/>
      <c r="CV280" s="96"/>
      <c r="CW280" s="18"/>
      <c r="CX280" s="96"/>
      <c r="CY280" s="18"/>
      <c r="CZ280" s="96"/>
      <c r="DA280" s="18"/>
      <c r="DB280" s="96"/>
      <c r="DC280" s="18"/>
      <c r="DD280" s="96"/>
      <c r="DE280" s="18"/>
      <c r="DF280" s="96"/>
      <c r="DG280" s="18"/>
      <c r="DH280" s="96"/>
      <c r="DI280" s="18"/>
      <c r="DJ280" s="96"/>
      <c r="DK280" s="18"/>
      <c r="DL280" s="96"/>
      <c r="DM280" s="18"/>
      <c r="DN280" s="96"/>
      <c r="DO280" s="18"/>
      <c r="DP280" s="96"/>
      <c r="DQ280" s="18"/>
      <c r="DR280" s="96"/>
      <c r="DS280" s="18"/>
      <c r="DT280" s="96"/>
      <c r="DU280" s="18"/>
      <c r="DV280" s="96"/>
      <c r="DW280" s="18"/>
      <c r="DX280" s="96"/>
      <c r="DY280" s="18"/>
      <c r="DZ280" s="96"/>
      <c r="EA280" s="18"/>
      <c r="EB280" s="96"/>
      <c r="EC280" s="18"/>
      <c r="ED280" s="96"/>
      <c r="EE280" s="18"/>
      <c r="EF280" s="96"/>
      <c r="EG280" s="18"/>
      <c r="EH280" s="18"/>
      <c r="EI280" s="96"/>
      <c r="EJ280" s="399"/>
      <c r="EK280" s="96"/>
      <c r="EL280" s="399"/>
      <c r="EM280" s="96"/>
      <c r="EN280" s="399"/>
      <c r="EO280" s="96"/>
      <c r="EP280" s="399"/>
      <c r="EQ280" s="96"/>
      <c r="ER280" s="18"/>
      <c r="ES280" s="96"/>
      <c r="ET280" s="18"/>
      <c r="EU280" s="96"/>
      <c r="EV280" s="18"/>
      <c r="EW280" s="96"/>
      <c r="EX280" s="18"/>
      <c r="EY280" s="96"/>
      <c r="EZ280" s="18"/>
      <c r="FA280" s="96"/>
      <c r="FB280" s="18"/>
      <c r="FC280" s="96"/>
      <c r="FD280" s="18"/>
      <c r="FE280" s="96"/>
      <c r="FF280" s="18"/>
      <c r="FG280" s="96"/>
      <c r="FH280" s="18"/>
      <c r="FI280" s="96"/>
      <c r="FJ280" s="18"/>
      <c r="FK280" s="96"/>
      <c r="FL280" s="18"/>
      <c r="FM280" s="96"/>
      <c r="FN280" s="18"/>
      <c r="FO280" s="96"/>
      <c r="FP280" s="18"/>
      <c r="FQ280" s="96"/>
      <c r="FR280" s="18"/>
      <c r="FS280" s="96"/>
      <c r="FT280" s="18"/>
      <c r="FU280" s="96"/>
      <c r="FV280" s="18"/>
      <c r="FW280" s="96"/>
      <c r="FX280" s="18"/>
      <c r="FY280" s="96"/>
      <c r="FZ280" s="18"/>
      <c r="GA280" s="399"/>
    </row>
    <row r="281" spans="1:183" ht="12.75" hidden="1" customHeight="1" outlineLevel="1" x14ac:dyDescent="0.2">
      <c r="A281" s="612" t="str">
        <f>INPUT!B221</f>
        <v>Total Premiums</v>
      </c>
      <c r="B281" s="96">
        <f>INPUT!M221</f>
        <v>156.30000000000001</v>
      </c>
      <c r="C281" s="399">
        <f>INPUT!N221</f>
        <v>2.4918032786885425</v>
      </c>
      <c r="D281" s="96">
        <f>INPUT!O221</f>
        <v>156.5</v>
      </c>
      <c r="E281" s="399">
        <f>INPUT!P221</f>
        <v>1.8880208333333481</v>
      </c>
      <c r="F281" s="96">
        <f>INPUT!Q221</f>
        <v>160.9</v>
      </c>
      <c r="G281" s="399">
        <f>INPUT!R221</f>
        <v>3.5392535392535285</v>
      </c>
      <c r="H281" s="96">
        <f>INPUT!S221</f>
        <v>163</v>
      </c>
      <c r="I281" s="399">
        <f>INPUT!T221</f>
        <v>8.3776595744680762</v>
      </c>
      <c r="J281" s="96">
        <f>INPUT!U221</f>
        <v>170.6</v>
      </c>
      <c r="K281" s="399">
        <f>INPUT!V221</f>
        <v>9.1490722968649898</v>
      </c>
      <c r="L281" s="96">
        <f>INPUT!W221</f>
        <v>171.7</v>
      </c>
      <c r="M281" s="399">
        <f>INPUT!X221</f>
        <v>9.7124600638977654</v>
      </c>
      <c r="N281" s="96">
        <f>INPUT!Y221</f>
        <v>174</v>
      </c>
      <c r="O281" s="399">
        <f>INPUT!Z221</f>
        <v>8.141702921068994</v>
      </c>
      <c r="P281" s="96">
        <f>INPUT!AA221</f>
        <v>177.2</v>
      </c>
      <c r="Q281" s="399">
        <f>INPUT!AB221</f>
        <v>8.7116564417177855</v>
      </c>
      <c r="R281" s="96">
        <f>INPUT!AC221</f>
        <v>181.1</v>
      </c>
      <c r="S281" s="399">
        <f>INPUT!AD221</f>
        <v>6.1547479484173495</v>
      </c>
      <c r="T281" s="96">
        <f>INPUT!AE221</f>
        <v>184</v>
      </c>
      <c r="U281" s="399">
        <f>INPUT!AF221</f>
        <v>7.1636575422248105</v>
      </c>
      <c r="V281" s="96">
        <f>INPUT!AG221</f>
        <v>186.4</v>
      </c>
      <c r="W281" s="399">
        <f>INPUT!AH221</f>
        <v>7.1264367816092022</v>
      </c>
      <c r="X281" s="96">
        <f>INPUT!AI221</f>
        <v>189.5</v>
      </c>
      <c r="Y281" s="399">
        <f>INPUT!AJ221</f>
        <v>6.941309255079009</v>
      </c>
      <c r="Z281" s="96">
        <f>INPUT!AK221</f>
        <v>193.5</v>
      </c>
      <c r="AA281" s="399">
        <f>INPUT!AL221</f>
        <v>6.8470458310325721</v>
      </c>
      <c r="AB281" s="96">
        <f>INPUT!AM221</f>
        <v>195.6</v>
      </c>
      <c r="AC281" s="399">
        <f>INPUT!AN221</f>
        <v>6.3043478260869534</v>
      </c>
      <c r="AD281" s="96">
        <f>INPUT!AO221</f>
        <v>197.4</v>
      </c>
      <c r="AE281" s="399">
        <f>INPUT!AP221</f>
        <v>5.9012875536480713</v>
      </c>
      <c r="AF281" s="96">
        <f>INPUT!AQ221</f>
        <v>200.5</v>
      </c>
      <c r="AG281" s="399">
        <f>INPUT!AR221</f>
        <v>5.8047493403693862</v>
      </c>
      <c r="AH281" s="96">
        <f>INPUT!AS221</f>
        <v>202.6</v>
      </c>
      <c r="AI281" s="399">
        <f>INPUT!AT221</f>
        <v>4.702842377260974</v>
      </c>
      <c r="AJ281" s="96">
        <f>INPUT!AU221</f>
        <v>209.5</v>
      </c>
      <c r="AK281" s="399">
        <f>INPUT!AV221</f>
        <v>7.1063394683026582</v>
      </c>
      <c r="AL281" s="96">
        <f>INPUT!AW221</f>
        <v>212.8</v>
      </c>
      <c r="AM281" s="399">
        <f>INPUT!AX221</f>
        <v>7.8014184397163122</v>
      </c>
      <c r="AN281" s="96">
        <f>INPUT!AY221</f>
        <v>217.2</v>
      </c>
      <c r="AO281" s="18">
        <f>INPUT!AZ221</f>
        <v>8.3291770573566062</v>
      </c>
      <c r="AP281" s="96">
        <f>INPUT!BA221</f>
        <v>223.4</v>
      </c>
      <c r="AQ281" s="18">
        <f>INPUT!BB221</f>
        <v>10.26653504442252</v>
      </c>
      <c r="AR281" s="96">
        <f>INPUT!BC221</f>
        <v>224.8</v>
      </c>
      <c r="AS281" s="18">
        <f>INPUT!BD221</f>
        <v>7.3031026252983411</v>
      </c>
      <c r="AT281" s="96">
        <f>INPUT!BE221</f>
        <v>227</v>
      </c>
      <c r="AU281" s="18">
        <f>INPUT!BF221</f>
        <v>6.6729323308270638</v>
      </c>
      <c r="AV281" s="96">
        <f>INPUT!BG221</f>
        <v>232</v>
      </c>
      <c r="AW281" s="18">
        <f>INPUT!BH221</f>
        <v>6.8139963167587636</v>
      </c>
      <c r="AX281" s="96">
        <f>INPUT!BI221</f>
        <v>240.4</v>
      </c>
      <c r="AY281" s="18">
        <f>INPUT!BJ221</f>
        <v>7.6096687555953446</v>
      </c>
      <c r="AZ281" s="96">
        <f>INPUT!BK221</f>
        <v>242.6</v>
      </c>
      <c r="BA281" s="18">
        <f>INPUT!BL221</f>
        <v>7.9181494661921592</v>
      </c>
      <c r="BB281" s="96">
        <f>INPUT!BM221</f>
        <v>245.2</v>
      </c>
      <c r="BC281" s="18">
        <f>INPUT!BN221</f>
        <v>8.0176211453744539</v>
      </c>
      <c r="BD281" s="96">
        <f>INPUT!BO221</f>
        <v>249.1</v>
      </c>
      <c r="BE281" s="18">
        <f>INPUT!BP221</f>
        <v>7.3706896551724022</v>
      </c>
      <c r="BF281" s="96">
        <f>INPUT!BQ221</f>
        <v>253.4</v>
      </c>
      <c r="BG281" s="18">
        <f>INPUT!BR221</f>
        <v>5.4076539101497456</v>
      </c>
      <c r="BH281" s="96">
        <f>INPUT!BS221</f>
        <v>250.8</v>
      </c>
      <c r="BI281" s="18">
        <f>INPUT!BT221</f>
        <v>3.3800494641385015</v>
      </c>
      <c r="BJ281" s="96">
        <f>INPUT!BU221</f>
        <v>253.5</v>
      </c>
      <c r="BK281" s="18">
        <f>INPUT!BV221</f>
        <v>3.3849918433931592</v>
      </c>
      <c r="BL281" s="96">
        <f>INPUT!BW221</f>
        <v>257.39999999999998</v>
      </c>
      <c r="BM281" s="18">
        <f>INPUT!BX221</f>
        <v>3.3319951826575656</v>
      </c>
      <c r="BN281" s="96">
        <f>INPUT!BY221</f>
        <v>265.10000000000002</v>
      </c>
      <c r="BO281" s="18">
        <f>INPUT!BZ221</f>
        <v>4.6172059984214808</v>
      </c>
      <c r="BP281" s="96">
        <f>INPUT!CA221</f>
        <v>267.7</v>
      </c>
      <c r="BQ281" s="18">
        <f>INPUT!CB221</f>
        <v>6.738437001594888</v>
      </c>
      <c r="BR281" s="96">
        <f>INPUT!CC221</f>
        <v>269.3</v>
      </c>
      <c r="BS281" s="18">
        <f>INPUT!CD221</f>
        <v>6.2327416173570072</v>
      </c>
      <c r="BT281" s="96">
        <f>INPUT!CE221</f>
        <v>273.60000000000002</v>
      </c>
      <c r="BU281" s="18">
        <f>INPUT!CF221</f>
        <v>6.2937062937063137</v>
      </c>
      <c r="BV281" s="96">
        <f>INPUT!CG221</f>
        <v>280.39999999999998</v>
      </c>
      <c r="BW281" s="18">
        <f>INPUT!CH221</f>
        <v>5.7714070162202757</v>
      </c>
      <c r="BX281" s="96">
        <f>INPUT!CI221</f>
        <v>282</v>
      </c>
      <c r="BY281" s="18">
        <f>INPUT!CJ221</f>
        <v>5.3418005229734833</v>
      </c>
      <c r="BZ281" s="96">
        <f>INPUT!CK221</f>
        <v>283.7</v>
      </c>
      <c r="CA281" s="18">
        <f>INPUT!CL221</f>
        <v>5.3471964352023615</v>
      </c>
      <c r="CB281" s="96">
        <f>INPUT!CM221</f>
        <v>289.2</v>
      </c>
      <c r="CC281" s="18">
        <f>INPUT!CN221</f>
        <v>5.7017543859648967</v>
      </c>
      <c r="CD281" s="96">
        <f>INPUT!CO221</f>
        <v>296.3</v>
      </c>
      <c r="CE281" s="18">
        <f>INPUT!CP221</f>
        <v>5.6704707560627732</v>
      </c>
      <c r="CF281" s="96">
        <f>INPUT!CQ221</f>
        <v>296.89999999999998</v>
      </c>
      <c r="CG281" s="18">
        <f>INPUT!CR221</f>
        <v>5.283687943262394</v>
      </c>
      <c r="CH281" s="96">
        <f>INPUT!CS221</f>
        <v>299.39999999999998</v>
      </c>
      <c r="CI281" s="18">
        <f>INPUT!CT221</f>
        <v>5.5340148043708126</v>
      </c>
      <c r="CJ281" s="96">
        <f>INPUT!CU221</f>
        <v>301.89999999999998</v>
      </c>
      <c r="CK281" s="18">
        <f>INPUT!CV221</f>
        <v>4.3914246196403939</v>
      </c>
      <c r="CL281" s="96">
        <f>INPUT!CW221</f>
        <v>307.10000000000002</v>
      </c>
      <c r="CM281" s="18">
        <f>INPUT!CX221</f>
        <v>3.6449544380695365</v>
      </c>
      <c r="CN281" s="96">
        <f>INPUT!CY221</f>
        <v>307.89999999999998</v>
      </c>
      <c r="CO281" s="18">
        <f>INPUT!CZ221</f>
        <v>3.7049511620074194</v>
      </c>
      <c r="CP281" s="96">
        <f>INPUT!DA221</f>
        <v>309.10000000000002</v>
      </c>
      <c r="CQ281" s="18">
        <f>INPUT!DB221</f>
        <v>3.2398129592518421</v>
      </c>
      <c r="CR281" s="96">
        <f>INPUT!DC221</f>
        <v>308.10000000000002</v>
      </c>
      <c r="CS281" s="18">
        <f>INPUT!DD221</f>
        <v>2.0536601523683418</v>
      </c>
      <c r="CT281" s="96">
        <f>INPUT!DE221</f>
        <v>316.39999999999998</v>
      </c>
      <c r="CU281" s="18">
        <f>INPUT!DF221</f>
        <v>3.0283295343536132</v>
      </c>
      <c r="CV281" s="96">
        <f>INPUT!DG221</f>
        <v>316.8</v>
      </c>
      <c r="CW281" s="18">
        <f>INPUT!DH221</f>
        <v>2.8905488795063494</v>
      </c>
      <c r="CX281" s="96">
        <f>INPUT!DI221</f>
        <v>319.39999999999998</v>
      </c>
      <c r="CY281" s="18">
        <f>INPUT!DJ221</f>
        <v>3.3322549336784135</v>
      </c>
      <c r="CZ281" s="96">
        <f>INPUT!DK221</f>
        <v>321.10000000000002</v>
      </c>
      <c r="DA281" s="18">
        <f>INPUT!DL221</f>
        <v>4.2194092827004148</v>
      </c>
      <c r="DB281" s="96">
        <f>INPUT!DM221</f>
        <v>332.2</v>
      </c>
      <c r="DC281" s="18">
        <f>INPUT!DN221</f>
        <v>4.9936788874842097</v>
      </c>
      <c r="DD281" s="96">
        <f>INPUT!DO221</f>
        <v>335.9</v>
      </c>
      <c r="DE281" s="18">
        <f>INPUT!DP221</f>
        <v>6.0290404040403978</v>
      </c>
      <c r="DF281" s="96">
        <f>INPUT!DQ221</f>
        <v>333.1</v>
      </c>
      <c r="DG281" s="18">
        <f>INPUT!DR221</f>
        <v>4.2892924232937002</v>
      </c>
      <c r="DH281" s="96">
        <f>INPUT!DS221</f>
        <v>337.4</v>
      </c>
      <c r="DI281" s="18">
        <f>INPUT!DT221</f>
        <v>5.0763002180006067</v>
      </c>
      <c r="DJ281" s="96">
        <f>INPUT!DU221</f>
        <v>351.2</v>
      </c>
      <c r="DK281" s="18">
        <f>INPUT!DV221</f>
        <v>5.7194461167971111</v>
      </c>
      <c r="DL281" s="96">
        <f>INPUT!DW221</f>
        <v>351.4</v>
      </c>
      <c r="DM281" s="18">
        <f>INPUT!DX221</f>
        <v>4.6144685918428019</v>
      </c>
      <c r="DN281" s="96">
        <f>INPUT!DY221</f>
        <v>354.1</v>
      </c>
      <c r="DO281" s="18">
        <f>INPUT!DZ221</f>
        <v>6.3044130891624084</v>
      </c>
      <c r="DP281" s="96">
        <f>INPUT!EA221</f>
        <v>360.4</v>
      </c>
      <c r="DQ281" s="18">
        <f>INPUT!EB221</f>
        <v>6.8168346176644912</v>
      </c>
      <c r="DR281" s="96">
        <f>INPUT!EC221</f>
        <v>374.3</v>
      </c>
      <c r="DS281" s="18">
        <f>INPUT!ED221</f>
        <v>6.5774487471526255</v>
      </c>
      <c r="DT281" s="96">
        <f>INPUT!EE221</f>
        <v>376.3</v>
      </c>
      <c r="DU281" s="18">
        <f>INPUT!EF221</f>
        <v>7.0859419464997186</v>
      </c>
      <c r="DV281" s="96">
        <f>INPUT!EG221</f>
        <v>378.7</v>
      </c>
      <c r="DW281" s="18">
        <f>INPUT!EH221</f>
        <v>6.9471900593052638</v>
      </c>
      <c r="DX281" s="96">
        <f>INPUT!EI221</f>
        <v>382.1</v>
      </c>
      <c r="DY281" s="18">
        <f>INPUT!EJ221</f>
        <v>6.0210876803551638</v>
      </c>
      <c r="DZ281" s="96">
        <f>INPUT!EK221</f>
        <v>389.74200000000002</v>
      </c>
      <c r="EA281" s="18">
        <f>INPUT!EL221</f>
        <v>4.125567726422652</v>
      </c>
      <c r="EB281" s="96">
        <f>INPUT!EM221</f>
        <v>397.53684000000004</v>
      </c>
      <c r="EC281" s="18">
        <f>INPUT!EN221</f>
        <v>5.6435928780228517</v>
      </c>
      <c r="ED281" s="96">
        <f>INPUT!EO221</f>
        <v>405.48757680000006</v>
      </c>
      <c r="EE281" s="18">
        <f>INPUT!EP221</f>
        <v>7.0735613414312226</v>
      </c>
      <c r="EF281" s="96">
        <f>INPUT!EQ221</f>
        <v>413.59732833600009</v>
      </c>
      <c r="EG281" s="18">
        <f>INPUT!ER221</f>
        <v>8.2432160000000199</v>
      </c>
      <c r="EH281" s="18"/>
      <c r="EI281" s="96">
        <f>INPUT!FB221</f>
        <v>611.9</v>
      </c>
      <c r="EJ281" s="399" t="str">
        <f>INPUT!FC221</f>
        <v>NA</v>
      </c>
      <c r="EK281" s="96">
        <f>INPUT!FD221</f>
        <v>636.70000000000005</v>
      </c>
      <c r="EL281" s="399">
        <f>INPUT!FE221</f>
        <v>4.0529498284033405</v>
      </c>
      <c r="EM281" s="96">
        <f>INPUT!FF221</f>
        <v>693.5</v>
      </c>
      <c r="EN281" s="399">
        <f>INPUT!FG221</f>
        <v>8.920998900581111</v>
      </c>
      <c r="EO281" s="96">
        <f>INPUT!FH221</f>
        <v>741</v>
      </c>
      <c r="EP281" s="399">
        <f>INPUT!FI221</f>
        <v>6.8493150684931559</v>
      </c>
      <c r="EQ281" s="96">
        <f>INPUT!FJ221</f>
        <v>787</v>
      </c>
      <c r="ER281" s="18">
        <f>INPUT!FK221</f>
        <v>6.2078272604588314</v>
      </c>
      <c r="ES281" s="96">
        <f>INPUT!FL221</f>
        <v>842.10000000000014</v>
      </c>
      <c r="ET281" s="18">
        <f>INPUT!FM221</f>
        <v>7.0012706480305109</v>
      </c>
      <c r="EU281" s="96">
        <f>INPUT!FN221</f>
        <v>907.2</v>
      </c>
      <c r="EV281" s="18">
        <f>INPUT!FO221</f>
        <v>7.7306733167082253</v>
      </c>
      <c r="EW281" s="96">
        <f>INPUT!FP221</f>
        <v>977.30000000000007</v>
      </c>
      <c r="EX281" s="18">
        <f>INPUT!FQ221</f>
        <v>7.727072310405636</v>
      </c>
      <c r="EY281" s="96">
        <f>INPUT!FR221</f>
        <v>1015.1</v>
      </c>
      <c r="EZ281" s="18">
        <f>INPUT!FS221</f>
        <v>3.8677990381663641</v>
      </c>
      <c r="FA281" s="96">
        <f>INPUT!FT221</f>
        <v>1075.6999999999998</v>
      </c>
      <c r="FB281" s="18">
        <f>INPUT!FU221</f>
        <v>5.9698551866810945</v>
      </c>
      <c r="FC281" s="96">
        <f>INPUT!FV221</f>
        <v>1135.3</v>
      </c>
      <c r="FD281" s="18">
        <f>INPUT!FW221</f>
        <v>5.5405782281305438</v>
      </c>
      <c r="FE281" s="96">
        <f>INPUT!FX221</f>
        <v>1194.5</v>
      </c>
      <c r="FF281" s="18">
        <f>INPUT!FY221</f>
        <v>5.2144807539857396</v>
      </c>
      <c r="FG281" s="96">
        <f>INPUT!FZ221</f>
        <v>1232.2</v>
      </c>
      <c r="FH281" s="18">
        <f>INPUT!GA221</f>
        <v>3.1561322729175334</v>
      </c>
      <c r="FI281" s="96">
        <f>INPUT!GB221</f>
        <v>1273.7</v>
      </c>
      <c r="FJ281" s="18">
        <f>INPUT!GC221</f>
        <v>3.3679597467943578</v>
      </c>
      <c r="FK281" s="96">
        <f>INPUT!GD221</f>
        <v>1338.6</v>
      </c>
      <c r="FL281" s="18">
        <f>INPUT!GE221</f>
        <v>5.0953913794457018</v>
      </c>
      <c r="FM281" s="96">
        <f>INPUT!GF221</f>
        <v>1417.1</v>
      </c>
      <c r="FN281" s="18">
        <f>INPUT!GG221</f>
        <v>5.8643358733004636</v>
      </c>
      <c r="FO281" s="96">
        <f>INPUT!GH221</f>
        <v>1511.4</v>
      </c>
      <c r="FP281" s="18">
        <f>INPUT!GI221</f>
        <v>6.6544351139651514</v>
      </c>
      <c r="FQ281" s="96">
        <f>INPUT!GJ221</f>
        <v>1606.3637451360003</v>
      </c>
      <c r="FR281" s="18">
        <f>INPUT!GK221</f>
        <v>6.2831642937673848</v>
      </c>
      <c r="FS281" s="96">
        <f>INPUT!GL221</f>
        <v>1638.4910200387203</v>
      </c>
      <c r="FT281" s="18">
        <f>INPUT!GM221</f>
        <v>2.0000000000000018</v>
      </c>
      <c r="FU281" s="96">
        <f>INPUT!GN221</f>
        <v>1671.2608404394948</v>
      </c>
      <c r="FV281" s="18">
        <f>INPUT!GO221</f>
        <v>2.0000000000000018</v>
      </c>
      <c r="FW281" s="96">
        <f>INPUT!GP221</f>
        <v>1704.6860572482847</v>
      </c>
      <c r="FX281" s="18">
        <f>INPUT!GQ221</f>
        <v>2.0000000000000018</v>
      </c>
      <c r="FY281" s="96">
        <f>INPUT!GR221</f>
        <v>1738.7797783932504</v>
      </c>
      <c r="FZ281" s="18">
        <f>INPUT!GS221</f>
        <v>2.0000000000000018</v>
      </c>
      <c r="GA281" s="399">
        <f>INPUT!GT221</f>
        <v>2.8425964297081441</v>
      </c>
    </row>
    <row r="282" spans="1:183" ht="12.75" hidden="1" customHeight="1" outlineLevel="1" x14ac:dyDescent="0.2">
      <c r="A282" s="612" t="str">
        <f>INPUT!B222</f>
        <v>Net Investment Income</v>
      </c>
      <c r="B282" s="96">
        <f>INPUT!M222</f>
        <v>19.2</v>
      </c>
      <c r="C282" s="399">
        <f>INPUT!N222</f>
        <v>-2.5380710659898442</v>
      </c>
      <c r="D282" s="96">
        <f>INPUT!O222</f>
        <v>19.3</v>
      </c>
      <c r="E282" s="399">
        <f>INPUT!P222</f>
        <v>-5.8536585365853604</v>
      </c>
      <c r="F282" s="96">
        <f>INPUT!Q222</f>
        <v>20.7</v>
      </c>
      <c r="G282" s="399">
        <f>INPUT!R222</f>
        <v>-4.6082949308755783</v>
      </c>
      <c r="H282" s="96">
        <f>INPUT!S222</f>
        <v>20.399999999999999</v>
      </c>
      <c r="I282" s="399">
        <f>INPUT!T222</f>
        <v>-2.3923444976076569</v>
      </c>
      <c r="J282" s="96">
        <f>INPUT!U222</f>
        <v>20.8</v>
      </c>
      <c r="K282" s="399">
        <f>INPUT!V222</f>
        <v>8.3333333333333481</v>
      </c>
      <c r="L282" s="96">
        <f>INPUT!W222</f>
        <v>21.1</v>
      </c>
      <c r="M282" s="399">
        <f>INPUT!X222</f>
        <v>9.3264248704663331</v>
      </c>
      <c r="N282" s="96">
        <f>INPUT!Y222</f>
        <v>22.9</v>
      </c>
      <c r="O282" s="399">
        <f>INPUT!Z222</f>
        <v>10.6280193236715</v>
      </c>
      <c r="P282" s="96">
        <f>INPUT!AA222</f>
        <v>25.2</v>
      </c>
      <c r="Q282" s="399">
        <f>INPUT!AB222</f>
        <v>23.529411764705888</v>
      </c>
      <c r="R282" s="96">
        <f>INPUT!AC222</f>
        <v>22.8</v>
      </c>
      <c r="S282" s="399">
        <f>INPUT!AD222</f>
        <v>9.6153846153846256</v>
      </c>
      <c r="T282" s="96">
        <f>INPUT!AE222</f>
        <v>23.7</v>
      </c>
      <c r="U282" s="399">
        <f>INPUT!AF222</f>
        <v>12.322274881516581</v>
      </c>
      <c r="V282" s="96">
        <f>INPUT!AG222</f>
        <v>23.5</v>
      </c>
      <c r="W282" s="399">
        <f>INPUT!AH222</f>
        <v>2.6200873362445476</v>
      </c>
      <c r="X282" s="96">
        <f>INPUT!AI222</f>
        <v>24.5</v>
      </c>
      <c r="Y282" s="399">
        <f>INPUT!AJ222</f>
        <v>-2.777777777777779</v>
      </c>
      <c r="Z282" s="96">
        <f>INPUT!AK222</f>
        <v>25</v>
      </c>
      <c r="AA282" s="399">
        <f>INPUT!AL222</f>
        <v>9.6491228070175303</v>
      </c>
      <c r="AB282" s="96">
        <f>INPUT!AM222</f>
        <v>23.3</v>
      </c>
      <c r="AC282" s="399">
        <f>INPUT!AN222</f>
        <v>-1.6877637130801593</v>
      </c>
      <c r="AD282" s="96">
        <f>INPUT!AO222</f>
        <v>23.4</v>
      </c>
      <c r="AE282" s="399">
        <f>INPUT!AP222</f>
        <v>-0.42553191489361764</v>
      </c>
      <c r="AF282" s="96">
        <f>INPUT!AQ222</f>
        <v>24.3</v>
      </c>
      <c r="AG282" s="399">
        <f>INPUT!AR222</f>
        <v>-0.81632653061224358</v>
      </c>
      <c r="AH282" s="96">
        <f>INPUT!AS222</f>
        <v>22.6</v>
      </c>
      <c r="AI282" s="399">
        <f>INPUT!AT222</f>
        <v>-9.5999999999999979</v>
      </c>
      <c r="AJ282" s="96">
        <f>INPUT!AU222</f>
        <v>23.4</v>
      </c>
      <c r="AK282" s="399">
        <f>INPUT!AV222</f>
        <v>0.42918454935620964</v>
      </c>
      <c r="AL282" s="96">
        <f>INPUT!AW222</f>
        <v>23.6</v>
      </c>
      <c r="AM282" s="399">
        <f>INPUT!AX222</f>
        <v>0.85470085470087387</v>
      </c>
      <c r="AN282" s="96">
        <f>INPUT!AY222</f>
        <v>24</v>
      </c>
      <c r="AO282" s="18">
        <f>INPUT!AZ222</f>
        <v>-1.2345679012345734</v>
      </c>
      <c r="AP282" s="96">
        <f>INPUT!BA222</f>
        <v>24.4</v>
      </c>
      <c r="AQ282" s="18">
        <f>INPUT!BB222</f>
        <v>7.9646017699114946</v>
      </c>
      <c r="AR282" s="96">
        <f>INPUT!BC222</f>
        <v>24.9</v>
      </c>
      <c r="AS282" s="18">
        <f>INPUT!BD222</f>
        <v>6.4102564102564097</v>
      </c>
      <c r="AT282" s="96">
        <f>INPUT!BE222</f>
        <v>24.9</v>
      </c>
      <c r="AU282" s="18">
        <f>INPUT!BF222</f>
        <v>5.5084745762711718</v>
      </c>
      <c r="AV282" s="96">
        <f>INPUT!BG222</f>
        <v>25.6</v>
      </c>
      <c r="AW282" s="18">
        <f>INPUT!BH222</f>
        <v>6.6666666666666652</v>
      </c>
      <c r="AX282" s="96">
        <f>INPUT!BI222</f>
        <v>25.9</v>
      </c>
      <c r="AY282" s="18">
        <f>INPUT!BJ222</f>
        <v>6.1475409836065475</v>
      </c>
      <c r="AZ282" s="96">
        <f>INPUT!BK222</f>
        <v>26.4</v>
      </c>
      <c r="BA282" s="18">
        <f>INPUT!BL222</f>
        <v>6.024096385542177</v>
      </c>
      <c r="BB282" s="96">
        <f>INPUT!BM222</f>
        <v>26.5</v>
      </c>
      <c r="BC282" s="18">
        <f>INPUT!BN222</f>
        <v>6.4257028112449932</v>
      </c>
      <c r="BD282" s="96">
        <f>INPUT!BO222</f>
        <v>26.9</v>
      </c>
      <c r="BE282" s="18">
        <f>INPUT!BP222</f>
        <v>5.0781249999999778</v>
      </c>
      <c r="BF282" s="96">
        <f>INPUT!BQ222</f>
        <v>27.6</v>
      </c>
      <c r="BG282" s="18">
        <f>INPUT!BR222</f>
        <v>6.5637065637065728</v>
      </c>
      <c r="BH282" s="96">
        <f>INPUT!BS222</f>
        <v>28.4</v>
      </c>
      <c r="BI282" s="18">
        <f>INPUT!BT222</f>
        <v>7.575757575757569</v>
      </c>
      <c r="BJ282" s="96">
        <f>INPUT!BU222</f>
        <v>29.4</v>
      </c>
      <c r="BK282" s="18">
        <f>INPUT!BV222</f>
        <v>10.943396226415093</v>
      </c>
      <c r="BL282" s="96">
        <f>INPUT!BW222</f>
        <v>28.9</v>
      </c>
      <c r="BM282" s="18">
        <f>INPUT!BX222</f>
        <v>7.4349442379182173</v>
      </c>
      <c r="BN282" s="96">
        <f>INPUT!BY222</f>
        <v>29.9</v>
      </c>
      <c r="BO282" s="18">
        <f>INPUT!BZ222</f>
        <v>8.333333333333325</v>
      </c>
      <c r="BP282" s="96">
        <f>INPUT!CA222</f>
        <v>29.3</v>
      </c>
      <c r="BQ282" s="18">
        <f>INPUT!CB222</f>
        <v>3.1690140845070491</v>
      </c>
      <c r="BR282" s="96">
        <f>INPUT!CC222</f>
        <v>31.9</v>
      </c>
      <c r="BS282" s="18">
        <f>INPUT!CD222</f>
        <v>8.5034013605442169</v>
      </c>
      <c r="BT282" s="96">
        <f>INPUT!CE222</f>
        <v>31.4</v>
      </c>
      <c r="BU282" s="18">
        <f>INPUT!CF222</f>
        <v>8.6505190311418687</v>
      </c>
      <c r="BV282" s="96">
        <f>INPUT!CG222</f>
        <v>31.3</v>
      </c>
      <c r="BW282" s="18">
        <f>INPUT!CH222</f>
        <v>4.6822742474916357</v>
      </c>
      <c r="BX282" s="96">
        <f>INPUT!CI222</f>
        <v>35.799999999999997</v>
      </c>
      <c r="BY282" s="18">
        <f>INPUT!CJ222</f>
        <v>22.184300341296925</v>
      </c>
      <c r="BZ282" s="96">
        <f>INPUT!CK222</f>
        <v>32.5</v>
      </c>
      <c r="CA282" s="18">
        <f>INPUT!CL222</f>
        <v>1.8808777429467183</v>
      </c>
      <c r="CB282" s="96">
        <f>INPUT!CM222</f>
        <v>32.799999999999997</v>
      </c>
      <c r="CC282" s="18">
        <f>INPUT!CN222</f>
        <v>4.4585987261146487</v>
      </c>
      <c r="CD282" s="96">
        <f>INPUT!CO222</f>
        <v>35.6</v>
      </c>
      <c r="CE282" s="18">
        <f>INPUT!CP222</f>
        <v>13.738019169329085</v>
      </c>
      <c r="CF282" s="96">
        <f>INPUT!CQ222</f>
        <v>34</v>
      </c>
      <c r="CG282" s="18">
        <f>INPUT!CR222</f>
        <v>-5.0279329608938443</v>
      </c>
      <c r="CH282" s="96">
        <f>INPUT!CS222</f>
        <v>33.9</v>
      </c>
      <c r="CI282" s="18">
        <f>INPUT!CT222</f>
        <v>4.3076923076923013</v>
      </c>
      <c r="CJ282" s="96">
        <f>INPUT!CU222</f>
        <v>35.1</v>
      </c>
      <c r="CK282" s="18">
        <f>INPUT!CV222</f>
        <v>7.0121951219512368</v>
      </c>
      <c r="CL282" s="96">
        <f>INPUT!CW222</f>
        <v>39.4</v>
      </c>
      <c r="CM282" s="18">
        <f>INPUT!CX222</f>
        <v>10.67415730337078</v>
      </c>
      <c r="CN282" s="96">
        <f>INPUT!CY222</f>
        <v>34</v>
      </c>
      <c r="CO282" s="18">
        <f>INPUT!CZ222</f>
        <v>0</v>
      </c>
      <c r="CP282" s="96">
        <f>INPUT!DA222</f>
        <v>35.9</v>
      </c>
      <c r="CQ282" s="18">
        <f>INPUT!DB222</f>
        <v>5.8997050147492569</v>
      </c>
      <c r="CR282" s="96">
        <f>INPUT!DC222</f>
        <v>34.799999999999997</v>
      </c>
      <c r="CS282" s="18">
        <f>INPUT!DD222</f>
        <v>-0.85470085470086277</v>
      </c>
      <c r="CT282" s="96">
        <f>INPUT!DE222</f>
        <v>36.6</v>
      </c>
      <c r="CU282" s="18">
        <f>INPUT!DF222</f>
        <v>-7.106598984771562</v>
      </c>
      <c r="CV282" s="96">
        <f>INPUT!DG222</f>
        <v>35.799999999999997</v>
      </c>
      <c r="CW282" s="18">
        <f>INPUT!DH222</f>
        <v>5.2941176470588047</v>
      </c>
      <c r="CX282" s="96">
        <f>INPUT!DI222</f>
        <v>35.5</v>
      </c>
      <c r="CY282" s="18">
        <f>INPUT!DJ222</f>
        <v>-1.114206128133699</v>
      </c>
      <c r="CZ282" s="96">
        <f>INPUT!DK222</f>
        <v>37.6</v>
      </c>
      <c r="DA282" s="18">
        <f>INPUT!DL222</f>
        <v>8.0459770114942764</v>
      </c>
      <c r="DB282" s="96">
        <f>INPUT!DM222</f>
        <v>37</v>
      </c>
      <c r="DC282" s="18">
        <f>INPUT!DN222</f>
        <v>1.0928961748633892</v>
      </c>
      <c r="DD282" s="96">
        <f>INPUT!DO222</f>
        <v>36.9</v>
      </c>
      <c r="DE282" s="18">
        <f>INPUT!DP222</f>
        <v>3.0726256983240274</v>
      </c>
      <c r="DF282" s="96">
        <f>INPUT!DQ222</f>
        <v>35.9</v>
      </c>
      <c r="DG282" s="18">
        <f>INPUT!DR222</f>
        <v>1.1267605633802802</v>
      </c>
      <c r="DH282" s="96">
        <f>INPUT!DS222</f>
        <v>35.6</v>
      </c>
      <c r="DI282" s="18">
        <f>INPUT!DT222</f>
        <v>-5.3191489361702153</v>
      </c>
      <c r="DJ282" s="96">
        <f>INPUT!DU222</f>
        <v>34</v>
      </c>
      <c r="DK282" s="18">
        <f>INPUT!DV222</f>
        <v>-8.1081081081081035</v>
      </c>
      <c r="DL282" s="96">
        <f>INPUT!DW222</f>
        <v>35.6</v>
      </c>
      <c r="DM282" s="18">
        <f>INPUT!DX222</f>
        <v>-3.5230352303523005</v>
      </c>
      <c r="DN282" s="96">
        <f>INPUT!DY222</f>
        <v>36.1</v>
      </c>
      <c r="DO282" s="18">
        <f>INPUT!DZ222</f>
        <v>0.55710306406686616</v>
      </c>
      <c r="DP282" s="96">
        <f>INPUT!EA222</f>
        <v>35.799999999999997</v>
      </c>
      <c r="DQ282" s="18">
        <f>INPUT!EB222</f>
        <v>0.56179775280897903</v>
      </c>
      <c r="DR282" s="96">
        <f>INPUT!EC222</f>
        <v>35.1</v>
      </c>
      <c r="DS282" s="18">
        <f>INPUT!ED222</f>
        <v>3.2352941176470695</v>
      </c>
      <c r="DT282" s="96">
        <f>INPUT!EE222</f>
        <v>36.700000000000003</v>
      </c>
      <c r="DU282" s="18">
        <f>INPUT!EF222</f>
        <v>3.0898876404494402</v>
      </c>
      <c r="DV282" s="96">
        <f>INPUT!EG222</f>
        <v>36</v>
      </c>
      <c r="DW282" s="18">
        <f>INPUT!EH222</f>
        <v>-0.27700831024931594</v>
      </c>
      <c r="DX282" s="96">
        <f>INPUT!EI222</f>
        <v>37.1</v>
      </c>
      <c r="DY282" s="18">
        <f>INPUT!EJ222</f>
        <v>3.6312849162011274</v>
      </c>
      <c r="DZ282" s="96">
        <f>INPUT!EK222</f>
        <v>37.285499999999999</v>
      </c>
      <c r="EA282" s="18">
        <f>INPUT!EL222</f>
        <v>6.2264957264957177</v>
      </c>
      <c r="EB282" s="96">
        <f>INPUT!EM222</f>
        <v>37.471927499999993</v>
      </c>
      <c r="EC282" s="18">
        <f>INPUT!EN222</f>
        <v>2.1033446866484784</v>
      </c>
      <c r="ED282" s="96">
        <f>INPUT!EO222</f>
        <v>37.659287137499987</v>
      </c>
      <c r="EE282" s="18">
        <f>INPUT!EP222</f>
        <v>4.6091309374999723</v>
      </c>
      <c r="EF282" s="96">
        <f>INPUT!EQ222</f>
        <v>37.847583573187485</v>
      </c>
      <c r="EG282" s="18">
        <f>INPUT!ER222</f>
        <v>2.0150500624999568</v>
      </c>
      <c r="EH282" s="18"/>
      <c r="EI282" s="96">
        <f>INPUT!FB222</f>
        <v>82.800000000000011</v>
      </c>
      <c r="EJ282" s="399" t="str">
        <f>INPUT!FC222</f>
        <v>NA</v>
      </c>
      <c r="EK282" s="96">
        <f>INPUT!FD222</f>
        <v>79.599999999999994</v>
      </c>
      <c r="EL282" s="399">
        <f>INPUT!FE222</f>
        <v>-3.8647342995169254</v>
      </c>
      <c r="EM282" s="96">
        <f>INPUT!FF222</f>
        <v>89.999999999999986</v>
      </c>
      <c r="EN282" s="399">
        <f>INPUT!FG222</f>
        <v>13.065326633165819</v>
      </c>
      <c r="EO282" s="96">
        <f>INPUT!FH222</f>
        <v>94.5</v>
      </c>
      <c r="EP282" s="399">
        <f>INPUT!FI222</f>
        <v>5.0000000000000266</v>
      </c>
      <c r="EQ282" s="96">
        <f>INPUT!FJ222</f>
        <v>96</v>
      </c>
      <c r="ER282" s="18">
        <f>INPUT!FK222</f>
        <v>1.5873015873015817</v>
      </c>
      <c r="ES282" s="96">
        <f>INPUT!FL222</f>
        <v>93.6</v>
      </c>
      <c r="ET282" s="18">
        <f>INPUT!FM222</f>
        <v>-2.5000000000000022</v>
      </c>
      <c r="EU282" s="96">
        <f>INPUT!FN222</f>
        <v>99.799999999999983</v>
      </c>
      <c r="EV282" s="18">
        <f>INPUT!FO222</f>
        <v>6.6239316239316226</v>
      </c>
      <c r="EW282" s="96">
        <f>INPUT!FP222</f>
        <v>105.69999999999999</v>
      </c>
      <c r="EX282" s="18">
        <f>INPUT!FQ222</f>
        <v>5.9118236472945895</v>
      </c>
      <c r="EY282" s="96">
        <f>INPUT!FR222</f>
        <v>114.30000000000001</v>
      </c>
      <c r="EZ282" s="18">
        <f>INPUT!FS222</f>
        <v>8.1362346263008654</v>
      </c>
      <c r="FA282" s="96">
        <f>INPUT!FT222</f>
        <v>122.5</v>
      </c>
      <c r="FB282" s="18">
        <f>INPUT!FU222</f>
        <v>7.1741032370953528</v>
      </c>
      <c r="FC282" s="96">
        <f>INPUT!FV222</f>
        <v>132.39999999999998</v>
      </c>
      <c r="FD282" s="18">
        <f>INPUT!FW222</f>
        <v>8.0816326530612095</v>
      </c>
      <c r="FE282" s="96">
        <f>INPUT!FX222</f>
        <v>137.69999999999999</v>
      </c>
      <c r="FF282" s="18">
        <f>INPUT!FY222</f>
        <v>4.0030211480362565</v>
      </c>
      <c r="FG282" s="96">
        <f>INPUT!FZ222</f>
        <v>144.10000000000002</v>
      </c>
      <c r="FH282" s="18">
        <f>INPUT!GA222</f>
        <v>4.6477850399419207</v>
      </c>
      <c r="FI282" s="96">
        <f>INPUT!GB222</f>
        <v>145.5</v>
      </c>
      <c r="FJ282" s="18">
        <f>INPUT!GC222</f>
        <v>0.97154753643302616</v>
      </c>
      <c r="FK282" s="96">
        <f>INPUT!GD222</f>
        <v>145.4</v>
      </c>
      <c r="FL282" s="18">
        <f>INPUT!GE222</f>
        <v>-6.8728522336769515E-2</v>
      </c>
      <c r="FM282" s="96">
        <f>INPUT!GF222</f>
        <v>141.5</v>
      </c>
      <c r="FN282" s="18">
        <f>INPUT!GG222</f>
        <v>-2.6822558459422274</v>
      </c>
      <c r="FO282" s="96">
        <f>INPUT!GH222</f>
        <v>144.9</v>
      </c>
      <c r="FP282" s="18">
        <f>INPUT!GI222</f>
        <v>2.4028268551236742</v>
      </c>
      <c r="FQ282" s="96">
        <f>INPUT!GJ222</f>
        <v>150.26429821068746</v>
      </c>
      <c r="FR282" s="18">
        <f>INPUT!GK222</f>
        <v>3.7020691585144538</v>
      </c>
      <c r="FS282" s="96">
        <f>INPUT!GL222</f>
        <v>153.26958417490121</v>
      </c>
      <c r="FT282" s="18">
        <f>INPUT!GM222</f>
        <v>2.0000000000000018</v>
      </c>
      <c r="FU282" s="96">
        <f>INPUT!GN222</f>
        <v>156.33497585839925</v>
      </c>
      <c r="FV282" s="18">
        <f>INPUT!GO222</f>
        <v>2.0000000000000018</v>
      </c>
      <c r="FW282" s="96">
        <f>INPUT!GP222</f>
        <v>159.46167537556724</v>
      </c>
      <c r="FX282" s="18">
        <f>INPUT!GQ222</f>
        <v>2.0000000000000018</v>
      </c>
      <c r="FY282" s="96">
        <f>INPUT!GR222</f>
        <v>162.65090888307859</v>
      </c>
      <c r="FZ282" s="18">
        <f>INPUT!GS222</f>
        <v>2.0000000000000018</v>
      </c>
      <c r="GA282" s="399">
        <f>INPUT!GT222</f>
        <v>2.3381641310474155</v>
      </c>
    </row>
    <row r="283" spans="1:183" ht="12.75" hidden="1" customHeight="1" outlineLevel="1" x14ac:dyDescent="0.2">
      <c r="A283" s="612" t="str">
        <f>INPUT!B223</f>
        <v>Other Income</v>
      </c>
      <c r="B283" s="96">
        <f>INPUT!M223</f>
        <v>0.5</v>
      </c>
      <c r="C283" s="399" t="str">
        <f>INPUT!N223</f>
        <v>NM</v>
      </c>
      <c r="D283" s="96">
        <f>INPUT!O223</f>
        <v>1.4</v>
      </c>
      <c r="E283" s="399" t="str">
        <f>INPUT!P223</f>
        <v>NM</v>
      </c>
      <c r="F283" s="96">
        <f>INPUT!Q223</f>
        <v>1.4</v>
      </c>
      <c r="G283" s="399" t="str">
        <f>INPUT!R223</f>
        <v>NM</v>
      </c>
      <c r="H283" s="96">
        <f>INPUT!S223</f>
        <v>0.4</v>
      </c>
      <c r="I283" s="399">
        <f>INPUT!T223</f>
        <v>0</v>
      </c>
      <c r="J283" s="96">
        <f>INPUT!U223</f>
        <v>0.4</v>
      </c>
      <c r="K283" s="399">
        <f>INPUT!V223</f>
        <v>-19.999999999999996</v>
      </c>
      <c r="L283" s="96">
        <f>INPUT!W223</f>
        <v>1.3</v>
      </c>
      <c r="M283" s="399">
        <f>INPUT!X223</f>
        <v>-7.1428571428571281</v>
      </c>
      <c r="N283" s="96">
        <f>INPUT!Y223</f>
        <v>0.4</v>
      </c>
      <c r="O283" s="399" t="str">
        <f>INPUT!Z223</f>
        <v>NM</v>
      </c>
      <c r="P283" s="96">
        <f>INPUT!AA223</f>
        <v>0.4</v>
      </c>
      <c r="Q283" s="399">
        <f>INPUT!AB223</f>
        <v>0</v>
      </c>
      <c r="R283" s="96">
        <f>INPUT!AC223</f>
        <v>0.3</v>
      </c>
      <c r="S283" s="399">
        <f>INPUT!AD223</f>
        <v>-25.000000000000011</v>
      </c>
      <c r="T283" s="96">
        <f>INPUT!AE223</f>
        <v>0.7</v>
      </c>
      <c r="U283" s="399">
        <f>INPUT!AF223</f>
        <v>-46.153846153846153</v>
      </c>
      <c r="V283" s="96">
        <f>INPUT!AG223</f>
        <v>0.7</v>
      </c>
      <c r="W283" s="399">
        <f>INPUT!AH223</f>
        <v>74.999999999999972</v>
      </c>
      <c r="X283" s="96">
        <f>INPUT!AI223</f>
        <v>0.6</v>
      </c>
      <c r="Y283" s="399">
        <f>INPUT!AJ223</f>
        <v>49.999999999999979</v>
      </c>
      <c r="Z283" s="96">
        <f>INPUT!AK223</f>
        <v>1.2</v>
      </c>
      <c r="AA283" s="399" t="str">
        <f>INPUT!AL223</f>
        <v>NM</v>
      </c>
      <c r="AB283" s="96">
        <f>INPUT!AM223</f>
        <v>1</v>
      </c>
      <c r="AC283" s="399">
        <f>INPUT!AN223</f>
        <v>42.857142857142861</v>
      </c>
      <c r="AD283" s="96">
        <f>INPUT!AO223</f>
        <v>1.3</v>
      </c>
      <c r="AE283" s="399">
        <f>INPUT!AP223</f>
        <v>85.714285714285737</v>
      </c>
      <c r="AF283" s="96">
        <f>INPUT!AQ223</f>
        <v>0.9</v>
      </c>
      <c r="AG283" s="399">
        <f>INPUT!AR223</f>
        <v>50</v>
      </c>
      <c r="AH283" s="96">
        <f>INPUT!AS223</f>
        <v>0.3</v>
      </c>
      <c r="AI283" s="399" t="str">
        <f>INPUT!AT223</f>
        <v>NM</v>
      </c>
      <c r="AJ283" s="96">
        <f>INPUT!AU223</f>
        <v>0.4</v>
      </c>
      <c r="AK283" s="399" t="str">
        <f>INPUT!AV223</f>
        <v>NM</v>
      </c>
      <c r="AL283" s="96">
        <f>INPUT!AW223</f>
        <v>0.2</v>
      </c>
      <c r="AM283" s="399" t="str">
        <f>INPUT!AX223</f>
        <v>NM</v>
      </c>
      <c r="AN283" s="96">
        <f>INPUT!AY223</f>
        <v>0.2</v>
      </c>
      <c r="AO283" s="18" t="str">
        <f>INPUT!AZ223</f>
        <v>NM</v>
      </c>
      <c r="AP283" s="96">
        <f>INPUT!BA223</f>
        <v>0.3</v>
      </c>
      <c r="AQ283" s="18">
        <f>INPUT!BB223</f>
        <v>0</v>
      </c>
      <c r="AR283" s="96">
        <f>INPUT!BC223</f>
        <v>0.3</v>
      </c>
      <c r="AS283" s="18">
        <f>INPUT!BD223</f>
        <v>-25.000000000000011</v>
      </c>
      <c r="AT283" s="96">
        <f>INPUT!BE223</f>
        <v>0.3</v>
      </c>
      <c r="AU283" s="18">
        <f>INPUT!BF223</f>
        <v>49.999999999999979</v>
      </c>
      <c r="AV283" s="96">
        <f>INPUT!BG223</f>
        <v>0</v>
      </c>
      <c r="AW283" s="18" t="str">
        <f>INPUT!BH223</f>
        <v>NM</v>
      </c>
      <c r="AX283" s="96">
        <f>INPUT!BI223</f>
        <v>0.1</v>
      </c>
      <c r="AY283" s="18" t="str">
        <f>INPUT!BJ223</f>
        <v>NM</v>
      </c>
      <c r="AZ283" s="96">
        <f>INPUT!BK223</f>
        <v>0.1</v>
      </c>
      <c r="BA283" s="18" t="str">
        <f>INPUT!BL223</f>
        <v>NM</v>
      </c>
      <c r="BB283" s="96">
        <f>INPUT!BM223</f>
        <v>0.1</v>
      </c>
      <c r="BC283" s="18" t="str">
        <f>INPUT!BN223</f>
        <v>NM</v>
      </c>
      <c r="BD283" s="96">
        <f>INPUT!BO223</f>
        <v>0.1</v>
      </c>
      <c r="BE283" s="18" t="str">
        <f>INPUT!BP223</f>
        <v>NA</v>
      </c>
      <c r="BF283" s="96">
        <f>INPUT!BQ223</f>
        <v>0.1</v>
      </c>
      <c r="BG283" s="18">
        <f>INPUT!BR223</f>
        <v>0</v>
      </c>
      <c r="BH283" s="96">
        <f>INPUT!BS223</f>
        <v>0.2</v>
      </c>
      <c r="BI283" s="18">
        <f>INPUT!BT223</f>
        <v>100</v>
      </c>
      <c r="BJ283" s="96">
        <f>INPUT!BU223</f>
        <v>0.1</v>
      </c>
      <c r="BK283" s="18">
        <f>INPUT!BV223</f>
        <v>0</v>
      </c>
      <c r="BL283" s="96">
        <f>INPUT!BW223</f>
        <v>0.1</v>
      </c>
      <c r="BM283" s="18">
        <f>INPUT!BX223</f>
        <v>0</v>
      </c>
      <c r="BN283" s="96">
        <f>INPUT!BY223</f>
        <v>0.2</v>
      </c>
      <c r="BO283" s="18">
        <f>INPUT!BZ223</f>
        <v>100</v>
      </c>
      <c r="BP283" s="96">
        <f>INPUT!CA223</f>
        <v>0.1</v>
      </c>
      <c r="BQ283" s="18">
        <f>INPUT!CB223</f>
        <v>-50</v>
      </c>
      <c r="BR283" s="96">
        <f>INPUT!CC223</f>
        <v>0.2</v>
      </c>
      <c r="BS283" s="18">
        <f>INPUT!CD223</f>
        <v>100</v>
      </c>
      <c r="BT283" s="96">
        <f>INPUT!CE223</f>
        <v>0.2</v>
      </c>
      <c r="BU283" s="18">
        <f>INPUT!CF223</f>
        <v>100</v>
      </c>
      <c r="BV283" s="96">
        <f>INPUT!CG223</f>
        <v>0.1</v>
      </c>
      <c r="BW283" s="18">
        <f>INPUT!CH223</f>
        <v>-50</v>
      </c>
      <c r="BX283" s="96">
        <f>INPUT!CI223</f>
        <v>0.2</v>
      </c>
      <c r="BY283" s="18">
        <f>INPUT!CJ223</f>
        <v>100</v>
      </c>
      <c r="BZ283" s="96">
        <f>INPUT!CK223</f>
        <v>0.1</v>
      </c>
      <c r="CA283" s="18">
        <f>INPUT!CL223</f>
        <v>-50</v>
      </c>
      <c r="CB283" s="96">
        <f>INPUT!CM223</f>
        <v>0.1</v>
      </c>
      <c r="CC283" s="18">
        <f>INPUT!CN223</f>
        <v>-50</v>
      </c>
      <c r="CD283" s="96">
        <f>INPUT!CO223</f>
        <v>0.1</v>
      </c>
      <c r="CE283" s="18">
        <f>INPUT!CP223</f>
        <v>0</v>
      </c>
      <c r="CF283" s="96">
        <f>INPUT!CQ223</f>
        <v>0.1</v>
      </c>
      <c r="CG283" s="18">
        <f>INPUT!CR223</f>
        <v>-50</v>
      </c>
      <c r="CH283" s="96">
        <f>INPUT!CS223</f>
        <v>0</v>
      </c>
      <c r="CI283" s="18" t="str">
        <f>INPUT!CT223</f>
        <v>NM</v>
      </c>
      <c r="CJ283" s="96">
        <f>INPUT!CU223</f>
        <v>0.1</v>
      </c>
      <c r="CK283" s="18">
        <f>INPUT!CV223</f>
        <v>0</v>
      </c>
      <c r="CL283" s="96">
        <f>INPUT!CW223</f>
        <v>0</v>
      </c>
      <c r="CM283" s="18" t="str">
        <f>INPUT!CX223</f>
        <v>NM</v>
      </c>
      <c r="CN283" s="96">
        <f>INPUT!CY223</f>
        <v>0.1</v>
      </c>
      <c r="CO283" s="18">
        <f>INPUT!CZ223</f>
        <v>0</v>
      </c>
      <c r="CP283" s="96">
        <f>INPUT!DA223</f>
        <v>0</v>
      </c>
      <c r="CQ283" s="18" t="str">
        <f>INPUT!DB223</f>
        <v>NA</v>
      </c>
      <c r="CR283" s="96">
        <f>INPUT!DC223</f>
        <v>0.1</v>
      </c>
      <c r="CS283" s="18">
        <f>INPUT!DD223</f>
        <v>0</v>
      </c>
      <c r="CT283" s="96">
        <f>INPUT!DE223</f>
        <v>-0.1</v>
      </c>
      <c r="CU283" s="18" t="str">
        <f>INPUT!DF223</f>
        <v>NA</v>
      </c>
      <c r="CV283" s="96">
        <f>INPUT!DG223</f>
        <v>0.1</v>
      </c>
      <c r="CW283" s="18">
        <f>INPUT!DH223</f>
        <v>0</v>
      </c>
      <c r="CX283" s="96">
        <f>INPUT!DI223</f>
        <v>0.1</v>
      </c>
      <c r="CY283" s="18" t="str">
        <f>INPUT!DJ223</f>
        <v>NA</v>
      </c>
      <c r="CZ283" s="96">
        <f>INPUT!DK223</f>
        <v>0</v>
      </c>
      <c r="DA283" s="18" t="str">
        <f>INPUT!DL223</f>
        <v>NM</v>
      </c>
      <c r="DB283" s="96">
        <f>INPUT!DM223</f>
        <v>0</v>
      </c>
      <c r="DC283" s="18" t="str">
        <f>INPUT!DN223</f>
        <v>NM</v>
      </c>
      <c r="DD283" s="96">
        <f>INPUT!DO223</f>
        <v>0</v>
      </c>
      <c r="DE283" s="18" t="str">
        <f>INPUT!DP223</f>
        <v>NM</v>
      </c>
      <c r="DF283" s="96">
        <f>INPUT!DQ223</f>
        <v>0.1</v>
      </c>
      <c r="DG283" s="18">
        <f>INPUT!DR223</f>
        <v>0</v>
      </c>
      <c r="DH283" s="96">
        <f>INPUT!DS223</f>
        <v>0</v>
      </c>
      <c r="DI283" s="18" t="str">
        <f>INPUT!DT223</f>
        <v>NA</v>
      </c>
      <c r="DJ283" s="96">
        <f>INPUT!DU223</f>
        <v>0.3</v>
      </c>
      <c r="DK283" s="18" t="str">
        <f>INPUT!DV223</f>
        <v>NA</v>
      </c>
      <c r="DL283" s="96">
        <f>INPUT!DW223</f>
        <v>0.3</v>
      </c>
      <c r="DM283" s="18" t="str">
        <f>INPUT!DX223</f>
        <v>NA</v>
      </c>
      <c r="DN283" s="96">
        <f>INPUT!DY223</f>
        <v>0.4</v>
      </c>
      <c r="DO283" s="18" t="str">
        <f>INPUT!DZ223</f>
        <v>NM</v>
      </c>
      <c r="DP283" s="96">
        <f>INPUT!EA223</f>
        <v>0.2</v>
      </c>
      <c r="DQ283" s="18" t="str">
        <f>INPUT!EB223</f>
        <v>NA</v>
      </c>
      <c r="DR283" s="96">
        <f>INPUT!EC223</f>
        <v>0.3</v>
      </c>
      <c r="DS283" s="18">
        <f>INPUT!ED223</f>
        <v>0</v>
      </c>
      <c r="DT283" s="96">
        <f>INPUT!EE223</f>
        <v>0.2</v>
      </c>
      <c r="DU283" s="18">
        <f>INPUT!EF223</f>
        <v>-33.333333333333329</v>
      </c>
      <c r="DV283" s="96">
        <f>INPUT!EG223</f>
        <v>0.3</v>
      </c>
      <c r="DW283" s="18">
        <f>INPUT!EH223</f>
        <v>-25.000000000000011</v>
      </c>
      <c r="DX283" s="96">
        <f>INPUT!EI223</f>
        <v>0.3</v>
      </c>
      <c r="DY283" s="18">
        <f>INPUT!EJ223</f>
        <v>49.999999999999979</v>
      </c>
      <c r="DZ283" s="96">
        <f>INPUT!EK223</f>
        <v>0.32100000000000001</v>
      </c>
      <c r="EA283" s="18">
        <f>INPUT!EL223</f>
        <v>7.0000000000000062</v>
      </c>
      <c r="EB283" s="96">
        <f>INPUT!EM223</f>
        <v>0.21400000000000002</v>
      </c>
      <c r="EC283" s="18">
        <f>INPUT!EN223</f>
        <v>7.0000000000000062</v>
      </c>
      <c r="ED283" s="96">
        <f>INPUT!EO223</f>
        <v>0.32100000000000001</v>
      </c>
      <c r="EE283" s="18">
        <f>INPUT!EP223</f>
        <v>7.0000000000000062</v>
      </c>
      <c r="EF283" s="96">
        <f>INPUT!EQ223</f>
        <v>0.32100000000000001</v>
      </c>
      <c r="EG283" s="18">
        <f>INPUT!ER223</f>
        <v>7.0000000000000062</v>
      </c>
      <c r="EH283" s="18"/>
      <c r="EI283" s="96">
        <f>INPUT!FB223</f>
        <v>3.8</v>
      </c>
      <c r="EJ283" s="399" t="str">
        <f>INPUT!FC223</f>
        <v>NA</v>
      </c>
      <c r="EK283" s="96">
        <f>INPUT!FD223</f>
        <v>3.6999999999999997</v>
      </c>
      <c r="EL283" s="399">
        <f>INPUT!FE223</f>
        <v>-2.6315789473684181</v>
      </c>
      <c r="EM283" s="96">
        <f>INPUT!FF223</f>
        <v>2.5</v>
      </c>
      <c r="EN283" s="399">
        <f>INPUT!FG223</f>
        <v>-32.432432432432421</v>
      </c>
      <c r="EO283" s="96">
        <f>INPUT!FH223</f>
        <v>2.2999999999999998</v>
      </c>
      <c r="EP283" s="399">
        <f>INPUT!FI223</f>
        <v>-8.0000000000000071</v>
      </c>
      <c r="EQ283" s="96">
        <f>INPUT!FJ223</f>
        <v>4.4000000000000004</v>
      </c>
      <c r="ER283" s="18">
        <f>INPUT!FK223</f>
        <v>91.304347826086982</v>
      </c>
      <c r="ES283" s="96">
        <f>INPUT!FL223</f>
        <v>1.0999999999999999</v>
      </c>
      <c r="ET283" s="18" t="str">
        <f>INPUT!FM223</f>
        <v>NM</v>
      </c>
      <c r="EU283" s="96">
        <f>INPUT!FN223</f>
        <v>0.89999999999999991</v>
      </c>
      <c r="EV283" s="18">
        <f>INPUT!FO223</f>
        <v>-18.181818181818176</v>
      </c>
      <c r="EW283" s="96">
        <f>INPUT!FP223</f>
        <v>0.4</v>
      </c>
      <c r="EX283" s="18" t="str">
        <f>INPUT!FQ223</f>
        <v>NM</v>
      </c>
      <c r="EY283" s="96">
        <f>INPUT!FR223</f>
        <v>0.5</v>
      </c>
      <c r="EZ283" s="18">
        <f>INPUT!FS223</f>
        <v>25</v>
      </c>
      <c r="FA283" s="96">
        <f>INPUT!FT223</f>
        <v>0.7</v>
      </c>
      <c r="FB283" s="18">
        <f>INPUT!FU223</f>
        <v>39.999999999999993</v>
      </c>
      <c r="FC283" s="96">
        <f>INPUT!FV223</f>
        <v>0.5</v>
      </c>
      <c r="FD283" s="18">
        <f>INPUT!FW223</f>
        <v>-28.571428571428569</v>
      </c>
      <c r="FE283" s="96">
        <f>INPUT!FX223</f>
        <v>0.30000000000000004</v>
      </c>
      <c r="FF283" s="18">
        <f>INPUT!FY223</f>
        <v>-39.999999999999993</v>
      </c>
      <c r="FG283" s="96">
        <f>INPUT!FZ223</f>
        <v>0.2</v>
      </c>
      <c r="FH283" s="18">
        <f>INPUT!GA223</f>
        <v>-33.333333333333336</v>
      </c>
      <c r="FI283" s="96">
        <f>INPUT!GB223</f>
        <v>0.1</v>
      </c>
      <c r="FJ283" s="18">
        <f>INPUT!GC223</f>
        <v>-50</v>
      </c>
      <c r="FK283" s="96">
        <f>INPUT!GD223</f>
        <v>0.1</v>
      </c>
      <c r="FL283" s="18">
        <f>INPUT!GE223</f>
        <v>0</v>
      </c>
      <c r="FM283" s="96">
        <f>INPUT!GF223</f>
        <v>1.2</v>
      </c>
      <c r="FN283" s="18" t="str">
        <f>INPUT!GG223</f>
        <v>NM</v>
      </c>
      <c r="FO283" s="96">
        <f>INPUT!GH223</f>
        <v>1.1000000000000001</v>
      </c>
      <c r="FP283" s="18">
        <f>INPUT!GI223</f>
        <v>-8.333333333333325</v>
      </c>
      <c r="FQ283" s="96">
        <f>INPUT!GJ223</f>
        <v>1.177</v>
      </c>
      <c r="FR283" s="18">
        <f>INPUT!GK223</f>
        <v>7.0000000000000062</v>
      </c>
      <c r="FS283" s="96">
        <f>INPUT!GL223</f>
        <v>1.2593900000000002</v>
      </c>
      <c r="FT283" s="18">
        <f>INPUT!GM223</f>
        <v>7.0000000000000062</v>
      </c>
      <c r="FU283" s="96">
        <f>INPUT!GN223</f>
        <v>1.3475473000000002</v>
      </c>
      <c r="FV283" s="18">
        <f>INPUT!GO223</f>
        <v>7.0000000000000062</v>
      </c>
      <c r="FW283" s="96">
        <f>INPUT!GP223</f>
        <v>1.4418756110000004</v>
      </c>
      <c r="FX283" s="18">
        <f>INPUT!GQ223</f>
        <v>7.0000000000000062</v>
      </c>
      <c r="FY283" s="96">
        <f>INPUT!GR223</f>
        <v>1.5428069037700005</v>
      </c>
      <c r="FZ283" s="18">
        <f>INPUT!GS223</f>
        <v>7.0000000000000062</v>
      </c>
      <c r="GA283" s="399">
        <f>INPUT!GT223</f>
        <v>7.0000000000000062</v>
      </c>
    </row>
    <row r="284" spans="1:183" ht="12.75" hidden="1" customHeight="1" outlineLevel="1" x14ac:dyDescent="0.2">
      <c r="A284" s="612" t="str">
        <f>INPUT!B224</f>
        <v xml:space="preserve"> Total Revenues</v>
      </c>
      <c r="B284" s="96">
        <f>INPUT!M224</f>
        <v>176</v>
      </c>
      <c r="C284" s="399">
        <f>INPUT!N224</f>
        <v>0.51399200456883065</v>
      </c>
      <c r="D284" s="96">
        <f>INPUT!O224</f>
        <v>177.2</v>
      </c>
      <c r="E284" s="399">
        <f>INPUT!P224</f>
        <v>1.5472779369627432</v>
      </c>
      <c r="F284" s="96">
        <f>INPUT!Q224</f>
        <v>183</v>
      </c>
      <c r="G284" s="399">
        <f>INPUT!R224</f>
        <v>3.2731376975169146</v>
      </c>
      <c r="H284" s="96">
        <f>INPUT!S224</f>
        <v>183.8</v>
      </c>
      <c r="I284" s="399">
        <f>INPUT!T224</f>
        <v>7.0471753057658848</v>
      </c>
      <c r="J284" s="96">
        <f>INPUT!U224</f>
        <v>191.79999999999998</v>
      </c>
      <c r="K284" s="399">
        <f>INPUT!V224</f>
        <v>8.9772727272727124</v>
      </c>
      <c r="L284" s="96">
        <f>INPUT!W224</f>
        <v>194.1</v>
      </c>
      <c r="M284" s="399">
        <f>INPUT!X224</f>
        <v>9.5372460496613964</v>
      </c>
      <c r="N284" s="96">
        <f>INPUT!Y224</f>
        <v>197.3</v>
      </c>
      <c r="O284" s="399">
        <f>INPUT!Z224</f>
        <v>7.8142076502732305</v>
      </c>
      <c r="P284" s="96">
        <f>INPUT!AA224</f>
        <v>202.79999999999998</v>
      </c>
      <c r="Q284" s="399">
        <f>INPUT!AB224</f>
        <v>10.337323177366686</v>
      </c>
      <c r="R284" s="96">
        <f>INPUT!AC224</f>
        <v>204.2</v>
      </c>
      <c r="S284" s="399">
        <f>INPUT!AD224</f>
        <v>6.4650677789364064</v>
      </c>
      <c r="T284" s="96">
        <f>INPUT!AE224</f>
        <v>208.4</v>
      </c>
      <c r="U284" s="399">
        <f>INPUT!AF224</f>
        <v>7.3673364245234518</v>
      </c>
      <c r="V284" s="96">
        <f>INPUT!AG224</f>
        <v>210.6</v>
      </c>
      <c r="W284" s="399">
        <f>INPUT!AH224</f>
        <v>6.7410035478965957</v>
      </c>
      <c r="X284" s="96">
        <f>INPUT!AI224</f>
        <v>214.6</v>
      </c>
      <c r="Y284" s="399">
        <f>INPUT!AJ224</f>
        <v>5.8185404339250457</v>
      </c>
      <c r="Z284" s="96">
        <f>INPUT!AK224</f>
        <v>219.7</v>
      </c>
      <c r="AA284" s="399">
        <f>INPUT!AL224</f>
        <v>7.5905974534769882</v>
      </c>
      <c r="AB284" s="96">
        <f>INPUT!AM224</f>
        <v>219.9</v>
      </c>
      <c r="AC284" s="399">
        <f>INPUT!AN224</f>
        <v>5.5182341650671818</v>
      </c>
      <c r="AD284" s="96">
        <f>INPUT!AO224</f>
        <v>222.1</v>
      </c>
      <c r="AE284" s="399">
        <f>INPUT!AP224</f>
        <v>5.4605887939221276</v>
      </c>
      <c r="AF284" s="96">
        <f>INPUT!AQ224</f>
        <v>225.7</v>
      </c>
      <c r="AG284" s="399">
        <f>INPUT!AR224</f>
        <v>5.1724137931034475</v>
      </c>
      <c r="AH284" s="96">
        <f>INPUT!AS224</f>
        <v>225.5</v>
      </c>
      <c r="AI284" s="399">
        <f>INPUT!AT224</f>
        <v>2.6399635867091487</v>
      </c>
      <c r="AJ284" s="96">
        <f>INPUT!AU224</f>
        <v>233.3</v>
      </c>
      <c r="AK284" s="399">
        <f>INPUT!AV224</f>
        <v>6.0936789449749895</v>
      </c>
      <c r="AL284" s="96">
        <f>INPUT!AW224</f>
        <v>236.60000000000002</v>
      </c>
      <c r="AM284" s="399">
        <f>INPUT!AX224</f>
        <v>6.5285907248987085</v>
      </c>
      <c r="AN284" s="96">
        <f>INPUT!AY224</f>
        <v>241.39999999999998</v>
      </c>
      <c r="AO284" s="18">
        <f>INPUT!AZ224</f>
        <v>6.9561364643331736</v>
      </c>
      <c r="AP284" s="96">
        <f>INPUT!BA224</f>
        <v>248.1</v>
      </c>
      <c r="AQ284" s="18">
        <f>INPUT!BB224</f>
        <v>10.022172949002206</v>
      </c>
      <c r="AR284" s="96">
        <f>INPUT!BC224</f>
        <v>250</v>
      </c>
      <c r="AS284" s="18">
        <f>INPUT!BD224</f>
        <v>7.1581654522074434</v>
      </c>
      <c r="AT284" s="96">
        <f>INPUT!BE224</f>
        <v>252.2</v>
      </c>
      <c r="AU284" s="18">
        <f>INPUT!BF224</f>
        <v>6.59340659340657</v>
      </c>
      <c r="AV284" s="96">
        <f>INPUT!BG224</f>
        <v>257.60000000000002</v>
      </c>
      <c r="AW284" s="18">
        <f>INPUT!BH224</f>
        <v>6.7108533554266936</v>
      </c>
      <c r="AX284" s="96">
        <f>INPUT!BI224</f>
        <v>266.39999999999998</v>
      </c>
      <c r="AY284" s="18">
        <f>INPUT!BJ224</f>
        <v>7.3760580411124543</v>
      </c>
      <c r="AZ284" s="96">
        <f>INPUT!BK224</f>
        <v>269.10000000000002</v>
      </c>
      <c r="BA284" s="18">
        <f>INPUT!BL224</f>
        <v>7.6400000000000023</v>
      </c>
      <c r="BB284" s="96">
        <f>INPUT!BM224</f>
        <v>271.8</v>
      </c>
      <c r="BC284" s="18">
        <f>INPUT!BN224</f>
        <v>7.7716098334655204</v>
      </c>
      <c r="BD284" s="96">
        <f>INPUT!BO224</f>
        <v>276.10000000000002</v>
      </c>
      <c r="BE284" s="18">
        <f>INPUT!BP224</f>
        <v>7.1816770186335477</v>
      </c>
      <c r="BF284" s="96">
        <f>INPUT!BQ224</f>
        <v>281.10000000000002</v>
      </c>
      <c r="BG284" s="18">
        <f>INPUT!BR224</f>
        <v>5.5180180180180338</v>
      </c>
      <c r="BH284" s="96">
        <f>INPUT!BS224</f>
        <v>279.40000000000003</v>
      </c>
      <c r="BI284" s="18">
        <f>INPUT!BT224</f>
        <v>3.827573392790784</v>
      </c>
      <c r="BJ284" s="96">
        <f>INPUT!BU224</f>
        <v>283</v>
      </c>
      <c r="BK284" s="18">
        <f>INPUT!BV224</f>
        <v>4.1206769683590938</v>
      </c>
      <c r="BL284" s="96">
        <f>INPUT!BW224</f>
        <v>286.39999999999998</v>
      </c>
      <c r="BM284" s="18">
        <f>INPUT!BX224</f>
        <v>3.7305324157913544</v>
      </c>
      <c r="BN284" s="96">
        <f>INPUT!BY224</f>
        <v>295.20000000000005</v>
      </c>
      <c r="BO284" s="18">
        <f>INPUT!BZ224</f>
        <v>5.0160085378868846</v>
      </c>
      <c r="BP284" s="96">
        <f>INPUT!CA224</f>
        <v>297.09999999999997</v>
      </c>
      <c r="BQ284" s="18">
        <f>INPUT!CB224</f>
        <v>6.3350035790980419</v>
      </c>
      <c r="BR284" s="96">
        <f>INPUT!CC224</f>
        <v>301.40000000000003</v>
      </c>
      <c r="BS284" s="18">
        <f>INPUT!CD224</f>
        <v>6.5017667844523119</v>
      </c>
      <c r="BT284" s="96">
        <f>INPUT!CE224</f>
        <v>305.20000000000005</v>
      </c>
      <c r="BU284" s="18">
        <f>INPUT!CF224</f>
        <v>6.5642458100558798</v>
      </c>
      <c r="BV284" s="96">
        <f>INPUT!CG224</f>
        <v>311.79999999999995</v>
      </c>
      <c r="BW284" s="18">
        <f>INPUT!CH224</f>
        <v>5.6233062330623085</v>
      </c>
      <c r="BX284" s="96">
        <f>INPUT!CI224</f>
        <v>318</v>
      </c>
      <c r="BY284" s="18">
        <f>INPUT!CJ224</f>
        <v>7.0346684617973887</v>
      </c>
      <c r="BZ284" s="96">
        <f>INPUT!CK224</f>
        <v>316.3</v>
      </c>
      <c r="CA284" s="18">
        <f>INPUT!CL224</f>
        <v>4.9435965494359468</v>
      </c>
      <c r="CB284" s="96">
        <f>INPUT!CM224</f>
        <v>322.09999999999997</v>
      </c>
      <c r="CC284" s="18">
        <f>INPUT!CN224</f>
        <v>5.5373525557011583</v>
      </c>
      <c r="CD284" s="96">
        <f>INPUT!CO224</f>
        <v>332</v>
      </c>
      <c r="CE284" s="18">
        <f>INPUT!CP224</f>
        <v>6.4785118665811492</v>
      </c>
      <c r="CF284" s="96">
        <f>INPUT!CQ224</f>
        <v>331</v>
      </c>
      <c r="CG284" s="18">
        <f>INPUT!CR224</f>
        <v>4.088050314465419</v>
      </c>
      <c r="CH284" s="96">
        <f>INPUT!CS224</f>
        <v>333.29999999999995</v>
      </c>
      <c r="CI284" s="18">
        <f>INPUT!CT224</f>
        <v>5.3746443250078935</v>
      </c>
      <c r="CJ284" s="96">
        <f>INPUT!CU224</f>
        <v>337.09999999999997</v>
      </c>
      <c r="CK284" s="18">
        <f>INPUT!CV224</f>
        <v>4.6569388388699062</v>
      </c>
      <c r="CL284" s="96">
        <f>INPUT!CW224</f>
        <v>346.5</v>
      </c>
      <c r="CM284" s="18">
        <f>INPUT!CX224</f>
        <v>4.3674698795180822</v>
      </c>
      <c r="CN284" s="96">
        <f>INPUT!CY224</f>
        <v>342</v>
      </c>
      <c r="CO284" s="18">
        <f>INPUT!CZ224</f>
        <v>3.3232628398791597</v>
      </c>
      <c r="CP284" s="96">
        <f>INPUT!DA224</f>
        <v>345</v>
      </c>
      <c r="CQ284" s="18">
        <f>INPUT!DB224</f>
        <v>3.5103510351035316</v>
      </c>
      <c r="CR284" s="96">
        <f>INPUT!DC224</f>
        <v>343</v>
      </c>
      <c r="CS284" s="18">
        <f>INPUT!DD224</f>
        <v>1.7502224859092363</v>
      </c>
      <c r="CT284" s="96">
        <f>INPUT!DE224</f>
        <v>352.9</v>
      </c>
      <c r="CU284" s="18">
        <f>INPUT!DF224</f>
        <v>1.8470418470418304</v>
      </c>
      <c r="CV284" s="96">
        <f>INPUT!DG224</f>
        <v>352.7</v>
      </c>
      <c r="CW284" s="18">
        <f>INPUT!DH224</f>
        <v>3.1286549707602251</v>
      </c>
      <c r="CX284" s="96">
        <f>INPUT!DI224</f>
        <v>355</v>
      </c>
      <c r="CY284" s="18">
        <f>INPUT!DJ224</f>
        <v>2.8985507246376718</v>
      </c>
      <c r="CZ284" s="96">
        <f>INPUT!DK224</f>
        <v>358.70000000000005</v>
      </c>
      <c r="DA284" s="18">
        <f>INPUT!DL224</f>
        <v>4.5772594752186757</v>
      </c>
      <c r="DB284" s="96">
        <f>INPUT!DM224</f>
        <v>369.2</v>
      </c>
      <c r="DC284" s="18">
        <f>INPUT!DN224</f>
        <v>4.618872201756874</v>
      </c>
      <c r="DD284" s="96">
        <f>INPUT!DO224</f>
        <v>372.79999999999995</v>
      </c>
      <c r="DE284" s="18">
        <f>INPUT!DP224</f>
        <v>5.6988942444003321</v>
      </c>
      <c r="DF284" s="96">
        <f>INPUT!DQ224</f>
        <v>369.1</v>
      </c>
      <c r="DG284" s="18">
        <f>INPUT!DR224</f>
        <v>3.9718309859154921</v>
      </c>
      <c r="DH284" s="96">
        <f>INPUT!DS224</f>
        <v>373</v>
      </c>
      <c r="DI284" s="18">
        <f>INPUT!DT224</f>
        <v>3.9866183440200542</v>
      </c>
      <c r="DJ284" s="96">
        <f>INPUT!DU224</f>
        <v>385.5</v>
      </c>
      <c r="DK284" s="18">
        <f>INPUT!DV224</f>
        <v>4.4149512459371598</v>
      </c>
      <c r="DL284" s="96">
        <f>INPUT!DW224</f>
        <v>387.29999999999995</v>
      </c>
      <c r="DM284" s="18">
        <f>INPUT!DX224</f>
        <v>3.8894849785407803</v>
      </c>
      <c r="DN284" s="96">
        <f>INPUT!DY224</f>
        <v>390.6</v>
      </c>
      <c r="DO284" s="18">
        <f>INPUT!DZ224</f>
        <v>5.8249796803034437</v>
      </c>
      <c r="DP284" s="96">
        <f>INPUT!EA224</f>
        <v>396.4</v>
      </c>
      <c r="DQ284" s="18">
        <f>INPUT!EB224</f>
        <v>6.2734584450402142</v>
      </c>
      <c r="DR284" s="96">
        <f>INPUT!EC224</f>
        <v>409.7</v>
      </c>
      <c r="DS284" s="18">
        <f>INPUT!ED224</f>
        <v>6.2775616083009078</v>
      </c>
      <c r="DT284" s="96">
        <f>INPUT!EE224</f>
        <v>413.20000000000005</v>
      </c>
      <c r="DU284" s="18">
        <f>INPUT!EF224</f>
        <v>6.6873224890266147</v>
      </c>
      <c r="DV284" s="96">
        <f>INPUT!EG224</f>
        <v>415</v>
      </c>
      <c r="DW284" s="18">
        <f>INPUT!EH224</f>
        <v>6.2467997951868748</v>
      </c>
      <c r="DX284" s="96">
        <f>INPUT!EI224</f>
        <v>419.5</v>
      </c>
      <c r="DY284" s="18">
        <f>INPUT!EJ224</f>
        <v>5.827447023208876</v>
      </c>
      <c r="DZ284" s="96">
        <f>INPUT!EK224</f>
        <v>427.3485</v>
      </c>
      <c r="EA284" s="18">
        <f>INPUT!EL224</f>
        <v>4.3076641444959707</v>
      </c>
      <c r="EB284" s="96">
        <f>INPUT!EM224</f>
        <v>435.22276750000003</v>
      </c>
      <c r="EC284" s="18">
        <f>INPUT!EN224</f>
        <v>5.3298082042594341</v>
      </c>
      <c r="ED284" s="96">
        <f>INPUT!EO224</f>
        <v>443.46786393750006</v>
      </c>
      <c r="EE284" s="18">
        <f>INPUT!EP224</f>
        <v>6.85972625000002</v>
      </c>
      <c r="EF284" s="96">
        <f>INPUT!EQ224</f>
        <v>451.76591190918759</v>
      </c>
      <c r="EG284" s="18">
        <f>INPUT!ER224</f>
        <v>7.6915165456943102</v>
      </c>
      <c r="EH284" s="18"/>
      <c r="EI284" s="96">
        <f>INPUT!FB224</f>
        <v>698.5</v>
      </c>
      <c r="EJ284" s="399" t="str">
        <f>INPUT!FC224</f>
        <v>NA</v>
      </c>
      <c r="EK284" s="96">
        <f>INPUT!FD224</f>
        <v>720.00000000000011</v>
      </c>
      <c r="EL284" s="399">
        <f>INPUT!FE224</f>
        <v>3.0780243378668803</v>
      </c>
      <c r="EM284" s="96">
        <f>INPUT!FF224</f>
        <v>786</v>
      </c>
      <c r="EN284" s="399">
        <f>INPUT!FG224</f>
        <v>9.1666666666666572</v>
      </c>
      <c r="EO284" s="96">
        <f>INPUT!FH224</f>
        <v>837.8</v>
      </c>
      <c r="EP284" s="399">
        <f>INPUT!FI224</f>
        <v>6.5903307888040663</v>
      </c>
      <c r="EQ284" s="96">
        <f>INPUT!FJ224</f>
        <v>887.4</v>
      </c>
      <c r="ER284" s="18">
        <f>INPUT!FK224</f>
        <v>5.9202673669133565</v>
      </c>
      <c r="ES284" s="96">
        <f>INPUT!FL224</f>
        <v>936.80000000000018</v>
      </c>
      <c r="ET284" s="18">
        <f>INPUT!FM224</f>
        <v>5.566824430921824</v>
      </c>
      <c r="EU284" s="96">
        <f>INPUT!FN224</f>
        <v>1007.9000000000001</v>
      </c>
      <c r="EV284" s="18">
        <f>INPUT!FO224</f>
        <v>7.589666951323637</v>
      </c>
      <c r="EW284" s="96">
        <f>INPUT!FP224</f>
        <v>1083.4000000000001</v>
      </c>
      <c r="EX284" s="18">
        <f>INPUT!FQ224</f>
        <v>7.4908225022323638</v>
      </c>
      <c r="EY284" s="96">
        <f>INPUT!FR224</f>
        <v>1129.9000000000001</v>
      </c>
      <c r="EZ284" s="18">
        <f>INPUT!FS224</f>
        <v>4.2920435665497525</v>
      </c>
      <c r="FA284" s="96">
        <f>INPUT!FT224</f>
        <v>1198.8999999999999</v>
      </c>
      <c r="FB284" s="18">
        <f>INPUT!FU224</f>
        <v>6.1067351093016864</v>
      </c>
      <c r="FC284" s="96">
        <f>INPUT!FV224</f>
        <v>1268.1999999999998</v>
      </c>
      <c r="FD284" s="18">
        <f>INPUT!FW224</f>
        <v>5.7802986070564666</v>
      </c>
      <c r="FE284" s="96">
        <f>INPUT!FX224</f>
        <v>1332.5</v>
      </c>
      <c r="FF284" s="18">
        <f>INPUT!FY224</f>
        <v>5.0701782053304001</v>
      </c>
      <c r="FG284" s="96">
        <f>INPUT!FZ224</f>
        <v>1376.5</v>
      </c>
      <c r="FH284" s="18">
        <f>INPUT!GA224</f>
        <v>3.3020637898686589</v>
      </c>
      <c r="FI284" s="96">
        <f>INPUT!GB224</f>
        <v>1419.3</v>
      </c>
      <c r="FJ284" s="18">
        <f>INPUT!GC224</f>
        <v>3.1093352706138777</v>
      </c>
      <c r="FK284" s="96">
        <f>INPUT!GD224</f>
        <v>1484.1</v>
      </c>
      <c r="FL284" s="18">
        <f>INPUT!GE224</f>
        <v>4.5656309448319554</v>
      </c>
      <c r="FM284" s="96">
        <f>INPUT!GF224</f>
        <v>1559.8</v>
      </c>
      <c r="FN284" s="18">
        <f>INPUT!GG224</f>
        <v>5.100734451856348</v>
      </c>
      <c r="FO284" s="96">
        <f>INPUT!GH224</f>
        <v>1657.4</v>
      </c>
      <c r="FP284" s="18">
        <f>INPUT!GI224</f>
        <v>6.257212463136308</v>
      </c>
      <c r="FQ284" s="96">
        <f>INPUT!GJ224</f>
        <v>1757.8050433466876</v>
      </c>
      <c r="FR284" s="18">
        <f>INPUT!GK224</f>
        <v>6.0579849973867228</v>
      </c>
      <c r="FS284" s="96">
        <f>INPUT!GL224</f>
        <v>1793.0199942136214</v>
      </c>
      <c r="FT284" s="18">
        <f>INPUT!GM224</f>
        <v>2.0033479253130482</v>
      </c>
      <c r="FU284" s="96">
        <f>INPUT!GN224</f>
        <v>1828.9433635978939</v>
      </c>
      <c r="FV284" s="18">
        <f>INPUT!GO224</f>
        <v>2.0035119240278121</v>
      </c>
      <c r="FW284" s="96">
        <f>INPUT!GP224</f>
        <v>1865.589608234852</v>
      </c>
      <c r="FX284" s="18">
        <f>INPUT!GQ224</f>
        <v>2.0036839503257076</v>
      </c>
      <c r="FY284" s="96">
        <f>INPUT!GR224</f>
        <v>1902.9734941800989</v>
      </c>
      <c r="FZ284" s="18">
        <f>INPUT!GS224</f>
        <v>2.003864396554933</v>
      </c>
      <c r="GA284" s="399">
        <f>INPUT!GT224</f>
        <v>2.8018856813970539</v>
      </c>
    </row>
    <row r="285" spans="1:183" ht="12.75" hidden="1" customHeight="1" outlineLevel="1" x14ac:dyDescent="0.2">
      <c r="A285" s="612"/>
      <c r="B285" s="96"/>
      <c r="C285" s="399"/>
      <c r="D285" s="96"/>
      <c r="E285" s="399"/>
      <c r="F285" s="96"/>
      <c r="G285" s="399"/>
      <c r="H285" s="96"/>
      <c r="I285" s="399"/>
      <c r="J285" s="96"/>
      <c r="K285" s="399"/>
      <c r="L285" s="96"/>
      <c r="M285" s="399"/>
      <c r="N285" s="96"/>
      <c r="O285" s="399"/>
      <c r="P285" s="96"/>
      <c r="Q285" s="399"/>
      <c r="R285" s="96"/>
      <c r="S285" s="399"/>
      <c r="T285" s="96"/>
      <c r="U285" s="399"/>
      <c r="V285" s="96"/>
      <c r="W285" s="399"/>
      <c r="X285" s="96"/>
      <c r="Y285" s="399"/>
      <c r="Z285" s="96"/>
      <c r="AA285" s="399"/>
      <c r="AB285" s="96"/>
      <c r="AC285" s="399"/>
      <c r="AD285" s="96"/>
      <c r="AE285" s="399"/>
      <c r="AF285" s="96"/>
      <c r="AG285" s="399"/>
      <c r="AH285" s="96"/>
      <c r="AI285" s="399"/>
      <c r="AJ285" s="96"/>
      <c r="AK285" s="399"/>
      <c r="AL285" s="96"/>
      <c r="AM285" s="399"/>
      <c r="AN285" s="96"/>
      <c r="AO285" s="18"/>
      <c r="AP285" s="96"/>
      <c r="AQ285" s="18"/>
      <c r="AR285" s="96"/>
      <c r="AS285" s="18"/>
      <c r="AT285" s="96"/>
      <c r="AU285" s="18"/>
      <c r="AV285" s="96"/>
      <c r="AW285" s="18"/>
      <c r="AX285" s="96"/>
      <c r="AY285" s="18"/>
      <c r="AZ285" s="96"/>
      <c r="BA285" s="18"/>
      <c r="BB285" s="96"/>
      <c r="BC285" s="18"/>
      <c r="BD285" s="96"/>
      <c r="BE285" s="18"/>
      <c r="BF285" s="96"/>
      <c r="BG285" s="18"/>
      <c r="BH285" s="96"/>
      <c r="BI285" s="18"/>
      <c r="BJ285" s="96"/>
      <c r="BK285" s="18"/>
      <c r="BL285" s="96"/>
      <c r="BM285" s="18"/>
      <c r="BN285" s="96"/>
      <c r="BO285" s="18"/>
      <c r="BP285" s="96"/>
      <c r="BQ285" s="18"/>
      <c r="BR285" s="96"/>
      <c r="BS285" s="18"/>
      <c r="BT285" s="96"/>
      <c r="BU285" s="18"/>
      <c r="BV285" s="96"/>
      <c r="BW285" s="18"/>
      <c r="BX285" s="96"/>
      <c r="BY285" s="18"/>
      <c r="BZ285" s="96"/>
      <c r="CA285" s="18"/>
      <c r="CB285" s="96"/>
      <c r="CC285" s="18"/>
      <c r="CD285" s="96"/>
      <c r="CE285" s="18"/>
      <c r="CF285" s="96"/>
      <c r="CG285" s="18"/>
      <c r="CH285" s="96"/>
      <c r="CI285" s="18"/>
      <c r="CJ285" s="96"/>
      <c r="CK285" s="18"/>
      <c r="CL285" s="96"/>
      <c r="CM285" s="18"/>
      <c r="CN285" s="96"/>
      <c r="CO285" s="18"/>
      <c r="CP285" s="96"/>
      <c r="CQ285" s="18"/>
      <c r="CR285" s="96"/>
      <c r="CS285" s="18"/>
      <c r="CT285" s="96"/>
      <c r="CU285" s="18"/>
      <c r="CV285" s="96"/>
      <c r="CW285" s="18"/>
      <c r="CX285" s="96"/>
      <c r="CY285" s="18"/>
      <c r="CZ285" s="96"/>
      <c r="DA285" s="18"/>
      <c r="DB285" s="96"/>
      <c r="DC285" s="18"/>
      <c r="DD285" s="96"/>
      <c r="DE285" s="18"/>
      <c r="DF285" s="96"/>
      <c r="DG285" s="18"/>
      <c r="DH285" s="96"/>
      <c r="DI285" s="18"/>
      <c r="DJ285" s="96"/>
      <c r="DK285" s="18"/>
      <c r="DL285" s="96"/>
      <c r="DM285" s="18"/>
      <c r="DN285" s="96"/>
      <c r="DO285" s="18"/>
      <c r="DP285" s="96"/>
      <c r="DQ285" s="18"/>
      <c r="DR285" s="96"/>
      <c r="DS285" s="18"/>
      <c r="DT285" s="96"/>
      <c r="DU285" s="18"/>
      <c r="DV285" s="96"/>
      <c r="DW285" s="18"/>
      <c r="DX285" s="96"/>
      <c r="DY285" s="18"/>
      <c r="DZ285" s="96"/>
      <c r="EA285" s="18"/>
      <c r="EB285" s="96"/>
      <c r="EC285" s="18"/>
      <c r="ED285" s="96"/>
      <c r="EE285" s="18"/>
      <c r="EF285" s="96"/>
      <c r="EG285" s="18"/>
      <c r="EH285" s="18"/>
      <c r="EI285" s="96"/>
      <c r="EJ285" s="399"/>
      <c r="EK285" s="96"/>
      <c r="EL285" s="399"/>
      <c r="EM285" s="96"/>
      <c r="EN285" s="399"/>
      <c r="EO285" s="96"/>
      <c r="EP285" s="399"/>
      <c r="EQ285" s="96"/>
      <c r="ER285" s="18"/>
      <c r="ES285" s="96"/>
      <c r="ET285" s="18"/>
      <c r="EU285" s="96"/>
      <c r="EV285" s="18"/>
      <c r="EW285" s="96"/>
      <c r="EX285" s="18"/>
      <c r="EY285" s="96"/>
      <c r="EZ285" s="18"/>
      <c r="FA285" s="96"/>
      <c r="FB285" s="18"/>
      <c r="FC285" s="96"/>
      <c r="FD285" s="18"/>
      <c r="FE285" s="96"/>
      <c r="FF285" s="18"/>
      <c r="FG285" s="96"/>
      <c r="FH285" s="18"/>
      <c r="FI285" s="96"/>
      <c r="FJ285" s="18"/>
      <c r="FK285" s="96"/>
      <c r="FL285" s="18"/>
      <c r="FM285" s="96"/>
      <c r="FN285" s="18"/>
      <c r="FO285" s="96"/>
      <c r="FP285" s="18"/>
      <c r="FQ285" s="96"/>
      <c r="FR285" s="18"/>
      <c r="FS285" s="96"/>
      <c r="FT285" s="18"/>
      <c r="FU285" s="96"/>
      <c r="FV285" s="18"/>
      <c r="FW285" s="96"/>
      <c r="FX285" s="18"/>
      <c r="FY285" s="96"/>
      <c r="FZ285" s="18"/>
      <c r="GA285" s="399"/>
    </row>
    <row r="286" spans="1:183" ht="12.75" hidden="1" customHeight="1" outlineLevel="1" x14ac:dyDescent="0.2">
      <c r="A286" s="610" t="s">
        <v>454</v>
      </c>
      <c r="B286" s="96"/>
      <c r="C286" s="399"/>
      <c r="D286" s="96"/>
      <c r="E286" s="399"/>
      <c r="F286" s="96"/>
      <c r="G286" s="399"/>
      <c r="H286" s="96"/>
      <c r="I286" s="399"/>
      <c r="J286" s="96"/>
      <c r="K286" s="399"/>
      <c r="L286" s="96"/>
      <c r="M286" s="399"/>
      <c r="N286" s="96"/>
      <c r="O286" s="399"/>
      <c r="P286" s="96"/>
      <c r="Q286" s="399"/>
      <c r="R286" s="96"/>
      <c r="S286" s="399"/>
      <c r="T286" s="96"/>
      <c r="U286" s="399"/>
      <c r="V286" s="96"/>
      <c r="W286" s="399"/>
      <c r="X286" s="96"/>
      <c r="Y286" s="399"/>
      <c r="Z286" s="96"/>
      <c r="AA286" s="399"/>
      <c r="AB286" s="96"/>
      <c r="AC286" s="399"/>
      <c r="AD286" s="96"/>
      <c r="AE286" s="399"/>
      <c r="AF286" s="96"/>
      <c r="AG286" s="399"/>
      <c r="AH286" s="96"/>
      <c r="AI286" s="399"/>
      <c r="AJ286" s="96"/>
      <c r="AK286" s="399"/>
      <c r="AL286" s="96"/>
      <c r="AM286" s="399"/>
      <c r="AN286" s="96"/>
      <c r="AO286" s="18"/>
      <c r="AP286" s="96"/>
      <c r="AQ286" s="18"/>
      <c r="AR286" s="96"/>
      <c r="AS286" s="18"/>
      <c r="AT286" s="96"/>
      <c r="AU286" s="18"/>
      <c r="AV286" s="96"/>
      <c r="AW286" s="18"/>
      <c r="AX286" s="96"/>
      <c r="AY286" s="18"/>
      <c r="AZ286" s="96"/>
      <c r="BA286" s="18"/>
      <c r="BB286" s="96"/>
      <c r="BC286" s="18"/>
      <c r="BD286" s="96"/>
      <c r="BE286" s="18"/>
      <c r="BF286" s="96"/>
      <c r="BG286" s="18"/>
      <c r="BH286" s="96"/>
      <c r="BI286" s="18"/>
      <c r="BJ286" s="96"/>
      <c r="BK286" s="18"/>
      <c r="BL286" s="96"/>
      <c r="BM286" s="18"/>
      <c r="BN286" s="96"/>
      <c r="BO286" s="18"/>
      <c r="BP286" s="96"/>
      <c r="BQ286" s="18"/>
      <c r="BR286" s="96"/>
      <c r="BS286" s="18"/>
      <c r="BT286" s="96"/>
      <c r="BU286" s="18"/>
      <c r="BV286" s="96"/>
      <c r="BW286" s="18"/>
      <c r="BX286" s="96"/>
      <c r="BY286" s="18"/>
      <c r="BZ286" s="96"/>
      <c r="CA286" s="18"/>
      <c r="CB286" s="96"/>
      <c r="CC286" s="18"/>
      <c r="CD286" s="96"/>
      <c r="CE286" s="18"/>
      <c r="CF286" s="96"/>
      <c r="CG286" s="18"/>
      <c r="CH286" s="96"/>
      <c r="CI286" s="18"/>
      <c r="CJ286" s="96"/>
      <c r="CK286" s="18"/>
      <c r="CL286" s="96"/>
      <c r="CM286" s="18"/>
      <c r="CN286" s="96"/>
      <c r="CO286" s="18"/>
      <c r="CP286" s="96"/>
      <c r="CQ286" s="18"/>
      <c r="CR286" s="96"/>
      <c r="CS286" s="18"/>
      <c r="CT286" s="96"/>
      <c r="CU286" s="18"/>
      <c r="CV286" s="96"/>
      <c r="CW286" s="18"/>
      <c r="CX286" s="96"/>
      <c r="CY286" s="18"/>
      <c r="CZ286" s="96"/>
      <c r="DA286" s="18"/>
      <c r="DB286" s="96"/>
      <c r="DC286" s="18"/>
      <c r="DD286" s="96"/>
      <c r="DE286" s="18"/>
      <c r="DF286" s="96"/>
      <c r="DG286" s="18"/>
      <c r="DH286" s="96"/>
      <c r="DI286" s="18"/>
      <c r="DJ286" s="96"/>
      <c r="DK286" s="18"/>
      <c r="DL286" s="96"/>
      <c r="DM286" s="18"/>
      <c r="DN286" s="96"/>
      <c r="DO286" s="18"/>
      <c r="DP286" s="96"/>
      <c r="DQ286" s="18"/>
      <c r="DR286" s="96"/>
      <c r="DS286" s="18"/>
      <c r="DT286" s="96"/>
      <c r="DU286" s="18"/>
      <c r="DV286" s="96"/>
      <c r="DW286" s="18"/>
      <c r="DX286" s="96"/>
      <c r="DY286" s="18"/>
      <c r="DZ286" s="96"/>
      <c r="EA286" s="18"/>
      <c r="EB286" s="96"/>
      <c r="EC286" s="18"/>
      <c r="ED286" s="96"/>
      <c r="EE286" s="18"/>
      <c r="EF286" s="96"/>
      <c r="EG286" s="18"/>
      <c r="EH286" s="18"/>
      <c r="EI286" s="96"/>
      <c r="EJ286" s="399"/>
      <c r="EK286" s="96"/>
      <c r="EL286" s="399"/>
      <c r="EM286" s="96"/>
      <c r="EN286" s="399"/>
      <c r="EO286" s="96"/>
      <c r="EP286" s="399"/>
      <c r="EQ286" s="96"/>
      <c r="ER286" s="18"/>
      <c r="ES286" s="96"/>
      <c r="ET286" s="18"/>
      <c r="EU286" s="96"/>
      <c r="EV286" s="18"/>
      <c r="EW286" s="96"/>
      <c r="EX286" s="18"/>
      <c r="EY286" s="96"/>
      <c r="EZ286" s="18"/>
      <c r="FA286" s="96"/>
      <c r="FB286" s="18"/>
      <c r="FC286" s="96"/>
      <c r="FD286" s="18"/>
      <c r="FE286" s="96"/>
      <c r="FF286" s="18"/>
      <c r="FG286" s="96"/>
      <c r="FH286" s="18"/>
      <c r="FI286" s="96"/>
      <c r="FJ286" s="18"/>
      <c r="FK286" s="96"/>
      <c r="FL286" s="18"/>
      <c r="FM286" s="96"/>
      <c r="FN286" s="18"/>
      <c r="FO286" s="96"/>
      <c r="FP286" s="18"/>
      <c r="FQ286" s="96"/>
      <c r="FR286" s="18"/>
      <c r="FS286" s="96"/>
      <c r="FT286" s="18"/>
      <c r="FU286" s="96"/>
      <c r="FV286" s="18"/>
      <c r="FW286" s="96"/>
      <c r="FX286" s="18"/>
      <c r="FY286" s="96"/>
      <c r="FZ286" s="18"/>
      <c r="GA286" s="399"/>
    </row>
    <row r="287" spans="1:183" ht="12.75" hidden="1" customHeight="1" outlineLevel="1" x14ac:dyDescent="0.2">
      <c r="A287" s="612" t="str">
        <f>INPUT!B227</f>
        <v>Total Benefits Expense</v>
      </c>
      <c r="B287" s="96">
        <f>INPUT!M227</f>
        <v>86.4</v>
      </c>
      <c r="C287" s="399">
        <f>INPUT!N227</f>
        <v>-0.11560693641617936</v>
      </c>
      <c r="D287" s="96">
        <f>INPUT!O227</f>
        <v>87</v>
      </c>
      <c r="E287" s="399">
        <f>INPUT!P227</f>
        <v>-0.57142857142856718</v>
      </c>
      <c r="F287" s="96">
        <f>INPUT!Q227</f>
        <v>91.6</v>
      </c>
      <c r="G287" s="399">
        <f>INPUT!R227</f>
        <v>3.8548752834467015</v>
      </c>
      <c r="H287" s="96">
        <f>INPUT!S227</f>
        <v>92.2</v>
      </c>
      <c r="I287" s="399">
        <f>INPUT!T227</f>
        <v>9.5011876484560673</v>
      </c>
      <c r="J287" s="96">
        <f>INPUT!U227</f>
        <v>96.1</v>
      </c>
      <c r="K287" s="399">
        <f>INPUT!V227</f>
        <v>11.226851851851837</v>
      </c>
      <c r="L287" s="96">
        <f>INPUT!W227</f>
        <v>97.6</v>
      </c>
      <c r="M287" s="399">
        <f>INPUT!X227</f>
        <v>12.183908045976999</v>
      </c>
      <c r="N287" s="96">
        <f>INPUT!Y227</f>
        <v>98</v>
      </c>
      <c r="O287" s="399">
        <f>INPUT!Z227</f>
        <v>6.9868995633187936</v>
      </c>
      <c r="P287" s="96">
        <f>INPUT!AA227</f>
        <v>103.7</v>
      </c>
      <c r="Q287" s="399">
        <f>INPUT!AB227</f>
        <v>12.472885032537961</v>
      </c>
      <c r="R287" s="96">
        <f>INPUT!AC227</f>
        <v>100.5</v>
      </c>
      <c r="S287" s="399">
        <f>INPUT!AD227</f>
        <v>4.57856399583767</v>
      </c>
      <c r="T287" s="96">
        <f>INPUT!AE227</f>
        <v>101.6</v>
      </c>
      <c r="U287" s="399">
        <f>INPUT!AF227</f>
        <v>4.0983606557376984</v>
      </c>
      <c r="V287" s="96">
        <f>INPUT!AG227</f>
        <v>102.7</v>
      </c>
      <c r="W287" s="399">
        <f>INPUT!AH227</f>
        <v>4.7959183673469408</v>
      </c>
      <c r="X287" s="96">
        <f>INPUT!AI227</f>
        <v>103.5</v>
      </c>
      <c r="Y287" s="399">
        <f>INPUT!AJ227</f>
        <v>-0.19286403085825299</v>
      </c>
      <c r="Z287" s="96">
        <f>INPUT!AK227</f>
        <v>104.1</v>
      </c>
      <c r="AA287" s="399">
        <f>INPUT!AL227</f>
        <v>3.5820895522387985</v>
      </c>
      <c r="AB287" s="96">
        <f>INPUT!AM227</f>
        <v>105.2</v>
      </c>
      <c r="AC287" s="399">
        <f>INPUT!AN227</f>
        <v>3.5433070866141891</v>
      </c>
      <c r="AD287" s="96">
        <f>INPUT!AO227</f>
        <v>110.4</v>
      </c>
      <c r="AE287" s="399">
        <f>INPUT!AP227</f>
        <v>7.4975657254138239</v>
      </c>
      <c r="AF287" s="96">
        <f>INPUT!AQ227</f>
        <v>113.5</v>
      </c>
      <c r="AG287" s="399">
        <f>INPUT!AR227</f>
        <v>9.661835748792269</v>
      </c>
      <c r="AH287" s="96">
        <f>INPUT!AS227</f>
        <v>105.5</v>
      </c>
      <c r="AI287" s="399">
        <f>INPUT!AT227</f>
        <v>1.344860710854956</v>
      </c>
      <c r="AJ287" s="96">
        <f>INPUT!AU227</f>
        <v>110.4</v>
      </c>
      <c r="AK287" s="399">
        <f>INPUT!AV227</f>
        <v>4.9429657794676896</v>
      </c>
      <c r="AL287" s="96">
        <f>INPUT!AW227</f>
        <v>112</v>
      </c>
      <c r="AM287" s="399">
        <f>INPUT!AX227</f>
        <v>1.4492753623188248</v>
      </c>
      <c r="AN287" s="96">
        <f>INPUT!AY227</f>
        <v>113.5</v>
      </c>
      <c r="AO287" s="18">
        <f>INPUT!AZ227</f>
        <v>0</v>
      </c>
      <c r="AP287" s="96">
        <f>INPUT!BA227</f>
        <v>110</v>
      </c>
      <c r="AQ287" s="18">
        <f>INPUT!BB227</f>
        <v>4.2654028436019065</v>
      </c>
      <c r="AR287" s="96">
        <f>INPUT!BC227</f>
        <v>106</v>
      </c>
      <c r="AS287" s="18">
        <f>INPUT!BD227</f>
        <v>-3.9855072463768182</v>
      </c>
      <c r="AT287" s="96">
        <f>INPUT!BE227</f>
        <v>110.4</v>
      </c>
      <c r="AU287" s="18">
        <f>INPUT!BF227</f>
        <v>-1.4285714285714235</v>
      </c>
      <c r="AV287" s="96">
        <f>INPUT!BG227</f>
        <v>111.4</v>
      </c>
      <c r="AW287" s="18">
        <f>INPUT!BH227</f>
        <v>-1.8502202643171706</v>
      </c>
      <c r="AX287" s="96">
        <f>INPUT!BI227</f>
        <v>113.5</v>
      </c>
      <c r="AY287" s="18">
        <f>INPUT!BJ227</f>
        <v>3.1818181818181746</v>
      </c>
      <c r="AZ287" s="96">
        <f>INPUT!BK227</f>
        <v>113.8</v>
      </c>
      <c r="BA287" s="18">
        <f>INPUT!BL227</f>
        <v>7.3584905660377231</v>
      </c>
      <c r="BB287" s="96">
        <f>INPUT!BM227</f>
        <v>116.5</v>
      </c>
      <c r="BC287" s="18">
        <f>INPUT!BN227</f>
        <v>5.5253623188405765</v>
      </c>
      <c r="BD287" s="96">
        <f>INPUT!BO227</f>
        <v>120.2</v>
      </c>
      <c r="BE287" s="18">
        <f>INPUT!BP227</f>
        <v>7.8994614003590646</v>
      </c>
      <c r="BF287" s="96">
        <f>INPUT!BQ227</f>
        <v>117.3</v>
      </c>
      <c r="BG287" s="18">
        <f>INPUT!BR227</f>
        <v>3.3480176211453827</v>
      </c>
      <c r="BH287" s="96">
        <f>INPUT!BS227</f>
        <v>116.4</v>
      </c>
      <c r="BI287" s="18">
        <f>INPUT!BT227</f>
        <v>2.2847100175747093</v>
      </c>
      <c r="BJ287" s="96">
        <f>INPUT!BU227</f>
        <v>122.1</v>
      </c>
      <c r="BK287" s="18">
        <f>INPUT!BV227</f>
        <v>4.8068669527896901</v>
      </c>
      <c r="BL287" s="96">
        <f>INPUT!BW227</f>
        <v>124.8</v>
      </c>
      <c r="BM287" s="18">
        <f>INPUT!BX227</f>
        <v>3.8269550748752046</v>
      </c>
      <c r="BN287" s="96">
        <f>INPUT!BY227</f>
        <v>124.8</v>
      </c>
      <c r="BO287" s="18">
        <f>INPUT!BZ227</f>
        <v>6.3938618925831303</v>
      </c>
      <c r="BP287" s="96">
        <f>INPUT!CA227</f>
        <v>129.4</v>
      </c>
      <c r="BQ287" s="18">
        <f>INPUT!CB227</f>
        <v>11.168384879725091</v>
      </c>
      <c r="BR287" s="96">
        <f>INPUT!CC227</f>
        <v>134.30000000000001</v>
      </c>
      <c r="BS287" s="18">
        <f>INPUT!CD227</f>
        <v>9.9918099918099976</v>
      </c>
      <c r="BT287" s="96">
        <f>INPUT!CE227</f>
        <v>146.19999999999999</v>
      </c>
      <c r="BU287" s="18">
        <f>INPUT!CF227</f>
        <v>17.14743589743588</v>
      </c>
      <c r="BV287" s="96">
        <f>INPUT!CG227</f>
        <v>144.1</v>
      </c>
      <c r="BW287" s="18">
        <f>INPUT!CH227</f>
        <v>15.464743589743591</v>
      </c>
      <c r="BX287" s="96">
        <f>INPUT!CI227</f>
        <v>144.30000000000001</v>
      </c>
      <c r="BY287" s="18">
        <f>INPUT!CJ227</f>
        <v>11.514683153013916</v>
      </c>
      <c r="BZ287" s="96">
        <f>INPUT!CK227</f>
        <v>149.1</v>
      </c>
      <c r="CA287" s="18">
        <f>INPUT!CL227</f>
        <v>11.020104244229323</v>
      </c>
      <c r="CB287" s="96">
        <f>INPUT!CM227</f>
        <v>151.9</v>
      </c>
      <c r="CC287" s="18">
        <f>INPUT!CN227</f>
        <v>3.8987688098495399</v>
      </c>
      <c r="CD287" s="96">
        <f>INPUT!CO227</f>
        <v>154.4</v>
      </c>
      <c r="CE287" s="18">
        <f>INPUT!CP227</f>
        <v>7.1478140180430305</v>
      </c>
      <c r="CF287" s="96">
        <f>INPUT!CQ227</f>
        <v>155.80000000000001</v>
      </c>
      <c r="CG287" s="18">
        <f>INPUT!CR227</f>
        <v>7.9695079695079718</v>
      </c>
      <c r="CH287" s="96">
        <f>INPUT!CS227</f>
        <v>158.5</v>
      </c>
      <c r="CI287" s="18">
        <f>INPUT!CT227</f>
        <v>6.3044936284373021</v>
      </c>
      <c r="CJ287" s="96">
        <f>INPUT!CU227</f>
        <v>158.6</v>
      </c>
      <c r="CK287" s="18">
        <f>INPUT!CV227</f>
        <v>4.4107965766951862</v>
      </c>
      <c r="CL287" s="96">
        <f>INPUT!CW227</f>
        <v>161.30000000000001</v>
      </c>
      <c r="CM287" s="18">
        <f>INPUT!CX227</f>
        <v>4.4689119170984393</v>
      </c>
      <c r="CN287" s="96">
        <f>INPUT!CY227</f>
        <v>160.30000000000001</v>
      </c>
      <c r="CO287" s="18">
        <f>INPUT!CZ227</f>
        <v>2.8883183568677806</v>
      </c>
      <c r="CP287" s="96">
        <f>INPUT!DA227</f>
        <v>164</v>
      </c>
      <c r="CQ287" s="18">
        <f>INPUT!DB227</f>
        <v>3.4700315457413256</v>
      </c>
      <c r="CR287" s="96">
        <f>INPUT!DC227</f>
        <v>181.4</v>
      </c>
      <c r="CS287" s="18">
        <f>INPUT!DD227</f>
        <v>14.375788146279955</v>
      </c>
      <c r="CT287" s="96">
        <f>INPUT!DE227</f>
        <v>159.80000000000001</v>
      </c>
      <c r="CU287" s="18">
        <f>INPUT!DF227</f>
        <v>-0.92994420334779893</v>
      </c>
      <c r="CV287" s="96">
        <f>INPUT!DG227</f>
        <v>164.6</v>
      </c>
      <c r="CW287" s="18">
        <f>INPUT!DH227</f>
        <v>2.682470368059886</v>
      </c>
      <c r="CX287" s="96">
        <f>INPUT!DI227</f>
        <v>168.3</v>
      </c>
      <c r="CY287" s="18">
        <f>INPUT!DJ227</f>
        <v>2.6219512195122086</v>
      </c>
      <c r="CZ287" s="96">
        <f>INPUT!DK227</f>
        <v>167.9</v>
      </c>
      <c r="DA287" s="18">
        <f>INPUT!DL227</f>
        <v>-7.442116868798232</v>
      </c>
      <c r="DB287" s="96">
        <f>INPUT!DM227</f>
        <v>170.4</v>
      </c>
      <c r="DC287" s="18">
        <f>INPUT!DN227</f>
        <v>6.6332916145181331</v>
      </c>
      <c r="DD287" s="96">
        <f>INPUT!DO227</f>
        <v>169.3</v>
      </c>
      <c r="DE287" s="18">
        <f>INPUT!DP227</f>
        <v>2.8554070473876259</v>
      </c>
      <c r="DF287" s="96">
        <f>INPUT!DQ227</f>
        <v>170.5</v>
      </c>
      <c r="DG287" s="18">
        <f>INPUT!DR227</f>
        <v>1.3071895424836555</v>
      </c>
      <c r="DH287" s="96">
        <f>INPUT!DS227</f>
        <v>172.8</v>
      </c>
      <c r="DI287" s="18">
        <f>INPUT!DT227</f>
        <v>2.9184038117927358</v>
      </c>
      <c r="DJ287" s="96">
        <f>INPUT!DU227</f>
        <v>178.9</v>
      </c>
      <c r="DK287" s="18">
        <f>INPUT!DV227</f>
        <v>4.9882629107981247</v>
      </c>
      <c r="DL287" s="96">
        <f>INPUT!DW227</f>
        <v>179.7</v>
      </c>
      <c r="DM287" s="18">
        <f>INPUT!DX227</f>
        <v>6.1429415239220075</v>
      </c>
      <c r="DN287" s="96">
        <f>INPUT!DY227</f>
        <v>182.6</v>
      </c>
      <c r="DO287" s="18">
        <f>INPUT!DZ227</f>
        <v>7.0967741935483941</v>
      </c>
      <c r="DP287" s="96">
        <f>INPUT!EA227</f>
        <v>185.2</v>
      </c>
      <c r="DQ287" s="18">
        <f>INPUT!EB227</f>
        <v>7.1759259259259078</v>
      </c>
      <c r="DR287" s="96">
        <f>INPUT!EC227</f>
        <v>190.2</v>
      </c>
      <c r="DS287" s="18">
        <f>INPUT!ED227</f>
        <v>6.3163778647288948</v>
      </c>
      <c r="DT287" s="96">
        <f>INPUT!EE227</f>
        <v>192.9</v>
      </c>
      <c r="DU287" s="18">
        <f>INPUT!EF227</f>
        <v>7.3455759599332371</v>
      </c>
      <c r="DV287" s="96">
        <f>INPUT!EG227</f>
        <v>196.1</v>
      </c>
      <c r="DW287" s="18">
        <f>INPUT!EH227</f>
        <v>7.3932092004381111</v>
      </c>
      <c r="DX287" s="96">
        <f>INPUT!EI227</f>
        <v>209.4</v>
      </c>
      <c r="DY287" s="18">
        <f>INPUT!EJ227</f>
        <v>13.066954643628526</v>
      </c>
      <c r="DZ287" s="96">
        <f>INPUT!EK227</f>
        <v>202.66584</v>
      </c>
      <c r="EA287" s="18">
        <f>INPUT!EL227</f>
        <v>6.5540694006309241</v>
      </c>
      <c r="EB287" s="96">
        <f>INPUT!EM227</f>
        <v>206.71915680000004</v>
      </c>
      <c r="EC287" s="18">
        <f>INPUT!EN227</f>
        <v>7.1638967340591053</v>
      </c>
      <c r="ED287" s="96">
        <f>INPUT!EO227</f>
        <v>210.85353993600003</v>
      </c>
      <c r="EE287" s="18">
        <f>INPUT!EP227</f>
        <v>7.5234777848036893</v>
      </c>
      <c r="EF287" s="96">
        <f>INPUT!EQ227</f>
        <v>215.07061073472005</v>
      </c>
      <c r="EG287" s="18">
        <f>INPUT!ER227</f>
        <v>2.7080280490544562</v>
      </c>
      <c r="EH287" s="18"/>
      <c r="EI287" s="96">
        <f>INPUT!FB227</f>
        <v>346.4</v>
      </c>
      <c r="EJ287" s="399" t="str">
        <f>INPUT!FC227</f>
        <v>NA</v>
      </c>
      <c r="EK287" s="96">
        <f>INPUT!FD227</f>
        <v>357.20000000000005</v>
      </c>
      <c r="EL287" s="399">
        <f>INPUT!FE227</f>
        <v>3.1177829099307441</v>
      </c>
      <c r="EM287" s="96">
        <f>INPUT!FF227</f>
        <v>395.4</v>
      </c>
      <c r="EN287" s="399">
        <f>INPUT!FG227</f>
        <v>10.694288913773775</v>
      </c>
      <c r="EO287" s="96">
        <f>INPUT!FH227</f>
        <v>408.29999999999995</v>
      </c>
      <c r="EP287" s="399">
        <f>INPUT!FI227</f>
        <v>3.2625189681335209</v>
      </c>
      <c r="EQ287" s="96">
        <f>INPUT!FJ227</f>
        <v>433.20000000000005</v>
      </c>
      <c r="ER287" s="18">
        <f>INPUT!FK227</f>
        <v>6.0984570168993724</v>
      </c>
      <c r="ES287" s="96">
        <f>INPUT!FL227</f>
        <v>441.4</v>
      </c>
      <c r="ET287" s="18">
        <f>INPUT!FM227</f>
        <v>1.8928901200369275</v>
      </c>
      <c r="EU287" s="96">
        <f>INPUT!FN227</f>
        <v>437.79999999999995</v>
      </c>
      <c r="EV287" s="18">
        <f>INPUT!FO227</f>
        <v>-0.81558676937019126</v>
      </c>
      <c r="EW287" s="96">
        <f>INPUT!FP227</f>
        <v>464</v>
      </c>
      <c r="EX287" s="18">
        <f>INPUT!FQ227</f>
        <v>5.9844677935130264</v>
      </c>
      <c r="EY287" s="96">
        <f>INPUT!FR227</f>
        <v>480.59999999999997</v>
      </c>
      <c r="EZ287" s="18">
        <f>INPUT!FS227</f>
        <v>3.5775862068965436</v>
      </c>
      <c r="FA287" s="96">
        <f>INPUT!FT227</f>
        <v>534.70000000000005</v>
      </c>
      <c r="FB287" s="18">
        <f>INPUT!FU227</f>
        <v>11.256762380357909</v>
      </c>
      <c r="FC287" s="96">
        <f>INPUT!FV227</f>
        <v>589.4</v>
      </c>
      <c r="FD287" s="18">
        <f>INPUT!FW227</f>
        <v>10.23003553394426</v>
      </c>
      <c r="FE287" s="96">
        <f>INPUT!FX227</f>
        <v>627.30000000000007</v>
      </c>
      <c r="FF287" s="18">
        <f>INPUT!FY227</f>
        <v>6.4302680692229552</v>
      </c>
      <c r="FG287" s="96">
        <f>INPUT!FZ227</f>
        <v>667</v>
      </c>
      <c r="FH287" s="18">
        <f>INPUT!GA227</f>
        <v>6.3287103459269689</v>
      </c>
      <c r="FI287" s="96">
        <f>INPUT!GB227</f>
        <v>660.6</v>
      </c>
      <c r="FJ287" s="18">
        <f>INPUT!GC227</f>
        <v>-0.95952023988005175</v>
      </c>
      <c r="FK287" s="96">
        <f>INPUT!GD227</f>
        <v>683</v>
      </c>
      <c r="FL287" s="18">
        <f>INPUT!GE227</f>
        <v>3.3908567968513381</v>
      </c>
      <c r="FM287" s="96">
        <f>INPUT!GF227</f>
        <v>726.40000000000009</v>
      </c>
      <c r="FN287" s="18">
        <f>INPUT!GG227</f>
        <v>6.354319180087864</v>
      </c>
      <c r="FO287" s="96">
        <f>INPUT!GH227</f>
        <v>788.6</v>
      </c>
      <c r="FP287" s="18">
        <f>INPUT!GI227</f>
        <v>8.562775330396466</v>
      </c>
      <c r="FQ287" s="96">
        <f>INPUT!GJ227</f>
        <v>835.30914747072018</v>
      </c>
      <c r="FR287" s="18">
        <f>INPUT!GK227</f>
        <v>5.9230468514735124</v>
      </c>
      <c r="FS287" s="96">
        <f>INPUT!GL227</f>
        <v>855.29231246021209</v>
      </c>
      <c r="FT287" s="18">
        <f>INPUT!GM227</f>
        <v>2.3923076923076936</v>
      </c>
      <c r="FU287" s="96">
        <f>INPUT!GN227</f>
        <v>872.39815870941629</v>
      </c>
      <c r="FV287" s="18">
        <f>INPUT!GO227</f>
        <v>2.0000000000000018</v>
      </c>
      <c r="FW287" s="96">
        <f>INPUT!GP227</f>
        <v>888.14143582635631</v>
      </c>
      <c r="FX287" s="18">
        <f>INPUT!GQ227</f>
        <v>1.8045977011494241</v>
      </c>
      <c r="FY287" s="96">
        <f>INPUT!GR227</f>
        <v>905.90426454288342</v>
      </c>
      <c r="FZ287" s="18">
        <f>INPUT!GS227</f>
        <v>2.0000000000000018</v>
      </c>
      <c r="GA287" s="399">
        <f>INPUT!GT227</f>
        <v>2.8123074505287171</v>
      </c>
    </row>
    <row r="288" spans="1:183" ht="12.75" hidden="1" customHeight="1" outlineLevel="1" x14ac:dyDescent="0.2">
      <c r="A288" s="612" t="str">
        <f>INPUT!B228</f>
        <v xml:space="preserve">Commissions </v>
      </c>
      <c r="B288" s="96">
        <f>INPUT!M228</f>
        <v>34.799999999999997</v>
      </c>
      <c r="C288" s="399">
        <f>INPUT!N228</f>
        <v>-3.6011080332410073</v>
      </c>
      <c r="D288" s="96">
        <f>INPUT!O228</f>
        <v>36.299999999999997</v>
      </c>
      <c r="E288" s="399">
        <f>INPUT!P228</f>
        <v>6.1403508771929571</v>
      </c>
      <c r="F288" s="96">
        <f>INPUT!Q228</f>
        <v>36.4</v>
      </c>
      <c r="G288" s="399">
        <f>INPUT!R228</f>
        <v>7.3746312684365822</v>
      </c>
      <c r="H288" s="96">
        <f>INPUT!S228</f>
        <v>36.4</v>
      </c>
      <c r="I288" s="399">
        <f>INPUT!T228</f>
        <v>15.555555555555545</v>
      </c>
      <c r="J288" s="96">
        <f>INPUT!U228</f>
        <v>40.4</v>
      </c>
      <c r="K288" s="399">
        <f>INPUT!V228</f>
        <v>16.09195402298851</v>
      </c>
      <c r="L288" s="96">
        <f>INPUT!W228</f>
        <v>41.2</v>
      </c>
      <c r="M288" s="399">
        <f>INPUT!X228</f>
        <v>13.498622589531696</v>
      </c>
      <c r="N288" s="96">
        <f>INPUT!Y228</f>
        <v>42.1</v>
      </c>
      <c r="O288" s="399">
        <f>INPUT!Z228</f>
        <v>15.659340659340671</v>
      </c>
      <c r="P288" s="96">
        <f>INPUT!AA228</f>
        <v>41.2</v>
      </c>
      <c r="Q288" s="399">
        <f>INPUT!AB228</f>
        <v>13.186813186813207</v>
      </c>
      <c r="R288" s="96">
        <f>INPUT!AC228</f>
        <v>44.3</v>
      </c>
      <c r="S288" s="399">
        <f>INPUT!AD228</f>
        <v>9.6534653465346398</v>
      </c>
      <c r="T288" s="96">
        <f>INPUT!AE228</f>
        <v>44.6</v>
      </c>
      <c r="U288" s="399">
        <f>INPUT!AF228</f>
        <v>8.2524271844660149</v>
      </c>
      <c r="V288" s="96">
        <f>INPUT!AG228</f>
        <v>43.2</v>
      </c>
      <c r="W288" s="399">
        <f>INPUT!AH228</f>
        <v>2.6128266033254244</v>
      </c>
      <c r="X288" s="96">
        <f>INPUT!AI228</f>
        <v>41.8</v>
      </c>
      <c r="Y288" s="399">
        <f>INPUT!AJ228</f>
        <v>1.4563106796116276</v>
      </c>
      <c r="Z288" s="96">
        <f>INPUT!AK228</f>
        <v>42.6</v>
      </c>
      <c r="AA288" s="399">
        <f>INPUT!AL228</f>
        <v>-3.8374717832956984</v>
      </c>
      <c r="AB288" s="96">
        <f>INPUT!AM228</f>
        <v>42.3</v>
      </c>
      <c r="AC288" s="399">
        <f>INPUT!AN228</f>
        <v>-5.1569506726457544</v>
      </c>
      <c r="AD288" s="96">
        <f>INPUT!AO228</f>
        <v>42.8</v>
      </c>
      <c r="AE288" s="399">
        <f>INPUT!AP228</f>
        <v>-0.92592592592594114</v>
      </c>
      <c r="AF288" s="96">
        <f>INPUT!AQ228</f>
        <v>43</v>
      </c>
      <c r="AG288" s="399">
        <f>INPUT!AR228</f>
        <v>2.8708133971292016</v>
      </c>
      <c r="AH288" s="96">
        <f>INPUT!AS228</f>
        <v>43.7</v>
      </c>
      <c r="AI288" s="399">
        <f>INPUT!AT228</f>
        <v>2.5821596244131495</v>
      </c>
      <c r="AJ288" s="96">
        <f>INPUT!AU228</f>
        <v>49.1</v>
      </c>
      <c r="AK288" s="399">
        <f>INPUT!AV228</f>
        <v>16.07565011820331</v>
      </c>
      <c r="AL288" s="96">
        <f>INPUT!AW228</f>
        <v>45</v>
      </c>
      <c r="AM288" s="399">
        <f>INPUT!AX228</f>
        <v>5.1401869158878677</v>
      </c>
      <c r="AN288" s="96">
        <f>INPUT!AY228</f>
        <v>47.1</v>
      </c>
      <c r="AO288" s="18">
        <f>INPUT!AZ228</f>
        <v>9.5348837209302317</v>
      </c>
      <c r="AP288" s="96">
        <f>INPUT!BA228</f>
        <v>49.4</v>
      </c>
      <c r="AQ288" s="18">
        <f>INPUT!BB228</f>
        <v>13.043478260869556</v>
      </c>
      <c r="AR288" s="96">
        <f>INPUT!BC228</f>
        <v>49.7</v>
      </c>
      <c r="AS288" s="18">
        <f>INPUT!BD228</f>
        <v>1.2219959266802416</v>
      </c>
      <c r="AT288" s="96">
        <f>INPUT!BE228</f>
        <v>50.7</v>
      </c>
      <c r="AU288" s="18">
        <f>INPUT!BF228</f>
        <v>12.666666666666671</v>
      </c>
      <c r="AV288" s="96">
        <f>INPUT!BG228</f>
        <v>51.8</v>
      </c>
      <c r="AW288" s="18">
        <f>INPUT!BH228</f>
        <v>9.9787685774946908</v>
      </c>
      <c r="AX288" s="96">
        <f>INPUT!BI228</f>
        <v>53.1</v>
      </c>
      <c r="AY288" s="18">
        <f>INPUT!BJ228</f>
        <v>7.4898785425101311</v>
      </c>
      <c r="AZ288" s="96">
        <f>INPUT!BK228</f>
        <v>53.4</v>
      </c>
      <c r="BA288" s="18">
        <f>INPUT!BL228</f>
        <v>7.444668008048283</v>
      </c>
      <c r="BB288" s="96">
        <f>INPUT!BM228</f>
        <v>52.6</v>
      </c>
      <c r="BC288" s="18">
        <f>INPUT!BN228</f>
        <v>3.7475345167652829</v>
      </c>
      <c r="BD288" s="96">
        <f>INPUT!BO228</f>
        <v>52.7</v>
      </c>
      <c r="BE288" s="18">
        <f>INPUT!BP228</f>
        <v>1.7374517374517451</v>
      </c>
      <c r="BF288" s="96">
        <f>INPUT!BQ228</f>
        <v>54.3</v>
      </c>
      <c r="BG288" s="18">
        <f>INPUT!BR228</f>
        <v>2.2598870056497189</v>
      </c>
      <c r="BH288" s="96">
        <f>INPUT!BS228</f>
        <v>53.1</v>
      </c>
      <c r="BI288" s="18">
        <f>INPUT!BT228</f>
        <v>-0.56179775280897903</v>
      </c>
      <c r="BJ288" s="96">
        <f>INPUT!BU228</f>
        <v>53.4</v>
      </c>
      <c r="BK288" s="18">
        <f>INPUT!BV228</f>
        <v>1.5209125475285079</v>
      </c>
      <c r="BL288" s="96">
        <f>INPUT!BW228</f>
        <v>54.5</v>
      </c>
      <c r="BM288" s="18">
        <f>INPUT!BX228</f>
        <v>3.4155597722960174</v>
      </c>
      <c r="BN288" s="96">
        <f>INPUT!BY228</f>
        <v>57.7</v>
      </c>
      <c r="BO288" s="18">
        <f>INPUT!BZ228</f>
        <v>6.26151012891345</v>
      </c>
      <c r="BP288" s="96">
        <f>INPUT!CA228</f>
        <v>54.5</v>
      </c>
      <c r="BQ288" s="18">
        <f>INPUT!CB228</f>
        <v>2.6365348399246757</v>
      </c>
      <c r="BR288" s="96">
        <f>INPUT!CC228</f>
        <v>59.5</v>
      </c>
      <c r="BS288" s="18">
        <f>INPUT!CD228</f>
        <v>11.423220973782765</v>
      </c>
      <c r="BT288" s="96">
        <f>INPUT!CE228</f>
        <v>60.9</v>
      </c>
      <c r="BU288" s="18">
        <f>INPUT!CF228</f>
        <v>11.743119266055047</v>
      </c>
      <c r="BV288" s="96">
        <f>INPUT!CG228</f>
        <v>61.2</v>
      </c>
      <c r="BW288" s="18">
        <f>INPUT!CH228</f>
        <v>6.0658578856152445</v>
      </c>
      <c r="BX288" s="96">
        <f>INPUT!CI228</f>
        <v>60.5</v>
      </c>
      <c r="BY288" s="18">
        <f>INPUT!CJ228</f>
        <v>11.009174311926607</v>
      </c>
      <c r="BZ288" s="96">
        <f>INPUT!CK228</f>
        <v>61.8</v>
      </c>
      <c r="CA288" s="18">
        <f>INPUT!CL228</f>
        <v>3.8655462184873812</v>
      </c>
      <c r="CB288" s="96">
        <f>INPUT!CM228</f>
        <v>62.4</v>
      </c>
      <c r="CC288" s="18">
        <f>INPUT!CN228</f>
        <v>2.4630541871921263</v>
      </c>
      <c r="CD288" s="96">
        <f>INPUT!CO228</f>
        <v>63.9</v>
      </c>
      <c r="CE288" s="18">
        <f>INPUT!CP228</f>
        <v>4.4117647058823373</v>
      </c>
      <c r="CF288" s="96">
        <f>INPUT!CQ228</f>
        <v>63.3</v>
      </c>
      <c r="CG288" s="18">
        <f>INPUT!CR228</f>
        <v>4.6280991735537125</v>
      </c>
      <c r="CH288" s="96">
        <f>INPUT!CS228</f>
        <v>64</v>
      </c>
      <c r="CI288" s="18">
        <f>INPUT!CT228</f>
        <v>3.5598705501618255</v>
      </c>
      <c r="CJ288" s="96">
        <f>INPUT!CU228</f>
        <v>63.3</v>
      </c>
      <c r="CK288" s="18">
        <f>INPUT!CV228</f>
        <v>1.4423076923076872</v>
      </c>
      <c r="CL288" s="96">
        <f>INPUT!CW228</f>
        <v>64</v>
      </c>
      <c r="CM288" s="18">
        <f>INPUT!CX228</f>
        <v>0.15649452269170805</v>
      </c>
      <c r="CN288" s="96">
        <f>INPUT!CY228</f>
        <v>62.5</v>
      </c>
      <c r="CO288" s="18">
        <f>INPUT!CZ228</f>
        <v>-1.2638230647709303</v>
      </c>
      <c r="CP288" s="96">
        <f>INPUT!DA228</f>
        <v>61.9</v>
      </c>
      <c r="CQ288" s="18">
        <f>INPUT!DB228</f>
        <v>-3.2812500000000022</v>
      </c>
      <c r="CR288" s="96">
        <f>INPUT!DC228</f>
        <v>64.099999999999994</v>
      </c>
      <c r="CS288" s="18">
        <f>INPUT!DD228</f>
        <v>1.2638230647709303</v>
      </c>
      <c r="CT288" s="96">
        <f>INPUT!DE228</f>
        <v>63.5</v>
      </c>
      <c r="CU288" s="18">
        <f>INPUT!DF228</f>
        <v>-0.78125</v>
      </c>
      <c r="CV288" s="96">
        <f>INPUT!DG228</f>
        <v>63.5</v>
      </c>
      <c r="CW288" s="18">
        <f>INPUT!DH228</f>
        <v>1.6000000000000014</v>
      </c>
      <c r="CX288" s="96">
        <f>INPUT!DI228</f>
        <v>64.599999999999994</v>
      </c>
      <c r="CY288" s="18">
        <f>INPUT!DJ228</f>
        <v>4.3618739903069415</v>
      </c>
      <c r="CZ288" s="96">
        <f>INPUT!DK228</f>
        <v>70.7</v>
      </c>
      <c r="DA288" s="18">
        <f>INPUT!DL228</f>
        <v>10.296411856474275</v>
      </c>
      <c r="DB288" s="96">
        <f>INPUT!DM228</f>
        <v>73.400000000000006</v>
      </c>
      <c r="DC288" s="18">
        <f>INPUT!DN228</f>
        <v>15.590551181102374</v>
      </c>
      <c r="DD288" s="96">
        <f>INPUT!DO228</f>
        <v>71.7</v>
      </c>
      <c r="DE288" s="18">
        <f>INPUT!DP228</f>
        <v>12.913385826771663</v>
      </c>
      <c r="DF288" s="96">
        <f>INPUT!DQ228</f>
        <v>72.7</v>
      </c>
      <c r="DG288" s="18">
        <f>INPUT!DR228</f>
        <v>12.538699690402488</v>
      </c>
      <c r="DH288" s="96">
        <f>INPUT!DS228</f>
        <v>75.7</v>
      </c>
      <c r="DI288" s="18">
        <f>INPUT!DT228</f>
        <v>7.0721357850070721</v>
      </c>
      <c r="DJ288" s="96">
        <f>INPUT!DU228</f>
        <v>77.8</v>
      </c>
      <c r="DK288" s="18">
        <f>INPUT!DV228</f>
        <v>5.9945504087193235</v>
      </c>
      <c r="DL288" s="96">
        <f>INPUT!DW228</f>
        <v>76.8</v>
      </c>
      <c r="DM288" s="18">
        <f>INPUT!DX228</f>
        <v>7.1129707112970619</v>
      </c>
      <c r="DN288" s="96">
        <f>INPUT!DY228</f>
        <v>78.7</v>
      </c>
      <c r="DO288" s="18">
        <f>INPUT!DZ228</f>
        <v>8.253094910591475</v>
      </c>
      <c r="DP288" s="96">
        <f>INPUT!EA228</f>
        <v>80.3</v>
      </c>
      <c r="DQ288" s="18">
        <f>INPUT!EB228</f>
        <v>6.07661822985468</v>
      </c>
      <c r="DR288" s="96">
        <f>INPUT!EC228</f>
        <v>85.2</v>
      </c>
      <c r="DS288" s="18">
        <f>INPUT!ED228</f>
        <v>9.5115681233933316</v>
      </c>
      <c r="DT288" s="96">
        <f>INPUT!EE228</f>
        <v>85.2</v>
      </c>
      <c r="DU288" s="18">
        <f>INPUT!EF228</f>
        <v>10.9375</v>
      </c>
      <c r="DV288" s="96">
        <f>INPUT!EG228</f>
        <v>86.4</v>
      </c>
      <c r="DW288" s="18">
        <f>INPUT!EH228</f>
        <v>9.783989834815765</v>
      </c>
      <c r="DX288" s="96">
        <f>INPUT!EI228</f>
        <v>87.7</v>
      </c>
      <c r="DY288" s="18">
        <f>INPUT!EJ228</f>
        <v>9.2154420921544364</v>
      </c>
      <c r="DZ288" s="96">
        <f>INPUT!EK228</f>
        <v>89.453999999999994</v>
      </c>
      <c r="EA288" s="18">
        <f>INPUT!EL228</f>
        <v>4.9929577464788544</v>
      </c>
      <c r="EB288" s="96">
        <f>INPUT!EM228</f>
        <v>91.243080000000006</v>
      </c>
      <c r="EC288" s="18">
        <f>INPUT!EN228</f>
        <v>7.0928169014084608</v>
      </c>
      <c r="ED288" s="96">
        <f>INPUT!EO228</f>
        <v>93.067941600000012</v>
      </c>
      <c r="EE288" s="18">
        <f>INPUT!EP228</f>
        <v>7.7175250000000029</v>
      </c>
      <c r="EF288" s="96">
        <f>INPUT!EQ228</f>
        <v>94.929300432000019</v>
      </c>
      <c r="EG288" s="18">
        <f>INPUT!ER228</f>
        <v>8.2432160000000199</v>
      </c>
      <c r="EH288" s="18"/>
      <c r="EI288" s="96">
        <f>INPUT!FB228</f>
        <v>135.70000000000002</v>
      </c>
      <c r="EJ288" s="399" t="str">
        <f>INPUT!FC228</f>
        <v>NA</v>
      </c>
      <c r="EK288" s="96">
        <f>INPUT!FD228</f>
        <v>143.89999999999998</v>
      </c>
      <c r="EL288" s="399">
        <f>INPUT!FE228</f>
        <v>6.0427413411937803</v>
      </c>
      <c r="EM288" s="96">
        <f>INPUT!FF228</f>
        <v>164.9</v>
      </c>
      <c r="EN288" s="399">
        <f>INPUT!FG228</f>
        <v>14.593467685893003</v>
      </c>
      <c r="EO288" s="96">
        <f>INPUT!FH228</f>
        <v>173.89999999999998</v>
      </c>
      <c r="EP288" s="399">
        <f>INPUT!FI228</f>
        <v>5.4578532443905203</v>
      </c>
      <c r="EQ288" s="96">
        <f>INPUT!FJ228</f>
        <v>170.7</v>
      </c>
      <c r="ER288" s="18">
        <f>INPUT!FK228</f>
        <v>-1.840138010350767</v>
      </c>
      <c r="ES288" s="96">
        <f>INPUT!FL228</f>
        <v>184.9</v>
      </c>
      <c r="ET288" s="18">
        <f>INPUT!FM228</f>
        <v>8.3186877562976047</v>
      </c>
      <c r="EU288" s="96">
        <f>INPUT!FN228</f>
        <v>201.60000000000002</v>
      </c>
      <c r="EV288" s="18">
        <f>INPUT!FO228</f>
        <v>9.0319091400757223</v>
      </c>
      <c r="EW288" s="96">
        <f>INPUT!FP228</f>
        <v>211.8</v>
      </c>
      <c r="EX288" s="18">
        <f>INPUT!FQ228</f>
        <v>5.0595238095238138</v>
      </c>
      <c r="EY288" s="96">
        <f>INPUT!FR228</f>
        <v>215.3</v>
      </c>
      <c r="EZ288" s="18">
        <f>INPUT!FS228</f>
        <v>1.6525023607176559</v>
      </c>
      <c r="FA288" s="96">
        <f>INPUT!FT228</f>
        <v>232.6</v>
      </c>
      <c r="FB288" s="18">
        <f>INPUT!FU228</f>
        <v>8.0352995819786166</v>
      </c>
      <c r="FC288" s="96">
        <f>INPUT!FV228</f>
        <v>245.9</v>
      </c>
      <c r="FD288" s="18">
        <f>INPUT!FW228</f>
        <v>5.7179707652622591</v>
      </c>
      <c r="FE288" s="96">
        <f>INPUT!FX228</f>
        <v>254.5</v>
      </c>
      <c r="FF288" s="18">
        <f>INPUT!FY228</f>
        <v>3.4973566490443142</v>
      </c>
      <c r="FG288" s="96">
        <f>INPUT!FZ228</f>
        <v>252.5</v>
      </c>
      <c r="FH288" s="18">
        <f>INPUT!GA228</f>
        <v>-0.78585461689587577</v>
      </c>
      <c r="FI288" s="96">
        <f>INPUT!GB228</f>
        <v>262.3</v>
      </c>
      <c r="FJ288" s="18">
        <f>INPUT!GC228</f>
        <v>3.8811881188118846</v>
      </c>
      <c r="FK288" s="96">
        <f>INPUT!GD228</f>
        <v>293.5</v>
      </c>
      <c r="FL288" s="18">
        <f>INPUT!GE228</f>
        <v>11.894776972931753</v>
      </c>
      <c r="FM288" s="96">
        <f>INPUT!GF228</f>
        <v>313.60000000000002</v>
      </c>
      <c r="FN288" s="18">
        <f>INPUT!GG228</f>
        <v>6.848381601362874</v>
      </c>
      <c r="FO288" s="96">
        <f>INPUT!GH228</f>
        <v>344.5</v>
      </c>
      <c r="FP288" s="18">
        <f>INPUT!GI228</f>
        <v>9.8533163265306136</v>
      </c>
      <c r="FQ288" s="96">
        <f>INPUT!GJ228</f>
        <v>368.69432203200006</v>
      </c>
      <c r="FR288" s="18">
        <f>INPUT!GK228</f>
        <v>7.023025263280136</v>
      </c>
      <c r="FS288" s="96">
        <f>INPUT!GL228</f>
        <v>376.06820847264004</v>
      </c>
      <c r="FT288" s="18">
        <f>INPUT!GM228</f>
        <v>2.0000000000000018</v>
      </c>
      <c r="FU288" s="96">
        <f>INPUT!GN228</f>
        <v>383.58957264209289</v>
      </c>
      <c r="FV288" s="18">
        <f>INPUT!GO228</f>
        <v>2.000000000000024</v>
      </c>
      <c r="FW288" s="96">
        <f>INPUT!GP228</f>
        <v>391.26136409493478</v>
      </c>
      <c r="FX288" s="18">
        <f>INPUT!GQ228</f>
        <v>2.0000000000000018</v>
      </c>
      <c r="FY288" s="96">
        <f>INPUT!GR228</f>
        <v>399.08659137683338</v>
      </c>
      <c r="FZ288" s="18">
        <f>INPUT!GS228</f>
        <v>1.9999999999999796</v>
      </c>
      <c r="GA288" s="399">
        <f>INPUT!GT228</f>
        <v>2.9853814786358512</v>
      </c>
    </row>
    <row r="289" spans="1:183" ht="12.75" hidden="1" customHeight="1" outlineLevel="1" x14ac:dyDescent="0.2">
      <c r="A289" s="612" t="str">
        <f>INPUT!B229</f>
        <v>Net Change in DPAC</v>
      </c>
      <c r="B289" s="96">
        <f>INPUT!M229</f>
        <v>-8.8000000000000007</v>
      </c>
      <c r="C289" s="399">
        <f>INPUT!N229</f>
        <v>-5.3763440860215006</v>
      </c>
      <c r="D289" s="96">
        <f>INPUT!O229</f>
        <v>-10.4</v>
      </c>
      <c r="E289" s="399">
        <f>INPUT!P229</f>
        <v>0.97087378640776656</v>
      </c>
      <c r="F289" s="96">
        <f>INPUT!Q229</f>
        <v>-10.199999999999999</v>
      </c>
      <c r="G289" s="399">
        <f>INPUT!R229</f>
        <v>39.726027397260275</v>
      </c>
      <c r="H289" s="96">
        <f>INPUT!S229</f>
        <v>-11.3</v>
      </c>
      <c r="I289" s="399">
        <f>INPUT!T229</f>
        <v>41.250000000000007</v>
      </c>
      <c r="J289" s="96">
        <f>INPUT!U229</f>
        <v>-12.1</v>
      </c>
      <c r="K289" s="399">
        <f>INPUT!V229</f>
        <v>37.499999999999979</v>
      </c>
      <c r="L289" s="96">
        <f>INPUT!W229</f>
        <v>-12.6</v>
      </c>
      <c r="M289" s="399">
        <f>INPUT!X229</f>
        <v>21.153846153846146</v>
      </c>
      <c r="N289" s="96">
        <f>INPUT!Y229</f>
        <v>-12.3</v>
      </c>
      <c r="O289" s="399">
        <f>INPUT!Z229</f>
        <v>20.588235294117663</v>
      </c>
      <c r="P289" s="96">
        <f>INPUT!AA229</f>
        <v>-10.8</v>
      </c>
      <c r="Q289" s="399">
        <f>INPUT!AB229</f>
        <v>-4.4247787610619422</v>
      </c>
      <c r="R289" s="96">
        <f>INPUT!AC229</f>
        <v>-12.2</v>
      </c>
      <c r="S289" s="399">
        <f>INPUT!AD229</f>
        <v>0.82644628099173278</v>
      </c>
      <c r="T289" s="96">
        <f>INPUT!AE229</f>
        <v>-12</v>
      </c>
      <c r="U289" s="399">
        <f>INPUT!AF229</f>
        <v>-4.7619047619047556</v>
      </c>
      <c r="V289" s="96">
        <f>INPUT!AG229</f>
        <v>-10.899999999999999</v>
      </c>
      <c r="W289" s="399">
        <f>INPUT!AH229</f>
        <v>-11.38211382113823</v>
      </c>
      <c r="X289" s="96">
        <f>INPUT!AI229</f>
        <v>-7.3999999999999986</v>
      </c>
      <c r="Y289" s="399">
        <f>INPUT!AJ229</f>
        <v>-31.481481481481499</v>
      </c>
      <c r="Z289" s="96">
        <f>INPUT!AK229</f>
        <v>-10.899999999999999</v>
      </c>
      <c r="AA289" s="399">
        <f>INPUT!AL229</f>
        <v>-10.655737704918044</v>
      </c>
      <c r="AB289" s="96">
        <f>INPUT!AM229</f>
        <v>-9.8999999999999986</v>
      </c>
      <c r="AC289" s="399">
        <f>INPUT!AN229</f>
        <v>-17.500000000000014</v>
      </c>
      <c r="AD289" s="96">
        <f>INPUT!AO229</f>
        <v>-10.099999999999998</v>
      </c>
      <c r="AE289" s="399">
        <f>INPUT!AP229</f>
        <v>-7.3394495412844147</v>
      </c>
      <c r="AF289" s="96">
        <f>INPUT!AQ229</f>
        <v>-7.7999999999999972</v>
      </c>
      <c r="AG289" s="399">
        <f>INPUT!AR229</f>
        <v>5.4054054054053946</v>
      </c>
      <c r="AH289" s="96">
        <f>INPUT!AS229</f>
        <v>-10.600000000000001</v>
      </c>
      <c r="AI289" s="399">
        <f>INPUT!AT229</f>
        <v>-2.7522935779816238</v>
      </c>
      <c r="AJ289" s="96">
        <f>INPUT!AU229</f>
        <v>-11.200000000000003</v>
      </c>
      <c r="AK289" s="399">
        <f>INPUT!AV229</f>
        <v>13.131313131313171</v>
      </c>
      <c r="AL289" s="96">
        <f>INPUT!AW229</f>
        <v>-10.499999999999996</v>
      </c>
      <c r="AM289" s="399">
        <f>INPUT!AX229</f>
        <v>3.9603960396039417</v>
      </c>
      <c r="AN289" s="96">
        <f>INPUT!AY229</f>
        <v>-10.3</v>
      </c>
      <c r="AO289" s="18">
        <f>INPUT!AZ229</f>
        <v>32.051282051282115</v>
      </c>
      <c r="AP289" s="96">
        <f>INPUT!BA229</f>
        <v>-14</v>
      </c>
      <c r="AQ289" s="18">
        <f>INPUT!BB229</f>
        <v>32.075471698113198</v>
      </c>
      <c r="AR289" s="96">
        <f>INPUT!BC229</f>
        <v>-13.800000000000004</v>
      </c>
      <c r="AS289" s="18">
        <f>INPUT!BD229</f>
        <v>23.214285714285722</v>
      </c>
      <c r="AT289" s="96">
        <f>INPUT!BE229</f>
        <v>-14.399999999999999</v>
      </c>
      <c r="AU289" s="18">
        <f>INPUT!BF229</f>
        <v>37.142857142857167</v>
      </c>
      <c r="AV289" s="96">
        <f>INPUT!BG229</f>
        <v>-14.799999999999997</v>
      </c>
      <c r="AW289" s="18">
        <f>INPUT!BH229</f>
        <v>43.689320388349472</v>
      </c>
      <c r="AX289" s="96">
        <f>INPUT!BI229</f>
        <v>-15</v>
      </c>
      <c r="AY289" s="18">
        <f>INPUT!BJ229</f>
        <v>7.1428571428571397</v>
      </c>
      <c r="AZ289" s="96">
        <f>INPUT!BK229</f>
        <v>-16</v>
      </c>
      <c r="BA289" s="18">
        <f>INPUT!BL229</f>
        <v>15.942028985507207</v>
      </c>
      <c r="BB289" s="96">
        <f>INPUT!BM229</f>
        <v>-12.800000000000004</v>
      </c>
      <c r="BC289" s="18">
        <f>INPUT!BN229</f>
        <v>-11.111111111111072</v>
      </c>
      <c r="BD289" s="96">
        <f>INPUT!BO229</f>
        <v>-13.600000000000001</v>
      </c>
      <c r="BE289" s="18">
        <f>INPUT!BP229</f>
        <v>-8.1081081081080804</v>
      </c>
      <c r="BF289" s="96">
        <f>INPUT!BQ229</f>
        <v>-11.399999999999999</v>
      </c>
      <c r="BG289" s="18">
        <f>INPUT!BR229</f>
        <v>-24.000000000000011</v>
      </c>
      <c r="BH289" s="96">
        <f>INPUT!BS229</f>
        <v>-12.800000000000004</v>
      </c>
      <c r="BI289" s="18">
        <f>INPUT!BT229</f>
        <v>-19.999999999999972</v>
      </c>
      <c r="BJ289" s="96">
        <f>INPUT!BU229</f>
        <v>-12.800000000000004</v>
      </c>
      <c r="BK289" s="18">
        <f>INPUT!BV229</f>
        <v>0</v>
      </c>
      <c r="BL289" s="96">
        <f>INPUT!BW229</f>
        <v>-13.5</v>
      </c>
      <c r="BM289" s="18">
        <f>INPUT!BX229</f>
        <v>-0.73529411764706731</v>
      </c>
      <c r="BN289" s="96">
        <f>INPUT!BY229</f>
        <v>-9.7999999999999972</v>
      </c>
      <c r="BO289" s="18">
        <f>INPUT!BZ229</f>
        <v>-14.035087719298255</v>
      </c>
      <c r="BP289" s="96">
        <f>INPUT!CA229</f>
        <v>-9.7999999999999972</v>
      </c>
      <c r="BQ289" s="18">
        <f>INPUT!CB229</f>
        <v>-23.437500000000043</v>
      </c>
      <c r="BR289" s="96">
        <f>INPUT!CC229</f>
        <v>-15.5</v>
      </c>
      <c r="BS289" s="18">
        <f>INPUT!CD229</f>
        <v>21.093749999999957</v>
      </c>
      <c r="BT289" s="96">
        <f>INPUT!CE229</f>
        <v>-11.599999999999994</v>
      </c>
      <c r="BU289" s="18">
        <f>INPUT!CF229</f>
        <v>-14.074074074074117</v>
      </c>
      <c r="BV289" s="96">
        <f>INPUT!CG229</f>
        <v>-13.199999999999996</v>
      </c>
      <c r="BW289" s="18">
        <f>INPUT!CH229</f>
        <v>34.6938775510204</v>
      </c>
      <c r="BX289" s="96">
        <f>INPUT!CI229</f>
        <v>-13.099999999999994</v>
      </c>
      <c r="BY289" s="18">
        <f>INPUT!CJ229</f>
        <v>33.673469387755084</v>
      </c>
      <c r="BZ289" s="96">
        <f>INPUT!CK229</f>
        <v>-14.899999999999999</v>
      </c>
      <c r="CA289" s="18">
        <f>INPUT!CL229</f>
        <v>-3.8709677419354938</v>
      </c>
      <c r="CB289" s="96">
        <f>INPUT!CM229</f>
        <v>-10.699999999999996</v>
      </c>
      <c r="CC289" s="18">
        <f>INPUT!CN229</f>
        <v>-7.7586206896551602</v>
      </c>
      <c r="CD289" s="96">
        <f>INPUT!CO229</f>
        <v>-10</v>
      </c>
      <c r="CE289" s="18">
        <f>INPUT!CP229</f>
        <v>-24.242424242424221</v>
      </c>
      <c r="CF289" s="96">
        <f>INPUT!CQ229</f>
        <v>-9.5</v>
      </c>
      <c r="CG289" s="18">
        <f>INPUT!CR229</f>
        <v>-27.480916030534321</v>
      </c>
      <c r="CH289" s="96">
        <f>INPUT!CS229</f>
        <v>-10.700000000000003</v>
      </c>
      <c r="CI289" s="18">
        <f>INPUT!CT229</f>
        <v>-28.187919463087219</v>
      </c>
      <c r="CJ289" s="96">
        <f>INPUT!CU229</f>
        <v>-9.6000000000000014</v>
      </c>
      <c r="CK289" s="18">
        <f>INPUT!CV229</f>
        <v>-10.280373831775647</v>
      </c>
      <c r="CL289" s="96">
        <f>INPUT!CW229</f>
        <v>-8.8999999999999986</v>
      </c>
      <c r="CM289" s="18">
        <f>INPUT!CX229</f>
        <v>-11.000000000000011</v>
      </c>
      <c r="CN289" s="96">
        <f>INPUT!CY229</f>
        <v>-7.7000000000000028</v>
      </c>
      <c r="CO289" s="18">
        <f>INPUT!CZ229</f>
        <v>-18.947368421052602</v>
      </c>
      <c r="CP289" s="96">
        <f>INPUT!DA229</f>
        <v>-4.8000000000000043</v>
      </c>
      <c r="CQ289" s="18" t="str">
        <f>INPUT!DB229</f>
        <v>NM</v>
      </c>
      <c r="CR289" s="96">
        <f>INPUT!DC229</f>
        <v>-9.3999999999999986</v>
      </c>
      <c r="CS289" s="18">
        <f>INPUT!DD229</f>
        <v>-2.0833333333333592</v>
      </c>
      <c r="CT289" s="96">
        <f>INPUT!DE229</f>
        <v>-8</v>
      </c>
      <c r="CU289" s="18">
        <f>INPUT!DF229</f>
        <v>-10.112359550561777</v>
      </c>
      <c r="CV289" s="96">
        <f>INPUT!DG229</f>
        <v>-8.9000000000000057</v>
      </c>
      <c r="CW289" s="18">
        <f>INPUT!DH229</f>
        <v>15.584415584415613</v>
      </c>
      <c r="CX289" s="96">
        <f>INPUT!DI229</f>
        <v>-8.0999999999999943</v>
      </c>
      <c r="CY289" s="18">
        <f>INPUT!DJ229</f>
        <v>68.74999999999973</v>
      </c>
      <c r="CZ289" s="96">
        <f>INPUT!DK229</f>
        <v>-15.599999999999994</v>
      </c>
      <c r="DA289" s="18">
        <f>INPUT!DL229</f>
        <v>65.95744680851061</v>
      </c>
      <c r="DB289" s="96">
        <f>INPUT!DM229</f>
        <v>-14.799999999999997</v>
      </c>
      <c r="DC289" s="18">
        <f>INPUT!DN229</f>
        <v>84.999999999999972</v>
      </c>
      <c r="DD289" s="96">
        <f>INPUT!DO229</f>
        <v>-8.3000000000000043</v>
      </c>
      <c r="DE289" s="18">
        <f>INPUT!DP229</f>
        <v>-6.7415730337078816</v>
      </c>
      <c r="DF289" s="96">
        <f>INPUT!DQ229</f>
        <v>-13.900000000000006</v>
      </c>
      <c r="DG289" s="18">
        <f>INPUT!DR229</f>
        <v>71.604938271605121</v>
      </c>
      <c r="DH289" s="96">
        <f>INPUT!DS229</f>
        <v>-17.099999999999994</v>
      </c>
      <c r="DI289" s="18">
        <f>INPUT!DT229</f>
        <v>9.6153846153846256</v>
      </c>
      <c r="DJ289" s="96">
        <f>INPUT!DU229</f>
        <v>-14.599999999999994</v>
      </c>
      <c r="DK289" s="18">
        <f>INPUT!DV229</f>
        <v>-1.3513513513513709</v>
      </c>
      <c r="DL289" s="96">
        <f>INPUT!DW229</f>
        <v>-13.399999999999999</v>
      </c>
      <c r="DM289" s="18">
        <f>INPUT!DX229</f>
        <v>61.445783132530018</v>
      </c>
      <c r="DN289" s="96">
        <f>INPUT!DY229</f>
        <v>-17.299999999999997</v>
      </c>
      <c r="DO289" s="18">
        <f>INPUT!DZ229</f>
        <v>24.460431654676196</v>
      </c>
      <c r="DP289" s="96">
        <f>INPUT!EA229</f>
        <v>-16.700000000000003</v>
      </c>
      <c r="DQ289" s="18">
        <f>INPUT!EB229</f>
        <v>-2.3391812865496631</v>
      </c>
      <c r="DR289" s="96">
        <f>INPUT!EC229</f>
        <v>-17.200000000000003</v>
      </c>
      <c r="DS289" s="18">
        <f>INPUT!ED229</f>
        <v>17.808219178082261</v>
      </c>
      <c r="DT289" s="96">
        <f>INPUT!EE229</f>
        <v>-16.300000000000004</v>
      </c>
      <c r="DU289" s="18">
        <f>INPUT!EF229</f>
        <v>21.64179104477617</v>
      </c>
      <c r="DV289" s="96">
        <f>INPUT!EG229</f>
        <v>-18.799999999999997</v>
      </c>
      <c r="DW289" s="18">
        <f>INPUT!EH229</f>
        <v>8.6705202312138852</v>
      </c>
      <c r="DX289" s="96">
        <f>INPUT!EI229</f>
        <v>-18.799999999999997</v>
      </c>
      <c r="DY289" s="18">
        <f>INPUT!EJ229</f>
        <v>12.574850299401152</v>
      </c>
      <c r="DZ289" s="96">
        <f>INPUT!EK229</f>
        <v>-18.799999999999997</v>
      </c>
      <c r="EA289" s="18">
        <f>INPUT!EL229</f>
        <v>9.302325581395321</v>
      </c>
      <c r="EB289" s="96">
        <f>INPUT!EM229</f>
        <v>-18.799999999999997</v>
      </c>
      <c r="EC289" s="18">
        <f>INPUT!EN229</f>
        <v>15.337423312883391</v>
      </c>
      <c r="ED289" s="96">
        <f>INPUT!EO229</f>
        <v>-18.799999999999997</v>
      </c>
      <c r="EE289" s="18">
        <f>INPUT!EP229</f>
        <v>0</v>
      </c>
      <c r="EF289" s="96">
        <f>INPUT!EQ229</f>
        <v>-18.799999999999997</v>
      </c>
      <c r="EG289" s="18">
        <f>INPUT!ER229</f>
        <v>0</v>
      </c>
      <c r="EH289" s="18"/>
      <c r="EI289" s="96">
        <f>INPUT!FB229</f>
        <v>-34.9</v>
      </c>
      <c r="EJ289" s="399" t="str">
        <f>INPUT!FC229</f>
        <v>NA</v>
      </c>
      <c r="EK289" s="96">
        <f>INPUT!FD229</f>
        <v>-40.700000000000003</v>
      </c>
      <c r="EL289" s="399">
        <f>INPUT!FE229</f>
        <v>16.618911174785111</v>
      </c>
      <c r="EM289" s="96">
        <f>INPUT!FF229</f>
        <v>-47.800000000000004</v>
      </c>
      <c r="EN289" s="399">
        <f>INPUT!FG229</f>
        <v>17.444717444717451</v>
      </c>
      <c r="EO289" s="96">
        <f>INPUT!FH229</f>
        <v>-42.5</v>
      </c>
      <c r="EP289" s="399">
        <f>INPUT!FI229</f>
        <v>-11.087866108786615</v>
      </c>
      <c r="EQ289" s="96">
        <f>INPUT!FJ229</f>
        <v>-38.699999999999989</v>
      </c>
      <c r="ER289" s="18">
        <f>INPUT!FK229</f>
        <v>-8.9411764705882639</v>
      </c>
      <c r="ES289" s="96">
        <f>INPUT!FL229</f>
        <v>-42.599999999999994</v>
      </c>
      <c r="ET289" s="18">
        <f>INPUT!FM229</f>
        <v>10.077519379844979</v>
      </c>
      <c r="EU289" s="96">
        <f>INPUT!FN229</f>
        <v>-57</v>
      </c>
      <c r="EV289" s="18">
        <f>INPUT!FO229</f>
        <v>33.80281690140847</v>
      </c>
      <c r="EW289" s="96">
        <f>INPUT!FP229</f>
        <v>-57.400000000000006</v>
      </c>
      <c r="EX289" s="18">
        <f>INPUT!FQ229</f>
        <v>0.70175438596491446</v>
      </c>
      <c r="EY289" s="96">
        <f>INPUT!FR229</f>
        <v>-38.700000000000017</v>
      </c>
      <c r="EZ289" s="18">
        <f>INPUT!FS229</f>
        <v>-32.578397212543528</v>
      </c>
      <c r="FA289" s="96">
        <f>INPUT!FT229</f>
        <v>-46.699999999999989</v>
      </c>
      <c r="FB289" s="18">
        <f>INPUT!FU229</f>
        <v>20.671834625322916</v>
      </c>
      <c r="FC289" s="96">
        <f>INPUT!FV229</f>
        <v>-51.899999999999984</v>
      </c>
      <c r="FD289" s="18">
        <f>INPUT!FW229</f>
        <v>11.134903640256955</v>
      </c>
      <c r="FE289" s="96">
        <f>INPUT!FX229</f>
        <v>-39.800000000000004</v>
      </c>
      <c r="FF289" s="18">
        <f>INPUT!FY229</f>
        <v>-23.314065510597271</v>
      </c>
      <c r="FG289" s="96">
        <f>INPUT!FZ229</f>
        <v>-30.800000000000004</v>
      </c>
      <c r="FH289" s="18">
        <f>INPUT!GA229</f>
        <v>-22.613065326633162</v>
      </c>
      <c r="FI289" s="96">
        <f>INPUT!GB229</f>
        <v>-40.599999999999994</v>
      </c>
      <c r="FJ289" s="18">
        <f>INPUT!GC229</f>
        <v>31.818181818181792</v>
      </c>
      <c r="FK289" s="96">
        <f>INPUT!GD229</f>
        <v>-54.1</v>
      </c>
      <c r="FL289" s="18">
        <f>INPUT!GE229</f>
        <v>33.251231527093616</v>
      </c>
      <c r="FM289" s="96">
        <f>INPUT!GF229</f>
        <v>-61.999999999999993</v>
      </c>
      <c r="FN289" s="18">
        <f>INPUT!GG229</f>
        <v>14.602587800369671</v>
      </c>
      <c r="FO289" s="96">
        <f>INPUT!GH229</f>
        <v>-71.099999999999994</v>
      </c>
      <c r="FP289" s="18">
        <f>INPUT!GI229</f>
        <v>14.677419354838705</v>
      </c>
      <c r="FQ289" s="96">
        <f>INPUT!GJ229</f>
        <v>-75.199999999999989</v>
      </c>
      <c r="FR289" s="18">
        <f>INPUT!GK229</f>
        <v>5.7665260196905654</v>
      </c>
      <c r="FS289" s="96">
        <f>INPUT!GL229</f>
        <v>-76.703999999999994</v>
      </c>
      <c r="FT289" s="18">
        <f>INPUT!GM229</f>
        <v>2.0000000000000018</v>
      </c>
      <c r="FU289" s="96">
        <f>INPUT!GN229</f>
        <v>-78.238080000000011</v>
      </c>
      <c r="FV289" s="18">
        <f>INPUT!GO229</f>
        <v>2.000000000000024</v>
      </c>
      <c r="FW289" s="96">
        <f>INPUT!GP229</f>
        <v>-79.802841600000008</v>
      </c>
      <c r="FX289" s="18">
        <f>INPUT!GQ229</f>
        <v>2.0000000000000018</v>
      </c>
      <c r="FY289" s="96">
        <f>INPUT!GR229</f>
        <v>-81.398898431999996</v>
      </c>
      <c r="FZ289" s="18">
        <f>INPUT!GS229</f>
        <v>1.9999999999999796</v>
      </c>
      <c r="GA289" s="399">
        <f>INPUT!GT229</f>
        <v>2.7424186940189221</v>
      </c>
    </row>
    <row r="290" spans="1:183" ht="12.75" hidden="1" customHeight="1" outlineLevel="1" x14ac:dyDescent="0.2">
      <c r="A290" s="612" t="str">
        <f>INPUT!B230</f>
        <v>Operating Expenses</v>
      </c>
      <c r="B290" s="96">
        <f>INPUT!M230</f>
        <v>30.6</v>
      </c>
      <c r="C290" s="399">
        <f>INPUT!N230</f>
        <v>1.6611295681063121</v>
      </c>
      <c r="D290" s="96">
        <f>INPUT!O230</f>
        <v>30.4</v>
      </c>
      <c r="E290" s="399">
        <f>INPUT!P230</f>
        <v>8.5714285714285623</v>
      </c>
      <c r="F290" s="96">
        <f>INPUT!Q230</f>
        <v>30.8</v>
      </c>
      <c r="G290" s="399">
        <f>INPUT!R230</f>
        <v>10.394265232974909</v>
      </c>
      <c r="H290" s="96">
        <f>INPUT!S230</f>
        <v>30.3</v>
      </c>
      <c r="I290" s="399">
        <f>INPUT!T230</f>
        <v>10.989010989010994</v>
      </c>
      <c r="J290" s="96">
        <f>INPUT!U230</f>
        <v>32.200000000000003</v>
      </c>
      <c r="K290" s="399">
        <f>INPUT!V230</f>
        <v>5.2287581699346442</v>
      </c>
      <c r="L290" s="96">
        <f>INPUT!W230</f>
        <v>32.5</v>
      </c>
      <c r="M290" s="399">
        <f>INPUT!X230</f>
        <v>6.9078947368421018</v>
      </c>
      <c r="N290" s="96">
        <f>INPUT!Y230</f>
        <v>31</v>
      </c>
      <c r="O290" s="399">
        <f>INPUT!Z230</f>
        <v>0.64935064935065512</v>
      </c>
      <c r="P290" s="96">
        <f>INPUT!AA230</f>
        <v>31.1</v>
      </c>
      <c r="Q290" s="399">
        <f>INPUT!AB230</f>
        <v>2.64026402640265</v>
      </c>
      <c r="R290" s="96">
        <f>INPUT!AC230</f>
        <v>35</v>
      </c>
      <c r="S290" s="399">
        <f>INPUT!AD230</f>
        <v>8.6956521739130377</v>
      </c>
      <c r="T290" s="96">
        <f>INPUT!AE230</f>
        <v>34.799999999999997</v>
      </c>
      <c r="U290" s="399">
        <f>INPUT!AF230</f>
        <v>7.0769230769230695</v>
      </c>
      <c r="V290" s="96">
        <f>INPUT!AG230</f>
        <v>36</v>
      </c>
      <c r="W290" s="399">
        <f>INPUT!AH230</f>
        <v>16.129032258064523</v>
      </c>
      <c r="X290" s="96">
        <f>INPUT!AI230</f>
        <v>36.699999999999996</v>
      </c>
      <c r="Y290" s="399">
        <f>INPUT!AJ230</f>
        <v>18.006430868167179</v>
      </c>
      <c r="Z290" s="96">
        <f>INPUT!AK230</f>
        <v>40.099999999999994</v>
      </c>
      <c r="AA290" s="399">
        <f>INPUT!AL230</f>
        <v>14.571428571428546</v>
      </c>
      <c r="AB290" s="96">
        <f>INPUT!AM230</f>
        <v>38.699999999999996</v>
      </c>
      <c r="AC290" s="399">
        <f>INPUT!AN230</f>
        <v>11.206896551724132</v>
      </c>
      <c r="AD290" s="96">
        <f>INPUT!AO230</f>
        <v>37</v>
      </c>
      <c r="AE290" s="399">
        <f>INPUT!AP230</f>
        <v>2.7777777777777679</v>
      </c>
      <c r="AF290" s="96">
        <f>INPUT!AQ230</f>
        <v>38.300000000000004</v>
      </c>
      <c r="AG290" s="399">
        <f>INPUT!AR230</f>
        <v>4.3596730245231807</v>
      </c>
      <c r="AH290" s="96">
        <f>INPUT!AS230</f>
        <v>40.699999999999996</v>
      </c>
      <c r="AI290" s="399">
        <f>INPUT!AT230</f>
        <v>1.4962593516209433</v>
      </c>
      <c r="AJ290" s="96">
        <f>INPUT!AU230</f>
        <v>35.1</v>
      </c>
      <c r="AK290" s="399">
        <f>INPUT!AV230</f>
        <v>-9.3023255813953316</v>
      </c>
      <c r="AL290" s="96">
        <f>INPUT!AW230</f>
        <v>38</v>
      </c>
      <c r="AM290" s="399">
        <f>INPUT!AX230</f>
        <v>2.7027027027026973</v>
      </c>
      <c r="AN290" s="96">
        <f>INPUT!AY230</f>
        <v>40.6</v>
      </c>
      <c r="AO290" s="18">
        <f>INPUT!AZ230</f>
        <v>6.0052219321148792</v>
      </c>
      <c r="AP290" s="96">
        <f>INPUT!BA230</f>
        <v>43.1</v>
      </c>
      <c r="AQ290" s="18">
        <f>INPUT!BB230</f>
        <v>5.8968058968059012</v>
      </c>
      <c r="AR290" s="96">
        <f>INPUT!BC230</f>
        <v>43.2</v>
      </c>
      <c r="AS290" s="18">
        <f>INPUT!BD230</f>
        <v>23.076923076923084</v>
      </c>
      <c r="AT290" s="96">
        <f>INPUT!BE230</f>
        <v>43.1</v>
      </c>
      <c r="AU290" s="18">
        <f>INPUT!BF230</f>
        <v>13.421052631578956</v>
      </c>
      <c r="AV290" s="96">
        <f>INPUT!BG230</f>
        <v>50.4</v>
      </c>
      <c r="AW290" s="18">
        <f>INPUT!BH230</f>
        <v>24.13793103448274</v>
      </c>
      <c r="AX290" s="96">
        <f>INPUT!BI230</f>
        <v>47.4</v>
      </c>
      <c r="AY290" s="18">
        <f>INPUT!BJ230</f>
        <v>9.9767981438515072</v>
      </c>
      <c r="AZ290" s="96">
        <f>INPUT!BK230</f>
        <v>49.7</v>
      </c>
      <c r="BA290" s="18">
        <f>INPUT!BL230</f>
        <v>15.046296296296301</v>
      </c>
      <c r="BB290" s="96">
        <f>INPUT!BM230</f>
        <v>49.3</v>
      </c>
      <c r="BC290" s="18">
        <f>INPUT!BN230</f>
        <v>14.38515081206495</v>
      </c>
      <c r="BD290" s="96">
        <f>INPUT!BO230</f>
        <v>50.5</v>
      </c>
      <c r="BE290" s="18">
        <f>INPUT!BP230</f>
        <v>0.19841269841269771</v>
      </c>
      <c r="BF290" s="96">
        <f>INPUT!BQ230</f>
        <v>50</v>
      </c>
      <c r="BG290" s="18">
        <f>INPUT!BR230</f>
        <v>5.4852320675105481</v>
      </c>
      <c r="BH290" s="96">
        <f>INPUT!BS230</f>
        <v>51.4</v>
      </c>
      <c r="BI290" s="18">
        <f>INPUT!BT230</f>
        <v>3.4205231388329871</v>
      </c>
      <c r="BJ290" s="96">
        <f>INPUT!BU230</f>
        <v>49.9</v>
      </c>
      <c r="BK290" s="18">
        <f>INPUT!BV230</f>
        <v>1.2170385395537497</v>
      </c>
      <c r="BL290" s="96">
        <f>INPUT!BW230</f>
        <v>52.3</v>
      </c>
      <c r="BM290" s="18">
        <f>INPUT!BX230</f>
        <v>3.5643564356435675</v>
      </c>
      <c r="BN290" s="96">
        <f>INPUT!BY230</f>
        <v>52.3</v>
      </c>
      <c r="BO290" s="18">
        <f>INPUT!BZ230</f>
        <v>4.6000000000000041</v>
      </c>
      <c r="BP290" s="96">
        <f>INPUT!CA230</f>
        <v>51.9</v>
      </c>
      <c r="BQ290" s="18">
        <f>INPUT!CB230</f>
        <v>0.97276264591439343</v>
      </c>
      <c r="BR290" s="96">
        <f>INPUT!CC230</f>
        <v>52.1</v>
      </c>
      <c r="BS290" s="18">
        <f>INPUT!CD230</f>
        <v>4.4088176352705455</v>
      </c>
      <c r="BT290" s="96">
        <f>INPUT!CE230</f>
        <v>52.3</v>
      </c>
      <c r="BU290" s="18">
        <f>INPUT!CF230</f>
        <v>0</v>
      </c>
      <c r="BV290" s="96">
        <f>INPUT!CG230</f>
        <v>53.2</v>
      </c>
      <c r="BW290" s="18">
        <f>INPUT!CH230</f>
        <v>1.7208413001912115</v>
      </c>
      <c r="BX290" s="96">
        <f>INPUT!CI230</f>
        <v>54.4</v>
      </c>
      <c r="BY290" s="18">
        <f>INPUT!CJ230</f>
        <v>4.8169556840077066</v>
      </c>
      <c r="BZ290" s="96">
        <f>INPUT!CK230</f>
        <v>53.6</v>
      </c>
      <c r="CA290" s="18">
        <f>INPUT!CL230</f>
        <v>2.8790786948176494</v>
      </c>
      <c r="CB290" s="96">
        <f>INPUT!CM230</f>
        <v>53.5</v>
      </c>
      <c r="CC290" s="18">
        <f>INPUT!CN230</f>
        <v>2.2944550669216079</v>
      </c>
      <c r="CD290" s="96">
        <f>INPUT!CO230</f>
        <v>54</v>
      </c>
      <c r="CE290" s="18">
        <f>INPUT!CP230</f>
        <v>1.5037593984962294</v>
      </c>
      <c r="CF290" s="96">
        <f>INPUT!CQ230</f>
        <v>53.8</v>
      </c>
      <c r="CG290" s="18">
        <f>INPUT!CR230</f>
        <v>-1.1029411764705954</v>
      </c>
      <c r="CH290" s="96">
        <f>INPUT!CS230</f>
        <v>52.8</v>
      </c>
      <c r="CI290" s="18">
        <f>INPUT!CT230</f>
        <v>-1.4925373134328401</v>
      </c>
      <c r="CJ290" s="96">
        <f>INPUT!CU230</f>
        <v>56.5</v>
      </c>
      <c r="CK290" s="18">
        <f>INPUT!CV230</f>
        <v>5.6074766355140193</v>
      </c>
      <c r="CL290" s="96">
        <f>INPUT!CW230</f>
        <v>55</v>
      </c>
      <c r="CM290" s="18">
        <f>INPUT!CX230</f>
        <v>1.8518518518518601</v>
      </c>
      <c r="CN290" s="96">
        <f>INPUT!CY230</f>
        <v>56.1</v>
      </c>
      <c r="CO290" s="18">
        <f>INPUT!CZ230</f>
        <v>4.2750929368029711</v>
      </c>
      <c r="CP290" s="96">
        <f>INPUT!DA230</f>
        <v>55.3</v>
      </c>
      <c r="CQ290" s="18">
        <f>INPUT!DB230</f>
        <v>4.7348484848484862</v>
      </c>
      <c r="CR290" s="96">
        <f>INPUT!DC230</f>
        <v>57.9</v>
      </c>
      <c r="CS290" s="18">
        <f>INPUT!DD230</f>
        <v>2.4778761061946986</v>
      </c>
      <c r="CT290" s="96">
        <f>INPUT!DE230</f>
        <v>58.5</v>
      </c>
      <c r="CU290" s="18">
        <f>INPUT!DF230</f>
        <v>6.3636363636363713</v>
      </c>
      <c r="CV290" s="96">
        <f>INPUT!DG230</f>
        <v>58.6</v>
      </c>
      <c r="CW290" s="18">
        <f>INPUT!DH230</f>
        <v>4.4563279857397609</v>
      </c>
      <c r="CX290" s="96">
        <f>INPUT!DI230</f>
        <v>59.2</v>
      </c>
      <c r="CY290" s="18">
        <f>INPUT!DJ230</f>
        <v>7.0524412296564254</v>
      </c>
      <c r="CZ290" s="96">
        <f>INPUT!DK230</f>
        <v>61.7</v>
      </c>
      <c r="DA290" s="18">
        <f>INPUT!DL230</f>
        <v>6.5630397236615012</v>
      </c>
      <c r="DB290" s="96">
        <f>INPUT!DM230</f>
        <v>62.6</v>
      </c>
      <c r="DC290" s="18">
        <f>INPUT!DN230</f>
        <v>7.0085470085470059</v>
      </c>
      <c r="DD290" s="96">
        <f>INPUT!DO230</f>
        <v>62.5</v>
      </c>
      <c r="DE290" s="18">
        <f>INPUT!DP230</f>
        <v>6.6552901023890776</v>
      </c>
      <c r="DF290" s="96">
        <f>INPUT!DQ230</f>
        <v>63.5</v>
      </c>
      <c r="DG290" s="18">
        <f>INPUT!DR230</f>
        <v>7.2635135135135087</v>
      </c>
      <c r="DH290" s="96">
        <f>INPUT!DS230</f>
        <v>64</v>
      </c>
      <c r="DI290" s="18">
        <f>INPUT!DT230</f>
        <v>3.7277147487844386</v>
      </c>
      <c r="DJ290" s="96">
        <f>INPUT!DU230</f>
        <v>66</v>
      </c>
      <c r="DK290" s="18">
        <f>INPUT!DV230</f>
        <v>5.4313099041533475</v>
      </c>
      <c r="DL290" s="96">
        <f>INPUT!DW230</f>
        <v>66.3</v>
      </c>
      <c r="DM290" s="18">
        <f>INPUT!DX230</f>
        <v>6.0799999999999965</v>
      </c>
      <c r="DN290" s="96">
        <f>INPUT!DY230</f>
        <v>67.599999999999994</v>
      </c>
      <c r="DO290" s="18">
        <f>INPUT!DZ230</f>
        <v>6.4566929133858197</v>
      </c>
      <c r="DP290" s="96">
        <f>INPUT!EA230</f>
        <v>67.7</v>
      </c>
      <c r="DQ290" s="18">
        <f>INPUT!EB230</f>
        <v>5.7812500000000044</v>
      </c>
      <c r="DR290" s="96">
        <f>INPUT!EC230</f>
        <v>69.099999999999994</v>
      </c>
      <c r="DS290" s="18">
        <f>INPUT!ED230</f>
        <v>4.6969696969696884</v>
      </c>
      <c r="DT290" s="96">
        <f>INPUT!EE230</f>
        <v>69.599999999999994</v>
      </c>
      <c r="DU290" s="18">
        <f>INPUT!EF230</f>
        <v>4.9773755656108642</v>
      </c>
      <c r="DV290" s="96">
        <f>INPUT!EG230</f>
        <v>69.599999999999994</v>
      </c>
      <c r="DW290" s="18">
        <f>INPUT!EH230</f>
        <v>2.9585798816567976</v>
      </c>
      <c r="DX290" s="96">
        <f>INPUT!EI230</f>
        <v>74.5</v>
      </c>
      <c r="DY290" s="18">
        <f>INPUT!EJ230</f>
        <v>10.044313146233375</v>
      </c>
      <c r="DZ290" s="96">
        <f>INPUT!EK230</f>
        <v>76.068033000000014</v>
      </c>
      <c r="EA290" s="18">
        <f>INPUT!EL230</f>
        <v>10.083984081042008</v>
      </c>
      <c r="EB290" s="96">
        <f>INPUT!EM230</f>
        <v>77.469652615000015</v>
      </c>
      <c r="EC290" s="18">
        <f>INPUT!EN230</f>
        <v>11.306972147988548</v>
      </c>
      <c r="ED290" s="96">
        <f>INPUT!EO230</f>
        <v>78.937279780875016</v>
      </c>
      <c r="EE290" s="18">
        <f>INPUT!EP230</f>
        <v>13.415631869073309</v>
      </c>
      <c r="EF290" s="96">
        <f>INPUT!EQ230</f>
        <v>80.414332319835395</v>
      </c>
      <c r="EG290" s="18">
        <f>INPUT!ER230</f>
        <v>7.9387011004501851</v>
      </c>
      <c r="EH290" s="18"/>
      <c r="EI290" s="96">
        <f>INPUT!FB230</f>
        <v>113.3</v>
      </c>
      <c r="EJ290" s="399" t="str">
        <f>INPUT!FC230</f>
        <v>NA</v>
      </c>
      <c r="EK290" s="96">
        <f>INPUT!FD230</f>
        <v>122.1</v>
      </c>
      <c r="EL290" s="399">
        <f>INPUT!FE230</f>
        <v>7.7669902912621325</v>
      </c>
      <c r="EM290" s="96">
        <f>INPUT!FF230</f>
        <v>126.8</v>
      </c>
      <c r="EN290" s="399">
        <f>INPUT!FG230</f>
        <v>3.8493038493038423</v>
      </c>
      <c r="EO290" s="96">
        <f>INPUT!FH230</f>
        <v>142.5</v>
      </c>
      <c r="EP290" s="399">
        <f>INPUT!FI230</f>
        <v>12.381703470031557</v>
      </c>
      <c r="EQ290" s="96">
        <f>INPUT!FJ230</f>
        <v>154.1</v>
      </c>
      <c r="ER290" s="18">
        <f>INPUT!FK230</f>
        <v>8.1403508771929811</v>
      </c>
      <c r="ES290" s="96">
        <f>INPUT!FL230</f>
        <v>154.4</v>
      </c>
      <c r="ET290" s="18">
        <f>INPUT!FM230</f>
        <v>0.19467878001298011</v>
      </c>
      <c r="EU290" s="96">
        <f>INPUT!FN230</f>
        <v>179.8</v>
      </c>
      <c r="EV290" s="18">
        <f>INPUT!FO230</f>
        <v>16.450777202072551</v>
      </c>
      <c r="EW290" s="96">
        <f>INPUT!FP230</f>
        <v>196.89999999999998</v>
      </c>
      <c r="EX290" s="18">
        <f>INPUT!FQ230</f>
        <v>9.5105672969966406</v>
      </c>
      <c r="EY290" s="96">
        <f>INPUT!FR230</f>
        <v>203.60000000000002</v>
      </c>
      <c r="EZ290" s="18">
        <f>INPUT!FS230</f>
        <v>3.4027425088877905</v>
      </c>
      <c r="FA290" s="96">
        <f>INPUT!FT230</f>
        <v>208.59999999999997</v>
      </c>
      <c r="FB290" s="18">
        <f>INPUT!FU230</f>
        <v>2.4557956777995882</v>
      </c>
      <c r="FC290" s="96">
        <f>INPUT!FV230</f>
        <v>214.7</v>
      </c>
      <c r="FD290" s="18">
        <f>INPUT!FW230</f>
        <v>2.9242569511026106</v>
      </c>
      <c r="FE290" s="96">
        <f>INPUT!FX230</f>
        <v>217.1</v>
      </c>
      <c r="FF290" s="18">
        <f>INPUT!FY230</f>
        <v>1.1178388448998655</v>
      </c>
      <c r="FG290" s="96">
        <f>INPUT!FZ230</f>
        <v>224.29999999999998</v>
      </c>
      <c r="FH290" s="18">
        <f>INPUT!GA230</f>
        <v>3.3164440350069047</v>
      </c>
      <c r="FI290" s="96">
        <f>INPUT!GB230</f>
        <v>238</v>
      </c>
      <c r="FJ290" s="18">
        <f>INPUT!GC230</f>
        <v>6.1078912171199429</v>
      </c>
      <c r="FK290" s="96">
        <f>INPUT!GD230</f>
        <v>252.6</v>
      </c>
      <c r="FL290" s="18">
        <f>INPUT!GE230</f>
        <v>6.1344537815126055</v>
      </c>
      <c r="FM290" s="96">
        <f>INPUT!GF230</f>
        <v>267.60000000000002</v>
      </c>
      <c r="FN290" s="18">
        <f>INPUT!GG230</f>
        <v>5.9382422802850554</v>
      </c>
      <c r="FO290" s="96">
        <f>INPUT!GH230</f>
        <v>282.79999999999995</v>
      </c>
      <c r="FP290" s="18">
        <f>INPUT!GI230</f>
        <v>5.6801195814648375</v>
      </c>
      <c r="FQ290" s="96">
        <f>INPUT!GJ230</f>
        <v>312.88929771571048</v>
      </c>
      <c r="FR290" s="18">
        <f>INPUT!GK230</f>
        <v>10.639779956050411</v>
      </c>
      <c r="FS290" s="96">
        <f>INPUT!GL230</f>
        <v>319.1575589700247</v>
      </c>
      <c r="FT290" s="18">
        <f>INPUT!GM230</f>
        <v>2.003347925313026</v>
      </c>
      <c r="FU290" s="96">
        <f>INPUT!GN230</f>
        <v>325.55191872042519</v>
      </c>
      <c r="FV290" s="18">
        <f>INPUT!GO230</f>
        <v>2.0035119240277899</v>
      </c>
      <c r="FW290" s="96">
        <f>INPUT!GP230</f>
        <v>332.07495026580375</v>
      </c>
      <c r="FX290" s="18">
        <f>INPUT!GQ230</f>
        <v>2.0036839503257076</v>
      </c>
      <c r="FY290" s="96">
        <f>INPUT!GR230</f>
        <v>338.72928196405769</v>
      </c>
      <c r="FZ290" s="18">
        <f>INPUT!GS230</f>
        <v>2.003864396554933</v>
      </c>
      <c r="GA290" s="399">
        <f>INPUT!GT230</f>
        <v>3.6751487804842276</v>
      </c>
    </row>
    <row r="291" spans="1:183" ht="12.75" hidden="1" customHeight="1" outlineLevel="1" x14ac:dyDescent="0.2">
      <c r="A291" s="612" t="str">
        <f>INPUT!B231</f>
        <v xml:space="preserve"> Total Benefits and Expenses</v>
      </c>
      <c r="B291" s="96">
        <f>INPUT!M231</f>
        <v>143</v>
      </c>
      <c r="C291" s="399">
        <f>INPUT!N231</f>
        <v>-0.27894002789400352</v>
      </c>
      <c r="D291" s="96">
        <f>INPUT!O231</f>
        <v>143.29999999999998</v>
      </c>
      <c r="E291" s="399">
        <f>INPUT!P231</f>
        <v>2.7977044476326984</v>
      </c>
      <c r="F291" s="96">
        <f>INPUT!Q231</f>
        <v>148.6</v>
      </c>
      <c r="G291" s="399">
        <f>INPUT!R231</f>
        <v>4.1345480028030845</v>
      </c>
      <c r="H291" s="96">
        <f>INPUT!S231</f>
        <v>147.6</v>
      </c>
      <c r="I291" s="399">
        <f>INPUT!T231</f>
        <v>9.3333333333333268</v>
      </c>
      <c r="J291" s="96">
        <f>INPUT!U231</f>
        <v>156.60000000000002</v>
      </c>
      <c r="K291" s="399">
        <f>INPUT!V231</f>
        <v>9.5104895104895171</v>
      </c>
      <c r="L291" s="96">
        <f>INPUT!W231</f>
        <v>158.70000000000002</v>
      </c>
      <c r="M291" s="399">
        <f>INPUT!X231</f>
        <v>10.746685275645529</v>
      </c>
      <c r="N291" s="96">
        <f>INPUT!Y231</f>
        <v>158.80000000000001</v>
      </c>
      <c r="O291" s="399">
        <f>INPUT!Z231</f>
        <v>6.8640646029609842</v>
      </c>
      <c r="P291" s="96">
        <f>INPUT!AA231</f>
        <v>165.2</v>
      </c>
      <c r="Q291" s="399">
        <f>INPUT!AB231</f>
        <v>11.924119241192411</v>
      </c>
      <c r="R291" s="96">
        <f>INPUT!AC231</f>
        <v>167.60000000000002</v>
      </c>
      <c r="S291" s="399">
        <f>INPUT!AD231</f>
        <v>7.0242656449553076</v>
      </c>
      <c r="T291" s="96">
        <f>INPUT!AE231</f>
        <v>169</v>
      </c>
      <c r="U291" s="399">
        <f>INPUT!AF231</f>
        <v>6.4902331442973971</v>
      </c>
      <c r="V291" s="96">
        <f>INPUT!AG231</f>
        <v>171</v>
      </c>
      <c r="W291" s="399">
        <f>INPUT!AH231</f>
        <v>7.6826196473551489</v>
      </c>
      <c r="X291" s="96">
        <f>INPUT!AI231</f>
        <v>174.6</v>
      </c>
      <c r="Y291" s="399">
        <f>INPUT!AJ231</f>
        <v>5.6900726392251855</v>
      </c>
      <c r="Z291" s="96">
        <f>INPUT!AK231</f>
        <v>175.89999999999998</v>
      </c>
      <c r="AA291" s="399">
        <f>INPUT!AL231</f>
        <v>4.9522673031025866</v>
      </c>
      <c r="AB291" s="96">
        <f>INPUT!AM231</f>
        <v>176.29999999999998</v>
      </c>
      <c r="AC291" s="399">
        <f>INPUT!AN231</f>
        <v>4.3195266272189281</v>
      </c>
      <c r="AD291" s="96">
        <f>INPUT!AO231</f>
        <v>180.1</v>
      </c>
      <c r="AE291" s="399">
        <f>INPUT!AP231</f>
        <v>5.3216374269005717</v>
      </c>
      <c r="AF291" s="96">
        <f>INPUT!AQ231</f>
        <v>187</v>
      </c>
      <c r="AG291" s="399">
        <f>INPUT!AR231</f>
        <v>7.1019473081328721</v>
      </c>
      <c r="AH291" s="96">
        <f>INPUT!AS231</f>
        <v>179.29999999999998</v>
      </c>
      <c r="AI291" s="399">
        <f>INPUT!AT231</f>
        <v>1.9329164297896551</v>
      </c>
      <c r="AJ291" s="96">
        <f>INPUT!AU231</f>
        <v>183.4</v>
      </c>
      <c r="AK291" s="399">
        <f>INPUT!AV231</f>
        <v>4.0272263187748347</v>
      </c>
      <c r="AL291" s="96">
        <f>INPUT!AW231</f>
        <v>184.5</v>
      </c>
      <c r="AM291" s="399">
        <f>INPUT!AX231</f>
        <v>2.4430871737923354</v>
      </c>
      <c r="AN291" s="96">
        <f>INPUT!AY231</f>
        <v>190.89999999999998</v>
      </c>
      <c r="AO291" s="18">
        <f>INPUT!AZ231</f>
        <v>2.0855614973261938</v>
      </c>
      <c r="AP291" s="96">
        <f>INPUT!BA231</f>
        <v>188.5</v>
      </c>
      <c r="AQ291" s="18">
        <f>INPUT!BB231</f>
        <v>5.1310652537646551</v>
      </c>
      <c r="AR291" s="96">
        <f>INPUT!BC231</f>
        <v>185.09999999999997</v>
      </c>
      <c r="AS291" s="18">
        <f>INPUT!BD231</f>
        <v>0.9269356597600753</v>
      </c>
      <c r="AT291" s="96">
        <f>INPUT!BE231</f>
        <v>189.8</v>
      </c>
      <c r="AU291" s="18">
        <f>INPUT!BF231</f>
        <v>2.872628726287263</v>
      </c>
      <c r="AV291" s="96">
        <f>INPUT!BG231</f>
        <v>198.79999999999998</v>
      </c>
      <c r="AW291" s="18">
        <f>INPUT!BH231</f>
        <v>4.1382922996333171</v>
      </c>
      <c r="AX291" s="96">
        <f>INPUT!BI231</f>
        <v>199</v>
      </c>
      <c r="AY291" s="18">
        <f>INPUT!BJ231</f>
        <v>5.5702917771883298</v>
      </c>
      <c r="AZ291" s="96">
        <f>INPUT!BK231</f>
        <v>200.89999999999998</v>
      </c>
      <c r="BA291" s="18">
        <f>INPUT!BL231</f>
        <v>8.5359265262020543</v>
      </c>
      <c r="BB291" s="96">
        <f>INPUT!BM231</f>
        <v>205.59999999999997</v>
      </c>
      <c r="BC291" s="18">
        <f>INPUT!BN231</f>
        <v>8.3245521601685635</v>
      </c>
      <c r="BD291" s="96">
        <f>INPUT!BO231</f>
        <v>209.8</v>
      </c>
      <c r="BE291" s="18">
        <f>INPUT!BP231</f>
        <v>5.5331991951710346</v>
      </c>
      <c r="BF291" s="96">
        <f>INPUT!BQ231</f>
        <v>210.2</v>
      </c>
      <c r="BG291" s="18">
        <f>INPUT!BR231</f>
        <v>5.6281407035175812</v>
      </c>
      <c r="BH291" s="96">
        <f>INPUT!BS231</f>
        <v>208.1</v>
      </c>
      <c r="BI291" s="18">
        <f>INPUT!BT231</f>
        <v>3.5838725734196109</v>
      </c>
      <c r="BJ291" s="96">
        <f>INPUT!BU231</f>
        <v>212.6</v>
      </c>
      <c r="BK291" s="18">
        <f>INPUT!BV231</f>
        <v>3.4046692607003992</v>
      </c>
      <c r="BL291" s="96">
        <f>INPUT!BW231</f>
        <v>218.10000000000002</v>
      </c>
      <c r="BM291" s="18">
        <f>INPUT!BX231</f>
        <v>3.9561487130600703</v>
      </c>
      <c r="BN291" s="96">
        <f>INPUT!BY231</f>
        <v>225</v>
      </c>
      <c r="BO291" s="18">
        <f>INPUT!BZ231</f>
        <v>7.0409134157944919</v>
      </c>
      <c r="BP291" s="96">
        <f>INPUT!CA231</f>
        <v>226.00000000000003</v>
      </c>
      <c r="BQ291" s="18">
        <f>INPUT!CB231</f>
        <v>8.601633829889499</v>
      </c>
      <c r="BR291" s="96">
        <f>INPUT!CC231</f>
        <v>230.4</v>
      </c>
      <c r="BS291" s="18">
        <f>INPUT!CD231</f>
        <v>8.3725305738476141</v>
      </c>
      <c r="BT291" s="96">
        <f>INPUT!CE231</f>
        <v>247.8</v>
      </c>
      <c r="BU291" s="18">
        <f>INPUT!CF231</f>
        <v>13.617606602475929</v>
      </c>
      <c r="BV291" s="96">
        <f>INPUT!CG231</f>
        <v>245.3</v>
      </c>
      <c r="BW291" s="18">
        <f>INPUT!CH231</f>
        <v>9.0222222222222204</v>
      </c>
      <c r="BX291" s="96">
        <f>INPUT!CI231</f>
        <v>246.10000000000002</v>
      </c>
      <c r="BY291" s="18">
        <f>INPUT!CJ231</f>
        <v>8.893805309734514</v>
      </c>
      <c r="BZ291" s="96">
        <f>INPUT!CK231</f>
        <v>249.59999999999997</v>
      </c>
      <c r="CA291" s="18">
        <f>INPUT!CL231</f>
        <v>8.333333333333325</v>
      </c>
      <c r="CB291" s="96">
        <f>INPUT!CM231</f>
        <v>257.10000000000002</v>
      </c>
      <c r="CC291" s="18">
        <f>INPUT!CN231</f>
        <v>3.7530266343825724</v>
      </c>
      <c r="CD291" s="96">
        <f>INPUT!CO231</f>
        <v>262.3</v>
      </c>
      <c r="CE291" s="18">
        <f>INPUT!CP231</f>
        <v>6.9302894415002037</v>
      </c>
      <c r="CF291" s="96">
        <f>INPUT!CQ231</f>
        <v>263.40000000000003</v>
      </c>
      <c r="CG291" s="18">
        <f>INPUT!CR231</f>
        <v>7.0296627387240962</v>
      </c>
      <c r="CH291" s="96">
        <f>INPUT!CS231</f>
        <v>264.60000000000002</v>
      </c>
      <c r="CI291" s="18">
        <f>INPUT!CT231</f>
        <v>6.0096153846154188</v>
      </c>
      <c r="CJ291" s="96">
        <f>INPUT!CU231</f>
        <v>268.79999999999995</v>
      </c>
      <c r="CK291" s="18">
        <f>INPUT!CV231</f>
        <v>4.5507584597432649</v>
      </c>
      <c r="CL291" s="96">
        <f>INPUT!CW231</f>
        <v>271.39999999999998</v>
      </c>
      <c r="CM291" s="18">
        <f>INPUT!CX231</f>
        <v>3.4693099504384151</v>
      </c>
      <c r="CN291" s="96">
        <f>INPUT!CY231</f>
        <v>271.20000000000005</v>
      </c>
      <c r="CO291" s="18">
        <f>INPUT!CZ231</f>
        <v>2.9612756264236983</v>
      </c>
      <c r="CP291" s="96">
        <f>INPUT!DA231</f>
        <v>276.39999999999998</v>
      </c>
      <c r="CQ291" s="18">
        <f>INPUT!DB231</f>
        <v>4.4595616024187379</v>
      </c>
      <c r="CR291" s="96">
        <f>INPUT!DC231</f>
        <v>294</v>
      </c>
      <c r="CS291" s="18">
        <f>INPUT!DD231</f>
        <v>9.3750000000000213</v>
      </c>
      <c r="CT291" s="96">
        <f>INPUT!DE231</f>
        <v>273.8</v>
      </c>
      <c r="CU291" s="18">
        <f>INPUT!DF231</f>
        <v>0.88430361090643395</v>
      </c>
      <c r="CV291" s="96">
        <f>INPUT!DG231</f>
        <v>277.8</v>
      </c>
      <c r="CW291" s="18">
        <f>INPUT!DH231</f>
        <v>2.4336283185840468</v>
      </c>
      <c r="CX291" s="96">
        <f>INPUT!DI231</f>
        <v>284</v>
      </c>
      <c r="CY291" s="18">
        <f>INPUT!DJ231</f>
        <v>2.7496382054992941</v>
      </c>
      <c r="CZ291" s="96">
        <f>INPUT!DK231</f>
        <v>284.70000000000005</v>
      </c>
      <c r="DA291" s="18">
        <f>INPUT!DL231</f>
        <v>-3.1632653061224314</v>
      </c>
      <c r="DB291" s="96">
        <f>INPUT!DM231</f>
        <v>291.60000000000002</v>
      </c>
      <c r="DC291" s="18">
        <f>INPUT!DN231</f>
        <v>6.5010956902848749</v>
      </c>
      <c r="DD291" s="96">
        <f>INPUT!DO231</f>
        <v>295.2</v>
      </c>
      <c r="DE291" s="18">
        <f>INPUT!DP231</f>
        <v>6.2634989200863744</v>
      </c>
      <c r="DF291" s="96">
        <f>INPUT!DQ231</f>
        <v>292.79999999999995</v>
      </c>
      <c r="DG291" s="18">
        <f>INPUT!DR231</f>
        <v>3.0985915492957483</v>
      </c>
      <c r="DH291" s="96">
        <f>INPUT!DS231</f>
        <v>295.39999999999998</v>
      </c>
      <c r="DI291" s="18">
        <f>INPUT!DT231</f>
        <v>3.7583421145064744</v>
      </c>
      <c r="DJ291" s="96">
        <f>INPUT!DU231</f>
        <v>308.10000000000002</v>
      </c>
      <c r="DK291" s="18">
        <f>INPUT!DV231</f>
        <v>5.6584362139917799</v>
      </c>
      <c r="DL291" s="96">
        <f>INPUT!DW231</f>
        <v>309.39999999999998</v>
      </c>
      <c r="DM291" s="18">
        <f>INPUT!DX231</f>
        <v>4.8102981029810365</v>
      </c>
      <c r="DN291" s="96">
        <f>INPUT!DY231</f>
        <v>311.60000000000002</v>
      </c>
      <c r="DO291" s="18">
        <f>INPUT!DZ231</f>
        <v>6.4207650273224282</v>
      </c>
      <c r="DP291" s="96">
        <f>INPUT!EA231</f>
        <v>316.5</v>
      </c>
      <c r="DQ291" s="18">
        <f>INPUT!EB231</f>
        <v>7.1428571428571619</v>
      </c>
      <c r="DR291" s="96">
        <f>INPUT!EC231</f>
        <v>327.29999999999995</v>
      </c>
      <c r="DS291" s="18">
        <f>INPUT!ED231</f>
        <v>6.2317429406036684</v>
      </c>
      <c r="DT291" s="96">
        <f>INPUT!EE231</f>
        <v>331.4</v>
      </c>
      <c r="DU291" s="18">
        <f>INPUT!EF231</f>
        <v>7.1105365223012251</v>
      </c>
      <c r="DV291" s="96">
        <f>INPUT!EG231</f>
        <v>333.29999999999995</v>
      </c>
      <c r="DW291" s="18">
        <f>INPUT!EH231</f>
        <v>6.9640564826700668</v>
      </c>
      <c r="DX291" s="96">
        <f>INPUT!EI231</f>
        <v>352.8</v>
      </c>
      <c r="DY291" s="18">
        <f>INPUT!EJ231</f>
        <v>11.469194312796205</v>
      </c>
      <c r="DZ291" s="96">
        <f>INPUT!EK231</f>
        <v>349.38787300000001</v>
      </c>
      <c r="EA291" s="18">
        <f>INPUT!EL231</f>
        <v>6.7485099297281081</v>
      </c>
      <c r="EB291" s="96">
        <f>INPUT!EM231</f>
        <v>356.63188941500005</v>
      </c>
      <c r="EC291" s="18">
        <f>INPUT!EN231</f>
        <v>7.6137264378394853</v>
      </c>
      <c r="ED291" s="96">
        <f>INPUT!EO231</f>
        <v>364.05876131687506</v>
      </c>
      <c r="EE291" s="18">
        <f>INPUT!EP231</f>
        <v>9.2285512501875555</v>
      </c>
      <c r="EF291" s="96">
        <f>INPUT!EQ231</f>
        <v>371.61424348655544</v>
      </c>
      <c r="EG291" s="18">
        <f>INPUT!ER231</f>
        <v>5.3328354553728641</v>
      </c>
      <c r="EH291" s="18"/>
      <c r="EI291" s="96">
        <f>INPUT!FB231</f>
        <v>560.5</v>
      </c>
      <c r="EJ291" s="399" t="str">
        <f>INPUT!FC231</f>
        <v>NA</v>
      </c>
      <c r="EK291" s="96">
        <f>INPUT!FD231</f>
        <v>582.5</v>
      </c>
      <c r="EL291" s="399">
        <f>INPUT!FE231</f>
        <v>3.9250669045495012</v>
      </c>
      <c r="EM291" s="96">
        <f>INPUT!FF231</f>
        <v>639.29999999999995</v>
      </c>
      <c r="EN291" s="399">
        <f>INPUT!FG231</f>
        <v>9.7510729613733851</v>
      </c>
      <c r="EO291" s="96">
        <f>INPUT!FH231</f>
        <v>682.19999999999993</v>
      </c>
      <c r="EP291" s="399">
        <f>INPUT!FI231</f>
        <v>6.7104645706241195</v>
      </c>
      <c r="EQ291" s="96">
        <f>INPUT!FJ231</f>
        <v>719.30000000000007</v>
      </c>
      <c r="ER291" s="18">
        <f>INPUT!FK231</f>
        <v>5.4382878921137801</v>
      </c>
      <c r="ES291" s="96">
        <f>INPUT!FL231</f>
        <v>738.09999999999991</v>
      </c>
      <c r="ET291" s="18">
        <f>INPUT!FM231</f>
        <v>2.613652161823965</v>
      </c>
      <c r="EU291" s="96">
        <f>INPUT!FN231</f>
        <v>762.2</v>
      </c>
      <c r="EV291" s="18">
        <f>INPUT!FO231</f>
        <v>3.2651402249017858</v>
      </c>
      <c r="EW291" s="96">
        <f>INPUT!FP231</f>
        <v>815.3</v>
      </c>
      <c r="EX291" s="18">
        <f>INPUT!FQ231</f>
        <v>6.9666754132773345</v>
      </c>
      <c r="EY291" s="96">
        <f>INPUT!FR231</f>
        <v>860.8</v>
      </c>
      <c r="EZ291" s="18">
        <f>INPUT!FS231</f>
        <v>5.5807678155280316</v>
      </c>
      <c r="FA291" s="96">
        <f>INPUT!FT231</f>
        <v>929.2</v>
      </c>
      <c r="FB291" s="18">
        <f>INPUT!FU231</f>
        <v>7.9460966542751033</v>
      </c>
      <c r="FC291" s="96">
        <f>INPUT!FV231</f>
        <v>998.09999999999991</v>
      </c>
      <c r="FD291" s="18">
        <f>INPUT!FW231</f>
        <v>7.4149806284976139</v>
      </c>
      <c r="FE291" s="96">
        <f>INPUT!FX231</f>
        <v>1059.1000000000001</v>
      </c>
      <c r="FF291" s="18">
        <f>INPUT!FY231</f>
        <v>6.1116120629195692</v>
      </c>
      <c r="FG291" s="96">
        <f>INPUT!FZ231</f>
        <v>1113</v>
      </c>
      <c r="FH291" s="18">
        <f>INPUT!GA231</f>
        <v>5.0892267019167159</v>
      </c>
      <c r="FI291" s="96">
        <f>INPUT!GB231</f>
        <v>1120.3000000000002</v>
      </c>
      <c r="FJ291" s="18">
        <f>INPUT!GC231</f>
        <v>0.65588499550766066</v>
      </c>
      <c r="FK291" s="96">
        <f>INPUT!GD231</f>
        <v>1175</v>
      </c>
      <c r="FL291" s="18">
        <f>INPUT!GE231</f>
        <v>4.8826207265910693</v>
      </c>
      <c r="FM291" s="96">
        <f>INPUT!GF231</f>
        <v>1245.5999999999999</v>
      </c>
      <c r="FN291" s="18">
        <f>INPUT!GG231</f>
        <v>6.0085106382978593</v>
      </c>
      <c r="FO291" s="96">
        <f>INPUT!GH231</f>
        <v>1344.8</v>
      </c>
      <c r="FP291" s="18">
        <f>INPUT!GI231</f>
        <v>7.9640333975594224</v>
      </c>
      <c r="FQ291" s="96">
        <f>INPUT!GJ231</f>
        <v>1441.6927672184306</v>
      </c>
      <c r="FR291" s="18">
        <f>INPUT!GK231</f>
        <v>7.204994587926139</v>
      </c>
      <c r="FS291" s="96">
        <f>INPUT!GL231</f>
        <v>1473.8140799028768</v>
      </c>
      <c r="FT291" s="18">
        <f>INPUT!GM231</f>
        <v>2.2280275947017758</v>
      </c>
      <c r="FU291" s="96">
        <f>INPUT!GN231</f>
        <v>1503.3015700719343</v>
      </c>
      <c r="FV291" s="18">
        <f>INPUT!GO231</f>
        <v>2.0007605145827334</v>
      </c>
      <c r="FW291" s="96">
        <f>INPUT!GP231</f>
        <v>1531.6749085870947</v>
      </c>
      <c r="FX291" s="18">
        <f>INPUT!GQ231</f>
        <v>1.8874016418277684</v>
      </c>
      <c r="FY291" s="96">
        <f>INPUT!GR231</f>
        <v>1562.3212394517745</v>
      </c>
      <c r="FZ291" s="18">
        <f>INPUT!GS231</f>
        <v>2.0008378209283251</v>
      </c>
      <c r="GA291" s="399">
        <f>INPUT!GT231</f>
        <v>3.0439569022486568</v>
      </c>
    </row>
    <row r="292" spans="1:183" ht="12.75" hidden="1" customHeight="1" outlineLevel="1" x14ac:dyDescent="0.2">
      <c r="A292" s="612"/>
      <c r="B292" s="96"/>
      <c r="C292" s="399"/>
      <c r="D292" s="96"/>
      <c r="E292" s="399"/>
      <c r="F292" s="96"/>
      <c r="G292" s="399"/>
      <c r="H292" s="96"/>
      <c r="I292" s="399"/>
      <c r="J292" s="96"/>
      <c r="K292" s="399"/>
      <c r="L292" s="96"/>
      <c r="M292" s="399"/>
      <c r="N292" s="96"/>
      <c r="O292" s="399"/>
      <c r="P292" s="96"/>
      <c r="Q292" s="399"/>
      <c r="R292" s="96"/>
      <c r="S292" s="399"/>
      <c r="T292" s="96"/>
      <c r="U292" s="399"/>
      <c r="V292" s="96"/>
      <c r="W292" s="399"/>
      <c r="X292" s="96"/>
      <c r="Y292" s="399"/>
      <c r="Z292" s="96"/>
      <c r="AA292" s="399"/>
      <c r="AB292" s="96"/>
      <c r="AC292" s="399"/>
      <c r="AD292" s="96"/>
      <c r="AE292" s="399"/>
      <c r="AF292" s="96"/>
      <c r="AG292" s="399"/>
      <c r="AH292" s="96"/>
      <c r="AI292" s="399"/>
      <c r="AJ292" s="96"/>
      <c r="AK292" s="399"/>
      <c r="AL292" s="96"/>
      <c r="AM292" s="399"/>
      <c r="AN292" s="96"/>
      <c r="AO292" s="18"/>
      <c r="AP292" s="96"/>
      <c r="AQ292" s="18"/>
      <c r="AR292" s="96"/>
      <c r="AS292" s="18"/>
      <c r="AT292" s="96"/>
      <c r="AU292" s="18"/>
      <c r="AV292" s="96"/>
      <c r="AW292" s="18"/>
      <c r="AX292" s="96"/>
      <c r="AY292" s="18"/>
      <c r="AZ292" s="96"/>
      <c r="BA292" s="18"/>
      <c r="BB292" s="96"/>
      <c r="BC292" s="18"/>
      <c r="BD292" s="96"/>
      <c r="BE292" s="18"/>
      <c r="BF292" s="96"/>
      <c r="BG292" s="18"/>
      <c r="BH292" s="96"/>
      <c r="BI292" s="18"/>
      <c r="BJ292" s="96"/>
      <c r="BK292" s="18"/>
      <c r="BL292" s="96"/>
      <c r="BM292" s="18"/>
      <c r="BN292" s="96"/>
      <c r="BO292" s="18"/>
      <c r="BP292" s="96"/>
      <c r="BQ292" s="18"/>
      <c r="BR292" s="96"/>
      <c r="BS292" s="18"/>
      <c r="BT292" s="96"/>
      <c r="BU292" s="18"/>
      <c r="BV292" s="96"/>
      <c r="BW292" s="18"/>
      <c r="BX292" s="96"/>
      <c r="BY292" s="18"/>
      <c r="BZ292" s="96"/>
      <c r="CA292" s="18"/>
      <c r="CB292" s="96"/>
      <c r="CC292" s="18"/>
      <c r="CD292" s="96"/>
      <c r="CE292" s="18"/>
      <c r="CF292" s="96"/>
      <c r="CG292" s="18"/>
      <c r="CH292" s="96"/>
      <c r="CI292" s="18"/>
      <c r="CJ292" s="96"/>
      <c r="CK292" s="18"/>
      <c r="CL292" s="96"/>
      <c r="CM292" s="18"/>
      <c r="CN292" s="96"/>
      <c r="CO292" s="18"/>
      <c r="CP292" s="96"/>
      <c r="CQ292" s="18"/>
      <c r="CR292" s="96"/>
      <c r="CS292" s="18"/>
      <c r="CT292" s="96"/>
      <c r="CU292" s="18"/>
      <c r="CV292" s="96"/>
      <c r="CW292" s="18"/>
      <c r="CX292" s="96"/>
      <c r="CY292" s="18"/>
      <c r="CZ292" s="96"/>
      <c r="DA292" s="18"/>
      <c r="DB292" s="96"/>
      <c r="DC292" s="18"/>
      <c r="DD292" s="96"/>
      <c r="DE292" s="18"/>
      <c r="DF292" s="96"/>
      <c r="DG292" s="18"/>
      <c r="DH292" s="96"/>
      <c r="DI292" s="18"/>
      <c r="DJ292" s="96"/>
      <c r="DK292" s="18"/>
      <c r="DL292" s="96"/>
      <c r="DM292" s="18"/>
      <c r="DN292" s="96"/>
      <c r="DO292" s="18"/>
      <c r="DP292" s="96"/>
      <c r="DQ292" s="18"/>
      <c r="DR292" s="96"/>
      <c r="DS292" s="18"/>
      <c r="DT292" s="96"/>
      <c r="DU292" s="18"/>
      <c r="DV292" s="96"/>
      <c r="DW292" s="18"/>
      <c r="DX292" s="96"/>
      <c r="DY292" s="18"/>
      <c r="DZ292" s="96"/>
      <c r="EA292" s="18"/>
      <c r="EB292" s="96"/>
      <c r="EC292" s="18"/>
      <c r="ED292" s="96"/>
      <c r="EE292" s="18"/>
      <c r="EF292" s="96"/>
      <c r="EG292" s="18"/>
      <c r="EH292" s="18"/>
      <c r="EI292" s="96"/>
      <c r="EJ292" s="399"/>
      <c r="EK292" s="96"/>
      <c r="EL292" s="399"/>
      <c r="EM292" s="96"/>
      <c r="EN292" s="399"/>
      <c r="EO292" s="96"/>
      <c r="EP292" s="399"/>
      <c r="EQ292" s="96"/>
      <c r="ER292" s="18"/>
      <c r="ES292" s="96"/>
      <c r="ET292" s="18"/>
      <c r="EU292" s="96"/>
      <c r="EV292" s="18"/>
      <c r="EW292" s="96"/>
      <c r="EX292" s="18"/>
      <c r="EY292" s="96"/>
      <c r="EZ292" s="18"/>
      <c r="FA292" s="96"/>
      <c r="FB292" s="18"/>
      <c r="FC292" s="96"/>
      <c r="FD292" s="18"/>
      <c r="FE292" s="96"/>
      <c r="FF292" s="18"/>
      <c r="FG292" s="96"/>
      <c r="FH292" s="18"/>
      <c r="FI292" s="96"/>
      <c r="FJ292" s="18"/>
      <c r="FK292" s="96"/>
      <c r="FL292" s="18"/>
      <c r="FM292" s="96"/>
      <c r="FN292" s="18"/>
      <c r="FO292" s="96"/>
      <c r="FP292" s="18"/>
      <c r="FQ292" s="96"/>
      <c r="FR292" s="18"/>
      <c r="FS292" s="96"/>
      <c r="FT292" s="18"/>
      <c r="FU292" s="96"/>
      <c r="FV292" s="18"/>
      <c r="FW292" s="96"/>
      <c r="FX292" s="18"/>
      <c r="FY292" s="96"/>
      <c r="FZ292" s="18"/>
      <c r="GA292" s="399"/>
    </row>
    <row r="293" spans="1:183" ht="12.75" hidden="1" customHeight="1" outlineLevel="1" x14ac:dyDescent="0.2">
      <c r="A293" s="644" t="str">
        <f>INPUT!B239</f>
        <v>Pretax Earnings</v>
      </c>
      <c r="B293" s="645">
        <f>INPUT!M239</f>
        <v>33</v>
      </c>
      <c r="C293" s="646">
        <f>INPUT!N239</f>
        <v>4.1009463722397888</v>
      </c>
      <c r="D293" s="645">
        <f>INPUT!O239</f>
        <v>33.900000000000006</v>
      </c>
      <c r="E293" s="646">
        <f>INPUT!P239</f>
        <v>-3.4188034188033845</v>
      </c>
      <c r="F293" s="645">
        <f>INPUT!Q239</f>
        <v>34.400000000000006</v>
      </c>
      <c r="G293" s="646">
        <f>INPUT!R239</f>
        <v>-0.28985507246382936</v>
      </c>
      <c r="H293" s="645">
        <f>INPUT!S239</f>
        <v>36.200000000000017</v>
      </c>
      <c r="I293" s="646">
        <f>INPUT!T239</f>
        <v>-1.3623978201634079</v>
      </c>
      <c r="J293" s="645">
        <f>INPUT!U239</f>
        <v>35.19999999999996</v>
      </c>
      <c r="K293" s="646">
        <f>INPUT!V239</f>
        <v>6.6666666666665542</v>
      </c>
      <c r="L293" s="645">
        <f>INPUT!W239</f>
        <v>35.399999999999977</v>
      </c>
      <c r="M293" s="646">
        <f>INPUT!X239</f>
        <v>4.424778761061865</v>
      </c>
      <c r="N293" s="645">
        <f>INPUT!Y239</f>
        <v>38.5</v>
      </c>
      <c r="O293" s="646">
        <f>INPUT!Z239</f>
        <v>11.918604651162767</v>
      </c>
      <c r="P293" s="645">
        <f>INPUT!AA239</f>
        <v>37.599999999999994</v>
      </c>
      <c r="Q293" s="646">
        <f>INPUT!AB239</f>
        <v>3.8674033149170617</v>
      </c>
      <c r="R293" s="645">
        <f>INPUT!AC239</f>
        <v>36.599999999999966</v>
      </c>
      <c r="S293" s="646">
        <f>INPUT!AD239</f>
        <v>3.9772727272727515</v>
      </c>
      <c r="T293" s="645">
        <f>INPUT!AE239</f>
        <v>39.400000000000006</v>
      </c>
      <c r="U293" s="646">
        <f>INPUT!AF239</f>
        <v>11.299435028248684</v>
      </c>
      <c r="V293" s="645">
        <f>INPUT!AG239</f>
        <v>39.599999999999994</v>
      </c>
      <c r="W293" s="646">
        <f>INPUT!AH239</f>
        <v>2.857142857142847</v>
      </c>
      <c r="X293" s="645">
        <f>INPUT!AI239</f>
        <v>40</v>
      </c>
      <c r="Y293" s="646">
        <f>INPUT!AJ239</f>
        <v>6.3829787234042756</v>
      </c>
      <c r="Z293" s="645">
        <f>INPUT!AK239</f>
        <v>43.800000000000011</v>
      </c>
      <c r="AA293" s="646">
        <f>INPUT!AL239</f>
        <v>19.672131147541116</v>
      </c>
      <c r="AB293" s="645">
        <f>INPUT!AM239</f>
        <v>43.600000000000023</v>
      </c>
      <c r="AC293" s="646">
        <f>INPUT!AN239</f>
        <v>10.659898477157403</v>
      </c>
      <c r="AD293" s="645">
        <f>INPUT!AO239</f>
        <v>42</v>
      </c>
      <c r="AE293" s="646">
        <f>INPUT!AP239</f>
        <v>6.0606060606060774</v>
      </c>
      <c r="AF293" s="645">
        <f>INPUT!AQ239</f>
        <v>38.699999999999989</v>
      </c>
      <c r="AG293" s="646">
        <f>INPUT!AR239</f>
        <v>-3.2500000000000306</v>
      </c>
      <c r="AH293" s="645">
        <f>INPUT!AS239</f>
        <v>46.200000000000017</v>
      </c>
      <c r="AI293" s="646">
        <f>INPUT!AT239</f>
        <v>5.4794520547945424</v>
      </c>
      <c r="AJ293" s="645">
        <f>INPUT!AU239</f>
        <v>49.900000000000006</v>
      </c>
      <c r="AK293" s="646">
        <f>INPUT!AV239</f>
        <v>14.449541284403633</v>
      </c>
      <c r="AL293" s="645">
        <f>INPUT!AW239</f>
        <v>52.100000000000023</v>
      </c>
      <c r="AM293" s="646">
        <f>INPUT!AX239</f>
        <v>24.047619047619094</v>
      </c>
      <c r="AN293" s="645">
        <f>INPUT!AY239</f>
        <v>50.5</v>
      </c>
      <c r="AO293" s="647">
        <f>INPUT!AZ239</f>
        <v>30.490956072351459</v>
      </c>
      <c r="AP293" s="645">
        <f>INPUT!BA239</f>
        <v>59.599999999999994</v>
      </c>
      <c r="AQ293" s="647">
        <f>INPUT!BB239</f>
        <v>29.004329004328945</v>
      </c>
      <c r="AR293" s="645">
        <f>INPUT!BC239</f>
        <v>64.900000000000034</v>
      </c>
      <c r="AS293" s="647">
        <f>INPUT!BD239</f>
        <v>30.060120240481012</v>
      </c>
      <c r="AT293" s="645">
        <f>INPUT!BE239</f>
        <v>62.399999999999977</v>
      </c>
      <c r="AU293" s="647">
        <f>INPUT!BF239</f>
        <v>19.769673704414494</v>
      </c>
      <c r="AV293" s="645">
        <f>INPUT!BG239</f>
        <v>58.80000000000004</v>
      </c>
      <c r="AW293" s="647">
        <f>INPUT!BH239</f>
        <v>16.435643564356518</v>
      </c>
      <c r="AX293" s="645">
        <f>INPUT!BI239</f>
        <v>67.399999999999977</v>
      </c>
      <c r="AY293" s="647">
        <f>INPUT!BJ239</f>
        <v>13.087248322147627</v>
      </c>
      <c r="AZ293" s="645">
        <f>INPUT!BK239</f>
        <v>68.200000000000045</v>
      </c>
      <c r="BA293" s="647">
        <f>INPUT!BL239</f>
        <v>5.0847457627118731</v>
      </c>
      <c r="BB293" s="645">
        <f>INPUT!BM239</f>
        <v>66.200000000000045</v>
      </c>
      <c r="BC293" s="647">
        <f>INPUT!BN239</f>
        <v>6.0897435897437013</v>
      </c>
      <c r="BD293" s="645">
        <f>INPUT!BO239</f>
        <v>66.300000000000011</v>
      </c>
      <c r="BE293" s="647">
        <f>INPUT!BP239</f>
        <v>12.755102040816269</v>
      </c>
      <c r="BF293" s="645">
        <f>INPUT!BQ239</f>
        <v>70.900000000000034</v>
      </c>
      <c r="BG293" s="647">
        <f>INPUT!BR239</f>
        <v>5.1928783382790167</v>
      </c>
      <c r="BH293" s="645">
        <f>INPUT!BS239</f>
        <v>71.30000000000004</v>
      </c>
      <c r="BI293" s="647">
        <f>INPUT!BT239</f>
        <v>4.5454545454545414</v>
      </c>
      <c r="BJ293" s="645">
        <f>INPUT!BU239</f>
        <v>70.400000000000006</v>
      </c>
      <c r="BK293" s="647">
        <f>INPUT!BV239</f>
        <v>6.3444108761328666</v>
      </c>
      <c r="BL293" s="645">
        <f>INPUT!BW239</f>
        <v>68.299999999999955</v>
      </c>
      <c r="BM293" s="647">
        <f>INPUT!BX239</f>
        <v>3.0165912518852922</v>
      </c>
      <c r="BN293" s="645">
        <f>INPUT!BY239</f>
        <v>70.200000000000045</v>
      </c>
      <c r="BO293" s="647">
        <f>INPUT!BZ239</f>
        <v>-0.9873060648801002</v>
      </c>
      <c r="BP293" s="645">
        <f>INPUT!CA239</f>
        <v>71.099999999999937</v>
      </c>
      <c r="BQ293" s="647">
        <f>INPUT!CB239</f>
        <v>-0.2805049088360434</v>
      </c>
      <c r="BR293" s="645">
        <f>INPUT!CC239</f>
        <v>71.000000000000028</v>
      </c>
      <c r="BS293" s="647">
        <f>INPUT!CD239</f>
        <v>0.8522727272727515</v>
      </c>
      <c r="BT293" s="645">
        <f>INPUT!CE239</f>
        <v>57.400000000000034</v>
      </c>
      <c r="BU293" s="647">
        <f>INPUT!CF239</f>
        <v>-15.959004392386422</v>
      </c>
      <c r="BV293" s="645">
        <f>INPUT!CG239</f>
        <v>66.499999999999943</v>
      </c>
      <c r="BW293" s="647">
        <f>INPUT!CH239</f>
        <v>-5.2706552706554106</v>
      </c>
      <c r="BX293" s="645">
        <f>INPUT!CI239</f>
        <v>71.899999999999977</v>
      </c>
      <c r="BY293" s="647">
        <f>INPUT!CJ239</f>
        <v>1.1251758087201802</v>
      </c>
      <c r="BZ293" s="645">
        <f>INPUT!CK239</f>
        <v>66.700000000000045</v>
      </c>
      <c r="CA293" s="647">
        <f>INPUT!CL239</f>
        <v>-6.0563380281689838</v>
      </c>
      <c r="CB293" s="645">
        <f>INPUT!CM239</f>
        <v>64.999999999999943</v>
      </c>
      <c r="CC293" s="647">
        <f>INPUT!CN239</f>
        <v>13.240418118466724</v>
      </c>
      <c r="CD293" s="645">
        <f>INPUT!CO239</f>
        <v>69.699999999999989</v>
      </c>
      <c r="CE293" s="647">
        <f>INPUT!CP239</f>
        <v>4.8120300751880452</v>
      </c>
      <c r="CF293" s="645">
        <f>INPUT!CQ239</f>
        <v>67.599999999999966</v>
      </c>
      <c r="CG293" s="647">
        <f>INPUT!CR239</f>
        <v>-5.9805285118219924</v>
      </c>
      <c r="CH293" s="645">
        <f>INPUT!CS239</f>
        <v>68.699999999999932</v>
      </c>
      <c r="CI293" s="647">
        <f>INPUT!CT239</f>
        <v>2.9985007496250216</v>
      </c>
      <c r="CJ293" s="645">
        <f>INPUT!CU239</f>
        <v>68.300000000000011</v>
      </c>
      <c r="CK293" s="647">
        <f>INPUT!CV239</f>
        <v>5.0769230769231788</v>
      </c>
      <c r="CL293" s="645">
        <f>INPUT!CW239</f>
        <v>75.100000000000023</v>
      </c>
      <c r="CM293" s="647">
        <f>INPUT!CX239</f>
        <v>7.7474892395983375</v>
      </c>
      <c r="CN293" s="645">
        <f>INPUT!CY239</f>
        <v>70.799999999999955</v>
      </c>
      <c r="CO293" s="647">
        <f>INPUT!CZ239</f>
        <v>4.7337278106508673</v>
      </c>
      <c r="CP293" s="645">
        <f>INPUT!DA239</f>
        <v>68.600000000000023</v>
      </c>
      <c r="CQ293" s="647">
        <f>INPUT!DB239</f>
        <v>-0.14556040756901201</v>
      </c>
      <c r="CR293" s="645">
        <f>INPUT!DC239</f>
        <v>49</v>
      </c>
      <c r="CS293" s="647">
        <f>INPUT!DD239</f>
        <v>-28.257686676427539</v>
      </c>
      <c r="CT293" s="645">
        <f>INPUT!DE239</f>
        <v>79.099999999999966</v>
      </c>
      <c r="CU293" s="647">
        <f>INPUT!DF239</f>
        <v>5.3262316910784868</v>
      </c>
      <c r="CV293" s="645">
        <f>INPUT!DG239</f>
        <v>74.899999999999977</v>
      </c>
      <c r="CW293" s="647">
        <f>INPUT!DH239</f>
        <v>5.7909604519774449</v>
      </c>
      <c r="CX293" s="645">
        <f>INPUT!DI239</f>
        <v>71</v>
      </c>
      <c r="CY293" s="647">
        <f>INPUT!DJ239</f>
        <v>3.4985422740524408</v>
      </c>
      <c r="CZ293" s="645">
        <f>INPUT!DK239</f>
        <v>74</v>
      </c>
      <c r="DA293" s="647">
        <f>INPUT!DL239</f>
        <v>51.020408163265294</v>
      </c>
      <c r="DB293" s="645">
        <f>INPUT!DM239</f>
        <v>77.599999999999966</v>
      </c>
      <c r="DC293" s="647">
        <f>INPUT!DN239</f>
        <v>-1.896333754740831</v>
      </c>
      <c r="DD293" s="645">
        <f>INPUT!DO239</f>
        <v>77.599999999999966</v>
      </c>
      <c r="DE293" s="647">
        <f>INPUT!DP239</f>
        <v>3.6048064085447029</v>
      </c>
      <c r="DF293" s="645">
        <f>INPUT!DQ239</f>
        <v>76.300000000000068</v>
      </c>
      <c r="DG293" s="647">
        <f>INPUT!DR239</f>
        <v>7.4647887323944673</v>
      </c>
      <c r="DH293" s="645">
        <f>INPUT!DS239</f>
        <v>77.600000000000023</v>
      </c>
      <c r="DI293" s="647">
        <f>INPUT!DT239</f>
        <v>4.864864864864904</v>
      </c>
      <c r="DJ293" s="645">
        <f>INPUT!DU239</f>
        <v>77.399999999999977</v>
      </c>
      <c r="DK293" s="647">
        <f>INPUT!DV239</f>
        <v>-0.25773195876287458</v>
      </c>
      <c r="DL293" s="645">
        <f>INPUT!DW239</f>
        <v>77.899999999999977</v>
      </c>
      <c r="DM293" s="647">
        <f>INPUT!DX239</f>
        <v>0.38659793814435073</v>
      </c>
      <c r="DN293" s="645">
        <f>INPUT!DY239</f>
        <v>79</v>
      </c>
      <c r="DO293" s="647">
        <f>INPUT!DZ239</f>
        <v>3.5386631716906036</v>
      </c>
      <c r="DP293" s="645">
        <f>INPUT!EA239</f>
        <v>79.899999999999977</v>
      </c>
      <c r="DQ293" s="647">
        <f>INPUT!EB239</f>
        <v>2.9639175257731409</v>
      </c>
      <c r="DR293" s="645">
        <f>INPUT!EC239</f>
        <v>82.400000000000034</v>
      </c>
      <c r="DS293" s="647">
        <f>INPUT!ED239</f>
        <v>6.4599483204135222</v>
      </c>
      <c r="DT293" s="645">
        <f>INPUT!EE239</f>
        <v>81.800000000000068</v>
      </c>
      <c r="DU293" s="647">
        <f>INPUT!EF239</f>
        <v>5.0064184852375959</v>
      </c>
      <c r="DV293" s="645">
        <f>INPUT!EG239</f>
        <v>81.700000000000045</v>
      </c>
      <c r="DW293" s="647">
        <f>INPUT!EH239</f>
        <v>3.4177215189874044</v>
      </c>
      <c r="DX293" s="645">
        <f>INPUT!EI239</f>
        <v>79.099999999999994</v>
      </c>
      <c r="DY293" s="647">
        <f>INPUT!EJ239</f>
        <v>-1.001251564455552</v>
      </c>
      <c r="DZ293" s="645">
        <f>INPUT!EK239</f>
        <v>77.960626999999988</v>
      </c>
      <c r="EA293" s="647">
        <f>INPUT!EL239</f>
        <v>-5.3875885922330617</v>
      </c>
      <c r="EB293" s="645">
        <f>INPUT!EM239</f>
        <v>78.590878084999986</v>
      </c>
      <c r="EC293" s="647">
        <f>INPUT!EN239</f>
        <v>-3.9231319254279695</v>
      </c>
      <c r="ED293" s="645">
        <f>INPUT!EO239</f>
        <v>79.409102620624992</v>
      </c>
      <c r="EE293" s="647">
        <f>INPUT!EP239</f>
        <v>-2.8040359600673859</v>
      </c>
      <c r="EF293" s="645">
        <f>INPUT!EQ239</f>
        <v>80.151668422632156</v>
      </c>
      <c r="EG293" s="647">
        <f>INPUT!ER239</f>
        <v>1.3295428857549529</v>
      </c>
      <c r="EH293" s="648"/>
      <c r="EI293" s="645">
        <f>INPUT!FB239</f>
        <v>138</v>
      </c>
      <c r="EJ293" s="646" t="str">
        <f>INPUT!FC239</f>
        <v>NA</v>
      </c>
      <c r="EK293" s="645">
        <f>INPUT!FD239</f>
        <v>137.50000000000011</v>
      </c>
      <c r="EL293" s="646">
        <f>INPUT!FE239</f>
        <v>-0.36231884057962294</v>
      </c>
      <c r="EM293" s="645">
        <f>INPUT!FF239</f>
        <v>146.70000000000005</v>
      </c>
      <c r="EN293" s="646">
        <f>INPUT!FG239</f>
        <v>6.6909090909090363</v>
      </c>
      <c r="EO293" s="645">
        <f>INPUT!FH239</f>
        <v>155.60000000000002</v>
      </c>
      <c r="EP293" s="646">
        <f>INPUT!FI239</f>
        <v>6.0668029993183215</v>
      </c>
      <c r="EQ293" s="645">
        <f>INPUT!FJ239</f>
        <v>168.09999999999991</v>
      </c>
      <c r="ER293" s="647">
        <f>INPUT!FK239</f>
        <v>8.0334190231361688</v>
      </c>
      <c r="ES293" s="645">
        <f>INPUT!FL239</f>
        <v>198.70000000000027</v>
      </c>
      <c r="ET293" s="647">
        <f>INPUT!FM239</f>
        <v>18.20345032718642</v>
      </c>
      <c r="EU293" s="645">
        <f>INPUT!FN239</f>
        <v>245.70000000000005</v>
      </c>
      <c r="EV293" s="647">
        <f>INPUT!FO239</f>
        <v>23.653749370910781</v>
      </c>
      <c r="EW293" s="645">
        <f>INPUT!FP239</f>
        <v>268.10000000000014</v>
      </c>
      <c r="EX293" s="647">
        <f>INPUT!FQ239</f>
        <v>9.1168091168091436</v>
      </c>
      <c r="EY293" s="645">
        <f>INPUT!FR239</f>
        <v>269.10000000000014</v>
      </c>
      <c r="EZ293" s="647">
        <f>INPUT!FS239</f>
        <v>0.37299515106303804</v>
      </c>
      <c r="FA293" s="645">
        <f>INPUT!FT239</f>
        <v>269.69999999999982</v>
      </c>
      <c r="FB293" s="647">
        <f>INPUT!FU239</f>
        <v>0.22296544035662613</v>
      </c>
      <c r="FC293" s="645">
        <f>INPUT!FV239</f>
        <v>270.09999999999991</v>
      </c>
      <c r="FD293" s="647">
        <f>INPUT!FW239</f>
        <v>0.14831294030408504</v>
      </c>
      <c r="FE293" s="645">
        <f>INPUT!FX239</f>
        <v>273.39999999999986</v>
      </c>
      <c r="FF293" s="647">
        <f>INPUT!FY239</f>
        <v>1.2217697149203843</v>
      </c>
      <c r="FG293" s="645">
        <f>INPUT!FZ239</f>
        <v>263.5</v>
      </c>
      <c r="FH293" s="647">
        <f>INPUT!GA239</f>
        <v>-3.6210680321872246</v>
      </c>
      <c r="FI293" s="645">
        <f>INPUT!GB239</f>
        <v>298.99999999999977</v>
      </c>
      <c r="FJ293" s="647">
        <f>INPUT!GC239</f>
        <v>13.472485768500864</v>
      </c>
      <c r="FK293" s="645">
        <f>INPUT!GD239</f>
        <v>309.09999999999991</v>
      </c>
      <c r="FL293" s="647">
        <f>INPUT!GE239</f>
        <v>3.3779264214047311</v>
      </c>
      <c r="FM293" s="645">
        <f>INPUT!GF239</f>
        <v>314.20000000000005</v>
      </c>
      <c r="FN293" s="647">
        <f>INPUT!GG239</f>
        <v>1.649951472015565</v>
      </c>
      <c r="FO293" s="645">
        <f>INPUT!GH239</f>
        <v>325.00000000000011</v>
      </c>
      <c r="FP293" s="647">
        <f>INPUT!GI239</f>
        <v>3.437301082113331</v>
      </c>
      <c r="FQ293" s="645">
        <f>INPUT!GJ239</f>
        <v>316.11227612825701</v>
      </c>
      <c r="FR293" s="647">
        <f>INPUT!GK239</f>
        <v>-2.7346842682286487</v>
      </c>
      <c r="FS293" s="645">
        <f>INPUT!GL239</f>
        <v>319.20591431074467</v>
      </c>
      <c r="FT293" s="647">
        <f>INPUT!GM239</f>
        <v>0.9786517057732036</v>
      </c>
      <c r="FU293" s="645">
        <f>INPUT!GN239</f>
        <v>325.64179352595966</v>
      </c>
      <c r="FV293" s="647">
        <f>INPUT!GO239</f>
        <v>2.0162155294371154</v>
      </c>
      <c r="FW293" s="645">
        <f>INPUT!GP239</f>
        <v>333.91469964775729</v>
      </c>
      <c r="FX293" s="647">
        <f>INPUT!GQ239</f>
        <v>2.540492739651401</v>
      </c>
      <c r="FY293" s="645">
        <f>INPUT!GR239</f>
        <v>340.65225472832435</v>
      </c>
      <c r="FZ293" s="647">
        <f>INPUT!GS239</f>
        <v>2.0177473731088913</v>
      </c>
      <c r="GA293" s="646">
        <f>INPUT!GT239</f>
        <v>0.94517874140382929</v>
      </c>
    </row>
    <row r="294" spans="1:183" ht="12.75" hidden="1" customHeight="1" outlineLevel="2" x14ac:dyDescent="0.2">
      <c r="A294" s="614" t="s">
        <v>517</v>
      </c>
      <c r="B294" s="615"/>
      <c r="C294" s="616"/>
      <c r="D294" s="615"/>
      <c r="E294" s="616"/>
      <c r="F294" s="615"/>
      <c r="G294" s="616"/>
      <c r="H294" s="615"/>
      <c r="I294" s="616"/>
      <c r="J294" s="615"/>
      <c r="K294" s="616"/>
      <c r="L294" s="615"/>
      <c r="M294" s="616"/>
      <c r="N294" s="615"/>
      <c r="O294" s="616"/>
      <c r="P294" s="615"/>
      <c r="Q294" s="616"/>
      <c r="R294" s="615"/>
      <c r="S294" s="616"/>
      <c r="T294" s="615"/>
      <c r="U294" s="616"/>
      <c r="V294" s="615"/>
      <c r="W294" s="616"/>
      <c r="X294" s="615"/>
      <c r="Y294" s="616"/>
      <c r="Z294" s="615"/>
      <c r="AA294" s="616"/>
      <c r="AB294" s="615"/>
      <c r="AC294" s="616"/>
      <c r="AD294" s="615"/>
      <c r="AE294" s="616"/>
      <c r="AF294" s="615"/>
      <c r="AG294" s="616"/>
      <c r="AH294" s="615"/>
      <c r="AI294" s="616"/>
      <c r="AJ294" s="615"/>
      <c r="AK294" s="616"/>
      <c r="AL294" s="615"/>
      <c r="AM294" s="616"/>
      <c r="AN294" s="615"/>
      <c r="AO294" s="617"/>
      <c r="AP294" s="615"/>
      <c r="AQ294" s="617"/>
      <c r="AR294" s="615"/>
      <c r="AS294" s="617"/>
      <c r="AT294" s="615"/>
      <c r="AU294" s="617"/>
      <c r="AV294" s="615"/>
      <c r="AW294" s="617"/>
      <c r="AX294" s="615"/>
      <c r="AY294" s="617"/>
      <c r="AZ294" s="615"/>
      <c r="BA294" s="617"/>
      <c r="BB294" s="615"/>
      <c r="BC294" s="617"/>
      <c r="BD294" s="615"/>
      <c r="BE294" s="617"/>
      <c r="BF294" s="615"/>
      <c r="BG294" s="617"/>
      <c r="BH294" s="615"/>
      <c r="BI294" s="617"/>
      <c r="BJ294" s="615"/>
      <c r="BK294" s="617"/>
      <c r="BL294" s="615"/>
      <c r="BM294" s="617"/>
      <c r="BN294" s="615"/>
      <c r="BO294" s="617"/>
      <c r="BP294" s="615"/>
      <c r="BQ294" s="617"/>
      <c r="BR294" s="615"/>
      <c r="BS294" s="617"/>
      <c r="BT294" s="615"/>
      <c r="BU294" s="617"/>
      <c r="BV294" s="618">
        <f>(BV281+BV282+BV283-BV287-BV288-BV289-BV290)-BV293</f>
        <v>0</v>
      </c>
      <c r="BW294" s="617"/>
      <c r="BX294" s="618">
        <f>(BX281+BX282+BX283-BX287-BX288-BX289-BX290)-BX293</f>
        <v>0</v>
      </c>
      <c r="BY294" s="617"/>
      <c r="BZ294" s="618">
        <f>(BZ281+BZ282+BZ283-BZ287-BZ288-BZ289-BZ290)-BZ293</f>
        <v>0</v>
      </c>
      <c r="CA294" s="617"/>
      <c r="CB294" s="618">
        <f>(CB281+CB282+CB283-CB287-CB288-CB289-CB290)-CB293</f>
        <v>0</v>
      </c>
      <c r="CC294" s="617"/>
      <c r="CD294" s="618">
        <f>(CD281+CD282+CD283-CD287-CD288-CD289-CD290)-CD293</f>
        <v>0</v>
      </c>
      <c r="CE294" s="617"/>
      <c r="CF294" s="618">
        <f>(CF281+CF282+CF283-CF287-CF288-CF289-CF290)-CF293</f>
        <v>0</v>
      </c>
      <c r="CG294" s="617"/>
      <c r="CH294" s="618">
        <f>(CH281+CH282+CH283-CH287-CH288-CH289-CH290)-CH293</f>
        <v>0</v>
      </c>
      <c r="CI294" s="617"/>
      <c r="CJ294" s="618">
        <f>(CJ281+CJ282+CJ283-CJ287-CJ288-CJ289-CJ290)-CJ293</f>
        <v>0</v>
      </c>
      <c r="CK294" s="617"/>
      <c r="CL294" s="618">
        <f>(CL281+CL282+CL283-CL287-CL288-CL289-CL290)-CL293</f>
        <v>0</v>
      </c>
      <c r="CM294" s="617"/>
      <c r="CN294" s="618">
        <f>(CN281+CN282+CN283-CN287-CN288-CN289-CN290)-CN293</f>
        <v>0</v>
      </c>
      <c r="CO294" s="617"/>
      <c r="CP294" s="618">
        <f>(CP281+CP282+CP283-CP287-CP288-CP289-CP290)-CP293</f>
        <v>0</v>
      </c>
      <c r="CQ294" s="617"/>
      <c r="CR294" s="618">
        <f>(CR281+CR282+CR283-CR287-CR288-CR289-CR290)-CR293</f>
        <v>6.3948846218409017E-14</v>
      </c>
      <c r="CS294" s="617"/>
      <c r="CT294" s="618">
        <f>(CT281+CT282+CT283-CT287-CT288-CT289-CT290)-CT293</f>
        <v>0</v>
      </c>
      <c r="CU294" s="617"/>
      <c r="CV294" s="618">
        <f>(CV281+CV282+CV283-CV287-CV288-CV289-CV290)-CV293</f>
        <v>0</v>
      </c>
      <c r="CW294" s="617"/>
      <c r="CX294" s="618">
        <f>(CX281+CX282+CX283-CX287-CX288-CX289-CX290)-CX293</f>
        <v>0</v>
      </c>
      <c r="CY294" s="617"/>
      <c r="CZ294" s="618">
        <f>(CZ281+CZ282+CZ283-CZ287-CZ288-CZ289-CZ290)-CZ293</f>
        <v>0</v>
      </c>
      <c r="DA294" s="617"/>
      <c r="DB294" s="618">
        <f>(DB281+DB282+DB283-DB287-DB288-DB289-DB290)-DB293</f>
        <v>0</v>
      </c>
      <c r="DC294" s="617"/>
      <c r="DD294" s="618">
        <f>(DD281+DD282+DD283-DD287-DD288-DD289-DD290)-DD293</f>
        <v>0</v>
      </c>
      <c r="DE294" s="617"/>
      <c r="DF294" s="618">
        <f>(DF281+DF282+DF283-DF287-DF288-DF289-DF290)-DF293</f>
        <v>0</v>
      </c>
      <c r="DG294" s="617"/>
      <c r="DH294" s="618">
        <f>(DH281+DH282+DH283-DH287-DH288-DH289-DH290)-DH293</f>
        <v>0</v>
      </c>
      <c r="DI294" s="617"/>
      <c r="DJ294" s="618">
        <f>(DJ281+DJ282+DJ283-DJ287-DJ288-DJ289-DJ290)-DJ293</f>
        <v>0</v>
      </c>
      <c r="DK294" s="617"/>
      <c r="DL294" s="618">
        <f>(DL281+DL282+DL283-DL287-DL288-DL289-DL290)-DL293</f>
        <v>0</v>
      </c>
      <c r="DM294" s="617"/>
      <c r="DN294" s="618">
        <f>(DN281+DN282+DN283-DN287-DN288-DN289-DN290)-DN293</f>
        <v>0</v>
      </c>
      <c r="DO294" s="617"/>
      <c r="DP294" s="618">
        <f>(DP281+DP282+DP283-DP287-DP288-DP289-DP290)-DP293</f>
        <v>0</v>
      </c>
      <c r="DQ294" s="617"/>
      <c r="DR294" s="618">
        <f t="shared" ref="DR294" si="208">(DR281+DR282+DR283-DR287-DR288-DR289-DR290)-DR293</f>
        <v>0</v>
      </c>
      <c r="DS294" s="617"/>
      <c r="DT294" s="618">
        <f t="shared" ref="DT294" si="209">(DT281+DT282+DT283-DT287-DT288-DT289-DT290)-DT293</f>
        <v>0</v>
      </c>
      <c r="DU294" s="617"/>
      <c r="DV294" s="618">
        <f t="shared" ref="DV294" si="210">(DV281+DV282+DV283-DV287-DV288-DV289-DV290)-DV293</f>
        <v>0</v>
      </c>
      <c r="DW294" s="617"/>
      <c r="DX294" s="618">
        <f t="shared" ref="DX294" si="211">(DX281+DX282+DX283-DX287-DX288-DX289-DX290)-DX293</f>
        <v>-12.399999999999949</v>
      </c>
      <c r="DY294" s="617"/>
      <c r="DZ294" s="618">
        <f t="shared" ref="DZ294" si="212">(DZ281+DZ282+DZ283-DZ287-DZ288-DZ289-DZ290)-DZ293</f>
        <v>0</v>
      </c>
      <c r="EA294" s="617"/>
      <c r="EB294" s="618">
        <f t="shared" ref="EB294" si="213">(EB281+EB282+EB283-EB287-EB288-EB289-EB290)-EB293</f>
        <v>0</v>
      </c>
      <c r="EC294" s="617"/>
      <c r="ED294" s="618">
        <f t="shared" ref="ED294" si="214">(ED281+ED282+ED283-ED287-ED288-ED289-ED290)-ED293</f>
        <v>0</v>
      </c>
      <c r="EE294" s="617"/>
      <c r="EF294" s="618">
        <f t="shared" ref="EF294" si="215">(EF281+EF282+EF283-EF287-EF288-EF289-EF290)-EF293</f>
        <v>0</v>
      </c>
      <c r="EG294" s="617"/>
      <c r="EH294" s="617"/>
      <c r="EI294" s="615"/>
      <c r="EJ294" s="616"/>
      <c r="EK294" s="615"/>
      <c r="EL294" s="616"/>
      <c r="EM294" s="615"/>
      <c r="EN294" s="616"/>
      <c r="EO294" s="615"/>
      <c r="EP294" s="616"/>
      <c r="EQ294" s="615"/>
      <c r="ER294" s="617"/>
      <c r="ES294" s="615"/>
      <c r="ET294" s="617"/>
      <c r="EU294" s="615"/>
      <c r="EV294" s="617"/>
      <c r="EW294" s="615"/>
      <c r="EX294" s="617"/>
      <c r="EY294" s="615"/>
      <c r="EZ294" s="617"/>
      <c r="FA294" s="618">
        <f>(FA281+FA282+FA283-FA287-FA288-FA289-FA290)-FA293</f>
        <v>0</v>
      </c>
      <c r="FB294" s="617"/>
      <c r="FC294" s="618">
        <f>(FC281+FC282+FC283-FC287-FC288-FC289-FC290)-FC293</f>
        <v>0</v>
      </c>
      <c r="FD294" s="617"/>
      <c r="FE294" s="618">
        <f>(FE281+FE282+FE283-FE287-FE288-FE289-FE290)-FE293</f>
        <v>0</v>
      </c>
      <c r="FF294" s="617"/>
      <c r="FG294" s="618">
        <f>(FG281+FG282+FG283-FG287-FG288-FG289-FG290)-FG293</f>
        <v>0</v>
      </c>
      <c r="FH294" s="617"/>
      <c r="FI294" s="618">
        <f>(FI281+FI282+FI283-FI287-FI288-FI289-FI290)-FI293</f>
        <v>0</v>
      </c>
      <c r="FJ294" s="617"/>
      <c r="FK294" s="618">
        <f>(FK281+FK282+FK283-FK287-FK288-FK289-FK290)-FK293</f>
        <v>0</v>
      </c>
      <c r="FL294" s="617"/>
      <c r="FM294" s="618">
        <f>(FM281+FM282+FM283-FM287-FM288-FM289-FM290)-FM293</f>
        <v>0</v>
      </c>
      <c r="FN294" s="617"/>
      <c r="FO294" s="618">
        <f>(FO281+FO282+FO283-FO287-FO288-FO289-FO290)-FO293</f>
        <v>-12.399999999999977</v>
      </c>
      <c r="FP294" s="617"/>
      <c r="FQ294" s="618">
        <f>(FQ281+FQ282+FQ283-FQ287-FQ288-FQ289-FQ290)-FQ293</f>
        <v>0</v>
      </c>
      <c r="FR294" s="617"/>
      <c r="FS294" s="618">
        <f>(FS281+FS282+FS283-FS287-FS288-FS289-FS290)-FS293</f>
        <v>0</v>
      </c>
      <c r="FT294" s="617"/>
      <c r="FU294" s="618">
        <f>(FU281+FU282+FU283-FU287-FU288-FU289-FU290)-FU293</f>
        <v>0</v>
      </c>
      <c r="FV294" s="617"/>
      <c r="FW294" s="618">
        <f>(FW281+FW282+FW283-FW287-FW288-FW289-FW290)-FW293</f>
        <v>0</v>
      </c>
      <c r="FX294" s="617"/>
      <c r="FY294" s="618">
        <f>(FY281+FY282+FY283-FY287-FY288-FY289-FY290)-FY293</f>
        <v>0</v>
      </c>
      <c r="FZ294" s="617"/>
      <c r="GA294" s="616"/>
    </row>
    <row r="295" spans="1:183" ht="12.75" hidden="1" customHeight="1" outlineLevel="1" collapsed="1" x14ac:dyDescent="0.2">
      <c r="A295" s="612"/>
      <c r="B295" s="96"/>
      <c r="C295" s="399"/>
      <c r="D295" s="96"/>
      <c r="E295" s="399"/>
      <c r="F295" s="96"/>
      <c r="G295" s="399"/>
      <c r="H295" s="96"/>
      <c r="I295" s="399"/>
      <c r="J295" s="96"/>
      <c r="K295" s="399"/>
      <c r="L295" s="96"/>
      <c r="M295" s="399"/>
      <c r="N295" s="96"/>
      <c r="O295" s="399"/>
      <c r="P295" s="96"/>
      <c r="Q295" s="399"/>
      <c r="R295" s="96"/>
      <c r="S295" s="399"/>
      <c r="T295" s="96"/>
      <c r="U295" s="399"/>
      <c r="V295" s="96"/>
      <c r="W295" s="399"/>
      <c r="X295" s="96"/>
      <c r="Y295" s="399"/>
      <c r="Z295" s="96"/>
      <c r="AA295" s="399"/>
      <c r="AB295" s="96"/>
      <c r="AC295" s="399"/>
      <c r="AD295" s="96"/>
      <c r="AE295" s="399"/>
      <c r="AF295" s="96"/>
      <c r="AG295" s="399"/>
      <c r="AH295" s="96"/>
      <c r="AI295" s="399"/>
      <c r="AJ295" s="96"/>
      <c r="AK295" s="399"/>
      <c r="AL295" s="96"/>
      <c r="AM295" s="399"/>
      <c r="AN295" s="96"/>
      <c r="AO295" s="18"/>
      <c r="AP295" s="96"/>
      <c r="AQ295" s="18"/>
      <c r="AR295" s="96"/>
      <c r="AS295" s="18"/>
      <c r="AT295" s="96"/>
      <c r="AU295" s="18"/>
      <c r="AV295" s="96"/>
      <c r="AW295" s="18"/>
      <c r="AX295" s="96"/>
      <c r="AY295" s="18"/>
      <c r="AZ295" s="96"/>
      <c r="BA295" s="18"/>
      <c r="BB295" s="96"/>
      <c r="BC295" s="18"/>
      <c r="BD295" s="96"/>
      <c r="BE295" s="18"/>
      <c r="BF295" s="96"/>
      <c r="BG295" s="18"/>
      <c r="BH295" s="96"/>
      <c r="BI295" s="18"/>
      <c r="BJ295" s="96"/>
      <c r="BK295" s="18"/>
      <c r="BL295" s="96"/>
      <c r="BM295" s="18"/>
      <c r="BN295" s="96"/>
      <c r="BO295" s="18"/>
      <c r="BP295" s="96"/>
      <c r="BQ295" s="18"/>
      <c r="BR295" s="96"/>
      <c r="BS295" s="18"/>
      <c r="BT295" s="96"/>
      <c r="BU295" s="18"/>
      <c r="BV295" s="96"/>
      <c r="BW295" s="18"/>
      <c r="BX295" s="96"/>
      <c r="BY295" s="18"/>
      <c r="BZ295" s="96"/>
      <c r="CA295" s="18"/>
      <c r="CB295" s="96"/>
      <c r="CC295" s="18"/>
      <c r="CD295" s="96"/>
      <c r="CE295" s="18"/>
      <c r="CF295" s="96"/>
      <c r="CG295" s="18"/>
      <c r="CH295" s="96"/>
      <c r="CI295" s="18"/>
      <c r="CJ295" s="96"/>
      <c r="CK295" s="18"/>
      <c r="CL295" s="96"/>
      <c r="CM295" s="18"/>
      <c r="CN295" s="96"/>
      <c r="CO295" s="18"/>
      <c r="CP295" s="96"/>
      <c r="CQ295" s="18"/>
      <c r="CR295" s="96"/>
      <c r="CS295" s="18"/>
      <c r="CT295" s="96"/>
      <c r="CU295" s="18"/>
      <c r="CV295" s="96"/>
      <c r="CW295" s="18"/>
      <c r="CX295" s="96"/>
      <c r="CY295" s="18"/>
      <c r="CZ295" s="96"/>
      <c r="DA295" s="18"/>
      <c r="DB295" s="96"/>
      <c r="DC295" s="18"/>
      <c r="DD295" s="96"/>
      <c r="DE295" s="18"/>
      <c r="DF295" s="96"/>
      <c r="DG295" s="18"/>
      <c r="DH295" s="96"/>
      <c r="DI295" s="18"/>
      <c r="DJ295" s="96"/>
      <c r="DK295" s="18"/>
      <c r="DL295" s="96"/>
      <c r="DM295" s="18"/>
      <c r="DN295" s="96"/>
      <c r="DO295" s="18"/>
      <c r="DP295" s="96"/>
      <c r="DQ295" s="18"/>
      <c r="DR295" s="96"/>
      <c r="DS295" s="18"/>
      <c r="DT295" s="96"/>
      <c r="DU295" s="18"/>
      <c r="DV295" s="96"/>
      <c r="DW295" s="18"/>
      <c r="DX295" s="96"/>
      <c r="DY295" s="18"/>
      <c r="DZ295" s="96"/>
      <c r="EA295" s="18"/>
      <c r="EB295" s="96"/>
      <c r="EC295" s="18"/>
      <c r="ED295" s="96"/>
      <c r="EE295" s="18"/>
      <c r="EF295" s="96"/>
      <c r="EG295" s="18"/>
      <c r="EH295" s="18"/>
      <c r="EI295" s="96"/>
      <c r="EJ295" s="399"/>
      <c r="EK295" s="96"/>
      <c r="EL295" s="399"/>
      <c r="EM295" s="96"/>
      <c r="EN295" s="399"/>
      <c r="EO295" s="96"/>
      <c r="EP295" s="399"/>
      <c r="EQ295" s="96"/>
      <c r="ER295" s="18"/>
      <c r="ES295" s="96"/>
      <c r="ET295" s="18"/>
      <c r="EU295" s="96"/>
      <c r="EV295" s="18"/>
      <c r="EW295" s="96"/>
      <c r="EX295" s="18"/>
      <c r="EY295" s="96"/>
      <c r="EZ295" s="18"/>
      <c r="FA295" s="96"/>
      <c r="FB295" s="18"/>
      <c r="FC295" s="96"/>
      <c r="FD295" s="18"/>
      <c r="FE295" s="96"/>
      <c r="FF295" s="18"/>
      <c r="FG295" s="96"/>
      <c r="FH295" s="18"/>
      <c r="FI295" s="96"/>
      <c r="FJ295" s="18"/>
      <c r="FK295" s="96"/>
      <c r="FL295" s="18"/>
      <c r="FM295" s="96"/>
      <c r="FN295" s="18"/>
      <c r="FO295" s="96"/>
      <c r="FP295" s="18"/>
      <c r="FQ295" s="96"/>
      <c r="FR295" s="18"/>
      <c r="FS295" s="96"/>
      <c r="FT295" s="18"/>
      <c r="FU295" s="96"/>
      <c r="FV295" s="18"/>
      <c r="FW295" s="96"/>
      <c r="FX295" s="18"/>
      <c r="FY295" s="96"/>
      <c r="FZ295" s="18"/>
      <c r="GA295" s="399"/>
    </row>
    <row r="296" spans="1:183" ht="12.75" hidden="1" customHeight="1" outlineLevel="1" x14ac:dyDescent="0.2">
      <c r="A296" s="610" t="s">
        <v>260</v>
      </c>
      <c r="B296" s="119">
        <f>INPUT!M451</f>
        <v>15.32033426183844</v>
      </c>
      <c r="C296" s="613">
        <f>INPUT!N451</f>
        <v>9.5621380807184622</v>
      </c>
      <c r="D296" s="119">
        <f>INPUT!O451</f>
        <v>14.881474978050925</v>
      </c>
      <c r="E296" s="613">
        <f>INPUT!P451</f>
        <v>-9.9479975687174704</v>
      </c>
      <c r="F296" s="119">
        <f>INPUT!Q451</f>
        <v>14.827586206896553</v>
      </c>
      <c r="G296" s="613">
        <f>INPUT!R451</f>
        <v>-23.369315342328889</v>
      </c>
      <c r="H296" s="119">
        <f>INPUT!S451</f>
        <v>15.940114487010135</v>
      </c>
      <c r="I296" s="613">
        <f>INPUT!T451</f>
        <v>-2.1876353549132754</v>
      </c>
      <c r="J296" s="119">
        <f>INPUT!U451</f>
        <v>-11.563731931668821</v>
      </c>
      <c r="K296" s="613" t="str">
        <f>INPUT!V451</f>
        <v>NM</v>
      </c>
      <c r="L296" s="119">
        <f>INPUT!W451</f>
        <v>21.598535692495414</v>
      </c>
      <c r="M296" s="613">
        <f>INPUT!X451</f>
        <v>45.137062853995701</v>
      </c>
      <c r="N296" s="119">
        <f>INPUT!Y451</f>
        <v>22.190201729106594</v>
      </c>
      <c r="O296" s="613">
        <f>INPUT!Z451</f>
        <v>49.654848870718872</v>
      </c>
      <c r="P296" s="119">
        <f>INPUT!AA451</f>
        <v>-12.771739130434783</v>
      </c>
      <c r="Q296" s="613" t="str">
        <f>INPUT!AB451</f>
        <v>NM</v>
      </c>
      <c r="R296" s="119">
        <f>INPUT!AC451</f>
        <v>-4.6008799497171546</v>
      </c>
      <c r="S296" s="613" t="str">
        <f>INPUT!AD451</f>
        <v>NM</v>
      </c>
      <c r="T296" s="119">
        <f>INPUT!AE451</f>
        <v>19.838872104733113</v>
      </c>
      <c r="U296" s="613">
        <f>INPUT!AF451</f>
        <v>-8.1471429953175463</v>
      </c>
      <c r="V296" s="119">
        <f>INPUT!AG451</f>
        <v>20.632522273745636</v>
      </c>
      <c r="W296" s="613">
        <f>INPUT!AH451</f>
        <v>-7.0196723507825132</v>
      </c>
      <c r="X296" s="119">
        <f>INPUT!AI451</f>
        <v>34.373120219987932</v>
      </c>
      <c r="Y296" s="613" t="str">
        <f>INPUT!AJ451</f>
        <v>NM</v>
      </c>
      <c r="Z296" s="119">
        <f>INPUT!AK451</f>
        <v>23.701298701298647</v>
      </c>
      <c r="AA296" s="613" t="str">
        <f>INPUT!AL451</f>
        <v>NM</v>
      </c>
      <c r="AB296" s="119">
        <f>INPUT!AM451</f>
        <v>21.767348976535239</v>
      </c>
      <c r="AC296" s="613">
        <f>INPUT!AN451</f>
        <v>9.7206981406066539</v>
      </c>
      <c r="AD296" s="119">
        <f>INPUT!AO451</f>
        <v>20.095693779904312</v>
      </c>
      <c r="AE296" s="613">
        <f>INPUT!AP451</f>
        <v>-2.6018558793678093</v>
      </c>
      <c r="AF296" s="119">
        <f>INPUT!AQ451</f>
        <v>26.246663107314472</v>
      </c>
      <c r="AG296" s="613">
        <f>INPUT!AR451</f>
        <v>-23.641895355045296</v>
      </c>
      <c r="AH296" s="119">
        <f>INPUT!AS451</f>
        <v>22.905304908279646</v>
      </c>
      <c r="AI296" s="613">
        <f>INPUT!AT451</f>
        <v>-3.3584395650664733</v>
      </c>
      <c r="AJ296" s="119">
        <f>INPUT!AU451</f>
        <v>23.048498845265623</v>
      </c>
      <c r="AK296" s="613">
        <f>INPUT!AV451</f>
        <v>5.8856495116214491</v>
      </c>
      <c r="AL296" s="119">
        <f>INPUT!AW451</f>
        <v>21.308793456032717</v>
      </c>
      <c r="AM296" s="613">
        <f>INPUT!AX451</f>
        <v>6.0366150550199116</v>
      </c>
      <c r="AN296" s="119">
        <f>INPUT!AY451</f>
        <v>19.0566037735849</v>
      </c>
      <c r="AO296" s="613">
        <f>INPUT!AZ451</f>
        <v>-27.394184564840284</v>
      </c>
      <c r="AP296" s="119">
        <f>INPUT!BA451</f>
        <v>22.610015174506827</v>
      </c>
      <c r="AQ296" s="613">
        <f>INPUT!BB451</f>
        <v>-1.2891761753674791</v>
      </c>
      <c r="AR296" s="119">
        <f>INPUT!BC451</f>
        <v>23.557168784029052</v>
      </c>
      <c r="AS296" s="613">
        <f>INPUT!BD451</f>
        <v>2.2069547443343218</v>
      </c>
      <c r="AT296" s="119">
        <f>INPUT!BE451</f>
        <v>19.200000000000003</v>
      </c>
      <c r="AU296" s="613">
        <f>INPUT!BF451</f>
        <v>-9.8963531669865379</v>
      </c>
      <c r="AV296" s="119">
        <f>INPUT!BG451</f>
        <v>19.165580182529343</v>
      </c>
      <c r="AW296" s="613">
        <f>INPUT!BH451</f>
        <v>0.57185640337182875</v>
      </c>
      <c r="AX296" s="119">
        <f>INPUT!BI451</f>
        <v>21.519795657726686</v>
      </c>
      <c r="AY296" s="613">
        <f>INPUT!BJ451</f>
        <v>-4.8218433661618381</v>
      </c>
      <c r="AZ296" s="119">
        <f>INPUT!BK451</f>
        <v>20.005866823115312</v>
      </c>
      <c r="BA296" s="613">
        <f>INPUT!BL451</f>
        <v>-15.075249464279427</v>
      </c>
      <c r="BB296" s="119">
        <f>INPUT!BM451</f>
        <v>20.331695331695354</v>
      </c>
      <c r="BC296" s="613">
        <f>INPUT!BN451</f>
        <v>5.8942465192466154</v>
      </c>
      <c r="BD296" s="119">
        <f>INPUT!BO451</f>
        <v>21.373307543520298</v>
      </c>
      <c r="BE296" s="613">
        <f>INPUT!BP451</f>
        <v>11.519230516190904</v>
      </c>
      <c r="BF296" s="119">
        <f>INPUT!BQ451</f>
        <v>22.493654822335042</v>
      </c>
      <c r="BG296" s="613">
        <f>INPUT!BR451</f>
        <v>4.525410836132604</v>
      </c>
      <c r="BH296" s="119">
        <f>INPUT!BS451</f>
        <v>22.012966965112689</v>
      </c>
      <c r="BI296" s="613">
        <f>INPUT!BT451</f>
        <v>10.032557747901837</v>
      </c>
      <c r="BJ296" s="119">
        <f>INPUT!BU451</f>
        <v>22.020644354081966</v>
      </c>
      <c r="BK296" s="613">
        <f>INPUT!BV451</f>
        <v>8.3069758563305118</v>
      </c>
      <c r="BL296" s="119">
        <f>INPUT!BW451</f>
        <v>21.224362958359229</v>
      </c>
      <c r="BM296" s="613">
        <f>INPUT!BX451</f>
        <v>-0.69687195048210304</v>
      </c>
      <c r="BN296" s="119">
        <f>INPUT!BY451</f>
        <v>20.640987944722152</v>
      </c>
      <c r="BO296" s="613">
        <f>INPUT!BZ451</f>
        <v>-8.236397740812162</v>
      </c>
      <c r="BP296" s="119">
        <f>INPUT!CA451</f>
        <v>20.692665890570414</v>
      </c>
      <c r="BQ296" s="613">
        <f>INPUT!CB451</f>
        <v>-5.9978333526541805</v>
      </c>
      <c r="BR296" s="119">
        <f>INPUT!CC451</f>
        <v>21.489104116222762</v>
      </c>
      <c r="BS296" s="613">
        <f>INPUT!CD451</f>
        <v>-2.4138269040282267</v>
      </c>
      <c r="BT296" s="119">
        <f>INPUT!CE451</f>
        <v>18.303571428571423</v>
      </c>
      <c r="BU296" s="613">
        <f>INPUT!CF451</f>
        <v>-13.761503869483393</v>
      </c>
      <c r="BV296" s="119">
        <f>INPUT!CG451</f>
        <v>20.768269831355394</v>
      </c>
      <c r="BW296" s="613">
        <f>INPUT!CH451</f>
        <v>0.61664629122457626</v>
      </c>
      <c r="BX296" s="119">
        <f>INPUT!CI451</f>
        <v>19.618607338919372</v>
      </c>
      <c r="BY296" s="613">
        <f>INPUT!CJ451</f>
        <v>-5.1905276842095454</v>
      </c>
      <c r="BZ296" s="119">
        <f>INPUT!CK451</f>
        <v>20.804741110417979</v>
      </c>
      <c r="CA296" s="613">
        <f>INPUT!CL451</f>
        <v>-3.1846977058859194</v>
      </c>
      <c r="CB296" s="119">
        <f>INPUT!CM451</f>
        <v>-10.538261997405952</v>
      </c>
      <c r="CC296" s="613" t="str">
        <f>INPUT!CN451</f>
        <v>NM</v>
      </c>
      <c r="CD296" s="119">
        <f>INPUT!CO451</f>
        <v>22.542043984476066</v>
      </c>
      <c r="CE296" s="613">
        <f>INPUT!CP451</f>
        <v>8.5407892305148891</v>
      </c>
      <c r="CF296" s="119">
        <f>INPUT!CQ451</f>
        <v>21.799419542083196</v>
      </c>
      <c r="CG296" s="613">
        <f>INPUT!CR451</f>
        <v>11.116039816126655</v>
      </c>
      <c r="CH296" s="119">
        <f>INPUT!CS451</f>
        <v>22.111361441905352</v>
      </c>
      <c r="CI296" s="613">
        <f>INPUT!CT451</f>
        <v>6.2803969756349609</v>
      </c>
      <c r="CJ296" s="119">
        <f>INPUT!CU451</f>
        <v>22.053600258314507</v>
      </c>
      <c r="CK296" s="613" t="str">
        <f>INPUT!CV451</f>
        <v>NM</v>
      </c>
      <c r="CL296" s="119">
        <f>INPUT!CW451</f>
        <v>22.467948717948715</v>
      </c>
      <c r="CM296" s="613">
        <f>INPUT!CX451</f>
        <v>-0.32869808336093431</v>
      </c>
      <c r="CN296" s="119">
        <f>INPUT!CY451</f>
        <v>22.483328040647816</v>
      </c>
      <c r="CO296" s="613">
        <f>INPUT!CZ451</f>
        <v>3.1372784823208377</v>
      </c>
      <c r="CP296" s="119">
        <f>INPUT!DA451</f>
        <v>21.681415929203546</v>
      </c>
      <c r="CQ296" s="613">
        <f>INPUT!DB451</f>
        <v>-1.9444551789876474</v>
      </c>
      <c r="CR296" s="119">
        <f>INPUT!DC451</f>
        <v>22.820343461030383</v>
      </c>
      <c r="CS296" s="613">
        <f>INPUT!DD451</f>
        <v>3.4767257669269025</v>
      </c>
      <c r="CT296" s="119">
        <f>INPUT!DE451</f>
        <v>24.345952600800256</v>
      </c>
      <c r="CU296" s="613">
        <f>INPUT!DF451</f>
        <v>8.3585907482122792</v>
      </c>
      <c r="CV296" s="119">
        <f>INPUT!DG451</f>
        <v>23.024900092222556</v>
      </c>
      <c r="CW296" s="613">
        <f>INPUT!DH451</f>
        <v>2.4087717378656226</v>
      </c>
      <c r="CX296" s="119">
        <f>INPUT!DI451</f>
        <v>22.383354350567462</v>
      </c>
      <c r="CY296" s="613">
        <f>INPUT!DJ451</f>
        <v>3.2375119026172516</v>
      </c>
      <c r="CZ296" s="119">
        <f>INPUT!DK451</f>
        <v>-19.844462322338426</v>
      </c>
      <c r="DA296" s="613" t="str">
        <f>INPUT!DL451</f>
        <v>NM</v>
      </c>
      <c r="DB296" s="119">
        <f>INPUT!DM451</f>
        <v>24.379516179704666</v>
      </c>
      <c r="DC296" s="613">
        <f>INPUT!DN451</f>
        <v>0.13786102131532196</v>
      </c>
      <c r="DD296" s="119">
        <f>INPUT!DO451</f>
        <v>24.326018808777423</v>
      </c>
      <c r="DE296" s="613">
        <f>INPUT!DP451</f>
        <v>5.6509201401241382</v>
      </c>
      <c r="DF296" s="119">
        <f>INPUT!DQ451</f>
        <v>23.440860215053767</v>
      </c>
      <c r="DG296" s="613">
        <f>INPUT!DR451</f>
        <v>4.7245191579585288</v>
      </c>
      <c r="DH296" s="119">
        <f>INPUT!DS451</f>
        <v>24.303163169433152</v>
      </c>
      <c r="DI296" s="613" t="str">
        <f>INPUT!DT451</f>
        <v>NM</v>
      </c>
      <c r="DJ296" s="119">
        <f>INPUT!DU451</f>
        <v>23.837388358484763</v>
      </c>
      <c r="DK296" s="613">
        <f>INPUT!DV451</f>
        <v>-2.223702132658445</v>
      </c>
      <c r="DL296" s="119">
        <f>INPUT!DW451</f>
        <v>23.260674828306957</v>
      </c>
      <c r="DM296" s="613">
        <f>INPUT!DX451</f>
        <v>-4.379442393944311</v>
      </c>
      <c r="DN296" s="119">
        <f>INPUT!DY451</f>
        <v>24.60292743693552</v>
      </c>
      <c r="DO296" s="613">
        <f>INPUT!DZ451</f>
        <v>4.9574427355505879</v>
      </c>
      <c r="DP296" s="119">
        <f>INPUT!EA451</f>
        <v>23.308051341890312</v>
      </c>
      <c r="DQ296" s="613">
        <f>INPUT!EB451</f>
        <v>-4.0945774037941751</v>
      </c>
      <c r="DR296" s="119">
        <f>INPUT!EC451</f>
        <v>24.242424242424271</v>
      </c>
      <c r="DS296" s="613">
        <f>INPUT!ED451</f>
        <v>1.6991621642785226</v>
      </c>
      <c r="DT296" s="119">
        <f>INPUT!EE451</f>
        <v>23.140028288543153</v>
      </c>
      <c r="DU296" s="613">
        <f>INPUT!EF451</f>
        <v>-0.51867170945953944</v>
      </c>
      <c r="DV296" s="119">
        <f>INPUT!EG451</f>
        <v>22.923681257014607</v>
      </c>
      <c r="DW296" s="613">
        <f>INPUT!EH451</f>
        <v>-6.825391751551968</v>
      </c>
      <c r="DX296" s="119">
        <f>INPUT!EI451</f>
        <v>21.212121212121222</v>
      </c>
      <c r="DY296" s="613">
        <f>INPUT!EJ451</f>
        <v>-8.9923009822884143</v>
      </c>
      <c r="DZ296" s="119">
        <f>INPUT!EK451</f>
        <v>22.22967937743536</v>
      </c>
      <c r="EA296" s="613">
        <f>INPUT!EL451</f>
        <v>-8.3025725680792473</v>
      </c>
      <c r="EB296" s="119">
        <f>INPUT!EM451</f>
        <v>22.262099547140107</v>
      </c>
      <c r="EC296" s="613">
        <f>INPUT!EN451</f>
        <v>-3.793983008386026</v>
      </c>
      <c r="ED296" s="119">
        <f>INPUT!EO451</f>
        <v>22.404711634541417</v>
      </c>
      <c r="EE296" s="613">
        <f>INPUT!EP451</f>
        <v>-2.2639017558071517</v>
      </c>
      <c r="EF296" s="119">
        <f>INPUT!EQ451</f>
        <v>22.468053573699908</v>
      </c>
      <c r="EG296" s="613">
        <f>INPUT!ER451</f>
        <v>5.9208239902995174</v>
      </c>
      <c r="EH296" s="119"/>
      <c r="EI296" s="119">
        <f>INPUT!FB451</f>
        <v>0</v>
      </c>
      <c r="EJ296" s="119" t="str">
        <f>INPUT!FC451</f>
        <v>NA</v>
      </c>
      <c r="EK296" s="119"/>
      <c r="EL296" s="119" t="str">
        <f>INPUT!FE451</f>
        <v>NA</v>
      </c>
      <c r="EM296" s="119">
        <f>INPUT!FF451</f>
        <v>-216.05301914580477</v>
      </c>
      <c r="EN296" s="119" t="str">
        <f>INPUT!FG451</f>
        <v>NM</v>
      </c>
      <c r="EO296" s="119">
        <f>INPUT!FH451</f>
        <v>-115.25925925925912</v>
      </c>
      <c r="EP296" s="119">
        <f>INPUT!FI451</f>
        <v>-46.652326491454545</v>
      </c>
      <c r="EQ296" s="119">
        <f>INPUT!FJ451</f>
        <v>22.851292551830014</v>
      </c>
      <c r="ER296" s="119" t="str">
        <f>INPUT!FK451</f>
        <v>NM</v>
      </c>
      <c r="ES296" s="119">
        <f>INPUT!FL451</f>
        <v>21.418562035140692</v>
      </c>
      <c r="ET296" s="119">
        <f>INPUT!FM451</f>
        <v>-6.269800771399181</v>
      </c>
      <c r="EU296" s="119">
        <f>INPUT!FN451</f>
        <v>20.983858570330518</v>
      </c>
      <c r="EV296" s="119">
        <f>INPUT!FO451</f>
        <v>-2.0295641887488558</v>
      </c>
      <c r="EW296" s="119">
        <f>INPUT!FP451</f>
        <v>20.784556942398648</v>
      </c>
      <c r="EX296" s="119">
        <f>INPUT!FQ451</f>
        <v>-0.94978541369730163</v>
      </c>
      <c r="EY296" s="119">
        <f>INPUT!FR451</f>
        <v>20.452990803374657</v>
      </c>
      <c r="EZ296" s="119">
        <f>INPUT!FS451</f>
        <v>-1.5952523786909589</v>
      </c>
      <c r="FA296" s="119">
        <f>INPUT!FT451</f>
        <v>20.313323793025532</v>
      </c>
      <c r="FB296" s="119">
        <f>INPUT!FU451</f>
        <v>-0.68286839656761522</v>
      </c>
      <c r="FC296" s="119">
        <f>INPUT!FV451</f>
        <v>71.899486625236449</v>
      </c>
      <c r="FD296" s="119" t="str">
        <f>INPUT!FW451</f>
        <v>NM</v>
      </c>
      <c r="FE296" s="119">
        <f>INPUT!FX451</f>
        <v>21.770982640547867</v>
      </c>
      <c r="FF296" s="119" t="str">
        <f>INPUT!FY451</f>
        <v>NM</v>
      </c>
      <c r="FG296" s="119">
        <f>INPUT!FZ451</f>
        <v>22.357756199341949</v>
      </c>
      <c r="FH296" s="119">
        <f>INPUT!GA451</f>
        <v>2.6952093457703219</v>
      </c>
      <c r="FI296" s="119">
        <f>INPUT!GB451</f>
        <v>50.294365012615607</v>
      </c>
      <c r="FJ296" s="119" t="str">
        <f>INPUT!GC451</f>
        <v>NM</v>
      </c>
      <c r="FK296" s="119">
        <f>INPUT!GD451</f>
        <v>24.108883862413226</v>
      </c>
      <c r="FL296" s="119" t="str">
        <f>INPUT!GE451</f>
        <v>NM</v>
      </c>
      <c r="FM296" s="119">
        <f>INPUT!GF451</f>
        <v>23.74008311295805</v>
      </c>
      <c r="FN296" s="119">
        <f>INPUT!GG451</f>
        <v>-1.5297296696100915</v>
      </c>
      <c r="FO296" s="119">
        <f>INPUT!GH451</f>
        <v>22.843888381246941</v>
      </c>
      <c r="FP296" s="119">
        <f>INPUT!GI451</f>
        <v>-3.7750277766379847</v>
      </c>
      <c r="FQ296" s="119">
        <f>INPUT!GJ451</f>
        <v>22.341714792867567</v>
      </c>
      <c r="FR296" s="119">
        <f>INPUT!GK451</f>
        <v>-2.1982841974994893</v>
      </c>
      <c r="FS296" s="119">
        <f>INPUT!GL451</f>
        <v>22.030735993788582</v>
      </c>
      <c r="FT296" s="119">
        <f>INPUT!GM451</f>
        <v>-1.3919200113424735</v>
      </c>
      <c r="FU296" s="119">
        <f>INPUT!GN451</f>
        <v>21.86123377785804</v>
      </c>
      <c r="FV296" s="119">
        <f>INPUT!GO451</f>
        <v>-0.76938971071294215</v>
      </c>
      <c r="FW296" s="119">
        <f>INPUT!GP451</f>
        <v>21.74638021318848</v>
      </c>
      <c r="FX296" s="119">
        <f>INPUT!GQ451</f>
        <v>-0.52537549269469075</v>
      </c>
      <c r="FY296" s="119">
        <f>INPUT!GR451</f>
        <v>21.622343245631672</v>
      </c>
      <c r="FZ296" s="119">
        <f>INPUT!GS451</f>
        <v>-0.57037983490044741</v>
      </c>
      <c r="GA296" s="119">
        <f>INPUT!GT451</f>
        <v>-1.0931101543254385</v>
      </c>
    </row>
    <row r="297" spans="1:183" ht="12.75" hidden="1" customHeight="1" outlineLevel="1" x14ac:dyDescent="0.2">
      <c r="A297" s="612"/>
      <c r="B297" s="119"/>
      <c r="C297" s="399"/>
      <c r="D297" s="119"/>
      <c r="E297" s="399"/>
      <c r="F297" s="119"/>
      <c r="G297" s="399"/>
      <c r="H297" s="119"/>
      <c r="I297" s="399"/>
      <c r="J297" s="119"/>
      <c r="K297" s="399"/>
      <c r="L297" s="119"/>
      <c r="M297" s="399"/>
      <c r="N297" s="119"/>
      <c r="O297" s="399"/>
      <c r="P297" s="119"/>
      <c r="Q297" s="399"/>
      <c r="R297" s="119"/>
      <c r="S297" s="399"/>
      <c r="T297" s="119"/>
      <c r="U297" s="399"/>
      <c r="V297" s="119"/>
      <c r="W297" s="399"/>
      <c r="X297" s="119"/>
      <c r="Y297" s="399"/>
      <c r="Z297" s="119"/>
      <c r="AA297" s="399"/>
      <c r="AB297" s="119"/>
      <c r="AC297" s="399"/>
      <c r="AD297" s="119"/>
      <c r="AE297" s="399"/>
      <c r="AF297" s="119"/>
      <c r="AG297" s="399"/>
      <c r="AH297" s="119"/>
      <c r="AI297" s="399"/>
      <c r="AJ297" s="119"/>
      <c r="AK297" s="399"/>
      <c r="AL297" s="119"/>
      <c r="AM297" s="399"/>
      <c r="AN297" s="119"/>
      <c r="AO297" s="18"/>
      <c r="AP297" s="119"/>
      <c r="AQ297" s="18"/>
      <c r="AR297" s="119"/>
      <c r="AS297" s="18"/>
      <c r="AT297" s="119"/>
      <c r="AU297" s="18"/>
      <c r="AV297" s="119"/>
      <c r="AW297" s="18"/>
      <c r="AX297" s="119"/>
      <c r="AY297" s="18"/>
      <c r="AZ297" s="119"/>
      <c r="BA297" s="18"/>
      <c r="BB297" s="119"/>
      <c r="BC297" s="18"/>
      <c r="BD297" s="119"/>
      <c r="BE297" s="18"/>
      <c r="BF297" s="119"/>
      <c r="BG297" s="18"/>
      <c r="BH297" s="119"/>
      <c r="BI297" s="18"/>
      <c r="BJ297" s="119"/>
      <c r="BK297" s="18"/>
      <c r="BL297" s="119"/>
      <c r="BM297" s="18"/>
      <c r="BN297" s="119"/>
      <c r="BO297" s="18"/>
      <c r="BP297" s="119"/>
      <c r="BQ297" s="18"/>
      <c r="BR297" s="119"/>
      <c r="BS297" s="18"/>
      <c r="BT297" s="119"/>
      <c r="BU297" s="18"/>
      <c r="BV297" s="119"/>
      <c r="BW297" s="18"/>
      <c r="BX297" s="119"/>
      <c r="BY297" s="18"/>
      <c r="BZ297" s="119"/>
      <c r="CA297" s="18"/>
      <c r="CB297" s="119"/>
      <c r="CC297" s="18"/>
      <c r="CD297" s="119"/>
      <c r="CE297" s="18"/>
      <c r="CF297" s="119"/>
      <c r="CG297" s="18"/>
      <c r="CH297" s="119"/>
      <c r="CI297" s="18"/>
      <c r="CJ297" s="119"/>
      <c r="CK297" s="18"/>
      <c r="CL297" s="119"/>
      <c r="CM297" s="18"/>
      <c r="CN297" s="119"/>
      <c r="CO297" s="18"/>
      <c r="CP297" s="119"/>
      <c r="CQ297" s="18"/>
      <c r="CR297" s="119"/>
      <c r="CS297" s="18"/>
      <c r="CT297" s="119"/>
      <c r="CU297" s="18"/>
      <c r="CV297" s="119"/>
      <c r="CW297" s="18"/>
      <c r="CX297" s="119"/>
      <c r="CY297" s="18"/>
      <c r="CZ297" s="119"/>
      <c r="DA297" s="18"/>
      <c r="DB297" s="119"/>
      <c r="DC297" s="18"/>
      <c r="DD297" s="119"/>
      <c r="DE297" s="18"/>
      <c r="DF297" s="119"/>
      <c r="DG297" s="18"/>
      <c r="DH297" s="119"/>
      <c r="DI297" s="18"/>
      <c r="DJ297" s="119"/>
      <c r="DK297" s="18"/>
      <c r="DL297" s="119"/>
      <c r="DM297" s="18"/>
      <c r="DN297" s="119"/>
      <c r="DO297" s="18"/>
      <c r="DP297" s="119"/>
      <c r="DQ297" s="18"/>
      <c r="DR297" s="119"/>
      <c r="DS297" s="18"/>
      <c r="DT297" s="119"/>
      <c r="DU297" s="18"/>
      <c r="DV297" s="119"/>
      <c r="DW297" s="18"/>
      <c r="DX297" s="119"/>
      <c r="DY297" s="18"/>
      <c r="DZ297" s="119"/>
      <c r="EA297" s="18"/>
      <c r="EB297" s="119"/>
      <c r="EC297" s="18"/>
      <c r="ED297" s="119"/>
      <c r="EE297" s="18"/>
      <c r="EF297" s="119"/>
      <c r="EG297" s="18"/>
      <c r="EH297" s="18"/>
      <c r="EI297" s="119"/>
      <c r="EJ297" s="399"/>
      <c r="EK297" s="119"/>
      <c r="EL297" s="399"/>
      <c r="EM297" s="119"/>
      <c r="EN297" s="399"/>
      <c r="EO297" s="119"/>
      <c r="EP297" s="399"/>
      <c r="EQ297" s="119"/>
      <c r="ER297" s="18"/>
      <c r="ES297" s="119"/>
      <c r="ET297" s="18"/>
      <c r="EU297" s="119"/>
      <c r="EV297" s="18"/>
      <c r="EW297" s="119"/>
      <c r="EX297" s="18"/>
      <c r="EY297" s="119"/>
      <c r="EZ297" s="18"/>
      <c r="FA297" s="119"/>
      <c r="FB297" s="18"/>
      <c r="FC297" s="119"/>
      <c r="FD297" s="18"/>
      <c r="FE297" s="119"/>
      <c r="FF297" s="18"/>
      <c r="FG297" s="119"/>
      <c r="FH297" s="18"/>
      <c r="FI297" s="119"/>
      <c r="FJ297" s="18"/>
      <c r="FK297" s="119"/>
      <c r="FL297" s="18"/>
      <c r="FM297" s="119"/>
      <c r="FN297" s="18"/>
      <c r="FO297" s="119"/>
      <c r="FP297" s="18"/>
      <c r="FQ297" s="119"/>
      <c r="FR297" s="18"/>
      <c r="FS297" s="119"/>
      <c r="FT297" s="18"/>
      <c r="FU297" s="119"/>
      <c r="FV297" s="18"/>
      <c r="FW297" s="119"/>
      <c r="FX297" s="18"/>
      <c r="FY297" s="119"/>
      <c r="FZ297" s="18"/>
      <c r="GA297" s="399"/>
    </row>
    <row r="298" spans="1:183" ht="12.75" hidden="1" customHeight="1" outlineLevel="1" x14ac:dyDescent="0.2">
      <c r="A298" s="610" t="s">
        <v>450</v>
      </c>
      <c r="B298" s="119"/>
      <c r="C298" s="399"/>
      <c r="D298" s="119"/>
      <c r="E298" s="399"/>
      <c r="F298" s="119"/>
      <c r="G298" s="399"/>
      <c r="H298" s="119"/>
      <c r="I298" s="399"/>
      <c r="J298" s="119"/>
      <c r="K298" s="399"/>
      <c r="L298" s="119"/>
      <c r="M298" s="399"/>
      <c r="N298" s="119"/>
      <c r="O298" s="399"/>
      <c r="P298" s="119"/>
      <c r="Q298" s="399"/>
      <c r="R298" s="119"/>
      <c r="S298" s="399"/>
      <c r="T298" s="119"/>
      <c r="U298" s="399"/>
      <c r="V298" s="119"/>
      <c r="W298" s="399"/>
      <c r="X298" s="119"/>
      <c r="Y298" s="399"/>
      <c r="Z298" s="119"/>
      <c r="AA298" s="399"/>
      <c r="AB298" s="119"/>
      <c r="AC298" s="399"/>
      <c r="AD298" s="119"/>
      <c r="AE298" s="399"/>
      <c r="AF298" s="119"/>
      <c r="AG298" s="399"/>
      <c r="AH298" s="119"/>
      <c r="AI298" s="399"/>
      <c r="AJ298" s="119"/>
      <c r="AK298" s="399"/>
      <c r="AL298" s="119"/>
      <c r="AM298" s="399"/>
      <c r="AN298" s="119"/>
      <c r="AO298" s="18"/>
      <c r="AP298" s="119"/>
      <c r="AQ298" s="18"/>
      <c r="AR298" s="119"/>
      <c r="AS298" s="18"/>
      <c r="AT298" s="119"/>
      <c r="AU298" s="18"/>
      <c r="AV298" s="119"/>
      <c r="AW298" s="18"/>
      <c r="AX298" s="119"/>
      <c r="AY298" s="18"/>
      <c r="AZ298" s="119"/>
      <c r="BA298" s="18"/>
      <c r="BB298" s="119"/>
      <c r="BC298" s="18"/>
      <c r="BD298" s="119"/>
      <c r="BE298" s="18"/>
      <c r="BF298" s="119"/>
      <c r="BG298" s="18"/>
      <c r="BH298" s="119"/>
      <c r="BI298" s="18"/>
      <c r="BJ298" s="119"/>
      <c r="BK298" s="18"/>
      <c r="BL298" s="119"/>
      <c r="BM298" s="18"/>
      <c r="BN298" s="119"/>
      <c r="BO298" s="18"/>
      <c r="BP298" s="119"/>
      <c r="BQ298" s="18"/>
      <c r="BR298" s="119"/>
      <c r="BS298" s="18"/>
      <c r="BT298" s="119"/>
      <c r="BU298" s="18"/>
      <c r="BV298" s="119"/>
      <c r="BW298" s="18"/>
      <c r="BX298" s="119"/>
      <c r="BY298" s="18"/>
      <c r="BZ298" s="119"/>
      <c r="CA298" s="18"/>
      <c r="CB298" s="119"/>
      <c r="CC298" s="18"/>
      <c r="CD298" s="119"/>
      <c r="CE298" s="18"/>
      <c r="CF298" s="119"/>
      <c r="CG298" s="18"/>
      <c r="CH298" s="119"/>
      <c r="CI298" s="18"/>
      <c r="CJ298" s="119"/>
      <c r="CK298" s="18"/>
      <c r="CL298" s="119"/>
      <c r="CM298" s="18"/>
      <c r="CN298" s="119"/>
      <c r="CO298" s="18"/>
      <c r="CP298" s="119"/>
      <c r="CQ298" s="18"/>
      <c r="CR298" s="119"/>
      <c r="CS298" s="18"/>
      <c r="CT298" s="119"/>
      <c r="CU298" s="18"/>
      <c r="CV298" s="119"/>
      <c r="CW298" s="18"/>
      <c r="CX298" s="119"/>
      <c r="CY298" s="18"/>
      <c r="CZ298" s="119"/>
      <c r="DA298" s="18"/>
      <c r="DB298" s="119"/>
      <c r="DC298" s="18"/>
      <c r="DD298" s="119"/>
      <c r="DE298" s="18"/>
      <c r="DF298" s="119"/>
      <c r="DG298" s="18"/>
      <c r="DH298" s="119"/>
      <c r="DI298" s="18"/>
      <c r="DJ298" s="119"/>
      <c r="DK298" s="18"/>
      <c r="DL298" s="119"/>
      <c r="DM298" s="18"/>
      <c r="DN298" s="119"/>
      <c r="DO298" s="18"/>
      <c r="DP298" s="119"/>
      <c r="DQ298" s="18"/>
      <c r="DR298" s="119"/>
      <c r="DS298" s="18"/>
      <c r="DT298" s="119"/>
      <c r="DU298" s="18"/>
      <c r="DV298" s="119"/>
      <c r="DW298" s="18"/>
      <c r="DX298" s="119"/>
      <c r="DY298" s="18"/>
      <c r="DZ298" s="119"/>
      <c r="EA298" s="18"/>
      <c r="EB298" s="119"/>
      <c r="EC298" s="18"/>
      <c r="ED298" s="119"/>
      <c r="EE298" s="18"/>
      <c r="EF298" s="119"/>
      <c r="EG298" s="18"/>
      <c r="EH298" s="18"/>
      <c r="EI298" s="119"/>
      <c r="EJ298" s="399"/>
      <c r="EK298" s="119"/>
      <c r="EL298" s="399"/>
      <c r="EM298" s="119"/>
      <c r="EN298" s="399"/>
      <c r="EO298" s="119"/>
      <c r="EP298" s="399"/>
      <c r="EQ298" s="119"/>
      <c r="ER298" s="18"/>
      <c r="ES298" s="119"/>
      <c r="ET298" s="18"/>
      <c r="EU298" s="119"/>
      <c r="EV298" s="18"/>
      <c r="EW298" s="119"/>
      <c r="EX298" s="18"/>
      <c r="EY298" s="119"/>
      <c r="EZ298" s="18"/>
      <c r="FA298" s="119"/>
      <c r="FB298" s="18"/>
      <c r="FC298" s="119"/>
      <c r="FD298" s="18"/>
      <c r="FE298" s="119"/>
      <c r="FF298" s="18"/>
      <c r="FG298" s="119"/>
      <c r="FH298" s="18"/>
      <c r="FI298" s="119"/>
      <c r="FJ298" s="18"/>
      <c r="FK298" s="119"/>
      <c r="FL298" s="18"/>
      <c r="FM298" s="119"/>
      <c r="FN298" s="18"/>
      <c r="FO298" s="119"/>
      <c r="FP298" s="18"/>
      <c r="FQ298" s="119"/>
      <c r="FR298" s="18"/>
      <c r="FS298" s="119"/>
      <c r="FT298" s="18"/>
      <c r="FU298" s="119"/>
      <c r="FV298" s="18"/>
      <c r="FW298" s="119"/>
      <c r="FX298" s="18"/>
      <c r="FY298" s="119"/>
      <c r="FZ298" s="18"/>
      <c r="GA298" s="399"/>
    </row>
    <row r="299" spans="1:183" ht="12.75" hidden="1" customHeight="1" outlineLevel="1" x14ac:dyDescent="0.2">
      <c r="A299" s="612" t="str">
        <f>INPUT!B240</f>
        <v>Pretax Earnings/Revenues (%)</v>
      </c>
      <c r="B299" s="119">
        <f>INPUT!M240</f>
        <v>18.75</v>
      </c>
      <c r="C299" s="399">
        <f>INPUT!N240</f>
        <v>3.5686119873817423</v>
      </c>
      <c r="D299" s="119">
        <f>INPUT!O240</f>
        <v>19.130925507900681</v>
      </c>
      <c r="E299" s="399">
        <f>INPUT!P240</f>
        <v>-4.8904130732572941</v>
      </c>
      <c r="F299" s="119">
        <f>INPUT!Q240</f>
        <v>18.797814207650276</v>
      </c>
      <c r="G299" s="399">
        <f>INPUT!R240</f>
        <v>-3.4500673160687945</v>
      </c>
      <c r="H299" s="119">
        <f>INPUT!S240</f>
        <v>19.695321001088146</v>
      </c>
      <c r="I299" s="399">
        <f>INPUT!T240</f>
        <v>-7.8559505207946749</v>
      </c>
      <c r="J299" s="119">
        <f>INPUT!U240</f>
        <v>18.352450469238772</v>
      </c>
      <c r="K299" s="399">
        <f>INPUT!V240</f>
        <v>-2.1202641640598818</v>
      </c>
      <c r="L299" s="119">
        <f>INPUT!W240</f>
        <v>18.238021638330746</v>
      </c>
      <c r="M299" s="399">
        <f>INPUT!X240</f>
        <v>-4.6673323211738227</v>
      </c>
      <c r="N299" s="119">
        <f>INPUT!Y240</f>
        <v>19.51343132285859</v>
      </c>
      <c r="O299" s="399">
        <f>INPUT!Z240</f>
        <v>3.8069166303232871</v>
      </c>
      <c r="P299" s="119">
        <f>INPUT!AA240</f>
        <v>18.540433925049307</v>
      </c>
      <c r="Q299" s="399">
        <f>INPUT!AB240</f>
        <v>-5.8637636623187444</v>
      </c>
      <c r="R299" s="119">
        <f>INPUT!AC240</f>
        <v>17.923604309500472</v>
      </c>
      <c r="S299" s="399">
        <f>INPUT!AD240</f>
        <v>-2.3367242453922077</v>
      </c>
      <c r="T299" s="119">
        <f>INPUT!AE240</f>
        <v>18.905950095969292</v>
      </c>
      <c r="U299" s="399">
        <f>INPUT!AF240</f>
        <v>3.6622856956960881</v>
      </c>
      <c r="V299" s="119">
        <f>INPUT!AG240</f>
        <v>18.803418803418801</v>
      </c>
      <c r="W299" s="399">
        <f>INPUT!AH240</f>
        <v>-3.6385836385836479</v>
      </c>
      <c r="X299" s="119">
        <f>INPUT!AI240</f>
        <v>18.63932898415657</v>
      </c>
      <c r="Y299" s="399">
        <f>INPUT!AJ240</f>
        <v>0.53340207412109208</v>
      </c>
      <c r="Z299" s="119">
        <f>INPUT!AK240</f>
        <v>19.936276741010474</v>
      </c>
      <c r="AA299" s="399">
        <f>INPUT!AL240</f>
        <v>11.229172418424671</v>
      </c>
      <c r="AB299" s="119">
        <f>INPUT!AM240</f>
        <v>19.827194179172363</v>
      </c>
      <c r="AC299" s="399">
        <f>INPUT!AN240</f>
        <v>4.8727732725766471</v>
      </c>
      <c r="AD299" s="119">
        <f>INPUT!AO240</f>
        <v>18.910400720396218</v>
      </c>
      <c r="AE299" s="399">
        <f>INPUT!AP240</f>
        <v>0.56894928574353631</v>
      </c>
      <c r="AF299" s="119">
        <f>INPUT!AQ240</f>
        <v>17.14665485157288</v>
      </c>
      <c r="AG299" s="399">
        <f>INPUT!AR240</f>
        <v>-8.0081967213114993</v>
      </c>
      <c r="AH299" s="119">
        <f>INPUT!AS240</f>
        <v>20.487804878048788</v>
      </c>
      <c r="AI299" s="399">
        <f>INPUT!AT240</f>
        <v>2.7664550618109018</v>
      </c>
      <c r="AJ299" s="119">
        <f>INPUT!AU240</f>
        <v>21.38876982426061</v>
      </c>
      <c r="AK299" s="399">
        <f>INPUT!AV240</f>
        <v>7.8759285402501211</v>
      </c>
      <c r="AL299" s="119">
        <f>INPUT!AW240</f>
        <v>22.020287404902795</v>
      </c>
      <c r="AM299" s="399">
        <f>INPUT!AX240</f>
        <v>16.445376967355017</v>
      </c>
      <c r="AN299" s="119">
        <f>INPUT!AY240</f>
        <v>20.91963545981773</v>
      </c>
      <c r="AO299" s="18">
        <f>INPUT!AZ240</f>
        <v>22.004178896146321</v>
      </c>
      <c r="AP299" s="119">
        <f>INPUT!BA240</f>
        <v>24.022571543732365</v>
      </c>
      <c r="AQ299" s="18">
        <f>INPUT!BB240</f>
        <v>17.253027772979369</v>
      </c>
      <c r="AR299" s="119">
        <f>INPUT!BC240</f>
        <v>25.960000000000015</v>
      </c>
      <c r="AS299" s="18">
        <f>INPUT!BD240</f>
        <v>21.372104208416886</v>
      </c>
      <c r="AT299" s="119">
        <f>INPUT!BE240</f>
        <v>24.742268041237107</v>
      </c>
      <c r="AU299" s="18">
        <f>INPUT!BF240</f>
        <v>12.361240279399199</v>
      </c>
      <c r="AV299" s="119">
        <f>INPUT!BG240</f>
        <v>22.826086956521753</v>
      </c>
      <c r="AW299" s="18">
        <f>INPUT!BH240</f>
        <v>9.1132156693930924</v>
      </c>
      <c r="AX299" s="119">
        <f>INPUT!BI240</f>
        <v>25.300300300300293</v>
      </c>
      <c r="AY299" s="18">
        <f>INPUT!BJ240</f>
        <v>5.3188675252433315</v>
      </c>
      <c r="AZ299" s="119">
        <f>INPUT!BK240</f>
        <v>25.343738387216664</v>
      </c>
      <c r="BA299" s="18">
        <f>INPUT!BL240</f>
        <v>-2.3738891093349368</v>
      </c>
      <c r="BB299" s="119">
        <f>INPUT!BM240</f>
        <v>24.35614422369391</v>
      </c>
      <c r="BC299" s="18">
        <f>INPUT!BN240</f>
        <v>-1.5605837625704222</v>
      </c>
      <c r="BD299" s="119">
        <f>INPUT!BO240</f>
        <v>24.013038754074611</v>
      </c>
      <c r="BE299" s="18">
        <f>INPUT!BP240</f>
        <v>5.1999793035649056</v>
      </c>
      <c r="BF299" s="119">
        <f>INPUT!BQ240</f>
        <v>25.222340803984356</v>
      </c>
      <c r="BG299" s="18">
        <f>INPUT!BR240</f>
        <v>-0.30813664419236941</v>
      </c>
      <c r="BH299" s="119">
        <f>INPUT!BS240</f>
        <v>25.518969219756631</v>
      </c>
      <c r="BI299" s="18">
        <f>INPUT!BT240</f>
        <v>0.69141667208951763</v>
      </c>
      <c r="BJ299" s="119">
        <f>INPUT!BU240</f>
        <v>24.876325088339225</v>
      </c>
      <c r="BK299" s="18">
        <f>INPUT!BV240</f>
        <v>2.135727477501459</v>
      </c>
      <c r="BL299" s="119">
        <f>INPUT!BW240</f>
        <v>23.847765363128477</v>
      </c>
      <c r="BM299" s="18">
        <f>INPUT!BX240</f>
        <v>-0.6882652072432438</v>
      </c>
      <c r="BN299" s="119">
        <f>INPUT!BY240</f>
        <v>23.78048780487806</v>
      </c>
      <c r="BO299" s="18">
        <f>INPUT!BZ240</f>
        <v>-5.7165709174722075</v>
      </c>
      <c r="BP299" s="119">
        <f>INPUT!CA240</f>
        <v>23.931336250420713</v>
      </c>
      <c r="BQ299" s="18">
        <f>INPUT!CB240</f>
        <v>-6.2213836133584222</v>
      </c>
      <c r="BR299" s="119">
        <f>INPUT!CC240</f>
        <v>23.556735235567359</v>
      </c>
      <c r="BS299" s="18">
        <f>INPUT!CD240</f>
        <v>-5.3046012547505406</v>
      </c>
      <c r="BT299" s="119">
        <f>INPUT!CE240</f>
        <v>18.807339449541296</v>
      </c>
      <c r="BU299" s="18">
        <f>INPUT!CF240</f>
        <v>-21.135841605437335</v>
      </c>
      <c r="BV299" s="119">
        <f>INPUT!CG240</f>
        <v>21.327774214239884</v>
      </c>
      <c r="BW299" s="18">
        <f>INPUT!CH240</f>
        <v>-10.313975099093863</v>
      </c>
      <c r="BX299" s="119">
        <f>INPUT!CI240</f>
        <v>22.610062893081754</v>
      </c>
      <c r="BY299" s="18">
        <f>INPUT!CJ240</f>
        <v>-5.5211014692743365</v>
      </c>
      <c r="BZ299" s="119">
        <f>INPUT!CK240</f>
        <v>21.087575086942788</v>
      </c>
      <c r="CA299" s="18">
        <f>INPUT!CL240</f>
        <v>-10.481758715428812</v>
      </c>
      <c r="CB299" s="119">
        <f>INPUT!CM240</f>
        <v>20.180068301769623</v>
      </c>
      <c r="CC299" s="18">
        <f>INPUT!CN240</f>
        <v>7.2988997508725673</v>
      </c>
      <c r="CD299" s="119">
        <f>INPUT!CO240</f>
        <v>20.993975903614455</v>
      </c>
      <c r="CE299" s="18">
        <f>INPUT!CP240</f>
        <v>-1.5650874173384843</v>
      </c>
      <c r="CF299" s="119">
        <f>INPUT!CQ240</f>
        <v>20.422960725075516</v>
      </c>
      <c r="CG299" s="18">
        <f>INPUT!CR240</f>
        <v>-9.673136153351658</v>
      </c>
      <c r="CH299" s="119">
        <f>INPUT!CS240</f>
        <v>20.612061206120593</v>
      </c>
      <c r="CI299" s="18">
        <f>INPUT!CT240</f>
        <v>-2.2549481334941612</v>
      </c>
      <c r="CJ299" s="119">
        <f>INPUT!CU240</f>
        <v>20.261050133491551</v>
      </c>
      <c r="CK299" s="18">
        <f>INPUT!CV240</f>
        <v>0.40129612304051765</v>
      </c>
      <c r="CL299" s="119">
        <f>INPUT!CW240</f>
        <v>21.673881673881681</v>
      </c>
      <c r="CM299" s="18">
        <f>INPUT!CX240</f>
        <v>3.2385755484751755</v>
      </c>
      <c r="CN299" s="119">
        <f>INPUT!CY240</f>
        <v>20.7017543859649</v>
      </c>
      <c r="CO299" s="18">
        <f>INPUT!CZ240</f>
        <v>1.3650991383785005</v>
      </c>
      <c r="CP299" s="119">
        <f>INPUT!DA240</f>
        <v>19.884057971014499</v>
      </c>
      <c r="CQ299" s="18">
        <f>INPUT!DB240</f>
        <v>-3.5319283589644979</v>
      </c>
      <c r="CR299" s="119">
        <f>INPUT!DC240</f>
        <v>14.285714285714285</v>
      </c>
      <c r="CS299" s="18">
        <f>INPUT!DD240</f>
        <v>-29.491738130098334</v>
      </c>
      <c r="CT299" s="119">
        <f>INPUT!DE240</f>
        <v>22.41428166619438</v>
      </c>
      <c r="CU299" s="18">
        <f>INPUT!DF240</f>
        <v>3.4160931735865541</v>
      </c>
      <c r="CV299" s="119">
        <f>INPUT!DG240</f>
        <v>21.236178055004249</v>
      </c>
      <c r="CW299" s="18">
        <f>INPUT!DH240</f>
        <v>2.5815380623087192</v>
      </c>
      <c r="CX299" s="119">
        <f>INPUT!DI240</f>
        <v>20</v>
      </c>
      <c r="CY299" s="18">
        <f>INPUT!DJ240</f>
        <v>0.58309037900872163</v>
      </c>
      <c r="CZ299" s="119">
        <f>INPUT!DK240</f>
        <v>20.630052969054919</v>
      </c>
      <c r="DA299" s="18">
        <f>INPUT!DL240</f>
        <v>44.410370783384437</v>
      </c>
      <c r="DB299" s="119">
        <f>INPUT!DM240</f>
        <v>21.018418201516784</v>
      </c>
      <c r="DC299" s="18">
        <f>INPUT!DN240</f>
        <v>-6.2275627899459396</v>
      </c>
      <c r="DD299" s="119">
        <f>INPUT!DO240</f>
        <v>20.815450643776817</v>
      </c>
      <c r="DE299" s="18">
        <f>INPUT!DP240</f>
        <v>-1.9811823489975344</v>
      </c>
      <c r="DF299" s="119">
        <f>INPUT!DQ240</f>
        <v>20.671904632890833</v>
      </c>
      <c r="DG299" s="18">
        <f>INPUT!DR240</f>
        <v>3.359523164454159</v>
      </c>
      <c r="DH299" s="119">
        <f>INPUT!DS240</f>
        <v>20.804289544235932</v>
      </c>
      <c r="DI299" s="18">
        <f>INPUT!DT240</f>
        <v>0.84457647996525331</v>
      </c>
      <c r="DJ299" s="119">
        <f>INPUT!DU240</f>
        <v>20.077821011673148</v>
      </c>
      <c r="DK299" s="18">
        <f>INPUT!DV240</f>
        <v>-4.4751093104416277</v>
      </c>
      <c r="DL299" s="119">
        <f>INPUT!DW240</f>
        <v>20.1136070229796</v>
      </c>
      <c r="DM299" s="18">
        <f>INPUT!DX240</f>
        <v>-3.3717435803247708</v>
      </c>
      <c r="DN299" s="119">
        <f>INPUT!DY240</f>
        <v>20.225294418842804</v>
      </c>
      <c r="DO299" s="18">
        <f>INPUT!DZ240</f>
        <v>-2.1604695937762375</v>
      </c>
      <c r="DP299" s="119">
        <f>INPUT!EA240</f>
        <v>20.156407669021188</v>
      </c>
      <c r="DQ299" s="18">
        <f>INPUT!EB240</f>
        <v>-3.1141744775141644</v>
      </c>
      <c r="DR299" s="119">
        <f>INPUT!EC240</f>
        <v>20.112277276055661</v>
      </c>
      <c r="DS299" s="18">
        <f>INPUT!ED240</f>
        <v>0.17161356485089208</v>
      </c>
      <c r="DT299" s="119">
        <f>INPUT!EE240</f>
        <v>19.796708615682494</v>
      </c>
      <c r="DU299" s="18">
        <f>INPUT!EF240</f>
        <v>-1.5755424023898512</v>
      </c>
      <c r="DV299" s="119">
        <f>INPUT!EG240</f>
        <v>19.686746987951818</v>
      </c>
      <c r="DW299" s="18">
        <f>INPUT!EH240</f>
        <v>-2.6627421076711344</v>
      </c>
      <c r="DX299" s="119">
        <f>INPUT!EI240</f>
        <v>18.855780691299167</v>
      </c>
      <c r="DY299" s="18">
        <f>INPUT!EJ240</f>
        <v>-6.4526725152566851</v>
      </c>
      <c r="DZ299" s="119">
        <f>INPUT!EK240</f>
        <v>18.242868993339158</v>
      </c>
      <c r="EA299" s="18">
        <f>INPUT!EL240</f>
        <v>-9.2948613280212413</v>
      </c>
      <c r="EB299" s="119">
        <f>INPUT!EM240</f>
        <v>18.05762105149979</v>
      </c>
      <c r="EC299" s="18">
        <f>INPUT!EN240</f>
        <v>-8.7847308254314527</v>
      </c>
      <c r="ED299" s="119">
        <f>INPUT!EO240</f>
        <v>17.906393918955192</v>
      </c>
      <c r="EE299" s="18">
        <f>INPUT!EP240</f>
        <v>-9.0434091020024319</v>
      </c>
      <c r="EF299" s="119">
        <f>INPUT!EQ240</f>
        <v>17.74185840713541</v>
      </c>
      <c r="EG299" s="18">
        <f>INPUT!ER240</f>
        <v>-5.9075903692376137</v>
      </c>
      <c r="EH299" s="18"/>
      <c r="EI299" s="119">
        <f>INPUT!FB240</f>
        <v>19.75662133142448</v>
      </c>
      <c r="EJ299" s="399" t="str">
        <f>INPUT!FC240</f>
        <v>NA</v>
      </c>
      <c r="EK299" s="119">
        <f>INPUT!FD240</f>
        <v>19.097222222222236</v>
      </c>
      <c r="EL299" s="399">
        <f>INPUT!FE240</f>
        <v>-3.3376107085345441</v>
      </c>
      <c r="EM299" s="119">
        <f>INPUT!FF240</f>
        <v>18.664122137404586</v>
      </c>
      <c r="EN299" s="399">
        <f>INPUT!FG240</f>
        <v>-2.2678695350451417</v>
      </c>
      <c r="EO299" s="119">
        <f>INPUT!FH240</f>
        <v>18.572451659107188</v>
      </c>
      <c r="EP299" s="399">
        <f>INPUT!FI240</f>
        <v>-0.49115879987563504</v>
      </c>
      <c r="EQ299" s="119">
        <f>INPUT!FJ240</f>
        <v>18.942979490646824</v>
      </c>
      <c r="ER299" s="18">
        <f>INPUT!FK240</f>
        <v>1.9950399567089105</v>
      </c>
      <c r="ES299" s="119">
        <f>INPUT!FL240</f>
        <v>21.210503842869368</v>
      </c>
      <c r="ET299" s="18">
        <f>INPUT!FM240</f>
        <v>11.970262404296772</v>
      </c>
      <c r="EU299" s="119">
        <f>INPUT!FN240</f>
        <v>24.377418394682017</v>
      </c>
      <c r="EV299" s="18">
        <f>INPUT!FO240</f>
        <v>14.930878470750297</v>
      </c>
      <c r="EW299" s="119">
        <f>INPUT!FP240</f>
        <v>24.746169466494379</v>
      </c>
      <c r="EX299" s="18">
        <f>INPUT!FQ240</f>
        <v>1.5126748281631297</v>
      </c>
      <c r="EY299" s="119">
        <f>INPUT!FR240</f>
        <v>23.816266926276672</v>
      </c>
      <c r="EZ299" s="18">
        <f>INPUT!FS240</f>
        <v>-3.7577635661016906</v>
      </c>
      <c r="FA299" s="119">
        <f>INPUT!FT240</f>
        <v>22.495620985903734</v>
      </c>
      <c r="FB299" s="18">
        <f>INPUT!FU240</f>
        <v>-5.5451425047468694</v>
      </c>
      <c r="FC299" s="119">
        <f>INPUT!FV240</f>
        <v>21.297902539031693</v>
      </c>
      <c r="FD299" s="18">
        <f>INPUT!FW240</f>
        <v>-5.3242293138853984</v>
      </c>
      <c r="FE299" s="119">
        <f>INPUT!FX240</f>
        <v>20.51782363977485</v>
      </c>
      <c r="FF299" s="18">
        <f>INPUT!FY240</f>
        <v>-3.6627029249815979</v>
      </c>
      <c r="FG299" s="119">
        <f>INPUT!FZ240</f>
        <v>19.142753359970939</v>
      </c>
      <c r="FH299" s="18">
        <f>INPUT!GA240</f>
        <v>-6.7018330206244041</v>
      </c>
      <c r="FI299" s="119">
        <f>INPUT!GB240</f>
        <v>21.066723032480787</v>
      </c>
      <c r="FJ299" s="18">
        <f>INPUT!GC240</f>
        <v>10.050642330966998</v>
      </c>
      <c r="FK299" s="119">
        <f>INPUT!GD240</f>
        <v>20.827437504211304</v>
      </c>
      <c r="FL299" s="18">
        <f>INPUT!GE240</f>
        <v>-1.1358459875347116</v>
      </c>
      <c r="FM299" s="119">
        <f>INPUT!GF240</f>
        <v>20.143608154891655</v>
      </c>
      <c r="FN299" s="18">
        <f>INPUT!GG240</f>
        <v>-3.2833100528155579</v>
      </c>
      <c r="FO299" s="119">
        <f>INPUT!GH240</f>
        <v>19.609026185591897</v>
      </c>
      <c r="FP299" s="18">
        <f>INPUT!GI240</f>
        <v>-2.6538540920234333</v>
      </c>
      <c r="FQ299" s="119">
        <f>INPUT!GJ240</f>
        <v>17.983352438585023</v>
      </c>
      <c r="FR299" s="18">
        <f>INPUT!GK240</f>
        <v>-8.2904359024282837</v>
      </c>
      <c r="FS299" s="119">
        <f>INPUT!GL240</f>
        <v>17.802696865672225</v>
      </c>
      <c r="FT299" s="18">
        <f>INPUT!GM240</f>
        <v>-1.0045711639682042</v>
      </c>
      <c r="FU299" s="119">
        <f>INPUT!GN240</f>
        <v>17.804914028904523</v>
      </c>
      <c r="FV299" s="18">
        <f>INPUT!GO240</f>
        <v>1.2454086305169199E-2</v>
      </c>
      <c r="FW299" s="119">
        <f>INPUT!GP240</f>
        <v>17.898614902968628</v>
      </c>
      <c r="FX299" s="18">
        <f>INPUT!GQ240</f>
        <v>0.52626411962444219</v>
      </c>
      <c r="FY299" s="119">
        <f>INPUT!GR240</f>
        <v>17.901050948431379</v>
      </c>
      <c r="FZ299" s="18">
        <f>INPUT!GS240</f>
        <v>1.3610245686379585E-2</v>
      </c>
      <c r="GA299" s="399">
        <f>INPUT!GT240</f>
        <v>-1.8061020259370619</v>
      </c>
    </row>
    <row r="300" spans="1:183" ht="12.75" hidden="1" customHeight="1" outlineLevel="1" x14ac:dyDescent="0.2">
      <c r="A300" s="612"/>
      <c r="B300" s="119"/>
      <c r="C300" s="399"/>
      <c r="D300" s="119"/>
      <c r="E300" s="399"/>
      <c r="F300" s="119"/>
      <c r="G300" s="399"/>
      <c r="H300" s="119"/>
      <c r="I300" s="399"/>
      <c r="J300" s="119"/>
      <c r="K300" s="399"/>
      <c r="L300" s="119"/>
      <c r="M300" s="399"/>
      <c r="N300" s="119"/>
      <c r="O300" s="399"/>
      <c r="P300" s="119"/>
      <c r="Q300" s="399"/>
      <c r="R300" s="119"/>
      <c r="S300" s="399"/>
      <c r="T300" s="119"/>
      <c r="U300" s="399"/>
      <c r="V300" s="119"/>
      <c r="W300" s="399"/>
      <c r="X300" s="119"/>
      <c r="Y300" s="399"/>
      <c r="Z300" s="119"/>
      <c r="AA300" s="399"/>
      <c r="AB300" s="119"/>
      <c r="AC300" s="399"/>
      <c r="AD300" s="119"/>
      <c r="AE300" s="399"/>
      <c r="AF300" s="119"/>
      <c r="AG300" s="399"/>
      <c r="AH300" s="119"/>
      <c r="AI300" s="399"/>
      <c r="AJ300" s="119"/>
      <c r="AK300" s="399"/>
      <c r="AL300" s="119"/>
      <c r="AM300" s="399"/>
      <c r="AN300" s="119"/>
      <c r="AO300" s="18"/>
      <c r="AP300" s="119"/>
      <c r="AQ300" s="18"/>
      <c r="AR300" s="119"/>
      <c r="AS300" s="18"/>
      <c r="AT300" s="119"/>
      <c r="AU300" s="18"/>
      <c r="AV300" s="119"/>
      <c r="AW300" s="18"/>
      <c r="AX300" s="119"/>
      <c r="AY300" s="18"/>
      <c r="AZ300" s="119"/>
      <c r="BA300" s="18"/>
      <c r="BB300" s="119"/>
      <c r="BC300" s="18"/>
      <c r="BD300" s="119"/>
      <c r="BE300" s="18"/>
      <c r="BF300" s="119"/>
      <c r="BG300" s="18"/>
      <c r="BH300" s="119"/>
      <c r="BI300" s="18"/>
      <c r="BJ300" s="119"/>
      <c r="BK300" s="18"/>
      <c r="BL300" s="119"/>
      <c r="BM300" s="18"/>
      <c r="BN300" s="119"/>
      <c r="BO300" s="18"/>
      <c r="BP300" s="119"/>
      <c r="BQ300" s="18"/>
      <c r="BR300" s="119"/>
      <c r="BS300" s="18"/>
      <c r="BT300" s="119"/>
      <c r="BU300" s="18"/>
      <c r="BV300" s="119"/>
      <c r="BW300" s="18"/>
      <c r="BX300" s="119"/>
      <c r="BY300" s="18"/>
      <c r="BZ300" s="119"/>
      <c r="CA300" s="18"/>
      <c r="CB300" s="119"/>
      <c r="CC300" s="18"/>
      <c r="CD300" s="119"/>
      <c r="CE300" s="18"/>
      <c r="CF300" s="119"/>
      <c r="CG300" s="18"/>
      <c r="CH300" s="119"/>
      <c r="CI300" s="18"/>
      <c r="CJ300" s="119"/>
      <c r="CK300" s="18"/>
      <c r="CL300" s="119"/>
      <c r="CM300" s="18"/>
      <c r="CN300" s="119"/>
      <c r="CO300" s="18"/>
      <c r="CP300" s="119"/>
      <c r="CQ300" s="18"/>
      <c r="CR300" s="119"/>
      <c r="CS300" s="18"/>
      <c r="CT300" s="119"/>
      <c r="CU300" s="18"/>
      <c r="CV300" s="119"/>
      <c r="CW300" s="18"/>
      <c r="CX300" s="119"/>
      <c r="CY300" s="18"/>
      <c r="CZ300" s="119"/>
      <c r="DA300" s="18"/>
      <c r="DB300" s="119"/>
      <c r="DC300" s="18"/>
      <c r="DD300" s="119"/>
      <c r="DE300" s="18"/>
      <c r="DF300" s="119"/>
      <c r="DG300" s="18"/>
      <c r="DH300" s="119"/>
      <c r="DI300" s="18"/>
      <c r="DJ300" s="119"/>
      <c r="DK300" s="18"/>
      <c r="DL300" s="119"/>
      <c r="DM300" s="18"/>
      <c r="DN300" s="119"/>
      <c r="DO300" s="18"/>
      <c r="DP300" s="119"/>
      <c r="DQ300" s="18"/>
      <c r="DR300" s="119"/>
      <c r="DS300" s="18"/>
      <c r="DT300" s="119"/>
      <c r="DU300" s="18"/>
      <c r="DV300" s="119"/>
      <c r="DW300" s="18"/>
      <c r="DX300" s="119"/>
      <c r="DY300" s="18"/>
      <c r="DZ300" s="119"/>
      <c r="EA300" s="18"/>
      <c r="EB300" s="119"/>
      <c r="EC300" s="18"/>
      <c r="ED300" s="119"/>
      <c r="EE300" s="18"/>
      <c r="EF300" s="119"/>
      <c r="EG300" s="18"/>
      <c r="EH300" s="18"/>
      <c r="EI300" s="119"/>
      <c r="EJ300" s="399"/>
      <c r="EK300" s="119"/>
      <c r="EL300" s="399"/>
      <c r="EM300" s="119"/>
      <c r="EN300" s="399"/>
      <c r="EO300" s="119"/>
      <c r="EP300" s="399"/>
      <c r="EQ300" s="119"/>
      <c r="ER300" s="18"/>
      <c r="ES300" s="119"/>
      <c r="ET300" s="18"/>
      <c r="EU300" s="119"/>
      <c r="EV300" s="18"/>
      <c r="EW300" s="119"/>
      <c r="EX300" s="18"/>
      <c r="EY300" s="119"/>
      <c r="EZ300" s="18"/>
      <c r="FA300" s="119"/>
      <c r="FB300" s="18"/>
      <c r="FC300" s="119"/>
      <c r="FD300" s="18"/>
      <c r="FE300" s="119"/>
      <c r="FF300" s="18"/>
      <c r="FG300" s="119"/>
      <c r="FH300" s="18"/>
      <c r="FI300" s="119"/>
      <c r="FJ300" s="18"/>
      <c r="FK300" s="119"/>
      <c r="FL300" s="18"/>
      <c r="FM300" s="119"/>
      <c r="FN300" s="18"/>
      <c r="FO300" s="119"/>
      <c r="FP300" s="18"/>
      <c r="FQ300" s="119"/>
      <c r="FR300" s="18"/>
      <c r="FS300" s="119"/>
      <c r="FT300" s="18"/>
      <c r="FU300" s="119"/>
      <c r="FV300" s="18"/>
      <c r="FW300" s="119"/>
      <c r="FX300" s="18"/>
      <c r="FY300" s="119"/>
      <c r="FZ300" s="18"/>
      <c r="GA300" s="399"/>
    </row>
    <row r="301" spans="1:183" ht="12.75" hidden="1" customHeight="1" outlineLevel="1" x14ac:dyDescent="0.2">
      <c r="A301" s="610" t="s">
        <v>438</v>
      </c>
      <c r="B301" s="119"/>
      <c r="C301" s="399"/>
      <c r="D301" s="119"/>
      <c r="E301" s="399"/>
      <c r="F301" s="119"/>
      <c r="G301" s="399"/>
      <c r="H301" s="119"/>
      <c r="I301" s="399"/>
      <c r="J301" s="119"/>
      <c r="K301" s="399"/>
      <c r="L301" s="119"/>
      <c r="M301" s="399"/>
      <c r="N301" s="119"/>
      <c r="O301" s="399"/>
      <c r="P301" s="119"/>
      <c r="Q301" s="399"/>
      <c r="R301" s="119"/>
      <c r="S301" s="399"/>
      <c r="T301" s="119"/>
      <c r="U301" s="399"/>
      <c r="V301" s="119"/>
      <c r="W301" s="399"/>
      <c r="X301" s="119"/>
      <c r="Y301" s="399"/>
      <c r="Z301" s="119"/>
      <c r="AA301" s="399"/>
      <c r="AB301" s="119"/>
      <c r="AC301" s="399"/>
      <c r="AD301" s="119"/>
      <c r="AE301" s="399"/>
      <c r="AF301" s="119"/>
      <c r="AG301" s="399"/>
      <c r="AH301" s="119"/>
      <c r="AI301" s="399"/>
      <c r="AJ301" s="119"/>
      <c r="AK301" s="399"/>
      <c r="AL301" s="119"/>
      <c r="AM301" s="399"/>
      <c r="AN301" s="119"/>
      <c r="AO301" s="18"/>
      <c r="AP301" s="119"/>
      <c r="AQ301" s="18"/>
      <c r="AR301" s="119"/>
      <c r="AS301" s="18"/>
      <c r="AT301" s="119"/>
      <c r="AU301" s="18"/>
      <c r="AV301" s="119"/>
      <c r="AW301" s="18"/>
      <c r="AX301" s="119"/>
      <c r="AY301" s="18"/>
      <c r="AZ301" s="119"/>
      <c r="BA301" s="18"/>
      <c r="BB301" s="119"/>
      <c r="BC301" s="18"/>
      <c r="BD301" s="119"/>
      <c r="BE301" s="18"/>
      <c r="BF301" s="119"/>
      <c r="BG301" s="18"/>
      <c r="BH301" s="119"/>
      <c r="BI301" s="18"/>
      <c r="BJ301" s="119"/>
      <c r="BK301" s="18"/>
      <c r="BL301" s="119"/>
      <c r="BM301" s="18"/>
      <c r="BN301" s="119"/>
      <c r="BO301" s="18"/>
      <c r="BP301" s="119"/>
      <c r="BQ301" s="18"/>
      <c r="BR301" s="119"/>
      <c r="BS301" s="18"/>
      <c r="BT301" s="119"/>
      <c r="BU301" s="18"/>
      <c r="BV301" s="119"/>
      <c r="BW301" s="18"/>
      <c r="BX301" s="119"/>
      <c r="BY301" s="18"/>
      <c r="BZ301" s="119"/>
      <c r="CA301" s="18"/>
      <c r="CB301" s="119"/>
      <c r="CC301" s="18"/>
      <c r="CD301" s="119"/>
      <c r="CE301" s="18"/>
      <c r="CF301" s="119"/>
      <c r="CG301" s="18"/>
      <c r="CH301" s="119"/>
      <c r="CI301" s="18"/>
      <c r="CJ301" s="119"/>
      <c r="CK301" s="18"/>
      <c r="CL301" s="119"/>
      <c r="CM301" s="18"/>
      <c r="CN301" s="119"/>
      <c r="CO301" s="18"/>
      <c r="CP301" s="119"/>
      <c r="CQ301" s="18"/>
      <c r="CR301" s="119"/>
      <c r="CS301" s="18"/>
      <c r="CT301" s="119"/>
      <c r="CU301" s="18"/>
      <c r="CV301" s="119"/>
      <c r="CW301" s="18"/>
      <c r="CX301" s="119"/>
      <c r="CY301" s="18"/>
      <c r="CZ301" s="119"/>
      <c r="DA301" s="18"/>
      <c r="DB301" s="119"/>
      <c r="DC301" s="18"/>
      <c r="DD301" s="119"/>
      <c r="DE301" s="18"/>
      <c r="DF301" s="119"/>
      <c r="DG301" s="18"/>
      <c r="DH301" s="119"/>
      <c r="DI301" s="18"/>
      <c r="DJ301" s="119"/>
      <c r="DK301" s="18"/>
      <c r="DL301" s="119"/>
      <c r="DM301" s="18"/>
      <c r="DN301" s="119"/>
      <c r="DO301" s="18"/>
      <c r="DP301" s="119"/>
      <c r="DQ301" s="18"/>
      <c r="DR301" s="119"/>
      <c r="DS301" s="18"/>
      <c r="DT301" s="119"/>
      <c r="DU301" s="18"/>
      <c r="DV301" s="119"/>
      <c r="DW301" s="18"/>
      <c r="DX301" s="119"/>
      <c r="DY301" s="18"/>
      <c r="DZ301" s="119"/>
      <c r="EA301" s="18"/>
      <c r="EB301" s="119"/>
      <c r="EC301" s="18"/>
      <c r="ED301" s="119"/>
      <c r="EE301" s="18"/>
      <c r="EF301" s="119"/>
      <c r="EG301" s="18"/>
      <c r="EH301" s="18"/>
      <c r="EI301" s="119"/>
      <c r="EJ301" s="399"/>
      <c r="EK301" s="119"/>
      <c r="EL301" s="399"/>
      <c r="EM301" s="119"/>
      <c r="EN301" s="399"/>
      <c r="EO301" s="119"/>
      <c r="EP301" s="399"/>
      <c r="EQ301" s="119"/>
      <c r="ER301" s="18"/>
      <c r="ES301" s="119"/>
      <c r="ET301" s="18"/>
      <c r="EU301" s="119"/>
      <c r="EV301" s="18"/>
      <c r="EW301" s="119"/>
      <c r="EX301" s="18"/>
      <c r="EY301" s="119"/>
      <c r="EZ301" s="18"/>
      <c r="FA301" s="119"/>
      <c r="FB301" s="18"/>
      <c r="FC301" s="119"/>
      <c r="FD301" s="18"/>
      <c r="FE301" s="119"/>
      <c r="FF301" s="18"/>
      <c r="FG301" s="119"/>
      <c r="FH301" s="18"/>
      <c r="FI301" s="119"/>
      <c r="FJ301" s="18"/>
      <c r="FK301" s="119"/>
      <c r="FL301" s="18"/>
      <c r="FM301" s="119"/>
      <c r="FN301" s="18"/>
      <c r="FO301" s="119"/>
      <c r="FP301" s="18"/>
      <c r="FQ301" s="119"/>
      <c r="FR301" s="18"/>
      <c r="FS301" s="119"/>
      <c r="FT301" s="18"/>
      <c r="FU301" s="119"/>
      <c r="FV301" s="18"/>
      <c r="FW301" s="119"/>
      <c r="FX301" s="18"/>
      <c r="FY301" s="119"/>
      <c r="FZ301" s="18"/>
      <c r="GA301" s="399"/>
    </row>
    <row r="302" spans="1:183" ht="12.75" hidden="1" customHeight="1" outlineLevel="1" x14ac:dyDescent="0.2">
      <c r="A302" s="612" t="str">
        <f>INPUT!B233</f>
        <v>Benefits/Premiums (%)</v>
      </c>
      <c r="B302" s="119">
        <f>INPUT!M233</f>
        <v>55.27831094049904</v>
      </c>
      <c r="C302" s="399">
        <f>INPUT!N233</f>
        <v>-2.5440182840912984</v>
      </c>
      <c r="D302" s="119">
        <f>INPUT!O233</f>
        <v>55.591054313099043</v>
      </c>
      <c r="E302" s="399">
        <f>INPUT!P233</f>
        <v>-2.4138749429484241</v>
      </c>
      <c r="F302" s="119">
        <f>INPUT!Q233</f>
        <v>56.929770043505279</v>
      </c>
      <c r="G302" s="399">
        <f>INPUT!R233</f>
        <v>0.30483293379501841</v>
      </c>
      <c r="H302" s="119">
        <f>INPUT!S233</f>
        <v>56.564417177914116</v>
      </c>
      <c r="I302" s="399">
        <f>INPUT!T233</f>
        <v>1.0366786645876758</v>
      </c>
      <c r="J302" s="119">
        <f>INPUT!U233</f>
        <v>56.330597889800707</v>
      </c>
      <c r="K302" s="399">
        <f>INPUT!V233</f>
        <v>1.9036163214797508</v>
      </c>
      <c r="L302" s="119">
        <f>INPUT!W233</f>
        <v>56.843331391962728</v>
      </c>
      <c r="M302" s="399">
        <f>INPUT!X233</f>
        <v>2.252659343013419</v>
      </c>
      <c r="N302" s="119">
        <f>INPUT!Y233</f>
        <v>56.321839080459768</v>
      </c>
      <c r="O302" s="399">
        <f>INPUT!Z233</f>
        <v>-1.0678612658736153</v>
      </c>
      <c r="P302" s="119">
        <f>INPUT!AA233</f>
        <v>58.521444695259596</v>
      </c>
      <c r="Q302" s="399">
        <f>INPUT!AB233</f>
        <v>3.459820882074971</v>
      </c>
      <c r="R302" s="119">
        <f>INPUT!AC233</f>
        <v>55.494202098288234</v>
      </c>
      <c r="S302" s="399">
        <f>INPUT!AD233</f>
        <v>-1.4847983562125688</v>
      </c>
      <c r="T302" s="119">
        <f>INPUT!AE233</f>
        <v>55.217391304347821</v>
      </c>
      <c r="U302" s="399">
        <f>INPUT!AF233</f>
        <v>-2.8603884533143442</v>
      </c>
      <c r="V302" s="119">
        <f>INPUT!AG233</f>
        <v>55.096566523605148</v>
      </c>
      <c r="W302" s="399">
        <f>INPUT!AH233</f>
        <v>-2.1754839274765736</v>
      </c>
      <c r="X302" s="119">
        <f>INPUT!AI233</f>
        <v>54.617414248021113</v>
      </c>
      <c r="Y302" s="399">
        <f>INPUT!AJ233</f>
        <v>-6.6711108510188915</v>
      </c>
      <c r="Z302" s="119">
        <f>INPUT!AK233</f>
        <v>53.798449612403097</v>
      </c>
      <c r="AA302" s="399">
        <f>INPUT!AL233</f>
        <v>-3.0557291064059577</v>
      </c>
      <c r="AB302" s="119">
        <f>INPUT!AM233</f>
        <v>53.783231083844584</v>
      </c>
      <c r="AC302" s="399">
        <f>INPUT!AN233</f>
        <v>-2.5972980371318455</v>
      </c>
      <c r="AD302" s="119">
        <f>INPUT!AO233</f>
        <v>55.927051671732521</v>
      </c>
      <c r="AE302" s="399">
        <f>INPUT!AP233</f>
        <v>1.5073265005933978</v>
      </c>
      <c r="AF302" s="119">
        <f>INPUT!AQ233</f>
        <v>56.608478802992522</v>
      </c>
      <c r="AG302" s="399">
        <f>INPUT!AR233</f>
        <v>3.6454756827737356</v>
      </c>
      <c r="AH302" s="119">
        <f>INPUT!AS233</f>
        <v>52.073050345508385</v>
      </c>
      <c r="AI302" s="399">
        <f>INPUT!AT233</f>
        <v>-3.2071542569080402</v>
      </c>
      <c r="AJ302" s="119">
        <f>INPUT!AU233</f>
        <v>52.696897374701678</v>
      </c>
      <c r="AK302" s="399">
        <f>INPUT!AV233</f>
        <v>-2.0198372006497323</v>
      </c>
      <c r="AL302" s="119">
        <f>INPUT!AW233</f>
        <v>52.631578947368418</v>
      </c>
      <c r="AM302" s="399">
        <f>INPUT!AX233</f>
        <v>-5.8924485125858128</v>
      </c>
      <c r="AN302" s="119">
        <f>INPUT!AY233</f>
        <v>52.255985267035001</v>
      </c>
      <c r="AO302" s="18">
        <f>INPUT!AZ233</f>
        <v>-7.6887661141804671</v>
      </c>
      <c r="AP302" s="119">
        <f>INPUT!BA233</f>
        <v>49.239033124440461</v>
      </c>
      <c r="AQ302" s="18">
        <f>INPUT!BB233</f>
        <v>-5.4423875733493947</v>
      </c>
      <c r="AR302" s="119">
        <f>INPUT!BC233</f>
        <v>47.153024911032027</v>
      </c>
      <c r="AS302" s="18">
        <f>INPUT!BD233</f>
        <v>-10.52030145959051</v>
      </c>
      <c r="AT302" s="119">
        <f>INPUT!BE233</f>
        <v>48.634361233480178</v>
      </c>
      <c r="AU302" s="18">
        <f>INPUT!BF233</f>
        <v>-7.5947136563876523</v>
      </c>
      <c r="AV302" s="119">
        <f>INPUT!BG233</f>
        <v>48.017241379310349</v>
      </c>
      <c r="AW302" s="18">
        <f>INPUT!BH233</f>
        <v>-8.1114993164210993</v>
      </c>
      <c r="AX302" s="119">
        <f>INPUT!BI233</f>
        <v>47.212978369384359</v>
      </c>
      <c r="AY302" s="18">
        <f>INPUT!BJ233</f>
        <v>-4.114733020723027</v>
      </c>
      <c r="AZ302" s="119">
        <f>INPUT!BK233</f>
        <v>46.908491343775758</v>
      </c>
      <c r="BA302" s="18">
        <f>INPUT!BL233</f>
        <v>-0.51859571621895029</v>
      </c>
      <c r="BB302" s="119">
        <f>INPUT!BM233</f>
        <v>47.512234910277328</v>
      </c>
      <c r="BC302" s="18">
        <f>INPUT!BN233</f>
        <v>-2.3072706102087559</v>
      </c>
      <c r="BD302" s="119">
        <f>INPUT!BO233</f>
        <v>48.253713368125247</v>
      </c>
      <c r="BE302" s="18">
        <f>INPUT!BP233</f>
        <v>0.49247308263067335</v>
      </c>
      <c r="BF302" s="119">
        <f>INPUT!BQ233</f>
        <v>46.290449881610101</v>
      </c>
      <c r="BG302" s="18">
        <f>INPUT!BR233</f>
        <v>-1.9539722331359588</v>
      </c>
      <c r="BH302" s="119">
        <f>INPUT!BS233</f>
        <v>46.411483253588514</v>
      </c>
      <c r="BI302" s="18">
        <f>INPUT!BT233</f>
        <v>-1.0595269128244711</v>
      </c>
      <c r="BJ302" s="119">
        <f>INPUT!BU233</f>
        <v>48.165680473372781</v>
      </c>
      <c r="BK302" s="18">
        <f>INPUT!BV233</f>
        <v>1.375320618635234</v>
      </c>
      <c r="BL302" s="119">
        <f>INPUT!BW233</f>
        <v>48.484848484848484</v>
      </c>
      <c r="BM302" s="18">
        <f>INPUT!BX233</f>
        <v>0.47899964705289122</v>
      </c>
      <c r="BN302" s="119">
        <f>INPUT!BY233</f>
        <v>47.076574877404745</v>
      </c>
      <c r="BO302" s="18">
        <f>INPUT!BZ233</f>
        <v>1.6982444495683202</v>
      </c>
      <c r="BP302" s="119">
        <f>INPUT!CA233</f>
        <v>48.337691445648119</v>
      </c>
      <c r="BQ302" s="18">
        <f>INPUT!CB233</f>
        <v>4.150283630314</v>
      </c>
      <c r="BR302" s="119">
        <f>INPUT!CC233</f>
        <v>49.870033419977723</v>
      </c>
      <c r="BS302" s="18">
        <f>INPUT!CD233</f>
        <v>3.5385214739095172</v>
      </c>
      <c r="BT302" s="119">
        <f>INPUT!CE233</f>
        <v>53.435672514619867</v>
      </c>
      <c r="BU302" s="18">
        <f>INPUT!CF233</f>
        <v>10.211074561403466</v>
      </c>
      <c r="BV302" s="119">
        <f>INPUT!CG233</f>
        <v>51.390870185449359</v>
      </c>
      <c r="BW302" s="18">
        <f>INPUT!CH233</f>
        <v>9.1644205622005472</v>
      </c>
      <c r="BX302" s="119">
        <f>INPUT!CI233</f>
        <v>51.170212765957444</v>
      </c>
      <c r="BY302" s="18">
        <f>INPUT!CJ233</f>
        <v>5.8598605675951099</v>
      </c>
      <c r="BZ302" s="119">
        <f>INPUT!CK233</f>
        <v>52.5555163905534</v>
      </c>
      <c r="CA302" s="18">
        <f>INPUT!CL233</f>
        <v>5.3849632462846575</v>
      </c>
      <c r="CB302" s="119">
        <f>INPUT!CM233</f>
        <v>52.524204702627941</v>
      </c>
      <c r="CC302" s="18">
        <f>INPUT!CN233</f>
        <v>-1.7057290927564361</v>
      </c>
      <c r="CD302" s="119">
        <f>INPUT!CO233</f>
        <v>52.109348633142083</v>
      </c>
      <c r="CE302" s="18">
        <f>INPUT!CP233</f>
        <v>1.3980663201460075</v>
      </c>
      <c r="CF302" s="119">
        <f>INPUT!CQ233</f>
        <v>52.47558100370496</v>
      </c>
      <c r="CG302" s="18">
        <f>INPUT!CR233</f>
        <v>2.5510314833319336</v>
      </c>
      <c r="CH302" s="119">
        <f>INPUT!CS233</f>
        <v>52.93921175684703</v>
      </c>
      <c r="CI302" s="18">
        <f>INPUT!CT233</f>
        <v>0.73007629387995543</v>
      </c>
      <c r="CJ302" s="119">
        <f>INPUT!CU233</f>
        <v>52.533951639615772</v>
      </c>
      <c r="CK302" s="18">
        <f>INPUT!CV233</f>
        <v>1.8557038689137606E-2</v>
      </c>
      <c r="CL302" s="119">
        <f>INPUT!CW233</f>
        <v>52.523607945294692</v>
      </c>
      <c r="CM302" s="18">
        <f>INPUT!CX233</f>
        <v>0.79498079139130873</v>
      </c>
      <c r="CN302" s="119">
        <f>INPUT!CY233</f>
        <v>52.062357908411826</v>
      </c>
      <c r="CO302" s="18">
        <f>INPUT!CZ233</f>
        <v>-0.78745787543345047</v>
      </c>
      <c r="CP302" s="119">
        <f>INPUT!DA233</f>
        <v>53.05726302167583</v>
      </c>
      <c r="CQ302" s="18">
        <f>INPUT!DB233</f>
        <v>0.22299399804253106</v>
      </c>
      <c r="CR302" s="119">
        <f>INPUT!DC233</f>
        <v>58.876987990912042</v>
      </c>
      <c r="CS302" s="18">
        <f>INPUT!DD233</f>
        <v>12.074165664920189</v>
      </c>
      <c r="CT302" s="119">
        <f>INPUT!DE233</f>
        <v>50.50568900126423</v>
      </c>
      <c r="CU302" s="18">
        <f>INPUT!DF233</f>
        <v>-3.8419275121621466</v>
      </c>
      <c r="CV302" s="119">
        <f>INPUT!DG233</f>
        <v>51.957070707070706</v>
      </c>
      <c r="CW302" s="18">
        <f>INPUT!DH233</f>
        <v>-0.2022328714468502</v>
      </c>
      <c r="CX302" s="119">
        <f>INPUT!DI233</f>
        <v>52.692548528490924</v>
      </c>
      <c r="CY302" s="18">
        <f>INPUT!DJ233</f>
        <v>-0.68739786489910859</v>
      </c>
      <c r="CZ302" s="119">
        <f>INPUT!DK233</f>
        <v>52.289006540018676</v>
      </c>
      <c r="DA302" s="18">
        <f>INPUT!DL233</f>
        <v>-11.189399586660675</v>
      </c>
      <c r="DB302" s="119">
        <f>INPUT!DM233</f>
        <v>51.294400963275145</v>
      </c>
      <c r="DC302" s="18">
        <f>INPUT!DN233</f>
        <v>1.5616299423044655</v>
      </c>
      <c r="DD302" s="119">
        <f>INPUT!DO233</f>
        <v>50.401905328966954</v>
      </c>
      <c r="DE302" s="18">
        <f>INPUT!DP233</f>
        <v>-2.9931737046371087</v>
      </c>
      <c r="DF302" s="119">
        <f>INPUT!DQ233</f>
        <v>51.185830081056736</v>
      </c>
      <c r="DG302" s="18">
        <f>INPUT!DR233</f>
        <v>-2.8594525972102214</v>
      </c>
      <c r="DH302" s="119">
        <f>INPUT!DS233</f>
        <v>51.215174866627159</v>
      </c>
      <c r="DI302" s="18">
        <f>INPUT!DT233</f>
        <v>-2.0536471133175471</v>
      </c>
      <c r="DJ302" s="119">
        <f>INPUT!DU233</f>
        <v>50.939635535307524</v>
      </c>
      <c r="DK302" s="18">
        <f>INPUT!DV233</f>
        <v>-0.69162602799790474</v>
      </c>
      <c r="DL302" s="119">
        <f>INPUT!DW233</f>
        <v>51.138303927148556</v>
      </c>
      <c r="DM302" s="18">
        <f>INPUT!DX233</f>
        <v>1.4610530958605983</v>
      </c>
      <c r="DN302" s="119">
        <f>INPUT!DY233</f>
        <v>51.567353854843255</v>
      </c>
      <c r="DO302" s="18">
        <f>INPUT!DZ233</f>
        <v>0.74536990644158418</v>
      </c>
      <c r="DP302" s="119">
        <f>INPUT!EA233</f>
        <v>51.387347391786911</v>
      </c>
      <c r="DQ302" s="18">
        <f>INPUT!EB233</f>
        <v>0.33617482632466444</v>
      </c>
      <c r="DR302" s="119">
        <f>INPUT!EC233</f>
        <v>50.814854394870423</v>
      </c>
      <c r="DS302" s="18">
        <f>INPUT!ED233</f>
        <v>-0.24495884025438341</v>
      </c>
      <c r="DT302" s="119">
        <f>INPUT!EE233</f>
        <v>51.262290725484981</v>
      </c>
      <c r="DU302" s="18">
        <f>INPUT!EF233</f>
        <v>0.24245387276249364</v>
      </c>
      <c r="DV302" s="119">
        <f>INPUT!EG233</f>
        <v>51.782413519936618</v>
      </c>
      <c r="DW302" s="18">
        <f>INPUT!EH233</f>
        <v>0.41704615229769537</v>
      </c>
      <c r="DX302" s="119">
        <f>INPUT!EI233</f>
        <v>54.802407746663171</v>
      </c>
      <c r="DY302" s="18">
        <f>INPUT!EJ233</f>
        <v>6.6457222024697948</v>
      </c>
      <c r="DZ302" s="119">
        <f>INPUT!EK233</f>
        <v>52</v>
      </c>
      <c r="EA302" s="18">
        <f>INPUT!EL233</f>
        <v>2.332281808622505</v>
      </c>
      <c r="EB302" s="119">
        <f>INPUT!EM233</f>
        <v>52</v>
      </c>
      <c r="EC302" s="18">
        <f>INPUT!EN233</f>
        <v>1.4390876101607164</v>
      </c>
      <c r="ED302" s="119">
        <f>INPUT!EO233</f>
        <v>52</v>
      </c>
      <c r="EE302" s="18">
        <f>INPUT!EP233</f>
        <v>0.42019377868436347</v>
      </c>
      <c r="EF302" s="119">
        <f>INPUT!EQ233</f>
        <v>52</v>
      </c>
      <c r="EG302" s="18">
        <f>INPUT!ER233</f>
        <v>-5.1136580706781176</v>
      </c>
      <c r="EH302" s="18"/>
      <c r="EI302" s="119">
        <f>INPUT!FB233</f>
        <v>56.610557280601405</v>
      </c>
      <c r="EJ302" s="399" t="str">
        <f>INPUT!FC233</f>
        <v>NA</v>
      </c>
      <c r="EK302" s="119">
        <f>INPUT!FD233</f>
        <v>56.101774776189728</v>
      </c>
      <c r="EL302" s="399">
        <f>INPUT!FE233</f>
        <v>-0.89874138120527025</v>
      </c>
      <c r="EM302" s="119">
        <f>INPUT!FF233</f>
        <v>57.015140591204037</v>
      </c>
      <c r="EN302" s="399">
        <f>INPUT!FG233</f>
        <v>1.6280515521265748</v>
      </c>
      <c r="EO302" s="119">
        <f>INPUT!FH233</f>
        <v>55.101214574898783</v>
      </c>
      <c r="EP302" s="399">
        <f>INPUT!FI233</f>
        <v>-3.3568732734134854</v>
      </c>
      <c r="EQ302" s="119">
        <f>INPUT!FJ233</f>
        <v>55.044472681067347</v>
      </c>
      <c r="ER302" s="18">
        <f>INPUT!FK233</f>
        <v>-0.1029775736691052</v>
      </c>
      <c r="ES302" s="119">
        <f>INPUT!FL233</f>
        <v>52.416577603610016</v>
      </c>
      <c r="ET302" s="18">
        <f>INPUT!FM233</f>
        <v>-4.7741307155099726</v>
      </c>
      <c r="EU302" s="119">
        <f>INPUT!FN233</f>
        <v>48.258377425044088</v>
      </c>
      <c r="EV302" s="18">
        <f>INPUT!FO233</f>
        <v>-7.9329867928644493</v>
      </c>
      <c r="EW302" s="119">
        <f>INPUT!FP233</f>
        <v>47.47774480712166</v>
      </c>
      <c r="EX302" s="18">
        <f>INPUT!FQ233</f>
        <v>-1.6176105778419991</v>
      </c>
      <c r="EY302" s="119">
        <f>INPUT!FR233</f>
        <v>47.345089153777948</v>
      </c>
      <c r="EZ302" s="18">
        <f>INPUT!FS233</f>
        <v>-0.27940596985519539</v>
      </c>
      <c r="FA302" s="119">
        <f>INPUT!FT233</f>
        <v>49.707167425862245</v>
      </c>
      <c r="FB302" s="18">
        <f>INPUT!FU233</f>
        <v>4.9890671119283692</v>
      </c>
      <c r="FC302" s="119">
        <f>INPUT!FV233</f>
        <v>51.915793182418746</v>
      </c>
      <c r="FD302" s="18">
        <f>INPUT!FW233</f>
        <v>4.4432742216716337</v>
      </c>
      <c r="FE302" s="119">
        <f>INPUT!FX233</f>
        <v>52.51569694432817</v>
      </c>
      <c r="FF302" s="18">
        <f>INPUT!FY233</f>
        <v>1.1555323055578048</v>
      </c>
      <c r="FG302" s="119">
        <f>INPUT!FZ233</f>
        <v>54.13082291835741</v>
      </c>
      <c r="FH302" s="18">
        <f>INPUT!GA233</f>
        <v>3.0755108815206933</v>
      </c>
      <c r="FI302" s="119">
        <f>INPUT!GB233</f>
        <v>51.864646306037528</v>
      </c>
      <c r="FJ302" s="18">
        <f>INPUT!GC233</f>
        <v>-4.1864809920548085</v>
      </c>
      <c r="FK302" s="119">
        <f>INPUT!GD233</f>
        <v>51.023457343493206</v>
      </c>
      <c r="FL302" s="18">
        <f>INPUT!GE233</f>
        <v>-1.6218927968402963</v>
      </c>
      <c r="FM302" s="119">
        <f>INPUT!GF233</f>
        <v>51.259614706089906</v>
      </c>
      <c r="FN302" s="18">
        <f>INPUT!GG233</f>
        <v>0.46284076950504627</v>
      </c>
      <c r="FO302" s="119">
        <f>INPUT!GH233</f>
        <v>52.176789731374882</v>
      </c>
      <c r="FP302" s="18">
        <f>INPUT!GI233</f>
        <v>1.7892741304120774</v>
      </c>
      <c r="FQ302" s="119">
        <f>INPUT!GJ233</f>
        <v>52</v>
      </c>
      <c r="FR302" s="18">
        <f>INPUT!GK233</f>
        <v>-0.33882830332233604</v>
      </c>
      <c r="FS302" s="119">
        <f>INPUT!GL233</f>
        <v>52.2</v>
      </c>
      <c r="FT302" s="18">
        <f>INPUT!GM233</f>
        <v>0.38461538461538325</v>
      </c>
      <c r="FU302" s="119">
        <f>INPUT!GN233</f>
        <v>52.2</v>
      </c>
      <c r="FV302" s="18">
        <f>INPUT!GO233</f>
        <v>0</v>
      </c>
      <c r="FW302" s="119">
        <f>INPUT!GP233</f>
        <v>52.1</v>
      </c>
      <c r="FX302" s="18">
        <f>INPUT!GQ233</f>
        <v>-0.19157088122605526</v>
      </c>
      <c r="FY302" s="119">
        <f>INPUT!GR233</f>
        <v>52.1</v>
      </c>
      <c r="FZ302" s="18">
        <f>INPUT!GS233</f>
        <v>0</v>
      </c>
      <c r="GA302" s="399">
        <f>INPUT!GT233</f>
        <v>-2.9451783823952749E-2</v>
      </c>
    </row>
    <row r="303" spans="1:183" ht="12.75" hidden="1" customHeight="1" outlineLevel="1" x14ac:dyDescent="0.2">
      <c r="A303" s="612" t="str">
        <f>INPUT!B235</f>
        <v>Commissions/Premiums (%)</v>
      </c>
      <c r="B303" s="119">
        <f>INPUT!M235</f>
        <v>22.264875239923221</v>
      </c>
      <c r="C303" s="399">
        <f>INPUT!N235</f>
        <v>-5.9447791111276738</v>
      </c>
      <c r="D303" s="119">
        <f>INPUT!O235</f>
        <v>23.194888178913736</v>
      </c>
      <c r="E303" s="399">
        <f>INPUT!P235</f>
        <v>4.1735328737178223</v>
      </c>
      <c r="F303" s="119">
        <f>INPUT!Q235</f>
        <v>22.62274704785581</v>
      </c>
      <c r="G303" s="399">
        <f>INPUT!R235</f>
        <v>3.7042740777815109</v>
      </c>
      <c r="H303" s="119">
        <f>INPUT!S235</f>
        <v>22.331288343558281</v>
      </c>
      <c r="I303" s="399">
        <f>INPUT!T235</f>
        <v>6.6230402181322479</v>
      </c>
      <c r="J303" s="119">
        <f>INPUT!U235</f>
        <v>23.681125439624854</v>
      </c>
      <c r="K303" s="399">
        <f>INPUT!V235</f>
        <v>6.3609168452116505</v>
      </c>
      <c r="L303" s="119">
        <f>INPUT!W235</f>
        <v>23.995340710541647</v>
      </c>
      <c r="M303" s="399">
        <f>INPUT!X235</f>
        <v>3.4509868099109609</v>
      </c>
      <c r="N303" s="119">
        <f>INPUT!Y235</f>
        <v>24.195402298850578</v>
      </c>
      <c r="O303" s="399">
        <f>INPUT!Z235</f>
        <v>6.9516546671719359</v>
      </c>
      <c r="P303" s="119">
        <f>INPUT!AA235</f>
        <v>23.250564334085784</v>
      </c>
      <c r="Q303" s="399">
        <f>INPUT!AB235</f>
        <v>4.1165380894500725</v>
      </c>
      <c r="R303" s="119">
        <f>INPUT!AC235</f>
        <v>24.461623412479291</v>
      </c>
      <c r="S303" s="399">
        <f>INPUT!AD235</f>
        <v>3.2958652022021528</v>
      </c>
      <c r="T303" s="119">
        <f>INPUT!AE235</f>
        <v>24.239130434782609</v>
      </c>
      <c r="U303" s="399">
        <f>INPUT!AF235</f>
        <v>1.0159877585478982</v>
      </c>
      <c r="V303" s="119">
        <f>INPUT!AG235</f>
        <v>23.175965665236053</v>
      </c>
      <c r="W303" s="399">
        <f>INPUT!AH235</f>
        <v>-4.2133485569816447</v>
      </c>
      <c r="X303" s="119">
        <f>INPUT!AI235</f>
        <v>22.058047493403691</v>
      </c>
      <c r="Y303" s="399">
        <f>INPUT!AJ235</f>
        <v>-5.1289801982734584</v>
      </c>
      <c r="Z303" s="119">
        <f>INPUT!AK235</f>
        <v>22.015503875968992</v>
      </c>
      <c r="AA303" s="399">
        <f>INPUT!AL235</f>
        <v>-9.9998250126865695</v>
      </c>
      <c r="AB303" s="119">
        <f>INPUT!AM235</f>
        <v>21.625766871165645</v>
      </c>
      <c r="AC303" s="399">
        <f>INPUT!AN235</f>
        <v>-10.781589589809892</v>
      </c>
      <c r="AD303" s="119">
        <f>INPUT!AO235</f>
        <v>21.681864235055723</v>
      </c>
      <c r="AE303" s="399">
        <f>INPUT!AP235</f>
        <v>-6.4467709857780831</v>
      </c>
      <c r="AF303" s="119">
        <f>INPUT!AQ235</f>
        <v>21.446384039900249</v>
      </c>
      <c r="AG303" s="399">
        <f>INPUT!AR235</f>
        <v>-2.7729718765287625</v>
      </c>
      <c r="AH303" s="119">
        <f>INPUT!AS235</f>
        <v>21.569595261599211</v>
      </c>
      <c r="AI303" s="399">
        <f>INPUT!AT235</f>
        <v>-2.0254299737218928</v>
      </c>
      <c r="AJ303" s="119">
        <f>INPUT!AU235</f>
        <v>23.436754176610979</v>
      </c>
      <c r="AK303" s="399">
        <f>INPUT!AV235</f>
        <v>8.3742108024848161</v>
      </c>
      <c r="AL303" s="119">
        <f>INPUT!AW235</f>
        <v>21.146616541353382</v>
      </c>
      <c r="AM303" s="399">
        <f>INPUT!AX235</f>
        <v>-2.4686424003935059</v>
      </c>
      <c r="AN303" s="119">
        <f>INPUT!AY235</f>
        <v>21.685082872928181</v>
      </c>
      <c r="AO303" s="18">
        <f>INPUT!AZ235</f>
        <v>1.1130026981883923</v>
      </c>
      <c r="AP303" s="119">
        <f>INPUT!BA235</f>
        <v>22.112802148612353</v>
      </c>
      <c r="AQ303" s="18">
        <f>INPUT!BB235</f>
        <v>2.5183916546650531</v>
      </c>
      <c r="AR303" s="119">
        <f>INPUT!BC235</f>
        <v>22.108540925266905</v>
      </c>
      <c r="AS303" s="18">
        <f>INPUT!BD235</f>
        <v>-5.6672235469772625</v>
      </c>
      <c r="AT303" s="119">
        <f>INPUT!BE235</f>
        <v>22.334801762114541</v>
      </c>
      <c r="AU303" s="18">
        <f>INPUT!BF235</f>
        <v>5.6187958883994416</v>
      </c>
      <c r="AV303" s="119">
        <f>INPUT!BG235</f>
        <v>22.327586206896548</v>
      </c>
      <c r="AW303" s="18">
        <f>INPUT!BH235</f>
        <v>2.9628816165165439</v>
      </c>
      <c r="AX303" s="119">
        <f>INPUT!BI235</f>
        <v>22.088186356073212</v>
      </c>
      <c r="AY303" s="18">
        <f>INPUT!BJ235</f>
        <v>-0.11131919136121438</v>
      </c>
      <c r="AZ303" s="119">
        <f>INPUT!BK235</f>
        <v>22.011541632316568</v>
      </c>
      <c r="BA303" s="18">
        <f>INPUT!BL235</f>
        <v>-0.43874126871701336</v>
      </c>
      <c r="BB303" s="119">
        <f>INPUT!BM235</f>
        <v>21.45187601957586</v>
      </c>
      <c r="BC303" s="18">
        <f>INPUT!BN235</f>
        <v>-3.953138926159383</v>
      </c>
      <c r="BD303" s="119">
        <f>INPUT!BO235</f>
        <v>21.156162183861905</v>
      </c>
      <c r="BE303" s="18">
        <f>INPUT!BP235</f>
        <v>-5.2465323039389444</v>
      </c>
      <c r="BF303" s="119">
        <f>INPUT!BQ235</f>
        <v>21.428571428571427</v>
      </c>
      <c r="BG303" s="18">
        <f>INPUT!BR235</f>
        <v>-2.9862792574657071</v>
      </c>
      <c r="BH303" s="119">
        <f>INPUT!BS235</f>
        <v>21.172248803827749</v>
      </c>
      <c r="BI303" s="18">
        <f>INPUT!BT235</f>
        <v>-3.8129670447825337</v>
      </c>
      <c r="BJ303" s="119">
        <f>INPUT!BU235</f>
        <v>21.065088757396449</v>
      </c>
      <c r="BK303" s="18">
        <f>INPUT!BV235</f>
        <v>-1.8030463248363438</v>
      </c>
      <c r="BL303" s="119">
        <f>INPUT!BW235</f>
        <v>21.173271173271175</v>
      </c>
      <c r="BM303" s="18">
        <f>INPUT!BX235</f>
        <v>8.0870004968680576E-2</v>
      </c>
      <c r="BN303" s="119">
        <f>INPUT!BY235</f>
        <v>21.765371557902675</v>
      </c>
      <c r="BO303" s="18">
        <f>INPUT!BZ235</f>
        <v>1.5717339368791494</v>
      </c>
      <c r="BP303" s="119">
        <f>INPUT!CA235</f>
        <v>20.358610384759061</v>
      </c>
      <c r="BQ303" s="18">
        <f>INPUT!CB235</f>
        <v>-3.8429475612509756</v>
      </c>
      <c r="BR303" s="119">
        <f>INPUT!CC235</f>
        <v>22.094318603787595</v>
      </c>
      <c r="BS303" s="18">
        <f>INPUT!CD235</f>
        <v>4.8859506752838122</v>
      </c>
      <c r="BT303" s="119">
        <f>INPUT!CE235</f>
        <v>22.258771929824558</v>
      </c>
      <c r="BU303" s="18">
        <f>INPUT!CF235</f>
        <v>5.1267503621438726</v>
      </c>
      <c r="BV303" s="119">
        <f>INPUT!CG235</f>
        <v>21.825962910128389</v>
      </c>
      <c r="BW303" s="18">
        <f>INPUT!CH235</f>
        <v>0.27838418500929496</v>
      </c>
      <c r="BX303" s="119">
        <f>INPUT!CI235</f>
        <v>21.453900709219859</v>
      </c>
      <c r="BY303" s="18">
        <f>INPUT!CJ235</f>
        <v>5.3799856854707562</v>
      </c>
      <c r="BZ303" s="119">
        <f>INPUT!CK235</f>
        <v>21.783574198096581</v>
      </c>
      <c r="CA303" s="18">
        <f>INPUT!CL235</f>
        <v>-1.4064448479426894</v>
      </c>
      <c r="CB303" s="119">
        <f>INPUT!CM235</f>
        <v>21.57676348547718</v>
      </c>
      <c r="CC303" s="18">
        <f>INPUT!CN235</f>
        <v>-3.0639985282995497</v>
      </c>
      <c r="CD303" s="119">
        <f>INPUT!CO235</f>
        <v>21.565980425244682</v>
      </c>
      <c r="CE303" s="18">
        <f>INPUT!CP235</f>
        <v>-1.1911615810684895</v>
      </c>
      <c r="CF303" s="119">
        <f>INPUT!CQ235</f>
        <v>21.320309868642642</v>
      </c>
      <c r="CG303" s="18">
        <f>INPUT!CR235</f>
        <v>-0.62268788500454697</v>
      </c>
      <c r="CH303" s="119">
        <f>INPUT!CS235</f>
        <v>21.376085504342019</v>
      </c>
      <c r="CI303" s="18">
        <f>INPUT!CT235</f>
        <v>-1.8706236637244245</v>
      </c>
      <c r="CJ303" s="119">
        <f>INPUT!CU235</f>
        <v>20.967207684663798</v>
      </c>
      <c r="CK303" s="18">
        <f>INPUT!CV235</f>
        <v>-2.8250566922312537</v>
      </c>
      <c r="CL303" s="119">
        <f>INPUT!CW235</f>
        <v>20.840117225659395</v>
      </c>
      <c r="CM303" s="18">
        <f>INPUT!CX235</f>
        <v>-3.3657788112225417</v>
      </c>
      <c r="CN303" s="119">
        <f>INPUT!CY235</f>
        <v>20.298798311139983</v>
      </c>
      <c r="CO303" s="18">
        <f>INPUT!CZ235</f>
        <v>-4.7912603700243199</v>
      </c>
      <c r="CP303" s="119">
        <f>INPUT!DA235</f>
        <v>20.025881591717891</v>
      </c>
      <c r="CQ303" s="18">
        <f>INPUT!DB235</f>
        <v>-6.3164226787447486</v>
      </c>
      <c r="CR303" s="119">
        <f>INPUT!DC235</f>
        <v>20.804933463161309</v>
      </c>
      <c r="CS303" s="18">
        <f>INPUT!DD235</f>
        <v>-0.77394293004109382</v>
      </c>
      <c r="CT303" s="119">
        <f>INPUT!DE235</f>
        <v>20.069532237673833</v>
      </c>
      <c r="CU303" s="18">
        <f>INPUT!DF235</f>
        <v>-3.6976039032869723</v>
      </c>
      <c r="CV303" s="119">
        <f>INPUT!DG235</f>
        <v>20.044191919191917</v>
      </c>
      <c r="CW303" s="18">
        <f>INPUT!DH235</f>
        <v>-1.254292929292955</v>
      </c>
      <c r="CX303" s="119">
        <f>INPUT!DI235</f>
        <v>20.225422667501565</v>
      </c>
      <c r="CY303" s="18">
        <f>INPUT!DJ235</f>
        <v>0.99641593739472345</v>
      </c>
      <c r="CZ303" s="119">
        <f>INPUT!DK235</f>
        <v>22.018062908751169</v>
      </c>
      <c r="DA303" s="18">
        <f>INPUT!DL235</f>
        <v>5.8309700809085152</v>
      </c>
      <c r="DB303" s="119">
        <f>INPUT!DM235</f>
        <v>22.095123419626734</v>
      </c>
      <c r="DC303" s="18">
        <f>INPUT!DN235</f>
        <v>10.092866928659806</v>
      </c>
      <c r="DD303" s="119">
        <f>INPUT!DO235</f>
        <v>21.345638582911583</v>
      </c>
      <c r="DE303" s="18">
        <f>INPUT!DP235</f>
        <v>6.4928866624628379</v>
      </c>
      <c r="DF303" s="119">
        <f>INPUT!DQ235</f>
        <v>21.82527769438607</v>
      </c>
      <c r="DG303" s="18">
        <f>INPUT!DR235</f>
        <v>7.9101191267323623</v>
      </c>
      <c r="DH303" s="119">
        <f>INPUT!DS235</f>
        <v>22.43627741553053</v>
      </c>
      <c r="DI303" s="18">
        <f>INPUT!DT235</f>
        <v>1.8994155322044293</v>
      </c>
      <c r="DJ303" s="119">
        <f>INPUT!DU235</f>
        <v>22.15261958997722</v>
      </c>
      <c r="DK303" s="18">
        <f>INPUT!DV235</f>
        <v>0.26022108706309499</v>
      </c>
      <c r="DL303" s="119">
        <f>INPUT!DW235</f>
        <v>21.855435401252134</v>
      </c>
      <c r="DM303" s="18">
        <f>INPUT!DX235</f>
        <v>2.3882949969399103</v>
      </c>
      <c r="DN303" s="119">
        <f>INPUT!DY235</f>
        <v>22.225360067777462</v>
      </c>
      <c r="DO303" s="18">
        <f>INPUT!DZ235</f>
        <v>1.8331146984411628</v>
      </c>
      <c r="DP303" s="119">
        <f>INPUT!EA235</f>
        <v>22.280799112097672</v>
      </c>
      <c r="DQ303" s="18">
        <f>INPUT!EB235</f>
        <v>-0.69297727316045554</v>
      </c>
      <c r="DR303" s="119">
        <f>INPUT!EC235</f>
        <v>22.762489981298422</v>
      </c>
      <c r="DS303" s="18">
        <f>INPUT!ED235</f>
        <v>2.7530396070951868</v>
      </c>
      <c r="DT303" s="119">
        <f>INPUT!EE235</f>
        <v>22.641509433962266</v>
      </c>
      <c r="DU303" s="18">
        <f>INPUT!EF235</f>
        <v>3.5966981132075526</v>
      </c>
      <c r="DV303" s="119">
        <f>INPUT!EG235</f>
        <v>22.814893055188808</v>
      </c>
      <c r="DW303" s="18">
        <f>INPUT!EH235</f>
        <v>2.652523898886372</v>
      </c>
      <c r="DX303" s="119">
        <f>INPUT!EI235</f>
        <v>22.952106778330279</v>
      </c>
      <c r="DY303" s="18">
        <f>INPUT!EJ235</f>
        <v>3.0129425019954192</v>
      </c>
      <c r="DZ303" s="119">
        <f>INPUT!EK235</f>
        <v>22.952106778330279</v>
      </c>
      <c r="EA303" s="18">
        <f>INPUT!EL235</f>
        <v>0.83302308836883387</v>
      </c>
      <c r="EB303" s="119">
        <f>INPUT!EM235</f>
        <v>22.952106778330279</v>
      </c>
      <c r="EC303" s="18">
        <f>INPUT!EN235</f>
        <v>1.3718049376253871</v>
      </c>
      <c r="ED303" s="119">
        <f>INPUT!EO235</f>
        <v>22.952106778330279</v>
      </c>
      <c r="EE303" s="18">
        <f>INPUT!EP235</f>
        <v>0.60142172400086125</v>
      </c>
      <c r="EF303" s="119">
        <f>INPUT!EQ235</f>
        <v>22.952106778330279</v>
      </c>
      <c r="EG303" s="18">
        <f>INPUT!ER235</f>
        <v>0</v>
      </c>
      <c r="EH303" s="18"/>
      <c r="EI303" s="119">
        <f>INPUT!FB235</f>
        <v>22.17682627880373</v>
      </c>
      <c r="EJ303" s="399" t="str">
        <f>INPUT!FC235</f>
        <v>NA</v>
      </c>
      <c r="EK303" s="119">
        <f>INPUT!FD235</f>
        <v>22.60091094707083</v>
      </c>
      <c r="EL303" s="399">
        <f>INPUT!FE235</f>
        <v>1.912287461404838</v>
      </c>
      <c r="EM303" s="119">
        <f>INPUT!FF235</f>
        <v>23.777937995674119</v>
      </c>
      <c r="EN303" s="399">
        <f>INPUT!FG235</f>
        <v>5.2078743700188612</v>
      </c>
      <c r="EO303" s="119">
        <f>INPUT!FH235</f>
        <v>23.468286099865043</v>
      </c>
      <c r="EP303" s="399">
        <f>INPUT!FI235</f>
        <v>-1.3022655533268312</v>
      </c>
      <c r="EQ303" s="119">
        <f>INPUT!FJ235</f>
        <v>21.689961880559082</v>
      </c>
      <c r="ER303" s="18">
        <f>INPUT!FK235</f>
        <v>-7.5775632346504747</v>
      </c>
      <c r="ES303" s="119">
        <f>INPUT!FL235</f>
        <v>21.957012231326441</v>
      </c>
      <c r="ET303" s="18">
        <f>INPUT!FM235</f>
        <v>1.2312163213468841</v>
      </c>
      <c r="EU303" s="119">
        <f>INPUT!FN235</f>
        <v>22.222222222222225</v>
      </c>
      <c r="EV303" s="18">
        <f>INPUT!FO235</f>
        <v>1.2078601045610649</v>
      </c>
      <c r="EW303" s="119">
        <f>INPUT!FP235</f>
        <v>21.671953340837</v>
      </c>
      <c r="EX303" s="18">
        <f>INPUT!FQ235</f>
        <v>-2.4762099662335113</v>
      </c>
      <c r="EY303" s="119">
        <f>INPUT!FR235</f>
        <v>21.209733031228449</v>
      </c>
      <c r="EZ303" s="18">
        <f>INPUT!FS235</f>
        <v>-2.1328041009463505</v>
      </c>
      <c r="FA303" s="119">
        <f>INPUT!FT235</f>
        <v>21.623129125220789</v>
      </c>
      <c r="FB303" s="18">
        <f>INPUT!FU235</f>
        <v>1.949086739487349</v>
      </c>
      <c r="FC303" s="119">
        <f>INPUT!FV235</f>
        <v>21.659473266977894</v>
      </c>
      <c r="FD303" s="18">
        <f>INPUT!FW235</f>
        <v>0.16807993675029831</v>
      </c>
      <c r="FE303" s="119">
        <f>INPUT!FX235</f>
        <v>21.30598576810381</v>
      </c>
      <c r="FF303" s="18">
        <f>INPUT!FY235</f>
        <v>-1.6320226005357763</v>
      </c>
      <c r="FG303" s="119">
        <f>INPUT!FZ235</f>
        <v>20.491803278688526</v>
      </c>
      <c r="FH303" s="18">
        <f>INPUT!GA235</f>
        <v>-3.8213791104383388</v>
      </c>
      <c r="FI303" s="119">
        <f>INPUT!GB235</f>
        <v>20.593546360995525</v>
      </c>
      <c r="FJ303" s="18">
        <f>INPUT!GC235</f>
        <v>0.49650624165815671</v>
      </c>
      <c r="FK303" s="119">
        <f>INPUT!GD235</f>
        <v>21.925892723741224</v>
      </c>
      <c r="FL303" s="18">
        <f>INPUT!GE235</f>
        <v>6.4697276486054056</v>
      </c>
      <c r="FM303" s="119">
        <f>INPUT!GF235</f>
        <v>22.129701503069651</v>
      </c>
      <c r="FN303" s="18">
        <f>INPUT!GG235</f>
        <v>0.92953469168324254</v>
      </c>
      <c r="FO303" s="119">
        <f>INPUT!GH235</f>
        <v>22.793436548895063</v>
      </c>
      <c r="FP303" s="18">
        <f>INPUT!GI235</f>
        <v>2.9992950683647601</v>
      </c>
      <c r="FQ303" s="119">
        <f>INPUT!GJ235</f>
        <v>22.952106778330279</v>
      </c>
      <c r="FR303" s="18">
        <f>INPUT!GK235</f>
        <v>0.69612245215786572</v>
      </c>
      <c r="FS303" s="119">
        <f>INPUT!GL235</f>
        <v>22.952106778330279</v>
      </c>
      <c r="FT303" s="18">
        <f>INPUT!GM235</f>
        <v>0</v>
      </c>
      <c r="FU303" s="119">
        <f>INPUT!GN235</f>
        <v>22.952106778330279</v>
      </c>
      <c r="FV303" s="18">
        <f>INPUT!GO235</f>
        <v>0</v>
      </c>
      <c r="FW303" s="119">
        <f>INPUT!GP235</f>
        <v>22.952106778330279</v>
      </c>
      <c r="FX303" s="18">
        <f>INPUT!GQ235</f>
        <v>0</v>
      </c>
      <c r="FY303" s="119">
        <f>INPUT!GR235</f>
        <v>22.952106778330279</v>
      </c>
      <c r="FZ303" s="18">
        <f>INPUT!GS235</f>
        <v>0</v>
      </c>
      <c r="GA303" s="399">
        <f>INPUT!GT235</f>
        <v>0.13883843259958617</v>
      </c>
    </row>
    <row r="304" spans="1:183" ht="12.75" hidden="1" customHeight="1" outlineLevel="1" x14ac:dyDescent="0.2">
      <c r="A304" s="612" t="str">
        <f>INPUT!B236</f>
        <v>Other Expenses/Revenues (%)</v>
      </c>
      <c r="B304" s="119">
        <f>INPUT!M236</f>
        <v>17.386363636363637</v>
      </c>
      <c r="C304" s="399">
        <f>INPUT!N236</f>
        <v>1.1412715191784883</v>
      </c>
      <c r="D304" s="119">
        <f>INPUT!O236</f>
        <v>17.155756207674944</v>
      </c>
      <c r="E304" s="399">
        <f>INPUT!P236</f>
        <v>6.9171235085456306</v>
      </c>
      <c r="F304" s="119">
        <f>INPUT!Q236</f>
        <v>16.830601092896174</v>
      </c>
      <c r="G304" s="399">
        <f>INPUT!R236</f>
        <v>6.8954305971757224</v>
      </c>
      <c r="H304" s="119">
        <f>INPUT!S236</f>
        <v>16.48531011969532</v>
      </c>
      <c r="I304" s="399">
        <f>INPUT!T236</f>
        <v>3.6823350751533424</v>
      </c>
      <c r="J304" s="119">
        <f>INPUT!U236</f>
        <v>16.788321167883215</v>
      </c>
      <c r="K304" s="399">
        <f>INPUT!V236</f>
        <v>-3.4397213873383792</v>
      </c>
      <c r="L304" s="119">
        <f>INPUT!W236</f>
        <v>16.743946419371458</v>
      </c>
      <c r="M304" s="399">
        <f>INPUT!X236</f>
        <v>-2.4004175818216344</v>
      </c>
      <c r="N304" s="119">
        <f>INPUT!Y236</f>
        <v>15.712113532691333</v>
      </c>
      <c r="O304" s="399">
        <f>INPUT!Z236</f>
        <v>-6.6455592051131829</v>
      </c>
      <c r="P304" s="119">
        <f>INPUT!AA236</f>
        <v>15.335305719921106</v>
      </c>
      <c r="Q304" s="399">
        <f>INPUT!AB236</f>
        <v>-6.9759342798185076</v>
      </c>
      <c r="R304" s="119">
        <f>INPUT!AC236</f>
        <v>17.140058765915768</v>
      </c>
      <c r="S304" s="399">
        <f>INPUT!AD236</f>
        <v>2.0951326491504219</v>
      </c>
      <c r="T304" s="119">
        <f>INPUT!AE236</f>
        <v>16.698656429942417</v>
      </c>
      <c r="U304" s="399">
        <f>INPUT!AF236</f>
        <v>-0.27048575225159244</v>
      </c>
      <c r="V304" s="119">
        <f>INPUT!AG236</f>
        <v>17.094017094017094</v>
      </c>
      <c r="W304" s="399">
        <f>INPUT!AH236</f>
        <v>8.7951475048249286</v>
      </c>
      <c r="X304" s="119">
        <f>INPUT!AI236</f>
        <v>17.101584342963651</v>
      </c>
      <c r="Y304" s="399">
        <f>INPUT!AJ236</f>
        <v>11.517726840933374</v>
      </c>
      <c r="Z304" s="119">
        <f>INPUT!AK236</f>
        <v>18.252162039144288</v>
      </c>
      <c r="AA304" s="399">
        <f>INPUT!AL236</f>
        <v>6.4883282398075393</v>
      </c>
      <c r="AB304" s="119">
        <f>INPUT!AM236</f>
        <v>17.598908594815825</v>
      </c>
      <c r="AC304" s="399">
        <f>INPUT!AN236</f>
        <v>5.3911652632074203</v>
      </c>
      <c r="AD304" s="119">
        <f>INPUT!AO236</f>
        <v>16.659162539396668</v>
      </c>
      <c r="AE304" s="399">
        <f>INPUT!AP236</f>
        <v>-2.5438991445294934</v>
      </c>
      <c r="AF304" s="119">
        <f>INPUT!AQ236</f>
        <v>16.969428444838282</v>
      </c>
      <c r="AG304" s="399">
        <f>INPUT!AR236</f>
        <v>-0.77276991110910576</v>
      </c>
      <c r="AH304" s="119">
        <f>INPUT!AS236</f>
        <v>18.048780487804876</v>
      </c>
      <c r="AI304" s="399">
        <f>INPUT!AT236</f>
        <v>-1.1142874521014701</v>
      </c>
      <c r="AJ304" s="119">
        <f>INPUT!AU236</f>
        <v>15.045006429489927</v>
      </c>
      <c r="AK304" s="399">
        <f>INPUT!AV236</f>
        <v>-14.511707652588246</v>
      </c>
      <c r="AL304" s="119">
        <f>INPUT!AW236</f>
        <v>16.060862214708365</v>
      </c>
      <c r="AM304" s="399">
        <f>INPUT!AX236</f>
        <v>-3.5914189760343773</v>
      </c>
      <c r="AN304" s="119">
        <f>INPUT!AY236</f>
        <v>16.818558409279209</v>
      </c>
      <c r="AO304" s="18">
        <f>INPUT!AZ236</f>
        <v>-0.88906963513532</v>
      </c>
      <c r="AP304" s="119">
        <f>INPUT!BA236</f>
        <v>17.372027408303104</v>
      </c>
      <c r="AQ304" s="18">
        <f>INPUT!BB236</f>
        <v>-3.7495778729152218</v>
      </c>
      <c r="AR304" s="119">
        <f>INPUT!BC236</f>
        <v>17.28</v>
      </c>
      <c r="AS304" s="18">
        <f>INPUT!BD236</f>
        <v>14.855384615384626</v>
      </c>
      <c r="AT304" s="119">
        <f>INPUT!BE236</f>
        <v>17.089611419508326</v>
      </c>
      <c r="AU304" s="18">
        <f>INPUT!BF236</f>
        <v>6.4053174172544969</v>
      </c>
      <c r="AV304" s="119">
        <f>INPUT!BG236</f>
        <v>19.565217391304344</v>
      </c>
      <c r="AW304" s="18">
        <f>INPUT!BH236</f>
        <v>16.331120154208566</v>
      </c>
      <c r="AX304" s="119">
        <f>INPUT!BI236</f>
        <v>17.792792792792795</v>
      </c>
      <c r="AY304" s="18">
        <f>INPUT!BJ236</f>
        <v>2.4220856587445994</v>
      </c>
      <c r="AZ304" s="119">
        <f>INPUT!BK236</f>
        <v>18.468970642883686</v>
      </c>
      <c r="BA304" s="18">
        <f>INPUT!BL236</f>
        <v>6.8806171463176247</v>
      </c>
      <c r="BB304" s="119">
        <f>INPUT!BM236</f>
        <v>18.138337012509194</v>
      </c>
      <c r="BC304" s="18">
        <f>INPUT!BN236</f>
        <v>6.1366263237776941</v>
      </c>
      <c r="BD304" s="119">
        <f>INPUT!BO236</f>
        <v>18.290474465773269</v>
      </c>
      <c r="BE304" s="18">
        <f>INPUT!BP236</f>
        <v>-6.5153527304921628</v>
      </c>
      <c r="BF304" s="119">
        <f>INPUT!BQ236</f>
        <v>17.787264318747773</v>
      </c>
      <c r="BG304" s="18">
        <f>INPUT!BR236</f>
        <v>-3.1071423746709126E-2</v>
      </c>
      <c r="BH304" s="119">
        <f>INPUT!BS236</f>
        <v>18.396564065855404</v>
      </c>
      <c r="BI304" s="18">
        <f>INPUT!BT236</f>
        <v>-0.39204446435232576</v>
      </c>
      <c r="BJ304" s="119">
        <f>INPUT!BU236</f>
        <v>17.632508833922262</v>
      </c>
      <c r="BK304" s="18">
        <f>INPUT!BV236</f>
        <v>-2.7887241164285537</v>
      </c>
      <c r="BL304" s="119">
        <f>INPUT!BW236</f>
        <v>18.261173184357542</v>
      </c>
      <c r="BM304" s="18">
        <f>INPUT!BX236</f>
        <v>-0.1601996791857796</v>
      </c>
      <c r="BN304" s="119">
        <f>INPUT!BY236</f>
        <v>17.716802168021676</v>
      </c>
      <c r="BO304" s="18">
        <f>INPUT!BZ236</f>
        <v>-0.39613821138212435</v>
      </c>
      <c r="BP304" s="119">
        <f>INPUT!CA236</f>
        <v>17.468865701783912</v>
      </c>
      <c r="BQ304" s="18">
        <f>INPUT!CB236</f>
        <v>-5.0427806015870598</v>
      </c>
      <c r="BR304" s="119">
        <f>INPUT!CC236</f>
        <v>17.285998672859986</v>
      </c>
      <c r="BS304" s="18">
        <f>INPUT!CD236</f>
        <v>-1.9651778673471787</v>
      </c>
      <c r="BT304" s="119">
        <f>INPUT!CE236</f>
        <v>17.136304062909563</v>
      </c>
      <c r="BU304" s="18">
        <f>INPUT!CF236</f>
        <v>-6.1598951507208621</v>
      </c>
      <c r="BV304" s="119">
        <f>INPUT!CG236</f>
        <v>17.062219371391922</v>
      </c>
      <c r="BW304" s="18">
        <f>INPUT!CH236</f>
        <v>-3.6947006035392582</v>
      </c>
      <c r="BX304" s="119">
        <f>INPUT!CI236</f>
        <v>17.10691823899371</v>
      </c>
      <c r="BY304" s="18">
        <f>INPUT!CJ236</f>
        <v>-2.0719574411361963</v>
      </c>
      <c r="BZ304" s="119">
        <f>INPUT!CK236</f>
        <v>16.945937401201391</v>
      </c>
      <c r="CA304" s="18">
        <f>INPUT!CL236</f>
        <v>-1.9672642471765922</v>
      </c>
      <c r="CB304" s="119">
        <f>INPUT!CM236</f>
        <v>16.609748525302702</v>
      </c>
      <c r="CC304" s="18">
        <f>INPUT!CN236</f>
        <v>-3.0727485674495902</v>
      </c>
      <c r="CD304" s="119">
        <f>INPUT!CO236</f>
        <v>16.265060240963855</v>
      </c>
      <c r="CE304" s="18">
        <f>INPUT!CP236</f>
        <v>-4.6720717456291583</v>
      </c>
      <c r="CF304" s="119">
        <f>INPUT!CQ236</f>
        <v>16.253776435045317</v>
      </c>
      <c r="CG304" s="18">
        <f>INPUT!CR236</f>
        <v>-4.98711569219833</v>
      </c>
      <c r="CH304" s="119">
        <f>INPUT!CS236</f>
        <v>15.841584158415841</v>
      </c>
      <c r="CI304" s="18">
        <f>INPUT!CT236</f>
        <v>-6.5169203487512988</v>
      </c>
      <c r="CJ304" s="119">
        <f>INPUT!CU236</f>
        <v>16.760605161673094</v>
      </c>
      <c r="CK304" s="18">
        <f>INPUT!CV236</f>
        <v>0.90824154345614527</v>
      </c>
      <c r="CL304" s="119">
        <f>INPUT!CW236</f>
        <v>15.873015873015872</v>
      </c>
      <c r="CM304" s="18">
        <f>INPUT!CX236</f>
        <v>-2.410346854791301</v>
      </c>
      <c r="CN304" s="119">
        <f>INPUT!CY236</f>
        <v>16.403508771929825</v>
      </c>
      <c r="CO304" s="18">
        <f>INPUT!CZ236</f>
        <v>0.92121567860170561</v>
      </c>
      <c r="CP304" s="119">
        <f>INPUT!DA236</f>
        <v>16.028985507246375</v>
      </c>
      <c r="CQ304" s="18">
        <f>INPUT!DB236</f>
        <v>1.1829710144927397</v>
      </c>
      <c r="CR304" s="119">
        <f>INPUT!DC236</f>
        <v>16.880466472303208</v>
      </c>
      <c r="CS304" s="18">
        <f>INPUT!DD236</f>
        <v>0.71513712944091257</v>
      </c>
      <c r="CT304" s="119">
        <f>INPUT!DE236</f>
        <v>16.576933975630492</v>
      </c>
      <c r="CU304" s="18">
        <f>INPUT!DF236</f>
        <v>4.4346840464721149</v>
      </c>
      <c r="CV304" s="119">
        <f>INPUT!DG236</f>
        <v>16.614686702580098</v>
      </c>
      <c r="CW304" s="18">
        <f>INPUT!DH236</f>
        <v>1.2873948713439054</v>
      </c>
      <c r="CX304" s="119">
        <f>INPUT!DI236</f>
        <v>16.676056338028168</v>
      </c>
      <c r="CY304" s="18">
        <f>INPUT!DJ236</f>
        <v>4.0368795048773665</v>
      </c>
      <c r="CZ304" s="119">
        <f>INPUT!DK236</f>
        <v>17.201003624198492</v>
      </c>
      <c r="DA304" s="18">
        <f>INPUT!DL236</f>
        <v>1.8988643022466611</v>
      </c>
      <c r="DB304" s="119">
        <f>INPUT!DM236</f>
        <v>16.95557963163597</v>
      </c>
      <c r="DC304" s="18">
        <f>INPUT!DN236</f>
        <v>2.2841718291338964</v>
      </c>
      <c r="DD304" s="119">
        <f>INPUT!DO236</f>
        <v>16.765021459227469</v>
      </c>
      <c r="DE304" s="18">
        <f>INPUT!DP236</f>
        <v>0.90483052337078096</v>
      </c>
      <c r="DF304" s="119">
        <f>INPUT!DQ236</f>
        <v>17.204009753454347</v>
      </c>
      <c r="DG304" s="18">
        <f>INPUT!DR236</f>
        <v>3.1659368661536069</v>
      </c>
      <c r="DH304" s="119">
        <f>INPUT!DS236</f>
        <v>17.158176943699733</v>
      </c>
      <c r="DI304" s="18">
        <f>INPUT!DT236</f>
        <v>-0.2489778005657195</v>
      </c>
      <c r="DJ304" s="119">
        <f>INPUT!DU236</f>
        <v>17.120622568093385</v>
      </c>
      <c r="DK304" s="18">
        <f>INPUT!DV236</f>
        <v>0.97338421949004772</v>
      </c>
      <c r="DL304" s="119">
        <f>INPUT!DW236</f>
        <v>17.118512780790088</v>
      </c>
      <c r="DM304" s="18">
        <f>INPUT!DX236</f>
        <v>2.1085050348567114</v>
      </c>
      <c r="DN304" s="119">
        <f>INPUT!DY236</f>
        <v>17.306707629288272</v>
      </c>
      <c r="DO304" s="18">
        <f>INPUT!DZ236</f>
        <v>0.59694151134332962</v>
      </c>
      <c r="DP304" s="119">
        <f>INPUT!EA236</f>
        <v>17.078708375378408</v>
      </c>
      <c r="DQ304" s="18">
        <f>INPUT!EB236</f>
        <v>-0.46315274974771947</v>
      </c>
      <c r="DR304" s="119">
        <f>INPUT!EC236</f>
        <v>16.865999511837927</v>
      </c>
      <c r="DS304" s="18">
        <f>INPUT!ED236</f>
        <v>-1.487230124037564</v>
      </c>
      <c r="DT304" s="119">
        <f>INPUT!EE236</f>
        <v>16.844143272023228</v>
      </c>
      <c r="DU304" s="18">
        <f>INPUT!EF236</f>
        <v>-1.6027648679548201</v>
      </c>
      <c r="DV304" s="119">
        <f>INPUT!EG236</f>
        <v>16.771084337349397</v>
      </c>
      <c r="DW304" s="18">
        <f>INPUT!EH236</f>
        <v>-3.0948884294574652</v>
      </c>
      <c r="DX304" s="119">
        <f>INPUT!EI236</f>
        <v>17.759237187127532</v>
      </c>
      <c r="DY304" s="18">
        <f>INPUT!EJ236</f>
        <v>3.984662052841248</v>
      </c>
      <c r="DZ304" s="119">
        <f>INPUT!EK236</f>
        <v>17.8</v>
      </c>
      <c r="EA304" s="18">
        <f>INPUT!EL236</f>
        <v>5.537771345875564</v>
      </c>
      <c r="EB304" s="119">
        <f>INPUT!EM236</f>
        <v>17.8</v>
      </c>
      <c r="EC304" s="18">
        <f>INPUT!EN236</f>
        <v>5.6747126436782036</v>
      </c>
      <c r="ED304" s="119">
        <f>INPUT!EO236</f>
        <v>17.8</v>
      </c>
      <c r="EE304" s="18">
        <f>INPUT!EP236</f>
        <v>6.1350574712643713</v>
      </c>
      <c r="EF304" s="119">
        <f>INPUT!EQ236</f>
        <v>17.8</v>
      </c>
      <c r="EG304" s="18">
        <f>INPUT!ER236</f>
        <v>0.2295302013422873</v>
      </c>
      <c r="EH304" s="18"/>
      <c r="EI304" s="119">
        <f>INPUT!FB236</f>
        <v>16.220472440944881</v>
      </c>
      <c r="EJ304" s="399" t="str">
        <f>INPUT!FC236</f>
        <v>NA</v>
      </c>
      <c r="EK304" s="119">
        <f>INPUT!FD236</f>
        <v>16.958333333333332</v>
      </c>
      <c r="EL304" s="399">
        <f>INPUT!FE236</f>
        <v>4.5489482200647302</v>
      </c>
      <c r="EM304" s="119">
        <f>INPUT!FF236</f>
        <v>16.132315521628499</v>
      </c>
      <c r="EN304" s="399">
        <f>INPUT!FG236</f>
        <v>-4.870866702927767</v>
      </c>
      <c r="EO304" s="119">
        <f>INPUT!FH236</f>
        <v>17.008832656958703</v>
      </c>
      <c r="EP304" s="399">
        <f>INPUT!FI236</f>
        <v>5.4333002237345385</v>
      </c>
      <c r="EQ304" s="119">
        <f>INPUT!FJ236</f>
        <v>17.365336939373449</v>
      </c>
      <c r="ER304" s="18">
        <f>INPUT!FK236</f>
        <v>2.0959950021549156</v>
      </c>
      <c r="ES304" s="119">
        <f>INPUT!FL236</f>
        <v>16.481639624252772</v>
      </c>
      <c r="ET304" s="18">
        <f>INPUT!FM236</f>
        <v>-5.0888578678656042</v>
      </c>
      <c r="EU304" s="119">
        <f>INPUT!FN236</f>
        <v>17.839071336442107</v>
      </c>
      <c r="EV304" s="18">
        <f>INPUT!FO236</f>
        <v>8.236023497273127</v>
      </c>
      <c r="EW304" s="119">
        <f>INPUT!FP236</f>
        <v>18.174266199003135</v>
      </c>
      <c r="EX304" s="18">
        <f>INPUT!FQ236</f>
        <v>1.8789927807300266</v>
      </c>
      <c r="EY304" s="119">
        <f>INPUT!FR236</f>
        <v>18.019293742809097</v>
      </c>
      <c r="EZ304" s="18">
        <f>INPUT!FS236</f>
        <v>-0.85270268684927153</v>
      </c>
      <c r="FA304" s="119">
        <f>INPUT!FT236</f>
        <v>17.399282675786136</v>
      </c>
      <c r="FB304" s="18">
        <f>INPUT!FU236</f>
        <v>-3.4408178026976599</v>
      </c>
      <c r="FC304" s="119">
        <f>INPUT!FV236</f>
        <v>16.929506387005205</v>
      </c>
      <c r="FD304" s="18">
        <f>INPUT!FW236</f>
        <v>-2.6999750365266473</v>
      </c>
      <c r="FE304" s="119">
        <f>INPUT!FX236</f>
        <v>16.292682926829269</v>
      </c>
      <c r="FF304" s="18">
        <f>INPUT!FY236</f>
        <v>-3.7616185942949354</v>
      </c>
      <c r="FG304" s="119">
        <f>INPUT!FZ236</f>
        <v>16.29495096258627</v>
      </c>
      <c r="FH304" s="18">
        <f>INPUT!GA236</f>
        <v>1.3920578748072288E-2</v>
      </c>
      <c r="FI304" s="119">
        <f>INPUT!GB236</f>
        <v>16.76882970478405</v>
      </c>
      <c r="FJ304" s="18">
        <f>INPUT!GC236</f>
        <v>2.9081323612806242</v>
      </c>
      <c r="FK304" s="119">
        <f>INPUT!GD236</f>
        <v>17.020416413988276</v>
      </c>
      <c r="FL304" s="18">
        <f>INPUT!GE236</f>
        <v>1.5003235982082197</v>
      </c>
      <c r="FM304" s="119">
        <f>INPUT!GF236</f>
        <v>17.156045646877807</v>
      </c>
      <c r="FN304" s="18">
        <f>INPUT!GG236</f>
        <v>0.79686201318824867</v>
      </c>
      <c r="FO304" s="119">
        <f>INPUT!GH236</f>
        <v>17.062869554724262</v>
      </c>
      <c r="FP304" s="18">
        <f>INPUT!GI236</f>
        <v>-0.54310937421935268</v>
      </c>
      <c r="FQ304" s="119">
        <f>INPUT!GJ236</f>
        <v>17.800000000000004</v>
      </c>
      <c r="FR304" s="18">
        <f>INPUT!GK236</f>
        <v>4.3200848656294699</v>
      </c>
      <c r="FS304" s="119">
        <f>INPUT!GL236</f>
        <v>17.800000000000004</v>
      </c>
      <c r="FT304" s="18">
        <f>INPUT!GM236</f>
        <v>0</v>
      </c>
      <c r="FU304" s="119">
        <f>INPUT!GN236</f>
        <v>17.800000000000004</v>
      </c>
      <c r="FV304" s="18">
        <f>INPUT!GO236</f>
        <v>0</v>
      </c>
      <c r="FW304" s="119">
        <f>INPUT!GP236</f>
        <v>17.800000000000004</v>
      </c>
      <c r="FX304" s="18">
        <f>INPUT!GQ236</f>
        <v>0</v>
      </c>
      <c r="FY304" s="119">
        <f>INPUT!GR236</f>
        <v>17.800000000000004</v>
      </c>
      <c r="FZ304" s="18">
        <f>INPUT!GS236</f>
        <v>0</v>
      </c>
      <c r="GA304" s="399">
        <f>INPUT!GT236</f>
        <v>0.84946214098990946</v>
      </c>
    </row>
    <row r="305" spans="1:183" ht="12.75" hidden="1" customHeight="1" outlineLevel="1" x14ac:dyDescent="0.2">
      <c r="A305" s="612"/>
      <c r="B305" s="119"/>
      <c r="C305" s="399"/>
      <c r="D305" s="119"/>
      <c r="E305" s="399"/>
      <c r="F305" s="119"/>
      <c r="G305" s="399"/>
      <c r="H305" s="119"/>
      <c r="I305" s="399"/>
      <c r="J305" s="119"/>
      <c r="K305" s="399"/>
      <c r="L305" s="119"/>
      <c r="M305" s="399"/>
      <c r="N305" s="119"/>
      <c r="O305" s="399"/>
      <c r="P305" s="119"/>
      <c r="Q305" s="399"/>
      <c r="R305" s="119"/>
      <c r="S305" s="399"/>
      <c r="T305" s="119"/>
      <c r="U305" s="399"/>
      <c r="V305" s="119"/>
      <c r="W305" s="399"/>
      <c r="X305" s="119"/>
      <c r="Y305" s="399"/>
      <c r="Z305" s="119"/>
      <c r="AA305" s="399"/>
      <c r="AB305" s="119"/>
      <c r="AC305" s="399"/>
      <c r="AD305" s="119"/>
      <c r="AE305" s="399"/>
      <c r="AF305" s="119"/>
      <c r="AG305" s="399"/>
      <c r="AH305" s="119"/>
      <c r="AI305" s="399"/>
      <c r="AJ305" s="119"/>
      <c r="AK305" s="399"/>
      <c r="AL305" s="119"/>
      <c r="AM305" s="399"/>
      <c r="AN305" s="119"/>
      <c r="AO305" s="18"/>
      <c r="AP305" s="119"/>
      <c r="AQ305" s="18"/>
      <c r="AR305" s="119"/>
      <c r="AS305" s="18"/>
      <c r="AT305" s="119"/>
      <c r="AU305" s="18"/>
      <c r="AV305" s="119"/>
      <c r="AW305" s="18"/>
      <c r="AX305" s="119"/>
      <c r="AY305" s="18"/>
      <c r="AZ305" s="119"/>
      <c r="BA305" s="18"/>
      <c r="BB305" s="119"/>
      <c r="BC305" s="18"/>
      <c r="BD305" s="119"/>
      <c r="BE305" s="18"/>
      <c r="BF305" s="119"/>
      <c r="BG305" s="18"/>
      <c r="BH305" s="119"/>
      <c r="BI305" s="18"/>
      <c r="BJ305" s="119"/>
      <c r="BK305" s="18"/>
      <c r="BL305" s="119"/>
      <c r="BM305" s="18"/>
      <c r="BN305" s="119"/>
      <c r="BO305" s="18"/>
      <c r="BP305" s="119"/>
      <c r="BQ305" s="18"/>
      <c r="BR305" s="119"/>
      <c r="BS305" s="18"/>
      <c r="BT305" s="119"/>
      <c r="BU305" s="18"/>
      <c r="BV305" s="119"/>
      <c r="BW305" s="18"/>
      <c r="BX305" s="119"/>
      <c r="BY305" s="18"/>
      <c r="BZ305" s="119"/>
      <c r="CA305" s="18"/>
      <c r="CB305" s="119"/>
      <c r="CC305" s="18"/>
      <c r="CD305" s="119"/>
      <c r="CE305" s="18"/>
      <c r="CF305" s="119"/>
      <c r="CG305" s="18"/>
      <c r="CH305" s="119"/>
      <c r="CI305" s="18"/>
      <c r="CJ305" s="119"/>
      <c r="CK305" s="18"/>
      <c r="CL305" s="119"/>
      <c r="CM305" s="18"/>
      <c r="CN305" s="119"/>
      <c r="CO305" s="18"/>
      <c r="CP305" s="119"/>
      <c r="CQ305" s="18"/>
      <c r="CR305" s="119"/>
      <c r="CS305" s="18"/>
      <c r="CT305" s="119"/>
      <c r="CU305" s="18"/>
      <c r="CV305" s="119"/>
      <c r="CW305" s="18"/>
      <c r="CX305" s="119"/>
      <c r="CY305" s="18"/>
      <c r="CZ305" s="119"/>
      <c r="DA305" s="18"/>
      <c r="DB305" s="119"/>
      <c r="DC305" s="18"/>
      <c r="DD305" s="119"/>
      <c r="DE305" s="18"/>
      <c r="DF305" s="119"/>
      <c r="DG305" s="18"/>
      <c r="DH305" s="119"/>
      <c r="DI305" s="18"/>
      <c r="DJ305" s="119"/>
      <c r="DK305" s="18"/>
      <c r="DL305" s="119"/>
      <c r="DM305" s="18"/>
      <c r="DN305" s="119"/>
      <c r="DO305" s="18"/>
      <c r="DP305" s="119"/>
      <c r="DQ305" s="18"/>
      <c r="DR305" s="119"/>
      <c r="DS305" s="18"/>
      <c r="DT305" s="119"/>
      <c r="DU305" s="18"/>
      <c r="DV305" s="119"/>
      <c r="DW305" s="18"/>
      <c r="DX305" s="119"/>
      <c r="DY305" s="18"/>
      <c r="DZ305" s="119"/>
      <c r="EA305" s="18"/>
      <c r="EB305" s="119"/>
      <c r="EC305" s="18"/>
      <c r="ED305" s="119"/>
      <c r="EE305" s="18"/>
      <c r="EF305" s="119"/>
      <c r="EG305" s="18"/>
      <c r="EH305" s="18"/>
      <c r="EI305" s="119"/>
      <c r="EJ305" s="399"/>
      <c r="EK305" s="119"/>
      <c r="EL305" s="399"/>
      <c r="EM305" s="119"/>
      <c r="EN305" s="399"/>
      <c r="EO305" s="119"/>
      <c r="EP305" s="399"/>
      <c r="EQ305" s="119"/>
      <c r="ER305" s="18"/>
      <c r="ES305" s="119"/>
      <c r="ET305" s="18"/>
      <c r="EU305" s="119"/>
      <c r="EV305" s="18"/>
      <c r="EW305" s="119"/>
      <c r="EX305" s="18"/>
      <c r="EY305" s="119"/>
      <c r="EZ305" s="18"/>
      <c r="FA305" s="119"/>
      <c r="FB305" s="18"/>
      <c r="FC305" s="119"/>
      <c r="FD305" s="18"/>
      <c r="FE305" s="119"/>
      <c r="FF305" s="18"/>
      <c r="FG305" s="119"/>
      <c r="FH305" s="18"/>
      <c r="FI305" s="119"/>
      <c r="FJ305" s="18"/>
      <c r="FK305" s="119"/>
      <c r="FL305" s="18"/>
      <c r="FM305" s="119"/>
      <c r="FN305" s="18"/>
      <c r="FO305" s="119"/>
      <c r="FP305" s="18"/>
      <c r="FQ305" s="119"/>
      <c r="FR305" s="18"/>
      <c r="FS305" s="119"/>
      <c r="FT305" s="18"/>
      <c r="FU305" s="119"/>
      <c r="FV305" s="18"/>
      <c r="FW305" s="119"/>
      <c r="FX305" s="18"/>
      <c r="FY305" s="119"/>
      <c r="FZ305" s="18"/>
      <c r="GA305" s="399"/>
    </row>
    <row r="306" spans="1:183" ht="12.75" hidden="1" customHeight="1" outlineLevel="1" x14ac:dyDescent="0.2">
      <c r="A306" s="610" t="str">
        <f>+INPUT!B246</f>
        <v>Sales Data</v>
      </c>
      <c r="B306" s="119"/>
      <c r="C306" s="399"/>
      <c r="D306" s="119"/>
      <c r="E306" s="399"/>
      <c r="F306" s="119"/>
      <c r="G306" s="399"/>
      <c r="H306" s="119"/>
      <c r="I306" s="399"/>
      <c r="J306" s="119"/>
      <c r="K306" s="399"/>
      <c r="L306" s="119"/>
      <c r="M306" s="399"/>
      <c r="N306" s="119"/>
      <c r="O306" s="399"/>
      <c r="P306" s="119"/>
      <c r="Q306" s="399"/>
      <c r="R306" s="119"/>
      <c r="S306" s="399"/>
      <c r="T306" s="119"/>
      <c r="U306" s="399"/>
      <c r="V306" s="119"/>
      <c r="W306" s="399"/>
      <c r="X306" s="119"/>
      <c r="Y306" s="399"/>
      <c r="Z306" s="119"/>
      <c r="AA306" s="399"/>
      <c r="AB306" s="119"/>
      <c r="AC306" s="399"/>
      <c r="AD306" s="119"/>
      <c r="AE306" s="399"/>
      <c r="AF306" s="119"/>
      <c r="AG306" s="399"/>
      <c r="AH306" s="119"/>
      <c r="AI306" s="399"/>
      <c r="AJ306" s="119"/>
      <c r="AK306" s="399"/>
      <c r="AL306" s="119"/>
      <c r="AM306" s="399"/>
      <c r="AN306" s="119"/>
      <c r="AO306" s="18"/>
      <c r="AP306" s="119"/>
      <c r="AQ306" s="18"/>
      <c r="AR306" s="119"/>
      <c r="AS306" s="18"/>
      <c r="AT306" s="119"/>
      <c r="AU306" s="18"/>
      <c r="AV306" s="119"/>
      <c r="AW306" s="18"/>
      <c r="AX306" s="119"/>
      <c r="AY306" s="18"/>
      <c r="AZ306" s="119"/>
      <c r="BA306" s="18"/>
      <c r="BB306" s="119"/>
      <c r="BC306" s="18"/>
      <c r="BD306" s="119"/>
      <c r="BE306" s="18"/>
      <c r="BF306" s="119"/>
      <c r="BG306" s="18"/>
      <c r="BH306" s="119"/>
      <c r="BI306" s="18"/>
      <c r="BJ306" s="119"/>
      <c r="BK306" s="18"/>
      <c r="BL306" s="119"/>
      <c r="BM306" s="18"/>
      <c r="BN306" s="119"/>
      <c r="BO306" s="18"/>
      <c r="BP306" s="119"/>
      <c r="BQ306" s="18"/>
      <c r="BR306" s="119"/>
      <c r="BS306" s="18"/>
      <c r="BT306" s="119"/>
      <c r="BU306" s="18"/>
      <c r="BV306" s="119"/>
      <c r="BW306" s="18"/>
      <c r="BX306" s="119"/>
      <c r="BY306" s="18"/>
      <c r="BZ306" s="119"/>
      <c r="CA306" s="18"/>
      <c r="CB306" s="119"/>
      <c r="CC306" s="18"/>
      <c r="CD306" s="119"/>
      <c r="CE306" s="18"/>
      <c r="CF306" s="119"/>
      <c r="CG306" s="18"/>
      <c r="CH306" s="119"/>
      <c r="CI306" s="18"/>
      <c r="CJ306" s="119"/>
      <c r="CK306" s="18"/>
      <c r="CL306" s="119"/>
      <c r="CM306" s="18"/>
      <c r="CN306" s="119"/>
      <c r="CO306" s="18"/>
      <c r="CP306" s="119"/>
      <c r="CQ306" s="18"/>
      <c r="CR306" s="119"/>
      <c r="CS306" s="18"/>
      <c r="CT306" s="119"/>
      <c r="CU306" s="18"/>
      <c r="CV306" s="119"/>
      <c r="CW306" s="18"/>
      <c r="CX306" s="119"/>
      <c r="CY306" s="18"/>
      <c r="CZ306" s="119"/>
      <c r="DA306" s="18"/>
      <c r="DB306" s="119"/>
      <c r="DC306" s="18"/>
      <c r="DD306" s="119"/>
      <c r="DE306" s="18"/>
      <c r="DF306" s="119"/>
      <c r="DG306" s="18"/>
      <c r="DH306" s="119"/>
      <c r="DI306" s="18"/>
      <c r="DJ306" s="119"/>
      <c r="DK306" s="18"/>
      <c r="DL306" s="119"/>
      <c r="DM306" s="18"/>
      <c r="DN306" s="119"/>
      <c r="DO306" s="18"/>
      <c r="DP306" s="119"/>
      <c r="DQ306" s="18"/>
      <c r="DR306" s="119"/>
      <c r="DS306" s="18"/>
      <c r="DT306" s="119"/>
      <c r="DU306" s="18"/>
      <c r="DV306" s="119"/>
      <c r="DW306" s="18"/>
      <c r="DX306" s="119"/>
      <c r="DY306" s="18"/>
      <c r="DZ306" s="119"/>
      <c r="EA306" s="18"/>
      <c r="EB306" s="119"/>
      <c r="EC306" s="18"/>
      <c r="ED306" s="119"/>
      <c r="EE306" s="18"/>
      <c r="EF306" s="119"/>
      <c r="EG306" s="18"/>
      <c r="EH306" s="18"/>
      <c r="EI306" s="119"/>
      <c r="EJ306" s="399"/>
      <c r="EK306" s="119"/>
      <c r="EL306" s="399"/>
      <c r="EM306" s="119"/>
      <c r="EN306" s="399"/>
      <c r="EO306" s="119"/>
      <c r="EP306" s="399"/>
      <c r="EQ306" s="119"/>
      <c r="ER306" s="18"/>
      <c r="ES306" s="119"/>
      <c r="ET306" s="18"/>
      <c r="EU306" s="119"/>
      <c r="EV306" s="18"/>
      <c r="EW306" s="119"/>
      <c r="EX306" s="18"/>
      <c r="EY306" s="119"/>
      <c r="EZ306" s="18"/>
      <c r="FA306" s="119"/>
      <c r="FB306" s="18"/>
      <c r="FC306" s="119"/>
      <c r="FD306" s="18"/>
      <c r="FE306" s="119"/>
      <c r="FF306" s="18"/>
      <c r="FG306" s="119"/>
      <c r="FH306" s="18"/>
      <c r="FI306" s="119"/>
      <c r="FJ306" s="18"/>
      <c r="FK306" s="119"/>
      <c r="FL306" s="18"/>
      <c r="FM306" s="119"/>
      <c r="FN306" s="18"/>
      <c r="FO306" s="119"/>
      <c r="FP306" s="18"/>
      <c r="FQ306" s="119"/>
      <c r="FR306" s="18"/>
      <c r="FS306" s="119"/>
      <c r="FT306" s="18"/>
      <c r="FU306" s="119"/>
      <c r="FV306" s="18"/>
      <c r="FW306" s="119"/>
      <c r="FX306" s="18"/>
      <c r="FY306" s="119"/>
      <c r="FZ306" s="18"/>
      <c r="GA306" s="399"/>
    </row>
    <row r="307" spans="1:183" ht="12.75" hidden="1" customHeight="1" outlineLevel="1" x14ac:dyDescent="0.2">
      <c r="A307" s="612" t="str">
        <f>+INPUT!B247</f>
        <v>Colonial Sales</v>
      </c>
      <c r="B307" s="119">
        <f>+INPUT!M247</f>
        <v>54.811</v>
      </c>
      <c r="C307" s="399">
        <f>+INPUT!N247</f>
        <v>8.371394111948117</v>
      </c>
      <c r="D307" s="119">
        <f>+INPUT!O247</f>
        <v>60.777000000000001</v>
      </c>
      <c r="E307" s="399">
        <f>+INPUT!P247</f>
        <v>4.6255809950077387</v>
      </c>
      <c r="F307" s="119">
        <f>+INPUT!Q247</f>
        <v>57.54</v>
      </c>
      <c r="G307" s="399">
        <f>+INPUT!R247</f>
        <v>3.2904302870375268</v>
      </c>
      <c r="H307" s="119">
        <f>+INPUT!S247</f>
        <v>84.402000000000001</v>
      </c>
      <c r="I307" s="399">
        <f>+INPUT!T247</f>
        <v>7.3407096528042892</v>
      </c>
      <c r="J307" s="119">
        <f>+INPUT!U247</f>
        <v>59.6</v>
      </c>
      <c r="K307" s="399">
        <f>+INPUT!V247</f>
        <v>8.7372972578497077</v>
      </c>
      <c r="L307" s="119">
        <f>+INPUT!W247</f>
        <v>65.599999999999994</v>
      </c>
      <c r="M307" s="399">
        <f>+INPUT!X247</f>
        <v>7.9355677312141104</v>
      </c>
      <c r="N307" s="119">
        <f>+INPUT!Y247</f>
        <v>61.8</v>
      </c>
      <c r="O307" s="399">
        <f>+INPUT!Z247</f>
        <v>7.4035453597497414</v>
      </c>
      <c r="P307" s="119">
        <f>+INPUT!AA247</f>
        <v>98.2</v>
      </c>
      <c r="Q307" s="399">
        <f>+INPUT!AB247</f>
        <v>16.347953839956396</v>
      </c>
      <c r="R307" s="119">
        <f>+INPUT!AC247</f>
        <v>61.7</v>
      </c>
      <c r="S307" s="399">
        <f>+INPUT!AD247</f>
        <v>3.5234899328859148</v>
      </c>
      <c r="T307" s="119">
        <f>+INPUT!AE247</f>
        <v>63.2</v>
      </c>
      <c r="U307" s="399">
        <f>+INPUT!AF247</f>
        <v>-3.6585365853658458</v>
      </c>
      <c r="V307" s="119"/>
      <c r="W307" s="399"/>
      <c r="X307" s="119"/>
      <c r="Y307" s="399">
        <f>+INPUT!AJ247</f>
        <v>-5.9063136456211751</v>
      </c>
      <c r="Z307" s="119"/>
      <c r="AA307" s="399">
        <f>+INPUT!AL247</f>
        <v>-0.6482982171799101</v>
      </c>
      <c r="AB307" s="119"/>
      <c r="AC307" s="399">
        <f>+INPUT!AN247</f>
        <v>4.2721518987341778</v>
      </c>
      <c r="AD307" s="119"/>
      <c r="AE307" s="399">
        <f>+INPUT!AP247</f>
        <v>1.1437908496731986</v>
      </c>
      <c r="AF307" s="119"/>
      <c r="AG307" s="399">
        <f>+INPUT!AR247</f>
        <v>5.3030303030302983</v>
      </c>
      <c r="AH307" s="119"/>
      <c r="AI307" s="399">
        <f>+INPUT!AT247</f>
        <v>9.6247960848287128</v>
      </c>
      <c r="AJ307" s="119"/>
      <c r="AK307" s="399">
        <f>+INPUT!AV247</f>
        <v>10.9256449165402</v>
      </c>
      <c r="AL307" s="119"/>
      <c r="AM307" s="399">
        <f>+INPUT!AX247</f>
        <v>17.770597738287574</v>
      </c>
      <c r="AN307" s="119"/>
      <c r="AO307" s="18">
        <f>+INPUT!AZ247</f>
        <v>4.7276464542651775</v>
      </c>
      <c r="AP307" s="119"/>
      <c r="AQ307" s="18">
        <f>+INPUT!BB247</f>
        <v>0.59523809523809312</v>
      </c>
      <c r="AR307" s="119"/>
      <c r="AS307" s="18">
        <f>+INPUT!BD247</f>
        <v>7.523939808481539</v>
      </c>
      <c r="AT307" s="119"/>
      <c r="AU307" s="18">
        <f>+INPUT!BF247</f>
        <v>2.1947873799725626</v>
      </c>
      <c r="AV307" s="119"/>
      <c r="AW307" s="18">
        <f>+INPUT!BH247</f>
        <v>0</v>
      </c>
      <c r="AX307" s="119"/>
      <c r="AY307" s="18"/>
      <c r="AZ307" s="119"/>
      <c r="BA307" s="18"/>
      <c r="BB307" s="119"/>
      <c r="BC307" s="18"/>
      <c r="BD307" s="119"/>
      <c r="BE307" s="18"/>
      <c r="BF307" s="119"/>
      <c r="BG307" s="18"/>
      <c r="BH307" s="119"/>
      <c r="BI307" s="18"/>
      <c r="BJ307" s="119"/>
      <c r="BK307" s="18"/>
      <c r="BL307" s="119"/>
      <c r="BM307" s="18"/>
      <c r="BN307" s="119"/>
      <c r="BO307" s="18"/>
      <c r="BP307" s="119"/>
      <c r="BQ307" s="18"/>
      <c r="BR307" s="119"/>
      <c r="BS307" s="18"/>
      <c r="BT307" s="119"/>
      <c r="BU307" s="18"/>
      <c r="BV307" s="119"/>
      <c r="BW307" s="18"/>
      <c r="BX307" s="119"/>
      <c r="BY307" s="18"/>
      <c r="BZ307" s="119"/>
      <c r="CA307" s="18"/>
      <c r="CB307" s="119"/>
      <c r="CC307" s="18"/>
      <c r="CD307" s="119"/>
      <c r="CE307" s="18"/>
      <c r="CF307" s="119"/>
      <c r="CG307" s="18"/>
      <c r="CH307" s="119"/>
      <c r="CI307" s="18"/>
      <c r="CJ307" s="119"/>
      <c r="CK307" s="18"/>
      <c r="CL307" s="119"/>
      <c r="CM307" s="18"/>
      <c r="CN307" s="119"/>
      <c r="CO307" s="18"/>
      <c r="CP307" s="119"/>
      <c r="CQ307" s="18"/>
      <c r="CR307" s="119"/>
      <c r="CS307" s="18"/>
      <c r="CT307" s="119"/>
      <c r="CU307" s="18"/>
      <c r="CV307" s="119"/>
      <c r="CW307" s="18"/>
      <c r="CX307" s="119"/>
      <c r="CY307" s="18"/>
      <c r="CZ307" s="119"/>
      <c r="DA307" s="18"/>
      <c r="DB307" s="119"/>
      <c r="DC307" s="18"/>
      <c r="DD307" s="119"/>
      <c r="DE307" s="18"/>
      <c r="DF307" s="119"/>
      <c r="DG307" s="18"/>
      <c r="DH307" s="119"/>
      <c r="DI307" s="18"/>
      <c r="DJ307" s="119"/>
      <c r="DK307" s="18"/>
      <c r="DL307" s="119"/>
      <c r="DM307" s="18"/>
      <c r="DN307" s="119"/>
      <c r="DO307" s="18"/>
      <c r="DP307" s="119"/>
      <c r="DQ307" s="18"/>
      <c r="DR307" s="119"/>
      <c r="DS307" s="18"/>
      <c r="DT307" s="119"/>
      <c r="DU307" s="18"/>
      <c r="DV307" s="119"/>
      <c r="DW307" s="18"/>
      <c r="DX307" s="119"/>
      <c r="DY307" s="18"/>
      <c r="DZ307" s="119"/>
      <c r="EA307" s="18"/>
      <c r="EB307" s="119"/>
      <c r="EC307" s="18"/>
      <c r="ED307" s="119"/>
      <c r="EE307" s="18"/>
      <c r="EF307" s="119"/>
      <c r="EG307" s="18"/>
      <c r="EH307" s="18"/>
      <c r="EI307" s="119">
        <f>+INPUT!FB247</f>
        <v>243.00399999999999</v>
      </c>
      <c r="EJ307" s="399" t="str">
        <f>+INPUT!FC247</f>
        <v>NA</v>
      </c>
      <c r="EK307" s="119">
        <f>+INPUT!FD247</f>
        <v>257.52999999999997</v>
      </c>
      <c r="EL307" s="399">
        <f>+INPUT!FE247</f>
        <v>5.9776793797632788</v>
      </c>
      <c r="EM307" s="119">
        <f>+INPUT!FF247</f>
        <v>219.60000000000002</v>
      </c>
      <c r="EN307" s="399">
        <f>+INPUT!FG247</f>
        <v>-14.728381159476545</v>
      </c>
      <c r="EO307" s="119"/>
      <c r="EP307" s="399"/>
      <c r="EQ307" s="119"/>
      <c r="ER307" s="18"/>
      <c r="ES307" s="119"/>
      <c r="ET307" s="18"/>
      <c r="EU307" s="119"/>
      <c r="EV307" s="18"/>
      <c r="EW307" s="119"/>
      <c r="EX307" s="18"/>
      <c r="EY307" s="119"/>
      <c r="EZ307" s="18"/>
      <c r="FA307" s="119"/>
      <c r="FB307" s="18"/>
      <c r="FC307" s="119"/>
      <c r="FD307" s="18"/>
      <c r="FE307" s="119"/>
      <c r="FF307" s="18"/>
      <c r="FG307" s="119"/>
      <c r="FH307" s="18"/>
      <c r="FI307" s="119"/>
      <c r="FJ307" s="18"/>
      <c r="FK307" s="119"/>
      <c r="FL307" s="18"/>
      <c r="FM307" s="119"/>
      <c r="FN307" s="18"/>
      <c r="FO307" s="119"/>
      <c r="FP307" s="18"/>
      <c r="FQ307" s="119"/>
      <c r="FR307" s="18"/>
      <c r="FS307" s="119"/>
      <c r="FT307" s="18"/>
      <c r="FU307" s="119"/>
      <c r="FV307" s="18"/>
      <c r="FW307" s="119"/>
      <c r="FX307" s="18"/>
      <c r="FY307" s="119"/>
      <c r="FZ307" s="18"/>
      <c r="GA307" s="399"/>
    </row>
    <row r="308" spans="1:183" ht="12.75" hidden="1" customHeight="1" outlineLevel="1" x14ac:dyDescent="0.2">
      <c r="A308" s="521"/>
      <c r="B308" s="528"/>
      <c r="C308" s="524"/>
      <c r="D308" s="528"/>
      <c r="E308" s="524"/>
      <c r="F308" s="528"/>
      <c r="G308" s="524"/>
      <c r="H308" s="528"/>
      <c r="I308" s="524"/>
      <c r="J308" s="528"/>
      <c r="K308" s="524"/>
      <c r="L308" s="528"/>
      <c r="M308" s="524"/>
      <c r="N308" s="528"/>
      <c r="O308" s="524"/>
      <c r="P308" s="528"/>
      <c r="Q308" s="524"/>
      <c r="R308" s="528"/>
      <c r="S308" s="524"/>
      <c r="T308" s="528"/>
      <c r="U308" s="524"/>
      <c r="V308" s="528"/>
      <c r="W308" s="524"/>
      <c r="X308" s="528"/>
      <c r="Y308" s="524"/>
      <c r="Z308" s="528"/>
      <c r="AA308" s="524"/>
      <c r="AB308" s="528"/>
      <c r="AC308" s="524"/>
      <c r="AD308" s="528"/>
      <c r="AE308" s="524"/>
      <c r="AF308" s="528"/>
      <c r="AG308" s="524"/>
      <c r="AH308" s="528"/>
      <c r="AI308" s="524"/>
      <c r="AJ308" s="528"/>
      <c r="AK308" s="524"/>
      <c r="AL308" s="528"/>
      <c r="AM308" s="524"/>
      <c r="AN308" s="528"/>
      <c r="AO308" s="520"/>
      <c r="AP308" s="528"/>
      <c r="AQ308" s="520"/>
      <c r="AR308" s="528"/>
      <c r="AS308" s="520"/>
      <c r="AT308" s="528"/>
      <c r="AU308" s="520"/>
      <c r="AV308" s="528"/>
      <c r="AW308" s="520"/>
      <c r="AX308" s="528"/>
      <c r="AY308" s="520"/>
      <c r="AZ308" s="528"/>
      <c r="BA308" s="520"/>
      <c r="BB308" s="528"/>
      <c r="BC308" s="520"/>
      <c r="BD308" s="528"/>
      <c r="BE308" s="520"/>
      <c r="BF308" s="528"/>
      <c r="BG308" s="520"/>
      <c r="BH308" s="528"/>
      <c r="BI308" s="520"/>
      <c r="BJ308" s="528"/>
      <c r="BK308" s="520"/>
      <c r="BL308" s="528"/>
      <c r="BM308" s="520"/>
      <c r="BN308" s="528"/>
      <c r="BO308" s="520"/>
      <c r="BP308" s="528"/>
      <c r="BQ308" s="520"/>
      <c r="BR308" s="528"/>
      <c r="BS308" s="520"/>
      <c r="BT308" s="528"/>
      <c r="BU308" s="520"/>
      <c r="BV308" s="528"/>
      <c r="BW308" s="520"/>
      <c r="BX308" s="528"/>
      <c r="BY308" s="520"/>
      <c r="BZ308" s="528"/>
      <c r="CA308" s="520"/>
      <c r="CB308" s="528"/>
      <c r="CC308" s="520"/>
      <c r="CD308" s="528"/>
      <c r="CE308" s="520"/>
      <c r="CF308" s="528"/>
      <c r="CG308" s="520"/>
      <c r="CH308" s="528"/>
      <c r="CI308" s="520"/>
      <c r="CJ308" s="528"/>
      <c r="CK308" s="520"/>
      <c r="CL308" s="528"/>
      <c r="CM308" s="520"/>
      <c r="CN308" s="528"/>
      <c r="CO308" s="520"/>
      <c r="CP308" s="528"/>
      <c r="CQ308" s="520"/>
      <c r="CR308" s="528"/>
      <c r="CS308" s="520"/>
      <c r="CT308" s="528"/>
      <c r="CU308" s="520"/>
      <c r="CV308" s="528"/>
      <c r="CW308" s="520"/>
      <c r="CX308" s="528"/>
      <c r="CY308" s="520"/>
      <c r="CZ308" s="528"/>
      <c r="DA308" s="520"/>
      <c r="DB308" s="528"/>
      <c r="DC308" s="520"/>
      <c r="DD308" s="528"/>
      <c r="DE308" s="520"/>
      <c r="DF308" s="528"/>
      <c r="DG308" s="520"/>
      <c r="DH308" s="528"/>
      <c r="DI308" s="520"/>
      <c r="DJ308" s="528"/>
      <c r="DK308" s="520"/>
      <c r="DL308" s="528"/>
      <c r="DM308" s="520"/>
      <c r="DN308" s="528"/>
      <c r="DO308" s="520"/>
      <c r="DP308" s="528"/>
      <c r="DQ308" s="520"/>
      <c r="DR308" s="528"/>
      <c r="DS308" s="520"/>
      <c r="DT308" s="528"/>
      <c r="DU308" s="520"/>
      <c r="DV308" s="528"/>
      <c r="DW308" s="520"/>
      <c r="DX308" s="528"/>
      <c r="DY308" s="520"/>
      <c r="DZ308" s="528"/>
      <c r="EA308" s="520"/>
      <c r="EB308" s="528"/>
      <c r="EC308" s="520"/>
      <c r="ED308" s="528"/>
      <c r="EE308" s="520"/>
      <c r="EF308" s="528"/>
      <c r="EG308" s="520"/>
      <c r="EH308" s="520"/>
      <c r="EI308" s="528"/>
      <c r="EJ308" s="524"/>
      <c r="EK308" s="528"/>
      <c r="EL308" s="524"/>
      <c r="EM308" s="528"/>
      <c r="EN308" s="524"/>
      <c r="EO308" s="528"/>
      <c r="EP308" s="524"/>
      <c r="EQ308" s="528"/>
      <c r="ER308" s="520"/>
      <c r="ES308" s="528"/>
      <c r="ET308" s="520"/>
      <c r="EU308" s="528"/>
      <c r="EV308" s="520"/>
      <c r="EW308" s="528"/>
      <c r="EX308" s="520"/>
      <c r="EY308" s="528"/>
      <c r="EZ308" s="520"/>
      <c r="FA308" s="528"/>
      <c r="FB308" s="520"/>
      <c r="FC308" s="528"/>
      <c r="FD308" s="520"/>
      <c r="FE308" s="528"/>
      <c r="FF308" s="520"/>
      <c r="FG308" s="528"/>
      <c r="FH308" s="520"/>
      <c r="FI308" s="528"/>
      <c r="FJ308" s="520"/>
      <c r="FK308" s="528"/>
      <c r="FL308" s="520"/>
      <c r="FM308" s="528"/>
      <c r="FN308" s="520"/>
      <c r="FO308" s="528"/>
      <c r="FP308" s="520"/>
      <c r="FQ308" s="528"/>
      <c r="FR308" s="520"/>
      <c r="FS308" s="528"/>
      <c r="FT308" s="520"/>
      <c r="FU308" s="528"/>
      <c r="FV308" s="520"/>
      <c r="FW308" s="528"/>
      <c r="FX308" s="520"/>
      <c r="FY308" s="528"/>
      <c r="FZ308" s="520"/>
      <c r="GA308" s="524"/>
    </row>
    <row r="309" spans="1:183" ht="21.95" hidden="1" customHeight="1" outlineLevel="1" x14ac:dyDescent="0.25">
      <c r="A309" s="551" t="str">
        <f>INPUT!$B$4</f>
        <v>Unum Group</v>
      </c>
      <c r="B309" s="504"/>
      <c r="C309" s="512"/>
      <c r="D309" s="504"/>
      <c r="E309" s="505"/>
      <c r="F309" s="504"/>
      <c r="G309" s="505"/>
      <c r="H309" s="504"/>
      <c r="I309" s="505"/>
      <c r="J309" s="504"/>
      <c r="K309" s="505"/>
      <c r="L309" s="504"/>
      <c r="M309" s="505"/>
      <c r="N309" s="504"/>
      <c r="O309" s="505"/>
      <c r="P309" s="504"/>
      <c r="Q309" s="505"/>
      <c r="R309" s="504"/>
      <c r="S309" s="505"/>
      <c r="T309" s="504"/>
      <c r="U309" s="505"/>
      <c r="V309" s="504"/>
      <c r="W309" s="505"/>
      <c r="X309" s="504"/>
      <c r="Y309" s="505"/>
      <c r="Z309" s="504"/>
      <c r="AA309" s="505"/>
      <c r="AB309" s="504"/>
      <c r="AC309" s="505"/>
      <c r="AD309" s="504"/>
      <c r="AE309" s="505"/>
      <c r="AF309" s="504"/>
      <c r="AG309" s="505"/>
      <c r="AH309" s="504"/>
      <c r="AI309" s="505"/>
      <c r="AJ309" s="504"/>
      <c r="AK309" s="505"/>
      <c r="AL309" s="504"/>
      <c r="AM309" s="505"/>
      <c r="AN309" s="504"/>
      <c r="AO309" s="506"/>
      <c r="AP309" s="504"/>
      <c r="AQ309" s="506"/>
      <c r="AR309" s="504"/>
      <c r="AS309" s="506"/>
      <c r="AT309" s="504"/>
      <c r="AU309" s="506"/>
      <c r="AV309" s="504"/>
      <c r="AW309" s="506"/>
      <c r="AX309" s="504"/>
      <c r="AY309" s="506"/>
      <c r="AZ309" s="504"/>
      <c r="BA309" s="506"/>
      <c r="BB309" s="504"/>
      <c r="BC309" s="506"/>
      <c r="BD309" s="504"/>
      <c r="BE309" s="506"/>
      <c r="BF309" s="504"/>
      <c r="BG309" s="506"/>
      <c r="BH309" s="504"/>
      <c r="BI309" s="506"/>
      <c r="BJ309" s="504"/>
      <c r="BK309" s="506"/>
      <c r="BL309" s="504"/>
      <c r="BM309" s="506"/>
      <c r="BN309" s="504"/>
      <c r="BO309" s="506"/>
      <c r="BP309" s="504"/>
      <c r="BQ309" s="506"/>
      <c r="BR309" s="504"/>
      <c r="BS309" s="506"/>
      <c r="BT309" s="504"/>
      <c r="BU309" s="506"/>
      <c r="BV309" s="504"/>
      <c r="BW309" s="506"/>
      <c r="BX309" s="504"/>
      <c r="BY309" s="506"/>
      <c r="BZ309" s="504"/>
      <c r="CA309" s="506"/>
      <c r="CB309" s="504"/>
      <c r="CC309" s="506"/>
      <c r="CD309" s="504"/>
      <c r="CE309" s="506"/>
      <c r="CF309" s="504"/>
      <c r="CG309" s="506"/>
      <c r="CH309" s="504"/>
      <c r="CI309" s="506"/>
      <c r="CJ309" s="504"/>
      <c r="CK309" s="506"/>
      <c r="CL309" s="504"/>
      <c r="CM309" s="506"/>
      <c r="CN309" s="504"/>
      <c r="CO309" s="506"/>
      <c r="CP309" s="504"/>
      <c r="CQ309" s="506"/>
      <c r="CR309" s="504"/>
      <c r="CS309" s="506"/>
      <c r="CT309" s="504"/>
      <c r="CU309" s="506"/>
      <c r="CV309" s="504"/>
      <c r="CW309" s="506"/>
      <c r="CX309" s="504"/>
      <c r="CY309" s="506"/>
      <c r="CZ309" s="504"/>
      <c r="DA309" s="506"/>
      <c r="DB309" s="504"/>
      <c r="DC309" s="506"/>
      <c r="DD309" s="504"/>
      <c r="DE309" s="506"/>
      <c r="DF309" s="504"/>
      <c r="DG309" s="506"/>
      <c r="DH309" s="504"/>
      <c r="DI309" s="506"/>
      <c r="DJ309" s="504"/>
      <c r="DK309" s="506"/>
      <c r="DL309" s="504"/>
      <c r="DM309" s="506"/>
      <c r="DN309" s="504"/>
      <c r="DO309" s="506"/>
      <c r="DP309" s="504"/>
      <c r="DQ309" s="506"/>
      <c r="DR309" s="504"/>
      <c r="DS309" s="506"/>
      <c r="DT309" s="504"/>
      <c r="DU309" s="506"/>
      <c r="DV309" s="504"/>
      <c r="DW309" s="506"/>
      <c r="DX309" s="504"/>
      <c r="DY309" s="506"/>
      <c r="DZ309" s="504"/>
      <c r="EA309" s="506"/>
      <c r="EB309" s="504"/>
      <c r="EC309" s="506"/>
      <c r="ED309" s="504"/>
      <c r="EE309" s="506"/>
      <c r="EF309" s="504"/>
      <c r="EG309" s="506"/>
      <c r="EH309" s="506"/>
      <c r="EI309" s="504"/>
      <c r="EJ309" s="505"/>
      <c r="EK309" s="504"/>
      <c r="EL309" s="505"/>
      <c r="EM309" s="504"/>
      <c r="EN309" s="505"/>
      <c r="EO309" s="504"/>
      <c r="EP309" s="505"/>
      <c r="EQ309" s="504"/>
      <c r="ER309" s="506"/>
      <c r="ES309" s="504"/>
      <c r="ET309" s="506"/>
      <c r="EU309" s="504"/>
      <c r="EV309" s="506"/>
      <c r="EW309" s="504"/>
      <c r="EX309" s="506"/>
      <c r="EY309" s="504"/>
      <c r="EZ309" s="506"/>
      <c r="FA309" s="504"/>
      <c r="FB309" s="506"/>
      <c r="FC309" s="504"/>
      <c r="FD309" s="506"/>
      <c r="FE309" s="504"/>
      <c r="FF309" s="506"/>
      <c r="FG309" s="504"/>
      <c r="FH309" s="506"/>
      <c r="FI309" s="504"/>
      <c r="FJ309" s="506"/>
      <c r="FK309" s="504"/>
      <c r="FL309" s="506"/>
      <c r="FM309" s="504"/>
      <c r="FN309" s="506"/>
      <c r="FO309" s="504"/>
      <c r="FP309" s="506"/>
      <c r="FQ309" s="504"/>
      <c r="FR309" s="506"/>
      <c r="FS309" s="504"/>
      <c r="FT309" s="506"/>
      <c r="FU309" s="504"/>
      <c r="FV309" s="506"/>
      <c r="FW309" s="504"/>
      <c r="FX309" s="506"/>
      <c r="FY309" s="504"/>
      <c r="FZ309" s="506"/>
      <c r="GA309" s="505"/>
    </row>
    <row r="310" spans="1:183" ht="12.75" hidden="1" customHeight="1" outlineLevel="1" x14ac:dyDescent="0.2">
      <c r="A310" s="604" t="s">
        <v>214</v>
      </c>
      <c r="B310" s="504"/>
      <c r="C310" s="512"/>
      <c r="D310" s="504"/>
      <c r="E310" s="505"/>
      <c r="F310" s="504"/>
      <c r="G310" s="505"/>
      <c r="H310" s="504"/>
      <c r="I310" s="505"/>
      <c r="J310" s="504"/>
      <c r="K310" s="505"/>
      <c r="L310" s="504"/>
      <c r="M310" s="505"/>
      <c r="N310" s="504"/>
      <c r="O310" s="505"/>
      <c r="P310" s="504"/>
      <c r="Q310" s="505"/>
      <c r="R310" s="504"/>
      <c r="S310" s="505"/>
      <c r="T310" s="504"/>
      <c r="U310" s="505"/>
      <c r="V310" s="504"/>
      <c r="W310" s="505"/>
      <c r="X310" s="504"/>
      <c r="Y310" s="505"/>
      <c r="Z310" s="504"/>
      <c r="AA310" s="505"/>
      <c r="AB310" s="504"/>
      <c r="AC310" s="505"/>
      <c r="AD310" s="504"/>
      <c r="AE310" s="505"/>
      <c r="AF310" s="504"/>
      <c r="AG310" s="505"/>
      <c r="AH310" s="504"/>
      <c r="AI310" s="505"/>
      <c r="AJ310" s="504"/>
      <c r="AK310" s="505"/>
      <c r="AL310" s="504"/>
      <c r="AM310" s="505"/>
      <c r="AN310" s="504"/>
      <c r="AO310" s="506"/>
      <c r="AP310" s="504"/>
      <c r="AQ310" s="506"/>
      <c r="AR310" s="504"/>
      <c r="AS310" s="506"/>
      <c r="AT310" s="504"/>
      <c r="AU310" s="506"/>
      <c r="AV310" s="504"/>
      <c r="AW310" s="506"/>
      <c r="AX310" s="504"/>
      <c r="AY310" s="506"/>
      <c r="AZ310" s="504"/>
      <c r="BA310" s="506"/>
      <c r="BB310" s="504"/>
      <c r="BC310" s="506"/>
      <c r="BD310" s="504"/>
      <c r="BE310" s="506"/>
      <c r="BF310" s="504"/>
      <c r="BG310" s="506"/>
      <c r="BH310" s="504"/>
      <c r="BI310" s="506"/>
      <c r="BJ310" s="504"/>
      <c r="BK310" s="506"/>
      <c r="BL310" s="504"/>
      <c r="BM310" s="506"/>
      <c r="BN310" s="504"/>
      <c r="BO310" s="506"/>
      <c r="BP310" s="504"/>
      <c r="BQ310" s="506"/>
      <c r="BR310" s="504"/>
      <c r="BS310" s="506"/>
      <c r="BT310" s="504"/>
      <c r="BU310" s="506"/>
      <c r="BV310" s="504"/>
      <c r="BW310" s="506"/>
      <c r="BX310" s="504"/>
      <c r="BY310" s="506"/>
      <c r="BZ310" s="504"/>
      <c r="CA310" s="506"/>
      <c r="CB310" s="504"/>
      <c r="CC310" s="506"/>
      <c r="CD310" s="504"/>
      <c r="CE310" s="506"/>
      <c r="CF310" s="504"/>
      <c r="CG310" s="506"/>
      <c r="CH310" s="504"/>
      <c r="CI310" s="506"/>
      <c r="CJ310" s="504"/>
      <c r="CK310" s="506"/>
      <c r="CL310" s="504"/>
      <c r="CM310" s="506"/>
      <c r="CN310" s="504"/>
      <c r="CO310" s="506"/>
      <c r="CP310" s="504"/>
      <c r="CQ310" s="506"/>
      <c r="CR310" s="504"/>
      <c r="CS310" s="506"/>
      <c r="CT310" s="504"/>
      <c r="CU310" s="506"/>
      <c r="CV310" s="504"/>
      <c r="CW310" s="506"/>
      <c r="CX310" s="504"/>
      <c r="CY310" s="506"/>
      <c r="CZ310" s="504"/>
      <c r="DA310" s="506"/>
      <c r="DB310" s="504"/>
      <c r="DC310" s="506"/>
      <c r="DD310" s="504"/>
      <c r="DE310" s="506"/>
      <c r="DF310" s="504"/>
      <c r="DG310" s="506"/>
      <c r="DH310" s="504"/>
      <c r="DI310" s="506"/>
      <c r="DJ310" s="504"/>
      <c r="DK310" s="506"/>
      <c r="DL310" s="504"/>
      <c r="DM310" s="506"/>
      <c r="DN310" s="504"/>
      <c r="DO310" s="506"/>
      <c r="DP310" s="504"/>
      <c r="DQ310" s="506"/>
      <c r="DR310" s="504"/>
      <c r="DS310" s="506"/>
      <c r="DT310" s="504"/>
      <c r="DU310" s="506"/>
      <c r="DV310" s="504"/>
      <c r="DW310" s="506"/>
      <c r="DX310" s="504"/>
      <c r="DY310" s="506"/>
      <c r="DZ310" s="504"/>
      <c r="EA310" s="506"/>
      <c r="EB310" s="504"/>
      <c r="EC310" s="506"/>
      <c r="ED310" s="504"/>
      <c r="EE310" s="506"/>
      <c r="EF310" s="504"/>
      <c r="EG310" s="506"/>
      <c r="EH310" s="506"/>
      <c r="EI310" s="504"/>
      <c r="EJ310" s="505"/>
      <c r="EK310" s="504"/>
      <c r="EL310" s="505"/>
      <c r="EM310" s="504"/>
      <c r="EN310" s="505"/>
      <c r="EO310" s="504"/>
      <c r="EP310" s="505"/>
      <c r="EQ310" s="504"/>
      <c r="ER310" s="506"/>
      <c r="ES310" s="504"/>
      <c r="ET310" s="506"/>
      <c r="EU310" s="504"/>
      <c r="EV310" s="506"/>
      <c r="EW310" s="504"/>
      <c r="EX310" s="506"/>
      <c r="EY310" s="504"/>
      <c r="EZ310" s="506"/>
      <c r="FA310" s="504"/>
      <c r="FB310" s="506"/>
      <c r="FC310" s="504"/>
      <c r="FD310" s="506"/>
      <c r="FE310" s="504"/>
      <c r="FF310" s="506"/>
      <c r="FG310" s="504"/>
      <c r="FH310" s="506"/>
      <c r="FI310" s="504"/>
      <c r="FJ310" s="506"/>
      <c r="FK310" s="504"/>
      <c r="FL310" s="506"/>
      <c r="FM310" s="504"/>
      <c r="FN310" s="506"/>
      <c r="FO310" s="504"/>
      <c r="FP310" s="506"/>
      <c r="FQ310" s="504"/>
      <c r="FR310" s="506"/>
      <c r="FS310" s="504"/>
      <c r="FT310" s="506"/>
      <c r="FU310" s="504"/>
      <c r="FV310" s="506"/>
      <c r="FW310" s="504"/>
      <c r="FX310" s="506"/>
      <c r="FY310" s="504"/>
      <c r="FZ310" s="506"/>
      <c r="GA310" s="505"/>
    </row>
    <row r="311" spans="1:183" s="502" customFormat="1" ht="12.75" hidden="1" customHeight="1" outlineLevel="1" x14ac:dyDescent="0.2">
      <c r="A311" s="507" t="str">
        <f>A$3</f>
        <v>($Millions Except Per Share Data)</v>
      </c>
      <c r="B311" s="508"/>
      <c r="C311" s="509" t="str">
        <f>C$3</f>
        <v>1Q02/</v>
      </c>
      <c r="D311" s="508"/>
      <c r="E311" s="509" t="str">
        <f>E$3</f>
        <v>2Q02/</v>
      </c>
      <c r="F311" s="508"/>
      <c r="G311" s="509" t="str">
        <f>G$3</f>
        <v>3Q02/</v>
      </c>
      <c r="H311" s="508"/>
      <c r="I311" s="509" t="str">
        <f>I$3</f>
        <v>4Q02/</v>
      </c>
      <c r="J311" s="508"/>
      <c r="K311" s="509" t="str">
        <f>K$3</f>
        <v>1Q03/</v>
      </c>
      <c r="L311" s="508"/>
      <c r="M311" s="509" t="str">
        <f>M$3</f>
        <v>2Q03/</v>
      </c>
      <c r="N311" s="508"/>
      <c r="O311" s="509" t="str">
        <f>O$3</f>
        <v>3Q03/</v>
      </c>
      <c r="P311" s="508"/>
      <c r="Q311" s="509" t="str">
        <f>Q$3</f>
        <v>4Q03/</v>
      </c>
      <c r="R311" s="508"/>
      <c r="S311" s="509" t="str">
        <f>S$3</f>
        <v>1Q04/</v>
      </c>
      <c r="T311" s="508"/>
      <c r="U311" s="509" t="str">
        <f>U$3</f>
        <v>2Q04/</v>
      </c>
      <c r="V311" s="508"/>
      <c r="W311" s="509" t="str">
        <f>W$3</f>
        <v>3Q04/</v>
      </c>
      <c r="X311" s="508"/>
      <c r="Y311" s="509" t="str">
        <f>Y$3</f>
        <v>4Q04/</v>
      </c>
      <c r="Z311" s="508"/>
      <c r="AA311" s="509" t="str">
        <f>AA$3</f>
        <v>1Q05/</v>
      </c>
      <c r="AB311" s="508"/>
      <c r="AC311" s="509" t="str">
        <f>AC$3</f>
        <v>2Q05/</v>
      </c>
      <c r="AD311" s="508"/>
      <c r="AE311" s="509" t="str">
        <f>AE$3</f>
        <v>3Q05/</v>
      </c>
      <c r="AF311" s="508"/>
      <c r="AG311" s="509" t="str">
        <f>AG$3</f>
        <v>4Q05/</v>
      </c>
      <c r="AH311" s="508"/>
      <c r="AI311" s="509" t="str">
        <f>AI$3</f>
        <v>1Q06/</v>
      </c>
      <c r="AJ311" s="508"/>
      <c r="AK311" s="509" t="str">
        <f>AK$3</f>
        <v>2Q06/</v>
      </c>
      <c r="AL311" s="508"/>
      <c r="AM311" s="509" t="str">
        <f>AM$3</f>
        <v>3Q06/</v>
      </c>
      <c r="AN311" s="508"/>
      <c r="AO311" s="510" t="str">
        <f>AO$3</f>
        <v>4Q06/</v>
      </c>
      <c r="AP311" s="508"/>
      <c r="AQ311" s="510" t="str">
        <f>AQ$3</f>
        <v>1Q07/</v>
      </c>
      <c r="AR311" s="508"/>
      <c r="AS311" s="510" t="str">
        <f>AS$3</f>
        <v>2Q07/</v>
      </c>
      <c r="AT311" s="508"/>
      <c r="AU311" s="510" t="str">
        <f>AU$3</f>
        <v>3Q07/</v>
      </c>
      <c r="AV311" s="508"/>
      <c r="AW311" s="510" t="str">
        <f>AW$3</f>
        <v>4Q07/</v>
      </c>
      <c r="AX311" s="508"/>
      <c r="AY311" s="510" t="str">
        <f>AY$3</f>
        <v>1Q08/</v>
      </c>
      <c r="AZ311" s="508"/>
      <c r="BA311" s="510" t="str">
        <f>BA$3</f>
        <v>2Q08/</v>
      </c>
      <c r="BB311" s="508"/>
      <c r="BC311" s="510" t="str">
        <f>BC$3</f>
        <v>3Q08/</v>
      </c>
      <c r="BD311" s="508"/>
      <c r="BE311" s="510" t="str">
        <f>BE$3</f>
        <v>4Q08/</v>
      </c>
      <c r="BF311" s="508"/>
      <c r="BG311" s="510" t="str">
        <f>BG$3</f>
        <v>1Q09/</v>
      </c>
      <c r="BH311" s="508"/>
      <c r="BI311" s="510" t="str">
        <f>BI$3</f>
        <v>2Q09/</v>
      </c>
      <c r="BJ311" s="508"/>
      <c r="BK311" s="510" t="str">
        <f>BK$3</f>
        <v>3Q09/</v>
      </c>
      <c r="BL311" s="508"/>
      <c r="BM311" s="510" t="str">
        <f>BM$3</f>
        <v>4Q09/</v>
      </c>
      <c r="BN311" s="508"/>
      <c r="BO311" s="510" t="str">
        <f>BO$3</f>
        <v>1Q10/</v>
      </c>
      <c r="BP311" s="508"/>
      <c r="BQ311" s="510" t="str">
        <f>BQ$3</f>
        <v>2Q10/</v>
      </c>
      <c r="BR311" s="508"/>
      <c r="BS311" s="510" t="str">
        <f>BS$3</f>
        <v>3Q10/</v>
      </c>
      <c r="BT311" s="508"/>
      <c r="BU311" s="510">
        <f>BU$3</f>
        <v>0</v>
      </c>
      <c r="BV311" s="508"/>
      <c r="BW311" s="510" t="str">
        <f>BW$3</f>
        <v>1Q11/</v>
      </c>
      <c r="BX311" s="508"/>
      <c r="BY311" s="510" t="str">
        <f>BY$3</f>
        <v>2Q11/</v>
      </c>
      <c r="BZ311" s="508"/>
      <c r="CA311" s="510" t="str">
        <f>CA$3</f>
        <v>3Q11/</v>
      </c>
      <c r="CB311" s="508"/>
      <c r="CC311" s="510" t="str">
        <f>CC$3</f>
        <v>4Q11/</v>
      </c>
      <c r="CD311" s="508"/>
      <c r="CE311" s="510" t="str">
        <f>CE$3</f>
        <v>1Q12/</v>
      </c>
      <c r="CF311" s="508"/>
      <c r="CG311" s="510" t="str">
        <f>CG$3</f>
        <v>2Q12/</v>
      </c>
      <c r="CH311" s="508"/>
      <c r="CI311" s="510" t="str">
        <f>CI$3</f>
        <v>3Q12/</v>
      </c>
      <c r="CJ311" s="508"/>
      <c r="CK311" s="510" t="str">
        <f>CK$3</f>
        <v>4Q12/</v>
      </c>
      <c r="CL311" s="508"/>
      <c r="CM311" s="510" t="str">
        <f>CM$3</f>
        <v>1Q13/</v>
      </c>
      <c r="CN311" s="641"/>
      <c r="CO311" s="642" t="str">
        <f>CO$3</f>
        <v>2Q13/</v>
      </c>
      <c r="CP311" s="641"/>
      <c r="CQ311" s="642" t="str">
        <f>CQ$3</f>
        <v>3Q13/</v>
      </c>
      <c r="CR311" s="641"/>
      <c r="CS311" s="642" t="str">
        <f>CS$3</f>
        <v>4Q13/</v>
      </c>
      <c r="CT311" s="641"/>
      <c r="CU311" s="642" t="str">
        <f>CU$3</f>
        <v>1Q14/</v>
      </c>
      <c r="CV311" s="641"/>
      <c r="CW311" s="642" t="str">
        <f>CW$3</f>
        <v>2Q14/</v>
      </c>
      <c r="CX311" s="641"/>
      <c r="CY311" s="642" t="str">
        <f>CY$3</f>
        <v>3Q14/</v>
      </c>
      <c r="CZ311" s="641"/>
      <c r="DA311" s="642" t="str">
        <f>DA$3</f>
        <v>4Q14/</v>
      </c>
      <c r="DB311" s="641"/>
      <c r="DC311" s="642" t="str">
        <f>DC$3</f>
        <v>1Q15/</v>
      </c>
      <c r="DD311" s="641"/>
      <c r="DE311" s="642" t="str">
        <f>DE$3</f>
        <v>2Q15/</v>
      </c>
      <c r="DF311" s="641"/>
      <c r="DG311" s="642" t="str">
        <f>DG$3</f>
        <v>3Q15/</v>
      </c>
      <c r="DH311" s="641"/>
      <c r="DI311" s="642" t="str">
        <f>DI$3</f>
        <v>4Q15/</v>
      </c>
      <c r="DJ311" s="641"/>
      <c r="DK311" s="642" t="str">
        <f>DK$3</f>
        <v>1Q16/</v>
      </c>
      <c r="DL311" s="641"/>
      <c r="DM311" s="642" t="str">
        <f>DM$3</f>
        <v>2Q16/</v>
      </c>
      <c r="DN311" s="641"/>
      <c r="DO311" s="642" t="str">
        <f>DO$3</f>
        <v>3Q16/</v>
      </c>
      <c r="DP311" s="641"/>
      <c r="DQ311" s="642" t="str">
        <f>DQ$3</f>
        <v>4Q16/</v>
      </c>
      <c r="DR311" s="641"/>
      <c r="DS311" s="642" t="str">
        <f t="shared" ref="DS311" si="216">DS$3</f>
        <v>1Q17/</v>
      </c>
      <c r="DT311" s="641"/>
      <c r="DU311" s="642" t="str">
        <f t="shared" ref="DU311" si="217">DU$3</f>
        <v>2Q17/</v>
      </c>
      <c r="DV311" s="641"/>
      <c r="DW311" s="642" t="str">
        <f t="shared" ref="DW311" si="218">DW$3</f>
        <v>3Q17/</v>
      </c>
      <c r="DX311" s="641"/>
      <c r="DY311" s="642" t="str">
        <f t="shared" ref="DY311" si="219">DY$3</f>
        <v>4Q17/</v>
      </c>
      <c r="DZ311" s="641"/>
      <c r="EA311" s="642" t="str">
        <f t="shared" ref="EA311" si="220">EA$3</f>
        <v>1Q18E/</v>
      </c>
      <c r="EB311" s="641"/>
      <c r="EC311" s="642" t="str">
        <f t="shared" ref="EC311" si="221">EC$3</f>
        <v>2Q18E/</v>
      </c>
      <c r="ED311" s="641"/>
      <c r="EE311" s="642" t="str">
        <f t="shared" ref="EE311" si="222">EE$3</f>
        <v>3Q18E/</v>
      </c>
      <c r="EF311" s="641"/>
      <c r="EG311" s="642" t="str">
        <f t="shared" ref="EG311" si="223">EG$3</f>
        <v>4Q18E/</v>
      </c>
      <c r="EH311" s="642"/>
      <c r="EI311" s="641"/>
      <c r="EJ311" s="643" t="str">
        <f>EJ$3</f>
        <v>2001/</v>
      </c>
      <c r="EK311" s="641"/>
      <c r="EL311" s="643" t="str">
        <f>EL$3</f>
        <v>2002/</v>
      </c>
      <c r="EM311" s="641"/>
      <c r="EN311" s="643" t="str">
        <f>EN$3</f>
        <v>2003/</v>
      </c>
      <c r="EO311" s="641"/>
      <c r="EP311" s="643" t="str">
        <f>EP$3</f>
        <v>2004/</v>
      </c>
      <c r="EQ311" s="641"/>
      <c r="ER311" s="642" t="str">
        <f>ER$3</f>
        <v>2005/</v>
      </c>
      <c r="ES311" s="641"/>
      <c r="ET311" s="642" t="str">
        <f>ET$3</f>
        <v>2006/</v>
      </c>
      <c r="EU311" s="641"/>
      <c r="EV311" s="642" t="str">
        <f>EV$3</f>
        <v>2007/</v>
      </c>
      <c r="EW311" s="641"/>
      <c r="EX311" s="642" t="str">
        <f>EX$3</f>
        <v>2008/</v>
      </c>
      <c r="EY311" s="641"/>
      <c r="EZ311" s="642" t="str">
        <f>EZ$3</f>
        <v>2009/</v>
      </c>
      <c r="FA311" s="641"/>
      <c r="FB311" s="642" t="str">
        <f>FB$3</f>
        <v>2010/</v>
      </c>
      <c r="FC311" s="641"/>
      <c r="FD311" s="642" t="str">
        <f>FD$3</f>
        <v>2011/</v>
      </c>
      <c r="FE311" s="641"/>
      <c r="FF311" s="642" t="str">
        <f>FF$3</f>
        <v>2012/</v>
      </c>
      <c r="FG311" s="641"/>
      <c r="FH311" s="642" t="str">
        <f>FH$3</f>
        <v>2013/</v>
      </c>
      <c r="FI311" s="641"/>
      <c r="FJ311" s="642" t="str">
        <f>FJ$3</f>
        <v>2014/</v>
      </c>
      <c r="FK311" s="641"/>
      <c r="FL311" s="642" t="str">
        <f>FL$3</f>
        <v>2015/</v>
      </c>
      <c r="FM311" s="641"/>
      <c r="FN311" s="642" t="str">
        <f>FN$3</f>
        <v>2016/</v>
      </c>
      <c r="FO311" s="641"/>
      <c r="FP311" s="642" t="str">
        <f>FP$3</f>
        <v>2017/</v>
      </c>
      <c r="FQ311" s="641"/>
      <c r="FR311" s="642" t="str">
        <f>FR$3</f>
        <v>2018E/</v>
      </c>
      <c r="FS311" s="641"/>
      <c r="FT311" s="642" t="str">
        <f>FT$3</f>
        <v>2019E/</v>
      </c>
      <c r="FU311" s="641"/>
      <c r="FV311" s="642" t="str">
        <f>FV$3</f>
        <v>2020E/</v>
      </c>
      <c r="FW311" s="641"/>
      <c r="FX311" s="642" t="str">
        <f>FX$3</f>
        <v>2021E/</v>
      </c>
      <c r="FY311" s="641"/>
      <c r="FZ311" s="642" t="str">
        <f>FZ$3</f>
        <v>2022E/</v>
      </c>
      <c r="GA311" s="643" t="str">
        <f>INPUT!GT$5</f>
        <v>5-Yr</v>
      </c>
    </row>
    <row r="312" spans="1:183" s="502" customFormat="1" ht="12.75" hidden="1" customHeight="1" outlineLevel="1" x14ac:dyDescent="0.2">
      <c r="A312" s="511"/>
      <c r="B312" s="504"/>
      <c r="C312" s="512" t="str">
        <f>C$4</f>
        <v>1Q01</v>
      </c>
      <c r="D312" s="504"/>
      <c r="E312" s="512" t="str">
        <f>E$4</f>
        <v>2Q01</v>
      </c>
      <c r="F312" s="504"/>
      <c r="G312" s="512" t="str">
        <f>G$4</f>
        <v>3Q01</v>
      </c>
      <c r="H312" s="504"/>
      <c r="I312" s="512" t="str">
        <f>I$4</f>
        <v>4Q01</v>
      </c>
      <c r="J312" s="504"/>
      <c r="K312" s="512" t="str">
        <f>K$4</f>
        <v>1Q02</v>
      </c>
      <c r="L312" s="504"/>
      <c r="M312" s="512" t="str">
        <f>M$4</f>
        <v>2Q02</v>
      </c>
      <c r="N312" s="504"/>
      <c r="O312" s="512" t="str">
        <f>O$4</f>
        <v>3Q02</v>
      </c>
      <c r="P312" s="504"/>
      <c r="Q312" s="512" t="str">
        <f>Q$4</f>
        <v>4Q02</v>
      </c>
      <c r="R312" s="504"/>
      <c r="S312" s="512" t="str">
        <f>S$4</f>
        <v>1Q03</v>
      </c>
      <c r="T312" s="504"/>
      <c r="U312" s="512" t="str">
        <f>U$4</f>
        <v>2Q03</v>
      </c>
      <c r="V312" s="504"/>
      <c r="W312" s="512" t="str">
        <f>W$4</f>
        <v>3Q03</v>
      </c>
      <c r="X312" s="504"/>
      <c r="Y312" s="512" t="str">
        <f>Y$4</f>
        <v>4Q03</v>
      </c>
      <c r="Z312" s="504"/>
      <c r="AA312" s="512" t="str">
        <f>AA$4</f>
        <v>1Q04</v>
      </c>
      <c r="AB312" s="504"/>
      <c r="AC312" s="512" t="str">
        <f>AC$4</f>
        <v>2Q04</v>
      </c>
      <c r="AD312" s="504"/>
      <c r="AE312" s="512" t="str">
        <f>AE$4</f>
        <v>3Q04</v>
      </c>
      <c r="AF312" s="504"/>
      <c r="AG312" s="512" t="str">
        <f>AG$4</f>
        <v>4Q04</v>
      </c>
      <c r="AH312" s="504"/>
      <c r="AI312" s="512" t="str">
        <f>AI$4</f>
        <v>1Q05</v>
      </c>
      <c r="AJ312" s="504"/>
      <c r="AK312" s="512" t="str">
        <f>AK$4</f>
        <v>2Q05</v>
      </c>
      <c r="AL312" s="504"/>
      <c r="AM312" s="512" t="str">
        <f>AM$4</f>
        <v>3Q05</v>
      </c>
      <c r="AN312" s="504"/>
      <c r="AO312" s="506" t="str">
        <f>AO$4</f>
        <v>4Q05</v>
      </c>
      <c r="AP312" s="504"/>
      <c r="AQ312" s="506" t="str">
        <f>AQ$4</f>
        <v>1Q06</v>
      </c>
      <c r="AR312" s="504"/>
      <c r="AS312" s="506" t="str">
        <f>AS$4</f>
        <v>2Q06</v>
      </c>
      <c r="AT312" s="504"/>
      <c r="AU312" s="506" t="str">
        <f>AU$4</f>
        <v>3Q06</v>
      </c>
      <c r="AV312" s="504"/>
      <c r="AW312" s="506" t="str">
        <f>AW$4</f>
        <v>4Q06</v>
      </c>
      <c r="AX312" s="504"/>
      <c r="AY312" s="506" t="str">
        <f>AY$4</f>
        <v>1Q07</v>
      </c>
      <c r="AZ312" s="504"/>
      <c r="BA312" s="506" t="str">
        <f>BA$4</f>
        <v>2Q07</v>
      </c>
      <c r="BB312" s="504"/>
      <c r="BC312" s="506" t="str">
        <f>BC$4</f>
        <v>3Q07</v>
      </c>
      <c r="BD312" s="504"/>
      <c r="BE312" s="506" t="str">
        <f>BE$4</f>
        <v>4Q07</v>
      </c>
      <c r="BF312" s="504"/>
      <c r="BG312" s="506" t="str">
        <f>BG$4</f>
        <v>1Q08</v>
      </c>
      <c r="BH312" s="504"/>
      <c r="BI312" s="506" t="str">
        <f>BI$4</f>
        <v>2Q08</v>
      </c>
      <c r="BJ312" s="504"/>
      <c r="BK312" s="506" t="str">
        <f>BK$4</f>
        <v>3Q08</v>
      </c>
      <c r="BL312" s="504"/>
      <c r="BM312" s="506" t="str">
        <f>BM$4</f>
        <v>4Q08</v>
      </c>
      <c r="BN312" s="504"/>
      <c r="BO312" s="506" t="str">
        <f>BO$4</f>
        <v>1Q09</v>
      </c>
      <c r="BP312" s="504"/>
      <c r="BQ312" s="506" t="str">
        <f>BQ$4</f>
        <v>2Q09</v>
      </c>
      <c r="BR312" s="504"/>
      <c r="BS312" s="506" t="str">
        <f>BS$4</f>
        <v>3Q09</v>
      </c>
      <c r="BT312" s="504"/>
      <c r="BU312" s="506" t="str">
        <f>BU$4</f>
        <v>4Q09</v>
      </c>
      <c r="BV312" s="504"/>
      <c r="BW312" s="506" t="str">
        <f>BW$4</f>
        <v>1Q10</v>
      </c>
      <c r="BX312" s="504"/>
      <c r="BY312" s="506" t="str">
        <f>BY$4</f>
        <v>2Q10</v>
      </c>
      <c r="BZ312" s="504"/>
      <c r="CA312" s="506" t="str">
        <f>CA$4</f>
        <v>3Q10</v>
      </c>
      <c r="CB312" s="504"/>
      <c r="CC312" s="506" t="str">
        <f>CC$4</f>
        <v>4Q10</v>
      </c>
      <c r="CD312" s="504"/>
      <c r="CE312" s="506" t="str">
        <f>CE$4</f>
        <v>1Q11</v>
      </c>
      <c r="CF312" s="504"/>
      <c r="CG312" s="506" t="str">
        <f>CG$4</f>
        <v>2Q11</v>
      </c>
      <c r="CH312" s="504"/>
      <c r="CI312" s="506" t="str">
        <f>CI$4</f>
        <v>3Q11</v>
      </c>
      <c r="CJ312" s="504"/>
      <c r="CK312" s="506" t="str">
        <f>CK$4</f>
        <v>4Q11</v>
      </c>
      <c r="CL312" s="504"/>
      <c r="CM312" s="506" t="str">
        <f>CM$4</f>
        <v>1Q12</v>
      </c>
      <c r="CN312" s="638"/>
      <c r="CO312" s="639" t="str">
        <f>CO$4</f>
        <v>2Q12</v>
      </c>
      <c r="CP312" s="638"/>
      <c r="CQ312" s="639" t="str">
        <f>CQ$4</f>
        <v>3Q12</v>
      </c>
      <c r="CR312" s="638"/>
      <c r="CS312" s="639" t="str">
        <f>CS$4</f>
        <v>4Q12</v>
      </c>
      <c r="CT312" s="638"/>
      <c r="CU312" s="639" t="str">
        <f>CU$4</f>
        <v>1Q13</v>
      </c>
      <c r="CV312" s="638"/>
      <c r="CW312" s="639" t="str">
        <f>CW$4</f>
        <v>2Q13</v>
      </c>
      <c r="CX312" s="638"/>
      <c r="CY312" s="639" t="str">
        <f>CY$4</f>
        <v>3Q13</v>
      </c>
      <c r="CZ312" s="638"/>
      <c r="DA312" s="639" t="str">
        <f>DA$4</f>
        <v>4Q13</v>
      </c>
      <c r="DB312" s="638"/>
      <c r="DC312" s="639" t="str">
        <f>DC$4</f>
        <v>1Q14</v>
      </c>
      <c r="DD312" s="638"/>
      <c r="DE312" s="639" t="str">
        <f>DE$4</f>
        <v>2Q14</v>
      </c>
      <c r="DF312" s="638"/>
      <c r="DG312" s="639" t="str">
        <f>DG$4</f>
        <v>3Q14</v>
      </c>
      <c r="DH312" s="638"/>
      <c r="DI312" s="639" t="str">
        <f>DI$4</f>
        <v>4Q14</v>
      </c>
      <c r="DJ312" s="638"/>
      <c r="DK312" s="639" t="str">
        <f>DK$4</f>
        <v>1Q15</v>
      </c>
      <c r="DL312" s="638"/>
      <c r="DM312" s="639" t="str">
        <f>DM$4</f>
        <v>2Q15</v>
      </c>
      <c r="DN312" s="638"/>
      <c r="DO312" s="639" t="str">
        <f>DO$4</f>
        <v>3Q15</v>
      </c>
      <c r="DP312" s="638"/>
      <c r="DQ312" s="639" t="str">
        <f>DQ$4</f>
        <v>4Q15</v>
      </c>
      <c r="DR312" s="638"/>
      <c r="DS312" s="639" t="str">
        <f t="shared" ref="DS312" si="224">DS$4</f>
        <v>1Q16</v>
      </c>
      <c r="DT312" s="638"/>
      <c r="DU312" s="639" t="str">
        <f t="shared" ref="DU312" si="225">DU$4</f>
        <v>2Q16</v>
      </c>
      <c r="DV312" s="638"/>
      <c r="DW312" s="639" t="str">
        <f t="shared" ref="DW312" si="226">DW$4</f>
        <v>3Q16</v>
      </c>
      <c r="DX312" s="638"/>
      <c r="DY312" s="639" t="str">
        <f t="shared" ref="DY312" si="227">DY$4</f>
        <v>4Q16</v>
      </c>
      <c r="DZ312" s="638"/>
      <c r="EA312" s="639" t="str">
        <f t="shared" ref="EA312" si="228">EA$4</f>
        <v>1Q17</v>
      </c>
      <c r="EB312" s="638"/>
      <c r="EC312" s="639" t="str">
        <f t="shared" ref="EC312" si="229">EC$4</f>
        <v>2Q17</v>
      </c>
      <c r="ED312" s="638"/>
      <c r="EE312" s="639" t="str">
        <f t="shared" ref="EE312" si="230">EE$4</f>
        <v>3Q17</v>
      </c>
      <c r="EF312" s="638"/>
      <c r="EG312" s="639" t="str">
        <f t="shared" ref="EG312" si="231">EG$4</f>
        <v>4Q17</v>
      </c>
      <c r="EH312" s="639"/>
      <c r="EI312" s="638"/>
      <c r="EJ312" s="418" t="str">
        <f>EJ$4</f>
        <v>2000</v>
      </c>
      <c r="EK312" s="638"/>
      <c r="EL312" s="418" t="str">
        <f>EL$4</f>
        <v>2001</v>
      </c>
      <c r="EM312" s="638"/>
      <c r="EN312" s="418" t="str">
        <f>EN$4</f>
        <v>2002</v>
      </c>
      <c r="EO312" s="638"/>
      <c r="EP312" s="418" t="str">
        <f>EP$4</f>
        <v>2003</v>
      </c>
      <c r="EQ312" s="638"/>
      <c r="ER312" s="639" t="str">
        <f>ER$4</f>
        <v>2004</v>
      </c>
      <c r="ES312" s="638"/>
      <c r="ET312" s="639" t="str">
        <f>ET$4</f>
        <v>2005</v>
      </c>
      <c r="EU312" s="638"/>
      <c r="EV312" s="639">
        <f>EV$4</f>
        <v>2006</v>
      </c>
      <c r="EW312" s="638"/>
      <c r="EX312" s="639">
        <f>EX$4</f>
        <v>2007</v>
      </c>
      <c r="EY312" s="638"/>
      <c r="EZ312" s="639">
        <f>EZ$4</f>
        <v>2008</v>
      </c>
      <c r="FA312" s="638"/>
      <c r="FB312" s="639" t="str">
        <f>FB$4</f>
        <v>2009</v>
      </c>
      <c r="FC312" s="638"/>
      <c r="FD312" s="639" t="str">
        <f>FD$4</f>
        <v>2010</v>
      </c>
      <c r="FE312" s="638"/>
      <c r="FF312" s="639" t="str">
        <f>FF$4</f>
        <v>2011</v>
      </c>
      <c r="FG312" s="638"/>
      <c r="FH312" s="639" t="str">
        <f>FH$4</f>
        <v>2012</v>
      </c>
      <c r="FI312" s="638"/>
      <c r="FJ312" s="639" t="str">
        <f>FJ$4</f>
        <v>2013</v>
      </c>
      <c r="FK312" s="638"/>
      <c r="FL312" s="639" t="str">
        <f>FL$4</f>
        <v>2014</v>
      </c>
      <c r="FM312" s="638"/>
      <c r="FN312" s="639" t="str">
        <f>FN$4</f>
        <v>2015</v>
      </c>
      <c r="FO312" s="638"/>
      <c r="FP312" s="639" t="str">
        <f>FP$4</f>
        <v>2016</v>
      </c>
      <c r="FQ312" s="638"/>
      <c r="FR312" s="639" t="str">
        <f>FR$4</f>
        <v>2017</v>
      </c>
      <c r="FS312" s="638"/>
      <c r="FT312" s="639" t="str">
        <f>FT$4</f>
        <v>2018E</v>
      </c>
      <c r="FU312" s="638"/>
      <c r="FV312" s="639" t="str">
        <f>FV$4</f>
        <v>2019E</v>
      </c>
      <c r="FW312" s="638"/>
      <c r="FX312" s="639" t="str">
        <f>FX$4</f>
        <v>2020E</v>
      </c>
      <c r="FY312" s="638"/>
      <c r="FZ312" s="639" t="str">
        <f>FZ$4</f>
        <v>2021E</v>
      </c>
      <c r="GA312" s="418" t="s">
        <v>113</v>
      </c>
    </row>
    <row r="313" spans="1:183" s="502" customFormat="1" ht="12.75" hidden="1" customHeight="1" outlineLevel="1" x14ac:dyDescent="0.2">
      <c r="A313" s="513"/>
      <c r="B313" s="514" t="str">
        <f t="shared" ref="B313:DR313" si="232">B$5</f>
        <v>1Q02</v>
      </c>
      <c r="C313" s="515" t="str">
        <f t="shared" si="232"/>
        <v>% Chg</v>
      </c>
      <c r="D313" s="514" t="str">
        <f t="shared" si="232"/>
        <v>2Q02</v>
      </c>
      <c r="E313" s="515" t="str">
        <f t="shared" si="232"/>
        <v>% Chg</v>
      </c>
      <c r="F313" s="514" t="str">
        <f t="shared" si="232"/>
        <v>3Q02</v>
      </c>
      <c r="G313" s="515" t="str">
        <f t="shared" si="232"/>
        <v>% Chg</v>
      </c>
      <c r="H313" s="514" t="str">
        <f t="shared" si="232"/>
        <v>4Q02</v>
      </c>
      <c r="I313" s="515" t="str">
        <f t="shared" si="232"/>
        <v>% Chg</v>
      </c>
      <c r="J313" s="514" t="str">
        <f t="shared" si="232"/>
        <v>1Q03</v>
      </c>
      <c r="K313" s="515" t="str">
        <f t="shared" si="232"/>
        <v>% Chg</v>
      </c>
      <c r="L313" s="514" t="str">
        <f t="shared" si="232"/>
        <v>2Q03</v>
      </c>
      <c r="M313" s="515" t="str">
        <f t="shared" si="232"/>
        <v>% Chg</v>
      </c>
      <c r="N313" s="514" t="str">
        <f t="shared" si="232"/>
        <v>3Q03</v>
      </c>
      <c r="O313" s="515" t="str">
        <f t="shared" si="232"/>
        <v>% Chg</v>
      </c>
      <c r="P313" s="514" t="str">
        <f t="shared" si="232"/>
        <v>4Q03</v>
      </c>
      <c r="Q313" s="515" t="str">
        <f t="shared" si="232"/>
        <v>% Chg</v>
      </c>
      <c r="R313" s="514" t="str">
        <f t="shared" si="232"/>
        <v>1Q04</v>
      </c>
      <c r="S313" s="515" t="str">
        <f t="shared" si="232"/>
        <v>% Chg</v>
      </c>
      <c r="T313" s="514" t="str">
        <f t="shared" si="232"/>
        <v>2Q04</v>
      </c>
      <c r="U313" s="515" t="str">
        <f t="shared" si="232"/>
        <v>% Chg</v>
      </c>
      <c r="V313" s="514" t="str">
        <f t="shared" si="232"/>
        <v>3Q04</v>
      </c>
      <c r="W313" s="515" t="str">
        <f t="shared" si="232"/>
        <v>% Chg</v>
      </c>
      <c r="X313" s="514" t="str">
        <f t="shared" si="232"/>
        <v>4Q04</v>
      </c>
      <c r="Y313" s="515" t="str">
        <f t="shared" si="232"/>
        <v>% Chg</v>
      </c>
      <c r="Z313" s="514" t="str">
        <f t="shared" si="232"/>
        <v>1Q05</v>
      </c>
      <c r="AA313" s="515" t="str">
        <f t="shared" si="232"/>
        <v>% Chg</v>
      </c>
      <c r="AB313" s="514" t="str">
        <f t="shared" si="232"/>
        <v>2Q05</v>
      </c>
      <c r="AC313" s="515" t="str">
        <f t="shared" si="232"/>
        <v>% Chg</v>
      </c>
      <c r="AD313" s="514" t="str">
        <f t="shared" si="232"/>
        <v>3Q05</v>
      </c>
      <c r="AE313" s="515" t="str">
        <f t="shared" si="232"/>
        <v>% Chg</v>
      </c>
      <c r="AF313" s="514" t="str">
        <f t="shared" si="232"/>
        <v>4Q05</v>
      </c>
      <c r="AG313" s="515" t="str">
        <f t="shared" si="232"/>
        <v>% Chg</v>
      </c>
      <c r="AH313" s="514" t="str">
        <f t="shared" si="232"/>
        <v>1Q06</v>
      </c>
      <c r="AI313" s="515" t="str">
        <f t="shared" si="232"/>
        <v>% Chg</v>
      </c>
      <c r="AJ313" s="514" t="str">
        <f t="shared" si="232"/>
        <v>2Q06</v>
      </c>
      <c r="AK313" s="515" t="str">
        <f t="shared" si="232"/>
        <v>% Chg</v>
      </c>
      <c r="AL313" s="514" t="str">
        <f t="shared" si="232"/>
        <v>3Q06</v>
      </c>
      <c r="AM313" s="515" t="str">
        <f t="shared" si="232"/>
        <v>% Chg</v>
      </c>
      <c r="AN313" s="514" t="str">
        <f t="shared" si="232"/>
        <v>4Q06</v>
      </c>
      <c r="AO313" s="516" t="str">
        <f t="shared" si="232"/>
        <v>% Chg</v>
      </c>
      <c r="AP313" s="514" t="str">
        <f t="shared" si="232"/>
        <v>1Q07</v>
      </c>
      <c r="AQ313" s="516" t="str">
        <f t="shared" si="232"/>
        <v>% Chg</v>
      </c>
      <c r="AR313" s="514" t="str">
        <f t="shared" si="232"/>
        <v>2Q07</v>
      </c>
      <c r="AS313" s="516" t="str">
        <f t="shared" si="232"/>
        <v>% Chg</v>
      </c>
      <c r="AT313" s="514" t="str">
        <f t="shared" si="232"/>
        <v>3Q07</v>
      </c>
      <c r="AU313" s="516" t="str">
        <f t="shared" si="232"/>
        <v>% Chg</v>
      </c>
      <c r="AV313" s="514" t="str">
        <f t="shared" si="232"/>
        <v>4Q07</v>
      </c>
      <c r="AW313" s="516" t="str">
        <f t="shared" si="232"/>
        <v>% Chg</v>
      </c>
      <c r="AX313" s="514" t="str">
        <f t="shared" si="232"/>
        <v>1Q08</v>
      </c>
      <c r="AY313" s="516" t="str">
        <f t="shared" si="232"/>
        <v>% Chg</v>
      </c>
      <c r="AZ313" s="514" t="str">
        <f t="shared" si="232"/>
        <v>2Q08</v>
      </c>
      <c r="BA313" s="516" t="str">
        <f t="shared" si="232"/>
        <v>% Chg</v>
      </c>
      <c r="BB313" s="514" t="str">
        <f t="shared" si="232"/>
        <v>3Q08</v>
      </c>
      <c r="BC313" s="516" t="str">
        <f t="shared" si="232"/>
        <v>% Chg</v>
      </c>
      <c r="BD313" s="514" t="str">
        <f t="shared" si="232"/>
        <v>4Q08</v>
      </c>
      <c r="BE313" s="516" t="str">
        <f t="shared" si="232"/>
        <v>% Chg</v>
      </c>
      <c r="BF313" s="514" t="str">
        <f t="shared" si="232"/>
        <v>1Q09</v>
      </c>
      <c r="BG313" s="516" t="str">
        <f t="shared" si="232"/>
        <v>% Chg</v>
      </c>
      <c r="BH313" s="514" t="str">
        <f t="shared" si="232"/>
        <v>2Q09</v>
      </c>
      <c r="BI313" s="516" t="str">
        <f t="shared" si="232"/>
        <v>% Chg</v>
      </c>
      <c r="BJ313" s="514" t="str">
        <f t="shared" si="232"/>
        <v>3Q09</v>
      </c>
      <c r="BK313" s="516" t="str">
        <f t="shared" si="232"/>
        <v>% Chg</v>
      </c>
      <c r="BL313" s="514" t="str">
        <f t="shared" si="232"/>
        <v>4Q09</v>
      </c>
      <c r="BM313" s="516" t="str">
        <f t="shared" ref="BM313:DX313" si="233">BM$5</f>
        <v>% Chg</v>
      </c>
      <c r="BN313" s="514" t="str">
        <f t="shared" si="232"/>
        <v>1Q10</v>
      </c>
      <c r="BO313" s="516" t="str">
        <f t="shared" si="233"/>
        <v>% Chg</v>
      </c>
      <c r="BP313" s="514" t="str">
        <f t="shared" si="232"/>
        <v>2Q10</v>
      </c>
      <c r="BQ313" s="516" t="str">
        <f t="shared" si="233"/>
        <v>% Chg</v>
      </c>
      <c r="BR313" s="514" t="str">
        <f t="shared" si="232"/>
        <v>3Q10</v>
      </c>
      <c r="BS313" s="516" t="str">
        <f t="shared" si="233"/>
        <v>% Chg</v>
      </c>
      <c r="BT313" s="514" t="str">
        <f t="shared" si="232"/>
        <v>4Q10</v>
      </c>
      <c r="BU313" s="516" t="str">
        <f t="shared" si="233"/>
        <v>% Chg</v>
      </c>
      <c r="BV313" s="514" t="str">
        <f t="shared" si="232"/>
        <v>1Q11</v>
      </c>
      <c r="BW313" s="516" t="str">
        <f t="shared" si="233"/>
        <v>% Chg</v>
      </c>
      <c r="BX313" s="514" t="str">
        <f t="shared" si="232"/>
        <v>2Q11</v>
      </c>
      <c r="BY313" s="516" t="str">
        <f t="shared" si="233"/>
        <v>% Chg</v>
      </c>
      <c r="BZ313" s="514" t="str">
        <f t="shared" si="232"/>
        <v>3Q11</v>
      </c>
      <c r="CA313" s="516" t="str">
        <f t="shared" si="233"/>
        <v>% Chg</v>
      </c>
      <c r="CB313" s="514" t="str">
        <f t="shared" si="232"/>
        <v>4Q11</v>
      </c>
      <c r="CC313" s="516" t="str">
        <f t="shared" si="233"/>
        <v>% Chg</v>
      </c>
      <c r="CD313" s="514" t="str">
        <f t="shared" si="232"/>
        <v>1Q12</v>
      </c>
      <c r="CE313" s="516" t="str">
        <f t="shared" si="233"/>
        <v>% Chg</v>
      </c>
      <c r="CF313" s="514" t="str">
        <f t="shared" si="232"/>
        <v>2Q12</v>
      </c>
      <c r="CG313" s="516" t="str">
        <f t="shared" si="233"/>
        <v>% Chg</v>
      </c>
      <c r="CH313" s="514" t="str">
        <f t="shared" si="232"/>
        <v>3Q12</v>
      </c>
      <c r="CI313" s="516" t="str">
        <f t="shared" si="233"/>
        <v>% Chg</v>
      </c>
      <c r="CJ313" s="514" t="str">
        <f t="shared" si="232"/>
        <v>4Q12</v>
      </c>
      <c r="CK313" s="516" t="str">
        <f t="shared" si="233"/>
        <v>% Chg</v>
      </c>
      <c r="CL313" s="514" t="str">
        <f t="shared" si="232"/>
        <v>1Q13</v>
      </c>
      <c r="CM313" s="516" t="str">
        <f t="shared" si="233"/>
        <v>% Chg</v>
      </c>
      <c r="CN313" s="607" t="str">
        <f t="shared" si="232"/>
        <v>2Q13</v>
      </c>
      <c r="CO313" s="30" t="str">
        <f t="shared" si="233"/>
        <v>% Chg</v>
      </c>
      <c r="CP313" s="607" t="str">
        <f t="shared" si="232"/>
        <v>3Q13</v>
      </c>
      <c r="CQ313" s="30" t="str">
        <f t="shared" si="233"/>
        <v>% Chg</v>
      </c>
      <c r="CR313" s="607" t="str">
        <f t="shared" si="232"/>
        <v>4Q13</v>
      </c>
      <c r="CS313" s="30" t="str">
        <f t="shared" si="233"/>
        <v>% Chg</v>
      </c>
      <c r="CT313" s="607" t="str">
        <f t="shared" si="232"/>
        <v>1Q14</v>
      </c>
      <c r="CU313" s="30" t="str">
        <f t="shared" si="233"/>
        <v>% Chg</v>
      </c>
      <c r="CV313" s="607" t="str">
        <f t="shared" si="232"/>
        <v>2Q14</v>
      </c>
      <c r="CW313" s="30" t="str">
        <f t="shared" si="233"/>
        <v>% Chg</v>
      </c>
      <c r="CX313" s="607" t="str">
        <f t="shared" si="232"/>
        <v>3Q14</v>
      </c>
      <c r="CY313" s="30" t="str">
        <f t="shared" si="233"/>
        <v>% Chg</v>
      </c>
      <c r="CZ313" s="607" t="str">
        <f t="shared" si="232"/>
        <v>4Q14</v>
      </c>
      <c r="DA313" s="30" t="str">
        <f t="shared" si="233"/>
        <v>% Chg</v>
      </c>
      <c r="DB313" s="607" t="str">
        <f t="shared" si="232"/>
        <v>1Q15</v>
      </c>
      <c r="DC313" s="30" t="str">
        <f t="shared" si="233"/>
        <v>% Chg</v>
      </c>
      <c r="DD313" s="607" t="str">
        <f t="shared" si="232"/>
        <v>2Q15</v>
      </c>
      <c r="DE313" s="30" t="str">
        <f t="shared" si="233"/>
        <v>% Chg</v>
      </c>
      <c r="DF313" s="607" t="str">
        <f t="shared" si="232"/>
        <v>3Q15</v>
      </c>
      <c r="DG313" s="30" t="str">
        <f t="shared" si="233"/>
        <v>% Chg</v>
      </c>
      <c r="DH313" s="607" t="str">
        <f t="shared" si="232"/>
        <v>4Q15</v>
      </c>
      <c r="DI313" s="30" t="str">
        <f t="shared" si="233"/>
        <v>% Chg</v>
      </c>
      <c r="DJ313" s="607" t="str">
        <f t="shared" si="232"/>
        <v>1Q16</v>
      </c>
      <c r="DK313" s="30" t="str">
        <f t="shared" si="233"/>
        <v>% Chg</v>
      </c>
      <c r="DL313" s="607" t="str">
        <f t="shared" si="232"/>
        <v>2Q16</v>
      </c>
      <c r="DM313" s="30" t="str">
        <f t="shared" si="233"/>
        <v>% Chg</v>
      </c>
      <c r="DN313" s="607" t="str">
        <f t="shared" si="232"/>
        <v>3Q16</v>
      </c>
      <c r="DO313" s="30" t="str">
        <f t="shared" si="233"/>
        <v>% Chg</v>
      </c>
      <c r="DP313" s="607" t="str">
        <f t="shared" si="232"/>
        <v>4Q16</v>
      </c>
      <c r="DQ313" s="30" t="str">
        <f t="shared" si="233"/>
        <v>% Chg</v>
      </c>
      <c r="DR313" s="607" t="str">
        <f t="shared" si="232"/>
        <v>1Q17</v>
      </c>
      <c r="DS313" s="30" t="str">
        <f t="shared" si="233"/>
        <v>% Chg</v>
      </c>
      <c r="DT313" s="607" t="str">
        <f t="shared" si="233"/>
        <v>2Q17</v>
      </c>
      <c r="DU313" s="30" t="str">
        <f t="shared" si="233"/>
        <v>% Chg</v>
      </c>
      <c r="DV313" s="607" t="str">
        <f t="shared" si="233"/>
        <v>3Q17</v>
      </c>
      <c r="DW313" s="30" t="str">
        <f t="shared" si="233"/>
        <v>% Chg</v>
      </c>
      <c r="DX313" s="607" t="str">
        <f t="shared" si="233"/>
        <v>4Q17</v>
      </c>
      <c r="DY313" s="30" t="str">
        <f t="shared" ref="DY313:EG313" si="234">DY$5</f>
        <v>% Chg</v>
      </c>
      <c r="DZ313" s="607" t="str">
        <f t="shared" si="234"/>
        <v>1Q18E</v>
      </c>
      <c r="EA313" s="30" t="str">
        <f t="shared" si="234"/>
        <v>% Chg</v>
      </c>
      <c r="EB313" s="607" t="str">
        <f t="shared" si="234"/>
        <v>2Q18E</v>
      </c>
      <c r="EC313" s="30" t="str">
        <f t="shared" si="234"/>
        <v>% Chg</v>
      </c>
      <c r="ED313" s="607" t="str">
        <f t="shared" si="234"/>
        <v>3Q18E</v>
      </c>
      <c r="EE313" s="30" t="str">
        <f t="shared" si="234"/>
        <v>% Chg</v>
      </c>
      <c r="EF313" s="607" t="str">
        <f t="shared" si="234"/>
        <v>4Q18E</v>
      </c>
      <c r="EG313" s="30" t="str">
        <f t="shared" si="234"/>
        <v>% Chg</v>
      </c>
      <c r="EH313" s="30"/>
      <c r="EI313" s="607" t="str">
        <f t="shared" ref="EI313:FZ313" si="235">EI$5</f>
        <v>2001</v>
      </c>
      <c r="EJ313" s="608" t="str">
        <f t="shared" si="235"/>
        <v>% Chg</v>
      </c>
      <c r="EK313" s="607" t="str">
        <f t="shared" si="235"/>
        <v>2002</v>
      </c>
      <c r="EL313" s="608" t="str">
        <f t="shared" si="235"/>
        <v>% Chg</v>
      </c>
      <c r="EM313" s="607" t="str">
        <f t="shared" si="235"/>
        <v>2003</v>
      </c>
      <c r="EN313" s="608" t="str">
        <f t="shared" si="235"/>
        <v>% Chg</v>
      </c>
      <c r="EO313" s="607" t="str">
        <f t="shared" si="235"/>
        <v>2004</v>
      </c>
      <c r="EP313" s="608" t="str">
        <f t="shared" si="235"/>
        <v>% Chg</v>
      </c>
      <c r="EQ313" s="607" t="str">
        <f t="shared" si="235"/>
        <v>2005</v>
      </c>
      <c r="ER313" s="30" t="str">
        <f t="shared" si="235"/>
        <v>% Chg</v>
      </c>
      <c r="ES313" s="609">
        <f t="shared" si="235"/>
        <v>2006</v>
      </c>
      <c r="ET313" s="30" t="str">
        <f t="shared" si="235"/>
        <v>% Chg</v>
      </c>
      <c r="EU313" s="609">
        <f t="shared" si="235"/>
        <v>2007</v>
      </c>
      <c r="EV313" s="30" t="str">
        <f t="shared" si="235"/>
        <v>% Chg</v>
      </c>
      <c r="EW313" s="609">
        <f t="shared" si="235"/>
        <v>2008</v>
      </c>
      <c r="EX313" s="30" t="str">
        <f>EX$5</f>
        <v>% Chg</v>
      </c>
      <c r="EY313" s="607" t="str">
        <f t="shared" si="235"/>
        <v>2009</v>
      </c>
      <c r="EZ313" s="30" t="str">
        <f t="shared" si="235"/>
        <v>% Chg</v>
      </c>
      <c r="FA313" s="607" t="str">
        <f t="shared" si="235"/>
        <v>2010</v>
      </c>
      <c r="FB313" s="30" t="str">
        <f t="shared" si="235"/>
        <v>% Chg</v>
      </c>
      <c r="FC313" s="607" t="str">
        <f t="shared" si="235"/>
        <v>2011</v>
      </c>
      <c r="FD313" s="30" t="str">
        <f t="shared" si="235"/>
        <v>% Chg</v>
      </c>
      <c r="FE313" s="607" t="str">
        <f t="shared" si="235"/>
        <v>2012</v>
      </c>
      <c r="FF313" s="30" t="str">
        <f t="shared" si="235"/>
        <v>% Chg</v>
      </c>
      <c r="FG313" s="607" t="str">
        <f t="shared" si="235"/>
        <v>2013</v>
      </c>
      <c r="FH313" s="30" t="str">
        <f t="shared" si="235"/>
        <v>% Chg</v>
      </c>
      <c r="FI313" s="607" t="str">
        <f t="shared" si="235"/>
        <v>2014</v>
      </c>
      <c r="FJ313" s="30" t="str">
        <f t="shared" si="235"/>
        <v>% Chg</v>
      </c>
      <c r="FK313" s="607" t="str">
        <f t="shared" si="235"/>
        <v>2015</v>
      </c>
      <c r="FL313" s="30" t="str">
        <f t="shared" si="235"/>
        <v>% Chg</v>
      </c>
      <c r="FM313" s="607" t="str">
        <f t="shared" si="235"/>
        <v>2016</v>
      </c>
      <c r="FN313" s="30" t="str">
        <f t="shared" si="235"/>
        <v>% Chg</v>
      </c>
      <c r="FO313" s="607" t="str">
        <f t="shared" si="235"/>
        <v>2017</v>
      </c>
      <c r="FP313" s="30" t="str">
        <f t="shared" si="235"/>
        <v>% Chg</v>
      </c>
      <c r="FQ313" s="607" t="str">
        <f t="shared" si="235"/>
        <v>2018E</v>
      </c>
      <c r="FR313" s="30" t="str">
        <f t="shared" si="235"/>
        <v>% Chg</v>
      </c>
      <c r="FS313" s="607" t="str">
        <f t="shared" si="235"/>
        <v>2019E</v>
      </c>
      <c r="FT313" s="30" t="str">
        <f t="shared" si="235"/>
        <v>% Chg</v>
      </c>
      <c r="FU313" s="607" t="str">
        <f t="shared" si="235"/>
        <v>2020E</v>
      </c>
      <c r="FV313" s="30" t="str">
        <f t="shared" si="235"/>
        <v>% Chg</v>
      </c>
      <c r="FW313" s="607" t="str">
        <f t="shared" si="235"/>
        <v>2021E</v>
      </c>
      <c r="FX313" s="30" t="str">
        <f t="shared" si="235"/>
        <v>% Chg</v>
      </c>
      <c r="FY313" s="607" t="str">
        <f t="shared" si="235"/>
        <v>2022E</v>
      </c>
      <c r="FZ313" s="30" t="str">
        <f t="shared" si="235"/>
        <v>% Chg</v>
      </c>
      <c r="GA313" s="608" t="s">
        <v>351</v>
      </c>
    </row>
    <row r="314" spans="1:183" ht="12.75" hidden="1" customHeight="1" outlineLevel="1" x14ac:dyDescent="0.2">
      <c r="A314" s="517"/>
      <c r="B314" s="518"/>
      <c r="C314" s="524"/>
      <c r="D314" s="518"/>
      <c r="E314" s="524"/>
      <c r="F314" s="518"/>
      <c r="G314" s="524"/>
      <c r="H314" s="518"/>
      <c r="I314" s="524"/>
      <c r="J314" s="518"/>
      <c r="K314" s="524"/>
      <c r="L314" s="518"/>
      <c r="M314" s="524"/>
      <c r="N314" s="518"/>
      <c r="O314" s="524"/>
      <c r="P314" s="518"/>
      <c r="Q314" s="524"/>
      <c r="R314" s="518"/>
      <c r="S314" s="524"/>
      <c r="T314" s="518"/>
      <c r="U314" s="524"/>
      <c r="V314" s="518"/>
      <c r="W314" s="524"/>
      <c r="X314" s="518"/>
      <c r="Y314" s="524"/>
      <c r="Z314" s="518"/>
      <c r="AA314" s="524"/>
      <c r="AB314" s="518"/>
      <c r="AC314" s="524"/>
      <c r="AD314" s="518"/>
      <c r="AE314" s="524"/>
      <c r="AF314" s="518"/>
      <c r="AG314" s="524"/>
      <c r="AH314" s="518"/>
      <c r="AI314" s="524"/>
      <c r="AJ314" s="518"/>
      <c r="AK314" s="524"/>
      <c r="AL314" s="518"/>
      <c r="AM314" s="524"/>
      <c r="AN314" s="518"/>
      <c r="AO314" s="520"/>
      <c r="AP314" s="518"/>
      <c r="AQ314" s="520"/>
      <c r="AR314" s="518"/>
      <c r="AS314" s="520"/>
      <c r="AT314" s="518"/>
      <c r="AU314" s="520"/>
      <c r="AV314" s="518"/>
      <c r="AW314" s="520"/>
      <c r="AX314" s="518"/>
      <c r="AY314" s="520"/>
      <c r="AZ314" s="518"/>
      <c r="BA314" s="520"/>
      <c r="BB314" s="518"/>
      <c r="BC314" s="520"/>
      <c r="BD314" s="518"/>
      <c r="BE314" s="520"/>
      <c r="BF314" s="518"/>
      <c r="BG314" s="520"/>
      <c r="BH314" s="518"/>
      <c r="BI314" s="520"/>
      <c r="BJ314" s="518"/>
      <c r="BK314" s="520"/>
      <c r="BL314" s="518"/>
      <c r="BM314" s="520"/>
      <c r="BN314" s="518"/>
      <c r="BO314" s="520"/>
      <c r="BP314" s="518"/>
      <c r="BQ314" s="520"/>
      <c r="BR314" s="518"/>
      <c r="BS314" s="520"/>
      <c r="BT314" s="518"/>
      <c r="BU314" s="520"/>
      <c r="BV314" s="518"/>
      <c r="BW314" s="520"/>
      <c r="BX314" s="518"/>
      <c r="BY314" s="520"/>
      <c r="BZ314" s="518"/>
      <c r="CA314" s="520"/>
      <c r="CB314" s="518"/>
      <c r="CC314" s="520"/>
      <c r="CD314" s="518"/>
      <c r="CE314" s="520"/>
      <c r="CF314" s="518"/>
      <c r="CG314" s="520"/>
      <c r="CH314" s="518"/>
      <c r="CI314" s="520"/>
      <c r="CJ314" s="518"/>
      <c r="CK314" s="520"/>
      <c r="CL314" s="518"/>
      <c r="CM314" s="520"/>
      <c r="CN314" s="518"/>
      <c r="CO314" s="520"/>
      <c r="CP314" s="518"/>
      <c r="CQ314" s="520"/>
      <c r="CR314" s="518"/>
      <c r="CS314" s="520"/>
      <c r="CT314" s="518"/>
      <c r="CU314" s="520"/>
      <c r="CV314" s="518"/>
      <c r="CW314" s="520"/>
      <c r="CX314" s="518"/>
      <c r="CY314" s="520"/>
      <c r="CZ314" s="518"/>
      <c r="DA314" s="520"/>
      <c r="DB314" s="518"/>
      <c r="DC314" s="520"/>
      <c r="DD314" s="518"/>
      <c r="DE314" s="520"/>
      <c r="DF314" s="518"/>
      <c r="DG314" s="520"/>
      <c r="DH314" s="518"/>
      <c r="DI314" s="520"/>
      <c r="DJ314" s="518"/>
      <c r="DK314" s="520"/>
      <c r="DL314" s="518"/>
      <c r="DM314" s="520"/>
      <c r="DN314" s="518"/>
      <c r="DO314" s="520"/>
      <c r="DP314" s="518"/>
      <c r="DQ314" s="520"/>
      <c r="DR314" s="518"/>
      <c r="DS314" s="520"/>
      <c r="DT314" s="518"/>
      <c r="DU314" s="520"/>
      <c r="DV314" s="518"/>
      <c r="DW314" s="520"/>
      <c r="DX314" s="518"/>
      <c r="DY314" s="520"/>
      <c r="DZ314" s="518"/>
      <c r="EA314" s="520"/>
      <c r="EB314" s="518"/>
      <c r="EC314" s="520"/>
      <c r="ED314" s="518"/>
      <c r="EE314" s="520"/>
      <c r="EF314" s="518"/>
      <c r="EG314" s="520"/>
      <c r="EH314" s="520"/>
      <c r="EI314" s="518"/>
      <c r="EJ314" s="524"/>
      <c r="EK314" s="518"/>
      <c r="EL314" s="524"/>
      <c r="EM314" s="518"/>
      <c r="EN314" s="524"/>
      <c r="EO314" s="518"/>
      <c r="EP314" s="524"/>
      <c r="EQ314" s="518"/>
      <c r="ER314" s="520"/>
      <c r="ES314" s="518"/>
      <c r="ET314" s="520"/>
      <c r="EU314" s="518"/>
      <c r="EV314" s="520"/>
      <c r="EW314" s="518"/>
      <c r="EX314" s="520"/>
      <c r="EY314" s="518"/>
      <c r="EZ314" s="520"/>
      <c r="FA314" s="518"/>
      <c r="FB314" s="520"/>
      <c r="FC314" s="518"/>
      <c r="FD314" s="520"/>
      <c r="FE314" s="518"/>
      <c r="FF314" s="520"/>
      <c r="FG314" s="518"/>
      <c r="FH314" s="520"/>
      <c r="FI314" s="518"/>
      <c r="FJ314" s="520"/>
      <c r="FK314" s="518"/>
      <c r="FL314" s="520"/>
      <c r="FM314" s="518"/>
      <c r="FN314" s="520"/>
      <c r="FO314" s="518"/>
      <c r="FP314" s="520"/>
      <c r="FQ314" s="518"/>
      <c r="FR314" s="520"/>
      <c r="FS314" s="518"/>
      <c r="FT314" s="520"/>
      <c r="FU314" s="518"/>
      <c r="FV314" s="520"/>
      <c r="FW314" s="518"/>
      <c r="FX314" s="520"/>
      <c r="FY314" s="518"/>
      <c r="FZ314" s="520"/>
      <c r="GA314" s="524"/>
    </row>
    <row r="315" spans="1:183" ht="12.75" hidden="1" customHeight="1" outlineLevel="1" x14ac:dyDescent="0.2">
      <c r="A315" s="610" t="s">
        <v>285</v>
      </c>
      <c r="B315" s="96"/>
      <c r="C315" s="399"/>
      <c r="D315" s="96"/>
      <c r="E315" s="399"/>
      <c r="F315" s="96"/>
      <c r="G315" s="399"/>
      <c r="H315" s="96"/>
      <c r="I315" s="399"/>
      <c r="J315" s="96"/>
      <c r="K315" s="399"/>
      <c r="L315" s="96"/>
      <c r="M315" s="399"/>
      <c r="N315" s="96"/>
      <c r="O315" s="399"/>
      <c r="P315" s="96"/>
      <c r="Q315" s="399"/>
      <c r="R315" s="96"/>
      <c r="S315" s="399"/>
      <c r="T315" s="96"/>
      <c r="U315" s="399"/>
      <c r="V315" s="96"/>
      <c r="W315" s="399"/>
      <c r="X315" s="96"/>
      <c r="Y315" s="399"/>
      <c r="Z315" s="96"/>
      <c r="AA315" s="399"/>
      <c r="AB315" s="96"/>
      <c r="AC315" s="399"/>
      <c r="AD315" s="96"/>
      <c r="AE315" s="399"/>
      <c r="AF315" s="96"/>
      <c r="AG315" s="399"/>
      <c r="AH315" s="96"/>
      <c r="AI315" s="399"/>
      <c r="AJ315" s="96"/>
      <c r="AK315" s="399"/>
      <c r="AL315" s="96"/>
      <c r="AM315" s="399"/>
      <c r="AN315" s="96"/>
      <c r="AO315" s="18"/>
      <c r="AP315" s="96"/>
      <c r="AQ315" s="18"/>
      <c r="AR315" s="96"/>
      <c r="AS315" s="18"/>
      <c r="AT315" s="96"/>
      <c r="AU315" s="18"/>
      <c r="AV315" s="96"/>
      <c r="AW315" s="18"/>
      <c r="AX315" s="96"/>
      <c r="AY315" s="18"/>
      <c r="AZ315" s="96"/>
      <c r="BA315" s="18"/>
      <c r="BB315" s="96"/>
      <c r="BC315" s="18"/>
      <c r="BD315" s="96"/>
      <c r="BE315" s="18"/>
      <c r="BF315" s="96"/>
      <c r="BG315" s="18"/>
      <c r="BH315" s="96"/>
      <c r="BI315" s="18"/>
      <c r="BJ315" s="96"/>
      <c r="BK315" s="18"/>
      <c r="BL315" s="96"/>
      <c r="BM315" s="18"/>
      <c r="BN315" s="96"/>
      <c r="BO315" s="18"/>
      <c r="BP315" s="96"/>
      <c r="BQ315" s="18"/>
      <c r="BR315" s="96"/>
      <c r="BS315" s="18"/>
      <c r="BT315" s="96"/>
      <c r="BU315" s="18"/>
      <c r="BV315" s="96"/>
      <c r="BW315" s="18"/>
      <c r="BX315" s="96"/>
      <c r="BY315" s="18"/>
      <c r="BZ315" s="96"/>
      <c r="CA315" s="18"/>
      <c r="CB315" s="96"/>
      <c r="CC315" s="18"/>
      <c r="CD315" s="96"/>
      <c r="CE315" s="18"/>
      <c r="CF315" s="96"/>
      <c r="CG315" s="18"/>
      <c r="CH315" s="96"/>
      <c r="CI315" s="18"/>
      <c r="CJ315" s="96"/>
      <c r="CK315" s="18"/>
      <c r="CL315" s="96"/>
      <c r="CM315" s="18"/>
      <c r="CN315" s="96"/>
      <c r="CO315" s="18"/>
      <c r="CP315" s="96"/>
      <c r="CQ315" s="18"/>
      <c r="CR315" s="96"/>
      <c r="CS315" s="18"/>
      <c r="CT315" s="96"/>
      <c r="CU315" s="18"/>
      <c r="CV315" s="96"/>
      <c r="CW315" s="18"/>
      <c r="CX315" s="96"/>
      <c r="CY315" s="18"/>
      <c r="CZ315" s="96"/>
      <c r="DA315" s="18"/>
      <c r="DB315" s="96"/>
      <c r="DC315" s="18"/>
      <c r="DD315" s="96"/>
      <c r="DE315" s="18"/>
      <c r="DF315" s="96"/>
      <c r="DG315" s="18"/>
      <c r="DH315" s="96"/>
      <c r="DI315" s="18"/>
      <c r="DJ315" s="96"/>
      <c r="DK315" s="18"/>
      <c r="DL315" s="96"/>
      <c r="DM315" s="18"/>
      <c r="DN315" s="96"/>
      <c r="DO315" s="18"/>
      <c r="DP315" s="96"/>
      <c r="DQ315" s="18"/>
      <c r="DR315" s="96"/>
      <c r="DS315" s="18"/>
      <c r="DT315" s="96"/>
      <c r="DU315" s="18"/>
      <c r="DV315" s="96"/>
      <c r="DW315" s="18"/>
      <c r="DX315" s="96"/>
      <c r="DY315" s="18"/>
      <c r="DZ315" s="96"/>
      <c r="EA315" s="18"/>
      <c r="EB315" s="96"/>
      <c r="EC315" s="18"/>
      <c r="ED315" s="96"/>
      <c r="EE315" s="18"/>
      <c r="EF315" s="96"/>
      <c r="EG315" s="18"/>
      <c r="EH315" s="18"/>
      <c r="EI315" s="96"/>
      <c r="EJ315" s="399"/>
      <c r="EK315" s="96"/>
      <c r="EL315" s="399"/>
      <c r="EM315" s="96"/>
      <c r="EN315" s="399"/>
      <c r="EO315" s="96"/>
      <c r="EP315" s="399"/>
      <c r="EQ315" s="96"/>
      <c r="ER315" s="18"/>
      <c r="ES315" s="96"/>
      <c r="ET315" s="18"/>
      <c r="EU315" s="96"/>
      <c r="EV315" s="18"/>
      <c r="EW315" s="96"/>
      <c r="EX315" s="18"/>
      <c r="EY315" s="96"/>
      <c r="EZ315" s="18"/>
      <c r="FA315" s="96"/>
      <c r="FB315" s="18"/>
      <c r="FC315" s="96"/>
      <c r="FD315" s="18"/>
      <c r="FE315" s="96"/>
      <c r="FF315" s="18"/>
      <c r="FG315" s="96"/>
      <c r="FH315" s="18"/>
      <c r="FI315" s="96"/>
      <c r="FJ315" s="18"/>
      <c r="FK315" s="96"/>
      <c r="FL315" s="18"/>
      <c r="FM315" s="96"/>
      <c r="FN315" s="18"/>
      <c r="FO315" s="96"/>
      <c r="FP315" s="18"/>
      <c r="FQ315" s="96"/>
      <c r="FR315" s="18"/>
      <c r="FS315" s="96"/>
      <c r="FT315" s="18"/>
      <c r="FU315" s="96"/>
      <c r="FV315" s="18"/>
      <c r="FW315" s="96"/>
      <c r="FX315" s="18"/>
      <c r="FY315" s="96"/>
      <c r="FZ315" s="18"/>
      <c r="GA315" s="399"/>
    </row>
    <row r="316" spans="1:183" ht="12.75" hidden="1" customHeight="1" outlineLevel="1" x14ac:dyDescent="0.2">
      <c r="A316" s="612" t="str">
        <f>INPUT!B252</f>
        <v>Premium Income</v>
      </c>
      <c r="B316" s="96">
        <f>INPUT!M252</f>
        <v>279.7</v>
      </c>
      <c r="C316" s="399" t="str">
        <f>INPUT!N252</f>
        <v>NA</v>
      </c>
      <c r="D316" s="96">
        <f>INPUT!O252</f>
        <v>273.7</v>
      </c>
      <c r="E316" s="5" t="str">
        <f>INPUT!P252</f>
        <v>NA</v>
      </c>
      <c r="F316" s="96">
        <f>INPUT!Q252</f>
        <v>272.7</v>
      </c>
      <c r="G316" s="5" t="str">
        <f>INPUT!R252</f>
        <v>NA</v>
      </c>
      <c r="H316" s="96">
        <f>INPUT!S252</f>
        <v>280.2</v>
      </c>
      <c r="I316" s="5" t="str">
        <f>INPUT!T252</f>
        <v>NA</v>
      </c>
      <c r="J316" s="96">
        <f>INPUT!U252</f>
        <v>268.60000000000002</v>
      </c>
      <c r="K316" s="5">
        <f>INPUT!V252</f>
        <v>-3.9685377189846105</v>
      </c>
      <c r="L316" s="96">
        <f>INPUT!W252</f>
        <v>260.39999999999998</v>
      </c>
      <c r="M316" s="5">
        <f>INPUT!X252</f>
        <v>-4.8593350383631773</v>
      </c>
      <c r="N316" s="96">
        <f>INPUT!Y252</f>
        <v>262.10000000000002</v>
      </c>
      <c r="O316" s="5">
        <f>INPUT!Z252</f>
        <v>-3.8870553722038736</v>
      </c>
      <c r="P316" s="96">
        <f>INPUT!AA252</f>
        <v>237.4</v>
      </c>
      <c r="Q316" s="5">
        <f>INPUT!AB252</f>
        <v>-15.274803711634544</v>
      </c>
      <c r="R316" s="96">
        <f>INPUT!AC252</f>
        <v>251.3</v>
      </c>
      <c r="S316" s="5">
        <f>INPUT!AD252</f>
        <v>-6.4408041697691765</v>
      </c>
      <c r="T316" s="96">
        <f>INPUT!AE252</f>
        <v>249.2</v>
      </c>
      <c r="U316" s="5">
        <f>INPUT!AF252</f>
        <v>-4.3010752688172005</v>
      </c>
      <c r="V316" s="96">
        <f>INPUT!AG252</f>
        <v>246.8</v>
      </c>
      <c r="W316" s="5">
        <f>INPUT!AH252</f>
        <v>-5.8374666157955062</v>
      </c>
      <c r="X316" s="96">
        <f>INPUT!AI252</f>
        <v>239.3</v>
      </c>
      <c r="Y316" s="5">
        <f>INPUT!AJ252</f>
        <v>0.80033698399326614</v>
      </c>
      <c r="Z316" s="96">
        <f>INPUT!AK252</f>
        <v>242</v>
      </c>
      <c r="AA316" s="5">
        <f>INPUT!AL252</f>
        <v>-3.7007560684440999</v>
      </c>
      <c r="AB316" s="96">
        <f>INPUT!AM252</f>
        <v>232.8</v>
      </c>
      <c r="AC316" s="5">
        <f>INPUT!AN252</f>
        <v>-6.58105939004815</v>
      </c>
      <c r="AD316" s="96">
        <f>INPUT!AO252</f>
        <v>257.60000000000002</v>
      </c>
      <c r="AE316" s="5">
        <f>INPUT!AP252</f>
        <v>4.3760129659643487</v>
      </c>
      <c r="AF316" s="96">
        <f>INPUT!AQ252</f>
        <v>279.3</v>
      </c>
      <c r="AG316" s="5">
        <f>INPUT!AR252</f>
        <v>16.715419974926871</v>
      </c>
      <c r="AH316" s="96">
        <f>INPUT!AS252</f>
        <v>271</v>
      </c>
      <c r="AI316" s="5">
        <f>INPUT!AT252</f>
        <v>11.983471074380159</v>
      </c>
      <c r="AJ316" s="96">
        <f>INPUT!AU252</f>
        <v>264.2</v>
      </c>
      <c r="AK316" s="5">
        <f>INPUT!AV252</f>
        <v>13.487972508591062</v>
      </c>
      <c r="AL316" s="96">
        <f>INPUT!AW252</f>
        <v>257.8</v>
      </c>
      <c r="AM316" s="5">
        <f>INPUT!AX252</f>
        <v>7.763975155279379E-2</v>
      </c>
      <c r="AN316" s="96">
        <f>INPUT!AY252</f>
        <v>269.8</v>
      </c>
      <c r="AO316" s="18">
        <f>INPUT!AZ252</f>
        <v>-3.4013605442176909</v>
      </c>
      <c r="AP316" s="96">
        <f>INPUT!BA252</f>
        <v>252.3</v>
      </c>
      <c r="AQ316" s="18">
        <f>INPUT!BB252</f>
        <v>-6.9003690036900327</v>
      </c>
      <c r="AR316" s="96">
        <f>INPUT!BC252</f>
        <v>249.4</v>
      </c>
      <c r="AS316" s="18">
        <f>INPUT!BD252</f>
        <v>-5.6018168054504098</v>
      </c>
      <c r="AT316" s="96">
        <f>INPUT!BE252</f>
        <v>256</v>
      </c>
      <c r="AU316" s="18">
        <f>INPUT!BF252</f>
        <v>-0.69821567106284066</v>
      </c>
      <c r="AV316" s="96">
        <f>INPUT!BG252</f>
        <v>252.2</v>
      </c>
      <c r="AW316" s="18">
        <f>INPUT!BH252</f>
        <v>-6.5233506300963811</v>
      </c>
      <c r="AX316" s="96">
        <f>INPUT!BI252</f>
        <v>238.4</v>
      </c>
      <c r="AY316" s="18">
        <f>INPUT!BJ252</f>
        <v>-5.5093143083630665</v>
      </c>
      <c r="AZ316" s="96">
        <f>INPUT!BK252</f>
        <v>237.2</v>
      </c>
      <c r="BA316" s="18">
        <f>INPUT!BL252</f>
        <v>-4.8917401764234203</v>
      </c>
      <c r="BB316" s="96">
        <f>INPUT!BM252</f>
        <v>237.5</v>
      </c>
      <c r="BC316" s="18">
        <f>INPUT!BN252</f>
        <v>-7.2265625</v>
      </c>
      <c r="BD316" s="96">
        <f>INPUT!BO252</f>
        <v>239.2</v>
      </c>
      <c r="BE316" s="18">
        <f>INPUT!BP252</f>
        <v>-5.1546391752577359</v>
      </c>
      <c r="BF316" s="96">
        <f>INPUT!BQ252</f>
        <v>229.6</v>
      </c>
      <c r="BG316" s="18">
        <f>INPUT!BR252</f>
        <v>-3.6912751677852351</v>
      </c>
      <c r="BH316" s="96">
        <f>INPUT!BS252</f>
        <v>228</v>
      </c>
      <c r="BI316" s="18">
        <f>INPUT!BT252</f>
        <v>-3.8785834738617186</v>
      </c>
      <c r="BJ316" s="96">
        <f>INPUT!BU252</f>
        <v>221.5</v>
      </c>
      <c r="BK316" s="18">
        <f>INPUT!BV252</f>
        <v>-6.7368421052631628</v>
      </c>
      <c r="BL316" s="96">
        <f>INPUT!BW252</f>
        <v>219.4</v>
      </c>
      <c r="BM316" s="18">
        <f>INPUT!BX252</f>
        <v>-8.2775919732441352</v>
      </c>
      <c r="BN316" s="96">
        <f>INPUT!BY252</f>
        <v>365.4</v>
      </c>
      <c r="BO316" s="18">
        <f>INPUT!BZ252</f>
        <v>59.146341463414622</v>
      </c>
      <c r="BP316" s="96">
        <f>INPUT!CA252</f>
        <v>362.2</v>
      </c>
      <c r="BQ316" s="18">
        <f>INPUT!CB252</f>
        <v>58.859649122807014</v>
      </c>
      <c r="BR316" s="96">
        <f>INPUT!CC252</f>
        <v>358.3</v>
      </c>
      <c r="BS316" s="18">
        <f>INPUT!CD252</f>
        <v>61.760722347629795</v>
      </c>
      <c r="BT316" s="96">
        <f>INPUT!CE252</f>
        <v>363.8</v>
      </c>
      <c r="BU316" s="18">
        <f>INPUT!CF252</f>
        <v>65.815861440291698</v>
      </c>
      <c r="BV316" s="96">
        <f>INPUT!CG252</f>
        <v>353.2</v>
      </c>
      <c r="BW316" s="18">
        <f>INPUT!CH252</f>
        <v>-3.3388067870826488</v>
      </c>
      <c r="BX316" s="96">
        <f>INPUT!CI252</f>
        <v>347.4</v>
      </c>
      <c r="BY316" s="18">
        <f>INPUT!CJ252</f>
        <v>-4.086140254003312</v>
      </c>
      <c r="BZ316" s="96">
        <f>INPUT!CK252</f>
        <v>347.6</v>
      </c>
      <c r="CA316" s="18">
        <f>INPUT!CL252</f>
        <v>-2.9863243092380642</v>
      </c>
      <c r="CB316" s="96">
        <f>INPUT!CM252</f>
        <v>347.1</v>
      </c>
      <c r="CC316" s="18">
        <f>INPUT!CN252</f>
        <v>-4.5904343045629403</v>
      </c>
      <c r="CD316" s="96">
        <f>INPUT!CO252</f>
        <v>342.9</v>
      </c>
      <c r="CE316" s="18">
        <f>INPUT!CP252</f>
        <v>-2.9161947904869812</v>
      </c>
      <c r="CF316" s="96">
        <f>INPUT!CQ252</f>
        <v>342.5</v>
      </c>
      <c r="CG316" s="18">
        <f>INPUT!CR252</f>
        <v>-1.4104778353483005</v>
      </c>
      <c r="CH316" s="96">
        <f>INPUT!CS252</f>
        <v>342.9</v>
      </c>
      <c r="CI316" s="18">
        <f>INPUT!CT252</f>
        <v>-1.3521288837744616</v>
      </c>
      <c r="CJ316" s="96">
        <f>INPUT!CU252</f>
        <v>342.2</v>
      </c>
      <c r="CK316" s="18">
        <f>INPUT!CV252</f>
        <v>-1.4116969173149085</v>
      </c>
      <c r="CL316" s="96">
        <f>INPUT!CW252</f>
        <v>340.3</v>
      </c>
      <c r="CM316" s="18">
        <f>INPUT!CX252</f>
        <v>-0.75823855351413449</v>
      </c>
      <c r="CN316" s="96">
        <f>INPUT!CY252</f>
        <v>328.8</v>
      </c>
      <c r="CO316" s="18">
        <f>INPUT!CZ252</f>
        <v>-3.9999999999999925</v>
      </c>
      <c r="CP316" s="96">
        <f>INPUT!DA252</f>
        <v>326.3</v>
      </c>
      <c r="CQ316" s="18">
        <f>INPUT!DB252</f>
        <v>-4.8410615339749103</v>
      </c>
      <c r="CR316" s="96">
        <f>INPUT!DC252</f>
        <v>323.39999999999998</v>
      </c>
      <c r="CS316" s="18">
        <f>INPUT!DD252</f>
        <v>-5.4938632378725867</v>
      </c>
      <c r="CT316" s="96">
        <f>INPUT!DE252</f>
        <v>317.89999999999998</v>
      </c>
      <c r="CU316" s="18">
        <f>INPUT!DF252</f>
        <v>-6.5824272700558462</v>
      </c>
      <c r="CV316" s="96">
        <f>INPUT!DG252</f>
        <v>315.10000000000002</v>
      </c>
      <c r="CW316" s="18">
        <f>INPUT!DH252</f>
        <v>-4.1666666666666625</v>
      </c>
      <c r="CX316" s="96">
        <f>INPUT!DI252</f>
        <v>312.5</v>
      </c>
      <c r="CY316" s="18">
        <f>INPUT!DJ252</f>
        <v>-4.2292368985596074</v>
      </c>
      <c r="CZ316" s="96">
        <f>INPUT!DK252</f>
        <v>311.10000000000002</v>
      </c>
      <c r="DA316" s="18">
        <f>INPUT!DL252</f>
        <v>-3.8033395176252149</v>
      </c>
      <c r="DB316" s="96">
        <f>INPUT!DM252</f>
        <v>304.89999999999998</v>
      </c>
      <c r="DC316" s="18">
        <f>INPUT!DN252</f>
        <v>-4.0893362692670632</v>
      </c>
      <c r="DD316" s="96">
        <f>INPUT!DO252</f>
        <v>303</v>
      </c>
      <c r="DE316" s="18">
        <f>INPUT!DP252</f>
        <v>-3.8400507775309456</v>
      </c>
      <c r="DF316" s="96">
        <f>INPUT!DQ252</f>
        <v>301.3</v>
      </c>
      <c r="DG316" s="18">
        <f>INPUT!DR252</f>
        <v>-3.5839999999999983</v>
      </c>
      <c r="DH316" s="96">
        <f>INPUT!DS252</f>
        <v>298.39999999999998</v>
      </c>
      <c r="DI316" s="18">
        <f>INPUT!DT252</f>
        <v>-4.0822886531661995</v>
      </c>
      <c r="DJ316" s="96">
        <f>INPUT!DU252</f>
        <v>295.7</v>
      </c>
      <c r="DK316" s="18">
        <f>INPUT!DV252</f>
        <v>-3.0173827484421101</v>
      </c>
      <c r="DL316" s="96">
        <f>INPUT!DW252</f>
        <v>290</v>
      </c>
      <c r="DM316" s="18">
        <f>INPUT!DX252</f>
        <v>-4.2904290429042868</v>
      </c>
      <c r="DN316" s="96">
        <f>INPUT!DY252</f>
        <v>293</v>
      </c>
      <c r="DO316" s="18">
        <f>INPUT!DZ252</f>
        <v>-2.7547295054762722</v>
      </c>
      <c r="DP316" s="96">
        <f>INPUT!EA252</f>
        <v>291.7</v>
      </c>
      <c r="DQ316" s="18">
        <f>INPUT!EB252</f>
        <v>-2.2453083109919558</v>
      </c>
      <c r="DR316" s="96">
        <f>INPUT!EC252</f>
        <v>286.89999999999998</v>
      </c>
      <c r="DS316" s="18">
        <f>INPUT!ED252</f>
        <v>-2.9759891782211723</v>
      </c>
      <c r="DT316" s="96">
        <f>INPUT!EE252</f>
        <v>281.39999999999998</v>
      </c>
      <c r="DU316" s="18">
        <f>INPUT!EF252</f>
        <v>-2.9655172413793229</v>
      </c>
      <c r="DV316" s="96">
        <f>INPUT!EG252</f>
        <v>282.5</v>
      </c>
      <c r="DW316" s="18">
        <f>INPUT!EH252</f>
        <v>-3.5836177474402708</v>
      </c>
      <c r="DX316" s="96">
        <f>INPUT!EI252</f>
        <v>278.39999999999998</v>
      </c>
      <c r="DY316" s="18">
        <f>INPUT!EJ252</f>
        <v>-4.5594789166952365</v>
      </c>
      <c r="DZ316" s="96">
        <f>INPUT!EK252</f>
        <v>275.61599999999999</v>
      </c>
      <c r="EA316" s="18">
        <f>INPUT!EL252</f>
        <v>-3.9330777274311557</v>
      </c>
      <c r="EB316" s="96">
        <f>INPUT!EM252</f>
        <v>273.96230399999996</v>
      </c>
      <c r="EC316" s="18">
        <f>INPUT!EN252</f>
        <v>-2.6431044776119461</v>
      </c>
      <c r="ED316" s="96">
        <f>INPUT!EO252</f>
        <v>272.31853017599997</v>
      </c>
      <c r="EE316" s="18">
        <f>INPUT!EP252</f>
        <v>-3.6040601146902773</v>
      </c>
      <c r="EF316" s="96">
        <f>INPUT!EQ252</f>
        <v>270.68461899494395</v>
      </c>
      <c r="EG316" s="18">
        <f>INPUT!ER252</f>
        <v>-2.7713293840000097</v>
      </c>
      <c r="EH316" s="18"/>
      <c r="EI316" s="96">
        <f>INPUT!FB252</f>
        <v>0</v>
      </c>
      <c r="EJ316" s="5">
        <f>INPUT!FC252</f>
        <v>0</v>
      </c>
      <c r="EK316" s="96">
        <f>INPUT!FD252</f>
        <v>1106.3</v>
      </c>
      <c r="EL316" s="5" t="str">
        <f>INPUT!FE252</f>
        <v>NA</v>
      </c>
      <c r="EM316" s="96">
        <f>INPUT!FF252</f>
        <v>1028.5</v>
      </c>
      <c r="EN316" s="5">
        <f>INPUT!FG252</f>
        <v>-7.0324505107113744</v>
      </c>
      <c r="EO316" s="96">
        <f>INPUT!FH252</f>
        <v>986.59999999999991</v>
      </c>
      <c r="EP316" s="5">
        <f>INPUT!FI252</f>
        <v>-4.0738940204180896</v>
      </c>
      <c r="EQ316" s="96">
        <f>INPUT!FJ252</f>
        <v>1011.7</v>
      </c>
      <c r="ER316" s="18">
        <f>INPUT!FK252</f>
        <v>2.5440908169471088</v>
      </c>
      <c r="ES316" s="96">
        <f>INPUT!FL252</f>
        <v>1062.8</v>
      </c>
      <c r="ET316" s="18">
        <f>INPUT!FM252</f>
        <v>5.0509044183058016</v>
      </c>
      <c r="EU316" s="96">
        <f>INPUT!FN252</f>
        <v>1009.9000000000001</v>
      </c>
      <c r="EV316" s="18">
        <f>INPUT!FO252</f>
        <v>-4.977418140760248</v>
      </c>
      <c r="EW316" s="96">
        <f>INPUT!FP252</f>
        <v>952.3</v>
      </c>
      <c r="EX316" s="18">
        <f>INPUT!FQ252</f>
        <v>-5.7035350034656984</v>
      </c>
      <c r="EY316" s="96">
        <f>INPUT!FR252</f>
        <v>1495.9</v>
      </c>
      <c r="EZ316" s="18">
        <f>INPUT!FS252</f>
        <v>57.082852042423625</v>
      </c>
      <c r="FA316" s="96">
        <f>INPUT!FT252</f>
        <v>1449.6999999999998</v>
      </c>
      <c r="FB316" s="18">
        <f>INPUT!FU252</f>
        <v>-3.0884417407580855</v>
      </c>
      <c r="FC316" s="96">
        <f>INPUT!FV252</f>
        <v>1395.2999999999997</v>
      </c>
      <c r="FD316" s="18">
        <f>INPUT!FW252</f>
        <v>-3.7525005173484227</v>
      </c>
      <c r="FE316" s="96">
        <f>INPUT!FX252</f>
        <v>1370.5</v>
      </c>
      <c r="FF316" s="18">
        <f>INPUT!FY252</f>
        <v>-1.7773955421772958</v>
      </c>
      <c r="FG316" s="96">
        <f>INPUT!FZ252</f>
        <v>1318.8000000000002</v>
      </c>
      <c r="FH316" s="18">
        <f>INPUT!GA252</f>
        <v>-3.7723458591754744</v>
      </c>
      <c r="FI316" s="96">
        <f>INPUT!GB252</f>
        <v>1256.5999999999999</v>
      </c>
      <c r="FJ316" s="18">
        <f>INPUT!GC252</f>
        <v>-4.716408856536269</v>
      </c>
      <c r="FK316" s="96">
        <f>INPUT!GD252</f>
        <v>1207.5999999999999</v>
      </c>
      <c r="FL316" s="18">
        <f>INPUT!GE252</f>
        <v>-3.8994111093426764</v>
      </c>
      <c r="FM316" s="96">
        <f>INPUT!GF252</f>
        <v>1170.4000000000001</v>
      </c>
      <c r="FN316" s="18">
        <f>INPUT!GG252</f>
        <v>-3.0804902285524904</v>
      </c>
      <c r="FO316" s="96">
        <f>INPUT!GH252</f>
        <v>1129.1999999999998</v>
      </c>
      <c r="FP316" s="18">
        <f>INPUT!GI252</f>
        <v>-3.5201640464798567</v>
      </c>
      <c r="FQ316" s="96">
        <f>INPUT!GJ252</f>
        <v>1092.5814531709439</v>
      </c>
      <c r="FR316" s="18">
        <f>INPUT!GK252</f>
        <v>-3.2428752062571675</v>
      </c>
      <c r="FS316" s="96">
        <f>INPUT!GL252</f>
        <v>1059.8040095758156</v>
      </c>
      <c r="FT316" s="18">
        <f>INPUT!GM252</f>
        <v>-2.9999999999999916</v>
      </c>
      <c r="FU316" s="96">
        <f>INPUT!GN252</f>
        <v>1028.009889288541</v>
      </c>
      <c r="FV316" s="18">
        <f>INPUT!GO252</f>
        <v>-3.0000000000000138</v>
      </c>
      <c r="FW316" s="96">
        <f>INPUT!GP252</f>
        <v>997.16959260988472</v>
      </c>
      <c r="FX316" s="18">
        <f>INPUT!GQ252</f>
        <v>-3.0000000000000027</v>
      </c>
      <c r="FY316" s="96">
        <f>INPUT!GR252</f>
        <v>967.25450483158818</v>
      </c>
      <c r="FZ316" s="18">
        <f>INPUT!GS252</f>
        <v>-3.0000000000000027</v>
      </c>
      <c r="GA316" s="5">
        <f>INPUT!GT252</f>
        <v>-3.0486237646666026</v>
      </c>
    </row>
    <row r="317" spans="1:183" ht="12.75" hidden="1" customHeight="1" outlineLevel="1" x14ac:dyDescent="0.2">
      <c r="A317" s="612" t="str">
        <f>INPUT!B253</f>
        <v>Net Investment Income</v>
      </c>
      <c r="B317" s="96">
        <f>INPUT!M253</f>
        <v>191.8</v>
      </c>
      <c r="C317" s="399" t="str">
        <f>INPUT!N253</f>
        <v>NA</v>
      </c>
      <c r="D317" s="96">
        <f>INPUT!O253</f>
        <v>201.4</v>
      </c>
      <c r="E317" s="5" t="str">
        <f>INPUT!P253</f>
        <v>NA</v>
      </c>
      <c r="F317" s="96">
        <f>INPUT!Q253</f>
        <v>210.2</v>
      </c>
      <c r="G317" s="5" t="str">
        <f>INPUT!R253</f>
        <v>NA</v>
      </c>
      <c r="H317" s="96">
        <f>INPUT!S253</f>
        <v>211.1</v>
      </c>
      <c r="I317" s="5" t="str">
        <f>INPUT!T253</f>
        <v>NA</v>
      </c>
      <c r="J317" s="96">
        <f>INPUT!U253</f>
        <v>204.3</v>
      </c>
      <c r="K317" s="5">
        <f>INPUT!V253</f>
        <v>6.517205422314909</v>
      </c>
      <c r="L317" s="96">
        <f>INPUT!W253</f>
        <v>200.9</v>
      </c>
      <c r="M317" s="5">
        <f>INPUT!X253</f>
        <v>-0.24826216484608032</v>
      </c>
      <c r="N317" s="96">
        <f>INPUT!Y253</f>
        <v>208</v>
      </c>
      <c r="O317" s="5">
        <f>INPUT!Z253</f>
        <v>-1.0466222645099887</v>
      </c>
      <c r="P317" s="96">
        <f>INPUT!AA253</f>
        <v>211</v>
      </c>
      <c r="Q317" s="5">
        <f>INPUT!AB253</f>
        <v>-4.7370914258637598E-2</v>
      </c>
      <c r="R317" s="96">
        <f>INPUT!AC253</f>
        <v>213</v>
      </c>
      <c r="S317" s="5">
        <f>INPUT!AD253</f>
        <v>4.2584434654919123</v>
      </c>
      <c r="T317" s="96">
        <f>INPUT!AE253</f>
        <v>189.9</v>
      </c>
      <c r="U317" s="5">
        <f>INPUT!AF253</f>
        <v>-5.4753608760577439</v>
      </c>
      <c r="V317" s="96">
        <f>INPUT!AG253</f>
        <v>192.6</v>
      </c>
      <c r="W317" s="5">
        <f>INPUT!AH253</f>
        <v>-7.4038461538461604</v>
      </c>
      <c r="X317" s="96">
        <f>INPUT!AI253</f>
        <v>203.6</v>
      </c>
      <c r="Y317" s="5">
        <f>INPUT!AJ253</f>
        <v>-3.5071090047393394</v>
      </c>
      <c r="Z317" s="96">
        <f>INPUT!AK253</f>
        <v>179.9</v>
      </c>
      <c r="AA317" s="5">
        <f>INPUT!AL253</f>
        <v>-15.539906103286382</v>
      </c>
      <c r="AB317" s="96">
        <f>INPUT!AM253</f>
        <v>189.7</v>
      </c>
      <c r="AC317" s="5">
        <f>INPUT!AN253</f>
        <v>-0.10531858873091826</v>
      </c>
      <c r="AD317" s="96">
        <f>INPUT!AO253</f>
        <v>192.9</v>
      </c>
      <c r="AE317" s="5">
        <f>INPUT!AP253</f>
        <v>0.15576323987540608</v>
      </c>
      <c r="AF317" s="96">
        <f>INPUT!AQ253</f>
        <v>207.5</v>
      </c>
      <c r="AG317" s="5">
        <f>INPUT!AR253</f>
        <v>1.9155206286836979</v>
      </c>
      <c r="AH317" s="96">
        <f>INPUT!AS253</f>
        <v>202.2</v>
      </c>
      <c r="AI317" s="5">
        <f>INPUT!AT253</f>
        <v>12.395775430794886</v>
      </c>
      <c r="AJ317" s="96">
        <f>INPUT!AU253</f>
        <v>214</v>
      </c>
      <c r="AK317" s="5">
        <f>INPUT!AV253</f>
        <v>12.809699525566698</v>
      </c>
      <c r="AL317" s="96">
        <f>INPUT!AW253</f>
        <v>207</v>
      </c>
      <c r="AM317" s="5">
        <f>INPUT!AX253</f>
        <v>7.3094867807153907</v>
      </c>
      <c r="AN317" s="96">
        <f>INPUT!AY253</f>
        <v>205.5</v>
      </c>
      <c r="AO317" s="18">
        <f>INPUT!AZ253</f>
        <v>-0.96385542168674343</v>
      </c>
      <c r="AP317" s="96">
        <f>INPUT!BA253</f>
        <v>204.6</v>
      </c>
      <c r="AQ317" s="18">
        <f>INPUT!BB253</f>
        <v>1.1869436201780381</v>
      </c>
      <c r="AR317" s="96">
        <f>INPUT!BC253</f>
        <v>203.4</v>
      </c>
      <c r="AS317" s="18">
        <f>INPUT!BD253</f>
        <v>-4.953271028037376</v>
      </c>
      <c r="AT317" s="96">
        <f>INPUT!BE253</f>
        <v>213.6</v>
      </c>
      <c r="AU317" s="18">
        <f>INPUT!BF253</f>
        <v>3.1884057971014457</v>
      </c>
      <c r="AV317" s="96">
        <f>INPUT!BG253</f>
        <v>206</v>
      </c>
      <c r="AW317" s="18">
        <f>INPUT!BH253</f>
        <v>0.24330900243310083</v>
      </c>
      <c r="AX317" s="96">
        <f>INPUT!BI253</f>
        <v>190.89999999999998</v>
      </c>
      <c r="AY317" s="18">
        <f>INPUT!BJ253</f>
        <v>-6.6959921798631523</v>
      </c>
      <c r="AZ317" s="96">
        <f>INPUT!BK253</f>
        <v>198.4</v>
      </c>
      <c r="BA317" s="18">
        <f>INPUT!BL253</f>
        <v>-2.4582104228121904</v>
      </c>
      <c r="BB317" s="96">
        <f>INPUT!BM253</f>
        <v>189.29999999999998</v>
      </c>
      <c r="BC317" s="18">
        <f>INPUT!BN253</f>
        <v>-11.376404494382031</v>
      </c>
      <c r="BD317" s="96">
        <f>INPUT!BO253</f>
        <v>188.9</v>
      </c>
      <c r="BE317" s="18">
        <f>INPUT!BP253</f>
        <v>-8.3009708737864063</v>
      </c>
      <c r="BF317" s="96">
        <f>INPUT!BQ253</f>
        <v>186.4</v>
      </c>
      <c r="BG317" s="18">
        <f>INPUT!BR253</f>
        <v>-2.357255107386047</v>
      </c>
      <c r="BH317" s="96">
        <f>INPUT!BS253</f>
        <v>187.4</v>
      </c>
      <c r="BI317" s="18">
        <f>INPUT!BT253</f>
        <v>-7.0564516129032251</v>
      </c>
      <c r="BJ317" s="96">
        <f>INPUT!BU253</f>
        <v>184.4</v>
      </c>
      <c r="BK317" s="18">
        <f>INPUT!BV253</f>
        <v>-2.5884838880084415</v>
      </c>
      <c r="BL317" s="96">
        <f>INPUT!BW253</f>
        <v>182.4</v>
      </c>
      <c r="BM317" s="18">
        <f>INPUT!BX253</f>
        <v>-3.4409740603493888</v>
      </c>
      <c r="BN317" s="96">
        <f>INPUT!BY253</f>
        <v>290.8</v>
      </c>
      <c r="BO317" s="18">
        <f>INPUT!BZ253</f>
        <v>56.008583690987138</v>
      </c>
      <c r="BP317" s="96">
        <f>INPUT!CA253</f>
        <v>293</v>
      </c>
      <c r="BQ317" s="18">
        <f>INPUT!CB253</f>
        <v>55.176093916755597</v>
      </c>
      <c r="BR317" s="96">
        <f>INPUT!CC253</f>
        <v>290.8</v>
      </c>
      <c r="BS317" s="18">
        <f>INPUT!CD253</f>
        <v>57.700650759219087</v>
      </c>
      <c r="BT317" s="96">
        <f>INPUT!CE253</f>
        <v>291.8</v>
      </c>
      <c r="BU317" s="18">
        <f>INPUT!CF253</f>
        <v>59.978070175438589</v>
      </c>
      <c r="BV317" s="96">
        <f>INPUT!CG253</f>
        <v>294.3</v>
      </c>
      <c r="BW317" s="18">
        <f>INPUT!CH253</f>
        <v>1.2035763411279321</v>
      </c>
      <c r="BX317" s="96">
        <f>INPUT!CI253</f>
        <v>294.5</v>
      </c>
      <c r="BY317" s="18">
        <f>INPUT!CJ253</f>
        <v>0.51194539249146409</v>
      </c>
      <c r="BZ317" s="96">
        <f>INPUT!CK253</f>
        <v>300.10000000000002</v>
      </c>
      <c r="CA317" s="18">
        <f>INPUT!CL253</f>
        <v>3.1980742778541904</v>
      </c>
      <c r="CB317" s="96">
        <f>INPUT!CM253</f>
        <v>300.8</v>
      </c>
      <c r="CC317" s="18">
        <f>INPUT!CN253</f>
        <v>3.0843043180260432</v>
      </c>
      <c r="CD317" s="96">
        <f>INPUT!CO253</f>
        <v>301.60000000000002</v>
      </c>
      <c r="CE317" s="18">
        <f>INPUT!CP253</f>
        <v>2.4804621134896454</v>
      </c>
      <c r="CF317" s="96">
        <f>INPUT!CQ253</f>
        <v>304.5</v>
      </c>
      <c r="CG317" s="18">
        <f>INPUT!CR253</f>
        <v>3.395585738539908</v>
      </c>
      <c r="CH317" s="96">
        <f>INPUT!CS253</f>
        <v>307.3</v>
      </c>
      <c r="CI317" s="18">
        <f>INPUT!CT253</f>
        <v>2.3992002665778056</v>
      </c>
      <c r="CJ317" s="96">
        <f>INPUT!CU253</f>
        <v>317.10000000000002</v>
      </c>
      <c r="CK317" s="18">
        <f>INPUT!CV253</f>
        <v>5.4188829787234161</v>
      </c>
      <c r="CL317" s="96">
        <f>INPUT!CW253</f>
        <v>312.39999999999998</v>
      </c>
      <c r="CM317" s="18">
        <f>INPUT!CX253</f>
        <v>3.5809018567639184</v>
      </c>
      <c r="CN317" s="96">
        <f>INPUT!CY253</f>
        <v>315.60000000000002</v>
      </c>
      <c r="CO317" s="18">
        <f>INPUT!CZ253</f>
        <v>3.6453201970443327</v>
      </c>
      <c r="CP317" s="96">
        <f>INPUT!DA253</f>
        <v>314.7</v>
      </c>
      <c r="CQ317" s="18">
        <f>INPUT!DB253</f>
        <v>2.4080702896192463</v>
      </c>
      <c r="CR317" s="96">
        <f>INPUT!DC253</f>
        <v>327.5</v>
      </c>
      <c r="CS317" s="18">
        <f>INPUT!DD253</f>
        <v>3.2797224850204865</v>
      </c>
      <c r="CT317" s="96">
        <f>INPUT!DE253</f>
        <v>315.5</v>
      </c>
      <c r="CU317" s="18">
        <f>INPUT!DF253</f>
        <v>0.99231754161333008</v>
      </c>
      <c r="CV317" s="96">
        <f>INPUT!DG253</f>
        <v>325.8</v>
      </c>
      <c r="CW317" s="18">
        <f>INPUT!DH253</f>
        <v>3.2319391634980876</v>
      </c>
      <c r="CX317" s="96">
        <f>INPUT!DI253</f>
        <v>317.2</v>
      </c>
      <c r="CY317" s="18">
        <f>INPUT!DJ253</f>
        <v>0.79440737210041412</v>
      </c>
      <c r="CZ317" s="96">
        <f>INPUT!DK253</f>
        <v>323</v>
      </c>
      <c r="DA317" s="18">
        <f>INPUT!DL253</f>
        <v>-1.3740458015267132</v>
      </c>
      <c r="DB317" s="96">
        <f>INPUT!DM253</f>
        <v>320.39999999999998</v>
      </c>
      <c r="DC317" s="18">
        <f>INPUT!DN253</f>
        <v>1.5530903328050627</v>
      </c>
      <c r="DD317" s="96">
        <f>INPUT!DO253</f>
        <v>331.7</v>
      </c>
      <c r="DE317" s="18">
        <f>INPUT!DP253</f>
        <v>1.8109269490484969</v>
      </c>
      <c r="DF317" s="96">
        <f>INPUT!DQ253</f>
        <v>327.5</v>
      </c>
      <c r="DG317" s="18">
        <f>INPUT!DR253</f>
        <v>3.2471626733921788</v>
      </c>
      <c r="DH317" s="96">
        <f>INPUT!DS253</f>
        <v>340.4</v>
      </c>
      <c r="DI317" s="18">
        <f>INPUT!DT253</f>
        <v>5.3869969040247545</v>
      </c>
      <c r="DJ317" s="96">
        <f>INPUT!DU253</f>
        <v>333.4</v>
      </c>
      <c r="DK317" s="18">
        <f>INPUT!DV253</f>
        <v>4.0574282147315843</v>
      </c>
      <c r="DL317" s="96">
        <f>INPUT!DW253</f>
        <v>341.1</v>
      </c>
      <c r="DM317" s="18">
        <f>INPUT!DX253</f>
        <v>2.8338860416038614</v>
      </c>
      <c r="DN317" s="96">
        <f>INPUT!DY253</f>
        <v>334.1</v>
      </c>
      <c r="DO317" s="18">
        <f>INPUT!DZ253</f>
        <v>2.0152671755725216</v>
      </c>
      <c r="DP317" s="96">
        <f>INPUT!EA253</f>
        <v>343.6</v>
      </c>
      <c r="DQ317" s="18">
        <f>INPUT!EB253</f>
        <v>0.94007050528790437</v>
      </c>
      <c r="DR317" s="96">
        <f>INPUT!EC253</f>
        <v>335.3</v>
      </c>
      <c r="DS317" s="18">
        <f>INPUT!ED253</f>
        <v>0.56988602279544054</v>
      </c>
      <c r="DT317" s="96">
        <f>INPUT!EE253</f>
        <v>340</v>
      </c>
      <c r="DU317" s="18">
        <f>INPUT!EF253</f>
        <v>-0.32248607446497823</v>
      </c>
      <c r="DV317" s="96">
        <f>INPUT!EG253</f>
        <v>337.2</v>
      </c>
      <c r="DW317" s="18">
        <f>INPUT!EH253</f>
        <v>0.9278659084106522</v>
      </c>
      <c r="DX317" s="96">
        <f>INPUT!EI253</f>
        <v>341.5</v>
      </c>
      <c r="DY317" s="18">
        <f>INPUT!EJ253</f>
        <v>-0.61117578579744647</v>
      </c>
      <c r="DZ317" s="96">
        <f>INPUT!EK253</f>
        <v>338.93875000000003</v>
      </c>
      <c r="EA317" s="18">
        <f>INPUT!EL253</f>
        <v>1.0852221890844005</v>
      </c>
      <c r="EB317" s="96">
        <f>INPUT!EM253</f>
        <v>336.39670937500006</v>
      </c>
      <c r="EC317" s="18">
        <f>INPUT!EN253</f>
        <v>-1.0597913602941045</v>
      </c>
      <c r="ED317" s="96">
        <f>INPUT!EO253</f>
        <v>333.87373405468759</v>
      </c>
      <c r="EE317" s="18">
        <f>INPUT!EP253</f>
        <v>-0.98643711308197268</v>
      </c>
      <c r="EF317" s="96">
        <f>INPUT!EQ253</f>
        <v>331.36968104927746</v>
      </c>
      <c r="EG317" s="18">
        <f>INPUT!ER253</f>
        <v>-2.9664184335937205</v>
      </c>
      <c r="EH317" s="18"/>
      <c r="EI317" s="96">
        <f>INPUT!FB253</f>
        <v>0</v>
      </c>
      <c r="EJ317" s="5">
        <f>INPUT!FC253</f>
        <v>0</v>
      </c>
      <c r="EK317" s="96">
        <f>INPUT!FD253</f>
        <v>814.5</v>
      </c>
      <c r="EL317" s="5" t="str">
        <f>INPUT!FE253</f>
        <v>NA</v>
      </c>
      <c r="EM317" s="96">
        <f>INPUT!FF253</f>
        <v>824.2</v>
      </c>
      <c r="EN317" s="5">
        <f>INPUT!FG253</f>
        <v>1.1909146715776586</v>
      </c>
      <c r="EO317" s="96">
        <f>INPUT!FH253</f>
        <v>799.1</v>
      </c>
      <c r="EP317" s="5">
        <f>INPUT!FI253</f>
        <v>-3.0453773355981539</v>
      </c>
      <c r="EQ317" s="96">
        <f>INPUT!FJ253</f>
        <v>769.99999999999989</v>
      </c>
      <c r="ER317" s="18">
        <f>INPUT!FK253</f>
        <v>-3.6415967963959628</v>
      </c>
      <c r="ES317" s="96">
        <f>INPUT!FL253</f>
        <v>828.7</v>
      </c>
      <c r="ET317" s="18">
        <f>INPUT!FM253</f>
        <v>7.6233766233766431</v>
      </c>
      <c r="EU317" s="96">
        <f>INPUT!FN253</f>
        <v>827.6</v>
      </c>
      <c r="EV317" s="18">
        <f>INPUT!FO253</f>
        <v>-0.13273802341016161</v>
      </c>
      <c r="EW317" s="96">
        <f>INPUT!FP253</f>
        <v>767.49999999999989</v>
      </c>
      <c r="EX317" s="18">
        <f>INPUT!FQ253</f>
        <v>-7.261962300628344</v>
      </c>
      <c r="EY317" s="96">
        <f>INPUT!FR253</f>
        <v>1106.8</v>
      </c>
      <c r="EZ317" s="18">
        <f>INPUT!FS253</f>
        <v>44.208469055374607</v>
      </c>
      <c r="FA317" s="96">
        <f>INPUT!FT253</f>
        <v>1166.3999999999999</v>
      </c>
      <c r="FB317" s="18">
        <f>INPUT!FU253</f>
        <v>5.3848933863389847</v>
      </c>
      <c r="FC317" s="96">
        <f>INPUT!FV253</f>
        <v>1189.7</v>
      </c>
      <c r="FD317" s="18">
        <f>INPUT!FW253</f>
        <v>1.9975994513031781</v>
      </c>
      <c r="FE317" s="96">
        <f>INPUT!FX253</f>
        <v>1229.7</v>
      </c>
      <c r="FF317" s="18">
        <f>INPUT!FY253</f>
        <v>3.3621921492813289</v>
      </c>
      <c r="FG317" s="96">
        <f>INPUT!FZ253</f>
        <v>1270.2</v>
      </c>
      <c r="FH317" s="18">
        <f>INPUT!GA253</f>
        <v>3.2934862161502876</v>
      </c>
      <c r="FI317" s="96">
        <f>INPUT!GB253</f>
        <v>1281.5</v>
      </c>
      <c r="FJ317" s="18">
        <f>INPUT!GC253</f>
        <v>0.88962368131002556</v>
      </c>
      <c r="FK317" s="96">
        <f>INPUT!GD253</f>
        <v>1320</v>
      </c>
      <c r="FL317" s="18">
        <f>INPUT!GE253</f>
        <v>3.0042918454935563</v>
      </c>
      <c r="FM317" s="96">
        <f>INPUT!GF253</f>
        <v>1352.2</v>
      </c>
      <c r="FN317" s="18">
        <f>INPUT!GG253</f>
        <v>2.4393939393939412</v>
      </c>
      <c r="FO317" s="96">
        <f>INPUT!GH253</f>
        <v>1354</v>
      </c>
      <c r="FP317" s="18">
        <f>INPUT!GI253</f>
        <v>0.13311640289896953</v>
      </c>
      <c r="FQ317" s="96">
        <f>INPUT!GJ253</f>
        <v>1340.5788744789652</v>
      </c>
      <c r="FR317" s="18">
        <f>INPUT!GK253</f>
        <v>-0.99122049638366017</v>
      </c>
      <c r="FS317" s="96">
        <f>INPUT!GL253</f>
        <v>1300.3615082445963</v>
      </c>
      <c r="FT317" s="18">
        <f>INPUT!GM253</f>
        <v>-2.9999999999999916</v>
      </c>
      <c r="FU317" s="96">
        <f>INPUT!GN253</f>
        <v>1261.3506629972583</v>
      </c>
      <c r="FV317" s="18">
        <f>INPUT!GO253</f>
        <v>-3.0000000000000138</v>
      </c>
      <c r="FW317" s="96">
        <f>INPUT!GP253</f>
        <v>1223.5101431073406</v>
      </c>
      <c r="FX317" s="18">
        <f>INPUT!GQ253</f>
        <v>-2.9999999999999916</v>
      </c>
      <c r="FY317" s="96">
        <f>INPUT!GR253</f>
        <v>1186.8048388141203</v>
      </c>
      <c r="FZ317" s="18">
        <f>INPUT!GS253</f>
        <v>-3.0000000000000027</v>
      </c>
      <c r="GA317" s="5">
        <f>INPUT!GT253</f>
        <v>-2.6015313335851054</v>
      </c>
    </row>
    <row r="318" spans="1:183" ht="12.75" hidden="1" customHeight="1" outlineLevel="1" x14ac:dyDescent="0.2">
      <c r="A318" s="612" t="str">
        <f>INPUT!B254</f>
        <v>Other Income</v>
      </c>
      <c r="B318" s="96">
        <f>INPUT!M254</f>
        <v>11.8</v>
      </c>
      <c r="C318" s="399" t="str">
        <f>INPUT!N254</f>
        <v>NA</v>
      </c>
      <c r="D318" s="96">
        <f>INPUT!O254</f>
        <v>34</v>
      </c>
      <c r="E318" s="5" t="str">
        <f>INPUT!P254</f>
        <v>NA</v>
      </c>
      <c r="F318" s="96">
        <f>INPUT!Q254</f>
        <v>22.6</v>
      </c>
      <c r="G318" s="5" t="str">
        <f>INPUT!R254</f>
        <v>NA</v>
      </c>
      <c r="H318" s="96">
        <f>INPUT!S254</f>
        <v>17.3</v>
      </c>
      <c r="I318" s="5" t="str">
        <f>INPUT!T254</f>
        <v>NA</v>
      </c>
      <c r="J318" s="96">
        <f>INPUT!U254</f>
        <v>13.5</v>
      </c>
      <c r="K318" s="5">
        <f>INPUT!V254</f>
        <v>14.406779661016934</v>
      </c>
      <c r="L318" s="96">
        <f>INPUT!W254</f>
        <v>33.4</v>
      </c>
      <c r="M318" s="5">
        <f>INPUT!X254</f>
        <v>-1.764705882352946</v>
      </c>
      <c r="N318" s="96">
        <f>INPUT!Y254</f>
        <v>30.2</v>
      </c>
      <c r="O318" s="5">
        <f>INPUT!Z254</f>
        <v>33.628318584070783</v>
      </c>
      <c r="P318" s="96">
        <f>INPUT!AA254</f>
        <v>18.8</v>
      </c>
      <c r="Q318" s="5">
        <f>INPUT!AB254</f>
        <v>8.6705202312138638</v>
      </c>
      <c r="R318" s="96">
        <f>INPUT!AC254</f>
        <v>27.8</v>
      </c>
      <c r="S318" s="5" t="str">
        <f>INPUT!AD254</f>
        <v>NM</v>
      </c>
      <c r="T318" s="96">
        <f>INPUT!AE254</f>
        <v>20.2</v>
      </c>
      <c r="U318" s="5">
        <f>INPUT!AF254</f>
        <v>-39.520958083832333</v>
      </c>
      <c r="V318" s="96">
        <f>INPUT!AG254</f>
        <v>21.1</v>
      </c>
      <c r="W318" s="5">
        <f>INPUT!AH254</f>
        <v>-30.132450331125828</v>
      </c>
      <c r="X318" s="96">
        <f>INPUT!AI254</f>
        <v>31.2</v>
      </c>
      <c r="Y318" s="5">
        <f>INPUT!AJ254</f>
        <v>65.957446808510639</v>
      </c>
      <c r="Z318" s="96">
        <f>INPUT!AK254</f>
        <v>24.7</v>
      </c>
      <c r="AA318" s="5">
        <f>INPUT!AL254</f>
        <v>-11.151079136690656</v>
      </c>
      <c r="AB318" s="96">
        <f>INPUT!AM254</f>
        <v>19.8</v>
      </c>
      <c r="AC318" s="5">
        <f>INPUT!AN254</f>
        <v>-1.9801980198019709</v>
      </c>
      <c r="AD318" s="96">
        <f>INPUT!AO254</f>
        <v>25.7</v>
      </c>
      <c r="AE318" s="5">
        <f>INPUT!AP254</f>
        <v>21.800947867298561</v>
      </c>
      <c r="AF318" s="96">
        <f>INPUT!AQ254</f>
        <v>25</v>
      </c>
      <c r="AG318" s="5">
        <f>INPUT!AR254</f>
        <v>-19.871794871794869</v>
      </c>
      <c r="AH318" s="96">
        <f>INPUT!AS254</f>
        <v>26.3</v>
      </c>
      <c r="AI318" s="5">
        <f>INPUT!AT254</f>
        <v>6.4777327935222839</v>
      </c>
      <c r="AJ318" s="96">
        <f>INPUT!AU254</f>
        <v>23.9</v>
      </c>
      <c r="AK318" s="5">
        <f>INPUT!AV254</f>
        <v>20.707070707070695</v>
      </c>
      <c r="AL318" s="96">
        <f>INPUT!AW254</f>
        <v>25.5</v>
      </c>
      <c r="AM318" s="5">
        <f>INPUT!AX254</f>
        <v>-0.77821011673151474</v>
      </c>
      <c r="AN318" s="96">
        <f>INPUT!AY254</f>
        <v>29.4</v>
      </c>
      <c r="AO318" s="18">
        <f>INPUT!AZ254</f>
        <v>17.599999999999994</v>
      </c>
      <c r="AP318" s="96">
        <f>INPUT!BA254</f>
        <v>25.3</v>
      </c>
      <c r="AQ318" s="18">
        <f>INPUT!BB254</f>
        <v>-3.802281368821292</v>
      </c>
      <c r="AR318" s="96">
        <f>INPUT!BC254</f>
        <v>25.8</v>
      </c>
      <c r="AS318" s="18">
        <f>INPUT!BD254</f>
        <v>7.9497907949790836</v>
      </c>
      <c r="AT318" s="96">
        <f>INPUT!BE254</f>
        <v>27.5</v>
      </c>
      <c r="AU318" s="18">
        <f>INPUT!BF254</f>
        <v>7.8431372549019551</v>
      </c>
      <c r="AV318" s="96">
        <f>INPUT!BG254</f>
        <v>25.1</v>
      </c>
      <c r="AW318" s="18">
        <f>INPUT!BH254</f>
        <v>-14.625850340136049</v>
      </c>
      <c r="AX318" s="96">
        <f>INPUT!BI254</f>
        <v>24.1</v>
      </c>
      <c r="AY318" s="18">
        <f>INPUT!BJ254</f>
        <v>-4.743083003952564</v>
      </c>
      <c r="AZ318" s="96">
        <f>INPUT!BK254</f>
        <v>25.4</v>
      </c>
      <c r="BA318" s="18">
        <f>INPUT!BL254</f>
        <v>-1.5503875968992276</v>
      </c>
      <c r="BB318" s="96">
        <f>INPUT!BM254</f>
        <v>23.799999999999997</v>
      </c>
      <c r="BC318" s="18">
        <f>INPUT!BN254</f>
        <v>-13.454545454545464</v>
      </c>
      <c r="BD318" s="96">
        <f>INPUT!BO254</f>
        <v>25.3</v>
      </c>
      <c r="BE318" s="18">
        <f>INPUT!BP254</f>
        <v>0.79681274900398336</v>
      </c>
      <c r="BF318" s="96">
        <f>INPUT!BQ254</f>
        <v>26.9</v>
      </c>
      <c r="BG318" s="18">
        <f>INPUT!BR254</f>
        <v>11.618257261410768</v>
      </c>
      <c r="BH318" s="96">
        <f>INPUT!BS254</f>
        <v>25.8</v>
      </c>
      <c r="BI318" s="18">
        <f>INPUT!BT254</f>
        <v>1.5748031496063186</v>
      </c>
      <c r="BJ318" s="96">
        <f>INPUT!BU254</f>
        <v>24.3</v>
      </c>
      <c r="BK318" s="18">
        <f>INPUT!BV254</f>
        <v>2.1008403361344685</v>
      </c>
      <c r="BL318" s="96">
        <f>INPUT!BW254</f>
        <v>23.8</v>
      </c>
      <c r="BM318" s="18">
        <f>INPUT!BX254</f>
        <v>-5.928853754940711</v>
      </c>
      <c r="BN318" s="96">
        <f>INPUT!BY254</f>
        <v>28.6</v>
      </c>
      <c r="BO318" s="18">
        <f>INPUT!BZ254</f>
        <v>6.3197026022304925</v>
      </c>
      <c r="BP318" s="96">
        <f>INPUT!CA254</f>
        <v>28.6</v>
      </c>
      <c r="BQ318" s="18">
        <f>INPUT!CB254</f>
        <v>10.852713178294572</v>
      </c>
      <c r="BR318" s="96">
        <f>INPUT!CC254</f>
        <v>27.8</v>
      </c>
      <c r="BS318" s="18">
        <f>INPUT!CD254</f>
        <v>14.403292181069949</v>
      </c>
      <c r="BT318" s="96">
        <f>INPUT!CE254</f>
        <v>28.6</v>
      </c>
      <c r="BU318" s="18">
        <f>INPUT!CF254</f>
        <v>20.168067226890752</v>
      </c>
      <c r="BV318" s="96">
        <f>INPUT!CG254</f>
        <v>27.5</v>
      </c>
      <c r="BW318" s="18">
        <f>INPUT!CH254</f>
        <v>-3.8461538461538547</v>
      </c>
      <c r="BX318" s="96">
        <f>INPUT!CI254</f>
        <v>26.7</v>
      </c>
      <c r="BY318" s="18">
        <f>INPUT!CJ254</f>
        <v>-6.643356643356646</v>
      </c>
      <c r="BZ318" s="96">
        <f>INPUT!CK254</f>
        <v>26.4</v>
      </c>
      <c r="CA318" s="18">
        <f>INPUT!CL254</f>
        <v>-5.0359712230215852</v>
      </c>
      <c r="CB318" s="96">
        <f>INPUT!CM254</f>
        <v>25.5</v>
      </c>
      <c r="CC318" s="18">
        <f>INPUT!CN254</f>
        <v>-10.839160839160844</v>
      </c>
      <c r="CD318" s="96">
        <f>INPUT!CO254</f>
        <v>25.9</v>
      </c>
      <c r="CE318" s="18">
        <f>INPUT!CP254</f>
        <v>-5.8181818181818219</v>
      </c>
      <c r="CF318" s="96">
        <f>INPUT!CQ254</f>
        <v>26.6</v>
      </c>
      <c r="CG318" s="18">
        <f>INPUT!CR254</f>
        <v>-0.37453183520598232</v>
      </c>
      <c r="CH318" s="96">
        <f>INPUT!CS254</f>
        <v>26.4</v>
      </c>
      <c r="CI318" s="18">
        <f>INPUT!CT254</f>
        <v>0</v>
      </c>
      <c r="CJ318" s="96">
        <f>INPUT!CU254</f>
        <v>21.2</v>
      </c>
      <c r="CK318" s="18">
        <f>INPUT!CV254</f>
        <v>-16.862745098039223</v>
      </c>
      <c r="CL318" s="96">
        <f>INPUT!CW254</f>
        <v>24.1</v>
      </c>
      <c r="CM318" s="18">
        <f>INPUT!CX254</f>
        <v>-6.9498069498069359</v>
      </c>
      <c r="CN318" s="96">
        <f>INPUT!CY254</f>
        <v>23.8</v>
      </c>
      <c r="CO318" s="18">
        <f>INPUT!CZ254</f>
        <v>-10.526315789473683</v>
      </c>
      <c r="CP318" s="96">
        <f>INPUT!DA254</f>
        <v>23.6</v>
      </c>
      <c r="CQ318" s="18">
        <f>INPUT!DB254</f>
        <v>-10.606060606060597</v>
      </c>
      <c r="CR318" s="96">
        <f>INPUT!DC254</f>
        <v>22.4</v>
      </c>
      <c r="CS318" s="18">
        <f>INPUT!DD254</f>
        <v>5.6603773584905648</v>
      </c>
      <c r="CT318" s="96">
        <f>INPUT!DE254</f>
        <v>21.6</v>
      </c>
      <c r="CU318" s="18">
        <f>INPUT!DF254</f>
        <v>-10.373443983402487</v>
      </c>
      <c r="CV318" s="96">
        <f>INPUT!DG254</f>
        <v>24.5</v>
      </c>
      <c r="CW318" s="18">
        <f>INPUT!DH254</f>
        <v>2.9411764705882248</v>
      </c>
      <c r="CX318" s="96">
        <f>INPUT!DI254</f>
        <v>23.4</v>
      </c>
      <c r="CY318" s="18">
        <f>INPUT!DJ254</f>
        <v>-0.84745762711865291</v>
      </c>
      <c r="CZ318" s="96">
        <f>INPUT!DK254</f>
        <v>22.3</v>
      </c>
      <c r="DA318" s="18">
        <f>INPUT!DL254</f>
        <v>-0.44642857142855874</v>
      </c>
      <c r="DB318" s="96">
        <f>INPUT!DM254</f>
        <v>23.2</v>
      </c>
      <c r="DC318" s="18">
        <f>INPUT!DN254</f>
        <v>7.4074074074073959</v>
      </c>
      <c r="DD318" s="96">
        <f>INPUT!DO254</f>
        <v>22.8</v>
      </c>
      <c r="DE318" s="18">
        <f>INPUT!DP254</f>
        <v>-6.938775510204076</v>
      </c>
      <c r="DF318" s="96">
        <f>INPUT!DQ254</f>
        <v>21.5</v>
      </c>
      <c r="DG318" s="18">
        <f>INPUT!DR254</f>
        <v>-8.1196581196581121</v>
      </c>
      <c r="DH318" s="96">
        <f>INPUT!DS254</f>
        <v>21.8</v>
      </c>
      <c r="DI318" s="18">
        <f>INPUT!DT254</f>
        <v>-2.2421524663677084</v>
      </c>
      <c r="DJ318" s="96">
        <f>INPUT!DU254</f>
        <v>22.4</v>
      </c>
      <c r="DK318" s="18">
        <f>INPUT!DV254</f>
        <v>-3.4482758620689724</v>
      </c>
      <c r="DL318" s="96">
        <f>INPUT!DW254</f>
        <v>21.4</v>
      </c>
      <c r="DM318" s="18">
        <f>INPUT!DX254</f>
        <v>-6.14035087719299</v>
      </c>
      <c r="DN318" s="96">
        <f>INPUT!DY254</f>
        <v>21.5</v>
      </c>
      <c r="DO318" s="18">
        <f>INPUT!DZ254</f>
        <v>0</v>
      </c>
      <c r="DP318" s="96">
        <f>INPUT!EA254</f>
        <v>20.7</v>
      </c>
      <c r="DQ318" s="18">
        <f>INPUT!EB254</f>
        <v>-5.0458715596330306</v>
      </c>
      <c r="DR318" s="96">
        <f>INPUT!EC254</f>
        <v>20.8</v>
      </c>
      <c r="DS318" s="18">
        <f>INPUT!ED254</f>
        <v>-7.1428571428571281</v>
      </c>
      <c r="DT318" s="96">
        <f>INPUT!EE254</f>
        <v>20.2</v>
      </c>
      <c r="DU318" s="18">
        <f>INPUT!EF254</f>
        <v>-5.6074766355140193</v>
      </c>
      <c r="DV318" s="96">
        <f>INPUT!EG254</f>
        <v>18.899999999999999</v>
      </c>
      <c r="DW318" s="18">
        <f>INPUT!EH254</f>
        <v>-12.093023255813961</v>
      </c>
      <c r="DX318" s="96">
        <f>INPUT!EI254</f>
        <v>19.899999999999999</v>
      </c>
      <c r="DY318" s="18">
        <f>INPUT!EJ254</f>
        <v>-3.8647342995169143</v>
      </c>
      <c r="DZ318" s="96">
        <f>INPUT!EK254</f>
        <v>19.8005</v>
      </c>
      <c r="EA318" s="18">
        <f>INPUT!EL254</f>
        <v>-4.8052884615384706</v>
      </c>
      <c r="EB318" s="96">
        <f>INPUT!EM254</f>
        <v>19.701497499999999</v>
      </c>
      <c r="EC318" s="18">
        <f>INPUT!EN254</f>
        <v>-2.4678341584158492</v>
      </c>
      <c r="ED318" s="96">
        <f>INPUT!EO254</f>
        <v>19.602990012499998</v>
      </c>
      <c r="EE318" s="18">
        <f>INPUT!EP254</f>
        <v>3.719523875661368</v>
      </c>
      <c r="EF318" s="96">
        <f>INPUT!EQ254</f>
        <v>19.504975062437499</v>
      </c>
      <c r="EG318" s="18">
        <f>INPUT!ER254</f>
        <v>-1.9850499374999941</v>
      </c>
      <c r="EH318" s="18"/>
      <c r="EI318" s="96">
        <f>INPUT!FB254</f>
        <v>0</v>
      </c>
      <c r="EJ318" s="5">
        <f>INPUT!FC254</f>
        <v>0</v>
      </c>
      <c r="EK318" s="96">
        <f>INPUT!FD254</f>
        <v>85.7</v>
      </c>
      <c r="EL318" s="5" t="str">
        <f>INPUT!FE254</f>
        <v>NA</v>
      </c>
      <c r="EM318" s="96">
        <f>INPUT!FF254</f>
        <v>95.9</v>
      </c>
      <c r="EN318" s="5">
        <f>INPUT!FG254</f>
        <v>11.901983663943994</v>
      </c>
      <c r="EO318" s="96">
        <f>INPUT!FH254</f>
        <v>100.3</v>
      </c>
      <c r="EP318" s="5">
        <f>INPUT!FI254</f>
        <v>4.588112617309692</v>
      </c>
      <c r="EQ318" s="96">
        <f>INPUT!FJ254</f>
        <v>95.2</v>
      </c>
      <c r="ER318" s="18">
        <f>INPUT!FK254</f>
        <v>-5.0847457627118615</v>
      </c>
      <c r="ES318" s="96">
        <f>INPUT!FL254</f>
        <v>105.1</v>
      </c>
      <c r="ET318" s="18">
        <f>INPUT!FM254</f>
        <v>10.399159663865532</v>
      </c>
      <c r="EU318" s="96">
        <f>INPUT!FN254</f>
        <v>103.69999999999999</v>
      </c>
      <c r="EV318" s="18">
        <f>INPUT!FO254</f>
        <v>-1.3320647002854513</v>
      </c>
      <c r="EW318" s="96">
        <f>INPUT!FP254</f>
        <v>98.6</v>
      </c>
      <c r="EX318" s="18">
        <f>INPUT!FQ254</f>
        <v>-4.9180327868852398</v>
      </c>
      <c r="EY318" s="96">
        <f>INPUT!FR254</f>
        <v>131.1</v>
      </c>
      <c r="EZ318" s="18">
        <f>INPUT!FS254</f>
        <v>32.961460446247457</v>
      </c>
      <c r="FA318" s="96">
        <f>INPUT!FT254</f>
        <v>113.6</v>
      </c>
      <c r="FB318" s="18">
        <f>INPUT!FU254</f>
        <v>-13.348588863463007</v>
      </c>
      <c r="FC318" s="96">
        <f>INPUT!FV254</f>
        <v>106.1</v>
      </c>
      <c r="FD318" s="18">
        <f>INPUT!FW254</f>
        <v>-6.602112676056338</v>
      </c>
      <c r="FE318" s="96">
        <f>INPUT!FX254</f>
        <v>100.10000000000001</v>
      </c>
      <c r="FF318" s="18">
        <f>INPUT!FY254</f>
        <v>-5.6550424128180783</v>
      </c>
      <c r="FG318" s="96">
        <f>INPUT!FZ254</f>
        <v>93.9</v>
      </c>
      <c r="FH318" s="18">
        <f>INPUT!GA254</f>
        <v>-6.1938061938061946</v>
      </c>
      <c r="FI318" s="96">
        <f>INPUT!GB254</f>
        <v>91.8</v>
      </c>
      <c r="FJ318" s="18">
        <f>INPUT!GC254</f>
        <v>-2.2364217252396235</v>
      </c>
      <c r="FK318" s="96">
        <f>INPUT!GD254</f>
        <v>89.3</v>
      </c>
      <c r="FL318" s="18">
        <f>INPUT!GE254</f>
        <v>-2.7233115468409563</v>
      </c>
      <c r="FM318" s="96">
        <f>INPUT!GF254</f>
        <v>86</v>
      </c>
      <c r="FN318" s="18">
        <f>INPUT!GG254</f>
        <v>-3.6954087346024567</v>
      </c>
      <c r="FO318" s="96">
        <f>INPUT!GH254</f>
        <v>79.8</v>
      </c>
      <c r="FP318" s="18">
        <f>INPUT!GI254</f>
        <v>-7.209302325581401</v>
      </c>
      <c r="FQ318" s="96">
        <f>INPUT!GJ254</f>
        <v>78.609962574937498</v>
      </c>
      <c r="FR318" s="18">
        <f>INPUT!GK254</f>
        <v>-1.4912749687500004</v>
      </c>
      <c r="FS318" s="96">
        <f>INPUT!GL254</f>
        <v>77.037763323438753</v>
      </c>
      <c r="FT318" s="18">
        <f>INPUT!GM254</f>
        <v>-1.9999999999999907</v>
      </c>
      <c r="FU318" s="96">
        <f>INPUT!GN254</f>
        <v>75.497008056969975</v>
      </c>
      <c r="FV318" s="18">
        <f>INPUT!GO254</f>
        <v>-2.0000000000000018</v>
      </c>
      <c r="FW318" s="96">
        <f>INPUT!GP254</f>
        <v>73.987067895830577</v>
      </c>
      <c r="FX318" s="18">
        <f>INPUT!GQ254</f>
        <v>-2.0000000000000018</v>
      </c>
      <c r="FY318" s="96">
        <f>INPUT!GR254</f>
        <v>72.507326537913968</v>
      </c>
      <c r="FZ318" s="18">
        <f>INPUT!GS254</f>
        <v>-2.0000000000000018</v>
      </c>
      <c r="GA318" s="5">
        <f>INPUT!GT254</f>
        <v>-1.898465604363675</v>
      </c>
    </row>
    <row r="319" spans="1:183" ht="12.75" hidden="1" customHeight="1" outlineLevel="1" x14ac:dyDescent="0.2">
      <c r="A319" s="612" t="str">
        <f>INPUT!B256</f>
        <v xml:space="preserve"> Total Revenues</v>
      </c>
      <c r="B319" s="96">
        <f>INPUT!M256</f>
        <v>483.3</v>
      </c>
      <c r="C319" s="399" t="str">
        <f>INPUT!N256</f>
        <v>NA</v>
      </c>
      <c r="D319" s="96">
        <f>INPUT!O256</f>
        <v>509.1</v>
      </c>
      <c r="E319" s="5" t="str">
        <f>INPUT!P256</f>
        <v>NA</v>
      </c>
      <c r="F319" s="96">
        <f>INPUT!Q256</f>
        <v>505.5</v>
      </c>
      <c r="G319" s="5" t="str">
        <f>INPUT!R256</f>
        <v>NA</v>
      </c>
      <c r="H319" s="96">
        <f>INPUT!S256</f>
        <v>508.59999999999997</v>
      </c>
      <c r="I319" s="5" t="str">
        <f>INPUT!T256</f>
        <v>NA</v>
      </c>
      <c r="J319" s="96">
        <f>INPUT!U256</f>
        <v>486.40000000000003</v>
      </c>
      <c r="K319" s="5">
        <f>INPUT!V256</f>
        <v>0.64142354645149169</v>
      </c>
      <c r="L319" s="96">
        <f>INPUT!W256</f>
        <v>494.69999999999993</v>
      </c>
      <c r="M319" s="5">
        <f>INPUT!X256</f>
        <v>-2.8285209192693173</v>
      </c>
      <c r="N319" s="96">
        <f>INPUT!Y256</f>
        <v>500.3</v>
      </c>
      <c r="O319" s="5">
        <f>INPUT!Z256</f>
        <v>-1.0286844708209619</v>
      </c>
      <c r="P319" s="96">
        <f>INPUT!AA256</f>
        <v>467.2</v>
      </c>
      <c r="Q319" s="5">
        <f>INPUT!AB256</f>
        <v>-8.1399921352732996</v>
      </c>
      <c r="R319" s="96">
        <f>INPUT!AC256</f>
        <v>492.1</v>
      </c>
      <c r="S319" s="5">
        <f>INPUT!AD256</f>
        <v>1.171875</v>
      </c>
      <c r="T319" s="96">
        <f>INPUT!AE256</f>
        <v>459.3</v>
      </c>
      <c r="U319" s="5">
        <f>INPUT!AF256</f>
        <v>-7.1558520315342484</v>
      </c>
      <c r="V319" s="96">
        <f>INPUT!AG256</f>
        <v>460.5</v>
      </c>
      <c r="W319" s="5">
        <f>INPUT!AH256</f>
        <v>-7.9552268638816699</v>
      </c>
      <c r="X319" s="96">
        <f>INPUT!AI256</f>
        <v>474.09999999999997</v>
      </c>
      <c r="Y319" s="5">
        <f>INPUT!AJ256</f>
        <v>1.476883561643838</v>
      </c>
      <c r="Z319" s="96">
        <f>INPUT!AK256</f>
        <v>446.59999999999997</v>
      </c>
      <c r="AA319" s="5">
        <f>INPUT!AL256</f>
        <v>-9.2460881934566252</v>
      </c>
      <c r="AB319" s="96">
        <f>INPUT!AM256</f>
        <v>442.3</v>
      </c>
      <c r="AC319" s="5">
        <f>INPUT!AN256</f>
        <v>-3.7012845634661451</v>
      </c>
      <c r="AD319" s="96">
        <f>INPUT!AO256</f>
        <v>476.2</v>
      </c>
      <c r="AE319" s="5">
        <f>INPUT!AP256</f>
        <v>3.4093376764386507</v>
      </c>
      <c r="AF319" s="96">
        <f>INPUT!AQ256</f>
        <v>511.8</v>
      </c>
      <c r="AG319" s="5">
        <f>INPUT!AR256</f>
        <v>7.9519088799831383</v>
      </c>
      <c r="AH319" s="96">
        <f>INPUT!AS256</f>
        <v>499.5</v>
      </c>
      <c r="AI319" s="5">
        <f>INPUT!AT256</f>
        <v>11.845051500223924</v>
      </c>
      <c r="AJ319" s="96">
        <f>INPUT!AU256</f>
        <v>502.09999999999997</v>
      </c>
      <c r="AK319" s="5">
        <f>INPUT!AV256</f>
        <v>13.520235134524071</v>
      </c>
      <c r="AL319" s="96">
        <f>INPUT!AW256</f>
        <v>490.3</v>
      </c>
      <c r="AM319" s="5">
        <f>INPUT!AX256</f>
        <v>2.9609407811843846</v>
      </c>
      <c r="AN319" s="96">
        <f>INPUT!AY256</f>
        <v>504.7</v>
      </c>
      <c r="AO319" s="18">
        <f>INPUT!AZ256</f>
        <v>-1.3872606486909023</v>
      </c>
      <c r="AP319" s="96">
        <f>INPUT!BA256</f>
        <v>482.2</v>
      </c>
      <c r="AQ319" s="18">
        <f>INPUT!BB256</f>
        <v>-3.4634634634634676</v>
      </c>
      <c r="AR319" s="96">
        <f>INPUT!BC256</f>
        <v>478.6</v>
      </c>
      <c r="AS319" s="18">
        <f>INPUT!BD256</f>
        <v>-4.6803425612427674</v>
      </c>
      <c r="AT319" s="96">
        <f>INPUT!BE256</f>
        <v>497.1</v>
      </c>
      <c r="AU319" s="18">
        <f>INPUT!BF256</f>
        <v>1.3869059759330948</v>
      </c>
      <c r="AV319" s="96">
        <f>INPUT!BG256</f>
        <v>483.3</v>
      </c>
      <c r="AW319" s="18">
        <f>INPUT!BH256</f>
        <v>-4.2401426590053415</v>
      </c>
      <c r="AX319" s="96">
        <f>INPUT!BI256</f>
        <v>453.4</v>
      </c>
      <c r="AY319" s="18">
        <f>INPUT!BJ256</f>
        <v>-5.9726254666113698</v>
      </c>
      <c r="AZ319" s="96">
        <f>INPUT!BK256</f>
        <v>461</v>
      </c>
      <c r="BA319" s="18">
        <f>INPUT!BL256</f>
        <v>-3.6773923944839138</v>
      </c>
      <c r="BB319" s="96">
        <f>INPUT!BM256</f>
        <v>450.59999999999997</v>
      </c>
      <c r="BC319" s="18">
        <f>INPUT!BN256</f>
        <v>-9.3542546771273489</v>
      </c>
      <c r="BD319" s="96">
        <f>INPUT!BO256</f>
        <v>453.40000000000003</v>
      </c>
      <c r="BE319" s="18">
        <f>INPUT!BP256</f>
        <v>-6.1866335609352285</v>
      </c>
      <c r="BF319" s="96">
        <f>INPUT!BQ256</f>
        <v>442.9</v>
      </c>
      <c r="BG319" s="18">
        <f>INPUT!BR256</f>
        <v>-2.3158359064843426</v>
      </c>
      <c r="BH319" s="96">
        <f>INPUT!BS256</f>
        <v>441.2</v>
      </c>
      <c r="BI319" s="18">
        <f>INPUT!BT256</f>
        <v>-4.2950108459869902</v>
      </c>
      <c r="BJ319" s="96">
        <f>INPUT!BU256</f>
        <v>430.2</v>
      </c>
      <c r="BK319" s="18">
        <f>INPUT!BV256</f>
        <v>-4.5272969374167698</v>
      </c>
      <c r="BL319" s="96">
        <f>INPUT!BW256</f>
        <v>425.6</v>
      </c>
      <c r="BM319" s="18">
        <f>INPUT!BX256</f>
        <v>-6.1314512571680631</v>
      </c>
      <c r="BN319" s="96">
        <f>INPUT!BY256</f>
        <v>684.80000000000007</v>
      </c>
      <c r="BO319" s="18">
        <f>INPUT!BZ256</f>
        <v>54.617295100474173</v>
      </c>
      <c r="BP319" s="96">
        <f>INPUT!CA256</f>
        <v>683.80000000000007</v>
      </c>
      <c r="BQ319" s="18">
        <f>INPUT!CB256</f>
        <v>54.986400725294658</v>
      </c>
      <c r="BR319" s="96">
        <f>INPUT!CC256</f>
        <v>676.9</v>
      </c>
      <c r="BS319" s="18">
        <f>INPUT!CD256</f>
        <v>57.345420734542074</v>
      </c>
      <c r="BT319" s="96">
        <f>INPUT!CE256</f>
        <v>684.2</v>
      </c>
      <c r="BU319" s="18">
        <f>INPUT!CF256</f>
        <v>60.761278195488735</v>
      </c>
      <c r="BV319" s="96">
        <f>INPUT!CG256</f>
        <v>675</v>
      </c>
      <c r="BW319" s="18">
        <f>INPUT!CH256</f>
        <v>-1.4310747663551449</v>
      </c>
      <c r="BX319" s="96">
        <f>INPUT!CI256</f>
        <v>668.6</v>
      </c>
      <c r="BY319" s="18">
        <f>INPUT!CJ256</f>
        <v>-2.2228721848493782</v>
      </c>
      <c r="BZ319" s="96">
        <f>INPUT!CK256</f>
        <v>674.1</v>
      </c>
      <c r="CA319" s="18">
        <f>INPUT!CL256</f>
        <v>-0.41365046535676298</v>
      </c>
      <c r="CB319" s="96">
        <f>INPUT!CM256</f>
        <v>673.40000000000009</v>
      </c>
      <c r="CC319" s="18">
        <f>INPUT!CN256</f>
        <v>-1.5784858228588106</v>
      </c>
      <c r="CD319" s="96">
        <f>INPUT!CO256</f>
        <v>670.4</v>
      </c>
      <c r="CE319" s="18">
        <f>INPUT!CP256</f>
        <v>-0.68148148148148291</v>
      </c>
      <c r="CF319" s="96">
        <f>INPUT!CQ256</f>
        <v>673.6</v>
      </c>
      <c r="CG319" s="18">
        <f>INPUT!CR256</f>
        <v>0.74783128926114717</v>
      </c>
      <c r="CH319" s="96">
        <f>INPUT!CS256</f>
        <v>676.6</v>
      </c>
      <c r="CI319" s="18">
        <f>INPUT!CT256</f>
        <v>0.37086485684616477</v>
      </c>
      <c r="CJ319" s="96">
        <f>INPUT!CU256</f>
        <v>680.5</v>
      </c>
      <c r="CK319" s="18">
        <f>INPUT!CV256</f>
        <v>1.0543510543510326</v>
      </c>
      <c r="CL319" s="96">
        <f>INPUT!CW256</f>
        <v>676.80000000000007</v>
      </c>
      <c r="CM319" s="18">
        <f>INPUT!CX256</f>
        <v>0.95465393794751385</v>
      </c>
      <c r="CN319" s="96">
        <f>INPUT!CY256</f>
        <v>668.2</v>
      </c>
      <c r="CO319" s="18">
        <f>INPUT!CZ256</f>
        <v>-0.8016627078384797</v>
      </c>
      <c r="CP319" s="96">
        <f>INPUT!DA256</f>
        <v>664.6</v>
      </c>
      <c r="CQ319" s="18">
        <f>INPUT!DB256</f>
        <v>-1.7735737511084815</v>
      </c>
      <c r="CR319" s="96">
        <f>INPUT!DC256</f>
        <v>673.3</v>
      </c>
      <c r="CS319" s="18">
        <f>INPUT!DD256</f>
        <v>-1.0580455547391732</v>
      </c>
      <c r="CT319" s="96">
        <f>INPUT!DE256</f>
        <v>655</v>
      </c>
      <c r="CU319" s="18">
        <f>INPUT!DF256</f>
        <v>-3.2210401891253015</v>
      </c>
      <c r="CV319" s="96">
        <f>INPUT!DG256</f>
        <v>665.40000000000009</v>
      </c>
      <c r="CW319" s="18">
        <f>INPUT!DH256</f>
        <v>-0.41903621670158486</v>
      </c>
      <c r="CX319" s="96">
        <f>INPUT!DI256</f>
        <v>653.1</v>
      </c>
      <c r="CY319" s="18">
        <f>INPUT!DJ256</f>
        <v>-1.7303641287992777</v>
      </c>
      <c r="CZ319" s="96">
        <f>INPUT!DK256</f>
        <v>656.4</v>
      </c>
      <c r="DA319" s="18">
        <f>INPUT!DL256</f>
        <v>-2.5100252487746832</v>
      </c>
      <c r="DB319" s="96">
        <f>INPUT!DM256</f>
        <v>648.5</v>
      </c>
      <c r="DC319" s="18">
        <f>INPUT!DN256</f>
        <v>-0.992366412213741</v>
      </c>
      <c r="DD319" s="96">
        <f>INPUT!DO256</f>
        <v>657.5</v>
      </c>
      <c r="DE319" s="18">
        <f>INPUT!DP256</f>
        <v>-1.1872557859934019</v>
      </c>
      <c r="DF319" s="96">
        <f>INPUT!DQ256</f>
        <v>650.29999999999995</v>
      </c>
      <c r="DG319" s="18">
        <f>INPUT!DR256</f>
        <v>-0.42872454448018571</v>
      </c>
      <c r="DH319" s="96">
        <f>INPUT!DS256</f>
        <v>660.59999999999991</v>
      </c>
      <c r="DI319" s="18">
        <f>INPUT!DT256</f>
        <v>0.63985374771480252</v>
      </c>
      <c r="DJ319" s="96">
        <f>INPUT!DU256</f>
        <v>651.49999999999989</v>
      </c>
      <c r="DK319" s="18">
        <f>INPUT!DV256</f>
        <v>0.46260601387815292</v>
      </c>
      <c r="DL319" s="96">
        <f>INPUT!DW256</f>
        <v>652.5</v>
      </c>
      <c r="DM319" s="18">
        <f>INPUT!DX256</f>
        <v>-0.76045627376425395</v>
      </c>
      <c r="DN319" s="96">
        <f>INPUT!DY256</f>
        <v>648.6</v>
      </c>
      <c r="DO319" s="18">
        <f>INPUT!DZ256</f>
        <v>-0.26141780716590901</v>
      </c>
      <c r="DP319" s="96">
        <f>INPUT!EA256</f>
        <v>656</v>
      </c>
      <c r="DQ319" s="18">
        <f>INPUT!EB256</f>
        <v>-0.69633666363910773</v>
      </c>
      <c r="DR319" s="96">
        <f>INPUT!EC256</f>
        <v>643</v>
      </c>
      <c r="DS319" s="18">
        <f>INPUT!ED256</f>
        <v>-1.3046815042210058</v>
      </c>
      <c r="DT319" s="96">
        <f>INPUT!EE256</f>
        <v>641.6</v>
      </c>
      <c r="DU319" s="18">
        <f>INPUT!EF256</f>
        <v>-1.6704980842911832</v>
      </c>
      <c r="DV319" s="96">
        <f>INPUT!EG256</f>
        <v>638.6</v>
      </c>
      <c r="DW319" s="18">
        <f>INPUT!EH256</f>
        <v>-1.5417823003391895</v>
      </c>
      <c r="DX319" s="96">
        <f>INPUT!EI256</f>
        <v>639.79999999999995</v>
      </c>
      <c r="DY319" s="18">
        <f>INPUT!EJ256</f>
        <v>-2.469512195121959</v>
      </c>
      <c r="DZ319" s="96">
        <f>INPUT!EK256</f>
        <v>634.35525000000007</v>
      </c>
      <c r="EA319" s="18">
        <f>INPUT!EL256</f>
        <v>-1.3444401244167903</v>
      </c>
      <c r="EB319" s="96">
        <f>INPUT!EM256</f>
        <v>630.06051087499998</v>
      </c>
      <c r="EC319" s="18">
        <f>INPUT!EN256</f>
        <v>-1.7985488037718267</v>
      </c>
      <c r="ED319" s="96">
        <f>INPUT!EO256</f>
        <v>625.79525424318751</v>
      </c>
      <c r="EE319" s="18">
        <f>INPUT!EP256</f>
        <v>-2.0051277414363411</v>
      </c>
      <c r="EF319" s="96">
        <f>INPUT!EQ256</f>
        <v>621.55927510665902</v>
      </c>
      <c r="EG319" s="18">
        <f>INPUT!ER256</f>
        <v>-2.8510042033980887</v>
      </c>
      <c r="EH319" s="18"/>
      <c r="EI319" s="96">
        <f>INPUT!FB256</f>
        <v>0</v>
      </c>
      <c r="EJ319" s="5">
        <f>INPUT!FC256</f>
        <v>0</v>
      </c>
      <c r="EK319" s="96">
        <f>INPUT!FD256</f>
        <v>2006.5</v>
      </c>
      <c r="EL319" s="5" t="str">
        <f>INPUT!FE256</f>
        <v>NA</v>
      </c>
      <c r="EM319" s="96">
        <f>INPUT!FF256</f>
        <v>1948.6000000000001</v>
      </c>
      <c r="EN319" s="5">
        <f>INPUT!FG256</f>
        <v>-2.8856217293795061</v>
      </c>
      <c r="EO319" s="96">
        <f>INPUT!FH256</f>
        <v>1885.9999999999998</v>
      </c>
      <c r="EP319" s="5">
        <f>INPUT!FI256</f>
        <v>-3.2125628656471505</v>
      </c>
      <c r="EQ319" s="96">
        <f>INPUT!FJ256</f>
        <v>1876.8999999999999</v>
      </c>
      <c r="ER319" s="18">
        <f>INPUT!FK256</f>
        <v>-0.48250265111345891</v>
      </c>
      <c r="ES319" s="96">
        <f>INPUT!FL256</f>
        <v>1996.6</v>
      </c>
      <c r="ET319" s="18">
        <f>INPUT!FM256</f>
        <v>6.3775374287388775</v>
      </c>
      <c r="EU319" s="96">
        <f>INPUT!FN256</f>
        <v>1941.2</v>
      </c>
      <c r="EV319" s="18">
        <f>INPUT!FO256</f>
        <v>-2.7747170189321824</v>
      </c>
      <c r="EW319" s="96">
        <f>INPUT!FP256</f>
        <v>1818.3999999999996</v>
      </c>
      <c r="EX319" s="18">
        <f>INPUT!FQ256</f>
        <v>-6.3259839274675711</v>
      </c>
      <c r="EY319" s="96">
        <f>INPUT!FR256</f>
        <v>2733.7999999999997</v>
      </c>
      <c r="EZ319" s="18">
        <f>INPUT!FS256</f>
        <v>50.340959084909834</v>
      </c>
      <c r="FA319" s="96">
        <f>INPUT!FT256</f>
        <v>2729.6999999999994</v>
      </c>
      <c r="FB319" s="18">
        <f>INPUT!FU256</f>
        <v>-0.14997439461557072</v>
      </c>
      <c r="FC319" s="96">
        <f>INPUT!FV256</f>
        <v>2691.1</v>
      </c>
      <c r="FD319" s="18">
        <f>INPUT!FW256</f>
        <v>-1.4140748067553055</v>
      </c>
      <c r="FE319" s="96">
        <f>INPUT!FX256</f>
        <v>2700.2999999999997</v>
      </c>
      <c r="FF319" s="18">
        <f>INPUT!FY256</f>
        <v>0.34186763776893336</v>
      </c>
      <c r="FG319" s="96">
        <f>INPUT!FZ256</f>
        <v>2682.9</v>
      </c>
      <c r="FH319" s="18">
        <f>INPUT!GA256</f>
        <v>-0.64437284746138301</v>
      </c>
      <c r="FI319" s="96">
        <f>INPUT!GB256</f>
        <v>2629.9</v>
      </c>
      <c r="FJ319" s="18">
        <f>INPUT!GC256</f>
        <v>-1.9754743001975439</v>
      </c>
      <c r="FK319" s="96">
        <f>INPUT!GD256</f>
        <v>2616.9</v>
      </c>
      <c r="FL319" s="18">
        <f>INPUT!GE256</f>
        <v>-0.49431537320810959</v>
      </c>
      <c r="FM319" s="96">
        <f>INPUT!GF256</f>
        <v>2608.6000000000004</v>
      </c>
      <c r="FN319" s="18">
        <f>INPUT!GG256</f>
        <v>-0.3171691696281731</v>
      </c>
      <c r="FO319" s="96">
        <f>INPUT!GH256</f>
        <v>2563</v>
      </c>
      <c r="FP319" s="18">
        <f>INPUT!GI256</f>
        <v>-1.7480640956835214</v>
      </c>
      <c r="FQ319" s="96">
        <f>INPUT!GJ256</f>
        <v>2511.7702902248466</v>
      </c>
      <c r="FR319" s="18">
        <f>INPUT!GK256</f>
        <v>-1.9988181730453913</v>
      </c>
      <c r="FS319" s="96">
        <f>INPUT!GL256</f>
        <v>2437.2032811438507</v>
      </c>
      <c r="FT319" s="18">
        <f>INPUT!GM256</f>
        <v>-2.9687033631694448</v>
      </c>
      <c r="FU319" s="96">
        <f>INPUT!GN256</f>
        <v>2364.8575603427694</v>
      </c>
      <c r="FV319" s="18">
        <f>INPUT!GO256</f>
        <v>-2.9683909159652577</v>
      </c>
      <c r="FW319" s="96">
        <f>INPUT!GP256</f>
        <v>2294.6668036130559</v>
      </c>
      <c r="FX319" s="18">
        <f>INPUT!GQ256</f>
        <v>-2.9680754522712016</v>
      </c>
      <c r="FY319" s="96">
        <f>INPUT!GR256</f>
        <v>2226.5666701836226</v>
      </c>
      <c r="FZ319" s="18">
        <f>INPUT!GS256</f>
        <v>-2.9677569450260344</v>
      </c>
      <c r="GA319" s="5">
        <f>INPUT!GT256</f>
        <v>-2.7751191662503727</v>
      </c>
    </row>
    <row r="320" spans="1:183" ht="12.75" hidden="1" customHeight="1" outlineLevel="1" x14ac:dyDescent="0.2">
      <c r="A320" s="612"/>
      <c r="B320" s="96"/>
      <c r="C320" s="399"/>
      <c r="D320" s="96"/>
      <c r="E320" s="5"/>
      <c r="F320" s="96"/>
      <c r="G320" s="5"/>
      <c r="H320" s="96"/>
      <c r="I320" s="5"/>
      <c r="J320" s="96"/>
      <c r="K320" s="5"/>
      <c r="L320" s="96"/>
      <c r="M320" s="5"/>
      <c r="N320" s="96"/>
      <c r="O320" s="5"/>
      <c r="P320" s="96"/>
      <c r="Q320" s="5"/>
      <c r="R320" s="96"/>
      <c r="S320" s="5"/>
      <c r="T320" s="96"/>
      <c r="U320" s="5"/>
      <c r="V320" s="96"/>
      <c r="W320" s="5"/>
      <c r="X320" s="96"/>
      <c r="Y320" s="5"/>
      <c r="Z320" s="96"/>
      <c r="AA320" s="5"/>
      <c r="AB320" s="96"/>
      <c r="AC320" s="5"/>
      <c r="AD320" s="96"/>
      <c r="AE320" s="5"/>
      <c r="AF320" s="96"/>
      <c r="AG320" s="5"/>
      <c r="AH320" s="96"/>
      <c r="AI320" s="5"/>
      <c r="AJ320" s="96"/>
      <c r="AK320" s="5"/>
      <c r="AL320" s="96"/>
      <c r="AM320" s="5"/>
      <c r="AN320" s="96"/>
      <c r="AO320" s="18"/>
      <c r="AP320" s="96"/>
      <c r="AQ320" s="18"/>
      <c r="AR320" s="96"/>
      <c r="AS320" s="18"/>
      <c r="AT320" s="96"/>
      <c r="AU320" s="18"/>
      <c r="AV320" s="96"/>
      <c r="AW320" s="18"/>
      <c r="AX320" s="96"/>
      <c r="AY320" s="18"/>
      <c r="AZ320" s="96"/>
      <c r="BA320" s="18"/>
      <c r="BB320" s="96"/>
      <c r="BC320" s="18"/>
      <c r="BD320" s="96"/>
      <c r="BE320" s="18"/>
      <c r="BF320" s="96"/>
      <c r="BG320" s="18"/>
      <c r="BH320" s="96"/>
      <c r="BI320" s="18"/>
      <c r="BJ320" s="96"/>
      <c r="BK320" s="18"/>
      <c r="BL320" s="96"/>
      <c r="BM320" s="18"/>
      <c r="BN320" s="96"/>
      <c r="BO320" s="18"/>
      <c r="BP320" s="96"/>
      <c r="BQ320" s="18"/>
      <c r="BR320" s="96"/>
      <c r="BS320" s="18"/>
      <c r="BT320" s="96"/>
      <c r="BU320" s="18"/>
      <c r="BV320" s="96"/>
      <c r="BW320" s="18"/>
      <c r="BX320" s="96"/>
      <c r="BY320" s="18"/>
      <c r="BZ320" s="96"/>
      <c r="CA320" s="18"/>
      <c r="CB320" s="96"/>
      <c r="CC320" s="18"/>
      <c r="CD320" s="96"/>
      <c r="CE320" s="18"/>
      <c r="CF320" s="96"/>
      <c r="CG320" s="18"/>
      <c r="CH320" s="96"/>
      <c r="CI320" s="18"/>
      <c r="CJ320" s="96"/>
      <c r="CK320" s="18"/>
      <c r="CL320" s="96"/>
      <c r="CM320" s="18"/>
      <c r="CN320" s="96"/>
      <c r="CO320" s="18"/>
      <c r="CP320" s="96"/>
      <c r="CQ320" s="18"/>
      <c r="CR320" s="96"/>
      <c r="CS320" s="18"/>
      <c r="CT320" s="96"/>
      <c r="CU320" s="18"/>
      <c r="CV320" s="96"/>
      <c r="CW320" s="18"/>
      <c r="CX320" s="96"/>
      <c r="CY320" s="18"/>
      <c r="CZ320" s="96"/>
      <c r="DA320" s="18"/>
      <c r="DB320" s="96"/>
      <c r="DC320" s="18"/>
      <c r="DD320" s="96"/>
      <c r="DE320" s="18"/>
      <c r="DF320" s="96"/>
      <c r="DG320" s="18"/>
      <c r="DH320" s="96"/>
      <c r="DI320" s="18"/>
      <c r="DJ320" s="96"/>
      <c r="DK320" s="18"/>
      <c r="DL320" s="96"/>
      <c r="DM320" s="18"/>
      <c r="DN320" s="96"/>
      <c r="DO320" s="18"/>
      <c r="DP320" s="96"/>
      <c r="DQ320" s="18"/>
      <c r="DR320" s="96"/>
      <c r="DS320" s="18"/>
      <c r="DT320" s="96"/>
      <c r="DU320" s="18"/>
      <c r="DV320" s="96"/>
      <c r="DW320" s="18"/>
      <c r="DX320" s="96"/>
      <c r="DY320" s="18"/>
      <c r="DZ320" s="96"/>
      <c r="EA320" s="18"/>
      <c r="EB320" s="96"/>
      <c r="EC320" s="18"/>
      <c r="ED320" s="96"/>
      <c r="EE320" s="18"/>
      <c r="EF320" s="96"/>
      <c r="EG320" s="18"/>
      <c r="EH320" s="18"/>
      <c r="EI320" s="96"/>
      <c r="EJ320" s="5"/>
      <c r="EK320" s="96"/>
      <c r="EL320" s="5"/>
      <c r="EM320" s="96"/>
      <c r="EN320" s="5"/>
      <c r="EO320" s="96"/>
      <c r="EP320" s="5"/>
      <c r="EQ320" s="96"/>
      <c r="ER320" s="18"/>
      <c r="ES320" s="96"/>
      <c r="ET320" s="18"/>
      <c r="EU320" s="96"/>
      <c r="EV320" s="18"/>
      <c r="EW320" s="96"/>
      <c r="EX320" s="18"/>
      <c r="EY320" s="96"/>
      <c r="EZ320" s="18"/>
      <c r="FA320" s="96"/>
      <c r="FB320" s="18"/>
      <c r="FC320" s="96"/>
      <c r="FD320" s="18"/>
      <c r="FE320" s="96"/>
      <c r="FF320" s="18"/>
      <c r="FG320" s="96"/>
      <c r="FH320" s="18"/>
      <c r="FI320" s="96"/>
      <c r="FJ320" s="18"/>
      <c r="FK320" s="96"/>
      <c r="FL320" s="18"/>
      <c r="FM320" s="96"/>
      <c r="FN320" s="18"/>
      <c r="FO320" s="96"/>
      <c r="FP320" s="18"/>
      <c r="FQ320" s="96"/>
      <c r="FR320" s="18"/>
      <c r="FS320" s="96"/>
      <c r="FT320" s="18"/>
      <c r="FU320" s="96"/>
      <c r="FV320" s="18"/>
      <c r="FW320" s="96"/>
      <c r="FX320" s="18"/>
      <c r="FY320" s="96"/>
      <c r="FZ320" s="18"/>
      <c r="GA320" s="5"/>
    </row>
    <row r="321" spans="1:183" ht="12.75" hidden="1" customHeight="1" outlineLevel="1" x14ac:dyDescent="0.2">
      <c r="A321" s="610" t="s">
        <v>454</v>
      </c>
      <c r="B321" s="96"/>
      <c r="C321" s="399"/>
      <c r="D321" s="96"/>
      <c r="E321" s="5"/>
      <c r="F321" s="96"/>
      <c r="G321" s="5"/>
      <c r="H321" s="96"/>
      <c r="I321" s="5"/>
      <c r="J321" s="96"/>
      <c r="K321" s="5"/>
      <c r="L321" s="96"/>
      <c r="M321" s="5"/>
      <c r="N321" s="96"/>
      <c r="O321" s="5"/>
      <c r="P321" s="96"/>
      <c r="Q321" s="5"/>
      <c r="R321" s="96"/>
      <c r="S321" s="5"/>
      <c r="T321" s="96"/>
      <c r="U321" s="5"/>
      <c r="V321" s="96"/>
      <c r="W321" s="5"/>
      <c r="X321" s="96"/>
      <c r="Y321" s="5"/>
      <c r="Z321" s="96"/>
      <c r="AA321" s="5"/>
      <c r="AB321" s="96"/>
      <c r="AC321" s="5"/>
      <c r="AD321" s="96"/>
      <c r="AE321" s="5"/>
      <c r="AF321" s="96"/>
      <c r="AG321" s="5"/>
      <c r="AH321" s="96"/>
      <c r="AI321" s="5"/>
      <c r="AJ321" s="96"/>
      <c r="AK321" s="5"/>
      <c r="AL321" s="96"/>
      <c r="AM321" s="5"/>
      <c r="AN321" s="96"/>
      <c r="AO321" s="18"/>
      <c r="AP321" s="96"/>
      <c r="AQ321" s="18"/>
      <c r="AR321" s="96"/>
      <c r="AS321" s="18"/>
      <c r="AT321" s="96"/>
      <c r="AU321" s="18"/>
      <c r="AV321" s="96"/>
      <c r="AW321" s="18"/>
      <c r="AX321" s="96"/>
      <c r="AY321" s="18"/>
      <c r="AZ321" s="96"/>
      <c r="BA321" s="18"/>
      <c r="BB321" s="96"/>
      <c r="BC321" s="18"/>
      <c r="BD321" s="96"/>
      <c r="BE321" s="18"/>
      <c r="BF321" s="96"/>
      <c r="BG321" s="18"/>
      <c r="BH321" s="96"/>
      <c r="BI321" s="18"/>
      <c r="BJ321" s="96"/>
      <c r="BK321" s="18"/>
      <c r="BL321" s="96"/>
      <c r="BM321" s="18"/>
      <c r="BN321" s="96"/>
      <c r="BO321" s="18"/>
      <c r="BP321" s="96"/>
      <c r="BQ321" s="18"/>
      <c r="BR321" s="96"/>
      <c r="BS321" s="18"/>
      <c r="BT321" s="96"/>
      <c r="BU321" s="18"/>
      <c r="BV321" s="96"/>
      <c r="BW321" s="18"/>
      <c r="BX321" s="96"/>
      <c r="BY321" s="18"/>
      <c r="BZ321" s="96"/>
      <c r="CA321" s="18"/>
      <c r="CB321" s="96"/>
      <c r="CC321" s="18"/>
      <c r="CD321" s="96"/>
      <c r="CE321" s="18"/>
      <c r="CF321" s="96"/>
      <c r="CG321" s="18"/>
      <c r="CH321" s="96"/>
      <c r="CI321" s="18"/>
      <c r="CJ321" s="96"/>
      <c r="CK321" s="18"/>
      <c r="CL321" s="96"/>
      <c r="CM321" s="18"/>
      <c r="CN321" s="96"/>
      <c r="CO321" s="18"/>
      <c r="CP321" s="96"/>
      <c r="CQ321" s="18"/>
      <c r="CR321" s="96"/>
      <c r="CS321" s="18"/>
      <c r="CT321" s="96"/>
      <c r="CU321" s="18"/>
      <c r="CV321" s="96"/>
      <c r="CW321" s="18"/>
      <c r="CX321" s="96"/>
      <c r="CY321" s="18"/>
      <c r="CZ321" s="96"/>
      <c r="DA321" s="18"/>
      <c r="DB321" s="96"/>
      <c r="DC321" s="18"/>
      <c r="DD321" s="96"/>
      <c r="DE321" s="18"/>
      <c r="DF321" s="96"/>
      <c r="DG321" s="18"/>
      <c r="DH321" s="96"/>
      <c r="DI321" s="18"/>
      <c r="DJ321" s="96"/>
      <c r="DK321" s="18"/>
      <c r="DL321" s="96"/>
      <c r="DM321" s="18"/>
      <c r="DN321" s="96"/>
      <c r="DO321" s="18"/>
      <c r="DP321" s="96"/>
      <c r="DQ321" s="18"/>
      <c r="DR321" s="96"/>
      <c r="DS321" s="18"/>
      <c r="DT321" s="96"/>
      <c r="DU321" s="18"/>
      <c r="DV321" s="96"/>
      <c r="DW321" s="18"/>
      <c r="DX321" s="96"/>
      <c r="DY321" s="18"/>
      <c r="DZ321" s="96"/>
      <c r="EA321" s="18"/>
      <c r="EB321" s="96"/>
      <c r="EC321" s="18"/>
      <c r="ED321" s="96"/>
      <c r="EE321" s="18"/>
      <c r="EF321" s="96"/>
      <c r="EG321" s="18"/>
      <c r="EH321" s="18"/>
      <c r="EI321" s="96"/>
      <c r="EJ321" s="5"/>
      <c r="EK321" s="96"/>
      <c r="EL321" s="5"/>
      <c r="EM321" s="96"/>
      <c r="EN321" s="5"/>
      <c r="EO321" s="96"/>
      <c r="EP321" s="5"/>
      <c r="EQ321" s="96"/>
      <c r="ER321" s="18"/>
      <c r="ES321" s="96"/>
      <c r="ET321" s="18"/>
      <c r="EU321" s="96"/>
      <c r="EV321" s="18"/>
      <c r="EW321" s="96"/>
      <c r="EX321" s="18"/>
      <c r="EY321" s="96"/>
      <c r="EZ321" s="18"/>
      <c r="FA321" s="96"/>
      <c r="FB321" s="18"/>
      <c r="FC321" s="96"/>
      <c r="FD321" s="18"/>
      <c r="FE321" s="96"/>
      <c r="FF321" s="18"/>
      <c r="FG321" s="96"/>
      <c r="FH321" s="18"/>
      <c r="FI321" s="96"/>
      <c r="FJ321" s="18"/>
      <c r="FK321" s="96"/>
      <c r="FL321" s="18"/>
      <c r="FM321" s="96"/>
      <c r="FN321" s="18"/>
      <c r="FO321" s="96"/>
      <c r="FP321" s="18"/>
      <c r="FQ321" s="96"/>
      <c r="FR321" s="18"/>
      <c r="FS321" s="96"/>
      <c r="FT321" s="18"/>
      <c r="FU321" s="96"/>
      <c r="FV321" s="18"/>
      <c r="FW321" s="96"/>
      <c r="FX321" s="18"/>
      <c r="FY321" s="96"/>
      <c r="FZ321" s="18"/>
      <c r="GA321" s="5"/>
    </row>
    <row r="322" spans="1:183" ht="12.75" hidden="1" customHeight="1" outlineLevel="1" x14ac:dyDescent="0.2">
      <c r="A322" s="612" t="str">
        <f>INPUT!B259</f>
        <v>Benefits</v>
      </c>
      <c r="B322" s="96">
        <f>INPUT!M259</f>
        <v>353</v>
      </c>
      <c r="C322" s="399" t="str">
        <f>INPUT!N259</f>
        <v>NA</v>
      </c>
      <c r="D322" s="96">
        <f>INPUT!O259</f>
        <v>396.9</v>
      </c>
      <c r="E322" s="5" t="str">
        <f>INPUT!P259</f>
        <v>NA</v>
      </c>
      <c r="F322" s="96">
        <f>INPUT!Q259</f>
        <v>393.1</v>
      </c>
      <c r="G322" s="5" t="str">
        <f>INPUT!R259</f>
        <v>NA</v>
      </c>
      <c r="H322" s="96">
        <f>INPUT!S259</f>
        <v>401.2</v>
      </c>
      <c r="I322" s="5" t="str">
        <f>INPUT!T259</f>
        <v>NA</v>
      </c>
      <c r="J322" s="96">
        <f>INPUT!U259</f>
        <v>375.5</v>
      </c>
      <c r="K322" s="5">
        <f>INPUT!V259</f>
        <v>6.3739376770538314</v>
      </c>
      <c r="L322" s="96">
        <f>INPUT!W259</f>
        <v>397.3</v>
      </c>
      <c r="M322" s="5">
        <f>INPUT!X259</f>
        <v>0.10078105316202457</v>
      </c>
      <c r="N322" s="96">
        <f>INPUT!Y259</f>
        <v>392.7</v>
      </c>
      <c r="O322" s="5">
        <f>INPUT!Z259</f>
        <v>-0.10175527855508237</v>
      </c>
      <c r="P322" s="96">
        <f>INPUT!AA259</f>
        <v>368.1</v>
      </c>
      <c r="Q322" s="5">
        <f>INPUT!AB259</f>
        <v>-8.2502492522432576</v>
      </c>
      <c r="R322" s="96">
        <f>INPUT!AC259</f>
        <v>498.5</v>
      </c>
      <c r="S322" s="5">
        <f>INPUT!AD259</f>
        <v>32.756324900133158</v>
      </c>
      <c r="T322" s="96">
        <f>INPUT!AE259</f>
        <v>371.4</v>
      </c>
      <c r="U322" s="5">
        <f>INPUT!AF259</f>
        <v>-6.5190032720865876</v>
      </c>
      <c r="V322" s="96">
        <f>INPUT!AG259</f>
        <v>370.6</v>
      </c>
      <c r="W322" s="5">
        <f>INPUT!AH259</f>
        <v>-5.6277056277056143</v>
      </c>
      <c r="X322" s="96">
        <f>INPUT!AI259</f>
        <v>378.4</v>
      </c>
      <c r="Y322" s="5">
        <f>INPUT!AJ259</f>
        <v>2.7981526759032649</v>
      </c>
      <c r="Z322" s="96">
        <f>INPUT!AK259</f>
        <v>371.5</v>
      </c>
      <c r="AA322" s="5">
        <f>INPUT!AL259</f>
        <v>-25.476429287863589</v>
      </c>
      <c r="AB322" s="96">
        <f>INPUT!AM259</f>
        <v>356.2</v>
      </c>
      <c r="AC322" s="5">
        <f>INPUT!AN259</f>
        <v>-4.0926225094238049</v>
      </c>
      <c r="AD322" s="96">
        <f>INPUT!AO259</f>
        <v>391.5</v>
      </c>
      <c r="AE322" s="5">
        <f>INPUT!AP259</f>
        <v>5.6395035078251388</v>
      </c>
      <c r="AF322" s="96">
        <f>INPUT!AQ259</f>
        <v>420.4</v>
      </c>
      <c r="AG322" s="5">
        <f>INPUT!AR259</f>
        <v>11.099365750528545</v>
      </c>
      <c r="AH322" s="96">
        <f>INPUT!AS259</f>
        <v>417.2</v>
      </c>
      <c r="AI322" s="5">
        <f>INPUT!AT259</f>
        <v>12.301480484522198</v>
      </c>
      <c r="AJ322" s="96">
        <f>INPUT!AU259</f>
        <v>415</v>
      </c>
      <c r="AK322" s="5">
        <f>INPUT!AV259</f>
        <v>16.507580011229649</v>
      </c>
      <c r="AL322" s="96">
        <f>INPUT!AW259</f>
        <v>408.6</v>
      </c>
      <c r="AM322" s="5">
        <f>INPUT!AX259</f>
        <v>4.3678160919540243</v>
      </c>
      <c r="AN322" s="96">
        <f>INPUT!AY259</f>
        <v>421.7</v>
      </c>
      <c r="AO322" s="18">
        <f>INPUT!AZ259</f>
        <v>0.30922930542340854</v>
      </c>
      <c r="AP322" s="96">
        <f>INPUT!BA259</f>
        <v>405.9</v>
      </c>
      <c r="AQ322" s="18">
        <f>INPUT!BB259</f>
        <v>-2.708533077660602</v>
      </c>
      <c r="AR322" s="96">
        <f>INPUT!BC259</f>
        <v>401.3</v>
      </c>
      <c r="AS322" s="18">
        <f>INPUT!BD259</f>
        <v>-3.3012048192771037</v>
      </c>
      <c r="AT322" s="96">
        <f>INPUT!BE259</f>
        <v>415.6</v>
      </c>
      <c r="AU322" s="18">
        <f>INPUT!BF259</f>
        <v>1.7131669114047954</v>
      </c>
      <c r="AV322" s="96">
        <f>INPUT!BG259</f>
        <v>404.9</v>
      </c>
      <c r="AW322" s="18">
        <f>INPUT!BH259</f>
        <v>-3.9838747925065254</v>
      </c>
      <c r="AX322" s="96">
        <f>INPUT!BI259</f>
        <v>387.5</v>
      </c>
      <c r="AY322" s="18">
        <f>INPUT!BJ259</f>
        <v>-4.533136240453306</v>
      </c>
      <c r="AZ322" s="96">
        <f>INPUT!BK259</f>
        <v>385.1</v>
      </c>
      <c r="BA322" s="18">
        <f>INPUT!BL259</f>
        <v>-4.0368801395464722</v>
      </c>
      <c r="BB322" s="96">
        <f>INPUT!BM259</f>
        <v>384.2</v>
      </c>
      <c r="BC322" s="18">
        <f>INPUT!BN259</f>
        <v>-7.5553416746872104</v>
      </c>
      <c r="BD322" s="96">
        <f>INPUT!BO259</f>
        <v>388</v>
      </c>
      <c r="BE322" s="18">
        <f>INPUT!BP259</f>
        <v>-4.1738700913805822</v>
      </c>
      <c r="BF322" s="96">
        <f>INPUT!BQ259</f>
        <v>376.2</v>
      </c>
      <c r="BG322" s="18">
        <f>INPUT!BR259</f>
        <v>-2.9161290322580635</v>
      </c>
      <c r="BH322" s="96">
        <f>INPUT!BS259</f>
        <v>376.3</v>
      </c>
      <c r="BI322" s="18">
        <f>INPUT!BT259</f>
        <v>-2.2851207478577051</v>
      </c>
      <c r="BJ322" s="96">
        <f>INPUT!BU259</f>
        <v>369.7</v>
      </c>
      <c r="BK322" s="18">
        <f>INPUT!BV259</f>
        <v>-3.7740760020822495</v>
      </c>
      <c r="BL322" s="96">
        <f>INPUT!BW259</f>
        <v>367.4</v>
      </c>
      <c r="BM322" s="18">
        <f>INPUT!BX259</f>
        <v>-5.3092783505154673</v>
      </c>
      <c r="BN322" s="96">
        <f>INPUT!BY259</f>
        <v>561.1</v>
      </c>
      <c r="BO322" s="18">
        <f>INPUT!BZ259</f>
        <v>49.149388623072852</v>
      </c>
      <c r="BP322" s="96">
        <f>INPUT!CA259</f>
        <v>562.5</v>
      </c>
      <c r="BQ322" s="18">
        <f>INPUT!CB259</f>
        <v>49.481796439011426</v>
      </c>
      <c r="BR322" s="96">
        <f>INPUT!CC259</f>
        <v>564.29999999999995</v>
      </c>
      <c r="BS322" s="18">
        <f>INPUT!CD259</f>
        <v>52.637273464971599</v>
      </c>
      <c r="BT322" s="96">
        <f>INPUT!CE259</f>
        <v>571.29999999999995</v>
      </c>
      <c r="BU322" s="18">
        <f>INPUT!CF259</f>
        <v>55.498094719651611</v>
      </c>
      <c r="BV322" s="96">
        <f>INPUT!CG259</f>
        <v>562.70000000000005</v>
      </c>
      <c r="BW322" s="18">
        <f>INPUT!CH259</f>
        <v>0.28515416146854822</v>
      </c>
      <c r="BX322" s="96">
        <f>INPUT!CI259</f>
        <v>559.29999999999995</v>
      </c>
      <c r="BY322" s="18">
        <f>INPUT!CJ259</f>
        <v>-0.56888888888889655</v>
      </c>
      <c r="BZ322" s="96">
        <f>INPUT!CK259</f>
        <v>565.9</v>
      </c>
      <c r="CA322" s="18">
        <f>INPUT!CL259</f>
        <v>0.28353712564239686</v>
      </c>
      <c r="CB322" s="96">
        <f>INPUT!CM259</f>
        <v>1324.9</v>
      </c>
      <c r="CC322" s="18" t="str">
        <f>INPUT!CN259</f>
        <v>NM</v>
      </c>
      <c r="CD322" s="96">
        <f>INPUT!CO259</f>
        <v>578.70000000000005</v>
      </c>
      <c r="CE322" s="18">
        <f>INPUT!CP259</f>
        <v>2.8434334458859123</v>
      </c>
      <c r="CF322" s="96">
        <f>INPUT!CQ259</f>
        <v>575.1</v>
      </c>
      <c r="CG322" s="18">
        <f>INPUT!CR259</f>
        <v>2.8249597711425212</v>
      </c>
      <c r="CH322" s="96">
        <f>INPUT!CS259</f>
        <v>580.5</v>
      </c>
      <c r="CI322" s="18">
        <f>INPUT!CT259</f>
        <v>2.5799611238734865</v>
      </c>
      <c r="CJ322" s="96">
        <f>INPUT!CU259</f>
        <v>580.6</v>
      </c>
      <c r="CK322" s="18" t="str">
        <f>INPUT!CV259</f>
        <v>NM</v>
      </c>
      <c r="CL322" s="96">
        <f>INPUT!CW259</f>
        <v>579.29999999999995</v>
      </c>
      <c r="CM322" s="18">
        <f>INPUT!CX259</f>
        <v>0.10368066355623817</v>
      </c>
      <c r="CN322" s="96">
        <f>INPUT!CY259</f>
        <v>571</v>
      </c>
      <c r="CO322" s="18">
        <f>INPUT!CZ259</f>
        <v>-0.71291949226222062</v>
      </c>
      <c r="CP322" s="96">
        <f>INPUT!DA259</f>
        <v>570.70000000000005</v>
      </c>
      <c r="CQ322" s="18">
        <f>INPUT!DB259</f>
        <v>-1.6881998277347043</v>
      </c>
      <c r="CR322" s="96">
        <f>INPUT!DC259</f>
        <v>572</v>
      </c>
      <c r="CS322" s="18">
        <f>INPUT!DD259</f>
        <v>-1.4812263176024798</v>
      </c>
      <c r="CT322" s="96">
        <f>INPUT!DE259</f>
        <v>555.6</v>
      </c>
      <c r="CU322" s="18">
        <f>INPUT!DF259</f>
        <v>-4.0911444847229301</v>
      </c>
      <c r="CV322" s="96">
        <f>INPUT!DG259</f>
        <v>560</v>
      </c>
      <c r="CW322" s="18">
        <f>INPUT!DH259</f>
        <v>-1.9264448336252182</v>
      </c>
      <c r="CX322" s="96">
        <f>INPUT!DI259</f>
        <v>559.29999999999995</v>
      </c>
      <c r="CY322" s="18">
        <f>INPUT!DJ259</f>
        <v>-1.9975468722621459</v>
      </c>
      <c r="CZ322" s="96">
        <f>INPUT!DK259</f>
        <v>1256.2</v>
      </c>
      <c r="DA322" s="18" t="str">
        <f>INPUT!DL259</f>
        <v>NM</v>
      </c>
      <c r="DB322" s="96">
        <f>INPUT!DM259</f>
        <v>552.70000000000005</v>
      </c>
      <c r="DC322" s="18">
        <f>INPUT!DN259</f>
        <v>-0.52195824334052565</v>
      </c>
      <c r="DD322" s="96">
        <f>INPUT!DO259</f>
        <v>553.1</v>
      </c>
      <c r="DE322" s="18">
        <f>INPUT!DP259</f>
        <v>-1.2321428571428483</v>
      </c>
      <c r="DF322" s="96">
        <f>INPUT!DQ259</f>
        <v>555.79999999999995</v>
      </c>
      <c r="DG322" s="18">
        <f>INPUT!DR259</f>
        <v>-0.62578222778473247</v>
      </c>
      <c r="DH322" s="96">
        <f>INPUT!DS259</f>
        <v>566.70000000000005</v>
      </c>
      <c r="DI322" s="18" t="str">
        <f>INPUT!DT259</f>
        <v>NM</v>
      </c>
      <c r="DJ322" s="96">
        <f>INPUT!DU259</f>
        <v>554</v>
      </c>
      <c r="DK322" s="18">
        <f>INPUT!DV259</f>
        <v>0.23520897412701025</v>
      </c>
      <c r="DL322" s="96">
        <f>INPUT!DW259</f>
        <v>556.6</v>
      </c>
      <c r="DM322" s="18">
        <f>INPUT!DX259</f>
        <v>0.63279696257458884</v>
      </c>
      <c r="DN322" s="96">
        <f>INPUT!DY259</f>
        <v>556.6</v>
      </c>
      <c r="DO322" s="18">
        <f>INPUT!DZ259</f>
        <v>0.14393666786614023</v>
      </c>
      <c r="DP322" s="96">
        <f>INPUT!EA259</f>
        <v>556.5</v>
      </c>
      <c r="DQ322" s="18">
        <f>INPUT!EB259</f>
        <v>-1.7998941238750787</v>
      </c>
      <c r="DR322" s="96">
        <f>INPUT!EC259</f>
        <v>548.70000000000005</v>
      </c>
      <c r="DS322" s="18">
        <f>INPUT!ED259</f>
        <v>-0.95667870036100222</v>
      </c>
      <c r="DT322" s="96">
        <f>INPUT!EE259</f>
        <v>547.6</v>
      </c>
      <c r="DU322" s="18">
        <f>INPUT!EF259</f>
        <v>-1.6169601149838342</v>
      </c>
      <c r="DV322" s="96">
        <f>INPUT!EG259</f>
        <v>550.4</v>
      </c>
      <c r="DW322" s="18">
        <f>INPUT!EH259</f>
        <v>-1.1139058569888727</v>
      </c>
      <c r="DX322" s="96">
        <f>INPUT!EI259</f>
        <v>545.1</v>
      </c>
      <c r="DY322" s="18">
        <f>INPUT!EJ259</f>
        <v>-2.0485175202156314</v>
      </c>
      <c r="DZ322" s="96">
        <f>INPUT!EK259</f>
        <v>542.95639199999994</v>
      </c>
      <c r="EA322" s="18">
        <f>INPUT!EL259</f>
        <v>-1.0467665390924252</v>
      </c>
      <c r="EB322" s="96">
        <f>INPUT!EM259</f>
        <v>539.69865364799989</v>
      </c>
      <c r="EC322" s="18">
        <f>INPUT!EN259</f>
        <v>-1.4429047392257366</v>
      </c>
      <c r="ED322" s="96">
        <f>INPUT!EO259</f>
        <v>536.46046172611193</v>
      </c>
      <c r="EE322" s="18">
        <f>INPUT!EP259</f>
        <v>-2.5326195991802414</v>
      </c>
      <c r="EF322" s="96">
        <f>INPUT!EQ259</f>
        <v>533.24169895575517</v>
      </c>
      <c r="EG322" s="18">
        <f>INPUT!ER259</f>
        <v>-2.175435891440991</v>
      </c>
      <c r="EH322" s="18"/>
      <c r="EI322" s="96">
        <f>INPUT!FB259</f>
        <v>0</v>
      </c>
      <c r="EJ322" s="5">
        <f>INPUT!FC259</f>
        <v>0</v>
      </c>
      <c r="EK322" s="96">
        <f>INPUT!FD259</f>
        <v>1544.1999999999998</v>
      </c>
      <c r="EL322" s="5" t="str">
        <f>INPUT!FE259</f>
        <v>NA</v>
      </c>
      <c r="EM322" s="96">
        <f>INPUT!FF259</f>
        <v>1533.6</v>
      </c>
      <c r="EN322" s="5">
        <f>INPUT!FG259</f>
        <v>-0.6864395803652279</v>
      </c>
      <c r="EO322" s="96">
        <f>INPUT!FH259</f>
        <v>1618.9</v>
      </c>
      <c r="EP322" s="5">
        <f>INPUT!FI259</f>
        <v>5.5620761606677283</v>
      </c>
      <c r="EQ322" s="96">
        <f>INPUT!FJ259</f>
        <v>1539.6</v>
      </c>
      <c r="ER322" s="18">
        <f>INPUT!FK259</f>
        <v>-4.8983877941812466</v>
      </c>
      <c r="ES322" s="96">
        <f>INPUT!FL259</f>
        <v>1662.5000000000002</v>
      </c>
      <c r="ET322" s="18">
        <f>INPUT!FM259</f>
        <v>7.9825928812678804</v>
      </c>
      <c r="EU322" s="96">
        <f>INPUT!FN259</f>
        <v>1627.7000000000003</v>
      </c>
      <c r="EV322" s="18">
        <f>INPUT!FO259</f>
        <v>-2.0932330827067691</v>
      </c>
      <c r="EW322" s="96">
        <f>INPUT!FP259</f>
        <v>1544.8</v>
      </c>
      <c r="EX322" s="18">
        <f>INPUT!FQ259</f>
        <v>-5.0930761196780967</v>
      </c>
      <c r="EY322" s="96">
        <f>INPUT!FR259</f>
        <v>2245.3000000000002</v>
      </c>
      <c r="EZ322" s="18">
        <f>INPUT!FS259</f>
        <v>45.345675815639574</v>
      </c>
      <c r="FA322" s="96">
        <f>INPUT!FT259</f>
        <v>2259.1999999999998</v>
      </c>
      <c r="FB322" s="18">
        <f>INPUT!FU259</f>
        <v>0.61907094820290443</v>
      </c>
      <c r="FC322" s="96">
        <f>INPUT!FV259</f>
        <v>3012.8</v>
      </c>
      <c r="FD322" s="18">
        <f>INPUT!FW259</f>
        <v>33.35694050991502</v>
      </c>
      <c r="FE322" s="96">
        <f>INPUT!FX259</f>
        <v>2314.9</v>
      </c>
      <c r="FF322" s="18">
        <f>INPUT!FY259</f>
        <v>-23.164498141263945</v>
      </c>
      <c r="FG322" s="96">
        <f>INPUT!FZ259</f>
        <v>2293</v>
      </c>
      <c r="FH322" s="18">
        <f>INPUT!GA259</f>
        <v>-0.94604518553718098</v>
      </c>
      <c r="FI322" s="96">
        <f>INPUT!GB259</f>
        <v>2931.1</v>
      </c>
      <c r="FJ322" s="18">
        <f>INPUT!GC259</f>
        <v>27.82817269952027</v>
      </c>
      <c r="FK322" s="96">
        <f>INPUT!GD259</f>
        <v>2228.3000000000002</v>
      </c>
      <c r="FL322" s="18">
        <f>INPUT!GE259</f>
        <v>-23.977346388727771</v>
      </c>
      <c r="FM322" s="96">
        <f>INPUT!GF259</f>
        <v>2223.6999999999998</v>
      </c>
      <c r="FN322" s="18">
        <f>INPUT!GG259</f>
        <v>-0.20643539918324683</v>
      </c>
      <c r="FO322" s="96">
        <f>INPUT!GH259</f>
        <v>2191.8000000000002</v>
      </c>
      <c r="FP322" s="18">
        <f>INPUT!GI259</f>
        <v>-1.4345460268921029</v>
      </c>
      <c r="FQ322" s="96">
        <f>INPUT!GJ259</f>
        <v>2152.357206329867</v>
      </c>
      <c r="FR322" s="18">
        <f>INPUT!GK259</f>
        <v>-1.7995617150348142</v>
      </c>
      <c r="FS322" s="96">
        <f>INPUT!GL259</f>
        <v>2087.7864901399712</v>
      </c>
      <c r="FT322" s="18">
        <f>INPUT!GM259</f>
        <v>-2.9999999999999916</v>
      </c>
      <c r="FU322" s="96">
        <f>INPUT!GN259</f>
        <v>2025.1528954357718</v>
      </c>
      <c r="FV322" s="18">
        <f>INPUT!GO259</f>
        <v>-3.0000000000000138</v>
      </c>
      <c r="FW322" s="96">
        <f>INPUT!GP259</f>
        <v>1964.3983085726984</v>
      </c>
      <c r="FX322" s="18">
        <f>INPUT!GQ259</f>
        <v>-3.0000000000000138</v>
      </c>
      <c r="FY322" s="96">
        <f>INPUT!GR259</f>
        <v>1905.4663593155176</v>
      </c>
      <c r="FZ322" s="18">
        <f>INPUT!GS259</f>
        <v>-2.9999999999999916</v>
      </c>
      <c r="GA322" s="5">
        <f>INPUT!GT259</f>
        <v>-2.7610920902513492</v>
      </c>
    </row>
    <row r="323" spans="1:183" ht="12.75" hidden="1" customHeight="1" outlineLevel="1" x14ac:dyDescent="0.2">
      <c r="A323" s="612" t="str">
        <f>INPUT!B260</f>
        <v xml:space="preserve">Commissions </v>
      </c>
      <c r="B323" s="96">
        <f>INPUT!M260</f>
        <v>30.2</v>
      </c>
      <c r="C323" s="399" t="str">
        <f>INPUT!N260</f>
        <v>NA</v>
      </c>
      <c r="D323" s="96">
        <f>INPUT!O260</f>
        <v>27.1</v>
      </c>
      <c r="E323" s="5" t="str">
        <f>INPUT!P260</f>
        <v>NA</v>
      </c>
      <c r="F323" s="96">
        <f>INPUT!Q260</f>
        <v>26.2</v>
      </c>
      <c r="G323" s="5" t="str">
        <f>INPUT!R260</f>
        <v>NA</v>
      </c>
      <c r="H323" s="96">
        <f>INPUT!S260</f>
        <v>25.7</v>
      </c>
      <c r="I323" s="5" t="str">
        <f>INPUT!T260</f>
        <v>NA</v>
      </c>
      <c r="J323" s="96">
        <f>INPUT!U260</f>
        <v>25.5</v>
      </c>
      <c r="K323" s="5">
        <f>INPUT!V260</f>
        <v>-15.56291390728477</v>
      </c>
      <c r="L323" s="96">
        <f>INPUT!W260</f>
        <v>22.8</v>
      </c>
      <c r="M323" s="5">
        <f>INPUT!X260</f>
        <v>-15.867158671586722</v>
      </c>
      <c r="N323" s="96">
        <f>INPUT!Y260</f>
        <v>20.5</v>
      </c>
      <c r="O323" s="5">
        <f>INPUT!Z260</f>
        <v>-21.755725190839691</v>
      </c>
      <c r="P323" s="96">
        <f>INPUT!AA260</f>
        <v>16.7</v>
      </c>
      <c r="Q323" s="5">
        <f>INPUT!AB260</f>
        <v>-35.019455252918284</v>
      </c>
      <c r="R323" s="96">
        <f>INPUT!AC260</f>
        <v>20.100000000000001</v>
      </c>
      <c r="S323" s="5">
        <f>INPUT!AD260</f>
        <v>-21.176470588235286</v>
      </c>
      <c r="T323" s="96">
        <f>INPUT!AE260</f>
        <v>18.399999999999999</v>
      </c>
      <c r="U323" s="5">
        <f>INPUT!AF260</f>
        <v>-19.298245614035093</v>
      </c>
      <c r="V323" s="96">
        <f>INPUT!AG260</f>
        <v>20</v>
      </c>
      <c r="W323" s="5">
        <f>INPUT!AH260</f>
        <v>-2.4390243902439046</v>
      </c>
      <c r="X323" s="96">
        <f>INPUT!AI260</f>
        <v>17.8</v>
      </c>
      <c r="Y323" s="5">
        <f>INPUT!AJ260</f>
        <v>6.5868263473054078</v>
      </c>
      <c r="Z323" s="96">
        <f>INPUT!AK260</f>
        <v>18.5</v>
      </c>
      <c r="AA323" s="5">
        <f>INPUT!AL260</f>
        <v>-7.9601990049751326</v>
      </c>
      <c r="AB323" s="96">
        <f>INPUT!AM260</f>
        <v>17.100000000000001</v>
      </c>
      <c r="AC323" s="5">
        <f>INPUT!AN260</f>
        <v>-7.0652173913043352</v>
      </c>
      <c r="AD323" s="96">
        <f>INPUT!AO260</f>
        <v>19</v>
      </c>
      <c r="AE323" s="5">
        <f>INPUT!AP260</f>
        <v>-5.0000000000000044</v>
      </c>
      <c r="AF323" s="96">
        <f>INPUT!AQ260</f>
        <v>20.3</v>
      </c>
      <c r="AG323" s="5">
        <f>INPUT!AR260</f>
        <v>14.04494382022472</v>
      </c>
      <c r="AH323" s="96">
        <f>INPUT!AS260</f>
        <v>20.5</v>
      </c>
      <c r="AI323" s="5">
        <f>INPUT!AT260</f>
        <v>10.810810810810811</v>
      </c>
      <c r="AJ323" s="96">
        <f>INPUT!AU260</f>
        <v>18.899999999999999</v>
      </c>
      <c r="AK323" s="5">
        <f>INPUT!AV260</f>
        <v>10.526315789473673</v>
      </c>
      <c r="AL323" s="96">
        <f>INPUT!AW260</f>
        <v>18.3</v>
      </c>
      <c r="AM323" s="5">
        <f>INPUT!AX260</f>
        <v>-3.6842105263157898</v>
      </c>
      <c r="AN323" s="96">
        <f>INPUT!AY260</f>
        <v>18.5</v>
      </c>
      <c r="AO323" s="18">
        <f>INPUT!AZ260</f>
        <v>-8.8669950738916263</v>
      </c>
      <c r="AP323" s="96">
        <f>INPUT!BA260</f>
        <v>18</v>
      </c>
      <c r="AQ323" s="18">
        <f>INPUT!BB260</f>
        <v>-12.195121951219512</v>
      </c>
      <c r="AR323" s="96">
        <f>INPUT!BC260</f>
        <v>16.7</v>
      </c>
      <c r="AS323" s="18">
        <f>INPUT!BD260</f>
        <v>-11.640211640211639</v>
      </c>
      <c r="AT323" s="96">
        <f>INPUT!BE260</f>
        <v>17.8</v>
      </c>
      <c r="AU323" s="18">
        <f>INPUT!BF260</f>
        <v>-2.732240437158473</v>
      </c>
      <c r="AV323" s="96">
        <f>INPUT!BG260</f>
        <v>16.600000000000001</v>
      </c>
      <c r="AW323" s="18">
        <f>INPUT!BH260</f>
        <v>-10.270270270270265</v>
      </c>
      <c r="AX323" s="96">
        <f>INPUT!BI260</f>
        <v>16.100000000000001</v>
      </c>
      <c r="AY323" s="18">
        <f>INPUT!BJ260</f>
        <v>-10.555555555555552</v>
      </c>
      <c r="AZ323" s="96">
        <f>INPUT!BK260</f>
        <v>15.2</v>
      </c>
      <c r="BA323" s="18">
        <f>INPUT!BL260</f>
        <v>-8.9820359281437163</v>
      </c>
      <c r="BB323" s="96">
        <f>INPUT!BM260</f>
        <v>15.6</v>
      </c>
      <c r="BC323" s="18">
        <f>INPUT!BN260</f>
        <v>-12.359550561797761</v>
      </c>
      <c r="BD323" s="96">
        <f>INPUT!BO260</f>
        <v>15.8</v>
      </c>
      <c r="BE323" s="18">
        <f>INPUT!BP260</f>
        <v>-4.8192771084337398</v>
      </c>
      <c r="BF323" s="96">
        <f>INPUT!BQ260</f>
        <v>15.3</v>
      </c>
      <c r="BG323" s="18">
        <f>INPUT!BR260</f>
        <v>-4.9689440993788914</v>
      </c>
      <c r="BH323" s="96">
        <f>INPUT!BS260</f>
        <v>14.8</v>
      </c>
      <c r="BI323" s="18">
        <f>INPUT!BT260</f>
        <v>-2.631578947368407</v>
      </c>
      <c r="BJ323" s="96">
        <f>INPUT!BU260</f>
        <v>14.2</v>
      </c>
      <c r="BK323" s="18">
        <f>INPUT!BV260</f>
        <v>-8.9743589743589762</v>
      </c>
      <c r="BL323" s="96">
        <f>INPUT!BW260</f>
        <v>13.8</v>
      </c>
      <c r="BM323" s="18">
        <f>INPUT!BX260</f>
        <v>-12.658227848101266</v>
      </c>
      <c r="BN323" s="96">
        <f>INPUT!BY260</f>
        <v>30</v>
      </c>
      <c r="BO323" s="18">
        <f>INPUT!BZ260</f>
        <v>96.078431372549005</v>
      </c>
      <c r="BP323" s="96">
        <f>INPUT!CA260</f>
        <v>29.2</v>
      </c>
      <c r="BQ323" s="18">
        <f>INPUT!CB260</f>
        <v>97.297297297297277</v>
      </c>
      <c r="BR323" s="96">
        <f>INPUT!CC260</f>
        <v>29.5</v>
      </c>
      <c r="BS323" s="18" t="str">
        <f>INPUT!CD260</f>
        <v>NM</v>
      </c>
      <c r="BT323" s="96">
        <f>INPUT!CE260</f>
        <v>29.4</v>
      </c>
      <c r="BU323" s="18" t="str">
        <f>INPUT!CF260</f>
        <v>NM</v>
      </c>
      <c r="BV323" s="96">
        <f>INPUT!CG260</f>
        <v>29.2</v>
      </c>
      <c r="BW323" s="18">
        <f>INPUT!CH260</f>
        <v>-2.6666666666666727</v>
      </c>
      <c r="BX323" s="96">
        <f>INPUT!CI260</f>
        <v>27.8</v>
      </c>
      <c r="BY323" s="18">
        <f>INPUT!CJ260</f>
        <v>-4.7945205479452024</v>
      </c>
      <c r="BZ323" s="96">
        <f>INPUT!CK260</f>
        <v>28.2</v>
      </c>
      <c r="CA323" s="18">
        <f>INPUT!CL260</f>
        <v>-4.4067796610169463</v>
      </c>
      <c r="CB323" s="96">
        <f>INPUT!CM260</f>
        <v>28.4</v>
      </c>
      <c r="CC323" s="18">
        <f>INPUT!CN260</f>
        <v>-3.4013605442176909</v>
      </c>
      <c r="CD323" s="96">
        <f>INPUT!CO260</f>
        <v>28.5</v>
      </c>
      <c r="CE323" s="18">
        <f>INPUT!CP260</f>
        <v>-2.3972602739726012</v>
      </c>
      <c r="CF323" s="96">
        <f>INPUT!CQ260</f>
        <v>27.8</v>
      </c>
      <c r="CG323" s="18">
        <f>INPUT!CR260</f>
        <v>0</v>
      </c>
      <c r="CH323" s="96">
        <f>INPUT!CS260</f>
        <v>28.2</v>
      </c>
      <c r="CI323" s="18">
        <f>INPUT!CT260</f>
        <v>0</v>
      </c>
      <c r="CJ323" s="96">
        <f>INPUT!CU260</f>
        <v>28.1</v>
      </c>
      <c r="CK323" s="18">
        <f>INPUT!CV260</f>
        <v>-1.0563380281690016</v>
      </c>
      <c r="CL323" s="96">
        <f>INPUT!CW260</f>
        <v>28</v>
      </c>
      <c r="CM323" s="18">
        <f>INPUT!CX260</f>
        <v>-1.7543859649122862</v>
      </c>
      <c r="CN323" s="96">
        <f>INPUT!CY260</f>
        <v>27.1</v>
      </c>
      <c r="CO323" s="18">
        <f>INPUT!CZ260</f>
        <v>-2.5179856115107868</v>
      </c>
      <c r="CP323" s="96">
        <f>INPUT!DA260</f>
        <v>26.8</v>
      </c>
      <c r="CQ323" s="18">
        <f>INPUT!DB260</f>
        <v>-4.9645390070921946</v>
      </c>
      <c r="CR323" s="96">
        <f>INPUT!DC260</f>
        <v>31.9</v>
      </c>
      <c r="CS323" s="18">
        <f>INPUT!DD260</f>
        <v>13.523131672597843</v>
      </c>
      <c r="CT323" s="96">
        <f>INPUT!DE260</f>
        <v>26.1</v>
      </c>
      <c r="CU323" s="18">
        <f>INPUT!DF260</f>
        <v>-6.7857142857142838</v>
      </c>
      <c r="CV323" s="96">
        <f>INPUT!DG260</f>
        <v>25.4</v>
      </c>
      <c r="CW323" s="18">
        <f>INPUT!DH260</f>
        <v>-6.2730627306273217</v>
      </c>
      <c r="CX323" s="96">
        <f>INPUT!DI260</f>
        <v>25.6</v>
      </c>
      <c r="CY323" s="18">
        <f>INPUT!DJ260</f>
        <v>-4.4776119402985088</v>
      </c>
      <c r="CZ323" s="96">
        <f>INPUT!DK260</f>
        <v>24.4</v>
      </c>
      <c r="DA323" s="18">
        <f>INPUT!DL260</f>
        <v>-23.510971786833856</v>
      </c>
      <c r="DB323" s="96">
        <f>INPUT!DM260</f>
        <v>25.6</v>
      </c>
      <c r="DC323" s="18">
        <f>INPUT!DN260</f>
        <v>-1.9157088122605415</v>
      </c>
      <c r="DD323" s="96">
        <f>INPUT!DO260</f>
        <v>24.1</v>
      </c>
      <c r="DE323" s="18">
        <f>INPUT!DP260</f>
        <v>-5.1181102362204633</v>
      </c>
      <c r="DF323" s="96">
        <f>INPUT!DQ260</f>
        <v>24.9</v>
      </c>
      <c r="DG323" s="18">
        <f>INPUT!DR260</f>
        <v>-2.7343750000000111</v>
      </c>
      <c r="DH323" s="96">
        <f>INPUT!DS260</f>
        <v>24.2</v>
      </c>
      <c r="DI323" s="18">
        <f>INPUT!DT260</f>
        <v>-0.81967213114754189</v>
      </c>
      <c r="DJ323" s="96">
        <f>INPUT!DU260</f>
        <v>24.1</v>
      </c>
      <c r="DK323" s="18">
        <f>INPUT!DV260</f>
        <v>-5.859375</v>
      </c>
      <c r="DL323" s="96">
        <f>INPUT!DW260</f>
        <v>23.1</v>
      </c>
      <c r="DM323" s="18">
        <f>INPUT!DX260</f>
        <v>-4.1493775933609918</v>
      </c>
      <c r="DN323" s="96">
        <f>INPUT!DY260</f>
        <v>23.5</v>
      </c>
      <c r="DO323" s="18">
        <f>INPUT!DZ260</f>
        <v>-5.6224899598393492</v>
      </c>
      <c r="DP323" s="96">
        <f>INPUT!EA260</f>
        <v>23.1</v>
      </c>
      <c r="DQ323" s="18">
        <f>INPUT!EB260</f>
        <v>-4.5454545454545414</v>
      </c>
      <c r="DR323" s="96">
        <f>INPUT!EC260</f>
        <v>23</v>
      </c>
      <c r="DS323" s="18">
        <f>INPUT!ED260</f>
        <v>-4.5643153526971014</v>
      </c>
      <c r="DT323" s="96">
        <f>INPUT!EE260</f>
        <v>22.4</v>
      </c>
      <c r="DU323" s="18">
        <f>INPUT!EF260</f>
        <v>-3.0303030303030387</v>
      </c>
      <c r="DV323" s="96">
        <f>INPUT!EG260</f>
        <v>22.7</v>
      </c>
      <c r="DW323" s="18">
        <f>INPUT!EH260</f>
        <v>-3.4042553191489411</v>
      </c>
      <c r="DX323" s="96">
        <f>INPUT!EI260</f>
        <v>21.9</v>
      </c>
      <c r="DY323" s="18">
        <f>INPUT!EJ260</f>
        <v>-5.1948051948052072</v>
      </c>
      <c r="DZ323" s="96">
        <f>INPUT!EK260</f>
        <v>21.956615999999997</v>
      </c>
      <c r="EA323" s="18">
        <f>INPUT!EL260</f>
        <v>-4.5364521739130526</v>
      </c>
      <c r="EB323" s="96">
        <f>INPUT!EM260</f>
        <v>21.824876303999996</v>
      </c>
      <c r="EC323" s="18">
        <f>INPUT!EN260</f>
        <v>-2.5675165000000111</v>
      </c>
      <c r="ED323" s="96">
        <f>INPUT!EO260</f>
        <v>21.693927046175997</v>
      </c>
      <c r="EE323" s="18">
        <f>INPUT!EP260</f>
        <v>-4.4320394441585975</v>
      </c>
      <c r="EF323" s="96">
        <f>INPUT!EQ260</f>
        <v>21.563763483898938</v>
      </c>
      <c r="EG323" s="18">
        <f>INPUT!ER260</f>
        <v>-1.5353265575390851</v>
      </c>
      <c r="EH323" s="18"/>
      <c r="EI323" s="96">
        <f>INPUT!FB260</f>
        <v>0</v>
      </c>
      <c r="EJ323" s="5">
        <f>INPUT!FC260</f>
        <v>0</v>
      </c>
      <c r="EK323" s="96">
        <f>INPUT!FD260</f>
        <v>109.2</v>
      </c>
      <c r="EL323" s="5" t="str">
        <f>INPUT!FE260</f>
        <v>NA</v>
      </c>
      <c r="EM323" s="96">
        <f>INPUT!FF260</f>
        <v>85.5</v>
      </c>
      <c r="EN323" s="5">
        <f>INPUT!FG260</f>
        <v>-21.703296703296704</v>
      </c>
      <c r="EO323" s="96">
        <f>INPUT!FH260</f>
        <v>76.3</v>
      </c>
      <c r="EP323" s="5">
        <f>INPUT!FI260</f>
        <v>-10.760233918128659</v>
      </c>
      <c r="EQ323" s="96">
        <f>INPUT!FJ260</f>
        <v>74.900000000000006</v>
      </c>
      <c r="ER323" s="18">
        <f>INPUT!FK260</f>
        <v>-1.8348623853210899</v>
      </c>
      <c r="ES323" s="96">
        <f>INPUT!FL260</f>
        <v>76.2</v>
      </c>
      <c r="ET323" s="18">
        <f>INPUT!FM260</f>
        <v>1.735647530040052</v>
      </c>
      <c r="EU323" s="96">
        <f>INPUT!FN260</f>
        <v>69.099999999999994</v>
      </c>
      <c r="EV323" s="18">
        <f>INPUT!FO260</f>
        <v>-9.3175853018372834</v>
      </c>
      <c r="EW323" s="96">
        <f>INPUT!FP260</f>
        <v>62.7</v>
      </c>
      <c r="EX323" s="18">
        <f>INPUT!FQ260</f>
        <v>-9.261939218523862</v>
      </c>
      <c r="EY323" s="96">
        <f>INPUT!FR260</f>
        <v>126.8</v>
      </c>
      <c r="EZ323" s="18" t="str">
        <f>INPUT!FS260</f>
        <v>NM</v>
      </c>
      <c r="FA323" s="96">
        <f>INPUT!FT260</f>
        <v>118.1</v>
      </c>
      <c r="FB323" s="18">
        <f>INPUT!FU260</f>
        <v>-6.8611987381703488</v>
      </c>
      <c r="FC323" s="96">
        <f>INPUT!FV260</f>
        <v>113.6</v>
      </c>
      <c r="FD323" s="18">
        <f>INPUT!FW260</f>
        <v>-3.8103302286198182</v>
      </c>
      <c r="FE323" s="96">
        <f>INPUT!FX260</f>
        <v>112.6</v>
      </c>
      <c r="FF323" s="18">
        <f>INPUT!FY260</f>
        <v>-0.88028169014084945</v>
      </c>
      <c r="FG323" s="96">
        <f>INPUT!FZ260</f>
        <v>113.80000000000001</v>
      </c>
      <c r="FH323" s="18">
        <f>INPUT!GA260</f>
        <v>1.0657193605684068</v>
      </c>
      <c r="FI323" s="96">
        <f>INPUT!GB260</f>
        <v>101.5</v>
      </c>
      <c r="FJ323" s="18">
        <f>INPUT!GC260</f>
        <v>-10.80843585237259</v>
      </c>
      <c r="FK323" s="96">
        <f>INPUT!GD260</f>
        <v>98.8</v>
      </c>
      <c r="FL323" s="18">
        <f>INPUT!GE260</f>
        <v>-2.6600985221674867</v>
      </c>
      <c r="FM323" s="96">
        <f>INPUT!GF260</f>
        <v>93.800000000000011</v>
      </c>
      <c r="FN323" s="18">
        <f>INPUT!GG260</f>
        <v>-5.060728744939258</v>
      </c>
      <c r="FO323" s="96">
        <f>INPUT!GH260</f>
        <v>90</v>
      </c>
      <c r="FP323" s="18">
        <f>INPUT!GI260</f>
        <v>-4.0511727078891386</v>
      </c>
      <c r="FQ323" s="96">
        <f>INPUT!GJ260</f>
        <v>87.039182834074936</v>
      </c>
      <c r="FR323" s="18">
        <f>INPUT!GK260</f>
        <v>-3.2897968510278486</v>
      </c>
      <c r="FS323" s="96">
        <f>INPUT!GL260</f>
        <v>84.428007349052692</v>
      </c>
      <c r="FT323" s="18">
        <f>INPUT!GM260</f>
        <v>-2.9999999999999916</v>
      </c>
      <c r="FU323" s="96">
        <f>INPUT!GN260</f>
        <v>81.895167128581093</v>
      </c>
      <c r="FV323" s="18">
        <f>INPUT!GO260</f>
        <v>-3.0000000000000249</v>
      </c>
      <c r="FW323" s="96">
        <f>INPUT!GP260</f>
        <v>79.438312114723658</v>
      </c>
      <c r="FX323" s="18">
        <f>INPUT!GQ260</f>
        <v>-3.0000000000000027</v>
      </c>
      <c r="FY323" s="96">
        <f>INPUT!GR260</f>
        <v>77.055162751281955</v>
      </c>
      <c r="FZ323" s="18">
        <f>INPUT!GS260</f>
        <v>-2.9999999999999916</v>
      </c>
      <c r="GA323" s="5">
        <f>INPUT!GT260</f>
        <v>-3.0580287583073407</v>
      </c>
    </row>
    <row r="324" spans="1:183" ht="12.75" hidden="1" customHeight="1" outlineLevel="1" x14ac:dyDescent="0.2">
      <c r="A324" s="612" t="str">
        <f>INPUT!B261</f>
        <v>Net Change in DPAC</v>
      </c>
      <c r="B324" s="96">
        <f>INPUT!M261</f>
        <v>6.5</v>
      </c>
      <c r="C324" s="399" t="str">
        <f>INPUT!N261</f>
        <v>NA</v>
      </c>
      <c r="D324" s="96">
        <f>INPUT!O261</f>
        <v>5</v>
      </c>
      <c r="E324" s="5" t="str">
        <f>INPUT!P261</f>
        <v>NA</v>
      </c>
      <c r="F324" s="96">
        <f>INPUT!Q261</f>
        <v>5.3</v>
      </c>
      <c r="G324" s="5" t="str">
        <f>INPUT!R261</f>
        <v>NA</v>
      </c>
      <c r="H324" s="96">
        <f>INPUT!S261</f>
        <v>6</v>
      </c>
      <c r="I324" s="5" t="str">
        <f>INPUT!T261</f>
        <v>NA</v>
      </c>
      <c r="J324" s="96">
        <f>INPUT!U261</f>
        <v>8.1999999999999993</v>
      </c>
      <c r="K324" s="5">
        <f>INPUT!V261</f>
        <v>26.15384615384615</v>
      </c>
      <c r="L324" s="96">
        <f>INPUT!W261</f>
        <v>8.1</v>
      </c>
      <c r="M324" s="5">
        <f>INPUT!X261</f>
        <v>61.999999999999986</v>
      </c>
      <c r="N324" s="96">
        <f>INPUT!Y261</f>
        <v>8.9</v>
      </c>
      <c r="O324" s="5">
        <f>INPUT!Z261</f>
        <v>67.924528301886795</v>
      </c>
      <c r="P324" s="96">
        <f>INPUT!AA261</f>
        <v>8.6</v>
      </c>
      <c r="Q324" s="5">
        <f>INPUT!AB261</f>
        <v>43.333333333333336</v>
      </c>
      <c r="R324" s="96">
        <f>INPUT!AC261</f>
        <v>0</v>
      </c>
      <c r="S324" s="5" t="str">
        <f>INPUT!AD261</f>
        <v>NM</v>
      </c>
      <c r="T324" s="96">
        <f>INPUT!AE261</f>
        <v>0</v>
      </c>
      <c r="U324" s="5" t="str">
        <f>INPUT!AF261</f>
        <v>NM</v>
      </c>
      <c r="V324" s="96">
        <f>INPUT!AG261</f>
        <v>0</v>
      </c>
      <c r="W324" s="5" t="str">
        <f>INPUT!AH261</f>
        <v>NM</v>
      </c>
      <c r="X324" s="96">
        <f>INPUT!AI261</f>
        <v>0</v>
      </c>
      <c r="Y324" s="5" t="str">
        <f>INPUT!AJ261</f>
        <v>NM</v>
      </c>
      <c r="Z324" s="96">
        <f>INPUT!AK261</f>
        <v>0</v>
      </c>
      <c r="AA324" s="5" t="str">
        <f>INPUT!AL261</f>
        <v>NA</v>
      </c>
      <c r="AB324" s="96">
        <f>INPUT!AM261</f>
        <v>0</v>
      </c>
      <c r="AC324" s="5" t="str">
        <f>INPUT!AN261</f>
        <v>NA</v>
      </c>
      <c r="AD324" s="96">
        <f>INPUT!AO261</f>
        <v>0</v>
      </c>
      <c r="AE324" s="5" t="str">
        <f>INPUT!AP261</f>
        <v>NA</v>
      </c>
      <c r="AF324" s="96">
        <f>INPUT!AQ261</f>
        <v>0</v>
      </c>
      <c r="AG324" s="5" t="str">
        <f>INPUT!AR261</f>
        <v>NA</v>
      </c>
      <c r="AH324" s="96">
        <f>INPUT!AS261</f>
        <v>0</v>
      </c>
      <c r="AI324" s="5" t="str">
        <f>INPUT!AT261</f>
        <v>NA</v>
      </c>
      <c r="AJ324" s="96">
        <f>INPUT!AU261</f>
        <v>0</v>
      </c>
      <c r="AK324" s="5" t="str">
        <f>INPUT!AV261</f>
        <v>NA</v>
      </c>
      <c r="AL324" s="96">
        <f>INPUT!AW261</f>
        <v>0</v>
      </c>
      <c r="AM324" s="5" t="str">
        <f>INPUT!AX261</f>
        <v>NA</v>
      </c>
      <c r="AN324" s="96">
        <f>INPUT!AY261</f>
        <v>0</v>
      </c>
      <c r="AO324" s="18" t="str">
        <f>INPUT!AZ261</f>
        <v>NA</v>
      </c>
      <c r="AP324" s="96">
        <f>INPUT!BA261</f>
        <v>0</v>
      </c>
      <c r="AQ324" s="18" t="str">
        <f>INPUT!BB261</f>
        <v>NA</v>
      </c>
      <c r="AR324" s="96">
        <f>INPUT!BC261</f>
        <v>0</v>
      </c>
      <c r="AS324" s="18" t="str">
        <f>INPUT!BD261</f>
        <v>NA</v>
      </c>
      <c r="AT324" s="96">
        <f>INPUT!BE261</f>
        <v>0</v>
      </c>
      <c r="AU324" s="18" t="str">
        <f>INPUT!BF261</f>
        <v>NA</v>
      </c>
      <c r="AV324" s="96">
        <f>INPUT!BG261</f>
        <v>0</v>
      </c>
      <c r="AW324" s="18" t="str">
        <f>INPUT!BH261</f>
        <v>NA</v>
      </c>
      <c r="AX324" s="96">
        <f>INPUT!BI261</f>
        <v>0</v>
      </c>
      <c r="AY324" s="18" t="str">
        <f>INPUT!BJ261</f>
        <v>NA</v>
      </c>
      <c r="AZ324" s="96">
        <f>INPUT!BK261</f>
        <v>0</v>
      </c>
      <c r="BA324" s="18" t="str">
        <f>INPUT!BL261</f>
        <v>NA</v>
      </c>
      <c r="BB324" s="96">
        <f>INPUT!BM261</f>
        <v>0</v>
      </c>
      <c r="BC324" s="18" t="str">
        <f>INPUT!BN261</f>
        <v>NA</v>
      </c>
      <c r="BD324" s="96">
        <f>INPUT!BO261</f>
        <v>0</v>
      </c>
      <c r="BE324" s="18" t="str">
        <f>INPUT!BP261</f>
        <v>NA</v>
      </c>
      <c r="BF324" s="96">
        <f>INPUT!BQ261</f>
        <v>0</v>
      </c>
      <c r="BG324" s="18" t="str">
        <f>INPUT!BR261</f>
        <v>NA</v>
      </c>
      <c r="BH324" s="96">
        <f>INPUT!BS261</f>
        <v>0</v>
      </c>
      <c r="BI324" s="18" t="str">
        <f>INPUT!BT261</f>
        <v>NA</v>
      </c>
      <c r="BJ324" s="96">
        <f>INPUT!BU261</f>
        <v>0</v>
      </c>
      <c r="BK324" s="18" t="str">
        <f>INPUT!BV261</f>
        <v>NA</v>
      </c>
      <c r="BL324" s="96">
        <f>INPUT!BW261</f>
        <v>0</v>
      </c>
      <c r="BM324" s="18" t="str">
        <f>INPUT!BX261</f>
        <v>NA</v>
      </c>
      <c r="BN324" s="96">
        <f>INPUT!BY261</f>
        <v>3.5999999999999996</v>
      </c>
      <c r="BO324" s="18" t="str">
        <f>INPUT!BZ261</f>
        <v>NA</v>
      </c>
      <c r="BP324" s="96">
        <f>INPUT!CA261</f>
        <v>3.5999999999999996</v>
      </c>
      <c r="BQ324" s="18" t="str">
        <f>INPUT!CB261</f>
        <v>NA</v>
      </c>
      <c r="BR324" s="96">
        <f>INPUT!CC261</f>
        <v>3.5</v>
      </c>
      <c r="BS324" s="18" t="str">
        <f>INPUT!CD261</f>
        <v>NA</v>
      </c>
      <c r="BT324" s="96">
        <f>INPUT!CE261</f>
        <v>3.5</v>
      </c>
      <c r="BU324" s="18" t="str">
        <f>INPUT!CF261</f>
        <v>NA</v>
      </c>
      <c r="BV324" s="96">
        <f>INPUT!CG261</f>
        <v>2.7</v>
      </c>
      <c r="BW324" s="18">
        <f>INPUT!CH261</f>
        <v>-24.999999999999989</v>
      </c>
      <c r="BX324" s="96">
        <f>INPUT!CI261</f>
        <v>2.8000000000000003</v>
      </c>
      <c r="BY324" s="18">
        <f>INPUT!CJ261</f>
        <v>-22.222222222222211</v>
      </c>
      <c r="BZ324" s="96">
        <f>INPUT!CK261</f>
        <v>2.2000000000000002</v>
      </c>
      <c r="CA324" s="18">
        <f>INPUT!CL261</f>
        <v>-37.142857142857132</v>
      </c>
      <c r="CB324" s="96">
        <f>INPUT!CM261</f>
        <v>195.7</v>
      </c>
      <c r="CC324" s="18" t="str">
        <f>INPUT!CN261</f>
        <v>NM</v>
      </c>
      <c r="CD324" s="96">
        <f>INPUT!CO261</f>
        <v>0</v>
      </c>
      <c r="CE324" s="18" t="str">
        <f>INPUT!CP261</f>
        <v>NM</v>
      </c>
      <c r="CF324" s="96">
        <f>INPUT!CQ261</f>
        <v>0</v>
      </c>
      <c r="CG324" s="18" t="str">
        <f>INPUT!CR261</f>
        <v>NM</v>
      </c>
      <c r="CH324" s="96">
        <f>INPUT!CS261</f>
        <v>0</v>
      </c>
      <c r="CI324" s="18" t="str">
        <f>INPUT!CT261</f>
        <v>NM</v>
      </c>
      <c r="CJ324" s="96">
        <f>INPUT!CU261</f>
        <v>0</v>
      </c>
      <c r="CK324" s="18" t="str">
        <f>INPUT!CV261</f>
        <v>NM</v>
      </c>
      <c r="CL324" s="96">
        <f>INPUT!CW261</f>
        <v>0</v>
      </c>
      <c r="CM324" s="18" t="str">
        <f>INPUT!CX261</f>
        <v>NA</v>
      </c>
      <c r="CN324" s="96">
        <f>INPUT!CY261</f>
        <v>0</v>
      </c>
      <c r="CO324" s="18" t="str">
        <f>INPUT!CZ261</f>
        <v>NA</v>
      </c>
      <c r="CP324" s="96">
        <f>INPUT!DA261</f>
        <v>0</v>
      </c>
      <c r="CQ324" s="18" t="str">
        <f>INPUT!DB261</f>
        <v>NA</v>
      </c>
      <c r="CR324" s="96">
        <f>INPUT!DC261</f>
        <v>0</v>
      </c>
      <c r="CS324" s="18" t="str">
        <f>INPUT!DD261</f>
        <v>NA</v>
      </c>
      <c r="CT324" s="96">
        <f>INPUT!DE261</f>
        <v>0</v>
      </c>
      <c r="CU324" s="18" t="str">
        <f>INPUT!DF261</f>
        <v>NA</v>
      </c>
      <c r="CV324" s="96">
        <f>INPUT!DG261</f>
        <v>0</v>
      </c>
      <c r="CW324" s="18" t="str">
        <f>INPUT!DH261</f>
        <v>NA</v>
      </c>
      <c r="CX324" s="96">
        <f>INPUT!DI261</f>
        <v>0</v>
      </c>
      <c r="CY324" s="18" t="str">
        <f>INPUT!DJ261</f>
        <v>NA</v>
      </c>
      <c r="CZ324" s="96">
        <f>INPUT!DK261</f>
        <v>0</v>
      </c>
      <c r="DA324" s="18" t="str">
        <f>INPUT!DL261</f>
        <v>NA</v>
      </c>
      <c r="DB324" s="96">
        <f>INPUT!DM261</f>
        <v>0</v>
      </c>
      <c r="DC324" s="18" t="str">
        <f>INPUT!DN261</f>
        <v>NA</v>
      </c>
      <c r="DD324" s="96">
        <f>INPUT!DO261</f>
        <v>0</v>
      </c>
      <c r="DE324" s="18" t="str">
        <f>INPUT!DP261</f>
        <v>NA</v>
      </c>
      <c r="DF324" s="96">
        <f>INPUT!DQ261</f>
        <v>0</v>
      </c>
      <c r="DG324" s="18" t="str">
        <f>INPUT!DR261</f>
        <v>NA</v>
      </c>
      <c r="DH324" s="96">
        <f>INPUT!DS261</f>
        <v>0</v>
      </c>
      <c r="DI324" s="18" t="str">
        <f>INPUT!DT261</f>
        <v>NA</v>
      </c>
      <c r="DJ324" s="96">
        <f>INPUT!DU261</f>
        <v>0</v>
      </c>
      <c r="DK324" s="18" t="str">
        <f>INPUT!DV261</f>
        <v>NA</v>
      </c>
      <c r="DL324" s="96">
        <f>INPUT!DW261</f>
        <v>0</v>
      </c>
      <c r="DM324" s="18" t="str">
        <f>INPUT!DX261</f>
        <v>NA</v>
      </c>
      <c r="DN324" s="96">
        <f>INPUT!DY261</f>
        <v>0</v>
      </c>
      <c r="DO324" s="18" t="str">
        <f>INPUT!DZ261</f>
        <v>NA</v>
      </c>
      <c r="DP324" s="96">
        <f>INPUT!EA261</f>
        <v>0</v>
      </c>
      <c r="DQ324" s="18" t="str">
        <f>INPUT!EB261</f>
        <v>NA</v>
      </c>
      <c r="DR324" s="96">
        <f>INPUT!EC261</f>
        <v>0</v>
      </c>
      <c r="DS324" s="18" t="str">
        <f>INPUT!ED261</f>
        <v>NA</v>
      </c>
      <c r="DT324" s="96">
        <f>INPUT!EE261</f>
        <v>0</v>
      </c>
      <c r="DU324" s="18" t="str">
        <f>INPUT!EF261</f>
        <v>NA</v>
      </c>
      <c r="DV324" s="96">
        <f>INPUT!EG261</f>
        <v>0</v>
      </c>
      <c r="DW324" s="18" t="str">
        <f>INPUT!EH261</f>
        <v>NA</v>
      </c>
      <c r="DX324" s="96">
        <f>INPUT!EI261</f>
        <v>0</v>
      </c>
      <c r="DY324" s="18" t="str">
        <f>INPUT!EJ261</f>
        <v>NA</v>
      </c>
      <c r="DZ324" s="96">
        <f>INPUT!EK261</f>
        <v>0</v>
      </c>
      <c r="EA324" s="18" t="str">
        <f>INPUT!EL261</f>
        <v>NA</v>
      </c>
      <c r="EB324" s="96">
        <f>INPUT!EM261</f>
        <v>0</v>
      </c>
      <c r="EC324" s="18" t="str">
        <f>INPUT!EN261</f>
        <v>NA</v>
      </c>
      <c r="ED324" s="96">
        <f>INPUT!EO261</f>
        <v>0</v>
      </c>
      <c r="EE324" s="18" t="str">
        <f>INPUT!EP261</f>
        <v>NA</v>
      </c>
      <c r="EF324" s="96">
        <f>INPUT!EQ261</f>
        <v>0</v>
      </c>
      <c r="EG324" s="18" t="str">
        <f>INPUT!ER261</f>
        <v>NA</v>
      </c>
      <c r="EH324" s="18"/>
      <c r="EI324" s="96">
        <f>INPUT!FB261</f>
        <v>0</v>
      </c>
      <c r="EJ324" s="5">
        <f>INPUT!FC261</f>
        <v>0</v>
      </c>
      <c r="EK324" s="96">
        <f>INPUT!FD261</f>
        <v>22.8</v>
      </c>
      <c r="EL324" s="5" t="str">
        <f>INPUT!FE261</f>
        <v>NA</v>
      </c>
      <c r="EM324" s="96">
        <f>INPUT!FF261</f>
        <v>33.799999999999997</v>
      </c>
      <c r="EN324" s="5">
        <f>INPUT!FG261</f>
        <v>48.245614035087691</v>
      </c>
      <c r="EO324" s="96">
        <f>INPUT!FH261</f>
        <v>0</v>
      </c>
      <c r="EP324" s="5" t="str">
        <f>INPUT!FI261</f>
        <v>NM</v>
      </c>
      <c r="EQ324" s="96">
        <f>INPUT!FJ261</f>
        <v>0</v>
      </c>
      <c r="ER324" s="18" t="str">
        <f>INPUT!FK261</f>
        <v>NA</v>
      </c>
      <c r="ES324" s="96">
        <f>INPUT!FL261</f>
        <v>0</v>
      </c>
      <c r="ET324" s="18" t="str">
        <f>INPUT!FM261</f>
        <v>NA</v>
      </c>
      <c r="EU324" s="96">
        <f>INPUT!FN261</f>
        <v>0</v>
      </c>
      <c r="EV324" s="18" t="str">
        <f>INPUT!FO261</f>
        <v>NA</v>
      </c>
      <c r="EW324" s="96">
        <f>INPUT!FP261</f>
        <v>0</v>
      </c>
      <c r="EX324" s="18" t="str">
        <f>INPUT!FQ261</f>
        <v>NA</v>
      </c>
      <c r="EY324" s="96">
        <f>INPUT!FR261</f>
        <v>9.9</v>
      </c>
      <c r="EZ324" s="18" t="str">
        <f>INPUT!FS261</f>
        <v>NA</v>
      </c>
      <c r="FA324" s="96">
        <f>INPUT!FT261</f>
        <v>14.2</v>
      </c>
      <c r="FB324" s="18">
        <f>INPUT!FU261</f>
        <v>43.434343434343425</v>
      </c>
      <c r="FC324" s="96">
        <f>INPUT!FV261</f>
        <v>203.39999999999998</v>
      </c>
      <c r="FD324" s="18" t="str">
        <f>INPUT!FW261</f>
        <v>NM</v>
      </c>
      <c r="FE324" s="96">
        <f>INPUT!FX261</f>
        <v>0</v>
      </c>
      <c r="FF324" s="18" t="str">
        <f>INPUT!FY261</f>
        <v>NM</v>
      </c>
      <c r="FG324" s="96">
        <f>INPUT!FZ261</f>
        <v>0</v>
      </c>
      <c r="FH324" s="18" t="str">
        <f>INPUT!GA261</f>
        <v>NA</v>
      </c>
      <c r="FI324" s="96">
        <f>INPUT!GB261</f>
        <v>0</v>
      </c>
      <c r="FJ324" s="18" t="str">
        <f>INPUT!GC261</f>
        <v>NA</v>
      </c>
      <c r="FK324" s="96">
        <f>INPUT!GD261</f>
        <v>0</v>
      </c>
      <c r="FL324" s="18" t="str">
        <f>INPUT!GE261</f>
        <v>NA</v>
      </c>
      <c r="FM324" s="96">
        <f>INPUT!GF261</f>
        <v>0</v>
      </c>
      <c r="FN324" s="18" t="str">
        <f>INPUT!GG261</f>
        <v>NA</v>
      </c>
      <c r="FO324" s="96">
        <f>INPUT!GH261</f>
        <v>0</v>
      </c>
      <c r="FP324" s="18" t="str">
        <f>INPUT!GI261</f>
        <v>NA</v>
      </c>
      <c r="FQ324" s="96">
        <f>INPUT!GJ261</f>
        <v>0</v>
      </c>
      <c r="FR324" s="18" t="str">
        <f>INPUT!GK261</f>
        <v>NA</v>
      </c>
      <c r="FS324" s="96">
        <f>INPUT!GL261</f>
        <v>0</v>
      </c>
      <c r="FT324" s="18" t="str">
        <f>INPUT!GM261</f>
        <v>NA</v>
      </c>
      <c r="FU324" s="96">
        <f>INPUT!GN261</f>
        <v>0</v>
      </c>
      <c r="FV324" s="18" t="str">
        <f>INPUT!GO261</f>
        <v>NA</v>
      </c>
      <c r="FW324" s="96">
        <f>INPUT!GP261</f>
        <v>0</v>
      </c>
      <c r="FX324" s="18" t="str">
        <f>INPUT!GQ261</f>
        <v>NA</v>
      </c>
      <c r="FY324" s="96">
        <f>INPUT!GR261</f>
        <v>0</v>
      </c>
      <c r="FZ324" s="18" t="str">
        <f>INPUT!GS261</f>
        <v>NA</v>
      </c>
      <c r="GA324" s="5" t="str">
        <f>INPUT!GT261</f>
        <v>NA</v>
      </c>
    </row>
    <row r="325" spans="1:183" ht="12.75" hidden="1" customHeight="1" outlineLevel="1" x14ac:dyDescent="0.2">
      <c r="A325" s="612" t="str">
        <f>INPUT!B262</f>
        <v>Amortization of Value of Business Acquired (VOBA)</v>
      </c>
      <c r="B325" s="96">
        <f>INPUT!M262</f>
        <v>8.6999999999999993</v>
      </c>
      <c r="C325" s="399" t="str">
        <f>INPUT!N262</f>
        <v>NA</v>
      </c>
      <c r="D325" s="96">
        <f>INPUT!O262</f>
        <v>9.4</v>
      </c>
      <c r="E325" s="5" t="str">
        <f>INPUT!P262</f>
        <v>NA</v>
      </c>
      <c r="F325" s="96">
        <f>INPUT!Q262</f>
        <v>9.1</v>
      </c>
      <c r="G325" s="5" t="str">
        <f>INPUT!R262</f>
        <v>NA</v>
      </c>
      <c r="H325" s="96">
        <f>INPUT!S262</f>
        <v>7.7</v>
      </c>
      <c r="I325" s="5" t="str">
        <f>INPUT!T262</f>
        <v>NA</v>
      </c>
      <c r="J325" s="96">
        <f>INPUT!U262</f>
        <v>8.4</v>
      </c>
      <c r="K325" s="5">
        <f>INPUT!V262</f>
        <v>-3.4482758620689502</v>
      </c>
      <c r="L325" s="96">
        <f>INPUT!W262</f>
        <v>8.9</v>
      </c>
      <c r="M325" s="5">
        <f>INPUT!X262</f>
        <v>-5.3191489361702153</v>
      </c>
      <c r="N325" s="96">
        <f>INPUT!Y262</f>
        <v>8.4</v>
      </c>
      <c r="O325" s="5">
        <f>INPUT!Z262</f>
        <v>-7.6923076923076872</v>
      </c>
      <c r="P325" s="96">
        <f>INPUT!AA262</f>
        <v>7</v>
      </c>
      <c r="Q325" s="5">
        <f>INPUT!AB262</f>
        <v>-9.0909090909090935</v>
      </c>
      <c r="R325" s="96">
        <f>INPUT!AC262</f>
        <v>856.4</v>
      </c>
      <c r="S325" s="5" t="str">
        <f>INPUT!AD262</f>
        <v>NM</v>
      </c>
      <c r="T325" s="96">
        <f>INPUT!AE262</f>
        <v>0</v>
      </c>
      <c r="U325" s="5" t="str">
        <f>INPUT!AF262</f>
        <v>NM</v>
      </c>
      <c r="V325" s="96">
        <f>INPUT!AG262</f>
        <v>0</v>
      </c>
      <c r="W325" s="5" t="str">
        <f>INPUT!AH262</f>
        <v>NM</v>
      </c>
      <c r="X325" s="96">
        <f>INPUT!AI262</f>
        <v>0</v>
      </c>
      <c r="Y325" s="5" t="str">
        <f>INPUT!AJ262</f>
        <v>NM</v>
      </c>
      <c r="Z325" s="96">
        <f>INPUT!AK262</f>
        <v>0</v>
      </c>
      <c r="AA325" s="5" t="str">
        <f>INPUT!AL262</f>
        <v>NM</v>
      </c>
      <c r="AB325" s="96">
        <f>INPUT!AM262</f>
        <v>0</v>
      </c>
      <c r="AC325" s="5" t="str">
        <f>INPUT!AN262</f>
        <v>NA</v>
      </c>
      <c r="AD325" s="96">
        <f>INPUT!AO262</f>
        <v>0</v>
      </c>
      <c r="AE325" s="5" t="str">
        <f>INPUT!AP262</f>
        <v>NA</v>
      </c>
      <c r="AF325" s="96">
        <f>INPUT!AQ262</f>
        <v>0</v>
      </c>
      <c r="AG325" s="5" t="str">
        <f>INPUT!AR262</f>
        <v>NA</v>
      </c>
      <c r="AH325" s="96">
        <f>INPUT!AS262</f>
        <v>0</v>
      </c>
      <c r="AI325" s="5" t="str">
        <f>INPUT!AT262</f>
        <v>NA</v>
      </c>
      <c r="AJ325" s="96">
        <f>INPUT!AU262</f>
        <v>0</v>
      </c>
      <c r="AK325" s="5" t="str">
        <f>INPUT!AV262</f>
        <v>NA</v>
      </c>
      <c r="AL325" s="96">
        <f>INPUT!AW262</f>
        <v>0</v>
      </c>
      <c r="AM325" s="5" t="str">
        <f>INPUT!AX262</f>
        <v>NA</v>
      </c>
      <c r="AN325" s="96">
        <f>INPUT!AY262</f>
        <v>0</v>
      </c>
      <c r="AO325" s="18" t="str">
        <f>INPUT!AZ262</f>
        <v>NA</v>
      </c>
      <c r="AP325" s="96">
        <f>INPUT!BA262</f>
        <v>0</v>
      </c>
      <c r="AQ325" s="18" t="str">
        <f>INPUT!BB262</f>
        <v>NA</v>
      </c>
      <c r="AR325" s="96">
        <f>INPUT!BC262</f>
        <v>0</v>
      </c>
      <c r="AS325" s="18" t="str">
        <f>INPUT!BD262</f>
        <v>NA</v>
      </c>
      <c r="AT325" s="96">
        <f>INPUT!BE262</f>
        <v>0</v>
      </c>
      <c r="AU325" s="18" t="str">
        <f>INPUT!BF262</f>
        <v>NA</v>
      </c>
      <c r="AV325" s="96">
        <f>INPUT!BG262</f>
        <v>0</v>
      </c>
      <c r="AW325" s="18" t="str">
        <f>INPUT!BH262</f>
        <v>NA</v>
      </c>
      <c r="AX325" s="96">
        <f>INPUT!BI262</f>
        <v>0</v>
      </c>
      <c r="AY325" s="18" t="str">
        <f>INPUT!BJ262</f>
        <v>NA</v>
      </c>
      <c r="AZ325" s="96">
        <f>INPUT!BK262</f>
        <v>0</v>
      </c>
      <c r="BA325" s="18" t="str">
        <f>INPUT!BL262</f>
        <v>NA</v>
      </c>
      <c r="BB325" s="96">
        <f>INPUT!BM262</f>
        <v>0</v>
      </c>
      <c r="BC325" s="18" t="str">
        <f>INPUT!BN262</f>
        <v>NA</v>
      </c>
      <c r="BD325" s="96">
        <f>INPUT!BO262</f>
        <v>0</v>
      </c>
      <c r="BE325" s="18" t="str">
        <f>INPUT!BP262</f>
        <v>NA</v>
      </c>
      <c r="BF325" s="96">
        <f>INPUT!BQ262</f>
        <v>0</v>
      </c>
      <c r="BG325" s="18" t="str">
        <f>INPUT!BR262</f>
        <v>NA</v>
      </c>
      <c r="BH325" s="96">
        <f>INPUT!BS262</f>
        <v>0</v>
      </c>
      <c r="BI325" s="18" t="str">
        <f>INPUT!BT262</f>
        <v>NA</v>
      </c>
      <c r="BJ325" s="96">
        <f>INPUT!BU262</f>
        <v>0</v>
      </c>
      <c r="BK325" s="18" t="str">
        <f>INPUT!BV262</f>
        <v>NA</v>
      </c>
      <c r="BL325" s="96">
        <f>INPUT!BW262</f>
        <v>0</v>
      </c>
      <c r="BM325" s="18" t="str">
        <f>INPUT!BX262</f>
        <v>NA</v>
      </c>
      <c r="BN325" s="96">
        <f>INPUT!BY262</f>
        <v>0</v>
      </c>
      <c r="BO325" s="18" t="str">
        <f>INPUT!BZ262</f>
        <v>NA</v>
      </c>
      <c r="BP325" s="96">
        <f>INPUT!CA262</f>
        <v>0</v>
      </c>
      <c r="BQ325" s="18" t="str">
        <f>INPUT!CB262</f>
        <v>NA</v>
      </c>
      <c r="BR325" s="96">
        <f>INPUT!CC262</f>
        <v>0</v>
      </c>
      <c r="BS325" s="18" t="str">
        <f>INPUT!CD262</f>
        <v>NA</v>
      </c>
      <c r="BT325" s="96">
        <f>INPUT!CE262</f>
        <v>0</v>
      </c>
      <c r="BU325" s="18" t="str">
        <f>INPUT!CF262</f>
        <v>NA</v>
      </c>
      <c r="BV325" s="96">
        <f>INPUT!CG262</f>
        <v>0</v>
      </c>
      <c r="BW325" s="18" t="str">
        <f>INPUT!CH262</f>
        <v>NA</v>
      </c>
      <c r="BX325" s="96">
        <f>INPUT!CI262</f>
        <v>0</v>
      </c>
      <c r="BY325" s="18" t="str">
        <f>INPUT!CJ262</f>
        <v>NA</v>
      </c>
      <c r="BZ325" s="96">
        <f>INPUT!CK262</f>
        <v>0</v>
      </c>
      <c r="CA325" s="18" t="str">
        <f>INPUT!CL262</f>
        <v>NA</v>
      </c>
      <c r="CB325" s="96">
        <f>INPUT!CM262</f>
        <v>0</v>
      </c>
      <c r="CC325" s="18" t="str">
        <f>INPUT!CN262</f>
        <v>NA</v>
      </c>
      <c r="CD325" s="96">
        <f>INPUT!CO262</f>
        <v>0</v>
      </c>
      <c r="CE325" s="18" t="str">
        <f>INPUT!CP262</f>
        <v>NA</v>
      </c>
      <c r="CF325" s="96">
        <f>INPUT!CQ262</f>
        <v>0</v>
      </c>
      <c r="CG325" s="18" t="str">
        <f>INPUT!CR262</f>
        <v>NA</v>
      </c>
      <c r="CH325" s="96">
        <f>INPUT!CS262</f>
        <v>0</v>
      </c>
      <c r="CI325" s="18" t="str">
        <f>INPUT!CT262</f>
        <v>NA</v>
      </c>
      <c r="CJ325" s="96">
        <f>INPUT!CU262</f>
        <v>0</v>
      </c>
      <c r="CK325" s="18" t="str">
        <f>INPUT!CV262</f>
        <v>NA</v>
      </c>
      <c r="CL325" s="96">
        <f>INPUT!CW262</f>
        <v>0</v>
      </c>
      <c r="CM325" s="18" t="str">
        <f>INPUT!CX262</f>
        <v>NA</v>
      </c>
      <c r="CN325" s="96">
        <f>INPUT!CY262</f>
        <v>0</v>
      </c>
      <c r="CO325" s="18" t="str">
        <f>INPUT!CZ262</f>
        <v>NA</v>
      </c>
      <c r="CP325" s="96">
        <f>INPUT!DA262</f>
        <v>0</v>
      </c>
      <c r="CQ325" s="18" t="str">
        <f>INPUT!DB262</f>
        <v>NA</v>
      </c>
      <c r="CR325" s="96">
        <f>INPUT!DC262</f>
        <v>0</v>
      </c>
      <c r="CS325" s="18" t="str">
        <f>INPUT!DD262</f>
        <v>NA</v>
      </c>
      <c r="CT325" s="96">
        <f>INPUT!DE262</f>
        <v>0</v>
      </c>
      <c r="CU325" s="18" t="str">
        <f>INPUT!DF262</f>
        <v>NA</v>
      </c>
      <c r="CV325" s="96">
        <f>INPUT!DG262</f>
        <v>0</v>
      </c>
      <c r="CW325" s="18" t="str">
        <f>INPUT!DH262</f>
        <v>NA</v>
      </c>
      <c r="CX325" s="96">
        <f>INPUT!DI262</f>
        <v>0</v>
      </c>
      <c r="CY325" s="18" t="str">
        <f>INPUT!DJ262</f>
        <v>NA</v>
      </c>
      <c r="CZ325" s="96">
        <f>INPUT!DK262</f>
        <v>0</v>
      </c>
      <c r="DA325" s="18" t="str">
        <f>INPUT!DL262</f>
        <v>NA</v>
      </c>
      <c r="DB325" s="96">
        <f>INPUT!DM262</f>
        <v>0</v>
      </c>
      <c r="DC325" s="18" t="str">
        <f>INPUT!DN262</f>
        <v>NA</v>
      </c>
      <c r="DD325" s="96">
        <f>INPUT!DO262</f>
        <v>0</v>
      </c>
      <c r="DE325" s="18" t="str">
        <f>INPUT!DP262</f>
        <v>NA</v>
      </c>
      <c r="DF325" s="96">
        <f>INPUT!DQ262</f>
        <v>0</v>
      </c>
      <c r="DG325" s="18" t="str">
        <f>INPUT!DR262</f>
        <v>NA</v>
      </c>
      <c r="DH325" s="96">
        <f>INPUT!DS262</f>
        <v>0</v>
      </c>
      <c r="DI325" s="18" t="str">
        <f>INPUT!DT262</f>
        <v>NA</v>
      </c>
      <c r="DJ325" s="96">
        <f>INPUT!DU262</f>
        <v>0</v>
      </c>
      <c r="DK325" s="18" t="str">
        <f>INPUT!DV262</f>
        <v>NA</v>
      </c>
      <c r="DL325" s="96">
        <f>INPUT!DW262</f>
        <v>0</v>
      </c>
      <c r="DM325" s="18" t="str">
        <f>INPUT!DX262</f>
        <v>NA</v>
      </c>
      <c r="DN325" s="96">
        <f>INPUT!DY262</f>
        <v>0</v>
      </c>
      <c r="DO325" s="18" t="str">
        <f>INPUT!DZ262</f>
        <v>NA</v>
      </c>
      <c r="DP325" s="96">
        <f>INPUT!EA262</f>
        <v>0</v>
      </c>
      <c r="DQ325" s="18" t="str">
        <f>INPUT!EB262</f>
        <v>NA</v>
      </c>
      <c r="DR325" s="96">
        <f>INPUT!EC262</f>
        <v>0</v>
      </c>
      <c r="DS325" s="18" t="str">
        <f>INPUT!ED262</f>
        <v>NA</v>
      </c>
      <c r="DT325" s="96">
        <f>INPUT!EE262</f>
        <v>0</v>
      </c>
      <c r="DU325" s="18" t="str">
        <f>INPUT!EF262</f>
        <v>NA</v>
      </c>
      <c r="DV325" s="96">
        <f>INPUT!EG262</f>
        <v>0</v>
      </c>
      <c r="DW325" s="18" t="str">
        <f>INPUT!EH262</f>
        <v>NA</v>
      </c>
      <c r="DX325" s="96">
        <f>INPUT!EI262</f>
        <v>0</v>
      </c>
      <c r="DY325" s="18" t="str">
        <f>INPUT!EJ262</f>
        <v>NA</v>
      </c>
      <c r="DZ325" s="96">
        <f>INPUT!EK262</f>
        <v>0</v>
      </c>
      <c r="EA325" s="18" t="str">
        <f>INPUT!EL262</f>
        <v>NA</v>
      </c>
      <c r="EB325" s="96">
        <f>INPUT!EM262</f>
        <v>0</v>
      </c>
      <c r="EC325" s="18" t="str">
        <f>INPUT!EN262</f>
        <v>NA</v>
      </c>
      <c r="ED325" s="96">
        <f>INPUT!EO262</f>
        <v>0</v>
      </c>
      <c r="EE325" s="18" t="str">
        <f>INPUT!EP262</f>
        <v>NA</v>
      </c>
      <c r="EF325" s="96">
        <f>INPUT!EQ262</f>
        <v>0</v>
      </c>
      <c r="EG325" s="18" t="str">
        <f>INPUT!ER262</f>
        <v>NA</v>
      </c>
      <c r="EH325" s="18"/>
      <c r="EI325" s="96">
        <f>INPUT!FB262</f>
        <v>0</v>
      </c>
      <c r="EJ325" s="5">
        <f>INPUT!FC262</f>
        <v>0</v>
      </c>
      <c r="EK325" s="96">
        <f>INPUT!FD262</f>
        <v>34.900000000000006</v>
      </c>
      <c r="EL325" s="5" t="str">
        <f>INPUT!FE262</f>
        <v>NA</v>
      </c>
      <c r="EM325" s="96">
        <f>INPUT!FF262</f>
        <v>32.700000000000003</v>
      </c>
      <c r="EN325" s="5">
        <f>INPUT!FG262</f>
        <v>-6.3037249283667718</v>
      </c>
      <c r="EO325" s="96">
        <f>INPUT!FH262</f>
        <v>856.4</v>
      </c>
      <c r="EP325" s="5" t="str">
        <f>INPUT!FI262</f>
        <v>NM</v>
      </c>
      <c r="EQ325" s="96">
        <f>INPUT!FJ262</f>
        <v>0</v>
      </c>
      <c r="ER325" s="18" t="str">
        <f>INPUT!FK262</f>
        <v>NM</v>
      </c>
      <c r="ES325" s="96">
        <f>INPUT!FL262</f>
        <v>0</v>
      </c>
      <c r="ET325" s="18" t="str">
        <f>INPUT!FM262</f>
        <v>NA</v>
      </c>
      <c r="EU325" s="96">
        <f>INPUT!FN262</f>
        <v>0</v>
      </c>
      <c r="EV325" s="18" t="str">
        <f>INPUT!FO262</f>
        <v>NA</v>
      </c>
      <c r="EW325" s="96">
        <f>INPUT!FP262</f>
        <v>0</v>
      </c>
      <c r="EX325" s="18" t="str">
        <f>INPUT!FQ262</f>
        <v>NA</v>
      </c>
      <c r="EY325" s="96">
        <f>INPUT!FR262</f>
        <v>0</v>
      </c>
      <c r="EZ325" s="18" t="str">
        <f>INPUT!FS262</f>
        <v>NA</v>
      </c>
      <c r="FA325" s="96">
        <f>INPUT!FT262</f>
        <v>0</v>
      </c>
      <c r="FB325" s="18" t="str">
        <f>INPUT!FU262</f>
        <v>NA</v>
      </c>
      <c r="FC325" s="96">
        <f>INPUT!FV262</f>
        <v>0</v>
      </c>
      <c r="FD325" s="18" t="str">
        <f>INPUT!FW262</f>
        <v>NA</v>
      </c>
      <c r="FE325" s="96">
        <f>INPUT!FX262</f>
        <v>0</v>
      </c>
      <c r="FF325" s="18" t="str">
        <f>INPUT!FY262</f>
        <v>NA</v>
      </c>
      <c r="FG325" s="96">
        <f>INPUT!FZ262</f>
        <v>0</v>
      </c>
      <c r="FH325" s="18" t="str">
        <f>INPUT!GA262</f>
        <v>NA</v>
      </c>
      <c r="FI325" s="96">
        <f>INPUT!GB262</f>
        <v>0</v>
      </c>
      <c r="FJ325" s="18" t="str">
        <f>INPUT!GC262</f>
        <v>NA</v>
      </c>
      <c r="FK325" s="96">
        <f>INPUT!GD262</f>
        <v>0</v>
      </c>
      <c r="FL325" s="18" t="str">
        <f>INPUT!GE262</f>
        <v>NA</v>
      </c>
      <c r="FM325" s="96">
        <f>INPUT!GF262</f>
        <v>0</v>
      </c>
      <c r="FN325" s="18" t="str">
        <f>INPUT!GG262</f>
        <v>NA</v>
      </c>
      <c r="FO325" s="96">
        <f>INPUT!GH262</f>
        <v>0</v>
      </c>
      <c r="FP325" s="18" t="str">
        <f>INPUT!GI262</f>
        <v>NA</v>
      </c>
      <c r="FQ325" s="96">
        <f>INPUT!GJ262</f>
        <v>0</v>
      </c>
      <c r="FR325" s="18" t="str">
        <f>INPUT!GK262</f>
        <v>NA</v>
      </c>
      <c r="FS325" s="96">
        <f>INPUT!GL262</f>
        <v>0</v>
      </c>
      <c r="FT325" s="18" t="str">
        <f>INPUT!GM262</f>
        <v>NA</v>
      </c>
      <c r="FU325" s="96">
        <f>INPUT!GN262</f>
        <v>0</v>
      </c>
      <c r="FV325" s="18" t="str">
        <f>INPUT!GO262</f>
        <v>NA</v>
      </c>
      <c r="FW325" s="96">
        <f>INPUT!GP262</f>
        <v>0</v>
      </c>
      <c r="FX325" s="18" t="str">
        <f>INPUT!GQ262</f>
        <v>NA</v>
      </c>
      <c r="FY325" s="96">
        <f>INPUT!GR262</f>
        <v>0</v>
      </c>
      <c r="FZ325" s="18" t="str">
        <f>INPUT!GS262</f>
        <v>NA</v>
      </c>
      <c r="GA325" s="5" t="str">
        <f>INPUT!GT262</f>
        <v>NA</v>
      </c>
    </row>
    <row r="326" spans="1:183" ht="12.75" hidden="1" customHeight="1" outlineLevel="1" x14ac:dyDescent="0.2">
      <c r="A326" s="612" t="str">
        <f>INPUT!B263</f>
        <v>Operating Expenses</v>
      </c>
      <c r="B326" s="96">
        <f>INPUT!M263</f>
        <v>59</v>
      </c>
      <c r="C326" s="399" t="str">
        <f>INPUT!N263</f>
        <v>NA</v>
      </c>
      <c r="D326" s="96">
        <f>INPUT!O263</f>
        <v>51.1</v>
      </c>
      <c r="E326" s="5" t="str">
        <f>INPUT!P263</f>
        <v>NA</v>
      </c>
      <c r="F326" s="96">
        <f>INPUT!Q263</f>
        <v>52.7</v>
      </c>
      <c r="G326" s="5" t="str">
        <f>INPUT!R263</f>
        <v>NA</v>
      </c>
      <c r="H326" s="96">
        <f>INPUT!S263</f>
        <v>49.6</v>
      </c>
      <c r="I326" s="5" t="str">
        <f>INPUT!T263</f>
        <v>NA</v>
      </c>
      <c r="J326" s="96">
        <f>INPUT!U263</f>
        <v>53</v>
      </c>
      <c r="K326" s="5">
        <f>INPUT!V263</f>
        <v>-10.169491525423723</v>
      </c>
      <c r="L326" s="96">
        <f>INPUT!W263</f>
        <v>52.3</v>
      </c>
      <c r="M326" s="5">
        <f>INPUT!X263</f>
        <v>2.3483365949119372</v>
      </c>
      <c r="N326" s="96">
        <f>INPUT!Y263</f>
        <v>50.6</v>
      </c>
      <c r="O326" s="5">
        <f>INPUT!Z263</f>
        <v>-3.9848197343453573</v>
      </c>
      <c r="P326" s="96">
        <f>INPUT!AA263</f>
        <v>44.6</v>
      </c>
      <c r="Q326" s="5">
        <f>INPUT!AB263</f>
        <v>-10.080645161290324</v>
      </c>
      <c r="R326" s="96">
        <f>INPUT!AC263</f>
        <v>40.9</v>
      </c>
      <c r="S326" s="5">
        <f>INPUT!AD263</f>
        <v>-22.830188679245289</v>
      </c>
      <c r="T326" s="96">
        <f>INPUT!AE263</f>
        <v>39.5</v>
      </c>
      <c r="U326" s="5">
        <f>INPUT!AF263</f>
        <v>-24.474187380497124</v>
      </c>
      <c r="V326" s="96">
        <f>INPUT!AG263</f>
        <v>36.700000000000003</v>
      </c>
      <c r="W326" s="5">
        <f>INPUT!AH263</f>
        <v>-27.470355731225293</v>
      </c>
      <c r="X326" s="96">
        <f>INPUT!AI263</f>
        <v>40.1</v>
      </c>
      <c r="Y326" s="5">
        <f>INPUT!AJ263</f>
        <v>-10.089686098654704</v>
      </c>
      <c r="Z326" s="96">
        <f>INPUT!AK263</f>
        <v>33.5</v>
      </c>
      <c r="AA326" s="5">
        <f>INPUT!AL263</f>
        <v>-18.092909535452318</v>
      </c>
      <c r="AB326" s="96">
        <f>INPUT!AM263</f>
        <v>41.3</v>
      </c>
      <c r="AC326" s="5">
        <f>INPUT!AN263</f>
        <v>4.5569620253164578</v>
      </c>
      <c r="AD326" s="96">
        <f>INPUT!AO263</f>
        <v>36</v>
      </c>
      <c r="AE326" s="5">
        <f>INPUT!AP263</f>
        <v>-1.9073569482288888</v>
      </c>
      <c r="AF326" s="96">
        <f>INPUT!AQ263</f>
        <v>37.4</v>
      </c>
      <c r="AG326" s="5">
        <f>INPUT!AR263</f>
        <v>-6.7331670822942673</v>
      </c>
      <c r="AH326" s="96">
        <f>INPUT!AS263</f>
        <v>33.9</v>
      </c>
      <c r="AI326" s="5">
        <f>INPUT!AT263</f>
        <v>1.1940298507462588</v>
      </c>
      <c r="AJ326" s="96">
        <f>INPUT!AU263</f>
        <v>35</v>
      </c>
      <c r="AK326" s="5">
        <f>INPUT!AV263</f>
        <v>-15.254237288135586</v>
      </c>
      <c r="AL326" s="96">
        <f>INPUT!AW263</f>
        <v>34.700000000000003</v>
      </c>
      <c r="AM326" s="5">
        <f>INPUT!AX263</f>
        <v>-3.6111111111110983</v>
      </c>
      <c r="AN326" s="96">
        <f>INPUT!AY263</f>
        <v>35.799999999999997</v>
      </c>
      <c r="AO326" s="18">
        <f>INPUT!AZ263</f>
        <v>-4.2780748663101669</v>
      </c>
      <c r="AP326" s="96">
        <f>INPUT!BA263</f>
        <v>35.799999999999997</v>
      </c>
      <c r="AQ326" s="18">
        <f>INPUT!BB263</f>
        <v>5.6047197640118007</v>
      </c>
      <c r="AR326" s="96">
        <f>INPUT!BC263</f>
        <v>31.2</v>
      </c>
      <c r="AS326" s="18">
        <f>INPUT!BD263</f>
        <v>-10.857142857142854</v>
      </c>
      <c r="AT326" s="96">
        <f>INPUT!BE263</f>
        <v>34.299999999999997</v>
      </c>
      <c r="AU326" s="18">
        <f>INPUT!BF263</f>
        <v>-1.1527377521614035</v>
      </c>
      <c r="AV326" s="96">
        <f>INPUT!BG263</f>
        <v>46.8</v>
      </c>
      <c r="AW326" s="18">
        <f>INPUT!BH263</f>
        <v>30.72625698324023</v>
      </c>
      <c r="AX326" s="96">
        <f>INPUT!BI263</f>
        <v>46.9</v>
      </c>
      <c r="AY326" s="18">
        <f>INPUT!BJ263</f>
        <v>31.00558659217878</v>
      </c>
      <c r="AZ326" s="96">
        <f>INPUT!BK263</f>
        <v>45.500000000000007</v>
      </c>
      <c r="BA326" s="18">
        <f>INPUT!BL263</f>
        <v>45.833333333333371</v>
      </c>
      <c r="BB326" s="96">
        <f>INPUT!BM263</f>
        <v>48.300000000000004</v>
      </c>
      <c r="BC326" s="18">
        <f>INPUT!BN263</f>
        <v>40.816326530612265</v>
      </c>
      <c r="BD326" s="96">
        <f>INPUT!BO263</f>
        <v>42.5</v>
      </c>
      <c r="BE326" s="18">
        <f>INPUT!BP263</f>
        <v>-9.1880341880341767</v>
      </c>
      <c r="BF326" s="96">
        <f>INPUT!BQ263</f>
        <v>40.099999999999994</v>
      </c>
      <c r="BG326" s="18">
        <f>INPUT!BR263</f>
        <v>-14.498933901918987</v>
      </c>
      <c r="BH326" s="96">
        <f>INPUT!BS263</f>
        <v>40.099999999999994</v>
      </c>
      <c r="BI326" s="18">
        <f>INPUT!BT263</f>
        <v>-11.868131868131893</v>
      </c>
      <c r="BJ326" s="96">
        <f>INPUT!BU263</f>
        <v>39.1</v>
      </c>
      <c r="BK326" s="18">
        <f>INPUT!BV263</f>
        <v>-19.047619047619047</v>
      </c>
      <c r="BL326" s="96">
        <f>INPUT!BW263</f>
        <v>38.6</v>
      </c>
      <c r="BM326" s="18">
        <f>INPUT!BX263</f>
        <v>-9.1764705882352864</v>
      </c>
      <c r="BN326" s="96">
        <f>INPUT!BY263</f>
        <v>54.199999999999996</v>
      </c>
      <c r="BO326" s="18">
        <f>INPUT!BZ263</f>
        <v>35.162094763092291</v>
      </c>
      <c r="BP326" s="96">
        <f>INPUT!CA263</f>
        <v>64.7</v>
      </c>
      <c r="BQ326" s="18">
        <f>INPUT!CB263</f>
        <v>61.346633416458872</v>
      </c>
      <c r="BR326" s="96">
        <f>INPUT!CC263</f>
        <v>49.9</v>
      </c>
      <c r="BS326" s="18">
        <f>INPUT!CD263</f>
        <v>27.621483375959066</v>
      </c>
      <c r="BT326" s="96">
        <f>INPUT!CE263</f>
        <v>50.8</v>
      </c>
      <c r="BU326" s="18">
        <f>INPUT!CF263</f>
        <v>31.606217616580288</v>
      </c>
      <c r="BV326" s="96">
        <f>INPUT!CG263</f>
        <v>48.5</v>
      </c>
      <c r="BW326" s="18">
        <f>INPUT!CH263</f>
        <v>-10.516605166051651</v>
      </c>
      <c r="BX326" s="96">
        <f>INPUT!CI263</f>
        <v>48.300000000000004</v>
      </c>
      <c r="BY326" s="18">
        <f>INPUT!CJ263</f>
        <v>-25.347758887171558</v>
      </c>
      <c r="BZ326" s="96">
        <f>INPUT!CK263</f>
        <v>47</v>
      </c>
      <c r="CA326" s="18">
        <f>INPUT!CL263</f>
        <v>-5.8116232464929807</v>
      </c>
      <c r="CB326" s="96">
        <f>INPUT!CM263</f>
        <v>46.7</v>
      </c>
      <c r="CC326" s="18">
        <f>INPUT!CN263</f>
        <v>-8.0708661417322691</v>
      </c>
      <c r="CD326" s="96">
        <f>INPUT!CO263</f>
        <v>47.800000000000004</v>
      </c>
      <c r="CE326" s="18">
        <f>INPUT!CP263</f>
        <v>-1.4432989690721598</v>
      </c>
      <c r="CF326" s="96">
        <f>INPUT!CQ263</f>
        <v>45</v>
      </c>
      <c r="CG326" s="18">
        <f>INPUT!CR263</f>
        <v>-6.8322981366459761</v>
      </c>
      <c r="CH326" s="96">
        <f>INPUT!CS263</f>
        <v>42.3</v>
      </c>
      <c r="CI326" s="18">
        <f>INPUT!CT263</f>
        <v>-10.000000000000009</v>
      </c>
      <c r="CJ326" s="96">
        <f>INPUT!CU263</f>
        <v>43</v>
      </c>
      <c r="CK326" s="18">
        <f>INPUT!CV263</f>
        <v>-7.9229122055674566</v>
      </c>
      <c r="CL326" s="96">
        <f>INPUT!CW263</f>
        <v>42.900000000000006</v>
      </c>
      <c r="CM326" s="18">
        <f>INPUT!CX263</f>
        <v>-10.251046025104593</v>
      </c>
      <c r="CN326" s="96">
        <f>INPUT!CY263</f>
        <v>41</v>
      </c>
      <c r="CO326" s="18">
        <f>INPUT!CZ263</f>
        <v>-8.8888888888888911</v>
      </c>
      <c r="CP326" s="96">
        <f>INPUT!DA263</f>
        <v>42.1</v>
      </c>
      <c r="CQ326" s="18">
        <f>INPUT!DB263</f>
        <v>-0.47281323877067516</v>
      </c>
      <c r="CR326" s="96">
        <f>INPUT!DC263</f>
        <v>42.8</v>
      </c>
      <c r="CS326" s="18">
        <f>INPUT!DD263</f>
        <v>-0.46511627906977715</v>
      </c>
      <c r="CT326" s="96">
        <f>INPUT!DE263</f>
        <v>45</v>
      </c>
      <c r="CU326" s="18">
        <f>INPUT!DF263</f>
        <v>4.8951048951048737</v>
      </c>
      <c r="CV326" s="96">
        <f>INPUT!DG263</f>
        <v>43.4</v>
      </c>
      <c r="CW326" s="18">
        <f>INPUT!DH263</f>
        <v>5.8536585365853711</v>
      </c>
      <c r="CX326" s="96">
        <f>INPUT!DI263</f>
        <v>42.5</v>
      </c>
      <c r="CY326" s="18">
        <f>INPUT!DJ263</f>
        <v>0.95011876484560887</v>
      </c>
      <c r="CZ326" s="96">
        <f>INPUT!DK263</f>
        <v>44.599999999999994</v>
      </c>
      <c r="DA326" s="18">
        <f>INPUT!DL263</f>
        <v>4.2056074766354978</v>
      </c>
      <c r="DB326" s="96">
        <f>INPUT!DM263</f>
        <v>43.5</v>
      </c>
      <c r="DC326" s="18">
        <f>INPUT!DN263</f>
        <v>-3.3333333333333326</v>
      </c>
      <c r="DD326" s="96">
        <f>INPUT!DO263</f>
        <v>43.7</v>
      </c>
      <c r="DE326" s="18">
        <f>INPUT!DP263</f>
        <v>0.69124423963133896</v>
      </c>
      <c r="DF326" s="96">
        <f>INPUT!DQ263</f>
        <v>41.9</v>
      </c>
      <c r="DG326" s="18">
        <f>INPUT!DR263</f>
        <v>-1.4117647058823568</v>
      </c>
      <c r="DH326" s="96">
        <f>INPUT!DS263</f>
        <v>41.6</v>
      </c>
      <c r="DI326" s="18">
        <f>INPUT!DT263</f>
        <v>-6.7264573991031256</v>
      </c>
      <c r="DJ326" s="96">
        <f>INPUT!DU263</f>
        <v>39.700000000000003</v>
      </c>
      <c r="DK326" s="18">
        <f>INPUT!DV263</f>
        <v>-8.735632183908038</v>
      </c>
      <c r="DL326" s="96">
        <f>INPUT!DW263</f>
        <v>40.200000000000003</v>
      </c>
      <c r="DM326" s="18">
        <f>INPUT!DX263</f>
        <v>-8.0091533180778001</v>
      </c>
      <c r="DN326" s="96">
        <f>INPUT!DY263</f>
        <v>39.900000000000006</v>
      </c>
      <c r="DO326" s="18">
        <f>INPUT!DZ263</f>
        <v>-4.7732696897374582</v>
      </c>
      <c r="DP326" s="96">
        <f>INPUT!EA263</f>
        <v>41.8</v>
      </c>
      <c r="DQ326" s="18">
        <f>INPUT!EB263</f>
        <v>0.48076923076922906</v>
      </c>
      <c r="DR326" s="96">
        <f>INPUT!EC263</f>
        <v>39.700000000000003</v>
      </c>
      <c r="DS326" s="18">
        <f>INPUT!ED263</f>
        <v>0</v>
      </c>
      <c r="DT326" s="96">
        <f>INPUT!EE263</f>
        <v>39</v>
      </c>
      <c r="DU326" s="18">
        <f>INPUT!EF263</f>
        <v>-2.9850746268656803</v>
      </c>
      <c r="DV326" s="96">
        <f>INPUT!EG263</f>
        <v>38.900000000000006</v>
      </c>
      <c r="DW326" s="18">
        <f>INPUT!EH263</f>
        <v>-2.5062656641604009</v>
      </c>
      <c r="DX326" s="96">
        <f>INPUT!EI263</f>
        <v>39.700000000000003</v>
      </c>
      <c r="DY326" s="18">
        <f>INPUT!EJ263</f>
        <v>-5.0239234449760639</v>
      </c>
      <c r="DZ326" s="96">
        <f>INPUT!EK263</f>
        <v>39.362149773366689</v>
      </c>
      <c r="EA326" s="18">
        <f>INPUT!EL263</f>
        <v>-0.85100812753983179</v>
      </c>
      <c r="EB326" s="96">
        <f>INPUT!EM263</f>
        <v>39.095658458483122</v>
      </c>
      <c r="EC326" s="18">
        <f>INPUT!EN263</f>
        <v>0.24527809867467276</v>
      </c>
      <c r="ED326" s="96">
        <f>INPUT!EO263</f>
        <v>38.830996551194978</v>
      </c>
      <c r="EE326" s="18">
        <f>INPUT!EP263</f>
        <v>-0.17738675785353708</v>
      </c>
      <c r="EF326" s="96">
        <f>INPUT!EQ263</f>
        <v>38.568151331250959</v>
      </c>
      <c r="EG326" s="18">
        <f>INPUT!ER263</f>
        <v>-2.8510042033980887</v>
      </c>
      <c r="EH326" s="18"/>
      <c r="EI326" s="96">
        <f>INPUT!FB263</f>
        <v>0</v>
      </c>
      <c r="EJ326" s="5">
        <f>INPUT!FC263</f>
        <v>0</v>
      </c>
      <c r="EK326" s="96">
        <f>INPUT!FD263</f>
        <v>212.4</v>
      </c>
      <c r="EL326" s="5" t="str">
        <f>INPUT!FE263</f>
        <v>NA</v>
      </c>
      <c r="EM326" s="96">
        <f>INPUT!FF263</f>
        <v>200.5</v>
      </c>
      <c r="EN326" s="5">
        <f>INPUT!FG263</f>
        <v>-5.6026365348399221</v>
      </c>
      <c r="EO326" s="96">
        <f>INPUT!FH263</f>
        <v>157.20000000000002</v>
      </c>
      <c r="EP326" s="5">
        <f>INPUT!FI263</f>
        <v>-21.596009975062337</v>
      </c>
      <c r="EQ326" s="96">
        <f>INPUT!FJ263</f>
        <v>148.19999999999999</v>
      </c>
      <c r="ER326" s="18">
        <f>INPUT!FK263</f>
        <v>-5.7251908396946716</v>
      </c>
      <c r="ES326" s="96">
        <f>INPUT!FL263</f>
        <v>139.4</v>
      </c>
      <c r="ET326" s="18">
        <f>INPUT!FM263</f>
        <v>-5.937921727395401</v>
      </c>
      <c r="EU326" s="96">
        <f>INPUT!FN263</f>
        <v>148.1</v>
      </c>
      <c r="EV326" s="18">
        <f>INPUT!FO263</f>
        <v>6.2410329985652657</v>
      </c>
      <c r="EW326" s="96">
        <f>INPUT!FP263</f>
        <v>183.20000000000002</v>
      </c>
      <c r="EX326" s="18">
        <f>INPUT!FQ263</f>
        <v>23.700202565833916</v>
      </c>
      <c r="EY326" s="96">
        <f>INPUT!FR263</f>
        <v>227.79999999999998</v>
      </c>
      <c r="EZ326" s="18">
        <f>INPUT!FS263</f>
        <v>24.344978165938834</v>
      </c>
      <c r="FA326" s="96">
        <f>INPUT!FT263</f>
        <v>219.60000000000002</v>
      </c>
      <c r="FB326" s="18">
        <f>INPUT!FU263</f>
        <v>-3.5996488147497674</v>
      </c>
      <c r="FC326" s="96">
        <f>INPUT!FV263</f>
        <v>190.5</v>
      </c>
      <c r="FD326" s="18">
        <f>INPUT!FW263</f>
        <v>-13.251366120218588</v>
      </c>
      <c r="FE326" s="96">
        <f>INPUT!FX263</f>
        <v>178.10000000000002</v>
      </c>
      <c r="FF326" s="18">
        <f>INPUT!FY263</f>
        <v>-6.5091863517060204</v>
      </c>
      <c r="FG326" s="96">
        <f>INPUT!FZ263</f>
        <v>168.8</v>
      </c>
      <c r="FH326" s="18">
        <f>INPUT!GA263</f>
        <v>-5.2217855137563269</v>
      </c>
      <c r="FI326" s="96">
        <f>INPUT!GB263</f>
        <v>175.5</v>
      </c>
      <c r="FJ326" s="18">
        <f>INPUT!GC263</f>
        <v>3.9691943127962093</v>
      </c>
      <c r="FK326" s="96">
        <f>INPUT!GD263</f>
        <v>170.7</v>
      </c>
      <c r="FL326" s="18">
        <f>INPUT!GE263</f>
        <v>-2.7350427350427364</v>
      </c>
      <c r="FM326" s="96">
        <f>INPUT!GF263</f>
        <v>161.60000000000002</v>
      </c>
      <c r="FN326" s="18">
        <f>INPUT!GG263</f>
        <v>-5.330990041007599</v>
      </c>
      <c r="FO326" s="96">
        <f>INPUT!GH263</f>
        <v>157.30000000000001</v>
      </c>
      <c r="FP326" s="18">
        <f>INPUT!GI263</f>
        <v>-2.6608910891089188</v>
      </c>
      <c r="FQ326" s="96">
        <f>INPUT!GJ263</f>
        <v>155.85695611429574</v>
      </c>
      <c r="FR326" s="18">
        <f>INPUT!GK263</f>
        <v>-0.91738327126781316</v>
      </c>
      <c r="FS326" s="96">
        <f>INPUT!GL263</f>
        <v>151.2300254163971</v>
      </c>
      <c r="FT326" s="18">
        <f>INPUT!GM263</f>
        <v>-2.9687033631694559</v>
      </c>
      <c r="FU326" s="96">
        <f>INPUT!GN263</f>
        <v>146.7409270797248</v>
      </c>
      <c r="FV326" s="18">
        <f>INPUT!GO263</f>
        <v>-2.9683909159652688</v>
      </c>
      <c r="FW326" s="96">
        <f>INPUT!GP263</f>
        <v>142.3855456446363</v>
      </c>
      <c r="FX326" s="18">
        <f>INPUT!GQ263</f>
        <v>-2.9680754522712016</v>
      </c>
      <c r="FY326" s="96">
        <f>INPUT!GR263</f>
        <v>138.1598887250544</v>
      </c>
      <c r="FZ326" s="18">
        <f>INPUT!GS263</f>
        <v>-2.9677569450260233</v>
      </c>
      <c r="GA326" s="5">
        <f>INPUT!GT263</f>
        <v>-2.5614863676550637</v>
      </c>
    </row>
    <row r="327" spans="1:183" ht="12.75" hidden="1" customHeight="1" outlineLevel="1" x14ac:dyDescent="0.2">
      <c r="A327" s="612" t="str">
        <f>INPUT!B264</f>
        <v xml:space="preserve"> Total Benefits and Expenses</v>
      </c>
      <c r="B327" s="96">
        <f>INPUT!M264</f>
        <v>457.4</v>
      </c>
      <c r="C327" s="399" t="str">
        <f>INPUT!N264</f>
        <v>NA</v>
      </c>
      <c r="D327" s="96">
        <f>INPUT!O264</f>
        <v>489.5</v>
      </c>
      <c r="E327" s="5" t="str">
        <f>INPUT!P264</f>
        <v>NA</v>
      </c>
      <c r="F327" s="96">
        <f>INPUT!Q264</f>
        <v>486.40000000000003</v>
      </c>
      <c r="G327" s="5" t="str">
        <f>INPUT!R264</f>
        <v>NA</v>
      </c>
      <c r="H327" s="96">
        <f>INPUT!S264</f>
        <v>490.2</v>
      </c>
      <c r="I327" s="5" t="str">
        <f>INPUT!T264</f>
        <v>NA</v>
      </c>
      <c r="J327" s="96">
        <f>INPUT!U264</f>
        <v>470.59999999999997</v>
      </c>
      <c r="K327" s="5">
        <f>INPUT!V264</f>
        <v>2.8858766943594238</v>
      </c>
      <c r="L327" s="96">
        <f>INPUT!W264</f>
        <v>489.40000000000003</v>
      </c>
      <c r="M327" s="5">
        <f>INPUT!X264</f>
        <v>-2.0429009193045911E-2</v>
      </c>
      <c r="N327" s="96">
        <f>INPUT!Y264</f>
        <v>481.09999999999997</v>
      </c>
      <c r="O327" s="5">
        <f>INPUT!Z264</f>
        <v>-1.0896381578947456</v>
      </c>
      <c r="P327" s="96">
        <f>INPUT!AA264</f>
        <v>445.00000000000006</v>
      </c>
      <c r="Q327" s="5">
        <f>INPUT!AB264</f>
        <v>-9.2207262341901135</v>
      </c>
      <c r="R327" s="96">
        <f>INPUT!AC264</f>
        <v>1415.9</v>
      </c>
      <c r="S327" s="5" t="str">
        <f>INPUT!AD264</f>
        <v>NM</v>
      </c>
      <c r="T327" s="96">
        <f>INPUT!AE264</f>
        <v>429.29999999999995</v>
      </c>
      <c r="U327" s="5">
        <f>INPUT!AF264</f>
        <v>-12.280343277482652</v>
      </c>
      <c r="V327" s="96">
        <f>INPUT!AG264</f>
        <v>427.3</v>
      </c>
      <c r="W327" s="5">
        <f>INPUT!AH264</f>
        <v>-11.182706298066925</v>
      </c>
      <c r="X327" s="96">
        <f>INPUT!AI264</f>
        <v>436.3</v>
      </c>
      <c r="Y327" s="5">
        <f>INPUT!AJ264</f>
        <v>-1.9550561797752941</v>
      </c>
      <c r="Z327" s="96">
        <f>INPUT!AK264</f>
        <v>423.5</v>
      </c>
      <c r="AA327" s="5" t="str">
        <f>INPUT!AL264</f>
        <v>NM</v>
      </c>
      <c r="AB327" s="96">
        <f>INPUT!AM264</f>
        <v>414.6</v>
      </c>
      <c r="AC327" s="5">
        <f>INPUT!AN264</f>
        <v>-3.4241788958769948</v>
      </c>
      <c r="AD327" s="96">
        <f>INPUT!AO264</f>
        <v>446.5</v>
      </c>
      <c r="AE327" s="5">
        <f>INPUT!AP264</f>
        <v>4.4933302129651187</v>
      </c>
      <c r="AF327" s="96">
        <f>INPUT!AQ264</f>
        <v>478.09999999999997</v>
      </c>
      <c r="AG327" s="5">
        <f>INPUT!AR264</f>
        <v>9.5805638322255184</v>
      </c>
      <c r="AH327" s="96">
        <f>INPUT!AS264</f>
        <v>471.59999999999997</v>
      </c>
      <c r="AI327" s="5">
        <f>INPUT!AT264</f>
        <v>11.357733175914998</v>
      </c>
      <c r="AJ327" s="96">
        <f>INPUT!AU264</f>
        <v>468.9</v>
      </c>
      <c r="AK327" s="5">
        <f>INPUT!AV264</f>
        <v>13.096960926193901</v>
      </c>
      <c r="AL327" s="96">
        <f>INPUT!AW264</f>
        <v>461.6</v>
      </c>
      <c r="AM327" s="5">
        <f>INPUT!AX264</f>
        <v>3.3818589025755852</v>
      </c>
      <c r="AN327" s="96">
        <f>INPUT!AY264</f>
        <v>476</v>
      </c>
      <c r="AO327" s="18">
        <f>INPUT!AZ264</f>
        <v>-0.43923865300146137</v>
      </c>
      <c r="AP327" s="96">
        <f>INPUT!BA264</f>
        <v>459.7</v>
      </c>
      <c r="AQ327" s="18">
        <f>INPUT!BB264</f>
        <v>-2.5233248515691198</v>
      </c>
      <c r="AR327" s="96">
        <f>INPUT!BC264</f>
        <v>449.2</v>
      </c>
      <c r="AS327" s="18">
        <f>INPUT!BD264</f>
        <v>-4.2013222435487325</v>
      </c>
      <c r="AT327" s="96">
        <f>INPUT!BE264</f>
        <v>467.70000000000005</v>
      </c>
      <c r="AU327" s="18">
        <f>INPUT!BF264</f>
        <v>1.3214904679376138</v>
      </c>
      <c r="AV327" s="96">
        <f>INPUT!BG264</f>
        <v>468.3</v>
      </c>
      <c r="AW327" s="18">
        <f>INPUT!BH264</f>
        <v>-1.6176470588235237</v>
      </c>
      <c r="AX327" s="96">
        <f>INPUT!BI264</f>
        <v>450.5</v>
      </c>
      <c r="AY327" s="18">
        <f>INPUT!BJ264</f>
        <v>-2.0013051990428465</v>
      </c>
      <c r="AZ327" s="96">
        <f>INPUT!BK264</f>
        <v>445.8</v>
      </c>
      <c r="BA327" s="18">
        <f>INPUT!BL264</f>
        <v>-0.75690115761353205</v>
      </c>
      <c r="BB327" s="96">
        <f>INPUT!BM264</f>
        <v>448.1</v>
      </c>
      <c r="BC327" s="18">
        <f>INPUT!BN264</f>
        <v>-4.1907205473594278</v>
      </c>
      <c r="BD327" s="96">
        <f>INPUT!BO264</f>
        <v>446.3</v>
      </c>
      <c r="BE327" s="18">
        <f>INPUT!BP264</f>
        <v>-4.6978432628656863</v>
      </c>
      <c r="BF327" s="96">
        <f>INPUT!BQ264</f>
        <v>431.6</v>
      </c>
      <c r="BG327" s="18">
        <f>INPUT!BR264</f>
        <v>-4.1953385127635912</v>
      </c>
      <c r="BH327" s="96">
        <f>INPUT!BS264</f>
        <v>431.20000000000005</v>
      </c>
      <c r="BI327" s="18">
        <f>INPUT!BT264</f>
        <v>-3.2750112157918232</v>
      </c>
      <c r="BJ327" s="96">
        <f>INPUT!BU264</f>
        <v>423</v>
      </c>
      <c r="BK327" s="18">
        <f>INPUT!BV264</f>
        <v>-5.6014282526221866</v>
      </c>
      <c r="BL327" s="96">
        <f>INPUT!BW264</f>
        <v>419.8</v>
      </c>
      <c r="BM327" s="18">
        <f>INPUT!BX264</f>
        <v>-5.9377100604974249</v>
      </c>
      <c r="BN327" s="96">
        <f>INPUT!BY264</f>
        <v>648.90000000000009</v>
      </c>
      <c r="BO327" s="18">
        <f>INPUT!BZ264</f>
        <v>50.347544022242843</v>
      </c>
      <c r="BP327" s="96">
        <f>INPUT!CA264</f>
        <v>660.00000000000011</v>
      </c>
      <c r="BQ327" s="18">
        <f>INPUT!CB264</f>
        <v>53.061224489795933</v>
      </c>
      <c r="BR327" s="96">
        <f>INPUT!CC264</f>
        <v>647.19999999999993</v>
      </c>
      <c r="BS327" s="18">
        <f>INPUT!CD264</f>
        <v>53.002364066193827</v>
      </c>
      <c r="BT327" s="96">
        <f>INPUT!CE264</f>
        <v>654.99999999999989</v>
      </c>
      <c r="BU327" s="18">
        <f>INPUT!CF264</f>
        <v>56.026679371129084</v>
      </c>
      <c r="BV327" s="96">
        <f>INPUT!CG264</f>
        <v>643.10000000000014</v>
      </c>
      <c r="BW327" s="18">
        <f>INPUT!CH264</f>
        <v>-0.89382031129603412</v>
      </c>
      <c r="BX327" s="96">
        <f>INPUT!CI264</f>
        <v>638.19999999999982</v>
      </c>
      <c r="BY327" s="18">
        <f>INPUT!CJ264</f>
        <v>-3.3030303030303521</v>
      </c>
      <c r="BZ327" s="96">
        <f>INPUT!CK264</f>
        <v>643.30000000000007</v>
      </c>
      <c r="CA327" s="18">
        <f>INPUT!CL264</f>
        <v>-0.60259579728056956</v>
      </c>
      <c r="CB327" s="96">
        <f>INPUT!CM264</f>
        <v>1595.7000000000003</v>
      </c>
      <c r="CC327" s="18" t="str">
        <f>INPUT!CN264</f>
        <v>NM</v>
      </c>
      <c r="CD327" s="96">
        <f>INPUT!CO264</f>
        <v>655</v>
      </c>
      <c r="CE327" s="18">
        <f>INPUT!CP264</f>
        <v>1.8504120665526091</v>
      </c>
      <c r="CF327" s="96">
        <f>INPUT!CQ264</f>
        <v>647.9</v>
      </c>
      <c r="CG327" s="18">
        <f>INPUT!CR264</f>
        <v>1.5198997179567852</v>
      </c>
      <c r="CH327" s="96">
        <f>INPUT!CS264</f>
        <v>651</v>
      </c>
      <c r="CI327" s="18">
        <f>INPUT!CT264</f>
        <v>1.196953210010876</v>
      </c>
      <c r="CJ327" s="96">
        <f>INPUT!CU264</f>
        <v>651.70000000000005</v>
      </c>
      <c r="CK327" s="18" t="str">
        <f>INPUT!CV264</f>
        <v>NM</v>
      </c>
      <c r="CL327" s="96">
        <f>INPUT!CW264</f>
        <v>650.19999999999993</v>
      </c>
      <c r="CM327" s="18">
        <f>INPUT!CX264</f>
        <v>-0.73282442748092702</v>
      </c>
      <c r="CN327" s="96">
        <f>INPUT!CY264</f>
        <v>639.1</v>
      </c>
      <c r="CO327" s="18">
        <f>INPUT!CZ264</f>
        <v>-1.3582342954159499</v>
      </c>
      <c r="CP327" s="96">
        <f>INPUT!DA264</f>
        <v>639.6</v>
      </c>
      <c r="CQ327" s="18">
        <f>INPUT!DB264</f>
        <v>-1.7511520737327202</v>
      </c>
      <c r="CR327" s="96">
        <f>INPUT!DC264</f>
        <v>646.69999999999993</v>
      </c>
      <c r="CS327" s="18">
        <f>INPUT!DD264</f>
        <v>-0.76722418290626759</v>
      </c>
      <c r="CT327" s="96">
        <f>INPUT!DE264</f>
        <v>626.70000000000005</v>
      </c>
      <c r="CU327" s="18">
        <f>INPUT!DF264</f>
        <v>-3.6142725315287394</v>
      </c>
      <c r="CV327" s="96">
        <f>INPUT!DG264</f>
        <v>628.79999999999995</v>
      </c>
      <c r="CW327" s="18">
        <f>INPUT!DH264</f>
        <v>-1.6116413706775301</v>
      </c>
      <c r="CX327" s="96">
        <f>INPUT!DI264</f>
        <v>627.4</v>
      </c>
      <c r="CY327" s="18">
        <f>INPUT!DJ264</f>
        <v>-1.907442151344596</v>
      </c>
      <c r="CZ327" s="96">
        <f>INPUT!DK264</f>
        <v>1325.2</v>
      </c>
      <c r="DA327" s="18" t="str">
        <f>INPUT!DL264</f>
        <v>NM</v>
      </c>
      <c r="DB327" s="96">
        <f>INPUT!DM264</f>
        <v>621.80000000000007</v>
      </c>
      <c r="DC327" s="18">
        <f>INPUT!DN264</f>
        <v>-0.78187330461145788</v>
      </c>
      <c r="DD327" s="96">
        <f>INPUT!DO264</f>
        <v>620.90000000000009</v>
      </c>
      <c r="DE327" s="18">
        <f>INPUT!DP264</f>
        <v>-1.2563613231551973</v>
      </c>
      <c r="DF327" s="96">
        <f>INPUT!DQ264</f>
        <v>622.59999999999991</v>
      </c>
      <c r="DG327" s="18">
        <f>INPUT!DR264</f>
        <v>-0.76506216130061144</v>
      </c>
      <c r="DH327" s="96">
        <f>INPUT!DS264</f>
        <v>632.50000000000011</v>
      </c>
      <c r="DI327" s="18" t="str">
        <f>INPUT!DT264</f>
        <v>NM</v>
      </c>
      <c r="DJ327" s="96">
        <f>INPUT!DU264</f>
        <v>617.80000000000007</v>
      </c>
      <c r="DK327" s="18">
        <f>INPUT!DV264</f>
        <v>-0.64329366355740936</v>
      </c>
      <c r="DL327" s="96">
        <f>INPUT!DW264</f>
        <v>619.90000000000009</v>
      </c>
      <c r="DM327" s="18">
        <f>INPUT!DX264</f>
        <v>-0.16105653084232951</v>
      </c>
      <c r="DN327" s="96">
        <f>INPUT!DY264</f>
        <v>620</v>
      </c>
      <c r="DO327" s="18">
        <f>INPUT!DZ264</f>
        <v>-0.41760359781559675</v>
      </c>
      <c r="DP327" s="96">
        <f>INPUT!EA264</f>
        <v>621.4</v>
      </c>
      <c r="DQ327" s="18">
        <f>INPUT!EB264</f>
        <v>-1.7549407114624715</v>
      </c>
      <c r="DR327" s="96">
        <f>INPUT!EC264</f>
        <v>611.40000000000009</v>
      </c>
      <c r="DS327" s="18">
        <f>INPUT!ED264</f>
        <v>-1.0359339592101002</v>
      </c>
      <c r="DT327" s="96">
        <f>INPUT!EE264</f>
        <v>609</v>
      </c>
      <c r="DU327" s="18">
        <f>INPUT!EF264</f>
        <v>-1.7583481206646323</v>
      </c>
      <c r="DV327" s="96">
        <f>INPUT!EG264</f>
        <v>612</v>
      </c>
      <c r="DW327" s="18">
        <f>INPUT!EH264</f>
        <v>-1.2903225806451646</v>
      </c>
      <c r="DX327" s="96">
        <f>INPUT!EI264</f>
        <v>606.70000000000005</v>
      </c>
      <c r="DY327" s="18">
        <f>INPUT!EJ264</f>
        <v>-2.3656260057933642</v>
      </c>
      <c r="DZ327" s="96">
        <f>INPUT!EK264</f>
        <v>604.27515777336669</v>
      </c>
      <c r="EA327" s="18">
        <f>INPUT!EL264</f>
        <v>-1.1653323890470024</v>
      </c>
      <c r="EB327" s="96">
        <f>INPUT!EM264</f>
        <v>600.61918841048305</v>
      </c>
      <c r="EC327" s="18">
        <f>INPUT!EN264</f>
        <v>-1.3761595385085257</v>
      </c>
      <c r="ED327" s="96">
        <f>INPUT!EO264</f>
        <v>596.98538532348289</v>
      </c>
      <c r="EE327" s="18">
        <f>INPUT!EP264</f>
        <v>-2.4533684111956111</v>
      </c>
      <c r="EF327" s="96">
        <f>INPUT!EQ264</f>
        <v>593.37361377090508</v>
      </c>
      <c r="EG327" s="18">
        <f>INPUT!ER264</f>
        <v>-2.1965363819177464</v>
      </c>
      <c r="EH327" s="18"/>
      <c r="EI327" s="96">
        <f>INPUT!FB264</f>
        <v>0</v>
      </c>
      <c r="EJ327" s="5">
        <f>INPUT!FC264</f>
        <v>0</v>
      </c>
      <c r="EK327" s="96">
        <f>INPUT!FD264</f>
        <v>1923.5</v>
      </c>
      <c r="EL327" s="5" t="str">
        <f>INPUT!FE264</f>
        <v>NA</v>
      </c>
      <c r="EM327" s="96">
        <f>INPUT!FF264</f>
        <v>1886.1</v>
      </c>
      <c r="EN327" s="5">
        <f>INPUT!FG264</f>
        <v>-1.9443722381076167</v>
      </c>
      <c r="EO327" s="96">
        <f>INPUT!FH264</f>
        <v>2708.8</v>
      </c>
      <c r="EP327" s="5">
        <f>INPUT!FI264</f>
        <v>43.619108212714089</v>
      </c>
      <c r="EQ327" s="96">
        <f>INPUT!FJ264</f>
        <v>1762.6999999999998</v>
      </c>
      <c r="ER327" s="18">
        <f>INPUT!FK264</f>
        <v>-34.926904902539881</v>
      </c>
      <c r="ES327" s="96">
        <f>INPUT!FL264</f>
        <v>1878.1000000000004</v>
      </c>
      <c r="ET327" s="18">
        <f>INPUT!FM264</f>
        <v>6.5467748340614085</v>
      </c>
      <c r="EU327" s="96">
        <f>INPUT!FN264</f>
        <v>1844.9</v>
      </c>
      <c r="EV327" s="18">
        <f>INPUT!FO264</f>
        <v>-1.7677439965923192</v>
      </c>
      <c r="EW327" s="96">
        <f>INPUT!FP264</f>
        <v>1790.7</v>
      </c>
      <c r="EX327" s="18">
        <f>INPUT!FQ264</f>
        <v>-2.9378286085966709</v>
      </c>
      <c r="EY327" s="96">
        <f>INPUT!FR264</f>
        <v>2609.8000000000006</v>
      </c>
      <c r="EZ327" s="18">
        <f>INPUT!FS264</f>
        <v>45.741888646897898</v>
      </c>
      <c r="FA327" s="96">
        <f>INPUT!FT264</f>
        <v>2611.0999999999995</v>
      </c>
      <c r="FB327" s="18">
        <f>INPUT!FU264</f>
        <v>4.9812246149083528E-2</v>
      </c>
      <c r="FC327" s="96">
        <f>INPUT!FV264</f>
        <v>3520.3</v>
      </c>
      <c r="FD327" s="18">
        <f>INPUT!FW264</f>
        <v>34.820573704568993</v>
      </c>
      <c r="FE327" s="96">
        <f>INPUT!FX264</f>
        <v>2605.6</v>
      </c>
      <c r="FF327" s="18">
        <f>INPUT!FY264</f>
        <v>-25.983580944805851</v>
      </c>
      <c r="FG327" s="96">
        <f>INPUT!FZ264</f>
        <v>2575.6000000000004</v>
      </c>
      <c r="FH327" s="18">
        <f>INPUT!GA264</f>
        <v>-1.1513662879950703</v>
      </c>
      <c r="FI327" s="96">
        <f>INPUT!GB264</f>
        <v>3208.1</v>
      </c>
      <c r="FJ327" s="18">
        <f>INPUT!GC264</f>
        <v>24.557384687063188</v>
      </c>
      <c r="FK327" s="96">
        <f>INPUT!GD264</f>
        <v>2497.8000000000002</v>
      </c>
      <c r="FL327" s="18">
        <f>INPUT!GE264</f>
        <v>-22.140831021476881</v>
      </c>
      <c r="FM327" s="96">
        <f>INPUT!GF264</f>
        <v>2479.1</v>
      </c>
      <c r="FN327" s="18">
        <f>INPUT!GG264</f>
        <v>-0.74865881976140525</v>
      </c>
      <c r="FO327" s="96">
        <f>INPUT!GH264</f>
        <v>2439.1000000000004</v>
      </c>
      <c r="FP327" s="18">
        <f>INPUT!GI264</f>
        <v>-1.6134887660844477</v>
      </c>
      <c r="FQ327" s="96">
        <f>INPUT!GJ264</f>
        <v>2395.2533452782377</v>
      </c>
      <c r="FR327" s="18">
        <f>INPUT!GK264</f>
        <v>-1.7976571162216626</v>
      </c>
      <c r="FS327" s="96">
        <f>INPUT!GL264</f>
        <v>2323.4445229054209</v>
      </c>
      <c r="FT327" s="18">
        <f>INPUT!GM264</f>
        <v>-2.9979635563132989</v>
      </c>
      <c r="FU327" s="96">
        <f>INPUT!GN264</f>
        <v>2253.7889896440779</v>
      </c>
      <c r="FV327" s="18">
        <f>INPUT!GO264</f>
        <v>-2.9979426052419877</v>
      </c>
      <c r="FW327" s="96">
        <f>INPUT!GP264</f>
        <v>2186.2221663320584</v>
      </c>
      <c r="FX327" s="18">
        <f>INPUT!GQ264</f>
        <v>-2.9979214390735809</v>
      </c>
      <c r="FY327" s="96">
        <f>INPUT!GR264</f>
        <v>2120.681410791854</v>
      </c>
      <c r="FZ327" s="18">
        <f>INPUT!GS264</f>
        <v>-2.9979000556089708</v>
      </c>
      <c r="GA327" s="5">
        <f>INPUT!GT264</f>
        <v>-2.7590563566425086</v>
      </c>
    </row>
    <row r="328" spans="1:183" ht="12.75" hidden="1" customHeight="1" outlineLevel="1" x14ac:dyDescent="0.2">
      <c r="A328" s="612"/>
      <c r="B328" s="96"/>
      <c r="C328" s="399"/>
      <c r="D328" s="96"/>
      <c r="E328" s="5"/>
      <c r="F328" s="96"/>
      <c r="G328" s="5"/>
      <c r="H328" s="96"/>
      <c r="I328" s="5"/>
      <c r="J328" s="96"/>
      <c r="K328" s="5"/>
      <c r="L328" s="96"/>
      <c r="M328" s="5"/>
      <c r="N328" s="96"/>
      <c r="O328" s="5"/>
      <c r="P328" s="96"/>
      <c r="Q328" s="5"/>
      <c r="R328" s="96"/>
      <c r="S328" s="5"/>
      <c r="T328" s="96"/>
      <c r="U328" s="5"/>
      <c r="V328" s="96"/>
      <c r="W328" s="5"/>
      <c r="X328" s="96"/>
      <c r="Y328" s="5"/>
      <c r="Z328" s="96"/>
      <c r="AA328" s="5"/>
      <c r="AB328" s="96"/>
      <c r="AC328" s="5"/>
      <c r="AD328" s="96"/>
      <c r="AE328" s="5"/>
      <c r="AF328" s="96"/>
      <c r="AG328" s="5"/>
      <c r="AH328" s="96"/>
      <c r="AI328" s="5"/>
      <c r="AJ328" s="96"/>
      <c r="AK328" s="5"/>
      <c r="AL328" s="96"/>
      <c r="AM328" s="5"/>
      <c r="AN328" s="96"/>
      <c r="AO328" s="18"/>
      <c r="AP328" s="96"/>
      <c r="AQ328" s="18"/>
      <c r="AR328" s="96"/>
      <c r="AS328" s="18"/>
      <c r="AT328" s="96"/>
      <c r="AU328" s="18"/>
      <c r="AV328" s="96"/>
      <c r="AW328" s="18"/>
      <c r="AX328" s="96"/>
      <c r="AY328" s="18"/>
      <c r="AZ328" s="96"/>
      <c r="BA328" s="18"/>
      <c r="BB328" s="96"/>
      <c r="BC328" s="18"/>
      <c r="BD328" s="96"/>
      <c r="BE328" s="18"/>
      <c r="BF328" s="96"/>
      <c r="BG328" s="18"/>
      <c r="BH328" s="96"/>
      <c r="BI328" s="18"/>
      <c r="BJ328" s="96"/>
      <c r="BK328" s="18"/>
      <c r="BL328" s="96"/>
      <c r="BM328" s="18"/>
      <c r="BN328" s="96"/>
      <c r="BO328" s="18"/>
      <c r="BP328" s="96"/>
      <c r="BQ328" s="18"/>
      <c r="BR328" s="96"/>
      <c r="BS328" s="18"/>
      <c r="BT328" s="96"/>
      <c r="BU328" s="18"/>
      <c r="BV328" s="96"/>
      <c r="BW328" s="18"/>
      <c r="BX328" s="96"/>
      <c r="BY328" s="18"/>
      <c r="BZ328" s="96"/>
      <c r="CA328" s="18"/>
      <c r="CB328" s="96"/>
      <c r="CC328" s="18"/>
      <c r="CD328" s="96"/>
      <c r="CE328" s="18"/>
      <c r="CF328" s="96"/>
      <c r="CG328" s="18"/>
      <c r="CH328" s="96"/>
      <c r="CI328" s="18"/>
      <c r="CJ328" s="96"/>
      <c r="CK328" s="18"/>
      <c r="CL328" s="96"/>
      <c r="CM328" s="18"/>
      <c r="CN328" s="96"/>
      <c r="CO328" s="18"/>
      <c r="CP328" s="96"/>
      <c r="CQ328" s="18"/>
      <c r="CR328" s="96"/>
      <c r="CS328" s="18"/>
      <c r="CT328" s="96"/>
      <c r="CU328" s="18"/>
      <c r="CV328" s="96"/>
      <c r="CW328" s="18"/>
      <c r="CX328" s="96"/>
      <c r="CY328" s="18"/>
      <c r="CZ328" s="96"/>
      <c r="DA328" s="18"/>
      <c r="DB328" s="96"/>
      <c r="DC328" s="18"/>
      <c r="DD328" s="96"/>
      <c r="DE328" s="18"/>
      <c r="DF328" s="96"/>
      <c r="DG328" s="18"/>
      <c r="DH328" s="96"/>
      <c r="DI328" s="18"/>
      <c r="DJ328" s="96"/>
      <c r="DK328" s="18"/>
      <c r="DL328" s="96"/>
      <c r="DM328" s="18"/>
      <c r="DN328" s="96"/>
      <c r="DO328" s="18"/>
      <c r="DP328" s="96"/>
      <c r="DQ328" s="18"/>
      <c r="DR328" s="96"/>
      <c r="DS328" s="18"/>
      <c r="DT328" s="96"/>
      <c r="DU328" s="18"/>
      <c r="DV328" s="96"/>
      <c r="DW328" s="18"/>
      <c r="DX328" s="96"/>
      <c r="DY328" s="18"/>
      <c r="DZ328" s="96"/>
      <c r="EA328" s="18"/>
      <c r="EB328" s="96"/>
      <c r="EC328" s="18"/>
      <c r="ED328" s="96"/>
      <c r="EE328" s="18"/>
      <c r="EF328" s="96"/>
      <c r="EG328" s="18"/>
      <c r="EH328" s="18"/>
      <c r="EI328" s="96"/>
      <c r="EJ328" s="5"/>
      <c r="EK328" s="96"/>
      <c r="EL328" s="5"/>
      <c r="EM328" s="96"/>
      <c r="EN328" s="5"/>
      <c r="EO328" s="96"/>
      <c r="EP328" s="5"/>
      <c r="EQ328" s="96"/>
      <c r="ER328" s="18"/>
      <c r="ES328" s="96"/>
      <c r="ET328" s="18"/>
      <c r="EU328" s="96"/>
      <c r="EV328" s="18"/>
      <c r="EW328" s="96"/>
      <c r="EX328" s="18"/>
      <c r="EY328" s="96"/>
      <c r="EZ328" s="18"/>
      <c r="FA328" s="96"/>
      <c r="FB328" s="18"/>
      <c r="FC328" s="96"/>
      <c r="FD328" s="18"/>
      <c r="FE328" s="96"/>
      <c r="FF328" s="18"/>
      <c r="FG328" s="96"/>
      <c r="FH328" s="18"/>
      <c r="FI328" s="96"/>
      <c r="FJ328" s="18"/>
      <c r="FK328" s="96"/>
      <c r="FL328" s="18"/>
      <c r="FM328" s="96"/>
      <c r="FN328" s="18"/>
      <c r="FO328" s="96"/>
      <c r="FP328" s="18"/>
      <c r="FQ328" s="96"/>
      <c r="FR328" s="18"/>
      <c r="FS328" s="96"/>
      <c r="FT328" s="18"/>
      <c r="FU328" s="96"/>
      <c r="FV328" s="18"/>
      <c r="FW328" s="96"/>
      <c r="FX328" s="18"/>
      <c r="FY328" s="96"/>
      <c r="FZ328" s="18"/>
      <c r="GA328" s="5"/>
    </row>
    <row r="329" spans="1:183" ht="12.75" hidden="1" customHeight="1" outlineLevel="1" x14ac:dyDescent="0.2">
      <c r="A329" s="644" t="str">
        <f>INPUT!B276</f>
        <v>Pretax Earnings</v>
      </c>
      <c r="B329" s="645">
        <f>INPUT!M276</f>
        <v>25.900000000000034</v>
      </c>
      <c r="C329" s="646" t="str">
        <f>INPUT!N276</f>
        <v>NA</v>
      </c>
      <c r="D329" s="645">
        <f>INPUT!O276</f>
        <v>19.600000000000023</v>
      </c>
      <c r="E329" s="646" t="str">
        <f>INPUT!P276</f>
        <v>NA</v>
      </c>
      <c r="F329" s="645">
        <f>INPUT!Q276</f>
        <v>19.099999999999966</v>
      </c>
      <c r="G329" s="646" t="str">
        <f>INPUT!R276</f>
        <v>NA</v>
      </c>
      <c r="H329" s="645">
        <f>INPUT!S276</f>
        <v>18.399999999999977</v>
      </c>
      <c r="I329" s="646" t="str">
        <f>INPUT!T276</f>
        <v>NA</v>
      </c>
      <c r="J329" s="645">
        <f>INPUT!U276</f>
        <v>15.800000000000068</v>
      </c>
      <c r="K329" s="646">
        <f>INPUT!V276</f>
        <v>-38.996138996138818</v>
      </c>
      <c r="L329" s="645">
        <f>INPUT!W276</f>
        <v>5.2999999999998977</v>
      </c>
      <c r="M329" s="646" t="str">
        <f>INPUT!X276</f>
        <v>NM</v>
      </c>
      <c r="N329" s="645">
        <f>INPUT!Y276</f>
        <v>19.200000000000045</v>
      </c>
      <c r="O329" s="646">
        <f>INPUT!Z276</f>
        <v>0.52356020942450066</v>
      </c>
      <c r="P329" s="645">
        <f>INPUT!AA276</f>
        <v>22.199999999999932</v>
      </c>
      <c r="Q329" s="646">
        <f>INPUT!AB276</f>
        <v>20.65217391304326</v>
      </c>
      <c r="R329" s="645">
        <f>INPUT!AC276</f>
        <v>-923.80000000000007</v>
      </c>
      <c r="S329" s="646" t="str">
        <f>INPUT!AD276</f>
        <v>NM</v>
      </c>
      <c r="T329" s="645">
        <f>INPUT!AE276</f>
        <v>30.000000000000057</v>
      </c>
      <c r="U329" s="646" t="str">
        <f>INPUT!AF276</f>
        <v>NM</v>
      </c>
      <c r="V329" s="645">
        <f>INPUT!AG276</f>
        <v>33.199999999999989</v>
      </c>
      <c r="W329" s="646">
        <f>INPUT!AH276</f>
        <v>72.916666666666202</v>
      </c>
      <c r="X329" s="645">
        <f>INPUT!AI276</f>
        <v>37.799999999999955</v>
      </c>
      <c r="Y329" s="646">
        <f>INPUT!AJ276</f>
        <v>70.270270270270601</v>
      </c>
      <c r="Z329" s="645">
        <f>INPUT!AK276</f>
        <v>23.099999999999966</v>
      </c>
      <c r="AA329" s="646" t="str">
        <f>INPUT!AL276</f>
        <v>NM</v>
      </c>
      <c r="AB329" s="645">
        <f>INPUT!AM276</f>
        <v>27.699999999999989</v>
      </c>
      <c r="AC329" s="646">
        <f>INPUT!AN276</f>
        <v>-7.6666666666668775</v>
      </c>
      <c r="AD329" s="645">
        <f>INPUT!AO276</f>
        <v>29.699999999999989</v>
      </c>
      <c r="AE329" s="646">
        <f>INPUT!AP276</f>
        <v>-10.542168674698804</v>
      </c>
      <c r="AF329" s="645">
        <f>INPUT!AQ276</f>
        <v>33.700000000000045</v>
      </c>
      <c r="AG329" s="646">
        <f>INPUT!AR276</f>
        <v>-10.846560846560616</v>
      </c>
      <c r="AH329" s="645">
        <f>INPUT!AS276</f>
        <v>27.900000000000034</v>
      </c>
      <c r="AI329" s="646">
        <f>INPUT!AT276</f>
        <v>20.779220779221099</v>
      </c>
      <c r="AJ329" s="645">
        <f>INPUT!AU276</f>
        <v>33.199999999999989</v>
      </c>
      <c r="AK329" s="646">
        <f>INPUT!AV276</f>
        <v>19.855595667870052</v>
      </c>
      <c r="AL329" s="645">
        <f>INPUT!AW276</f>
        <v>28.699999999999989</v>
      </c>
      <c r="AM329" s="646">
        <f>INPUT!AX276</f>
        <v>-3.3670033670033628</v>
      </c>
      <c r="AN329" s="645">
        <f>INPUT!AY276</f>
        <v>28.699999999999989</v>
      </c>
      <c r="AO329" s="647">
        <f>INPUT!AZ276</f>
        <v>-14.836795252225665</v>
      </c>
      <c r="AP329" s="645">
        <f>INPUT!BA276</f>
        <v>22.5</v>
      </c>
      <c r="AQ329" s="647">
        <f>INPUT!BB276</f>
        <v>-19.354838709677512</v>
      </c>
      <c r="AR329" s="645">
        <f>INPUT!BC276</f>
        <v>29.400000000000034</v>
      </c>
      <c r="AS329" s="647">
        <f>INPUT!BD276</f>
        <v>-11.445783132529986</v>
      </c>
      <c r="AT329" s="645">
        <f>INPUT!BE276</f>
        <v>29.399999999999977</v>
      </c>
      <c r="AU329" s="647">
        <f>INPUT!BF276</f>
        <v>2.4390243902438602</v>
      </c>
      <c r="AV329" s="645">
        <f>INPUT!BG276</f>
        <v>15</v>
      </c>
      <c r="AW329" s="647">
        <f>INPUT!BH276</f>
        <v>-47.735191637630635</v>
      </c>
      <c r="AX329" s="645">
        <f>INPUT!BI276</f>
        <v>2.8999999999999773</v>
      </c>
      <c r="AY329" s="647" t="str">
        <f>INPUT!BJ276</f>
        <v>NM</v>
      </c>
      <c r="AZ329" s="645">
        <f>INPUT!BK276</f>
        <v>15.199999999999989</v>
      </c>
      <c r="BA329" s="647">
        <f>INPUT!BL276</f>
        <v>-48.299319727891252</v>
      </c>
      <c r="BB329" s="645">
        <f>INPUT!BM276</f>
        <v>2.4999999999999432</v>
      </c>
      <c r="BC329" s="647" t="str">
        <f>INPUT!BN276</f>
        <v>NM</v>
      </c>
      <c r="BD329" s="645">
        <f>INPUT!BO276</f>
        <v>7.1000000000000227</v>
      </c>
      <c r="BE329" s="647" t="str">
        <f>INPUT!BP276</f>
        <v>NM</v>
      </c>
      <c r="BF329" s="645">
        <f>INPUT!BQ276</f>
        <v>11.299999999999955</v>
      </c>
      <c r="BG329" s="647" t="str">
        <f>INPUT!BR276</f>
        <v>NM</v>
      </c>
      <c r="BH329" s="645">
        <f>INPUT!BS276</f>
        <v>9.9999999999999432</v>
      </c>
      <c r="BI329" s="647">
        <f>INPUT!BT276</f>
        <v>-34.210526315789799</v>
      </c>
      <c r="BJ329" s="645">
        <f>INPUT!BU276</f>
        <v>7.1999999999999886</v>
      </c>
      <c r="BK329" s="647" t="str">
        <f>INPUT!BV276</f>
        <v>NM</v>
      </c>
      <c r="BL329" s="645">
        <f>INPUT!BW276</f>
        <v>5.8000000000000114</v>
      </c>
      <c r="BM329" s="647">
        <f>INPUT!BX276</f>
        <v>-18.309859154929676</v>
      </c>
      <c r="BN329" s="645">
        <f>INPUT!BY276</f>
        <v>35.899999999999977</v>
      </c>
      <c r="BO329" s="647" t="str">
        <f>INPUT!BZ276</f>
        <v>NM</v>
      </c>
      <c r="BP329" s="645">
        <f>INPUT!CA276</f>
        <v>23.799999999999955</v>
      </c>
      <c r="BQ329" s="647" t="str">
        <f>INPUT!CB276</f>
        <v>NM</v>
      </c>
      <c r="BR329" s="645">
        <f>INPUT!CC276</f>
        <v>29.700000000000045</v>
      </c>
      <c r="BS329" s="647" t="str">
        <f>INPUT!CD276</f>
        <v>NM</v>
      </c>
      <c r="BT329" s="645">
        <f>INPUT!CE276</f>
        <v>29.200000000000159</v>
      </c>
      <c r="BU329" s="647" t="str">
        <f>INPUT!CF276</f>
        <v>NM</v>
      </c>
      <c r="BV329" s="645">
        <f>INPUT!CG276</f>
        <v>31.899999999999864</v>
      </c>
      <c r="BW329" s="647">
        <f>INPUT!CH276</f>
        <v>-11.142061281337368</v>
      </c>
      <c r="BX329" s="645">
        <f>INPUT!CI276</f>
        <v>30.400000000000205</v>
      </c>
      <c r="BY329" s="647">
        <f>INPUT!CJ276</f>
        <v>27.731092436975892</v>
      </c>
      <c r="BZ329" s="645">
        <f>INPUT!CK276</f>
        <v>30.799999999999955</v>
      </c>
      <c r="CA329" s="647">
        <f>INPUT!CL276</f>
        <v>3.7037037037033871</v>
      </c>
      <c r="CB329" s="645">
        <f>INPUT!CM276</f>
        <v>-922.30000000000018</v>
      </c>
      <c r="CC329" s="647" t="str">
        <f>INPUT!CN276</f>
        <v>NM</v>
      </c>
      <c r="CD329" s="645">
        <f>INPUT!CO276</f>
        <v>15.399999999999977</v>
      </c>
      <c r="CE329" s="647" t="str">
        <f>INPUT!CP276</f>
        <v>NM</v>
      </c>
      <c r="CF329" s="645">
        <f>INPUT!CQ276</f>
        <v>25.700000000000045</v>
      </c>
      <c r="CG329" s="647">
        <f>INPUT!CR276</f>
        <v>-15.460526315789892</v>
      </c>
      <c r="CH329" s="645">
        <f>INPUT!CS276</f>
        <v>25.600000000000023</v>
      </c>
      <c r="CI329" s="647">
        <f>INPUT!CT276</f>
        <v>-16.883116883116688</v>
      </c>
      <c r="CJ329" s="645">
        <f>INPUT!CU276</f>
        <v>28.799999999999955</v>
      </c>
      <c r="CK329" s="647" t="str">
        <f>INPUT!CV276</f>
        <v>NM</v>
      </c>
      <c r="CL329" s="645">
        <f>INPUT!CW276</f>
        <v>26.600000000000136</v>
      </c>
      <c r="CM329" s="647">
        <f>INPUT!CX276</f>
        <v>72.727272727273856</v>
      </c>
      <c r="CN329" s="645">
        <f>INPUT!CY276</f>
        <v>29.100000000000023</v>
      </c>
      <c r="CO329" s="647">
        <f>INPUT!CZ276</f>
        <v>13.229571984435683</v>
      </c>
      <c r="CP329" s="645">
        <f>INPUT!DA276</f>
        <v>25</v>
      </c>
      <c r="CQ329" s="647">
        <f>INPUT!DB276</f>
        <v>-2.3437500000000888</v>
      </c>
      <c r="CR329" s="645">
        <f>INPUT!DC276</f>
        <v>26.600000000000023</v>
      </c>
      <c r="CS329" s="647">
        <f>INPUT!DD276</f>
        <v>-7.6388888888886619</v>
      </c>
      <c r="CT329" s="645">
        <f>INPUT!DE276</f>
        <v>28.299999999999955</v>
      </c>
      <c r="CU329" s="647">
        <f>INPUT!DF276</f>
        <v>6.3909774436083033</v>
      </c>
      <c r="CV329" s="645">
        <f>INPUT!DG276</f>
        <v>36.600000000000136</v>
      </c>
      <c r="CW329" s="647">
        <f>INPUT!DH276</f>
        <v>25.773195876289034</v>
      </c>
      <c r="CX329" s="645">
        <f>INPUT!DI276</f>
        <v>25.700000000000045</v>
      </c>
      <c r="CY329" s="647">
        <f>INPUT!DJ276</f>
        <v>2.8000000000001801</v>
      </c>
      <c r="CZ329" s="645">
        <f>INPUT!DK276</f>
        <v>-668.80000000000007</v>
      </c>
      <c r="DA329" s="647" t="str">
        <f>INPUT!DL276</f>
        <v>NM</v>
      </c>
      <c r="DB329" s="645">
        <f>INPUT!DM276</f>
        <v>26.699999999999932</v>
      </c>
      <c r="DC329" s="647">
        <f>INPUT!DN276</f>
        <v>-5.6537102473499079</v>
      </c>
      <c r="DD329" s="645">
        <f>INPUT!DO276</f>
        <v>36.599999999999909</v>
      </c>
      <c r="DE329" s="647">
        <f>INPUT!DP276</f>
        <v>-6.2172489379008766E-13</v>
      </c>
      <c r="DF329" s="645">
        <f>INPUT!DQ276</f>
        <v>27.700000000000045</v>
      </c>
      <c r="DG329" s="647">
        <f>INPUT!DR276</f>
        <v>7.7821011673151697</v>
      </c>
      <c r="DH329" s="645">
        <f>INPUT!DS276</f>
        <v>28.099999999999795</v>
      </c>
      <c r="DI329" s="647" t="str">
        <f>INPUT!DT276</f>
        <v>NM</v>
      </c>
      <c r="DJ329" s="645">
        <f>INPUT!DU276</f>
        <v>33.699999999999818</v>
      </c>
      <c r="DK329" s="647">
        <f>INPUT!DV276</f>
        <v>26.217228464419119</v>
      </c>
      <c r="DL329" s="645">
        <f>INPUT!DW276</f>
        <v>32.599999999999909</v>
      </c>
      <c r="DM329" s="647">
        <f>INPUT!DX276</f>
        <v>-10.928961748633903</v>
      </c>
      <c r="DN329" s="645">
        <f>INPUT!DY276</f>
        <v>28.600000000000023</v>
      </c>
      <c r="DO329" s="647">
        <f>INPUT!DZ276</f>
        <v>3.2490974729241007</v>
      </c>
      <c r="DP329" s="645">
        <f>INPUT!EA276</f>
        <v>34.600000000000023</v>
      </c>
      <c r="DQ329" s="647">
        <f>INPUT!EB276</f>
        <v>23.131672597865748</v>
      </c>
      <c r="DR329" s="645">
        <f>INPUT!EC276</f>
        <v>31.599999999999909</v>
      </c>
      <c r="DS329" s="647">
        <f>INPUT!ED276</f>
        <v>-6.2314540059344781</v>
      </c>
      <c r="DT329" s="645">
        <f>INPUT!EE276</f>
        <v>32.600000000000023</v>
      </c>
      <c r="DU329" s="647">
        <f>INPUT!EF276</f>
        <v>3.5527136788005009E-13</v>
      </c>
      <c r="DV329" s="645">
        <f>INPUT!EG276</f>
        <v>26.600000000000023</v>
      </c>
      <c r="DW329" s="647">
        <f>INPUT!EH276</f>
        <v>-6.9930069930069898</v>
      </c>
      <c r="DX329" s="645">
        <f>INPUT!EI276</f>
        <v>33.099999999999909</v>
      </c>
      <c r="DY329" s="647">
        <f>INPUT!EJ276</f>
        <v>-4.3352601156072641</v>
      </c>
      <c r="DZ329" s="645">
        <f>INPUT!EK276</f>
        <v>30.080092226633383</v>
      </c>
      <c r="EA329" s="647">
        <f>INPUT!EL276</f>
        <v>-4.8098347258434533</v>
      </c>
      <c r="EB329" s="645">
        <f>INPUT!EM276</f>
        <v>29.441322464516929</v>
      </c>
      <c r="EC329" s="647">
        <f>INPUT!EN276</f>
        <v>-9.6891948941199129</v>
      </c>
      <c r="ED329" s="645">
        <f>INPUT!EO276</f>
        <v>28.809868919704627</v>
      </c>
      <c r="EE329" s="647">
        <f>INPUT!EP276</f>
        <v>8.3077778936263336</v>
      </c>
      <c r="EF329" s="645">
        <f>INPUT!EQ276</f>
        <v>28.185661335753935</v>
      </c>
      <c r="EG329" s="647">
        <f>INPUT!ER276</f>
        <v>-14.846944604972778</v>
      </c>
      <c r="EH329" s="648"/>
      <c r="EI329" s="645">
        <f>INPUT!FB276</f>
        <v>0</v>
      </c>
      <c r="EJ329" s="646">
        <f>INPUT!FC276</f>
        <v>0</v>
      </c>
      <c r="EK329" s="645">
        <f>INPUT!FD276</f>
        <v>83</v>
      </c>
      <c r="EL329" s="646" t="str">
        <f>INPUT!FE276</f>
        <v>NA</v>
      </c>
      <c r="EM329" s="645">
        <f>INPUT!FF276</f>
        <v>62.500000000000227</v>
      </c>
      <c r="EN329" s="646">
        <f>INPUT!FG276</f>
        <v>-24.69879518072262</v>
      </c>
      <c r="EO329" s="645">
        <f>INPUT!FH276</f>
        <v>-822.80000000000041</v>
      </c>
      <c r="EP329" s="646" t="str">
        <f>INPUT!FI276</f>
        <v>NM</v>
      </c>
      <c r="EQ329" s="645">
        <f>INPUT!FJ276</f>
        <v>114.20000000000005</v>
      </c>
      <c r="ER329" s="647" t="str">
        <f>INPUT!FK276</f>
        <v>NM</v>
      </c>
      <c r="ES329" s="645">
        <f>INPUT!FL276</f>
        <v>118.49999999999955</v>
      </c>
      <c r="ET329" s="647">
        <f>INPUT!FM276</f>
        <v>3.7653239929942961</v>
      </c>
      <c r="EU329" s="645">
        <f>INPUT!FN276</f>
        <v>96.299999999999955</v>
      </c>
      <c r="EV329" s="647">
        <f>INPUT!FO276</f>
        <v>-18.734177215189597</v>
      </c>
      <c r="EW329" s="645">
        <f>INPUT!FP276</f>
        <v>27.699999999999591</v>
      </c>
      <c r="EX329" s="647" t="str">
        <f>INPUT!FQ276</f>
        <v>NM</v>
      </c>
      <c r="EY329" s="645">
        <f>INPUT!FR276</f>
        <v>123.99999999999909</v>
      </c>
      <c r="EZ329" s="647" t="str">
        <f>INPUT!FS276</f>
        <v>NM</v>
      </c>
      <c r="FA329" s="645">
        <f>INPUT!FT276</f>
        <v>118.59999999999991</v>
      </c>
      <c r="FB329" s="647">
        <f>INPUT!FU276</f>
        <v>-4.3548387096767893</v>
      </c>
      <c r="FC329" s="645">
        <f>INPUT!FV276</f>
        <v>-829.20000000000027</v>
      </c>
      <c r="FD329" s="647" t="str">
        <f>INPUT!FW276</f>
        <v>NM</v>
      </c>
      <c r="FE329" s="645">
        <f>INPUT!FX276</f>
        <v>94.699999999999818</v>
      </c>
      <c r="FF329" s="647" t="str">
        <f>INPUT!FY276</f>
        <v>NM</v>
      </c>
      <c r="FG329" s="645">
        <f>INPUT!FZ276</f>
        <v>107.29999999999973</v>
      </c>
      <c r="FH329" s="647">
        <f>INPUT!GA276</f>
        <v>13.305174234424433</v>
      </c>
      <c r="FI329" s="645">
        <f>INPUT!GB276</f>
        <v>-578.19999999999982</v>
      </c>
      <c r="FJ329" s="647" t="str">
        <f>INPUT!GC276</f>
        <v>NM</v>
      </c>
      <c r="FK329" s="645">
        <f>INPUT!GD276</f>
        <v>119.09999999999991</v>
      </c>
      <c r="FL329" s="647" t="str">
        <f>INPUT!GE276</f>
        <v>NM</v>
      </c>
      <c r="FM329" s="645">
        <f>INPUT!GF276</f>
        <v>129.50000000000045</v>
      </c>
      <c r="FN329" s="647">
        <f>INPUT!GG276</f>
        <v>8.7321578505462192</v>
      </c>
      <c r="FO329" s="645">
        <f>INPUT!GH276</f>
        <v>123.89999999999964</v>
      </c>
      <c r="FP329" s="647">
        <f>INPUT!GI276</f>
        <v>-4.3243243243249463</v>
      </c>
      <c r="FQ329" s="645">
        <f>INPUT!GJ276</f>
        <v>116.51694494660887</v>
      </c>
      <c r="FR329" s="647">
        <f>INPUT!GK276</f>
        <v>-5.9588822061265372</v>
      </c>
      <c r="FS329" s="645">
        <f>INPUT!GL276</f>
        <v>113.75875823842989</v>
      </c>
      <c r="FT329" s="647">
        <f>INPUT!GM276</f>
        <v>-2.3671979294023315</v>
      </c>
      <c r="FU329" s="645">
        <f>INPUT!GN276</f>
        <v>111.06857069869147</v>
      </c>
      <c r="FV329" s="647">
        <f>INPUT!GO276</f>
        <v>-2.3648179545877168</v>
      </c>
      <c r="FW329" s="645">
        <f>INPUT!GP276</f>
        <v>108.44463728099754</v>
      </c>
      <c r="FX329" s="647">
        <f>INPUT!GQ276</f>
        <v>-2.3624445702215668</v>
      </c>
      <c r="FY329" s="645">
        <f>INPUT!GR276</f>
        <v>105.88525939176861</v>
      </c>
      <c r="FZ329" s="647">
        <f>INPUT!GS276</f>
        <v>-2.3600778732812411</v>
      </c>
      <c r="GA329" s="646">
        <f>INPUT!GT276</f>
        <v>-3.0935153109152957</v>
      </c>
    </row>
    <row r="330" spans="1:183" ht="12.75" hidden="1" customHeight="1" outlineLevel="2" x14ac:dyDescent="0.2">
      <c r="A330" s="614" t="s">
        <v>517</v>
      </c>
      <c r="B330" s="615"/>
      <c r="C330" s="616"/>
      <c r="D330" s="615"/>
      <c r="E330" s="616"/>
      <c r="F330" s="615"/>
      <c r="G330" s="616"/>
      <c r="H330" s="615"/>
      <c r="I330" s="616"/>
      <c r="J330" s="615"/>
      <c r="K330" s="616"/>
      <c r="L330" s="615"/>
      <c r="M330" s="616"/>
      <c r="N330" s="615"/>
      <c r="O330" s="616"/>
      <c r="P330" s="615"/>
      <c r="Q330" s="616"/>
      <c r="R330" s="615"/>
      <c r="S330" s="616"/>
      <c r="T330" s="615"/>
      <c r="U330" s="616"/>
      <c r="V330" s="615"/>
      <c r="W330" s="616"/>
      <c r="X330" s="615"/>
      <c r="Y330" s="616"/>
      <c r="Z330" s="615"/>
      <c r="AA330" s="616"/>
      <c r="AB330" s="615"/>
      <c r="AC330" s="616"/>
      <c r="AD330" s="615"/>
      <c r="AE330" s="616"/>
      <c r="AF330" s="615"/>
      <c r="AG330" s="616"/>
      <c r="AH330" s="615"/>
      <c r="AI330" s="616"/>
      <c r="AJ330" s="615"/>
      <c r="AK330" s="616"/>
      <c r="AL330" s="615"/>
      <c r="AM330" s="616"/>
      <c r="AN330" s="615"/>
      <c r="AO330" s="617"/>
      <c r="AP330" s="615"/>
      <c r="AQ330" s="617"/>
      <c r="AR330" s="615"/>
      <c r="AS330" s="617"/>
      <c r="AT330" s="615"/>
      <c r="AU330" s="617"/>
      <c r="AV330" s="615"/>
      <c r="AW330" s="617"/>
      <c r="AX330" s="615"/>
      <c r="AY330" s="617"/>
      <c r="AZ330" s="615"/>
      <c r="BA330" s="617"/>
      <c r="BB330" s="615"/>
      <c r="BC330" s="617"/>
      <c r="BD330" s="615"/>
      <c r="BE330" s="617"/>
      <c r="BF330" s="615"/>
      <c r="BG330" s="617"/>
      <c r="BH330" s="615"/>
      <c r="BI330" s="617"/>
      <c r="BJ330" s="615"/>
      <c r="BK330" s="617"/>
      <c r="BL330" s="615"/>
      <c r="BM330" s="617"/>
      <c r="BN330" s="615"/>
      <c r="BO330" s="617"/>
      <c r="BP330" s="615"/>
      <c r="BQ330" s="617"/>
      <c r="BR330" s="615"/>
      <c r="BS330" s="617"/>
      <c r="BT330" s="615"/>
      <c r="BU330" s="617"/>
      <c r="BV330" s="618">
        <f>(BV316+BV317+BV318-BV322-BV323-BV324-BV325-BV326)-BV329</f>
        <v>8.5265128291212022E-14</v>
      </c>
      <c r="BW330" s="617"/>
      <c r="BX330" s="618">
        <f>(BX316+BX317+BX318-BX322-BX323-BX324-BX325-BX326)-BX329</f>
        <v>-1.3500311979441904E-13</v>
      </c>
      <c r="BY330" s="617"/>
      <c r="BZ330" s="618">
        <f>(BZ316+BZ317+BZ318-BZ322-BZ323-BZ324-BZ325-BZ326)-BZ329</f>
        <v>8.5265128291212022E-14</v>
      </c>
      <c r="CA330" s="617"/>
      <c r="CB330" s="618">
        <f>(CB316+CB317+CB318-CB322-CB323-CB324-CB325-CB326)-CB329</f>
        <v>0</v>
      </c>
      <c r="CC330" s="617"/>
      <c r="CD330" s="618">
        <f>(CD316+CD317+CD318-CD322-CD323-CD324-CD325-CD326)-CD329</f>
        <v>-4.9737991503207013E-14</v>
      </c>
      <c r="CE330" s="617"/>
      <c r="CF330" s="618">
        <f>(CF316+CF317+CF318-CF322-CF323-CF324-CF325-CF326)-CF329</f>
        <v>-4.2632564145606011E-14</v>
      </c>
      <c r="CG330" s="617"/>
      <c r="CH330" s="618">
        <f>(CH316+CH317+CH318-CH322-CH323-CH324-CH325-CH326)-CH329</f>
        <v>0</v>
      </c>
      <c r="CI330" s="617"/>
      <c r="CJ330" s="618">
        <f>(CJ316+CJ317+CJ318-CJ322-CJ323-CJ324-CJ325-CJ326)-CJ329</f>
        <v>2.8421709430404007E-14</v>
      </c>
      <c r="CK330" s="617"/>
      <c r="CL330" s="618">
        <f>(CL316+CL317+CL318-CL322-CL323-CL324-CL325-CL326)-CL329</f>
        <v>-2.8421709430404007E-14</v>
      </c>
      <c r="CM330" s="617"/>
      <c r="CN330" s="618">
        <f>(CN316+CN317+CN318-CN322-CN323-CN324-CN325-CN326)-CN329</f>
        <v>2.8421709430404007E-14</v>
      </c>
      <c r="CO330" s="617"/>
      <c r="CP330" s="618">
        <f>(CP316+CP317+CP318-CP322-CP323-CP324-CP325-CP326)-CP329</f>
        <v>0</v>
      </c>
      <c r="CQ330" s="617"/>
      <c r="CR330" s="618">
        <f>(CR316+CR317+CR318-CR322-CR323-CR324-CR325-CR326)-CR329</f>
        <v>-7.1054273576010019E-14</v>
      </c>
      <c r="CS330" s="617"/>
      <c r="CT330" s="618">
        <f>(CT316+CT317+CT318-CT322-CT323-CT324-CT325-CT326)-CT329</f>
        <v>2.8421709430404007E-14</v>
      </c>
      <c r="CU330" s="617"/>
      <c r="CV330" s="618">
        <f>(CV316+CV317+CV318-CV322-CV323-CV324-CV325-CV326)-CV329</f>
        <v>0</v>
      </c>
      <c r="CW330" s="617"/>
      <c r="CX330" s="618">
        <f>(CX316+CX317+CX318-CX322-CX323-CX324-CX325-CX326)-CX329</f>
        <v>2.8421709430404007E-14</v>
      </c>
      <c r="CY330" s="617"/>
      <c r="CZ330" s="618">
        <f>(CZ316+CZ317+CZ318-CZ322-CZ323-CZ324-CZ325-CZ326)-CZ329</f>
        <v>0</v>
      </c>
      <c r="DA330" s="617"/>
      <c r="DB330" s="618">
        <f>(DB316+DB317+DB318-DB322-DB323-DB324-DB325-DB326)-DB329</f>
        <v>2.8421709430404007E-14</v>
      </c>
      <c r="DC330" s="617"/>
      <c r="DD330" s="618">
        <f>(DD316+DD317+DD318-DD322-DD323-DD324-DD325-DD326)-DD329</f>
        <v>7.1054273576010019E-14</v>
      </c>
      <c r="DE330" s="617"/>
      <c r="DF330" s="618">
        <f>(DF316+DF317+DF318-DF322-DF323-DF324-DF325-DF326)-DF329</f>
        <v>-4.9737991503207013E-14</v>
      </c>
      <c r="DG330" s="617"/>
      <c r="DH330" s="618">
        <f>(DH316+DH317+DH318-DH322-DH323-DH324-DH325-DH326)-DH329</f>
        <v>6.3948846218409017E-14</v>
      </c>
      <c r="DI330" s="617"/>
      <c r="DJ330" s="618">
        <f>(DJ316+DJ317+DJ318-DJ322-DJ323-DJ324-DJ325-DJ326)-DJ329</f>
        <v>7.1054273576010019E-14</v>
      </c>
      <c r="DK330" s="617"/>
      <c r="DL330" s="618">
        <f>(DL316+DL317+DL318-DL322-DL323-DL324-DL325-DL326)-DL329</f>
        <v>7.1054273576010019E-14</v>
      </c>
      <c r="DM330" s="617"/>
      <c r="DN330" s="618">
        <f>(DN316+DN317+DN318-DN322-DN323-DN324-DN325-DN326)-DN329</f>
        <v>-2.8421709430404007E-14</v>
      </c>
      <c r="DO330" s="617"/>
      <c r="DP330" s="618">
        <f>(DP316+DP317+DP318-DP322-DP323-DP324-DP325-DP326)-DP329</f>
        <v>0</v>
      </c>
      <c r="DQ330" s="617"/>
      <c r="DR330" s="618">
        <f t="shared" ref="DR330" si="236">(DR316+DR317+DR318-DR322-DR323-DR324-DR325-DR326)-DR329</f>
        <v>4.2632564145606011E-14</v>
      </c>
      <c r="DS330" s="617"/>
      <c r="DT330" s="618">
        <f t="shared" ref="DT330" si="237">(DT316+DT317+DT318-DT322-DT323-DT324-DT325-DT326)-DT329</f>
        <v>0</v>
      </c>
      <c r="DU330" s="617"/>
      <c r="DV330" s="618">
        <f t="shared" ref="DV330" si="238">(DV316+DV317+DV318-DV322-DV323-DV324-DV325-DV326)-DV329</f>
        <v>0</v>
      </c>
      <c r="DW330" s="617"/>
      <c r="DX330" s="618">
        <f t="shared" ref="DX330" si="239">(DX316+DX317+DX318-DX322-DX323-DX324-DX325-DX326)-DX329</f>
        <v>0</v>
      </c>
      <c r="DY330" s="617"/>
      <c r="DZ330" s="618">
        <f t="shared" ref="DZ330" si="240">(DZ316+DZ317+DZ318-DZ322-DZ323-DZ324-DZ325-DZ326)-DZ329</f>
        <v>6.3948846218409017E-14</v>
      </c>
      <c r="EA330" s="617"/>
      <c r="EB330" s="618">
        <f t="shared" ref="EB330" si="241">(EB316+EB317+EB318-EB322-EB323-EB324-EB325-EB326)-EB329</f>
        <v>3.5527136788005009E-14</v>
      </c>
      <c r="EC330" s="617"/>
      <c r="ED330" s="618">
        <f t="shared" ref="ED330" si="242">(ED316+ED317+ED318-ED322-ED323-ED324-ED325-ED326)-ED329</f>
        <v>0</v>
      </c>
      <c r="EE330" s="617"/>
      <c r="EF330" s="618">
        <f t="shared" ref="EF330" si="243">(EF316+EF317+EF318-EF322-EF323-EF324-EF325-EF326)-EF329</f>
        <v>0</v>
      </c>
      <c r="EG330" s="617"/>
      <c r="EH330" s="617"/>
      <c r="EI330" s="615"/>
      <c r="EJ330" s="616"/>
      <c r="EK330" s="615"/>
      <c r="EL330" s="616"/>
      <c r="EM330" s="615"/>
      <c r="EN330" s="616"/>
      <c r="EO330" s="615"/>
      <c r="EP330" s="616"/>
      <c r="EQ330" s="615"/>
      <c r="ER330" s="617"/>
      <c r="ES330" s="615"/>
      <c r="ET330" s="617"/>
      <c r="EU330" s="615"/>
      <c r="EV330" s="617"/>
      <c r="EW330" s="615"/>
      <c r="EX330" s="617"/>
      <c r="EY330" s="615"/>
      <c r="EZ330" s="617"/>
      <c r="FA330" s="618">
        <f>(FA316+FA317+FA318-FA322-FA323-FA324-FA325-FA326)-FA329</f>
        <v>-3.979039320256561E-13</v>
      </c>
      <c r="FB330" s="617"/>
      <c r="FC330" s="618">
        <f>(FC316+FC317+FC318-FC322-FC323-FC324-FC325-FC326)-FC329</f>
        <v>0</v>
      </c>
      <c r="FD330" s="617"/>
      <c r="FE330" s="618">
        <f>(FE316+FE317+FE318-FE322-FE323-FE324-FE325-FE326)-FE329</f>
        <v>-2.2737367544323206E-13</v>
      </c>
      <c r="FF330" s="617"/>
      <c r="FG330" s="618">
        <f>(FG316+FG317+FG318-FG322-FG323-FG324-FG325-FG326)-FG329</f>
        <v>3.4106051316484809E-13</v>
      </c>
      <c r="FH330" s="617"/>
      <c r="FI330" s="618">
        <f>(FI316+FI317+FI318-FI322-FI323-FI324-FI325-FI326)-FI329</f>
        <v>0</v>
      </c>
      <c r="FJ330" s="617"/>
      <c r="FK330" s="618">
        <f>(FK316+FK317+FK318-FK322-FK323-FK324-FK325-FK326)-FK329</f>
        <v>0</v>
      </c>
      <c r="FL330" s="617"/>
      <c r="FM330" s="618">
        <f>(FM316+FM317+FM318-FM322-FM323-FM324-FM325-FM326)-FM329</f>
        <v>0</v>
      </c>
      <c r="FN330" s="617"/>
      <c r="FO330" s="618">
        <f>(FO316+FO317+FO318-FO322-FO323-FO324-FO325-FO326)-FO329</f>
        <v>1.7053025658242404E-13</v>
      </c>
      <c r="FP330" s="617"/>
      <c r="FQ330" s="618">
        <f>(FQ316+FQ317+FQ318-FQ322-FQ323-FQ324-FQ325-FQ326)-FQ329</f>
        <v>0</v>
      </c>
      <c r="FR330" s="617"/>
      <c r="FS330" s="618">
        <f>(FS316+FS317+FS318-FS322-FS323-FS324-FS325-FS326)-FS329</f>
        <v>-1.1368683772161603E-13</v>
      </c>
      <c r="FT330" s="617"/>
      <c r="FU330" s="618">
        <f>(FU316+FU317+FU318-FU322-FU323-FU324-FU325-FU326)-FU329</f>
        <v>1.9895196601282805E-13</v>
      </c>
      <c r="FV330" s="617"/>
      <c r="FW330" s="618">
        <f>(FW316+FW317+FW318-FW322-FW323-FW324-FW325-FW326)-FW329</f>
        <v>0</v>
      </c>
      <c r="FX330" s="617"/>
      <c r="FY330" s="618">
        <f>(FY316+FY317+FY318-FY322-FY323-FY324-FY325-FY326)-FY329</f>
        <v>0</v>
      </c>
      <c r="FZ330" s="617"/>
      <c r="GA330" s="616"/>
    </row>
    <row r="331" spans="1:183" ht="12.75" hidden="1" customHeight="1" outlineLevel="1" collapsed="1" x14ac:dyDescent="0.2">
      <c r="A331" s="612"/>
      <c r="B331" s="96"/>
      <c r="C331" s="399"/>
      <c r="D331" s="96"/>
      <c r="E331" s="399"/>
      <c r="F331" s="96"/>
      <c r="G331" s="399"/>
      <c r="H331" s="96"/>
      <c r="I331" s="399"/>
      <c r="J331" s="96"/>
      <c r="K331" s="399"/>
      <c r="L331" s="96"/>
      <c r="M331" s="399"/>
      <c r="N331" s="96"/>
      <c r="O331" s="399"/>
      <c r="P331" s="96"/>
      <c r="Q331" s="399"/>
      <c r="R331" s="96"/>
      <c r="S331" s="399"/>
      <c r="T331" s="96"/>
      <c r="U331" s="399"/>
      <c r="V331" s="96"/>
      <c r="W331" s="399"/>
      <c r="X331" s="96"/>
      <c r="Y331" s="399"/>
      <c r="Z331" s="96"/>
      <c r="AA331" s="399"/>
      <c r="AB331" s="96"/>
      <c r="AC331" s="399"/>
      <c r="AD331" s="96"/>
      <c r="AE331" s="399"/>
      <c r="AF331" s="96"/>
      <c r="AG331" s="399"/>
      <c r="AH331" s="96"/>
      <c r="AI331" s="399"/>
      <c r="AJ331" s="96"/>
      <c r="AK331" s="399"/>
      <c r="AL331" s="96"/>
      <c r="AM331" s="399"/>
      <c r="AN331" s="96"/>
      <c r="AO331" s="18"/>
      <c r="AP331" s="96"/>
      <c r="AQ331" s="18"/>
      <c r="AR331" s="96"/>
      <c r="AS331" s="18"/>
      <c r="AT331" s="96"/>
      <c r="AU331" s="18"/>
      <c r="AV331" s="96"/>
      <c r="AW331" s="18"/>
      <c r="AX331" s="96"/>
      <c r="AY331" s="18"/>
      <c r="AZ331" s="96"/>
      <c r="BA331" s="18"/>
      <c r="BB331" s="96"/>
      <c r="BC331" s="18"/>
      <c r="BD331" s="96"/>
      <c r="BE331" s="18"/>
      <c r="BF331" s="96"/>
      <c r="BG331" s="18"/>
      <c r="BH331" s="96"/>
      <c r="BI331" s="18"/>
      <c r="BJ331" s="96"/>
      <c r="BK331" s="18"/>
      <c r="BL331" s="96"/>
      <c r="BM331" s="18"/>
      <c r="BN331" s="96"/>
      <c r="BO331" s="18"/>
      <c r="BP331" s="96"/>
      <c r="BQ331" s="18"/>
      <c r="BR331" s="96"/>
      <c r="BS331" s="18"/>
      <c r="BT331" s="96"/>
      <c r="BU331" s="18"/>
      <c r="BV331" s="96"/>
      <c r="BW331" s="18"/>
      <c r="BX331" s="96"/>
      <c r="BY331" s="18"/>
      <c r="BZ331" s="96"/>
      <c r="CA331" s="18"/>
      <c r="CB331" s="96"/>
      <c r="CC331" s="18"/>
      <c r="CD331" s="96"/>
      <c r="CE331" s="18"/>
      <c r="CF331" s="96"/>
      <c r="CG331" s="18"/>
      <c r="CH331" s="96"/>
      <c r="CI331" s="18"/>
      <c r="CJ331" s="96"/>
      <c r="CK331" s="18"/>
      <c r="CL331" s="96"/>
      <c r="CM331" s="18"/>
      <c r="CN331" s="96"/>
      <c r="CO331" s="18"/>
      <c r="CP331" s="96"/>
      <c r="CQ331" s="18"/>
      <c r="CR331" s="96"/>
      <c r="CS331" s="18"/>
      <c r="CT331" s="96"/>
      <c r="CU331" s="18"/>
      <c r="CV331" s="96"/>
      <c r="CW331" s="18"/>
      <c r="CX331" s="96"/>
      <c r="CY331" s="18"/>
      <c r="CZ331" s="96"/>
      <c r="DA331" s="18"/>
      <c r="DB331" s="96"/>
      <c r="DC331" s="18"/>
      <c r="DD331" s="96"/>
      <c r="DE331" s="18"/>
      <c r="DF331" s="96"/>
      <c r="DG331" s="18"/>
      <c r="DH331" s="96"/>
      <c r="DI331" s="18"/>
      <c r="DJ331" s="96"/>
      <c r="DK331" s="18"/>
      <c r="DL331" s="96"/>
      <c r="DM331" s="18"/>
      <c r="DN331" s="96"/>
      <c r="DO331" s="18"/>
      <c r="DP331" s="96"/>
      <c r="DQ331" s="18"/>
      <c r="DR331" s="96"/>
      <c r="DS331" s="18"/>
      <c r="DT331" s="96"/>
      <c r="DU331" s="18"/>
      <c r="DV331" s="96"/>
      <c r="DW331" s="18"/>
      <c r="DX331" s="96"/>
      <c r="DY331" s="18"/>
      <c r="DZ331" s="96"/>
      <c r="EA331" s="18"/>
      <c r="EB331" s="96"/>
      <c r="EC331" s="18"/>
      <c r="ED331" s="96"/>
      <c r="EE331" s="18"/>
      <c r="EF331" s="96"/>
      <c r="EG331" s="18"/>
      <c r="EH331" s="18"/>
      <c r="EI331" s="96"/>
      <c r="EJ331" s="399"/>
      <c r="EK331" s="96"/>
      <c r="EL331" s="399"/>
      <c r="EM331" s="96"/>
      <c r="EN331" s="399"/>
      <c r="EO331" s="96"/>
      <c r="EP331" s="399"/>
      <c r="EQ331" s="96"/>
      <c r="ER331" s="18"/>
      <c r="ES331" s="96"/>
      <c r="ET331" s="18"/>
      <c r="EU331" s="96"/>
      <c r="EV331" s="18"/>
      <c r="EW331" s="96"/>
      <c r="EX331" s="18"/>
      <c r="EY331" s="96"/>
      <c r="EZ331" s="18"/>
      <c r="FA331" s="96"/>
      <c r="FB331" s="18"/>
      <c r="FC331" s="96"/>
      <c r="FD331" s="18"/>
      <c r="FE331" s="96"/>
      <c r="FF331" s="18"/>
      <c r="FG331" s="96"/>
      <c r="FH331" s="18"/>
      <c r="FI331" s="96"/>
      <c r="FJ331" s="18"/>
      <c r="FK331" s="96"/>
      <c r="FL331" s="18"/>
      <c r="FM331" s="96"/>
      <c r="FN331" s="18"/>
      <c r="FO331" s="96"/>
      <c r="FP331" s="18"/>
      <c r="FQ331" s="96"/>
      <c r="FR331" s="18"/>
      <c r="FS331" s="96"/>
      <c r="FT331" s="18"/>
      <c r="FU331" s="96"/>
      <c r="FV331" s="18"/>
      <c r="FW331" s="96"/>
      <c r="FX331" s="18"/>
      <c r="FY331" s="96"/>
      <c r="FZ331" s="18"/>
      <c r="GA331" s="399"/>
    </row>
    <row r="332" spans="1:183" ht="12.75" hidden="1" customHeight="1" outlineLevel="1" x14ac:dyDescent="0.2">
      <c r="A332" s="610" t="s">
        <v>260</v>
      </c>
      <c r="B332" s="119">
        <f>INPUT!M452</f>
        <v>12.024141132776247</v>
      </c>
      <c r="C332" s="613" t="str">
        <f>INPUT!N452</f>
        <v>NA</v>
      </c>
      <c r="D332" s="119">
        <f>INPUT!O452</f>
        <v>8.6040386303775342</v>
      </c>
      <c r="E332" s="613" t="str">
        <f>INPUT!P452</f>
        <v>NA</v>
      </c>
      <c r="F332" s="119">
        <f>INPUT!Q452</f>
        <v>8.2327586206896406</v>
      </c>
      <c r="G332" s="613" t="str">
        <f>INPUT!R452</f>
        <v>NA</v>
      </c>
      <c r="H332" s="119">
        <f>INPUT!S452</f>
        <v>8.1021576398062436</v>
      </c>
      <c r="I332" s="613" t="str">
        <f>INPUT!T452</f>
        <v>NA</v>
      </c>
      <c r="J332" s="119">
        <f>INPUT!U452</f>
        <v>-5.1905387647831924</v>
      </c>
      <c r="K332" s="613" t="str">
        <f>INPUT!V452</f>
        <v>NM</v>
      </c>
      <c r="L332" s="119">
        <f>INPUT!W452</f>
        <v>3.2336790726051849</v>
      </c>
      <c r="M332" s="613" t="str">
        <f>INPUT!X452</f>
        <v>NM</v>
      </c>
      <c r="N332" s="119">
        <f>INPUT!Y452</f>
        <v>11.066282420749287</v>
      </c>
      <c r="O332" s="613">
        <f>INPUT!Z452</f>
        <v>34.417671288682669</v>
      </c>
      <c r="P332" s="119">
        <f>INPUT!AA452</f>
        <v>-7.5407608695651964</v>
      </c>
      <c r="Q332" s="613" t="str">
        <f>INPUT!AB452</f>
        <v>NM</v>
      </c>
      <c r="R332" s="119">
        <f>INPUT!AC452</f>
        <v>116.12822124450032</v>
      </c>
      <c r="S332" s="613" t="str">
        <f>INPUT!AD452</f>
        <v>NM</v>
      </c>
      <c r="T332" s="119">
        <f>INPUT!AE452</f>
        <v>15.105740181268896</v>
      </c>
      <c r="U332" s="613" t="str">
        <f>INPUT!AF452</f>
        <v>NM</v>
      </c>
      <c r="V332" s="119">
        <f>INPUT!AG452</f>
        <v>17.297973219402905</v>
      </c>
      <c r="W332" s="613">
        <f>INPUT!AH452</f>
        <v>56.312414248250107</v>
      </c>
      <c r="X332" s="119">
        <f>INPUT!AI452</f>
        <v>32.482598607888555</v>
      </c>
      <c r="Y332" s="613" t="str">
        <f>INPUT!AJ452</f>
        <v>NM</v>
      </c>
      <c r="Z332" s="119">
        <f>INPUT!AK452</f>
        <v>12.499999999999948</v>
      </c>
      <c r="AA332" s="613" t="str">
        <f>INPUT!AL452</f>
        <v>NM</v>
      </c>
      <c r="AB332" s="119">
        <f>INPUT!AM452</f>
        <v>13.829256115826274</v>
      </c>
      <c r="AC332" s="613">
        <f>INPUT!AN452</f>
        <v>-8.4503245132301448</v>
      </c>
      <c r="AD332" s="119">
        <f>INPUT!AO452</f>
        <v>14.210526315789473</v>
      </c>
      <c r="AE332" s="613">
        <f>INPUT!AP452</f>
        <v>-17.848604946100188</v>
      </c>
      <c r="AF332" s="119">
        <f>INPUT!AQ452</f>
        <v>17.992525360384441</v>
      </c>
      <c r="AG332" s="613">
        <f>INPUT!AR452</f>
        <v>-44.608725497673483</v>
      </c>
      <c r="AH332" s="119">
        <f>INPUT!AS452</f>
        <v>13.832424392662396</v>
      </c>
      <c r="AI332" s="613">
        <f>INPUT!AT452</f>
        <v>10.659395141299633</v>
      </c>
      <c r="AJ332" s="119">
        <f>INPUT!AU452</f>
        <v>15.334872979214795</v>
      </c>
      <c r="AK332" s="613">
        <f>INPUT!AV452</f>
        <v>10.887186199881604</v>
      </c>
      <c r="AL332" s="119">
        <f>INPUT!AW452</f>
        <v>11.738241308793446</v>
      </c>
      <c r="AM332" s="613">
        <f>INPUT!AX452</f>
        <v>-17.397561160342413</v>
      </c>
      <c r="AN332" s="119">
        <f>INPUT!AY452</f>
        <v>10.830188679245275</v>
      </c>
      <c r="AO332" s="613">
        <f>INPUT!AZ452</f>
        <v>-39.807289625441058</v>
      </c>
      <c r="AP332" s="119">
        <f>INPUT!BA452</f>
        <v>8.5356600910470419</v>
      </c>
      <c r="AQ332" s="613">
        <f>INPUT!BB452</f>
        <v>-38.292378481570431</v>
      </c>
      <c r="AR332" s="119">
        <f>INPUT!BC452</f>
        <v>10.671506352087127</v>
      </c>
      <c r="AS332" s="613">
        <f>INPUT!BD452</f>
        <v>-30.410207071480102</v>
      </c>
      <c r="AT332" s="119">
        <f>INPUT!BE452</f>
        <v>9.0461538461538442</v>
      </c>
      <c r="AU332" s="613">
        <f>INPUT!BF452</f>
        <v>-22.934333958724153</v>
      </c>
      <c r="AV332" s="119">
        <f>INPUT!BG452</f>
        <v>4.8891786179921768</v>
      </c>
      <c r="AW332" s="613" t="str">
        <f>INPUT!BH452</f>
        <v>NM</v>
      </c>
      <c r="AX332" s="119">
        <f>INPUT!BI452</f>
        <v>0.92592592592591871</v>
      </c>
      <c r="AY332" s="613" t="str">
        <f>INPUT!BJ452</f>
        <v>NM</v>
      </c>
      <c r="AZ332" s="119">
        <f>INPUT!BK452</f>
        <v>0.93869169844528932</v>
      </c>
      <c r="BA332" s="613" t="str">
        <f>INPUT!BL452</f>
        <v>NM</v>
      </c>
      <c r="BB332" s="119">
        <f>INPUT!BM452</f>
        <v>2.2113022113021947</v>
      </c>
      <c r="BC332" s="613" t="str">
        <f>INPUT!BN452</f>
        <v>NM</v>
      </c>
      <c r="BD332" s="119">
        <f>INPUT!BO452</f>
        <v>2.2888459058671882</v>
      </c>
      <c r="BE332" s="613" t="str">
        <f>INPUT!BP452</f>
        <v>NM</v>
      </c>
      <c r="BF332" s="119">
        <f>INPUT!BQ452</f>
        <v>3.5850253807106465</v>
      </c>
      <c r="BG332" s="613" t="str">
        <f>INPUT!BR452</f>
        <v>NM</v>
      </c>
      <c r="BH332" s="119">
        <f>INPUT!BS452</f>
        <v>3.0873726458783386</v>
      </c>
      <c r="BI332" s="613" t="str">
        <f>INPUT!BT452</f>
        <v>NM</v>
      </c>
      <c r="BJ332" s="119">
        <f>INPUT!BU452</f>
        <v>2.2521113543947426</v>
      </c>
      <c r="BK332" s="613">
        <f>INPUT!BV452</f>
        <v>1.8454801376296848</v>
      </c>
      <c r="BL332" s="119">
        <f>INPUT!BW452</f>
        <v>1.8023617153511546</v>
      </c>
      <c r="BM332" s="613">
        <f>INPUT!BX452</f>
        <v>-21.254562802545529</v>
      </c>
      <c r="BN332" s="119">
        <f>INPUT!BY452</f>
        <v>10.555718906204051</v>
      </c>
      <c r="BO332" s="613" t="str">
        <f>INPUT!BZ452</f>
        <v>NM</v>
      </c>
      <c r="BP332" s="119">
        <f>INPUT!CA452</f>
        <v>6.9266589057042944</v>
      </c>
      <c r="BQ332" s="613" t="str">
        <f>INPUT!CB452</f>
        <v>NM</v>
      </c>
      <c r="BR332" s="119">
        <f>INPUT!CC452</f>
        <v>8.9891041162227729</v>
      </c>
      <c r="BS332" s="613" t="str">
        <f>INPUT!CD452</f>
        <v>NM</v>
      </c>
      <c r="BT332" s="119">
        <f>INPUT!CE452</f>
        <v>9.3112244897959613</v>
      </c>
      <c r="BU332" s="613" t="str">
        <f>INPUT!CF452</f>
        <v>NM</v>
      </c>
      <c r="BV332" s="119">
        <f>INPUT!CG452</f>
        <v>9.9625234228606736</v>
      </c>
      <c r="BW332" s="613">
        <f>INPUT!CH452</f>
        <v>-5.6196597182474273</v>
      </c>
      <c r="BX332" s="119">
        <f>INPUT!CI452</f>
        <v>8.7835885582202238</v>
      </c>
      <c r="BY332" s="613">
        <f>INPUT!CJ452</f>
        <v>26.808446580019929</v>
      </c>
      <c r="BZ332" s="119">
        <f>INPUT!CK452</f>
        <v>9.606986899563303</v>
      </c>
      <c r="CA332" s="613">
        <f>INPUT!CL452</f>
        <v>6.8736859129868932</v>
      </c>
      <c r="CB332" s="119">
        <f>INPUT!CM452</f>
        <v>-4.9935149156938756</v>
      </c>
      <c r="CC332" s="613" t="str">
        <f>INPUT!CN452</f>
        <v>NM</v>
      </c>
      <c r="CD332" s="119">
        <f>INPUT!CO452</f>
        <v>4.9805950840879625</v>
      </c>
      <c r="CE332" s="613" t="str">
        <f>INPUT!CP452</f>
        <v>NM</v>
      </c>
      <c r="CF332" s="119">
        <f>INPUT!CQ452</f>
        <v>8.2876491454369727</v>
      </c>
      <c r="CG332" s="613">
        <f>INPUT!CR452</f>
        <v>-5.6462049593513868</v>
      </c>
      <c r="CH332" s="119">
        <f>INPUT!CS452</f>
        <v>8.2394592854843971</v>
      </c>
      <c r="CI332" s="613">
        <f>INPUT!CT452</f>
        <v>-14.234719255639538</v>
      </c>
      <c r="CJ332" s="119">
        <f>INPUT!CU452</f>
        <v>9.2993219244429959</v>
      </c>
      <c r="CK332" s="613" t="str">
        <f>INPUT!CV452</f>
        <v>NM</v>
      </c>
      <c r="CL332" s="119">
        <f>INPUT!CW452</f>
        <v>8.5256410256410664</v>
      </c>
      <c r="CM332" s="613">
        <f>INPUT!CX452</f>
        <v>71.177156177157201</v>
      </c>
      <c r="CN332" s="119">
        <f>INPUT!CY452</f>
        <v>9.2410288980628863</v>
      </c>
      <c r="CO332" s="613">
        <f>INPUT!CZ452</f>
        <v>11.503621061840285</v>
      </c>
      <c r="CP332" s="119">
        <f>INPUT!DA452</f>
        <v>7.9013906447534756</v>
      </c>
      <c r="CQ332" s="613">
        <f>INPUT!DB452</f>
        <v>-4.1030440107459825</v>
      </c>
      <c r="CR332" s="119">
        <f>INPUT!DC452</f>
        <v>8.7846763540290702</v>
      </c>
      <c r="CS332" s="613">
        <f>INPUT!DD452</f>
        <v>-5.5342268457358674</v>
      </c>
      <c r="CT332" s="119">
        <f>INPUT!DE452</f>
        <v>8.710372422283772</v>
      </c>
      <c r="CU332" s="613">
        <f>INPUT!DF452</f>
        <v>2.1667742764106768</v>
      </c>
      <c r="CV332" s="119">
        <f>INPUT!DG452</f>
        <v>11.251152782047383</v>
      </c>
      <c r="CW332" s="613">
        <f>INPUT!DH452</f>
        <v>21.752165328753172</v>
      </c>
      <c r="CX332" s="119">
        <f>INPUT!DI452</f>
        <v>8.1021437578814766</v>
      </c>
      <c r="CY332" s="613">
        <f>INPUT!DJ452</f>
        <v>2.5407313997479752</v>
      </c>
      <c r="CZ332" s="119">
        <f>INPUT!DK452</f>
        <v>-7.8841512469830981</v>
      </c>
      <c r="DA332" s="613" t="str">
        <f>INPUT!DL452</f>
        <v>NM</v>
      </c>
      <c r="DB332" s="119">
        <f>INPUT!DM452</f>
        <v>8.3883129123468194</v>
      </c>
      <c r="DC332" s="613">
        <f>INPUT!DN452</f>
        <v>-3.6974252571913779</v>
      </c>
      <c r="DD332" s="119">
        <f>INPUT!DO452</f>
        <v>11.473354231974895</v>
      </c>
      <c r="DE332" s="613">
        <f>INPUT!DP452</f>
        <v>1.9749216300934291</v>
      </c>
      <c r="DF332" s="119">
        <f>INPUT!DQ452</f>
        <v>8.5099846390169063</v>
      </c>
      <c r="DG332" s="613">
        <f>INPUT!DR452</f>
        <v>5.0337403695003058</v>
      </c>
      <c r="DH332" s="119">
        <f>INPUT!DS452</f>
        <v>8.8005010961477623</v>
      </c>
      <c r="DI332" s="613" t="str">
        <f>INPUT!DT452</f>
        <v>NM</v>
      </c>
      <c r="DJ332" s="119">
        <f>INPUT!DU452</f>
        <v>10.378811210347964</v>
      </c>
      <c r="DK332" s="613">
        <f>INPUT!DV452</f>
        <v>23.729423530103588</v>
      </c>
      <c r="DL332" s="119">
        <f>INPUT!DW452</f>
        <v>9.7342490295610382</v>
      </c>
      <c r="DM332" s="613">
        <f>INPUT!DX452</f>
        <v>-15.157774851639939</v>
      </c>
      <c r="DN332" s="119">
        <f>INPUT!DY452</f>
        <v>8.9068825910931189</v>
      </c>
      <c r="DO332" s="613">
        <f>INPUT!DZ452</f>
        <v>4.6639091480435768</v>
      </c>
      <c r="DP332" s="119">
        <f>INPUT!EA452</f>
        <v>10.093348891481922</v>
      </c>
      <c r="DQ332" s="613">
        <f>INPUT!EB452</f>
        <v>14.690615695736664</v>
      </c>
      <c r="DR332" s="119">
        <f>INPUT!EC452</f>
        <v>9.2968520152985974</v>
      </c>
      <c r="DS332" s="613">
        <f>INPUT!ED452</f>
        <v>-10.424692897107747</v>
      </c>
      <c r="DT332" s="119">
        <f>INPUT!EE452</f>
        <v>9.2220650636492252</v>
      </c>
      <c r="DU332" s="613">
        <f>INPUT!EF452</f>
        <v>-5.2616690240449904</v>
      </c>
      <c r="DV332" s="119">
        <f>INPUT!EG452</f>
        <v>7.4635241301908044</v>
      </c>
      <c r="DW332" s="613">
        <f>INPUT!EH452</f>
        <v>-16.20497908376689</v>
      </c>
      <c r="DX332" s="119">
        <f>INPUT!EI452</f>
        <v>8.8763743631000072</v>
      </c>
      <c r="DY332" s="613">
        <f>INPUT!EJ452</f>
        <v>-12.057192726280929</v>
      </c>
      <c r="DZ332" s="119">
        <f>INPUT!EK452</f>
        <v>8.5770321708898773</v>
      </c>
      <c r="EA332" s="613">
        <f>INPUT!EL452</f>
        <v>-7.7426191491938079</v>
      </c>
      <c r="EB332" s="119">
        <f>INPUT!EM452</f>
        <v>8.3397166118395116</v>
      </c>
      <c r="EC332" s="613">
        <f>INPUT!EN452</f>
        <v>-9.567796862415145</v>
      </c>
      <c r="ED332" s="119">
        <f>INPUT!EO452</f>
        <v>8.1284989261076142</v>
      </c>
      <c r="EE332" s="613">
        <f>INPUT!EP452</f>
        <v>8.9096623031861277</v>
      </c>
      <c r="EF332" s="119">
        <f>INPUT!EQ452</f>
        <v>7.9009827414031131</v>
      </c>
      <c r="EG332" s="613">
        <f>INPUT!ER452</f>
        <v>-10.98862645712304</v>
      </c>
      <c r="EH332" s="18"/>
      <c r="EI332" s="119">
        <f>INPUT!FB452</f>
        <v>0</v>
      </c>
      <c r="EJ332" s="119" t="str">
        <f>INPUT!FC452</f>
        <v>NA</v>
      </c>
      <c r="EK332" s="119">
        <f>INPUT!FD452</f>
        <v>7.8501844320438785</v>
      </c>
      <c r="EL332" s="119" t="str">
        <f>INPUT!FE452</f>
        <v>NA</v>
      </c>
      <c r="EM332" s="119">
        <f>INPUT!FF452</f>
        <v>-92.047128129603578</v>
      </c>
      <c r="EN332" s="119" t="str">
        <f>INPUT!FG452</f>
        <v>NM</v>
      </c>
      <c r="EO332" s="119">
        <f>INPUT!FH452</f>
        <v>609.48148148148096</v>
      </c>
      <c r="EP332" s="119" t="str">
        <f>INPUT!FI452</f>
        <v>NM</v>
      </c>
      <c r="EQ332" s="119">
        <f>INPUT!FJ452</f>
        <v>14.614793959559755</v>
      </c>
      <c r="ER332" s="119" t="str">
        <f>INPUT!FK452</f>
        <v>NM</v>
      </c>
      <c r="ES332" s="119">
        <f>INPUT!FL452</f>
        <v>12.773525924328933</v>
      </c>
      <c r="ET332" s="119">
        <f>INPUT!FM452</f>
        <v>-12.598658868032974</v>
      </c>
      <c r="EU332" s="119">
        <f>INPUT!FN452</f>
        <v>8.224442736356643</v>
      </c>
      <c r="EV332" s="119">
        <f>INPUT!FO452</f>
        <v>-35.613371084235531</v>
      </c>
      <c r="EW332" s="119">
        <f>INPUT!FP452</f>
        <v>1.5815179471276526</v>
      </c>
      <c r="EX332" s="119" t="str">
        <f>INPUT!FQ452</f>
        <v>NM</v>
      </c>
      <c r="EY332" s="119">
        <f>INPUT!FR452</f>
        <v>9.4246408755794775</v>
      </c>
      <c r="EZ332" s="119" t="str">
        <f>INPUT!FS452</f>
        <v>NM</v>
      </c>
      <c r="FA332" s="119">
        <f>INPUT!FT452</f>
        <v>8.932740830006777</v>
      </c>
      <c r="FB332" s="119">
        <f>INPUT!FU452</f>
        <v>-5.2192974996774666</v>
      </c>
      <c r="FC332" s="119">
        <f>INPUT!FV452</f>
        <v>33.477438530126946</v>
      </c>
      <c r="FD332" s="119" t="str">
        <f>INPUT!FW452</f>
        <v>NM</v>
      </c>
      <c r="FE332" s="119">
        <f>INPUT!FX452</f>
        <v>7.5410097149227511</v>
      </c>
      <c r="FF332" s="119" t="str">
        <f>INPUT!FY452</f>
        <v>NM</v>
      </c>
      <c r="FG332" s="119">
        <f>INPUT!FZ452</f>
        <v>8.6108659016130122</v>
      </c>
      <c r="FH332" s="119">
        <f>INPUT!GA452</f>
        <v>14.187174226458609</v>
      </c>
      <c r="FI332" s="119">
        <f>INPUT!GB452</f>
        <v>20.185029436501299</v>
      </c>
      <c r="FJ332" s="119" t="str">
        <f>INPUT!GC452</f>
        <v>NM</v>
      </c>
      <c r="FK332" s="119">
        <f>INPUT!GD452</f>
        <v>9.289447001013956</v>
      </c>
      <c r="FL332" s="119" t="str">
        <f>INPUT!GE452</f>
        <v>NM</v>
      </c>
      <c r="FM332" s="119">
        <f>INPUT!GF452</f>
        <v>9.7846618813751682</v>
      </c>
      <c r="FN332" s="119">
        <f>INPUT!GG452</f>
        <v>5.3309403703703628</v>
      </c>
      <c r="FO332" s="119">
        <f>INPUT!GH452</f>
        <v>8.708793139804575</v>
      </c>
      <c r="FP332" s="119">
        <f>INPUT!GI452</f>
        <v>-10.995461617518732</v>
      </c>
      <c r="FQ332" s="119">
        <f>INPUT!GJ452</f>
        <v>8.2350118901335847</v>
      </c>
      <c r="FR332" s="119">
        <f>INPUT!GK452</f>
        <v>-5.4402629855279994</v>
      </c>
      <c r="FS332" s="119">
        <f>INPUT!GL452</f>
        <v>7.8513243563911956</v>
      </c>
      <c r="FT332" s="119">
        <f>INPUT!GM452</f>
        <v>-4.6592225835409788</v>
      </c>
      <c r="FU332" s="119">
        <f>INPUT!GN452</f>
        <v>7.4563401801896898</v>
      </c>
      <c r="FV332" s="119">
        <f>INPUT!GO452</f>
        <v>-5.0307968219396981</v>
      </c>
      <c r="FW332" s="119">
        <f>INPUT!GP452</f>
        <v>7.062517214371236</v>
      </c>
      <c r="FX332" s="119">
        <f>INPUT!GQ452</f>
        <v>-5.2817193998843877</v>
      </c>
      <c r="FY332" s="119">
        <f>INPUT!GR452</f>
        <v>6.7208932025049091</v>
      </c>
      <c r="FZ332" s="119">
        <f>INPUT!GS452</f>
        <v>-4.8371423601088033</v>
      </c>
      <c r="GA332" s="119">
        <f>INPUT!GT452</f>
        <v>-5.0502547424430277</v>
      </c>
    </row>
    <row r="333" spans="1:183" ht="12.75" hidden="1" customHeight="1" outlineLevel="1" x14ac:dyDescent="0.2">
      <c r="A333" s="612"/>
      <c r="B333" s="119"/>
      <c r="C333" s="399"/>
      <c r="D333" s="119"/>
      <c r="E333" s="5"/>
      <c r="F333" s="119"/>
      <c r="G333" s="5"/>
      <c r="H333" s="119"/>
      <c r="I333" s="5"/>
      <c r="J333" s="119"/>
      <c r="K333" s="5"/>
      <c r="L333" s="119"/>
      <c r="M333" s="5"/>
      <c r="N333" s="119"/>
      <c r="O333" s="5"/>
      <c r="P333" s="119"/>
      <c r="Q333" s="5"/>
      <c r="R333" s="119"/>
      <c r="S333" s="5"/>
      <c r="T333" s="119"/>
      <c r="U333" s="5"/>
      <c r="V333" s="119"/>
      <c r="W333" s="5"/>
      <c r="X333" s="119"/>
      <c r="Y333" s="5"/>
      <c r="Z333" s="119"/>
      <c r="AA333" s="5"/>
      <c r="AB333" s="119"/>
      <c r="AC333" s="5"/>
      <c r="AD333" s="119"/>
      <c r="AE333" s="5"/>
      <c r="AF333" s="119"/>
      <c r="AG333" s="5"/>
      <c r="AH333" s="119"/>
      <c r="AI333" s="5"/>
      <c r="AJ333" s="119"/>
      <c r="AK333" s="5"/>
      <c r="AL333" s="119"/>
      <c r="AM333" s="5"/>
      <c r="AN333" s="119"/>
      <c r="AO333" s="18"/>
      <c r="AP333" s="119"/>
      <c r="AQ333" s="18"/>
      <c r="AR333" s="119"/>
      <c r="AS333" s="18"/>
      <c r="AT333" s="119"/>
      <c r="AU333" s="18"/>
      <c r="AV333" s="119"/>
      <c r="AW333" s="18"/>
      <c r="AX333" s="119"/>
      <c r="AY333" s="18"/>
      <c r="AZ333" s="119"/>
      <c r="BA333" s="18"/>
      <c r="BB333" s="119"/>
      <c r="BC333" s="18"/>
      <c r="BD333" s="119"/>
      <c r="BE333" s="18"/>
      <c r="BF333" s="119"/>
      <c r="BG333" s="18"/>
      <c r="BH333" s="119"/>
      <c r="BI333" s="18"/>
      <c r="BJ333" s="119"/>
      <c r="BK333" s="18"/>
      <c r="BL333" s="119"/>
      <c r="BM333" s="18"/>
      <c r="BN333" s="119"/>
      <c r="BO333" s="18"/>
      <c r="BP333" s="119"/>
      <c r="BQ333" s="18"/>
      <c r="BR333" s="119"/>
      <c r="BS333" s="18"/>
      <c r="BT333" s="119"/>
      <c r="BU333" s="18"/>
      <c r="BV333" s="119"/>
      <c r="BW333" s="18"/>
      <c r="BX333" s="119"/>
      <c r="BY333" s="18"/>
      <c r="BZ333" s="119"/>
      <c r="CA333" s="18"/>
      <c r="CB333" s="119"/>
      <c r="CC333" s="18"/>
      <c r="CD333" s="119"/>
      <c r="CE333" s="18"/>
      <c r="CF333" s="119"/>
      <c r="CG333" s="18"/>
      <c r="CH333" s="119"/>
      <c r="CI333" s="18"/>
      <c r="CJ333" s="119"/>
      <c r="CK333" s="18"/>
      <c r="CL333" s="119"/>
      <c r="CM333" s="18"/>
      <c r="CN333" s="119"/>
      <c r="CO333" s="18"/>
      <c r="CP333" s="119"/>
      <c r="CQ333" s="18"/>
      <c r="CR333" s="119"/>
      <c r="CS333" s="18"/>
      <c r="CT333" s="119"/>
      <c r="CU333" s="18"/>
      <c r="CV333" s="119"/>
      <c r="CW333" s="18"/>
      <c r="CX333" s="119"/>
      <c r="CY333" s="18"/>
      <c r="CZ333" s="119"/>
      <c r="DA333" s="18"/>
      <c r="DB333" s="119"/>
      <c r="DC333" s="18"/>
      <c r="DD333" s="119"/>
      <c r="DE333" s="18"/>
      <c r="DF333" s="119"/>
      <c r="DG333" s="18"/>
      <c r="DH333" s="119"/>
      <c r="DI333" s="18"/>
      <c r="DJ333" s="119"/>
      <c r="DK333" s="18"/>
      <c r="DL333" s="119"/>
      <c r="DM333" s="18"/>
      <c r="DN333" s="119"/>
      <c r="DO333" s="18"/>
      <c r="DP333" s="119"/>
      <c r="DQ333" s="18"/>
      <c r="DR333" s="119"/>
      <c r="DS333" s="18"/>
      <c r="DT333" s="119"/>
      <c r="DU333" s="18"/>
      <c r="DV333" s="119"/>
      <c r="DW333" s="18"/>
      <c r="DX333" s="119"/>
      <c r="DY333" s="18"/>
      <c r="DZ333" s="119"/>
      <c r="EA333" s="18"/>
      <c r="EB333" s="119"/>
      <c r="EC333" s="18"/>
      <c r="ED333" s="119"/>
      <c r="EE333" s="18"/>
      <c r="EF333" s="119"/>
      <c r="EG333" s="18"/>
      <c r="EH333" s="18"/>
      <c r="EI333" s="119"/>
      <c r="EJ333" s="5"/>
      <c r="EK333" s="119"/>
      <c r="EL333" s="5"/>
      <c r="EM333" s="119"/>
      <c r="EN333" s="5"/>
      <c r="EO333" s="119"/>
      <c r="EP333" s="5"/>
      <c r="EQ333" s="119"/>
      <c r="ER333" s="18"/>
      <c r="ES333" s="119"/>
      <c r="ET333" s="18"/>
      <c r="EU333" s="119"/>
      <c r="EV333" s="18"/>
      <c r="EW333" s="119"/>
      <c r="EX333" s="18"/>
      <c r="EY333" s="119"/>
      <c r="EZ333" s="18"/>
      <c r="FA333" s="119"/>
      <c r="FB333" s="18"/>
      <c r="FC333" s="119"/>
      <c r="FD333" s="18"/>
      <c r="FE333" s="119"/>
      <c r="FF333" s="18"/>
      <c r="FG333" s="119"/>
      <c r="FH333" s="18"/>
      <c r="FI333" s="119"/>
      <c r="FJ333" s="18"/>
      <c r="FK333" s="119"/>
      <c r="FL333" s="18"/>
      <c r="FM333" s="119"/>
      <c r="FN333" s="18"/>
      <c r="FO333" s="119"/>
      <c r="FP333" s="18"/>
      <c r="FQ333" s="119"/>
      <c r="FR333" s="18"/>
      <c r="FS333" s="119"/>
      <c r="FT333" s="18"/>
      <c r="FU333" s="119"/>
      <c r="FV333" s="18"/>
      <c r="FW333" s="119"/>
      <c r="FX333" s="18"/>
      <c r="FY333" s="119"/>
      <c r="FZ333" s="18"/>
      <c r="GA333" s="5"/>
    </row>
    <row r="334" spans="1:183" ht="12.75" hidden="1" customHeight="1" outlineLevel="1" x14ac:dyDescent="0.2">
      <c r="A334" s="610" t="s">
        <v>450</v>
      </c>
      <c r="B334" s="119"/>
      <c r="C334" s="399"/>
      <c r="D334" s="119"/>
      <c r="E334" s="5"/>
      <c r="F334" s="119"/>
      <c r="G334" s="5"/>
      <c r="H334" s="119"/>
      <c r="I334" s="5"/>
      <c r="J334" s="119"/>
      <c r="K334" s="5"/>
      <c r="L334" s="119"/>
      <c r="M334" s="5"/>
      <c r="N334" s="119"/>
      <c r="O334" s="5"/>
      <c r="P334" s="119"/>
      <c r="Q334" s="5"/>
      <c r="R334" s="119"/>
      <c r="S334" s="5"/>
      <c r="T334" s="119"/>
      <c r="U334" s="5"/>
      <c r="V334" s="119"/>
      <c r="W334" s="5"/>
      <c r="X334" s="119"/>
      <c r="Y334" s="5"/>
      <c r="Z334" s="119"/>
      <c r="AA334" s="5"/>
      <c r="AB334" s="119"/>
      <c r="AC334" s="5"/>
      <c r="AD334" s="119"/>
      <c r="AE334" s="5"/>
      <c r="AF334" s="119"/>
      <c r="AG334" s="5"/>
      <c r="AH334" s="119"/>
      <c r="AI334" s="5"/>
      <c r="AJ334" s="119"/>
      <c r="AK334" s="5"/>
      <c r="AL334" s="119"/>
      <c r="AM334" s="5"/>
      <c r="AN334" s="119"/>
      <c r="AO334" s="18"/>
      <c r="AP334" s="119"/>
      <c r="AQ334" s="18"/>
      <c r="AR334" s="119"/>
      <c r="AS334" s="18"/>
      <c r="AT334" s="119"/>
      <c r="AU334" s="18"/>
      <c r="AV334" s="119"/>
      <c r="AW334" s="18"/>
      <c r="AX334" s="119"/>
      <c r="AY334" s="18"/>
      <c r="AZ334" s="119"/>
      <c r="BA334" s="18"/>
      <c r="BB334" s="119"/>
      <c r="BC334" s="18"/>
      <c r="BD334" s="119"/>
      <c r="BE334" s="18"/>
      <c r="BF334" s="119"/>
      <c r="BG334" s="18"/>
      <c r="BH334" s="119"/>
      <c r="BI334" s="18"/>
      <c r="BJ334" s="119"/>
      <c r="BK334" s="18"/>
      <c r="BL334" s="119"/>
      <c r="BM334" s="18"/>
      <c r="BN334" s="119"/>
      <c r="BO334" s="18"/>
      <c r="BP334" s="119"/>
      <c r="BQ334" s="18"/>
      <c r="BR334" s="119"/>
      <c r="BS334" s="18"/>
      <c r="BT334" s="119"/>
      <c r="BU334" s="18"/>
      <c r="BV334" s="119"/>
      <c r="BW334" s="18"/>
      <c r="BX334" s="119"/>
      <c r="BY334" s="18"/>
      <c r="BZ334" s="119"/>
      <c r="CA334" s="18"/>
      <c r="CB334" s="119"/>
      <c r="CC334" s="18"/>
      <c r="CD334" s="119"/>
      <c r="CE334" s="18"/>
      <c r="CF334" s="119"/>
      <c r="CG334" s="18"/>
      <c r="CH334" s="119"/>
      <c r="CI334" s="18"/>
      <c r="CJ334" s="119"/>
      <c r="CK334" s="18"/>
      <c r="CL334" s="119"/>
      <c r="CM334" s="18"/>
      <c r="CN334" s="119"/>
      <c r="CO334" s="18"/>
      <c r="CP334" s="119"/>
      <c r="CQ334" s="18"/>
      <c r="CR334" s="119"/>
      <c r="CS334" s="18"/>
      <c r="CT334" s="119"/>
      <c r="CU334" s="18"/>
      <c r="CV334" s="119"/>
      <c r="CW334" s="18"/>
      <c r="CX334" s="119"/>
      <c r="CY334" s="18"/>
      <c r="CZ334" s="119"/>
      <c r="DA334" s="18"/>
      <c r="DB334" s="119"/>
      <c r="DC334" s="18"/>
      <c r="DD334" s="119"/>
      <c r="DE334" s="18"/>
      <c r="DF334" s="119"/>
      <c r="DG334" s="18"/>
      <c r="DH334" s="119"/>
      <c r="DI334" s="18"/>
      <c r="DJ334" s="119"/>
      <c r="DK334" s="18"/>
      <c r="DL334" s="119"/>
      <c r="DM334" s="18"/>
      <c r="DN334" s="119"/>
      <c r="DO334" s="18"/>
      <c r="DP334" s="119"/>
      <c r="DQ334" s="18"/>
      <c r="DR334" s="119"/>
      <c r="DS334" s="18"/>
      <c r="DT334" s="119"/>
      <c r="DU334" s="18"/>
      <c r="DV334" s="119"/>
      <c r="DW334" s="18"/>
      <c r="DX334" s="119"/>
      <c r="DY334" s="18"/>
      <c r="DZ334" s="119"/>
      <c r="EA334" s="18"/>
      <c r="EB334" s="119"/>
      <c r="EC334" s="18"/>
      <c r="ED334" s="119"/>
      <c r="EE334" s="18"/>
      <c r="EF334" s="119"/>
      <c r="EG334" s="18"/>
      <c r="EH334" s="18"/>
      <c r="EI334" s="119"/>
      <c r="EJ334" s="5"/>
      <c r="EK334" s="119"/>
      <c r="EL334" s="5"/>
      <c r="EM334" s="119"/>
      <c r="EN334" s="5"/>
      <c r="EO334" s="119"/>
      <c r="EP334" s="5"/>
      <c r="EQ334" s="119"/>
      <c r="ER334" s="18"/>
      <c r="ES334" s="119"/>
      <c r="ET334" s="18"/>
      <c r="EU334" s="119"/>
      <c r="EV334" s="18"/>
      <c r="EW334" s="119"/>
      <c r="EX334" s="18"/>
      <c r="EY334" s="119"/>
      <c r="EZ334" s="18"/>
      <c r="FA334" s="119"/>
      <c r="FB334" s="18"/>
      <c r="FC334" s="119"/>
      <c r="FD334" s="18"/>
      <c r="FE334" s="119"/>
      <c r="FF334" s="18"/>
      <c r="FG334" s="119"/>
      <c r="FH334" s="18"/>
      <c r="FI334" s="119"/>
      <c r="FJ334" s="18"/>
      <c r="FK334" s="119"/>
      <c r="FL334" s="18"/>
      <c r="FM334" s="119"/>
      <c r="FN334" s="18"/>
      <c r="FO334" s="119"/>
      <c r="FP334" s="18"/>
      <c r="FQ334" s="119"/>
      <c r="FR334" s="18"/>
      <c r="FS334" s="119"/>
      <c r="FT334" s="18"/>
      <c r="FU334" s="119"/>
      <c r="FV334" s="18"/>
      <c r="FW334" s="119"/>
      <c r="FX334" s="18"/>
      <c r="FY334" s="119"/>
      <c r="FZ334" s="18"/>
      <c r="GA334" s="5"/>
    </row>
    <row r="335" spans="1:183" ht="12.75" hidden="1" customHeight="1" outlineLevel="1" x14ac:dyDescent="0.2">
      <c r="A335" s="612" t="str">
        <f>+INPUT!B277</f>
        <v>Pretax Earnings/Revenues (%)</v>
      </c>
      <c r="B335" s="119">
        <f>INPUT!M277</f>
        <v>5.3589902751913989</v>
      </c>
      <c r="C335" s="399" t="str">
        <f>INPUT!N277</f>
        <v>NA</v>
      </c>
      <c r="D335" s="119">
        <f>INPUT!O277</f>
        <v>3.8499312512276611</v>
      </c>
      <c r="E335" s="5" t="str">
        <f>INPUT!P277</f>
        <v>NA</v>
      </c>
      <c r="F335" s="119">
        <f>INPUT!Q277</f>
        <v>3.778437190900092</v>
      </c>
      <c r="G335" s="5" t="str">
        <f>INPUT!R277</f>
        <v>NA</v>
      </c>
      <c r="H335" s="119">
        <f>INPUT!S277</f>
        <v>3.6177742823436847</v>
      </c>
      <c r="I335" s="5" t="str">
        <f>INPUT!T277</f>
        <v>NA</v>
      </c>
      <c r="J335" s="119">
        <f>INPUT!U277</f>
        <v>3.2483552631579085</v>
      </c>
      <c r="K335" s="5">
        <f>INPUT!V277</f>
        <v>-39.384938274740719</v>
      </c>
      <c r="L335" s="119">
        <f>INPUT!W277</f>
        <v>1.071356377602567</v>
      </c>
      <c r="M335" s="5" t="str">
        <f>INPUT!X277</f>
        <v>NM</v>
      </c>
      <c r="N335" s="119">
        <f>INPUT!Y277</f>
        <v>3.8376973815710662</v>
      </c>
      <c r="O335" s="5">
        <f>INPUT!Z277</f>
        <v>1.568378344721344</v>
      </c>
      <c r="P335" s="119">
        <f>INPUT!AA277</f>
        <v>4.751712328767109</v>
      </c>
      <c r="Q335" s="5">
        <f>INPUT!AB277</f>
        <v>31.343526652769249</v>
      </c>
      <c r="R335" s="119">
        <f>INPUT!AC277</f>
        <v>-187.72607193659826</v>
      </c>
      <c r="S335" s="5" t="str">
        <f>INPUT!AD277</f>
        <v>NM</v>
      </c>
      <c r="T335" s="119">
        <f>INPUT!AE277</f>
        <v>6.5316786414108554</v>
      </c>
      <c r="U335" s="5" t="str">
        <f>INPUT!AF277</f>
        <v>NM</v>
      </c>
      <c r="V335" s="119">
        <f>INPUT!AG277</f>
        <v>7.2095548317046658</v>
      </c>
      <c r="W335" s="5">
        <f>INPUT!AH277</f>
        <v>87.86147303655396</v>
      </c>
      <c r="X335" s="119">
        <f>INPUT!AI277</f>
        <v>7.9730014764817465</v>
      </c>
      <c r="Y335" s="5">
        <f>INPUT!AJ277</f>
        <v>67.792175216769508</v>
      </c>
      <c r="Z335" s="119">
        <f>INPUT!AK277</f>
        <v>5.1724137931034413</v>
      </c>
      <c r="AA335" s="5" t="str">
        <f>INPUT!AL277</f>
        <v>NM</v>
      </c>
      <c r="AB335" s="119">
        <f>INPUT!AM277</f>
        <v>6.2627176124802144</v>
      </c>
      <c r="AC335" s="5">
        <f>INPUT!AN277</f>
        <v>-4.1177933529281008</v>
      </c>
      <c r="AD335" s="119">
        <f>INPUT!AO277</f>
        <v>6.2368752624947472</v>
      </c>
      <c r="AE335" s="5">
        <f>INPUT!AP277</f>
        <v>-13.491534386179749</v>
      </c>
      <c r="AF335" s="119">
        <f>INPUT!AQ277</f>
        <v>6.584603360687777</v>
      </c>
      <c r="AG335" s="5">
        <f>INPUT!AR277</f>
        <v>-17.413744621638138</v>
      </c>
      <c r="AH335" s="119">
        <f>INPUT!AS277</f>
        <v>5.5855855855855925</v>
      </c>
      <c r="AI335" s="5">
        <f>INPUT!AT277</f>
        <v>7.9879879879882765</v>
      </c>
      <c r="AJ335" s="119">
        <f>INPUT!AU277</f>
        <v>6.6122286397132024</v>
      </c>
      <c r="AK335" s="5">
        <f>INPUT!AV277</f>
        <v>5.5808204817743956</v>
      </c>
      <c r="AL335" s="119">
        <f>INPUT!AW277</f>
        <v>5.8535590454823554</v>
      </c>
      <c r="AM335" s="5">
        <f>INPUT!AX277</f>
        <v>-6.145965742131354</v>
      </c>
      <c r="AN335" s="119">
        <f>INPUT!AY277</f>
        <v>5.6865464632454907</v>
      </c>
      <c r="AO335" s="18">
        <f>INPUT!AZ277</f>
        <v>-13.638739469167993</v>
      </c>
      <c r="AP335" s="119">
        <f>INPUT!BA277</f>
        <v>4.6661136457901282</v>
      </c>
      <c r="AQ335" s="18">
        <f>INPUT!BB277</f>
        <v>-16.461513760854263</v>
      </c>
      <c r="AR335" s="119">
        <f>INPUT!BC277</f>
        <v>6.1429168407856318</v>
      </c>
      <c r="AS335" s="18">
        <f>INPUT!BD277</f>
        <v>-7.097634163901601</v>
      </c>
      <c r="AT335" s="119">
        <f>INPUT!BE277</f>
        <v>5.9143029571514738</v>
      </c>
      <c r="AU335" s="18">
        <f>INPUT!BF277</f>
        <v>1.0377261286191208</v>
      </c>
      <c r="AV335" s="119">
        <f>INPUT!BG277</f>
        <v>3.1036623215394163</v>
      </c>
      <c r="AW335" s="18">
        <f>INPUT!BH277</f>
        <v>-45.420962589514147</v>
      </c>
      <c r="AX335" s="119">
        <f>INPUT!BI277</f>
        <v>0.63961182179090814</v>
      </c>
      <c r="AY335" s="18" t="str">
        <f>INPUT!BJ277</f>
        <v>NM</v>
      </c>
      <c r="AZ335" s="119">
        <f>INPUT!BK277</f>
        <v>3.2971800433839453</v>
      </c>
      <c r="BA335" s="18">
        <f>INPUT!BL277</f>
        <v>-46.32549766110359</v>
      </c>
      <c r="BB335" s="119">
        <f>INPUT!BM277</f>
        <v>0.55481580115400431</v>
      </c>
      <c r="BC335" s="18" t="str">
        <f>INPUT!BN277</f>
        <v>NM</v>
      </c>
      <c r="BD335" s="119">
        <f>INPUT!BO277</f>
        <v>1.565946184384654</v>
      </c>
      <c r="BE335" s="18">
        <f>INPUT!BP277</f>
        <v>-49.545213939126441</v>
      </c>
      <c r="BF335" s="119">
        <f>INPUT!BQ277</f>
        <v>2.5513659968390052</v>
      </c>
      <c r="BG335" s="18" t="str">
        <f>INPUT!BR277</f>
        <v>NM</v>
      </c>
      <c r="BH335" s="119">
        <f>INPUT!BS277</f>
        <v>2.2665457842248284</v>
      </c>
      <c r="BI335" s="18">
        <f>INPUT!BT277</f>
        <v>-31.258052202128507</v>
      </c>
      <c r="BJ335" s="119">
        <f>INPUT!BU277</f>
        <v>1.6736401673640142</v>
      </c>
      <c r="BK335" s="18" t="str">
        <f>INPUT!BV277</f>
        <v>NM</v>
      </c>
      <c r="BL335" s="119">
        <f>INPUT!BW277</f>
        <v>1.3627819548872206</v>
      </c>
      <c r="BM335" s="18">
        <f>INPUT!BX277</f>
        <v>-12.973896007624797</v>
      </c>
      <c r="BN335" s="119">
        <f>INPUT!BY277</f>
        <v>5.242406542056071</v>
      </c>
      <c r="BO335" s="18" t="str">
        <f>INPUT!BZ277</f>
        <v>NM</v>
      </c>
      <c r="BP335" s="119">
        <f>INPUT!CA277</f>
        <v>3.4805498683825613</v>
      </c>
      <c r="BQ335" s="18">
        <f>INPUT!CB277</f>
        <v>53.561860193039479</v>
      </c>
      <c r="BR335" s="119">
        <f>INPUT!CC277</f>
        <v>4.3876495789629262</v>
      </c>
      <c r="BS335" s="18" t="str">
        <f>INPUT!CD277</f>
        <v>NM</v>
      </c>
      <c r="BT335" s="119">
        <f>INPUT!CE277</f>
        <v>4.267757965507184</v>
      </c>
      <c r="BU335" s="18" t="str">
        <f>INPUT!CF277</f>
        <v>NM</v>
      </c>
      <c r="BV335" s="119">
        <f>INPUT!CG277</f>
        <v>4.7259259259259059</v>
      </c>
      <c r="BW335" s="18">
        <f>INPUT!CH277</f>
        <v>-9.8519756525330742</v>
      </c>
      <c r="BX335" s="119">
        <f>INPUT!CI277</f>
        <v>4.5468142387077783</v>
      </c>
      <c r="BY335" s="18">
        <f>INPUT!CJ277</f>
        <v>30.634940186066583</v>
      </c>
      <c r="BZ335" s="119">
        <f>INPUT!CK277</f>
        <v>4.5690550363447491</v>
      </c>
      <c r="CA335" s="18">
        <f>INPUT!CL277</f>
        <v>4.134456367062489</v>
      </c>
      <c r="CB335" s="119">
        <f>INPUT!CM277</f>
        <v>-136.96168696168698</v>
      </c>
      <c r="CC335" s="18" t="str">
        <f>INPUT!CN277</f>
        <v>NM</v>
      </c>
      <c r="CD335" s="119">
        <f>INPUT!CO277</f>
        <v>2.2971360381861543</v>
      </c>
      <c r="CE335" s="18" t="str">
        <f>INPUT!CP277</f>
        <v>NM</v>
      </c>
      <c r="CF335" s="119">
        <f>INPUT!CQ277</f>
        <v>3.8153206650831417</v>
      </c>
      <c r="CG335" s="18">
        <f>INPUT!CR277</f>
        <v>-16.088046162020685</v>
      </c>
      <c r="CH335" s="119">
        <f>INPUT!CS277</f>
        <v>3.783624002364768</v>
      </c>
      <c r="CI335" s="18">
        <f>INPUT!CT277</f>
        <v>-17.190229220970977</v>
      </c>
      <c r="CJ335" s="119">
        <f>INPUT!CU277</f>
        <v>4.2321822189566429</v>
      </c>
      <c r="CK335" s="18" t="str">
        <f>INPUT!CV277</f>
        <v>NM</v>
      </c>
      <c r="CL335" s="119">
        <f>INPUT!CW277</f>
        <v>3.9302600472813434</v>
      </c>
      <c r="CM335" s="18">
        <f>INPUT!CX277</f>
        <v>71.093917902429624</v>
      </c>
      <c r="CN335" s="119">
        <f>INPUT!CY277</f>
        <v>4.3549835378629185</v>
      </c>
      <c r="CO335" s="18">
        <f>INPUT!CZ277</f>
        <v>14.144626891224</v>
      </c>
      <c r="CP335" s="119">
        <f>INPUT!DA277</f>
        <v>3.7616611495636469</v>
      </c>
      <c r="CQ335" s="18">
        <f>INPUT!DB277</f>
        <v>-0.58047133614212987</v>
      </c>
      <c r="CR335" s="119">
        <f>INPUT!DC277</f>
        <v>3.9506906282489269</v>
      </c>
      <c r="CS335" s="18">
        <f>INPUT!DD277</f>
        <v>-6.651216231826429</v>
      </c>
      <c r="CT335" s="119">
        <f>INPUT!DE277</f>
        <v>4.320610687022894</v>
      </c>
      <c r="CU335" s="18">
        <f>INPUT!DF277</f>
        <v>9.9319290592887235</v>
      </c>
      <c r="CV335" s="119">
        <f>INPUT!DG277</f>
        <v>5.5004508566276122</v>
      </c>
      <c r="CW335" s="18">
        <f>INPUT!DH277</f>
        <v>26.302448879675879</v>
      </c>
      <c r="CX335" s="119">
        <f>INPUT!DI277</f>
        <v>3.9350788546930096</v>
      </c>
      <c r="CY335" s="18">
        <f>INPUT!DJ277</f>
        <v>4.6101362731589823</v>
      </c>
      <c r="CZ335" s="119">
        <f>INPUT!DK277</f>
        <v>-101.88909201706278</v>
      </c>
      <c r="DA335" s="18" t="str">
        <f>INPUT!DL277</f>
        <v>NM</v>
      </c>
      <c r="DB335" s="119">
        <f>INPUT!DM277</f>
        <v>4.1171935235157946</v>
      </c>
      <c r="DC335" s="18">
        <f>INPUT!DN277</f>
        <v>-4.7080650917720952</v>
      </c>
      <c r="DD335" s="119">
        <f>INPUT!DO277</f>
        <v>5.5665399239543589</v>
      </c>
      <c r="DE335" s="18">
        <f>INPUT!DP277</f>
        <v>1.2015209125469051</v>
      </c>
      <c r="DF335" s="119">
        <f>INPUT!DQ277</f>
        <v>4.2595725049977009</v>
      </c>
      <c r="DG335" s="18">
        <f>INPUT!DR277</f>
        <v>8.2461791056028577</v>
      </c>
      <c r="DH335" s="119">
        <f>INPUT!DS277</f>
        <v>4.2537087496215253</v>
      </c>
      <c r="DI335" s="18" t="str">
        <f>INPUT!DT277</f>
        <v>NM</v>
      </c>
      <c r="DJ335" s="119">
        <f>INPUT!DU277</f>
        <v>5.1726784343821679</v>
      </c>
      <c r="DK335" s="18">
        <f>INPUT!DV277</f>
        <v>25.636028640331276</v>
      </c>
      <c r="DL335" s="119">
        <f>INPUT!DW277</f>
        <v>4.9961685823754642</v>
      </c>
      <c r="DM335" s="18">
        <f>INPUT!DX277</f>
        <v>-10.246425057052576</v>
      </c>
      <c r="DN335" s="119">
        <f>INPUT!DY277</f>
        <v>4.4094973789700926</v>
      </c>
      <c r="DO335" s="18">
        <f>INPUT!DZ277</f>
        <v>3.5197164456406638</v>
      </c>
      <c r="DP335" s="119">
        <f>INPUT!EA277</f>
        <v>5.2743902439024426</v>
      </c>
      <c r="DQ335" s="18">
        <f>INPUT!EB277</f>
        <v>23.99509591181419</v>
      </c>
      <c r="DR335" s="119">
        <f>INPUT!EC277</f>
        <v>4.914463452566082</v>
      </c>
      <c r="DS335" s="18">
        <f>INPUT!ED277</f>
        <v>-4.9919009095899414</v>
      </c>
      <c r="DT335" s="119">
        <f>INPUT!EE277</f>
        <v>5.0810473815461377</v>
      </c>
      <c r="DU335" s="18">
        <f>INPUT!EF277</f>
        <v>1.6988778054866538</v>
      </c>
      <c r="DV335" s="119">
        <f>INPUT!EG277</f>
        <v>4.1653617287817131</v>
      </c>
      <c r="DW335" s="18">
        <f>INPUT!EH277</f>
        <v>-5.5365868081182823</v>
      </c>
      <c r="DX335" s="119">
        <f>INPUT!EI277</f>
        <v>5.173491716161287</v>
      </c>
      <c r="DY335" s="18">
        <f>INPUT!EJ277</f>
        <v>-1.9129894276935899</v>
      </c>
      <c r="DZ335" s="119">
        <f>INPUT!EK277</f>
        <v>4.7418370426718122</v>
      </c>
      <c r="EA335" s="18">
        <f>INPUT!EL277</f>
        <v>-3.5126196696840473</v>
      </c>
      <c r="EB335" s="119">
        <f>INPUT!EM277</f>
        <v>4.6727769724260497</v>
      </c>
      <c r="EC335" s="18">
        <f>INPUT!EN277</f>
        <v>-8.0351624077131376</v>
      </c>
      <c r="ED335" s="119">
        <f>INPUT!EO277</f>
        <v>4.6037212210159959</v>
      </c>
      <c r="EE335" s="18">
        <f>INPUT!EP277</f>
        <v>10.523923749654607</v>
      </c>
      <c r="EF335" s="119">
        <f>INPUT!EQ277</f>
        <v>4.5346698962729342</v>
      </c>
      <c r="EG335" s="18">
        <f>INPUT!ER277</f>
        <v>-12.347981884125957</v>
      </c>
      <c r="EH335" s="18"/>
      <c r="EI335" s="119">
        <f>INPUT!FB277</f>
        <v>0</v>
      </c>
      <c r="EJ335" s="5">
        <f>INPUT!FC277</f>
        <v>0</v>
      </c>
      <c r="EK335" s="119">
        <f>INPUT!FD277</f>
        <v>4.1365561923747816</v>
      </c>
      <c r="EL335" s="5" t="str">
        <f>INPUT!FE277</f>
        <v>NA</v>
      </c>
      <c r="EM335" s="119">
        <f>INPUT!FF277</f>
        <v>3.2074309760854063</v>
      </c>
      <c r="EN335" s="5">
        <f>INPUT!FG277</f>
        <v>-22.461322246802794</v>
      </c>
      <c r="EO335" s="119">
        <f>INPUT!FH277</f>
        <v>-43.626723223754006</v>
      </c>
      <c r="EP335" s="5" t="str">
        <f>INPUT!FI277</f>
        <v>NM</v>
      </c>
      <c r="EQ335" s="119">
        <f>INPUT!FJ277</f>
        <v>6.0845010389472032</v>
      </c>
      <c r="ER335" s="18" t="str">
        <f>INPUT!FK277</f>
        <v>NM</v>
      </c>
      <c r="ES335" s="119">
        <f>INPUT!FL277</f>
        <v>5.935089652409073</v>
      </c>
      <c r="ET335" s="18">
        <f>INPUT!FM277</f>
        <v>-2.4556062293644154</v>
      </c>
      <c r="EU335" s="119">
        <f>INPUT!FN277</f>
        <v>4.9608489594065501</v>
      </c>
      <c r="EV335" s="18">
        <f>INPUT!FO277</f>
        <v>-16.414927997036667</v>
      </c>
      <c r="EW335" s="119">
        <f>INPUT!FP277</f>
        <v>1.5233172019357455</v>
      </c>
      <c r="EX335" s="18" t="str">
        <f>INPUT!FQ277</f>
        <v>NM</v>
      </c>
      <c r="EY335" s="119">
        <f>INPUT!FR277</f>
        <v>4.5358109591045102</v>
      </c>
      <c r="EZ335" s="18" t="str">
        <f>INPUT!FS277</f>
        <v>NM</v>
      </c>
      <c r="FA335" s="119">
        <f>INPUT!FT277</f>
        <v>4.3447997948492487</v>
      </c>
      <c r="FB335" s="18">
        <f>INPUT!FU277</f>
        <v>-4.2111800067825556</v>
      </c>
      <c r="FC335" s="119">
        <f>INPUT!FV277</f>
        <v>-30.812678830218136</v>
      </c>
      <c r="FD335" s="18" t="str">
        <f>INPUT!FW277</f>
        <v>NM</v>
      </c>
      <c r="FE335" s="119">
        <f>INPUT!FX277</f>
        <v>3.5070177387697599</v>
      </c>
      <c r="FF335" s="18" t="str">
        <f>INPUT!FY277</f>
        <v>NM</v>
      </c>
      <c r="FG335" s="119">
        <f>INPUT!FZ277</f>
        <v>3.9994036303999301</v>
      </c>
      <c r="FH335" s="18">
        <f>INPUT!GA277</f>
        <v>14.040017140115646</v>
      </c>
      <c r="FI335" s="119">
        <f>INPUT!GB277</f>
        <v>-21.985626829917479</v>
      </c>
      <c r="FJ335" s="18" t="str">
        <f>INPUT!GC277</f>
        <v>NM</v>
      </c>
      <c r="FK335" s="119">
        <f>INPUT!GD277</f>
        <v>4.5511865183996294</v>
      </c>
      <c r="FL335" s="18" t="str">
        <f>INPUT!GE277</f>
        <v>NM</v>
      </c>
      <c r="FM335" s="119">
        <f>INPUT!GF277</f>
        <v>4.9643486927854186</v>
      </c>
      <c r="FN335" s="18">
        <f>INPUT!GG277</f>
        <v>9.0781200180535038</v>
      </c>
      <c r="FO335" s="119">
        <f>INPUT!GH277</f>
        <v>4.8341786968396274</v>
      </c>
      <c r="FP335" s="18">
        <f>INPUT!GI277</f>
        <v>-2.6220961499937467</v>
      </c>
      <c r="FQ335" s="119">
        <f>INPUT!GJ277</f>
        <v>4.638837611865319</v>
      </c>
      <c r="FR335" s="18">
        <f>INPUT!GK277</f>
        <v>-4.0408329361513617</v>
      </c>
      <c r="FS335" s="119">
        <f>INPUT!GL277</f>
        <v>4.6675941690444294</v>
      </c>
      <c r="FT335" s="18">
        <f>INPUT!GM277</f>
        <v>0.61990868370895846</v>
      </c>
      <c r="FU335" s="119">
        <f>INPUT!GN277</f>
        <v>4.6966283534892002</v>
      </c>
      <c r="FV335" s="18">
        <f>INPUT!GO277</f>
        <v>0.62203746498197265</v>
      </c>
      <c r="FW335" s="119">
        <f>INPUT!GP277</f>
        <v>4.7259426558246531</v>
      </c>
      <c r="FX335" s="18">
        <f>INPUT!GQ277</f>
        <v>0.62415631234000735</v>
      </c>
      <c r="FY335" s="119">
        <f>INPUT!GR277</f>
        <v>4.7555395852142333</v>
      </c>
      <c r="FZ335" s="18">
        <f>INPUT!GS277</f>
        <v>0.62626509767531591</v>
      </c>
      <c r="GA335" s="5">
        <f>INPUT!GT277</f>
        <v>-0.32748422207825589</v>
      </c>
    </row>
    <row r="336" spans="1:183" ht="12.75" hidden="1" customHeight="1" outlineLevel="1" x14ac:dyDescent="0.2">
      <c r="A336" s="612"/>
      <c r="B336" s="119"/>
      <c r="C336" s="399"/>
      <c r="D336" s="119"/>
      <c r="E336" s="5"/>
      <c r="F336" s="119"/>
      <c r="G336" s="5"/>
      <c r="H336" s="119"/>
      <c r="I336" s="5"/>
      <c r="J336" s="119"/>
      <c r="K336" s="5"/>
      <c r="L336" s="119"/>
      <c r="M336" s="5"/>
      <c r="N336" s="119"/>
      <c r="O336" s="5"/>
      <c r="P336" s="119"/>
      <c r="Q336" s="5"/>
      <c r="R336" s="119"/>
      <c r="S336" s="5"/>
      <c r="T336" s="119"/>
      <c r="U336" s="5"/>
      <c r="V336" s="119"/>
      <c r="W336" s="5"/>
      <c r="X336" s="119"/>
      <c r="Y336" s="5"/>
      <c r="Z336" s="119"/>
      <c r="AA336" s="5"/>
      <c r="AB336" s="119"/>
      <c r="AC336" s="5"/>
      <c r="AD336" s="119"/>
      <c r="AE336" s="5"/>
      <c r="AF336" s="119"/>
      <c r="AG336" s="5"/>
      <c r="AH336" s="119"/>
      <c r="AI336" s="5"/>
      <c r="AJ336" s="119"/>
      <c r="AK336" s="5"/>
      <c r="AL336" s="119"/>
      <c r="AM336" s="5"/>
      <c r="AN336" s="119"/>
      <c r="AO336" s="18"/>
      <c r="AP336" s="119"/>
      <c r="AQ336" s="18"/>
      <c r="AR336" s="119"/>
      <c r="AS336" s="18"/>
      <c r="AT336" s="119"/>
      <c r="AU336" s="18"/>
      <c r="AV336" s="119"/>
      <c r="AW336" s="18"/>
      <c r="AX336" s="119"/>
      <c r="AY336" s="18"/>
      <c r="AZ336" s="119"/>
      <c r="BA336" s="18"/>
      <c r="BB336" s="119"/>
      <c r="BC336" s="18"/>
      <c r="BD336" s="119"/>
      <c r="BE336" s="18"/>
      <c r="BF336" s="119"/>
      <c r="BG336" s="18"/>
      <c r="BH336" s="119"/>
      <c r="BI336" s="18"/>
      <c r="BJ336" s="119"/>
      <c r="BK336" s="18"/>
      <c r="BL336" s="119"/>
      <c r="BM336" s="18"/>
      <c r="BN336" s="119"/>
      <c r="BO336" s="18"/>
      <c r="BP336" s="119"/>
      <c r="BQ336" s="18"/>
      <c r="BR336" s="119"/>
      <c r="BS336" s="18"/>
      <c r="BT336" s="119"/>
      <c r="BU336" s="18"/>
      <c r="BV336" s="119"/>
      <c r="BW336" s="18"/>
      <c r="BX336" s="119"/>
      <c r="BY336" s="18"/>
      <c r="BZ336" s="119"/>
      <c r="CA336" s="18"/>
      <c r="CB336" s="119"/>
      <c r="CC336" s="18"/>
      <c r="CD336" s="119"/>
      <c r="CE336" s="18"/>
      <c r="CF336" s="119"/>
      <c r="CG336" s="18"/>
      <c r="CH336" s="119"/>
      <c r="CI336" s="18"/>
      <c r="CJ336" s="119"/>
      <c r="CK336" s="18"/>
      <c r="CL336" s="119"/>
      <c r="CM336" s="18"/>
      <c r="CN336" s="119"/>
      <c r="CO336" s="18"/>
      <c r="CP336" s="119"/>
      <c r="CQ336" s="18"/>
      <c r="CR336" s="119"/>
      <c r="CS336" s="18"/>
      <c r="CT336" s="119"/>
      <c r="CU336" s="18"/>
      <c r="CV336" s="119"/>
      <c r="CW336" s="18"/>
      <c r="CX336" s="119"/>
      <c r="CY336" s="18"/>
      <c r="CZ336" s="119"/>
      <c r="DA336" s="18"/>
      <c r="DB336" s="119"/>
      <c r="DC336" s="18"/>
      <c r="DD336" s="119"/>
      <c r="DE336" s="18"/>
      <c r="DF336" s="119"/>
      <c r="DG336" s="18"/>
      <c r="DH336" s="119"/>
      <c r="DI336" s="18"/>
      <c r="DJ336" s="119"/>
      <c r="DK336" s="18"/>
      <c r="DL336" s="119"/>
      <c r="DM336" s="18"/>
      <c r="DN336" s="119"/>
      <c r="DO336" s="18"/>
      <c r="DP336" s="119"/>
      <c r="DQ336" s="18"/>
      <c r="DR336" s="119"/>
      <c r="DS336" s="18"/>
      <c r="DT336" s="119"/>
      <c r="DU336" s="18"/>
      <c r="DV336" s="119"/>
      <c r="DW336" s="18"/>
      <c r="DX336" s="119"/>
      <c r="DY336" s="18"/>
      <c r="DZ336" s="119"/>
      <c r="EA336" s="18"/>
      <c r="EB336" s="119"/>
      <c r="EC336" s="18"/>
      <c r="ED336" s="119"/>
      <c r="EE336" s="18"/>
      <c r="EF336" s="119"/>
      <c r="EG336" s="18"/>
      <c r="EH336" s="18"/>
      <c r="EI336" s="119"/>
      <c r="EJ336" s="5"/>
      <c r="EK336" s="119"/>
      <c r="EL336" s="5"/>
      <c r="EM336" s="119"/>
      <c r="EN336" s="5"/>
      <c r="EO336" s="119"/>
      <c r="EP336" s="5"/>
      <c r="EQ336" s="119"/>
      <c r="ER336" s="18"/>
      <c r="ES336" s="119"/>
      <c r="ET336" s="18"/>
      <c r="EU336" s="119"/>
      <c r="EV336" s="18"/>
      <c r="EW336" s="119"/>
      <c r="EX336" s="18"/>
      <c r="EY336" s="119"/>
      <c r="EZ336" s="18"/>
      <c r="FA336" s="119"/>
      <c r="FB336" s="18"/>
      <c r="FC336" s="119"/>
      <c r="FD336" s="18"/>
      <c r="FE336" s="119"/>
      <c r="FF336" s="18"/>
      <c r="FG336" s="119"/>
      <c r="FH336" s="18"/>
      <c r="FI336" s="119"/>
      <c r="FJ336" s="18"/>
      <c r="FK336" s="119"/>
      <c r="FL336" s="18"/>
      <c r="FM336" s="119"/>
      <c r="FN336" s="18"/>
      <c r="FO336" s="119"/>
      <c r="FP336" s="18"/>
      <c r="FQ336" s="119"/>
      <c r="FR336" s="18"/>
      <c r="FS336" s="119"/>
      <c r="FT336" s="18"/>
      <c r="FU336" s="119"/>
      <c r="FV336" s="18"/>
      <c r="FW336" s="119"/>
      <c r="FX336" s="18"/>
      <c r="FY336" s="119"/>
      <c r="FZ336" s="18"/>
      <c r="GA336" s="5"/>
    </row>
    <row r="337" spans="1:183" ht="12.75" hidden="1" customHeight="1" outlineLevel="1" x14ac:dyDescent="0.2">
      <c r="A337" s="610" t="s">
        <v>438</v>
      </c>
      <c r="B337" s="119"/>
      <c r="C337" s="399"/>
      <c r="D337" s="119"/>
      <c r="E337" s="5"/>
      <c r="F337" s="119"/>
      <c r="G337" s="5"/>
      <c r="H337" s="119"/>
      <c r="I337" s="5"/>
      <c r="J337" s="119"/>
      <c r="K337" s="5"/>
      <c r="L337" s="119"/>
      <c r="M337" s="5"/>
      <c r="N337" s="119"/>
      <c r="O337" s="5"/>
      <c r="P337" s="119"/>
      <c r="Q337" s="5"/>
      <c r="R337" s="119"/>
      <c r="S337" s="5"/>
      <c r="T337" s="119"/>
      <c r="U337" s="5"/>
      <c r="V337" s="119"/>
      <c r="W337" s="5"/>
      <c r="X337" s="119"/>
      <c r="Y337" s="5"/>
      <c r="Z337" s="119"/>
      <c r="AA337" s="5"/>
      <c r="AB337" s="119"/>
      <c r="AC337" s="5"/>
      <c r="AD337" s="119"/>
      <c r="AE337" s="5"/>
      <c r="AF337" s="119"/>
      <c r="AG337" s="5"/>
      <c r="AH337" s="119"/>
      <c r="AI337" s="5"/>
      <c r="AJ337" s="119"/>
      <c r="AK337" s="5"/>
      <c r="AL337" s="119"/>
      <c r="AM337" s="5"/>
      <c r="AN337" s="119"/>
      <c r="AO337" s="18"/>
      <c r="AP337" s="119"/>
      <c r="AQ337" s="18"/>
      <c r="AR337" s="119"/>
      <c r="AS337" s="18"/>
      <c r="AT337" s="119"/>
      <c r="AU337" s="18"/>
      <c r="AV337" s="119"/>
      <c r="AW337" s="18"/>
      <c r="AX337" s="119"/>
      <c r="AY337" s="18"/>
      <c r="AZ337" s="119"/>
      <c r="BA337" s="18"/>
      <c r="BB337" s="119"/>
      <c r="BC337" s="18"/>
      <c r="BD337" s="119"/>
      <c r="BE337" s="18"/>
      <c r="BF337" s="119"/>
      <c r="BG337" s="18"/>
      <c r="BH337" s="119"/>
      <c r="BI337" s="18"/>
      <c r="BJ337" s="119"/>
      <c r="BK337" s="18"/>
      <c r="BL337" s="119"/>
      <c r="BM337" s="18"/>
      <c r="BN337" s="119"/>
      <c r="BO337" s="18"/>
      <c r="BP337" s="119"/>
      <c r="BQ337" s="18"/>
      <c r="BR337" s="119"/>
      <c r="BS337" s="18"/>
      <c r="BT337" s="119"/>
      <c r="BU337" s="18"/>
      <c r="BV337" s="119"/>
      <c r="BW337" s="18"/>
      <c r="BX337" s="119"/>
      <c r="BY337" s="18"/>
      <c r="BZ337" s="119"/>
      <c r="CA337" s="18"/>
      <c r="CB337" s="119"/>
      <c r="CC337" s="18"/>
      <c r="CD337" s="119"/>
      <c r="CE337" s="18"/>
      <c r="CF337" s="119"/>
      <c r="CG337" s="18"/>
      <c r="CH337" s="119"/>
      <c r="CI337" s="18"/>
      <c r="CJ337" s="119"/>
      <c r="CK337" s="18"/>
      <c r="CL337" s="119"/>
      <c r="CM337" s="18"/>
      <c r="CN337" s="119"/>
      <c r="CO337" s="18"/>
      <c r="CP337" s="119"/>
      <c r="CQ337" s="18"/>
      <c r="CR337" s="119"/>
      <c r="CS337" s="18"/>
      <c r="CT337" s="119"/>
      <c r="CU337" s="18"/>
      <c r="CV337" s="119"/>
      <c r="CW337" s="18"/>
      <c r="CX337" s="119"/>
      <c r="CY337" s="18"/>
      <c r="CZ337" s="119"/>
      <c r="DA337" s="18"/>
      <c r="DB337" s="119"/>
      <c r="DC337" s="18"/>
      <c r="DD337" s="119"/>
      <c r="DE337" s="18"/>
      <c r="DF337" s="119"/>
      <c r="DG337" s="18"/>
      <c r="DH337" s="119"/>
      <c r="DI337" s="18"/>
      <c r="DJ337" s="119"/>
      <c r="DK337" s="18"/>
      <c r="DL337" s="119"/>
      <c r="DM337" s="18"/>
      <c r="DN337" s="119"/>
      <c r="DO337" s="18"/>
      <c r="DP337" s="119"/>
      <c r="DQ337" s="18"/>
      <c r="DR337" s="119"/>
      <c r="DS337" s="18"/>
      <c r="DT337" s="119"/>
      <c r="DU337" s="18"/>
      <c r="DV337" s="119"/>
      <c r="DW337" s="18"/>
      <c r="DX337" s="119"/>
      <c r="DY337" s="18"/>
      <c r="DZ337" s="119"/>
      <c r="EA337" s="18"/>
      <c r="EB337" s="119"/>
      <c r="EC337" s="18"/>
      <c r="ED337" s="119"/>
      <c r="EE337" s="18"/>
      <c r="EF337" s="119"/>
      <c r="EG337" s="18"/>
      <c r="EH337" s="18"/>
      <c r="EI337" s="119"/>
      <c r="EJ337" s="5"/>
      <c r="EK337" s="119"/>
      <c r="EL337" s="5"/>
      <c r="EM337" s="119"/>
      <c r="EN337" s="5"/>
      <c r="EO337" s="119"/>
      <c r="EP337" s="5"/>
      <c r="EQ337" s="119"/>
      <c r="ER337" s="18"/>
      <c r="ES337" s="119"/>
      <c r="ET337" s="18"/>
      <c r="EU337" s="119"/>
      <c r="EV337" s="18"/>
      <c r="EW337" s="119"/>
      <c r="EX337" s="18"/>
      <c r="EY337" s="119"/>
      <c r="EZ337" s="18"/>
      <c r="FA337" s="119"/>
      <c r="FB337" s="18"/>
      <c r="FC337" s="119"/>
      <c r="FD337" s="18"/>
      <c r="FE337" s="119"/>
      <c r="FF337" s="18"/>
      <c r="FG337" s="119"/>
      <c r="FH337" s="18"/>
      <c r="FI337" s="119"/>
      <c r="FJ337" s="18"/>
      <c r="FK337" s="119"/>
      <c r="FL337" s="18"/>
      <c r="FM337" s="119"/>
      <c r="FN337" s="18"/>
      <c r="FO337" s="119"/>
      <c r="FP337" s="18"/>
      <c r="FQ337" s="119"/>
      <c r="FR337" s="18"/>
      <c r="FS337" s="119"/>
      <c r="FT337" s="18"/>
      <c r="FU337" s="119"/>
      <c r="FV337" s="18"/>
      <c r="FW337" s="119"/>
      <c r="FX337" s="18"/>
      <c r="FY337" s="119"/>
      <c r="FZ337" s="18"/>
      <c r="GA337" s="5"/>
    </row>
    <row r="338" spans="1:183" ht="12.75" hidden="1" customHeight="1" outlineLevel="1" x14ac:dyDescent="0.2">
      <c r="A338" s="612" t="str">
        <f>+INPUT!B270</f>
        <v>Total</v>
      </c>
      <c r="B338" s="96">
        <f>INPUT!M270</f>
        <v>126.20664998212372</v>
      </c>
      <c r="C338" s="399" t="str">
        <f>INPUT!N270</f>
        <v>NA</v>
      </c>
      <c r="D338" s="96">
        <f>INPUT!O270</f>
        <v>145.01278772378515</v>
      </c>
      <c r="E338" s="5" t="str">
        <f>INPUT!P270</f>
        <v>NA</v>
      </c>
      <c r="F338" s="96">
        <f>INPUT!Q270</f>
        <v>144.15108177484416</v>
      </c>
      <c r="G338" s="5" t="str">
        <f>INPUT!R270</f>
        <v>NA</v>
      </c>
      <c r="H338" s="96">
        <f>INPUT!S270</f>
        <v>143.1834403997145</v>
      </c>
      <c r="I338" s="5" t="str">
        <f>INPUT!T270</f>
        <v>NA</v>
      </c>
      <c r="J338" s="96">
        <f>INPUT!U270</f>
        <v>139.79895755770661</v>
      </c>
      <c r="K338" s="5">
        <f>INPUT!V270</f>
        <v>10.769882234817384</v>
      </c>
      <c r="L338" s="96">
        <f>INPUT!W270</f>
        <v>152.57296466973889</v>
      </c>
      <c r="M338" s="5">
        <f>INPUT!X270</f>
        <v>5.2134553542644069</v>
      </c>
      <c r="N338" s="96">
        <f>INPUT!Y270</f>
        <v>149.82830980541777</v>
      </c>
      <c r="O338" s="5">
        <f>INPUT!Z270</f>
        <v>3.9383873923618085</v>
      </c>
      <c r="P338" s="96">
        <f>INPUT!AA270</f>
        <v>155.05475989890479</v>
      </c>
      <c r="Q338" s="5">
        <f>INPUT!AB270</f>
        <v>8.2909863501324121</v>
      </c>
      <c r="R338" s="96">
        <f>INPUT!AC270</f>
        <v>198.3684838838042</v>
      </c>
      <c r="S338" s="5">
        <f>INPUT!AD270</f>
        <v>41.895538671610687</v>
      </c>
      <c r="T338" s="96">
        <f>INPUT!AE270</f>
        <v>149.03691813804173</v>
      </c>
      <c r="U338" s="5">
        <f>INPUT!AF270</f>
        <v>-2.3176101607197186</v>
      </c>
      <c r="V338" s="96">
        <f>INPUT!AG270</f>
        <v>150.16207455429497</v>
      </c>
      <c r="W338" s="5">
        <f>INPUT!AH270</f>
        <v>0.2227648094746959</v>
      </c>
      <c r="X338" s="96">
        <f>INPUT!AI270</f>
        <v>158.12787296280817</v>
      </c>
      <c r="Y338" s="5">
        <f>INPUT!AJ270</f>
        <v>1.9819533859567029</v>
      </c>
      <c r="Z338" s="96">
        <f>INPUT!AK270</f>
        <v>153.51239669421489</v>
      </c>
      <c r="AA338" s="5">
        <f>INPUT!AL270</f>
        <v>-22.612506942314536</v>
      </c>
      <c r="AB338" s="96">
        <f>INPUT!AM270</f>
        <v>153.00687285223367</v>
      </c>
      <c r="AC338" s="5">
        <f>INPUT!AN270</f>
        <v>2.6637391351013173</v>
      </c>
      <c r="AD338" s="96">
        <f>INPUT!AO270</f>
        <v>151.97981366459626</v>
      </c>
      <c r="AE338" s="5">
        <f>INPUT!AP270</f>
        <v>1.2105181123107434</v>
      </c>
      <c r="AF338" s="96">
        <f>INPUT!AQ270</f>
        <v>150.51915503043321</v>
      </c>
      <c r="AG338" s="5">
        <f>INPUT!AR270</f>
        <v>-4.8117500032170408</v>
      </c>
      <c r="AH338" s="96">
        <f>INPUT!AS270</f>
        <v>153.94833948339485</v>
      </c>
      <c r="AI338" s="5">
        <f>INPUT!AT270</f>
        <v>0.28397888285747186</v>
      </c>
      <c r="AJ338" s="96">
        <f>INPUT!AU270</f>
        <v>157.07797123391373</v>
      </c>
      <c r="AK338" s="5">
        <f>INPUT!AV270</f>
        <v>2.6607290939222761</v>
      </c>
      <c r="AL338" s="96">
        <f>INPUT!AW270</f>
        <v>158.49495733126454</v>
      </c>
      <c r="AM338" s="5">
        <f>INPUT!AX270</f>
        <v>4.2868480422318056</v>
      </c>
      <c r="AN338" s="96">
        <f>INPUT!AY270</f>
        <v>156.30096367679761</v>
      </c>
      <c r="AO338" s="18">
        <f>INPUT!AZ270</f>
        <v>3.8412444218115516</v>
      </c>
      <c r="AP338" s="96">
        <f>INPUT!BA270</f>
        <v>160.87990487514864</v>
      </c>
      <c r="AQ338" s="18">
        <f>INPUT!BB270</f>
        <v>4.5025268963693188</v>
      </c>
      <c r="AR338" s="96">
        <f>INPUT!BC270</f>
        <v>160.90617481956698</v>
      </c>
      <c r="AS338" s="18">
        <f>INPUT!BD270</f>
        <v>2.4371358730833403</v>
      </c>
      <c r="AT338" s="96">
        <f>INPUT!BE270</f>
        <v>162.34375</v>
      </c>
      <c r="AU338" s="18">
        <f>INPUT!BF270</f>
        <v>2.4283376162506087</v>
      </c>
      <c r="AV338" s="96">
        <f>INPUT!BG270</f>
        <v>160.5471847739889</v>
      </c>
      <c r="AW338" s="18">
        <f>INPUT!BH270</f>
        <v>2.716695404368541</v>
      </c>
      <c r="AX338" s="96">
        <f>INPUT!BI270</f>
        <v>162.54194630872482</v>
      </c>
      <c r="AY338" s="18">
        <f>INPUT!BJ270</f>
        <v>1.0330944904934025</v>
      </c>
      <c r="AZ338" s="96">
        <f>INPUT!BK270</f>
        <v>162.35244519392919</v>
      </c>
      <c r="BA338" s="18">
        <f>INPUT!BL270</f>
        <v>0.8988283861598223</v>
      </c>
      <c r="BB338" s="96">
        <f>INPUT!BM270</f>
        <v>161.7684210526316</v>
      </c>
      <c r="BC338" s="18">
        <f>INPUT!BN270</f>
        <v>-0.35438934197861149</v>
      </c>
      <c r="BD338" s="96">
        <f>INPUT!BO270</f>
        <v>162.20735785953178</v>
      </c>
      <c r="BE338" s="18">
        <f>INPUT!BP270</f>
        <v>1.0340717514791598</v>
      </c>
      <c r="BF338" s="96">
        <f>INPUT!BQ270</f>
        <v>163.85017421602788</v>
      </c>
      <c r="BG338" s="18">
        <f>INPUT!BR270</f>
        <v>0.80485556929303925</v>
      </c>
      <c r="BH338" s="96">
        <f>INPUT!BS270</f>
        <v>165.04385964912279</v>
      </c>
      <c r="BI338" s="18">
        <f>INPUT!BT270</f>
        <v>1.6577603447725853</v>
      </c>
      <c r="BJ338" s="96">
        <f>INPUT!BU270</f>
        <v>166.90744920993228</v>
      </c>
      <c r="BK338" s="18">
        <f>INPUT!BV270</f>
        <v>3.1767808104084194</v>
      </c>
      <c r="BL338" s="96">
        <f>INPUT!BW270</f>
        <v>167.4567000911577</v>
      </c>
      <c r="BM338" s="18">
        <f>INPUT!BX270</f>
        <v>3.2361924273322629</v>
      </c>
      <c r="BN338" s="96">
        <f>INPUT!BY270</f>
        <v>153.5577449370553</v>
      </c>
      <c r="BO338" s="18">
        <f>INPUT!BZ270</f>
        <v>-6.2816102138546048</v>
      </c>
      <c r="BP338" s="96">
        <f>INPUT!CA270</f>
        <v>155.30093870789619</v>
      </c>
      <c r="BQ338" s="18">
        <f>INPUT!CB270</f>
        <v>-5.9032313967570138</v>
      </c>
      <c r="BR338" s="96">
        <f>INPUT!CC270</f>
        <v>157.4937203460787</v>
      </c>
      <c r="BS338" s="18">
        <f>INPUT!CD270</f>
        <v>-5.6400891083136839</v>
      </c>
      <c r="BT338" s="96">
        <f>INPUT!CE270</f>
        <v>157.03683342495876</v>
      </c>
      <c r="BU338" s="18">
        <f>INPUT!CF270</f>
        <v>-6.222424459891263</v>
      </c>
      <c r="BV338" s="96">
        <f>INPUT!CG270</f>
        <v>159.31483578708949</v>
      </c>
      <c r="BW338" s="18">
        <f>INPUT!CH270</f>
        <v>3.7491374026064728</v>
      </c>
      <c r="BX338" s="96">
        <f>INPUT!CI270</f>
        <v>160.99597006332758</v>
      </c>
      <c r="BY338" s="18">
        <f>INPUT!CJ270</f>
        <v>3.6670939678884462</v>
      </c>
      <c r="BZ338" s="96">
        <f>INPUT!CK270</f>
        <v>162.80207134637513</v>
      </c>
      <c r="CA338" s="18">
        <f>INPUT!CL270</f>
        <v>3.3705159727205558</v>
      </c>
      <c r="CB338" s="96">
        <f>INPUT!CM270</f>
        <v>381.70556035724576</v>
      </c>
      <c r="CC338" s="18" t="str">
        <f>INPUT!CN270</f>
        <v>NM</v>
      </c>
      <c r="CD338" s="96">
        <f>INPUT!CO270</f>
        <v>168.76640419947509</v>
      </c>
      <c r="CE338" s="18">
        <f>INPUT!CP270</f>
        <v>5.9326354420732086</v>
      </c>
      <c r="CF338" s="96">
        <f>INPUT!CQ270</f>
        <v>167.91240875912411</v>
      </c>
      <c r="CG338" s="18">
        <f>INPUT!CR270</f>
        <v>4.296032188306298</v>
      </c>
      <c r="CH338" s="96">
        <f>INPUT!CS270</f>
        <v>169.29133858267718</v>
      </c>
      <c r="CI338" s="18">
        <f>INPUT!CT270</f>
        <v>3.9859856712115116</v>
      </c>
      <c r="CJ338" s="96">
        <f>INPUT!CU270</f>
        <v>169.666861484512</v>
      </c>
      <c r="CK338" s="18" t="str">
        <f>INPUT!CV270</f>
        <v>NM</v>
      </c>
      <c r="CL338" s="96">
        <f>INPUT!CW270</f>
        <v>170.23214810461354</v>
      </c>
      <c r="CM338" s="18">
        <f>INPUT!CX270</f>
        <v>0.86850455343352451</v>
      </c>
      <c r="CN338" s="96">
        <f>INPUT!CY270</f>
        <v>173.66180048661798</v>
      </c>
      <c r="CO338" s="18">
        <f>INPUT!CZ270</f>
        <v>3.4240421955601619</v>
      </c>
      <c r="CP338" s="96">
        <f>INPUT!DA270</f>
        <v>174.90039840637451</v>
      </c>
      <c r="CQ338" s="18">
        <f>INPUT!DB270</f>
        <v>3.3132585935328418</v>
      </c>
      <c r="CR338" s="96">
        <f>INPUT!DC270</f>
        <v>176.87074829931976</v>
      </c>
      <c r="CS338" s="18">
        <f>INPUT!DD270</f>
        <v>4.2459009094509392</v>
      </c>
      <c r="CT338" s="96">
        <f>INPUT!DE270</f>
        <v>174.77194086190627</v>
      </c>
      <c r="CU338" s="18">
        <f>INPUT!DF270</f>
        <v>2.6668245732896834</v>
      </c>
      <c r="CV338" s="96">
        <f>INPUT!DG270</f>
        <v>177.72135829895271</v>
      </c>
      <c r="CW338" s="18">
        <f>INPUT!DH270</f>
        <v>2.3376227823041384</v>
      </c>
      <c r="CX338" s="96">
        <f>INPUT!DI270</f>
        <v>178.97599999999997</v>
      </c>
      <c r="CY338" s="18">
        <f>INPUT!DJ270</f>
        <v>2.3302414578587616</v>
      </c>
      <c r="CZ338" s="96">
        <f>INPUT!DK270</f>
        <v>403.79299260687878</v>
      </c>
      <c r="DA338" s="18" t="str">
        <f>INPUT!DL270</f>
        <v>NM</v>
      </c>
      <c r="DB338" s="96">
        <f>INPUT!DM270</f>
        <v>181.27254837651691</v>
      </c>
      <c r="DC338" s="18">
        <f>INPUT!DN270</f>
        <v>3.7194800736046085</v>
      </c>
      <c r="DD338" s="96">
        <f>INPUT!DO270</f>
        <v>182.54125412541256</v>
      </c>
      <c r="DE338" s="18">
        <f>INPUT!DP270</f>
        <v>2.7120520980669749</v>
      </c>
      <c r="DF338" s="96">
        <f>INPUT!DQ270</f>
        <v>184.46730833056753</v>
      </c>
      <c r="DG338" s="18">
        <f>INPUT!DR270</f>
        <v>3.0681813933530533</v>
      </c>
      <c r="DH338" s="96">
        <f>INPUT!DS270</f>
        <v>189.91286863270778</v>
      </c>
      <c r="DI338" s="18" t="str">
        <f>INPUT!DT270</f>
        <v>NM</v>
      </c>
      <c r="DJ338" s="96">
        <f>INPUT!DU270</f>
        <v>187.35204599256002</v>
      </c>
      <c r="DK338" s="18">
        <f>INPUT!DV270</f>
        <v>3.3537883537751778</v>
      </c>
      <c r="DL338" s="96">
        <f>INPUT!DW270</f>
        <v>191.93103448275863</v>
      </c>
      <c r="DM338" s="18">
        <f>INPUT!DX270</f>
        <v>5.1439223436555048</v>
      </c>
      <c r="DN338" s="96">
        <f>INPUT!DY270</f>
        <v>189.96587030716725</v>
      </c>
      <c r="DO338" s="18">
        <f>INPUT!DZ270</f>
        <v>2.9807785598227721</v>
      </c>
      <c r="DP338" s="96">
        <f>INPUT!EA270</f>
        <v>190.77819677751114</v>
      </c>
      <c r="DQ338" s="18">
        <f>INPUT!EB270</f>
        <v>0.45564481808597623</v>
      </c>
      <c r="DR338" s="96">
        <f>INPUT!EC270</f>
        <v>191.25130707563613</v>
      </c>
      <c r="DS338" s="18">
        <f>INPUT!ED270</f>
        <v>2.0812481990353904</v>
      </c>
      <c r="DT338" s="96">
        <f>INPUT!EE270</f>
        <v>194.59843638948121</v>
      </c>
      <c r="DU338" s="18">
        <f>INPUT!EF270</f>
        <v>1.3897710257807061</v>
      </c>
      <c r="DV338" s="96">
        <f>INPUT!EG270</f>
        <v>194.83185840707964</v>
      </c>
      <c r="DW338" s="18">
        <f>INPUT!EH270</f>
        <v>2.5615064916894248</v>
      </c>
      <c r="DX338" s="96">
        <f>INPUT!EI270</f>
        <v>195.79741379310346</v>
      </c>
      <c r="DY338" s="18">
        <f>INPUT!EJ270</f>
        <v>2.6309175264120022</v>
      </c>
      <c r="DZ338" s="96">
        <f>INPUT!EK270</f>
        <v>196.99741379310345</v>
      </c>
      <c r="EA338" s="18">
        <f>INPUT!EL270</f>
        <v>3.0044797106640653</v>
      </c>
      <c r="EB338" s="96">
        <f>INPUT!EM270</f>
        <v>196.99741379310345</v>
      </c>
      <c r="EC338" s="18">
        <f>INPUT!EN270</f>
        <v>1.2327834941185056</v>
      </c>
      <c r="ED338" s="96">
        <f>INPUT!EO270</f>
        <v>196.99741379310345</v>
      </c>
      <c r="EE338" s="18">
        <f>INPUT!EP270</f>
        <v>1.1114996303628777</v>
      </c>
      <c r="EF338" s="96">
        <f>INPUT!EQ270</f>
        <v>196.99741379310345</v>
      </c>
      <c r="EG338" s="18">
        <f>INPUT!ER270</f>
        <v>0.61287837094110564</v>
      </c>
      <c r="EH338" s="18"/>
      <c r="EI338" s="96">
        <f>INPUT!FB270</f>
        <v>0</v>
      </c>
      <c r="EJ338" s="5">
        <f>INPUT!FC270</f>
        <v>0</v>
      </c>
      <c r="EK338" s="96">
        <f>INPUT!FD270</f>
        <v>139.58239175630479</v>
      </c>
      <c r="EL338" s="5" t="str">
        <f>INPUT!FE270</f>
        <v>NA</v>
      </c>
      <c r="EM338" s="96">
        <f>INPUT!FF270</f>
        <v>149.11035488575595</v>
      </c>
      <c r="EN338" s="5">
        <f>INPUT!FG270</f>
        <v>6.8260494820048034</v>
      </c>
      <c r="EO338" s="96">
        <f>INPUT!FH270</f>
        <v>164.08878978309346</v>
      </c>
      <c r="EP338" s="5">
        <f>INPUT!FI270</f>
        <v>10.045201024981498</v>
      </c>
      <c r="EQ338" s="96">
        <f>INPUT!FJ270</f>
        <v>152.1794998517347</v>
      </c>
      <c r="ER338" s="18">
        <f>INPUT!FK270</f>
        <v>-7.2578327545114281</v>
      </c>
      <c r="ES338" s="96">
        <f>INPUT!FL270</f>
        <v>156.42642077531053</v>
      </c>
      <c r="ET338" s="18">
        <f>INPUT!FM270</f>
        <v>2.7907312927914152</v>
      </c>
      <c r="EU338" s="96">
        <f>INPUT!FN270</f>
        <v>161.17437370036637</v>
      </c>
      <c r="EV338" s="18">
        <f>INPUT!FO270</f>
        <v>3.0352627781951025</v>
      </c>
      <c r="EW338" s="96">
        <f>INPUT!FP270</f>
        <v>162.21778851202353</v>
      </c>
      <c r="EX338" s="18">
        <f>INPUT!FQ270</f>
        <v>0.64738257559289192</v>
      </c>
      <c r="EY338" s="96">
        <f>INPUT!FR270</f>
        <v>150.09693161307572</v>
      </c>
      <c r="EZ338" s="18">
        <f>INPUT!FS270</f>
        <v>-7.471965319049712</v>
      </c>
      <c r="FA338" s="96">
        <f>INPUT!FT270</f>
        <v>155.83913913223427</v>
      </c>
      <c r="FB338" s="18">
        <f>INPUT!FU270</f>
        <v>3.8256661594928243</v>
      </c>
      <c r="FC338" s="96">
        <f>INPUT!FV270</f>
        <v>215.92489070450807</v>
      </c>
      <c r="FD338" s="18">
        <f>INPUT!FW270</f>
        <v>38.556265073621333</v>
      </c>
      <c r="FE338" s="96">
        <f>INPUT!FX270</f>
        <v>168.90915724188253</v>
      </c>
      <c r="FF338" s="18">
        <f>INPUT!FY270</f>
        <v>-21.774114743893193</v>
      </c>
      <c r="FG338" s="96">
        <f>INPUT!FZ270</f>
        <v>173.8701850166818</v>
      </c>
      <c r="FH338" s="18">
        <f>INPUT!GA270</f>
        <v>2.9370981750237224</v>
      </c>
      <c r="FI338" s="96">
        <f>INPUT!GB270</f>
        <v>233.25640617539395</v>
      </c>
      <c r="FJ338" s="18">
        <f>INPUT!GC270</f>
        <v>34.155494314919132</v>
      </c>
      <c r="FK338" s="96">
        <f>INPUT!GD270</f>
        <v>184.52302086783706</v>
      </c>
      <c r="FL338" s="18">
        <f>INPUT!GE270</f>
        <v>-20.892624604235944</v>
      </c>
      <c r="FM338" s="96">
        <f>INPUT!GF270</f>
        <v>189.99487354750511</v>
      </c>
      <c r="FN338" s="18">
        <f>INPUT!GG270</f>
        <v>2.9654038037818742</v>
      </c>
      <c r="FO338" s="96">
        <f>INPUT!GH270</f>
        <v>194.10201912858668</v>
      </c>
      <c r="FP338" s="18">
        <f>INPUT!GI270</f>
        <v>2.1617138949039383</v>
      </c>
      <c r="FQ338" s="96">
        <f>INPUT!GJ270</f>
        <v>196.99741379310345</v>
      </c>
      <c r="FR338" s="18">
        <f>INPUT!GK270</f>
        <v>1.4916870404107829</v>
      </c>
      <c r="FS338" s="96">
        <f>INPUT!GL270</f>
        <v>196.99741379310345</v>
      </c>
      <c r="FT338" s="18">
        <f>INPUT!GM270</f>
        <v>0</v>
      </c>
      <c r="FU338" s="96">
        <f>INPUT!GN270</f>
        <v>196.99741379310345</v>
      </c>
      <c r="FV338" s="18">
        <f>INPUT!GO270</f>
        <v>0</v>
      </c>
      <c r="FW338" s="96">
        <f>INPUT!GP270</f>
        <v>196.99741379310345</v>
      </c>
      <c r="FX338" s="18">
        <f>INPUT!GQ270</f>
        <v>0</v>
      </c>
      <c r="FY338" s="96">
        <f>INPUT!GR270</f>
        <v>196.99741379310345</v>
      </c>
      <c r="FZ338" s="18">
        <f>INPUT!GS270</f>
        <v>0</v>
      </c>
      <c r="GA338" s="5">
        <f>INPUT!GT270</f>
        <v>0.29657307155426249</v>
      </c>
    </row>
    <row r="339" spans="1:183" ht="12.75" hidden="1" customHeight="1" outlineLevel="1" x14ac:dyDescent="0.2">
      <c r="A339" s="612" t="str">
        <f>+INPUT!B272</f>
        <v>Commissions/Premiums (%)</v>
      </c>
      <c r="B339" s="119">
        <f>INPUT!M272</f>
        <v>10.797282803003219</v>
      </c>
      <c r="C339" s="399" t="str">
        <f>INPUT!N272</f>
        <v>NA</v>
      </c>
      <c r="D339" s="119">
        <f>INPUT!O272</f>
        <v>9.9013518450858609</v>
      </c>
      <c r="E339" s="5" t="str">
        <f>INPUT!P272</f>
        <v>NA</v>
      </c>
      <c r="F339" s="119">
        <f>INPUT!Q272</f>
        <v>9.6076274294096091</v>
      </c>
      <c r="G339" s="5" t="str">
        <f>INPUT!R272</f>
        <v>NA</v>
      </c>
      <c r="H339" s="119">
        <f>INPUT!S272</f>
        <v>9.172019985724484</v>
      </c>
      <c r="I339" s="5" t="str">
        <f>INPUT!T272</f>
        <v>NA</v>
      </c>
      <c r="J339" s="119">
        <f>INPUT!U272</f>
        <v>9.4936708860759484</v>
      </c>
      <c r="K339" s="5">
        <f>INPUT!V272</f>
        <v>-12.073518316707199</v>
      </c>
      <c r="L339" s="119">
        <f>INPUT!W272</f>
        <v>8.7557603686635961</v>
      </c>
      <c r="M339" s="5">
        <f>INPUT!X272</f>
        <v>-11.570051184382802</v>
      </c>
      <c r="N339" s="119">
        <f>INPUT!Y272</f>
        <v>7.8214421976344903</v>
      </c>
      <c r="O339" s="5">
        <f>INPUT!Z272</f>
        <v>-18.591324912407437</v>
      </c>
      <c r="P339" s="119">
        <f>INPUT!AA272</f>
        <v>7.0345408593091827</v>
      </c>
      <c r="Q339" s="5">
        <f>INPUT!AB272</f>
        <v>-23.304344405508459</v>
      </c>
      <c r="R339" s="119">
        <f>INPUT!AC272</f>
        <v>7.9984082769598093</v>
      </c>
      <c r="S339" s="5">
        <f>INPUT!AD272</f>
        <v>-15.750099482690006</v>
      </c>
      <c r="T339" s="119">
        <f>INPUT!AE272</f>
        <v>7.3836276083467087</v>
      </c>
      <c r="U339" s="5">
        <f>INPUT!AF272</f>
        <v>-15.671200473092872</v>
      </c>
      <c r="V339" s="119">
        <f>INPUT!AG272</f>
        <v>8.1037277147487838</v>
      </c>
      <c r="W339" s="5">
        <f>INPUT!AH272</f>
        <v>3.609123611495435</v>
      </c>
      <c r="X339" s="119">
        <f>INPUT!AI272</f>
        <v>7.438361888842457</v>
      </c>
      <c r="Y339" s="5">
        <f>INPUT!AJ272</f>
        <v>5.7405456533652366</v>
      </c>
      <c r="Z339" s="119">
        <f>INPUT!AK272</f>
        <v>7.6446280991735529</v>
      </c>
      <c r="AA339" s="5">
        <f>INPUT!AL272</f>
        <v>-4.4231322725217019</v>
      </c>
      <c r="AB339" s="119">
        <f>INPUT!AM272</f>
        <v>7.3453608247422686</v>
      </c>
      <c r="AC339" s="5">
        <f>INPUT!AN272</f>
        <v>-0.51826535186013656</v>
      </c>
      <c r="AD339" s="119">
        <f>INPUT!AO272</f>
        <v>7.3757763975155264</v>
      </c>
      <c r="AE339" s="5">
        <f>INPUT!AP272</f>
        <v>-8.9829192546583947</v>
      </c>
      <c r="AF339" s="119">
        <f>INPUT!AQ272</f>
        <v>7.2681704260651623</v>
      </c>
      <c r="AG339" s="5">
        <f>INPUT!AR272</f>
        <v>-2.28802342935992</v>
      </c>
      <c r="AH339" s="119">
        <f>INPUT!AS272</f>
        <v>7.5645756457564577</v>
      </c>
      <c r="AI339" s="5">
        <f>INPUT!AT272</f>
        <v>-1.0471726338884935</v>
      </c>
      <c r="AJ339" s="119">
        <f>INPUT!AU272</f>
        <v>7.1536714610143823</v>
      </c>
      <c r="AK339" s="5">
        <f>INPUT!AV272</f>
        <v>-2.6096657237340337</v>
      </c>
      <c r="AL339" s="119">
        <f>INPUT!AW272</f>
        <v>7.0985259891388663</v>
      </c>
      <c r="AM339" s="5">
        <f>INPUT!AX272</f>
        <v>-3.7589318525172444</v>
      </c>
      <c r="AN339" s="119">
        <f>INPUT!AY272</f>
        <v>6.8569310600444773</v>
      </c>
      <c r="AO339" s="18">
        <f>INPUT!AZ272</f>
        <v>-5.6580864497328687</v>
      </c>
      <c r="AP339" s="119">
        <f>INPUT!BA272</f>
        <v>7.1343638525564801</v>
      </c>
      <c r="AQ339" s="18">
        <f>INPUT!BB272</f>
        <v>-5.6871900466923915</v>
      </c>
      <c r="AR339" s="119">
        <f>INPUT!BC272</f>
        <v>6.696070569366479</v>
      </c>
      <c r="AS339" s="18">
        <f>INPUT!BD272</f>
        <v>-6.3967278081151324</v>
      </c>
      <c r="AT339" s="119">
        <f>INPUT!BE272</f>
        <v>6.953125</v>
      </c>
      <c r="AU339" s="18">
        <f>INPUT!BF272</f>
        <v>-2.0483265027322228</v>
      </c>
      <c r="AV339" s="119">
        <f>INPUT!BG272</f>
        <v>6.5820777160983353</v>
      </c>
      <c r="AW339" s="18">
        <f>INPUT!BH272</f>
        <v>-4.0084017403604904</v>
      </c>
      <c r="AX339" s="119">
        <f>INPUT!BI272</f>
        <v>6.7533557046979871</v>
      </c>
      <c r="AY339" s="18">
        <f>INPUT!BJ272</f>
        <v>-5.3404642058165415</v>
      </c>
      <c r="AZ339" s="119">
        <f>INPUT!BK272</f>
        <v>6.4080944350758857</v>
      </c>
      <c r="BA339" s="18">
        <f>INPUT!BL272</f>
        <v>-4.300673526471499</v>
      </c>
      <c r="BB339" s="119">
        <f>INPUT!BM272</f>
        <v>6.5684210526315789</v>
      </c>
      <c r="BC339" s="18">
        <f>INPUT!BN272</f>
        <v>-5.5328208160851595</v>
      </c>
      <c r="BD339" s="119">
        <f>INPUT!BO272</f>
        <v>6.6053511705685626</v>
      </c>
      <c r="BE339" s="18">
        <f>INPUT!BP272</f>
        <v>0.35358826610791816</v>
      </c>
      <c r="BF339" s="119">
        <f>INPUT!BQ272</f>
        <v>6.6637630662020912</v>
      </c>
      <c r="BG339" s="18">
        <f>INPUT!BR272</f>
        <v>-1.3266388209578595</v>
      </c>
      <c r="BH339" s="119">
        <f>INPUT!BS272</f>
        <v>6.4912280701754392</v>
      </c>
      <c r="BI339" s="18">
        <f>INPUT!BT272</f>
        <v>1.297322253000921</v>
      </c>
      <c r="BJ339" s="119">
        <f>INPUT!BU272</f>
        <v>6.4108352144469531</v>
      </c>
      <c r="BK339" s="18">
        <f>INPUT!BV272</f>
        <v>-2.3991433697979847</v>
      </c>
      <c r="BL339" s="119">
        <f>INPUT!BW272</f>
        <v>6.2898814949863269</v>
      </c>
      <c r="BM339" s="18">
        <f>INPUT!BX272</f>
        <v>-4.775971291093084</v>
      </c>
      <c r="BN339" s="119">
        <f>INPUT!BY272</f>
        <v>8.2101806239737289</v>
      </c>
      <c r="BO339" s="18">
        <f>INPUT!BZ272</f>
        <v>23.206370670873721</v>
      </c>
      <c r="BP339" s="119">
        <f>INPUT!CA272</f>
        <v>8.0618442849254546</v>
      </c>
      <c r="BQ339" s="18">
        <f>INPUT!CB272</f>
        <v>24.195979524527257</v>
      </c>
      <c r="BR339" s="119">
        <f>INPUT!CC272</f>
        <v>8.233324030142338</v>
      </c>
      <c r="BS339" s="18">
        <f>INPUT!CD272</f>
        <v>28.428258639192094</v>
      </c>
      <c r="BT339" s="119">
        <f>INPUT!CE272</f>
        <v>8.0813633864760863</v>
      </c>
      <c r="BU339" s="18">
        <f>INPUT!CF272</f>
        <v>28.481965724119807</v>
      </c>
      <c r="BV339" s="119">
        <f>INPUT!CG272</f>
        <v>8.2672706681766712</v>
      </c>
      <c r="BW339" s="18">
        <f>INPUT!CH272</f>
        <v>0.69535673839182799</v>
      </c>
      <c r="BX339" s="119">
        <f>INPUT!CI272</f>
        <v>8.0023028209556717</v>
      </c>
      <c r="BY339" s="18">
        <f>INPUT!CJ272</f>
        <v>-0.73855884417313167</v>
      </c>
      <c r="BZ339" s="119">
        <f>INPUT!CK272</f>
        <v>8.112773302646719</v>
      </c>
      <c r="CA339" s="18">
        <f>INPUT!CL272</f>
        <v>-1.4641805309044131</v>
      </c>
      <c r="CB339" s="119">
        <f>INPUT!CM272</f>
        <v>8.1820800921924501</v>
      </c>
      <c r="CC339" s="18">
        <f>INPUT!CN272</f>
        <v>1.2462835897827595</v>
      </c>
      <c r="CD339" s="119">
        <f>INPUT!CO272</f>
        <v>8.3114610673665794</v>
      </c>
      <c r="CE339" s="18">
        <f>INPUT!CP272</f>
        <v>0.5345222258176463</v>
      </c>
      <c r="CF339" s="119">
        <f>INPUT!CQ272</f>
        <v>8.1167883211678831</v>
      </c>
      <c r="CG339" s="18">
        <f>INPUT!CR272</f>
        <v>1.4306569343065512</v>
      </c>
      <c r="CH339" s="119">
        <f>INPUT!CS272</f>
        <v>8.2239720034995631</v>
      </c>
      <c r="CI339" s="18">
        <f>INPUT!CT272</f>
        <v>1.3706620005832892</v>
      </c>
      <c r="CJ339" s="119">
        <f>INPUT!CU272</f>
        <v>8.2115721800116894</v>
      </c>
      <c r="CK339" s="18">
        <f>INPUT!CV272</f>
        <v>0.36044731274851305</v>
      </c>
      <c r="CL339" s="119">
        <f>INPUT!CW272</f>
        <v>8.2280340875697906</v>
      </c>
      <c r="CM339" s="18">
        <f>INPUT!CX272</f>
        <v>-1.0037582937655776</v>
      </c>
      <c r="CN339" s="119">
        <f>INPUT!CY272</f>
        <v>8.2420924574209238</v>
      </c>
      <c r="CO339" s="18">
        <f>INPUT!CZ272</f>
        <v>1.5437649880095883</v>
      </c>
      <c r="CP339" s="119">
        <f>INPUT!DA272</f>
        <v>8.2133006435795277</v>
      </c>
      <c r="CQ339" s="18">
        <f>INPUT!DB272</f>
        <v>-0.12975919562341343</v>
      </c>
      <c r="CR339" s="119">
        <f>INPUT!DC272</f>
        <v>9.8639455782312915</v>
      </c>
      <c r="CS339" s="18">
        <f>INPUT!DD272</f>
        <v>20.122497397535511</v>
      </c>
      <c r="CT339" s="119">
        <f>INPUT!DE272</f>
        <v>8.2101289713746475</v>
      </c>
      <c r="CU339" s="18">
        <f>INPUT!DF272</f>
        <v>-0.21761110861454602</v>
      </c>
      <c r="CV339" s="119">
        <f>INPUT!DG272</f>
        <v>8.0609330371310683</v>
      </c>
      <c r="CW339" s="18">
        <f>INPUT!DH272</f>
        <v>-2.1979785015241449</v>
      </c>
      <c r="CX339" s="119">
        <f>INPUT!DI272</f>
        <v>8.1920000000000002</v>
      </c>
      <c r="CY339" s="18">
        <f>INPUT!DJ272</f>
        <v>-0.25934328358208081</v>
      </c>
      <c r="CZ339" s="119">
        <f>INPUT!DK272</f>
        <v>7.8431372549019596</v>
      </c>
      <c r="DA339" s="18">
        <f>INPUT!DL272</f>
        <v>-20.486815415821503</v>
      </c>
      <c r="DB339" s="119">
        <f>INPUT!DM272</f>
        <v>8.3961954739258786</v>
      </c>
      <c r="DC339" s="18">
        <f>INPUT!DN272</f>
        <v>2.26630425904355</v>
      </c>
      <c r="DD339" s="119">
        <f>INPUT!DO272</f>
        <v>7.9537953795379552</v>
      </c>
      <c r="DE339" s="18">
        <f>INPUT!DP272</f>
        <v>-1.329097476676766</v>
      </c>
      <c r="DF339" s="119">
        <f>INPUT!DQ272</f>
        <v>8.264188516428808</v>
      </c>
      <c r="DG339" s="18">
        <f>INPUT!DR272</f>
        <v>0.88120747593760651</v>
      </c>
      <c r="DH339" s="119">
        <f>INPUT!DS272</f>
        <v>8.1099195710455767</v>
      </c>
      <c r="DI339" s="18">
        <f>INPUT!DT272</f>
        <v>3.4014745308311278</v>
      </c>
      <c r="DJ339" s="119">
        <f>INPUT!DU272</f>
        <v>8.1501521812647955</v>
      </c>
      <c r="DK339" s="18">
        <f>INPUT!DV272</f>
        <v>-2.9304140598579775</v>
      </c>
      <c r="DL339" s="119">
        <f>INPUT!DW272</f>
        <v>7.9655172413793105</v>
      </c>
      <c r="DM339" s="18">
        <f>INPUT!DX272</f>
        <v>0.14737444555728008</v>
      </c>
      <c r="DN339" s="119">
        <f>INPUT!DY272</f>
        <v>8.0204778156996586</v>
      </c>
      <c r="DO339" s="18">
        <f>INPUT!DZ272</f>
        <v>-2.948997354606131</v>
      </c>
      <c r="DP339" s="119">
        <f>INPUT!EA272</f>
        <v>7.9190949605759355</v>
      </c>
      <c r="DQ339" s="18">
        <f>INPUT!EB272</f>
        <v>-2.352977841493431</v>
      </c>
      <c r="DR339" s="119">
        <f>INPUT!EC272</f>
        <v>8.0167305681422114</v>
      </c>
      <c r="DS339" s="18">
        <f>INPUT!ED272</f>
        <v>-1.6370444398484674</v>
      </c>
      <c r="DT339" s="119">
        <f>INPUT!EE272</f>
        <v>7.9601990049751246</v>
      </c>
      <c r="DU339" s="18">
        <f>INPUT!EF272</f>
        <v>-6.6765738407525976E-2</v>
      </c>
      <c r="DV339" s="119">
        <f>INPUT!EG272</f>
        <v>8.0353982300884947</v>
      </c>
      <c r="DW339" s="18">
        <f>INPUT!EH272</f>
        <v>0.18602899642250481</v>
      </c>
      <c r="DX339" s="119">
        <f>INPUT!EI272</f>
        <v>7.8663793103448274</v>
      </c>
      <c r="DY339" s="18">
        <f>INPUT!EJ272</f>
        <v>-0.66567771309152812</v>
      </c>
      <c r="DZ339" s="119">
        <f>INPUT!EK272</f>
        <v>7.966379310344827</v>
      </c>
      <c r="EA339" s="18">
        <f>INPUT!EL272</f>
        <v>-0.62807721139432893</v>
      </c>
      <c r="EB339" s="119">
        <f>INPUT!EM272</f>
        <v>7.966379310344827</v>
      </c>
      <c r="EC339" s="18">
        <f>INPUT!EN272</f>
        <v>7.7640086206898218E-2</v>
      </c>
      <c r="ED339" s="119">
        <f>INPUT!EO272</f>
        <v>7.966379310344827</v>
      </c>
      <c r="EE339" s="18">
        <f>INPUT!EP272</f>
        <v>-0.85893589548837745</v>
      </c>
      <c r="EF339" s="119">
        <f>INPUT!EQ272</f>
        <v>7.966379310344827</v>
      </c>
      <c r="EG339" s="18">
        <f>INPUT!ER272</f>
        <v>1.2712328767123138</v>
      </c>
      <c r="EH339" s="18"/>
      <c r="EI339" s="119">
        <f>INPUT!FB272</f>
        <v>0</v>
      </c>
      <c r="EJ339" s="5">
        <f>INPUT!FC272</f>
        <v>0</v>
      </c>
      <c r="EK339" s="119">
        <f>INPUT!FD272</f>
        <v>9.870740305522915</v>
      </c>
      <c r="EL339" s="5" t="str">
        <f>INPUT!FE272</f>
        <v>NA</v>
      </c>
      <c r="EM339" s="119">
        <f>INPUT!FF272</f>
        <v>8.3130772970345159</v>
      </c>
      <c r="EN339" s="5">
        <f>INPUT!FG272</f>
        <v>-15.780609764567</v>
      </c>
      <c r="EO339" s="119">
        <f>INPUT!FH272</f>
        <v>7.7336306507196433</v>
      </c>
      <c r="EP339" s="5">
        <f>INPUT!FI272</f>
        <v>-6.9703026401736423</v>
      </c>
      <c r="EQ339" s="119">
        <f>INPUT!FJ272</f>
        <v>7.4033804487496297</v>
      </c>
      <c r="ER339" s="18">
        <f>INPUT!FK272</f>
        <v>-4.2703125722623252</v>
      </c>
      <c r="ES339" s="119">
        <f>INPUT!FL272</f>
        <v>7.1697403086187439</v>
      </c>
      <c r="ET339" s="18">
        <f>INPUT!FM272</f>
        <v>-3.1558575403260014</v>
      </c>
      <c r="EU339" s="119">
        <f>INPUT!FN272</f>
        <v>6.8422616100604001</v>
      </c>
      <c r="EV339" s="18">
        <f>INPUT!FO272</f>
        <v>-4.5675112969528531</v>
      </c>
      <c r="EW339" s="119">
        <f>INPUT!FP272</f>
        <v>6.5840596450698312</v>
      </c>
      <c r="EX339" s="18">
        <f>INPUT!FQ272</f>
        <v>-3.773634796584302</v>
      </c>
      <c r="EY339" s="119">
        <f>INPUT!FR272</f>
        <v>8.4765024400026725</v>
      </c>
      <c r="EZ339" s="18">
        <f>INPUT!FS272</f>
        <v>28.742795432448887</v>
      </c>
      <c r="FA339" s="119">
        <f>INPUT!FT272</f>
        <v>8.146513071670002</v>
      </c>
      <c r="FB339" s="18">
        <f>INPUT!FU272</f>
        <v>-3.8929897167889749</v>
      </c>
      <c r="FC339" s="119">
        <f>INPUT!FV272</f>
        <v>8.1416182899734828</v>
      </c>
      <c r="FD339" s="18">
        <f>INPUT!FW272</f>
        <v>-6.0084377861502336E-2</v>
      </c>
      <c r="FE339" s="119">
        <f>INPUT!FX272</f>
        <v>8.2159795695001812</v>
      </c>
      <c r="FF339" s="18">
        <f>INPUT!FY272</f>
        <v>0.91334765249648786</v>
      </c>
      <c r="FG339" s="119">
        <f>INPUT!FZ272</f>
        <v>8.6290567182286928</v>
      </c>
      <c r="FH339" s="18">
        <f>INPUT!GA272</f>
        <v>5.0277285287071427</v>
      </c>
      <c r="FI339" s="119">
        <f>INPUT!GB272</f>
        <v>8.0773515836383893</v>
      </c>
      <c r="FJ339" s="18">
        <f>INPUT!GC272</f>
        <v>-6.3935740904893841</v>
      </c>
      <c r="FK339" s="119">
        <f>INPUT!GD272</f>
        <v>8.1815170586286854</v>
      </c>
      <c r="FL339" s="18">
        <f>INPUT!GE272</f>
        <v>1.2895993682049856</v>
      </c>
      <c r="FM339" s="119">
        <f>INPUT!GF272</f>
        <v>8.0143540669856463</v>
      </c>
      <c r="FN339" s="18">
        <f>INPUT!GG272</f>
        <v>-2.0431784282199827</v>
      </c>
      <c r="FO339" s="119">
        <f>INPUT!GH272</f>
        <v>7.9702444208289061</v>
      </c>
      <c r="FP339" s="18">
        <f>INPUT!GI272</f>
        <v>-0.55038304756768186</v>
      </c>
      <c r="FQ339" s="119">
        <f>INPUT!GJ272</f>
        <v>7.966379310344827</v>
      </c>
      <c r="FR339" s="18">
        <f>INPUT!GK272</f>
        <v>-4.849425287357656E-2</v>
      </c>
      <c r="FS339" s="119">
        <f>INPUT!GL272</f>
        <v>7.966379310344827</v>
      </c>
      <c r="FT339" s="18">
        <f>INPUT!GM272</f>
        <v>0</v>
      </c>
      <c r="FU339" s="119">
        <f>INPUT!GN272</f>
        <v>7.966379310344827</v>
      </c>
      <c r="FV339" s="18">
        <f>INPUT!GO272</f>
        <v>0</v>
      </c>
      <c r="FW339" s="119">
        <f>INPUT!GP272</f>
        <v>7.966379310344827</v>
      </c>
      <c r="FX339" s="18">
        <f>INPUT!GQ272</f>
        <v>0</v>
      </c>
      <c r="FY339" s="119">
        <f>INPUT!GR272</f>
        <v>7.966379310344827</v>
      </c>
      <c r="FZ339" s="18">
        <f>INPUT!GS272</f>
        <v>0</v>
      </c>
      <c r="GA339" s="5">
        <f>INPUT!GT272</f>
        <v>-9.7007324763587199E-3</v>
      </c>
    </row>
    <row r="340" spans="1:183" ht="12.75" hidden="1" customHeight="1" outlineLevel="1" x14ac:dyDescent="0.2">
      <c r="A340" s="612" t="str">
        <f>+INPUT!B273</f>
        <v>Other Expenses/Revenues (%)</v>
      </c>
      <c r="B340" s="119">
        <f>INPUT!M273</f>
        <v>12.207738464721704</v>
      </c>
      <c r="C340" s="399" t="str">
        <f>INPUT!N273</f>
        <v>NA</v>
      </c>
      <c r="D340" s="119">
        <f>INPUT!O273</f>
        <v>10.037320762129248</v>
      </c>
      <c r="E340" s="5" t="str">
        <f>INPUT!P273</f>
        <v>NA</v>
      </c>
      <c r="F340" s="119">
        <f>INPUT!Q273</f>
        <v>10.425321463897133</v>
      </c>
      <c r="G340" s="5" t="str">
        <f>INPUT!R273</f>
        <v>NA</v>
      </c>
      <c r="H340" s="119">
        <f>INPUT!S273</f>
        <v>9.7522611089264668</v>
      </c>
      <c r="I340" s="5" t="str">
        <f>INPUT!T273</f>
        <v>NA</v>
      </c>
      <c r="J340" s="119">
        <f>INPUT!U273</f>
        <v>10.896381578947366</v>
      </c>
      <c r="K340" s="5">
        <f>INPUT!V273</f>
        <v>-10.742013269402328</v>
      </c>
      <c r="L340" s="119">
        <f>INPUT!W273</f>
        <v>10.572063877097232</v>
      </c>
      <c r="M340" s="5">
        <f>INPUT!X273</f>
        <v>5.3275483332720253</v>
      </c>
      <c r="N340" s="119">
        <f>INPUT!Y273</f>
        <v>10.113931641015391</v>
      </c>
      <c r="O340" s="5">
        <f>INPUT!Z273</f>
        <v>-2.9868606350421323</v>
      </c>
      <c r="P340" s="119">
        <f>INPUT!AA273</f>
        <v>9.5462328767123292</v>
      </c>
      <c r="Q340" s="5">
        <f>INPUT!AB273</f>
        <v>-2.1126201391957755</v>
      </c>
      <c r="R340" s="119">
        <f>INPUT!AC273</f>
        <v>8.3113188376346265</v>
      </c>
      <c r="S340" s="5">
        <f>INPUT!AD273</f>
        <v>-23.724047497632395</v>
      </c>
      <c r="T340" s="119">
        <f>INPUT!AE273</f>
        <v>8.6000435445242758</v>
      </c>
      <c r="U340" s="5">
        <f>INPUT!AF273</f>
        <v>-18.653125401985491</v>
      </c>
      <c r="V340" s="119">
        <f>INPUT!AG273</f>
        <v>7.9695982627578728</v>
      </c>
      <c r="W340" s="5">
        <f>INPUT!AH273</f>
        <v>-21.201778441546171</v>
      </c>
      <c r="X340" s="119">
        <f>INPUT!AI273</f>
        <v>8.4581311959502212</v>
      </c>
      <c r="Y340" s="5">
        <f>INPUT!AJ273</f>
        <v>-11.398231059463161</v>
      </c>
      <c r="Z340" s="119">
        <f>INPUT!AK273</f>
        <v>7.5011195700850877</v>
      </c>
      <c r="AA340" s="5">
        <f>INPUT!AL273</f>
        <v>-9.7481432655532547</v>
      </c>
      <c r="AB340" s="119">
        <f>INPUT!AM273</f>
        <v>9.337553696586026</v>
      </c>
      <c r="AC340" s="5">
        <f>INPUT!AN273</f>
        <v>8.575656021315492</v>
      </c>
      <c r="AD340" s="119">
        <f>INPUT!AO273</f>
        <v>7.5598488030239404</v>
      </c>
      <c r="AE340" s="5">
        <f>INPUT!AP273</f>
        <v>-5.1414067086505639</v>
      </c>
      <c r="AF340" s="119">
        <f>INPUT!AQ273</f>
        <v>7.3075420085971077</v>
      </c>
      <c r="AG340" s="5">
        <f>INPUT!AR273</f>
        <v>-13.603349968182322</v>
      </c>
      <c r="AH340" s="119">
        <f>INPUT!AS273</f>
        <v>6.7867867867867862</v>
      </c>
      <c r="AI340" s="5">
        <f>INPUT!AT273</f>
        <v>-9.5230155528663101</v>
      </c>
      <c r="AJ340" s="119">
        <f>INPUT!AU273</f>
        <v>6.9707229635530776</v>
      </c>
      <c r="AK340" s="5">
        <f>INPUT!AV273</f>
        <v>-25.34743906102841</v>
      </c>
      <c r="AL340" s="119">
        <f>INPUT!AW273</f>
        <v>7.0772996124821548</v>
      </c>
      <c r="AM340" s="5">
        <f>INPUT!AX273</f>
        <v>-6.3830534593332882</v>
      </c>
      <c r="AN340" s="119">
        <f>INPUT!AY273</f>
        <v>7.093322765999603</v>
      </c>
      <c r="AO340" s="18">
        <f>INPUT!AZ273</f>
        <v>-2.9314815069893863</v>
      </c>
      <c r="AP340" s="119">
        <f>INPUT!BA273</f>
        <v>7.4243052675238479</v>
      </c>
      <c r="AQ340" s="18">
        <f>INPUT!BB273</f>
        <v>9.3935245170549297</v>
      </c>
      <c r="AR340" s="119">
        <f>INPUT!BC273</f>
        <v>6.5190137902214786</v>
      </c>
      <c r="AS340" s="18">
        <f>INPUT!BD273</f>
        <v>-6.480090740851308</v>
      </c>
      <c r="AT340" s="119">
        <f>INPUT!BE273</f>
        <v>6.9000201166767239</v>
      </c>
      <c r="AU340" s="18">
        <f>INPUT!BF273</f>
        <v>-2.5049030776196801</v>
      </c>
      <c r="AV340" s="119">
        <f>INPUT!BG273</f>
        <v>9.6834264432029791</v>
      </c>
      <c r="AW340" s="18">
        <f>INPUT!BH273</f>
        <v>36.514673907389493</v>
      </c>
      <c r="AX340" s="119">
        <f>INPUT!BI273</f>
        <v>10.344067048963387</v>
      </c>
      <c r="AY340" s="18">
        <f>INPUT!BJ273</f>
        <v>39.327070698607436</v>
      </c>
      <c r="AZ340" s="119">
        <f>INPUT!BK273</f>
        <v>9.8698481561822131</v>
      </c>
      <c r="BA340" s="18">
        <f>INPUT!BL273</f>
        <v>51.40093998553872</v>
      </c>
      <c r="BB340" s="119">
        <f>INPUT!BM273</f>
        <v>10.719041278295608</v>
      </c>
      <c r="BC340" s="18">
        <f>INPUT!BN273</f>
        <v>55.347971412266681</v>
      </c>
      <c r="BD340" s="119">
        <f>INPUT!BO273</f>
        <v>9.37362152624614</v>
      </c>
      <c r="BE340" s="18">
        <f>INPUT!BP273</f>
        <v>-3.1993315462658156</v>
      </c>
      <c r="BF340" s="119">
        <f>INPUT!BQ273</f>
        <v>9.0539625197561513</v>
      </c>
      <c r="BG340" s="18">
        <f>INPUT!BR273</f>
        <v>-12.471927367645218</v>
      </c>
      <c r="BH340" s="119">
        <f>INPUT!BS273</f>
        <v>9.0888485947416129</v>
      </c>
      <c r="BI340" s="18">
        <f>INPUT!BT273</f>
        <v>-7.9129845675630079</v>
      </c>
      <c r="BJ340" s="119">
        <f>INPUT!BU273</f>
        <v>9.0887959088795913</v>
      </c>
      <c r="BK340" s="18">
        <f>INPUT!BV273</f>
        <v>-15.20887294945873</v>
      </c>
      <c r="BL340" s="119">
        <f>INPUT!BW273</f>
        <v>9.0695488721804516</v>
      </c>
      <c r="BM340" s="18">
        <f>INPUT!BX273</f>
        <v>-3.2439186200796</v>
      </c>
      <c r="BN340" s="119">
        <f>INPUT!BY273</f>
        <v>7.9147196261682238</v>
      </c>
      <c r="BO340" s="18">
        <f>INPUT!BZ273</f>
        <v>-12.582809914466164</v>
      </c>
      <c r="BP340" s="119">
        <f>INPUT!CA273</f>
        <v>9.4618309447206776</v>
      </c>
      <c r="BQ340" s="18">
        <f>INPUT!CB273</f>
        <v>4.1037359803182794</v>
      </c>
      <c r="BR340" s="119">
        <f>INPUT!CC273</f>
        <v>7.371842221893929</v>
      </c>
      <c r="BS340" s="18">
        <f>INPUT!CD273</f>
        <v>-18.890881742742504</v>
      </c>
      <c r="BT340" s="119">
        <f>INPUT!CE273</f>
        <v>7.4247296112247865</v>
      </c>
      <c r="BU340" s="18">
        <f>INPUT!CF273</f>
        <v>-18.135623768464537</v>
      </c>
      <c r="BV340" s="119">
        <f>INPUT!CG273</f>
        <v>7.1851851851851851</v>
      </c>
      <c r="BW340" s="18">
        <f>INPUT!CH273</f>
        <v>-9.2174388410550705</v>
      </c>
      <c r="BX340" s="119">
        <f>INPUT!CI273</f>
        <v>7.2240502542626386</v>
      </c>
      <c r="BY340" s="18">
        <f>INPUT!CJ273</f>
        <v>-23.650609522955289</v>
      </c>
      <c r="BZ340" s="119">
        <f>INPUT!CK273</f>
        <v>6.9722593087079066</v>
      </c>
      <c r="CA340" s="18">
        <f>INPUT!CL273</f>
        <v>-5.4203942672468646</v>
      </c>
      <c r="CB340" s="119">
        <f>INPUT!CM273</f>
        <v>6.9349569349569347</v>
      </c>
      <c r="CC340" s="18">
        <f>INPUT!CN273</f>
        <v>-6.5965052185524513</v>
      </c>
      <c r="CD340" s="119">
        <f>INPUT!CO273</f>
        <v>7.1300715990453467</v>
      </c>
      <c r="CE340" s="18">
        <f>INPUT!CP273</f>
        <v>-0.76704475555444684</v>
      </c>
      <c r="CF340" s="119">
        <f>INPUT!CQ273</f>
        <v>6.6805225653206648</v>
      </c>
      <c r="CG340" s="18">
        <f>INPUT!CR273</f>
        <v>-7.5238636195984139</v>
      </c>
      <c r="CH340" s="119">
        <f>INPUT!CS273</f>
        <v>6.2518474726574045</v>
      </c>
      <c r="CI340" s="18">
        <f>INPUT!CT273</f>
        <v>-10.332545078332844</v>
      </c>
      <c r="CJ340" s="119">
        <f>INPUT!CU273</f>
        <v>6.3188831741366638</v>
      </c>
      <c r="CK340" s="18">
        <f>INPUT!CV273</f>
        <v>-8.8835989408216349</v>
      </c>
      <c r="CL340" s="119">
        <f>INPUT!CW273</f>
        <v>6.3386524822695041</v>
      </c>
      <c r="CM340" s="18">
        <f>INPUT!CX273</f>
        <v>-11.09973589720763</v>
      </c>
      <c r="CN340" s="119">
        <f>INPUT!CY273</f>
        <v>6.1358874588446568</v>
      </c>
      <c r="CO340" s="18">
        <f>INPUT!CZ273</f>
        <v>-8.1525823938275348</v>
      </c>
      <c r="CP340" s="119">
        <f>INPUT!DA273</f>
        <v>6.3346373758651815</v>
      </c>
      <c r="CQ340" s="18">
        <f>INPUT!DB273</f>
        <v>1.3242470097017067</v>
      </c>
      <c r="CR340" s="119">
        <f>INPUT!DC273</f>
        <v>6.3567503341749596</v>
      </c>
      <c r="CS340" s="18">
        <f>INPUT!DD273</f>
        <v>0.59926982339675305</v>
      </c>
      <c r="CT340" s="119">
        <f>INPUT!DE273</f>
        <v>6.8702290076335881</v>
      </c>
      <c r="CU340" s="18">
        <f>INPUT!DF273</f>
        <v>8.386270218331294</v>
      </c>
      <c r="CV340" s="119">
        <f>INPUT!DG273</f>
        <v>6.5223925458370902</v>
      </c>
      <c r="CW340" s="18">
        <f>INPUT!DH273</f>
        <v>6.2990902226425449</v>
      </c>
      <c r="CX340" s="119">
        <f>INPUT!DI273</f>
        <v>6.5074261215740306</v>
      </c>
      <c r="CY340" s="18">
        <f>INPUT!DJ273</f>
        <v>2.7276817196698611</v>
      </c>
      <c r="CZ340" s="119">
        <f>INPUT!DK273</f>
        <v>6.7946374162096275</v>
      </c>
      <c r="DA340" s="18">
        <f>INPUT!DL273</f>
        <v>6.8885367367743422</v>
      </c>
      <c r="DB340" s="119">
        <f>INPUT!DM273</f>
        <v>6.7077872012336153</v>
      </c>
      <c r="DC340" s="18">
        <f>INPUT!DN273</f>
        <v>-2.3644307375996099</v>
      </c>
      <c r="DD340" s="119">
        <f>INPUT!DO273</f>
        <v>6.6463878326996202</v>
      </c>
      <c r="DE340" s="18">
        <f>INPUT!DP273</f>
        <v>1.9010705962748231</v>
      </c>
      <c r="DF340" s="119">
        <f>INPUT!DQ273</f>
        <v>6.4431800707365827</v>
      </c>
      <c r="DG340" s="18">
        <f>INPUT!DR273</f>
        <v>-0.98727284239852331</v>
      </c>
      <c r="DH340" s="119">
        <f>INPUT!DS273</f>
        <v>6.2973054798667878</v>
      </c>
      <c r="DI340" s="18">
        <f>INPUT!DT273</f>
        <v>-7.3194771976556101</v>
      </c>
      <c r="DJ340" s="119">
        <f>INPUT!DU273</f>
        <v>6.0936300844205693</v>
      </c>
      <c r="DK340" s="18">
        <f>INPUT!DV273</f>
        <v>-9.1558825345577137</v>
      </c>
      <c r="DL340" s="119">
        <f>INPUT!DW273</f>
        <v>6.1609195402298855</v>
      </c>
      <c r="DM340" s="18">
        <f>INPUT!DX273</f>
        <v>-7.3042426155343403</v>
      </c>
      <c r="DN340" s="119">
        <f>INPUT!DY273</f>
        <v>6.1517113783533768</v>
      </c>
      <c r="DO340" s="18">
        <f>INPUT!DZ273</f>
        <v>-4.52367758130785</v>
      </c>
      <c r="DP340" s="119">
        <f>INPUT!EA273</f>
        <v>6.3719512195121952</v>
      </c>
      <c r="DQ340" s="18">
        <f>INPUT!EB273</f>
        <v>1.1853599906191281</v>
      </c>
      <c r="DR340" s="119">
        <f>INPUT!EC273</f>
        <v>6.1741835147744952</v>
      </c>
      <c r="DS340" s="18">
        <f>INPUT!ED273</f>
        <v>1.3219284603421366</v>
      </c>
      <c r="DT340" s="119">
        <f>INPUT!EE273</f>
        <v>6.0785536159600992</v>
      </c>
      <c r="DU340" s="18">
        <f>INPUT!EF273</f>
        <v>-1.3369095916924256</v>
      </c>
      <c r="DV340" s="119">
        <f>INPUT!EG273</f>
        <v>6.0914500469777639</v>
      </c>
      <c r="DW340" s="18">
        <f>INPUT!EH273</f>
        <v>-0.97958645439154557</v>
      </c>
      <c r="DX340" s="119">
        <f>INPUT!EI273</f>
        <v>6.2050640825257899</v>
      </c>
      <c r="DY340" s="18">
        <f>INPUT!EJ273</f>
        <v>-2.6190899967244441</v>
      </c>
      <c r="DZ340" s="119">
        <f>INPUT!EK273</f>
        <v>6.2050640825257899</v>
      </c>
      <c r="EA340" s="18">
        <f>INPUT!EL273</f>
        <v>0.50015629884339052</v>
      </c>
      <c r="EB340" s="119">
        <f>INPUT!EM273</f>
        <v>6.2050640825257899</v>
      </c>
      <c r="EC340" s="18">
        <f>INPUT!EN273</f>
        <v>2.0812593679114588</v>
      </c>
      <c r="ED340" s="119">
        <f>INPUT!EO273</f>
        <v>6.2050640825257899</v>
      </c>
      <c r="EE340" s="18">
        <f>INPUT!EP273</f>
        <v>1.8651394113359698</v>
      </c>
      <c r="EF340" s="119">
        <f>INPUT!EQ273</f>
        <v>6.2050640825257899</v>
      </c>
      <c r="EG340" s="18">
        <f>INPUT!ER273</f>
        <v>0</v>
      </c>
      <c r="EH340" s="18"/>
      <c r="EI340" s="119">
        <f>INPUT!FB273</f>
        <v>0</v>
      </c>
      <c r="EJ340" s="5">
        <f>INPUT!FC273</f>
        <v>0</v>
      </c>
      <c r="EK340" s="119">
        <f>INPUT!FD273</f>
        <v>10.58559681036631</v>
      </c>
      <c r="EL340" s="5" t="str">
        <f>INPUT!FE273</f>
        <v>NA</v>
      </c>
      <c r="EM340" s="119">
        <f>INPUT!FF273</f>
        <v>10.289438571281945</v>
      </c>
      <c r="EN340" s="5">
        <f>INPUT!FG273</f>
        <v>-2.7977472067927445</v>
      </c>
      <c r="EO340" s="119">
        <f>INPUT!FH273</f>
        <v>8.3351007423117718</v>
      </c>
      <c r="EP340" s="5">
        <f>INPUT!FI273</f>
        <v>-18.993629394170974</v>
      </c>
      <c r="EQ340" s="119">
        <f>INPUT!FJ273</f>
        <v>7.8959987212957534</v>
      </c>
      <c r="ER340" s="18">
        <f>INPUT!FK273</f>
        <v>-5.2681069442507056</v>
      </c>
      <c r="ES340" s="119">
        <f>INPUT!FL273</f>
        <v>6.9818691776019239</v>
      </c>
      <c r="ET340" s="18">
        <f>INPUT!FM273</f>
        <v>-11.577123755458496</v>
      </c>
      <c r="EU340" s="119">
        <f>INPUT!FN273</f>
        <v>7.6293014630125695</v>
      </c>
      <c r="EV340" s="18">
        <f>INPUT!FO273</f>
        <v>9.2730509401068417</v>
      </c>
      <c r="EW340" s="119">
        <f>INPUT!FP273</f>
        <v>10.074791025076994</v>
      </c>
      <c r="EX340" s="18">
        <f>INPUT!FQ273</f>
        <v>32.053911802022014</v>
      </c>
      <c r="EY340" s="119">
        <f>INPUT!FR273</f>
        <v>8.332723681322701</v>
      </c>
      <c r="EZ340" s="18">
        <f>INPUT!FS273</f>
        <v>-17.291349660932344</v>
      </c>
      <c r="FA340" s="119">
        <f>INPUT!FT273</f>
        <v>8.0448400923178394</v>
      </c>
      <c r="FB340" s="18">
        <f>INPUT!FU273</f>
        <v>-3.4548558192339374</v>
      </c>
      <c r="FC340" s="119">
        <f>INPUT!FV273</f>
        <v>7.078889673367768</v>
      </c>
      <c r="FD340" s="18">
        <f>INPUT!FW273</f>
        <v>-12.007080412604775</v>
      </c>
      <c r="FE340" s="119">
        <f>INPUT!FX273</f>
        <v>6.5955634559123082</v>
      </c>
      <c r="FF340" s="18">
        <f>INPUT!FY273</f>
        <v>-6.8277122508891726</v>
      </c>
      <c r="FG340" s="119">
        <f>INPUT!FZ273</f>
        <v>6.2916992806291709</v>
      </c>
      <c r="FH340" s="18">
        <f>INPUT!GA273</f>
        <v>-4.6070995649469708</v>
      </c>
      <c r="FI340" s="119">
        <f>INPUT!GB273</f>
        <v>6.673257538309441</v>
      </c>
      <c r="FJ340" s="18">
        <f>INPUT!GC273</f>
        <v>6.0644706725734299</v>
      </c>
      <c r="FK340" s="119">
        <f>INPUT!GD273</f>
        <v>6.5229852115098002</v>
      </c>
      <c r="FL340" s="18">
        <f>INPUT!GE273</f>
        <v>-2.2518586453012857</v>
      </c>
      <c r="FM340" s="119">
        <f>INPUT!GF273</f>
        <v>6.1948938127731346</v>
      </c>
      <c r="FN340" s="18">
        <f>INPUT!GG273</f>
        <v>-5.0297737630578769</v>
      </c>
      <c r="FO340" s="119">
        <f>INPUT!GH273</f>
        <v>6.1373390557939915</v>
      </c>
      <c r="FP340" s="18">
        <f>INPUT!GI273</f>
        <v>-0.92906769217693252</v>
      </c>
      <c r="FQ340" s="119">
        <f>INPUT!GJ273</f>
        <v>6.205064082525789</v>
      </c>
      <c r="FR340" s="18">
        <f>INPUT!GK273</f>
        <v>1.1034916943013062</v>
      </c>
      <c r="FS340" s="119">
        <f>INPUT!GL273</f>
        <v>6.205064082525789</v>
      </c>
      <c r="FT340" s="18">
        <f>INPUT!GM273</f>
        <v>0</v>
      </c>
      <c r="FU340" s="119">
        <f>INPUT!GN273</f>
        <v>6.205064082525789</v>
      </c>
      <c r="FV340" s="18">
        <f>INPUT!GO273</f>
        <v>0</v>
      </c>
      <c r="FW340" s="119">
        <f>INPUT!GP273</f>
        <v>6.205064082525789</v>
      </c>
      <c r="FX340" s="18">
        <f>INPUT!GQ273</f>
        <v>0</v>
      </c>
      <c r="FY340" s="119">
        <f>INPUT!GR273</f>
        <v>6.205064082525789</v>
      </c>
      <c r="FZ340" s="18">
        <f>INPUT!GS273</f>
        <v>0</v>
      </c>
      <c r="GA340" s="5">
        <f>INPUT!GT273</f>
        <v>0.21973058415016844</v>
      </c>
    </row>
    <row r="341" spans="1:183" ht="12.75" hidden="1" customHeight="1" outlineLevel="1" x14ac:dyDescent="0.2">
      <c r="A341" s="612"/>
      <c r="B341" s="96"/>
      <c r="C341" s="613"/>
      <c r="D341" s="96"/>
      <c r="E341" s="5"/>
      <c r="F341" s="96"/>
      <c r="G341" s="5"/>
      <c r="H341" s="96"/>
      <c r="I341" s="5"/>
      <c r="J341" s="96"/>
      <c r="K341" s="5"/>
      <c r="L341" s="96"/>
      <c r="M341" s="5"/>
      <c r="N341" s="96"/>
      <c r="O341" s="5"/>
      <c r="P341" s="96"/>
      <c r="Q341" s="5"/>
      <c r="R341" s="96"/>
      <c r="S341" s="5"/>
      <c r="T341" s="96"/>
      <c r="U341" s="5"/>
      <c r="V341" s="96"/>
      <c r="W341" s="5"/>
      <c r="X341" s="96"/>
      <c r="Y341" s="5"/>
      <c r="Z341" s="96"/>
      <c r="AA341" s="5"/>
      <c r="AB341" s="96"/>
      <c r="AC341" s="5"/>
      <c r="AD341" s="96"/>
      <c r="AE341" s="5"/>
      <c r="AF341" s="96"/>
      <c r="AG341" s="5"/>
      <c r="AH341" s="96"/>
      <c r="AI341" s="5"/>
      <c r="AJ341" s="96"/>
      <c r="AK341" s="5"/>
      <c r="AL341" s="96"/>
      <c r="AM341" s="5"/>
      <c r="AN341" s="96"/>
      <c r="AO341" s="18"/>
      <c r="AP341" s="96"/>
      <c r="AQ341" s="18"/>
      <c r="AR341" s="96"/>
      <c r="AS341" s="18"/>
      <c r="AT341" s="96"/>
      <c r="AU341" s="18"/>
      <c r="AV341" s="96"/>
      <c r="AW341" s="18"/>
      <c r="AX341" s="96"/>
      <c r="AY341" s="18"/>
      <c r="AZ341" s="96"/>
      <c r="BA341" s="18"/>
      <c r="BB341" s="96"/>
      <c r="BC341" s="18"/>
      <c r="BD341" s="96"/>
      <c r="BE341" s="18"/>
      <c r="BF341" s="96"/>
      <c r="BG341" s="18"/>
      <c r="BH341" s="96"/>
      <c r="BI341" s="18"/>
      <c r="BJ341" s="96"/>
      <c r="BK341" s="18"/>
      <c r="BL341" s="96"/>
      <c r="BM341" s="18"/>
      <c r="BN341" s="96"/>
      <c r="BO341" s="18"/>
      <c r="BP341" s="96"/>
      <c r="BQ341" s="18"/>
      <c r="BR341" s="96"/>
      <c r="BS341" s="18"/>
      <c r="BT341" s="96"/>
      <c r="BU341" s="18"/>
      <c r="BV341" s="96"/>
      <c r="BW341" s="18"/>
      <c r="BX341" s="96"/>
      <c r="BY341" s="18"/>
      <c r="BZ341" s="96"/>
      <c r="CA341" s="18"/>
      <c r="CB341" s="96"/>
      <c r="CC341" s="18"/>
      <c r="CD341" s="96"/>
      <c r="CE341" s="18"/>
      <c r="CF341" s="96"/>
      <c r="CG341" s="18"/>
      <c r="CH341" s="96"/>
      <c r="CI341" s="18"/>
      <c r="CJ341" s="96"/>
      <c r="CK341" s="18"/>
      <c r="CL341" s="96"/>
      <c r="CM341" s="18"/>
      <c r="CN341" s="96"/>
      <c r="CO341" s="18"/>
      <c r="CP341" s="96"/>
      <c r="CQ341" s="18"/>
      <c r="CR341" s="96"/>
      <c r="CS341" s="18"/>
      <c r="CT341" s="96"/>
      <c r="CU341" s="18"/>
      <c r="CV341" s="96"/>
      <c r="CW341" s="18"/>
      <c r="CX341" s="96"/>
      <c r="CY341" s="18"/>
      <c r="CZ341" s="96"/>
      <c r="DA341" s="18"/>
      <c r="DB341" s="96"/>
      <c r="DC341" s="18"/>
      <c r="DD341" s="96"/>
      <c r="DE341" s="18"/>
      <c r="DF341" s="96"/>
      <c r="DG341" s="18"/>
      <c r="DH341" s="96"/>
      <c r="DI341" s="18"/>
      <c r="DJ341" s="96"/>
      <c r="DK341" s="18"/>
      <c r="DL341" s="96"/>
      <c r="DM341" s="18"/>
      <c r="DN341" s="96"/>
      <c r="DO341" s="18"/>
      <c r="DP341" s="96"/>
      <c r="DQ341" s="18"/>
      <c r="DR341" s="96"/>
      <c r="DS341" s="18"/>
      <c r="DT341" s="96"/>
      <c r="DU341" s="18"/>
      <c r="DV341" s="96"/>
      <c r="DW341" s="18"/>
      <c r="DX341" s="96"/>
      <c r="DY341" s="18"/>
      <c r="DZ341" s="96"/>
      <c r="EA341" s="18"/>
      <c r="EB341" s="96"/>
      <c r="EC341" s="18"/>
      <c r="ED341" s="96"/>
      <c r="EE341" s="18"/>
      <c r="EF341" s="96"/>
      <c r="EG341" s="18"/>
      <c r="EH341" s="649"/>
      <c r="EI341" s="96"/>
      <c r="EJ341" s="5"/>
      <c r="EK341" s="96"/>
      <c r="EL341" s="5"/>
      <c r="EM341" s="96"/>
      <c r="EN341" s="5"/>
      <c r="EO341" s="96"/>
      <c r="EP341" s="5"/>
      <c r="EQ341" s="96"/>
      <c r="ER341" s="18"/>
      <c r="ES341" s="96"/>
      <c r="ET341" s="18"/>
      <c r="EU341" s="96"/>
      <c r="EV341" s="18"/>
      <c r="EW341" s="96"/>
      <c r="EX341" s="18"/>
      <c r="EY341" s="96"/>
      <c r="EZ341" s="18"/>
      <c r="FA341" s="96"/>
      <c r="FB341" s="18"/>
      <c r="FC341" s="96"/>
      <c r="FD341" s="18"/>
      <c r="FE341" s="96"/>
      <c r="FF341" s="18"/>
      <c r="FG341" s="96"/>
      <c r="FH341" s="18"/>
      <c r="FI341" s="96"/>
      <c r="FJ341" s="18"/>
      <c r="FK341" s="96"/>
      <c r="FL341" s="18"/>
      <c r="FM341" s="96"/>
      <c r="FN341" s="18"/>
      <c r="FO341" s="96"/>
      <c r="FP341" s="18"/>
      <c r="FQ341" s="96"/>
      <c r="FR341" s="18"/>
      <c r="FS341" s="96"/>
      <c r="FT341" s="18"/>
      <c r="FU341" s="96"/>
      <c r="FV341" s="18"/>
      <c r="FW341" s="96"/>
      <c r="FX341" s="18"/>
      <c r="FY341" s="96"/>
      <c r="FZ341" s="18"/>
      <c r="GA341" s="5"/>
    </row>
    <row r="342" spans="1:183" ht="12.75" hidden="1" customHeight="1" outlineLevel="1" x14ac:dyDescent="0.2">
      <c r="A342" s="640" t="str">
        <f>+A55</f>
        <v>Quarterly income statement ratios are annualized where appropriate     E = Morgan Stanley Research Estimates      NM = Not Meaningful       NA = Not Applicable              CAGR = Cumulative Average Growth Rate</v>
      </c>
      <c r="B342" s="96"/>
      <c r="C342" s="399"/>
      <c r="D342" s="96"/>
      <c r="E342" s="399"/>
      <c r="F342" s="96"/>
      <c r="G342" s="399"/>
      <c r="H342" s="96"/>
      <c r="I342" s="399"/>
      <c r="J342" s="96"/>
      <c r="K342" s="399"/>
      <c r="L342" s="96"/>
      <c r="M342" s="399"/>
      <c r="N342" s="96"/>
      <c r="O342" s="399"/>
      <c r="P342" s="96"/>
      <c r="Q342" s="399"/>
      <c r="R342" s="96"/>
      <c r="S342" s="399"/>
      <c r="T342" s="96"/>
      <c r="U342" s="399"/>
      <c r="V342" s="96"/>
      <c r="W342" s="399"/>
      <c r="X342" s="96"/>
      <c r="Y342" s="399"/>
      <c r="Z342" s="96"/>
      <c r="AA342" s="399"/>
      <c r="AB342" s="96"/>
      <c r="AC342" s="399"/>
      <c r="AD342" s="96"/>
      <c r="AE342" s="399"/>
      <c r="AF342" s="96"/>
      <c r="AG342" s="399"/>
      <c r="AH342" s="96"/>
      <c r="AI342" s="399"/>
      <c r="AJ342" s="96"/>
      <c r="AK342" s="399"/>
      <c r="AL342" s="96"/>
      <c r="AM342" s="399"/>
      <c r="AN342" s="96"/>
      <c r="AO342" s="18"/>
      <c r="AP342" s="96"/>
      <c r="AQ342" s="18"/>
      <c r="AR342" s="96"/>
      <c r="AS342" s="18"/>
      <c r="AT342" s="96"/>
      <c r="AU342" s="18"/>
      <c r="AV342" s="96"/>
      <c r="AW342" s="18"/>
      <c r="AX342" s="96"/>
      <c r="AY342" s="18"/>
      <c r="AZ342" s="96"/>
      <c r="BA342" s="18"/>
      <c r="BB342" s="96"/>
      <c r="BC342" s="18"/>
      <c r="BD342" s="96"/>
      <c r="BE342" s="18"/>
      <c r="BF342" s="96"/>
      <c r="BG342" s="18"/>
      <c r="BH342" s="96"/>
      <c r="BI342" s="18"/>
      <c r="BJ342" s="96"/>
      <c r="BK342" s="18"/>
      <c r="BL342" s="96"/>
      <c r="BM342" s="18"/>
      <c r="BN342" s="96"/>
      <c r="BO342" s="18"/>
      <c r="BP342" s="96"/>
      <c r="BQ342" s="18"/>
      <c r="BR342" s="96"/>
      <c r="BS342" s="18"/>
      <c r="BT342" s="96"/>
      <c r="BU342" s="18"/>
      <c r="BV342" s="96"/>
      <c r="BW342" s="18"/>
      <c r="BX342" s="96"/>
      <c r="BY342" s="18"/>
      <c r="BZ342" s="96"/>
      <c r="CA342" s="18"/>
      <c r="CB342" s="96"/>
      <c r="CC342" s="18"/>
      <c r="CD342" s="96"/>
      <c r="CE342" s="18"/>
      <c r="CF342" s="96"/>
      <c r="CG342" s="18"/>
      <c r="CH342" s="96"/>
      <c r="CI342" s="18"/>
      <c r="CJ342" s="96"/>
      <c r="CK342" s="18"/>
      <c r="CL342" s="96"/>
      <c r="CM342" s="18"/>
      <c r="CN342" s="96"/>
      <c r="CO342" s="18"/>
      <c r="CP342" s="96"/>
      <c r="CQ342" s="18"/>
      <c r="CR342" s="96"/>
      <c r="CS342" s="18"/>
      <c r="CT342" s="96"/>
      <c r="CU342" s="18"/>
      <c r="CV342" s="96"/>
      <c r="CW342" s="18"/>
      <c r="CX342" s="96"/>
      <c r="CY342" s="18"/>
      <c r="CZ342" s="96"/>
      <c r="DA342" s="18"/>
      <c r="DB342" s="96"/>
      <c r="DC342" s="18"/>
      <c r="DD342" s="96"/>
      <c r="DE342" s="18"/>
      <c r="DF342" s="96"/>
      <c r="DG342" s="18"/>
      <c r="DH342" s="96"/>
      <c r="DI342" s="18"/>
      <c r="DJ342" s="96"/>
      <c r="DK342" s="18"/>
      <c r="DL342" s="96"/>
      <c r="DM342" s="18"/>
      <c r="DN342" s="96"/>
      <c r="DO342" s="18"/>
      <c r="DP342" s="96"/>
      <c r="DQ342" s="18"/>
      <c r="DR342" s="96"/>
      <c r="DS342" s="18"/>
      <c r="DT342" s="96"/>
      <c r="DU342" s="18"/>
      <c r="DV342" s="96"/>
      <c r="DW342" s="18"/>
      <c r="DX342" s="96"/>
      <c r="DY342" s="18"/>
      <c r="DZ342" s="96"/>
      <c r="EA342" s="18"/>
      <c r="EB342" s="96"/>
      <c r="EC342" s="18"/>
      <c r="ED342" s="96"/>
      <c r="EE342" s="18"/>
      <c r="EF342" s="96"/>
      <c r="EG342" s="18"/>
      <c r="EH342" s="18"/>
      <c r="EI342" s="96"/>
      <c r="EJ342" s="399"/>
      <c r="EK342" s="96"/>
      <c r="EL342" s="399"/>
      <c r="EM342" s="96"/>
      <c r="EN342" s="399"/>
      <c r="EO342" s="96"/>
      <c r="EP342" s="399"/>
      <c r="EQ342" s="96"/>
      <c r="ER342" s="18"/>
      <c r="ES342" s="96"/>
      <c r="ET342" s="18"/>
      <c r="EU342" s="96"/>
      <c r="EV342" s="18"/>
      <c r="EW342" s="96"/>
      <c r="EX342" s="18"/>
      <c r="EY342" s="96"/>
      <c r="EZ342" s="18"/>
      <c r="FA342" s="96"/>
      <c r="FB342" s="18"/>
      <c r="FC342" s="96"/>
      <c r="FD342" s="18"/>
      <c r="FE342" s="96"/>
      <c r="FF342" s="18"/>
      <c r="FG342" s="96"/>
      <c r="FH342" s="18"/>
      <c r="FI342" s="96"/>
      <c r="FJ342" s="18"/>
      <c r="FK342" s="96"/>
      <c r="FL342" s="18"/>
      <c r="FM342" s="96"/>
      <c r="FN342" s="18"/>
      <c r="FO342" s="96"/>
      <c r="FP342" s="18"/>
      <c r="FQ342" s="96"/>
      <c r="FR342" s="18"/>
      <c r="FS342" s="96"/>
      <c r="FT342" s="18"/>
      <c r="FU342" s="96"/>
      <c r="FV342" s="18"/>
      <c r="FW342" s="96"/>
      <c r="FX342" s="18"/>
      <c r="FY342" s="96"/>
      <c r="FZ342" s="18"/>
      <c r="GA342" s="399"/>
    </row>
    <row r="343" spans="1:183" ht="12.75" hidden="1" customHeight="1" outlineLevel="1" x14ac:dyDescent="0.2">
      <c r="A343" s="605" t="s">
        <v>473</v>
      </c>
      <c r="B343" s="96"/>
      <c r="C343" s="399"/>
      <c r="D343" s="96"/>
      <c r="E343" s="399"/>
      <c r="F343" s="96"/>
      <c r="G343" s="399"/>
      <c r="H343" s="96"/>
      <c r="I343" s="399"/>
      <c r="J343" s="96"/>
      <c r="K343" s="399"/>
      <c r="L343" s="96"/>
      <c r="M343" s="399"/>
      <c r="N343" s="96"/>
      <c r="O343" s="399"/>
      <c r="P343" s="96"/>
      <c r="Q343" s="399"/>
      <c r="R343" s="96"/>
      <c r="S343" s="399"/>
      <c r="T343" s="96"/>
      <c r="U343" s="399"/>
      <c r="V343" s="96"/>
      <c r="W343" s="399"/>
      <c r="X343" s="96"/>
      <c r="Y343" s="399"/>
      <c r="Z343" s="96"/>
      <c r="AA343" s="399"/>
      <c r="AB343" s="96"/>
      <c r="AC343" s="399"/>
      <c r="AD343" s="96"/>
      <c r="AE343" s="399"/>
      <c r="AF343" s="96"/>
      <c r="AG343" s="399"/>
      <c r="AH343" s="96"/>
      <c r="AI343" s="399"/>
      <c r="AJ343" s="96"/>
      <c r="AK343" s="399"/>
      <c r="AL343" s="96"/>
      <c r="AM343" s="399"/>
      <c r="AN343" s="96"/>
      <c r="AO343" s="18"/>
      <c r="AP343" s="96"/>
      <c r="AQ343" s="18"/>
      <c r="AR343" s="96"/>
      <c r="AS343" s="18"/>
      <c r="AT343" s="96"/>
      <c r="AU343" s="18"/>
      <c r="AV343" s="96"/>
      <c r="AW343" s="18"/>
      <c r="AX343" s="96"/>
      <c r="AY343" s="18"/>
      <c r="AZ343" s="96"/>
      <c r="BA343" s="18"/>
      <c r="BB343" s="96"/>
      <c r="BC343" s="18"/>
      <c r="BD343" s="96"/>
      <c r="BE343" s="18"/>
      <c r="BF343" s="96"/>
      <c r="BG343" s="18"/>
      <c r="BH343" s="96"/>
      <c r="BI343" s="18"/>
      <c r="BJ343" s="96"/>
      <c r="BK343" s="18"/>
      <c r="BL343" s="96"/>
      <c r="BM343" s="18"/>
      <c r="BN343" s="96"/>
      <c r="BO343" s="18"/>
      <c r="BP343" s="96"/>
      <c r="BQ343" s="18"/>
      <c r="BR343" s="96"/>
      <c r="BS343" s="18"/>
      <c r="BT343" s="96"/>
      <c r="BU343" s="18"/>
      <c r="BV343" s="96"/>
      <c r="BW343" s="18"/>
      <c r="BX343" s="96"/>
      <c r="BY343" s="18"/>
      <c r="BZ343" s="96"/>
      <c r="CA343" s="18"/>
      <c r="CB343" s="96"/>
      <c r="CC343" s="18"/>
      <c r="CD343" s="96"/>
      <c r="CE343" s="18"/>
      <c r="CF343" s="96"/>
      <c r="CG343" s="18"/>
      <c r="CH343" s="96"/>
      <c r="CI343" s="18"/>
      <c r="CJ343" s="96"/>
      <c r="CK343" s="18"/>
      <c r="CL343" s="96"/>
      <c r="CM343" s="18"/>
      <c r="CN343" s="96"/>
      <c r="CO343" s="18"/>
      <c r="CP343" s="96"/>
      <c r="CQ343" s="18"/>
      <c r="CR343" s="96"/>
      <c r="CS343" s="18"/>
      <c r="CT343" s="96"/>
      <c r="CU343" s="18"/>
      <c r="CV343" s="96"/>
      <c r="CW343" s="18"/>
      <c r="CX343" s="96"/>
      <c r="CY343" s="18"/>
      <c r="CZ343" s="96"/>
      <c r="DA343" s="18"/>
      <c r="DB343" s="96"/>
      <c r="DC343" s="18"/>
      <c r="DD343" s="96"/>
      <c r="DE343" s="18"/>
      <c r="DF343" s="96"/>
      <c r="DG343" s="18"/>
      <c r="DH343" s="96"/>
      <c r="DI343" s="18"/>
      <c r="DJ343" s="96"/>
      <c r="DK343" s="18"/>
      <c r="DL343" s="96"/>
      <c r="DM343" s="18"/>
      <c r="DN343" s="96"/>
      <c r="DO343" s="18"/>
      <c r="DP343" s="96"/>
      <c r="DQ343" s="18"/>
      <c r="DR343" s="96"/>
      <c r="DS343" s="18"/>
      <c r="DT343" s="96"/>
      <c r="DU343" s="18"/>
      <c r="DV343" s="96"/>
      <c r="DW343" s="18"/>
      <c r="DX343" s="96"/>
      <c r="DY343" s="18"/>
      <c r="DZ343" s="96"/>
      <c r="EA343" s="18"/>
      <c r="EB343" s="96"/>
      <c r="EC343" s="18"/>
      <c r="ED343" s="96"/>
      <c r="EE343" s="18"/>
      <c r="EF343" s="96"/>
      <c r="EG343" s="18"/>
      <c r="EH343" s="18"/>
      <c r="EI343" s="96"/>
      <c r="EJ343" s="399"/>
      <c r="EK343" s="96"/>
      <c r="EL343" s="399"/>
      <c r="EM343" s="96"/>
      <c r="EN343" s="399"/>
      <c r="EO343" s="96"/>
      <c r="EP343" s="399"/>
      <c r="EQ343" s="96"/>
      <c r="ER343" s="18"/>
      <c r="ES343" s="96"/>
      <c r="ET343" s="18"/>
      <c r="EU343" s="96"/>
      <c r="EV343" s="18"/>
      <c r="EW343" s="96"/>
      <c r="EX343" s="18"/>
      <c r="EY343" s="96"/>
      <c r="EZ343" s="18"/>
      <c r="FA343" s="96"/>
      <c r="FB343" s="18"/>
      <c r="FC343" s="96"/>
      <c r="FD343" s="18"/>
      <c r="FE343" s="96"/>
      <c r="FF343" s="18"/>
      <c r="FG343" s="96"/>
      <c r="FH343" s="18"/>
      <c r="FI343" s="96"/>
      <c r="FJ343" s="18"/>
      <c r="FK343" s="96"/>
      <c r="FL343" s="18"/>
      <c r="FM343" s="96"/>
      <c r="FN343" s="18"/>
      <c r="FO343" s="96"/>
      <c r="FP343" s="18"/>
      <c r="FQ343" s="96"/>
      <c r="FR343" s="18"/>
      <c r="FS343" s="96"/>
      <c r="FT343" s="18"/>
      <c r="FU343" s="96"/>
      <c r="FV343" s="18"/>
      <c r="FW343" s="96"/>
      <c r="FX343" s="18"/>
      <c r="FY343" s="96"/>
      <c r="FZ343" s="18"/>
      <c r="GA343" s="399"/>
    </row>
    <row r="344" spans="1:183" s="434" customFormat="1" ht="12.75" hidden="1" customHeight="1" outlineLevel="1" x14ac:dyDescent="0.2">
      <c r="A344" s="533"/>
      <c r="B344" s="530"/>
      <c r="C344" s="545"/>
      <c r="D344" s="530"/>
      <c r="E344" s="545"/>
      <c r="F344" s="530"/>
      <c r="G344" s="545"/>
      <c r="H344" s="530"/>
      <c r="I344" s="545"/>
      <c r="J344" s="530"/>
      <c r="K344" s="545"/>
      <c r="L344" s="530"/>
      <c r="M344" s="545"/>
      <c r="N344" s="530"/>
      <c r="O344" s="545"/>
      <c r="P344" s="530"/>
      <c r="Q344" s="545"/>
      <c r="R344" s="530"/>
      <c r="S344" s="545"/>
      <c r="T344" s="530"/>
      <c r="U344" s="545"/>
      <c r="V344" s="530"/>
      <c r="W344" s="545"/>
      <c r="X344" s="530"/>
      <c r="Y344" s="545"/>
      <c r="Z344" s="530"/>
      <c r="AA344" s="545"/>
      <c r="AB344" s="530"/>
      <c r="AC344" s="545"/>
      <c r="AD344" s="530"/>
      <c r="AE344" s="545"/>
      <c r="AF344" s="530"/>
      <c r="AG344" s="545"/>
      <c r="AH344" s="530"/>
      <c r="AI344" s="545"/>
      <c r="AJ344" s="530"/>
      <c r="AK344" s="545"/>
      <c r="AL344" s="530"/>
      <c r="AM344" s="545"/>
      <c r="AN344" s="530"/>
      <c r="AO344" s="546"/>
      <c r="AP344" s="530"/>
      <c r="AQ344" s="546"/>
      <c r="AR344" s="530"/>
      <c r="AS344" s="546"/>
      <c r="AT344" s="530"/>
      <c r="AU344" s="546"/>
      <c r="AV344" s="530"/>
      <c r="AW344" s="546"/>
      <c r="AX344" s="530"/>
      <c r="AY344" s="546"/>
      <c r="AZ344" s="530"/>
      <c r="BA344" s="546"/>
      <c r="BB344" s="530"/>
      <c r="BC344" s="546"/>
      <c r="BD344" s="530"/>
      <c r="BE344" s="546"/>
      <c r="BF344" s="530"/>
      <c r="BG344" s="546"/>
      <c r="BH344" s="530"/>
      <c r="BI344" s="546"/>
      <c r="BJ344" s="530"/>
      <c r="BK344" s="546"/>
      <c r="BL344" s="530"/>
      <c r="BM344" s="546"/>
      <c r="BN344" s="530"/>
      <c r="BO344" s="546"/>
      <c r="BP344" s="530"/>
      <c r="BQ344" s="546"/>
      <c r="BR344" s="530"/>
      <c r="BS344" s="546"/>
      <c r="BT344" s="530"/>
      <c r="BU344" s="546"/>
      <c r="BV344" s="530"/>
      <c r="BW344" s="546"/>
      <c r="BX344" s="530"/>
      <c r="BY344" s="546"/>
      <c r="BZ344" s="530"/>
      <c r="CA344" s="546"/>
      <c r="CB344" s="530"/>
      <c r="CC344" s="546"/>
      <c r="CD344" s="530"/>
      <c r="CE344" s="546"/>
      <c r="CF344" s="530"/>
      <c r="CG344" s="546"/>
      <c r="CH344" s="530"/>
      <c r="CI344" s="546"/>
      <c r="CJ344" s="530"/>
      <c r="CK344" s="546"/>
      <c r="CL344" s="530"/>
      <c r="CM344" s="546"/>
      <c r="CN344" s="530"/>
      <c r="CO344" s="546"/>
      <c r="CP344" s="530"/>
      <c r="CQ344" s="546"/>
      <c r="CR344" s="530"/>
      <c r="CS344" s="546"/>
      <c r="CT344" s="530"/>
      <c r="CU344" s="546"/>
      <c r="CV344" s="530"/>
      <c r="CW344" s="546"/>
      <c r="CX344" s="530"/>
      <c r="CY344" s="546"/>
      <c r="CZ344" s="530"/>
      <c r="DA344" s="546"/>
      <c r="DB344" s="530"/>
      <c r="DC344" s="546"/>
      <c r="DD344" s="530"/>
      <c r="DE344" s="546"/>
      <c r="DF344" s="530"/>
      <c r="DG344" s="546"/>
      <c r="DH344" s="530"/>
      <c r="DI344" s="546"/>
      <c r="DJ344" s="530"/>
      <c r="DK344" s="546"/>
      <c r="DL344" s="530"/>
      <c r="DM344" s="546"/>
      <c r="DN344" s="530"/>
      <c r="DO344" s="546"/>
      <c r="DP344" s="530"/>
      <c r="DQ344" s="546"/>
      <c r="DR344" s="530"/>
      <c r="DS344" s="546"/>
      <c r="DT344" s="530"/>
      <c r="DU344" s="546"/>
      <c r="DV344" s="530"/>
      <c r="DW344" s="546"/>
      <c r="DX344" s="530"/>
      <c r="DY344" s="546"/>
      <c r="DZ344" s="530"/>
      <c r="EA344" s="546"/>
      <c r="EB344" s="530"/>
      <c r="EC344" s="546"/>
      <c r="ED344" s="530"/>
      <c r="EE344" s="546"/>
      <c r="EF344" s="530"/>
      <c r="EG344" s="546"/>
      <c r="EH344" s="531"/>
      <c r="EI344" s="530"/>
      <c r="EJ344" s="545"/>
      <c r="EK344" s="530"/>
      <c r="EL344" s="545"/>
      <c r="EM344" s="530"/>
      <c r="EN344" s="545"/>
      <c r="EO344" s="530"/>
      <c r="EP344" s="545"/>
      <c r="EQ344" s="530"/>
      <c r="ER344" s="546"/>
      <c r="ES344" s="530"/>
      <c r="ET344" s="546"/>
      <c r="EU344" s="530"/>
      <c r="EV344" s="546"/>
      <c r="EW344" s="530"/>
      <c r="EX344" s="546"/>
      <c r="EY344" s="530"/>
      <c r="EZ344" s="546"/>
      <c r="FA344" s="530"/>
      <c r="FB344" s="546"/>
      <c r="FC344" s="530"/>
      <c r="FD344" s="546"/>
      <c r="FE344" s="530"/>
      <c r="FF344" s="546"/>
      <c r="FG344" s="530"/>
      <c r="FH344" s="546"/>
      <c r="FI344" s="530"/>
      <c r="FJ344" s="546"/>
      <c r="FK344" s="530"/>
      <c r="FL344" s="546"/>
      <c r="FM344" s="530"/>
      <c r="FN344" s="546"/>
      <c r="FO344" s="530"/>
      <c r="FP344" s="546"/>
      <c r="FQ344" s="530"/>
      <c r="FR344" s="546"/>
      <c r="FS344" s="530"/>
      <c r="FT344" s="546"/>
      <c r="FU344" s="530"/>
      <c r="FV344" s="546"/>
      <c r="FW344" s="530"/>
      <c r="FX344" s="546"/>
      <c r="FY344" s="530"/>
      <c r="FZ344" s="546"/>
      <c r="GA344" s="545"/>
    </row>
    <row r="345" spans="1:183" ht="21.95" hidden="1" customHeight="1" outlineLevel="2" x14ac:dyDescent="0.25">
      <c r="A345" s="551" t="str">
        <f>INPUT!$B$4</f>
        <v>Unum Group</v>
      </c>
      <c r="B345" s="504"/>
      <c r="C345" s="512"/>
      <c r="D345" s="504"/>
      <c r="E345" s="505"/>
      <c r="F345" s="504"/>
      <c r="G345" s="505"/>
      <c r="H345" s="504"/>
      <c r="I345" s="505"/>
      <c r="J345" s="504"/>
      <c r="K345" s="505"/>
      <c r="L345" s="504"/>
      <c r="M345" s="505"/>
      <c r="N345" s="504"/>
      <c r="O345" s="505"/>
      <c r="P345" s="504"/>
      <c r="Q345" s="505"/>
      <c r="R345" s="504"/>
      <c r="S345" s="505"/>
      <c r="T345" s="504"/>
      <c r="U345" s="505"/>
      <c r="V345" s="504"/>
      <c r="W345" s="505"/>
      <c r="X345" s="504"/>
      <c r="Y345" s="505"/>
      <c r="Z345" s="504"/>
      <c r="AA345" s="505"/>
      <c r="AB345" s="504"/>
      <c r="AC345" s="505"/>
      <c r="AD345" s="504"/>
      <c r="AE345" s="505"/>
      <c r="AF345" s="504"/>
      <c r="AG345" s="505"/>
      <c r="AH345" s="504"/>
      <c r="AI345" s="505"/>
      <c r="AJ345" s="504"/>
      <c r="AK345" s="505"/>
      <c r="AL345" s="504"/>
      <c r="AM345" s="505"/>
      <c r="AN345" s="504"/>
      <c r="AO345" s="506"/>
      <c r="AP345" s="504"/>
      <c r="AQ345" s="506"/>
      <c r="AR345" s="504"/>
      <c r="AS345" s="506"/>
      <c r="AT345" s="504"/>
      <c r="AU345" s="506"/>
      <c r="AV345" s="504"/>
      <c r="AW345" s="506"/>
      <c r="AX345" s="504"/>
      <c r="AY345" s="506"/>
      <c r="AZ345" s="504"/>
      <c r="BA345" s="506"/>
      <c r="BB345" s="504"/>
      <c r="BC345" s="506"/>
      <c r="BD345" s="504"/>
      <c r="BE345" s="506"/>
      <c r="BF345" s="504"/>
      <c r="BG345" s="506"/>
      <c r="BH345" s="504"/>
      <c r="BI345" s="506"/>
      <c r="BJ345" s="504"/>
      <c r="BK345" s="506"/>
      <c r="BL345" s="504"/>
      <c r="BM345" s="506"/>
      <c r="BN345" s="504"/>
      <c r="BO345" s="506"/>
      <c r="BP345" s="504"/>
      <c r="BQ345" s="506"/>
      <c r="BR345" s="504"/>
      <c r="BS345" s="506"/>
      <c r="BT345" s="504"/>
      <c r="BU345" s="506"/>
      <c r="BV345" s="504"/>
      <c r="BW345" s="506"/>
      <c r="BX345" s="504"/>
      <c r="BY345" s="506"/>
      <c r="BZ345" s="504"/>
      <c r="CA345" s="506"/>
      <c r="CB345" s="504"/>
      <c r="CC345" s="506"/>
      <c r="CD345" s="504"/>
      <c r="CE345" s="506"/>
      <c r="CF345" s="504"/>
      <c r="CG345" s="506"/>
      <c r="CH345" s="504"/>
      <c r="CI345" s="506"/>
      <c r="CJ345" s="504"/>
      <c r="CK345" s="506"/>
      <c r="CL345" s="504"/>
      <c r="CM345" s="506"/>
      <c r="CN345" s="504"/>
      <c r="CO345" s="506"/>
      <c r="CP345" s="504"/>
      <c r="CQ345" s="506"/>
      <c r="CR345" s="504"/>
      <c r="CS345" s="506"/>
      <c r="CT345" s="504"/>
      <c r="CU345" s="506"/>
      <c r="CV345" s="504"/>
      <c r="CW345" s="506"/>
      <c r="CX345" s="504"/>
      <c r="CY345" s="506"/>
      <c r="CZ345" s="504"/>
      <c r="DA345" s="506"/>
      <c r="DB345" s="504"/>
      <c r="DC345" s="506"/>
      <c r="DD345" s="504"/>
      <c r="DE345" s="506"/>
      <c r="DF345" s="504"/>
      <c r="DG345" s="506"/>
      <c r="DH345" s="504"/>
      <c r="DI345" s="506"/>
      <c r="DJ345" s="504"/>
      <c r="DK345" s="506"/>
      <c r="DL345" s="504"/>
      <c r="DM345" s="506"/>
      <c r="DN345" s="504"/>
      <c r="DO345" s="506"/>
      <c r="DP345" s="504"/>
      <c r="DQ345" s="506"/>
      <c r="DR345" s="504"/>
      <c r="DS345" s="506"/>
      <c r="DT345" s="504"/>
      <c r="DU345" s="506"/>
      <c r="DV345" s="504"/>
      <c r="DW345" s="506"/>
      <c r="DX345" s="504"/>
      <c r="DY345" s="506"/>
      <c r="DZ345" s="504"/>
      <c r="EA345" s="506"/>
      <c r="EB345" s="504"/>
      <c r="EC345" s="506"/>
      <c r="ED345" s="504"/>
      <c r="EE345" s="506"/>
      <c r="EF345" s="504"/>
      <c r="EG345" s="506"/>
      <c r="EH345" s="506"/>
      <c r="EI345" s="504"/>
      <c r="EJ345" s="505"/>
      <c r="EK345" s="504"/>
      <c r="EL345" s="505"/>
      <c r="EM345" s="504"/>
      <c r="EN345" s="505"/>
      <c r="EO345" s="504"/>
      <c r="EP345" s="505"/>
      <c r="EQ345" s="504"/>
      <c r="ER345" s="506"/>
      <c r="ES345" s="504"/>
      <c r="ET345" s="506"/>
      <c r="EU345" s="504"/>
      <c r="EV345" s="506"/>
      <c r="EW345" s="504"/>
      <c r="EX345" s="506"/>
      <c r="EY345" s="504"/>
      <c r="EZ345" s="506"/>
      <c r="FA345" s="504"/>
      <c r="FB345" s="506"/>
      <c r="FC345" s="504"/>
      <c r="FD345" s="506"/>
      <c r="FE345" s="504"/>
      <c r="FF345" s="506"/>
      <c r="FG345" s="504"/>
      <c r="FH345" s="506"/>
      <c r="FI345" s="504"/>
      <c r="FJ345" s="506"/>
      <c r="FK345" s="504"/>
      <c r="FL345" s="506"/>
      <c r="FM345" s="504"/>
      <c r="FN345" s="506"/>
      <c r="FO345" s="504"/>
      <c r="FP345" s="506"/>
      <c r="FQ345" s="504"/>
      <c r="FR345" s="506"/>
      <c r="FS345" s="504"/>
      <c r="FT345" s="506"/>
      <c r="FU345" s="504"/>
      <c r="FV345" s="506"/>
      <c r="FW345" s="504"/>
      <c r="FX345" s="506"/>
      <c r="FY345" s="504"/>
      <c r="FZ345" s="506"/>
      <c r="GA345" s="505"/>
    </row>
    <row r="346" spans="1:183" ht="12.75" hidden="1" customHeight="1" outlineLevel="2" x14ac:dyDescent="0.2">
      <c r="A346" s="503" t="s">
        <v>481</v>
      </c>
      <c r="B346" s="504"/>
      <c r="C346" s="512"/>
      <c r="D346" s="504"/>
      <c r="E346" s="505"/>
      <c r="F346" s="504"/>
      <c r="G346" s="505"/>
      <c r="H346" s="504"/>
      <c r="I346" s="505"/>
      <c r="J346" s="504"/>
      <c r="K346" s="505"/>
      <c r="L346" s="504"/>
      <c r="M346" s="505"/>
      <c r="N346" s="504"/>
      <c r="O346" s="505"/>
      <c r="P346" s="504"/>
      <c r="Q346" s="505"/>
      <c r="R346" s="504"/>
      <c r="S346" s="505"/>
      <c r="T346" s="504"/>
      <c r="U346" s="505"/>
      <c r="V346" s="504"/>
      <c r="W346" s="505"/>
      <c r="X346" s="504"/>
      <c r="Y346" s="505"/>
      <c r="Z346" s="504"/>
      <c r="AA346" s="505"/>
      <c r="AB346" s="504"/>
      <c r="AC346" s="505"/>
      <c r="AD346" s="504"/>
      <c r="AE346" s="505"/>
      <c r="AF346" s="504"/>
      <c r="AG346" s="505"/>
      <c r="AH346" s="504"/>
      <c r="AI346" s="505"/>
      <c r="AJ346" s="504"/>
      <c r="AK346" s="505"/>
      <c r="AL346" s="504"/>
      <c r="AM346" s="505"/>
      <c r="AN346" s="504"/>
      <c r="AO346" s="506"/>
      <c r="AP346" s="504"/>
      <c r="AQ346" s="506"/>
      <c r="AR346" s="504"/>
      <c r="AS346" s="506"/>
      <c r="AT346" s="504"/>
      <c r="AU346" s="506"/>
      <c r="AV346" s="504"/>
      <c r="AW346" s="506"/>
      <c r="AX346" s="504"/>
      <c r="AY346" s="506"/>
      <c r="AZ346" s="504"/>
      <c r="BA346" s="506"/>
      <c r="BB346" s="504"/>
      <c r="BC346" s="506"/>
      <c r="BD346" s="504"/>
      <c r="BE346" s="506"/>
      <c r="BF346" s="504"/>
      <c r="BG346" s="506"/>
      <c r="BH346" s="504"/>
      <c r="BI346" s="506"/>
      <c r="BJ346" s="504"/>
      <c r="BK346" s="506"/>
      <c r="BL346" s="504"/>
      <c r="BM346" s="506"/>
      <c r="BN346" s="504"/>
      <c r="BO346" s="506"/>
      <c r="BP346" s="504"/>
      <c r="BQ346" s="506"/>
      <c r="BR346" s="504"/>
      <c r="BS346" s="506"/>
      <c r="BT346" s="504"/>
      <c r="BU346" s="506"/>
      <c r="BV346" s="504"/>
      <c r="BW346" s="506"/>
      <c r="BX346" s="504"/>
      <c r="BY346" s="506"/>
      <c r="BZ346" s="504"/>
      <c r="CA346" s="506"/>
      <c r="CB346" s="504"/>
      <c r="CC346" s="506"/>
      <c r="CD346" s="504"/>
      <c r="CE346" s="506"/>
      <c r="CF346" s="504"/>
      <c r="CG346" s="506"/>
      <c r="CH346" s="504"/>
      <c r="CI346" s="506"/>
      <c r="CJ346" s="504"/>
      <c r="CK346" s="506"/>
      <c r="CL346" s="504"/>
      <c r="CM346" s="506"/>
      <c r="CN346" s="504"/>
      <c r="CO346" s="506"/>
      <c r="CP346" s="504"/>
      <c r="CQ346" s="506"/>
      <c r="CR346" s="504"/>
      <c r="CS346" s="506"/>
      <c r="CT346" s="504"/>
      <c r="CU346" s="506"/>
      <c r="CV346" s="504"/>
      <c r="CW346" s="506"/>
      <c r="CX346" s="504"/>
      <c r="CY346" s="506"/>
      <c r="CZ346" s="504"/>
      <c r="DA346" s="506"/>
      <c r="DB346" s="504"/>
      <c r="DC346" s="506"/>
      <c r="DD346" s="504"/>
      <c r="DE346" s="506"/>
      <c r="DF346" s="504"/>
      <c r="DG346" s="506"/>
      <c r="DH346" s="504"/>
      <c r="DI346" s="506"/>
      <c r="DJ346" s="504"/>
      <c r="DK346" s="506"/>
      <c r="DL346" s="504"/>
      <c r="DM346" s="506"/>
      <c r="DN346" s="504"/>
      <c r="DO346" s="506"/>
      <c r="DP346" s="504"/>
      <c r="DQ346" s="506"/>
      <c r="DR346" s="504"/>
      <c r="DS346" s="506"/>
      <c r="DT346" s="504"/>
      <c r="DU346" s="506"/>
      <c r="DV346" s="504"/>
      <c r="DW346" s="506"/>
      <c r="DX346" s="504"/>
      <c r="DY346" s="506"/>
      <c r="DZ346" s="504"/>
      <c r="EA346" s="506"/>
      <c r="EB346" s="504"/>
      <c r="EC346" s="506"/>
      <c r="ED346" s="504"/>
      <c r="EE346" s="506"/>
      <c r="EF346" s="504"/>
      <c r="EG346" s="506"/>
      <c r="EH346" s="506"/>
      <c r="EI346" s="504"/>
      <c r="EJ346" s="505"/>
      <c r="EK346" s="504"/>
      <c r="EL346" s="505"/>
      <c r="EM346" s="504"/>
      <c r="EN346" s="505"/>
      <c r="EO346" s="504"/>
      <c r="EP346" s="505"/>
      <c r="EQ346" s="504"/>
      <c r="ER346" s="506"/>
      <c r="ES346" s="504"/>
      <c r="ET346" s="506"/>
      <c r="EU346" s="504"/>
      <c r="EV346" s="506"/>
      <c r="EW346" s="504"/>
      <c r="EX346" s="506"/>
      <c r="EY346" s="504"/>
      <c r="EZ346" s="506"/>
      <c r="FA346" s="504"/>
      <c r="FB346" s="506"/>
      <c r="FC346" s="504"/>
      <c r="FD346" s="506"/>
      <c r="FE346" s="504"/>
      <c r="FF346" s="506"/>
      <c r="FG346" s="504"/>
      <c r="FH346" s="506"/>
      <c r="FI346" s="504"/>
      <c r="FJ346" s="506"/>
      <c r="FK346" s="504"/>
      <c r="FL346" s="506"/>
      <c r="FM346" s="504"/>
      <c r="FN346" s="506"/>
      <c r="FO346" s="504"/>
      <c r="FP346" s="506"/>
      <c r="FQ346" s="504"/>
      <c r="FR346" s="506"/>
      <c r="FS346" s="504"/>
      <c r="FT346" s="506"/>
      <c r="FU346" s="504"/>
      <c r="FV346" s="506"/>
      <c r="FW346" s="504"/>
      <c r="FX346" s="506"/>
      <c r="FY346" s="504"/>
      <c r="FZ346" s="506"/>
      <c r="GA346" s="505"/>
    </row>
    <row r="347" spans="1:183" s="502" customFormat="1" ht="12.75" hidden="1" customHeight="1" outlineLevel="2" x14ac:dyDescent="0.2">
      <c r="A347" s="507" t="str">
        <f>A$3</f>
        <v>($Millions Except Per Share Data)</v>
      </c>
      <c r="B347" s="508"/>
      <c r="C347" s="509" t="str">
        <f>C$3</f>
        <v>1Q02/</v>
      </c>
      <c r="D347" s="508"/>
      <c r="E347" s="509" t="str">
        <f>E$3</f>
        <v>2Q02/</v>
      </c>
      <c r="F347" s="508"/>
      <c r="G347" s="509" t="str">
        <f>G$3</f>
        <v>3Q02/</v>
      </c>
      <c r="H347" s="508"/>
      <c r="I347" s="509" t="str">
        <f>I$3</f>
        <v>4Q02/</v>
      </c>
      <c r="J347" s="508"/>
      <c r="K347" s="509" t="str">
        <f>K$3</f>
        <v>1Q03/</v>
      </c>
      <c r="L347" s="508"/>
      <c r="M347" s="509" t="str">
        <f>M$3</f>
        <v>2Q03/</v>
      </c>
      <c r="N347" s="508"/>
      <c r="O347" s="509" t="str">
        <f>O$3</f>
        <v>3Q03/</v>
      </c>
      <c r="P347" s="508"/>
      <c r="Q347" s="509" t="str">
        <f>Q$3</f>
        <v>4Q03/</v>
      </c>
      <c r="R347" s="508"/>
      <c r="S347" s="509" t="str">
        <f>S$3</f>
        <v>1Q04/</v>
      </c>
      <c r="T347" s="508"/>
      <c r="U347" s="509" t="str">
        <f>U$3</f>
        <v>2Q04/</v>
      </c>
      <c r="V347" s="508"/>
      <c r="W347" s="509" t="str">
        <f>W$3</f>
        <v>3Q04/</v>
      </c>
      <c r="X347" s="508"/>
      <c r="Y347" s="509" t="str">
        <f>Y$3</f>
        <v>4Q04/</v>
      </c>
      <c r="Z347" s="508"/>
      <c r="AA347" s="509" t="str">
        <f>AA$3</f>
        <v>1Q05/</v>
      </c>
      <c r="AB347" s="508"/>
      <c r="AC347" s="509" t="str">
        <f>AC$3</f>
        <v>2Q05/</v>
      </c>
      <c r="AD347" s="508"/>
      <c r="AE347" s="509" t="str">
        <f>AE$3</f>
        <v>3Q05/</v>
      </c>
      <c r="AF347" s="508"/>
      <c r="AG347" s="509" t="str">
        <f>AG$3</f>
        <v>4Q05/</v>
      </c>
      <c r="AH347" s="508"/>
      <c r="AI347" s="509" t="str">
        <f>AI$3</f>
        <v>1Q06/</v>
      </c>
      <c r="AJ347" s="508"/>
      <c r="AK347" s="509" t="str">
        <f>AK$3</f>
        <v>2Q06/</v>
      </c>
      <c r="AL347" s="508"/>
      <c r="AM347" s="509" t="str">
        <f>AM$3</f>
        <v>3Q06/</v>
      </c>
      <c r="AN347" s="508"/>
      <c r="AO347" s="510" t="str">
        <f>AO$3</f>
        <v>4Q06/</v>
      </c>
      <c r="AP347" s="508"/>
      <c r="AQ347" s="510" t="str">
        <f>AQ$3</f>
        <v>1Q07/</v>
      </c>
      <c r="AR347" s="508"/>
      <c r="AS347" s="510" t="str">
        <f>AS$3</f>
        <v>2Q07/</v>
      </c>
      <c r="AT347" s="508"/>
      <c r="AU347" s="510" t="str">
        <f>AU$3</f>
        <v>3Q07/</v>
      </c>
      <c r="AV347" s="508"/>
      <c r="AW347" s="510" t="str">
        <f>AW$3</f>
        <v>4Q07/</v>
      </c>
      <c r="AX347" s="508"/>
      <c r="AY347" s="510" t="str">
        <f>AY$3</f>
        <v>1Q08/</v>
      </c>
      <c r="AZ347" s="508"/>
      <c r="BA347" s="510" t="str">
        <f>BA$3</f>
        <v>2Q08/</v>
      </c>
      <c r="BB347" s="508"/>
      <c r="BC347" s="510" t="str">
        <f>BC$3</f>
        <v>3Q08/</v>
      </c>
      <c r="BD347" s="508"/>
      <c r="BE347" s="510" t="str">
        <f>BE$3</f>
        <v>4Q08/</v>
      </c>
      <c r="BF347" s="508"/>
      <c r="BG347" s="510" t="str">
        <f>BG$3</f>
        <v>1Q09/</v>
      </c>
      <c r="BH347" s="508"/>
      <c r="BI347" s="510" t="str">
        <f>BI$3</f>
        <v>2Q09/</v>
      </c>
      <c r="BJ347" s="508"/>
      <c r="BK347" s="510" t="str">
        <f>BK$3</f>
        <v>3Q09/</v>
      </c>
      <c r="BL347" s="508"/>
      <c r="BM347" s="510" t="str">
        <f>BM$3</f>
        <v>4Q09/</v>
      </c>
      <c r="BN347" s="508"/>
      <c r="BO347" s="510" t="str">
        <f>BO$3</f>
        <v>1Q10/</v>
      </c>
      <c r="BP347" s="508"/>
      <c r="BQ347" s="510" t="str">
        <f>BQ$3</f>
        <v>2Q10/</v>
      </c>
      <c r="BR347" s="508"/>
      <c r="BS347" s="510" t="str">
        <f>BS$3</f>
        <v>3Q10/</v>
      </c>
      <c r="BT347" s="508"/>
      <c r="BU347" s="510">
        <f>BU$3</f>
        <v>0</v>
      </c>
      <c r="BV347" s="508"/>
      <c r="BW347" s="510" t="str">
        <f>BW$3</f>
        <v>1Q11/</v>
      </c>
      <c r="BX347" s="508"/>
      <c r="BY347" s="510" t="str">
        <f>BY$3</f>
        <v>2Q11/</v>
      </c>
      <c r="BZ347" s="508"/>
      <c r="CA347" s="510" t="str">
        <f>CA$3</f>
        <v>3Q11/</v>
      </c>
      <c r="CB347" s="508"/>
      <c r="CC347" s="510" t="str">
        <f>CC$3</f>
        <v>4Q11/</v>
      </c>
      <c r="CD347" s="508"/>
      <c r="CE347" s="510" t="str">
        <f>CE$3</f>
        <v>1Q12/</v>
      </c>
      <c r="CF347" s="508"/>
      <c r="CG347" s="510" t="str">
        <f>CG$3</f>
        <v>2Q12/</v>
      </c>
      <c r="CH347" s="508"/>
      <c r="CI347" s="510" t="str">
        <f>CI$3</f>
        <v>3Q12/</v>
      </c>
      <c r="CJ347" s="508"/>
      <c r="CK347" s="510" t="str">
        <f>CK$3</f>
        <v>4Q12/</v>
      </c>
      <c r="CL347" s="508"/>
      <c r="CM347" s="510" t="str">
        <f>CM$3</f>
        <v>1Q13/</v>
      </c>
      <c r="CN347" s="508"/>
      <c r="CO347" s="510" t="str">
        <f>CO$3</f>
        <v>2Q13/</v>
      </c>
      <c r="CP347" s="508"/>
      <c r="CQ347" s="510" t="str">
        <f>CQ$3</f>
        <v>3Q13/</v>
      </c>
      <c r="CR347" s="508"/>
      <c r="CS347" s="510" t="str">
        <f>CS$3</f>
        <v>4Q13/</v>
      </c>
      <c r="CT347" s="508"/>
      <c r="CU347" s="510" t="str">
        <f>CU$3</f>
        <v>1Q14/</v>
      </c>
      <c r="CV347" s="508"/>
      <c r="CW347" s="510" t="str">
        <f>CW$3</f>
        <v>2Q14/</v>
      </c>
      <c r="CX347" s="508"/>
      <c r="CY347" s="510" t="str">
        <f>CY$3</f>
        <v>3Q14/</v>
      </c>
      <c r="CZ347" s="508"/>
      <c r="DA347" s="510" t="str">
        <f>DA$3</f>
        <v>4Q14/</v>
      </c>
      <c r="DB347" s="508"/>
      <c r="DC347" s="510" t="str">
        <f>DC$3</f>
        <v>1Q15/</v>
      </c>
      <c r="DD347" s="508"/>
      <c r="DE347" s="510" t="str">
        <f>DE$3</f>
        <v>2Q15/</v>
      </c>
      <c r="DF347" s="508"/>
      <c r="DG347" s="510" t="str">
        <f>DG$3</f>
        <v>3Q15/</v>
      </c>
      <c r="DH347" s="508"/>
      <c r="DI347" s="510" t="str">
        <f>DI$3</f>
        <v>4Q15/</v>
      </c>
      <c r="DJ347" s="508"/>
      <c r="DK347" s="510" t="str">
        <f>DK$3</f>
        <v>1Q16/</v>
      </c>
      <c r="DL347" s="508"/>
      <c r="DM347" s="510" t="str">
        <f>DM$3</f>
        <v>2Q16/</v>
      </c>
      <c r="DN347" s="508"/>
      <c r="DO347" s="510" t="str">
        <f>DO$3</f>
        <v>3Q16/</v>
      </c>
      <c r="DP347" s="508"/>
      <c r="DQ347" s="510" t="str">
        <f>DQ$3</f>
        <v>4Q16/</v>
      </c>
      <c r="DR347" s="508"/>
      <c r="DS347" s="510" t="str">
        <f t="shared" ref="DS347" si="244">DS$3</f>
        <v>1Q17/</v>
      </c>
      <c r="DT347" s="508"/>
      <c r="DU347" s="510" t="str">
        <f t="shared" ref="DU347" si="245">DU$3</f>
        <v>2Q17/</v>
      </c>
      <c r="DV347" s="508"/>
      <c r="DW347" s="510" t="str">
        <f t="shared" ref="DW347" si="246">DW$3</f>
        <v>3Q17/</v>
      </c>
      <c r="DX347" s="508"/>
      <c r="DY347" s="510" t="str">
        <f t="shared" ref="DY347" si="247">DY$3</f>
        <v>4Q17/</v>
      </c>
      <c r="DZ347" s="508"/>
      <c r="EA347" s="510" t="str">
        <f t="shared" ref="EA347" si="248">EA$3</f>
        <v>1Q18E/</v>
      </c>
      <c r="EB347" s="508"/>
      <c r="EC347" s="510" t="str">
        <f t="shared" ref="EC347" si="249">EC$3</f>
        <v>2Q18E/</v>
      </c>
      <c r="ED347" s="508"/>
      <c r="EE347" s="510" t="str">
        <f t="shared" ref="EE347" si="250">EE$3</f>
        <v>3Q18E/</v>
      </c>
      <c r="EF347" s="508"/>
      <c r="EG347" s="510" t="str">
        <f t="shared" ref="EG347" si="251">EG$3</f>
        <v>4Q18E/</v>
      </c>
      <c r="EH347" s="510"/>
      <c r="EI347" s="508"/>
      <c r="EJ347" s="509" t="str">
        <f>EJ$3</f>
        <v>2001/</v>
      </c>
      <c r="EK347" s="508"/>
      <c r="EL347" s="509" t="str">
        <f>EL$3</f>
        <v>2002/</v>
      </c>
      <c r="EM347" s="508"/>
      <c r="EN347" s="509" t="str">
        <f>EN$3</f>
        <v>2003/</v>
      </c>
      <c r="EO347" s="508"/>
      <c r="EP347" s="509" t="str">
        <f>EP$3</f>
        <v>2004/</v>
      </c>
      <c r="EQ347" s="508"/>
      <c r="ER347" s="510" t="str">
        <f>ER$3</f>
        <v>2005/</v>
      </c>
      <c r="ES347" s="508"/>
      <c r="ET347" s="510" t="str">
        <f>ET$3</f>
        <v>2006/</v>
      </c>
      <c r="EU347" s="508"/>
      <c r="EV347" s="510" t="str">
        <f>EV$3</f>
        <v>2007/</v>
      </c>
      <c r="EW347" s="508"/>
      <c r="EX347" s="510" t="str">
        <f>EX$3</f>
        <v>2008/</v>
      </c>
      <c r="EY347" s="508"/>
      <c r="EZ347" s="510" t="str">
        <f>EZ$3</f>
        <v>2009/</v>
      </c>
      <c r="FA347" s="508"/>
      <c r="FB347" s="510" t="str">
        <f>FB$3</f>
        <v>2010/</v>
      </c>
      <c r="FC347" s="508"/>
      <c r="FD347" s="510" t="str">
        <f>FD$3</f>
        <v>2011/</v>
      </c>
      <c r="FE347" s="508"/>
      <c r="FF347" s="510" t="str">
        <f>FF$3</f>
        <v>2012/</v>
      </c>
      <c r="FG347" s="508"/>
      <c r="FH347" s="510" t="str">
        <f>FH$3</f>
        <v>2013/</v>
      </c>
      <c r="FI347" s="508"/>
      <c r="FJ347" s="510" t="str">
        <f>FJ$3</f>
        <v>2014/</v>
      </c>
      <c r="FK347" s="508"/>
      <c r="FL347" s="510" t="str">
        <f>FL$3</f>
        <v>2015/</v>
      </c>
      <c r="FM347" s="508"/>
      <c r="FN347" s="510" t="str">
        <f>FN$3</f>
        <v>2016/</v>
      </c>
      <c r="FO347" s="508"/>
      <c r="FP347" s="510" t="str">
        <f>FP$3</f>
        <v>2017/</v>
      </c>
      <c r="FQ347" s="508"/>
      <c r="FR347" s="510" t="str">
        <f>FR$3</f>
        <v>2018E/</v>
      </c>
      <c r="FS347" s="508"/>
      <c r="FT347" s="510" t="str">
        <f>FT$3</f>
        <v>2019E/</v>
      </c>
      <c r="FU347" s="508"/>
      <c r="FV347" s="510" t="str">
        <f>FV$3</f>
        <v>2020E/</v>
      </c>
      <c r="FW347" s="508"/>
      <c r="FX347" s="510" t="str">
        <f>FX$3</f>
        <v>2021E/</v>
      </c>
      <c r="FY347" s="508"/>
      <c r="FZ347" s="510" t="str">
        <f>FZ$3</f>
        <v>2022E/</v>
      </c>
      <c r="GA347" s="509" t="str">
        <f>INPUT!GT$5</f>
        <v>5-Yr</v>
      </c>
    </row>
    <row r="348" spans="1:183" s="502" customFormat="1" ht="12.75" hidden="1" customHeight="1" outlineLevel="2" x14ac:dyDescent="0.2">
      <c r="A348" s="511"/>
      <c r="B348" s="504"/>
      <c r="C348" s="512" t="str">
        <f>C$4</f>
        <v>1Q01</v>
      </c>
      <c r="D348" s="504"/>
      <c r="E348" s="512" t="str">
        <f>E$4</f>
        <v>2Q01</v>
      </c>
      <c r="F348" s="504"/>
      <c r="G348" s="512" t="str">
        <f>G$4</f>
        <v>3Q01</v>
      </c>
      <c r="H348" s="504"/>
      <c r="I348" s="512" t="str">
        <f>I$4</f>
        <v>4Q01</v>
      </c>
      <c r="J348" s="504"/>
      <c r="K348" s="512" t="str">
        <f>K$4</f>
        <v>1Q02</v>
      </c>
      <c r="L348" s="504"/>
      <c r="M348" s="512" t="str">
        <f>M$4</f>
        <v>2Q02</v>
      </c>
      <c r="N348" s="504"/>
      <c r="O348" s="512" t="str">
        <f>O$4</f>
        <v>3Q02</v>
      </c>
      <c r="P348" s="504"/>
      <c r="Q348" s="512" t="str">
        <f>Q$4</f>
        <v>4Q02</v>
      </c>
      <c r="R348" s="504"/>
      <c r="S348" s="512" t="str">
        <f>S$4</f>
        <v>1Q03</v>
      </c>
      <c r="T348" s="504"/>
      <c r="U348" s="512" t="str">
        <f>U$4</f>
        <v>2Q03</v>
      </c>
      <c r="V348" s="504"/>
      <c r="W348" s="512" t="str">
        <f>W$4</f>
        <v>3Q03</v>
      </c>
      <c r="X348" s="504"/>
      <c r="Y348" s="512" t="str">
        <f>Y$4</f>
        <v>4Q03</v>
      </c>
      <c r="Z348" s="504"/>
      <c r="AA348" s="512" t="str">
        <f>AA$4</f>
        <v>1Q04</v>
      </c>
      <c r="AB348" s="504"/>
      <c r="AC348" s="512" t="str">
        <f>AC$4</f>
        <v>2Q04</v>
      </c>
      <c r="AD348" s="504"/>
      <c r="AE348" s="512" t="str">
        <f>AE$4</f>
        <v>3Q04</v>
      </c>
      <c r="AF348" s="504"/>
      <c r="AG348" s="512" t="str">
        <f>AG$4</f>
        <v>4Q04</v>
      </c>
      <c r="AH348" s="504"/>
      <c r="AI348" s="512" t="str">
        <f>AI$4</f>
        <v>1Q05</v>
      </c>
      <c r="AJ348" s="504"/>
      <c r="AK348" s="512" t="str">
        <f>AK$4</f>
        <v>2Q05</v>
      </c>
      <c r="AL348" s="504"/>
      <c r="AM348" s="512" t="str">
        <f>AM$4</f>
        <v>3Q05</v>
      </c>
      <c r="AN348" s="504"/>
      <c r="AO348" s="506" t="str">
        <f>AO$4</f>
        <v>4Q05</v>
      </c>
      <c r="AP348" s="504"/>
      <c r="AQ348" s="506" t="str">
        <f>AQ$4</f>
        <v>1Q06</v>
      </c>
      <c r="AR348" s="504"/>
      <c r="AS348" s="506" t="str">
        <f>AS$4</f>
        <v>2Q06</v>
      </c>
      <c r="AT348" s="504"/>
      <c r="AU348" s="506" t="str">
        <f>AU$4</f>
        <v>3Q06</v>
      </c>
      <c r="AV348" s="504"/>
      <c r="AW348" s="506" t="str">
        <f>AW$4</f>
        <v>4Q06</v>
      </c>
      <c r="AX348" s="504"/>
      <c r="AY348" s="506" t="str">
        <f>AY$4</f>
        <v>1Q07</v>
      </c>
      <c r="AZ348" s="504"/>
      <c r="BA348" s="506" t="str">
        <f>BA$4</f>
        <v>2Q07</v>
      </c>
      <c r="BB348" s="504"/>
      <c r="BC348" s="506" t="str">
        <f>BC$4</f>
        <v>3Q07</v>
      </c>
      <c r="BD348" s="504"/>
      <c r="BE348" s="506" t="str">
        <f>BE$4</f>
        <v>4Q07</v>
      </c>
      <c r="BF348" s="504"/>
      <c r="BG348" s="506" t="str">
        <f>BG$4</f>
        <v>1Q08</v>
      </c>
      <c r="BH348" s="504"/>
      <c r="BI348" s="506" t="str">
        <f>BI$4</f>
        <v>2Q08</v>
      </c>
      <c r="BJ348" s="504"/>
      <c r="BK348" s="506" t="str">
        <f>BK$4</f>
        <v>3Q08</v>
      </c>
      <c r="BL348" s="504"/>
      <c r="BM348" s="506" t="str">
        <f>BM$4</f>
        <v>4Q08</v>
      </c>
      <c r="BN348" s="504"/>
      <c r="BO348" s="506" t="str">
        <f>BO$4</f>
        <v>1Q09</v>
      </c>
      <c r="BP348" s="504"/>
      <c r="BQ348" s="506" t="str">
        <f>BQ$4</f>
        <v>2Q09</v>
      </c>
      <c r="BR348" s="504"/>
      <c r="BS348" s="506" t="str">
        <f>BS$4</f>
        <v>3Q09</v>
      </c>
      <c r="BT348" s="504"/>
      <c r="BU348" s="506" t="str">
        <f>BU$4</f>
        <v>4Q09</v>
      </c>
      <c r="BV348" s="504"/>
      <c r="BW348" s="506" t="str">
        <f>BW$4</f>
        <v>1Q10</v>
      </c>
      <c r="BX348" s="504"/>
      <c r="BY348" s="506" t="str">
        <f>BY$4</f>
        <v>2Q10</v>
      </c>
      <c r="BZ348" s="504"/>
      <c r="CA348" s="506" t="str">
        <f>CA$4</f>
        <v>3Q10</v>
      </c>
      <c r="CB348" s="504"/>
      <c r="CC348" s="506" t="str">
        <f>CC$4</f>
        <v>4Q10</v>
      </c>
      <c r="CD348" s="504"/>
      <c r="CE348" s="506" t="str">
        <f>CE$4</f>
        <v>1Q11</v>
      </c>
      <c r="CF348" s="504"/>
      <c r="CG348" s="506" t="str">
        <f>CG$4</f>
        <v>2Q11</v>
      </c>
      <c r="CH348" s="504"/>
      <c r="CI348" s="506" t="str">
        <f>CI$4</f>
        <v>3Q11</v>
      </c>
      <c r="CJ348" s="504"/>
      <c r="CK348" s="506" t="str">
        <f>CK$4</f>
        <v>4Q11</v>
      </c>
      <c r="CL348" s="504"/>
      <c r="CM348" s="506" t="str">
        <f>CM$4</f>
        <v>1Q12</v>
      </c>
      <c r="CN348" s="504"/>
      <c r="CO348" s="506" t="str">
        <f>CO$4</f>
        <v>2Q12</v>
      </c>
      <c r="CP348" s="504"/>
      <c r="CQ348" s="506" t="str">
        <f>CQ$4</f>
        <v>3Q12</v>
      </c>
      <c r="CR348" s="504"/>
      <c r="CS348" s="506" t="str">
        <f>CS$4</f>
        <v>4Q12</v>
      </c>
      <c r="CT348" s="504"/>
      <c r="CU348" s="506" t="str">
        <f>CU$4</f>
        <v>1Q13</v>
      </c>
      <c r="CV348" s="504"/>
      <c r="CW348" s="506" t="str">
        <f>CW$4</f>
        <v>2Q13</v>
      </c>
      <c r="CX348" s="504"/>
      <c r="CY348" s="506" t="str">
        <f>CY$4</f>
        <v>3Q13</v>
      </c>
      <c r="CZ348" s="504"/>
      <c r="DA348" s="506" t="str">
        <f>DA$4</f>
        <v>4Q13</v>
      </c>
      <c r="DB348" s="504"/>
      <c r="DC348" s="506" t="str">
        <f>DC$4</f>
        <v>1Q14</v>
      </c>
      <c r="DD348" s="504"/>
      <c r="DE348" s="506" t="str">
        <f>DE$4</f>
        <v>2Q14</v>
      </c>
      <c r="DF348" s="504"/>
      <c r="DG348" s="506" t="str">
        <f>DG$4</f>
        <v>3Q14</v>
      </c>
      <c r="DH348" s="504"/>
      <c r="DI348" s="506" t="str">
        <f>DI$4</f>
        <v>4Q14</v>
      </c>
      <c r="DJ348" s="504"/>
      <c r="DK348" s="506" t="str">
        <f>DK$4</f>
        <v>1Q15</v>
      </c>
      <c r="DL348" s="504"/>
      <c r="DM348" s="506" t="str">
        <f>DM$4</f>
        <v>2Q15</v>
      </c>
      <c r="DN348" s="504"/>
      <c r="DO348" s="506" t="str">
        <f>DO$4</f>
        <v>3Q15</v>
      </c>
      <c r="DP348" s="504"/>
      <c r="DQ348" s="506" t="str">
        <f>DQ$4</f>
        <v>4Q15</v>
      </c>
      <c r="DR348" s="504"/>
      <c r="DS348" s="506" t="str">
        <f t="shared" ref="DS348" si="252">DS$4</f>
        <v>1Q16</v>
      </c>
      <c r="DT348" s="504"/>
      <c r="DU348" s="506" t="str">
        <f t="shared" ref="DU348" si="253">DU$4</f>
        <v>2Q16</v>
      </c>
      <c r="DV348" s="504"/>
      <c r="DW348" s="506" t="str">
        <f t="shared" ref="DW348" si="254">DW$4</f>
        <v>3Q16</v>
      </c>
      <c r="DX348" s="504"/>
      <c r="DY348" s="506" t="str">
        <f t="shared" ref="DY348" si="255">DY$4</f>
        <v>4Q16</v>
      </c>
      <c r="DZ348" s="504"/>
      <c r="EA348" s="506" t="str">
        <f t="shared" ref="EA348" si="256">EA$4</f>
        <v>1Q17</v>
      </c>
      <c r="EB348" s="504"/>
      <c r="EC348" s="506" t="str">
        <f t="shared" ref="EC348" si="257">EC$4</f>
        <v>2Q17</v>
      </c>
      <c r="ED348" s="504"/>
      <c r="EE348" s="506" t="str">
        <f t="shared" ref="EE348" si="258">EE$4</f>
        <v>3Q17</v>
      </c>
      <c r="EF348" s="504"/>
      <c r="EG348" s="506" t="str">
        <f t="shared" ref="EG348" si="259">EG$4</f>
        <v>4Q17</v>
      </c>
      <c r="EH348" s="506"/>
      <c r="EI348" s="504"/>
      <c r="EJ348" s="512" t="str">
        <f>EJ$4</f>
        <v>2000</v>
      </c>
      <c r="EK348" s="504"/>
      <c r="EL348" s="512" t="str">
        <f>EL$4</f>
        <v>2001</v>
      </c>
      <c r="EM348" s="504"/>
      <c r="EN348" s="512" t="str">
        <f>EN$4</f>
        <v>2002</v>
      </c>
      <c r="EO348" s="504"/>
      <c r="EP348" s="512" t="str">
        <f>EP$4</f>
        <v>2003</v>
      </c>
      <c r="EQ348" s="504"/>
      <c r="ER348" s="506" t="str">
        <f>ER$4</f>
        <v>2004</v>
      </c>
      <c r="ES348" s="504"/>
      <c r="ET348" s="506" t="str">
        <f>ET$4</f>
        <v>2005</v>
      </c>
      <c r="EU348" s="504"/>
      <c r="EV348" s="506">
        <f>EV$4</f>
        <v>2006</v>
      </c>
      <c r="EW348" s="504"/>
      <c r="EX348" s="506">
        <f>EX$4</f>
        <v>2007</v>
      </c>
      <c r="EY348" s="504"/>
      <c r="EZ348" s="506">
        <f>EZ$4</f>
        <v>2008</v>
      </c>
      <c r="FA348" s="504"/>
      <c r="FB348" s="506" t="str">
        <f>FB$4</f>
        <v>2009</v>
      </c>
      <c r="FC348" s="504"/>
      <c r="FD348" s="506" t="str">
        <f>FD$4</f>
        <v>2010</v>
      </c>
      <c r="FE348" s="504"/>
      <c r="FF348" s="506" t="str">
        <f>FF$4</f>
        <v>2011</v>
      </c>
      <c r="FG348" s="504"/>
      <c r="FH348" s="506" t="str">
        <f>FH$4</f>
        <v>2012</v>
      </c>
      <c r="FI348" s="504"/>
      <c r="FJ348" s="506" t="str">
        <f>FJ$4</f>
        <v>2013</v>
      </c>
      <c r="FK348" s="504"/>
      <c r="FL348" s="506" t="str">
        <f>FL$4</f>
        <v>2014</v>
      </c>
      <c r="FM348" s="504"/>
      <c r="FN348" s="506" t="str">
        <f>FN$4</f>
        <v>2015</v>
      </c>
      <c r="FO348" s="504"/>
      <c r="FP348" s="506" t="str">
        <f>FP$4</f>
        <v>2016</v>
      </c>
      <c r="FQ348" s="504"/>
      <c r="FR348" s="506" t="str">
        <f>FR$4</f>
        <v>2017</v>
      </c>
      <c r="FS348" s="504"/>
      <c r="FT348" s="506" t="str">
        <f>FT$4</f>
        <v>2018E</v>
      </c>
      <c r="FU348" s="504"/>
      <c r="FV348" s="506" t="str">
        <f>FV$4</f>
        <v>2019E</v>
      </c>
      <c r="FW348" s="504"/>
      <c r="FX348" s="506" t="str">
        <f>FX$4</f>
        <v>2020E</v>
      </c>
      <c r="FY348" s="504"/>
      <c r="FZ348" s="506" t="str">
        <f>FZ$4</f>
        <v>2021E</v>
      </c>
      <c r="GA348" s="512" t="s">
        <v>113</v>
      </c>
    </row>
    <row r="349" spans="1:183" s="502" customFormat="1" ht="12.75" hidden="1" customHeight="1" outlineLevel="2" x14ac:dyDescent="0.2">
      <c r="A349" s="513"/>
      <c r="B349" s="514" t="str">
        <f t="shared" ref="B349:DR349" si="260">B$5</f>
        <v>1Q02</v>
      </c>
      <c r="C349" s="515" t="str">
        <f t="shared" si="260"/>
        <v>% Chg</v>
      </c>
      <c r="D349" s="514" t="str">
        <f t="shared" si="260"/>
        <v>2Q02</v>
      </c>
      <c r="E349" s="515" t="str">
        <f t="shared" si="260"/>
        <v>% Chg</v>
      </c>
      <c r="F349" s="514" t="str">
        <f t="shared" si="260"/>
        <v>3Q02</v>
      </c>
      <c r="G349" s="515" t="str">
        <f t="shared" si="260"/>
        <v>% Chg</v>
      </c>
      <c r="H349" s="514" t="str">
        <f t="shared" si="260"/>
        <v>4Q02</v>
      </c>
      <c r="I349" s="515" t="str">
        <f t="shared" si="260"/>
        <v>% Chg</v>
      </c>
      <c r="J349" s="514" t="str">
        <f t="shared" si="260"/>
        <v>1Q03</v>
      </c>
      <c r="K349" s="515" t="str">
        <f t="shared" si="260"/>
        <v>% Chg</v>
      </c>
      <c r="L349" s="514" t="str">
        <f t="shared" si="260"/>
        <v>2Q03</v>
      </c>
      <c r="M349" s="515" t="str">
        <f t="shared" si="260"/>
        <v>% Chg</v>
      </c>
      <c r="N349" s="514" t="str">
        <f t="shared" si="260"/>
        <v>3Q03</v>
      </c>
      <c r="O349" s="515" t="str">
        <f t="shared" si="260"/>
        <v>% Chg</v>
      </c>
      <c r="P349" s="514" t="str">
        <f t="shared" si="260"/>
        <v>4Q03</v>
      </c>
      <c r="Q349" s="515" t="str">
        <f t="shared" si="260"/>
        <v>% Chg</v>
      </c>
      <c r="R349" s="514" t="str">
        <f t="shared" si="260"/>
        <v>1Q04</v>
      </c>
      <c r="S349" s="515" t="str">
        <f t="shared" si="260"/>
        <v>% Chg</v>
      </c>
      <c r="T349" s="514" t="str">
        <f t="shared" si="260"/>
        <v>2Q04</v>
      </c>
      <c r="U349" s="515" t="str">
        <f t="shared" si="260"/>
        <v>% Chg</v>
      </c>
      <c r="V349" s="514" t="str">
        <f t="shared" si="260"/>
        <v>3Q04</v>
      </c>
      <c r="W349" s="515" t="str">
        <f t="shared" si="260"/>
        <v>% Chg</v>
      </c>
      <c r="X349" s="514" t="str">
        <f t="shared" si="260"/>
        <v>4Q04</v>
      </c>
      <c r="Y349" s="515" t="str">
        <f t="shared" si="260"/>
        <v>% Chg</v>
      </c>
      <c r="Z349" s="514" t="str">
        <f t="shared" si="260"/>
        <v>1Q05</v>
      </c>
      <c r="AA349" s="515" t="str">
        <f t="shared" si="260"/>
        <v>% Chg</v>
      </c>
      <c r="AB349" s="514" t="str">
        <f t="shared" si="260"/>
        <v>2Q05</v>
      </c>
      <c r="AC349" s="515" t="str">
        <f t="shared" si="260"/>
        <v>% Chg</v>
      </c>
      <c r="AD349" s="514" t="str">
        <f t="shared" si="260"/>
        <v>3Q05</v>
      </c>
      <c r="AE349" s="515" t="str">
        <f t="shared" si="260"/>
        <v>% Chg</v>
      </c>
      <c r="AF349" s="514" t="str">
        <f t="shared" si="260"/>
        <v>4Q05</v>
      </c>
      <c r="AG349" s="515" t="str">
        <f t="shared" si="260"/>
        <v>% Chg</v>
      </c>
      <c r="AH349" s="514" t="str">
        <f t="shared" si="260"/>
        <v>1Q06</v>
      </c>
      <c r="AI349" s="515" t="str">
        <f t="shared" si="260"/>
        <v>% Chg</v>
      </c>
      <c r="AJ349" s="514" t="str">
        <f t="shared" si="260"/>
        <v>2Q06</v>
      </c>
      <c r="AK349" s="515" t="str">
        <f t="shared" si="260"/>
        <v>% Chg</v>
      </c>
      <c r="AL349" s="514" t="str">
        <f t="shared" si="260"/>
        <v>3Q06</v>
      </c>
      <c r="AM349" s="515" t="str">
        <f t="shared" si="260"/>
        <v>% Chg</v>
      </c>
      <c r="AN349" s="514" t="str">
        <f t="shared" si="260"/>
        <v>4Q06</v>
      </c>
      <c r="AO349" s="516" t="str">
        <f t="shared" si="260"/>
        <v>% Chg</v>
      </c>
      <c r="AP349" s="514" t="str">
        <f t="shared" si="260"/>
        <v>1Q07</v>
      </c>
      <c r="AQ349" s="516" t="str">
        <f t="shared" si="260"/>
        <v>% Chg</v>
      </c>
      <c r="AR349" s="514" t="str">
        <f t="shared" si="260"/>
        <v>2Q07</v>
      </c>
      <c r="AS349" s="516" t="str">
        <f t="shared" si="260"/>
        <v>% Chg</v>
      </c>
      <c r="AT349" s="514" t="str">
        <f t="shared" si="260"/>
        <v>3Q07</v>
      </c>
      <c r="AU349" s="516" t="str">
        <f t="shared" si="260"/>
        <v>% Chg</v>
      </c>
      <c r="AV349" s="514" t="str">
        <f t="shared" si="260"/>
        <v>4Q07</v>
      </c>
      <c r="AW349" s="516" t="str">
        <f t="shared" si="260"/>
        <v>% Chg</v>
      </c>
      <c r="AX349" s="514" t="str">
        <f t="shared" si="260"/>
        <v>1Q08</v>
      </c>
      <c r="AY349" s="516" t="str">
        <f t="shared" si="260"/>
        <v>% Chg</v>
      </c>
      <c r="AZ349" s="514" t="str">
        <f t="shared" si="260"/>
        <v>2Q08</v>
      </c>
      <c r="BA349" s="516" t="str">
        <f t="shared" si="260"/>
        <v>% Chg</v>
      </c>
      <c r="BB349" s="514" t="str">
        <f t="shared" si="260"/>
        <v>3Q08</v>
      </c>
      <c r="BC349" s="516" t="str">
        <f t="shared" si="260"/>
        <v>% Chg</v>
      </c>
      <c r="BD349" s="514" t="str">
        <f t="shared" si="260"/>
        <v>4Q08</v>
      </c>
      <c r="BE349" s="516" t="str">
        <f t="shared" si="260"/>
        <v>% Chg</v>
      </c>
      <c r="BF349" s="514" t="str">
        <f t="shared" si="260"/>
        <v>1Q09</v>
      </c>
      <c r="BG349" s="516" t="str">
        <f t="shared" si="260"/>
        <v>% Chg</v>
      </c>
      <c r="BH349" s="514" t="str">
        <f t="shared" si="260"/>
        <v>2Q09</v>
      </c>
      <c r="BI349" s="516" t="str">
        <f t="shared" si="260"/>
        <v>% Chg</v>
      </c>
      <c r="BJ349" s="514" t="str">
        <f t="shared" si="260"/>
        <v>3Q09</v>
      </c>
      <c r="BK349" s="516" t="str">
        <f t="shared" si="260"/>
        <v>% Chg</v>
      </c>
      <c r="BL349" s="514" t="str">
        <f t="shared" si="260"/>
        <v>4Q09</v>
      </c>
      <c r="BM349" s="516" t="str">
        <f t="shared" ref="BM349:DX349" si="261">BM$5</f>
        <v>% Chg</v>
      </c>
      <c r="BN349" s="514" t="str">
        <f t="shared" si="260"/>
        <v>1Q10</v>
      </c>
      <c r="BO349" s="516" t="str">
        <f t="shared" si="261"/>
        <v>% Chg</v>
      </c>
      <c r="BP349" s="514" t="str">
        <f t="shared" si="260"/>
        <v>2Q10</v>
      </c>
      <c r="BQ349" s="516" t="str">
        <f t="shared" si="261"/>
        <v>% Chg</v>
      </c>
      <c r="BR349" s="514" t="str">
        <f t="shared" si="260"/>
        <v>3Q10</v>
      </c>
      <c r="BS349" s="516" t="str">
        <f t="shared" si="261"/>
        <v>% Chg</v>
      </c>
      <c r="BT349" s="514" t="str">
        <f t="shared" si="260"/>
        <v>4Q10</v>
      </c>
      <c r="BU349" s="516" t="str">
        <f t="shared" si="261"/>
        <v>% Chg</v>
      </c>
      <c r="BV349" s="514" t="str">
        <f t="shared" si="260"/>
        <v>1Q11</v>
      </c>
      <c r="BW349" s="516" t="str">
        <f t="shared" si="261"/>
        <v>% Chg</v>
      </c>
      <c r="BX349" s="514" t="str">
        <f t="shared" si="260"/>
        <v>2Q11</v>
      </c>
      <c r="BY349" s="516" t="str">
        <f t="shared" si="261"/>
        <v>% Chg</v>
      </c>
      <c r="BZ349" s="514" t="str">
        <f t="shared" si="260"/>
        <v>3Q11</v>
      </c>
      <c r="CA349" s="516" t="str">
        <f t="shared" si="261"/>
        <v>% Chg</v>
      </c>
      <c r="CB349" s="514" t="str">
        <f t="shared" si="260"/>
        <v>4Q11</v>
      </c>
      <c r="CC349" s="516" t="str">
        <f t="shared" si="261"/>
        <v>% Chg</v>
      </c>
      <c r="CD349" s="514" t="str">
        <f t="shared" si="260"/>
        <v>1Q12</v>
      </c>
      <c r="CE349" s="516" t="str">
        <f t="shared" si="261"/>
        <v>% Chg</v>
      </c>
      <c r="CF349" s="514" t="str">
        <f t="shared" si="260"/>
        <v>2Q12</v>
      </c>
      <c r="CG349" s="516" t="str">
        <f t="shared" si="261"/>
        <v>% Chg</v>
      </c>
      <c r="CH349" s="514" t="str">
        <f t="shared" si="260"/>
        <v>3Q12</v>
      </c>
      <c r="CI349" s="516" t="str">
        <f t="shared" si="261"/>
        <v>% Chg</v>
      </c>
      <c r="CJ349" s="514" t="str">
        <f t="shared" si="260"/>
        <v>4Q12</v>
      </c>
      <c r="CK349" s="516" t="str">
        <f t="shared" si="261"/>
        <v>% Chg</v>
      </c>
      <c r="CL349" s="514" t="str">
        <f t="shared" si="260"/>
        <v>1Q13</v>
      </c>
      <c r="CM349" s="516" t="str">
        <f t="shared" si="261"/>
        <v>% Chg</v>
      </c>
      <c r="CN349" s="514" t="str">
        <f t="shared" si="260"/>
        <v>2Q13</v>
      </c>
      <c r="CO349" s="516" t="str">
        <f t="shared" si="261"/>
        <v>% Chg</v>
      </c>
      <c r="CP349" s="514" t="str">
        <f t="shared" si="260"/>
        <v>3Q13</v>
      </c>
      <c r="CQ349" s="516" t="str">
        <f t="shared" si="261"/>
        <v>% Chg</v>
      </c>
      <c r="CR349" s="514" t="str">
        <f t="shared" si="260"/>
        <v>4Q13</v>
      </c>
      <c r="CS349" s="516" t="str">
        <f t="shared" si="261"/>
        <v>% Chg</v>
      </c>
      <c r="CT349" s="514" t="str">
        <f t="shared" si="260"/>
        <v>1Q14</v>
      </c>
      <c r="CU349" s="516" t="str">
        <f t="shared" si="261"/>
        <v>% Chg</v>
      </c>
      <c r="CV349" s="514" t="str">
        <f t="shared" si="260"/>
        <v>2Q14</v>
      </c>
      <c r="CW349" s="516" t="str">
        <f t="shared" si="261"/>
        <v>% Chg</v>
      </c>
      <c r="CX349" s="514" t="str">
        <f t="shared" si="260"/>
        <v>3Q14</v>
      </c>
      <c r="CY349" s="516" t="str">
        <f t="shared" si="261"/>
        <v>% Chg</v>
      </c>
      <c r="CZ349" s="514" t="str">
        <f t="shared" si="260"/>
        <v>4Q14</v>
      </c>
      <c r="DA349" s="516" t="str">
        <f t="shared" si="261"/>
        <v>% Chg</v>
      </c>
      <c r="DB349" s="514" t="str">
        <f t="shared" si="260"/>
        <v>1Q15</v>
      </c>
      <c r="DC349" s="516" t="str">
        <f t="shared" si="261"/>
        <v>% Chg</v>
      </c>
      <c r="DD349" s="514" t="str">
        <f t="shared" si="260"/>
        <v>2Q15</v>
      </c>
      <c r="DE349" s="516" t="str">
        <f t="shared" si="261"/>
        <v>% Chg</v>
      </c>
      <c r="DF349" s="514" t="str">
        <f t="shared" si="260"/>
        <v>3Q15</v>
      </c>
      <c r="DG349" s="516" t="str">
        <f t="shared" si="261"/>
        <v>% Chg</v>
      </c>
      <c r="DH349" s="514" t="str">
        <f t="shared" si="260"/>
        <v>4Q15</v>
      </c>
      <c r="DI349" s="516" t="str">
        <f t="shared" si="261"/>
        <v>% Chg</v>
      </c>
      <c r="DJ349" s="514" t="str">
        <f t="shared" si="260"/>
        <v>1Q16</v>
      </c>
      <c r="DK349" s="516" t="str">
        <f t="shared" si="261"/>
        <v>% Chg</v>
      </c>
      <c r="DL349" s="514" t="str">
        <f t="shared" si="260"/>
        <v>2Q16</v>
      </c>
      <c r="DM349" s="516" t="str">
        <f t="shared" si="261"/>
        <v>% Chg</v>
      </c>
      <c r="DN349" s="514" t="str">
        <f t="shared" si="260"/>
        <v>3Q16</v>
      </c>
      <c r="DO349" s="516" t="str">
        <f t="shared" si="261"/>
        <v>% Chg</v>
      </c>
      <c r="DP349" s="514" t="str">
        <f t="shared" si="260"/>
        <v>4Q16</v>
      </c>
      <c r="DQ349" s="516" t="str">
        <f t="shared" si="261"/>
        <v>% Chg</v>
      </c>
      <c r="DR349" s="514" t="str">
        <f t="shared" si="260"/>
        <v>1Q17</v>
      </c>
      <c r="DS349" s="516" t="str">
        <f t="shared" si="261"/>
        <v>% Chg</v>
      </c>
      <c r="DT349" s="514" t="str">
        <f t="shared" si="261"/>
        <v>2Q17</v>
      </c>
      <c r="DU349" s="516" t="str">
        <f t="shared" si="261"/>
        <v>% Chg</v>
      </c>
      <c r="DV349" s="514" t="str">
        <f t="shared" si="261"/>
        <v>3Q17</v>
      </c>
      <c r="DW349" s="516" t="str">
        <f t="shared" si="261"/>
        <v>% Chg</v>
      </c>
      <c r="DX349" s="514" t="str">
        <f t="shared" si="261"/>
        <v>4Q17</v>
      </c>
      <c r="DY349" s="516" t="str">
        <f t="shared" ref="DY349:EG349" si="262">DY$5</f>
        <v>% Chg</v>
      </c>
      <c r="DZ349" s="514" t="str">
        <f t="shared" si="262"/>
        <v>1Q18E</v>
      </c>
      <c r="EA349" s="516" t="str">
        <f t="shared" si="262"/>
        <v>% Chg</v>
      </c>
      <c r="EB349" s="514" t="str">
        <f t="shared" si="262"/>
        <v>2Q18E</v>
      </c>
      <c r="EC349" s="516" t="str">
        <f t="shared" si="262"/>
        <v>% Chg</v>
      </c>
      <c r="ED349" s="514" t="str">
        <f t="shared" si="262"/>
        <v>3Q18E</v>
      </c>
      <c r="EE349" s="516" t="str">
        <f t="shared" si="262"/>
        <v>% Chg</v>
      </c>
      <c r="EF349" s="514" t="str">
        <f t="shared" si="262"/>
        <v>4Q18E</v>
      </c>
      <c r="EG349" s="516" t="str">
        <f t="shared" si="262"/>
        <v>% Chg</v>
      </c>
      <c r="EH349" s="516"/>
      <c r="EI349" s="514" t="str">
        <f t="shared" ref="EI349:FZ349" si="263">EI$5</f>
        <v>2001</v>
      </c>
      <c r="EJ349" s="515" t="str">
        <f t="shared" si="263"/>
        <v>% Chg</v>
      </c>
      <c r="EK349" s="514" t="str">
        <f t="shared" si="263"/>
        <v>2002</v>
      </c>
      <c r="EL349" s="515" t="str">
        <f t="shared" si="263"/>
        <v>% Chg</v>
      </c>
      <c r="EM349" s="514" t="str">
        <f t="shared" si="263"/>
        <v>2003</v>
      </c>
      <c r="EN349" s="515" t="str">
        <f t="shared" si="263"/>
        <v>% Chg</v>
      </c>
      <c r="EO349" s="514" t="str">
        <f t="shared" si="263"/>
        <v>2004</v>
      </c>
      <c r="EP349" s="515" t="str">
        <f t="shared" si="263"/>
        <v>% Chg</v>
      </c>
      <c r="EQ349" s="514" t="str">
        <f t="shared" si="263"/>
        <v>2005</v>
      </c>
      <c r="ER349" s="516" t="str">
        <f t="shared" si="263"/>
        <v>% Chg</v>
      </c>
      <c r="ES349" s="543">
        <f t="shared" si="263"/>
        <v>2006</v>
      </c>
      <c r="ET349" s="516" t="str">
        <f t="shared" si="263"/>
        <v>% Chg</v>
      </c>
      <c r="EU349" s="543">
        <f t="shared" si="263"/>
        <v>2007</v>
      </c>
      <c r="EV349" s="516" t="str">
        <f t="shared" si="263"/>
        <v>% Chg</v>
      </c>
      <c r="EW349" s="543">
        <f t="shared" si="263"/>
        <v>2008</v>
      </c>
      <c r="EX349" s="516" t="str">
        <f>EX$5</f>
        <v>% Chg</v>
      </c>
      <c r="EY349" s="514" t="str">
        <f t="shared" si="263"/>
        <v>2009</v>
      </c>
      <c r="EZ349" s="516" t="str">
        <f t="shared" si="263"/>
        <v>% Chg</v>
      </c>
      <c r="FA349" s="514" t="str">
        <f t="shared" si="263"/>
        <v>2010</v>
      </c>
      <c r="FB349" s="516" t="str">
        <f t="shared" si="263"/>
        <v>% Chg</v>
      </c>
      <c r="FC349" s="514" t="str">
        <f t="shared" si="263"/>
        <v>2011</v>
      </c>
      <c r="FD349" s="516" t="str">
        <f t="shared" si="263"/>
        <v>% Chg</v>
      </c>
      <c r="FE349" s="514" t="str">
        <f t="shared" si="263"/>
        <v>2012</v>
      </c>
      <c r="FF349" s="516" t="str">
        <f t="shared" si="263"/>
        <v>% Chg</v>
      </c>
      <c r="FG349" s="514" t="str">
        <f t="shared" si="263"/>
        <v>2013</v>
      </c>
      <c r="FH349" s="516" t="str">
        <f t="shared" si="263"/>
        <v>% Chg</v>
      </c>
      <c r="FI349" s="514" t="str">
        <f t="shared" si="263"/>
        <v>2014</v>
      </c>
      <c r="FJ349" s="516" t="str">
        <f t="shared" si="263"/>
        <v>% Chg</v>
      </c>
      <c r="FK349" s="514" t="str">
        <f t="shared" si="263"/>
        <v>2015</v>
      </c>
      <c r="FL349" s="516" t="str">
        <f t="shared" si="263"/>
        <v>% Chg</v>
      </c>
      <c r="FM349" s="514" t="str">
        <f t="shared" si="263"/>
        <v>2016</v>
      </c>
      <c r="FN349" s="516" t="str">
        <f t="shared" si="263"/>
        <v>% Chg</v>
      </c>
      <c r="FO349" s="514" t="str">
        <f t="shared" si="263"/>
        <v>2017</v>
      </c>
      <c r="FP349" s="516" t="str">
        <f t="shared" si="263"/>
        <v>% Chg</v>
      </c>
      <c r="FQ349" s="514" t="str">
        <f t="shared" si="263"/>
        <v>2018E</v>
      </c>
      <c r="FR349" s="516" t="str">
        <f t="shared" si="263"/>
        <v>% Chg</v>
      </c>
      <c r="FS349" s="514" t="str">
        <f t="shared" si="263"/>
        <v>2019E</v>
      </c>
      <c r="FT349" s="516" t="str">
        <f t="shared" si="263"/>
        <v>% Chg</v>
      </c>
      <c r="FU349" s="514" t="str">
        <f t="shared" si="263"/>
        <v>2020E</v>
      </c>
      <c r="FV349" s="516" t="str">
        <f t="shared" si="263"/>
        <v>% Chg</v>
      </c>
      <c r="FW349" s="514" t="str">
        <f t="shared" si="263"/>
        <v>2021E</v>
      </c>
      <c r="FX349" s="516" t="str">
        <f t="shared" si="263"/>
        <v>% Chg</v>
      </c>
      <c r="FY349" s="514" t="str">
        <f t="shared" si="263"/>
        <v>2022E</v>
      </c>
      <c r="FZ349" s="516" t="str">
        <f t="shared" si="263"/>
        <v>% Chg</v>
      </c>
      <c r="GA349" s="515" t="s">
        <v>351</v>
      </c>
    </row>
    <row r="350" spans="1:183" ht="12.75" hidden="1" customHeight="1" outlineLevel="2" x14ac:dyDescent="0.2">
      <c r="A350" s="517"/>
      <c r="B350" s="518"/>
      <c r="C350" s="524"/>
      <c r="D350" s="518"/>
      <c r="E350" s="524"/>
      <c r="F350" s="518"/>
      <c r="G350" s="524"/>
      <c r="H350" s="518"/>
      <c r="I350" s="524"/>
      <c r="J350" s="518"/>
      <c r="K350" s="524"/>
      <c r="L350" s="518"/>
      <c r="M350" s="524"/>
      <c r="N350" s="518"/>
      <c r="O350" s="524"/>
      <c r="P350" s="518"/>
      <c r="Q350" s="524"/>
      <c r="R350" s="518"/>
      <c r="S350" s="524"/>
      <c r="T350" s="518"/>
      <c r="U350" s="524"/>
      <c r="V350" s="518"/>
      <c r="W350" s="524"/>
      <c r="X350" s="518"/>
      <c r="Y350" s="524"/>
      <c r="Z350" s="518"/>
      <c r="AA350" s="524"/>
      <c r="AB350" s="518"/>
      <c r="AC350" s="524"/>
      <c r="AD350" s="518"/>
      <c r="AE350" s="524"/>
      <c r="AF350" s="518"/>
      <c r="AG350" s="524"/>
      <c r="AH350" s="518"/>
      <c r="AI350" s="524"/>
      <c r="AJ350" s="518"/>
      <c r="AK350" s="524"/>
      <c r="AL350" s="518"/>
      <c r="AM350" s="524"/>
      <c r="AN350" s="518"/>
      <c r="AO350" s="520"/>
      <c r="AP350" s="518"/>
      <c r="AQ350" s="520"/>
      <c r="AR350" s="518"/>
      <c r="AS350" s="520"/>
      <c r="AT350" s="518"/>
      <c r="AU350" s="520"/>
      <c r="AV350" s="518"/>
      <c r="AW350" s="520"/>
      <c r="AX350" s="518"/>
      <c r="AY350" s="520"/>
      <c r="AZ350" s="518"/>
      <c r="BA350" s="520"/>
      <c r="BB350" s="518"/>
      <c r="BC350" s="520"/>
      <c r="BD350" s="518"/>
      <c r="BE350" s="520"/>
      <c r="BF350" s="518"/>
      <c r="BG350" s="520"/>
      <c r="BH350" s="518"/>
      <c r="BI350" s="520"/>
      <c r="BJ350" s="518"/>
      <c r="BK350" s="520"/>
      <c r="BL350" s="518"/>
      <c r="BM350" s="520"/>
      <c r="BN350" s="518"/>
      <c r="BO350" s="520"/>
      <c r="BP350" s="518"/>
      <c r="BQ350" s="520"/>
      <c r="BR350" s="518"/>
      <c r="BS350" s="520"/>
      <c r="BT350" s="518"/>
      <c r="BU350" s="520"/>
      <c r="BV350" s="518"/>
      <c r="BW350" s="520"/>
      <c r="BX350" s="518"/>
      <c r="BY350" s="520"/>
      <c r="BZ350" s="518"/>
      <c r="CA350" s="520"/>
      <c r="CB350" s="518"/>
      <c r="CC350" s="520"/>
      <c r="CD350" s="518"/>
      <c r="CE350" s="520"/>
      <c r="CF350" s="518"/>
      <c r="CG350" s="520"/>
      <c r="CH350" s="518"/>
      <c r="CI350" s="520"/>
      <c r="CJ350" s="518"/>
      <c r="CK350" s="520"/>
      <c r="CL350" s="518"/>
      <c r="CM350" s="520"/>
      <c r="CN350" s="518"/>
      <c r="CO350" s="520"/>
      <c r="CP350" s="518"/>
      <c r="CQ350" s="520"/>
      <c r="CR350" s="518"/>
      <c r="CS350" s="520"/>
      <c r="CT350" s="518"/>
      <c r="CU350" s="520"/>
      <c r="CV350" s="518"/>
      <c r="CW350" s="520"/>
      <c r="CX350" s="518"/>
      <c r="CY350" s="520"/>
      <c r="CZ350" s="518"/>
      <c r="DA350" s="520"/>
      <c r="DB350" s="518"/>
      <c r="DC350" s="520"/>
      <c r="DD350" s="518"/>
      <c r="DE350" s="520"/>
      <c r="DF350" s="518"/>
      <c r="DG350" s="520"/>
      <c r="DH350" s="518"/>
      <c r="DI350" s="520"/>
      <c r="DJ350" s="518"/>
      <c r="DK350" s="520"/>
      <c r="DL350" s="518"/>
      <c r="DM350" s="520"/>
      <c r="DN350" s="518"/>
      <c r="DO350" s="520"/>
      <c r="DP350" s="518"/>
      <c r="DQ350" s="520"/>
      <c r="DR350" s="518"/>
      <c r="DS350" s="520"/>
      <c r="DT350" s="518"/>
      <c r="DU350" s="520"/>
      <c r="DV350" s="518"/>
      <c r="DW350" s="520"/>
      <c r="DX350" s="518"/>
      <c r="DY350" s="520"/>
      <c r="DZ350" s="518"/>
      <c r="EA350" s="520"/>
      <c r="EB350" s="518"/>
      <c r="EC350" s="520"/>
      <c r="ED350" s="518"/>
      <c r="EE350" s="520"/>
      <c r="EF350" s="518"/>
      <c r="EG350" s="520"/>
      <c r="EH350" s="520"/>
      <c r="EI350" s="518"/>
      <c r="EJ350" s="524"/>
      <c r="EK350" s="518"/>
      <c r="EL350" s="524"/>
      <c r="EM350" s="518"/>
      <c r="EN350" s="524"/>
      <c r="EO350" s="518"/>
      <c r="EP350" s="524"/>
      <c r="EQ350" s="518"/>
      <c r="ER350" s="520"/>
      <c r="ES350" s="518"/>
      <c r="ET350" s="520"/>
      <c r="EU350" s="518"/>
      <c r="EV350" s="520"/>
      <c r="EW350" s="518"/>
      <c r="EX350" s="520"/>
      <c r="EY350" s="518"/>
      <c r="EZ350" s="520"/>
      <c r="FA350" s="518"/>
      <c r="FB350" s="520"/>
      <c r="FC350" s="518"/>
      <c r="FD350" s="520"/>
      <c r="FE350" s="518"/>
      <c r="FF350" s="520"/>
      <c r="FG350" s="518"/>
      <c r="FH350" s="520"/>
      <c r="FI350" s="518"/>
      <c r="FJ350" s="520"/>
      <c r="FK350" s="518"/>
      <c r="FL350" s="520"/>
      <c r="FM350" s="518"/>
      <c r="FN350" s="520"/>
      <c r="FO350" s="518"/>
      <c r="FP350" s="520"/>
      <c r="FQ350" s="518"/>
      <c r="FR350" s="520"/>
      <c r="FS350" s="518"/>
      <c r="FT350" s="520"/>
      <c r="FU350" s="518"/>
      <c r="FV350" s="520"/>
      <c r="FW350" s="518"/>
      <c r="FX350" s="520"/>
      <c r="FY350" s="518"/>
      <c r="FZ350" s="520"/>
      <c r="GA350" s="524"/>
    </row>
    <row r="351" spans="1:183" ht="12.75" hidden="1" customHeight="1" outlineLevel="2" x14ac:dyDescent="0.2">
      <c r="A351" s="517" t="s">
        <v>285</v>
      </c>
      <c r="B351" s="518"/>
      <c r="C351" s="524"/>
      <c r="D351" s="518"/>
      <c r="E351" s="524"/>
      <c r="F351" s="518"/>
      <c r="G351" s="524"/>
      <c r="H351" s="518"/>
      <c r="I351" s="524"/>
      <c r="J351" s="518"/>
      <c r="K351" s="524"/>
      <c r="L351" s="518"/>
      <c r="M351" s="524"/>
      <c r="N351" s="518"/>
      <c r="O351" s="524"/>
      <c r="P351" s="518"/>
      <c r="Q351" s="524"/>
      <c r="R351" s="518"/>
      <c r="S351" s="524"/>
      <c r="T351" s="518"/>
      <c r="U351" s="524"/>
      <c r="V351" s="518"/>
      <c r="W351" s="524"/>
      <c r="X351" s="518"/>
      <c r="Y351" s="524"/>
      <c r="Z351" s="518"/>
      <c r="AA351" s="524"/>
      <c r="AB351" s="518"/>
      <c r="AC351" s="524"/>
      <c r="AD351" s="518"/>
      <c r="AE351" s="524"/>
      <c r="AF351" s="518"/>
      <c r="AG351" s="524"/>
      <c r="AH351" s="518"/>
      <c r="AI351" s="524"/>
      <c r="AJ351" s="518"/>
      <c r="AK351" s="524"/>
      <c r="AL351" s="518"/>
      <c r="AM351" s="524"/>
      <c r="AN351" s="518"/>
      <c r="AO351" s="520"/>
      <c r="AP351" s="518"/>
      <c r="AQ351" s="520"/>
      <c r="AR351" s="518"/>
      <c r="AS351" s="520"/>
      <c r="AT351" s="518"/>
      <c r="AU351" s="520"/>
      <c r="AV351" s="518"/>
      <c r="AW351" s="520"/>
      <c r="AX351" s="518"/>
      <c r="AY351" s="520"/>
      <c r="AZ351" s="518"/>
      <c r="BA351" s="520"/>
      <c r="BB351" s="518"/>
      <c r="BC351" s="520"/>
      <c r="BD351" s="518"/>
      <c r="BE351" s="520"/>
      <c r="BF351" s="518"/>
      <c r="BG351" s="520"/>
      <c r="BH351" s="518"/>
      <c r="BI351" s="520"/>
      <c r="BJ351" s="518"/>
      <c r="BK351" s="520"/>
      <c r="BL351" s="518"/>
      <c r="BM351" s="520"/>
      <c r="BN351" s="518"/>
      <c r="BO351" s="520"/>
      <c r="BP351" s="518"/>
      <c r="BQ351" s="520"/>
      <c r="BR351" s="518"/>
      <c r="BS351" s="520"/>
      <c r="BT351" s="518"/>
      <c r="BU351" s="520"/>
      <c r="BV351" s="518"/>
      <c r="BW351" s="520"/>
      <c r="BX351" s="518"/>
      <c r="BY351" s="520"/>
      <c r="BZ351" s="518"/>
      <c r="CA351" s="520"/>
      <c r="CB351" s="518"/>
      <c r="CC351" s="520"/>
      <c r="CD351" s="518"/>
      <c r="CE351" s="520"/>
      <c r="CF351" s="518"/>
      <c r="CG351" s="520"/>
      <c r="CH351" s="518"/>
      <c r="CI351" s="520"/>
      <c r="CJ351" s="518"/>
      <c r="CK351" s="520"/>
      <c r="CL351" s="518"/>
      <c r="CM351" s="520"/>
      <c r="CN351" s="518"/>
      <c r="CO351" s="520"/>
      <c r="CP351" s="518"/>
      <c r="CQ351" s="520"/>
      <c r="CR351" s="518"/>
      <c r="CS351" s="520"/>
      <c r="CT351" s="518"/>
      <c r="CU351" s="520"/>
      <c r="CV351" s="518"/>
      <c r="CW351" s="520"/>
      <c r="CX351" s="518"/>
      <c r="CY351" s="520"/>
      <c r="CZ351" s="518"/>
      <c r="DA351" s="520"/>
      <c r="DB351" s="518"/>
      <c r="DC351" s="520"/>
      <c r="DD351" s="518"/>
      <c r="DE351" s="520"/>
      <c r="DF351" s="518"/>
      <c r="DG351" s="520"/>
      <c r="DH351" s="518"/>
      <c r="DI351" s="520"/>
      <c r="DJ351" s="518"/>
      <c r="DK351" s="520"/>
      <c r="DL351" s="518"/>
      <c r="DM351" s="520"/>
      <c r="DN351" s="518"/>
      <c r="DO351" s="520"/>
      <c r="DP351" s="518"/>
      <c r="DQ351" s="520"/>
      <c r="DR351" s="518"/>
      <c r="DS351" s="520"/>
      <c r="DT351" s="518"/>
      <c r="DU351" s="520"/>
      <c r="DV351" s="518"/>
      <c r="DW351" s="520"/>
      <c r="DX351" s="518"/>
      <c r="DY351" s="520"/>
      <c r="DZ351" s="518"/>
      <c r="EA351" s="520"/>
      <c r="EB351" s="518"/>
      <c r="EC351" s="520"/>
      <c r="ED351" s="518"/>
      <c r="EE351" s="520"/>
      <c r="EF351" s="518"/>
      <c r="EG351" s="520"/>
      <c r="EH351" s="520"/>
      <c r="EI351" s="518"/>
      <c r="EJ351" s="524"/>
      <c r="EK351" s="518"/>
      <c r="EL351" s="524"/>
      <c r="EM351" s="518"/>
      <c r="EN351" s="524"/>
      <c r="EO351" s="518"/>
      <c r="EP351" s="524"/>
      <c r="EQ351" s="518"/>
      <c r="ER351" s="520"/>
      <c r="ES351" s="518"/>
      <c r="ET351" s="520"/>
      <c r="EU351" s="518"/>
      <c r="EV351" s="520"/>
      <c r="EW351" s="518"/>
      <c r="EX351" s="520"/>
      <c r="EY351" s="518"/>
      <c r="EZ351" s="520"/>
      <c r="FA351" s="518"/>
      <c r="FB351" s="520"/>
      <c r="FC351" s="518"/>
      <c r="FD351" s="520"/>
      <c r="FE351" s="518"/>
      <c r="FF351" s="520"/>
      <c r="FG351" s="518"/>
      <c r="FH351" s="520"/>
      <c r="FI351" s="518"/>
      <c r="FJ351" s="520"/>
      <c r="FK351" s="518"/>
      <c r="FL351" s="520"/>
      <c r="FM351" s="518"/>
      <c r="FN351" s="520"/>
      <c r="FO351" s="518"/>
      <c r="FP351" s="520"/>
      <c r="FQ351" s="518"/>
      <c r="FR351" s="520"/>
      <c r="FS351" s="518"/>
      <c r="FT351" s="520"/>
      <c r="FU351" s="518"/>
      <c r="FV351" s="520"/>
      <c r="FW351" s="518"/>
      <c r="FX351" s="520"/>
      <c r="FY351" s="518"/>
      <c r="FZ351" s="520"/>
      <c r="GA351" s="524"/>
    </row>
    <row r="352" spans="1:183" ht="12.75" hidden="1" customHeight="1" outlineLevel="2" x14ac:dyDescent="0.2">
      <c r="A352" s="521" t="str">
        <f>INPUT!B313</f>
        <v>Premium Income</v>
      </c>
      <c r="B352" s="522">
        <f>INPUT!M313</f>
        <v>9.3000000000000007</v>
      </c>
      <c r="C352" s="549" t="str">
        <f>INPUT!N313</f>
        <v>NM</v>
      </c>
      <c r="D352" s="522">
        <f>INPUT!O313</f>
        <v>11.7</v>
      </c>
      <c r="E352" s="523" t="str">
        <f>INPUT!P313</f>
        <v>NM</v>
      </c>
      <c r="F352" s="522">
        <f>INPUT!Q313</f>
        <v>13.9</v>
      </c>
      <c r="G352" s="523" t="str">
        <f>INPUT!R313</f>
        <v>NM</v>
      </c>
      <c r="H352" s="522">
        <f>INPUT!S313</f>
        <v>2.7</v>
      </c>
      <c r="I352" s="523" t="str">
        <f>INPUT!T313</f>
        <v>NM</v>
      </c>
      <c r="J352" s="522">
        <f>INPUT!U313</f>
        <v>10</v>
      </c>
      <c r="K352" s="523">
        <f>INPUT!V313</f>
        <v>7.5268817204301008</v>
      </c>
      <c r="L352" s="522">
        <f>INPUT!W313</f>
        <v>7.6</v>
      </c>
      <c r="M352" s="523">
        <f>INPUT!X313</f>
        <v>-35.042735042735039</v>
      </c>
      <c r="N352" s="522">
        <f>INPUT!Y313</f>
        <v>9</v>
      </c>
      <c r="O352" s="523">
        <f>INPUT!Z313</f>
        <v>-35.251798561151084</v>
      </c>
      <c r="P352" s="522">
        <f>INPUT!AA313</f>
        <v>7.7</v>
      </c>
      <c r="Q352" s="523" t="str">
        <f>INPUT!AB313</f>
        <v>NM</v>
      </c>
      <c r="R352" s="522">
        <f>INPUT!AC313</f>
        <v>8.6</v>
      </c>
      <c r="S352" s="523">
        <f>INPUT!AD313</f>
        <v>-14.000000000000002</v>
      </c>
      <c r="T352" s="522">
        <f>INPUT!AE313</f>
        <v>2.9</v>
      </c>
      <c r="U352" s="523" t="str">
        <f>INPUT!AF313</f>
        <v>NM</v>
      </c>
      <c r="V352" s="522">
        <f>INPUT!AG313</f>
        <v>10.6</v>
      </c>
      <c r="W352" s="523">
        <f>INPUT!AH313</f>
        <v>17.777777777777782</v>
      </c>
      <c r="X352" s="522">
        <f>INPUT!AI313</f>
        <v>9.1999999999999993</v>
      </c>
      <c r="Y352" s="523">
        <f>INPUT!AJ313</f>
        <v>19.480519480519476</v>
      </c>
      <c r="Z352" s="522">
        <f>INPUT!AK313</f>
        <v>0.3</v>
      </c>
      <c r="AA352" s="523" t="str">
        <f>INPUT!AL313</f>
        <v>NM</v>
      </c>
      <c r="AB352" s="522">
        <f>INPUT!AM313</f>
        <v>1.2</v>
      </c>
      <c r="AC352" s="523" t="str">
        <f>INPUT!AN313</f>
        <v>NM</v>
      </c>
      <c r="AD352" s="522">
        <f>INPUT!AO313</f>
        <v>-0.3</v>
      </c>
      <c r="AE352" s="523" t="str">
        <f>INPUT!AP313</f>
        <v>NM</v>
      </c>
      <c r="AF352" s="522">
        <f>INPUT!AQ313</f>
        <v>1.4</v>
      </c>
      <c r="AG352" s="523" t="str">
        <f>INPUT!AR313</f>
        <v>NM</v>
      </c>
      <c r="AH352" s="522">
        <f>INPUT!AS313</f>
        <v>1.2</v>
      </c>
      <c r="AI352" s="523" t="str">
        <f>INPUT!AT313</f>
        <v>NM</v>
      </c>
      <c r="AJ352" s="522">
        <f>INPUT!AU313</f>
        <v>1.2</v>
      </c>
      <c r="AK352" s="523">
        <f>INPUT!AV313</f>
        <v>0</v>
      </c>
      <c r="AL352" s="522">
        <f>INPUT!AW313</f>
        <v>0.1</v>
      </c>
      <c r="AM352" s="523" t="str">
        <f>INPUT!AX313</f>
        <v>NM</v>
      </c>
      <c r="AN352" s="522">
        <f>INPUT!AY313</f>
        <v>2</v>
      </c>
      <c r="AO352" s="520">
        <f>INPUT!AZ313</f>
        <v>42.857142857142861</v>
      </c>
      <c r="AP352" s="518">
        <f>INPUT!BA313</f>
        <v>1.1000000000000001</v>
      </c>
      <c r="AQ352" s="520">
        <f>INPUT!BB313</f>
        <v>-8.333333333333325</v>
      </c>
      <c r="AR352" s="518">
        <f>INPUT!BC313</f>
        <v>-0.2</v>
      </c>
      <c r="AS352" s="520" t="str">
        <f>INPUT!BD313</f>
        <v>NM</v>
      </c>
      <c r="AT352" s="518">
        <f>INPUT!BE313</f>
        <v>0.6</v>
      </c>
      <c r="AU352" s="520" t="str">
        <f>INPUT!BF313</f>
        <v>NM</v>
      </c>
      <c r="AV352" s="518">
        <f>INPUT!BG313</f>
        <v>0.2</v>
      </c>
      <c r="AW352" s="520" t="str">
        <f>INPUT!BH313</f>
        <v>NM</v>
      </c>
      <c r="AX352" s="518">
        <f>INPUT!BI313</f>
        <v>0.7</v>
      </c>
      <c r="AY352" s="520">
        <f>INPUT!BJ313</f>
        <v>-36.363636363636374</v>
      </c>
      <c r="AZ352" s="518">
        <f>INPUT!BK313</f>
        <v>0.2</v>
      </c>
      <c r="BA352" s="520" t="str">
        <f>INPUT!BL313</f>
        <v>NM</v>
      </c>
      <c r="BB352" s="518">
        <f>INPUT!BM313</f>
        <v>0</v>
      </c>
      <c r="BC352" s="520">
        <f>INPUT!BN313</f>
        <v>0</v>
      </c>
      <c r="BD352" s="518"/>
      <c r="BE352" s="520"/>
      <c r="BF352" s="518"/>
      <c r="BG352" s="520"/>
      <c r="BH352" s="518"/>
      <c r="BI352" s="520"/>
      <c r="BJ352" s="518"/>
      <c r="BK352" s="520"/>
      <c r="BL352" s="518"/>
      <c r="BM352" s="520"/>
      <c r="BN352" s="518"/>
      <c r="BO352" s="520"/>
      <c r="BP352" s="518"/>
      <c r="BQ352" s="520"/>
      <c r="BR352" s="518"/>
      <c r="BS352" s="520"/>
      <c r="BT352" s="518"/>
      <c r="BU352" s="520"/>
      <c r="BV352" s="518"/>
      <c r="BW352" s="520"/>
      <c r="BX352" s="518"/>
      <c r="BY352" s="520"/>
      <c r="BZ352" s="518"/>
      <c r="CA352" s="520"/>
      <c r="CB352" s="518"/>
      <c r="CC352" s="520"/>
      <c r="CD352" s="518"/>
      <c r="CE352" s="520"/>
      <c r="CF352" s="518"/>
      <c r="CG352" s="520"/>
      <c r="CH352" s="518"/>
      <c r="CI352" s="520"/>
      <c r="CJ352" s="518"/>
      <c r="CK352" s="520"/>
      <c r="CL352" s="518"/>
      <c r="CM352" s="520"/>
      <c r="CN352" s="518"/>
      <c r="CO352" s="520"/>
      <c r="CP352" s="518"/>
      <c r="CQ352" s="520"/>
      <c r="CR352" s="518"/>
      <c r="CS352" s="520"/>
      <c r="CT352" s="518"/>
      <c r="CU352" s="520"/>
      <c r="CV352" s="518"/>
      <c r="CW352" s="520"/>
      <c r="CX352" s="518"/>
      <c r="CY352" s="520"/>
      <c r="CZ352" s="518"/>
      <c r="DA352" s="520"/>
      <c r="DB352" s="518"/>
      <c r="DC352" s="520"/>
      <c r="DD352" s="518"/>
      <c r="DE352" s="520"/>
      <c r="DF352" s="518"/>
      <c r="DG352" s="520"/>
      <c r="DH352" s="518"/>
      <c r="DI352" s="520"/>
      <c r="DJ352" s="518"/>
      <c r="DK352" s="520"/>
      <c r="DL352" s="518"/>
      <c r="DM352" s="520"/>
      <c r="DN352" s="518"/>
      <c r="DO352" s="520"/>
      <c r="DP352" s="518"/>
      <c r="DQ352" s="520"/>
      <c r="DR352" s="518"/>
      <c r="DS352" s="520"/>
      <c r="DT352" s="518"/>
      <c r="DU352" s="520"/>
      <c r="DV352" s="518"/>
      <c r="DW352" s="520"/>
      <c r="DX352" s="518"/>
      <c r="DY352" s="520"/>
      <c r="DZ352" s="518"/>
      <c r="EA352" s="520"/>
      <c r="EB352" s="518"/>
      <c r="EC352" s="520"/>
      <c r="ED352" s="518"/>
      <c r="EE352" s="520"/>
      <c r="EF352" s="518"/>
      <c r="EG352" s="520"/>
      <c r="EH352" s="520"/>
      <c r="EI352" s="522">
        <f>INPUT!FB313</f>
        <v>111.89999999999999</v>
      </c>
      <c r="EJ352" s="523" t="str">
        <f>INPUT!FC313</f>
        <v>NA</v>
      </c>
      <c r="EK352" s="522">
        <f>INPUT!FD313</f>
        <v>37.6</v>
      </c>
      <c r="EL352" s="523" t="str">
        <f>INPUT!FE313</f>
        <v>NM</v>
      </c>
      <c r="EM352" s="522">
        <f>INPUT!FF313</f>
        <v>34.299999999999997</v>
      </c>
      <c r="EN352" s="523">
        <f>INPUT!FG313</f>
        <v>-8.7765957446808596</v>
      </c>
      <c r="EO352" s="522">
        <f>INPUT!FH313</f>
        <v>31.299999999999997</v>
      </c>
      <c r="EP352" s="523">
        <f>INPUT!FI313</f>
        <v>-8.7463556851311903</v>
      </c>
      <c r="EQ352" s="522">
        <f>INPUT!FJ313</f>
        <v>2.5999999999999996</v>
      </c>
      <c r="ER352" s="520" t="str">
        <f>INPUT!FK313</f>
        <v>NM</v>
      </c>
      <c r="ES352" s="518">
        <f>INPUT!FL313</f>
        <v>4.5</v>
      </c>
      <c r="ET352" s="520">
        <f>INPUT!FM313</f>
        <v>73.076923076923109</v>
      </c>
      <c r="EU352" s="518">
        <f>INPUT!FN313</f>
        <v>1.7</v>
      </c>
      <c r="EV352" s="520" t="str">
        <f>INPUT!FO313</f>
        <v>NM</v>
      </c>
      <c r="EW352" s="518">
        <f>INPUT!FP313</f>
        <v>0.89999999999999991</v>
      </c>
      <c r="EX352" s="520">
        <f>INPUT!FQ313</f>
        <v>-47.058823529411761</v>
      </c>
      <c r="EY352" s="518"/>
      <c r="EZ352" s="520"/>
      <c r="FA352" s="518"/>
      <c r="FB352" s="520"/>
      <c r="FC352" s="518"/>
      <c r="FD352" s="520"/>
      <c r="FE352" s="518"/>
      <c r="FF352" s="520"/>
      <c r="FG352" s="518"/>
      <c r="FH352" s="520"/>
      <c r="FI352" s="518"/>
      <c r="FJ352" s="520"/>
      <c r="FK352" s="518"/>
      <c r="FL352" s="520"/>
      <c r="FM352" s="518"/>
      <c r="FN352" s="520"/>
      <c r="FO352" s="518"/>
      <c r="FP352" s="520"/>
      <c r="FQ352" s="518"/>
      <c r="FR352" s="520"/>
      <c r="FS352" s="518"/>
      <c r="FT352" s="520"/>
      <c r="FU352" s="518"/>
      <c r="FV352" s="520"/>
      <c r="FW352" s="518"/>
      <c r="FX352" s="520"/>
      <c r="FY352" s="518"/>
      <c r="FZ352" s="520"/>
      <c r="GA352" s="523"/>
    </row>
    <row r="353" spans="1:183" ht="12.75" hidden="1" customHeight="1" outlineLevel="2" x14ac:dyDescent="0.2">
      <c r="A353" s="521" t="str">
        <f>INPUT!B314</f>
        <v>Net Investment Income</v>
      </c>
      <c r="B353" s="522">
        <f>INPUT!M314</f>
        <v>42.2</v>
      </c>
      <c r="C353" s="549">
        <f>INPUT!N314</f>
        <v>-20.527306967984927</v>
      </c>
      <c r="D353" s="522">
        <f>INPUT!O314</f>
        <v>39.5</v>
      </c>
      <c r="E353" s="523">
        <f>INPUT!P314</f>
        <v>-21.314741035856578</v>
      </c>
      <c r="F353" s="522">
        <f>INPUT!Q314</f>
        <v>37.700000000000003</v>
      </c>
      <c r="G353" s="523">
        <f>INPUT!R314</f>
        <v>-25.787401574803138</v>
      </c>
      <c r="H353" s="522">
        <f>INPUT!S314</f>
        <v>34.799999999999997</v>
      </c>
      <c r="I353" s="523">
        <f>INPUT!T314</f>
        <v>15.614617940199317</v>
      </c>
      <c r="J353" s="522">
        <f>INPUT!U314</f>
        <v>36.4</v>
      </c>
      <c r="K353" s="523">
        <f>INPUT!V314</f>
        <v>-13.744075829383895</v>
      </c>
      <c r="L353" s="522">
        <f>INPUT!W314</f>
        <v>38.200000000000003</v>
      </c>
      <c r="M353" s="523">
        <f>INPUT!X314</f>
        <v>-3.2911392405063244</v>
      </c>
      <c r="N353" s="522">
        <f>INPUT!Y314</f>
        <v>32.200000000000003</v>
      </c>
      <c r="O353" s="523">
        <f>INPUT!Z314</f>
        <v>-14.58885941644562</v>
      </c>
      <c r="P353" s="522">
        <f>INPUT!AA314</f>
        <v>33.299999999999997</v>
      </c>
      <c r="Q353" s="523">
        <f>INPUT!AB314</f>
        <v>-4.31034482758621</v>
      </c>
      <c r="R353" s="522">
        <f>INPUT!AC314</f>
        <v>32</v>
      </c>
      <c r="S353" s="523">
        <f>INPUT!AD314</f>
        <v>-12.087912087912089</v>
      </c>
      <c r="T353" s="522">
        <f>INPUT!AE314</f>
        <v>32.200000000000003</v>
      </c>
      <c r="U353" s="523">
        <f>INPUT!AF314</f>
        <v>-15.706806282722507</v>
      </c>
      <c r="V353" s="522">
        <f>INPUT!AG314</f>
        <v>32.1</v>
      </c>
      <c r="W353" s="523">
        <f>INPUT!AH314</f>
        <v>-0.31055900621118626</v>
      </c>
      <c r="X353" s="522">
        <f>INPUT!AI314</f>
        <v>31</v>
      </c>
      <c r="Y353" s="523">
        <f>INPUT!AJ314</f>
        <v>-6.9069069069068956</v>
      </c>
      <c r="Z353" s="522">
        <f>INPUT!AK314</f>
        <v>29.1</v>
      </c>
      <c r="AA353" s="523">
        <f>INPUT!AL314</f>
        <v>-9.0624999999999964</v>
      </c>
      <c r="AB353" s="522">
        <f>INPUT!AM314</f>
        <v>32.799999999999997</v>
      </c>
      <c r="AC353" s="523">
        <f>INPUT!AN314</f>
        <v>1.8633540372670732</v>
      </c>
      <c r="AD353" s="522">
        <f>INPUT!AO314</f>
        <v>29.5</v>
      </c>
      <c r="AE353" s="523">
        <f>INPUT!AP314</f>
        <v>-8.0996884735202492</v>
      </c>
      <c r="AF353" s="522">
        <f>INPUT!AQ314</f>
        <v>29.1</v>
      </c>
      <c r="AG353" s="523">
        <f>INPUT!AR314</f>
        <v>-6.1290322580645151</v>
      </c>
      <c r="AH353" s="522">
        <f>INPUT!AS314</f>
        <v>28.7</v>
      </c>
      <c r="AI353" s="523">
        <f>INPUT!AT314</f>
        <v>-1.3745704467354014</v>
      </c>
      <c r="AJ353" s="522">
        <f>INPUT!AU314</f>
        <v>28.4</v>
      </c>
      <c r="AK353" s="523">
        <f>INPUT!AV314</f>
        <v>-13.414634146341465</v>
      </c>
      <c r="AL353" s="522">
        <f>INPUT!AW314</f>
        <v>28</v>
      </c>
      <c r="AM353" s="523">
        <f>INPUT!AX314</f>
        <v>-5.0847457627118615</v>
      </c>
      <c r="AN353" s="522">
        <f>INPUT!AY314</f>
        <v>28.1</v>
      </c>
      <c r="AO353" s="520">
        <f>INPUT!AZ314</f>
        <v>-3.4364261168384869</v>
      </c>
      <c r="AP353" s="518">
        <f>INPUT!BA314</f>
        <v>28.1</v>
      </c>
      <c r="AQ353" s="520">
        <f>INPUT!BB314</f>
        <v>-2.0905923344947674</v>
      </c>
      <c r="AR353" s="518">
        <f>INPUT!BC314</f>
        <v>26.9</v>
      </c>
      <c r="AS353" s="520">
        <f>INPUT!BD314</f>
        <v>-5.2816901408450745</v>
      </c>
      <c r="AT353" s="518">
        <f>INPUT!BE314</f>
        <v>24.7</v>
      </c>
      <c r="AU353" s="520">
        <f>INPUT!BF314</f>
        <v>-11.785714285714288</v>
      </c>
      <c r="AV353" s="518">
        <f>INPUT!BG314</f>
        <v>28.7</v>
      </c>
      <c r="AW353" s="520">
        <f>INPUT!BH314</f>
        <v>2.1352313167259718</v>
      </c>
      <c r="AX353" s="518">
        <f>INPUT!BI314</f>
        <v>25.9</v>
      </c>
      <c r="AY353" s="520">
        <f>INPUT!BJ314</f>
        <v>-7.8291814946619294</v>
      </c>
      <c r="AZ353" s="518">
        <f>INPUT!BK314</f>
        <v>25.9</v>
      </c>
      <c r="BA353" s="520">
        <f>INPUT!BL314</f>
        <v>-3.7174721189591087</v>
      </c>
      <c r="BB353" s="518">
        <f>INPUT!BM314</f>
        <v>27</v>
      </c>
      <c r="BC353" s="520">
        <f>INPUT!BN314</f>
        <v>0</v>
      </c>
      <c r="BD353" s="518"/>
      <c r="BE353" s="520"/>
      <c r="BF353" s="518"/>
      <c r="BG353" s="520"/>
      <c r="BH353" s="518"/>
      <c r="BI353" s="520"/>
      <c r="BJ353" s="518"/>
      <c r="BK353" s="520"/>
      <c r="BL353" s="518"/>
      <c r="BM353" s="520"/>
      <c r="BN353" s="518"/>
      <c r="BO353" s="520"/>
      <c r="BP353" s="518"/>
      <c r="BQ353" s="520"/>
      <c r="BR353" s="518"/>
      <c r="BS353" s="520"/>
      <c r="BT353" s="518"/>
      <c r="BU353" s="520"/>
      <c r="BV353" s="518"/>
      <c r="BW353" s="520"/>
      <c r="BX353" s="518"/>
      <c r="BY353" s="520"/>
      <c r="BZ353" s="518"/>
      <c r="CA353" s="520"/>
      <c r="CB353" s="518"/>
      <c r="CC353" s="520"/>
      <c r="CD353" s="518"/>
      <c r="CE353" s="520"/>
      <c r="CF353" s="518"/>
      <c r="CG353" s="520"/>
      <c r="CH353" s="518"/>
      <c r="CI353" s="520"/>
      <c r="CJ353" s="518"/>
      <c r="CK353" s="520"/>
      <c r="CL353" s="518"/>
      <c r="CM353" s="520"/>
      <c r="CN353" s="518"/>
      <c r="CO353" s="520"/>
      <c r="CP353" s="518"/>
      <c r="CQ353" s="520"/>
      <c r="CR353" s="518"/>
      <c r="CS353" s="520"/>
      <c r="CT353" s="518"/>
      <c r="CU353" s="520"/>
      <c r="CV353" s="518"/>
      <c r="CW353" s="520"/>
      <c r="CX353" s="518"/>
      <c r="CY353" s="520"/>
      <c r="CZ353" s="518"/>
      <c r="DA353" s="520"/>
      <c r="DB353" s="518"/>
      <c r="DC353" s="520"/>
      <c r="DD353" s="518"/>
      <c r="DE353" s="520"/>
      <c r="DF353" s="518"/>
      <c r="DG353" s="520"/>
      <c r="DH353" s="518"/>
      <c r="DI353" s="520"/>
      <c r="DJ353" s="518"/>
      <c r="DK353" s="520"/>
      <c r="DL353" s="518"/>
      <c r="DM353" s="520"/>
      <c r="DN353" s="518"/>
      <c r="DO353" s="520"/>
      <c r="DP353" s="518"/>
      <c r="DQ353" s="520"/>
      <c r="DR353" s="518"/>
      <c r="DS353" s="520"/>
      <c r="DT353" s="518"/>
      <c r="DU353" s="520"/>
      <c r="DV353" s="518"/>
      <c r="DW353" s="520"/>
      <c r="DX353" s="518"/>
      <c r="DY353" s="520"/>
      <c r="DZ353" s="518"/>
      <c r="EA353" s="520"/>
      <c r="EB353" s="518"/>
      <c r="EC353" s="520"/>
      <c r="ED353" s="518"/>
      <c r="EE353" s="520"/>
      <c r="EF353" s="518"/>
      <c r="EG353" s="520"/>
      <c r="EH353" s="520"/>
      <c r="EI353" s="522">
        <f>INPUT!FB314</f>
        <v>184.20000000000002</v>
      </c>
      <c r="EJ353" s="523" t="str">
        <f>INPUT!FC314</f>
        <v>NA</v>
      </c>
      <c r="EK353" s="522">
        <f>INPUT!FD314</f>
        <v>154.19999999999999</v>
      </c>
      <c r="EL353" s="523">
        <f>INPUT!FE314</f>
        <v>-16.286644951140083</v>
      </c>
      <c r="EM353" s="522">
        <f>INPUT!FF314</f>
        <v>140.1</v>
      </c>
      <c r="EN353" s="523">
        <f>INPUT!FG314</f>
        <v>-9.143968871595332</v>
      </c>
      <c r="EO353" s="522">
        <f>INPUT!FH314</f>
        <v>127.30000000000001</v>
      </c>
      <c r="EP353" s="523">
        <f>INPUT!FI314</f>
        <v>-9.1363311920056987</v>
      </c>
      <c r="EQ353" s="522">
        <f>INPUT!FJ314</f>
        <v>120.5</v>
      </c>
      <c r="ER353" s="520">
        <f>INPUT!FK314</f>
        <v>-5.3417124901806829</v>
      </c>
      <c r="ES353" s="518">
        <f>INPUT!FL314</f>
        <v>113.19999999999999</v>
      </c>
      <c r="ET353" s="520">
        <f>INPUT!FM314</f>
        <v>-6.0580912863070662</v>
      </c>
      <c r="EU353" s="518">
        <f>INPUT!FN314</f>
        <v>108.4</v>
      </c>
      <c r="EV353" s="520">
        <f>INPUT!FO314</f>
        <v>-4.2402826855123532</v>
      </c>
      <c r="EW353" s="518">
        <f>INPUT!FP314</f>
        <v>78.8</v>
      </c>
      <c r="EX353" s="520">
        <f>INPUT!FQ314</f>
        <v>-27.306273062730636</v>
      </c>
      <c r="EY353" s="518"/>
      <c r="EZ353" s="520"/>
      <c r="FA353" s="518"/>
      <c r="FB353" s="520"/>
      <c r="FC353" s="518"/>
      <c r="FD353" s="520"/>
      <c r="FE353" s="518"/>
      <c r="FF353" s="520"/>
      <c r="FG353" s="518"/>
      <c r="FH353" s="520"/>
      <c r="FI353" s="518"/>
      <c r="FJ353" s="520"/>
      <c r="FK353" s="518"/>
      <c r="FL353" s="520"/>
      <c r="FM353" s="518"/>
      <c r="FN353" s="520"/>
      <c r="FO353" s="518"/>
      <c r="FP353" s="520"/>
      <c r="FQ353" s="518"/>
      <c r="FR353" s="520"/>
      <c r="FS353" s="518"/>
      <c r="FT353" s="520"/>
      <c r="FU353" s="518"/>
      <c r="FV353" s="520"/>
      <c r="FW353" s="518"/>
      <c r="FX353" s="520"/>
      <c r="FY353" s="518"/>
      <c r="FZ353" s="520"/>
      <c r="GA353" s="523"/>
    </row>
    <row r="354" spans="1:183" ht="12.75" hidden="1" customHeight="1" outlineLevel="2" x14ac:dyDescent="0.2">
      <c r="A354" s="521" t="str">
        <f>INPUT!B315</f>
        <v>Other Income</v>
      </c>
      <c r="B354" s="522">
        <f>INPUT!M315</f>
        <v>51.9</v>
      </c>
      <c r="C354" s="549">
        <f>INPUT!N315</f>
        <v>-4.7706422018348622</v>
      </c>
      <c r="D354" s="522">
        <f>INPUT!O315</f>
        <v>52.5</v>
      </c>
      <c r="E354" s="523">
        <f>INPUT!P315</f>
        <v>-5.4054054054054053</v>
      </c>
      <c r="F354" s="522">
        <f>INPUT!Q315</f>
        <v>53.4</v>
      </c>
      <c r="G354" s="523">
        <f>INPUT!R315</f>
        <v>11.715481171548126</v>
      </c>
      <c r="H354" s="522">
        <f>INPUT!S315</f>
        <v>56.5</v>
      </c>
      <c r="I354" s="523">
        <f>INPUT!T315</f>
        <v>30.787037037037024</v>
      </c>
      <c r="J354" s="522">
        <f>INPUT!U315</f>
        <v>53.7</v>
      </c>
      <c r="K354" s="523">
        <f>INPUT!V315</f>
        <v>3.4682080924855585</v>
      </c>
      <c r="L354" s="522">
        <f>INPUT!W315</f>
        <v>52.6</v>
      </c>
      <c r="M354" s="523">
        <f>INPUT!X315</f>
        <v>0.19047619047618536</v>
      </c>
      <c r="N354" s="522">
        <f>INPUT!Y315</f>
        <v>52.8</v>
      </c>
      <c r="O354" s="523">
        <f>INPUT!Z315</f>
        <v>-1.1235955056179803</v>
      </c>
      <c r="P354" s="522">
        <f>INPUT!AA315</f>
        <v>45.3</v>
      </c>
      <c r="Q354" s="523">
        <f>INPUT!AB315</f>
        <v>-19.82300884955751</v>
      </c>
      <c r="R354" s="522">
        <f>INPUT!AC315</f>
        <v>56.2</v>
      </c>
      <c r="S354" s="523">
        <f>INPUT!AD315</f>
        <v>4.6554934823091143</v>
      </c>
      <c r="T354" s="522">
        <f>INPUT!AE315</f>
        <v>52.5</v>
      </c>
      <c r="U354" s="523">
        <f>INPUT!AF315</f>
        <v>-0.19011406844107182</v>
      </c>
      <c r="V354" s="522">
        <f>INPUT!AG315</f>
        <v>52.4</v>
      </c>
      <c r="W354" s="523">
        <f>INPUT!AH315</f>
        <v>-0.7575757575757569</v>
      </c>
      <c r="X354" s="522">
        <f>INPUT!AI315</f>
        <v>47.2</v>
      </c>
      <c r="Y354" s="523">
        <f>INPUT!AJ315</f>
        <v>4.1942604856512133</v>
      </c>
      <c r="Z354" s="522">
        <f>INPUT!AK315</f>
        <v>53.6</v>
      </c>
      <c r="AA354" s="523">
        <f>INPUT!AL315</f>
        <v>-4.6263345195729721</v>
      </c>
      <c r="AB354" s="522">
        <f>INPUT!AM315</f>
        <v>52.9</v>
      </c>
      <c r="AC354" s="523">
        <f>INPUT!AN315</f>
        <v>0.76190476190476364</v>
      </c>
      <c r="AD354" s="522">
        <f>INPUT!AO315</f>
        <v>52.3</v>
      </c>
      <c r="AE354" s="523">
        <f>INPUT!AP315</f>
        <v>-0.19083969465648609</v>
      </c>
      <c r="AF354" s="522">
        <f>INPUT!AQ315</f>
        <v>10.6</v>
      </c>
      <c r="AG354" s="523" t="str">
        <f>INPUT!AR315</f>
        <v>NM</v>
      </c>
      <c r="AH354" s="522">
        <f>INPUT!AS315</f>
        <v>8.3000000000000007</v>
      </c>
      <c r="AI354" s="523" t="str">
        <f>INPUT!AT315</f>
        <v>NM</v>
      </c>
      <c r="AJ354" s="522">
        <f>INPUT!AU315</f>
        <v>54.7</v>
      </c>
      <c r="AK354" s="523">
        <f>INPUT!AV315</f>
        <v>3.402646502835549</v>
      </c>
      <c r="AL354" s="522">
        <f>INPUT!AW315</f>
        <v>53.9</v>
      </c>
      <c r="AM354" s="523">
        <f>INPUT!AX315</f>
        <v>3.0592734225621365</v>
      </c>
      <c r="AN354" s="522">
        <f>INPUT!AY315</f>
        <v>8.8000000000000007</v>
      </c>
      <c r="AO354" s="520">
        <f>INPUT!AZ315</f>
        <v>-16.981132075471685</v>
      </c>
      <c r="AP354" s="518">
        <f>INPUT!BA315</f>
        <v>8.1999999999999993</v>
      </c>
      <c r="AQ354" s="520">
        <f>INPUT!BB315</f>
        <v>-1.2048192771084487</v>
      </c>
      <c r="AR354" s="518">
        <f>INPUT!BC315</f>
        <v>9.1</v>
      </c>
      <c r="AS354" s="520" t="str">
        <f>INPUT!BD315</f>
        <v>NM</v>
      </c>
      <c r="AT354" s="518">
        <f>INPUT!BE315</f>
        <v>4.9000000000000004</v>
      </c>
      <c r="AU354" s="520" t="str">
        <f>INPUT!BF315</f>
        <v>NM</v>
      </c>
      <c r="AV354" s="518">
        <f>INPUT!BG315</f>
        <v>6.3</v>
      </c>
      <c r="AW354" s="520">
        <f>INPUT!BH315</f>
        <v>-28.409090909090917</v>
      </c>
      <c r="AX354" s="518">
        <f>INPUT!BI315</f>
        <v>8</v>
      </c>
      <c r="AY354" s="520">
        <f>INPUT!BJ315</f>
        <v>-2.4390243902438935</v>
      </c>
      <c r="AZ354" s="518">
        <f>INPUT!BK315</f>
        <v>8</v>
      </c>
      <c r="BA354" s="520">
        <f>INPUT!BL315</f>
        <v>-12.087912087912089</v>
      </c>
      <c r="BB354" s="518">
        <f>INPUT!BM315</f>
        <v>6.9</v>
      </c>
      <c r="BC354" s="520">
        <f>INPUT!BN315</f>
        <v>0</v>
      </c>
      <c r="BD354" s="518"/>
      <c r="BE354" s="520"/>
      <c r="BF354" s="518"/>
      <c r="BG354" s="520"/>
      <c r="BH354" s="518"/>
      <c r="BI354" s="520"/>
      <c r="BJ354" s="518"/>
      <c r="BK354" s="520"/>
      <c r="BL354" s="518"/>
      <c r="BM354" s="520"/>
      <c r="BN354" s="518"/>
      <c r="BO354" s="520"/>
      <c r="BP354" s="518"/>
      <c r="BQ354" s="520"/>
      <c r="BR354" s="518"/>
      <c r="BS354" s="520"/>
      <c r="BT354" s="518"/>
      <c r="BU354" s="520"/>
      <c r="BV354" s="518"/>
      <c r="BW354" s="520"/>
      <c r="BX354" s="518"/>
      <c r="BY354" s="520"/>
      <c r="BZ354" s="518"/>
      <c r="CA354" s="520"/>
      <c r="CB354" s="518"/>
      <c r="CC354" s="520"/>
      <c r="CD354" s="518"/>
      <c r="CE354" s="520"/>
      <c r="CF354" s="518"/>
      <c r="CG354" s="520"/>
      <c r="CH354" s="518"/>
      <c r="CI354" s="520"/>
      <c r="CJ354" s="518"/>
      <c r="CK354" s="520"/>
      <c r="CL354" s="518"/>
      <c r="CM354" s="520"/>
      <c r="CN354" s="518"/>
      <c r="CO354" s="520"/>
      <c r="CP354" s="518"/>
      <c r="CQ354" s="520"/>
      <c r="CR354" s="518"/>
      <c r="CS354" s="520"/>
      <c r="CT354" s="518"/>
      <c r="CU354" s="520"/>
      <c r="CV354" s="518"/>
      <c r="CW354" s="520"/>
      <c r="CX354" s="518"/>
      <c r="CY354" s="520"/>
      <c r="CZ354" s="518"/>
      <c r="DA354" s="520"/>
      <c r="DB354" s="518"/>
      <c r="DC354" s="520"/>
      <c r="DD354" s="518"/>
      <c r="DE354" s="520"/>
      <c r="DF354" s="518"/>
      <c r="DG354" s="520"/>
      <c r="DH354" s="518"/>
      <c r="DI354" s="520"/>
      <c r="DJ354" s="518"/>
      <c r="DK354" s="520"/>
      <c r="DL354" s="518"/>
      <c r="DM354" s="520"/>
      <c r="DN354" s="518"/>
      <c r="DO354" s="520"/>
      <c r="DP354" s="518"/>
      <c r="DQ354" s="520"/>
      <c r="DR354" s="518"/>
      <c r="DS354" s="520"/>
      <c r="DT354" s="518"/>
      <c r="DU354" s="520"/>
      <c r="DV354" s="518"/>
      <c r="DW354" s="520"/>
      <c r="DX354" s="518"/>
      <c r="DY354" s="520"/>
      <c r="DZ354" s="518"/>
      <c r="EA354" s="520"/>
      <c r="EB354" s="518"/>
      <c r="EC354" s="520"/>
      <c r="ED354" s="518"/>
      <c r="EE354" s="520"/>
      <c r="EF354" s="518"/>
      <c r="EG354" s="520"/>
      <c r="EH354" s="520"/>
      <c r="EI354" s="522">
        <f>INPUT!FB315</f>
        <v>201</v>
      </c>
      <c r="EJ354" s="523" t="str">
        <f>INPUT!FC315</f>
        <v>NA</v>
      </c>
      <c r="EK354" s="522">
        <f>INPUT!FD315</f>
        <v>214.3</v>
      </c>
      <c r="EL354" s="523">
        <f>INPUT!FE315</f>
        <v>6.6169154228855831</v>
      </c>
      <c r="EM354" s="522">
        <f>INPUT!FF315</f>
        <v>204.39999999999998</v>
      </c>
      <c r="EN354" s="523">
        <f>INPUT!FG315</f>
        <v>-4.6196920205319847</v>
      </c>
      <c r="EO354" s="522">
        <f>INPUT!FH315</f>
        <v>208.3</v>
      </c>
      <c r="EP354" s="523">
        <f>INPUT!FI315</f>
        <v>1.9080234833659615</v>
      </c>
      <c r="EQ354" s="522">
        <f>INPUT!FJ315</f>
        <v>169.4</v>
      </c>
      <c r="ER354" s="520">
        <f>INPUT!FK315</f>
        <v>-18.674987998079693</v>
      </c>
      <c r="ES354" s="518">
        <f>INPUT!FL315</f>
        <v>125.7</v>
      </c>
      <c r="ET354" s="520">
        <f>INPUT!FM315</f>
        <v>-25.796930342384893</v>
      </c>
      <c r="EU354" s="518">
        <f>INPUT!FN315</f>
        <v>28.499999999999996</v>
      </c>
      <c r="EV354" s="520" t="str">
        <f>INPUT!FO315</f>
        <v>NM</v>
      </c>
      <c r="EW354" s="518">
        <f>INPUT!FP315</f>
        <v>22.9</v>
      </c>
      <c r="EX354" s="520">
        <f>INPUT!FQ315</f>
        <v>-19.649122807017537</v>
      </c>
      <c r="EY354" s="518"/>
      <c r="EZ354" s="520"/>
      <c r="FA354" s="518"/>
      <c r="FB354" s="520"/>
      <c r="FC354" s="518"/>
      <c r="FD354" s="520"/>
      <c r="FE354" s="518"/>
      <c r="FF354" s="520"/>
      <c r="FG354" s="518"/>
      <c r="FH354" s="520"/>
      <c r="FI354" s="518"/>
      <c r="FJ354" s="520"/>
      <c r="FK354" s="518"/>
      <c r="FL354" s="520"/>
      <c r="FM354" s="518"/>
      <c r="FN354" s="520"/>
      <c r="FO354" s="518"/>
      <c r="FP354" s="520"/>
      <c r="FQ354" s="518"/>
      <c r="FR354" s="520"/>
      <c r="FS354" s="518"/>
      <c r="FT354" s="520"/>
      <c r="FU354" s="518"/>
      <c r="FV354" s="520"/>
      <c r="FW354" s="518"/>
      <c r="FX354" s="520"/>
      <c r="FY354" s="518"/>
      <c r="FZ354" s="520"/>
      <c r="GA354" s="523"/>
    </row>
    <row r="355" spans="1:183" ht="12.75" hidden="1" customHeight="1" outlineLevel="2" x14ac:dyDescent="0.2">
      <c r="A355" s="521" t="str">
        <f>INPUT!B316</f>
        <v xml:space="preserve"> Total Revenues</v>
      </c>
      <c r="B355" s="522">
        <f>INPUT!M316</f>
        <v>103.4</v>
      </c>
      <c r="C355" s="549">
        <f>INPUT!N316</f>
        <v>-28.343728343728348</v>
      </c>
      <c r="D355" s="522">
        <f>INPUT!O316</f>
        <v>103.7</v>
      </c>
      <c r="E355" s="523">
        <f>INPUT!P316</f>
        <v>-29.06976744186046</v>
      </c>
      <c r="F355" s="522">
        <f>INPUT!Q316</f>
        <v>105</v>
      </c>
      <c r="G355" s="523">
        <f>INPUT!R316</f>
        <v>-22.222222222222221</v>
      </c>
      <c r="H355" s="522">
        <f>INPUT!S316</f>
        <v>94</v>
      </c>
      <c r="I355" s="523">
        <f>INPUT!T316</f>
        <v>31.284916201117309</v>
      </c>
      <c r="J355" s="522">
        <f>INPUT!U316</f>
        <v>100.1</v>
      </c>
      <c r="K355" s="523">
        <f>INPUT!V316</f>
        <v>-3.1914893617021378</v>
      </c>
      <c r="L355" s="522">
        <f>INPUT!W316</f>
        <v>98.4</v>
      </c>
      <c r="M355" s="523">
        <f>INPUT!X316</f>
        <v>-5.1108968177434928</v>
      </c>
      <c r="N355" s="522">
        <f>INPUT!Y316</f>
        <v>94</v>
      </c>
      <c r="O355" s="523">
        <f>INPUT!Z316</f>
        <v>-10.476190476190473</v>
      </c>
      <c r="P355" s="522">
        <f>INPUT!AA316</f>
        <v>86.3</v>
      </c>
      <c r="Q355" s="523">
        <f>INPUT!AB316</f>
        <v>-8.191489361702132</v>
      </c>
      <c r="R355" s="522">
        <f>INPUT!AC316</f>
        <v>96.800000000000011</v>
      </c>
      <c r="S355" s="523">
        <f>INPUT!AD316</f>
        <v>-3.296703296703285</v>
      </c>
      <c r="T355" s="522">
        <f>INPUT!AE316</f>
        <v>87.6</v>
      </c>
      <c r="U355" s="523">
        <f>INPUT!AF316</f>
        <v>-10.975609756097571</v>
      </c>
      <c r="V355" s="522">
        <f>INPUT!AG316</f>
        <v>95.1</v>
      </c>
      <c r="W355" s="523">
        <f>INPUT!AH316</f>
        <v>1.1702127659574346</v>
      </c>
      <c r="X355" s="522">
        <f>INPUT!AI316</f>
        <v>87.4</v>
      </c>
      <c r="Y355" s="523">
        <f>INPUT!AJ316</f>
        <v>1.274623406720754</v>
      </c>
      <c r="Z355" s="522">
        <f>INPUT!AK316</f>
        <v>83</v>
      </c>
      <c r="AA355" s="523">
        <f>INPUT!AL316</f>
        <v>-14.256198347107452</v>
      </c>
      <c r="AB355" s="522">
        <f>INPUT!AM316</f>
        <v>86.9</v>
      </c>
      <c r="AC355" s="523">
        <f>INPUT!AN316</f>
        <v>-0.79908675799085227</v>
      </c>
      <c r="AD355" s="522">
        <f>INPUT!AO316</f>
        <v>81.5</v>
      </c>
      <c r="AE355" s="523">
        <f>INPUT!AP316</f>
        <v>-14.300736067297581</v>
      </c>
      <c r="AF355" s="522">
        <f>INPUT!AQ316</f>
        <v>41.1</v>
      </c>
      <c r="AG355" s="523" t="str">
        <f>INPUT!AR316</f>
        <v>NM</v>
      </c>
      <c r="AH355" s="522">
        <f>INPUT!AS316</f>
        <v>38.200000000000003</v>
      </c>
      <c r="AI355" s="523" t="str">
        <f>INPUT!AT316</f>
        <v>NM</v>
      </c>
      <c r="AJ355" s="522">
        <f>INPUT!AU316</f>
        <v>84.3</v>
      </c>
      <c r="AK355" s="523">
        <f>INPUT!AV316</f>
        <v>-2.9919447640966768</v>
      </c>
      <c r="AL355" s="522">
        <f>INPUT!AW316</f>
        <v>82</v>
      </c>
      <c r="AM355" s="523">
        <f>INPUT!AX316</f>
        <v>0.61349693251533388</v>
      </c>
      <c r="AN355" s="522">
        <f>INPUT!AY316</f>
        <v>38.900000000000006</v>
      </c>
      <c r="AO355" s="520">
        <f>INPUT!AZ316</f>
        <v>-5.352798053527974</v>
      </c>
      <c r="AP355" s="518">
        <f>INPUT!BA316</f>
        <v>37.400000000000006</v>
      </c>
      <c r="AQ355" s="520">
        <f>INPUT!BB316</f>
        <v>-2.0942408376963262</v>
      </c>
      <c r="AR355" s="518">
        <f>INPUT!BC316</f>
        <v>35.799999999999997</v>
      </c>
      <c r="AS355" s="520" t="str">
        <f>INPUT!BD316</f>
        <v>NM</v>
      </c>
      <c r="AT355" s="518">
        <f>INPUT!BE316</f>
        <v>30.200000000000003</v>
      </c>
      <c r="AU355" s="520" t="str">
        <f>INPUT!BF316</f>
        <v>NM</v>
      </c>
      <c r="AV355" s="518">
        <f>INPUT!BG316</f>
        <v>35.199999999999996</v>
      </c>
      <c r="AW355" s="520">
        <f>INPUT!BH316</f>
        <v>-9.511568123393344</v>
      </c>
      <c r="AX355" s="518">
        <f>INPUT!BI316</f>
        <v>34.599999999999994</v>
      </c>
      <c r="AY355" s="520">
        <f>INPUT!BJ316</f>
        <v>-7.4866310160428107</v>
      </c>
      <c r="AZ355" s="518">
        <f>INPUT!BK316</f>
        <v>34.099999999999994</v>
      </c>
      <c r="BA355" s="520">
        <f>INPUT!BL316</f>
        <v>-4.7486033519553157</v>
      </c>
      <c r="BB355" s="518">
        <f>INPUT!BM316</f>
        <v>33.9</v>
      </c>
      <c r="BC355" s="520">
        <f>INPUT!BN316</f>
        <v>0</v>
      </c>
      <c r="BD355" s="518"/>
      <c r="BE355" s="520"/>
      <c r="BF355" s="518"/>
      <c r="BG355" s="520"/>
      <c r="BH355" s="518"/>
      <c r="BI355" s="520"/>
      <c r="BJ355" s="518"/>
      <c r="BK355" s="520"/>
      <c r="BL355" s="518"/>
      <c r="BM355" s="520"/>
      <c r="BN355" s="518"/>
      <c r="BO355" s="520"/>
      <c r="BP355" s="518"/>
      <c r="BQ355" s="520"/>
      <c r="BR355" s="518"/>
      <c r="BS355" s="520"/>
      <c r="BT355" s="518"/>
      <c r="BU355" s="520"/>
      <c r="BV355" s="518"/>
      <c r="BW355" s="520"/>
      <c r="BX355" s="518"/>
      <c r="BY355" s="520"/>
      <c r="BZ355" s="518"/>
      <c r="CA355" s="520"/>
      <c r="CB355" s="518"/>
      <c r="CC355" s="520"/>
      <c r="CD355" s="518"/>
      <c r="CE355" s="520"/>
      <c r="CF355" s="518"/>
      <c r="CG355" s="520"/>
      <c r="CH355" s="518"/>
      <c r="CI355" s="520"/>
      <c r="CJ355" s="518"/>
      <c r="CK355" s="520"/>
      <c r="CL355" s="518"/>
      <c r="CM355" s="520"/>
      <c r="CN355" s="518"/>
      <c r="CO355" s="520"/>
      <c r="CP355" s="518"/>
      <c r="CQ355" s="520"/>
      <c r="CR355" s="518"/>
      <c r="CS355" s="520"/>
      <c r="CT355" s="518"/>
      <c r="CU355" s="520"/>
      <c r="CV355" s="518"/>
      <c r="CW355" s="520"/>
      <c r="CX355" s="518"/>
      <c r="CY355" s="520"/>
      <c r="CZ355" s="518"/>
      <c r="DA355" s="520"/>
      <c r="DB355" s="518"/>
      <c r="DC355" s="520"/>
      <c r="DD355" s="518"/>
      <c r="DE355" s="520"/>
      <c r="DF355" s="518"/>
      <c r="DG355" s="520"/>
      <c r="DH355" s="518"/>
      <c r="DI355" s="520"/>
      <c r="DJ355" s="518"/>
      <c r="DK355" s="520"/>
      <c r="DL355" s="518"/>
      <c r="DM355" s="520"/>
      <c r="DN355" s="518"/>
      <c r="DO355" s="520"/>
      <c r="DP355" s="518"/>
      <c r="DQ355" s="520"/>
      <c r="DR355" s="518"/>
      <c r="DS355" s="520"/>
      <c r="DT355" s="518"/>
      <c r="DU355" s="520"/>
      <c r="DV355" s="518"/>
      <c r="DW355" s="520"/>
      <c r="DX355" s="518"/>
      <c r="DY355" s="520"/>
      <c r="DZ355" s="518"/>
      <c r="EA355" s="520"/>
      <c r="EB355" s="518"/>
      <c r="EC355" s="520"/>
      <c r="ED355" s="518"/>
      <c r="EE355" s="520"/>
      <c r="EF355" s="518"/>
      <c r="EG355" s="520"/>
      <c r="EH355" s="520"/>
      <c r="EI355" s="522">
        <f>INPUT!FB316</f>
        <v>497.1</v>
      </c>
      <c r="EJ355" s="523" t="str">
        <f>INPUT!FC316</f>
        <v>NA</v>
      </c>
      <c r="EK355" s="522">
        <f>INPUT!FD316</f>
        <v>406.1</v>
      </c>
      <c r="EL355" s="523">
        <f>INPUT!FE316</f>
        <v>-18.306175819754579</v>
      </c>
      <c r="EM355" s="522">
        <f>INPUT!FF316</f>
        <v>378.8</v>
      </c>
      <c r="EN355" s="523">
        <f>INPUT!FG316</f>
        <v>-6.7224821472543717</v>
      </c>
      <c r="EO355" s="522">
        <f>INPUT!FH316</f>
        <v>366.90000000000003</v>
      </c>
      <c r="EP355" s="523">
        <f>INPUT!FI316</f>
        <v>-3.1414994720168843</v>
      </c>
      <c r="EQ355" s="522">
        <f>INPUT!FJ316</f>
        <v>292.5</v>
      </c>
      <c r="ER355" s="520">
        <f>INPUT!FK316</f>
        <v>-20.278004905968938</v>
      </c>
      <c r="ES355" s="518">
        <f>INPUT!FL316</f>
        <v>243.39999999999998</v>
      </c>
      <c r="ET355" s="520">
        <f>INPUT!FM316</f>
        <v>-16.786324786324791</v>
      </c>
      <c r="EU355" s="518">
        <f>INPUT!FN316</f>
        <v>138.6</v>
      </c>
      <c r="EV355" s="520">
        <f>INPUT!FO316</f>
        <v>-43.056696795398523</v>
      </c>
      <c r="EW355" s="518">
        <f>INPUT!FP316</f>
        <v>102.6</v>
      </c>
      <c r="EX355" s="520">
        <f>INPUT!FQ316</f>
        <v>-25.97402597402597</v>
      </c>
      <c r="EY355" s="518"/>
      <c r="EZ355" s="520"/>
      <c r="FA355" s="518"/>
      <c r="FB355" s="520"/>
      <c r="FC355" s="518"/>
      <c r="FD355" s="520"/>
      <c r="FE355" s="518"/>
      <c r="FF355" s="520"/>
      <c r="FG355" s="518"/>
      <c r="FH355" s="520"/>
      <c r="FI355" s="518"/>
      <c r="FJ355" s="520"/>
      <c r="FK355" s="518"/>
      <c r="FL355" s="520"/>
      <c r="FM355" s="518"/>
      <c r="FN355" s="520"/>
      <c r="FO355" s="518"/>
      <c r="FP355" s="520"/>
      <c r="FQ355" s="518"/>
      <c r="FR355" s="520"/>
      <c r="FS355" s="518"/>
      <c r="FT355" s="520"/>
      <c r="FU355" s="518"/>
      <c r="FV355" s="520"/>
      <c r="FW355" s="518"/>
      <c r="FX355" s="520"/>
      <c r="FY355" s="518"/>
      <c r="FZ355" s="520"/>
      <c r="GA355" s="523"/>
    </row>
    <row r="356" spans="1:183" ht="12.75" hidden="1" customHeight="1" outlineLevel="2" x14ac:dyDescent="0.2">
      <c r="A356" s="521"/>
      <c r="B356" s="518"/>
      <c r="C356" s="519"/>
      <c r="D356" s="518"/>
      <c r="E356" s="523"/>
      <c r="F356" s="518"/>
      <c r="G356" s="523"/>
      <c r="H356" s="518"/>
      <c r="I356" s="523"/>
      <c r="J356" s="518"/>
      <c r="K356" s="523"/>
      <c r="L356" s="518"/>
      <c r="M356" s="523"/>
      <c r="N356" s="518"/>
      <c r="O356" s="523"/>
      <c r="P356" s="518"/>
      <c r="Q356" s="523"/>
      <c r="R356" s="518"/>
      <c r="S356" s="523"/>
      <c r="T356" s="518"/>
      <c r="U356" s="523"/>
      <c r="V356" s="518"/>
      <c r="W356" s="523"/>
      <c r="X356" s="518"/>
      <c r="Y356" s="523"/>
      <c r="Z356" s="518"/>
      <c r="AA356" s="523"/>
      <c r="AB356" s="518"/>
      <c r="AC356" s="523"/>
      <c r="AD356" s="518"/>
      <c r="AE356" s="523"/>
      <c r="AF356" s="518"/>
      <c r="AG356" s="523"/>
      <c r="AH356" s="518"/>
      <c r="AI356" s="523"/>
      <c r="AJ356" s="518"/>
      <c r="AK356" s="523"/>
      <c r="AL356" s="518"/>
      <c r="AM356" s="523"/>
      <c r="AN356" s="518"/>
      <c r="AO356" s="520"/>
      <c r="AP356" s="518"/>
      <c r="AQ356" s="520"/>
      <c r="AR356" s="518"/>
      <c r="AS356" s="520"/>
      <c r="AT356" s="518"/>
      <c r="AU356" s="520"/>
      <c r="AV356" s="518"/>
      <c r="AW356" s="520"/>
      <c r="AX356" s="518"/>
      <c r="AY356" s="520"/>
      <c r="AZ356" s="518"/>
      <c r="BA356" s="520"/>
      <c r="BB356" s="518"/>
      <c r="BC356" s="520"/>
      <c r="BD356" s="518"/>
      <c r="BE356" s="520"/>
      <c r="BF356" s="518"/>
      <c r="BG356" s="520"/>
      <c r="BH356" s="518"/>
      <c r="BI356" s="520"/>
      <c r="BJ356" s="518"/>
      <c r="BK356" s="520"/>
      <c r="BL356" s="518"/>
      <c r="BM356" s="520"/>
      <c r="BN356" s="518"/>
      <c r="BO356" s="520"/>
      <c r="BP356" s="518"/>
      <c r="BQ356" s="520"/>
      <c r="BR356" s="518"/>
      <c r="BS356" s="520"/>
      <c r="BT356" s="518"/>
      <c r="BU356" s="520"/>
      <c r="BV356" s="518"/>
      <c r="BW356" s="520"/>
      <c r="BX356" s="518"/>
      <c r="BY356" s="520"/>
      <c r="BZ356" s="518"/>
      <c r="CA356" s="520"/>
      <c r="CB356" s="518"/>
      <c r="CC356" s="520"/>
      <c r="CD356" s="518"/>
      <c r="CE356" s="520"/>
      <c r="CF356" s="518"/>
      <c r="CG356" s="520"/>
      <c r="CH356" s="518"/>
      <c r="CI356" s="520"/>
      <c r="CJ356" s="518"/>
      <c r="CK356" s="520"/>
      <c r="CL356" s="518"/>
      <c r="CM356" s="520"/>
      <c r="CN356" s="518"/>
      <c r="CO356" s="520"/>
      <c r="CP356" s="518"/>
      <c r="CQ356" s="520"/>
      <c r="CR356" s="518"/>
      <c r="CS356" s="520"/>
      <c r="CT356" s="518"/>
      <c r="CU356" s="520"/>
      <c r="CV356" s="518"/>
      <c r="CW356" s="520"/>
      <c r="CX356" s="518"/>
      <c r="CY356" s="520"/>
      <c r="CZ356" s="518"/>
      <c r="DA356" s="520"/>
      <c r="DB356" s="518"/>
      <c r="DC356" s="520"/>
      <c r="DD356" s="518"/>
      <c r="DE356" s="520"/>
      <c r="DF356" s="518"/>
      <c r="DG356" s="520"/>
      <c r="DH356" s="518"/>
      <c r="DI356" s="520"/>
      <c r="DJ356" s="518"/>
      <c r="DK356" s="520"/>
      <c r="DL356" s="518"/>
      <c r="DM356" s="520"/>
      <c r="DN356" s="518"/>
      <c r="DO356" s="520"/>
      <c r="DP356" s="518"/>
      <c r="DQ356" s="520"/>
      <c r="DR356" s="518"/>
      <c r="DS356" s="520"/>
      <c r="DT356" s="518"/>
      <c r="DU356" s="520"/>
      <c r="DV356" s="518"/>
      <c r="DW356" s="520"/>
      <c r="DX356" s="518"/>
      <c r="DY356" s="520"/>
      <c r="DZ356" s="518"/>
      <c r="EA356" s="520"/>
      <c r="EB356" s="518"/>
      <c r="EC356" s="520"/>
      <c r="ED356" s="518"/>
      <c r="EE356" s="520"/>
      <c r="EF356" s="518"/>
      <c r="EG356" s="520"/>
      <c r="EH356" s="520"/>
      <c r="EI356" s="518"/>
      <c r="EJ356" s="523"/>
      <c r="EK356" s="518"/>
      <c r="EL356" s="523"/>
      <c r="EM356" s="518"/>
      <c r="EN356" s="523"/>
      <c r="EO356" s="518"/>
      <c r="EP356" s="523"/>
      <c r="EQ356" s="518"/>
      <c r="ER356" s="520"/>
      <c r="ES356" s="518"/>
      <c r="ET356" s="520"/>
      <c r="EU356" s="518"/>
      <c r="EV356" s="520"/>
      <c r="EW356" s="518"/>
      <c r="EX356" s="520"/>
      <c r="EY356" s="518"/>
      <c r="EZ356" s="520"/>
      <c r="FA356" s="518"/>
      <c r="FB356" s="520"/>
      <c r="FC356" s="518"/>
      <c r="FD356" s="520"/>
      <c r="FE356" s="518"/>
      <c r="FF356" s="520"/>
      <c r="FG356" s="518"/>
      <c r="FH356" s="520"/>
      <c r="FI356" s="518"/>
      <c r="FJ356" s="520"/>
      <c r="FK356" s="518"/>
      <c r="FL356" s="520"/>
      <c r="FM356" s="518"/>
      <c r="FN356" s="520"/>
      <c r="FO356" s="518"/>
      <c r="FP356" s="520"/>
      <c r="FQ356" s="518"/>
      <c r="FR356" s="520"/>
      <c r="FS356" s="518"/>
      <c r="FT356" s="520"/>
      <c r="FU356" s="518"/>
      <c r="FV356" s="520"/>
      <c r="FW356" s="518"/>
      <c r="FX356" s="520"/>
      <c r="FY356" s="518"/>
      <c r="FZ356" s="520"/>
      <c r="GA356" s="523"/>
    </row>
    <row r="357" spans="1:183" ht="12.75" hidden="1" customHeight="1" outlineLevel="2" x14ac:dyDescent="0.2">
      <c r="A357" s="517" t="s">
        <v>454</v>
      </c>
      <c r="B357" s="518"/>
      <c r="C357" s="519"/>
      <c r="D357" s="518"/>
      <c r="E357" s="523"/>
      <c r="F357" s="518"/>
      <c r="G357" s="523"/>
      <c r="H357" s="518"/>
      <c r="I357" s="523"/>
      <c r="J357" s="518"/>
      <c r="K357" s="523"/>
      <c r="L357" s="518"/>
      <c r="M357" s="523"/>
      <c r="N357" s="518"/>
      <c r="O357" s="523"/>
      <c r="P357" s="518"/>
      <c r="Q357" s="523"/>
      <c r="R357" s="518"/>
      <c r="S357" s="523"/>
      <c r="T357" s="518"/>
      <c r="U357" s="523"/>
      <c r="V357" s="518"/>
      <c r="W357" s="523"/>
      <c r="X357" s="518"/>
      <c r="Y357" s="523"/>
      <c r="Z357" s="518"/>
      <c r="AA357" s="523"/>
      <c r="AB357" s="518"/>
      <c r="AC357" s="523"/>
      <c r="AD357" s="518"/>
      <c r="AE357" s="523"/>
      <c r="AF357" s="518"/>
      <c r="AG357" s="523"/>
      <c r="AH357" s="518"/>
      <c r="AI357" s="523"/>
      <c r="AJ357" s="518"/>
      <c r="AK357" s="523"/>
      <c r="AL357" s="518"/>
      <c r="AM357" s="523"/>
      <c r="AN357" s="518"/>
      <c r="AO357" s="520"/>
      <c r="AP357" s="518"/>
      <c r="AQ357" s="520"/>
      <c r="AR357" s="518"/>
      <c r="AS357" s="520"/>
      <c r="AT357" s="518"/>
      <c r="AU357" s="520"/>
      <c r="AV357" s="518"/>
      <c r="AW357" s="520"/>
      <c r="AX357" s="518"/>
      <c r="AY357" s="520"/>
      <c r="AZ357" s="518"/>
      <c r="BA357" s="520"/>
      <c r="BB357" s="518"/>
      <c r="BC357" s="520"/>
      <c r="BD357" s="518"/>
      <c r="BE357" s="520"/>
      <c r="BF357" s="518"/>
      <c r="BG357" s="520"/>
      <c r="BH357" s="518"/>
      <c r="BI357" s="520"/>
      <c r="BJ357" s="518"/>
      <c r="BK357" s="520"/>
      <c r="BL357" s="518"/>
      <c r="BM357" s="520"/>
      <c r="BN357" s="518"/>
      <c r="BO357" s="520"/>
      <c r="BP357" s="518"/>
      <c r="BQ357" s="520"/>
      <c r="BR357" s="518"/>
      <c r="BS357" s="520"/>
      <c r="BT357" s="518"/>
      <c r="BU357" s="520"/>
      <c r="BV357" s="518"/>
      <c r="BW357" s="520"/>
      <c r="BX357" s="518"/>
      <c r="BY357" s="520"/>
      <c r="BZ357" s="518"/>
      <c r="CA357" s="520"/>
      <c r="CB357" s="518"/>
      <c r="CC357" s="520"/>
      <c r="CD357" s="518"/>
      <c r="CE357" s="520"/>
      <c r="CF357" s="518"/>
      <c r="CG357" s="520"/>
      <c r="CH357" s="518"/>
      <c r="CI357" s="520"/>
      <c r="CJ357" s="518"/>
      <c r="CK357" s="520"/>
      <c r="CL357" s="518"/>
      <c r="CM357" s="520"/>
      <c r="CN357" s="518"/>
      <c r="CO357" s="520"/>
      <c r="CP357" s="518"/>
      <c r="CQ357" s="520"/>
      <c r="CR357" s="518"/>
      <c r="CS357" s="520"/>
      <c r="CT357" s="518"/>
      <c r="CU357" s="520"/>
      <c r="CV357" s="518"/>
      <c r="CW357" s="520"/>
      <c r="CX357" s="518"/>
      <c r="CY357" s="520"/>
      <c r="CZ357" s="518"/>
      <c r="DA357" s="520"/>
      <c r="DB357" s="518"/>
      <c r="DC357" s="520"/>
      <c r="DD357" s="518"/>
      <c r="DE357" s="520"/>
      <c r="DF357" s="518"/>
      <c r="DG357" s="520"/>
      <c r="DH357" s="518"/>
      <c r="DI357" s="520"/>
      <c r="DJ357" s="518"/>
      <c r="DK357" s="520"/>
      <c r="DL357" s="518"/>
      <c r="DM357" s="520"/>
      <c r="DN357" s="518"/>
      <c r="DO357" s="520"/>
      <c r="DP357" s="518"/>
      <c r="DQ357" s="520"/>
      <c r="DR357" s="518"/>
      <c r="DS357" s="520"/>
      <c r="DT357" s="518"/>
      <c r="DU357" s="520"/>
      <c r="DV357" s="518"/>
      <c r="DW357" s="520"/>
      <c r="DX357" s="518"/>
      <c r="DY357" s="520"/>
      <c r="DZ357" s="518"/>
      <c r="EA357" s="520"/>
      <c r="EB357" s="518"/>
      <c r="EC357" s="520"/>
      <c r="ED357" s="518"/>
      <c r="EE357" s="520"/>
      <c r="EF357" s="518"/>
      <c r="EG357" s="520"/>
      <c r="EH357" s="520"/>
      <c r="EI357" s="518"/>
      <c r="EJ357" s="523"/>
      <c r="EK357" s="518"/>
      <c r="EL357" s="523"/>
      <c r="EM357" s="518"/>
      <c r="EN357" s="523"/>
      <c r="EO357" s="518"/>
      <c r="EP357" s="523"/>
      <c r="EQ357" s="518"/>
      <c r="ER357" s="520"/>
      <c r="ES357" s="518"/>
      <c r="ET357" s="520"/>
      <c r="EU357" s="518"/>
      <c r="EV357" s="520"/>
      <c r="EW357" s="518"/>
      <c r="EX357" s="520"/>
      <c r="EY357" s="518"/>
      <c r="EZ357" s="520"/>
      <c r="FA357" s="518"/>
      <c r="FB357" s="520"/>
      <c r="FC357" s="518"/>
      <c r="FD357" s="520"/>
      <c r="FE357" s="518"/>
      <c r="FF357" s="520"/>
      <c r="FG357" s="518"/>
      <c r="FH357" s="520"/>
      <c r="FI357" s="518"/>
      <c r="FJ357" s="520"/>
      <c r="FK357" s="518"/>
      <c r="FL357" s="520"/>
      <c r="FM357" s="518"/>
      <c r="FN357" s="520"/>
      <c r="FO357" s="518"/>
      <c r="FP357" s="520"/>
      <c r="FQ357" s="518"/>
      <c r="FR357" s="520"/>
      <c r="FS357" s="518"/>
      <c r="FT357" s="520"/>
      <c r="FU357" s="518"/>
      <c r="FV357" s="520"/>
      <c r="FW357" s="518"/>
      <c r="FX357" s="520"/>
      <c r="FY357" s="518"/>
      <c r="FZ357" s="520"/>
      <c r="GA357" s="523"/>
    </row>
    <row r="358" spans="1:183" ht="12.75" hidden="1" customHeight="1" outlineLevel="2" x14ac:dyDescent="0.2">
      <c r="A358" s="521" t="str">
        <f>INPUT!B319</f>
        <v>Benefits</v>
      </c>
      <c r="B358" s="522">
        <f>INPUT!M319</f>
        <v>44.5</v>
      </c>
      <c r="C358" s="549">
        <f>INPUT!N319</f>
        <v>-41.981747066492836</v>
      </c>
      <c r="D358" s="522">
        <f>INPUT!O319</f>
        <v>36.700000000000003</v>
      </c>
      <c r="E358" s="523">
        <f>INPUT!P319</f>
        <v>-43.012422360248451</v>
      </c>
      <c r="F358" s="522">
        <f>INPUT!Q319</f>
        <v>43.7</v>
      </c>
      <c r="G358" s="523">
        <f>INPUT!R319</f>
        <v>-34.285714285714285</v>
      </c>
      <c r="H358" s="522">
        <f>INPUT!S319</f>
        <v>36.200000000000003</v>
      </c>
      <c r="I358" s="523" t="str">
        <f>INPUT!T319</f>
        <v>NM</v>
      </c>
      <c r="J358" s="522">
        <f>INPUT!U319</f>
        <v>39.200000000000003</v>
      </c>
      <c r="K358" s="523">
        <f>INPUT!V319</f>
        <v>-11.910112359550551</v>
      </c>
      <c r="L358" s="522">
        <f>INPUT!W319</f>
        <v>41.9</v>
      </c>
      <c r="M358" s="523">
        <f>INPUT!X319</f>
        <v>14.16893732970026</v>
      </c>
      <c r="N358" s="522">
        <f>INPUT!Y319</f>
        <v>35.4</v>
      </c>
      <c r="O358" s="523">
        <f>INPUT!Z319</f>
        <v>-18.993135011441652</v>
      </c>
      <c r="P358" s="522">
        <f>INPUT!AA319</f>
        <v>40.6</v>
      </c>
      <c r="Q358" s="523">
        <f>INPUT!AB319</f>
        <v>12.154696132596676</v>
      </c>
      <c r="R358" s="522">
        <f>INPUT!AC319</f>
        <v>36.6</v>
      </c>
      <c r="S358" s="523">
        <f>INPUT!AD319</f>
        <v>-6.6326530612244916</v>
      </c>
      <c r="T358" s="522">
        <f>INPUT!AE319</f>
        <v>29</v>
      </c>
      <c r="U358" s="523">
        <f>INPUT!AF319</f>
        <v>-30.787589498806678</v>
      </c>
      <c r="V358" s="522">
        <f>INPUT!AG319</f>
        <v>39.700000000000003</v>
      </c>
      <c r="W358" s="523">
        <f>INPUT!AH319</f>
        <v>12.146892655367235</v>
      </c>
      <c r="X358" s="522">
        <f>INPUT!AI319</f>
        <v>37</v>
      </c>
      <c r="Y358" s="523">
        <f>INPUT!AJ319</f>
        <v>-8.8669950738916263</v>
      </c>
      <c r="Z358" s="522">
        <f>INPUT!AK319</f>
        <v>33</v>
      </c>
      <c r="AA358" s="523">
        <f>INPUT!AL319</f>
        <v>-9.8360655737704921</v>
      </c>
      <c r="AB358" s="522">
        <f>INPUT!AM319</f>
        <v>29.4</v>
      </c>
      <c r="AC358" s="523">
        <f>INPUT!AN319</f>
        <v>1.379310344827589</v>
      </c>
      <c r="AD358" s="522">
        <f>INPUT!AO319</f>
        <v>26.7</v>
      </c>
      <c r="AE358" s="523">
        <f>INPUT!AP319</f>
        <v>-32.7455919395466</v>
      </c>
      <c r="AF358" s="522">
        <f>INPUT!AQ319</f>
        <v>33.1</v>
      </c>
      <c r="AG358" s="523">
        <f>INPUT!AR319</f>
        <v>-10.540540540540533</v>
      </c>
      <c r="AH358" s="522">
        <f>INPUT!AS319</f>
        <v>31.4</v>
      </c>
      <c r="AI358" s="523">
        <f>INPUT!AT319</f>
        <v>-4.8484848484848575</v>
      </c>
      <c r="AJ358" s="522">
        <f>INPUT!AU319</f>
        <v>30.6</v>
      </c>
      <c r="AK358" s="523">
        <f>INPUT!AV319</f>
        <v>4.081632653061229</v>
      </c>
      <c r="AL358" s="522">
        <f>INPUT!AW319</f>
        <v>27.3</v>
      </c>
      <c r="AM358" s="523">
        <f>INPUT!AX319</f>
        <v>2.2471910112359605</v>
      </c>
      <c r="AN358" s="522">
        <f>INPUT!AY319</f>
        <v>31.2</v>
      </c>
      <c r="AO358" s="520">
        <f>INPUT!AZ319</f>
        <v>-5.7401812688821829</v>
      </c>
      <c r="AP358" s="518">
        <f>INPUT!BA319</f>
        <v>31.6</v>
      </c>
      <c r="AQ358" s="520">
        <f>INPUT!BB319</f>
        <v>0.63694267515923553</v>
      </c>
      <c r="AR358" s="518">
        <f>INPUT!BC319</f>
        <v>30.6</v>
      </c>
      <c r="AS358" s="520">
        <f>INPUT!BD319</f>
        <v>0</v>
      </c>
      <c r="AT358" s="518">
        <f>INPUT!BE319</f>
        <v>25.5</v>
      </c>
      <c r="AU358" s="520">
        <f>INPUT!BF319</f>
        <v>-6.5934065934065922</v>
      </c>
      <c r="AV358" s="518">
        <f>INPUT!BG319</f>
        <v>27.5</v>
      </c>
      <c r="AW358" s="520">
        <f>INPUT!BH319</f>
        <v>-11.858974358974361</v>
      </c>
      <c r="AX358" s="518">
        <f>INPUT!BI319</f>
        <v>28.2</v>
      </c>
      <c r="AY358" s="520">
        <f>INPUT!BJ319</f>
        <v>-10.759493670886078</v>
      </c>
      <c r="AZ358" s="518">
        <f>INPUT!BK319</f>
        <v>28</v>
      </c>
      <c r="BA358" s="520">
        <f>INPUT!BL319</f>
        <v>-8.4967320261437944</v>
      </c>
      <c r="BB358" s="518">
        <f>INPUT!BM319</f>
        <v>27.1</v>
      </c>
      <c r="BC358" s="520">
        <f>INPUT!BN319</f>
        <v>0</v>
      </c>
      <c r="BD358" s="518"/>
      <c r="BE358" s="520"/>
      <c r="BF358" s="518"/>
      <c r="BG358" s="520"/>
      <c r="BH358" s="518"/>
      <c r="BI358" s="520"/>
      <c r="BJ358" s="518"/>
      <c r="BK358" s="520"/>
      <c r="BL358" s="518"/>
      <c r="BM358" s="520"/>
      <c r="BN358" s="518"/>
      <c r="BO358" s="520"/>
      <c r="BP358" s="518"/>
      <c r="BQ358" s="520"/>
      <c r="BR358" s="518"/>
      <c r="BS358" s="520"/>
      <c r="BT358" s="518"/>
      <c r="BU358" s="520"/>
      <c r="BV358" s="518"/>
      <c r="BW358" s="520"/>
      <c r="BX358" s="518"/>
      <c r="BY358" s="520"/>
      <c r="BZ358" s="518"/>
      <c r="CA358" s="520"/>
      <c r="CB358" s="518"/>
      <c r="CC358" s="520"/>
      <c r="CD358" s="518"/>
      <c r="CE358" s="520"/>
      <c r="CF358" s="518"/>
      <c r="CG358" s="520"/>
      <c r="CH358" s="518"/>
      <c r="CI358" s="520"/>
      <c r="CJ358" s="518"/>
      <c r="CK358" s="520"/>
      <c r="CL358" s="518"/>
      <c r="CM358" s="520"/>
      <c r="CN358" s="518"/>
      <c r="CO358" s="520"/>
      <c r="CP358" s="518"/>
      <c r="CQ358" s="520"/>
      <c r="CR358" s="518"/>
      <c r="CS358" s="520"/>
      <c r="CT358" s="518"/>
      <c r="CU358" s="520"/>
      <c r="CV358" s="518"/>
      <c r="CW358" s="520"/>
      <c r="CX358" s="518"/>
      <c r="CY358" s="520"/>
      <c r="CZ358" s="518"/>
      <c r="DA358" s="520"/>
      <c r="DB358" s="518"/>
      <c r="DC358" s="520"/>
      <c r="DD358" s="518"/>
      <c r="DE358" s="520"/>
      <c r="DF358" s="518"/>
      <c r="DG358" s="520"/>
      <c r="DH358" s="518"/>
      <c r="DI358" s="520"/>
      <c r="DJ358" s="518"/>
      <c r="DK358" s="520"/>
      <c r="DL358" s="518"/>
      <c r="DM358" s="520"/>
      <c r="DN358" s="518"/>
      <c r="DO358" s="520"/>
      <c r="DP358" s="518"/>
      <c r="DQ358" s="520"/>
      <c r="DR358" s="518"/>
      <c r="DS358" s="520"/>
      <c r="DT358" s="518"/>
      <c r="DU358" s="520"/>
      <c r="DV358" s="518"/>
      <c r="DW358" s="520"/>
      <c r="DX358" s="518"/>
      <c r="DY358" s="520"/>
      <c r="DZ358" s="518"/>
      <c r="EA358" s="520"/>
      <c r="EB358" s="518"/>
      <c r="EC358" s="520"/>
      <c r="ED358" s="518"/>
      <c r="EE358" s="520"/>
      <c r="EF358" s="518"/>
      <c r="EG358" s="520"/>
      <c r="EH358" s="520"/>
      <c r="EI358" s="522">
        <f>INPUT!FB319</f>
        <v>213.00000000000003</v>
      </c>
      <c r="EJ358" s="523" t="str">
        <f>INPUT!FC319</f>
        <v>NA</v>
      </c>
      <c r="EK358" s="522">
        <f>INPUT!FD319</f>
        <v>161.10000000000002</v>
      </c>
      <c r="EL358" s="523">
        <f>INPUT!FE319</f>
        <v>-24.366197183098592</v>
      </c>
      <c r="EM358" s="522">
        <f>INPUT!FF319</f>
        <v>157.10000000000002</v>
      </c>
      <c r="EN358" s="523">
        <f>INPUT!FG319</f>
        <v>-2.4829298572315306</v>
      </c>
      <c r="EO358" s="522">
        <f>INPUT!FH319</f>
        <v>142.30000000000001</v>
      </c>
      <c r="EP358" s="523">
        <f>INPUT!FI319</f>
        <v>-9.4207511139401738</v>
      </c>
      <c r="EQ358" s="522">
        <f>INPUT!FJ319</f>
        <v>122.19999999999999</v>
      </c>
      <c r="ER358" s="520">
        <f>INPUT!FK319</f>
        <v>-14.125087842586105</v>
      </c>
      <c r="ES358" s="518">
        <f>INPUT!FL319</f>
        <v>120.5</v>
      </c>
      <c r="ET358" s="520">
        <f>INPUT!FM319</f>
        <v>-1.3911620294598914</v>
      </c>
      <c r="EU358" s="518">
        <f>INPUT!FN319</f>
        <v>115.2</v>
      </c>
      <c r="EV358" s="520">
        <f>INPUT!FO319</f>
        <v>-4.3983402489626506</v>
      </c>
      <c r="EW358" s="518">
        <f>INPUT!FP319</f>
        <v>83.300000000000011</v>
      </c>
      <c r="EX358" s="520">
        <f>INPUT!FQ319</f>
        <v>-27.690972222222211</v>
      </c>
      <c r="EY358" s="518"/>
      <c r="EZ358" s="520"/>
      <c r="FA358" s="518"/>
      <c r="FB358" s="520"/>
      <c r="FC358" s="518"/>
      <c r="FD358" s="520"/>
      <c r="FE358" s="518"/>
      <c r="FF358" s="520"/>
      <c r="FG358" s="518"/>
      <c r="FH358" s="520"/>
      <c r="FI358" s="518"/>
      <c r="FJ358" s="520"/>
      <c r="FK358" s="518"/>
      <c r="FL358" s="520"/>
      <c r="FM358" s="518"/>
      <c r="FN358" s="520"/>
      <c r="FO358" s="518"/>
      <c r="FP358" s="520"/>
      <c r="FQ358" s="518"/>
      <c r="FR358" s="520"/>
      <c r="FS358" s="518"/>
      <c r="FT358" s="520"/>
      <c r="FU358" s="518"/>
      <c r="FV358" s="520"/>
      <c r="FW358" s="518"/>
      <c r="FX358" s="520"/>
      <c r="FY358" s="518"/>
      <c r="FZ358" s="520"/>
      <c r="GA358" s="523"/>
    </row>
    <row r="359" spans="1:183" ht="12.75" hidden="1" customHeight="1" outlineLevel="2" x14ac:dyDescent="0.2">
      <c r="A359" s="521" t="str">
        <f>INPUT!B320</f>
        <v xml:space="preserve">Commissions </v>
      </c>
      <c r="B359" s="522">
        <f>INPUT!M320</f>
        <v>1</v>
      </c>
      <c r="C359" s="549" t="str">
        <f>INPUT!N320</f>
        <v>NM</v>
      </c>
      <c r="D359" s="522">
        <f>INPUT!O320</f>
        <v>1.1000000000000001</v>
      </c>
      <c r="E359" s="523" t="str">
        <f>INPUT!P320</f>
        <v>NM</v>
      </c>
      <c r="F359" s="522">
        <f>INPUT!Q320</f>
        <v>0.9</v>
      </c>
      <c r="G359" s="523" t="str">
        <f>INPUT!R320</f>
        <v>NM</v>
      </c>
      <c r="H359" s="522">
        <f>INPUT!S320</f>
        <v>0.1</v>
      </c>
      <c r="I359" s="523" t="str">
        <f>INPUT!T320</f>
        <v>NM</v>
      </c>
      <c r="J359" s="522">
        <f>INPUT!U320</f>
        <v>3.6</v>
      </c>
      <c r="K359" s="523" t="str">
        <f>INPUT!V320</f>
        <v>NM</v>
      </c>
      <c r="L359" s="522">
        <f>INPUT!W320</f>
        <v>4.0999999999999996</v>
      </c>
      <c r="M359" s="523" t="str">
        <f>INPUT!X320</f>
        <v>NM</v>
      </c>
      <c r="N359" s="522">
        <f>INPUT!Y320</f>
        <v>1.5</v>
      </c>
      <c r="O359" s="523">
        <f>INPUT!Z320</f>
        <v>66.666666666666657</v>
      </c>
      <c r="P359" s="522">
        <f>INPUT!AA320</f>
        <v>1.6</v>
      </c>
      <c r="Q359" s="523" t="str">
        <f>INPUT!AB320</f>
        <v>NM</v>
      </c>
      <c r="R359" s="522">
        <f>INPUT!AC320</f>
        <v>3.6</v>
      </c>
      <c r="S359" s="523">
        <f>INPUT!AD320</f>
        <v>0</v>
      </c>
      <c r="T359" s="522">
        <f>INPUT!AE320</f>
        <v>1.8</v>
      </c>
      <c r="U359" s="523" t="str">
        <f>INPUT!AF320</f>
        <v>NM</v>
      </c>
      <c r="V359" s="522">
        <f>INPUT!AG320</f>
        <v>0.2</v>
      </c>
      <c r="W359" s="523" t="str">
        <f>INPUT!AH320</f>
        <v>NM</v>
      </c>
      <c r="X359" s="522">
        <f>INPUT!AI320</f>
        <v>-0.7</v>
      </c>
      <c r="Y359" s="523" t="str">
        <f>INPUT!AJ320</f>
        <v>NM</v>
      </c>
      <c r="Z359" s="522">
        <f>INPUT!AK320</f>
        <v>-0.1</v>
      </c>
      <c r="AA359" s="523" t="str">
        <f>INPUT!AL320</f>
        <v>NM</v>
      </c>
      <c r="AB359" s="522">
        <f>INPUT!AM320</f>
        <v>0.4</v>
      </c>
      <c r="AC359" s="523" t="str">
        <f>INPUT!AN320</f>
        <v>NM</v>
      </c>
      <c r="AD359" s="522">
        <f>INPUT!AO320</f>
        <v>0</v>
      </c>
      <c r="AE359" s="523" t="str">
        <f>INPUT!AP320</f>
        <v>NM</v>
      </c>
      <c r="AF359" s="522">
        <f>INPUT!AQ320</f>
        <v>0.8</v>
      </c>
      <c r="AG359" s="523" t="str">
        <f>INPUT!AR320</f>
        <v>NM</v>
      </c>
      <c r="AH359" s="522">
        <f>INPUT!AS320</f>
        <v>0.4</v>
      </c>
      <c r="AI359" s="523" t="str">
        <f>INPUT!AT320</f>
        <v>NM</v>
      </c>
      <c r="AJ359" s="522">
        <f>INPUT!AU320</f>
        <v>0.3</v>
      </c>
      <c r="AK359" s="523">
        <f>INPUT!AV320</f>
        <v>-25.000000000000011</v>
      </c>
      <c r="AL359" s="522">
        <f>INPUT!AW320</f>
        <v>0.4</v>
      </c>
      <c r="AM359" s="523" t="str">
        <f>INPUT!AX320</f>
        <v>NA</v>
      </c>
      <c r="AN359" s="522">
        <f>INPUT!AY320</f>
        <v>1.9</v>
      </c>
      <c r="AO359" s="520" t="str">
        <f>INPUT!AZ320</f>
        <v>NM</v>
      </c>
      <c r="AP359" s="518">
        <f>INPUT!BA320</f>
        <v>0.7</v>
      </c>
      <c r="AQ359" s="520">
        <f>INPUT!BB320</f>
        <v>74.999999999999972</v>
      </c>
      <c r="AR359" s="518">
        <f>INPUT!BC320</f>
        <v>0.4</v>
      </c>
      <c r="AS359" s="520">
        <f>INPUT!BD320</f>
        <v>33.33333333333335</v>
      </c>
      <c r="AT359" s="518">
        <f>INPUT!BE320</f>
        <v>0.4</v>
      </c>
      <c r="AU359" s="520">
        <f>INPUT!BF320</f>
        <v>0</v>
      </c>
      <c r="AV359" s="518">
        <f>INPUT!BG320</f>
        <v>0.4</v>
      </c>
      <c r="AW359" s="520" t="str">
        <f>INPUT!BH320</f>
        <v>NM</v>
      </c>
      <c r="AX359" s="518">
        <f>INPUT!BI320</f>
        <v>0.4</v>
      </c>
      <c r="AY359" s="520">
        <f>INPUT!BJ320</f>
        <v>-42.857142857142847</v>
      </c>
      <c r="AZ359" s="518">
        <f>INPUT!BK320</f>
        <v>0.3</v>
      </c>
      <c r="BA359" s="520">
        <f>INPUT!BL320</f>
        <v>-25.000000000000011</v>
      </c>
      <c r="BB359" s="518">
        <f>INPUT!BM320</f>
        <v>0.3</v>
      </c>
      <c r="BC359" s="520">
        <f>INPUT!BN320</f>
        <v>0</v>
      </c>
      <c r="BD359" s="518"/>
      <c r="BE359" s="520"/>
      <c r="BF359" s="518"/>
      <c r="BG359" s="520"/>
      <c r="BH359" s="518"/>
      <c r="BI359" s="520"/>
      <c r="BJ359" s="518"/>
      <c r="BK359" s="520"/>
      <c r="BL359" s="518"/>
      <c r="BM359" s="520"/>
      <c r="BN359" s="518"/>
      <c r="BO359" s="520"/>
      <c r="BP359" s="518"/>
      <c r="BQ359" s="520"/>
      <c r="BR359" s="518"/>
      <c r="BS359" s="520"/>
      <c r="BT359" s="518"/>
      <c r="BU359" s="520"/>
      <c r="BV359" s="518"/>
      <c r="BW359" s="520"/>
      <c r="BX359" s="518"/>
      <c r="BY359" s="520"/>
      <c r="BZ359" s="518"/>
      <c r="CA359" s="520"/>
      <c r="CB359" s="518"/>
      <c r="CC359" s="520"/>
      <c r="CD359" s="518"/>
      <c r="CE359" s="520"/>
      <c r="CF359" s="518"/>
      <c r="CG359" s="520"/>
      <c r="CH359" s="518"/>
      <c r="CI359" s="520"/>
      <c r="CJ359" s="518"/>
      <c r="CK359" s="520"/>
      <c r="CL359" s="518"/>
      <c r="CM359" s="520"/>
      <c r="CN359" s="518"/>
      <c r="CO359" s="520"/>
      <c r="CP359" s="518"/>
      <c r="CQ359" s="520"/>
      <c r="CR359" s="518"/>
      <c r="CS359" s="520"/>
      <c r="CT359" s="518"/>
      <c r="CU359" s="520"/>
      <c r="CV359" s="518"/>
      <c r="CW359" s="520"/>
      <c r="CX359" s="518"/>
      <c r="CY359" s="520"/>
      <c r="CZ359" s="518"/>
      <c r="DA359" s="520"/>
      <c r="DB359" s="518"/>
      <c r="DC359" s="520"/>
      <c r="DD359" s="518"/>
      <c r="DE359" s="520"/>
      <c r="DF359" s="518"/>
      <c r="DG359" s="520"/>
      <c r="DH359" s="518"/>
      <c r="DI359" s="520"/>
      <c r="DJ359" s="518"/>
      <c r="DK359" s="520"/>
      <c r="DL359" s="518"/>
      <c r="DM359" s="520"/>
      <c r="DN359" s="518"/>
      <c r="DO359" s="520"/>
      <c r="DP359" s="518"/>
      <c r="DQ359" s="520"/>
      <c r="DR359" s="518"/>
      <c r="DS359" s="520"/>
      <c r="DT359" s="518"/>
      <c r="DU359" s="520"/>
      <c r="DV359" s="518"/>
      <c r="DW359" s="520"/>
      <c r="DX359" s="518"/>
      <c r="DY359" s="520"/>
      <c r="DZ359" s="518"/>
      <c r="EA359" s="520"/>
      <c r="EB359" s="518"/>
      <c r="EC359" s="520"/>
      <c r="ED359" s="518"/>
      <c r="EE359" s="520"/>
      <c r="EF359" s="518"/>
      <c r="EG359" s="520"/>
      <c r="EH359" s="520"/>
      <c r="EI359" s="522">
        <f>INPUT!FB320</f>
        <v>5.4999999999999991</v>
      </c>
      <c r="EJ359" s="523" t="str">
        <f>INPUT!FC320</f>
        <v>NA</v>
      </c>
      <c r="EK359" s="522">
        <f>INPUT!FD320</f>
        <v>3.1</v>
      </c>
      <c r="EL359" s="523">
        <f>INPUT!FE320</f>
        <v>-43.636363636363626</v>
      </c>
      <c r="EM359" s="522">
        <f>INPUT!FF320</f>
        <v>10.799999999999999</v>
      </c>
      <c r="EN359" s="523" t="str">
        <f>INPUT!FG320</f>
        <v>NM</v>
      </c>
      <c r="EO359" s="522">
        <f>INPUT!FH320</f>
        <v>4.9000000000000004</v>
      </c>
      <c r="EP359" s="523" t="str">
        <f>INPUT!FI320</f>
        <v>NM</v>
      </c>
      <c r="EQ359" s="522">
        <f>INPUT!FJ320</f>
        <v>1.1000000000000001</v>
      </c>
      <c r="ER359" s="520" t="str">
        <f>INPUT!FK320</f>
        <v>NM</v>
      </c>
      <c r="ES359" s="518">
        <f>INPUT!FL320</f>
        <v>3</v>
      </c>
      <c r="ET359" s="520" t="str">
        <f>INPUT!FM320</f>
        <v>NM</v>
      </c>
      <c r="EU359" s="518">
        <f>INPUT!FN320</f>
        <v>1.9</v>
      </c>
      <c r="EV359" s="520">
        <f>INPUT!FO320</f>
        <v>-36.666666666666671</v>
      </c>
      <c r="EW359" s="518">
        <f>INPUT!FP320</f>
        <v>1</v>
      </c>
      <c r="EX359" s="520">
        <f>INPUT!FQ320</f>
        <v>-47.368421052631582</v>
      </c>
      <c r="EY359" s="518"/>
      <c r="EZ359" s="520"/>
      <c r="FA359" s="518"/>
      <c r="FB359" s="520"/>
      <c r="FC359" s="518"/>
      <c r="FD359" s="520"/>
      <c r="FE359" s="518"/>
      <c r="FF359" s="520"/>
      <c r="FG359" s="518"/>
      <c r="FH359" s="520"/>
      <c r="FI359" s="518"/>
      <c r="FJ359" s="520"/>
      <c r="FK359" s="518"/>
      <c r="FL359" s="520"/>
      <c r="FM359" s="518"/>
      <c r="FN359" s="520"/>
      <c r="FO359" s="518"/>
      <c r="FP359" s="520"/>
      <c r="FQ359" s="518"/>
      <c r="FR359" s="520"/>
      <c r="FS359" s="518"/>
      <c r="FT359" s="520"/>
      <c r="FU359" s="518"/>
      <c r="FV359" s="520"/>
      <c r="FW359" s="518"/>
      <c r="FX359" s="520"/>
      <c r="FY359" s="518"/>
      <c r="FZ359" s="520"/>
      <c r="GA359" s="523"/>
    </row>
    <row r="360" spans="1:183" ht="12.75" hidden="1" customHeight="1" outlineLevel="2" x14ac:dyDescent="0.2">
      <c r="A360" s="521" t="str">
        <f>INPUT!B321</f>
        <v>Net Change in DPAC</v>
      </c>
      <c r="B360" s="522">
        <f>INPUT!M321</f>
        <v>0</v>
      </c>
      <c r="C360" s="549" t="str">
        <f>INPUT!N321</f>
        <v>NM</v>
      </c>
      <c r="D360" s="522">
        <f>INPUT!O321</f>
        <v>0.2</v>
      </c>
      <c r="E360" s="523" t="str">
        <f>INPUT!P321</f>
        <v>NM</v>
      </c>
      <c r="F360" s="522">
        <f>INPUT!Q321</f>
        <v>0</v>
      </c>
      <c r="G360" s="523" t="str">
        <f>INPUT!R321</f>
        <v>NM</v>
      </c>
      <c r="H360" s="522">
        <f>INPUT!S321</f>
        <v>-0.1</v>
      </c>
      <c r="I360" s="523" t="str">
        <f>INPUT!T321</f>
        <v>NM</v>
      </c>
      <c r="J360" s="522">
        <f>INPUT!U321</f>
        <v>0</v>
      </c>
      <c r="K360" s="523" t="str">
        <f>INPUT!V321</f>
        <v>NA</v>
      </c>
      <c r="L360" s="522">
        <f>INPUT!W321</f>
        <v>0</v>
      </c>
      <c r="M360" s="523" t="str">
        <f>INPUT!X321</f>
        <v>NM</v>
      </c>
      <c r="N360" s="522">
        <f>INPUT!Y321</f>
        <v>0.1</v>
      </c>
      <c r="O360" s="523" t="str">
        <f>INPUT!Z321</f>
        <v>NA</v>
      </c>
      <c r="P360" s="522">
        <f>INPUT!AA321</f>
        <v>0</v>
      </c>
      <c r="Q360" s="523" t="str">
        <f>INPUT!AB321</f>
        <v>NM</v>
      </c>
      <c r="R360" s="522">
        <f>INPUT!AC321</f>
        <v>0</v>
      </c>
      <c r="S360" s="523" t="str">
        <f>INPUT!AD321</f>
        <v>NA</v>
      </c>
      <c r="T360" s="522">
        <f>INPUT!AE321</f>
        <v>0</v>
      </c>
      <c r="U360" s="523" t="str">
        <f>INPUT!AF321</f>
        <v>NA</v>
      </c>
      <c r="V360" s="522">
        <f>INPUT!AG321</f>
        <v>0.1</v>
      </c>
      <c r="W360" s="523">
        <f>INPUT!AH321</f>
        <v>0</v>
      </c>
      <c r="X360" s="522">
        <f>INPUT!AI321</f>
        <v>0</v>
      </c>
      <c r="Y360" s="523" t="str">
        <f>INPUT!AJ321</f>
        <v>NA</v>
      </c>
      <c r="Z360" s="522">
        <f>INPUT!AK321</f>
        <v>0</v>
      </c>
      <c r="AA360" s="523" t="str">
        <f>INPUT!AL321</f>
        <v>NA</v>
      </c>
      <c r="AB360" s="522">
        <f>INPUT!AM321</f>
        <v>0.1</v>
      </c>
      <c r="AC360" s="523" t="str">
        <f>INPUT!AN321</f>
        <v>NA</v>
      </c>
      <c r="AD360" s="522">
        <f>INPUT!AO321</f>
        <v>-0.1</v>
      </c>
      <c r="AE360" s="523" t="str">
        <f>INPUT!AP321</f>
        <v>NM</v>
      </c>
      <c r="AF360" s="522">
        <f>INPUT!AQ321</f>
        <v>0.5</v>
      </c>
      <c r="AG360" s="523" t="str">
        <f>INPUT!AR321</f>
        <v>NA</v>
      </c>
      <c r="AH360" s="522">
        <f>INPUT!AS321</f>
        <v>0</v>
      </c>
      <c r="AI360" s="523" t="str">
        <f>INPUT!AT321</f>
        <v>NA</v>
      </c>
      <c r="AJ360" s="522">
        <f>INPUT!AU321</f>
        <v>0</v>
      </c>
      <c r="AK360" s="523" t="str">
        <f>INPUT!AV321</f>
        <v>NM</v>
      </c>
      <c r="AL360" s="522">
        <f>INPUT!AW321</f>
        <v>0</v>
      </c>
      <c r="AM360" s="523" t="str">
        <f>INPUT!AX321</f>
        <v>NM</v>
      </c>
      <c r="AN360" s="522">
        <f>INPUT!AY321</f>
        <v>0</v>
      </c>
      <c r="AO360" s="520" t="str">
        <f>INPUT!AZ321</f>
        <v>NM</v>
      </c>
      <c r="AP360" s="518">
        <f>INPUT!BA321</f>
        <v>0</v>
      </c>
      <c r="AQ360" s="520" t="str">
        <f>INPUT!BB321</f>
        <v>NA</v>
      </c>
      <c r="AR360" s="518">
        <f>INPUT!BC321</f>
        <v>0</v>
      </c>
      <c r="AS360" s="520" t="str">
        <f>INPUT!BD321</f>
        <v>NA</v>
      </c>
      <c r="AT360" s="518">
        <f>INPUT!BE321</f>
        <v>0</v>
      </c>
      <c r="AU360" s="520" t="str">
        <f>INPUT!BF321</f>
        <v>NA</v>
      </c>
      <c r="AV360" s="518">
        <f>INPUT!BG321</f>
        <v>0</v>
      </c>
      <c r="AW360" s="520" t="str">
        <f>INPUT!BH321</f>
        <v>NA</v>
      </c>
      <c r="AX360" s="518">
        <f>INPUT!BI321</f>
        <v>0</v>
      </c>
      <c r="AY360" s="520" t="str">
        <f>INPUT!BJ321</f>
        <v>NA</v>
      </c>
      <c r="AZ360" s="518">
        <f>INPUT!BK321</f>
        <v>0</v>
      </c>
      <c r="BA360" s="520" t="str">
        <f>INPUT!BL321</f>
        <v>NA</v>
      </c>
      <c r="BB360" s="518">
        <f>INPUT!BM321</f>
        <v>0</v>
      </c>
      <c r="BC360" s="520">
        <f>INPUT!BN321</f>
        <v>0</v>
      </c>
      <c r="BD360" s="518"/>
      <c r="BE360" s="520"/>
      <c r="BF360" s="518"/>
      <c r="BG360" s="520"/>
      <c r="BH360" s="518"/>
      <c r="BI360" s="520"/>
      <c r="BJ360" s="518"/>
      <c r="BK360" s="520"/>
      <c r="BL360" s="518"/>
      <c r="BM360" s="520"/>
      <c r="BN360" s="518"/>
      <c r="BO360" s="520"/>
      <c r="BP360" s="518"/>
      <c r="BQ360" s="520"/>
      <c r="BR360" s="518"/>
      <c r="BS360" s="520"/>
      <c r="BT360" s="518"/>
      <c r="BU360" s="520"/>
      <c r="BV360" s="518"/>
      <c r="BW360" s="520"/>
      <c r="BX360" s="518"/>
      <c r="BY360" s="520"/>
      <c r="BZ360" s="518"/>
      <c r="CA360" s="520"/>
      <c r="CB360" s="518"/>
      <c r="CC360" s="520"/>
      <c r="CD360" s="518"/>
      <c r="CE360" s="520"/>
      <c r="CF360" s="518"/>
      <c r="CG360" s="520"/>
      <c r="CH360" s="518"/>
      <c r="CI360" s="520"/>
      <c r="CJ360" s="518"/>
      <c r="CK360" s="520"/>
      <c r="CL360" s="518"/>
      <c r="CM360" s="520"/>
      <c r="CN360" s="518"/>
      <c r="CO360" s="520"/>
      <c r="CP360" s="518"/>
      <c r="CQ360" s="520"/>
      <c r="CR360" s="518"/>
      <c r="CS360" s="520"/>
      <c r="CT360" s="518"/>
      <c r="CU360" s="520"/>
      <c r="CV360" s="518"/>
      <c r="CW360" s="520"/>
      <c r="CX360" s="518"/>
      <c r="CY360" s="520"/>
      <c r="CZ360" s="518"/>
      <c r="DA360" s="520"/>
      <c r="DB360" s="518"/>
      <c r="DC360" s="520"/>
      <c r="DD360" s="518"/>
      <c r="DE360" s="520"/>
      <c r="DF360" s="518"/>
      <c r="DG360" s="520"/>
      <c r="DH360" s="518"/>
      <c r="DI360" s="520"/>
      <c r="DJ360" s="518"/>
      <c r="DK360" s="520"/>
      <c r="DL360" s="518"/>
      <c r="DM360" s="520"/>
      <c r="DN360" s="518"/>
      <c r="DO360" s="520"/>
      <c r="DP360" s="518"/>
      <c r="DQ360" s="520"/>
      <c r="DR360" s="518"/>
      <c r="DS360" s="520"/>
      <c r="DT360" s="518"/>
      <c r="DU360" s="520"/>
      <c r="DV360" s="518"/>
      <c r="DW360" s="520"/>
      <c r="DX360" s="518"/>
      <c r="DY360" s="520"/>
      <c r="DZ360" s="518"/>
      <c r="EA360" s="520"/>
      <c r="EB360" s="518"/>
      <c r="EC360" s="520"/>
      <c r="ED360" s="518"/>
      <c r="EE360" s="520"/>
      <c r="EF360" s="518"/>
      <c r="EG360" s="520"/>
      <c r="EH360" s="520"/>
      <c r="EI360" s="522">
        <f>INPUT!FB321</f>
        <v>30.3</v>
      </c>
      <c r="EJ360" s="523" t="str">
        <f>INPUT!FC321</f>
        <v>NA</v>
      </c>
      <c r="EK360" s="522">
        <f>INPUT!FD321</f>
        <v>0.1</v>
      </c>
      <c r="EL360" s="523" t="str">
        <f>INPUT!FE321</f>
        <v>NM</v>
      </c>
      <c r="EM360" s="522">
        <f>INPUT!FF321</f>
        <v>0.1</v>
      </c>
      <c r="EN360" s="523">
        <f>INPUT!FG321</f>
        <v>0</v>
      </c>
      <c r="EO360" s="522">
        <f>INPUT!FH321</f>
        <v>0.1</v>
      </c>
      <c r="EP360" s="523">
        <f>INPUT!FI321</f>
        <v>0</v>
      </c>
      <c r="EQ360" s="522">
        <f>INPUT!FJ321</f>
        <v>0.5</v>
      </c>
      <c r="ER360" s="520" t="str">
        <f>INPUT!FK321</f>
        <v>NM</v>
      </c>
      <c r="ES360" s="518">
        <f>INPUT!FL321</f>
        <v>0</v>
      </c>
      <c r="ET360" s="520" t="str">
        <f>INPUT!FM321</f>
        <v>NM</v>
      </c>
      <c r="EU360" s="518">
        <f>INPUT!FN321</f>
        <v>0</v>
      </c>
      <c r="EV360" s="520" t="str">
        <f>INPUT!FO321</f>
        <v>NA</v>
      </c>
      <c r="EW360" s="518">
        <f>INPUT!FP321</f>
        <v>0</v>
      </c>
      <c r="EX360" s="520" t="str">
        <f>INPUT!FQ321</f>
        <v>NA</v>
      </c>
      <c r="EY360" s="518"/>
      <c r="EZ360" s="520"/>
      <c r="FA360" s="518"/>
      <c r="FB360" s="520"/>
      <c r="FC360" s="518"/>
      <c r="FD360" s="520"/>
      <c r="FE360" s="518"/>
      <c r="FF360" s="520"/>
      <c r="FG360" s="518"/>
      <c r="FH360" s="520"/>
      <c r="FI360" s="518"/>
      <c r="FJ360" s="520"/>
      <c r="FK360" s="518"/>
      <c r="FL360" s="520"/>
      <c r="FM360" s="518"/>
      <c r="FN360" s="520"/>
      <c r="FO360" s="518"/>
      <c r="FP360" s="520"/>
      <c r="FQ360" s="518"/>
      <c r="FR360" s="520"/>
      <c r="FS360" s="518"/>
      <c r="FT360" s="520"/>
      <c r="FU360" s="518"/>
      <c r="FV360" s="520"/>
      <c r="FW360" s="518"/>
      <c r="FX360" s="520"/>
      <c r="FY360" s="518"/>
      <c r="FZ360" s="520"/>
      <c r="GA360" s="523"/>
    </row>
    <row r="361" spans="1:183" ht="12.75" hidden="1" customHeight="1" outlineLevel="2" x14ac:dyDescent="0.2">
      <c r="A361" s="521" t="str">
        <f>INPUT!B322</f>
        <v>Operating Expenses</v>
      </c>
      <c r="B361" s="522">
        <f>INPUT!M322</f>
        <v>44.2</v>
      </c>
      <c r="C361" s="549">
        <f>INPUT!N322</f>
        <v>-1.5590200445434244</v>
      </c>
      <c r="D361" s="522">
        <f>INPUT!O322</f>
        <v>45.7</v>
      </c>
      <c r="E361" s="523">
        <f>INPUT!P322</f>
        <v>-4.1928721174004142</v>
      </c>
      <c r="F361" s="522">
        <f>INPUT!Q322</f>
        <v>44</v>
      </c>
      <c r="G361" s="523">
        <f>INPUT!R322</f>
        <v>-2.8697571743929284</v>
      </c>
      <c r="H361" s="522">
        <f>INPUT!S322</f>
        <v>43.6</v>
      </c>
      <c r="I361" s="523">
        <f>INPUT!T322</f>
        <v>0.46082949308756671</v>
      </c>
      <c r="J361" s="522">
        <f>INPUT!U322</f>
        <v>41.7</v>
      </c>
      <c r="K361" s="523">
        <f>INPUT!V322</f>
        <v>-5.65610859728507</v>
      </c>
      <c r="L361" s="522">
        <f>INPUT!W322</f>
        <v>40.799999999999997</v>
      </c>
      <c r="M361" s="523">
        <f>INPUT!X322</f>
        <v>-10.722100656455158</v>
      </c>
      <c r="N361" s="522">
        <f>INPUT!Y322</f>
        <v>44</v>
      </c>
      <c r="O361" s="523">
        <f>INPUT!Z322</f>
        <v>0</v>
      </c>
      <c r="P361" s="522">
        <f>INPUT!AA322</f>
        <v>42.2</v>
      </c>
      <c r="Q361" s="523">
        <f>INPUT!AB322</f>
        <v>-3.2110091743119185</v>
      </c>
      <c r="R361" s="522">
        <f>INPUT!AC322</f>
        <v>45.8</v>
      </c>
      <c r="S361" s="523">
        <f>INPUT!AD322</f>
        <v>9.8321342925659305</v>
      </c>
      <c r="T361" s="522">
        <f>INPUT!AE322</f>
        <v>42.2</v>
      </c>
      <c r="U361" s="523">
        <f>INPUT!AF322</f>
        <v>3.4313725490196179</v>
      </c>
      <c r="V361" s="522">
        <f>INPUT!AG322</f>
        <v>43.4</v>
      </c>
      <c r="W361" s="523">
        <f>INPUT!AH322</f>
        <v>-1.3636363636363669</v>
      </c>
      <c r="X361" s="522">
        <f>INPUT!AI322</f>
        <v>42.8</v>
      </c>
      <c r="Y361" s="523">
        <f>INPUT!AJ322</f>
        <v>1.42180094786728</v>
      </c>
      <c r="Z361" s="522">
        <f>INPUT!AK322</f>
        <v>40.799999999999997</v>
      </c>
      <c r="AA361" s="523">
        <f>INPUT!AL322</f>
        <v>-10.917030567685593</v>
      </c>
      <c r="AB361" s="522">
        <f>INPUT!AM322</f>
        <v>43.1</v>
      </c>
      <c r="AC361" s="523">
        <f>INPUT!AN322</f>
        <v>2.1327014218009532</v>
      </c>
      <c r="AD361" s="522">
        <f>INPUT!AO322</f>
        <v>41.3</v>
      </c>
      <c r="AE361" s="523">
        <f>INPUT!AP322</f>
        <v>-4.8387096774193612</v>
      </c>
      <c r="AF361" s="522">
        <f>INPUT!AQ322</f>
        <v>2</v>
      </c>
      <c r="AG361" s="523" t="str">
        <f>INPUT!AR322</f>
        <v>NM</v>
      </c>
      <c r="AH361" s="522">
        <f>INPUT!AS322</f>
        <v>1.6</v>
      </c>
      <c r="AI361" s="523" t="str">
        <f>INPUT!AT322</f>
        <v>NM</v>
      </c>
      <c r="AJ361" s="522">
        <f>INPUT!AU322</f>
        <v>44.7</v>
      </c>
      <c r="AK361" s="523">
        <f>INPUT!AV322</f>
        <v>3.7122969837587005</v>
      </c>
      <c r="AL361" s="522">
        <f>INPUT!AW322</f>
        <v>43.7</v>
      </c>
      <c r="AM361" s="523">
        <f>INPUT!AX322</f>
        <v>5.8111380145278613</v>
      </c>
      <c r="AN361" s="522">
        <f>INPUT!AY322</f>
        <v>-0.6</v>
      </c>
      <c r="AO361" s="520" t="str">
        <f>INPUT!AZ322</f>
        <v>NM</v>
      </c>
      <c r="AP361" s="518">
        <f>INPUT!BA322</f>
        <v>1.5</v>
      </c>
      <c r="AQ361" s="520">
        <f>INPUT!BB322</f>
        <v>-6.25</v>
      </c>
      <c r="AR361" s="518">
        <f>INPUT!BC322</f>
        <v>0.8</v>
      </c>
      <c r="AS361" s="520" t="str">
        <f>INPUT!BD322</f>
        <v>NM</v>
      </c>
      <c r="AT361" s="518">
        <f>INPUT!BE322</f>
        <v>0.7</v>
      </c>
      <c r="AU361" s="520" t="str">
        <f>INPUT!BF322</f>
        <v>NM</v>
      </c>
      <c r="AV361" s="518">
        <f>INPUT!BG322</f>
        <v>1</v>
      </c>
      <c r="AW361" s="520" t="str">
        <f>INPUT!BH322</f>
        <v>NM</v>
      </c>
      <c r="AX361" s="518">
        <f>INPUT!BI322</f>
        <v>2.1</v>
      </c>
      <c r="AY361" s="520">
        <f>INPUT!BJ322</f>
        <v>40.000000000000014</v>
      </c>
      <c r="AZ361" s="518">
        <f>INPUT!BK322</f>
        <v>2.4</v>
      </c>
      <c r="BA361" s="520" t="str">
        <f>INPUT!BL322</f>
        <v>NM</v>
      </c>
      <c r="BB361" s="518">
        <f>INPUT!BM322</f>
        <v>3</v>
      </c>
      <c r="BC361" s="520">
        <f>INPUT!BN322</f>
        <v>0</v>
      </c>
      <c r="BD361" s="518"/>
      <c r="BE361" s="520"/>
      <c r="BF361" s="518"/>
      <c r="BG361" s="520"/>
      <c r="BH361" s="518"/>
      <c r="BI361" s="520"/>
      <c r="BJ361" s="518"/>
      <c r="BK361" s="520"/>
      <c r="BL361" s="518"/>
      <c r="BM361" s="520"/>
      <c r="BN361" s="518"/>
      <c r="BO361" s="520"/>
      <c r="BP361" s="518"/>
      <c r="BQ361" s="520"/>
      <c r="BR361" s="518"/>
      <c r="BS361" s="520"/>
      <c r="BT361" s="518"/>
      <c r="BU361" s="520"/>
      <c r="BV361" s="518"/>
      <c r="BW361" s="520"/>
      <c r="BX361" s="518"/>
      <c r="BY361" s="520"/>
      <c r="BZ361" s="518"/>
      <c r="CA361" s="520"/>
      <c r="CB361" s="518"/>
      <c r="CC361" s="520"/>
      <c r="CD361" s="518"/>
      <c r="CE361" s="520"/>
      <c r="CF361" s="518"/>
      <c r="CG361" s="520"/>
      <c r="CH361" s="518"/>
      <c r="CI361" s="520"/>
      <c r="CJ361" s="518"/>
      <c r="CK361" s="520"/>
      <c r="CL361" s="518"/>
      <c r="CM361" s="520"/>
      <c r="CN361" s="518"/>
      <c r="CO361" s="520"/>
      <c r="CP361" s="518"/>
      <c r="CQ361" s="520"/>
      <c r="CR361" s="518"/>
      <c r="CS361" s="520"/>
      <c r="CT361" s="518"/>
      <c r="CU361" s="520"/>
      <c r="CV361" s="518"/>
      <c r="CW361" s="520"/>
      <c r="CX361" s="518"/>
      <c r="CY361" s="520"/>
      <c r="CZ361" s="518"/>
      <c r="DA361" s="520"/>
      <c r="DB361" s="518"/>
      <c r="DC361" s="520"/>
      <c r="DD361" s="518"/>
      <c r="DE361" s="520"/>
      <c r="DF361" s="518"/>
      <c r="DG361" s="520"/>
      <c r="DH361" s="518"/>
      <c r="DI361" s="520"/>
      <c r="DJ361" s="518"/>
      <c r="DK361" s="520"/>
      <c r="DL361" s="518"/>
      <c r="DM361" s="520"/>
      <c r="DN361" s="518"/>
      <c r="DO361" s="520"/>
      <c r="DP361" s="518"/>
      <c r="DQ361" s="520"/>
      <c r="DR361" s="518"/>
      <c r="DS361" s="520"/>
      <c r="DT361" s="518"/>
      <c r="DU361" s="520"/>
      <c r="DV361" s="518"/>
      <c r="DW361" s="520"/>
      <c r="DX361" s="518"/>
      <c r="DY361" s="520"/>
      <c r="DZ361" s="518"/>
      <c r="EA361" s="520"/>
      <c r="EB361" s="518"/>
      <c r="EC361" s="520"/>
      <c r="ED361" s="518"/>
      <c r="EE361" s="520"/>
      <c r="EF361" s="518"/>
      <c r="EG361" s="520"/>
      <c r="EH361" s="520"/>
      <c r="EI361" s="522">
        <f>INPUT!FB322</f>
        <v>181.29999999999998</v>
      </c>
      <c r="EJ361" s="523" t="str">
        <f>INPUT!FC322</f>
        <v>NA</v>
      </c>
      <c r="EK361" s="522">
        <f>INPUT!FD322</f>
        <v>177.5</v>
      </c>
      <c r="EL361" s="523">
        <f>INPUT!FE322</f>
        <v>-2.0959735245449473</v>
      </c>
      <c r="EM361" s="522">
        <f>INPUT!FF322</f>
        <v>168.7</v>
      </c>
      <c r="EN361" s="523">
        <f>INPUT!FG322</f>
        <v>-4.9577464788732488</v>
      </c>
      <c r="EO361" s="522">
        <f>INPUT!FH322</f>
        <v>174.2</v>
      </c>
      <c r="EP361" s="523">
        <f>INPUT!FI322</f>
        <v>3.2602252519265074</v>
      </c>
      <c r="EQ361" s="522">
        <f>INPUT!FJ322</f>
        <v>127.2</v>
      </c>
      <c r="ER361" s="520">
        <f>INPUT!FK322</f>
        <v>-26.980482204362801</v>
      </c>
      <c r="ES361" s="518">
        <f>INPUT!FL322</f>
        <v>89.4</v>
      </c>
      <c r="ET361" s="520">
        <f>INPUT!FM322</f>
        <v>-29.716981132075471</v>
      </c>
      <c r="EU361" s="518">
        <f>INPUT!FN322</f>
        <v>4</v>
      </c>
      <c r="EV361" s="520" t="str">
        <f>INPUT!FO322</f>
        <v>NM</v>
      </c>
      <c r="EW361" s="518">
        <f>INPUT!FP322</f>
        <v>7.5</v>
      </c>
      <c r="EX361" s="520">
        <f>INPUT!FQ322</f>
        <v>87.5</v>
      </c>
      <c r="EY361" s="518"/>
      <c r="EZ361" s="520"/>
      <c r="FA361" s="518"/>
      <c r="FB361" s="520"/>
      <c r="FC361" s="518"/>
      <c r="FD361" s="520"/>
      <c r="FE361" s="518"/>
      <c r="FF361" s="520"/>
      <c r="FG361" s="518"/>
      <c r="FH361" s="520"/>
      <c r="FI361" s="518"/>
      <c r="FJ361" s="520"/>
      <c r="FK361" s="518"/>
      <c r="FL361" s="520"/>
      <c r="FM361" s="518"/>
      <c r="FN361" s="520"/>
      <c r="FO361" s="518"/>
      <c r="FP361" s="520"/>
      <c r="FQ361" s="518"/>
      <c r="FR361" s="520"/>
      <c r="FS361" s="518"/>
      <c r="FT361" s="520"/>
      <c r="FU361" s="518"/>
      <c r="FV361" s="520"/>
      <c r="FW361" s="518"/>
      <c r="FX361" s="520"/>
      <c r="FY361" s="518"/>
      <c r="FZ361" s="520"/>
      <c r="GA361" s="523"/>
    </row>
    <row r="362" spans="1:183" ht="12.75" hidden="1" customHeight="1" outlineLevel="2" x14ac:dyDescent="0.2">
      <c r="A362" s="521" t="str">
        <f>INPUT!B323</f>
        <v xml:space="preserve"> Total Benefits and Expenses</v>
      </c>
      <c r="B362" s="522">
        <f>INPUT!M323</f>
        <v>89.7</v>
      </c>
      <c r="C362" s="549">
        <f>INPUT!N323</f>
        <v>-31.211656441717793</v>
      </c>
      <c r="D362" s="522">
        <f>INPUT!O323</f>
        <v>83.700000000000017</v>
      </c>
      <c r="E362" s="523">
        <f>INPUT!P323</f>
        <v>-33.571428571428562</v>
      </c>
      <c r="F362" s="522">
        <f>INPUT!Q323</f>
        <v>88.6</v>
      </c>
      <c r="G362" s="523">
        <f>INPUT!R323</f>
        <v>-25.042301184433157</v>
      </c>
      <c r="H362" s="522">
        <f>INPUT!S323</f>
        <v>79.800000000000011</v>
      </c>
      <c r="I362" s="523">
        <f>INPUT!T323</f>
        <v>43.783783783783804</v>
      </c>
      <c r="J362" s="522">
        <f>INPUT!U323</f>
        <v>84.5</v>
      </c>
      <c r="K362" s="523">
        <f>INPUT!V323</f>
        <v>-5.7971014492753659</v>
      </c>
      <c r="L362" s="522">
        <f>INPUT!W323</f>
        <v>86.8</v>
      </c>
      <c r="M362" s="523">
        <f>INPUT!X323</f>
        <v>3.7037037037036757</v>
      </c>
      <c r="N362" s="522">
        <f>INPUT!Y323</f>
        <v>81</v>
      </c>
      <c r="O362" s="523">
        <f>INPUT!Z323</f>
        <v>-8.5778781038374667</v>
      </c>
      <c r="P362" s="522">
        <f>INPUT!AA323</f>
        <v>84.4</v>
      </c>
      <c r="Q362" s="523">
        <f>INPUT!AB323</f>
        <v>5.7644110275689053</v>
      </c>
      <c r="R362" s="522">
        <f>INPUT!AC323</f>
        <v>86</v>
      </c>
      <c r="S362" s="523">
        <f>INPUT!AD323</f>
        <v>1.7751479289940919</v>
      </c>
      <c r="T362" s="522">
        <f>INPUT!AE323</f>
        <v>73</v>
      </c>
      <c r="U362" s="523">
        <f>INPUT!AF323</f>
        <v>-15.89861751152073</v>
      </c>
      <c r="V362" s="522">
        <f>INPUT!AG323</f>
        <v>83.4</v>
      </c>
      <c r="W362" s="523">
        <f>INPUT!AH323</f>
        <v>2.9629629629629672</v>
      </c>
      <c r="X362" s="522">
        <f>INPUT!AI323</f>
        <v>79.099999999999994</v>
      </c>
      <c r="Y362" s="523">
        <f>INPUT!AJ323</f>
        <v>-6.2796208530805808</v>
      </c>
      <c r="Z362" s="522">
        <f>INPUT!AK323</f>
        <v>73.699999999999989</v>
      </c>
      <c r="AA362" s="523">
        <f>INPUT!AL323</f>
        <v>-14.302325581395358</v>
      </c>
      <c r="AB362" s="522">
        <f>INPUT!AM323</f>
        <v>73</v>
      </c>
      <c r="AC362" s="523">
        <f>INPUT!AN323</f>
        <v>0</v>
      </c>
      <c r="AD362" s="522">
        <f>INPUT!AO323</f>
        <v>67.899999999999991</v>
      </c>
      <c r="AE362" s="523">
        <f>INPUT!AP323</f>
        <v>-18.58513189448443</v>
      </c>
      <c r="AF362" s="522">
        <f>INPUT!AQ323</f>
        <v>36.4</v>
      </c>
      <c r="AG362" s="523" t="str">
        <f>INPUT!AR323</f>
        <v>NM</v>
      </c>
      <c r="AH362" s="522">
        <f>INPUT!AS323</f>
        <v>33.4</v>
      </c>
      <c r="AI362" s="523" t="str">
        <f>INPUT!AT323</f>
        <v>NM</v>
      </c>
      <c r="AJ362" s="522">
        <f>INPUT!AU323</f>
        <v>75.600000000000009</v>
      </c>
      <c r="AK362" s="523">
        <f>INPUT!AV323</f>
        <v>3.561643835616457</v>
      </c>
      <c r="AL362" s="522">
        <f>INPUT!AW323</f>
        <v>71.400000000000006</v>
      </c>
      <c r="AM362" s="523">
        <f>INPUT!AX323</f>
        <v>5.1546391752577581</v>
      </c>
      <c r="AN362" s="522">
        <f>INPUT!AY323</f>
        <v>32.5</v>
      </c>
      <c r="AO362" s="520">
        <f>INPUT!AZ323</f>
        <v>-10.71428571428571</v>
      </c>
      <c r="AP362" s="518">
        <f>INPUT!BA323</f>
        <v>33.800000000000004</v>
      </c>
      <c r="AQ362" s="520">
        <f>INPUT!BB323</f>
        <v>1.1976047904191711</v>
      </c>
      <c r="AR362" s="518">
        <f>INPUT!BC323</f>
        <v>31.8</v>
      </c>
      <c r="AS362" s="520" t="str">
        <f>INPUT!BD323</f>
        <v>NM</v>
      </c>
      <c r="AT362" s="518">
        <f>INPUT!BE323</f>
        <v>26.599999999999998</v>
      </c>
      <c r="AU362" s="520" t="str">
        <f>INPUT!BF323</f>
        <v>NM</v>
      </c>
      <c r="AV362" s="518">
        <f>INPUT!BG323</f>
        <v>28.9</v>
      </c>
      <c r="AW362" s="520">
        <f>INPUT!BH323</f>
        <v>-11.076923076923084</v>
      </c>
      <c r="AX362" s="518">
        <f>INPUT!BI323</f>
        <v>30.7</v>
      </c>
      <c r="AY362" s="520">
        <f>INPUT!BJ323</f>
        <v>-9.1715976331361091</v>
      </c>
      <c r="AZ362" s="518">
        <f>INPUT!BK323</f>
        <v>30.7</v>
      </c>
      <c r="BA362" s="520">
        <f>INPUT!BL323</f>
        <v>-3.4591194968553451</v>
      </c>
      <c r="BB362" s="518">
        <f>INPUT!BM323</f>
        <v>30.400000000000002</v>
      </c>
      <c r="BC362" s="520">
        <f>INPUT!BN323</f>
        <v>0</v>
      </c>
      <c r="BD362" s="518"/>
      <c r="BE362" s="520"/>
      <c r="BF362" s="518"/>
      <c r="BG362" s="520"/>
      <c r="BH362" s="518"/>
      <c r="BI362" s="520"/>
      <c r="BJ362" s="518"/>
      <c r="BK362" s="520"/>
      <c r="BL362" s="518"/>
      <c r="BM362" s="520"/>
      <c r="BN362" s="518"/>
      <c r="BO362" s="520"/>
      <c r="BP362" s="518"/>
      <c r="BQ362" s="520"/>
      <c r="BR362" s="518"/>
      <c r="BS362" s="520"/>
      <c r="BT362" s="518"/>
      <c r="BU362" s="520"/>
      <c r="BV362" s="518"/>
      <c r="BW362" s="520"/>
      <c r="BX362" s="518"/>
      <c r="BY362" s="520"/>
      <c r="BZ362" s="518"/>
      <c r="CA362" s="520"/>
      <c r="CB362" s="518"/>
      <c r="CC362" s="520"/>
      <c r="CD362" s="518"/>
      <c r="CE362" s="520"/>
      <c r="CF362" s="518"/>
      <c r="CG362" s="520"/>
      <c r="CH362" s="518"/>
      <c r="CI362" s="520"/>
      <c r="CJ362" s="518"/>
      <c r="CK362" s="520"/>
      <c r="CL362" s="518"/>
      <c r="CM362" s="520"/>
      <c r="CN362" s="518"/>
      <c r="CO362" s="520"/>
      <c r="CP362" s="518"/>
      <c r="CQ362" s="520"/>
      <c r="CR362" s="518"/>
      <c r="CS362" s="520"/>
      <c r="CT362" s="518"/>
      <c r="CU362" s="520"/>
      <c r="CV362" s="518"/>
      <c r="CW362" s="520"/>
      <c r="CX362" s="518"/>
      <c r="CY362" s="520"/>
      <c r="CZ362" s="518"/>
      <c r="DA362" s="520"/>
      <c r="DB362" s="518"/>
      <c r="DC362" s="520"/>
      <c r="DD362" s="518"/>
      <c r="DE362" s="520"/>
      <c r="DF362" s="518"/>
      <c r="DG362" s="520"/>
      <c r="DH362" s="518"/>
      <c r="DI362" s="520"/>
      <c r="DJ362" s="518"/>
      <c r="DK362" s="520"/>
      <c r="DL362" s="518"/>
      <c r="DM362" s="520"/>
      <c r="DN362" s="518"/>
      <c r="DO362" s="520"/>
      <c r="DP362" s="518"/>
      <c r="DQ362" s="520"/>
      <c r="DR362" s="518"/>
      <c r="DS362" s="520"/>
      <c r="DT362" s="518"/>
      <c r="DU362" s="520"/>
      <c r="DV362" s="518"/>
      <c r="DW362" s="520"/>
      <c r="DX362" s="518"/>
      <c r="DY362" s="520"/>
      <c r="DZ362" s="518"/>
      <c r="EA362" s="520"/>
      <c r="EB362" s="518"/>
      <c r="EC362" s="520"/>
      <c r="ED362" s="518"/>
      <c r="EE362" s="520"/>
      <c r="EF362" s="518"/>
      <c r="EG362" s="520"/>
      <c r="EH362" s="520"/>
      <c r="EI362" s="522">
        <f>INPUT!FB323</f>
        <v>430.1</v>
      </c>
      <c r="EJ362" s="523" t="str">
        <f>INPUT!FC323</f>
        <v>NA</v>
      </c>
      <c r="EK362" s="522">
        <f>INPUT!FD323</f>
        <v>341.8</v>
      </c>
      <c r="EL362" s="523">
        <f>INPUT!FE323</f>
        <v>-20.530109276912345</v>
      </c>
      <c r="EM362" s="522">
        <f>INPUT!FF323</f>
        <v>336.70000000000005</v>
      </c>
      <c r="EN362" s="523">
        <f>INPUT!FG323</f>
        <v>-1.4921006436512507</v>
      </c>
      <c r="EO362" s="522">
        <f>INPUT!FH323</f>
        <v>321.5</v>
      </c>
      <c r="EP362" s="523">
        <f>INPUT!FI323</f>
        <v>-4.5144045144045242</v>
      </c>
      <c r="EQ362" s="522">
        <f>INPUT!FJ323</f>
        <v>251</v>
      </c>
      <c r="ER362" s="520">
        <f>INPUT!FK323</f>
        <v>-21.928460342146195</v>
      </c>
      <c r="ES362" s="518">
        <f>INPUT!FL323</f>
        <v>212.9</v>
      </c>
      <c r="ET362" s="520">
        <f>INPUT!FM323</f>
        <v>-15.17928286852589</v>
      </c>
      <c r="EU362" s="518">
        <f>INPUT!FN323</f>
        <v>121.10000000000001</v>
      </c>
      <c r="EV362" s="520">
        <f>INPUT!FO323</f>
        <v>-43.118835133865666</v>
      </c>
      <c r="EW362" s="518">
        <f>INPUT!FP323</f>
        <v>91.800000000000011</v>
      </c>
      <c r="EX362" s="520">
        <f>INPUT!FQ323</f>
        <v>-24.194880264244421</v>
      </c>
      <c r="EY362" s="518"/>
      <c r="EZ362" s="520"/>
      <c r="FA362" s="518"/>
      <c r="FB362" s="520"/>
      <c r="FC362" s="518"/>
      <c r="FD362" s="520"/>
      <c r="FE362" s="518"/>
      <c r="FF362" s="520"/>
      <c r="FG362" s="518"/>
      <c r="FH362" s="520"/>
      <c r="FI362" s="518"/>
      <c r="FJ362" s="520"/>
      <c r="FK362" s="518"/>
      <c r="FL362" s="520"/>
      <c r="FM362" s="518"/>
      <c r="FN362" s="520"/>
      <c r="FO362" s="518"/>
      <c r="FP362" s="520"/>
      <c r="FQ362" s="518"/>
      <c r="FR362" s="520"/>
      <c r="FS362" s="518"/>
      <c r="FT362" s="520"/>
      <c r="FU362" s="518"/>
      <c r="FV362" s="520"/>
      <c r="FW362" s="518"/>
      <c r="FX362" s="520"/>
      <c r="FY362" s="518"/>
      <c r="FZ362" s="520"/>
      <c r="GA362" s="523"/>
    </row>
    <row r="363" spans="1:183" ht="12.75" hidden="1" customHeight="1" outlineLevel="2" x14ac:dyDescent="0.2">
      <c r="A363" s="521"/>
      <c r="B363" s="518"/>
      <c r="C363" s="519"/>
      <c r="D363" s="518"/>
      <c r="E363" s="519"/>
      <c r="F363" s="518"/>
      <c r="G363" s="519"/>
      <c r="H363" s="518"/>
      <c r="I363" s="519"/>
      <c r="J363" s="518"/>
      <c r="K363" s="519"/>
      <c r="L363" s="518"/>
      <c r="M363" s="519"/>
      <c r="N363" s="518"/>
      <c r="O363" s="519"/>
      <c r="P363" s="518"/>
      <c r="Q363" s="519"/>
      <c r="R363" s="518"/>
      <c r="S363" s="519"/>
      <c r="T363" s="518"/>
      <c r="U363" s="519"/>
      <c r="V363" s="518"/>
      <c r="W363" s="519"/>
      <c r="X363" s="518"/>
      <c r="Y363" s="519"/>
      <c r="Z363" s="518"/>
      <c r="AA363" s="519"/>
      <c r="AB363" s="518"/>
      <c r="AC363" s="519"/>
      <c r="AD363" s="518"/>
      <c r="AE363" s="519"/>
      <c r="AF363" s="518"/>
      <c r="AG363" s="519"/>
      <c r="AH363" s="518"/>
      <c r="AI363" s="519"/>
      <c r="AJ363" s="518"/>
      <c r="AK363" s="519"/>
      <c r="AL363" s="518"/>
      <c r="AM363" s="519"/>
      <c r="AN363" s="518"/>
      <c r="AO363" s="520"/>
      <c r="AP363" s="518"/>
      <c r="AQ363" s="520"/>
      <c r="AR363" s="518"/>
      <c r="AS363" s="520"/>
      <c r="AT363" s="518"/>
      <c r="AU363" s="520"/>
      <c r="AV363" s="518"/>
      <c r="AW363" s="520"/>
      <c r="AX363" s="518"/>
      <c r="AY363" s="520"/>
      <c r="AZ363" s="518"/>
      <c r="BA363" s="520"/>
      <c r="BB363" s="518"/>
      <c r="BC363" s="520"/>
      <c r="BD363" s="518"/>
      <c r="BE363" s="520"/>
      <c r="BF363" s="518"/>
      <c r="BG363" s="520"/>
      <c r="BH363" s="518"/>
      <c r="BI363" s="520"/>
      <c r="BJ363" s="518"/>
      <c r="BK363" s="520"/>
      <c r="BL363" s="518"/>
      <c r="BM363" s="520"/>
      <c r="BN363" s="518"/>
      <c r="BO363" s="520"/>
      <c r="BP363" s="518"/>
      <c r="BQ363" s="520"/>
      <c r="BR363" s="518"/>
      <c r="BS363" s="520"/>
      <c r="BT363" s="518"/>
      <c r="BU363" s="520"/>
      <c r="BV363" s="518"/>
      <c r="BW363" s="520"/>
      <c r="BX363" s="518"/>
      <c r="BY363" s="520"/>
      <c r="BZ363" s="518"/>
      <c r="CA363" s="520"/>
      <c r="CB363" s="518"/>
      <c r="CC363" s="520"/>
      <c r="CD363" s="518"/>
      <c r="CE363" s="520"/>
      <c r="CF363" s="518"/>
      <c r="CG363" s="520"/>
      <c r="CH363" s="518"/>
      <c r="CI363" s="520"/>
      <c r="CJ363" s="518"/>
      <c r="CK363" s="520"/>
      <c r="CL363" s="518"/>
      <c r="CM363" s="520"/>
      <c r="CN363" s="518"/>
      <c r="CO363" s="520"/>
      <c r="CP363" s="518"/>
      <c r="CQ363" s="520"/>
      <c r="CR363" s="518"/>
      <c r="CS363" s="520"/>
      <c r="CT363" s="518"/>
      <c r="CU363" s="520"/>
      <c r="CV363" s="518"/>
      <c r="CW363" s="520"/>
      <c r="CX363" s="518"/>
      <c r="CY363" s="520"/>
      <c r="CZ363" s="518"/>
      <c r="DA363" s="520"/>
      <c r="DB363" s="518"/>
      <c r="DC363" s="520"/>
      <c r="DD363" s="518"/>
      <c r="DE363" s="520"/>
      <c r="DF363" s="518"/>
      <c r="DG363" s="520"/>
      <c r="DH363" s="518"/>
      <c r="DI363" s="520"/>
      <c r="DJ363" s="518"/>
      <c r="DK363" s="520"/>
      <c r="DL363" s="518"/>
      <c r="DM363" s="520"/>
      <c r="DN363" s="518"/>
      <c r="DO363" s="520"/>
      <c r="DP363" s="518"/>
      <c r="DQ363" s="520"/>
      <c r="DR363" s="518"/>
      <c r="DS363" s="520"/>
      <c r="DT363" s="518"/>
      <c r="DU363" s="520"/>
      <c r="DV363" s="518"/>
      <c r="DW363" s="520"/>
      <c r="DX363" s="518"/>
      <c r="DY363" s="520"/>
      <c r="DZ363" s="518"/>
      <c r="EA363" s="520"/>
      <c r="EB363" s="518"/>
      <c r="EC363" s="520"/>
      <c r="ED363" s="518"/>
      <c r="EE363" s="520"/>
      <c r="EF363" s="518"/>
      <c r="EG363" s="520"/>
      <c r="EH363" s="542"/>
      <c r="EI363" s="518"/>
      <c r="EJ363" s="519"/>
      <c r="EK363" s="518"/>
      <c r="EL363" s="519"/>
      <c r="EM363" s="518"/>
      <c r="EN363" s="519"/>
      <c r="EO363" s="518"/>
      <c r="EP363" s="519"/>
      <c r="EQ363" s="518"/>
      <c r="ER363" s="520"/>
      <c r="ES363" s="518"/>
      <c r="ET363" s="520"/>
      <c r="EU363" s="518"/>
      <c r="EV363" s="520"/>
      <c r="EW363" s="518"/>
      <c r="EX363" s="520"/>
      <c r="EY363" s="518"/>
      <c r="EZ363" s="520"/>
      <c r="FA363" s="518"/>
      <c r="FB363" s="520"/>
      <c r="FC363" s="518"/>
      <c r="FD363" s="520"/>
      <c r="FE363" s="518"/>
      <c r="FF363" s="520"/>
      <c r="FG363" s="518"/>
      <c r="FH363" s="520"/>
      <c r="FI363" s="518"/>
      <c r="FJ363" s="520"/>
      <c r="FK363" s="518"/>
      <c r="FL363" s="520"/>
      <c r="FM363" s="518"/>
      <c r="FN363" s="520"/>
      <c r="FO363" s="518"/>
      <c r="FP363" s="520"/>
      <c r="FQ363" s="518"/>
      <c r="FR363" s="520"/>
      <c r="FS363" s="518"/>
      <c r="FT363" s="520"/>
      <c r="FU363" s="518"/>
      <c r="FV363" s="520"/>
      <c r="FW363" s="518"/>
      <c r="FX363" s="520"/>
      <c r="FY363" s="518"/>
      <c r="FZ363" s="520"/>
      <c r="GA363" s="519"/>
    </row>
    <row r="364" spans="1:183" ht="12.75" hidden="1" customHeight="1" outlineLevel="2" x14ac:dyDescent="0.2">
      <c r="A364" s="534" t="str">
        <f>INPUT!B329</f>
        <v>Pretax Earnings</v>
      </c>
      <c r="B364" s="539">
        <f>INPUT!M329</f>
        <v>13.700000000000003</v>
      </c>
      <c r="C364" s="548">
        <f>INPUT!N329</f>
        <v>-1.4388489208633337</v>
      </c>
      <c r="D364" s="539">
        <f>INPUT!O329</f>
        <v>19.999999999999986</v>
      </c>
      <c r="E364" s="535">
        <f>INPUT!P329</f>
        <v>-0.99009900990100208</v>
      </c>
      <c r="F364" s="539">
        <f>INPUT!Q329</f>
        <v>16.400000000000006</v>
      </c>
      <c r="G364" s="535">
        <f>INPUT!R329</f>
        <v>-2.3809523809524169</v>
      </c>
      <c r="H364" s="539">
        <f>INPUT!S329</f>
        <v>14.199999999999989</v>
      </c>
      <c r="I364" s="535">
        <f>INPUT!T329</f>
        <v>-11.801242236024967</v>
      </c>
      <c r="J364" s="539">
        <f>INPUT!U329</f>
        <v>15.599999999999994</v>
      </c>
      <c r="K364" s="535">
        <f>INPUT!V329</f>
        <v>13.868613138686058</v>
      </c>
      <c r="L364" s="539">
        <f>INPUT!W329</f>
        <v>11.600000000000009</v>
      </c>
      <c r="M364" s="535">
        <f>INPUT!X329</f>
        <v>-41.999999999999915</v>
      </c>
      <c r="N364" s="539">
        <f>INPUT!Y329</f>
        <v>13</v>
      </c>
      <c r="O364" s="535">
        <f>INPUT!Z329</f>
        <v>-20.731707317073202</v>
      </c>
      <c r="P364" s="539">
        <f>INPUT!AA329</f>
        <v>1.8999999999999915</v>
      </c>
      <c r="Q364" s="535" t="str">
        <f>INPUT!AB329</f>
        <v>NM</v>
      </c>
      <c r="R364" s="539">
        <f>INPUT!AC329</f>
        <v>10.800000000000011</v>
      </c>
      <c r="S364" s="535">
        <f>INPUT!AD329</f>
        <v>-30.769230769230671</v>
      </c>
      <c r="T364" s="539">
        <f>INPUT!AE329</f>
        <v>14.599999999999994</v>
      </c>
      <c r="U364" s="535">
        <f>INPUT!AF329</f>
        <v>25.862068965517103</v>
      </c>
      <c r="V364" s="539">
        <f>INPUT!AG329</f>
        <v>11.699999999999989</v>
      </c>
      <c r="W364" s="535">
        <f>INPUT!AH329</f>
        <v>-10.000000000000087</v>
      </c>
      <c r="X364" s="539">
        <f>INPUT!AI329</f>
        <v>8.3000000000000114</v>
      </c>
      <c r="Y364" s="535" t="str">
        <f>INPUT!AJ329</f>
        <v>NM</v>
      </c>
      <c r="Z364" s="539">
        <f>INPUT!AK329</f>
        <v>9.3000000000000114</v>
      </c>
      <c r="AA364" s="535">
        <f>INPUT!AL329</f>
        <v>-13.888888888888873</v>
      </c>
      <c r="AB364" s="539">
        <f>INPUT!AM329</f>
        <v>13.900000000000006</v>
      </c>
      <c r="AC364" s="535">
        <f>INPUT!AN329</f>
        <v>-4.7945205479451243</v>
      </c>
      <c r="AD364" s="539">
        <f>INPUT!AO329</f>
        <v>13.600000000000009</v>
      </c>
      <c r="AE364" s="535">
        <f>INPUT!AP329</f>
        <v>16.239316239316427</v>
      </c>
      <c r="AF364" s="539">
        <f>INPUT!AQ329</f>
        <v>4.7000000000000028</v>
      </c>
      <c r="AG364" s="535">
        <f>INPUT!AR329</f>
        <v>-43.373493975903656</v>
      </c>
      <c r="AH364" s="539">
        <f>INPUT!AS329</f>
        <v>4.8000000000000043</v>
      </c>
      <c r="AI364" s="535">
        <f>INPUT!AT329</f>
        <v>-48.387096774193559</v>
      </c>
      <c r="AJ364" s="539">
        <f>INPUT!AU329</f>
        <v>8.6999999999999886</v>
      </c>
      <c r="AK364" s="535">
        <f>INPUT!AV329</f>
        <v>-37.410071942446152</v>
      </c>
      <c r="AL364" s="539">
        <f>INPUT!AW329</f>
        <v>10.599999999999994</v>
      </c>
      <c r="AM364" s="535">
        <f>INPUT!AX329</f>
        <v>-22.058823529411853</v>
      </c>
      <c r="AN364" s="539">
        <f>INPUT!AY329</f>
        <v>6.4000000000000057</v>
      </c>
      <c r="AO364" s="536">
        <f>INPUT!AZ329</f>
        <v>36.170212765957487</v>
      </c>
      <c r="AP364" s="539">
        <f>INPUT!BA329</f>
        <v>3.6000000000000014</v>
      </c>
      <c r="AQ364" s="536">
        <f>INPUT!BB329</f>
        <v>-25.000000000000032</v>
      </c>
      <c r="AR364" s="539">
        <f>INPUT!BC329</f>
        <v>3.9999999999999964</v>
      </c>
      <c r="AS364" s="536" t="str">
        <f>INPUT!BD329</f>
        <v>NM</v>
      </c>
      <c r="AT364" s="539">
        <f>INPUT!BE329</f>
        <v>3.600000000000005</v>
      </c>
      <c r="AU364" s="536" t="str">
        <f>INPUT!BF329</f>
        <v>NM</v>
      </c>
      <c r="AV364" s="539">
        <f>INPUT!BG329</f>
        <v>6.2999999999999972</v>
      </c>
      <c r="AW364" s="536">
        <f>INPUT!BH329</f>
        <v>-1.5625000000001332</v>
      </c>
      <c r="AX364" s="539">
        <f>INPUT!BI329</f>
        <v>3.899999999999995</v>
      </c>
      <c r="AY364" s="536">
        <f>INPUT!BJ329</f>
        <v>8.3333333333331474</v>
      </c>
      <c r="AZ364" s="539">
        <f>INPUT!BK329</f>
        <v>3.399999999999995</v>
      </c>
      <c r="BA364" s="536">
        <f>INPUT!BL329</f>
        <v>-15.000000000000046</v>
      </c>
      <c r="BB364" s="539">
        <f>INPUT!BM329</f>
        <v>3.4999999999999964</v>
      </c>
      <c r="BC364" s="536">
        <f>INPUT!BN329</f>
        <v>0</v>
      </c>
      <c r="BD364" s="539"/>
      <c r="BE364" s="536"/>
      <c r="BF364" s="539"/>
      <c r="BG364" s="536"/>
      <c r="BH364" s="539"/>
      <c r="BI364" s="536"/>
      <c r="BJ364" s="539"/>
      <c r="BK364" s="536"/>
      <c r="BL364" s="539"/>
      <c r="BM364" s="536"/>
      <c r="BN364" s="539"/>
      <c r="BO364" s="536"/>
      <c r="BP364" s="539"/>
      <c r="BQ364" s="536"/>
      <c r="BR364" s="539"/>
      <c r="BS364" s="536"/>
      <c r="BT364" s="539"/>
      <c r="BU364" s="536"/>
      <c r="BV364" s="539"/>
      <c r="BW364" s="536"/>
      <c r="BX364" s="539"/>
      <c r="BY364" s="536"/>
      <c r="BZ364" s="539"/>
      <c r="CA364" s="536"/>
      <c r="CB364" s="539"/>
      <c r="CC364" s="536"/>
      <c r="CD364" s="539"/>
      <c r="CE364" s="536"/>
      <c r="CF364" s="539"/>
      <c r="CG364" s="536"/>
      <c r="CH364" s="539"/>
      <c r="CI364" s="536"/>
      <c r="CJ364" s="539"/>
      <c r="CK364" s="536"/>
      <c r="CL364" s="539"/>
      <c r="CM364" s="536"/>
      <c r="CN364" s="539"/>
      <c r="CO364" s="536"/>
      <c r="CP364" s="539"/>
      <c r="CQ364" s="536"/>
      <c r="CR364" s="539"/>
      <c r="CS364" s="536"/>
      <c r="CT364" s="539"/>
      <c r="CU364" s="536"/>
      <c r="CV364" s="539"/>
      <c r="CW364" s="536"/>
      <c r="CX364" s="539"/>
      <c r="CY364" s="536"/>
      <c r="CZ364" s="539"/>
      <c r="DA364" s="536"/>
      <c r="DB364" s="539"/>
      <c r="DC364" s="536"/>
      <c r="DD364" s="539"/>
      <c r="DE364" s="536"/>
      <c r="DF364" s="539"/>
      <c r="DG364" s="536"/>
      <c r="DH364" s="539"/>
      <c r="DI364" s="536"/>
      <c r="DJ364" s="539"/>
      <c r="DK364" s="536"/>
      <c r="DL364" s="539"/>
      <c r="DM364" s="536"/>
      <c r="DN364" s="539"/>
      <c r="DO364" s="536"/>
      <c r="DP364" s="539"/>
      <c r="DQ364" s="536"/>
      <c r="DR364" s="539"/>
      <c r="DS364" s="536"/>
      <c r="DT364" s="539"/>
      <c r="DU364" s="536"/>
      <c r="DV364" s="539"/>
      <c r="DW364" s="536"/>
      <c r="DX364" s="539"/>
      <c r="DY364" s="536"/>
      <c r="DZ364" s="539"/>
      <c r="EA364" s="536"/>
      <c r="EB364" s="539"/>
      <c r="EC364" s="536"/>
      <c r="ED364" s="539"/>
      <c r="EE364" s="536"/>
      <c r="EF364" s="539"/>
      <c r="EG364" s="536"/>
      <c r="EH364" s="547"/>
      <c r="EI364" s="539">
        <f>INPUT!FB329</f>
        <v>67</v>
      </c>
      <c r="EJ364" s="535" t="str">
        <f>INPUT!FC329</f>
        <v>NA</v>
      </c>
      <c r="EK364" s="539">
        <f>INPUT!FD329</f>
        <v>64.300000000000011</v>
      </c>
      <c r="EL364" s="535">
        <f>INPUT!FE329</f>
        <v>-4.0298507462686377</v>
      </c>
      <c r="EM364" s="539">
        <f>INPUT!FF329</f>
        <v>42.099999999999966</v>
      </c>
      <c r="EN364" s="535">
        <f>INPUT!FG329</f>
        <v>-34.525660964230234</v>
      </c>
      <c r="EO364" s="539">
        <f>INPUT!FH329</f>
        <v>45.400000000000034</v>
      </c>
      <c r="EP364" s="535">
        <f>INPUT!FI329</f>
        <v>7.8384798099764064</v>
      </c>
      <c r="EQ364" s="539">
        <f>INPUT!FJ329</f>
        <v>41.5</v>
      </c>
      <c r="ER364" s="536">
        <f>INPUT!FK329</f>
        <v>-8.5903083700441201</v>
      </c>
      <c r="ES364" s="539">
        <f>INPUT!FL329</f>
        <v>30.499999999999972</v>
      </c>
      <c r="ET364" s="536">
        <f>INPUT!FM329</f>
        <v>-26.506024096385605</v>
      </c>
      <c r="EU364" s="539">
        <f>INPUT!FN329</f>
        <v>17.499999999999986</v>
      </c>
      <c r="EV364" s="536">
        <f>INPUT!FO329</f>
        <v>-42.62295081967212</v>
      </c>
      <c r="EW364" s="539">
        <f>INPUT!FP329</f>
        <v>10.799999999999983</v>
      </c>
      <c r="EX364" s="536">
        <f>INPUT!FQ329</f>
        <v>-38.285714285714334</v>
      </c>
      <c r="EY364" s="539"/>
      <c r="EZ364" s="536"/>
      <c r="FA364" s="539"/>
      <c r="FB364" s="536"/>
      <c r="FC364" s="539"/>
      <c r="FD364" s="536"/>
      <c r="FE364" s="539"/>
      <c r="FF364" s="536"/>
      <c r="FG364" s="539"/>
      <c r="FH364" s="536"/>
      <c r="FI364" s="539"/>
      <c r="FJ364" s="536"/>
      <c r="FK364" s="539"/>
      <c r="FL364" s="536"/>
      <c r="FM364" s="539"/>
      <c r="FN364" s="536"/>
      <c r="FO364" s="539"/>
      <c r="FP364" s="536"/>
      <c r="FQ364" s="539"/>
      <c r="FR364" s="536"/>
      <c r="FS364" s="539"/>
      <c r="FT364" s="536"/>
      <c r="FU364" s="539"/>
      <c r="FV364" s="536"/>
      <c r="FW364" s="539"/>
      <c r="FX364" s="536"/>
      <c r="FY364" s="539"/>
      <c r="FZ364" s="536"/>
      <c r="GA364" s="535"/>
    </row>
    <row r="365" spans="1:183" ht="12.75" hidden="1" customHeight="1" outlineLevel="2" x14ac:dyDescent="0.2">
      <c r="A365" s="521"/>
      <c r="B365" s="518"/>
      <c r="C365" s="519"/>
      <c r="D365" s="518"/>
      <c r="E365" s="519"/>
      <c r="F365" s="518"/>
      <c r="G365" s="519"/>
      <c r="H365" s="518"/>
      <c r="I365" s="519"/>
      <c r="J365" s="518"/>
      <c r="K365" s="519"/>
      <c r="L365" s="518"/>
      <c r="M365" s="519"/>
      <c r="N365" s="518"/>
      <c r="O365" s="519"/>
      <c r="P365" s="518"/>
      <c r="Q365" s="519"/>
      <c r="R365" s="518"/>
      <c r="S365" s="519"/>
      <c r="T365" s="518"/>
      <c r="U365" s="519"/>
      <c r="V365" s="518"/>
      <c r="W365" s="519"/>
      <c r="X365" s="518"/>
      <c r="Y365" s="519"/>
      <c r="Z365" s="518"/>
      <c r="AA365" s="519"/>
      <c r="AB365" s="518"/>
      <c r="AC365" s="519"/>
      <c r="AD365" s="518"/>
      <c r="AE365" s="519"/>
      <c r="AF365" s="518"/>
      <c r="AG365" s="519"/>
      <c r="AH365" s="518"/>
      <c r="AI365" s="519"/>
      <c r="AJ365" s="518"/>
      <c r="AK365" s="519"/>
      <c r="AL365" s="518"/>
      <c r="AM365" s="519"/>
      <c r="AN365" s="518"/>
      <c r="AO365" s="520"/>
      <c r="AP365" s="525"/>
      <c r="AQ365" s="520"/>
      <c r="AR365" s="525"/>
      <c r="AS365" s="520"/>
      <c r="AT365" s="525"/>
      <c r="AU365" s="520"/>
      <c r="AV365" s="525"/>
      <c r="AW365" s="520"/>
      <c r="AX365" s="525"/>
      <c r="AY365" s="520"/>
      <c r="AZ365" s="525"/>
      <c r="BA365" s="520"/>
      <c r="BB365" s="525"/>
      <c r="BC365" s="520"/>
      <c r="BD365" s="525"/>
      <c r="BE365" s="520"/>
      <c r="BF365" s="525"/>
      <c r="BG365" s="520"/>
      <c r="BH365" s="525"/>
      <c r="BI365" s="520"/>
      <c r="BJ365" s="525"/>
      <c r="BK365" s="520"/>
      <c r="BL365" s="525"/>
      <c r="BM365" s="520"/>
      <c r="BN365" s="525"/>
      <c r="BO365" s="520"/>
      <c r="BP365" s="525"/>
      <c r="BQ365" s="520"/>
      <c r="BR365" s="525"/>
      <c r="BS365" s="520"/>
      <c r="BT365" s="525"/>
      <c r="BU365" s="520"/>
      <c r="BV365" s="525"/>
      <c r="BW365" s="520"/>
      <c r="BX365" s="525"/>
      <c r="BY365" s="520"/>
      <c r="BZ365" s="525"/>
      <c r="CA365" s="520"/>
      <c r="CB365" s="525"/>
      <c r="CC365" s="520"/>
      <c r="CD365" s="525"/>
      <c r="CE365" s="520"/>
      <c r="CF365" s="525"/>
      <c r="CG365" s="520"/>
      <c r="CH365" s="525"/>
      <c r="CI365" s="520"/>
      <c r="CJ365" s="525"/>
      <c r="CK365" s="520"/>
      <c r="CL365" s="525"/>
      <c r="CM365" s="520"/>
      <c r="CN365" s="525"/>
      <c r="CO365" s="520"/>
      <c r="CP365" s="525"/>
      <c r="CQ365" s="520"/>
      <c r="CR365" s="525"/>
      <c r="CS365" s="520"/>
      <c r="CT365" s="525"/>
      <c r="CU365" s="520"/>
      <c r="CV365" s="525"/>
      <c r="CW365" s="520"/>
      <c r="CX365" s="525"/>
      <c r="CY365" s="520"/>
      <c r="CZ365" s="525"/>
      <c r="DA365" s="520"/>
      <c r="DB365" s="525"/>
      <c r="DC365" s="520"/>
      <c r="DD365" s="525"/>
      <c r="DE365" s="520"/>
      <c r="DF365" s="525"/>
      <c r="DG365" s="520"/>
      <c r="DH365" s="525"/>
      <c r="DI365" s="520"/>
      <c r="DJ365" s="525"/>
      <c r="DK365" s="520"/>
      <c r="DL365" s="525"/>
      <c r="DM365" s="520"/>
      <c r="DN365" s="525"/>
      <c r="DO365" s="520"/>
      <c r="DP365" s="525"/>
      <c r="DQ365" s="520"/>
      <c r="DR365" s="525"/>
      <c r="DS365" s="520"/>
      <c r="DT365" s="525"/>
      <c r="DU365" s="520"/>
      <c r="DV365" s="525"/>
      <c r="DW365" s="520"/>
      <c r="DX365" s="525"/>
      <c r="DY365" s="520"/>
      <c r="DZ365" s="525"/>
      <c r="EA365" s="520"/>
      <c r="EB365" s="525"/>
      <c r="EC365" s="520"/>
      <c r="ED365" s="525"/>
      <c r="EE365" s="520"/>
      <c r="EF365" s="525"/>
      <c r="EG365" s="520"/>
      <c r="EH365" s="542"/>
      <c r="EI365" s="518"/>
      <c r="EJ365" s="519"/>
      <c r="EK365" s="518"/>
      <c r="EL365" s="519"/>
      <c r="EM365" s="518"/>
      <c r="EN365" s="519"/>
      <c r="EO365" s="518"/>
      <c r="EP365" s="519"/>
      <c r="EQ365" s="518"/>
      <c r="ER365" s="520"/>
      <c r="ES365" s="525"/>
      <c r="ET365" s="520"/>
      <c r="EU365" s="525"/>
      <c r="EV365" s="520"/>
      <c r="EW365" s="525"/>
      <c r="EX365" s="520"/>
      <c r="EY365" s="525"/>
      <c r="EZ365" s="520"/>
      <c r="FA365" s="525"/>
      <c r="FB365" s="520"/>
      <c r="FC365" s="525"/>
      <c r="FD365" s="520"/>
      <c r="FE365" s="525"/>
      <c r="FF365" s="520"/>
      <c r="FG365" s="525"/>
      <c r="FH365" s="520"/>
      <c r="FI365" s="525"/>
      <c r="FJ365" s="520"/>
      <c r="FK365" s="525"/>
      <c r="FL365" s="520"/>
      <c r="FM365" s="525"/>
      <c r="FN365" s="520"/>
      <c r="FO365" s="525"/>
      <c r="FP365" s="520"/>
      <c r="FQ365" s="525"/>
      <c r="FR365" s="520"/>
      <c r="FS365" s="525"/>
      <c r="FT365" s="520"/>
      <c r="FU365" s="525"/>
      <c r="FV365" s="520"/>
      <c r="FW365" s="525"/>
      <c r="FX365" s="520"/>
      <c r="FY365" s="525"/>
      <c r="FZ365" s="520"/>
      <c r="GA365" s="519"/>
    </row>
    <row r="366" spans="1:183" ht="12.75" hidden="1" customHeight="1" outlineLevel="2" x14ac:dyDescent="0.2">
      <c r="A366" s="517" t="s">
        <v>260</v>
      </c>
      <c r="B366" s="528">
        <f>INPUT!M453</f>
        <v>-7.195914577530182</v>
      </c>
      <c r="C366" s="538">
        <f>INPUT!N453</f>
        <v>-47.546178947714012</v>
      </c>
      <c r="D366" s="528">
        <f>INPUT!O453</f>
        <v>-8.7357330992098419</v>
      </c>
      <c r="E366" s="523">
        <f>INPUT!P453</f>
        <v>-14.494483397595904</v>
      </c>
      <c r="F366" s="528">
        <f>INPUT!Q453</f>
        <v>-7.9741379310344893</v>
      </c>
      <c r="G366" s="523" t="str">
        <f>INPUT!R453</f>
        <v>NM</v>
      </c>
      <c r="H366" s="528">
        <f>INPUT!S453</f>
        <v>-16.204315279612498</v>
      </c>
      <c r="I366" s="523">
        <f>INPUT!T453</f>
        <v>26.270304531790178</v>
      </c>
      <c r="J366" s="528">
        <f>INPUT!U453</f>
        <v>12.746386333771332</v>
      </c>
      <c r="K366" s="523" t="str">
        <f>INPUT!V453</f>
        <v>NM</v>
      </c>
      <c r="L366" s="528">
        <f>INPUT!W453</f>
        <v>-20.500305064063433</v>
      </c>
      <c r="M366" s="523" t="str">
        <f>INPUT!X453</f>
        <v>NM</v>
      </c>
      <c r="N366" s="528">
        <f>INPUT!Y453</f>
        <v>-19.769452449567691</v>
      </c>
      <c r="O366" s="523" t="str">
        <f>INPUT!Z453</f>
        <v>NM</v>
      </c>
      <c r="P366" s="528">
        <f>INPUT!AA453</f>
        <v>15.183423913043478</v>
      </c>
      <c r="Q366" s="523" t="str">
        <f>INPUT!AB453</f>
        <v>NM</v>
      </c>
      <c r="R366" s="528">
        <f>INPUT!AC453</f>
        <v>4.5128849780012539</v>
      </c>
      <c r="S366" s="523" t="str">
        <f>INPUT!AD453</f>
        <v>NM</v>
      </c>
      <c r="T366" s="528">
        <f>INPUT!AE453</f>
        <v>-8.1067472306142871</v>
      </c>
      <c r="U366" s="523" t="str">
        <f>INPUT!AF453</f>
        <v>NM</v>
      </c>
      <c r="V366" s="528">
        <f>INPUT!AG453</f>
        <v>-17.245870890428815</v>
      </c>
      <c r="W366" s="523">
        <f>INPUT!AH453</f>
        <v>-12.765055408472181</v>
      </c>
      <c r="X366" s="528">
        <f>INPUT!AI453</f>
        <v>-19.936409727593002</v>
      </c>
      <c r="Y366" s="523" t="str">
        <f>INPUT!AJ453</f>
        <v>NM</v>
      </c>
      <c r="Z366" s="528">
        <f>INPUT!AK453</f>
        <v>-33.495670995670892</v>
      </c>
      <c r="AA366" s="523" t="str">
        <f>INPUT!AL453</f>
        <v>NM</v>
      </c>
      <c r="AB366" s="528">
        <f>INPUT!AM453</f>
        <v>-11.832251622566169</v>
      </c>
      <c r="AC366" s="523">
        <f>INPUT!AN453</f>
        <v>45.955600760350613</v>
      </c>
      <c r="AD366" s="528">
        <f>INPUT!AO453</f>
        <v>-9.2822966507176954</v>
      </c>
      <c r="AE366" s="523">
        <f>INPUT!AP453</f>
        <v>-46.176701021986531</v>
      </c>
      <c r="AF366" s="528">
        <f>INPUT!AQ453</f>
        <v>-18.056593699946617</v>
      </c>
      <c r="AG366" s="523">
        <f>INPUT!AR453</f>
        <v>-9.4290599628107703</v>
      </c>
      <c r="AH366" s="528">
        <f>INPUT!AS453</f>
        <v>-13.931581556767474</v>
      </c>
      <c r="AI366" s="523" t="str">
        <f>INPUT!AT453</f>
        <v>NM</v>
      </c>
      <c r="AJ366" s="528">
        <f>INPUT!AU453</f>
        <v>-12.563510392609716</v>
      </c>
      <c r="AK366" s="523">
        <f>INPUT!AV453</f>
        <v>6.1802165248828089</v>
      </c>
      <c r="AL366" s="528">
        <f>INPUT!AW453</f>
        <v>-8.1799591002044956</v>
      </c>
      <c r="AM366" s="523">
        <f>INPUT!AX453</f>
        <v>-11.875698353466957</v>
      </c>
      <c r="AN366" s="528">
        <f>INPUT!AY453</f>
        <v>-9.773584905660373</v>
      </c>
      <c r="AO366" s="520">
        <f>INPUT!AZ453</f>
        <v>-45.872488088995055</v>
      </c>
      <c r="AP366" s="525">
        <f>INPUT!BA453</f>
        <v>-10.546282245827014</v>
      </c>
      <c r="AQ366" s="520">
        <f>INPUT!BB453</f>
        <v>-24.29946160201748</v>
      </c>
      <c r="AR366" s="525">
        <f>INPUT!BC453</f>
        <v>-16.551724137931036</v>
      </c>
      <c r="AS366" s="520">
        <f>INPUT!BD453</f>
        <v>31.744421906693553</v>
      </c>
      <c r="AT366" s="525">
        <f>INPUT!BE453</f>
        <v>-6.8307692307692349</v>
      </c>
      <c r="AU366" s="520">
        <f>INPUT!BF453</f>
        <v>-16.493846153846071</v>
      </c>
      <c r="AV366" s="525">
        <f>INPUT!BG453</f>
        <v>-3.1290743155149912</v>
      </c>
      <c r="AW366" s="520" t="str">
        <f>INPUT!BH453</f>
        <v>NM</v>
      </c>
      <c r="AX366" s="528">
        <f>INPUT!BI453</f>
        <v>9.5785440613025921E-2</v>
      </c>
      <c r="AY366" s="520" t="str">
        <f>INPUT!BJ453</f>
        <v>NM</v>
      </c>
      <c r="AZ366" s="528">
        <f>INPUT!BK453</f>
        <v>-1.9653857436198301</v>
      </c>
      <c r="BA366" s="520" t="str">
        <f>INPUT!BL453</f>
        <v>NM</v>
      </c>
      <c r="BB366" s="528">
        <f>INPUT!BM453</f>
        <v>-2.2113022113022174</v>
      </c>
      <c r="BC366" s="520" t="str">
        <f>INPUT!BN453</f>
        <v>NM</v>
      </c>
      <c r="BD366" s="528"/>
      <c r="BE366" s="520"/>
      <c r="BF366" s="528"/>
      <c r="BG366" s="520"/>
      <c r="BH366" s="528"/>
      <c r="BI366" s="520"/>
      <c r="BJ366" s="528"/>
      <c r="BK366" s="520"/>
      <c r="BL366" s="528"/>
      <c r="BM366" s="520"/>
      <c r="BN366" s="528"/>
      <c r="BO366" s="520"/>
      <c r="BP366" s="528"/>
      <c r="BQ366" s="520"/>
      <c r="BR366" s="528"/>
      <c r="BS366" s="520"/>
      <c r="BT366" s="528"/>
      <c r="BU366" s="520"/>
      <c r="BV366" s="528"/>
      <c r="BW366" s="520"/>
      <c r="BX366" s="528"/>
      <c r="BY366" s="520"/>
      <c r="BZ366" s="528"/>
      <c r="CA366" s="520"/>
      <c r="CB366" s="528"/>
      <c r="CC366" s="520"/>
      <c r="CD366" s="528"/>
      <c r="CE366" s="520"/>
      <c r="CF366" s="528"/>
      <c r="CG366" s="520"/>
      <c r="CH366" s="528"/>
      <c r="CI366" s="520"/>
      <c r="CJ366" s="528"/>
      <c r="CK366" s="520"/>
      <c r="CL366" s="528"/>
      <c r="CM366" s="520"/>
      <c r="CN366" s="528"/>
      <c r="CO366" s="520"/>
      <c r="CP366" s="528"/>
      <c r="CQ366" s="520"/>
      <c r="CR366" s="528"/>
      <c r="CS366" s="520"/>
      <c r="CT366" s="528"/>
      <c r="CU366" s="520"/>
      <c r="CV366" s="528"/>
      <c r="CW366" s="520"/>
      <c r="CX366" s="528"/>
      <c r="CY366" s="520"/>
      <c r="CZ366" s="528"/>
      <c r="DA366" s="520"/>
      <c r="DB366" s="528"/>
      <c r="DC366" s="520"/>
      <c r="DD366" s="528"/>
      <c r="DE366" s="520"/>
      <c r="DF366" s="528"/>
      <c r="DG366" s="520"/>
      <c r="DH366" s="528"/>
      <c r="DI366" s="520"/>
      <c r="DJ366" s="528"/>
      <c r="DK366" s="520"/>
      <c r="DL366" s="528"/>
      <c r="DM366" s="520"/>
      <c r="DN366" s="528"/>
      <c r="DO366" s="520"/>
      <c r="DP366" s="528"/>
      <c r="DQ366" s="520"/>
      <c r="DR366" s="528"/>
      <c r="DS366" s="520"/>
      <c r="DT366" s="528"/>
      <c r="DU366" s="520"/>
      <c r="DV366" s="528"/>
      <c r="DW366" s="520"/>
      <c r="DX366" s="528"/>
      <c r="DY366" s="520"/>
      <c r="DZ366" s="528"/>
      <c r="EA366" s="520"/>
      <c r="EB366" s="528"/>
      <c r="EC366" s="520"/>
      <c r="ED366" s="528"/>
      <c r="EE366" s="520"/>
      <c r="EF366" s="528"/>
      <c r="EG366" s="520"/>
      <c r="EH366" s="520"/>
      <c r="EI366" s="528">
        <f>INPUT!FB453</f>
        <v>100</v>
      </c>
      <c r="EJ366" s="523" t="str">
        <f>INPUT!FC453</f>
        <v>NA</v>
      </c>
      <c r="EK366" s="528">
        <f>INPUT!FD453</f>
        <v>6.0815284214508614</v>
      </c>
      <c r="EL366" s="523" t="str">
        <f>INPUT!FE453</f>
        <v>NM</v>
      </c>
      <c r="EM366" s="528">
        <f>INPUT!FF453</f>
        <v>-62.002945508100694</v>
      </c>
      <c r="EN366" s="523" t="str">
        <f>INPUT!FG453</f>
        <v>NM</v>
      </c>
      <c r="EO366" s="528">
        <f>INPUT!FH453</f>
        <v>-33.629629629629612</v>
      </c>
      <c r="EP366" s="523">
        <f>INPUT!FI453</f>
        <v>-45.761238673353198</v>
      </c>
      <c r="EQ366" s="528">
        <f>INPUT!FJ453</f>
        <v>-17.765549014589173</v>
      </c>
      <c r="ER366" s="520">
        <f>INPUT!FK453</f>
        <v>-47.17292693899693</v>
      </c>
      <c r="ES366" s="525">
        <f>INPUT!FL453</f>
        <v>-10.908698932844665</v>
      </c>
      <c r="ET366" s="520">
        <f>INPUT!FM453</f>
        <v>-38.596330888021654</v>
      </c>
      <c r="EU366" s="525">
        <f>INPUT!FN453</f>
        <v>-8.9845418054488029</v>
      </c>
      <c r="EV366" s="520">
        <f>INPUT!FO453</f>
        <v>-17.638740781473739</v>
      </c>
      <c r="EW366" s="525">
        <f>INPUT!FP453</f>
        <v>-1.0853554539111538</v>
      </c>
      <c r="EX366" s="520" t="str">
        <f>INPUT!FQ453</f>
        <v>NM</v>
      </c>
      <c r="EY366" s="528"/>
      <c r="EZ366" s="520"/>
      <c r="FA366" s="528"/>
      <c r="FB366" s="520"/>
      <c r="FC366" s="528"/>
      <c r="FD366" s="520"/>
      <c r="FE366" s="528"/>
      <c r="FF366" s="520"/>
      <c r="FG366" s="528"/>
      <c r="FH366" s="520"/>
      <c r="FI366" s="528"/>
      <c r="FJ366" s="520"/>
      <c r="FK366" s="528"/>
      <c r="FL366" s="520"/>
      <c r="FM366" s="528"/>
      <c r="FN366" s="520"/>
      <c r="FO366" s="528"/>
      <c r="FP366" s="520"/>
      <c r="FQ366" s="528"/>
      <c r="FR366" s="520"/>
      <c r="FS366" s="528"/>
      <c r="FT366" s="520"/>
      <c r="FU366" s="528"/>
      <c r="FV366" s="520"/>
      <c r="FW366" s="528"/>
      <c r="FX366" s="520"/>
      <c r="FY366" s="528"/>
      <c r="FZ366" s="520"/>
      <c r="GA366" s="523"/>
    </row>
    <row r="367" spans="1:183" ht="12.75" hidden="1" customHeight="1" outlineLevel="2" x14ac:dyDescent="0.2">
      <c r="A367" s="521"/>
      <c r="B367" s="528"/>
      <c r="C367" s="538"/>
      <c r="D367" s="528"/>
      <c r="E367" s="523"/>
      <c r="F367" s="528"/>
      <c r="G367" s="523"/>
      <c r="H367" s="528"/>
      <c r="I367" s="523"/>
      <c r="J367" s="528"/>
      <c r="K367" s="523"/>
      <c r="L367" s="528"/>
      <c r="M367" s="523"/>
      <c r="N367" s="528"/>
      <c r="O367" s="523"/>
      <c r="P367" s="528"/>
      <c r="Q367" s="523"/>
      <c r="R367" s="528"/>
      <c r="S367" s="523"/>
      <c r="T367" s="528"/>
      <c r="U367" s="523"/>
      <c r="V367" s="528"/>
      <c r="W367" s="523"/>
      <c r="X367" s="528"/>
      <c r="Y367" s="523"/>
      <c r="Z367" s="528"/>
      <c r="AA367" s="523"/>
      <c r="AB367" s="528"/>
      <c r="AC367" s="523"/>
      <c r="AD367" s="528"/>
      <c r="AE367" s="523"/>
      <c r="AF367" s="528"/>
      <c r="AG367" s="523"/>
      <c r="AH367" s="528"/>
      <c r="AI367" s="523"/>
      <c r="AJ367" s="528"/>
      <c r="AK367" s="523"/>
      <c r="AL367" s="528"/>
      <c r="AM367" s="523"/>
      <c r="AN367" s="528"/>
      <c r="AO367" s="520"/>
      <c r="AP367" s="528"/>
      <c r="AQ367" s="520"/>
      <c r="AR367" s="528"/>
      <c r="AS367" s="520"/>
      <c r="AT367" s="528"/>
      <c r="AU367" s="520"/>
      <c r="AV367" s="528"/>
      <c r="AW367" s="520"/>
      <c r="AX367" s="528"/>
      <c r="AY367" s="520"/>
      <c r="AZ367" s="528"/>
      <c r="BA367" s="520"/>
      <c r="BB367" s="528"/>
      <c r="BC367" s="520"/>
      <c r="BD367" s="528"/>
      <c r="BE367" s="520"/>
      <c r="BF367" s="528"/>
      <c r="BG367" s="520"/>
      <c r="BH367" s="528"/>
      <c r="BI367" s="520"/>
      <c r="BJ367" s="528"/>
      <c r="BK367" s="520"/>
      <c r="BL367" s="528"/>
      <c r="BM367" s="520"/>
      <c r="BN367" s="528"/>
      <c r="BO367" s="520"/>
      <c r="BP367" s="528"/>
      <c r="BQ367" s="520"/>
      <c r="BR367" s="528"/>
      <c r="BS367" s="520"/>
      <c r="BT367" s="528"/>
      <c r="BU367" s="520"/>
      <c r="BV367" s="528"/>
      <c r="BW367" s="520"/>
      <c r="BX367" s="528"/>
      <c r="BY367" s="520"/>
      <c r="BZ367" s="528"/>
      <c r="CA367" s="520"/>
      <c r="CB367" s="528"/>
      <c r="CC367" s="520"/>
      <c r="CD367" s="528"/>
      <c r="CE367" s="520"/>
      <c r="CF367" s="528"/>
      <c r="CG367" s="520"/>
      <c r="CH367" s="528"/>
      <c r="CI367" s="520"/>
      <c r="CJ367" s="528"/>
      <c r="CK367" s="520"/>
      <c r="CL367" s="528"/>
      <c r="CM367" s="520"/>
      <c r="CN367" s="528"/>
      <c r="CO367" s="520"/>
      <c r="CP367" s="528"/>
      <c r="CQ367" s="520"/>
      <c r="CR367" s="528"/>
      <c r="CS367" s="520"/>
      <c r="CT367" s="528"/>
      <c r="CU367" s="520"/>
      <c r="CV367" s="528"/>
      <c r="CW367" s="520"/>
      <c r="CX367" s="528"/>
      <c r="CY367" s="520"/>
      <c r="CZ367" s="528"/>
      <c r="DA367" s="520"/>
      <c r="DB367" s="528"/>
      <c r="DC367" s="520"/>
      <c r="DD367" s="528"/>
      <c r="DE367" s="520"/>
      <c r="DF367" s="528"/>
      <c r="DG367" s="520"/>
      <c r="DH367" s="528"/>
      <c r="DI367" s="520"/>
      <c r="DJ367" s="528"/>
      <c r="DK367" s="520"/>
      <c r="DL367" s="528"/>
      <c r="DM367" s="520"/>
      <c r="DN367" s="528"/>
      <c r="DO367" s="520"/>
      <c r="DP367" s="528"/>
      <c r="DQ367" s="520"/>
      <c r="DR367" s="528"/>
      <c r="DS367" s="520"/>
      <c r="DT367" s="528"/>
      <c r="DU367" s="520"/>
      <c r="DV367" s="528"/>
      <c r="DW367" s="520"/>
      <c r="DX367" s="528"/>
      <c r="DY367" s="520"/>
      <c r="DZ367" s="528"/>
      <c r="EA367" s="520"/>
      <c r="EB367" s="528"/>
      <c r="EC367" s="520"/>
      <c r="ED367" s="528"/>
      <c r="EE367" s="520"/>
      <c r="EF367" s="528"/>
      <c r="EG367" s="520"/>
      <c r="EH367" s="520"/>
      <c r="EI367" s="528"/>
      <c r="EJ367" s="523"/>
      <c r="EK367" s="528"/>
      <c r="EL367" s="523"/>
      <c r="EM367" s="528"/>
      <c r="EN367" s="523"/>
      <c r="EO367" s="528"/>
      <c r="EP367" s="523"/>
      <c r="EQ367" s="528"/>
      <c r="ER367" s="520"/>
      <c r="ES367" s="528"/>
      <c r="ET367" s="520"/>
      <c r="EU367" s="528"/>
      <c r="EV367" s="520"/>
      <c r="EW367" s="528"/>
      <c r="EX367" s="520"/>
      <c r="EY367" s="528"/>
      <c r="EZ367" s="520"/>
      <c r="FA367" s="528"/>
      <c r="FB367" s="520"/>
      <c r="FC367" s="528"/>
      <c r="FD367" s="520"/>
      <c r="FE367" s="528"/>
      <c r="FF367" s="520"/>
      <c r="FG367" s="528"/>
      <c r="FH367" s="520"/>
      <c r="FI367" s="528"/>
      <c r="FJ367" s="520"/>
      <c r="FK367" s="528"/>
      <c r="FL367" s="520"/>
      <c r="FM367" s="528"/>
      <c r="FN367" s="520"/>
      <c r="FO367" s="528"/>
      <c r="FP367" s="520"/>
      <c r="FQ367" s="528"/>
      <c r="FR367" s="520"/>
      <c r="FS367" s="528"/>
      <c r="FT367" s="520"/>
      <c r="FU367" s="528"/>
      <c r="FV367" s="520"/>
      <c r="FW367" s="528"/>
      <c r="FX367" s="520"/>
      <c r="FY367" s="528"/>
      <c r="FZ367" s="520"/>
      <c r="GA367" s="523"/>
    </row>
    <row r="368" spans="1:183" ht="12.75" hidden="1" customHeight="1" outlineLevel="2" x14ac:dyDescent="0.2">
      <c r="A368" s="517" t="s">
        <v>450</v>
      </c>
      <c r="B368" s="528"/>
      <c r="C368" s="538"/>
      <c r="D368" s="528"/>
      <c r="E368" s="523"/>
      <c r="F368" s="528"/>
      <c r="G368" s="523"/>
      <c r="H368" s="528"/>
      <c r="I368" s="523"/>
      <c r="J368" s="528"/>
      <c r="K368" s="523"/>
      <c r="L368" s="528"/>
      <c r="M368" s="523"/>
      <c r="N368" s="528"/>
      <c r="O368" s="523"/>
      <c r="P368" s="528"/>
      <c r="Q368" s="523"/>
      <c r="R368" s="528"/>
      <c r="S368" s="523"/>
      <c r="T368" s="528"/>
      <c r="U368" s="523"/>
      <c r="V368" s="528"/>
      <c r="W368" s="523"/>
      <c r="X368" s="528"/>
      <c r="Y368" s="523"/>
      <c r="Z368" s="528"/>
      <c r="AA368" s="523"/>
      <c r="AB368" s="528"/>
      <c r="AC368" s="523"/>
      <c r="AD368" s="528"/>
      <c r="AE368" s="523"/>
      <c r="AF368" s="528"/>
      <c r="AG368" s="523"/>
      <c r="AH368" s="528"/>
      <c r="AI368" s="523"/>
      <c r="AJ368" s="528"/>
      <c r="AK368" s="523"/>
      <c r="AL368" s="528"/>
      <c r="AM368" s="523"/>
      <c r="AN368" s="528"/>
      <c r="AO368" s="520"/>
      <c r="AP368" s="528"/>
      <c r="AQ368" s="520"/>
      <c r="AR368" s="528"/>
      <c r="AS368" s="520"/>
      <c r="AT368" s="528"/>
      <c r="AU368" s="520"/>
      <c r="AV368" s="528"/>
      <c r="AW368" s="520"/>
      <c r="AX368" s="528"/>
      <c r="AY368" s="520"/>
      <c r="AZ368" s="528"/>
      <c r="BA368" s="520"/>
      <c r="BB368" s="528"/>
      <c r="BC368" s="520"/>
      <c r="BD368" s="528"/>
      <c r="BE368" s="520"/>
      <c r="BF368" s="528"/>
      <c r="BG368" s="520"/>
      <c r="BH368" s="528"/>
      <c r="BI368" s="520"/>
      <c r="BJ368" s="528"/>
      <c r="BK368" s="520"/>
      <c r="BL368" s="528"/>
      <c r="BM368" s="520"/>
      <c r="BN368" s="528"/>
      <c r="BO368" s="520"/>
      <c r="BP368" s="528"/>
      <c r="BQ368" s="520"/>
      <c r="BR368" s="528"/>
      <c r="BS368" s="520"/>
      <c r="BT368" s="528"/>
      <c r="BU368" s="520"/>
      <c r="BV368" s="528"/>
      <c r="BW368" s="520"/>
      <c r="BX368" s="528"/>
      <c r="BY368" s="520"/>
      <c r="BZ368" s="528"/>
      <c r="CA368" s="520"/>
      <c r="CB368" s="528"/>
      <c r="CC368" s="520"/>
      <c r="CD368" s="528"/>
      <c r="CE368" s="520"/>
      <c r="CF368" s="528"/>
      <c r="CG368" s="520"/>
      <c r="CH368" s="528"/>
      <c r="CI368" s="520"/>
      <c r="CJ368" s="528"/>
      <c r="CK368" s="520"/>
      <c r="CL368" s="528"/>
      <c r="CM368" s="520"/>
      <c r="CN368" s="528"/>
      <c r="CO368" s="520"/>
      <c r="CP368" s="528"/>
      <c r="CQ368" s="520"/>
      <c r="CR368" s="528"/>
      <c r="CS368" s="520"/>
      <c r="CT368" s="528"/>
      <c r="CU368" s="520"/>
      <c r="CV368" s="528"/>
      <c r="CW368" s="520"/>
      <c r="CX368" s="528"/>
      <c r="CY368" s="520"/>
      <c r="CZ368" s="528"/>
      <c r="DA368" s="520"/>
      <c r="DB368" s="528"/>
      <c r="DC368" s="520"/>
      <c r="DD368" s="528"/>
      <c r="DE368" s="520"/>
      <c r="DF368" s="528"/>
      <c r="DG368" s="520"/>
      <c r="DH368" s="528"/>
      <c r="DI368" s="520"/>
      <c r="DJ368" s="528"/>
      <c r="DK368" s="520"/>
      <c r="DL368" s="528"/>
      <c r="DM368" s="520"/>
      <c r="DN368" s="528"/>
      <c r="DO368" s="520"/>
      <c r="DP368" s="528"/>
      <c r="DQ368" s="520"/>
      <c r="DR368" s="528"/>
      <c r="DS368" s="520"/>
      <c r="DT368" s="528"/>
      <c r="DU368" s="520"/>
      <c r="DV368" s="528"/>
      <c r="DW368" s="520"/>
      <c r="DX368" s="528"/>
      <c r="DY368" s="520"/>
      <c r="DZ368" s="528"/>
      <c r="EA368" s="520"/>
      <c r="EB368" s="528"/>
      <c r="EC368" s="520"/>
      <c r="ED368" s="528"/>
      <c r="EE368" s="520"/>
      <c r="EF368" s="528"/>
      <c r="EG368" s="520"/>
      <c r="EH368" s="520"/>
      <c r="EI368" s="528"/>
      <c r="EJ368" s="523"/>
      <c r="EK368" s="528"/>
      <c r="EL368" s="523"/>
      <c r="EM368" s="528"/>
      <c r="EN368" s="523"/>
      <c r="EO368" s="528"/>
      <c r="EP368" s="523"/>
      <c r="EQ368" s="528"/>
      <c r="ER368" s="520"/>
      <c r="ES368" s="528"/>
      <c r="ET368" s="520"/>
      <c r="EU368" s="528"/>
      <c r="EV368" s="520"/>
      <c r="EW368" s="528"/>
      <c r="EX368" s="520"/>
      <c r="EY368" s="528"/>
      <c r="EZ368" s="520"/>
      <c r="FA368" s="528"/>
      <c r="FB368" s="520"/>
      <c r="FC368" s="528"/>
      <c r="FD368" s="520"/>
      <c r="FE368" s="528"/>
      <c r="FF368" s="520"/>
      <c r="FG368" s="528"/>
      <c r="FH368" s="520"/>
      <c r="FI368" s="528"/>
      <c r="FJ368" s="520"/>
      <c r="FK368" s="528"/>
      <c r="FL368" s="520"/>
      <c r="FM368" s="528"/>
      <c r="FN368" s="520"/>
      <c r="FO368" s="528"/>
      <c r="FP368" s="520"/>
      <c r="FQ368" s="528"/>
      <c r="FR368" s="520"/>
      <c r="FS368" s="528"/>
      <c r="FT368" s="520"/>
      <c r="FU368" s="528"/>
      <c r="FV368" s="520"/>
      <c r="FW368" s="528"/>
      <c r="FX368" s="520"/>
      <c r="FY368" s="528"/>
      <c r="FZ368" s="520"/>
      <c r="GA368" s="523"/>
    </row>
    <row r="369" spans="1:183" ht="12.75" hidden="1" customHeight="1" outlineLevel="2" x14ac:dyDescent="0.2">
      <c r="A369" s="521" t="str">
        <f>INPUT!B330</f>
        <v>Pretax Earnings/Revenues (%)</v>
      </c>
      <c r="B369" s="540">
        <f>INPUT!M330</f>
        <v>13.249516441005804</v>
      </c>
      <c r="C369" s="550">
        <f>INPUT!N330</f>
        <v>37.547138304829986</v>
      </c>
      <c r="D369" s="540">
        <f>INPUT!O330</f>
        <v>19.286403085824482</v>
      </c>
      <c r="E369" s="523">
        <f>INPUT!P330</f>
        <v>39.587729264729731</v>
      </c>
      <c r="F369" s="540">
        <f>INPUT!Q330</f>
        <v>15.619047619047624</v>
      </c>
      <c r="G369" s="523">
        <f>INPUT!R330</f>
        <v>25.510204081632626</v>
      </c>
      <c r="H369" s="540">
        <f>INPUT!S330</f>
        <v>15.106382978723392</v>
      </c>
      <c r="I369" s="523">
        <f>INPUT!T330</f>
        <v>-32.818818554248793</v>
      </c>
      <c r="J369" s="540">
        <f>INPUT!U330</f>
        <v>15.584415584415579</v>
      </c>
      <c r="K369" s="523">
        <f>INPUT!V330</f>
        <v>17.622523461939466</v>
      </c>
      <c r="L369" s="540">
        <f>INPUT!W330</f>
        <v>11.788617886178871</v>
      </c>
      <c r="M369" s="523">
        <f>INPUT!X330</f>
        <v>-38.876016260162515</v>
      </c>
      <c r="N369" s="540">
        <f>INPUT!Y330</f>
        <v>13.829787234042554</v>
      </c>
      <c r="O369" s="523">
        <f>INPUT!Z330</f>
        <v>-11.455630513751968</v>
      </c>
      <c r="P369" s="540">
        <f>INPUT!AA330</f>
        <v>2.2016222479721801</v>
      </c>
      <c r="Q369" s="523" t="str">
        <f>INPUT!AB330</f>
        <v>NM</v>
      </c>
      <c r="R369" s="540">
        <f>INPUT!AC330</f>
        <v>11.157024793388439</v>
      </c>
      <c r="S369" s="523">
        <f>INPUT!AD330</f>
        <v>-28.409090909090828</v>
      </c>
      <c r="T369" s="540">
        <f>INPUT!AE330</f>
        <v>16.666666666666661</v>
      </c>
      <c r="U369" s="523">
        <f>INPUT!AF330</f>
        <v>41.379310344827424</v>
      </c>
      <c r="V369" s="540">
        <f>INPUT!AG330</f>
        <v>12.302839116719232</v>
      </c>
      <c r="W369" s="523">
        <f>INPUT!AH330</f>
        <v>-11.041009463722485</v>
      </c>
      <c r="X369" s="540">
        <f>INPUT!AI330</f>
        <v>9.4965675057208365</v>
      </c>
      <c r="Y369" s="523" t="str">
        <f>INPUT!AJ330</f>
        <v>NM</v>
      </c>
      <c r="Z369" s="540">
        <f>INPUT!AK330</f>
        <v>11.204819277108449</v>
      </c>
      <c r="AA369" s="523">
        <f>INPUT!AL330</f>
        <v>0.42838018741637729</v>
      </c>
      <c r="AB369" s="540">
        <f>INPUT!AM330</f>
        <v>15.995397008055242</v>
      </c>
      <c r="AC369" s="523">
        <f>INPUT!AN330</f>
        <v>-4.0276179516685158</v>
      </c>
      <c r="AD369" s="540">
        <f>INPUT!AO330</f>
        <v>16.687116564417188</v>
      </c>
      <c r="AE369" s="523">
        <f>INPUT!AP330</f>
        <v>35.636306433852653</v>
      </c>
      <c r="AF369" s="540">
        <f>INPUT!AQ330</f>
        <v>11.435523114355238</v>
      </c>
      <c r="AG369" s="523">
        <f>INPUT!AR330</f>
        <v>20.417436168029688</v>
      </c>
      <c r="AH369" s="540">
        <f>INPUT!AS330</f>
        <v>12.56544502617802</v>
      </c>
      <c r="AI369" s="523">
        <f>INPUT!AT330</f>
        <v>12.143219050835953</v>
      </c>
      <c r="AJ369" s="540">
        <f>INPUT!AU330</f>
        <v>10.320284697508884</v>
      </c>
      <c r="AK369" s="523">
        <f>INPUT!AV330</f>
        <v>-35.479658977444487</v>
      </c>
      <c r="AL369" s="540">
        <f>INPUT!AW330</f>
        <v>12.926829268292675</v>
      </c>
      <c r="AM369" s="523">
        <f>INPUT!AX330</f>
        <v>-22.534074605452037</v>
      </c>
      <c r="AN369" s="540">
        <f>INPUT!AY330</f>
        <v>16.452442159383047</v>
      </c>
      <c r="AO369" s="520">
        <f>INPUT!AZ330</f>
        <v>43.871355904392082</v>
      </c>
      <c r="AP369" s="540">
        <f>INPUT!BA330</f>
        <v>9.6256684491978639</v>
      </c>
      <c r="AQ369" s="520">
        <f>INPUT!BB330</f>
        <v>-23.395721925133728</v>
      </c>
      <c r="AR369" s="540">
        <f>INPUT!BC330</f>
        <v>11.17318435754189</v>
      </c>
      <c r="AS369" s="520">
        <f>INPUT!BD330</f>
        <v>8.2643036023887895</v>
      </c>
      <c r="AT369" s="540">
        <f>INPUT!BE330</f>
        <v>11.920529801324518</v>
      </c>
      <c r="AU369" s="520">
        <f>INPUT!BF330</f>
        <v>-7.7845807822064961</v>
      </c>
      <c r="AV369" s="540">
        <f>INPUT!BG330</f>
        <v>17.897727272727266</v>
      </c>
      <c r="AW369" s="520">
        <f>INPUT!BH330</f>
        <v>8.7846235795453254</v>
      </c>
      <c r="AX369" s="541">
        <f>INPUT!BI330</f>
        <v>11.271676300578022</v>
      </c>
      <c r="AY369" s="520">
        <f>INPUT!BJ330</f>
        <v>17.100192678227199</v>
      </c>
      <c r="AZ369" s="541">
        <f>INPUT!BK330</f>
        <v>9.9706744868035067</v>
      </c>
      <c r="BA369" s="520">
        <f>INPUT!BL330</f>
        <v>-10.762463343108541</v>
      </c>
      <c r="BB369" s="541">
        <f>INPUT!BM330</f>
        <v>10.324483775811199</v>
      </c>
      <c r="BC369" s="520">
        <f>INPUT!BN330</f>
        <v>0</v>
      </c>
      <c r="BD369" s="541"/>
      <c r="BE369" s="520"/>
      <c r="BF369" s="541"/>
      <c r="BG369" s="520"/>
      <c r="BH369" s="541"/>
      <c r="BI369" s="520"/>
      <c r="BJ369" s="541"/>
      <c r="BK369" s="520"/>
      <c r="BL369" s="541"/>
      <c r="BM369" s="520"/>
      <c r="BN369" s="541"/>
      <c r="BO369" s="520"/>
      <c r="BP369" s="541"/>
      <c r="BQ369" s="520"/>
      <c r="BR369" s="541"/>
      <c r="BS369" s="520"/>
      <c r="BT369" s="541"/>
      <c r="BU369" s="520"/>
      <c r="BV369" s="541"/>
      <c r="BW369" s="520"/>
      <c r="BX369" s="541"/>
      <c r="BY369" s="520"/>
      <c r="BZ369" s="541"/>
      <c r="CA369" s="520"/>
      <c r="CB369" s="541"/>
      <c r="CC369" s="520"/>
      <c r="CD369" s="541"/>
      <c r="CE369" s="520"/>
      <c r="CF369" s="541"/>
      <c r="CG369" s="520"/>
      <c r="CH369" s="541"/>
      <c r="CI369" s="520"/>
      <c r="CJ369" s="541"/>
      <c r="CK369" s="520"/>
      <c r="CL369" s="541"/>
      <c r="CM369" s="520"/>
      <c r="CN369" s="541"/>
      <c r="CO369" s="520"/>
      <c r="CP369" s="541"/>
      <c r="CQ369" s="520"/>
      <c r="CR369" s="541"/>
      <c r="CS369" s="520"/>
      <c r="CT369" s="541"/>
      <c r="CU369" s="520"/>
      <c r="CV369" s="541"/>
      <c r="CW369" s="520"/>
      <c r="CX369" s="541"/>
      <c r="CY369" s="520"/>
      <c r="CZ369" s="541"/>
      <c r="DA369" s="520"/>
      <c r="DB369" s="541"/>
      <c r="DC369" s="520"/>
      <c r="DD369" s="541"/>
      <c r="DE369" s="520"/>
      <c r="DF369" s="541"/>
      <c r="DG369" s="520"/>
      <c r="DH369" s="541"/>
      <c r="DI369" s="520"/>
      <c r="DJ369" s="541"/>
      <c r="DK369" s="520"/>
      <c r="DL369" s="541"/>
      <c r="DM369" s="520"/>
      <c r="DN369" s="541"/>
      <c r="DO369" s="520"/>
      <c r="DP369" s="541"/>
      <c r="DQ369" s="520"/>
      <c r="DR369" s="541"/>
      <c r="DS369" s="520"/>
      <c r="DT369" s="541"/>
      <c r="DU369" s="520"/>
      <c r="DV369" s="541"/>
      <c r="DW369" s="520"/>
      <c r="DX369" s="541"/>
      <c r="DY369" s="520"/>
      <c r="DZ369" s="541"/>
      <c r="EA369" s="520"/>
      <c r="EB369" s="541"/>
      <c r="EC369" s="520"/>
      <c r="ED369" s="541"/>
      <c r="EE369" s="520"/>
      <c r="EF369" s="541"/>
      <c r="EG369" s="520"/>
      <c r="EH369" s="520"/>
      <c r="EI369" s="540">
        <f>INPUT!FB330</f>
        <v>13.478173405753369</v>
      </c>
      <c r="EJ369" s="523" t="str">
        <f>INPUT!FC330</f>
        <v>NA</v>
      </c>
      <c r="EK369" s="540">
        <f>INPUT!FD330</f>
        <v>15.833538537306085</v>
      </c>
      <c r="EL369" s="523">
        <f>INPUT!FE330</f>
        <v>17.475403087982922</v>
      </c>
      <c r="EM369" s="540">
        <f>INPUT!FF330</f>
        <v>11.114044350580771</v>
      </c>
      <c r="EN369" s="523">
        <f>INPUT!FG330</f>
        <v>-29.806945400142293</v>
      </c>
      <c r="EO369" s="540">
        <f>INPUT!FH330</f>
        <v>12.373943853911156</v>
      </c>
      <c r="EP369" s="523">
        <f>INPUT!FI330</f>
        <v>11.33610289457363</v>
      </c>
      <c r="EQ369" s="540">
        <f>INPUT!FJ330</f>
        <v>14.188034188034187</v>
      </c>
      <c r="ER369" s="520">
        <f>INPUT!FK330</f>
        <v>14.660567039421579</v>
      </c>
      <c r="ES369" s="540">
        <f>INPUT!FL330</f>
        <v>12.530813475760056</v>
      </c>
      <c r="ET369" s="520">
        <f>INPUT!FM330</f>
        <v>-11.680411044341776</v>
      </c>
      <c r="EU369" s="540">
        <f>INPUT!FN330</f>
        <v>12.626262626262616</v>
      </c>
      <c r="EV369" s="520">
        <f>INPUT!FO330</f>
        <v>0.76171551581387664</v>
      </c>
      <c r="EW369" s="540">
        <f>INPUT!FP330</f>
        <v>10.526315789473669</v>
      </c>
      <c r="EX369" s="520">
        <f>INPUT!FQ330</f>
        <v>-16.631578947368475</v>
      </c>
      <c r="EY369" s="541"/>
      <c r="EZ369" s="520"/>
      <c r="FA369" s="541"/>
      <c r="FB369" s="520"/>
      <c r="FC369" s="541"/>
      <c r="FD369" s="520"/>
      <c r="FE369" s="541"/>
      <c r="FF369" s="520"/>
      <c r="FG369" s="541"/>
      <c r="FH369" s="520"/>
      <c r="FI369" s="541"/>
      <c r="FJ369" s="520"/>
      <c r="FK369" s="541"/>
      <c r="FL369" s="520"/>
      <c r="FM369" s="541"/>
      <c r="FN369" s="520"/>
      <c r="FO369" s="541"/>
      <c r="FP369" s="520"/>
      <c r="FQ369" s="541"/>
      <c r="FR369" s="520"/>
      <c r="FS369" s="541"/>
      <c r="FT369" s="520"/>
      <c r="FU369" s="541"/>
      <c r="FV369" s="520"/>
      <c r="FW369" s="541"/>
      <c r="FX369" s="520"/>
      <c r="FY369" s="541"/>
      <c r="FZ369" s="520"/>
      <c r="GA369" s="523"/>
    </row>
    <row r="370" spans="1:183" ht="12.75" hidden="1" customHeight="1" outlineLevel="2" x14ac:dyDescent="0.2">
      <c r="A370" s="521"/>
      <c r="B370" s="528"/>
      <c r="C370" s="538"/>
      <c r="D370" s="528"/>
      <c r="E370" s="523"/>
      <c r="F370" s="528"/>
      <c r="G370" s="523"/>
      <c r="H370" s="528"/>
      <c r="I370" s="523"/>
      <c r="J370" s="528"/>
      <c r="K370" s="523"/>
      <c r="L370" s="528"/>
      <c r="M370" s="523"/>
      <c r="N370" s="528"/>
      <c r="O370" s="523"/>
      <c r="P370" s="528"/>
      <c r="Q370" s="523"/>
      <c r="R370" s="528"/>
      <c r="S370" s="523"/>
      <c r="T370" s="528"/>
      <c r="U370" s="523"/>
      <c r="V370" s="528"/>
      <c r="W370" s="523"/>
      <c r="X370" s="528"/>
      <c r="Y370" s="523"/>
      <c r="Z370" s="528"/>
      <c r="AA370" s="523"/>
      <c r="AB370" s="528"/>
      <c r="AC370" s="523"/>
      <c r="AD370" s="528"/>
      <c r="AE370" s="523"/>
      <c r="AF370" s="528"/>
      <c r="AG370" s="523"/>
      <c r="AH370" s="528"/>
      <c r="AI370" s="523"/>
      <c r="AJ370" s="528"/>
      <c r="AK370" s="523"/>
      <c r="AL370" s="528"/>
      <c r="AM370" s="523"/>
      <c r="AN370" s="528"/>
      <c r="AO370" s="520"/>
      <c r="AP370" s="528"/>
      <c r="AQ370" s="520"/>
      <c r="AR370" s="528"/>
      <c r="AS370" s="520"/>
      <c r="AT370" s="528"/>
      <c r="AU370" s="520"/>
      <c r="AV370" s="528"/>
      <c r="AW370" s="520"/>
      <c r="AX370" s="528"/>
      <c r="AY370" s="520"/>
      <c r="AZ370" s="528"/>
      <c r="BA370" s="520"/>
      <c r="BB370" s="528"/>
      <c r="BC370" s="520"/>
      <c r="BD370" s="528"/>
      <c r="BE370" s="520"/>
      <c r="BF370" s="528"/>
      <c r="BG370" s="520"/>
      <c r="BH370" s="528"/>
      <c r="BI370" s="520"/>
      <c r="BJ370" s="528"/>
      <c r="BK370" s="520"/>
      <c r="BL370" s="528"/>
      <c r="BM370" s="520"/>
      <c r="BN370" s="528"/>
      <c r="BO370" s="520"/>
      <c r="BP370" s="528"/>
      <c r="BQ370" s="520"/>
      <c r="BR370" s="528"/>
      <c r="BS370" s="520"/>
      <c r="BT370" s="528"/>
      <c r="BU370" s="520"/>
      <c r="BV370" s="528"/>
      <c r="BW370" s="520"/>
      <c r="BX370" s="528"/>
      <c r="BY370" s="520"/>
      <c r="BZ370" s="528"/>
      <c r="CA370" s="520"/>
      <c r="CB370" s="528"/>
      <c r="CC370" s="520"/>
      <c r="CD370" s="528"/>
      <c r="CE370" s="520"/>
      <c r="CF370" s="528"/>
      <c r="CG370" s="520"/>
      <c r="CH370" s="528"/>
      <c r="CI370" s="520"/>
      <c r="CJ370" s="528"/>
      <c r="CK370" s="520"/>
      <c r="CL370" s="528"/>
      <c r="CM370" s="520"/>
      <c r="CN370" s="528"/>
      <c r="CO370" s="520"/>
      <c r="CP370" s="528"/>
      <c r="CQ370" s="520"/>
      <c r="CR370" s="528"/>
      <c r="CS370" s="520"/>
      <c r="CT370" s="528"/>
      <c r="CU370" s="520"/>
      <c r="CV370" s="528"/>
      <c r="CW370" s="520"/>
      <c r="CX370" s="528"/>
      <c r="CY370" s="520"/>
      <c r="CZ370" s="528"/>
      <c r="DA370" s="520"/>
      <c r="DB370" s="528"/>
      <c r="DC370" s="520"/>
      <c r="DD370" s="528"/>
      <c r="DE370" s="520"/>
      <c r="DF370" s="528"/>
      <c r="DG370" s="520"/>
      <c r="DH370" s="528"/>
      <c r="DI370" s="520"/>
      <c r="DJ370" s="528"/>
      <c r="DK370" s="520"/>
      <c r="DL370" s="528"/>
      <c r="DM370" s="520"/>
      <c r="DN370" s="528"/>
      <c r="DO370" s="520"/>
      <c r="DP370" s="528"/>
      <c r="DQ370" s="520"/>
      <c r="DR370" s="528"/>
      <c r="DS370" s="520"/>
      <c r="DT370" s="528"/>
      <c r="DU370" s="520"/>
      <c r="DV370" s="528"/>
      <c r="DW370" s="520"/>
      <c r="DX370" s="528"/>
      <c r="DY370" s="520"/>
      <c r="DZ370" s="528"/>
      <c r="EA370" s="520"/>
      <c r="EB370" s="528"/>
      <c r="EC370" s="520"/>
      <c r="ED370" s="528"/>
      <c r="EE370" s="520"/>
      <c r="EF370" s="528"/>
      <c r="EG370" s="520"/>
      <c r="EH370" s="520"/>
      <c r="EI370" s="528"/>
      <c r="EJ370" s="523"/>
      <c r="EK370" s="528"/>
      <c r="EL370" s="523"/>
      <c r="EM370" s="528"/>
      <c r="EN370" s="523"/>
      <c r="EO370" s="528"/>
      <c r="EP370" s="523"/>
      <c r="EQ370" s="528"/>
      <c r="ER370" s="520"/>
      <c r="ES370" s="528"/>
      <c r="ET370" s="520"/>
      <c r="EU370" s="528"/>
      <c r="EV370" s="520"/>
      <c r="EW370" s="528"/>
      <c r="EX370" s="520"/>
      <c r="EY370" s="528"/>
      <c r="EZ370" s="520"/>
      <c r="FA370" s="528"/>
      <c r="FB370" s="520"/>
      <c r="FC370" s="528"/>
      <c r="FD370" s="520"/>
      <c r="FE370" s="528"/>
      <c r="FF370" s="520"/>
      <c r="FG370" s="528"/>
      <c r="FH370" s="520"/>
      <c r="FI370" s="528"/>
      <c r="FJ370" s="520"/>
      <c r="FK370" s="528"/>
      <c r="FL370" s="520"/>
      <c r="FM370" s="528"/>
      <c r="FN370" s="520"/>
      <c r="FO370" s="528"/>
      <c r="FP370" s="520"/>
      <c r="FQ370" s="528"/>
      <c r="FR370" s="520"/>
      <c r="FS370" s="528"/>
      <c r="FT370" s="520"/>
      <c r="FU370" s="528"/>
      <c r="FV370" s="520"/>
      <c r="FW370" s="528"/>
      <c r="FX370" s="520"/>
      <c r="FY370" s="528"/>
      <c r="FZ370" s="520"/>
      <c r="GA370" s="523"/>
    </row>
    <row r="371" spans="1:183" ht="12.75" hidden="1" customHeight="1" outlineLevel="2" x14ac:dyDescent="0.2">
      <c r="A371" s="517" t="s">
        <v>438</v>
      </c>
      <c r="B371" s="528"/>
      <c r="C371" s="538"/>
      <c r="D371" s="528"/>
      <c r="E371" s="523"/>
      <c r="F371" s="528"/>
      <c r="G371" s="523"/>
      <c r="H371" s="528"/>
      <c r="I371" s="523"/>
      <c r="J371" s="528"/>
      <c r="K371" s="523"/>
      <c r="L371" s="528"/>
      <c r="M371" s="523"/>
      <c r="N371" s="528"/>
      <c r="O371" s="523"/>
      <c r="P371" s="528"/>
      <c r="Q371" s="523"/>
      <c r="R371" s="528"/>
      <c r="S371" s="523"/>
      <c r="T371" s="528"/>
      <c r="U371" s="523"/>
      <c r="V371" s="528"/>
      <c r="W371" s="523"/>
      <c r="X371" s="528"/>
      <c r="Y371" s="523"/>
      <c r="Z371" s="528"/>
      <c r="AA371" s="523"/>
      <c r="AB371" s="528"/>
      <c r="AC371" s="523"/>
      <c r="AD371" s="528"/>
      <c r="AE371" s="523"/>
      <c r="AF371" s="528"/>
      <c r="AG371" s="523"/>
      <c r="AH371" s="528"/>
      <c r="AI371" s="523"/>
      <c r="AJ371" s="528"/>
      <c r="AK371" s="523"/>
      <c r="AL371" s="528"/>
      <c r="AM371" s="523"/>
      <c r="AN371" s="528"/>
      <c r="AO371" s="520"/>
      <c r="AP371" s="528"/>
      <c r="AQ371" s="520"/>
      <c r="AR371" s="528"/>
      <c r="AS371" s="520"/>
      <c r="AT371" s="528"/>
      <c r="AU371" s="520"/>
      <c r="AV371" s="528"/>
      <c r="AW371" s="520"/>
      <c r="AX371" s="528"/>
      <c r="AY371" s="520"/>
      <c r="AZ371" s="528"/>
      <c r="BA371" s="520"/>
      <c r="BB371" s="528"/>
      <c r="BC371" s="520"/>
      <c r="BD371" s="528"/>
      <c r="BE371" s="520"/>
      <c r="BF371" s="528"/>
      <c r="BG371" s="520"/>
      <c r="BH371" s="528"/>
      <c r="BI371" s="520"/>
      <c r="BJ371" s="528"/>
      <c r="BK371" s="520"/>
      <c r="BL371" s="528"/>
      <c r="BM371" s="520"/>
      <c r="BN371" s="528"/>
      <c r="BO371" s="520"/>
      <c r="BP371" s="528"/>
      <c r="BQ371" s="520"/>
      <c r="BR371" s="528"/>
      <c r="BS371" s="520"/>
      <c r="BT371" s="528"/>
      <c r="BU371" s="520"/>
      <c r="BV371" s="528"/>
      <c r="BW371" s="520"/>
      <c r="BX371" s="528"/>
      <c r="BY371" s="520"/>
      <c r="BZ371" s="528"/>
      <c r="CA371" s="520"/>
      <c r="CB371" s="528"/>
      <c r="CC371" s="520"/>
      <c r="CD371" s="528"/>
      <c r="CE371" s="520"/>
      <c r="CF371" s="528"/>
      <c r="CG371" s="520"/>
      <c r="CH371" s="528"/>
      <c r="CI371" s="520"/>
      <c r="CJ371" s="528"/>
      <c r="CK371" s="520"/>
      <c r="CL371" s="528"/>
      <c r="CM371" s="520"/>
      <c r="CN371" s="528"/>
      <c r="CO371" s="520"/>
      <c r="CP371" s="528"/>
      <c r="CQ371" s="520"/>
      <c r="CR371" s="528"/>
      <c r="CS371" s="520"/>
      <c r="CT371" s="528"/>
      <c r="CU371" s="520"/>
      <c r="CV371" s="528"/>
      <c r="CW371" s="520"/>
      <c r="CX371" s="528"/>
      <c r="CY371" s="520"/>
      <c r="CZ371" s="528"/>
      <c r="DA371" s="520"/>
      <c r="DB371" s="528"/>
      <c r="DC371" s="520"/>
      <c r="DD371" s="528"/>
      <c r="DE371" s="520"/>
      <c r="DF371" s="528"/>
      <c r="DG371" s="520"/>
      <c r="DH371" s="528"/>
      <c r="DI371" s="520"/>
      <c r="DJ371" s="528"/>
      <c r="DK371" s="520"/>
      <c r="DL371" s="528"/>
      <c r="DM371" s="520"/>
      <c r="DN371" s="528"/>
      <c r="DO371" s="520"/>
      <c r="DP371" s="528"/>
      <c r="DQ371" s="520"/>
      <c r="DR371" s="528"/>
      <c r="DS371" s="520"/>
      <c r="DT371" s="528"/>
      <c r="DU371" s="520"/>
      <c r="DV371" s="528"/>
      <c r="DW371" s="520"/>
      <c r="DX371" s="528"/>
      <c r="DY371" s="520"/>
      <c r="DZ371" s="528"/>
      <c r="EA371" s="520"/>
      <c r="EB371" s="528"/>
      <c r="EC371" s="520"/>
      <c r="ED371" s="528"/>
      <c r="EE371" s="520"/>
      <c r="EF371" s="528"/>
      <c r="EG371" s="520"/>
      <c r="EH371" s="520"/>
      <c r="EI371" s="528"/>
      <c r="EJ371" s="523"/>
      <c r="EK371" s="528"/>
      <c r="EL371" s="523"/>
      <c r="EM371" s="528"/>
      <c r="EN371" s="523"/>
      <c r="EO371" s="528"/>
      <c r="EP371" s="523"/>
      <c r="EQ371" s="528"/>
      <c r="ER371" s="520"/>
      <c r="ES371" s="528"/>
      <c r="ET371" s="520"/>
      <c r="EU371" s="528"/>
      <c r="EV371" s="520"/>
      <c r="EW371" s="528"/>
      <c r="EX371" s="520"/>
      <c r="EY371" s="528"/>
      <c r="EZ371" s="520"/>
      <c r="FA371" s="528"/>
      <c r="FB371" s="520"/>
      <c r="FC371" s="528"/>
      <c r="FD371" s="520"/>
      <c r="FE371" s="528"/>
      <c r="FF371" s="520"/>
      <c r="FG371" s="528"/>
      <c r="FH371" s="520"/>
      <c r="FI371" s="528"/>
      <c r="FJ371" s="520"/>
      <c r="FK371" s="528"/>
      <c r="FL371" s="520"/>
      <c r="FM371" s="528"/>
      <c r="FN371" s="520"/>
      <c r="FO371" s="528"/>
      <c r="FP371" s="520"/>
      <c r="FQ371" s="528"/>
      <c r="FR371" s="520"/>
      <c r="FS371" s="528"/>
      <c r="FT371" s="520"/>
      <c r="FU371" s="528"/>
      <c r="FV371" s="520"/>
      <c r="FW371" s="528"/>
      <c r="FX371" s="520"/>
      <c r="FY371" s="528"/>
      <c r="FZ371" s="520"/>
      <c r="GA371" s="523"/>
    </row>
    <row r="372" spans="1:183" ht="12.75" hidden="1" customHeight="1" outlineLevel="2" x14ac:dyDescent="0.2">
      <c r="A372" s="521" t="str">
        <f>INPUT!B325</f>
        <v>Benefits/Premiums (%)</v>
      </c>
      <c r="B372" s="528">
        <f>INPUT!M325</f>
        <v>478.49462365591393</v>
      </c>
      <c r="C372" s="538" t="str">
        <f>INPUT!N325</f>
        <v>NM</v>
      </c>
      <c r="D372" s="528">
        <f>INPUT!O325</f>
        <v>313.67521367521374</v>
      </c>
      <c r="E372" s="523">
        <f>INPUT!P325</f>
        <v>97.264691829909239</v>
      </c>
      <c r="F372" s="528">
        <f>INPUT!Q325</f>
        <v>314.38848920863308</v>
      </c>
      <c r="G372" s="523">
        <f>INPUT!R325</f>
        <v>72.086330935251766</v>
      </c>
      <c r="H372" s="528">
        <f>INPUT!S325</f>
        <v>1340.7407407407409</v>
      </c>
      <c r="I372" s="523" t="str">
        <f>INPUT!T325</f>
        <v>NM</v>
      </c>
      <c r="J372" s="528">
        <f>INPUT!U325</f>
        <v>392.00000000000006</v>
      </c>
      <c r="K372" s="523">
        <f>INPUT!V325</f>
        <v>-18.076404494382004</v>
      </c>
      <c r="L372" s="528">
        <f>INPUT!W325</f>
        <v>551.31578947368428</v>
      </c>
      <c r="M372" s="523">
        <f>INPUT!X325</f>
        <v>75.760074573354345</v>
      </c>
      <c r="N372" s="528">
        <f>INPUT!Y325</f>
        <v>393.33333333333331</v>
      </c>
      <c r="O372" s="523">
        <f>INPUT!Z325</f>
        <v>25.110602593440113</v>
      </c>
      <c r="P372" s="528">
        <f>INPUT!AA325</f>
        <v>527.27272727272725</v>
      </c>
      <c r="Q372" s="523" t="str">
        <f>INPUT!AB325</f>
        <v>NM</v>
      </c>
      <c r="R372" s="528">
        <f>INPUT!AC325</f>
        <v>425.58139534883725</v>
      </c>
      <c r="S372" s="523">
        <f>INPUT!AD325</f>
        <v>8.5666824869482525</v>
      </c>
      <c r="T372" s="528">
        <f>INPUT!AE325</f>
        <v>1000</v>
      </c>
      <c r="U372" s="523">
        <f>INPUT!AF325</f>
        <v>81.384248210023841</v>
      </c>
      <c r="V372" s="528">
        <f>INPUT!AG325</f>
        <v>374.52830188679252</v>
      </c>
      <c r="W372" s="523">
        <f>INPUT!AH325</f>
        <v>-4.780940198273087</v>
      </c>
      <c r="X372" s="528">
        <f>INPUT!AI325</f>
        <v>402.17391304347831</v>
      </c>
      <c r="Y372" s="523">
        <f>INPUT!AJ325</f>
        <v>-23.725637181409287</v>
      </c>
      <c r="Z372" s="528">
        <f>INPUT!AK325</f>
        <v>11000</v>
      </c>
      <c r="AA372" s="523" t="str">
        <f>INPUT!AL325</f>
        <v>NM</v>
      </c>
      <c r="AB372" s="528">
        <f>INPUT!AM325</f>
        <v>2450</v>
      </c>
      <c r="AC372" s="523" t="str">
        <f>INPUT!AN325</f>
        <v>NM</v>
      </c>
      <c r="AD372" s="528">
        <f>INPUT!AO325</f>
        <v>-8900</v>
      </c>
      <c r="AE372" s="523" t="str">
        <f>INPUT!AP325</f>
        <v>NM</v>
      </c>
      <c r="AF372" s="528">
        <f>INPUT!AQ325</f>
        <v>2364.2857142857147</v>
      </c>
      <c r="AG372" s="523" t="str">
        <f>INPUT!AR325</f>
        <v>NM</v>
      </c>
      <c r="AH372" s="528">
        <f>INPUT!AS325</f>
        <v>2616.666666666667</v>
      </c>
      <c r="AI372" s="523" t="str">
        <f>INPUT!AT325</f>
        <v>NM</v>
      </c>
      <c r="AJ372" s="528">
        <f>INPUT!AU325</f>
        <v>2550.0000000000005</v>
      </c>
      <c r="AK372" s="523">
        <f>INPUT!AV325</f>
        <v>4.0816326530612512</v>
      </c>
      <c r="AL372" s="528">
        <f>INPUT!AW325</f>
        <v>27300</v>
      </c>
      <c r="AM372" s="523" t="str">
        <f>INPUT!AX325</f>
        <v>NM</v>
      </c>
      <c r="AN372" s="528">
        <f>INPUT!AY325</f>
        <v>1560</v>
      </c>
      <c r="AO372" s="520">
        <f>INPUT!AZ325</f>
        <v>-34.018126888217537</v>
      </c>
      <c r="AP372" s="518">
        <f>INPUT!BA325</f>
        <v>2872.7272727272725</v>
      </c>
      <c r="AQ372" s="520">
        <f>INPUT!BB325</f>
        <v>9.785755645628246</v>
      </c>
      <c r="AR372" s="518">
        <f>INPUT!BC325</f>
        <v>-15300</v>
      </c>
      <c r="AS372" s="520" t="str">
        <f>INPUT!BD325</f>
        <v>NM</v>
      </c>
      <c r="AT372" s="518">
        <f>INPUT!BE325</f>
        <v>4250</v>
      </c>
      <c r="AU372" s="520" t="str">
        <f>INPUT!BF325</f>
        <v>NM</v>
      </c>
      <c r="AV372" s="518">
        <f>INPUT!BG325</f>
        <v>13750</v>
      </c>
      <c r="AW372" s="520" t="str">
        <f>INPUT!BH325</f>
        <v>NM</v>
      </c>
      <c r="AX372" s="518">
        <f>INPUT!BI325</f>
        <v>4028.5714285714284</v>
      </c>
      <c r="AY372" s="520">
        <f>INPUT!BJ325</f>
        <v>40.235081374321879</v>
      </c>
      <c r="AZ372" s="518">
        <f>INPUT!BK325</f>
        <v>14000</v>
      </c>
      <c r="BA372" s="520" t="str">
        <f>INPUT!BL325</f>
        <v>NM</v>
      </c>
      <c r="BB372" s="518" t="str">
        <f>INPUT!BM325</f>
        <v>NM</v>
      </c>
      <c r="BC372" s="520">
        <f>INPUT!BN325</f>
        <v>0</v>
      </c>
      <c r="BD372" s="518"/>
      <c r="BE372" s="520"/>
      <c r="BF372" s="518"/>
      <c r="BG372" s="520"/>
      <c r="BH372" s="518"/>
      <c r="BI372" s="520"/>
      <c r="BJ372" s="518"/>
      <c r="BK372" s="520"/>
      <c r="BL372" s="518"/>
      <c r="BM372" s="520"/>
      <c r="BN372" s="518"/>
      <c r="BO372" s="520"/>
      <c r="BP372" s="518"/>
      <c r="BQ372" s="520"/>
      <c r="BR372" s="518"/>
      <c r="BS372" s="520"/>
      <c r="BT372" s="518"/>
      <c r="BU372" s="520"/>
      <c r="BV372" s="518"/>
      <c r="BW372" s="520"/>
      <c r="BX372" s="518"/>
      <c r="BY372" s="520"/>
      <c r="BZ372" s="518"/>
      <c r="CA372" s="520"/>
      <c r="CB372" s="518"/>
      <c r="CC372" s="520"/>
      <c r="CD372" s="518"/>
      <c r="CE372" s="520"/>
      <c r="CF372" s="518"/>
      <c r="CG372" s="520"/>
      <c r="CH372" s="518"/>
      <c r="CI372" s="520"/>
      <c r="CJ372" s="518"/>
      <c r="CK372" s="520"/>
      <c r="CL372" s="518"/>
      <c r="CM372" s="520"/>
      <c r="CN372" s="518"/>
      <c r="CO372" s="520"/>
      <c r="CP372" s="518"/>
      <c r="CQ372" s="520"/>
      <c r="CR372" s="518"/>
      <c r="CS372" s="520"/>
      <c r="CT372" s="518"/>
      <c r="CU372" s="520"/>
      <c r="CV372" s="518"/>
      <c r="CW372" s="520"/>
      <c r="CX372" s="518"/>
      <c r="CY372" s="520"/>
      <c r="CZ372" s="518"/>
      <c r="DA372" s="520"/>
      <c r="DB372" s="518"/>
      <c r="DC372" s="520"/>
      <c r="DD372" s="518"/>
      <c r="DE372" s="520"/>
      <c r="DF372" s="518"/>
      <c r="DG372" s="520"/>
      <c r="DH372" s="518"/>
      <c r="DI372" s="520"/>
      <c r="DJ372" s="518"/>
      <c r="DK372" s="520"/>
      <c r="DL372" s="518"/>
      <c r="DM372" s="520"/>
      <c r="DN372" s="518"/>
      <c r="DO372" s="520"/>
      <c r="DP372" s="518"/>
      <c r="DQ372" s="520"/>
      <c r="DR372" s="518"/>
      <c r="DS372" s="520"/>
      <c r="DT372" s="518"/>
      <c r="DU372" s="520"/>
      <c r="DV372" s="518"/>
      <c r="DW372" s="520"/>
      <c r="DX372" s="518"/>
      <c r="DY372" s="520"/>
      <c r="DZ372" s="518"/>
      <c r="EA372" s="520"/>
      <c r="EB372" s="518"/>
      <c r="EC372" s="520"/>
      <c r="ED372" s="518"/>
      <c r="EE372" s="520"/>
      <c r="EF372" s="518"/>
      <c r="EG372" s="520"/>
      <c r="EH372" s="520"/>
      <c r="EI372" s="528">
        <f>INPUT!FB325</f>
        <v>190.34852546916895</v>
      </c>
      <c r="EJ372" s="523" t="str">
        <f>INPUT!FC325</f>
        <v>NA</v>
      </c>
      <c r="EK372" s="528">
        <f>INPUT!FD325</f>
        <v>428.45744680851067</v>
      </c>
      <c r="EL372" s="523" t="str">
        <f>INPUT!FE325</f>
        <v>NM</v>
      </c>
      <c r="EM372" s="528">
        <f>INPUT!FF325</f>
        <v>458.01749271137038</v>
      </c>
      <c r="EN372" s="523">
        <f>INPUT!FG325</f>
        <v>6.8991789320144381</v>
      </c>
      <c r="EO372" s="528">
        <f>INPUT!FH325</f>
        <v>454.63258785942503</v>
      </c>
      <c r="EP372" s="523">
        <f>INPUT!FI325</f>
        <v>-0.73903396831143109</v>
      </c>
      <c r="EQ372" s="528">
        <f>INPUT!FJ325</f>
        <v>4700</v>
      </c>
      <c r="ER372" s="520" t="str">
        <f>INPUT!FK325</f>
        <v>NM</v>
      </c>
      <c r="ES372" s="518">
        <f>INPUT!FL325</f>
        <v>2677.7777777777778</v>
      </c>
      <c r="ET372" s="520">
        <f>INPUT!FM325</f>
        <v>-43.026004728132385</v>
      </c>
      <c r="EU372" s="518">
        <f>INPUT!FN325</f>
        <v>6776.4705882352946</v>
      </c>
      <c r="EV372" s="520" t="str">
        <f>INPUT!FO325</f>
        <v>NM</v>
      </c>
      <c r="EW372" s="518">
        <f>INPUT!FP325</f>
        <v>9255.5555555555566</v>
      </c>
      <c r="EX372" s="520">
        <f>INPUT!FQ325</f>
        <v>36.583719135802475</v>
      </c>
      <c r="EY372" s="518"/>
      <c r="EZ372" s="520"/>
      <c r="FA372" s="518"/>
      <c r="FB372" s="520"/>
      <c r="FC372" s="518"/>
      <c r="FD372" s="520"/>
      <c r="FE372" s="518"/>
      <c r="FF372" s="520"/>
      <c r="FG372" s="518"/>
      <c r="FH372" s="520"/>
      <c r="FI372" s="518"/>
      <c r="FJ372" s="520"/>
      <c r="FK372" s="518"/>
      <c r="FL372" s="520"/>
      <c r="FM372" s="518"/>
      <c r="FN372" s="520"/>
      <c r="FO372" s="518"/>
      <c r="FP372" s="520"/>
      <c r="FQ372" s="518"/>
      <c r="FR372" s="520"/>
      <c r="FS372" s="518"/>
      <c r="FT372" s="520"/>
      <c r="FU372" s="518"/>
      <c r="FV372" s="520"/>
      <c r="FW372" s="518"/>
      <c r="FX372" s="520"/>
      <c r="FY372" s="518"/>
      <c r="FZ372" s="520"/>
      <c r="GA372" s="523"/>
    </row>
    <row r="373" spans="1:183" ht="12.75" hidden="1" customHeight="1" outlineLevel="2" x14ac:dyDescent="0.2">
      <c r="A373" s="521" t="str">
        <f>INPUT!B326</f>
        <v>Commissions/Premiums (%)</v>
      </c>
      <c r="B373" s="528">
        <f>INPUT!M326</f>
        <v>10.75268817204301</v>
      </c>
      <c r="C373" s="538">
        <f>INPUT!N326</f>
        <v>19.58292603453895</v>
      </c>
      <c r="D373" s="528">
        <f>INPUT!O326</f>
        <v>9.4017094017094038</v>
      </c>
      <c r="E373" s="523">
        <f>INPUT!P326</f>
        <v>15.384615384615419</v>
      </c>
      <c r="F373" s="528">
        <f>INPUT!Q326</f>
        <v>6.4748201438848918</v>
      </c>
      <c r="G373" s="523" t="str">
        <f>INPUT!R326</f>
        <v>NM</v>
      </c>
      <c r="H373" s="528">
        <f>INPUT!S326</f>
        <v>3.7037037037037033</v>
      </c>
      <c r="I373" s="523" t="str">
        <f>INPUT!T326</f>
        <v>NM</v>
      </c>
      <c r="J373" s="528">
        <f>INPUT!U326</f>
        <v>36</v>
      </c>
      <c r="K373" s="523" t="str">
        <f>INPUT!V326</f>
        <v>NM</v>
      </c>
      <c r="L373" s="528">
        <f>INPUT!W326</f>
        <v>53.94736842105263</v>
      </c>
      <c r="M373" s="523" t="str">
        <f>INPUT!X326</f>
        <v>NM</v>
      </c>
      <c r="N373" s="528">
        <f>INPUT!Y326</f>
        <v>16.666666666666664</v>
      </c>
      <c r="O373" s="523" t="str">
        <f>INPUT!Z326</f>
        <v>NM</v>
      </c>
      <c r="P373" s="528">
        <f>INPUT!AA326</f>
        <v>20.779220779220779</v>
      </c>
      <c r="Q373" s="523" t="str">
        <f>INPUT!AB326</f>
        <v>NM</v>
      </c>
      <c r="R373" s="528">
        <f>INPUT!AC326</f>
        <v>41.860465116279073</v>
      </c>
      <c r="S373" s="523">
        <f>INPUT!AD326</f>
        <v>16.279069767441868</v>
      </c>
      <c r="T373" s="528">
        <f>INPUT!AE326</f>
        <v>62.068965517241381</v>
      </c>
      <c r="U373" s="523">
        <f>INPUT!AF326</f>
        <v>15.054667788057197</v>
      </c>
      <c r="V373" s="528">
        <f>INPUT!AG326</f>
        <v>1.8867924528301889</v>
      </c>
      <c r="W373" s="523" t="str">
        <f>INPUT!AH326</f>
        <v>NM</v>
      </c>
      <c r="X373" s="528">
        <f>INPUT!AI326</f>
        <v>-7.608695652173914</v>
      </c>
      <c r="Y373" s="523" t="str">
        <f>INPUT!AJ326</f>
        <v>NM</v>
      </c>
      <c r="Z373" s="528">
        <f>INPUT!AK326</f>
        <v>-33.333333333333336</v>
      </c>
      <c r="AA373" s="523" t="str">
        <f>INPUT!AL326</f>
        <v>NM</v>
      </c>
      <c r="AB373" s="528">
        <f>INPUT!AM326</f>
        <v>33.333333333333336</v>
      </c>
      <c r="AC373" s="523">
        <f>INPUT!AN326</f>
        <v>-46.296296296296291</v>
      </c>
      <c r="AD373" s="528">
        <f>INPUT!AO326</f>
        <v>0</v>
      </c>
      <c r="AE373" s="523" t="str">
        <f>INPUT!AP326</f>
        <v>NM</v>
      </c>
      <c r="AF373" s="528">
        <f>INPUT!AQ326</f>
        <v>57.142857142857153</v>
      </c>
      <c r="AG373" s="523" t="str">
        <f>INPUT!AR326</f>
        <v>NM</v>
      </c>
      <c r="AH373" s="528">
        <f>INPUT!AS326</f>
        <v>33.333333333333336</v>
      </c>
      <c r="AI373" s="523" t="str">
        <f>INPUT!AT326</f>
        <v>NM</v>
      </c>
      <c r="AJ373" s="528">
        <f>INPUT!AU326</f>
        <v>25</v>
      </c>
      <c r="AK373" s="523">
        <f>INPUT!AV326</f>
        <v>-25</v>
      </c>
      <c r="AL373" s="528">
        <f>INPUT!AW326</f>
        <v>400</v>
      </c>
      <c r="AM373" s="523" t="str">
        <f>INPUT!AX326</f>
        <v>NA</v>
      </c>
      <c r="AN373" s="528">
        <f>INPUT!AY326</f>
        <v>95</v>
      </c>
      <c r="AO373" s="520">
        <f>INPUT!AZ326</f>
        <v>66.249999999999972</v>
      </c>
      <c r="AP373" s="518">
        <f>INPUT!BA326</f>
        <v>63.636363636363626</v>
      </c>
      <c r="AQ373" s="520">
        <f>INPUT!BB326</f>
        <v>90.909090909090878</v>
      </c>
      <c r="AR373" s="518">
        <f>INPUT!BC326</f>
        <v>-200</v>
      </c>
      <c r="AS373" s="520" t="str">
        <f>INPUT!BD326</f>
        <v>NM</v>
      </c>
      <c r="AT373" s="518">
        <f>INPUT!BE326</f>
        <v>66.666666666666671</v>
      </c>
      <c r="AU373" s="520" t="str">
        <f>INPUT!BF326</f>
        <v>NM</v>
      </c>
      <c r="AV373" s="518">
        <f>INPUT!BG326</f>
        <v>200</v>
      </c>
      <c r="AW373" s="520" t="str">
        <f>INPUT!BH326</f>
        <v>NM</v>
      </c>
      <c r="AX373" s="518">
        <f>INPUT!BI326</f>
        <v>57.142857142857153</v>
      </c>
      <c r="AY373" s="520">
        <f>INPUT!BJ326</f>
        <v>-10.204081632653029</v>
      </c>
      <c r="AZ373" s="518">
        <f>INPUT!BK326</f>
        <v>149.99999999999997</v>
      </c>
      <c r="BA373" s="520" t="str">
        <f>INPUT!BL326</f>
        <v>NM</v>
      </c>
      <c r="BB373" s="518" t="str">
        <f>INPUT!BM326</f>
        <v>NM</v>
      </c>
      <c r="BC373" s="520">
        <f>INPUT!BN326</f>
        <v>0</v>
      </c>
      <c r="BD373" s="518"/>
      <c r="BE373" s="520"/>
      <c r="BF373" s="518"/>
      <c r="BG373" s="520"/>
      <c r="BH373" s="518"/>
      <c r="BI373" s="520"/>
      <c r="BJ373" s="518"/>
      <c r="BK373" s="520"/>
      <c r="BL373" s="518"/>
      <c r="BM373" s="520"/>
      <c r="BN373" s="518"/>
      <c r="BO373" s="520"/>
      <c r="BP373" s="518"/>
      <c r="BQ373" s="520"/>
      <c r="BR373" s="518"/>
      <c r="BS373" s="520"/>
      <c r="BT373" s="518"/>
      <c r="BU373" s="520"/>
      <c r="BV373" s="518"/>
      <c r="BW373" s="520"/>
      <c r="BX373" s="518"/>
      <c r="BY373" s="520"/>
      <c r="BZ373" s="518"/>
      <c r="CA373" s="520"/>
      <c r="CB373" s="518"/>
      <c r="CC373" s="520"/>
      <c r="CD373" s="518"/>
      <c r="CE373" s="520"/>
      <c r="CF373" s="518"/>
      <c r="CG373" s="520"/>
      <c r="CH373" s="518"/>
      <c r="CI373" s="520"/>
      <c r="CJ373" s="518"/>
      <c r="CK373" s="520"/>
      <c r="CL373" s="518"/>
      <c r="CM373" s="520"/>
      <c r="CN373" s="518"/>
      <c r="CO373" s="520"/>
      <c r="CP373" s="518"/>
      <c r="CQ373" s="520"/>
      <c r="CR373" s="518"/>
      <c r="CS373" s="520"/>
      <c r="CT373" s="518"/>
      <c r="CU373" s="520"/>
      <c r="CV373" s="518"/>
      <c r="CW373" s="520"/>
      <c r="CX373" s="518"/>
      <c r="CY373" s="520"/>
      <c r="CZ373" s="518"/>
      <c r="DA373" s="520"/>
      <c r="DB373" s="518"/>
      <c r="DC373" s="520"/>
      <c r="DD373" s="518"/>
      <c r="DE373" s="520"/>
      <c r="DF373" s="518"/>
      <c r="DG373" s="520"/>
      <c r="DH373" s="518"/>
      <c r="DI373" s="520"/>
      <c r="DJ373" s="518"/>
      <c r="DK373" s="520"/>
      <c r="DL373" s="518"/>
      <c r="DM373" s="520"/>
      <c r="DN373" s="518"/>
      <c r="DO373" s="520"/>
      <c r="DP373" s="518"/>
      <c r="DQ373" s="520"/>
      <c r="DR373" s="518"/>
      <c r="DS373" s="520"/>
      <c r="DT373" s="518"/>
      <c r="DU373" s="520"/>
      <c r="DV373" s="518"/>
      <c r="DW373" s="520"/>
      <c r="DX373" s="518"/>
      <c r="DY373" s="520"/>
      <c r="DZ373" s="518"/>
      <c r="EA373" s="520"/>
      <c r="EB373" s="518"/>
      <c r="EC373" s="520"/>
      <c r="ED373" s="518"/>
      <c r="EE373" s="520"/>
      <c r="EF373" s="518"/>
      <c r="EG373" s="520"/>
      <c r="EH373" s="520"/>
      <c r="EI373" s="528">
        <f>INPUT!FB326</f>
        <v>4.9151027703306518</v>
      </c>
      <c r="EJ373" s="523" t="str">
        <f>INPUT!FC326</f>
        <v>NA</v>
      </c>
      <c r="EK373" s="528">
        <f>INPUT!FD326</f>
        <v>8.2446808510638299</v>
      </c>
      <c r="EL373" s="523">
        <f>INPUT!FE326</f>
        <v>67.741779497098676</v>
      </c>
      <c r="EM373" s="528">
        <f>INPUT!FF326</f>
        <v>31.4868804664723</v>
      </c>
      <c r="EN373" s="523" t="str">
        <f>INPUT!FG326</f>
        <v>NM</v>
      </c>
      <c r="EO373" s="528">
        <f>INPUT!FH326</f>
        <v>15.65495207667732</v>
      </c>
      <c r="EP373" s="523" t="str">
        <f>INPUT!FI326</f>
        <v>NM</v>
      </c>
      <c r="EQ373" s="528">
        <f>INPUT!FJ326</f>
        <v>42.307692307692321</v>
      </c>
      <c r="ER373" s="520" t="str">
        <f>INPUT!FK326</f>
        <v>NM</v>
      </c>
      <c r="ES373" s="518">
        <f>INPUT!FL326</f>
        <v>66.666666666666657</v>
      </c>
      <c r="ET373" s="520">
        <f>INPUT!FM326</f>
        <v>57.5757575757575</v>
      </c>
      <c r="EU373" s="518">
        <f>INPUT!FN326</f>
        <v>111.76470588235294</v>
      </c>
      <c r="EV373" s="520">
        <f>INPUT!FO326</f>
        <v>67.647058823529434</v>
      </c>
      <c r="EW373" s="518">
        <f>INPUT!FP326</f>
        <v>111.11111111111111</v>
      </c>
      <c r="EX373" s="520">
        <f>INPUT!FQ326</f>
        <v>-0.58479532163742132</v>
      </c>
      <c r="EY373" s="518"/>
      <c r="EZ373" s="520"/>
      <c r="FA373" s="518"/>
      <c r="FB373" s="520"/>
      <c r="FC373" s="518"/>
      <c r="FD373" s="520"/>
      <c r="FE373" s="518"/>
      <c r="FF373" s="520"/>
      <c r="FG373" s="518"/>
      <c r="FH373" s="520"/>
      <c r="FI373" s="518"/>
      <c r="FJ373" s="520"/>
      <c r="FK373" s="518"/>
      <c r="FL373" s="520"/>
      <c r="FM373" s="518"/>
      <c r="FN373" s="520"/>
      <c r="FO373" s="518"/>
      <c r="FP373" s="520"/>
      <c r="FQ373" s="518"/>
      <c r="FR373" s="520"/>
      <c r="FS373" s="518"/>
      <c r="FT373" s="520"/>
      <c r="FU373" s="518"/>
      <c r="FV373" s="520"/>
      <c r="FW373" s="518"/>
      <c r="FX373" s="520"/>
      <c r="FY373" s="518"/>
      <c r="FZ373" s="520"/>
      <c r="GA373" s="523"/>
    </row>
    <row r="374" spans="1:183" ht="12.75" hidden="1" customHeight="1" outlineLevel="2" x14ac:dyDescent="0.2">
      <c r="A374" s="521" t="str">
        <f>INPUT!B327</f>
        <v>Other Expenses/Premiums (%)</v>
      </c>
      <c r="B374" s="528">
        <f>INPUT!M327</f>
        <v>475.26881720430111</v>
      </c>
      <c r="C374" s="538" t="str">
        <f>INPUT!N327</f>
        <v>NM</v>
      </c>
      <c r="D374" s="528">
        <f>INPUT!O327</f>
        <v>390.59829059829065</v>
      </c>
      <c r="E374" s="523" t="str">
        <f>INPUT!P327</f>
        <v>NM</v>
      </c>
      <c r="F374" s="528">
        <f>INPUT!Q327</f>
        <v>316.54676258992805</v>
      </c>
      <c r="G374" s="523" t="str">
        <f>INPUT!R327</f>
        <v>NM</v>
      </c>
      <c r="H374" s="528">
        <f>INPUT!S327</f>
        <v>1614.8148148148148</v>
      </c>
      <c r="I374" s="523" t="str">
        <f>INPUT!T327</f>
        <v>NM</v>
      </c>
      <c r="J374" s="528">
        <f>INPUT!U327</f>
        <v>417</v>
      </c>
      <c r="K374" s="523">
        <f>INPUT!V327</f>
        <v>-12.260180995475123</v>
      </c>
      <c r="L374" s="528">
        <f>INPUT!W327</f>
        <v>536.84210526315792</v>
      </c>
      <c r="M374" s="523">
        <f>INPUT!X327</f>
        <v>37.440976620983513</v>
      </c>
      <c r="N374" s="528">
        <f>INPUT!Y327</f>
        <v>488.88888888888891</v>
      </c>
      <c r="O374" s="523">
        <f>INPUT!Z327</f>
        <v>54.44444444444445</v>
      </c>
      <c r="P374" s="528">
        <f>INPUT!AA327</f>
        <v>548.05194805194799</v>
      </c>
      <c r="Q374" s="523" t="str">
        <f>INPUT!AB327</f>
        <v>NM</v>
      </c>
      <c r="R374" s="528">
        <f>INPUT!AC327</f>
        <v>532.55813953488371</v>
      </c>
      <c r="S374" s="523">
        <f>INPUT!AD327</f>
        <v>27.7117840611232</v>
      </c>
      <c r="T374" s="528">
        <f>INPUT!AE327</f>
        <v>1455.1724137931035</v>
      </c>
      <c r="U374" s="523" t="str">
        <f>INPUT!AF327</f>
        <v>NM</v>
      </c>
      <c r="V374" s="528">
        <f>INPUT!AG327</f>
        <v>409.43396226415098</v>
      </c>
      <c r="W374" s="523">
        <f>INPUT!AH327</f>
        <v>-16.252144082332755</v>
      </c>
      <c r="X374" s="528">
        <f>INPUT!AI327</f>
        <v>465.21739130434787</v>
      </c>
      <c r="Y374" s="523">
        <f>INPUT!AJ327</f>
        <v>-15.114362250154523</v>
      </c>
      <c r="Z374" s="528">
        <f>INPUT!AK327</f>
        <v>13600</v>
      </c>
      <c r="AA374" s="523" t="str">
        <f>INPUT!AL327</f>
        <v>NM</v>
      </c>
      <c r="AB374" s="528">
        <f>INPUT!AM327</f>
        <v>3591.666666666667</v>
      </c>
      <c r="AC374" s="523" t="str">
        <f>INPUT!AN327</f>
        <v>NM</v>
      </c>
      <c r="AD374" s="528">
        <f>INPUT!AO327</f>
        <v>-13766.666666666666</v>
      </c>
      <c r="AE374" s="523" t="str">
        <f>INPUT!AP327</f>
        <v>NM</v>
      </c>
      <c r="AF374" s="528">
        <f>INPUT!AQ327</f>
        <v>142.85714285714286</v>
      </c>
      <c r="AG374" s="523" t="str">
        <f>INPUT!AR327</f>
        <v>NM</v>
      </c>
      <c r="AH374" s="528">
        <f>INPUT!AS327</f>
        <v>133.33333333333334</v>
      </c>
      <c r="AI374" s="523" t="str">
        <f>INPUT!AT327</f>
        <v>NM</v>
      </c>
      <c r="AJ374" s="528">
        <f>INPUT!AU327</f>
        <v>3725.0000000000009</v>
      </c>
      <c r="AK374" s="523">
        <f>INPUT!AV327</f>
        <v>3.7122969837587227</v>
      </c>
      <c r="AL374" s="528">
        <f>INPUT!AW327</f>
        <v>43700</v>
      </c>
      <c r="AM374" s="523" t="str">
        <f>INPUT!AX327</f>
        <v>NM</v>
      </c>
      <c r="AN374" s="528">
        <f>INPUT!AY327</f>
        <v>-30</v>
      </c>
      <c r="AO374" s="520" t="str">
        <f>INPUT!AZ327</f>
        <v>NM</v>
      </c>
      <c r="AP374" s="518">
        <f>INPUT!BA327</f>
        <v>136.36363636363635</v>
      </c>
      <c r="AQ374" s="520">
        <f>INPUT!BB327</f>
        <v>2.2727272727272485</v>
      </c>
      <c r="AR374" s="518">
        <f>INPUT!BC327</f>
        <v>-400</v>
      </c>
      <c r="AS374" s="520" t="str">
        <f>INPUT!BD327</f>
        <v>NM</v>
      </c>
      <c r="AT374" s="518">
        <f>INPUT!BE327</f>
        <v>116.66666666666667</v>
      </c>
      <c r="AU374" s="520" t="str">
        <f>INPUT!BF327</f>
        <v>NM</v>
      </c>
      <c r="AV374" s="518">
        <f>INPUT!BG327</f>
        <v>500</v>
      </c>
      <c r="AW374" s="520" t="str">
        <f>INPUT!BH327</f>
        <v>NM</v>
      </c>
      <c r="AX374" s="518">
        <f>INPUT!BI327</f>
        <v>300.00000000000006</v>
      </c>
      <c r="AY374" s="520" t="str">
        <f>INPUT!BJ327</f>
        <v>NM</v>
      </c>
      <c r="AZ374" s="518">
        <f>INPUT!BK327</f>
        <v>1199.9999999999998</v>
      </c>
      <c r="BA374" s="520" t="str">
        <f>INPUT!BL327</f>
        <v>NM</v>
      </c>
      <c r="BB374" s="518" t="str">
        <f>INPUT!BM327</f>
        <v>NM</v>
      </c>
      <c r="BC374" s="520">
        <f>INPUT!BN327</f>
        <v>0</v>
      </c>
      <c r="BD374" s="518"/>
      <c r="BE374" s="520"/>
      <c r="BF374" s="518"/>
      <c r="BG374" s="520"/>
      <c r="BH374" s="518"/>
      <c r="BI374" s="520"/>
      <c r="BJ374" s="518"/>
      <c r="BK374" s="520"/>
      <c r="BL374" s="518"/>
      <c r="BM374" s="520"/>
      <c r="BN374" s="518"/>
      <c r="BO374" s="520"/>
      <c r="BP374" s="518"/>
      <c r="BQ374" s="520"/>
      <c r="BR374" s="518"/>
      <c r="BS374" s="520"/>
      <c r="BT374" s="518"/>
      <c r="BU374" s="520"/>
      <c r="BV374" s="518"/>
      <c r="BW374" s="520"/>
      <c r="BX374" s="518"/>
      <c r="BY374" s="520"/>
      <c r="BZ374" s="518"/>
      <c r="CA374" s="520"/>
      <c r="CB374" s="518"/>
      <c r="CC374" s="520"/>
      <c r="CD374" s="518"/>
      <c r="CE374" s="520"/>
      <c r="CF374" s="518"/>
      <c r="CG374" s="520"/>
      <c r="CH374" s="518"/>
      <c r="CI374" s="520"/>
      <c r="CJ374" s="518"/>
      <c r="CK374" s="520"/>
      <c r="CL374" s="518"/>
      <c r="CM374" s="520"/>
      <c r="CN374" s="518"/>
      <c r="CO374" s="520"/>
      <c r="CP374" s="518"/>
      <c r="CQ374" s="520"/>
      <c r="CR374" s="518"/>
      <c r="CS374" s="520"/>
      <c r="CT374" s="518"/>
      <c r="CU374" s="520"/>
      <c r="CV374" s="518"/>
      <c r="CW374" s="520"/>
      <c r="CX374" s="518"/>
      <c r="CY374" s="520"/>
      <c r="CZ374" s="518"/>
      <c r="DA374" s="520"/>
      <c r="DB374" s="518"/>
      <c r="DC374" s="520"/>
      <c r="DD374" s="518"/>
      <c r="DE374" s="520"/>
      <c r="DF374" s="518"/>
      <c r="DG374" s="520"/>
      <c r="DH374" s="518"/>
      <c r="DI374" s="520"/>
      <c r="DJ374" s="518"/>
      <c r="DK374" s="520"/>
      <c r="DL374" s="518"/>
      <c r="DM374" s="520"/>
      <c r="DN374" s="518"/>
      <c r="DO374" s="520"/>
      <c r="DP374" s="518"/>
      <c r="DQ374" s="520"/>
      <c r="DR374" s="518"/>
      <c r="DS374" s="520"/>
      <c r="DT374" s="518"/>
      <c r="DU374" s="520"/>
      <c r="DV374" s="518"/>
      <c r="DW374" s="520"/>
      <c r="DX374" s="518"/>
      <c r="DY374" s="520"/>
      <c r="DZ374" s="518"/>
      <c r="EA374" s="520"/>
      <c r="EB374" s="518"/>
      <c r="EC374" s="520"/>
      <c r="ED374" s="518"/>
      <c r="EE374" s="520"/>
      <c r="EF374" s="518"/>
      <c r="EG374" s="520"/>
      <c r="EH374" s="520"/>
      <c r="EI374" s="528">
        <f>INPUT!FB327</f>
        <v>162.0196604110813</v>
      </c>
      <c r="EJ374" s="523" t="str">
        <f>INPUT!FC327</f>
        <v>NA</v>
      </c>
      <c r="EK374" s="528">
        <f>INPUT!FD327</f>
        <v>472.07446808510633</v>
      </c>
      <c r="EL374" s="523" t="str">
        <f>INPUT!FE327</f>
        <v>NM</v>
      </c>
      <c r="EM374" s="528">
        <f>INPUT!FF327</f>
        <v>491.83673469387753</v>
      </c>
      <c r="EN374" s="523">
        <f>INPUT!FG327</f>
        <v>4.1862604196608366</v>
      </c>
      <c r="EO374" s="528">
        <f>INPUT!FH327</f>
        <v>556.54952076677318</v>
      </c>
      <c r="EP374" s="523">
        <f>INPUT!FI327</f>
        <v>13.157371442207012</v>
      </c>
      <c r="EQ374" s="528">
        <f>INPUT!FJ327</f>
        <v>4892.3076923076933</v>
      </c>
      <c r="ER374" s="520" t="str">
        <f>INPUT!FK327</f>
        <v>NM</v>
      </c>
      <c r="ES374" s="518">
        <f>INPUT!FL327</f>
        <v>1986.6666666666667</v>
      </c>
      <c r="ET374" s="520" t="str">
        <f>INPUT!FM327</f>
        <v>NM</v>
      </c>
      <c r="EU374" s="518">
        <f>INPUT!FN327</f>
        <v>235.29411764705884</v>
      </c>
      <c r="EV374" s="520" t="str">
        <f>INPUT!FO327</f>
        <v>NM</v>
      </c>
      <c r="EW374" s="518">
        <f>INPUT!FP327</f>
        <v>833.33333333333337</v>
      </c>
      <c r="EX374" s="520" t="str">
        <f>INPUT!FQ327</f>
        <v>NM</v>
      </c>
      <c r="EY374" s="518"/>
      <c r="EZ374" s="520"/>
      <c r="FA374" s="518"/>
      <c r="FB374" s="520"/>
      <c r="FC374" s="518"/>
      <c r="FD374" s="520"/>
      <c r="FE374" s="518"/>
      <c r="FF374" s="520"/>
      <c r="FG374" s="518"/>
      <c r="FH374" s="520"/>
      <c r="FI374" s="518"/>
      <c r="FJ374" s="520"/>
      <c r="FK374" s="518"/>
      <c r="FL374" s="520"/>
      <c r="FM374" s="518"/>
      <c r="FN374" s="520"/>
      <c r="FO374" s="518"/>
      <c r="FP374" s="520"/>
      <c r="FQ374" s="518"/>
      <c r="FR374" s="520"/>
      <c r="FS374" s="518"/>
      <c r="FT374" s="520"/>
      <c r="FU374" s="518"/>
      <c r="FV374" s="520"/>
      <c r="FW374" s="518"/>
      <c r="FX374" s="520"/>
      <c r="FY374" s="518"/>
      <c r="FZ374" s="520"/>
      <c r="GA374" s="523"/>
    </row>
    <row r="375" spans="1:183" ht="12.75" hidden="1" customHeight="1" outlineLevel="2" x14ac:dyDescent="0.2">
      <c r="A375" s="521"/>
      <c r="B375" s="518"/>
      <c r="C375" s="524"/>
      <c r="D375" s="518"/>
      <c r="E375" s="523"/>
      <c r="F375" s="518"/>
      <c r="G375" s="523"/>
      <c r="H375" s="518"/>
      <c r="I375" s="523"/>
      <c r="J375" s="518"/>
      <c r="K375" s="523"/>
      <c r="L375" s="518"/>
      <c r="M375" s="523"/>
      <c r="N375" s="518"/>
      <c r="O375" s="523"/>
      <c r="P375" s="518"/>
      <c r="Q375" s="523"/>
      <c r="R375" s="518"/>
      <c r="S375" s="523"/>
      <c r="T375" s="518"/>
      <c r="U375" s="523"/>
      <c r="V375" s="518"/>
      <c r="W375" s="523"/>
      <c r="X375" s="518"/>
      <c r="Y375" s="523"/>
      <c r="Z375" s="518"/>
      <c r="AA375" s="523"/>
      <c r="AB375" s="518"/>
      <c r="AC375" s="523"/>
      <c r="AD375" s="518"/>
      <c r="AE375" s="523"/>
      <c r="AF375" s="518"/>
      <c r="AG375" s="523"/>
      <c r="AH375" s="518"/>
      <c r="AI375" s="523"/>
      <c r="AJ375" s="518"/>
      <c r="AK375" s="523"/>
      <c r="AL375" s="518"/>
      <c r="AM375" s="523"/>
      <c r="AN375" s="518"/>
      <c r="AO375" s="520"/>
      <c r="AP375" s="518"/>
      <c r="AQ375" s="520"/>
      <c r="AR375" s="518"/>
      <c r="AS375" s="520"/>
      <c r="AT375" s="518"/>
      <c r="AU375" s="520"/>
      <c r="AV375" s="518"/>
      <c r="AW375" s="520"/>
      <c r="AX375" s="518"/>
      <c r="AY375" s="520"/>
      <c r="AZ375" s="518"/>
      <c r="BA375" s="520"/>
      <c r="BB375" s="518"/>
      <c r="BC375" s="520"/>
      <c r="BD375" s="518"/>
      <c r="BE375" s="520"/>
      <c r="BF375" s="518"/>
      <c r="BG375" s="520"/>
      <c r="BH375" s="518"/>
      <c r="BI375" s="520"/>
      <c r="BJ375" s="518"/>
      <c r="BK375" s="520"/>
      <c r="BL375" s="518"/>
      <c r="BM375" s="520"/>
      <c r="BN375" s="518"/>
      <c r="BO375" s="520"/>
      <c r="BP375" s="518"/>
      <c r="BQ375" s="520"/>
      <c r="BR375" s="518"/>
      <c r="BS375" s="520"/>
      <c r="BT375" s="518"/>
      <c r="BU375" s="520"/>
      <c r="BV375" s="518"/>
      <c r="BW375" s="520"/>
      <c r="BX375" s="518"/>
      <c r="BY375" s="520"/>
      <c r="BZ375" s="518"/>
      <c r="CA375" s="520"/>
      <c r="CB375" s="518"/>
      <c r="CC375" s="520"/>
      <c r="CD375" s="518"/>
      <c r="CE375" s="520"/>
      <c r="CF375" s="518"/>
      <c r="CG375" s="520"/>
      <c r="CH375" s="518"/>
      <c r="CI375" s="520"/>
      <c r="CJ375" s="518"/>
      <c r="CK375" s="520"/>
      <c r="CL375" s="518"/>
      <c r="CM375" s="520"/>
      <c r="CN375" s="518"/>
      <c r="CO375" s="520"/>
      <c r="CP375" s="518"/>
      <c r="CQ375" s="520"/>
      <c r="CR375" s="518"/>
      <c r="CS375" s="520"/>
      <c r="CT375" s="518"/>
      <c r="CU375" s="520"/>
      <c r="CV375" s="518"/>
      <c r="CW375" s="520"/>
      <c r="CX375" s="518"/>
      <c r="CY375" s="520"/>
      <c r="CZ375" s="518"/>
      <c r="DA375" s="520"/>
      <c r="DB375" s="518"/>
      <c r="DC375" s="520"/>
      <c r="DD375" s="518"/>
      <c r="DE375" s="520"/>
      <c r="DF375" s="518"/>
      <c r="DG375" s="520"/>
      <c r="DH375" s="518"/>
      <c r="DI375" s="520"/>
      <c r="DJ375" s="518"/>
      <c r="DK375" s="520"/>
      <c r="DL375" s="518"/>
      <c r="DM375" s="520"/>
      <c r="DN375" s="518"/>
      <c r="DO375" s="520"/>
      <c r="DP375" s="518"/>
      <c r="DQ375" s="520"/>
      <c r="DR375" s="518"/>
      <c r="DS375" s="520"/>
      <c r="DT375" s="518"/>
      <c r="DU375" s="520"/>
      <c r="DV375" s="518"/>
      <c r="DW375" s="520"/>
      <c r="DX375" s="518"/>
      <c r="DY375" s="520"/>
      <c r="DZ375" s="518"/>
      <c r="EA375" s="520"/>
      <c r="EB375" s="518"/>
      <c r="EC375" s="520"/>
      <c r="ED375" s="518"/>
      <c r="EE375" s="520"/>
      <c r="EF375" s="518"/>
      <c r="EG375" s="520"/>
      <c r="EH375" s="520"/>
      <c r="EI375" s="518"/>
      <c r="EJ375" s="523"/>
      <c r="EK375" s="518"/>
      <c r="EL375" s="523"/>
      <c r="EM375" s="518"/>
      <c r="EN375" s="523"/>
      <c r="EO375" s="518"/>
      <c r="EP375" s="523"/>
      <c r="EQ375" s="518"/>
      <c r="ER375" s="520"/>
      <c r="ES375" s="518"/>
      <c r="ET375" s="520"/>
      <c r="EU375" s="518"/>
      <c r="EV375" s="520"/>
      <c r="EW375" s="518"/>
      <c r="EX375" s="520"/>
      <c r="EY375" s="518"/>
      <c r="EZ375" s="520"/>
      <c r="FA375" s="518"/>
      <c r="FB375" s="520"/>
      <c r="FC375" s="518"/>
      <c r="FD375" s="520"/>
      <c r="FE375" s="518"/>
      <c r="FF375" s="520"/>
      <c r="FG375" s="518"/>
      <c r="FH375" s="520"/>
      <c r="FI375" s="518"/>
      <c r="FJ375" s="520"/>
      <c r="FK375" s="518"/>
      <c r="FL375" s="520"/>
      <c r="FM375" s="518"/>
      <c r="FN375" s="520"/>
      <c r="FO375" s="518"/>
      <c r="FP375" s="520"/>
      <c r="FQ375" s="518"/>
      <c r="FR375" s="520"/>
      <c r="FS375" s="518"/>
      <c r="FT375" s="520"/>
      <c r="FU375" s="518"/>
      <c r="FV375" s="520"/>
      <c r="FW375" s="518"/>
      <c r="FX375" s="520"/>
      <c r="FY375" s="518"/>
      <c r="FZ375" s="520"/>
      <c r="GA375" s="523"/>
    </row>
    <row r="376" spans="1:183" ht="12.75" hidden="1" customHeight="1" outlineLevel="2" x14ac:dyDescent="0.2">
      <c r="A376" s="532" t="str">
        <f>+A55</f>
        <v>Quarterly income statement ratios are annualized where appropriate     E = Morgan Stanley Research Estimates      NM = Not Meaningful       NA = Not Applicable              CAGR = Cumulative Average Growth Rate</v>
      </c>
      <c r="B376" s="518"/>
      <c r="C376" s="524"/>
      <c r="D376" s="518"/>
      <c r="E376" s="523"/>
      <c r="F376" s="518"/>
      <c r="G376" s="523"/>
      <c r="H376" s="518"/>
      <c r="I376" s="523"/>
      <c r="J376" s="518"/>
      <c r="K376" s="523"/>
      <c r="L376" s="518"/>
      <c r="M376" s="523"/>
      <c r="N376" s="518"/>
      <c r="O376" s="523"/>
      <c r="P376" s="518"/>
      <c r="Q376" s="523"/>
      <c r="R376" s="518"/>
      <c r="S376" s="523"/>
      <c r="T376" s="518"/>
      <c r="U376" s="523"/>
      <c r="V376" s="518"/>
      <c r="W376" s="523"/>
      <c r="X376" s="518"/>
      <c r="Y376" s="523"/>
      <c r="Z376" s="518"/>
      <c r="AA376" s="523"/>
      <c r="AB376" s="518"/>
      <c r="AC376" s="523"/>
      <c r="AD376" s="518"/>
      <c r="AE376" s="523"/>
      <c r="AF376" s="518"/>
      <c r="AG376" s="523"/>
      <c r="AH376" s="518"/>
      <c r="AI376" s="523"/>
      <c r="AJ376" s="518"/>
      <c r="AK376" s="523"/>
      <c r="AL376" s="518"/>
      <c r="AM376" s="523"/>
      <c r="AN376" s="518"/>
      <c r="AO376" s="520"/>
      <c r="AP376" s="518"/>
      <c r="AQ376" s="520"/>
      <c r="AR376" s="518"/>
      <c r="AS376" s="520"/>
      <c r="AT376" s="518"/>
      <c r="AU376" s="520"/>
      <c r="AV376" s="518"/>
      <c r="AW376" s="520"/>
      <c r="AX376" s="518"/>
      <c r="AY376" s="520"/>
      <c r="AZ376" s="518"/>
      <c r="BA376" s="520"/>
      <c r="BB376" s="518"/>
      <c r="BC376" s="520"/>
      <c r="BD376" s="518"/>
      <c r="BE376" s="520"/>
      <c r="BF376" s="518"/>
      <c r="BG376" s="520"/>
      <c r="BH376" s="518"/>
      <c r="BI376" s="520"/>
      <c r="BJ376" s="518"/>
      <c r="BK376" s="520"/>
      <c r="BL376" s="518"/>
      <c r="BM376" s="520"/>
      <c r="BN376" s="518"/>
      <c r="BO376" s="520"/>
      <c r="BP376" s="518"/>
      <c r="BQ376" s="520"/>
      <c r="BR376" s="518"/>
      <c r="BS376" s="520"/>
      <c r="BT376" s="518"/>
      <c r="BU376" s="520"/>
      <c r="BV376" s="518"/>
      <c r="BW376" s="520"/>
      <c r="BX376" s="518"/>
      <c r="BY376" s="520"/>
      <c r="BZ376" s="518"/>
      <c r="CA376" s="520"/>
      <c r="CB376" s="518"/>
      <c r="CC376" s="520"/>
      <c r="CD376" s="518"/>
      <c r="CE376" s="520"/>
      <c r="CF376" s="518"/>
      <c r="CG376" s="520"/>
      <c r="CH376" s="518"/>
      <c r="CI376" s="520"/>
      <c r="CJ376" s="518"/>
      <c r="CK376" s="520"/>
      <c r="CL376" s="518"/>
      <c r="CM376" s="520"/>
      <c r="CN376" s="518"/>
      <c r="CO376" s="520"/>
      <c r="CP376" s="518"/>
      <c r="CQ376" s="520"/>
      <c r="CR376" s="518"/>
      <c r="CS376" s="520"/>
      <c r="CT376" s="518"/>
      <c r="CU376" s="520"/>
      <c r="CV376" s="518"/>
      <c r="CW376" s="520"/>
      <c r="CX376" s="518"/>
      <c r="CY376" s="520"/>
      <c r="CZ376" s="518"/>
      <c r="DA376" s="520"/>
      <c r="DB376" s="518"/>
      <c r="DC376" s="520"/>
      <c r="DD376" s="518"/>
      <c r="DE376" s="520"/>
      <c r="DF376" s="518"/>
      <c r="DG376" s="520"/>
      <c r="DH376" s="518"/>
      <c r="DI376" s="520"/>
      <c r="DJ376" s="518"/>
      <c r="DK376" s="520"/>
      <c r="DL376" s="518"/>
      <c r="DM376" s="520"/>
      <c r="DN376" s="518"/>
      <c r="DO376" s="520"/>
      <c r="DP376" s="518"/>
      <c r="DQ376" s="520"/>
      <c r="DR376" s="518"/>
      <c r="DS376" s="520"/>
      <c r="DT376" s="518"/>
      <c r="DU376" s="520"/>
      <c r="DV376" s="518"/>
      <c r="DW376" s="520"/>
      <c r="DX376" s="518"/>
      <c r="DY376" s="520"/>
      <c r="DZ376" s="518"/>
      <c r="EA376" s="520"/>
      <c r="EB376" s="518"/>
      <c r="EC376" s="520"/>
      <c r="ED376" s="518"/>
      <c r="EE376" s="520"/>
      <c r="EF376" s="518"/>
      <c r="EG376" s="520"/>
      <c r="EH376" s="520"/>
      <c r="EI376" s="518"/>
      <c r="EJ376" s="523"/>
      <c r="EK376" s="518"/>
      <c r="EL376" s="523"/>
      <c r="EM376" s="518"/>
      <c r="EN376" s="523"/>
      <c r="EO376" s="518"/>
      <c r="EP376" s="523"/>
      <c r="EQ376" s="518"/>
      <c r="ER376" s="520"/>
      <c r="ES376" s="518"/>
      <c r="ET376" s="520"/>
      <c r="EU376" s="518"/>
      <c r="EV376" s="520"/>
      <c r="EW376" s="518"/>
      <c r="EX376" s="520"/>
      <c r="EY376" s="518"/>
      <c r="EZ376" s="520"/>
      <c r="FA376" s="518"/>
      <c r="FB376" s="520"/>
      <c r="FC376" s="518"/>
      <c r="FD376" s="520"/>
      <c r="FE376" s="518"/>
      <c r="FF376" s="520"/>
      <c r="FG376" s="518"/>
      <c r="FH376" s="520"/>
      <c r="FI376" s="518"/>
      <c r="FJ376" s="520"/>
      <c r="FK376" s="518"/>
      <c r="FL376" s="520"/>
      <c r="FM376" s="518"/>
      <c r="FN376" s="520"/>
      <c r="FO376" s="518"/>
      <c r="FP376" s="520"/>
      <c r="FQ376" s="518"/>
      <c r="FR376" s="520"/>
      <c r="FS376" s="518"/>
      <c r="FT376" s="520"/>
      <c r="FU376" s="518"/>
      <c r="FV376" s="520"/>
      <c r="FW376" s="518"/>
      <c r="FX376" s="520"/>
      <c r="FY376" s="518"/>
      <c r="FZ376" s="520"/>
      <c r="GA376" s="523"/>
    </row>
    <row r="377" spans="1:183" ht="12.75" hidden="1" customHeight="1" outlineLevel="2" x14ac:dyDescent="0.2">
      <c r="A377" s="532" t="s">
        <v>91</v>
      </c>
      <c r="B377" s="518"/>
      <c r="C377" s="524"/>
      <c r="D377" s="518"/>
      <c r="E377" s="524"/>
      <c r="F377" s="518"/>
      <c r="G377" s="524"/>
      <c r="H377" s="518"/>
      <c r="I377" s="524"/>
      <c r="J377" s="518"/>
      <c r="K377" s="524"/>
      <c r="L377" s="518"/>
      <c r="M377" s="524"/>
      <c r="N377" s="518"/>
      <c r="O377" s="524"/>
      <c r="P377" s="518"/>
      <c r="Q377" s="524"/>
      <c r="R377" s="518"/>
      <c r="S377" s="524"/>
      <c r="T377" s="518"/>
      <c r="U377" s="524"/>
      <c r="V377" s="518"/>
      <c r="W377" s="524"/>
      <c r="X377" s="518"/>
      <c r="Y377" s="524"/>
      <c r="Z377" s="518"/>
      <c r="AA377" s="524"/>
      <c r="AB377" s="518"/>
      <c r="AC377" s="524"/>
      <c r="AD377" s="518"/>
      <c r="AE377" s="524"/>
      <c r="AF377" s="518"/>
      <c r="AG377" s="524"/>
      <c r="AH377" s="518"/>
      <c r="AI377" s="524"/>
      <c r="AJ377" s="518"/>
      <c r="AK377" s="524"/>
      <c r="AL377" s="518"/>
      <c r="AM377" s="524"/>
      <c r="AN377" s="518"/>
      <c r="AO377" s="520"/>
      <c r="AP377" s="518"/>
      <c r="AQ377" s="520"/>
      <c r="AR377" s="518"/>
      <c r="AS377" s="520"/>
      <c r="AT377" s="518"/>
      <c r="AU377" s="520"/>
      <c r="AV377" s="518"/>
      <c r="AW377" s="520"/>
      <c r="AX377" s="518"/>
      <c r="AY377" s="520"/>
      <c r="AZ377" s="518"/>
      <c r="BA377" s="520"/>
      <c r="BB377" s="518"/>
      <c r="BC377" s="520"/>
      <c r="BD377" s="518"/>
      <c r="BE377" s="520"/>
      <c r="BF377" s="518"/>
      <c r="BG377" s="520"/>
      <c r="BH377" s="518"/>
      <c r="BI377" s="520"/>
      <c r="BJ377" s="518"/>
      <c r="BK377" s="520"/>
      <c r="BL377" s="518"/>
      <c r="BM377" s="520"/>
      <c r="BN377" s="518"/>
      <c r="BO377" s="520"/>
      <c r="BP377" s="518"/>
      <c r="BQ377" s="520"/>
      <c r="BR377" s="518"/>
      <c r="BS377" s="520"/>
      <c r="BT377" s="518"/>
      <c r="BU377" s="520"/>
      <c r="BV377" s="518"/>
      <c r="BW377" s="520"/>
      <c r="BX377" s="518"/>
      <c r="BY377" s="520"/>
      <c r="BZ377" s="518"/>
      <c r="CA377" s="520"/>
      <c r="CB377" s="518"/>
      <c r="CC377" s="520"/>
      <c r="CD377" s="518"/>
      <c r="CE377" s="520"/>
      <c r="CF377" s="518"/>
      <c r="CG377" s="520"/>
      <c r="CH377" s="518"/>
      <c r="CI377" s="520"/>
      <c r="CJ377" s="518"/>
      <c r="CK377" s="520"/>
      <c r="CL377" s="518"/>
      <c r="CM377" s="520"/>
      <c r="CN377" s="518"/>
      <c r="CO377" s="520"/>
      <c r="CP377" s="518"/>
      <c r="CQ377" s="520"/>
      <c r="CR377" s="518"/>
      <c r="CS377" s="520"/>
      <c r="CT377" s="518"/>
      <c r="CU377" s="520"/>
      <c r="CV377" s="518"/>
      <c r="CW377" s="520"/>
      <c r="CX377" s="518"/>
      <c r="CY377" s="520"/>
      <c r="CZ377" s="518"/>
      <c r="DA377" s="520"/>
      <c r="DB377" s="518"/>
      <c r="DC377" s="520"/>
      <c r="DD377" s="518"/>
      <c r="DE377" s="520"/>
      <c r="DF377" s="518"/>
      <c r="DG377" s="520"/>
      <c r="DH377" s="518"/>
      <c r="DI377" s="520"/>
      <c r="DJ377" s="518"/>
      <c r="DK377" s="520"/>
      <c r="DL377" s="518"/>
      <c r="DM377" s="520"/>
      <c r="DN377" s="518"/>
      <c r="DO377" s="520"/>
      <c r="DP377" s="518"/>
      <c r="DQ377" s="520"/>
      <c r="DR377" s="518"/>
      <c r="DS377" s="520"/>
      <c r="DT377" s="518"/>
      <c r="DU377" s="520"/>
      <c r="DV377" s="518"/>
      <c r="DW377" s="520"/>
      <c r="DX377" s="518"/>
      <c r="DY377" s="520"/>
      <c r="DZ377" s="518"/>
      <c r="EA377" s="520"/>
      <c r="EB377" s="518"/>
      <c r="EC377" s="520"/>
      <c r="ED377" s="518"/>
      <c r="EE377" s="520"/>
      <c r="EF377" s="518"/>
      <c r="EG377" s="520"/>
      <c r="EH377" s="520"/>
      <c r="EI377" s="518"/>
      <c r="EJ377" s="524"/>
      <c r="EK377" s="518"/>
      <c r="EL377" s="524"/>
      <c r="EM377" s="518"/>
      <c r="EN377" s="524"/>
      <c r="EO377" s="518"/>
      <c r="EP377" s="524"/>
      <c r="EQ377" s="518"/>
      <c r="ER377" s="520"/>
      <c r="ES377" s="518"/>
      <c r="ET377" s="520"/>
      <c r="EU377" s="518"/>
      <c r="EV377" s="520"/>
      <c r="EW377" s="518"/>
      <c r="EX377" s="520"/>
      <c r="EY377" s="518"/>
      <c r="EZ377" s="520"/>
      <c r="FA377" s="518"/>
      <c r="FB377" s="520"/>
      <c r="FC377" s="518"/>
      <c r="FD377" s="520"/>
      <c r="FE377" s="518"/>
      <c r="FF377" s="520"/>
      <c r="FG377" s="518"/>
      <c r="FH377" s="520"/>
      <c r="FI377" s="518"/>
      <c r="FJ377" s="520"/>
      <c r="FK377" s="518"/>
      <c r="FL377" s="520"/>
      <c r="FM377" s="518"/>
      <c r="FN377" s="520"/>
      <c r="FO377" s="518"/>
      <c r="FP377" s="520"/>
      <c r="FQ377" s="518"/>
      <c r="FR377" s="520"/>
      <c r="FS377" s="518"/>
      <c r="FT377" s="520"/>
      <c r="FU377" s="518"/>
      <c r="FV377" s="520"/>
      <c r="FW377" s="518"/>
      <c r="FX377" s="520"/>
      <c r="FY377" s="518"/>
      <c r="FZ377" s="520"/>
      <c r="GA377" s="524"/>
    </row>
    <row r="378" spans="1:183" ht="12.75" hidden="1" customHeight="1" outlineLevel="2" x14ac:dyDescent="0.2">
      <c r="A378" s="532"/>
      <c r="B378" s="518"/>
      <c r="C378" s="524"/>
      <c r="D378" s="518"/>
      <c r="E378" s="524"/>
      <c r="F378" s="518"/>
      <c r="G378" s="524"/>
      <c r="H378" s="518"/>
      <c r="I378" s="524"/>
      <c r="J378" s="518"/>
      <c r="K378" s="524"/>
      <c r="L378" s="518"/>
      <c r="M378" s="524"/>
      <c r="N378" s="518"/>
      <c r="O378" s="524"/>
      <c r="P378" s="518"/>
      <c r="Q378" s="524"/>
      <c r="R378" s="518"/>
      <c r="S378" s="524"/>
      <c r="T378" s="518"/>
      <c r="U378" s="524"/>
      <c r="V378" s="518"/>
      <c r="W378" s="524"/>
      <c r="X378" s="518"/>
      <c r="Y378" s="524"/>
      <c r="Z378" s="518"/>
      <c r="AA378" s="524"/>
      <c r="AB378" s="518"/>
      <c r="AC378" s="524"/>
      <c r="AD378" s="518"/>
      <c r="AE378" s="524"/>
      <c r="AF378" s="518"/>
      <c r="AG378" s="524"/>
      <c r="AH378" s="518"/>
      <c r="AI378" s="524"/>
      <c r="AJ378" s="518"/>
      <c r="AK378" s="524"/>
      <c r="AL378" s="518"/>
      <c r="AM378" s="524"/>
      <c r="AN378" s="518"/>
      <c r="AO378" s="520"/>
      <c r="AP378" s="518"/>
      <c r="AQ378" s="520"/>
      <c r="AR378" s="518"/>
      <c r="AS378" s="520"/>
      <c r="AT378" s="518"/>
      <c r="AU378" s="520"/>
      <c r="AV378" s="518"/>
      <c r="AW378" s="520"/>
      <c r="AX378" s="518"/>
      <c r="AY378" s="520"/>
      <c r="AZ378" s="518"/>
      <c r="BA378" s="520"/>
      <c r="BB378" s="518"/>
      <c r="BC378" s="520"/>
      <c r="BD378" s="518"/>
      <c r="BE378" s="520"/>
      <c r="BF378" s="518"/>
      <c r="BG378" s="520"/>
      <c r="BH378" s="518"/>
      <c r="BI378" s="520"/>
      <c r="BJ378" s="518"/>
      <c r="BK378" s="520"/>
      <c r="BL378" s="518"/>
      <c r="BM378" s="520"/>
      <c r="BN378" s="518"/>
      <c r="BO378" s="520"/>
      <c r="BP378" s="518"/>
      <c r="BQ378" s="520"/>
      <c r="BR378" s="518"/>
      <c r="BS378" s="520"/>
      <c r="BT378" s="518"/>
      <c r="BU378" s="520"/>
      <c r="BV378" s="518"/>
      <c r="BW378" s="520"/>
      <c r="BX378" s="518"/>
      <c r="BY378" s="520"/>
      <c r="BZ378" s="518"/>
      <c r="CA378" s="520"/>
      <c r="CB378" s="518"/>
      <c r="CC378" s="520"/>
      <c r="CD378" s="518"/>
      <c r="CE378" s="520"/>
      <c r="CF378" s="518"/>
      <c r="CG378" s="520"/>
      <c r="CH378" s="518"/>
      <c r="CI378" s="520"/>
      <c r="CJ378" s="518"/>
      <c r="CK378" s="520"/>
      <c r="CL378" s="518"/>
      <c r="CM378" s="520"/>
      <c r="CN378" s="518"/>
      <c r="CO378" s="520"/>
      <c r="CP378" s="518"/>
      <c r="CQ378" s="520"/>
      <c r="CR378" s="518"/>
      <c r="CS378" s="520"/>
      <c r="CT378" s="518"/>
      <c r="CU378" s="520"/>
      <c r="CV378" s="518"/>
      <c r="CW378" s="520"/>
      <c r="CX378" s="518"/>
      <c r="CY378" s="520"/>
      <c r="CZ378" s="518"/>
      <c r="DA378" s="520"/>
      <c r="DB378" s="518"/>
      <c r="DC378" s="520"/>
      <c r="DD378" s="518"/>
      <c r="DE378" s="520"/>
      <c r="DF378" s="518"/>
      <c r="DG378" s="520"/>
      <c r="DH378" s="518"/>
      <c r="DI378" s="520"/>
      <c r="DJ378" s="518"/>
      <c r="DK378" s="520"/>
      <c r="DL378" s="518"/>
      <c r="DM378" s="520"/>
      <c r="DN378" s="518"/>
      <c r="DO378" s="520"/>
      <c r="DP378" s="518"/>
      <c r="DQ378" s="520"/>
      <c r="DR378" s="518"/>
      <c r="DS378" s="520"/>
      <c r="DT378" s="518"/>
      <c r="DU378" s="520"/>
      <c r="DV378" s="518"/>
      <c r="DW378" s="520"/>
      <c r="DX378" s="518"/>
      <c r="DY378" s="520"/>
      <c r="DZ378" s="518"/>
      <c r="EA378" s="520"/>
      <c r="EB378" s="518"/>
      <c r="EC378" s="520"/>
      <c r="ED378" s="518"/>
      <c r="EE378" s="520"/>
      <c r="EF378" s="518"/>
      <c r="EG378" s="520"/>
      <c r="EH378" s="520"/>
      <c r="EI378" s="518"/>
      <c r="EJ378" s="524"/>
      <c r="EK378" s="518"/>
      <c r="EL378" s="524"/>
      <c r="EM378" s="518"/>
      <c r="EN378" s="524"/>
      <c r="EO378" s="518"/>
      <c r="EP378" s="524"/>
      <c r="EQ378" s="518"/>
      <c r="ER378" s="520"/>
      <c r="ES378" s="518"/>
      <c r="ET378" s="520"/>
      <c r="EU378" s="518"/>
      <c r="EV378" s="520"/>
      <c r="EW378" s="518"/>
      <c r="EX378" s="520"/>
      <c r="EY378" s="518"/>
      <c r="EZ378" s="520"/>
      <c r="FA378" s="518"/>
      <c r="FB378" s="520"/>
      <c r="FC378" s="518"/>
      <c r="FD378" s="520"/>
      <c r="FE378" s="518"/>
      <c r="FF378" s="520"/>
      <c r="FG378" s="518"/>
      <c r="FH378" s="520"/>
      <c r="FI378" s="518"/>
      <c r="FJ378" s="520"/>
      <c r="FK378" s="518"/>
      <c r="FL378" s="520"/>
      <c r="FM378" s="518"/>
      <c r="FN378" s="520"/>
      <c r="FO378" s="518"/>
      <c r="FP378" s="520"/>
      <c r="FQ378" s="518"/>
      <c r="FR378" s="520"/>
      <c r="FS378" s="518"/>
      <c r="FT378" s="520"/>
      <c r="FU378" s="518"/>
      <c r="FV378" s="520"/>
      <c r="FW378" s="518"/>
      <c r="FX378" s="520"/>
      <c r="FY378" s="518"/>
      <c r="FZ378" s="520"/>
      <c r="GA378" s="524"/>
    </row>
    <row r="379" spans="1:183" ht="21.95" hidden="1" customHeight="1" outlineLevel="1" collapsed="1" x14ac:dyDescent="0.25">
      <c r="A379" s="551" t="str">
        <f>INPUT!$B$4</f>
        <v>Unum Group</v>
      </c>
      <c r="B379" s="504"/>
      <c r="C379" s="512"/>
      <c r="D379" s="504"/>
      <c r="E379" s="505"/>
      <c r="F379" s="504"/>
      <c r="G379" s="505"/>
      <c r="H379" s="504"/>
      <c r="I379" s="505"/>
      <c r="J379" s="504"/>
      <c r="K379" s="505"/>
      <c r="L379" s="504"/>
      <c r="M379" s="505"/>
      <c r="N379" s="504"/>
      <c r="O379" s="505"/>
      <c r="P379" s="504"/>
      <c r="Q379" s="505"/>
      <c r="R379" s="504"/>
      <c r="S379" s="505"/>
      <c r="T379" s="504"/>
      <c r="U379" s="505"/>
      <c r="V379" s="504"/>
      <c r="W379" s="505"/>
      <c r="X379" s="504"/>
      <c r="Y379" s="505"/>
      <c r="Z379" s="504"/>
      <c r="AA379" s="505"/>
      <c r="AB379" s="504"/>
      <c r="AC379" s="505"/>
      <c r="AD379" s="504"/>
      <c r="AE379" s="505"/>
      <c r="AF379" s="504"/>
      <c r="AG379" s="505"/>
      <c r="AH379" s="504"/>
      <c r="AI379" s="505"/>
      <c r="AJ379" s="504"/>
      <c r="AK379" s="505"/>
      <c r="AL379" s="504"/>
      <c r="AM379" s="505"/>
      <c r="AN379" s="504"/>
      <c r="AO379" s="506"/>
      <c r="AP379" s="504"/>
      <c r="AQ379" s="506"/>
      <c r="AR379" s="504"/>
      <c r="AS379" s="506"/>
      <c r="AT379" s="504"/>
      <c r="AU379" s="506"/>
      <c r="AV379" s="504"/>
      <c r="AW379" s="506"/>
      <c r="AX379" s="504"/>
      <c r="AY379" s="506"/>
      <c r="AZ379" s="504"/>
      <c r="BA379" s="506"/>
      <c r="BB379" s="504"/>
      <c r="BC379" s="506"/>
      <c r="BD379" s="504"/>
      <c r="BE379" s="506"/>
      <c r="BF379" s="504"/>
      <c r="BG379" s="506"/>
      <c r="BH379" s="504"/>
      <c r="BI379" s="506"/>
      <c r="BJ379" s="504"/>
      <c r="BK379" s="506"/>
      <c r="BL379" s="504"/>
      <c r="BM379" s="506"/>
      <c r="BN379" s="504"/>
      <c r="BO379" s="506"/>
      <c r="BP379" s="504"/>
      <c r="BQ379" s="506"/>
      <c r="BR379" s="504"/>
      <c r="BS379" s="506"/>
      <c r="BT379" s="504"/>
      <c r="BU379" s="506"/>
      <c r="BV379" s="504"/>
      <c r="BW379" s="506"/>
      <c r="BX379" s="504"/>
      <c r="BY379" s="506"/>
      <c r="BZ379" s="504"/>
      <c r="CA379" s="506"/>
      <c r="CB379" s="504"/>
      <c r="CC379" s="506"/>
      <c r="CD379" s="504"/>
      <c r="CE379" s="506"/>
      <c r="CF379" s="504"/>
      <c r="CG379" s="506"/>
      <c r="CH379" s="504"/>
      <c r="CI379" s="506"/>
      <c r="CJ379" s="504"/>
      <c r="CK379" s="506"/>
      <c r="CL379" s="504"/>
      <c r="CM379" s="506"/>
      <c r="CN379" s="504"/>
      <c r="CO379" s="506"/>
      <c r="CP379" s="504"/>
      <c r="CQ379" s="506"/>
      <c r="CR379" s="504"/>
      <c r="CS379" s="506"/>
      <c r="CT379" s="504"/>
      <c r="CU379" s="506"/>
      <c r="CV379" s="504"/>
      <c r="CW379" s="506"/>
      <c r="CX379" s="504"/>
      <c r="CY379" s="506"/>
      <c r="CZ379" s="504"/>
      <c r="DA379" s="506"/>
      <c r="DB379" s="504"/>
      <c r="DC379" s="506"/>
      <c r="DD379" s="504"/>
      <c r="DE379" s="506"/>
      <c r="DF379" s="504"/>
      <c r="DG379" s="506"/>
      <c r="DH379" s="504"/>
      <c r="DI379" s="506"/>
      <c r="DJ379" s="504"/>
      <c r="DK379" s="506"/>
      <c r="DL379" s="504"/>
      <c r="DM379" s="506"/>
      <c r="DN379" s="504"/>
      <c r="DO379" s="506"/>
      <c r="DP379" s="504"/>
      <c r="DQ379" s="506"/>
      <c r="DR379" s="504"/>
      <c r="DS379" s="506"/>
      <c r="DT379" s="504"/>
      <c r="DU379" s="506"/>
      <c r="DV379" s="504"/>
      <c r="DW379" s="506"/>
      <c r="DX379" s="504"/>
      <c r="DY379" s="506"/>
      <c r="DZ379" s="504"/>
      <c r="EA379" s="506"/>
      <c r="EB379" s="504"/>
      <c r="EC379" s="506"/>
      <c r="ED379" s="504"/>
      <c r="EE379" s="506"/>
      <c r="EF379" s="504"/>
      <c r="EG379" s="506"/>
      <c r="EH379" s="506"/>
      <c r="EI379" s="504"/>
      <c r="EJ379" s="505"/>
      <c r="EK379" s="504"/>
      <c r="EL379" s="505"/>
      <c r="EM379" s="504"/>
      <c r="EN379" s="505"/>
      <c r="EO379" s="504"/>
      <c r="EP379" s="505"/>
      <c r="EQ379" s="504"/>
      <c r="ER379" s="506"/>
      <c r="ES379" s="504"/>
      <c r="ET379" s="506"/>
      <c r="EU379" s="504"/>
      <c r="EV379" s="506"/>
      <c r="EW379" s="504"/>
      <c r="EX379" s="506"/>
      <c r="EY379" s="504"/>
      <c r="EZ379" s="506"/>
      <c r="FA379" s="504"/>
      <c r="FB379" s="506"/>
      <c r="FC379" s="504"/>
      <c r="FD379" s="506"/>
      <c r="FE379" s="504"/>
      <c r="FF379" s="506"/>
      <c r="FG379" s="504"/>
      <c r="FH379" s="506"/>
      <c r="FI379" s="504"/>
      <c r="FJ379" s="506"/>
      <c r="FK379" s="504"/>
      <c r="FL379" s="506"/>
      <c r="FM379" s="504"/>
      <c r="FN379" s="506"/>
      <c r="FO379" s="504"/>
      <c r="FP379" s="506"/>
      <c r="FQ379" s="504"/>
      <c r="FR379" s="506"/>
      <c r="FS379" s="504"/>
      <c r="FT379" s="506"/>
      <c r="FU379" s="504"/>
      <c r="FV379" s="506"/>
      <c r="FW379" s="504"/>
      <c r="FX379" s="506"/>
      <c r="FY379" s="504"/>
      <c r="FZ379" s="506"/>
      <c r="GA379" s="505"/>
    </row>
    <row r="380" spans="1:183" ht="12.75" hidden="1" customHeight="1" outlineLevel="1" x14ac:dyDescent="0.2">
      <c r="A380" s="604" t="s">
        <v>427</v>
      </c>
      <c r="B380" s="504"/>
      <c r="C380" s="512"/>
      <c r="D380" s="504"/>
      <c r="E380" s="505"/>
      <c r="F380" s="504"/>
      <c r="G380" s="505"/>
      <c r="H380" s="504"/>
      <c r="I380" s="505"/>
      <c r="J380" s="504"/>
      <c r="K380" s="505"/>
      <c r="L380" s="504"/>
      <c r="M380" s="505"/>
      <c r="N380" s="504"/>
      <c r="O380" s="505"/>
      <c r="P380" s="504"/>
      <c r="Q380" s="505"/>
      <c r="R380" s="504"/>
      <c r="S380" s="505"/>
      <c r="T380" s="504"/>
      <c r="U380" s="505"/>
      <c r="V380" s="504"/>
      <c r="W380" s="505"/>
      <c r="X380" s="504"/>
      <c r="Y380" s="505"/>
      <c r="Z380" s="504"/>
      <c r="AA380" s="505"/>
      <c r="AB380" s="504"/>
      <c r="AC380" s="505"/>
      <c r="AD380" s="504"/>
      <c r="AE380" s="505"/>
      <c r="AF380" s="504"/>
      <c r="AG380" s="505"/>
      <c r="AH380" s="504"/>
      <c r="AI380" s="505"/>
      <c r="AJ380" s="504"/>
      <c r="AK380" s="505"/>
      <c r="AL380" s="504"/>
      <c r="AM380" s="505"/>
      <c r="AN380" s="504"/>
      <c r="AO380" s="506"/>
      <c r="AP380" s="504"/>
      <c r="AQ380" s="506"/>
      <c r="AR380" s="504"/>
      <c r="AS380" s="506"/>
      <c r="AT380" s="504"/>
      <c r="AU380" s="506"/>
      <c r="AV380" s="504"/>
      <c r="AW380" s="506"/>
      <c r="AX380" s="504"/>
      <c r="AY380" s="506"/>
      <c r="AZ380" s="504"/>
      <c r="BA380" s="506"/>
      <c r="BB380" s="504"/>
      <c r="BC380" s="506"/>
      <c r="BD380" s="504"/>
      <c r="BE380" s="506"/>
      <c r="BF380" s="504"/>
      <c r="BG380" s="506"/>
      <c r="BH380" s="504"/>
      <c r="BI380" s="506"/>
      <c r="BJ380" s="504"/>
      <c r="BK380" s="506"/>
      <c r="BL380" s="504"/>
      <c r="BM380" s="506"/>
      <c r="BN380" s="504"/>
      <c r="BO380" s="506"/>
      <c r="BP380" s="504"/>
      <c r="BQ380" s="506"/>
      <c r="BR380" s="504"/>
      <c r="BS380" s="506"/>
      <c r="BT380" s="504"/>
      <c r="BU380" s="506"/>
      <c r="BV380" s="504"/>
      <c r="BW380" s="506"/>
      <c r="BX380" s="504"/>
      <c r="BY380" s="506"/>
      <c r="BZ380" s="504"/>
      <c r="CA380" s="506"/>
      <c r="CB380" s="504"/>
      <c r="CC380" s="506"/>
      <c r="CD380" s="504"/>
      <c r="CE380" s="506"/>
      <c r="CF380" s="504"/>
      <c r="CG380" s="506"/>
      <c r="CH380" s="504"/>
      <c r="CI380" s="506"/>
      <c r="CJ380" s="504"/>
      <c r="CK380" s="506"/>
      <c r="CL380" s="504"/>
      <c r="CM380" s="506"/>
      <c r="CN380" s="504"/>
      <c r="CO380" s="506"/>
      <c r="CP380" s="504"/>
      <c r="CQ380" s="506"/>
      <c r="CR380" s="504"/>
      <c r="CS380" s="506"/>
      <c r="CT380" s="504"/>
      <c r="CU380" s="506"/>
      <c r="CV380" s="504"/>
      <c r="CW380" s="506"/>
      <c r="CX380" s="504"/>
      <c r="CY380" s="506"/>
      <c r="CZ380" s="504"/>
      <c r="DA380" s="506"/>
      <c r="DB380" s="504"/>
      <c r="DC380" s="506"/>
      <c r="DD380" s="504"/>
      <c r="DE380" s="506"/>
      <c r="DF380" s="504"/>
      <c r="DG380" s="506"/>
      <c r="DH380" s="504"/>
      <c r="DI380" s="506"/>
      <c r="DJ380" s="504"/>
      <c r="DK380" s="506"/>
      <c r="DL380" s="504"/>
      <c r="DM380" s="506"/>
      <c r="DN380" s="504"/>
      <c r="DO380" s="506"/>
      <c r="DP380" s="504"/>
      <c r="DQ380" s="506"/>
      <c r="DR380" s="504"/>
      <c r="DS380" s="506"/>
      <c r="DT380" s="504"/>
      <c r="DU380" s="506"/>
      <c r="DV380" s="504"/>
      <c r="DW380" s="506"/>
      <c r="DX380" s="504"/>
      <c r="DY380" s="506"/>
      <c r="DZ380" s="504"/>
      <c r="EA380" s="506"/>
      <c r="EB380" s="504"/>
      <c r="EC380" s="506"/>
      <c r="ED380" s="504"/>
      <c r="EE380" s="506"/>
      <c r="EF380" s="504"/>
      <c r="EG380" s="506"/>
      <c r="EH380" s="506"/>
      <c r="EI380" s="504"/>
      <c r="EJ380" s="505"/>
      <c r="EK380" s="504"/>
      <c r="EL380" s="505"/>
      <c r="EM380" s="504"/>
      <c r="EN380" s="505"/>
      <c r="EO380" s="504"/>
      <c r="EP380" s="505"/>
      <c r="EQ380" s="504"/>
      <c r="ER380" s="506"/>
      <c r="ES380" s="504"/>
      <c r="ET380" s="506"/>
      <c r="EU380" s="504"/>
      <c r="EV380" s="506"/>
      <c r="EW380" s="504"/>
      <c r="EX380" s="506"/>
      <c r="EY380" s="504"/>
      <c r="EZ380" s="506"/>
      <c r="FA380" s="504"/>
      <c r="FB380" s="506"/>
      <c r="FC380" s="504"/>
      <c r="FD380" s="506"/>
      <c r="FE380" s="504"/>
      <c r="FF380" s="506"/>
      <c r="FG380" s="504"/>
      <c r="FH380" s="506"/>
      <c r="FI380" s="504"/>
      <c r="FJ380" s="506"/>
      <c r="FK380" s="504"/>
      <c r="FL380" s="506"/>
      <c r="FM380" s="504"/>
      <c r="FN380" s="506"/>
      <c r="FO380" s="504"/>
      <c r="FP380" s="506"/>
      <c r="FQ380" s="504"/>
      <c r="FR380" s="506"/>
      <c r="FS380" s="504"/>
      <c r="FT380" s="506"/>
      <c r="FU380" s="504"/>
      <c r="FV380" s="506"/>
      <c r="FW380" s="504"/>
      <c r="FX380" s="506"/>
      <c r="FY380" s="504"/>
      <c r="FZ380" s="506"/>
      <c r="GA380" s="505"/>
    </row>
    <row r="381" spans="1:183" s="502" customFormat="1" ht="12.75" hidden="1" customHeight="1" outlineLevel="1" x14ac:dyDescent="0.2">
      <c r="A381" s="507" t="str">
        <f>A$3</f>
        <v>($Millions Except Per Share Data)</v>
      </c>
      <c r="B381" s="508"/>
      <c r="C381" s="509" t="str">
        <f>C$3</f>
        <v>1Q02/</v>
      </c>
      <c r="D381" s="508"/>
      <c r="E381" s="509" t="str">
        <f>E$3</f>
        <v>2Q02/</v>
      </c>
      <c r="F381" s="508"/>
      <c r="G381" s="509" t="str">
        <f>G$3</f>
        <v>3Q02/</v>
      </c>
      <c r="H381" s="508"/>
      <c r="I381" s="509" t="str">
        <f>I$3</f>
        <v>4Q02/</v>
      </c>
      <c r="J381" s="508"/>
      <c r="K381" s="509" t="str">
        <f>K$3</f>
        <v>1Q03/</v>
      </c>
      <c r="L381" s="508"/>
      <c r="M381" s="509" t="str">
        <f>M$3</f>
        <v>2Q03/</v>
      </c>
      <c r="N381" s="508"/>
      <c r="O381" s="509" t="str">
        <f>O$3</f>
        <v>3Q03/</v>
      </c>
      <c r="P381" s="508"/>
      <c r="Q381" s="509" t="str">
        <f>Q$3</f>
        <v>4Q03/</v>
      </c>
      <c r="R381" s="508"/>
      <c r="S381" s="509" t="str">
        <f>S$3</f>
        <v>1Q04/</v>
      </c>
      <c r="T381" s="508"/>
      <c r="U381" s="509" t="str">
        <f>U$3</f>
        <v>2Q04/</v>
      </c>
      <c r="V381" s="508"/>
      <c r="W381" s="509" t="str">
        <f>W$3</f>
        <v>3Q04/</v>
      </c>
      <c r="X381" s="508"/>
      <c r="Y381" s="509" t="str">
        <f>Y$3</f>
        <v>4Q04/</v>
      </c>
      <c r="Z381" s="508"/>
      <c r="AA381" s="509" t="str">
        <f>AA$3</f>
        <v>1Q05/</v>
      </c>
      <c r="AB381" s="508"/>
      <c r="AC381" s="509" t="str">
        <f>AC$3</f>
        <v>2Q05/</v>
      </c>
      <c r="AD381" s="508"/>
      <c r="AE381" s="509" t="str">
        <f>AE$3</f>
        <v>3Q05/</v>
      </c>
      <c r="AF381" s="508"/>
      <c r="AG381" s="509" t="str">
        <f>AG$3</f>
        <v>4Q05/</v>
      </c>
      <c r="AH381" s="508"/>
      <c r="AI381" s="509" t="str">
        <f>AI$3</f>
        <v>1Q06/</v>
      </c>
      <c r="AJ381" s="508"/>
      <c r="AK381" s="509" t="str">
        <f>AK$3</f>
        <v>2Q06/</v>
      </c>
      <c r="AL381" s="508"/>
      <c r="AM381" s="509" t="str">
        <f>AM$3</f>
        <v>3Q06/</v>
      </c>
      <c r="AN381" s="508"/>
      <c r="AO381" s="510" t="str">
        <f>AO$3</f>
        <v>4Q06/</v>
      </c>
      <c r="AP381" s="508"/>
      <c r="AQ381" s="510" t="str">
        <f>AQ$3</f>
        <v>1Q07/</v>
      </c>
      <c r="AR381" s="508"/>
      <c r="AS381" s="510" t="str">
        <f>AS$3</f>
        <v>2Q07/</v>
      </c>
      <c r="AT381" s="508"/>
      <c r="AU381" s="510" t="str">
        <f>AU$3</f>
        <v>3Q07/</v>
      </c>
      <c r="AV381" s="508"/>
      <c r="AW381" s="510" t="str">
        <f>AW$3</f>
        <v>4Q07/</v>
      </c>
      <c r="AX381" s="508"/>
      <c r="AY381" s="510" t="str">
        <f>AY$3</f>
        <v>1Q08/</v>
      </c>
      <c r="AZ381" s="508"/>
      <c r="BA381" s="510" t="str">
        <f>BA$3</f>
        <v>2Q08/</v>
      </c>
      <c r="BB381" s="508"/>
      <c r="BC381" s="510" t="str">
        <f>BC$3</f>
        <v>3Q08/</v>
      </c>
      <c r="BD381" s="508"/>
      <c r="BE381" s="510" t="str">
        <f>BE$3</f>
        <v>4Q08/</v>
      </c>
      <c r="BF381" s="508"/>
      <c r="BG381" s="510" t="str">
        <f>BG$3</f>
        <v>1Q09/</v>
      </c>
      <c r="BH381" s="508"/>
      <c r="BI381" s="510" t="str">
        <f>BI$3</f>
        <v>2Q09/</v>
      </c>
      <c r="BJ381" s="508"/>
      <c r="BK381" s="510" t="str">
        <f>BK$3</f>
        <v>3Q09/</v>
      </c>
      <c r="BL381" s="508"/>
      <c r="BM381" s="510" t="str">
        <f>BM$3</f>
        <v>4Q09/</v>
      </c>
      <c r="BN381" s="508"/>
      <c r="BO381" s="510" t="str">
        <f>BO$3</f>
        <v>1Q10/</v>
      </c>
      <c r="BP381" s="508"/>
      <c r="BQ381" s="510" t="str">
        <f>BQ$3</f>
        <v>2Q10/</v>
      </c>
      <c r="BR381" s="508"/>
      <c r="BS381" s="510" t="str">
        <f>BS$3</f>
        <v>3Q10/</v>
      </c>
      <c r="BT381" s="508"/>
      <c r="BU381" s="510">
        <f>BU$3</f>
        <v>0</v>
      </c>
      <c r="BV381" s="508"/>
      <c r="BW381" s="510" t="str">
        <f>BW$3</f>
        <v>1Q11/</v>
      </c>
      <c r="BX381" s="508"/>
      <c r="BY381" s="510" t="str">
        <f>BY$3</f>
        <v>2Q11/</v>
      </c>
      <c r="BZ381" s="508"/>
      <c r="CA381" s="510" t="str">
        <f>CA$3</f>
        <v>3Q11/</v>
      </c>
      <c r="CB381" s="508"/>
      <c r="CC381" s="510" t="str">
        <f>CC$3</f>
        <v>4Q11/</v>
      </c>
      <c r="CD381" s="508"/>
      <c r="CE381" s="510" t="str">
        <f>CE$3</f>
        <v>1Q12/</v>
      </c>
      <c r="CF381" s="508"/>
      <c r="CG381" s="510" t="str">
        <f>CG$3</f>
        <v>2Q12/</v>
      </c>
      <c r="CH381" s="508"/>
      <c r="CI381" s="510" t="str">
        <f>CI$3</f>
        <v>3Q12/</v>
      </c>
      <c r="CJ381" s="508"/>
      <c r="CK381" s="510" t="str">
        <f>CK$3</f>
        <v>4Q12/</v>
      </c>
      <c r="CL381" s="641"/>
      <c r="CM381" s="642" t="str">
        <f>CM$3</f>
        <v>1Q13/</v>
      </c>
      <c r="CN381" s="641"/>
      <c r="CO381" s="642" t="str">
        <f>CO$3</f>
        <v>2Q13/</v>
      </c>
      <c r="CP381" s="641"/>
      <c r="CQ381" s="642" t="str">
        <f>CQ$3</f>
        <v>3Q13/</v>
      </c>
      <c r="CR381" s="641"/>
      <c r="CS381" s="642" t="str">
        <f>CS$3</f>
        <v>4Q13/</v>
      </c>
      <c r="CT381" s="641"/>
      <c r="CU381" s="642" t="str">
        <f>CU$3</f>
        <v>1Q14/</v>
      </c>
      <c r="CV381" s="641"/>
      <c r="CW381" s="642" t="str">
        <f>CW$3</f>
        <v>2Q14/</v>
      </c>
      <c r="CX381" s="641"/>
      <c r="CY381" s="642" t="str">
        <f>CY$3</f>
        <v>3Q14/</v>
      </c>
      <c r="CZ381" s="641"/>
      <c r="DA381" s="642" t="str">
        <f>DA$3</f>
        <v>4Q14/</v>
      </c>
      <c r="DB381" s="641"/>
      <c r="DC381" s="642" t="str">
        <f>DC$3</f>
        <v>1Q15/</v>
      </c>
      <c r="DD381" s="641"/>
      <c r="DE381" s="642" t="str">
        <f>DE$3</f>
        <v>2Q15/</v>
      </c>
      <c r="DF381" s="641"/>
      <c r="DG381" s="642" t="str">
        <f>DG$3</f>
        <v>3Q15/</v>
      </c>
      <c r="DH381" s="641"/>
      <c r="DI381" s="642" t="str">
        <f>DI$3</f>
        <v>4Q15/</v>
      </c>
      <c r="DJ381" s="641"/>
      <c r="DK381" s="642" t="str">
        <f>DK$3</f>
        <v>1Q16/</v>
      </c>
      <c r="DL381" s="641"/>
      <c r="DM381" s="642" t="str">
        <f>DM$3</f>
        <v>2Q16/</v>
      </c>
      <c r="DN381" s="641"/>
      <c r="DO381" s="642" t="str">
        <f>DO$3</f>
        <v>3Q16/</v>
      </c>
      <c r="DP381" s="641"/>
      <c r="DQ381" s="642" t="str">
        <f>DQ$3</f>
        <v>4Q16/</v>
      </c>
      <c r="DR381" s="641"/>
      <c r="DS381" s="642" t="str">
        <f t="shared" ref="DS381" si="264">DS$3</f>
        <v>1Q17/</v>
      </c>
      <c r="DT381" s="641"/>
      <c r="DU381" s="642" t="str">
        <f t="shared" ref="DU381" si="265">DU$3</f>
        <v>2Q17/</v>
      </c>
      <c r="DV381" s="641"/>
      <c r="DW381" s="642" t="str">
        <f t="shared" ref="DW381" si="266">DW$3</f>
        <v>3Q17/</v>
      </c>
      <c r="DX381" s="641"/>
      <c r="DY381" s="642" t="str">
        <f t="shared" ref="DY381" si="267">DY$3</f>
        <v>4Q17/</v>
      </c>
      <c r="DZ381" s="641"/>
      <c r="EA381" s="642" t="str">
        <f t="shared" ref="EA381" si="268">EA$3</f>
        <v>1Q18E/</v>
      </c>
      <c r="EB381" s="641"/>
      <c r="EC381" s="642" t="str">
        <f t="shared" ref="EC381" si="269">EC$3</f>
        <v>2Q18E/</v>
      </c>
      <c r="ED381" s="641"/>
      <c r="EE381" s="642" t="str">
        <f t="shared" ref="EE381" si="270">EE$3</f>
        <v>3Q18E/</v>
      </c>
      <c r="EF381" s="641"/>
      <c r="EG381" s="642" t="str">
        <f t="shared" ref="EG381" si="271">EG$3</f>
        <v>4Q18E/</v>
      </c>
      <c r="EH381" s="642"/>
      <c r="EI381" s="641"/>
      <c r="EJ381" s="643"/>
      <c r="EK381" s="641"/>
      <c r="EL381" s="643" t="str">
        <f>EL$3</f>
        <v>2002/</v>
      </c>
      <c r="EM381" s="641"/>
      <c r="EN381" s="643" t="str">
        <f>EN$3</f>
        <v>2003/</v>
      </c>
      <c r="EO381" s="641"/>
      <c r="EP381" s="643" t="str">
        <f>EP$3</f>
        <v>2004/</v>
      </c>
      <c r="EQ381" s="641"/>
      <c r="ER381" s="642" t="str">
        <f>ER$3</f>
        <v>2005/</v>
      </c>
      <c r="ES381" s="641"/>
      <c r="ET381" s="642" t="str">
        <f>ET$3</f>
        <v>2006/</v>
      </c>
      <c r="EU381" s="641"/>
      <c r="EV381" s="642" t="str">
        <f>EV$3</f>
        <v>2007/</v>
      </c>
      <c r="EW381" s="641"/>
      <c r="EX381" s="642" t="str">
        <f>EX$3</f>
        <v>2008/</v>
      </c>
      <c r="EY381" s="641"/>
      <c r="EZ381" s="642" t="str">
        <f>EZ$3</f>
        <v>2009/</v>
      </c>
      <c r="FA381" s="641"/>
      <c r="FB381" s="642" t="str">
        <f>FB$3</f>
        <v>2010/</v>
      </c>
      <c r="FC381" s="641"/>
      <c r="FD381" s="642" t="str">
        <f>FD$3</f>
        <v>2011/</v>
      </c>
      <c r="FE381" s="641"/>
      <c r="FF381" s="642" t="str">
        <f>FF$3</f>
        <v>2012/</v>
      </c>
      <c r="FG381" s="641"/>
      <c r="FH381" s="642" t="str">
        <f>FH$3</f>
        <v>2013/</v>
      </c>
      <c r="FI381" s="641"/>
      <c r="FJ381" s="642" t="str">
        <f>FJ$3</f>
        <v>2014/</v>
      </c>
      <c r="FK381" s="641"/>
      <c r="FL381" s="642" t="str">
        <f>FL$3</f>
        <v>2015/</v>
      </c>
      <c r="FM381" s="641"/>
      <c r="FN381" s="642" t="str">
        <f>FN$3</f>
        <v>2016/</v>
      </c>
      <c r="FO381" s="641"/>
      <c r="FP381" s="642" t="str">
        <f>FP$3</f>
        <v>2017/</v>
      </c>
      <c r="FQ381" s="641"/>
      <c r="FR381" s="642" t="str">
        <f>FR$3</f>
        <v>2018E/</v>
      </c>
      <c r="FS381" s="641"/>
      <c r="FT381" s="642" t="str">
        <f>FT$3</f>
        <v>2019E/</v>
      </c>
      <c r="FU381" s="641"/>
      <c r="FV381" s="642" t="str">
        <f>FV$3</f>
        <v>2020E/</v>
      </c>
      <c r="FW381" s="641"/>
      <c r="FX381" s="642" t="str">
        <f>FX$3</f>
        <v>2021E/</v>
      </c>
      <c r="FY381" s="641"/>
      <c r="FZ381" s="642" t="str">
        <f>FZ$3</f>
        <v>2022E/</v>
      </c>
      <c r="GA381" s="643" t="str">
        <f>INPUT!GT$5</f>
        <v>5-Yr</v>
      </c>
    </row>
    <row r="382" spans="1:183" s="502" customFormat="1" ht="12.75" hidden="1" customHeight="1" outlineLevel="1" x14ac:dyDescent="0.2">
      <c r="A382" s="511"/>
      <c r="B382" s="504"/>
      <c r="C382" s="512" t="str">
        <f>C$4</f>
        <v>1Q01</v>
      </c>
      <c r="D382" s="504"/>
      <c r="E382" s="512" t="str">
        <f>E$4</f>
        <v>2Q01</v>
      </c>
      <c r="F382" s="504"/>
      <c r="G382" s="512" t="str">
        <f>G$4</f>
        <v>3Q01</v>
      </c>
      <c r="H382" s="504"/>
      <c r="I382" s="512" t="str">
        <f>I$4</f>
        <v>4Q01</v>
      </c>
      <c r="J382" s="504"/>
      <c r="K382" s="512" t="str">
        <f>K$4</f>
        <v>1Q02</v>
      </c>
      <c r="L382" s="504"/>
      <c r="M382" s="512" t="str">
        <f>M$4</f>
        <v>2Q02</v>
      </c>
      <c r="N382" s="504"/>
      <c r="O382" s="512" t="str">
        <f>O$4</f>
        <v>3Q02</v>
      </c>
      <c r="P382" s="504"/>
      <c r="Q382" s="512" t="str">
        <f>Q$4</f>
        <v>4Q02</v>
      </c>
      <c r="R382" s="504"/>
      <c r="S382" s="512" t="str">
        <f>S$4</f>
        <v>1Q03</v>
      </c>
      <c r="T382" s="504"/>
      <c r="U382" s="512" t="str">
        <f>U$4</f>
        <v>2Q03</v>
      </c>
      <c r="V382" s="504"/>
      <c r="W382" s="512" t="str">
        <f>W$4</f>
        <v>3Q03</v>
      </c>
      <c r="X382" s="504"/>
      <c r="Y382" s="512" t="str">
        <f>Y$4</f>
        <v>4Q03</v>
      </c>
      <c r="Z382" s="504"/>
      <c r="AA382" s="512" t="str">
        <f>AA$4</f>
        <v>1Q04</v>
      </c>
      <c r="AB382" s="504"/>
      <c r="AC382" s="512" t="str">
        <f>AC$4</f>
        <v>2Q04</v>
      </c>
      <c r="AD382" s="504"/>
      <c r="AE382" s="512" t="str">
        <f>AE$4</f>
        <v>3Q04</v>
      </c>
      <c r="AF382" s="504"/>
      <c r="AG382" s="512" t="str">
        <f>AG$4</f>
        <v>4Q04</v>
      </c>
      <c r="AH382" s="504"/>
      <c r="AI382" s="512" t="str">
        <f>AI$4</f>
        <v>1Q05</v>
      </c>
      <c r="AJ382" s="504"/>
      <c r="AK382" s="512" t="str">
        <f>AK$4</f>
        <v>2Q05</v>
      </c>
      <c r="AL382" s="504"/>
      <c r="AM382" s="512" t="str">
        <f>AM$4</f>
        <v>3Q05</v>
      </c>
      <c r="AN382" s="504"/>
      <c r="AO382" s="506" t="str">
        <f>AO$4</f>
        <v>4Q05</v>
      </c>
      <c r="AP382" s="504"/>
      <c r="AQ382" s="506" t="str">
        <f>AQ$4</f>
        <v>1Q06</v>
      </c>
      <c r="AR382" s="504"/>
      <c r="AS382" s="506" t="str">
        <f>AS$4</f>
        <v>2Q06</v>
      </c>
      <c r="AT382" s="504"/>
      <c r="AU382" s="506" t="str">
        <f>AU$4</f>
        <v>3Q06</v>
      </c>
      <c r="AV382" s="504"/>
      <c r="AW382" s="506" t="str">
        <f>AW$4</f>
        <v>4Q06</v>
      </c>
      <c r="AX382" s="504"/>
      <c r="AY382" s="506" t="str">
        <f>AY$4</f>
        <v>1Q07</v>
      </c>
      <c r="AZ382" s="504"/>
      <c r="BA382" s="506" t="str">
        <f>BA$4</f>
        <v>2Q07</v>
      </c>
      <c r="BB382" s="504"/>
      <c r="BC382" s="506" t="str">
        <f>BC$4</f>
        <v>3Q07</v>
      </c>
      <c r="BD382" s="504"/>
      <c r="BE382" s="506" t="str">
        <f>BE$4</f>
        <v>4Q07</v>
      </c>
      <c r="BF382" s="504"/>
      <c r="BG382" s="506" t="str">
        <f>BG$4</f>
        <v>1Q08</v>
      </c>
      <c r="BH382" s="504"/>
      <c r="BI382" s="506" t="str">
        <f>BI$4</f>
        <v>2Q08</v>
      </c>
      <c r="BJ382" s="504"/>
      <c r="BK382" s="506" t="str">
        <f>BK$4</f>
        <v>3Q08</v>
      </c>
      <c r="BL382" s="504"/>
      <c r="BM382" s="506" t="str">
        <f>BM$4</f>
        <v>4Q08</v>
      </c>
      <c r="BN382" s="504"/>
      <c r="BO382" s="506" t="str">
        <f>BO$4</f>
        <v>1Q09</v>
      </c>
      <c r="BP382" s="504"/>
      <c r="BQ382" s="506" t="str">
        <f>BQ$4</f>
        <v>2Q09</v>
      </c>
      <c r="BR382" s="504"/>
      <c r="BS382" s="506" t="str">
        <f>BS$4</f>
        <v>3Q09</v>
      </c>
      <c r="BT382" s="504"/>
      <c r="BU382" s="506" t="str">
        <f>BU$4</f>
        <v>4Q09</v>
      </c>
      <c r="BV382" s="504"/>
      <c r="BW382" s="506" t="str">
        <f>BW$4</f>
        <v>1Q10</v>
      </c>
      <c r="BX382" s="504"/>
      <c r="BY382" s="506" t="str">
        <f>BY$4</f>
        <v>2Q10</v>
      </c>
      <c r="BZ382" s="504"/>
      <c r="CA382" s="506" t="str">
        <f>CA$4</f>
        <v>3Q10</v>
      </c>
      <c r="CB382" s="504"/>
      <c r="CC382" s="506" t="str">
        <f>CC$4</f>
        <v>4Q10</v>
      </c>
      <c r="CD382" s="504"/>
      <c r="CE382" s="506" t="str">
        <f>CE$4</f>
        <v>1Q11</v>
      </c>
      <c r="CF382" s="504"/>
      <c r="CG382" s="506" t="str">
        <f>CG$4</f>
        <v>2Q11</v>
      </c>
      <c r="CH382" s="504"/>
      <c r="CI382" s="506" t="str">
        <f>CI$4</f>
        <v>3Q11</v>
      </c>
      <c r="CJ382" s="504"/>
      <c r="CK382" s="506" t="str">
        <f>CK$4</f>
        <v>4Q11</v>
      </c>
      <c r="CL382" s="638"/>
      <c r="CM382" s="639" t="str">
        <f>CM$4</f>
        <v>1Q12</v>
      </c>
      <c r="CN382" s="638"/>
      <c r="CO382" s="639" t="str">
        <f>CO$4</f>
        <v>2Q12</v>
      </c>
      <c r="CP382" s="638"/>
      <c r="CQ382" s="639" t="str">
        <f>CQ$4</f>
        <v>3Q12</v>
      </c>
      <c r="CR382" s="638"/>
      <c r="CS382" s="639" t="str">
        <f>CS$4</f>
        <v>4Q12</v>
      </c>
      <c r="CT382" s="638"/>
      <c r="CU382" s="639" t="str">
        <f>CU$4</f>
        <v>1Q13</v>
      </c>
      <c r="CV382" s="638"/>
      <c r="CW382" s="639" t="str">
        <f>CW$4</f>
        <v>2Q13</v>
      </c>
      <c r="CX382" s="638"/>
      <c r="CY382" s="639" t="str">
        <f>CY$4</f>
        <v>3Q13</v>
      </c>
      <c r="CZ382" s="638"/>
      <c r="DA382" s="639" t="str">
        <f>DA$4</f>
        <v>4Q13</v>
      </c>
      <c r="DB382" s="638"/>
      <c r="DC382" s="639" t="str">
        <f>DC$4</f>
        <v>1Q14</v>
      </c>
      <c r="DD382" s="638"/>
      <c r="DE382" s="639" t="str">
        <f>DE$4</f>
        <v>2Q14</v>
      </c>
      <c r="DF382" s="638"/>
      <c r="DG382" s="639" t="str">
        <f>DG$4</f>
        <v>3Q14</v>
      </c>
      <c r="DH382" s="638"/>
      <c r="DI382" s="639" t="str">
        <f>DI$4</f>
        <v>4Q14</v>
      </c>
      <c r="DJ382" s="638"/>
      <c r="DK382" s="639" t="str">
        <f>DK$4</f>
        <v>1Q15</v>
      </c>
      <c r="DL382" s="638"/>
      <c r="DM382" s="639" t="str">
        <f>DM$4</f>
        <v>2Q15</v>
      </c>
      <c r="DN382" s="638"/>
      <c r="DO382" s="639" t="str">
        <f>DO$4</f>
        <v>3Q15</v>
      </c>
      <c r="DP382" s="638"/>
      <c r="DQ382" s="639" t="str">
        <f>DQ$4</f>
        <v>4Q15</v>
      </c>
      <c r="DR382" s="638"/>
      <c r="DS382" s="639" t="str">
        <f t="shared" ref="DS382" si="272">DS$4</f>
        <v>1Q16</v>
      </c>
      <c r="DT382" s="638"/>
      <c r="DU382" s="639" t="str">
        <f t="shared" ref="DU382" si="273">DU$4</f>
        <v>2Q16</v>
      </c>
      <c r="DV382" s="638"/>
      <c r="DW382" s="639" t="str">
        <f t="shared" ref="DW382" si="274">DW$4</f>
        <v>3Q16</v>
      </c>
      <c r="DX382" s="638"/>
      <c r="DY382" s="639" t="str">
        <f t="shared" ref="DY382" si="275">DY$4</f>
        <v>4Q16</v>
      </c>
      <c r="DZ382" s="638"/>
      <c r="EA382" s="639" t="str">
        <f t="shared" ref="EA382" si="276">EA$4</f>
        <v>1Q17</v>
      </c>
      <c r="EB382" s="638"/>
      <c r="EC382" s="639" t="str">
        <f t="shared" ref="EC382" si="277">EC$4</f>
        <v>2Q17</v>
      </c>
      <c r="ED382" s="638"/>
      <c r="EE382" s="639" t="str">
        <f t="shared" ref="EE382" si="278">EE$4</f>
        <v>3Q17</v>
      </c>
      <c r="EF382" s="638"/>
      <c r="EG382" s="639" t="str">
        <f t="shared" ref="EG382" si="279">EG$4</f>
        <v>4Q17</v>
      </c>
      <c r="EH382" s="639"/>
      <c r="EI382" s="638"/>
      <c r="EJ382" s="418"/>
      <c r="EK382" s="638"/>
      <c r="EL382" s="418" t="str">
        <f>EL$4</f>
        <v>2001</v>
      </c>
      <c r="EM382" s="638"/>
      <c r="EN382" s="418" t="str">
        <f>EN$4</f>
        <v>2002</v>
      </c>
      <c r="EO382" s="638"/>
      <c r="EP382" s="418" t="str">
        <f>EP$4</f>
        <v>2003</v>
      </c>
      <c r="EQ382" s="638"/>
      <c r="ER382" s="639" t="str">
        <f>ER$4</f>
        <v>2004</v>
      </c>
      <c r="ES382" s="638"/>
      <c r="ET382" s="639" t="str">
        <f>ET$4</f>
        <v>2005</v>
      </c>
      <c r="EU382" s="638"/>
      <c r="EV382" s="639">
        <f>EV$4</f>
        <v>2006</v>
      </c>
      <c r="EW382" s="638"/>
      <c r="EX382" s="639">
        <f>EX$4</f>
        <v>2007</v>
      </c>
      <c r="EY382" s="638"/>
      <c r="EZ382" s="639">
        <f>EZ$4</f>
        <v>2008</v>
      </c>
      <c r="FA382" s="638"/>
      <c r="FB382" s="639" t="str">
        <f>FB$4</f>
        <v>2009</v>
      </c>
      <c r="FC382" s="638"/>
      <c r="FD382" s="639" t="str">
        <f>FD$4</f>
        <v>2010</v>
      </c>
      <c r="FE382" s="638"/>
      <c r="FF382" s="639" t="str">
        <f>FF$4</f>
        <v>2011</v>
      </c>
      <c r="FG382" s="638"/>
      <c r="FH382" s="639" t="str">
        <f>FH$4</f>
        <v>2012</v>
      </c>
      <c r="FI382" s="638"/>
      <c r="FJ382" s="639" t="str">
        <f>FJ$4</f>
        <v>2013</v>
      </c>
      <c r="FK382" s="638"/>
      <c r="FL382" s="639" t="str">
        <f>FL$4</f>
        <v>2014</v>
      </c>
      <c r="FM382" s="638"/>
      <c r="FN382" s="639" t="str">
        <f>FN$4</f>
        <v>2015</v>
      </c>
      <c r="FO382" s="638"/>
      <c r="FP382" s="639" t="str">
        <f>FP$4</f>
        <v>2016</v>
      </c>
      <c r="FQ382" s="638"/>
      <c r="FR382" s="639" t="str">
        <f>FR$4</f>
        <v>2017</v>
      </c>
      <c r="FS382" s="638"/>
      <c r="FT382" s="639" t="str">
        <f>FT$4</f>
        <v>2018E</v>
      </c>
      <c r="FU382" s="638"/>
      <c r="FV382" s="639" t="str">
        <f>FV$4</f>
        <v>2019E</v>
      </c>
      <c r="FW382" s="638"/>
      <c r="FX382" s="639" t="str">
        <f>FX$4</f>
        <v>2020E</v>
      </c>
      <c r="FY382" s="638"/>
      <c r="FZ382" s="639" t="str">
        <f>FZ$4</f>
        <v>2021E</v>
      </c>
      <c r="GA382" s="418" t="s">
        <v>113</v>
      </c>
    </row>
    <row r="383" spans="1:183" s="502" customFormat="1" ht="12.75" hidden="1" customHeight="1" outlineLevel="1" x14ac:dyDescent="0.2">
      <c r="A383" s="513"/>
      <c r="B383" s="514" t="str">
        <f t="shared" ref="B383:DR383" si="280">B$5</f>
        <v>1Q02</v>
      </c>
      <c r="C383" s="515" t="str">
        <f t="shared" si="280"/>
        <v>% Chg</v>
      </c>
      <c r="D383" s="514" t="str">
        <f t="shared" si="280"/>
        <v>2Q02</v>
      </c>
      <c r="E383" s="515" t="str">
        <f t="shared" si="280"/>
        <v>% Chg</v>
      </c>
      <c r="F383" s="514" t="str">
        <f t="shared" si="280"/>
        <v>3Q02</v>
      </c>
      <c r="G383" s="515" t="str">
        <f t="shared" si="280"/>
        <v>% Chg</v>
      </c>
      <c r="H383" s="514" t="str">
        <f t="shared" si="280"/>
        <v>4Q02</v>
      </c>
      <c r="I383" s="515" t="str">
        <f t="shared" si="280"/>
        <v>% Chg</v>
      </c>
      <c r="J383" s="514" t="str">
        <f t="shared" si="280"/>
        <v>1Q03</v>
      </c>
      <c r="K383" s="515" t="str">
        <f t="shared" si="280"/>
        <v>% Chg</v>
      </c>
      <c r="L383" s="514" t="str">
        <f t="shared" si="280"/>
        <v>2Q03</v>
      </c>
      <c r="M383" s="515" t="str">
        <f t="shared" si="280"/>
        <v>% Chg</v>
      </c>
      <c r="N383" s="514" t="str">
        <f t="shared" si="280"/>
        <v>3Q03</v>
      </c>
      <c r="O383" s="515" t="str">
        <f t="shared" si="280"/>
        <v>% Chg</v>
      </c>
      <c r="P383" s="514" t="str">
        <f t="shared" si="280"/>
        <v>4Q03</v>
      </c>
      <c r="Q383" s="515" t="str">
        <f t="shared" si="280"/>
        <v>% Chg</v>
      </c>
      <c r="R383" s="514" t="str">
        <f t="shared" si="280"/>
        <v>1Q04</v>
      </c>
      <c r="S383" s="515" t="str">
        <f t="shared" si="280"/>
        <v>% Chg</v>
      </c>
      <c r="T383" s="514" t="str">
        <f t="shared" si="280"/>
        <v>2Q04</v>
      </c>
      <c r="U383" s="515" t="str">
        <f t="shared" si="280"/>
        <v>% Chg</v>
      </c>
      <c r="V383" s="514" t="str">
        <f t="shared" si="280"/>
        <v>3Q04</v>
      </c>
      <c r="W383" s="515" t="str">
        <f t="shared" si="280"/>
        <v>% Chg</v>
      </c>
      <c r="X383" s="514" t="str">
        <f t="shared" si="280"/>
        <v>4Q04</v>
      </c>
      <c r="Y383" s="515" t="str">
        <f t="shared" si="280"/>
        <v>% Chg</v>
      </c>
      <c r="Z383" s="514" t="str">
        <f t="shared" si="280"/>
        <v>1Q05</v>
      </c>
      <c r="AA383" s="515" t="str">
        <f t="shared" si="280"/>
        <v>% Chg</v>
      </c>
      <c r="AB383" s="514" t="str">
        <f t="shared" si="280"/>
        <v>2Q05</v>
      </c>
      <c r="AC383" s="515" t="str">
        <f t="shared" si="280"/>
        <v>% Chg</v>
      </c>
      <c r="AD383" s="514" t="str">
        <f t="shared" si="280"/>
        <v>3Q05</v>
      </c>
      <c r="AE383" s="515" t="str">
        <f t="shared" si="280"/>
        <v>% Chg</v>
      </c>
      <c r="AF383" s="514" t="str">
        <f t="shared" si="280"/>
        <v>4Q05</v>
      </c>
      <c r="AG383" s="515" t="str">
        <f t="shared" si="280"/>
        <v>% Chg</v>
      </c>
      <c r="AH383" s="514" t="str">
        <f t="shared" si="280"/>
        <v>1Q06</v>
      </c>
      <c r="AI383" s="515" t="str">
        <f t="shared" si="280"/>
        <v>% Chg</v>
      </c>
      <c r="AJ383" s="514" t="str">
        <f t="shared" si="280"/>
        <v>2Q06</v>
      </c>
      <c r="AK383" s="515" t="str">
        <f t="shared" si="280"/>
        <v>% Chg</v>
      </c>
      <c r="AL383" s="514" t="str">
        <f t="shared" si="280"/>
        <v>3Q06</v>
      </c>
      <c r="AM383" s="515" t="str">
        <f t="shared" si="280"/>
        <v>% Chg</v>
      </c>
      <c r="AN383" s="514" t="str">
        <f t="shared" si="280"/>
        <v>4Q06</v>
      </c>
      <c r="AO383" s="516" t="str">
        <f t="shared" si="280"/>
        <v>% Chg</v>
      </c>
      <c r="AP383" s="514" t="str">
        <f t="shared" si="280"/>
        <v>1Q07</v>
      </c>
      <c r="AQ383" s="516" t="str">
        <f t="shared" si="280"/>
        <v>% Chg</v>
      </c>
      <c r="AR383" s="514" t="str">
        <f t="shared" si="280"/>
        <v>2Q07</v>
      </c>
      <c r="AS383" s="516" t="str">
        <f t="shared" si="280"/>
        <v>% Chg</v>
      </c>
      <c r="AT383" s="514" t="str">
        <f t="shared" si="280"/>
        <v>3Q07</v>
      </c>
      <c r="AU383" s="516" t="str">
        <f t="shared" si="280"/>
        <v>% Chg</v>
      </c>
      <c r="AV383" s="514" t="str">
        <f t="shared" si="280"/>
        <v>4Q07</v>
      </c>
      <c r="AW383" s="516" t="str">
        <f t="shared" si="280"/>
        <v>% Chg</v>
      </c>
      <c r="AX383" s="514" t="str">
        <f t="shared" si="280"/>
        <v>1Q08</v>
      </c>
      <c r="AY383" s="516" t="str">
        <f t="shared" si="280"/>
        <v>% Chg</v>
      </c>
      <c r="AZ383" s="514" t="str">
        <f t="shared" si="280"/>
        <v>2Q08</v>
      </c>
      <c r="BA383" s="516" t="str">
        <f t="shared" si="280"/>
        <v>% Chg</v>
      </c>
      <c r="BB383" s="514" t="str">
        <f t="shared" si="280"/>
        <v>3Q08</v>
      </c>
      <c r="BC383" s="516" t="str">
        <f t="shared" si="280"/>
        <v>% Chg</v>
      </c>
      <c r="BD383" s="514" t="str">
        <f t="shared" si="280"/>
        <v>4Q08</v>
      </c>
      <c r="BE383" s="516" t="str">
        <f t="shared" si="280"/>
        <v>% Chg</v>
      </c>
      <c r="BF383" s="514" t="str">
        <f t="shared" si="280"/>
        <v>1Q09</v>
      </c>
      <c r="BG383" s="516" t="str">
        <f t="shared" si="280"/>
        <v>% Chg</v>
      </c>
      <c r="BH383" s="514" t="str">
        <f t="shared" si="280"/>
        <v>2Q09</v>
      </c>
      <c r="BI383" s="516" t="str">
        <f t="shared" si="280"/>
        <v>% Chg</v>
      </c>
      <c r="BJ383" s="514" t="str">
        <f t="shared" si="280"/>
        <v>3Q09</v>
      </c>
      <c r="BK383" s="516" t="str">
        <f t="shared" si="280"/>
        <v>% Chg</v>
      </c>
      <c r="BL383" s="514" t="str">
        <f t="shared" si="280"/>
        <v>4Q09</v>
      </c>
      <c r="BM383" s="516" t="str">
        <f t="shared" ref="BM383:DX383" si="281">BM$5</f>
        <v>% Chg</v>
      </c>
      <c r="BN383" s="514" t="str">
        <f t="shared" si="280"/>
        <v>1Q10</v>
      </c>
      <c r="BO383" s="516" t="str">
        <f t="shared" si="281"/>
        <v>% Chg</v>
      </c>
      <c r="BP383" s="514" t="str">
        <f t="shared" si="280"/>
        <v>2Q10</v>
      </c>
      <c r="BQ383" s="516" t="str">
        <f t="shared" si="281"/>
        <v>% Chg</v>
      </c>
      <c r="BR383" s="514" t="str">
        <f t="shared" si="280"/>
        <v>3Q10</v>
      </c>
      <c r="BS383" s="516" t="str">
        <f t="shared" si="281"/>
        <v>% Chg</v>
      </c>
      <c r="BT383" s="514" t="str">
        <f t="shared" si="280"/>
        <v>4Q10</v>
      </c>
      <c r="BU383" s="516" t="str">
        <f t="shared" si="281"/>
        <v>% Chg</v>
      </c>
      <c r="BV383" s="514" t="str">
        <f t="shared" si="280"/>
        <v>1Q11</v>
      </c>
      <c r="BW383" s="516" t="str">
        <f t="shared" si="281"/>
        <v>% Chg</v>
      </c>
      <c r="BX383" s="514" t="str">
        <f t="shared" si="280"/>
        <v>2Q11</v>
      </c>
      <c r="BY383" s="516" t="str">
        <f t="shared" si="281"/>
        <v>% Chg</v>
      </c>
      <c r="BZ383" s="514" t="str">
        <f t="shared" si="280"/>
        <v>3Q11</v>
      </c>
      <c r="CA383" s="516" t="str">
        <f t="shared" si="281"/>
        <v>% Chg</v>
      </c>
      <c r="CB383" s="514" t="str">
        <f t="shared" si="280"/>
        <v>4Q11</v>
      </c>
      <c r="CC383" s="516" t="str">
        <f t="shared" si="281"/>
        <v>% Chg</v>
      </c>
      <c r="CD383" s="514" t="str">
        <f t="shared" si="280"/>
        <v>1Q12</v>
      </c>
      <c r="CE383" s="516" t="str">
        <f t="shared" si="281"/>
        <v>% Chg</v>
      </c>
      <c r="CF383" s="514" t="str">
        <f t="shared" si="280"/>
        <v>2Q12</v>
      </c>
      <c r="CG383" s="516" t="str">
        <f t="shared" si="281"/>
        <v>% Chg</v>
      </c>
      <c r="CH383" s="514" t="str">
        <f t="shared" si="280"/>
        <v>3Q12</v>
      </c>
      <c r="CI383" s="516" t="str">
        <f t="shared" si="281"/>
        <v>% Chg</v>
      </c>
      <c r="CJ383" s="514" t="str">
        <f t="shared" si="280"/>
        <v>4Q12</v>
      </c>
      <c r="CK383" s="516" t="str">
        <f t="shared" si="281"/>
        <v>% Chg</v>
      </c>
      <c r="CL383" s="607" t="str">
        <f t="shared" si="280"/>
        <v>1Q13</v>
      </c>
      <c r="CM383" s="30" t="str">
        <f t="shared" si="281"/>
        <v>% Chg</v>
      </c>
      <c r="CN383" s="607" t="str">
        <f t="shared" si="280"/>
        <v>2Q13</v>
      </c>
      <c r="CO383" s="30" t="str">
        <f t="shared" si="281"/>
        <v>% Chg</v>
      </c>
      <c r="CP383" s="607" t="str">
        <f t="shared" si="280"/>
        <v>3Q13</v>
      </c>
      <c r="CQ383" s="30" t="str">
        <f t="shared" si="281"/>
        <v>% Chg</v>
      </c>
      <c r="CR383" s="607" t="str">
        <f t="shared" si="280"/>
        <v>4Q13</v>
      </c>
      <c r="CS383" s="30" t="str">
        <f t="shared" si="281"/>
        <v>% Chg</v>
      </c>
      <c r="CT383" s="607" t="str">
        <f t="shared" si="280"/>
        <v>1Q14</v>
      </c>
      <c r="CU383" s="30" t="str">
        <f t="shared" si="281"/>
        <v>% Chg</v>
      </c>
      <c r="CV383" s="607" t="str">
        <f t="shared" si="280"/>
        <v>2Q14</v>
      </c>
      <c r="CW383" s="30" t="str">
        <f t="shared" si="281"/>
        <v>% Chg</v>
      </c>
      <c r="CX383" s="607" t="str">
        <f t="shared" si="280"/>
        <v>3Q14</v>
      </c>
      <c r="CY383" s="30" t="str">
        <f t="shared" si="281"/>
        <v>% Chg</v>
      </c>
      <c r="CZ383" s="607" t="str">
        <f t="shared" si="280"/>
        <v>4Q14</v>
      </c>
      <c r="DA383" s="30" t="str">
        <f t="shared" si="281"/>
        <v>% Chg</v>
      </c>
      <c r="DB383" s="607" t="str">
        <f t="shared" si="280"/>
        <v>1Q15</v>
      </c>
      <c r="DC383" s="30" t="str">
        <f t="shared" si="281"/>
        <v>% Chg</v>
      </c>
      <c r="DD383" s="607" t="str">
        <f t="shared" si="280"/>
        <v>2Q15</v>
      </c>
      <c r="DE383" s="30" t="str">
        <f t="shared" si="281"/>
        <v>% Chg</v>
      </c>
      <c r="DF383" s="607" t="str">
        <f t="shared" si="280"/>
        <v>3Q15</v>
      </c>
      <c r="DG383" s="30" t="str">
        <f t="shared" si="281"/>
        <v>% Chg</v>
      </c>
      <c r="DH383" s="607" t="str">
        <f t="shared" si="280"/>
        <v>4Q15</v>
      </c>
      <c r="DI383" s="30" t="str">
        <f t="shared" si="281"/>
        <v>% Chg</v>
      </c>
      <c r="DJ383" s="607" t="str">
        <f t="shared" si="280"/>
        <v>1Q16</v>
      </c>
      <c r="DK383" s="30" t="str">
        <f t="shared" si="281"/>
        <v>% Chg</v>
      </c>
      <c r="DL383" s="607" t="str">
        <f t="shared" si="280"/>
        <v>2Q16</v>
      </c>
      <c r="DM383" s="30" t="str">
        <f t="shared" si="281"/>
        <v>% Chg</v>
      </c>
      <c r="DN383" s="607" t="str">
        <f t="shared" si="280"/>
        <v>3Q16</v>
      </c>
      <c r="DO383" s="30" t="str">
        <f t="shared" si="281"/>
        <v>% Chg</v>
      </c>
      <c r="DP383" s="607" t="str">
        <f t="shared" si="280"/>
        <v>4Q16</v>
      </c>
      <c r="DQ383" s="30" t="str">
        <f t="shared" si="281"/>
        <v>% Chg</v>
      </c>
      <c r="DR383" s="607" t="str">
        <f t="shared" si="280"/>
        <v>1Q17</v>
      </c>
      <c r="DS383" s="30" t="str">
        <f t="shared" si="281"/>
        <v>% Chg</v>
      </c>
      <c r="DT383" s="607" t="str">
        <f t="shared" si="281"/>
        <v>2Q17</v>
      </c>
      <c r="DU383" s="30" t="str">
        <f t="shared" si="281"/>
        <v>% Chg</v>
      </c>
      <c r="DV383" s="607" t="str">
        <f t="shared" si="281"/>
        <v>3Q17</v>
      </c>
      <c r="DW383" s="30" t="str">
        <f t="shared" si="281"/>
        <v>% Chg</v>
      </c>
      <c r="DX383" s="607" t="str">
        <f t="shared" si="281"/>
        <v>4Q17</v>
      </c>
      <c r="DY383" s="30" t="str">
        <f t="shared" ref="DY383:EG383" si="282">DY$5</f>
        <v>% Chg</v>
      </c>
      <c r="DZ383" s="607" t="str">
        <f t="shared" si="282"/>
        <v>1Q18E</v>
      </c>
      <c r="EA383" s="30" t="str">
        <f t="shared" si="282"/>
        <v>% Chg</v>
      </c>
      <c r="EB383" s="607" t="str">
        <f t="shared" si="282"/>
        <v>2Q18E</v>
      </c>
      <c r="EC383" s="30" t="str">
        <f t="shared" si="282"/>
        <v>% Chg</v>
      </c>
      <c r="ED383" s="607" t="str">
        <f t="shared" si="282"/>
        <v>3Q18E</v>
      </c>
      <c r="EE383" s="30" t="str">
        <f t="shared" si="282"/>
        <v>% Chg</v>
      </c>
      <c r="EF383" s="607" t="str">
        <f t="shared" si="282"/>
        <v>4Q18E</v>
      </c>
      <c r="EG383" s="30" t="str">
        <f t="shared" si="282"/>
        <v>% Chg</v>
      </c>
      <c r="EH383" s="30"/>
      <c r="EI383" s="607"/>
      <c r="EJ383" s="608"/>
      <c r="EK383" s="607" t="str">
        <f t="shared" ref="EK383:FZ383" si="283">EK$5</f>
        <v>2002</v>
      </c>
      <c r="EL383" s="608" t="str">
        <f t="shared" si="283"/>
        <v>% Chg</v>
      </c>
      <c r="EM383" s="607" t="str">
        <f t="shared" si="283"/>
        <v>2003</v>
      </c>
      <c r="EN383" s="608" t="str">
        <f t="shared" si="283"/>
        <v>% Chg</v>
      </c>
      <c r="EO383" s="607" t="str">
        <f t="shared" si="283"/>
        <v>2004</v>
      </c>
      <c r="EP383" s="608" t="str">
        <f t="shared" si="283"/>
        <v>% Chg</v>
      </c>
      <c r="EQ383" s="607" t="str">
        <f t="shared" si="283"/>
        <v>2005</v>
      </c>
      <c r="ER383" s="30" t="str">
        <f t="shared" si="283"/>
        <v>% Chg</v>
      </c>
      <c r="ES383" s="609">
        <f t="shared" si="283"/>
        <v>2006</v>
      </c>
      <c r="ET383" s="30" t="str">
        <f t="shared" si="283"/>
        <v>% Chg</v>
      </c>
      <c r="EU383" s="609">
        <f t="shared" si="283"/>
        <v>2007</v>
      </c>
      <c r="EV383" s="30" t="str">
        <f t="shared" si="283"/>
        <v>% Chg</v>
      </c>
      <c r="EW383" s="609">
        <f t="shared" si="283"/>
        <v>2008</v>
      </c>
      <c r="EX383" s="30" t="str">
        <f>EX$5</f>
        <v>% Chg</v>
      </c>
      <c r="EY383" s="607" t="str">
        <f t="shared" si="283"/>
        <v>2009</v>
      </c>
      <c r="EZ383" s="30" t="str">
        <f t="shared" si="283"/>
        <v>% Chg</v>
      </c>
      <c r="FA383" s="607" t="str">
        <f t="shared" si="283"/>
        <v>2010</v>
      </c>
      <c r="FB383" s="30" t="str">
        <f t="shared" si="283"/>
        <v>% Chg</v>
      </c>
      <c r="FC383" s="607" t="str">
        <f t="shared" si="283"/>
        <v>2011</v>
      </c>
      <c r="FD383" s="30" t="str">
        <f t="shared" si="283"/>
        <v>% Chg</v>
      </c>
      <c r="FE383" s="607" t="str">
        <f t="shared" si="283"/>
        <v>2012</v>
      </c>
      <c r="FF383" s="30" t="str">
        <f t="shared" si="283"/>
        <v>% Chg</v>
      </c>
      <c r="FG383" s="607" t="str">
        <f t="shared" si="283"/>
        <v>2013</v>
      </c>
      <c r="FH383" s="30" t="str">
        <f t="shared" si="283"/>
        <v>% Chg</v>
      </c>
      <c r="FI383" s="607" t="str">
        <f t="shared" si="283"/>
        <v>2014</v>
      </c>
      <c r="FJ383" s="30" t="str">
        <f t="shared" si="283"/>
        <v>% Chg</v>
      </c>
      <c r="FK383" s="607" t="str">
        <f t="shared" si="283"/>
        <v>2015</v>
      </c>
      <c r="FL383" s="30" t="str">
        <f t="shared" si="283"/>
        <v>% Chg</v>
      </c>
      <c r="FM383" s="607" t="str">
        <f t="shared" si="283"/>
        <v>2016</v>
      </c>
      <c r="FN383" s="30" t="str">
        <f t="shared" si="283"/>
        <v>% Chg</v>
      </c>
      <c r="FO383" s="607" t="str">
        <f t="shared" si="283"/>
        <v>2017</v>
      </c>
      <c r="FP383" s="30" t="str">
        <f t="shared" si="283"/>
        <v>% Chg</v>
      </c>
      <c r="FQ383" s="607" t="str">
        <f t="shared" si="283"/>
        <v>2018E</v>
      </c>
      <c r="FR383" s="30" t="str">
        <f t="shared" si="283"/>
        <v>% Chg</v>
      </c>
      <c r="FS383" s="607" t="str">
        <f t="shared" si="283"/>
        <v>2019E</v>
      </c>
      <c r="FT383" s="30" t="str">
        <f t="shared" si="283"/>
        <v>% Chg</v>
      </c>
      <c r="FU383" s="607" t="str">
        <f t="shared" si="283"/>
        <v>2020E</v>
      </c>
      <c r="FV383" s="30" t="str">
        <f t="shared" si="283"/>
        <v>% Chg</v>
      </c>
      <c r="FW383" s="607" t="str">
        <f t="shared" si="283"/>
        <v>2021E</v>
      </c>
      <c r="FX383" s="30" t="str">
        <f t="shared" si="283"/>
        <v>% Chg</v>
      </c>
      <c r="FY383" s="607" t="str">
        <f t="shared" si="283"/>
        <v>2022E</v>
      </c>
      <c r="FZ383" s="30" t="str">
        <f t="shared" si="283"/>
        <v>% Chg</v>
      </c>
      <c r="GA383" s="608" t="s">
        <v>351</v>
      </c>
    </row>
    <row r="384" spans="1:183" ht="12.75" hidden="1" customHeight="1" outlineLevel="1" x14ac:dyDescent="0.2">
      <c r="A384" s="610"/>
      <c r="B384" s="96"/>
      <c r="C384" s="399"/>
      <c r="D384" s="96"/>
      <c r="E384" s="399"/>
      <c r="F384" s="96"/>
      <c r="G384" s="399"/>
      <c r="H384" s="96"/>
      <c r="I384" s="399"/>
      <c r="J384" s="96"/>
      <c r="K384" s="399"/>
      <c r="L384" s="96"/>
      <c r="M384" s="399"/>
      <c r="N384" s="96"/>
      <c r="O384" s="399"/>
      <c r="P384" s="96"/>
      <c r="Q384" s="399"/>
      <c r="R384" s="96"/>
      <c r="S384" s="399"/>
      <c r="T384" s="96"/>
      <c r="U384" s="399"/>
      <c r="V384" s="96"/>
      <c r="W384" s="399"/>
      <c r="X384" s="96"/>
      <c r="Y384" s="399"/>
      <c r="Z384" s="96"/>
      <c r="AA384" s="399"/>
      <c r="AB384" s="96"/>
      <c r="AC384" s="399"/>
      <c r="AD384" s="96"/>
      <c r="AE384" s="399"/>
      <c r="AF384" s="96"/>
      <c r="AG384" s="399"/>
      <c r="AH384" s="96"/>
      <c r="AI384" s="399"/>
      <c r="AJ384" s="96"/>
      <c r="AK384" s="399"/>
      <c r="AL384" s="96"/>
      <c r="AM384" s="399"/>
      <c r="AN384" s="96"/>
      <c r="AO384" s="18"/>
      <c r="AP384" s="96"/>
      <c r="AQ384" s="18"/>
      <c r="AR384" s="96"/>
      <c r="AS384" s="18"/>
      <c r="AT384" s="96"/>
      <c r="AU384" s="18"/>
      <c r="AV384" s="96"/>
      <c r="AW384" s="18"/>
      <c r="AX384" s="96"/>
      <c r="AY384" s="18"/>
      <c r="AZ384" s="96"/>
      <c r="BA384" s="18"/>
      <c r="BB384" s="96"/>
      <c r="BC384" s="18"/>
      <c r="BD384" s="96"/>
      <c r="BE384" s="18"/>
      <c r="BF384" s="96"/>
      <c r="BG384" s="18"/>
      <c r="BH384" s="96"/>
      <c r="BI384" s="18"/>
      <c r="BJ384" s="96"/>
      <c r="BK384" s="18"/>
      <c r="BL384" s="96"/>
      <c r="BM384" s="18"/>
      <c r="BN384" s="96"/>
      <c r="BO384" s="18"/>
      <c r="BP384" s="96"/>
      <c r="BQ384" s="18"/>
      <c r="BR384" s="96"/>
      <c r="BS384" s="18"/>
      <c r="BT384" s="96"/>
      <c r="BU384" s="18"/>
      <c r="BV384" s="96"/>
      <c r="BW384" s="18"/>
      <c r="BX384" s="96"/>
      <c r="BY384" s="18"/>
      <c r="BZ384" s="96"/>
      <c r="CA384" s="18"/>
      <c r="CB384" s="96"/>
      <c r="CC384" s="18"/>
      <c r="CD384" s="96"/>
      <c r="CE384" s="18"/>
      <c r="CF384" s="96"/>
      <c r="CG384" s="18"/>
      <c r="CH384" s="96"/>
      <c r="CI384" s="18"/>
      <c r="CJ384" s="96"/>
      <c r="CK384" s="18"/>
      <c r="CL384" s="96"/>
      <c r="CM384" s="18"/>
      <c r="CN384" s="96"/>
      <c r="CO384" s="18"/>
      <c r="CP384" s="96"/>
      <c r="CQ384" s="18"/>
      <c r="CR384" s="96"/>
      <c r="CS384" s="18"/>
      <c r="CT384" s="96"/>
      <c r="CU384" s="18"/>
      <c r="CV384" s="96"/>
      <c r="CW384" s="18"/>
      <c r="CX384" s="96"/>
      <c r="CY384" s="18"/>
      <c r="CZ384" s="96"/>
      <c r="DA384" s="18"/>
      <c r="DB384" s="96"/>
      <c r="DC384" s="18"/>
      <c r="DD384" s="96"/>
      <c r="DE384" s="18"/>
      <c r="DF384" s="96"/>
      <c r="DG384" s="18"/>
      <c r="DH384" s="96"/>
      <c r="DI384" s="18"/>
      <c r="DJ384" s="96"/>
      <c r="DK384" s="18"/>
      <c r="DL384" s="96"/>
      <c r="DM384" s="18"/>
      <c r="DN384" s="96"/>
      <c r="DO384" s="18"/>
      <c r="DP384" s="96"/>
      <c r="DQ384" s="18"/>
      <c r="DR384" s="96"/>
      <c r="DS384" s="18"/>
      <c r="DT384" s="96"/>
      <c r="DU384" s="18"/>
      <c r="DV384" s="96"/>
      <c r="DW384" s="18"/>
      <c r="DX384" s="96"/>
      <c r="DY384" s="18"/>
      <c r="DZ384" s="96"/>
      <c r="EA384" s="18"/>
      <c r="EB384" s="96"/>
      <c r="EC384" s="18"/>
      <c r="ED384" s="96"/>
      <c r="EE384" s="18"/>
      <c r="EF384" s="96"/>
      <c r="EG384" s="18"/>
      <c r="EH384" s="18"/>
      <c r="EI384" s="96"/>
      <c r="EJ384" s="399"/>
      <c r="EK384" s="96"/>
      <c r="EL384" s="399"/>
      <c r="EM384" s="96"/>
      <c r="EN384" s="399"/>
      <c r="EO384" s="96"/>
      <c r="EP384" s="399"/>
      <c r="EQ384" s="96"/>
      <c r="ER384" s="18"/>
      <c r="ES384" s="96"/>
      <c r="ET384" s="18"/>
      <c r="EU384" s="96"/>
      <c r="EV384" s="18"/>
      <c r="EW384" s="96"/>
      <c r="EX384" s="18"/>
      <c r="EY384" s="96"/>
      <c r="EZ384" s="18"/>
      <c r="FA384" s="96"/>
      <c r="FB384" s="18"/>
      <c r="FC384" s="96"/>
      <c r="FD384" s="18"/>
      <c r="FE384" s="96"/>
      <c r="FF384" s="18"/>
      <c r="FG384" s="96"/>
      <c r="FH384" s="18"/>
      <c r="FI384" s="96"/>
      <c r="FJ384" s="18"/>
      <c r="FK384" s="96"/>
      <c r="FL384" s="18"/>
      <c r="FM384" s="96"/>
      <c r="FN384" s="18"/>
      <c r="FO384" s="96"/>
      <c r="FP384" s="18"/>
      <c r="FQ384" s="96"/>
      <c r="FR384" s="18"/>
      <c r="FS384" s="96"/>
      <c r="FT384" s="18"/>
      <c r="FU384" s="96"/>
      <c r="FV384" s="18"/>
      <c r="FW384" s="96"/>
      <c r="FX384" s="18"/>
      <c r="FY384" s="96"/>
      <c r="FZ384" s="18"/>
      <c r="GA384" s="399"/>
    </row>
    <row r="385" spans="1:183" ht="12.75" hidden="1" customHeight="1" outlineLevel="1" x14ac:dyDescent="0.2">
      <c r="A385" s="610" t="str">
        <f>INPUT!B284</f>
        <v>REVENUES</v>
      </c>
      <c r="B385" s="96"/>
      <c r="C385" s="399"/>
      <c r="D385" s="96"/>
      <c r="E385" s="5"/>
      <c r="F385" s="96"/>
      <c r="G385" s="5"/>
      <c r="H385" s="96"/>
      <c r="I385" s="5"/>
      <c r="J385" s="96"/>
      <c r="K385" s="5"/>
      <c r="L385" s="96"/>
      <c r="M385" s="5"/>
      <c r="N385" s="96"/>
      <c r="O385" s="5"/>
      <c r="P385" s="96"/>
      <c r="Q385" s="5"/>
      <c r="R385" s="96"/>
      <c r="S385" s="5"/>
      <c r="T385" s="96"/>
      <c r="U385" s="5"/>
      <c r="V385" s="96"/>
      <c r="W385" s="5"/>
      <c r="X385" s="96"/>
      <c r="Y385" s="5"/>
      <c r="Z385" s="96"/>
      <c r="AA385" s="5"/>
      <c r="AB385" s="96"/>
      <c r="AC385" s="5"/>
      <c r="AD385" s="96"/>
      <c r="AE385" s="5"/>
      <c r="AF385" s="96"/>
      <c r="AG385" s="5"/>
      <c r="AH385" s="96"/>
      <c r="AI385" s="5"/>
      <c r="AJ385" s="96"/>
      <c r="AK385" s="5"/>
      <c r="AL385" s="96"/>
      <c r="AM385" s="5"/>
      <c r="AN385" s="96"/>
      <c r="AO385" s="18"/>
      <c r="AP385" s="96"/>
      <c r="AQ385" s="18"/>
      <c r="AR385" s="96"/>
      <c r="AS385" s="18"/>
      <c r="AT385" s="96"/>
      <c r="AU385" s="18"/>
      <c r="AV385" s="96"/>
      <c r="AW385" s="18"/>
      <c r="AX385" s="96"/>
      <c r="AY385" s="18"/>
      <c r="AZ385" s="96"/>
      <c r="BA385" s="18"/>
      <c r="BB385" s="96"/>
      <c r="BC385" s="18"/>
      <c r="BD385" s="96"/>
      <c r="BE385" s="18"/>
      <c r="BF385" s="96"/>
      <c r="BG385" s="18"/>
      <c r="BH385" s="96"/>
      <c r="BI385" s="18"/>
      <c r="BJ385" s="96"/>
      <c r="BK385" s="18"/>
      <c r="BL385" s="96"/>
      <c r="BM385" s="18"/>
      <c r="BN385" s="96"/>
      <c r="BO385" s="18"/>
      <c r="BP385" s="96"/>
      <c r="BQ385" s="18"/>
      <c r="BR385" s="96"/>
      <c r="BS385" s="18"/>
      <c r="BT385" s="96"/>
      <c r="BU385" s="18"/>
      <c r="BV385" s="96"/>
      <c r="BW385" s="18"/>
      <c r="BX385" s="96"/>
      <c r="BY385" s="18"/>
      <c r="BZ385" s="96"/>
      <c r="CA385" s="18"/>
      <c r="CB385" s="96"/>
      <c r="CC385" s="18"/>
      <c r="CD385" s="96"/>
      <c r="CE385" s="18"/>
      <c r="CF385" s="96"/>
      <c r="CG385" s="18"/>
      <c r="CH385" s="96"/>
      <c r="CI385" s="18"/>
      <c r="CJ385" s="96"/>
      <c r="CK385" s="18"/>
      <c r="CL385" s="96"/>
      <c r="CM385" s="18"/>
      <c r="CN385" s="96"/>
      <c r="CO385" s="18"/>
      <c r="CP385" s="96"/>
      <c r="CQ385" s="18"/>
      <c r="CR385" s="96"/>
      <c r="CS385" s="18"/>
      <c r="CT385" s="96"/>
      <c r="CU385" s="18"/>
      <c r="CV385" s="96"/>
      <c r="CW385" s="18"/>
      <c r="CX385" s="96"/>
      <c r="CY385" s="18"/>
      <c r="CZ385" s="96"/>
      <c r="DA385" s="18"/>
      <c r="DB385" s="96"/>
      <c r="DC385" s="18"/>
      <c r="DD385" s="96"/>
      <c r="DE385" s="18"/>
      <c r="DF385" s="96"/>
      <c r="DG385" s="18"/>
      <c r="DH385" s="96"/>
      <c r="DI385" s="18"/>
      <c r="DJ385" s="96"/>
      <c r="DK385" s="18"/>
      <c r="DL385" s="96"/>
      <c r="DM385" s="18"/>
      <c r="DN385" s="96"/>
      <c r="DO385" s="18"/>
      <c r="DP385" s="96"/>
      <c r="DQ385" s="18"/>
      <c r="DR385" s="96"/>
      <c r="DS385" s="18"/>
      <c r="DT385" s="96"/>
      <c r="DU385" s="18"/>
      <c r="DV385" s="96"/>
      <c r="DW385" s="18"/>
      <c r="DX385" s="96"/>
      <c r="DY385" s="18"/>
      <c r="DZ385" s="96"/>
      <c r="EA385" s="18"/>
      <c r="EB385" s="96"/>
      <c r="EC385" s="18"/>
      <c r="ED385" s="96"/>
      <c r="EE385" s="18"/>
      <c r="EF385" s="96"/>
      <c r="EG385" s="18"/>
      <c r="EH385" s="18"/>
      <c r="EI385" s="96"/>
      <c r="EJ385" s="5"/>
      <c r="EK385" s="96"/>
      <c r="EL385" s="5"/>
      <c r="EM385" s="96"/>
      <c r="EN385" s="5"/>
      <c r="EO385" s="96"/>
      <c r="EP385" s="5"/>
      <c r="EQ385" s="96"/>
      <c r="ER385" s="18"/>
      <c r="ES385" s="96"/>
      <c r="ET385" s="18"/>
      <c r="EU385" s="96"/>
      <c r="EV385" s="18"/>
      <c r="EW385" s="96"/>
      <c r="EX385" s="18"/>
      <c r="EY385" s="96"/>
      <c r="EZ385" s="18"/>
      <c r="FA385" s="96"/>
      <c r="FB385" s="18"/>
      <c r="FC385" s="96"/>
      <c r="FD385" s="18"/>
      <c r="FE385" s="96"/>
      <c r="FF385" s="18"/>
      <c r="FG385" s="96"/>
      <c r="FH385" s="18"/>
      <c r="FI385" s="96"/>
      <c r="FJ385" s="18"/>
      <c r="FK385" s="96"/>
      <c r="FL385" s="18"/>
      <c r="FM385" s="96"/>
      <c r="FN385" s="18"/>
      <c r="FO385" s="96"/>
      <c r="FP385" s="18"/>
      <c r="FQ385" s="96"/>
      <c r="FR385" s="18"/>
      <c r="FS385" s="96"/>
      <c r="FT385" s="18"/>
      <c r="FU385" s="96"/>
      <c r="FV385" s="18"/>
      <c r="FW385" s="96"/>
      <c r="FX385" s="18"/>
      <c r="FY385" s="96"/>
      <c r="FZ385" s="18"/>
      <c r="GA385" s="5"/>
    </row>
    <row r="386" spans="1:183" ht="12.75" hidden="1" customHeight="1" outlineLevel="1" x14ac:dyDescent="0.2">
      <c r="A386" s="612" t="str">
        <f>INPUT!B285</f>
        <v>Premium Income</v>
      </c>
      <c r="B386" s="96">
        <f>INPUT!M285</f>
        <v>9.3000000000000007</v>
      </c>
      <c r="C386" s="18" t="str">
        <f>INPUT!N285</f>
        <v>NM</v>
      </c>
      <c r="D386" s="96">
        <f>INPUT!O285</f>
        <v>11.7</v>
      </c>
      <c r="E386" s="18">
        <f>INPUT!P285</f>
        <v>25.806451612903203</v>
      </c>
      <c r="F386" s="96">
        <f>INPUT!Q285</f>
        <v>13.9</v>
      </c>
      <c r="G386" s="18">
        <f>INPUT!R285</f>
        <v>18.803418803418804</v>
      </c>
      <c r="H386" s="96">
        <f>INPUT!S285</f>
        <v>2.7</v>
      </c>
      <c r="I386" s="18" t="str">
        <f>INPUT!T285</f>
        <v>NM</v>
      </c>
      <c r="J386" s="96">
        <f>INPUT!U285</f>
        <v>10</v>
      </c>
      <c r="K386" s="18" t="str">
        <f>INPUT!V285</f>
        <v>NM</v>
      </c>
      <c r="L386" s="96">
        <f>INPUT!W285</f>
        <v>7.6</v>
      </c>
      <c r="M386" s="18">
        <f>INPUT!X285</f>
        <v>-24</v>
      </c>
      <c r="N386" s="96">
        <f>INPUT!Y285</f>
        <v>9</v>
      </c>
      <c r="O386" s="18">
        <f>INPUT!Z285</f>
        <v>18.421052631578959</v>
      </c>
      <c r="P386" s="96">
        <f>INPUT!AA285</f>
        <v>7.7</v>
      </c>
      <c r="Q386" s="18">
        <f>INPUT!AB285</f>
        <v>-14.444444444444438</v>
      </c>
      <c r="R386" s="96">
        <f>INPUT!AC285</f>
        <v>8.6</v>
      </c>
      <c r="S386" s="18">
        <f>INPUT!AD285</f>
        <v>11.688311688311682</v>
      </c>
      <c r="T386" s="96">
        <f>INPUT!AE285</f>
        <v>2.9</v>
      </c>
      <c r="U386" s="18" t="str">
        <f>INPUT!AF285</f>
        <v>NM</v>
      </c>
      <c r="V386" s="96">
        <f>INPUT!AG285</f>
        <v>10.6</v>
      </c>
      <c r="W386" s="18" t="str">
        <f>INPUT!AH285</f>
        <v>NM</v>
      </c>
      <c r="X386" s="96">
        <f>INPUT!AI285</f>
        <v>9.1999999999999993</v>
      </c>
      <c r="Y386" s="18">
        <f>INPUT!AJ285</f>
        <v>-13.207547169811329</v>
      </c>
      <c r="Z386" s="96">
        <f>INPUT!AK285</f>
        <v>0.3</v>
      </c>
      <c r="AA386" s="18" t="str">
        <f>INPUT!AL285</f>
        <v>NM</v>
      </c>
      <c r="AB386" s="96">
        <f>INPUT!AM285</f>
        <v>1.2</v>
      </c>
      <c r="AC386" s="18" t="str">
        <f>INPUT!AN285</f>
        <v>NM</v>
      </c>
      <c r="AD386" s="96">
        <f>INPUT!AO285</f>
        <v>-0.3</v>
      </c>
      <c r="AE386" s="18" t="str">
        <f>INPUT!AP285</f>
        <v>NM</v>
      </c>
      <c r="AF386" s="96">
        <f>INPUT!AQ285</f>
        <v>1.4</v>
      </c>
      <c r="AG386" s="18" t="str">
        <f>INPUT!AR285</f>
        <v>NM</v>
      </c>
      <c r="AH386" s="96">
        <f>INPUT!AS285</f>
        <v>1.2</v>
      </c>
      <c r="AI386" s="18">
        <f>INPUT!AT285</f>
        <v>-14.285714285714279</v>
      </c>
      <c r="AJ386" s="96">
        <f>INPUT!AU285</f>
        <v>1.2</v>
      </c>
      <c r="AK386" s="18">
        <f>INPUT!AV285</f>
        <v>0</v>
      </c>
      <c r="AL386" s="96">
        <f>INPUT!AW285</f>
        <v>0.1</v>
      </c>
      <c r="AM386" s="18" t="str">
        <f>INPUT!AX285</f>
        <v>NM</v>
      </c>
      <c r="AN386" s="96">
        <f>INPUT!AY285</f>
        <v>2</v>
      </c>
      <c r="AO386" s="18" t="str">
        <f>INPUT!AZ285</f>
        <v>NM</v>
      </c>
      <c r="AP386" s="96">
        <f>INPUT!BA285</f>
        <v>1.1000000000000001</v>
      </c>
      <c r="AQ386" s="18">
        <f>INPUT!BB285</f>
        <v>-44.999999999999993</v>
      </c>
      <c r="AR386" s="96">
        <f>INPUT!BC285</f>
        <v>-0.2</v>
      </c>
      <c r="AS386" s="18" t="str">
        <f>INPUT!BD285</f>
        <v>NM</v>
      </c>
      <c r="AT386" s="96">
        <f>INPUT!BE285</f>
        <v>0.6</v>
      </c>
      <c r="AU386" s="18" t="str">
        <f>INPUT!BF285</f>
        <v>NM</v>
      </c>
      <c r="AV386" s="96">
        <f>INPUT!BG285</f>
        <v>0.2</v>
      </c>
      <c r="AW386" s="18" t="str">
        <f>INPUT!BH285</f>
        <v>NM</v>
      </c>
      <c r="AX386" s="96">
        <f>INPUT!BI285</f>
        <v>0.7</v>
      </c>
      <c r="AY386" s="18" t="str">
        <f>INPUT!BJ285</f>
        <v>NM</v>
      </c>
      <c r="AZ386" s="96">
        <f>INPUT!BK285</f>
        <v>0.2</v>
      </c>
      <c r="BA386" s="18" t="str">
        <f>INPUT!BL285</f>
        <v>NM</v>
      </c>
      <c r="BB386" s="96">
        <f>INPUT!BM285</f>
        <v>0</v>
      </c>
      <c r="BC386" s="18" t="str">
        <f>INPUT!BN285</f>
        <v>NM</v>
      </c>
      <c r="BD386" s="96">
        <f>INPUT!BO285</f>
        <v>0.5</v>
      </c>
      <c r="BE386" s="18" t="str">
        <f>INPUT!BP285</f>
        <v>NA</v>
      </c>
      <c r="BF386" s="96">
        <f>INPUT!BQ285</f>
        <v>0.5</v>
      </c>
      <c r="BG386" s="18">
        <f>INPUT!BR285</f>
        <v>0</v>
      </c>
      <c r="BH386" s="96">
        <f>INPUT!BS285</f>
        <v>0</v>
      </c>
      <c r="BI386" s="18" t="str">
        <f>INPUT!BT285</f>
        <v>NM</v>
      </c>
      <c r="BJ386" s="96">
        <f>INPUT!BU285</f>
        <v>1.2</v>
      </c>
      <c r="BK386" s="18" t="str">
        <f>INPUT!BV285</f>
        <v>NA</v>
      </c>
      <c r="BL386" s="96">
        <f>INPUT!BW285</f>
        <v>1</v>
      </c>
      <c r="BM386" s="18">
        <f>INPUT!BX285</f>
        <v>-16.666666666666664</v>
      </c>
      <c r="BN386" s="96">
        <f>INPUT!BY285</f>
        <v>0</v>
      </c>
      <c r="BO386" s="18" t="str">
        <f>INPUT!BZ285</f>
        <v>NM</v>
      </c>
      <c r="BP386" s="96">
        <f>INPUT!CA285</f>
        <v>0</v>
      </c>
      <c r="BQ386" s="18" t="str">
        <f>INPUT!CB285</f>
        <v>NA</v>
      </c>
      <c r="BR386" s="96">
        <f>INPUT!CC285</f>
        <v>0</v>
      </c>
      <c r="BS386" s="18" t="str">
        <f>INPUT!CD285</f>
        <v>NA</v>
      </c>
      <c r="BT386" s="96">
        <f>INPUT!CE285</f>
        <v>0</v>
      </c>
      <c r="BU386" s="18" t="str">
        <f>INPUT!CF285</f>
        <v>NA</v>
      </c>
      <c r="BV386" s="96">
        <f>INPUT!CG285</f>
        <v>0</v>
      </c>
      <c r="BW386" s="18" t="str">
        <f>INPUT!CH285</f>
        <v>NA</v>
      </c>
      <c r="BX386" s="96">
        <f>INPUT!CI285</f>
        <v>0</v>
      </c>
      <c r="BY386" s="18" t="str">
        <f>INPUT!CJ285</f>
        <v>NA</v>
      </c>
      <c r="BZ386" s="96">
        <f>INPUT!CK285</f>
        <v>0</v>
      </c>
      <c r="CA386" s="18" t="str">
        <f>INPUT!CL285</f>
        <v>NA</v>
      </c>
      <c r="CB386" s="96">
        <f>INPUT!CM285</f>
        <v>0</v>
      </c>
      <c r="CC386" s="18" t="str">
        <f>INPUT!CN285</f>
        <v>NA</v>
      </c>
      <c r="CD386" s="96">
        <f>INPUT!CO285</f>
        <v>0</v>
      </c>
      <c r="CE386" s="18" t="str">
        <f>INPUT!CP285</f>
        <v>NA</v>
      </c>
      <c r="CF386" s="96">
        <f>INPUT!CQ285</f>
        <v>0</v>
      </c>
      <c r="CG386" s="18" t="str">
        <f>INPUT!CR285</f>
        <v>NA</v>
      </c>
      <c r="CH386" s="96">
        <f>INPUT!CS285</f>
        <v>0</v>
      </c>
      <c r="CI386" s="18" t="str">
        <f>INPUT!CT285</f>
        <v>NA</v>
      </c>
      <c r="CJ386" s="96">
        <f>INPUT!CU285</f>
        <v>0</v>
      </c>
      <c r="CK386" s="18" t="str">
        <f>INPUT!CV285</f>
        <v>NA</v>
      </c>
      <c r="CL386" s="96">
        <f>INPUT!CW285</f>
        <v>0</v>
      </c>
      <c r="CM386" s="18" t="str">
        <f>INPUT!CX285</f>
        <v>NA</v>
      </c>
      <c r="CN386" s="96">
        <f>INPUT!CY285</f>
        <v>0</v>
      </c>
      <c r="CO386" s="18" t="str">
        <f>INPUT!CZ285</f>
        <v>NA</v>
      </c>
      <c r="CP386" s="96">
        <f>INPUT!DA285</f>
        <v>0</v>
      </c>
      <c r="CQ386" s="18" t="str">
        <f>INPUT!DB285</f>
        <v>NA</v>
      </c>
      <c r="CR386" s="96">
        <f>INPUT!DC285</f>
        <v>0</v>
      </c>
      <c r="CS386" s="18" t="str">
        <f>INPUT!DD285</f>
        <v>NA</v>
      </c>
      <c r="CT386" s="96">
        <f>INPUT!DE285</f>
        <v>0</v>
      </c>
      <c r="CU386" s="18" t="str">
        <f>INPUT!DF285</f>
        <v>NA</v>
      </c>
      <c r="CV386" s="96">
        <f>INPUT!DG285</f>
        <v>0</v>
      </c>
      <c r="CW386" s="18" t="str">
        <f>INPUT!DH285</f>
        <v>NA</v>
      </c>
      <c r="CX386" s="96">
        <f>INPUT!DI285</f>
        <v>0</v>
      </c>
      <c r="CY386" s="18" t="str">
        <f>INPUT!DJ285</f>
        <v>NA</v>
      </c>
      <c r="CZ386" s="96">
        <f>INPUT!DK285</f>
        <v>0</v>
      </c>
      <c r="DA386" s="18" t="str">
        <f>INPUT!DL285</f>
        <v>NA</v>
      </c>
      <c r="DB386" s="96">
        <f>INPUT!DM285</f>
        <v>0</v>
      </c>
      <c r="DC386" s="18" t="str">
        <f>INPUT!DN285</f>
        <v>NA</v>
      </c>
      <c r="DD386" s="96">
        <f>INPUT!DO285</f>
        <v>0</v>
      </c>
      <c r="DE386" s="18" t="str">
        <f>INPUT!DP285</f>
        <v>NA</v>
      </c>
      <c r="DF386" s="96">
        <f>INPUT!DQ285</f>
        <v>0</v>
      </c>
      <c r="DG386" s="18" t="str">
        <f>INPUT!DR285</f>
        <v>NA</v>
      </c>
      <c r="DH386" s="96">
        <f>INPUT!DS285</f>
        <v>0</v>
      </c>
      <c r="DI386" s="18" t="str">
        <f>INPUT!DT285</f>
        <v>NA</v>
      </c>
      <c r="DJ386" s="96">
        <f>INPUT!DU285</f>
        <v>0</v>
      </c>
      <c r="DK386" s="18" t="str">
        <f>INPUT!DV285</f>
        <v>NA</v>
      </c>
      <c r="DL386" s="96">
        <f>INPUT!DW285</f>
        <v>0</v>
      </c>
      <c r="DM386" s="18" t="str">
        <f>INPUT!DX285</f>
        <v>NA</v>
      </c>
      <c r="DN386" s="96">
        <f>INPUT!DY285</f>
        <v>0</v>
      </c>
      <c r="DO386" s="18" t="str">
        <f>INPUT!DZ285</f>
        <v>NA</v>
      </c>
      <c r="DP386" s="96">
        <f>INPUT!EA285</f>
        <v>0</v>
      </c>
      <c r="DQ386" s="18" t="str">
        <f>INPUT!EB285</f>
        <v>NA</v>
      </c>
      <c r="DR386" s="96">
        <f>INPUT!EC285</f>
        <v>0</v>
      </c>
      <c r="DS386" s="18" t="str">
        <f>INPUT!ED285</f>
        <v>NA</v>
      </c>
      <c r="DT386" s="96">
        <f>INPUT!EE285</f>
        <v>0</v>
      </c>
      <c r="DU386" s="18" t="str">
        <f>INPUT!EF285</f>
        <v>NA</v>
      </c>
      <c r="DV386" s="96">
        <f>INPUT!EG285</f>
        <v>0</v>
      </c>
      <c r="DW386" s="18" t="str">
        <f>INPUT!EH285</f>
        <v>NA</v>
      </c>
      <c r="DX386" s="96">
        <f>INPUT!EI285</f>
        <v>0</v>
      </c>
      <c r="DY386" s="18" t="str">
        <f>INPUT!EJ285</f>
        <v>NA</v>
      </c>
      <c r="DZ386" s="96">
        <f>INPUT!EK285</f>
        <v>0</v>
      </c>
      <c r="EA386" s="18" t="str">
        <f>INPUT!EL285</f>
        <v>NA</v>
      </c>
      <c r="EB386" s="96">
        <f>INPUT!EM285</f>
        <v>0</v>
      </c>
      <c r="EC386" s="18" t="str">
        <f>INPUT!EN285</f>
        <v>NA</v>
      </c>
      <c r="ED386" s="96">
        <f>INPUT!EO285</f>
        <v>0</v>
      </c>
      <c r="EE386" s="18" t="str">
        <f>INPUT!EP285</f>
        <v>NA</v>
      </c>
      <c r="EF386" s="96">
        <f>INPUT!EQ285</f>
        <v>0</v>
      </c>
      <c r="EG386" s="18" t="str">
        <f>INPUT!ER285</f>
        <v>NA</v>
      </c>
      <c r="EH386" s="18"/>
      <c r="EI386" s="96"/>
      <c r="EJ386" s="5"/>
      <c r="EK386" s="96">
        <f>INPUT!FD285</f>
        <v>37.6</v>
      </c>
      <c r="EL386" s="5" t="str">
        <f>INPUT!FE285</f>
        <v>NA</v>
      </c>
      <c r="EM386" s="96">
        <f>INPUT!FF285</f>
        <v>34.299999999999997</v>
      </c>
      <c r="EN386" s="5">
        <f>INPUT!FG285</f>
        <v>-8.7765957446808596</v>
      </c>
      <c r="EO386" s="96">
        <f>INPUT!FH285</f>
        <v>31.299999999999997</v>
      </c>
      <c r="EP386" s="5">
        <f>INPUT!FI285</f>
        <v>-8.7463556851311903</v>
      </c>
      <c r="EQ386" s="96">
        <f>INPUT!FJ285</f>
        <v>2.5999999999999996</v>
      </c>
      <c r="ER386" s="5" t="str">
        <f>INPUT!FK285</f>
        <v>NM</v>
      </c>
      <c r="ES386" s="96">
        <f>INPUT!FL285</f>
        <v>4.5</v>
      </c>
      <c r="ET386" s="5">
        <f>INPUT!FM285</f>
        <v>73.076923076923109</v>
      </c>
      <c r="EU386" s="96">
        <f>INPUT!FN285</f>
        <v>1.7</v>
      </c>
      <c r="EV386" s="5" t="str">
        <f>INPUT!FO285</f>
        <v>NM</v>
      </c>
      <c r="EW386" s="96">
        <f>INPUT!FP285</f>
        <v>1.4</v>
      </c>
      <c r="EX386" s="5">
        <f>INPUT!FQ285</f>
        <v>-17.647058823529417</v>
      </c>
      <c r="EY386" s="96">
        <f>INPUT!FR285</f>
        <v>0</v>
      </c>
      <c r="EZ386" s="5" t="str">
        <f>INPUT!FS285</f>
        <v>NM</v>
      </c>
      <c r="FA386" s="96">
        <f>INPUT!FT285</f>
        <v>0</v>
      </c>
      <c r="FB386" s="5" t="str">
        <f>INPUT!FU285</f>
        <v>NA</v>
      </c>
      <c r="FC386" s="96">
        <f>INPUT!FV285</f>
        <v>0</v>
      </c>
      <c r="FD386" s="5" t="str">
        <f>INPUT!FW285</f>
        <v>NA</v>
      </c>
      <c r="FE386" s="96">
        <f>INPUT!FX285</f>
        <v>0</v>
      </c>
      <c r="FF386" s="5" t="str">
        <f>INPUT!FY285</f>
        <v>NA</v>
      </c>
      <c r="FG386" s="96">
        <f>INPUT!FZ285</f>
        <v>0</v>
      </c>
      <c r="FH386" s="5" t="str">
        <f>INPUT!GA285</f>
        <v>NA</v>
      </c>
      <c r="FI386" s="96">
        <f>INPUT!GB285</f>
        <v>0</v>
      </c>
      <c r="FJ386" s="5" t="str">
        <f>INPUT!GC285</f>
        <v>NA</v>
      </c>
      <c r="FK386" s="96">
        <f>INPUT!GD285</f>
        <v>0</v>
      </c>
      <c r="FL386" s="5" t="str">
        <f>INPUT!GE285</f>
        <v>NA</v>
      </c>
      <c r="FM386" s="96">
        <f>INPUT!GF285</f>
        <v>0</v>
      </c>
      <c r="FN386" s="5" t="str">
        <f>INPUT!GG285</f>
        <v>NA</v>
      </c>
      <c r="FO386" s="96">
        <f>INPUT!GH285</f>
        <v>0</v>
      </c>
      <c r="FP386" s="5" t="str">
        <f>INPUT!GI285</f>
        <v>NA</v>
      </c>
      <c r="FQ386" s="96">
        <f>INPUT!GJ285</f>
        <v>0</v>
      </c>
      <c r="FR386" s="5" t="str">
        <f>INPUT!GK285</f>
        <v>NA</v>
      </c>
      <c r="FS386" s="96">
        <f>INPUT!GL285</f>
        <v>0</v>
      </c>
      <c r="FT386" s="5" t="str">
        <f>INPUT!GM285</f>
        <v>NA</v>
      </c>
      <c r="FU386" s="96">
        <f>INPUT!GN285</f>
        <v>0</v>
      </c>
      <c r="FV386" s="5" t="str">
        <f>INPUT!GO285</f>
        <v>NA</v>
      </c>
      <c r="FW386" s="96">
        <f>INPUT!GP285</f>
        <v>0</v>
      </c>
      <c r="FX386" s="5" t="str">
        <f>INPUT!GQ285</f>
        <v>NA</v>
      </c>
      <c r="FY386" s="96">
        <f>INPUT!GR285</f>
        <v>0</v>
      </c>
      <c r="FZ386" s="5" t="str">
        <f>INPUT!GS285</f>
        <v>NA</v>
      </c>
      <c r="GA386" s="5" t="str">
        <f>INPUT!GT285</f>
        <v>NA</v>
      </c>
    </row>
    <row r="387" spans="1:183" ht="12.75" hidden="1" customHeight="1" outlineLevel="1" x14ac:dyDescent="0.2">
      <c r="A387" s="612" t="str">
        <f>INPUT!B286</f>
        <v>Net Investment Income</v>
      </c>
      <c r="B387" s="96">
        <f>INPUT!M286</f>
        <v>43.400000000000006</v>
      </c>
      <c r="C387" s="18">
        <f>INPUT!N286</f>
        <v>18.579234972677618</v>
      </c>
      <c r="D387" s="96">
        <f>INPUT!O286</f>
        <v>42.6</v>
      </c>
      <c r="E387" s="18">
        <f>INPUT!P286</f>
        <v>-1.8433179723502446</v>
      </c>
      <c r="F387" s="96">
        <f>INPUT!Q286</f>
        <v>37.700000000000003</v>
      </c>
      <c r="G387" s="18">
        <f>INPUT!R286</f>
        <v>-11.502347417840376</v>
      </c>
      <c r="H387" s="96">
        <f>INPUT!S286</f>
        <v>35.4</v>
      </c>
      <c r="I387" s="18">
        <f>INPUT!T286</f>
        <v>-6.1007957559681802</v>
      </c>
      <c r="J387" s="96">
        <f>INPUT!U286</f>
        <v>37</v>
      </c>
      <c r="K387" s="18">
        <f>INPUT!V286</f>
        <v>4.5197740112994378</v>
      </c>
      <c r="L387" s="96">
        <f>INPUT!W286</f>
        <v>42.300000000000004</v>
      </c>
      <c r="M387" s="18">
        <f>INPUT!X286</f>
        <v>14.324324324324333</v>
      </c>
      <c r="N387" s="96">
        <f>INPUT!Y286</f>
        <v>40</v>
      </c>
      <c r="O387" s="18">
        <f>INPUT!Z286</f>
        <v>-5.4373522458628916</v>
      </c>
      <c r="P387" s="96">
        <f>INPUT!AA286</f>
        <v>44.4</v>
      </c>
      <c r="Q387" s="18">
        <f>INPUT!AB286</f>
        <v>10.999999999999988</v>
      </c>
      <c r="R387" s="96">
        <f>INPUT!AC286</f>
        <v>36.200000000000003</v>
      </c>
      <c r="S387" s="18">
        <f>INPUT!AD286</f>
        <v>-18.468468468468458</v>
      </c>
      <c r="T387" s="96">
        <f>INPUT!AE286</f>
        <v>46.7</v>
      </c>
      <c r="U387" s="18">
        <f>INPUT!AF286</f>
        <v>29.005524861878442</v>
      </c>
      <c r="V387" s="96">
        <f>INPUT!AG286</f>
        <v>38.700000000000003</v>
      </c>
      <c r="W387" s="18">
        <f>INPUT!AH286</f>
        <v>-17.130620985010701</v>
      </c>
      <c r="X387" s="96">
        <f>INPUT!AI286</f>
        <v>38.1</v>
      </c>
      <c r="Y387" s="18">
        <f>INPUT!AJ286</f>
        <v>-1.5503875968992276</v>
      </c>
      <c r="Z387" s="96">
        <f>INPUT!AK286</f>
        <v>41.400000000000006</v>
      </c>
      <c r="AA387" s="18">
        <f>INPUT!AL286</f>
        <v>8.6614173228346516</v>
      </c>
      <c r="AB387" s="96">
        <f>INPUT!AM286</f>
        <v>45.199999999999996</v>
      </c>
      <c r="AC387" s="18">
        <f>INPUT!AN286</f>
        <v>9.1787439613526303</v>
      </c>
      <c r="AD387" s="96">
        <f>INPUT!AO286</f>
        <v>43.3</v>
      </c>
      <c r="AE387" s="18">
        <f>INPUT!AP286</f>
        <v>-4.2035398230088505</v>
      </c>
      <c r="AF387" s="96">
        <f>INPUT!AQ286</f>
        <v>35</v>
      </c>
      <c r="AG387" s="18">
        <f>INPUT!AR286</f>
        <v>-19.168591224018471</v>
      </c>
      <c r="AH387" s="96">
        <f>INPUT!AS286</f>
        <v>38.299999999999997</v>
      </c>
      <c r="AI387" s="18">
        <f>INPUT!AT286</f>
        <v>9.4285714285714306</v>
      </c>
      <c r="AJ387" s="96">
        <f>INPUT!AU286</f>
        <v>35.4</v>
      </c>
      <c r="AK387" s="18">
        <f>INPUT!AV286</f>
        <v>-7.5718015665796283</v>
      </c>
      <c r="AL387" s="96">
        <f>INPUT!AW286</f>
        <v>35.5</v>
      </c>
      <c r="AM387" s="18">
        <f>INPUT!AX286</f>
        <v>0.28248587570622874</v>
      </c>
      <c r="AN387" s="96">
        <f>INPUT!AY286</f>
        <v>31.400000000000002</v>
      </c>
      <c r="AO387" s="18">
        <f>INPUT!AZ286</f>
        <v>-11.549295774647883</v>
      </c>
      <c r="AP387" s="96">
        <f>INPUT!BA286</f>
        <v>38.699999999999996</v>
      </c>
      <c r="AQ387" s="18">
        <f>INPUT!BB286</f>
        <v>23.248407643312085</v>
      </c>
      <c r="AR387" s="96">
        <f>INPUT!BC286</f>
        <v>40.499999999999993</v>
      </c>
      <c r="AS387" s="18">
        <f>INPUT!BD286</f>
        <v>4.6511627906976605</v>
      </c>
      <c r="AT387" s="96">
        <f>INPUT!BE286</f>
        <v>42.1</v>
      </c>
      <c r="AU387" s="18">
        <f>INPUT!BF286</f>
        <v>3.9506172839506304</v>
      </c>
      <c r="AV387" s="96">
        <f>INPUT!BG286</f>
        <v>54.699999999999996</v>
      </c>
      <c r="AW387" s="18">
        <f>INPUT!BH286</f>
        <v>29.928741092636567</v>
      </c>
      <c r="AX387" s="96">
        <f>INPUT!BI286</f>
        <v>56.1</v>
      </c>
      <c r="AY387" s="18">
        <f>INPUT!BJ286</f>
        <v>2.5594149908592323</v>
      </c>
      <c r="AZ387" s="96">
        <f>INPUT!BK286</f>
        <v>50.3</v>
      </c>
      <c r="BA387" s="18">
        <f>INPUT!BL286</f>
        <v>-10.338680926916233</v>
      </c>
      <c r="BB387" s="96">
        <f>INPUT!BM286</f>
        <v>48.8</v>
      </c>
      <c r="BC387" s="18">
        <f>INPUT!BN286</f>
        <v>-2.9821073558648159</v>
      </c>
      <c r="BD387" s="96">
        <f>INPUT!BO286</f>
        <v>42.3</v>
      </c>
      <c r="BE387" s="18">
        <f>INPUT!BP286</f>
        <v>-13.319672131147541</v>
      </c>
      <c r="BF387" s="96">
        <f>INPUT!BQ286</f>
        <v>41.5</v>
      </c>
      <c r="BG387" s="18">
        <f>INPUT!BR286</f>
        <v>-1.8912529550827339</v>
      </c>
      <c r="BH387" s="96">
        <f>INPUT!BS286</f>
        <v>43.4</v>
      </c>
      <c r="BI387" s="18">
        <f>INPUT!BT286</f>
        <v>4.5783132530120341</v>
      </c>
      <c r="BJ387" s="96">
        <f>INPUT!BU286</f>
        <v>40.5</v>
      </c>
      <c r="BK387" s="18">
        <f>INPUT!BV286</f>
        <v>-6.6820276497695836</v>
      </c>
      <c r="BL387" s="96">
        <f>INPUT!BW286</f>
        <v>41.3</v>
      </c>
      <c r="BM387" s="18">
        <f>INPUT!BX286</f>
        <v>1.9753086419753041</v>
      </c>
      <c r="BN387" s="96">
        <f>INPUT!BY286</f>
        <v>23.2</v>
      </c>
      <c r="BO387" s="18">
        <f>INPUT!BZ286</f>
        <v>-43.825665859564168</v>
      </c>
      <c r="BP387" s="96">
        <f>INPUT!CA286</f>
        <v>26.6</v>
      </c>
      <c r="BQ387" s="18">
        <f>INPUT!CB286</f>
        <v>14.655172413793105</v>
      </c>
      <c r="BR387" s="96">
        <f>INPUT!CC286</f>
        <v>24.6</v>
      </c>
      <c r="BS387" s="18">
        <f>INPUT!CD286</f>
        <v>-7.518796992481203</v>
      </c>
      <c r="BT387" s="96">
        <f>INPUT!CE286</f>
        <v>20.2</v>
      </c>
      <c r="BU387" s="18">
        <f>INPUT!CF286</f>
        <v>-17.886178861788625</v>
      </c>
      <c r="BV387" s="96">
        <f>INPUT!CG286</f>
        <v>14.5</v>
      </c>
      <c r="BW387" s="18">
        <f>INPUT!CH286</f>
        <v>-28.21782178217822</v>
      </c>
      <c r="BX387" s="96">
        <f>INPUT!CI286</f>
        <v>16.8</v>
      </c>
      <c r="BY387" s="18">
        <f>INPUT!CJ286</f>
        <v>15.862068965517251</v>
      </c>
      <c r="BZ387" s="96">
        <f>INPUT!CK286</f>
        <v>13.3</v>
      </c>
      <c r="CA387" s="18">
        <f>INPUT!CL286</f>
        <v>-20.833333333333336</v>
      </c>
      <c r="CB387" s="96">
        <f>INPUT!CM286</f>
        <v>11.6</v>
      </c>
      <c r="CC387" s="18">
        <f>INPUT!CN286</f>
        <v>-12.781954887218049</v>
      </c>
      <c r="CD387" s="96">
        <f>INPUT!CO286</f>
        <v>7.2</v>
      </c>
      <c r="CE387" s="18">
        <f>INPUT!CP286</f>
        <v>-37.931034482758619</v>
      </c>
      <c r="CF387" s="96">
        <f>INPUT!CQ286</f>
        <v>8.9</v>
      </c>
      <c r="CG387" s="18">
        <f>INPUT!CR286</f>
        <v>23.611111111111114</v>
      </c>
      <c r="CH387" s="96">
        <f>INPUT!CS286</f>
        <v>6.9</v>
      </c>
      <c r="CI387" s="18">
        <f>INPUT!CT286</f>
        <v>-22.471910112359549</v>
      </c>
      <c r="CJ387" s="96">
        <f>INPUT!CU286</f>
        <v>0</v>
      </c>
      <c r="CK387" s="18" t="str">
        <f>INPUT!CV286</f>
        <v>NM</v>
      </c>
      <c r="CL387" s="96">
        <f>INPUT!CW286</f>
        <v>9.3000000000000007</v>
      </c>
      <c r="CM387" s="18" t="str">
        <f>INPUT!CX286</f>
        <v>NA</v>
      </c>
      <c r="CN387" s="96">
        <f>INPUT!CY286</f>
        <v>6.7</v>
      </c>
      <c r="CO387" s="18">
        <f>INPUT!CZ286</f>
        <v>-27.956989247311835</v>
      </c>
      <c r="CP387" s="96">
        <f>INPUT!DA286</f>
        <v>7.9</v>
      </c>
      <c r="CQ387" s="18">
        <f>INPUT!DB286</f>
        <v>17.910447761194035</v>
      </c>
      <c r="CR387" s="96">
        <f>INPUT!DC286</f>
        <v>0.8</v>
      </c>
      <c r="CS387" s="18" t="str">
        <f>INPUT!DD286</f>
        <v>NM</v>
      </c>
      <c r="CT387" s="96">
        <f>INPUT!DE286</f>
        <v>7</v>
      </c>
      <c r="CU387" s="18" t="str">
        <f>INPUT!DF286</f>
        <v>NM</v>
      </c>
      <c r="CV387" s="96">
        <f>INPUT!DG286</f>
        <v>8.3000000000000007</v>
      </c>
      <c r="CW387" s="18">
        <f>INPUT!DH286</f>
        <v>18.571428571428573</v>
      </c>
      <c r="CX387" s="96">
        <f>INPUT!DI286</f>
        <v>9.8000000000000007</v>
      </c>
      <c r="CY387" s="18">
        <f>INPUT!DJ286</f>
        <v>18.07228915662651</v>
      </c>
      <c r="CZ387" s="96">
        <f>INPUT!DK286</f>
        <v>10.199999999999999</v>
      </c>
      <c r="DA387" s="18">
        <f>INPUT!DL286</f>
        <v>4.0816326530612068</v>
      </c>
      <c r="DB387" s="96">
        <f>INPUT!DM286</f>
        <v>6.1</v>
      </c>
      <c r="DC387" s="18">
        <f>INPUT!DN286</f>
        <v>-40.196078431372548</v>
      </c>
      <c r="DD387" s="96">
        <f>INPUT!DO286</f>
        <v>7.8</v>
      </c>
      <c r="DE387" s="18">
        <f>INPUT!DP286</f>
        <v>27.868852459016402</v>
      </c>
      <c r="DF387" s="96">
        <f>INPUT!DQ286</f>
        <v>6.4</v>
      </c>
      <c r="DG387" s="18">
        <f>INPUT!DR286</f>
        <v>-17.948717948717942</v>
      </c>
      <c r="DH387" s="96">
        <f>INPUT!DS286</f>
        <v>5.3</v>
      </c>
      <c r="DI387" s="18">
        <f>INPUT!DT286</f>
        <v>-17.187500000000011</v>
      </c>
      <c r="DJ387" s="96">
        <f>INPUT!DU286</f>
        <v>4.8</v>
      </c>
      <c r="DK387" s="18">
        <f>INPUT!DV286</f>
        <v>-9.4339622641509422</v>
      </c>
      <c r="DL387" s="96">
        <f>INPUT!DW286</f>
        <v>4.9000000000000004</v>
      </c>
      <c r="DM387" s="18">
        <f>INPUT!DX286</f>
        <v>2.0833333333333481</v>
      </c>
      <c r="DN387" s="96">
        <f>INPUT!DY286</f>
        <v>5.4</v>
      </c>
      <c r="DO387" s="18">
        <f>INPUT!DZ286</f>
        <v>10.20408163265305</v>
      </c>
      <c r="DP387" s="96">
        <f>INPUT!EA286</f>
        <v>3.4</v>
      </c>
      <c r="DQ387" s="18">
        <f>INPUT!EB286</f>
        <v>-37.037037037037045</v>
      </c>
      <c r="DR387" s="96">
        <f>INPUT!EC286</f>
        <v>2.9</v>
      </c>
      <c r="DS387" s="18">
        <f>INPUT!ED286</f>
        <v>-14.705882352941179</v>
      </c>
      <c r="DT387" s="96">
        <f>INPUT!EE286</f>
        <v>5</v>
      </c>
      <c r="DU387" s="18">
        <f>INPUT!EF286</f>
        <v>72.413793103448285</v>
      </c>
      <c r="DV387" s="96">
        <f>INPUT!EG286</f>
        <v>6.3</v>
      </c>
      <c r="DW387" s="18">
        <f>INPUT!EH286</f>
        <v>26</v>
      </c>
      <c r="DX387" s="96">
        <f>INPUT!EI286</f>
        <v>7.2</v>
      </c>
      <c r="DY387" s="18">
        <f>INPUT!EJ286</f>
        <v>14.285714285714302</v>
      </c>
      <c r="DZ387" s="96">
        <f>INPUT!EK286</f>
        <v>6.48</v>
      </c>
      <c r="EA387" s="18">
        <f>INPUT!EL286</f>
        <v>-9.9999999999999982</v>
      </c>
      <c r="EB387" s="96">
        <f>INPUT!EM286</f>
        <v>6.48</v>
      </c>
      <c r="EC387" s="18">
        <f>INPUT!EN286</f>
        <v>0</v>
      </c>
      <c r="ED387" s="96">
        <f>INPUT!EO286</f>
        <v>6.48</v>
      </c>
      <c r="EE387" s="18">
        <f>INPUT!EP286</f>
        <v>0</v>
      </c>
      <c r="EF387" s="96">
        <f>INPUT!EQ286</f>
        <v>6.48</v>
      </c>
      <c r="EG387" s="18">
        <f>INPUT!ER286</f>
        <v>0</v>
      </c>
      <c r="EH387" s="18"/>
      <c r="EI387" s="96"/>
      <c r="EJ387" s="5"/>
      <c r="EK387" s="96">
        <f>INPUT!FD286</f>
        <v>159.1</v>
      </c>
      <c r="EL387" s="5" t="str">
        <f>INPUT!FE286</f>
        <v>NA</v>
      </c>
      <c r="EM387" s="96">
        <f>INPUT!FF286</f>
        <v>163.70000000000002</v>
      </c>
      <c r="EN387" s="5">
        <f>INPUT!FG286</f>
        <v>2.8912633563796586</v>
      </c>
      <c r="EO387" s="96">
        <f>INPUT!FH286</f>
        <v>159.70000000000002</v>
      </c>
      <c r="EP387" s="5">
        <f>INPUT!FI286</f>
        <v>-2.4434941967012791</v>
      </c>
      <c r="EQ387" s="96">
        <f>INPUT!FJ286</f>
        <v>164.9</v>
      </c>
      <c r="ER387" s="5">
        <f>INPUT!FK286</f>
        <v>3.2561051972448185</v>
      </c>
      <c r="ES387" s="96">
        <f>INPUT!FL286</f>
        <v>140.6</v>
      </c>
      <c r="ET387" s="5">
        <f>INPUT!FM286</f>
        <v>-14.73620375985446</v>
      </c>
      <c r="EU387" s="96">
        <f>INPUT!FN286</f>
        <v>175.99999999999997</v>
      </c>
      <c r="EV387" s="5">
        <f>INPUT!FO286</f>
        <v>25.177809388335692</v>
      </c>
      <c r="EW387" s="96">
        <f>INPUT!FP286</f>
        <v>197.5</v>
      </c>
      <c r="EX387" s="5">
        <f>INPUT!FQ286</f>
        <v>12.215909090909104</v>
      </c>
      <c r="EY387" s="96">
        <f>INPUT!FR286</f>
        <v>66.7</v>
      </c>
      <c r="EZ387" s="5" t="str">
        <f>INPUT!FS286</f>
        <v>NM</v>
      </c>
      <c r="FA387" s="96">
        <f>INPUT!FT286</f>
        <v>94.600000000000009</v>
      </c>
      <c r="FB387" s="5">
        <f>INPUT!FU286</f>
        <v>41.829085457271376</v>
      </c>
      <c r="FC387" s="96">
        <f>INPUT!FV286</f>
        <v>56.2</v>
      </c>
      <c r="FD387" s="5">
        <f>INPUT!FW286</f>
        <v>-40.591966173361527</v>
      </c>
      <c r="FE387" s="96">
        <f>INPUT!FX286</f>
        <v>45.1</v>
      </c>
      <c r="FF387" s="5">
        <f>INPUT!FY286</f>
        <v>-19.7508896797153</v>
      </c>
      <c r="FG387" s="96">
        <f>INPUT!FZ286</f>
        <v>24.7</v>
      </c>
      <c r="FH387" s="5">
        <f>INPUT!GA286</f>
        <v>-45.23281596452329</v>
      </c>
      <c r="FI387" s="96">
        <f>INPUT!GB286</f>
        <v>35.299999999999997</v>
      </c>
      <c r="FJ387" s="5">
        <f>INPUT!GC286</f>
        <v>42.914979757085007</v>
      </c>
      <c r="FK387" s="96">
        <f>INPUT!GD286</f>
        <v>25.599999999999998</v>
      </c>
      <c r="FL387" s="5">
        <f>INPUT!GE286</f>
        <v>-27.478753541076482</v>
      </c>
      <c r="FM387" s="96">
        <f>INPUT!GF286</f>
        <v>18.5</v>
      </c>
      <c r="FN387" s="5">
        <f>INPUT!GG286</f>
        <v>-27.734374999999989</v>
      </c>
      <c r="FO387" s="96">
        <f>INPUT!GH286</f>
        <v>21.4</v>
      </c>
      <c r="FP387" s="5">
        <f>INPUT!GI286</f>
        <v>15.67567567567567</v>
      </c>
      <c r="FQ387" s="96">
        <f>INPUT!GJ286</f>
        <v>25.92</v>
      </c>
      <c r="FR387" s="5">
        <f>INPUT!GK286</f>
        <v>21.121495327102814</v>
      </c>
      <c r="FS387" s="96">
        <f>INPUT!GL286</f>
        <v>25.92</v>
      </c>
      <c r="FT387" s="5">
        <f>INPUT!GM286</f>
        <v>0</v>
      </c>
      <c r="FU387" s="96">
        <f>INPUT!GN286</f>
        <v>25.92</v>
      </c>
      <c r="FV387" s="5">
        <f>INPUT!GO286</f>
        <v>0</v>
      </c>
      <c r="FW387" s="96">
        <f>INPUT!GP286</f>
        <v>25.92</v>
      </c>
      <c r="FX387" s="5">
        <f>INPUT!GQ286</f>
        <v>0</v>
      </c>
      <c r="FY387" s="96">
        <f>INPUT!GR286</f>
        <v>25.92</v>
      </c>
      <c r="FZ387" s="5">
        <f>INPUT!GS286</f>
        <v>0</v>
      </c>
      <c r="GA387" s="5">
        <f>INPUT!GT286</f>
        <v>3.9068657075683966</v>
      </c>
    </row>
    <row r="388" spans="1:183" ht="12.75" hidden="1" customHeight="1" outlineLevel="1" x14ac:dyDescent="0.2">
      <c r="A388" s="612" t="str">
        <f>INPUT!B287</f>
        <v>Refi Net Investment Income</v>
      </c>
      <c r="B388" s="96">
        <f>INPUT!M287</f>
        <v>0</v>
      </c>
      <c r="C388" s="18" t="str">
        <f>INPUT!N287</f>
        <v>NA</v>
      </c>
      <c r="D388" s="96">
        <f>INPUT!O287</f>
        <v>0</v>
      </c>
      <c r="E388" s="18" t="str">
        <f>INPUT!P287</f>
        <v>NA</v>
      </c>
      <c r="F388" s="96">
        <f>INPUT!Q287</f>
        <v>0</v>
      </c>
      <c r="G388" s="18" t="str">
        <f>INPUT!R287</f>
        <v>NA</v>
      </c>
      <c r="H388" s="96">
        <f>INPUT!S287</f>
        <v>0</v>
      </c>
      <c r="I388" s="18" t="str">
        <f>INPUT!T287</f>
        <v>NA</v>
      </c>
      <c r="J388" s="96">
        <f>INPUT!U287</f>
        <v>0</v>
      </c>
      <c r="K388" s="18" t="str">
        <f>INPUT!V287</f>
        <v>NA</v>
      </c>
      <c r="L388" s="96">
        <f>INPUT!W287</f>
        <v>0</v>
      </c>
      <c r="M388" s="18" t="str">
        <f>INPUT!X287</f>
        <v>NA</v>
      </c>
      <c r="N388" s="96">
        <f>INPUT!Y287</f>
        <v>0</v>
      </c>
      <c r="O388" s="18" t="str">
        <f>INPUT!Z287</f>
        <v>NA</v>
      </c>
      <c r="P388" s="96">
        <f>INPUT!AA287</f>
        <v>0</v>
      </c>
      <c r="Q388" s="18" t="str">
        <f>INPUT!AB287</f>
        <v>NA</v>
      </c>
      <c r="R388" s="96">
        <f>INPUT!AC287</f>
        <v>0</v>
      </c>
      <c r="S388" s="18" t="str">
        <f>INPUT!AD287</f>
        <v>NA</v>
      </c>
      <c r="T388" s="96">
        <f>INPUT!AE287</f>
        <v>0</v>
      </c>
      <c r="U388" s="18" t="str">
        <f>INPUT!AF287</f>
        <v>NA</v>
      </c>
      <c r="V388" s="96">
        <f>INPUT!AG287</f>
        <v>0</v>
      </c>
      <c r="W388" s="18" t="str">
        <f>INPUT!AH287</f>
        <v>NA</v>
      </c>
      <c r="X388" s="96">
        <f>INPUT!AI287</f>
        <v>0</v>
      </c>
      <c r="Y388" s="18" t="str">
        <f>INPUT!AJ287</f>
        <v>NA</v>
      </c>
      <c r="Z388" s="96">
        <f>INPUT!AK287</f>
        <v>0</v>
      </c>
      <c r="AA388" s="18" t="str">
        <f>INPUT!AL287</f>
        <v>NA</v>
      </c>
      <c r="AB388" s="96">
        <f>INPUT!AM287</f>
        <v>0</v>
      </c>
      <c r="AC388" s="18" t="str">
        <f>INPUT!AN287</f>
        <v>NA</v>
      </c>
      <c r="AD388" s="96">
        <f>INPUT!AO287</f>
        <v>0</v>
      </c>
      <c r="AE388" s="18" t="str">
        <f>INPUT!AP287</f>
        <v>NA</v>
      </c>
      <c r="AF388" s="96">
        <f>INPUT!AQ287</f>
        <v>5</v>
      </c>
      <c r="AG388" s="18" t="str">
        <f>INPUT!AR287</f>
        <v>NA</v>
      </c>
      <c r="AH388" s="96">
        <f>INPUT!AS287</f>
        <v>5</v>
      </c>
      <c r="AI388" s="18">
        <f>INPUT!AT287</f>
        <v>0</v>
      </c>
      <c r="AJ388" s="96">
        <f>INPUT!AU287</f>
        <v>5</v>
      </c>
      <c r="AK388" s="18">
        <f>INPUT!AV287</f>
        <v>0</v>
      </c>
      <c r="AL388" s="96">
        <f>INPUT!AW287</f>
        <v>5</v>
      </c>
      <c r="AM388" s="18">
        <f>INPUT!AX287</f>
        <v>0</v>
      </c>
      <c r="AN388" s="96">
        <f>INPUT!AY287</f>
        <v>5</v>
      </c>
      <c r="AO388" s="18">
        <f>INPUT!AZ287</f>
        <v>0</v>
      </c>
      <c r="AP388" s="96">
        <f>INPUT!BA287</f>
        <v>5</v>
      </c>
      <c r="AQ388" s="18">
        <f>INPUT!BB287</f>
        <v>0</v>
      </c>
      <c r="AR388" s="96">
        <f>INPUT!BC287</f>
        <v>0</v>
      </c>
      <c r="AS388" s="18" t="str">
        <f>INPUT!BD287</f>
        <v>NM</v>
      </c>
      <c r="AT388" s="96">
        <f>INPUT!BE287</f>
        <v>0</v>
      </c>
      <c r="AU388" s="18" t="str">
        <f>INPUT!BF287</f>
        <v>NA</v>
      </c>
      <c r="AV388" s="96">
        <f>INPUT!BG287</f>
        <v>0</v>
      </c>
      <c r="AW388" s="18" t="str">
        <f>INPUT!BH287</f>
        <v>NA</v>
      </c>
      <c r="AX388" s="96">
        <f>INPUT!BI287</f>
        <v>0</v>
      </c>
      <c r="AY388" s="18" t="str">
        <f>INPUT!BJ287</f>
        <v>NA</v>
      </c>
      <c r="AZ388" s="96">
        <f>INPUT!BK287</f>
        <v>0</v>
      </c>
      <c r="BA388" s="18" t="str">
        <f>INPUT!BL287</f>
        <v>NA</v>
      </c>
      <c r="BB388" s="96">
        <f>INPUT!BM287</f>
        <v>0</v>
      </c>
      <c r="BC388" s="18" t="str">
        <f>INPUT!BN287</f>
        <v>NA</v>
      </c>
      <c r="BD388" s="96">
        <f>INPUT!BO287</f>
        <v>0</v>
      </c>
      <c r="BE388" s="18" t="str">
        <f>INPUT!BP287</f>
        <v>NA</v>
      </c>
      <c r="BF388" s="96">
        <f>INPUT!BQ287</f>
        <v>0</v>
      </c>
      <c r="BG388" s="18" t="str">
        <f>INPUT!BR287</f>
        <v>NA</v>
      </c>
      <c r="BH388" s="96">
        <f>INPUT!BS287</f>
        <v>0</v>
      </c>
      <c r="BI388" s="18" t="str">
        <f>INPUT!BT287</f>
        <v>NA</v>
      </c>
      <c r="BJ388" s="96">
        <f>INPUT!BU287</f>
        <v>0</v>
      </c>
      <c r="BK388" s="18" t="str">
        <f>INPUT!BV287</f>
        <v>NA</v>
      </c>
      <c r="BL388" s="96">
        <f>INPUT!BW287</f>
        <v>0</v>
      </c>
      <c r="BM388" s="18" t="str">
        <f>INPUT!BX287</f>
        <v>NA</v>
      </c>
      <c r="BN388" s="96">
        <f>INPUT!BY287</f>
        <v>0</v>
      </c>
      <c r="BO388" s="18" t="str">
        <f>INPUT!BZ287</f>
        <v>NA</v>
      </c>
      <c r="BP388" s="96">
        <f>INPUT!CA287</f>
        <v>0</v>
      </c>
      <c r="BQ388" s="18" t="str">
        <f>INPUT!CB287</f>
        <v>NA</v>
      </c>
      <c r="BR388" s="96">
        <f>INPUT!CC287</f>
        <v>0</v>
      </c>
      <c r="BS388" s="18" t="str">
        <f>INPUT!CD287</f>
        <v>NA</v>
      </c>
      <c r="BT388" s="96">
        <f>INPUT!CE287</f>
        <v>0</v>
      </c>
      <c r="BU388" s="18" t="str">
        <f>INPUT!CF287</f>
        <v>NA</v>
      </c>
      <c r="BV388" s="96">
        <f>INPUT!CG287</f>
        <v>0</v>
      </c>
      <c r="BW388" s="18" t="str">
        <f>INPUT!CH287</f>
        <v>NA</v>
      </c>
      <c r="BX388" s="96">
        <f>INPUT!CI287</f>
        <v>0</v>
      </c>
      <c r="BY388" s="18" t="str">
        <f>INPUT!CJ287</f>
        <v>NA</v>
      </c>
      <c r="BZ388" s="96">
        <f>INPUT!CK287</f>
        <v>0</v>
      </c>
      <c r="CA388" s="18" t="str">
        <f>INPUT!CL287</f>
        <v>NA</v>
      </c>
      <c r="CB388" s="96">
        <f>INPUT!CM287</f>
        <v>0</v>
      </c>
      <c r="CC388" s="18" t="str">
        <f>INPUT!CN287</f>
        <v>NA</v>
      </c>
      <c r="CD388" s="96">
        <f>INPUT!CO287</f>
        <v>0</v>
      </c>
      <c r="CE388" s="18" t="str">
        <f>INPUT!CP287</f>
        <v>NA</v>
      </c>
      <c r="CF388" s="96">
        <f>INPUT!CQ287</f>
        <v>0</v>
      </c>
      <c r="CG388" s="18" t="str">
        <f>INPUT!CR287</f>
        <v>NA</v>
      </c>
      <c r="CH388" s="96">
        <f>INPUT!CS287</f>
        <v>0</v>
      </c>
      <c r="CI388" s="18" t="str">
        <f>INPUT!CT287</f>
        <v>NA</v>
      </c>
      <c r="CJ388" s="96">
        <f>INPUT!CU287</f>
        <v>0</v>
      </c>
      <c r="CK388" s="18" t="str">
        <f>INPUT!CV287</f>
        <v>NA</v>
      </c>
      <c r="CL388" s="96">
        <f>INPUT!CW287</f>
        <v>0</v>
      </c>
      <c r="CM388" s="18" t="str">
        <f>INPUT!CX287</f>
        <v>NA</v>
      </c>
      <c r="CN388" s="96">
        <f>INPUT!CY287</f>
        <v>0</v>
      </c>
      <c r="CO388" s="18" t="str">
        <f>INPUT!CZ287</f>
        <v>NA</v>
      </c>
      <c r="CP388" s="96">
        <f>INPUT!DA287</f>
        <v>0</v>
      </c>
      <c r="CQ388" s="18" t="str">
        <f>INPUT!DB287</f>
        <v>NA</v>
      </c>
      <c r="CR388" s="96">
        <f>INPUT!DC287</f>
        <v>0</v>
      </c>
      <c r="CS388" s="18" t="str">
        <f>INPUT!DD287</f>
        <v>NA</v>
      </c>
      <c r="CT388" s="96">
        <f>INPUT!DE287</f>
        <v>0</v>
      </c>
      <c r="CU388" s="18" t="str">
        <f>INPUT!DF287</f>
        <v>NA</v>
      </c>
      <c r="CV388" s="96">
        <f>INPUT!DG287</f>
        <v>0</v>
      </c>
      <c r="CW388" s="18" t="str">
        <f>INPUT!DH287</f>
        <v>NA</v>
      </c>
      <c r="CX388" s="96">
        <f>INPUT!DI287</f>
        <v>0</v>
      </c>
      <c r="CY388" s="18" t="str">
        <f>INPUT!DJ287</f>
        <v>NA</v>
      </c>
      <c r="CZ388" s="96">
        <f>INPUT!DK287</f>
        <v>0</v>
      </c>
      <c r="DA388" s="18" t="str">
        <f>INPUT!DL287</f>
        <v>NA</v>
      </c>
      <c r="DB388" s="96">
        <f>INPUT!DM287</f>
        <v>0</v>
      </c>
      <c r="DC388" s="18" t="str">
        <f>INPUT!DN287</f>
        <v>NA</v>
      </c>
      <c r="DD388" s="96">
        <f>INPUT!DO287</f>
        <v>0</v>
      </c>
      <c r="DE388" s="18" t="str">
        <f>INPUT!DP287</f>
        <v>NA</v>
      </c>
      <c r="DF388" s="96">
        <f>INPUT!DQ287</f>
        <v>0</v>
      </c>
      <c r="DG388" s="18" t="str">
        <f>INPUT!DR287</f>
        <v>NA</v>
      </c>
      <c r="DH388" s="96">
        <f>INPUT!DS287</f>
        <v>0</v>
      </c>
      <c r="DI388" s="18" t="str">
        <f>INPUT!DT287</f>
        <v>NA</v>
      </c>
      <c r="DJ388" s="96">
        <f>INPUT!DU287</f>
        <v>0</v>
      </c>
      <c r="DK388" s="18" t="str">
        <f>INPUT!DV287</f>
        <v>NA</v>
      </c>
      <c r="DL388" s="96">
        <f>INPUT!DW287</f>
        <v>0</v>
      </c>
      <c r="DM388" s="18" t="str">
        <f>INPUT!DX287</f>
        <v>NA</v>
      </c>
      <c r="DN388" s="96">
        <f>INPUT!DY287</f>
        <v>0</v>
      </c>
      <c r="DO388" s="18" t="str">
        <f>INPUT!DZ287</f>
        <v>NA</v>
      </c>
      <c r="DP388" s="96">
        <f>INPUT!EA287</f>
        <v>0</v>
      </c>
      <c r="DQ388" s="18" t="str">
        <f>INPUT!EB287</f>
        <v>NA</v>
      </c>
      <c r="DR388" s="96">
        <f>INPUT!EC287</f>
        <v>0</v>
      </c>
      <c r="DS388" s="18" t="str">
        <f>INPUT!ED287</f>
        <v>NA</v>
      </c>
      <c r="DT388" s="96">
        <f>INPUT!EE287</f>
        <v>0</v>
      </c>
      <c r="DU388" s="18" t="str">
        <f>INPUT!EF287</f>
        <v>NA</v>
      </c>
      <c r="DV388" s="96">
        <f>INPUT!EG287</f>
        <v>0</v>
      </c>
      <c r="DW388" s="18" t="str">
        <f>INPUT!EH287</f>
        <v>NA</v>
      </c>
      <c r="DX388" s="96">
        <f>INPUT!EI287</f>
        <v>0</v>
      </c>
      <c r="DY388" s="18" t="str">
        <f>INPUT!EJ287</f>
        <v>NA</v>
      </c>
      <c r="DZ388" s="96">
        <f>INPUT!EK287</f>
        <v>0</v>
      </c>
      <c r="EA388" s="18" t="str">
        <f>INPUT!EL287</f>
        <v>NA</v>
      </c>
      <c r="EB388" s="96">
        <f>INPUT!EM287</f>
        <v>0</v>
      </c>
      <c r="EC388" s="18" t="str">
        <f>INPUT!EN287</f>
        <v>NA</v>
      </c>
      <c r="ED388" s="96">
        <f>INPUT!EO287</f>
        <v>0</v>
      </c>
      <c r="EE388" s="18" t="str">
        <f>INPUT!EP287</f>
        <v>NA</v>
      </c>
      <c r="EF388" s="96">
        <f>INPUT!EQ287</f>
        <v>0</v>
      </c>
      <c r="EG388" s="18" t="str">
        <f>INPUT!ER287</f>
        <v>NA</v>
      </c>
      <c r="EH388" s="18"/>
      <c r="EI388" s="96"/>
      <c r="EJ388" s="5"/>
      <c r="EK388" s="96">
        <f>INPUT!FD287</f>
        <v>0</v>
      </c>
      <c r="EL388" s="5" t="str">
        <f>INPUT!FE287</f>
        <v>NA</v>
      </c>
      <c r="EM388" s="96">
        <f>INPUT!FF287</f>
        <v>0</v>
      </c>
      <c r="EN388" s="5" t="str">
        <f>INPUT!FG287</f>
        <v>NA</v>
      </c>
      <c r="EO388" s="96">
        <f>INPUT!FH287</f>
        <v>0</v>
      </c>
      <c r="EP388" s="5" t="str">
        <f>INPUT!FI287</f>
        <v>NA</v>
      </c>
      <c r="EQ388" s="96">
        <f>INPUT!FJ287</f>
        <v>5</v>
      </c>
      <c r="ER388" s="5" t="str">
        <f>INPUT!FK287</f>
        <v>NA</v>
      </c>
      <c r="ES388" s="96">
        <f>INPUT!FL287</f>
        <v>20</v>
      </c>
      <c r="ET388" s="5" t="str">
        <f>INPUT!FM287</f>
        <v>NM</v>
      </c>
      <c r="EU388" s="96">
        <f>INPUT!FN287</f>
        <v>5</v>
      </c>
      <c r="EV388" s="5" t="str">
        <f>INPUT!FO287</f>
        <v>NM</v>
      </c>
      <c r="EW388" s="96">
        <f>INPUT!FP287</f>
        <v>0</v>
      </c>
      <c r="EX388" s="5" t="str">
        <f>INPUT!FQ287</f>
        <v>NM</v>
      </c>
      <c r="EY388" s="96">
        <f>INPUT!FR287</f>
        <v>0</v>
      </c>
      <c r="EZ388" s="5" t="str">
        <f>INPUT!FS287</f>
        <v>NA</v>
      </c>
      <c r="FA388" s="96">
        <f>INPUT!FT287</f>
        <v>0</v>
      </c>
      <c r="FB388" s="5" t="str">
        <f>INPUT!FU287</f>
        <v>NA</v>
      </c>
      <c r="FC388" s="96">
        <f>INPUT!FV287</f>
        <v>0</v>
      </c>
      <c r="FD388" s="5" t="str">
        <f>INPUT!FW287</f>
        <v>NA</v>
      </c>
      <c r="FE388" s="96">
        <f>INPUT!FX287</f>
        <v>0</v>
      </c>
      <c r="FF388" s="5" t="str">
        <f>INPUT!FY287</f>
        <v>NA</v>
      </c>
      <c r="FG388" s="96">
        <f>INPUT!FZ287</f>
        <v>0</v>
      </c>
      <c r="FH388" s="5" t="str">
        <f>INPUT!GA287</f>
        <v>NA</v>
      </c>
      <c r="FI388" s="96">
        <f>INPUT!GB287</f>
        <v>0</v>
      </c>
      <c r="FJ388" s="5" t="str">
        <f>INPUT!GC287</f>
        <v>NA</v>
      </c>
      <c r="FK388" s="96">
        <f>INPUT!GD287</f>
        <v>0</v>
      </c>
      <c r="FL388" s="5" t="str">
        <f>INPUT!GE287</f>
        <v>NA</v>
      </c>
      <c r="FM388" s="96">
        <f>INPUT!GF287</f>
        <v>0</v>
      </c>
      <c r="FN388" s="5" t="str">
        <f>INPUT!GG287</f>
        <v>NA</v>
      </c>
      <c r="FO388" s="96">
        <f>INPUT!GH287</f>
        <v>0</v>
      </c>
      <c r="FP388" s="5" t="str">
        <f>INPUT!GI287</f>
        <v>NA</v>
      </c>
      <c r="FQ388" s="96">
        <f>INPUT!GJ287</f>
        <v>0</v>
      </c>
      <c r="FR388" s="5" t="str">
        <f>INPUT!GK287</f>
        <v>NA</v>
      </c>
      <c r="FS388" s="96">
        <f>INPUT!GL287</f>
        <v>0</v>
      </c>
      <c r="FT388" s="5" t="str">
        <f>INPUT!GM287</f>
        <v>NA</v>
      </c>
      <c r="FU388" s="96">
        <f>INPUT!GN287</f>
        <v>0</v>
      </c>
      <c r="FV388" s="5" t="str">
        <f>INPUT!GO287</f>
        <v>NA</v>
      </c>
      <c r="FW388" s="96">
        <f>INPUT!GP287</f>
        <v>0</v>
      </c>
      <c r="FX388" s="5" t="str">
        <f>INPUT!GQ287</f>
        <v>NA</v>
      </c>
      <c r="FY388" s="96">
        <f>INPUT!GR287</f>
        <v>0</v>
      </c>
      <c r="FZ388" s="5" t="str">
        <f>INPUT!GS287</f>
        <v>NA</v>
      </c>
      <c r="GA388" s="5" t="str">
        <f>INPUT!GT287</f>
        <v>NA</v>
      </c>
    </row>
    <row r="389" spans="1:183" ht="12.75" hidden="1" customHeight="1" outlineLevel="1" x14ac:dyDescent="0.2">
      <c r="A389" s="612" t="str">
        <f>INPUT!B288</f>
        <v>Other Income</v>
      </c>
      <c r="B389" s="96">
        <f>INPUT!M288</f>
        <v>65.900000000000006</v>
      </c>
      <c r="C389" s="18">
        <f>INPUT!N288</f>
        <v>34.764826175869111</v>
      </c>
      <c r="D389" s="96">
        <f>INPUT!O288</f>
        <v>57</v>
      </c>
      <c r="E389" s="18">
        <f>INPUT!P288</f>
        <v>-13.505311077389992</v>
      </c>
      <c r="F389" s="96">
        <f>INPUT!Q288</f>
        <v>59.199999999999996</v>
      </c>
      <c r="G389" s="18">
        <f>INPUT!R288</f>
        <v>3.8596491228070073</v>
      </c>
      <c r="H389" s="96">
        <f>INPUT!S288</f>
        <v>61.3</v>
      </c>
      <c r="I389" s="18">
        <f>INPUT!T288</f>
        <v>3.5472972972973027</v>
      </c>
      <c r="J389" s="96">
        <f>INPUT!U288</f>
        <v>58.900000000000006</v>
      </c>
      <c r="K389" s="18">
        <f>INPUT!V288</f>
        <v>-3.9151712887438683</v>
      </c>
      <c r="L389" s="96">
        <f>INPUT!W288</f>
        <v>56.300000000000004</v>
      </c>
      <c r="M389" s="18">
        <f>INPUT!X288</f>
        <v>-4.4142614601018648</v>
      </c>
      <c r="N389" s="96">
        <f>INPUT!Y288</f>
        <v>53.3</v>
      </c>
      <c r="O389" s="18">
        <f>INPUT!Z288</f>
        <v>-5.3285968028419344</v>
      </c>
      <c r="P389" s="96">
        <f>INPUT!AA288</f>
        <v>43.9</v>
      </c>
      <c r="Q389" s="18">
        <f>INPUT!AB288</f>
        <v>-17.636022514071293</v>
      </c>
      <c r="R389" s="96">
        <f>INPUT!AC288</f>
        <v>56.5</v>
      </c>
      <c r="S389" s="18">
        <f>INPUT!AD288</f>
        <v>28.701594533029606</v>
      </c>
      <c r="T389" s="96">
        <f>INPUT!AE288</f>
        <v>62.7</v>
      </c>
      <c r="U389" s="18">
        <f>INPUT!AF288</f>
        <v>10.973451327433636</v>
      </c>
      <c r="V389" s="96">
        <f>INPUT!AG288</f>
        <v>56.199999999999996</v>
      </c>
      <c r="W389" s="18">
        <f>INPUT!AH288</f>
        <v>-10.366826156299847</v>
      </c>
      <c r="X389" s="96">
        <f>INPUT!AI288</f>
        <v>66.5</v>
      </c>
      <c r="Y389" s="18">
        <f>INPUT!AJ288</f>
        <v>18.327402135231317</v>
      </c>
      <c r="Z389" s="96">
        <f>INPUT!AK288</f>
        <v>58.7</v>
      </c>
      <c r="AA389" s="18">
        <f>INPUT!AL288</f>
        <v>-11.729323308270667</v>
      </c>
      <c r="AB389" s="96">
        <f>INPUT!AM288</f>
        <v>57.1</v>
      </c>
      <c r="AC389" s="18">
        <f>INPUT!AN288</f>
        <v>-2.7257240204429323</v>
      </c>
      <c r="AD389" s="96">
        <f>INPUT!AO288</f>
        <v>55.4</v>
      </c>
      <c r="AE389" s="18">
        <f>INPUT!AP288</f>
        <v>-2.9772329246935292</v>
      </c>
      <c r="AF389" s="96">
        <f>INPUT!AQ288</f>
        <v>10</v>
      </c>
      <c r="AG389" s="18" t="str">
        <f>INPUT!AR288</f>
        <v>NM</v>
      </c>
      <c r="AH389" s="96">
        <f>INPUT!AS288</f>
        <v>11.700000000000001</v>
      </c>
      <c r="AI389" s="18">
        <f>INPUT!AT288</f>
        <v>17.000000000000014</v>
      </c>
      <c r="AJ389" s="96">
        <f>INPUT!AU288</f>
        <v>57.7</v>
      </c>
      <c r="AK389" s="18" t="str">
        <f>INPUT!AV288</f>
        <v>NM</v>
      </c>
      <c r="AL389" s="96">
        <f>INPUT!AW288</f>
        <v>57.4</v>
      </c>
      <c r="AM389" s="18">
        <f>INPUT!AX288</f>
        <v>-0.5199306759098854</v>
      </c>
      <c r="AN389" s="96">
        <f>INPUT!AY288</f>
        <v>14.600000000000001</v>
      </c>
      <c r="AO389" s="18" t="str">
        <f>INPUT!AZ288</f>
        <v>NM</v>
      </c>
      <c r="AP389" s="96">
        <f>INPUT!BA288</f>
        <v>8.8999999999999986</v>
      </c>
      <c r="AQ389" s="18">
        <f>INPUT!BB288</f>
        <v>-39.041095890410972</v>
      </c>
      <c r="AR389" s="96">
        <f>INPUT!BC288</f>
        <v>9.6999999999999993</v>
      </c>
      <c r="AS389" s="18">
        <f>INPUT!BD288</f>
        <v>8.9887640449438209</v>
      </c>
      <c r="AT389" s="96">
        <f>INPUT!BE288</f>
        <v>5.3000000000000007</v>
      </c>
      <c r="AU389" s="18">
        <f>INPUT!BF288</f>
        <v>-45.360824742268022</v>
      </c>
      <c r="AV389" s="96">
        <f>INPUT!BG288</f>
        <v>6.8999999999999995</v>
      </c>
      <c r="AW389" s="18">
        <f>INPUT!BH288</f>
        <v>30.188679245282991</v>
      </c>
      <c r="AX389" s="96">
        <f>INPUT!BI288</f>
        <v>10.199999999999999</v>
      </c>
      <c r="AY389" s="18">
        <f>INPUT!BJ288</f>
        <v>47.826086956521728</v>
      </c>
      <c r="AZ389" s="96">
        <f>INPUT!BK288</f>
        <v>8.4</v>
      </c>
      <c r="BA389" s="18">
        <f>INPUT!BL288</f>
        <v>-17.647058823529406</v>
      </c>
      <c r="BB389" s="96">
        <f>INPUT!BM288</f>
        <v>9</v>
      </c>
      <c r="BC389" s="18">
        <f>INPUT!BN288</f>
        <v>7.1428571428571397</v>
      </c>
      <c r="BD389" s="96">
        <f>INPUT!BO288</f>
        <v>14.6</v>
      </c>
      <c r="BE389" s="18">
        <f>INPUT!BP288</f>
        <v>62.222222222222221</v>
      </c>
      <c r="BF389" s="96">
        <f>INPUT!BQ288</f>
        <v>7.8</v>
      </c>
      <c r="BG389" s="18">
        <f>INPUT!BR288</f>
        <v>-46.575342465753423</v>
      </c>
      <c r="BH389" s="96">
        <f>INPUT!BS288</f>
        <v>10.6</v>
      </c>
      <c r="BI389" s="18">
        <f>INPUT!BT288</f>
        <v>35.897435897435905</v>
      </c>
      <c r="BJ389" s="96">
        <f>INPUT!BU288</f>
        <v>8.1</v>
      </c>
      <c r="BK389" s="18">
        <f>INPUT!BV288</f>
        <v>-23.584905660377366</v>
      </c>
      <c r="BL389" s="96">
        <f>INPUT!BW288</f>
        <v>8.3000000000000007</v>
      </c>
      <c r="BM389" s="18">
        <f>INPUT!BX288</f>
        <v>2.4691358024691468</v>
      </c>
      <c r="BN389" s="96">
        <f>INPUT!BY288</f>
        <v>0.5</v>
      </c>
      <c r="BO389" s="18" t="str">
        <f>INPUT!BZ288</f>
        <v>NM</v>
      </c>
      <c r="BP389" s="96">
        <f>INPUT!CA288</f>
        <v>0.8</v>
      </c>
      <c r="BQ389" s="18">
        <f>INPUT!CB288</f>
        <v>60.000000000000007</v>
      </c>
      <c r="BR389" s="96">
        <f>INPUT!CC288</f>
        <v>0.4</v>
      </c>
      <c r="BS389" s="18">
        <f>INPUT!CD288</f>
        <v>-50</v>
      </c>
      <c r="BT389" s="96">
        <f>INPUT!CE288</f>
        <v>1.6</v>
      </c>
      <c r="BU389" s="18" t="str">
        <f>INPUT!CF288</f>
        <v>NM</v>
      </c>
      <c r="BV389" s="96">
        <f>INPUT!CG288</f>
        <v>1</v>
      </c>
      <c r="BW389" s="18">
        <f>INPUT!CH288</f>
        <v>-37.5</v>
      </c>
      <c r="BX389" s="96">
        <f>INPUT!CI288</f>
        <v>-0.4</v>
      </c>
      <c r="BY389" s="18" t="str">
        <f>INPUT!CJ288</f>
        <v>NM</v>
      </c>
      <c r="BZ389" s="96">
        <f>INPUT!CK288</f>
        <v>2.2000000000000002</v>
      </c>
      <c r="CA389" s="18" t="str">
        <f>INPUT!CL288</f>
        <v>NM</v>
      </c>
      <c r="CB389" s="96">
        <f>INPUT!CM288</f>
        <v>17.8</v>
      </c>
      <c r="CC389" s="18" t="str">
        <f>INPUT!CN288</f>
        <v>NM</v>
      </c>
      <c r="CD389" s="96">
        <f>INPUT!CO288</f>
        <v>0.3</v>
      </c>
      <c r="CE389" s="18" t="str">
        <f>INPUT!CP288</f>
        <v>NM</v>
      </c>
      <c r="CF389" s="96">
        <f>INPUT!CQ288</f>
        <v>1.5</v>
      </c>
      <c r="CG389" s="18" t="str">
        <f>INPUT!CR288</f>
        <v>NM</v>
      </c>
      <c r="CH389" s="96">
        <f>INPUT!CS288</f>
        <v>0.4</v>
      </c>
      <c r="CI389" s="18" t="str">
        <f>INPUT!CT288</f>
        <v>NM</v>
      </c>
      <c r="CJ389" s="96">
        <f>INPUT!CU288</f>
        <v>0.6</v>
      </c>
      <c r="CK389" s="18">
        <f>INPUT!CV288</f>
        <v>49.999999999999979</v>
      </c>
      <c r="CL389" s="96">
        <f>INPUT!CW288</f>
        <v>1.6</v>
      </c>
      <c r="CM389" s="18" t="str">
        <f>INPUT!CX288</f>
        <v>NM</v>
      </c>
      <c r="CN389" s="96">
        <f>INPUT!CY288</f>
        <v>0.8</v>
      </c>
      <c r="CO389" s="18">
        <f>INPUT!CZ288</f>
        <v>-50</v>
      </c>
      <c r="CP389" s="96">
        <f>INPUT!DA288</f>
        <v>0.3</v>
      </c>
      <c r="CQ389" s="18" t="str">
        <f>INPUT!DB288</f>
        <v>NM</v>
      </c>
      <c r="CR389" s="96">
        <f>INPUT!DC288</f>
        <v>5</v>
      </c>
      <c r="CS389" s="18" t="str">
        <f>INPUT!DD288</f>
        <v>NM</v>
      </c>
      <c r="CT389" s="96">
        <f>INPUT!DE288</f>
        <v>1.5</v>
      </c>
      <c r="CU389" s="18" t="str">
        <f>INPUT!DF288</f>
        <v>NM</v>
      </c>
      <c r="CV389" s="96">
        <f>INPUT!DG288</f>
        <v>-0.2</v>
      </c>
      <c r="CW389" s="18" t="str">
        <f>INPUT!DH288</f>
        <v>NM</v>
      </c>
      <c r="CX389" s="96">
        <f>INPUT!DI288</f>
        <v>0.9</v>
      </c>
      <c r="CY389" s="18" t="str">
        <f>INPUT!DJ288</f>
        <v>NM</v>
      </c>
      <c r="CZ389" s="96">
        <f>INPUT!DK288</f>
        <v>2.8</v>
      </c>
      <c r="DA389" s="18" t="str">
        <f>INPUT!DL288</f>
        <v>NM</v>
      </c>
      <c r="DB389" s="96">
        <f>INPUT!DM288</f>
        <v>0.3</v>
      </c>
      <c r="DC389" s="18" t="str">
        <f>INPUT!DN288</f>
        <v>NM</v>
      </c>
      <c r="DD389" s="96">
        <f>INPUT!DO288</f>
        <v>0.5</v>
      </c>
      <c r="DE389" s="18">
        <f>INPUT!DP288</f>
        <v>66.666666666666671</v>
      </c>
      <c r="DF389" s="96">
        <f>INPUT!DQ288</f>
        <v>1.8</v>
      </c>
      <c r="DG389" s="18" t="str">
        <f>INPUT!DR288</f>
        <v>NM</v>
      </c>
      <c r="DH389" s="96">
        <f>INPUT!DS288</f>
        <v>0.3</v>
      </c>
      <c r="DI389" s="18" t="str">
        <f>INPUT!DT288</f>
        <v>NM</v>
      </c>
      <c r="DJ389" s="96">
        <f>INPUT!DU288</f>
        <v>0.3</v>
      </c>
      <c r="DK389" s="18">
        <f>INPUT!DV288</f>
        <v>0</v>
      </c>
      <c r="DL389" s="96">
        <f>INPUT!DW288</f>
        <v>1.3</v>
      </c>
      <c r="DM389" s="18" t="str">
        <f>INPUT!DX288</f>
        <v>NM</v>
      </c>
      <c r="DN389" s="96">
        <f>INPUT!DY288</f>
        <v>0.9</v>
      </c>
      <c r="DO389" s="18">
        <f>INPUT!DZ288</f>
        <v>-30.76923076923077</v>
      </c>
      <c r="DP389" s="96">
        <f>INPUT!EA288</f>
        <v>2.4</v>
      </c>
      <c r="DQ389" s="18" t="str">
        <f>INPUT!EB288</f>
        <v>NM</v>
      </c>
      <c r="DR389" s="96">
        <f>INPUT!EC288</f>
        <v>0.4</v>
      </c>
      <c r="DS389" s="18" t="str">
        <f>INPUT!ED288</f>
        <v>NM</v>
      </c>
      <c r="DT389" s="96">
        <f>INPUT!EE288</f>
        <v>0.7</v>
      </c>
      <c r="DU389" s="18">
        <f>INPUT!EF288</f>
        <v>74.999999999999972</v>
      </c>
      <c r="DV389" s="96">
        <f>INPUT!EG288</f>
        <v>0.4</v>
      </c>
      <c r="DW389" s="18">
        <f>INPUT!EH288</f>
        <v>-42.857142857142847</v>
      </c>
      <c r="DX389" s="96">
        <f>INPUT!EI288</f>
        <v>1.4</v>
      </c>
      <c r="DY389" s="18" t="str">
        <f>INPUT!EJ288</f>
        <v>NM</v>
      </c>
      <c r="DZ389" s="96">
        <f>INPUT!EK288</f>
        <v>0</v>
      </c>
      <c r="EA389" s="18" t="str">
        <f>INPUT!EL288</f>
        <v>NM</v>
      </c>
      <c r="EB389" s="96">
        <f>INPUT!EM288</f>
        <v>0</v>
      </c>
      <c r="EC389" s="18" t="str">
        <f>INPUT!EN288</f>
        <v>NA</v>
      </c>
      <c r="ED389" s="96">
        <f>INPUT!EO288</f>
        <v>0</v>
      </c>
      <c r="EE389" s="18" t="str">
        <f>INPUT!EP288</f>
        <v>NA</v>
      </c>
      <c r="EF389" s="96">
        <f>INPUT!EQ288</f>
        <v>0</v>
      </c>
      <c r="EG389" s="18" t="str">
        <f>INPUT!ER288</f>
        <v>NA</v>
      </c>
      <c r="EH389" s="18"/>
      <c r="EI389" s="96"/>
      <c r="EJ389" s="5"/>
      <c r="EK389" s="96">
        <f>INPUT!FD288</f>
        <v>243.4</v>
      </c>
      <c r="EL389" s="5" t="str">
        <f>INPUT!FE288</f>
        <v>NA</v>
      </c>
      <c r="EM389" s="96">
        <f>INPUT!FF288</f>
        <v>212.4</v>
      </c>
      <c r="EN389" s="5">
        <f>INPUT!FG288</f>
        <v>-12.736236647493836</v>
      </c>
      <c r="EO389" s="96">
        <f>INPUT!FH288</f>
        <v>241.89999999999998</v>
      </c>
      <c r="EP389" s="5">
        <f>INPUT!FI288</f>
        <v>13.888888888888884</v>
      </c>
      <c r="EQ389" s="96">
        <f>INPUT!FJ288</f>
        <v>181.2</v>
      </c>
      <c r="ER389" s="5">
        <f>INPUT!FK288</f>
        <v>-25.093013642000827</v>
      </c>
      <c r="ES389" s="96">
        <f>INPUT!FL288</f>
        <v>141.4</v>
      </c>
      <c r="ET389" s="5">
        <f>INPUT!FM288</f>
        <v>-21.964679911699768</v>
      </c>
      <c r="EU389" s="96">
        <f>INPUT!FN288</f>
        <v>30.799999999999997</v>
      </c>
      <c r="EV389" s="5" t="str">
        <f>INPUT!FO288</f>
        <v>NM</v>
      </c>
      <c r="EW389" s="96">
        <f>INPUT!FP288</f>
        <v>42.2</v>
      </c>
      <c r="EX389" s="5">
        <f>INPUT!FQ288</f>
        <v>37.012987012987033</v>
      </c>
      <c r="EY389" s="96">
        <f>INPUT!FR288</f>
        <v>4.4000000000000004</v>
      </c>
      <c r="EZ389" s="5" t="str">
        <f>INPUT!FS288</f>
        <v>NM</v>
      </c>
      <c r="FA389" s="96">
        <f>INPUT!FT288</f>
        <v>3.3000000000000003</v>
      </c>
      <c r="FB389" s="5">
        <f>INPUT!FU288</f>
        <v>-25</v>
      </c>
      <c r="FC389" s="96">
        <f>INPUT!FV288</f>
        <v>20.6</v>
      </c>
      <c r="FD389" s="5" t="str">
        <f>INPUT!FW288</f>
        <v>NM</v>
      </c>
      <c r="FE389" s="96">
        <f>INPUT!FX288</f>
        <v>2.8000000000000003</v>
      </c>
      <c r="FF389" s="5" t="str">
        <f>INPUT!FY288</f>
        <v>NM</v>
      </c>
      <c r="FG389" s="96">
        <f>INPUT!FZ288</f>
        <v>7.7</v>
      </c>
      <c r="FH389" s="5" t="str">
        <f>INPUT!GA288</f>
        <v>NM</v>
      </c>
      <c r="FI389" s="96">
        <f>INPUT!GB288</f>
        <v>5</v>
      </c>
      <c r="FJ389" s="5">
        <f>INPUT!GC288</f>
        <v>-35.064935064935064</v>
      </c>
      <c r="FK389" s="96">
        <f>INPUT!GD288</f>
        <v>2.9</v>
      </c>
      <c r="FL389" s="5">
        <f>INPUT!GE288</f>
        <v>-42.000000000000007</v>
      </c>
      <c r="FM389" s="96">
        <f>INPUT!GF288</f>
        <v>4.9000000000000004</v>
      </c>
      <c r="FN389" s="5">
        <f>INPUT!GG288</f>
        <v>68.965517241379331</v>
      </c>
      <c r="FO389" s="96">
        <f>INPUT!GH288</f>
        <v>2.9</v>
      </c>
      <c r="FP389" s="5">
        <f>INPUT!GI288</f>
        <v>-40.816326530612244</v>
      </c>
      <c r="FQ389" s="96">
        <f>INPUT!GJ288</f>
        <v>0</v>
      </c>
      <c r="FR389" s="5" t="str">
        <f>INPUT!GK288</f>
        <v>NM</v>
      </c>
      <c r="FS389" s="96">
        <f>INPUT!GL288</f>
        <v>0</v>
      </c>
      <c r="FT389" s="5" t="str">
        <f>INPUT!GM288</f>
        <v>NA</v>
      </c>
      <c r="FU389" s="96">
        <f>INPUT!GN288</f>
        <v>0</v>
      </c>
      <c r="FV389" s="5" t="str">
        <f>INPUT!GO288</f>
        <v>NA</v>
      </c>
      <c r="FW389" s="96">
        <f>INPUT!GP288</f>
        <v>0</v>
      </c>
      <c r="FX389" s="5" t="str">
        <f>INPUT!GQ288</f>
        <v>NA</v>
      </c>
      <c r="FY389" s="96">
        <f>INPUT!GR288</f>
        <v>0</v>
      </c>
      <c r="FZ389" s="5" t="str">
        <f>INPUT!GS288</f>
        <v>NA</v>
      </c>
      <c r="GA389" s="5" t="str">
        <f>INPUT!GT288</f>
        <v>NM</v>
      </c>
    </row>
    <row r="390" spans="1:183" ht="12.75" hidden="1" customHeight="1" outlineLevel="1" x14ac:dyDescent="0.2">
      <c r="A390" s="610" t="str">
        <f>INPUT!B289</f>
        <v xml:space="preserve"> Total Revenues</v>
      </c>
      <c r="B390" s="96">
        <f>INPUT!M289</f>
        <v>118.60000000000001</v>
      </c>
      <c r="C390" s="18">
        <f>INPUT!N289</f>
        <v>41.527446300715987</v>
      </c>
      <c r="D390" s="96">
        <f>INPUT!O289</f>
        <v>111.3</v>
      </c>
      <c r="E390" s="18">
        <f>INPUT!P289</f>
        <v>-6.155143338954483</v>
      </c>
      <c r="F390" s="96">
        <f>INPUT!Q289</f>
        <v>110.8</v>
      </c>
      <c r="G390" s="18">
        <f>INPUT!R289</f>
        <v>-0.44923629829289879</v>
      </c>
      <c r="H390" s="96">
        <f>INPUT!S289</f>
        <v>99.4</v>
      </c>
      <c r="I390" s="18">
        <f>INPUT!T289</f>
        <v>-10.288808664259918</v>
      </c>
      <c r="J390" s="96">
        <f>INPUT!U289</f>
        <v>105.9</v>
      </c>
      <c r="K390" s="18">
        <f>INPUT!V289</f>
        <v>6.5392354124748531</v>
      </c>
      <c r="L390" s="96">
        <f>INPUT!W289</f>
        <v>106.20000000000002</v>
      </c>
      <c r="M390" s="18">
        <f>INPUT!X289</f>
        <v>0.28328611898018607</v>
      </c>
      <c r="N390" s="96">
        <f>INPUT!Y289</f>
        <v>102.3</v>
      </c>
      <c r="O390" s="18">
        <f>INPUT!Z289</f>
        <v>-3.6723163841808071</v>
      </c>
      <c r="P390" s="96">
        <f>INPUT!AA289</f>
        <v>96</v>
      </c>
      <c r="Q390" s="18">
        <f>INPUT!AB289</f>
        <v>-6.1583577712609916</v>
      </c>
      <c r="R390" s="96">
        <f>INPUT!AC289</f>
        <v>101.30000000000001</v>
      </c>
      <c r="S390" s="18">
        <f>INPUT!AD289</f>
        <v>5.5208333333333526</v>
      </c>
      <c r="T390" s="96">
        <f>INPUT!AE289</f>
        <v>112.30000000000001</v>
      </c>
      <c r="U390" s="18">
        <f>INPUT!AF289</f>
        <v>10.858835143139189</v>
      </c>
      <c r="V390" s="96">
        <f>INPUT!AG289</f>
        <v>105.5</v>
      </c>
      <c r="W390" s="18">
        <f>INPUT!AH289</f>
        <v>-6.0552092609082901</v>
      </c>
      <c r="X390" s="96">
        <f>INPUT!AI289</f>
        <v>113.8</v>
      </c>
      <c r="Y390" s="18">
        <f>INPUT!AJ289</f>
        <v>7.8672985781990556</v>
      </c>
      <c r="Z390" s="96">
        <f>INPUT!AK289</f>
        <v>100.4</v>
      </c>
      <c r="AA390" s="18">
        <f>INPUT!AL289</f>
        <v>-11.7750439367311</v>
      </c>
      <c r="AB390" s="96">
        <f>INPUT!AM289</f>
        <v>103.5</v>
      </c>
      <c r="AC390" s="18">
        <f>INPUT!AN289</f>
        <v>3.0876494023904355</v>
      </c>
      <c r="AD390" s="96">
        <f>INPUT!AO289</f>
        <v>98.4</v>
      </c>
      <c r="AE390" s="18">
        <f>INPUT!AP289</f>
        <v>-4.927536231884055</v>
      </c>
      <c r="AF390" s="96">
        <f>INPUT!AQ289</f>
        <v>51.4</v>
      </c>
      <c r="AG390" s="18">
        <f>INPUT!AR289</f>
        <v>-47.764227642276424</v>
      </c>
      <c r="AH390" s="96">
        <f>INPUT!AS289</f>
        <v>56.2</v>
      </c>
      <c r="AI390" s="18">
        <f>INPUT!AT289</f>
        <v>9.3385214007782213</v>
      </c>
      <c r="AJ390" s="96">
        <f>INPUT!AU289</f>
        <v>99.300000000000011</v>
      </c>
      <c r="AK390" s="18">
        <f>INPUT!AV289</f>
        <v>76.690391459074746</v>
      </c>
      <c r="AL390" s="96">
        <f>INPUT!AW289</f>
        <v>98</v>
      </c>
      <c r="AM390" s="18">
        <f>INPUT!AX289</f>
        <v>-1.3091641490433181</v>
      </c>
      <c r="AN390" s="96">
        <f>INPUT!AY289</f>
        <v>53.000000000000007</v>
      </c>
      <c r="AO390" s="18">
        <f>INPUT!AZ289</f>
        <v>-45.918367346938773</v>
      </c>
      <c r="AP390" s="96">
        <f>INPUT!BA289</f>
        <v>53.699999999999996</v>
      </c>
      <c r="AQ390" s="18">
        <f>INPUT!BB289</f>
        <v>1.3207547169811207</v>
      </c>
      <c r="AR390" s="96">
        <f>INPUT!BC289</f>
        <v>49.999999999999986</v>
      </c>
      <c r="AS390" s="18">
        <f>INPUT!BD289</f>
        <v>-6.8901303538175256</v>
      </c>
      <c r="AT390" s="96">
        <f>INPUT!BE289</f>
        <v>48</v>
      </c>
      <c r="AU390" s="18">
        <f>INPUT!BF289</f>
        <v>-3.9999999999999702</v>
      </c>
      <c r="AV390" s="96">
        <f>INPUT!BG289</f>
        <v>61.8</v>
      </c>
      <c r="AW390" s="18">
        <f>INPUT!BH289</f>
        <v>28.749999999999986</v>
      </c>
      <c r="AX390" s="96">
        <f>INPUT!BI289</f>
        <v>67</v>
      </c>
      <c r="AY390" s="18">
        <f>INPUT!BJ289</f>
        <v>8.4142394822006583</v>
      </c>
      <c r="AZ390" s="96">
        <f>INPUT!BK289</f>
        <v>58.9</v>
      </c>
      <c r="BA390" s="18">
        <f>INPUT!BL289</f>
        <v>-12.089552238805968</v>
      </c>
      <c r="BB390" s="96">
        <f>INPUT!BM289</f>
        <v>57.8</v>
      </c>
      <c r="BC390" s="18">
        <f>INPUT!BN289</f>
        <v>-1.8675721561969505</v>
      </c>
      <c r="BD390" s="96">
        <f>INPUT!BO289</f>
        <v>57.4</v>
      </c>
      <c r="BE390" s="18">
        <f>INPUT!BP289</f>
        <v>-0.69204152249134898</v>
      </c>
      <c r="BF390" s="96">
        <f>INPUT!BQ289</f>
        <v>49.8</v>
      </c>
      <c r="BG390" s="18">
        <f>INPUT!BR289</f>
        <v>-13.240418118466902</v>
      </c>
      <c r="BH390" s="96">
        <f>INPUT!BS289</f>
        <v>54</v>
      </c>
      <c r="BI390" s="18">
        <f>INPUT!BT289</f>
        <v>8.4337349397590522</v>
      </c>
      <c r="BJ390" s="96">
        <f>INPUT!BU289</f>
        <v>49.800000000000004</v>
      </c>
      <c r="BK390" s="18">
        <f>INPUT!BV289</f>
        <v>-7.7777777777777724</v>
      </c>
      <c r="BL390" s="96">
        <f>INPUT!BW289</f>
        <v>50.599999999999994</v>
      </c>
      <c r="BM390" s="18">
        <f>INPUT!BX289</f>
        <v>1.6064257028112205</v>
      </c>
      <c r="BN390" s="96">
        <f>INPUT!BY289</f>
        <v>23.7</v>
      </c>
      <c r="BO390" s="18" t="str">
        <f>INPUT!BZ289</f>
        <v>NM</v>
      </c>
      <c r="BP390" s="96">
        <f>INPUT!CA289</f>
        <v>27.400000000000002</v>
      </c>
      <c r="BQ390" s="18">
        <f>INPUT!CB289</f>
        <v>15.61181434599157</v>
      </c>
      <c r="BR390" s="96">
        <f>INPUT!CC289</f>
        <v>25</v>
      </c>
      <c r="BS390" s="18">
        <f>INPUT!CD289</f>
        <v>-8.7591240875912533</v>
      </c>
      <c r="BT390" s="96">
        <f>INPUT!CE289</f>
        <v>21.8</v>
      </c>
      <c r="BU390" s="18">
        <f>INPUT!CF289</f>
        <v>-12.8</v>
      </c>
      <c r="BV390" s="96">
        <f>INPUT!CG289</f>
        <v>15.5</v>
      </c>
      <c r="BW390" s="18">
        <f>INPUT!CH289</f>
        <v>-28.899082568807344</v>
      </c>
      <c r="BX390" s="96">
        <f>INPUT!CI289</f>
        <v>16.400000000000002</v>
      </c>
      <c r="BY390" s="18">
        <f>INPUT!CJ289</f>
        <v>5.8064516129032295</v>
      </c>
      <c r="BZ390" s="96">
        <f>INPUT!CK289</f>
        <v>15.5</v>
      </c>
      <c r="CA390" s="18">
        <f>INPUT!CL289</f>
        <v>-5.4878048780487969</v>
      </c>
      <c r="CB390" s="96">
        <f>INPUT!CM289</f>
        <v>29.4</v>
      </c>
      <c r="CC390" s="18">
        <f>INPUT!CN289</f>
        <v>89.677419354838705</v>
      </c>
      <c r="CD390" s="96">
        <f>INPUT!CO289</f>
        <v>7.5</v>
      </c>
      <c r="CE390" s="18" t="str">
        <f>INPUT!CP289</f>
        <v>NM</v>
      </c>
      <c r="CF390" s="96">
        <f>INPUT!CQ289</f>
        <v>10.4</v>
      </c>
      <c r="CG390" s="18">
        <f>INPUT!CR289</f>
        <v>38.666666666666671</v>
      </c>
      <c r="CH390" s="96">
        <f>INPUT!CS289</f>
        <v>7.3000000000000007</v>
      </c>
      <c r="CI390" s="18">
        <f>INPUT!CT289</f>
        <v>-29.807692307692303</v>
      </c>
      <c r="CJ390" s="96">
        <f>INPUT!CU289</f>
        <v>0.6</v>
      </c>
      <c r="CK390" s="18" t="str">
        <f>INPUT!CV289</f>
        <v>NM</v>
      </c>
      <c r="CL390" s="96">
        <f>INPUT!CW289</f>
        <v>10.9</v>
      </c>
      <c r="CM390" s="18" t="str">
        <f>INPUT!CX289</f>
        <v>NM</v>
      </c>
      <c r="CN390" s="96">
        <f>INPUT!CY289</f>
        <v>7.5</v>
      </c>
      <c r="CO390" s="18">
        <f>INPUT!CZ289</f>
        <v>-31.192660550458719</v>
      </c>
      <c r="CP390" s="96">
        <f>INPUT!DA289</f>
        <v>8.2000000000000011</v>
      </c>
      <c r="CQ390" s="18">
        <f>INPUT!DB289</f>
        <v>9.3333333333333499</v>
      </c>
      <c r="CR390" s="96">
        <f>INPUT!DC289</f>
        <v>5.8</v>
      </c>
      <c r="CS390" s="18">
        <f>INPUT!DD289</f>
        <v>-29.268292682926845</v>
      </c>
      <c r="CT390" s="96">
        <f>INPUT!DE289</f>
        <v>8.5</v>
      </c>
      <c r="CU390" s="18">
        <f>INPUT!DF289</f>
        <v>46.551724137931046</v>
      </c>
      <c r="CV390" s="96">
        <f>INPUT!DG289</f>
        <v>8.1000000000000014</v>
      </c>
      <c r="CW390" s="18">
        <f>INPUT!DH289</f>
        <v>-4.7058823529411598</v>
      </c>
      <c r="CX390" s="96">
        <f>INPUT!DI289</f>
        <v>10.700000000000001</v>
      </c>
      <c r="CY390" s="18">
        <f>INPUT!DJ289</f>
        <v>32.098765432098752</v>
      </c>
      <c r="CZ390" s="96">
        <f>INPUT!DK289</f>
        <v>13</v>
      </c>
      <c r="DA390" s="18">
        <f>INPUT!DL289</f>
        <v>21.495327102803728</v>
      </c>
      <c r="DB390" s="96">
        <f>INPUT!DM289</f>
        <v>6.3999999999999995</v>
      </c>
      <c r="DC390" s="18" t="str">
        <f>INPUT!DN289</f>
        <v>NM</v>
      </c>
      <c r="DD390" s="96">
        <f>INPUT!DO289</f>
        <v>8.3000000000000007</v>
      </c>
      <c r="DE390" s="18">
        <f>INPUT!DP289</f>
        <v>29.687500000000021</v>
      </c>
      <c r="DF390" s="96">
        <f>INPUT!DQ289</f>
        <v>8.2000000000000011</v>
      </c>
      <c r="DG390" s="18">
        <f>INPUT!DR289</f>
        <v>-1.2048192771084265</v>
      </c>
      <c r="DH390" s="96">
        <f>INPUT!DS289</f>
        <v>5.6</v>
      </c>
      <c r="DI390" s="18">
        <f>INPUT!DT289</f>
        <v>-31.707317073170749</v>
      </c>
      <c r="DJ390" s="96">
        <f>INPUT!DU289</f>
        <v>5.0999999999999996</v>
      </c>
      <c r="DK390" s="18">
        <f>INPUT!DV289</f>
        <v>-8.9285714285714306</v>
      </c>
      <c r="DL390" s="96">
        <f>INPUT!DW289</f>
        <v>6.2</v>
      </c>
      <c r="DM390" s="18">
        <f>INPUT!DX289</f>
        <v>21.568627450980404</v>
      </c>
      <c r="DN390" s="96">
        <f>INPUT!DY289</f>
        <v>6.3000000000000007</v>
      </c>
      <c r="DO390" s="18">
        <f>INPUT!DZ289</f>
        <v>1.6129032258064502</v>
      </c>
      <c r="DP390" s="96">
        <f>INPUT!EA289</f>
        <v>5.8</v>
      </c>
      <c r="DQ390" s="18">
        <f>INPUT!EB289</f>
        <v>-7.9365079365079527</v>
      </c>
      <c r="DR390" s="96">
        <f>INPUT!EC289</f>
        <v>3.3</v>
      </c>
      <c r="DS390" s="18">
        <f>INPUT!ED289</f>
        <v>-43.103448275862064</v>
      </c>
      <c r="DT390" s="96">
        <f>INPUT!EE289</f>
        <v>5.7</v>
      </c>
      <c r="DU390" s="18">
        <f>INPUT!EF289</f>
        <v>72.727272727272748</v>
      </c>
      <c r="DV390" s="96">
        <f>INPUT!EG289</f>
        <v>6.7</v>
      </c>
      <c r="DW390" s="18">
        <f>INPUT!EH289</f>
        <v>17.543859649122815</v>
      </c>
      <c r="DX390" s="96">
        <f>INPUT!EI289</f>
        <v>8.6</v>
      </c>
      <c r="DY390" s="18">
        <f>INPUT!EJ289</f>
        <v>28.358208955223873</v>
      </c>
      <c r="DZ390" s="96">
        <f>INPUT!EK289</f>
        <v>6.48</v>
      </c>
      <c r="EA390" s="18">
        <f>INPUT!EL289</f>
        <v>-24.651162790697668</v>
      </c>
      <c r="EB390" s="96">
        <f>INPUT!EM289</f>
        <v>6.48</v>
      </c>
      <c r="EC390" s="18">
        <f>INPUT!EN289</f>
        <v>0</v>
      </c>
      <c r="ED390" s="96">
        <f>INPUT!EO289</f>
        <v>6.48</v>
      </c>
      <c r="EE390" s="18">
        <f>INPUT!EP289</f>
        <v>0</v>
      </c>
      <c r="EF390" s="96">
        <f>INPUT!EQ289</f>
        <v>6.48</v>
      </c>
      <c r="EG390" s="18">
        <f>INPUT!ER289</f>
        <v>0</v>
      </c>
      <c r="EH390" s="18"/>
      <c r="EI390" s="96"/>
      <c r="EJ390" s="5"/>
      <c r="EK390" s="96">
        <f>INPUT!FD289</f>
        <v>440.1</v>
      </c>
      <c r="EL390" s="5" t="str">
        <f>INPUT!FE289</f>
        <v>NA</v>
      </c>
      <c r="EM390" s="96">
        <f>INPUT!FF289</f>
        <v>410.4</v>
      </c>
      <c r="EN390" s="5">
        <f>INPUT!FG289</f>
        <v>-6.7484662576687171</v>
      </c>
      <c r="EO390" s="96">
        <f>INPUT!FH289</f>
        <v>432.9</v>
      </c>
      <c r="EP390" s="5">
        <f>INPUT!FI289</f>
        <v>5.4824561403508776</v>
      </c>
      <c r="EQ390" s="96">
        <f>INPUT!FJ289</f>
        <v>353.7</v>
      </c>
      <c r="ER390" s="5">
        <f>INPUT!FK289</f>
        <v>-18.295218295218298</v>
      </c>
      <c r="ES390" s="96">
        <f>INPUT!FL289</f>
        <v>306.5</v>
      </c>
      <c r="ET390" s="5">
        <f>INPUT!FM289</f>
        <v>-13.344642352275937</v>
      </c>
      <c r="EU390" s="96">
        <f>INPUT!FN289</f>
        <v>213.49999999999994</v>
      </c>
      <c r="EV390" s="5">
        <f>INPUT!FO289</f>
        <v>-30.342577487765109</v>
      </c>
      <c r="EW390" s="96">
        <f>INPUT!FP289</f>
        <v>241.10000000000002</v>
      </c>
      <c r="EX390" s="5">
        <f>INPUT!FQ289</f>
        <v>12.927400468384121</v>
      </c>
      <c r="EY390" s="96">
        <f>INPUT!FR289</f>
        <v>71.100000000000009</v>
      </c>
      <c r="EZ390" s="5" t="str">
        <f>INPUT!FS289</f>
        <v>NM</v>
      </c>
      <c r="FA390" s="96">
        <f>INPUT!FT289</f>
        <v>97.9</v>
      </c>
      <c r="FB390" s="5">
        <f>INPUT!FU289</f>
        <v>37.693389592123758</v>
      </c>
      <c r="FC390" s="96">
        <f>INPUT!FV289</f>
        <v>76.800000000000011</v>
      </c>
      <c r="FD390" s="5">
        <f>INPUT!FW289</f>
        <v>-21.552604698672106</v>
      </c>
      <c r="FE390" s="96">
        <f>INPUT!FX289</f>
        <v>47.9</v>
      </c>
      <c r="FF390" s="5">
        <f>INPUT!FY289</f>
        <v>-37.63020833333335</v>
      </c>
      <c r="FG390" s="96">
        <f>INPUT!FZ289</f>
        <v>32.4</v>
      </c>
      <c r="FH390" s="5">
        <f>INPUT!GA289</f>
        <v>-32.359081419624211</v>
      </c>
      <c r="FI390" s="96">
        <f>INPUT!GB289</f>
        <v>40.299999999999997</v>
      </c>
      <c r="FJ390" s="5">
        <f>INPUT!GC289</f>
        <v>24.382716049382715</v>
      </c>
      <c r="FK390" s="96">
        <f>INPUT!GD289</f>
        <v>28.499999999999996</v>
      </c>
      <c r="FL390" s="5">
        <f>INPUT!GE289</f>
        <v>-29.280397022332505</v>
      </c>
      <c r="FM390" s="96">
        <f>INPUT!GF289</f>
        <v>23.4</v>
      </c>
      <c r="FN390" s="5">
        <f>INPUT!GG289</f>
        <v>-17.894736842105264</v>
      </c>
      <c r="FO390" s="96">
        <f>INPUT!GH289</f>
        <v>24.299999999999997</v>
      </c>
      <c r="FP390" s="5">
        <f>INPUT!GI289</f>
        <v>3.8461538461538325</v>
      </c>
      <c r="FQ390" s="96">
        <f>INPUT!GJ289</f>
        <v>25.92</v>
      </c>
      <c r="FR390" s="5">
        <f>INPUT!GK289</f>
        <v>6.6666666666666874</v>
      </c>
      <c r="FS390" s="96">
        <f>INPUT!GL289</f>
        <v>25.92</v>
      </c>
      <c r="FT390" s="5">
        <f>INPUT!GM289</f>
        <v>0</v>
      </c>
      <c r="FU390" s="96">
        <f>INPUT!GN289</f>
        <v>25.92</v>
      </c>
      <c r="FV390" s="5">
        <f>INPUT!GO289</f>
        <v>0</v>
      </c>
      <c r="FW390" s="96">
        <f>INPUT!GP289</f>
        <v>25.92</v>
      </c>
      <c r="FX390" s="5">
        <f>INPUT!GQ289</f>
        <v>0</v>
      </c>
      <c r="FY390" s="96">
        <f>INPUT!GR289</f>
        <v>25.92</v>
      </c>
      <c r="FZ390" s="5">
        <f>INPUT!GS289</f>
        <v>0</v>
      </c>
      <c r="GA390" s="5">
        <f>INPUT!GT289</f>
        <v>1.299136822423641</v>
      </c>
    </row>
    <row r="391" spans="1:183" ht="12.75" hidden="1" customHeight="1" outlineLevel="1" x14ac:dyDescent="0.2">
      <c r="A391" s="610"/>
      <c r="B391" s="96"/>
      <c r="C391" s="18"/>
      <c r="D391" s="96"/>
      <c r="E391" s="18"/>
      <c r="F391" s="96"/>
      <c r="G391" s="18"/>
      <c r="H391" s="96"/>
      <c r="I391" s="18"/>
      <c r="J391" s="96"/>
      <c r="K391" s="18"/>
      <c r="L391" s="96"/>
      <c r="M391" s="18"/>
      <c r="N391" s="96"/>
      <c r="O391" s="18"/>
      <c r="P391" s="96"/>
      <c r="Q391" s="18"/>
      <c r="R391" s="96"/>
      <c r="S391" s="18"/>
      <c r="T391" s="96"/>
      <c r="U391" s="18"/>
      <c r="V391" s="96"/>
      <c r="W391" s="18"/>
      <c r="X391" s="96"/>
      <c r="Y391" s="18"/>
      <c r="Z391" s="96"/>
      <c r="AA391" s="18"/>
      <c r="AB391" s="96"/>
      <c r="AC391" s="18"/>
      <c r="AD391" s="96"/>
      <c r="AE391" s="18"/>
      <c r="AF391" s="96"/>
      <c r="AG391" s="18"/>
      <c r="AH391" s="96"/>
      <c r="AI391" s="18"/>
      <c r="AJ391" s="96"/>
      <c r="AK391" s="18"/>
      <c r="AL391" s="96"/>
      <c r="AM391" s="18"/>
      <c r="AN391" s="96"/>
      <c r="AO391" s="18"/>
      <c r="AP391" s="96"/>
      <c r="AQ391" s="18"/>
      <c r="AR391" s="96"/>
      <c r="AS391" s="18"/>
      <c r="AT391" s="96"/>
      <c r="AU391" s="18"/>
      <c r="AV391" s="96"/>
      <c r="AW391" s="18"/>
      <c r="AX391" s="96"/>
      <c r="AY391" s="18"/>
      <c r="AZ391" s="96"/>
      <c r="BA391" s="18"/>
      <c r="BB391" s="96"/>
      <c r="BC391" s="18"/>
      <c r="BD391" s="96"/>
      <c r="BE391" s="18"/>
      <c r="BF391" s="96"/>
      <c r="BG391" s="18"/>
      <c r="BH391" s="96"/>
      <c r="BI391" s="18"/>
      <c r="BJ391" s="96"/>
      <c r="BK391" s="18"/>
      <c r="BL391" s="96"/>
      <c r="BM391" s="18"/>
      <c r="BN391" s="96"/>
      <c r="BO391" s="18"/>
      <c r="BP391" s="96"/>
      <c r="BQ391" s="18"/>
      <c r="BR391" s="96"/>
      <c r="BS391" s="18"/>
      <c r="BT391" s="96"/>
      <c r="BU391" s="18"/>
      <c r="BV391" s="96"/>
      <c r="BW391" s="18"/>
      <c r="BX391" s="96"/>
      <c r="BY391" s="18"/>
      <c r="BZ391" s="96"/>
      <c r="CA391" s="18"/>
      <c r="CB391" s="96"/>
      <c r="CC391" s="18"/>
      <c r="CD391" s="96"/>
      <c r="CE391" s="18"/>
      <c r="CF391" s="96"/>
      <c r="CG391" s="18"/>
      <c r="CH391" s="96"/>
      <c r="CI391" s="18"/>
      <c r="CJ391" s="96"/>
      <c r="CK391" s="18"/>
      <c r="CL391" s="96"/>
      <c r="CM391" s="18"/>
      <c r="CN391" s="96"/>
      <c r="CO391" s="18"/>
      <c r="CP391" s="96"/>
      <c r="CQ391" s="18"/>
      <c r="CR391" s="96"/>
      <c r="CS391" s="18"/>
      <c r="CT391" s="96"/>
      <c r="CU391" s="18"/>
      <c r="CV391" s="96"/>
      <c r="CW391" s="18"/>
      <c r="CX391" s="96"/>
      <c r="CY391" s="18"/>
      <c r="CZ391" s="96"/>
      <c r="DA391" s="18"/>
      <c r="DB391" s="96"/>
      <c r="DC391" s="18"/>
      <c r="DD391" s="96"/>
      <c r="DE391" s="18"/>
      <c r="DF391" s="96"/>
      <c r="DG391" s="18"/>
      <c r="DH391" s="96"/>
      <c r="DI391" s="18"/>
      <c r="DJ391" s="96"/>
      <c r="DK391" s="18"/>
      <c r="DL391" s="96"/>
      <c r="DM391" s="18"/>
      <c r="DN391" s="96"/>
      <c r="DO391" s="18"/>
      <c r="DP391" s="96"/>
      <c r="DQ391" s="18"/>
      <c r="DR391" s="96"/>
      <c r="DS391" s="18"/>
      <c r="DT391" s="96"/>
      <c r="DU391" s="18"/>
      <c r="DV391" s="96"/>
      <c r="DW391" s="18"/>
      <c r="DX391" s="96"/>
      <c r="DY391" s="18"/>
      <c r="DZ391" s="96"/>
      <c r="EA391" s="18"/>
      <c r="EB391" s="96"/>
      <c r="EC391" s="18"/>
      <c r="ED391" s="96"/>
      <c r="EE391" s="18"/>
      <c r="EF391" s="96"/>
      <c r="EG391" s="18"/>
      <c r="EH391" s="18"/>
      <c r="EI391" s="96"/>
      <c r="EJ391" s="5"/>
      <c r="EK391" s="96"/>
      <c r="EL391" s="5"/>
      <c r="EM391" s="96"/>
      <c r="EN391" s="5"/>
      <c r="EO391" s="96"/>
      <c r="EP391" s="5"/>
      <c r="EQ391" s="96"/>
      <c r="ER391" s="5"/>
      <c r="ES391" s="96"/>
      <c r="ET391" s="5"/>
      <c r="EU391" s="96"/>
      <c r="EV391" s="5"/>
      <c r="EW391" s="96"/>
      <c r="EX391" s="5"/>
      <c r="EY391" s="96"/>
      <c r="EZ391" s="5"/>
      <c r="FA391" s="96"/>
      <c r="FB391" s="5"/>
      <c r="FC391" s="96"/>
      <c r="FD391" s="5"/>
      <c r="FE391" s="96"/>
      <c r="FF391" s="5"/>
      <c r="FG391" s="96"/>
      <c r="FH391" s="5"/>
      <c r="FI391" s="96"/>
      <c r="FJ391" s="5"/>
      <c r="FK391" s="96"/>
      <c r="FL391" s="5"/>
      <c r="FM391" s="96"/>
      <c r="FN391" s="5"/>
      <c r="FO391" s="96"/>
      <c r="FP391" s="5"/>
      <c r="FQ391" s="96"/>
      <c r="FR391" s="5"/>
      <c r="FS391" s="96"/>
      <c r="FT391" s="5"/>
      <c r="FU391" s="96"/>
      <c r="FV391" s="5"/>
      <c r="FW391" s="96"/>
      <c r="FX391" s="5"/>
      <c r="FY391" s="96"/>
      <c r="FZ391" s="5"/>
      <c r="GA391" s="5"/>
    </row>
    <row r="392" spans="1:183" ht="12.75" hidden="1" customHeight="1" outlineLevel="1" x14ac:dyDescent="0.2">
      <c r="A392" s="610" t="str">
        <f>INPUT!B291</f>
        <v>EXPENSES</v>
      </c>
      <c r="B392" s="96"/>
      <c r="C392" s="18"/>
      <c r="D392" s="96"/>
      <c r="E392" s="18"/>
      <c r="F392" s="96"/>
      <c r="G392" s="18"/>
      <c r="H392" s="96"/>
      <c r="I392" s="18"/>
      <c r="J392" s="96"/>
      <c r="K392" s="18"/>
      <c r="L392" s="96"/>
      <c r="M392" s="18"/>
      <c r="N392" s="96"/>
      <c r="O392" s="18"/>
      <c r="P392" s="96"/>
      <c r="Q392" s="18"/>
      <c r="R392" s="96"/>
      <c r="S392" s="18"/>
      <c r="T392" s="96"/>
      <c r="U392" s="18"/>
      <c r="V392" s="96"/>
      <c r="W392" s="18"/>
      <c r="X392" s="96"/>
      <c r="Y392" s="18"/>
      <c r="Z392" s="96"/>
      <c r="AA392" s="18"/>
      <c r="AB392" s="96"/>
      <c r="AC392" s="18"/>
      <c r="AD392" s="96"/>
      <c r="AE392" s="18"/>
      <c r="AF392" s="96"/>
      <c r="AG392" s="18"/>
      <c r="AH392" s="96"/>
      <c r="AI392" s="18"/>
      <c r="AJ392" s="96"/>
      <c r="AK392" s="18"/>
      <c r="AL392" s="96"/>
      <c r="AM392" s="18"/>
      <c r="AN392" s="96"/>
      <c r="AO392" s="18"/>
      <c r="AP392" s="96"/>
      <c r="AQ392" s="18"/>
      <c r="AR392" s="96"/>
      <c r="AS392" s="18"/>
      <c r="AT392" s="96"/>
      <c r="AU392" s="18"/>
      <c r="AV392" s="96"/>
      <c r="AW392" s="18"/>
      <c r="AX392" s="96"/>
      <c r="AY392" s="18"/>
      <c r="AZ392" s="96"/>
      <c r="BA392" s="18"/>
      <c r="BB392" s="96"/>
      <c r="BC392" s="18"/>
      <c r="BD392" s="96"/>
      <c r="BE392" s="18"/>
      <c r="BF392" s="96"/>
      <c r="BG392" s="18"/>
      <c r="BH392" s="96"/>
      <c r="BI392" s="18"/>
      <c r="BJ392" s="96"/>
      <c r="BK392" s="18"/>
      <c r="BL392" s="96"/>
      <c r="BM392" s="18"/>
      <c r="BN392" s="96"/>
      <c r="BO392" s="18"/>
      <c r="BP392" s="96"/>
      <c r="BQ392" s="18"/>
      <c r="BR392" s="96"/>
      <c r="BS392" s="18"/>
      <c r="BT392" s="96"/>
      <c r="BU392" s="18"/>
      <c r="BV392" s="96"/>
      <c r="BW392" s="18"/>
      <c r="BX392" s="96"/>
      <c r="BY392" s="18"/>
      <c r="BZ392" s="96"/>
      <c r="CA392" s="18"/>
      <c r="CB392" s="96"/>
      <c r="CC392" s="18"/>
      <c r="CD392" s="96"/>
      <c r="CE392" s="18"/>
      <c r="CF392" s="96"/>
      <c r="CG392" s="18"/>
      <c r="CH392" s="96"/>
      <c r="CI392" s="18"/>
      <c r="CJ392" s="96"/>
      <c r="CK392" s="18"/>
      <c r="CL392" s="96"/>
      <c r="CM392" s="18"/>
      <c r="CN392" s="96"/>
      <c r="CO392" s="18"/>
      <c r="CP392" s="96"/>
      <c r="CQ392" s="18"/>
      <c r="CR392" s="96"/>
      <c r="CS392" s="18"/>
      <c r="CT392" s="96"/>
      <c r="CU392" s="18"/>
      <c r="CV392" s="96"/>
      <c r="CW392" s="18"/>
      <c r="CX392" s="96"/>
      <c r="CY392" s="18"/>
      <c r="CZ392" s="96"/>
      <c r="DA392" s="18"/>
      <c r="DB392" s="96"/>
      <c r="DC392" s="18"/>
      <c r="DD392" s="96"/>
      <c r="DE392" s="18"/>
      <c r="DF392" s="96"/>
      <c r="DG392" s="18"/>
      <c r="DH392" s="96"/>
      <c r="DI392" s="18"/>
      <c r="DJ392" s="96"/>
      <c r="DK392" s="18"/>
      <c r="DL392" s="96"/>
      <c r="DM392" s="18"/>
      <c r="DN392" s="96"/>
      <c r="DO392" s="18"/>
      <c r="DP392" s="96"/>
      <c r="DQ392" s="18"/>
      <c r="DR392" s="96"/>
      <c r="DS392" s="18"/>
      <c r="DT392" s="96"/>
      <c r="DU392" s="18"/>
      <c r="DV392" s="96"/>
      <c r="DW392" s="18"/>
      <c r="DX392" s="96"/>
      <c r="DY392" s="18"/>
      <c r="DZ392" s="96"/>
      <c r="EA392" s="18"/>
      <c r="EB392" s="96"/>
      <c r="EC392" s="18"/>
      <c r="ED392" s="96"/>
      <c r="EE392" s="18"/>
      <c r="EF392" s="96"/>
      <c r="EG392" s="18"/>
      <c r="EH392" s="18"/>
      <c r="EI392" s="96"/>
      <c r="EJ392" s="5"/>
      <c r="EK392" s="96"/>
      <c r="EL392" s="5"/>
      <c r="EM392" s="96"/>
      <c r="EN392" s="5"/>
      <c r="EO392" s="96"/>
      <c r="EP392" s="5"/>
      <c r="EQ392" s="96"/>
      <c r="ER392" s="5"/>
      <c r="ES392" s="96"/>
      <c r="ET392" s="5"/>
      <c r="EU392" s="96"/>
      <c r="EV392" s="5"/>
      <c r="EW392" s="96"/>
      <c r="EX392" s="5"/>
      <c r="EY392" s="96"/>
      <c r="EZ392" s="5"/>
      <c r="FA392" s="96"/>
      <c r="FB392" s="5"/>
      <c r="FC392" s="96"/>
      <c r="FD392" s="5"/>
      <c r="FE392" s="96"/>
      <c r="FF392" s="5"/>
      <c r="FG392" s="96"/>
      <c r="FH392" s="5"/>
      <c r="FI392" s="96"/>
      <c r="FJ392" s="5"/>
      <c r="FK392" s="96"/>
      <c r="FL392" s="5"/>
      <c r="FM392" s="96"/>
      <c r="FN392" s="5"/>
      <c r="FO392" s="96"/>
      <c r="FP392" s="5"/>
      <c r="FQ392" s="96"/>
      <c r="FR392" s="5"/>
      <c r="FS392" s="96"/>
      <c r="FT392" s="5"/>
      <c r="FU392" s="96"/>
      <c r="FV392" s="5"/>
      <c r="FW392" s="96"/>
      <c r="FX392" s="5"/>
      <c r="FY392" s="96"/>
      <c r="FZ392" s="5"/>
      <c r="GA392" s="5"/>
    </row>
    <row r="393" spans="1:183" ht="12.75" hidden="1" customHeight="1" outlineLevel="1" x14ac:dyDescent="0.2">
      <c r="A393" s="612" t="str">
        <f>INPUT!B292</f>
        <v>Benefits</v>
      </c>
      <c r="B393" s="96">
        <f>INPUT!M292</f>
        <v>44.5</v>
      </c>
      <c r="C393" s="18" t="str">
        <f>INPUT!N292</f>
        <v>NM</v>
      </c>
      <c r="D393" s="96">
        <f>INPUT!O292</f>
        <v>36.700000000000003</v>
      </c>
      <c r="E393" s="18">
        <f>INPUT!P292</f>
        <v>-17.528089887640441</v>
      </c>
      <c r="F393" s="96">
        <f>INPUT!Q292</f>
        <v>43.7</v>
      </c>
      <c r="G393" s="18">
        <f>INPUT!R292</f>
        <v>19.073569482288821</v>
      </c>
      <c r="H393" s="96">
        <f>INPUT!S292</f>
        <v>36.200000000000003</v>
      </c>
      <c r="I393" s="18">
        <f>INPUT!T292</f>
        <v>-17.162471395881006</v>
      </c>
      <c r="J393" s="96">
        <f>INPUT!U292</f>
        <v>39.200000000000003</v>
      </c>
      <c r="K393" s="18">
        <f>INPUT!V292</f>
        <v>8.287292817679548</v>
      </c>
      <c r="L393" s="96">
        <f>INPUT!W292</f>
        <v>41.9</v>
      </c>
      <c r="M393" s="18">
        <f>INPUT!X292</f>
        <v>6.8877551020408045</v>
      </c>
      <c r="N393" s="96">
        <f>INPUT!Y292</f>
        <v>35.4</v>
      </c>
      <c r="O393" s="18">
        <f>INPUT!Z292</f>
        <v>-15.513126491646778</v>
      </c>
      <c r="P393" s="96">
        <f>INPUT!AA292</f>
        <v>40.6</v>
      </c>
      <c r="Q393" s="18">
        <f>INPUT!AB292</f>
        <v>14.689265536723163</v>
      </c>
      <c r="R393" s="96">
        <f>INPUT!AC292</f>
        <v>36.6</v>
      </c>
      <c r="S393" s="18">
        <f>INPUT!AD292</f>
        <v>-9.8522167487684715</v>
      </c>
      <c r="T393" s="96">
        <f>INPUT!AE292</f>
        <v>29</v>
      </c>
      <c r="U393" s="18">
        <f>INPUT!AF292</f>
        <v>-20.765027322404372</v>
      </c>
      <c r="V393" s="96">
        <f>INPUT!AG292</f>
        <v>39.700000000000003</v>
      </c>
      <c r="W393" s="18">
        <f>INPUT!AH292</f>
        <v>36.89655172413795</v>
      </c>
      <c r="X393" s="96">
        <f>INPUT!AI292</f>
        <v>37</v>
      </c>
      <c r="Y393" s="18">
        <f>INPUT!AJ292</f>
        <v>-6.8010075566750654</v>
      </c>
      <c r="Z393" s="96">
        <f>INPUT!AK292</f>
        <v>33</v>
      </c>
      <c r="AA393" s="18">
        <f>INPUT!AL292</f>
        <v>-10.810810810810811</v>
      </c>
      <c r="AB393" s="96">
        <f>INPUT!AM292</f>
        <v>29.4</v>
      </c>
      <c r="AC393" s="18">
        <f>INPUT!AN292</f>
        <v>-10.909090909090914</v>
      </c>
      <c r="AD393" s="96">
        <f>INPUT!AO292</f>
        <v>26.7</v>
      </c>
      <c r="AE393" s="18">
        <f>INPUT!AP292</f>
        <v>-9.1836734693877542</v>
      </c>
      <c r="AF393" s="96">
        <f>INPUT!AQ292</f>
        <v>33.1</v>
      </c>
      <c r="AG393" s="18">
        <f>INPUT!AR292</f>
        <v>23.970037453183537</v>
      </c>
      <c r="AH393" s="96">
        <f>INPUT!AS292</f>
        <v>31.4</v>
      </c>
      <c r="AI393" s="18">
        <f>INPUT!AT292</f>
        <v>-5.1359516616314327</v>
      </c>
      <c r="AJ393" s="96">
        <f>INPUT!AU292</f>
        <v>30.6</v>
      </c>
      <c r="AK393" s="18">
        <f>INPUT!AV292</f>
        <v>-2.547770700636931</v>
      </c>
      <c r="AL393" s="96">
        <f>INPUT!AW292</f>
        <v>27.3</v>
      </c>
      <c r="AM393" s="18">
        <f>INPUT!AX292</f>
        <v>-10.784313725490202</v>
      </c>
      <c r="AN393" s="96">
        <f>INPUT!AY292</f>
        <v>31.2</v>
      </c>
      <c r="AO393" s="18">
        <f>INPUT!AZ292</f>
        <v>14.285714285714279</v>
      </c>
      <c r="AP393" s="96">
        <f>INPUT!BA292</f>
        <v>31.6</v>
      </c>
      <c r="AQ393" s="18">
        <f>INPUT!BB292</f>
        <v>1.2820512820512997</v>
      </c>
      <c r="AR393" s="96">
        <f>INPUT!BC292</f>
        <v>30.6</v>
      </c>
      <c r="AS393" s="18">
        <f>INPUT!BD292</f>
        <v>-3.1645569620253111</v>
      </c>
      <c r="AT393" s="96">
        <f>INPUT!BE292</f>
        <v>25.5</v>
      </c>
      <c r="AU393" s="18">
        <f>INPUT!BF292</f>
        <v>-16.666666666666675</v>
      </c>
      <c r="AV393" s="96">
        <f>INPUT!BG292</f>
        <v>27.5</v>
      </c>
      <c r="AW393" s="18">
        <f>INPUT!BH292</f>
        <v>7.8431372549019551</v>
      </c>
      <c r="AX393" s="96">
        <f>INPUT!BI292</f>
        <v>28.2</v>
      </c>
      <c r="AY393" s="18">
        <f>INPUT!BJ292</f>
        <v>2.5454545454545396</v>
      </c>
      <c r="AZ393" s="96">
        <f>INPUT!BK292</f>
        <v>28</v>
      </c>
      <c r="BA393" s="18">
        <f>INPUT!BL292</f>
        <v>-0.70921985815602939</v>
      </c>
      <c r="BB393" s="96">
        <f>INPUT!BM292</f>
        <v>27.1</v>
      </c>
      <c r="BC393" s="18">
        <f>INPUT!BN292</f>
        <v>-3.214285714285714</v>
      </c>
      <c r="BD393" s="96">
        <f>INPUT!BO292</f>
        <v>24.5</v>
      </c>
      <c r="BE393" s="18">
        <f>INPUT!BP292</f>
        <v>-9.5940959409594129</v>
      </c>
      <c r="BF393" s="96">
        <f>INPUT!BQ292</f>
        <v>22.8</v>
      </c>
      <c r="BG393" s="18">
        <f>INPUT!BR292</f>
        <v>-6.938775510204076</v>
      </c>
      <c r="BH393" s="96">
        <f>INPUT!BS292</f>
        <v>23</v>
      </c>
      <c r="BI393" s="18">
        <f>INPUT!BT292</f>
        <v>0.87719298245614308</v>
      </c>
      <c r="BJ393" s="96">
        <f>INPUT!BU292</f>
        <v>24.1</v>
      </c>
      <c r="BK393" s="18">
        <f>INPUT!BV292</f>
        <v>4.7826086956521907</v>
      </c>
      <c r="BL393" s="96">
        <f>INPUT!BW292</f>
        <v>22</v>
      </c>
      <c r="BM393" s="18">
        <f>INPUT!BX292</f>
        <v>-8.7136929460580941</v>
      </c>
      <c r="BN393" s="96">
        <f>INPUT!BY292</f>
        <v>0</v>
      </c>
      <c r="BO393" s="18" t="str">
        <f>INPUT!BZ292</f>
        <v>NM</v>
      </c>
      <c r="BP393" s="96">
        <f>INPUT!CA292</f>
        <v>0</v>
      </c>
      <c r="BQ393" s="18" t="str">
        <f>INPUT!CB292</f>
        <v>NA</v>
      </c>
      <c r="BR393" s="96">
        <f>INPUT!CC292</f>
        <v>0</v>
      </c>
      <c r="BS393" s="18" t="str">
        <f>INPUT!CD292</f>
        <v>NA</v>
      </c>
      <c r="BT393" s="96">
        <f>INPUT!CE292</f>
        <v>0</v>
      </c>
      <c r="BU393" s="18" t="str">
        <f>INPUT!CF292</f>
        <v>NA</v>
      </c>
      <c r="BV393" s="96">
        <f>INPUT!CG292</f>
        <v>0</v>
      </c>
      <c r="BW393" s="18" t="str">
        <f>INPUT!CH292</f>
        <v>NA</v>
      </c>
      <c r="BX393" s="96">
        <f>INPUT!CI292</f>
        <v>0</v>
      </c>
      <c r="BY393" s="18" t="str">
        <f>INPUT!CJ292</f>
        <v>NA</v>
      </c>
      <c r="BZ393" s="96">
        <f>INPUT!CK292</f>
        <v>0</v>
      </c>
      <c r="CA393" s="18" t="str">
        <f>INPUT!CL292</f>
        <v>NA</v>
      </c>
      <c r="CB393" s="96">
        <f>INPUT!CM292</f>
        <v>0</v>
      </c>
      <c r="CC393" s="18" t="str">
        <f>INPUT!CN292</f>
        <v>NA</v>
      </c>
      <c r="CD393" s="96">
        <f>INPUT!CO292</f>
        <v>0</v>
      </c>
      <c r="CE393" s="18" t="str">
        <f>INPUT!CP292</f>
        <v>NA</v>
      </c>
      <c r="CF393" s="96">
        <f>INPUT!CQ292</f>
        <v>0</v>
      </c>
      <c r="CG393" s="18" t="str">
        <f>INPUT!CR292</f>
        <v>NA</v>
      </c>
      <c r="CH393" s="96">
        <f>INPUT!CS292</f>
        <v>0</v>
      </c>
      <c r="CI393" s="18" t="str">
        <f>INPUT!CT292</f>
        <v>NA</v>
      </c>
      <c r="CJ393" s="96">
        <f>INPUT!CU292</f>
        <v>0</v>
      </c>
      <c r="CK393" s="18" t="str">
        <f>INPUT!CV292</f>
        <v>NA</v>
      </c>
      <c r="CL393" s="96">
        <f>INPUT!CW292</f>
        <v>0</v>
      </c>
      <c r="CM393" s="18" t="str">
        <f>INPUT!CX292</f>
        <v>NA</v>
      </c>
      <c r="CN393" s="96">
        <f>INPUT!CY292</f>
        <v>0</v>
      </c>
      <c r="CO393" s="18" t="str">
        <f>INPUT!CZ292</f>
        <v>NA</v>
      </c>
      <c r="CP393" s="96">
        <f>INPUT!DA292</f>
        <v>0</v>
      </c>
      <c r="CQ393" s="18" t="str">
        <f>INPUT!DB292</f>
        <v>NA</v>
      </c>
      <c r="CR393" s="96">
        <f>INPUT!DC292</f>
        <v>0</v>
      </c>
      <c r="CS393" s="18" t="str">
        <f>INPUT!DD292</f>
        <v>NA</v>
      </c>
      <c r="CT393" s="96">
        <f>INPUT!DE292</f>
        <v>0</v>
      </c>
      <c r="CU393" s="18" t="str">
        <f>INPUT!DF292</f>
        <v>NA</v>
      </c>
      <c r="CV393" s="96">
        <f>INPUT!DG292</f>
        <v>0</v>
      </c>
      <c r="CW393" s="18" t="str">
        <f>INPUT!DH292</f>
        <v>NA</v>
      </c>
      <c r="CX393" s="96">
        <f>INPUT!DI292</f>
        <v>0</v>
      </c>
      <c r="CY393" s="18" t="str">
        <f>INPUT!DJ292</f>
        <v>NA</v>
      </c>
      <c r="CZ393" s="96">
        <f>INPUT!DK292</f>
        <v>0</v>
      </c>
      <c r="DA393" s="18" t="str">
        <f>INPUT!DL292</f>
        <v>NA</v>
      </c>
      <c r="DB393" s="96">
        <f>INPUT!DM292</f>
        <v>0</v>
      </c>
      <c r="DC393" s="18" t="str">
        <f>INPUT!DN292</f>
        <v>NA</v>
      </c>
      <c r="DD393" s="96">
        <f>INPUT!DO292</f>
        <v>0</v>
      </c>
      <c r="DE393" s="18" t="str">
        <f>INPUT!DP292</f>
        <v>NA</v>
      </c>
      <c r="DF393" s="96">
        <f>INPUT!DQ292</f>
        <v>0</v>
      </c>
      <c r="DG393" s="18" t="str">
        <f>INPUT!DR292</f>
        <v>NA</v>
      </c>
      <c r="DH393" s="96">
        <f>INPUT!DS292</f>
        <v>0</v>
      </c>
      <c r="DI393" s="18" t="str">
        <f>INPUT!DT292</f>
        <v>NA</v>
      </c>
      <c r="DJ393" s="96">
        <f>INPUT!DU292</f>
        <v>0</v>
      </c>
      <c r="DK393" s="18" t="str">
        <f>INPUT!DV292</f>
        <v>NA</v>
      </c>
      <c r="DL393" s="96">
        <f>INPUT!DW292</f>
        <v>0</v>
      </c>
      <c r="DM393" s="18" t="str">
        <f>INPUT!DX292</f>
        <v>NA</v>
      </c>
      <c r="DN393" s="96">
        <f>INPUT!DY292</f>
        <v>0</v>
      </c>
      <c r="DO393" s="18" t="str">
        <f>INPUT!DZ292</f>
        <v>NA</v>
      </c>
      <c r="DP393" s="96">
        <f>INPUT!EA292</f>
        <v>0</v>
      </c>
      <c r="DQ393" s="18" t="str">
        <f>INPUT!EB292</f>
        <v>NA</v>
      </c>
      <c r="DR393" s="96">
        <f>INPUT!EC292</f>
        <v>0</v>
      </c>
      <c r="DS393" s="18" t="str">
        <f>INPUT!ED292</f>
        <v>NA</v>
      </c>
      <c r="DT393" s="96">
        <f>INPUT!EE292</f>
        <v>0</v>
      </c>
      <c r="DU393" s="18" t="str">
        <f>INPUT!EF292</f>
        <v>NA</v>
      </c>
      <c r="DV393" s="96">
        <f>INPUT!EG292</f>
        <v>0</v>
      </c>
      <c r="DW393" s="18" t="str">
        <f>INPUT!EH292</f>
        <v>NA</v>
      </c>
      <c r="DX393" s="96">
        <f>INPUT!EI292</f>
        <v>0</v>
      </c>
      <c r="DY393" s="18" t="str">
        <f>INPUT!EJ292</f>
        <v>NA</v>
      </c>
      <c r="DZ393" s="96">
        <f>INPUT!EK292</f>
        <v>0</v>
      </c>
      <c r="EA393" s="18" t="str">
        <f>INPUT!EL292</f>
        <v>NA</v>
      </c>
      <c r="EB393" s="96">
        <f>INPUT!EM292</f>
        <v>0</v>
      </c>
      <c r="EC393" s="18" t="str">
        <f>INPUT!EN292</f>
        <v>NA</v>
      </c>
      <c r="ED393" s="96">
        <f>INPUT!EO292</f>
        <v>0</v>
      </c>
      <c r="EE393" s="18" t="str">
        <f>INPUT!EP292</f>
        <v>NA</v>
      </c>
      <c r="EF393" s="96">
        <f>INPUT!EQ292</f>
        <v>0</v>
      </c>
      <c r="EG393" s="18" t="str">
        <f>INPUT!ER292</f>
        <v>NA</v>
      </c>
      <c r="EH393" s="18"/>
      <c r="EI393" s="96"/>
      <c r="EJ393" s="5"/>
      <c r="EK393" s="96">
        <f>INPUT!FD292</f>
        <v>161.10000000000002</v>
      </c>
      <c r="EL393" s="5" t="str">
        <f>INPUT!FE292</f>
        <v>NA</v>
      </c>
      <c r="EM393" s="96">
        <f>INPUT!FF292</f>
        <v>157.10000000000002</v>
      </c>
      <c r="EN393" s="5">
        <f>INPUT!FG292</f>
        <v>-2.4829298572315306</v>
      </c>
      <c r="EO393" s="96">
        <f>INPUT!FH292</f>
        <v>142.30000000000001</v>
      </c>
      <c r="EP393" s="5">
        <f>INPUT!FI292</f>
        <v>-9.4207511139401738</v>
      </c>
      <c r="EQ393" s="96">
        <f>INPUT!FJ292</f>
        <v>122.19999999999999</v>
      </c>
      <c r="ER393" s="5">
        <f>INPUT!FK292</f>
        <v>-14.125087842586105</v>
      </c>
      <c r="ES393" s="96">
        <f>INPUT!FL292</f>
        <v>120.5</v>
      </c>
      <c r="ET393" s="5">
        <f>INPUT!FM292</f>
        <v>-1.3911620294598914</v>
      </c>
      <c r="EU393" s="96">
        <f>INPUT!FN292</f>
        <v>115.2</v>
      </c>
      <c r="EV393" s="5">
        <f>INPUT!FO292</f>
        <v>-4.3983402489626506</v>
      </c>
      <c r="EW393" s="96">
        <f>INPUT!FP292</f>
        <v>107.80000000000001</v>
      </c>
      <c r="EX393" s="5">
        <f>INPUT!FQ292</f>
        <v>-6.4236111111111054</v>
      </c>
      <c r="EY393" s="96">
        <f>INPUT!FR292</f>
        <v>0</v>
      </c>
      <c r="EZ393" s="5" t="str">
        <f>INPUT!FS292</f>
        <v>NM</v>
      </c>
      <c r="FA393" s="96">
        <f>INPUT!FT292</f>
        <v>0</v>
      </c>
      <c r="FB393" s="5" t="str">
        <f>INPUT!FU292</f>
        <v>NA</v>
      </c>
      <c r="FC393" s="96">
        <f>INPUT!FV292</f>
        <v>0</v>
      </c>
      <c r="FD393" s="5" t="str">
        <f>INPUT!FW292</f>
        <v>NA</v>
      </c>
      <c r="FE393" s="96">
        <f>INPUT!FX292</f>
        <v>0</v>
      </c>
      <c r="FF393" s="5" t="str">
        <f>INPUT!FY292</f>
        <v>NA</v>
      </c>
      <c r="FG393" s="96">
        <f>INPUT!FZ292</f>
        <v>0</v>
      </c>
      <c r="FH393" s="5" t="str">
        <f>INPUT!GA292</f>
        <v>NA</v>
      </c>
      <c r="FI393" s="96">
        <f>INPUT!GB292</f>
        <v>0</v>
      </c>
      <c r="FJ393" s="5" t="str">
        <f>INPUT!GC292</f>
        <v>NA</v>
      </c>
      <c r="FK393" s="96">
        <f>INPUT!GD292</f>
        <v>0</v>
      </c>
      <c r="FL393" s="5" t="str">
        <f>INPUT!GE292</f>
        <v>NA</v>
      </c>
      <c r="FM393" s="96">
        <f>INPUT!GF292</f>
        <v>0</v>
      </c>
      <c r="FN393" s="5" t="str">
        <f>INPUT!GG292</f>
        <v>NA</v>
      </c>
      <c r="FO393" s="96">
        <f>INPUT!GH292</f>
        <v>0</v>
      </c>
      <c r="FP393" s="5" t="str">
        <f>INPUT!GI292</f>
        <v>NA</v>
      </c>
      <c r="FQ393" s="96">
        <f>INPUT!GJ292</f>
        <v>0</v>
      </c>
      <c r="FR393" s="5" t="str">
        <f>INPUT!GK292</f>
        <v>NA</v>
      </c>
      <c r="FS393" s="96">
        <f>INPUT!GL292</f>
        <v>0</v>
      </c>
      <c r="FT393" s="5" t="str">
        <f>INPUT!GM292</f>
        <v>NA</v>
      </c>
      <c r="FU393" s="96">
        <f>INPUT!GN292</f>
        <v>0</v>
      </c>
      <c r="FV393" s="5" t="str">
        <f>INPUT!GO292</f>
        <v>NA</v>
      </c>
      <c r="FW393" s="96">
        <f>INPUT!GP292</f>
        <v>0</v>
      </c>
      <c r="FX393" s="5" t="str">
        <f>INPUT!GQ292</f>
        <v>NA</v>
      </c>
      <c r="FY393" s="96">
        <f>INPUT!GR292</f>
        <v>0</v>
      </c>
      <c r="FZ393" s="5" t="str">
        <f>INPUT!GS292</f>
        <v>NA</v>
      </c>
      <c r="GA393" s="5" t="str">
        <f>INPUT!GT292</f>
        <v>NA</v>
      </c>
    </row>
    <row r="394" spans="1:183" ht="12.75" hidden="1" customHeight="1" outlineLevel="1" x14ac:dyDescent="0.2">
      <c r="A394" s="612" t="str">
        <f>INPUT!B293</f>
        <v xml:space="preserve">Commissions </v>
      </c>
      <c r="B394" s="96">
        <f>INPUT!M293</f>
        <v>1</v>
      </c>
      <c r="C394" s="18" t="str">
        <f>INPUT!N293</f>
        <v>NM</v>
      </c>
      <c r="D394" s="96">
        <f>INPUT!O293</f>
        <v>1.1000000000000001</v>
      </c>
      <c r="E394" s="18">
        <f>INPUT!P293</f>
        <v>10.000000000000009</v>
      </c>
      <c r="F394" s="96">
        <f>INPUT!Q293</f>
        <v>0.9</v>
      </c>
      <c r="G394" s="18">
        <f>INPUT!R293</f>
        <v>-18.181818181818187</v>
      </c>
      <c r="H394" s="96">
        <f>INPUT!S293</f>
        <v>0.1</v>
      </c>
      <c r="I394" s="18" t="str">
        <f>INPUT!T293</f>
        <v>NM</v>
      </c>
      <c r="J394" s="96">
        <f>INPUT!U293</f>
        <v>3.6</v>
      </c>
      <c r="K394" s="18" t="str">
        <f>INPUT!V293</f>
        <v>NM</v>
      </c>
      <c r="L394" s="96">
        <f>INPUT!W293</f>
        <v>4.0999999999999996</v>
      </c>
      <c r="M394" s="18">
        <f>INPUT!X293</f>
        <v>13.888888888888884</v>
      </c>
      <c r="N394" s="96">
        <f>INPUT!Y293</f>
        <v>1.5</v>
      </c>
      <c r="O394" s="18" t="str">
        <f>INPUT!Z293</f>
        <v>NM</v>
      </c>
      <c r="P394" s="96">
        <f>INPUT!AA293</f>
        <v>1.6</v>
      </c>
      <c r="Q394" s="18">
        <f>INPUT!AB293</f>
        <v>6.6666666666666652</v>
      </c>
      <c r="R394" s="96">
        <f>INPUT!AC293</f>
        <v>3.6</v>
      </c>
      <c r="S394" s="18" t="str">
        <f>INPUT!AD293</f>
        <v>NM</v>
      </c>
      <c r="T394" s="96">
        <f>INPUT!AE293</f>
        <v>1.8</v>
      </c>
      <c r="U394" s="18">
        <f>INPUT!AF293</f>
        <v>-50</v>
      </c>
      <c r="V394" s="96">
        <f>INPUT!AG293</f>
        <v>0.2</v>
      </c>
      <c r="W394" s="18" t="str">
        <f>INPUT!AH293</f>
        <v>NM</v>
      </c>
      <c r="X394" s="96">
        <f>INPUT!AI293</f>
        <v>-0.7</v>
      </c>
      <c r="Y394" s="18" t="str">
        <f>INPUT!AJ293</f>
        <v>NM</v>
      </c>
      <c r="Z394" s="96">
        <f>INPUT!AK293</f>
        <v>-0.1</v>
      </c>
      <c r="AA394" s="18" t="str">
        <f>INPUT!AL293</f>
        <v>NM</v>
      </c>
      <c r="AB394" s="96">
        <f>INPUT!AM293</f>
        <v>0.4</v>
      </c>
      <c r="AC394" s="18" t="str">
        <f>INPUT!AN293</f>
        <v>NM</v>
      </c>
      <c r="AD394" s="96">
        <f>INPUT!AO293</f>
        <v>0</v>
      </c>
      <c r="AE394" s="18" t="str">
        <f>INPUT!AP293</f>
        <v>NM</v>
      </c>
      <c r="AF394" s="96">
        <f>INPUT!AQ293</f>
        <v>0.8</v>
      </c>
      <c r="AG394" s="18" t="str">
        <f>INPUT!AR293</f>
        <v>NA</v>
      </c>
      <c r="AH394" s="96">
        <f>INPUT!AS293</f>
        <v>0.4</v>
      </c>
      <c r="AI394" s="18">
        <f>INPUT!AT293</f>
        <v>-50</v>
      </c>
      <c r="AJ394" s="96">
        <f>INPUT!AU293</f>
        <v>0.3</v>
      </c>
      <c r="AK394" s="18">
        <f>INPUT!AV293</f>
        <v>-25.000000000000011</v>
      </c>
      <c r="AL394" s="96">
        <f>INPUT!AW293</f>
        <v>0.4</v>
      </c>
      <c r="AM394" s="18">
        <f>INPUT!AX293</f>
        <v>33.33333333333335</v>
      </c>
      <c r="AN394" s="96">
        <f>INPUT!AY293</f>
        <v>1.9</v>
      </c>
      <c r="AO394" s="18" t="str">
        <f>INPUT!AZ293</f>
        <v>NM</v>
      </c>
      <c r="AP394" s="96">
        <f>INPUT!BA293</f>
        <v>0.7</v>
      </c>
      <c r="AQ394" s="18" t="str">
        <f>INPUT!BB293</f>
        <v>NM</v>
      </c>
      <c r="AR394" s="96">
        <f>INPUT!BC293</f>
        <v>0.4</v>
      </c>
      <c r="AS394" s="18">
        <f>INPUT!BD293</f>
        <v>-42.857142857142847</v>
      </c>
      <c r="AT394" s="96">
        <f>INPUT!BE293</f>
        <v>0.4</v>
      </c>
      <c r="AU394" s="18">
        <f>INPUT!BF293</f>
        <v>0</v>
      </c>
      <c r="AV394" s="96">
        <f>INPUT!BG293</f>
        <v>0.4</v>
      </c>
      <c r="AW394" s="18">
        <f>INPUT!BH293</f>
        <v>0</v>
      </c>
      <c r="AX394" s="96">
        <f>INPUT!BI293</f>
        <v>0.4</v>
      </c>
      <c r="AY394" s="18">
        <f>INPUT!BJ293</f>
        <v>0</v>
      </c>
      <c r="AZ394" s="96">
        <f>INPUT!BK293</f>
        <v>0.3</v>
      </c>
      <c r="BA394" s="18">
        <f>INPUT!BL293</f>
        <v>-25.000000000000011</v>
      </c>
      <c r="BB394" s="96">
        <f>INPUT!BM293</f>
        <v>0.3</v>
      </c>
      <c r="BC394" s="18">
        <f>INPUT!BN293</f>
        <v>0</v>
      </c>
      <c r="BD394" s="96">
        <f>INPUT!BO293</f>
        <v>0.2</v>
      </c>
      <c r="BE394" s="18">
        <f>INPUT!BP293</f>
        <v>-33.333333333333329</v>
      </c>
      <c r="BF394" s="96">
        <f>INPUT!BQ293</f>
        <v>0.2</v>
      </c>
      <c r="BG394" s="18">
        <f>INPUT!BR293</f>
        <v>0</v>
      </c>
      <c r="BH394" s="96">
        <f>INPUT!BS293</f>
        <v>0.3</v>
      </c>
      <c r="BI394" s="18">
        <f>INPUT!BT293</f>
        <v>49.999999999999979</v>
      </c>
      <c r="BJ394" s="96">
        <f>INPUT!BU293</f>
        <v>0</v>
      </c>
      <c r="BK394" s="18" t="str">
        <f>INPUT!BV293</f>
        <v>NM</v>
      </c>
      <c r="BL394" s="96">
        <f>INPUT!BW293</f>
        <v>-0.1</v>
      </c>
      <c r="BM394" s="18" t="str">
        <f>INPUT!BX293</f>
        <v>NA</v>
      </c>
      <c r="BN394" s="96">
        <f>INPUT!BY293</f>
        <v>0</v>
      </c>
      <c r="BO394" s="18" t="str">
        <f>INPUT!BZ293</f>
        <v>NM</v>
      </c>
      <c r="BP394" s="96">
        <f>INPUT!CA293</f>
        <v>0</v>
      </c>
      <c r="BQ394" s="18" t="str">
        <f>INPUT!CB293</f>
        <v>NA</v>
      </c>
      <c r="BR394" s="96">
        <f>INPUT!CC293</f>
        <v>0</v>
      </c>
      <c r="BS394" s="18" t="str">
        <f>INPUT!CD293</f>
        <v>NA</v>
      </c>
      <c r="BT394" s="96">
        <f>INPUT!CE293</f>
        <v>0</v>
      </c>
      <c r="BU394" s="18" t="str">
        <f>INPUT!CF293</f>
        <v>NA</v>
      </c>
      <c r="BV394" s="96">
        <f>INPUT!CG293</f>
        <v>0</v>
      </c>
      <c r="BW394" s="18" t="str">
        <f>INPUT!CH293</f>
        <v>NA</v>
      </c>
      <c r="BX394" s="96">
        <f>INPUT!CI293</f>
        <v>0</v>
      </c>
      <c r="BY394" s="18" t="str">
        <f>INPUT!CJ293</f>
        <v>NA</v>
      </c>
      <c r="BZ394" s="96">
        <f>INPUT!CK293</f>
        <v>0</v>
      </c>
      <c r="CA394" s="18" t="str">
        <f>INPUT!CL293</f>
        <v>NA</v>
      </c>
      <c r="CB394" s="96">
        <f>INPUT!CM293</f>
        <v>0</v>
      </c>
      <c r="CC394" s="18" t="str">
        <f>INPUT!CN293</f>
        <v>NA</v>
      </c>
      <c r="CD394" s="96">
        <f>INPUT!CO293</f>
        <v>0</v>
      </c>
      <c r="CE394" s="18" t="str">
        <f>INPUT!CP293</f>
        <v>NA</v>
      </c>
      <c r="CF394" s="96">
        <f>INPUT!CQ293</f>
        <v>0</v>
      </c>
      <c r="CG394" s="18" t="str">
        <f>INPUT!CR293</f>
        <v>NA</v>
      </c>
      <c r="CH394" s="96">
        <f>INPUT!CS293</f>
        <v>0</v>
      </c>
      <c r="CI394" s="18" t="str">
        <f>INPUT!CT293</f>
        <v>NA</v>
      </c>
      <c r="CJ394" s="96">
        <f>INPUT!CU293</f>
        <v>0</v>
      </c>
      <c r="CK394" s="18" t="str">
        <f>INPUT!CV293</f>
        <v>NA</v>
      </c>
      <c r="CL394" s="96">
        <f>INPUT!CW293</f>
        <v>0</v>
      </c>
      <c r="CM394" s="18" t="str">
        <f>INPUT!CX293</f>
        <v>NA</v>
      </c>
      <c r="CN394" s="96">
        <f>INPUT!CY293</f>
        <v>0</v>
      </c>
      <c r="CO394" s="18" t="str">
        <f>INPUT!CZ293</f>
        <v>NA</v>
      </c>
      <c r="CP394" s="96">
        <f>INPUT!DA293</f>
        <v>0</v>
      </c>
      <c r="CQ394" s="18" t="str">
        <f>INPUT!DB293</f>
        <v>NA</v>
      </c>
      <c r="CR394" s="96">
        <f>INPUT!DC293</f>
        <v>0</v>
      </c>
      <c r="CS394" s="18" t="str">
        <f>INPUT!DD293</f>
        <v>NA</v>
      </c>
      <c r="CT394" s="96">
        <f>INPUT!DE293</f>
        <v>0</v>
      </c>
      <c r="CU394" s="18" t="str">
        <f>INPUT!DF293</f>
        <v>NA</v>
      </c>
      <c r="CV394" s="96">
        <f>INPUT!DG293</f>
        <v>0</v>
      </c>
      <c r="CW394" s="18" t="str">
        <f>INPUT!DH293</f>
        <v>NA</v>
      </c>
      <c r="CX394" s="96">
        <f>INPUT!DI293</f>
        <v>0</v>
      </c>
      <c r="CY394" s="18" t="str">
        <f>INPUT!DJ293</f>
        <v>NA</v>
      </c>
      <c r="CZ394" s="96">
        <f>INPUT!DK293</f>
        <v>0</v>
      </c>
      <c r="DA394" s="18" t="str">
        <f>INPUT!DL293</f>
        <v>NA</v>
      </c>
      <c r="DB394" s="96">
        <f>INPUT!DM293</f>
        <v>0</v>
      </c>
      <c r="DC394" s="18" t="str">
        <f>INPUT!DN293</f>
        <v>NA</v>
      </c>
      <c r="DD394" s="96">
        <f>INPUT!DO293</f>
        <v>0</v>
      </c>
      <c r="DE394" s="18" t="str">
        <f>INPUT!DP293</f>
        <v>NA</v>
      </c>
      <c r="DF394" s="96">
        <f>INPUT!DQ293</f>
        <v>0</v>
      </c>
      <c r="DG394" s="18" t="str">
        <f>INPUT!DR293</f>
        <v>NA</v>
      </c>
      <c r="DH394" s="96">
        <f>INPUT!DS293</f>
        <v>0</v>
      </c>
      <c r="DI394" s="18" t="str">
        <f>INPUT!DT293</f>
        <v>NA</v>
      </c>
      <c r="DJ394" s="96">
        <f>INPUT!DU293</f>
        <v>0</v>
      </c>
      <c r="DK394" s="18" t="str">
        <f>INPUT!DV293</f>
        <v>NA</v>
      </c>
      <c r="DL394" s="96">
        <f>INPUT!DW293</f>
        <v>0</v>
      </c>
      <c r="DM394" s="18" t="str">
        <f>INPUT!DX293</f>
        <v>NA</v>
      </c>
      <c r="DN394" s="96">
        <f>INPUT!DY293</f>
        <v>0</v>
      </c>
      <c r="DO394" s="18" t="str">
        <f>INPUT!DZ293</f>
        <v>NA</v>
      </c>
      <c r="DP394" s="96">
        <f>INPUT!EA293</f>
        <v>0</v>
      </c>
      <c r="DQ394" s="18" t="str">
        <f>INPUT!EB293</f>
        <v>NA</v>
      </c>
      <c r="DR394" s="96">
        <f>INPUT!EC293</f>
        <v>0</v>
      </c>
      <c r="DS394" s="18" t="str">
        <f>INPUT!ED293</f>
        <v>NA</v>
      </c>
      <c r="DT394" s="96">
        <f>INPUT!EE293</f>
        <v>0</v>
      </c>
      <c r="DU394" s="18" t="str">
        <f>INPUT!EF293</f>
        <v>NA</v>
      </c>
      <c r="DV394" s="96">
        <f>INPUT!EG293</f>
        <v>0</v>
      </c>
      <c r="DW394" s="18" t="str">
        <f>INPUT!EH293</f>
        <v>NA</v>
      </c>
      <c r="DX394" s="96">
        <f>INPUT!EI293</f>
        <v>0</v>
      </c>
      <c r="DY394" s="18" t="str">
        <f>INPUT!EJ293</f>
        <v>NA</v>
      </c>
      <c r="DZ394" s="96">
        <f>INPUT!EK293</f>
        <v>0</v>
      </c>
      <c r="EA394" s="18" t="str">
        <f>INPUT!EL293</f>
        <v>NA</v>
      </c>
      <c r="EB394" s="96">
        <f>INPUT!EM293</f>
        <v>0</v>
      </c>
      <c r="EC394" s="18" t="str">
        <f>INPUT!EN293</f>
        <v>NA</v>
      </c>
      <c r="ED394" s="96">
        <f>INPUT!EO293</f>
        <v>0</v>
      </c>
      <c r="EE394" s="18" t="str">
        <f>INPUT!EP293</f>
        <v>NA</v>
      </c>
      <c r="EF394" s="96">
        <f>INPUT!EQ293</f>
        <v>0</v>
      </c>
      <c r="EG394" s="18" t="str">
        <f>INPUT!ER293</f>
        <v>NA</v>
      </c>
      <c r="EH394" s="18"/>
      <c r="EI394" s="96"/>
      <c r="EJ394" s="5"/>
      <c r="EK394" s="96">
        <f>INPUT!FD293</f>
        <v>3.1</v>
      </c>
      <c r="EL394" s="5" t="str">
        <f>INPUT!FE293</f>
        <v>NA</v>
      </c>
      <c r="EM394" s="96">
        <f>INPUT!FF293</f>
        <v>10.799999999999999</v>
      </c>
      <c r="EN394" s="5" t="str">
        <f>INPUT!FG293</f>
        <v>NM</v>
      </c>
      <c r="EO394" s="96">
        <f>INPUT!FH293</f>
        <v>4.9000000000000004</v>
      </c>
      <c r="EP394" s="5" t="str">
        <f>INPUT!FI293</f>
        <v>NM</v>
      </c>
      <c r="EQ394" s="96">
        <f>INPUT!FJ293</f>
        <v>1.1000000000000001</v>
      </c>
      <c r="ER394" s="5" t="str">
        <f>INPUT!FK293</f>
        <v>NM</v>
      </c>
      <c r="ES394" s="96">
        <f>INPUT!FL293</f>
        <v>3</v>
      </c>
      <c r="ET394" s="5" t="str">
        <f>INPUT!FM293</f>
        <v>NM</v>
      </c>
      <c r="EU394" s="96">
        <f>INPUT!FN293</f>
        <v>1.9</v>
      </c>
      <c r="EV394" s="5">
        <f>INPUT!FO293</f>
        <v>-36.666666666666671</v>
      </c>
      <c r="EW394" s="96">
        <f>INPUT!FP293</f>
        <v>1.2</v>
      </c>
      <c r="EX394" s="5">
        <f>INPUT!FQ293</f>
        <v>-36.842105263157897</v>
      </c>
      <c r="EY394" s="96">
        <f>INPUT!FR293</f>
        <v>0</v>
      </c>
      <c r="EZ394" s="5" t="str">
        <f>INPUT!FS293</f>
        <v>NM</v>
      </c>
      <c r="FA394" s="96">
        <f>INPUT!FT293</f>
        <v>0</v>
      </c>
      <c r="FB394" s="5" t="str">
        <f>INPUT!FU293</f>
        <v>NA</v>
      </c>
      <c r="FC394" s="96">
        <f>INPUT!FV293</f>
        <v>0</v>
      </c>
      <c r="FD394" s="5" t="str">
        <f>INPUT!FW293</f>
        <v>NA</v>
      </c>
      <c r="FE394" s="96">
        <f>INPUT!FX293</f>
        <v>0</v>
      </c>
      <c r="FF394" s="5" t="str">
        <f>INPUT!FY293</f>
        <v>NA</v>
      </c>
      <c r="FG394" s="96">
        <f>INPUT!FZ293</f>
        <v>0</v>
      </c>
      <c r="FH394" s="5" t="str">
        <f>INPUT!GA293</f>
        <v>NA</v>
      </c>
      <c r="FI394" s="96">
        <f>INPUT!GB293</f>
        <v>0</v>
      </c>
      <c r="FJ394" s="5" t="str">
        <f>INPUT!GC293</f>
        <v>NA</v>
      </c>
      <c r="FK394" s="96">
        <f>INPUT!GD293</f>
        <v>0</v>
      </c>
      <c r="FL394" s="5" t="str">
        <f>INPUT!GE293</f>
        <v>NA</v>
      </c>
      <c r="FM394" s="96">
        <f>INPUT!GF293</f>
        <v>0</v>
      </c>
      <c r="FN394" s="5" t="str">
        <f>INPUT!GG293</f>
        <v>NA</v>
      </c>
      <c r="FO394" s="96">
        <f>INPUT!GH293</f>
        <v>0</v>
      </c>
      <c r="FP394" s="5" t="str">
        <f>INPUT!GI293</f>
        <v>NA</v>
      </c>
      <c r="FQ394" s="96">
        <f>INPUT!GJ293</f>
        <v>0</v>
      </c>
      <c r="FR394" s="5" t="str">
        <f>INPUT!GK293</f>
        <v>NA</v>
      </c>
      <c r="FS394" s="96">
        <f>INPUT!GL293</f>
        <v>0</v>
      </c>
      <c r="FT394" s="5" t="str">
        <f>INPUT!GM293</f>
        <v>NA</v>
      </c>
      <c r="FU394" s="96">
        <f>INPUT!GN293</f>
        <v>0</v>
      </c>
      <c r="FV394" s="5" t="str">
        <f>INPUT!GO293</f>
        <v>NA</v>
      </c>
      <c r="FW394" s="96">
        <f>INPUT!GP293</f>
        <v>0</v>
      </c>
      <c r="FX394" s="5" t="str">
        <f>INPUT!GQ293</f>
        <v>NA</v>
      </c>
      <c r="FY394" s="96">
        <f>INPUT!GR293</f>
        <v>0</v>
      </c>
      <c r="FZ394" s="5" t="str">
        <f>INPUT!GS293</f>
        <v>NA</v>
      </c>
      <c r="GA394" s="5" t="str">
        <f>INPUT!GT293</f>
        <v>NA</v>
      </c>
    </row>
    <row r="395" spans="1:183" ht="12.75" hidden="1" customHeight="1" outlineLevel="1" x14ac:dyDescent="0.2">
      <c r="A395" s="612" t="str">
        <f>INPUT!B294</f>
        <v>Net Change in DPAC</v>
      </c>
      <c r="B395" s="96">
        <f>INPUT!M294</f>
        <v>0</v>
      </c>
      <c r="C395" s="18" t="str">
        <f>INPUT!N294</f>
        <v>NM</v>
      </c>
      <c r="D395" s="96">
        <f>INPUT!O294</f>
        <v>0.2</v>
      </c>
      <c r="E395" s="18" t="str">
        <f>INPUT!P294</f>
        <v>NA</v>
      </c>
      <c r="F395" s="96">
        <f>INPUT!Q294</f>
        <v>0</v>
      </c>
      <c r="G395" s="18" t="str">
        <f>INPUT!R294</f>
        <v>NM</v>
      </c>
      <c r="H395" s="96">
        <f>INPUT!S294</f>
        <v>-0.1</v>
      </c>
      <c r="I395" s="18" t="str">
        <f>INPUT!T294</f>
        <v>NA</v>
      </c>
      <c r="J395" s="96">
        <f>INPUT!U294</f>
        <v>0</v>
      </c>
      <c r="K395" s="18" t="str">
        <f>INPUT!V294</f>
        <v>NM</v>
      </c>
      <c r="L395" s="96">
        <f>INPUT!W294</f>
        <v>0</v>
      </c>
      <c r="M395" s="18" t="str">
        <f>INPUT!X294</f>
        <v>NA</v>
      </c>
      <c r="N395" s="96">
        <f>INPUT!Y294</f>
        <v>0.1</v>
      </c>
      <c r="O395" s="18" t="str">
        <f>INPUT!Z294</f>
        <v>NA</v>
      </c>
      <c r="P395" s="96">
        <f>INPUT!AA294</f>
        <v>0</v>
      </c>
      <c r="Q395" s="18" t="str">
        <f>INPUT!AB294</f>
        <v>NM</v>
      </c>
      <c r="R395" s="96">
        <f>INPUT!AC294</f>
        <v>0</v>
      </c>
      <c r="S395" s="18" t="str">
        <f>INPUT!AD294</f>
        <v>NA</v>
      </c>
      <c r="T395" s="96">
        <f>INPUT!AE294</f>
        <v>0</v>
      </c>
      <c r="U395" s="18" t="str">
        <f>INPUT!AF294</f>
        <v>NA</v>
      </c>
      <c r="V395" s="96">
        <f>INPUT!AG294</f>
        <v>0.1</v>
      </c>
      <c r="W395" s="18" t="str">
        <f>INPUT!AH294</f>
        <v>NA</v>
      </c>
      <c r="X395" s="96">
        <f>INPUT!AI294</f>
        <v>0</v>
      </c>
      <c r="Y395" s="18" t="str">
        <f>INPUT!AJ294</f>
        <v>NM</v>
      </c>
      <c r="Z395" s="96">
        <f>INPUT!AK294</f>
        <v>0</v>
      </c>
      <c r="AA395" s="18" t="str">
        <f>INPUT!AL294</f>
        <v>NA</v>
      </c>
      <c r="AB395" s="96">
        <f>INPUT!AM294</f>
        <v>0.1</v>
      </c>
      <c r="AC395" s="18" t="str">
        <f>INPUT!AN294</f>
        <v>NA</v>
      </c>
      <c r="AD395" s="96">
        <f>INPUT!AO294</f>
        <v>-0.1</v>
      </c>
      <c r="AE395" s="18" t="str">
        <f>INPUT!AP294</f>
        <v>NM</v>
      </c>
      <c r="AF395" s="96">
        <f>INPUT!AQ294</f>
        <v>0.5</v>
      </c>
      <c r="AG395" s="18" t="str">
        <f>INPUT!AR294</f>
        <v>NM</v>
      </c>
      <c r="AH395" s="96">
        <f>INPUT!AS294</f>
        <v>0</v>
      </c>
      <c r="AI395" s="18" t="str">
        <f>INPUT!AT294</f>
        <v>NM</v>
      </c>
      <c r="AJ395" s="96">
        <f>INPUT!AU294</f>
        <v>0</v>
      </c>
      <c r="AK395" s="18" t="str">
        <f>INPUT!AV294</f>
        <v>NA</v>
      </c>
      <c r="AL395" s="96">
        <f>INPUT!AW294</f>
        <v>0</v>
      </c>
      <c r="AM395" s="18" t="str">
        <f>INPUT!AX294</f>
        <v>NA</v>
      </c>
      <c r="AN395" s="96">
        <f>INPUT!AY294</f>
        <v>0</v>
      </c>
      <c r="AO395" s="18" t="str">
        <f>INPUT!AZ294</f>
        <v>NA</v>
      </c>
      <c r="AP395" s="96">
        <f>INPUT!BA294</f>
        <v>0</v>
      </c>
      <c r="AQ395" s="18" t="str">
        <f>INPUT!BB294</f>
        <v>NA</v>
      </c>
      <c r="AR395" s="96">
        <f>INPUT!BC294</f>
        <v>0</v>
      </c>
      <c r="AS395" s="18" t="str">
        <f>INPUT!BD294</f>
        <v>NA</v>
      </c>
      <c r="AT395" s="96">
        <f>INPUT!BE294</f>
        <v>0</v>
      </c>
      <c r="AU395" s="18" t="str">
        <f>INPUT!BF294</f>
        <v>NA</v>
      </c>
      <c r="AV395" s="96">
        <f>INPUT!BG294</f>
        <v>0</v>
      </c>
      <c r="AW395" s="18" t="str">
        <f>INPUT!BH294</f>
        <v>NA</v>
      </c>
      <c r="AX395" s="96">
        <f>INPUT!BI294</f>
        <v>0</v>
      </c>
      <c r="AY395" s="18" t="str">
        <f>INPUT!BJ294</f>
        <v>NA</v>
      </c>
      <c r="AZ395" s="96">
        <f>INPUT!BK294</f>
        <v>0</v>
      </c>
      <c r="BA395" s="18" t="str">
        <f>INPUT!BL294</f>
        <v>NA</v>
      </c>
      <c r="BB395" s="96">
        <f>INPUT!BM294</f>
        <v>0</v>
      </c>
      <c r="BC395" s="18" t="str">
        <f>INPUT!BN294</f>
        <v>NA</v>
      </c>
      <c r="BD395" s="96">
        <f>INPUT!BO294</f>
        <v>0</v>
      </c>
      <c r="BE395" s="18" t="str">
        <f>INPUT!BP294</f>
        <v>NA</v>
      </c>
      <c r="BF395" s="96">
        <f>INPUT!BQ294</f>
        <v>0</v>
      </c>
      <c r="BG395" s="18" t="str">
        <f>INPUT!BR294</f>
        <v>NA</v>
      </c>
      <c r="BH395" s="96">
        <f>INPUT!BS294</f>
        <v>0</v>
      </c>
      <c r="BI395" s="18" t="str">
        <f>INPUT!BT294</f>
        <v>NA</v>
      </c>
      <c r="BJ395" s="96">
        <f>INPUT!BU294</f>
        <v>0</v>
      </c>
      <c r="BK395" s="18" t="str">
        <f>INPUT!BV294</f>
        <v>NA</v>
      </c>
      <c r="BL395" s="96">
        <f>INPUT!BW294</f>
        <v>0</v>
      </c>
      <c r="BM395" s="18" t="str">
        <f>INPUT!BX294</f>
        <v>NA</v>
      </c>
      <c r="BN395" s="96">
        <f>INPUT!BY294</f>
        <v>0</v>
      </c>
      <c r="BO395" s="18" t="str">
        <f>INPUT!BZ294</f>
        <v>NA</v>
      </c>
      <c r="BP395" s="96">
        <f>INPUT!CA294</f>
        <v>0</v>
      </c>
      <c r="BQ395" s="18" t="str">
        <f>INPUT!CB294</f>
        <v>NA</v>
      </c>
      <c r="BR395" s="96">
        <f>INPUT!CC294</f>
        <v>0</v>
      </c>
      <c r="BS395" s="18" t="str">
        <f>INPUT!CD294</f>
        <v>NA</v>
      </c>
      <c r="BT395" s="96">
        <f>INPUT!CE294</f>
        <v>0</v>
      </c>
      <c r="BU395" s="18" t="str">
        <f>INPUT!CF294</f>
        <v>NA</v>
      </c>
      <c r="BV395" s="96">
        <f>INPUT!CG294</f>
        <v>0</v>
      </c>
      <c r="BW395" s="18" t="str">
        <f>INPUT!CH294</f>
        <v>NA</v>
      </c>
      <c r="BX395" s="96">
        <f>INPUT!CI294</f>
        <v>0</v>
      </c>
      <c r="BY395" s="18" t="str">
        <f>INPUT!CJ294</f>
        <v>NA</v>
      </c>
      <c r="BZ395" s="96">
        <f>INPUT!CK294</f>
        <v>0</v>
      </c>
      <c r="CA395" s="18" t="str">
        <f>INPUT!CL294</f>
        <v>NA</v>
      </c>
      <c r="CB395" s="96">
        <f>INPUT!CM294</f>
        <v>0</v>
      </c>
      <c r="CC395" s="18" t="str">
        <f>INPUT!CN294</f>
        <v>NA</v>
      </c>
      <c r="CD395" s="96">
        <f>INPUT!CO294</f>
        <v>0</v>
      </c>
      <c r="CE395" s="18" t="str">
        <f>INPUT!CP294</f>
        <v>NA</v>
      </c>
      <c r="CF395" s="96">
        <f>INPUT!CQ294</f>
        <v>0</v>
      </c>
      <c r="CG395" s="18" t="str">
        <f>INPUT!CR294</f>
        <v>NA</v>
      </c>
      <c r="CH395" s="96">
        <f>INPUT!CS294</f>
        <v>0</v>
      </c>
      <c r="CI395" s="18" t="str">
        <f>INPUT!CT294</f>
        <v>NA</v>
      </c>
      <c r="CJ395" s="96">
        <f>INPUT!CU294</f>
        <v>0</v>
      </c>
      <c r="CK395" s="18" t="str">
        <f>INPUT!CV294</f>
        <v>NA</v>
      </c>
      <c r="CL395" s="96">
        <f>INPUT!CW294</f>
        <v>0</v>
      </c>
      <c r="CM395" s="18" t="str">
        <f>INPUT!CX294</f>
        <v>NA</v>
      </c>
      <c r="CN395" s="96">
        <f>INPUT!CY294</f>
        <v>0</v>
      </c>
      <c r="CO395" s="18" t="str">
        <f>INPUT!CZ294</f>
        <v>NA</v>
      </c>
      <c r="CP395" s="96">
        <f>INPUT!DA294</f>
        <v>0</v>
      </c>
      <c r="CQ395" s="18" t="str">
        <f>INPUT!DB294</f>
        <v>NA</v>
      </c>
      <c r="CR395" s="96">
        <f>INPUT!DC294</f>
        <v>0</v>
      </c>
      <c r="CS395" s="18" t="str">
        <f>INPUT!DD294</f>
        <v>NA</v>
      </c>
      <c r="CT395" s="96">
        <f>INPUT!DE294</f>
        <v>0</v>
      </c>
      <c r="CU395" s="18" t="str">
        <f>INPUT!DF294</f>
        <v>NA</v>
      </c>
      <c r="CV395" s="96">
        <f>INPUT!DG294</f>
        <v>0</v>
      </c>
      <c r="CW395" s="18" t="str">
        <f>INPUT!DH294</f>
        <v>NA</v>
      </c>
      <c r="CX395" s="96">
        <f>INPUT!DI294</f>
        <v>0</v>
      </c>
      <c r="CY395" s="18" t="str">
        <f>INPUT!DJ294</f>
        <v>NA</v>
      </c>
      <c r="CZ395" s="96">
        <f>INPUT!DK294</f>
        <v>0</v>
      </c>
      <c r="DA395" s="18" t="str">
        <f>INPUT!DL294</f>
        <v>NA</v>
      </c>
      <c r="DB395" s="96">
        <f>INPUT!DM294</f>
        <v>0</v>
      </c>
      <c r="DC395" s="18" t="str">
        <f>INPUT!DN294</f>
        <v>NA</v>
      </c>
      <c r="DD395" s="96">
        <f>INPUT!DO294</f>
        <v>0</v>
      </c>
      <c r="DE395" s="18" t="str">
        <f>INPUT!DP294</f>
        <v>NA</v>
      </c>
      <c r="DF395" s="96">
        <f>INPUT!DQ294</f>
        <v>0</v>
      </c>
      <c r="DG395" s="18" t="str">
        <f>INPUT!DR294</f>
        <v>NA</v>
      </c>
      <c r="DH395" s="96">
        <f>INPUT!DS294</f>
        <v>0</v>
      </c>
      <c r="DI395" s="18" t="str">
        <f>INPUT!DT294</f>
        <v>NA</v>
      </c>
      <c r="DJ395" s="96">
        <f>INPUT!DU294</f>
        <v>0</v>
      </c>
      <c r="DK395" s="18" t="str">
        <f>INPUT!DV294</f>
        <v>NA</v>
      </c>
      <c r="DL395" s="96">
        <f>INPUT!DW294</f>
        <v>0</v>
      </c>
      <c r="DM395" s="18" t="str">
        <f>INPUT!DX294</f>
        <v>NA</v>
      </c>
      <c r="DN395" s="96">
        <f>INPUT!DY294</f>
        <v>0</v>
      </c>
      <c r="DO395" s="18" t="str">
        <f>INPUT!DZ294</f>
        <v>NA</v>
      </c>
      <c r="DP395" s="96">
        <f>INPUT!EA294</f>
        <v>0</v>
      </c>
      <c r="DQ395" s="18" t="str">
        <f>INPUT!EB294</f>
        <v>NA</v>
      </c>
      <c r="DR395" s="96">
        <f>INPUT!EC294</f>
        <v>0</v>
      </c>
      <c r="DS395" s="18" t="str">
        <f>INPUT!ED294</f>
        <v>NA</v>
      </c>
      <c r="DT395" s="96">
        <f>INPUT!EE294</f>
        <v>0</v>
      </c>
      <c r="DU395" s="18" t="str">
        <f>INPUT!EF294</f>
        <v>NA</v>
      </c>
      <c r="DV395" s="96">
        <f>INPUT!EG294</f>
        <v>0</v>
      </c>
      <c r="DW395" s="18" t="str">
        <f>INPUT!EH294</f>
        <v>NA</v>
      </c>
      <c r="DX395" s="96">
        <f>INPUT!EI294</f>
        <v>0</v>
      </c>
      <c r="DY395" s="18" t="str">
        <f>INPUT!EJ294</f>
        <v>NA</v>
      </c>
      <c r="DZ395" s="96">
        <f>INPUT!EK294</f>
        <v>0</v>
      </c>
      <c r="EA395" s="18" t="str">
        <f>INPUT!EL294</f>
        <v>NA</v>
      </c>
      <c r="EB395" s="96">
        <f>INPUT!EM294</f>
        <v>0</v>
      </c>
      <c r="EC395" s="18" t="str">
        <f>INPUT!EN294</f>
        <v>NA</v>
      </c>
      <c r="ED395" s="96">
        <f>INPUT!EO294</f>
        <v>0</v>
      </c>
      <c r="EE395" s="18" t="str">
        <f>INPUT!EP294</f>
        <v>NA</v>
      </c>
      <c r="EF395" s="96">
        <f>INPUT!EQ294</f>
        <v>0</v>
      </c>
      <c r="EG395" s="18" t="str">
        <f>INPUT!ER294</f>
        <v>NA</v>
      </c>
      <c r="EH395" s="18"/>
      <c r="EI395" s="96"/>
      <c r="EJ395" s="5"/>
      <c r="EK395" s="96">
        <f>INPUT!FD294</f>
        <v>0.1</v>
      </c>
      <c r="EL395" s="5" t="str">
        <f>INPUT!FE294</f>
        <v>NA</v>
      </c>
      <c r="EM395" s="96">
        <f>INPUT!FF294</f>
        <v>0.1</v>
      </c>
      <c r="EN395" s="5">
        <f>INPUT!FG294</f>
        <v>0</v>
      </c>
      <c r="EO395" s="96">
        <f>INPUT!FH294</f>
        <v>0.1</v>
      </c>
      <c r="EP395" s="5">
        <f>INPUT!FI294</f>
        <v>0</v>
      </c>
      <c r="EQ395" s="96">
        <f>INPUT!FJ294</f>
        <v>0.5</v>
      </c>
      <c r="ER395" s="5" t="str">
        <f>INPUT!FK294</f>
        <v>NM</v>
      </c>
      <c r="ES395" s="96">
        <f>INPUT!FL294</f>
        <v>0</v>
      </c>
      <c r="ET395" s="5" t="str">
        <f>INPUT!FM294</f>
        <v>NM</v>
      </c>
      <c r="EU395" s="96">
        <f>INPUT!FN294</f>
        <v>0</v>
      </c>
      <c r="EV395" s="5" t="str">
        <f>INPUT!FO294</f>
        <v>NA</v>
      </c>
      <c r="EW395" s="96">
        <f>INPUT!FP294</f>
        <v>0</v>
      </c>
      <c r="EX395" s="5" t="str">
        <f>INPUT!FQ294</f>
        <v>NA</v>
      </c>
      <c r="EY395" s="96">
        <f>INPUT!FR294</f>
        <v>0</v>
      </c>
      <c r="EZ395" s="5" t="str">
        <f>INPUT!FS294</f>
        <v>NA</v>
      </c>
      <c r="FA395" s="96">
        <f>INPUT!FT294</f>
        <v>0</v>
      </c>
      <c r="FB395" s="5" t="str">
        <f>INPUT!FU294</f>
        <v>NA</v>
      </c>
      <c r="FC395" s="96">
        <f>INPUT!FV294</f>
        <v>0</v>
      </c>
      <c r="FD395" s="5" t="str">
        <f>INPUT!FW294</f>
        <v>NA</v>
      </c>
      <c r="FE395" s="96">
        <f>INPUT!FX294</f>
        <v>0</v>
      </c>
      <c r="FF395" s="5" t="str">
        <f>INPUT!FY294</f>
        <v>NA</v>
      </c>
      <c r="FG395" s="96">
        <f>INPUT!FZ294</f>
        <v>0</v>
      </c>
      <c r="FH395" s="5" t="str">
        <f>INPUT!GA294</f>
        <v>NA</v>
      </c>
      <c r="FI395" s="96">
        <f>INPUT!GB294</f>
        <v>0</v>
      </c>
      <c r="FJ395" s="5" t="str">
        <f>INPUT!GC294</f>
        <v>NA</v>
      </c>
      <c r="FK395" s="96">
        <f>INPUT!GD294</f>
        <v>0</v>
      </c>
      <c r="FL395" s="5" t="str">
        <f>INPUT!GE294</f>
        <v>NA</v>
      </c>
      <c r="FM395" s="96">
        <f>INPUT!GF294</f>
        <v>0</v>
      </c>
      <c r="FN395" s="5" t="str">
        <f>INPUT!GG294</f>
        <v>NA</v>
      </c>
      <c r="FO395" s="96">
        <f>INPUT!GH294</f>
        <v>0</v>
      </c>
      <c r="FP395" s="5" t="str">
        <f>INPUT!GI294</f>
        <v>NA</v>
      </c>
      <c r="FQ395" s="96">
        <f>INPUT!GJ294</f>
        <v>0</v>
      </c>
      <c r="FR395" s="5" t="str">
        <f>INPUT!GK294</f>
        <v>NA</v>
      </c>
      <c r="FS395" s="96">
        <f>INPUT!GL294</f>
        <v>0</v>
      </c>
      <c r="FT395" s="5" t="str">
        <f>INPUT!GM294</f>
        <v>NA</v>
      </c>
      <c r="FU395" s="96">
        <f>INPUT!GN294</f>
        <v>0</v>
      </c>
      <c r="FV395" s="5" t="str">
        <f>INPUT!GO294</f>
        <v>NA</v>
      </c>
      <c r="FW395" s="96">
        <f>INPUT!GP294</f>
        <v>0</v>
      </c>
      <c r="FX395" s="5" t="str">
        <f>INPUT!GQ294</f>
        <v>NA</v>
      </c>
      <c r="FY395" s="96">
        <f>INPUT!GR294</f>
        <v>0</v>
      </c>
      <c r="FZ395" s="5" t="str">
        <f>INPUT!GS294</f>
        <v>NA</v>
      </c>
      <c r="GA395" s="5" t="str">
        <f>INPUT!GT294</f>
        <v>NA</v>
      </c>
    </row>
    <row r="396" spans="1:183" ht="12.75" hidden="1" customHeight="1" outlineLevel="1" x14ac:dyDescent="0.2">
      <c r="A396" s="612" t="str">
        <f>INPUT!B295</f>
        <v>Amortization of Goodwill</v>
      </c>
      <c r="B396" s="96">
        <f>INPUT!M295</f>
        <v>0</v>
      </c>
      <c r="C396" s="18" t="str">
        <f>INPUT!N295</f>
        <v>NM</v>
      </c>
      <c r="D396" s="96">
        <f>INPUT!O295</f>
        <v>0</v>
      </c>
      <c r="E396" s="18" t="str">
        <f>INPUT!P295</f>
        <v>NA</v>
      </c>
      <c r="F396" s="96">
        <f>INPUT!Q295</f>
        <v>0</v>
      </c>
      <c r="G396" s="18" t="str">
        <f>INPUT!R295</f>
        <v>NA</v>
      </c>
      <c r="H396" s="96">
        <f>INPUT!S295</f>
        <v>0</v>
      </c>
      <c r="I396" s="18" t="str">
        <f>INPUT!T295</f>
        <v>NA</v>
      </c>
      <c r="J396" s="96">
        <f>INPUT!U295</f>
        <v>0</v>
      </c>
      <c r="K396" s="18" t="str">
        <f>INPUT!V295</f>
        <v>NA</v>
      </c>
      <c r="L396" s="96">
        <f>INPUT!W295</f>
        <v>0</v>
      </c>
      <c r="M396" s="18" t="str">
        <f>INPUT!X295</f>
        <v>NA</v>
      </c>
      <c r="N396" s="96">
        <f>INPUT!Y295</f>
        <v>0</v>
      </c>
      <c r="O396" s="18" t="str">
        <f>INPUT!Z295</f>
        <v>NA</v>
      </c>
      <c r="P396" s="96">
        <f>INPUT!AA295</f>
        <v>0</v>
      </c>
      <c r="Q396" s="18" t="str">
        <f>INPUT!AB295</f>
        <v>NA</v>
      </c>
      <c r="R396" s="96">
        <f>INPUT!AC295</f>
        <v>0</v>
      </c>
      <c r="S396" s="18" t="str">
        <f>INPUT!AD295</f>
        <v>NA</v>
      </c>
      <c r="T396" s="96">
        <f>INPUT!AE295</f>
        <v>0</v>
      </c>
      <c r="U396" s="18" t="str">
        <f>INPUT!AF295</f>
        <v>NA</v>
      </c>
      <c r="V396" s="96">
        <f>INPUT!AG295</f>
        <v>0</v>
      </c>
      <c r="W396" s="18" t="str">
        <f>INPUT!AH295</f>
        <v>NA</v>
      </c>
      <c r="X396" s="96">
        <f>INPUT!AI295</f>
        <v>0</v>
      </c>
      <c r="Y396" s="18" t="str">
        <f>INPUT!AJ295</f>
        <v>NA</v>
      </c>
      <c r="Z396" s="96">
        <f>INPUT!AK295</f>
        <v>0</v>
      </c>
      <c r="AA396" s="18" t="str">
        <f>INPUT!AL295</f>
        <v>NA</v>
      </c>
      <c r="AB396" s="96">
        <f>INPUT!AM295</f>
        <v>0</v>
      </c>
      <c r="AC396" s="18" t="str">
        <f>INPUT!AN295</f>
        <v>NA</v>
      </c>
      <c r="AD396" s="96">
        <f>INPUT!AO295</f>
        <v>0</v>
      </c>
      <c r="AE396" s="18" t="str">
        <f>INPUT!AP295</f>
        <v>NA</v>
      </c>
      <c r="AF396" s="96">
        <f>INPUT!AQ295</f>
        <v>0</v>
      </c>
      <c r="AG396" s="18" t="str">
        <f>INPUT!AR295</f>
        <v>NA</v>
      </c>
      <c r="AH396" s="96">
        <f>INPUT!AS295</f>
        <v>0</v>
      </c>
      <c r="AI396" s="18" t="str">
        <f>INPUT!AT295</f>
        <v>NA</v>
      </c>
      <c r="AJ396" s="96">
        <f>INPUT!AU295</f>
        <v>0</v>
      </c>
      <c r="AK396" s="18" t="str">
        <f>INPUT!AV295</f>
        <v>NA</v>
      </c>
      <c r="AL396" s="96">
        <f>INPUT!AW295</f>
        <v>0</v>
      </c>
      <c r="AM396" s="18" t="str">
        <f>INPUT!AX295</f>
        <v>NA</v>
      </c>
      <c r="AN396" s="96">
        <f>INPUT!AY295</f>
        <v>0</v>
      </c>
      <c r="AO396" s="18" t="str">
        <f>INPUT!AZ295</f>
        <v>NA</v>
      </c>
      <c r="AP396" s="96">
        <f>INPUT!BA295</f>
        <v>0</v>
      </c>
      <c r="AQ396" s="18" t="str">
        <f>INPUT!BB295</f>
        <v>NA</v>
      </c>
      <c r="AR396" s="96">
        <f>INPUT!BC295</f>
        <v>0</v>
      </c>
      <c r="AS396" s="18" t="str">
        <f>INPUT!BD295</f>
        <v>NA</v>
      </c>
      <c r="AT396" s="96">
        <f>INPUT!BE295</f>
        <v>0</v>
      </c>
      <c r="AU396" s="18" t="str">
        <f>INPUT!BF295</f>
        <v>NA</v>
      </c>
      <c r="AV396" s="96">
        <f>INPUT!BG295</f>
        <v>0</v>
      </c>
      <c r="AW396" s="18" t="str">
        <f>INPUT!BH295</f>
        <v>NA</v>
      </c>
      <c r="AX396" s="96">
        <f>INPUT!BI295</f>
        <v>0</v>
      </c>
      <c r="AY396" s="18" t="str">
        <f>INPUT!BJ295</f>
        <v>NA</v>
      </c>
      <c r="AZ396" s="96">
        <f>INPUT!BK295</f>
        <v>0</v>
      </c>
      <c r="BA396" s="18" t="str">
        <f>INPUT!BL295</f>
        <v>NA</v>
      </c>
      <c r="BB396" s="96">
        <f>INPUT!BM295</f>
        <v>0</v>
      </c>
      <c r="BC396" s="18" t="str">
        <f>INPUT!BN295</f>
        <v>NA</v>
      </c>
      <c r="BD396" s="96">
        <f>INPUT!BO295</f>
        <v>0</v>
      </c>
      <c r="BE396" s="18" t="str">
        <f>INPUT!BP295</f>
        <v>NA</v>
      </c>
      <c r="BF396" s="96">
        <f>INPUT!BQ295</f>
        <v>0</v>
      </c>
      <c r="BG396" s="18" t="str">
        <f>INPUT!BR295</f>
        <v>NA</v>
      </c>
      <c r="BH396" s="96">
        <f>INPUT!BS295</f>
        <v>0</v>
      </c>
      <c r="BI396" s="18" t="str">
        <f>INPUT!BT295</f>
        <v>NA</v>
      </c>
      <c r="BJ396" s="96">
        <f>INPUT!BU295</f>
        <v>0</v>
      </c>
      <c r="BK396" s="18" t="str">
        <f>INPUT!BV295</f>
        <v>NA</v>
      </c>
      <c r="BL396" s="96">
        <f>INPUT!BW295</f>
        <v>0</v>
      </c>
      <c r="BM396" s="18" t="str">
        <f>INPUT!BX295</f>
        <v>NA</v>
      </c>
      <c r="BN396" s="96">
        <f>INPUT!BY295</f>
        <v>0</v>
      </c>
      <c r="BO396" s="18" t="str">
        <f>INPUT!BZ295</f>
        <v>NA</v>
      </c>
      <c r="BP396" s="96">
        <f>INPUT!CA295</f>
        <v>0</v>
      </c>
      <c r="BQ396" s="18" t="str">
        <f>INPUT!CB295</f>
        <v>NA</v>
      </c>
      <c r="BR396" s="96">
        <f>INPUT!CC295</f>
        <v>0</v>
      </c>
      <c r="BS396" s="18" t="str">
        <f>INPUT!CD295</f>
        <v>NA</v>
      </c>
      <c r="BT396" s="96">
        <f>INPUT!CE295</f>
        <v>0</v>
      </c>
      <c r="BU396" s="18" t="str">
        <f>INPUT!CF295</f>
        <v>NA</v>
      </c>
      <c r="BV396" s="96">
        <f>INPUT!CG295</f>
        <v>0</v>
      </c>
      <c r="BW396" s="18" t="str">
        <f>INPUT!CH295</f>
        <v>NA</v>
      </c>
      <c r="BX396" s="96">
        <f>INPUT!CI295</f>
        <v>0</v>
      </c>
      <c r="BY396" s="18" t="str">
        <f>INPUT!CJ295</f>
        <v>NA</v>
      </c>
      <c r="BZ396" s="96">
        <f>INPUT!CK295</f>
        <v>0</v>
      </c>
      <c r="CA396" s="18" t="str">
        <f>INPUT!CL295</f>
        <v>NA</v>
      </c>
      <c r="CB396" s="96">
        <f>INPUT!CM295</f>
        <v>0</v>
      </c>
      <c r="CC396" s="18" t="str">
        <f>INPUT!CN295</f>
        <v>NA</v>
      </c>
      <c r="CD396" s="96">
        <f>INPUT!CO295</f>
        <v>0</v>
      </c>
      <c r="CE396" s="18" t="str">
        <f>INPUT!CP295</f>
        <v>NA</v>
      </c>
      <c r="CF396" s="96">
        <f>INPUT!CQ295</f>
        <v>0</v>
      </c>
      <c r="CG396" s="18" t="str">
        <f>INPUT!CR295</f>
        <v>NA</v>
      </c>
      <c r="CH396" s="96">
        <f>INPUT!CS295</f>
        <v>0</v>
      </c>
      <c r="CI396" s="18" t="str">
        <f>INPUT!CT295</f>
        <v>NA</v>
      </c>
      <c r="CJ396" s="96">
        <f>INPUT!CU295</f>
        <v>0</v>
      </c>
      <c r="CK396" s="18" t="str">
        <f>INPUT!CV295</f>
        <v>NA</v>
      </c>
      <c r="CL396" s="96">
        <f>INPUT!CW295</f>
        <v>0</v>
      </c>
      <c r="CM396" s="18" t="str">
        <f>INPUT!CX295</f>
        <v>NA</v>
      </c>
      <c r="CN396" s="96">
        <f>INPUT!CY295</f>
        <v>0</v>
      </c>
      <c r="CO396" s="18" t="str">
        <f>INPUT!CZ295</f>
        <v>NA</v>
      </c>
      <c r="CP396" s="96">
        <f>INPUT!DA295</f>
        <v>0</v>
      </c>
      <c r="CQ396" s="18" t="str">
        <f>INPUT!DB295</f>
        <v>NA</v>
      </c>
      <c r="CR396" s="96">
        <f>INPUT!DC295</f>
        <v>0</v>
      </c>
      <c r="CS396" s="18" t="str">
        <f>INPUT!DD295</f>
        <v>NA</v>
      </c>
      <c r="CT396" s="96">
        <f>INPUT!DE295</f>
        <v>0</v>
      </c>
      <c r="CU396" s="18" t="str">
        <f>INPUT!DF295</f>
        <v>NA</v>
      </c>
      <c r="CV396" s="96">
        <f>INPUT!DG295</f>
        <v>0</v>
      </c>
      <c r="CW396" s="18" t="str">
        <f>INPUT!DH295</f>
        <v>NA</v>
      </c>
      <c r="CX396" s="96">
        <f>INPUT!DI295</f>
        <v>0</v>
      </c>
      <c r="CY396" s="18" t="str">
        <f>INPUT!DJ295</f>
        <v>NA</v>
      </c>
      <c r="CZ396" s="96">
        <f>INPUT!DK295</f>
        <v>0</v>
      </c>
      <c r="DA396" s="18" t="str">
        <f>INPUT!DL295</f>
        <v>NA</v>
      </c>
      <c r="DB396" s="96">
        <f>INPUT!DM295</f>
        <v>0</v>
      </c>
      <c r="DC396" s="18" t="str">
        <f>INPUT!DN295</f>
        <v>NA</v>
      </c>
      <c r="DD396" s="96">
        <f>INPUT!DO295</f>
        <v>0</v>
      </c>
      <c r="DE396" s="18" t="str">
        <f>INPUT!DP295</f>
        <v>NA</v>
      </c>
      <c r="DF396" s="96">
        <f>INPUT!DQ295</f>
        <v>0</v>
      </c>
      <c r="DG396" s="18" t="str">
        <f>INPUT!DR295</f>
        <v>NA</v>
      </c>
      <c r="DH396" s="96">
        <f>INPUT!DS295</f>
        <v>0</v>
      </c>
      <c r="DI396" s="18" t="str">
        <f>INPUT!DT295</f>
        <v>NA</v>
      </c>
      <c r="DJ396" s="96">
        <f>INPUT!DU295</f>
        <v>0</v>
      </c>
      <c r="DK396" s="18" t="str">
        <f>INPUT!DV295</f>
        <v>NA</v>
      </c>
      <c r="DL396" s="96">
        <f>INPUT!DW295</f>
        <v>0</v>
      </c>
      <c r="DM396" s="18" t="str">
        <f>INPUT!DX295</f>
        <v>NA</v>
      </c>
      <c r="DN396" s="96">
        <f>INPUT!DY295</f>
        <v>0</v>
      </c>
      <c r="DO396" s="18" t="str">
        <f>INPUT!DZ295</f>
        <v>NA</v>
      </c>
      <c r="DP396" s="96">
        <f>INPUT!EA295</f>
        <v>0</v>
      </c>
      <c r="DQ396" s="18" t="str">
        <f>INPUT!EB295</f>
        <v>NA</v>
      </c>
      <c r="DR396" s="96">
        <f>INPUT!EC295</f>
        <v>0</v>
      </c>
      <c r="DS396" s="18" t="str">
        <f>INPUT!ED295</f>
        <v>NA</v>
      </c>
      <c r="DT396" s="96">
        <f>INPUT!EE295</f>
        <v>0</v>
      </c>
      <c r="DU396" s="18" t="str">
        <f>INPUT!EF295</f>
        <v>NA</v>
      </c>
      <c r="DV396" s="96">
        <f>INPUT!EG295</f>
        <v>0</v>
      </c>
      <c r="DW396" s="18" t="str">
        <f>INPUT!EH295</f>
        <v>NA</v>
      </c>
      <c r="DX396" s="96">
        <f>INPUT!EI295</f>
        <v>0</v>
      </c>
      <c r="DY396" s="18" t="str">
        <f>INPUT!EJ295</f>
        <v>NA</v>
      </c>
      <c r="DZ396" s="96">
        <f>INPUT!EK295</f>
        <v>0</v>
      </c>
      <c r="EA396" s="18" t="str">
        <f>INPUT!EL295</f>
        <v>NA</v>
      </c>
      <c r="EB396" s="96">
        <f>INPUT!EM295</f>
        <v>0</v>
      </c>
      <c r="EC396" s="18" t="str">
        <f>INPUT!EN295</f>
        <v>NA</v>
      </c>
      <c r="ED396" s="96">
        <f>INPUT!EO295</f>
        <v>0</v>
      </c>
      <c r="EE396" s="18" t="str">
        <f>INPUT!EP295</f>
        <v>NA</v>
      </c>
      <c r="EF396" s="96">
        <f>INPUT!EQ295</f>
        <v>0</v>
      </c>
      <c r="EG396" s="18" t="str">
        <f>INPUT!ER295</f>
        <v>NA</v>
      </c>
      <c r="EH396" s="18"/>
      <c r="EI396" s="96"/>
      <c r="EJ396" s="657"/>
      <c r="EK396" s="96">
        <f>INPUT!FD295</f>
        <v>0</v>
      </c>
      <c r="EL396" s="5" t="str">
        <f>INPUT!FE295</f>
        <v>NA</v>
      </c>
      <c r="EM396" s="96">
        <f>INPUT!FF295</f>
        <v>0</v>
      </c>
      <c r="EN396" s="5" t="str">
        <f>INPUT!FG295</f>
        <v>NA</v>
      </c>
      <c r="EO396" s="96">
        <f>INPUT!FH295</f>
        <v>0</v>
      </c>
      <c r="EP396" s="5" t="str">
        <f>INPUT!FI295</f>
        <v>NA</v>
      </c>
      <c r="EQ396" s="96">
        <f>INPUT!FJ295</f>
        <v>0</v>
      </c>
      <c r="ER396" s="5" t="str">
        <f>INPUT!FK295</f>
        <v>NA</v>
      </c>
      <c r="ES396" s="96">
        <f>INPUT!FL295</f>
        <v>0</v>
      </c>
      <c r="ET396" s="5" t="str">
        <f>INPUT!FM295</f>
        <v>NA</v>
      </c>
      <c r="EU396" s="96">
        <f>INPUT!FN295</f>
        <v>0</v>
      </c>
      <c r="EV396" s="5" t="str">
        <f>INPUT!FO295</f>
        <v>NA</v>
      </c>
      <c r="EW396" s="96">
        <f>INPUT!FP295</f>
        <v>0</v>
      </c>
      <c r="EX396" s="5" t="str">
        <f>INPUT!FQ295</f>
        <v>NA</v>
      </c>
      <c r="EY396" s="96">
        <f>INPUT!FR295</f>
        <v>0</v>
      </c>
      <c r="EZ396" s="5" t="str">
        <f>INPUT!FS295</f>
        <v>NA</v>
      </c>
      <c r="FA396" s="96">
        <f>INPUT!FT295</f>
        <v>0</v>
      </c>
      <c r="FB396" s="5" t="str">
        <f>INPUT!FU295</f>
        <v>NA</v>
      </c>
      <c r="FC396" s="96">
        <f>INPUT!FV295</f>
        <v>0</v>
      </c>
      <c r="FD396" s="5" t="str">
        <f>INPUT!FW295</f>
        <v>NA</v>
      </c>
      <c r="FE396" s="96">
        <f>INPUT!FX295</f>
        <v>0</v>
      </c>
      <c r="FF396" s="5" t="str">
        <f>INPUT!FY295</f>
        <v>NA</v>
      </c>
      <c r="FG396" s="96">
        <f>INPUT!FZ295</f>
        <v>0</v>
      </c>
      <c r="FH396" s="5" t="str">
        <f>INPUT!GA295</f>
        <v>NA</v>
      </c>
      <c r="FI396" s="96">
        <f>INPUT!GB295</f>
        <v>0</v>
      </c>
      <c r="FJ396" s="5" t="str">
        <f>INPUT!GC295</f>
        <v>NA</v>
      </c>
      <c r="FK396" s="96">
        <f>INPUT!GD295</f>
        <v>0</v>
      </c>
      <c r="FL396" s="5" t="str">
        <f>INPUT!GE295</f>
        <v>NA</v>
      </c>
      <c r="FM396" s="96">
        <f>INPUT!GF295</f>
        <v>0</v>
      </c>
      <c r="FN396" s="5" t="str">
        <f>INPUT!GG295</f>
        <v>NA</v>
      </c>
      <c r="FO396" s="96">
        <f>INPUT!GH295</f>
        <v>0</v>
      </c>
      <c r="FP396" s="5" t="str">
        <f>INPUT!GI295</f>
        <v>NA</v>
      </c>
      <c r="FQ396" s="96">
        <f>INPUT!GJ295</f>
        <v>0</v>
      </c>
      <c r="FR396" s="5" t="str">
        <f>INPUT!GK295</f>
        <v>NA</v>
      </c>
      <c r="FS396" s="96">
        <f>INPUT!GL295</f>
        <v>0</v>
      </c>
      <c r="FT396" s="5" t="str">
        <f>INPUT!GM295</f>
        <v>NA</v>
      </c>
      <c r="FU396" s="96">
        <f>INPUT!GN295</f>
        <v>0</v>
      </c>
      <c r="FV396" s="5" t="str">
        <f>INPUT!GO295</f>
        <v>NA</v>
      </c>
      <c r="FW396" s="96">
        <f>INPUT!GP295</f>
        <v>0</v>
      </c>
      <c r="FX396" s="5" t="str">
        <f>INPUT!GQ295</f>
        <v>NA</v>
      </c>
      <c r="FY396" s="96">
        <f>INPUT!GR295</f>
        <v>0</v>
      </c>
      <c r="FZ396" s="5" t="str">
        <f>INPUT!GS295</f>
        <v>NA</v>
      </c>
      <c r="GA396" s="5" t="str">
        <f>INPUT!GT295</f>
        <v>NA</v>
      </c>
    </row>
    <row r="397" spans="1:183" ht="12.75" hidden="1" customHeight="1" outlineLevel="1" x14ac:dyDescent="0.2">
      <c r="A397" s="612" t="str">
        <f>INPUT!B296</f>
        <v>Interest Expense</v>
      </c>
      <c r="B397" s="96">
        <f>INPUT!M296</f>
        <v>38.4</v>
      </c>
      <c r="C397" s="18">
        <f>INPUT!N296</f>
        <v>-7.4698795180722977</v>
      </c>
      <c r="D397" s="96">
        <f>INPUT!O296</f>
        <v>38.700000000000003</v>
      </c>
      <c r="E397" s="18">
        <f>INPUT!P296</f>
        <v>0.7812500000000222</v>
      </c>
      <c r="F397" s="96">
        <f>INPUT!Q296</f>
        <v>42.9</v>
      </c>
      <c r="G397" s="18">
        <f>INPUT!R296</f>
        <v>10.852713178294572</v>
      </c>
      <c r="H397" s="96">
        <f>INPUT!S296</f>
        <v>42.4</v>
      </c>
      <c r="I397" s="18">
        <f>INPUT!T296</f>
        <v>-1.1655011655011704</v>
      </c>
      <c r="J397" s="96">
        <f>INPUT!U296</f>
        <v>41.5</v>
      </c>
      <c r="K397" s="18">
        <f>INPUT!V296</f>
        <v>-2.1226415094339535</v>
      </c>
      <c r="L397" s="96">
        <f>INPUT!W296</f>
        <v>45.9</v>
      </c>
      <c r="M397" s="18">
        <f>INPUT!X296</f>
        <v>10.60240963855421</v>
      </c>
      <c r="N397" s="96">
        <f>INPUT!Y296</f>
        <v>50</v>
      </c>
      <c r="O397" s="18">
        <f>INPUT!Z296</f>
        <v>8.9324618736383421</v>
      </c>
      <c r="P397" s="96">
        <f>INPUT!AA296</f>
        <v>49.8</v>
      </c>
      <c r="Q397" s="18">
        <f>INPUT!AB296</f>
        <v>-0.40000000000000036</v>
      </c>
      <c r="R397" s="96">
        <f>INPUT!AC296</f>
        <v>49.2</v>
      </c>
      <c r="S397" s="18">
        <f>INPUT!AD296</f>
        <v>-1.2048192771084265</v>
      </c>
      <c r="T397" s="96">
        <f>INPUT!AE296</f>
        <v>51.5</v>
      </c>
      <c r="U397" s="18">
        <f>INPUT!AF296</f>
        <v>4.674796747967469</v>
      </c>
      <c r="V397" s="96">
        <f>INPUT!AG296</f>
        <v>53.4</v>
      </c>
      <c r="W397" s="18">
        <f>INPUT!AH296</f>
        <v>3.689320388349504</v>
      </c>
      <c r="X397" s="96">
        <f>INPUT!AI296</f>
        <v>53</v>
      </c>
      <c r="Y397" s="18">
        <f>INPUT!AJ296</f>
        <v>-0.74906367041198685</v>
      </c>
      <c r="Z397" s="96">
        <f>INPUT!AK296</f>
        <v>52.8</v>
      </c>
      <c r="AA397" s="18">
        <f>INPUT!AL296</f>
        <v>-0.37735849056603765</v>
      </c>
      <c r="AB397" s="96">
        <f>INPUT!AM296</f>
        <v>52.9</v>
      </c>
      <c r="AC397" s="18">
        <f>INPUT!AN296</f>
        <v>0.18939393939394478</v>
      </c>
      <c r="AD397" s="96">
        <f>INPUT!AO296</f>
        <v>49.8</v>
      </c>
      <c r="AE397" s="18">
        <f>INPUT!AP296</f>
        <v>-5.8601134215500945</v>
      </c>
      <c r="AF397" s="96">
        <f>INPUT!AQ296</f>
        <v>23.4921875</v>
      </c>
      <c r="AG397" s="18" t="str">
        <f>INPUT!AR296</f>
        <v>NM</v>
      </c>
      <c r="AH397" s="96">
        <f>INPUT!AS296</f>
        <v>28.245312500000001</v>
      </c>
      <c r="AI397" s="18">
        <f>INPUT!AT296</f>
        <v>20.232790156301974</v>
      </c>
      <c r="AJ397" s="96">
        <f>INPUT!AU296</f>
        <v>29.145312500000003</v>
      </c>
      <c r="AK397" s="18">
        <f>INPUT!AV296</f>
        <v>3.1863694197046044</v>
      </c>
      <c r="AL397" s="96">
        <f>INPUT!AW296</f>
        <v>24.645312500000003</v>
      </c>
      <c r="AM397" s="18">
        <f>INPUT!AX296</f>
        <v>-15.439875623224141</v>
      </c>
      <c r="AN397" s="96">
        <f>INPUT!AY296</f>
        <v>26.245312499999997</v>
      </c>
      <c r="AO397" s="18">
        <f>INPUT!AZ296</f>
        <v>6.4921067647245145</v>
      </c>
      <c r="AP397" s="96">
        <f>INPUT!BA296</f>
        <v>24.345312499999999</v>
      </c>
      <c r="AQ397" s="18">
        <f>INPUT!BB296</f>
        <v>-7.2393879859498629</v>
      </c>
      <c r="AR397" s="96">
        <f>INPUT!BC296</f>
        <v>23.145312499999999</v>
      </c>
      <c r="AS397" s="18">
        <f>INPUT!BD296</f>
        <v>-4.92908029009691</v>
      </c>
      <c r="AT397" s="96">
        <f>INPUT!BE296</f>
        <v>22.4453125</v>
      </c>
      <c r="AU397" s="18">
        <f>INPUT!BF296</f>
        <v>-3.0243704853844533</v>
      </c>
      <c r="AV397" s="96">
        <f>INPUT!BG296</f>
        <v>19.145312499999996</v>
      </c>
      <c r="AW397" s="18">
        <f>INPUT!BH296</f>
        <v>-14.702401670727482</v>
      </c>
      <c r="AX397" s="96">
        <f>INPUT!BI296</f>
        <v>12.145312499999999</v>
      </c>
      <c r="AY397" s="18">
        <f>INPUT!BJ296</f>
        <v>-36.562474496041773</v>
      </c>
      <c r="AZ397" s="96">
        <f>INPUT!BK296</f>
        <v>10.645312499999999</v>
      </c>
      <c r="BA397" s="18">
        <f>INPUT!BL296</f>
        <v>-12.350443844075642</v>
      </c>
      <c r="BB397" s="96">
        <f>INPUT!BM296</f>
        <v>8.6453125000000028</v>
      </c>
      <c r="BC397" s="18">
        <f>INPUT!BN296</f>
        <v>-18.787611918391278</v>
      </c>
      <c r="BD397" s="96">
        <f>INPUT!BO296</f>
        <v>26.9</v>
      </c>
      <c r="BE397" s="18" t="str">
        <f>INPUT!BP296</f>
        <v>NM</v>
      </c>
      <c r="BF397" s="96">
        <f>INPUT!BQ296</f>
        <v>26</v>
      </c>
      <c r="BG397" s="18">
        <f>INPUT!BR296</f>
        <v>-3.3457249070631967</v>
      </c>
      <c r="BH397" s="96">
        <f>INPUT!BS296</f>
        <v>25.6</v>
      </c>
      <c r="BI397" s="18">
        <f>INPUT!BT296</f>
        <v>-1.538461538461533</v>
      </c>
      <c r="BJ397" s="96">
        <f>INPUT!BU296</f>
        <v>24.1</v>
      </c>
      <c r="BK397" s="18">
        <f>INPUT!BV296</f>
        <v>-5.859375</v>
      </c>
      <c r="BL397" s="96">
        <f>INPUT!BW296</f>
        <v>31.1</v>
      </c>
      <c r="BM397" s="18">
        <f>INPUT!BX296</f>
        <v>29.045643153526978</v>
      </c>
      <c r="BN397" s="96">
        <f>INPUT!BY296</f>
        <v>30.3</v>
      </c>
      <c r="BO397" s="18">
        <f>INPUT!BZ296</f>
        <v>-2.5723472668810365</v>
      </c>
      <c r="BP397" s="96">
        <f>INPUT!CA296</f>
        <v>30.8</v>
      </c>
      <c r="BQ397" s="18">
        <f>INPUT!CB296</f>
        <v>1.650165016501659</v>
      </c>
      <c r="BR397" s="96">
        <f>INPUT!CC296</f>
        <v>31.8</v>
      </c>
      <c r="BS397" s="18">
        <f>INPUT!CD296</f>
        <v>3.2467532467532534</v>
      </c>
      <c r="BT397" s="96">
        <f>INPUT!CE296</f>
        <v>36</v>
      </c>
      <c r="BU397" s="18">
        <f>INPUT!CF296</f>
        <v>13.207547169811317</v>
      </c>
      <c r="BV397" s="96">
        <f>INPUT!CG296</f>
        <v>34.9</v>
      </c>
      <c r="BW397" s="18">
        <f>INPUT!CH296</f>
        <v>-3.0555555555555558</v>
      </c>
      <c r="BX397" s="96">
        <f>INPUT!CI296</f>
        <v>32.299999999999997</v>
      </c>
      <c r="BY397" s="18">
        <f>INPUT!CJ296</f>
        <v>-7.4498567335243626</v>
      </c>
      <c r="BZ397" s="96">
        <f>INPUT!CK296</f>
        <v>32.200000000000003</v>
      </c>
      <c r="CA397" s="18">
        <f>INPUT!CL296</f>
        <v>-0.30959752321979561</v>
      </c>
      <c r="CB397" s="96">
        <f>INPUT!CM296</f>
        <v>32.4</v>
      </c>
      <c r="CC397" s="18">
        <f>INPUT!CN296</f>
        <v>0.62111801242235032</v>
      </c>
      <c r="CD397" s="96">
        <f>INPUT!CO296</f>
        <v>32.5</v>
      </c>
      <c r="CE397" s="18">
        <f>INPUT!CP296</f>
        <v>0.30864197530864335</v>
      </c>
      <c r="CF397" s="96">
        <f>INPUT!CQ296</f>
        <v>32.200000000000003</v>
      </c>
      <c r="CG397" s="18">
        <f>INPUT!CR296</f>
        <v>-0.92307692307691536</v>
      </c>
      <c r="CH397" s="96">
        <f>INPUT!CS296</f>
        <v>33.9</v>
      </c>
      <c r="CI397" s="18">
        <f>INPUT!CT296</f>
        <v>5.2795031055900443</v>
      </c>
      <c r="CJ397" s="96">
        <f>INPUT!CU296</f>
        <v>35.299999999999997</v>
      </c>
      <c r="CK397" s="18">
        <f>INPUT!CV296</f>
        <v>4.1297935103244754</v>
      </c>
      <c r="CL397" s="96">
        <f>INPUT!CW296</f>
        <v>34.799999999999997</v>
      </c>
      <c r="CM397" s="18">
        <f>INPUT!CX296</f>
        <v>-1.4164305949008527</v>
      </c>
      <c r="CN397" s="96">
        <f>INPUT!CY296</f>
        <v>35.200000000000003</v>
      </c>
      <c r="CO397" s="18">
        <f>INPUT!CZ296</f>
        <v>1.1494252873563315</v>
      </c>
      <c r="CP397" s="96">
        <f>INPUT!DA296</f>
        <v>32.800000000000004</v>
      </c>
      <c r="CQ397" s="18">
        <f>INPUT!DB296</f>
        <v>-6.8181818181818121</v>
      </c>
      <c r="CR397" s="96">
        <f>INPUT!DC296</f>
        <v>39.700000000000003</v>
      </c>
      <c r="CS397" s="18">
        <f>INPUT!DD296</f>
        <v>21.036585365853643</v>
      </c>
      <c r="CT397" s="96">
        <f>INPUT!DE296</f>
        <v>35</v>
      </c>
      <c r="CU397" s="18">
        <f>INPUT!DF296</f>
        <v>-11.838790931989928</v>
      </c>
      <c r="CV397" s="96">
        <f>INPUT!DG296</f>
        <v>49.7</v>
      </c>
      <c r="CW397" s="18">
        <f>INPUT!DH296</f>
        <v>42.000000000000014</v>
      </c>
      <c r="CX397" s="96">
        <f>INPUT!DI296</f>
        <v>35.799999999999997</v>
      </c>
      <c r="CY397" s="18">
        <f>INPUT!DJ296</f>
        <v>-27.967806841046283</v>
      </c>
      <c r="CZ397" s="96">
        <f>INPUT!DK296</f>
        <v>38.799999999999997</v>
      </c>
      <c r="DA397" s="18">
        <f>INPUT!DL296</f>
        <v>8.3798882681564315</v>
      </c>
      <c r="DB397" s="96">
        <f>INPUT!DM296</f>
        <v>39.299999999999997</v>
      </c>
      <c r="DC397" s="18">
        <f>INPUT!DN296</f>
        <v>1.2886597938144284</v>
      </c>
      <c r="DD397" s="96">
        <f>INPUT!DO296</f>
        <v>44.6</v>
      </c>
      <c r="DE397" s="18">
        <f>INPUT!DP296</f>
        <v>13.486005089058528</v>
      </c>
      <c r="DF397" s="96">
        <f>INPUT!DQ296</f>
        <v>38.1</v>
      </c>
      <c r="DG397" s="18">
        <f>INPUT!DR296</f>
        <v>-14.573991031390133</v>
      </c>
      <c r="DH397" s="96">
        <f>INPUT!DS296</f>
        <v>43.2</v>
      </c>
      <c r="DI397" s="18">
        <f>INPUT!DT296</f>
        <v>13.385826771653541</v>
      </c>
      <c r="DJ397" s="96">
        <f>INPUT!DU296</f>
        <v>41</v>
      </c>
      <c r="DK397" s="18">
        <f>INPUT!DV296</f>
        <v>-5.0925925925926041</v>
      </c>
      <c r="DL397" s="96">
        <f>INPUT!DW296</f>
        <v>45.9</v>
      </c>
      <c r="DM397" s="18">
        <f>INPUT!DX296</f>
        <v>11.951219512195109</v>
      </c>
      <c r="DN397" s="96">
        <f>INPUT!DY296</f>
        <v>52</v>
      </c>
      <c r="DO397" s="18">
        <f>INPUT!DZ296</f>
        <v>13.28976034858389</v>
      </c>
      <c r="DP397" s="96">
        <f>INPUT!EA296</f>
        <v>47.5</v>
      </c>
      <c r="DQ397" s="18">
        <f>INPUT!EB296</f>
        <v>-8.6538461538461569</v>
      </c>
      <c r="DR397" s="96">
        <f>INPUT!EC296</f>
        <v>63.7</v>
      </c>
      <c r="DS397" s="18">
        <f>INPUT!ED296</f>
        <v>34.105263157894747</v>
      </c>
      <c r="DT397" s="96">
        <f>INPUT!EE296</f>
        <v>43.3</v>
      </c>
      <c r="DU397" s="18">
        <f>INPUT!EF296</f>
        <v>-32.025117739403463</v>
      </c>
      <c r="DV397" s="96">
        <f>INPUT!EG296</f>
        <v>42.9</v>
      </c>
      <c r="DW397" s="18">
        <f>INPUT!EH296</f>
        <v>-0.92378752886835835</v>
      </c>
      <c r="DX397" s="96">
        <f>INPUT!EI296</f>
        <v>41.8</v>
      </c>
      <c r="DY397" s="18">
        <f>INPUT!EJ296</f>
        <v>-2.5641025641025661</v>
      </c>
      <c r="DZ397" s="96">
        <f>INPUT!EK296</f>
        <v>41.8</v>
      </c>
      <c r="EA397" s="18">
        <f>INPUT!EL296</f>
        <v>0</v>
      </c>
      <c r="EB397" s="96">
        <f>INPUT!EM296</f>
        <v>41.8</v>
      </c>
      <c r="EC397" s="18">
        <f>INPUT!EN296</f>
        <v>0</v>
      </c>
      <c r="ED397" s="96">
        <f>INPUT!EO296</f>
        <v>43.55</v>
      </c>
      <c r="EE397" s="18">
        <f>INPUT!EP296</f>
        <v>4.1866028708134051</v>
      </c>
      <c r="EF397" s="96">
        <f>INPUT!EQ296</f>
        <v>43.55</v>
      </c>
      <c r="EG397" s="18">
        <f>INPUT!ER296</f>
        <v>0</v>
      </c>
      <c r="EH397" s="18"/>
      <c r="EI397" s="96"/>
      <c r="EJ397" s="5"/>
      <c r="EK397" s="96">
        <f>INPUT!FD296</f>
        <v>162.4</v>
      </c>
      <c r="EL397" s="5" t="str">
        <f>INPUT!FE296</f>
        <v>NA</v>
      </c>
      <c r="EM397" s="96">
        <f>INPUT!FF296</f>
        <v>187.2</v>
      </c>
      <c r="EN397" s="5">
        <f>INPUT!FG296</f>
        <v>15.270935960591125</v>
      </c>
      <c r="EO397" s="96">
        <f>INPUT!FH296</f>
        <v>207.10000000000002</v>
      </c>
      <c r="EP397" s="5">
        <f>INPUT!FI296</f>
        <v>10.630341880341909</v>
      </c>
      <c r="EQ397" s="96">
        <f>INPUT!FJ296</f>
        <v>178.9921875</v>
      </c>
      <c r="ER397" s="5">
        <f>INPUT!FK296</f>
        <v>-13.572096813133761</v>
      </c>
      <c r="ES397" s="96">
        <f>INPUT!FL296</f>
        <v>108.28125</v>
      </c>
      <c r="ET397" s="5">
        <f>INPUT!FM296</f>
        <v>-39.50504124656279</v>
      </c>
      <c r="EU397" s="96">
        <f>INPUT!FN296</f>
        <v>89.081249999999983</v>
      </c>
      <c r="EV397" s="5">
        <f>INPUT!FO296</f>
        <v>-17.731601731601742</v>
      </c>
      <c r="EW397" s="96">
        <f>INPUT!FP296</f>
        <v>58.3359375</v>
      </c>
      <c r="EX397" s="5">
        <f>INPUT!FQ296</f>
        <v>-34.513786571248147</v>
      </c>
      <c r="EY397" s="96">
        <f>INPUT!FR296</f>
        <v>106.8</v>
      </c>
      <c r="EZ397" s="5">
        <f>INPUT!FS296</f>
        <v>83.077541181197262</v>
      </c>
      <c r="FA397" s="96">
        <f>INPUT!FT296</f>
        <v>128.9</v>
      </c>
      <c r="FB397" s="5">
        <f>INPUT!FU296</f>
        <v>20.692883895131086</v>
      </c>
      <c r="FC397" s="96">
        <f>INPUT!FV296</f>
        <v>131.79999999999998</v>
      </c>
      <c r="FD397" s="5">
        <f>INPUT!FW296</f>
        <v>2.2498060512024631</v>
      </c>
      <c r="FE397" s="96">
        <f>INPUT!FX296</f>
        <v>133.89999999999998</v>
      </c>
      <c r="FF397" s="5">
        <f>INPUT!FY296</f>
        <v>1.5933232169954348</v>
      </c>
      <c r="FG397" s="96">
        <f>INPUT!FZ296</f>
        <v>142.5</v>
      </c>
      <c r="FH397" s="5">
        <f>INPUT!GA296</f>
        <v>6.4227035100821617</v>
      </c>
      <c r="FI397" s="96">
        <f>INPUT!GB296</f>
        <v>159.30000000000001</v>
      </c>
      <c r="FJ397" s="5">
        <f>INPUT!GC296</f>
        <v>11.789473684210527</v>
      </c>
      <c r="FK397" s="96">
        <f>INPUT!GD296</f>
        <v>165.2</v>
      </c>
      <c r="FL397" s="5">
        <f>INPUT!GE296</f>
        <v>3.7037037037036979</v>
      </c>
      <c r="FM397" s="96">
        <f>INPUT!GF296</f>
        <v>186.4</v>
      </c>
      <c r="FN397" s="5">
        <f>INPUT!GG296</f>
        <v>12.832929782082324</v>
      </c>
      <c r="FO397" s="96">
        <f>INPUT!GH296</f>
        <v>191.7</v>
      </c>
      <c r="FP397" s="5">
        <f>INPUT!GI296</f>
        <v>2.8433476394849722</v>
      </c>
      <c r="FQ397" s="96">
        <f>INPUT!GJ296</f>
        <v>170.7</v>
      </c>
      <c r="FR397" s="5">
        <f>INPUT!GK296</f>
        <v>-10.954616588419409</v>
      </c>
      <c r="FS397" s="96">
        <f>INPUT!GL296</f>
        <v>174.2</v>
      </c>
      <c r="FT397" s="5">
        <f>INPUT!GM296</f>
        <v>2.0503807850029254</v>
      </c>
      <c r="FU397" s="96">
        <f>INPUT!GN296</f>
        <v>175.94199999999998</v>
      </c>
      <c r="FV397" s="5">
        <f>INPUT!GO296</f>
        <v>1.0000000000000009</v>
      </c>
      <c r="FW397" s="96">
        <f>INPUT!GP296</f>
        <v>177.70141999999998</v>
      </c>
      <c r="FX397" s="5">
        <f>INPUT!GQ296</f>
        <v>1.0000000000000009</v>
      </c>
      <c r="FY397" s="96">
        <f>INPUT!GR296</f>
        <v>179.47843419999998</v>
      </c>
      <c r="FZ397" s="5">
        <f>INPUT!GS296</f>
        <v>1.0000000000000009</v>
      </c>
      <c r="GA397" s="5">
        <f>INPUT!GT296</f>
        <v>-1.3088904033967563</v>
      </c>
    </row>
    <row r="398" spans="1:183" ht="12.75" hidden="1" customHeight="1" outlineLevel="2" x14ac:dyDescent="0.2">
      <c r="A398" s="612" t="str">
        <f>INPUT!B297</f>
        <v>Interest Expense on 2011 Debt</v>
      </c>
      <c r="B398" s="96">
        <f>INPUT!M297</f>
        <v>0</v>
      </c>
      <c r="C398" s="18" t="str">
        <f>INPUT!N297</f>
        <v>NA</v>
      </c>
      <c r="D398" s="96">
        <f>INPUT!O297</f>
        <v>0</v>
      </c>
      <c r="E398" s="18" t="str">
        <f>INPUT!P297</f>
        <v>NA</v>
      </c>
      <c r="F398" s="96">
        <f>INPUT!Q297</f>
        <v>0</v>
      </c>
      <c r="G398" s="18" t="str">
        <f>INPUT!R297</f>
        <v>NA</v>
      </c>
      <c r="H398" s="96">
        <f>INPUT!S297</f>
        <v>0</v>
      </c>
      <c r="I398" s="18" t="str">
        <f>INPUT!T297</f>
        <v>NA</v>
      </c>
      <c r="J398" s="96">
        <f>INPUT!U297</f>
        <v>0</v>
      </c>
      <c r="K398" s="18" t="str">
        <f>INPUT!V297</f>
        <v>NA</v>
      </c>
      <c r="L398" s="96">
        <f>INPUT!W297</f>
        <v>0</v>
      </c>
      <c r="M398" s="18" t="str">
        <f>INPUT!X297</f>
        <v>NA</v>
      </c>
      <c r="N398" s="96">
        <f>INPUT!Y297</f>
        <v>0</v>
      </c>
      <c r="O398" s="18" t="str">
        <f>INPUT!Z297</f>
        <v>NA</v>
      </c>
      <c r="P398" s="96">
        <f>INPUT!AA297</f>
        <v>0</v>
      </c>
      <c r="Q398" s="18" t="str">
        <f>INPUT!AB297</f>
        <v>NA</v>
      </c>
      <c r="R398" s="96">
        <f>INPUT!AC297</f>
        <v>0</v>
      </c>
      <c r="S398" s="18" t="str">
        <f>INPUT!AD297</f>
        <v>NA</v>
      </c>
      <c r="T398" s="96">
        <f>INPUT!AE297</f>
        <v>0</v>
      </c>
      <c r="U398" s="18" t="str">
        <f>INPUT!AF297</f>
        <v>NA</v>
      </c>
      <c r="V398" s="96">
        <f>INPUT!AG297</f>
        <v>0</v>
      </c>
      <c r="W398" s="18" t="str">
        <f>INPUT!AH297</f>
        <v>NA</v>
      </c>
      <c r="X398" s="96">
        <f>INPUT!AI297</f>
        <v>0</v>
      </c>
      <c r="Y398" s="18" t="str">
        <f>INPUT!AJ297</f>
        <v>NA</v>
      </c>
      <c r="Z398" s="96">
        <f>INPUT!AK297</f>
        <v>0</v>
      </c>
      <c r="AA398" s="18" t="str">
        <f>INPUT!AL297</f>
        <v>NA</v>
      </c>
      <c r="AB398" s="96">
        <f>INPUT!AM297</f>
        <v>0</v>
      </c>
      <c r="AC398" s="18" t="str">
        <f>INPUT!AN297</f>
        <v>NA</v>
      </c>
      <c r="AD398" s="96">
        <f>INPUT!AO297</f>
        <v>0</v>
      </c>
      <c r="AE398" s="18" t="str">
        <f>INPUT!AP297</f>
        <v>NA</v>
      </c>
      <c r="AF398" s="96">
        <f>INPUT!AQ297</f>
        <v>10.9609375</v>
      </c>
      <c r="AG398" s="18" t="str">
        <f>INPUT!AR297</f>
        <v>NA</v>
      </c>
      <c r="AH398" s="96">
        <f>INPUT!AS297</f>
        <v>10.9609375</v>
      </c>
      <c r="AI398" s="18">
        <f>INPUT!AT297</f>
        <v>0</v>
      </c>
      <c r="AJ398" s="96">
        <f>INPUT!AU297</f>
        <v>10.9609375</v>
      </c>
      <c r="AK398" s="18">
        <f>INPUT!AV297</f>
        <v>0</v>
      </c>
      <c r="AL398" s="96">
        <f>INPUT!AW297</f>
        <v>10.9609375</v>
      </c>
      <c r="AM398" s="18">
        <f>INPUT!AX297</f>
        <v>0</v>
      </c>
      <c r="AN398" s="96">
        <f>INPUT!AY297</f>
        <v>10.9609375</v>
      </c>
      <c r="AO398" s="18">
        <f>INPUT!AZ297</f>
        <v>0</v>
      </c>
      <c r="AP398" s="96">
        <f>INPUT!BA297</f>
        <v>10.9609375</v>
      </c>
      <c r="AQ398" s="18">
        <f>INPUT!BB297</f>
        <v>0</v>
      </c>
      <c r="AR398" s="96">
        <f>INPUT!BC297</f>
        <v>10.9609375</v>
      </c>
      <c r="AS398" s="18">
        <f>INPUT!BD297</f>
        <v>0</v>
      </c>
      <c r="AT398" s="96">
        <f>INPUT!BE297</f>
        <v>10.9609375</v>
      </c>
      <c r="AU398" s="18">
        <f>INPUT!BF297</f>
        <v>0</v>
      </c>
      <c r="AV398" s="96">
        <f>INPUT!BG297</f>
        <v>10.9609375</v>
      </c>
      <c r="AW398" s="18">
        <f>INPUT!BH297</f>
        <v>0</v>
      </c>
      <c r="AX398" s="96">
        <f>INPUT!BI297</f>
        <v>10.9609375</v>
      </c>
      <c r="AY398" s="18">
        <f>INPUT!BJ297</f>
        <v>0</v>
      </c>
      <c r="AZ398" s="96">
        <f>INPUT!BK297</f>
        <v>10.9609375</v>
      </c>
      <c r="BA398" s="18">
        <f>INPUT!BL297</f>
        <v>0</v>
      </c>
      <c r="BB398" s="96">
        <f>INPUT!BM297</f>
        <v>10.9609375</v>
      </c>
      <c r="BC398" s="18">
        <f>INPUT!BN297</f>
        <v>0</v>
      </c>
      <c r="BD398" s="96">
        <f>INPUT!BO297</f>
        <v>0</v>
      </c>
      <c r="BE398" s="18">
        <f>INPUT!BP297</f>
        <v>0</v>
      </c>
      <c r="BF398" s="96">
        <f>INPUT!BQ297</f>
        <v>0</v>
      </c>
      <c r="BG398" s="18">
        <f>INPUT!BR297</f>
        <v>0</v>
      </c>
      <c r="BH398" s="96">
        <f>INPUT!BS297</f>
        <v>0</v>
      </c>
      <c r="BI398" s="18">
        <f>INPUT!BT297</f>
        <v>0</v>
      </c>
      <c r="BJ398" s="96">
        <f>INPUT!BU297</f>
        <v>0</v>
      </c>
      <c r="BK398" s="18">
        <f>INPUT!BV297</f>
        <v>0</v>
      </c>
      <c r="BL398" s="96">
        <f>INPUT!BW297</f>
        <v>0</v>
      </c>
      <c r="BM398" s="18">
        <f>INPUT!BX297</f>
        <v>0</v>
      </c>
      <c r="BN398" s="96">
        <f>INPUT!BY297</f>
        <v>0</v>
      </c>
      <c r="BO398" s="18">
        <f>INPUT!BZ297</f>
        <v>0</v>
      </c>
      <c r="BP398" s="96">
        <f>INPUT!CA297</f>
        <v>0</v>
      </c>
      <c r="BQ398" s="18">
        <f>INPUT!CB297</f>
        <v>0</v>
      </c>
      <c r="BR398" s="96">
        <f>INPUT!CC297</f>
        <v>0</v>
      </c>
      <c r="BS398" s="18">
        <f>INPUT!CD297</f>
        <v>0</v>
      </c>
      <c r="BT398" s="96">
        <f>INPUT!CE297</f>
        <v>0</v>
      </c>
      <c r="BU398" s="18">
        <f>INPUT!CF297</f>
        <v>0</v>
      </c>
      <c r="BV398" s="96">
        <f>INPUT!CG297</f>
        <v>0</v>
      </c>
      <c r="BW398" s="18">
        <f>INPUT!CH297</f>
        <v>0</v>
      </c>
      <c r="BX398" s="96">
        <f>INPUT!CI297</f>
        <v>0</v>
      </c>
      <c r="BY398" s="18">
        <f>INPUT!CJ297</f>
        <v>0</v>
      </c>
      <c r="BZ398" s="96">
        <f>INPUT!CK297</f>
        <v>0</v>
      </c>
      <c r="CA398" s="18">
        <f>INPUT!CL297</f>
        <v>0</v>
      </c>
      <c r="CB398" s="96">
        <f>INPUT!CM297</f>
        <v>0</v>
      </c>
      <c r="CC398" s="18">
        <f>INPUT!CN297</f>
        <v>0</v>
      </c>
      <c r="CD398" s="96">
        <f>INPUT!CO297</f>
        <v>0</v>
      </c>
      <c r="CE398" s="18">
        <f>INPUT!CP297</f>
        <v>0</v>
      </c>
      <c r="CF398" s="96">
        <f>INPUT!CQ297</f>
        <v>0</v>
      </c>
      <c r="CG398" s="18">
        <f>INPUT!CR297</f>
        <v>0</v>
      </c>
      <c r="CH398" s="96">
        <f>INPUT!CS297</f>
        <v>0</v>
      </c>
      <c r="CI398" s="18">
        <f>INPUT!CT297</f>
        <v>0</v>
      </c>
      <c r="CJ398" s="96">
        <f>INPUT!CU297</f>
        <v>0</v>
      </c>
      <c r="CK398" s="18">
        <f>INPUT!CV297</f>
        <v>0</v>
      </c>
      <c r="CL398" s="96">
        <f>INPUT!CW297</f>
        <v>0</v>
      </c>
      <c r="CM398" s="18">
        <f>INPUT!CX297</f>
        <v>0</v>
      </c>
      <c r="CN398" s="96">
        <f>INPUT!CY297</f>
        <v>0</v>
      </c>
      <c r="CO398" s="18">
        <f>INPUT!CZ297</f>
        <v>0</v>
      </c>
      <c r="CP398" s="96">
        <f>INPUT!DA297</f>
        <v>0</v>
      </c>
      <c r="CQ398" s="18">
        <f>INPUT!DB297</f>
        <v>0</v>
      </c>
      <c r="CR398" s="96">
        <f>INPUT!DC297</f>
        <v>0</v>
      </c>
      <c r="CS398" s="18">
        <f>INPUT!DD297</f>
        <v>0</v>
      </c>
      <c r="CT398" s="96">
        <f>INPUT!DE297</f>
        <v>0</v>
      </c>
      <c r="CU398" s="18">
        <f>INPUT!DF297</f>
        <v>0</v>
      </c>
      <c r="CV398" s="96">
        <f>INPUT!DG297</f>
        <v>0</v>
      </c>
      <c r="CW398" s="18">
        <f>INPUT!DH297</f>
        <v>0</v>
      </c>
      <c r="CX398" s="96">
        <f>INPUT!DI297</f>
        <v>0</v>
      </c>
      <c r="CY398" s="18">
        <f>INPUT!DJ297</f>
        <v>0</v>
      </c>
      <c r="CZ398" s="96">
        <f>INPUT!DK297</f>
        <v>0</v>
      </c>
      <c r="DA398" s="18">
        <f>INPUT!DL297</f>
        <v>0</v>
      </c>
      <c r="DB398" s="96">
        <f>INPUT!DM297</f>
        <v>0</v>
      </c>
      <c r="DC398" s="18">
        <f>INPUT!DN297</f>
        <v>0</v>
      </c>
      <c r="DD398" s="96">
        <f>INPUT!DO297</f>
        <v>0</v>
      </c>
      <c r="DE398" s="18">
        <f>INPUT!DP297</f>
        <v>0</v>
      </c>
      <c r="DF398" s="96">
        <f>INPUT!DQ297</f>
        <v>0</v>
      </c>
      <c r="DG398" s="18">
        <f>INPUT!DR297</f>
        <v>0</v>
      </c>
      <c r="DH398" s="96">
        <f>INPUT!DS297</f>
        <v>0</v>
      </c>
      <c r="DI398" s="18">
        <f>INPUT!DT297</f>
        <v>0</v>
      </c>
      <c r="DJ398" s="96">
        <f>INPUT!DU297</f>
        <v>0</v>
      </c>
      <c r="DK398" s="18">
        <f>INPUT!DV297</f>
        <v>0</v>
      </c>
      <c r="DL398" s="96">
        <f>INPUT!DW297</f>
        <v>0</v>
      </c>
      <c r="DM398" s="18">
        <f>INPUT!DX297</f>
        <v>0</v>
      </c>
      <c r="DN398" s="96">
        <f>INPUT!DY297</f>
        <v>0</v>
      </c>
      <c r="DO398" s="18">
        <f>INPUT!DZ297</f>
        <v>0</v>
      </c>
      <c r="DP398" s="96">
        <f>INPUT!EA297</f>
        <v>0</v>
      </c>
      <c r="DQ398" s="18">
        <f>INPUT!EB297</f>
        <v>0</v>
      </c>
      <c r="DR398" s="96">
        <f>INPUT!EC297</f>
        <v>0</v>
      </c>
      <c r="DS398" s="18">
        <f>INPUT!ED297</f>
        <v>0</v>
      </c>
      <c r="DT398" s="96">
        <f>INPUT!EE297</f>
        <v>0</v>
      </c>
      <c r="DU398" s="18">
        <f>INPUT!EF297</f>
        <v>0</v>
      </c>
      <c r="DV398" s="96">
        <f>INPUT!EG297</f>
        <v>0</v>
      </c>
      <c r="DW398" s="18">
        <f>INPUT!EH297</f>
        <v>0</v>
      </c>
      <c r="DX398" s="96">
        <f>INPUT!EI297</f>
        <v>0</v>
      </c>
      <c r="DY398" s="18">
        <f>INPUT!EJ297</f>
        <v>0</v>
      </c>
      <c r="DZ398" s="96">
        <f>INPUT!EK297</f>
        <v>0</v>
      </c>
      <c r="EA398" s="18">
        <f>INPUT!EL297</f>
        <v>0</v>
      </c>
      <c r="EB398" s="96">
        <f>INPUT!EM297</f>
        <v>0</v>
      </c>
      <c r="EC398" s="18">
        <f>INPUT!EN297</f>
        <v>0</v>
      </c>
      <c r="ED398" s="96">
        <f>INPUT!EO297</f>
        <v>0</v>
      </c>
      <c r="EE398" s="18">
        <f>INPUT!EP297</f>
        <v>0</v>
      </c>
      <c r="EF398" s="96">
        <f>INPUT!EQ297</f>
        <v>0</v>
      </c>
      <c r="EG398" s="18">
        <f>INPUT!ER297</f>
        <v>0</v>
      </c>
      <c r="EH398" s="18"/>
      <c r="EI398" s="96"/>
      <c r="EJ398" s="5"/>
      <c r="EK398" s="96">
        <f>INPUT!FD297</f>
        <v>0</v>
      </c>
      <c r="EL398" s="5" t="str">
        <f>INPUT!FE297</f>
        <v>NA</v>
      </c>
      <c r="EM398" s="96">
        <f>INPUT!FF297</f>
        <v>0</v>
      </c>
      <c r="EN398" s="5" t="str">
        <f>INPUT!FG297</f>
        <v>NA</v>
      </c>
      <c r="EO398" s="96">
        <f>INPUT!FH297</f>
        <v>0</v>
      </c>
      <c r="EP398" s="5" t="str">
        <f>INPUT!FI297</f>
        <v>NA</v>
      </c>
      <c r="EQ398" s="96">
        <f>INPUT!FJ297</f>
        <v>10.9609375</v>
      </c>
      <c r="ER398" s="5" t="str">
        <f>INPUT!FK297</f>
        <v>NA</v>
      </c>
      <c r="ES398" s="96">
        <f>INPUT!FL297</f>
        <v>43.84375</v>
      </c>
      <c r="ET398" s="5" t="str">
        <f>INPUT!FM297</f>
        <v>NM</v>
      </c>
      <c r="EU398" s="96">
        <f>INPUT!FN297</f>
        <v>43.84375</v>
      </c>
      <c r="EV398" s="5">
        <f>INPUT!FO297</f>
        <v>0</v>
      </c>
      <c r="EW398" s="96">
        <f>INPUT!FP297</f>
        <v>32.8828125</v>
      </c>
      <c r="EX398" s="5">
        <f>INPUT!FQ297</f>
        <v>-25</v>
      </c>
      <c r="EY398" s="96">
        <f>INPUT!FR297</f>
        <v>0</v>
      </c>
      <c r="EZ398" s="5" t="str">
        <f>INPUT!FS297</f>
        <v>NM</v>
      </c>
      <c r="FA398" s="96">
        <f>INPUT!FT297</f>
        <v>0</v>
      </c>
      <c r="FB398" s="5" t="str">
        <f>INPUT!FU297</f>
        <v>NA</v>
      </c>
      <c r="FC398" s="96">
        <f>INPUT!FV297</f>
        <v>0</v>
      </c>
      <c r="FD398" s="5" t="str">
        <f>INPUT!FW297</f>
        <v>NA</v>
      </c>
      <c r="FE398" s="96">
        <f>INPUT!FX297</f>
        <v>0</v>
      </c>
      <c r="FF398" s="5" t="str">
        <f>INPUT!FY297</f>
        <v>NA</v>
      </c>
      <c r="FG398" s="96">
        <f>INPUT!FZ297</f>
        <v>0</v>
      </c>
      <c r="FH398" s="5" t="str">
        <f>INPUT!GA297</f>
        <v>NA</v>
      </c>
      <c r="FI398" s="96">
        <f>INPUT!GB297</f>
        <v>0</v>
      </c>
      <c r="FJ398" s="5" t="str">
        <f>INPUT!GC297</f>
        <v>NA</v>
      </c>
      <c r="FK398" s="96">
        <f>INPUT!GD297</f>
        <v>0</v>
      </c>
      <c r="FL398" s="5" t="str">
        <f>INPUT!GE297</f>
        <v>NA</v>
      </c>
      <c r="FM398" s="96">
        <f>INPUT!GF297</f>
        <v>0</v>
      </c>
      <c r="FN398" s="5" t="str">
        <f>INPUT!GG297</f>
        <v>NA</v>
      </c>
      <c r="FO398" s="96">
        <f>INPUT!GH297</f>
        <v>0</v>
      </c>
      <c r="FP398" s="5" t="str">
        <f>INPUT!GI297</f>
        <v>NA</v>
      </c>
      <c r="FQ398" s="96">
        <f>INPUT!GJ297</f>
        <v>0</v>
      </c>
      <c r="FR398" s="5" t="str">
        <f>INPUT!GK297</f>
        <v>NA</v>
      </c>
      <c r="FS398" s="96">
        <f>INPUT!GL297</f>
        <v>0</v>
      </c>
      <c r="FT398" s="5" t="str">
        <f>INPUT!GM297</f>
        <v>NA</v>
      </c>
      <c r="FU398" s="96">
        <f>INPUT!GN297</f>
        <v>0</v>
      </c>
      <c r="FV398" s="5" t="str">
        <f>INPUT!GO297</f>
        <v>NA</v>
      </c>
      <c r="FW398" s="96">
        <f>INPUT!GP297</f>
        <v>0</v>
      </c>
      <c r="FX398" s="5" t="str">
        <f>INPUT!GQ297</f>
        <v>NA</v>
      </c>
      <c r="FY398" s="96">
        <f>INPUT!GR297</f>
        <v>0</v>
      </c>
      <c r="FZ398" s="5" t="str">
        <f>INPUT!GS297</f>
        <v>NA</v>
      </c>
      <c r="GA398" s="5">
        <f>INPUT!GT297</f>
        <v>0</v>
      </c>
    </row>
    <row r="399" spans="1:183" ht="12.75" hidden="1" customHeight="1" outlineLevel="2" x14ac:dyDescent="0.2">
      <c r="A399" s="612" t="str">
        <f>INPUT!B298</f>
        <v>Interest Expense on ACES, Series 2007</v>
      </c>
      <c r="B399" s="96">
        <f>INPUT!M298</f>
        <v>0</v>
      </c>
      <c r="C399" s="18" t="str">
        <f>INPUT!N298</f>
        <v>NA</v>
      </c>
      <c r="D399" s="96">
        <f>INPUT!O298</f>
        <v>0</v>
      </c>
      <c r="E399" s="18" t="str">
        <f>INPUT!P298</f>
        <v>NA</v>
      </c>
      <c r="F399" s="96">
        <f>INPUT!Q298</f>
        <v>0</v>
      </c>
      <c r="G399" s="18" t="str">
        <f>INPUT!R298</f>
        <v>NA</v>
      </c>
      <c r="H399" s="96">
        <f>INPUT!S298</f>
        <v>0</v>
      </c>
      <c r="I399" s="18" t="str">
        <f>INPUT!T298</f>
        <v>NA</v>
      </c>
      <c r="J399" s="96">
        <f>INPUT!U298</f>
        <v>0</v>
      </c>
      <c r="K399" s="18" t="str">
        <f>INPUT!V298</f>
        <v>NA</v>
      </c>
      <c r="L399" s="96">
        <f>INPUT!W298</f>
        <v>0</v>
      </c>
      <c r="M399" s="18" t="str">
        <f>INPUT!X298</f>
        <v>NA</v>
      </c>
      <c r="N399" s="96">
        <f>INPUT!Y298</f>
        <v>0</v>
      </c>
      <c r="O399" s="18" t="str">
        <f>INPUT!Z298</f>
        <v>NA</v>
      </c>
      <c r="P399" s="96">
        <f>INPUT!AA298</f>
        <v>0</v>
      </c>
      <c r="Q399" s="18" t="str">
        <f>INPUT!AB298</f>
        <v>NA</v>
      </c>
      <c r="R399" s="96">
        <f>INPUT!AC298</f>
        <v>0</v>
      </c>
      <c r="S399" s="18" t="str">
        <f>INPUT!AD298</f>
        <v>NA</v>
      </c>
      <c r="T399" s="96">
        <f>INPUT!AE298</f>
        <v>0</v>
      </c>
      <c r="U399" s="18" t="str">
        <f>INPUT!AF298</f>
        <v>NA</v>
      </c>
      <c r="V399" s="96">
        <f>INPUT!AG298</f>
        <v>0</v>
      </c>
      <c r="W399" s="18" t="str">
        <f>INPUT!AH298</f>
        <v>NA</v>
      </c>
      <c r="X399" s="96">
        <f>INPUT!AI298</f>
        <v>0</v>
      </c>
      <c r="Y399" s="18" t="str">
        <f>INPUT!AJ298</f>
        <v>NA</v>
      </c>
      <c r="Z399" s="96">
        <f>INPUT!AK298</f>
        <v>0</v>
      </c>
      <c r="AA399" s="18" t="str">
        <f>INPUT!AL298</f>
        <v>NA</v>
      </c>
      <c r="AB399" s="96">
        <f>INPUT!AM298</f>
        <v>0</v>
      </c>
      <c r="AC399" s="18" t="str">
        <f>INPUT!AN298</f>
        <v>NA</v>
      </c>
      <c r="AD399" s="96">
        <f>INPUT!AO298</f>
        <v>0</v>
      </c>
      <c r="AE399" s="18" t="str">
        <f>INPUT!AP298</f>
        <v>NA</v>
      </c>
      <c r="AF399" s="96">
        <f>INPUT!AQ298</f>
        <v>6.1875</v>
      </c>
      <c r="AG399" s="18" t="str">
        <f>INPUT!AR298</f>
        <v>NA</v>
      </c>
      <c r="AH399" s="96">
        <f>INPUT!AS298</f>
        <v>6.1875</v>
      </c>
      <c r="AI399" s="18">
        <f>INPUT!AT298</f>
        <v>0</v>
      </c>
      <c r="AJ399" s="96">
        <f>INPUT!AU298</f>
        <v>6.1875</v>
      </c>
      <c r="AK399" s="18">
        <f>INPUT!AV298</f>
        <v>0</v>
      </c>
      <c r="AL399" s="96">
        <f>INPUT!AW298</f>
        <v>6.1875</v>
      </c>
      <c r="AM399" s="18">
        <f>INPUT!AX298</f>
        <v>0</v>
      </c>
      <c r="AN399" s="96">
        <f>INPUT!AY298</f>
        <v>6.1875</v>
      </c>
      <c r="AO399" s="18">
        <f>INPUT!AZ298</f>
        <v>0</v>
      </c>
      <c r="AP399" s="96">
        <f>INPUT!BA298</f>
        <v>6.1875</v>
      </c>
      <c r="AQ399" s="18">
        <f>INPUT!BB298</f>
        <v>0</v>
      </c>
      <c r="AR399" s="96">
        <f>INPUT!BC298</f>
        <v>6.1875</v>
      </c>
      <c r="AS399" s="18">
        <f>INPUT!BD298</f>
        <v>0</v>
      </c>
      <c r="AT399" s="96">
        <f>INPUT!BE298</f>
        <v>6.1875</v>
      </c>
      <c r="AU399" s="18">
        <f>INPUT!BF298</f>
        <v>0</v>
      </c>
      <c r="AV399" s="96">
        <f>INPUT!BG298</f>
        <v>6.1875</v>
      </c>
      <c r="AW399" s="18">
        <f>INPUT!BH298</f>
        <v>0</v>
      </c>
      <c r="AX399" s="96">
        <f>INPUT!BI298</f>
        <v>6.1875</v>
      </c>
      <c r="AY399" s="18">
        <f>INPUT!BJ298</f>
        <v>0</v>
      </c>
      <c r="AZ399" s="96">
        <f>INPUT!BK298</f>
        <v>6.1875</v>
      </c>
      <c r="BA399" s="18">
        <f>INPUT!BL298</f>
        <v>0</v>
      </c>
      <c r="BB399" s="96">
        <f>INPUT!BM298</f>
        <v>6.1875</v>
      </c>
      <c r="BC399" s="18">
        <f>INPUT!BN298</f>
        <v>0</v>
      </c>
      <c r="BD399" s="96">
        <f>INPUT!BO298</f>
        <v>0</v>
      </c>
      <c r="BE399" s="18">
        <f>INPUT!BP298</f>
        <v>0</v>
      </c>
      <c r="BF399" s="96">
        <f>INPUT!BQ298</f>
        <v>0</v>
      </c>
      <c r="BG399" s="18">
        <f>INPUT!BR298</f>
        <v>0</v>
      </c>
      <c r="BH399" s="96">
        <f>INPUT!BS298</f>
        <v>0</v>
      </c>
      <c r="BI399" s="18">
        <f>INPUT!BT298</f>
        <v>0</v>
      </c>
      <c r="BJ399" s="96">
        <f>INPUT!BU298</f>
        <v>0</v>
      </c>
      <c r="BK399" s="18">
        <f>INPUT!BV298</f>
        <v>0</v>
      </c>
      <c r="BL399" s="96">
        <f>INPUT!BW298</f>
        <v>0</v>
      </c>
      <c r="BM399" s="18">
        <f>INPUT!BX298</f>
        <v>0</v>
      </c>
      <c r="BN399" s="96">
        <f>INPUT!BY298</f>
        <v>0</v>
      </c>
      <c r="BO399" s="18">
        <f>INPUT!BZ298</f>
        <v>0</v>
      </c>
      <c r="BP399" s="96">
        <f>INPUT!CA298</f>
        <v>0</v>
      </c>
      <c r="BQ399" s="18">
        <f>INPUT!CB298</f>
        <v>0</v>
      </c>
      <c r="BR399" s="96">
        <f>INPUT!CC298</f>
        <v>0</v>
      </c>
      <c r="BS399" s="18">
        <f>INPUT!CD298</f>
        <v>0</v>
      </c>
      <c r="BT399" s="96">
        <f>INPUT!CE298</f>
        <v>0</v>
      </c>
      <c r="BU399" s="18">
        <f>INPUT!CF298</f>
        <v>0</v>
      </c>
      <c r="BV399" s="96">
        <f>INPUT!CG298</f>
        <v>0</v>
      </c>
      <c r="BW399" s="18">
        <f>INPUT!CH298</f>
        <v>0</v>
      </c>
      <c r="BX399" s="96">
        <f>INPUT!CI298</f>
        <v>0</v>
      </c>
      <c r="BY399" s="18">
        <f>INPUT!CJ298</f>
        <v>0</v>
      </c>
      <c r="BZ399" s="96">
        <f>INPUT!CK298</f>
        <v>0</v>
      </c>
      <c r="CA399" s="18">
        <f>INPUT!CL298</f>
        <v>0</v>
      </c>
      <c r="CB399" s="96">
        <f>INPUT!CM298</f>
        <v>0</v>
      </c>
      <c r="CC399" s="18">
        <f>INPUT!CN298</f>
        <v>0</v>
      </c>
      <c r="CD399" s="96">
        <f>INPUT!CO298</f>
        <v>0</v>
      </c>
      <c r="CE399" s="18">
        <f>INPUT!CP298</f>
        <v>0</v>
      </c>
      <c r="CF399" s="96">
        <f>INPUT!CQ298</f>
        <v>0</v>
      </c>
      <c r="CG399" s="18">
        <f>INPUT!CR298</f>
        <v>0</v>
      </c>
      <c r="CH399" s="96">
        <f>INPUT!CS298</f>
        <v>0</v>
      </c>
      <c r="CI399" s="18">
        <f>INPUT!CT298</f>
        <v>0</v>
      </c>
      <c r="CJ399" s="96">
        <f>INPUT!CU298</f>
        <v>0</v>
      </c>
      <c r="CK399" s="18">
        <f>INPUT!CV298</f>
        <v>0</v>
      </c>
      <c r="CL399" s="96">
        <f>INPUT!CW298</f>
        <v>0</v>
      </c>
      <c r="CM399" s="18">
        <f>INPUT!CX298</f>
        <v>0</v>
      </c>
      <c r="CN399" s="96">
        <f>INPUT!CY298</f>
        <v>0</v>
      </c>
      <c r="CO399" s="18">
        <f>INPUT!CZ298</f>
        <v>0</v>
      </c>
      <c r="CP399" s="96">
        <f>INPUT!DA298</f>
        <v>0</v>
      </c>
      <c r="CQ399" s="18">
        <f>INPUT!DB298</f>
        <v>0</v>
      </c>
      <c r="CR399" s="96">
        <f>INPUT!DC298</f>
        <v>0</v>
      </c>
      <c r="CS399" s="18">
        <f>INPUT!DD298</f>
        <v>0</v>
      </c>
      <c r="CT399" s="96">
        <f>INPUT!DE298</f>
        <v>0</v>
      </c>
      <c r="CU399" s="18">
        <f>INPUT!DF298</f>
        <v>0</v>
      </c>
      <c r="CV399" s="96">
        <f>INPUT!DG298</f>
        <v>0</v>
      </c>
      <c r="CW399" s="18">
        <f>INPUT!DH298</f>
        <v>0</v>
      </c>
      <c r="CX399" s="96">
        <f>INPUT!DI298</f>
        <v>0</v>
      </c>
      <c r="CY399" s="18">
        <f>INPUT!DJ298</f>
        <v>0</v>
      </c>
      <c r="CZ399" s="96">
        <f>INPUT!DK298</f>
        <v>0</v>
      </c>
      <c r="DA399" s="18">
        <f>INPUT!DL298</f>
        <v>0</v>
      </c>
      <c r="DB399" s="96">
        <f>INPUT!DM298</f>
        <v>0</v>
      </c>
      <c r="DC399" s="18">
        <f>INPUT!DN298</f>
        <v>0</v>
      </c>
      <c r="DD399" s="96">
        <f>INPUT!DO298</f>
        <v>0</v>
      </c>
      <c r="DE399" s="18">
        <f>INPUT!DP298</f>
        <v>0</v>
      </c>
      <c r="DF399" s="96">
        <f>INPUT!DQ298</f>
        <v>0</v>
      </c>
      <c r="DG399" s="18">
        <f>INPUT!DR298</f>
        <v>0</v>
      </c>
      <c r="DH399" s="96">
        <f>INPUT!DS298</f>
        <v>0</v>
      </c>
      <c r="DI399" s="18">
        <f>INPUT!DT298</f>
        <v>0</v>
      </c>
      <c r="DJ399" s="96">
        <f>INPUT!DU298</f>
        <v>0</v>
      </c>
      <c r="DK399" s="18">
        <f>INPUT!DV298</f>
        <v>0</v>
      </c>
      <c r="DL399" s="96">
        <f>INPUT!DW298</f>
        <v>0</v>
      </c>
      <c r="DM399" s="18">
        <f>INPUT!DX298</f>
        <v>0</v>
      </c>
      <c r="DN399" s="96">
        <f>INPUT!DY298</f>
        <v>0</v>
      </c>
      <c r="DO399" s="18">
        <f>INPUT!DZ298</f>
        <v>0</v>
      </c>
      <c r="DP399" s="96">
        <f>INPUT!EA298</f>
        <v>0</v>
      </c>
      <c r="DQ399" s="18">
        <f>INPUT!EB298</f>
        <v>0</v>
      </c>
      <c r="DR399" s="96">
        <f>INPUT!EC298</f>
        <v>0</v>
      </c>
      <c r="DS399" s="18">
        <f>INPUT!ED298</f>
        <v>0</v>
      </c>
      <c r="DT399" s="96">
        <f>INPUT!EE298</f>
        <v>0</v>
      </c>
      <c r="DU399" s="18">
        <f>INPUT!EF298</f>
        <v>0</v>
      </c>
      <c r="DV399" s="96">
        <f>INPUT!EG298</f>
        <v>0</v>
      </c>
      <c r="DW399" s="18">
        <f>INPUT!EH298</f>
        <v>0</v>
      </c>
      <c r="DX399" s="96">
        <f>INPUT!EI298</f>
        <v>0</v>
      </c>
      <c r="DY399" s="18">
        <f>INPUT!EJ298</f>
        <v>0</v>
      </c>
      <c r="DZ399" s="96">
        <f>INPUT!EK298</f>
        <v>0</v>
      </c>
      <c r="EA399" s="18">
        <f>INPUT!EL298</f>
        <v>0</v>
      </c>
      <c r="EB399" s="96">
        <f>INPUT!EM298</f>
        <v>0</v>
      </c>
      <c r="EC399" s="18">
        <f>INPUT!EN298</f>
        <v>0</v>
      </c>
      <c r="ED399" s="96">
        <f>INPUT!EO298</f>
        <v>0</v>
      </c>
      <c r="EE399" s="18">
        <f>INPUT!EP298</f>
        <v>0</v>
      </c>
      <c r="EF399" s="96">
        <f>INPUT!EQ298</f>
        <v>0</v>
      </c>
      <c r="EG399" s="18">
        <f>INPUT!ER298</f>
        <v>0</v>
      </c>
      <c r="EH399" s="18"/>
      <c r="EI399" s="96"/>
      <c r="EJ399" s="5"/>
      <c r="EK399" s="96">
        <f>INPUT!FD298</f>
        <v>0</v>
      </c>
      <c r="EL399" s="5" t="str">
        <f>INPUT!FE298</f>
        <v>NA</v>
      </c>
      <c r="EM399" s="96">
        <f>INPUT!FF298</f>
        <v>0</v>
      </c>
      <c r="EN399" s="5" t="str">
        <f>INPUT!FG298</f>
        <v>NA</v>
      </c>
      <c r="EO399" s="96">
        <f>INPUT!FH298</f>
        <v>0</v>
      </c>
      <c r="EP399" s="5" t="str">
        <f>INPUT!FI298</f>
        <v>NA</v>
      </c>
      <c r="EQ399" s="96">
        <f>INPUT!FJ298</f>
        <v>6.1875</v>
      </c>
      <c r="ER399" s="5" t="str">
        <f>INPUT!FK298</f>
        <v>NA</v>
      </c>
      <c r="ES399" s="96">
        <f>INPUT!FL298</f>
        <v>24.75</v>
      </c>
      <c r="ET399" s="5" t="str">
        <f>INPUT!FM298</f>
        <v>NM</v>
      </c>
      <c r="EU399" s="96">
        <f>INPUT!FN298</f>
        <v>24.75</v>
      </c>
      <c r="EV399" s="5">
        <f>INPUT!FO298</f>
        <v>0</v>
      </c>
      <c r="EW399" s="96">
        <f>INPUT!FP298</f>
        <v>18.5625</v>
      </c>
      <c r="EX399" s="5">
        <f>INPUT!FQ298</f>
        <v>-25</v>
      </c>
      <c r="EY399" s="96">
        <f>INPUT!FR298</f>
        <v>0</v>
      </c>
      <c r="EZ399" s="5" t="str">
        <f>INPUT!FS298</f>
        <v>NM</v>
      </c>
      <c r="FA399" s="96">
        <f>INPUT!FT298</f>
        <v>0</v>
      </c>
      <c r="FB399" s="5" t="str">
        <f>INPUT!FU298</f>
        <v>NA</v>
      </c>
      <c r="FC399" s="96">
        <f>INPUT!FV298</f>
        <v>0</v>
      </c>
      <c r="FD399" s="5" t="str">
        <f>INPUT!FW298</f>
        <v>NA</v>
      </c>
      <c r="FE399" s="96">
        <f>INPUT!FX298</f>
        <v>0</v>
      </c>
      <c r="FF399" s="5" t="str">
        <f>INPUT!FY298</f>
        <v>NA</v>
      </c>
      <c r="FG399" s="96">
        <f>INPUT!FZ298</f>
        <v>0</v>
      </c>
      <c r="FH399" s="5" t="str">
        <f>INPUT!GA298</f>
        <v>NA</v>
      </c>
      <c r="FI399" s="96">
        <f>INPUT!GB298</f>
        <v>0</v>
      </c>
      <c r="FJ399" s="5" t="str">
        <f>INPUT!GC298</f>
        <v>NA</v>
      </c>
      <c r="FK399" s="96">
        <f>INPUT!GD298</f>
        <v>0</v>
      </c>
      <c r="FL399" s="5" t="str">
        <f>INPUT!GE298</f>
        <v>NA</v>
      </c>
      <c r="FM399" s="96">
        <f>INPUT!GF298</f>
        <v>0</v>
      </c>
      <c r="FN399" s="5" t="str">
        <f>INPUT!GG298</f>
        <v>NA</v>
      </c>
      <c r="FO399" s="96">
        <f>INPUT!GH298</f>
        <v>0</v>
      </c>
      <c r="FP399" s="5" t="str">
        <f>INPUT!GI298</f>
        <v>NA</v>
      </c>
      <c r="FQ399" s="96">
        <f>INPUT!GJ298</f>
        <v>0</v>
      </c>
      <c r="FR399" s="5" t="str">
        <f>INPUT!GK298</f>
        <v>NA</v>
      </c>
      <c r="FS399" s="96">
        <f>INPUT!GL298</f>
        <v>0</v>
      </c>
      <c r="FT399" s="5" t="str">
        <f>INPUT!GM298</f>
        <v>NA</v>
      </c>
      <c r="FU399" s="96">
        <f>INPUT!GN298</f>
        <v>0</v>
      </c>
      <c r="FV399" s="5" t="str">
        <f>INPUT!GO298</f>
        <v>NA</v>
      </c>
      <c r="FW399" s="96">
        <f>INPUT!GP298</f>
        <v>0</v>
      </c>
      <c r="FX399" s="5" t="str">
        <f>INPUT!GQ298</f>
        <v>NA</v>
      </c>
      <c r="FY399" s="96">
        <f>INPUT!GR298</f>
        <v>0</v>
      </c>
      <c r="FZ399" s="5" t="str">
        <f>INPUT!GS298</f>
        <v>NA</v>
      </c>
      <c r="GA399" s="5">
        <f>INPUT!GT298</f>
        <v>0</v>
      </c>
    </row>
    <row r="400" spans="1:183" ht="12.75" hidden="1" customHeight="1" outlineLevel="2" x14ac:dyDescent="0.2">
      <c r="A400" s="612" t="str">
        <f>INPUT!B299</f>
        <v>Interest Expense on ACES, Series 2006</v>
      </c>
      <c r="B400" s="96">
        <f>INPUT!M299</f>
        <v>0</v>
      </c>
      <c r="C400" s="18" t="str">
        <f>INPUT!N299</f>
        <v>NA</v>
      </c>
      <c r="D400" s="96">
        <f>INPUT!O299</f>
        <v>0</v>
      </c>
      <c r="E400" s="18" t="str">
        <f>INPUT!P299</f>
        <v>NA</v>
      </c>
      <c r="F400" s="96">
        <f>INPUT!Q299</f>
        <v>0</v>
      </c>
      <c r="G400" s="18" t="str">
        <f>INPUT!R299</f>
        <v>NA</v>
      </c>
      <c r="H400" s="96">
        <f>INPUT!S299</f>
        <v>0</v>
      </c>
      <c r="I400" s="18" t="str">
        <f>INPUT!T299</f>
        <v>NA</v>
      </c>
      <c r="J400" s="96">
        <f>INPUT!U299</f>
        <v>0</v>
      </c>
      <c r="K400" s="18" t="str">
        <f>INPUT!V299</f>
        <v>NA</v>
      </c>
      <c r="L400" s="96">
        <f>INPUT!W299</f>
        <v>0</v>
      </c>
      <c r="M400" s="18" t="str">
        <f>INPUT!X299</f>
        <v>NA</v>
      </c>
      <c r="N400" s="96">
        <f>INPUT!Y299</f>
        <v>0</v>
      </c>
      <c r="O400" s="18" t="str">
        <f>INPUT!Z299</f>
        <v>NA</v>
      </c>
      <c r="P400" s="96">
        <f>INPUT!AA299</f>
        <v>0</v>
      </c>
      <c r="Q400" s="18" t="str">
        <f>INPUT!AB299</f>
        <v>NA</v>
      </c>
      <c r="R400" s="96">
        <f>INPUT!AC299</f>
        <v>0</v>
      </c>
      <c r="S400" s="18" t="str">
        <f>INPUT!AD299</f>
        <v>NA</v>
      </c>
      <c r="T400" s="96">
        <f>INPUT!AE299</f>
        <v>0</v>
      </c>
      <c r="U400" s="18" t="str">
        <f>INPUT!AF299</f>
        <v>NA</v>
      </c>
      <c r="V400" s="96">
        <f>INPUT!AG299</f>
        <v>0</v>
      </c>
      <c r="W400" s="18" t="str">
        <f>INPUT!AH299</f>
        <v>NA</v>
      </c>
      <c r="X400" s="96">
        <f>INPUT!AI299</f>
        <v>0</v>
      </c>
      <c r="Y400" s="18" t="str">
        <f>INPUT!AJ299</f>
        <v>NA</v>
      </c>
      <c r="Z400" s="96">
        <f>INPUT!AK299</f>
        <v>0</v>
      </c>
      <c r="AA400" s="18" t="str">
        <f>INPUT!AL299</f>
        <v>NA</v>
      </c>
      <c r="AB400" s="96">
        <f>INPUT!AM299</f>
        <v>0</v>
      </c>
      <c r="AC400" s="18" t="str">
        <f>INPUT!AN299</f>
        <v>NA</v>
      </c>
      <c r="AD400" s="96">
        <f>INPUT!AO299</f>
        <v>0</v>
      </c>
      <c r="AE400" s="18" t="str">
        <f>INPUT!AP299</f>
        <v>NA</v>
      </c>
      <c r="AF400" s="96">
        <f>INPUT!AQ299</f>
        <v>11.859375</v>
      </c>
      <c r="AG400" s="18" t="str">
        <f>INPUT!AR299</f>
        <v>NA</v>
      </c>
      <c r="AH400" s="96">
        <f>INPUT!AS299</f>
        <v>2.40625</v>
      </c>
      <c r="AI400" s="18" t="str">
        <f>INPUT!AT299</f>
        <v>NM</v>
      </c>
      <c r="AJ400" s="96">
        <f>INPUT!AU299</f>
        <v>2.40625</v>
      </c>
      <c r="AK400" s="18">
        <f>INPUT!AV299</f>
        <v>0</v>
      </c>
      <c r="AL400" s="96">
        <f>INPUT!AW299</f>
        <v>2.40625</v>
      </c>
      <c r="AM400" s="18">
        <f>INPUT!AX299</f>
        <v>0</v>
      </c>
      <c r="AN400" s="96">
        <f>INPUT!AY299</f>
        <v>2.40625</v>
      </c>
      <c r="AO400" s="18">
        <f>INPUT!AZ299</f>
        <v>0</v>
      </c>
      <c r="AP400" s="96">
        <f>INPUT!BA299</f>
        <v>2.40625</v>
      </c>
      <c r="AQ400" s="18">
        <f>INPUT!BB299</f>
        <v>0</v>
      </c>
      <c r="AR400" s="96">
        <f>INPUT!BC299</f>
        <v>2.40625</v>
      </c>
      <c r="AS400" s="18">
        <f>INPUT!BD299</f>
        <v>0</v>
      </c>
      <c r="AT400" s="96">
        <f>INPUT!BE299</f>
        <v>2.40625</v>
      </c>
      <c r="AU400" s="18">
        <f>INPUT!BF299</f>
        <v>0</v>
      </c>
      <c r="AV400" s="96">
        <f>INPUT!BG299</f>
        <v>2.40625</v>
      </c>
      <c r="AW400" s="18">
        <f>INPUT!BH299</f>
        <v>0</v>
      </c>
      <c r="AX400" s="96">
        <f>INPUT!BI299</f>
        <v>2.40625</v>
      </c>
      <c r="AY400" s="18">
        <f>INPUT!BJ299</f>
        <v>0</v>
      </c>
      <c r="AZ400" s="96">
        <f>INPUT!BK299</f>
        <v>2.40625</v>
      </c>
      <c r="BA400" s="18">
        <f>INPUT!BL299</f>
        <v>0</v>
      </c>
      <c r="BB400" s="96">
        <f>INPUT!BM299</f>
        <v>2.40625</v>
      </c>
      <c r="BC400" s="18">
        <f>INPUT!BN299</f>
        <v>0</v>
      </c>
      <c r="BD400" s="96">
        <f>INPUT!BO299</f>
        <v>0</v>
      </c>
      <c r="BE400" s="18">
        <f>INPUT!BP299</f>
        <v>0</v>
      </c>
      <c r="BF400" s="96">
        <f>INPUT!BQ299</f>
        <v>0</v>
      </c>
      <c r="BG400" s="18">
        <f>INPUT!BR299</f>
        <v>0</v>
      </c>
      <c r="BH400" s="96">
        <f>INPUT!BS299</f>
        <v>0</v>
      </c>
      <c r="BI400" s="18">
        <f>INPUT!BT299</f>
        <v>0</v>
      </c>
      <c r="BJ400" s="96">
        <f>INPUT!BU299</f>
        <v>0</v>
      </c>
      <c r="BK400" s="18">
        <f>INPUT!BV299</f>
        <v>0</v>
      </c>
      <c r="BL400" s="96">
        <f>INPUT!BW299</f>
        <v>0</v>
      </c>
      <c r="BM400" s="18">
        <f>INPUT!BX299</f>
        <v>0</v>
      </c>
      <c r="BN400" s="96">
        <f>INPUT!BY299</f>
        <v>0</v>
      </c>
      <c r="BO400" s="18">
        <f>INPUT!BZ299</f>
        <v>0</v>
      </c>
      <c r="BP400" s="96">
        <f>INPUT!CA299</f>
        <v>0</v>
      </c>
      <c r="BQ400" s="18">
        <f>INPUT!CB299</f>
        <v>0</v>
      </c>
      <c r="BR400" s="96">
        <f>INPUT!CC299</f>
        <v>0</v>
      </c>
      <c r="BS400" s="18">
        <f>INPUT!CD299</f>
        <v>0</v>
      </c>
      <c r="BT400" s="96">
        <f>INPUT!CE299</f>
        <v>0</v>
      </c>
      <c r="BU400" s="18">
        <f>INPUT!CF299</f>
        <v>0</v>
      </c>
      <c r="BV400" s="96">
        <f>INPUT!CG299</f>
        <v>0</v>
      </c>
      <c r="BW400" s="18">
        <f>INPUT!CH299</f>
        <v>0</v>
      </c>
      <c r="BX400" s="96">
        <f>INPUT!CI299</f>
        <v>0</v>
      </c>
      <c r="BY400" s="18">
        <f>INPUT!CJ299</f>
        <v>0</v>
      </c>
      <c r="BZ400" s="96">
        <f>INPUT!CK299</f>
        <v>0</v>
      </c>
      <c r="CA400" s="18">
        <f>INPUT!CL299</f>
        <v>0</v>
      </c>
      <c r="CB400" s="96">
        <f>INPUT!CM299</f>
        <v>0</v>
      </c>
      <c r="CC400" s="18">
        <f>INPUT!CN299</f>
        <v>0</v>
      </c>
      <c r="CD400" s="96">
        <f>INPUT!CO299</f>
        <v>0</v>
      </c>
      <c r="CE400" s="18">
        <f>INPUT!CP299</f>
        <v>0</v>
      </c>
      <c r="CF400" s="96">
        <f>INPUT!CQ299</f>
        <v>0</v>
      </c>
      <c r="CG400" s="18">
        <f>INPUT!CR299</f>
        <v>0</v>
      </c>
      <c r="CH400" s="96">
        <f>INPUT!CS299</f>
        <v>0</v>
      </c>
      <c r="CI400" s="18">
        <f>INPUT!CT299</f>
        <v>0</v>
      </c>
      <c r="CJ400" s="96">
        <f>INPUT!CU299</f>
        <v>0</v>
      </c>
      <c r="CK400" s="18">
        <f>INPUT!CV299</f>
        <v>0</v>
      </c>
      <c r="CL400" s="96">
        <f>INPUT!CW299</f>
        <v>0</v>
      </c>
      <c r="CM400" s="18">
        <f>INPUT!CX299</f>
        <v>0</v>
      </c>
      <c r="CN400" s="96">
        <f>INPUT!CY299</f>
        <v>0</v>
      </c>
      <c r="CO400" s="18">
        <f>INPUT!CZ299</f>
        <v>0</v>
      </c>
      <c r="CP400" s="96">
        <f>INPUT!DA299</f>
        <v>0</v>
      </c>
      <c r="CQ400" s="18">
        <f>INPUT!DB299</f>
        <v>0</v>
      </c>
      <c r="CR400" s="96">
        <f>INPUT!DC299</f>
        <v>0</v>
      </c>
      <c r="CS400" s="18">
        <f>INPUT!DD299</f>
        <v>0</v>
      </c>
      <c r="CT400" s="96">
        <f>INPUT!DE299</f>
        <v>0</v>
      </c>
      <c r="CU400" s="18">
        <f>INPUT!DF299</f>
        <v>0</v>
      </c>
      <c r="CV400" s="96">
        <f>INPUT!DG299</f>
        <v>0</v>
      </c>
      <c r="CW400" s="18">
        <f>INPUT!DH299</f>
        <v>0</v>
      </c>
      <c r="CX400" s="96">
        <f>INPUT!DI299</f>
        <v>0</v>
      </c>
      <c r="CY400" s="18">
        <f>INPUT!DJ299</f>
        <v>0</v>
      </c>
      <c r="CZ400" s="96">
        <f>INPUT!DK299</f>
        <v>0</v>
      </c>
      <c r="DA400" s="18">
        <f>INPUT!DL299</f>
        <v>0</v>
      </c>
      <c r="DB400" s="96">
        <f>INPUT!DM299</f>
        <v>0</v>
      </c>
      <c r="DC400" s="18">
        <f>INPUT!DN299</f>
        <v>0</v>
      </c>
      <c r="DD400" s="96">
        <f>INPUT!DO299</f>
        <v>0</v>
      </c>
      <c r="DE400" s="18">
        <f>INPUT!DP299</f>
        <v>0</v>
      </c>
      <c r="DF400" s="96">
        <f>INPUT!DQ299</f>
        <v>0</v>
      </c>
      <c r="DG400" s="18">
        <f>INPUT!DR299</f>
        <v>0</v>
      </c>
      <c r="DH400" s="96">
        <f>INPUT!DS299</f>
        <v>0</v>
      </c>
      <c r="DI400" s="18">
        <f>INPUT!DT299</f>
        <v>0</v>
      </c>
      <c r="DJ400" s="96">
        <f>INPUT!DU299</f>
        <v>0</v>
      </c>
      <c r="DK400" s="18">
        <f>INPUT!DV299</f>
        <v>0</v>
      </c>
      <c r="DL400" s="96">
        <f>INPUT!DW299</f>
        <v>0</v>
      </c>
      <c r="DM400" s="18">
        <f>INPUT!DX299</f>
        <v>0</v>
      </c>
      <c r="DN400" s="96">
        <f>INPUT!DY299</f>
        <v>0</v>
      </c>
      <c r="DO400" s="18">
        <f>INPUT!DZ299</f>
        <v>0</v>
      </c>
      <c r="DP400" s="96">
        <f>INPUT!EA299</f>
        <v>0</v>
      </c>
      <c r="DQ400" s="18">
        <f>INPUT!EB299</f>
        <v>0</v>
      </c>
      <c r="DR400" s="96">
        <f>INPUT!EC299</f>
        <v>0</v>
      </c>
      <c r="DS400" s="18">
        <f>INPUT!ED299</f>
        <v>0</v>
      </c>
      <c r="DT400" s="96">
        <f>INPUT!EE299</f>
        <v>0</v>
      </c>
      <c r="DU400" s="18">
        <f>INPUT!EF299</f>
        <v>0</v>
      </c>
      <c r="DV400" s="96">
        <f>INPUT!EG299</f>
        <v>0</v>
      </c>
      <c r="DW400" s="18">
        <f>INPUT!EH299</f>
        <v>0</v>
      </c>
      <c r="DX400" s="96">
        <f>INPUT!EI299</f>
        <v>0</v>
      </c>
      <c r="DY400" s="18">
        <f>INPUT!EJ299</f>
        <v>0</v>
      </c>
      <c r="DZ400" s="96">
        <f>INPUT!EK299</f>
        <v>0</v>
      </c>
      <c r="EA400" s="18">
        <f>INPUT!EL299</f>
        <v>0</v>
      </c>
      <c r="EB400" s="96">
        <f>INPUT!EM299</f>
        <v>0</v>
      </c>
      <c r="EC400" s="18">
        <f>INPUT!EN299</f>
        <v>0</v>
      </c>
      <c r="ED400" s="96">
        <f>INPUT!EO299</f>
        <v>0</v>
      </c>
      <c r="EE400" s="18">
        <f>INPUT!EP299</f>
        <v>0</v>
      </c>
      <c r="EF400" s="96">
        <f>INPUT!EQ299</f>
        <v>0</v>
      </c>
      <c r="EG400" s="18">
        <f>INPUT!ER299</f>
        <v>0</v>
      </c>
      <c r="EH400" s="18"/>
      <c r="EI400" s="96"/>
      <c r="EJ400" s="5"/>
      <c r="EK400" s="96">
        <f>INPUT!FD299</f>
        <v>0</v>
      </c>
      <c r="EL400" s="5" t="str">
        <f>INPUT!FE299</f>
        <v>NA</v>
      </c>
      <c r="EM400" s="96">
        <f>INPUT!FF299</f>
        <v>0</v>
      </c>
      <c r="EN400" s="5" t="str">
        <f>INPUT!FG299</f>
        <v>NA</v>
      </c>
      <c r="EO400" s="96">
        <f>INPUT!FH299</f>
        <v>0</v>
      </c>
      <c r="EP400" s="5" t="str">
        <f>INPUT!FI299</f>
        <v>NA</v>
      </c>
      <c r="EQ400" s="96">
        <f>INPUT!FJ299</f>
        <v>11.859375</v>
      </c>
      <c r="ER400" s="5" t="str">
        <f>INPUT!FK299</f>
        <v>NA</v>
      </c>
      <c r="ES400" s="96">
        <f>INPUT!FL299</f>
        <v>9.625</v>
      </c>
      <c r="ET400" s="5">
        <f>INPUT!FM299</f>
        <v>-18.840579710144922</v>
      </c>
      <c r="EU400" s="96">
        <f>INPUT!FN299</f>
        <v>9.625</v>
      </c>
      <c r="EV400" s="5">
        <f>INPUT!FO299</f>
        <v>0</v>
      </c>
      <c r="EW400" s="96">
        <f>INPUT!FP299</f>
        <v>7.21875</v>
      </c>
      <c r="EX400" s="5">
        <f>INPUT!FQ299</f>
        <v>-25</v>
      </c>
      <c r="EY400" s="96">
        <f>INPUT!FR299</f>
        <v>0</v>
      </c>
      <c r="EZ400" s="5" t="str">
        <f>INPUT!FS299</f>
        <v>NM</v>
      </c>
      <c r="FA400" s="96">
        <f>INPUT!FT299</f>
        <v>0</v>
      </c>
      <c r="FB400" s="5" t="str">
        <f>INPUT!FU299</f>
        <v>NA</v>
      </c>
      <c r="FC400" s="96">
        <f>INPUT!FV299</f>
        <v>0</v>
      </c>
      <c r="FD400" s="5" t="str">
        <f>INPUT!FW299</f>
        <v>NA</v>
      </c>
      <c r="FE400" s="96">
        <f>INPUT!FX299</f>
        <v>0</v>
      </c>
      <c r="FF400" s="5" t="str">
        <f>INPUT!FY299</f>
        <v>NA</v>
      </c>
      <c r="FG400" s="96">
        <f>INPUT!FZ299</f>
        <v>0</v>
      </c>
      <c r="FH400" s="5" t="str">
        <f>INPUT!GA299</f>
        <v>NA</v>
      </c>
      <c r="FI400" s="96">
        <f>INPUT!GB299</f>
        <v>0</v>
      </c>
      <c r="FJ400" s="5" t="str">
        <f>INPUT!GC299</f>
        <v>NA</v>
      </c>
      <c r="FK400" s="96">
        <f>INPUT!GD299</f>
        <v>0</v>
      </c>
      <c r="FL400" s="5" t="str">
        <f>INPUT!GE299</f>
        <v>NA</v>
      </c>
      <c r="FM400" s="96">
        <f>INPUT!GF299</f>
        <v>0</v>
      </c>
      <c r="FN400" s="5" t="str">
        <f>INPUT!GG299</f>
        <v>NA</v>
      </c>
      <c r="FO400" s="96">
        <f>INPUT!GH299</f>
        <v>0</v>
      </c>
      <c r="FP400" s="5" t="str">
        <f>INPUT!GI299</f>
        <v>NA</v>
      </c>
      <c r="FQ400" s="96">
        <f>INPUT!GJ299</f>
        <v>0</v>
      </c>
      <c r="FR400" s="5" t="str">
        <f>INPUT!GK299</f>
        <v>NA</v>
      </c>
      <c r="FS400" s="96">
        <f>INPUT!GL299</f>
        <v>0</v>
      </c>
      <c r="FT400" s="5" t="str">
        <f>INPUT!GM299</f>
        <v>NA</v>
      </c>
      <c r="FU400" s="96">
        <f>INPUT!GN299</f>
        <v>0</v>
      </c>
      <c r="FV400" s="5" t="str">
        <f>INPUT!GO299</f>
        <v>NA</v>
      </c>
      <c r="FW400" s="96">
        <f>INPUT!GP299</f>
        <v>0</v>
      </c>
      <c r="FX400" s="5" t="str">
        <f>INPUT!GQ299</f>
        <v>NA</v>
      </c>
      <c r="FY400" s="96">
        <f>INPUT!GR299</f>
        <v>0</v>
      </c>
      <c r="FZ400" s="5" t="str">
        <f>INPUT!GS299</f>
        <v>NA</v>
      </c>
      <c r="GA400" s="5">
        <f>INPUT!GT299</f>
        <v>0</v>
      </c>
    </row>
    <row r="401" spans="1:183" ht="12.75" hidden="1" customHeight="1" outlineLevel="2" x14ac:dyDescent="0.2">
      <c r="A401" s="612" t="str">
        <f>INPUT!B300</f>
        <v>Operating Expenses</v>
      </c>
      <c r="B401" s="96">
        <f>INPUT!M300</f>
        <v>44.2</v>
      </c>
      <c r="C401" s="18">
        <f>INPUT!N300</f>
        <v>1.8433179723502446</v>
      </c>
      <c r="D401" s="96">
        <f>INPUT!O300</f>
        <v>45.7</v>
      </c>
      <c r="E401" s="18">
        <f>INPUT!P300</f>
        <v>3.3936651583710509</v>
      </c>
      <c r="F401" s="96">
        <f>INPUT!Q300</f>
        <v>44</v>
      </c>
      <c r="G401" s="18">
        <f>INPUT!R300</f>
        <v>-3.7199124726477129</v>
      </c>
      <c r="H401" s="96">
        <f>INPUT!S300</f>
        <v>43.6</v>
      </c>
      <c r="I401" s="18">
        <f>INPUT!T300</f>
        <v>-0.90909090909090384</v>
      </c>
      <c r="J401" s="96">
        <f>INPUT!U300</f>
        <v>41.7</v>
      </c>
      <c r="K401" s="18">
        <f>INPUT!V300</f>
        <v>-4.3577981651376163</v>
      </c>
      <c r="L401" s="96">
        <f>INPUT!W300</f>
        <v>40.799999999999997</v>
      </c>
      <c r="M401" s="18">
        <f>INPUT!X300</f>
        <v>-2.1582733812949728</v>
      </c>
      <c r="N401" s="96">
        <f>INPUT!Y300</f>
        <v>44</v>
      </c>
      <c r="O401" s="18">
        <f>INPUT!Z300</f>
        <v>7.8431372549019773</v>
      </c>
      <c r="P401" s="96">
        <f>INPUT!AA300</f>
        <v>42.2</v>
      </c>
      <c r="Q401" s="18">
        <f>INPUT!AB300</f>
        <v>-4.0909090909090899</v>
      </c>
      <c r="R401" s="96">
        <f>INPUT!AC300</f>
        <v>45.8</v>
      </c>
      <c r="S401" s="18">
        <f>INPUT!AD300</f>
        <v>8.5308056872037685</v>
      </c>
      <c r="T401" s="96">
        <f>INPUT!AE300</f>
        <v>42.2</v>
      </c>
      <c r="U401" s="18">
        <f>INPUT!AF300</f>
        <v>-7.8602620087336099</v>
      </c>
      <c r="V401" s="96">
        <f>INPUT!AG300</f>
        <v>43.4</v>
      </c>
      <c r="W401" s="18">
        <f>INPUT!AH300</f>
        <v>2.8436018957345821</v>
      </c>
      <c r="X401" s="96">
        <f>INPUT!AI300</f>
        <v>42.8</v>
      </c>
      <c r="Y401" s="18">
        <f>INPUT!AJ300</f>
        <v>-1.3824884792626779</v>
      </c>
      <c r="Z401" s="96">
        <f>INPUT!AK300</f>
        <v>40.799999999999997</v>
      </c>
      <c r="AA401" s="18">
        <f>INPUT!AL300</f>
        <v>-4.6728971962616832</v>
      </c>
      <c r="AB401" s="96">
        <f>INPUT!AM300</f>
        <v>43.1</v>
      </c>
      <c r="AC401" s="18">
        <f>INPUT!AN300</f>
        <v>5.6372549019607865</v>
      </c>
      <c r="AD401" s="96">
        <f>INPUT!AO300</f>
        <v>41.3</v>
      </c>
      <c r="AE401" s="18">
        <f>INPUT!AP300</f>
        <v>-4.176334106728552</v>
      </c>
      <c r="AF401" s="96">
        <f>INPUT!AQ300</f>
        <v>2</v>
      </c>
      <c r="AG401" s="18" t="str">
        <f>INPUT!AR300</f>
        <v>NM</v>
      </c>
      <c r="AH401" s="96">
        <f>INPUT!AS300</f>
        <v>1.6</v>
      </c>
      <c r="AI401" s="18">
        <f>INPUT!AT300</f>
        <v>-19.999999999999996</v>
      </c>
      <c r="AJ401" s="96">
        <f>INPUT!AU300</f>
        <v>44.7</v>
      </c>
      <c r="AK401" s="18" t="str">
        <f>INPUT!AV300</f>
        <v>NM</v>
      </c>
      <c r="AL401" s="96">
        <f>INPUT!AW300</f>
        <v>43.7</v>
      </c>
      <c r="AM401" s="18">
        <f>INPUT!AX300</f>
        <v>-2.2371364653243853</v>
      </c>
      <c r="AN401" s="96">
        <f>INPUT!AY300</f>
        <v>-0.6</v>
      </c>
      <c r="AO401" s="18" t="str">
        <f>INPUT!AZ300</f>
        <v>NM</v>
      </c>
      <c r="AP401" s="96">
        <f>INPUT!BA300</f>
        <v>1.5</v>
      </c>
      <c r="AQ401" s="18" t="str">
        <f>INPUT!BB300</f>
        <v>NM</v>
      </c>
      <c r="AR401" s="96">
        <f>INPUT!BC300</f>
        <v>0.8</v>
      </c>
      <c r="AS401" s="18">
        <f>INPUT!BD300</f>
        <v>-46.666666666666664</v>
      </c>
      <c r="AT401" s="96">
        <f>INPUT!BE300</f>
        <v>0.7</v>
      </c>
      <c r="AU401" s="18">
        <f>INPUT!BF300</f>
        <v>-12.500000000000011</v>
      </c>
      <c r="AV401" s="96">
        <f>INPUT!BG300</f>
        <v>1</v>
      </c>
      <c r="AW401" s="18">
        <f>INPUT!BH300</f>
        <v>42.857142857142861</v>
      </c>
      <c r="AX401" s="96">
        <f>INPUT!BI300</f>
        <v>2.1</v>
      </c>
      <c r="AY401" s="18" t="str">
        <f>INPUT!BJ300</f>
        <v>NM</v>
      </c>
      <c r="AZ401" s="96">
        <f>INPUT!BK300</f>
        <v>2.4</v>
      </c>
      <c r="BA401" s="18">
        <f>INPUT!BL300</f>
        <v>14.285714285714279</v>
      </c>
      <c r="BB401" s="96">
        <f>INPUT!BM300</f>
        <v>3</v>
      </c>
      <c r="BC401" s="18">
        <f>INPUT!BN300</f>
        <v>25</v>
      </c>
      <c r="BD401" s="96">
        <f>INPUT!BO300</f>
        <v>0</v>
      </c>
      <c r="BE401" s="18">
        <f>INPUT!BP300</f>
        <v>0</v>
      </c>
      <c r="BF401" s="96">
        <f>INPUT!BQ300</f>
        <v>0</v>
      </c>
      <c r="BG401" s="18">
        <f>INPUT!BR300</f>
        <v>0</v>
      </c>
      <c r="BH401" s="96">
        <f>INPUT!BS300</f>
        <v>0</v>
      </c>
      <c r="BI401" s="18">
        <f>INPUT!BT300</f>
        <v>0</v>
      </c>
      <c r="BJ401" s="96">
        <f>INPUT!BU300</f>
        <v>0</v>
      </c>
      <c r="BK401" s="18">
        <f>INPUT!BV300</f>
        <v>0</v>
      </c>
      <c r="BL401" s="96">
        <f>INPUT!BW300</f>
        <v>0</v>
      </c>
      <c r="BM401" s="18">
        <f>INPUT!BX300</f>
        <v>0</v>
      </c>
      <c r="BN401" s="96">
        <f>INPUT!BY300</f>
        <v>0</v>
      </c>
      <c r="BO401" s="18">
        <f>INPUT!BZ300</f>
        <v>0</v>
      </c>
      <c r="BP401" s="96">
        <f>INPUT!CA300</f>
        <v>0</v>
      </c>
      <c r="BQ401" s="18">
        <f>INPUT!CB300</f>
        <v>0</v>
      </c>
      <c r="BR401" s="96">
        <f>INPUT!CC300</f>
        <v>0</v>
      </c>
      <c r="BS401" s="18">
        <f>INPUT!CD300</f>
        <v>0</v>
      </c>
      <c r="BT401" s="96">
        <f>INPUT!CE300</f>
        <v>0</v>
      </c>
      <c r="BU401" s="18">
        <f>INPUT!CF300</f>
        <v>0</v>
      </c>
      <c r="BV401" s="96">
        <f>INPUT!CG300</f>
        <v>0</v>
      </c>
      <c r="BW401" s="18">
        <f>INPUT!CH300</f>
        <v>0</v>
      </c>
      <c r="BX401" s="96">
        <f>INPUT!CI300</f>
        <v>0</v>
      </c>
      <c r="BY401" s="18">
        <f>INPUT!CJ300</f>
        <v>0</v>
      </c>
      <c r="BZ401" s="96">
        <f>INPUT!CK300</f>
        <v>0</v>
      </c>
      <c r="CA401" s="18">
        <f>INPUT!CL300</f>
        <v>0</v>
      </c>
      <c r="CB401" s="96">
        <f>INPUT!CM300</f>
        <v>0</v>
      </c>
      <c r="CC401" s="18">
        <f>INPUT!CN300</f>
        <v>0</v>
      </c>
      <c r="CD401" s="96">
        <f>INPUT!CO300</f>
        <v>0</v>
      </c>
      <c r="CE401" s="18">
        <f>INPUT!CP300</f>
        <v>0</v>
      </c>
      <c r="CF401" s="96">
        <f>INPUT!CQ300</f>
        <v>0</v>
      </c>
      <c r="CG401" s="18">
        <f>INPUT!CR300</f>
        <v>0</v>
      </c>
      <c r="CH401" s="96">
        <f>INPUT!CS300</f>
        <v>0</v>
      </c>
      <c r="CI401" s="18">
        <f>INPUT!CT300</f>
        <v>0</v>
      </c>
      <c r="CJ401" s="96">
        <f>INPUT!CU300</f>
        <v>0</v>
      </c>
      <c r="CK401" s="18">
        <f>INPUT!CV300</f>
        <v>0</v>
      </c>
      <c r="CL401" s="96">
        <f>INPUT!CW300</f>
        <v>0</v>
      </c>
      <c r="CM401" s="18">
        <f>INPUT!CX300</f>
        <v>0</v>
      </c>
      <c r="CN401" s="96">
        <f>INPUT!CY300</f>
        <v>0</v>
      </c>
      <c r="CO401" s="18">
        <f>INPUT!CZ300</f>
        <v>0</v>
      </c>
      <c r="CP401" s="96">
        <f>INPUT!DA300</f>
        <v>0</v>
      </c>
      <c r="CQ401" s="18">
        <f>INPUT!DB300</f>
        <v>0</v>
      </c>
      <c r="CR401" s="96">
        <f>INPUT!DC300</f>
        <v>0</v>
      </c>
      <c r="CS401" s="18">
        <f>INPUT!DD300</f>
        <v>0</v>
      </c>
      <c r="CT401" s="96">
        <f>INPUT!DE300</f>
        <v>0</v>
      </c>
      <c r="CU401" s="18">
        <f>INPUT!DF300</f>
        <v>0</v>
      </c>
      <c r="CV401" s="96">
        <f>INPUT!DG300</f>
        <v>0</v>
      </c>
      <c r="CW401" s="18">
        <f>INPUT!DH300</f>
        <v>0</v>
      </c>
      <c r="CX401" s="96">
        <f>INPUT!DI300</f>
        <v>0</v>
      </c>
      <c r="CY401" s="18">
        <f>INPUT!DJ300</f>
        <v>0</v>
      </c>
      <c r="CZ401" s="96">
        <f>INPUT!DK300</f>
        <v>0</v>
      </c>
      <c r="DA401" s="18">
        <f>INPUT!DL300</f>
        <v>0</v>
      </c>
      <c r="DB401" s="96">
        <f>INPUT!DM300</f>
        <v>0</v>
      </c>
      <c r="DC401" s="18">
        <f>INPUT!DN300</f>
        <v>0</v>
      </c>
      <c r="DD401" s="96">
        <f>INPUT!DO300</f>
        <v>0</v>
      </c>
      <c r="DE401" s="18">
        <f>INPUT!DP300</f>
        <v>0</v>
      </c>
      <c r="DF401" s="96">
        <f>INPUT!DQ300</f>
        <v>0</v>
      </c>
      <c r="DG401" s="18">
        <f>INPUT!DR300</f>
        <v>0</v>
      </c>
      <c r="DH401" s="96">
        <f>INPUT!DS300</f>
        <v>0</v>
      </c>
      <c r="DI401" s="18">
        <f>INPUT!DT300</f>
        <v>0</v>
      </c>
      <c r="DJ401" s="96">
        <f>INPUT!DU300</f>
        <v>0</v>
      </c>
      <c r="DK401" s="18">
        <f>INPUT!DV300</f>
        <v>0</v>
      </c>
      <c r="DL401" s="96">
        <f>INPUT!DW300</f>
        <v>0</v>
      </c>
      <c r="DM401" s="18">
        <f>INPUT!DX300</f>
        <v>0</v>
      </c>
      <c r="DN401" s="96">
        <f>INPUT!DY300</f>
        <v>0</v>
      </c>
      <c r="DO401" s="18">
        <f>INPUT!DZ300</f>
        <v>0</v>
      </c>
      <c r="DP401" s="96">
        <f>INPUT!EA300</f>
        <v>0</v>
      </c>
      <c r="DQ401" s="18">
        <f>INPUT!EB300</f>
        <v>0</v>
      </c>
      <c r="DR401" s="96">
        <f>INPUT!EC300</f>
        <v>0</v>
      </c>
      <c r="DS401" s="18">
        <f>INPUT!ED300</f>
        <v>0</v>
      </c>
      <c r="DT401" s="96">
        <f>INPUT!EE300</f>
        <v>0</v>
      </c>
      <c r="DU401" s="18">
        <f>INPUT!EF300</f>
        <v>0</v>
      </c>
      <c r="DV401" s="96">
        <f>INPUT!EG300</f>
        <v>0</v>
      </c>
      <c r="DW401" s="18">
        <f>INPUT!EH300</f>
        <v>0</v>
      </c>
      <c r="DX401" s="96">
        <f>INPUT!EI300</f>
        <v>0</v>
      </c>
      <c r="DY401" s="18">
        <f>INPUT!EJ300</f>
        <v>0</v>
      </c>
      <c r="DZ401" s="96">
        <f>INPUT!EK300</f>
        <v>0</v>
      </c>
      <c r="EA401" s="18">
        <f>INPUT!EL300</f>
        <v>0</v>
      </c>
      <c r="EB401" s="96">
        <f>INPUT!EM300</f>
        <v>0</v>
      </c>
      <c r="EC401" s="18">
        <f>INPUT!EN300</f>
        <v>0</v>
      </c>
      <c r="ED401" s="96">
        <f>INPUT!EO300</f>
        <v>0</v>
      </c>
      <c r="EE401" s="18">
        <f>INPUT!EP300</f>
        <v>0</v>
      </c>
      <c r="EF401" s="96">
        <f>INPUT!EQ300</f>
        <v>0</v>
      </c>
      <c r="EG401" s="18">
        <f>INPUT!ER300</f>
        <v>0</v>
      </c>
      <c r="EH401" s="18"/>
      <c r="EI401" s="96"/>
      <c r="EJ401" s="611"/>
      <c r="EK401" s="96">
        <f>INPUT!FD300</f>
        <v>177.5</v>
      </c>
      <c r="EL401" s="5" t="str">
        <f>INPUT!FE300</f>
        <v>NA</v>
      </c>
      <c r="EM401" s="96">
        <f>INPUT!FF300</f>
        <v>168.7</v>
      </c>
      <c r="EN401" s="5">
        <f>INPUT!FG300</f>
        <v>-4.9577464788732488</v>
      </c>
      <c r="EO401" s="96">
        <f>INPUT!FH300</f>
        <v>174.2</v>
      </c>
      <c r="EP401" s="5">
        <f>INPUT!FI300</f>
        <v>3.2602252519265074</v>
      </c>
      <c r="EQ401" s="96">
        <f>INPUT!FJ300</f>
        <v>127.2</v>
      </c>
      <c r="ER401" s="5">
        <f>INPUT!FK300</f>
        <v>-26.980482204362801</v>
      </c>
      <c r="ES401" s="96">
        <f>INPUT!FL300</f>
        <v>89.4</v>
      </c>
      <c r="ET401" s="5">
        <f>INPUT!FM300</f>
        <v>-29.716981132075471</v>
      </c>
      <c r="EU401" s="96">
        <f>INPUT!FN300</f>
        <v>4</v>
      </c>
      <c r="EV401" s="5" t="str">
        <f>INPUT!FO300</f>
        <v>NM</v>
      </c>
      <c r="EW401" s="96">
        <f>INPUT!FP300</f>
        <v>7.5</v>
      </c>
      <c r="EX401" s="5">
        <f>INPUT!FQ300</f>
        <v>87.5</v>
      </c>
      <c r="EY401" s="96">
        <f>INPUT!FR300</f>
        <v>0</v>
      </c>
      <c r="EZ401" s="5" t="str">
        <f>INPUT!FS300</f>
        <v>NM</v>
      </c>
      <c r="FA401" s="96">
        <f>INPUT!FT300</f>
        <v>0</v>
      </c>
      <c r="FB401" s="5" t="str">
        <f>INPUT!FU300</f>
        <v>NA</v>
      </c>
      <c r="FC401" s="96">
        <f>INPUT!FV300</f>
        <v>0</v>
      </c>
      <c r="FD401" s="5" t="str">
        <f>INPUT!FW300</f>
        <v>NA</v>
      </c>
      <c r="FE401" s="96">
        <f>INPUT!FX300</f>
        <v>0</v>
      </c>
      <c r="FF401" s="5" t="str">
        <f>INPUT!FY300</f>
        <v>NA</v>
      </c>
      <c r="FG401" s="96">
        <f>INPUT!FZ300</f>
        <v>0</v>
      </c>
      <c r="FH401" s="5" t="str">
        <f>INPUT!GA300</f>
        <v>NA</v>
      </c>
      <c r="FI401" s="96">
        <f>INPUT!GB300</f>
        <v>0</v>
      </c>
      <c r="FJ401" s="5" t="str">
        <f>INPUT!GC300</f>
        <v>NA</v>
      </c>
      <c r="FK401" s="96">
        <f>INPUT!GD300</f>
        <v>0</v>
      </c>
      <c r="FL401" s="5" t="str">
        <f>INPUT!GE300</f>
        <v>NA</v>
      </c>
      <c r="FM401" s="96">
        <f>INPUT!GF300</f>
        <v>0</v>
      </c>
      <c r="FN401" s="5" t="str">
        <f>INPUT!GG300</f>
        <v>NA</v>
      </c>
      <c r="FO401" s="96">
        <f>INPUT!GH300</f>
        <v>0</v>
      </c>
      <c r="FP401" s="5" t="str">
        <f>INPUT!GI300</f>
        <v>NA</v>
      </c>
      <c r="FQ401" s="96">
        <f>INPUT!GJ300</f>
        <v>0</v>
      </c>
      <c r="FR401" s="5" t="str">
        <f>INPUT!GK300</f>
        <v>NA</v>
      </c>
      <c r="FS401" s="96">
        <f>INPUT!GL300</f>
        <v>0</v>
      </c>
      <c r="FT401" s="5" t="str">
        <f>INPUT!GM300</f>
        <v>NA</v>
      </c>
      <c r="FU401" s="96">
        <f>INPUT!GN300</f>
        <v>0</v>
      </c>
      <c r="FV401" s="5" t="str">
        <f>INPUT!GO300</f>
        <v>NA</v>
      </c>
      <c r="FW401" s="96">
        <f>INPUT!GP300</f>
        <v>0</v>
      </c>
      <c r="FX401" s="5" t="str">
        <f>INPUT!GQ300</f>
        <v>NA</v>
      </c>
      <c r="FY401" s="96">
        <f>INPUT!GR300</f>
        <v>0</v>
      </c>
      <c r="FZ401" s="5" t="str">
        <f>INPUT!GS300</f>
        <v>NA</v>
      </c>
      <c r="GA401" s="5">
        <f>INPUT!GT300</f>
        <v>0</v>
      </c>
    </row>
    <row r="402" spans="1:183" ht="12.75" hidden="1" customHeight="1" outlineLevel="1" collapsed="1" x14ac:dyDescent="0.2">
      <c r="A402" s="612" t="str">
        <f>INPUT!B301</f>
        <v>Other Expenses</v>
      </c>
      <c r="B402" s="96">
        <f>INPUT!M301</f>
        <v>6</v>
      </c>
      <c r="C402" s="18">
        <f>INPUT!N301</f>
        <v>-42.307692307692314</v>
      </c>
      <c r="D402" s="96">
        <f>INPUT!O301</f>
        <v>8.8000000000000007</v>
      </c>
      <c r="E402" s="18">
        <f>INPUT!P301</f>
        <v>46.666666666666679</v>
      </c>
      <c r="F402" s="96">
        <f>INPUT!Q301</f>
        <v>-2.2000000000000002</v>
      </c>
      <c r="G402" s="18" t="str">
        <f>INPUT!R301</f>
        <v>NM</v>
      </c>
      <c r="H402" s="96">
        <f>INPUT!S301</f>
        <v>14</v>
      </c>
      <c r="I402" s="18" t="str">
        <f>INPUT!T301</f>
        <v>NM</v>
      </c>
      <c r="J402" s="96">
        <f>INPUT!U301</f>
        <v>18.7</v>
      </c>
      <c r="K402" s="18">
        <f>INPUT!V301</f>
        <v>33.571428571428562</v>
      </c>
      <c r="L402" s="96">
        <f>INPUT!W301</f>
        <v>7.1</v>
      </c>
      <c r="M402" s="18" t="str">
        <f>INPUT!X301</f>
        <v>NM</v>
      </c>
      <c r="N402" s="96">
        <f>INPUT!Y301</f>
        <v>5.6</v>
      </c>
      <c r="O402" s="18">
        <f>INPUT!Z301</f>
        <v>-21.126760563380287</v>
      </c>
      <c r="P402" s="96">
        <f>INPUT!AA301</f>
        <v>6.5</v>
      </c>
      <c r="Q402" s="18">
        <f>INPUT!AB301</f>
        <v>16.07142857142858</v>
      </c>
      <c r="R402" s="96">
        <f>INPUT!AC301</f>
        <v>2</v>
      </c>
      <c r="S402" s="18" t="str">
        <f>INPUT!AD301</f>
        <v>NM</v>
      </c>
      <c r="T402" s="96">
        <f>INPUT!AE301</f>
        <v>3.9</v>
      </c>
      <c r="U402" s="18">
        <f>INPUT!AF301</f>
        <v>95</v>
      </c>
      <c r="V402" s="96">
        <f>INPUT!AG301</f>
        <v>1.8</v>
      </c>
      <c r="W402" s="18" t="str">
        <f>INPUT!AH301</f>
        <v>NM</v>
      </c>
      <c r="X402" s="96">
        <f>INPUT!AI301</f>
        <v>4.9000000000000004</v>
      </c>
      <c r="Y402" s="18" t="str">
        <f>INPUT!AJ301</f>
        <v>NM</v>
      </c>
      <c r="Z402" s="96">
        <f>INPUT!AK301</f>
        <v>3.8</v>
      </c>
      <c r="AA402" s="18">
        <f>INPUT!AL301</f>
        <v>-22.44897959183675</v>
      </c>
      <c r="AB402" s="96">
        <f>INPUT!AM301</f>
        <v>1.3</v>
      </c>
      <c r="AC402" s="18" t="str">
        <f>INPUT!AN301</f>
        <v>NM</v>
      </c>
      <c r="AD402" s="96">
        <f>INPUT!AO301</f>
        <v>0.1</v>
      </c>
      <c r="AE402" s="18" t="str">
        <f>INPUT!AP301</f>
        <v>NM</v>
      </c>
      <c r="AF402" s="96">
        <f>INPUT!AQ301</f>
        <v>0.8</v>
      </c>
      <c r="AG402" s="18" t="str">
        <f>INPUT!AR301</f>
        <v>NM</v>
      </c>
      <c r="AH402" s="96">
        <f>INPUT!AS301</f>
        <v>3.1</v>
      </c>
      <c r="AI402" s="18" t="str">
        <f>INPUT!AT301</f>
        <v>NM</v>
      </c>
      <c r="AJ402" s="96">
        <f>INPUT!AU301</f>
        <v>2.2000000000000002</v>
      </c>
      <c r="AK402" s="18">
        <f>INPUT!AV301</f>
        <v>-29.032258064516125</v>
      </c>
      <c r="AL402" s="96">
        <f>INPUT!AW301</f>
        <v>2.3999999999999986</v>
      </c>
      <c r="AM402" s="18">
        <f>INPUT!AX301</f>
        <v>9.0909090909090153</v>
      </c>
      <c r="AN402" s="96">
        <f>INPUT!AY301</f>
        <v>6.6</v>
      </c>
      <c r="AO402" s="18" t="str">
        <f>INPUT!AZ301</f>
        <v>NM</v>
      </c>
      <c r="AP402" s="96">
        <f>INPUT!BA301</f>
        <v>3.8</v>
      </c>
      <c r="AQ402" s="18">
        <f>INPUT!BB301</f>
        <v>-42.424242424242422</v>
      </c>
      <c r="AR402" s="96">
        <f>INPUT!BC301</f>
        <v>21.1</v>
      </c>
      <c r="AS402" s="18" t="str">
        <f>INPUT!BD301</f>
        <v>NM</v>
      </c>
      <c r="AT402" s="96">
        <f>INPUT!BE301</f>
        <v>1.6</v>
      </c>
      <c r="AU402" s="18" t="str">
        <f>INPUT!BF301</f>
        <v>NM</v>
      </c>
      <c r="AV402" s="96">
        <f>INPUT!BG301</f>
        <v>3.8000000000000029</v>
      </c>
      <c r="AW402" s="18" t="str">
        <f>INPUT!BH301</f>
        <v>NM</v>
      </c>
      <c r="AX402" s="96">
        <f>INPUT!BI301</f>
        <v>4.3000000000000007</v>
      </c>
      <c r="AY402" s="18">
        <f>INPUT!BJ301</f>
        <v>13.157894736842035</v>
      </c>
      <c r="AZ402" s="96">
        <f>INPUT!BK301</f>
        <v>4.7000000000000011</v>
      </c>
      <c r="BA402" s="18">
        <f>INPUT!BL301</f>
        <v>9.3023255813953654</v>
      </c>
      <c r="BB402" s="96">
        <f>INPUT!BM301</f>
        <v>6.3999999999999995</v>
      </c>
      <c r="BC402" s="18">
        <f>INPUT!BN301</f>
        <v>36.170212765957402</v>
      </c>
      <c r="BD402" s="96">
        <f>INPUT!BO301</f>
        <v>6.2</v>
      </c>
      <c r="BE402" s="18">
        <f>INPUT!BP301</f>
        <v>-3.1249999999999889</v>
      </c>
      <c r="BF402" s="96">
        <f>INPUT!BQ301</f>
        <v>13.7</v>
      </c>
      <c r="BG402" s="18" t="str">
        <f>INPUT!BR301</f>
        <v>NM</v>
      </c>
      <c r="BH402" s="96">
        <f>INPUT!BS301</f>
        <v>21.1</v>
      </c>
      <c r="BI402" s="18">
        <f>INPUT!BT301</f>
        <v>54.014598540146011</v>
      </c>
      <c r="BJ402" s="96">
        <f>INPUT!BU301</f>
        <v>15.3</v>
      </c>
      <c r="BK402" s="18">
        <f>INPUT!BV301</f>
        <v>-27.48815165876778</v>
      </c>
      <c r="BL402" s="96">
        <f>INPUT!BW301</f>
        <v>14.2</v>
      </c>
      <c r="BM402" s="18">
        <f>INPUT!BX301</f>
        <v>-7.1895424836601389</v>
      </c>
      <c r="BN402" s="96">
        <f>INPUT!BY301</f>
        <v>2.5</v>
      </c>
      <c r="BO402" s="18" t="str">
        <f>INPUT!BZ301</f>
        <v>NM</v>
      </c>
      <c r="BP402" s="96">
        <f>INPUT!CA301</f>
        <v>1.5</v>
      </c>
      <c r="BQ402" s="18">
        <f>INPUT!CB301</f>
        <v>-40</v>
      </c>
      <c r="BR402" s="96">
        <f>INPUT!CC301</f>
        <v>2.3000000000000007</v>
      </c>
      <c r="BS402" s="18">
        <f>INPUT!CD301</f>
        <v>53.333333333333385</v>
      </c>
      <c r="BT402" s="96">
        <f>INPUT!CE301</f>
        <v>1.5999999999999996</v>
      </c>
      <c r="BU402" s="18">
        <f>INPUT!CF301</f>
        <v>-30.434782608695688</v>
      </c>
      <c r="BV402" s="96">
        <f>INPUT!CG301</f>
        <v>2.4000000000000004</v>
      </c>
      <c r="BW402" s="18">
        <f>INPUT!CH301</f>
        <v>50.000000000000043</v>
      </c>
      <c r="BX402" s="96">
        <f>INPUT!CI301</f>
        <v>1.1000000000000001</v>
      </c>
      <c r="BY402" s="18" t="str">
        <f>INPUT!CJ301</f>
        <v>NM</v>
      </c>
      <c r="BZ402" s="96">
        <f>INPUT!CK301</f>
        <v>4.0999999999999996</v>
      </c>
      <c r="CA402" s="18" t="str">
        <f>INPUT!CL301</f>
        <v>NM</v>
      </c>
      <c r="CB402" s="96">
        <f>INPUT!CM301</f>
        <v>15.799999999999999</v>
      </c>
      <c r="CC402" s="18" t="str">
        <f>INPUT!CN301</f>
        <v>NM</v>
      </c>
      <c r="CD402" s="96">
        <f>INPUT!CO301</f>
        <v>-4.4000000000000004</v>
      </c>
      <c r="CE402" s="18" t="str">
        <f>INPUT!CP301</f>
        <v>NM</v>
      </c>
      <c r="CF402" s="96">
        <f>INPUT!CQ301</f>
        <v>4.0999999999999996</v>
      </c>
      <c r="CG402" s="18" t="str">
        <f>INPUT!CR301</f>
        <v>NM</v>
      </c>
      <c r="CH402" s="96">
        <f>INPUT!CS301</f>
        <v>0.8</v>
      </c>
      <c r="CI402" s="18" t="str">
        <f>INPUT!CT301</f>
        <v>NM</v>
      </c>
      <c r="CJ402" s="96">
        <f>INPUT!CU301</f>
        <v>-0.1</v>
      </c>
      <c r="CK402" s="18" t="str">
        <f>INPUT!CV301</f>
        <v>NM</v>
      </c>
      <c r="CL402" s="96">
        <f>INPUT!CW301</f>
        <v>2.2999999999999998</v>
      </c>
      <c r="CM402" s="18" t="str">
        <f>INPUT!CX301</f>
        <v>NM</v>
      </c>
      <c r="CN402" s="96">
        <f>INPUT!CY301</f>
        <v>1.9</v>
      </c>
      <c r="CO402" s="18">
        <f>INPUT!CZ301</f>
        <v>-17.391304347826086</v>
      </c>
      <c r="CP402" s="96">
        <f>INPUT!DA301</f>
        <v>0.8</v>
      </c>
      <c r="CQ402" s="18" t="str">
        <f>INPUT!DB301</f>
        <v>NM</v>
      </c>
      <c r="CR402" s="96">
        <f>INPUT!DC301</f>
        <v>0</v>
      </c>
      <c r="CS402" s="18" t="str">
        <f>INPUT!DD301</f>
        <v>NM</v>
      </c>
      <c r="CT402" s="96">
        <f>INPUT!DE301</f>
        <v>0</v>
      </c>
      <c r="CU402" s="18" t="str">
        <f>INPUT!DF301</f>
        <v>NA</v>
      </c>
      <c r="CV402" s="96">
        <f>INPUT!DG301</f>
        <v>0</v>
      </c>
      <c r="CW402" s="18" t="str">
        <f>INPUT!DH301</f>
        <v>NA</v>
      </c>
      <c r="CX402" s="96">
        <f>INPUT!DI301</f>
        <v>0</v>
      </c>
      <c r="CY402" s="18" t="str">
        <f>INPUT!DJ301</f>
        <v>NA</v>
      </c>
      <c r="CZ402" s="96">
        <f>INPUT!DK301</f>
        <v>0</v>
      </c>
      <c r="DA402" s="18" t="str">
        <f>INPUT!DL301</f>
        <v>NA</v>
      </c>
      <c r="DB402" s="96">
        <f>INPUT!DM301</f>
        <v>0</v>
      </c>
      <c r="DC402" s="18" t="str">
        <f>INPUT!DN301</f>
        <v>NA</v>
      </c>
      <c r="DD402" s="96">
        <f>INPUT!DO301</f>
        <v>0</v>
      </c>
      <c r="DE402" s="18" t="str">
        <f>INPUT!DP301</f>
        <v>NA</v>
      </c>
      <c r="DF402" s="96">
        <f>INPUT!DQ301</f>
        <v>0</v>
      </c>
      <c r="DG402" s="18" t="str">
        <f>INPUT!DR301</f>
        <v>NA</v>
      </c>
      <c r="DH402" s="96">
        <f>INPUT!DS301</f>
        <v>0</v>
      </c>
      <c r="DI402" s="18" t="str">
        <f>INPUT!DT301</f>
        <v>NA</v>
      </c>
      <c r="DJ402" s="96">
        <f>INPUT!DU301</f>
        <v>0</v>
      </c>
      <c r="DK402" s="18" t="str">
        <f>INPUT!DV301</f>
        <v>NA</v>
      </c>
      <c r="DL402" s="96">
        <f>INPUT!DW301</f>
        <v>0</v>
      </c>
      <c r="DM402" s="18" t="str">
        <f>INPUT!DX301</f>
        <v>NA</v>
      </c>
      <c r="DN402" s="96">
        <f>INPUT!DY301</f>
        <v>0</v>
      </c>
      <c r="DO402" s="18" t="str">
        <f>INPUT!DZ301</f>
        <v>NA</v>
      </c>
      <c r="DP402" s="96">
        <f>INPUT!EA301</f>
        <v>0</v>
      </c>
      <c r="DQ402" s="18" t="str">
        <f>INPUT!EB301</f>
        <v>NA</v>
      </c>
      <c r="DR402" s="96">
        <f>INPUT!EC301</f>
        <v>0</v>
      </c>
      <c r="DS402" s="18" t="str">
        <f>INPUT!ED301</f>
        <v>NA</v>
      </c>
      <c r="DT402" s="96">
        <f>INPUT!EE301</f>
        <v>0</v>
      </c>
      <c r="DU402" s="18" t="str">
        <f>INPUT!EF301</f>
        <v>NA</v>
      </c>
      <c r="DV402" s="96">
        <f>INPUT!EG301</f>
        <v>0</v>
      </c>
      <c r="DW402" s="18" t="str">
        <f>INPUT!EH301</f>
        <v>NA</v>
      </c>
      <c r="DX402" s="96">
        <f>INPUT!EI301</f>
        <v>0</v>
      </c>
      <c r="DY402" s="18" t="str">
        <f>INPUT!EJ301</f>
        <v>NA</v>
      </c>
      <c r="DZ402" s="96">
        <f>INPUT!EK301</f>
        <v>0</v>
      </c>
      <c r="EA402" s="18" t="str">
        <f>INPUT!EL301</f>
        <v>NA</v>
      </c>
      <c r="EB402" s="96">
        <f>INPUT!EM301</f>
        <v>0</v>
      </c>
      <c r="EC402" s="18" t="str">
        <f>INPUT!EN301</f>
        <v>NA</v>
      </c>
      <c r="ED402" s="96">
        <f>INPUT!EO301</f>
        <v>0</v>
      </c>
      <c r="EE402" s="18" t="str">
        <f>INPUT!EP301</f>
        <v>NA</v>
      </c>
      <c r="EF402" s="96">
        <f>INPUT!EQ301</f>
        <v>0</v>
      </c>
      <c r="EG402" s="18" t="str">
        <f>INPUT!ER301</f>
        <v>NA</v>
      </c>
      <c r="EH402" s="18"/>
      <c r="EI402" s="96"/>
      <c r="EJ402" s="611"/>
      <c r="EK402" s="96">
        <f>INPUT!FD301</f>
        <v>26.6</v>
      </c>
      <c r="EL402" s="5" t="str">
        <f>INPUT!FE301</f>
        <v>NA</v>
      </c>
      <c r="EM402" s="96">
        <f>INPUT!FF301</f>
        <v>37.9</v>
      </c>
      <c r="EN402" s="5">
        <f>INPUT!FG301</f>
        <v>42.481203007518786</v>
      </c>
      <c r="EO402" s="96">
        <f>INPUT!FH301</f>
        <v>12.6</v>
      </c>
      <c r="EP402" s="5" t="str">
        <f>INPUT!FI301</f>
        <v>NM</v>
      </c>
      <c r="EQ402" s="96">
        <f>INPUT!FJ301</f>
        <v>6</v>
      </c>
      <c r="ER402" s="5" t="str">
        <f>INPUT!FK301</f>
        <v>NM</v>
      </c>
      <c r="ES402" s="96">
        <f>INPUT!FL301</f>
        <v>14.299999999999999</v>
      </c>
      <c r="ET402" s="5" t="str">
        <f>INPUT!FM301</f>
        <v>NM</v>
      </c>
      <c r="EU402" s="96">
        <f>INPUT!FN301</f>
        <v>30.300000000000008</v>
      </c>
      <c r="EV402" s="5" t="str">
        <f>INPUT!FO301</f>
        <v>NM</v>
      </c>
      <c r="EW402" s="96">
        <f>INPUT!FP301</f>
        <v>21.6</v>
      </c>
      <c r="EX402" s="5">
        <f>INPUT!FQ301</f>
        <v>-28.712871287128728</v>
      </c>
      <c r="EY402" s="96">
        <f>INPUT!FR301</f>
        <v>12.7</v>
      </c>
      <c r="EZ402" s="5">
        <f>INPUT!FS301</f>
        <v>-41.203703703703709</v>
      </c>
      <c r="FA402" s="96">
        <f>INPUT!FT301</f>
        <v>7.9</v>
      </c>
      <c r="FB402" s="5">
        <f>INPUT!FU301</f>
        <v>-37.795275590551171</v>
      </c>
      <c r="FC402" s="96">
        <f>INPUT!FV301</f>
        <v>23.4</v>
      </c>
      <c r="FD402" s="5" t="str">
        <f>INPUT!FW301</f>
        <v>NM</v>
      </c>
      <c r="FE402" s="96">
        <f>INPUT!FX301</f>
        <v>0.39999999999999936</v>
      </c>
      <c r="FF402" s="5" t="str">
        <f>INPUT!FY301</f>
        <v>NM</v>
      </c>
      <c r="FG402" s="96">
        <f>INPUT!FZ301</f>
        <v>4.9999999999999991</v>
      </c>
      <c r="FH402" s="5" t="str">
        <f>INPUT!GA301</f>
        <v>NM</v>
      </c>
      <c r="FI402" s="96">
        <f>INPUT!GB301</f>
        <v>0</v>
      </c>
      <c r="FJ402" s="5" t="str">
        <f>INPUT!GC301</f>
        <v>NM</v>
      </c>
      <c r="FK402" s="96">
        <f>INPUT!GD301</f>
        <v>0</v>
      </c>
      <c r="FL402" s="5" t="str">
        <f>INPUT!GE301</f>
        <v>NA</v>
      </c>
      <c r="FM402" s="96">
        <f>INPUT!GF301</f>
        <v>0</v>
      </c>
      <c r="FN402" s="5" t="str">
        <f>INPUT!GG301</f>
        <v>NA</v>
      </c>
      <c r="FO402" s="96">
        <f>INPUT!GH301</f>
        <v>0</v>
      </c>
      <c r="FP402" s="5" t="str">
        <f>INPUT!GI301</f>
        <v>NA</v>
      </c>
      <c r="FQ402" s="96">
        <f>INPUT!GJ301</f>
        <v>0</v>
      </c>
      <c r="FR402" s="5" t="str">
        <f>INPUT!GK301</f>
        <v>NA</v>
      </c>
      <c r="FS402" s="96">
        <f>INPUT!GL301</f>
        <v>0</v>
      </c>
      <c r="FT402" s="5" t="str">
        <f>INPUT!GM301</f>
        <v>NA</v>
      </c>
      <c r="FU402" s="96">
        <f>INPUT!GN301</f>
        <v>0</v>
      </c>
      <c r="FV402" s="5" t="str">
        <f>INPUT!GO301</f>
        <v>NA</v>
      </c>
      <c r="FW402" s="96">
        <f>INPUT!GP301</f>
        <v>0</v>
      </c>
      <c r="FX402" s="5" t="str">
        <f>INPUT!GQ301</f>
        <v>NA</v>
      </c>
      <c r="FY402" s="96">
        <f>INPUT!GR301</f>
        <v>0</v>
      </c>
      <c r="FZ402" s="5" t="str">
        <f>INPUT!GS301</f>
        <v>NA</v>
      </c>
      <c r="GA402" s="5" t="str">
        <f>INPUT!GT301</f>
        <v>NA</v>
      </c>
    </row>
    <row r="403" spans="1:183" ht="12.75" hidden="1" customHeight="1" outlineLevel="1" x14ac:dyDescent="0.2">
      <c r="A403" s="610" t="str">
        <f>INPUT!B302</f>
        <v xml:space="preserve"> Total Benefits and Expenses</v>
      </c>
      <c r="B403" s="96">
        <f>INPUT!M302</f>
        <v>134.10000000000002</v>
      </c>
      <c r="C403" s="18">
        <f>INPUT!N302</f>
        <v>18.98846495119788</v>
      </c>
      <c r="D403" s="96">
        <f>INPUT!O302</f>
        <v>131.20000000000002</v>
      </c>
      <c r="E403" s="18">
        <f>INPUT!P302</f>
        <v>-2.162565249813575</v>
      </c>
      <c r="F403" s="96">
        <f>INPUT!Q302</f>
        <v>129.30000000000001</v>
      </c>
      <c r="G403" s="18">
        <f>INPUT!R302</f>
        <v>-1.4481707317073211</v>
      </c>
      <c r="H403" s="96">
        <f>INPUT!S302</f>
        <v>136.19999999999999</v>
      </c>
      <c r="I403" s="18">
        <f>INPUT!T302</f>
        <v>5.3364269141531251</v>
      </c>
      <c r="J403" s="96">
        <f>INPUT!U302</f>
        <v>144.70000000000002</v>
      </c>
      <c r="K403" s="18">
        <f>INPUT!V302</f>
        <v>6.2408223201174895</v>
      </c>
      <c r="L403" s="96">
        <f>INPUT!W302</f>
        <v>139.79999999999998</v>
      </c>
      <c r="M403" s="18">
        <f>INPUT!X302</f>
        <v>-3.386316516931609</v>
      </c>
      <c r="N403" s="96">
        <f>INPUT!Y302</f>
        <v>136.6</v>
      </c>
      <c r="O403" s="18">
        <f>INPUT!Z302</f>
        <v>-2.2889842632331847</v>
      </c>
      <c r="P403" s="96">
        <f>INPUT!AA302</f>
        <v>140.69999999999999</v>
      </c>
      <c r="Q403" s="18">
        <f>INPUT!AB302</f>
        <v>3.0014641288433452</v>
      </c>
      <c r="R403" s="96">
        <f>INPUT!AC302</f>
        <v>137.19999999999999</v>
      </c>
      <c r="S403" s="18">
        <f>INPUT!AD302</f>
        <v>-2.4875621890547261</v>
      </c>
      <c r="T403" s="96">
        <f>INPUT!AE302</f>
        <v>128.4</v>
      </c>
      <c r="U403" s="18">
        <f>INPUT!AF302</f>
        <v>-6.4139941690961937</v>
      </c>
      <c r="V403" s="96">
        <f>INPUT!AG302</f>
        <v>138.60000000000002</v>
      </c>
      <c r="W403" s="18">
        <f>INPUT!AH302</f>
        <v>7.9439252336448662</v>
      </c>
      <c r="X403" s="96">
        <f>INPUT!AI302</f>
        <v>137</v>
      </c>
      <c r="Y403" s="18">
        <f>INPUT!AJ302</f>
        <v>-1.1544011544011745</v>
      </c>
      <c r="Z403" s="96">
        <f>INPUT!AK302</f>
        <v>130.29999999999998</v>
      </c>
      <c r="AA403" s="18">
        <f>INPUT!AL302</f>
        <v>-4.8905109489051242</v>
      </c>
      <c r="AB403" s="96">
        <f>INPUT!AM302</f>
        <v>127.2</v>
      </c>
      <c r="AC403" s="18">
        <f>INPUT!AN302</f>
        <v>-2.3791250959324439</v>
      </c>
      <c r="AD403" s="96">
        <f>INPUT!AO302</f>
        <v>117.79999999999998</v>
      </c>
      <c r="AE403" s="18">
        <f>INPUT!AP302</f>
        <v>-7.3899371069182536</v>
      </c>
      <c r="AF403" s="96">
        <f>INPUT!AQ302</f>
        <v>89.7</v>
      </c>
      <c r="AG403" s="18">
        <f>INPUT!AR302</f>
        <v>-23.853989813242769</v>
      </c>
      <c r="AH403" s="96">
        <f>INPUT!AS302</f>
        <v>84.299999999999983</v>
      </c>
      <c r="AI403" s="18">
        <f>INPUT!AT302</f>
        <v>-6.0200668896321252</v>
      </c>
      <c r="AJ403" s="96">
        <f>INPUT!AU302</f>
        <v>126.50000000000001</v>
      </c>
      <c r="AK403" s="18">
        <f>INPUT!AV302</f>
        <v>50.059311981020201</v>
      </c>
      <c r="AL403" s="96">
        <f>INPUT!AW302</f>
        <v>118</v>
      </c>
      <c r="AM403" s="18">
        <f>INPUT!AX302</f>
        <v>-6.7193675889328119</v>
      </c>
      <c r="AN403" s="96">
        <f>INPUT!AY302</f>
        <v>84.9</v>
      </c>
      <c r="AO403" s="18">
        <f>INPUT!AZ302</f>
        <v>-28.050847457627114</v>
      </c>
      <c r="AP403" s="96">
        <f>INPUT!BA302</f>
        <v>81.5</v>
      </c>
      <c r="AQ403" s="18">
        <f>INPUT!BB302</f>
        <v>-4.0047114252061311</v>
      </c>
      <c r="AR403" s="96">
        <f>INPUT!BC302</f>
        <v>95.6</v>
      </c>
      <c r="AS403" s="18">
        <f>INPUT!BD302</f>
        <v>17.300613496932506</v>
      </c>
      <c r="AT403" s="96">
        <f>INPUT!BE302</f>
        <v>70.2</v>
      </c>
      <c r="AU403" s="18">
        <f>INPUT!BF302</f>
        <v>-26.56903765690376</v>
      </c>
      <c r="AV403" s="96">
        <f>INPUT!BG302</f>
        <v>71.399999999999991</v>
      </c>
      <c r="AW403" s="18">
        <f>INPUT!BH302</f>
        <v>1.7094017094017033</v>
      </c>
      <c r="AX403" s="96">
        <f>INPUT!BI302</f>
        <v>66.7</v>
      </c>
      <c r="AY403" s="18">
        <f>INPUT!BJ302</f>
        <v>-6.5826330532212758</v>
      </c>
      <c r="AZ403" s="96">
        <f>INPUT!BK302</f>
        <v>65.599999999999994</v>
      </c>
      <c r="BA403" s="18">
        <f>INPUT!BL302</f>
        <v>-1.6491754122938684</v>
      </c>
      <c r="BB403" s="96">
        <f>INPUT!BM302</f>
        <v>65.000000000000014</v>
      </c>
      <c r="BC403" s="18">
        <f>INPUT!BN302</f>
        <v>-0.91463414634143092</v>
      </c>
      <c r="BD403" s="96">
        <f>INPUT!BO302</f>
        <v>57.8</v>
      </c>
      <c r="BE403" s="18">
        <f>INPUT!BP302</f>
        <v>-11.076923076923094</v>
      </c>
      <c r="BF403" s="96">
        <f>INPUT!BQ302</f>
        <v>62.7</v>
      </c>
      <c r="BG403" s="18">
        <f>INPUT!BR302</f>
        <v>8.477508650519038</v>
      </c>
      <c r="BH403" s="96">
        <f>INPUT!BS302</f>
        <v>70</v>
      </c>
      <c r="BI403" s="18">
        <f>INPUT!BT302</f>
        <v>11.642743221690587</v>
      </c>
      <c r="BJ403" s="96">
        <f>INPUT!BU302</f>
        <v>63.5</v>
      </c>
      <c r="BK403" s="18">
        <f>INPUT!BV302</f>
        <v>-9.2857142857142865</v>
      </c>
      <c r="BL403" s="96">
        <f>INPUT!BW302</f>
        <v>67.2</v>
      </c>
      <c r="BM403" s="18">
        <f>INPUT!BX302</f>
        <v>5.8267716535433056</v>
      </c>
      <c r="BN403" s="96">
        <f>INPUT!BY302</f>
        <v>32.799999999999997</v>
      </c>
      <c r="BO403" s="18" t="str">
        <f>INPUT!BZ302</f>
        <v>NM</v>
      </c>
      <c r="BP403" s="96">
        <f>INPUT!CA302</f>
        <v>32.299999999999997</v>
      </c>
      <c r="BQ403" s="18">
        <f>INPUT!CB302</f>
        <v>-1.5243902439024404</v>
      </c>
      <c r="BR403" s="96">
        <f>INPUT!CC302</f>
        <v>34.1</v>
      </c>
      <c r="BS403" s="18">
        <f>INPUT!CD302</f>
        <v>5.5727554179566763</v>
      </c>
      <c r="BT403" s="96">
        <f>INPUT!CE302</f>
        <v>37.6</v>
      </c>
      <c r="BU403" s="18">
        <f>INPUT!CF302</f>
        <v>10.263929618768319</v>
      </c>
      <c r="BV403" s="96">
        <f>INPUT!CG302</f>
        <v>37.299999999999997</v>
      </c>
      <c r="BW403" s="18">
        <f>INPUT!CH302</f>
        <v>-0.79787234042554278</v>
      </c>
      <c r="BX403" s="96">
        <f>INPUT!CI302</f>
        <v>33.4</v>
      </c>
      <c r="BY403" s="18">
        <f>INPUT!CJ302</f>
        <v>-10.45576407506702</v>
      </c>
      <c r="BZ403" s="96">
        <f>INPUT!CK302</f>
        <v>36.300000000000004</v>
      </c>
      <c r="CA403" s="18">
        <f>INPUT!CL302</f>
        <v>8.6826347305389397</v>
      </c>
      <c r="CB403" s="96">
        <f>INPUT!CM302</f>
        <v>48.199999999999996</v>
      </c>
      <c r="CC403" s="18">
        <f>INPUT!CN302</f>
        <v>32.782369146005472</v>
      </c>
      <c r="CD403" s="96">
        <f>INPUT!CO302</f>
        <v>28.1</v>
      </c>
      <c r="CE403" s="18">
        <f>INPUT!CP302</f>
        <v>-41.701244813278002</v>
      </c>
      <c r="CF403" s="96">
        <f>INPUT!CQ302</f>
        <v>36.300000000000004</v>
      </c>
      <c r="CG403" s="18">
        <f>INPUT!CR302</f>
        <v>29.181494661921725</v>
      </c>
      <c r="CH403" s="96">
        <f>INPUT!CS302</f>
        <v>34.699999999999996</v>
      </c>
      <c r="CI403" s="18">
        <f>INPUT!CT302</f>
        <v>-4.4077134986226119</v>
      </c>
      <c r="CJ403" s="96">
        <f>INPUT!CU302</f>
        <v>35.199999999999996</v>
      </c>
      <c r="CK403" s="18">
        <f>INPUT!CV302</f>
        <v>1.4409221902017322</v>
      </c>
      <c r="CL403" s="96">
        <f>INPUT!CW302</f>
        <v>37.099999999999994</v>
      </c>
      <c r="CM403" s="18">
        <f>INPUT!CX302</f>
        <v>5.3977272727272707</v>
      </c>
      <c r="CN403" s="96">
        <f>INPUT!CY302</f>
        <v>37.1</v>
      </c>
      <c r="CO403" s="18">
        <f>INPUT!CZ302</f>
        <v>2.2204460492503131E-14</v>
      </c>
      <c r="CP403" s="96">
        <f>INPUT!DA302</f>
        <v>33.6</v>
      </c>
      <c r="CQ403" s="18">
        <f>INPUT!DB302</f>
        <v>-9.4339622641509422</v>
      </c>
      <c r="CR403" s="96">
        <f>INPUT!DC302</f>
        <v>39.700000000000003</v>
      </c>
      <c r="CS403" s="18">
        <f>INPUT!DD302</f>
        <v>18.154761904761905</v>
      </c>
      <c r="CT403" s="96">
        <f>INPUT!DE302</f>
        <v>35</v>
      </c>
      <c r="CU403" s="18">
        <f>INPUT!DF302</f>
        <v>-11.838790931989928</v>
      </c>
      <c r="CV403" s="96">
        <f>INPUT!DG302</f>
        <v>49.7</v>
      </c>
      <c r="CW403" s="18">
        <f>INPUT!DH302</f>
        <v>42.000000000000014</v>
      </c>
      <c r="CX403" s="96">
        <f>INPUT!DI302</f>
        <v>35.799999999999997</v>
      </c>
      <c r="CY403" s="18">
        <f>INPUT!DJ302</f>
        <v>-27.967806841046283</v>
      </c>
      <c r="CZ403" s="96">
        <f>INPUT!DK302</f>
        <v>38.799999999999997</v>
      </c>
      <c r="DA403" s="18">
        <f>INPUT!DL302</f>
        <v>8.3798882681564315</v>
      </c>
      <c r="DB403" s="96">
        <f>INPUT!DM302</f>
        <v>39.299999999999997</v>
      </c>
      <c r="DC403" s="18">
        <f>INPUT!DN302</f>
        <v>1.2886597938144284</v>
      </c>
      <c r="DD403" s="96">
        <f>INPUT!DO302</f>
        <v>44.6</v>
      </c>
      <c r="DE403" s="18">
        <f>INPUT!DP302</f>
        <v>13.486005089058528</v>
      </c>
      <c r="DF403" s="96">
        <f>INPUT!DQ302</f>
        <v>38.1</v>
      </c>
      <c r="DG403" s="18">
        <f>INPUT!DR302</f>
        <v>-14.573991031390133</v>
      </c>
      <c r="DH403" s="96">
        <f>INPUT!DS302</f>
        <v>43.2</v>
      </c>
      <c r="DI403" s="18">
        <f>INPUT!DT302</f>
        <v>13.385826771653541</v>
      </c>
      <c r="DJ403" s="96">
        <f>INPUT!DU302</f>
        <v>41</v>
      </c>
      <c r="DK403" s="18">
        <f>INPUT!DV302</f>
        <v>-5.0925925925926041</v>
      </c>
      <c r="DL403" s="96">
        <f>INPUT!DW302</f>
        <v>45.9</v>
      </c>
      <c r="DM403" s="18">
        <f>INPUT!DX302</f>
        <v>11.951219512195109</v>
      </c>
      <c r="DN403" s="96">
        <f>INPUT!DY302</f>
        <v>52</v>
      </c>
      <c r="DO403" s="18">
        <f>INPUT!DZ302</f>
        <v>13.28976034858389</v>
      </c>
      <c r="DP403" s="96">
        <f>INPUT!EA302</f>
        <v>47.5</v>
      </c>
      <c r="DQ403" s="18">
        <f>INPUT!EB302</f>
        <v>-8.6538461538461569</v>
      </c>
      <c r="DR403" s="96">
        <f>INPUT!EC302</f>
        <v>63.7</v>
      </c>
      <c r="DS403" s="18">
        <f>INPUT!ED302</f>
        <v>34.105263157894747</v>
      </c>
      <c r="DT403" s="96">
        <f>INPUT!EE302</f>
        <v>43.3</v>
      </c>
      <c r="DU403" s="18">
        <f>INPUT!EF302</f>
        <v>-32.025117739403463</v>
      </c>
      <c r="DV403" s="96">
        <f>INPUT!EG302</f>
        <v>42.9</v>
      </c>
      <c r="DW403" s="18">
        <f>INPUT!EH302</f>
        <v>-0.92378752886835835</v>
      </c>
      <c r="DX403" s="96">
        <f>INPUT!EI302</f>
        <v>41.8</v>
      </c>
      <c r="DY403" s="18">
        <f>INPUT!EJ302</f>
        <v>-2.5641025641025661</v>
      </c>
      <c r="DZ403" s="96">
        <f>INPUT!EK302</f>
        <v>41.8</v>
      </c>
      <c r="EA403" s="18">
        <f>INPUT!EL302</f>
        <v>0</v>
      </c>
      <c r="EB403" s="96">
        <f>INPUT!EM302</f>
        <v>41.8</v>
      </c>
      <c r="EC403" s="18">
        <f>INPUT!EN302</f>
        <v>0</v>
      </c>
      <c r="ED403" s="96">
        <f>INPUT!EO302</f>
        <v>43.55</v>
      </c>
      <c r="EE403" s="18">
        <f>INPUT!EP302</f>
        <v>4.1866028708134051</v>
      </c>
      <c r="EF403" s="96">
        <f>INPUT!EQ302</f>
        <v>43.55</v>
      </c>
      <c r="EG403" s="18">
        <f>INPUT!ER302</f>
        <v>0</v>
      </c>
      <c r="EH403" s="18"/>
      <c r="EI403" s="96"/>
      <c r="EJ403" s="611"/>
      <c r="EK403" s="96">
        <f>INPUT!FD302</f>
        <v>530.80000000000007</v>
      </c>
      <c r="EL403" s="5" t="str">
        <f>INPUT!FE302</f>
        <v>NA</v>
      </c>
      <c r="EM403" s="96">
        <f>INPUT!FF302</f>
        <v>561.80000000000007</v>
      </c>
      <c r="EN403" s="5">
        <f>INPUT!FG302</f>
        <v>5.8402411454408387</v>
      </c>
      <c r="EO403" s="96">
        <f>INPUT!FH302</f>
        <v>541.20000000000005</v>
      </c>
      <c r="EP403" s="5">
        <f>INPUT!FI302</f>
        <v>-3.6667853328586686</v>
      </c>
      <c r="EQ403" s="96">
        <f>INPUT!FJ302</f>
        <v>464.99999999999994</v>
      </c>
      <c r="ER403" s="5">
        <f>INPUT!FK302</f>
        <v>-14.079822616408</v>
      </c>
      <c r="ES403" s="96">
        <f>INPUT!FL302</f>
        <v>413.7</v>
      </c>
      <c r="ET403" s="5">
        <f>INPUT!FM302</f>
        <v>-11.032258064516121</v>
      </c>
      <c r="EU403" s="96">
        <f>INPUT!FN302</f>
        <v>318.7</v>
      </c>
      <c r="EV403" s="5">
        <f>INPUT!FO302</f>
        <v>-22.963500120860523</v>
      </c>
      <c r="EW403" s="96">
        <f>INPUT!FP302</f>
        <v>255.1</v>
      </c>
      <c r="EX403" s="5">
        <f>INPUT!FQ302</f>
        <v>-19.956071540633825</v>
      </c>
      <c r="EY403" s="96">
        <f>INPUT!FR302</f>
        <v>119.5</v>
      </c>
      <c r="EZ403" s="5" t="str">
        <f>INPUT!FS302</f>
        <v>NM</v>
      </c>
      <c r="FA403" s="96">
        <f>INPUT!FT302</f>
        <v>136.80000000000001</v>
      </c>
      <c r="FB403" s="5">
        <f>INPUT!FU302</f>
        <v>14.476987447698765</v>
      </c>
      <c r="FC403" s="96">
        <f>INPUT!FV302</f>
        <v>155.19999999999999</v>
      </c>
      <c r="FD403" s="5">
        <f>INPUT!FW302</f>
        <v>13.450292397660801</v>
      </c>
      <c r="FE403" s="96">
        <f>INPUT!FX302</f>
        <v>134.29999999999998</v>
      </c>
      <c r="FF403" s="5">
        <f>INPUT!FY302</f>
        <v>-13.466494845360833</v>
      </c>
      <c r="FG403" s="96">
        <f>INPUT!FZ302</f>
        <v>147.5</v>
      </c>
      <c r="FH403" s="5">
        <f>INPUT!GA302</f>
        <v>9.8287416232315969</v>
      </c>
      <c r="FI403" s="96">
        <f>INPUT!GB302</f>
        <v>159.30000000000001</v>
      </c>
      <c r="FJ403" s="5">
        <f>INPUT!GC302</f>
        <v>8.0000000000000071</v>
      </c>
      <c r="FK403" s="96">
        <f>INPUT!GD302</f>
        <v>165.2</v>
      </c>
      <c r="FL403" s="5">
        <f>INPUT!GE302</f>
        <v>3.7037037037036979</v>
      </c>
      <c r="FM403" s="96">
        <f>INPUT!GF302</f>
        <v>186.4</v>
      </c>
      <c r="FN403" s="5">
        <f>INPUT!GG302</f>
        <v>12.832929782082324</v>
      </c>
      <c r="FO403" s="96">
        <f>INPUT!GH302</f>
        <v>191.7</v>
      </c>
      <c r="FP403" s="5">
        <f>INPUT!GI302</f>
        <v>2.8433476394849722</v>
      </c>
      <c r="FQ403" s="96">
        <f>INPUT!GJ302</f>
        <v>170.7</v>
      </c>
      <c r="FR403" s="5">
        <f>INPUT!GK302</f>
        <v>-10.954616588419409</v>
      </c>
      <c r="FS403" s="96">
        <f>INPUT!GL302</f>
        <v>174.2</v>
      </c>
      <c r="FT403" s="5">
        <f>INPUT!GM302</f>
        <v>2.0503807850029254</v>
      </c>
      <c r="FU403" s="96">
        <f>INPUT!GN302</f>
        <v>175.94199999999998</v>
      </c>
      <c r="FV403" s="5">
        <f>INPUT!GO302</f>
        <v>1.0000000000000009</v>
      </c>
      <c r="FW403" s="96">
        <f>INPUT!GP302</f>
        <v>177.70141999999998</v>
      </c>
      <c r="FX403" s="5">
        <f>INPUT!GQ302</f>
        <v>1.0000000000000009</v>
      </c>
      <c r="FY403" s="96">
        <f>INPUT!GR302</f>
        <v>179.47843419999998</v>
      </c>
      <c r="FZ403" s="5">
        <f>INPUT!GS302</f>
        <v>1.0000000000000009</v>
      </c>
      <c r="GA403" s="5">
        <f>INPUT!GT302</f>
        <v>-1.3088904033967563</v>
      </c>
    </row>
    <row r="404" spans="1:183" ht="12.75" hidden="1" customHeight="1" outlineLevel="1" x14ac:dyDescent="0.2">
      <c r="A404" s="610"/>
      <c r="B404" s="96"/>
      <c r="C404" s="18"/>
      <c r="D404" s="96"/>
      <c r="E404" s="18"/>
      <c r="F404" s="96"/>
      <c r="G404" s="18"/>
      <c r="H404" s="96"/>
      <c r="I404" s="18"/>
      <c r="J404" s="96"/>
      <c r="K404" s="18"/>
      <c r="L404" s="96"/>
      <c r="M404" s="18"/>
      <c r="N404" s="96"/>
      <c r="O404" s="18"/>
      <c r="P404" s="96"/>
      <c r="Q404" s="18"/>
      <c r="R404" s="96"/>
      <c r="S404" s="18"/>
      <c r="T404" s="96"/>
      <c r="U404" s="18"/>
      <c r="V404" s="96"/>
      <c r="W404" s="18"/>
      <c r="X404" s="96"/>
      <c r="Y404" s="18"/>
      <c r="Z404" s="96"/>
      <c r="AA404" s="18"/>
      <c r="AB404" s="96"/>
      <c r="AC404" s="18"/>
      <c r="AD404" s="96"/>
      <c r="AE404" s="18"/>
      <c r="AF404" s="96"/>
      <c r="AG404" s="18"/>
      <c r="AH404" s="96"/>
      <c r="AI404" s="18"/>
      <c r="AJ404" s="96"/>
      <c r="AK404" s="18"/>
      <c r="AL404" s="96"/>
      <c r="AM404" s="18"/>
      <c r="AN404" s="96"/>
      <c r="AO404" s="18"/>
      <c r="AP404" s="96"/>
      <c r="AQ404" s="18"/>
      <c r="AR404" s="96"/>
      <c r="AS404" s="18"/>
      <c r="AT404" s="96"/>
      <c r="AU404" s="18"/>
      <c r="AV404" s="96"/>
      <c r="AW404" s="18"/>
      <c r="AX404" s="96"/>
      <c r="AY404" s="18"/>
      <c r="AZ404" s="96"/>
      <c r="BA404" s="18"/>
      <c r="BB404" s="96"/>
      <c r="BC404" s="18"/>
      <c r="BD404" s="96"/>
      <c r="BE404" s="18"/>
      <c r="BF404" s="96"/>
      <c r="BG404" s="18"/>
      <c r="BH404" s="96"/>
      <c r="BI404" s="18"/>
      <c r="BJ404" s="96"/>
      <c r="BK404" s="18"/>
      <c r="BL404" s="96"/>
      <c r="BM404" s="18"/>
      <c r="BN404" s="96"/>
      <c r="BO404" s="18"/>
      <c r="BP404" s="96"/>
      <c r="BQ404" s="18"/>
      <c r="BR404" s="96"/>
      <c r="BS404" s="18"/>
      <c r="BT404" s="96"/>
      <c r="BU404" s="18"/>
      <c r="BV404" s="96"/>
      <c r="BW404" s="18"/>
      <c r="BX404" s="96"/>
      <c r="BY404" s="18"/>
      <c r="BZ404" s="96"/>
      <c r="CA404" s="18"/>
      <c r="CB404" s="96"/>
      <c r="CC404" s="18"/>
      <c r="CD404" s="96"/>
      <c r="CE404" s="18"/>
      <c r="CF404" s="96"/>
      <c r="CG404" s="18"/>
      <c r="CH404" s="96"/>
      <c r="CI404" s="18"/>
      <c r="CJ404" s="96"/>
      <c r="CK404" s="18"/>
      <c r="CL404" s="96"/>
      <c r="CM404" s="18"/>
      <c r="CN404" s="96"/>
      <c r="CO404" s="18"/>
      <c r="CP404" s="96"/>
      <c r="CQ404" s="18"/>
      <c r="CR404" s="96"/>
      <c r="CS404" s="18"/>
      <c r="CT404" s="96"/>
      <c r="CU404" s="18"/>
      <c r="CV404" s="96"/>
      <c r="CW404" s="18"/>
      <c r="CX404" s="96"/>
      <c r="CY404" s="18"/>
      <c r="CZ404" s="96"/>
      <c r="DA404" s="18"/>
      <c r="DB404" s="96"/>
      <c r="DC404" s="18"/>
      <c r="DD404" s="96"/>
      <c r="DE404" s="18"/>
      <c r="DF404" s="96"/>
      <c r="DG404" s="18"/>
      <c r="DH404" s="96"/>
      <c r="DI404" s="18"/>
      <c r="DJ404" s="96"/>
      <c r="DK404" s="18"/>
      <c r="DL404" s="96"/>
      <c r="DM404" s="18"/>
      <c r="DN404" s="96"/>
      <c r="DO404" s="18"/>
      <c r="DP404" s="96"/>
      <c r="DQ404" s="18"/>
      <c r="DR404" s="96"/>
      <c r="DS404" s="18"/>
      <c r="DT404" s="96"/>
      <c r="DU404" s="18"/>
      <c r="DV404" s="96"/>
      <c r="DW404" s="18"/>
      <c r="DX404" s="96"/>
      <c r="DY404" s="18"/>
      <c r="DZ404" s="96"/>
      <c r="EA404" s="18"/>
      <c r="EB404" s="96"/>
      <c r="EC404" s="18"/>
      <c r="ED404" s="96"/>
      <c r="EE404" s="18"/>
      <c r="EF404" s="96"/>
      <c r="EG404" s="18"/>
      <c r="EH404" s="18"/>
      <c r="EI404" s="96"/>
      <c r="EJ404" s="611"/>
      <c r="EK404" s="96"/>
      <c r="EL404" s="5"/>
      <c r="EM404" s="96"/>
      <c r="EN404" s="5"/>
      <c r="EO404" s="96"/>
      <c r="EP404" s="5"/>
      <c r="EQ404" s="96"/>
      <c r="ER404" s="5"/>
      <c r="ES404" s="96"/>
      <c r="ET404" s="5"/>
      <c r="EU404" s="96"/>
      <c r="EV404" s="5"/>
      <c r="EW404" s="96"/>
      <c r="EX404" s="5"/>
      <c r="EY404" s="96"/>
      <c r="EZ404" s="5"/>
      <c r="FA404" s="96"/>
      <c r="FB404" s="5"/>
      <c r="FC404" s="96"/>
      <c r="FD404" s="5"/>
      <c r="FE404" s="96"/>
      <c r="FF404" s="5"/>
      <c r="FG404" s="96"/>
      <c r="FH404" s="5"/>
      <c r="FI404" s="96"/>
      <c r="FJ404" s="5"/>
      <c r="FK404" s="96"/>
      <c r="FL404" s="5"/>
      <c r="FM404" s="96"/>
      <c r="FN404" s="5"/>
      <c r="FO404" s="96"/>
      <c r="FP404" s="5"/>
      <c r="FQ404" s="96"/>
      <c r="FR404" s="5"/>
      <c r="FS404" s="96"/>
      <c r="FT404" s="5"/>
      <c r="FU404" s="96"/>
      <c r="FV404" s="5"/>
      <c r="FW404" s="96"/>
      <c r="FX404" s="5"/>
      <c r="FY404" s="96"/>
      <c r="FZ404" s="5"/>
      <c r="GA404" s="5"/>
    </row>
    <row r="405" spans="1:183" ht="12.75" hidden="1" customHeight="1" outlineLevel="2" x14ac:dyDescent="0.2">
      <c r="A405" s="612" t="str">
        <f>INPUT!B267</f>
        <v>Individual Disability</v>
      </c>
      <c r="B405" s="96"/>
      <c r="C405" s="18">
        <f>INPUT!N267</f>
        <v>0</v>
      </c>
      <c r="D405" s="96"/>
      <c r="E405" s="18">
        <f>INPUT!P267</f>
        <v>0</v>
      </c>
      <c r="F405" s="96"/>
      <c r="G405" s="18">
        <f>INPUT!R267</f>
        <v>0</v>
      </c>
      <c r="H405" s="96"/>
      <c r="I405" s="18">
        <f>INPUT!T267</f>
        <v>0</v>
      </c>
      <c r="J405" s="96"/>
      <c r="K405" s="18">
        <f>INPUT!V267</f>
        <v>0</v>
      </c>
      <c r="L405" s="96"/>
      <c r="M405" s="18">
        <f>INPUT!X267</f>
        <v>0</v>
      </c>
      <c r="N405" s="96"/>
      <c r="O405" s="18">
        <f>INPUT!Z267</f>
        <v>0</v>
      </c>
      <c r="P405" s="96"/>
      <c r="Q405" s="18">
        <f>INPUT!AB267</f>
        <v>0</v>
      </c>
      <c r="R405" s="96"/>
      <c r="S405" s="18">
        <f>INPUT!AD267</f>
        <v>0</v>
      </c>
      <c r="T405" s="96"/>
      <c r="U405" s="18">
        <f>INPUT!AF267</f>
        <v>0</v>
      </c>
      <c r="V405" s="96"/>
      <c r="W405" s="18">
        <f>INPUT!AH267</f>
        <v>0</v>
      </c>
      <c r="X405" s="96"/>
      <c r="Y405" s="18">
        <f>INPUT!AJ267</f>
        <v>0</v>
      </c>
      <c r="Z405" s="96"/>
      <c r="AA405" s="18">
        <f>INPUT!AL267</f>
        <v>0</v>
      </c>
      <c r="AB405" s="96"/>
      <c r="AC405" s="18">
        <f>INPUT!AN267</f>
        <v>0</v>
      </c>
      <c r="AD405" s="96"/>
      <c r="AE405" s="18">
        <f>INPUT!AP267</f>
        <v>0</v>
      </c>
      <c r="AF405" s="96"/>
      <c r="AG405" s="18">
        <f>INPUT!AR267</f>
        <v>0</v>
      </c>
      <c r="AH405" s="96"/>
      <c r="AI405" s="18">
        <f>INPUT!AT267</f>
        <v>0</v>
      </c>
      <c r="AJ405" s="96"/>
      <c r="AK405" s="18">
        <f>INPUT!AV267</f>
        <v>0</v>
      </c>
      <c r="AL405" s="96"/>
      <c r="AM405" s="18">
        <f>INPUT!AX267</f>
        <v>0</v>
      </c>
      <c r="AN405" s="96"/>
      <c r="AO405" s="18">
        <f>INPUT!AZ267</f>
        <v>0</v>
      </c>
      <c r="AP405" s="96"/>
      <c r="AQ405" s="18">
        <f>INPUT!BB267</f>
        <v>0</v>
      </c>
      <c r="AR405" s="96"/>
      <c r="AS405" s="18">
        <f>INPUT!BD267</f>
        <v>0</v>
      </c>
      <c r="AT405" s="96"/>
      <c r="AU405" s="18">
        <f>INPUT!BF267</f>
        <v>0</v>
      </c>
      <c r="AV405" s="96"/>
      <c r="AW405" s="18">
        <f>INPUT!BH267</f>
        <v>0</v>
      </c>
      <c r="AX405" s="96"/>
      <c r="AY405" s="18">
        <f>INPUT!BJ267</f>
        <v>0</v>
      </c>
      <c r="AZ405" s="96"/>
      <c r="BA405" s="18">
        <f>INPUT!BL267</f>
        <v>0</v>
      </c>
      <c r="BB405" s="96"/>
      <c r="BC405" s="18">
        <f>INPUT!BN267</f>
        <v>0</v>
      </c>
      <c r="BD405" s="96"/>
      <c r="BE405" s="18">
        <f>INPUT!BP267</f>
        <v>0</v>
      </c>
      <c r="BF405" s="96"/>
      <c r="BG405" s="18">
        <f>INPUT!BR267</f>
        <v>0</v>
      </c>
      <c r="BH405" s="96"/>
      <c r="BI405" s="18">
        <f>INPUT!BT267</f>
        <v>0</v>
      </c>
      <c r="BJ405" s="96"/>
      <c r="BK405" s="18">
        <f>INPUT!BV267</f>
        <v>0</v>
      </c>
      <c r="BL405" s="96"/>
      <c r="BM405" s="18">
        <f>INPUT!BX267</f>
        <v>0</v>
      </c>
      <c r="BN405" s="96"/>
      <c r="BO405" s="18">
        <f>INPUT!BZ267</f>
        <v>0</v>
      </c>
      <c r="BP405" s="96"/>
      <c r="BQ405" s="18">
        <f>INPUT!CB267</f>
        <v>0</v>
      </c>
      <c r="BR405" s="96"/>
      <c r="BS405" s="18">
        <f>INPUT!CD267</f>
        <v>0</v>
      </c>
      <c r="BT405" s="96"/>
      <c r="BU405" s="18">
        <f>INPUT!CF267</f>
        <v>0</v>
      </c>
      <c r="BV405" s="96"/>
      <c r="BW405" s="18">
        <f>INPUT!CH267</f>
        <v>0</v>
      </c>
      <c r="BX405" s="96"/>
      <c r="BY405" s="18">
        <f>INPUT!CJ267</f>
        <v>0</v>
      </c>
      <c r="BZ405" s="96"/>
      <c r="CA405" s="18">
        <f>INPUT!CL267</f>
        <v>0</v>
      </c>
      <c r="CB405" s="96"/>
      <c r="CC405" s="18">
        <f>INPUT!CN267</f>
        <v>0</v>
      </c>
      <c r="CD405" s="96"/>
      <c r="CE405" s="18">
        <f>INPUT!CP267</f>
        <v>0</v>
      </c>
      <c r="CF405" s="96"/>
      <c r="CG405" s="18">
        <f>INPUT!CR267</f>
        <v>0</v>
      </c>
      <c r="CH405" s="96"/>
      <c r="CI405" s="18">
        <f>INPUT!CT267</f>
        <v>0</v>
      </c>
      <c r="CJ405" s="96"/>
      <c r="CK405" s="18">
        <f>INPUT!CV267</f>
        <v>0</v>
      </c>
      <c r="CL405" s="96"/>
      <c r="CM405" s="18">
        <f>INPUT!CX267</f>
        <v>0</v>
      </c>
      <c r="CN405" s="96"/>
      <c r="CO405" s="18">
        <f>INPUT!CZ267</f>
        <v>0</v>
      </c>
      <c r="CP405" s="96"/>
      <c r="CQ405" s="18">
        <f>INPUT!DB267</f>
        <v>0</v>
      </c>
      <c r="CR405" s="96"/>
      <c r="CS405" s="18">
        <f>INPUT!DD267</f>
        <v>0</v>
      </c>
      <c r="CT405" s="96"/>
      <c r="CU405" s="18">
        <f>INPUT!DF267</f>
        <v>0</v>
      </c>
      <c r="CV405" s="96"/>
      <c r="CW405" s="18">
        <f>INPUT!DH267</f>
        <v>0</v>
      </c>
      <c r="CX405" s="96"/>
      <c r="CY405" s="18">
        <f>INPUT!DJ267</f>
        <v>0</v>
      </c>
      <c r="CZ405" s="96"/>
      <c r="DA405" s="18">
        <f>INPUT!DL267</f>
        <v>0</v>
      </c>
      <c r="DB405" s="96"/>
      <c r="DC405" s="18">
        <f>INPUT!DN267</f>
        <v>0</v>
      </c>
      <c r="DD405" s="96"/>
      <c r="DE405" s="18">
        <f>INPUT!DP267</f>
        <v>0</v>
      </c>
      <c r="DF405" s="96"/>
      <c r="DG405" s="18">
        <f>INPUT!DR267</f>
        <v>0</v>
      </c>
      <c r="DH405" s="96"/>
      <c r="DI405" s="18">
        <f>INPUT!DT267</f>
        <v>0</v>
      </c>
      <c r="DJ405" s="96"/>
      <c r="DK405" s="18">
        <f>INPUT!DV267</f>
        <v>0</v>
      </c>
      <c r="DL405" s="96"/>
      <c r="DM405" s="18">
        <f>INPUT!DX267</f>
        <v>0</v>
      </c>
      <c r="DN405" s="96"/>
      <c r="DO405" s="18">
        <f>INPUT!DZ267</f>
        <v>0</v>
      </c>
      <c r="DP405" s="96"/>
      <c r="DQ405" s="18">
        <f>INPUT!EB267</f>
        <v>0</v>
      </c>
      <c r="DR405" s="96"/>
      <c r="DS405" s="18">
        <f>INPUT!ED267</f>
        <v>0</v>
      </c>
      <c r="DT405" s="96"/>
      <c r="DU405" s="18">
        <f>INPUT!EF267</f>
        <v>0</v>
      </c>
      <c r="DV405" s="96"/>
      <c r="DW405" s="18">
        <f>INPUT!EH267</f>
        <v>0</v>
      </c>
      <c r="DX405" s="96"/>
      <c r="DY405" s="18">
        <f>INPUT!EJ267</f>
        <v>0</v>
      </c>
      <c r="DZ405" s="96"/>
      <c r="EA405" s="18">
        <f>INPUT!EL267</f>
        <v>0</v>
      </c>
      <c r="EB405" s="96"/>
      <c r="EC405" s="18">
        <f>INPUT!EN267</f>
        <v>0</v>
      </c>
      <c r="ED405" s="96"/>
      <c r="EE405" s="18">
        <f>INPUT!EP267</f>
        <v>0</v>
      </c>
      <c r="EF405" s="96"/>
      <c r="EG405" s="18">
        <f>INPUT!ER267</f>
        <v>0</v>
      </c>
      <c r="EH405" s="18"/>
      <c r="EI405" s="96"/>
      <c r="EJ405" s="658"/>
      <c r="EK405" s="96"/>
      <c r="EL405" s="5">
        <f>INPUT!FE267</f>
        <v>0</v>
      </c>
      <c r="EM405" s="96"/>
      <c r="EN405" s="5">
        <f>INPUT!FG267</f>
        <v>0</v>
      </c>
      <c r="EO405" s="96"/>
      <c r="EP405" s="5">
        <f>INPUT!FI267</f>
        <v>0</v>
      </c>
      <c r="EQ405" s="96"/>
      <c r="ER405" s="5">
        <f>INPUT!FK267</f>
        <v>0</v>
      </c>
      <c r="ES405" s="96"/>
      <c r="ET405" s="5">
        <f>INPUT!FM267</f>
        <v>0</v>
      </c>
      <c r="EU405" s="96"/>
      <c r="EV405" s="5">
        <f>INPUT!FO267</f>
        <v>0</v>
      </c>
      <c r="EW405" s="96"/>
      <c r="EX405" s="5">
        <f>INPUT!FQ267</f>
        <v>0</v>
      </c>
      <c r="EY405" s="96"/>
      <c r="EZ405" s="5">
        <f>INPUT!FS267</f>
        <v>0</v>
      </c>
      <c r="FA405" s="96"/>
      <c r="FB405" s="5">
        <f>INPUT!FU267</f>
        <v>0</v>
      </c>
      <c r="FC405" s="96"/>
      <c r="FD405" s="5">
        <f>INPUT!FW267</f>
        <v>0</v>
      </c>
      <c r="FE405" s="96"/>
      <c r="FF405" s="5">
        <f>INPUT!FY267</f>
        <v>0</v>
      </c>
      <c r="FG405" s="96"/>
      <c r="FH405" s="5">
        <f>INPUT!GA267</f>
        <v>0</v>
      </c>
      <c r="FI405" s="96"/>
      <c r="FJ405" s="5">
        <f>INPUT!GC267</f>
        <v>0</v>
      </c>
      <c r="FK405" s="96"/>
      <c r="FL405" s="5">
        <f>INPUT!GE267</f>
        <v>0</v>
      </c>
      <c r="FM405" s="96"/>
      <c r="FN405" s="5">
        <f>INPUT!GG267</f>
        <v>0</v>
      </c>
      <c r="FO405" s="96"/>
      <c r="FP405" s="5">
        <f>INPUT!GI267</f>
        <v>0</v>
      </c>
      <c r="FQ405" s="96"/>
      <c r="FR405" s="5">
        <f>INPUT!GK267</f>
        <v>0</v>
      </c>
      <c r="FS405" s="96"/>
      <c r="FT405" s="5">
        <f>INPUT!GM267</f>
        <v>0</v>
      </c>
      <c r="FU405" s="96"/>
      <c r="FV405" s="5">
        <f>INPUT!GO267</f>
        <v>0</v>
      </c>
      <c r="FW405" s="96"/>
      <c r="FX405" s="5">
        <f>INPUT!GQ267</f>
        <v>0</v>
      </c>
      <c r="FY405" s="96"/>
      <c r="FZ405" s="5">
        <f>INPUT!GS267</f>
        <v>0</v>
      </c>
      <c r="GA405" s="5"/>
    </row>
    <row r="406" spans="1:183" ht="12.75" hidden="1" customHeight="1" outlineLevel="2" x14ac:dyDescent="0.2">
      <c r="A406" s="612" t="str">
        <f>INPUT!B268</f>
        <v>LTC (Adjusted)</v>
      </c>
      <c r="B406" s="96"/>
      <c r="C406" s="18">
        <f>INPUT!N268</f>
        <v>0</v>
      </c>
      <c r="D406" s="96"/>
      <c r="E406" s="18">
        <f>INPUT!P268</f>
        <v>0</v>
      </c>
      <c r="F406" s="96"/>
      <c r="G406" s="18">
        <f>INPUT!R268</f>
        <v>0</v>
      </c>
      <c r="H406" s="96"/>
      <c r="I406" s="18">
        <f>INPUT!T268</f>
        <v>0</v>
      </c>
      <c r="J406" s="96"/>
      <c r="K406" s="18">
        <f>INPUT!V268</f>
        <v>0</v>
      </c>
      <c r="L406" s="96"/>
      <c r="M406" s="18">
        <f>INPUT!X268</f>
        <v>0</v>
      </c>
      <c r="N406" s="96"/>
      <c r="O406" s="18">
        <f>INPUT!Z268</f>
        <v>0</v>
      </c>
      <c r="P406" s="96"/>
      <c r="Q406" s="18">
        <f>INPUT!AB268</f>
        <v>0</v>
      </c>
      <c r="R406" s="96"/>
      <c r="S406" s="18">
        <f>INPUT!AD268</f>
        <v>0</v>
      </c>
      <c r="T406" s="96"/>
      <c r="U406" s="18">
        <f>INPUT!AF268</f>
        <v>0</v>
      </c>
      <c r="V406" s="96"/>
      <c r="W406" s="18">
        <f>INPUT!AH268</f>
        <v>0</v>
      </c>
      <c r="X406" s="96"/>
      <c r="Y406" s="18">
        <f>INPUT!AJ268</f>
        <v>0</v>
      </c>
      <c r="Z406" s="96"/>
      <c r="AA406" s="18">
        <f>INPUT!AL268</f>
        <v>0</v>
      </c>
      <c r="AB406" s="96"/>
      <c r="AC406" s="18">
        <f>INPUT!AN268</f>
        <v>0</v>
      </c>
      <c r="AD406" s="96"/>
      <c r="AE406" s="18">
        <f>INPUT!AP268</f>
        <v>0</v>
      </c>
      <c r="AF406" s="96"/>
      <c r="AG406" s="18">
        <f>INPUT!AR268</f>
        <v>0</v>
      </c>
      <c r="AH406" s="96"/>
      <c r="AI406" s="18">
        <f>INPUT!AT268</f>
        <v>0</v>
      </c>
      <c r="AJ406" s="96"/>
      <c r="AK406" s="18">
        <f>INPUT!AV268</f>
        <v>0</v>
      </c>
      <c r="AL406" s="96"/>
      <c r="AM406" s="18">
        <f>INPUT!AX268</f>
        <v>0</v>
      </c>
      <c r="AN406" s="96"/>
      <c r="AO406" s="18">
        <f>INPUT!AZ268</f>
        <v>0</v>
      </c>
      <c r="AP406" s="96"/>
      <c r="AQ406" s="18">
        <f>INPUT!BB268</f>
        <v>0</v>
      </c>
      <c r="AR406" s="96"/>
      <c r="AS406" s="18">
        <f>INPUT!BD268</f>
        <v>0</v>
      </c>
      <c r="AT406" s="96"/>
      <c r="AU406" s="18">
        <f>INPUT!BF268</f>
        <v>0</v>
      </c>
      <c r="AV406" s="96"/>
      <c r="AW406" s="18">
        <f>INPUT!BH268</f>
        <v>0</v>
      </c>
      <c r="AX406" s="96"/>
      <c r="AY406" s="18">
        <f>INPUT!BJ268</f>
        <v>0</v>
      </c>
      <c r="AZ406" s="96"/>
      <c r="BA406" s="18">
        <f>INPUT!BL268</f>
        <v>0</v>
      </c>
      <c r="BB406" s="96"/>
      <c r="BC406" s="18">
        <f>INPUT!BN268</f>
        <v>0</v>
      </c>
      <c r="BD406" s="96"/>
      <c r="BE406" s="18">
        <f>INPUT!BP268</f>
        <v>0</v>
      </c>
      <c r="BF406" s="96"/>
      <c r="BG406" s="18">
        <f>INPUT!BR268</f>
        <v>0</v>
      </c>
      <c r="BH406" s="96"/>
      <c r="BI406" s="18">
        <f>INPUT!BT268</f>
        <v>0</v>
      </c>
      <c r="BJ406" s="96"/>
      <c r="BK406" s="18">
        <f>INPUT!BV268</f>
        <v>0</v>
      </c>
      <c r="BL406" s="96"/>
      <c r="BM406" s="18">
        <f>INPUT!BX268</f>
        <v>0</v>
      </c>
      <c r="BN406" s="96"/>
      <c r="BO406" s="18">
        <f>INPUT!BZ268</f>
        <v>0</v>
      </c>
      <c r="BP406" s="96"/>
      <c r="BQ406" s="18">
        <f>INPUT!CB268</f>
        <v>0</v>
      </c>
      <c r="BR406" s="96"/>
      <c r="BS406" s="18">
        <f>INPUT!CD268</f>
        <v>0</v>
      </c>
      <c r="BT406" s="96"/>
      <c r="BU406" s="18">
        <f>INPUT!CF268</f>
        <v>0</v>
      </c>
      <c r="BV406" s="96"/>
      <c r="BW406" s="18">
        <f>INPUT!CH268</f>
        <v>0</v>
      </c>
      <c r="BX406" s="96"/>
      <c r="BY406" s="18">
        <f>INPUT!CJ268</f>
        <v>0</v>
      </c>
      <c r="BZ406" s="96"/>
      <c r="CA406" s="18">
        <f>INPUT!CL268</f>
        <v>0</v>
      </c>
      <c r="CB406" s="96"/>
      <c r="CC406" s="18">
        <f>INPUT!CN268</f>
        <v>0</v>
      </c>
      <c r="CD406" s="96"/>
      <c r="CE406" s="18">
        <f>INPUT!CP268</f>
        <v>0</v>
      </c>
      <c r="CF406" s="96"/>
      <c r="CG406" s="18">
        <f>INPUT!CR268</f>
        <v>0</v>
      </c>
      <c r="CH406" s="96"/>
      <c r="CI406" s="18">
        <f>INPUT!CT268</f>
        <v>0</v>
      </c>
      <c r="CJ406" s="96"/>
      <c r="CK406" s="18">
        <f>INPUT!CV268</f>
        <v>0</v>
      </c>
      <c r="CL406" s="96"/>
      <c r="CM406" s="18">
        <f>INPUT!CX268</f>
        <v>0</v>
      </c>
      <c r="CN406" s="96"/>
      <c r="CO406" s="18">
        <f>INPUT!CZ268</f>
        <v>0</v>
      </c>
      <c r="CP406" s="96"/>
      <c r="CQ406" s="18">
        <f>INPUT!DB268</f>
        <v>0</v>
      </c>
      <c r="CR406" s="96"/>
      <c r="CS406" s="18">
        <f>INPUT!DD268</f>
        <v>0</v>
      </c>
      <c r="CT406" s="96"/>
      <c r="CU406" s="18">
        <f>INPUT!DF268</f>
        <v>0</v>
      </c>
      <c r="CV406" s="96"/>
      <c r="CW406" s="18">
        <f>INPUT!DH268</f>
        <v>0</v>
      </c>
      <c r="CX406" s="96"/>
      <c r="CY406" s="18">
        <f>INPUT!DJ268</f>
        <v>0</v>
      </c>
      <c r="CZ406" s="96"/>
      <c r="DA406" s="18">
        <f>INPUT!DL268</f>
        <v>0</v>
      </c>
      <c r="DB406" s="96"/>
      <c r="DC406" s="18">
        <f>INPUT!DN268</f>
        <v>0</v>
      </c>
      <c r="DD406" s="96"/>
      <c r="DE406" s="18">
        <f>INPUT!DP268</f>
        <v>0</v>
      </c>
      <c r="DF406" s="96"/>
      <c r="DG406" s="18">
        <f>INPUT!DR268</f>
        <v>0</v>
      </c>
      <c r="DH406" s="96"/>
      <c r="DI406" s="18">
        <f>INPUT!DT268</f>
        <v>0</v>
      </c>
      <c r="DJ406" s="96"/>
      <c r="DK406" s="18">
        <f>INPUT!DV268</f>
        <v>0</v>
      </c>
      <c r="DL406" s="96"/>
      <c r="DM406" s="18">
        <f>INPUT!DX268</f>
        <v>0</v>
      </c>
      <c r="DN406" s="96"/>
      <c r="DO406" s="18">
        <f>INPUT!DZ268</f>
        <v>0</v>
      </c>
      <c r="DP406" s="96"/>
      <c r="DQ406" s="18">
        <f>INPUT!EB268</f>
        <v>0</v>
      </c>
      <c r="DR406" s="96"/>
      <c r="DS406" s="18">
        <f>INPUT!ED268</f>
        <v>0</v>
      </c>
      <c r="DT406" s="96"/>
      <c r="DU406" s="18">
        <f>INPUT!EF268</f>
        <v>0</v>
      </c>
      <c r="DV406" s="96"/>
      <c r="DW406" s="18">
        <f>INPUT!EH268</f>
        <v>0</v>
      </c>
      <c r="DX406" s="96"/>
      <c r="DY406" s="18">
        <f>INPUT!EJ268</f>
        <v>0</v>
      </c>
      <c r="DZ406" s="96"/>
      <c r="EA406" s="18">
        <f>INPUT!EL268</f>
        <v>0</v>
      </c>
      <c r="EB406" s="96"/>
      <c r="EC406" s="18">
        <f>INPUT!EN268</f>
        <v>0</v>
      </c>
      <c r="ED406" s="96"/>
      <c r="EE406" s="18">
        <f>INPUT!EP268</f>
        <v>0</v>
      </c>
      <c r="EF406" s="96"/>
      <c r="EG406" s="18">
        <f>INPUT!ER268</f>
        <v>0</v>
      </c>
      <c r="EH406" s="18"/>
      <c r="EI406" s="96"/>
      <c r="EJ406" s="658"/>
      <c r="EK406" s="96"/>
      <c r="EL406" s="5">
        <f>INPUT!FE268</f>
        <v>0</v>
      </c>
      <c r="EM406" s="96"/>
      <c r="EN406" s="5">
        <f>INPUT!FG268</f>
        <v>0</v>
      </c>
      <c r="EO406" s="96"/>
      <c r="EP406" s="5">
        <f>INPUT!FI268</f>
        <v>0</v>
      </c>
      <c r="EQ406" s="96"/>
      <c r="ER406" s="5">
        <f>INPUT!FK268</f>
        <v>0</v>
      </c>
      <c r="ES406" s="96"/>
      <c r="ET406" s="5">
        <f>INPUT!FM268</f>
        <v>0</v>
      </c>
      <c r="EU406" s="96"/>
      <c r="EV406" s="5">
        <f>INPUT!FO268</f>
        <v>0</v>
      </c>
      <c r="EW406" s="96"/>
      <c r="EX406" s="5">
        <f>INPUT!FQ268</f>
        <v>0</v>
      </c>
      <c r="EY406" s="96"/>
      <c r="EZ406" s="5">
        <f>INPUT!FS268</f>
        <v>0</v>
      </c>
      <c r="FA406" s="96"/>
      <c r="FB406" s="5">
        <f>INPUT!FU268</f>
        <v>0</v>
      </c>
      <c r="FC406" s="96"/>
      <c r="FD406" s="5">
        <f>INPUT!FW268</f>
        <v>0</v>
      </c>
      <c r="FE406" s="96"/>
      <c r="FF406" s="5">
        <f>INPUT!FY268</f>
        <v>0</v>
      </c>
      <c r="FG406" s="96"/>
      <c r="FH406" s="5">
        <f>INPUT!GA268</f>
        <v>0</v>
      </c>
      <c r="FI406" s="96"/>
      <c r="FJ406" s="5">
        <f>INPUT!GC268</f>
        <v>0</v>
      </c>
      <c r="FK406" s="96"/>
      <c r="FL406" s="5">
        <f>INPUT!GE268</f>
        <v>0</v>
      </c>
      <c r="FM406" s="96"/>
      <c r="FN406" s="5">
        <f>INPUT!GG268</f>
        <v>0</v>
      </c>
      <c r="FO406" s="96"/>
      <c r="FP406" s="5">
        <f>INPUT!GI268</f>
        <v>0</v>
      </c>
      <c r="FQ406" s="96"/>
      <c r="FR406" s="5">
        <f>INPUT!GK268</f>
        <v>0</v>
      </c>
      <c r="FS406" s="96"/>
      <c r="FT406" s="5">
        <f>INPUT!GM268</f>
        <v>0</v>
      </c>
      <c r="FU406" s="96"/>
      <c r="FV406" s="5">
        <f>INPUT!GO268</f>
        <v>0</v>
      </c>
      <c r="FW406" s="96"/>
      <c r="FX406" s="5">
        <f>INPUT!GQ268</f>
        <v>0</v>
      </c>
      <c r="FY406" s="96"/>
      <c r="FZ406" s="5">
        <f>INPUT!GS268</f>
        <v>0</v>
      </c>
      <c r="GA406" s="5"/>
    </row>
    <row r="407" spans="1:183" ht="12.75" hidden="1" customHeight="1" outlineLevel="1" collapsed="1" x14ac:dyDescent="0.2">
      <c r="A407" s="610"/>
      <c r="B407" s="96"/>
      <c r="C407" s="18"/>
      <c r="D407" s="96"/>
      <c r="E407" s="18"/>
      <c r="F407" s="96"/>
      <c r="G407" s="18"/>
      <c r="H407" s="96"/>
      <c r="I407" s="18"/>
      <c r="J407" s="96"/>
      <c r="K407" s="18"/>
      <c r="L407" s="96"/>
      <c r="M407" s="18"/>
      <c r="N407" s="96"/>
      <c r="O407" s="18"/>
      <c r="P407" s="96"/>
      <c r="Q407" s="18"/>
      <c r="R407" s="96"/>
      <c r="S407" s="18"/>
      <c r="T407" s="96"/>
      <c r="U407" s="18"/>
      <c r="V407" s="96"/>
      <c r="W407" s="18"/>
      <c r="X407" s="96"/>
      <c r="Y407" s="18"/>
      <c r="Z407" s="96"/>
      <c r="AA407" s="18"/>
      <c r="AB407" s="96"/>
      <c r="AC407" s="18"/>
      <c r="AD407" s="96"/>
      <c r="AE407" s="18"/>
      <c r="AF407" s="96"/>
      <c r="AG407" s="18"/>
      <c r="AH407" s="96"/>
      <c r="AI407" s="18"/>
      <c r="AJ407" s="96"/>
      <c r="AK407" s="18"/>
      <c r="AL407" s="96"/>
      <c r="AM407" s="18"/>
      <c r="AN407" s="96"/>
      <c r="AO407" s="18"/>
      <c r="AP407" s="96"/>
      <c r="AQ407" s="18"/>
      <c r="AR407" s="96"/>
      <c r="AS407" s="18"/>
      <c r="AT407" s="96"/>
      <c r="AU407" s="18"/>
      <c r="AV407" s="96"/>
      <c r="AW407" s="18"/>
      <c r="AX407" s="96"/>
      <c r="AY407" s="18"/>
      <c r="AZ407" s="96"/>
      <c r="BA407" s="18"/>
      <c r="BB407" s="96"/>
      <c r="BC407" s="18"/>
      <c r="BD407" s="96"/>
      <c r="BE407" s="18"/>
      <c r="BF407" s="96"/>
      <c r="BG407" s="18"/>
      <c r="BH407" s="96"/>
      <c r="BI407" s="18"/>
      <c r="BJ407" s="96"/>
      <c r="BK407" s="18"/>
      <c r="BL407" s="96"/>
      <c r="BM407" s="18"/>
      <c r="BN407" s="96"/>
      <c r="BO407" s="18"/>
      <c r="BP407" s="96"/>
      <c r="BQ407" s="18"/>
      <c r="BR407" s="96"/>
      <c r="BS407" s="18"/>
      <c r="BT407" s="96"/>
      <c r="BU407" s="18"/>
      <c r="BV407" s="96"/>
      <c r="BW407" s="18"/>
      <c r="BX407" s="96"/>
      <c r="BY407" s="18"/>
      <c r="BZ407" s="96"/>
      <c r="CA407" s="18"/>
      <c r="CB407" s="96"/>
      <c r="CC407" s="18"/>
      <c r="CD407" s="96"/>
      <c r="CE407" s="18"/>
      <c r="CF407" s="96"/>
      <c r="CG407" s="18"/>
      <c r="CH407" s="96"/>
      <c r="CI407" s="18"/>
      <c r="CJ407" s="96"/>
      <c r="CK407" s="18"/>
      <c r="CL407" s="96"/>
      <c r="CM407" s="18"/>
      <c r="CN407" s="96"/>
      <c r="CO407" s="18"/>
      <c r="CP407" s="96"/>
      <c r="CQ407" s="18"/>
      <c r="CR407" s="96"/>
      <c r="CS407" s="18"/>
      <c r="CT407" s="96"/>
      <c r="CU407" s="18"/>
      <c r="CV407" s="96"/>
      <c r="CW407" s="18"/>
      <c r="CX407" s="96"/>
      <c r="CY407" s="18"/>
      <c r="CZ407" s="96"/>
      <c r="DA407" s="18"/>
      <c r="DB407" s="96"/>
      <c r="DC407" s="18"/>
      <c r="DD407" s="96"/>
      <c r="DE407" s="18"/>
      <c r="DF407" s="96"/>
      <c r="DG407" s="18"/>
      <c r="DH407" s="96"/>
      <c r="DI407" s="18"/>
      <c r="DJ407" s="96"/>
      <c r="DK407" s="18"/>
      <c r="DL407" s="96"/>
      <c r="DM407" s="18"/>
      <c r="DN407" s="96"/>
      <c r="DO407" s="18"/>
      <c r="DP407" s="96"/>
      <c r="DQ407" s="18"/>
      <c r="DR407" s="96"/>
      <c r="DS407" s="18"/>
      <c r="DT407" s="96"/>
      <c r="DU407" s="18"/>
      <c r="DV407" s="96"/>
      <c r="DW407" s="18"/>
      <c r="DX407" s="96"/>
      <c r="DY407" s="18"/>
      <c r="DZ407" s="96"/>
      <c r="EA407" s="18"/>
      <c r="EB407" s="96"/>
      <c r="EC407" s="18"/>
      <c r="ED407" s="96"/>
      <c r="EE407" s="18"/>
      <c r="EF407" s="96"/>
      <c r="EG407" s="18"/>
      <c r="EH407" s="18"/>
      <c r="EI407" s="96"/>
      <c r="EJ407" s="658"/>
      <c r="EK407" s="96"/>
      <c r="EL407" s="5"/>
      <c r="EM407" s="96"/>
      <c r="EN407" s="5"/>
      <c r="EO407" s="96"/>
      <c r="EP407" s="5"/>
      <c r="EQ407" s="96"/>
      <c r="ER407" s="5"/>
      <c r="ES407" s="96"/>
      <c r="ET407" s="5"/>
      <c r="EU407" s="96"/>
      <c r="EV407" s="5"/>
      <c r="EW407" s="96"/>
      <c r="EX407" s="5"/>
      <c r="EY407" s="96"/>
      <c r="EZ407" s="5"/>
      <c r="FA407" s="96"/>
      <c r="FB407" s="5"/>
      <c r="FC407" s="96"/>
      <c r="FD407" s="5"/>
      <c r="FE407" s="96"/>
      <c r="FF407" s="5"/>
      <c r="FG407" s="96"/>
      <c r="FH407" s="5"/>
      <c r="FI407" s="96"/>
      <c r="FJ407" s="5"/>
      <c r="FK407" s="96"/>
      <c r="FL407" s="5"/>
      <c r="FM407" s="96"/>
      <c r="FN407" s="5"/>
      <c r="FO407" s="96"/>
      <c r="FP407" s="5"/>
      <c r="FQ407" s="96"/>
      <c r="FR407" s="5"/>
      <c r="FS407" s="96"/>
      <c r="FT407" s="5"/>
      <c r="FU407" s="96"/>
      <c r="FV407" s="5"/>
      <c r="FW407" s="96"/>
      <c r="FX407" s="5"/>
      <c r="FY407" s="96"/>
      <c r="FZ407" s="5"/>
      <c r="GA407" s="5"/>
    </row>
    <row r="408" spans="1:183" ht="12.75" hidden="1" customHeight="1" outlineLevel="1" x14ac:dyDescent="0.2">
      <c r="A408" s="644" t="str">
        <f>INPUT!B305</f>
        <v>Pretax Earnings</v>
      </c>
      <c r="B408" s="659">
        <f>INPUT!M305</f>
        <v>-15.500000000000014</v>
      </c>
      <c r="C408" s="647">
        <f>INPUT!N305</f>
        <v>-46.366782006920346</v>
      </c>
      <c r="D408" s="659">
        <f>INPUT!O305</f>
        <v>-19.90000000000002</v>
      </c>
      <c r="E408" s="647">
        <f>INPUT!P305</f>
        <v>28.387096774193555</v>
      </c>
      <c r="F408" s="659">
        <f>INPUT!Q305</f>
        <v>-18.500000000000014</v>
      </c>
      <c r="G408" s="647">
        <f>INPUT!R305</f>
        <v>-7.0351758793970038</v>
      </c>
      <c r="H408" s="659">
        <f>INPUT!S305</f>
        <v>-36.799999999999983</v>
      </c>
      <c r="I408" s="647">
        <f>INPUT!T305</f>
        <v>98.918918918918664</v>
      </c>
      <c r="J408" s="659">
        <f>INPUT!U305</f>
        <v>-38.800000000000011</v>
      </c>
      <c r="K408" s="647">
        <f>INPUT!V305</f>
        <v>5.4347826086957429</v>
      </c>
      <c r="L408" s="659">
        <f>INPUT!W305</f>
        <v>-33.599999999999966</v>
      </c>
      <c r="M408" s="647">
        <f>INPUT!X305</f>
        <v>-13.402061855670212</v>
      </c>
      <c r="N408" s="659">
        <f>INPUT!Y305</f>
        <v>-34.299999999999997</v>
      </c>
      <c r="O408" s="647">
        <f>INPUT!Z305</f>
        <v>2.083333333333437</v>
      </c>
      <c r="P408" s="659">
        <f>INPUT!AA305</f>
        <v>-44.699999999999989</v>
      </c>
      <c r="Q408" s="647">
        <f>INPUT!AB305</f>
        <v>30.320699708454789</v>
      </c>
      <c r="R408" s="659">
        <f>INPUT!AC305</f>
        <v>-35.899999999999977</v>
      </c>
      <c r="S408" s="647">
        <f>INPUT!AD305</f>
        <v>-19.686800894854617</v>
      </c>
      <c r="T408" s="659">
        <f>INPUT!AE305</f>
        <v>-16.099999999999994</v>
      </c>
      <c r="U408" s="647" t="str">
        <f>INPUT!AF305</f>
        <v>NM</v>
      </c>
      <c r="V408" s="659">
        <f>INPUT!AG305</f>
        <v>-33.100000000000023</v>
      </c>
      <c r="W408" s="647" t="str">
        <f>INPUT!AH305</f>
        <v>NM</v>
      </c>
      <c r="X408" s="659">
        <f>INPUT!AI305</f>
        <v>-23.200000000000003</v>
      </c>
      <c r="Y408" s="647">
        <f>INPUT!AJ305</f>
        <v>-29.909365558912427</v>
      </c>
      <c r="Z408" s="659">
        <f>INPUT!AK305</f>
        <v>-29.899999999999977</v>
      </c>
      <c r="AA408" s="647">
        <f>INPUT!AL305</f>
        <v>28.87931034482747</v>
      </c>
      <c r="AB408" s="659">
        <f>INPUT!AM305</f>
        <v>-23.700000000000003</v>
      </c>
      <c r="AC408" s="647">
        <f>INPUT!AN305</f>
        <v>-20.735785953177189</v>
      </c>
      <c r="AD408" s="659">
        <f>INPUT!AO305</f>
        <v>-19.399999999999977</v>
      </c>
      <c r="AE408" s="647">
        <f>INPUT!AP305</f>
        <v>-18.143459915611913</v>
      </c>
      <c r="AF408" s="659">
        <f>INPUT!AQ305</f>
        <v>-38.300000000000004</v>
      </c>
      <c r="AG408" s="647">
        <f>INPUT!AR305</f>
        <v>97.422680412371392</v>
      </c>
      <c r="AH408" s="659">
        <f>INPUT!AS305</f>
        <v>-28.09999999999998</v>
      </c>
      <c r="AI408" s="647">
        <f>INPUT!AT305</f>
        <v>-26.631853785900837</v>
      </c>
      <c r="AJ408" s="659">
        <f>INPUT!AU305</f>
        <v>-27.200000000000003</v>
      </c>
      <c r="AK408" s="647">
        <f>INPUT!AV305</f>
        <v>-3.202846975088891</v>
      </c>
      <c r="AL408" s="659">
        <f>INPUT!AW305</f>
        <v>-20</v>
      </c>
      <c r="AM408" s="647">
        <f>INPUT!AX305</f>
        <v>-26.470588235294123</v>
      </c>
      <c r="AN408" s="645">
        <f>INPUT!AY305</f>
        <v>-31.9</v>
      </c>
      <c r="AO408" s="660">
        <f>INPUT!AZ305</f>
        <v>59.5</v>
      </c>
      <c r="AP408" s="645">
        <f>INPUT!BA305</f>
        <v>-27.800000000000004</v>
      </c>
      <c r="AQ408" s="660">
        <f>INPUT!BB305</f>
        <v>-12.852664576802486</v>
      </c>
      <c r="AR408" s="645">
        <f>INPUT!BC305</f>
        <v>-45.600000000000009</v>
      </c>
      <c r="AS408" s="660">
        <f>INPUT!BD305</f>
        <v>64.02877697841727</v>
      </c>
      <c r="AT408" s="645">
        <f>INPUT!BE305</f>
        <v>-22.200000000000003</v>
      </c>
      <c r="AU408" s="660" t="str">
        <f>INPUT!BF305</f>
        <v>NM</v>
      </c>
      <c r="AV408" s="645">
        <f>INPUT!BG305</f>
        <v>-9.5999999999999943</v>
      </c>
      <c r="AW408" s="660" t="str">
        <f>INPUT!BH305</f>
        <v>NM</v>
      </c>
      <c r="AX408" s="645">
        <f>INPUT!BI305</f>
        <v>0.29999999999999716</v>
      </c>
      <c r="AY408" s="660" t="str">
        <f>INPUT!BJ305</f>
        <v>NM</v>
      </c>
      <c r="AZ408" s="645">
        <f>INPUT!BK305</f>
        <v>-6.6999999999999957</v>
      </c>
      <c r="BA408" s="660" t="str">
        <f>INPUT!BL305</f>
        <v>NM</v>
      </c>
      <c r="BB408" s="645">
        <f>INPUT!BM305</f>
        <v>-7.2000000000000171</v>
      </c>
      <c r="BC408" s="660">
        <f>INPUT!BN305</f>
        <v>7.4626865671645115</v>
      </c>
      <c r="BD408" s="645">
        <f>INPUT!BO305</f>
        <v>-0.39999999999999858</v>
      </c>
      <c r="BE408" s="660" t="str">
        <f>INPUT!BP305</f>
        <v>NM</v>
      </c>
      <c r="BF408" s="645">
        <f>INPUT!BQ305</f>
        <v>-12.900000000000006</v>
      </c>
      <c r="BG408" s="660" t="str">
        <f>INPUT!BR305</f>
        <v>NM</v>
      </c>
      <c r="BH408" s="645">
        <f>INPUT!BS305</f>
        <v>-16</v>
      </c>
      <c r="BI408" s="660">
        <f>INPUT!BT305</f>
        <v>24.031007751937938</v>
      </c>
      <c r="BJ408" s="645">
        <f>INPUT!BU305</f>
        <v>-13.699999999999996</v>
      </c>
      <c r="BK408" s="660">
        <f>INPUT!BV305</f>
        <v>-14.375000000000027</v>
      </c>
      <c r="BL408" s="645">
        <f>INPUT!BW305</f>
        <v>-16.600000000000009</v>
      </c>
      <c r="BM408" s="660">
        <f>INPUT!BX305</f>
        <v>21.167883211678927</v>
      </c>
      <c r="BN408" s="645">
        <f>INPUT!BY305</f>
        <v>-9.0999999999999979</v>
      </c>
      <c r="BO408" s="660">
        <f>INPUT!BZ305</f>
        <v>-45.180722891566305</v>
      </c>
      <c r="BP408" s="645">
        <f>INPUT!CA305</f>
        <v>-4.899999999999995</v>
      </c>
      <c r="BQ408" s="660">
        <f>INPUT!CB305</f>
        <v>-46.153846153846203</v>
      </c>
      <c r="BR408" s="645">
        <f>INPUT!CC305</f>
        <v>-9.1000000000000014</v>
      </c>
      <c r="BS408" s="660">
        <f>INPUT!CD305</f>
        <v>85.71428571428595</v>
      </c>
      <c r="BT408" s="645">
        <f>INPUT!CE305</f>
        <v>-15.8</v>
      </c>
      <c r="BU408" s="660">
        <f>INPUT!CF305</f>
        <v>73.626373626373606</v>
      </c>
      <c r="BV408" s="645">
        <f>INPUT!CG305</f>
        <v>-21.799999999999997</v>
      </c>
      <c r="BW408" s="660">
        <f>INPUT!CH305</f>
        <v>37.97468354430378</v>
      </c>
      <c r="BX408" s="645">
        <f>INPUT!CI305</f>
        <v>-16.999999999999996</v>
      </c>
      <c r="BY408" s="660">
        <f>INPUT!CJ305</f>
        <v>-22.018348623853214</v>
      </c>
      <c r="BZ408" s="645">
        <f>INPUT!CK305</f>
        <v>-20.800000000000004</v>
      </c>
      <c r="CA408" s="660">
        <f>INPUT!CL305</f>
        <v>22.352941176470644</v>
      </c>
      <c r="CB408" s="645">
        <f>INPUT!CM305</f>
        <v>-18.799999999999997</v>
      </c>
      <c r="CC408" s="660">
        <f>INPUT!CN305</f>
        <v>-9.6153846153846487</v>
      </c>
      <c r="CD408" s="645">
        <f>INPUT!CO305</f>
        <v>-20.6</v>
      </c>
      <c r="CE408" s="660">
        <f>INPUT!CP305</f>
        <v>9.5744680851064032</v>
      </c>
      <c r="CF408" s="645">
        <f>INPUT!CQ305</f>
        <v>-25.900000000000006</v>
      </c>
      <c r="CG408" s="660">
        <f>INPUT!CR305</f>
        <v>25.728155339805838</v>
      </c>
      <c r="CH408" s="645">
        <f>INPUT!CS305</f>
        <v>-27.399999999999995</v>
      </c>
      <c r="CI408" s="660">
        <f>INPUT!CT305</f>
        <v>5.7915057915057577</v>
      </c>
      <c r="CJ408" s="645">
        <f>INPUT!CU305</f>
        <v>-34.599999999999994</v>
      </c>
      <c r="CK408" s="660">
        <f>INPUT!CV305</f>
        <v>26.277372262773735</v>
      </c>
      <c r="CL408" s="645">
        <f>INPUT!CW305</f>
        <v>-26.199999999999996</v>
      </c>
      <c r="CM408" s="660">
        <f>INPUT!CX305</f>
        <v>-24.277456647398843</v>
      </c>
      <c r="CN408" s="645">
        <f>INPUT!CY305</f>
        <v>-29.6</v>
      </c>
      <c r="CO408" s="660">
        <f>INPUT!CZ305</f>
        <v>12.977099236641255</v>
      </c>
      <c r="CP408" s="645">
        <f>INPUT!DA305</f>
        <v>-25.4</v>
      </c>
      <c r="CQ408" s="660">
        <f>INPUT!DB305</f>
        <v>-14.1891891891892</v>
      </c>
      <c r="CR408" s="645">
        <f>INPUT!DC305</f>
        <v>-33.900000000000006</v>
      </c>
      <c r="CS408" s="660">
        <f>INPUT!DD305</f>
        <v>33.464566929133888</v>
      </c>
      <c r="CT408" s="645">
        <f>INPUT!DE305</f>
        <v>-26.5</v>
      </c>
      <c r="CU408" s="660">
        <f>INPUT!DF305</f>
        <v>-21.82890855457228</v>
      </c>
      <c r="CV408" s="645">
        <f>INPUT!DG305</f>
        <v>-41.6</v>
      </c>
      <c r="CW408" s="660">
        <f>INPUT!DH305</f>
        <v>56.981132075471706</v>
      </c>
      <c r="CX408" s="645">
        <f>INPUT!DI305</f>
        <v>-25.099999999999994</v>
      </c>
      <c r="CY408" s="660">
        <f>INPUT!DJ305</f>
        <v>-39.663461538461554</v>
      </c>
      <c r="CZ408" s="645">
        <f>INPUT!DK305</f>
        <v>-25.799999999999997</v>
      </c>
      <c r="DA408" s="660">
        <f>INPUT!DL305</f>
        <v>2.788844621513964</v>
      </c>
      <c r="DB408" s="645">
        <f>INPUT!DM305</f>
        <v>-32.9</v>
      </c>
      <c r="DC408" s="660">
        <f>INPUT!DN305</f>
        <v>27.519379844961243</v>
      </c>
      <c r="DD408" s="645">
        <f>INPUT!DO305</f>
        <v>-36.299999999999997</v>
      </c>
      <c r="DE408" s="660">
        <f>INPUT!DP305</f>
        <v>10.334346504559267</v>
      </c>
      <c r="DF408" s="645">
        <f>INPUT!DQ305</f>
        <v>-29.9</v>
      </c>
      <c r="DG408" s="660">
        <f>INPUT!DR305</f>
        <v>-17.630853994490359</v>
      </c>
      <c r="DH408" s="645">
        <f>INPUT!DS305</f>
        <v>-37.6</v>
      </c>
      <c r="DI408" s="660">
        <f>INPUT!DT305</f>
        <v>25.752508361204018</v>
      </c>
      <c r="DJ408" s="645">
        <f>INPUT!DU305</f>
        <v>-35.9</v>
      </c>
      <c r="DK408" s="660">
        <f>INPUT!DV305</f>
        <v>-4.5212765957446832</v>
      </c>
      <c r="DL408" s="645">
        <f>INPUT!DW305</f>
        <v>-39.699999999999996</v>
      </c>
      <c r="DM408" s="660">
        <f>INPUT!DX305</f>
        <v>10.584958217270191</v>
      </c>
      <c r="DN408" s="645">
        <f>INPUT!DY305</f>
        <v>-45.7</v>
      </c>
      <c r="DO408" s="660">
        <f>INPUT!DZ305</f>
        <v>15.113350125944613</v>
      </c>
      <c r="DP408" s="645">
        <f>INPUT!EA305</f>
        <v>-41.7</v>
      </c>
      <c r="DQ408" s="660">
        <f>INPUT!EB305</f>
        <v>-8.7527352297593009</v>
      </c>
      <c r="DR408" s="645">
        <f>INPUT!EC305</f>
        <v>-39.800000000000004</v>
      </c>
      <c r="DS408" s="660">
        <f>INPUT!ED305</f>
        <v>-4.5563549160671402</v>
      </c>
      <c r="DT408" s="645">
        <f>INPUT!EE305</f>
        <v>-37.599999999999994</v>
      </c>
      <c r="DU408" s="660">
        <f>INPUT!EF305</f>
        <v>-5.5276381909547982</v>
      </c>
      <c r="DV408" s="645">
        <f>INPUT!EG305</f>
        <v>-36.199999999999996</v>
      </c>
      <c r="DW408" s="660">
        <f>INPUT!EH305</f>
        <v>-3.7234042553191404</v>
      </c>
      <c r="DX408" s="645">
        <f>INPUT!EI305</f>
        <v>-33.199999999999996</v>
      </c>
      <c r="DY408" s="660">
        <f>INPUT!EJ305</f>
        <v>-8.2872928176795586</v>
      </c>
      <c r="DZ408" s="645">
        <f>INPUT!EK305</f>
        <v>-35.319999999999993</v>
      </c>
      <c r="EA408" s="660">
        <f>INPUT!EL305</f>
        <v>6.3855421686746849</v>
      </c>
      <c r="EB408" s="645">
        <f>INPUT!EM305</f>
        <v>-35.319999999999993</v>
      </c>
      <c r="EC408" s="660">
        <f>INPUT!EN305</f>
        <v>0</v>
      </c>
      <c r="ED408" s="645">
        <f>INPUT!EO305</f>
        <v>-37.069999999999993</v>
      </c>
      <c r="EE408" s="660">
        <f>INPUT!EP305</f>
        <v>4.9546998867497249</v>
      </c>
      <c r="EF408" s="645">
        <f>INPUT!EQ305</f>
        <v>-37.069999999999993</v>
      </c>
      <c r="EG408" s="660">
        <f>INPUT!ER305</f>
        <v>0</v>
      </c>
      <c r="EH408" s="661"/>
      <c r="EI408" s="645"/>
      <c r="EJ408" s="662"/>
      <c r="EK408" s="645">
        <f>INPUT!FD305</f>
        <v>-90.700000000000045</v>
      </c>
      <c r="EL408" s="660" t="str">
        <f>INPUT!FE305</f>
        <v>NA</v>
      </c>
      <c r="EM408" s="645">
        <f>INPUT!FF305</f>
        <v>-151.40000000000009</v>
      </c>
      <c r="EN408" s="660">
        <f>INPUT!FG305</f>
        <v>66.923925027563413</v>
      </c>
      <c r="EO408" s="645">
        <f>INPUT!FH305</f>
        <v>-108.30000000000007</v>
      </c>
      <c r="EP408" s="660">
        <f>INPUT!FI305</f>
        <v>-28.467635402906211</v>
      </c>
      <c r="EQ408" s="645">
        <f>INPUT!FJ305</f>
        <v>-111.29999999999995</v>
      </c>
      <c r="ER408" s="660">
        <f>INPUT!FK305</f>
        <v>2.7700831024929595</v>
      </c>
      <c r="ES408" s="645">
        <f>INPUT!FL305</f>
        <v>-107.19999999999999</v>
      </c>
      <c r="ET408" s="660">
        <f>INPUT!FM305</f>
        <v>-3.6837376460017723</v>
      </c>
      <c r="EU408" s="645">
        <f>INPUT!FN305</f>
        <v>-105.20000000000005</v>
      </c>
      <c r="EV408" s="660">
        <f>INPUT!FO305</f>
        <v>-1.8656716417909891</v>
      </c>
      <c r="EW408" s="645">
        <f>INPUT!FP305</f>
        <v>-13.999999999999972</v>
      </c>
      <c r="EX408" s="660" t="str">
        <f>INPUT!FQ305</f>
        <v>NM</v>
      </c>
      <c r="EY408" s="645">
        <f>INPUT!FR305</f>
        <v>-48.399999999999991</v>
      </c>
      <c r="EZ408" s="660" t="str">
        <f>INPUT!FS305</f>
        <v>NM</v>
      </c>
      <c r="FA408" s="645">
        <f>INPUT!FT305</f>
        <v>-38.900000000000006</v>
      </c>
      <c r="FB408" s="647">
        <f>INPUT!FU305</f>
        <v>-19.628099173553693</v>
      </c>
      <c r="FC408" s="645">
        <f>INPUT!FV305</f>
        <v>-78.399999999999977</v>
      </c>
      <c r="FD408" s="660" t="str">
        <f>INPUT!FW305</f>
        <v>NM</v>
      </c>
      <c r="FE408" s="645">
        <f>INPUT!FX305</f>
        <v>-86.399999999999977</v>
      </c>
      <c r="FF408" s="660">
        <f>INPUT!FY305</f>
        <v>10.204081632653072</v>
      </c>
      <c r="FG408" s="645">
        <f>INPUT!FZ305</f>
        <v>-115.1</v>
      </c>
      <c r="FH408" s="660">
        <f>INPUT!GA305</f>
        <v>33.217592592592624</v>
      </c>
      <c r="FI408" s="645">
        <f>INPUT!GB305</f>
        <v>-119.00000000000001</v>
      </c>
      <c r="FJ408" s="660">
        <f>INPUT!GC305</f>
        <v>3.3883579496090555</v>
      </c>
      <c r="FK408" s="645">
        <f>INPUT!GD305</f>
        <v>-136.69999999999999</v>
      </c>
      <c r="FL408" s="660">
        <f>INPUT!GE305</f>
        <v>14.873949579831901</v>
      </c>
      <c r="FM408" s="645">
        <f>INPUT!GF305</f>
        <v>-163</v>
      </c>
      <c r="FN408" s="660">
        <f>INPUT!GG305</f>
        <v>19.239209948792979</v>
      </c>
      <c r="FO408" s="645">
        <f>INPUT!GH305</f>
        <v>-146.79999999999998</v>
      </c>
      <c r="FP408" s="660">
        <f>INPUT!GI305</f>
        <v>-9.9386503067484746</v>
      </c>
      <c r="FQ408" s="645">
        <f>INPUT!GJ305</f>
        <v>-144.77999999999997</v>
      </c>
      <c r="FR408" s="660">
        <f>INPUT!GK305</f>
        <v>-1.3760217983651346</v>
      </c>
      <c r="FS408" s="645">
        <f>INPUT!GL305</f>
        <v>-148.27999999999997</v>
      </c>
      <c r="FT408" s="660">
        <f>INPUT!GM305</f>
        <v>2.4174609752728227</v>
      </c>
      <c r="FU408" s="645">
        <f>INPUT!GN305</f>
        <v>-150.02199999999999</v>
      </c>
      <c r="FV408" s="660">
        <f>INPUT!GO305</f>
        <v>1.1748044240625921</v>
      </c>
      <c r="FW408" s="645">
        <f>INPUT!GP305</f>
        <v>-151.78141999999997</v>
      </c>
      <c r="FX408" s="660">
        <f>INPUT!GQ305</f>
        <v>1.1727746597165689</v>
      </c>
      <c r="FY408" s="645">
        <f>INPUT!GR305</f>
        <v>-153.55843419999997</v>
      </c>
      <c r="FZ408" s="660">
        <f>INPUT!GS305</f>
        <v>1.1707718902616682</v>
      </c>
      <c r="GA408" s="660">
        <f>INPUT!GT305</f>
        <v>0.90426514075188091</v>
      </c>
    </row>
    <row r="409" spans="1:183" ht="12.75" hidden="1" customHeight="1" outlineLevel="1" x14ac:dyDescent="0.2">
      <c r="A409" s="614" t="s">
        <v>517</v>
      </c>
      <c r="B409" s="615"/>
      <c r="C409" s="616"/>
      <c r="D409" s="615"/>
      <c r="E409" s="616"/>
      <c r="F409" s="615"/>
      <c r="G409" s="616"/>
      <c r="H409" s="615"/>
      <c r="I409" s="616"/>
      <c r="J409" s="615"/>
      <c r="K409" s="616"/>
      <c r="L409" s="615"/>
      <c r="M409" s="616"/>
      <c r="N409" s="615"/>
      <c r="O409" s="616"/>
      <c r="P409" s="615"/>
      <c r="Q409" s="616"/>
      <c r="R409" s="615"/>
      <c r="S409" s="616"/>
      <c r="T409" s="615"/>
      <c r="U409" s="616"/>
      <c r="V409" s="615"/>
      <c r="W409" s="616"/>
      <c r="X409" s="615"/>
      <c r="Y409" s="616"/>
      <c r="Z409" s="615"/>
      <c r="AA409" s="616"/>
      <c r="AB409" s="615"/>
      <c r="AC409" s="616"/>
      <c r="AD409" s="615"/>
      <c r="AE409" s="616"/>
      <c r="AF409" s="615"/>
      <c r="AG409" s="616"/>
      <c r="AH409" s="615"/>
      <c r="AI409" s="616"/>
      <c r="AJ409" s="615"/>
      <c r="AK409" s="616"/>
      <c r="AL409" s="615"/>
      <c r="AM409" s="616"/>
      <c r="AN409" s="615"/>
      <c r="AO409" s="617"/>
      <c r="AP409" s="615"/>
      <c r="AQ409" s="617"/>
      <c r="AR409" s="615"/>
      <c r="AS409" s="617"/>
      <c r="AT409" s="615"/>
      <c r="AU409" s="617"/>
      <c r="AV409" s="615"/>
      <c r="AW409" s="617"/>
      <c r="AX409" s="615"/>
      <c r="AY409" s="617"/>
      <c r="AZ409" s="615"/>
      <c r="BA409" s="617"/>
      <c r="BB409" s="615"/>
      <c r="BC409" s="617"/>
      <c r="BD409" s="615"/>
      <c r="BE409" s="617"/>
      <c r="BF409" s="615"/>
      <c r="BG409" s="617"/>
      <c r="BH409" s="615"/>
      <c r="BI409" s="617"/>
      <c r="BJ409" s="615"/>
      <c r="BK409" s="617"/>
      <c r="BL409" s="615"/>
      <c r="BM409" s="617"/>
      <c r="BN409" s="615"/>
      <c r="BO409" s="617"/>
      <c r="BP409" s="615"/>
      <c r="BQ409" s="617"/>
      <c r="BR409" s="615"/>
      <c r="BS409" s="617"/>
      <c r="BT409" s="615"/>
      <c r="BU409" s="617"/>
      <c r="BV409" s="618">
        <f>(BV386+BV387+BV388+BV389-BV393-BV394-BV395-BV396-BV397-BV398-BV399-BV400-BV401-BV402)-BV408</f>
        <v>0</v>
      </c>
      <c r="BW409" s="617"/>
      <c r="BX409" s="618">
        <f>(BX386+BX387+BX388+BX389-BX393-BX394-BX395-BX396-BX397-BX398-BX399-BX400-BX401-BX402)-BX408</f>
        <v>0</v>
      </c>
      <c r="BY409" s="617"/>
      <c r="BZ409" s="618">
        <f>(BZ386+BZ387+BZ388+BZ389-BZ393-BZ394-BZ395-BZ396-BZ397-BZ398-BZ399-BZ400-BZ401-BZ402)-BZ408</f>
        <v>0</v>
      </c>
      <c r="CA409" s="617"/>
      <c r="CB409" s="618">
        <f>(CB386+CB387+CB388+CB389-CB393-CB394-CB395-CB396-CB397-CB398-CB399-CB400-CB401-CB402)-CB408</f>
        <v>0</v>
      </c>
      <c r="CC409" s="617"/>
      <c r="CD409" s="618">
        <f>(CD386+CD387+CD388+CD389-CD393-CD394-CD395-CD396-CD397-CD398-CD399-CD400-CD401-CD402)-CD408</f>
        <v>0</v>
      </c>
      <c r="CE409" s="617"/>
      <c r="CF409" s="618">
        <f>(CF386+CF387+CF388+CF389-CF393-CF394-CF395-CF396-CF397-CF398-CF399-CF400-CF401-CF402)-CF408</f>
        <v>0</v>
      </c>
      <c r="CG409" s="617"/>
      <c r="CH409" s="618">
        <f>(CH386+CH387+CH388+CH389-CH393-CH394-CH395-CH396-CH397-CH398-CH399-CH400-CH401-CH402)-CH408</f>
        <v>0</v>
      </c>
      <c r="CI409" s="617"/>
      <c r="CJ409" s="618">
        <f>(CJ386+CJ387+CJ388+CJ389-CJ393-CJ394-CJ395-CJ396-CJ397-CJ398-CJ399-CJ400-CJ401-CJ402)-CJ408</f>
        <v>0</v>
      </c>
      <c r="CK409" s="617"/>
      <c r="CL409" s="618">
        <f>(CL386+CL387+CL388+CL389-CL393-CL394-CL395-CL396-CL397-CL398-CL399-CL400-CL401-CL402)-CL408</f>
        <v>0</v>
      </c>
      <c r="CM409" s="617"/>
      <c r="CN409" s="618">
        <f>(CN386+CN387+CN388+CN389-CN393-CN394-CN395-CN396-CN397-CN398-CN399-CN400-CN401-CN402)-CN408</f>
        <v>0</v>
      </c>
      <c r="CO409" s="617"/>
      <c r="CP409" s="618">
        <f>(CP386+CP387+CP388+CP389-CP393-CP394-CP395-CP396-CP397-CP398-CP399-CP400-CP401-CP402)-CP408</f>
        <v>0</v>
      </c>
      <c r="CQ409" s="617"/>
      <c r="CR409" s="618">
        <f>(CR386+CR387+CR388+CR389-CR393-CR394-CR395-CR396-CR397-CR398-CR399-CR400-CR401-CR402)-CR408</f>
        <v>0</v>
      </c>
      <c r="CS409" s="617"/>
      <c r="CT409" s="618">
        <f>(CT386+CT387+CT388+CT389-CT393-CT394-CT395-CT396-CT397-CT398-CT399-CT400-CT401-CT402)-CT408</f>
        <v>0</v>
      </c>
      <c r="CU409" s="617"/>
      <c r="CV409" s="618">
        <f>(CV386+CV387+CV388+CV389-CV393-CV394-CV395-CV396-CV397-CV398-CV399-CV400-CV401-CV402)-CV408</f>
        <v>0</v>
      </c>
      <c r="CW409" s="617"/>
      <c r="CX409" s="618">
        <f>(CX386+CX387+CX388+CX389-CX393-CX394-CX395-CX396-CX397-CX398-CX399-CX400-CX401-CX402)-CX408</f>
        <v>0</v>
      </c>
      <c r="CY409" s="617"/>
      <c r="CZ409" s="618">
        <f>(CZ386+CZ387+CZ388+CZ389-CZ393-CZ394-CZ395-CZ396-CZ397-CZ398-CZ399-CZ400-CZ401-CZ402)-CZ408</f>
        <v>0</v>
      </c>
      <c r="DA409" s="617"/>
      <c r="DB409" s="618">
        <f>(DB386+DB387+DB388+DB389-DB393-DB394-DB395-DB396-DB397-DB398-DB399-DB400-DB401-DB402)-DB408</f>
        <v>0</v>
      </c>
      <c r="DC409" s="617"/>
      <c r="DD409" s="618">
        <f>(DD386+DD387+DD388+DD389-DD393-DD394-DD395-DD396-DD397-DD398-DD399-DD400-DD401-DD402)-DD408</f>
        <v>0</v>
      </c>
      <c r="DE409" s="617"/>
      <c r="DF409" s="618">
        <f>(DF386+DF387+DF388+DF389-DF393-DF394-DF395-DF396-DF397-DF398-DF399-DF400-DF401-DF402)-DF408</f>
        <v>0</v>
      </c>
      <c r="DG409" s="617"/>
      <c r="DH409" s="618">
        <f>(DH386+DH387+DH388+DH389-DH393-DH394-DH395-DH396-DH397-DH398-DH399-DH400-DH401-DH402)-DH408</f>
        <v>0</v>
      </c>
      <c r="DI409" s="617"/>
      <c r="DJ409" s="618">
        <f>(DJ386+DJ387+DJ388+DJ389-DJ393-DJ394-DJ395-DJ396-DJ397-DJ398-DJ399-DJ400-DJ401-DJ402)-DJ408</f>
        <v>0</v>
      </c>
      <c r="DK409" s="617"/>
      <c r="DL409" s="618">
        <f>(DL386+DL387+DL388+DL389-DL393-DL394-DL395-DL396-DL397-DL398-DL399-DL400-DL401-DL402)-DL408</f>
        <v>0</v>
      </c>
      <c r="DM409" s="617"/>
      <c r="DN409" s="618">
        <f>(DN386+DN387+DN388+DN389-DN393-DN394-DN395-DN396-DN397-DN398-DN399-DN400-DN401-DN402)-DN408</f>
        <v>0</v>
      </c>
      <c r="DO409" s="617"/>
      <c r="DP409" s="618">
        <f>(DP386+DP387+DP388+DP389-DP393-DP394-DP395-DP396-DP397-DP398-DP399-DP400-DP401-DP402)-DP408</f>
        <v>0</v>
      </c>
      <c r="DQ409" s="617"/>
      <c r="DR409" s="618">
        <f t="shared" ref="DR409" si="284">(DR386+DR387+DR388+DR389-DR393-DR394-DR395-DR396-DR397-DR398-DR399-DR400-DR401-DR402)-DR408</f>
        <v>-20.6</v>
      </c>
      <c r="DS409" s="617"/>
      <c r="DT409" s="618">
        <f t="shared" ref="DT409" si="285">(DT386+DT387+DT388+DT389-DT393-DT394-DT395-DT396-DT397-DT398-DT399-DT400-DT401-DT402)-DT408</f>
        <v>0</v>
      </c>
      <c r="DU409" s="617"/>
      <c r="DV409" s="618">
        <f t="shared" ref="DV409" si="286">(DV386+DV387+DV388+DV389-DV393-DV394-DV395-DV396-DV397-DV398-DV399-DV400-DV401-DV402)-DV408</f>
        <v>0</v>
      </c>
      <c r="DW409" s="617"/>
      <c r="DX409" s="618">
        <f t="shared" ref="DX409" si="287">(DX386+DX387+DX388+DX389-DX393-DX394-DX395-DX396-DX397-DX398-DX399-DX400-DX401-DX402)-DX408</f>
        <v>0</v>
      </c>
      <c r="DY409" s="617"/>
      <c r="DZ409" s="618">
        <f t="shared" ref="DZ409" si="288">(DZ386+DZ387+DZ388+DZ389-DZ393-DZ394-DZ395-DZ396-DZ397-DZ398-DZ399-DZ400-DZ401-DZ402)-DZ408</f>
        <v>0</v>
      </c>
      <c r="EA409" s="617"/>
      <c r="EB409" s="618">
        <f t="shared" ref="EB409" si="289">(EB386+EB387+EB388+EB389-EB393-EB394-EB395-EB396-EB397-EB398-EB399-EB400-EB401-EB402)-EB408</f>
        <v>0</v>
      </c>
      <c r="EC409" s="617"/>
      <c r="ED409" s="618">
        <f t="shared" ref="ED409" si="290">(ED386+ED387+ED388+ED389-ED393-ED394-ED395-ED396-ED397-ED398-ED399-ED400-ED401-ED402)-ED408</f>
        <v>0</v>
      </c>
      <c r="EE409" s="617"/>
      <c r="EF409" s="618">
        <f t="shared" ref="EF409" si="291">(EF386+EF387+EF388+EF389-EF393-EF394-EF395-EF396-EF397-EF398-EF399-EF400-EF401-EF402)-EF408</f>
        <v>0</v>
      </c>
      <c r="EG409" s="617"/>
      <c r="EH409" s="617"/>
      <c r="EI409" s="615"/>
      <c r="EJ409" s="616"/>
      <c r="EK409" s="615"/>
      <c r="EL409" s="616"/>
      <c r="EM409" s="615"/>
      <c r="EN409" s="616"/>
      <c r="EO409" s="615"/>
      <c r="EP409" s="616"/>
      <c r="EQ409" s="615"/>
      <c r="ER409" s="617"/>
      <c r="ES409" s="615"/>
      <c r="ET409" s="617"/>
      <c r="EU409" s="615"/>
      <c r="EV409" s="617"/>
      <c r="EW409" s="615"/>
      <c r="EX409" s="617"/>
      <c r="EY409" s="615"/>
      <c r="EZ409" s="617"/>
      <c r="FA409" s="618">
        <f>(FA386+FA387+FA388+FA389-FA393-FA394-FA395-FA396-FA397-FA398-FA399-FA400-FA401-FA402)-FA408</f>
        <v>0</v>
      </c>
      <c r="FB409" s="617"/>
      <c r="FC409" s="618">
        <f>(FC386+FC387+FC388+FC389-FC393-FC394-FC395-FC396-FC397-FC398-FC399-FC400-FC401-FC402)-FC408</f>
        <v>0</v>
      </c>
      <c r="FD409" s="617"/>
      <c r="FE409" s="618">
        <f>(FE386+FE387+FE388+FE389-FE393-FE394-FE395-FE396-FE397-FE398-FE399-FE400-FE401-FE402)-FE408</f>
        <v>0</v>
      </c>
      <c r="FF409" s="617"/>
      <c r="FG409" s="618">
        <f>(FG386+FG387+FG388+FG389-FG393-FG394-FG395-FG396-FG397-FG398-FG399-FG400-FG401-FG402)-FG408</f>
        <v>0</v>
      </c>
      <c r="FH409" s="617"/>
      <c r="FI409" s="618">
        <f>(FI386+FI387+FI388+FI389-FI393-FI394-FI395-FI396-FI397-FI398-FI399-FI400-FI401-FI402)-FI408</f>
        <v>0</v>
      </c>
      <c r="FJ409" s="617"/>
      <c r="FK409" s="618">
        <f>(FK386+FK387+FK388+FK389-FK393-FK394-FK395-FK396-FK397-FK398-FK399-FK400-FK401-FK402)-FK408</f>
        <v>0</v>
      </c>
      <c r="FL409" s="617"/>
      <c r="FM409" s="618">
        <f>(FM386+FM387+FM388+FM389-FM393-FM394-FM395-FM396-FM397-FM398-FM399-FM400-FM401-FM402)-FM408</f>
        <v>0</v>
      </c>
      <c r="FN409" s="617"/>
      <c r="FO409" s="618">
        <f>(FO386+FO387+FO388+FO389-FO393-FO394-FO395-FO396-FO397-FO398-FO399-FO400-FO401-FO402)-FO408</f>
        <v>-20.599999999999994</v>
      </c>
      <c r="FP409" s="617"/>
      <c r="FQ409" s="618">
        <f>(FQ386+FQ387+FQ388+FQ389-FQ393-FQ394-FQ395-FQ396-FQ397-FQ398-FQ399-FQ400-FQ401-FQ402)-FQ408</f>
        <v>0</v>
      </c>
      <c r="FR409" s="617"/>
      <c r="FS409" s="618">
        <f>(FS386+FS387+FS388+FS389-FS393-FS394-FS395-FS396-FS397-FS398-FS399-FS400-FS401-FS402)-FS408</f>
        <v>0</v>
      </c>
      <c r="FT409" s="617"/>
      <c r="FU409" s="618">
        <f>(FU386+FU387+FU388+FU389-FU393-FU394-FU395-FU396-FU397-FU398-FU399-FU400-FU401-FU402)-FU408</f>
        <v>0</v>
      </c>
      <c r="FV409" s="617"/>
      <c r="FW409" s="618">
        <f>(FW386+FW387+FW388+FW389-FW393-FW394-FW395-FW396-FW397-FW398-FW399-FW400-FW401-FW402)-FW408</f>
        <v>0</v>
      </c>
      <c r="FX409" s="617"/>
      <c r="FY409" s="618">
        <f>(FY386+FY387+FY388+FY389-FY393-FY394-FY395-FY396-FY397-FY398-FY399-FY400-FY401-FY402)-FY408</f>
        <v>0</v>
      </c>
      <c r="FZ409" s="617"/>
      <c r="GA409" s="616"/>
    </row>
    <row r="410" spans="1:183" ht="12.75" customHeight="1" collapsed="1" x14ac:dyDescent="0.2"/>
  </sheetData>
  <phoneticPr fontId="3" type="noConversion"/>
  <pageMargins left="0" right="0" top="0" bottom="0" header="0" footer="0"/>
  <pageSetup paperSize="5" scale="52" orientation="landscape" horizontalDpi="300" verticalDpi="300" r:id="rId1"/>
  <headerFooter alignWithMargins="0"/>
  <rowBreaks count="10" manualBreakCount="10">
    <brk id="57" max="16383" man="1"/>
    <brk id="107" max="16383" man="1"/>
    <brk id="150" max="16383" man="1"/>
    <brk id="190" max="16383" man="1"/>
    <brk id="232" max="16383" man="1"/>
    <brk id="273" max="43" man="1"/>
    <brk id="308" max="43" man="1"/>
    <brk id="344" max="16383" man="1"/>
    <brk id="378" max="16383" man="1"/>
    <brk id="402" max="16383" man="1"/>
  </rowBreak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1"/>
  <sheetViews>
    <sheetView workbookViewId="0"/>
  </sheetViews>
  <sheetFormatPr defaultRowHeight="12.75" x14ac:dyDescent="0.2"/>
  <sheetData>
    <row r="1" spans="1:2" x14ac:dyDescent="0.2">
      <c r="B1" t="s">
        <v>60</v>
      </c>
    </row>
  </sheetData>
  <phoneticPr fontId="3" type="noConversion"/>
  <pageMargins left="0.75" right="0.75" top="1" bottom="1" header="0.5" footer="0.5"/>
  <pageSetup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D2"/>
  <sheetViews>
    <sheetView workbookViewId="0"/>
  </sheetViews>
  <sheetFormatPr defaultRowHeight="12.75" x14ac:dyDescent="0.2"/>
  <sheetData>
    <row r="1" spans="1:30" x14ac:dyDescent="0.2">
      <c r="A1" t="s">
        <v>603</v>
      </c>
    </row>
    <row r="2" spans="1:30" x14ac:dyDescent="0.2">
      <c r="A2" s="906" t="s">
        <v>591</v>
      </c>
      <c r="B2" s="906" t="s">
        <v>597</v>
      </c>
      <c r="C2" s="906" t="s">
        <v>370</v>
      </c>
      <c r="D2" s="906" t="s">
        <v>199</v>
      </c>
      <c r="E2" s="906" t="s">
        <v>369</v>
      </c>
      <c r="F2" s="906" t="s">
        <v>199</v>
      </c>
      <c r="G2" s="906" t="s">
        <v>587</v>
      </c>
      <c r="H2" s="906" t="s">
        <v>588</v>
      </c>
      <c r="I2" s="906" t="s">
        <v>595</v>
      </c>
      <c r="J2" s="906" t="s">
        <v>601</v>
      </c>
      <c r="K2" s="906" t="s">
        <v>148</v>
      </c>
      <c r="L2" s="906" t="s">
        <v>415</v>
      </c>
      <c r="M2" s="906" t="s">
        <v>596</v>
      </c>
      <c r="N2" s="906" t="s">
        <v>602</v>
      </c>
      <c r="O2" s="906" t="s">
        <v>149</v>
      </c>
      <c r="P2" s="906" t="s">
        <v>639</v>
      </c>
      <c r="Q2" s="906" t="s">
        <v>372</v>
      </c>
      <c r="R2" s="906" t="s">
        <v>199</v>
      </c>
      <c r="S2" s="906" t="s">
        <v>371</v>
      </c>
      <c r="T2" s="906" t="s">
        <v>199</v>
      </c>
      <c r="U2" s="906" t="s">
        <v>589</v>
      </c>
      <c r="V2" s="906" t="s">
        <v>590</v>
      </c>
      <c r="W2" s="906" t="s">
        <v>593</v>
      </c>
      <c r="X2" s="906" t="s">
        <v>599</v>
      </c>
      <c r="Y2" s="906" t="s">
        <v>146</v>
      </c>
      <c r="Z2" s="906" t="s">
        <v>147</v>
      </c>
      <c r="AA2" s="906" t="s">
        <v>592</v>
      </c>
      <c r="AB2" s="906" t="s">
        <v>598</v>
      </c>
      <c r="AC2" s="906" t="s">
        <v>594</v>
      </c>
      <c r="AD2" s="906" t="s">
        <v>600</v>
      </c>
    </row>
  </sheetData>
  <phoneticPr fontId="3" type="noConversion"/>
  <pageMargins left="0.75" right="0.75" top="1" bottom="1" header="0.5" footer="0.5"/>
  <pageSetup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V401"/>
  <sheetViews>
    <sheetView showGridLines="0" workbookViewId="0">
      <pane xSplit="1" ySplit="5" topLeftCell="CP6" activePane="bottomRight" state="frozen"/>
      <selection pane="topRight" activeCell="B1" sqref="B1"/>
      <selection pane="bottomLeft" activeCell="A6" sqref="A6"/>
      <selection pane="bottomRight" activeCell="CV20" sqref="CV20"/>
    </sheetView>
  </sheetViews>
  <sheetFormatPr defaultRowHeight="12.75" customHeight="1" outlineLevelRow="2" outlineLevelCol="1" x14ac:dyDescent="0.2"/>
  <cols>
    <col min="1" max="1" width="30.7109375" style="711" customWidth="1"/>
    <col min="2" max="2" width="7.42578125" style="711" hidden="1" customWidth="1" outlineLevel="1"/>
    <col min="3" max="3" width="7.42578125" style="726" hidden="1" customWidth="1" outlineLevel="1"/>
    <col min="4" max="4" width="7.42578125" style="711" hidden="1" customWidth="1" outlineLevel="1"/>
    <col min="5" max="5" width="7.42578125" style="726" hidden="1" customWidth="1" outlineLevel="1"/>
    <col min="6" max="6" width="7.42578125" style="711" hidden="1" customWidth="1" outlineLevel="1"/>
    <col min="7" max="7" width="7.42578125" style="726" hidden="1" customWidth="1" outlineLevel="1"/>
    <col min="8" max="8" width="7.42578125" style="711" hidden="1" customWidth="1" outlineLevel="1" collapsed="1"/>
    <col min="9" max="9" width="7.42578125" style="726" hidden="1" customWidth="1" outlineLevel="1"/>
    <col min="10" max="10" width="7.42578125" style="711" hidden="1" customWidth="1" outlineLevel="1" collapsed="1"/>
    <col min="11" max="11" width="7.42578125" style="726" hidden="1" customWidth="1" outlineLevel="1"/>
    <col min="12" max="12" width="7.42578125" style="711" hidden="1" customWidth="1" outlineLevel="1" collapsed="1"/>
    <col min="13" max="13" width="7.42578125" style="726" hidden="1" customWidth="1" outlineLevel="1"/>
    <col min="14" max="14" width="7.42578125" style="711" hidden="1" customWidth="1" outlineLevel="1" collapsed="1"/>
    <col min="15" max="15" width="7.42578125" style="726" hidden="1" customWidth="1" outlineLevel="1"/>
    <col min="16" max="16" width="7.42578125" style="711" hidden="1" customWidth="1" outlineLevel="1" collapsed="1"/>
    <col min="17" max="17" width="7.42578125" style="726" hidden="1" customWidth="1" outlineLevel="1"/>
    <col min="18" max="18" width="7.42578125" style="711" hidden="1" customWidth="1" outlineLevel="1" collapsed="1"/>
    <col min="19" max="19" width="7.42578125" style="726" hidden="1" customWidth="1" outlineLevel="1"/>
    <col min="20" max="20" width="7.42578125" style="711" hidden="1" customWidth="1" outlineLevel="1" collapsed="1"/>
    <col min="21" max="21" width="7.42578125" style="726" hidden="1" customWidth="1" outlineLevel="1"/>
    <col min="22" max="22" width="7.42578125" style="711" hidden="1" customWidth="1" outlineLevel="1" collapsed="1"/>
    <col min="23" max="23" width="7.42578125" style="726" hidden="1" customWidth="1" outlineLevel="1"/>
    <col min="24" max="24" width="7.42578125" style="711" hidden="1" customWidth="1" outlineLevel="1" collapsed="1"/>
    <col min="25" max="25" width="7.42578125" style="726" hidden="1" customWidth="1" outlineLevel="1"/>
    <col min="26" max="26" width="7.42578125" style="711" hidden="1" customWidth="1" outlineLevel="1" collapsed="1"/>
    <col min="27" max="27" width="7.42578125" style="726" hidden="1" customWidth="1" outlineLevel="1"/>
    <col min="28" max="28" width="7.42578125" style="711" hidden="1" customWidth="1" outlineLevel="1" collapsed="1"/>
    <col min="29" max="29" width="7.42578125" style="726" hidden="1" customWidth="1" outlineLevel="1"/>
    <col min="30" max="30" width="7.42578125" style="711" hidden="1" customWidth="1" outlineLevel="1" collapsed="1"/>
    <col min="31" max="31" width="7.42578125" style="726" hidden="1" customWidth="1" outlineLevel="1"/>
    <col min="32" max="32" width="7.42578125" style="711" hidden="1" customWidth="1" outlineLevel="1" collapsed="1"/>
    <col min="33" max="33" width="7.42578125" style="726" hidden="1" customWidth="1" outlineLevel="1"/>
    <col min="34" max="34" width="7.42578125" style="711" hidden="1" customWidth="1" outlineLevel="1" collapsed="1"/>
    <col min="35" max="35" width="7.42578125" style="726" hidden="1" customWidth="1" outlineLevel="1"/>
    <col min="36" max="36" width="7.42578125" style="711" hidden="1" customWidth="1" outlineLevel="1"/>
    <col min="37" max="37" width="7.42578125" style="726" hidden="1" customWidth="1" outlineLevel="1"/>
    <col min="38" max="38" width="7.42578125" style="711" hidden="1" customWidth="1" outlineLevel="1"/>
    <col min="39" max="39" width="7.42578125" style="726" hidden="1" customWidth="1" outlineLevel="1"/>
    <col min="40" max="40" width="7.42578125" style="711" hidden="1" customWidth="1" outlineLevel="1"/>
    <col min="41" max="41" width="7.42578125" style="726" hidden="1" customWidth="1" outlineLevel="1"/>
    <col min="42" max="42" width="7.42578125" style="711" hidden="1" customWidth="1" outlineLevel="1" collapsed="1"/>
    <col min="43" max="43" width="7.42578125" style="726" hidden="1" customWidth="1" outlineLevel="1"/>
    <col min="44" max="44" width="7.42578125" style="711" hidden="1" customWidth="1" outlineLevel="1" collapsed="1"/>
    <col min="45" max="45" width="7.42578125" style="726" hidden="1" customWidth="1" outlineLevel="1"/>
    <col min="46" max="46" width="7.42578125" style="711" hidden="1" customWidth="1" outlineLevel="1" collapsed="1"/>
    <col min="47" max="47" width="7.42578125" style="726" hidden="1" customWidth="1" outlineLevel="1"/>
    <col min="48" max="48" width="7.42578125" style="711" hidden="1" customWidth="1" outlineLevel="1" collapsed="1"/>
    <col min="49" max="49" width="7.42578125" style="726" hidden="1" customWidth="1" outlineLevel="1"/>
    <col min="50" max="50" width="7.42578125" style="711" hidden="1" customWidth="1" outlineLevel="1" collapsed="1"/>
    <col min="51" max="51" width="7.42578125" style="726" hidden="1" customWidth="1" outlineLevel="1"/>
    <col min="52" max="52" width="7.42578125" style="711" hidden="1" customWidth="1" outlineLevel="1" collapsed="1"/>
    <col min="53" max="53" width="7.42578125" style="726" hidden="1" customWidth="1" outlineLevel="1"/>
    <col min="54" max="54" width="7.42578125" style="711" hidden="1" customWidth="1" outlineLevel="1" collapsed="1"/>
    <col min="55" max="55" width="7.42578125" style="726" hidden="1" customWidth="1" outlineLevel="1"/>
    <col min="56" max="56" width="7.42578125" style="711" hidden="1" customWidth="1" outlineLevel="1" collapsed="1"/>
    <col min="57" max="57" width="7.42578125" style="726" hidden="1" customWidth="1" outlineLevel="1"/>
    <col min="58" max="58" width="7.42578125" style="711" hidden="1" customWidth="1" outlineLevel="1" collapsed="1"/>
    <col min="59" max="59" width="7.42578125" style="726" hidden="1" customWidth="1" outlineLevel="1"/>
    <col min="60" max="60" width="7.42578125" style="711" hidden="1" customWidth="1" outlineLevel="1" collapsed="1"/>
    <col min="61" max="61" width="7.42578125" style="726" hidden="1" customWidth="1" outlineLevel="1"/>
    <col min="62" max="62" width="7.42578125" style="711" hidden="1" customWidth="1" outlineLevel="1" collapsed="1"/>
    <col min="63" max="63" width="7.42578125" style="726" hidden="1" customWidth="1" outlineLevel="1"/>
    <col min="64" max="64" width="7.42578125" style="711" hidden="1" customWidth="1" outlineLevel="1" collapsed="1"/>
    <col min="65" max="65" width="7.42578125" style="726" hidden="1" customWidth="1" outlineLevel="1"/>
    <col min="66" max="66" width="7.42578125" style="711" hidden="1" customWidth="1" outlineLevel="1"/>
    <col min="67" max="67" width="7.42578125" style="726" hidden="1" customWidth="1" outlineLevel="1"/>
    <col min="68" max="68" width="7.42578125" style="711" hidden="1" customWidth="1" outlineLevel="1"/>
    <col min="69" max="69" width="7.42578125" style="726" hidden="1" customWidth="1" outlineLevel="1"/>
    <col min="70" max="70" width="7.42578125" style="711" hidden="1" customWidth="1" outlineLevel="1"/>
    <col min="71" max="71" width="7.42578125" style="726" hidden="1" customWidth="1" outlineLevel="1"/>
    <col min="72" max="72" width="7.42578125" style="711" hidden="1" customWidth="1" outlineLevel="1"/>
    <col min="73" max="73" width="7.42578125" style="726" hidden="1" customWidth="1" outlineLevel="1"/>
    <col min="74" max="74" width="7.42578125" style="711" hidden="1" customWidth="1" outlineLevel="1" collapsed="1"/>
    <col min="75" max="75" width="7.42578125" style="726" hidden="1" customWidth="1" outlineLevel="1"/>
    <col min="76" max="76" width="7.42578125" style="711" hidden="1" customWidth="1" outlineLevel="1" collapsed="1"/>
    <col min="77" max="77" width="7.42578125" style="726" hidden="1" customWidth="1" outlineLevel="1"/>
    <col min="78" max="78" width="7.42578125" style="711" hidden="1" customWidth="1" outlineLevel="1" collapsed="1"/>
    <col min="79" max="79" width="7.42578125" style="726" hidden="1" customWidth="1" outlineLevel="1"/>
    <col min="80" max="80" width="7.42578125" style="711" hidden="1" customWidth="1" outlineLevel="1" collapsed="1"/>
    <col min="81" max="81" width="7.42578125" style="726" hidden="1" customWidth="1" outlineLevel="1"/>
    <col min="82" max="82" width="7.42578125" style="711" customWidth="1" collapsed="1"/>
    <col min="83" max="83" width="7.42578125" style="726" hidden="1" customWidth="1" outlineLevel="1"/>
    <col min="84" max="84" width="7.42578125" style="711" customWidth="1" collapsed="1"/>
    <col min="85" max="85" width="7.42578125" style="726" hidden="1" customWidth="1" outlineLevel="1"/>
    <col min="86" max="86" width="7.42578125" style="711" customWidth="1" collapsed="1"/>
    <col min="87" max="87" width="7.42578125" style="726" hidden="1" customWidth="1" outlineLevel="1"/>
    <col min="88" max="88" width="7.42578125" style="711" customWidth="1" collapsed="1"/>
    <col min="89" max="89" width="7.42578125" style="726" hidden="1" customWidth="1" outlineLevel="1"/>
    <col min="90" max="90" width="7.42578125" style="711" customWidth="1" collapsed="1"/>
    <col min="91" max="91" width="7.42578125" style="726" hidden="1" customWidth="1" outlineLevel="1"/>
    <col min="92" max="92" width="7.42578125" style="711" customWidth="1" collapsed="1"/>
    <col min="93" max="93" width="7.42578125" style="726" hidden="1" customWidth="1" outlineLevel="1"/>
    <col min="94" max="94" width="7.42578125" style="711" customWidth="1" collapsed="1"/>
    <col min="95" max="95" width="7.42578125" style="726" hidden="1" customWidth="1" outlineLevel="1"/>
    <col min="96" max="96" width="7.42578125" style="711" customWidth="1" collapsed="1"/>
    <col min="97" max="97" width="7.42578125" style="726" hidden="1" customWidth="1" outlineLevel="1"/>
    <col min="98" max="98" width="7.42578125" style="711" customWidth="1" collapsed="1"/>
    <col min="99" max="99" width="7.42578125" style="726" hidden="1" customWidth="1" outlineLevel="1"/>
    <col min="100" max="100" width="7.42578125" style="711" customWidth="1" collapsed="1"/>
    <col min="101" max="101" width="7.42578125" style="726" hidden="1" customWidth="1" outlineLevel="1"/>
    <col min="102" max="102" width="7.42578125" style="711" customWidth="1" collapsed="1"/>
    <col min="103" max="103" width="7.42578125" style="726" hidden="1" customWidth="1" outlineLevel="1"/>
    <col min="104" max="104" width="7.42578125" style="711" customWidth="1" collapsed="1"/>
    <col min="105" max="105" width="7.42578125" style="726" hidden="1" customWidth="1" outlineLevel="1"/>
    <col min="106" max="106" width="0.85546875" style="711" customWidth="1" collapsed="1"/>
    <col min="107" max="107" width="7.42578125" style="711" hidden="1" customWidth="1" outlineLevel="1"/>
    <col min="108" max="108" width="7.42578125" style="726" hidden="1" customWidth="1" outlineLevel="1"/>
    <col min="109" max="109" width="7.42578125" style="711" hidden="1" customWidth="1" outlineLevel="1"/>
    <col min="110" max="110" width="7.42578125" style="726" hidden="1" customWidth="1" outlineLevel="1"/>
    <col min="111" max="111" width="7.42578125" style="711" hidden="1" customWidth="1" outlineLevel="1"/>
    <col min="112" max="112" width="7.42578125" style="726" hidden="1" customWidth="1" outlineLevel="1"/>
    <col min="113" max="113" width="7.42578125" style="711" hidden="1" customWidth="1" outlineLevel="1"/>
    <col min="114" max="114" width="7.42578125" style="726" hidden="1" customWidth="1" outlineLevel="1" collapsed="1"/>
    <col min="115" max="115" width="7.42578125" style="711" hidden="1" customWidth="1" outlineLevel="1" collapsed="1"/>
    <col min="116" max="116" width="7.42578125" style="726" hidden="1" customWidth="1" outlineLevel="1"/>
    <col min="117" max="117" width="7.42578125" style="711" hidden="1" customWidth="1" outlineLevel="1"/>
    <col min="118" max="118" width="7.42578125" style="726" hidden="1" customWidth="1" outlineLevel="1"/>
    <col min="119" max="119" width="7.42578125" style="711" hidden="1" customWidth="1" outlineLevel="1"/>
    <col min="120" max="120" width="7.42578125" style="726" hidden="1" customWidth="1" outlineLevel="1"/>
    <col min="121" max="121" width="7.42578125" style="711" hidden="1" customWidth="1" outlineLevel="1" collapsed="1"/>
    <col min="122" max="122" width="7.42578125" style="726" hidden="1" customWidth="1" outlineLevel="1"/>
    <col min="123" max="123" width="7.42578125" style="711" hidden="1" customWidth="1" outlineLevel="1" collapsed="1"/>
    <col min="124" max="124" width="7.42578125" style="726" hidden="1" customWidth="1" outlineLevel="1"/>
    <col min="125" max="125" width="7.42578125" style="711" hidden="1" customWidth="1" outlineLevel="1" collapsed="1"/>
    <col min="126" max="126" width="7.42578125" style="726" hidden="1" customWidth="1" outlineLevel="1"/>
    <col min="127" max="127" width="7.42578125" style="711" hidden="1" customWidth="1" outlineLevel="1" collapsed="1"/>
    <col min="128" max="128" width="7.42578125" style="726" hidden="1" customWidth="1" outlineLevel="1"/>
    <col min="129" max="129" width="7.42578125" style="711" hidden="1" customWidth="1" outlineLevel="1"/>
    <col min="130" max="130" width="7.42578125" style="726" hidden="1" customWidth="1" outlineLevel="1"/>
    <col min="131" max="131" width="7.42578125" style="711" hidden="1" customWidth="1" outlineLevel="1" collapsed="1"/>
    <col min="132" max="132" width="7.42578125" style="726" hidden="1" customWidth="1" outlineLevel="1"/>
    <col min="133" max="133" width="7.42578125" style="711" customWidth="1" collapsed="1"/>
    <col min="134" max="134" width="7.42578125" style="726" hidden="1" customWidth="1" outlineLevel="1"/>
    <col min="135" max="135" width="7.42578125" style="711" customWidth="1" collapsed="1"/>
    <col min="136" max="136" width="7.42578125" style="726" hidden="1" customWidth="1" outlineLevel="1"/>
    <col min="137" max="137" width="7.42578125" style="711" customWidth="1" collapsed="1"/>
    <col min="138" max="138" width="7.42578125" style="726" hidden="1" customWidth="1" outlineLevel="1"/>
    <col min="139" max="139" width="7.42578125" style="711" customWidth="1" collapsed="1"/>
    <col min="140" max="140" width="7.42578125" style="726" hidden="1" customWidth="1" outlineLevel="1"/>
    <col min="141" max="141" width="7.42578125" style="711" customWidth="1" collapsed="1"/>
    <col min="142" max="142" width="7.42578125" style="726" hidden="1" customWidth="1" outlineLevel="1"/>
    <col min="143" max="143" width="7.42578125" style="711" customWidth="1" collapsed="1"/>
    <col min="144" max="144" width="7.42578125" style="726" hidden="1" customWidth="1" outlineLevel="1"/>
    <col min="145" max="145" width="7.42578125" style="711" customWidth="1" collapsed="1"/>
    <col min="146" max="146" width="7.42578125" style="726" hidden="1" customWidth="1" outlineLevel="1"/>
    <col min="147" max="147" width="7.42578125" style="711" customWidth="1" collapsed="1"/>
    <col min="148" max="148" width="7.42578125" style="726" hidden="1" customWidth="1" outlineLevel="1"/>
    <col min="149" max="149" width="7.42578125" style="711" customWidth="1" collapsed="1"/>
    <col min="150" max="150" width="7.42578125" style="726" hidden="1" customWidth="1" outlineLevel="1"/>
    <col min="151" max="151" width="7.42578125" style="711" customWidth="1" collapsed="1"/>
    <col min="152" max="16384" width="9.140625" style="711"/>
  </cols>
  <sheetData>
    <row r="1" spans="1:152" ht="21.95" customHeight="1" x14ac:dyDescent="0.25">
      <c r="A1" s="709" t="str">
        <f>INPUT!$B$4</f>
        <v>Unum Group</v>
      </c>
      <c r="B1" s="728"/>
      <c r="C1" s="729"/>
      <c r="D1" s="728"/>
      <c r="E1" s="729"/>
      <c r="F1" s="728"/>
      <c r="G1" s="729"/>
      <c r="H1" s="728"/>
      <c r="I1" s="730"/>
      <c r="J1" s="728"/>
      <c r="K1" s="730"/>
      <c r="L1" s="728"/>
      <c r="M1" s="730"/>
      <c r="N1" s="728"/>
      <c r="O1" s="730"/>
      <c r="P1" s="728"/>
      <c r="Q1" s="730"/>
      <c r="R1" s="728"/>
      <c r="S1" s="730"/>
      <c r="T1" s="728"/>
      <c r="U1" s="730"/>
      <c r="V1" s="728"/>
      <c r="W1" s="730"/>
      <c r="X1" s="728"/>
      <c r="Y1" s="730"/>
      <c r="Z1" s="728"/>
      <c r="AA1" s="730"/>
      <c r="AB1" s="728"/>
      <c r="AC1" s="730"/>
      <c r="AD1" s="728"/>
      <c r="AE1" s="730"/>
      <c r="AF1" s="728"/>
      <c r="AG1" s="730"/>
      <c r="AH1" s="728"/>
      <c r="AI1" s="730"/>
      <c r="AJ1" s="728"/>
      <c r="AK1" s="730"/>
      <c r="AL1" s="728"/>
      <c r="AM1" s="730"/>
      <c r="AN1" s="728"/>
      <c r="AO1" s="730"/>
      <c r="AP1" s="728"/>
      <c r="AQ1" s="730"/>
      <c r="AR1" s="728"/>
      <c r="AS1" s="730"/>
      <c r="AT1" s="728"/>
      <c r="AU1" s="730"/>
      <c r="AV1" s="728"/>
      <c r="AW1" s="730"/>
      <c r="AX1" s="728"/>
      <c r="AY1" s="730"/>
      <c r="AZ1" s="728"/>
      <c r="BA1" s="730"/>
      <c r="BB1" s="728"/>
      <c r="BC1" s="730"/>
      <c r="BD1" s="728"/>
      <c r="BE1" s="730"/>
      <c r="BF1" s="728"/>
      <c r="BG1" s="730"/>
      <c r="BH1" s="728"/>
      <c r="BI1" s="730"/>
      <c r="BJ1" s="728"/>
      <c r="BK1" s="730"/>
      <c r="BL1" s="728"/>
      <c r="BM1" s="730"/>
      <c r="BN1" s="728"/>
      <c r="BO1" s="730"/>
      <c r="BP1" s="728"/>
      <c r="BQ1" s="730"/>
      <c r="BR1" s="728"/>
      <c r="BS1" s="730"/>
      <c r="BT1" s="728"/>
      <c r="BU1" s="730"/>
      <c r="BV1" s="728"/>
      <c r="BW1" s="730"/>
      <c r="BX1" s="728"/>
      <c r="BY1" s="730"/>
      <c r="BZ1" s="728"/>
      <c r="CA1" s="730"/>
      <c r="CB1" s="728"/>
      <c r="CC1" s="730"/>
      <c r="CD1" s="728"/>
      <c r="CE1" s="730"/>
      <c r="CF1" s="728"/>
      <c r="CG1" s="730"/>
      <c r="CH1" s="728"/>
      <c r="CI1" s="730"/>
      <c r="CJ1" s="728"/>
      <c r="CK1" s="730"/>
      <c r="CL1" s="728"/>
      <c r="CM1" s="730"/>
      <c r="CN1" s="728"/>
      <c r="CO1" s="730"/>
      <c r="CP1" s="728"/>
      <c r="CQ1" s="730"/>
      <c r="CR1" s="728"/>
      <c r="CS1" s="730"/>
      <c r="CT1" s="728"/>
      <c r="CU1" s="730"/>
      <c r="CV1" s="728"/>
      <c r="CW1" s="730"/>
      <c r="CX1" s="728"/>
      <c r="CY1" s="730"/>
      <c r="CZ1" s="728"/>
      <c r="DA1" s="730"/>
      <c r="DB1" s="730"/>
      <c r="DC1" s="728"/>
      <c r="DD1" s="729"/>
      <c r="DE1" s="728"/>
      <c r="DF1" s="729"/>
      <c r="DG1" s="728"/>
      <c r="DH1" s="729"/>
      <c r="DI1" s="728"/>
      <c r="DJ1" s="729"/>
      <c r="DK1" s="728"/>
      <c r="DL1" s="730"/>
      <c r="DM1" s="728"/>
      <c r="DN1" s="730"/>
      <c r="DO1" s="728"/>
      <c r="DP1" s="730"/>
      <c r="DQ1" s="728"/>
      <c r="DR1" s="730"/>
      <c r="DS1" s="728"/>
      <c r="DT1" s="730"/>
      <c r="DU1" s="728"/>
      <c r="DV1" s="730"/>
      <c r="DW1" s="728"/>
      <c r="DX1" s="730"/>
      <c r="DY1" s="728"/>
      <c r="DZ1" s="730"/>
      <c r="EA1" s="728"/>
      <c r="EB1" s="730"/>
      <c r="EC1" s="728"/>
      <c r="ED1" s="730"/>
      <c r="EE1" s="728"/>
      <c r="EF1" s="730"/>
      <c r="EG1" s="728"/>
      <c r="EH1" s="730"/>
      <c r="EI1" s="728"/>
      <c r="EJ1" s="730"/>
      <c r="EK1" s="728"/>
      <c r="EL1" s="730"/>
      <c r="EM1" s="728"/>
      <c r="EN1" s="730"/>
      <c r="EO1" s="728"/>
      <c r="EP1" s="730"/>
      <c r="EQ1" s="728"/>
      <c r="ER1" s="730"/>
      <c r="ES1" s="728"/>
      <c r="ET1" s="730"/>
      <c r="EU1" s="729"/>
      <c r="EV1" s="710"/>
    </row>
    <row r="2" spans="1:152" ht="12.75" customHeight="1" x14ac:dyDescent="0.2">
      <c r="A2" s="731" t="s">
        <v>287</v>
      </c>
      <c r="B2" s="732"/>
      <c r="C2" s="733"/>
      <c r="D2" s="732"/>
      <c r="E2" s="733"/>
      <c r="F2" s="732"/>
      <c r="G2" s="733"/>
      <c r="H2" s="732"/>
      <c r="I2" s="734"/>
      <c r="J2" s="732"/>
      <c r="K2" s="734"/>
      <c r="L2" s="732"/>
      <c r="M2" s="734"/>
      <c r="N2" s="732"/>
      <c r="O2" s="734"/>
      <c r="P2" s="732"/>
      <c r="Q2" s="734"/>
      <c r="R2" s="732"/>
      <c r="S2" s="734"/>
      <c r="T2" s="732"/>
      <c r="U2" s="734"/>
      <c r="V2" s="732"/>
      <c r="W2" s="734"/>
      <c r="X2" s="732"/>
      <c r="Y2" s="734"/>
      <c r="Z2" s="732"/>
      <c r="AA2" s="734"/>
      <c r="AB2" s="732"/>
      <c r="AC2" s="734"/>
      <c r="AD2" s="732"/>
      <c r="AE2" s="734"/>
      <c r="AF2" s="732"/>
      <c r="AG2" s="734"/>
      <c r="AH2" s="732"/>
      <c r="AI2" s="734"/>
      <c r="AJ2" s="732"/>
      <c r="AK2" s="734"/>
      <c r="AL2" s="732"/>
      <c r="AM2" s="734"/>
      <c r="AN2" s="732"/>
      <c r="AO2" s="734"/>
      <c r="AP2" s="732"/>
      <c r="AQ2" s="734"/>
      <c r="AR2" s="732"/>
      <c r="AS2" s="734"/>
      <c r="AT2" s="732"/>
      <c r="AU2" s="734"/>
      <c r="AV2" s="732"/>
      <c r="AW2" s="734"/>
      <c r="AX2" s="732"/>
      <c r="AY2" s="734"/>
      <c r="AZ2" s="732"/>
      <c r="BA2" s="734"/>
      <c r="BB2" s="732"/>
      <c r="BC2" s="734"/>
      <c r="BD2" s="732"/>
      <c r="BE2" s="734"/>
      <c r="BF2" s="732"/>
      <c r="BG2" s="734"/>
      <c r="BH2" s="732"/>
      <c r="BI2" s="734"/>
      <c r="BJ2" s="732"/>
      <c r="BK2" s="734"/>
      <c r="BL2" s="732"/>
      <c r="BM2" s="734"/>
      <c r="BN2" s="732"/>
      <c r="BO2" s="734"/>
      <c r="BP2" s="732"/>
      <c r="BQ2" s="734"/>
      <c r="BR2" s="732"/>
      <c r="BS2" s="734"/>
      <c r="BT2" s="732"/>
      <c r="BU2" s="734"/>
      <c r="BV2" s="732"/>
      <c r="BW2" s="734"/>
      <c r="BX2" s="732"/>
      <c r="BY2" s="734"/>
      <c r="BZ2" s="732"/>
      <c r="CA2" s="734"/>
      <c r="CB2" s="732"/>
      <c r="CC2" s="734"/>
      <c r="CD2" s="732"/>
      <c r="CE2" s="734"/>
      <c r="CF2" s="732"/>
      <c r="CG2" s="734"/>
      <c r="CH2" s="732"/>
      <c r="CI2" s="734"/>
      <c r="CJ2" s="732"/>
      <c r="CK2" s="734"/>
      <c r="CL2" s="732"/>
      <c r="CM2" s="734"/>
      <c r="CN2" s="732"/>
      <c r="CO2" s="734"/>
      <c r="CP2" s="732"/>
      <c r="CQ2" s="734"/>
      <c r="CR2" s="732"/>
      <c r="CS2" s="734"/>
      <c r="CT2" s="732"/>
      <c r="CU2" s="734"/>
      <c r="CV2" s="732"/>
      <c r="CW2" s="734"/>
      <c r="CX2" s="732"/>
      <c r="CY2" s="734"/>
      <c r="CZ2" s="732"/>
      <c r="DA2" s="734"/>
      <c r="DB2" s="734"/>
      <c r="DC2" s="732"/>
      <c r="DD2" s="733"/>
      <c r="DE2" s="732"/>
      <c r="DF2" s="733"/>
      <c r="DG2" s="732"/>
      <c r="DH2" s="733"/>
      <c r="DI2" s="732"/>
      <c r="DJ2" s="733"/>
      <c r="DK2" s="732"/>
      <c r="DL2" s="734"/>
      <c r="DM2" s="732"/>
      <c r="DN2" s="734"/>
      <c r="DO2" s="732"/>
      <c r="DP2" s="734"/>
      <c r="DQ2" s="732"/>
      <c r="DR2" s="734"/>
      <c r="DS2" s="732"/>
      <c r="DT2" s="734"/>
      <c r="DU2" s="732"/>
      <c r="DV2" s="734"/>
      <c r="DW2" s="732"/>
      <c r="DX2" s="734"/>
      <c r="DY2" s="732"/>
      <c r="DZ2" s="734"/>
      <c r="EA2" s="732"/>
      <c r="EB2" s="734"/>
      <c r="EC2" s="732"/>
      <c r="ED2" s="734"/>
      <c r="EE2" s="732"/>
      <c r="EF2" s="734"/>
      <c r="EG2" s="732"/>
      <c r="EH2" s="734"/>
      <c r="EI2" s="732"/>
      <c r="EJ2" s="734"/>
      <c r="EK2" s="732"/>
      <c r="EL2" s="734"/>
      <c r="EM2" s="732"/>
      <c r="EN2" s="734"/>
      <c r="EO2" s="732"/>
      <c r="EP2" s="734"/>
      <c r="EQ2" s="732"/>
      <c r="ER2" s="734"/>
      <c r="ES2" s="732"/>
      <c r="ET2" s="734"/>
      <c r="EU2" s="733"/>
      <c r="EV2" s="710"/>
    </row>
    <row r="3" spans="1:152" ht="12.75" customHeight="1" x14ac:dyDescent="0.2">
      <c r="A3" s="712" t="s">
        <v>465</v>
      </c>
      <c r="B3" s="736"/>
      <c r="C3" s="737" t="str">
        <f>INPUT!AT$4</f>
        <v>1Q06/</v>
      </c>
      <c r="D3" s="736"/>
      <c r="E3" s="737" t="str">
        <f>INPUT!AV$4</f>
        <v>2Q06/</v>
      </c>
      <c r="F3" s="736"/>
      <c r="G3" s="737" t="str">
        <f>INPUT!AX$4</f>
        <v>3Q06/</v>
      </c>
      <c r="H3" s="736"/>
      <c r="I3" s="738" t="str">
        <f>INPUT!AZ$4</f>
        <v>4Q06/</v>
      </c>
      <c r="J3" s="736"/>
      <c r="K3" s="738" t="str">
        <f>INPUT!BB$4</f>
        <v>1Q07/</v>
      </c>
      <c r="L3" s="736"/>
      <c r="M3" s="738" t="str">
        <f>INPUT!BD$4</f>
        <v>2Q07/</v>
      </c>
      <c r="N3" s="736"/>
      <c r="O3" s="738" t="str">
        <f>INPUT!BF$4</f>
        <v>3Q07/</v>
      </c>
      <c r="P3" s="736"/>
      <c r="Q3" s="738" t="str">
        <f>INPUT!BH$4</f>
        <v>4Q07/</v>
      </c>
      <c r="R3" s="736"/>
      <c r="S3" s="738" t="str">
        <f>INPUT!BJ$4</f>
        <v>1Q08/</v>
      </c>
      <c r="T3" s="736"/>
      <c r="U3" s="738" t="str">
        <f>INPUT!BL$4</f>
        <v>2Q08/</v>
      </c>
      <c r="V3" s="736"/>
      <c r="W3" s="738" t="str">
        <f>INPUT!BN$4</f>
        <v>3Q08/</v>
      </c>
      <c r="X3" s="736"/>
      <c r="Y3" s="738" t="str">
        <f>INPUT!BP$4</f>
        <v>4Q08/</v>
      </c>
      <c r="Z3" s="736"/>
      <c r="AA3" s="738" t="str">
        <f>INPUT!BR$4</f>
        <v>1Q09/</v>
      </c>
      <c r="AB3" s="736"/>
      <c r="AC3" s="738" t="str">
        <f>INPUT!BT$4</f>
        <v>2Q09/</v>
      </c>
      <c r="AD3" s="736"/>
      <c r="AE3" s="738" t="str">
        <f>INPUT!BV$4</f>
        <v>3Q09/</v>
      </c>
      <c r="AF3" s="736"/>
      <c r="AG3" s="738" t="str">
        <f>INPUT!BX$4</f>
        <v>4Q09/</v>
      </c>
      <c r="AH3" s="736"/>
      <c r="AI3" s="738" t="str">
        <f>INPUT!BZ$4</f>
        <v>1Q10/</v>
      </c>
      <c r="AJ3" s="736"/>
      <c r="AK3" s="738" t="str">
        <f>INPUT!CB$4</f>
        <v>2Q10/</v>
      </c>
      <c r="AL3" s="736"/>
      <c r="AM3" s="738" t="str">
        <f>INPUT!CD$4</f>
        <v>3Q10/</v>
      </c>
      <c r="AN3" s="736"/>
      <c r="AO3" s="738">
        <f>INPUT!CF$4</f>
        <v>0</v>
      </c>
      <c r="AP3" s="736"/>
      <c r="AQ3" s="738" t="str">
        <f>INPUT!CH$4</f>
        <v>1Q11/</v>
      </c>
      <c r="AR3" s="736"/>
      <c r="AS3" s="738" t="str">
        <f>INPUT!CJ$4</f>
        <v>2Q11/</v>
      </c>
      <c r="AT3" s="736"/>
      <c r="AU3" s="738" t="str">
        <f>INPUT!CL$4</f>
        <v>3Q11/</v>
      </c>
      <c r="AV3" s="736"/>
      <c r="AW3" s="738" t="str">
        <f>INPUT!CN$4</f>
        <v>4Q11/</v>
      </c>
      <c r="AX3" s="736"/>
      <c r="AY3" s="738" t="str">
        <f>INPUT!CP$4</f>
        <v>1Q12/</v>
      </c>
      <c r="AZ3" s="736"/>
      <c r="BA3" s="738" t="str">
        <f>INPUT!CR$4</f>
        <v>2Q12/</v>
      </c>
      <c r="BB3" s="736"/>
      <c r="BC3" s="738" t="str">
        <f>INPUT!CT$4</f>
        <v>3Q12/</v>
      </c>
      <c r="BD3" s="736"/>
      <c r="BE3" s="738" t="str">
        <f>INPUT!CV$4</f>
        <v>4Q12/</v>
      </c>
      <c r="BF3" s="736"/>
      <c r="BG3" s="738" t="str">
        <f>INPUT!CX$4</f>
        <v>1Q13/</v>
      </c>
      <c r="BH3" s="736"/>
      <c r="BI3" s="738" t="str">
        <f>INPUT!CZ$4</f>
        <v>2Q13/</v>
      </c>
      <c r="BJ3" s="736"/>
      <c r="BK3" s="738" t="str">
        <f>INPUT!DB$4</f>
        <v>3Q13/</v>
      </c>
      <c r="BL3" s="736"/>
      <c r="BM3" s="738" t="str">
        <f>INPUT!DD$4</f>
        <v>4Q13/</v>
      </c>
      <c r="BN3" s="736"/>
      <c r="BO3" s="738" t="str">
        <f>INPUT!DF$4</f>
        <v>1Q14/</v>
      </c>
      <c r="BP3" s="736"/>
      <c r="BQ3" s="738" t="str">
        <f>INPUT!DH$4</f>
        <v>2Q14/</v>
      </c>
      <c r="BR3" s="736"/>
      <c r="BS3" s="738" t="str">
        <f>INPUT!DJ$4</f>
        <v>3Q14/</v>
      </c>
      <c r="BT3" s="736"/>
      <c r="BU3" s="738" t="str">
        <f>INPUT!DL$4</f>
        <v>4Q14/</v>
      </c>
      <c r="BV3" s="736"/>
      <c r="BW3" s="738" t="str">
        <f>INPUT!DN$4</f>
        <v>1Q15/</v>
      </c>
      <c r="BX3" s="736"/>
      <c r="BY3" s="738" t="str">
        <f>INPUT!DP$4</f>
        <v>2Q15/</v>
      </c>
      <c r="BZ3" s="736"/>
      <c r="CA3" s="738" t="str">
        <f>INPUT!DR$4</f>
        <v>3Q15/</v>
      </c>
      <c r="CB3" s="736"/>
      <c r="CC3" s="738" t="str">
        <f>INPUT!DT$4</f>
        <v>4Q15/</v>
      </c>
      <c r="CD3" s="736"/>
      <c r="CE3" s="738" t="str">
        <f>INPUT!DV$4</f>
        <v>1Q16/</v>
      </c>
      <c r="CF3" s="736"/>
      <c r="CG3" s="738" t="str">
        <f>INPUT!DX$4</f>
        <v>2Q16/</v>
      </c>
      <c r="CH3" s="736"/>
      <c r="CI3" s="738" t="str">
        <f>INPUT!DZ$4</f>
        <v>3Q16/</v>
      </c>
      <c r="CJ3" s="736"/>
      <c r="CK3" s="738" t="str">
        <f>INPUT!EB$4</f>
        <v>4Q16/</v>
      </c>
      <c r="CL3" s="736"/>
      <c r="CM3" s="738" t="str">
        <f>INPUT!ED$4</f>
        <v>1Q17/</v>
      </c>
      <c r="CN3" s="736"/>
      <c r="CO3" s="738" t="str">
        <f>INPUT!EF$4</f>
        <v>2Q17/</v>
      </c>
      <c r="CP3" s="736"/>
      <c r="CQ3" s="738" t="str">
        <f>INPUT!EH$4</f>
        <v>3Q17/</v>
      </c>
      <c r="CR3" s="736"/>
      <c r="CS3" s="738" t="str">
        <f>INPUT!EJ$4</f>
        <v>4Q17/</v>
      </c>
      <c r="CT3" s="736"/>
      <c r="CU3" s="738" t="str">
        <f>INPUT!EL$4</f>
        <v>1Q18E/</v>
      </c>
      <c r="CV3" s="736"/>
      <c r="CW3" s="738" t="str">
        <f>INPUT!EN$4</f>
        <v>2Q18E/</v>
      </c>
      <c r="CX3" s="736"/>
      <c r="CY3" s="738" t="str">
        <f>INPUT!EP$4</f>
        <v>3Q18E/</v>
      </c>
      <c r="CZ3" s="736"/>
      <c r="DA3" s="738" t="str">
        <f>INPUT!ER$4</f>
        <v>4Q18E/</v>
      </c>
      <c r="DB3" s="739"/>
      <c r="DC3" s="736"/>
      <c r="DD3" s="737" t="str">
        <f>INPUT!FC$4</f>
        <v>2001/</v>
      </c>
      <c r="DE3" s="736"/>
      <c r="DF3" s="737" t="str">
        <f>INPUT!FE$4</f>
        <v>2002/</v>
      </c>
      <c r="DG3" s="736"/>
      <c r="DH3" s="737" t="str">
        <f>INPUT!FG$4</f>
        <v>2003/</v>
      </c>
      <c r="DI3" s="736"/>
      <c r="DJ3" s="737" t="str">
        <f>INPUT!FI$4</f>
        <v>2004/</v>
      </c>
      <c r="DK3" s="736"/>
      <c r="DL3" s="738" t="str">
        <f>INPUT!FK$4</f>
        <v>2005/</v>
      </c>
      <c r="DM3" s="736"/>
      <c r="DN3" s="738" t="str">
        <f>INPUT!FM$4</f>
        <v>2006/</v>
      </c>
      <c r="DO3" s="736"/>
      <c r="DP3" s="738" t="str">
        <f>INPUT!FO$4</f>
        <v>2007/</v>
      </c>
      <c r="DQ3" s="736"/>
      <c r="DR3" s="738" t="str">
        <f>INPUT!FQ$4</f>
        <v>2008/</v>
      </c>
      <c r="DS3" s="736"/>
      <c r="DT3" s="738" t="str">
        <f>INPUT!FS$4</f>
        <v>2009/</v>
      </c>
      <c r="DU3" s="736"/>
      <c r="DV3" s="738" t="str">
        <f>INPUT!FU$4</f>
        <v>2010/</v>
      </c>
      <c r="DW3" s="736"/>
      <c r="DX3" s="738" t="str">
        <f>INPUT!FW$4</f>
        <v>2011/</v>
      </c>
      <c r="DY3" s="736"/>
      <c r="DZ3" s="738" t="str">
        <f>INPUT!FY$4</f>
        <v>2012/</v>
      </c>
      <c r="EA3" s="736"/>
      <c r="EB3" s="738" t="str">
        <f>INPUT!GA$4</f>
        <v>2013/</v>
      </c>
      <c r="EC3" s="736"/>
      <c r="ED3" s="738" t="str">
        <f>INPUT!GC$4</f>
        <v>2014/</v>
      </c>
      <c r="EE3" s="736"/>
      <c r="EF3" s="738" t="str">
        <f>INPUT!GE$4</f>
        <v>2015/</v>
      </c>
      <c r="EG3" s="736"/>
      <c r="EH3" s="738" t="str">
        <f>INPUT!GG$4</f>
        <v>2016/</v>
      </c>
      <c r="EI3" s="736"/>
      <c r="EJ3" s="738" t="str">
        <f>INPUT!GI$4</f>
        <v>2017/</v>
      </c>
      <c r="EK3" s="736"/>
      <c r="EL3" s="738" t="str">
        <f>INPUT!GK$4</f>
        <v>2018E/</v>
      </c>
      <c r="EM3" s="736"/>
      <c r="EN3" s="738" t="str">
        <f>INPUT!GM$4</f>
        <v>2019E/</v>
      </c>
      <c r="EO3" s="736"/>
      <c r="EP3" s="738" t="str">
        <f>INPUT!GO$4</f>
        <v>2020E/</v>
      </c>
      <c r="EQ3" s="736"/>
      <c r="ER3" s="738" t="str">
        <f>INPUT!GQ$4</f>
        <v>2021E/</v>
      </c>
      <c r="ES3" s="736"/>
      <c r="ET3" s="738" t="str">
        <f>INPUT!GS$4</f>
        <v>2022E/</v>
      </c>
      <c r="EU3" s="737" t="str">
        <f>INPUT!GT$5</f>
        <v>5-Yr</v>
      </c>
      <c r="EV3" s="710"/>
    </row>
    <row r="4" spans="1:152" ht="12.75" customHeight="1" x14ac:dyDescent="0.2">
      <c r="A4" s="740"/>
      <c r="B4" s="732"/>
      <c r="C4" s="741" t="str">
        <f>INPUT!AT$5</f>
        <v>1Q05</v>
      </c>
      <c r="D4" s="732"/>
      <c r="E4" s="741" t="str">
        <f>INPUT!AV$5</f>
        <v>2Q05</v>
      </c>
      <c r="F4" s="732"/>
      <c r="G4" s="741" t="str">
        <f>INPUT!AX$5</f>
        <v>3Q05</v>
      </c>
      <c r="H4" s="732"/>
      <c r="I4" s="734" t="str">
        <f>INPUT!AZ$5</f>
        <v>4Q05</v>
      </c>
      <c r="J4" s="732"/>
      <c r="K4" s="734" t="str">
        <f>INPUT!BB$5</f>
        <v>1Q06</v>
      </c>
      <c r="L4" s="732"/>
      <c r="M4" s="734" t="str">
        <f>INPUT!BD$5</f>
        <v>2Q06</v>
      </c>
      <c r="N4" s="732"/>
      <c r="O4" s="734" t="str">
        <f>INPUT!BF$5</f>
        <v>3Q06</v>
      </c>
      <c r="P4" s="732"/>
      <c r="Q4" s="734" t="str">
        <f>INPUT!BH$5</f>
        <v>4Q06</v>
      </c>
      <c r="R4" s="732"/>
      <c r="S4" s="734" t="str">
        <f>INPUT!BJ$5</f>
        <v>1Q07</v>
      </c>
      <c r="T4" s="732"/>
      <c r="U4" s="734" t="str">
        <f>INPUT!BL$5</f>
        <v>2Q07</v>
      </c>
      <c r="V4" s="732"/>
      <c r="W4" s="734" t="str">
        <f>INPUT!BN$5</f>
        <v>3Q07</v>
      </c>
      <c r="X4" s="732"/>
      <c r="Y4" s="734" t="str">
        <f>INPUT!BP$5</f>
        <v>4Q07</v>
      </c>
      <c r="Z4" s="732"/>
      <c r="AA4" s="734" t="str">
        <f>INPUT!BR$5</f>
        <v>1Q08</v>
      </c>
      <c r="AB4" s="732"/>
      <c r="AC4" s="734" t="str">
        <f>INPUT!BT$5</f>
        <v>2Q08</v>
      </c>
      <c r="AD4" s="732"/>
      <c r="AE4" s="734" t="str">
        <f>INPUT!BV$5</f>
        <v>3Q08</v>
      </c>
      <c r="AF4" s="732"/>
      <c r="AG4" s="734" t="str">
        <f>INPUT!BX$5</f>
        <v>4Q08</v>
      </c>
      <c r="AH4" s="732"/>
      <c r="AI4" s="734" t="str">
        <f>INPUT!BZ$5</f>
        <v>1Q09</v>
      </c>
      <c r="AJ4" s="732"/>
      <c r="AK4" s="734" t="str">
        <f>INPUT!CB$5</f>
        <v>2Q09</v>
      </c>
      <c r="AL4" s="732"/>
      <c r="AM4" s="734" t="str">
        <f>INPUT!CD$5</f>
        <v>3Q09</v>
      </c>
      <c r="AN4" s="732"/>
      <c r="AO4" s="734" t="str">
        <f>INPUT!CF$5</f>
        <v>4Q09</v>
      </c>
      <c r="AP4" s="732"/>
      <c r="AQ4" s="734" t="str">
        <f>INPUT!CH$5</f>
        <v>1Q10</v>
      </c>
      <c r="AR4" s="732"/>
      <c r="AS4" s="734" t="str">
        <f>INPUT!CJ$5</f>
        <v>2Q10</v>
      </c>
      <c r="AT4" s="732"/>
      <c r="AU4" s="734" t="str">
        <f>INPUT!CL$5</f>
        <v>3Q10</v>
      </c>
      <c r="AV4" s="732"/>
      <c r="AW4" s="734" t="str">
        <f>INPUT!CN$5</f>
        <v>4Q10</v>
      </c>
      <c r="AX4" s="732"/>
      <c r="AY4" s="734" t="str">
        <f>INPUT!CP$5</f>
        <v>1Q11</v>
      </c>
      <c r="AZ4" s="732"/>
      <c r="BA4" s="734" t="str">
        <f>INPUT!CR$5</f>
        <v>2Q11</v>
      </c>
      <c r="BB4" s="732"/>
      <c r="BC4" s="734" t="str">
        <f>INPUT!CT$5</f>
        <v>3Q11</v>
      </c>
      <c r="BD4" s="732"/>
      <c r="BE4" s="734" t="str">
        <f>INPUT!CV$5</f>
        <v>4Q11</v>
      </c>
      <c r="BF4" s="732"/>
      <c r="BG4" s="734" t="str">
        <f>INPUT!CX$5</f>
        <v>1Q12</v>
      </c>
      <c r="BH4" s="732"/>
      <c r="BI4" s="734" t="str">
        <f>INPUT!CZ$5</f>
        <v>2Q12</v>
      </c>
      <c r="BJ4" s="732"/>
      <c r="BK4" s="734" t="str">
        <f>INPUT!DB$5</f>
        <v>3Q12</v>
      </c>
      <c r="BL4" s="732"/>
      <c r="BM4" s="734" t="str">
        <f>INPUT!DD$5</f>
        <v>4Q12</v>
      </c>
      <c r="BN4" s="732"/>
      <c r="BO4" s="734" t="str">
        <f>INPUT!DF$5</f>
        <v>1Q13</v>
      </c>
      <c r="BP4" s="732"/>
      <c r="BQ4" s="734" t="str">
        <f>INPUT!DH$5</f>
        <v>2Q13</v>
      </c>
      <c r="BR4" s="732"/>
      <c r="BS4" s="734" t="str">
        <f>INPUT!DJ$5</f>
        <v>3Q13</v>
      </c>
      <c r="BT4" s="732"/>
      <c r="BU4" s="734" t="str">
        <f>INPUT!DL$5</f>
        <v>4Q13</v>
      </c>
      <c r="BV4" s="732"/>
      <c r="BW4" s="734" t="str">
        <f>INPUT!DN$5</f>
        <v>1Q14</v>
      </c>
      <c r="BX4" s="732"/>
      <c r="BY4" s="734" t="str">
        <f>INPUT!DP$5</f>
        <v>2Q14</v>
      </c>
      <c r="BZ4" s="732"/>
      <c r="CA4" s="734" t="str">
        <f>INPUT!DR$5</f>
        <v>3Q14</v>
      </c>
      <c r="CB4" s="732"/>
      <c r="CC4" s="734" t="str">
        <f>INPUT!DT$5</f>
        <v>4Q14</v>
      </c>
      <c r="CD4" s="732"/>
      <c r="CE4" s="734" t="str">
        <f>INPUT!DV$5</f>
        <v>1Q15</v>
      </c>
      <c r="CF4" s="732"/>
      <c r="CG4" s="734" t="str">
        <f>INPUT!DX$5</f>
        <v>2Q15</v>
      </c>
      <c r="CH4" s="732"/>
      <c r="CI4" s="734" t="str">
        <f>INPUT!DZ$5</f>
        <v>3Q15</v>
      </c>
      <c r="CJ4" s="732"/>
      <c r="CK4" s="734" t="str">
        <f>INPUT!EB$5</f>
        <v>4Q15</v>
      </c>
      <c r="CL4" s="732"/>
      <c r="CM4" s="734" t="str">
        <f>INPUT!ED$5</f>
        <v>1Q16</v>
      </c>
      <c r="CN4" s="732"/>
      <c r="CO4" s="734" t="str">
        <f>INPUT!EF$5</f>
        <v>2Q16</v>
      </c>
      <c r="CP4" s="732"/>
      <c r="CQ4" s="734" t="str">
        <f>INPUT!EH$5</f>
        <v>3Q16</v>
      </c>
      <c r="CR4" s="732"/>
      <c r="CS4" s="734" t="str">
        <f>INPUT!EJ$5</f>
        <v>4Q16</v>
      </c>
      <c r="CT4" s="732"/>
      <c r="CU4" s="734" t="str">
        <f>INPUT!EL$5</f>
        <v>1Q17</v>
      </c>
      <c r="CV4" s="732"/>
      <c r="CW4" s="734" t="str">
        <f>INPUT!EN$5</f>
        <v>2Q17</v>
      </c>
      <c r="CX4" s="732"/>
      <c r="CY4" s="734" t="str">
        <f>INPUT!EP$5</f>
        <v>3Q17</v>
      </c>
      <c r="CZ4" s="732"/>
      <c r="DA4" s="734" t="str">
        <f>INPUT!ER$5</f>
        <v>4Q17</v>
      </c>
      <c r="DB4" s="742"/>
      <c r="DC4" s="732"/>
      <c r="DD4" s="741" t="str">
        <f>INPUT!FC$5</f>
        <v>2000</v>
      </c>
      <c r="DE4" s="732"/>
      <c r="DF4" s="741" t="str">
        <f>INPUT!FE$5</f>
        <v>2001</v>
      </c>
      <c r="DG4" s="732"/>
      <c r="DH4" s="741" t="str">
        <f>INPUT!FG$5</f>
        <v>2002</v>
      </c>
      <c r="DI4" s="732"/>
      <c r="DJ4" s="741" t="str">
        <f>INPUT!FI$5</f>
        <v>2003</v>
      </c>
      <c r="DK4" s="732"/>
      <c r="DL4" s="734" t="str">
        <f>INPUT!FK$5</f>
        <v>2004</v>
      </c>
      <c r="DM4" s="732"/>
      <c r="DN4" s="734" t="str">
        <f>INPUT!FM$5</f>
        <v>2005</v>
      </c>
      <c r="DO4" s="732"/>
      <c r="DP4" s="734">
        <f>INPUT!FO$5</f>
        <v>2006</v>
      </c>
      <c r="DQ4" s="732"/>
      <c r="DR4" s="734">
        <f>INPUT!FQ$5</f>
        <v>2007</v>
      </c>
      <c r="DS4" s="732"/>
      <c r="DT4" s="734">
        <f>INPUT!FS$5</f>
        <v>2008</v>
      </c>
      <c r="DU4" s="732"/>
      <c r="DV4" s="734" t="str">
        <f>INPUT!FU$5</f>
        <v>2009</v>
      </c>
      <c r="DW4" s="732"/>
      <c r="DX4" s="734" t="str">
        <f>INPUT!FW$5</f>
        <v>2010</v>
      </c>
      <c r="DY4" s="732"/>
      <c r="DZ4" s="734" t="str">
        <f>INPUT!FY$5</f>
        <v>2011</v>
      </c>
      <c r="EA4" s="732"/>
      <c r="EB4" s="734" t="str">
        <f>INPUT!GA$5</f>
        <v>2012</v>
      </c>
      <c r="EC4" s="732"/>
      <c r="ED4" s="734" t="str">
        <f>INPUT!GC$5</f>
        <v>2013</v>
      </c>
      <c r="EE4" s="732"/>
      <c r="EF4" s="734" t="str">
        <f>INPUT!GE$5</f>
        <v>2014</v>
      </c>
      <c r="EG4" s="732"/>
      <c r="EH4" s="734" t="str">
        <f>INPUT!GG$5</f>
        <v>2015</v>
      </c>
      <c r="EI4" s="732"/>
      <c r="EJ4" s="734" t="str">
        <f>INPUT!GI$5</f>
        <v>2016</v>
      </c>
      <c r="EK4" s="732"/>
      <c r="EL4" s="734" t="str">
        <f>INPUT!GK$5</f>
        <v>2017</v>
      </c>
      <c r="EM4" s="732"/>
      <c r="EN4" s="734" t="str">
        <f>INPUT!GM$5</f>
        <v>2018E</v>
      </c>
      <c r="EO4" s="732"/>
      <c r="EP4" s="734" t="str">
        <f>INPUT!GO$5</f>
        <v>2019E</v>
      </c>
      <c r="EQ4" s="732"/>
      <c r="ER4" s="734" t="str">
        <f>INPUT!GQ$5</f>
        <v>2020E</v>
      </c>
      <c r="ES4" s="732"/>
      <c r="ET4" s="734" t="str">
        <f>INPUT!GS$5</f>
        <v>2021E</v>
      </c>
      <c r="EU4" s="741" t="s">
        <v>113</v>
      </c>
      <c r="EV4" s="710"/>
    </row>
    <row r="5" spans="1:152" ht="12.75" customHeight="1" x14ac:dyDescent="0.2">
      <c r="A5" s="743"/>
      <c r="B5" s="744" t="str">
        <f>INPUT!AS$6</f>
        <v>1Q06</v>
      </c>
      <c r="C5" s="745" t="str">
        <f>INPUT!AT$6</f>
        <v>% Chg</v>
      </c>
      <c r="D5" s="744" t="str">
        <f>INPUT!AU$6</f>
        <v>2Q06</v>
      </c>
      <c r="E5" s="745" t="str">
        <f>INPUT!AV$6</f>
        <v>% Chg</v>
      </c>
      <c r="F5" s="744" t="str">
        <f>INPUT!AW$6</f>
        <v>3Q06</v>
      </c>
      <c r="G5" s="745" t="str">
        <f>INPUT!AX$6</f>
        <v>% Chg</v>
      </c>
      <c r="H5" s="744" t="str">
        <f>INPUT!AY$6</f>
        <v>4Q06</v>
      </c>
      <c r="I5" s="746" t="str">
        <f>INPUT!AZ$6</f>
        <v>% Chg</v>
      </c>
      <c r="J5" s="744" t="str">
        <f>INPUT!BA$6</f>
        <v>1Q07</v>
      </c>
      <c r="K5" s="746" t="str">
        <f>INPUT!BB$6</f>
        <v>% Chg</v>
      </c>
      <c r="L5" s="744" t="str">
        <f>INPUT!BC$6</f>
        <v>2Q07</v>
      </c>
      <c r="M5" s="746" t="str">
        <f>INPUT!BD$6</f>
        <v>% Chg</v>
      </c>
      <c r="N5" s="744" t="str">
        <f>INPUT!BE$6</f>
        <v>3Q07</v>
      </c>
      <c r="O5" s="746" t="str">
        <f>INPUT!BF$6</f>
        <v>% Chg</v>
      </c>
      <c r="P5" s="744" t="str">
        <f>INPUT!BG$6</f>
        <v>4Q07</v>
      </c>
      <c r="Q5" s="746" t="str">
        <f>INPUT!BH$6</f>
        <v>% Chg</v>
      </c>
      <c r="R5" s="744" t="str">
        <f>INPUT!BI$6</f>
        <v>1Q08</v>
      </c>
      <c r="S5" s="746" t="str">
        <f>INPUT!BJ$6</f>
        <v>% Chg</v>
      </c>
      <c r="T5" s="744" t="str">
        <f>INPUT!BK$6</f>
        <v>2Q08</v>
      </c>
      <c r="U5" s="746" t="str">
        <f>INPUT!BL$6</f>
        <v>% Chg</v>
      </c>
      <c r="V5" s="744" t="str">
        <f>INPUT!BM$6</f>
        <v>3Q08</v>
      </c>
      <c r="W5" s="746" t="str">
        <f>INPUT!BN$6</f>
        <v>% Chg</v>
      </c>
      <c r="X5" s="744" t="str">
        <f>INPUT!BO$6</f>
        <v>4Q08</v>
      </c>
      <c r="Y5" s="746" t="str">
        <f>INPUT!BP$6</f>
        <v>% Chg</v>
      </c>
      <c r="Z5" s="744" t="str">
        <f>INPUT!BQ$6</f>
        <v>1Q09</v>
      </c>
      <c r="AA5" s="746" t="str">
        <f>INPUT!BR$6</f>
        <v>% Chg</v>
      </c>
      <c r="AB5" s="744" t="str">
        <f>INPUT!BS$6</f>
        <v>2Q09</v>
      </c>
      <c r="AC5" s="746" t="str">
        <f>INPUT!BT$6</f>
        <v>% Chg</v>
      </c>
      <c r="AD5" s="744" t="str">
        <f>INPUT!BU$6</f>
        <v>3Q09</v>
      </c>
      <c r="AE5" s="746" t="str">
        <f>INPUT!BV$6</f>
        <v>% Chg</v>
      </c>
      <c r="AF5" s="744" t="str">
        <f>INPUT!BW$6</f>
        <v>4Q09</v>
      </c>
      <c r="AG5" s="746" t="str">
        <f>INPUT!BX$6</f>
        <v>% Chg</v>
      </c>
      <c r="AH5" s="744" t="str">
        <f>INPUT!BY$6</f>
        <v>1Q10</v>
      </c>
      <c r="AI5" s="746" t="str">
        <f>INPUT!BZ$6</f>
        <v>% Chg</v>
      </c>
      <c r="AJ5" s="744" t="str">
        <f>INPUT!CA$6</f>
        <v>2Q10</v>
      </c>
      <c r="AK5" s="746" t="str">
        <f>INPUT!CB$6</f>
        <v>% Chg</v>
      </c>
      <c r="AL5" s="744" t="str">
        <f>INPUT!CC$6</f>
        <v>3Q10</v>
      </c>
      <c r="AM5" s="746" t="str">
        <f>INPUT!CD$6</f>
        <v>% Chg</v>
      </c>
      <c r="AN5" s="744" t="str">
        <f>INPUT!CE$6</f>
        <v>4Q10</v>
      </c>
      <c r="AO5" s="746" t="str">
        <f>INPUT!CF$6</f>
        <v>% Chg</v>
      </c>
      <c r="AP5" s="744" t="str">
        <f>INPUT!CG$6</f>
        <v>1Q11</v>
      </c>
      <c r="AQ5" s="746" t="str">
        <f>INPUT!CH$6</f>
        <v>% Chg</v>
      </c>
      <c r="AR5" s="744" t="str">
        <f>INPUT!CI$6</f>
        <v>2Q11</v>
      </c>
      <c r="AS5" s="746" t="str">
        <f>INPUT!CJ$6</f>
        <v>% Chg</v>
      </c>
      <c r="AT5" s="744" t="str">
        <f>INPUT!CK$6</f>
        <v>3Q11</v>
      </c>
      <c r="AU5" s="746" t="str">
        <f>INPUT!CL$6</f>
        <v>% Chg</v>
      </c>
      <c r="AV5" s="744" t="str">
        <f>INPUT!CM$6</f>
        <v>4Q11</v>
      </c>
      <c r="AW5" s="746" t="str">
        <f>INPUT!CN$6</f>
        <v>% Chg</v>
      </c>
      <c r="AX5" s="744" t="str">
        <f>INPUT!CO$6</f>
        <v>1Q12</v>
      </c>
      <c r="AY5" s="746" t="str">
        <f>INPUT!CP$6</f>
        <v>% Chg</v>
      </c>
      <c r="AZ5" s="744" t="str">
        <f>INPUT!CQ$6</f>
        <v>2Q12</v>
      </c>
      <c r="BA5" s="746" t="str">
        <f>INPUT!CR$6</f>
        <v>% Chg</v>
      </c>
      <c r="BB5" s="744" t="str">
        <f>INPUT!CS$6</f>
        <v>3Q12</v>
      </c>
      <c r="BC5" s="746" t="str">
        <f>INPUT!CT$6</f>
        <v>% Chg</v>
      </c>
      <c r="BD5" s="744" t="str">
        <f>INPUT!CU$6</f>
        <v>4Q12</v>
      </c>
      <c r="BE5" s="746" t="str">
        <f>INPUT!CV$6</f>
        <v>% Chg</v>
      </c>
      <c r="BF5" s="744" t="str">
        <f>INPUT!CW$6</f>
        <v>1Q13</v>
      </c>
      <c r="BG5" s="746" t="str">
        <f>INPUT!CX$6</f>
        <v>% Chg</v>
      </c>
      <c r="BH5" s="744" t="str">
        <f>INPUT!CY$6</f>
        <v>2Q13</v>
      </c>
      <c r="BI5" s="746" t="str">
        <f>INPUT!CZ$6</f>
        <v>% Chg</v>
      </c>
      <c r="BJ5" s="744" t="str">
        <f>INPUT!DA$6</f>
        <v>3Q13</v>
      </c>
      <c r="BK5" s="746" t="str">
        <f>INPUT!DB$6</f>
        <v>% Chg</v>
      </c>
      <c r="BL5" s="744" t="str">
        <f>INPUT!DC$6</f>
        <v>4Q13</v>
      </c>
      <c r="BM5" s="746" t="str">
        <f>INPUT!DD$6</f>
        <v>% Chg</v>
      </c>
      <c r="BN5" s="744" t="str">
        <f>INPUT!DE$6</f>
        <v>1Q14</v>
      </c>
      <c r="BO5" s="746" t="str">
        <f>INPUT!DF$6</f>
        <v>% Chg</v>
      </c>
      <c r="BP5" s="744" t="str">
        <f>INPUT!DG$6</f>
        <v>2Q14</v>
      </c>
      <c r="BQ5" s="746" t="str">
        <f>INPUT!DH$6</f>
        <v>% Chg</v>
      </c>
      <c r="BR5" s="744" t="str">
        <f>INPUT!DI$6</f>
        <v>3Q14</v>
      </c>
      <c r="BS5" s="746" t="str">
        <f>INPUT!DJ$6</f>
        <v>% Chg</v>
      </c>
      <c r="BT5" s="744" t="str">
        <f>INPUT!DK$6</f>
        <v>4Q14</v>
      </c>
      <c r="BU5" s="746" t="str">
        <f>INPUT!DL$6</f>
        <v>% Chg</v>
      </c>
      <c r="BV5" s="744" t="str">
        <f>INPUT!DM$6</f>
        <v>1Q15</v>
      </c>
      <c r="BW5" s="746" t="str">
        <f>INPUT!DN$6</f>
        <v>% Chg</v>
      </c>
      <c r="BX5" s="744" t="str">
        <f>INPUT!DO$6</f>
        <v>2Q15</v>
      </c>
      <c r="BY5" s="746" t="str">
        <f>INPUT!DP$6</f>
        <v>% Chg</v>
      </c>
      <c r="BZ5" s="744" t="str">
        <f>INPUT!DQ$6</f>
        <v>3Q15</v>
      </c>
      <c r="CA5" s="746" t="str">
        <f>INPUT!DR$6</f>
        <v>% Chg</v>
      </c>
      <c r="CB5" s="744" t="str">
        <f>INPUT!DS$6</f>
        <v>4Q15</v>
      </c>
      <c r="CC5" s="746" t="str">
        <f>INPUT!DT$6</f>
        <v>% Chg</v>
      </c>
      <c r="CD5" s="744" t="str">
        <f>INPUT!DU$6</f>
        <v>1Q16</v>
      </c>
      <c r="CE5" s="746" t="str">
        <f>INPUT!DV$6</f>
        <v>% Chg</v>
      </c>
      <c r="CF5" s="744" t="str">
        <f>INPUT!DW$6</f>
        <v>2Q16</v>
      </c>
      <c r="CG5" s="746" t="str">
        <f>INPUT!DX$6</f>
        <v>% Chg</v>
      </c>
      <c r="CH5" s="744" t="str">
        <f>INPUT!DY$6</f>
        <v>3Q16</v>
      </c>
      <c r="CI5" s="746" t="str">
        <f>INPUT!DZ$6</f>
        <v>% Chg</v>
      </c>
      <c r="CJ5" s="744" t="str">
        <f>INPUT!EA$6</f>
        <v>4Q16</v>
      </c>
      <c r="CK5" s="746" t="str">
        <f>INPUT!EB$6</f>
        <v>% Chg</v>
      </c>
      <c r="CL5" s="744" t="str">
        <f>INPUT!EC$6</f>
        <v>1Q17</v>
      </c>
      <c r="CM5" s="746" t="str">
        <f>INPUT!ED$6</f>
        <v>% Chg</v>
      </c>
      <c r="CN5" s="744" t="str">
        <f>INPUT!EE$6</f>
        <v>2Q17</v>
      </c>
      <c r="CO5" s="746" t="str">
        <f>INPUT!EF$6</f>
        <v>% Chg</v>
      </c>
      <c r="CP5" s="744" t="str">
        <f>INPUT!EG$6</f>
        <v>3Q17</v>
      </c>
      <c r="CQ5" s="746" t="str">
        <f>INPUT!EH$6</f>
        <v>% Chg</v>
      </c>
      <c r="CR5" s="744" t="str">
        <f>INPUT!EI$6</f>
        <v>4Q17</v>
      </c>
      <c r="CS5" s="746" t="str">
        <f>INPUT!EJ$6</f>
        <v>% Chg</v>
      </c>
      <c r="CT5" s="744" t="str">
        <f>INPUT!EK$6</f>
        <v>1Q18E</v>
      </c>
      <c r="CU5" s="746" t="str">
        <f>INPUT!EL$6</f>
        <v>% Chg</v>
      </c>
      <c r="CV5" s="744" t="str">
        <f>INPUT!EM$6</f>
        <v>2Q18E</v>
      </c>
      <c r="CW5" s="746" t="str">
        <f>INPUT!EN$6</f>
        <v>% Chg</v>
      </c>
      <c r="CX5" s="744" t="str">
        <f>INPUT!EO$6</f>
        <v>3Q18E</v>
      </c>
      <c r="CY5" s="746" t="str">
        <f>INPUT!EP$6</f>
        <v>% Chg</v>
      </c>
      <c r="CZ5" s="744" t="str">
        <f>INPUT!EQ$6</f>
        <v>4Q18E</v>
      </c>
      <c r="DA5" s="746" t="str">
        <f>INPUT!ER$6</f>
        <v>% Chg</v>
      </c>
      <c r="DB5" s="747"/>
      <c r="DC5" s="744" t="str">
        <f>INPUT!FB6</f>
        <v>2001</v>
      </c>
      <c r="DD5" s="745" t="str">
        <f>INPUT!FC$6</f>
        <v>% Chg</v>
      </c>
      <c r="DE5" s="744" t="str">
        <f>INPUT!FD6</f>
        <v>2002</v>
      </c>
      <c r="DF5" s="745" t="str">
        <f>INPUT!FE$6</f>
        <v>% Chg</v>
      </c>
      <c r="DG5" s="744" t="str">
        <f>INPUT!FF6</f>
        <v>2003</v>
      </c>
      <c r="DH5" s="745" t="str">
        <f>INPUT!FG$6</f>
        <v>% Chg</v>
      </c>
      <c r="DI5" s="744" t="str">
        <f>INPUT!FH6</f>
        <v>2004</v>
      </c>
      <c r="DJ5" s="745" t="str">
        <f>INPUT!FI$6</f>
        <v>% Chg</v>
      </c>
      <c r="DK5" s="744" t="str">
        <f>INPUT!FJ6</f>
        <v>2005</v>
      </c>
      <c r="DL5" s="746" t="str">
        <f>INPUT!FK$6</f>
        <v>% Chg</v>
      </c>
      <c r="DM5" s="748">
        <f>INPUT!FL6</f>
        <v>2006</v>
      </c>
      <c r="DN5" s="746" t="str">
        <f>INPUT!FM$6</f>
        <v>% Chg</v>
      </c>
      <c r="DO5" s="748">
        <f>INPUT!FN6</f>
        <v>2007</v>
      </c>
      <c r="DP5" s="746" t="str">
        <f>INPUT!FO$6</f>
        <v>% Chg</v>
      </c>
      <c r="DQ5" s="748">
        <f>INPUT!FP6</f>
        <v>2008</v>
      </c>
      <c r="DR5" s="746" t="str">
        <f>INPUT!FQ$6</f>
        <v>% Chg</v>
      </c>
      <c r="DS5" s="744" t="str">
        <f>INPUT!FR6</f>
        <v>2009</v>
      </c>
      <c r="DT5" s="746" t="str">
        <f>INPUT!FS$6</f>
        <v>% Chg</v>
      </c>
      <c r="DU5" s="744" t="str">
        <f>INPUT!FT6</f>
        <v>2010</v>
      </c>
      <c r="DV5" s="746" t="str">
        <f>INPUT!FU$6</f>
        <v>% Chg</v>
      </c>
      <c r="DW5" s="744" t="str">
        <f>INPUT!FV6</f>
        <v>2011</v>
      </c>
      <c r="DX5" s="746" t="str">
        <f>INPUT!FW$6</f>
        <v>% Chg</v>
      </c>
      <c r="DY5" s="744" t="str">
        <f>INPUT!FX6</f>
        <v>2012</v>
      </c>
      <c r="DZ5" s="746" t="str">
        <f>INPUT!FY$6</f>
        <v>% Chg</v>
      </c>
      <c r="EA5" s="744" t="str">
        <f>INPUT!FZ6</f>
        <v>2013</v>
      </c>
      <c r="EB5" s="746" t="str">
        <f>INPUT!GA$6</f>
        <v>% Chg</v>
      </c>
      <c r="EC5" s="744" t="str">
        <f>INPUT!GB6</f>
        <v>2014</v>
      </c>
      <c r="ED5" s="746" t="str">
        <f>INPUT!GC$6</f>
        <v>% Chg</v>
      </c>
      <c r="EE5" s="744" t="str">
        <f>INPUT!GD6</f>
        <v>2015</v>
      </c>
      <c r="EF5" s="746" t="str">
        <f>INPUT!GE$6</f>
        <v>% Chg</v>
      </c>
      <c r="EG5" s="744" t="str">
        <f>INPUT!GF6</f>
        <v>2016</v>
      </c>
      <c r="EH5" s="746" t="str">
        <f>INPUT!GG$6</f>
        <v>% Chg</v>
      </c>
      <c r="EI5" s="744" t="str">
        <f>INPUT!GH6</f>
        <v>2017</v>
      </c>
      <c r="EJ5" s="746" t="str">
        <f>INPUT!GI$6</f>
        <v>% Chg</v>
      </c>
      <c r="EK5" s="744" t="str">
        <f>INPUT!GJ6</f>
        <v>2018E</v>
      </c>
      <c r="EL5" s="746" t="str">
        <f>INPUT!GK$6</f>
        <v>% Chg</v>
      </c>
      <c r="EM5" s="744" t="str">
        <f>INPUT!GL6</f>
        <v>2019E</v>
      </c>
      <c r="EN5" s="746" t="str">
        <f>INPUT!GM$6</f>
        <v>% Chg</v>
      </c>
      <c r="EO5" s="744" t="str">
        <f>INPUT!GN6</f>
        <v>2020E</v>
      </c>
      <c r="EP5" s="746" t="str">
        <f>INPUT!GO$6</f>
        <v>% Chg</v>
      </c>
      <c r="EQ5" s="744" t="str">
        <f>INPUT!GP6</f>
        <v>2021E</v>
      </c>
      <c r="ER5" s="746" t="str">
        <f>INPUT!GQ$6</f>
        <v>% Chg</v>
      </c>
      <c r="ES5" s="744" t="str">
        <f>INPUT!GR6</f>
        <v>2022E</v>
      </c>
      <c r="ET5" s="746" t="str">
        <f>INPUT!GS$6</f>
        <v>% Chg</v>
      </c>
      <c r="EU5" s="745" t="s">
        <v>351</v>
      </c>
      <c r="EV5" s="710"/>
    </row>
    <row r="6" spans="1:152" ht="12.75" customHeight="1" x14ac:dyDescent="0.2">
      <c r="A6" s="749"/>
      <c r="B6" s="750"/>
      <c r="C6" s="751"/>
      <c r="D6" s="750"/>
      <c r="E6" s="751"/>
      <c r="F6" s="750"/>
      <c r="G6" s="751"/>
      <c r="H6" s="750"/>
      <c r="I6" s="752"/>
      <c r="J6" s="750"/>
      <c r="K6" s="752"/>
      <c r="L6" s="750"/>
      <c r="M6" s="752"/>
      <c r="N6" s="750"/>
      <c r="O6" s="752"/>
      <c r="P6" s="750"/>
      <c r="Q6" s="752"/>
      <c r="R6" s="750"/>
      <c r="S6" s="752"/>
      <c r="T6" s="750"/>
      <c r="U6" s="752"/>
      <c r="V6" s="750"/>
      <c r="W6" s="752"/>
      <c r="X6" s="750"/>
      <c r="Y6" s="752"/>
      <c r="Z6" s="750"/>
      <c r="AA6" s="752"/>
      <c r="AB6" s="750"/>
      <c r="AC6" s="752"/>
      <c r="AD6" s="750"/>
      <c r="AE6" s="752"/>
      <c r="AF6" s="750"/>
      <c r="AG6" s="752"/>
      <c r="AH6" s="750"/>
      <c r="AI6" s="752"/>
      <c r="AJ6" s="750"/>
      <c r="AK6" s="752"/>
      <c r="AL6" s="750"/>
      <c r="AM6" s="752"/>
      <c r="AN6" s="750"/>
      <c r="AO6" s="752"/>
      <c r="AP6" s="750"/>
      <c r="AQ6" s="752"/>
      <c r="AR6" s="750"/>
      <c r="AS6" s="752"/>
      <c r="AT6" s="750"/>
      <c r="AU6" s="752"/>
      <c r="AV6" s="750"/>
      <c r="AW6" s="752"/>
      <c r="AX6" s="750"/>
      <c r="AY6" s="752"/>
      <c r="AZ6" s="750"/>
      <c r="BA6" s="752"/>
      <c r="BB6" s="750"/>
      <c r="BC6" s="752"/>
      <c r="BD6" s="750"/>
      <c r="BE6" s="752"/>
      <c r="BF6" s="750"/>
      <c r="BG6" s="752"/>
      <c r="BH6" s="750"/>
      <c r="BI6" s="752"/>
      <c r="BJ6" s="750"/>
      <c r="BK6" s="752"/>
      <c r="BL6" s="750"/>
      <c r="BM6" s="752"/>
      <c r="BN6" s="750"/>
      <c r="BO6" s="752"/>
      <c r="BP6" s="750"/>
      <c r="BQ6" s="752"/>
      <c r="BR6" s="750"/>
      <c r="BS6" s="752"/>
      <c r="BT6" s="750"/>
      <c r="BU6" s="752"/>
      <c r="BV6" s="750"/>
      <c r="BW6" s="752"/>
      <c r="BX6" s="750"/>
      <c r="BY6" s="752"/>
      <c r="BZ6" s="750"/>
      <c r="CA6" s="752"/>
      <c r="CB6" s="750"/>
      <c r="CC6" s="752"/>
      <c r="CD6" s="750"/>
      <c r="CE6" s="752"/>
      <c r="CF6" s="750"/>
      <c r="CG6" s="752"/>
      <c r="CH6" s="750"/>
      <c r="CI6" s="752"/>
      <c r="CJ6" s="750"/>
      <c r="CK6" s="752"/>
      <c r="CL6" s="750"/>
      <c r="CM6" s="752"/>
      <c r="CN6" s="750"/>
      <c r="CO6" s="752"/>
      <c r="CP6" s="750"/>
      <c r="CQ6" s="752"/>
      <c r="CR6" s="750"/>
      <c r="CS6" s="752"/>
      <c r="CT6" s="750"/>
      <c r="CU6" s="752"/>
      <c r="CV6" s="750"/>
      <c r="CW6" s="752"/>
      <c r="CX6" s="750"/>
      <c r="CY6" s="752"/>
      <c r="CZ6" s="750"/>
      <c r="DA6" s="752"/>
      <c r="DB6" s="753"/>
      <c r="DC6" s="750"/>
      <c r="DD6" s="751"/>
      <c r="DE6" s="750"/>
      <c r="DF6" s="751"/>
      <c r="DG6" s="750"/>
      <c r="DH6" s="751"/>
      <c r="DI6" s="750"/>
      <c r="DJ6" s="751"/>
      <c r="DK6" s="750"/>
      <c r="DL6" s="752"/>
      <c r="DM6" s="750"/>
      <c r="DN6" s="752"/>
      <c r="DO6" s="750"/>
      <c r="DP6" s="752"/>
      <c r="DQ6" s="750"/>
      <c r="DR6" s="752"/>
      <c r="DS6" s="750"/>
      <c r="DT6" s="752"/>
      <c r="DU6" s="750"/>
      <c r="DV6" s="752"/>
      <c r="DW6" s="750"/>
      <c r="DX6" s="752"/>
      <c r="DY6" s="750"/>
      <c r="DZ6" s="752"/>
      <c r="EA6" s="750"/>
      <c r="EB6" s="752"/>
      <c r="EC6" s="750"/>
      <c r="ED6" s="752"/>
      <c r="EE6" s="750"/>
      <c r="EF6" s="752"/>
      <c r="EG6" s="750"/>
      <c r="EH6" s="752"/>
      <c r="EI6" s="750"/>
      <c r="EJ6" s="752"/>
      <c r="EK6" s="750"/>
      <c r="EL6" s="752"/>
      <c r="EM6" s="750"/>
      <c r="EN6" s="752"/>
      <c r="EO6" s="750"/>
      <c r="EP6" s="752"/>
      <c r="EQ6" s="750"/>
      <c r="ER6" s="752"/>
      <c r="ES6" s="750"/>
      <c r="ET6" s="752"/>
      <c r="EU6" s="751"/>
      <c r="EV6" s="710"/>
    </row>
    <row r="7" spans="1:152" ht="12.75" customHeight="1" x14ac:dyDescent="0.2">
      <c r="A7" s="749" t="s">
        <v>445</v>
      </c>
      <c r="B7" s="750"/>
      <c r="C7" s="751"/>
      <c r="D7" s="750"/>
      <c r="E7" s="751"/>
      <c r="F7" s="750"/>
      <c r="G7" s="751"/>
      <c r="H7" s="750"/>
      <c r="I7" s="752"/>
      <c r="J7" s="750"/>
      <c r="K7" s="752"/>
      <c r="L7" s="750"/>
      <c r="M7" s="752"/>
      <c r="N7" s="750"/>
      <c r="O7" s="752"/>
      <c r="P7" s="750"/>
      <c r="Q7" s="752"/>
      <c r="R7" s="750"/>
      <c r="S7" s="752"/>
      <c r="T7" s="750"/>
      <c r="U7" s="752"/>
      <c r="V7" s="750"/>
      <c r="W7" s="752"/>
      <c r="X7" s="750"/>
      <c r="Y7" s="752"/>
      <c r="Z7" s="750"/>
      <c r="AA7" s="752"/>
      <c r="AB7" s="750"/>
      <c r="AC7" s="752"/>
      <c r="AD7" s="750"/>
      <c r="AE7" s="752"/>
      <c r="AF7" s="750"/>
      <c r="AG7" s="752"/>
      <c r="AH7" s="750"/>
      <c r="AI7" s="752"/>
      <c r="AJ7" s="750"/>
      <c r="AK7" s="752"/>
      <c r="AL7" s="750"/>
      <c r="AM7" s="752"/>
      <c r="AN7" s="750"/>
      <c r="AO7" s="752"/>
      <c r="AP7" s="750"/>
      <c r="AQ7" s="752"/>
      <c r="AR7" s="750"/>
      <c r="AS7" s="752"/>
      <c r="AT7" s="750"/>
      <c r="AU7" s="752"/>
      <c r="AV7" s="750"/>
      <c r="AW7" s="752"/>
      <c r="AX7" s="750"/>
      <c r="AY7" s="752"/>
      <c r="AZ7" s="750"/>
      <c r="BA7" s="752"/>
      <c r="BB7" s="750"/>
      <c r="BC7" s="752"/>
      <c r="BD7" s="750"/>
      <c r="BE7" s="752"/>
      <c r="BF7" s="750"/>
      <c r="BG7" s="752"/>
      <c r="BH7" s="750"/>
      <c r="BI7" s="752"/>
      <c r="BJ7" s="750"/>
      <c r="BK7" s="752"/>
      <c r="BL7" s="750"/>
      <c r="BM7" s="752"/>
      <c r="BN7" s="750"/>
      <c r="BO7" s="752"/>
      <c r="BP7" s="750"/>
      <c r="BQ7" s="752"/>
      <c r="BR7" s="750"/>
      <c r="BS7" s="752"/>
      <c r="BT7" s="750"/>
      <c r="BU7" s="752"/>
      <c r="BV7" s="750"/>
      <c r="BW7" s="752"/>
      <c r="BX7" s="750"/>
      <c r="BY7" s="752"/>
      <c r="BZ7" s="750"/>
      <c r="CA7" s="752"/>
      <c r="CB7" s="750"/>
      <c r="CC7" s="752"/>
      <c r="CD7" s="750"/>
      <c r="CE7" s="752"/>
      <c r="CF7" s="750"/>
      <c r="CG7" s="752"/>
      <c r="CH7" s="750"/>
      <c r="CI7" s="752"/>
      <c r="CJ7" s="750"/>
      <c r="CK7" s="752"/>
      <c r="CL7" s="750"/>
      <c r="CM7" s="752"/>
      <c r="CN7" s="750"/>
      <c r="CO7" s="752"/>
      <c r="CP7" s="750"/>
      <c r="CQ7" s="752"/>
      <c r="CR7" s="750"/>
      <c r="CS7" s="752"/>
      <c r="CT7" s="750"/>
      <c r="CU7" s="752"/>
      <c r="CV7" s="750"/>
      <c r="CW7" s="752"/>
      <c r="CX7" s="750"/>
      <c r="CY7" s="752"/>
      <c r="CZ7" s="750"/>
      <c r="DA7" s="752"/>
      <c r="DB7" s="753"/>
      <c r="DC7" s="750"/>
      <c r="DD7" s="751"/>
      <c r="DE7" s="750"/>
      <c r="DF7" s="751"/>
      <c r="DG7" s="750"/>
      <c r="DH7" s="751"/>
      <c r="DI7" s="750"/>
      <c r="DJ7" s="751"/>
      <c r="DK7" s="750"/>
      <c r="DL7" s="752"/>
      <c r="DM7" s="750"/>
      <c r="DN7" s="752"/>
      <c r="DO7" s="750"/>
      <c r="DP7" s="752"/>
      <c r="DQ7" s="750"/>
      <c r="DR7" s="752"/>
      <c r="DS7" s="750"/>
      <c r="DT7" s="752"/>
      <c r="DU7" s="750"/>
      <c r="DV7" s="752"/>
      <c r="DW7" s="750"/>
      <c r="DX7" s="752"/>
      <c r="DY7" s="750"/>
      <c r="DZ7" s="752"/>
      <c r="EA7" s="750"/>
      <c r="EB7" s="752"/>
      <c r="EC7" s="750"/>
      <c r="ED7" s="752"/>
      <c r="EE7" s="750"/>
      <c r="EF7" s="752"/>
      <c r="EG7" s="750"/>
      <c r="EH7" s="752"/>
      <c r="EI7" s="750"/>
      <c r="EJ7" s="752"/>
      <c r="EK7" s="750"/>
      <c r="EL7" s="752"/>
      <c r="EM7" s="750"/>
      <c r="EN7" s="752"/>
      <c r="EO7" s="750"/>
      <c r="EP7" s="752"/>
      <c r="EQ7" s="750"/>
      <c r="ER7" s="752"/>
      <c r="ES7" s="750"/>
      <c r="ET7" s="752"/>
      <c r="EU7" s="751"/>
      <c r="EV7" s="710"/>
    </row>
    <row r="8" spans="1:152" ht="12.75" customHeight="1" x14ac:dyDescent="0.2">
      <c r="A8" s="754" t="s">
        <v>105</v>
      </c>
      <c r="B8" s="755">
        <f>INPUT!AS55</f>
        <v>1.1999999999998181</v>
      </c>
      <c r="C8" s="756" t="str">
        <f>INPUT!AT55</f>
        <v>NM</v>
      </c>
      <c r="D8" s="755">
        <f>INPUT!AU55</f>
        <v>10.399999999999864</v>
      </c>
      <c r="E8" s="756">
        <f>INPUT!AV55</f>
        <v>-48.258706467661838</v>
      </c>
      <c r="F8" s="755">
        <f>INPUT!AW55</f>
        <v>16.400000000000091</v>
      </c>
      <c r="G8" s="756">
        <f>INPUT!AX55</f>
        <v>-47.435897435897033</v>
      </c>
      <c r="H8" s="755">
        <f>INPUT!AY55</f>
        <v>35.100000000000023</v>
      </c>
      <c r="I8" s="752" t="str">
        <f>INPUT!AZ55</f>
        <v>NM</v>
      </c>
      <c r="J8" s="755">
        <f>INPUT!BA55</f>
        <v>29.700000000000045</v>
      </c>
      <c r="K8" s="752" t="str">
        <f>INPUT!BB55</f>
        <v>NM</v>
      </c>
      <c r="L8" s="755">
        <f>INPUT!BC55</f>
        <v>51.899999999999977</v>
      </c>
      <c r="M8" s="752" t="str">
        <f>INPUT!BD55</f>
        <v>NM</v>
      </c>
      <c r="N8" s="755">
        <f>INPUT!BE55</f>
        <v>51.499999999999886</v>
      </c>
      <c r="O8" s="752" t="str">
        <f>INPUT!BF55</f>
        <v>NM</v>
      </c>
      <c r="P8" s="755">
        <f>INPUT!BG55</f>
        <v>43.200000000000045</v>
      </c>
      <c r="Q8" s="752">
        <f>INPUT!BH55</f>
        <v>23.07692307692313</v>
      </c>
      <c r="R8" s="755">
        <f>INPUT!BI55</f>
        <v>40.100000000000023</v>
      </c>
      <c r="S8" s="752">
        <f>INPUT!BJ55</f>
        <v>35.016835016834882</v>
      </c>
      <c r="T8" s="755">
        <f>INPUT!BK55</f>
        <v>46.999999999999886</v>
      </c>
      <c r="U8" s="752">
        <f>INPUT!BL55</f>
        <v>-9.4412331406552816</v>
      </c>
      <c r="V8" s="755">
        <f>INPUT!BM55</f>
        <v>54.599999999999909</v>
      </c>
      <c r="W8" s="752">
        <f>INPUT!BN55</f>
        <v>6.019417475728206</v>
      </c>
      <c r="X8" s="755">
        <f>INPUT!BO55</f>
        <v>59.700000000000159</v>
      </c>
      <c r="Y8" s="752">
        <f>INPUT!BP55</f>
        <v>38.194444444444663</v>
      </c>
      <c r="Z8" s="755">
        <f>INPUT!BQ55</f>
        <v>57.699999999999932</v>
      </c>
      <c r="AA8" s="752">
        <f>INPUT!BR55</f>
        <v>43.890274314214217</v>
      </c>
      <c r="AB8" s="755">
        <f>INPUT!BS55</f>
        <v>68.300000000000068</v>
      </c>
      <c r="AC8" s="752">
        <f>INPUT!BT55</f>
        <v>45.319148936170706</v>
      </c>
      <c r="AD8" s="755">
        <f>INPUT!BU55</f>
        <v>75</v>
      </c>
      <c r="AE8" s="752">
        <f>INPUT!BV55</f>
        <v>37.362637362637585</v>
      </c>
      <c r="AF8" s="755">
        <f>INPUT!BW55</f>
        <v>72.599999999999909</v>
      </c>
      <c r="AG8" s="752">
        <f>INPUT!BX55</f>
        <v>21.608040201004552</v>
      </c>
      <c r="AH8" s="755">
        <f>INPUT!BY55</f>
        <v>75.799999999999955</v>
      </c>
      <c r="AI8" s="752">
        <f>INPUT!BZ55</f>
        <v>31.369150779896081</v>
      </c>
      <c r="AJ8" s="755">
        <f>INPUT!CA55</f>
        <v>84.700000000000045</v>
      </c>
      <c r="AK8" s="752">
        <f>INPUT!CB55</f>
        <v>24.011713030746652</v>
      </c>
      <c r="AL8" s="755">
        <f>INPUT!CC55</f>
        <v>78.5</v>
      </c>
      <c r="AM8" s="752">
        <f>INPUT!CD55</f>
        <v>4.6666666666666634</v>
      </c>
      <c r="AN8" s="755">
        <f>INPUT!CE55</f>
        <v>78.200000000000045</v>
      </c>
      <c r="AO8" s="752">
        <f>INPUT!CF55</f>
        <v>7.7134986225897206</v>
      </c>
      <c r="AP8" s="755">
        <f>INPUT!CG55</f>
        <v>73.800000000000068</v>
      </c>
      <c r="AQ8" s="752">
        <f>INPUT!CH55</f>
        <v>-2.6385224274404817</v>
      </c>
      <c r="AR8" s="755">
        <f>INPUT!CI55</f>
        <v>78.699999999999932</v>
      </c>
      <c r="AS8" s="752">
        <f>INPUT!CJ55</f>
        <v>-7.083825265643573</v>
      </c>
      <c r="AT8" s="755">
        <f>INPUT!CK55</f>
        <v>72.700000000000045</v>
      </c>
      <c r="AU8" s="752">
        <f>INPUT!CL55</f>
        <v>-7.3885350318470771</v>
      </c>
      <c r="AV8" s="755">
        <f>INPUT!CM55</f>
        <v>77.100000000000023</v>
      </c>
      <c r="AW8" s="752">
        <f>INPUT!CN55</f>
        <v>-1.4066496163683162</v>
      </c>
      <c r="AX8" s="755">
        <f>INPUT!CO55</f>
        <v>74.700000000000045</v>
      </c>
      <c r="AY8" s="752">
        <f>INPUT!CP55</f>
        <v>1.2195121951219301</v>
      </c>
      <c r="AZ8" s="755">
        <f>INPUT!CQ55</f>
        <v>70.399999999999977</v>
      </c>
      <c r="BA8" s="752">
        <f>INPUT!CR55</f>
        <v>-10.546378653113042</v>
      </c>
      <c r="BB8" s="755">
        <f>INPUT!CS55</f>
        <v>74.5</v>
      </c>
      <c r="BC8" s="752">
        <f>INPUT!CT55</f>
        <v>2.475928473177369</v>
      </c>
      <c r="BD8" s="755">
        <f>INPUT!CU55</f>
        <v>73.5</v>
      </c>
      <c r="BE8" s="752">
        <f>INPUT!CV55</f>
        <v>-4.6692607003891329</v>
      </c>
      <c r="BF8" s="755">
        <f>INPUT!CW55</f>
        <v>77.199999999999932</v>
      </c>
      <c r="BG8" s="752">
        <f>INPUT!CX55</f>
        <v>3.3467202141899355</v>
      </c>
      <c r="BH8" s="755">
        <f>INPUT!CY55</f>
        <v>72</v>
      </c>
      <c r="BI8" s="752">
        <f>INPUT!CZ55</f>
        <v>2.2727272727273151</v>
      </c>
      <c r="BJ8" s="755">
        <f>INPUT!DA55</f>
        <v>77.899999999999977</v>
      </c>
      <c r="BK8" s="752">
        <f>INPUT!DB55</f>
        <v>4.5637583892617073</v>
      </c>
      <c r="BL8" s="755">
        <f>INPUT!DC55</f>
        <v>68.600000000000023</v>
      </c>
      <c r="BM8" s="752">
        <f>INPUT!DD55</f>
        <v>-6.6666666666666323</v>
      </c>
      <c r="BN8" s="755">
        <f>INPUT!DE55</f>
        <v>67.599999999999909</v>
      </c>
      <c r="BO8" s="752">
        <f>INPUT!DF55</f>
        <v>-12.435233160621806</v>
      </c>
      <c r="BP8" s="755">
        <f>INPUT!DG55</f>
        <v>72.699999999999932</v>
      </c>
      <c r="BQ8" s="752">
        <f>INPUT!DH55</f>
        <v>0.97222222222212995</v>
      </c>
      <c r="BR8" s="755">
        <f>INPUT!DI55</f>
        <v>68.600000000000023</v>
      </c>
      <c r="BS8" s="752">
        <f>INPUT!DJ55</f>
        <v>-11.938382541720093</v>
      </c>
      <c r="BT8" s="755">
        <f>INPUT!DK55</f>
        <v>65.899999999999977</v>
      </c>
      <c r="BU8" s="752">
        <f>INPUT!DL55</f>
        <v>-3.9358600583091041</v>
      </c>
      <c r="BV8" s="755">
        <f>INPUT!DM55</f>
        <v>74.300000000000068</v>
      </c>
      <c r="BW8" s="752">
        <f>INPUT!DN55</f>
        <v>9.9112426035505408</v>
      </c>
      <c r="BX8" s="755">
        <f>INPUT!DO55</f>
        <v>61.200000000000045</v>
      </c>
      <c r="BY8" s="752">
        <f>INPUT!DP55</f>
        <v>-15.818431911966846</v>
      </c>
      <c r="BZ8" s="755">
        <f>INPUT!DQ55</f>
        <v>70.800000000000068</v>
      </c>
      <c r="CA8" s="752">
        <f>INPUT!DR55</f>
        <v>3.2069970845481688</v>
      </c>
      <c r="CB8" s="755">
        <f>INPUT!DS55</f>
        <v>66.100000000000023</v>
      </c>
      <c r="CC8" s="752">
        <f>INPUT!DT55</f>
        <v>0.30349013657062773</v>
      </c>
      <c r="CD8" s="755">
        <f>INPUT!DU55</f>
        <v>70.399999999999864</v>
      </c>
      <c r="CE8" s="752">
        <f>INPUT!DV55</f>
        <v>-5.2489905787351248</v>
      </c>
      <c r="CF8" s="755">
        <f>INPUT!DW55</f>
        <v>74.399999999999977</v>
      </c>
      <c r="CG8" s="752">
        <f>INPUT!DX55</f>
        <v>21.568627450980273</v>
      </c>
      <c r="CH8" s="755">
        <f>INPUT!DY55</f>
        <v>85.400000000000091</v>
      </c>
      <c r="CI8" s="752">
        <f>INPUT!DZ55</f>
        <v>20.621468926553675</v>
      </c>
      <c r="CJ8" s="755">
        <f>INPUT!EA55</f>
        <v>89.499999999999886</v>
      </c>
      <c r="CK8" s="752">
        <f>INPUT!EB55</f>
        <v>35.400907715582242</v>
      </c>
      <c r="CL8" s="755">
        <f>INPUT!EC55</f>
        <v>88.699999999999932</v>
      </c>
      <c r="CM8" s="752">
        <f>INPUT!ED55</f>
        <v>25.994318181818322</v>
      </c>
      <c r="CN8" s="755">
        <f>INPUT!EE55</f>
        <v>92.400000000000091</v>
      </c>
      <c r="CO8" s="752">
        <f>INPUT!EF55</f>
        <v>24.193548387096932</v>
      </c>
      <c r="CP8" s="755">
        <f>INPUT!EG55</f>
        <v>89.999999999999886</v>
      </c>
      <c r="CQ8" s="752">
        <f>INPUT!EH55</f>
        <v>5.3864168618264596</v>
      </c>
      <c r="CR8" s="755">
        <f>INPUT!EI55</f>
        <v>86.699999999999932</v>
      </c>
      <c r="CS8" s="752">
        <f>INPUT!EJ55</f>
        <v>-3.1284916201116841</v>
      </c>
      <c r="CT8" s="755">
        <f>INPUT!EK55</f>
        <v>89.938064861141925</v>
      </c>
      <c r="CU8" s="752">
        <f>INPUT!EL55</f>
        <v>1.3957890204532086</v>
      </c>
      <c r="CV8" s="755">
        <f>INPUT!EM55</f>
        <v>90.726812279734759</v>
      </c>
      <c r="CW8" s="752">
        <f>INPUT!EN55</f>
        <v>-1.8108092210663784</v>
      </c>
      <c r="CX8" s="755">
        <f>INPUT!EO55</f>
        <v>91.341679842858866</v>
      </c>
      <c r="CY8" s="752">
        <f>INPUT!EP55</f>
        <v>1.4907553809544227</v>
      </c>
      <c r="CZ8" s="755">
        <f>INPUT!EQ55</f>
        <v>93.245098932349492</v>
      </c>
      <c r="DA8" s="752">
        <f>INPUT!ER55</f>
        <v>7.5491337166661676</v>
      </c>
      <c r="DB8" s="755"/>
      <c r="DC8" s="755">
        <f>INPUT!FB55</f>
        <v>0</v>
      </c>
      <c r="DD8" s="756">
        <f>INPUT!FC55</f>
        <v>0</v>
      </c>
      <c r="DE8" s="755">
        <f>INPUT!FD55</f>
        <v>289.900000000001</v>
      </c>
      <c r="DF8" s="756" t="str">
        <f>INPUT!FE55</f>
        <v>NA</v>
      </c>
      <c r="DG8" s="755">
        <f>INPUT!FF55</f>
        <v>-869.99999999999955</v>
      </c>
      <c r="DH8" s="756" t="str">
        <f>INPUT!FG55</f>
        <v>NM</v>
      </c>
      <c r="DI8" s="755">
        <f>INPUT!FH55</f>
        <v>-58</v>
      </c>
      <c r="DJ8" s="756" t="str">
        <f>INPUT!FI55</f>
        <v>NM</v>
      </c>
      <c r="DK8" s="755">
        <f>INPUT!FJ55</f>
        <v>68.400000000000546</v>
      </c>
      <c r="DL8" s="752" t="str">
        <f>INPUT!FK55</f>
        <v>NM</v>
      </c>
      <c r="DM8" s="755">
        <f>INPUT!FL55</f>
        <v>63.099999999999909</v>
      </c>
      <c r="DN8" s="752">
        <f>INPUT!FM55</f>
        <v>-7.7485380116967706</v>
      </c>
      <c r="DO8" s="755">
        <f>INPUT!FN55</f>
        <v>176.30000000000018</v>
      </c>
      <c r="DP8" s="752" t="str">
        <f>INPUT!FO55</f>
        <v>NM</v>
      </c>
      <c r="DQ8" s="755">
        <f>INPUT!FP55</f>
        <v>201.40000000000009</v>
      </c>
      <c r="DR8" s="752">
        <f>INPUT!FQ55</f>
        <v>14.237095859330617</v>
      </c>
      <c r="DS8" s="755">
        <f>INPUT!FR55</f>
        <v>278.29999999999973</v>
      </c>
      <c r="DT8" s="752">
        <f>INPUT!FS55</f>
        <v>38.182720953326509</v>
      </c>
      <c r="DU8" s="755">
        <f>INPUT!FT55</f>
        <v>317.19999999999936</v>
      </c>
      <c r="DV8" s="752">
        <f>INPUT!FU55</f>
        <v>13.977721882860106</v>
      </c>
      <c r="DW8" s="755">
        <f>INPUT!FV55</f>
        <v>302.30000000000018</v>
      </c>
      <c r="DX8" s="752">
        <f>INPUT!FW55</f>
        <v>-4.6973518284991194</v>
      </c>
      <c r="DY8" s="755">
        <f>INPUT!FX55</f>
        <v>291.79999999999973</v>
      </c>
      <c r="DZ8" s="752">
        <f>INPUT!FY55</f>
        <v>-3.473370823685229</v>
      </c>
      <c r="EA8" s="755">
        <f>INPUT!FZ55</f>
        <v>295.69999999999982</v>
      </c>
      <c r="EB8" s="752">
        <f>INPUT!GA55</f>
        <v>1.3365318711446417</v>
      </c>
      <c r="EC8" s="755">
        <f>INPUT!GB55</f>
        <v>274.80000000000018</v>
      </c>
      <c r="ED8" s="752">
        <f>INPUT!GC55</f>
        <v>-7.0679742982751588</v>
      </c>
      <c r="EE8" s="755">
        <f>INPUT!GD55</f>
        <v>272.40000000000009</v>
      </c>
      <c r="EF8" s="752">
        <f>INPUT!GE55</f>
        <v>-0.8733624454148825</v>
      </c>
      <c r="EG8" s="755">
        <f>INPUT!GF55</f>
        <v>319.70000000000027</v>
      </c>
      <c r="EH8" s="752">
        <f>INPUT!GG55</f>
        <v>17.36417033773867</v>
      </c>
      <c r="EI8" s="755">
        <f>INPUT!GH55</f>
        <v>357.79999999999973</v>
      </c>
      <c r="EJ8" s="752">
        <f>INPUT!GI55</f>
        <v>11.91742258367201</v>
      </c>
      <c r="EK8" s="755">
        <f>INPUT!GJ55</f>
        <v>365.25165591608538</v>
      </c>
      <c r="EL8" s="752">
        <f>INPUT!GK55</f>
        <v>2.0826316143336188</v>
      </c>
      <c r="EM8" s="755">
        <f>INPUT!GL55</f>
        <v>374.3973455964051</v>
      </c>
      <c r="EN8" s="752">
        <f>INPUT!GM55</f>
        <v>2.5039420170132942</v>
      </c>
      <c r="EO8" s="755">
        <f>INPUT!GN55</f>
        <v>383.9427207232352</v>
      </c>
      <c r="EP8" s="752">
        <f>INPUT!GO55</f>
        <v>2.5495306628375181</v>
      </c>
      <c r="EQ8" s="755">
        <f>INPUT!GP55</f>
        <v>393.89341677023685</v>
      </c>
      <c r="ER8" s="752">
        <f>INPUT!GQ55</f>
        <v>2.5917136879838321</v>
      </c>
      <c r="ES8" s="755">
        <f>INPUT!GR55</f>
        <v>404.25685154490748</v>
      </c>
      <c r="ET8" s="752">
        <f>INPUT!GS55</f>
        <v>2.6310251284843655</v>
      </c>
      <c r="EU8" s="756">
        <f>INPUT!GT55</f>
        <v>2.4715748100562429</v>
      </c>
      <c r="EV8" s="710"/>
    </row>
    <row r="9" spans="1:152" ht="12.75" customHeight="1" x14ac:dyDescent="0.2">
      <c r="A9" s="754" t="s">
        <v>492</v>
      </c>
      <c r="B9" s="755">
        <f>INPUT!AS93</f>
        <v>43.899999999999977</v>
      </c>
      <c r="C9" s="756">
        <f>INPUT!AT93</f>
        <v>-20.900900900901021</v>
      </c>
      <c r="D9" s="755">
        <f>INPUT!AU93</f>
        <v>44.799999999999955</v>
      </c>
      <c r="E9" s="756">
        <f>INPUT!AV93</f>
        <v>-6.4718162839248912</v>
      </c>
      <c r="F9" s="755">
        <f>INPUT!AW93</f>
        <v>43</v>
      </c>
      <c r="G9" s="756">
        <f>INPUT!AX93</f>
        <v>2.6252983293556742</v>
      </c>
      <c r="H9" s="755">
        <f>INPUT!AY93</f>
        <v>46.300000000000068</v>
      </c>
      <c r="I9" s="752">
        <f>INPUT!AZ93</f>
        <v>6.43678160919543</v>
      </c>
      <c r="J9" s="755">
        <f>INPUT!BA93</f>
        <v>49.399999999999977</v>
      </c>
      <c r="K9" s="752">
        <f>INPUT!BB93</f>
        <v>12.528473804100226</v>
      </c>
      <c r="L9" s="755">
        <f>INPUT!BC93</f>
        <v>51.500000000000057</v>
      </c>
      <c r="M9" s="752">
        <f>INPUT!BD93</f>
        <v>14.955357142857384</v>
      </c>
      <c r="N9" s="755">
        <f>INPUT!BE93</f>
        <v>56.200000000000045</v>
      </c>
      <c r="O9" s="752">
        <f>INPUT!BF93</f>
        <v>30.697674418604759</v>
      </c>
      <c r="P9" s="755">
        <f>INPUT!BG93</f>
        <v>60.099999999999966</v>
      </c>
      <c r="Q9" s="752">
        <f>INPUT!BH93</f>
        <v>29.805615550755672</v>
      </c>
      <c r="R9" s="755">
        <f>INPUT!BI93</f>
        <v>55.399999999999977</v>
      </c>
      <c r="S9" s="752">
        <f>INPUT!BJ93</f>
        <v>12.145748987854255</v>
      </c>
      <c r="T9" s="755">
        <f>INPUT!BK93</f>
        <v>54.299999999999955</v>
      </c>
      <c r="U9" s="752">
        <f>INPUT!BL93</f>
        <v>5.4368932038832973</v>
      </c>
      <c r="V9" s="755">
        <f>INPUT!BM93</f>
        <v>50.900000000000034</v>
      </c>
      <c r="W9" s="752">
        <f>INPUT!BN93</f>
        <v>-9.4306049822064146</v>
      </c>
      <c r="X9" s="755">
        <f>INPUT!BO93</f>
        <v>50.300000000000011</v>
      </c>
      <c r="Y9" s="752">
        <f>INPUT!BP93</f>
        <v>-16.306156405989945</v>
      </c>
      <c r="Z9" s="755">
        <f>INPUT!BQ93</f>
        <v>48.300000000000011</v>
      </c>
      <c r="AA9" s="752">
        <f>INPUT!BR93</f>
        <v>-12.815884476534245</v>
      </c>
      <c r="AB9" s="755">
        <f>INPUT!BS93</f>
        <v>48.700000000000102</v>
      </c>
      <c r="AC9" s="752">
        <f>INPUT!BT93</f>
        <v>-10.313075506445413</v>
      </c>
      <c r="AD9" s="755">
        <f>INPUT!BU93</f>
        <v>49.999999999999943</v>
      </c>
      <c r="AE9" s="752">
        <f>INPUT!BV93</f>
        <v>-1.7681728880158953</v>
      </c>
      <c r="AF9" s="755">
        <f>INPUT!BW93</f>
        <v>47.699999999999989</v>
      </c>
      <c r="AG9" s="752">
        <f>INPUT!BX93</f>
        <v>-5.1689860834990498</v>
      </c>
      <c r="AH9" s="755">
        <f>INPUT!BY93</f>
        <v>50.500000000000057</v>
      </c>
      <c r="AI9" s="752">
        <f>INPUT!BZ93</f>
        <v>4.5548654244307318</v>
      </c>
      <c r="AJ9" s="755">
        <f>INPUT!CA93</f>
        <v>50.400000000000034</v>
      </c>
      <c r="AK9" s="752">
        <f>INPUT!CB93</f>
        <v>3.4907597535932755</v>
      </c>
      <c r="AL9" s="755">
        <f>INPUT!CC93</f>
        <v>51.100000000000023</v>
      </c>
      <c r="AM9" s="752">
        <f>INPUT!CD93</f>
        <v>2.2000000000001574</v>
      </c>
      <c r="AN9" s="755">
        <f>INPUT!CE93</f>
        <v>52.000000000000057</v>
      </c>
      <c r="AO9" s="752">
        <f>INPUT!CF93</f>
        <v>9.0146750524110466</v>
      </c>
      <c r="AP9" s="755">
        <f>INPUT!CG93</f>
        <v>51.599999999999966</v>
      </c>
      <c r="AQ9" s="752">
        <f>INPUT!CH93</f>
        <v>2.1782178217820025</v>
      </c>
      <c r="AR9" s="755">
        <f>INPUT!CI93</f>
        <v>52</v>
      </c>
      <c r="AS9" s="752">
        <f>INPUT!CJ93</f>
        <v>3.1746031746030967</v>
      </c>
      <c r="AT9" s="755">
        <f>INPUT!CK93</f>
        <v>52.300000000000011</v>
      </c>
      <c r="AU9" s="752">
        <f>INPUT!CL93</f>
        <v>2.348336594911915</v>
      </c>
      <c r="AV9" s="755">
        <f>INPUT!CM93</f>
        <v>52.599999999999966</v>
      </c>
      <c r="AW9" s="752">
        <f>INPUT!CN93</f>
        <v>1.1538461538459721</v>
      </c>
      <c r="AX9" s="755">
        <f>INPUT!CO93</f>
        <v>52.399999999999977</v>
      </c>
      <c r="AY9" s="752">
        <f>INPUT!CP93</f>
        <v>1.5503875968992498</v>
      </c>
      <c r="AZ9" s="755">
        <f>INPUT!CQ93</f>
        <v>57.299999999999955</v>
      </c>
      <c r="BA9" s="752">
        <f>INPUT!CR93</f>
        <v>10.192307692307612</v>
      </c>
      <c r="BB9" s="755">
        <f>INPUT!CS93</f>
        <v>56.100000000000023</v>
      </c>
      <c r="BC9" s="752">
        <f>INPUT!CT93</f>
        <v>7.2657743785851103</v>
      </c>
      <c r="BD9" s="755">
        <f>INPUT!CU93</f>
        <v>55.100000000000023</v>
      </c>
      <c r="BE9" s="752">
        <f>INPUT!CV93</f>
        <v>4.7528517110267288</v>
      </c>
      <c r="BF9" s="755">
        <f>INPUT!CW93</f>
        <v>57.000000000000057</v>
      </c>
      <c r="BG9" s="752">
        <f>INPUT!CX93</f>
        <v>8.7786259541986276</v>
      </c>
      <c r="BH9" s="755">
        <f>INPUT!CY93</f>
        <v>56.099999999999966</v>
      </c>
      <c r="BI9" s="752">
        <f>INPUT!CZ93</f>
        <v>-2.0942408376963151</v>
      </c>
      <c r="BJ9" s="755">
        <f>INPUT!DA93</f>
        <v>57.700000000000045</v>
      </c>
      <c r="BK9" s="752">
        <f>INPUT!DB93</f>
        <v>2.8520499108734887</v>
      </c>
      <c r="BL9" s="755">
        <f>INPUT!DC93</f>
        <v>97.699999999999989</v>
      </c>
      <c r="BM9" s="752">
        <f>INPUT!DD93</f>
        <v>77.313974591651458</v>
      </c>
      <c r="BN9" s="755">
        <f>INPUT!DE93</f>
        <v>58.699999999999989</v>
      </c>
      <c r="BO9" s="752">
        <f>INPUT!DF93</f>
        <v>2.9824561403507532</v>
      </c>
      <c r="BP9" s="755">
        <f>INPUT!DG93</f>
        <v>60.599999999999966</v>
      </c>
      <c r="BQ9" s="752">
        <f>INPUT!DH93</f>
        <v>8.0213903743315598</v>
      </c>
      <c r="BR9" s="755">
        <f>INPUT!DI93</f>
        <v>61.800000000000011</v>
      </c>
      <c r="BS9" s="752">
        <f>INPUT!DJ93</f>
        <v>7.1057192374349487</v>
      </c>
      <c r="BT9" s="755">
        <f>INPUT!DK93</f>
        <v>59.300000000000011</v>
      </c>
      <c r="BU9" s="752">
        <f>INPUT!DL93</f>
        <v>-39.303991811668347</v>
      </c>
      <c r="BV9" s="755">
        <f>INPUT!DM93</f>
        <v>57.900000000000034</v>
      </c>
      <c r="BW9" s="752">
        <f>INPUT!DN93</f>
        <v>-1.3628620102213884</v>
      </c>
      <c r="BX9" s="755">
        <f>INPUT!DO93</f>
        <v>52.500000000000057</v>
      </c>
      <c r="BY9" s="752">
        <f>INPUT!DP93</f>
        <v>-13.366336633663224</v>
      </c>
      <c r="BZ9" s="755">
        <f>INPUT!DQ93</f>
        <v>60.199999999999989</v>
      </c>
      <c r="CA9" s="752">
        <f>INPUT!DR93</f>
        <v>-2.5889967637540812</v>
      </c>
      <c r="CB9" s="755">
        <f>INPUT!DS93</f>
        <v>54.300000000000068</v>
      </c>
      <c r="CC9" s="752">
        <f>INPUT!DT93</f>
        <v>-8.4317032040471247</v>
      </c>
      <c r="CD9" s="755">
        <f>INPUT!DU93</f>
        <v>55.400000000000034</v>
      </c>
      <c r="CE9" s="752">
        <f>INPUT!DV93</f>
        <v>-4.3177892918825567</v>
      </c>
      <c r="CF9" s="755">
        <f>INPUT!DW93</f>
        <v>56.900000000000034</v>
      </c>
      <c r="CG9" s="752">
        <f>INPUT!DX93</f>
        <v>8.3809523809523334</v>
      </c>
      <c r="CH9" s="755">
        <f>INPUT!DY93</f>
        <v>53.400000000000091</v>
      </c>
      <c r="CI9" s="752">
        <f>INPUT!DZ93</f>
        <v>-11.295681063122753</v>
      </c>
      <c r="CJ9" s="755">
        <f>INPUT!EA93</f>
        <v>56.099999999999966</v>
      </c>
      <c r="CK9" s="752">
        <f>INPUT!EB93</f>
        <v>3.3149171270716371</v>
      </c>
      <c r="CL9" s="755">
        <f>INPUT!EC93</f>
        <v>56</v>
      </c>
      <c r="CM9" s="752">
        <f>INPUT!ED93</f>
        <v>1.083032490974678</v>
      </c>
      <c r="CN9" s="755">
        <f>INPUT!EE93</f>
        <v>60.899999999999977</v>
      </c>
      <c r="CO9" s="752">
        <f>INPUT!EF93</f>
        <v>7.0298769771528047</v>
      </c>
      <c r="CP9" s="755">
        <f>INPUT!EG93</f>
        <v>60.099999999999966</v>
      </c>
      <c r="CQ9" s="752">
        <f>INPUT!EH93</f>
        <v>12.546816479400501</v>
      </c>
      <c r="CR9" s="755">
        <f>INPUT!EI93</f>
        <v>57</v>
      </c>
      <c r="CS9" s="752">
        <f>INPUT!EJ93</f>
        <v>1.604278074866361</v>
      </c>
      <c r="CT9" s="755">
        <f>INPUT!EK93</f>
        <v>59.34967282740115</v>
      </c>
      <c r="CU9" s="752">
        <f>INPUT!EL93</f>
        <v>5.9815586203592064</v>
      </c>
      <c r="CV9" s="755">
        <f>INPUT!EM93</f>
        <v>59.445351055041499</v>
      </c>
      <c r="CW9" s="752">
        <f>INPUT!EN93</f>
        <v>-2.3885861165163891</v>
      </c>
      <c r="CX9" s="755">
        <f>INPUT!EO93</f>
        <v>60.879614772134801</v>
      </c>
      <c r="CY9" s="752">
        <f>INPUT!EP93</f>
        <v>1.2971959602908978</v>
      </c>
      <c r="CZ9" s="755">
        <f>INPUT!EQ93</f>
        <v>61.023887542128818</v>
      </c>
      <c r="DA9" s="752">
        <f>INPUT!ER93</f>
        <v>7.0594518282961705</v>
      </c>
      <c r="DB9" s="755"/>
      <c r="DC9" s="755">
        <f>INPUT!FB93</f>
        <v>0</v>
      </c>
      <c r="DD9" s="756">
        <f>INPUT!FC93</f>
        <v>0</v>
      </c>
      <c r="DE9" s="755">
        <f>INPUT!FD93</f>
        <v>224.09999999999991</v>
      </c>
      <c r="DF9" s="756" t="str">
        <f>INPUT!FE93</f>
        <v>NA</v>
      </c>
      <c r="DG9" s="755">
        <f>INPUT!FF93</f>
        <v>222.70000000000005</v>
      </c>
      <c r="DH9" s="756">
        <f>INPUT!FG93</f>
        <v>-0.62472110664876235</v>
      </c>
      <c r="DI9" s="755">
        <f>INPUT!FH93</f>
        <v>213.40000000000032</v>
      </c>
      <c r="DJ9" s="756">
        <f>INPUT!FI93</f>
        <v>-4.1760215536595036</v>
      </c>
      <c r="DK9" s="755">
        <f>INPUT!FJ93</f>
        <v>188.80000000000018</v>
      </c>
      <c r="DL9" s="752">
        <f>INPUT!FK93</f>
        <v>-11.527647610121882</v>
      </c>
      <c r="DM9" s="755">
        <f>INPUT!FL93</f>
        <v>178.00000000000023</v>
      </c>
      <c r="DN9" s="752">
        <f>INPUT!FM93</f>
        <v>-5.7203389830508211</v>
      </c>
      <c r="DO9" s="755">
        <f>INPUT!FN93</f>
        <v>217.20000000000027</v>
      </c>
      <c r="DP9" s="752">
        <f>INPUT!FO93</f>
        <v>22.022471910112351</v>
      </c>
      <c r="DQ9" s="755">
        <f>INPUT!FP93</f>
        <v>210.90000000000009</v>
      </c>
      <c r="DR9" s="752">
        <f>INPUT!FQ93</f>
        <v>-2.9005524861879239</v>
      </c>
      <c r="DS9" s="755">
        <f>INPUT!FR93</f>
        <v>193.60000000000014</v>
      </c>
      <c r="DT9" s="752">
        <f>INPUT!FS93</f>
        <v>-8.2029397818871193</v>
      </c>
      <c r="DU9" s="755">
        <f>INPUT!FT93</f>
        <v>204</v>
      </c>
      <c r="DV9" s="752">
        <f>INPUT!FU93</f>
        <v>5.3719008264462076</v>
      </c>
      <c r="DW9" s="755">
        <f>INPUT!FV93</f>
        <v>208.50000000000023</v>
      </c>
      <c r="DX9" s="752">
        <f>INPUT!FW93</f>
        <v>2.2058823529412797</v>
      </c>
      <c r="DY9" s="755">
        <f>INPUT!FX93</f>
        <v>219.40000000000009</v>
      </c>
      <c r="DZ9" s="752">
        <f>INPUT!FY93</f>
        <v>5.227817745803276</v>
      </c>
      <c r="EA9" s="755">
        <f>INPUT!FZ93</f>
        <v>268.49999999999977</v>
      </c>
      <c r="EB9" s="752">
        <f>INPUT!GA93</f>
        <v>22.379216043755545</v>
      </c>
      <c r="EC9" s="755">
        <f>INPUT!GB93</f>
        <v>240.40000000000009</v>
      </c>
      <c r="ED9" s="752">
        <f>INPUT!GC93</f>
        <v>-10.465549348230807</v>
      </c>
      <c r="EE9" s="755">
        <f>INPUT!GD93</f>
        <v>224.89999999999964</v>
      </c>
      <c r="EF9" s="752">
        <f>INPUT!GE93</f>
        <v>-6.4475873544095013</v>
      </c>
      <c r="EG9" s="755">
        <f>INPUT!GF93</f>
        <v>221.80000000000041</v>
      </c>
      <c r="EH9" s="752">
        <f>INPUT!GG93</f>
        <v>-1.3783903957310994</v>
      </c>
      <c r="EI9" s="755">
        <f>INPUT!GH93</f>
        <v>234.00000000000023</v>
      </c>
      <c r="EJ9" s="752">
        <f>INPUT!GI93</f>
        <v>5.5004508566274923</v>
      </c>
      <c r="EK9" s="755">
        <f>INPUT!GJ93</f>
        <v>240.69852619670655</v>
      </c>
      <c r="EL9" s="752">
        <f>INPUT!GK93</f>
        <v>2.8626180327804729</v>
      </c>
      <c r="EM9" s="755">
        <f>INPUT!GL93</f>
        <v>248.25402536248612</v>
      </c>
      <c r="EN9" s="752">
        <f>INPUT!GM93</f>
        <v>3.1389885451998945</v>
      </c>
      <c r="EO9" s="755">
        <f>INPUT!GN93</f>
        <v>256.05993344784497</v>
      </c>
      <c r="EP9" s="752">
        <f>INPUT!GO93</f>
        <v>3.1443228660486433</v>
      </c>
      <c r="EQ9" s="755">
        <f>INPUT!GP93</f>
        <v>265.93371702713944</v>
      </c>
      <c r="ER9" s="752">
        <f>INPUT!GQ93</f>
        <v>3.8560439528137147</v>
      </c>
      <c r="ES9" s="755">
        <f>INPUT!GR93</f>
        <v>274.31214129214072</v>
      </c>
      <c r="ET9" s="752">
        <f>INPUT!GS93</f>
        <v>3.1505686299064584</v>
      </c>
      <c r="EU9" s="756">
        <f>INPUT!GT93</f>
        <v>3.2299779496921976</v>
      </c>
      <c r="EV9" s="710"/>
    </row>
    <row r="10" spans="1:152" ht="12.75" customHeight="1" x14ac:dyDescent="0.2">
      <c r="A10" s="754" t="s">
        <v>107</v>
      </c>
      <c r="B10" s="755">
        <f>INPUT!AS125</f>
        <v>56.199999999999989</v>
      </c>
      <c r="C10" s="756">
        <f>INPUT!AT125</f>
        <v>35.421686746987731</v>
      </c>
      <c r="D10" s="755">
        <f>INPUT!AU125</f>
        <v>49.299999999999898</v>
      </c>
      <c r="E10" s="756">
        <f>INPUT!AV125</f>
        <v>13.594470046082762</v>
      </c>
      <c r="F10" s="755">
        <f>INPUT!AW125</f>
        <v>58.800000000000011</v>
      </c>
      <c r="G10" s="756">
        <f>INPUT!AX125</f>
        <v>48.860759493670926</v>
      </c>
      <c r="H10" s="755">
        <f>INPUT!AY125</f>
        <v>54.500000000000057</v>
      </c>
      <c r="I10" s="752">
        <f>INPUT!AZ125</f>
        <v>16.452991452991551</v>
      </c>
      <c r="J10" s="755">
        <f>INPUT!BA125</f>
        <v>57.799999999999955</v>
      </c>
      <c r="K10" s="752">
        <f>INPUT!BB125</f>
        <v>2.846975088967918</v>
      </c>
      <c r="L10" s="755">
        <f>INPUT!BC125</f>
        <v>49.299999999999898</v>
      </c>
      <c r="M10" s="752">
        <f>INPUT!BD125</f>
        <v>0</v>
      </c>
      <c r="N10" s="755">
        <f>INPUT!BE125</f>
        <v>50.099999999999909</v>
      </c>
      <c r="O10" s="752">
        <f>INPUT!BF125</f>
        <v>-14.795918367347106</v>
      </c>
      <c r="P10" s="755">
        <f>INPUT!BG125</f>
        <v>57.60000000000008</v>
      </c>
      <c r="Q10" s="752">
        <f>INPUT!BH125</f>
        <v>5.6880733944954409</v>
      </c>
      <c r="R10" s="755">
        <f>INPUT!BI125</f>
        <v>62.800000000000011</v>
      </c>
      <c r="S10" s="752">
        <f>INPUT!BJ125</f>
        <v>8.6505190311419788</v>
      </c>
      <c r="T10" s="755">
        <f>INPUT!BK125</f>
        <v>70.299999999999898</v>
      </c>
      <c r="U10" s="752">
        <f>INPUT!BL125</f>
        <v>42.59634888438142</v>
      </c>
      <c r="V10" s="755">
        <f>INPUT!BM125</f>
        <v>66.099999999999966</v>
      </c>
      <c r="W10" s="752">
        <f>INPUT!BN125</f>
        <v>31.936127744511154</v>
      </c>
      <c r="X10" s="755">
        <f>INPUT!BO125</f>
        <v>72.599999999999966</v>
      </c>
      <c r="Y10" s="752">
        <f>INPUT!BP125</f>
        <v>26.04166666666643</v>
      </c>
      <c r="Z10" s="755">
        <f>INPUT!BQ125</f>
        <v>77.599999999999966</v>
      </c>
      <c r="AA10" s="752">
        <f>INPUT!BR125</f>
        <v>23.566878980891648</v>
      </c>
      <c r="AB10" s="755">
        <f>INPUT!BS125</f>
        <v>74.299999999999955</v>
      </c>
      <c r="AC10" s="752">
        <f>INPUT!BT125</f>
        <v>5.6899004267426223</v>
      </c>
      <c r="AD10" s="755">
        <f>INPUT!BU125</f>
        <v>72.099999999999909</v>
      </c>
      <c r="AE10" s="752">
        <f>INPUT!BV125</f>
        <v>9.0771558245082318</v>
      </c>
      <c r="AF10" s="755">
        <f>INPUT!BW125</f>
        <v>82.699999999999932</v>
      </c>
      <c r="AG10" s="752">
        <f>INPUT!BX125</f>
        <v>13.911845730027505</v>
      </c>
      <c r="AH10" s="755">
        <f>INPUT!BY125</f>
        <v>56.199999999999989</v>
      </c>
      <c r="AI10" s="752">
        <f>INPUT!BZ125</f>
        <v>-27.577319587628846</v>
      </c>
      <c r="AJ10" s="755">
        <f>INPUT!CA125</f>
        <v>65.699999999999989</v>
      </c>
      <c r="AK10" s="752">
        <f>INPUT!CB125</f>
        <v>-11.574697173620418</v>
      </c>
      <c r="AL10" s="755">
        <f>INPUT!CC125</f>
        <v>61.400000000000006</v>
      </c>
      <c r="AM10" s="752">
        <f>INPUT!CD125</f>
        <v>-14.840499306518605</v>
      </c>
      <c r="AN10" s="755">
        <f>INPUT!CE125</f>
        <v>64.800000000000011</v>
      </c>
      <c r="AO10" s="752">
        <f>INPUT!CF125</f>
        <v>-21.644498186215156</v>
      </c>
      <c r="AP10" s="755">
        <f>INPUT!CG125</f>
        <v>69.300000000000011</v>
      </c>
      <c r="AQ10" s="752">
        <f>INPUT!CH125</f>
        <v>23.309608540925318</v>
      </c>
      <c r="AR10" s="755">
        <f>INPUT!CI125</f>
        <v>74.900000000000006</v>
      </c>
      <c r="AS10" s="752">
        <f>INPUT!CJ125</f>
        <v>14.003044140030463</v>
      </c>
      <c r="AT10" s="755">
        <f>INPUT!CK125</f>
        <v>84.199999999999989</v>
      </c>
      <c r="AU10" s="752">
        <f>INPUT!CL125</f>
        <v>37.133550488599319</v>
      </c>
      <c r="AV10" s="755">
        <f>INPUT!CM125</f>
        <v>77.699999999999989</v>
      </c>
      <c r="AW10" s="752">
        <f>INPUT!CN125</f>
        <v>19.907407407407373</v>
      </c>
      <c r="AX10" s="755">
        <f>INPUT!CO125</f>
        <v>78.800000000000011</v>
      </c>
      <c r="AY10" s="752">
        <f>INPUT!CP125</f>
        <v>13.708513708513713</v>
      </c>
      <c r="AZ10" s="755">
        <f>INPUT!CQ125</f>
        <v>85</v>
      </c>
      <c r="BA10" s="752">
        <f>INPUT!CR125</f>
        <v>13.484646194926553</v>
      </c>
      <c r="BB10" s="755">
        <f>INPUT!CS125</f>
        <v>85.699999999999989</v>
      </c>
      <c r="BC10" s="752">
        <f>INPUT!CT125</f>
        <v>1.7814726840855055</v>
      </c>
      <c r="BD10" s="755">
        <f>INPUT!CU125</f>
        <v>83.599999999999966</v>
      </c>
      <c r="BE10" s="752">
        <f>INPUT!CV125</f>
        <v>7.5933075933075633</v>
      </c>
      <c r="BF10" s="755">
        <f>INPUT!CW125</f>
        <v>70.999999999999943</v>
      </c>
      <c r="BG10" s="752">
        <f>INPUT!CX125</f>
        <v>-9.8984771573604853</v>
      </c>
      <c r="BH10" s="755">
        <f>INPUT!CY125</f>
        <v>83</v>
      </c>
      <c r="BI10" s="752">
        <f>INPUT!CZ125</f>
        <v>-2.352941176470591</v>
      </c>
      <c r="BJ10" s="755">
        <f>INPUT!DA125</f>
        <v>81.299999999999955</v>
      </c>
      <c r="BK10" s="752">
        <f>INPUT!DB125</f>
        <v>-5.1341890315052874</v>
      </c>
      <c r="BL10" s="755">
        <f>INPUT!DC125</f>
        <v>58.899999999999977</v>
      </c>
      <c r="BM10" s="752">
        <f>INPUT!DD125</f>
        <v>-29.54545454545454</v>
      </c>
      <c r="BN10" s="755">
        <f>INPUT!DE125</f>
        <v>81.199999999999989</v>
      </c>
      <c r="BO10" s="752">
        <f>INPUT!DF125</f>
        <v>14.366197183098661</v>
      </c>
      <c r="BP10" s="755">
        <f>INPUT!DG125</f>
        <v>82.5</v>
      </c>
      <c r="BQ10" s="752">
        <f>INPUT!DH125</f>
        <v>-0.60240963855421326</v>
      </c>
      <c r="BR10" s="755">
        <f>INPUT!DI125</f>
        <v>81.699999999999989</v>
      </c>
      <c r="BS10" s="752">
        <f>INPUT!DJ125</f>
        <v>0.49200492004923824</v>
      </c>
      <c r="BT10" s="755">
        <f>INPUT!DK125</f>
        <v>84.300000000000011</v>
      </c>
      <c r="BU10" s="752">
        <f>INPUT!DL125</f>
        <v>43.12393887945678</v>
      </c>
      <c r="BV10" s="755">
        <f>INPUT!DM125</f>
        <v>82.100000000000023</v>
      </c>
      <c r="BW10" s="752">
        <f>INPUT!DN125</f>
        <v>1.108374384236499</v>
      </c>
      <c r="BX10" s="755">
        <f>INPUT!DO125</f>
        <v>89.100000000000023</v>
      </c>
      <c r="BY10" s="752">
        <f>INPUT!DP125</f>
        <v>8.0000000000000284</v>
      </c>
      <c r="BZ10" s="755">
        <f>INPUT!DQ125</f>
        <v>87.699999999999989</v>
      </c>
      <c r="CA10" s="752">
        <f>INPUT!DR125</f>
        <v>7.3439412484700206</v>
      </c>
      <c r="CB10" s="755">
        <f>INPUT!DS125</f>
        <v>93.800000000000011</v>
      </c>
      <c r="CC10" s="752">
        <f>INPUT!DT125</f>
        <v>11.26927639383155</v>
      </c>
      <c r="CD10" s="755">
        <f>INPUT!DU125</f>
        <v>90.10000000000008</v>
      </c>
      <c r="CE10" s="752">
        <f>INPUT!DV125</f>
        <v>9.7442143727162644</v>
      </c>
      <c r="CF10" s="755">
        <f>INPUT!DW125</f>
        <v>95.899999999999977</v>
      </c>
      <c r="CG10" s="752">
        <f>INPUT!DX125</f>
        <v>7.6318742985409083</v>
      </c>
      <c r="CH10" s="755">
        <f>INPUT!DY125</f>
        <v>92.199999999999989</v>
      </c>
      <c r="CI10" s="752">
        <f>INPUT!DZ125</f>
        <v>5.1311288483466333</v>
      </c>
      <c r="CJ10" s="755">
        <f>INPUT!EA125</f>
        <v>94.500000000000057</v>
      </c>
      <c r="CK10" s="752">
        <f>INPUT!EB125</f>
        <v>0.74626865671647558</v>
      </c>
      <c r="CL10" s="755">
        <f>INPUT!EC125</f>
        <v>94.39999999999992</v>
      </c>
      <c r="CM10" s="752">
        <f>INPUT!ED125</f>
        <v>4.7724750277467587</v>
      </c>
      <c r="CN10" s="755">
        <f>INPUT!EE125</f>
        <v>94.5</v>
      </c>
      <c r="CO10" s="752">
        <f>INPUT!EF125</f>
        <v>-1.4598540145985162</v>
      </c>
      <c r="CP10" s="755">
        <f>INPUT!EG125</f>
        <v>108.30000000000001</v>
      </c>
      <c r="CQ10" s="752">
        <f>INPUT!EH125</f>
        <v>17.462039045553169</v>
      </c>
      <c r="CR10" s="755">
        <f>INPUT!EI125</f>
        <v>120.49999999999997</v>
      </c>
      <c r="CS10" s="752">
        <f>INPUT!EJ125</f>
        <v>27.513227513227399</v>
      </c>
      <c r="CT10" s="755">
        <f>INPUT!EK125</f>
        <v>98.466221399999995</v>
      </c>
      <c r="CU10" s="752">
        <f>INPUT!EL125</f>
        <v>4.3074379237288962</v>
      </c>
      <c r="CV10" s="755">
        <f>INPUT!EM125</f>
        <v>99.751249385200083</v>
      </c>
      <c r="CW10" s="752">
        <f>INPUT!EN125</f>
        <v>5.5568776562963773</v>
      </c>
      <c r="CX10" s="755">
        <f>INPUT!EO125</f>
        <v>101.05460845413364</v>
      </c>
      <c r="CY10" s="752">
        <f>INPUT!EP125</f>
        <v>-6.6901122307168714</v>
      </c>
      <c r="CZ10" s="755">
        <f>INPUT!EQ125</f>
        <v>101.94428273594559</v>
      </c>
      <c r="DA10" s="752">
        <f>INPUT!ER125</f>
        <v>-15.398935488841815</v>
      </c>
      <c r="DB10" s="755"/>
      <c r="DC10" s="755">
        <f>INPUT!FB125</f>
        <v>0</v>
      </c>
      <c r="DD10" s="756">
        <f>INPUT!FC125</f>
        <v>0</v>
      </c>
      <c r="DE10" s="755">
        <f>INPUT!FD125</f>
        <v>188.99999999999977</v>
      </c>
      <c r="DF10" s="756" t="str">
        <f>INPUT!FE125</f>
        <v>NA</v>
      </c>
      <c r="DG10" s="755">
        <f>INPUT!FF125</f>
        <v>216.09999999999991</v>
      </c>
      <c r="DH10" s="756">
        <f>INPUT!FG125</f>
        <v>14.338624338624427</v>
      </c>
      <c r="DI10" s="755">
        <f>INPUT!FH125</f>
        <v>180.09999999999991</v>
      </c>
      <c r="DJ10" s="756">
        <f>INPUT!FI125</f>
        <v>-16.658954187875985</v>
      </c>
      <c r="DK10" s="755">
        <f>INPUT!FJ125</f>
        <v>171.20000000000005</v>
      </c>
      <c r="DL10" s="752">
        <f>INPUT!FK125</f>
        <v>-4.9416990560798846</v>
      </c>
      <c r="DM10" s="755">
        <f>INPUT!FL125</f>
        <v>218.80000000000041</v>
      </c>
      <c r="DN10" s="752">
        <f>INPUT!FM125</f>
        <v>27.803738317757222</v>
      </c>
      <c r="DO10" s="755">
        <f>INPUT!FN125</f>
        <v>214.79999999999973</v>
      </c>
      <c r="DP10" s="752">
        <f>INPUT!FO125</f>
        <v>-1.8281535648997593</v>
      </c>
      <c r="DQ10" s="755">
        <f>INPUT!FP125</f>
        <v>271.79999999999995</v>
      </c>
      <c r="DR10" s="752">
        <f>INPUT!FQ125</f>
        <v>26.536312849162158</v>
      </c>
      <c r="DS10" s="755">
        <f>INPUT!FR125</f>
        <v>247.10000000000002</v>
      </c>
      <c r="DT10" s="752">
        <f>INPUT!FS125</f>
        <v>-9.0875643855776076</v>
      </c>
      <c r="DU10" s="755">
        <f>INPUT!FT125</f>
        <v>248.10000000000014</v>
      </c>
      <c r="DV10" s="752">
        <f>INPUT!FU125</f>
        <v>0.40469445568600548</v>
      </c>
      <c r="DW10" s="755">
        <f>INPUT!FV125</f>
        <v>306.09999999999991</v>
      </c>
      <c r="DX10" s="752">
        <f>INPUT!FW125</f>
        <v>23.377670294236097</v>
      </c>
      <c r="DY10" s="755">
        <f>INPUT!FX125</f>
        <v>331.59999999999968</v>
      </c>
      <c r="DZ10" s="752">
        <f>INPUT!FY125</f>
        <v>8.3306109114667635</v>
      </c>
      <c r="EA10" s="755">
        <f>INPUT!FZ125</f>
        <v>294.20000000000027</v>
      </c>
      <c r="EB10" s="752">
        <f>INPUT!GA125</f>
        <v>-11.278648974668105</v>
      </c>
      <c r="EC10" s="755">
        <f>INPUT!GB125</f>
        <v>329.69999999999982</v>
      </c>
      <c r="ED10" s="752">
        <f>INPUT!GC125</f>
        <v>12.066621346022943</v>
      </c>
      <c r="EE10" s="755">
        <f>INPUT!GD125</f>
        <v>352.70000000000027</v>
      </c>
      <c r="EF10" s="752">
        <f>INPUT!GE125</f>
        <v>6.9760388231727255</v>
      </c>
      <c r="EG10" s="755">
        <f>INPUT!GF125</f>
        <v>372.70000000000005</v>
      </c>
      <c r="EH10" s="752">
        <f>INPUT!GG125</f>
        <v>5.6705415367166889</v>
      </c>
      <c r="EI10" s="755">
        <f>INPUT!GH125</f>
        <v>417.69999999999993</v>
      </c>
      <c r="EJ10" s="752">
        <f>INPUT!GI125</f>
        <v>12.074054199087714</v>
      </c>
      <c r="EK10" s="755">
        <f>INPUT!GJ125</f>
        <v>401.21636197527914</v>
      </c>
      <c r="EL10" s="752">
        <f>INPUT!GK125</f>
        <v>-3.9462863358201594</v>
      </c>
      <c r="EM10" s="755">
        <f>INPUT!GL125</f>
        <v>416.22289684887323</v>
      </c>
      <c r="EN10" s="752">
        <f>INPUT!GM125</f>
        <v>3.7402599434662953</v>
      </c>
      <c r="EO10" s="755">
        <f>INPUT!GN125</f>
        <v>431.82812996939197</v>
      </c>
      <c r="EP10" s="752">
        <f>INPUT!GO125</f>
        <v>3.7492490775164811</v>
      </c>
      <c r="EQ10" s="755">
        <f>INPUT!GP125</f>
        <v>448.05744739427882</v>
      </c>
      <c r="ER10" s="752">
        <f>INPUT!GQ125</f>
        <v>3.7582816631323235</v>
      </c>
      <c r="ES10" s="755">
        <f>INPUT!GR125</f>
        <v>461.31059094722605</v>
      </c>
      <c r="ET10" s="752">
        <f>INPUT!GS125</f>
        <v>2.9579116762866287</v>
      </c>
      <c r="EU10" s="756">
        <f>INPUT!GT125</f>
        <v>2.0060169785684812</v>
      </c>
      <c r="EV10" s="710"/>
    </row>
    <row r="11" spans="1:152" ht="12.75" customHeight="1" x14ac:dyDescent="0.2">
      <c r="A11" s="754" t="s">
        <v>104</v>
      </c>
      <c r="B11" s="755">
        <f>INPUT!AS159</f>
        <v>101.29999999999973</v>
      </c>
      <c r="C11" s="756">
        <f>INPUT!AT159</f>
        <v>0.79601990049700255</v>
      </c>
      <c r="D11" s="755">
        <f>INPUT!AU159</f>
        <v>104.5</v>
      </c>
      <c r="E11" s="756">
        <f>INPUT!AV159</f>
        <v>-6.1938958707361653</v>
      </c>
      <c r="F11" s="755">
        <f>INPUT!AW159</f>
        <v>118.20000000000005</v>
      </c>
      <c r="G11" s="756">
        <f>INPUT!AX159</f>
        <v>4.9733570159859131</v>
      </c>
      <c r="H11" s="755">
        <f>INPUT!AY159</f>
        <v>135.89999999999986</v>
      </c>
      <c r="I11" s="752">
        <f>INPUT!AZ159</f>
        <v>30.798845043310628</v>
      </c>
      <c r="J11" s="755">
        <f>INPUT!BA159</f>
        <v>136.89999999999986</v>
      </c>
      <c r="K11" s="752">
        <f>INPUT!BB159</f>
        <v>35.143139190523428</v>
      </c>
      <c r="L11" s="755">
        <f>INPUT!BC159</f>
        <v>152.69999999999982</v>
      </c>
      <c r="M11" s="752">
        <f>INPUT!BD159</f>
        <v>46.124401913875431</v>
      </c>
      <c r="N11" s="755">
        <f>INPUT!BE159</f>
        <v>157.79999999999995</v>
      </c>
      <c r="O11" s="752">
        <f>INPUT!BF159</f>
        <v>33.502538071065892</v>
      </c>
      <c r="P11" s="755">
        <f>INPUT!BG159</f>
        <v>160.89999999999986</v>
      </c>
      <c r="Q11" s="752">
        <f>INPUT!BH159</f>
        <v>18.395879323031661</v>
      </c>
      <c r="R11" s="755">
        <f>INPUT!BI159</f>
        <v>158.29999999999995</v>
      </c>
      <c r="S11" s="752">
        <f>INPUT!BJ159</f>
        <v>15.631848064280573</v>
      </c>
      <c r="T11" s="755">
        <f>INPUT!BK159</f>
        <v>171.60000000000036</v>
      </c>
      <c r="U11" s="752">
        <f>INPUT!BL159</f>
        <v>12.377210216110402</v>
      </c>
      <c r="V11" s="755">
        <f>INPUT!BM159</f>
        <v>171.59999999999968</v>
      </c>
      <c r="W11" s="752">
        <f>INPUT!BN159</f>
        <v>8.7452471482887937</v>
      </c>
      <c r="X11" s="755">
        <f>INPUT!BO159</f>
        <v>182.60000000000036</v>
      </c>
      <c r="Y11" s="752">
        <f>INPUT!BP159</f>
        <v>13.486637663145128</v>
      </c>
      <c r="Z11" s="755">
        <f>INPUT!BQ159</f>
        <v>183.60000000000014</v>
      </c>
      <c r="AA11" s="752">
        <f>INPUT!BR159</f>
        <v>15.982312065698157</v>
      </c>
      <c r="AB11" s="755">
        <f>INPUT!BS159</f>
        <v>191.2999999999995</v>
      </c>
      <c r="AC11" s="752">
        <f>INPUT!BT159</f>
        <v>11.48018648018596</v>
      </c>
      <c r="AD11" s="755">
        <f>INPUT!BU159</f>
        <v>197.09999999999945</v>
      </c>
      <c r="AE11" s="752">
        <f>INPUT!BV159</f>
        <v>14.860139860139764</v>
      </c>
      <c r="AF11" s="755">
        <f>INPUT!BW159</f>
        <v>203</v>
      </c>
      <c r="AG11" s="752">
        <f>INPUT!BX159</f>
        <v>11.171960569550698</v>
      </c>
      <c r="AH11" s="755">
        <f>INPUT!BY159</f>
        <v>182.5</v>
      </c>
      <c r="AI11" s="752">
        <f>INPUT!BZ159</f>
        <v>-0.59912854030508278</v>
      </c>
      <c r="AJ11" s="755">
        <f>INPUT!CA159</f>
        <v>200.79999999999995</v>
      </c>
      <c r="AK11" s="752">
        <f>INPUT!CB159</f>
        <v>4.9660219550446749</v>
      </c>
      <c r="AL11" s="755">
        <f>INPUT!CC159</f>
        <v>190.99999999999977</v>
      </c>
      <c r="AM11" s="752">
        <f>INPUT!CD159</f>
        <v>-3.0948756976152736</v>
      </c>
      <c r="AN11" s="755">
        <f>INPUT!CE159</f>
        <v>195.00000000000023</v>
      </c>
      <c r="AO11" s="752">
        <f>INPUT!CF159</f>
        <v>-3.9408866995072733</v>
      </c>
      <c r="AP11" s="755">
        <f>INPUT!CG159</f>
        <v>194.70000000000005</v>
      </c>
      <c r="AQ11" s="752">
        <f>INPUT!CH159</f>
        <v>6.6849315068493453</v>
      </c>
      <c r="AR11" s="755">
        <f>INPUT!CI159</f>
        <v>205.59999999999991</v>
      </c>
      <c r="AS11" s="752">
        <f>INPUT!CJ159</f>
        <v>2.3904382470119279</v>
      </c>
      <c r="AT11" s="755">
        <f>INPUT!CK159</f>
        <v>209.20000000000027</v>
      </c>
      <c r="AU11" s="752">
        <f>INPUT!CL159</f>
        <v>9.5287958115185987</v>
      </c>
      <c r="AV11" s="755">
        <f>INPUT!CM159</f>
        <v>207.40000000000009</v>
      </c>
      <c r="AW11" s="752">
        <f>INPUT!CN159</f>
        <v>6.3589743589742787</v>
      </c>
      <c r="AX11" s="755">
        <f>INPUT!CO159</f>
        <v>205.89999999999964</v>
      </c>
      <c r="AY11" s="752">
        <f>INPUT!CP159</f>
        <v>5.752439650744523</v>
      </c>
      <c r="AZ11" s="755">
        <f>INPUT!CQ159</f>
        <v>212.70000000000027</v>
      </c>
      <c r="BA11" s="752">
        <f>INPUT!CR159</f>
        <v>3.4533073929962965</v>
      </c>
      <c r="BB11" s="755">
        <f>INPUT!CS159</f>
        <v>216.29999999999995</v>
      </c>
      <c r="BC11" s="752">
        <f>INPUT!CT159</f>
        <v>3.3938814531547123</v>
      </c>
      <c r="BD11" s="755">
        <f>INPUT!CU159</f>
        <v>212.19999999999982</v>
      </c>
      <c r="BE11" s="752">
        <f>INPUT!CV159</f>
        <v>2.3143683702988138</v>
      </c>
      <c r="BF11" s="755">
        <f>INPUT!CW159</f>
        <v>205.20000000000005</v>
      </c>
      <c r="BG11" s="752">
        <f>INPUT!CX159</f>
        <v>-0.33997085964040386</v>
      </c>
      <c r="BH11" s="755">
        <f>INPUT!CY159</f>
        <v>211.09999999999991</v>
      </c>
      <c r="BI11" s="752">
        <f>INPUT!CZ159</f>
        <v>-0.75223319228977514</v>
      </c>
      <c r="BJ11" s="755">
        <f>INPUT!DA159</f>
        <v>216.90000000000009</v>
      </c>
      <c r="BK11" s="752">
        <f>INPUT!DB159</f>
        <v>0.27739251040228563</v>
      </c>
      <c r="BL11" s="755">
        <f>INPUT!DC159</f>
        <v>225.20000000000005</v>
      </c>
      <c r="BM11" s="752">
        <f>INPUT!DD159</f>
        <v>6.1262959472197176</v>
      </c>
      <c r="BN11" s="755">
        <f>INPUT!DE159</f>
        <v>207.5</v>
      </c>
      <c r="BO11" s="752">
        <f>INPUT!DF159</f>
        <v>1.1208576998050557</v>
      </c>
      <c r="BP11" s="755">
        <f>INPUT!DG159</f>
        <v>215.79999999999973</v>
      </c>
      <c r="BQ11" s="752">
        <f>INPUT!DH159</f>
        <v>2.2264329701562335</v>
      </c>
      <c r="BR11" s="755">
        <f>INPUT!DI159</f>
        <v>212.10000000000014</v>
      </c>
      <c r="BS11" s="752">
        <f>INPUT!DJ159</f>
        <v>-2.2130013831258455</v>
      </c>
      <c r="BT11" s="755">
        <f>INPUT!DK159</f>
        <v>209.5</v>
      </c>
      <c r="BU11" s="752">
        <f>INPUT!DL159</f>
        <v>-6.9715808170515263</v>
      </c>
      <c r="BV11" s="755">
        <f>INPUT!DM159</f>
        <v>214.30000000000018</v>
      </c>
      <c r="BW11" s="752">
        <f>INPUT!DN159</f>
        <v>3.277108433735032</v>
      </c>
      <c r="BX11" s="755">
        <f>INPUT!DO159</f>
        <v>202.80000000000018</v>
      </c>
      <c r="BY11" s="752">
        <f>INPUT!DP159</f>
        <v>-6.0240963855419665</v>
      </c>
      <c r="BZ11" s="755">
        <f>INPUT!DQ159</f>
        <v>218.69999999999982</v>
      </c>
      <c r="CA11" s="752">
        <f>INPUT!DR159</f>
        <v>3.1117397454029527</v>
      </c>
      <c r="CB11" s="755">
        <f>INPUT!DS159</f>
        <v>214.19999999999982</v>
      </c>
      <c r="CC11" s="752">
        <f>INPUT!DT159</f>
        <v>2.243436754176531</v>
      </c>
      <c r="CD11" s="755">
        <f>INPUT!DU159</f>
        <v>215.90000000000032</v>
      </c>
      <c r="CE11" s="752">
        <f>INPUT!DV159</f>
        <v>0.74661689220725247</v>
      </c>
      <c r="CF11" s="755">
        <f>INPUT!DW159</f>
        <v>227.20000000000027</v>
      </c>
      <c r="CG11" s="752">
        <f>INPUT!DX159</f>
        <v>12.031558185404378</v>
      </c>
      <c r="CH11" s="755">
        <f>INPUT!DY159</f>
        <v>231</v>
      </c>
      <c r="CI11" s="752">
        <f>INPUT!DZ159</f>
        <v>5.6241426611797873</v>
      </c>
      <c r="CJ11" s="755">
        <f>INPUT!EA159</f>
        <v>240.09999999999945</v>
      </c>
      <c r="CK11" s="752">
        <f>INPUT!EB159</f>
        <v>12.091503267973703</v>
      </c>
      <c r="CL11" s="755">
        <f>INPUT!EC159</f>
        <v>239.09999999999991</v>
      </c>
      <c r="CM11" s="752">
        <f>INPUT!ED159</f>
        <v>10.745715609078065</v>
      </c>
      <c r="CN11" s="755">
        <f>INPUT!EE159</f>
        <v>247.80000000000018</v>
      </c>
      <c r="CO11" s="752">
        <f>INPUT!EF159</f>
        <v>9.0669014084506561</v>
      </c>
      <c r="CP11" s="755">
        <f>INPUT!EG159</f>
        <v>258.40000000000009</v>
      </c>
      <c r="CQ11" s="752">
        <f>INPUT!EH159</f>
        <v>11.861471861471905</v>
      </c>
      <c r="CR11" s="755">
        <f>INPUT!EI159</f>
        <v>264.20000000000016</v>
      </c>
      <c r="CS11" s="752">
        <f>INPUT!EJ159</f>
        <v>10.037484381508023</v>
      </c>
      <c r="CT11" s="755">
        <f>INPUT!EK159</f>
        <v>247.75395908854307</v>
      </c>
      <c r="CU11" s="752">
        <f>INPUT!EL159</f>
        <v>3.6193889956265934</v>
      </c>
      <c r="CV11" s="755">
        <f>INPUT!EM159</f>
        <v>249.92341271997634</v>
      </c>
      <c r="CW11" s="752">
        <f>INPUT!EN159</f>
        <v>0.85690585955453535</v>
      </c>
      <c r="CX11" s="755">
        <f>INPUT!EO159</f>
        <v>253.27590306912748</v>
      </c>
      <c r="CY11" s="752">
        <f>INPUT!EP159</f>
        <v>-1.9830096481705195</v>
      </c>
      <c r="CZ11" s="755">
        <f>INPUT!EQ159</f>
        <v>256.21326921042373</v>
      </c>
      <c r="DA11" s="752">
        <f>INPUT!ER159</f>
        <v>-3.0229866728146981</v>
      </c>
      <c r="DB11" s="755"/>
      <c r="DC11" s="755">
        <f>INPUT!FB159</f>
        <v>0</v>
      </c>
      <c r="DD11" s="756">
        <f>INPUT!FC159</f>
        <v>0</v>
      </c>
      <c r="DE11" s="755">
        <f>INPUT!FD159</f>
        <v>703.00000000000091</v>
      </c>
      <c r="DF11" s="756" t="str">
        <f>INPUT!FE159</f>
        <v>NA</v>
      </c>
      <c r="DG11" s="755">
        <f>INPUT!FF159</f>
        <v>-431.19999999999982</v>
      </c>
      <c r="DH11" s="756" t="str">
        <f>INPUT!FG159</f>
        <v>NM</v>
      </c>
      <c r="DI11" s="755">
        <f>INPUT!FH159</f>
        <v>335.50000000000091</v>
      </c>
      <c r="DJ11" s="756" t="str">
        <f>INPUT!FI159</f>
        <v>NM</v>
      </c>
      <c r="DK11" s="755">
        <f>INPUT!FJ159</f>
        <v>428.39999999999964</v>
      </c>
      <c r="DL11" s="752">
        <f>INPUT!FK159</f>
        <v>27.69001490312921</v>
      </c>
      <c r="DM11" s="755">
        <f>INPUT!FL159</f>
        <v>459.89999999999964</v>
      </c>
      <c r="DN11" s="752">
        <f>INPUT!FM159</f>
        <v>7.3529411764705843</v>
      </c>
      <c r="DO11" s="755">
        <f>INPUT!FN159</f>
        <v>608.30000000000109</v>
      </c>
      <c r="DP11" s="752">
        <f>INPUT!FO159</f>
        <v>32.267884322679173</v>
      </c>
      <c r="DQ11" s="755">
        <f>INPUT!FP159</f>
        <v>684.09999999999945</v>
      </c>
      <c r="DR11" s="752">
        <f>INPUT!FQ159</f>
        <v>12.460956764753938</v>
      </c>
      <c r="DS11" s="755">
        <f>INPUT!FR159</f>
        <v>718.99999999999909</v>
      </c>
      <c r="DT11" s="752">
        <f>INPUT!FS159</f>
        <v>5.1015933343077968</v>
      </c>
      <c r="DU11" s="755">
        <f>INPUT!FT159</f>
        <v>769.30000000000018</v>
      </c>
      <c r="DV11" s="752">
        <f>INPUT!FU159</f>
        <v>6.9958275382477231</v>
      </c>
      <c r="DW11" s="755">
        <f>INPUT!FV159</f>
        <v>816.89999999999964</v>
      </c>
      <c r="DX11" s="752">
        <f>INPUT!FW159</f>
        <v>6.1874431301182087</v>
      </c>
      <c r="DY11" s="755">
        <f>INPUT!FX159</f>
        <v>842.79999999999927</v>
      </c>
      <c r="DZ11" s="752">
        <f>INPUT!FY159</f>
        <v>3.1705227077977183</v>
      </c>
      <c r="EA11" s="755">
        <f>INPUT!FZ159</f>
        <v>858.40000000000055</v>
      </c>
      <c r="EB11" s="752">
        <f>INPUT!GA159</f>
        <v>1.8509729473186187</v>
      </c>
      <c r="EC11" s="755">
        <f>INPUT!GB159</f>
        <v>844.90000000000055</v>
      </c>
      <c r="ED11" s="752">
        <f>INPUT!GC159</f>
        <v>-1.572693383038215</v>
      </c>
      <c r="EE11" s="755">
        <f>INPUT!GD159</f>
        <v>850</v>
      </c>
      <c r="EF11" s="752">
        <f>INPUT!GE159</f>
        <v>0.60362173038222</v>
      </c>
      <c r="EG11" s="755">
        <f>INPUT!GF159</f>
        <v>914.19999999999982</v>
      </c>
      <c r="EH11" s="752">
        <f>INPUT!GG159</f>
        <v>7.5529411764705623</v>
      </c>
      <c r="EI11" s="755">
        <f>INPUT!GH159</f>
        <v>1009.4999999999997</v>
      </c>
      <c r="EJ11" s="752">
        <f>INPUT!GI159</f>
        <v>10.424414788886448</v>
      </c>
      <c r="EK11" s="755">
        <f>INPUT!GJ159</f>
        <v>1007.1665440880697</v>
      </c>
      <c r="EL11" s="752">
        <f>INPUT!GK159</f>
        <v>-0.23114966933431846</v>
      </c>
      <c r="EM11" s="755">
        <f>INPUT!GL159</f>
        <v>1038.8742678077633</v>
      </c>
      <c r="EN11" s="752">
        <f>INPUT!GM159</f>
        <v>3.1482105820346717</v>
      </c>
      <c r="EO11" s="755">
        <f>INPUT!GN159</f>
        <v>1071.830784140473</v>
      </c>
      <c r="EP11" s="752">
        <f>INPUT!GO159</f>
        <v>3.1723296412235369</v>
      </c>
      <c r="EQ11" s="755">
        <f>INPUT!GP159</f>
        <v>1107.8845811916553</v>
      </c>
      <c r="ER11" s="752">
        <f>INPUT!GQ159</f>
        <v>3.3637583081824518</v>
      </c>
      <c r="ES11" s="755">
        <f>INPUT!GR159</f>
        <v>1139.8795837842745</v>
      </c>
      <c r="ET11" s="752">
        <f>INPUT!GS159</f>
        <v>2.8879364453474832</v>
      </c>
      <c r="EU11" s="756">
        <f>INPUT!GT159</f>
        <v>2.4590985031468504</v>
      </c>
      <c r="EV11" s="710"/>
    </row>
    <row r="12" spans="1:152" ht="12.75" customHeight="1" x14ac:dyDescent="0.2">
      <c r="A12" s="754" t="s">
        <v>108</v>
      </c>
      <c r="B12" s="755">
        <f>INPUT!AS205</f>
        <v>54.400000000000006</v>
      </c>
      <c r="C12" s="756">
        <f>INPUT!AT205</f>
        <v>15.010570824524239</v>
      </c>
      <c r="D12" s="755">
        <f>INPUT!AU205</f>
        <v>56.100000000000023</v>
      </c>
      <c r="E12" s="756">
        <f>INPUT!AV205</f>
        <v>35.835351089588485</v>
      </c>
      <c r="F12" s="755">
        <f>INPUT!AW205</f>
        <v>65.5</v>
      </c>
      <c r="G12" s="756">
        <f>INPUT!AX205</f>
        <v>48.526077097505585</v>
      </c>
      <c r="H12" s="755">
        <f>INPUT!AY205</f>
        <v>81.799999999999983</v>
      </c>
      <c r="I12" s="752">
        <f>INPUT!AZ205</f>
        <v>65.922920892495057</v>
      </c>
      <c r="J12" s="755">
        <f>INPUT!BA205</f>
        <v>72.400000000000006</v>
      </c>
      <c r="K12" s="752">
        <f>INPUT!BB205</f>
        <v>33.088235294117638</v>
      </c>
      <c r="L12" s="755">
        <f>INPUT!BC205</f>
        <v>74.100000000000023</v>
      </c>
      <c r="M12" s="752">
        <f>INPUT!BD205</f>
        <v>32.085561497326196</v>
      </c>
      <c r="N12" s="755">
        <f>INPUT!BE205</f>
        <v>97.600000000000023</v>
      </c>
      <c r="O12" s="752">
        <f>INPUT!BF205</f>
        <v>49.007633587786302</v>
      </c>
      <c r="P12" s="755">
        <f>INPUT!BG205</f>
        <v>81.699999999999989</v>
      </c>
      <c r="Q12" s="752">
        <f>INPUT!BH205</f>
        <v>-0.12224938875304847</v>
      </c>
      <c r="R12" s="755">
        <f>INPUT!BI205</f>
        <v>84.300000000000011</v>
      </c>
      <c r="S12" s="752">
        <f>INPUT!BJ205</f>
        <v>16.436464088397805</v>
      </c>
      <c r="T12" s="755">
        <f>INPUT!BK205</f>
        <v>92.599999999999966</v>
      </c>
      <c r="U12" s="752">
        <f>INPUT!BL205</f>
        <v>24.966261808366987</v>
      </c>
      <c r="V12" s="755">
        <f>INPUT!BM205</f>
        <v>92.5</v>
      </c>
      <c r="W12" s="752">
        <f>INPUT!BN205</f>
        <v>-5.2254098360655981</v>
      </c>
      <c r="X12" s="755">
        <f>INPUT!BO205</f>
        <v>54.600000000000023</v>
      </c>
      <c r="Y12" s="752">
        <f>INPUT!BP205</f>
        <v>-33.170134638922853</v>
      </c>
      <c r="Z12" s="755">
        <f>INPUT!BQ205</f>
        <v>62.300000000000011</v>
      </c>
      <c r="AA12" s="752">
        <f>INPUT!BR205</f>
        <v>-26.097271648873065</v>
      </c>
      <c r="AB12" s="755">
        <f>INPUT!BS205</f>
        <v>67.300000000000011</v>
      </c>
      <c r="AC12" s="752">
        <f>INPUT!BT205</f>
        <v>-27.321814254859579</v>
      </c>
      <c r="AD12" s="755">
        <f>INPUT!BU205</f>
        <v>58.699999999999989</v>
      </c>
      <c r="AE12" s="752">
        <f>INPUT!BV205</f>
        <v>-36.540540540540555</v>
      </c>
      <c r="AF12" s="755">
        <f>INPUT!BW205</f>
        <v>61.299999999999983</v>
      </c>
      <c r="AG12" s="752">
        <f>INPUT!BX205</f>
        <v>12.271062271062183</v>
      </c>
      <c r="AH12" s="755">
        <f>INPUT!BY205</f>
        <v>60.600000000000023</v>
      </c>
      <c r="AI12" s="752">
        <f>INPUT!BZ205</f>
        <v>-2.728731942215068</v>
      </c>
      <c r="AJ12" s="755">
        <f>INPUT!CA205</f>
        <v>52.799999999999983</v>
      </c>
      <c r="AK12" s="752">
        <f>INPUT!CB205</f>
        <v>-21.545319465081757</v>
      </c>
      <c r="AL12" s="755">
        <f>INPUT!CC205</f>
        <v>47.800000000000011</v>
      </c>
      <c r="AM12" s="752">
        <f>INPUT!CD205</f>
        <v>-18.568994889267433</v>
      </c>
      <c r="AN12" s="755">
        <f>INPUT!CE205</f>
        <v>47.800000000000011</v>
      </c>
      <c r="AO12" s="752">
        <f>INPUT!CF205</f>
        <v>-22.022838499184296</v>
      </c>
      <c r="AP12" s="755">
        <f>INPUT!CG205</f>
        <v>48.900000000000006</v>
      </c>
      <c r="AQ12" s="752">
        <f>INPUT!CH205</f>
        <v>-19.306930693069326</v>
      </c>
      <c r="AR12" s="755">
        <f>INPUT!CI205</f>
        <v>55.200000000000017</v>
      </c>
      <c r="AS12" s="752">
        <f>INPUT!CJ205</f>
        <v>4.545454545454608</v>
      </c>
      <c r="AT12" s="755">
        <f>INPUT!CK205</f>
        <v>34.699999999999989</v>
      </c>
      <c r="AU12" s="752">
        <f>INPUT!CL205</f>
        <v>-27.405857740585816</v>
      </c>
      <c r="AV12" s="755">
        <f>INPUT!CM205</f>
        <v>51.900000000000006</v>
      </c>
      <c r="AW12" s="752">
        <f>INPUT!CN205</f>
        <v>8.5774058577405619</v>
      </c>
      <c r="AX12" s="755">
        <f>INPUT!CO205</f>
        <v>38.799999999999983</v>
      </c>
      <c r="AY12" s="752">
        <f>INPUT!CP205</f>
        <v>-20.654396728016401</v>
      </c>
      <c r="AZ12" s="755">
        <f>INPUT!CQ205</f>
        <v>29.999999999999972</v>
      </c>
      <c r="BA12" s="752">
        <f>INPUT!CR205</f>
        <v>-45.652173913043548</v>
      </c>
      <c r="BB12" s="755">
        <f>INPUT!CS205</f>
        <v>27.5</v>
      </c>
      <c r="BC12" s="752">
        <f>INPUT!CT205</f>
        <v>-20.749279538904876</v>
      </c>
      <c r="BD12" s="755">
        <f>INPUT!CU205</f>
        <v>35</v>
      </c>
      <c r="BE12" s="752">
        <f>INPUT!CV205</f>
        <v>-32.562620423892106</v>
      </c>
      <c r="BF12" s="755">
        <f>INPUT!CW205</f>
        <v>31.300000000000011</v>
      </c>
      <c r="BG12" s="752">
        <f>INPUT!CX205</f>
        <v>-19.329896907216426</v>
      </c>
      <c r="BH12" s="755">
        <f>INPUT!CY205</f>
        <v>33.5</v>
      </c>
      <c r="BI12" s="752">
        <f>INPUT!CZ205</f>
        <v>11.666666666666782</v>
      </c>
      <c r="BJ12" s="755">
        <f>INPUT!DA205</f>
        <v>31.300000000000011</v>
      </c>
      <c r="BK12" s="752">
        <f>INPUT!DB205</f>
        <v>13.818181818181863</v>
      </c>
      <c r="BL12" s="755">
        <f>INPUT!DC205</f>
        <v>35.900000000000006</v>
      </c>
      <c r="BM12" s="752">
        <f>INPUT!DD205</f>
        <v>2.5714285714285801</v>
      </c>
      <c r="BN12" s="755">
        <f>INPUT!DE205</f>
        <v>36.499999999999972</v>
      </c>
      <c r="BO12" s="752">
        <f>INPUT!DF205</f>
        <v>16.613418530351296</v>
      </c>
      <c r="BP12" s="755">
        <f>INPUT!DG205</f>
        <v>39.599999999999994</v>
      </c>
      <c r="BQ12" s="752">
        <f>INPUT!DH205</f>
        <v>18.208955223880572</v>
      </c>
      <c r="BR12" s="755">
        <f>INPUT!DI205</f>
        <v>33.5</v>
      </c>
      <c r="BS12" s="752">
        <f>INPUT!DJ205</f>
        <v>7.0287539936101817</v>
      </c>
      <c r="BT12" s="755">
        <f>INPUT!DK205</f>
        <v>38.200000000000017</v>
      </c>
      <c r="BU12" s="752">
        <f>INPUT!DL205</f>
        <v>6.4066852367688387</v>
      </c>
      <c r="BV12" s="755">
        <f>INPUT!DM205</f>
        <v>32.599999999999994</v>
      </c>
      <c r="BW12" s="752">
        <f>INPUT!DN205</f>
        <v>-10.68493150684926</v>
      </c>
      <c r="BX12" s="755">
        <f>INPUT!DO205</f>
        <v>38.299999999999983</v>
      </c>
      <c r="BY12" s="752">
        <f>INPUT!DP205</f>
        <v>-3.2828282828283095</v>
      </c>
      <c r="BZ12" s="755">
        <f>INPUT!DQ205</f>
        <v>32.700000000000017</v>
      </c>
      <c r="CA12" s="752">
        <f>INPUT!DR205</f>
        <v>-2.3880597014924843</v>
      </c>
      <c r="CB12" s="755">
        <f>INPUT!DS205</f>
        <v>37</v>
      </c>
      <c r="CC12" s="752">
        <f>INPUT!DT205</f>
        <v>-3.1413612565445503</v>
      </c>
      <c r="CD12" s="755">
        <f>INPUT!DU205</f>
        <v>33.600000000000023</v>
      </c>
      <c r="CE12" s="752">
        <f>INPUT!DV205</f>
        <v>3.0674846625767804</v>
      </c>
      <c r="CF12" s="755">
        <f>INPUT!DW205</f>
        <v>36.900000000000006</v>
      </c>
      <c r="CG12" s="752">
        <f>INPUT!DX205</f>
        <v>-3.6553524804176951</v>
      </c>
      <c r="CH12" s="755">
        <f>INPUT!DY205</f>
        <v>28.200000000000017</v>
      </c>
      <c r="CI12" s="752">
        <f>INPUT!DZ205</f>
        <v>-13.761467889908252</v>
      </c>
      <c r="CJ12" s="755">
        <f>INPUT!EA205</f>
        <v>29.90000000000002</v>
      </c>
      <c r="CK12" s="752">
        <f>INPUT!EB205</f>
        <v>-19.189189189189136</v>
      </c>
      <c r="CL12" s="755">
        <f>INPUT!EC205</f>
        <v>26.599999999999994</v>
      </c>
      <c r="CM12" s="752">
        <f>INPUT!ED205</f>
        <v>-20.833333333333403</v>
      </c>
      <c r="CN12" s="755">
        <f>INPUT!EE205</f>
        <v>28.900000000000006</v>
      </c>
      <c r="CO12" s="752">
        <f>INPUT!EF205</f>
        <v>-21.680216802168019</v>
      </c>
      <c r="CP12" s="755">
        <f>INPUT!EG205</f>
        <v>25.899999999999977</v>
      </c>
      <c r="CQ12" s="752">
        <f>INPUT!EH205</f>
        <v>-8.1560283687944661</v>
      </c>
      <c r="CR12" s="755">
        <f>INPUT!EI205</f>
        <v>29.700000000000017</v>
      </c>
      <c r="CS12" s="752">
        <f>INPUT!EJ205</f>
        <v>-0.66889632107024477</v>
      </c>
      <c r="CT12" s="755">
        <f>INPUT!EK205</f>
        <v>30.230456366771932</v>
      </c>
      <c r="CU12" s="752">
        <f>INPUT!EL205</f>
        <v>13.648332205909552</v>
      </c>
      <c r="CV12" s="755">
        <f>INPUT!EM205</f>
        <v>30.389841129286168</v>
      </c>
      <c r="CW12" s="752">
        <f>INPUT!EN205</f>
        <v>5.1551596169071345</v>
      </c>
      <c r="CX12" s="755">
        <f>INPUT!EO205</f>
        <v>30.005496626384883</v>
      </c>
      <c r="CY12" s="752">
        <f>INPUT!EP205</f>
        <v>15.851338325810449</v>
      </c>
      <c r="CZ12" s="755">
        <f>INPUT!EQ205</f>
        <v>29.255547131776524</v>
      </c>
      <c r="DA12" s="752">
        <f>INPUT!ER205</f>
        <v>-1.4964743037828021</v>
      </c>
      <c r="DB12" s="755"/>
      <c r="DC12" s="755">
        <f>INPUT!FB205</f>
        <v>0</v>
      </c>
      <c r="DD12" s="756">
        <f>INPUT!FC205</f>
        <v>0</v>
      </c>
      <c r="DE12" s="755">
        <f>INPUT!FD205</f>
        <v>69.5</v>
      </c>
      <c r="DF12" s="756" t="str">
        <f>INPUT!FE205</f>
        <v>NA</v>
      </c>
      <c r="DG12" s="755">
        <f>INPUT!FF205</f>
        <v>112</v>
      </c>
      <c r="DH12" s="756">
        <f>INPUT!FG205</f>
        <v>61.151079136690647</v>
      </c>
      <c r="DI12" s="755">
        <f>INPUT!FH205</f>
        <v>151.29999999999995</v>
      </c>
      <c r="DJ12" s="756">
        <f>INPUT!FI205</f>
        <v>35.089285714285666</v>
      </c>
      <c r="DK12" s="755">
        <f>INPUT!FJ205</f>
        <v>182.00000000000011</v>
      </c>
      <c r="DL12" s="752">
        <f>INPUT!FK205</f>
        <v>20.290812954395342</v>
      </c>
      <c r="DM12" s="755">
        <f>INPUT!FL205</f>
        <v>257.79999999999995</v>
      </c>
      <c r="DN12" s="752">
        <f>INPUT!FM205</f>
        <v>41.648351648351543</v>
      </c>
      <c r="DO12" s="755">
        <f>INPUT!FN205</f>
        <v>325.79999999999995</v>
      </c>
      <c r="DP12" s="752">
        <f>INPUT!FO205</f>
        <v>26.377036462373948</v>
      </c>
      <c r="DQ12" s="755">
        <f>INPUT!FP205</f>
        <v>323.99999999999977</v>
      </c>
      <c r="DR12" s="752">
        <f>INPUT!FQ205</f>
        <v>-0.55248618784535797</v>
      </c>
      <c r="DS12" s="755">
        <f>INPUT!FR205</f>
        <v>251.99999999999989</v>
      </c>
      <c r="DT12" s="752">
        <f>INPUT!FS205</f>
        <v>-22.2222222222222</v>
      </c>
      <c r="DU12" s="755">
        <f>INPUT!FT205</f>
        <v>209</v>
      </c>
      <c r="DV12" s="752">
        <f>INPUT!FU205</f>
        <v>-17.063492063492024</v>
      </c>
      <c r="DW12" s="755">
        <f>INPUT!FV205</f>
        <v>190.70000000000005</v>
      </c>
      <c r="DX12" s="752">
        <f>INPUT!FW205</f>
        <v>-8.7559808612439944</v>
      </c>
      <c r="DY12" s="755">
        <f>INPUT!FX205</f>
        <v>131.29999999999984</v>
      </c>
      <c r="DZ12" s="752">
        <f>INPUT!FY205</f>
        <v>-31.148400629260721</v>
      </c>
      <c r="EA12" s="755">
        <f>INPUT!FZ205</f>
        <v>132</v>
      </c>
      <c r="EB12" s="752">
        <f>INPUT!GA205</f>
        <v>0.53313023610066512</v>
      </c>
      <c r="EC12" s="755">
        <f>INPUT!GB205</f>
        <v>147.79999999999995</v>
      </c>
      <c r="ED12" s="752">
        <f>INPUT!GC205</f>
        <v>11.96969696969694</v>
      </c>
      <c r="EE12" s="755">
        <f>INPUT!GD205</f>
        <v>140.59999999999991</v>
      </c>
      <c r="EF12" s="752">
        <f>INPUT!GE205</f>
        <v>-4.8714479025710684</v>
      </c>
      <c r="EG12" s="755">
        <f>INPUT!GF205</f>
        <v>128.60000000000002</v>
      </c>
      <c r="EH12" s="752">
        <f>INPUT!GG205</f>
        <v>-8.5348506401137225</v>
      </c>
      <c r="EI12" s="755">
        <f>INPUT!GH205</f>
        <v>111.09999999999991</v>
      </c>
      <c r="EJ12" s="752">
        <f>INPUT!GI205</f>
        <v>-13.60808709175747</v>
      </c>
      <c r="EK12" s="755">
        <f>INPUT!GJ205</f>
        <v>119.88134125421936</v>
      </c>
      <c r="EL12" s="752">
        <f>INPUT!GK205</f>
        <v>7.9039975285503772</v>
      </c>
      <c r="EM12" s="755">
        <f>INPUT!GL205</f>
        <v>125.35277280935134</v>
      </c>
      <c r="EN12" s="752">
        <f>INPUT!GM205</f>
        <v>4.564039322457436</v>
      </c>
      <c r="EO12" s="755">
        <f>INPUT!GN205</f>
        <v>131.06646622074265</v>
      </c>
      <c r="EP12" s="752">
        <f>INPUT!GO205</f>
        <v>4.5580909646739665</v>
      </c>
      <c r="EQ12" s="755">
        <f>INPUT!GP205</f>
        <v>137.03304814640614</v>
      </c>
      <c r="ER12" s="752">
        <f>INPUT!GQ205</f>
        <v>4.5523329480895214</v>
      </c>
      <c r="ES12" s="755">
        <f>INPUT!GR205</f>
        <v>142.60543312586753</v>
      </c>
      <c r="ET12" s="752">
        <f>INPUT!GS205</f>
        <v>4.0664533518278478</v>
      </c>
      <c r="EU12" s="756">
        <f>INPUT!GT205</f>
        <v>5.119770151790215</v>
      </c>
      <c r="EV12" s="710"/>
    </row>
    <row r="13" spans="1:152" ht="12.75" customHeight="1" x14ac:dyDescent="0.2">
      <c r="A13" s="754" t="s">
        <v>134</v>
      </c>
      <c r="B13" s="755">
        <f>INPUT!AS239</f>
        <v>46.200000000000017</v>
      </c>
      <c r="C13" s="756">
        <f>INPUT!AT239</f>
        <v>5.4794520547945424</v>
      </c>
      <c r="D13" s="755">
        <f>INPUT!AU239</f>
        <v>49.900000000000006</v>
      </c>
      <c r="E13" s="756">
        <f>INPUT!AV239</f>
        <v>14.449541284403633</v>
      </c>
      <c r="F13" s="755">
        <f>INPUT!AW239</f>
        <v>52.100000000000023</v>
      </c>
      <c r="G13" s="756">
        <f>INPUT!AX239</f>
        <v>24.047619047619094</v>
      </c>
      <c r="H13" s="755">
        <f>INPUT!AY239</f>
        <v>50.5</v>
      </c>
      <c r="I13" s="752">
        <f>INPUT!AZ239</f>
        <v>30.490956072351459</v>
      </c>
      <c r="J13" s="755">
        <f>INPUT!BA239</f>
        <v>59.599999999999994</v>
      </c>
      <c r="K13" s="752">
        <f>INPUT!BB239</f>
        <v>29.004329004328945</v>
      </c>
      <c r="L13" s="755">
        <f>INPUT!BC239</f>
        <v>64.900000000000034</v>
      </c>
      <c r="M13" s="752">
        <f>INPUT!BD239</f>
        <v>30.060120240481012</v>
      </c>
      <c r="N13" s="755">
        <f>INPUT!BE239</f>
        <v>62.399999999999977</v>
      </c>
      <c r="O13" s="752">
        <f>INPUT!BF239</f>
        <v>19.769673704414494</v>
      </c>
      <c r="P13" s="755">
        <f>INPUT!BG239</f>
        <v>58.80000000000004</v>
      </c>
      <c r="Q13" s="752">
        <f>INPUT!BH239</f>
        <v>16.435643564356518</v>
      </c>
      <c r="R13" s="755">
        <f>INPUT!BI239</f>
        <v>67.399999999999977</v>
      </c>
      <c r="S13" s="752">
        <f>INPUT!BJ239</f>
        <v>13.087248322147627</v>
      </c>
      <c r="T13" s="755">
        <f>INPUT!BK239</f>
        <v>68.200000000000045</v>
      </c>
      <c r="U13" s="752">
        <f>INPUT!BL239</f>
        <v>5.0847457627118731</v>
      </c>
      <c r="V13" s="755">
        <f>INPUT!BM239</f>
        <v>66.200000000000045</v>
      </c>
      <c r="W13" s="752">
        <f>INPUT!BN239</f>
        <v>6.0897435897437013</v>
      </c>
      <c r="X13" s="755">
        <f>INPUT!BO239</f>
        <v>66.300000000000011</v>
      </c>
      <c r="Y13" s="752">
        <f>INPUT!BP239</f>
        <v>12.755102040816269</v>
      </c>
      <c r="Z13" s="755">
        <f>INPUT!BQ239</f>
        <v>70.900000000000034</v>
      </c>
      <c r="AA13" s="752">
        <f>INPUT!BR239</f>
        <v>5.1928783382790167</v>
      </c>
      <c r="AB13" s="755">
        <f>INPUT!BS239</f>
        <v>71.30000000000004</v>
      </c>
      <c r="AC13" s="752">
        <f>INPUT!BT239</f>
        <v>4.5454545454545414</v>
      </c>
      <c r="AD13" s="755">
        <f>INPUT!BU239</f>
        <v>70.400000000000006</v>
      </c>
      <c r="AE13" s="752">
        <f>INPUT!BV239</f>
        <v>6.3444108761328666</v>
      </c>
      <c r="AF13" s="755">
        <f>INPUT!BW239</f>
        <v>68.299999999999955</v>
      </c>
      <c r="AG13" s="752">
        <f>INPUT!BX239</f>
        <v>3.0165912518852922</v>
      </c>
      <c r="AH13" s="755">
        <f>INPUT!BY239</f>
        <v>70.200000000000045</v>
      </c>
      <c r="AI13" s="752">
        <f>INPUT!BZ239</f>
        <v>-0.9873060648801002</v>
      </c>
      <c r="AJ13" s="755">
        <f>INPUT!CA239</f>
        <v>71.099999999999937</v>
      </c>
      <c r="AK13" s="752">
        <f>INPUT!CB239</f>
        <v>-0.2805049088360434</v>
      </c>
      <c r="AL13" s="755">
        <f>INPUT!CC239</f>
        <v>71.000000000000028</v>
      </c>
      <c r="AM13" s="752">
        <f>INPUT!CD239</f>
        <v>0.8522727272727515</v>
      </c>
      <c r="AN13" s="755">
        <f>INPUT!CE239</f>
        <v>57.400000000000034</v>
      </c>
      <c r="AO13" s="752">
        <f>INPUT!CF239</f>
        <v>-15.959004392386422</v>
      </c>
      <c r="AP13" s="755">
        <f>INPUT!CG239</f>
        <v>66.499999999999943</v>
      </c>
      <c r="AQ13" s="752">
        <f>INPUT!CH239</f>
        <v>-5.2706552706554106</v>
      </c>
      <c r="AR13" s="755">
        <f>INPUT!CI239</f>
        <v>71.899999999999977</v>
      </c>
      <c r="AS13" s="752">
        <f>INPUT!CJ239</f>
        <v>1.1251758087201802</v>
      </c>
      <c r="AT13" s="755">
        <f>INPUT!CK239</f>
        <v>66.700000000000045</v>
      </c>
      <c r="AU13" s="752">
        <f>INPUT!CL239</f>
        <v>-6.0563380281689838</v>
      </c>
      <c r="AV13" s="755">
        <f>INPUT!CM239</f>
        <v>64.999999999999943</v>
      </c>
      <c r="AW13" s="752">
        <f>INPUT!CN239</f>
        <v>13.240418118466724</v>
      </c>
      <c r="AX13" s="755">
        <f>INPUT!CO239</f>
        <v>69.699999999999989</v>
      </c>
      <c r="AY13" s="752">
        <f>INPUT!CP239</f>
        <v>4.8120300751880452</v>
      </c>
      <c r="AZ13" s="755">
        <f>INPUT!CQ239</f>
        <v>67.599999999999966</v>
      </c>
      <c r="BA13" s="752">
        <f>INPUT!CR239</f>
        <v>-5.9805285118219924</v>
      </c>
      <c r="BB13" s="755">
        <f>INPUT!CS239</f>
        <v>68.699999999999932</v>
      </c>
      <c r="BC13" s="752">
        <f>INPUT!CT239</f>
        <v>2.9985007496250216</v>
      </c>
      <c r="BD13" s="755">
        <f>INPUT!CU239</f>
        <v>68.300000000000011</v>
      </c>
      <c r="BE13" s="752">
        <f>INPUT!CV239</f>
        <v>5.0769230769231788</v>
      </c>
      <c r="BF13" s="755">
        <f>INPUT!CW239</f>
        <v>75.100000000000023</v>
      </c>
      <c r="BG13" s="752">
        <f>INPUT!CX239</f>
        <v>7.7474892395983375</v>
      </c>
      <c r="BH13" s="755">
        <f>INPUT!CY239</f>
        <v>70.799999999999955</v>
      </c>
      <c r="BI13" s="752">
        <f>INPUT!CZ239</f>
        <v>4.7337278106508673</v>
      </c>
      <c r="BJ13" s="755">
        <f>INPUT!DA239</f>
        <v>68.600000000000023</v>
      </c>
      <c r="BK13" s="752">
        <f>INPUT!DB239</f>
        <v>-0.14556040756901201</v>
      </c>
      <c r="BL13" s="755">
        <f>INPUT!DC239</f>
        <v>49</v>
      </c>
      <c r="BM13" s="752">
        <f>INPUT!DD239</f>
        <v>-28.257686676427539</v>
      </c>
      <c r="BN13" s="755">
        <f>INPUT!DE239</f>
        <v>79.099999999999966</v>
      </c>
      <c r="BO13" s="752">
        <f>INPUT!DF239</f>
        <v>5.3262316910784868</v>
      </c>
      <c r="BP13" s="755">
        <f>INPUT!DG239</f>
        <v>74.899999999999977</v>
      </c>
      <c r="BQ13" s="752">
        <f>INPUT!DH239</f>
        <v>5.7909604519774449</v>
      </c>
      <c r="BR13" s="755">
        <f>INPUT!DI239</f>
        <v>71</v>
      </c>
      <c r="BS13" s="752">
        <f>INPUT!DJ239</f>
        <v>3.4985422740524408</v>
      </c>
      <c r="BT13" s="755">
        <f>INPUT!DK239</f>
        <v>74</v>
      </c>
      <c r="BU13" s="752">
        <f>INPUT!DL239</f>
        <v>51.020408163265294</v>
      </c>
      <c r="BV13" s="755">
        <f>INPUT!DM239</f>
        <v>77.599999999999966</v>
      </c>
      <c r="BW13" s="752">
        <f>INPUT!DN239</f>
        <v>-1.896333754740831</v>
      </c>
      <c r="BX13" s="755">
        <f>INPUT!DO239</f>
        <v>77.599999999999966</v>
      </c>
      <c r="BY13" s="752">
        <f>INPUT!DP239</f>
        <v>3.6048064085447029</v>
      </c>
      <c r="BZ13" s="755">
        <f>INPUT!DQ239</f>
        <v>76.300000000000068</v>
      </c>
      <c r="CA13" s="752">
        <f>INPUT!DR239</f>
        <v>7.4647887323944673</v>
      </c>
      <c r="CB13" s="755">
        <f>INPUT!DS239</f>
        <v>77.600000000000023</v>
      </c>
      <c r="CC13" s="752">
        <f>INPUT!DT239</f>
        <v>4.864864864864904</v>
      </c>
      <c r="CD13" s="755">
        <f>INPUT!DU239</f>
        <v>77.399999999999977</v>
      </c>
      <c r="CE13" s="752">
        <f>INPUT!DV239</f>
        <v>-0.25773195876287458</v>
      </c>
      <c r="CF13" s="755">
        <f>INPUT!DW239</f>
        <v>77.899999999999977</v>
      </c>
      <c r="CG13" s="752">
        <f>INPUT!DX239</f>
        <v>0.38659793814435073</v>
      </c>
      <c r="CH13" s="755">
        <f>INPUT!DY239</f>
        <v>79</v>
      </c>
      <c r="CI13" s="752">
        <f>INPUT!DZ239</f>
        <v>3.5386631716906036</v>
      </c>
      <c r="CJ13" s="755">
        <f>INPUT!EA239</f>
        <v>79.899999999999977</v>
      </c>
      <c r="CK13" s="752">
        <f>INPUT!EB239</f>
        <v>2.9639175257731409</v>
      </c>
      <c r="CL13" s="755">
        <f>INPUT!EC239</f>
        <v>82.400000000000034</v>
      </c>
      <c r="CM13" s="752">
        <f>INPUT!ED239</f>
        <v>6.4599483204135222</v>
      </c>
      <c r="CN13" s="755">
        <f>INPUT!EE239</f>
        <v>81.800000000000068</v>
      </c>
      <c r="CO13" s="752">
        <f>INPUT!EF239</f>
        <v>5.0064184852375959</v>
      </c>
      <c r="CP13" s="755">
        <f>INPUT!EG239</f>
        <v>81.700000000000045</v>
      </c>
      <c r="CQ13" s="752">
        <f>INPUT!EH239</f>
        <v>3.4177215189874044</v>
      </c>
      <c r="CR13" s="755">
        <f>INPUT!EI239</f>
        <v>79.099999999999994</v>
      </c>
      <c r="CS13" s="752">
        <f>INPUT!EJ239</f>
        <v>-1.001251564455552</v>
      </c>
      <c r="CT13" s="755">
        <f>INPUT!EK239</f>
        <v>77.960626999999988</v>
      </c>
      <c r="CU13" s="752">
        <f>INPUT!EL239</f>
        <v>-5.3875885922330617</v>
      </c>
      <c r="CV13" s="755">
        <f>INPUT!EM239</f>
        <v>78.590878084999986</v>
      </c>
      <c r="CW13" s="752">
        <f>INPUT!EN239</f>
        <v>-3.9231319254279695</v>
      </c>
      <c r="CX13" s="755">
        <f>INPUT!EO239</f>
        <v>79.409102620624992</v>
      </c>
      <c r="CY13" s="752">
        <f>INPUT!EP239</f>
        <v>-2.8040359600673859</v>
      </c>
      <c r="CZ13" s="755">
        <f>INPUT!EQ239</f>
        <v>80.151668422632156</v>
      </c>
      <c r="DA13" s="752">
        <f>INPUT!ER239</f>
        <v>1.3295428857549529</v>
      </c>
      <c r="DB13" s="755"/>
      <c r="DC13" s="755">
        <f>INPUT!FB239</f>
        <v>138</v>
      </c>
      <c r="DD13" s="756" t="str">
        <f>INPUT!FC239</f>
        <v>NA</v>
      </c>
      <c r="DE13" s="755">
        <f>INPUT!FD239</f>
        <v>137.50000000000011</v>
      </c>
      <c r="DF13" s="756">
        <f>INPUT!FE239</f>
        <v>-0.36231884057962294</v>
      </c>
      <c r="DG13" s="755">
        <f>INPUT!FF239</f>
        <v>146.70000000000005</v>
      </c>
      <c r="DH13" s="756">
        <f>INPUT!FG239</f>
        <v>6.6909090909090363</v>
      </c>
      <c r="DI13" s="755">
        <f>INPUT!FH239</f>
        <v>155.60000000000002</v>
      </c>
      <c r="DJ13" s="756">
        <f>INPUT!FI239</f>
        <v>6.0668029993183215</v>
      </c>
      <c r="DK13" s="755">
        <f>INPUT!FJ239</f>
        <v>168.09999999999991</v>
      </c>
      <c r="DL13" s="752">
        <f>INPUT!FK239</f>
        <v>8.0334190231361688</v>
      </c>
      <c r="DM13" s="755">
        <f>INPUT!FL239</f>
        <v>198.70000000000027</v>
      </c>
      <c r="DN13" s="752">
        <f>INPUT!FM239</f>
        <v>18.20345032718642</v>
      </c>
      <c r="DO13" s="755">
        <f>INPUT!FN239</f>
        <v>245.70000000000005</v>
      </c>
      <c r="DP13" s="752">
        <f>INPUT!FO239</f>
        <v>23.653749370910781</v>
      </c>
      <c r="DQ13" s="755">
        <f>INPUT!FP239</f>
        <v>268.10000000000014</v>
      </c>
      <c r="DR13" s="752">
        <f>INPUT!FQ239</f>
        <v>9.1168091168091436</v>
      </c>
      <c r="DS13" s="755">
        <f>INPUT!FR239</f>
        <v>269.10000000000014</v>
      </c>
      <c r="DT13" s="752">
        <f>INPUT!FS239</f>
        <v>0.37299515106303804</v>
      </c>
      <c r="DU13" s="755">
        <f>INPUT!FT239</f>
        <v>269.69999999999982</v>
      </c>
      <c r="DV13" s="752">
        <f>INPUT!FU239</f>
        <v>0.22296544035662613</v>
      </c>
      <c r="DW13" s="755">
        <f>INPUT!FV239</f>
        <v>270.09999999999991</v>
      </c>
      <c r="DX13" s="752">
        <f>INPUT!FW239</f>
        <v>0.14831294030408504</v>
      </c>
      <c r="DY13" s="755">
        <f>INPUT!FX239</f>
        <v>273.39999999999986</v>
      </c>
      <c r="DZ13" s="752">
        <f>INPUT!FY239</f>
        <v>1.2217697149203843</v>
      </c>
      <c r="EA13" s="755">
        <f>INPUT!FZ239</f>
        <v>263.5</v>
      </c>
      <c r="EB13" s="752">
        <f>INPUT!GA239</f>
        <v>-3.6210680321872246</v>
      </c>
      <c r="EC13" s="755">
        <f>INPUT!GB239</f>
        <v>298.99999999999977</v>
      </c>
      <c r="ED13" s="752">
        <f>INPUT!GC239</f>
        <v>13.472485768500864</v>
      </c>
      <c r="EE13" s="755">
        <f>INPUT!GD239</f>
        <v>309.09999999999991</v>
      </c>
      <c r="EF13" s="752">
        <f>INPUT!GE239</f>
        <v>3.3779264214047311</v>
      </c>
      <c r="EG13" s="755">
        <f>INPUT!GF239</f>
        <v>314.20000000000005</v>
      </c>
      <c r="EH13" s="752">
        <f>INPUT!GG239</f>
        <v>1.649951472015565</v>
      </c>
      <c r="EI13" s="755">
        <f>INPUT!GH239</f>
        <v>325.00000000000011</v>
      </c>
      <c r="EJ13" s="752">
        <f>INPUT!GI239</f>
        <v>3.437301082113331</v>
      </c>
      <c r="EK13" s="755">
        <f>INPUT!GJ239</f>
        <v>316.11227612825701</v>
      </c>
      <c r="EL13" s="752">
        <f>INPUT!GK239</f>
        <v>-2.7346842682286487</v>
      </c>
      <c r="EM13" s="755">
        <f>INPUT!GL239</f>
        <v>319.20591431074467</v>
      </c>
      <c r="EN13" s="752">
        <f>INPUT!GM239</f>
        <v>0.9786517057732036</v>
      </c>
      <c r="EO13" s="755">
        <f>INPUT!GN239</f>
        <v>325.64179352595966</v>
      </c>
      <c r="EP13" s="752">
        <f>INPUT!GO239</f>
        <v>2.0162155294371154</v>
      </c>
      <c r="EQ13" s="755">
        <f>INPUT!GP239</f>
        <v>333.91469964775729</v>
      </c>
      <c r="ER13" s="752">
        <f>INPUT!GQ239</f>
        <v>2.540492739651401</v>
      </c>
      <c r="ES13" s="755">
        <f>INPUT!GR239</f>
        <v>340.65225472832435</v>
      </c>
      <c r="ET13" s="752">
        <f>INPUT!GS239</f>
        <v>2.0177473731088913</v>
      </c>
      <c r="EU13" s="756">
        <f>INPUT!GT239</f>
        <v>0.94517874140382929</v>
      </c>
      <c r="EV13" s="710"/>
    </row>
    <row r="14" spans="1:152" ht="12.75" customHeight="1" x14ac:dyDescent="0.2">
      <c r="A14" s="754" t="s">
        <v>207</v>
      </c>
      <c r="B14" s="755">
        <f>INPUT!AS276</f>
        <v>27.900000000000034</v>
      </c>
      <c r="C14" s="756">
        <f>INPUT!AT276</f>
        <v>20.779220779221099</v>
      </c>
      <c r="D14" s="755">
        <f>INPUT!AU276</f>
        <v>33.199999999999989</v>
      </c>
      <c r="E14" s="756">
        <f>INPUT!AV276</f>
        <v>19.855595667870052</v>
      </c>
      <c r="F14" s="755">
        <f>INPUT!AW276</f>
        <v>28.699999999999989</v>
      </c>
      <c r="G14" s="756">
        <f>INPUT!AX276</f>
        <v>-3.3670033670033628</v>
      </c>
      <c r="H14" s="755">
        <f>INPUT!AY276</f>
        <v>28.699999999999989</v>
      </c>
      <c r="I14" s="752">
        <f>INPUT!AZ276</f>
        <v>-14.836795252225665</v>
      </c>
      <c r="J14" s="755">
        <f>INPUT!BA276</f>
        <v>22.5</v>
      </c>
      <c r="K14" s="752">
        <f>INPUT!BB276</f>
        <v>-19.354838709677512</v>
      </c>
      <c r="L14" s="755">
        <f>INPUT!BC276</f>
        <v>29.400000000000034</v>
      </c>
      <c r="M14" s="752">
        <f>INPUT!BD276</f>
        <v>-11.445783132529986</v>
      </c>
      <c r="N14" s="755">
        <f>INPUT!BE276</f>
        <v>29.399999999999977</v>
      </c>
      <c r="O14" s="752">
        <f>INPUT!BF276</f>
        <v>2.4390243902438602</v>
      </c>
      <c r="P14" s="755">
        <f>INPUT!BG276</f>
        <v>15</v>
      </c>
      <c r="Q14" s="752">
        <f>INPUT!BH276</f>
        <v>-47.735191637630635</v>
      </c>
      <c r="R14" s="755">
        <f>INPUT!BI276</f>
        <v>2.8999999999999773</v>
      </c>
      <c r="S14" s="752" t="str">
        <f>INPUT!BJ276</f>
        <v>NM</v>
      </c>
      <c r="T14" s="755">
        <f>INPUT!BK276</f>
        <v>15.199999999999989</v>
      </c>
      <c r="U14" s="752">
        <f>INPUT!BL276</f>
        <v>-48.299319727891252</v>
      </c>
      <c r="V14" s="755">
        <f>INPUT!BM276</f>
        <v>2.4999999999999432</v>
      </c>
      <c r="W14" s="752" t="str">
        <f>INPUT!BN276</f>
        <v>NM</v>
      </c>
      <c r="X14" s="755">
        <f>INPUT!BO276</f>
        <v>7.1000000000000227</v>
      </c>
      <c r="Y14" s="752" t="str">
        <f>INPUT!BP276</f>
        <v>NM</v>
      </c>
      <c r="Z14" s="755">
        <f>INPUT!BQ276</f>
        <v>11.299999999999955</v>
      </c>
      <c r="AA14" s="752" t="str">
        <f>INPUT!BR276</f>
        <v>NM</v>
      </c>
      <c r="AB14" s="755">
        <f>INPUT!BS276</f>
        <v>9.9999999999999432</v>
      </c>
      <c r="AC14" s="752">
        <f>INPUT!BT276</f>
        <v>-34.210526315789799</v>
      </c>
      <c r="AD14" s="755">
        <f>INPUT!BU276</f>
        <v>7.1999999999999886</v>
      </c>
      <c r="AE14" s="752" t="str">
        <f>INPUT!BV276</f>
        <v>NM</v>
      </c>
      <c r="AF14" s="755">
        <f>INPUT!BW276</f>
        <v>5.8000000000000114</v>
      </c>
      <c r="AG14" s="752">
        <f>INPUT!BX276</f>
        <v>-18.309859154929676</v>
      </c>
      <c r="AH14" s="755">
        <f>INPUT!BY276</f>
        <v>35.899999999999977</v>
      </c>
      <c r="AI14" s="752" t="str">
        <f>INPUT!BZ276</f>
        <v>NM</v>
      </c>
      <c r="AJ14" s="755">
        <f>INPUT!CA276</f>
        <v>23.799999999999955</v>
      </c>
      <c r="AK14" s="752" t="str">
        <f>INPUT!CB276</f>
        <v>NM</v>
      </c>
      <c r="AL14" s="755">
        <f>INPUT!CC276</f>
        <v>29.700000000000045</v>
      </c>
      <c r="AM14" s="752" t="str">
        <f>INPUT!CD276</f>
        <v>NM</v>
      </c>
      <c r="AN14" s="755">
        <f>INPUT!CE276</f>
        <v>29.200000000000159</v>
      </c>
      <c r="AO14" s="752" t="str">
        <f>INPUT!CF276</f>
        <v>NM</v>
      </c>
      <c r="AP14" s="755">
        <f>INPUT!CG276</f>
        <v>31.899999999999864</v>
      </c>
      <c r="AQ14" s="752">
        <f>INPUT!CH276</f>
        <v>-11.142061281337368</v>
      </c>
      <c r="AR14" s="755">
        <f>INPUT!CI276</f>
        <v>30.400000000000205</v>
      </c>
      <c r="AS14" s="752">
        <f>INPUT!CJ276</f>
        <v>27.731092436975892</v>
      </c>
      <c r="AT14" s="755">
        <f>INPUT!CK276</f>
        <v>30.799999999999955</v>
      </c>
      <c r="AU14" s="752">
        <f>INPUT!CL276</f>
        <v>3.7037037037033871</v>
      </c>
      <c r="AV14" s="755">
        <f>INPUT!CM276</f>
        <v>-922.30000000000018</v>
      </c>
      <c r="AW14" s="752" t="str">
        <f>INPUT!CN276</f>
        <v>NM</v>
      </c>
      <c r="AX14" s="755">
        <f>INPUT!CO276</f>
        <v>15.399999999999977</v>
      </c>
      <c r="AY14" s="752" t="str">
        <f>INPUT!CP276</f>
        <v>NM</v>
      </c>
      <c r="AZ14" s="755">
        <f>INPUT!CQ276</f>
        <v>25.700000000000045</v>
      </c>
      <c r="BA14" s="752">
        <f>INPUT!CR276</f>
        <v>-15.460526315789892</v>
      </c>
      <c r="BB14" s="755">
        <f>INPUT!CS276</f>
        <v>25.600000000000023</v>
      </c>
      <c r="BC14" s="752">
        <f>INPUT!CT276</f>
        <v>-16.883116883116688</v>
      </c>
      <c r="BD14" s="755">
        <f>INPUT!CU276</f>
        <v>28.799999999999955</v>
      </c>
      <c r="BE14" s="752" t="str">
        <f>INPUT!CV276</f>
        <v>NM</v>
      </c>
      <c r="BF14" s="755">
        <f>INPUT!CW276</f>
        <v>26.600000000000136</v>
      </c>
      <c r="BG14" s="752">
        <f>INPUT!CX276</f>
        <v>72.727272727273856</v>
      </c>
      <c r="BH14" s="755">
        <f>INPUT!CY276</f>
        <v>29.100000000000023</v>
      </c>
      <c r="BI14" s="752">
        <f>INPUT!CZ276</f>
        <v>13.229571984435683</v>
      </c>
      <c r="BJ14" s="755">
        <f>INPUT!DA276</f>
        <v>25</v>
      </c>
      <c r="BK14" s="752">
        <f>INPUT!DB276</f>
        <v>-2.3437500000000888</v>
      </c>
      <c r="BL14" s="755">
        <f>INPUT!DC276</f>
        <v>26.600000000000023</v>
      </c>
      <c r="BM14" s="752">
        <f>INPUT!DD276</f>
        <v>-7.6388888888886619</v>
      </c>
      <c r="BN14" s="755">
        <f>INPUT!DE276</f>
        <v>28.299999999999955</v>
      </c>
      <c r="BO14" s="752">
        <f>INPUT!DF276</f>
        <v>6.3909774436083033</v>
      </c>
      <c r="BP14" s="755">
        <f>INPUT!DG276</f>
        <v>36.600000000000136</v>
      </c>
      <c r="BQ14" s="752">
        <f>INPUT!DH276</f>
        <v>25.773195876289034</v>
      </c>
      <c r="BR14" s="755">
        <f>INPUT!DI276</f>
        <v>25.700000000000045</v>
      </c>
      <c r="BS14" s="752">
        <f>INPUT!DJ276</f>
        <v>2.8000000000001801</v>
      </c>
      <c r="BT14" s="755">
        <f>INPUT!DK276</f>
        <v>-668.80000000000007</v>
      </c>
      <c r="BU14" s="752" t="str">
        <f>INPUT!DL276</f>
        <v>NM</v>
      </c>
      <c r="BV14" s="755">
        <f>INPUT!DM276</f>
        <v>26.699999999999932</v>
      </c>
      <c r="BW14" s="752">
        <f>INPUT!DN276</f>
        <v>-5.6537102473499079</v>
      </c>
      <c r="BX14" s="755">
        <f>INPUT!DO276</f>
        <v>36.599999999999909</v>
      </c>
      <c r="BY14" s="752">
        <f>INPUT!DP276</f>
        <v>-6.2172489379008766E-13</v>
      </c>
      <c r="BZ14" s="755">
        <f>INPUT!DQ276</f>
        <v>27.700000000000045</v>
      </c>
      <c r="CA14" s="752">
        <f>INPUT!DR276</f>
        <v>7.7821011673151697</v>
      </c>
      <c r="CB14" s="755">
        <f>INPUT!DS276</f>
        <v>28.099999999999795</v>
      </c>
      <c r="CC14" s="752" t="str">
        <f>INPUT!DT276</f>
        <v>NM</v>
      </c>
      <c r="CD14" s="755">
        <f>INPUT!DU276</f>
        <v>33.699999999999818</v>
      </c>
      <c r="CE14" s="752">
        <f>INPUT!DV276</f>
        <v>26.217228464419119</v>
      </c>
      <c r="CF14" s="755">
        <f>INPUT!DW276</f>
        <v>32.599999999999909</v>
      </c>
      <c r="CG14" s="752">
        <f>INPUT!DX276</f>
        <v>-10.928961748633903</v>
      </c>
      <c r="CH14" s="755">
        <f>INPUT!DY276</f>
        <v>28.600000000000023</v>
      </c>
      <c r="CI14" s="752">
        <f>INPUT!DZ276</f>
        <v>3.2490974729241007</v>
      </c>
      <c r="CJ14" s="755">
        <f>INPUT!EA276</f>
        <v>34.600000000000023</v>
      </c>
      <c r="CK14" s="752">
        <f>INPUT!EB276</f>
        <v>23.131672597865748</v>
      </c>
      <c r="CL14" s="755">
        <f>INPUT!EC276</f>
        <v>31.599999999999909</v>
      </c>
      <c r="CM14" s="752">
        <f>INPUT!ED276</f>
        <v>-6.2314540059344781</v>
      </c>
      <c r="CN14" s="755">
        <f>INPUT!EE276</f>
        <v>32.600000000000023</v>
      </c>
      <c r="CO14" s="752">
        <f>INPUT!EF276</f>
        <v>3.5527136788005009E-13</v>
      </c>
      <c r="CP14" s="755">
        <f>INPUT!EG276</f>
        <v>26.600000000000023</v>
      </c>
      <c r="CQ14" s="752">
        <f>INPUT!EH276</f>
        <v>-6.9930069930069898</v>
      </c>
      <c r="CR14" s="755">
        <f>INPUT!EI276</f>
        <v>33.099999999999909</v>
      </c>
      <c r="CS14" s="752">
        <f>INPUT!EJ276</f>
        <v>-4.3352601156072641</v>
      </c>
      <c r="CT14" s="755">
        <f>INPUT!EK276</f>
        <v>30.080092226633383</v>
      </c>
      <c r="CU14" s="752">
        <f>INPUT!EL276</f>
        <v>-4.8098347258434533</v>
      </c>
      <c r="CV14" s="755">
        <f>INPUT!EM276</f>
        <v>29.441322464516929</v>
      </c>
      <c r="CW14" s="752">
        <f>INPUT!EN276</f>
        <v>-9.6891948941199129</v>
      </c>
      <c r="CX14" s="755">
        <f>INPUT!EO276</f>
        <v>28.809868919704627</v>
      </c>
      <c r="CY14" s="752">
        <f>INPUT!EP276</f>
        <v>8.3077778936263336</v>
      </c>
      <c r="CZ14" s="755">
        <f>INPUT!EQ276</f>
        <v>28.185661335753935</v>
      </c>
      <c r="DA14" s="752">
        <f>INPUT!ER276</f>
        <v>-14.846944604972778</v>
      </c>
      <c r="DB14" s="755"/>
      <c r="DC14" s="755">
        <f>INPUT!FB276</f>
        <v>0</v>
      </c>
      <c r="DD14" s="756">
        <f>INPUT!FC276</f>
        <v>0</v>
      </c>
      <c r="DE14" s="755">
        <f>INPUT!FD276</f>
        <v>83</v>
      </c>
      <c r="DF14" s="756" t="str">
        <f>INPUT!FE276</f>
        <v>NA</v>
      </c>
      <c r="DG14" s="755">
        <f>INPUT!FF276</f>
        <v>62.500000000000227</v>
      </c>
      <c r="DH14" s="756">
        <f>INPUT!FG276</f>
        <v>-24.69879518072262</v>
      </c>
      <c r="DI14" s="755">
        <f>INPUT!FH276</f>
        <v>-822.80000000000041</v>
      </c>
      <c r="DJ14" s="756" t="str">
        <f>INPUT!FI276</f>
        <v>NM</v>
      </c>
      <c r="DK14" s="755">
        <f>INPUT!FJ276</f>
        <v>114.20000000000005</v>
      </c>
      <c r="DL14" s="752" t="str">
        <f>INPUT!FK276</f>
        <v>NM</v>
      </c>
      <c r="DM14" s="755">
        <f>INPUT!FL276</f>
        <v>118.49999999999955</v>
      </c>
      <c r="DN14" s="752">
        <f>INPUT!FM276</f>
        <v>3.7653239929942961</v>
      </c>
      <c r="DO14" s="755">
        <f>INPUT!FN276</f>
        <v>96.299999999999955</v>
      </c>
      <c r="DP14" s="752">
        <f>INPUT!FO276</f>
        <v>-18.734177215189597</v>
      </c>
      <c r="DQ14" s="755">
        <f>INPUT!FP276</f>
        <v>27.699999999999591</v>
      </c>
      <c r="DR14" s="752" t="str">
        <f>INPUT!FQ276</f>
        <v>NM</v>
      </c>
      <c r="DS14" s="755">
        <f>INPUT!FR276</f>
        <v>123.99999999999909</v>
      </c>
      <c r="DT14" s="752" t="str">
        <f>INPUT!FS276</f>
        <v>NM</v>
      </c>
      <c r="DU14" s="755">
        <f>INPUT!FT276</f>
        <v>118.59999999999991</v>
      </c>
      <c r="DV14" s="752">
        <f>INPUT!FU276</f>
        <v>-4.3548387096767893</v>
      </c>
      <c r="DW14" s="755">
        <f>INPUT!FV276</f>
        <v>-829.20000000000027</v>
      </c>
      <c r="DX14" s="752" t="str">
        <f>INPUT!FW276</f>
        <v>NM</v>
      </c>
      <c r="DY14" s="755">
        <f>INPUT!FX276</f>
        <v>94.699999999999818</v>
      </c>
      <c r="DZ14" s="752" t="str">
        <f>INPUT!FY276</f>
        <v>NM</v>
      </c>
      <c r="EA14" s="755">
        <f>INPUT!FZ276</f>
        <v>107.29999999999973</v>
      </c>
      <c r="EB14" s="752">
        <f>INPUT!GA276</f>
        <v>13.305174234424433</v>
      </c>
      <c r="EC14" s="755">
        <f>INPUT!GB276</f>
        <v>-578.19999999999982</v>
      </c>
      <c r="ED14" s="752" t="str">
        <f>INPUT!GC276</f>
        <v>NM</v>
      </c>
      <c r="EE14" s="755">
        <f>INPUT!GD276</f>
        <v>119.09999999999991</v>
      </c>
      <c r="EF14" s="752" t="str">
        <f>INPUT!GE276</f>
        <v>NM</v>
      </c>
      <c r="EG14" s="755">
        <f>INPUT!GF276</f>
        <v>129.50000000000045</v>
      </c>
      <c r="EH14" s="752">
        <f>INPUT!GG276</f>
        <v>8.7321578505462192</v>
      </c>
      <c r="EI14" s="755">
        <f>INPUT!GH276</f>
        <v>123.89999999999964</v>
      </c>
      <c r="EJ14" s="752">
        <f>INPUT!GI276</f>
        <v>-4.3243243243249463</v>
      </c>
      <c r="EK14" s="755">
        <f>INPUT!GJ276</f>
        <v>116.51694494660887</v>
      </c>
      <c r="EL14" s="752">
        <f>INPUT!GK276</f>
        <v>-5.9588822061265372</v>
      </c>
      <c r="EM14" s="755">
        <f>INPUT!GL276</f>
        <v>113.75875823842989</v>
      </c>
      <c r="EN14" s="752">
        <f>INPUT!GM276</f>
        <v>-2.3671979294023315</v>
      </c>
      <c r="EO14" s="755">
        <f>INPUT!GN276</f>
        <v>111.06857069869147</v>
      </c>
      <c r="EP14" s="752">
        <f>INPUT!GO276</f>
        <v>-2.3648179545877168</v>
      </c>
      <c r="EQ14" s="755">
        <f>INPUT!GP276</f>
        <v>108.44463728099754</v>
      </c>
      <c r="ER14" s="752">
        <f>INPUT!GQ276</f>
        <v>-2.3624445702215668</v>
      </c>
      <c r="ES14" s="755">
        <f>INPUT!GR276</f>
        <v>105.88525939176861</v>
      </c>
      <c r="ET14" s="752">
        <f>INPUT!GS276</f>
        <v>-2.3600778732812411</v>
      </c>
      <c r="EU14" s="756">
        <f>INPUT!GT276</f>
        <v>-3.0935153109152957</v>
      </c>
      <c r="EV14" s="710"/>
    </row>
    <row r="15" spans="1:152" ht="12.75" customHeight="1" x14ac:dyDescent="0.2">
      <c r="A15" s="754" t="s">
        <v>194</v>
      </c>
      <c r="B15" s="755">
        <f>INPUT!AS305</f>
        <v>-28.09999999999998</v>
      </c>
      <c r="C15" s="756">
        <f>INPUT!AT305</f>
        <v>-26.631853785900837</v>
      </c>
      <c r="D15" s="755">
        <f>INPUT!AU305</f>
        <v>-27.200000000000003</v>
      </c>
      <c r="E15" s="756">
        <f>INPUT!AV305</f>
        <v>-3.202846975088891</v>
      </c>
      <c r="F15" s="755">
        <f>INPUT!AW305</f>
        <v>-20</v>
      </c>
      <c r="G15" s="756">
        <f>INPUT!AX305</f>
        <v>-26.470588235294123</v>
      </c>
      <c r="H15" s="755">
        <f>INPUT!AY305</f>
        <v>-31.9</v>
      </c>
      <c r="I15" s="752">
        <f>INPUT!AZ305</f>
        <v>59.5</v>
      </c>
      <c r="J15" s="755">
        <f>INPUT!BA305</f>
        <v>-27.800000000000004</v>
      </c>
      <c r="K15" s="752">
        <f>INPUT!BB305</f>
        <v>-12.852664576802486</v>
      </c>
      <c r="L15" s="755">
        <f>INPUT!BC305</f>
        <v>-45.600000000000009</v>
      </c>
      <c r="M15" s="752">
        <f>INPUT!BD305</f>
        <v>64.02877697841727</v>
      </c>
      <c r="N15" s="755">
        <f>INPUT!BE305</f>
        <v>-22.200000000000003</v>
      </c>
      <c r="O15" s="752" t="str">
        <f>INPUT!BF305</f>
        <v>NM</v>
      </c>
      <c r="P15" s="755">
        <f>INPUT!BG305</f>
        <v>-9.5999999999999943</v>
      </c>
      <c r="Q15" s="752" t="str">
        <f>INPUT!BH305</f>
        <v>NM</v>
      </c>
      <c r="R15" s="755">
        <f>INPUT!BI305</f>
        <v>0.29999999999999716</v>
      </c>
      <c r="S15" s="752" t="str">
        <f>INPUT!BJ305</f>
        <v>NM</v>
      </c>
      <c r="T15" s="755">
        <f>INPUT!BK305</f>
        <v>-6.6999999999999957</v>
      </c>
      <c r="U15" s="752" t="str">
        <f>INPUT!BL305</f>
        <v>NM</v>
      </c>
      <c r="V15" s="755">
        <f>INPUT!BM305</f>
        <v>-7.2000000000000171</v>
      </c>
      <c r="W15" s="752">
        <f>INPUT!BN305</f>
        <v>7.4626865671645115</v>
      </c>
      <c r="X15" s="755">
        <f>INPUT!BO305</f>
        <v>-0.39999999999999858</v>
      </c>
      <c r="Y15" s="752" t="str">
        <f>INPUT!BP305</f>
        <v>NM</v>
      </c>
      <c r="Z15" s="755">
        <f>INPUT!BQ305</f>
        <v>-12.900000000000006</v>
      </c>
      <c r="AA15" s="752" t="str">
        <f>INPUT!BR305</f>
        <v>NM</v>
      </c>
      <c r="AB15" s="755">
        <f>INPUT!BS305</f>
        <v>-16</v>
      </c>
      <c r="AC15" s="752">
        <f>INPUT!BT305</f>
        <v>24.031007751937938</v>
      </c>
      <c r="AD15" s="755">
        <f>INPUT!BU305</f>
        <v>-13.699999999999996</v>
      </c>
      <c r="AE15" s="752">
        <f>INPUT!BV305</f>
        <v>-14.375000000000027</v>
      </c>
      <c r="AF15" s="755">
        <f>INPUT!BW305</f>
        <v>-16.600000000000009</v>
      </c>
      <c r="AG15" s="752">
        <f>INPUT!BX305</f>
        <v>21.167883211678927</v>
      </c>
      <c r="AH15" s="755">
        <f>INPUT!BY305</f>
        <v>-9.0999999999999979</v>
      </c>
      <c r="AI15" s="752">
        <f>INPUT!BZ305</f>
        <v>-45.180722891566305</v>
      </c>
      <c r="AJ15" s="755">
        <f>INPUT!CA305</f>
        <v>-4.899999999999995</v>
      </c>
      <c r="AK15" s="752">
        <f>INPUT!CB305</f>
        <v>-46.153846153846203</v>
      </c>
      <c r="AL15" s="755">
        <f>INPUT!CC305</f>
        <v>-9.1000000000000014</v>
      </c>
      <c r="AM15" s="752">
        <f>INPUT!CD305</f>
        <v>85.71428571428595</v>
      </c>
      <c r="AN15" s="755">
        <f>INPUT!CE305</f>
        <v>-15.8</v>
      </c>
      <c r="AO15" s="752">
        <f>INPUT!CF305</f>
        <v>73.626373626373606</v>
      </c>
      <c r="AP15" s="755">
        <f>INPUT!CG305</f>
        <v>-21.799999999999997</v>
      </c>
      <c r="AQ15" s="752">
        <f>INPUT!CH305</f>
        <v>37.97468354430378</v>
      </c>
      <c r="AR15" s="755">
        <f>INPUT!CI305</f>
        <v>-16.999999999999996</v>
      </c>
      <c r="AS15" s="752">
        <f>INPUT!CJ305</f>
        <v>-22.018348623853214</v>
      </c>
      <c r="AT15" s="755">
        <f>INPUT!CK305</f>
        <v>-20.800000000000004</v>
      </c>
      <c r="AU15" s="752">
        <f>INPUT!CL305</f>
        <v>22.352941176470644</v>
      </c>
      <c r="AV15" s="755">
        <f>INPUT!CM305</f>
        <v>-18.799999999999997</v>
      </c>
      <c r="AW15" s="752">
        <f>INPUT!CN305</f>
        <v>-9.6153846153846487</v>
      </c>
      <c r="AX15" s="755">
        <f>INPUT!CO305</f>
        <v>-20.6</v>
      </c>
      <c r="AY15" s="752">
        <f>INPUT!CP305</f>
        <v>9.5744680851064032</v>
      </c>
      <c r="AZ15" s="755">
        <f>INPUT!CQ305</f>
        <v>-25.900000000000006</v>
      </c>
      <c r="BA15" s="752">
        <f>INPUT!CR305</f>
        <v>25.728155339805838</v>
      </c>
      <c r="BB15" s="755">
        <f>INPUT!CS305</f>
        <v>-27.399999999999995</v>
      </c>
      <c r="BC15" s="752">
        <f>INPUT!CT305</f>
        <v>5.7915057915057577</v>
      </c>
      <c r="BD15" s="755">
        <f>INPUT!CU305</f>
        <v>-34.599999999999994</v>
      </c>
      <c r="BE15" s="752">
        <f>INPUT!CV305</f>
        <v>26.277372262773735</v>
      </c>
      <c r="BF15" s="755">
        <f>INPUT!CW305</f>
        <v>-26.199999999999996</v>
      </c>
      <c r="BG15" s="752">
        <f>INPUT!CX305</f>
        <v>-24.277456647398843</v>
      </c>
      <c r="BH15" s="755">
        <f>INPUT!CY305</f>
        <v>-29.6</v>
      </c>
      <c r="BI15" s="752">
        <f>INPUT!CZ305</f>
        <v>12.977099236641255</v>
      </c>
      <c r="BJ15" s="755">
        <f>INPUT!DA305</f>
        <v>-25.4</v>
      </c>
      <c r="BK15" s="752">
        <f>INPUT!DB305</f>
        <v>-14.1891891891892</v>
      </c>
      <c r="BL15" s="755">
        <f>INPUT!DC305</f>
        <v>-33.900000000000006</v>
      </c>
      <c r="BM15" s="752">
        <f>INPUT!DD305</f>
        <v>33.464566929133888</v>
      </c>
      <c r="BN15" s="755">
        <f>INPUT!DE305</f>
        <v>-26.5</v>
      </c>
      <c r="BO15" s="752">
        <f>INPUT!DF305</f>
        <v>-21.82890855457228</v>
      </c>
      <c r="BP15" s="755">
        <f>INPUT!DG305</f>
        <v>-41.6</v>
      </c>
      <c r="BQ15" s="752">
        <f>INPUT!DH305</f>
        <v>56.981132075471706</v>
      </c>
      <c r="BR15" s="755">
        <f>INPUT!DI305</f>
        <v>-25.099999999999994</v>
      </c>
      <c r="BS15" s="752">
        <f>INPUT!DJ305</f>
        <v>-39.663461538461554</v>
      </c>
      <c r="BT15" s="755">
        <f>INPUT!DK305</f>
        <v>-25.799999999999997</v>
      </c>
      <c r="BU15" s="752">
        <f>INPUT!DL305</f>
        <v>2.788844621513964</v>
      </c>
      <c r="BV15" s="755">
        <f>INPUT!DM305</f>
        <v>-32.9</v>
      </c>
      <c r="BW15" s="752">
        <f>INPUT!DN305</f>
        <v>27.519379844961243</v>
      </c>
      <c r="BX15" s="755">
        <f>INPUT!DO305</f>
        <v>-36.299999999999997</v>
      </c>
      <c r="BY15" s="752">
        <f>INPUT!DP305</f>
        <v>10.334346504559267</v>
      </c>
      <c r="BZ15" s="755">
        <f>INPUT!DQ305</f>
        <v>-29.9</v>
      </c>
      <c r="CA15" s="752">
        <f>INPUT!DR305</f>
        <v>-17.630853994490359</v>
      </c>
      <c r="CB15" s="755">
        <f>INPUT!DS305</f>
        <v>-37.6</v>
      </c>
      <c r="CC15" s="752">
        <f>INPUT!DT305</f>
        <v>25.752508361204018</v>
      </c>
      <c r="CD15" s="755">
        <f>INPUT!DU305</f>
        <v>-35.9</v>
      </c>
      <c r="CE15" s="752">
        <f>INPUT!DV305</f>
        <v>-4.5212765957446832</v>
      </c>
      <c r="CF15" s="755">
        <f>INPUT!DW305</f>
        <v>-39.699999999999996</v>
      </c>
      <c r="CG15" s="752">
        <f>INPUT!DX305</f>
        <v>10.584958217270191</v>
      </c>
      <c r="CH15" s="755">
        <f>INPUT!DY305</f>
        <v>-45.7</v>
      </c>
      <c r="CI15" s="752">
        <f>INPUT!DZ305</f>
        <v>15.113350125944613</v>
      </c>
      <c r="CJ15" s="755">
        <f>INPUT!EA305</f>
        <v>-41.7</v>
      </c>
      <c r="CK15" s="752">
        <f>INPUT!EB305</f>
        <v>-8.7527352297593009</v>
      </c>
      <c r="CL15" s="755">
        <f>INPUT!EC305</f>
        <v>-39.800000000000004</v>
      </c>
      <c r="CM15" s="752">
        <f>INPUT!ED305</f>
        <v>-4.5563549160671402</v>
      </c>
      <c r="CN15" s="755">
        <f>INPUT!EE305</f>
        <v>-37.599999999999994</v>
      </c>
      <c r="CO15" s="752">
        <f>INPUT!EF305</f>
        <v>-5.5276381909547982</v>
      </c>
      <c r="CP15" s="755">
        <f>INPUT!EG305</f>
        <v>-36.199999999999996</v>
      </c>
      <c r="CQ15" s="752">
        <f>INPUT!EH305</f>
        <v>-3.7234042553191404</v>
      </c>
      <c r="CR15" s="755">
        <f>INPUT!EI305</f>
        <v>-33.199999999999996</v>
      </c>
      <c r="CS15" s="752">
        <f>INPUT!EJ305</f>
        <v>-8.2872928176795586</v>
      </c>
      <c r="CT15" s="755">
        <f>INPUT!EK305</f>
        <v>-35.319999999999993</v>
      </c>
      <c r="CU15" s="752">
        <f>INPUT!EL305</f>
        <v>6.3855421686746849</v>
      </c>
      <c r="CV15" s="755">
        <f>INPUT!EM305</f>
        <v>-35.319999999999993</v>
      </c>
      <c r="CW15" s="752">
        <f>INPUT!EN305</f>
        <v>0</v>
      </c>
      <c r="CX15" s="755">
        <f>INPUT!EO305</f>
        <v>-37.069999999999993</v>
      </c>
      <c r="CY15" s="752">
        <f>INPUT!EP305</f>
        <v>4.9546998867497249</v>
      </c>
      <c r="CZ15" s="755">
        <f>INPUT!EQ305</f>
        <v>-37.069999999999993</v>
      </c>
      <c r="DA15" s="752">
        <f>INPUT!ER305</f>
        <v>0</v>
      </c>
      <c r="DB15" s="755"/>
      <c r="DC15" s="755">
        <f>INPUT!FB305</f>
        <v>0</v>
      </c>
      <c r="DD15" s="756">
        <f>INPUT!FC305</f>
        <v>0</v>
      </c>
      <c r="DE15" s="755">
        <f>INPUT!FD305</f>
        <v>-90.700000000000045</v>
      </c>
      <c r="DF15" s="756" t="str">
        <f>INPUT!FE305</f>
        <v>NA</v>
      </c>
      <c r="DG15" s="755">
        <f>INPUT!FF305</f>
        <v>-151.40000000000009</v>
      </c>
      <c r="DH15" s="756">
        <f>INPUT!FG305</f>
        <v>66.923925027563413</v>
      </c>
      <c r="DI15" s="755">
        <f>INPUT!FH305</f>
        <v>-108.30000000000007</v>
      </c>
      <c r="DJ15" s="756">
        <f>INPUT!FI305</f>
        <v>-28.467635402906211</v>
      </c>
      <c r="DK15" s="755">
        <f>INPUT!FJ305</f>
        <v>-111.29999999999995</v>
      </c>
      <c r="DL15" s="752">
        <f>INPUT!FK305</f>
        <v>2.7700831024929595</v>
      </c>
      <c r="DM15" s="755">
        <f>INPUT!FL305</f>
        <v>-107.19999999999999</v>
      </c>
      <c r="DN15" s="752">
        <f>INPUT!FM305</f>
        <v>-3.6837376460017723</v>
      </c>
      <c r="DO15" s="755">
        <f>INPUT!FN305</f>
        <v>-105.20000000000005</v>
      </c>
      <c r="DP15" s="752">
        <f>INPUT!FO305</f>
        <v>-1.8656716417909891</v>
      </c>
      <c r="DQ15" s="755">
        <f>INPUT!FP305</f>
        <v>-13.999999999999972</v>
      </c>
      <c r="DR15" s="752" t="str">
        <f>INPUT!FQ305</f>
        <v>NM</v>
      </c>
      <c r="DS15" s="755">
        <f>INPUT!FR305</f>
        <v>-48.399999999999991</v>
      </c>
      <c r="DT15" s="752" t="str">
        <f>INPUT!FS305</f>
        <v>NM</v>
      </c>
      <c r="DU15" s="755">
        <f>INPUT!FT305</f>
        <v>-38.900000000000006</v>
      </c>
      <c r="DV15" s="752">
        <f>INPUT!FU305</f>
        <v>-19.628099173553693</v>
      </c>
      <c r="DW15" s="755">
        <f>INPUT!FV305</f>
        <v>-78.399999999999977</v>
      </c>
      <c r="DX15" s="752" t="str">
        <f>INPUT!FW305</f>
        <v>NM</v>
      </c>
      <c r="DY15" s="755">
        <f>INPUT!FX305</f>
        <v>-86.399999999999977</v>
      </c>
      <c r="DZ15" s="752">
        <f>INPUT!FY305</f>
        <v>10.204081632653072</v>
      </c>
      <c r="EA15" s="755">
        <f>INPUT!FZ305</f>
        <v>-115.1</v>
      </c>
      <c r="EB15" s="752">
        <f>INPUT!GA305</f>
        <v>33.217592592592624</v>
      </c>
      <c r="EC15" s="755">
        <f>INPUT!GB305</f>
        <v>-119.00000000000001</v>
      </c>
      <c r="ED15" s="752">
        <f>INPUT!GC305</f>
        <v>3.3883579496090555</v>
      </c>
      <c r="EE15" s="755">
        <f>INPUT!GD305</f>
        <v>-136.69999999999999</v>
      </c>
      <c r="EF15" s="752">
        <f>INPUT!GE305</f>
        <v>14.873949579831901</v>
      </c>
      <c r="EG15" s="755">
        <f>INPUT!GF305</f>
        <v>-163</v>
      </c>
      <c r="EH15" s="752">
        <f>INPUT!GG305</f>
        <v>19.239209948792979</v>
      </c>
      <c r="EI15" s="755">
        <f>INPUT!GH305</f>
        <v>-146.79999999999998</v>
      </c>
      <c r="EJ15" s="752">
        <f>INPUT!GI305</f>
        <v>-9.9386503067484746</v>
      </c>
      <c r="EK15" s="755">
        <f>INPUT!GJ305</f>
        <v>-144.77999999999997</v>
      </c>
      <c r="EL15" s="752">
        <f>INPUT!GK305</f>
        <v>-1.3760217983651346</v>
      </c>
      <c r="EM15" s="755">
        <f>INPUT!GL305</f>
        <v>-148.27999999999997</v>
      </c>
      <c r="EN15" s="752">
        <f>INPUT!GM305</f>
        <v>2.4174609752728227</v>
      </c>
      <c r="EO15" s="755">
        <f>INPUT!GN305</f>
        <v>-150.02199999999999</v>
      </c>
      <c r="EP15" s="752">
        <f>INPUT!GO305</f>
        <v>1.1748044240625921</v>
      </c>
      <c r="EQ15" s="755">
        <f>INPUT!GP305</f>
        <v>-151.78141999999997</v>
      </c>
      <c r="ER15" s="752">
        <f>INPUT!GQ305</f>
        <v>1.1727746597165689</v>
      </c>
      <c r="ES15" s="755">
        <f>INPUT!GR305</f>
        <v>-153.55843419999997</v>
      </c>
      <c r="ET15" s="752">
        <f>INPUT!GS305</f>
        <v>1.1707718902616682</v>
      </c>
      <c r="EU15" s="756">
        <f>INPUT!GT305</f>
        <v>0.90426514075188091</v>
      </c>
      <c r="EV15" s="710"/>
    </row>
    <row r="16" spans="1:152" ht="12.75" customHeight="1" x14ac:dyDescent="0.2">
      <c r="A16" s="754"/>
      <c r="B16" s="754"/>
      <c r="C16" s="756"/>
      <c r="D16" s="754"/>
      <c r="E16" s="756"/>
      <c r="F16" s="754"/>
      <c r="G16" s="756"/>
      <c r="H16" s="754"/>
      <c r="I16" s="752"/>
      <c r="J16" s="754"/>
      <c r="K16" s="752"/>
      <c r="L16" s="754"/>
      <c r="M16" s="752"/>
      <c r="N16" s="754"/>
      <c r="O16" s="752"/>
      <c r="P16" s="754"/>
      <c r="Q16" s="752"/>
      <c r="R16" s="754"/>
      <c r="S16" s="752"/>
      <c r="T16" s="754"/>
      <c r="U16" s="752"/>
      <c r="V16" s="754"/>
      <c r="W16" s="752"/>
      <c r="X16" s="754"/>
      <c r="Y16" s="752"/>
      <c r="Z16" s="754"/>
      <c r="AA16" s="752"/>
      <c r="AB16" s="754"/>
      <c r="AC16" s="752"/>
      <c r="AD16" s="754"/>
      <c r="AE16" s="752"/>
      <c r="AF16" s="754"/>
      <c r="AG16" s="752"/>
      <c r="AH16" s="754"/>
      <c r="AI16" s="752"/>
      <c r="AJ16" s="754"/>
      <c r="AK16" s="752"/>
      <c r="AL16" s="754"/>
      <c r="AM16" s="752"/>
      <c r="AN16" s="754"/>
      <c r="AO16" s="752"/>
      <c r="AP16" s="754"/>
      <c r="AQ16" s="752"/>
      <c r="AR16" s="754"/>
      <c r="AS16" s="752"/>
      <c r="AT16" s="754"/>
      <c r="AU16" s="752"/>
      <c r="AV16" s="754"/>
      <c r="AW16" s="752"/>
      <c r="AX16" s="754"/>
      <c r="AY16" s="752"/>
      <c r="AZ16" s="754"/>
      <c r="BA16" s="752"/>
      <c r="BB16" s="754"/>
      <c r="BC16" s="752"/>
      <c r="BD16" s="754"/>
      <c r="BE16" s="752"/>
      <c r="BF16" s="754"/>
      <c r="BG16" s="752"/>
      <c r="BH16" s="754"/>
      <c r="BI16" s="752"/>
      <c r="BJ16" s="754"/>
      <c r="BK16" s="752"/>
      <c r="BL16" s="754"/>
      <c r="BM16" s="752"/>
      <c r="BN16" s="754"/>
      <c r="BO16" s="752"/>
      <c r="BP16" s="754"/>
      <c r="BQ16" s="752"/>
      <c r="BR16" s="754"/>
      <c r="BS16" s="752"/>
      <c r="BT16" s="754"/>
      <c r="BU16" s="752"/>
      <c r="BV16" s="754"/>
      <c r="BW16" s="752"/>
      <c r="BX16" s="754"/>
      <c r="BY16" s="752"/>
      <c r="BZ16" s="754"/>
      <c r="CA16" s="752"/>
      <c r="CB16" s="754"/>
      <c r="CC16" s="752"/>
      <c r="CD16" s="754"/>
      <c r="CE16" s="752"/>
      <c r="CF16" s="754"/>
      <c r="CG16" s="752"/>
      <c r="CH16" s="754"/>
      <c r="CI16" s="752"/>
      <c r="CJ16" s="754"/>
      <c r="CK16" s="752"/>
      <c r="CL16" s="754"/>
      <c r="CM16" s="752"/>
      <c r="CN16" s="754"/>
      <c r="CO16" s="752"/>
      <c r="CP16" s="754"/>
      <c r="CQ16" s="752"/>
      <c r="CR16" s="754"/>
      <c r="CS16" s="752"/>
      <c r="CT16" s="754"/>
      <c r="CU16" s="752"/>
      <c r="CV16" s="754"/>
      <c r="CW16" s="752"/>
      <c r="CX16" s="754"/>
      <c r="CY16" s="752"/>
      <c r="CZ16" s="754"/>
      <c r="DA16" s="752"/>
      <c r="DB16" s="754"/>
      <c r="DC16" s="754"/>
      <c r="DD16" s="756"/>
      <c r="DE16" s="754"/>
      <c r="DF16" s="756"/>
      <c r="DG16" s="754"/>
      <c r="DH16" s="756"/>
      <c r="DI16" s="754"/>
      <c r="DJ16" s="756"/>
      <c r="DK16" s="754"/>
      <c r="DL16" s="752"/>
      <c r="DM16" s="754"/>
      <c r="DN16" s="752"/>
      <c r="DO16" s="754"/>
      <c r="DP16" s="752"/>
      <c r="DQ16" s="754"/>
      <c r="DR16" s="752"/>
      <c r="DS16" s="754"/>
      <c r="DT16" s="752"/>
      <c r="DU16" s="754"/>
      <c r="DV16" s="752"/>
      <c r="DW16" s="754"/>
      <c r="DX16" s="752"/>
      <c r="DY16" s="754"/>
      <c r="DZ16" s="752"/>
      <c r="EA16" s="754"/>
      <c r="EB16" s="752"/>
      <c r="EC16" s="754"/>
      <c r="ED16" s="752"/>
      <c r="EE16" s="754"/>
      <c r="EF16" s="752"/>
      <c r="EG16" s="754"/>
      <c r="EH16" s="752"/>
      <c r="EI16" s="754"/>
      <c r="EJ16" s="752"/>
      <c r="EK16" s="754"/>
      <c r="EL16" s="752"/>
      <c r="EM16" s="754"/>
      <c r="EN16" s="752"/>
      <c r="EO16" s="754"/>
      <c r="EP16" s="752"/>
      <c r="EQ16" s="754"/>
      <c r="ER16" s="752"/>
      <c r="ES16" s="754"/>
      <c r="ET16" s="752"/>
      <c r="EU16" s="756"/>
      <c r="EV16" s="710"/>
    </row>
    <row r="17" spans="1:152" s="714" customFormat="1" ht="12.75" customHeight="1" x14ac:dyDescent="0.2">
      <c r="A17" s="749" t="str">
        <f>INPUT!B413</f>
        <v>Reported Pretax Earnings</v>
      </c>
      <c r="B17" s="757">
        <f>INPUT!AS413</f>
        <v>201.69999999999987</v>
      </c>
      <c r="C17" s="752">
        <f>INPUT!AT413</f>
        <v>9.1450216450212896</v>
      </c>
      <c r="D17" s="758">
        <f>INPUT!AU413</f>
        <v>216.49999999999972</v>
      </c>
      <c r="E17" s="752">
        <f>INPUT!AV413</f>
        <v>8.0878681977034397</v>
      </c>
      <c r="F17" s="758">
        <f>INPUT!AW413</f>
        <v>244.50000000000011</v>
      </c>
      <c r="G17" s="752">
        <f>INPUT!AX413</f>
        <v>16.985645933014439</v>
      </c>
      <c r="H17" s="758">
        <f>INPUT!AY413</f>
        <v>265.00000000000011</v>
      </c>
      <c r="I17" s="752">
        <f>INPUT!AZ413</f>
        <v>41.484249866524394</v>
      </c>
      <c r="J17" s="757">
        <f>INPUT!BA413</f>
        <v>263.59999999999997</v>
      </c>
      <c r="K17" s="752">
        <f>INPUT!BB413</f>
        <v>30.689142290530548</v>
      </c>
      <c r="L17" s="757">
        <f>INPUT!BC413</f>
        <v>275.5</v>
      </c>
      <c r="M17" s="752">
        <f>INPUT!BD413</f>
        <v>27.251732101616799</v>
      </c>
      <c r="N17" s="757">
        <f>INPUT!BE413</f>
        <v>324.99999999999983</v>
      </c>
      <c r="O17" s="752">
        <f>INPUT!BF413</f>
        <v>32.924335378322979</v>
      </c>
      <c r="P17" s="757">
        <f>INPUT!BG413</f>
        <v>306.80000000000007</v>
      </c>
      <c r="Q17" s="752">
        <f>INPUT!BH413</f>
        <v>15.773584905660343</v>
      </c>
      <c r="R17" s="757">
        <f>INPUT!BI413</f>
        <v>313.2</v>
      </c>
      <c r="S17" s="752">
        <f>INPUT!BJ413</f>
        <v>18.816388467374811</v>
      </c>
      <c r="T17" s="757">
        <f>INPUT!BK413</f>
        <v>340.89999999999975</v>
      </c>
      <c r="U17" s="752">
        <f>INPUT!BL413</f>
        <v>23.738656987295737</v>
      </c>
      <c r="V17" s="757">
        <f>INPUT!BM413</f>
        <v>325.59999999999985</v>
      </c>
      <c r="W17" s="752">
        <f>INPUT!BN413</f>
        <v>0.18461538461538307</v>
      </c>
      <c r="X17" s="757">
        <f>INPUT!BO413</f>
        <v>310.20000000000022</v>
      </c>
      <c r="Y17" s="752">
        <f>INPUT!BP413</f>
        <v>1.1082138200782854</v>
      </c>
      <c r="Z17" s="757">
        <f>INPUT!BQ413</f>
        <v>315.19999999999993</v>
      </c>
      <c r="AA17" s="752">
        <f>INPUT!BR413</f>
        <v>0.63856960408683605</v>
      </c>
      <c r="AB17" s="757">
        <f>INPUT!BS413</f>
        <v>323.90000000000015</v>
      </c>
      <c r="AC17" s="752">
        <f>INPUT!BT413</f>
        <v>-4.9867996479905035</v>
      </c>
      <c r="AD17" s="757">
        <f>INPUT!BU413</f>
        <v>319.69999999999982</v>
      </c>
      <c r="AE17" s="752">
        <f>INPUT!BV413</f>
        <v>-1.8120393120393263</v>
      </c>
      <c r="AF17" s="757">
        <f>INPUT!BW413</f>
        <v>321.79999999999978</v>
      </c>
      <c r="AG17" s="752">
        <f>INPUT!BX413</f>
        <v>3.7395228884589127</v>
      </c>
      <c r="AH17" s="757">
        <f>INPUT!BY413</f>
        <v>340.1</v>
      </c>
      <c r="AI17" s="752">
        <f>INPUT!BZ413</f>
        <v>7.899746192893442</v>
      </c>
      <c r="AJ17" s="757">
        <f>INPUT!CA413</f>
        <v>343.59999999999997</v>
      </c>
      <c r="AK17" s="752">
        <f>INPUT!CB413</f>
        <v>6.082124112380316</v>
      </c>
      <c r="AL17" s="757">
        <f>INPUT!CC413</f>
        <v>330.40000000000009</v>
      </c>
      <c r="AM17" s="752">
        <f>INPUT!CD413</f>
        <v>3.3468877072256209</v>
      </c>
      <c r="AN17" s="757">
        <f>INPUT!CE413</f>
        <v>313.60000000000031</v>
      </c>
      <c r="AO17" s="752">
        <f>INPUT!CF413</f>
        <v>-2.548166563082499</v>
      </c>
      <c r="AP17" s="757">
        <f>INPUT!CG413</f>
        <v>320.19999999999987</v>
      </c>
      <c r="AQ17" s="752">
        <f>INPUT!CH413</f>
        <v>-5.8512202293443565</v>
      </c>
      <c r="AR17" s="757">
        <f>INPUT!CI413</f>
        <v>346.10000000000014</v>
      </c>
      <c r="AS17" s="752">
        <f>INPUT!CJ413</f>
        <v>0.72759022118746852</v>
      </c>
      <c r="AT17" s="757">
        <f>INPUT!CK413</f>
        <v>320.60000000000002</v>
      </c>
      <c r="AU17" s="752">
        <f>INPUT!CL413</f>
        <v>-2.9661016949152685</v>
      </c>
      <c r="AV17" s="757">
        <f>INPUT!CM413</f>
        <v>-616.8000000000003</v>
      </c>
      <c r="AW17" s="752" t="str">
        <f>INPUT!CN413</f>
        <v>NM</v>
      </c>
      <c r="AX17" s="757">
        <f>INPUT!CO413</f>
        <v>309.19999999999993</v>
      </c>
      <c r="AY17" s="752">
        <f>INPUT!CP413</f>
        <v>-3.4353529044347075</v>
      </c>
      <c r="AZ17" s="757">
        <f>INPUT!CQ413</f>
        <v>310.09999999999991</v>
      </c>
      <c r="BA17" s="752">
        <f>INPUT!CR413</f>
        <v>-10.401618029471315</v>
      </c>
      <c r="BB17" s="757">
        <f>INPUT!CS413</f>
        <v>310.7</v>
      </c>
      <c r="BC17" s="752">
        <f>INPUT!CT413</f>
        <v>-3.0879600748596525</v>
      </c>
      <c r="BD17" s="757">
        <f>INPUT!CU413</f>
        <v>309.69999999999993</v>
      </c>
      <c r="BE17" s="752" t="str">
        <f>INPUT!CV413</f>
        <v>NM</v>
      </c>
      <c r="BF17" s="757">
        <f>INPUT!CW413</f>
        <v>312.00000000000011</v>
      </c>
      <c r="BG17" s="752">
        <f>INPUT!CX413</f>
        <v>0.90556274256150537</v>
      </c>
      <c r="BH17" s="757">
        <f>INPUT!CY413</f>
        <v>314.89999999999992</v>
      </c>
      <c r="BI17" s="752">
        <f>INPUT!CZ413</f>
        <v>1.5478877781360811</v>
      </c>
      <c r="BJ17" s="757">
        <f>INPUT!DA413</f>
        <v>316.40000000000003</v>
      </c>
      <c r="BK17" s="752">
        <f>INPUT!DB413</f>
        <v>1.8345671065336466</v>
      </c>
      <c r="BL17" s="757">
        <f>INPUT!DC413</f>
        <v>302.79999999999995</v>
      </c>
      <c r="BM17" s="752">
        <f>INPUT!DD413</f>
        <v>-2.2279625443977991</v>
      </c>
      <c r="BN17" s="757">
        <f>INPUT!DE413</f>
        <v>324.89999999999975</v>
      </c>
      <c r="BO17" s="752">
        <f>INPUT!DF413</f>
        <v>4.1346153846152589</v>
      </c>
      <c r="BP17" s="757">
        <f>INPUT!DG413</f>
        <v>325.3</v>
      </c>
      <c r="BQ17" s="752">
        <f>INPUT!DH413</f>
        <v>3.3026357573833209</v>
      </c>
      <c r="BR17" s="757">
        <f>INPUT!DI413</f>
        <v>317.20000000000005</v>
      </c>
      <c r="BS17" s="752">
        <f>INPUT!DJ413</f>
        <v>0.25284450063212116</v>
      </c>
      <c r="BT17" s="757">
        <f>INPUT!DK413</f>
        <v>-372.90000000000003</v>
      </c>
      <c r="BU17" s="752" t="str">
        <f>INPUT!DL413</f>
        <v>NM</v>
      </c>
      <c r="BV17" s="757">
        <f>INPUT!DM413</f>
        <v>318.30000000000007</v>
      </c>
      <c r="BW17" s="752">
        <f>INPUT!DN413</f>
        <v>-2.0313942751614911</v>
      </c>
      <c r="BX17" s="757">
        <f>INPUT!DO413</f>
        <v>318.99999999999994</v>
      </c>
      <c r="BY17" s="752">
        <f>INPUT!DP413</f>
        <v>-1.9366738395327654</v>
      </c>
      <c r="BZ17" s="757">
        <f>INPUT!DQ413</f>
        <v>325.50000000000023</v>
      </c>
      <c r="CA17" s="752">
        <f>INPUT!DR413</f>
        <v>2.6166456494325807</v>
      </c>
      <c r="CB17" s="757">
        <f>INPUT!DS413</f>
        <v>319.2999999999999</v>
      </c>
      <c r="CC17" s="752" t="str">
        <f>INPUT!DT413</f>
        <v>NM</v>
      </c>
      <c r="CD17" s="757">
        <f>INPUT!DU413</f>
        <v>324.69999999999982</v>
      </c>
      <c r="CE17" s="752">
        <f>INPUT!DV413</f>
        <v>2.0106817467796967</v>
      </c>
      <c r="CF17" s="757">
        <f>INPUT!DW413</f>
        <v>334.89999999999992</v>
      </c>
      <c r="CG17" s="752">
        <f>INPUT!DX413</f>
        <v>4.9843260188087601</v>
      </c>
      <c r="CH17" s="757">
        <f>INPUT!DY413</f>
        <v>321.10000000000019</v>
      </c>
      <c r="CI17" s="752">
        <f>INPUT!DZ413</f>
        <v>-1.3517665130568401</v>
      </c>
      <c r="CJ17" s="757">
        <f>INPUT!EA413</f>
        <v>342.79999999999995</v>
      </c>
      <c r="CK17" s="752">
        <f>INPUT!EB413</f>
        <v>7.3598496711556827</v>
      </c>
      <c r="CL17" s="757">
        <f>INPUT!EC413</f>
        <v>339.89999999999975</v>
      </c>
      <c r="CM17" s="752">
        <f>INPUT!ED413</f>
        <v>4.681244225438852</v>
      </c>
      <c r="CN17" s="757">
        <f>INPUT!EE413</f>
        <v>353.50000000000011</v>
      </c>
      <c r="CO17" s="752">
        <f>INPUT!EF413</f>
        <v>5.5538966855778416</v>
      </c>
      <c r="CP17" s="757">
        <f>INPUT!EG413</f>
        <v>356.39999999999992</v>
      </c>
      <c r="CQ17" s="752">
        <f>INPUT!EH413</f>
        <v>10.993459981314135</v>
      </c>
      <c r="CR17" s="757">
        <f>INPUT!EI413</f>
        <v>372.89999999999981</v>
      </c>
      <c r="CS17" s="752">
        <f>INPUT!EJ413</f>
        <v>8.7806301050174618</v>
      </c>
      <c r="CT17" s="757">
        <f>INPUT!EK413</f>
        <v>350.70513468194838</v>
      </c>
      <c r="CU17" s="752">
        <f>INPUT!EL413</f>
        <v>3.17891576403313</v>
      </c>
      <c r="CV17" s="757">
        <f>INPUT!EM413</f>
        <v>353.02545439877946</v>
      </c>
      <c r="CW17" s="752">
        <f>INPUT!EN413</f>
        <v>-0.13424203712041338</v>
      </c>
      <c r="CX17" s="757">
        <f>INPUT!EO413</f>
        <v>354.43037123584179</v>
      </c>
      <c r="CY17" s="752">
        <f>INPUT!EP413</f>
        <v>-0.55264555672226434</v>
      </c>
      <c r="CZ17" s="757">
        <f>INPUT!EQ413</f>
        <v>356.7361461005865</v>
      </c>
      <c r="DA17" s="752">
        <f>INPUT!ER413</f>
        <v>-4.3346349958201413</v>
      </c>
      <c r="DB17" s="757"/>
      <c r="DC17" s="758">
        <f>INPUT!FB413</f>
        <v>67</v>
      </c>
      <c r="DD17" s="752" t="str">
        <f>INPUT!FC413</f>
        <v>NA</v>
      </c>
      <c r="DE17" s="758">
        <f>INPUT!FD413</f>
        <v>1057.3000000000009</v>
      </c>
      <c r="DF17" s="752" t="str">
        <f>INPUT!FE413</f>
        <v>NM</v>
      </c>
      <c r="DG17" s="758">
        <f>INPUT!FF413</f>
        <v>-67.899999999999352</v>
      </c>
      <c r="DH17" s="752" t="str">
        <f>INPUT!FG413</f>
        <v>NM</v>
      </c>
      <c r="DI17" s="758">
        <f>INPUT!FH413</f>
        <v>-135.00000000000017</v>
      </c>
      <c r="DJ17" s="752">
        <f>INPUT!FI413</f>
        <v>98.821796759943254</v>
      </c>
      <c r="DK17" s="757">
        <f>INPUT!FJ413</f>
        <v>781.40000000000089</v>
      </c>
      <c r="DL17" s="752" t="str">
        <f>INPUT!FK413</f>
        <v>NM</v>
      </c>
      <c r="DM17" s="757">
        <f>INPUT!FL413</f>
        <v>927.70000000000027</v>
      </c>
      <c r="DN17" s="752">
        <f>INPUT!FM413</f>
        <v>18.722805221397397</v>
      </c>
      <c r="DO17" s="757">
        <f>INPUT!FN413</f>
        <v>1170.9000000000001</v>
      </c>
      <c r="DP17" s="752">
        <f>INPUT!FO413</f>
        <v>26.215371348496252</v>
      </c>
      <c r="DQ17" s="757">
        <f>INPUT!FP413</f>
        <v>1289.8999999999999</v>
      </c>
      <c r="DR17" s="752">
        <f>INPUT!FQ413</f>
        <v>10.163122384490553</v>
      </c>
      <c r="DS17" s="757">
        <f>INPUT!FR413</f>
        <v>1315.6999999999989</v>
      </c>
      <c r="DT17" s="752">
        <f>INPUT!FS413</f>
        <v>2.0001550507790622</v>
      </c>
      <c r="DU17" s="757">
        <f>INPUT!FT413</f>
        <v>1327.6999999999991</v>
      </c>
      <c r="DV17" s="752">
        <f>INPUT!FU413</f>
        <v>0.91206202021738569</v>
      </c>
      <c r="DW17" s="757">
        <f>INPUT!FV413</f>
        <v>370.0999999999998</v>
      </c>
      <c r="DX17" s="752" t="str">
        <f>INPUT!FW413</f>
        <v>NM</v>
      </c>
      <c r="DY17" s="757">
        <f>INPUT!FX413</f>
        <v>1255.7999999999988</v>
      </c>
      <c r="DZ17" s="752" t="str">
        <f>INPUT!FY413</f>
        <v>NM</v>
      </c>
      <c r="EA17" s="757">
        <f>INPUT!FZ413</f>
        <v>1246.0999999999999</v>
      </c>
      <c r="EB17" s="752">
        <f>INPUT!GA413</f>
        <v>-0.77241598980720694</v>
      </c>
      <c r="EC17" s="757">
        <f>INPUT!GB413</f>
        <v>594.5</v>
      </c>
      <c r="ED17" s="752" t="str">
        <f>INPUT!GC413</f>
        <v>NM</v>
      </c>
      <c r="EE17" s="757">
        <f>INPUT!GD413</f>
        <v>1282.0999999999997</v>
      </c>
      <c r="EF17" s="752" t="str">
        <f>INPUT!GE413</f>
        <v>NM</v>
      </c>
      <c r="EG17" s="757">
        <f>INPUT!GF413</f>
        <v>1323.5000000000011</v>
      </c>
      <c r="EH17" s="752">
        <f>INPUT!GG413</f>
        <v>3.2290772950628988</v>
      </c>
      <c r="EI17" s="757">
        <f>INPUT!GH413</f>
        <v>1422.6999999999996</v>
      </c>
      <c r="EJ17" s="752">
        <f>INPUT!GI413</f>
        <v>7.4952776728370418</v>
      </c>
      <c r="EK17" s="757">
        <f>INPUT!GJ413</f>
        <v>1414.8971064171565</v>
      </c>
      <c r="EL17" s="752">
        <f>INPUT!GK413</f>
        <v>-0.54845670786836109</v>
      </c>
      <c r="EM17" s="757">
        <f>INPUT!GL413</f>
        <v>1448.9117131662904</v>
      </c>
      <c r="EN17" s="752">
        <f>INPUT!GM413</f>
        <v>2.4040339466992577</v>
      </c>
      <c r="EO17" s="757">
        <f>INPUT!GN413</f>
        <v>1489.5856145858661</v>
      </c>
      <c r="EP17" s="752">
        <f>INPUT!GO413</f>
        <v>2.8072035756196323</v>
      </c>
      <c r="EQ17" s="757">
        <f>INPUT!GP413</f>
        <v>1535.4955462668161</v>
      </c>
      <c r="ER17" s="752">
        <f>INPUT!GQ413</f>
        <v>3.0820606235321346</v>
      </c>
      <c r="ES17" s="757">
        <f>INPUT!GR413</f>
        <v>1575.4640968302349</v>
      </c>
      <c r="ET17" s="752">
        <f>INPUT!GS413</f>
        <v>2.6029740470815854</v>
      </c>
      <c r="EU17" s="752">
        <f>INPUT!GT413</f>
        <v>2.0608158834128032</v>
      </c>
      <c r="EV17" s="713"/>
    </row>
    <row r="18" spans="1:152" s="714" customFormat="1" ht="12.75" customHeight="1" x14ac:dyDescent="0.2">
      <c r="A18" s="749"/>
      <c r="B18" s="757"/>
      <c r="C18" s="752"/>
      <c r="D18" s="758"/>
      <c r="E18" s="752"/>
      <c r="F18" s="758"/>
      <c r="G18" s="752"/>
      <c r="H18" s="758"/>
      <c r="I18" s="752"/>
      <c r="J18" s="757"/>
      <c r="K18" s="752"/>
      <c r="L18" s="757"/>
      <c r="M18" s="752"/>
      <c r="N18" s="757"/>
      <c r="O18" s="752"/>
      <c r="P18" s="757"/>
      <c r="Q18" s="752"/>
      <c r="R18" s="757"/>
      <c r="S18" s="752"/>
      <c r="T18" s="757"/>
      <c r="U18" s="752"/>
      <c r="V18" s="757"/>
      <c r="W18" s="752"/>
      <c r="X18" s="757"/>
      <c r="Y18" s="752"/>
      <c r="Z18" s="757"/>
      <c r="AA18" s="752"/>
      <c r="AB18" s="757"/>
      <c r="AC18" s="752"/>
      <c r="AD18" s="757"/>
      <c r="AE18" s="752"/>
      <c r="AF18" s="757"/>
      <c r="AG18" s="752"/>
      <c r="AH18" s="757"/>
      <c r="AI18" s="752"/>
      <c r="AJ18" s="757"/>
      <c r="AK18" s="752"/>
      <c r="AL18" s="757"/>
      <c r="AM18" s="752"/>
      <c r="AN18" s="757"/>
      <c r="AO18" s="752"/>
      <c r="AP18" s="757"/>
      <c r="AQ18" s="752"/>
      <c r="AR18" s="757"/>
      <c r="AS18" s="752"/>
      <c r="AT18" s="757"/>
      <c r="AU18" s="752"/>
      <c r="AV18" s="757"/>
      <c r="AW18" s="752"/>
      <c r="AX18" s="757"/>
      <c r="AY18" s="752"/>
      <c r="AZ18" s="757"/>
      <c r="BA18" s="752"/>
      <c r="BB18" s="757"/>
      <c r="BC18" s="752"/>
      <c r="BD18" s="757"/>
      <c r="BE18" s="752"/>
      <c r="BF18" s="757"/>
      <c r="BG18" s="752"/>
      <c r="BH18" s="757"/>
      <c r="BI18" s="752"/>
      <c r="BJ18" s="757"/>
      <c r="BK18" s="752"/>
      <c r="BL18" s="757"/>
      <c r="BM18" s="752"/>
      <c r="BN18" s="757"/>
      <c r="BO18" s="752"/>
      <c r="BP18" s="757"/>
      <c r="BQ18" s="752"/>
      <c r="BR18" s="757"/>
      <c r="BS18" s="752"/>
      <c r="BT18" s="757"/>
      <c r="BU18" s="752"/>
      <c r="BV18" s="757"/>
      <c r="BW18" s="752"/>
      <c r="BX18" s="757"/>
      <c r="BY18" s="752"/>
      <c r="BZ18" s="757"/>
      <c r="CA18" s="752"/>
      <c r="CB18" s="757"/>
      <c r="CC18" s="752"/>
      <c r="CD18" s="757"/>
      <c r="CE18" s="752"/>
      <c r="CF18" s="757"/>
      <c r="CG18" s="752"/>
      <c r="CH18" s="757"/>
      <c r="CI18" s="752"/>
      <c r="CJ18" s="757"/>
      <c r="CK18" s="752"/>
      <c r="CL18" s="757"/>
      <c r="CM18" s="752"/>
      <c r="CN18" s="757"/>
      <c r="CO18" s="752"/>
      <c r="CP18" s="757"/>
      <c r="CQ18" s="752"/>
      <c r="CR18" s="757"/>
      <c r="CS18" s="752"/>
      <c r="CT18" s="757"/>
      <c r="CU18" s="752"/>
      <c r="CV18" s="757"/>
      <c r="CW18" s="752"/>
      <c r="CX18" s="757"/>
      <c r="CY18" s="752"/>
      <c r="CZ18" s="757"/>
      <c r="DA18" s="752"/>
      <c r="DB18" s="757"/>
      <c r="DC18" s="758"/>
      <c r="DD18" s="752"/>
      <c r="DE18" s="758"/>
      <c r="DF18" s="752"/>
      <c r="DG18" s="758"/>
      <c r="DH18" s="752"/>
      <c r="DI18" s="758"/>
      <c r="DJ18" s="752"/>
      <c r="DK18" s="757"/>
      <c r="DL18" s="752"/>
      <c r="DM18" s="757"/>
      <c r="DN18" s="752"/>
      <c r="DO18" s="757"/>
      <c r="DP18" s="752"/>
      <c r="DQ18" s="757"/>
      <c r="DR18" s="752"/>
      <c r="DS18" s="757"/>
      <c r="DT18" s="752"/>
      <c r="DU18" s="757"/>
      <c r="DV18" s="752"/>
      <c r="DW18" s="757"/>
      <c r="DX18" s="752"/>
      <c r="DY18" s="757"/>
      <c r="DZ18" s="752"/>
      <c r="EA18" s="757"/>
      <c r="EB18" s="752"/>
      <c r="EC18" s="757"/>
      <c r="ED18" s="752"/>
      <c r="EE18" s="757"/>
      <c r="EF18" s="752"/>
      <c r="EG18" s="757"/>
      <c r="EH18" s="752"/>
      <c r="EI18" s="757"/>
      <c r="EJ18" s="752"/>
      <c r="EK18" s="757"/>
      <c r="EL18" s="752"/>
      <c r="EM18" s="757"/>
      <c r="EN18" s="752"/>
      <c r="EO18" s="757"/>
      <c r="EP18" s="752"/>
      <c r="EQ18" s="757"/>
      <c r="ER18" s="752"/>
      <c r="ES18" s="757"/>
      <c r="ET18" s="752"/>
      <c r="EU18" s="752"/>
      <c r="EV18" s="713"/>
    </row>
    <row r="19" spans="1:152" ht="12.75" customHeight="1" x14ac:dyDescent="0.2">
      <c r="A19" s="754" t="str">
        <f>INPUT!B414</f>
        <v>Taxes</v>
      </c>
      <c r="B19" s="755">
        <f>INPUT!AS414</f>
        <v>68.600000000000009</v>
      </c>
      <c r="C19" s="756" t="str">
        <f>INPUT!AT414</f>
        <v>NM</v>
      </c>
      <c r="D19" s="755">
        <f>INPUT!AU414</f>
        <v>76.13000000000001</v>
      </c>
      <c r="E19" s="756">
        <f>INPUT!AV414</f>
        <v>6.3268156424581168</v>
      </c>
      <c r="F19" s="755">
        <f>INPUT!AW414</f>
        <v>87.077199999999991</v>
      </c>
      <c r="G19" s="756">
        <f>INPUT!AX414</f>
        <v>18.795634379263305</v>
      </c>
      <c r="H19" s="755">
        <f>INPUT!AY414</f>
        <v>85.2</v>
      </c>
      <c r="I19" s="752">
        <f>INPUT!AZ414</f>
        <v>57.777777777777771</v>
      </c>
      <c r="J19" s="755">
        <f>INPUT!BA414</f>
        <v>89</v>
      </c>
      <c r="K19" s="752">
        <f>INPUT!BB414</f>
        <v>29.737609329446045</v>
      </c>
      <c r="L19" s="755">
        <f>INPUT!BC414</f>
        <v>94</v>
      </c>
      <c r="M19" s="752">
        <f>INPUT!BD414</f>
        <v>23.473006699067376</v>
      </c>
      <c r="N19" s="755">
        <f>INPUT!BE414</f>
        <v>108.1</v>
      </c>
      <c r="O19" s="752">
        <f>INPUT!BF414</f>
        <v>24.142714740483171</v>
      </c>
      <c r="P19" s="755">
        <f>INPUT!BG414</f>
        <v>93.7</v>
      </c>
      <c r="Q19" s="752">
        <f>INPUT!BH414</f>
        <v>9.9765258215962493</v>
      </c>
      <c r="R19" s="755">
        <f>INPUT!BI414</f>
        <v>105.4</v>
      </c>
      <c r="S19" s="752">
        <f>INPUT!BJ414</f>
        <v>18.426966292134829</v>
      </c>
      <c r="T19" s="755">
        <f>INPUT!BK414</f>
        <v>117.7</v>
      </c>
      <c r="U19" s="752">
        <f>INPUT!BL414</f>
        <v>25.212765957446813</v>
      </c>
      <c r="V19" s="755">
        <f>INPUT!BM414</f>
        <v>108.7</v>
      </c>
      <c r="W19" s="752">
        <f>INPUT!BN414</f>
        <v>0.55504162812212154</v>
      </c>
      <c r="X19" s="755">
        <f>INPUT!BO414</f>
        <v>100.8</v>
      </c>
      <c r="Y19" s="752">
        <f>INPUT!BP414</f>
        <v>7.5773745997865571</v>
      </c>
      <c r="Z19" s="755">
        <f>INPUT!BQ414</f>
        <v>108.5</v>
      </c>
      <c r="AA19" s="752">
        <f>INPUT!BR414</f>
        <v>2.9411764705882248</v>
      </c>
      <c r="AB19" s="755">
        <f>INPUT!BS414</f>
        <v>108.1</v>
      </c>
      <c r="AC19" s="752">
        <f>INPUT!BT414</f>
        <v>-8.1563296516567583</v>
      </c>
      <c r="AD19" s="755">
        <f>INPUT!BU414</f>
        <v>108.1</v>
      </c>
      <c r="AE19" s="752">
        <f>INPUT!BV414</f>
        <v>-0.55197792088317321</v>
      </c>
      <c r="AF19" s="755">
        <f>INPUT!BW414</f>
        <v>103.5</v>
      </c>
      <c r="AG19" s="752">
        <f>INPUT!BX414</f>
        <v>2.6785714285714413</v>
      </c>
      <c r="AH19" s="755">
        <f>INPUT!BY414</f>
        <v>113.5</v>
      </c>
      <c r="AI19" s="752">
        <f>INPUT!BZ414</f>
        <v>4.6082949308755783</v>
      </c>
      <c r="AJ19" s="755">
        <f>INPUT!CA414</f>
        <v>111.1</v>
      </c>
      <c r="AK19" s="752">
        <f>INPUT!CB414</f>
        <v>2.7752081406105411</v>
      </c>
      <c r="AL19" s="755">
        <f>INPUT!CC414</f>
        <v>107.1</v>
      </c>
      <c r="AM19" s="752">
        <f>INPUT!CD414</f>
        <v>-0.9250693802035137</v>
      </c>
      <c r="AN19" s="755">
        <f>INPUT!CE414</f>
        <v>101.3</v>
      </c>
      <c r="AO19" s="752">
        <f>INPUT!CF414</f>
        <v>-2.1256038647343045</v>
      </c>
      <c r="AP19" s="755">
        <f>INPUT!CG414</f>
        <v>101.1</v>
      </c>
      <c r="AQ19" s="752">
        <f>INPUT!CH414</f>
        <v>-10.925110132158601</v>
      </c>
      <c r="AR19" s="755">
        <f>INPUT!CI414</f>
        <v>111.1</v>
      </c>
      <c r="AS19" s="752">
        <f>INPUT!CJ414</f>
        <v>0</v>
      </c>
      <c r="AT19" s="755">
        <f>INPUT!CK414</f>
        <v>97.5</v>
      </c>
      <c r="AU19" s="752">
        <f>INPUT!CL414</f>
        <v>-8.9635854341736589</v>
      </c>
      <c r="AV19" s="755">
        <f>INPUT!CM414</f>
        <v>-248.1</v>
      </c>
      <c r="AW19" s="752" t="str">
        <f>INPUT!CN414</f>
        <v>NM</v>
      </c>
      <c r="AX19" s="755">
        <f>INPUT!CO414</f>
        <v>96</v>
      </c>
      <c r="AY19" s="752">
        <f>INPUT!CP414</f>
        <v>-5.0445103857566735</v>
      </c>
      <c r="AZ19" s="755">
        <f>INPUT!CQ414</f>
        <v>84.8</v>
      </c>
      <c r="BA19" s="752">
        <f>INPUT!CR414</f>
        <v>-23.672367236723669</v>
      </c>
      <c r="BB19" s="755">
        <f>INPUT!CS414</f>
        <v>86.7</v>
      </c>
      <c r="BC19" s="752">
        <f>INPUT!CT414</f>
        <v>-11.076923076923073</v>
      </c>
      <c r="BD19" s="755">
        <f>INPUT!CU414</f>
        <v>84.7</v>
      </c>
      <c r="BE19" s="752" t="str">
        <f>INPUT!CV414</f>
        <v>NM</v>
      </c>
      <c r="BF19" s="755">
        <f>INPUT!CW414</f>
        <v>99.3</v>
      </c>
      <c r="BG19" s="752">
        <f>INPUT!CX414</f>
        <v>3.4375000000000044</v>
      </c>
      <c r="BH19" s="755">
        <f>INPUT!CY414</f>
        <v>99</v>
      </c>
      <c r="BI19" s="752">
        <f>INPUT!CZ414</f>
        <v>16.74528301886793</v>
      </c>
      <c r="BJ19" s="755">
        <f>INPUT!DA414</f>
        <v>94.8</v>
      </c>
      <c r="BK19" s="752">
        <f>INPUT!DB414</f>
        <v>9.3425605536332057</v>
      </c>
      <c r="BL19" s="755">
        <f>INPUT!DC414</f>
        <v>88.5</v>
      </c>
      <c r="BM19" s="752">
        <f>INPUT!DD414</f>
        <v>4.4864226682408415</v>
      </c>
      <c r="BN19" s="755">
        <f>INPUT!DE414</f>
        <v>102.3</v>
      </c>
      <c r="BO19" s="752">
        <f>INPUT!DF414</f>
        <v>3.0211480362537735</v>
      </c>
      <c r="BP19" s="755">
        <f>INPUT!DG414</f>
        <v>104</v>
      </c>
      <c r="BQ19" s="752">
        <f>INPUT!DH414</f>
        <v>5.0505050505050608</v>
      </c>
      <c r="BR19" s="755">
        <f>INPUT!DI414</f>
        <v>98.1</v>
      </c>
      <c r="BS19" s="752">
        <f>INPUT!DJ414</f>
        <v>3.4810126582278444</v>
      </c>
      <c r="BT19" s="755">
        <f>INPUT!DK414</f>
        <v>-143.80000000000001</v>
      </c>
      <c r="BU19" s="752" t="str">
        <f>INPUT!DL414</f>
        <v>NM</v>
      </c>
      <c r="BV19" s="755">
        <f>INPUT!DM414</f>
        <v>95.4</v>
      </c>
      <c r="BW19" s="752">
        <f>INPUT!DN414</f>
        <v>-6.7448680351906098</v>
      </c>
      <c r="BX19" s="755">
        <f>INPUT!DO414</f>
        <v>98.4</v>
      </c>
      <c r="BY19" s="752">
        <f>INPUT!DP414</f>
        <v>-5.3846153846153761</v>
      </c>
      <c r="BZ19" s="755">
        <f>INPUT!DQ414</f>
        <v>104.4</v>
      </c>
      <c r="CA19" s="752">
        <f>INPUT!DR414</f>
        <v>6.4220183486238591</v>
      </c>
      <c r="CB19" s="755">
        <f>INPUT!DS414</f>
        <v>90.7</v>
      </c>
      <c r="CC19" s="752" t="str">
        <f>INPUT!DT414</f>
        <v>NM</v>
      </c>
      <c r="CD19" s="755">
        <f>INPUT!DU414</f>
        <v>100.5</v>
      </c>
      <c r="CE19" s="752">
        <f>INPUT!DV414</f>
        <v>5.3459119496855223</v>
      </c>
      <c r="CF19" s="755">
        <f>INPUT!DW414</f>
        <v>101.9</v>
      </c>
      <c r="CG19" s="752">
        <f>INPUT!DX414</f>
        <v>3.5569105691056979</v>
      </c>
      <c r="CH19" s="755">
        <f>INPUT!DY414</f>
        <v>92.4</v>
      </c>
      <c r="CI19" s="752">
        <f>INPUT!DZ414</f>
        <v>-11.494252873563216</v>
      </c>
      <c r="CJ19" s="755">
        <f>INPUT!EA414</f>
        <v>113.1</v>
      </c>
      <c r="CK19" s="752">
        <f>INPUT!EB414</f>
        <v>24.696802646085981</v>
      </c>
      <c r="CL19" s="755">
        <f>INPUT!EC414</f>
        <v>103.8</v>
      </c>
      <c r="CM19" s="752">
        <f>INPUT!ED414</f>
        <v>3.2835820895522394</v>
      </c>
      <c r="CN19" s="755">
        <f>INPUT!EE414</f>
        <v>113.1</v>
      </c>
      <c r="CO19" s="752">
        <f>INPUT!EF414</f>
        <v>10.99116781157996</v>
      </c>
      <c r="CP19" s="755">
        <f>INPUT!EG414</f>
        <v>110.9</v>
      </c>
      <c r="CQ19" s="752">
        <f>INPUT!EH414</f>
        <v>20.021645021645028</v>
      </c>
      <c r="CR19" s="755">
        <f>INPUT!EI414</f>
        <v>119.3</v>
      </c>
      <c r="CS19" s="752">
        <f>INPUT!EJ414</f>
        <v>5.4818744473916992</v>
      </c>
      <c r="CT19" s="755">
        <f>INPUT!EK414</f>
        <v>68.387501262979924</v>
      </c>
      <c r="CU19" s="752">
        <f>INPUT!EL414</f>
        <v>-34.116087415240912</v>
      </c>
      <c r="CV19" s="755">
        <f>INPUT!EM414</f>
        <v>68.839963607761987</v>
      </c>
      <c r="CW19" s="752">
        <f>INPUT!EN414</f>
        <v>-39.13354234503803</v>
      </c>
      <c r="CX19" s="755">
        <f>INPUT!EO414</f>
        <v>69.113922390989146</v>
      </c>
      <c r="CY19" s="752">
        <f>INPUT!EP414</f>
        <v>-37.679060062228011</v>
      </c>
      <c r="CZ19" s="755">
        <f>INPUT!EQ414</f>
        <v>69.563548489614362</v>
      </c>
      <c r="DA19" s="752">
        <f>INPUT!ER414</f>
        <v>-41.69023596847078</v>
      </c>
      <c r="DB19" s="755"/>
      <c r="DC19" s="755">
        <f>INPUT!FB414</f>
        <v>305.10000000000002</v>
      </c>
      <c r="DD19" s="756" t="str">
        <f>INPUT!FC414</f>
        <v>NA</v>
      </c>
      <c r="DE19" s="755">
        <f>INPUT!FD414</f>
        <v>303.70000000000005</v>
      </c>
      <c r="DF19" s="756">
        <f>INPUT!FE414</f>
        <v>-0.45886594559160221</v>
      </c>
      <c r="DG19" s="755">
        <f>INPUT!FF414</f>
        <v>-110.1</v>
      </c>
      <c r="DH19" s="756" t="str">
        <f>INPUT!FG414</f>
        <v>NM</v>
      </c>
      <c r="DI19" s="755">
        <f>INPUT!FH414</f>
        <v>-77.699999999999989</v>
      </c>
      <c r="DJ19" s="756">
        <f>INPUT!FI414</f>
        <v>-29.427792915531338</v>
      </c>
      <c r="DK19" s="755">
        <f>INPUT!FJ414</f>
        <v>229.39999999999998</v>
      </c>
      <c r="DL19" s="752" t="str">
        <f>INPUT!FK414</f>
        <v>NM</v>
      </c>
      <c r="DM19" s="755">
        <f>INPUT!FL414</f>
        <v>317.00720000000001</v>
      </c>
      <c r="DN19" s="752">
        <f>INPUT!FM414</f>
        <v>38.189712292938125</v>
      </c>
      <c r="DO19" s="755">
        <f>INPUT!FN414</f>
        <v>384.8</v>
      </c>
      <c r="DP19" s="752">
        <f>INPUT!FO414</f>
        <v>21.385255603027311</v>
      </c>
      <c r="DQ19" s="755">
        <f>INPUT!FP414</f>
        <v>432.6</v>
      </c>
      <c r="DR19" s="752">
        <f>INPUT!FQ414</f>
        <v>12.422037422037423</v>
      </c>
      <c r="DS19" s="755">
        <f>INPUT!FR414</f>
        <v>455.1529792147806</v>
      </c>
      <c r="DT19" s="752">
        <f>INPUT!FS414</f>
        <v>5.2133562678642109</v>
      </c>
      <c r="DU19" s="755">
        <f>INPUT!FT414</f>
        <v>433</v>
      </c>
      <c r="DV19" s="752">
        <f>INPUT!FU414</f>
        <v>-4.8671502168344372</v>
      </c>
      <c r="DW19" s="755">
        <f>INPUT!FV414</f>
        <v>61.599999999999994</v>
      </c>
      <c r="DX19" s="752" t="str">
        <f>INPUT!FW414</f>
        <v>NM</v>
      </c>
      <c r="DY19" s="755">
        <f>INPUT!FX414</f>
        <v>374.59999999999877</v>
      </c>
      <c r="DZ19" s="752" t="str">
        <f>INPUT!FY414</f>
        <v>NM</v>
      </c>
      <c r="EA19" s="755">
        <f>INPUT!FZ414</f>
        <v>381.6</v>
      </c>
      <c r="EB19" s="752">
        <f>INPUT!GA414</f>
        <v>1.8686599038978402</v>
      </c>
      <c r="EC19" s="755">
        <f>INPUT!GB414</f>
        <v>160.59999999999997</v>
      </c>
      <c r="ED19" s="752" t="str">
        <f>INPUT!GC414</f>
        <v>NM</v>
      </c>
      <c r="EE19" s="755">
        <f>INPUT!GD414</f>
        <v>388.90000000000003</v>
      </c>
      <c r="EF19" s="752" t="str">
        <f>INPUT!GE414</f>
        <v>NM</v>
      </c>
      <c r="EG19" s="755">
        <f>INPUT!GF414</f>
        <v>407.9</v>
      </c>
      <c r="EH19" s="752">
        <f>INPUT!GG414</f>
        <v>4.8855746978657688</v>
      </c>
      <c r="EI19" s="755">
        <f>INPUT!GH414</f>
        <v>447.09999999999997</v>
      </c>
      <c r="EJ19" s="752">
        <f>INPUT!GI414</f>
        <v>9.6101985780828514</v>
      </c>
      <c r="EK19" s="755">
        <f>INPUT!GJ414</f>
        <v>275.90493575134542</v>
      </c>
      <c r="EL19" s="752">
        <f>INPUT!GK414</f>
        <v>-38.290106072166083</v>
      </c>
      <c r="EM19" s="755">
        <f>INPUT!GL414</f>
        <v>282.53778406742651</v>
      </c>
      <c r="EN19" s="752">
        <f>INPUT!GM414</f>
        <v>2.4040339466992577</v>
      </c>
      <c r="EO19" s="755">
        <f>INPUT!GN414</f>
        <v>290.46919484424382</v>
      </c>
      <c r="EP19" s="752">
        <f>INPUT!GO414</f>
        <v>2.8072035756196323</v>
      </c>
      <c r="EQ19" s="755">
        <f>INPUT!GP414</f>
        <v>299.42163152202903</v>
      </c>
      <c r="ER19" s="752">
        <f>INPUT!GQ414</f>
        <v>3.0820606235321124</v>
      </c>
      <c r="ES19" s="755">
        <f>INPUT!GR414</f>
        <v>307.21549888189571</v>
      </c>
      <c r="ET19" s="752">
        <f>INPUT!GS414</f>
        <v>2.6029740470815854</v>
      </c>
      <c r="EU19" s="756">
        <f>INPUT!GT414</f>
        <v>-7.2299714182083807</v>
      </c>
      <c r="EV19" s="710"/>
    </row>
    <row r="20" spans="1:152" ht="12.75" customHeight="1" x14ac:dyDescent="0.2">
      <c r="A20" s="754" t="str">
        <f>INPUT!B415</f>
        <v>Tax Rate (%)</v>
      </c>
      <c r="B20" s="755">
        <f>INPUT!AS415</f>
        <v>34.010907288051591</v>
      </c>
      <c r="C20" s="756" t="str">
        <f>INPUT!AT415</f>
        <v>NM</v>
      </c>
      <c r="D20" s="755">
        <f>INPUT!AU415</f>
        <v>35.163972286374182</v>
      </c>
      <c r="E20" s="756">
        <f>INPUT!AV415</f>
        <v>-1.6292786457997144</v>
      </c>
      <c r="F20" s="755">
        <f>INPUT!AW415</f>
        <v>35.614396728016338</v>
      </c>
      <c r="G20" s="756">
        <f>INPUT!AX415</f>
        <v>1.5471884877955366</v>
      </c>
      <c r="H20" s="755">
        <f>INPUT!AY415</f>
        <v>32.150943396226403</v>
      </c>
      <c r="I20" s="752">
        <f>INPUT!AZ415</f>
        <v>11.516142557651921</v>
      </c>
      <c r="J20" s="755">
        <f>INPUT!BA415</f>
        <v>33.763277693474969</v>
      </c>
      <c r="K20" s="752">
        <f>INPUT!BB415</f>
        <v>-0.7280887642289291</v>
      </c>
      <c r="L20" s="755">
        <f>INPUT!BC415</f>
        <v>34.119782214156082</v>
      </c>
      <c r="M20" s="752">
        <f>INPUT!BD415</f>
        <v>-2.9694883834916364</v>
      </c>
      <c r="N20" s="755">
        <f>INPUT!BE415</f>
        <v>33.261538461538478</v>
      </c>
      <c r="O20" s="752">
        <f>INPUT!BF415</f>
        <v>-6.606480756774868</v>
      </c>
      <c r="P20" s="755">
        <f>INPUT!BG415</f>
        <v>30.541069100391127</v>
      </c>
      <c r="Q20" s="752">
        <f>INPUT!BH415</f>
        <v>-5.0072381267177057</v>
      </c>
      <c r="R20" s="755">
        <f>INPUT!BI415</f>
        <v>33.652618135376763</v>
      </c>
      <c r="S20" s="752">
        <f>INPUT!BJ415</f>
        <v>-0.32775123050210464</v>
      </c>
      <c r="T20" s="755">
        <f>INPUT!BK415</f>
        <v>34.526254033440921</v>
      </c>
      <c r="U20" s="752">
        <f>INPUT!BL415</f>
        <v>1.1913083639677913</v>
      </c>
      <c r="V20" s="755">
        <f>INPUT!BM415</f>
        <v>33.384520884520903</v>
      </c>
      <c r="W20" s="752">
        <f>INPUT!BN415</f>
        <v>0.36974363986390646</v>
      </c>
      <c r="X20" s="755">
        <f>INPUT!BO415</f>
        <v>32.495164410058003</v>
      </c>
      <c r="Y20" s="752">
        <f>INPUT!BP415</f>
        <v>6.3982544397630514</v>
      </c>
      <c r="Z20" s="755">
        <f>INPUT!BQ415</f>
        <v>34.422588832487314</v>
      </c>
      <c r="AA20" s="752">
        <f>INPUT!BR415</f>
        <v>2.2879964168408318</v>
      </c>
      <c r="AB20" s="755">
        <f>INPUT!BS415</f>
        <v>33.374498301945025</v>
      </c>
      <c r="AC20" s="752">
        <f>INPUT!BT415</f>
        <v>-3.335883847637644</v>
      </c>
      <c r="AD20" s="755">
        <f>INPUT!BU415</f>
        <v>33.81294964028779</v>
      </c>
      <c r="AE20" s="752">
        <f>INPUT!BV415</f>
        <v>1.283315573851862</v>
      </c>
      <c r="AF20" s="755">
        <f>INPUT!BW415</f>
        <v>32.162834058421403</v>
      </c>
      <c r="AG20" s="752">
        <f>INPUT!BX415</f>
        <v>-1.0227070940245331</v>
      </c>
      <c r="AH20" s="755">
        <f>INPUT!BY415</f>
        <v>33.372537488973833</v>
      </c>
      <c r="AI20" s="752">
        <f>INPUT!BZ415</f>
        <v>-3.0504717371009127</v>
      </c>
      <c r="AJ20" s="755">
        <f>INPUT!CA415</f>
        <v>32.334109429569267</v>
      </c>
      <c r="AK20" s="752">
        <f>INPUT!CB415</f>
        <v>-3.117316889569921</v>
      </c>
      <c r="AL20" s="755">
        <f>INPUT!CC415</f>
        <v>32.415254237288124</v>
      </c>
      <c r="AM20" s="752">
        <f>INPUT!CD415</f>
        <v>-4.133609808871352</v>
      </c>
      <c r="AN20" s="755">
        <f>INPUT!CE415</f>
        <v>32.302295918367314</v>
      </c>
      <c r="AO20" s="752">
        <f>INPUT!CF415</f>
        <v>0.43361185053714113</v>
      </c>
      <c r="AP20" s="755">
        <f>INPUT!CG415</f>
        <v>31.574016239850106</v>
      </c>
      <c r="AQ20" s="752">
        <f>INPUT!CH415</f>
        <v>-5.3892253464932089</v>
      </c>
      <c r="AR20" s="755">
        <f>INPUT!CI415</f>
        <v>32.100548974284877</v>
      </c>
      <c r="AS20" s="752">
        <f>INPUT!CJ415</f>
        <v>-0.72233458537999118</v>
      </c>
      <c r="AT20" s="755">
        <f>INPUT!CK415</f>
        <v>30.411728009981282</v>
      </c>
      <c r="AU20" s="752">
        <f>INPUT!CL415</f>
        <v>-6.1808129365283015</v>
      </c>
      <c r="AV20" s="755">
        <f>INPUT!CM415</f>
        <v>40.223735408560287</v>
      </c>
      <c r="AW20" s="752">
        <f>INPUT!CN415</f>
        <v>24.522837355622109</v>
      </c>
      <c r="AX20" s="755">
        <f>INPUT!CO415</f>
        <v>31.047865459249685</v>
      </c>
      <c r="AY20" s="752">
        <f>INPUT!CP415</f>
        <v>-1.6664043516147808</v>
      </c>
      <c r="AZ20" s="755">
        <f>INPUT!CQ415</f>
        <v>27.34601741373751</v>
      </c>
      <c r="BA20" s="752">
        <f>INPUT!CR415</f>
        <v>-14.811371495098513</v>
      </c>
      <c r="BB20" s="755">
        <f>INPUT!CS415</f>
        <v>27.90473125201159</v>
      </c>
      <c r="BC20" s="752">
        <f>INPUT!CT415</f>
        <v>-8.2435195959495662</v>
      </c>
      <c r="BD20" s="755">
        <f>INPUT!CU415</f>
        <v>27.349047465288994</v>
      </c>
      <c r="BE20" s="752">
        <f>INPUT!CV415</f>
        <v>-32.007688526439892</v>
      </c>
      <c r="BF20" s="755">
        <f>INPUT!CW415</f>
        <v>31.826923076923062</v>
      </c>
      <c r="BG20" s="752">
        <f>INPUT!CX415</f>
        <v>2.5092147435896717</v>
      </c>
      <c r="BH20" s="755">
        <f>INPUT!CY415</f>
        <v>31.438551921244844</v>
      </c>
      <c r="BI20" s="752">
        <f>INPUT!CZ415</f>
        <v>14.965742344080478</v>
      </c>
      <c r="BJ20" s="755">
        <f>INPUT!DA415</f>
        <v>29.96207332490518</v>
      </c>
      <c r="BK20" s="752">
        <f>INPUT!DB415</f>
        <v>7.3727356637605324</v>
      </c>
      <c r="BL20" s="755">
        <f>INPUT!DC415</f>
        <v>29.227212681638047</v>
      </c>
      <c r="BM20" s="752">
        <f>INPUT!DD415</f>
        <v>6.8673880460838443</v>
      </c>
      <c r="BN20" s="755">
        <f>INPUT!DE415</f>
        <v>31.486611265004637</v>
      </c>
      <c r="BO20" s="752">
        <f>INPUT!DF415</f>
        <v>-1.0692576567829737</v>
      </c>
      <c r="BP20" s="755">
        <f>INPUT!DG415</f>
        <v>31.97048877958807</v>
      </c>
      <c r="BQ20" s="752">
        <f>INPUT!DH415</f>
        <v>1.6919890574977892</v>
      </c>
      <c r="BR20" s="755">
        <f>INPUT!DI415</f>
        <v>30.926860025220677</v>
      </c>
      <c r="BS20" s="752">
        <f>INPUT!DJ415</f>
        <v>3.2200264976774529</v>
      </c>
      <c r="BT20" s="755">
        <f>INPUT!DK415</f>
        <v>38.56261732367927</v>
      </c>
      <c r="BU20" s="752">
        <f>INPUT!DL415</f>
        <v>31.940796899548939</v>
      </c>
      <c r="BV20" s="755">
        <f>INPUT!DM415</f>
        <v>29.971724787935905</v>
      </c>
      <c r="BW20" s="752">
        <f>INPUT!DN415</f>
        <v>-4.8112083714528904</v>
      </c>
      <c r="BX20" s="755">
        <f>INPUT!DO415</f>
        <v>30.846394984326025</v>
      </c>
      <c r="BY20" s="752">
        <f>INPUT!DP415</f>
        <v>-3.5160356884494592</v>
      </c>
      <c r="BZ20" s="755">
        <f>INPUT!DQ415</f>
        <v>32.073732718893986</v>
      </c>
      <c r="CA20" s="752">
        <f>INPUT!DR415</f>
        <v>3.7083386180751576</v>
      </c>
      <c r="CB20" s="755">
        <f>INPUT!DS415</f>
        <v>28.405887879736934</v>
      </c>
      <c r="CC20" s="752">
        <f>INPUT!DT415</f>
        <v>-26.338278231196778</v>
      </c>
      <c r="CD20" s="755">
        <f>INPUT!DU415</f>
        <v>30.951647674776734</v>
      </c>
      <c r="CE20" s="752">
        <f>INPUT!DV415</f>
        <v>3.2694911413148509</v>
      </c>
      <c r="CF20" s="755">
        <f>INPUT!DW415</f>
        <v>30.426993132278302</v>
      </c>
      <c r="CG20" s="752">
        <f>INPUT!DX415</f>
        <v>-1.3596462480002458</v>
      </c>
      <c r="CH20" s="755">
        <f>INPUT!DY415</f>
        <v>28.776082217377745</v>
      </c>
      <c r="CI20" s="752">
        <f>INPUT!DZ415</f>
        <v>-10.281467799267595</v>
      </c>
      <c r="CJ20" s="755">
        <f>INPUT!EA415</f>
        <v>32.992998833138856</v>
      </c>
      <c r="CK20" s="752">
        <f>INPUT!EB415</f>
        <v>16.148451239484384</v>
      </c>
      <c r="CL20" s="755">
        <f>INPUT!EC415</f>
        <v>30.538393645189782</v>
      </c>
      <c r="CM20" s="752">
        <f>INPUT!ED415</f>
        <v>-1.3351600338993297</v>
      </c>
      <c r="CN20" s="755">
        <f>INPUT!EE415</f>
        <v>31.994342291371979</v>
      </c>
      <c r="CO20" s="752">
        <f>INPUT!EF415</f>
        <v>5.1511799154118965</v>
      </c>
      <c r="CP20" s="755">
        <f>INPUT!EG415</f>
        <v>31.116722783389463</v>
      </c>
      <c r="CQ20" s="752">
        <f>INPUT!EH415</f>
        <v>8.1339792829693067</v>
      </c>
      <c r="CR20" s="755">
        <f>INPUT!EI415</f>
        <v>31.992491284526697</v>
      </c>
      <c r="CS20" s="752">
        <f>INPUT!EJ415</f>
        <v>-3.0324844178978627</v>
      </c>
      <c r="CT20" s="755">
        <f>INPUT!EK415</f>
        <v>19.5</v>
      </c>
      <c r="CU20" s="752">
        <f>INPUT!EL415</f>
        <v>-36.145953757225477</v>
      </c>
      <c r="CV20" s="755">
        <f>INPUT!EM415</f>
        <v>19.5</v>
      </c>
      <c r="CW20" s="752">
        <f>INPUT!EN415</f>
        <v>-39.051724137931011</v>
      </c>
      <c r="CX20" s="755">
        <f>INPUT!EO415</f>
        <v>19.5</v>
      </c>
      <c r="CY20" s="752">
        <f>INPUT!EP415</f>
        <v>-37.332732191163231</v>
      </c>
      <c r="CZ20" s="755">
        <f>INPUT!EQ415</f>
        <v>19.5</v>
      </c>
      <c r="DA20" s="752">
        <f>INPUT!ER415</f>
        <v>-39.04819782062031</v>
      </c>
      <c r="DB20" s="755"/>
      <c r="DC20" s="755">
        <f>INPUT!FB415</f>
        <v>455.37313432835828</v>
      </c>
      <c r="DD20" s="756" t="str">
        <f>INPUT!FC415</f>
        <v>NA</v>
      </c>
      <c r="DE20" s="755">
        <f>INPUT!FD415</f>
        <v>28.724108578454533</v>
      </c>
      <c r="DF20" s="756" t="str">
        <f>INPUT!FE415</f>
        <v>NM</v>
      </c>
      <c r="DG20" s="755">
        <f>INPUT!FF415</f>
        <v>162.15022091310905</v>
      </c>
      <c r="DH20" s="756" t="str">
        <f>INPUT!FG415</f>
        <v>NM</v>
      </c>
      <c r="DI20" s="755">
        <f>INPUT!FH415</f>
        <v>57.555555555555472</v>
      </c>
      <c r="DJ20" s="756" t="str">
        <f>INPUT!FI415</f>
        <v>NM</v>
      </c>
      <c r="DK20" s="755">
        <f>INPUT!FJ415</f>
        <v>29.357563347837178</v>
      </c>
      <c r="DL20" s="752">
        <f>INPUT!FK415</f>
        <v>-48.992650553950782</v>
      </c>
      <c r="DM20" s="755">
        <f>INPUT!FL415</f>
        <v>34.171305378894026</v>
      </c>
      <c r="DN20" s="752">
        <f>INPUT!FM415</f>
        <v>16.396939943626098</v>
      </c>
      <c r="DO20" s="755">
        <f>INPUT!FN415</f>
        <v>32.863609189512339</v>
      </c>
      <c r="DP20" s="752">
        <f>INPUT!FO415</f>
        <v>-3.8268839158523527</v>
      </c>
      <c r="DQ20" s="755">
        <f>INPUT!FP415</f>
        <v>33.537483525854725</v>
      </c>
      <c r="DR20" s="752">
        <f>INPUT!FQ415</f>
        <v>2.0505183482933953</v>
      </c>
      <c r="DS20" s="755">
        <f>INPUT!FR415</f>
        <v>34.59397881088249</v>
      </c>
      <c r="DT20" s="752">
        <f>INPUT!FS415</f>
        <v>3.1501924830266148</v>
      </c>
      <c r="DU20" s="755">
        <f>INPUT!FT415</f>
        <v>32.612789033667269</v>
      </c>
      <c r="DV20" s="752">
        <f>INPUT!FU415</f>
        <v>-5.7269786399706701</v>
      </c>
      <c r="DW20" s="755">
        <f>INPUT!FV415</f>
        <v>16.644150229667666</v>
      </c>
      <c r="DX20" s="752">
        <f>INPUT!FW415</f>
        <v>-48.964345820023695</v>
      </c>
      <c r="DY20" s="755">
        <f>INPUT!FX415</f>
        <v>29.829590699155844</v>
      </c>
      <c r="DZ20" s="752">
        <f>INPUT!FY415</f>
        <v>79.219667496064488</v>
      </c>
      <c r="EA20" s="755">
        <f>INPUT!FZ415</f>
        <v>30.623545461840944</v>
      </c>
      <c r="EB20" s="752">
        <f>INPUT!GA415</f>
        <v>2.6616347863853473</v>
      </c>
      <c r="EC20" s="755">
        <f>INPUT!GB415</f>
        <v>27.014297729184182</v>
      </c>
      <c r="ED20" s="752">
        <f>INPUT!GC415</f>
        <v>-11.785858489684465</v>
      </c>
      <c r="EE20" s="755">
        <f>INPUT!GD415</f>
        <v>30.333047344200931</v>
      </c>
      <c r="EF20" s="752">
        <f>INPUT!GE415</f>
        <v>12.285159689461134</v>
      </c>
      <c r="EG20" s="755">
        <f>INPUT!GF415</f>
        <v>30.819795995466535</v>
      </c>
      <c r="EH20" s="752">
        <f>INPUT!GG415</f>
        <v>1.6046810125678324</v>
      </c>
      <c r="EI20" s="755">
        <f>INPUT!GH415</f>
        <v>31.426161523863083</v>
      </c>
      <c r="EJ20" s="752">
        <f>INPUT!GI415</f>
        <v>1.9674547115293706</v>
      </c>
      <c r="EK20" s="755">
        <f>INPUT!GJ415</f>
        <v>19.499999999999993</v>
      </c>
      <c r="EL20" s="752">
        <f>INPUT!GK415</f>
        <v>-37.949787519570599</v>
      </c>
      <c r="EM20" s="755">
        <f>INPUT!GL415</f>
        <v>19.499999999999993</v>
      </c>
      <c r="EN20" s="752">
        <f>INPUT!GM415</f>
        <v>0</v>
      </c>
      <c r="EO20" s="755">
        <f>INPUT!GN415</f>
        <v>19.499999999999993</v>
      </c>
      <c r="EP20" s="752">
        <f>INPUT!GO415</f>
        <v>0</v>
      </c>
      <c r="EQ20" s="755">
        <f>INPUT!GP415</f>
        <v>19.499999999999993</v>
      </c>
      <c r="ER20" s="752">
        <f>INPUT!GQ415</f>
        <v>0</v>
      </c>
      <c r="ES20" s="755">
        <f>INPUT!GR415</f>
        <v>19.499999999999993</v>
      </c>
      <c r="ET20" s="752">
        <f>INPUT!GS415</f>
        <v>0</v>
      </c>
      <c r="EU20" s="756">
        <f>INPUT!GT415</f>
        <v>-9.1031873703952613</v>
      </c>
      <c r="EV20" s="710"/>
    </row>
    <row r="21" spans="1:152" s="714" customFormat="1" ht="12.75" customHeight="1" x14ac:dyDescent="0.2">
      <c r="A21" s="749" t="str">
        <f>INPUT!B416</f>
        <v>Operating Earnings After-Tax</v>
      </c>
      <c r="B21" s="757">
        <f>INPUT!AS416</f>
        <v>133.09999999999985</v>
      </c>
      <c r="C21" s="752">
        <f>INPUT!AT416</f>
        <v>-13.739468567725588</v>
      </c>
      <c r="D21" s="758">
        <f>INPUT!AU416</f>
        <v>140.36999999999972</v>
      </c>
      <c r="E21" s="752">
        <f>INPUT!AV416</f>
        <v>9.0675990675990867</v>
      </c>
      <c r="F21" s="758">
        <f>INPUT!AW416</f>
        <v>157.42280000000011</v>
      </c>
      <c r="G21" s="752">
        <f>INPUT!AX416</f>
        <v>16.007958732498295</v>
      </c>
      <c r="H21" s="758">
        <f>INPUT!AY416</f>
        <v>179.80000000000013</v>
      </c>
      <c r="I21" s="752">
        <f>INPUT!AZ416</f>
        <v>34.883720930232712</v>
      </c>
      <c r="J21" s="757">
        <f>INPUT!BA416</f>
        <v>174.59999999999997</v>
      </c>
      <c r="K21" s="752">
        <f>INPUT!BB416</f>
        <v>31.17956423741559</v>
      </c>
      <c r="L21" s="757">
        <f>INPUT!BC416</f>
        <v>181.5</v>
      </c>
      <c r="M21" s="752">
        <f>INPUT!BD416</f>
        <v>29.301132720667056</v>
      </c>
      <c r="N21" s="757">
        <f>INPUT!BE416</f>
        <v>216.89999999999984</v>
      </c>
      <c r="O21" s="752">
        <f>INPUT!BF416</f>
        <v>37.781820676547298</v>
      </c>
      <c r="P21" s="757">
        <f>INPUT!BG416</f>
        <v>213.10000000000008</v>
      </c>
      <c r="Q21" s="752">
        <f>INPUT!BH416</f>
        <v>18.52057842046715</v>
      </c>
      <c r="R21" s="757">
        <f>INPUT!BI416</f>
        <v>207.79999999999998</v>
      </c>
      <c r="S21" s="752">
        <f>INPUT!BJ416</f>
        <v>19.014891179839655</v>
      </c>
      <c r="T21" s="757">
        <f>INPUT!BK416</f>
        <v>223.19999999999976</v>
      </c>
      <c r="U21" s="752">
        <f>INPUT!BL416</f>
        <v>22.975206611570108</v>
      </c>
      <c r="V21" s="757">
        <f>INPUT!BM416</f>
        <v>216.89999999999986</v>
      </c>
      <c r="W21" s="752">
        <f>INPUT!BN416</f>
        <v>2.2204460492503131E-14</v>
      </c>
      <c r="X21" s="757">
        <f>INPUT!BO416</f>
        <v>209.4000000000002</v>
      </c>
      <c r="Y21" s="752">
        <f>INPUT!BP416</f>
        <v>-1.7362740497418483</v>
      </c>
      <c r="Z21" s="757">
        <f>INPUT!BQ416</f>
        <v>206.69999999999993</v>
      </c>
      <c r="AA21" s="752">
        <f>INPUT!BR416</f>
        <v>-0.52935514918193149</v>
      </c>
      <c r="AB21" s="757">
        <f>INPUT!BS416</f>
        <v>215.80000000000015</v>
      </c>
      <c r="AC21" s="752">
        <f>INPUT!BT416</f>
        <v>-3.3154121863797514</v>
      </c>
      <c r="AD21" s="757">
        <f>INPUT!BU416</f>
        <v>211.59999999999982</v>
      </c>
      <c r="AE21" s="752">
        <f>INPUT!BV416</f>
        <v>-2.4435223605348333</v>
      </c>
      <c r="AF21" s="757">
        <f>INPUT!BW416</f>
        <v>218.29999999999978</v>
      </c>
      <c r="AG21" s="752">
        <f>INPUT!BX416</f>
        <v>4.2502387774592032</v>
      </c>
      <c r="AH21" s="757">
        <f>INPUT!BY416</f>
        <v>226.60000000000002</v>
      </c>
      <c r="AI21" s="752">
        <f>INPUT!BZ416</f>
        <v>9.6274794388002469</v>
      </c>
      <c r="AJ21" s="757">
        <f>INPUT!CA416</f>
        <v>232.49999999999997</v>
      </c>
      <c r="AK21" s="752">
        <f>INPUT!CB416</f>
        <v>7.7386468952733045</v>
      </c>
      <c r="AL21" s="757">
        <f>INPUT!CC416</f>
        <v>223.3000000000001</v>
      </c>
      <c r="AM21" s="752">
        <f>INPUT!CD416</f>
        <v>5.5293005671078754</v>
      </c>
      <c r="AN21" s="757">
        <f>INPUT!CE416</f>
        <v>212.3000000000003</v>
      </c>
      <c r="AO21" s="752">
        <f>INPUT!CF416</f>
        <v>-2.7485112230872577</v>
      </c>
      <c r="AP21" s="757">
        <f>INPUT!CG416</f>
        <v>219.09999999999988</v>
      </c>
      <c r="AQ21" s="752">
        <f>INPUT!CH416</f>
        <v>-3.3097969991174536</v>
      </c>
      <c r="AR21" s="757">
        <f>INPUT!CI416</f>
        <v>235.00000000000014</v>
      </c>
      <c r="AS21" s="752">
        <f>INPUT!CJ416</f>
        <v>1.0752688172043667</v>
      </c>
      <c r="AT21" s="757">
        <f>INPUT!CK416</f>
        <v>223.10000000000002</v>
      </c>
      <c r="AU21" s="752">
        <f>INPUT!CL416</f>
        <v>-8.9565606807018305E-2</v>
      </c>
      <c r="AV21" s="757">
        <f>INPUT!CM416</f>
        <v>-368.70000000000027</v>
      </c>
      <c r="AW21" s="752" t="str">
        <f>INPUT!CN416</f>
        <v>NM</v>
      </c>
      <c r="AX21" s="757">
        <f>INPUT!CO416</f>
        <v>213.19999999999993</v>
      </c>
      <c r="AY21" s="752">
        <f>INPUT!CP416</f>
        <v>-2.6928343222272666</v>
      </c>
      <c r="AZ21" s="757">
        <f>INPUT!CQ416</f>
        <v>225.2999999999999</v>
      </c>
      <c r="BA21" s="752">
        <f>INPUT!CR416</f>
        <v>-4.1276595744681899</v>
      </c>
      <c r="BB21" s="757">
        <f>INPUT!CS416</f>
        <v>224</v>
      </c>
      <c r="BC21" s="752">
        <f>INPUT!CT416</f>
        <v>0.4034065441505863</v>
      </c>
      <c r="BD21" s="757">
        <f>INPUT!CU416</f>
        <v>224.99999999999994</v>
      </c>
      <c r="BE21" s="752" t="str">
        <f>INPUT!CV416</f>
        <v>NM</v>
      </c>
      <c r="BF21" s="757">
        <f>INPUT!CW416</f>
        <v>212.7000000000001</v>
      </c>
      <c r="BG21" s="752">
        <f>INPUT!CX416</f>
        <v>-0.23452157598491397</v>
      </c>
      <c r="BH21" s="757">
        <f>INPUT!CY416</f>
        <v>215.89999999999992</v>
      </c>
      <c r="BI21" s="752">
        <f>INPUT!CZ416</f>
        <v>-4.1722148246781998</v>
      </c>
      <c r="BJ21" s="757">
        <f>INPUT!DA416</f>
        <v>221.60000000000002</v>
      </c>
      <c r="BK21" s="752">
        <f>INPUT!DB416</f>
        <v>-1.0714285714285565</v>
      </c>
      <c r="BL21" s="757">
        <f>INPUT!DC416</f>
        <v>214.29999999999995</v>
      </c>
      <c r="BM21" s="752">
        <f>INPUT!DD416</f>
        <v>-4.7555555555555458</v>
      </c>
      <c r="BN21" s="757">
        <f>INPUT!DE416</f>
        <v>222.59999999999974</v>
      </c>
      <c r="BO21" s="752">
        <f>INPUT!DF416</f>
        <v>4.6544428772917978</v>
      </c>
      <c r="BP21" s="757">
        <f>INPUT!DG416</f>
        <v>221.3</v>
      </c>
      <c r="BQ21" s="752">
        <f>INPUT!DH416</f>
        <v>2.5011579434923936</v>
      </c>
      <c r="BR21" s="757">
        <f>INPUT!DI416</f>
        <v>219.10000000000005</v>
      </c>
      <c r="BS21" s="752">
        <f>INPUT!DJ416</f>
        <v>-1.1281588447653257</v>
      </c>
      <c r="BT21" s="757">
        <f>INPUT!DK416</f>
        <v>-229.10000000000002</v>
      </c>
      <c r="BU21" s="752" t="str">
        <f>INPUT!DL416</f>
        <v>NM</v>
      </c>
      <c r="BV21" s="757">
        <f>INPUT!DM416</f>
        <v>222.90000000000006</v>
      </c>
      <c r="BW21" s="752">
        <f>INPUT!DN416</f>
        <v>0.13477088948801175</v>
      </c>
      <c r="BX21" s="757">
        <f>INPUT!DO416</f>
        <v>220.59999999999994</v>
      </c>
      <c r="BY21" s="752">
        <f>INPUT!DP416</f>
        <v>-0.31631269769546444</v>
      </c>
      <c r="BZ21" s="757">
        <f>INPUT!DQ416</f>
        <v>221.10000000000022</v>
      </c>
      <c r="CA21" s="752">
        <f>INPUT!DR416</f>
        <v>0.91282519397544171</v>
      </c>
      <c r="CB21" s="757">
        <f>INPUT!DS416</f>
        <v>228.59999999999991</v>
      </c>
      <c r="CC21" s="752" t="str">
        <f>INPUT!DT416</f>
        <v>NM</v>
      </c>
      <c r="CD21" s="757">
        <f>INPUT!DU416</f>
        <v>224.19999999999982</v>
      </c>
      <c r="CE21" s="752">
        <f>INPUT!DV416</f>
        <v>0.58322117541487195</v>
      </c>
      <c r="CF21" s="757">
        <f>INPUT!DW416</f>
        <v>232.99999999999991</v>
      </c>
      <c r="CG21" s="752">
        <f>INPUT!DX416</f>
        <v>5.6210335448775961</v>
      </c>
      <c r="CH21" s="757">
        <f>INPUT!DY416</f>
        <v>228.70000000000019</v>
      </c>
      <c r="CI21" s="752">
        <f>INPUT!DZ416</f>
        <v>3.4373586612392426</v>
      </c>
      <c r="CJ21" s="757">
        <f>INPUT!EA416</f>
        <v>229.69999999999996</v>
      </c>
      <c r="CK21" s="752">
        <f>INPUT!EB416</f>
        <v>0.48118985126861524</v>
      </c>
      <c r="CL21" s="757">
        <f>INPUT!EC416</f>
        <v>236.09999999999974</v>
      </c>
      <c r="CM21" s="752">
        <f>INPUT!ED416</f>
        <v>5.3077609277430549</v>
      </c>
      <c r="CN21" s="757">
        <f>INPUT!EE416</f>
        <v>240.40000000000012</v>
      </c>
      <c r="CO21" s="752">
        <f>INPUT!EF416</f>
        <v>3.1759656652361468</v>
      </c>
      <c r="CP21" s="757">
        <f>INPUT!EG416</f>
        <v>245.49999999999991</v>
      </c>
      <c r="CQ21" s="752">
        <f>INPUT!EH416</f>
        <v>7.3458679492784063</v>
      </c>
      <c r="CR21" s="757">
        <f>INPUT!EI416</f>
        <v>253.5999999999998</v>
      </c>
      <c r="CS21" s="752">
        <f>INPUT!EJ416</f>
        <v>10.404875925119651</v>
      </c>
      <c r="CT21" s="757">
        <f>INPUT!EK416</f>
        <v>282.31763341896846</v>
      </c>
      <c r="CU21" s="752">
        <f>INPUT!EL416</f>
        <v>19.57544829265936</v>
      </c>
      <c r="CV21" s="757">
        <f>INPUT!EM416</f>
        <v>284.18549079101746</v>
      </c>
      <c r="CW21" s="752">
        <f>INPUT!EN416</f>
        <v>18.213598498759275</v>
      </c>
      <c r="CX21" s="757">
        <f>INPUT!EO416</f>
        <v>285.31644884485263</v>
      </c>
      <c r="CY21" s="752">
        <f>INPUT!EP416</f>
        <v>16.218512767760785</v>
      </c>
      <c r="CZ21" s="757">
        <f>INPUT!EQ416</f>
        <v>287.17259761097216</v>
      </c>
      <c r="DA21" s="752">
        <f>INPUT!ER416</f>
        <v>13.238405998017511</v>
      </c>
      <c r="DB21" s="757"/>
      <c r="DC21" s="758">
        <f>INPUT!FB416</f>
        <v>-238.10000000000002</v>
      </c>
      <c r="DD21" s="752" t="str">
        <f>INPUT!FC416</f>
        <v>NA</v>
      </c>
      <c r="DE21" s="758">
        <f>INPUT!FD416</f>
        <v>753.60000000000082</v>
      </c>
      <c r="DF21" s="752" t="str">
        <f>INPUT!FE416</f>
        <v>NM</v>
      </c>
      <c r="DG21" s="758">
        <f>INPUT!FF416</f>
        <v>42.200000000000642</v>
      </c>
      <c r="DH21" s="752" t="str">
        <f>INPUT!FG416</f>
        <v>NM</v>
      </c>
      <c r="DI21" s="758">
        <f>INPUT!FH416</f>
        <v>-57.300000000000182</v>
      </c>
      <c r="DJ21" s="752" t="str">
        <f>INPUT!FI416</f>
        <v>NM</v>
      </c>
      <c r="DK21" s="757">
        <f>INPUT!FJ416</f>
        <v>552.00000000000091</v>
      </c>
      <c r="DL21" s="752" t="str">
        <f>INPUT!FK416</f>
        <v>NM</v>
      </c>
      <c r="DM21" s="757">
        <f>INPUT!FL416</f>
        <v>610.69280000000026</v>
      </c>
      <c r="DN21" s="752">
        <f>INPUT!FM416</f>
        <v>10.632753623188274</v>
      </c>
      <c r="DO21" s="757">
        <f>INPUT!FN416</f>
        <v>786.10000000000014</v>
      </c>
      <c r="DP21" s="752">
        <f>INPUT!FO416</f>
        <v>28.722657283662056</v>
      </c>
      <c r="DQ21" s="757">
        <f>INPUT!FP416</f>
        <v>857.29999999999984</v>
      </c>
      <c r="DR21" s="752">
        <f>INPUT!FQ416</f>
        <v>9.0573718356442789</v>
      </c>
      <c r="DS21" s="757">
        <f>INPUT!FR416</f>
        <v>860.54702078521836</v>
      </c>
      <c r="DT21" s="752">
        <f>INPUT!FS416</f>
        <v>0.37874965417223905</v>
      </c>
      <c r="DU21" s="757">
        <f>INPUT!FT416</f>
        <v>894.69999999999914</v>
      </c>
      <c r="DV21" s="752">
        <f>INPUT!FU416</f>
        <v>3.9687522459397329</v>
      </c>
      <c r="DW21" s="757">
        <f>INPUT!FV416</f>
        <v>308.49999999999977</v>
      </c>
      <c r="DX21" s="752" t="str">
        <f>INPUT!FW416</f>
        <v>NM</v>
      </c>
      <c r="DY21" s="757">
        <f>INPUT!FX416</f>
        <v>881.2</v>
      </c>
      <c r="DZ21" s="752" t="str">
        <f>INPUT!FY416</f>
        <v>NM</v>
      </c>
      <c r="EA21" s="757">
        <f>INPUT!FZ416</f>
        <v>864.49999999999989</v>
      </c>
      <c r="EB21" s="752">
        <f>INPUT!GA416</f>
        <v>-1.8951429868361513</v>
      </c>
      <c r="EC21" s="757">
        <f>INPUT!GB416</f>
        <v>433.90000000000003</v>
      </c>
      <c r="ED21" s="752">
        <f>INPUT!GC416</f>
        <v>-49.809138230190854</v>
      </c>
      <c r="EE21" s="757">
        <f>INPUT!GD416</f>
        <v>893.19999999999959</v>
      </c>
      <c r="EF21" s="752" t="str">
        <f>INPUT!GE416</f>
        <v>NM</v>
      </c>
      <c r="EG21" s="757">
        <f>INPUT!GF416</f>
        <v>915.60000000000116</v>
      </c>
      <c r="EH21" s="752">
        <f>INPUT!GG416</f>
        <v>2.5078369905957798</v>
      </c>
      <c r="EI21" s="757">
        <f>INPUT!GH416</f>
        <v>975.59999999999968</v>
      </c>
      <c r="EJ21" s="752">
        <f>INPUT!GI416</f>
        <v>6.5530799475751911</v>
      </c>
      <c r="EK21" s="757">
        <f>INPUT!GJ416</f>
        <v>1138.992170665811</v>
      </c>
      <c r="EL21" s="752">
        <f>INPUT!GK416</f>
        <v>16.7478649718954</v>
      </c>
      <c r="EM21" s="757">
        <f>INPUT!GL416</f>
        <v>1166.3739290988638</v>
      </c>
      <c r="EN21" s="752">
        <f>INPUT!GM416</f>
        <v>2.4040339466992355</v>
      </c>
      <c r="EO21" s="757">
        <f>INPUT!GN416</f>
        <v>1199.1164197416224</v>
      </c>
      <c r="EP21" s="752">
        <f>INPUT!GO416</f>
        <v>2.8072035756196545</v>
      </c>
      <c r="EQ21" s="757">
        <f>INPUT!GP416</f>
        <v>1236.0739147447871</v>
      </c>
      <c r="ER21" s="752">
        <f>INPUT!GQ416</f>
        <v>3.0820606235321124</v>
      </c>
      <c r="ES21" s="757">
        <f>INPUT!GR416</f>
        <v>1268.2485979483392</v>
      </c>
      <c r="ET21" s="752">
        <f>INPUT!GS416</f>
        <v>2.6029740470815854</v>
      </c>
      <c r="EU21" s="752">
        <f>INPUT!GT416</f>
        <v>5.3868733319542672</v>
      </c>
      <c r="EV21" s="713"/>
    </row>
    <row r="22" spans="1:152" ht="12.75" hidden="1" customHeight="1" outlineLevel="1" x14ac:dyDescent="0.2">
      <c r="A22" s="759" t="s">
        <v>517</v>
      </c>
      <c r="B22" s="760"/>
      <c r="C22" s="761"/>
      <c r="D22" s="760"/>
      <c r="E22" s="761"/>
      <c r="F22" s="760"/>
      <c r="G22" s="761"/>
      <c r="H22" s="762"/>
      <c r="I22" s="763"/>
      <c r="J22" s="760"/>
      <c r="K22" s="763"/>
      <c r="L22" s="760"/>
      <c r="M22" s="763"/>
      <c r="N22" s="760"/>
      <c r="O22" s="763"/>
      <c r="P22" s="760"/>
      <c r="Q22" s="763"/>
      <c r="R22" s="760"/>
      <c r="S22" s="763"/>
      <c r="T22" s="760"/>
      <c r="U22" s="763"/>
      <c r="V22" s="760"/>
      <c r="W22" s="763"/>
      <c r="X22" s="760"/>
      <c r="Y22" s="763"/>
      <c r="Z22" s="760"/>
      <c r="AA22" s="763"/>
      <c r="AB22" s="760"/>
      <c r="AC22" s="763"/>
      <c r="AD22" s="760"/>
      <c r="AE22" s="763"/>
      <c r="AF22" s="760"/>
      <c r="AG22" s="763"/>
      <c r="AH22" s="760"/>
      <c r="AI22" s="763"/>
      <c r="AJ22" s="760"/>
      <c r="AK22" s="763"/>
      <c r="AL22" s="760"/>
      <c r="AM22" s="763"/>
      <c r="AN22" s="760"/>
      <c r="AO22" s="763"/>
      <c r="AP22" s="764">
        <f>(AP8+AP9+AP10+AP12+AP13+AP14+AP15-AP19)-AP21</f>
        <v>0</v>
      </c>
      <c r="AQ22" s="763"/>
      <c r="AR22" s="764">
        <f>(AR8+AR9+AR10+AR12+AR13+AR14+AR15-AR19)-AR21</f>
        <v>0</v>
      </c>
      <c r="AS22" s="763"/>
      <c r="AT22" s="764">
        <f>(AT8+AT9+AT10+AT12+AT13+AT14+AT15-AT19)-AT21</f>
        <v>0</v>
      </c>
      <c r="AU22" s="763"/>
      <c r="AV22" s="764">
        <f>(AV8+AV9+AV10+AV12+AV13+AV14+AV15-AV19)-AV21</f>
        <v>0</v>
      </c>
      <c r="AW22" s="763"/>
      <c r="AX22" s="764">
        <f>(AX8+AX9+AX10+AX12+AX13+AX14+AX15-AX19)-AX21</f>
        <v>0</v>
      </c>
      <c r="AY22" s="763"/>
      <c r="AZ22" s="764">
        <f>(AZ8+AZ9+AZ10+AZ12+AZ13+AZ14+AZ15-AZ19)-AZ21</f>
        <v>0</v>
      </c>
      <c r="BA22" s="763"/>
      <c r="BB22" s="764">
        <f>(BB8+BB9+BB10+BB12+BB13+BB14+BB15-BB19)-BB21</f>
        <v>0</v>
      </c>
      <c r="BC22" s="763"/>
      <c r="BD22" s="764">
        <f>(BD8+BD9+BD10+BD12+BD13+BD14+BD15-BD19)-BD21</f>
        <v>0</v>
      </c>
      <c r="BE22" s="763"/>
      <c r="BF22" s="764">
        <f>(BF8+BF9+BF10+BF12+BF13+BF14+BF15-BF19)-BF21</f>
        <v>0</v>
      </c>
      <c r="BG22" s="763"/>
      <c r="BH22" s="764">
        <f>(BH8+BH9+BH10+BH12+BH13+BH14+BH15-BH19)-BH21</f>
        <v>0</v>
      </c>
      <c r="BI22" s="763"/>
      <c r="BJ22" s="764">
        <f>(BJ8+BJ9+BJ10+BJ12+BJ13+BJ14+BJ15-BJ19)-BJ21</f>
        <v>0</v>
      </c>
      <c r="BK22" s="763"/>
      <c r="BL22" s="764">
        <f>(BL8+BL9+BL10+BL12+BL13+BL14+BL15-BL19)-BL21</f>
        <v>0</v>
      </c>
      <c r="BM22" s="763"/>
      <c r="BN22" s="764">
        <f>(BN8+BN9+BN10+BN12+BN13+BN14+BN15-BN19)-BN21</f>
        <v>0</v>
      </c>
      <c r="BO22" s="763"/>
      <c r="BP22" s="764">
        <f>(BP8+BP9+BP10+BP12+BP13+BP14+BP15-BP19)-BP21</f>
        <v>0</v>
      </c>
      <c r="BQ22" s="763"/>
      <c r="BR22" s="764">
        <f>(BR8+BR9+BR10+BR12+BR13+BR14+BR15-BR19)-BR21</f>
        <v>0</v>
      </c>
      <c r="BS22" s="763"/>
      <c r="BT22" s="764">
        <f>(BT8+BT9+BT10+BT12+BT13+BT14+BT15-BT19)-BT21</f>
        <v>0</v>
      </c>
      <c r="BU22" s="763"/>
      <c r="BV22" s="764">
        <f>(BV8+BV9+BV10+BV12+BV13+BV14+BV15-BV19)-BV21</f>
        <v>0</v>
      </c>
      <c r="BW22" s="763"/>
      <c r="BX22" s="764">
        <f>(BX8+BX9+BX10+BX12+BX13+BX14+BX15-BX19)-BX21</f>
        <v>0</v>
      </c>
      <c r="BY22" s="763"/>
      <c r="BZ22" s="764">
        <f>(BZ8+BZ9+BZ10+BZ12+BZ13+BZ14+BZ15-BZ19)-BZ21</f>
        <v>0</v>
      </c>
      <c r="CA22" s="763"/>
      <c r="CB22" s="764">
        <f>(CB8+CB9+CB10+CB12+CB13+CB14+CB15-CB19)-CB21</f>
        <v>0</v>
      </c>
      <c r="CC22" s="763"/>
      <c r="CD22" s="764">
        <f>(CD8+CD9+CD10+CD12+CD13+CD14+CD15-CD19)-CD21</f>
        <v>0</v>
      </c>
      <c r="CE22" s="763"/>
      <c r="CF22" s="764">
        <f>(CF8+CF9+CF10+CF12+CF13+CF14+CF15-CF19)-CF21</f>
        <v>0</v>
      </c>
      <c r="CG22" s="763"/>
      <c r="CH22" s="764">
        <f>(CH8+CH9+CH10+CH12+CH13+CH14+CH15-CH19)-CH21</f>
        <v>0</v>
      </c>
      <c r="CI22" s="763"/>
      <c r="CJ22" s="764">
        <f>(CJ8+CJ9+CJ10+CJ12+CJ13+CJ14+CJ15-CJ19)-CJ21</f>
        <v>0</v>
      </c>
      <c r="CK22" s="763"/>
      <c r="CL22" s="764">
        <f t="shared" ref="CL22" si="0">(CL8+CL9+CL10+CL12+CL13+CL14+CL15-CL19)-CL21</f>
        <v>0</v>
      </c>
      <c r="CM22" s="763"/>
      <c r="CN22" s="764">
        <f t="shared" ref="CN22" si="1">(CN8+CN9+CN10+CN12+CN13+CN14+CN15-CN19)-CN21</f>
        <v>0</v>
      </c>
      <c r="CO22" s="763"/>
      <c r="CP22" s="764">
        <f t="shared" ref="CP22" si="2">(CP8+CP9+CP10+CP12+CP13+CP14+CP15-CP19)-CP21</f>
        <v>0</v>
      </c>
      <c r="CQ22" s="763"/>
      <c r="CR22" s="764">
        <f t="shared" ref="CR22" si="3">(CR8+CR9+CR10+CR12+CR13+CR14+CR15-CR19)-CR21</f>
        <v>0</v>
      </c>
      <c r="CS22" s="763"/>
      <c r="CT22" s="764">
        <f t="shared" ref="CT22" si="4">(CT8+CT9+CT10+CT12+CT13+CT14+CT15-CT19)-CT21</f>
        <v>0</v>
      </c>
      <c r="CU22" s="763"/>
      <c r="CV22" s="764">
        <f t="shared" ref="CV22" si="5">(CV8+CV9+CV10+CV12+CV13+CV14+CV15-CV19)-CV21</f>
        <v>0</v>
      </c>
      <c r="CW22" s="763"/>
      <c r="CX22" s="764">
        <f t="shared" ref="CX22" si="6">(CX8+CX9+CX10+CX12+CX13+CX14+CX15-CX19)-CX21</f>
        <v>0</v>
      </c>
      <c r="CY22" s="763"/>
      <c r="CZ22" s="764">
        <f t="shared" ref="CZ22" si="7">(CZ8+CZ9+CZ10+CZ12+CZ13+CZ14+CZ15-CZ19)-CZ21</f>
        <v>0</v>
      </c>
      <c r="DA22" s="763"/>
      <c r="DB22" s="765"/>
      <c r="DC22" s="766"/>
      <c r="DD22" s="761"/>
      <c r="DE22" s="766"/>
      <c r="DF22" s="761"/>
      <c r="DG22" s="766"/>
      <c r="DH22" s="761"/>
      <c r="DI22" s="766"/>
      <c r="DJ22" s="761"/>
      <c r="DK22" s="766"/>
      <c r="DL22" s="763"/>
      <c r="DM22" s="766"/>
      <c r="DN22" s="763"/>
      <c r="DO22" s="766"/>
      <c r="DP22" s="763"/>
      <c r="DQ22" s="760"/>
      <c r="DR22" s="763"/>
      <c r="DS22" s="760"/>
      <c r="DT22" s="763"/>
      <c r="DU22" s="764">
        <f>(DU8+DU9+DU10+DU12+DU13+DU14+DU15-DU19)-DU21</f>
        <v>0</v>
      </c>
      <c r="DV22" s="763"/>
      <c r="DW22" s="764">
        <f>(DW8+DW9+DW10+DW12+DW13+DW14+DW15-DW19)-DW21</f>
        <v>0</v>
      </c>
      <c r="DX22" s="763"/>
      <c r="DY22" s="764">
        <f>(DY8+DY9+DY10+DY12+DY13+DY14+DY15-DY19)-DY21</f>
        <v>0</v>
      </c>
      <c r="DZ22" s="763"/>
      <c r="EA22" s="764">
        <f>(EA8+EA9+EA10+EA12+EA13+EA14+EA15-EA19)-EA21</f>
        <v>0</v>
      </c>
      <c r="EB22" s="763"/>
      <c r="EC22" s="764">
        <f>(EC8+EC9+EC10+EC12+EC13+EC14+EC15-EC19)-EC21</f>
        <v>0</v>
      </c>
      <c r="ED22" s="763"/>
      <c r="EE22" s="764">
        <f>(EE8+EE9+EE10+EE12+EE13+EE14+EE15-EE19)-EE21</f>
        <v>0</v>
      </c>
      <c r="EF22" s="763"/>
      <c r="EG22" s="764">
        <f>(EG8+EG9+EG10+EG12+EG13+EG14+EG15-EG19)-EG21</f>
        <v>0</v>
      </c>
      <c r="EH22" s="763"/>
      <c r="EI22" s="764">
        <f>(EI8+EI9+EI10+EI12+EI13+EI14+EI15-EI19)-EI21</f>
        <v>0</v>
      </c>
      <c r="EJ22" s="763"/>
      <c r="EK22" s="764">
        <f>(EK8+EK9+EK10+EK12+EK13+EK14+EK15-EK19)-EK21</f>
        <v>0</v>
      </c>
      <c r="EL22" s="763"/>
      <c r="EM22" s="764">
        <f>(EM8+EM9+EM10+EM12+EM13+EM14+EM15-EM19)-EM21</f>
        <v>0</v>
      </c>
      <c r="EN22" s="763"/>
      <c r="EO22" s="764">
        <f>(EO8+EO9+EO10+EO12+EO13+EO14+EO15-EO19)-EO21</f>
        <v>0</v>
      </c>
      <c r="EP22" s="763"/>
      <c r="EQ22" s="764">
        <f>(EQ8+EQ9+EQ10+EQ12+EQ13+EQ14+EQ15-EQ19)-EQ21</f>
        <v>0</v>
      </c>
      <c r="ER22" s="763"/>
      <c r="ES22" s="764">
        <f>(ES8+ES9+ES10+ES12+ES13+ES14+ES15-ES19)-ES21</f>
        <v>0</v>
      </c>
      <c r="ET22" s="763"/>
      <c r="EU22" s="761"/>
      <c r="EV22" s="710"/>
    </row>
    <row r="23" spans="1:152" ht="12.75" customHeight="1" collapsed="1" x14ac:dyDescent="0.2">
      <c r="A23" s="754"/>
      <c r="B23" s="750"/>
      <c r="C23" s="767"/>
      <c r="D23" s="750"/>
      <c r="E23" s="767"/>
      <c r="F23" s="750"/>
      <c r="G23" s="767"/>
      <c r="H23" s="768"/>
      <c r="I23" s="752"/>
      <c r="J23" s="750"/>
      <c r="K23" s="752"/>
      <c r="L23" s="750"/>
      <c r="M23" s="752"/>
      <c r="N23" s="750"/>
      <c r="O23" s="752"/>
      <c r="P23" s="750"/>
      <c r="Q23" s="752"/>
      <c r="R23" s="750"/>
      <c r="S23" s="752"/>
      <c r="T23" s="750"/>
      <c r="U23" s="752"/>
      <c r="V23" s="750"/>
      <c r="W23" s="752"/>
      <c r="X23" s="750"/>
      <c r="Y23" s="752"/>
      <c r="Z23" s="750"/>
      <c r="AA23" s="752"/>
      <c r="AB23" s="750"/>
      <c r="AC23" s="752"/>
      <c r="AD23" s="750"/>
      <c r="AE23" s="752"/>
      <c r="AF23" s="750"/>
      <c r="AG23" s="752"/>
      <c r="AH23" s="750"/>
      <c r="AI23" s="752"/>
      <c r="AJ23" s="750"/>
      <c r="AK23" s="752"/>
      <c r="AL23" s="750"/>
      <c r="AM23" s="752"/>
      <c r="AN23" s="750"/>
      <c r="AO23" s="752"/>
      <c r="AP23" s="750"/>
      <c r="AQ23" s="752"/>
      <c r="AR23" s="750"/>
      <c r="AS23" s="752"/>
      <c r="AT23" s="750"/>
      <c r="AU23" s="752"/>
      <c r="AV23" s="750"/>
      <c r="AW23" s="752"/>
      <c r="AX23" s="750"/>
      <c r="AY23" s="752"/>
      <c r="AZ23" s="750"/>
      <c r="BA23" s="752"/>
      <c r="BB23" s="750"/>
      <c r="BC23" s="752"/>
      <c r="BD23" s="750"/>
      <c r="BE23" s="752"/>
      <c r="BF23" s="750"/>
      <c r="BG23" s="752"/>
      <c r="BH23" s="750"/>
      <c r="BI23" s="752"/>
      <c r="BJ23" s="750"/>
      <c r="BK23" s="752"/>
      <c r="BL23" s="750"/>
      <c r="BM23" s="752"/>
      <c r="BN23" s="750"/>
      <c r="BO23" s="752"/>
      <c r="BP23" s="750"/>
      <c r="BQ23" s="752"/>
      <c r="BR23" s="750"/>
      <c r="BS23" s="752"/>
      <c r="BT23" s="750"/>
      <c r="BU23" s="752"/>
      <c r="BV23" s="750"/>
      <c r="BW23" s="752"/>
      <c r="BX23" s="750"/>
      <c r="BY23" s="752"/>
      <c r="BZ23" s="750"/>
      <c r="CA23" s="752"/>
      <c r="CB23" s="750"/>
      <c r="CC23" s="752"/>
      <c r="CD23" s="750"/>
      <c r="CE23" s="752"/>
      <c r="CF23" s="750"/>
      <c r="CG23" s="752"/>
      <c r="CH23" s="750"/>
      <c r="CI23" s="752"/>
      <c r="CJ23" s="750"/>
      <c r="CK23" s="752"/>
      <c r="CL23" s="750"/>
      <c r="CM23" s="752"/>
      <c r="CN23" s="750"/>
      <c r="CO23" s="752"/>
      <c r="CP23" s="750"/>
      <c r="CQ23" s="752"/>
      <c r="CR23" s="750"/>
      <c r="CS23" s="752"/>
      <c r="CT23" s="750"/>
      <c r="CU23" s="752"/>
      <c r="CV23" s="750"/>
      <c r="CW23" s="752"/>
      <c r="CX23" s="750"/>
      <c r="CY23" s="752"/>
      <c r="CZ23" s="750"/>
      <c r="DA23" s="752"/>
      <c r="DB23" s="753"/>
      <c r="DC23" s="750"/>
      <c r="DD23" s="767"/>
      <c r="DE23" s="750"/>
      <c r="DF23" s="767"/>
      <c r="DG23" s="750"/>
      <c r="DH23" s="767"/>
      <c r="DI23" s="750"/>
      <c r="DJ23" s="767"/>
      <c r="DK23" s="750"/>
      <c r="DL23" s="752"/>
      <c r="DM23" s="750"/>
      <c r="DN23" s="752"/>
      <c r="DO23" s="750"/>
      <c r="DP23" s="752"/>
      <c r="DQ23" s="750"/>
      <c r="DR23" s="752"/>
      <c r="DS23" s="750"/>
      <c r="DT23" s="752"/>
      <c r="DU23" s="750"/>
      <c r="DV23" s="752"/>
      <c r="DW23" s="750"/>
      <c r="DX23" s="752"/>
      <c r="DY23" s="750"/>
      <c r="DZ23" s="752"/>
      <c r="EA23" s="750"/>
      <c r="EB23" s="752"/>
      <c r="EC23" s="750"/>
      <c r="ED23" s="752"/>
      <c r="EE23" s="750"/>
      <c r="EF23" s="752"/>
      <c r="EG23" s="750"/>
      <c r="EH23" s="752"/>
      <c r="EI23" s="750"/>
      <c r="EJ23" s="752"/>
      <c r="EK23" s="750"/>
      <c r="EL23" s="752"/>
      <c r="EM23" s="750"/>
      <c r="EN23" s="752"/>
      <c r="EO23" s="750"/>
      <c r="EP23" s="752"/>
      <c r="EQ23" s="750"/>
      <c r="ER23" s="752"/>
      <c r="ES23" s="750"/>
      <c r="ET23" s="752"/>
      <c r="EU23" s="767"/>
      <c r="EV23" s="710"/>
    </row>
    <row r="24" spans="1:152" ht="12.75" customHeight="1" x14ac:dyDescent="0.2">
      <c r="A24" s="754" t="str">
        <f>INPUT!B485</f>
        <v>Average Shares  (Diluted)</v>
      </c>
      <c r="B24" s="750">
        <f>INPUT!AS485</f>
        <v>319.63683300000002</v>
      </c>
      <c r="C24" s="767">
        <f>INPUT!AT485</f>
        <v>3.9094787852282931</v>
      </c>
      <c r="D24" s="750">
        <f>INPUT!AU485</f>
        <v>329.90497599999998</v>
      </c>
      <c r="E24" s="767">
        <f>INPUT!AV485</f>
        <v>6.727959187481658</v>
      </c>
      <c r="F24" s="750">
        <f>INPUT!AW485</f>
        <v>340.727665</v>
      </c>
      <c r="G24" s="767">
        <f>INPUT!AX485</f>
        <v>8.2884767711060459</v>
      </c>
      <c r="H24" s="750">
        <f>INPUT!AY485</f>
        <v>345.52784500000001</v>
      </c>
      <c r="I24" s="752">
        <f>INPUT!AZ485</f>
        <v>8.4242179573270413</v>
      </c>
      <c r="J24" s="750">
        <f>INPUT!BA485</f>
        <v>346.38025900000002</v>
      </c>
      <c r="K24" s="752">
        <f>INPUT!BB485</f>
        <v>8.3668160984438309</v>
      </c>
      <c r="L24" s="750">
        <f>INPUT!BC485</f>
        <v>354.83735000000001</v>
      </c>
      <c r="M24" s="752">
        <f>INPUT!BD485</f>
        <v>7.5574410250786928</v>
      </c>
      <c r="N24" s="750">
        <f>INPUT!BE485</f>
        <v>360.90630199999998</v>
      </c>
      <c r="O24" s="752">
        <f>INPUT!BF485</f>
        <v>5.9222185553967188</v>
      </c>
      <c r="P24" s="750">
        <f>INPUT!BG485</f>
        <v>360.70761700000003</v>
      </c>
      <c r="Q24" s="752">
        <f>INPUT!BH485</f>
        <v>4.393212361799681</v>
      </c>
      <c r="R24" s="750">
        <f>INPUT!BI485</f>
        <v>351.46582100000001</v>
      </c>
      <c r="S24" s="752">
        <f>INPUT!BJ485</f>
        <v>1.468202031686805</v>
      </c>
      <c r="T24" s="750">
        <f>INPUT!BK485</f>
        <v>346.03541999999999</v>
      </c>
      <c r="U24" s="752">
        <f>INPUT!BL485</f>
        <v>-2.4805534141205898</v>
      </c>
      <c r="V24" s="750">
        <f>INPUT!BM485</f>
        <v>337.91277000000002</v>
      </c>
      <c r="W24" s="752">
        <f>INPUT!BN485</f>
        <v>-6.3710530607470446</v>
      </c>
      <c r="X24" s="750">
        <f>INPUT!BO485</f>
        <v>330.981471</v>
      </c>
      <c r="Y24" s="752">
        <f>INPUT!BP485</f>
        <v>-8.2410641192531386</v>
      </c>
      <c r="Z24" s="750">
        <f>INPUT!BQ485</f>
        <v>330.96451400000001</v>
      </c>
      <c r="AA24" s="752">
        <f>INPUT!BR485</f>
        <v>-5.8330869675091375</v>
      </c>
      <c r="AB24" s="750">
        <f>INPUT!BS485</f>
        <v>331.95522499999998</v>
      </c>
      <c r="AC24" s="752">
        <f>INPUT!BT485</f>
        <v>-4.0690039765293395</v>
      </c>
      <c r="AD24" s="750">
        <f>INPUT!BU485</f>
        <v>332.62214799999998</v>
      </c>
      <c r="AE24" s="752">
        <f>INPUT!BV485</f>
        <v>-1.5656768461280834</v>
      </c>
      <c r="AF24" s="750">
        <f>INPUT!BW485</f>
        <v>332.99847999999997</v>
      </c>
      <c r="AG24" s="752">
        <f>INPUT!BX485</f>
        <v>0.60940239159188447</v>
      </c>
      <c r="AH24" s="750">
        <f>INPUT!BY485</f>
        <v>333.52470799999998</v>
      </c>
      <c r="AI24" s="752">
        <f>INPUT!BZ485</f>
        <v>0.773555439239626</v>
      </c>
      <c r="AJ24" s="750">
        <f>INPUT!CA485</f>
        <v>333.07749000000001</v>
      </c>
      <c r="AK24" s="752">
        <f>INPUT!CB485</f>
        <v>0.3380772211071692</v>
      </c>
      <c r="AL24" s="750">
        <f>INPUT!CC485</f>
        <v>324.46697999999998</v>
      </c>
      <c r="AM24" s="752">
        <f>INPUT!CD485</f>
        <v>-2.4517814129442761</v>
      </c>
      <c r="AN24" s="750">
        <f>INPUT!CE485</f>
        <v>318.46294</v>
      </c>
      <c r="AO24" s="752">
        <f>INPUT!CF485</f>
        <v>-4.3650469515656543</v>
      </c>
      <c r="AP24" s="750">
        <f>INPUT!CG485</f>
        <v>314.33231699999999</v>
      </c>
      <c r="AQ24" s="752">
        <f>INPUT!CH485</f>
        <v>-5.7544135530732561</v>
      </c>
      <c r="AR24" s="750">
        <f>INPUT!CI485</f>
        <v>307.41096399999998</v>
      </c>
      <c r="AS24" s="752">
        <f>INPUT!CJ485</f>
        <v>-7.7058722881573338</v>
      </c>
      <c r="AT24" s="750">
        <f>INPUT!CK485</f>
        <v>299.17290000000003</v>
      </c>
      <c r="AU24" s="752">
        <f>INPUT!CL485</f>
        <v>-7.7955790755657066</v>
      </c>
      <c r="AV24" s="750">
        <f>INPUT!CM485</f>
        <v>303.571033</v>
      </c>
      <c r="AW24" s="752">
        <f>INPUT!CN485</f>
        <v>-4.6761821014401299</v>
      </c>
      <c r="AX24" s="750">
        <f>INPUT!CO485</f>
        <v>291.28403600000001</v>
      </c>
      <c r="AY24" s="752">
        <f>INPUT!CP485</f>
        <v>-7.3324566878689605</v>
      </c>
      <c r="AZ24" s="750">
        <f>INPUT!CQ485</f>
        <v>283.74063200000001</v>
      </c>
      <c r="BA24" s="752">
        <f>INPUT!CR485</f>
        <v>-7.6998984330305049</v>
      </c>
      <c r="BB24" s="750">
        <f>INPUT!CS485</f>
        <v>278.51103899999998</v>
      </c>
      <c r="BC24" s="752">
        <f>INPUT!CT485</f>
        <v>-6.9063277455946199</v>
      </c>
      <c r="BD24" s="750">
        <f>INPUT!CU485</f>
        <v>273.60000000000002</v>
      </c>
      <c r="BE24" s="752">
        <f>INPUT!CV485</f>
        <v>-9.8728237354583133</v>
      </c>
      <c r="BF24" s="750">
        <f>INPUT!CW485</f>
        <v>270.35439500000001</v>
      </c>
      <c r="BG24" s="752">
        <f>INPUT!CX485</f>
        <v>-7.1853031451404314</v>
      </c>
      <c r="BH24" s="750">
        <f>INPUT!CY485</f>
        <v>266.73630200000002</v>
      </c>
      <c r="BI24" s="752">
        <f>INPUT!CZ485</f>
        <v>-5.9929132744019453</v>
      </c>
      <c r="BJ24" s="750">
        <f>INPUT!DA485</f>
        <v>264.26004499999999</v>
      </c>
      <c r="BK24" s="752">
        <f>INPUT!DB485</f>
        <v>-5.1168506825325473</v>
      </c>
      <c r="BL24" s="750">
        <f>INPUT!DC485</f>
        <v>262.60000000000002</v>
      </c>
      <c r="BM24" s="752">
        <f>INPUT!DD485</f>
        <v>-4.0204678362573132</v>
      </c>
      <c r="BN24" s="750">
        <f>INPUT!DE485</f>
        <v>260.7</v>
      </c>
      <c r="BO24" s="752">
        <f>INPUT!DF485</f>
        <v>-3.5710146306295543</v>
      </c>
      <c r="BP24" s="750">
        <f>INPUT!DG485</f>
        <v>257.89999999999998</v>
      </c>
      <c r="BQ24" s="752">
        <f>INPUT!DH485</f>
        <v>-3.3127481837849193</v>
      </c>
      <c r="BR24" s="750">
        <f>INPUT!DI485</f>
        <v>254.8</v>
      </c>
      <c r="BS24" s="752">
        <f>INPUT!DJ485</f>
        <v>-3.5798241841667688</v>
      </c>
      <c r="BT24" s="750">
        <f>INPUT!DK485</f>
        <v>252.4</v>
      </c>
      <c r="BU24" s="752">
        <f>INPUT!DL485</f>
        <v>-3.8842345773038911</v>
      </c>
      <c r="BV24" s="750">
        <f>INPUT!DM485</f>
        <v>252.2</v>
      </c>
      <c r="BW24" s="752">
        <f>INPUT!DN485</f>
        <v>-3.2604526275412327</v>
      </c>
      <c r="BX24" s="750">
        <f>INPUT!DO485</f>
        <v>249.3</v>
      </c>
      <c r="BY24" s="752">
        <f>INPUT!DP485</f>
        <v>-3.3346258239627669</v>
      </c>
      <c r="BZ24" s="750">
        <f>INPUT!DQ485</f>
        <v>246.3</v>
      </c>
      <c r="CA24" s="752">
        <f>INPUT!DR485</f>
        <v>-3.3359497645211955</v>
      </c>
      <c r="CB24" s="750">
        <f>INPUT!DS485</f>
        <v>243.8</v>
      </c>
      <c r="CC24" s="752">
        <f>INPUT!DT485</f>
        <v>-3.4072900158478636</v>
      </c>
      <c r="CD24" s="750">
        <f>INPUT!DU485</f>
        <v>239.7</v>
      </c>
      <c r="CE24" s="752">
        <f>INPUT!DV485</f>
        <v>-4.9563838223632084</v>
      </c>
      <c r="CF24" s="750">
        <f>INPUT!DW485</f>
        <v>237.3</v>
      </c>
      <c r="CG24" s="752">
        <f>INPUT!DX485</f>
        <v>-4.8134777376654618</v>
      </c>
      <c r="CH24" s="750">
        <f>INPUT!DY485</f>
        <v>234.2</v>
      </c>
      <c r="CI24" s="752">
        <f>INPUT!DZ485</f>
        <v>-4.9127080795777545</v>
      </c>
      <c r="CJ24" s="750">
        <f>INPUT!EA485</f>
        <v>232.4</v>
      </c>
      <c r="CK24" s="752">
        <f>INPUT!EB485</f>
        <v>-4.6759639048400299</v>
      </c>
      <c r="CL24" s="750">
        <f>INPUT!EC485</f>
        <v>230.4</v>
      </c>
      <c r="CM24" s="752">
        <f>INPUT!ED485</f>
        <v>-3.8798498122653235</v>
      </c>
      <c r="CN24" s="750">
        <f>INPUT!EE485</f>
        <v>228.2</v>
      </c>
      <c r="CO24" s="752">
        <f>INPUT!EF485</f>
        <v>-3.8348082595870303</v>
      </c>
      <c r="CP24" s="750">
        <f>INPUT!EG485</f>
        <v>226</v>
      </c>
      <c r="CQ24" s="752">
        <f>INPUT!EH485</f>
        <v>-3.5012809564474723</v>
      </c>
      <c r="CR24" s="750">
        <f>INPUT!EI485</f>
        <v>224.8</v>
      </c>
      <c r="CS24" s="752">
        <f>INPUT!EJ485</f>
        <v>-3.2702237521514577</v>
      </c>
      <c r="CT24" s="750">
        <f>INPUT!EK485</f>
        <v>221.9430502062454</v>
      </c>
      <c r="CU24" s="752">
        <f>INPUT!EL485</f>
        <v>-3.6705511257615453</v>
      </c>
      <c r="CV24" s="750">
        <f>INPUT!EM485</f>
        <v>220.04384790254787</v>
      </c>
      <c r="CW24" s="752">
        <f>INPUT!EN485</f>
        <v>-3.574124494939579</v>
      </c>
      <c r="CX24" s="750">
        <f>INPUT!EO485</f>
        <v>218.17328195838689</v>
      </c>
      <c r="CY24" s="752">
        <f>INPUT!EP485</f>
        <v>-3.4631495759349984</v>
      </c>
      <c r="CZ24" s="750">
        <f>INPUT!EQ485</f>
        <v>216.33045439658284</v>
      </c>
      <c r="DA24" s="752">
        <f>INPUT!ER485</f>
        <v>-3.7675914605948324</v>
      </c>
      <c r="DB24" s="753"/>
      <c r="DC24" s="750">
        <f>INPUT!FB485</f>
        <v>243.61649824999998</v>
      </c>
      <c r="DD24" s="767" t="str">
        <f>INPUT!FC485</f>
        <v>NA</v>
      </c>
      <c r="DE24" s="750">
        <f>INPUT!FD485</f>
        <v>243.074557</v>
      </c>
      <c r="DF24" s="767">
        <f>INPUT!FE485</f>
        <v>-0.22245671122151922</v>
      </c>
      <c r="DG24" s="750">
        <f>INPUT!FF485</f>
        <v>276.13217600000002</v>
      </c>
      <c r="DH24" s="767">
        <f>INPUT!FG485</f>
        <v>13.599785764496941</v>
      </c>
      <c r="DI24" s="750">
        <f>INPUT!FH485</f>
        <v>295.22430500000002</v>
      </c>
      <c r="DJ24" s="767">
        <f>INPUT!FI485</f>
        <v>6.9141268781367948</v>
      </c>
      <c r="DK24" s="750">
        <f>INPUT!FJ485</f>
        <v>312.51217574999998</v>
      </c>
      <c r="DL24" s="752">
        <f>INPUT!FK485</f>
        <v>5.8558426447984813</v>
      </c>
      <c r="DM24" s="750">
        <f>INPUT!FL485</f>
        <v>333.94932975</v>
      </c>
      <c r="DN24" s="752">
        <f>INPUT!FM485</f>
        <v>6.8596220126633023</v>
      </c>
      <c r="DO24" s="750">
        <f>INPUT!FN485</f>
        <v>355.70788200000004</v>
      </c>
      <c r="DP24" s="752">
        <f>INPUT!FO485</f>
        <v>6.515525054740734</v>
      </c>
      <c r="DQ24" s="750">
        <f>INPUT!FP485</f>
        <v>341.59887049999998</v>
      </c>
      <c r="DR24" s="752">
        <f>INPUT!FQ485</f>
        <v>-3.9664601809414113</v>
      </c>
      <c r="DS24" s="750">
        <f>INPUT!FR485</f>
        <v>332.13509174999996</v>
      </c>
      <c r="DT24" s="752">
        <f>INPUT!FS485</f>
        <v>-2.770436194987369</v>
      </c>
      <c r="DU24" s="750">
        <f>INPUT!FT485</f>
        <v>327.38302949999996</v>
      </c>
      <c r="DV24" s="752">
        <f>INPUT!FU485</f>
        <v>-1.4307618701058233</v>
      </c>
      <c r="DW24" s="750">
        <f>INPUT!FV485</f>
        <v>306.1218035</v>
      </c>
      <c r="DX24" s="752">
        <f>INPUT!FW485</f>
        <v>-6.494296919565878</v>
      </c>
      <c r="DY24" s="750">
        <f>INPUT!FX485</f>
        <v>281.78392674999998</v>
      </c>
      <c r="DZ24" s="752">
        <f>INPUT!FY485</f>
        <v>-7.9503898355936631</v>
      </c>
      <c r="EA24" s="750">
        <f>INPUT!FZ485</f>
        <v>265.9876855</v>
      </c>
      <c r="EB24" s="752">
        <f>INPUT!GA485</f>
        <v>-5.6057992491581938</v>
      </c>
      <c r="EC24" s="750">
        <f>INPUT!GB485</f>
        <v>256.45</v>
      </c>
      <c r="ED24" s="752">
        <f>INPUT!GC485</f>
        <v>-3.5857620558903736</v>
      </c>
      <c r="EE24" s="750">
        <f>INPUT!GD485</f>
        <v>247.89999999999998</v>
      </c>
      <c r="EF24" s="752">
        <f>INPUT!GE485</f>
        <v>-3.3339832325989471</v>
      </c>
      <c r="EG24" s="750">
        <f>INPUT!GF485</f>
        <v>235.90000000000003</v>
      </c>
      <c r="EH24" s="752">
        <f>INPUT!GG485</f>
        <v>-4.8406615570794393</v>
      </c>
      <c r="EI24" s="750">
        <f>INPUT!GH485</f>
        <v>227.35</v>
      </c>
      <c r="EJ24" s="752">
        <f>INPUT!GI485</f>
        <v>-3.6244171259008251</v>
      </c>
      <c r="EK24" s="750">
        <f>INPUT!GJ485</f>
        <v>219.12265861594074</v>
      </c>
      <c r="EL24" s="752">
        <f>INPUT!GK485</f>
        <v>-3.6187998170482794</v>
      </c>
      <c r="EM24" s="750">
        <f>INPUT!GL485</f>
        <v>211.88556690772648</v>
      </c>
      <c r="EN24" s="752">
        <f>INPUT!GM485</f>
        <v>-3.3027582605680283</v>
      </c>
      <c r="EO24" s="750">
        <f>INPUT!GN485</f>
        <v>204.81273812004304</v>
      </c>
      <c r="EP24" s="752">
        <f>INPUT!GO485</f>
        <v>-3.3380417981766386</v>
      </c>
      <c r="EQ24" s="750">
        <f>INPUT!GP485</f>
        <v>197.92220271940431</v>
      </c>
      <c r="ER24" s="752">
        <f>INPUT!GQ485</f>
        <v>-3.3643099857393222</v>
      </c>
      <c r="ES24" s="750">
        <f>INPUT!GR485</f>
        <v>190.68433372090038</v>
      </c>
      <c r="ET24" s="752">
        <f>INPUT!GS485</f>
        <v>-3.6569262564064675</v>
      </c>
      <c r="EU24" s="767">
        <f>INPUT!GT485</f>
        <v>-3.4562839822018576</v>
      </c>
      <c r="EV24" s="710"/>
    </row>
    <row r="25" spans="1:152" s="716" customFormat="1" ht="12.75" customHeight="1" x14ac:dyDescent="0.2">
      <c r="A25" s="769" t="str">
        <f>INPUT!B488</f>
        <v>Operating EPS</v>
      </c>
      <c r="B25" s="770">
        <f>INPUT!AS488</f>
        <v>0.42</v>
      </c>
      <c r="C25" s="771">
        <f>INPUT!AT488</f>
        <v>-16.000000000000004</v>
      </c>
      <c r="D25" s="770">
        <f>INPUT!AU488</f>
        <v>0.43</v>
      </c>
      <c r="E25" s="771">
        <f>INPUT!AV488</f>
        <v>2.3809523809523725</v>
      </c>
      <c r="F25" s="770">
        <f>INPUT!AW488</f>
        <v>0.46</v>
      </c>
      <c r="G25" s="771">
        <f>INPUT!AX488</f>
        <v>6.976744186046524</v>
      </c>
      <c r="H25" s="770">
        <f>INPUT!AY488</f>
        <v>0.52</v>
      </c>
      <c r="I25" s="772">
        <f>INPUT!AZ488</f>
        <v>23.809523809523814</v>
      </c>
      <c r="J25" s="770">
        <f>INPUT!BA488</f>
        <v>0.5</v>
      </c>
      <c r="K25" s="772">
        <f>INPUT!BB488</f>
        <v>19.047619047619047</v>
      </c>
      <c r="L25" s="770">
        <f>INPUT!BC488</f>
        <v>0.51</v>
      </c>
      <c r="M25" s="772">
        <f>INPUT!BD488</f>
        <v>18.604651162790709</v>
      </c>
      <c r="N25" s="770">
        <f>INPUT!BE488</f>
        <v>0.6</v>
      </c>
      <c r="O25" s="772">
        <f>INPUT!BF488</f>
        <v>30.434782608695631</v>
      </c>
      <c r="P25" s="770">
        <f>INPUT!BG488</f>
        <v>0.59</v>
      </c>
      <c r="Q25" s="772">
        <f>INPUT!BH488</f>
        <v>13.461538461538458</v>
      </c>
      <c r="R25" s="770">
        <f>INPUT!BI488</f>
        <v>0.59</v>
      </c>
      <c r="S25" s="772">
        <f>INPUT!BJ488</f>
        <v>17.999999999999993</v>
      </c>
      <c r="T25" s="770">
        <f>INPUT!BK488</f>
        <v>0.65</v>
      </c>
      <c r="U25" s="772">
        <f>INPUT!BL488</f>
        <v>27.450980392156854</v>
      </c>
      <c r="V25" s="770">
        <f>INPUT!BM488</f>
        <v>0.64</v>
      </c>
      <c r="W25" s="772">
        <f>INPUT!BN488</f>
        <v>6.6666666666666652</v>
      </c>
      <c r="X25" s="770">
        <f>INPUT!BO488</f>
        <v>0.63</v>
      </c>
      <c r="Y25" s="772">
        <f>INPUT!BP488</f>
        <v>6.7796610169491567</v>
      </c>
      <c r="Z25" s="770">
        <f>INPUT!BQ488</f>
        <v>0.62</v>
      </c>
      <c r="AA25" s="772">
        <f>INPUT!BR488</f>
        <v>5.0847457627118731</v>
      </c>
      <c r="AB25" s="770">
        <f>INPUT!BS488</f>
        <v>0.65</v>
      </c>
      <c r="AC25" s="772">
        <f>INPUT!BT488</f>
        <v>0</v>
      </c>
      <c r="AD25" s="770">
        <f>INPUT!BU488</f>
        <v>0.64</v>
      </c>
      <c r="AE25" s="772">
        <f>INPUT!BV488</f>
        <v>0</v>
      </c>
      <c r="AF25" s="770">
        <f>INPUT!BW488</f>
        <v>0.66</v>
      </c>
      <c r="AG25" s="772">
        <f>INPUT!BX488</f>
        <v>4.7619047619047672</v>
      </c>
      <c r="AH25" s="770">
        <f>INPUT!BY488</f>
        <v>0.67940993445079345</v>
      </c>
      <c r="AI25" s="772">
        <f>INPUT!BZ488</f>
        <v>9.5822474920634662</v>
      </c>
      <c r="AJ25" s="770">
        <f>INPUT!CA488</f>
        <v>0.69803576338947426</v>
      </c>
      <c r="AK25" s="772">
        <f>INPUT!CB488</f>
        <v>7.3901174445345053</v>
      </c>
      <c r="AL25" s="770">
        <f>INPUT!CC488</f>
        <v>0.68820562264918328</v>
      </c>
      <c r="AM25" s="772">
        <f>INPUT!CD488</f>
        <v>7.5321285389348791</v>
      </c>
      <c r="AN25" s="770">
        <f>INPUT!CE488</f>
        <v>0.66663957821905528</v>
      </c>
      <c r="AO25" s="772">
        <f>INPUT!CF488</f>
        <v>1.0059966998568592</v>
      </c>
      <c r="AP25" s="770">
        <f>INPUT!CG488</f>
        <v>0.69703300663164036</v>
      </c>
      <c r="AQ25" s="772">
        <f>INPUT!CH488</f>
        <v>2.5938790834862724</v>
      </c>
      <c r="AR25" s="770">
        <f>INPUT!CI488</f>
        <v>0.76444898692682983</v>
      </c>
      <c r="AS25" s="772">
        <f>INPUT!CJ488</f>
        <v>9.5143009886586416</v>
      </c>
      <c r="AT25" s="770">
        <f>INPUT!CK488</f>
        <v>0.74572262394087163</v>
      </c>
      <c r="AU25" s="772">
        <f>INPUT!CL488</f>
        <v>8.3575314410077048</v>
      </c>
      <c r="AV25" s="770">
        <f>INPUT!CM488</f>
        <v>-1.2192469066685814</v>
      </c>
      <c r="AW25" s="772" t="str">
        <f>INPUT!CN488</f>
        <v>NM</v>
      </c>
      <c r="AX25" s="770">
        <f>INPUT!CO488</f>
        <v>0.73193163253203453</v>
      </c>
      <c r="AY25" s="772">
        <f>INPUT!CP488</f>
        <v>5.0067393607426292</v>
      </c>
      <c r="AZ25" s="770">
        <f>INPUT!CQ488</f>
        <v>0.79403502562156802</v>
      </c>
      <c r="BA25" s="772">
        <f>INPUT!CR488</f>
        <v>3.8702436919535232</v>
      </c>
      <c r="BB25" s="770">
        <f>INPUT!CS488</f>
        <v>0.80427691772748733</v>
      </c>
      <c r="BC25" s="772">
        <f>INPUT!CT488</f>
        <v>7.8520205645870922</v>
      </c>
      <c r="BD25" s="770">
        <f>INPUT!CU488</f>
        <v>0.8223684210526313</v>
      </c>
      <c r="BE25" s="772" t="str">
        <f>INPUT!CV488</f>
        <v>NM</v>
      </c>
      <c r="BF25" s="770">
        <f>INPUT!CW488</f>
        <v>0.78674511653490997</v>
      </c>
      <c r="BG25" s="772">
        <f>INPUT!CX488</f>
        <v>7.4888803225042322</v>
      </c>
      <c r="BH25" s="770">
        <f>INPUT!CY488</f>
        <v>0.8094136357937507</v>
      </c>
      <c r="BI25" s="772">
        <f>INPUT!CZ488</f>
        <v>1.9367672301539018</v>
      </c>
      <c r="BJ25" s="770">
        <f>INPUT!DA488</f>
        <v>0.83856793409688568</v>
      </c>
      <c r="BK25" s="772">
        <f>INPUT!DB488</f>
        <v>4.263583302413898</v>
      </c>
      <c r="BL25" s="770">
        <f>INPUT!DC488</f>
        <v>0.81607006854531583</v>
      </c>
      <c r="BM25" s="772">
        <f>INPUT!DD488</f>
        <v>-0.76587966488955717</v>
      </c>
      <c r="BN25" s="770">
        <f>INPUT!DE488</f>
        <v>0.85385500575373896</v>
      </c>
      <c r="BO25" s="772">
        <f>INPUT!DF488</f>
        <v>8.5300674651027428</v>
      </c>
      <c r="BP25" s="770">
        <f>INPUT!DG488</f>
        <v>0.85808452888716569</v>
      </c>
      <c r="BQ25" s="772">
        <f>INPUT!DH488</f>
        <v>6.0131051592287488</v>
      </c>
      <c r="BR25" s="770">
        <f>INPUT!DI488</f>
        <v>0.85989010989011005</v>
      </c>
      <c r="BS25" s="772">
        <f>INPUT!DJ488</f>
        <v>2.5426891401693963</v>
      </c>
      <c r="BT25" s="770">
        <f>INPUT!DK488</f>
        <v>-0.90768621236133129</v>
      </c>
      <c r="BU25" s="772" t="str">
        <f>INPUT!DL488</f>
        <v>NM</v>
      </c>
      <c r="BV25" s="770">
        <f>INPUT!DM488</f>
        <v>0.8838223632038068</v>
      </c>
      <c r="BW25" s="772">
        <f>INPUT!DN488</f>
        <v>3.5096541272384041</v>
      </c>
      <c r="BX25" s="770">
        <f>INPUT!DO488</f>
        <v>0.88487765744083402</v>
      </c>
      <c r="BY25" s="772">
        <f>INPUT!DP488</f>
        <v>3.1224346380438694</v>
      </c>
      <c r="BZ25" s="770">
        <f>INPUT!DQ488</f>
        <v>0.8976857490864808</v>
      </c>
      <c r="CA25" s="772">
        <f>INPUT!DR488</f>
        <v>4.3954034081402416</v>
      </c>
      <c r="CB25" s="770">
        <f>INPUT!DS488</f>
        <v>0.93765381460213248</v>
      </c>
      <c r="CC25" s="772" t="str">
        <f>INPUT!DT488</f>
        <v>NM</v>
      </c>
      <c r="CD25" s="770">
        <f>INPUT!DU488</f>
        <v>0.93533583646224372</v>
      </c>
      <c r="CE25" s="772">
        <f>INPUT!DV488</f>
        <v>5.8284871941578276</v>
      </c>
      <c r="CF25" s="770">
        <f>INPUT!DW488</f>
        <v>0.98187947745469828</v>
      </c>
      <c r="CG25" s="772">
        <f>INPUT!DX488</f>
        <v>10.962173041458012</v>
      </c>
      <c r="CH25" s="770">
        <f>INPUT!DY488</f>
        <v>0.97651579846285308</v>
      </c>
      <c r="CI25" s="772">
        <f>INPUT!DZ488</f>
        <v>8.7814749712349602</v>
      </c>
      <c r="CJ25" s="770">
        <f>INPUT!EA488</f>
        <v>0.98838209982788272</v>
      </c>
      <c r="CK25" s="772">
        <f>INPUT!EB488</f>
        <v>5.4101294567094893</v>
      </c>
      <c r="CL25" s="770">
        <f>INPUT!EC488</f>
        <v>1.0247395833333321</v>
      </c>
      <c r="CM25" s="772">
        <f>INPUT!ED488</f>
        <v>9.5584648193576705</v>
      </c>
      <c r="CN25" s="770">
        <f>INPUT!EE488</f>
        <v>1.0534618755477656</v>
      </c>
      <c r="CO25" s="772">
        <f>INPUT!EF488</f>
        <v>7.2903446641566116</v>
      </c>
      <c r="CP25" s="770">
        <f>INPUT!EG488</f>
        <v>1.0862831858407076</v>
      </c>
      <c r="CQ25" s="772">
        <f>INPUT!EH488</f>
        <v>11.240718025314166</v>
      </c>
      <c r="CR25" s="770">
        <f>INPUT!EI488</f>
        <v>1.1281138790035579</v>
      </c>
      <c r="CS25" s="772">
        <f>INPUT!EJ488</f>
        <v>14.137425111200219</v>
      </c>
      <c r="CT25" s="770">
        <f>INPUT!EK488</f>
        <v>1.2720273653832308</v>
      </c>
      <c r="CU25" s="772">
        <f>INPUT!EL488</f>
        <v>24.131768311857993</v>
      </c>
      <c r="CV25" s="770">
        <f>INPUT!EM488</f>
        <v>1.2914948247809064</v>
      </c>
      <c r="CW25" s="772">
        <f>INPUT!EN488</f>
        <v>22.595307410566857</v>
      </c>
      <c r="CX25" s="770">
        <f>INPUT!EO488</f>
        <v>1.3077515554781463</v>
      </c>
      <c r="CY25" s="772">
        <f>INPUT!EP488</f>
        <v>20.387719567438346</v>
      </c>
      <c r="CZ25" s="770">
        <f>INPUT!EQ488</f>
        <v>1.327471892073594</v>
      </c>
      <c r="DA25" s="772">
        <f>INPUT!ER488</f>
        <v>17.671798634914882</v>
      </c>
      <c r="DB25" s="773"/>
      <c r="DC25" s="774">
        <f>INPUT!FB488</f>
        <v>-0.98</v>
      </c>
      <c r="DD25" s="771" t="str">
        <f>INPUT!FC488</f>
        <v>NA</v>
      </c>
      <c r="DE25" s="774">
        <f>INPUT!FD488</f>
        <v>3.1</v>
      </c>
      <c r="DF25" s="771" t="str">
        <f>INPUT!FE488</f>
        <v>NM</v>
      </c>
      <c r="DG25" s="774">
        <f>INPUT!FF488</f>
        <v>0.15</v>
      </c>
      <c r="DH25" s="771" t="str">
        <f>INPUT!FG488</f>
        <v>NM</v>
      </c>
      <c r="DI25" s="774">
        <f>INPUT!FH488</f>
        <v>-0.19</v>
      </c>
      <c r="DJ25" s="771" t="str">
        <f>INPUT!FI488</f>
        <v>NM</v>
      </c>
      <c r="DK25" s="774">
        <f>INPUT!FJ488</f>
        <v>1.77</v>
      </c>
      <c r="DL25" s="772" t="str">
        <f>INPUT!FK488</f>
        <v>NM</v>
      </c>
      <c r="DM25" s="774">
        <f>INPUT!FL488</f>
        <v>1.83</v>
      </c>
      <c r="DN25" s="772">
        <f>INPUT!FM488</f>
        <v>3.3898305084745894</v>
      </c>
      <c r="DO25" s="774">
        <f>INPUT!FN488</f>
        <v>2.21</v>
      </c>
      <c r="DP25" s="772">
        <f>INPUT!FO488</f>
        <v>20.765027322404372</v>
      </c>
      <c r="DQ25" s="770">
        <f>INPUT!FP488</f>
        <v>2.5099999999999998</v>
      </c>
      <c r="DR25" s="772">
        <f>INPUT!FQ488</f>
        <v>13.574660633484159</v>
      </c>
      <c r="DS25" s="770">
        <f>INPUT!FR488</f>
        <v>2.59</v>
      </c>
      <c r="DT25" s="772">
        <f>INPUT!FS488</f>
        <v>3.1872509960159334</v>
      </c>
      <c r="DU25" s="770">
        <f>INPUT!FT488</f>
        <v>2.732884478973884</v>
      </c>
      <c r="DV25" s="772">
        <f>INPUT!FU488</f>
        <v>5.5167752499569067</v>
      </c>
      <c r="DW25" s="770">
        <f>INPUT!FV488</f>
        <v>1.0077687916143476</v>
      </c>
      <c r="DX25" s="772" t="str">
        <f>INPUT!FW488</f>
        <v>NM</v>
      </c>
      <c r="DY25" s="770">
        <f>INPUT!FX488</f>
        <v>3.127218823882048</v>
      </c>
      <c r="DZ25" s="772" t="str">
        <f>INPUT!FY488</f>
        <v>NM</v>
      </c>
      <c r="EA25" s="770">
        <f>INPUT!FZ488</f>
        <v>3.2501504660823852</v>
      </c>
      <c r="EB25" s="772">
        <f>INPUT!GA488</f>
        <v>3.9310214322556769</v>
      </c>
      <c r="EC25" s="770">
        <f>INPUT!GB488</f>
        <v>1.6919477480990448</v>
      </c>
      <c r="ED25" s="772">
        <f>INPUT!GC488</f>
        <v>-47.942479409623829</v>
      </c>
      <c r="EE25" s="770">
        <f>INPUT!GD488</f>
        <v>3.6030657523194822</v>
      </c>
      <c r="EF25" s="772" t="str">
        <f>INPUT!GE488</f>
        <v>NM</v>
      </c>
      <c r="EG25" s="770">
        <f>INPUT!GF488</f>
        <v>3.8813056379822002</v>
      </c>
      <c r="EH25" s="772">
        <f>INPUT!GG488</f>
        <v>7.7223094106345425</v>
      </c>
      <c r="EI25" s="770">
        <f>INPUT!GH488</f>
        <v>4.291180998460522</v>
      </c>
      <c r="EJ25" s="772">
        <f>INPUT!GI488</f>
        <v>10.56024437929619</v>
      </c>
      <c r="EK25" s="770">
        <f>INPUT!GJ488</f>
        <v>5.1979661887095761</v>
      </c>
      <c r="EL25" s="772">
        <f>INPUT!GK488</f>
        <v>21.131366646486516</v>
      </c>
      <c r="EM25" s="770">
        <f>INPUT!GL488</f>
        <v>5.5047351554945934</v>
      </c>
      <c r="EN25" s="772">
        <f>INPUT!GM488</f>
        <v>5.901711470369797</v>
      </c>
      <c r="EO25" s="770">
        <f>INPUT!GN488</f>
        <v>5.8546964937249504</v>
      </c>
      <c r="EP25" s="772">
        <f>INPUT!GO488</f>
        <v>6.3574600474836762</v>
      </c>
      <c r="EQ25" s="770">
        <f>INPUT!GP488</f>
        <v>6.2452514056605244</v>
      </c>
      <c r="ER25" s="772">
        <f>INPUT!GQ488</f>
        <v>6.670796895350084</v>
      </c>
      <c r="ES25" s="770">
        <f>INPUT!GR488</f>
        <v>6.6510372047902013</v>
      </c>
      <c r="ET25" s="772">
        <f>INPUT!GS488</f>
        <v>6.4975094319162929</v>
      </c>
      <c r="EU25" s="771">
        <f>INPUT!GT488</f>
        <v>9.1597440816612696</v>
      </c>
      <c r="EV25" s="715"/>
    </row>
    <row r="26" spans="1:152" ht="12.75" hidden="1" customHeight="1" outlineLevel="1" x14ac:dyDescent="0.2">
      <c r="A26" s="759" t="s">
        <v>517</v>
      </c>
      <c r="B26" s="760"/>
      <c r="C26" s="761"/>
      <c r="D26" s="760"/>
      <c r="E26" s="761"/>
      <c r="F26" s="760"/>
      <c r="G26" s="761"/>
      <c r="H26" s="762"/>
      <c r="I26" s="763"/>
      <c r="J26" s="760"/>
      <c r="K26" s="763"/>
      <c r="L26" s="760"/>
      <c r="M26" s="763"/>
      <c r="N26" s="760"/>
      <c r="O26" s="763"/>
      <c r="P26" s="760"/>
      <c r="Q26" s="763"/>
      <c r="R26" s="760"/>
      <c r="S26" s="763"/>
      <c r="T26" s="760"/>
      <c r="U26" s="763"/>
      <c r="V26" s="760"/>
      <c r="W26" s="763"/>
      <c r="X26" s="760"/>
      <c r="Y26" s="763"/>
      <c r="Z26" s="760"/>
      <c r="AA26" s="763"/>
      <c r="AB26" s="760"/>
      <c r="AC26" s="763"/>
      <c r="AD26" s="760"/>
      <c r="AE26" s="763"/>
      <c r="AF26" s="760"/>
      <c r="AG26" s="763"/>
      <c r="AH26" s="760"/>
      <c r="AI26" s="763"/>
      <c r="AJ26" s="760"/>
      <c r="AK26" s="763"/>
      <c r="AL26" s="760"/>
      <c r="AM26" s="763"/>
      <c r="AN26" s="760"/>
      <c r="AO26" s="763"/>
      <c r="AP26" s="764">
        <f>(AP11+AP12+AP13+AP15+AP16+AP17+AP18-AP22)-AP25</f>
        <v>607.80296699336827</v>
      </c>
      <c r="AQ26" s="763"/>
      <c r="AR26" s="764">
        <f>(AR11+AR12+AR13+AR15+AR16+AR17+AR18-AR22)-AR25</f>
        <v>661.03555101307325</v>
      </c>
      <c r="AS26" s="763"/>
      <c r="AT26" s="764">
        <f>(AT11+AT12+AT13+AT15+AT16+AT17+AT18-AT22)-AT25</f>
        <v>609.65427737605944</v>
      </c>
      <c r="AU26" s="763"/>
      <c r="AV26" s="764">
        <f>(AV11+AV12+AV13+AV15+AV16+AV17+AV18-AV22)-AV25</f>
        <v>-310.08075309333174</v>
      </c>
      <c r="AW26" s="763"/>
      <c r="AX26" s="764">
        <f>(AX21/AX59)-AX25</f>
        <v>0</v>
      </c>
      <c r="AY26" s="763"/>
      <c r="AZ26" s="764">
        <f>(AZ21/AZ59)-AZ25</f>
        <v>0</v>
      </c>
      <c r="BA26" s="763"/>
      <c r="BB26" s="764">
        <f>(BB21/BB59)-BB25</f>
        <v>0</v>
      </c>
      <c r="BC26" s="763"/>
      <c r="BD26" s="764">
        <f>(BD21/BD59)-BD25</f>
        <v>0</v>
      </c>
      <c r="BE26" s="763"/>
      <c r="BF26" s="764">
        <f>(BF21/BF59)-BF25</f>
        <v>0</v>
      </c>
      <c r="BG26" s="763"/>
      <c r="BH26" s="764">
        <f>(BH21/BH59)-BH25</f>
        <v>0</v>
      </c>
      <c r="BI26" s="763"/>
      <c r="BJ26" s="764">
        <f>(BJ21/BJ59)-BJ25</f>
        <v>0</v>
      </c>
      <c r="BK26" s="763"/>
      <c r="BL26" s="764">
        <f>(BL21/BL59)-BL25</f>
        <v>0</v>
      </c>
      <c r="BM26" s="763"/>
      <c r="BN26" s="764">
        <f>(BN21/BN59)-BN25</f>
        <v>0</v>
      </c>
      <c r="BO26" s="763"/>
      <c r="BP26" s="764">
        <f>(BP21/BP59)-BP25</f>
        <v>0</v>
      </c>
      <c r="BQ26" s="763"/>
      <c r="BR26" s="764">
        <f>(BR21/BR59)-BR25</f>
        <v>0</v>
      </c>
      <c r="BS26" s="763"/>
      <c r="BT26" s="764">
        <f>(BT21/BT59)-BT25</f>
        <v>0</v>
      </c>
      <c r="BU26" s="763"/>
      <c r="BV26" s="764">
        <f>(BV21/BV59)-BV25</f>
        <v>0</v>
      </c>
      <c r="BW26" s="763"/>
      <c r="BX26" s="764">
        <f>(BX21/BX59)-BX25</f>
        <v>0</v>
      </c>
      <c r="BY26" s="763"/>
      <c r="BZ26" s="764">
        <f>(BZ21/BZ59)-BZ25</f>
        <v>0</v>
      </c>
      <c r="CA26" s="763"/>
      <c r="CB26" s="764">
        <f>(CB21/CB59)-CB25</f>
        <v>0</v>
      </c>
      <c r="CC26" s="763"/>
      <c r="CD26" s="764">
        <f>(CD21/CD59)-CD25</f>
        <v>0</v>
      </c>
      <c r="CE26" s="763"/>
      <c r="CF26" s="764">
        <f>(CF21/CF59)-CF25</f>
        <v>0</v>
      </c>
      <c r="CG26" s="763"/>
      <c r="CH26" s="764">
        <f>(CH21/CH59)-CH25</f>
        <v>0</v>
      </c>
      <c r="CI26" s="763"/>
      <c r="CJ26" s="764">
        <f>(CJ21/CJ59)-CJ25</f>
        <v>0</v>
      </c>
      <c r="CK26" s="763"/>
      <c r="CL26" s="764">
        <f t="shared" ref="CL26" si="8">(CL21/CL59)-CL25</f>
        <v>0</v>
      </c>
      <c r="CM26" s="763"/>
      <c r="CN26" s="764">
        <f t="shared" ref="CN26" si="9">(CN21/CN59)-CN25</f>
        <v>0</v>
      </c>
      <c r="CO26" s="763"/>
      <c r="CP26" s="764">
        <f t="shared" ref="CP26" si="10">(CP21/CP59)-CP25</f>
        <v>0</v>
      </c>
      <c r="CQ26" s="763"/>
      <c r="CR26" s="764">
        <f t="shared" ref="CR26" si="11">(CR21/CR59)-CR25</f>
        <v>0</v>
      </c>
      <c r="CS26" s="763"/>
      <c r="CT26" s="764">
        <f t="shared" ref="CT26" si="12">(CT21/CT59)-CT25</f>
        <v>0</v>
      </c>
      <c r="CU26" s="763"/>
      <c r="CV26" s="764">
        <f t="shared" ref="CV26" si="13">(CV21/CV59)-CV25</f>
        <v>0</v>
      </c>
      <c r="CW26" s="763"/>
      <c r="CX26" s="764">
        <f t="shared" ref="CX26" si="14">(CX21/CX59)-CX25</f>
        <v>0</v>
      </c>
      <c r="CY26" s="763"/>
      <c r="CZ26" s="764">
        <f t="shared" ref="CZ26" si="15">(CZ21/CZ59)-CZ25</f>
        <v>0</v>
      </c>
      <c r="DA26" s="763"/>
      <c r="DB26" s="765"/>
      <c r="DC26" s="766"/>
      <c r="DD26" s="761"/>
      <c r="DE26" s="766"/>
      <c r="DF26" s="761"/>
      <c r="DG26" s="766"/>
      <c r="DH26" s="761"/>
      <c r="DI26" s="766"/>
      <c r="DJ26" s="761"/>
      <c r="DK26" s="766"/>
      <c r="DL26" s="763"/>
      <c r="DM26" s="766"/>
      <c r="DN26" s="763"/>
      <c r="DO26" s="766"/>
      <c r="DP26" s="763"/>
      <c r="DQ26" s="760"/>
      <c r="DR26" s="763"/>
      <c r="DS26" s="760"/>
      <c r="DT26" s="763"/>
      <c r="DU26" s="764">
        <f>(DU11+DU12+DU13+DU15+DU16+DU17+DU18-DU22)-DU25</f>
        <v>2534.0671155210252</v>
      </c>
      <c r="DV26" s="763"/>
      <c r="DW26" s="764">
        <f>(DW21/DW59)-DW25</f>
        <v>0</v>
      </c>
      <c r="DX26" s="763"/>
      <c r="DY26" s="764">
        <f>(DY21/DY59)-DY25</f>
        <v>0</v>
      </c>
      <c r="DZ26" s="763"/>
      <c r="EA26" s="764">
        <f>(EA21/EA59)-EA25</f>
        <v>0</v>
      </c>
      <c r="EB26" s="763"/>
      <c r="EC26" s="764">
        <f>(EC21/EC59)-EC25</f>
        <v>0</v>
      </c>
      <c r="ED26" s="763"/>
      <c r="EE26" s="764">
        <f>(EE21/EE59)-EE25</f>
        <v>0</v>
      </c>
      <c r="EF26" s="763"/>
      <c r="EG26" s="764">
        <f>(EG21/EG59)-EG25</f>
        <v>0</v>
      </c>
      <c r="EH26" s="763"/>
      <c r="EI26" s="764">
        <f>(EI21/EI59)-EI25</f>
        <v>0</v>
      </c>
      <c r="EJ26" s="763"/>
      <c r="EK26" s="764">
        <f>(EK21/EK59)-EK25</f>
        <v>0</v>
      </c>
      <c r="EL26" s="763"/>
      <c r="EM26" s="764">
        <f>(EM21/EM59)-EM25</f>
        <v>0</v>
      </c>
      <c r="EN26" s="763"/>
      <c r="EO26" s="764">
        <f>(EO21/EO59)-EO25</f>
        <v>0</v>
      </c>
      <c r="EP26" s="763"/>
      <c r="EQ26" s="764">
        <f>(EQ21/EQ59)-EQ25</f>
        <v>0</v>
      </c>
      <c r="ER26" s="763"/>
      <c r="ES26" s="764">
        <f>(ES21/ES59)-ES25</f>
        <v>0</v>
      </c>
      <c r="ET26" s="763"/>
      <c r="EU26" s="761"/>
      <c r="EV26" s="710"/>
    </row>
    <row r="27" spans="1:152" ht="12.75" customHeight="1" collapsed="1" x14ac:dyDescent="0.2">
      <c r="A27" s="775"/>
      <c r="B27" s="776"/>
      <c r="C27" s="777"/>
      <c r="D27" s="776"/>
      <c r="E27" s="777"/>
      <c r="F27" s="776"/>
      <c r="G27" s="777"/>
      <c r="H27" s="776"/>
      <c r="I27" s="778"/>
      <c r="J27" s="776"/>
      <c r="K27" s="778"/>
      <c r="L27" s="776"/>
      <c r="M27" s="778"/>
      <c r="N27" s="776"/>
      <c r="O27" s="778"/>
      <c r="P27" s="776"/>
      <c r="Q27" s="778"/>
      <c r="R27" s="776"/>
      <c r="S27" s="778"/>
      <c r="T27" s="776"/>
      <c r="U27" s="778"/>
      <c r="V27" s="776"/>
      <c r="W27" s="778"/>
      <c r="X27" s="776"/>
      <c r="Y27" s="778"/>
      <c r="Z27" s="776"/>
      <c r="AA27" s="778"/>
      <c r="AB27" s="776"/>
      <c r="AC27" s="778"/>
      <c r="AD27" s="776"/>
      <c r="AE27" s="778"/>
      <c r="AF27" s="776"/>
      <c r="AG27" s="778"/>
      <c r="AH27" s="776"/>
      <c r="AI27" s="778"/>
      <c r="AJ27" s="776"/>
      <c r="AK27" s="778"/>
      <c r="AL27" s="776"/>
      <c r="AM27" s="778"/>
      <c r="AN27" s="776"/>
      <c r="AO27" s="778"/>
      <c r="AP27" s="776"/>
      <c r="AQ27" s="778"/>
      <c r="AR27" s="776"/>
      <c r="AS27" s="778"/>
      <c r="AT27" s="776"/>
      <c r="AU27" s="778"/>
      <c r="AV27" s="776"/>
      <c r="AW27" s="778"/>
      <c r="AX27" s="776"/>
      <c r="AY27" s="778"/>
      <c r="AZ27" s="776"/>
      <c r="BA27" s="778"/>
      <c r="BB27" s="776"/>
      <c r="BC27" s="778"/>
      <c r="BD27" s="776"/>
      <c r="BE27" s="778"/>
      <c r="BF27" s="776"/>
      <c r="BG27" s="778"/>
      <c r="BH27" s="776"/>
      <c r="BI27" s="778"/>
      <c r="BJ27" s="776"/>
      <c r="BK27" s="778"/>
      <c r="BL27" s="776"/>
      <c r="BM27" s="778"/>
      <c r="BN27" s="776"/>
      <c r="BO27" s="778"/>
      <c r="BP27" s="776"/>
      <c r="BQ27" s="778"/>
      <c r="BR27" s="776"/>
      <c r="BS27" s="778"/>
      <c r="BT27" s="776"/>
      <c r="BU27" s="778"/>
      <c r="BV27" s="776"/>
      <c r="BW27" s="778"/>
      <c r="BX27" s="776"/>
      <c r="BY27" s="778"/>
      <c r="BZ27" s="776"/>
      <c r="CA27" s="778"/>
      <c r="CB27" s="776"/>
      <c r="CC27" s="778"/>
      <c r="CD27" s="776"/>
      <c r="CE27" s="778"/>
      <c r="CF27" s="776"/>
      <c r="CG27" s="778"/>
      <c r="CH27" s="776"/>
      <c r="CI27" s="778"/>
      <c r="CJ27" s="776"/>
      <c r="CK27" s="778"/>
      <c r="CL27" s="776"/>
      <c r="CM27" s="778"/>
      <c r="CN27" s="776"/>
      <c r="CO27" s="778"/>
      <c r="CP27" s="776"/>
      <c r="CQ27" s="778"/>
      <c r="CR27" s="776"/>
      <c r="CS27" s="778"/>
      <c r="CT27" s="776"/>
      <c r="CU27" s="778"/>
      <c r="CV27" s="776"/>
      <c r="CW27" s="778"/>
      <c r="CX27" s="776"/>
      <c r="CY27" s="778"/>
      <c r="CZ27" s="776"/>
      <c r="DA27" s="778"/>
      <c r="DB27" s="779"/>
      <c r="DC27" s="776"/>
      <c r="DD27" s="777"/>
      <c r="DE27" s="776"/>
      <c r="DF27" s="777"/>
      <c r="DG27" s="776"/>
      <c r="DH27" s="777"/>
      <c r="DI27" s="776"/>
      <c r="DJ27" s="777"/>
      <c r="DK27" s="776"/>
      <c r="DL27" s="778"/>
      <c r="DM27" s="776"/>
      <c r="DN27" s="778"/>
      <c r="DO27" s="776"/>
      <c r="DP27" s="778"/>
      <c r="DQ27" s="776"/>
      <c r="DR27" s="778"/>
      <c r="DS27" s="776"/>
      <c r="DT27" s="778"/>
      <c r="DU27" s="776"/>
      <c r="DV27" s="778"/>
      <c r="DW27" s="776"/>
      <c r="DX27" s="778"/>
      <c r="DY27" s="776"/>
      <c r="DZ27" s="778"/>
      <c r="EA27" s="776"/>
      <c r="EB27" s="778"/>
      <c r="EC27" s="776"/>
      <c r="ED27" s="778"/>
      <c r="EE27" s="776"/>
      <c r="EF27" s="778"/>
      <c r="EG27" s="776"/>
      <c r="EH27" s="778"/>
      <c r="EI27" s="776"/>
      <c r="EJ27" s="778"/>
      <c r="EK27" s="776"/>
      <c r="EL27" s="778"/>
      <c r="EM27" s="776"/>
      <c r="EN27" s="778"/>
      <c r="EO27" s="776"/>
      <c r="EP27" s="778"/>
      <c r="EQ27" s="776"/>
      <c r="ER27" s="778"/>
      <c r="ES27" s="776"/>
      <c r="ET27" s="778"/>
      <c r="EU27" s="777"/>
      <c r="EV27" s="710"/>
    </row>
    <row r="28" spans="1:152" s="718" customFormat="1" ht="12.75" customHeight="1" x14ac:dyDescent="0.2">
      <c r="A28" s="780" t="s">
        <v>528</v>
      </c>
      <c r="B28" s="781">
        <f>INPUT!AS495</f>
        <v>0.42</v>
      </c>
      <c r="C28" s="782" t="str">
        <f>INPUT!AT495</f>
        <v>NA</v>
      </c>
      <c r="D28" s="781">
        <f>INPUT!AU495</f>
        <v>0.43</v>
      </c>
      <c r="E28" s="782" t="str">
        <f>INPUT!AV495</f>
        <v>NA</v>
      </c>
      <c r="F28" s="781">
        <f>INPUT!AW495</f>
        <v>0.46</v>
      </c>
      <c r="G28" s="782" t="str">
        <f>INPUT!AX495</f>
        <v>NA</v>
      </c>
      <c r="H28" s="781">
        <f>INPUT!AY495</f>
        <v>0.52</v>
      </c>
      <c r="I28" s="783" t="str">
        <f>INPUT!AZ495</f>
        <v>NA</v>
      </c>
      <c r="J28" s="781">
        <f>INPUT!BA495</f>
        <v>0.5</v>
      </c>
      <c r="K28" s="783">
        <f>INPUT!BB495</f>
        <v>19.047619047619047</v>
      </c>
      <c r="L28" s="781">
        <f>INPUT!BC495</f>
        <v>0.51</v>
      </c>
      <c r="M28" s="783">
        <f>INPUT!BD495</f>
        <v>18.604651162790709</v>
      </c>
      <c r="N28" s="781">
        <f>INPUT!BE495</f>
        <v>0.6</v>
      </c>
      <c r="O28" s="783">
        <f>INPUT!BF495</f>
        <v>30.434782608695631</v>
      </c>
      <c r="P28" s="781">
        <f>INPUT!BG495</f>
        <v>0.59</v>
      </c>
      <c r="Q28" s="783">
        <f>INPUT!BH495</f>
        <v>13.461538461538458</v>
      </c>
      <c r="R28" s="781">
        <f>INPUT!BI495</f>
        <v>0.59</v>
      </c>
      <c r="S28" s="783">
        <f>INPUT!BJ495</f>
        <v>17.999999999999993</v>
      </c>
      <c r="T28" s="781">
        <f>INPUT!BK495</f>
        <v>0.65</v>
      </c>
      <c r="U28" s="783">
        <f>INPUT!BL495</f>
        <v>27.450980392156854</v>
      </c>
      <c r="V28" s="781">
        <f>INPUT!BM495</f>
        <v>0.64</v>
      </c>
      <c r="W28" s="783">
        <f>INPUT!BN495</f>
        <v>6.6666666666666652</v>
      </c>
      <c r="X28" s="781">
        <f>INPUT!BO495</f>
        <v>0.63</v>
      </c>
      <c r="Y28" s="783">
        <f>INPUT!BP495</f>
        <v>6.7796610169491567</v>
      </c>
      <c r="Z28" s="781">
        <f>INPUT!BQ495</f>
        <v>0.62</v>
      </c>
      <c r="AA28" s="783">
        <f>INPUT!BR495</f>
        <v>5.0847457627118731</v>
      </c>
      <c r="AB28" s="781">
        <f>INPUT!BS495</f>
        <v>0.65</v>
      </c>
      <c r="AC28" s="783">
        <f>INPUT!BT495</f>
        <v>0</v>
      </c>
      <c r="AD28" s="781">
        <f>INPUT!BU495</f>
        <v>0.64</v>
      </c>
      <c r="AE28" s="783">
        <f>INPUT!BV495</f>
        <v>0</v>
      </c>
      <c r="AF28" s="781">
        <f>INPUT!BW495</f>
        <v>0.66</v>
      </c>
      <c r="AG28" s="783">
        <f>INPUT!BX495</f>
        <v>4.7619047619047672</v>
      </c>
      <c r="AH28" s="781">
        <f>INPUT!BY495</f>
        <v>0.67940993445079345</v>
      </c>
      <c r="AI28" s="783">
        <f>INPUT!BZ495</f>
        <v>9.5822474920634662</v>
      </c>
      <c r="AJ28" s="781">
        <f>INPUT!CA495</f>
        <v>0.69803576338947426</v>
      </c>
      <c r="AK28" s="783">
        <f>INPUT!CB495</f>
        <v>7.3901174445345053</v>
      </c>
      <c r="AL28" s="781">
        <f>INPUT!CC495</f>
        <v>0.68820562264918328</v>
      </c>
      <c r="AM28" s="783">
        <f>INPUT!CD495</f>
        <v>7.5321285389348791</v>
      </c>
      <c r="AN28" s="781">
        <f>INPUT!CE495</f>
        <v>0.66663957821905528</v>
      </c>
      <c r="AO28" s="783">
        <f>INPUT!CF495</f>
        <v>1.0059966998568592</v>
      </c>
      <c r="AP28" s="781">
        <f>INPUT!CG495</f>
        <v>0.69703300663164036</v>
      </c>
      <c r="AQ28" s="783">
        <f>INPUT!CH495</f>
        <v>2.5938790834862724</v>
      </c>
      <c r="AR28" s="781">
        <f>INPUT!CI495</f>
        <v>0.76444898692682983</v>
      </c>
      <c r="AS28" s="783">
        <f>INPUT!CJ495</f>
        <v>9.5143009886586416</v>
      </c>
      <c r="AT28" s="781">
        <f>INPUT!CK495</f>
        <v>0.74572262394087163</v>
      </c>
      <c r="AU28" s="783">
        <f>INPUT!CL495</f>
        <v>8.3575314410077048</v>
      </c>
      <c r="AV28" s="781">
        <f>INPUT!CM495</f>
        <v>-1.2192469066685814</v>
      </c>
      <c r="AW28" s="783" t="str">
        <f>INPUT!CN495</f>
        <v>NM</v>
      </c>
      <c r="AX28" s="781">
        <f>INPUT!CO495</f>
        <v>0.73193163253203453</v>
      </c>
      <c r="AY28" s="783">
        <f>INPUT!CP495</f>
        <v>5.0067393607426292</v>
      </c>
      <c r="AZ28" s="781">
        <f>INPUT!CQ495</f>
        <v>0.79403502562156802</v>
      </c>
      <c r="BA28" s="783">
        <f>INPUT!CR495</f>
        <v>3.8702436919535232</v>
      </c>
      <c r="BB28" s="781">
        <f>INPUT!CS495</f>
        <v>0.80427691772748733</v>
      </c>
      <c r="BC28" s="783">
        <f>INPUT!CT495</f>
        <v>7.8520205645870922</v>
      </c>
      <c r="BD28" s="781">
        <f>INPUT!CU495</f>
        <v>0.8223684210526313</v>
      </c>
      <c r="BE28" s="783" t="str">
        <f>INPUT!CV495</f>
        <v>NM</v>
      </c>
      <c r="BF28" s="781">
        <f>INPUT!CW495</f>
        <v>0.78674511653490997</v>
      </c>
      <c r="BG28" s="783">
        <f>INPUT!CX495</f>
        <v>7.4888803225042322</v>
      </c>
      <c r="BH28" s="781">
        <f>INPUT!CY495</f>
        <v>0.8094136357937507</v>
      </c>
      <c r="BI28" s="783">
        <f>INPUT!CZ495</f>
        <v>1.9367672301539018</v>
      </c>
      <c r="BJ28" s="781">
        <f>INPUT!DA495</f>
        <v>0.83856793409688568</v>
      </c>
      <c r="BK28" s="783">
        <f>INPUT!DB495</f>
        <v>4.263583302413898</v>
      </c>
      <c r="BL28" s="781">
        <f>INPUT!DC495</f>
        <v>0.81607006854531583</v>
      </c>
      <c r="BM28" s="783">
        <f>INPUT!DD495</f>
        <v>-0.76587966488955717</v>
      </c>
      <c r="BN28" s="781">
        <f>INPUT!DE495</f>
        <v>0.85385500575373896</v>
      </c>
      <c r="BO28" s="783">
        <f>INPUT!DF495</f>
        <v>8.5300674651027428</v>
      </c>
      <c r="BP28" s="781">
        <f>INPUT!DG495</f>
        <v>0.85808452888716569</v>
      </c>
      <c r="BQ28" s="783">
        <f>INPUT!DH495</f>
        <v>6.0131051592287488</v>
      </c>
      <c r="BR28" s="781">
        <f>INPUT!DI495</f>
        <v>0.85989010989011005</v>
      </c>
      <c r="BS28" s="783">
        <f>INPUT!DJ495</f>
        <v>2.5426891401693963</v>
      </c>
      <c r="BT28" s="781">
        <f>INPUT!DK495</f>
        <v>-0.90768621236133129</v>
      </c>
      <c r="BU28" s="783" t="str">
        <f>INPUT!DL495</f>
        <v>NM</v>
      </c>
      <c r="BV28" s="781">
        <f>INPUT!DM495</f>
        <v>0.8838223632038068</v>
      </c>
      <c r="BW28" s="783">
        <f>INPUT!DN495</f>
        <v>3.5096541272384041</v>
      </c>
      <c r="BX28" s="781">
        <f>INPUT!DO495</f>
        <v>0.88487765744083402</v>
      </c>
      <c r="BY28" s="783">
        <f>INPUT!DP495</f>
        <v>3.1224346380438694</v>
      </c>
      <c r="BZ28" s="781">
        <f>INPUT!DQ495</f>
        <v>0.8976857490864808</v>
      </c>
      <c r="CA28" s="783">
        <f>INPUT!DR495</f>
        <v>4.3954034081402416</v>
      </c>
      <c r="CB28" s="781">
        <f>INPUT!DS495</f>
        <v>0.93765381460213248</v>
      </c>
      <c r="CC28" s="783" t="str">
        <f>INPUT!DT495</f>
        <v>NM</v>
      </c>
      <c r="CD28" s="781">
        <f>INPUT!DU495</f>
        <v>0.93533583646224372</v>
      </c>
      <c r="CE28" s="783">
        <f>INPUT!DV495</f>
        <v>5.8284871941578276</v>
      </c>
      <c r="CF28" s="781">
        <f>INPUT!DW495</f>
        <v>0.98187947745469828</v>
      </c>
      <c r="CG28" s="783">
        <f>INPUT!DX495</f>
        <v>10.962173041458012</v>
      </c>
      <c r="CH28" s="781">
        <f>INPUT!DY495</f>
        <v>0.97651579846285308</v>
      </c>
      <c r="CI28" s="783">
        <f>INPUT!DZ495</f>
        <v>8.7814749712349602</v>
      </c>
      <c r="CJ28" s="781">
        <f>INPUT!EA495</f>
        <v>0.98838209982788272</v>
      </c>
      <c r="CK28" s="783">
        <f>INPUT!EB495</f>
        <v>5.4101294567094893</v>
      </c>
      <c r="CL28" s="781">
        <f>INPUT!EC495</f>
        <v>1.0247395833333321</v>
      </c>
      <c r="CM28" s="783">
        <f>INPUT!ED495</f>
        <v>9.5584648193576705</v>
      </c>
      <c r="CN28" s="781">
        <f>INPUT!EE495</f>
        <v>1.0534618755477656</v>
      </c>
      <c r="CO28" s="783">
        <f>INPUT!EF495</f>
        <v>7.2903446641566116</v>
      </c>
      <c r="CP28" s="781">
        <f>INPUT!EG495</f>
        <v>1.0862831858407076</v>
      </c>
      <c r="CQ28" s="783">
        <f>INPUT!EH495</f>
        <v>11.240718025314166</v>
      </c>
      <c r="CR28" s="781">
        <f>INPUT!EI495</f>
        <v>1.1281138790035579</v>
      </c>
      <c r="CS28" s="783">
        <f>INPUT!EJ495</f>
        <v>14.137425111200219</v>
      </c>
      <c r="CT28" s="781">
        <f>INPUT!EK495</f>
        <v>1.2720273653832308</v>
      </c>
      <c r="CU28" s="783">
        <f>INPUT!EL495</f>
        <v>24.131768311857993</v>
      </c>
      <c r="CV28" s="781">
        <f>INPUT!EM495</f>
        <v>1.2914948247809064</v>
      </c>
      <c r="CW28" s="783">
        <f>INPUT!EN495</f>
        <v>22.595307410566857</v>
      </c>
      <c r="CX28" s="781">
        <f>INPUT!EO495</f>
        <v>1.3077515554781463</v>
      </c>
      <c r="CY28" s="783">
        <f>INPUT!EP495</f>
        <v>20.387719567438346</v>
      </c>
      <c r="CZ28" s="781">
        <f>INPUT!EQ495</f>
        <v>1.327471892073594</v>
      </c>
      <c r="DA28" s="783">
        <f>INPUT!ER495</f>
        <v>17.671798634914882</v>
      </c>
      <c r="DB28" s="784"/>
      <c r="DC28" s="785"/>
      <c r="DD28" s="782"/>
      <c r="DE28" s="785"/>
      <c r="DF28" s="782"/>
      <c r="DG28" s="785"/>
      <c r="DH28" s="782"/>
      <c r="DI28" s="785"/>
      <c r="DJ28" s="782"/>
      <c r="DK28" s="785"/>
      <c r="DL28" s="783"/>
      <c r="DM28" s="785"/>
      <c r="DN28" s="783"/>
      <c r="DO28" s="785"/>
      <c r="DP28" s="783"/>
      <c r="DQ28" s="781">
        <f>INPUT!FP495</f>
        <v>0</v>
      </c>
      <c r="DR28" s="783">
        <f>INPUT!FQ495</f>
        <v>0</v>
      </c>
      <c r="DS28" s="781">
        <f>INPUT!FR495</f>
        <v>0</v>
      </c>
      <c r="DT28" s="783">
        <f>INPUT!FS495</f>
        <v>0</v>
      </c>
      <c r="DU28" s="781">
        <f>INPUT!FT495</f>
        <v>2.732884478973888</v>
      </c>
      <c r="DV28" s="783" t="str">
        <f>INPUT!FU495</f>
        <v>NA</v>
      </c>
      <c r="DW28" s="781">
        <f>INPUT!FV495</f>
        <v>1.0077687916143476</v>
      </c>
      <c r="DX28" s="783" t="str">
        <f>INPUT!FW495</f>
        <v>NM</v>
      </c>
      <c r="DY28" s="781">
        <f>INPUT!FX495</f>
        <v>3.1495763801580989</v>
      </c>
      <c r="DZ28" s="783" t="str">
        <f>INPUT!FY495</f>
        <v>NM</v>
      </c>
      <c r="EA28" s="781">
        <f>INPUT!FZ495</f>
        <v>3.2501504660823857</v>
      </c>
      <c r="EB28" s="783">
        <f>INPUT!GA495</f>
        <v>3.1932575618070391</v>
      </c>
      <c r="EC28" s="781">
        <f>INPUT!GB495</f>
        <v>1.6919477480990437</v>
      </c>
      <c r="ED28" s="783">
        <f>INPUT!GC495</f>
        <v>-47.942479409623871</v>
      </c>
      <c r="EE28" s="781">
        <f>INPUT!GD495</f>
        <v>3.6030657523194844</v>
      </c>
      <c r="EF28" s="783" t="str">
        <f>INPUT!GE495</f>
        <v>NM</v>
      </c>
      <c r="EG28" s="781">
        <f>INPUT!GF495</f>
        <v>3.8813056379821944</v>
      </c>
      <c r="EH28" s="783">
        <f>INPUT!GG495</f>
        <v>7.7223094106343204</v>
      </c>
      <c r="EI28" s="781">
        <f>INPUT!GH495</f>
        <v>4.291180998460522</v>
      </c>
      <c r="EJ28" s="783">
        <f>INPUT!GI495</f>
        <v>10.560244379296368</v>
      </c>
      <c r="EK28" s="781">
        <f>INPUT!GJ495</f>
        <v>5.1979661887095743</v>
      </c>
      <c r="EL28" s="783">
        <f>INPUT!GK495</f>
        <v>21.13136664648647</v>
      </c>
      <c r="EM28" s="781">
        <f>INPUT!GL495</f>
        <v>5.5047351554945934</v>
      </c>
      <c r="EN28" s="783">
        <f>INPUT!GM495</f>
        <v>5.9017114703698415</v>
      </c>
      <c r="EO28" s="781">
        <f>INPUT!GN495</f>
        <v>5.8546964937249504</v>
      </c>
      <c r="EP28" s="783">
        <f>INPUT!GO495</f>
        <v>6.3574600474836762</v>
      </c>
      <c r="EQ28" s="781">
        <f>INPUT!GP495</f>
        <v>6.2452514056605244</v>
      </c>
      <c r="ER28" s="783">
        <f>INPUT!GQ495</f>
        <v>6.670796895350084</v>
      </c>
      <c r="ES28" s="781">
        <f>INPUT!GR495</f>
        <v>6.6510372047902013</v>
      </c>
      <c r="ET28" s="783">
        <f>INPUT!GS495</f>
        <v>6.4975094319162929</v>
      </c>
      <c r="EU28" s="782">
        <f>INPUT!GT495</f>
        <v>9.1597440816612696</v>
      </c>
      <c r="EV28" s="717"/>
    </row>
    <row r="29" spans="1:152" ht="12.75" customHeight="1" x14ac:dyDescent="0.2">
      <c r="A29" s="775"/>
      <c r="B29" s="776"/>
      <c r="C29" s="777"/>
      <c r="D29" s="776"/>
      <c r="E29" s="777"/>
      <c r="F29" s="776"/>
      <c r="G29" s="777"/>
      <c r="H29" s="776"/>
      <c r="I29" s="778"/>
      <c r="J29" s="776"/>
      <c r="K29" s="778"/>
      <c r="L29" s="776"/>
      <c r="M29" s="778"/>
      <c r="N29" s="776"/>
      <c r="O29" s="778"/>
      <c r="P29" s="776"/>
      <c r="Q29" s="778"/>
      <c r="R29" s="776"/>
      <c r="S29" s="778"/>
      <c r="T29" s="776"/>
      <c r="U29" s="778"/>
      <c r="V29" s="776"/>
      <c r="W29" s="778"/>
      <c r="X29" s="776"/>
      <c r="Y29" s="778"/>
      <c r="Z29" s="776"/>
      <c r="AA29" s="778"/>
      <c r="AB29" s="776"/>
      <c r="AC29" s="778"/>
      <c r="AD29" s="776"/>
      <c r="AE29" s="778"/>
      <c r="AF29" s="776"/>
      <c r="AG29" s="778"/>
      <c r="AH29" s="776"/>
      <c r="AI29" s="778"/>
      <c r="AJ29" s="776"/>
      <c r="AK29" s="778"/>
      <c r="AL29" s="776"/>
      <c r="AM29" s="778"/>
      <c r="AN29" s="776"/>
      <c r="AO29" s="778"/>
      <c r="AP29" s="776"/>
      <c r="AQ29" s="778"/>
      <c r="AR29" s="776"/>
      <c r="AS29" s="778"/>
      <c r="AT29" s="776"/>
      <c r="AU29" s="778"/>
      <c r="AV29" s="776"/>
      <c r="AW29" s="778"/>
      <c r="AX29" s="776"/>
      <c r="AY29" s="778"/>
      <c r="AZ29" s="776"/>
      <c r="BA29" s="778"/>
      <c r="BB29" s="776"/>
      <c r="BC29" s="778"/>
      <c r="BD29" s="776"/>
      <c r="BE29" s="778"/>
      <c r="BF29" s="776"/>
      <c r="BG29" s="778"/>
      <c r="BH29" s="776"/>
      <c r="BI29" s="778"/>
      <c r="BJ29" s="776"/>
      <c r="BK29" s="778"/>
      <c r="BL29" s="776"/>
      <c r="BM29" s="778"/>
      <c r="BN29" s="776"/>
      <c r="BO29" s="778"/>
      <c r="BP29" s="776"/>
      <c r="BQ29" s="778"/>
      <c r="BR29" s="776"/>
      <c r="BS29" s="778"/>
      <c r="BT29" s="776"/>
      <c r="BU29" s="778"/>
      <c r="BV29" s="776"/>
      <c r="BW29" s="778"/>
      <c r="BX29" s="776"/>
      <c r="BY29" s="778"/>
      <c r="BZ29" s="776"/>
      <c r="CA29" s="778"/>
      <c r="CB29" s="776"/>
      <c r="CC29" s="778"/>
      <c r="CD29" s="776"/>
      <c r="CE29" s="778"/>
      <c r="CF29" s="776"/>
      <c r="CG29" s="778"/>
      <c r="CH29" s="776"/>
      <c r="CI29" s="778"/>
      <c r="CJ29" s="776"/>
      <c r="CK29" s="778"/>
      <c r="CL29" s="776"/>
      <c r="CM29" s="778"/>
      <c r="CN29" s="776"/>
      <c r="CO29" s="778"/>
      <c r="CP29" s="776"/>
      <c r="CQ29" s="778"/>
      <c r="CR29" s="776"/>
      <c r="CS29" s="778"/>
      <c r="CT29" s="776"/>
      <c r="CU29" s="778"/>
      <c r="CV29" s="776"/>
      <c r="CW29" s="778"/>
      <c r="CX29" s="776"/>
      <c r="CY29" s="778"/>
      <c r="CZ29" s="776"/>
      <c r="DA29" s="778"/>
      <c r="DB29" s="779"/>
      <c r="DC29" s="776"/>
      <c r="DD29" s="777"/>
      <c r="DE29" s="776"/>
      <c r="DF29" s="777"/>
      <c r="DG29" s="776"/>
      <c r="DH29" s="777"/>
      <c r="DI29" s="776"/>
      <c r="DJ29" s="777"/>
      <c r="DK29" s="776"/>
      <c r="DL29" s="778"/>
      <c r="DM29" s="776"/>
      <c r="DN29" s="778"/>
      <c r="DO29" s="776"/>
      <c r="DP29" s="778"/>
      <c r="DQ29" s="776"/>
      <c r="DR29" s="778"/>
      <c r="DS29" s="776"/>
      <c r="DT29" s="778"/>
      <c r="DU29" s="776"/>
      <c r="DV29" s="778"/>
      <c r="DW29" s="776"/>
      <c r="DX29" s="778"/>
      <c r="DY29" s="776"/>
      <c r="DZ29" s="778"/>
      <c r="EA29" s="776"/>
      <c r="EB29" s="778"/>
      <c r="EC29" s="776"/>
      <c r="ED29" s="778"/>
      <c r="EE29" s="776"/>
      <c r="EF29" s="778"/>
      <c r="EG29" s="776"/>
      <c r="EH29" s="778"/>
      <c r="EI29" s="776"/>
      <c r="EJ29" s="778"/>
      <c r="EK29" s="776"/>
      <c r="EL29" s="778"/>
      <c r="EM29" s="776"/>
      <c r="EN29" s="778"/>
      <c r="EO29" s="776"/>
      <c r="EP29" s="778"/>
      <c r="EQ29" s="776"/>
      <c r="ER29" s="778"/>
      <c r="ES29" s="776"/>
      <c r="ET29" s="778"/>
      <c r="EU29" s="777"/>
      <c r="EV29" s="710"/>
    </row>
    <row r="30" spans="1:152" ht="12.75" customHeight="1" x14ac:dyDescent="0.2">
      <c r="A30" s="754" t="str">
        <f>INPUT!B433</f>
        <v>Special Items</v>
      </c>
      <c r="B30" s="750">
        <f>INPUT!AS433</f>
        <v>-59.3</v>
      </c>
      <c r="C30" s="756" t="str">
        <f>INPUT!AT433</f>
        <v>NA</v>
      </c>
      <c r="D30" s="750">
        <f>INPUT!AU433</f>
        <v>-11.57</v>
      </c>
      <c r="E30" s="756" t="str">
        <f>INPUT!AV433</f>
        <v>NA</v>
      </c>
      <c r="F30" s="750">
        <f>INPUT!AW433</f>
        <v>-224.22280000000001</v>
      </c>
      <c r="G30" s="756" t="str">
        <f>INPUT!AX433</f>
        <v>NA</v>
      </c>
      <c r="H30" s="750">
        <f>INPUT!AY433</f>
        <v>93.9</v>
      </c>
      <c r="I30" s="752" t="str">
        <f>INPUT!AZ433</f>
        <v>NA</v>
      </c>
      <c r="J30" s="750">
        <f>INPUT!BA433</f>
        <v>0</v>
      </c>
      <c r="K30" s="752" t="str">
        <f>INPUT!BB433</f>
        <v>NM</v>
      </c>
      <c r="L30" s="750">
        <f>INPUT!BC433</f>
        <v>0</v>
      </c>
      <c r="M30" s="752" t="str">
        <f>INPUT!BD433</f>
        <v>NM</v>
      </c>
      <c r="N30" s="750">
        <f>INPUT!BE433</f>
        <v>0</v>
      </c>
      <c r="O30" s="752" t="str">
        <f>INPUT!BF433</f>
        <v>NM</v>
      </c>
      <c r="P30" s="750">
        <f>INPUT!BG433</f>
        <v>-36.1</v>
      </c>
      <c r="Q30" s="752" t="str">
        <f>INPUT!BH433</f>
        <v>NM</v>
      </c>
      <c r="R30" s="750">
        <f>INPUT!BI433</f>
        <v>0</v>
      </c>
      <c r="S30" s="752" t="str">
        <f>INPUT!BJ433</f>
        <v>NA</v>
      </c>
      <c r="T30" s="750">
        <f>INPUT!BK433</f>
        <v>0</v>
      </c>
      <c r="U30" s="752" t="str">
        <f>INPUT!BL433</f>
        <v>NA</v>
      </c>
      <c r="V30" s="750">
        <f>INPUT!BM433</f>
        <v>0</v>
      </c>
      <c r="W30" s="752" t="str">
        <f>INPUT!BN433</f>
        <v>NA</v>
      </c>
      <c r="X30" s="750">
        <f>INPUT!BO433</f>
        <v>0</v>
      </c>
      <c r="Y30" s="752" t="str">
        <f>INPUT!BP433</f>
        <v>NM</v>
      </c>
      <c r="Z30" s="750">
        <f>INPUT!BQ433</f>
        <v>0</v>
      </c>
      <c r="AA30" s="752" t="str">
        <f>INPUT!BR433</f>
        <v>NA</v>
      </c>
      <c r="AB30" s="750">
        <f>INPUT!BS433</f>
        <v>0</v>
      </c>
      <c r="AC30" s="752" t="str">
        <f>INPUT!BT433</f>
        <v>NA</v>
      </c>
      <c r="AD30" s="750">
        <f>INPUT!BU433</f>
        <v>0</v>
      </c>
      <c r="AE30" s="752" t="str">
        <f>INPUT!BV433</f>
        <v>NA</v>
      </c>
      <c r="AF30" s="750">
        <f>INPUT!BW433</f>
        <v>0</v>
      </c>
      <c r="AG30" s="752" t="str">
        <f>INPUT!BX433</f>
        <v>NA</v>
      </c>
      <c r="AH30" s="750">
        <f>INPUT!BY433</f>
        <v>10</v>
      </c>
      <c r="AI30" s="752" t="str">
        <f>INPUT!BZ433</f>
        <v>NA</v>
      </c>
      <c r="AJ30" s="750">
        <f>INPUT!CA433</f>
        <v>13.399999999999999</v>
      </c>
      <c r="AK30" s="752" t="str">
        <f>INPUT!CB433</f>
        <v>NA</v>
      </c>
      <c r="AL30" s="750">
        <f>INPUT!CC433</f>
        <v>2.5</v>
      </c>
      <c r="AM30" s="752" t="str">
        <f>INPUT!CD433</f>
        <v>NA</v>
      </c>
      <c r="AN30" s="750">
        <f>INPUT!CE433</f>
        <v>-7.5000000000000009</v>
      </c>
      <c r="AO30" s="752" t="str">
        <f>INPUT!CF433</f>
        <v>NA</v>
      </c>
      <c r="AP30" s="750">
        <f>INPUT!CG433</f>
        <v>-2.7</v>
      </c>
      <c r="AQ30" s="752" t="str">
        <f>INPUT!CH433</f>
        <v>NM</v>
      </c>
      <c r="AR30" s="750">
        <f>INPUT!CI433</f>
        <v>4.1999999999999993</v>
      </c>
      <c r="AS30" s="752" t="str">
        <f>INPUT!CJ433</f>
        <v>NM</v>
      </c>
      <c r="AT30" s="750">
        <f>INPUT!CK433</f>
        <v>10.8</v>
      </c>
      <c r="AU30" s="752" t="str">
        <f>INPUT!CL433</f>
        <v>NM</v>
      </c>
      <c r="AV30" s="750">
        <f>INPUT!CM433</f>
        <v>0.19999999999999973</v>
      </c>
      <c r="AW30" s="752" t="str">
        <f>INPUT!CN433</f>
        <v>NM</v>
      </c>
      <c r="AX30" s="750">
        <f>INPUT!CO433</f>
        <v>-9.9999999999999645E-2</v>
      </c>
      <c r="AY30" s="752" t="str">
        <f>INPUT!CP433</f>
        <v>NM</v>
      </c>
      <c r="AZ30" s="750">
        <f>INPUT!CQ433</f>
        <v>4.8</v>
      </c>
      <c r="BA30" s="752">
        <f>INPUT!CR433</f>
        <v>14.285714285714302</v>
      </c>
      <c r="BB30" s="750">
        <f>INPUT!CS433</f>
        <v>-3.5</v>
      </c>
      <c r="BC30" s="752" t="str">
        <f>INPUT!CT433</f>
        <v>NM</v>
      </c>
      <c r="BD30" s="750">
        <f>INPUT!CU433</f>
        <v>0</v>
      </c>
      <c r="BE30" s="752" t="str">
        <f>INPUT!CV433</f>
        <v>NM</v>
      </c>
      <c r="BF30" s="750">
        <f>INPUT!CW433</f>
        <v>0</v>
      </c>
      <c r="BG30" s="752">
        <f>INPUT!CX433</f>
        <v>0</v>
      </c>
      <c r="BH30" s="750">
        <f>INPUT!CY433</f>
        <v>0</v>
      </c>
      <c r="BI30" s="752">
        <f>INPUT!CZ433</f>
        <v>0</v>
      </c>
      <c r="BJ30" s="750">
        <f>INPUT!DA433</f>
        <v>0</v>
      </c>
      <c r="BK30" s="752">
        <f>INPUT!DB433</f>
        <v>0</v>
      </c>
      <c r="BL30" s="750">
        <f>INPUT!DC433</f>
        <v>0</v>
      </c>
      <c r="BM30" s="752">
        <f>INPUT!DD433</f>
        <v>0</v>
      </c>
      <c r="BN30" s="750">
        <f>INPUT!DE433</f>
        <v>0</v>
      </c>
      <c r="BO30" s="752">
        <f>INPUT!DF433</f>
        <v>0</v>
      </c>
      <c r="BP30" s="750">
        <f>INPUT!DG433</f>
        <v>0</v>
      </c>
      <c r="BQ30" s="752">
        <f>INPUT!DH433</f>
        <v>0</v>
      </c>
      <c r="BR30" s="750">
        <f>INPUT!DI433</f>
        <v>0</v>
      </c>
      <c r="BS30" s="752">
        <f>INPUT!DJ433</f>
        <v>0</v>
      </c>
      <c r="BT30" s="750">
        <f>INPUT!DK433</f>
        <v>0</v>
      </c>
      <c r="BU30" s="752" t="str">
        <f>INPUT!DL433</f>
        <v>NA</v>
      </c>
      <c r="BV30" s="750">
        <f>INPUT!DM433</f>
        <v>0</v>
      </c>
      <c r="BW30" s="752" t="str">
        <f>INPUT!DN433</f>
        <v>NA</v>
      </c>
      <c r="BX30" s="750">
        <f>INPUT!DO433</f>
        <v>0</v>
      </c>
      <c r="BY30" s="752" t="str">
        <f>INPUT!DP433</f>
        <v>NA</v>
      </c>
      <c r="BZ30" s="750">
        <f>INPUT!DQ433</f>
        <v>0</v>
      </c>
      <c r="CA30" s="752" t="str">
        <f>INPUT!DR433</f>
        <v>NA</v>
      </c>
      <c r="CB30" s="750">
        <f>INPUT!DS433</f>
        <v>0</v>
      </c>
      <c r="CC30" s="752" t="str">
        <f>INPUT!DT433</f>
        <v>NA</v>
      </c>
      <c r="CD30" s="750">
        <f>INPUT!DU433</f>
        <v>0</v>
      </c>
      <c r="CE30" s="752" t="str">
        <f>INPUT!DV433</f>
        <v>NA</v>
      </c>
      <c r="CF30" s="750">
        <f>INPUT!DW433</f>
        <v>0</v>
      </c>
      <c r="CG30" s="752" t="str">
        <f>INPUT!DX433</f>
        <v>NA</v>
      </c>
      <c r="CH30" s="750">
        <f>INPUT!DY433</f>
        <v>0</v>
      </c>
      <c r="CI30" s="752" t="str">
        <f>INPUT!DZ433</f>
        <v>NA</v>
      </c>
      <c r="CJ30" s="750">
        <f>INPUT!EA433</f>
        <v>0</v>
      </c>
      <c r="CK30" s="752" t="str">
        <f>INPUT!EB433</f>
        <v>NA</v>
      </c>
      <c r="CL30" s="750">
        <f>INPUT!EC433</f>
        <v>-13.4</v>
      </c>
      <c r="CM30" s="752" t="str">
        <f>INPUT!ED433</f>
        <v>NA</v>
      </c>
      <c r="CN30" s="750">
        <f>INPUT!EE433</f>
        <v>0</v>
      </c>
      <c r="CO30" s="752" t="str">
        <f>INPUT!EF433</f>
        <v>NA</v>
      </c>
      <c r="CP30" s="750">
        <f>INPUT!EG433</f>
        <v>0</v>
      </c>
      <c r="CQ30" s="752" t="str">
        <f>INPUT!EH433</f>
        <v>NA</v>
      </c>
      <c r="CR30" s="750">
        <f>INPUT!EI433</f>
        <v>6.1000000000000014</v>
      </c>
      <c r="CS30" s="752" t="str">
        <f>INPUT!EJ433</f>
        <v>NA</v>
      </c>
      <c r="CT30" s="750">
        <f>INPUT!EK433</f>
        <v>-13.4</v>
      </c>
      <c r="CU30" s="752">
        <f>INPUT!EL433</f>
        <v>0</v>
      </c>
      <c r="CV30" s="750">
        <f>INPUT!EM433</f>
        <v>0</v>
      </c>
      <c r="CW30" s="752" t="str">
        <f>INPUT!EN433</f>
        <v>NA</v>
      </c>
      <c r="CX30" s="750">
        <f>INPUT!EO433</f>
        <v>0</v>
      </c>
      <c r="CY30" s="752" t="str">
        <f>INPUT!EP433</f>
        <v>NA</v>
      </c>
      <c r="CZ30" s="750">
        <f>INPUT!EQ433</f>
        <v>0</v>
      </c>
      <c r="DA30" s="752" t="str">
        <f>INPUT!ER433</f>
        <v>NM</v>
      </c>
      <c r="DB30" s="753"/>
      <c r="DC30" s="750">
        <f>INPUT!FB433</f>
        <v>17.399999999999999</v>
      </c>
      <c r="DD30" s="756" t="str">
        <f>INPUT!FC433</f>
        <v>NA</v>
      </c>
      <c r="DE30" s="750">
        <f>INPUT!FD433</f>
        <v>-7.1</v>
      </c>
      <c r="DF30" s="756" t="str">
        <f>INPUT!FE433</f>
        <v>NM</v>
      </c>
      <c r="DG30" s="750">
        <f>INPUT!FF433</f>
        <v>39.9</v>
      </c>
      <c r="DH30" s="756" t="str">
        <f>INPUT!FG433</f>
        <v>NM</v>
      </c>
      <c r="DI30" s="750">
        <f>INPUT!FH433</f>
        <v>0</v>
      </c>
      <c r="DJ30" s="756" t="str">
        <f>INPUT!FI433</f>
        <v>NM</v>
      </c>
      <c r="DK30" s="750">
        <f>INPUT!FJ433</f>
        <v>0</v>
      </c>
      <c r="DL30" s="752" t="str">
        <f>INPUT!FK433</f>
        <v>NA</v>
      </c>
      <c r="DM30" s="750">
        <f>INPUT!FL433</f>
        <v>-201.19280000000001</v>
      </c>
      <c r="DN30" s="752" t="str">
        <f>INPUT!FM433</f>
        <v>NA</v>
      </c>
      <c r="DO30" s="750">
        <f>INPUT!FN433</f>
        <v>-36.1</v>
      </c>
      <c r="DP30" s="752" t="str">
        <f>INPUT!FO433</f>
        <v>NM</v>
      </c>
      <c r="DQ30" s="750">
        <f>INPUT!FP433</f>
        <v>0</v>
      </c>
      <c r="DR30" s="752" t="str">
        <f>INPUT!FQ433</f>
        <v>NM</v>
      </c>
      <c r="DS30" s="750">
        <f>INPUT!FR433</f>
        <v>18.552979214780599</v>
      </c>
      <c r="DT30" s="752" t="str">
        <f>INPUT!FS433</f>
        <v>NA</v>
      </c>
      <c r="DU30" s="750">
        <f>INPUT!FT433</f>
        <v>18.399999999999999</v>
      </c>
      <c r="DV30" s="752">
        <f>INPUT!FU433</f>
        <v>-0.82455336692625059</v>
      </c>
      <c r="DW30" s="750">
        <f>INPUT!FV433</f>
        <v>12.5</v>
      </c>
      <c r="DX30" s="752">
        <f>INPUT!FW433</f>
        <v>-32.065217391304344</v>
      </c>
      <c r="DY30" s="750">
        <f>INPUT!FX433</f>
        <v>-30.2</v>
      </c>
      <c r="DZ30" s="752" t="str">
        <f>INPUT!FY433</f>
        <v>NM</v>
      </c>
      <c r="EA30" s="750">
        <f>INPUT!FZ433</f>
        <v>0</v>
      </c>
      <c r="EB30" s="752" t="str">
        <f>INPUT!GA433</f>
        <v>NM</v>
      </c>
      <c r="EC30" s="750">
        <f>INPUT!GB433</f>
        <v>0</v>
      </c>
      <c r="ED30" s="752" t="str">
        <f>INPUT!GC433</f>
        <v>NA</v>
      </c>
      <c r="EE30" s="750">
        <f>INPUT!GD433</f>
        <v>0</v>
      </c>
      <c r="EF30" s="752" t="str">
        <f>INPUT!GE433</f>
        <v>NA</v>
      </c>
      <c r="EG30" s="750">
        <f>INPUT!GF433</f>
        <v>0</v>
      </c>
      <c r="EH30" s="752" t="str">
        <f>INPUT!GG433</f>
        <v>NA</v>
      </c>
      <c r="EI30" s="750">
        <f>INPUT!GH433</f>
        <v>-7.2999999999999989</v>
      </c>
      <c r="EJ30" s="752" t="str">
        <f>INPUT!GI433</f>
        <v>NA</v>
      </c>
      <c r="EK30" s="750">
        <f>INPUT!GJ433</f>
        <v>-13.4</v>
      </c>
      <c r="EL30" s="752">
        <f>INPUT!GK433</f>
        <v>83.561643835616465</v>
      </c>
      <c r="EM30" s="750">
        <f>INPUT!GL433</f>
        <v>-13.4</v>
      </c>
      <c r="EN30" s="752">
        <f>INPUT!GM433</f>
        <v>0</v>
      </c>
      <c r="EO30" s="750">
        <f>INPUT!GN433</f>
        <v>-13.4</v>
      </c>
      <c r="EP30" s="752">
        <f>INPUT!GO433</f>
        <v>0</v>
      </c>
      <c r="EQ30" s="750">
        <f>INPUT!GP433</f>
        <v>-13.4</v>
      </c>
      <c r="ER30" s="752">
        <f>INPUT!GQ433</f>
        <v>0</v>
      </c>
      <c r="ES30" s="750">
        <f>INPUT!GR433</f>
        <v>-13.4</v>
      </c>
      <c r="ET30" s="752">
        <f>INPUT!GS433</f>
        <v>0</v>
      </c>
      <c r="EU30" s="756">
        <f>INPUT!GT433</f>
        <v>12.916234673483572</v>
      </c>
      <c r="EV30" s="710"/>
    </row>
    <row r="31" spans="1:152" ht="12.75" customHeight="1" x14ac:dyDescent="0.2">
      <c r="A31" s="754" t="str">
        <f>INPUT!B434</f>
        <v>Realized Gains and Other</v>
      </c>
      <c r="B31" s="750">
        <f>INPUT!AS434</f>
        <v>1.5</v>
      </c>
      <c r="C31" s="756" t="str">
        <f>INPUT!AT434</f>
        <v>NM</v>
      </c>
      <c r="D31" s="750">
        <f>INPUT!AU434</f>
        <v>-3.5999999999999996</v>
      </c>
      <c r="E31" s="756" t="str">
        <f>INPUT!AV434</f>
        <v>NM</v>
      </c>
      <c r="F31" s="750">
        <f>INPUT!AW434</f>
        <v>3.0999999999999996</v>
      </c>
      <c r="G31" s="756" t="str">
        <f>INPUT!AX434</f>
        <v>NM</v>
      </c>
      <c r="H31" s="750">
        <f>INPUT!AY434</f>
        <v>0.49999999999999994</v>
      </c>
      <c r="I31" s="752" t="str">
        <f>INPUT!AZ434</f>
        <v>NM</v>
      </c>
      <c r="J31" s="750">
        <f>INPUT!BA434</f>
        <v>-3.2</v>
      </c>
      <c r="K31" s="752" t="str">
        <f>INPUT!BB434</f>
        <v>NM</v>
      </c>
      <c r="L31" s="750">
        <f>INPUT!BC434</f>
        <v>6.5</v>
      </c>
      <c r="M31" s="752" t="str">
        <f>INPUT!BD434</f>
        <v>NM</v>
      </c>
      <c r="N31" s="750">
        <f>INPUT!BE434</f>
        <v>-30</v>
      </c>
      <c r="O31" s="752" t="str">
        <f>INPUT!BF434</f>
        <v>NM</v>
      </c>
      <c r="P31" s="750">
        <f>INPUT!BG434</f>
        <v>-16.5</v>
      </c>
      <c r="Q31" s="752" t="str">
        <f>INPUT!BH434</f>
        <v>NM</v>
      </c>
      <c r="R31" s="750">
        <f>INPUT!BI434</f>
        <v>-44.7</v>
      </c>
      <c r="S31" s="752" t="str">
        <f>INPUT!BJ434</f>
        <v>NM</v>
      </c>
      <c r="T31" s="750">
        <f>INPUT!BK434</f>
        <v>17.100000000000001</v>
      </c>
      <c r="U31" s="752" t="str">
        <f>INPUT!BL434</f>
        <v>NM</v>
      </c>
      <c r="V31" s="750">
        <f>INPUT!BM434</f>
        <v>-108.9</v>
      </c>
      <c r="W31" s="752" t="str">
        <f>INPUT!BN434</f>
        <v>NM</v>
      </c>
      <c r="X31" s="750">
        <f>INPUT!BO434</f>
        <v>-167.6</v>
      </c>
      <c r="Y31" s="752" t="str">
        <f>INPUT!BP434</f>
        <v>NM</v>
      </c>
      <c r="Z31" s="750">
        <f>INPUT!BQ434</f>
        <v>-41.8</v>
      </c>
      <c r="AA31" s="752">
        <f>INPUT!BR434</f>
        <v>-6.487695749440725</v>
      </c>
      <c r="AB31" s="750">
        <f>INPUT!BS434</f>
        <v>51.4</v>
      </c>
      <c r="AC31" s="752" t="str">
        <f>INPUT!BT434</f>
        <v>NM</v>
      </c>
      <c r="AD31" s="750">
        <f>INPUT!BU434</f>
        <v>9.5</v>
      </c>
      <c r="AE31" s="752" t="str">
        <f>INPUT!BV434</f>
        <v>NM</v>
      </c>
      <c r="AF31" s="750">
        <f>INPUT!BW434</f>
        <v>-18.899999999999999</v>
      </c>
      <c r="AG31" s="752" t="str">
        <f>INPUT!BX434</f>
        <v>NM</v>
      </c>
      <c r="AH31" s="750">
        <f>INPUT!BY434</f>
        <v>-10</v>
      </c>
      <c r="AI31" s="752" t="str">
        <f>INPUT!BZ434</f>
        <v>NM</v>
      </c>
      <c r="AJ31" s="750">
        <f>INPUT!CA434</f>
        <v>-37.6</v>
      </c>
      <c r="AK31" s="752" t="str">
        <f>INPUT!CB434</f>
        <v>NM</v>
      </c>
      <c r="AL31" s="750">
        <f>INPUT!CC434</f>
        <v>-6.9</v>
      </c>
      <c r="AM31" s="752" t="str">
        <f>INPUT!CD434</f>
        <v>NM</v>
      </c>
      <c r="AN31" s="750">
        <f>INPUT!CE434</f>
        <v>19.399999999999999</v>
      </c>
      <c r="AO31" s="752" t="str">
        <f>INPUT!CF434</f>
        <v>NM</v>
      </c>
      <c r="AP31" s="750">
        <f>INPUT!CG434</f>
        <v>7.1999999999999993</v>
      </c>
      <c r="AQ31" s="752" t="str">
        <f>INPUT!CH434</f>
        <v>NM</v>
      </c>
      <c r="AR31" s="750">
        <f>INPUT!CI434</f>
        <v>-11.6</v>
      </c>
      <c r="AS31" s="752" t="str">
        <f>INPUT!CJ434</f>
        <v>NM</v>
      </c>
      <c r="AT31" s="750">
        <f>INPUT!CK434</f>
        <v>-31.9</v>
      </c>
      <c r="AU31" s="752" t="str">
        <f>INPUT!CL434</f>
        <v>NM</v>
      </c>
      <c r="AV31" s="750">
        <f>INPUT!CM434</f>
        <v>-0.5</v>
      </c>
      <c r="AW31" s="752" t="str">
        <f>INPUT!CN434</f>
        <v>NM</v>
      </c>
      <c r="AX31" s="750">
        <f>INPUT!CO434</f>
        <v>0.80000000000000071</v>
      </c>
      <c r="AY31" s="752" t="str">
        <f>INPUT!CP434</f>
        <v>NM</v>
      </c>
      <c r="AZ31" s="750">
        <f>INPUT!CQ434</f>
        <v>-13.7</v>
      </c>
      <c r="BA31" s="752">
        <f>INPUT!CR434</f>
        <v>18.103448275862078</v>
      </c>
      <c r="BB31" s="750">
        <f>INPUT!CS434</f>
        <v>9.7000000000000011</v>
      </c>
      <c r="BC31" s="752" t="str">
        <f>INPUT!CT434</f>
        <v>NM</v>
      </c>
      <c r="BD31" s="750">
        <f>INPUT!CU434</f>
        <v>8.8999999999999986</v>
      </c>
      <c r="BE31" s="752" t="str">
        <f>INPUT!CV434</f>
        <v>NM</v>
      </c>
      <c r="BF31" s="750">
        <f>INPUT!CW434</f>
        <v>-2.9999999999999991</v>
      </c>
      <c r="BG31" s="752">
        <f>INPUT!CX434</f>
        <v>0</v>
      </c>
      <c r="BH31" s="750">
        <f>INPUT!CY434</f>
        <v>9.9999999999999645E-2</v>
      </c>
      <c r="BI31" s="752">
        <f>INPUT!CZ434</f>
        <v>0</v>
      </c>
      <c r="BJ31" s="750">
        <f>INPUT!DA434</f>
        <v>-18.899999999999999</v>
      </c>
      <c r="BK31" s="752">
        <f>INPUT!DB434</f>
        <v>0</v>
      </c>
      <c r="BL31" s="750">
        <f>INPUT!DC434</f>
        <v>4.3</v>
      </c>
      <c r="BM31" s="752">
        <f>INPUT!DD434</f>
        <v>0</v>
      </c>
      <c r="BN31" s="750">
        <f>INPUT!DE434</f>
        <v>3.1999999999999997</v>
      </c>
      <c r="BO31" s="752">
        <f>INPUT!DF434</f>
        <v>0</v>
      </c>
      <c r="BP31" s="750">
        <f>INPUT!DG434</f>
        <v>18.100000000000001</v>
      </c>
      <c r="BQ31" s="752">
        <f>INPUT!DH434</f>
        <v>0</v>
      </c>
      <c r="BR31" s="750">
        <f>INPUT!DI434</f>
        <v>0</v>
      </c>
      <c r="BS31" s="752">
        <f>INPUT!DJ434</f>
        <v>0</v>
      </c>
      <c r="BT31" s="750">
        <f>INPUT!DK434</f>
        <v>-53.099999999999994</v>
      </c>
      <c r="BU31" s="752" t="str">
        <f>INPUT!DL434</f>
        <v>NM</v>
      </c>
      <c r="BV31" s="750">
        <f>INPUT!DM434</f>
        <v>-10</v>
      </c>
      <c r="BW31" s="752" t="str">
        <f>INPUT!DN434</f>
        <v>NM</v>
      </c>
      <c r="BX31" s="750">
        <f>INPUT!DO434</f>
        <v>3.7</v>
      </c>
      <c r="BY31" s="752" t="str">
        <f>INPUT!DP434</f>
        <v>NM</v>
      </c>
      <c r="BZ31" s="750">
        <f>INPUT!DQ434</f>
        <v>-17.3</v>
      </c>
      <c r="CA31" s="752" t="str">
        <f>INPUT!DR434</f>
        <v>NA</v>
      </c>
      <c r="CB31" s="750">
        <f>INPUT!DS434</f>
        <v>-2.5</v>
      </c>
      <c r="CC31" s="752" t="str">
        <f>INPUT!DT434</f>
        <v>NM</v>
      </c>
      <c r="CD31" s="750">
        <f>INPUT!DU434</f>
        <v>-13.6</v>
      </c>
      <c r="CE31" s="752">
        <f>INPUT!DV434</f>
        <v>35.999999999999986</v>
      </c>
      <c r="CF31" s="750">
        <f>INPUT!DW434</f>
        <v>3.8</v>
      </c>
      <c r="CG31" s="752">
        <f>INPUT!DX434</f>
        <v>2.7027027027026973</v>
      </c>
      <c r="CH31" s="750">
        <f>INPUT!DY434</f>
        <v>7.3</v>
      </c>
      <c r="CI31" s="752" t="str">
        <f>INPUT!DZ434</f>
        <v>NM</v>
      </c>
      <c r="CJ31" s="750">
        <f>INPUT!EA434</f>
        <v>18.3</v>
      </c>
      <c r="CK31" s="752" t="str">
        <f>INPUT!EB434</f>
        <v>NM</v>
      </c>
      <c r="CL31" s="750">
        <f>INPUT!EC434</f>
        <v>7.2</v>
      </c>
      <c r="CM31" s="752" t="str">
        <f>INPUT!ED434</f>
        <v>NM</v>
      </c>
      <c r="CN31" s="750">
        <f>INPUT!EE434</f>
        <v>4.7</v>
      </c>
      <c r="CO31" s="752">
        <f>INPUT!EF434</f>
        <v>23.684210526315795</v>
      </c>
      <c r="CP31" s="750">
        <f>INPUT!EG434</f>
        <v>6.2</v>
      </c>
      <c r="CQ31" s="752">
        <f>INPUT!EH434</f>
        <v>-15.068493150684926</v>
      </c>
      <c r="CR31" s="750">
        <f>INPUT!EI434</f>
        <v>7.2</v>
      </c>
      <c r="CS31" s="752" t="str">
        <f>INPUT!EJ434</f>
        <v>NM</v>
      </c>
      <c r="CT31" s="750">
        <f>INPUT!EK434</f>
        <v>-7.1</v>
      </c>
      <c r="CU31" s="752" t="str">
        <f>INPUT!EL434</f>
        <v>NM</v>
      </c>
      <c r="CV31" s="750">
        <f>INPUT!EM434</f>
        <v>-7.1</v>
      </c>
      <c r="CW31" s="752" t="str">
        <f>INPUT!EN434</f>
        <v>NM</v>
      </c>
      <c r="CX31" s="750">
        <f>INPUT!EO434</f>
        <v>-7.1</v>
      </c>
      <c r="CY31" s="752" t="str">
        <f>INPUT!EP434</f>
        <v>NM</v>
      </c>
      <c r="CZ31" s="750">
        <f>INPUT!EQ434</f>
        <v>-6.1</v>
      </c>
      <c r="DA31" s="752" t="str">
        <f>INPUT!ER434</f>
        <v>NM</v>
      </c>
      <c r="DB31" s="753"/>
      <c r="DC31" s="750">
        <f>INPUT!FB434</f>
        <v>-218.6</v>
      </c>
      <c r="DD31" s="756" t="str">
        <f>INPUT!FC434</f>
        <v>NA</v>
      </c>
      <c r="DE31" s="750">
        <f>INPUT!FD434</f>
        <v>-201.7</v>
      </c>
      <c r="DF31" s="756">
        <f>INPUT!FE434</f>
        <v>-7.731015553522413</v>
      </c>
      <c r="DG31" s="750">
        <f>INPUT!FF434</f>
        <v>-113.30000000000001</v>
      </c>
      <c r="DH31" s="756">
        <f>INPUT!FG434</f>
        <v>-43.827466534457102</v>
      </c>
      <c r="DI31" s="750">
        <f>INPUT!FH434</f>
        <v>18.799999999999994</v>
      </c>
      <c r="DJ31" s="756" t="str">
        <f>INPUT!FI434</f>
        <v>NM</v>
      </c>
      <c r="DK31" s="750">
        <f>INPUT!FJ434</f>
        <v>-38.700000000000003</v>
      </c>
      <c r="DL31" s="752" t="str">
        <f>INPUT!FK434</f>
        <v>NM</v>
      </c>
      <c r="DM31" s="750">
        <f>INPUT!FL434</f>
        <v>1.5</v>
      </c>
      <c r="DN31" s="752" t="str">
        <f>INPUT!FM434</f>
        <v>NM</v>
      </c>
      <c r="DO31" s="750">
        <f>INPUT!FN434</f>
        <v>-43.2</v>
      </c>
      <c r="DP31" s="752" t="str">
        <f>INPUT!FO434</f>
        <v>NM</v>
      </c>
      <c r="DQ31" s="750">
        <f>INPUT!FP434</f>
        <v>-304.10000000000002</v>
      </c>
      <c r="DR31" s="752" t="str">
        <f>INPUT!FQ434</f>
        <v>NM</v>
      </c>
      <c r="DS31" s="750">
        <f>INPUT!FR434</f>
        <v>-31.8</v>
      </c>
      <c r="DT31" s="752" t="str">
        <f>INPUT!FS434</f>
        <v>NM</v>
      </c>
      <c r="DU31" s="750">
        <f>INPUT!FT434</f>
        <v>-35.1</v>
      </c>
      <c r="DV31" s="752">
        <f>INPUT!FU434</f>
        <v>10.377358490566046</v>
      </c>
      <c r="DW31" s="750">
        <f>INPUT!FV434</f>
        <v>-36.799999999999997</v>
      </c>
      <c r="DX31" s="752">
        <f>INPUT!FW434</f>
        <v>4.8433048433048409</v>
      </c>
      <c r="DY31" s="750">
        <f>INPUT!FX434</f>
        <v>37.1</v>
      </c>
      <c r="DZ31" s="752" t="str">
        <f>INPUT!FY434</f>
        <v>NM</v>
      </c>
      <c r="EA31" s="750">
        <f>INPUT!FZ434</f>
        <v>-17.499999999999996</v>
      </c>
      <c r="EB31" s="752" t="str">
        <f>INPUT!GA434</f>
        <v>NM</v>
      </c>
      <c r="EC31" s="750">
        <f>INPUT!GB434</f>
        <v>-31.799999999999994</v>
      </c>
      <c r="ED31" s="752">
        <f>INPUT!GC434</f>
        <v>81.714285714285722</v>
      </c>
      <c r="EE31" s="750">
        <f>INPUT!GD434</f>
        <v>-26.1</v>
      </c>
      <c r="EF31" s="752">
        <f>INPUT!GE434</f>
        <v>-17.924528301886767</v>
      </c>
      <c r="EG31" s="750">
        <f>INPUT!GF434</f>
        <v>15.8</v>
      </c>
      <c r="EH31" s="752" t="str">
        <f>INPUT!GG434</f>
        <v>NM</v>
      </c>
      <c r="EI31" s="750">
        <f>INPUT!GH434</f>
        <v>25.3</v>
      </c>
      <c r="EJ31" s="752">
        <f>INPUT!GI434</f>
        <v>60.126582278481003</v>
      </c>
      <c r="EK31" s="750">
        <f>INPUT!GJ434</f>
        <v>-27.4</v>
      </c>
      <c r="EL31" s="752" t="str">
        <f>INPUT!GK434</f>
        <v>NM</v>
      </c>
      <c r="EM31" s="750">
        <f>INPUT!GL434</f>
        <v>-27.865535155935923</v>
      </c>
      <c r="EN31" s="752">
        <f>INPUT!GM434</f>
        <v>1.6990334158245357</v>
      </c>
      <c r="EO31" s="750">
        <f>INPUT!GN434</f>
        <v>-28.562173534834319</v>
      </c>
      <c r="EP31" s="752">
        <f>INPUT!GO434</f>
        <v>2.4999999999999911</v>
      </c>
      <c r="EQ31" s="750">
        <f>INPUT!GP434</f>
        <v>-29.276227873205173</v>
      </c>
      <c r="ER31" s="752">
        <f>INPUT!GQ434</f>
        <v>2.4999999999999911</v>
      </c>
      <c r="ES31" s="750">
        <f>INPUT!GR434</f>
        <v>-30.008133570035298</v>
      </c>
      <c r="ET31" s="752">
        <f>INPUT!GS434</f>
        <v>2.4999999999999911</v>
      </c>
      <c r="EU31" s="756" t="str">
        <f>INPUT!GT434</f>
        <v>NM</v>
      </c>
      <c r="EV31" s="710"/>
    </row>
    <row r="32" spans="1:152" s="714" customFormat="1" ht="12.75" customHeight="1" x14ac:dyDescent="0.2">
      <c r="A32" s="749" t="str">
        <f>INPUT!B438</f>
        <v>Reported Net Income</v>
      </c>
      <c r="B32" s="757">
        <f>INPUT!AS438</f>
        <v>75.299999999999855</v>
      </c>
      <c r="C32" s="752" t="str">
        <f>INPUT!AT438</f>
        <v>NM</v>
      </c>
      <c r="D32" s="758">
        <f>INPUT!AU438</f>
        <v>125.19999999999972</v>
      </c>
      <c r="E32" s="752">
        <f>INPUT!AV438</f>
        <v>-26.911850554582649</v>
      </c>
      <c r="F32" s="758">
        <f>INPUT!AW438</f>
        <v>-63.699999999999903</v>
      </c>
      <c r="G32" s="752" t="str">
        <f>INPUT!AX438</f>
        <v>NM</v>
      </c>
      <c r="H32" s="758">
        <f>INPUT!AY438</f>
        <v>276.10000000000014</v>
      </c>
      <c r="I32" s="752" t="str">
        <f>INPUT!AZ438</f>
        <v>NM</v>
      </c>
      <c r="J32" s="757">
        <f>INPUT!BA438</f>
        <v>178.29999999999995</v>
      </c>
      <c r="K32" s="752" t="str">
        <f>INPUT!BB438</f>
        <v>NM</v>
      </c>
      <c r="L32" s="757">
        <f>INPUT!BC438</f>
        <v>188</v>
      </c>
      <c r="M32" s="752">
        <f>INPUT!BD438</f>
        <v>50.159744408946018</v>
      </c>
      <c r="N32" s="757">
        <f>INPUT!BE438</f>
        <v>186.89999999999984</v>
      </c>
      <c r="O32" s="752" t="str">
        <f>INPUT!BF438</f>
        <v>NM</v>
      </c>
      <c r="P32" s="757">
        <f>INPUT!BG438</f>
        <v>160.50000000000009</v>
      </c>
      <c r="Q32" s="752">
        <f>INPUT!BH438</f>
        <v>-41.868888084027525</v>
      </c>
      <c r="R32" s="757">
        <f>INPUT!BI438</f>
        <v>163.09999999999997</v>
      </c>
      <c r="S32" s="752">
        <f>INPUT!BJ438</f>
        <v>-8.5249579360628154</v>
      </c>
      <c r="T32" s="757">
        <f>INPUT!BK438</f>
        <v>240.29999999999976</v>
      </c>
      <c r="U32" s="752">
        <f>INPUT!BL438</f>
        <v>27.81914893617008</v>
      </c>
      <c r="V32" s="757">
        <f>INPUT!BM438</f>
        <v>107.99999999999986</v>
      </c>
      <c r="W32" s="752">
        <f>INPUT!BN438</f>
        <v>-42.215088282504041</v>
      </c>
      <c r="X32" s="757">
        <f>INPUT!BO438</f>
        <v>41.80000000000021</v>
      </c>
      <c r="Y32" s="752" t="str">
        <f>INPUT!BP438</f>
        <v>NM</v>
      </c>
      <c r="Z32" s="757">
        <f>INPUT!BQ438</f>
        <v>164.89999999999992</v>
      </c>
      <c r="AA32" s="752">
        <f>INPUT!BR438</f>
        <v>1.1036174126302534</v>
      </c>
      <c r="AB32" s="757">
        <f>INPUT!BS438</f>
        <v>267.20000000000016</v>
      </c>
      <c r="AC32" s="752">
        <f>INPUT!BT438</f>
        <v>11.194340407823745</v>
      </c>
      <c r="AD32" s="757">
        <f>INPUT!BU438</f>
        <v>221.09999999999982</v>
      </c>
      <c r="AE32" s="752" t="str">
        <f>INPUT!BV438</f>
        <v>NM</v>
      </c>
      <c r="AF32" s="757">
        <f>INPUT!BW438</f>
        <v>199.39999999999978</v>
      </c>
      <c r="AG32" s="752" t="str">
        <f>INPUT!BX438</f>
        <v>NM</v>
      </c>
      <c r="AH32" s="757">
        <f>INPUT!BY438</f>
        <v>226.60000000000002</v>
      </c>
      <c r="AI32" s="752">
        <f>INPUT!BZ438</f>
        <v>37.416616130988565</v>
      </c>
      <c r="AJ32" s="757">
        <f>INPUT!CA438</f>
        <v>208.29999999999995</v>
      </c>
      <c r="AK32" s="752">
        <f>INPUT!CB438</f>
        <v>-22.043413173652759</v>
      </c>
      <c r="AL32" s="757">
        <f>INPUT!CC438</f>
        <v>218.90000000000009</v>
      </c>
      <c r="AM32" s="752">
        <f>INPUT!CD438</f>
        <v>-0.995024875621775</v>
      </c>
      <c r="AN32" s="757">
        <f>INPUT!CE438</f>
        <v>224.2000000000003</v>
      </c>
      <c r="AO32" s="752">
        <f>INPUT!CF438</f>
        <v>12.437311935807704</v>
      </c>
      <c r="AP32" s="757">
        <f>INPUT!CG438</f>
        <v>223.59999999999988</v>
      </c>
      <c r="AQ32" s="752">
        <f>INPUT!CH438</f>
        <v>-1.323918799647017</v>
      </c>
      <c r="AR32" s="757">
        <f>INPUT!CI438</f>
        <v>227.60000000000014</v>
      </c>
      <c r="AS32" s="752">
        <f>INPUT!CJ438</f>
        <v>9.2654824771964517</v>
      </c>
      <c r="AT32" s="757">
        <f>INPUT!CK438</f>
        <v>202.00000000000003</v>
      </c>
      <c r="AU32" s="752">
        <f>INPUT!CL438</f>
        <v>-7.7204202832343753</v>
      </c>
      <c r="AV32" s="757">
        <f>INPUT!CM438</f>
        <v>-369.00000000000028</v>
      </c>
      <c r="AW32" s="752" t="str">
        <f>INPUT!CN438</f>
        <v>NM</v>
      </c>
      <c r="AX32" s="757">
        <f>INPUT!CO438</f>
        <v>213.89999999999992</v>
      </c>
      <c r="AY32" s="752">
        <f>INPUT!CP438</f>
        <v>-4.3381037567083887</v>
      </c>
      <c r="AZ32" s="757">
        <f>INPUT!CQ438</f>
        <v>216.39999999999989</v>
      </c>
      <c r="BA32" s="752">
        <f>INPUT!CR438</f>
        <v>-4.9209138840071383</v>
      </c>
      <c r="BB32" s="757">
        <f>INPUT!CS438</f>
        <v>230.2</v>
      </c>
      <c r="BC32" s="752">
        <f>INPUT!CT438</f>
        <v>13.960396039603928</v>
      </c>
      <c r="BD32" s="757">
        <f>INPUT!CU438</f>
        <v>233.89999999999995</v>
      </c>
      <c r="BE32" s="752" t="str">
        <f>INPUT!CV438</f>
        <v>NM</v>
      </c>
      <c r="BF32" s="757">
        <f>INPUT!CW438</f>
        <v>209.7000000000001</v>
      </c>
      <c r="BG32" s="752">
        <f>INPUT!CX438</f>
        <v>-1.9635343618512491</v>
      </c>
      <c r="BH32" s="757">
        <f>INPUT!CY438</f>
        <v>215.99999999999991</v>
      </c>
      <c r="BI32" s="752">
        <f>INPUT!CZ438</f>
        <v>-0.1848428835489746</v>
      </c>
      <c r="BJ32" s="757">
        <f>INPUT!DA438</f>
        <v>202.70000000000002</v>
      </c>
      <c r="BK32" s="752">
        <f>INPUT!DB438</f>
        <v>-11.946133796698511</v>
      </c>
      <c r="BL32" s="757">
        <f>INPUT!DC438</f>
        <v>218.59999999999997</v>
      </c>
      <c r="BM32" s="752">
        <f>INPUT!DD438</f>
        <v>-6.5412569474134212</v>
      </c>
      <c r="BN32" s="757">
        <f>INPUT!DE438</f>
        <v>225.79999999999973</v>
      </c>
      <c r="BO32" s="752">
        <f>INPUT!DF438</f>
        <v>7.6776347162611502</v>
      </c>
      <c r="BP32" s="757">
        <f>INPUT!DG438</f>
        <v>239.4</v>
      </c>
      <c r="BQ32" s="752">
        <f>INPUT!DH438</f>
        <v>10.833333333333384</v>
      </c>
      <c r="BR32" s="757">
        <f>INPUT!DI438</f>
        <v>219.10000000000005</v>
      </c>
      <c r="BS32" s="752">
        <f>INPUT!DJ438</f>
        <v>8.090774543660606</v>
      </c>
      <c r="BT32" s="757">
        <f>INPUT!DK438</f>
        <v>-282.20000000000005</v>
      </c>
      <c r="BU32" s="752" t="str">
        <f>INPUT!DL438</f>
        <v>NM</v>
      </c>
      <c r="BV32" s="757">
        <f>INPUT!DM438</f>
        <v>212.90000000000006</v>
      </c>
      <c r="BW32" s="752">
        <f>INPUT!DN438</f>
        <v>-5.7130203720104911</v>
      </c>
      <c r="BX32" s="757">
        <f>INPUT!DO438</f>
        <v>224.29999999999993</v>
      </c>
      <c r="BY32" s="752">
        <f>INPUT!DP438</f>
        <v>-6.307435254803706</v>
      </c>
      <c r="BZ32" s="757">
        <f>INPUT!DQ438</f>
        <v>203.80000000000021</v>
      </c>
      <c r="CA32" s="752">
        <f>INPUT!DR438</f>
        <v>-6.9831127339113781</v>
      </c>
      <c r="CB32" s="757">
        <f>INPUT!DS438</f>
        <v>226.09999999999991</v>
      </c>
      <c r="CC32" s="752" t="str">
        <f>INPUT!DT438</f>
        <v>NM</v>
      </c>
      <c r="CD32" s="757">
        <f>INPUT!DU438</f>
        <v>210.59999999999982</v>
      </c>
      <c r="CE32" s="752">
        <f>INPUT!DV438</f>
        <v>-1.0803193987788839</v>
      </c>
      <c r="CF32" s="757">
        <f>INPUT!DW438</f>
        <v>236.79999999999993</v>
      </c>
      <c r="CG32" s="752">
        <f>INPUT!DX438</f>
        <v>5.5728934462773161</v>
      </c>
      <c r="CH32" s="757">
        <f>INPUT!DY438</f>
        <v>236.0000000000002</v>
      </c>
      <c r="CI32" s="752">
        <f>INPUT!DZ438</f>
        <v>15.7998037291462</v>
      </c>
      <c r="CJ32" s="757">
        <f>INPUT!EA438</f>
        <v>247.99999999999997</v>
      </c>
      <c r="CK32" s="752">
        <f>INPUT!EB438</f>
        <v>9.6859796550199384</v>
      </c>
      <c r="CL32" s="757">
        <f>INPUT!EC438</f>
        <v>229.89999999999975</v>
      </c>
      <c r="CM32" s="752">
        <f>INPUT!ED438</f>
        <v>9.1642924976258033</v>
      </c>
      <c r="CN32" s="757">
        <f>INPUT!EE438</f>
        <v>245.10000000000011</v>
      </c>
      <c r="CO32" s="752">
        <f>INPUT!EF438</f>
        <v>3.5050675675676546</v>
      </c>
      <c r="CP32" s="757">
        <f>INPUT!EG438</f>
        <v>251.6999999999999</v>
      </c>
      <c r="CQ32" s="752">
        <f>INPUT!EH438</f>
        <v>6.6525423728812205</v>
      </c>
      <c r="CR32" s="757">
        <f>INPUT!EI438</f>
        <v>266.89999999999981</v>
      </c>
      <c r="CS32" s="752">
        <f>INPUT!EJ438</f>
        <v>7.6209677419354138</v>
      </c>
      <c r="CT32" s="757">
        <f>INPUT!EK438</f>
        <v>261.81763341896846</v>
      </c>
      <c r="CU32" s="752">
        <f>INPUT!EL438</f>
        <v>13.883268124823278</v>
      </c>
      <c r="CV32" s="757">
        <f>INPUT!EM438</f>
        <v>277.08549079101743</v>
      </c>
      <c r="CW32" s="752">
        <f>INPUT!EN438</f>
        <v>13.04997584292833</v>
      </c>
      <c r="CX32" s="757">
        <f>INPUT!EO438</f>
        <v>278.21644884485261</v>
      </c>
      <c r="CY32" s="752">
        <f>INPUT!EP438</f>
        <v>10.53494193279807</v>
      </c>
      <c r="CZ32" s="757">
        <f>INPUT!EQ438</f>
        <v>281.07259761097214</v>
      </c>
      <c r="DA32" s="752">
        <f>INPUT!ER438</f>
        <v>5.3100777860518367</v>
      </c>
      <c r="DB32" s="757"/>
      <c r="DC32" s="758">
        <f>INPUT!FB438</f>
        <v>-439.3</v>
      </c>
      <c r="DD32" s="752" t="str">
        <f>INPUT!FC438</f>
        <v>NA</v>
      </c>
      <c r="DE32" s="758">
        <f>INPUT!FD438</f>
        <v>556.20000000000084</v>
      </c>
      <c r="DF32" s="752" t="str">
        <f>INPUT!FE438</f>
        <v>NM</v>
      </c>
      <c r="DG32" s="758">
        <f>INPUT!FF438</f>
        <v>-192.89999999999938</v>
      </c>
      <c r="DH32" s="752" t="str">
        <f>INPUT!FG438</f>
        <v>NM</v>
      </c>
      <c r="DI32" s="758">
        <f>INPUT!FH438</f>
        <v>-99.300000000000182</v>
      </c>
      <c r="DJ32" s="752">
        <f>INPUT!FI438</f>
        <v>-48.522550544323231</v>
      </c>
      <c r="DK32" s="757">
        <f>INPUT!FJ438</f>
        <v>516.00000000000091</v>
      </c>
      <c r="DL32" s="752" t="str">
        <f>INPUT!FK438</f>
        <v>NM</v>
      </c>
      <c r="DM32" s="757">
        <f>INPUT!FL438</f>
        <v>412.90000000000026</v>
      </c>
      <c r="DN32" s="752">
        <f>INPUT!FM438</f>
        <v>-19.980620155038853</v>
      </c>
      <c r="DO32" s="757">
        <f>INPUT!FN438</f>
        <v>713.70000000000016</v>
      </c>
      <c r="DP32" s="752">
        <f>INPUT!FO438</f>
        <v>72.850569145071375</v>
      </c>
      <c r="DQ32" s="757">
        <f>INPUT!FP438</f>
        <v>553.19999999999982</v>
      </c>
      <c r="DR32" s="752">
        <f>INPUT!FQ438</f>
        <v>-22.488440521227449</v>
      </c>
      <c r="DS32" s="757">
        <f>INPUT!FR438</f>
        <v>847.29999999999893</v>
      </c>
      <c r="DT32" s="752">
        <f>INPUT!FS438</f>
        <v>53.163412870571072</v>
      </c>
      <c r="DU32" s="757">
        <f>INPUT!FT438</f>
        <v>877.99999999999909</v>
      </c>
      <c r="DV32" s="752">
        <f>INPUT!FU438</f>
        <v>3.6232739289508098</v>
      </c>
      <c r="DW32" s="757">
        <f>INPUT!FV438</f>
        <v>284.19999999999976</v>
      </c>
      <c r="DX32" s="752" t="str">
        <f>INPUT!FW438</f>
        <v>NM</v>
      </c>
      <c r="DY32" s="757">
        <f>INPUT!FX438</f>
        <v>888.1</v>
      </c>
      <c r="DZ32" s="752" t="str">
        <f>INPUT!FY438</f>
        <v>NM</v>
      </c>
      <c r="EA32" s="757">
        <f>INPUT!FZ438</f>
        <v>846.99999999999989</v>
      </c>
      <c r="EB32" s="752">
        <f>INPUT!GA438</f>
        <v>-4.6278572232856803</v>
      </c>
      <c r="EC32" s="757">
        <f>INPUT!GB438</f>
        <v>402.1</v>
      </c>
      <c r="ED32" s="752" t="str">
        <f>INPUT!GC438</f>
        <v>NM</v>
      </c>
      <c r="EE32" s="757">
        <f>INPUT!GD438</f>
        <v>867.09999999999957</v>
      </c>
      <c r="EF32" s="752" t="str">
        <f>INPUT!GE438</f>
        <v>NM</v>
      </c>
      <c r="EG32" s="757">
        <f>INPUT!GF438</f>
        <v>931.40000000000111</v>
      </c>
      <c r="EH32" s="752">
        <f>INPUT!GG438</f>
        <v>7.4155230077270984</v>
      </c>
      <c r="EI32" s="757">
        <f>INPUT!GH438</f>
        <v>993.59999999999968</v>
      </c>
      <c r="EJ32" s="752">
        <f>INPUT!GI438</f>
        <v>6.6781189607041602</v>
      </c>
      <c r="EK32" s="757">
        <f>INPUT!GJ438</f>
        <v>1098.1921706658111</v>
      </c>
      <c r="EL32" s="752">
        <f>INPUT!GK438</f>
        <v>10.526587224819984</v>
      </c>
      <c r="EM32" s="757">
        <f>INPUT!GL438</f>
        <v>1125.1083939429279</v>
      </c>
      <c r="EN32" s="752">
        <f>INPUT!GM438</f>
        <v>2.4509574914195698</v>
      </c>
      <c r="EO32" s="757">
        <f>INPUT!GN438</f>
        <v>1157.154246206788</v>
      </c>
      <c r="EP32" s="752">
        <f>INPUT!GO438</f>
        <v>2.8482457722633914</v>
      </c>
      <c r="EQ32" s="757">
        <f>INPUT!GP438</f>
        <v>1193.397686871582</v>
      </c>
      <c r="ER32" s="752">
        <f>INPUT!GQ438</f>
        <v>3.1321183656890961</v>
      </c>
      <c r="ES32" s="757">
        <f>INPUT!GR438</f>
        <v>1224.840464378304</v>
      </c>
      <c r="ET32" s="752">
        <f>INPUT!GS438</f>
        <v>2.6347275390777192</v>
      </c>
      <c r="EU32" s="752">
        <f>INPUT!GT438</f>
        <v>4.2734129399745635</v>
      </c>
      <c r="EV32" s="713"/>
    </row>
    <row r="33" spans="1:152" ht="12.75" hidden="1" customHeight="1" outlineLevel="1" x14ac:dyDescent="0.2">
      <c r="A33" s="759" t="s">
        <v>517</v>
      </c>
      <c r="B33" s="760"/>
      <c r="C33" s="761"/>
      <c r="D33" s="760"/>
      <c r="E33" s="761"/>
      <c r="F33" s="760"/>
      <c r="G33" s="761"/>
      <c r="H33" s="762"/>
      <c r="I33" s="763"/>
      <c r="J33" s="760"/>
      <c r="K33" s="763"/>
      <c r="L33" s="760"/>
      <c r="M33" s="763"/>
      <c r="N33" s="760"/>
      <c r="O33" s="763"/>
      <c r="P33" s="760"/>
      <c r="Q33" s="763"/>
      <c r="R33" s="760"/>
      <c r="S33" s="763"/>
      <c r="T33" s="760"/>
      <c r="U33" s="763"/>
      <c r="V33" s="760"/>
      <c r="W33" s="763"/>
      <c r="X33" s="760"/>
      <c r="Y33" s="763"/>
      <c r="Z33" s="760"/>
      <c r="AA33" s="763"/>
      <c r="AB33" s="760"/>
      <c r="AC33" s="763"/>
      <c r="AD33" s="760"/>
      <c r="AE33" s="763"/>
      <c r="AF33" s="760"/>
      <c r="AG33" s="763"/>
      <c r="AH33" s="760"/>
      <c r="AI33" s="763"/>
      <c r="AJ33" s="760"/>
      <c r="AK33" s="763"/>
      <c r="AL33" s="760"/>
      <c r="AM33" s="763"/>
      <c r="AN33" s="760"/>
      <c r="AO33" s="763"/>
      <c r="AP33" s="764">
        <f>AP21+AP30+AP31-AP32</f>
        <v>0</v>
      </c>
      <c r="AQ33" s="763"/>
      <c r="AR33" s="764">
        <f>AR21+AR30+AR31-AR32</f>
        <v>0</v>
      </c>
      <c r="AS33" s="763"/>
      <c r="AT33" s="764">
        <f>AT21+AT30+AT31-AT32</f>
        <v>0</v>
      </c>
      <c r="AU33" s="763"/>
      <c r="AV33" s="764">
        <f>AV21+AV30+AV31-AV32</f>
        <v>0</v>
      </c>
      <c r="AW33" s="763"/>
      <c r="AX33" s="764">
        <f>AX21+AX30+AX31-AX32</f>
        <v>0</v>
      </c>
      <c r="AY33" s="763"/>
      <c r="AZ33" s="764">
        <f>AZ21+AZ30+AZ31-AZ32</f>
        <v>0</v>
      </c>
      <c r="BA33" s="763"/>
      <c r="BB33" s="764">
        <f>BB21+BB30+BB31-BB32</f>
        <v>0</v>
      </c>
      <c r="BC33" s="763"/>
      <c r="BD33" s="764">
        <f>BD21+BD30+BD31-BD32</f>
        <v>0</v>
      </c>
      <c r="BE33" s="763"/>
      <c r="BF33" s="764">
        <f>BF21+BF30+BF31-BF32</f>
        <v>0</v>
      </c>
      <c r="BG33" s="763"/>
      <c r="BH33" s="764">
        <f>BH21+BH30+BH31-BH32</f>
        <v>0</v>
      </c>
      <c r="BI33" s="763"/>
      <c r="BJ33" s="764">
        <f>BJ21+BJ30+BJ31-BJ32</f>
        <v>0</v>
      </c>
      <c r="BK33" s="763"/>
      <c r="BL33" s="764">
        <f>BL21+BL30+BL31-BL32</f>
        <v>0</v>
      </c>
      <c r="BM33" s="763"/>
      <c r="BN33" s="764">
        <f>BN21+BN30+BN31-BN32</f>
        <v>0</v>
      </c>
      <c r="BO33" s="763"/>
      <c r="BP33" s="764">
        <f>BP21+BP30+BP31-BP32</f>
        <v>0</v>
      </c>
      <c r="BQ33" s="763"/>
      <c r="BR33" s="764">
        <f>BR21+BR30+BR31-BR32</f>
        <v>0</v>
      </c>
      <c r="BS33" s="763"/>
      <c r="BT33" s="764">
        <f>BT21+BT30+BT31-BT32</f>
        <v>0</v>
      </c>
      <c r="BU33" s="763"/>
      <c r="BV33" s="764">
        <f>BV21+BV30+BV31-BV32</f>
        <v>0</v>
      </c>
      <c r="BW33" s="763"/>
      <c r="BX33" s="764">
        <f>BX21+BX30+BX31-BX32</f>
        <v>0</v>
      </c>
      <c r="BY33" s="763"/>
      <c r="BZ33" s="764">
        <f>BZ21+BZ30+BZ31-BZ32</f>
        <v>0</v>
      </c>
      <c r="CA33" s="763"/>
      <c r="CB33" s="764">
        <f>CB21+CB30+CB31-CB32</f>
        <v>0</v>
      </c>
      <c r="CC33" s="763"/>
      <c r="CD33" s="764">
        <f>CD21+CD30+CD31-CD32</f>
        <v>0</v>
      </c>
      <c r="CE33" s="763"/>
      <c r="CF33" s="764">
        <f>CF21+CF30+CF31-CF32</f>
        <v>0</v>
      </c>
      <c r="CG33" s="763"/>
      <c r="CH33" s="764">
        <f>CH21+CH30+CH31-CH32</f>
        <v>0</v>
      </c>
      <c r="CI33" s="763"/>
      <c r="CJ33" s="764">
        <f>CJ21+CJ30+CJ31-CJ32</f>
        <v>0</v>
      </c>
      <c r="CK33" s="763"/>
      <c r="CL33" s="764">
        <f t="shared" ref="CL33" si="16">CL21+CL30+CL31-CL32</f>
        <v>0</v>
      </c>
      <c r="CM33" s="763"/>
      <c r="CN33" s="764">
        <f t="shared" ref="CN33" si="17">CN21+CN30+CN31-CN32</f>
        <v>0</v>
      </c>
      <c r="CO33" s="763"/>
      <c r="CP33" s="764">
        <f t="shared" ref="CP33" si="18">CP21+CP30+CP31-CP32</f>
        <v>0</v>
      </c>
      <c r="CQ33" s="763"/>
      <c r="CR33" s="764">
        <f t="shared" ref="CR33" si="19">CR21+CR30+CR31-CR32</f>
        <v>0</v>
      </c>
      <c r="CS33" s="763"/>
      <c r="CT33" s="764">
        <f t="shared" ref="CT33" si="20">CT21+CT30+CT31-CT32</f>
        <v>0</v>
      </c>
      <c r="CU33" s="763"/>
      <c r="CV33" s="764">
        <f t="shared" ref="CV33" si="21">CV21+CV30+CV31-CV32</f>
        <v>0</v>
      </c>
      <c r="CW33" s="763"/>
      <c r="CX33" s="764">
        <f t="shared" ref="CX33" si="22">CX21+CX30+CX31-CX32</f>
        <v>0</v>
      </c>
      <c r="CY33" s="763"/>
      <c r="CZ33" s="764">
        <f t="shared" ref="CZ33" si="23">CZ21+CZ30+CZ31-CZ32</f>
        <v>0</v>
      </c>
      <c r="DA33" s="763"/>
      <c r="DB33" s="765"/>
      <c r="DC33" s="766"/>
      <c r="DD33" s="761"/>
      <c r="DE33" s="766"/>
      <c r="DF33" s="761"/>
      <c r="DG33" s="766"/>
      <c r="DH33" s="761"/>
      <c r="DI33" s="766"/>
      <c r="DJ33" s="761"/>
      <c r="DK33" s="766"/>
      <c r="DL33" s="763"/>
      <c r="DM33" s="766"/>
      <c r="DN33" s="763"/>
      <c r="DO33" s="766"/>
      <c r="DP33" s="763"/>
      <c r="DQ33" s="760"/>
      <c r="DR33" s="763"/>
      <c r="DS33" s="760"/>
      <c r="DT33" s="763"/>
      <c r="DU33" s="764">
        <f>DU21+DU30+DU31-DU32</f>
        <v>0</v>
      </c>
      <c r="DV33" s="763"/>
      <c r="DW33" s="764">
        <f>DW21+DW30+DW31-DW32</f>
        <v>0</v>
      </c>
      <c r="DX33" s="763"/>
      <c r="DY33" s="764">
        <f>DY21+DY30+DY31-DY32</f>
        <v>0</v>
      </c>
      <c r="DZ33" s="763"/>
      <c r="EA33" s="764">
        <f>EA21+EA30+EA31-EA32</f>
        <v>0</v>
      </c>
      <c r="EB33" s="763"/>
      <c r="EC33" s="764">
        <f>EC21+EC30+EC31-EC32</f>
        <v>0</v>
      </c>
      <c r="ED33" s="763"/>
      <c r="EE33" s="764">
        <f>EE21+EE30+EE31-EE32</f>
        <v>0</v>
      </c>
      <c r="EF33" s="763"/>
      <c r="EG33" s="764">
        <f>EG21+EG30+EG31-EG32</f>
        <v>0</v>
      </c>
      <c r="EH33" s="763"/>
      <c r="EI33" s="764">
        <f>EI21+EI30+EI31-EI32</f>
        <v>0</v>
      </c>
      <c r="EJ33" s="763"/>
      <c r="EK33" s="764">
        <f>EK21+EK30+EK31-EK32</f>
        <v>0</v>
      </c>
      <c r="EL33" s="763"/>
      <c r="EM33" s="764">
        <f>EM21+EM30+EM31-EM32</f>
        <v>0</v>
      </c>
      <c r="EN33" s="763"/>
      <c r="EO33" s="764">
        <f>EO21+EO30+EO31-EO32</f>
        <v>0</v>
      </c>
      <c r="EP33" s="763"/>
      <c r="EQ33" s="764">
        <f>EQ21+EQ30+EQ31-EQ32</f>
        <v>0</v>
      </c>
      <c r="ER33" s="763"/>
      <c r="ES33" s="764">
        <f>ES21+ES30+ES31-ES32</f>
        <v>0</v>
      </c>
      <c r="ET33" s="763"/>
      <c r="EU33" s="761"/>
      <c r="EV33" s="710"/>
    </row>
    <row r="34" spans="1:152" ht="12.75" customHeight="1" collapsed="1" x14ac:dyDescent="0.2">
      <c r="A34" s="749"/>
      <c r="B34" s="750"/>
      <c r="C34" s="756"/>
      <c r="D34" s="750"/>
      <c r="E34" s="756"/>
      <c r="F34" s="750"/>
      <c r="G34" s="756"/>
      <c r="H34" s="750"/>
      <c r="I34" s="752"/>
      <c r="J34" s="750"/>
      <c r="K34" s="752"/>
      <c r="L34" s="750"/>
      <c r="M34" s="752"/>
      <c r="N34" s="750"/>
      <c r="O34" s="752"/>
      <c r="P34" s="750"/>
      <c r="Q34" s="752"/>
      <c r="R34" s="750"/>
      <c r="S34" s="752"/>
      <c r="T34" s="750"/>
      <c r="U34" s="752"/>
      <c r="V34" s="750"/>
      <c r="W34" s="752"/>
      <c r="X34" s="750"/>
      <c r="Y34" s="752"/>
      <c r="Z34" s="750"/>
      <c r="AA34" s="752"/>
      <c r="AB34" s="750"/>
      <c r="AC34" s="752"/>
      <c r="AD34" s="750"/>
      <c r="AE34" s="752"/>
      <c r="AF34" s="750"/>
      <c r="AG34" s="752"/>
      <c r="AH34" s="750"/>
      <c r="AI34" s="752"/>
      <c r="AJ34" s="750"/>
      <c r="AK34" s="752"/>
      <c r="AL34" s="750"/>
      <c r="AM34" s="752"/>
      <c r="AN34" s="750"/>
      <c r="AO34" s="752"/>
      <c r="AP34" s="750"/>
      <c r="AQ34" s="752"/>
      <c r="AR34" s="750"/>
      <c r="AS34" s="752"/>
      <c r="AT34" s="750"/>
      <c r="AU34" s="752"/>
      <c r="AV34" s="750"/>
      <c r="AW34" s="752"/>
      <c r="AX34" s="750"/>
      <c r="AY34" s="752"/>
      <c r="AZ34" s="750"/>
      <c r="BA34" s="752"/>
      <c r="BB34" s="750"/>
      <c r="BC34" s="752"/>
      <c r="BD34" s="750"/>
      <c r="BE34" s="752"/>
      <c r="BF34" s="750"/>
      <c r="BG34" s="752"/>
      <c r="BH34" s="750"/>
      <c r="BI34" s="752"/>
      <c r="BJ34" s="750"/>
      <c r="BK34" s="752"/>
      <c r="BL34" s="750"/>
      <c r="BM34" s="752"/>
      <c r="BN34" s="750"/>
      <c r="BO34" s="752"/>
      <c r="BP34" s="750"/>
      <c r="BQ34" s="752"/>
      <c r="BR34" s="750"/>
      <c r="BS34" s="752"/>
      <c r="BT34" s="750"/>
      <c r="BU34" s="752"/>
      <c r="BV34" s="750"/>
      <c r="BW34" s="752"/>
      <c r="BX34" s="750"/>
      <c r="BY34" s="752"/>
      <c r="BZ34" s="750"/>
      <c r="CA34" s="752"/>
      <c r="CB34" s="750"/>
      <c r="CC34" s="752"/>
      <c r="CD34" s="750"/>
      <c r="CE34" s="752"/>
      <c r="CF34" s="750"/>
      <c r="CG34" s="752"/>
      <c r="CH34" s="750"/>
      <c r="CI34" s="752"/>
      <c r="CJ34" s="750"/>
      <c r="CK34" s="752"/>
      <c r="CL34" s="750"/>
      <c r="CM34" s="752"/>
      <c r="CN34" s="750"/>
      <c r="CO34" s="752"/>
      <c r="CP34" s="750"/>
      <c r="CQ34" s="752"/>
      <c r="CR34" s="750"/>
      <c r="CS34" s="752"/>
      <c r="CT34" s="750"/>
      <c r="CU34" s="752"/>
      <c r="CV34" s="750"/>
      <c r="CW34" s="752"/>
      <c r="CX34" s="750"/>
      <c r="CY34" s="752"/>
      <c r="CZ34" s="750"/>
      <c r="DA34" s="752"/>
      <c r="DB34" s="753"/>
      <c r="DC34" s="750"/>
      <c r="DD34" s="756"/>
      <c r="DE34" s="750"/>
      <c r="DF34" s="756"/>
      <c r="DG34" s="750"/>
      <c r="DH34" s="756"/>
      <c r="DI34" s="750"/>
      <c r="DJ34" s="756"/>
      <c r="DK34" s="750"/>
      <c r="DL34" s="752"/>
      <c r="DM34" s="750"/>
      <c r="DN34" s="752"/>
      <c r="DO34" s="750"/>
      <c r="DP34" s="752"/>
      <c r="DQ34" s="750"/>
      <c r="DR34" s="752"/>
      <c r="DS34" s="750"/>
      <c r="DT34" s="752"/>
      <c r="DU34" s="750"/>
      <c r="DV34" s="752"/>
      <c r="DW34" s="750"/>
      <c r="DX34" s="752"/>
      <c r="DY34" s="750"/>
      <c r="DZ34" s="752"/>
      <c r="EA34" s="750"/>
      <c r="EB34" s="752"/>
      <c r="EC34" s="750"/>
      <c r="ED34" s="752"/>
      <c r="EE34" s="750"/>
      <c r="EF34" s="752"/>
      <c r="EG34" s="750"/>
      <c r="EH34" s="752"/>
      <c r="EI34" s="750"/>
      <c r="EJ34" s="752"/>
      <c r="EK34" s="750"/>
      <c r="EL34" s="752"/>
      <c r="EM34" s="750"/>
      <c r="EN34" s="752"/>
      <c r="EO34" s="750"/>
      <c r="EP34" s="752"/>
      <c r="EQ34" s="750"/>
      <c r="ER34" s="752"/>
      <c r="ES34" s="750"/>
      <c r="ET34" s="752"/>
      <c r="EU34" s="756"/>
      <c r="EV34" s="710"/>
    </row>
    <row r="35" spans="1:152" s="720" customFormat="1" ht="12.75" customHeight="1" x14ac:dyDescent="0.2">
      <c r="A35" s="786" t="str">
        <f>INPUT!B491</f>
        <v xml:space="preserve">Reported EPS </v>
      </c>
      <c r="B35" s="787">
        <f>INPUT!AS491</f>
        <v>0.23557985884561636</v>
      </c>
      <c r="C35" s="788" t="str">
        <f>INPUT!AT491</f>
        <v>NM</v>
      </c>
      <c r="D35" s="787">
        <f>INPUT!AU491</f>
        <v>0.37950321792054365</v>
      </c>
      <c r="E35" s="788">
        <f>INPUT!AV491</f>
        <v>-31.519210147147636</v>
      </c>
      <c r="F35" s="787">
        <f>INPUT!AW491</f>
        <v>-0.18695282638702057</v>
      </c>
      <c r="G35" s="788" t="str">
        <f>INPUT!AX491</f>
        <v>NM</v>
      </c>
      <c r="H35" s="787">
        <f>INPUT!AY491</f>
        <v>0.79906729369379803</v>
      </c>
      <c r="I35" s="789">
        <f>INPUT!AZ491</f>
        <v>85.198476671540192</v>
      </c>
      <c r="J35" s="787">
        <f>INPUT!BA491</f>
        <v>0.51475219896986091</v>
      </c>
      <c r="K35" s="789" t="str">
        <f>INPUT!BB491</f>
        <v>NM</v>
      </c>
      <c r="L35" s="787">
        <f>INPUT!BC491</f>
        <v>0.52982021199290319</v>
      </c>
      <c r="M35" s="789">
        <f>INPUT!BD491</f>
        <v>39.608885241081481</v>
      </c>
      <c r="N35" s="787">
        <f>INPUT!BE491</f>
        <v>0.51786294382856146</v>
      </c>
      <c r="O35" s="789" t="str">
        <f>INPUT!BF491</f>
        <v>NM</v>
      </c>
      <c r="P35" s="787">
        <f>INPUT!BG491</f>
        <v>0.44495872123487779</v>
      </c>
      <c r="Q35" s="789">
        <f>INPUT!BH491</f>
        <v>-44.315237934718219</v>
      </c>
      <c r="R35" s="787">
        <f>INPUT!BI491</f>
        <v>0.46405650351986849</v>
      </c>
      <c r="S35" s="789">
        <f>INPUT!BJ491</f>
        <v>-9.8485631632941661</v>
      </c>
      <c r="T35" s="787">
        <f>INPUT!BK491</f>
        <v>0.69443758098520603</v>
      </c>
      <c r="U35" s="789">
        <f>INPUT!BL491</f>
        <v>31.070420732553682</v>
      </c>
      <c r="V35" s="787">
        <f>INPUT!BM491</f>
        <v>0.31960911095487704</v>
      </c>
      <c r="W35" s="789">
        <f>INPUT!BN491</f>
        <v>-38.283069919618804</v>
      </c>
      <c r="X35" s="787">
        <f>INPUT!BO491</f>
        <v>0.12629105754382308</v>
      </c>
      <c r="Y35" s="789" t="str">
        <f>INPUT!BP491</f>
        <v>NM</v>
      </c>
      <c r="Z35" s="787">
        <f>INPUT!BQ491</f>
        <v>0.49824072679888548</v>
      </c>
      <c r="AA35" s="789">
        <f>INPUT!BR491</f>
        <v>7.3663924586186535</v>
      </c>
      <c r="AB35" s="787">
        <f>INPUT!BS491</f>
        <v>0.80492783326426076</v>
      </c>
      <c r="AC35" s="789">
        <f>INPUT!BT491</f>
        <v>15.910753580228331</v>
      </c>
      <c r="AD35" s="787">
        <f>INPUT!BU491</f>
        <v>0.6647182135327917</v>
      </c>
      <c r="AE35" s="789" t="str">
        <f>INPUT!BV491</f>
        <v>NM</v>
      </c>
      <c r="AF35" s="787">
        <f>INPUT!BW491</f>
        <v>0.59880153206705267</v>
      </c>
      <c r="AG35" s="789" t="str">
        <f>INPUT!BX491</f>
        <v>NM</v>
      </c>
      <c r="AH35" s="787">
        <f>INPUT!BY491</f>
        <v>0.67940993445079345</v>
      </c>
      <c r="AI35" s="789">
        <f>INPUT!BZ491</f>
        <v>36.361782148137564</v>
      </c>
      <c r="AJ35" s="787">
        <f>INPUT!CA491</f>
        <v>0.62537999790979559</v>
      </c>
      <c r="AK35" s="789">
        <f>INPUT!CB491</f>
        <v>-22.306078624009885</v>
      </c>
      <c r="AL35" s="787">
        <f>INPUT!CC491</f>
        <v>0.67464492072506144</v>
      </c>
      <c r="AM35" s="789">
        <f>INPUT!CD491</f>
        <v>1.4933707231387761</v>
      </c>
      <c r="AN35" s="787">
        <f>INPUT!CE491</f>
        <v>0.70400656352667068</v>
      </c>
      <c r="AO35" s="789">
        <f>INPUT!CF491</f>
        <v>17.569265578939319</v>
      </c>
      <c r="AP35" s="787">
        <f>INPUT!CG491</f>
        <v>0.71134906564506983</v>
      </c>
      <c r="AQ35" s="789">
        <f>INPUT!CH491</f>
        <v>4.7010103289252925</v>
      </c>
      <c r="AR35" s="787">
        <f>INPUT!CI491</f>
        <v>0.74037697627466581</v>
      </c>
      <c r="AS35" s="789">
        <f>INPUT!CJ491</f>
        <v>18.388336491289149</v>
      </c>
      <c r="AT35" s="787">
        <f>INPUT!CK491</f>
        <v>0.67519484552243869</v>
      </c>
      <c r="AU35" s="789">
        <f>INPUT!CL491</f>
        <v>8.1513219841067297E-2</v>
      </c>
      <c r="AV35" s="787">
        <f>INPUT!CM491</f>
        <v>-1.215530995673096</v>
      </c>
      <c r="AW35" s="789" t="str">
        <f>INPUT!CN491</f>
        <v>NM</v>
      </c>
      <c r="AX35" s="787">
        <f>INPUT!CO491</f>
        <v>0.73433478517168005</v>
      </c>
      <c r="AY35" s="789">
        <f>INPUT!CP491</f>
        <v>3.2312855441464894</v>
      </c>
      <c r="AZ35" s="787">
        <f>INPUT!CQ491</f>
        <v>0.76266835128498578</v>
      </c>
      <c r="BA35" s="789">
        <f>INPUT!CR491</f>
        <v>3.0108141831318047</v>
      </c>
      <c r="BB35" s="787">
        <f>INPUT!CS491</f>
        <v>0.82653815384315876</v>
      </c>
      <c r="BC35" s="789">
        <f>INPUT!CT491</f>
        <v>22.414760616784136</v>
      </c>
      <c r="BD35" s="787">
        <f>INPUT!CU491</f>
        <v>0.85489766081871321</v>
      </c>
      <c r="BE35" s="789" t="str">
        <f>INPUT!CV491</f>
        <v>NM</v>
      </c>
      <c r="BF35" s="787">
        <f>INPUT!CW491</f>
        <v>0.77564857046248536</v>
      </c>
      <c r="BG35" s="789">
        <f>INPUT!CX491</f>
        <v>5.6260150172712464</v>
      </c>
      <c r="BH35" s="787">
        <f>INPUT!CY491</f>
        <v>0.80978853789462779</v>
      </c>
      <c r="BI35" s="789">
        <f>INPUT!CZ491</f>
        <v>6.1783324993427868</v>
      </c>
      <c r="BJ35" s="787">
        <f>INPUT!DA491</f>
        <v>0.76704747401371265</v>
      </c>
      <c r="BK35" s="789">
        <f>INPUT!DB491</f>
        <v>-7.1975721329780136</v>
      </c>
      <c r="BL35" s="787">
        <f>INPUT!DC491</f>
        <v>0.83244478293983226</v>
      </c>
      <c r="BM35" s="789">
        <f>INPUT!DD491</f>
        <v>-2.6263819528267729</v>
      </c>
      <c r="BN35" s="787">
        <f>INPUT!DE491</f>
        <v>0.86612965093977656</v>
      </c>
      <c r="BO35" s="789">
        <f>INPUT!DF491</f>
        <v>11.66521591386951</v>
      </c>
      <c r="BP35" s="787">
        <f>INPUT!DG491</f>
        <v>0.92826677006591718</v>
      </c>
      <c r="BQ35" s="789">
        <f>INPUT!DH491</f>
        <v>14.630761813364446</v>
      </c>
      <c r="BR35" s="787">
        <f>INPUT!DI491</f>
        <v>0.85989010989011005</v>
      </c>
      <c r="BS35" s="789">
        <f>INPUT!DJ491</f>
        <v>12.10389695836971</v>
      </c>
      <c r="BT35" s="787">
        <f>INPUT!DK491</f>
        <v>-1.1180665610142633</v>
      </c>
      <c r="BU35" s="789" t="str">
        <f>INPUT!DL491</f>
        <v>NM</v>
      </c>
      <c r="BV35" s="787">
        <f>INPUT!DM491</f>
        <v>0.8441712926249012</v>
      </c>
      <c r="BW35" s="789">
        <f>INPUT!DN491</f>
        <v>-2.5352276406944263</v>
      </c>
      <c r="BX35" s="787">
        <f>INPUT!DO491</f>
        <v>0.89971921379863584</v>
      </c>
      <c r="BY35" s="789">
        <f>INPUT!DP491</f>
        <v>-3.075361220272288</v>
      </c>
      <c r="BZ35" s="787">
        <f>INPUT!DQ491</f>
        <v>0.82744620381648482</v>
      </c>
      <c r="CA35" s="789">
        <f>INPUT!DR491</f>
        <v>-3.7730293325238251</v>
      </c>
      <c r="CB35" s="787">
        <f>INPUT!DS491</f>
        <v>0.92739950779327274</v>
      </c>
      <c r="CC35" s="789" t="str">
        <f>INPUT!DT491</f>
        <v>NM</v>
      </c>
      <c r="CD35" s="787">
        <f>INPUT!DU491</f>
        <v>0.87859824780976148</v>
      </c>
      <c r="CE35" s="789">
        <f>INPUT!DV491</f>
        <v>4.0781954427532963</v>
      </c>
      <c r="CF35" s="787">
        <f>INPUT!DW491</f>
        <v>0.99789296249473203</v>
      </c>
      <c r="CG35" s="789">
        <f>INPUT!DX491</f>
        <v>10.91159855101953</v>
      </c>
      <c r="CH35" s="787">
        <f>INPUT!DY491</f>
        <v>1.0076857386848856</v>
      </c>
      <c r="CI35" s="789">
        <f>INPUT!DZ491</f>
        <v>21.78262877236854</v>
      </c>
      <c r="CJ35" s="787">
        <f>INPUT!EA491</f>
        <v>1.0671256454388982</v>
      </c>
      <c r="CK35" s="789">
        <f>INPUT!EB491</f>
        <v>15.066445094207648</v>
      </c>
      <c r="CL35" s="787">
        <f>INPUT!EC491</f>
        <v>0.99782986111111005</v>
      </c>
      <c r="CM35" s="789">
        <f>INPUT!ED491</f>
        <v>13.570663679170591</v>
      </c>
      <c r="CN35" s="787">
        <f>INPUT!EE491</f>
        <v>1.0740578439964947</v>
      </c>
      <c r="CO35" s="789">
        <f>INPUT!EF491</f>
        <v>7.6325702619798541</v>
      </c>
      <c r="CP35" s="787">
        <f>INPUT!EG491</f>
        <v>1.1137168141592917</v>
      </c>
      <c r="CQ35" s="789">
        <f>INPUT!EH491</f>
        <v>10.522236388180461</v>
      </c>
      <c r="CR35" s="787">
        <f>INPUT!EI491</f>
        <v>1.1872775800711735</v>
      </c>
      <c r="CS35" s="789">
        <f>INPUT!EJ491</f>
        <v>11.259399035701922</v>
      </c>
      <c r="CT35" s="787">
        <f>INPUT!EK491</f>
        <v>1.1796613283257518</v>
      </c>
      <c r="CU35" s="789">
        <f>INPUT!EL491</f>
        <v>18.222692495108085</v>
      </c>
      <c r="CV35" s="787">
        <f>INPUT!EM491</f>
        <v>1.2592285284600728</v>
      </c>
      <c r="CW35" s="789">
        <f>INPUT!EN491</f>
        <v>17.240289757074056</v>
      </c>
      <c r="CX35" s="787">
        <f>INPUT!EO491</f>
        <v>1.2752086155898685</v>
      </c>
      <c r="CY35" s="789">
        <f>INPUT!EP491</f>
        <v>14.500257101037107</v>
      </c>
      <c r="CZ35" s="787">
        <f>INPUT!EQ491</f>
        <v>1.2992742903211503</v>
      </c>
      <c r="DA35" s="789">
        <f>INPUT!ER491</f>
        <v>9.4330687389264867</v>
      </c>
      <c r="DB35" s="790"/>
      <c r="DC35" s="791">
        <f>INPUT!FB491</f>
        <v>-1.8032440460957166</v>
      </c>
      <c r="DD35" s="788" t="str">
        <f>INPUT!FC491</f>
        <v>NA</v>
      </c>
      <c r="DE35" s="791">
        <f>INPUT!FD491</f>
        <v>2.2881868298540224</v>
      </c>
      <c r="DF35" s="788" t="str">
        <f>INPUT!FE491</f>
        <v>NM</v>
      </c>
      <c r="DG35" s="791">
        <f>INPUT!FF491</f>
        <v>-0.7</v>
      </c>
      <c r="DH35" s="788" t="str">
        <f>INPUT!FG491</f>
        <v>NM</v>
      </c>
      <c r="DI35" s="791">
        <f>INPUT!FH491</f>
        <v>-0.34</v>
      </c>
      <c r="DJ35" s="788" t="str">
        <f>INPUT!FI491</f>
        <v>NM</v>
      </c>
      <c r="DK35" s="791">
        <f>INPUT!FJ491</f>
        <v>1.65</v>
      </c>
      <c r="DL35" s="789" t="str">
        <f>INPUT!FK491</f>
        <v>NM</v>
      </c>
      <c r="DM35" s="791">
        <f>INPUT!FL491</f>
        <v>1.24</v>
      </c>
      <c r="DN35" s="789">
        <f>INPUT!FM491</f>
        <v>-24.848484848484841</v>
      </c>
      <c r="DO35" s="791">
        <f>INPUT!FN491</f>
        <v>2.0099999999999998</v>
      </c>
      <c r="DP35" s="789">
        <f>INPUT!FO491</f>
        <v>62.096774193548377</v>
      </c>
      <c r="DQ35" s="787">
        <f>INPUT!FP491</f>
        <v>1.62</v>
      </c>
      <c r="DR35" s="789">
        <f>INPUT!FQ491</f>
        <v>-19.402985074626855</v>
      </c>
      <c r="DS35" s="787">
        <f>INPUT!FR491</f>
        <v>2.5499999999999998</v>
      </c>
      <c r="DT35" s="789">
        <f>INPUT!FS491</f>
        <v>57.407407407407398</v>
      </c>
      <c r="DU35" s="787">
        <f>INPUT!FT491</f>
        <v>2.68</v>
      </c>
      <c r="DV35" s="789">
        <f>INPUT!FU491</f>
        <v>5.0980392156862786</v>
      </c>
      <c r="DW35" s="787">
        <f>INPUT!FV491</f>
        <v>0.93</v>
      </c>
      <c r="DX35" s="789" t="str">
        <f>INPUT!FW491</f>
        <v>NM</v>
      </c>
      <c r="DY35" s="787">
        <f>INPUT!FX491</f>
        <v>3.15</v>
      </c>
      <c r="DZ35" s="789" t="str">
        <f>INPUT!FY491</f>
        <v>NM</v>
      </c>
      <c r="EA35" s="787">
        <f>INPUT!FZ491</f>
        <v>3.18</v>
      </c>
      <c r="EB35" s="789">
        <f>INPUT!GA491</f>
        <v>0.9523809523809712</v>
      </c>
      <c r="EC35" s="787">
        <f>INPUT!GB491</f>
        <v>1.57</v>
      </c>
      <c r="ED35" s="789" t="str">
        <f>INPUT!GC491</f>
        <v>NM</v>
      </c>
      <c r="EE35" s="787">
        <f>INPUT!GD491</f>
        <v>3.5</v>
      </c>
      <c r="EF35" s="789" t="str">
        <f>INPUT!GE491</f>
        <v>NM</v>
      </c>
      <c r="EG35" s="787">
        <f>INPUT!GF491</f>
        <v>3.95</v>
      </c>
      <c r="EH35" s="789">
        <f>INPUT!GG491</f>
        <v>12.857142857142856</v>
      </c>
      <c r="EI35" s="787">
        <f>INPUT!GH491</f>
        <v>4.37</v>
      </c>
      <c r="EJ35" s="789">
        <f>INPUT!GI491</f>
        <v>10.632911392405052</v>
      </c>
      <c r="EK35" s="787">
        <f>INPUT!GJ491</f>
        <v>5.01</v>
      </c>
      <c r="EL35" s="789">
        <f>INPUT!GK491</f>
        <v>14.645308924485123</v>
      </c>
      <c r="EM35" s="787">
        <f>INPUT!GL491</f>
        <v>5.309981280758489</v>
      </c>
      <c r="EN35" s="789">
        <f>INPUT!GM491</f>
        <v>5.9876503145406934</v>
      </c>
      <c r="EO35" s="787">
        <f>INPUT!GN491</f>
        <v>5.6498158114002015</v>
      </c>
      <c r="EP35" s="789">
        <f>INPUT!GO491</f>
        <v>6.3999195604164116</v>
      </c>
      <c r="EQ35" s="787">
        <f>INPUT!GP491</f>
        <v>6.0296301803162038</v>
      </c>
      <c r="ER35" s="789">
        <f>INPUT!GQ491</f>
        <v>6.7225973659108096</v>
      </c>
      <c r="ES35" s="787">
        <f>INPUT!GR491</f>
        <v>6.4233932619292711</v>
      </c>
      <c r="ET35" s="789">
        <f>INPUT!GS491</f>
        <v>6.5304682018229032</v>
      </c>
      <c r="EU35" s="788">
        <f>INPUT!GT491</f>
        <v>8.008171778241401</v>
      </c>
      <c r="EV35" s="719"/>
    </row>
    <row r="36" spans="1:152" ht="12.75" hidden="1" customHeight="1" outlineLevel="1" x14ac:dyDescent="0.2">
      <c r="A36" s="759" t="s">
        <v>517</v>
      </c>
      <c r="B36" s="760"/>
      <c r="C36" s="761"/>
      <c r="D36" s="760"/>
      <c r="E36" s="761"/>
      <c r="F36" s="760"/>
      <c r="G36" s="761"/>
      <c r="H36" s="762"/>
      <c r="I36" s="763"/>
      <c r="J36" s="760"/>
      <c r="K36" s="763"/>
      <c r="L36" s="760"/>
      <c r="M36" s="763"/>
      <c r="N36" s="760"/>
      <c r="O36" s="763"/>
      <c r="P36" s="760"/>
      <c r="Q36" s="763"/>
      <c r="R36" s="760"/>
      <c r="S36" s="763"/>
      <c r="T36" s="760"/>
      <c r="U36" s="763"/>
      <c r="V36" s="760"/>
      <c r="W36" s="763"/>
      <c r="X36" s="760"/>
      <c r="Y36" s="763"/>
      <c r="Z36" s="760"/>
      <c r="AA36" s="763"/>
      <c r="AB36" s="760"/>
      <c r="AC36" s="763"/>
      <c r="AD36" s="760"/>
      <c r="AE36" s="763"/>
      <c r="AF36" s="760"/>
      <c r="AG36" s="763"/>
      <c r="AH36" s="760"/>
      <c r="AI36" s="763"/>
      <c r="AJ36" s="760"/>
      <c r="AK36" s="763"/>
      <c r="AL36" s="760"/>
      <c r="AM36" s="763"/>
      <c r="AN36" s="760"/>
      <c r="AO36" s="763"/>
      <c r="AP36" s="764">
        <f>AP25+AP33+AP34-AP35</f>
        <v>-1.4316059013429472E-2</v>
      </c>
      <c r="AQ36" s="763"/>
      <c r="AR36" s="764">
        <f>AR25+AR33+AR34-AR35</f>
        <v>2.4072010652164022E-2</v>
      </c>
      <c r="AS36" s="763"/>
      <c r="AT36" s="764">
        <f>AT25+AT33+AT34-AT35</f>
        <v>7.052777841843294E-2</v>
      </c>
      <c r="AU36" s="763"/>
      <c r="AV36" s="764">
        <f>AV25+AV33+AV34-AV35</f>
        <v>-3.7159109954854053E-3</v>
      </c>
      <c r="AW36" s="763"/>
      <c r="AX36" s="764">
        <f>(AX32/AX59)-AX35</f>
        <v>0</v>
      </c>
      <c r="AY36" s="763"/>
      <c r="AZ36" s="764">
        <f>(AZ32/AZ59)-AZ35</f>
        <v>0</v>
      </c>
      <c r="BA36" s="763"/>
      <c r="BB36" s="764">
        <f>(BB32/BB59)-BB35</f>
        <v>0</v>
      </c>
      <c r="BC36" s="763"/>
      <c r="BD36" s="764">
        <f>(BD32/BD59)-BD35</f>
        <v>0</v>
      </c>
      <c r="BE36" s="763"/>
      <c r="BF36" s="764">
        <f>(BF32/BF59)-BF35</f>
        <v>0</v>
      </c>
      <c r="BG36" s="763"/>
      <c r="BH36" s="764">
        <f>(BH32/BH59)-BH35</f>
        <v>0</v>
      </c>
      <c r="BI36" s="763"/>
      <c r="BJ36" s="764">
        <f>(BJ32/BJ59)-BJ35</f>
        <v>0</v>
      </c>
      <c r="BK36" s="763"/>
      <c r="BL36" s="764">
        <f>(BL32/BL59)-BL35</f>
        <v>0</v>
      </c>
      <c r="BM36" s="763"/>
      <c r="BN36" s="764">
        <f>(BN32/BN59)-BN35</f>
        <v>0</v>
      </c>
      <c r="BO36" s="763"/>
      <c r="BP36" s="764">
        <f>(BP32/BP59)-BP35</f>
        <v>0</v>
      </c>
      <c r="BQ36" s="763"/>
      <c r="BR36" s="764">
        <f>(BR32/BR59)-BR35</f>
        <v>0</v>
      </c>
      <c r="BS36" s="763"/>
      <c r="BT36" s="764">
        <f>(BT32/BT59)-BT35</f>
        <v>0</v>
      </c>
      <c r="BU36" s="763"/>
      <c r="BV36" s="764">
        <f>(BV32/BV59)-BV35</f>
        <v>0</v>
      </c>
      <c r="BW36" s="763"/>
      <c r="BX36" s="764">
        <f>(BX32/BX59)-BX35</f>
        <v>0</v>
      </c>
      <c r="BY36" s="763"/>
      <c r="BZ36" s="764">
        <f>(BZ32/BZ59)-BZ35</f>
        <v>0</v>
      </c>
      <c r="CA36" s="763"/>
      <c r="CB36" s="764">
        <f>(CB32/CB59)-CB35</f>
        <v>0</v>
      </c>
      <c r="CC36" s="763"/>
      <c r="CD36" s="764">
        <f>(CD32/CD59)-CD35</f>
        <v>0</v>
      </c>
      <c r="CE36" s="763"/>
      <c r="CF36" s="764">
        <f>(CF32/CF59)-CF35</f>
        <v>0</v>
      </c>
      <c r="CG36" s="763"/>
      <c r="CH36" s="764">
        <f>(CH32/CH59)-CH35</f>
        <v>0</v>
      </c>
      <c r="CI36" s="763"/>
      <c r="CJ36" s="764">
        <f>(CJ32/CJ59)-CJ35</f>
        <v>0</v>
      </c>
      <c r="CK36" s="763"/>
      <c r="CL36" s="764">
        <f t="shared" ref="CL36" si="24">(CL32/CL59)-CL35</f>
        <v>0</v>
      </c>
      <c r="CM36" s="763"/>
      <c r="CN36" s="764">
        <f t="shared" ref="CN36" si="25">(CN32/CN59)-CN35</f>
        <v>0</v>
      </c>
      <c r="CO36" s="763"/>
      <c r="CP36" s="764">
        <f t="shared" ref="CP36" si="26">(CP32/CP59)-CP35</f>
        <v>0</v>
      </c>
      <c r="CQ36" s="763"/>
      <c r="CR36" s="764">
        <f t="shared" ref="CR36" si="27">(CR32/CR59)-CR35</f>
        <v>0</v>
      </c>
      <c r="CS36" s="763"/>
      <c r="CT36" s="764">
        <f t="shared" ref="CT36" si="28">(CT32/CT59)-CT35</f>
        <v>0</v>
      </c>
      <c r="CU36" s="763"/>
      <c r="CV36" s="764">
        <f t="shared" ref="CV36" si="29">(CV32/CV59)-CV35</f>
        <v>0</v>
      </c>
      <c r="CW36" s="763"/>
      <c r="CX36" s="764">
        <f t="shared" ref="CX36" si="30">(CX32/CX59)-CX35</f>
        <v>0</v>
      </c>
      <c r="CY36" s="763"/>
      <c r="CZ36" s="764">
        <f t="shared" ref="CZ36" si="31">(CZ32/CZ59)-CZ35</f>
        <v>0</v>
      </c>
      <c r="DA36" s="763"/>
      <c r="DB36" s="765"/>
      <c r="DC36" s="766"/>
      <c r="DD36" s="761"/>
      <c r="DE36" s="766"/>
      <c r="DF36" s="761"/>
      <c r="DG36" s="766"/>
      <c r="DH36" s="761"/>
      <c r="DI36" s="766"/>
      <c r="DJ36" s="761"/>
      <c r="DK36" s="766"/>
      <c r="DL36" s="763"/>
      <c r="DM36" s="766"/>
      <c r="DN36" s="763"/>
      <c r="DO36" s="766"/>
      <c r="DP36" s="763"/>
      <c r="DQ36" s="760"/>
      <c r="DR36" s="763"/>
      <c r="DS36" s="760"/>
      <c r="DT36" s="763"/>
      <c r="DU36" s="764">
        <f>DU25+DU33+DU34-DU35</f>
        <v>5.2884478973883819E-2</v>
      </c>
      <c r="DV36" s="763"/>
      <c r="DW36" s="764">
        <f>(DW32/DW59)-DW35</f>
        <v>-1.6113757640273674E-3</v>
      </c>
      <c r="DX36" s="763"/>
      <c r="DY36" s="764">
        <f>(DY32/DY59)-DY35</f>
        <v>1.7056712320093759E-3</v>
      </c>
      <c r="DZ36" s="763"/>
      <c r="EA36" s="764">
        <f>(EA32/EA59)-EA35</f>
        <v>4.3579465260612515E-3</v>
      </c>
      <c r="EB36" s="763"/>
      <c r="EC36" s="764">
        <f>(EC32/EC59)-EC35</f>
        <v>-2.0530317800739883E-3</v>
      </c>
      <c r="ED36" s="763"/>
      <c r="EE36" s="764">
        <f>(EE32/EE59)-EE35</f>
        <v>-2.2186365469960556E-3</v>
      </c>
      <c r="EF36" s="763"/>
      <c r="EG36" s="764">
        <f>(EG32/EG59)-EG35</f>
        <v>-1.7168291648963496E-3</v>
      </c>
      <c r="EH36" s="763"/>
      <c r="EI36" s="764">
        <f>(EI32/EI59)-EI35</f>
        <v>3.5407961293021373E-4</v>
      </c>
      <c r="EJ36" s="763"/>
      <c r="EK36" s="764">
        <f>(EK32/EK59)-EK35</f>
        <v>1.7691050409691655E-3</v>
      </c>
      <c r="EL36" s="763"/>
      <c r="EM36" s="764">
        <f>(EM32/EM59)-EM35</f>
        <v>0</v>
      </c>
      <c r="EN36" s="763"/>
      <c r="EO36" s="764">
        <f>(EO32/EO59)-EO35</f>
        <v>0</v>
      </c>
      <c r="EP36" s="763"/>
      <c r="EQ36" s="764">
        <f>(EQ32/EQ59)-EQ35</f>
        <v>0</v>
      </c>
      <c r="ER36" s="763"/>
      <c r="ES36" s="764">
        <f>(ES32/ES59)-ES35</f>
        <v>0</v>
      </c>
      <c r="ET36" s="763"/>
      <c r="EU36" s="761"/>
      <c r="EV36" s="710"/>
    </row>
    <row r="37" spans="1:152" ht="12.75" customHeight="1" collapsed="1" x14ac:dyDescent="0.2">
      <c r="A37" s="792"/>
      <c r="B37" s="750"/>
      <c r="C37" s="767"/>
      <c r="D37" s="750"/>
      <c r="E37" s="767"/>
      <c r="F37" s="750"/>
      <c r="G37" s="767"/>
      <c r="H37" s="750"/>
      <c r="I37" s="752"/>
      <c r="J37" s="750"/>
      <c r="K37" s="752"/>
      <c r="L37" s="750"/>
      <c r="M37" s="752"/>
      <c r="N37" s="750"/>
      <c r="O37" s="752"/>
      <c r="P37" s="750"/>
      <c r="Q37" s="752"/>
      <c r="R37" s="750"/>
      <c r="S37" s="752"/>
      <c r="T37" s="750"/>
      <c r="U37" s="752"/>
      <c r="V37" s="750"/>
      <c r="W37" s="752"/>
      <c r="X37" s="750"/>
      <c r="Y37" s="752"/>
      <c r="Z37" s="750"/>
      <c r="AA37" s="752"/>
      <c r="AB37" s="750"/>
      <c r="AC37" s="752"/>
      <c r="AD37" s="750"/>
      <c r="AE37" s="752"/>
      <c r="AF37" s="750"/>
      <c r="AG37" s="752"/>
      <c r="AH37" s="750"/>
      <c r="AI37" s="752"/>
      <c r="AJ37" s="750"/>
      <c r="AK37" s="752"/>
      <c r="AL37" s="750"/>
      <c r="AM37" s="752"/>
      <c r="AN37" s="750"/>
      <c r="AO37" s="752"/>
      <c r="AP37" s="750"/>
      <c r="AQ37" s="752"/>
      <c r="AR37" s="750"/>
      <c r="AS37" s="752"/>
      <c r="AT37" s="750"/>
      <c r="AU37" s="752"/>
      <c r="AV37" s="750"/>
      <c r="AW37" s="752"/>
      <c r="AX37" s="750"/>
      <c r="AY37" s="752"/>
      <c r="AZ37" s="750"/>
      <c r="BA37" s="752"/>
      <c r="BB37" s="750"/>
      <c r="BC37" s="752"/>
      <c r="BD37" s="750"/>
      <c r="BE37" s="752"/>
      <c r="BF37" s="750"/>
      <c r="BG37" s="752"/>
      <c r="BH37" s="750"/>
      <c r="BI37" s="752"/>
      <c r="BJ37" s="750"/>
      <c r="BK37" s="752"/>
      <c r="BL37" s="750"/>
      <c r="BM37" s="752"/>
      <c r="BN37" s="750"/>
      <c r="BO37" s="752"/>
      <c r="BP37" s="750"/>
      <c r="BQ37" s="752"/>
      <c r="BR37" s="750"/>
      <c r="BS37" s="752"/>
      <c r="BT37" s="750"/>
      <c r="BU37" s="752"/>
      <c r="BV37" s="750"/>
      <c r="BW37" s="752"/>
      <c r="BX37" s="750"/>
      <c r="BY37" s="752"/>
      <c r="BZ37" s="750"/>
      <c r="CA37" s="752"/>
      <c r="CB37" s="750"/>
      <c r="CC37" s="752"/>
      <c r="CD37" s="750"/>
      <c r="CE37" s="752"/>
      <c r="CF37" s="750"/>
      <c r="CG37" s="752"/>
      <c r="CH37" s="750"/>
      <c r="CI37" s="752"/>
      <c r="CJ37" s="750"/>
      <c r="CK37" s="752"/>
      <c r="CL37" s="750"/>
      <c r="CM37" s="752"/>
      <c r="CN37" s="750"/>
      <c r="CO37" s="752"/>
      <c r="CP37" s="750"/>
      <c r="CQ37" s="752"/>
      <c r="CR37" s="750"/>
      <c r="CS37" s="752"/>
      <c r="CT37" s="750"/>
      <c r="CU37" s="752"/>
      <c r="CV37" s="750"/>
      <c r="CW37" s="752"/>
      <c r="CX37" s="750"/>
      <c r="CY37" s="752"/>
      <c r="CZ37" s="750"/>
      <c r="DA37" s="752"/>
      <c r="DB37" s="753"/>
      <c r="DC37" s="750"/>
      <c r="DD37" s="767"/>
      <c r="DE37" s="750"/>
      <c r="DF37" s="767"/>
      <c r="DG37" s="750"/>
      <c r="DH37" s="767"/>
      <c r="DI37" s="750"/>
      <c r="DJ37" s="767"/>
      <c r="DK37" s="750"/>
      <c r="DL37" s="752"/>
      <c r="DM37" s="750"/>
      <c r="DN37" s="752"/>
      <c r="DO37" s="750"/>
      <c r="DP37" s="752"/>
      <c r="DQ37" s="750"/>
      <c r="DR37" s="752"/>
      <c r="DS37" s="750"/>
      <c r="DT37" s="752"/>
      <c r="DU37" s="750"/>
      <c r="DV37" s="752"/>
      <c r="DW37" s="750"/>
      <c r="DX37" s="752"/>
      <c r="DY37" s="750"/>
      <c r="DZ37" s="752"/>
      <c r="EA37" s="750"/>
      <c r="EB37" s="752"/>
      <c r="EC37" s="750"/>
      <c r="ED37" s="752"/>
      <c r="EE37" s="750"/>
      <c r="EF37" s="752"/>
      <c r="EG37" s="750"/>
      <c r="EH37" s="752"/>
      <c r="EI37" s="750"/>
      <c r="EJ37" s="752"/>
      <c r="EK37" s="750"/>
      <c r="EL37" s="752"/>
      <c r="EM37" s="750"/>
      <c r="EN37" s="752"/>
      <c r="EO37" s="750"/>
      <c r="EP37" s="752"/>
      <c r="EQ37" s="750"/>
      <c r="ER37" s="752"/>
      <c r="ES37" s="750"/>
      <c r="ET37" s="752"/>
      <c r="EU37" s="767"/>
      <c r="EV37" s="710"/>
    </row>
    <row r="38" spans="1:152" ht="12.75" customHeight="1" x14ac:dyDescent="0.2">
      <c r="A38" s="749" t="str">
        <f>INPUT!B535</f>
        <v>Profitability</v>
      </c>
      <c r="B38" s="750"/>
      <c r="C38" s="767"/>
      <c r="D38" s="750"/>
      <c r="E38" s="767"/>
      <c r="F38" s="750"/>
      <c r="G38" s="767"/>
      <c r="H38" s="750"/>
      <c r="I38" s="752"/>
      <c r="J38" s="750"/>
      <c r="K38" s="752"/>
      <c r="L38" s="750"/>
      <c r="M38" s="752"/>
      <c r="N38" s="750"/>
      <c r="O38" s="752"/>
      <c r="P38" s="750"/>
      <c r="Q38" s="752"/>
      <c r="R38" s="750"/>
      <c r="S38" s="752"/>
      <c r="T38" s="750"/>
      <c r="U38" s="752"/>
      <c r="V38" s="750"/>
      <c r="W38" s="752"/>
      <c r="X38" s="750"/>
      <c r="Y38" s="752"/>
      <c r="Z38" s="750"/>
      <c r="AA38" s="752"/>
      <c r="AB38" s="750"/>
      <c r="AC38" s="752"/>
      <c r="AD38" s="750"/>
      <c r="AE38" s="752"/>
      <c r="AF38" s="750"/>
      <c r="AG38" s="752"/>
      <c r="AH38" s="750"/>
      <c r="AI38" s="752"/>
      <c r="AJ38" s="750"/>
      <c r="AK38" s="752"/>
      <c r="AL38" s="750"/>
      <c r="AM38" s="752"/>
      <c r="AN38" s="750"/>
      <c r="AO38" s="752"/>
      <c r="AP38" s="750"/>
      <c r="AQ38" s="752"/>
      <c r="AR38" s="750"/>
      <c r="AS38" s="752"/>
      <c r="AT38" s="750"/>
      <c r="AU38" s="752"/>
      <c r="AV38" s="750"/>
      <c r="AW38" s="752"/>
      <c r="AX38" s="750"/>
      <c r="AY38" s="752"/>
      <c r="AZ38" s="750"/>
      <c r="BA38" s="752"/>
      <c r="BB38" s="750"/>
      <c r="BC38" s="752"/>
      <c r="BD38" s="750"/>
      <c r="BE38" s="752"/>
      <c r="BF38" s="750"/>
      <c r="BG38" s="752"/>
      <c r="BH38" s="750"/>
      <c r="BI38" s="752"/>
      <c r="BJ38" s="750"/>
      <c r="BK38" s="752"/>
      <c r="BL38" s="750"/>
      <c r="BM38" s="752"/>
      <c r="BN38" s="750"/>
      <c r="BO38" s="752"/>
      <c r="BP38" s="750"/>
      <c r="BQ38" s="752"/>
      <c r="BR38" s="750"/>
      <c r="BS38" s="752"/>
      <c r="BT38" s="750"/>
      <c r="BU38" s="752"/>
      <c r="BV38" s="750"/>
      <c r="BW38" s="752"/>
      <c r="BX38" s="750"/>
      <c r="BY38" s="752"/>
      <c r="BZ38" s="750"/>
      <c r="CA38" s="752"/>
      <c r="CB38" s="750"/>
      <c r="CC38" s="752"/>
      <c r="CD38" s="750"/>
      <c r="CE38" s="752"/>
      <c r="CF38" s="750"/>
      <c r="CG38" s="752"/>
      <c r="CH38" s="750"/>
      <c r="CI38" s="752"/>
      <c r="CJ38" s="750"/>
      <c r="CK38" s="752"/>
      <c r="CL38" s="750"/>
      <c r="CM38" s="752"/>
      <c r="CN38" s="750"/>
      <c r="CO38" s="752"/>
      <c r="CP38" s="750"/>
      <c r="CQ38" s="752"/>
      <c r="CR38" s="750"/>
      <c r="CS38" s="752"/>
      <c r="CT38" s="750"/>
      <c r="CU38" s="752"/>
      <c r="CV38" s="750"/>
      <c r="CW38" s="752"/>
      <c r="CX38" s="750"/>
      <c r="CY38" s="752"/>
      <c r="CZ38" s="750"/>
      <c r="DA38" s="752"/>
      <c r="DB38" s="753"/>
      <c r="DC38" s="750"/>
      <c r="DD38" s="767"/>
      <c r="DE38" s="750"/>
      <c r="DF38" s="767"/>
      <c r="DG38" s="750"/>
      <c r="DH38" s="767"/>
      <c r="DI38" s="750"/>
      <c r="DJ38" s="767"/>
      <c r="DK38" s="750"/>
      <c r="DL38" s="752"/>
      <c r="DM38" s="750"/>
      <c r="DN38" s="752"/>
      <c r="DO38" s="750"/>
      <c r="DP38" s="752"/>
      <c r="DQ38" s="750"/>
      <c r="DR38" s="752"/>
      <c r="DS38" s="750"/>
      <c r="DT38" s="752"/>
      <c r="DU38" s="750"/>
      <c r="DV38" s="752"/>
      <c r="DW38" s="750"/>
      <c r="DX38" s="752"/>
      <c r="DY38" s="750"/>
      <c r="DZ38" s="752"/>
      <c r="EA38" s="750"/>
      <c r="EB38" s="752"/>
      <c r="EC38" s="750"/>
      <c r="ED38" s="752"/>
      <c r="EE38" s="750"/>
      <c r="EF38" s="752"/>
      <c r="EG38" s="750"/>
      <c r="EH38" s="752"/>
      <c r="EI38" s="750"/>
      <c r="EJ38" s="752"/>
      <c r="EK38" s="750"/>
      <c r="EL38" s="752"/>
      <c r="EM38" s="750"/>
      <c r="EN38" s="752"/>
      <c r="EO38" s="750"/>
      <c r="EP38" s="752"/>
      <c r="EQ38" s="750"/>
      <c r="ER38" s="752"/>
      <c r="ES38" s="750"/>
      <c r="ET38" s="752"/>
      <c r="EU38" s="767"/>
      <c r="EV38" s="710"/>
    </row>
    <row r="39" spans="1:152" ht="12.75" customHeight="1" x14ac:dyDescent="0.2">
      <c r="A39" s="754" t="str">
        <f>INPUT!B536</f>
        <v>Operating ROE (Excl FAS 115)(%)</v>
      </c>
      <c r="B39" s="793">
        <f>INPUT!AS536</f>
        <v>8.5467066925657704</v>
      </c>
      <c r="C39" s="756">
        <f>INPUT!AT536</f>
        <v>-19.531205564105392</v>
      </c>
      <c r="D39" s="793">
        <f>INPUT!AU536</f>
        <v>8.5115284915184688</v>
      </c>
      <c r="E39" s="756">
        <f>INPUT!AV536</f>
        <v>-1.5155971006623581</v>
      </c>
      <c r="F39" s="793">
        <f>INPUT!AW536</f>
        <v>9.1351607778849786</v>
      </c>
      <c r="G39" s="756">
        <f>INPUT!AX536</f>
        <v>1.8600720192908593</v>
      </c>
      <c r="H39" s="793">
        <f>INPUT!AY536</f>
        <v>10.306013513029406</v>
      </c>
      <c r="I39" s="752">
        <f>INPUT!AZ536</f>
        <v>18.591637677921202</v>
      </c>
      <c r="J39" s="793">
        <f>INPUT!BA536</f>
        <v>10.020876826722336</v>
      </c>
      <c r="K39" s="752">
        <f>INPUT!BB536</f>
        <v>17.248399730844287</v>
      </c>
      <c r="L39" s="793">
        <f>INPUT!BC536</f>
        <v>10.29728809712924</v>
      </c>
      <c r="M39" s="752">
        <f>INPUT!BD536</f>
        <v>20.980480854763471</v>
      </c>
      <c r="N39" s="793">
        <f>INPUT!BE536</f>
        <v>11.804001333324255</v>
      </c>
      <c r="O39" s="752">
        <f>INPUT!BF536</f>
        <v>29.215036498319623</v>
      </c>
      <c r="P39" s="793">
        <f>INPUT!BG536</f>
        <v>11.358820942659548</v>
      </c>
      <c r="Q39" s="752">
        <f>INPUT!BH536</f>
        <v>10.215467195915551</v>
      </c>
      <c r="R39" s="793">
        <f>INPUT!BI536</f>
        <v>11.123378230992099</v>
      </c>
      <c r="S39" s="752">
        <f>INPUT!BJ536</f>
        <v>11.002045263442017</v>
      </c>
      <c r="T39" s="793">
        <f>INPUT!BK536</f>
        <v>11.935828877005335</v>
      </c>
      <c r="U39" s="752">
        <f>INPUT!BL536</f>
        <v>15.912352499226468</v>
      </c>
      <c r="V39" s="793">
        <f>INPUT!BM536</f>
        <v>11.627844640416001</v>
      </c>
      <c r="W39" s="752">
        <f>INPUT!BN536</f>
        <v>-1.4923472806711802</v>
      </c>
      <c r="X39" s="793">
        <f>INPUT!BO536</f>
        <v>11.405539366540495</v>
      </c>
      <c r="Y39" s="752">
        <f>INPUT!BP536</f>
        <v>0.41129641990824695</v>
      </c>
      <c r="Z39" s="793">
        <f>INPUT!BQ536</f>
        <v>11.128833612630979</v>
      </c>
      <c r="AA39" s="752">
        <f>INPUT!BR536</f>
        <v>4.9044287855637414E-2</v>
      </c>
      <c r="AB39" s="793">
        <f>INPUT!BS536</f>
        <v>11.303681684552386</v>
      </c>
      <c r="AC39" s="752">
        <f>INPUT!BT536</f>
        <v>-5.2962152772715765</v>
      </c>
      <c r="AD39" s="793">
        <f>INPUT!BU536</f>
        <v>10.749028472733729</v>
      </c>
      <c r="AE39" s="752">
        <f>INPUT!BV536</f>
        <v>-7.5578595591799358</v>
      </c>
      <c r="AF39" s="793">
        <f>INPUT!BW536</f>
        <v>10.822199638103253</v>
      </c>
      <c r="AG39" s="752">
        <f>INPUT!BX536</f>
        <v>-5.1145299638221235</v>
      </c>
      <c r="AH39" s="793">
        <f>INPUT!BY536</f>
        <v>10.962482765293533</v>
      </c>
      <c r="AI39" s="752">
        <f>INPUT!BZ536</f>
        <v>-1.4947734248505706</v>
      </c>
      <c r="AJ39" s="793">
        <f>INPUT!CA536</f>
        <v>11.064118350375642</v>
      </c>
      <c r="AK39" s="752">
        <f>INPUT!CB536</f>
        <v>-2.1193389982321453</v>
      </c>
      <c r="AL39" s="793">
        <f>INPUT!CC536</f>
        <v>10.592916313352035</v>
      </c>
      <c r="AM39" s="752">
        <f>INPUT!CD536</f>
        <v>-1.4523373882364576</v>
      </c>
      <c r="AN39" s="793">
        <f>INPUT!CE536</f>
        <v>10.253685748439381</v>
      </c>
      <c r="AO39" s="752">
        <f>INPUT!CF536</f>
        <v>-5.2532193886187901</v>
      </c>
      <c r="AP39" s="793">
        <f>INPUT!CG536</f>
        <v>10.786859822516517</v>
      </c>
      <c r="AQ39" s="752">
        <f>INPUT!CH536</f>
        <v>-1.6020362041801905</v>
      </c>
      <c r="AR39" s="793">
        <f>INPUT!CI536</f>
        <v>11.541035132629828</v>
      </c>
      <c r="AS39" s="752">
        <f>INPUT!CJ536</f>
        <v>4.3104815688996601</v>
      </c>
      <c r="AT39" s="793">
        <f>INPUT!CK536</f>
        <v>10.656985735354709</v>
      </c>
      <c r="AU39" s="752">
        <f>INPUT!CL536</f>
        <v>0.60483270241564746</v>
      </c>
      <c r="AV39" s="793">
        <f>INPUT!CM536</f>
        <v>-18.115933127786867</v>
      </c>
      <c r="AW39" s="752" t="str">
        <f>INPUT!CN536</f>
        <v>NM</v>
      </c>
      <c r="AX39" s="793">
        <f>INPUT!CO536</f>
        <v>11.052072263549412</v>
      </c>
      <c r="AY39" s="752">
        <f>INPUT!CP536</f>
        <v>2.4586621630077188</v>
      </c>
      <c r="AZ39" s="793">
        <f>INPUT!CQ536</f>
        <v>11.620964674175845</v>
      </c>
      <c r="BA39" s="752">
        <f>INPUT!CR536</f>
        <v>0.69256821963943338</v>
      </c>
      <c r="BB39" s="793">
        <f>INPUT!CS536</f>
        <v>11.43703249853208</v>
      </c>
      <c r="BC39" s="752">
        <f>INPUT!CT536</f>
        <v>7.3195815641335926</v>
      </c>
      <c r="BD39" s="793">
        <f>INPUT!CU536</f>
        <v>11.343870528624365</v>
      </c>
      <c r="BE39" s="752" t="str">
        <f>INPUT!CV536</f>
        <v>NM</v>
      </c>
      <c r="BF39" s="793">
        <f>INPUT!CW536</f>
        <v>10.597445303206765</v>
      </c>
      <c r="BG39" s="752">
        <f>INPUT!CX536</f>
        <v>-4.1134997084849134</v>
      </c>
      <c r="BH39" s="793">
        <f>INPUT!CY536</f>
        <v>10.638088199063805</v>
      </c>
      <c r="BI39" s="752">
        <f>INPUT!CZ536</f>
        <v>-8.4577873065580516</v>
      </c>
      <c r="BJ39" s="793">
        <f>INPUT!DA536</f>
        <v>10.793828618745509</v>
      </c>
      <c r="BK39" s="752">
        <f>INPUT!DB536</f>
        <v>-5.6238703515892325</v>
      </c>
      <c r="BL39" s="793">
        <f>INPUT!DC536</f>
        <v>10.299665969769062</v>
      </c>
      <c r="BM39" s="752">
        <f>INPUT!DD536</f>
        <v>-9.2050112544957763</v>
      </c>
      <c r="BN39" s="793">
        <f>INPUT!DE536</f>
        <v>10.559208770879151</v>
      </c>
      <c r="BO39" s="752">
        <f>INPUT!DF536</f>
        <v>-0.36080896134509377</v>
      </c>
      <c r="BP39" s="793">
        <f>INPUT!DG536</f>
        <v>10.358183456394293</v>
      </c>
      <c r="BQ39" s="752">
        <f>INPUT!DH536</f>
        <v>-2.6311564393134534</v>
      </c>
      <c r="BR39" s="793">
        <f>INPUT!DI536</f>
        <v>10.128162161537485</v>
      </c>
      <c r="BS39" s="752">
        <f>INPUT!DJ536</f>
        <v>-6.1671023389418096</v>
      </c>
      <c r="BT39" s="793">
        <f>INPUT!DK536</f>
        <v>-10.749623164945248</v>
      </c>
      <c r="BU39" s="752" t="str">
        <f>INPUT!DL536</f>
        <v>NM</v>
      </c>
      <c r="BV39" s="793">
        <f>INPUT!DM536</f>
        <v>10.625037240064355</v>
      </c>
      <c r="BW39" s="752">
        <f>INPUT!DN536</f>
        <v>0.62342236633061709</v>
      </c>
      <c r="BX39" s="793">
        <f>INPUT!DO536</f>
        <v>10.418683732023515</v>
      </c>
      <c r="BY39" s="752">
        <f>INPUT!DP536</f>
        <v>0.5840819086079696</v>
      </c>
      <c r="BZ39" s="793">
        <f>INPUT!DQ536</f>
        <v>10.361795857156258</v>
      </c>
      <c r="CA39" s="752">
        <f>INPUT!DR536</f>
        <v>2.3067728566394274</v>
      </c>
      <c r="CB39" s="793">
        <f>INPUT!DS536</f>
        <v>10.628294463267638</v>
      </c>
      <c r="CC39" s="752" t="str">
        <f>INPUT!DT536</f>
        <v>NM</v>
      </c>
      <c r="CD39" s="793">
        <f>INPUT!DU536</f>
        <v>10.327395004433587</v>
      </c>
      <c r="CE39" s="752">
        <f>INPUT!DV536</f>
        <v>-2.8013288697797067</v>
      </c>
      <c r="CF39" s="793">
        <f>INPUT!DW536</f>
        <v>10.629077140641391</v>
      </c>
      <c r="CG39" s="752">
        <f>INPUT!DX536</f>
        <v>2.0193856923710785</v>
      </c>
      <c r="CH39" s="793">
        <f>INPUT!DY536</f>
        <v>10.320571760578085</v>
      </c>
      <c r="CI39" s="752">
        <f>INPUT!DZ536</f>
        <v>-0.39784702523069093</v>
      </c>
      <c r="CJ39" s="793">
        <f>INPUT!EA536</f>
        <v>10.249030926685071</v>
      </c>
      <c r="CK39" s="752">
        <f>INPUT!EB536</f>
        <v>-3.5684327141418226</v>
      </c>
      <c r="CL39" s="793">
        <f>INPUT!EC536</f>
        <v>10.422529615478835</v>
      </c>
      <c r="CM39" s="752">
        <f>INPUT!ED536</f>
        <v>0.92118691116593876</v>
      </c>
      <c r="CN39" s="793">
        <f>INPUT!EE536</f>
        <v>10.500693967451785</v>
      </c>
      <c r="CO39" s="752">
        <f>INPUT!EF536</f>
        <v>-1.2078487293945783</v>
      </c>
      <c r="CP39" s="793">
        <f>INPUT!EG536</f>
        <v>10.595597755718599</v>
      </c>
      <c r="CQ39" s="752">
        <f>INPUT!EH536</f>
        <v>2.6648329329101772</v>
      </c>
      <c r="CR39" s="793">
        <f>INPUT!EI536</f>
        <v>10.807758487510446</v>
      </c>
      <c r="CS39" s="752">
        <f>INPUT!EJ536</f>
        <v>5.4515160001189278</v>
      </c>
      <c r="CT39" s="793">
        <f>INPUT!EK536</f>
        <v>11.883378885974297</v>
      </c>
      <c r="CU39" s="752">
        <f>INPUT!EL536</f>
        <v>14.016264039450732</v>
      </c>
      <c r="CV39" s="793">
        <f>INPUT!EM536</f>
        <v>11.814142003443944</v>
      </c>
      <c r="CW39" s="752">
        <f>INPUT!EN536</f>
        <v>12.508202220380449</v>
      </c>
      <c r="CX39" s="793">
        <f>INPUT!EO536</f>
        <v>11.71045790616744</v>
      </c>
      <c r="CY39" s="752">
        <f>INPUT!EP536</f>
        <v>10.521918405661769</v>
      </c>
      <c r="CZ39" s="793">
        <f>INPUT!EQ536</f>
        <v>11.640289925965053</v>
      </c>
      <c r="DA39" s="752">
        <f>INPUT!ER536</f>
        <v>7.7030906956025103</v>
      </c>
      <c r="DB39" s="753"/>
      <c r="DC39" s="793">
        <f>INPUT!FB536</f>
        <v>-4.0411412277873016</v>
      </c>
      <c r="DD39" s="756" t="str">
        <f>INPUT!FC536</f>
        <v>NA</v>
      </c>
      <c r="DE39" s="793">
        <f>INPUT!FD536</f>
        <v>12.604430617928211</v>
      </c>
      <c r="DF39" s="756" t="str">
        <f>INPUT!FE536</f>
        <v>NM</v>
      </c>
      <c r="DG39" s="793">
        <f>INPUT!FF536</f>
        <v>0.69375945288355101</v>
      </c>
      <c r="DH39" s="756" t="str">
        <f>INPUT!FG536</f>
        <v>NM</v>
      </c>
      <c r="DI39" s="793">
        <f>INPUT!FH536</f>
        <v>-0.96767656297497529</v>
      </c>
      <c r="DJ39" s="756" t="str">
        <f>INPUT!FI536</f>
        <v>NM</v>
      </c>
      <c r="DK39" s="793">
        <f>INPUT!FJ536</f>
        <v>9.2435989751662166</v>
      </c>
      <c r="DL39" s="752" t="str">
        <f>INPUT!FK536</f>
        <v>NM</v>
      </c>
      <c r="DM39" s="793">
        <f>INPUT!FL536</f>
        <v>9.1789334455600358</v>
      </c>
      <c r="DN39" s="752">
        <f>INPUT!FM536</f>
        <v>-0.69957091150222306</v>
      </c>
      <c r="DO39" s="793">
        <f>INPUT!FN536</f>
        <v>10.870246799958846</v>
      </c>
      <c r="DP39" s="752">
        <f>INPUT!FO536</f>
        <v>18.42603353025638</v>
      </c>
      <c r="DQ39" s="793">
        <f>INPUT!FP536</f>
        <v>11.523147778738483</v>
      </c>
      <c r="DR39" s="752">
        <f>INPUT!FQ536</f>
        <v>6.0063123753741232</v>
      </c>
      <c r="DS39" s="793">
        <f>INPUT!FR536</f>
        <v>11.092954274327347</v>
      </c>
      <c r="DT39" s="752">
        <f>INPUT!FS536</f>
        <v>-3.7332985107150329</v>
      </c>
      <c r="DU39" s="793">
        <f>INPUT!FT536</f>
        <v>10.982900212366339</v>
      </c>
      <c r="DV39" s="752">
        <f>INPUT!FU536</f>
        <v>-0.99210777615580392</v>
      </c>
      <c r="DW39" s="793">
        <f>INPUT!FV536</f>
        <v>3.8948577777216631</v>
      </c>
      <c r="DX39" s="752" t="str">
        <f>INPUT!FW536</f>
        <v>NM</v>
      </c>
      <c r="DY39" s="793">
        <f>INPUT!FX536</f>
        <v>11.230842759279911</v>
      </c>
      <c r="DZ39" s="752" t="str">
        <f>INPUT!FY536</f>
        <v>NM</v>
      </c>
      <c r="EA39" s="793">
        <f>INPUT!FZ536</f>
        <v>10.56232627752833</v>
      </c>
      <c r="EB39" s="752">
        <f>INPUT!GA536</f>
        <v>-5.9525050441935345</v>
      </c>
      <c r="EC39" s="793">
        <f>INPUT!GB536</f>
        <v>5.183866574275406</v>
      </c>
      <c r="ED39" s="752" t="str">
        <f>INPUT!GC536</f>
        <v>NM</v>
      </c>
      <c r="EE39" s="793">
        <f>INPUT!GD536</f>
        <v>10.506195856098516</v>
      </c>
      <c r="EF39" s="752" t="str">
        <f>INPUT!GE536</f>
        <v>NM</v>
      </c>
      <c r="EG39" s="793">
        <f>INPUT!GF536</f>
        <v>10.365204790907253</v>
      </c>
      <c r="EH39" s="752">
        <f>INPUT!GG536</f>
        <v>-1.341980171723367</v>
      </c>
      <c r="EI39" s="793">
        <f>INPUT!GH536</f>
        <v>10.566217562708482</v>
      </c>
      <c r="EJ39" s="752">
        <f>INPUT!GI536</f>
        <v>1.9393034277293442</v>
      </c>
      <c r="EK39" s="793">
        <f>INPUT!GJ536</f>
        <v>11.755682856275866</v>
      </c>
      <c r="EL39" s="752">
        <f>INPUT!GK536</f>
        <v>11.257247794758474</v>
      </c>
      <c r="EM39" s="793">
        <f>INPUT!GL536</f>
        <v>11.45776785667034</v>
      </c>
      <c r="EN39" s="752">
        <f>INPUT!GM536</f>
        <v>-2.534221135835435</v>
      </c>
      <c r="EO39" s="793">
        <f>INPUT!GN536</f>
        <v>11.232845867637186</v>
      </c>
      <c r="EP39" s="752">
        <f>INPUT!GO536</f>
        <v>-1.9630524186455056</v>
      </c>
      <c r="EQ39" s="793">
        <f>INPUT!GP536</f>
        <v>11.058713894237973</v>
      </c>
      <c r="ER39" s="752">
        <f>INPUT!GQ536</f>
        <v>-1.5502035321334096</v>
      </c>
      <c r="ES39" s="793">
        <f>INPUT!GR536</f>
        <v>10.853213222328559</v>
      </c>
      <c r="ET39" s="752">
        <f>INPUT!GS536</f>
        <v>-1.8582691791718009</v>
      </c>
      <c r="EU39" s="756">
        <f>INPUT!GT536</f>
        <v>0.53742490044046409</v>
      </c>
      <c r="EV39" s="710"/>
    </row>
    <row r="40" spans="1:152" ht="12.75" customHeight="1" x14ac:dyDescent="0.2">
      <c r="A40" s="754" t="str">
        <f>INPUT!B538</f>
        <v>Reported ROE (Excl FAS 115)(%)</v>
      </c>
      <c r="B40" s="793">
        <f>INPUT!AS538</f>
        <v>4.8352142295281881</v>
      </c>
      <c r="C40" s="756" t="str">
        <f>INPUT!AT538</f>
        <v>NM</v>
      </c>
      <c r="D40" s="793">
        <f>INPUT!AU538</f>
        <v>7.5916746251913665</v>
      </c>
      <c r="E40" s="756">
        <f>INPUT!AV538</f>
        <v>-34.003839649131685</v>
      </c>
      <c r="F40" s="793">
        <f>INPUT!AW538</f>
        <v>-3.6964768861389317</v>
      </c>
      <c r="G40" s="756" t="str">
        <f>INPUT!AX538</f>
        <v>NM</v>
      </c>
      <c r="H40" s="793">
        <f>INPUT!AY538</f>
        <v>15.825863909607444</v>
      </c>
      <c r="I40" s="752">
        <f>INPUT!AZ538</f>
        <v>76.546144201076331</v>
      </c>
      <c r="J40" s="793">
        <f>INPUT!BA538</f>
        <v>10.233232177574985</v>
      </c>
      <c r="K40" s="752" t="str">
        <f>INPUT!BB538</f>
        <v>NM</v>
      </c>
      <c r="L40" s="793">
        <f>INPUT!BC538</f>
        <v>10.666061500056735</v>
      </c>
      <c r="M40" s="752">
        <f>INPUT!BD538</f>
        <v>40.496820881438531</v>
      </c>
      <c r="N40" s="793">
        <f>INPUT!BE538</f>
        <v>10.171359378507621</v>
      </c>
      <c r="O40" s="752" t="str">
        <f>INPUT!BF538</f>
        <v>NM</v>
      </c>
      <c r="P40" s="793">
        <f>INPUT!BG538</f>
        <v>8.5550950788214806</v>
      </c>
      <c r="Q40" s="752">
        <f>INPUT!BH538</f>
        <v>-45.942318677289272</v>
      </c>
      <c r="R40" s="793">
        <f>INPUT!BI538</f>
        <v>8.7306207385698311</v>
      </c>
      <c r="S40" s="752">
        <f>INPUT!BJ538</f>
        <v>-14.683644550721365</v>
      </c>
      <c r="T40" s="793">
        <f>INPUT!BK538</f>
        <v>12.850267379679131</v>
      </c>
      <c r="U40" s="752">
        <f>INPUT!BL538</f>
        <v>20.478091933098064</v>
      </c>
      <c r="V40" s="793">
        <f>INPUT!BM538</f>
        <v>5.7897981612029836</v>
      </c>
      <c r="W40" s="752">
        <f>INPUT!BN538</f>
        <v>-43.077439841158338</v>
      </c>
      <c r="X40" s="793">
        <f>INPUT!BO538</f>
        <v>2.2767504561671186</v>
      </c>
      <c r="Y40" s="752" t="str">
        <f>INPUT!BP538</f>
        <v>NM</v>
      </c>
      <c r="Z40" s="793">
        <f>INPUT!BQ538</f>
        <v>8.8783002550694157</v>
      </c>
      <c r="AA40" s="752">
        <f>INPUT!BR538</f>
        <v>1.6915122179935072</v>
      </c>
      <c r="AB40" s="793">
        <f>INPUT!BS538</f>
        <v>13.996032187731219</v>
      </c>
      <c r="AC40" s="752">
        <f>INPUT!BT538</f>
        <v>8.9162721225859656</v>
      </c>
      <c r="AD40" s="793">
        <f>INPUT!BU538</f>
        <v>11.231617180157976</v>
      </c>
      <c r="AE40" s="752">
        <f>INPUT!BV538</f>
        <v>93.989788027849144</v>
      </c>
      <c r="AF40" s="793">
        <f>INPUT!BW538</f>
        <v>9.8852341174429146</v>
      </c>
      <c r="AG40" s="752" t="str">
        <f>INPUT!BX538</f>
        <v>NM</v>
      </c>
      <c r="AH40" s="793">
        <f>INPUT!BY538</f>
        <v>10.962482765293533</v>
      </c>
      <c r="AI40" s="752">
        <f>INPUT!BZ538</f>
        <v>23.475017180614842</v>
      </c>
      <c r="AJ40" s="793">
        <f>INPUT!CA538</f>
        <v>9.9124982898204124</v>
      </c>
      <c r="AK40" s="752">
        <f>INPUT!CB538</f>
        <v>-29.176368295940268</v>
      </c>
      <c r="AL40" s="793">
        <f>INPUT!CC538</f>
        <v>10.384188898310615</v>
      </c>
      <c r="AM40" s="752">
        <f>INPUT!CD538</f>
        <v>-7.5450246233858991</v>
      </c>
      <c r="AN40" s="793">
        <f>INPUT!CE538</f>
        <v>10.828433089025479</v>
      </c>
      <c r="AO40" s="752">
        <f>INPUT!CF538</f>
        <v>9.5414935081633558</v>
      </c>
      <c r="AP40" s="793">
        <f>INPUT!CG538</f>
        <v>11.008406464238671</v>
      </c>
      <c r="AQ40" s="752">
        <f>INPUT!CH538</f>
        <v>0.41891695456552913</v>
      </c>
      <c r="AR40" s="793">
        <f>INPUT!CI538</f>
        <v>11.177615302921485</v>
      </c>
      <c r="AS40" s="752">
        <f>INPUT!CJ538</f>
        <v>12.76284722692238</v>
      </c>
      <c r="AT40" s="793">
        <f>INPUT!CK538</f>
        <v>9.6490861431719015</v>
      </c>
      <c r="AU40" s="752">
        <f>INPUT!CL538</f>
        <v>-7.079058001904281</v>
      </c>
      <c r="AV40" s="793">
        <f>INPUT!CM538</f>
        <v>-18.130673512756591</v>
      </c>
      <c r="AW40" s="752" t="str">
        <f>INPUT!CN538</f>
        <v>NM</v>
      </c>
      <c r="AX40" s="793">
        <f>INPUT!CO538</f>
        <v>11.088359555221478</v>
      </c>
      <c r="AY40" s="752">
        <f>INPUT!CP538</f>
        <v>0.72629123245528948</v>
      </c>
      <c r="AZ40" s="793">
        <f>INPUT!CQ538</f>
        <v>11.161903042572803</v>
      </c>
      <c r="BA40" s="752">
        <f>INPUT!CR538</f>
        <v>-0.14056898473304713</v>
      </c>
      <c r="BB40" s="793">
        <f>INPUT!CS538</f>
        <v>11.753593219473592</v>
      </c>
      <c r="BC40" s="752">
        <f>INPUT!CT538</f>
        <v>21.810428936743698</v>
      </c>
      <c r="BD40" s="793">
        <f>INPUT!CU538</f>
        <v>11.792583629534395</v>
      </c>
      <c r="BE40" s="752" t="str">
        <f>INPUT!CV538</f>
        <v>NM</v>
      </c>
      <c r="BF40" s="793">
        <f>INPUT!CW538</f>
        <v>10.447974988634034</v>
      </c>
      <c r="BG40" s="752">
        <f>INPUT!CX538</f>
        <v>-5.7752868077396435</v>
      </c>
      <c r="BH40" s="793">
        <f>INPUT!CY538</f>
        <v>10.643015521064298</v>
      </c>
      <c r="BI40" s="752">
        <f>INPUT!CZ538</f>
        <v>-4.648737043579465</v>
      </c>
      <c r="BJ40" s="793">
        <f>INPUT!DA538</f>
        <v>9.8732358349265112</v>
      </c>
      <c r="BK40" s="752">
        <f>INPUT!DB538</f>
        <v>-15.99814924198386</v>
      </c>
      <c r="BL40" s="793">
        <f>INPUT!DC538</f>
        <v>10.506332155816692</v>
      </c>
      <c r="BM40" s="752">
        <f>INPUT!DD538</f>
        <v>-10.907291515798967</v>
      </c>
      <c r="BN40" s="793">
        <f>INPUT!DE538</f>
        <v>10.711003326435364</v>
      </c>
      <c r="BO40" s="752">
        <f>INPUT!DF538</f>
        <v>2.5175054313153478</v>
      </c>
      <c r="BP40" s="793">
        <f>INPUT!DG538</f>
        <v>11.205373336921797</v>
      </c>
      <c r="BQ40" s="752">
        <f>INPUT!DH538</f>
        <v>5.2838203114944138</v>
      </c>
      <c r="BR40" s="793">
        <f>INPUT!DI538</f>
        <v>10.128162161537485</v>
      </c>
      <c r="BS40" s="752">
        <f>INPUT!DJ538</f>
        <v>2.5819936935890242</v>
      </c>
      <c r="BT40" s="793">
        <f>INPUT!DK538</f>
        <v>-13.241133379081404</v>
      </c>
      <c r="BU40" s="752" t="str">
        <f>INPUT!DL538</f>
        <v>NM</v>
      </c>
      <c r="BV40" s="793">
        <f>INPUT!DM538</f>
        <v>10.148364416373715</v>
      </c>
      <c r="BW40" s="752">
        <f>INPUT!DN538</f>
        <v>-5.2529057541511932</v>
      </c>
      <c r="BX40" s="793">
        <f>INPUT!DO538</f>
        <v>10.593430467329441</v>
      </c>
      <c r="BY40" s="752">
        <f>INPUT!DP538</f>
        <v>-5.4611555652144155</v>
      </c>
      <c r="BZ40" s="793">
        <f>INPUT!DQ538</f>
        <v>9.5510357109382404</v>
      </c>
      <c r="CA40" s="752">
        <f>INPUT!DR538</f>
        <v>-5.698234698402926</v>
      </c>
      <c r="CB40" s="793">
        <f>INPUT!DS538</f>
        <v>10.512062021630852</v>
      </c>
      <c r="CC40" s="752" t="str">
        <f>INPUT!DT538</f>
        <v>NM</v>
      </c>
      <c r="CD40" s="793">
        <f>INPUT!DU538</f>
        <v>9.7009339336918519</v>
      </c>
      <c r="CE40" s="752">
        <f>INPUT!DV538</f>
        <v>-4.4088925498178222</v>
      </c>
      <c r="CF40" s="793">
        <f>INPUT!DW538</f>
        <v>10.802426896583182</v>
      </c>
      <c r="CG40" s="752">
        <f>INPUT!DX538</f>
        <v>1.9728871577370022</v>
      </c>
      <c r="CH40" s="793">
        <f>INPUT!DY538</f>
        <v>10.649999717955524</v>
      </c>
      <c r="CI40" s="752">
        <f>INPUT!DZ538</f>
        <v>11.506228646582329</v>
      </c>
      <c r="CJ40" s="793">
        <f>INPUT!EA538</f>
        <v>11.065562341392676</v>
      </c>
      <c r="CK40" s="752">
        <f>INPUT!EB538</f>
        <v>5.2653829346029024</v>
      </c>
      <c r="CL40" s="793">
        <f>INPUT!EC538</f>
        <v>10.148833369752582</v>
      </c>
      <c r="CM40" s="752">
        <f>INPUT!ED538</f>
        <v>4.6170754189465368</v>
      </c>
      <c r="CN40" s="793">
        <f>INPUT!EE538</f>
        <v>10.705990396931915</v>
      </c>
      <c r="CO40" s="752">
        <f>INPUT!EF538</f>
        <v>-0.89272994461799815</v>
      </c>
      <c r="CP40" s="793">
        <f>INPUT!EG538</f>
        <v>10.86318515321536</v>
      </c>
      <c r="CQ40" s="752">
        <f>INPUT!EH538</f>
        <v>2.0017412291609027</v>
      </c>
      <c r="CR40" s="793">
        <f>INPUT!EI538</f>
        <v>11.374569165286033</v>
      </c>
      <c r="CS40" s="752">
        <f>INPUT!EJ538</f>
        <v>2.7925089964697225</v>
      </c>
      <c r="CT40" s="793">
        <f>INPUT!EK538</f>
        <v>11.020488161748974</v>
      </c>
      <c r="CU40" s="752">
        <f>INPUT!EL538</f>
        <v>8.5887191191280863</v>
      </c>
      <c r="CV40" s="793">
        <f>INPUT!EM538</f>
        <v>11.518981233655962</v>
      </c>
      <c r="CW40" s="752">
        <f>INPUT!EN538</f>
        <v>7.5937938161894092</v>
      </c>
      <c r="CX40" s="793">
        <f>INPUT!EO538</f>
        <v>11.419047258549991</v>
      </c>
      <c r="CY40" s="752">
        <f>INPUT!EP538</f>
        <v>5.116934835360909</v>
      </c>
      <c r="CZ40" s="793">
        <f>INPUT!EQ538</f>
        <v>11.39303176436087</v>
      </c>
      <c r="DA40" s="752">
        <f>INPUT!ER538</f>
        <v>0.162314711058964</v>
      </c>
      <c r="DB40" s="753"/>
      <c r="DC40" s="793">
        <f>INPUT!FB538</f>
        <v>-7.4559989137629641</v>
      </c>
      <c r="DD40" s="756" t="str">
        <f>INPUT!FC538</f>
        <v>NA</v>
      </c>
      <c r="DE40" s="793">
        <f>INPUT!FD538</f>
        <v>9.3027923430091217</v>
      </c>
      <c r="DF40" s="756" t="str">
        <f>INPUT!FE538</f>
        <v>NM</v>
      </c>
      <c r="DG40" s="793">
        <f>INPUT!FF538</f>
        <v>-3.1712369303610077</v>
      </c>
      <c r="DH40" s="756" t="str">
        <f>INPUT!FG538</f>
        <v>NM</v>
      </c>
      <c r="DI40" s="793">
        <f>INPUT!FH538</f>
        <v>-1.6769682845273111</v>
      </c>
      <c r="DJ40" s="756">
        <f>INPUT!FI538</f>
        <v>-47.11942622538745</v>
      </c>
      <c r="DK40" s="793">
        <f>INPUT!FJ538</f>
        <v>8.6407555637423332</v>
      </c>
      <c r="DL40" s="752" t="str">
        <f>INPUT!FK538</f>
        <v>NM</v>
      </c>
      <c r="DM40" s="793">
        <f>INPUT!FL538</f>
        <v>6.2060361931100863</v>
      </c>
      <c r="DN40" s="752">
        <f>INPUT!FM538</f>
        <v>-28.177158266675505</v>
      </c>
      <c r="DO40" s="793">
        <f>INPUT!FN538</f>
        <v>9.7218438402441052</v>
      </c>
      <c r="DP40" s="752">
        <f>INPUT!FO538</f>
        <v>56.651420290414237</v>
      </c>
      <c r="DQ40" s="793">
        <f>INPUT!FP538</f>
        <v>7.4093420391762903</v>
      </c>
      <c r="DR40" s="752">
        <f>INPUT!FQ538</f>
        <v>-23.786658570826724</v>
      </c>
      <c r="DS40" s="793">
        <f>INPUT!FR538</f>
        <v>10.401040963382135</v>
      </c>
      <c r="DT40" s="752">
        <f>INPUT!FS538</f>
        <v>40.377389900310725</v>
      </c>
      <c r="DU40" s="793">
        <f>INPUT!FT538</f>
        <v>10.777899168947854</v>
      </c>
      <c r="DV40" s="752">
        <f>INPUT!FU538</f>
        <v>3.6232739289508098</v>
      </c>
      <c r="DW40" s="793">
        <f>INPUT!FV538</f>
        <v>3.5880667112755158</v>
      </c>
      <c r="DX40" s="752" t="str">
        <f>INPUT!FW538</f>
        <v>NM</v>
      </c>
      <c r="DY40" s="793">
        <f>INPUT!FX538</f>
        <v>11.318782858053209</v>
      </c>
      <c r="DZ40" s="752" t="str">
        <f>INPUT!FY538</f>
        <v>NM</v>
      </c>
      <c r="EA40" s="793">
        <f>INPUT!FZ538</f>
        <v>10.348514004703869</v>
      </c>
      <c r="EB40" s="752">
        <f>INPUT!GA538</f>
        <v>-8.5722013180860923</v>
      </c>
      <c r="EC40" s="793">
        <f>INPUT!GB538</f>
        <v>4.8039473369811949</v>
      </c>
      <c r="ED40" s="752" t="str">
        <f>INPUT!GC538</f>
        <v>NM</v>
      </c>
      <c r="EE40" s="793">
        <f>INPUT!GD538</f>
        <v>10.199196626537196</v>
      </c>
      <c r="EF40" s="752" t="str">
        <f>INPUT!GE538</f>
        <v>NM</v>
      </c>
      <c r="EG40" s="793">
        <f>INPUT!GF538</f>
        <v>10.544071365499141</v>
      </c>
      <c r="EH40" s="752">
        <f>INPUT!GG538</f>
        <v>3.381391217271168</v>
      </c>
      <c r="EI40" s="793">
        <f>INPUT!GH538</f>
        <v>10.76116622622709</v>
      </c>
      <c r="EJ40" s="752">
        <f>INPUT!GI538</f>
        <v>2.0589282185465629</v>
      </c>
      <c r="EK40" s="793">
        <f>INPUT!GJ538</f>
        <v>11.334580874287983</v>
      </c>
      <c r="EL40" s="752">
        <f>INPUT!GK538</f>
        <v>5.3285548797059601</v>
      </c>
      <c r="EM40" s="793">
        <f>INPUT!GL538</f>
        <v>11.052399637695082</v>
      </c>
      <c r="EN40" s="752">
        <f>INPUT!GM538</f>
        <v>-2.4895603968296487</v>
      </c>
      <c r="EO40" s="793">
        <f>INPUT!GN538</f>
        <v>10.839760909556633</v>
      </c>
      <c r="EP40" s="752">
        <f>INPUT!GO538</f>
        <v>-1.9239145806239977</v>
      </c>
      <c r="EQ40" s="793">
        <f>INPUT!GP538</f>
        <v>10.676904854741721</v>
      </c>
      <c r="ER40" s="752">
        <f>INPUT!GQ538</f>
        <v>-1.5023952665905504</v>
      </c>
      <c r="ES40" s="793">
        <f>INPUT!GR538</f>
        <v>10.48174210067225</v>
      </c>
      <c r="ET40" s="752">
        <f>INPUT!GS538</f>
        <v>-1.8278963494068989</v>
      </c>
      <c r="EU40" s="756">
        <f>INPUT!GT538</f>
        <v>-0.5247988566461026</v>
      </c>
      <c r="EV40" s="710"/>
    </row>
    <row r="41" spans="1:152" ht="12.75" customHeight="1" x14ac:dyDescent="0.2">
      <c r="A41" s="754" t="str">
        <f>INPUT!B539</f>
        <v>Reported ROE (Incl FAS 115)(%)</v>
      </c>
      <c r="B41" s="793">
        <f>INPUT!AS539</f>
        <v>4.3238897781350625</v>
      </c>
      <c r="C41" s="756">
        <f>INPUT!AT539</f>
        <v>-49.301895189269864</v>
      </c>
      <c r="D41" s="793">
        <f>INPUT!AU539</f>
        <v>7.3892098060479805</v>
      </c>
      <c r="E41" s="756">
        <f>INPUT!AV539</f>
        <v>-19.621314522214373</v>
      </c>
      <c r="F41" s="793">
        <f>INPUT!AW539</f>
        <v>-3.4948872871417449</v>
      </c>
      <c r="G41" s="756" t="str">
        <f>INPUT!AX539</f>
        <v>NM</v>
      </c>
      <c r="H41" s="793">
        <f>INPUT!AY539</f>
        <v>14.424156936499235</v>
      </c>
      <c r="I41" s="752">
        <f>INPUT!AZ539</f>
        <v>91.468881749079372</v>
      </c>
      <c r="J41" s="793">
        <f>INPUT!BA539</f>
        <v>9.4492361911575671</v>
      </c>
      <c r="K41" s="752" t="str">
        <f>INPUT!BB539</f>
        <v>NM</v>
      </c>
      <c r="L41" s="793">
        <f>INPUT!BC539</f>
        <v>10.197854653449234</v>
      </c>
      <c r="M41" s="752">
        <f>INPUT!BD539</f>
        <v>38.010083907786886</v>
      </c>
      <c r="N41" s="793">
        <f>INPUT!BE539</f>
        <v>9.8352891648686942</v>
      </c>
      <c r="O41" s="752" t="str">
        <f>INPUT!BF539</f>
        <v>NM</v>
      </c>
      <c r="P41" s="793">
        <f>INPUT!BG539</f>
        <v>8.0903803864983939</v>
      </c>
      <c r="Q41" s="752">
        <f>INPUT!BH539</f>
        <v>-43.91089599124993</v>
      </c>
      <c r="R41" s="793">
        <f>INPUT!BI539</f>
        <v>8.3223308649534697</v>
      </c>
      <c r="S41" s="752">
        <f>INPUT!BJ539</f>
        <v>-11.925888012606102</v>
      </c>
      <c r="T41" s="793">
        <f>INPUT!BK539</f>
        <v>12.562488972534243</v>
      </c>
      <c r="U41" s="752">
        <f>INPUT!BL539</f>
        <v>23.187566399421232</v>
      </c>
      <c r="V41" s="793">
        <f>INPUT!BM539</f>
        <v>5.9999166678240501</v>
      </c>
      <c r="W41" s="752">
        <f>INPUT!BN539</f>
        <v>-38.996031868025391</v>
      </c>
      <c r="X41" s="793">
        <f>INPUT!BO539</f>
        <v>2.5461024227565647</v>
      </c>
      <c r="Y41" s="752" t="str">
        <f>INPUT!BP539</f>
        <v>NM</v>
      </c>
      <c r="Z41" s="793">
        <f>INPUT!BQ539</f>
        <v>10.289770289770285</v>
      </c>
      <c r="AA41" s="752">
        <f>INPUT!BR539</f>
        <v>23.64048554115994</v>
      </c>
      <c r="AB41" s="793">
        <f>INPUT!BS539</f>
        <v>15.377310984821246</v>
      </c>
      <c r="AC41" s="752">
        <f>INPUT!BT539</f>
        <v>22.406563050054285</v>
      </c>
      <c r="AD41" s="793">
        <f>INPUT!BU539</f>
        <v>11.250906407826267</v>
      </c>
      <c r="AE41" s="752">
        <f>INPUT!BV539</f>
        <v>87.517711173587998</v>
      </c>
      <c r="AF41" s="793">
        <f>INPUT!BW539</f>
        <v>9.5275068535695198</v>
      </c>
      <c r="AG41" s="752" t="str">
        <f>INPUT!BX539</f>
        <v>NM</v>
      </c>
      <c r="AH41" s="793">
        <f>INPUT!BY539</f>
        <v>10.490558612987043</v>
      </c>
      <c r="AI41" s="752">
        <f>INPUT!BZ539</f>
        <v>1.9513392190724899</v>
      </c>
      <c r="AJ41" s="793">
        <f>INPUT!CA539</f>
        <v>9.4403435324242686</v>
      </c>
      <c r="AK41" s="752">
        <f>INPUT!CB539</f>
        <v>-38.608619271973396</v>
      </c>
      <c r="AL41" s="793">
        <f>INPUT!CC539</f>
        <v>9.840524168624059</v>
      </c>
      <c r="AM41" s="752">
        <f>INPUT!CD539</f>
        <v>-12.535721017296254</v>
      </c>
      <c r="AN41" s="793">
        <f>INPUT!CE539</f>
        <v>10.302716985467301</v>
      </c>
      <c r="AO41" s="752">
        <f>INPUT!CF539</f>
        <v>8.1365476174634956</v>
      </c>
      <c r="AP41" s="793">
        <f>INPUT!CG539</f>
        <v>10.517960146056641</v>
      </c>
      <c r="AQ41" s="752">
        <f>INPUT!CH539</f>
        <v>0.26120184901952115</v>
      </c>
      <c r="AR41" s="793">
        <f>INPUT!CI539</f>
        <v>10.62310385064178</v>
      </c>
      <c r="AS41" s="752">
        <f>INPUT!CJ539</f>
        <v>12.52878472224177</v>
      </c>
      <c r="AT41" s="793">
        <f>INPUT!CK539</f>
        <v>8.9390913767638942</v>
      </c>
      <c r="AU41" s="752">
        <f>INPUT!CL539</f>
        <v>-9.1604143886392819</v>
      </c>
      <c r="AV41" s="793">
        <f>INPUT!CM539</f>
        <v>-16.744375999727747</v>
      </c>
      <c r="AW41" s="752" t="str">
        <f>INPUT!CN539</f>
        <v>NM</v>
      </c>
      <c r="AX41" s="793">
        <f>INPUT!CO539</f>
        <v>10.466311102412289</v>
      </c>
      <c r="AY41" s="752">
        <f>INPUT!CP539</f>
        <v>-0.49105570782862484</v>
      </c>
      <c r="AZ41" s="793">
        <f>INPUT!CQ539</f>
        <v>10.450446099795959</v>
      </c>
      <c r="BA41" s="752">
        <f>INPUT!CR539</f>
        <v>-1.625304179205489</v>
      </c>
      <c r="BB41" s="793">
        <f>INPUT!CS539</f>
        <v>10.795347964734573</v>
      </c>
      <c r="BC41" s="752">
        <f>INPUT!CT539</f>
        <v>20.765607036927669</v>
      </c>
      <c r="BD41" s="793">
        <f>INPUT!CU539</f>
        <v>10.8250076652069</v>
      </c>
      <c r="BE41" s="752" t="str">
        <f>INPUT!CV539</f>
        <v>NM</v>
      </c>
      <c r="BF41" s="793">
        <f>INPUT!CW539</f>
        <v>9.7703023808414518</v>
      </c>
      <c r="BG41" s="752">
        <f>INPUT!CX539</f>
        <v>-6.6499907633208117</v>
      </c>
      <c r="BH41" s="793">
        <f>INPUT!CY539</f>
        <v>10.201671940679162</v>
      </c>
      <c r="BI41" s="752">
        <f>INPUT!CZ539</f>
        <v>-2.3805123412066975</v>
      </c>
      <c r="BJ41" s="793">
        <f>INPUT!DA539</f>
        <v>9.51057153749157</v>
      </c>
      <c r="BK41" s="752">
        <f>INPUT!DB539</f>
        <v>-11.901204402489052</v>
      </c>
      <c r="BL41" s="793">
        <f>INPUT!DC539</f>
        <v>10.102947463286691</v>
      </c>
      <c r="BM41" s="752">
        <f>INPUT!DD539</f>
        <v>-6.670297373007994</v>
      </c>
      <c r="BN41" s="793">
        <f>INPUT!DE539</f>
        <v>10.279230423426435</v>
      </c>
      <c r="BO41" s="752">
        <f>INPUT!DF539</f>
        <v>5.2089282680026328</v>
      </c>
      <c r="BP41" s="793">
        <f>INPUT!DG539</f>
        <v>10.536334178719379</v>
      </c>
      <c r="BQ41" s="752">
        <f>INPUT!DH539</f>
        <v>3.2804646139007021</v>
      </c>
      <c r="BR41" s="793">
        <f>INPUT!DI539</f>
        <v>9.4814109603120098</v>
      </c>
      <c r="BS41" s="752">
        <f>INPUT!DJ539</f>
        <v>-0.3066122479033595</v>
      </c>
      <c r="BT41" s="793">
        <f>INPUT!DK539</f>
        <v>-12.708205506363674</v>
      </c>
      <c r="BU41" s="752" t="str">
        <f>INPUT!DL539</f>
        <v>NM</v>
      </c>
      <c r="BV41" s="793">
        <f>INPUT!DM539</f>
        <v>9.8966867714906659</v>
      </c>
      <c r="BW41" s="752">
        <f>INPUT!DN539</f>
        <v>-3.7215203490715609</v>
      </c>
      <c r="BX41" s="793">
        <f>INPUT!DO539</f>
        <v>10.430375037782786</v>
      </c>
      <c r="BY41" s="752">
        <f>INPUT!DP539</f>
        <v>-1.0056547100660729</v>
      </c>
      <c r="BZ41" s="793">
        <f>INPUT!DQ539</f>
        <v>9.5362874923962462</v>
      </c>
      <c r="CA41" s="752">
        <f>INPUT!DR539</f>
        <v>0.57878022916570959</v>
      </c>
      <c r="CB41" s="793">
        <f>INPUT!DS539</f>
        <v>10.488837344157723</v>
      </c>
      <c r="CC41" s="752" t="str">
        <f>INPUT!DT539</f>
        <v>NM</v>
      </c>
      <c r="CD41" s="793">
        <f>INPUT!DU539</f>
        <v>9.5813286928037602</v>
      </c>
      <c r="CE41" s="752">
        <f>INPUT!DV539</f>
        <v>-3.1865015632843496</v>
      </c>
      <c r="CF41" s="793">
        <f>INPUT!DW539</f>
        <v>10.479441066973493</v>
      </c>
      <c r="CG41" s="752">
        <f>INPUT!DX539</f>
        <v>0.47041481263110363</v>
      </c>
      <c r="CH41" s="793">
        <f>INPUT!DY539</f>
        <v>10.195375360456207</v>
      </c>
      <c r="CI41" s="752">
        <f>INPUT!DZ539</f>
        <v>6.9113674329290609</v>
      </c>
      <c r="CJ41" s="793">
        <f>INPUT!EA539</f>
        <v>10.824258560111733</v>
      </c>
      <c r="CK41" s="752">
        <f>INPUT!EB539</f>
        <v>3.197887477403194</v>
      </c>
      <c r="CL41" s="793">
        <f>INPUT!EC539</f>
        <v>10.177249707830141</v>
      </c>
      <c r="CM41" s="752">
        <f>INPUT!ED539</f>
        <v>6.219607260462312</v>
      </c>
      <c r="CN41" s="793">
        <f>INPUT!EE539</f>
        <v>10.644789330021046</v>
      </c>
      <c r="CO41" s="752">
        <f>INPUT!EF539</f>
        <v>1.5778347527394043</v>
      </c>
      <c r="CP41" s="793">
        <f>INPUT!EG539</f>
        <v>10.730501140408839</v>
      </c>
      <c r="CQ41" s="752">
        <f>INPUT!EH539</f>
        <v>5.2487109207197014</v>
      </c>
      <c r="CR41" s="793">
        <f>INPUT!EI539</f>
        <v>11.22401240570872</v>
      </c>
      <c r="CS41" s="752">
        <f>INPUT!EJ539</f>
        <v>3.6931291263690991</v>
      </c>
      <c r="CT41" s="793">
        <f>INPUT!EK539</f>
        <v>10.874584959595559</v>
      </c>
      <c r="CU41" s="752">
        <f>INPUT!EL539</f>
        <v>6.8519027417486278</v>
      </c>
      <c r="CV41" s="793">
        <f>INPUT!EM539</f>
        <v>11.368338743904266</v>
      </c>
      <c r="CW41" s="752">
        <f>INPUT!EN539</f>
        <v>6.7972168490232576</v>
      </c>
      <c r="CX41" s="793">
        <f>INPUT!EO539</f>
        <v>11.271584540867615</v>
      </c>
      <c r="CY41" s="752">
        <f>INPUT!EP539</f>
        <v>5.0424802474617669</v>
      </c>
      <c r="CZ41" s="793">
        <f>INPUT!EQ539</f>
        <v>11.247708532360329</v>
      </c>
      <c r="DA41" s="752">
        <f>INPUT!ER539</f>
        <v>0.2111199257010643</v>
      </c>
      <c r="DB41" s="753"/>
      <c r="DC41" s="793">
        <f>INPUT!FB539</f>
        <v>-7.6301140261747822</v>
      </c>
      <c r="DD41" s="756" t="str">
        <f>INPUT!FC539</f>
        <v>NA</v>
      </c>
      <c r="DE41" s="793">
        <f>INPUT!FD539</f>
        <v>8.7021145105647442</v>
      </c>
      <c r="DF41" s="756" t="str">
        <f>INPUT!FE539</f>
        <v>NM</v>
      </c>
      <c r="DG41" s="793">
        <f>INPUT!FF539</f>
        <v>-2.733417409417457</v>
      </c>
      <c r="DH41" s="756" t="str">
        <f>INPUT!FG539</f>
        <v>NM</v>
      </c>
      <c r="DI41" s="793">
        <f>INPUT!FH539</f>
        <v>-1.370118177867006</v>
      </c>
      <c r="DJ41" s="756">
        <f>INPUT!FI539</f>
        <v>-49.875267013865844</v>
      </c>
      <c r="DK41" s="793">
        <f>INPUT!FJ539</f>
        <v>7.0743076501234015</v>
      </c>
      <c r="DL41" s="752" t="str">
        <f>INPUT!FK539</f>
        <v>NM</v>
      </c>
      <c r="DM41" s="793">
        <f>INPUT!FL539</f>
        <v>5.4751470227479198</v>
      </c>
      <c r="DN41" s="752">
        <f>INPUT!FM539</f>
        <v>-22.605189178443297</v>
      </c>
      <c r="DO41" s="793">
        <f>INPUT!FN539</f>
        <v>9.0578537569723405</v>
      </c>
      <c r="DP41" s="752">
        <f>INPUT!FO539</f>
        <v>65.435808743384143</v>
      </c>
      <c r="DQ41" s="793">
        <f>INPUT!FP539</f>
        <v>7.6632173876906435</v>
      </c>
      <c r="DR41" s="752">
        <f>INPUT!FQ539</f>
        <v>-15.396984834383831</v>
      </c>
      <c r="DS41" s="793">
        <f>INPUT!FR539</f>
        <v>9.9770385634383167</v>
      </c>
      <c r="DT41" s="752">
        <f>INPUT!FS539</f>
        <v>30.193860603045696</v>
      </c>
      <c r="DU41" s="793">
        <f>INPUT!FT539</f>
        <v>10.338534000588744</v>
      </c>
      <c r="DV41" s="752">
        <f>INPUT!FU539</f>
        <v>3.6232739289507876</v>
      </c>
      <c r="DW41" s="793">
        <f>INPUT!FV539</f>
        <v>3.4128709185450239</v>
      </c>
      <c r="DX41" s="752" t="str">
        <f>INPUT!FW539</f>
        <v>NM</v>
      </c>
      <c r="DY41" s="793">
        <f>INPUT!FX539</f>
        <v>10.58376980509227</v>
      </c>
      <c r="DZ41" s="752" t="str">
        <f>INPUT!FY539</f>
        <v>NM</v>
      </c>
      <c r="EA41" s="793">
        <f>INPUT!FZ539</f>
        <v>9.8188668308940734</v>
      </c>
      <c r="EB41" s="752">
        <f>INPUT!GA539</f>
        <v>-7.2271316202490716</v>
      </c>
      <c r="EC41" s="793">
        <f>INPUT!GB539</f>
        <v>4.6859886492092908</v>
      </c>
      <c r="ED41" s="752" t="str">
        <f>INPUT!GC539</f>
        <v>NM</v>
      </c>
      <c r="EE41" s="793">
        <f>INPUT!GD539</f>
        <v>10.090888989747345</v>
      </c>
      <c r="EF41" s="752" t="str">
        <f>INPUT!GE539</f>
        <v>NM</v>
      </c>
      <c r="EG41" s="793">
        <f>INPUT!GF539</f>
        <v>10.564941951803277</v>
      </c>
      <c r="EH41" s="752">
        <f>INPUT!GG539</f>
        <v>4.6978315046135588</v>
      </c>
      <c r="EI41" s="793">
        <f>INPUT!GH539</f>
        <v>10.716770300222722</v>
      </c>
      <c r="EJ41" s="752">
        <f>INPUT!GI539</f>
        <v>1.4370959075031164</v>
      </c>
      <c r="EK41" s="793">
        <f>INPUT!GJ539</f>
        <v>11.187361496186142</v>
      </c>
      <c r="EL41" s="752">
        <f>INPUT!GK539</f>
        <v>4.39116620754334</v>
      </c>
      <c r="EM41" s="793">
        <f>INPUT!GL539</f>
        <v>10.915682395056761</v>
      </c>
      <c r="EN41" s="752">
        <f>INPUT!GM539</f>
        <v>-2.4284466111334502</v>
      </c>
      <c r="EO41" s="793">
        <f>INPUT!GN539</f>
        <v>10.711822192985958</v>
      </c>
      <c r="EP41" s="752">
        <f>INPUT!GO539</f>
        <v>-1.8675900845477433</v>
      </c>
      <c r="EQ41" s="793">
        <f>INPUT!GP539</f>
        <v>10.556487302400107</v>
      </c>
      <c r="ER41" s="752">
        <f>INPUT!GQ539</f>
        <v>-1.4501257375945098</v>
      </c>
      <c r="ES41" s="793">
        <f>INPUT!GR539</f>
        <v>10.368610304773009</v>
      </c>
      <c r="ET41" s="752">
        <f>INPUT!GS539</f>
        <v>-1.7797302478105848</v>
      </c>
      <c r="EU41" s="756">
        <f>INPUT!GT539</f>
        <v>-0.65835985506691452</v>
      </c>
      <c r="EV41" s="710"/>
    </row>
    <row r="42" spans="1:152" ht="12.75" customHeight="1" x14ac:dyDescent="0.2">
      <c r="A42" s="754"/>
      <c r="B42" s="750"/>
      <c r="C42" s="756"/>
      <c r="D42" s="750"/>
      <c r="E42" s="756"/>
      <c r="F42" s="750"/>
      <c r="G42" s="756"/>
      <c r="H42" s="750"/>
      <c r="I42" s="752"/>
      <c r="J42" s="750"/>
      <c r="K42" s="752"/>
      <c r="L42" s="750"/>
      <c r="M42" s="752"/>
      <c r="N42" s="750"/>
      <c r="O42" s="752"/>
      <c r="P42" s="750"/>
      <c r="Q42" s="752"/>
      <c r="R42" s="750"/>
      <c r="S42" s="752"/>
      <c r="T42" s="750"/>
      <c r="U42" s="752"/>
      <c r="V42" s="750"/>
      <c r="W42" s="752"/>
      <c r="X42" s="750"/>
      <c r="Y42" s="752"/>
      <c r="Z42" s="750"/>
      <c r="AA42" s="752"/>
      <c r="AB42" s="750"/>
      <c r="AC42" s="752"/>
      <c r="AD42" s="750"/>
      <c r="AE42" s="752"/>
      <c r="AF42" s="750"/>
      <c r="AG42" s="752"/>
      <c r="AH42" s="750"/>
      <c r="AI42" s="752"/>
      <c r="AJ42" s="750"/>
      <c r="AK42" s="752"/>
      <c r="AL42" s="750"/>
      <c r="AM42" s="752"/>
      <c r="AN42" s="750"/>
      <c r="AO42" s="752"/>
      <c r="AP42" s="750"/>
      <c r="AQ42" s="752"/>
      <c r="AR42" s="750"/>
      <c r="AS42" s="752"/>
      <c r="AT42" s="750"/>
      <c r="AU42" s="752"/>
      <c r="AV42" s="750"/>
      <c r="AW42" s="752"/>
      <c r="AX42" s="750"/>
      <c r="AY42" s="752"/>
      <c r="AZ42" s="750"/>
      <c r="BA42" s="752"/>
      <c r="BB42" s="750"/>
      <c r="BC42" s="752"/>
      <c r="BD42" s="750"/>
      <c r="BE42" s="752"/>
      <c r="BF42" s="750"/>
      <c r="BG42" s="752"/>
      <c r="BH42" s="750"/>
      <c r="BI42" s="752"/>
      <c r="BJ42" s="750"/>
      <c r="BK42" s="752"/>
      <c r="BL42" s="750"/>
      <c r="BM42" s="752"/>
      <c r="BN42" s="750"/>
      <c r="BO42" s="752"/>
      <c r="BP42" s="750"/>
      <c r="BQ42" s="752"/>
      <c r="BR42" s="750"/>
      <c r="BS42" s="752"/>
      <c r="BT42" s="750"/>
      <c r="BU42" s="752"/>
      <c r="BV42" s="750"/>
      <c r="BW42" s="752"/>
      <c r="BX42" s="750"/>
      <c r="BY42" s="752"/>
      <c r="BZ42" s="750"/>
      <c r="CA42" s="752"/>
      <c r="CB42" s="750"/>
      <c r="CC42" s="752"/>
      <c r="CD42" s="750"/>
      <c r="CE42" s="752"/>
      <c r="CF42" s="750"/>
      <c r="CG42" s="752"/>
      <c r="CH42" s="750"/>
      <c r="CI42" s="752"/>
      <c r="CJ42" s="750"/>
      <c r="CK42" s="752"/>
      <c r="CL42" s="750"/>
      <c r="CM42" s="752"/>
      <c r="CN42" s="750"/>
      <c r="CO42" s="752"/>
      <c r="CP42" s="750"/>
      <c r="CQ42" s="752"/>
      <c r="CR42" s="750"/>
      <c r="CS42" s="752"/>
      <c r="CT42" s="750"/>
      <c r="CU42" s="752"/>
      <c r="CV42" s="750"/>
      <c r="CW42" s="752"/>
      <c r="CX42" s="750"/>
      <c r="CY42" s="752"/>
      <c r="CZ42" s="750"/>
      <c r="DA42" s="752"/>
      <c r="DB42" s="753"/>
      <c r="DC42" s="750"/>
      <c r="DD42" s="756"/>
      <c r="DE42" s="750"/>
      <c r="DF42" s="756"/>
      <c r="DG42" s="750"/>
      <c r="DH42" s="756"/>
      <c r="DI42" s="750"/>
      <c r="DJ42" s="756"/>
      <c r="DK42" s="750"/>
      <c r="DL42" s="752"/>
      <c r="DM42" s="750"/>
      <c r="DN42" s="752"/>
      <c r="DO42" s="750"/>
      <c r="DP42" s="752"/>
      <c r="DQ42" s="750"/>
      <c r="DR42" s="752"/>
      <c r="DS42" s="750"/>
      <c r="DT42" s="752"/>
      <c r="DU42" s="750"/>
      <c r="DV42" s="752"/>
      <c r="DW42" s="750"/>
      <c r="DX42" s="752"/>
      <c r="DY42" s="750"/>
      <c r="DZ42" s="752"/>
      <c r="EA42" s="750"/>
      <c r="EB42" s="752"/>
      <c r="EC42" s="750"/>
      <c r="ED42" s="752"/>
      <c r="EE42" s="750"/>
      <c r="EF42" s="752"/>
      <c r="EG42" s="750"/>
      <c r="EH42" s="752"/>
      <c r="EI42" s="750"/>
      <c r="EJ42" s="752"/>
      <c r="EK42" s="750"/>
      <c r="EL42" s="752"/>
      <c r="EM42" s="750"/>
      <c r="EN42" s="752"/>
      <c r="EO42" s="750"/>
      <c r="EP42" s="752"/>
      <c r="EQ42" s="750"/>
      <c r="ER42" s="752"/>
      <c r="ES42" s="750"/>
      <c r="ET42" s="752"/>
      <c r="EU42" s="756"/>
      <c r="EV42" s="710"/>
    </row>
    <row r="43" spans="1:152" ht="12.75" customHeight="1" x14ac:dyDescent="0.2">
      <c r="A43" s="749" t="str">
        <f>INPUT!B458</f>
        <v>Dividends</v>
      </c>
      <c r="B43" s="750"/>
      <c r="C43" s="767"/>
      <c r="D43" s="750"/>
      <c r="E43" s="767"/>
      <c r="F43" s="750"/>
      <c r="G43" s="767"/>
      <c r="H43" s="750"/>
      <c r="I43" s="752"/>
      <c r="J43" s="750"/>
      <c r="K43" s="752"/>
      <c r="L43" s="750"/>
      <c r="M43" s="752"/>
      <c r="N43" s="750"/>
      <c r="O43" s="752"/>
      <c r="P43" s="750"/>
      <c r="Q43" s="752"/>
      <c r="R43" s="750"/>
      <c r="S43" s="752"/>
      <c r="T43" s="750"/>
      <c r="U43" s="752"/>
      <c r="V43" s="750"/>
      <c r="W43" s="752"/>
      <c r="X43" s="750"/>
      <c r="Y43" s="752"/>
      <c r="Z43" s="750"/>
      <c r="AA43" s="752"/>
      <c r="AB43" s="750"/>
      <c r="AC43" s="752"/>
      <c r="AD43" s="750"/>
      <c r="AE43" s="752"/>
      <c r="AF43" s="750"/>
      <c r="AG43" s="752"/>
      <c r="AH43" s="750"/>
      <c r="AI43" s="752"/>
      <c r="AJ43" s="750"/>
      <c r="AK43" s="752"/>
      <c r="AL43" s="750"/>
      <c r="AM43" s="752"/>
      <c r="AN43" s="750"/>
      <c r="AO43" s="752"/>
      <c r="AP43" s="750"/>
      <c r="AQ43" s="752"/>
      <c r="AR43" s="750"/>
      <c r="AS43" s="752"/>
      <c r="AT43" s="750"/>
      <c r="AU43" s="752"/>
      <c r="AV43" s="750"/>
      <c r="AW43" s="752"/>
      <c r="AX43" s="750"/>
      <c r="AY43" s="752"/>
      <c r="AZ43" s="750"/>
      <c r="BA43" s="752"/>
      <c r="BB43" s="750"/>
      <c r="BC43" s="752"/>
      <c r="BD43" s="750"/>
      <c r="BE43" s="752"/>
      <c r="BF43" s="750"/>
      <c r="BG43" s="752"/>
      <c r="BH43" s="750"/>
      <c r="BI43" s="752"/>
      <c r="BJ43" s="750"/>
      <c r="BK43" s="752"/>
      <c r="BL43" s="750"/>
      <c r="BM43" s="752"/>
      <c r="BN43" s="750"/>
      <c r="BO43" s="752"/>
      <c r="BP43" s="750"/>
      <c r="BQ43" s="752"/>
      <c r="BR43" s="750"/>
      <c r="BS43" s="752"/>
      <c r="BT43" s="750"/>
      <c r="BU43" s="752"/>
      <c r="BV43" s="750"/>
      <c r="BW43" s="752"/>
      <c r="BX43" s="750"/>
      <c r="BY43" s="752"/>
      <c r="BZ43" s="750"/>
      <c r="CA43" s="752"/>
      <c r="CB43" s="750"/>
      <c r="CC43" s="752"/>
      <c r="CD43" s="750"/>
      <c r="CE43" s="752"/>
      <c r="CF43" s="750"/>
      <c r="CG43" s="752"/>
      <c r="CH43" s="750"/>
      <c r="CI43" s="752"/>
      <c r="CJ43" s="750"/>
      <c r="CK43" s="752"/>
      <c r="CL43" s="750"/>
      <c r="CM43" s="752"/>
      <c r="CN43" s="750"/>
      <c r="CO43" s="752"/>
      <c r="CP43" s="750"/>
      <c r="CQ43" s="752"/>
      <c r="CR43" s="750"/>
      <c r="CS43" s="752"/>
      <c r="CT43" s="750"/>
      <c r="CU43" s="752"/>
      <c r="CV43" s="750"/>
      <c r="CW43" s="752"/>
      <c r="CX43" s="750"/>
      <c r="CY43" s="752"/>
      <c r="CZ43" s="750"/>
      <c r="DA43" s="752"/>
      <c r="DB43" s="753"/>
      <c r="DC43" s="750"/>
      <c r="DD43" s="767"/>
      <c r="DE43" s="750"/>
      <c r="DF43" s="767"/>
      <c r="DG43" s="750"/>
      <c r="DH43" s="767"/>
      <c r="DI43" s="750"/>
      <c r="DJ43" s="767"/>
      <c r="DK43" s="750"/>
      <c r="DL43" s="752"/>
      <c r="DM43" s="750"/>
      <c r="DN43" s="752"/>
      <c r="DO43" s="750"/>
      <c r="DP43" s="752"/>
      <c r="DQ43" s="750"/>
      <c r="DR43" s="752"/>
      <c r="DS43" s="750"/>
      <c r="DT43" s="752"/>
      <c r="DU43" s="750"/>
      <c r="DV43" s="752"/>
      <c r="DW43" s="750"/>
      <c r="DX43" s="752"/>
      <c r="DY43" s="750"/>
      <c r="DZ43" s="752"/>
      <c r="EA43" s="750"/>
      <c r="EB43" s="752"/>
      <c r="EC43" s="750"/>
      <c r="ED43" s="752"/>
      <c r="EE43" s="750"/>
      <c r="EF43" s="752"/>
      <c r="EG43" s="750"/>
      <c r="EH43" s="752"/>
      <c r="EI43" s="750"/>
      <c r="EJ43" s="752"/>
      <c r="EK43" s="750"/>
      <c r="EL43" s="752"/>
      <c r="EM43" s="750"/>
      <c r="EN43" s="752"/>
      <c r="EO43" s="750"/>
      <c r="EP43" s="752"/>
      <c r="EQ43" s="750"/>
      <c r="ER43" s="752"/>
      <c r="ES43" s="750"/>
      <c r="ET43" s="752"/>
      <c r="EU43" s="767"/>
      <c r="EV43" s="710"/>
    </row>
    <row r="44" spans="1:152" ht="12.75" customHeight="1" x14ac:dyDescent="0.2">
      <c r="A44" s="754" t="str">
        <f>INPUT!B459</f>
        <v>Dividends Per Share</v>
      </c>
      <c r="B44" s="768">
        <f>INPUT!AS459</f>
        <v>7.4999999999999997E-2</v>
      </c>
      <c r="C44" s="767">
        <f>INPUT!AT459</f>
        <v>0</v>
      </c>
      <c r="D44" s="768">
        <f>INPUT!AU459</f>
        <v>7.4999999999999997E-2</v>
      </c>
      <c r="E44" s="767">
        <f>INPUT!AV459</f>
        <v>0</v>
      </c>
      <c r="F44" s="768">
        <f>INPUT!AW459</f>
        <v>7.4999999999999997E-2</v>
      </c>
      <c r="G44" s="767">
        <f>INPUT!AX459</f>
        <v>0</v>
      </c>
      <c r="H44" s="768">
        <f>INPUT!AY459</f>
        <v>7.4999999999999997E-2</v>
      </c>
      <c r="I44" s="752">
        <f>INPUT!AZ459</f>
        <v>0</v>
      </c>
      <c r="J44" s="768">
        <f>INPUT!BA459</f>
        <v>7.4999999999999997E-2</v>
      </c>
      <c r="K44" s="752">
        <f>INPUT!BB459</f>
        <v>0</v>
      </c>
      <c r="L44" s="768">
        <f>INPUT!BC459</f>
        <v>7.4999999999999997E-2</v>
      </c>
      <c r="M44" s="752">
        <f>INPUT!BD459</f>
        <v>0</v>
      </c>
      <c r="N44" s="768">
        <f>INPUT!BE459</f>
        <v>7.4999999999999997E-2</v>
      </c>
      <c r="O44" s="752">
        <f>INPUT!BF459</f>
        <v>0</v>
      </c>
      <c r="P44" s="768">
        <f>INPUT!BG459</f>
        <v>7.4999999999999997E-2</v>
      </c>
      <c r="Q44" s="752">
        <f>INPUT!BH459</f>
        <v>0</v>
      </c>
      <c r="R44" s="768">
        <f>INPUT!BI459</f>
        <v>7.4999999999999997E-2</v>
      </c>
      <c r="S44" s="752">
        <f>INPUT!BJ459</f>
        <v>0</v>
      </c>
      <c r="T44" s="768">
        <f>INPUT!BK459</f>
        <v>7.4999999999999997E-2</v>
      </c>
      <c r="U44" s="752">
        <f>INPUT!BL459</f>
        <v>0</v>
      </c>
      <c r="V44" s="768">
        <f>INPUT!BM459</f>
        <v>7.4999999999999997E-2</v>
      </c>
      <c r="W44" s="752">
        <f>INPUT!BN459</f>
        <v>0</v>
      </c>
      <c r="X44" s="768">
        <f>INPUT!BO459</f>
        <v>7.4999999999999997E-2</v>
      </c>
      <c r="Y44" s="752">
        <f>INPUT!BP459</f>
        <v>0</v>
      </c>
      <c r="Z44" s="768">
        <f>INPUT!BQ459</f>
        <v>7.4999999999999997E-2</v>
      </c>
      <c r="AA44" s="752">
        <f>INPUT!BR459</f>
        <v>0</v>
      </c>
      <c r="AB44" s="768">
        <f>INPUT!BS459</f>
        <v>7.4999999999999997E-2</v>
      </c>
      <c r="AC44" s="752">
        <f>INPUT!BT459</f>
        <v>0</v>
      </c>
      <c r="AD44" s="768">
        <f>INPUT!BU459</f>
        <v>8.2500000000000004E-2</v>
      </c>
      <c r="AE44" s="752">
        <f>INPUT!BV459</f>
        <v>10.000000000000009</v>
      </c>
      <c r="AF44" s="768">
        <f>INPUT!BW459</f>
        <v>8.2500000000000004E-2</v>
      </c>
      <c r="AG44" s="752">
        <f>INPUT!BX459</f>
        <v>10.000000000000009</v>
      </c>
      <c r="AH44" s="768">
        <f>INPUT!BY459</f>
        <v>8.2500000000000004E-2</v>
      </c>
      <c r="AI44" s="752">
        <f>INPUT!BZ459</f>
        <v>10.000000000000009</v>
      </c>
      <c r="AJ44" s="768">
        <f>INPUT!CA459</f>
        <v>8.2500000000000004E-2</v>
      </c>
      <c r="AK44" s="752">
        <f>INPUT!CB459</f>
        <v>10.000000000000009</v>
      </c>
      <c r="AL44" s="768">
        <f>INPUT!CC459</f>
        <v>9.2499999999999999E-2</v>
      </c>
      <c r="AM44" s="752">
        <f>INPUT!CD459</f>
        <v>12.12121212121211</v>
      </c>
      <c r="AN44" s="768">
        <f>INPUT!CE459</f>
        <v>9.2499999999999999E-2</v>
      </c>
      <c r="AO44" s="752">
        <f>INPUT!CF459</f>
        <v>12.12121212121211</v>
      </c>
      <c r="AP44" s="768">
        <f>INPUT!CG459</f>
        <v>9.2499999999999999E-2</v>
      </c>
      <c r="AQ44" s="752">
        <f>INPUT!CH459</f>
        <v>12.12121212121211</v>
      </c>
      <c r="AR44" s="768">
        <f>INPUT!CI459</f>
        <v>9.2499999999999999E-2</v>
      </c>
      <c r="AS44" s="752">
        <f>INPUT!CJ459</f>
        <v>12.12121212121211</v>
      </c>
      <c r="AT44" s="768">
        <f>INPUT!CK459</f>
        <v>0.105</v>
      </c>
      <c r="AU44" s="752">
        <f>INPUT!CL459</f>
        <v>13.513513513513509</v>
      </c>
      <c r="AV44" s="768">
        <f>INPUT!CM459</f>
        <v>0.105</v>
      </c>
      <c r="AW44" s="752">
        <f>INPUT!CN459</f>
        <v>13.513513513513509</v>
      </c>
      <c r="AX44" s="768">
        <f>INPUT!CO459</f>
        <v>0.105</v>
      </c>
      <c r="AY44" s="752">
        <f>INPUT!CP459</f>
        <v>13.513513513513509</v>
      </c>
      <c r="AZ44" s="768">
        <f>INPUT!CQ459</f>
        <v>0.105</v>
      </c>
      <c r="BA44" s="752">
        <f>INPUT!CR459</f>
        <v>13.513513513513509</v>
      </c>
      <c r="BB44" s="768">
        <f>INPUT!CS459</f>
        <v>0.13</v>
      </c>
      <c r="BC44" s="752">
        <f>INPUT!CT459</f>
        <v>23.809523809523814</v>
      </c>
      <c r="BD44" s="768">
        <f>INPUT!CU459</f>
        <v>0.13</v>
      </c>
      <c r="BE44" s="752">
        <f>INPUT!CV459</f>
        <v>23.809523809523814</v>
      </c>
      <c r="BF44" s="768">
        <f>INPUT!CW459</f>
        <v>0.13</v>
      </c>
      <c r="BG44" s="752">
        <f>INPUT!CX459</f>
        <v>23.809523809523814</v>
      </c>
      <c r="BH44" s="768">
        <f>INPUT!CY459</f>
        <v>0.14499999999999999</v>
      </c>
      <c r="BI44" s="752">
        <f>INPUT!CZ459</f>
        <v>38.095238095238095</v>
      </c>
      <c r="BJ44" s="768">
        <f>INPUT!DA459</f>
        <v>0.14499999999999999</v>
      </c>
      <c r="BK44" s="752">
        <f>INPUT!DB459</f>
        <v>11.538461538461519</v>
      </c>
      <c r="BL44" s="768">
        <f>INPUT!DC459</f>
        <v>0.14499999999999999</v>
      </c>
      <c r="BM44" s="752">
        <f>INPUT!DD459</f>
        <v>11.538461538461519</v>
      </c>
      <c r="BN44" s="768">
        <f>INPUT!DE459</f>
        <v>0.14499999999999999</v>
      </c>
      <c r="BO44" s="752">
        <f>INPUT!DF459</f>
        <v>11.538461538461519</v>
      </c>
      <c r="BP44" s="768">
        <f>INPUT!DG459</f>
        <v>0.14499999999999999</v>
      </c>
      <c r="BQ44" s="752">
        <f>INPUT!DH459</f>
        <v>0</v>
      </c>
      <c r="BR44" s="768">
        <f>INPUT!DI459</f>
        <v>0.16500000000000001</v>
      </c>
      <c r="BS44" s="752">
        <f>INPUT!DJ459</f>
        <v>13.793103448275868</v>
      </c>
      <c r="BT44" s="768">
        <f>INPUT!DK459</f>
        <v>0.16500000000000001</v>
      </c>
      <c r="BU44" s="752">
        <f>INPUT!DL459</f>
        <v>13.793103448275868</v>
      </c>
      <c r="BV44" s="768">
        <f>INPUT!DM459</f>
        <v>0.16500000000000001</v>
      </c>
      <c r="BW44" s="752">
        <f>INPUT!DN459</f>
        <v>13.793103448275868</v>
      </c>
      <c r="BX44" s="768">
        <f>INPUT!DO459</f>
        <v>0.16500000000000001</v>
      </c>
      <c r="BY44" s="752">
        <f>INPUT!DP459</f>
        <v>13.793103448275868</v>
      </c>
      <c r="BZ44" s="768">
        <f>INPUT!DQ459</f>
        <v>0.16500000000000001</v>
      </c>
      <c r="CA44" s="752">
        <f>INPUT!DR459</f>
        <v>0</v>
      </c>
      <c r="CB44" s="768">
        <f>INPUT!DS459</f>
        <v>0.16500000000000001</v>
      </c>
      <c r="CC44" s="752">
        <f>INPUT!DT459</f>
        <v>0</v>
      </c>
      <c r="CD44" s="768">
        <f>INPUT!DU459</f>
        <v>0.185</v>
      </c>
      <c r="CE44" s="752">
        <f>INPUT!DV459</f>
        <v>12.12121212121211</v>
      </c>
      <c r="CF44" s="768">
        <f>INPUT!DW459</f>
        <v>0.185</v>
      </c>
      <c r="CG44" s="752">
        <f>INPUT!DX459</f>
        <v>12.12121212121211</v>
      </c>
      <c r="CH44" s="768">
        <f>INPUT!DY459</f>
        <v>0.185</v>
      </c>
      <c r="CI44" s="752">
        <f>INPUT!DZ459</f>
        <v>12.12121212121211</v>
      </c>
      <c r="CJ44" s="768">
        <f>INPUT!EA459</f>
        <v>0.19</v>
      </c>
      <c r="CK44" s="752">
        <f>INPUT!EB459</f>
        <v>15.151515151515138</v>
      </c>
      <c r="CL44" s="768">
        <f>INPUT!EC459</f>
        <v>0.2</v>
      </c>
      <c r="CM44" s="752">
        <f>INPUT!ED459</f>
        <v>8.1081081081081141</v>
      </c>
      <c r="CN44" s="768">
        <f>INPUT!EE459</f>
        <v>0.2</v>
      </c>
      <c r="CO44" s="752">
        <f>INPUT!EF459</f>
        <v>8.1081081081081141</v>
      </c>
      <c r="CP44" s="768">
        <f>INPUT!EG459</f>
        <v>0.23</v>
      </c>
      <c r="CQ44" s="752">
        <f>INPUT!EH459</f>
        <v>24.324324324324319</v>
      </c>
      <c r="CR44" s="768">
        <f>INPUT!EI459</f>
        <v>0.23</v>
      </c>
      <c r="CS44" s="752">
        <f>INPUT!EJ459</f>
        <v>21.052631578947366</v>
      </c>
      <c r="CT44" s="768">
        <f>INPUT!EK459</f>
        <v>0.23</v>
      </c>
      <c r="CU44" s="752">
        <f>INPUT!EL459</f>
        <v>14.999999999999991</v>
      </c>
      <c r="CV44" s="768">
        <f>INPUT!EM459</f>
        <v>0.23</v>
      </c>
      <c r="CW44" s="752">
        <f>INPUT!EN459</f>
        <v>14.999999999999991</v>
      </c>
      <c r="CX44" s="768">
        <f>INPUT!EO459</f>
        <v>0.26450000000000001</v>
      </c>
      <c r="CY44" s="752">
        <f>INPUT!EP459</f>
        <v>14.999999999999991</v>
      </c>
      <c r="CZ44" s="768">
        <f>INPUT!EQ459</f>
        <v>0.26450000000000001</v>
      </c>
      <c r="DA44" s="752">
        <f>INPUT!ER459</f>
        <v>14.999999999999991</v>
      </c>
      <c r="DB44" s="753"/>
      <c r="DC44" s="768">
        <f>INPUT!FB459</f>
        <v>0.59</v>
      </c>
      <c r="DD44" s="767" t="str">
        <f>INPUT!FC459</f>
        <v>NA</v>
      </c>
      <c r="DE44" s="768">
        <f>INPUT!FD459</f>
        <v>0.59</v>
      </c>
      <c r="DF44" s="767">
        <f>INPUT!FE459</f>
        <v>0</v>
      </c>
      <c r="DG44" s="768">
        <f>INPUT!FF459</f>
        <v>0.3</v>
      </c>
      <c r="DH44" s="767">
        <f>INPUT!FG459</f>
        <v>-49.152542372881356</v>
      </c>
      <c r="DI44" s="768">
        <f>INPUT!FH459</f>
        <v>0.3</v>
      </c>
      <c r="DJ44" s="767">
        <f>INPUT!FI459</f>
        <v>0</v>
      </c>
      <c r="DK44" s="768">
        <f>INPUT!FJ459</f>
        <v>0.3</v>
      </c>
      <c r="DL44" s="752">
        <f>INPUT!FK459</f>
        <v>0</v>
      </c>
      <c r="DM44" s="768">
        <f>INPUT!FL459</f>
        <v>0.3</v>
      </c>
      <c r="DN44" s="752">
        <f>INPUT!FM459</f>
        <v>0</v>
      </c>
      <c r="DO44" s="768">
        <f>INPUT!FN459</f>
        <v>0.3</v>
      </c>
      <c r="DP44" s="752">
        <f>INPUT!FO459</f>
        <v>0</v>
      </c>
      <c r="DQ44" s="768">
        <f>INPUT!FP459</f>
        <v>0.3</v>
      </c>
      <c r="DR44" s="752">
        <f>INPUT!FQ459</f>
        <v>0</v>
      </c>
      <c r="DS44" s="768">
        <f>INPUT!FR459</f>
        <v>0.315</v>
      </c>
      <c r="DT44" s="752">
        <f>INPUT!FS459</f>
        <v>5.0000000000000044</v>
      </c>
      <c r="DU44" s="768">
        <f>INPUT!FT459</f>
        <v>0.35</v>
      </c>
      <c r="DV44" s="752">
        <f>INPUT!FU459</f>
        <v>11.111111111111093</v>
      </c>
      <c r="DW44" s="768">
        <f>INPUT!FV459</f>
        <v>0.39499999999999996</v>
      </c>
      <c r="DX44" s="752">
        <f>INPUT!FW459</f>
        <v>12.857142857142856</v>
      </c>
      <c r="DY44" s="768">
        <f>INPUT!FX459</f>
        <v>0.47</v>
      </c>
      <c r="DZ44" s="752">
        <f>INPUT!FY459</f>
        <v>18.987341772151911</v>
      </c>
      <c r="EA44" s="768">
        <f>INPUT!FZ459</f>
        <v>0.56500000000000006</v>
      </c>
      <c r="EB44" s="752">
        <f>INPUT!GA459</f>
        <v>20.212765957446834</v>
      </c>
      <c r="EC44" s="768">
        <f>INPUT!GB459</f>
        <v>0.62</v>
      </c>
      <c r="ED44" s="752">
        <f>INPUT!GC459</f>
        <v>9.7345132743362761</v>
      </c>
      <c r="EE44" s="768">
        <f>INPUT!GD459</f>
        <v>0.66</v>
      </c>
      <c r="EF44" s="752">
        <f>INPUT!GE459</f>
        <v>6.4516129032258229</v>
      </c>
      <c r="EG44" s="768">
        <f>INPUT!GF459</f>
        <v>0.74499999999999988</v>
      </c>
      <c r="EH44" s="752">
        <f>INPUT!GG459</f>
        <v>12.878787878787845</v>
      </c>
      <c r="EI44" s="768">
        <f>INPUT!GH459</f>
        <v>0.86</v>
      </c>
      <c r="EJ44" s="752">
        <f>INPUT!GI459</f>
        <v>15.436241610738266</v>
      </c>
      <c r="EK44" s="768">
        <f>INPUT!GJ459</f>
        <v>0.9890000000000001</v>
      </c>
      <c r="EL44" s="752">
        <f>INPUT!GK459</f>
        <v>15.000000000000014</v>
      </c>
      <c r="EM44" s="768">
        <f>INPUT!GL459</f>
        <v>1.0879000000000001</v>
      </c>
      <c r="EN44" s="752">
        <f>INPUT!GM459</f>
        <v>9.9999999999999858</v>
      </c>
      <c r="EO44" s="768">
        <f>INPUT!GN459</f>
        <v>1.1966900000000003</v>
      </c>
      <c r="EP44" s="752">
        <f>INPUT!GO459</f>
        <v>10.000000000000009</v>
      </c>
      <c r="EQ44" s="768">
        <f>INPUT!GP459</f>
        <v>1.3163590000000003</v>
      </c>
      <c r="ER44" s="752">
        <f>INPUT!GQ459</f>
        <v>10.000000000000009</v>
      </c>
      <c r="ES44" s="768">
        <f>INPUT!GR459</f>
        <v>1.4479949000000005</v>
      </c>
      <c r="ET44" s="752">
        <f>INPUT!GS459</f>
        <v>10.000000000000009</v>
      </c>
      <c r="EU44" s="767">
        <f>INPUT!GT459</f>
        <v>10.98229879791961</v>
      </c>
      <c r="EV44" s="710"/>
    </row>
    <row r="45" spans="1:152" ht="12.75" customHeight="1" x14ac:dyDescent="0.2">
      <c r="A45" s="754" t="str">
        <f>INPUT!B460</f>
        <v>Dividend Payout Ratio (%)</v>
      </c>
      <c r="B45" s="793">
        <f>INPUT!AS460</f>
        <v>17.857142857142858</v>
      </c>
      <c r="C45" s="767">
        <f>INPUT!AT460</f>
        <v>19.047619047619047</v>
      </c>
      <c r="D45" s="793">
        <f>INPUT!AU460</f>
        <v>17.441860465116278</v>
      </c>
      <c r="E45" s="767">
        <f>INPUT!AV460</f>
        <v>-2.3255813953488413</v>
      </c>
      <c r="F45" s="793">
        <f>INPUT!AW460</f>
        <v>16.304347826086953</v>
      </c>
      <c r="G45" s="767">
        <f>INPUT!AX460</f>
        <v>-6.5217391304348009</v>
      </c>
      <c r="H45" s="793">
        <f>INPUT!AY460</f>
        <v>14.423076923076922</v>
      </c>
      <c r="I45" s="752">
        <f>INPUT!AZ460</f>
        <v>-19.230769230769241</v>
      </c>
      <c r="J45" s="793">
        <f>INPUT!BA460</f>
        <v>15</v>
      </c>
      <c r="K45" s="752">
        <f>INPUT!BB460</f>
        <v>-16.000000000000004</v>
      </c>
      <c r="L45" s="793">
        <f>INPUT!BC460</f>
        <v>14.705882352941178</v>
      </c>
      <c r="M45" s="752">
        <f>INPUT!BD460</f>
        <v>-15.68627450980391</v>
      </c>
      <c r="N45" s="793">
        <f>INPUT!BE460</f>
        <v>12.5</v>
      </c>
      <c r="O45" s="752">
        <f>INPUT!BF460</f>
        <v>-23.333333333333318</v>
      </c>
      <c r="P45" s="793">
        <f>INPUT!BG460</f>
        <v>12.711864406779661</v>
      </c>
      <c r="Q45" s="752">
        <f>INPUT!BH460</f>
        <v>-11.864406779661007</v>
      </c>
      <c r="R45" s="793">
        <f>INPUT!BI460</f>
        <v>12.711864406779661</v>
      </c>
      <c r="S45" s="752">
        <f>INPUT!BJ460</f>
        <v>-15.254237288135597</v>
      </c>
      <c r="T45" s="793">
        <f>INPUT!BK460</f>
        <v>11.538461538461538</v>
      </c>
      <c r="U45" s="752">
        <f>INPUT!BL460</f>
        <v>-21.53846153846154</v>
      </c>
      <c r="V45" s="793">
        <f>INPUT!BM460</f>
        <v>11.71875</v>
      </c>
      <c r="W45" s="752">
        <f>INPUT!BN460</f>
        <v>-6.25</v>
      </c>
      <c r="X45" s="793">
        <f>INPUT!BO460</f>
        <v>11.904761904761903</v>
      </c>
      <c r="Y45" s="752">
        <f>INPUT!BP460</f>
        <v>-6.3492063492063604</v>
      </c>
      <c r="Z45" s="793">
        <f>INPUT!BQ460</f>
        <v>12.096774193548386</v>
      </c>
      <c r="AA45" s="752">
        <f>INPUT!BR460</f>
        <v>-4.8387096774193612</v>
      </c>
      <c r="AB45" s="793">
        <f>INPUT!BS460</f>
        <v>11.538461538461538</v>
      </c>
      <c r="AC45" s="752">
        <f>INPUT!BT460</f>
        <v>0</v>
      </c>
      <c r="AD45" s="793">
        <f>INPUT!BU460</f>
        <v>12.890625</v>
      </c>
      <c r="AE45" s="752">
        <f>INPUT!BV460</f>
        <v>10.000000000000009</v>
      </c>
      <c r="AF45" s="793">
        <f>INPUT!BW460</f>
        <v>12.5</v>
      </c>
      <c r="AG45" s="752">
        <f>INPUT!BX460</f>
        <v>5.0000000000000044</v>
      </c>
      <c r="AH45" s="793">
        <f>INPUT!BY460</f>
        <v>12.142889854368931</v>
      </c>
      <c r="AI45" s="752">
        <f>INPUT!BZ460</f>
        <v>0.38122279611649823</v>
      </c>
      <c r="AJ45" s="793">
        <f>INPUT!CA460</f>
        <v>11.818878677419356</v>
      </c>
      <c r="AK45" s="752">
        <f>INPUT!CB460</f>
        <v>2.4302818709677432</v>
      </c>
      <c r="AL45" s="793">
        <f>INPUT!CC460</f>
        <v>13.440750403045223</v>
      </c>
      <c r="AM45" s="752">
        <f>INPUT!CD460</f>
        <v>4.2676394902902093</v>
      </c>
      <c r="AN45" s="793">
        <f>INPUT!CE460</f>
        <v>13.875563801224661</v>
      </c>
      <c r="AO45" s="752">
        <f>INPUT!CF460</f>
        <v>11.004510409797286</v>
      </c>
      <c r="AP45" s="793">
        <f>INPUT!CG460</f>
        <v>13.270533693518949</v>
      </c>
      <c r="AQ45" s="752">
        <f>INPUT!CH460</f>
        <v>9.2864536586758195</v>
      </c>
      <c r="AR45" s="793">
        <f>INPUT!CI460</f>
        <v>12.100218795744674</v>
      </c>
      <c r="AS45" s="752">
        <f>INPUT!CJ460</f>
        <v>2.3804298699066528</v>
      </c>
      <c r="AT45" s="793">
        <f>INPUT!CK460</f>
        <v>14.080302330793366</v>
      </c>
      <c r="AU45" s="752">
        <f>INPUT!CL460</f>
        <v>4.7583052178637342</v>
      </c>
      <c r="AV45" s="793">
        <f>INPUT!CM460</f>
        <v>-8.6118733970707826</v>
      </c>
      <c r="AW45" s="752" t="str">
        <f>INPUT!CN460</f>
        <v>NM</v>
      </c>
      <c r="AX45" s="793">
        <f>INPUT!CO460</f>
        <v>14.34560214821764</v>
      </c>
      <c r="AY45" s="752">
        <f>INPUT!CP460</f>
        <v>8.1011697006860608</v>
      </c>
      <c r="AZ45" s="793">
        <f>INPUT!CQ460</f>
        <v>13.223598029294278</v>
      </c>
      <c r="BA45" s="752">
        <f>INPUT!CR460</f>
        <v>9.2839580218555096</v>
      </c>
      <c r="BB45" s="793">
        <f>INPUT!CS460</f>
        <v>16.16358708482143</v>
      </c>
      <c r="BC45" s="752">
        <f>INPUT!CT460</f>
        <v>14.79573879228402</v>
      </c>
      <c r="BD45" s="793">
        <f>INPUT!CU460</f>
        <v>15.808000000000005</v>
      </c>
      <c r="BE45" s="752" t="str">
        <f>INPUT!CV460</f>
        <v>NM</v>
      </c>
      <c r="BF45" s="793">
        <f>INPUT!CW460</f>
        <v>16.523775905030554</v>
      </c>
      <c r="BG45" s="752">
        <f>INPUT!CX460</f>
        <v>15.183564512023917</v>
      </c>
      <c r="BH45" s="793">
        <f>INPUT!CY460</f>
        <v>17.914202774432614</v>
      </c>
      <c r="BI45" s="752">
        <f>INPUT!CZ460</f>
        <v>35.471471037967305</v>
      </c>
      <c r="BJ45" s="793">
        <f>INPUT!DA460</f>
        <v>17.291383810920575</v>
      </c>
      <c r="BK45" s="752">
        <f>INPUT!DB460</f>
        <v>6.9773913437705559</v>
      </c>
      <c r="BL45" s="793">
        <f>INPUT!DC460</f>
        <v>17.768082127858147</v>
      </c>
      <c r="BM45" s="752">
        <f>INPUT!DD460</f>
        <v>12.399304958616785</v>
      </c>
      <c r="BN45" s="793">
        <f>INPUT!DE460</f>
        <v>16.981805929919155</v>
      </c>
      <c r="BO45" s="752">
        <f>INPUT!DF460</f>
        <v>2.7719452715959214</v>
      </c>
      <c r="BP45" s="793">
        <f>INPUT!DG460</f>
        <v>16.898102123813825</v>
      </c>
      <c r="BQ45" s="752">
        <f>INPUT!DH460</f>
        <v>-5.6720394617224112</v>
      </c>
      <c r="BR45" s="793">
        <f>INPUT!DI460</f>
        <v>19.188498402555908</v>
      </c>
      <c r="BS45" s="752">
        <f>INPUT!DJ460</f>
        <v>10.971444578294465</v>
      </c>
      <c r="BT45" s="793">
        <f>INPUT!DK460</f>
        <v>-18.178088171104321</v>
      </c>
      <c r="BU45" s="752" t="str">
        <f>INPUT!DL460</f>
        <v>NM</v>
      </c>
      <c r="BV45" s="793">
        <f>INPUT!DM460</f>
        <v>18.668909825033641</v>
      </c>
      <c r="BW45" s="752">
        <f>INPUT!DN460</f>
        <v>9.9347731453112829</v>
      </c>
      <c r="BX45" s="793">
        <f>INPUT!DO460</f>
        <v>18.646645512239353</v>
      </c>
      <c r="BY45" s="752">
        <f>INPUT!DP460</f>
        <v>10.347572618592338</v>
      </c>
      <c r="BZ45" s="793">
        <f>INPUT!DQ460</f>
        <v>18.380597014925357</v>
      </c>
      <c r="CA45" s="752">
        <f>INPUT!DR460</f>
        <v>-4.2103418969091315</v>
      </c>
      <c r="CB45" s="793">
        <f>INPUT!DS460</f>
        <v>17.597112860892398</v>
      </c>
      <c r="CC45" s="752" t="str">
        <f>INPUT!DT460</f>
        <v>NM</v>
      </c>
      <c r="CD45" s="793">
        <f>INPUT!DU460</f>
        <v>19.778991971454076</v>
      </c>
      <c r="CE45" s="752">
        <f>INPUT!DV460</f>
        <v>5.9461540969676596</v>
      </c>
      <c r="CF45" s="793">
        <f>INPUT!DW460</f>
        <v>18.841416309012885</v>
      </c>
      <c r="CG45" s="752">
        <f>INPUT!DX460</f>
        <v>1.0445353114354461</v>
      </c>
      <c r="CH45" s="793">
        <f>INPUT!DY460</f>
        <v>18.944905990380395</v>
      </c>
      <c r="CI45" s="752">
        <f>INPUT!DZ460</f>
        <v>3.0701340930156418</v>
      </c>
      <c r="CJ45" s="793">
        <f>INPUT!EA460</f>
        <v>19.223334784501528</v>
      </c>
      <c r="CK45" s="752">
        <f>INPUT!EB460</f>
        <v>9.2414132731013297</v>
      </c>
      <c r="CL45" s="793">
        <f>INPUT!EC460</f>
        <v>19.517153748411715</v>
      </c>
      <c r="CM45" s="752">
        <f>INPUT!ED460</f>
        <v>-1.3238198560384551</v>
      </c>
      <c r="CN45" s="793">
        <f>INPUT!EE460</f>
        <v>18.985024958402654</v>
      </c>
      <c r="CO45" s="752">
        <f>INPUT!EF460</f>
        <v>0.76219667903136834</v>
      </c>
      <c r="CP45" s="793">
        <f>INPUT!EG460</f>
        <v>21.173116089613043</v>
      </c>
      <c r="CQ45" s="752">
        <f>INPUT!EH460</f>
        <v>11.761526292946822</v>
      </c>
      <c r="CR45" s="793">
        <f>INPUT!EI460</f>
        <v>20.388012618296546</v>
      </c>
      <c r="CS45" s="752">
        <f>INPUT!EJ460</f>
        <v>6.0586669631016221</v>
      </c>
      <c r="CT45" s="793">
        <f>INPUT!EK460</f>
        <v>18.08137200968995</v>
      </c>
      <c r="CU45" s="752">
        <f>INPUT!EL460</f>
        <v>-7.3565119034767479</v>
      </c>
      <c r="CV45" s="793">
        <f>INPUT!EM460</f>
        <v>17.808820878474524</v>
      </c>
      <c r="CW45" s="752">
        <f>INPUT!EN460</f>
        <v>-6.1954307803401054</v>
      </c>
      <c r="CX45" s="793">
        <f>INPUT!EO460</f>
        <v>20.225554226413617</v>
      </c>
      <c r="CY45" s="752">
        <f>INPUT!EP460</f>
        <v>-4.4753066066844704</v>
      </c>
      <c r="CZ45" s="793">
        <f>INPUT!EQ460</f>
        <v>19.925092318665559</v>
      </c>
      <c r="DA45" s="752">
        <f>INPUT!ER460</f>
        <v>-2.2705513690704393</v>
      </c>
      <c r="DB45" s="753"/>
      <c r="DC45" s="793">
        <f>INPUT!FB460</f>
        <v>-60.204081632653065</v>
      </c>
      <c r="DD45" s="767" t="str">
        <f>INPUT!FC460</f>
        <v>NA</v>
      </c>
      <c r="DE45" s="793">
        <f>INPUT!FD460</f>
        <v>19.032258064516128</v>
      </c>
      <c r="DF45" s="767" t="str">
        <f>INPUT!FE460</f>
        <v>NM</v>
      </c>
      <c r="DG45" s="793">
        <f>INPUT!FF460</f>
        <v>200</v>
      </c>
      <c r="DH45" s="767" t="str">
        <f>INPUT!FG460</f>
        <v>NM</v>
      </c>
      <c r="DI45" s="793">
        <f>INPUT!FH460</f>
        <v>-157.89473684210526</v>
      </c>
      <c r="DJ45" s="767" t="str">
        <f>INPUT!FI460</f>
        <v>NM</v>
      </c>
      <c r="DK45" s="793">
        <f>INPUT!FJ460</f>
        <v>16.949152542372879</v>
      </c>
      <c r="DL45" s="752" t="str">
        <f>INPUT!FK460</f>
        <v>NM</v>
      </c>
      <c r="DM45" s="793">
        <f>INPUT!FL460</f>
        <v>16.393442622950818</v>
      </c>
      <c r="DN45" s="752">
        <f>INPUT!FM460</f>
        <v>-3.2786885245901565</v>
      </c>
      <c r="DO45" s="793">
        <f>INPUT!FN460</f>
        <v>13.574660633484163</v>
      </c>
      <c r="DP45" s="752">
        <f>INPUT!FO460</f>
        <v>-17.194570135746602</v>
      </c>
      <c r="DQ45" s="793">
        <f>INPUT!FP460</f>
        <v>11.952191235059761</v>
      </c>
      <c r="DR45" s="752">
        <f>INPUT!FQ460</f>
        <v>-11.952191235059761</v>
      </c>
      <c r="DS45" s="793">
        <f>INPUT!FR460</f>
        <v>12.162162162162163</v>
      </c>
      <c r="DT45" s="752">
        <f>INPUT!FS460</f>
        <v>1.7567567567567721</v>
      </c>
      <c r="DU45" s="793">
        <f>INPUT!FT460</f>
        <v>12.806981147311959</v>
      </c>
      <c r="DV45" s="752">
        <f>INPUT!FU460</f>
        <v>5.3018449890094299</v>
      </c>
      <c r="DW45" s="793">
        <f>INPUT!FV460</f>
        <v>39.19549834116696</v>
      </c>
      <c r="DX45" s="752" t="str">
        <f>INPUT!FW460</f>
        <v>NM</v>
      </c>
      <c r="DY45" s="793">
        <f>INPUT!FX460</f>
        <v>15.029328821209711</v>
      </c>
      <c r="DZ45" s="752" t="str">
        <f>INPUT!FY460</f>
        <v>NM</v>
      </c>
      <c r="EA45" s="793">
        <f>INPUT!FZ460</f>
        <v>17.383810561885486</v>
      </c>
      <c r="EB45" s="752">
        <f>INPUT!GA460</f>
        <v>15.665914084952881</v>
      </c>
      <c r="EC45" s="793">
        <f>INPUT!GB460</f>
        <v>36.644157640009219</v>
      </c>
      <c r="ED45" s="752" t="str">
        <f>INPUT!GC460</f>
        <v>NM</v>
      </c>
      <c r="EE45" s="793">
        <f>INPUT!GD460</f>
        <v>18.31773399014779</v>
      </c>
      <c r="EF45" s="752" t="str">
        <f>INPUT!GE460</f>
        <v>NM</v>
      </c>
      <c r="EG45" s="793">
        <f>INPUT!GF460</f>
        <v>19.1945718654434</v>
      </c>
      <c r="EH45" s="752">
        <f>INPUT!GG460</f>
        <v>4.7868250285063585</v>
      </c>
      <c r="EI45" s="793">
        <f>INPUT!GH460</f>
        <v>20.041102911029114</v>
      </c>
      <c r="EJ45" s="752">
        <f>INPUT!GI460</f>
        <v>4.410262711354096</v>
      </c>
      <c r="EK45" s="793">
        <f>INPUT!GJ460</f>
        <v>19.026672434849463</v>
      </c>
      <c r="EL45" s="752">
        <f>INPUT!GK460</f>
        <v>-5.0617497484202083</v>
      </c>
      <c r="EM45" s="793">
        <f>INPUT!GL460</f>
        <v>19.762985307551162</v>
      </c>
      <c r="EN45" s="752">
        <f>INPUT!GM460</f>
        <v>3.8698982978918606</v>
      </c>
      <c r="EO45" s="793">
        <f>INPUT!GN460</f>
        <v>20.439829823503398</v>
      </c>
      <c r="EP45" s="752">
        <f>INPUT!GO460</f>
        <v>3.4248090833403744</v>
      </c>
      <c r="EQ45" s="793">
        <f>INPUT!GP460</f>
        <v>21.077758355842789</v>
      </c>
      <c r="ER45" s="752">
        <f>INPUT!GQ460</f>
        <v>3.1210070624259734</v>
      </c>
      <c r="ES45" s="793">
        <f>INPUT!GR460</f>
        <v>21.770963767232089</v>
      </c>
      <c r="ET45" s="752">
        <f>INPUT!GS460</f>
        <v>3.2888004487305667</v>
      </c>
      <c r="EU45" s="767">
        <f>INPUT!GT460</f>
        <v>1.6696216463231384</v>
      </c>
      <c r="EV45" s="710"/>
    </row>
    <row r="46" spans="1:152" ht="12.75" customHeight="1" x14ac:dyDescent="0.2">
      <c r="A46" s="754"/>
      <c r="B46" s="750"/>
      <c r="C46" s="767"/>
      <c r="D46" s="750"/>
      <c r="E46" s="767"/>
      <c r="F46" s="750"/>
      <c r="G46" s="767"/>
      <c r="H46" s="750"/>
      <c r="I46" s="752"/>
      <c r="J46" s="750"/>
      <c r="K46" s="752"/>
      <c r="L46" s="750"/>
      <c r="M46" s="752"/>
      <c r="N46" s="750"/>
      <c r="O46" s="752"/>
      <c r="P46" s="750"/>
      <c r="Q46" s="752"/>
      <c r="R46" s="750"/>
      <c r="S46" s="752"/>
      <c r="T46" s="750"/>
      <c r="U46" s="752"/>
      <c r="V46" s="750"/>
      <c r="W46" s="752"/>
      <c r="X46" s="750"/>
      <c r="Y46" s="752"/>
      <c r="Z46" s="750"/>
      <c r="AA46" s="752"/>
      <c r="AB46" s="750"/>
      <c r="AC46" s="752"/>
      <c r="AD46" s="750"/>
      <c r="AE46" s="752"/>
      <c r="AF46" s="750"/>
      <c r="AG46" s="752"/>
      <c r="AH46" s="750"/>
      <c r="AI46" s="752"/>
      <c r="AJ46" s="750"/>
      <c r="AK46" s="752"/>
      <c r="AL46" s="750"/>
      <c r="AM46" s="752"/>
      <c r="AN46" s="750"/>
      <c r="AO46" s="752"/>
      <c r="AP46" s="750"/>
      <c r="AQ46" s="752"/>
      <c r="AR46" s="750"/>
      <c r="AS46" s="752"/>
      <c r="AT46" s="750"/>
      <c r="AU46" s="752"/>
      <c r="AV46" s="750"/>
      <c r="AW46" s="752"/>
      <c r="AX46" s="750"/>
      <c r="AY46" s="752"/>
      <c r="AZ46" s="750"/>
      <c r="BA46" s="752"/>
      <c r="BB46" s="750"/>
      <c r="BC46" s="752"/>
      <c r="BD46" s="750"/>
      <c r="BE46" s="752"/>
      <c r="BF46" s="750"/>
      <c r="BG46" s="752"/>
      <c r="BH46" s="750"/>
      <c r="BI46" s="752"/>
      <c r="BJ46" s="750"/>
      <c r="BK46" s="752"/>
      <c r="BL46" s="750"/>
      <c r="BM46" s="752"/>
      <c r="BN46" s="750"/>
      <c r="BO46" s="752"/>
      <c r="BP46" s="750"/>
      <c r="BQ46" s="752"/>
      <c r="BR46" s="750"/>
      <c r="BS46" s="752"/>
      <c r="BT46" s="750"/>
      <c r="BU46" s="752"/>
      <c r="BV46" s="750"/>
      <c r="BW46" s="752"/>
      <c r="BX46" s="750"/>
      <c r="BY46" s="752"/>
      <c r="BZ46" s="750"/>
      <c r="CA46" s="752"/>
      <c r="CB46" s="750"/>
      <c r="CC46" s="752"/>
      <c r="CD46" s="750"/>
      <c r="CE46" s="752"/>
      <c r="CF46" s="750"/>
      <c r="CG46" s="752"/>
      <c r="CH46" s="750"/>
      <c r="CI46" s="752"/>
      <c r="CJ46" s="750"/>
      <c r="CK46" s="752"/>
      <c r="CL46" s="750"/>
      <c r="CM46" s="752"/>
      <c r="CN46" s="750"/>
      <c r="CO46" s="752"/>
      <c r="CP46" s="750"/>
      <c r="CQ46" s="752"/>
      <c r="CR46" s="750"/>
      <c r="CS46" s="752"/>
      <c r="CT46" s="750"/>
      <c r="CU46" s="752"/>
      <c r="CV46" s="750"/>
      <c r="CW46" s="752"/>
      <c r="CX46" s="750"/>
      <c r="CY46" s="752"/>
      <c r="CZ46" s="750"/>
      <c r="DA46" s="752"/>
      <c r="DB46" s="753"/>
      <c r="DC46" s="750"/>
      <c r="DD46" s="767"/>
      <c r="DE46" s="750"/>
      <c r="DF46" s="767"/>
      <c r="DG46" s="750"/>
      <c r="DH46" s="767"/>
      <c r="DI46" s="750"/>
      <c r="DJ46" s="767"/>
      <c r="DK46" s="750"/>
      <c r="DL46" s="752"/>
      <c r="DM46" s="750"/>
      <c r="DN46" s="752"/>
      <c r="DO46" s="750"/>
      <c r="DP46" s="752"/>
      <c r="DQ46" s="750"/>
      <c r="DR46" s="752"/>
      <c r="DS46" s="750"/>
      <c r="DT46" s="752"/>
      <c r="DU46" s="750"/>
      <c r="DV46" s="752"/>
      <c r="DW46" s="750"/>
      <c r="DX46" s="752"/>
      <c r="DY46" s="750"/>
      <c r="DZ46" s="752"/>
      <c r="EA46" s="750"/>
      <c r="EB46" s="752"/>
      <c r="EC46" s="750"/>
      <c r="ED46" s="752"/>
      <c r="EE46" s="750"/>
      <c r="EF46" s="752"/>
      <c r="EG46" s="750"/>
      <c r="EH46" s="752"/>
      <c r="EI46" s="750"/>
      <c r="EJ46" s="752"/>
      <c r="EK46" s="750"/>
      <c r="EL46" s="752"/>
      <c r="EM46" s="750"/>
      <c r="EN46" s="752"/>
      <c r="EO46" s="750"/>
      <c r="EP46" s="752"/>
      <c r="EQ46" s="750"/>
      <c r="ER46" s="752"/>
      <c r="ES46" s="750"/>
      <c r="ET46" s="752"/>
      <c r="EU46" s="767"/>
      <c r="EV46" s="710"/>
    </row>
    <row r="47" spans="1:152" ht="12.75" customHeight="1" x14ac:dyDescent="0.2">
      <c r="A47" s="794" t="s">
        <v>129</v>
      </c>
      <c r="B47" s="750"/>
      <c r="C47" s="767"/>
      <c r="D47" s="750"/>
      <c r="E47" s="767"/>
      <c r="F47" s="750"/>
      <c r="G47" s="767"/>
      <c r="H47" s="750"/>
      <c r="I47" s="752"/>
      <c r="J47" s="750"/>
      <c r="K47" s="752"/>
      <c r="L47" s="750"/>
      <c r="M47" s="752"/>
      <c r="N47" s="750"/>
      <c r="O47" s="752"/>
      <c r="P47" s="750"/>
      <c r="Q47" s="752"/>
      <c r="R47" s="750"/>
      <c r="S47" s="752"/>
      <c r="T47" s="750"/>
      <c r="U47" s="752"/>
      <c r="V47" s="750"/>
      <c r="W47" s="752"/>
      <c r="X47" s="750"/>
      <c r="Y47" s="752"/>
      <c r="Z47" s="750"/>
      <c r="AA47" s="752"/>
      <c r="AB47" s="750"/>
      <c r="AC47" s="752"/>
      <c r="AD47" s="750"/>
      <c r="AE47" s="752"/>
      <c r="AF47" s="750"/>
      <c r="AG47" s="752"/>
      <c r="AH47" s="750"/>
      <c r="AI47" s="752"/>
      <c r="AJ47" s="750"/>
      <c r="AK47" s="752"/>
      <c r="AL47" s="750"/>
      <c r="AM47" s="752"/>
      <c r="AN47" s="750"/>
      <c r="AO47" s="752"/>
      <c r="AP47" s="750"/>
      <c r="AQ47" s="752"/>
      <c r="AR47" s="750"/>
      <c r="AS47" s="752"/>
      <c r="AT47" s="750"/>
      <c r="AU47" s="752"/>
      <c r="AV47" s="750"/>
      <c r="AW47" s="752"/>
      <c r="AX47" s="750"/>
      <c r="AY47" s="752"/>
      <c r="AZ47" s="750"/>
      <c r="BA47" s="752"/>
      <c r="BB47" s="750"/>
      <c r="BC47" s="752"/>
      <c r="BD47" s="750"/>
      <c r="BE47" s="752"/>
      <c r="BF47" s="750"/>
      <c r="BG47" s="752"/>
      <c r="BH47" s="750"/>
      <c r="BI47" s="752"/>
      <c r="BJ47" s="750"/>
      <c r="BK47" s="752"/>
      <c r="BL47" s="750"/>
      <c r="BM47" s="752"/>
      <c r="BN47" s="750"/>
      <c r="BO47" s="752"/>
      <c r="BP47" s="750"/>
      <c r="BQ47" s="752"/>
      <c r="BR47" s="750"/>
      <c r="BS47" s="752"/>
      <c r="BT47" s="750"/>
      <c r="BU47" s="752"/>
      <c r="BV47" s="750"/>
      <c r="BW47" s="752"/>
      <c r="BX47" s="750"/>
      <c r="BY47" s="752"/>
      <c r="BZ47" s="750"/>
      <c r="CA47" s="752"/>
      <c r="CB47" s="750"/>
      <c r="CC47" s="752"/>
      <c r="CD47" s="750"/>
      <c r="CE47" s="752"/>
      <c r="CF47" s="750"/>
      <c r="CG47" s="752"/>
      <c r="CH47" s="750"/>
      <c r="CI47" s="752"/>
      <c r="CJ47" s="750"/>
      <c r="CK47" s="752"/>
      <c r="CL47" s="750"/>
      <c r="CM47" s="752"/>
      <c r="CN47" s="750"/>
      <c r="CO47" s="752"/>
      <c r="CP47" s="750"/>
      <c r="CQ47" s="752"/>
      <c r="CR47" s="750"/>
      <c r="CS47" s="752"/>
      <c r="CT47" s="750"/>
      <c r="CU47" s="752"/>
      <c r="CV47" s="750"/>
      <c r="CW47" s="752"/>
      <c r="CX47" s="750"/>
      <c r="CY47" s="752"/>
      <c r="CZ47" s="750"/>
      <c r="DA47" s="752"/>
      <c r="DB47" s="753"/>
      <c r="DC47" s="750"/>
      <c r="DD47" s="767"/>
      <c r="DE47" s="750"/>
      <c r="DF47" s="767"/>
      <c r="DG47" s="750"/>
      <c r="DH47" s="767"/>
      <c r="DI47" s="750"/>
      <c r="DJ47" s="767"/>
      <c r="DK47" s="750"/>
      <c r="DL47" s="752"/>
      <c r="DM47" s="750"/>
      <c r="DN47" s="752"/>
      <c r="DO47" s="750"/>
      <c r="DP47" s="752"/>
      <c r="DQ47" s="750"/>
      <c r="DR47" s="752"/>
      <c r="DS47" s="750"/>
      <c r="DT47" s="752"/>
      <c r="DU47" s="750"/>
      <c r="DV47" s="752"/>
      <c r="DW47" s="750"/>
      <c r="DX47" s="752"/>
      <c r="DY47" s="750"/>
      <c r="DZ47" s="752"/>
      <c r="EA47" s="750"/>
      <c r="EB47" s="752"/>
      <c r="EC47" s="750"/>
      <c r="ED47" s="752"/>
      <c r="EE47" s="750"/>
      <c r="EF47" s="752"/>
      <c r="EG47" s="750"/>
      <c r="EH47" s="752"/>
      <c r="EI47" s="750"/>
      <c r="EJ47" s="752"/>
      <c r="EK47" s="750"/>
      <c r="EL47" s="752"/>
      <c r="EM47" s="750"/>
      <c r="EN47" s="752"/>
      <c r="EO47" s="750"/>
      <c r="EP47" s="752"/>
      <c r="EQ47" s="750"/>
      <c r="ER47" s="752"/>
      <c r="ES47" s="750"/>
      <c r="ET47" s="752"/>
      <c r="EU47" s="767"/>
      <c r="EV47" s="710"/>
    </row>
    <row r="48" spans="1:152" ht="12.75" customHeight="1" x14ac:dyDescent="0.2">
      <c r="A48" s="795" t="s">
        <v>490</v>
      </c>
      <c r="B48" s="750"/>
      <c r="C48" s="767"/>
      <c r="D48" s="750"/>
      <c r="E48" s="767"/>
      <c r="F48" s="750"/>
      <c r="G48" s="767"/>
      <c r="H48" s="750"/>
      <c r="I48" s="752"/>
      <c r="J48" s="750"/>
      <c r="K48" s="752"/>
      <c r="L48" s="750"/>
      <c r="M48" s="752"/>
      <c r="N48" s="750"/>
      <c r="O48" s="752"/>
      <c r="P48" s="750"/>
      <c r="Q48" s="752"/>
      <c r="R48" s="750"/>
      <c r="S48" s="752"/>
      <c r="T48" s="750"/>
      <c r="U48" s="752"/>
      <c r="V48" s="750"/>
      <c r="W48" s="752"/>
      <c r="X48" s="750"/>
      <c r="Y48" s="752"/>
      <c r="Z48" s="750"/>
      <c r="AA48" s="752"/>
      <c r="AB48" s="750"/>
      <c r="AC48" s="752"/>
      <c r="AD48" s="750"/>
      <c r="AE48" s="752"/>
      <c r="AF48" s="750"/>
      <c r="AG48" s="752"/>
      <c r="AH48" s="750"/>
      <c r="AI48" s="752"/>
      <c r="AJ48" s="750"/>
      <c r="AK48" s="752"/>
      <c r="AL48" s="750"/>
      <c r="AM48" s="752"/>
      <c r="AN48" s="750"/>
      <c r="AO48" s="752"/>
      <c r="AP48" s="750"/>
      <c r="AQ48" s="752"/>
      <c r="AR48" s="750"/>
      <c r="AS48" s="752"/>
      <c r="AT48" s="750"/>
      <c r="AU48" s="752"/>
      <c r="AV48" s="750"/>
      <c r="AW48" s="752"/>
      <c r="AX48" s="750"/>
      <c r="AY48" s="752"/>
      <c r="AZ48" s="750"/>
      <c r="BA48" s="752"/>
      <c r="BB48" s="750"/>
      <c r="BC48" s="752"/>
      <c r="BD48" s="750"/>
      <c r="BE48" s="752"/>
      <c r="BF48" s="750"/>
      <c r="BG48" s="752"/>
      <c r="BH48" s="750"/>
      <c r="BI48" s="752"/>
      <c r="BJ48" s="750"/>
      <c r="BK48" s="752"/>
      <c r="BL48" s="750"/>
      <c r="BM48" s="752"/>
      <c r="BN48" s="750"/>
      <c r="BO48" s="752"/>
      <c r="BP48" s="750"/>
      <c r="BQ48" s="752"/>
      <c r="BR48" s="750"/>
      <c r="BS48" s="752"/>
      <c r="BT48" s="750"/>
      <c r="BU48" s="752"/>
      <c r="BV48" s="750"/>
      <c r="BW48" s="752"/>
      <c r="BX48" s="750"/>
      <c r="BY48" s="752"/>
      <c r="BZ48" s="750"/>
      <c r="CA48" s="752"/>
      <c r="CB48" s="750"/>
      <c r="CC48" s="752"/>
      <c r="CD48" s="750"/>
      <c r="CE48" s="752"/>
      <c r="CF48" s="750"/>
      <c r="CG48" s="752"/>
      <c r="CH48" s="750"/>
      <c r="CI48" s="752"/>
      <c r="CJ48" s="750"/>
      <c r="CK48" s="752"/>
      <c r="CL48" s="750"/>
      <c r="CM48" s="752"/>
      <c r="CN48" s="750"/>
      <c r="CO48" s="752"/>
      <c r="CP48" s="750"/>
      <c r="CQ48" s="752"/>
      <c r="CR48" s="750"/>
      <c r="CS48" s="752"/>
      <c r="CT48" s="750"/>
      <c r="CU48" s="752"/>
      <c r="CV48" s="750"/>
      <c r="CW48" s="752"/>
      <c r="CX48" s="750"/>
      <c r="CY48" s="752"/>
      <c r="CZ48" s="750"/>
      <c r="DA48" s="752"/>
      <c r="DB48" s="753"/>
      <c r="DC48" s="750"/>
      <c r="DD48" s="767"/>
      <c r="DE48" s="750"/>
      <c r="DF48" s="767"/>
      <c r="DG48" s="750"/>
      <c r="DH48" s="767"/>
      <c r="DI48" s="750"/>
      <c r="DJ48" s="767"/>
      <c r="DK48" s="750"/>
      <c r="DL48" s="752"/>
      <c r="DM48" s="750"/>
      <c r="DN48" s="752"/>
      <c r="DO48" s="750"/>
      <c r="DP48" s="752"/>
      <c r="DQ48" s="750"/>
      <c r="DR48" s="752"/>
      <c r="DS48" s="750"/>
      <c r="DT48" s="752"/>
      <c r="DU48" s="750"/>
      <c r="DV48" s="752"/>
      <c r="DW48" s="750"/>
      <c r="DX48" s="752"/>
      <c r="DY48" s="750"/>
      <c r="DZ48" s="752"/>
      <c r="EA48" s="750"/>
      <c r="EB48" s="752"/>
      <c r="EC48" s="750"/>
      <c r="ED48" s="752"/>
      <c r="EE48" s="750"/>
      <c r="EF48" s="752"/>
      <c r="EG48" s="750"/>
      <c r="EH48" s="752"/>
      <c r="EI48" s="750"/>
      <c r="EJ48" s="752"/>
      <c r="EK48" s="750"/>
      <c r="EL48" s="752"/>
      <c r="EM48" s="750"/>
      <c r="EN48" s="752"/>
      <c r="EO48" s="750"/>
      <c r="EP48" s="752"/>
      <c r="EQ48" s="750"/>
      <c r="ER48" s="752"/>
      <c r="ES48" s="750"/>
      <c r="ET48" s="752"/>
      <c r="EU48" s="767"/>
      <c r="EV48" s="710"/>
    </row>
    <row r="49" spans="1:152" ht="12.75" customHeight="1" x14ac:dyDescent="0.2">
      <c r="A49" s="796" t="s">
        <v>491</v>
      </c>
      <c r="B49" s="750"/>
      <c r="C49" s="767"/>
      <c r="D49" s="750"/>
      <c r="E49" s="767"/>
      <c r="F49" s="750"/>
      <c r="G49" s="767"/>
      <c r="H49" s="750"/>
      <c r="I49" s="752"/>
      <c r="J49" s="750"/>
      <c r="K49" s="752"/>
      <c r="L49" s="750"/>
      <c r="M49" s="752"/>
      <c r="N49" s="750"/>
      <c r="O49" s="752"/>
      <c r="P49" s="750"/>
      <c r="Q49" s="752"/>
      <c r="R49" s="750"/>
      <c r="S49" s="752"/>
      <c r="T49" s="750"/>
      <c r="U49" s="752"/>
      <c r="V49" s="750"/>
      <c r="W49" s="752"/>
      <c r="X49" s="750"/>
      <c r="Y49" s="752"/>
      <c r="Z49" s="750"/>
      <c r="AA49" s="752"/>
      <c r="AB49" s="750"/>
      <c r="AC49" s="752"/>
      <c r="AD49" s="750"/>
      <c r="AE49" s="752"/>
      <c r="AF49" s="750"/>
      <c r="AG49" s="752"/>
      <c r="AH49" s="750"/>
      <c r="AI49" s="752"/>
      <c r="AJ49" s="750"/>
      <c r="AK49" s="752"/>
      <c r="AL49" s="750"/>
      <c r="AM49" s="752"/>
      <c r="AN49" s="750"/>
      <c r="AO49" s="752"/>
      <c r="AP49" s="750"/>
      <c r="AQ49" s="752"/>
      <c r="AR49" s="750"/>
      <c r="AS49" s="752"/>
      <c r="AT49" s="750"/>
      <c r="AU49" s="752"/>
      <c r="AV49" s="750"/>
      <c r="AW49" s="752"/>
      <c r="AX49" s="750"/>
      <c r="AY49" s="752"/>
      <c r="AZ49" s="750"/>
      <c r="BA49" s="752"/>
      <c r="BB49" s="750"/>
      <c r="BC49" s="752"/>
      <c r="BD49" s="750"/>
      <c r="BE49" s="752"/>
      <c r="BF49" s="750"/>
      <c r="BG49" s="752"/>
      <c r="BH49" s="750"/>
      <c r="BI49" s="752"/>
      <c r="BJ49" s="750"/>
      <c r="BK49" s="752"/>
      <c r="BL49" s="750"/>
      <c r="BM49" s="752"/>
      <c r="BN49" s="750"/>
      <c r="BO49" s="752"/>
      <c r="BP49" s="750"/>
      <c r="BQ49" s="752"/>
      <c r="BR49" s="750"/>
      <c r="BS49" s="752"/>
      <c r="BT49" s="750"/>
      <c r="BU49" s="752"/>
      <c r="BV49" s="750"/>
      <c r="BW49" s="752"/>
      <c r="BX49" s="750"/>
      <c r="BY49" s="752"/>
      <c r="BZ49" s="750"/>
      <c r="CA49" s="752"/>
      <c r="CB49" s="750"/>
      <c r="CC49" s="752"/>
      <c r="CD49" s="750"/>
      <c r="CE49" s="752"/>
      <c r="CF49" s="750"/>
      <c r="CG49" s="752"/>
      <c r="CH49" s="750"/>
      <c r="CI49" s="752"/>
      <c r="CJ49" s="750"/>
      <c r="CK49" s="752"/>
      <c r="CL49" s="750"/>
      <c r="CM49" s="752"/>
      <c r="CN49" s="750"/>
      <c r="CO49" s="752"/>
      <c r="CP49" s="750"/>
      <c r="CQ49" s="752"/>
      <c r="CR49" s="750"/>
      <c r="CS49" s="752"/>
      <c r="CT49" s="750"/>
      <c r="CU49" s="752"/>
      <c r="CV49" s="750"/>
      <c r="CW49" s="752"/>
      <c r="CX49" s="750"/>
      <c r="CY49" s="752"/>
      <c r="CZ49" s="750"/>
      <c r="DA49" s="752"/>
      <c r="DB49" s="753"/>
      <c r="DC49" s="750"/>
      <c r="DD49" s="767"/>
      <c r="DE49" s="750"/>
      <c r="DF49" s="767"/>
      <c r="DG49" s="750"/>
      <c r="DH49" s="767"/>
      <c r="DI49" s="750"/>
      <c r="DJ49" s="767"/>
      <c r="DK49" s="750"/>
      <c r="DL49" s="752"/>
      <c r="DM49" s="750"/>
      <c r="DN49" s="752"/>
      <c r="DO49" s="750"/>
      <c r="DP49" s="752"/>
      <c r="DQ49" s="750"/>
      <c r="DR49" s="752"/>
      <c r="DS49" s="750"/>
      <c r="DT49" s="752"/>
      <c r="DU49" s="750"/>
      <c r="DV49" s="752"/>
      <c r="DW49" s="750"/>
      <c r="DX49" s="752"/>
      <c r="DY49" s="750"/>
      <c r="DZ49" s="752"/>
      <c r="EA49" s="750"/>
      <c r="EB49" s="752"/>
      <c r="EC49" s="750"/>
      <c r="ED49" s="752"/>
      <c r="EE49" s="750"/>
      <c r="EF49" s="752"/>
      <c r="EG49" s="750"/>
      <c r="EH49" s="752"/>
      <c r="EI49" s="750"/>
      <c r="EJ49" s="752"/>
      <c r="EK49" s="750"/>
      <c r="EL49" s="752"/>
      <c r="EM49" s="750"/>
      <c r="EN49" s="752"/>
      <c r="EO49" s="750"/>
      <c r="EP49" s="752"/>
      <c r="EQ49" s="750"/>
      <c r="ER49" s="752"/>
      <c r="ES49" s="750"/>
      <c r="ET49" s="752"/>
      <c r="EU49" s="767"/>
      <c r="EV49" s="710"/>
    </row>
    <row r="50" spans="1:152" s="722" customFormat="1" ht="12.75" customHeight="1" x14ac:dyDescent="0.2">
      <c r="A50" s="797"/>
      <c r="B50" s="798"/>
      <c r="C50" s="799"/>
      <c r="D50" s="798"/>
      <c r="E50" s="799"/>
      <c r="F50" s="798"/>
      <c r="G50" s="799"/>
      <c r="H50" s="798"/>
      <c r="I50" s="800"/>
      <c r="J50" s="798"/>
      <c r="K50" s="800"/>
      <c r="L50" s="798"/>
      <c r="M50" s="800"/>
      <c r="N50" s="798"/>
      <c r="O50" s="800"/>
      <c r="P50" s="798"/>
      <c r="Q50" s="800"/>
      <c r="R50" s="798"/>
      <c r="S50" s="800"/>
      <c r="T50" s="798"/>
      <c r="U50" s="800"/>
      <c r="V50" s="798"/>
      <c r="W50" s="800"/>
      <c r="X50" s="798"/>
      <c r="Y50" s="800"/>
      <c r="Z50" s="798"/>
      <c r="AA50" s="800"/>
      <c r="AB50" s="798"/>
      <c r="AC50" s="800"/>
      <c r="AD50" s="798"/>
      <c r="AE50" s="800"/>
      <c r="AF50" s="798"/>
      <c r="AG50" s="800"/>
      <c r="AH50" s="798"/>
      <c r="AI50" s="800"/>
      <c r="AJ50" s="798"/>
      <c r="AK50" s="800"/>
      <c r="AL50" s="798"/>
      <c r="AM50" s="800"/>
      <c r="AN50" s="798"/>
      <c r="AO50" s="800"/>
      <c r="AP50" s="798"/>
      <c r="AQ50" s="800"/>
      <c r="AR50" s="798"/>
      <c r="AS50" s="800"/>
      <c r="AT50" s="798"/>
      <c r="AU50" s="800"/>
      <c r="AV50" s="798"/>
      <c r="AW50" s="800"/>
      <c r="AX50" s="798"/>
      <c r="AY50" s="800"/>
      <c r="AZ50" s="798"/>
      <c r="BA50" s="800"/>
      <c r="BB50" s="798"/>
      <c r="BC50" s="800"/>
      <c r="BD50" s="798"/>
      <c r="BE50" s="800"/>
      <c r="BF50" s="798"/>
      <c r="BG50" s="800"/>
      <c r="BH50" s="798"/>
      <c r="BI50" s="800"/>
      <c r="BJ50" s="798"/>
      <c r="BK50" s="800"/>
      <c r="BL50" s="798"/>
      <c r="BM50" s="800"/>
      <c r="BN50" s="798"/>
      <c r="BO50" s="800"/>
      <c r="BP50" s="798"/>
      <c r="BQ50" s="800"/>
      <c r="BR50" s="798"/>
      <c r="BS50" s="800"/>
      <c r="BT50" s="798"/>
      <c r="BU50" s="800"/>
      <c r="BV50" s="798"/>
      <c r="BW50" s="800"/>
      <c r="BX50" s="798"/>
      <c r="BY50" s="800"/>
      <c r="BZ50" s="798"/>
      <c r="CA50" s="800"/>
      <c r="CB50" s="798"/>
      <c r="CC50" s="800"/>
      <c r="CD50" s="798"/>
      <c r="CE50" s="800"/>
      <c r="CF50" s="798"/>
      <c r="CG50" s="800"/>
      <c r="CH50" s="798"/>
      <c r="CI50" s="800"/>
      <c r="CJ50" s="798"/>
      <c r="CK50" s="800"/>
      <c r="CL50" s="798"/>
      <c r="CM50" s="800"/>
      <c r="CN50" s="798"/>
      <c r="CO50" s="800"/>
      <c r="CP50" s="798"/>
      <c r="CQ50" s="800"/>
      <c r="CR50" s="798"/>
      <c r="CS50" s="800"/>
      <c r="CT50" s="798"/>
      <c r="CU50" s="800"/>
      <c r="CV50" s="798"/>
      <c r="CW50" s="800"/>
      <c r="CX50" s="798"/>
      <c r="CY50" s="800"/>
      <c r="CZ50" s="798"/>
      <c r="DA50" s="800"/>
      <c r="DB50" s="801"/>
      <c r="DC50" s="798"/>
      <c r="DD50" s="799"/>
      <c r="DE50" s="798"/>
      <c r="DF50" s="799"/>
      <c r="DG50" s="798"/>
      <c r="DH50" s="799"/>
      <c r="DI50" s="798"/>
      <c r="DJ50" s="799"/>
      <c r="DK50" s="798"/>
      <c r="DL50" s="800"/>
      <c r="DM50" s="798"/>
      <c r="DN50" s="800"/>
      <c r="DO50" s="798"/>
      <c r="DP50" s="800"/>
      <c r="DQ50" s="798"/>
      <c r="DR50" s="800"/>
      <c r="DS50" s="798"/>
      <c r="DT50" s="800"/>
      <c r="DU50" s="798"/>
      <c r="DV50" s="800"/>
      <c r="DW50" s="798"/>
      <c r="DX50" s="800"/>
      <c r="DY50" s="798"/>
      <c r="DZ50" s="800"/>
      <c r="EA50" s="798"/>
      <c r="EB50" s="800"/>
      <c r="EC50" s="798"/>
      <c r="ED50" s="800"/>
      <c r="EE50" s="798"/>
      <c r="EF50" s="800"/>
      <c r="EG50" s="798"/>
      <c r="EH50" s="800"/>
      <c r="EI50" s="798"/>
      <c r="EJ50" s="800"/>
      <c r="EK50" s="798"/>
      <c r="EL50" s="800"/>
      <c r="EM50" s="798"/>
      <c r="EN50" s="800"/>
      <c r="EO50" s="798"/>
      <c r="EP50" s="800"/>
      <c r="EQ50" s="798"/>
      <c r="ER50" s="800"/>
      <c r="ES50" s="798"/>
      <c r="ET50" s="800"/>
      <c r="EU50" s="799"/>
      <c r="EV50" s="721"/>
    </row>
    <row r="51" spans="1:152" ht="21.95" customHeight="1" x14ac:dyDescent="0.25">
      <c r="A51" s="709" t="str">
        <f>INPUT!$B$4</f>
        <v>Unum Group</v>
      </c>
      <c r="B51" s="728"/>
      <c r="C51" s="729"/>
      <c r="D51" s="728"/>
      <c r="E51" s="729"/>
      <c r="F51" s="728"/>
      <c r="G51" s="729"/>
      <c r="H51" s="728"/>
      <c r="I51" s="730"/>
      <c r="J51" s="728"/>
      <c r="K51" s="730"/>
      <c r="L51" s="728"/>
      <c r="M51" s="730"/>
      <c r="N51" s="728"/>
      <c r="O51" s="730"/>
      <c r="P51" s="728"/>
      <c r="Q51" s="730"/>
      <c r="R51" s="728"/>
      <c r="S51" s="730"/>
      <c r="T51" s="728"/>
      <c r="U51" s="730"/>
      <c r="V51" s="728"/>
      <c r="W51" s="730"/>
      <c r="X51" s="728"/>
      <c r="Y51" s="730"/>
      <c r="Z51" s="728"/>
      <c r="AA51" s="730"/>
      <c r="AB51" s="728"/>
      <c r="AC51" s="730"/>
      <c r="AD51" s="728"/>
      <c r="AE51" s="730"/>
      <c r="AF51" s="728"/>
      <c r="AG51" s="730"/>
      <c r="AH51" s="728"/>
      <c r="AI51" s="730"/>
      <c r="AJ51" s="728"/>
      <c r="AK51" s="730"/>
      <c r="AL51" s="728"/>
      <c r="AM51" s="730"/>
      <c r="AN51" s="728"/>
      <c r="AO51" s="730"/>
      <c r="AP51" s="728"/>
      <c r="AQ51" s="730"/>
      <c r="AR51" s="728"/>
      <c r="AS51" s="730"/>
      <c r="AT51" s="728"/>
      <c r="AU51" s="730"/>
      <c r="AV51" s="728"/>
      <c r="AW51" s="730"/>
      <c r="AX51" s="728"/>
      <c r="AY51" s="730"/>
      <c r="AZ51" s="728"/>
      <c r="BA51" s="730"/>
      <c r="BB51" s="728"/>
      <c r="BC51" s="730"/>
      <c r="BD51" s="728"/>
      <c r="BE51" s="730"/>
      <c r="BF51" s="728"/>
      <c r="BG51" s="730"/>
      <c r="BH51" s="728"/>
      <c r="BI51" s="730"/>
      <c r="BJ51" s="728"/>
      <c r="BK51" s="730"/>
      <c r="BL51" s="728"/>
      <c r="BM51" s="730"/>
      <c r="BN51" s="728"/>
      <c r="BO51" s="730"/>
      <c r="BP51" s="728"/>
      <c r="BQ51" s="730"/>
      <c r="BR51" s="728"/>
      <c r="BS51" s="730"/>
      <c r="BT51" s="728"/>
      <c r="BU51" s="730"/>
      <c r="BV51" s="728"/>
      <c r="BW51" s="730"/>
      <c r="BX51" s="728"/>
      <c r="BY51" s="730"/>
      <c r="BZ51" s="728"/>
      <c r="CA51" s="730"/>
      <c r="CB51" s="728"/>
      <c r="CC51" s="730"/>
      <c r="CD51" s="728"/>
      <c r="CE51" s="730"/>
      <c r="CF51" s="728"/>
      <c r="CG51" s="730"/>
      <c r="CH51" s="728"/>
      <c r="CI51" s="730"/>
      <c r="CJ51" s="728"/>
      <c r="CK51" s="730"/>
      <c r="CL51" s="728"/>
      <c r="CM51" s="730"/>
      <c r="CN51" s="728"/>
      <c r="CO51" s="730"/>
      <c r="CP51" s="728"/>
      <c r="CQ51" s="730"/>
      <c r="CR51" s="728"/>
      <c r="CS51" s="730"/>
      <c r="CT51" s="728"/>
      <c r="CU51" s="730"/>
      <c r="CV51" s="728"/>
      <c r="CW51" s="730"/>
      <c r="CX51" s="728"/>
      <c r="CY51" s="730"/>
      <c r="CZ51" s="728"/>
      <c r="DA51" s="730"/>
      <c r="DB51" s="730"/>
      <c r="DC51" s="728"/>
      <c r="DD51" s="729"/>
      <c r="DE51" s="728"/>
      <c r="DF51" s="729"/>
      <c r="DG51" s="728"/>
      <c r="DH51" s="729"/>
      <c r="DI51" s="728"/>
      <c r="DJ51" s="729"/>
      <c r="DK51" s="728"/>
      <c r="DL51" s="730"/>
      <c r="DM51" s="728"/>
      <c r="DN51" s="730"/>
      <c r="DO51" s="728"/>
      <c r="DP51" s="730"/>
      <c r="DQ51" s="728"/>
      <c r="DR51" s="730"/>
      <c r="DS51" s="728"/>
      <c r="DT51" s="730"/>
      <c r="DU51" s="728"/>
      <c r="DV51" s="730"/>
      <c r="DW51" s="728"/>
      <c r="DX51" s="730"/>
      <c r="DY51" s="728"/>
      <c r="DZ51" s="730"/>
      <c r="EA51" s="728"/>
      <c r="EB51" s="730"/>
      <c r="EC51" s="728"/>
      <c r="ED51" s="730"/>
      <c r="EE51" s="728"/>
      <c r="EF51" s="730"/>
      <c r="EG51" s="728"/>
      <c r="EH51" s="730"/>
      <c r="EI51" s="728"/>
      <c r="EJ51" s="730"/>
      <c r="EK51" s="728"/>
      <c r="EL51" s="730"/>
      <c r="EM51" s="728"/>
      <c r="EN51" s="730"/>
      <c r="EO51" s="728"/>
      <c r="EP51" s="730"/>
      <c r="EQ51" s="728"/>
      <c r="ER51" s="730"/>
      <c r="ES51" s="728"/>
      <c r="ET51" s="730"/>
      <c r="EU51" s="729"/>
      <c r="EV51" s="710"/>
    </row>
    <row r="52" spans="1:152" ht="12.75" customHeight="1" x14ac:dyDescent="0.2">
      <c r="A52" s="731" t="s">
        <v>291</v>
      </c>
      <c r="B52" s="732"/>
      <c r="C52" s="733"/>
      <c r="D52" s="732"/>
      <c r="E52" s="733"/>
      <c r="F52" s="732"/>
      <c r="G52" s="733"/>
      <c r="H52" s="732"/>
      <c r="I52" s="734"/>
      <c r="J52" s="732"/>
      <c r="K52" s="734"/>
      <c r="L52" s="732"/>
      <c r="M52" s="734"/>
      <c r="N52" s="732"/>
      <c r="O52" s="734"/>
      <c r="P52" s="732"/>
      <c r="Q52" s="734"/>
      <c r="R52" s="732"/>
      <c r="S52" s="734"/>
      <c r="T52" s="732"/>
      <c r="U52" s="734"/>
      <c r="V52" s="732"/>
      <c r="W52" s="734"/>
      <c r="X52" s="732"/>
      <c r="Y52" s="734"/>
      <c r="Z52" s="732"/>
      <c r="AA52" s="734"/>
      <c r="AB52" s="732"/>
      <c r="AC52" s="734"/>
      <c r="AD52" s="732"/>
      <c r="AE52" s="734"/>
      <c r="AF52" s="732"/>
      <c r="AG52" s="734"/>
      <c r="AH52" s="732"/>
      <c r="AI52" s="734"/>
      <c r="AJ52" s="732"/>
      <c r="AK52" s="734"/>
      <c r="AL52" s="732"/>
      <c r="AM52" s="734"/>
      <c r="AN52" s="732"/>
      <c r="AO52" s="734"/>
      <c r="AP52" s="732"/>
      <c r="AQ52" s="734"/>
      <c r="AR52" s="732"/>
      <c r="AS52" s="734"/>
      <c r="AT52" s="732"/>
      <c r="AU52" s="734"/>
      <c r="AV52" s="732"/>
      <c r="AW52" s="734"/>
      <c r="AX52" s="732"/>
      <c r="AY52" s="734"/>
      <c r="AZ52" s="732"/>
      <c r="BA52" s="734"/>
      <c r="BB52" s="732"/>
      <c r="BC52" s="734"/>
      <c r="BD52" s="732"/>
      <c r="BE52" s="734"/>
      <c r="BF52" s="732"/>
      <c r="BG52" s="734"/>
      <c r="BH52" s="732"/>
      <c r="BI52" s="734"/>
      <c r="BJ52" s="732"/>
      <c r="BK52" s="734"/>
      <c r="BL52" s="732"/>
      <c r="BM52" s="734"/>
      <c r="BN52" s="732"/>
      <c r="BO52" s="734"/>
      <c r="BP52" s="732"/>
      <c r="BQ52" s="734"/>
      <c r="BR52" s="732"/>
      <c r="BS52" s="734"/>
      <c r="BT52" s="732"/>
      <c r="BU52" s="734"/>
      <c r="BV52" s="732"/>
      <c r="BW52" s="734"/>
      <c r="BX52" s="732"/>
      <c r="BY52" s="734"/>
      <c r="BZ52" s="732"/>
      <c r="CA52" s="734"/>
      <c r="CB52" s="732"/>
      <c r="CC52" s="734"/>
      <c r="CD52" s="732"/>
      <c r="CE52" s="734"/>
      <c r="CF52" s="732"/>
      <c r="CG52" s="734"/>
      <c r="CH52" s="732"/>
      <c r="CI52" s="734"/>
      <c r="CJ52" s="732"/>
      <c r="CK52" s="734"/>
      <c r="CL52" s="732"/>
      <c r="CM52" s="734"/>
      <c r="CN52" s="732"/>
      <c r="CO52" s="734"/>
      <c r="CP52" s="732"/>
      <c r="CQ52" s="734"/>
      <c r="CR52" s="732"/>
      <c r="CS52" s="734"/>
      <c r="CT52" s="732"/>
      <c r="CU52" s="734"/>
      <c r="CV52" s="732"/>
      <c r="CW52" s="734"/>
      <c r="CX52" s="732"/>
      <c r="CY52" s="734"/>
      <c r="CZ52" s="732"/>
      <c r="DA52" s="734"/>
      <c r="DB52" s="734"/>
      <c r="DC52" s="732"/>
      <c r="DD52" s="733"/>
      <c r="DE52" s="732"/>
      <c r="DF52" s="733"/>
      <c r="DG52" s="732"/>
      <c r="DH52" s="733"/>
      <c r="DI52" s="732"/>
      <c r="DJ52" s="733"/>
      <c r="DK52" s="732"/>
      <c r="DL52" s="734"/>
      <c r="DM52" s="732"/>
      <c r="DN52" s="734"/>
      <c r="DO52" s="732"/>
      <c r="DP52" s="734"/>
      <c r="DQ52" s="732"/>
      <c r="DR52" s="734"/>
      <c r="DS52" s="732"/>
      <c r="DT52" s="734"/>
      <c r="DU52" s="732"/>
      <c r="DV52" s="734"/>
      <c r="DW52" s="732"/>
      <c r="DX52" s="734"/>
      <c r="DY52" s="732"/>
      <c r="DZ52" s="734"/>
      <c r="EA52" s="732"/>
      <c r="EB52" s="734"/>
      <c r="EC52" s="732"/>
      <c r="ED52" s="734"/>
      <c r="EE52" s="732"/>
      <c r="EF52" s="734"/>
      <c r="EG52" s="732"/>
      <c r="EH52" s="734"/>
      <c r="EI52" s="732"/>
      <c r="EJ52" s="734"/>
      <c r="EK52" s="732"/>
      <c r="EL52" s="734"/>
      <c r="EM52" s="732"/>
      <c r="EN52" s="734"/>
      <c r="EO52" s="732"/>
      <c r="EP52" s="734"/>
      <c r="EQ52" s="732"/>
      <c r="ER52" s="734"/>
      <c r="ES52" s="732"/>
      <c r="ET52" s="734"/>
      <c r="EU52" s="733"/>
      <c r="EV52" s="710"/>
    </row>
    <row r="53" spans="1:152" ht="12.75" customHeight="1" x14ac:dyDescent="0.2">
      <c r="A53" s="712" t="str">
        <f>A$3</f>
        <v>($Millions Except Per Share Data)</v>
      </c>
      <c r="B53" s="736"/>
      <c r="C53" s="737" t="str">
        <f>C$3</f>
        <v>1Q06/</v>
      </c>
      <c r="D53" s="736"/>
      <c r="E53" s="737" t="str">
        <f>E$3</f>
        <v>2Q06/</v>
      </c>
      <c r="F53" s="736"/>
      <c r="G53" s="737" t="str">
        <f>G$3</f>
        <v>3Q06/</v>
      </c>
      <c r="H53" s="736"/>
      <c r="I53" s="738" t="str">
        <f>I$3</f>
        <v>4Q06/</v>
      </c>
      <c r="J53" s="736"/>
      <c r="K53" s="738" t="str">
        <f>K$3</f>
        <v>1Q07/</v>
      </c>
      <c r="L53" s="736"/>
      <c r="M53" s="738" t="str">
        <f>M$3</f>
        <v>2Q07/</v>
      </c>
      <c r="N53" s="736"/>
      <c r="O53" s="738" t="str">
        <f>O$3</f>
        <v>3Q07/</v>
      </c>
      <c r="P53" s="736"/>
      <c r="Q53" s="738" t="str">
        <f>Q$3</f>
        <v>4Q07/</v>
      </c>
      <c r="R53" s="736"/>
      <c r="S53" s="738" t="str">
        <f>S$3</f>
        <v>1Q08/</v>
      </c>
      <c r="T53" s="736"/>
      <c r="U53" s="738" t="str">
        <f>U$3</f>
        <v>2Q08/</v>
      </c>
      <c r="V53" s="736"/>
      <c r="W53" s="738" t="str">
        <f>W$3</f>
        <v>3Q08/</v>
      </c>
      <c r="X53" s="736"/>
      <c r="Y53" s="738" t="str">
        <f>Y$3</f>
        <v>4Q08/</v>
      </c>
      <c r="Z53" s="736"/>
      <c r="AA53" s="738" t="str">
        <f>AA$3</f>
        <v>1Q09/</v>
      </c>
      <c r="AB53" s="736"/>
      <c r="AC53" s="738" t="str">
        <f>AC$3</f>
        <v>2Q09/</v>
      </c>
      <c r="AD53" s="736"/>
      <c r="AE53" s="738" t="str">
        <f>AE$3</f>
        <v>3Q09/</v>
      </c>
      <c r="AF53" s="736"/>
      <c r="AG53" s="738" t="str">
        <f>AG$3</f>
        <v>4Q09/</v>
      </c>
      <c r="AH53" s="736"/>
      <c r="AI53" s="738" t="str">
        <f>AI$3</f>
        <v>1Q10/</v>
      </c>
      <c r="AJ53" s="736"/>
      <c r="AK53" s="738" t="str">
        <f>AK$3</f>
        <v>2Q10/</v>
      </c>
      <c r="AL53" s="736"/>
      <c r="AM53" s="738" t="str">
        <f>AM$3</f>
        <v>3Q10/</v>
      </c>
      <c r="AN53" s="736"/>
      <c r="AO53" s="738">
        <f>AO$3</f>
        <v>0</v>
      </c>
      <c r="AP53" s="736"/>
      <c r="AQ53" s="738" t="str">
        <f>AQ$3</f>
        <v>1Q11/</v>
      </c>
      <c r="AR53" s="736"/>
      <c r="AS53" s="738" t="str">
        <f>AS$3</f>
        <v>2Q11/</v>
      </c>
      <c r="AT53" s="736"/>
      <c r="AU53" s="738" t="str">
        <f>AU$3</f>
        <v>3Q11/</v>
      </c>
      <c r="AV53" s="736"/>
      <c r="AW53" s="738" t="str">
        <f>AW$3</f>
        <v>4Q11/</v>
      </c>
      <c r="AX53" s="736"/>
      <c r="AY53" s="738" t="str">
        <f>AY$3</f>
        <v>1Q12/</v>
      </c>
      <c r="AZ53" s="736"/>
      <c r="BA53" s="738" t="str">
        <f>BA$3</f>
        <v>2Q12/</v>
      </c>
      <c r="BB53" s="736"/>
      <c r="BC53" s="738" t="str">
        <f>BC$3</f>
        <v>3Q12/</v>
      </c>
      <c r="BD53" s="736"/>
      <c r="BE53" s="738" t="str">
        <f>BE$3</f>
        <v>4Q12/</v>
      </c>
      <c r="BF53" s="736"/>
      <c r="BG53" s="738" t="str">
        <f>BG$3</f>
        <v>1Q13/</v>
      </c>
      <c r="BH53" s="736"/>
      <c r="BI53" s="738" t="str">
        <f>BI$3</f>
        <v>2Q13/</v>
      </c>
      <c r="BJ53" s="736"/>
      <c r="BK53" s="738" t="str">
        <f>BK$3</f>
        <v>3Q13/</v>
      </c>
      <c r="BL53" s="736"/>
      <c r="BM53" s="738" t="str">
        <f>BM$3</f>
        <v>4Q13/</v>
      </c>
      <c r="BN53" s="736"/>
      <c r="BO53" s="738" t="str">
        <f>BO$3</f>
        <v>1Q14/</v>
      </c>
      <c r="BP53" s="736"/>
      <c r="BQ53" s="738" t="str">
        <f>BQ$3</f>
        <v>2Q14/</v>
      </c>
      <c r="BR53" s="736"/>
      <c r="BS53" s="738" t="str">
        <f>BS$3</f>
        <v>3Q14/</v>
      </c>
      <c r="BT53" s="736"/>
      <c r="BU53" s="738" t="str">
        <f>BU$3</f>
        <v>4Q14/</v>
      </c>
      <c r="BV53" s="736"/>
      <c r="BW53" s="738" t="str">
        <f>BW$3</f>
        <v>1Q15/</v>
      </c>
      <c r="BX53" s="736"/>
      <c r="BY53" s="738" t="str">
        <f>BY$3</f>
        <v>2Q15/</v>
      </c>
      <c r="BZ53" s="736"/>
      <c r="CA53" s="738" t="str">
        <f>CA$3</f>
        <v>3Q15/</v>
      </c>
      <c r="CB53" s="736"/>
      <c r="CC53" s="738" t="str">
        <f>CC$3</f>
        <v>4Q15/</v>
      </c>
      <c r="CD53" s="736"/>
      <c r="CE53" s="738" t="str">
        <f>CE$3</f>
        <v>1Q16/</v>
      </c>
      <c r="CF53" s="736"/>
      <c r="CG53" s="738" t="str">
        <f>CG$3</f>
        <v>2Q16/</v>
      </c>
      <c r="CH53" s="736"/>
      <c r="CI53" s="738" t="str">
        <f>CI$3</f>
        <v>3Q16/</v>
      </c>
      <c r="CJ53" s="736"/>
      <c r="CK53" s="738" t="str">
        <f>CK$3</f>
        <v>4Q16/</v>
      </c>
      <c r="CL53" s="736"/>
      <c r="CM53" s="738" t="str">
        <f t="shared" ref="CM53" si="32">CM$3</f>
        <v>1Q17/</v>
      </c>
      <c r="CN53" s="736"/>
      <c r="CO53" s="738" t="str">
        <f t="shared" ref="CO53" si="33">CO$3</f>
        <v>2Q17/</v>
      </c>
      <c r="CP53" s="736"/>
      <c r="CQ53" s="738" t="str">
        <f t="shared" ref="CQ53:CS53" si="34">CQ$3</f>
        <v>3Q17/</v>
      </c>
      <c r="CR53" s="736"/>
      <c r="CS53" s="738" t="str">
        <f t="shared" si="34"/>
        <v>4Q17/</v>
      </c>
      <c r="CT53" s="736"/>
      <c r="CU53" s="738" t="str">
        <f t="shared" ref="CU53" si="35">CU$3</f>
        <v>1Q18E/</v>
      </c>
      <c r="CV53" s="736"/>
      <c r="CW53" s="738" t="str">
        <f t="shared" ref="CW53" si="36">CW$3</f>
        <v>2Q18E/</v>
      </c>
      <c r="CX53" s="736"/>
      <c r="CY53" s="738" t="str">
        <f t="shared" ref="CY53:DA53" si="37">CY$3</f>
        <v>3Q18E/</v>
      </c>
      <c r="CZ53" s="736"/>
      <c r="DA53" s="738" t="str">
        <f t="shared" si="37"/>
        <v>4Q18E/</v>
      </c>
      <c r="DB53" s="739"/>
      <c r="DC53" s="736"/>
      <c r="DD53" s="737" t="str">
        <f>DD$3</f>
        <v>2001/</v>
      </c>
      <c r="DE53" s="736"/>
      <c r="DF53" s="737" t="str">
        <f>DF$3</f>
        <v>2002/</v>
      </c>
      <c r="DG53" s="736"/>
      <c r="DH53" s="737" t="str">
        <f>DH$3</f>
        <v>2003/</v>
      </c>
      <c r="DI53" s="736"/>
      <c r="DJ53" s="737" t="str">
        <f>DJ$3</f>
        <v>2004/</v>
      </c>
      <c r="DK53" s="736"/>
      <c r="DL53" s="738" t="str">
        <f>DL$3</f>
        <v>2005/</v>
      </c>
      <c r="DM53" s="736"/>
      <c r="DN53" s="738" t="str">
        <f>DN$3</f>
        <v>2006/</v>
      </c>
      <c r="DO53" s="736"/>
      <c r="DP53" s="738" t="str">
        <f>DP$3</f>
        <v>2007/</v>
      </c>
      <c r="DQ53" s="736"/>
      <c r="DR53" s="738" t="str">
        <f>DR$3</f>
        <v>2008/</v>
      </c>
      <c r="DS53" s="736"/>
      <c r="DT53" s="738" t="str">
        <f>DT$3</f>
        <v>2009/</v>
      </c>
      <c r="DU53" s="736"/>
      <c r="DV53" s="738" t="str">
        <f>DV$3</f>
        <v>2010/</v>
      </c>
      <c r="DW53" s="736"/>
      <c r="DX53" s="738" t="str">
        <f>DX$3</f>
        <v>2011/</v>
      </c>
      <c r="DY53" s="736"/>
      <c r="DZ53" s="738" t="str">
        <f>DZ$3</f>
        <v>2012/</v>
      </c>
      <c r="EA53" s="736"/>
      <c r="EB53" s="738" t="str">
        <f>EB$3</f>
        <v>2013/</v>
      </c>
      <c r="EC53" s="736"/>
      <c r="ED53" s="738" t="str">
        <f>ED$3</f>
        <v>2014/</v>
      </c>
      <c r="EE53" s="736"/>
      <c r="EF53" s="738" t="str">
        <f>EF$3</f>
        <v>2015/</v>
      </c>
      <c r="EG53" s="736"/>
      <c r="EH53" s="738" t="str">
        <f>EH$3</f>
        <v>2016/</v>
      </c>
      <c r="EI53" s="736"/>
      <c r="EJ53" s="738" t="str">
        <f>EJ$3</f>
        <v>2017/</v>
      </c>
      <c r="EK53" s="736"/>
      <c r="EL53" s="738" t="str">
        <f>EL$3</f>
        <v>2018E/</v>
      </c>
      <c r="EM53" s="736"/>
      <c r="EN53" s="738" t="str">
        <f>EN$3</f>
        <v>2019E/</v>
      </c>
      <c r="EO53" s="736"/>
      <c r="EP53" s="738" t="str">
        <f>EP$3</f>
        <v>2020E/</v>
      </c>
      <c r="EQ53" s="736"/>
      <c r="ER53" s="738" t="str">
        <f>ER$3</f>
        <v>2021E/</v>
      </c>
      <c r="ES53" s="736"/>
      <c r="ET53" s="738" t="str">
        <f>ET$3</f>
        <v>2022E/</v>
      </c>
      <c r="EU53" s="737" t="str">
        <f>INPUT!GT$5</f>
        <v>5-Yr</v>
      </c>
      <c r="EV53" s="710"/>
    </row>
    <row r="54" spans="1:152" ht="12.75" customHeight="1" x14ac:dyDescent="0.2">
      <c r="A54" s="740"/>
      <c r="B54" s="732"/>
      <c r="C54" s="741" t="str">
        <f>C$4</f>
        <v>1Q05</v>
      </c>
      <c r="D54" s="732"/>
      <c r="E54" s="741" t="str">
        <f>E$4</f>
        <v>2Q05</v>
      </c>
      <c r="F54" s="732"/>
      <c r="G54" s="741" t="str">
        <f>G$4</f>
        <v>3Q05</v>
      </c>
      <c r="H54" s="732"/>
      <c r="I54" s="734" t="str">
        <f>I$4</f>
        <v>4Q05</v>
      </c>
      <c r="J54" s="732"/>
      <c r="K54" s="734" t="str">
        <f>K$4</f>
        <v>1Q06</v>
      </c>
      <c r="L54" s="732"/>
      <c r="M54" s="734" t="str">
        <f>M$4</f>
        <v>2Q06</v>
      </c>
      <c r="N54" s="732"/>
      <c r="O54" s="734" t="str">
        <f>O$4</f>
        <v>3Q06</v>
      </c>
      <c r="P54" s="732"/>
      <c r="Q54" s="734" t="str">
        <f>Q$4</f>
        <v>4Q06</v>
      </c>
      <c r="R54" s="732"/>
      <c r="S54" s="734" t="str">
        <f>S$4</f>
        <v>1Q07</v>
      </c>
      <c r="T54" s="732"/>
      <c r="U54" s="734" t="str">
        <f>U$4</f>
        <v>2Q07</v>
      </c>
      <c r="V54" s="732"/>
      <c r="W54" s="734" t="str">
        <f>W$4</f>
        <v>3Q07</v>
      </c>
      <c r="X54" s="732"/>
      <c r="Y54" s="734" t="str">
        <f>Y$4</f>
        <v>4Q07</v>
      </c>
      <c r="Z54" s="732"/>
      <c r="AA54" s="734" t="str">
        <f>AA$4</f>
        <v>1Q08</v>
      </c>
      <c r="AB54" s="732"/>
      <c r="AC54" s="734" t="str">
        <f>AC$4</f>
        <v>2Q08</v>
      </c>
      <c r="AD54" s="732"/>
      <c r="AE54" s="734" t="str">
        <f>AE$4</f>
        <v>3Q08</v>
      </c>
      <c r="AF54" s="732"/>
      <c r="AG54" s="734" t="str">
        <f>AG$4</f>
        <v>4Q08</v>
      </c>
      <c r="AH54" s="732"/>
      <c r="AI54" s="734" t="str">
        <f>AI$4</f>
        <v>1Q09</v>
      </c>
      <c r="AJ54" s="732"/>
      <c r="AK54" s="734" t="str">
        <f>AK$4</f>
        <v>2Q09</v>
      </c>
      <c r="AL54" s="732"/>
      <c r="AM54" s="734" t="str">
        <f>AM$4</f>
        <v>3Q09</v>
      </c>
      <c r="AN54" s="732"/>
      <c r="AO54" s="734" t="str">
        <f>AO$4</f>
        <v>4Q09</v>
      </c>
      <c r="AP54" s="732"/>
      <c r="AQ54" s="734" t="str">
        <f>AQ$4</f>
        <v>1Q10</v>
      </c>
      <c r="AR54" s="732"/>
      <c r="AS54" s="734" t="str">
        <f>AS$4</f>
        <v>2Q10</v>
      </c>
      <c r="AT54" s="732"/>
      <c r="AU54" s="734" t="str">
        <f>AU$4</f>
        <v>3Q10</v>
      </c>
      <c r="AV54" s="732"/>
      <c r="AW54" s="734" t="str">
        <f>AW$4</f>
        <v>4Q10</v>
      </c>
      <c r="AX54" s="732"/>
      <c r="AY54" s="734" t="str">
        <f>AY$4</f>
        <v>1Q11</v>
      </c>
      <c r="AZ54" s="732"/>
      <c r="BA54" s="734" t="str">
        <f>BA$4</f>
        <v>2Q11</v>
      </c>
      <c r="BB54" s="732"/>
      <c r="BC54" s="734" t="str">
        <f>BC$4</f>
        <v>3Q11</v>
      </c>
      <c r="BD54" s="732"/>
      <c r="BE54" s="734" t="str">
        <f>BE$4</f>
        <v>4Q11</v>
      </c>
      <c r="BF54" s="732"/>
      <c r="BG54" s="734" t="str">
        <f>BG$4</f>
        <v>1Q12</v>
      </c>
      <c r="BH54" s="732"/>
      <c r="BI54" s="734" t="str">
        <f>BI$4</f>
        <v>2Q12</v>
      </c>
      <c r="BJ54" s="732"/>
      <c r="BK54" s="734" t="str">
        <f>BK$4</f>
        <v>3Q12</v>
      </c>
      <c r="BL54" s="732"/>
      <c r="BM54" s="734" t="str">
        <f>BM$4</f>
        <v>4Q12</v>
      </c>
      <c r="BN54" s="732"/>
      <c r="BO54" s="734" t="str">
        <f>BO$4</f>
        <v>1Q13</v>
      </c>
      <c r="BP54" s="732"/>
      <c r="BQ54" s="734" t="str">
        <f>BQ$4</f>
        <v>2Q13</v>
      </c>
      <c r="BR54" s="732"/>
      <c r="BS54" s="734" t="str">
        <f>BS$4</f>
        <v>3Q13</v>
      </c>
      <c r="BT54" s="732"/>
      <c r="BU54" s="734" t="str">
        <f>BU$4</f>
        <v>4Q13</v>
      </c>
      <c r="BV54" s="732"/>
      <c r="BW54" s="734" t="str">
        <f>BW$4</f>
        <v>1Q14</v>
      </c>
      <c r="BX54" s="732"/>
      <c r="BY54" s="734" t="str">
        <f>BY$4</f>
        <v>2Q14</v>
      </c>
      <c r="BZ54" s="732"/>
      <c r="CA54" s="734" t="str">
        <f>CA$4</f>
        <v>3Q14</v>
      </c>
      <c r="CB54" s="732"/>
      <c r="CC54" s="734" t="str">
        <f>CC$4</f>
        <v>4Q14</v>
      </c>
      <c r="CD54" s="732"/>
      <c r="CE54" s="734" t="str">
        <f>CE$4</f>
        <v>1Q15</v>
      </c>
      <c r="CF54" s="732"/>
      <c r="CG54" s="734" t="str">
        <f>CG$4</f>
        <v>2Q15</v>
      </c>
      <c r="CH54" s="732"/>
      <c r="CI54" s="734" t="str">
        <f>CI$4</f>
        <v>3Q15</v>
      </c>
      <c r="CJ54" s="732"/>
      <c r="CK54" s="734" t="str">
        <f>CK$4</f>
        <v>4Q15</v>
      </c>
      <c r="CL54" s="732"/>
      <c r="CM54" s="734" t="str">
        <f t="shared" ref="CM54" si="38">CM$4</f>
        <v>1Q16</v>
      </c>
      <c r="CN54" s="732"/>
      <c r="CO54" s="734" t="str">
        <f t="shared" ref="CO54" si="39">CO$4</f>
        <v>2Q16</v>
      </c>
      <c r="CP54" s="732"/>
      <c r="CQ54" s="734" t="str">
        <f t="shared" ref="CQ54:CS54" si="40">CQ$4</f>
        <v>3Q16</v>
      </c>
      <c r="CR54" s="732"/>
      <c r="CS54" s="734" t="str">
        <f t="shared" si="40"/>
        <v>4Q16</v>
      </c>
      <c r="CT54" s="732"/>
      <c r="CU54" s="734" t="str">
        <f t="shared" ref="CU54" si="41">CU$4</f>
        <v>1Q17</v>
      </c>
      <c r="CV54" s="732"/>
      <c r="CW54" s="734" t="str">
        <f t="shared" ref="CW54" si="42">CW$4</f>
        <v>2Q17</v>
      </c>
      <c r="CX54" s="732"/>
      <c r="CY54" s="734" t="str">
        <f t="shared" ref="CY54:DA54" si="43">CY$4</f>
        <v>3Q17</v>
      </c>
      <c r="CZ54" s="732"/>
      <c r="DA54" s="734" t="str">
        <f t="shared" si="43"/>
        <v>4Q17</v>
      </c>
      <c r="DB54" s="742"/>
      <c r="DC54" s="732"/>
      <c r="DD54" s="741" t="str">
        <f>DD$4</f>
        <v>2000</v>
      </c>
      <c r="DE54" s="732"/>
      <c r="DF54" s="741" t="str">
        <f>DF$4</f>
        <v>2001</v>
      </c>
      <c r="DG54" s="732"/>
      <c r="DH54" s="741" t="str">
        <f>DH$4</f>
        <v>2002</v>
      </c>
      <c r="DI54" s="732"/>
      <c r="DJ54" s="741" t="str">
        <f>DJ$4</f>
        <v>2003</v>
      </c>
      <c r="DK54" s="732"/>
      <c r="DL54" s="734" t="str">
        <f>DL$4</f>
        <v>2004</v>
      </c>
      <c r="DM54" s="732"/>
      <c r="DN54" s="734" t="str">
        <f>DN$4</f>
        <v>2005</v>
      </c>
      <c r="DO54" s="732"/>
      <c r="DP54" s="734">
        <f>DP$4</f>
        <v>2006</v>
      </c>
      <c r="DQ54" s="732"/>
      <c r="DR54" s="734">
        <f>DR$4</f>
        <v>2007</v>
      </c>
      <c r="DS54" s="732"/>
      <c r="DT54" s="734">
        <f>DT$4</f>
        <v>2008</v>
      </c>
      <c r="DU54" s="732"/>
      <c r="DV54" s="734" t="str">
        <f>DV$4</f>
        <v>2009</v>
      </c>
      <c r="DW54" s="732"/>
      <c r="DX54" s="734" t="str">
        <f>DX$4</f>
        <v>2010</v>
      </c>
      <c r="DY54" s="732"/>
      <c r="DZ54" s="734" t="str">
        <f>DZ$4</f>
        <v>2011</v>
      </c>
      <c r="EA54" s="732"/>
      <c r="EB54" s="734" t="str">
        <f>EB$4</f>
        <v>2012</v>
      </c>
      <c r="EC54" s="732"/>
      <c r="ED54" s="734" t="str">
        <f>ED$4</f>
        <v>2013</v>
      </c>
      <c r="EE54" s="732"/>
      <c r="EF54" s="734" t="str">
        <f>EF$4</f>
        <v>2014</v>
      </c>
      <c r="EG54" s="732"/>
      <c r="EH54" s="734" t="str">
        <f>EH$4</f>
        <v>2015</v>
      </c>
      <c r="EI54" s="732"/>
      <c r="EJ54" s="734" t="str">
        <f>EJ$4</f>
        <v>2016</v>
      </c>
      <c r="EK54" s="732"/>
      <c r="EL54" s="734" t="str">
        <f>EL$4</f>
        <v>2017</v>
      </c>
      <c r="EM54" s="732"/>
      <c r="EN54" s="734" t="str">
        <f>EN$4</f>
        <v>2018E</v>
      </c>
      <c r="EO54" s="732"/>
      <c r="EP54" s="734" t="str">
        <f>EP$4</f>
        <v>2019E</v>
      </c>
      <c r="EQ54" s="732"/>
      <c r="ER54" s="734" t="str">
        <f>ER$4</f>
        <v>2020E</v>
      </c>
      <c r="ES54" s="732"/>
      <c r="ET54" s="734" t="str">
        <f>ET$4</f>
        <v>2021E</v>
      </c>
      <c r="EU54" s="741" t="s">
        <v>113</v>
      </c>
      <c r="EV54" s="710"/>
    </row>
    <row r="55" spans="1:152" ht="12.75" customHeight="1" x14ac:dyDescent="0.2">
      <c r="A55" s="743"/>
      <c r="B55" s="744" t="str">
        <f t="shared" ref="B55:CL55" si="44">B$5</f>
        <v>1Q06</v>
      </c>
      <c r="C55" s="745" t="str">
        <f t="shared" si="44"/>
        <v>% Chg</v>
      </c>
      <c r="D55" s="744" t="str">
        <f t="shared" si="44"/>
        <v>2Q06</v>
      </c>
      <c r="E55" s="745" t="str">
        <f t="shared" si="44"/>
        <v>% Chg</v>
      </c>
      <c r="F55" s="744" t="str">
        <f t="shared" si="44"/>
        <v>3Q06</v>
      </c>
      <c r="G55" s="745" t="str">
        <f t="shared" si="44"/>
        <v>% Chg</v>
      </c>
      <c r="H55" s="744" t="str">
        <f t="shared" si="44"/>
        <v>4Q06</v>
      </c>
      <c r="I55" s="746" t="str">
        <f t="shared" si="44"/>
        <v>% Chg</v>
      </c>
      <c r="J55" s="744" t="str">
        <f t="shared" si="44"/>
        <v>1Q07</v>
      </c>
      <c r="K55" s="746" t="str">
        <f t="shared" si="44"/>
        <v>% Chg</v>
      </c>
      <c r="L55" s="744" t="str">
        <f t="shared" si="44"/>
        <v>2Q07</v>
      </c>
      <c r="M55" s="746" t="str">
        <f t="shared" si="44"/>
        <v>% Chg</v>
      </c>
      <c r="N55" s="744" t="str">
        <f t="shared" si="44"/>
        <v>3Q07</v>
      </c>
      <c r="O55" s="746" t="str">
        <f t="shared" si="44"/>
        <v>% Chg</v>
      </c>
      <c r="P55" s="744" t="str">
        <f t="shared" si="44"/>
        <v>4Q07</v>
      </c>
      <c r="Q55" s="746" t="str">
        <f t="shared" si="44"/>
        <v>% Chg</v>
      </c>
      <c r="R55" s="744" t="str">
        <f t="shared" si="44"/>
        <v>1Q08</v>
      </c>
      <c r="S55" s="746" t="str">
        <f t="shared" si="44"/>
        <v>% Chg</v>
      </c>
      <c r="T55" s="744" t="str">
        <f t="shared" si="44"/>
        <v>2Q08</v>
      </c>
      <c r="U55" s="746" t="str">
        <f t="shared" si="44"/>
        <v>% Chg</v>
      </c>
      <c r="V55" s="744" t="str">
        <f t="shared" si="44"/>
        <v>3Q08</v>
      </c>
      <c r="W55" s="746" t="str">
        <f t="shared" si="44"/>
        <v>% Chg</v>
      </c>
      <c r="X55" s="744" t="str">
        <f t="shared" si="44"/>
        <v>4Q08</v>
      </c>
      <c r="Y55" s="746" t="str">
        <f t="shared" si="44"/>
        <v>% Chg</v>
      </c>
      <c r="Z55" s="744" t="str">
        <f t="shared" si="44"/>
        <v>1Q09</v>
      </c>
      <c r="AA55" s="746" t="str">
        <f t="shared" si="44"/>
        <v>% Chg</v>
      </c>
      <c r="AB55" s="744" t="str">
        <f t="shared" si="44"/>
        <v>2Q09</v>
      </c>
      <c r="AC55" s="746" t="str">
        <f t="shared" si="44"/>
        <v>% Chg</v>
      </c>
      <c r="AD55" s="744" t="str">
        <f t="shared" si="44"/>
        <v>3Q09</v>
      </c>
      <c r="AE55" s="746" t="str">
        <f t="shared" si="44"/>
        <v>% Chg</v>
      </c>
      <c r="AF55" s="744" t="str">
        <f t="shared" si="44"/>
        <v>4Q09</v>
      </c>
      <c r="AG55" s="746" t="str">
        <f t="shared" si="44"/>
        <v>% Chg</v>
      </c>
      <c r="AH55" s="744" t="str">
        <f t="shared" si="44"/>
        <v>1Q10</v>
      </c>
      <c r="AI55" s="746" t="str">
        <f t="shared" si="44"/>
        <v>% Chg</v>
      </c>
      <c r="AJ55" s="744" t="str">
        <f t="shared" si="44"/>
        <v>2Q10</v>
      </c>
      <c r="AK55" s="746" t="str">
        <f t="shared" si="44"/>
        <v>% Chg</v>
      </c>
      <c r="AL55" s="744" t="str">
        <f t="shared" si="44"/>
        <v>3Q10</v>
      </c>
      <c r="AM55" s="746" t="str">
        <f t="shared" si="44"/>
        <v>% Chg</v>
      </c>
      <c r="AN55" s="744" t="str">
        <f t="shared" si="44"/>
        <v>4Q10</v>
      </c>
      <c r="AO55" s="746" t="str">
        <f t="shared" si="44"/>
        <v>% Chg</v>
      </c>
      <c r="AP55" s="744" t="str">
        <f t="shared" si="44"/>
        <v>1Q11</v>
      </c>
      <c r="AQ55" s="746" t="str">
        <f t="shared" si="44"/>
        <v>% Chg</v>
      </c>
      <c r="AR55" s="744" t="str">
        <f t="shared" si="44"/>
        <v>2Q11</v>
      </c>
      <c r="AS55" s="746" t="str">
        <f t="shared" si="44"/>
        <v>% Chg</v>
      </c>
      <c r="AT55" s="744" t="str">
        <f t="shared" si="44"/>
        <v>3Q11</v>
      </c>
      <c r="AU55" s="746" t="str">
        <f t="shared" si="44"/>
        <v>% Chg</v>
      </c>
      <c r="AV55" s="744" t="str">
        <f t="shared" si="44"/>
        <v>4Q11</v>
      </c>
      <c r="AW55" s="746" t="str">
        <f t="shared" si="44"/>
        <v>% Chg</v>
      </c>
      <c r="AX55" s="744" t="str">
        <f t="shared" si="44"/>
        <v>1Q12</v>
      </c>
      <c r="AY55" s="746" t="str">
        <f t="shared" si="44"/>
        <v>% Chg</v>
      </c>
      <c r="AZ55" s="744" t="str">
        <f t="shared" si="44"/>
        <v>2Q12</v>
      </c>
      <c r="BA55" s="746" t="str">
        <f t="shared" si="44"/>
        <v>% Chg</v>
      </c>
      <c r="BB55" s="744" t="str">
        <f t="shared" si="44"/>
        <v>3Q12</v>
      </c>
      <c r="BC55" s="746" t="str">
        <f t="shared" si="44"/>
        <v>% Chg</v>
      </c>
      <c r="BD55" s="744" t="str">
        <f t="shared" si="44"/>
        <v>4Q12</v>
      </c>
      <c r="BE55" s="746" t="str">
        <f t="shared" si="44"/>
        <v>% Chg</v>
      </c>
      <c r="BF55" s="744" t="str">
        <f t="shared" si="44"/>
        <v>1Q13</v>
      </c>
      <c r="BG55" s="746" t="str">
        <f t="shared" si="44"/>
        <v>% Chg</v>
      </c>
      <c r="BH55" s="744" t="str">
        <f t="shared" si="44"/>
        <v>2Q13</v>
      </c>
      <c r="BI55" s="746" t="str">
        <f t="shared" si="44"/>
        <v>% Chg</v>
      </c>
      <c r="BJ55" s="744" t="str">
        <f t="shared" si="44"/>
        <v>3Q13</v>
      </c>
      <c r="BK55" s="746" t="str">
        <f t="shared" si="44"/>
        <v>% Chg</v>
      </c>
      <c r="BL55" s="744" t="str">
        <f t="shared" si="44"/>
        <v>4Q13</v>
      </c>
      <c r="BM55" s="746" t="str">
        <f t="shared" si="44"/>
        <v>% Chg</v>
      </c>
      <c r="BN55" s="744" t="str">
        <f t="shared" si="44"/>
        <v>1Q14</v>
      </c>
      <c r="BO55" s="746" t="str">
        <f>BO$5</f>
        <v>% Chg</v>
      </c>
      <c r="BP55" s="744" t="str">
        <f t="shared" si="44"/>
        <v>2Q14</v>
      </c>
      <c r="BQ55" s="746" t="str">
        <f>BQ$5</f>
        <v>% Chg</v>
      </c>
      <c r="BR55" s="744" t="str">
        <f t="shared" si="44"/>
        <v>3Q14</v>
      </c>
      <c r="BS55" s="746" t="str">
        <f>BS$5</f>
        <v>% Chg</v>
      </c>
      <c r="BT55" s="744" t="str">
        <f t="shared" si="44"/>
        <v>4Q14</v>
      </c>
      <c r="BU55" s="746" t="str">
        <f>BU$5</f>
        <v>% Chg</v>
      </c>
      <c r="BV55" s="744" t="str">
        <f t="shared" si="44"/>
        <v>1Q15</v>
      </c>
      <c r="BW55" s="746" t="str">
        <f>BW$5</f>
        <v>% Chg</v>
      </c>
      <c r="BX55" s="744" t="str">
        <f t="shared" si="44"/>
        <v>2Q15</v>
      </c>
      <c r="BY55" s="746" t="str">
        <f>BY$5</f>
        <v>% Chg</v>
      </c>
      <c r="BZ55" s="744" t="str">
        <f t="shared" si="44"/>
        <v>3Q15</v>
      </c>
      <c r="CA55" s="746" t="str">
        <f>CA$5</f>
        <v>% Chg</v>
      </c>
      <c r="CB55" s="744" t="str">
        <f t="shared" si="44"/>
        <v>4Q15</v>
      </c>
      <c r="CC55" s="746" t="str">
        <f>CC$5</f>
        <v>% Chg</v>
      </c>
      <c r="CD55" s="744" t="str">
        <f t="shared" si="44"/>
        <v>1Q16</v>
      </c>
      <c r="CE55" s="746" t="str">
        <f>CE$5</f>
        <v>% Chg</v>
      </c>
      <c r="CF55" s="744" t="str">
        <f t="shared" si="44"/>
        <v>2Q16</v>
      </c>
      <c r="CG55" s="746" t="str">
        <f>CG$5</f>
        <v>% Chg</v>
      </c>
      <c r="CH55" s="744" t="str">
        <f t="shared" si="44"/>
        <v>3Q16</v>
      </c>
      <c r="CI55" s="746" t="str">
        <f>CI$5</f>
        <v>% Chg</v>
      </c>
      <c r="CJ55" s="744" t="str">
        <f t="shared" si="44"/>
        <v>4Q16</v>
      </c>
      <c r="CK55" s="746" t="str">
        <f>CK$5</f>
        <v>% Chg</v>
      </c>
      <c r="CL55" s="744" t="str">
        <f t="shared" si="44"/>
        <v>1Q17</v>
      </c>
      <c r="CM55" s="746" t="str">
        <f t="shared" ref="CM55:DA55" si="45">CM$5</f>
        <v>% Chg</v>
      </c>
      <c r="CN55" s="744" t="str">
        <f t="shared" si="45"/>
        <v>2Q17</v>
      </c>
      <c r="CO55" s="746" t="str">
        <f t="shared" si="45"/>
        <v>% Chg</v>
      </c>
      <c r="CP55" s="744" t="str">
        <f t="shared" si="45"/>
        <v>3Q17</v>
      </c>
      <c r="CQ55" s="746" t="str">
        <f t="shared" si="45"/>
        <v>% Chg</v>
      </c>
      <c r="CR55" s="744" t="str">
        <f t="shared" si="45"/>
        <v>4Q17</v>
      </c>
      <c r="CS55" s="746" t="str">
        <f t="shared" si="45"/>
        <v>% Chg</v>
      </c>
      <c r="CT55" s="744" t="str">
        <f t="shared" si="45"/>
        <v>1Q18E</v>
      </c>
      <c r="CU55" s="746" t="str">
        <f t="shared" si="45"/>
        <v>% Chg</v>
      </c>
      <c r="CV55" s="744" t="str">
        <f t="shared" si="45"/>
        <v>2Q18E</v>
      </c>
      <c r="CW55" s="746" t="str">
        <f t="shared" si="45"/>
        <v>% Chg</v>
      </c>
      <c r="CX55" s="744" t="str">
        <f t="shared" si="45"/>
        <v>3Q18E</v>
      </c>
      <c r="CY55" s="746" t="str">
        <f t="shared" si="45"/>
        <v>% Chg</v>
      </c>
      <c r="CZ55" s="744" t="str">
        <f t="shared" si="45"/>
        <v>4Q18E</v>
      </c>
      <c r="DA55" s="746" t="str">
        <f t="shared" si="45"/>
        <v>% Chg</v>
      </c>
      <c r="DB55" s="747"/>
      <c r="DC55" s="744" t="str">
        <f t="shared" ref="DC55:ET55" si="46">DC$5</f>
        <v>2001</v>
      </c>
      <c r="DD55" s="745" t="str">
        <f t="shared" si="46"/>
        <v>% Chg</v>
      </c>
      <c r="DE55" s="744" t="str">
        <f t="shared" si="46"/>
        <v>2002</v>
      </c>
      <c r="DF55" s="745" t="str">
        <f t="shared" si="46"/>
        <v>% Chg</v>
      </c>
      <c r="DG55" s="744" t="str">
        <f t="shared" si="46"/>
        <v>2003</v>
      </c>
      <c r="DH55" s="745" t="str">
        <f t="shared" si="46"/>
        <v>% Chg</v>
      </c>
      <c r="DI55" s="744" t="str">
        <f t="shared" si="46"/>
        <v>2004</v>
      </c>
      <c r="DJ55" s="745" t="str">
        <f t="shared" si="46"/>
        <v>% Chg</v>
      </c>
      <c r="DK55" s="744" t="str">
        <f t="shared" si="46"/>
        <v>2005</v>
      </c>
      <c r="DL55" s="746" t="str">
        <f t="shared" si="46"/>
        <v>% Chg</v>
      </c>
      <c r="DM55" s="748">
        <f t="shared" si="46"/>
        <v>2006</v>
      </c>
      <c r="DN55" s="746" t="str">
        <f t="shared" si="46"/>
        <v>% Chg</v>
      </c>
      <c r="DO55" s="748">
        <f t="shared" si="46"/>
        <v>2007</v>
      </c>
      <c r="DP55" s="746" t="str">
        <f t="shared" si="46"/>
        <v>% Chg</v>
      </c>
      <c r="DQ55" s="748">
        <f t="shared" si="46"/>
        <v>2008</v>
      </c>
      <c r="DR55" s="746" t="str">
        <f t="shared" si="46"/>
        <v>% Chg</v>
      </c>
      <c r="DS55" s="744" t="str">
        <f t="shared" si="46"/>
        <v>2009</v>
      </c>
      <c r="DT55" s="746" t="str">
        <f t="shared" si="46"/>
        <v>% Chg</v>
      </c>
      <c r="DU55" s="744" t="str">
        <f t="shared" si="46"/>
        <v>2010</v>
      </c>
      <c r="DV55" s="746" t="str">
        <f t="shared" si="46"/>
        <v>% Chg</v>
      </c>
      <c r="DW55" s="744" t="str">
        <f t="shared" si="46"/>
        <v>2011</v>
      </c>
      <c r="DX55" s="746" t="str">
        <f t="shared" si="46"/>
        <v>% Chg</v>
      </c>
      <c r="DY55" s="744" t="str">
        <f t="shared" si="46"/>
        <v>2012</v>
      </c>
      <c r="DZ55" s="746" t="str">
        <f t="shared" si="46"/>
        <v>% Chg</v>
      </c>
      <c r="EA55" s="744" t="str">
        <f t="shared" si="46"/>
        <v>2013</v>
      </c>
      <c r="EB55" s="746" t="str">
        <f t="shared" si="46"/>
        <v>% Chg</v>
      </c>
      <c r="EC55" s="744" t="str">
        <f t="shared" si="46"/>
        <v>2014</v>
      </c>
      <c r="ED55" s="746" t="str">
        <f t="shared" si="46"/>
        <v>% Chg</v>
      </c>
      <c r="EE55" s="744" t="str">
        <f t="shared" si="46"/>
        <v>2015</v>
      </c>
      <c r="EF55" s="746" t="str">
        <f t="shared" si="46"/>
        <v>% Chg</v>
      </c>
      <c r="EG55" s="744" t="str">
        <f t="shared" si="46"/>
        <v>2016</v>
      </c>
      <c r="EH55" s="746" t="str">
        <f t="shared" si="46"/>
        <v>% Chg</v>
      </c>
      <c r="EI55" s="744" t="str">
        <f t="shared" si="46"/>
        <v>2017</v>
      </c>
      <c r="EJ55" s="746" t="str">
        <f t="shared" si="46"/>
        <v>% Chg</v>
      </c>
      <c r="EK55" s="744" t="str">
        <f t="shared" si="46"/>
        <v>2018E</v>
      </c>
      <c r="EL55" s="746" t="str">
        <f t="shared" si="46"/>
        <v>% Chg</v>
      </c>
      <c r="EM55" s="744" t="str">
        <f t="shared" si="46"/>
        <v>2019E</v>
      </c>
      <c r="EN55" s="746" t="str">
        <f t="shared" si="46"/>
        <v>% Chg</v>
      </c>
      <c r="EO55" s="744" t="str">
        <f t="shared" si="46"/>
        <v>2020E</v>
      </c>
      <c r="EP55" s="746" t="str">
        <f t="shared" si="46"/>
        <v>% Chg</v>
      </c>
      <c r="EQ55" s="744" t="str">
        <f t="shared" si="46"/>
        <v>2021E</v>
      </c>
      <c r="ER55" s="746" t="str">
        <f t="shared" si="46"/>
        <v>% Chg</v>
      </c>
      <c r="ES55" s="744" t="str">
        <f t="shared" si="46"/>
        <v>2022E</v>
      </c>
      <c r="ET55" s="746" t="str">
        <f t="shared" si="46"/>
        <v>% Chg</v>
      </c>
      <c r="EU55" s="745" t="s">
        <v>351</v>
      </c>
      <c r="EV55" s="710"/>
    </row>
    <row r="56" spans="1:152" ht="12.75" customHeight="1" x14ac:dyDescent="0.2">
      <c r="A56" s="749"/>
      <c r="B56" s="750"/>
      <c r="C56" s="767"/>
      <c r="D56" s="750"/>
      <c r="E56" s="767"/>
      <c r="F56" s="750"/>
      <c r="G56" s="767"/>
      <c r="H56" s="750"/>
      <c r="I56" s="752"/>
      <c r="J56" s="750"/>
      <c r="K56" s="752"/>
      <c r="L56" s="750"/>
      <c r="M56" s="752"/>
      <c r="N56" s="750"/>
      <c r="O56" s="752"/>
      <c r="P56" s="750"/>
      <c r="Q56" s="752"/>
      <c r="R56" s="750"/>
      <c r="S56" s="752"/>
      <c r="T56" s="750"/>
      <c r="U56" s="752"/>
      <c r="V56" s="750"/>
      <c r="W56" s="752"/>
      <c r="X56" s="750"/>
      <c r="Y56" s="752"/>
      <c r="Z56" s="750"/>
      <c r="AA56" s="752"/>
      <c r="AB56" s="750"/>
      <c r="AC56" s="752"/>
      <c r="AD56" s="750"/>
      <c r="AE56" s="752"/>
      <c r="AF56" s="750"/>
      <c r="AG56" s="752"/>
      <c r="AH56" s="750"/>
      <c r="AI56" s="752"/>
      <c r="AJ56" s="750"/>
      <c r="AK56" s="752"/>
      <c r="AL56" s="750"/>
      <c r="AM56" s="752"/>
      <c r="AN56" s="750"/>
      <c r="AO56" s="752"/>
      <c r="AP56" s="750"/>
      <c r="AQ56" s="752"/>
      <c r="AR56" s="750"/>
      <c r="AS56" s="752"/>
      <c r="AT56" s="750"/>
      <c r="AU56" s="752"/>
      <c r="AV56" s="750"/>
      <c r="AW56" s="752"/>
      <c r="AX56" s="750"/>
      <c r="AY56" s="752"/>
      <c r="AZ56" s="750"/>
      <c r="BA56" s="752"/>
      <c r="BB56" s="750"/>
      <c r="BC56" s="752"/>
      <c r="BD56" s="750"/>
      <c r="BE56" s="752"/>
      <c r="BF56" s="750"/>
      <c r="BG56" s="752"/>
      <c r="BH56" s="750"/>
      <c r="BI56" s="752"/>
      <c r="BJ56" s="750"/>
      <c r="BK56" s="752"/>
      <c r="BL56" s="750"/>
      <c r="BM56" s="752"/>
      <c r="BN56" s="750"/>
      <c r="BO56" s="752"/>
      <c r="BP56" s="750"/>
      <c r="BQ56" s="752"/>
      <c r="BR56" s="750"/>
      <c r="BS56" s="752"/>
      <c r="BT56" s="750"/>
      <c r="BU56" s="752"/>
      <c r="BV56" s="750"/>
      <c r="BW56" s="752"/>
      <c r="BX56" s="750"/>
      <c r="BY56" s="752"/>
      <c r="BZ56" s="750"/>
      <c r="CA56" s="752"/>
      <c r="CB56" s="750"/>
      <c r="CC56" s="752"/>
      <c r="CD56" s="750"/>
      <c r="CE56" s="752"/>
      <c r="CF56" s="750"/>
      <c r="CG56" s="752"/>
      <c r="CH56" s="750"/>
      <c r="CI56" s="752"/>
      <c r="CJ56" s="750"/>
      <c r="CK56" s="752"/>
      <c r="CL56" s="750"/>
      <c r="CM56" s="752"/>
      <c r="CN56" s="750"/>
      <c r="CO56" s="752"/>
      <c r="CP56" s="750"/>
      <c r="CQ56" s="752"/>
      <c r="CR56" s="750"/>
      <c r="CS56" s="752"/>
      <c r="CT56" s="750"/>
      <c r="CU56" s="752"/>
      <c r="CV56" s="750"/>
      <c r="CW56" s="752"/>
      <c r="CX56" s="750"/>
      <c r="CY56" s="752"/>
      <c r="CZ56" s="750"/>
      <c r="DA56" s="752"/>
      <c r="DB56" s="753"/>
      <c r="DC56" s="750"/>
      <c r="DD56" s="767"/>
      <c r="DE56" s="750"/>
      <c r="DF56" s="767"/>
      <c r="DG56" s="750"/>
      <c r="DH56" s="767"/>
      <c r="DI56" s="750"/>
      <c r="DJ56" s="767"/>
      <c r="DK56" s="750"/>
      <c r="DL56" s="752"/>
      <c r="DM56" s="750"/>
      <c r="DN56" s="752"/>
      <c r="DO56" s="750"/>
      <c r="DP56" s="752"/>
      <c r="DQ56" s="750"/>
      <c r="DR56" s="752"/>
      <c r="DS56" s="750"/>
      <c r="DT56" s="752"/>
      <c r="DU56" s="750"/>
      <c r="DV56" s="752"/>
      <c r="DW56" s="750"/>
      <c r="DX56" s="752"/>
      <c r="DY56" s="750"/>
      <c r="DZ56" s="752"/>
      <c r="EA56" s="750"/>
      <c r="EB56" s="752"/>
      <c r="EC56" s="750"/>
      <c r="ED56" s="752"/>
      <c r="EE56" s="750"/>
      <c r="EF56" s="752"/>
      <c r="EG56" s="750"/>
      <c r="EH56" s="752"/>
      <c r="EI56" s="750"/>
      <c r="EJ56" s="752"/>
      <c r="EK56" s="750"/>
      <c r="EL56" s="752"/>
      <c r="EM56" s="750"/>
      <c r="EN56" s="752"/>
      <c r="EO56" s="750"/>
      <c r="EP56" s="752"/>
      <c r="EQ56" s="750"/>
      <c r="ER56" s="752"/>
      <c r="ES56" s="750"/>
      <c r="ET56" s="752"/>
      <c r="EU56" s="767"/>
      <c r="EV56" s="710"/>
    </row>
    <row r="57" spans="1:152" ht="12.75" customHeight="1" x14ac:dyDescent="0.2">
      <c r="A57" s="749" t="s">
        <v>292</v>
      </c>
      <c r="B57" s="750"/>
      <c r="C57" s="767"/>
      <c r="D57" s="750"/>
      <c r="E57" s="767"/>
      <c r="F57" s="750"/>
      <c r="G57" s="767"/>
      <c r="H57" s="750"/>
      <c r="I57" s="752"/>
      <c r="J57" s="750"/>
      <c r="K57" s="752"/>
      <c r="L57" s="750"/>
      <c r="M57" s="752"/>
      <c r="N57" s="750"/>
      <c r="O57" s="752"/>
      <c r="P57" s="750"/>
      <c r="Q57" s="752"/>
      <c r="R57" s="750"/>
      <c r="S57" s="752"/>
      <c r="T57" s="750"/>
      <c r="U57" s="752"/>
      <c r="V57" s="750"/>
      <c r="W57" s="752"/>
      <c r="X57" s="750"/>
      <c r="Y57" s="752"/>
      <c r="Z57" s="750"/>
      <c r="AA57" s="752"/>
      <c r="AB57" s="750"/>
      <c r="AC57" s="752"/>
      <c r="AD57" s="750"/>
      <c r="AE57" s="752"/>
      <c r="AF57" s="750"/>
      <c r="AG57" s="752"/>
      <c r="AH57" s="750"/>
      <c r="AI57" s="752"/>
      <c r="AJ57" s="750"/>
      <c r="AK57" s="752"/>
      <c r="AL57" s="750"/>
      <c r="AM57" s="752"/>
      <c r="AN57" s="750"/>
      <c r="AO57" s="752"/>
      <c r="AP57" s="750"/>
      <c r="AQ57" s="752"/>
      <c r="AR57" s="750"/>
      <c r="AS57" s="752"/>
      <c r="AT57" s="750"/>
      <c r="AU57" s="752"/>
      <c r="AV57" s="750"/>
      <c r="AW57" s="752"/>
      <c r="AX57" s="750"/>
      <c r="AY57" s="752"/>
      <c r="AZ57" s="750"/>
      <c r="BA57" s="752"/>
      <c r="BB57" s="750"/>
      <c r="BC57" s="752"/>
      <c r="BD57" s="750"/>
      <c r="BE57" s="752"/>
      <c r="BF57" s="750"/>
      <c r="BG57" s="752"/>
      <c r="BH57" s="750"/>
      <c r="BI57" s="752"/>
      <c r="BJ57" s="750"/>
      <c r="BK57" s="752"/>
      <c r="BL57" s="750"/>
      <c r="BM57" s="752"/>
      <c r="BN57" s="750"/>
      <c r="BO57" s="752"/>
      <c r="BP57" s="750"/>
      <c r="BQ57" s="752"/>
      <c r="BR57" s="750"/>
      <c r="BS57" s="752"/>
      <c r="BT57" s="750"/>
      <c r="BU57" s="752"/>
      <c r="BV57" s="750"/>
      <c r="BW57" s="752"/>
      <c r="BX57" s="750"/>
      <c r="BY57" s="752"/>
      <c r="BZ57" s="750"/>
      <c r="CA57" s="752"/>
      <c r="CB57" s="750"/>
      <c r="CC57" s="752"/>
      <c r="CD57" s="750"/>
      <c r="CE57" s="752"/>
      <c r="CF57" s="750"/>
      <c r="CG57" s="752"/>
      <c r="CH57" s="750"/>
      <c r="CI57" s="752"/>
      <c r="CJ57" s="750"/>
      <c r="CK57" s="752"/>
      <c r="CL57" s="750"/>
      <c r="CM57" s="752"/>
      <c r="CN57" s="750"/>
      <c r="CO57" s="752"/>
      <c r="CP57" s="750"/>
      <c r="CQ57" s="752"/>
      <c r="CR57" s="750"/>
      <c r="CS57" s="752"/>
      <c r="CT57" s="750"/>
      <c r="CU57" s="752"/>
      <c r="CV57" s="750"/>
      <c r="CW57" s="752"/>
      <c r="CX57" s="750"/>
      <c r="CY57" s="752"/>
      <c r="CZ57" s="750"/>
      <c r="DA57" s="752"/>
      <c r="DB57" s="753"/>
      <c r="DC57" s="750"/>
      <c r="DD57" s="767"/>
      <c r="DE57" s="750"/>
      <c r="DF57" s="767"/>
      <c r="DG57" s="750"/>
      <c r="DH57" s="767"/>
      <c r="DI57" s="750"/>
      <c r="DJ57" s="767"/>
      <c r="DK57" s="750"/>
      <c r="DL57" s="752"/>
      <c r="DM57" s="750"/>
      <c r="DN57" s="752"/>
      <c r="DO57" s="750"/>
      <c r="DP57" s="752"/>
      <c r="DQ57" s="750"/>
      <c r="DR57" s="752"/>
      <c r="DS57" s="750"/>
      <c r="DT57" s="752"/>
      <c r="DU57" s="750"/>
      <c r="DV57" s="752"/>
      <c r="DW57" s="750"/>
      <c r="DX57" s="752"/>
      <c r="DY57" s="750"/>
      <c r="DZ57" s="752"/>
      <c r="EA57" s="750"/>
      <c r="EB57" s="752"/>
      <c r="EC57" s="750"/>
      <c r="ED57" s="752"/>
      <c r="EE57" s="750"/>
      <c r="EF57" s="752"/>
      <c r="EG57" s="750"/>
      <c r="EH57" s="752"/>
      <c r="EI57" s="750"/>
      <c r="EJ57" s="752"/>
      <c r="EK57" s="750"/>
      <c r="EL57" s="752"/>
      <c r="EM57" s="750"/>
      <c r="EN57" s="752"/>
      <c r="EO57" s="750"/>
      <c r="EP57" s="752"/>
      <c r="EQ57" s="750"/>
      <c r="ER57" s="752"/>
      <c r="ES57" s="750"/>
      <c r="ET57" s="752"/>
      <c r="EU57" s="767"/>
      <c r="EV57" s="710"/>
    </row>
    <row r="58" spans="1:152" ht="12.75" customHeight="1" x14ac:dyDescent="0.2">
      <c r="A58" s="754" t="str">
        <f>INPUT!B482</f>
        <v>Outstanding Shares (EOP)</v>
      </c>
      <c r="B58" s="750">
        <f>INPUT!AS482</f>
        <v>299.41765099999998</v>
      </c>
      <c r="C58" s="767">
        <f>INPUT!AT482</f>
        <v>0.54279769121003962</v>
      </c>
      <c r="D58" s="750">
        <f>INPUT!AU482</f>
        <v>342.51835</v>
      </c>
      <c r="E58" s="767">
        <f>INPUT!AV482</f>
        <v>15.016235728676964</v>
      </c>
      <c r="F58" s="750">
        <f>INPUT!AW482</f>
        <v>342.54172199999999</v>
      </c>
      <c r="G58" s="767">
        <f>INPUT!AX482</f>
        <v>14.939462953545402</v>
      </c>
      <c r="H58" s="750">
        <f>INPUT!AY482</f>
        <v>342.627521</v>
      </c>
      <c r="I58" s="752">
        <f>INPUT!AZ482</f>
        <v>14.760881247757451</v>
      </c>
      <c r="J58" s="750">
        <f>INPUT!BA482</f>
        <v>342.80295999999998</v>
      </c>
      <c r="K58" s="752">
        <f>INPUT!BB482</f>
        <v>14.489896923277911</v>
      </c>
      <c r="L58" s="750">
        <f>INPUT!BC482</f>
        <v>360.79715399999998</v>
      </c>
      <c r="M58" s="752">
        <f>INPUT!BD482</f>
        <v>5.3365911636559016</v>
      </c>
      <c r="N58" s="750">
        <f>INPUT!BE482</f>
        <v>360.79715399999998</v>
      </c>
      <c r="O58" s="752">
        <f>INPUT!BF482</f>
        <v>5.3294039317055786</v>
      </c>
      <c r="P58" s="750">
        <f>INPUT!BG482</f>
        <v>360.89347500000002</v>
      </c>
      <c r="Q58" s="752">
        <f>INPUT!BH482</f>
        <v>5.3311403435102322</v>
      </c>
      <c r="R58" s="750">
        <f>INPUT!BI482</f>
        <v>346.29318599999999</v>
      </c>
      <c r="S58" s="752">
        <f>INPUT!BJ482</f>
        <v>1.0181434839419135</v>
      </c>
      <c r="T58" s="750">
        <f>INPUT!BK482</f>
        <v>345.45389899999998</v>
      </c>
      <c r="U58" s="752">
        <f>INPUT!BL482</f>
        <v>-4.2525986776492104</v>
      </c>
      <c r="V58" s="750">
        <f>INPUT!BM482</f>
        <v>333.05986000000001</v>
      </c>
      <c r="W58" s="752">
        <f>INPUT!BN482</f>
        <v>-7.6877807079376197</v>
      </c>
      <c r="X58" s="750">
        <f>INPUT!BO482</f>
        <v>331.12034499999999</v>
      </c>
      <c r="Y58" s="752">
        <f>INPUT!BP482</f>
        <v>-8.2498388201670991</v>
      </c>
      <c r="Z58" s="750">
        <f>INPUT!BQ482</f>
        <v>331.20752700000003</v>
      </c>
      <c r="AA58" s="752">
        <f>INPUT!BR482</f>
        <v>-4.3563256829431189</v>
      </c>
      <c r="AB58" s="750">
        <f>INPUT!BS482</f>
        <v>331.32810899999998</v>
      </c>
      <c r="AC58" s="752">
        <f>INPUT!BT482</f>
        <v>-4.0890521255920191</v>
      </c>
      <c r="AD58" s="750">
        <f>INPUT!BU482</f>
        <v>331.63181900000001</v>
      </c>
      <c r="AE58" s="752">
        <f>INPUT!BV482</f>
        <v>-0.42876406661553901</v>
      </c>
      <c r="AF58" s="750">
        <f>INPUT!BW482</f>
        <v>331.80924700000003</v>
      </c>
      <c r="AG58" s="752">
        <f>INPUT!BX482</f>
        <v>0.20805184894332474</v>
      </c>
      <c r="AH58" s="750">
        <f>INPUT!BY482</f>
        <v>332.77545199999997</v>
      </c>
      <c r="AI58" s="752">
        <f>INPUT!BZ482</f>
        <v>0.47339654814062548</v>
      </c>
      <c r="AJ58" s="750">
        <f>INPUT!CA482</f>
        <v>327.14199300000001</v>
      </c>
      <c r="AK58" s="752">
        <f>INPUT!CB482</f>
        <v>-1.2634352130986737</v>
      </c>
      <c r="AL58" s="750">
        <f>INPUT!CC482</f>
        <v>317.79000000000002</v>
      </c>
      <c r="AM58" s="752">
        <f>INPUT!CD482</f>
        <v>-4.1738513034540787</v>
      </c>
      <c r="AN58" s="750">
        <f>INPUT!CE482</f>
        <v>316.57345199999997</v>
      </c>
      <c r="AO58" s="752">
        <f>INPUT!CF482</f>
        <v>-4.5917330929599043</v>
      </c>
      <c r="AP58" s="750">
        <f>INPUT!CG482</f>
        <v>308.96623699999998</v>
      </c>
      <c r="AQ58" s="752">
        <f>INPUT!CH482</f>
        <v>-7.15473898597544</v>
      </c>
      <c r="AR58" s="750">
        <f>INPUT!CI482</f>
        <v>303.38691399999999</v>
      </c>
      <c r="AS58" s="752">
        <f>INPUT!CJ482</f>
        <v>-7.2613970411313122</v>
      </c>
      <c r="AT58" s="750">
        <f>INPUT!CK482</f>
        <v>292.33694500000001</v>
      </c>
      <c r="AU58" s="752">
        <f>INPUT!CL482</f>
        <v>-8.0093945687403689</v>
      </c>
      <c r="AV58" s="750">
        <f>INPUT!CM482</f>
        <v>292.71595400000001</v>
      </c>
      <c r="AW58" s="752">
        <f>INPUT!CN482</f>
        <v>-7.536165098266034</v>
      </c>
      <c r="AX58" s="750">
        <f>INPUT!CO482</f>
        <v>285.81240100000002</v>
      </c>
      <c r="AY58" s="752">
        <f>INPUT!CP482</f>
        <v>-7.4939696404432539</v>
      </c>
      <c r="AZ58" s="750">
        <f>INPUT!CQ482</f>
        <v>280.04681299999999</v>
      </c>
      <c r="BA58" s="752">
        <f>INPUT!CR482</f>
        <v>-7.6931798712979393</v>
      </c>
      <c r="BB58" s="750">
        <f>INPUT!CS482</f>
        <v>275.08528699999999</v>
      </c>
      <c r="BC58" s="752">
        <f>INPUT!CT482</f>
        <v>-5.9012924281602537</v>
      </c>
      <c r="BD58" s="750">
        <f>INPUT!CU482</f>
        <v>270.20518499999997</v>
      </c>
      <c r="BE58" s="752">
        <f>INPUT!CV482</f>
        <v>-7.6903116117818531</v>
      </c>
      <c r="BF58" s="750">
        <f>INPUT!CW482</f>
        <v>266.96779800000002</v>
      </c>
      <c r="BG58" s="752">
        <f>INPUT!CX482</f>
        <v>-6.5933468716075749</v>
      </c>
      <c r="BH58" s="750">
        <f>INPUT!CY482</f>
        <v>263.56494099999998</v>
      </c>
      <c r="BI58" s="752">
        <f>INPUT!CZ482</f>
        <v>-5.8853988815077196</v>
      </c>
      <c r="BJ58" s="750">
        <f>INPUT!DA482</f>
        <v>261.13963799999999</v>
      </c>
      <c r="BK58" s="752">
        <f>INPUT!DB482</f>
        <v>-5.0695728412403218</v>
      </c>
      <c r="BL58" s="750">
        <f>INPUT!DC482</f>
        <v>260</v>
      </c>
      <c r="BM58" s="752">
        <f>INPUT!DD482</f>
        <v>-3.7768279687156903</v>
      </c>
      <c r="BN58" s="750">
        <f>INPUT!DE482</f>
        <v>257.60000000000002</v>
      </c>
      <c r="BO58" s="752">
        <f>INPUT!DF482</f>
        <v>-3.5089617812257612</v>
      </c>
      <c r="BP58" s="750">
        <f>INPUT!DG482</f>
        <v>254.8</v>
      </c>
      <c r="BQ58" s="752">
        <f>INPUT!DH482</f>
        <v>-3.3255337249122108</v>
      </c>
      <c r="BR58" s="750">
        <f>INPUT!DI482</f>
        <v>251.9</v>
      </c>
      <c r="BS58" s="752">
        <f>INPUT!DJ482</f>
        <v>-3.53819821102761</v>
      </c>
      <c r="BT58" s="750">
        <f>INPUT!DK482</f>
        <v>252.3</v>
      </c>
      <c r="BU58" s="752">
        <f>INPUT!DL482</f>
        <v>-2.9615384615384599</v>
      </c>
      <c r="BV58" s="750">
        <f>INPUT!DM482</f>
        <v>249.5</v>
      </c>
      <c r="BW58" s="752">
        <f>INPUT!DN482</f>
        <v>-3.144409937888204</v>
      </c>
      <c r="BX58" s="750">
        <f>INPUT!DO482</f>
        <v>246.6</v>
      </c>
      <c r="BY58" s="752">
        <f>INPUT!DP482</f>
        <v>-3.2182103610675084</v>
      </c>
      <c r="BZ58" s="750">
        <f>INPUT!DQ482</f>
        <v>243.4</v>
      </c>
      <c r="CA58" s="752">
        <f>INPUT!DR482</f>
        <v>-3.374354902739185</v>
      </c>
      <c r="CB58" s="750">
        <f>INPUT!DS482</f>
        <v>240.9</v>
      </c>
      <c r="CC58" s="752">
        <f>INPUT!DT482</f>
        <v>-4.5184304399524367</v>
      </c>
      <c r="CD58" s="750">
        <f>INPUT!DU482</f>
        <v>237.74</v>
      </c>
      <c r="CE58" s="752">
        <f>INPUT!DV482</f>
        <v>-4.7134268537074142</v>
      </c>
      <c r="CF58" s="750">
        <f>INPUT!DW482</f>
        <v>235.03</v>
      </c>
      <c r="CG58" s="752">
        <f>INPUT!DX482</f>
        <v>-4.6918085969180794</v>
      </c>
      <c r="CH58" s="750">
        <f>INPUT!DY482</f>
        <v>232.1</v>
      </c>
      <c r="CI58" s="752">
        <f>INPUT!DZ482</f>
        <v>-4.6425636811832423</v>
      </c>
      <c r="CJ58" s="750">
        <f>INPUT!EA482</f>
        <v>229.8</v>
      </c>
      <c r="CK58" s="752">
        <f>INPUT!EB482</f>
        <v>-4.6077210460772067</v>
      </c>
      <c r="CL58" s="750">
        <f>INPUT!EC482</f>
        <v>228.1</v>
      </c>
      <c r="CM58" s="752">
        <f>INPUT!ED482</f>
        <v>-4.0548498359552543</v>
      </c>
      <c r="CN58" s="750">
        <f>INPUT!EE482</f>
        <v>226.1</v>
      </c>
      <c r="CO58" s="752">
        <f>INPUT!EF482</f>
        <v>-3.7995149555375973</v>
      </c>
      <c r="CP58" s="750">
        <f>INPUT!EG482</f>
        <v>224.4</v>
      </c>
      <c r="CQ58" s="752">
        <f>INPUT!EH482</f>
        <v>-3.3175355450236865</v>
      </c>
      <c r="CR58" s="750">
        <f>INPUT!EI482</f>
        <v>222.5</v>
      </c>
      <c r="CS58" s="752">
        <f>INPUT!EJ482</f>
        <v>-3.1766753698868611</v>
      </c>
      <c r="CT58" s="750">
        <f>INPUT!EK482</f>
        <v>220.58610041249085</v>
      </c>
      <c r="CU58" s="752">
        <f>INPUT!EL482</f>
        <v>-3.2941252027659518</v>
      </c>
      <c r="CV58" s="750">
        <f>INPUT!EM482</f>
        <v>218.70159539260493</v>
      </c>
      <c r="CW58" s="752">
        <f>INPUT!EN482</f>
        <v>-3.2721824888965356</v>
      </c>
      <c r="CX58" s="750">
        <f>INPUT!EO482</f>
        <v>216.84496852416888</v>
      </c>
      <c r="CY58" s="752">
        <f>INPUT!EP482</f>
        <v>-3.3667698198890927</v>
      </c>
      <c r="CZ58" s="750">
        <f>INPUT!EQ482</f>
        <v>215.01594026899684</v>
      </c>
      <c r="DA58" s="752">
        <f>INPUT!ER482</f>
        <v>-3.3636223510126517</v>
      </c>
      <c r="DB58" s="753"/>
      <c r="DC58" s="750">
        <f>INPUT!FB482</f>
        <v>242.21870100000001</v>
      </c>
      <c r="DD58" s="767" t="str">
        <f>INPUT!FC482</f>
        <v>NA</v>
      </c>
      <c r="DE58" s="750">
        <f>INPUT!FD482</f>
        <v>242.21870100000001</v>
      </c>
      <c r="DF58" s="767">
        <f>INPUT!FE482</f>
        <v>0</v>
      </c>
      <c r="DG58" s="750">
        <f>INPUT!FF482</f>
        <v>296.14342199999999</v>
      </c>
      <c r="DH58" s="767">
        <f>INPUT!FG482</f>
        <v>22.262823133544906</v>
      </c>
      <c r="DI58" s="750">
        <f>INPUT!FH482</f>
        <v>296.54591299999998</v>
      </c>
      <c r="DJ58" s="767">
        <f>INPUT!FI482</f>
        <v>0.13591083579767016</v>
      </c>
      <c r="DK58" s="750">
        <f>INPUT!FJ482</f>
        <v>298.55776400000002</v>
      </c>
      <c r="DL58" s="752">
        <f>INPUT!FK482</f>
        <v>0.6784281663662739</v>
      </c>
      <c r="DM58" s="750">
        <f>INPUT!FL482</f>
        <v>342.627521</v>
      </c>
      <c r="DN58" s="752">
        <f>INPUT!FM482</f>
        <v>14.760881247757451</v>
      </c>
      <c r="DO58" s="750">
        <f>INPUT!FN482</f>
        <v>360.89347500000002</v>
      </c>
      <c r="DP58" s="752">
        <f>INPUT!FO482</f>
        <v>5.3311403435102322</v>
      </c>
      <c r="DQ58" s="750">
        <f>INPUT!FP482</f>
        <v>331.12034499999999</v>
      </c>
      <c r="DR58" s="752">
        <f>INPUT!FQ482</f>
        <v>-8.2498388201670991</v>
      </c>
      <c r="DS58" s="750">
        <f>INPUT!FR482</f>
        <v>331.80924700000003</v>
      </c>
      <c r="DT58" s="752">
        <f>INPUT!FS482</f>
        <v>0.20805184894332474</v>
      </c>
      <c r="DU58" s="750">
        <f>INPUT!FT482</f>
        <v>316.57345199999997</v>
      </c>
      <c r="DV58" s="752">
        <f>INPUT!FU482</f>
        <v>-4.5917330929599043</v>
      </c>
      <c r="DW58" s="750">
        <f>INPUT!FV482</f>
        <v>292.71595400000001</v>
      </c>
      <c r="DX58" s="752">
        <f>INPUT!FW482</f>
        <v>-7.536165098266034</v>
      </c>
      <c r="DY58" s="750">
        <f>INPUT!FX482</f>
        <v>270.20518499999997</v>
      </c>
      <c r="DZ58" s="752">
        <f>INPUT!FY482</f>
        <v>-7.6903116117818531</v>
      </c>
      <c r="EA58" s="750">
        <f>INPUT!FZ482</f>
        <v>260</v>
      </c>
      <c r="EB58" s="752">
        <f>INPUT!GA482</f>
        <v>-3.7768279687156903</v>
      </c>
      <c r="EC58" s="750">
        <f>INPUT!GB482</f>
        <v>252.3</v>
      </c>
      <c r="ED58" s="752">
        <f>INPUT!GC482</f>
        <v>-2.9615384615384599</v>
      </c>
      <c r="EE58" s="750">
        <f>INPUT!GD482</f>
        <v>240.9</v>
      </c>
      <c r="EF58" s="752">
        <f>INPUT!GE482</f>
        <v>-4.5184304399524367</v>
      </c>
      <c r="EG58" s="750">
        <f>INPUT!GF482</f>
        <v>229.8</v>
      </c>
      <c r="EH58" s="752">
        <f>INPUT!GG482</f>
        <v>-4.6077210460772067</v>
      </c>
      <c r="EI58" s="750">
        <f>INPUT!GH482</f>
        <v>222.5</v>
      </c>
      <c r="EJ58" s="752">
        <f>INPUT!GI482</f>
        <v>-3.1766753698868611</v>
      </c>
      <c r="EK58" s="750">
        <f>INPUT!GJ482</f>
        <v>215.01594026899684</v>
      </c>
      <c r="EL58" s="752">
        <f>INPUT!GK482</f>
        <v>-3.3636223510126517</v>
      </c>
      <c r="EM58" s="750">
        <f>INPUT!GL482</f>
        <v>207.95519354645614</v>
      </c>
      <c r="EN58" s="752">
        <f>INPUT!GM482</f>
        <v>-3.2838247776919793</v>
      </c>
      <c r="EO58" s="750">
        <f>INPUT!GN482</f>
        <v>200.87028269362995</v>
      </c>
      <c r="EP58" s="752">
        <f>INPUT!GO482</f>
        <v>-3.406941049175316</v>
      </c>
      <c r="EQ58" s="750">
        <f>INPUT!GP482</f>
        <v>194.17412274517872</v>
      </c>
      <c r="ER58" s="752">
        <f>INPUT!GQ482</f>
        <v>-3.333574214491597</v>
      </c>
      <c r="ES58" s="750">
        <f>INPUT!GR482</f>
        <v>187.46758994469889</v>
      </c>
      <c r="ET58" s="752">
        <f>INPUT!GS482</f>
        <v>-3.4538756790373326</v>
      </c>
      <c r="EU58" s="767">
        <f>INPUT!GT482</f>
        <v>-3.3683853935340569</v>
      </c>
      <c r="EV58" s="710"/>
    </row>
    <row r="59" spans="1:152" ht="12.75" customHeight="1" x14ac:dyDescent="0.2">
      <c r="A59" s="754" t="str">
        <f>INPUT!B485</f>
        <v>Average Shares  (Diluted)</v>
      </c>
      <c r="B59" s="750">
        <f>INPUT!AS485</f>
        <v>319.63683300000002</v>
      </c>
      <c r="C59" s="767">
        <f>INPUT!AT485</f>
        <v>3.9094787852282931</v>
      </c>
      <c r="D59" s="750">
        <f>INPUT!AU485</f>
        <v>329.90497599999998</v>
      </c>
      <c r="E59" s="767">
        <f>INPUT!AV485</f>
        <v>6.727959187481658</v>
      </c>
      <c r="F59" s="750">
        <f>INPUT!AW485</f>
        <v>340.727665</v>
      </c>
      <c r="G59" s="767">
        <f>INPUT!AX485</f>
        <v>8.2884767711060459</v>
      </c>
      <c r="H59" s="750">
        <f>INPUT!AY485</f>
        <v>345.52784500000001</v>
      </c>
      <c r="I59" s="752">
        <f>INPUT!AZ485</f>
        <v>8.4242179573270413</v>
      </c>
      <c r="J59" s="750">
        <f>INPUT!BA485</f>
        <v>346.38025900000002</v>
      </c>
      <c r="K59" s="752">
        <f>INPUT!BB485</f>
        <v>8.3668160984438309</v>
      </c>
      <c r="L59" s="750">
        <f>INPUT!BC485</f>
        <v>354.83735000000001</v>
      </c>
      <c r="M59" s="752">
        <f>INPUT!BD485</f>
        <v>7.5574410250786928</v>
      </c>
      <c r="N59" s="750">
        <f>INPUT!BE485</f>
        <v>360.90630199999998</v>
      </c>
      <c r="O59" s="752">
        <f>INPUT!BF485</f>
        <v>5.9222185553967188</v>
      </c>
      <c r="P59" s="750">
        <f>INPUT!BG485</f>
        <v>360.70761700000003</v>
      </c>
      <c r="Q59" s="752">
        <f>INPUT!BH485</f>
        <v>4.393212361799681</v>
      </c>
      <c r="R59" s="750">
        <f>INPUT!BI485</f>
        <v>351.46582100000001</v>
      </c>
      <c r="S59" s="752">
        <f>INPUT!BJ485</f>
        <v>1.468202031686805</v>
      </c>
      <c r="T59" s="750">
        <f>INPUT!BK485</f>
        <v>346.03541999999999</v>
      </c>
      <c r="U59" s="752">
        <f>INPUT!BL485</f>
        <v>-2.4805534141205898</v>
      </c>
      <c r="V59" s="750">
        <f>INPUT!BM485</f>
        <v>337.91277000000002</v>
      </c>
      <c r="W59" s="752">
        <f>INPUT!BN485</f>
        <v>-6.3710530607470446</v>
      </c>
      <c r="X59" s="750">
        <f>INPUT!BO485</f>
        <v>330.981471</v>
      </c>
      <c r="Y59" s="752">
        <f>INPUT!BP485</f>
        <v>-8.2410641192531386</v>
      </c>
      <c r="Z59" s="750">
        <f>INPUT!BQ485</f>
        <v>330.96451400000001</v>
      </c>
      <c r="AA59" s="752">
        <f>INPUT!BR485</f>
        <v>-5.8330869675091375</v>
      </c>
      <c r="AB59" s="750">
        <f>INPUT!BS485</f>
        <v>331.95522499999998</v>
      </c>
      <c r="AC59" s="752">
        <f>INPUT!BT485</f>
        <v>-4.0690039765293395</v>
      </c>
      <c r="AD59" s="750">
        <f>INPUT!BU485</f>
        <v>332.62214799999998</v>
      </c>
      <c r="AE59" s="752">
        <f>INPUT!BV485</f>
        <v>-1.5656768461280834</v>
      </c>
      <c r="AF59" s="750">
        <f>INPUT!BW485</f>
        <v>332.99847999999997</v>
      </c>
      <c r="AG59" s="752">
        <f>INPUT!BX485</f>
        <v>0.60940239159188447</v>
      </c>
      <c r="AH59" s="750">
        <f>INPUT!BY485</f>
        <v>333.52470799999998</v>
      </c>
      <c r="AI59" s="752">
        <f>INPUT!BZ485</f>
        <v>0.773555439239626</v>
      </c>
      <c r="AJ59" s="750">
        <f>INPUT!CA485</f>
        <v>333.07749000000001</v>
      </c>
      <c r="AK59" s="752">
        <f>INPUT!CB485</f>
        <v>0.3380772211071692</v>
      </c>
      <c r="AL59" s="750">
        <f>INPUT!CC485</f>
        <v>324.46697999999998</v>
      </c>
      <c r="AM59" s="752">
        <f>INPUT!CD485</f>
        <v>-2.4517814129442761</v>
      </c>
      <c r="AN59" s="750">
        <f>INPUT!CE485</f>
        <v>318.46294</v>
      </c>
      <c r="AO59" s="752">
        <f>INPUT!CF485</f>
        <v>-4.3650469515656543</v>
      </c>
      <c r="AP59" s="750">
        <f>INPUT!CG485</f>
        <v>314.33231699999999</v>
      </c>
      <c r="AQ59" s="752">
        <f>INPUT!CH485</f>
        <v>-5.7544135530732561</v>
      </c>
      <c r="AR59" s="750">
        <f>INPUT!CI485</f>
        <v>307.41096399999998</v>
      </c>
      <c r="AS59" s="752">
        <f>INPUT!CJ485</f>
        <v>-7.7058722881573338</v>
      </c>
      <c r="AT59" s="750">
        <f>INPUT!CK485</f>
        <v>299.17290000000003</v>
      </c>
      <c r="AU59" s="752">
        <f>INPUT!CL485</f>
        <v>-7.7955790755657066</v>
      </c>
      <c r="AV59" s="750">
        <f>INPUT!CM485</f>
        <v>303.571033</v>
      </c>
      <c r="AW59" s="752">
        <f>INPUT!CN485</f>
        <v>-4.6761821014401299</v>
      </c>
      <c r="AX59" s="750">
        <f>INPUT!CO485</f>
        <v>291.28403600000001</v>
      </c>
      <c r="AY59" s="752">
        <f>INPUT!CP485</f>
        <v>-7.3324566878689605</v>
      </c>
      <c r="AZ59" s="750">
        <f>INPUT!CQ485</f>
        <v>283.74063200000001</v>
      </c>
      <c r="BA59" s="752">
        <f>INPUT!CR485</f>
        <v>-7.6998984330305049</v>
      </c>
      <c r="BB59" s="750">
        <f>INPUT!CS485</f>
        <v>278.51103899999998</v>
      </c>
      <c r="BC59" s="752">
        <f>INPUT!CT485</f>
        <v>-6.9063277455946199</v>
      </c>
      <c r="BD59" s="750">
        <f>INPUT!CU485</f>
        <v>273.60000000000002</v>
      </c>
      <c r="BE59" s="752">
        <f>INPUT!CV485</f>
        <v>-9.8728237354583133</v>
      </c>
      <c r="BF59" s="750">
        <f>INPUT!CW485</f>
        <v>270.35439500000001</v>
      </c>
      <c r="BG59" s="752">
        <f>INPUT!CX485</f>
        <v>-7.1853031451404314</v>
      </c>
      <c r="BH59" s="750">
        <f>INPUT!CY485</f>
        <v>266.73630200000002</v>
      </c>
      <c r="BI59" s="752">
        <f>INPUT!CZ485</f>
        <v>-5.9929132744019453</v>
      </c>
      <c r="BJ59" s="750">
        <f>INPUT!DA485</f>
        <v>264.26004499999999</v>
      </c>
      <c r="BK59" s="752">
        <f>INPUT!DB485</f>
        <v>-5.1168506825325473</v>
      </c>
      <c r="BL59" s="750">
        <f>INPUT!DC485</f>
        <v>262.60000000000002</v>
      </c>
      <c r="BM59" s="752">
        <f>INPUT!DD485</f>
        <v>-4.0204678362573132</v>
      </c>
      <c r="BN59" s="750">
        <f>INPUT!DE485</f>
        <v>260.7</v>
      </c>
      <c r="BO59" s="752">
        <f>INPUT!DF485</f>
        <v>-3.5710146306295543</v>
      </c>
      <c r="BP59" s="750">
        <f>INPUT!DG485</f>
        <v>257.89999999999998</v>
      </c>
      <c r="BQ59" s="752">
        <f>INPUT!DH485</f>
        <v>-3.3127481837849193</v>
      </c>
      <c r="BR59" s="750">
        <f>INPUT!DI485</f>
        <v>254.8</v>
      </c>
      <c r="BS59" s="752">
        <f>INPUT!DJ485</f>
        <v>-3.5798241841667688</v>
      </c>
      <c r="BT59" s="750">
        <f>INPUT!DK485</f>
        <v>252.4</v>
      </c>
      <c r="BU59" s="752">
        <f>INPUT!DL485</f>
        <v>-3.8842345773038911</v>
      </c>
      <c r="BV59" s="750">
        <f>INPUT!DM485</f>
        <v>252.2</v>
      </c>
      <c r="BW59" s="752">
        <f>INPUT!DN485</f>
        <v>-3.2604526275412327</v>
      </c>
      <c r="BX59" s="750">
        <f>INPUT!DO485</f>
        <v>249.3</v>
      </c>
      <c r="BY59" s="752">
        <f>INPUT!DP485</f>
        <v>-3.3346258239627669</v>
      </c>
      <c r="BZ59" s="750">
        <f>INPUT!DQ485</f>
        <v>246.3</v>
      </c>
      <c r="CA59" s="752">
        <f>INPUT!DR485</f>
        <v>-3.3359497645211955</v>
      </c>
      <c r="CB59" s="750">
        <f>INPUT!DS485</f>
        <v>243.8</v>
      </c>
      <c r="CC59" s="752">
        <f>INPUT!DT485</f>
        <v>-3.4072900158478636</v>
      </c>
      <c r="CD59" s="750">
        <f>INPUT!DU485</f>
        <v>239.7</v>
      </c>
      <c r="CE59" s="752">
        <f>INPUT!DV485</f>
        <v>-4.9563838223632084</v>
      </c>
      <c r="CF59" s="750">
        <f>INPUT!DW485</f>
        <v>237.3</v>
      </c>
      <c r="CG59" s="752">
        <f>INPUT!DX485</f>
        <v>-4.8134777376654618</v>
      </c>
      <c r="CH59" s="750">
        <f>INPUT!DY485</f>
        <v>234.2</v>
      </c>
      <c r="CI59" s="752">
        <f>INPUT!DZ485</f>
        <v>-4.9127080795777545</v>
      </c>
      <c r="CJ59" s="750">
        <f>INPUT!EA485</f>
        <v>232.4</v>
      </c>
      <c r="CK59" s="752">
        <f>INPUT!EB485</f>
        <v>-4.6759639048400299</v>
      </c>
      <c r="CL59" s="750">
        <f>INPUT!EC485</f>
        <v>230.4</v>
      </c>
      <c r="CM59" s="752">
        <f>INPUT!ED485</f>
        <v>-3.8798498122653235</v>
      </c>
      <c r="CN59" s="750">
        <f>INPUT!EE485</f>
        <v>228.2</v>
      </c>
      <c r="CO59" s="752">
        <f>INPUT!EF485</f>
        <v>-3.8348082595870303</v>
      </c>
      <c r="CP59" s="750">
        <f>INPUT!EG485</f>
        <v>226</v>
      </c>
      <c r="CQ59" s="752">
        <f>INPUT!EH485</f>
        <v>-3.5012809564474723</v>
      </c>
      <c r="CR59" s="750">
        <f>INPUT!EI485</f>
        <v>224.8</v>
      </c>
      <c r="CS59" s="752">
        <f>INPUT!EJ485</f>
        <v>-3.2702237521514577</v>
      </c>
      <c r="CT59" s="750">
        <f>INPUT!EK485</f>
        <v>221.9430502062454</v>
      </c>
      <c r="CU59" s="752">
        <f>INPUT!EL485</f>
        <v>-3.6705511257615453</v>
      </c>
      <c r="CV59" s="750">
        <f>INPUT!EM485</f>
        <v>220.04384790254787</v>
      </c>
      <c r="CW59" s="752">
        <f>INPUT!EN485</f>
        <v>-3.574124494939579</v>
      </c>
      <c r="CX59" s="750">
        <f>INPUT!EO485</f>
        <v>218.17328195838689</v>
      </c>
      <c r="CY59" s="752">
        <f>INPUT!EP485</f>
        <v>-3.4631495759349984</v>
      </c>
      <c r="CZ59" s="750">
        <f>INPUT!EQ485</f>
        <v>216.33045439658284</v>
      </c>
      <c r="DA59" s="752">
        <f>INPUT!ER485</f>
        <v>-3.7675914605948324</v>
      </c>
      <c r="DB59" s="753"/>
      <c r="DC59" s="750">
        <f>INPUT!FB485</f>
        <v>243.61649824999998</v>
      </c>
      <c r="DD59" s="767" t="str">
        <f>INPUT!FC485</f>
        <v>NA</v>
      </c>
      <c r="DE59" s="750">
        <f>INPUT!FD485</f>
        <v>243.074557</v>
      </c>
      <c r="DF59" s="767">
        <f>INPUT!FE485</f>
        <v>-0.22245671122151922</v>
      </c>
      <c r="DG59" s="750">
        <f>INPUT!FF485</f>
        <v>276.13217600000002</v>
      </c>
      <c r="DH59" s="767">
        <f>INPUT!FG485</f>
        <v>13.599785764496941</v>
      </c>
      <c r="DI59" s="750">
        <f>INPUT!FH485</f>
        <v>295.22430500000002</v>
      </c>
      <c r="DJ59" s="767">
        <f>INPUT!FI485</f>
        <v>6.9141268781367948</v>
      </c>
      <c r="DK59" s="750">
        <f>INPUT!FJ485</f>
        <v>312.51217574999998</v>
      </c>
      <c r="DL59" s="752">
        <f>INPUT!FK485</f>
        <v>5.8558426447984813</v>
      </c>
      <c r="DM59" s="750">
        <f>INPUT!FL485</f>
        <v>333.94932975</v>
      </c>
      <c r="DN59" s="752">
        <f>INPUT!FM485</f>
        <v>6.8596220126633023</v>
      </c>
      <c r="DO59" s="750">
        <f>INPUT!FN485</f>
        <v>355.70788200000004</v>
      </c>
      <c r="DP59" s="752">
        <f>INPUT!FO485</f>
        <v>6.515525054740734</v>
      </c>
      <c r="DQ59" s="750">
        <f>INPUT!FP485</f>
        <v>341.59887049999998</v>
      </c>
      <c r="DR59" s="752">
        <f>INPUT!FQ485</f>
        <v>-3.9664601809414113</v>
      </c>
      <c r="DS59" s="750">
        <f>INPUT!FR485</f>
        <v>332.13509174999996</v>
      </c>
      <c r="DT59" s="752">
        <f>INPUT!FS485</f>
        <v>-2.770436194987369</v>
      </c>
      <c r="DU59" s="750">
        <f>INPUT!FT485</f>
        <v>327.38302949999996</v>
      </c>
      <c r="DV59" s="752">
        <f>INPUT!FU485</f>
        <v>-1.4307618701058233</v>
      </c>
      <c r="DW59" s="750">
        <f>INPUT!FV485</f>
        <v>306.1218035</v>
      </c>
      <c r="DX59" s="752">
        <f>INPUT!FW485</f>
        <v>-6.494296919565878</v>
      </c>
      <c r="DY59" s="750">
        <f>INPUT!FX485</f>
        <v>281.78392674999998</v>
      </c>
      <c r="DZ59" s="752">
        <f>INPUT!FY485</f>
        <v>-7.9503898355936631</v>
      </c>
      <c r="EA59" s="750">
        <f>INPUT!FZ485</f>
        <v>265.9876855</v>
      </c>
      <c r="EB59" s="752">
        <f>INPUT!GA485</f>
        <v>-5.6057992491581938</v>
      </c>
      <c r="EC59" s="750">
        <f>INPUT!GB485</f>
        <v>256.45</v>
      </c>
      <c r="ED59" s="752">
        <f>INPUT!GC485</f>
        <v>-3.5857620558903736</v>
      </c>
      <c r="EE59" s="750">
        <f>INPUT!GD485</f>
        <v>247.89999999999998</v>
      </c>
      <c r="EF59" s="752">
        <f>INPUT!GE485</f>
        <v>-3.3339832325989471</v>
      </c>
      <c r="EG59" s="750">
        <f>INPUT!GF485</f>
        <v>235.90000000000003</v>
      </c>
      <c r="EH59" s="752">
        <f>INPUT!GG485</f>
        <v>-4.8406615570794393</v>
      </c>
      <c r="EI59" s="750">
        <f>INPUT!GH485</f>
        <v>227.35</v>
      </c>
      <c r="EJ59" s="752">
        <f>INPUT!GI485</f>
        <v>-3.6244171259008251</v>
      </c>
      <c r="EK59" s="750">
        <f>INPUT!GJ485</f>
        <v>219.12265861594074</v>
      </c>
      <c r="EL59" s="752">
        <f>INPUT!GK485</f>
        <v>-3.6187998170482794</v>
      </c>
      <c r="EM59" s="750">
        <f>INPUT!GL485</f>
        <v>211.88556690772648</v>
      </c>
      <c r="EN59" s="752">
        <f>INPUT!GM485</f>
        <v>-3.3027582605680283</v>
      </c>
      <c r="EO59" s="750">
        <f>INPUT!GN485</f>
        <v>204.81273812004304</v>
      </c>
      <c r="EP59" s="752">
        <f>INPUT!GO485</f>
        <v>-3.3380417981766386</v>
      </c>
      <c r="EQ59" s="750">
        <f>INPUT!GP485</f>
        <v>197.92220271940431</v>
      </c>
      <c r="ER59" s="752">
        <f>INPUT!GQ485</f>
        <v>-3.3643099857393222</v>
      </c>
      <c r="ES59" s="750">
        <f>INPUT!GR485</f>
        <v>190.68433372090038</v>
      </c>
      <c r="ET59" s="752">
        <f>INPUT!GS485</f>
        <v>-3.6569262564064675</v>
      </c>
      <c r="EU59" s="767">
        <f>INPUT!GT485</f>
        <v>-3.4562839822018576</v>
      </c>
      <c r="EV59" s="710"/>
    </row>
    <row r="60" spans="1:152" ht="12.75" customHeight="1" x14ac:dyDescent="0.2">
      <c r="A60" s="749"/>
      <c r="B60" s="750"/>
      <c r="C60" s="767"/>
      <c r="D60" s="750"/>
      <c r="E60" s="767"/>
      <c r="F60" s="750"/>
      <c r="G60" s="767"/>
      <c r="H60" s="750"/>
      <c r="I60" s="752"/>
      <c r="J60" s="750"/>
      <c r="K60" s="752"/>
      <c r="L60" s="750"/>
      <c r="M60" s="752"/>
      <c r="N60" s="750"/>
      <c r="O60" s="752"/>
      <c r="P60" s="750"/>
      <c r="Q60" s="752"/>
      <c r="R60" s="750"/>
      <c r="S60" s="752"/>
      <c r="T60" s="750"/>
      <c r="U60" s="752"/>
      <c r="V60" s="750"/>
      <c r="W60" s="752"/>
      <c r="X60" s="750"/>
      <c r="Y60" s="752"/>
      <c r="Z60" s="750"/>
      <c r="AA60" s="752"/>
      <c r="AB60" s="750"/>
      <c r="AC60" s="752"/>
      <c r="AD60" s="750"/>
      <c r="AE60" s="752"/>
      <c r="AF60" s="750"/>
      <c r="AG60" s="752"/>
      <c r="AH60" s="750"/>
      <c r="AI60" s="752"/>
      <c r="AJ60" s="750"/>
      <c r="AK60" s="752"/>
      <c r="AL60" s="750"/>
      <c r="AM60" s="752"/>
      <c r="AN60" s="750"/>
      <c r="AO60" s="752"/>
      <c r="AP60" s="750"/>
      <c r="AQ60" s="752"/>
      <c r="AR60" s="750"/>
      <c r="AS60" s="752"/>
      <c r="AT60" s="750"/>
      <c r="AU60" s="752"/>
      <c r="AV60" s="750"/>
      <c r="AW60" s="752"/>
      <c r="AX60" s="750"/>
      <c r="AY60" s="752"/>
      <c r="AZ60" s="750"/>
      <c r="BA60" s="752"/>
      <c r="BB60" s="750"/>
      <c r="BC60" s="752"/>
      <c r="BD60" s="750"/>
      <c r="BE60" s="752"/>
      <c r="BF60" s="750"/>
      <c r="BG60" s="752"/>
      <c r="BH60" s="750"/>
      <c r="BI60" s="752"/>
      <c r="BJ60" s="750"/>
      <c r="BK60" s="752"/>
      <c r="BL60" s="750"/>
      <c r="BM60" s="752"/>
      <c r="BN60" s="750"/>
      <c r="BO60" s="752"/>
      <c r="BP60" s="750"/>
      <c r="BQ60" s="752"/>
      <c r="BR60" s="750"/>
      <c r="BS60" s="752"/>
      <c r="BT60" s="750"/>
      <c r="BU60" s="752"/>
      <c r="BV60" s="750"/>
      <c r="BW60" s="752"/>
      <c r="BX60" s="750"/>
      <c r="BY60" s="752"/>
      <c r="BZ60" s="750"/>
      <c r="CA60" s="752"/>
      <c r="CB60" s="750"/>
      <c r="CC60" s="752"/>
      <c r="CD60" s="750"/>
      <c r="CE60" s="752"/>
      <c r="CF60" s="750"/>
      <c r="CG60" s="752"/>
      <c r="CH60" s="750"/>
      <c r="CI60" s="752"/>
      <c r="CJ60" s="750"/>
      <c r="CK60" s="752"/>
      <c r="CL60" s="750"/>
      <c r="CM60" s="752"/>
      <c r="CN60" s="750"/>
      <c r="CO60" s="752"/>
      <c r="CP60" s="750"/>
      <c r="CQ60" s="752"/>
      <c r="CR60" s="750"/>
      <c r="CS60" s="752"/>
      <c r="CT60" s="750"/>
      <c r="CU60" s="752"/>
      <c r="CV60" s="750"/>
      <c r="CW60" s="752"/>
      <c r="CX60" s="750"/>
      <c r="CY60" s="752"/>
      <c r="CZ60" s="750"/>
      <c r="DA60" s="752"/>
      <c r="DB60" s="753"/>
      <c r="DC60" s="750"/>
      <c r="DD60" s="767"/>
      <c r="DE60" s="750"/>
      <c r="DF60" s="767"/>
      <c r="DG60" s="750"/>
      <c r="DH60" s="767"/>
      <c r="DI60" s="750"/>
      <c r="DJ60" s="767"/>
      <c r="DK60" s="750"/>
      <c r="DL60" s="752"/>
      <c r="DM60" s="750"/>
      <c r="DN60" s="752"/>
      <c r="DO60" s="750"/>
      <c r="DP60" s="752"/>
      <c r="DQ60" s="750"/>
      <c r="DR60" s="752"/>
      <c r="DS60" s="750"/>
      <c r="DT60" s="752"/>
      <c r="DU60" s="750"/>
      <c r="DV60" s="752"/>
      <c r="DW60" s="750"/>
      <c r="DX60" s="752"/>
      <c r="DY60" s="750"/>
      <c r="DZ60" s="752"/>
      <c r="EA60" s="750"/>
      <c r="EB60" s="752"/>
      <c r="EC60" s="750"/>
      <c r="ED60" s="752"/>
      <c r="EE60" s="750"/>
      <c r="EF60" s="752"/>
      <c r="EG60" s="750"/>
      <c r="EH60" s="752"/>
      <c r="EI60" s="750"/>
      <c r="EJ60" s="752"/>
      <c r="EK60" s="750"/>
      <c r="EL60" s="752"/>
      <c r="EM60" s="750"/>
      <c r="EN60" s="752"/>
      <c r="EO60" s="750"/>
      <c r="EP60" s="752"/>
      <c r="EQ60" s="750"/>
      <c r="ER60" s="752"/>
      <c r="ES60" s="750"/>
      <c r="ET60" s="752"/>
      <c r="EU60" s="767"/>
      <c r="EV60" s="710"/>
    </row>
    <row r="61" spans="1:152" ht="12.75" hidden="1" customHeight="1" outlineLevel="1" x14ac:dyDescent="0.2">
      <c r="A61" s="775" t="s">
        <v>541</v>
      </c>
      <c r="B61" s="750"/>
      <c r="C61" s="767"/>
      <c r="D61" s="750"/>
      <c r="E61" s="767"/>
      <c r="F61" s="750"/>
      <c r="G61" s="767"/>
      <c r="H61" s="750"/>
      <c r="I61" s="752"/>
      <c r="J61" s="750"/>
      <c r="K61" s="752"/>
      <c r="L61" s="750"/>
      <c r="M61" s="752"/>
      <c r="N61" s="750"/>
      <c r="O61" s="752"/>
      <c r="P61" s="750"/>
      <c r="Q61" s="752"/>
      <c r="R61" s="750"/>
      <c r="S61" s="752"/>
      <c r="T61" s="750"/>
      <c r="U61" s="752"/>
      <c r="V61" s="750"/>
      <c r="W61" s="752"/>
      <c r="X61" s="750"/>
      <c r="Y61" s="752"/>
      <c r="Z61" s="750"/>
      <c r="AA61" s="752"/>
      <c r="AB61" s="750"/>
      <c r="AC61" s="752"/>
      <c r="AD61" s="750"/>
      <c r="AE61" s="752"/>
      <c r="AF61" s="750"/>
      <c r="AG61" s="752"/>
      <c r="AH61" s="750"/>
      <c r="AI61" s="752"/>
      <c r="AJ61" s="750"/>
      <c r="AK61" s="752"/>
      <c r="AL61" s="750"/>
      <c r="AM61" s="752"/>
      <c r="AN61" s="750"/>
      <c r="AO61" s="752"/>
      <c r="AP61" s="750"/>
      <c r="AQ61" s="752"/>
      <c r="AR61" s="750"/>
      <c r="AS61" s="752"/>
      <c r="AT61" s="750"/>
      <c r="AU61" s="752"/>
      <c r="AV61" s="750"/>
      <c r="AW61" s="752"/>
      <c r="AX61" s="750"/>
      <c r="AY61" s="752"/>
      <c r="AZ61" s="750"/>
      <c r="BA61" s="752"/>
      <c r="BB61" s="750"/>
      <c r="BC61" s="752"/>
      <c r="BD61" s="750"/>
      <c r="BE61" s="752"/>
      <c r="BF61" s="750"/>
      <c r="BG61" s="752"/>
      <c r="BH61" s="750"/>
      <c r="BI61" s="752"/>
      <c r="BJ61" s="750"/>
      <c r="BK61" s="752"/>
      <c r="BL61" s="750"/>
      <c r="BM61" s="752"/>
      <c r="BN61" s="750"/>
      <c r="BO61" s="752"/>
      <c r="BP61" s="750"/>
      <c r="BQ61" s="752"/>
      <c r="BR61" s="750"/>
      <c r="BS61" s="752"/>
      <c r="BT61" s="750"/>
      <c r="BU61" s="752"/>
      <c r="BV61" s="750"/>
      <c r="BW61" s="752"/>
      <c r="BX61" s="750"/>
      <c r="BY61" s="752"/>
      <c r="BZ61" s="750"/>
      <c r="CA61" s="752"/>
      <c r="CB61" s="750"/>
      <c r="CC61" s="752"/>
      <c r="CD61" s="750"/>
      <c r="CE61" s="752"/>
      <c r="CF61" s="750"/>
      <c r="CG61" s="752"/>
      <c r="CH61" s="750"/>
      <c r="CI61" s="752"/>
      <c r="CJ61" s="750"/>
      <c r="CK61" s="752"/>
      <c r="CL61" s="750"/>
      <c r="CM61" s="752"/>
      <c r="CN61" s="750"/>
      <c r="CO61" s="752"/>
      <c r="CP61" s="750"/>
      <c r="CQ61" s="752"/>
      <c r="CR61" s="750"/>
      <c r="CS61" s="752"/>
      <c r="CT61" s="750"/>
      <c r="CU61" s="752"/>
      <c r="CV61" s="750"/>
      <c r="CW61" s="752"/>
      <c r="CX61" s="750"/>
      <c r="CY61" s="752"/>
      <c r="CZ61" s="750"/>
      <c r="DA61" s="752"/>
      <c r="DB61" s="753"/>
      <c r="DC61" s="750"/>
      <c r="DD61" s="767"/>
      <c r="DE61" s="750"/>
      <c r="DF61" s="767"/>
      <c r="DG61" s="750"/>
      <c r="DH61" s="767"/>
      <c r="DI61" s="750"/>
      <c r="DJ61" s="767"/>
      <c r="DK61" s="750"/>
      <c r="DL61" s="752"/>
      <c r="DM61" s="750"/>
      <c r="DN61" s="752"/>
      <c r="DO61" s="750"/>
      <c r="DP61" s="752"/>
      <c r="DQ61" s="750"/>
      <c r="DR61" s="752"/>
      <c r="DS61" s="750"/>
      <c r="DT61" s="752"/>
      <c r="DU61" s="750"/>
      <c r="DV61" s="752"/>
      <c r="DW61" s="750"/>
      <c r="DX61" s="752"/>
      <c r="DY61" s="750"/>
      <c r="DZ61" s="752"/>
      <c r="EA61" s="750"/>
      <c r="EB61" s="752"/>
      <c r="EC61" s="750"/>
      <c r="ED61" s="752"/>
      <c r="EE61" s="750"/>
      <c r="EF61" s="752"/>
      <c r="EG61" s="750"/>
      <c r="EH61" s="752"/>
      <c r="EI61" s="750"/>
      <c r="EJ61" s="752"/>
      <c r="EK61" s="750"/>
      <c r="EL61" s="752"/>
      <c r="EM61" s="750"/>
      <c r="EN61" s="752"/>
      <c r="EO61" s="750"/>
      <c r="EP61" s="752"/>
      <c r="EQ61" s="750"/>
      <c r="ER61" s="752"/>
      <c r="ES61" s="750"/>
      <c r="ET61" s="752"/>
      <c r="EU61" s="767"/>
      <c r="EV61" s="710"/>
    </row>
    <row r="62" spans="1:152" ht="12.75" customHeight="1" collapsed="1" x14ac:dyDescent="0.2">
      <c r="A62" s="749" t="s">
        <v>286</v>
      </c>
      <c r="B62" s="750"/>
      <c r="C62" s="767"/>
      <c r="D62" s="750"/>
      <c r="E62" s="767"/>
      <c r="F62" s="750"/>
      <c r="G62" s="767"/>
      <c r="H62" s="750"/>
      <c r="I62" s="752"/>
      <c r="J62" s="750"/>
      <c r="K62" s="752"/>
      <c r="L62" s="750"/>
      <c r="M62" s="752"/>
      <c r="N62" s="750"/>
      <c r="O62" s="752"/>
      <c r="P62" s="750"/>
      <c r="Q62" s="752"/>
      <c r="R62" s="750"/>
      <c r="S62" s="752"/>
      <c r="T62" s="750"/>
      <c r="U62" s="752"/>
      <c r="V62" s="750"/>
      <c r="W62" s="752"/>
      <c r="X62" s="750"/>
      <c r="Y62" s="752"/>
      <c r="Z62" s="750"/>
      <c r="AA62" s="752"/>
      <c r="AB62" s="750"/>
      <c r="AC62" s="752"/>
      <c r="AD62" s="750"/>
      <c r="AE62" s="752"/>
      <c r="AF62" s="750"/>
      <c r="AG62" s="752"/>
      <c r="AH62" s="750"/>
      <c r="AI62" s="752"/>
      <c r="AJ62" s="750"/>
      <c r="AK62" s="752"/>
      <c r="AL62" s="750"/>
      <c r="AM62" s="752"/>
      <c r="AN62" s="750"/>
      <c r="AO62" s="752"/>
      <c r="AP62" s="750"/>
      <c r="AQ62" s="752"/>
      <c r="AR62" s="750"/>
      <c r="AS62" s="752"/>
      <c r="AT62" s="750"/>
      <c r="AU62" s="752"/>
      <c r="AV62" s="750"/>
      <c r="AW62" s="752"/>
      <c r="AX62" s="750"/>
      <c r="AY62" s="752"/>
      <c r="AZ62" s="750"/>
      <c r="BA62" s="752"/>
      <c r="BB62" s="750"/>
      <c r="BC62" s="752"/>
      <c r="BD62" s="750"/>
      <c r="BE62" s="752"/>
      <c r="BF62" s="750"/>
      <c r="BG62" s="752"/>
      <c r="BH62" s="750"/>
      <c r="BI62" s="752"/>
      <c r="BJ62" s="750"/>
      <c r="BK62" s="752"/>
      <c r="BL62" s="750"/>
      <c r="BM62" s="752"/>
      <c r="BN62" s="750"/>
      <c r="BO62" s="752"/>
      <c r="BP62" s="750"/>
      <c r="BQ62" s="752"/>
      <c r="BR62" s="750"/>
      <c r="BS62" s="752"/>
      <c r="BT62" s="750"/>
      <c r="BU62" s="752"/>
      <c r="BV62" s="750"/>
      <c r="BW62" s="752"/>
      <c r="BX62" s="750"/>
      <c r="BY62" s="752"/>
      <c r="BZ62" s="750"/>
      <c r="CA62" s="752"/>
      <c r="CB62" s="750"/>
      <c r="CC62" s="752"/>
      <c r="CD62" s="750"/>
      <c r="CE62" s="752"/>
      <c r="CF62" s="750"/>
      <c r="CG62" s="752"/>
      <c r="CH62" s="750"/>
      <c r="CI62" s="752"/>
      <c r="CJ62" s="750"/>
      <c r="CK62" s="752"/>
      <c r="CL62" s="750"/>
      <c r="CM62" s="752"/>
      <c r="CN62" s="750"/>
      <c r="CO62" s="752"/>
      <c r="CP62" s="750"/>
      <c r="CQ62" s="752"/>
      <c r="CR62" s="750"/>
      <c r="CS62" s="752"/>
      <c r="CT62" s="750"/>
      <c r="CU62" s="752"/>
      <c r="CV62" s="750"/>
      <c r="CW62" s="752"/>
      <c r="CX62" s="750"/>
      <c r="CY62" s="752"/>
      <c r="CZ62" s="750"/>
      <c r="DA62" s="752"/>
      <c r="DB62" s="753"/>
      <c r="DC62" s="750"/>
      <c r="DD62" s="767"/>
      <c r="DE62" s="750"/>
      <c r="DF62" s="767"/>
      <c r="DG62" s="750"/>
      <c r="DH62" s="767"/>
      <c r="DI62" s="750"/>
      <c r="DJ62" s="767"/>
      <c r="DK62" s="750"/>
      <c r="DL62" s="752"/>
      <c r="DM62" s="750"/>
      <c r="DN62" s="752"/>
      <c r="DO62" s="750"/>
      <c r="DP62" s="752"/>
      <c r="DQ62" s="750"/>
      <c r="DR62" s="752"/>
      <c r="DS62" s="750"/>
      <c r="DT62" s="752"/>
      <c r="DU62" s="750"/>
      <c r="DV62" s="752"/>
      <c r="DW62" s="750"/>
      <c r="DX62" s="752"/>
      <c r="DY62" s="750"/>
      <c r="DZ62" s="752"/>
      <c r="EA62" s="750"/>
      <c r="EB62" s="752"/>
      <c r="EC62" s="750"/>
      <c r="ED62" s="752"/>
      <c r="EE62" s="750"/>
      <c r="EF62" s="752"/>
      <c r="EG62" s="750"/>
      <c r="EH62" s="752"/>
      <c r="EI62" s="750"/>
      <c r="EJ62" s="752"/>
      <c r="EK62" s="750"/>
      <c r="EL62" s="752"/>
      <c r="EM62" s="750"/>
      <c r="EN62" s="752"/>
      <c r="EO62" s="750"/>
      <c r="EP62" s="752"/>
      <c r="EQ62" s="750"/>
      <c r="ER62" s="752"/>
      <c r="ES62" s="750"/>
      <c r="ET62" s="752"/>
      <c r="EU62" s="802"/>
      <c r="EV62" s="710"/>
    </row>
    <row r="63" spans="1:152" ht="12.75" customHeight="1" x14ac:dyDescent="0.2">
      <c r="A63" s="754" t="str">
        <f>INPUT!B447</f>
        <v xml:space="preserve">  Group Income Protection (%)</v>
      </c>
      <c r="B63" s="793">
        <f>B8/B$17*100</f>
        <v>0.59494298463054984</v>
      </c>
      <c r="C63" s="767"/>
      <c r="D63" s="793">
        <f>D8/D$17*100</f>
        <v>4.8036951501154164</v>
      </c>
      <c r="E63" s="767"/>
      <c r="F63" s="793">
        <f t="shared" ref="F63:F70" si="47">F8/F$17*100</f>
        <v>6.7075664621677227</v>
      </c>
      <c r="G63" s="767"/>
      <c r="H63" s="793">
        <f t="shared" ref="H63:H70" si="48">H8/H$17*100</f>
        <v>13.245283018867928</v>
      </c>
      <c r="I63" s="767"/>
      <c r="J63" s="793">
        <f t="shared" ref="J63:J70" si="49">J8/J$17*100</f>
        <v>11.267071320182112</v>
      </c>
      <c r="K63" s="767"/>
      <c r="L63" s="793">
        <f t="shared" ref="L63:L70" si="50">L8/L$17*100</f>
        <v>18.838475499092549</v>
      </c>
      <c r="M63" s="767"/>
      <c r="N63" s="793">
        <f t="shared" ref="N63:N70" si="51">N8/N$17*100</f>
        <v>15.846153846153818</v>
      </c>
      <c r="O63" s="767"/>
      <c r="P63" s="793">
        <f t="shared" ref="P63:P70" si="52">P8/P$17*100</f>
        <v>14.080834419817482</v>
      </c>
      <c r="Q63" s="767"/>
      <c r="R63" s="793">
        <f t="shared" ref="R63:R70" si="53">R8/R$17*100</f>
        <v>12.803320561941259</v>
      </c>
      <c r="S63" s="767"/>
      <c r="T63" s="793">
        <f t="shared" ref="T63:T70" si="54">T8/T$17*100</f>
        <v>13.7870343209152</v>
      </c>
      <c r="U63" s="767"/>
      <c r="V63" s="793">
        <f t="shared" ref="V63:V70" si="55">V8/V$17*100</f>
        <v>16.769041769041749</v>
      </c>
      <c r="W63" s="767"/>
      <c r="X63" s="793">
        <f t="shared" ref="X63:X70" si="56">X8/X$17*100</f>
        <v>19.245647969052264</v>
      </c>
      <c r="Y63" s="767"/>
      <c r="Z63" s="793">
        <f t="shared" ref="Z63:Z70" si="57">Z8/Z$17*100</f>
        <v>18.30583756345176</v>
      </c>
      <c r="AA63" s="767"/>
      <c r="AB63" s="793">
        <f t="shared" ref="AB63:AB70" si="58">AB8/AB$17*100</f>
        <v>21.086755171349196</v>
      </c>
      <c r="AC63" s="767"/>
      <c r="AD63" s="793">
        <f t="shared" ref="AD63:AD70" si="59">AD8/AD$17*100</f>
        <v>23.459493274945274</v>
      </c>
      <c r="AE63" s="767"/>
      <c r="AF63" s="793">
        <f t="shared" ref="AF63:AF70" si="60">AF8/AF$17*100</f>
        <v>22.560596643878171</v>
      </c>
      <c r="AG63" s="767"/>
      <c r="AH63" s="793">
        <f t="shared" ref="AH63:AH70" si="61">AH8/AH$17*100</f>
        <v>22.287562481623038</v>
      </c>
      <c r="AI63" s="767"/>
      <c r="AJ63" s="793">
        <f t="shared" ref="AJ63:AJ70" si="62">AJ8/AJ$17*100</f>
        <v>24.650756693830051</v>
      </c>
      <c r="AK63" s="767"/>
      <c r="AL63" s="793">
        <f t="shared" ref="AL63:AL70" si="63">AL8/AL$17*100</f>
        <v>23.759079903147693</v>
      </c>
      <c r="AM63" s="767"/>
      <c r="AN63" s="793">
        <f t="shared" ref="AN63:AN70" si="64">AN8/AN$17*100</f>
        <v>24.936224489795908</v>
      </c>
      <c r="AO63" s="767"/>
      <c r="AP63" s="793">
        <f t="shared" ref="AP63:AP70" si="65">AP8/AP$17*100</f>
        <v>23.048094940662118</v>
      </c>
      <c r="AQ63" s="767"/>
      <c r="AR63" s="793">
        <f t="shared" ref="AR63:AR70" si="66">AR8/AR$17*100</f>
        <v>22.739092747760733</v>
      </c>
      <c r="AS63" s="767"/>
      <c r="AT63" s="793">
        <f t="shared" ref="AT63:AT70" si="67">AT8/AT$17*100</f>
        <v>22.676232064878366</v>
      </c>
      <c r="AU63" s="767"/>
      <c r="AV63" s="793">
        <f t="shared" ref="AV63:AV70" si="68">AV8/AV$17*100</f>
        <v>-12.499999999999996</v>
      </c>
      <c r="AW63" s="767"/>
      <c r="AX63" s="793">
        <f t="shared" ref="AX63:AX70" si="69">AX8/AX$17*100</f>
        <v>24.159120310478674</v>
      </c>
      <c r="AY63" s="767"/>
      <c r="AZ63" s="793">
        <f t="shared" ref="AZ63:AZ70" si="70">AZ8/AZ$17*100</f>
        <v>22.702354079329247</v>
      </c>
      <c r="BA63" s="767"/>
      <c r="BB63" s="793">
        <f t="shared" ref="BB63:BB70" si="71">BB8/BB$17*100</f>
        <v>23.978113936272933</v>
      </c>
      <c r="BC63" s="767"/>
      <c r="BD63" s="793">
        <f t="shared" ref="BD63:BD70" si="72">BD8/BD$17*100</f>
        <v>23.732644494672268</v>
      </c>
      <c r="BE63" s="767"/>
      <c r="BF63" s="793">
        <f t="shared" ref="BF63:BF70" si="73">BF8/BF$17*100</f>
        <v>24.743589743589713</v>
      </c>
      <c r="BG63" s="767"/>
      <c r="BH63" s="793">
        <f t="shared" ref="BH63:BH70" si="74">BH8/BH$17*100</f>
        <v>22.864401397268981</v>
      </c>
      <c r="BI63" s="767"/>
      <c r="BJ63" s="793">
        <f t="shared" ref="BJ63:BJ70" si="75">BJ8/BJ$17*100</f>
        <v>24.620733249051824</v>
      </c>
      <c r="BK63" s="767"/>
      <c r="BL63" s="793">
        <f t="shared" ref="BL63:BN70" si="76">BL8/BL$17*100</f>
        <v>22.655217965653907</v>
      </c>
      <c r="BM63" s="767"/>
      <c r="BN63" s="793">
        <f t="shared" si="76"/>
        <v>20.806401969836859</v>
      </c>
      <c r="BO63" s="767"/>
      <c r="BP63" s="793">
        <f t="shared" ref="BP63:BP70" si="77">BP8/BP$17*100</f>
        <v>22.348601291115873</v>
      </c>
      <c r="BQ63" s="767"/>
      <c r="BR63" s="793">
        <f t="shared" ref="BR63:BR70" si="78">BR8/BR$17*100</f>
        <v>21.626733921815894</v>
      </c>
      <c r="BS63" s="767"/>
      <c r="BT63" s="793">
        <f t="shared" ref="BT63:BV70" si="79">BT8/BT$17*100</f>
        <v>-17.672298203271648</v>
      </c>
      <c r="BU63" s="767"/>
      <c r="BV63" s="793">
        <f t="shared" si="79"/>
        <v>23.342758404021382</v>
      </c>
      <c r="BW63" s="767"/>
      <c r="BX63" s="793">
        <f t="shared" ref="BX63:BX70" si="80">BX8/BX$17*100</f>
        <v>19.184952978056444</v>
      </c>
      <c r="BY63" s="767"/>
      <c r="BZ63" s="793">
        <f t="shared" ref="BZ63:BZ70" si="81">BZ8/BZ$17*100</f>
        <v>21.751152073732722</v>
      </c>
      <c r="CA63" s="767"/>
      <c r="CB63" s="793">
        <f t="shared" ref="CB63:CD70" si="82">CB8/CB$17*100</f>
        <v>20.701534606952723</v>
      </c>
      <c r="CC63" s="767"/>
      <c r="CD63" s="793">
        <f t="shared" si="82"/>
        <v>21.681552202032616</v>
      </c>
      <c r="CE63" s="767"/>
      <c r="CF63" s="793">
        <f t="shared" ref="CF63" si="83">CF8/CF$17*100</f>
        <v>22.215586742311135</v>
      </c>
      <c r="CG63" s="767"/>
      <c r="CH63" s="793">
        <f t="shared" ref="CH63" si="84">CH8/CH$17*100</f>
        <v>26.596075988788552</v>
      </c>
      <c r="CI63" s="767"/>
      <c r="CJ63" s="793">
        <f t="shared" ref="CJ63:CR63" si="85">CJ8/CJ$17*100</f>
        <v>26.108518086347694</v>
      </c>
      <c r="CK63" s="767"/>
      <c r="CL63" s="793">
        <f t="shared" si="85"/>
        <v>26.09591056192998</v>
      </c>
      <c r="CM63" s="767"/>
      <c r="CN63" s="793">
        <f t="shared" si="85"/>
        <v>26.138613861386155</v>
      </c>
      <c r="CO63" s="767"/>
      <c r="CP63" s="793">
        <f t="shared" si="85"/>
        <v>25.252525252525228</v>
      </c>
      <c r="CQ63" s="767"/>
      <c r="CR63" s="793">
        <f t="shared" si="85"/>
        <v>23.250201126307317</v>
      </c>
      <c r="CS63" s="767"/>
      <c r="CT63" s="793">
        <f t="shared" ref="CT63" si="86">CT8/CT$17*100</f>
        <v>25.644923888184877</v>
      </c>
      <c r="CU63" s="767"/>
      <c r="CV63" s="793">
        <f t="shared" ref="CV63" si="87">CV8/CV$17*100</f>
        <v>25.699793357464038</v>
      </c>
      <c r="CW63" s="767"/>
      <c r="CX63" s="793">
        <f t="shared" ref="CX63" si="88">CX8/CX$17*100</f>
        <v>25.771403145945165</v>
      </c>
      <c r="CY63" s="767"/>
      <c r="CZ63" s="793">
        <f t="shared" ref="CZ63" si="89">CZ8/CZ$17*100</f>
        <v>26.138393866613619</v>
      </c>
      <c r="DA63" s="767"/>
      <c r="DB63" s="753"/>
      <c r="DC63" s="793">
        <f t="shared" ref="DC63:DC70" si="90">DC8/DC$17*100</f>
        <v>0</v>
      </c>
      <c r="DD63" s="767"/>
      <c r="DE63" s="793">
        <f t="shared" ref="DE63:DE70" si="91">DE8/DE$17*100</f>
        <v>27.418897190958173</v>
      </c>
      <c r="DF63" s="767"/>
      <c r="DG63" s="793">
        <f t="shared" ref="DG63:DG70" si="92">DG8/DG$17*100</f>
        <v>1281.2960235640764</v>
      </c>
      <c r="DH63" s="767"/>
      <c r="DI63" s="793">
        <f t="shared" ref="DI63:DI70" si="93">DI8/DI$17*100</f>
        <v>42.962962962962905</v>
      </c>
      <c r="DJ63" s="767"/>
      <c r="DK63" s="793">
        <f t="shared" ref="DK63:DK70" si="94">DK8/DK$17*100</f>
        <v>8.7535193242897957</v>
      </c>
      <c r="DL63" s="767"/>
      <c r="DM63" s="793">
        <f t="shared" ref="DM63:DM70" si="95">DM8/DM$17*100</f>
        <v>6.8017678128705281</v>
      </c>
      <c r="DN63" s="767"/>
      <c r="DO63" s="793">
        <f t="shared" ref="DO63:DO70" si="96">DO8/DO$17*100</f>
        <v>15.056793919207461</v>
      </c>
      <c r="DP63" s="767"/>
      <c r="DQ63" s="793">
        <f t="shared" ref="DQ63:DQ70" si="97">DQ8/DQ$17*100</f>
        <v>15.613613458407638</v>
      </c>
      <c r="DR63" s="767"/>
      <c r="DS63" s="793">
        <f t="shared" ref="DS63:DS70" si="98">DS8/DS$17*100</f>
        <v>21.152238352207949</v>
      </c>
      <c r="DT63" s="767"/>
      <c r="DU63" s="793">
        <f t="shared" ref="DU63:DU70" si="99">DU8/DU$17*100</f>
        <v>23.890939218196849</v>
      </c>
      <c r="DV63" s="767"/>
      <c r="DW63" s="793">
        <f t="shared" ref="DW63:DW70" si="100">DW8/DW$17*100</f>
        <v>81.680626857606143</v>
      </c>
      <c r="DX63" s="767"/>
      <c r="DY63" s="793">
        <f t="shared" ref="DY63:DY70" si="101">DY8/DY$17*100</f>
        <v>23.236184105749324</v>
      </c>
      <c r="DZ63" s="767"/>
      <c r="EA63" s="793">
        <f t="shared" ref="EA63:EA70" si="102">EA8/EA$17*100</f>
        <v>23.730037717679146</v>
      </c>
      <c r="EB63" s="767"/>
      <c r="EC63" s="793">
        <f t="shared" ref="EC63:EE70" si="103">EC8/EC$17*100</f>
        <v>46.22371740958792</v>
      </c>
      <c r="ED63" s="767"/>
      <c r="EE63" s="793">
        <f t="shared" si="103"/>
        <v>21.246392637079804</v>
      </c>
      <c r="EF63" s="767"/>
      <c r="EG63" s="793">
        <f t="shared" ref="EG63:EI63" si="104">EG8/EG$17*100</f>
        <v>24.155647903286738</v>
      </c>
      <c r="EH63" s="767"/>
      <c r="EI63" s="793">
        <f t="shared" si="104"/>
        <v>25.149363885569681</v>
      </c>
      <c r="EJ63" s="767"/>
      <c r="EK63" s="793">
        <f t="shared" ref="EK63" si="105">EK8/EK$17*100</f>
        <v>25.814715024825109</v>
      </c>
      <c r="EL63" s="767"/>
      <c r="EM63" s="793">
        <f t="shared" ref="EM63:EO70" si="106">EM8/EM$17*100</f>
        <v>25.839900540125999</v>
      </c>
      <c r="EN63" s="767"/>
      <c r="EO63" s="793">
        <f t="shared" si="106"/>
        <v>25.775136183090673</v>
      </c>
      <c r="EP63" s="767"/>
      <c r="EQ63" s="793">
        <f t="shared" ref="EQ63:ES63" si="107">EQ8/EQ$17*100</f>
        <v>25.652527467623916</v>
      </c>
      <c r="ER63" s="767"/>
      <c r="ES63" s="793">
        <f t="shared" si="107"/>
        <v>25.659540725698204</v>
      </c>
      <c r="ET63" s="767"/>
      <c r="EU63" s="723">
        <f t="shared" ref="EU63:EU71" si="108">IF(ISERROR(((EM63/EC63)^0.2-1)*100),"NA",(IF(OR(((EM63/EC63)^0.2-1)*100&gt;99,((EM63/EC63)^0.2-1)*100&lt;-50),"NM",(((EM63/EC63)^0.2-1)*100))))</f>
        <v>-10.980491181857488</v>
      </c>
      <c r="EV63" s="710"/>
    </row>
    <row r="64" spans="1:152" ht="12.75" customHeight="1" x14ac:dyDescent="0.2">
      <c r="A64" s="754" t="str">
        <f>INPUT!B448</f>
        <v xml:space="preserve">  Group Life and AD&amp;D (%)</v>
      </c>
      <c r="B64" s="793">
        <f t="shared" ref="B64:D70" si="109">B9/B$17*100</f>
        <v>21.764997521070899</v>
      </c>
      <c r="C64" s="767"/>
      <c r="D64" s="793">
        <f t="shared" si="109"/>
        <v>20.692840646651277</v>
      </c>
      <c r="E64" s="767"/>
      <c r="F64" s="793">
        <f t="shared" si="47"/>
        <v>17.586912065439662</v>
      </c>
      <c r="G64" s="767"/>
      <c r="H64" s="793">
        <f t="shared" si="48"/>
        <v>17.471698113207566</v>
      </c>
      <c r="I64" s="767"/>
      <c r="J64" s="793">
        <f t="shared" si="49"/>
        <v>18.740515933232164</v>
      </c>
      <c r="K64" s="767"/>
      <c r="L64" s="793">
        <f t="shared" si="50"/>
        <v>18.693284936479149</v>
      </c>
      <c r="M64" s="767"/>
      <c r="N64" s="793">
        <f t="shared" si="51"/>
        <v>17.292307692307716</v>
      </c>
      <c r="O64" s="767"/>
      <c r="P64" s="793">
        <f t="shared" si="52"/>
        <v>19.589308996088644</v>
      </c>
      <c r="Q64" s="767"/>
      <c r="R64" s="793">
        <f t="shared" si="53"/>
        <v>17.688378033205613</v>
      </c>
      <c r="S64" s="767"/>
      <c r="T64" s="793">
        <f t="shared" si="54"/>
        <v>15.928424757993545</v>
      </c>
      <c r="U64" s="767"/>
      <c r="V64" s="793">
        <f t="shared" si="55"/>
        <v>15.63267813267815</v>
      </c>
      <c r="W64" s="767"/>
      <c r="X64" s="793">
        <f t="shared" si="56"/>
        <v>16.215344938749187</v>
      </c>
      <c r="Y64" s="767"/>
      <c r="Z64" s="793">
        <f t="shared" si="57"/>
        <v>15.323604060913713</v>
      </c>
      <c r="AA64" s="767"/>
      <c r="AB64" s="793">
        <f t="shared" si="58"/>
        <v>15.035504785427625</v>
      </c>
      <c r="AC64" s="767"/>
      <c r="AD64" s="793">
        <f t="shared" si="59"/>
        <v>15.639662183296831</v>
      </c>
      <c r="AE64" s="767"/>
      <c r="AF64" s="793">
        <f t="shared" si="60"/>
        <v>14.822871348663771</v>
      </c>
      <c r="AG64" s="767"/>
      <c r="AH64" s="793">
        <f t="shared" si="61"/>
        <v>14.848573948838592</v>
      </c>
      <c r="AI64" s="767"/>
      <c r="AJ64" s="793">
        <f t="shared" si="62"/>
        <v>14.668218859138543</v>
      </c>
      <c r="AK64" s="767"/>
      <c r="AL64" s="793">
        <f t="shared" si="63"/>
        <v>15.466101694915258</v>
      </c>
      <c r="AM64" s="767"/>
      <c r="AN64" s="793">
        <f t="shared" si="64"/>
        <v>16.581632653061227</v>
      </c>
      <c r="AO64" s="767"/>
      <c r="AP64" s="793">
        <f t="shared" si="65"/>
        <v>16.114928169893812</v>
      </c>
      <c r="AQ64" s="767"/>
      <c r="AR64" s="793">
        <f t="shared" si="66"/>
        <v>15.024559375902912</v>
      </c>
      <c r="AS64" s="767"/>
      <c r="AT64" s="793">
        <f t="shared" si="67"/>
        <v>16.313162819713039</v>
      </c>
      <c r="AU64" s="767"/>
      <c r="AV64" s="793">
        <f t="shared" si="68"/>
        <v>-8.5278858625162037</v>
      </c>
      <c r="AW64" s="767"/>
      <c r="AX64" s="793">
        <f t="shared" si="69"/>
        <v>16.94695989650711</v>
      </c>
      <c r="AY64" s="767"/>
      <c r="AZ64" s="793">
        <f t="shared" si="70"/>
        <v>18.477910351499506</v>
      </c>
      <c r="BA64" s="767"/>
      <c r="BB64" s="793">
        <f t="shared" si="71"/>
        <v>18.056002574831034</v>
      </c>
      <c r="BC64" s="767"/>
      <c r="BD64" s="793">
        <f t="shared" si="72"/>
        <v>17.791411042944798</v>
      </c>
      <c r="BE64" s="767"/>
      <c r="BF64" s="793">
        <f t="shared" si="73"/>
        <v>18.269230769230781</v>
      </c>
      <c r="BG64" s="767"/>
      <c r="BH64" s="793">
        <f t="shared" si="74"/>
        <v>17.815179422038735</v>
      </c>
      <c r="BI64" s="767"/>
      <c r="BJ64" s="793">
        <f t="shared" si="75"/>
        <v>18.236409608091037</v>
      </c>
      <c r="BK64" s="767"/>
      <c r="BL64" s="793">
        <f t="shared" si="76"/>
        <v>32.265521796565388</v>
      </c>
      <c r="BM64" s="767"/>
      <c r="BN64" s="793">
        <f t="shared" si="76"/>
        <v>18.06709756848262</v>
      </c>
      <c r="BO64" s="767"/>
      <c r="BP64" s="793">
        <f t="shared" si="77"/>
        <v>18.628957885029195</v>
      </c>
      <c r="BQ64" s="767"/>
      <c r="BR64" s="793">
        <f t="shared" si="78"/>
        <v>19.48297604035309</v>
      </c>
      <c r="BS64" s="767"/>
      <c r="BT64" s="793">
        <f t="shared" si="79"/>
        <v>-15.902386698846877</v>
      </c>
      <c r="BU64" s="767"/>
      <c r="BV64" s="793">
        <f t="shared" si="79"/>
        <v>18.190386427898218</v>
      </c>
      <c r="BW64" s="767"/>
      <c r="BX64" s="793">
        <f t="shared" si="80"/>
        <v>16.457680250783721</v>
      </c>
      <c r="BY64" s="767"/>
      <c r="BZ64" s="793">
        <f t="shared" si="81"/>
        <v>18.494623655913962</v>
      </c>
      <c r="CA64" s="767"/>
      <c r="CB64" s="793">
        <f t="shared" si="82"/>
        <v>17.00595051675543</v>
      </c>
      <c r="CC64" s="767"/>
      <c r="CD64" s="793">
        <f t="shared" si="82"/>
        <v>17.061903295349573</v>
      </c>
      <c r="CE64" s="767"/>
      <c r="CF64" s="793">
        <f t="shared" ref="CF64" si="110">CF9/CF$17*100</f>
        <v>16.990146312332051</v>
      </c>
      <c r="CG64" s="767"/>
      <c r="CH64" s="793">
        <f t="shared" ref="CH64" si="111">CH9/CH$17*100</f>
        <v>16.630333229523529</v>
      </c>
      <c r="CI64" s="767"/>
      <c r="CJ64" s="793">
        <f t="shared" ref="CJ64:CR64" si="112">CJ9/CJ$17*100</f>
        <v>16.36522753792298</v>
      </c>
      <c r="CK64" s="767"/>
      <c r="CL64" s="793">
        <f t="shared" si="112"/>
        <v>16.47543395116212</v>
      </c>
      <c r="CM64" s="767"/>
      <c r="CN64" s="793">
        <f t="shared" si="112"/>
        <v>17.227722772277215</v>
      </c>
      <c r="CO64" s="767"/>
      <c r="CP64" s="793">
        <f t="shared" si="112"/>
        <v>16.863075196408523</v>
      </c>
      <c r="CQ64" s="767"/>
      <c r="CR64" s="793">
        <f t="shared" si="112"/>
        <v>15.285599356395824</v>
      </c>
      <c r="CS64" s="767"/>
      <c r="CT64" s="793">
        <f t="shared" ref="CT64" si="113">CT9/CT$17*100</f>
        <v>16.922955200306632</v>
      </c>
      <c r="CU64" s="767"/>
      <c r="CV64" s="793">
        <f t="shared" ref="CV64" si="114">CV9/CV$17*100</f>
        <v>16.838828564438789</v>
      </c>
      <c r="CW64" s="767"/>
      <c r="CX64" s="793">
        <f t="shared" ref="CX64" si="115">CX9/CX$17*100</f>
        <v>17.176748866034636</v>
      </c>
      <c r="CY64" s="767"/>
      <c r="CZ64" s="793">
        <f t="shared" ref="CZ64" si="116">CZ9/CZ$17*100</f>
        <v>17.106168861543491</v>
      </c>
      <c r="DA64" s="767"/>
      <c r="DB64" s="753"/>
      <c r="DC64" s="793">
        <f t="shared" si="90"/>
        <v>0</v>
      </c>
      <c r="DD64" s="767"/>
      <c r="DE64" s="793">
        <f t="shared" si="91"/>
        <v>21.195497966518463</v>
      </c>
      <c r="DF64" s="767"/>
      <c r="DG64" s="793">
        <f t="shared" si="92"/>
        <v>-327.98232695140229</v>
      </c>
      <c r="DH64" s="767"/>
      <c r="DI64" s="793">
        <f t="shared" si="93"/>
        <v>-158.0740740740741</v>
      </c>
      <c r="DJ64" s="767"/>
      <c r="DK64" s="793">
        <f t="shared" si="94"/>
        <v>24.161760941899153</v>
      </c>
      <c r="DL64" s="767"/>
      <c r="DM64" s="793">
        <f t="shared" si="95"/>
        <v>19.187237253422463</v>
      </c>
      <c r="DN64" s="767"/>
      <c r="DO64" s="793">
        <f t="shared" si="96"/>
        <v>18.549833461439942</v>
      </c>
      <c r="DP64" s="767"/>
      <c r="DQ64" s="793">
        <f t="shared" si="97"/>
        <v>16.350104659275921</v>
      </c>
      <c r="DR64" s="767"/>
      <c r="DS64" s="793">
        <f t="shared" si="98"/>
        <v>14.714600592840336</v>
      </c>
      <c r="DT64" s="767"/>
      <c r="DU64" s="793">
        <f t="shared" si="99"/>
        <v>15.364916773367487</v>
      </c>
      <c r="DV64" s="767"/>
      <c r="DW64" s="793">
        <f t="shared" si="100"/>
        <v>56.336125371521305</v>
      </c>
      <c r="DX64" s="767"/>
      <c r="DY64" s="793">
        <f t="shared" si="101"/>
        <v>17.470934862239236</v>
      </c>
      <c r="DZ64" s="767"/>
      <c r="EA64" s="793">
        <f t="shared" si="102"/>
        <v>21.547227349329891</v>
      </c>
      <c r="EB64" s="767"/>
      <c r="EC64" s="793">
        <f t="shared" si="103"/>
        <v>40.437342304457538</v>
      </c>
      <c r="ED64" s="767"/>
      <c r="EE64" s="793">
        <f t="shared" si="103"/>
        <v>17.541533421729948</v>
      </c>
      <c r="EF64" s="767"/>
      <c r="EG64" s="793">
        <f t="shared" ref="EG64:EI64" si="117">EG9/EG$17*100</f>
        <v>16.75859463543636</v>
      </c>
      <c r="EH64" s="767"/>
      <c r="EI64" s="793">
        <f t="shared" si="117"/>
        <v>16.447599634497806</v>
      </c>
      <c r="EJ64" s="767"/>
      <c r="EK64" s="793">
        <f t="shared" ref="EK64" si="118">EK9/EK$17*100</f>
        <v>17.011733581547166</v>
      </c>
      <c r="EL64" s="767"/>
      <c r="EM64" s="793">
        <f t="shared" si="106"/>
        <v>17.133826934146278</v>
      </c>
      <c r="EN64" s="767"/>
      <c r="EO64" s="793">
        <f t="shared" si="106"/>
        <v>17.190011164214596</v>
      </c>
      <c r="EP64" s="767"/>
      <c r="EQ64" s="793">
        <f t="shared" ref="EQ64:ES64" si="119">EQ9/EQ$17*100</f>
        <v>17.319080975108822</v>
      </c>
      <c r="ER64" s="767"/>
      <c r="ES64" s="793">
        <f t="shared" si="119"/>
        <v>17.411513334010266</v>
      </c>
      <c r="ET64" s="767"/>
      <c r="EU64" s="723">
        <f t="shared" si="108"/>
        <v>-15.780171193529657</v>
      </c>
      <c r="EV64" s="710"/>
    </row>
    <row r="65" spans="1:152" ht="12.75" customHeight="1" x14ac:dyDescent="0.2">
      <c r="A65" s="754" t="str">
        <f>INPUT!B449</f>
        <v xml:space="preserve">  Supplemental and Voluntary (%)</v>
      </c>
      <c r="B65" s="793">
        <f t="shared" si="109"/>
        <v>27.863163113534966</v>
      </c>
      <c r="C65" s="767"/>
      <c r="D65" s="793">
        <f t="shared" si="109"/>
        <v>22.771362586605061</v>
      </c>
      <c r="E65" s="767"/>
      <c r="F65" s="793">
        <f t="shared" si="47"/>
        <v>24.049079754601223</v>
      </c>
      <c r="G65" s="767"/>
      <c r="H65" s="793">
        <f t="shared" si="48"/>
        <v>20.566037735849068</v>
      </c>
      <c r="I65" s="767"/>
      <c r="J65" s="793">
        <f t="shared" si="49"/>
        <v>21.927162367223051</v>
      </c>
      <c r="K65" s="767"/>
      <c r="L65" s="793">
        <f t="shared" si="50"/>
        <v>17.894736842105228</v>
      </c>
      <c r="M65" s="767"/>
      <c r="N65" s="793">
        <f t="shared" si="51"/>
        <v>15.415384615384594</v>
      </c>
      <c r="O65" s="767"/>
      <c r="P65" s="793">
        <f t="shared" si="52"/>
        <v>18.774445893089982</v>
      </c>
      <c r="Q65" s="767"/>
      <c r="R65" s="793">
        <f t="shared" si="53"/>
        <v>20.05108556832695</v>
      </c>
      <c r="S65" s="767"/>
      <c r="T65" s="793">
        <f t="shared" si="54"/>
        <v>20.621883250219991</v>
      </c>
      <c r="U65" s="767"/>
      <c r="V65" s="793">
        <f t="shared" si="55"/>
        <v>20.300982800982801</v>
      </c>
      <c r="W65" s="767"/>
      <c r="X65" s="793">
        <f t="shared" si="56"/>
        <v>23.404255319148909</v>
      </c>
      <c r="Y65" s="767"/>
      <c r="Z65" s="793">
        <f t="shared" si="57"/>
        <v>24.619289340101517</v>
      </c>
      <c r="AA65" s="767"/>
      <c r="AB65" s="793">
        <f t="shared" si="58"/>
        <v>22.939178758876171</v>
      </c>
      <c r="AC65" s="767"/>
      <c r="AD65" s="793">
        <f t="shared" si="59"/>
        <v>22.552392868314026</v>
      </c>
      <c r="AE65" s="767"/>
      <c r="AF65" s="793">
        <f t="shared" si="60"/>
        <v>25.699192044748287</v>
      </c>
      <c r="AG65" s="767"/>
      <c r="AH65" s="793">
        <f t="shared" si="61"/>
        <v>16.52455160246986</v>
      </c>
      <c r="AI65" s="767"/>
      <c r="AJ65" s="793">
        <f t="shared" si="62"/>
        <v>19.121071012805587</v>
      </c>
      <c r="AK65" s="767"/>
      <c r="AL65" s="793">
        <f t="shared" si="63"/>
        <v>18.583535108958834</v>
      </c>
      <c r="AM65" s="767"/>
      <c r="AN65" s="793">
        <f t="shared" si="64"/>
        <v>20.663265306122433</v>
      </c>
      <c r="AO65" s="767"/>
      <c r="AP65" s="793">
        <f t="shared" si="65"/>
        <v>21.642723297938801</v>
      </c>
      <c r="AQ65" s="767"/>
      <c r="AR65" s="793">
        <f t="shared" si="66"/>
        <v>21.641144177983236</v>
      </c>
      <c r="AS65" s="767"/>
      <c r="AT65" s="793">
        <f t="shared" si="67"/>
        <v>26.263256394260754</v>
      </c>
      <c r="AU65" s="767"/>
      <c r="AV65" s="793">
        <f t="shared" si="68"/>
        <v>-12.59727626459143</v>
      </c>
      <c r="AW65" s="767"/>
      <c r="AX65" s="793">
        <f t="shared" si="69"/>
        <v>25.485122897800789</v>
      </c>
      <c r="AY65" s="767"/>
      <c r="AZ65" s="793">
        <f t="shared" si="70"/>
        <v>27.410512737826515</v>
      </c>
      <c r="BA65" s="767"/>
      <c r="BB65" s="793">
        <f t="shared" si="71"/>
        <v>27.58287737367235</v>
      </c>
      <c r="BC65" s="767"/>
      <c r="BD65" s="793">
        <f t="shared" si="72"/>
        <v>26.99386503067484</v>
      </c>
      <c r="BE65" s="767"/>
      <c r="BF65" s="793">
        <f t="shared" si="73"/>
        <v>22.756410256410231</v>
      </c>
      <c r="BG65" s="767"/>
      <c r="BH65" s="793">
        <f t="shared" si="74"/>
        <v>26.357573832962849</v>
      </c>
      <c r="BI65" s="767"/>
      <c r="BJ65" s="793">
        <f t="shared" si="75"/>
        <v>25.695322376738289</v>
      </c>
      <c r="BK65" s="767"/>
      <c r="BL65" s="793">
        <f t="shared" si="76"/>
        <v>19.451783355350059</v>
      </c>
      <c r="BM65" s="767"/>
      <c r="BN65" s="793">
        <f t="shared" si="76"/>
        <v>24.992305324715314</v>
      </c>
      <c r="BO65" s="767"/>
      <c r="BP65" s="793">
        <f t="shared" si="77"/>
        <v>25.361205041500153</v>
      </c>
      <c r="BQ65" s="767"/>
      <c r="BR65" s="793">
        <f t="shared" si="78"/>
        <v>25.756620428751571</v>
      </c>
      <c r="BS65" s="767"/>
      <c r="BT65" s="793">
        <f t="shared" si="79"/>
        <v>-22.606596942880131</v>
      </c>
      <c r="BU65" s="767"/>
      <c r="BV65" s="793">
        <f t="shared" si="79"/>
        <v>25.793276782909206</v>
      </c>
      <c r="BW65" s="767"/>
      <c r="BX65" s="793">
        <f t="shared" si="80"/>
        <v>27.931034482758633</v>
      </c>
      <c r="BY65" s="767"/>
      <c r="BZ65" s="793">
        <f t="shared" si="81"/>
        <v>26.943164362519177</v>
      </c>
      <c r="CA65" s="767"/>
      <c r="CB65" s="793">
        <f t="shared" si="82"/>
        <v>29.376761666144702</v>
      </c>
      <c r="CC65" s="767"/>
      <c r="CD65" s="793">
        <f t="shared" si="82"/>
        <v>27.748691099476481</v>
      </c>
      <c r="CE65" s="767"/>
      <c r="CF65" s="793">
        <f t="shared" ref="CF65" si="120">CF10/CF$17*100</f>
        <v>28.63541355628546</v>
      </c>
      <c r="CG65" s="767"/>
      <c r="CH65" s="793">
        <f t="shared" ref="CH65" si="121">CH10/CH$17*100</f>
        <v>28.713796325132336</v>
      </c>
      <c r="CI65" s="767"/>
      <c r="CJ65" s="793">
        <f t="shared" ref="CJ65:CR65" si="122">CJ10/CJ$17*100</f>
        <v>27.567094515752643</v>
      </c>
      <c r="CK65" s="767"/>
      <c r="CL65" s="793">
        <f t="shared" si="122"/>
        <v>27.772874374816119</v>
      </c>
      <c r="CM65" s="767"/>
      <c r="CN65" s="793">
        <f t="shared" si="122"/>
        <v>26.732673267326724</v>
      </c>
      <c r="CO65" s="767"/>
      <c r="CP65" s="793">
        <f t="shared" si="122"/>
        <v>30.387205387205395</v>
      </c>
      <c r="CQ65" s="767"/>
      <c r="CR65" s="793">
        <f t="shared" si="122"/>
        <v>32.314293376240286</v>
      </c>
      <c r="CS65" s="767"/>
      <c r="CT65" s="793">
        <f t="shared" ref="CT65" si="123">CT10/CT$17*100</f>
        <v>28.076640933500506</v>
      </c>
      <c r="CU65" s="767"/>
      <c r="CV65" s="793">
        <f t="shared" ref="CV65" si="124">CV10/CV$17*100</f>
        <v>28.256106788413206</v>
      </c>
      <c r="CW65" s="767"/>
      <c r="CX65" s="793">
        <f t="shared" ref="CX65" si="125">CX10/CX$17*100</f>
        <v>28.511836641361306</v>
      </c>
      <c r="CY65" s="767"/>
      <c r="CZ65" s="793">
        <f t="shared" ref="CZ65" si="126">CZ10/CZ$17*100</f>
        <v>28.576942328462856</v>
      </c>
      <c r="DA65" s="767"/>
      <c r="DB65" s="753"/>
      <c r="DC65" s="793">
        <f t="shared" si="90"/>
        <v>0</v>
      </c>
      <c r="DD65" s="767"/>
      <c r="DE65" s="793">
        <f t="shared" si="91"/>
        <v>17.875721176581823</v>
      </c>
      <c r="DF65" s="767"/>
      <c r="DG65" s="793">
        <f t="shared" si="92"/>
        <v>-318.262150220916</v>
      </c>
      <c r="DH65" s="767"/>
      <c r="DI65" s="793">
        <f t="shared" si="93"/>
        <v>-133.40740740740716</v>
      </c>
      <c r="DJ65" s="767"/>
      <c r="DK65" s="793">
        <f t="shared" si="94"/>
        <v>21.909393396467859</v>
      </c>
      <c r="DL65" s="767"/>
      <c r="DM65" s="793">
        <f t="shared" si="95"/>
        <v>23.585210736229424</v>
      </c>
      <c r="DN65" s="767"/>
      <c r="DO65" s="793">
        <f t="shared" si="96"/>
        <v>18.34486292595437</v>
      </c>
      <c r="DP65" s="767"/>
      <c r="DQ65" s="793">
        <f t="shared" si="97"/>
        <v>21.07140088378944</v>
      </c>
      <c r="DR65" s="767"/>
      <c r="DS65" s="793">
        <f t="shared" si="98"/>
        <v>18.780877099642794</v>
      </c>
      <c r="DT65" s="767"/>
      <c r="DU65" s="793">
        <f t="shared" si="99"/>
        <v>18.68645025231606</v>
      </c>
      <c r="DV65" s="767"/>
      <c r="DW65" s="793">
        <f t="shared" si="100"/>
        <v>82.707376384760906</v>
      </c>
      <c r="DX65" s="767"/>
      <c r="DY65" s="793">
        <f t="shared" si="101"/>
        <v>26.405478579391623</v>
      </c>
      <c r="DZ65" s="767"/>
      <c r="EA65" s="793">
        <f t="shared" si="102"/>
        <v>23.609662145895214</v>
      </c>
      <c r="EB65" s="767"/>
      <c r="EC65" s="793">
        <f t="shared" si="103"/>
        <v>55.458368376787185</v>
      </c>
      <c r="ED65" s="767"/>
      <c r="EE65" s="793">
        <f t="shared" si="103"/>
        <v>27.509554636923827</v>
      </c>
      <c r="EF65" s="767"/>
      <c r="EG65" s="793">
        <f t="shared" ref="EG65:EI65" si="127">EG10/EG$17*100</f>
        <v>28.160181337363031</v>
      </c>
      <c r="EH65" s="767"/>
      <c r="EI65" s="793">
        <f t="shared" si="127"/>
        <v>29.359668236451817</v>
      </c>
      <c r="EJ65" s="767"/>
      <c r="EK65" s="793">
        <f t="shared" ref="EK65" si="128">EK10/EK$17*100</f>
        <v>28.356575199397422</v>
      </c>
      <c r="EL65" s="767"/>
      <c r="EM65" s="793">
        <f t="shared" si="106"/>
        <v>28.726587898120172</v>
      </c>
      <c r="EN65" s="767"/>
      <c r="EO65" s="793">
        <f t="shared" si="106"/>
        <v>28.989816076429324</v>
      </c>
      <c r="EP65" s="767"/>
      <c r="EQ65" s="793">
        <f t="shared" ref="EQ65:ES65" si="129">EQ10/EQ$17*100</f>
        <v>29.179990035374669</v>
      </c>
      <c r="ER65" s="767"/>
      <c r="ES65" s="793">
        <f t="shared" si="129"/>
        <v>29.280933273907216</v>
      </c>
      <c r="ET65" s="767"/>
      <c r="EU65" s="723">
        <f t="shared" si="108"/>
        <v>-12.327499904949256</v>
      </c>
      <c r="EV65" s="710"/>
    </row>
    <row r="66" spans="1:152" ht="12.75" customHeight="1" x14ac:dyDescent="0.2">
      <c r="A66" s="754" t="str">
        <f>INPUT!B446</f>
        <v>US Brokerage (%)</v>
      </c>
      <c r="B66" s="793">
        <f t="shared" si="109"/>
        <v>50.223103619236383</v>
      </c>
      <c r="C66" s="767"/>
      <c r="D66" s="793">
        <f t="shared" si="109"/>
        <v>48.267898383371886</v>
      </c>
      <c r="E66" s="767"/>
      <c r="F66" s="793">
        <f t="shared" si="47"/>
        <v>48.343558282208591</v>
      </c>
      <c r="G66" s="767"/>
      <c r="H66" s="793">
        <f t="shared" si="48"/>
        <v>51.283018867924454</v>
      </c>
      <c r="I66" s="767"/>
      <c r="J66" s="793">
        <f t="shared" si="49"/>
        <v>51.934749620637291</v>
      </c>
      <c r="K66" s="767"/>
      <c r="L66" s="793">
        <f t="shared" si="50"/>
        <v>55.426497277676887</v>
      </c>
      <c r="M66" s="767"/>
      <c r="N66" s="793">
        <f t="shared" si="51"/>
        <v>48.553846153846166</v>
      </c>
      <c r="O66" s="767"/>
      <c r="P66" s="793">
        <f t="shared" si="52"/>
        <v>52.444589308996036</v>
      </c>
      <c r="Q66" s="767"/>
      <c r="R66" s="793">
        <f t="shared" si="53"/>
        <v>50.542784163473812</v>
      </c>
      <c r="S66" s="767"/>
      <c r="T66" s="793">
        <f t="shared" si="54"/>
        <v>50.337342329128923</v>
      </c>
      <c r="U66" s="767"/>
      <c r="V66" s="793">
        <f t="shared" si="55"/>
        <v>52.702702702702631</v>
      </c>
      <c r="W66" s="767"/>
      <c r="X66" s="793">
        <f t="shared" si="56"/>
        <v>58.865248226950428</v>
      </c>
      <c r="Y66" s="767"/>
      <c r="Z66" s="793">
        <f t="shared" si="57"/>
        <v>58.248730964467065</v>
      </c>
      <c r="AA66" s="767"/>
      <c r="AB66" s="793">
        <f t="shared" si="58"/>
        <v>59.061438715652805</v>
      </c>
      <c r="AC66" s="767"/>
      <c r="AD66" s="793">
        <f t="shared" si="59"/>
        <v>61.651548326556018</v>
      </c>
      <c r="AE66" s="767"/>
      <c r="AF66" s="793">
        <f t="shared" si="60"/>
        <v>63.082660037290282</v>
      </c>
      <c r="AG66" s="767"/>
      <c r="AH66" s="793">
        <f t="shared" si="61"/>
        <v>53.660688032931489</v>
      </c>
      <c r="AI66" s="767"/>
      <c r="AJ66" s="793">
        <f t="shared" si="62"/>
        <v>58.440046565774153</v>
      </c>
      <c r="AK66" s="767"/>
      <c r="AL66" s="793">
        <f t="shared" si="63"/>
        <v>57.808716707021709</v>
      </c>
      <c r="AM66" s="767"/>
      <c r="AN66" s="793">
        <f t="shared" si="64"/>
        <v>62.181122448979607</v>
      </c>
      <c r="AO66" s="767"/>
      <c r="AP66" s="793">
        <f t="shared" si="65"/>
        <v>60.805746408494734</v>
      </c>
      <c r="AQ66" s="767"/>
      <c r="AR66" s="793">
        <f t="shared" si="66"/>
        <v>59.404796301646876</v>
      </c>
      <c r="AS66" s="767"/>
      <c r="AT66" s="793">
        <f t="shared" si="67"/>
        <v>65.252651278852241</v>
      </c>
      <c r="AU66" s="767"/>
      <c r="AV66" s="793">
        <f t="shared" si="68"/>
        <v>-33.62516212710765</v>
      </c>
      <c r="AW66" s="767"/>
      <c r="AX66" s="793">
        <f t="shared" si="69"/>
        <v>66.591203104786445</v>
      </c>
      <c r="AY66" s="767"/>
      <c r="AZ66" s="793">
        <f t="shared" si="70"/>
        <v>68.590777168655379</v>
      </c>
      <c r="BA66" s="767"/>
      <c r="BB66" s="793">
        <f t="shared" si="71"/>
        <v>69.616993884776306</v>
      </c>
      <c r="BC66" s="767"/>
      <c r="BD66" s="793">
        <f t="shared" si="72"/>
        <v>68.517920568291856</v>
      </c>
      <c r="BE66" s="767"/>
      <c r="BF66" s="793">
        <f t="shared" si="73"/>
        <v>65.769230769230759</v>
      </c>
      <c r="BG66" s="767"/>
      <c r="BH66" s="793">
        <f t="shared" si="74"/>
        <v>67.037154652270544</v>
      </c>
      <c r="BI66" s="767"/>
      <c r="BJ66" s="793">
        <f t="shared" si="75"/>
        <v>68.552465233881193</v>
      </c>
      <c r="BK66" s="767"/>
      <c r="BL66" s="793">
        <f t="shared" si="76"/>
        <v>74.372523117569372</v>
      </c>
      <c r="BM66" s="767"/>
      <c r="BN66" s="793">
        <f t="shared" si="76"/>
        <v>63.865804863034825</v>
      </c>
      <c r="BO66" s="767"/>
      <c r="BP66" s="793">
        <f t="shared" si="77"/>
        <v>66.338764217645164</v>
      </c>
      <c r="BQ66" s="767"/>
      <c r="BR66" s="793">
        <f t="shared" si="78"/>
        <v>66.866330390920595</v>
      </c>
      <c r="BS66" s="767"/>
      <c r="BT66" s="793">
        <f t="shared" si="79"/>
        <v>-56.181281844998651</v>
      </c>
      <c r="BU66" s="767"/>
      <c r="BV66" s="793">
        <f t="shared" si="79"/>
        <v>67.326421614828831</v>
      </c>
      <c r="BW66" s="767"/>
      <c r="BX66" s="793">
        <f t="shared" si="80"/>
        <v>63.573667711598816</v>
      </c>
      <c r="BY66" s="767"/>
      <c r="BZ66" s="793">
        <f t="shared" si="81"/>
        <v>67.188940092165794</v>
      </c>
      <c r="CA66" s="767"/>
      <c r="CB66" s="793">
        <f t="shared" si="82"/>
        <v>67.08424678985277</v>
      </c>
      <c r="CC66" s="767"/>
      <c r="CD66" s="793">
        <f t="shared" si="82"/>
        <v>66.492146596858774</v>
      </c>
      <c r="CE66" s="767"/>
      <c r="CF66" s="793">
        <f t="shared" ref="CF66" si="130">CF11/CF$17*100</f>
        <v>67.841146610928732</v>
      </c>
      <c r="CG66" s="767"/>
      <c r="CH66" s="793">
        <f t="shared" ref="CH66" si="131">CH11/CH$17*100</f>
        <v>71.940205543444364</v>
      </c>
      <c r="CI66" s="767"/>
      <c r="CJ66" s="793">
        <f t="shared" ref="CJ66:CR66" si="132">CJ11/CJ$17*100</f>
        <v>70.040840140023192</v>
      </c>
      <c r="CK66" s="767"/>
      <c r="CL66" s="793">
        <f t="shared" si="132"/>
        <v>70.344218887908241</v>
      </c>
      <c r="CM66" s="767"/>
      <c r="CN66" s="793">
        <f t="shared" si="132"/>
        <v>70.099009900990126</v>
      </c>
      <c r="CO66" s="767"/>
      <c r="CP66" s="793">
        <f t="shared" si="132"/>
        <v>72.502805836139203</v>
      </c>
      <c r="CQ66" s="767"/>
      <c r="CR66" s="793">
        <f t="shared" si="132"/>
        <v>70.850093858943495</v>
      </c>
      <c r="CS66" s="767"/>
      <c r="CT66" s="793">
        <f t="shared" ref="CT66" si="133">CT11/CT$17*100</f>
        <v>70.644520021992008</v>
      </c>
      <c r="CU66" s="767"/>
      <c r="CV66" s="793">
        <f t="shared" ref="CV66" si="134">CV11/CV$17*100</f>
        <v>70.794728710316022</v>
      </c>
      <c r="CW66" s="767"/>
      <c r="CX66" s="793">
        <f t="shared" ref="CX66" si="135">CX11/CX$17*100</f>
        <v>71.459988653341156</v>
      </c>
      <c r="CY66" s="767"/>
      <c r="CZ66" s="793">
        <f t="shared" ref="CZ66" si="136">CZ11/CZ$17*100</f>
        <v>71.821505056619912</v>
      </c>
      <c r="DA66" s="767"/>
      <c r="DB66" s="753"/>
      <c r="DC66" s="793">
        <f t="shared" si="90"/>
        <v>0</v>
      </c>
      <c r="DD66" s="767"/>
      <c r="DE66" s="793">
        <f t="shared" si="91"/>
        <v>66.490116334058484</v>
      </c>
      <c r="DF66" s="767"/>
      <c r="DG66" s="793">
        <f t="shared" si="92"/>
        <v>635.05154639175839</v>
      </c>
      <c r="DH66" s="767"/>
      <c r="DI66" s="793">
        <f t="shared" si="93"/>
        <v>-248.5185185185189</v>
      </c>
      <c r="DJ66" s="767"/>
      <c r="DK66" s="793">
        <f t="shared" si="94"/>
        <v>54.824673662656664</v>
      </c>
      <c r="DL66" s="767"/>
      <c r="DM66" s="793">
        <f t="shared" si="95"/>
        <v>49.574215802522318</v>
      </c>
      <c r="DN66" s="767"/>
      <c r="DO66" s="793">
        <f t="shared" si="96"/>
        <v>51.951490306601841</v>
      </c>
      <c r="DP66" s="767"/>
      <c r="DQ66" s="793">
        <f t="shared" si="97"/>
        <v>53.035119001472943</v>
      </c>
      <c r="DR66" s="767"/>
      <c r="DS66" s="793">
        <f t="shared" si="98"/>
        <v>54.647716044691016</v>
      </c>
      <c r="DT66" s="767"/>
      <c r="DU66" s="793">
        <f t="shared" si="99"/>
        <v>57.942306243880445</v>
      </c>
      <c r="DV66" s="767"/>
      <c r="DW66" s="793">
        <f t="shared" si="100"/>
        <v>220.72412861388818</v>
      </c>
      <c r="DX66" s="767"/>
      <c r="DY66" s="793">
        <f t="shared" si="101"/>
        <v>67.112597547380162</v>
      </c>
      <c r="DZ66" s="767"/>
      <c r="EA66" s="793">
        <f t="shared" si="102"/>
        <v>68.886927212904311</v>
      </c>
      <c r="EB66" s="767"/>
      <c r="EC66" s="793">
        <f t="shared" si="103"/>
        <v>142.11942809083274</v>
      </c>
      <c r="ED66" s="767"/>
      <c r="EE66" s="793">
        <f t="shared" si="103"/>
        <v>66.297480695733583</v>
      </c>
      <c r="EF66" s="767"/>
      <c r="EG66" s="793">
        <f t="shared" ref="EG66:EI66" si="137">EG11/EG$17*100</f>
        <v>69.074423876086072</v>
      </c>
      <c r="EH66" s="767"/>
      <c r="EI66" s="793">
        <f t="shared" si="137"/>
        <v>70.9566317565193</v>
      </c>
      <c r="EJ66" s="767"/>
      <c r="EK66" s="793">
        <f t="shared" ref="EK66" si="138">EK11/EK$17*100</f>
        <v>71.183023805769594</v>
      </c>
      <c r="EL66" s="767"/>
      <c r="EM66" s="793">
        <f t="shared" si="106"/>
        <v>71.700315372392367</v>
      </c>
      <c r="EN66" s="767"/>
      <c r="EO66" s="793">
        <f t="shared" si="106"/>
        <v>71.954963423734654</v>
      </c>
      <c r="EP66" s="767"/>
      <c r="EQ66" s="793">
        <f t="shared" ref="EQ66:ES66" si="139">EQ11/EQ$17*100</f>
        <v>72.151598478107431</v>
      </c>
      <c r="ER66" s="767"/>
      <c r="ES66" s="793">
        <f t="shared" si="139"/>
        <v>72.351987333615696</v>
      </c>
      <c r="ET66" s="767"/>
      <c r="EU66" s="723">
        <f t="shared" si="108"/>
        <v>-12.788546845599246</v>
      </c>
      <c r="EV66" s="710"/>
    </row>
    <row r="67" spans="1:152" ht="12.75" customHeight="1" x14ac:dyDescent="0.2">
      <c r="A67" s="754" t="str">
        <f>INPUT!B450</f>
        <v>Unum Limited (%)</v>
      </c>
      <c r="B67" s="793">
        <f t="shared" si="109"/>
        <v>26.970748636589015</v>
      </c>
      <c r="C67" s="767"/>
      <c r="D67" s="793">
        <f t="shared" si="109"/>
        <v>25.91224018475755</v>
      </c>
      <c r="E67" s="767"/>
      <c r="F67" s="793">
        <f t="shared" si="47"/>
        <v>26.789366053169722</v>
      </c>
      <c r="G67" s="767"/>
      <c r="H67" s="793">
        <f t="shared" si="48"/>
        <v>30.867924528301867</v>
      </c>
      <c r="I67" s="767"/>
      <c r="J67" s="793">
        <f t="shared" si="49"/>
        <v>27.46585735963582</v>
      </c>
      <c r="K67" s="767"/>
      <c r="L67" s="793">
        <f t="shared" si="50"/>
        <v>26.896551724137939</v>
      </c>
      <c r="M67" s="767"/>
      <c r="N67" s="793">
        <f t="shared" si="51"/>
        <v>30.030769230769256</v>
      </c>
      <c r="O67" s="767"/>
      <c r="P67" s="793">
        <f t="shared" si="52"/>
        <v>26.629726205997382</v>
      </c>
      <c r="Q67" s="767"/>
      <c r="R67" s="793">
        <f t="shared" si="53"/>
        <v>26.91570881226054</v>
      </c>
      <c r="S67" s="767"/>
      <c r="T67" s="793">
        <f t="shared" si="54"/>
        <v>27.163391023760642</v>
      </c>
      <c r="U67" s="767"/>
      <c r="V67" s="793">
        <f t="shared" si="55"/>
        <v>28.409090909090924</v>
      </c>
      <c r="W67" s="767"/>
      <c r="X67" s="793">
        <f t="shared" si="56"/>
        <v>17.601547388781427</v>
      </c>
      <c r="Y67" s="767"/>
      <c r="Z67" s="793">
        <f t="shared" si="57"/>
        <v>19.765228426395947</v>
      </c>
      <c r="AA67" s="767"/>
      <c r="AB67" s="793">
        <f t="shared" si="58"/>
        <v>20.778017906761338</v>
      </c>
      <c r="AC67" s="767"/>
      <c r="AD67" s="793">
        <f t="shared" si="59"/>
        <v>18.360963403190496</v>
      </c>
      <c r="AE67" s="767"/>
      <c r="AF67" s="793">
        <f t="shared" si="60"/>
        <v>19.049098819142333</v>
      </c>
      <c r="AG67" s="767"/>
      <c r="AH67" s="793">
        <f t="shared" si="61"/>
        <v>17.818288738606299</v>
      </c>
      <c r="AI67" s="767"/>
      <c r="AJ67" s="793">
        <f t="shared" si="62"/>
        <v>15.366705471478459</v>
      </c>
      <c r="AK67" s="767"/>
      <c r="AL67" s="793">
        <f t="shared" si="63"/>
        <v>14.46731234866828</v>
      </c>
      <c r="AM67" s="767"/>
      <c r="AN67" s="793">
        <f t="shared" si="64"/>
        <v>15.2423469387755</v>
      </c>
      <c r="AO67" s="767"/>
      <c r="AP67" s="793">
        <f t="shared" si="65"/>
        <v>15.271705184259845</v>
      </c>
      <c r="AQ67" s="767"/>
      <c r="AR67" s="793">
        <f t="shared" si="66"/>
        <v>15.949147645189251</v>
      </c>
      <c r="AS67" s="767"/>
      <c r="AT67" s="793">
        <f t="shared" si="67"/>
        <v>10.823456019962565</v>
      </c>
      <c r="AU67" s="767"/>
      <c r="AV67" s="793">
        <f t="shared" si="68"/>
        <v>-8.4143968871595298</v>
      </c>
      <c r="AW67" s="767"/>
      <c r="AX67" s="793">
        <f t="shared" si="69"/>
        <v>12.548512289780076</v>
      </c>
      <c r="AY67" s="767"/>
      <c r="AZ67" s="793">
        <f t="shared" si="70"/>
        <v>9.6742986133505244</v>
      </c>
      <c r="BA67" s="767"/>
      <c r="BB67" s="793">
        <f t="shared" si="71"/>
        <v>8.850981654328935</v>
      </c>
      <c r="BC67" s="767"/>
      <c r="BD67" s="793">
        <f t="shared" si="72"/>
        <v>11.30125928317727</v>
      </c>
      <c r="BE67" s="767"/>
      <c r="BF67" s="793">
        <f t="shared" si="73"/>
        <v>10.032051282051283</v>
      </c>
      <c r="BG67" s="767"/>
      <c r="BH67" s="793">
        <f t="shared" si="74"/>
        <v>10.638297872340429</v>
      </c>
      <c r="BI67" s="767"/>
      <c r="BJ67" s="793">
        <f t="shared" si="75"/>
        <v>9.8925410872313542</v>
      </c>
      <c r="BK67" s="767"/>
      <c r="BL67" s="793">
        <f t="shared" si="76"/>
        <v>11.856010568031708</v>
      </c>
      <c r="BM67" s="767"/>
      <c r="BN67" s="793">
        <f t="shared" si="76"/>
        <v>11.234225915666359</v>
      </c>
      <c r="BO67" s="767"/>
      <c r="BP67" s="793">
        <f t="shared" si="77"/>
        <v>12.173378419920072</v>
      </c>
      <c r="BQ67" s="767"/>
      <c r="BR67" s="793">
        <f t="shared" si="78"/>
        <v>10.561160151324083</v>
      </c>
      <c r="BS67" s="767"/>
      <c r="BT67" s="793">
        <f t="shared" si="79"/>
        <v>-10.244033252882815</v>
      </c>
      <c r="BU67" s="767"/>
      <c r="BV67" s="793">
        <f t="shared" si="79"/>
        <v>10.241910147659437</v>
      </c>
      <c r="BW67" s="767"/>
      <c r="BX67" s="793">
        <f t="shared" si="80"/>
        <v>12.006269592476485</v>
      </c>
      <c r="BY67" s="767"/>
      <c r="BZ67" s="793">
        <f t="shared" si="81"/>
        <v>10.046082949308754</v>
      </c>
      <c r="CA67" s="767"/>
      <c r="CB67" s="793">
        <f t="shared" si="82"/>
        <v>11.587848418415287</v>
      </c>
      <c r="CC67" s="767"/>
      <c r="CD67" s="793">
        <f t="shared" si="82"/>
        <v>10.348013550970139</v>
      </c>
      <c r="CE67" s="767"/>
      <c r="CF67" s="793">
        <f t="shared" ref="CF67" si="140">CF12/CF$17*100</f>
        <v>11.018214392355931</v>
      </c>
      <c r="CG67" s="767"/>
      <c r="CH67" s="793">
        <f t="shared" ref="CH67" si="141">CH12/CH$17*100</f>
        <v>8.7823108066023039</v>
      </c>
      <c r="CI67" s="767"/>
      <c r="CJ67" s="793">
        <f t="shared" ref="CJ67:CR67" si="142">CJ12/CJ$17*100</f>
        <v>8.7222870478413128</v>
      </c>
      <c r="CK67" s="767"/>
      <c r="CL67" s="793">
        <f t="shared" si="142"/>
        <v>7.8258311268020044</v>
      </c>
      <c r="CM67" s="767"/>
      <c r="CN67" s="793">
        <f t="shared" si="142"/>
        <v>8.175388967468173</v>
      </c>
      <c r="CO67" s="767"/>
      <c r="CP67" s="793">
        <f t="shared" si="142"/>
        <v>7.2671156004489283</v>
      </c>
      <c r="CQ67" s="767"/>
      <c r="CR67" s="793">
        <f t="shared" si="142"/>
        <v>7.9646017699115124</v>
      </c>
      <c r="CS67" s="767"/>
      <c r="CT67" s="793">
        <f t="shared" ref="CT67" si="143">CT12/CT$17*100</f>
        <v>8.6199069751823529</v>
      </c>
      <c r="CU67" s="767"/>
      <c r="CV67" s="793">
        <f t="shared" ref="CV67" si="144">CV12/CV$17*100</f>
        <v>8.608399408773975</v>
      </c>
      <c r="CW67" s="767"/>
      <c r="CX67" s="793">
        <f t="shared" ref="CX67" si="145">CX12/CX$17*100</f>
        <v>8.4658367514500892</v>
      </c>
      <c r="CY67" s="767"/>
      <c r="CZ67" s="793">
        <f t="shared" ref="CZ67" si="146">CZ12/CZ$17*100</f>
        <v>8.2008922985694674</v>
      </c>
      <c r="DA67" s="767"/>
      <c r="DB67" s="753"/>
      <c r="DC67" s="793">
        <f t="shared" si="90"/>
        <v>0</v>
      </c>
      <c r="DD67" s="767"/>
      <c r="DE67" s="793">
        <f t="shared" si="91"/>
        <v>6.5733472051451765</v>
      </c>
      <c r="DF67" s="767"/>
      <c r="DG67" s="793">
        <f t="shared" si="92"/>
        <v>-164.948453608249</v>
      </c>
      <c r="DH67" s="767"/>
      <c r="DI67" s="793">
        <f t="shared" si="93"/>
        <v>-112.07407407407391</v>
      </c>
      <c r="DJ67" s="767"/>
      <c r="DK67" s="793">
        <f t="shared" si="94"/>
        <v>23.291528026618877</v>
      </c>
      <c r="DL67" s="767"/>
      <c r="DM67" s="793">
        <f t="shared" si="95"/>
        <v>27.789155977147772</v>
      </c>
      <c r="DN67" s="767"/>
      <c r="DO67" s="793">
        <f t="shared" si="96"/>
        <v>27.824750192159868</v>
      </c>
      <c r="DP67" s="767"/>
      <c r="DQ67" s="793">
        <f t="shared" si="97"/>
        <v>25.118226219086736</v>
      </c>
      <c r="DR67" s="767"/>
      <c r="DS67" s="793">
        <f t="shared" si="98"/>
        <v>19.153302424564878</v>
      </c>
      <c r="DT67" s="767"/>
      <c r="DU67" s="793">
        <f t="shared" si="99"/>
        <v>15.741507870753946</v>
      </c>
      <c r="DV67" s="767"/>
      <c r="DW67" s="793">
        <f t="shared" si="100"/>
        <v>51.526614428532866</v>
      </c>
      <c r="DX67" s="767"/>
      <c r="DY67" s="793">
        <f t="shared" si="101"/>
        <v>10.455486542443062</v>
      </c>
      <c r="DZ67" s="767"/>
      <c r="EA67" s="793">
        <f t="shared" si="102"/>
        <v>10.593050316989007</v>
      </c>
      <c r="EB67" s="767"/>
      <c r="EC67" s="793">
        <f t="shared" si="103"/>
        <v>24.861227922624046</v>
      </c>
      <c r="ED67" s="767"/>
      <c r="EE67" s="793">
        <f t="shared" si="103"/>
        <v>10.966383277435453</v>
      </c>
      <c r="EF67" s="767"/>
      <c r="EG67" s="793">
        <f t="shared" ref="EG67:EI67" si="147">EG12/EG$17*100</f>
        <v>9.7166603702304428</v>
      </c>
      <c r="EH67" s="767"/>
      <c r="EI67" s="793">
        <f t="shared" si="147"/>
        <v>7.8090953820200983</v>
      </c>
      <c r="EJ67" s="767"/>
      <c r="EK67" s="793">
        <f t="shared" ref="EK67" si="148">EK12/EK$17*100</f>
        <v>8.4727957044018822</v>
      </c>
      <c r="EL67" s="767"/>
      <c r="EM67" s="793">
        <f t="shared" si="106"/>
        <v>8.6515121432360669</v>
      </c>
      <c r="EN67" s="767"/>
      <c r="EO67" s="793">
        <f t="shared" si="106"/>
        <v>8.7988541871882742</v>
      </c>
      <c r="EP67" s="767"/>
      <c r="EQ67" s="793">
        <f t="shared" ref="EQ67:ES67" si="149">EQ12/EQ$17*100</f>
        <v>8.9243533450532411</v>
      </c>
      <c r="ER67" s="767"/>
      <c r="ES67" s="793">
        <f t="shared" si="149"/>
        <v>9.0516460141988286</v>
      </c>
      <c r="ET67" s="767"/>
      <c r="EU67" s="723">
        <f t="shared" si="108"/>
        <v>-19.031910982944812</v>
      </c>
      <c r="EV67" s="710"/>
    </row>
    <row r="68" spans="1:152" ht="12.75" customHeight="1" x14ac:dyDescent="0.2">
      <c r="A68" s="754" t="str">
        <f>INPUT!B451</f>
        <v>Colonial (%)</v>
      </c>
      <c r="B68" s="793">
        <f t="shared" si="109"/>
        <v>22.905304908279646</v>
      </c>
      <c r="C68" s="767"/>
      <c r="D68" s="793">
        <f t="shared" si="109"/>
        <v>23.048498845265623</v>
      </c>
      <c r="E68" s="767"/>
      <c r="F68" s="793">
        <f t="shared" si="47"/>
        <v>21.308793456032717</v>
      </c>
      <c r="G68" s="767"/>
      <c r="H68" s="793">
        <f t="shared" si="48"/>
        <v>19.0566037735849</v>
      </c>
      <c r="I68" s="767"/>
      <c r="J68" s="793">
        <f t="shared" si="49"/>
        <v>22.610015174506827</v>
      </c>
      <c r="K68" s="767"/>
      <c r="L68" s="793">
        <f t="shared" si="50"/>
        <v>23.557168784029052</v>
      </c>
      <c r="M68" s="767"/>
      <c r="N68" s="793">
        <f t="shared" si="51"/>
        <v>19.200000000000003</v>
      </c>
      <c r="O68" s="767"/>
      <c r="P68" s="793">
        <f t="shared" si="52"/>
        <v>19.165580182529343</v>
      </c>
      <c r="Q68" s="767"/>
      <c r="R68" s="793">
        <f t="shared" si="53"/>
        <v>21.519795657726686</v>
      </c>
      <c r="S68" s="767"/>
      <c r="T68" s="793">
        <f t="shared" si="54"/>
        <v>20.005866823115312</v>
      </c>
      <c r="U68" s="767"/>
      <c r="V68" s="793">
        <f t="shared" si="55"/>
        <v>20.331695331695354</v>
      </c>
      <c r="W68" s="767"/>
      <c r="X68" s="793">
        <f t="shared" si="56"/>
        <v>21.373307543520298</v>
      </c>
      <c r="Y68" s="767"/>
      <c r="Z68" s="793">
        <f t="shared" si="57"/>
        <v>22.493654822335042</v>
      </c>
      <c r="AA68" s="767"/>
      <c r="AB68" s="793">
        <f t="shared" si="58"/>
        <v>22.012966965112689</v>
      </c>
      <c r="AC68" s="767"/>
      <c r="AD68" s="793">
        <f t="shared" si="59"/>
        <v>22.020644354081966</v>
      </c>
      <c r="AE68" s="767"/>
      <c r="AF68" s="793">
        <f t="shared" si="60"/>
        <v>21.224362958359229</v>
      </c>
      <c r="AG68" s="767"/>
      <c r="AH68" s="793">
        <f t="shared" si="61"/>
        <v>20.640987944722152</v>
      </c>
      <c r="AI68" s="767"/>
      <c r="AJ68" s="793">
        <f t="shared" si="62"/>
        <v>20.692665890570414</v>
      </c>
      <c r="AK68" s="767"/>
      <c r="AL68" s="793">
        <f t="shared" si="63"/>
        <v>21.489104116222762</v>
      </c>
      <c r="AM68" s="767"/>
      <c r="AN68" s="793">
        <f t="shared" si="64"/>
        <v>18.303571428571423</v>
      </c>
      <c r="AO68" s="767"/>
      <c r="AP68" s="793">
        <f t="shared" si="65"/>
        <v>20.768269831355394</v>
      </c>
      <c r="AQ68" s="767"/>
      <c r="AR68" s="793">
        <f t="shared" si="66"/>
        <v>20.77434267552729</v>
      </c>
      <c r="AS68" s="767"/>
      <c r="AT68" s="793">
        <f t="shared" si="67"/>
        <v>20.804741110417979</v>
      </c>
      <c r="AU68" s="767"/>
      <c r="AV68" s="793">
        <f t="shared" si="68"/>
        <v>-10.538261997405952</v>
      </c>
      <c r="AW68" s="767"/>
      <c r="AX68" s="793">
        <f t="shared" si="69"/>
        <v>22.542043984476066</v>
      </c>
      <c r="AY68" s="767"/>
      <c r="AZ68" s="793">
        <f t="shared" si="70"/>
        <v>21.799419542083196</v>
      </c>
      <c r="BA68" s="767"/>
      <c r="BB68" s="793">
        <f t="shared" si="71"/>
        <v>22.111361441905352</v>
      </c>
      <c r="BC68" s="767"/>
      <c r="BD68" s="793">
        <f t="shared" si="72"/>
        <v>22.053600258314507</v>
      </c>
      <c r="BE68" s="767"/>
      <c r="BF68" s="793">
        <f t="shared" si="73"/>
        <v>24.070512820512818</v>
      </c>
      <c r="BG68" s="767"/>
      <c r="BH68" s="793">
        <f t="shared" si="74"/>
        <v>22.483328040647816</v>
      </c>
      <c r="BI68" s="767"/>
      <c r="BJ68" s="793">
        <f t="shared" si="75"/>
        <v>21.681415929203546</v>
      </c>
      <c r="BK68" s="767"/>
      <c r="BL68" s="793">
        <f t="shared" si="76"/>
        <v>16.182298546895645</v>
      </c>
      <c r="BM68" s="767"/>
      <c r="BN68" s="793">
        <f t="shared" si="76"/>
        <v>24.345952600800256</v>
      </c>
      <c r="BO68" s="767"/>
      <c r="BP68" s="793">
        <f t="shared" si="77"/>
        <v>23.024900092222556</v>
      </c>
      <c r="BQ68" s="767"/>
      <c r="BR68" s="793">
        <f t="shared" si="78"/>
        <v>22.383354350567462</v>
      </c>
      <c r="BS68" s="767"/>
      <c r="BT68" s="793">
        <f t="shared" si="79"/>
        <v>-19.844462322338426</v>
      </c>
      <c r="BU68" s="767"/>
      <c r="BV68" s="793">
        <f t="shared" si="79"/>
        <v>24.379516179704666</v>
      </c>
      <c r="BW68" s="767"/>
      <c r="BX68" s="793">
        <f t="shared" si="80"/>
        <v>24.326018808777423</v>
      </c>
      <c r="BY68" s="767"/>
      <c r="BZ68" s="793">
        <f t="shared" si="81"/>
        <v>23.440860215053767</v>
      </c>
      <c r="CA68" s="767"/>
      <c r="CB68" s="793">
        <f t="shared" si="82"/>
        <v>24.303163169433152</v>
      </c>
      <c r="CC68" s="767"/>
      <c r="CD68" s="793">
        <f t="shared" si="82"/>
        <v>23.837388358484763</v>
      </c>
      <c r="CE68" s="767"/>
      <c r="CF68" s="793">
        <f t="shared" ref="CF68" si="150">CF13/CF$17*100</f>
        <v>23.260674828306957</v>
      </c>
      <c r="CG68" s="767"/>
      <c r="CH68" s="793">
        <f t="shared" ref="CH68" si="151">CH13/CH$17*100</f>
        <v>24.60292743693552</v>
      </c>
      <c r="CI68" s="767"/>
      <c r="CJ68" s="793">
        <f t="shared" ref="CJ68:CR68" si="152">CJ13/CJ$17*100</f>
        <v>23.308051341890312</v>
      </c>
      <c r="CK68" s="767"/>
      <c r="CL68" s="793">
        <f t="shared" si="152"/>
        <v>24.242424242424271</v>
      </c>
      <c r="CM68" s="767"/>
      <c r="CN68" s="793">
        <f t="shared" si="152"/>
        <v>23.140028288543153</v>
      </c>
      <c r="CO68" s="767"/>
      <c r="CP68" s="793">
        <f t="shared" si="152"/>
        <v>22.923681257014607</v>
      </c>
      <c r="CQ68" s="767"/>
      <c r="CR68" s="793">
        <f t="shared" si="152"/>
        <v>21.212121212121222</v>
      </c>
      <c r="CS68" s="767"/>
      <c r="CT68" s="793">
        <f t="shared" ref="CT68" si="153">CT13/CT$17*100</f>
        <v>22.22967937743536</v>
      </c>
      <c r="CU68" s="767"/>
      <c r="CV68" s="793">
        <f t="shared" ref="CV68" si="154">CV13/CV$17*100</f>
        <v>22.262099547140107</v>
      </c>
      <c r="CW68" s="767"/>
      <c r="CX68" s="793">
        <f t="shared" ref="CX68" si="155">CX13/CX$17*100</f>
        <v>22.404711634541417</v>
      </c>
      <c r="CY68" s="767"/>
      <c r="CZ68" s="793">
        <f t="shared" ref="CZ68" si="156">CZ13/CZ$17*100</f>
        <v>22.468053573699908</v>
      </c>
      <c r="DA68" s="767"/>
      <c r="DB68" s="753"/>
      <c r="DC68" s="793">
        <f t="shared" si="90"/>
        <v>205.97014925373136</v>
      </c>
      <c r="DD68" s="767"/>
      <c r="DE68" s="793">
        <f t="shared" si="91"/>
        <v>13.004823607301619</v>
      </c>
      <c r="DF68" s="767"/>
      <c r="DG68" s="793">
        <f t="shared" si="92"/>
        <v>-216.05301914580477</v>
      </c>
      <c r="DH68" s="767"/>
      <c r="DI68" s="793">
        <f t="shared" si="93"/>
        <v>-115.25925925925912</v>
      </c>
      <c r="DJ68" s="767"/>
      <c r="DK68" s="793">
        <f t="shared" si="94"/>
        <v>21.512669567443016</v>
      </c>
      <c r="DL68" s="767"/>
      <c r="DM68" s="793">
        <f t="shared" si="95"/>
        <v>21.418562035140692</v>
      </c>
      <c r="DN68" s="767"/>
      <c r="DO68" s="793">
        <f t="shared" si="96"/>
        <v>20.983858570330518</v>
      </c>
      <c r="DP68" s="767"/>
      <c r="DQ68" s="793">
        <f t="shared" si="97"/>
        <v>20.784556942398648</v>
      </c>
      <c r="DR68" s="767"/>
      <c r="DS68" s="793">
        <f t="shared" si="98"/>
        <v>20.452990803374657</v>
      </c>
      <c r="DT68" s="767"/>
      <c r="DU68" s="793">
        <f t="shared" si="99"/>
        <v>20.313323793025532</v>
      </c>
      <c r="DV68" s="767"/>
      <c r="DW68" s="793">
        <f t="shared" si="100"/>
        <v>72.980275601188879</v>
      </c>
      <c r="DX68" s="767"/>
      <c r="DY68" s="793">
        <f t="shared" si="101"/>
        <v>21.770982640547867</v>
      </c>
      <c r="DZ68" s="767"/>
      <c r="EA68" s="793">
        <f t="shared" si="102"/>
        <v>21.145975443383357</v>
      </c>
      <c r="EB68" s="767"/>
      <c r="EC68" s="793">
        <f t="shared" si="103"/>
        <v>50.294365012615607</v>
      </c>
      <c r="ED68" s="767"/>
      <c r="EE68" s="793">
        <f t="shared" si="103"/>
        <v>24.108883862413226</v>
      </c>
      <c r="EF68" s="767"/>
      <c r="EG68" s="793">
        <f t="shared" ref="EG68:EI68" si="157">EG13/EG$17*100</f>
        <v>23.74008311295805</v>
      </c>
      <c r="EH68" s="767"/>
      <c r="EI68" s="793">
        <f t="shared" si="157"/>
        <v>22.843888381246941</v>
      </c>
      <c r="EJ68" s="767"/>
      <c r="EK68" s="793">
        <f t="shared" ref="EK68" si="158">EK13/EK$17*100</f>
        <v>22.341714792867567</v>
      </c>
      <c r="EL68" s="767"/>
      <c r="EM68" s="793">
        <f t="shared" si="106"/>
        <v>22.030735993788582</v>
      </c>
      <c r="EN68" s="767"/>
      <c r="EO68" s="793">
        <f t="shared" si="106"/>
        <v>21.86123377785804</v>
      </c>
      <c r="EP68" s="767"/>
      <c r="EQ68" s="793">
        <f t="shared" ref="EQ68:ES68" si="159">EQ13/EQ$17*100</f>
        <v>21.74638021318848</v>
      </c>
      <c r="ER68" s="767"/>
      <c r="ES68" s="793">
        <f t="shared" si="159"/>
        <v>21.622343245631672</v>
      </c>
      <c r="ET68" s="767"/>
      <c r="EU68" s="723">
        <f t="shared" si="108"/>
        <v>-15.218336158674074</v>
      </c>
      <c r="EV68" s="710"/>
    </row>
    <row r="69" spans="1:152" ht="12.75" customHeight="1" x14ac:dyDescent="0.2">
      <c r="A69" s="754" t="s">
        <v>112</v>
      </c>
      <c r="B69" s="793">
        <f t="shared" si="109"/>
        <v>13.832424392662396</v>
      </c>
      <c r="C69" s="767"/>
      <c r="D69" s="793">
        <f t="shared" si="109"/>
        <v>15.334872979214795</v>
      </c>
      <c r="E69" s="767"/>
      <c r="F69" s="793">
        <f t="shared" si="47"/>
        <v>11.738241308793446</v>
      </c>
      <c r="G69" s="767"/>
      <c r="H69" s="793">
        <f t="shared" si="48"/>
        <v>10.830188679245275</v>
      </c>
      <c r="I69" s="767"/>
      <c r="J69" s="793">
        <f t="shared" si="49"/>
        <v>8.5356600910470419</v>
      </c>
      <c r="K69" s="767"/>
      <c r="L69" s="793">
        <f t="shared" si="50"/>
        <v>10.671506352087127</v>
      </c>
      <c r="M69" s="767"/>
      <c r="N69" s="793">
        <f t="shared" si="51"/>
        <v>9.0461538461538442</v>
      </c>
      <c r="O69" s="767"/>
      <c r="P69" s="793">
        <f t="shared" si="52"/>
        <v>4.8891786179921768</v>
      </c>
      <c r="Q69" s="767"/>
      <c r="R69" s="793">
        <f t="shared" si="53"/>
        <v>0.92592592592591871</v>
      </c>
      <c r="S69" s="767"/>
      <c r="T69" s="793">
        <f t="shared" si="54"/>
        <v>4.4587855676151369</v>
      </c>
      <c r="U69" s="767"/>
      <c r="V69" s="793">
        <f t="shared" si="55"/>
        <v>0.76781326781325077</v>
      </c>
      <c r="W69" s="767"/>
      <c r="X69" s="793">
        <f t="shared" si="56"/>
        <v>2.2888459058671882</v>
      </c>
      <c r="Y69" s="767"/>
      <c r="Z69" s="793">
        <f t="shared" si="57"/>
        <v>3.5850253807106465</v>
      </c>
      <c r="AA69" s="767"/>
      <c r="AB69" s="793">
        <f t="shared" si="58"/>
        <v>3.0873726458783386</v>
      </c>
      <c r="AC69" s="767"/>
      <c r="AD69" s="793">
        <f t="shared" si="59"/>
        <v>2.2521113543947426</v>
      </c>
      <c r="AE69" s="767"/>
      <c r="AF69" s="793">
        <f t="shared" si="60"/>
        <v>1.8023617153511546</v>
      </c>
      <c r="AG69" s="767"/>
      <c r="AH69" s="793">
        <f t="shared" si="61"/>
        <v>10.555718906204051</v>
      </c>
      <c r="AI69" s="767"/>
      <c r="AJ69" s="793">
        <f t="shared" si="62"/>
        <v>6.9266589057042944</v>
      </c>
      <c r="AK69" s="767"/>
      <c r="AL69" s="793">
        <f t="shared" si="63"/>
        <v>8.9891041162227729</v>
      </c>
      <c r="AM69" s="767"/>
      <c r="AN69" s="793">
        <f t="shared" si="64"/>
        <v>9.3112244897959613</v>
      </c>
      <c r="AO69" s="767"/>
      <c r="AP69" s="793">
        <f t="shared" si="65"/>
        <v>9.9625234228606736</v>
      </c>
      <c r="AQ69" s="767"/>
      <c r="AR69" s="793">
        <f t="shared" si="66"/>
        <v>8.7835885582202238</v>
      </c>
      <c r="AS69" s="767"/>
      <c r="AT69" s="793">
        <f t="shared" si="67"/>
        <v>9.606986899563303</v>
      </c>
      <c r="AU69" s="767"/>
      <c r="AV69" s="793">
        <f t="shared" si="68"/>
        <v>149.529831387808</v>
      </c>
      <c r="AW69" s="767"/>
      <c r="AX69" s="793">
        <f t="shared" si="69"/>
        <v>4.9805950840879625</v>
      </c>
      <c r="AY69" s="767"/>
      <c r="AZ69" s="793">
        <f t="shared" si="70"/>
        <v>8.2876491454369727</v>
      </c>
      <c r="BA69" s="767"/>
      <c r="BB69" s="793">
        <f t="shared" si="71"/>
        <v>8.2394592854843971</v>
      </c>
      <c r="BC69" s="767"/>
      <c r="BD69" s="793">
        <f t="shared" si="72"/>
        <v>9.2993219244429959</v>
      </c>
      <c r="BE69" s="767"/>
      <c r="BF69" s="793">
        <f t="shared" si="73"/>
        <v>8.5256410256410664</v>
      </c>
      <c r="BG69" s="767"/>
      <c r="BH69" s="793">
        <f t="shared" si="74"/>
        <v>9.2410288980628863</v>
      </c>
      <c r="BI69" s="767"/>
      <c r="BJ69" s="793">
        <f t="shared" si="75"/>
        <v>7.9013906447534756</v>
      </c>
      <c r="BK69" s="767"/>
      <c r="BL69" s="793">
        <f t="shared" si="76"/>
        <v>8.7846763540290702</v>
      </c>
      <c r="BM69" s="767"/>
      <c r="BN69" s="793">
        <f t="shared" si="76"/>
        <v>8.710372422283772</v>
      </c>
      <c r="BO69" s="767"/>
      <c r="BP69" s="793">
        <f t="shared" si="77"/>
        <v>11.251152782047383</v>
      </c>
      <c r="BQ69" s="767"/>
      <c r="BR69" s="793">
        <f t="shared" si="78"/>
        <v>8.1021437578814766</v>
      </c>
      <c r="BS69" s="767"/>
      <c r="BT69" s="793">
        <f t="shared" si="79"/>
        <v>179.35103244837757</v>
      </c>
      <c r="BU69" s="767"/>
      <c r="BV69" s="793">
        <f t="shared" si="79"/>
        <v>8.3883129123468194</v>
      </c>
      <c r="BW69" s="767"/>
      <c r="BX69" s="793">
        <f t="shared" si="80"/>
        <v>11.473354231974895</v>
      </c>
      <c r="BY69" s="767"/>
      <c r="BZ69" s="793">
        <f t="shared" si="81"/>
        <v>8.5099846390169063</v>
      </c>
      <c r="CA69" s="767"/>
      <c r="CB69" s="793">
        <f t="shared" si="82"/>
        <v>8.8005010961477623</v>
      </c>
      <c r="CC69" s="767"/>
      <c r="CD69" s="793">
        <f t="shared" si="82"/>
        <v>10.378811210347964</v>
      </c>
      <c r="CE69" s="767"/>
      <c r="CF69" s="793">
        <f t="shared" ref="CF69" si="160">CF14/CF$17*100</f>
        <v>9.7342490295610382</v>
      </c>
      <c r="CG69" s="767"/>
      <c r="CH69" s="793">
        <f t="shared" ref="CH69" si="161">CH14/CH$17*100</f>
        <v>8.9068825910931189</v>
      </c>
      <c r="CI69" s="767"/>
      <c r="CJ69" s="793">
        <f t="shared" ref="CJ69:CR69" si="162">CJ14/CJ$17*100</f>
        <v>10.093348891481922</v>
      </c>
      <c r="CK69" s="767"/>
      <c r="CL69" s="793">
        <f t="shared" si="162"/>
        <v>9.2968520152985974</v>
      </c>
      <c r="CM69" s="767"/>
      <c r="CN69" s="793">
        <f t="shared" si="162"/>
        <v>9.2220650636492252</v>
      </c>
      <c r="CO69" s="767"/>
      <c r="CP69" s="793">
        <f t="shared" si="162"/>
        <v>7.4635241301908044</v>
      </c>
      <c r="CQ69" s="767"/>
      <c r="CR69" s="793">
        <f t="shared" si="162"/>
        <v>8.8763743631000072</v>
      </c>
      <c r="CS69" s="767"/>
      <c r="CT69" s="793">
        <f t="shared" ref="CT69" si="163">CT14/CT$17*100</f>
        <v>8.5770321708898773</v>
      </c>
      <c r="CU69" s="767"/>
      <c r="CV69" s="793">
        <f t="shared" ref="CV69" si="164">CV14/CV$17*100</f>
        <v>8.3397166118395116</v>
      </c>
      <c r="CW69" s="767"/>
      <c r="CX69" s="793">
        <f t="shared" ref="CX69" si="165">CX14/CX$17*100</f>
        <v>8.1284989261076142</v>
      </c>
      <c r="CY69" s="767"/>
      <c r="CZ69" s="793">
        <f t="shared" ref="CZ69" si="166">CZ14/CZ$17*100</f>
        <v>7.9009827414031131</v>
      </c>
      <c r="DA69" s="767"/>
      <c r="DB69" s="753"/>
      <c r="DC69" s="793">
        <f t="shared" si="90"/>
        <v>0</v>
      </c>
      <c r="DD69" s="767"/>
      <c r="DE69" s="793">
        <f t="shared" si="91"/>
        <v>7.8501844320438785</v>
      </c>
      <c r="DF69" s="767"/>
      <c r="DG69" s="793">
        <f t="shared" si="92"/>
        <v>-92.047128129603578</v>
      </c>
      <c r="DH69" s="767"/>
      <c r="DI69" s="793">
        <f t="shared" si="93"/>
        <v>609.48148148148096</v>
      </c>
      <c r="DJ69" s="767"/>
      <c r="DK69" s="793">
        <f t="shared" si="94"/>
        <v>14.614793959559755</v>
      </c>
      <c r="DL69" s="767"/>
      <c r="DM69" s="793">
        <f t="shared" si="95"/>
        <v>12.773525924328933</v>
      </c>
      <c r="DN69" s="767"/>
      <c r="DO69" s="793">
        <f t="shared" si="96"/>
        <v>8.224442736356643</v>
      </c>
      <c r="DP69" s="767"/>
      <c r="DQ69" s="793">
        <f t="shared" si="97"/>
        <v>2.1474532909527557</v>
      </c>
      <c r="DR69" s="767"/>
      <c r="DS69" s="793">
        <f t="shared" si="98"/>
        <v>9.4246408755794775</v>
      </c>
      <c r="DT69" s="767"/>
      <c r="DU69" s="793">
        <f t="shared" si="99"/>
        <v>8.932740830006777</v>
      </c>
      <c r="DV69" s="767"/>
      <c r="DW69" s="793">
        <f t="shared" si="100"/>
        <v>-224.04755471494209</v>
      </c>
      <c r="DX69" s="767"/>
      <c r="DY69" s="793">
        <f t="shared" si="101"/>
        <v>7.5410097149227511</v>
      </c>
      <c r="DZ69" s="767"/>
      <c r="EA69" s="793">
        <f t="shared" si="102"/>
        <v>8.6108659016130122</v>
      </c>
      <c r="EB69" s="767"/>
      <c r="EC69" s="793">
        <f t="shared" si="103"/>
        <v>-97.258200168208546</v>
      </c>
      <c r="ED69" s="767"/>
      <c r="EE69" s="793">
        <f t="shared" si="103"/>
        <v>9.289447001013956</v>
      </c>
      <c r="EF69" s="767"/>
      <c r="EG69" s="793">
        <f t="shared" ref="EG69:EI69" si="167">EG14/EG$17*100</f>
        <v>9.7846618813751682</v>
      </c>
      <c r="EH69" s="767"/>
      <c r="EI69" s="793">
        <f t="shared" si="167"/>
        <v>8.708793139804575</v>
      </c>
      <c r="EJ69" s="767"/>
      <c r="EK69" s="793">
        <f t="shared" ref="EK69" si="168">EK14/EK$17*100</f>
        <v>8.2350118901335847</v>
      </c>
      <c r="EL69" s="767"/>
      <c r="EM69" s="793">
        <f t="shared" si="106"/>
        <v>7.8513243563911956</v>
      </c>
      <c r="EN69" s="767"/>
      <c r="EO69" s="793">
        <f t="shared" si="106"/>
        <v>7.4563401801896898</v>
      </c>
      <c r="EP69" s="767"/>
      <c r="EQ69" s="793">
        <f t="shared" ref="EQ69:ES69" si="169">EQ14/EQ$17*100</f>
        <v>7.062517214371236</v>
      </c>
      <c r="ER69" s="767"/>
      <c r="ES69" s="793">
        <f t="shared" si="169"/>
        <v>6.7208932025049091</v>
      </c>
      <c r="ET69" s="767"/>
      <c r="EU69" s="723" t="str">
        <f t="shared" si="108"/>
        <v>NM</v>
      </c>
      <c r="EV69" s="710"/>
    </row>
    <row r="70" spans="1:152" ht="12.75" customHeight="1" x14ac:dyDescent="0.2">
      <c r="A70" s="754" t="str">
        <f>INPUT!B453</f>
        <v>Corporate &amp; Other (%)</v>
      </c>
      <c r="B70" s="793">
        <f t="shared" si="109"/>
        <v>-13.931581556767474</v>
      </c>
      <c r="C70" s="767"/>
      <c r="D70" s="793">
        <f t="shared" si="109"/>
        <v>-12.563510392609716</v>
      </c>
      <c r="E70" s="767"/>
      <c r="F70" s="793">
        <f t="shared" si="47"/>
        <v>-8.1799591002044956</v>
      </c>
      <c r="G70" s="767"/>
      <c r="H70" s="793">
        <f t="shared" si="48"/>
        <v>-12.037735849056599</v>
      </c>
      <c r="I70" s="767"/>
      <c r="J70" s="793">
        <f t="shared" si="49"/>
        <v>-10.546282245827014</v>
      </c>
      <c r="K70" s="767"/>
      <c r="L70" s="793">
        <f t="shared" si="50"/>
        <v>-16.551724137931036</v>
      </c>
      <c r="M70" s="767"/>
      <c r="N70" s="793">
        <f t="shared" si="51"/>
        <v>-6.8307692307692349</v>
      </c>
      <c r="O70" s="767"/>
      <c r="P70" s="793">
        <f t="shared" si="52"/>
        <v>-3.1290743155149912</v>
      </c>
      <c r="Q70" s="767"/>
      <c r="R70" s="793">
        <f t="shared" si="53"/>
        <v>9.5785440613025921E-2</v>
      </c>
      <c r="S70" s="767"/>
      <c r="T70" s="793">
        <f t="shared" si="54"/>
        <v>-1.9653857436198301</v>
      </c>
      <c r="U70" s="767"/>
      <c r="V70" s="793">
        <f t="shared" si="55"/>
        <v>-2.2113022113022174</v>
      </c>
      <c r="W70" s="767"/>
      <c r="X70" s="793">
        <f t="shared" si="56"/>
        <v>-0.12894906511927734</v>
      </c>
      <c r="Y70" s="767"/>
      <c r="Z70" s="793">
        <f t="shared" si="57"/>
        <v>-4.0926395939086317</v>
      </c>
      <c r="AA70" s="767"/>
      <c r="AB70" s="793">
        <f t="shared" si="58"/>
        <v>-4.93979623340537</v>
      </c>
      <c r="AC70" s="767"/>
      <c r="AD70" s="793">
        <f t="shared" si="59"/>
        <v>-4.285267438223336</v>
      </c>
      <c r="AE70" s="767"/>
      <c r="AF70" s="793">
        <f t="shared" si="60"/>
        <v>-5.1584835301429521</v>
      </c>
      <c r="AG70" s="767"/>
      <c r="AH70" s="793">
        <f t="shared" si="61"/>
        <v>-2.6756836224639802</v>
      </c>
      <c r="AI70" s="767"/>
      <c r="AJ70" s="793">
        <f t="shared" si="62"/>
        <v>-1.4260768335273561</v>
      </c>
      <c r="AK70" s="767"/>
      <c r="AL70" s="793">
        <f t="shared" si="63"/>
        <v>-2.754237288135593</v>
      </c>
      <c r="AM70" s="767"/>
      <c r="AN70" s="793">
        <f t="shared" si="64"/>
        <v>-5.0382653061224438</v>
      </c>
      <c r="AO70" s="767"/>
      <c r="AP70" s="793">
        <f t="shared" si="65"/>
        <v>-6.8082448469706458</v>
      </c>
      <c r="AQ70" s="767"/>
      <c r="AR70" s="793">
        <f t="shared" si="66"/>
        <v>-4.9118751805836434</v>
      </c>
      <c r="AS70" s="767"/>
      <c r="AT70" s="793">
        <f t="shared" si="67"/>
        <v>-6.4878353087960079</v>
      </c>
      <c r="AU70" s="767"/>
      <c r="AV70" s="793">
        <f t="shared" si="68"/>
        <v>3.0479896238651083</v>
      </c>
      <c r="AW70" s="767"/>
      <c r="AX70" s="793">
        <f t="shared" si="69"/>
        <v>-6.6623544631306615</v>
      </c>
      <c r="AY70" s="767"/>
      <c r="AZ70" s="793">
        <f t="shared" si="70"/>
        <v>-8.3521444695259639</v>
      </c>
      <c r="BA70" s="767"/>
      <c r="BB70" s="793">
        <f t="shared" si="71"/>
        <v>-8.8187962664950099</v>
      </c>
      <c r="BC70" s="767"/>
      <c r="BD70" s="793">
        <f t="shared" si="72"/>
        <v>-11.172102034226672</v>
      </c>
      <c r="BE70" s="767"/>
      <c r="BF70" s="793">
        <f t="shared" si="73"/>
        <v>-8.3974358974358925</v>
      </c>
      <c r="BG70" s="767"/>
      <c r="BH70" s="793">
        <f t="shared" si="74"/>
        <v>-9.3998094633216933</v>
      </c>
      <c r="BI70" s="767"/>
      <c r="BJ70" s="793">
        <f t="shared" si="75"/>
        <v>-8.0278128950695304</v>
      </c>
      <c r="BK70" s="767"/>
      <c r="BL70" s="793">
        <f t="shared" si="76"/>
        <v>-11.195508586525763</v>
      </c>
      <c r="BM70" s="767"/>
      <c r="BN70" s="793">
        <f t="shared" si="76"/>
        <v>-8.1563558017851712</v>
      </c>
      <c r="BO70" s="767"/>
      <c r="BP70" s="793">
        <f t="shared" si="77"/>
        <v>-12.788195511835228</v>
      </c>
      <c r="BQ70" s="767"/>
      <c r="BR70" s="793">
        <f t="shared" si="78"/>
        <v>-7.9129886506935661</v>
      </c>
      <c r="BS70" s="767"/>
      <c r="BT70" s="793">
        <f t="shared" si="79"/>
        <v>6.9187449718423153</v>
      </c>
      <c r="BU70" s="767"/>
      <c r="BV70" s="793">
        <f t="shared" si="79"/>
        <v>-10.33616085453974</v>
      </c>
      <c r="BW70" s="767"/>
      <c r="BX70" s="793">
        <f t="shared" si="80"/>
        <v>-11.379310344827587</v>
      </c>
      <c r="BY70" s="767"/>
      <c r="BZ70" s="793">
        <f t="shared" si="81"/>
        <v>-9.1858678955453072</v>
      </c>
      <c r="CA70" s="767"/>
      <c r="CB70" s="793">
        <f t="shared" si="82"/>
        <v>-11.775759473849048</v>
      </c>
      <c r="CC70" s="767"/>
      <c r="CD70" s="793">
        <f t="shared" si="82"/>
        <v>-11.056359716661539</v>
      </c>
      <c r="CE70" s="767"/>
      <c r="CF70" s="793">
        <f t="shared" ref="CF70" si="170">CF15/CF$17*100</f>
        <v>-11.854284861152586</v>
      </c>
      <c r="CG70" s="767"/>
      <c r="CH70" s="793">
        <f t="shared" ref="CH70" si="171">CH15/CH$17*100</f>
        <v>-14.232326378075358</v>
      </c>
      <c r="CI70" s="767"/>
      <c r="CJ70" s="793">
        <f t="shared" ref="CJ70:CR70" si="172">CJ15/CJ$17*100</f>
        <v>-12.164527421236876</v>
      </c>
      <c r="CK70" s="767"/>
      <c r="CL70" s="793">
        <f t="shared" si="172"/>
        <v>-11.709326272433078</v>
      </c>
      <c r="CM70" s="767"/>
      <c r="CN70" s="793">
        <f t="shared" si="172"/>
        <v>-10.636492220650631</v>
      </c>
      <c r="CO70" s="767"/>
      <c r="CP70" s="793">
        <f t="shared" si="172"/>
        <v>-10.157126823793492</v>
      </c>
      <c r="CQ70" s="767"/>
      <c r="CR70" s="793">
        <f t="shared" si="172"/>
        <v>-8.9031912040761636</v>
      </c>
      <c r="CS70" s="767"/>
      <c r="CT70" s="793">
        <f t="shared" ref="CT70" si="173">CT15/CT$17*100</f>
        <v>-10.071138545499601</v>
      </c>
      <c r="CU70" s="767"/>
      <c r="CV70" s="793">
        <f t="shared" ref="CV70" si="174">CV15/CV$17*100</f>
        <v>-10.00494427806963</v>
      </c>
      <c r="CW70" s="767"/>
      <c r="CX70" s="793">
        <f t="shared" ref="CX70" si="175">CX15/CX$17*100</f>
        <v>-10.459035965440224</v>
      </c>
      <c r="CY70" s="767"/>
      <c r="CZ70" s="793">
        <f t="shared" ref="CZ70" si="176">CZ15/CZ$17*100</f>
        <v>-10.391433670292445</v>
      </c>
      <c r="DA70" s="767"/>
      <c r="DB70" s="753"/>
      <c r="DC70" s="793">
        <f t="shared" si="90"/>
        <v>0</v>
      </c>
      <c r="DD70" s="767"/>
      <c r="DE70" s="793">
        <f t="shared" si="91"/>
        <v>-8.5784545540527741</v>
      </c>
      <c r="DF70" s="767"/>
      <c r="DG70" s="793">
        <f t="shared" si="92"/>
        <v>222.97496318115103</v>
      </c>
      <c r="DH70" s="767"/>
      <c r="DI70" s="793">
        <f t="shared" si="93"/>
        <v>80.222222222222172</v>
      </c>
      <c r="DJ70" s="767"/>
      <c r="DK70" s="793">
        <f t="shared" si="94"/>
        <v>-14.243665216278453</v>
      </c>
      <c r="DL70" s="767"/>
      <c r="DM70" s="793">
        <f t="shared" si="95"/>
        <v>-11.555459739139803</v>
      </c>
      <c r="DN70" s="767"/>
      <c r="DO70" s="793">
        <f t="shared" si="96"/>
        <v>-8.9845418054488029</v>
      </c>
      <c r="DP70" s="767"/>
      <c r="DQ70" s="793">
        <f t="shared" si="97"/>
        <v>-1.0853554539111538</v>
      </c>
      <c r="DR70" s="767"/>
      <c r="DS70" s="793">
        <f t="shared" si="98"/>
        <v>-3.6786501482100809</v>
      </c>
      <c r="DT70" s="767"/>
      <c r="DU70" s="793">
        <f t="shared" si="99"/>
        <v>-2.9298787376666438</v>
      </c>
      <c r="DV70" s="767"/>
      <c r="DW70" s="793">
        <f t="shared" si="100"/>
        <v>-21.183463928667933</v>
      </c>
      <c r="DX70" s="767"/>
      <c r="DY70" s="793">
        <f t="shared" si="101"/>
        <v>-6.8800764452938408</v>
      </c>
      <c r="DZ70" s="767"/>
      <c r="EA70" s="793">
        <f t="shared" si="102"/>
        <v>-9.2368188748896554</v>
      </c>
      <c r="EB70" s="767"/>
      <c r="EC70" s="793">
        <f t="shared" si="103"/>
        <v>-20.016820857863753</v>
      </c>
      <c r="ED70" s="767"/>
      <c r="EE70" s="793">
        <f t="shared" si="103"/>
        <v>-10.662194836596212</v>
      </c>
      <c r="EF70" s="767"/>
      <c r="EG70" s="793">
        <f t="shared" ref="EG70:EI70" si="177">EG15/EG$17*100</f>
        <v>-12.315829240649782</v>
      </c>
      <c r="EH70" s="767"/>
      <c r="EI70" s="793">
        <f t="shared" si="177"/>
        <v>-10.31840865959092</v>
      </c>
      <c r="EJ70" s="767"/>
      <c r="EK70" s="793">
        <f t="shared" ref="EK70" si="178">EK15/EK$17*100</f>
        <v>-10.232546193172738</v>
      </c>
      <c r="EL70" s="767"/>
      <c r="EM70" s="793">
        <f t="shared" si="106"/>
        <v>-10.233887865808287</v>
      </c>
      <c r="EN70" s="767"/>
      <c r="EO70" s="793">
        <f t="shared" si="106"/>
        <v>-10.071391568970611</v>
      </c>
      <c r="EP70" s="767"/>
      <c r="EQ70" s="793">
        <f t="shared" ref="EQ70:ES70" si="179">EQ15/EQ$17*100</f>
        <v>-9.8848492507203662</v>
      </c>
      <c r="ER70" s="767"/>
      <c r="ES70" s="793">
        <f t="shared" si="179"/>
        <v>-9.7468697959511008</v>
      </c>
      <c r="ET70" s="767"/>
      <c r="EU70" s="723">
        <f t="shared" si="108"/>
        <v>-12.556182270024452</v>
      </c>
      <c r="EV70" s="710"/>
    </row>
    <row r="71" spans="1:152" ht="12.75" customHeight="1" x14ac:dyDescent="0.2">
      <c r="A71" s="749" t="str">
        <f>INPUT!B454</f>
        <v>Total (%)</v>
      </c>
      <c r="B71" s="793">
        <f>B17/B$17*100</f>
        <v>100</v>
      </c>
      <c r="C71" s="767"/>
      <c r="D71" s="793">
        <f>D17/D$17*100</f>
        <v>100</v>
      </c>
      <c r="E71" s="767"/>
      <c r="F71" s="793">
        <f>F17/F$17*100</f>
        <v>100</v>
      </c>
      <c r="G71" s="767"/>
      <c r="H71" s="793">
        <f>H17/H$17*100</f>
        <v>100</v>
      </c>
      <c r="I71" s="767"/>
      <c r="J71" s="793">
        <f>J17/J$17*100</f>
        <v>100</v>
      </c>
      <c r="K71" s="767"/>
      <c r="L71" s="793">
        <f>L17/L$17*100</f>
        <v>100</v>
      </c>
      <c r="M71" s="767"/>
      <c r="N71" s="793">
        <f>N17/N$17*100</f>
        <v>100</v>
      </c>
      <c r="O71" s="767"/>
      <c r="P71" s="793">
        <f>P17/P$17*100</f>
        <v>100</v>
      </c>
      <c r="Q71" s="767"/>
      <c r="R71" s="793">
        <f>R17/R$17*100</f>
        <v>100</v>
      </c>
      <c r="S71" s="767"/>
      <c r="T71" s="793">
        <f>T17/T$17*100</f>
        <v>100</v>
      </c>
      <c r="U71" s="767"/>
      <c r="V71" s="793">
        <f>V17/V$17*100</f>
        <v>100</v>
      </c>
      <c r="W71" s="767"/>
      <c r="X71" s="793">
        <f>X17/X$17*100</f>
        <v>100</v>
      </c>
      <c r="Y71" s="767"/>
      <c r="Z71" s="793">
        <f>Z17/Z$17*100</f>
        <v>100</v>
      </c>
      <c r="AA71" s="767"/>
      <c r="AB71" s="793">
        <f>AB17/AB$17*100</f>
        <v>100</v>
      </c>
      <c r="AC71" s="767"/>
      <c r="AD71" s="793">
        <f>AD17/AD$17*100</f>
        <v>100</v>
      </c>
      <c r="AE71" s="767"/>
      <c r="AF71" s="793">
        <f>AF17/AF$17*100</f>
        <v>100</v>
      </c>
      <c r="AG71" s="767"/>
      <c r="AH71" s="793">
        <f>AH17/AH$17*100</f>
        <v>100</v>
      </c>
      <c r="AI71" s="767"/>
      <c r="AJ71" s="793">
        <f>AJ17/AJ$17*100</f>
        <v>100</v>
      </c>
      <c r="AK71" s="767"/>
      <c r="AL71" s="793">
        <f>AL17/AL$17*100</f>
        <v>100</v>
      </c>
      <c r="AM71" s="767"/>
      <c r="AN71" s="793">
        <f>AN17/AN$17*100</f>
        <v>100</v>
      </c>
      <c r="AO71" s="767"/>
      <c r="AP71" s="793">
        <f>AP17/AP$17*100</f>
        <v>100</v>
      </c>
      <c r="AQ71" s="767"/>
      <c r="AR71" s="793">
        <f>AR17/AR$17*100</f>
        <v>100</v>
      </c>
      <c r="AS71" s="767"/>
      <c r="AT71" s="793">
        <f>AT17/AT$17*100</f>
        <v>100</v>
      </c>
      <c r="AU71" s="767"/>
      <c r="AV71" s="793">
        <f>AV17/AV$17*100</f>
        <v>100</v>
      </c>
      <c r="AW71" s="767"/>
      <c r="AX71" s="793">
        <f>AX17/AX$17*100</f>
        <v>100</v>
      </c>
      <c r="AY71" s="767"/>
      <c r="AZ71" s="793">
        <f>AZ17/AZ$17*100</f>
        <v>100</v>
      </c>
      <c r="BA71" s="767"/>
      <c r="BB71" s="793">
        <f>BB17/BB$17*100</f>
        <v>100</v>
      </c>
      <c r="BC71" s="767"/>
      <c r="BD71" s="793">
        <f>BD17/BD$17*100</f>
        <v>100</v>
      </c>
      <c r="BE71" s="767"/>
      <c r="BF71" s="793">
        <f>BF17/BF$17*100</f>
        <v>100</v>
      </c>
      <c r="BG71" s="767"/>
      <c r="BH71" s="793">
        <f>BH17/BH$17*100</f>
        <v>100</v>
      </c>
      <c r="BI71" s="767"/>
      <c r="BJ71" s="793">
        <f>BJ17/BJ$17*100</f>
        <v>100</v>
      </c>
      <c r="BK71" s="767"/>
      <c r="BL71" s="793">
        <f>BL17/BL$17*100</f>
        <v>100</v>
      </c>
      <c r="BM71" s="767"/>
      <c r="BN71" s="793">
        <f>BN17/BN$17*100</f>
        <v>100</v>
      </c>
      <c r="BO71" s="767"/>
      <c r="BP71" s="793">
        <f>BP17/BP$17*100</f>
        <v>100</v>
      </c>
      <c r="BQ71" s="767"/>
      <c r="BR71" s="793">
        <f>BR17/BR$17*100</f>
        <v>100</v>
      </c>
      <c r="BS71" s="767"/>
      <c r="BT71" s="793">
        <f>BT17/BT$17*100</f>
        <v>100</v>
      </c>
      <c r="BU71" s="767"/>
      <c r="BV71" s="793">
        <f>BV17/BV$17*100</f>
        <v>100</v>
      </c>
      <c r="BW71" s="767"/>
      <c r="BX71" s="793">
        <f>BX17/BX$17*100</f>
        <v>100</v>
      </c>
      <c r="BY71" s="767"/>
      <c r="BZ71" s="793">
        <f>BZ17/BZ$17*100</f>
        <v>100</v>
      </c>
      <c r="CA71" s="767"/>
      <c r="CB71" s="793">
        <f>CB17/CB$17*100</f>
        <v>100</v>
      </c>
      <c r="CC71" s="767"/>
      <c r="CD71" s="793">
        <f>CD17/CD$17*100</f>
        <v>100</v>
      </c>
      <c r="CE71" s="767"/>
      <c r="CF71" s="793">
        <f>CF17/CF$17*100</f>
        <v>100</v>
      </c>
      <c r="CG71" s="767"/>
      <c r="CH71" s="793">
        <f>CH17/CH$17*100</f>
        <v>100</v>
      </c>
      <c r="CI71" s="767"/>
      <c r="CJ71" s="793">
        <f>CJ17/CJ$17*100</f>
        <v>100</v>
      </c>
      <c r="CK71" s="767"/>
      <c r="CL71" s="793">
        <f t="shared" ref="CL71" si="180">CL17/CL$17*100</f>
        <v>100</v>
      </c>
      <c r="CM71" s="767"/>
      <c r="CN71" s="793">
        <f t="shared" ref="CN71" si="181">CN17/CN$17*100</f>
        <v>100</v>
      </c>
      <c r="CO71" s="767"/>
      <c r="CP71" s="793">
        <f t="shared" ref="CP71" si="182">CP17/CP$17*100</f>
        <v>100</v>
      </c>
      <c r="CQ71" s="767"/>
      <c r="CR71" s="793">
        <f t="shared" ref="CR71" si="183">CR17/CR$17*100</f>
        <v>100</v>
      </c>
      <c r="CS71" s="767"/>
      <c r="CT71" s="793">
        <f t="shared" ref="CT71" si="184">CT17/CT$17*100</f>
        <v>100</v>
      </c>
      <c r="CU71" s="767"/>
      <c r="CV71" s="793">
        <f t="shared" ref="CV71" si="185">CV17/CV$17*100</f>
        <v>100</v>
      </c>
      <c r="CW71" s="767"/>
      <c r="CX71" s="793">
        <f t="shared" ref="CX71" si="186">CX17/CX$17*100</f>
        <v>100</v>
      </c>
      <c r="CY71" s="767"/>
      <c r="CZ71" s="793">
        <f t="shared" ref="CZ71" si="187">CZ17/CZ$17*100</f>
        <v>100</v>
      </c>
      <c r="DA71" s="767"/>
      <c r="DB71" s="753"/>
      <c r="DC71" s="793">
        <f>DC17/DC$17*100</f>
        <v>100</v>
      </c>
      <c r="DD71" s="767"/>
      <c r="DE71" s="793">
        <f>DE17/DE$17*100</f>
        <v>100</v>
      </c>
      <c r="DF71" s="767"/>
      <c r="DG71" s="793">
        <f>DG17/DG$17*100</f>
        <v>100</v>
      </c>
      <c r="DH71" s="767"/>
      <c r="DI71" s="793">
        <f>DI17/DI$17*100</f>
        <v>100</v>
      </c>
      <c r="DJ71" s="767"/>
      <c r="DK71" s="793">
        <f>DK17/DK$17*100</f>
        <v>100</v>
      </c>
      <c r="DL71" s="767"/>
      <c r="DM71" s="793">
        <f>DM17/DM$17*100</f>
        <v>100</v>
      </c>
      <c r="DN71" s="767"/>
      <c r="DO71" s="793">
        <f>DO17/DO$17*100</f>
        <v>100</v>
      </c>
      <c r="DP71" s="767"/>
      <c r="DQ71" s="793">
        <f>DQ17/DQ$17*100</f>
        <v>100</v>
      </c>
      <c r="DR71" s="767"/>
      <c r="DS71" s="793">
        <f>DS17/DS$17*100</f>
        <v>100</v>
      </c>
      <c r="DT71" s="767"/>
      <c r="DU71" s="793">
        <f>DU17/DU$17*100</f>
        <v>100</v>
      </c>
      <c r="DV71" s="767"/>
      <c r="DW71" s="793">
        <f>DW17/DW$17*100</f>
        <v>100</v>
      </c>
      <c r="DX71" s="767"/>
      <c r="DY71" s="793">
        <f>DY17/DY$17*100</f>
        <v>100</v>
      </c>
      <c r="DZ71" s="767"/>
      <c r="EA71" s="793">
        <f>EA17/EA$17*100</f>
        <v>100</v>
      </c>
      <c r="EB71" s="767"/>
      <c r="EC71" s="793">
        <f>EC17/EC$17*100</f>
        <v>100</v>
      </c>
      <c r="ED71" s="767"/>
      <c r="EE71" s="793">
        <f>EE17/EE$17*100</f>
        <v>100</v>
      </c>
      <c r="EF71" s="767"/>
      <c r="EG71" s="793">
        <f>EG17/EG$17*100</f>
        <v>100</v>
      </c>
      <c r="EH71" s="767"/>
      <c r="EI71" s="793">
        <f>EI17/EI$17*100</f>
        <v>100</v>
      </c>
      <c r="EJ71" s="767"/>
      <c r="EK71" s="793">
        <f>EK17/EK$17*100</f>
        <v>100</v>
      </c>
      <c r="EL71" s="767"/>
      <c r="EM71" s="793">
        <f>EM17/EM$17*100</f>
        <v>100</v>
      </c>
      <c r="EN71" s="767"/>
      <c r="EO71" s="793">
        <f>EO17/EO$17*100</f>
        <v>100</v>
      </c>
      <c r="EP71" s="767"/>
      <c r="EQ71" s="793">
        <f>EQ17/EQ$17*100</f>
        <v>100</v>
      </c>
      <c r="ER71" s="767"/>
      <c r="ES71" s="793">
        <f>ES17/ES$17*100</f>
        <v>100</v>
      </c>
      <c r="ET71" s="767"/>
      <c r="EU71" s="723">
        <f t="shared" si="108"/>
        <v>0</v>
      </c>
      <c r="EV71" s="710"/>
    </row>
    <row r="72" spans="1:152" ht="12.75" hidden="1" customHeight="1" outlineLevel="1" x14ac:dyDescent="0.2">
      <c r="A72" s="759" t="s">
        <v>517</v>
      </c>
      <c r="B72" s="760"/>
      <c r="C72" s="761"/>
      <c r="D72" s="760"/>
      <c r="E72" s="761"/>
      <c r="F72" s="760"/>
      <c r="G72" s="761"/>
      <c r="H72" s="762"/>
      <c r="I72" s="763"/>
      <c r="J72" s="760"/>
      <c r="K72" s="763"/>
      <c r="L72" s="760"/>
      <c r="M72" s="763"/>
      <c r="N72" s="760"/>
      <c r="O72" s="763"/>
      <c r="P72" s="760"/>
      <c r="Q72" s="763"/>
      <c r="R72" s="760"/>
      <c r="S72" s="763"/>
      <c r="T72" s="760"/>
      <c r="U72" s="763"/>
      <c r="V72" s="760"/>
      <c r="W72" s="763"/>
      <c r="X72" s="760"/>
      <c r="Y72" s="763"/>
      <c r="Z72" s="760"/>
      <c r="AA72" s="763"/>
      <c r="AB72" s="760"/>
      <c r="AC72" s="763"/>
      <c r="AD72" s="760"/>
      <c r="AE72" s="763"/>
      <c r="AF72" s="760"/>
      <c r="AG72" s="763"/>
      <c r="AH72" s="760"/>
      <c r="AI72" s="763"/>
      <c r="AJ72" s="760"/>
      <c r="AK72" s="763"/>
      <c r="AL72" s="760"/>
      <c r="AM72" s="763"/>
      <c r="AN72" s="760"/>
      <c r="AO72" s="763"/>
      <c r="AP72" s="764">
        <f>AP63+AP69+AP70-AP71</f>
        <v>-73.797626483447857</v>
      </c>
      <c r="AQ72" s="763"/>
      <c r="AR72" s="764">
        <f>AR63+AR69+AR70-AR71</f>
        <v>-73.389193874602682</v>
      </c>
      <c r="AS72" s="763"/>
      <c r="AT72" s="764">
        <f>AT63+AT69+AT70-AT71</f>
        <v>-74.204616344354335</v>
      </c>
      <c r="AU72" s="763"/>
      <c r="AV72" s="764">
        <f>AV63+AV69+AV70-AV71</f>
        <v>40.077821011673109</v>
      </c>
      <c r="AW72" s="763"/>
      <c r="AX72" s="764">
        <f>(AX63+AX64+AX65+AX67+AX68+AX69+AX70)-AX71</f>
        <v>0</v>
      </c>
      <c r="AY72" s="763"/>
      <c r="AZ72" s="764">
        <f>(AZ63+AZ64+AZ65+AZ67+AZ68+AZ69+AZ70)-AZ71</f>
        <v>0</v>
      </c>
      <c r="BA72" s="763"/>
      <c r="BB72" s="764">
        <f>(BB63+BB64+BB65+BB67+BB68+BB69+BB70)-BB71</f>
        <v>0</v>
      </c>
      <c r="BC72" s="763"/>
      <c r="BD72" s="764">
        <f>(BD63+BD64+BD65+BD67+BD68+BD69+BD70)-BD71</f>
        <v>0</v>
      </c>
      <c r="BE72" s="763"/>
      <c r="BF72" s="764">
        <f>(BF63+BF64+BF65+BF67+BF68+BF69+BF70)-BF71</f>
        <v>0</v>
      </c>
      <c r="BG72" s="763"/>
      <c r="BH72" s="764">
        <f>(BH63+BH64+BH65+BH67+BH68+BH69+BH70)-BH71</f>
        <v>0</v>
      </c>
      <c r="BI72" s="763"/>
      <c r="BJ72" s="764">
        <f>(BJ63+BJ64+BJ65+BJ67+BJ68+BJ69+BJ70)-BJ71</f>
        <v>0</v>
      </c>
      <c r="BK72" s="763"/>
      <c r="BL72" s="764">
        <f>(BL63+BL64+BL65+BL67+BL68+BL69+BL70)-BL71</f>
        <v>0</v>
      </c>
      <c r="BM72" s="763"/>
      <c r="BN72" s="764">
        <f>(BN63+BN64+BN65+BN67+BN68+BN69+BN70)-BN71</f>
        <v>0</v>
      </c>
      <c r="BO72" s="763"/>
      <c r="BP72" s="764">
        <f>(BP63+BP64+BP65+BP67+BP68+BP69+BP70)-BP71</f>
        <v>0</v>
      </c>
      <c r="BQ72" s="763"/>
      <c r="BR72" s="764">
        <f>(BR63+BR64+BR65+BR67+BR68+BR69+BR70)-BR71</f>
        <v>0</v>
      </c>
      <c r="BS72" s="763"/>
      <c r="BT72" s="764">
        <f>(BT63+BT64+BT65+BT67+BT68+BT69+BT70)-BT71</f>
        <v>0</v>
      </c>
      <c r="BU72" s="763"/>
      <c r="BV72" s="764">
        <f>(BV63+BV64+BV65+BV67+BV68+BV69+BV70)-BV71</f>
        <v>0</v>
      </c>
      <c r="BW72" s="763"/>
      <c r="BX72" s="764">
        <f>(BX63+BX64+BX65+BX67+BX68+BX69+BX70)-BX71</f>
        <v>0</v>
      </c>
      <c r="BY72" s="763"/>
      <c r="BZ72" s="764">
        <f>(BZ63+BZ64+BZ65+BZ67+BZ68+BZ69+BZ70)-BZ71</f>
        <v>0</v>
      </c>
      <c r="CA72" s="763"/>
      <c r="CB72" s="764">
        <f>(CB63+CB64+CB65+CB67+CB68+CB69+CB70)-CB71</f>
        <v>0</v>
      </c>
      <c r="CC72" s="763"/>
      <c r="CD72" s="764">
        <f>(CD63+CD64+CD65+CD67+CD68+CD69+CD70)-CD71</f>
        <v>0</v>
      </c>
      <c r="CE72" s="763"/>
      <c r="CF72" s="764">
        <f>(CF63+CF64+CF65+CF67+CF68+CF69+CF70)-CF71</f>
        <v>0</v>
      </c>
      <c r="CG72" s="763"/>
      <c r="CH72" s="764">
        <f>(CH63+CH64+CH65+CH67+CH68+CH69+CH70)-CH71</f>
        <v>0</v>
      </c>
      <c r="CI72" s="763"/>
      <c r="CJ72" s="764">
        <f>(CJ63+CJ64+CJ65+CJ67+CJ68+CJ69+CJ70)-CJ71</f>
        <v>0</v>
      </c>
      <c r="CK72" s="763"/>
      <c r="CL72" s="764">
        <f t="shared" ref="CL72" si="188">(CL63+CL64+CL65+CL67+CL68+CL69+CL70)-CL71</f>
        <v>0</v>
      </c>
      <c r="CM72" s="763"/>
      <c r="CN72" s="764">
        <f t="shared" ref="CN72" si="189">(CN63+CN64+CN65+CN67+CN68+CN69+CN70)-CN71</f>
        <v>0</v>
      </c>
      <c r="CO72" s="763"/>
      <c r="CP72" s="764">
        <f t="shared" ref="CP72" si="190">(CP63+CP64+CP65+CP67+CP68+CP69+CP70)-CP71</f>
        <v>0</v>
      </c>
      <c r="CQ72" s="763"/>
      <c r="CR72" s="764">
        <f t="shared" ref="CR72" si="191">(CR63+CR64+CR65+CR67+CR68+CR69+CR70)-CR71</f>
        <v>0</v>
      </c>
      <c r="CS72" s="763"/>
      <c r="CT72" s="764">
        <f t="shared" ref="CT72" si="192">(CT63+CT64+CT65+CT67+CT68+CT69+CT70)-CT71</f>
        <v>0</v>
      </c>
      <c r="CU72" s="763"/>
      <c r="CV72" s="764">
        <f t="shared" ref="CV72" si="193">(CV63+CV64+CV65+CV67+CV68+CV69+CV70)-CV71</f>
        <v>0</v>
      </c>
      <c r="CW72" s="763"/>
      <c r="CX72" s="764">
        <f t="shared" ref="CX72" si="194">(CX63+CX64+CX65+CX67+CX68+CX69+CX70)-CX71</f>
        <v>0</v>
      </c>
      <c r="CY72" s="763"/>
      <c r="CZ72" s="764">
        <f t="shared" ref="CZ72" si="195">(CZ63+CZ64+CZ65+CZ67+CZ68+CZ69+CZ70)-CZ71</f>
        <v>0</v>
      </c>
      <c r="DA72" s="763"/>
      <c r="DB72" s="765"/>
      <c r="DC72" s="766"/>
      <c r="DD72" s="761"/>
      <c r="DE72" s="766"/>
      <c r="DF72" s="761"/>
      <c r="DG72" s="766"/>
      <c r="DH72" s="761"/>
      <c r="DI72" s="766"/>
      <c r="DJ72" s="761"/>
      <c r="DK72" s="766"/>
      <c r="DL72" s="763"/>
      <c r="DM72" s="766"/>
      <c r="DN72" s="763"/>
      <c r="DO72" s="766"/>
      <c r="DP72" s="763"/>
      <c r="DQ72" s="760"/>
      <c r="DR72" s="763"/>
      <c r="DS72" s="760"/>
      <c r="DT72" s="763"/>
      <c r="DU72" s="764">
        <f>DU63+DU69+DU70-DU71</f>
        <v>-70.106198689463014</v>
      </c>
      <c r="DV72" s="763"/>
      <c r="DW72" s="764">
        <f>(DW63+DW64+DW65+DW67+DW68+DW69+DW70)-DW71</f>
        <v>0</v>
      </c>
      <c r="DX72" s="763"/>
      <c r="DY72" s="764">
        <f>(DY63+DY64+DY65+DY67+DY68+DY69+DY70)-DY71</f>
        <v>0</v>
      </c>
      <c r="DZ72" s="763"/>
      <c r="EA72" s="764">
        <f>(EA63+EA64+EA65+EA67+EA68+EA69+EA70)-EA71</f>
        <v>0</v>
      </c>
      <c r="EB72" s="763"/>
      <c r="EC72" s="764">
        <f>(EC63+EC64+EC65+EC67+EC68+EC69+EC70)-EC71</f>
        <v>0</v>
      </c>
      <c r="ED72" s="763"/>
      <c r="EE72" s="764">
        <f>(EE63+EE64+EE65+EE67+EE68+EE69+EE70)-EE71</f>
        <v>0</v>
      </c>
      <c r="EF72" s="763"/>
      <c r="EG72" s="764">
        <f>(EG63+EG64+EG65+EG67+EG68+EG69+EG70)-EG71</f>
        <v>0</v>
      </c>
      <c r="EH72" s="763"/>
      <c r="EI72" s="764">
        <f>(EI63+EI64+EI65+EI67+EI68+EI69+EI70)-EI71</f>
        <v>0</v>
      </c>
      <c r="EJ72" s="763"/>
      <c r="EK72" s="764">
        <f>(EK63+EK64+EK65+EK67+EK68+EK69+EK70)-EK71</f>
        <v>0</v>
      </c>
      <c r="EL72" s="763"/>
      <c r="EM72" s="764">
        <f>(EM63+EM64+EM65+EM67+EM68+EM69+EM70)-EM71</f>
        <v>0</v>
      </c>
      <c r="EN72" s="763"/>
      <c r="EO72" s="764">
        <f>(EO63+EO64+EO65+EO67+EO68+EO69+EO70)-EO71</f>
        <v>0</v>
      </c>
      <c r="EP72" s="763"/>
      <c r="EQ72" s="764">
        <f>(EQ63+EQ64+EQ65+EQ67+EQ68+EQ69+EQ70)-EQ71</f>
        <v>0</v>
      </c>
      <c r="ER72" s="763"/>
      <c r="ES72" s="764">
        <f>(ES63+ES64+ES65+ES67+ES68+ES69+ES70)-ES71</f>
        <v>0</v>
      </c>
      <c r="ET72" s="763"/>
      <c r="EU72" s="761"/>
      <c r="EV72" s="710"/>
    </row>
    <row r="73" spans="1:152" ht="12.75" customHeight="1" collapsed="1" x14ac:dyDescent="0.2">
      <c r="A73" s="754"/>
      <c r="B73" s="750"/>
      <c r="C73" s="756"/>
      <c r="D73" s="750"/>
      <c r="E73" s="756"/>
      <c r="F73" s="750"/>
      <c r="G73" s="756"/>
      <c r="H73" s="750"/>
      <c r="I73" s="752"/>
      <c r="J73" s="750"/>
      <c r="K73" s="752"/>
      <c r="L73" s="750"/>
      <c r="M73" s="752"/>
      <c r="N73" s="750"/>
      <c r="O73" s="752"/>
      <c r="P73" s="750"/>
      <c r="Q73" s="752"/>
      <c r="R73" s="750"/>
      <c r="S73" s="752"/>
      <c r="T73" s="750"/>
      <c r="U73" s="752"/>
      <c r="V73" s="750"/>
      <c r="W73" s="752"/>
      <c r="X73" s="750"/>
      <c r="Y73" s="752"/>
      <c r="Z73" s="750"/>
      <c r="AA73" s="752"/>
      <c r="AB73" s="750"/>
      <c r="AC73" s="752"/>
      <c r="AD73" s="750"/>
      <c r="AE73" s="752"/>
      <c r="AF73" s="750"/>
      <c r="AG73" s="752"/>
      <c r="AH73" s="750"/>
      <c r="AI73" s="752"/>
      <c r="AJ73" s="750"/>
      <c r="AK73" s="752"/>
      <c r="AL73" s="750"/>
      <c r="AM73" s="752"/>
      <c r="AN73" s="750"/>
      <c r="AO73" s="752"/>
      <c r="AP73" s="750"/>
      <c r="AQ73" s="752"/>
      <c r="AR73" s="750"/>
      <c r="AS73" s="752"/>
      <c r="AT73" s="750"/>
      <c r="AU73" s="752"/>
      <c r="AV73" s="750"/>
      <c r="AW73" s="752"/>
      <c r="AX73" s="750"/>
      <c r="AY73" s="752"/>
      <c r="AZ73" s="750"/>
      <c r="BA73" s="752"/>
      <c r="BB73" s="750"/>
      <c r="BC73" s="752"/>
      <c r="BD73" s="750"/>
      <c r="BE73" s="752"/>
      <c r="BF73" s="750"/>
      <c r="BG73" s="752"/>
      <c r="BH73" s="750"/>
      <c r="BI73" s="752"/>
      <c r="BJ73" s="750"/>
      <c r="BK73" s="752"/>
      <c r="BL73" s="750"/>
      <c r="BM73" s="752"/>
      <c r="BN73" s="750"/>
      <c r="BO73" s="752"/>
      <c r="BP73" s="750"/>
      <c r="BQ73" s="752"/>
      <c r="BR73" s="750"/>
      <c r="BS73" s="752"/>
      <c r="BT73" s="750"/>
      <c r="BU73" s="752"/>
      <c r="BV73" s="750"/>
      <c r="BW73" s="752"/>
      <c r="BX73" s="750"/>
      <c r="BY73" s="752"/>
      <c r="BZ73" s="750"/>
      <c r="CA73" s="752"/>
      <c r="CB73" s="750"/>
      <c r="CC73" s="752"/>
      <c r="CD73" s="750"/>
      <c r="CE73" s="752"/>
      <c r="CF73" s="750"/>
      <c r="CG73" s="752"/>
      <c r="CH73" s="750"/>
      <c r="CI73" s="752"/>
      <c r="CJ73" s="750"/>
      <c r="CK73" s="752"/>
      <c r="CL73" s="750"/>
      <c r="CM73" s="752"/>
      <c r="CN73" s="750"/>
      <c r="CO73" s="752"/>
      <c r="CP73" s="750"/>
      <c r="CQ73" s="752"/>
      <c r="CR73" s="750"/>
      <c r="CS73" s="752"/>
      <c r="CT73" s="750"/>
      <c r="CU73" s="752"/>
      <c r="CV73" s="750"/>
      <c r="CW73" s="752"/>
      <c r="CX73" s="750"/>
      <c r="CY73" s="752"/>
      <c r="CZ73" s="750"/>
      <c r="DA73" s="752"/>
      <c r="DB73" s="753"/>
      <c r="DC73" s="750"/>
      <c r="DD73" s="756"/>
      <c r="DE73" s="750"/>
      <c r="DF73" s="756"/>
      <c r="DG73" s="750"/>
      <c r="DH73" s="756"/>
      <c r="DI73" s="750"/>
      <c r="DJ73" s="756"/>
      <c r="DK73" s="750"/>
      <c r="DL73" s="752"/>
      <c r="DM73" s="750"/>
      <c r="DN73" s="752"/>
      <c r="DO73" s="750"/>
      <c r="DP73" s="752"/>
      <c r="DQ73" s="750"/>
      <c r="DR73" s="752"/>
      <c r="DS73" s="750"/>
      <c r="DT73" s="752"/>
      <c r="DU73" s="750"/>
      <c r="DV73" s="752"/>
      <c r="DW73" s="750"/>
      <c r="DX73" s="752"/>
      <c r="DY73" s="750"/>
      <c r="DZ73" s="752"/>
      <c r="EA73" s="750"/>
      <c r="EB73" s="752"/>
      <c r="EC73" s="750"/>
      <c r="ED73" s="752"/>
      <c r="EE73" s="750"/>
      <c r="EF73" s="752"/>
      <c r="EG73" s="750"/>
      <c r="EH73" s="752"/>
      <c r="EI73" s="750"/>
      <c r="EJ73" s="752"/>
      <c r="EK73" s="750"/>
      <c r="EL73" s="752"/>
      <c r="EM73" s="750"/>
      <c r="EN73" s="752"/>
      <c r="EO73" s="750"/>
      <c r="EP73" s="752"/>
      <c r="EQ73" s="750"/>
      <c r="ER73" s="752"/>
      <c r="ES73" s="750"/>
      <c r="ET73" s="752"/>
      <c r="EU73" s="756"/>
      <c r="EV73" s="710"/>
    </row>
    <row r="74" spans="1:152" ht="12.75" customHeight="1" x14ac:dyDescent="0.2">
      <c r="A74" s="749" t="str">
        <f>INPUT!B541</f>
        <v>Capital Structure Excl FAS 115</v>
      </c>
      <c r="B74" s="750"/>
      <c r="C74" s="767"/>
      <c r="D74" s="750"/>
      <c r="E74" s="767"/>
      <c r="F74" s="750"/>
      <c r="G74" s="767"/>
      <c r="H74" s="750"/>
      <c r="I74" s="752"/>
      <c r="J74" s="750"/>
      <c r="K74" s="752"/>
      <c r="L74" s="750"/>
      <c r="M74" s="752"/>
      <c r="N74" s="750"/>
      <c r="O74" s="752"/>
      <c r="P74" s="750"/>
      <c r="Q74" s="752"/>
      <c r="R74" s="750"/>
      <c r="S74" s="752"/>
      <c r="T74" s="750"/>
      <c r="U74" s="752"/>
      <c r="V74" s="750"/>
      <c r="W74" s="752"/>
      <c r="X74" s="750"/>
      <c r="Y74" s="752"/>
      <c r="Z74" s="750"/>
      <c r="AA74" s="752"/>
      <c r="AB74" s="750"/>
      <c r="AC74" s="752"/>
      <c r="AD74" s="750"/>
      <c r="AE74" s="752"/>
      <c r="AF74" s="750"/>
      <c r="AG74" s="752"/>
      <c r="AH74" s="750"/>
      <c r="AI74" s="752"/>
      <c r="AJ74" s="750"/>
      <c r="AK74" s="752"/>
      <c r="AL74" s="750"/>
      <c r="AM74" s="752"/>
      <c r="AN74" s="750"/>
      <c r="AO74" s="752"/>
      <c r="AP74" s="750"/>
      <c r="AQ74" s="752"/>
      <c r="AR74" s="750"/>
      <c r="AS74" s="752"/>
      <c r="AT74" s="750"/>
      <c r="AU74" s="752"/>
      <c r="AV74" s="750"/>
      <c r="AW74" s="752"/>
      <c r="AX74" s="750"/>
      <c r="AY74" s="752"/>
      <c r="AZ74" s="750"/>
      <c r="BA74" s="752"/>
      <c r="BB74" s="750"/>
      <c r="BC74" s="752"/>
      <c r="BD74" s="750"/>
      <c r="BE74" s="752"/>
      <c r="BF74" s="750"/>
      <c r="BG74" s="752"/>
      <c r="BH74" s="750"/>
      <c r="BI74" s="752"/>
      <c r="BJ74" s="750"/>
      <c r="BK74" s="752"/>
      <c r="BL74" s="750"/>
      <c r="BM74" s="752"/>
      <c r="BN74" s="750"/>
      <c r="BO74" s="752"/>
      <c r="BP74" s="750"/>
      <c r="BQ74" s="752"/>
      <c r="BR74" s="750"/>
      <c r="BS74" s="752"/>
      <c r="BT74" s="750"/>
      <c r="BU74" s="752"/>
      <c r="BV74" s="750"/>
      <c r="BW74" s="752"/>
      <c r="BX74" s="750"/>
      <c r="BY74" s="752"/>
      <c r="BZ74" s="750"/>
      <c r="CA74" s="752"/>
      <c r="CB74" s="750"/>
      <c r="CC74" s="752"/>
      <c r="CD74" s="750"/>
      <c r="CE74" s="752"/>
      <c r="CF74" s="750"/>
      <c r="CG74" s="752"/>
      <c r="CH74" s="750"/>
      <c r="CI74" s="752"/>
      <c r="CJ74" s="750"/>
      <c r="CK74" s="752"/>
      <c r="CL74" s="750"/>
      <c r="CM74" s="752"/>
      <c r="CN74" s="750"/>
      <c r="CO74" s="752"/>
      <c r="CP74" s="750"/>
      <c r="CQ74" s="752"/>
      <c r="CR74" s="750"/>
      <c r="CS74" s="752"/>
      <c r="CT74" s="750"/>
      <c r="CU74" s="752"/>
      <c r="CV74" s="750"/>
      <c r="CW74" s="752"/>
      <c r="CX74" s="750"/>
      <c r="CY74" s="752"/>
      <c r="CZ74" s="750"/>
      <c r="DA74" s="752"/>
      <c r="DB74" s="753"/>
      <c r="DC74" s="750"/>
      <c r="DD74" s="767"/>
      <c r="DE74" s="750"/>
      <c r="DF74" s="767"/>
      <c r="DG74" s="750"/>
      <c r="DH74" s="767"/>
      <c r="DI74" s="750"/>
      <c r="DJ74" s="767"/>
      <c r="DK74" s="750"/>
      <c r="DL74" s="752"/>
      <c r="DM74" s="750"/>
      <c r="DN74" s="752"/>
      <c r="DO74" s="750"/>
      <c r="DP74" s="752"/>
      <c r="DQ74" s="750"/>
      <c r="DR74" s="752"/>
      <c r="DS74" s="750"/>
      <c r="DT74" s="752"/>
      <c r="DU74" s="750"/>
      <c r="DV74" s="752"/>
      <c r="DW74" s="750"/>
      <c r="DX74" s="752"/>
      <c r="DY74" s="750"/>
      <c r="DZ74" s="752"/>
      <c r="EA74" s="750"/>
      <c r="EB74" s="752"/>
      <c r="EC74" s="750"/>
      <c r="ED74" s="752"/>
      <c r="EE74" s="750"/>
      <c r="EF74" s="752"/>
      <c r="EG74" s="750"/>
      <c r="EH74" s="752"/>
      <c r="EI74" s="750"/>
      <c r="EJ74" s="752"/>
      <c r="EK74" s="750"/>
      <c r="EL74" s="752"/>
      <c r="EM74" s="750"/>
      <c r="EN74" s="752"/>
      <c r="EO74" s="750"/>
      <c r="EP74" s="752"/>
      <c r="EQ74" s="750"/>
      <c r="ER74" s="752"/>
      <c r="ES74" s="750"/>
      <c r="ET74" s="752"/>
      <c r="EU74" s="767"/>
      <c r="EV74" s="710"/>
    </row>
    <row r="75" spans="1:152" ht="12.75" customHeight="1" x14ac:dyDescent="0.2">
      <c r="A75" s="754" t="str">
        <f>INPUT!B508</f>
        <v>Assets (Excl FAS 115)</v>
      </c>
      <c r="B75" s="750">
        <f>INPUT!AS508</f>
        <v>50161.5</v>
      </c>
      <c r="C75" s="767">
        <f>INPUT!AT508</f>
        <v>1.0031552474362382</v>
      </c>
      <c r="D75" s="750">
        <f>INPUT!AU508</f>
        <v>50350.200000000004</v>
      </c>
      <c r="E75" s="767">
        <f>INPUT!AV508</f>
        <v>-0.51314070962400482</v>
      </c>
      <c r="F75" s="750">
        <f>INPUT!AW508</f>
        <v>51428</v>
      </c>
      <c r="G75" s="767">
        <f>INPUT!AX508</f>
        <v>2.8973647406257186</v>
      </c>
      <c r="H75" s="750">
        <f>INPUT!AY508</f>
        <v>52210.5</v>
      </c>
      <c r="I75" s="752">
        <f>INPUT!AZ508</f>
        <v>2.9725875830567183</v>
      </c>
      <c r="J75" s="750">
        <f>INPUT!BA508</f>
        <v>51781.100000000006</v>
      </c>
      <c r="K75" s="752">
        <f>INPUT!BB508</f>
        <v>3.2287710694457017</v>
      </c>
      <c r="L75" s="750">
        <f>INPUT!BC508</f>
        <v>51967.5</v>
      </c>
      <c r="M75" s="752">
        <f>INPUT!BD508</f>
        <v>3.2121024345484139</v>
      </c>
      <c r="N75" s="750">
        <f>INPUT!BE508</f>
        <v>52168</v>
      </c>
      <c r="O75" s="752">
        <f>INPUT!BF508</f>
        <v>1.4389048767208479</v>
      </c>
      <c r="P75" s="750">
        <f>INPUT!BG508</f>
        <v>51969.2</v>
      </c>
      <c r="Q75" s="752">
        <f>INPUT!BH508</f>
        <v>-0.46216757165704614</v>
      </c>
      <c r="R75" s="750">
        <f>INPUT!BI508</f>
        <v>51799.5</v>
      </c>
      <c r="S75" s="752">
        <f>INPUT!BJ508</f>
        <v>3.5534200702569407E-2</v>
      </c>
      <c r="T75" s="750">
        <f>INPUT!BK508</f>
        <v>51694.8</v>
      </c>
      <c r="U75" s="752">
        <f>INPUT!BL508</f>
        <v>-0.52475104632702108</v>
      </c>
      <c r="V75" s="750">
        <f>INPUT!BM508</f>
        <v>50533.4</v>
      </c>
      <c r="W75" s="752">
        <f>INPUT!BN508</f>
        <v>-3.13333844502377</v>
      </c>
      <c r="X75" s="750">
        <f>INPUT!BO508</f>
        <v>50375.6</v>
      </c>
      <c r="Y75" s="752">
        <f>INPUT!BP508</f>
        <v>-3.0664316556729743</v>
      </c>
      <c r="Z75" s="750">
        <f>INPUT!BQ508</f>
        <v>50259.5</v>
      </c>
      <c r="AA75" s="752">
        <f>INPUT!BR508</f>
        <v>-2.9730016699002881</v>
      </c>
      <c r="AB75" s="750">
        <f>INPUT!BS508</f>
        <v>51631.700000000004</v>
      </c>
      <c r="AC75" s="752">
        <f>INPUT!BT508</f>
        <v>-0.12206256722145925</v>
      </c>
      <c r="AD75" s="750">
        <f>INPUT!BU508</f>
        <v>54210.299999999996</v>
      </c>
      <c r="AE75" s="752">
        <f>INPUT!BV508</f>
        <v>7.2761777359132696</v>
      </c>
      <c r="AF75" s="750">
        <f>INPUT!BW508</f>
        <v>54136</v>
      </c>
      <c r="AG75" s="752">
        <f>INPUT!BX508</f>
        <v>7.4647249859058684</v>
      </c>
      <c r="AH75" s="750">
        <f>INPUT!BY508</f>
        <v>54594.299999999996</v>
      </c>
      <c r="AI75" s="752">
        <f>INPUT!BZ508</f>
        <v>8.6248370954744793</v>
      </c>
      <c r="AJ75" s="750">
        <f>INPUT!CA508</f>
        <v>56354.299999999996</v>
      </c>
      <c r="AK75" s="752">
        <f>INPUT!CB508</f>
        <v>9.146706383868807</v>
      </c>
      <c r="AL75" s="750">
        <f>INPUT!CC508</f>
        <v>58560.899999999994</v>
      </c>
      <c r="AM75" s="752">
        <f>INPUT!CD508</f>
        <v>8.0254121449244931</v>
      </c>
      <c r="AN75" s="750">
        <f>INPUT!CE508</f>
        <v>56251.299999999996</v>
      </c>
      <c r="AO75" s="752">
        <f>INPUT!CF508</f>
        <v>3.9073814097827508</v>
      </c>
      <c r="AP75" s="750">
        <f>INPUT!CG508</f>
        <v>56710.5</v>
      </c>
      <c r="AQ75" s="752">
        <f>INPUT!CH508</f>
        <v>3.876228837076412</v>
      </c>
      <c r="AR75" s="750">
        <f>INPUT!CI508</f>
        <v>57571.8</v>
      </c>
      <c r="AS75" s="752">
        <f>INPUT!CJ508</f>
        <v>2.1604385113469737</v>
      </c>
      <c r="AT75" s="750">
        <f>INPUT!CK508</f>
        <v>59154.700000000004</v>
      </c>
      <c r="AU75" s="752">
        <f>INPUT!CL508</f>
        <v>1.0139871484215801</v>
      </c>
      <c r="AV75" s="750">
        <f>INPUT!CM508</f>
        <v>59093.399999999994</v>
      </c>
      <c r="AW75" s="752">
        <f>INPUT!CN508</f>
        <v>5.052505453207301</v>
      </c>
      <c r="AX75" s="750">
        <f>INPUT!CO508</f>
        <v>59116.4</v>
      </c>
      <c r="AY75" s="752">
        <f>INPUT!CP508</f>
        <v>4.2424242424242475</v>
      </c>
      <c r="AZ75" s="750">
        <f>INPUT!CQ508</f>
        <v>60078.2</v>
      </c>
      <c r="BA75" s="752">
        <f>INPUT!CR508</f>
        <v>4.3535202998690181</v>
      </c>
      <c r="BB75" s="750">
        <f>INPUT!CS508</f>
        <v>61329.299999999996</v>
      </c>
      <c r="BC75" s="752">
        <f>INPUT!CT508</f>
        <v>3.6761237906708821</v>
      </c>
      <c r="BD75" s="750">
        <f>INPUT!CU508</f>
        <v>61608.1</v>
      </c>
      <c r="BE75" s="752">
        <f>INPUT!CV508</f>
        <v>4.2554667695546389</v>
      </c>
      <c r="BF75" s="750">
        <f>INPUT!CW508</f>
        <v>61125.700000000004</v>
      </c>
      <c r="BG75" s="752">
        <f>INPUT!CX508</f>
        <v>3.3988876183258743</v>
      </c>
      <c r="BH75" s="750">
        <f>INPUT!CY508</f>
        <v>59149.5</v>
      </c>
      <c r="BI75" s="752">
        <f>INPUT!CZ508</f>
        <v>-1.5458186164032828</v>
      </c>
      <c r="BJ75" s="750">
        <f>INPUT!DA508</f>
        <v>59176.200000000004</v>
      </c>
      <c r="BK75" s="752">
        <f>INPUT!DB508</f>
        <v>-3.5107199984346638</v>
      </c>
      <c r="BL75" s="750">
        <f>INPUT!DC508</f>
        <v>59119.1</v>
      </c>
      <c r="BM75" s="752">
        <f>INPUT!DD508</f>
        <v>-4.040053174826042</v>
      </c>
      <c r="BN75" s="750">
        <f>INPUT!DE508</f>
        <v>60625.2</v>
      </c>
      <c r="BO75" s="752">
        <f>INPUT!DF508</f>
        <v>-0.81880452902790557</v>
      </c>
      <c r="BP75" s="750">
        <f>INPUT!DG508</f>
        <v>61586.2</v>
      </c>
      <c r="BQ75" s="752">
        <f>INPUT!DH508</f>
        <v>4.1195614502235856</v>
      </c>
      <c r="BR75" s="750">
        <f>INPUT!DI508</f>
        <v>61412</v>
      </c>
      <c r="BS75" s="752">
        <f>INPUT!DJ508</f>
        <v>3.7782081309715609</v>
      </c>
      <c r="BT75" s="750">
        <f>INPUT!DK508</f>
        <v>62283.799999999996</v>
      </c>
      <c r="BU75" s="752">
        <f>INPUT!DL508</f>
        <v>5.3530923170346023</v>
      </c>
      <c r="BV75" s="750">
        <f>INPUT!DM508</f>
        <v>62754.1</v>
      </c>
      <c r="BW75" s="752">
        <f>INPUT!DN508</f>
        <v>3.5115760442852251</v>
      </c>
      <c r="BX75" s="750">
        <f>INPUT!DO508</f>
        <v>61702.400000000001</v>
      </c>
      <c r="BY75" s="752">
        <f>INPUT!DP508</f>
        <v>0.18867863255080941</v>
      </c>
      <c r="BZ75" s="750">
        <f>INPUT!DQ508</f>
        <v>61481.8</v>
      </c>
      <c r="CA75" s="752">
        <f>INPUT!DR508</f>
        <v>0.11365856835798827</v>
      </c>
      <c r="CB75" s="750">
        <f>INPUT!DS508</f>
        <v>60573.599999999999</v>
      </c>
      <c r="CC75" s="752">
        <f>INPUT!DT508</f>
        <v>-2.7458183347836784</v>
      </c>
      <c r="CD75" s="750">
        <f>INPUT!DU508</f>
        <v>61767.200000000004</v>
      </c>
      <c r="CE75" s="752">
        <f>INPUT!DV508</f>
        <v>-1.5726462494083937</v>
      </c>
      <c r="CF75" s="750">
        <f>INPUT!DW508</f>
        <v>63513.299999999996</v>
      </c>
      <c r="CG75" s="752">
        <f>INPUT!DX508</f>
        <v>2.9348939425370757</v>
      </c>
      <c r="CH75" s="750">
        <f>INPUT!DY508</f>
        <v>63454.400000000001</v>
      </c>
      <c r="CI75" s="752">
        <f>INPUT!DZ508</f>
        <v>3.208429161150117</v>
      </c>
      <c r="CJ75" s="750">
        <f>INPUT!EA508</f>
        <v>61992.5</v>
      </c>
      <c r="CK75" s="752">
        <f>INPUT!EB508</f>
        <v>2.3424396106554779</v>
      </c>
      <c r="CL75" s="750">
        <f>INPUT!EC508</f>
        <v>62524.299999999996</v>
      </c>
      <c r="CM75" s="752">
        <f>INPUT!ED508</f>
        <v>1.2257314561773702</v>
      </c>
      <c r="CN75" s="750">
        <f>INPUT!EE508</f>
        <v>63276.7</v>
      </c>
      <c r="CO75" s="752">
        <f>INPUT!EF508</f>
        <v>-0.37252040123879615</v>
      </c>
      <c r="CP75" s="750">
        <f>INPUT!EG508</f>
        <v>63681.399999999994</v>
      </c>
      <c r="CQ75" s="752">
        <f>INPUT!EH508</f>
        <v>0.35773720971279399</v>
      </c>
      <c r="CR75" s="750">
        <f>INPUT!EI508</f>
        <v>63885.599999999999</v>
      </c>
      <c r="CS75" s="752">
        <f>INPUT!EJ508</f>
        <v>3.0537565028027513</v>
      </c>
      <c r="CT75" s="750">
        <f>INPUT!EK508</f>
        <v>64671.040736999996</v>
      </c>
      <c r="CU75" s="752">
        <f>INPUT!EL508</f>
        <v>3.4334502537413547</v>
      </c>
      <c r="CV75" s="750">
        <f>INPUT!EM508</f>
        <v>65466.118831842992</v>
      </c>
      <c r="CW75" s="752">
        <f>INPUT!EN508</f>
        <v>3.4600711349406676</v>
      </c>
      <c r="CX75" s="750">
        <f>INPUT!EO508</f>
        <v>66270.952534909709</v>
      </c>
      <c r="CY75" s="752">
        <f>INPUT!EP508</f>
        <v>4.0664189777701365</v>
      </c>
      <c r="CZ75" s="750">
        <f>INPUT!EQ508</f>
        <v>67085.661547513053</v>
      </c>
      <c r="DA75" s="752">
        <f>INPUT!ER508</f>
        <v>5.0090498445863441</v>
      </c>
      <c r="DB75" s="753"/>
      <c r="DC75" s="750">
        <f>INPUT!FB508</f>
        <v>42394.7</v>
      </c>
      <c r="DD75" s="767" t="str">
        <f>INPUT!FC508</f>
        <v>NA</v>
      </c>
      <c r="DE75" s="750">
        <f>INPUT!FD508</f>
        <v>44482.1</v>
      </c>
      <c r="DF75" s="767">
        <f>INPUT!FE508</f>
        <v>4.9237286736313779</v>
      </c>
      <c r="DG75" s="750">
        <f>INPUT!FF508</f>
        <v>48547.100000000006</v>
      </c>
      <c r="DH75" s="767">
        <f>INPUT!FG508</f>
        <v>9.1385073996057109</v>
      </c>
      <c r="DI75" s="750">
        <f>INPUT!FH508</f>
        <v>49351.200000000004</v>
      </c>
      <c r="DJ75" s="767">
        <f>INPUT!FI508</f>
        <v>1.6563296262804617</v>
      </c>
      <c r="DK75" s="750">
        <f>INPUT!FJ508</f>
        <v>50703.3</v>
      </c>
      <c r="DL75" s="752">
        <f>INPUT!FK508</f>
        <v>2.7397510090940047</v>
      </c>
      <c r="DM75" s="750">
        <f>INPUT!FL508</f>
        <v>52210.5</v>
      </c>
      <c r="DN75" s="752">
        <f>INPUT!FM508</f>
        <v>2.9725875830567183</v>
      </c>
      <c r="DO75" s="750">
        <f>INPUT!FN508</f>
        <v>51969.2</v>
      </c>
      <c r="DP75" s="752">
        <f>INPUT!FO508</f>
        <v>-0.46216757165704614</v>
      </c>
      <c r="DQ75" s="750">
        <f>INPUT!FP508</f>
        <v>50375.6</v>
      </c>
      <c r="DR75" s="752">
        <f>INPUT!FQ508</f>
        <v>-3.0664316556729743</v>
      </c>
      <c r="DS75" s="750">
        <f>INPUT!FR508</f>
        <v>54136</v>
      </c>
      <c r="DT75" s="752">
        <f>INPUT!FS508</f>
        <v>7.4647249859058684</v>
      </c>
      <c r="DU75" s="750">
        <f>INPUT!FT508</f>
        <v>56251.299999999996</v>
      </c>
      <c r="DV75" s="752">
        <f>INPUT!FU508</f>
        <v>3.9073814097827508</v>
      </c>
      <c r="DW75" s="750">
        <f>INPUT!FV508</f>
        <v>59093.399999999994</v>
      </c>
      <c r="DX75" s="752">
        <f>INPUT!FW508</f>
        <v>5.052505453207301</v>
      </c>
      <c r="DY75" s="750">
        <f>INPUT!FX508</f>
        <v>61608.1</v>
      </c>
      <c r="DZ75" s="752">
        <f>INPUT!FY508</f>
        <v>4.2554667695546389</v>
      </c>
      <c r="EA75" s="750">
        <f>INPUT!FZ508</f>
        <v>59119.1</v>
      </c>
      <c r="EB75" s="752">
        <f>INPUT!GA508</f>
        <v>-4.040053174826042</v>
      </c>
      <c r="EC75" s="750">
        <f>INPUT!GB508</f>
        <v>62283.799999999996</v>
      </c>
      <c r="ED75" s="752">
        <f>INPUT!GC508</f>
        <v>5.3530923170346023</v>
      </c>
      <c r="EE75" s="750">
        <f>INPUT!GD508</f>
        <v>60573.599999999999</v>
      </c>
      <c r="EF75" s="752">
        <f>INPUT!GE508</f>
        <v>-2.7458183347836784</v>
      </c>
      <c r="EG75" s="750">
        <f>INPUT!GF508</f>
        <v>61992.5</v>
      </c>
      <c r="EH75" s="752">
        <f>INPUT!GG508</f>
        <v>2.3424396106554779</v>
      </c>
      <c r="EI75" s="750">
        <f>INPUT!GH508</f>
        <v>63885.599999999999</v>
      </c>
      <c r="EJ75" s="752">
        <f>INPUT!GI508</f>
        <v>3.0537565028027513</v>
      </c>
      <c r="EK75" s="750">
        <f>INPUT!GJ508</f>
        <v>67085.661547513053</v>
      </c>
      <c r="EL75" s="752">
        <f>INPUT!GK508</f>
        <v>5.0090498445863441</v>
      </c>
      <c r="EM75" s="750">
        <f>INPUT!GL508</f>
        <v>70446.319624888711</v>
      </c>
      <c r="EN75" s="752">
        <f>INPUT!GM508</f>
        <v>5.0095027757838917</v>
      </c>
      <c r="EO75" s="750">
        <f>INPUT!GN508</f>
        <v>73975.010606133146</v>
      </c>
      <c r="EP75" s="752">
        <f>INPUT!GO508</f>
        <v>5.0090494436529021</v>
      </c>
      <c r="EQ75" s="750">
        <f>INPUT!GP508</f>
        <v>77680.136136439804</v>
      </c>
      <c r="ER75" s="752">
        <f>INPUT!GQ508</f>
        <v>5.0086177750402028</v>
      </c>
      <c r="ES75" s="750">
        <f>INPUT!GR508</f>
        <v>81570.517943261802</v>
      </c>
      <c r="ET75" s="752">
        <f>INPUT!GS508</f>
        <v>5.0082067312405387</v>
      </c>
      <c r="EU75" s="767">
        <f>INPUT!GT508</f>
        <v>5.0088853131396105</v>
      </c>
      <c r="EV75" s="710"/>
    </row>
    <row r="76" spans="1:152" ht="12.75" customHeight="1" x14ac:dyDescent="0.2">
      <c r="A76" s="754" t="str">
        <f>INPUT!B518</f>
        <v>Long-Term Debt</v>
      </c>
      <c r="B76" s="750">
        <f>INPUT!AS518</f>
        <v>2861.6</v>
      </c>
      <c r="C76" s="767">
        <f>INPUT!AT518</f>
        <v>-1.3976240391333494E-2</v>
      </c>
      <c r="D76" s="750">
        <f>INPUT!AU518</f>
        <v>2561.6</v>
      </c>
      <c r="E76" s="767">
        <f>INPUT!AV518</f>
        <v>-10.496156533892387</v>
      </c>
      <c r="F76" s="750">
        <f>INPUT!AW518</f>
        <v>2561.6</v>
      </c>
      <c r="G76" s="767">
        <f>INPUT!AX518</f>
        <v>-10.496156533892387</v>
      </c>
      <c r="H76" s="750">
        <f>INPUT!AY518</f>
        <v>2659.6</v>
      </c>
      <c r="I76" s="752">
        <f>INPUT!AZ518</f>
        <v>-18.457198920775074</v>
      </c>
      <c r="J76" s="750">
        <f>INPUT!BA518</f>
        <v>2499.6999999999998</v>
      </c>
      <c r="K76" s="752">
        <f>INPUT!BB518</f>
        <v>-12.646771037182003</v>
      </c>
      <c r="L76" s="750">
        <f>INPUT!BC518</f>
        <v>2287.6999999999998</v>
      </c>
      <c r="M76" s="752">
        <f>INPUT!BD518</f>
        <v>-10.692535915053092</v>
      </c>
      <c r="N76" s="750">
        <f>INPUT!BE518</f>
        <v>2285.1999999999998</v>
      </c>
      <c r="O76" s="752">
        <f>INPUT!BF518</f>
        <v>-10.79013116801999</v>
      </c>
      <c r="P76" s="750">
        <f>INPUT!BG518</f>
        <v>2515.1999999999998</v>
      </c>
      <c r="Q76" s="752">
        <f>INPUT!BH518</f>
        <v>-5.4293878778763798</v>
      </c>
      <c r="R76" s="750">
        <f>INPUT!BI518</f>
        <v>2497.6999999999998</v>
      </c>
      <c r="S76" s="752">
        <f>INPUT!BJ518</f>
        <v>-8.0009601152142285E-2</v>
      </c>
      <c r="T76" s="750">
        <f>INPUT!BK518</f>
        <v>2298.3000000000002</v>
      </c>
      <c r="U76" s="752">
        <f>INPUT!BL518</f>
        <v>0.46334746688816431</v>
      </c>
      <c r="V76" s="750">
        <f>INPUT!BM518</f>
        <v>2285.3999999999996</v>
      </c>
      <c r="W76" s="752">
        <f>INPUT!BN518</f>
        <v>8.751969193054876E-3</v>
      </c>
      <c r="X76" s="750">
        <f>INPUT!BO518</f>
        <v>2259.4</v>
      </c>
      <c r="Y76" s="752">
        <f>INPUT!BP518</f>
        <v>-10.17016539440203</v>
      </c>
      <c r="Z76" s="750">
        <f>INPUT!BQ518</f>
        <v>2254.6999999999998</v>
      </c>
      <c r="AA76" s="752">
        <f>INPUT!BR518</f>
        <v>-9.7289506345838213</v>
      </c>
      <c r="AB76" s="750">
        <f>INPUT!BS518</f>
        <v>2250.6</v>
      </c>
      <c r="AC76" s="752">
        <f>INPUT!BT518</f>
        <v>-2.0754470695731775</v>
      </c>
      <c r="AD76" s="750">
        <f>INPUT!BU518</f>
        <v>2580.1999999999998</v>
      </c>
      <c r="AE76" s="752">
        <f>INPUT!BV518</f>
        <v>12.899273650126908</v>
      </c>
      <c r="AF76" s="750">
        <f>INPUT!BW518</f>
        <v>2549.6000000000004</v>
      </c>
      <c r="AG76" s="752">
        <f>INPUT!BX518</f>
        <v>12.844117907409046</v>
      </c>
      <c r="AH76" s="750">
        <f>INPUT!BY518</f>
        <v>2291.1999999999998</v>
      </c>
      <c r="AI76" s="752">
        <f>INPUT!BZ518</f>
        <v>1.6188406439881176</v>
      </c>
      <c r="AJ76" s="750">
        <f>INPUT!CA518</f>
        <v>2266.8000000000002</v>
      </c>
      <c r="AK76" s="752">
        <f>INPUT!CB518</f>
        <v>0.71980805118636582</v>
      </c>
      <c r="AL76" s="750">
        <f>INPUT!CC518</f>
        <v>2661.3</v>
      </c>
      <c r="AM76" s="752">
        <f>INPUT!CD518</f>
        <v>3.1431671963413788</v>
      </c>
      <c r="AN76" s="750">
        <f>INPUT!CE518</f>
        <v>2631.3</v>
      </c>
      <c r="AO76" s="752">
        <f>INPUT!CF518</f>
        <v>3.204424223407587</v>
      </c>
      <c r="AP76" s="750">
        <f>INPUT!CG518</f>
        <v>2605</v>
      </c>
      <c r="AQ76" s="752">
        <f>INPUT!CH518</f>
        <v>13.69587988826817</v>
      </c>
      <c r="AR76" s="750">
        <f>INPUT!CI518</f>
        <v>2589.1</v>
      </c>
      <c r="AS76" s="752">
        <f>INPUT!CJ518</f>
        <v>14.218281277571897</v>
      </c>
      <c r="AT76" s="750">
        <f>INPUT!CK518</f>
        <v>2586.5</v>
      </c>
      <c r="AU76" s="752">
        <f>INPUT!CL518</f>
        <v>-2.8106564460977812</v>
      </c>
      <c r="AV76" s="750">
        <f>INPUT!CM518</f>
        <v>2570.1999999999998</v>
      </c>
      <c r="AW76" s="752">
        <f>INPUT!CN518</f>
        <v>-2.322046136890521</v>
      </c>
      <c r="AX76" s="750">
        <f>INPUT!CO518</f>
        <v>2552.8000000000002</v>
      </c>
      <c r="AY76" s="752">
        <f>INPUT!CP518</f>
        <v>-2.0038387715930805</v>
      </c>
      <c r="AZ76" s="750">
        <f>INPUT!CQ518</f>
        <v>2540.3000000000002</v>
      </c>
      <c r="BA76" s="752">
        <f>INPUT!CR518</f>
        <v>-1.8848248426093894</v>
      </c>
      <c r="BB76" s="750">
        <f>INPUT!CS518</f>
        <v>2781.5</v>
      </c>
      <c r="BC76" s="752">
        <f>INPUT!CT518</f>
        <v>7.5391455635028137</v>
      </c>
      <c r="BD76" s="750">
        <f>INPUT!CU518</f>
        <v>2755.4</v>
      </c>
      <c r="BE76" s="752">
        <f>INPUT!CV518</f>
        <v>7.2056649287993269</v>
      </c>
      <c r="BF76" s="750">
        <f>INPUT!CW518</f>
        <v>2673.9</v>
      </c>
      <c r="BG76" s="752">
        <f>INPUT!CX518</f>
        <v>4.7438107176433597</v>
      </c>
      <c r="BH76" s="750">
        <f>INPUT!CY518</f>
        <v>2644</v>
      </c>
      <c r="BI76" s="752">
        <f>INPUT!CZ518</f>
        <v>4.0821950163366427</v>
      </c>
      <c r="BJ76" s="750">
        <f>INPUT!DA518</f>
        <v>2631.3</v>
      </c>
      <c r="BK76" s="752">
        <f>INPUT!DB518</f>
        <v>-5.399964048175443</v>
      </c>
      <c r="BL76" s="750">
        <f>INPUT!DC518</f>
        <v>2612</v>
      </c>
      <c r="BM76" s="752">
        <f>INPUT!DD518</f>
        <v>-5.2043260506641538</v>
      </c>
      <c r="BN76" s="750">
        <f>INPUT!DE518</f>
        <v>2948.2</v>
      </c>
      <c r="BO76" s="752">
        <f>INPUT!DF518</f>
        <v>10.258424024832635</v>
      </c>
      <c r="BP76" s="750">
        <f>INPUT!DG518</f>
        <v>2792</v>
      </c>
      <c r="BQ76" s="752">
        <f>INPUT!DH518</f>
        <v>5.5975794251134747</v>
      </c>
      <c r="BR76" s="750">
        <f>INPUT!DI518</f>
        <v>2783.3</v>
      </c>
      <c r="BS76" s="752">
        <f>INPUT!DJ518</f>
        <v>5.776612320906005</v>
      </c>
      <c r="BT76" s="750">
        <f>INPUT!DK518</f>
        <v>2628.7000000000003</v>
      </c>
      <c r="BU76" s="752">
        <f>INPUT!DL518</f>
        <v>0.63935681470139727</v>
      </c>
      <c r="BV76" s="750">
        <f>INPUT!DM518</f>
        <v>2603.3000000000002</v>
      </c>
      <c r="BW76" s="752">
        <f>INPUT!DN518</f>
        <v>-11.698663591343861</v>
      </c>
      <c r="BX76" s="750">
        <f>INPUT!DO518</f>
        <v>2580.8000000000002</v>
      </c>
      <c r="BY76" s="752">
        <f>INPUT!DP518</f>
        <v>-7.5644699140401066</v>
      </c>
      <c r="BZ76" s="750">
        <f>INPUT!DQ518</f>
        <v>2217.1</v>
      </c>
      <c r="CA76" s="752">
        <f>INPUT!DR518</f>
        <v>-20.342758595911338</v>
      </c>
      <c r="CB76" s="750">
        <f>INPUT!DS518</f>
        <v>2449.4</v>
      </c>
      <c r="CC76" s="752">
        <f>INPUT!DT518</f>
        <v>-6.8208620230532313</v>
      </c>
      <c r="CD76" s="750">
        <f>INPUT!DU518</f>
        <v>2442.5</v>
      </c>
      <c r="CE76" s="752">
        <f>INPUT!DV518</f>
        <v>-6.1767756309299759</v>
      </c>
      <c r="CF76" s="750">
        <f>INPUT!DW518</f>
        <v>3042.6</v>
      </c>
      <c r="CG76" s="752">
        <f>INPUT!DX518</f>
        <v>17.893676379417233</v>
      </c>
      <c r="CH76" s="750">
        <f>INPUT!DY518</f>
        <v>3019.7999999999997</v>
      </c>
      <c r="CI76" s="752">
        <f>INPUT!DZ518</f>
        <v>36.204952415317294</v>
      </c>
      <c r="CJ76" s="750">
        <f>INPUT!EA518</f>
        <v>2999.4</v>
      </c>
      <c r="CK76" s="752">
        <f>INPUT!EB518</f>
        <v>22.454478647832122</v>
      </c>
      <c r="CL76" s="750">
        <f>INPUT!EC518</f>
        <v>2984.6</v>
      </c>
      <c r="CM76" s="752">
        <f>INPUT!ED518</f>
        <v>22.194472876151483</v>
      </c>
      <c r="CN76" s="750">
        <f>INPUT!EE518</f>
        <v>2968.4</v>
      </c>
      <c r="CO76" s="752">
        <f>INPUT!EF518</f>
        <v>-2.4387037402221701</v>
      </c>
      <c r="CP76" s="750">
        <f>INPUT!EG518</f>
        <v>2754.1000000000004</v>
      </c>
      <c r="CQ76" s="752">
        <f>INPUT!EH518</f>
        <v>-8.7985959335055153</v>
      </c>
      <c r="CR76" s="750">
        <f>INPUT!EI518</f>
        <v>2938.3</v>
      </c>
      <c r="CS76" s="752">
        <f>INPUT!EJ518</f>
        <v>-2.0370740814829591</v>
      </c>
      <c r="CT76" s="750">
        <f>INPUT!EK518</f>
        <v>2938.3</v>
      </c>
      <c r="CU76" s="752">
        <f>INPUT!EL518</f>
        <v>-1.5512966561683217</v>
      </c>
      <c r="CV76" s="750">
        <f>INPUT!EM518</f>
        <v>2938.3</v>
      </c>
      <c r="CW76" s="752">
        <f>INPUT!EN518</f>
        <v>-1.0140142837892441</v>
      </c>
      <c r="CX76" s="750">
        <f>INPUT!EO518</f>
        <v>2938.3</v>
      </c>
      <c r="CY76" s="752">
        <f>INPUT!EP518</f>
        <v>6.6882103046367103</v>
      </c>
      <c r="CZ76" s="750">
        <f>INPUT!EQ518</f>
        <v>2938.3</v>
      </c>
      <c r="DA76" s="752">
        <f>INPUT!ER518</f>
        <v>0</v>
      </c>
      <c r="DB76" s="753"/>
      <c r="DC76" s="750">
        <f>INPUT!FB518</f>
        <v>2004.2</v>
      </c>
      <c r="DD76" s="767" t="str">
        <f>INPUT!FC518</f>
        <v>NA</v>
      </c>
      <c r="DE76" s="750">
        <f>INPUT!FD518</f>
        <v>1914</v>
      </c>
      <c r="DF76" s="767">
        <f>INPUT!FE518</f>
        <v>-4.5005488474204158</v>
      </c>
      <c r="DG76" s="750">
        <f>INPUT!FF518</f>
        <v>2789</v>
      </c>
      <c r="DH76" s="767">
        <f>INPUT!FG518</f>
        <v>45.715778474399158</v>
      </c>
      <c r="DI76" s="750">
        <f>INPUT!FH518</f>
        <v>2862</v>
      </c>
      <c r="DJ76" s="767">
        <f>INPUT!FI518</f>
        <v>2.6174256005736751</v>
      </c>
      <c r="DK76" s="750">
        <f>INPUT!FJ518</f>
        <v>3261.6</v>
      </c>
      <c r="DL76" s="752">
        <f>INPUT!FK518</f>
        <v>13.962264150943394</v>
      </c>
      <c r="DM76" s="750">
        <f>INPUT!FL518</f>
        <v>2659.6</v>
      </c>
      <c r="DN76" s="752">
        <f>INPUT!FM518</f>
        <v>-18.457198920775074</v>
      </c>
      <c r="DO76" s="750">
        <f>INPUT!FN518</f>
        <v>2515.1999999999998</v>
      </c>
      <c r="DP76" s="752">
        <f>INPUT!FO518</f>
        <v>-5.4293878778763798</v>
      </c>
      <c r="DQ76" s="750">
        <f>INPUT!FP518</f>
        <v>2259.4</v>
      </c>
      <c r="DR76" s="752">
        <f>INPUT!FQ518</f>
        <v>-10.17016539440203</v>
      </c>
      <c r="DS76" s="750">
        <f>INPUT!FR518</f>
        <v>2549.6000000000004</v>
      </c>
      <c r="DT76" s="752">
        <f>INPUT!FS518</f>
        <v>12.844117907409046</v>
      </c>
      <c r="DU76" s="750">
        <f>INPUT!FT518</f>
        <v>2631.3</v>
      </c>
      <c r="DV76" s="752">
        <f>INPUT!FU518</f>
        <v>3.204424223407587</v>
      </c>
      <c r="DW76" s="750">
        <f>INPUT!FV518</f>
        <v>2570.1999999999998</v>
      </c>
      <c r="DX76" s="752">
        <f>INPUT!FW518</f>
        <v>-2.322046136890521</v>
      </c>
      <c r="DY76" s="750">
        <f>INPUT!FX518</f>
        <v>2755.4</v>
      </c>
      <c r="DZ76" s="752">
        <f>INPUT!FY518</f>
        <v>7.2056649287993269</v>
      </c>
      <c r="EA76" s="750">
        <f>INPUT!FZ518</f>
        <v>2612</v>
      </c>
      <c r="EB76" s="752">
        <f>INPUT!GA518</f>
        <v>-5.2043260506641538</v>
      </c>
      <c r="EC76" s="750">
        <f>INPUT!GB518</f>
        <v>2628.7000000000003</v>
      </c>
      <c r="ED76" s="752">
        <f>INPUT!GC518</f>
        <v>0.63935681470139727</v>
      </c>
      <c r="EE76" s="750">
        <f>INPUT!GD518</f>
        <v>2449.4</v>
      </c>
      <c r="EF76" s="752">
        <f>INPUT!GE518</f>
        <v>-6.8208620230532313</v>
      </c>
      <c r="EG76" s="750">
        <f>INPUT!GF518</f>
        <v>2999.4</v>
      </c>
      <c r="EH76" s="752">
        <f>INPUT!GG518</f>
        <v>22.454478647832122</v>
      </c>
      <c r="EI76" s="750">
        <f>INPUT!GH518</f>
        <v>2938.3</v>
      </c>
      <c r="EJ76" s="752">
        <f>INPUT!GI518</f>
        <v>-2.0370740814829591</v>
      </c>
      <c r="EK76" s="750">
        <f>INPUT!GJ518</f>
        <v>2938.3</v>
      </c>
      <c r="EL76" s="752">
        <f>INPUT!GK518</f>
        <v>0</v>
      </c>
      <c r="EM76" s="750">
        <f>INPUT!GL518</f>
        <v>2938.3</v>
      </c>
      <c r="EN76" s="752">
        <f>INPUT!GM518</f>
        <v>0</v>
      </c>
      <c r="EO76" s="750">
        <f>INPUT!GN518</f>
        <v>2938.3</v>
      </c>
      <c r="EP76" s="752">
        <f>INPUT!GO518</f>
        <v>0</v>
      </c>
      <c r="EQ76" s="750">
        <f>INPUT!GP518</f>
        <v>2938.3</v>
      </c>
      <c r="ER76" s="752">
        <f>INPUT!GQ518</f>
        <v>0</v>
      </c>
      <c r="ES76" s="750">
        <f>INPUT!GR518</f>
        <v>2938.3</v>
      </c>
      <c r="ET76" s="752">
        <f>INPUT!GS518</f>
        <v>0</v>
      </c>
      <c r="EU76" s="767">
        <f>INPUT!GT518</f>
        <v>0</v>
      </c>
      <c r="EV76" s="710"/>
    </row>
    <row r="77" spans="1:152" ht="12.75" customHeight="1" x14ac:dyDescent="0.2">
      <c r="A77" s="754" t="str">
        <f>INPUT!B531</f>
        <v>Equity EOP Excluding FAS 115</v>
      </c>
      <c r="B77" s="750">
        <f>INPUT!AS531</f>
        <v>6258.2</v>
      </c>
      <c r="C77" s="767">
        <f>INPUT!AT531</f>
        <v>6.4482658910377522</v>
      </c>
      <c r="D77" s="750">
        <f>INPUT!AU531</f>
        <v>6935.2</v>
      </c>
      <c r="E77" s="767">
        <f>INPUT!AV531</f>
        <v>14.933461493843314</v>
      </c>
      <c r="F77" s="750">
        <f>INPUT!AW531</f>
        <v>6850.9</v>
      </c>
      <c r="G77" s="767">
        <f>INPUT!AX531</f>
        <v>12.851895168596705</v>
      </c>
      <c r="H77" s="750">
        <f>INPUT!AY531</f>
        <v>7106</v>
      </c>
      <c r="I77" s="752">
        <f>INPUT!AZ531</f>
        <v>14.605509321979238</v>
      </c>
      <c r="J77" s="750">
        <f>INPUT!BA531</f>
        <v>6832.9000000000005</v>
      </c>
      <c r="K77" s="752">
        <f>INPUT!BB531</f>
        <v>9.1831517049631106</v>
      </c>
      <c r="L77" s="750">
        <f>INPUT!BC531</f>
        <v>7267.9000000000005</v>
      </c>
      <c r="M77" s="752">
        <f>INPUT!BD531</f>
        <v>4.7972661206598266</v>
      </c>
      <c r="N77" s="750">
        <f>INPUT!BE531</f>
        <v>7432.2</v>
      </c>
      <c r="O77" s="752">
        <f>INPUT!BF531</f>
        <v>8.4850165671663582</v>
      </c>
      <c r="P77" s="750">
        <f>INPUT!BG531</f>
        <v>7576.4</v>
      </c>
      <c r="Q77" s="752">
        <f>INPUT!BH531</f>
        <v>6.6197579510272941</v>
      </c>
      <c r="R77" s="750">
        <f>INPUT!BI531</f>
        <v>7368.7</v>
      </c>
      <c r="S77" s="752">
        <f>INPUT!BJ531</f>
        <v>7.8414728738895434</v>
      </c>
      <c r="T77" s="750">
        <f>INPUT!BK531</f>
        <v>7591.3</v>
      </c>
      <c r="U77" s="752">
        <f>INPUT!BL531</f>
        <v>4.4497034906919364</v>
      </c>
      <c r="V77" s="750">
        <f>INPUT!BM531</f>
        <v>7331.5</v>
      </c>
      <c r="W77" s="752">
        <f>INPUT!BN531</f>
        <v>-1.3549150991631009</v>
      </c>
      <c r="X77" s="750">
        <f>INPUT!BO531</f>
        <v>7356.0999999999995</v>
      </c>
      <c r="Y77" s="752">
        <f>INPUT!BP531</f>
        <v>-2.9077134259014814</v>
      </c>
      <c r="Z77" s="750">
        <f>INPUT!BQ531</f>
        <v>7502.6</v>
      </c>
      <c r="AA77" s="752">
        <f>INPUT!BR531</f>
        <v>1.8171454937777387</v>
      </c>
      <c r="AB77" s="750">
        <f>INPUT!BS531</f>
        <v>7770.2999999999993</v>
      </c>
      <c r="AC77" s="752">
        <f>INPUT!BT531</f>
        <v>2.3579624043312597</v>
      </c>
      <c r="AD77" s="750">
        <f>INPUT!BU531</f>
        <v>7978.1</v>
      </c>
      <c r="AE77" s="752">
        <f>INPUT!BV531</f>
        <v>8.8194775966718986</v>
      </c>
      <c r="AF77" s="750">
        <f>INPUT!BW531</f>
        <v>8159.1</v>
      </c>
      <c r="AG77" s="752">
        <f>INPUT!BX531</f>
        <v>10.916110438955439</v>
      </c>
      <c r="AH77" s="750">
        <f>INPUT!BY531</f>
        <v>8377.3000000000011</v>
      </c>
      <c r="AI77" s="752">
        <f>INPUT!BZ531</f>
        <v>11.658625009996548</v>
      </c>
      <c r="AJ77" s="750">
        <f>INPUT!CA531</f>
        <v>8433.8000000000011</v>
      </c>
      <c r="AK77" s="752">
        <f>INPUT!CB531</f>
        <v>8.5389238510739762</v>
      </c>
      <c r="AL77" s="750">
        <f>INPUT!CC531</f>
        <v>8430.3000000000011</v>
      </c>
      <c r="AM77" s="752">
        <f>INPUT!CD531</f>
        <v>5.6680161943319929</v>
      </c>
      <c r="AN77" s="750">
        <f>INPUT!CE531</f>
        <v>8133.5</v>
      </c>
      <c r="AO77" s="752">
        <f>INPUT!CF531</f>
        <v>-0.31376009608903299</v>
      </c>
      <c r="AP77" s="750">
        <f>INPUT!CG531</f>
        <v>8115.9000000000005</v>
      </c>
      <c r="AQ77" s="752">
        <f>INPUT!CH531</f>
        <v>-3.1203371014527415</v>
      </c>
      <c r="AR77" s="750">
        <f>INPUT!CI531</f>
        <v>8173.7999999999993</v>
      </c>
      <c r="AS77" s="752">
        <f>INPUT!CJ531</f>
        <v>-3.0828333609998038</v>
      </c>
      <c r="AT77" s="750">
        <f>INPUT!CK531</f>
        <v>8573.9</v>
      </c>
      <c r="AU77" s="752">
        <f>INPUT!CL531</f>
        <v>1.7033794764124366</v>
      </c>
      <c r="AV77" s="750">
        <f>INPUT!CM531</f>
        <v>7707.9</v>
      </c>
      <c r="AW77" s="752">
        <f>INPUT!CN531</f>
        <v>-5.2326796582037316</v>
      </c>
      <c r="AX77" s="750">
        <f>INPUT!CO531</f>
        <v>7724.5</v>
      </c>
      <c r="AY77" s="752">
        <f>INPUT!CP531</f>
        <v>-4.8226321172020414</v>
      </c>
      <c r="AZ77" s="750">
        <f>INPUT!CQ531</f>
        <v>7785.4</v>
      </c>
      <c r="BA77" s="752">
        <f>INPUT!CR531</f>
        <v>-4.7517678435978317</v>
      </c>
      <c r="BB77" s="750">
        <f>INPUT!CS531</f>
        <v>7882.9999999999991</v>
      </c>
      <c r="BC77" s="752">
        <f>INPUT!CT531</f>
        <v>-8.0581765590921339</v>
      </c>
      <c r="BD77" s="750">
        <f>INPUT!CU531</f>
        <v>7984.6</v>
      </c>
      <c r="BE77" s="752">
        <f>INPUT!CV531</f>
        <v>3.5898234279116314</v>
      </c>
      <c r="BF77" s="750">
        <f>INPUT!CW531</f>
        <v>8072.0999999999995</v>
      </c>
      <c r="BG77" s="752">
        <f>INPUT!CX531</f>
        <v>4.4999676354456453</v>
      </c>
      <c r="BH77" s="750">
        <f>INPUT!CY531</f>
        <v>8163.9000000000005</v>
      </c>
      <c r="BI77" s="752">
        <f>INPUT!CZ531</f>
        <v>4.8616641405708316</v>
      </c>
      <c r="BJ77" s="750">
        <f>INPUT!DA531</f>
        <v>8260.2999999999993</v>
      </c>
      <c r="BK77" s="752">
        <f>INPUT!DB531</f>
        <v>4.7862488900164868</v>
      </c>
      <c r="BL77" s="750">
        <f>INPUT!DC531</f>
        <v>8384.9</v>
      </c>
      <c r="BM77" s="752">
        <f>INPUT!DD531</f>
        <v>5.0134007965333183</v>
      </c>
      <c r="BN77" s="750">
        <f>INPUT!DE531</f>
        <v>8480</v>
      </c>
      <c r="BO77" s="752">
        <f>INPUT!DF531</f>
        <v>5.0532079632313875</v>
      </c>
      <c r="BP77" s="750">
        <f>INPUT!DG531</f>
        <v>8611.8000000000011</v>
      </c>
      <c r="BQ77" s="752">
        <f>INPUT!DH531</f>
        <v>5.486348436409072</v>
      </c>
      <c r="BR77" s="750">
        <f>INPUT!DI531</f>
        <v>8694.4</v>
      </c>
      <c r="BS77" s="752">
        <f>INPUT!DJ531</f>
        <v>5.2552570729876624</v>
      </c>
      <c r="BT77" s="750">
        <f>INPUT!DK531</f>
        <v>8355.5</v>
      </c>
      <c r="BU77" s="752">
        <f>INPUT!DL531</f>
        <v>-0.35063029970542336</v>
      </c>
      <c r="BV77" s="750">
        <f>INPUT!DM531</f>
        <v>8427.5</v>
      </c>
      <c r="BW77" s="752">
        <f>INPUT!DN531</f>
        <v>-0.61910377358490587</v>
      </c>
      <c r="BX77" s="750">
        <f>INPUT!DO531</f>
        <v>8511.3000000000011</v>
      </c>
      <c r="BY77" s="752">
        <f>INPUT!DP531</f>
        <v>-1.1670034139204311</v>
      </c>
      <c r="BZ77" s="750">
        <f>INPUT!DQ531</f>
        <v>8559.1</v>
      </c>
      <c r="CA77" s="752">
        <f>INPUT!DR531</f>
        <v>-1.556174089068818</v>
      </c>
      <c r="CB77" s="750">
        <f>INPUT!DS531</f>
        <v>8647.7999999999993</v>
      </c>
      <c r="CC77" s="752">
        <f>INPUT!DT531</f>
        <v>3.4982945365328089</v>
      </c>
      <c r="CD77" s="750">
        <f>INPUT!DU531</f>
        <v>8719.5999999999985</v>
      </c>
      <c r="CE77" s="752">
        <f>INPUT!DV531</f>
        <v>3.466033817858194</v>
      </c>
      <c r="CF77" s="750">
        <f>INPUT!DW531</f>
        <v>8817.2000000000007</v>
      </c>
      <c r="CG77" s="752">
        <f>INPUT!DX531</f>
        <v>3.5940455629574819</v>
      </c>
      <c r="CH77" s="750">
        <f>INPUT!DY531</f>
        <v>8910.5</v>
      </c>
      <c r="CI77" s="752">
        <f>INPUT!DZ531</f>
        <v>4.1055718475073277</v>
      </c>
      <c r="CJ77" s="750">
        <f>INPUT!EA531</f>
        <v>9019</v>
      </c>
      <c r="CK77" s="752">
        <f>INPUT!EB531</f>
        <v>4.292421193829643</v>
      </c>
      <c r="CL77" s="750">
        <f>INPUT!EC531</f>
        <v>9103.2799999999988</v>
      </c>
      <c r="CM77" s="752">
        <f>INPUT!ED531</f>
        <v>4.4002018441212876</v>
      </c>
      <c r="CN77" s="750">
        <f>INPUT!EE531</f>
        <v>9211.7000000000007</v>
      </c>
      <c r="CO77" s="752">
        <f>INPUT!EF531</f>
        <v>4.47420949961439</v>
      </c>
      <c r="CP77" s="750">
        <f>INPUT!EG531</f>
        <v>9324.3000000000011</v>
      </c>
      <c r="CQ77" s="752">
        <f>INPUT!EH531</f>
        <v>4.6439593737725327</v>
      </c>
      <c r="CR77" s="750">
        <f>INPUT!EI531</f>
        <v>9447.4</v>
      </c>
      <c r="CS77" s="752">
        <f>INPUT!EJ531</f>
        <v>4.7499722807406553</v>
      </c>
      <c r="CT77" s="750">
        <f>INPUT!EK531</f>
        <v>9558.4828303240956</v>
      </c>
      <c r="CU77" s="752">
        <f>INPUT!EL531</f>
        <v>5.0004265531115921</v>
      </c>
      <c r="CV77" s="750">
        <f>INPUT!EM531</f>
        <v>9685.2669541748146</v>
      </c>
      <c r="CW77" s="752">
        <f>INPUT!EN531</f>
        <v>5.1409289726631835</v>
      </c>
      <c r="CX77" s="750">
        <f>INPUT!EO531</f>
        <v>9806.1279088450246</v>
      </c>
      <c r="CY77" s="752">
        <f>INPUT!EP531</f>
        <v>5.1674432273202564</v>
      </c>
      <c r="CZ77" s="750">
        <f>INPUT!EQ531</f>
        <v>9930.3287902548473</v>
      </c>
      <c r="DA77" s="752">
        <f>INPUT!ER531</f>
        <v>5.1117639800881465</v>
      </c>
      <c r="DB77" s="753"/>
      <c r="DC77" s="750">
        <f>INPUT!FB531</f>
        <v>5891.9</v>
      </c>
      <c r="DD77" s="767" t="str">
        <f>INPUT!FC531</f>
        <v>NA</v>
      </c>
      <c r="DE77" s="750">
        <f>INPUT!FD531</f>
        <v>6065.8</v>
      </c>
      <c r="DF77" s="767">
        <f>INPUT!FE531</f>
        <v>2.9515096997573043</v>
      </c>
      <c r="DG77" s="750">
        <f>INPUT!FF531</f>
        <v>6099.8</v>
      </c>
      <c r="DH77" s="767">
        <f>INPUT!FG531</f>
        <v>0.56051963467309562</v>
      </c>
      <c r="DI77" s="750">
        <f>INPUT!FH531</f>
        <v>5743</v>
      </c>
      <c r="DJ77" s="767">
        <f>INPUT!FI531</f>
        <v>-5.8493721105610019</v>
      </c>
      <c r="DK77" s="750">
        <f>INPUT!FJ531</f>
        <v>6200.4</v>
      </c>
      <c r="DL77" s="752">
        <f>INPUT!FK531</f>
        <v>7.9644784955598125</v>
      </c>
      <c r="DM77" s="750">
        <f>INPUT!FL531</f>
        <v>7106</v>
      </c>
      <c r="DN77" s="752">
        <f>INPUT!FM531</f>
        <v>14.605509321979238</v>
      </c>
      <c r="DO77" s="750">
        <f>INPUT!FN531</f>
        <v>7576.4</v>
      </c>
      <c r="DP77" s="752">
        <f>INPUT!FO531</f>
        <v>6.6197579510272941</v>
      </c>
      <c r="DQ77" s="750">
        <f>INPUT!FP531</f>
        <v>7356.0999999999995</v>
      </c>
      <c r="DR77" s="752">
        <f>INPUT!FQ531</f>
        <v>-2.9077134259014814</v>
      </c>
      <c r="DS77" s="750">
        <f>INPUT!FR531</f>
        <v>8159.1</v>
      </c>
      <c r="DT77" s="752">
        <f>INPUT!FS531</f>
        <v>10.916110438955439</v>
      </c>
      <c r="DU77" s="750">
        <f>INPUT!FT531</f>
        <v>8133.5</v>
      </c>
      <c r="DV77" s="752">
        <f>INPUT!FU531</f>
        <v>-0.31376009608903299</v>
      </c>
      <c r="DW77" s="750">
        <f>INPUT!FV531</f>
        <v>7707.9</v>
      </c>
      <c r="DX77" s="752">
        <f>INPUT!FW531</f>
        <v>-5.2326796582037316</v>
      </c>
      <c r="DY77" s="750">
        <f>INPUT!FX531</f>
        <v>7984.6</v>
      </c>
      <c r="DZ77" s="752">
        <f>INPUT!FY531</f>
        <v>3.5898234279116314</v>
      </c>
      <c r="EA77" s="750">
        <f>INPUT!FZ531</f>
        <v>8384.9</v>
      </c>
      <c r="EB77" s="752">
        <f>INPUT!GA531</f>
        <v>5.0134007965333183</v>
      </c>
      <c r="EC77" s="750">
        <f>INPUT!GB531</f>
        <v>8355.5</v>
      </c>
      <c r="ED77" s="752">
        <f>INPUT!GC531</f>
        <v>-0.35063029970542336</v>
      </c>
      <c r="EE77" s="750">
        <f>INPUT!GD531</f>
        <v>8647.7999999999993</v>
      </c>
      <c r="EF77" s="752">
        <f>INPUT!GE531</f>
        <v>3.4982945365328089</v>
      </c>
      <c r="EG77" s="750">
        <f>INPUT!GF531</f>
        <v>9019</v>
      </c>
      <c r="EH77" s="752">
        <f>INPUT!GG531</f>
        <v>4.292421193829643</v>
      </c>
      <c r="EI77" s="750">
        <f>INPUT!GH531</f>
        <v>9447.4</v>
      </c>
      <c r="EJ77" s="752">
        <f>INPUT!GI531</f>
        <v>4.7499722807406553</v>
      </c>
      <c r="EK77" s="750">
        <f>INPUT!GJ531</f>
        <v>9930.3287902548473</v>
      </c>
      <c r="EL77" s="752">
        <f>INPUT!GK531</f>
        <v>5.1117639800881465</v>
      </c>
      <c r="EM77" s="750">
        <f>INPUT!GL531</f>
        <v>10429.202729138586</v>
      </c>
      <c r="EN77" s="752">
        <f>INPUT!GM531</f>
        <v>5.0237403959203286</v>
      </c>
      <c r="EO77" s="750">
        <f>INPUT!GN531</f>
        <v>10920.977516748733</v>
      </c>
      <c r="EP77" s="752">
        <f>INPUT!GO531</f>
        <v>4.7153632006419643</v>
      </c>
      <c r="EQ77" s="750">
        <f>INPUT!GP531</f>
        <v>11433.772349577594</v>
      </c>
      <c r="ER77" s="752">
        <f>INPUT!GQ531</f>
        <v>4.6955030540299481</v>
      </c>
      <c r="ES77" s="750">
        <f>INPUT!GR531</f>
        <v>11937.160699800681</v>
      </c>
      <c r="ET77" s="752">
        <f>INPUT!GS531</f>
        <v>4.4026445064011099</v>
      </c>
      <c r="EU77" s="767">
        <f>INPUT!GT531</f>
        <v>4.7894949863732661</v>
      </c>
      <c r="EV77" s="710"/>
    </row>
    <row r="78" spans="1:152" ht="12.75" customHeight="1" x14ac:dyDescent="0.2">
      <c r="A78" s="754" t="str">
        <f>INPUT!B543</f>
        <v>LT Debt to LT Capital (%)</v>
      </c>
      <c r="B78" s="793">
        <f>INPUT!AS543</f>
        <v>24.935853856444222</v>
      </c>
      <c r="C78" s="767">
        <f>INPUT!AT543</f>
        <v>-4.1693593560938496</v>
      </c>
      <c r="D78" s="793">
        <f>INPUT!AU543</f>
        <v>20.787001937494736</v>
      </c>
      <c r="E78" s="767">
        <f>INPUT!AV543</f>
        <v>-18.697187102155667</v>
      </c>
      <c r="F78" s="793">
        <f>INPUT!AW543</f>
        <v>20.973173970783531</v>
      </c>
      <c r="G78" s="767">
        <f>INPUT!AX543</f>
        <v>-17.63153610515802</v>
      </c>
      <c r="H78" s="793">
        <f>INPUT!AY543</f>
        <v>21.218358318997296</v>
      </c>
      <c r="I78" s="752">
        <f>INPUT!AZ543</f>
        <v>-24.921242132174402</v>
      </c>
      <c r="J78" s="793">
        <f>INPUT!BA543</f>
        <v>20.489467029552319</v>
      </c>
      <c r="K78" s="752">
        <f>INPUT!BB543</f>
        <v>-17.831299671909228</v>
      </c>
      <c r="L78" s="793">
        <f>INPUT!BC543</f>
        <v>17.792707940893298</v>
      </c>
      <c r="M78" s="752">
        <f>INPUT!BD543</f>
        <v>-14.404645776264902</v>
      </c>
      <c r="N78" s="793">
        <f>INPUT!BE543</f>
        <v>17.470722621277297</v>
      </c>
      <c r="O78" s="752">
        <f>INPUT!BF543</f>
        <v>-16.699672421471778</v>
      </c>
      <c r="P78" s="793">
        <f>INPUT!BG543</f>
        <v>19.102025446906339</v>
      </c>
      <c r="Q78" s="752">
        <f>INPUT!BH543</f>
        <v>-9.9740651009562526</v>
      </c>
      <c r="R78" s="793">
        <f>INPUT!BI543</f>
        <v>19.36065839617287</v>
      </c>
      <c r="S78" s="752">
        <f>INPUT!BJ543</f>
        <v>-5.5092142306647052</v>
      </c>
      <c r="T78" s="793">
        <f>INPUT!BK543</f>
        <v>17.298980747451871</v>
      </c>
      <c r="U78" s="752">
        <f>INPUT!BL543</f>
        <v>-2.7748850544929371</v>
      </c>
      <c r="V78" s="793">
        <f>INPUT!BM543</f>
        <v>17.655377512504025</v>
      </c>
      <c r="W78" s="752">
        <f>INPUT!BN543</f>
        <v>1.0569390587304106</v>
      </c>
      <c r="X78" s="793">
        <f>INPUT!BO543</f>
        <v>17.387551349383809</v>
      </c>
      <c r="Y78" s="752">
        <f>INPUT!BP543</f>
        <v>-8.9753523901843444</v>
      </c>
      <c r="Z78" s="793">
        <f>INPUT!BQ543</f>
        <v>17.086694064956493</v>
      </c>
      <c r="AA78" s="752">
        <f>INPUT!BR543</f>
        <v>-11.745284094604369</v>
      </c>
      <c r="AB78" s="793">
        <f>INPUT!BS543</f>
        <v>16.596313704357893</v>
      </c>
      <c r="AC78" s="752">
        <f>INPUT!BT543</f>
        <v>-4.0618985207985787</v>
      </c>
      <c r="AD78" s="793">
        <f>INPUT!BU543</f>
        <v>18.873303467414264</v>
      </c>
      <c r="AE78" s="752">
        <f>INPUT!BV543</f>
        <v>6.8983285916580872</v>
      </c>
      <c r="AF78" s="793">
        <f>INPUT!BW543</f>
        <v>18.322485455750932</v>
      </c>
      <c r="AG78" s="752">
        <f>INPUT!BX543</f>
        <v>5.377031461076065</v>
      </c>
      <c r="AH78" s="793">
        <f>INPUT!BY543</f>
        <v>15.969442752026994</v>
      </c>
      <c r="AI78" s="752">
        <f>INPUT!BZ543</f>
        <v>-6.5387213505560204</v>
      </c>
      <c r="AJ78" s="793">
        <f>INPUT!CA543</f>
        <v>15.69351251331701</v>
      </c>
      <c r="AK78" s="752">
        <f>INPUT!CB543</f>
        <v>-5.439769379653403</v>
      </c>
      <c r="AL78" s="793">
        <f>INPUT!CC543</f>
        <v>18.697031988171226</v>
      </c>
      <c r="AM78" s="752">
        <f>INPUT!CD543</f>
        <v>-0.93397257956128188</v>
      </c>
      <c r="AN78" s="793">
        <f>INPUT!CE543</f>
        <v>18.985954221165283</v>
      </c>
      <c r="AO78" s="752">
        <f>INPUT!CF543</f>
        <v>3.6210631304177454</v>
      </c>
      <c r="AP78" s="793">
        <f>INPUT!CG543</f>
        <v>18.818382785027374</v>
      </c>
      <c r="AQ78" s="752">
        <f>INPUT!CH543</f>
        <v>17.839946435443178</v>
      </c>
      <c r="AR78" s="793">
        <f>INPUT!CI543</f>
        <v>18.597218221854707</v>
      </c>
      <c r="AS78" s="752">
        <f>INPUT!CJ543</f>
        <v>18.502586378120924</v>
      </c>
      <c r="AT78" s="793">
        <f>INPUT!CK543</f>
        <v>17.911544389089997</v>
      </c>
      <c r="AU78" s="752">
        <f>INPUT!CL543</f>
        <v>-4.2011352367486543</v>
      </c>
      <c r="AV78" s="793">
        <f>INPUT!CM543</f>
        <v>19.290530350940351</v>
      </c>
      <c r="AW78" s="752">
        <f>INPUT!CN543</f>
        <v>1.6042181827002011</v>
      </c>
      <c r="AX78" s="793">
        <f>INPUT!CO543</f>
        <v>19.122726786218173</v>
      </c>
      <c r="AY78" s="752">
        <f>INPUT!CP543</f>
        <v>1.6172696913836049</v>
      </c>
      <c r="AZ78" s="793">
        <f>INPUT!CQ543</f>
        <v>18.912035019417569</v>
      </c>
      <c r="BA78" s="752">
        <f>INPUT!CR543</f>
        <v>1.6928166019630986</v>
      </c>
      <c r="BB78" s="793">
        <f>INPUT!CS543</f>
        <v>20.572928876177972</v>
      </c>
      <c r="BC78" s="752">
        <f>INPUT!CT543</f>
        <v>14.858486958327477</v>
      </c>
      <c r="BD78" s="793">
        <f>INPUT!CU543</f>
        <v>20.185288640595907</v>
      </c>
      <c r="BE78" s="752">
        <f>INPUT!CV543</f>
        <v>4.6383291354762601</v>
      </c>
      <c r="BF78" s="793">
        <f>INPUT!CW543</f>
        <v>19.415596501023639</v>
      </c>
      <c r="BG78" s="752">
        <f>INPUT!CX543</f>
        <v>1.5315269526129383</v>
      </c>
      <c r="BH78" s="793">
        <f>INPUT!CY543</f>
        <v>19.027748221208558</v>
      </c>
      <c r="BI78" s="752">
        <f>INPUT!CZ543</f>
        <v>0.61184955332507229</v>
      </c>
      <c r="BJ78" s="793">
        <f>INPUT!DA543</f>
        <v>18.764919754673333</v>
      </c>
      <c r="BK78" s="752">
        <f>INPUT!DB543</f>
        <v>-8.7882922863656514</v>
      </c>
      <c r="BL78" s="793">
        <f>INPUT!DC543</f>
        <v>18.409733652211077</v>
      </c>
      <c r="BM78" s="752">
        <f>INPUT!DD543</f>
        <v>-8.7962823816841507</v>
      </c>
      <c r="BN78" s="793">
        <f>INPUT!DE543</f>
        <v>20.656796345881236</v>
      </c>
      <c r="BO78" s="752">
        <f>INPUT!DF543</f>
        <v>6.3927978972583066</v>
      </c>
      <c r="BP78" s="793">
        <f>INPUT!DG543</f>
        <v>19.331275539732367</v>
      </c>
      <c r="BQ78" s="752">
        <f>INPUT!DH543</f>
        <v>1.5951825460118974</v>
      </c>
      <c r="BR78" s="793">
        <f>INPUT!DI543</f>
        <v>19.131010568319436</v>
      </c>
      <c r="BS78" s="752">
        <f>INPUT!DJ543</f>
        <v>1.950931943393619</v>
      </c>
      <c r="BT78" s="793">
        <f>INPUT!DK543</f>
        <v>18.583055661768725</v>
      </c>
      <c r="BU78" s="752">
        <f>INPUT!DL543</f>
        <v>0.94146940326229611</v>
      </c>
      <c r="BV78" s="793">
        <f>INPUT!DM543</f>
        <v>18.274286543133776</v>
      </c>
      <c r="BW78" s="752">
        <f>INPUT!DN543</f>
        <v>-11.533781729045845</v>
      </c>
      <c r="BX78" s="793">
        <f>INPUT!DO543</f>
        <v>17.970447435562246</v>
      </c>
      <c r="BY78" s="752">
        <f>INPUT!DP543</f>
        <v>-7.0395153251690772</v>
      </c>
      <c r="BZ78" s="793">
        <f>INPUT!DQ543</f>
        <v>15.122213767376252</v>
      </c>
      <c r="CA78" s="752">
        <f>INPUT!DR543</f>
        <v>-20.954443502224972</v>
      </c>
      <c r="CB78" s="793">
        <f>INPUT!DS543</f>
        <v>16.778106188948566</v>
      </c>
      <c r="CC78" s="752">
        <f>INPUT!DT543</f>
        <v>-9.7128777186709758</v>
      </c>
      <c r="CD78" s="793">
        <f>INPUT!DU543</f>
        <v>16.618736617661554</v>
      </c>
      <c r="CE78" s="752">
        <f>INPUT!DV543</f>
        <v>-9.0594504007832981</v>
      </c>
      <c r="CF78" s="793">
        <f>INPUT!DW543</f>
        <v>20.701023626030789</v>
      </c>
      <c r="CG78" s="752">
        <f>INPUT!DX543</f>
        <v>15.194814710428005</v>
      </c>
      <c r="CH78" s="793">
        <f>INPUT!DY543</f>
        <v>20.387584553615586</v>
      </c>
      <c r="CI78" s="752">
        <f>INPUT!DZ543</f>
        <v>34.818782932420419</v>
      </c>
      <c r="CJ78" s="793">
        <f>INPUT!EA543</f>
        <v>20.068395127471213</v>
      </c>
      <c r="CK78" s="752">
        <f>INPUT!EB543</f>
        <v>19.610609811790923</v>
      </c>
      <c r="CL78" s="793">
        <f>INPUT!EC543</f>
        <v>19.830607186702714</v>
      </c>
      <c r="CM78" s="752">
        <f>INPUT!ED543</f>
        <v>19.326803492557598</v>
      </c>
      <c r="CN78" s="793">
        <f>INPUT!EE543</f>
        <v>19.547458559453535</v>
      </c>
      <c r="CO78" s="752">
        <f>INPUT!EF543</f>
        <v>-5.572502536187085</v>
      </c>
      <c r="CP78" s="793">
        <f>INPUT!EG543</f>
        <v>17.937806331964499</v>
      </c>
      <c r="CQ78" s="752">
        <f>INPUT!EH543</f>
        <v>-12.016029732255051</v>
      </c>
      <c r="CR78" s="793">
        <f>INPUT!EI543</f>
        <v>18.979952687373341</v>
      </c>
      <c r="CS78" s="752">
        <f>INPUT!EJ543</f>
        <v>-5.4236645889432662</v>
      </c>
      <c r="CT78" s="793">
        <f>INPUT!EK543</f>
        <v>18.811241516461831</v>
      </c>
      <c r="CU78" s="752">
        <f>INPUT!EL543</f>
        <v>-5.1403653990202187</v>
      </c>
      <c r="CV78" s="793">
        <f>INPUT!EM543</f>
        <v>18.62231181197604</v>
      </c>
      <c r="CW78" s="752">
        <f>INPUT!EN543</f>
        <v>-4.7328236796802203</v>
      </c>
      <c r="CX78" s="793">
        <f>INPUT!EO543</f>
        <v>18.445708326918879</v>
      </c>
      <c r="CY78" s="752">
        <f>INPUT!EP543</f>
        <v>2.8314610245809169</v>
      </c>
      <c r="CZ78" s="793">
        <f>INPUT!EQ543</f>
        <v>18.267680561119406</v>
      </c>
      <c r="DA78" s="752">
        <f>INPUT!ER543</f>
        <v>-3.7527602833687945</v>
      </c>
      <c r="DB78" s="753"/>
      <c r="DC78" s="793">
        <f>INPUT!FB543</f>
        <v>24.453093544490677</v>
      </c>
      <c r="DD78" s="767" t="str">
        <f>INPUT!FC543</f>
        <v>NA</v>
      </c>
      <c r="DE78" s="793">
        <f>INPUT!FD543</f>
        <v>23.116500398560355</v>
      </c>
      <c r="DF78" s="767">
        <f>INPUT!FE543</f>
        <v>-5.4659470528687359</v>
      </c>
      <c r="DG78" s="793">
        <f>INPUT!FF543</f>
        <v>26.454639546395462</v>
      </c>
      <c r="DH78" s="767">
        <f>INPUT!FG543</f>
        <v>14.440503926982817</v>
      </c>
      <c r="DI78" s="793">
        <f>INPUT!FH543</f>
        <v>26.432306798373041</v>
      </c>
      <c r="DJ78" s="767">
        <f>INPUT!FI543</f>
        <v>-8.4419022165294066E-2</v>
      </c>
      <c r="DK78" s="793">
        <f>INPUT!FJ543</f>
        <v>28.261466920312827</v>
      </c>
      <c r="DL78" s="752">
        <f>INPUT!FK543</f>
        <v>6.9201683223969468</v>
      </c>
      <c r="DM78" s="793">
        <f>INPUT!FL543</f>
        <v>21.218358318997296</v>
      </c>
      <c r="DN78" s="752">
        <f>INPUT!FM543</f>
        <v>-24.921242132174402</v>
      </c>
      <c r="DO78" s="793">
        <f>INPUT!FN543</f>
        <v>19.102025446906339</v>
      </c>
      <c r="DP78" s="752">
        <f>INPUT!FO543</f>
        <v>-9.9740651009562526</v>
      </c>
      <c r="DQ78" s="793">
        <f>INPUT!FP543</f>
        <v>17.387551349383809</v>
      </c>
      <c r="DR78" s="752">
        <f>INPUT!FQ543</f>
        <v>-8.9753523901843444</v>
      </c>
      <c r="DS78" s="793">
        <f>INPUT!FR543</f>
        <v>18.322485455750932</v>
      </c>
      <c r="DT78" s="752">
        <f>INPUT!FS543</f>
        <v>5.377031461076065</v>
      </c>
      <c r="DU78" s="793">
        <f>INPUT!FT543</f>
        <v>18.985954221165283</v>
      </c>
      <c r="DV78" s="752">
        <f>INPUT!FU543</f>
        <v>3.6210631304177454</v>
      </c>
      <c r="DW78" s="793">
        <f>INPUT!FV543</f>
        <v>19.290530350940351</v>
      </c>
      <c r="DX78" s="752">
        <f>INPUT!FW543</f>
        <v>1.6042181827002011</v>
      </c>
      <c r="DY78" s="793">
        <f>INPUT!FX543</f>
        <v>20.185288640595907</v>
      </c>
      <c r="DZ78" s="752">
        <f>INPUT!FY543</f>
        <v>4.6383291354762601</v>
      </c>
      <c r="EA78" s="793">
        <f>INPUT!FZ543</f>
        <v>18.409733652211077</v>
      </c>
      <c r="EB78" s="752">
        <f>INPUT!GA543</f>
        <v>-8.7962823816841507</v>
      </c>
      <c r="EC78" s="793">
        <f>INPUT!GB543</f>
        <v>18.583055661768725</v>
      </c>
      <c r="ED78" s="752">
        <f>INPUT!GC543</f>
        <v>0.94146940326229611</v>
      </c>
      <c r="EE78" s="793">
        <f>INPUT!GD543</f>
        <v>16.778106188948566</v>
      </c>
      <c r="EF78" s="752">
        <f>INPUT!GE543</f>
        <v>-9.7128777186709758</v>
      </c>
      <c r="EG78" s="793">
        <f>INPUT!GF543</f>
        <v>20.068395127471213</v>
      </c>
      <c r="EH78" s="752">
        <f>INPUT!GG543</f>
        <v>19.610609811790923</v>
      </c>
      <c r="EI78" s="793">
        <f>INPUT!GH543</f>
        <v>18.979952687373341</v>
      </c>
      <c r="EJ78" s="752">
        <f>INPUT!GI543</f>
        <v>-5.4236645889432662</v>
      </c>
      <c r="EK78" s="793">
        <f>INPUT!GJ543</f>
        <v>18.267680561119406</v>
      </c>
      <c r="EL78" s="752">
        <f>INPUT!GK543</f>
        <v>-3.7527602833687945</v>
      </c>
      <c r="EM78" s="793">
        <f>INPUT!GL543</f>
        <v>17.585932448517166</v>
      </c>
      <c r="EN78" s="752">
        <f>INPUT!GM543</f>
        <v>-3.7319905519546892</v>
      </c>
      <c r="EO78" s="793">
        <f>INPUT!GN543</f>
        <v>16.961923138916099</v>
      </c>
      <c r="EP78" s="752">
        <f>INPUT!GO543</f>
        <v>-3.5483436060490647</v>
      </c>
      <c r="EQ78" s="793">
        <f>INPUT!GP543</f>
        <v>16.356722557614262</v>
      </c>
      <c r="ER78" s="752">
        <f>INPUT!GQ543</f>
        <v>-3.5679950695762352</v>
      </c>
      <c r="ES78" s="793">
        <f>INPUT!GR543</f>
        <v>15.803208031274613</v>
      </c>
      <c r="ET78" s="752">
        <f>INPUT!GS543</f>
        <v>-3.3840185550006785</v>
      </c>
      <c r="EU78" s="767">
        <f>INPUT!GT543</f>
        <v>-3.5971160386776058</v>
      </c>
      <c r="EV78" s="710"/>
    </row>
    <row r="79" spans="1:152" ht="12.75" customHeight="1" x14ac:dyDescent="0.2">
      <c r="A79" s="754" t="str">
        <f>INPUT!B544</f>
        <v>LTD + Pref Equity to LT Capital (%)</v>
      </c>
      <c r="B79" s="793">
        <f>INPUT!AS544</f>
        <v>24.935853856444222</v>
      </c>
      <c r="C79" s="767">
        <f>INPUT!AT544</f>
        <v>-4.1693593560938496</v>
      </c>
      <c r="D79" s="793">
        <f>INPUT!AU544</f>
        <v>20.787001937494736</v>
      </c>
      <c r="E79" s="767">
        <f>INPUT!AV544</f>
        <v>-18.697187102155667</v>
      </c>
      <c r="F79" s="793">
        <f>INPUT!AW544</f>
        <v>20.973173970783531</v>
      </c>
      <c r="G79" s="767">
        <f>INPUT!AX544</f>
        <v>-17.63153610515802</v>
      </c>
      <c r="H79" s="793">
        <f>INPUT!AY544</f>
        <v>21.218358318997296</v>
      </c>
      <c r="I79" s="752">
        <f>INPUT!AZ544</f>
        <v>-24.921242132174402</v>
      </c>
      <c r="J79" s="793">
        <f>INPUT!BA544</f>
        <v>20.489467029552319</v>
      </c>
      <c r="K79" s="752">
        <f>INPUT!BB544</f>
        <v>-17.831299671909228</v>
      </c>
      <c r="L79" s="793">
        <f>INPUT!BC544</f>
        <v>17.792707940893298</v>
      </c>
      <c r="M79" s="752">
        <f>INPUT!BD544</f>
        <v>-14.404645776264902</v>
      </c>
      <c r="N79" s="793">
        <f>INPUT!BE544</f>
        <v>17.470722621277297</v>
      </c>
      <c r="O79" s="752">
        <f>INPUT!BF544</f>
        <v>-16.699672421471778</v>
      </c>
      <c r="P79" s="793">
        <f>INPUT!BG544</f>
        <v>19.102025446906339</v>
      </c>
      <c r="Q79" s="752">
        <f>INPUT!BH544</f>
        <v>-9.9740651009562526</v>
      </c>
      <c r="R79" s="793">
        <f>INPUT!BI544</f>
        <v>19.36065839617287</v>
      </c>
      <c r="S79" s="752">
        <f>INPUT!BJ544</f>
        <v>-5.5092142306647052</v>
      </c>
      <c r="T79" s="793">
        <f>INPUT!BK544</f>
        <v>17.298980747451871</v>
      </c>
      <c r="U79" s="752">
        <f>INPUT!BL544</f>
        <v>-2.7748850544929371</v>
      </c>
      <c r="V79" s="793">
        <f>INPUT!BM544</f>
        <v>17.655377512504025</v>
      </c>
      <c r="W79" s="752">
        <f>INPUT!BN544</f>
        <v>1.0569390587304106</v>
      </c>
      <c r="X79" s="793">
        <f>INPUT!BO544</f>
        <v>17.387551349383809</v>
      </c>
      <c r="Y79" s="752">
        <f>INPUT!BP544</f>
        <v>-8.9753523901843444</v>
      </c>
      <c r="Z79" s="793">
        <f>INPUT!BQ544</f>
        <v>17.086694064956493</v>
      </c>
      <c r="AA79" s="752">
        <f>INPUT!BR544</f>
        <v>-11.745284094604369</v>
      </c>
      <c r="AB79" s="793">
        <f>INPUT!BS544</f>
        <v>16.596313704357893</v>
      </c>
      <c r="AC79" s="752">
        <f>INPUT!BT544</f>
        <v>-4.0618985207985787</v>
      </c>
      <c r="AD79" s="793">
        <f>INPUT!BU544</f>
        <v>18.873303467414264</v>
      </c>
      <c r="AE79" s="752">
        <f>INPUT!BV544</f>
        <v>6.8983285916580872</v>
      </c>
      <c r="AF79" s="793">
        <f>INPUT!BW544</f>
        <v>18.322485455750932</v>
      </c>
      <c r="AG79" s="752">
        <f>INPUT!BX544</f>
        <v>5.377031461076065</v>
      </c>
      <c r="AH79" s="793">
        <f>INPUT!BY544</f>
        <v>15.969442752026994</v>
      </c>
      <c r="AI79" s="752">
        <f>INPUT!BZ544</f>
        <v>-6.5387213505560204</v>
      </c>
      <c r="AJ79" s="793">
        <f>INPUT!CA544</f>
        <v>15.69351251331701</v>
      </c>
      <c r="AK79" s="752">
        <f>INPUT!CB544</f>
        <v>-5.439769379653403</v>
      </c>
      <c r="AL79" s="793">
        <f>INPUT!CC544</f>
        <v>18.697031988171226</v>
      </c>
      <c r="AM79" s="752">
        <f>INPUT!CD544</f>
        <v>-0.93397257956128188</v>
      </c>
      <c r="AN79" s="793">
        <f>INPUT!CE544</f>
        <v>18.985954221165283</v>
      </c>
      <c r="AO79" s="752">
        <f>INPUT!CF544</f>
        <v>3.6210631304177454</v>
      </c>
      <c r="AP79" s="793">
        <f>INPUT!CG544</f>
        <v>18.818382785027374</v>
      </c>
      <c r="AQ79" s="752">
        <f>INPUT!CH544</f>
        <v>17.839946435443178</v>
      </c>
      <c r="AR79" s="793">
        <f>INPUT!CI544</f>
        <v>18.597218221854707</v>
      </c>
      <c r="AS79" s="752">
        <f>INPUT!CJ544</f>
        <v>18.502586378120924</v>
      </c>
      <c r="AT79" s="793">
        <f>INPUT!CK544</f>
        <v>17.911544389089997</v>
      </c>
      <c r="AU79" s="752">
        <f>INPUT!CL544</f>
        <v>-4.2011352367486543</v>
      </c>
      <c r="AV79" s="793">
        <f>INPUT!CM544</f>
        <v>19.290530350940351</v>
      </c>
      <c r="AW79" s="752">
        <f>INPUT!CN544</f>
        <v>1.6042181827002011</v>
      </c>
      <c r="AX79" s="793">
        <f>INPUT!CO544</f>
        <v>19.122726786218173</v>
      </c>
      <c r="AY79" s="752">
        <f>INPUT!CP544</f>
        <v>1.6172696913836049</v>
      </c>
      <c r="AZ79" s="793">
        <f>INPUT!CQ544</f>
        <v>18.912035019417569</v>
      </c>
      <c r="BA79" s="752">
        <f>INPUT!CR544</f>
        <v>1.6928166019630986</v>
      </c>
      <c r="BB79" s="793">
        <f>INPUT!CS544</f>
        <v>20.572928876177972</v>
      </c>
      <c r="BC79" s="752">
        <f>INPUT!CT544</f>
        <v>14.858486958327477</v>
      </c>
      <c r="BD79" s="793">
        <f>INPUT!CU544</f>
        <v>20.185288640595907</v>
      </c>
      <c r="BE79" s="752">
        <f>INPUT!CV544</f>
        <v>4.6383291354762601</v>
      </c>
      <c r="BF79" s="793">
        <f>INPUT!CW544</f>
        <v>19.415596501023639</v>
      </c>
      <c r="BG79" s="752">
        <f>INPUT!CX544</f>
        <v>1.5315269526129383</v>
      </c>
      <c r="BH79" s="793">
        <f>INPUT!CY544</f>
        <v>19.027748221208558</v>
      </c>
      <c r="BI79" s="752">
        <f>INPUT!CZ544</f>
        <v>0.61184955332507229</v>
      </c>
      <c r="BJ79" s="793">
        <f>INPUT!DA544</f>
        <v>18.764919754673333</v>
      </c>
      <c r="BK79" s="752">
        <f>INPUT!DB544</f>
        <v>-8.7882922863656514</v>
      </c>
      <c r="BL79" s="793">
        <f>INPUT!DC544</f>
        <v>18.409733652211077</v>
      </c>
      <c r="BM79" s="752">
        <f>INPUT!DD544</f>
        <v>-8.7962823816841507</v>
      </c>
      <c r="BN79" s="793">
        <f>INPUT!DE544</f>
        <v>20.656796345881236</v>
      </c>
      <c r="BO79" s="752">
        <f>INPUT!DF544</f>
        <v>6.3927978972583066</v>
      </c>
      <c r="BP79" s="793">
        <f>INPUT!DG544</f>
        <v>19.331275539732367</v>
      </c>
      <c r="BQ79" s="752">
        <f>INPUT!DH544</f>
        <v>1.5951825460118974</v>
      </c>
      <c r="BR79" s="793">
        <f>INPUT!DI544</f>
        <v>19.131010568319436</v>
      </c>
      <c r="BS79" s="752">
        <f>INPUT!DJ544</f>
        <v>1.950931943393619</v>
      </c>
      <c r="BT79" s="793">
        <f>INPUT!DK544</f>
        <v>18.583055661768725</v>
      </c>
      <c r="BU79" s="752">
        <f>INPUT!DL544</f>
        <v>0.94146940326229611</v>
      </c>
      <c r="BV79" s="793">
        <f>INPUT!DM544</f>
        <v>18.274286543133776</v>
      </c>
      <c r="BW79" s="752">
        <f>INPUT!DN544</f>
        <v>-11.533781729045845</v>
      </c>
      <c r="BX79" s="793">
        <f>INPUT!DO544</f>
        <v>17.970447435562246</v>
      </c>
      <c r="BY79" s="752">
        <f>INPUT!DP544</f>
        <v>-7.0395153251690772</v>
      </c>
      <c r="BZ79" s="793">
        <f>INPUT!DQ544</f>
        <v>15.122213767376252</v>
      </c>
      <c r="CA79" s="752">
        <f>INPUT!DR544</f>
        <v>-20.954443502224972</v>
      </c>
      <c r="CB79" s="793">
        <f>INPUT!DS544</f>
        <v>16.778106188948566</v>
      </c>
      <c r="CC79" s="752">
        <f>INPUT!DT544</f>
        <v>-9.7128777186709758</v>
      </c>
      <c r="CD79" s="793">
        <f>INPUT!DU544</f>
        <v>16.618736617661554</v>
      </c>
      <c r="CE79" s="752">
        <f>INPUT!DV544</f>
        <v>-9.0594504007832981</v>
      </c>
      <c r="CF79" s="793">
        <f>INPUT!DW544</f>
        <v>20.701023626030789</v>
      </c>
      <c r="CG79" s="752">
        <f>INPUT!DX544</f>
        <v>15.194814710428005</v>
      </c>
      <c r="CH79" s="793">
        <f>INPUT!DY544</f>
        <v>20.387584553615586</v>
      </c>
      <c r="CI79" s="752">
        <f>INPUT!DZ544</f>
        <v>34.818782932420419</v>
      </c>
      <c r="CJ79" s="793">
        <f>INPUT!EA544</f>
        <v>20.068395127471213</v>
      </c>
      <c r="CK79" s="752">
        <f>INPUT!EB544</f>
        <v>19.610609811790923</v>
      </c>
      <c r="CL79" s="793">
        <f>INPUT!EC544</f>
        <v>19.830607186702714</v>
      </c>
      <c r="CM79" s="752">
        <f>INPUT!ED544</f>
        <v>19.326803492557598</v>
      </c>
      <c r="CN79" s="793">
        <f>INPUT!EE544</f>
        <v>19.547458559453535</v>
      </c>
      <c r="CO79" s="752">
        <f>INPUT!EF544</f>
        <v>-5.572502536187085</v>
      </c>
      <c r="CP79" s="793">
        <f>INPUT!EG544</f>
        <v>17.937806331964499</v>
      </c>
      <c r="CQ79" s="752">
        <f>INPUT!EH544</f>
        <v>-12.016029732255051</v>
      </c>
      <c r="CR79" s="793">
        <f>INPUT!EI544</f>
        <v>18.979952687373341</v>
      </c>
      <c r="CS79" s="752">
        <f>INPUT!EJ544</f>
        <v>-5.4236645889432662</v>
      </c>
      <c r="CT79" s="793">
        <f>INPUT!EK544</f>
        <v>18.811241516461831</v>
      </c>
      <c r="CU79" s="752">
        <f>INPUT!EL544</f>
        <v>-5.1403653990202187</v>
      </c>
      <c r="CV79" s="793">
        <f>INPUT!EM544</f>
        <v>18.62231181197604</v>
      </c>
      <c r="CW79" s="752">
        <f>INPUT!EN544</f>
        <v>-4.7328236796802203</v>
      </c>
      <c r="CX79" s="793">
        <f>INPUT!EO544</f>
        <v>18.445708326918879</v>
      </c>
      <c r="CY79" s="752">
        <f>INPUT!EP544</f>
        <v>2.8314610245809169</v>
      </c>
      <c r="CZ79" s="793">
        <f>INPUT!EQ544</f>
        <v>18.267680561119406</v>
      </c>
      <c r="DA79" s="752">
        <f>INPUT!ER544</f>
        <v>-3.7527602833687945</v>
      </c>
      <c r="DB79" s="753"/>
      <c r="DC79" s="793">
        <f>INPUT!FB544</f>
        <v>28.113370993521315</v>
      </c>
      <c r="DD79" s="767" t="str">
        <f>INPUT!FC544</f>
        <v>NA</v>
      </c>
      <c r="DE79" s="793">
        <f>INPUT!FD544</f>
        <v>26.739776323099594</v>
      </c>
      <c r="DF79" s="767">
        <f>INPUT!FE544</f>
        <v>-4.8859123679556689</v>
      </c>
      <c r="DG79" s="793">
        <f>INPUT!FF544</f>
        <v>26.454639546395462</v>
      </c>
      <c r="DH79" s="767">
        <f>INPUT!FG544</f>
        <v>-1.0663394235568502</v>
      </c>
      <c r="DI79" s="793">
        <f>INPUT!FH544</f>
        <v>26.432306798373041</v>
      </c>
      <c r="DJ79" s="767">
        <f>INPUT!FI544</f>
        <v>-8.4419022165294066E-2</v>
      </c>
      <c r="DK79" s="793">
        <f>INPUT!FJ544</f>
        <v>28.261466920312827</v>
      </c>
      <c r="DL79" s="752">
        <f>INPUT!FK544</f>
        <v>6.9201683223969468</v>
      </c>
      <c r="DM79" s="793">
        <f>INPUT!FL544</f>
        <v>21.218358318997296</v>
      </c>
      <c r="DN79" s="752">
        <f>INPUT!FM544</f>
        <v>-24.921242132174402</v>
      </c>
      <c r="DO79" s="793">
        <f>INPUT!FN544</f>
        <v>19.102025446906339</v>
      </c>
      <c r="DP79" s="752">
        <f>INPUT!FO544</f>
        <v>-9.9740651009562526</v>
      </c>
      <c r="DQ79" s="793">
        <f>INPUT!FP544</f>
        <v>17.387551349383809</v>
      </c>
      <c r="DR79" s="752">
        <f>INPUT!FQ544</f>
        <v>-8.9753523901843444</v>
      </c>
      <c r="DS79" s="793">
        <f>INPUT!FR544</f>
        <v>18.322485455750932</v>
      </c>
      <c r="DT79" s="752">
        <f>INPUT!FS544</f>
        <v>5.377031461076065</v>
      </c>
      <c r="DU79" s="793">
        <f>INPUT!FT544</f>
        <v>18.985954221165283</v>
      </c>
      <c r="DV79" s="752">
        <f>INPUT!FU544</f>
        <v>3.6210631304177454</v>
      </c>
      <c r="DW79" s="793">
        <f>INPUT!FV544</f>
        <v>19.290530350940351</v>
      </c>
      <c r="DX79" s="752">
        <f>INPUT!FW544</f>
        <v>1.6042181827002011</v>
      </c>
      <c r="DY79" s="793">
        <f>INPUT!FX544</f>
        <v>20.185288640595907</v>
      </c>
      <c r="DZ79" s="752">
        <f>INPUT!FY544</f>
        <v>4.6383291354762601</v>
      </c>
      <c r="EA79" s="793">
        <f>INPUT!FZ544</f>
        <v>18.409733652211077</v>
      </c>
      <c r="EB79" s="752">
        <f>INPUT!GA544</f>
        <v>-8.7962823816841507</v>
      </c>
      <c r="EC79" s="793">
        <f>INPUT!GB544</f>
        <v>18.583055661768725</v>
      </c>
      <c r="ED79" s="752">
        <f>INPUT!GC544</f>
        <v>0.94146940326229611</v>
      </c>
      <c r="EE79" s="793">
        <f>INPUT!GD544</f>
        <v>16.778106188948566</v>
      </c>
      <c r="EF79" s="752">
        <f>INPUT!GE544</f>
        <v>-9.7128777186709758</v>
      </c>
      <c r="EG79" s="793">
        <f>INPUT!GF544</f>
        <v>20.068395127471213</v>
      </c>
      <c r="EH79" s="752">
        <f>INPUT!GG544</f>
        <v>19.610609811790923</v>
      </c>
      <c r="EI79" s="793">
        <f>INPUT!GH544</f>
        <v>18.979952687373341</v>
      </c>
      <c r="EJ79" s="752">
        <f>INPUT!GI544</f>
        <v>-5.4236645889432662</v>
      </c>
      <c r="EK79" s="793">
        <f>INPUT!GJ544</f>
        <v>18.267680561119406</v>
      </c>
      <c r="EL79" s="752">
        <f>INPUT!GK544</f>
        <v>-3.7527602833687945</v>
      </c>
      <c r="EM79" s="793">
        <f>INPUT!GL544</f>
        <v>17.585932448517166</v>
      </c>
      <c r="EN79" s="752">
        <f>INPUT!GM544</f>
        <v>-3.7319905519546892</v>
      </c>
      <c r="EO79" s="793">
        <f>INPUT!GN544</f>
        <v>16.961923138916099</v>
      </c>
      <c r="EP79" s="752">
        <f>INPUT!GO544</f>
        <v>-3.5483436060490647</v>
      </c>
      <c r="EQ79" s="793">
        <f>INPUT!GP544</f>
        <v>16.356722557614262</v>
      </c>
      <c r="ER79" s="752">
        <f>INPUT!GQ544</f>
        <v>-3.5679950695762352</v>
      </c>
      <c r="ES79" s="793">
        <f>INPUT!GR544</f>
        <v>15.803208031274613</v>
      </c>
      <c r="ET79" s="752">
        <f>INPUT!GS544</f>
        <v>-3.3840185550006785</v>
      </c>
      <c r="EU79" s="767">
        <f>INPUT!GT544</f>
        <v>-3.5971160386776058</v>
      </c>
      <c r="EV79" s="710"/>
    </row>
    <row r="80" spans="1:152" ht="12.75" customHeight="1" x14ac:dyDescent="0.2">
      <c r="A80" s="754" t="str">
        <f>INPUT!B545</f>
        <v>LTD + Pref Eq to Common Eq (%)</v>
      </c>
      <c r="B80" s="793">
        <f>INPUT!AS545</f>
        <v>91.45121600460196</v>
      </c>
      <c r="C80" s="767">
        <f>INPUT!AT545</f>
        <v>-9.2725541659373292</v>
      </c>
      <c r="D80" s="793">
        <f>INPUT!AU545</f>
        <v>73.872418964125046</v>
      </c>
      <c r="E80" s="767">
        <f>INPUT!AV545</f>
        <v>-24.754631453168983</v>
      </c>
      <c r="F80" s="793">
        <f>INPUT!AW545</f>
        <v>74.781415580434683</v>
      </c>
      <c r="G80" s="767">
        <f>INPUT!AX545</f>
        <v>-20.689109090820256</v>
      </c>
      <c r="H80" s="793">
        <f>INPUT!AY545</f>
        <v>74.855052068674354</v>
      </c>
      <c r="I80" s="752">
        <f>INPUT!AZ545</f>
        <v>-28.849143848631275</v>
      </c>
      <c r="J80" s="793">
        <f>INPUT!BA545</f>
        <v>73.166591052115493</v>
      </c>
      <c r="K80" s="752">
        <f>INPUT!BB545</f>
        <v>-19.99385656235162</v>
      </c>
      <c r="L80" s="793">
        <f>INPUT!BC545</f>
        <v>62.953535409127802</v>
      </c>
      <c r="M80" s="752">
        <f>INPUT!BD545</f>
        <v>-14.780731033458949</v>
      </c>
      <c r="N80" s="793">
        <f>INPUT!BE545</f>
        <v>63.849196738516177</v>
      </c>
      <c r="O80" s="752">
        <f>INPUT!BF545</f>
        <v>-14.618897966915112</v>
      </c>
      <c r="P80" s="793">
        <f>INPUT!BG545</f>
        <v>68.705453777519665</v>
      </c>
      <c r="Q80" s="752">
        <f>INPUT!BH545</f>
        <v>-8.2153416786255882</v>
      </c>
      <c r="R80" s="793">
        <f>INPUT!BI545</f>
        <v>70.167057961377182</v>
      </c>
      <c r="S80" s="752">
        <f>INPUT!BJ545</f>
        <v>-4.0995938824070493</v>
      </c>
      <c r="T80" s="793">
        <f>INPUT!BK545</f>
        <v>63.712407624517539</v>
      </c>
      <c r="U80" s="752">
        <f>INPUT!BL545</f>
        <v>1.2054481300500575</v>
      </c>
      <c r="V80" s="793">
        <f>INPUT!BM545</f>
        <v>66.095614812794096</v>
      </c>
      <c r="W80" s="752">
        <f>INPUT!BN545</f>
        <v>3.518318458222347</v>
      </c>
      <c r="X80" s="793">
        <f>INPUT!BO545</f>
        <v>64.018977447288648</v>
      </c>
      <c r="Y80" s="752">
        <f>INPUT!BP545</f>
        <v>-6.8211125501137833</v>
      </c>
      <c r="Z80" s="793">
        <f>INPUT!BQ545</f>
        <v>62.862207767973757</v>
      </c>
      <c r="AA80" s="752">
        <f>INPUT!BR545</f>
        <v>-10.410654808164132</v>
      </c>
      <c r="AB80" s="793">
        <f>INPUT!BS545</f>
        <v>58.507393536929072</v>
      </c>
      <c r="AC80" s="752">
        <f>INPUT!BT545</f>
        <v>-8.1695454333850943</v>
      </c>
      <c r="AD80" s="793">
        <f>INPUT!BU545</f>
        <v>64.682067158847332</v>
      </c>
      <c r="AE80" s="752">
        <f>INPUT!BV545</f>
        <v>-2.1386406011207004</v>
      </c>
      <c r="AF80" s="793">
        <f>INPUT!BW545</f>
        <v>62.497089139733554</v>
      </c>
      <c r="AG80" s="752">
        <f>INPUT!BX545</f>
        <v>-2.377245573483544</v>
      </c>
      <c r="AH80" s="793">
        <f>INPUT!BY545</f>
        <v>57.38722500089527</v>
      </c>
      <c r="AI80" s="752">
        <f>INPUT!BZ545</f>
        <v>-8.7094980616761131</v>
      </c>
      <c r="AJ80" s="793">
        <f>INPUT!CA545</f>
        <v>56.424150442268015</v>
      </c>
      <c r="AK80" s="752">
        <f>INPUT!CB545</f>
        <v>-3.5606492935737144</v>
      </c>
      <c r="AL80" s="793">
        <f>INPUT!CC545</f>
        <v>65.80667354661162</v>
      </c>
      <c r="AM80" s="752">
        <f>INPUT!CD545</f>
        <v>1.7386679757813939</v>
      </c>
      <c r="AN80" s="793">
        <f>INPUT!CE545</f>
        <v>67.470338722567163</v>
      </c>
      <c r="AO80" s="752">
        <f>INPUT!CF545</f>
        <v>7.9575699465205707</v>
      </c>
      <c r="AP80" s="793">
        <f>INPUT!CG545</f>
        <v>64.194975295407772</v>
      </c>
      <c r="AQ80" s="752">
        <f>INPUT!CH545</f>
        <v>11.862832354075836</v>
      </c>
      <c r="AR80" s="793">
        <f>INPUT!CI545</f>
        <v>65.068878612151025</v>
      </c>
      <c r="AS80" s="752">
        <f>INPUT!CJ545</f>
        <v>15.320971786235592</v>
      </c>
      <c r="AT80" s="793">
        <f>INPUT!CK545</f>
        <v>64.327785488517478</v>
      </c>
      <c r="AU80" s="752">
        <f>INPUT!CL545</f>
        <v>-2.2473223130578535</v>
      </c>
      <c r="AV80" s="793">
        <f>INPUT!CM545</f>
        <v>70.741706560801248</v>
      </c>
      <c r="AW80" s="752">
        <f>INPUT!CN545</f>
        <v>4.8486014746208728</v>
      </c>
      <c r="AX80" s="793">
        <f>INPUT!CO545</f>
        <v>70.914622305650852</v>
      </c>
      <c r="AY80" s="752">
        <f>INPUT!CP545</f>
        <v>10.46755914979498</v>
      </c>
      <c r="AZ80" s="793">
        <f>INPUT!CQ545</f>
        <v>71.25773884450382</v>
      </c>
      <c r="BA80" s="752">
        <f>INPUT!CR545</f>
        <v>9.5112446446819163</v>
      </c>
      <c r="BB80" s="793">
        <f>INPUT!CS545</f>
        <v>76.383356590130674</v>
      </c>
      <c r="BC80" s="752">
        <f>INPUT!CT545</f>
        <v>18.740845825891395</v>
      </c>
      <c r="BD80" s="793">
        <f>INPUT!CU545</f>
        <v>74.726348220324127</v>
      </c>
      <c r="BE80" s="752">
        <f>INPUT!CV545</f>
        <v>5.6326626162151561</v>
      </c>
      <c r="BF80" s="793">
        <f>INPUT!CW545</f>
        <v>69.177785210787775</v>
      </c>
      <c r="BG80" s="752">
        <f>INPUT!CX545</f>
        <v>-2.4491945925864123</v>
      </c>
      <c r="BH80" s="793">
        <f>INPUT!CY545</f>
        <v>66.654417619030113</v>
      </c>
      <c r="BI80" s="752">
        <f>INPUT!CZ545</f>
        <v>-6.4601000538606961</v>
      </c>
      <c r="BJ80" s="793">
        <f>INPUT!DA545</f>
        <v>65.410457247315478</v>
      </c>
      <c r="BK80" s="752">
        <f>INPUT!DB545</f>
        <v>-14.365563170646233</v>
      </c>
      <c r="BL80" s="793">
        <f>INPUT!DC545</f>
        <v>62.30247230139895</v>
      </c>
      <c r="BM80" s="752">
        <f>INPUT!DD545</f>
        <v>-16.62583039959943</v>
      </c>
      <c r="BN80" s="793">
        <f>INPUT!DE545</f>
        <v>70.259433962264154</v>
      </c>
      <c r="BO80" s="752">
        <f>INPUT!DF545</f>
        <v>1.5635781749597122</v>
      </c>
      <c r="BP80" s="793">
        <f>INPUT!DG545</f>
        <v>65.507791634733721</v>
      </c>
      <c r="BQ80" s="752">
        <f>INPUT!DH545</f>
        <v>-1.7202550487351753</v>
      </c>
      <c r="BR80" s="793">
        <f>INPUT!DI545</f>
        <v>64.832535885167459</v>
      </c>
      <c r="BS80" s="752">
        <f>INPUT!DJ545</f>
        <v>-0.88353053390669567</v>
      </c>
      <c r="BT80" s="793">
        <f>INPUT!DK545</f>
        <v>64.739393214050637</v>
      </c>
      <c r="BU80" s="752">
        <f>INPUT!DL545</f>
        <v>3.9114353293440152</v>
      </c>
      <c r="BV80" s="793">
        <f>INPUT!DM545</f>
        <v>63.583506377929396</v>
      </c>
      <c r="BW80" s="752">
        <f>INPUT!DN545</f>
        <v>-9.5018237521246611</v>
      </c>
      <c r="BX80" s="793">
        <f>INPUT!DO545</f>
        <v>62.428771163042065</v>
      </c>
      <c r="BY80" s="752">
        <f>INPUT!DP545</f>
        <v>-4.700235490855853</v>
      </c>
      <c r="BZ80" s="793">
        <f>INPUT!DQ545</f>
        <v>57.719853722938154</v>
      </c>
      <c r="CA80" s="752">
        <f>INPUT!DR545</f>
        <v>-10.970852929195019</v>
      </c>
      <c r="CB80" s="793">
        <f>INPUT!DS545</f>
        <v>60.722958440296971</v>
      </c>
      <c r="CC80" s="752">
        <f>INPUT!DT545</f>
        <v>-6.2040043540012135</v>
      </c>
      <c r="CD80" s="793">
        <f>INPUT!DU545</f>
        <v>60.053213450158275</v>
      </c>
      <c r="CE80" s="752">
        <f>INPUT!DV545</f>
        <v>-5.5522149199946131</v>
      </c>
      <c r="CF80" s="793">
        <f>INPUT!DW545</f>
        <v>72.992559996370716</v>
      </c>
      <c r="CG80" s="752">
        <f>INPUT!DX545</f>
        <v>16.921346738893405</v>
      </c>
      <c r="CH80" s="793">
        <f>INPUT!DY545</f>
        <v>67.780708153302285</v>
      </c>
      <c r="CI80" s="752">
        <f>INPUT!DZ545</f>
        <v>17.430491904323553</v>
      </c>
      <c r="CJ80" s="793">
        <f>INPUT!EA545</f>
        <v>66.512917174853087</v>
      </c>
      <c r="CK80" s="752">
        <f>INPUT!EB545</f>
        <v>9.5350405897117518</v>
      </c>
      <c r="CL80" s="793">
        <f>INPUT!EC545</f>
        <v>65.571969663681671</v>
      </c>
      <c r="CM80" s="752">
        <f>INPUT!ED545</f>
        <v>9.1897766938046299</v>
      </c>
      <c r="CN80" s="793">
        <f>INPUT!EE545</f>
        <v>64.448473137423051</v>
      </c>
      <c r="CO80" s="752">
        <f>INPUT!EF545</f>
        <v>-11.705421565393081</v>
      </c>
      <c r="CP80" s="793">
        <f>INPUT!EG545</f>
        <v>59.073603380414617</v>
      </c>
      <c r="CQ80" s="752">
        <f>INPUT!EH545</f>
        <v>-12.845992628454795</v>
      </c>
      <c r="CR80" s="793">
        <f>INPUT!EI545</f>
        <v>62.203357537523566</v>
      </c>
      <c r="CS80" s="752">
        <f>INPUT!EJ545</f>
        <v>-6.4792822512960813</v>
      </c>
      <c r="CT80" s="793">
        <f>INPUT!EK545</f>
        <v>61.480468232433338</v>
      </c>
      <c r="CU80" s="752">
        <f>INPUT!EL545</f>
        <v>-6.2397110415222006</v>
      </c>
      <c r="CV80" s="793">
        <f>INPUT!EM545</f>
        <v>60.67566364256902</v>
      </c>
      <c r="CW80" s="752">
        <f>INPUT!EN545</f>
        <v>-5.8539936032453337</v>
      </c>
      <c r="CX80" s="793">
        <f>INPUT!EO545</f>
        <v>59.927833438715084</v>
      </c>
      <c r="CY80" s="752">
        <f>INPUT!EP545</f>
        <v>1.4460435954778417</v>
      </c>
      <c r="CZ80" s="793">
        <f>INPUT!EQ545</f>
        <v>59.178302391830329</v>
      </c>
      <c r="DA80" s="752">
        <f>INPUT!ER545</f>
        <v>-4.8631701976350694</v>
      </c>
      <c r="DB80" s="753"/>
      <c r="DC80" s="793">
        <f>INPUT!FB545</f>
        <v>75.870262563858859</v>
      </c>
      <c r="DD80" s="767" t="str">
        <f>INPUT!FC545</f>
        <v>NA</v>
      </c>
      <c r="DE80" s="793">
        <f>INPUT!FD545</f>
        <v>72.257575258003897</v>
      </c>
      <c r="DF80" s="767">
        <f>INPUT!FE545</f>
        <v>-4.7616644305326083</v>
      </c>
      <c r="DG80" s="793">
        <f>INPUT!FF545</f>
        <v>91.445621167907149</v>
      </c>
      <c r="DH80" s="767">
        <f>INPUT!FG545</f>
        <v>26.555064768489878</v>
      </c>
      <c r="DI80" s="793">
        <f>INPUT!FH545</f>
        <v>103.62180045272507</v>
      </c>
      <c r="DJ80" s="767">
        <f>INPUT!FI545</f>
        <v>13.31521305154757</v>
      </c>
      <c r="DK80" s="793">
        <f>INPUT!FJ545</f>
        <v>105.20611573446874</v>
      </c>
      <c r="DL80" s="752">
        <f>INPUT!FK545</f>
        <v>1.5289401215012433</v>
      </c>
      <c r="DM80" s="793">
        <f>INPUT!FL545</f>
        <v>74.855052068674354</v>
      </c>
      <c r="DN80" s="752">
        <f>INPUT!FM545</f>
        <v>-28.849143848631275</v>
      </c>
      <c r="DO80" s="793">
        <f>INPUT!FN545</f>
        <v>68.705453777519665</v>
      </c>
      <c r="DP80" s="752">
        <f>INPUT!FO545</f>
        <v>-8.2153416786255882</v>
      </c>
      <c r="DQ80" s="793">
        <f>INPUT!FP545</f>
        <v>64.018977447288648</v>
      </c>
      <c r="DR80" s="752">
        <f>INPUT!FQ545</f>
        <v>-6.8211125501137833</v>
      </c>
      <c r="DS80" s="793">
        <f>INPUT!FR545</f>
        <v>62.497089139733554</v>
      </c>
      <c r="DT80" s="752">
        <f>INPUT!FS545</f>
        <v>-2.377245573483544</v>
      </c>
      <c r="DU80" s="793">
        <f>INPUT!FT545</f>
        <v>67.470338722567163</v>
      </c>
      <c r="DV80" s="752">
        <f>INPUT!FU545</f>
        <v>7.9575699465205707</v>
      </c>
      <c r="DW80" s="793">
        <f>INPUT!FV545</f>
        <v>70.741706560801248</v>
      </c>
      <c r="DX80" s="752">
        <f>INPUT!FW545</f>
        <v>4.8486014746208728</v>
      </c>
      <c r="DY80" s="793">
        <f>INPUT!FX545</f>
        <v>74.726348220324127</v>
      </c>
      <c r="DZ80" s="752">
        <f>INPUT!FY545</f>
        <v>5.6326626162151561</v>
      </c>
      <c r="EA80" s="793">
        <f>INPUT!FZ545</f>
        <v>62.30247230139895</v>
      </c>
      <c r="EB80" s="752">
        <f>INPUT!GA545</f>
        <v>-16.62583039959943</v>
      </c>
      <c r="EC80" s="793">
        <f>INPUT!GB545</f>
        <v>64.739393214050637</v>
      </c>
      <c r="ED80" s="752">
        <f>INPUT!GC545</f>
        <v>3.9114353293440152</v>
      </c>
      <c r="EE80" s="793">
        <f>INPUT!GD545</f>
        <v>60.722958440296971</v>
      </c>
      <c r="EF80" s="752">
        <f>INPUT!GE545</f>
        <v>-6.2040043540012135</v>
      </c>
      <c r="EG80" s="793">
        <f>INPUT!GF545</f>
        <v>66.512917174853087</v>
      </c>
      <c r="EH80" s="752">
        <f>INPUT!GG545</f>
        <v>9.5350405897117518</v>
      </c>
      <c r="EI80" s="793">
        <f>INPUT!GH545</f>
        <v>62.203357537523566</v>
      </c>
      <c r="EJ80" s="752">
        <f>INPUT!GI545</f>
        <v>-6.4792822512960813</v>
      </c>
      <c r="EK80" s="793">
        <f>INPUT!GJ545</f>
        <v>59.178302391830329</v>
      </c>
      <c r="EL80" s="752">
        <f>INPUT!GK545</f>
        <v>-4.8631701976350694</v>
      </c>
      <c r="EM80" s="793">
        <f>INPUT!GL545</f>
        <v>56.347547867500182</v>
      </c>
      <c r="EN80" s="752">
        <f>INPUT!GM545</f>
        <v>-4.783433133291326</v>
      </c>
      <c r="EO80" s="793">
        <f>INPUT!GN545</f>
        <v>53.81020143103008</v>
      </c>
      <c r="EP80" s="752">
        <f>INPUT!GO545</f>
        <v>-4.5030290269890809</v>
      </c>
      <c r="EQ80" s="793">
        <f>INPUT!GP545</f>
        <v>51.396860286597402</v>
      </c>
      <c r="ER80" s="752">
        <f>INPUT!GQ545</f>
        <v>-4.4849137900476403</v>
      </c>
      <c r="ES80" s="793">
        <f>INPUT!GR545</f>
        <v>49.229462078852002</v>
      </c>
      <c r="ET80" s="752">
        <f>INPUT!GS545</f>
        <v>-4.2169856206383578</v>
      </c>
      <c r="EU80" s="767">
        <f>INPUT!GT545</f>
        <v>-4.5705869533926968</v>
      </c>
      <c r="EV80" s="710"/>
    </row>
    <row r="81" spans="1:152" ht="12.75" customHeight="1" x14ac:dyDescent="0.2">
      <c r="A81" s="754" t="str">
        <f>INPUT!B546</f>
        <v>Equity to Assets (Excl SAA)(%)</v>
      </c>
      <c r="B81" s="793">
        <f>INPUT!AS546</f>
        <v>12.483493511104726</v>
      </c>
      <c r="C81" s="767">
        <f>INPUT!AT546</f>
        <v>5.3895545466760453</v>
      </c>
      <c r="D81" s="793">
        <f>INPUT!AU546</f>
        <v>13.781481878917223</v>
      </c>
      <c r="E81" s="767">
        <f>INPUT!AV546</f>
        <v>15.521574316604125</v>
      </c>
      <c r="F81" s="793">
        <f>INPUT!AW546</f>
        <v>13.328599221789883</v>
      </c>
      <c r="G81" s="767">
        <f>INPUT!AX546</f>
        <v>9.6665735827873753</v>
      </c>
      <c r="H81" s="793">
        <f>INPUT!AY546</f>
        <v>13.617722586332452</v>
      </c>
      <c r="I81" s="752">
        <f>INPUT!AZ546</f>
        <v>11.292882559679175</v>
      </c>
      <c r="J81" s="793">
        <f>INPUT!BA546</f>
        <v>13.201069547644714</v>
      </c>
      <c r="K81" s="752">
        <f>INPUT!BB546</f>
        <v>5.7481988988232091</v>
      </c>
      <c r="L81" s="793">
        <f>INPUT!BC546</f>
        <v>13.991367892564529</v>
      </c>
      <c r="M81" s="752">
        <f>INPUT!BD546</f>
        <v>1.5229567871680727</v>
      </c>
      <c r="N81" s="793">
        <f>INPUT!BE546</f>
        <v>14.252757178444245</v>
      </c>
      <c r="O81" s="752">
        <f>INPUT!BF546</f>
        <v>6.9336465241113254</v>
      </c>
      <c r="P81" s="793">
        <f>INPUT!BG546</f>
        <v>14.584303836454984</v>
      </c>
      <c r="Q81" s="752">
        <f>INPUT!BH546</f>
        <v>7.0979654930894975</v>
      </c>
      <c r="R81" s="793">
        <f>INPUT!BI546</f>
        <v>14.230564224577449</v>
      </c>
      <c r="S81" s="752">
        <f>INPUT!BJ546</f>
        <v>7.7985702083996244</v>
      </c>
      <c r="T81" s="793">
        <f>INPUT!BK546</f>
        <v>14.689787024889023</v>
      </c>
      <c r="U81" s="752">
        <f>INPUT!BL546</f>
        <v>4.9917859189140268</v>
      </c>
      <c r="V81" s="793">
        <f>INPUT!BM546</f>
        <v>14.512361685702411</v>
      </c>
      <c r="W81" s="752">
        <f>INPUT!BN546</f>
        <v>1.8214335935701653</v>
      </c>
      <c r="X81" s="793">
        <f>INPUT!BO546</f>
        <v>14.605550271914481</v>
      </c>
      <c r="Y81" s="752">
        <f>INPUT!BP546</f>
        <v>0.14568014831390919</v>
      </c>
      <c r="Z81" s="793">
        <f>INPUT!BQ546</f>
        <v>14.930368990619019</v>
      </c>
      <c r="AA81" s="752">
        <f>INPUT!BR546</f>
        <v>4.9176178470347942</v>
      </c>
      <c r="AB81" s="793">
        <f>INPUT!BS546</f>
        <v>15.052274122904722</v>
      </c>
      <c r="AC81" s="752">
        <f>INPUT!BT546</f>
        <v>2.4676130253048267</v>
      </c>
      <c r="AD81" s="793">
        <f>INPUT!BU546</f>
        <v>14.719931807237366</v>
      </c>
      <c r="AE81" s="752">
        <f>INPUT!BV546</f>
        <v>1.4302987069255035</v>
      </c>
      <c r="AF81" s="793">
        <f>INPUT!BW546</f>
        <v>15.071486626274568</v>
      </c>
      <c r="AG81" s="752">
        <f>INPUT!BX546</f>
        <v>3.1901321462434185</v>
      </c>
      <c r="AH81" s="793">
        <f>INPUT!BY546</f>
        <v>15.344642206237651</v>
      </c>
      <c r="AI81" s="752">
        <f>INPUT!BZ546</f>
        <v>2.7747017898815951</v>
      </c>
      <c r="AJ81" s="793">
        <f>INPUT!CA546</f>
        <v>14.965672539628743</v>
      </c>
      <c r="AK81" s="752">
        <f>INPUT!CB546</f>
        <v>-0.57533886619961505</v>
      </c>
      <c r="AL81" s="793">
        <f>INPUT!CC546</f>
        <v>14.39578285169798</v>
      </c>
      <c r="AM81" s="752">
        <f>INPUT!CD546</f>
        <v>-2.2021090843641788</v>
      </c>
      <c r="AN81" s="793">
        <f>INPUT!CE546</f>
        <v>14.459221386883502</v>
      </c>
      <c r="AO81" s="752">
        <f>INPUT!CF546</f>
        <v>-4.0624077410100101</v>
      </c>
      <c r="AP81" s="793">
        <f>INPUT!CG546</f>
        <v>14.311106408866085</v>
      </c>
      <c r="AQ81" s="752">
        <f>INPUT!CH546</f>
        <v>-6.7354831965481088</v>
      </c>
      <c r="AR81" s="793">
        <f>INPUT!CI546</f>
        <v>14.197575896532674</v>
      </c>
      <c r="AS81" s="752">
        <f>INPUT!CJ546</f>
        <v>-5.1323897476853624</v>
      </c>
      <c r="AT81" s="793">
        <f>INPUT!CK546</f>
        <v>14.494030060164279</v>
      </c>
      <c r="AU81" s="752">
        <f>INPUT!CL546</f>
        <v>0.68247214811740786</v>
      </c>
      <c r="AV81" s="793">
        <f>INPUT!CM546</f>
        <v>13.043588624110308</v>
      </c>
      <c r="AW81" s="752">
        <f>INPUT!CN546</f>
        <v>-9.7905186240344051</v>
      </c>
      <c r="AX81" s="793">
        <f>INPUT!CO546</f>
        <v>13.066594041585752</v>
      </c>
      <c r="AY81" s="752">
        <f>INPUT!CP546</f>
        <v>-8.6961296473159209</v>
      </c>
      <c r="AZ81" s="793">
        <f>INPUT!CQ546</f>
        <v>12.958777060564397</v>
      </c>
      <c r="BA81" s="752">
        <f>INPUT!CR546</f>
        <v>-8.7254249950571854</v>
      </c>
      <c r="BB81" s="793">
        <f>INPUT!CS546</f>
        <v>12.853562652761404</v>
      </c>
      <c r="BC81" s="752">
        <f>INPUT!CT546</f>
        <v>-11.318228267730534</v>
      </c>
      <c r="BD81" s="793">
        <f>INPUT!CU546</f>
        <v>12.960308790564879</v>
      </c>
      <c r="BE81" s="752">
        <f>INPUT!CV546</f>
        <v>-0.63847332160944514</v>
      </c>
      <c r="BF81" s="793">
        <f>INPUT!CW546</f>
        <v>13.205738339192841</v>
      </c>
      <c r="BG81" s="752">
        <f>INPUT!CX546</f>
        <v>1.0648857473052997</v>
      </c>
      <c r="BH81" s="793">
        <f>INPUT!CY546</f>
        <v>13.802145411203814</v>
      </c>
      <c r="BI81" s="752">
        <f>INPUT!CZ546</f>
        <v>6.5080859613359632</v>
      </c>
      <c r="BJ81" s="793">
        <f>INPUT!DA546</f>
        <v>13.958821282880615</v>
      </c>
      <c r="BK81" s="752">
        <f>INPUT!DB546</f>
        <v>8.5988504508651697</v>
      </c>
      <c r="BL81" s="793">
        <f>INPUT!DC546</f>
        <v>14.183064356527755</v>
      </c>
      <c r="BM81" s="752">
        <f>INPUT!DD546</f>
        <v>9.4346175366827989</v>
      </c>
      <c r="BN81" s="793">
        <f>INPUT!DE546</f>
        <v>13.98758272137659</v>
      </c>
      <c r="BO81" s="752">
        <f>INPUT!DF546</f>
        <v>5.9204897303117177</v>
      </c>
      <c r="BP81" s="793">
        <f>INPUT!DG546</f>
        <v>13.983327433743275</v>
      </c>
      <c r="BQ81" s="752">
        <f>INPUT!DH546</f>
        <v>1.3127091270346058</v>
      </c>
      <c r="BR81" s="793">
        <f>INPUT!DI546</f>
        <v>14.157493649449618</v>
      </c>
      <c r="BS81" s="752">
        <f>INPUT!DJ546</f>
        <v>1.4232746629735837</v>
      </c>
      <c r="BT81" s="793">
        <f>INPUT!DK546</f>
        <v>13.415205880180721</v>
      </c>
      <c r="BU81" s="752">
        <f>INPUT!DL546</f>
        <v>-5.4139109648305705</v>
      </c>
      <c r="BV81" s="793">
        <f>INPUT!DM546</f>
        <v>13.429401425564228</v>
      </c>
      <c r="BW81" s="752">
        <f>INPUT!DN546</f>
        <v>-3.9905486668494805</v>
      </c>
      <c r="BX81" s="793">
        <f>INPUT!DO546</f>
        <v>13.79411497769941</v>
      </c>
      <c r="BY81" s="752">
        <f>INPUT!DP546</f>
        <v>-1.3531289812128366</v>
      </c>
      <c r="BZ81" s="793">
        <f>INPUT!DQ546</f>
        <v>13.921355588157796</v>
      </c>
      <c r="CA81" s="752">
        <f>INPUT!DR546</f>
        <v>-1.6679369042203462</v>
      </c>
      <c r="CB81" s="793">
        <f>INPUT!DS546</f>
        <v>14.276516502238598</v>
      </c>
      <c r="CC81" s="752">
        <f>INPUT!DT546</f>
        <v>6.4204055439086138</v>
      </c>
      <c r="CD81" s="793">
        <f>INPUT!DU546</f>
        <v>14.116877566086853</v>
      </c>
      <c r="CE81" s="752">
        <f>INPUT!DV546</f>
        <v>5.1191867659413637</v>
      </c>
      <c r="CF81" s="793">
        <f>INPUT!DW546</f>
        <v>13.882446668650505</v>
      </c>
      <c r="CG81" s="752">
        <f>INPUT!DX546</f>
        <v>0.64035779819073824</v>
      </c>
      <c r="CH81" s="793">
        <f>INPUT!DY546</f>
        <v>14.042367432360875</v>
      </c>
      <c r="CI81" s="752">
        <f>INPUT!DZ546</f>
        <v>0.86925330968499193</v>
      </c>
      <c r="CJ81" s="793">
        <f>INPUT!EA546</f>
        <v>14.548534096866556</v>
      </c>
      <c r="CK81" s="752">
        <f>INPUT!EB546</f>
        <v>1.9053499121112871</v>
      </c>
      <c r="CL81" s="793">
        <f>INPUT!EC546</f>
        <v>14.559587232484009</v>
      </c>
      <c r="CM81" s="752">
        <f>INPUT!ED546</f>
        <v>3.1360310686598503</v>
      </c>
      <c r="CN81" s="793">
        <f>INPUT!EE546</f>
        <v>14.557807218138748</v>
      </c>
      <c r="CO81" s="752">
        <f>INPUT!EF546</f>
        <v>4.8648524687896044</v>
      </c>
      <c r="CP81" s="793">
        <f>INPUT!EG546</f>
        <v>14.642108998859953</v>
      </c>
      <c r="CQ81" s="752">
        <f>INPUT!EH546</f>
        <v>4.2709434102754296</v>
      </c>
      <c r="CR81" s="793">
        <f>INPUT!EI546</f>
        <v>14.787996042926732</v>
      </c>
      <c r="CS81" s="752">
        <f>INPUT!EJ546</f>
        <v>1.6459523995049796</v>
      </c>
      <c r="CT81" s="793">
        <f>INPUT!EK546</f>
        <v>14.780159282105751</v>
      </c>
      <c r="CU81" s="752">
        <f>INPUT!EL546</f>
        <v>1.5149608714841944</v>
      </c>
      <c r="CV81" s="793">
        <f>INPUT!EM546</f>
        <v>14.794319759588163</v>
      </c>
      <c r="CW81" s="752">
        <f>INPUT!EN546</f>
        <v>1.6246439996452589</v>
      </c>
      <c r="CX81" s="793">
        <f>INPUT!EO546</f>
        <v>14.797022728290237</v>
      </c>
      <c r="CY81" s="752">
        <f>INPUT!EP546</f>
        <v>1.0580014767158641</v>
      </c>
      <c r="CZ81" s="793">
        <f>INPUT!EQ546</f>
        <v>14.802460855546229</v>
      </c>
      <c r="DA81" s="752">
        <f>INPUT!ER546</f>
        <v>9.7814555653852331E-2</v>
      </c>
      <c r="DB81" s="753"/>
      <c r="DC81" s="793">
        <f>INPUT!FB546</f>
        <v>13.911871098140329</v>
      </c>
      <c r="DD81" s="767" t="str">
        <f>INPUT!FC546</f>
        <v>NA</v>
      </c>
      <c r="DE81" s="793">
        <f>INPUT!FD546</f>
        <v>13.645054910447158</v>
      </c>
      <c r="DF81" s="767">
        <f>INPUT!FE546</f>
        <v>-1.9179029607946707</v>
      </c>
      <c r="DG81" s="793">
        <f>INPUT!FF546</f>
        <v>12.573122317817727</v>
      </c>
      <c r="DH81" s="767">
        <f>INPUT!FG546</f>
        <v>-7.8558320187390285</v>
      </c>
      <c r="DI81" s="793">
        <f>INPUT!FH546</f>
        <v>11.644481391741602</v>
      </c>
      <c r="DJ81" s="767">
        <f>INPUT!FI546</f>
        <v>-7.3859213535218853</v>
      </c>
      <c r="DK81" s="793">
        <f>INPUT!FJ546</f>
        <v>12.235933038242717</v>
      </c>
      <c r="DL81" s="752">
        <f>INPUT!FK546</f>
        <v>5.0792442067929322</v>
      </c>
      <c r="DM81" s="793">
        <f>INPUT!FL546</f>
        <v>13.617722586332452</v>
      </c>
      <c r="DN81" s="752">
        <f>INPUT!FM546</f>
        <v>11.292882559679175</v>
      </c>
      <c r="DO81" s="793">
        <f>INPUT!FN546</f>
        <v>14.584303836454984</v>
      </c>
      <c r="DP81" s="752">
        <f>INPUT!FO546</f>
        <v>7.0979654930894975</v>
      </c>
      <c r="DQ81" s="793">
        <f>INPUT!FP546</f>
        <v>14.605550271914481</v>
      </c>
      <c r="DR81" s="752">
        <f>INPUT!FQ546</f>
        <v>0.14568014831390919</v>
      </c>
      <c r="DS81" s="793">
        <f>INPUT!FR546</f>
        <v>15.071486626274568</v>
      </c>
      <c r="DT81" s="752">
        <f>INPUT!FS546</f>
        <v>3.1901321462434185</v>
      </c>
      <c r="DU81" s="793">
        <f>INPUT!FT546</f>
        <v>14.459221386883502</v>
      </c>
      <c r="DV81" s="752">
        <f>INPUT!FU546</f>
        <v>-4.0624077410100101</v>
      </c>
      <c r="DW81" s="793">
        <f>INPUT!FV546</f>
        <v>13.043588624110308</v>
      </c>
      <c r="DX81" s="752">
        <f>INPUT!FW546</f>
        <v>-9.7905186240344051</v>
      </c>
      <c r="DY81" s="793">
        <f>INPUT!FX546</f>
        <v>12.960308790564879</v>
      </c>
      <c r="DZ81" s="752">
        <f>INPUT!FY546</f>
        <v>-0.63847332160944514</v>
      </c>
      <c r="EA81" s="793">
        <f>INPUT!FZ546</f>
        <v>14.183064356527755</v>
      </c>
      <c r="EB81" s="752">
        <f>INPUT!GA546</f>
        <v>9.4346175366827989</v>
      </c>
      <c r="EC81" s="793">
        <f>INPUT!GB546</f>
        <v>13.415205880180721</v>
      </c>
      <c r="ED81" s="752">
        <f>INPUT!GC546</f>
        <v>-5.4139109648305705</v>
      </c>
      <c r="EE81" s="793">
        <f>INPUT!GD546</f>
        <v>14.276516502238598</v>
      </c>
      <c r="EF81" s="752">
        <f>INPUT!GE546</f>
        <v>6.4204055439086138</v>
      </c>
      <c r="EG81" s="793">
        <f>INPUT!GF546</f>
        <v>14.548534096866556</v>
      </c>
      <c r="EH81" s="752">
        <f>INPUT!GG546</f>
        <v>1.9053499121112871</v>
      </c>
      <c r="EI81" s="793">
        <f>INPUT!GH546</f>
        <v>14.787996042926732</v>
      </c>
      <c r="EJ81" s="752">
        <f>INPUT!GI546</f>
        <v>1.6459523995049796</v>
      </c>
      <c r="EK81" s="793">
        <f>INPUT!GJ546</f>
        <v>14.802460855546229</v>
      </c>
      <c r="EL81" s="752">
        <f>INPUT!GK546</f>
        <v>9.7814555653852331E-2</v>
      </c>
      <c r="EM81" s="793">
        <f>INPUT!GL546</f>
        <v>14.804467834049836</v>
      </c>
      <c r="EN81" s="752">
        <f>INPUT!GM546</f>
        <v>1.3558411153336003E-2</v>
      </c>
      <c r="EO81" s="793">
        <f>INPUT!GN546</f>
        <v>14.763063130731465</v>
      </c>
      <c r="EP81" s="752">
        <f>INPUT!GO546</f>
        <v>-0.27967707980114387</v>
      </c>
      <c r="EQ81" s="793">
        <f>INPUT!GP546</f>
        <v>14.719042625639792</v>
      </c>
      <c r="ER81" s="752">
        <f>INPUT!GQ546</f>
        <v>-0.2981800233586851</v>
      </c>
      <c r="ES81" s="793">
        <f>INPUT!GR546</f>
        <v>14.634160724716544</v>
      </c>
      <c r="ET81" s="752">
        <f>INPUT!GS546</f>
        <v>-0.57668085542050829</v>
      </c>
      <c r="EU81" s="767">
        <f>INPUT!GT546</f>
        <v>-0.20892548864994698</v>
      </c>
      <c r="EV81" s="710"/>
    </row>
    <row r="82" spans="1:152" ht="12.75" customHeight="1" x14ac:dyDescent="0.2">
      <c r="A82" s="754" t="str">
        <f>INPUT!B547</f>
        <v>Equity to Total Assets (%)</v>
      </c>
      <c r="B82" s="793">
        <f>INPUT!AS547</f>
        <v>12.476102189926538</v>
      </c>
      <c r="C82" s="767">
        <f>INPUT!AT547</f>
        <v>5.3910302408495481</v>
      </c>
      <c r="D82" s="793">
        <f>INPUT!AU547</f>
        <v>13.773927412403525</v>
      </c>
      <c r="E82" s="767">
        <f>INPUT!AV547</f>
        <v>15.52627383520344</v>
      </c>
      <c r="F82" s="793">
        <f>INPUT!AW547</f>
        <v>13.321342459360658</v>
      </c>
      <c r="G82" s="767">
        <f>INPUT!AX547</f>
        <v>9.6742326230253148</v>
      </c>
      <c r="H82" s="793">
        <f>INPUT!AY547</f>
        <v>13.610289118089272</v>
      </c>
      <c r="I82" s="752">
        <f>INPUT!AZ547</f>
        <v>11.297105386945328</v>
      </c>
      <c r="J82" s="793">
        <f>INPUT!BA547</f>
        <v>13.195741303294058</v>
      </c>
      <c r="K82" s="752">
        <f>INPUT!BB547</f>
        <v>5.7681405811870645</v>
      </c>
      <c r="L82" s="793">
        <f>INPUT!BC547</f>
        <v>13.985471689036419</v>
      </c>
      <c r="M82" s="752">
        <f>INPUT!BD547</f>
        <v>1.5358312142867536</v>
      </c>
      <c r="N82" s="793">
        <f>INPUT!BE547</f>
        <v>14.246664621990494</v>
      </c>
      <c r="O82" s="752">
        <f>INPUT!BF547</f>
        <v>6.9461630121191664</v>
      </c>
      <c r="P82" s="793">
        <f>INPUT!BG547</f>
        <v>14.578635037676163</v>
      </c>
      <c r="Q82" s="752">
        <f>INPUT!BH547</f>
        <v>7.1148078573869178</v>
      </c>
      <c r="R82" s="793">
        <f>INPUT!BI547</f>
        <v>14.225426886359907</v>
      </c>
      <c r="S82" s="752">
        <f>INPUT!BJ547</f>
        <v>7.8031658805618465</v>
      </c>
      <c r="T82" s="793">
        <f>INPUT!BK547</f>
        <v>14.684842576042465</v>
      </c>
      <c r="U82" s="752">
        <f>INPUT!BL547</f>
        <v>5.0006957402394914</v>
      </c>
      <c r="V82" s="793">
        <f>INPUT!BM547</f>
        <v>14.508226242445591</v>
      </c>
      <c r="W82" s="752">
        <f>INPUT!BN547</f>
        <v>1.8359498689353826</v>
      </c>
      <c r="X82" s="793">
        <f>INPUT!BO547</f>
        <v>14.602505975114935</v>
      </c>
      <c r="Y82" s="752">
        <f>INPUT!BP547</f>
        <v>0.16373917981402641</v>
      </c>
      <c r="Z82" s="793">
        <f>INPUT!BQ547</f>
        <v>14.927725106696247</v>
      </c>
      <c r="AA82" s="752">
        <f>INPUT!BR547</f>
        <v>4.9369219352548344</v>
      </c>
      <c r="AB82" s="793">
        <f>INPUT!BS547</f>
        <v>15.049475419170777</v>
      </c>
      <c r="AC82" s="752">
        <f>INPUT!BT547</f>
        <v>2.4830558532727531</v>
      </c>
      <c r="AD82" s="793">
        <f>INPUT!BU547</f>
        <v>14.716944934818663</v>
      </c>
      <c r="AE82" s="752">
        <f>INPUT!BV547</f>
        <v>1.4386230879309014</v>
      </c>
      <c r="AF82" s="793">
        <f>INPUT!BW547</f>
        <v>15.071486626274568</v>
      </c>
      <c r="AG82" s="752">
        <f>INPUT!BX547</f>
        <v>3.2116449872292563</v>
      </c>
      <c r="AH82" s="793">
        <f>INPUT!BY547</f>
        <v>15.344642206237651</v>
      </c>
      <c r="AI82" s="752">
        <f>INPUT!BZ547</f>
        <v>2.7929044550424109</v>
      </c>
      <c r="AJ82" s="793">
        <f>INPUT!CA547</f>
        <v>14.965672539628743</v>
      </c>
      <c r="AK82" s="752">
        <f>INPUT!CB547</f>
        <v>-0.55684917386078503</v>
      </c>
      <c r="AL82" s="793">
        <f>INPUT!CC547</f>
        <v>14.39578285169798</v>
      </c>
      <c r="AM82" s="752">
        <f>INPUT!CD547</f>
        <v>-2.1822605475736223</v>
      </c>
      <c r="AN82" s="793">
        <f>INPUT!CE547</f>
        <v>14.459221386883502</v>
      </c>
      <c r="AO82" s="752">
        <f>INPUT!CF547</f>
        <v>-4.0624077410100101</v>
      </c>
      <c r="AP82" s="793">
        <f>INPUT!CG547</f>
        <v>14.311106408866085</v>
      </c>
      <c r="AQ82" s="752">
        <f>INPUT!CH547</f>
        <v>-6.7354831965481088</v>
      </c>
      <c r="AR82" s="793">
        <f>INPUT!CI547</f>
        <v>14.197575896532674</v>
      </c>
      <c r="AS82" s="752">
        <f>INPUT!CJ547</f>
        <v>-5.1323897476853624</v>
      </c>
      <c r="AT82" s="793">
        <f>INPUT!CK547</f>
        <v>14.494030060164279</v>
      </c>
      <c r="AU82" s="752">
        <f>INPUT!CL547</f>
        <v>0.68247214811740786</v>
      </c>
      <c r="AV82" s="793">
        <f>INPUT!CM547</f>
        <v>13.043588624110308</v>
      </c>
      <c r="AW82" s="752">
        <f>INPUT!CN547</f>
        <v>-9.7905186240344051</v>
      </c>
      <c r="AX82" s="793">
        <f>INPUT!CO547</f>
        <v>13.066594041585752</v>
      </c>
      <c r="AY82" s="752">
        <f>INPUT!CP547</f>
        <v>-8.6961296473159209</v>
      </c>
      <c r="AZ82" s="793">
        <f>INPUT!CQ547</f>
        <v>12.958777060564397</v>
      </c>
      <c r="BA82" s="752">
        <f>INPUT!CR547</f>
        <v>-8.7254249950571854</v>
      </c>
      <c r="BB82" s="793">
        <f>INPUT!CS547</f>
        <v>12.853562652761404</v>
      </c>
      <c r="BC82" s="752">
        <f>INPUT!CT547</f>
        <v>-11.318228267730534</v>
      </c>
      <c r="BD82" s="793">
        <f>INPUT!CU547</f>
        <v>12.960308790564879</v>
      </c>
      <c r="BE82" s="752">
        <f>INPUT!CV547</f>
        <v>-0.63847332160944514</v>
      </c>
      <c r="BF82" s="793">
        <f>INPUT!CW547</f>
        <v>13.205738339192841</v>
      </c>
      <c r="BG82" s="752">
        <f>INPUT!CX547</f>
        <v>1.0648857473052997</v>
      </c>
      <c r="BH82" s="793">
        <f>INPUT!CY547</f>
        <v>13.802145411203814</v>
      </c>
      <c r="BI82" s="752">
        <f>INPUT!CZ547</f>
        <v>6.5080859613359632</v>
      </c>
      <c r="BJ82" s="793">
        <f>INPUT!DA547</f>
        <v>13.958821282880615</v>
      </c>
      <c r="BK82" s="752">
        <f>INPUT!DB547</f>
        <v>8.5988504508651697</v>
      </c>
      <c r="BL82" s="793">
        <f>INPUT!DC547</f>
        <v>14.183064356527755</v>
      </c>
      <c r="BM82" s="752">
        <f>INPUT!DD547</f>
        <v>9.4346175366827989</v>
      </c>
      <c r="BN82" s="793">
        <f>INPUT!DE547</f>
        <v>13.98758272137659</v>
      </c>
      <c r="BO82" s="752">
        <f>INPUT!DF547</f>
        <v>5.9204897303117177</v>
      </c>
      <c r="BP82" s="793">
        <f>INPUT!DG547</f>
        <v>13.983327433743275</v>
      </c>
      <c r="BQ82" s="752">
        <f>INPUT!DH547</f>
        <v>1.3127091270346058</v>
      </c>
      <c r="BR82" s="793">
        <f>INPUT!DI547</f>
        <v>14.157493649449618</v>
      </c>
      <c r="BS82" s="752">
        <f>INPUT!DJ547</f>
        <v>1.4232746629735837</v>
      </c>
      <c r="BT82" s="793">
        <f>INPUT!DK547</f>
        <v>13.415205880180721</v>
      </c>
      <c r="BU82" s="752">
        <f>INPUT!DL547</f>
        <v>-5.4139109648305705</v>
      </c>
      <c r="BV82" s="793">
        <f>INPUT!DM547</f>
        <v>13.429401425564228</v>
      </c>
      <c r="BW82" s="752">
        <f>INPUT!DN547</f>
        <v>-3.9905486668494805</v>
      </c>
      <c r="BX82" s="793">
        <f>INPUT!DO547</f>
        <v>13.79411497769941</v>
      </c>
      <c r="BY82" s="752">
        <f>INPUT!DP547</f>
        <v>-1.3531289812128366</v>
      </c>
      <c r="BZ82" s="793">
        <f>INPUT!DQ547</f>
        <v>13.921355588157796</v>
      </c>
      <c r="CA82" s="752">
        <f>INPUT!DR547</f>
        <v>-1.6679369042203462</v>
      </c>
      <c r="CB82" s="793">
        <f>INPUT!DS547</f>
        <v>14.276516502238598</v>
      </c>
      <c r="CC82" s="752">
        <f>INPUT!DT547</f>
        <v>6.4204055439086138</v>
      </c>
      <c r="CD82" s="793">
        <f>INPUT!DU547</f>
        <v>14.116877566086853</v>
      </c>
      <c r="CE82" s="752">
        <f>INPUT!DV547</f>
        <v>5.1191867659413637</v>
      </c>
      <c r="CF82" s="793">
        <f>INPUT!DW547</f>
        <v>13.882446668650505</v>
      </c>
      <c r="CG82" s="752">
        <f>INPUT!DX547</f>
        <v>0.64035779819073824</v>
      </c>
      <c r="CH82" s="793">
        <f>INPUT!DY547</f>
        <v>14.042367432360875</v>
      </c>
      <c r="CI82" s="752">
        <f>INPUT!DZ547</f>
        <v>0.86925330968499193</v>
      </c>
      <c r="CJ82" s="793">
        <f>INPUT!EA547</f>
        <v>14.548534096866556</v>
      </c>
      <c r="CK82" s="752">
        <f>INPUT!EB547</f>
        <v>1.9053499121112871</v>
      </c>
      <c r="CL82" s="793">
        <f>INPUT!EC547</f>
        <v>14.559587232484009</v>
      </c>
      <c r="CM82" s="752">
        <f>INPUT!ED547</f>
        <v>3.1360310686598503</v>
      </c>
      <c r="CN82" s="793">
        <f>INPUT!EE547</f>
        <v>14.557807218138748</v>
      </c>
      <c r="CO82" s="752">
        <f>INPUT!EF547</f>
        <v>4.8648524687896044</v>
      </c>
      <c r="CP82" s="793">
        <f>INPUT!EG547</f>
        <v>14.642108998859953</v>
      </c>
      <c r="CQ82" s="752">
        <f>INPUT!EH547</f>
        <v>4.2709434102754296</v>
      </c>
      <c r="CR82" s="793">
        <f>INPUT!EI547</f>
        <v>14.787996042926732</v>
      </c>
      <c r="CS82" s="752">
        <f>INPUT!EJ547</f>
        <v>1.6459523995049796</v>
      </c>
      <c r="CT82" s="793">
        <f>INPUT!EK547</f>
        <v>14.780159282105751</v>
      </c>
      <c r="CU82" s="752">
        <f>INPUT!EL547</f>
        <v>1.5149608714841944</v>
      </c>
      <c r="CV82" s="793">
        <f>INPUT!EM547</f>
        <v>14.794319759588163</v>
      </c>
      <c r="CW82" s="752">
        <f>INPUT!EN547</f>
        <v>1.6246439996452589</v>
      </c>
      <c r="CX82" s="793">
        <f>INPUT!EO547</f>
        <v>14.797022728290237</v>
      </c>
      <c r="CY82" s="752">
        <f>INPUT!EP547</f>
        <v>1.0580014767158641</v>
      </c>
      <c r="CZ82" s="793">
        <f>INPUT!EQ547</f>
        <v>14.802460855546229</v>
      </c>
      <c r="DA82" s="752">
        <f>INPUT!ER547</f>
        <v>9.7814555653852331E-2</v>
      </c>
      <c r="DB82" s="753"/>
      <c r="DC82" s="793">
        <f>INPUT!FB547</f>
        <v>13.897727782010488</v>
      </c>
      <c r="DD82" s="767" t="str">
        <f>INPUT!FC547</f>
        <v>NA</v>
      </c>
      <c r="DE82" s="793">
        <f>INPUT!FD547</f>
        <v>13.636496478358712</v>
      </c>
      <c r="DF82" s="767">
        <f>INPUT!FE547</f>
        <v>-1.8796691642638086</v>
      </c>
      <c r="DG82" s="793">
        <f>INPUT!FF547</f>
        <v>12.564705203812379</v>
      </c>
      <c r="DH82" s="767">
        <f>INPUT!FG547</f>
        <v>-7.8597261125486266</v>
      </c>
      <c r="DI82" s="793">
        <f>INPUT!FH547</f>
        <v>11.637001734506962</v>
      </c>
      <c r="DJ82" s="767">
        <f>INPUT!FI547</f>
        <v>-7.3834081600572148</v>
      </c>
      <c r="DK82" s="793">
        <f>INPUT!FJ547</f>
        <v>12.228789842081284</v>
      </c>
      <c r="DL82" s="752">
        <f>INPUT!FK547</f>
        <v>5.0854001836186491</v>
      </c>
      <c r="DM82" s="793">
        <f>INPUT!FL547</f>
        <v>13.610289118089272</v>
      </c>
      <c r="DN82" s="752">
        <f>INPUT!FM547</f>
        <v>11.297105386945328</v>
      </c>
      <c r="DO82" s="793">
        <f>INPUT!FN547</f>
        <v>14.578635037676163</v>
      </c>
      <c r="DP82" s="752">
        <f>INPUT!FO547</f>
        <v>7.1148078573869178</v>
      </c>
      <c r="DQ82" s="793">
        <f>INPUT!FP547</f>
        <v>14.602505975114935</v>
      </c>
      <c r="DR82" s="752">
        <f>INPUT!FQ547</f>
        <v>0.16373917981402641</v>
      </c>
      <c r="DS82" s="793">
        <f>INPUT!FR547</f>
        <v>15.071486626274568</v>
      </c>
      <c r="DT82" s="752">
        <f>INPUT!FS547</f>
        <v>3.2116449872292563</v>
      </c>
      <c r="DU82" s="793">
        <f>INPUT!FT547</f>
        <v>14.459221386883502</v>
      </c>
      <c r="DV82" s="752">
        <f>INPUT!FU547</f>
        <v>-4.0624077410100101</v>
      </c>
      <c r="DW82" s="793">
        <f>INPUT!FV547</f>
        <v>13.043588624110308</v>
      </c>
      <c r="DX82" s="752">
        <f>INPUT!FW547</f>
        <v>-9.7905186240344051</v>
      </c>
      <c r="DY82" s="793">
        <f>INPUT!FX547</f>
        <v>12.960308790564879</v>
      </c>
      <c r="DZ82" s="752">
        <f>INPUT!FY547</f>
        <v>-0.63847332160944514</v>
      </c>
      <c r="EA82" s="793">
        <f>INPUT!FZ547</f>
        <v>14.183064356527755</v>
      </c>
      <c r="EB82" s="752">
        <f>INPUT!GA547</f>
        <v>9.4346175366827989</v>
      </c>
      <c r="EC82" s="793">
        <f>INPUT!GB547</f>
        <v>13.415205880180721</v>
      </c>
      <c r="ED82" s="752">
        <f>INPUT!GC547</f>
        <v>-5.4139109648305705</v>
      </c>
      <c r="EE82" s="793">
        <f>INPUT!GD547</f>
        <v>14.276516502238598</v>
      </c>
      <c r="EF82" s="752">
        <f>INPUT!GE547</f>
        <v>6.4204055439086138</v>
      </c>
      <c r="EG82" s="793">
        <f>INPUT!GF547</f>
        <v>14.548534096866556</v>
      </c>
      <c r="EH82" s="752">
        <f>INPUT!GG547</f>
        <v>1.9053499121112871</v>
      </c>
      <c r="EI82" s="793">
        <f>INPUT!GH547</f>
        <v>14.787996042926732</v>
      </c>
      <c r="EJ82" s="752">
        <f>INPUT!GI547</f>
        <v>1.6459523995049796</v>
      </c>
      <c r="EK82" s="793">
        <f>INPUT!GJ547</f>
        <v>14.802460855546229</v>
      </c>
      <c r="EL82" s="752">
        <f>INPUT!GK547</f>
        <v>9.7814555653852331E-2</v>
      </c>
      <c r="EM82" s="793">
        <f>INPUT!GL547</f>
        <v>14.804467834049836</v>
      </c>
      <c r="EN82" s="752">
        <f>INPUT!GM547</f>
        <v>1.3558411153336003E-2</v>
      </c>
      <c r="EO82" s="793">
        <f>INPUT!GN547</f>
        <v>14.763063130731465</v>
      </c>
      <c r="EP82" s="752">
        <f>INPUT!GO547</f>
        <v>-0.27967707980114387</v>
      </c>
      <c r="EQ82" s="793">
        <f>INPUT!GP547</f>
        <v>14.719042625639792</v>
      </c>
      <c r="ER82" s="752">
        <f>INPUT!GQ547</f>
        <v>-0.2981800233586851</v>
      </c>
      <c r="ES82" s="793">
        <f>INPUT!GR547</f>
        <v>14.634160724716544</v>
      </c>
      <c r="ET82" s="752">
        <f>INPUT!GS547</f>
        <v>-0.57668085542050829</v>
      </c>
      <c r="EU82" s="767">
        <f>INPUT!GT547</f>
        <v>-0.20892548864994698</v>
      </c>
      <c r="EV82" s="710"/>
    </row>
    <row r="83" spans="1:152" ht="12.75" customHeight="1" x14ac:dyDescent="0.2">
      <c r="A83" s="754" t="str">
        <f>INPUT!B548</f>
        <v>Oper Return on Avg Assets (%)</v>
      </c>
      <c r="B83" s="768">
        <f>INPUT!AS548</f>
        <v>1.0556705609885697</v>
      </c>
      <c r="C83" s="767">
        <f>INPUT!AT548</f>
        <v>-15.321862636906669</v>
      </c>
      <c r="D83" s="768">
        <f>INPUT!AU548</f>
        <v>1.1172430672250071</v>
      </c>
      <c r="E83" s="767">
        <f>INPUT!AV548</f>
        <v>8.8087971333205228</v>
      </c>
      <c r="F83" s="768">
        <f>INPUT!AW548</f>
        <v>1.2373793209154815</v>
      </c>
      <c r="G83" s="767">
        <f>INPUT!AX548</f>
        <v>14.653406793500533</v>
      </c>
      <c r="H83" s="768">
        <f>INPUT!AY548</f>
        <v>1.3879012143170741</v>
      </c>
      <c r="I83" s="752">
        <f>INPUT!AZ548</f>
        <v>31.037448932228884</v>
      </c>
      <c r="J83" s="793">
        <f>INPUT!BA548</f>
        <v>1.3431854111293602</v>
      </c>
      <c r="K83" s="752">
        <f>INPUT!BB548</f>
        <v>27.23528160826525</v>
      </c>
      <c r="L83" s="793">
        <f>INPUT!BC548</f>
        <v>1.3995369576071388</v>
      </c>
      <c r="M83" s="752">
        <f>INPUT!BD548</f>
        <v>25.26700757099254</v>
      </c>
      <c r="N83" s="793">
        <f>INPUT!BE548</f>
        <v>1.6662905541337956</v>
      </c>
      <c r="O83" s="752">
        <f>INPUT!BF548</f>
        <v>34.662873863204837</v>
      </c>
      <c r="P83" s="793">
        <f>INPUT!BG548</f>
        <v>1.6370710946712612</v>
      </c>
      <c r="Q83" s="752">
        <f>INPUT!BH548</f>
        <v>17.952998223781556</v>
      </c>
      <c r="R83" s="793">
        <f>INPUT!BI548</f>
        <v>1.6020245025715845</v>
      </c>
      <c r="S83" s="752">
        <f>INPUT!BJ548</f>
        <v>19.270540708493144</v>
      </c>
      <c r="T83" s="793">
        <f>INPUT!BK548</f>
        <v>1.7253124085094522</v>
      </c>
      <c r="U83" s="752">
        <f>INPUT!BL548</f>
        <v>23.277373929396528</v>
      </c>
      <c r="V83" s="793">
        <f>INPUT!BM548</f>
        <v>1.6973790010975431</v>
      </c>
      <c r="W83" s="752">
        <f>INPUT!BN548</f>
        <v>1.8657278520016973</v>
      </c>
      <c r="X83" s="793">
        <f>INPUT!BO548</f>
        <v>1.6601096037023473</v>
      </c>
      <c r="Y83" s="752">
        <f>INPUT!BP548</f>
        <v>1.4073004590990257</v>
      </c>
      <c r="Z83" s="793">
        <f>INPUT!BQ548</f>
        <v>1.6431642637608541</v>
      </c>
      <c r="AA83" s="752">
        <f>INPUT!BR548</f>
        <v>2.5679857657127991</v>
      </c>
      <c r="AB83" s="793">
        <f>INPUT!BS548</f>
        <v>1.6943563330297426</v>
      </c>
      <c r="AC83" s="752">
        <f>INPUT!BT548</f>
        <v>-1.7942301537408722</v>
      </c>
      <c r="AD83" s="793">
        <f>INPUT!BU548</f>
        <v>1.5993650913625959</v>
      </c>
      <c r="AE83" s="752">
        <f>INPUT!BV548</f>
        <v>-5.7744269059279318</v>
      </c>
      <c r="AF83" s="793">
        <f>INPUT!BW548</f>
        <v>1.611868610187887</v>
      </c>
      <c r="AG83" s="752">
        <f>INPUT!BX548</f>
        <v>-2.905892081274275</v>
      </c>
      <c r="AH83" s="793">
        <f>INPUT!BY548</f>
        <v>1.6672445491275205</v>
      </c>
      <c r="AI83" s="752">
        <f>INPUT!BZ548</f>
        <v>1.4654825386447801</v>
      </c>
      <c r="AJ83" s="793">
        <f>INPUT!CA548</f>
        <v>1.676451978663994</v>
      </c>
      <c r="AK83" s="752">
        <f>INPUT!CB548</f>
        <v>-1.0567053704537588</v>
      </c>
      <c r="AL83" s="793">
        <f>INPUT!CC548</f>
        <v>1.5545376068614083</v>
      </c>
      <c r="AM83" s="752">
        <f>INPUT!CD548</f>
        <v>-2.8028299944321211</v>
      </c>
      <c r="AN83" s="793">
        <f>INPUT!CE548</f>
        <v>1.479285302433019</v>
      </c>
      <c r="AO83" s="752">
        <f>INPUT!CF548</f>
        <v>-8.2254413862810729</v>
      </c>
      <c r="AP83" s="793">
        <f>INPUT!CG548</f>
        <v>1.551674991014661</v>
      </c>
      <c r="AQ83" s="752">
        <f>INPUT!CH548</f>
        <v>-6.9317700377750651</v>
      </c>
      <c r="AR83" s="793">
        <f>INPUT!CI548</f>
        <v>1.6450491458432333</v>
      </c>
      <c r="AS83" s="752">
        <f>INPUT!CJ548</f>
        <v>-1.873172224460995</v>
      </c>
      <c r="AT83" s="793">
        <f>INPUT!CK548</f>
        <v>1.5290443900913675</v>
      </c>
      <c r="AU83" s="752">
        <f>INPUT!CL548</f>
        <v>-1.6399228077544681</v>
      </c>
      <c r="AV83" s="793">
        <f>INPUT!CM548</f>
        <v>-2.4944164007709229</v>
      </c>
      <c r="AW83" s="752" t="str">
        <f>INPUT!CN548</f>
        <v>NM</v>
      </c>
      <c r="AX83" s="793">
        <f>INPUT!CO548</f>
        <v>1.4428583755323161</v>
      </c>
      <c r="AY83" s="752">
        <f>INPUT!CP548</f>
        <v>-7.0128484452268047</v>
      </c>
      <c r="AZ83" s="793">
        <f>INPUT!CQ548</f>
        <v>1.5121490403088724</v>
      </c>
      <c r="BA83" s="752">
        <f>INPUT!CR548</f>
        <v>-8.078792409951852</v>
      </c>
      <c r="BB83" s="793">
        <f>INPUT!CS548</f>
        <v>1.4760208389102814</v>
      </c>
      <c r="BC83" s="752">
        <f>INPUT!CT548</f>
        <v>-3.4677574781146636</v>
      </c>
      <c r="BD83" s="793">
        <f>INPUT!CU548</f>
        <v>1.464159808162528</v>
      </c>
      <c r="BE83" s="752" t="str">
        <f>INPUT!CV548</f>
        <v>NM</v>
      </c>
      <c r="BF83" s="793">
        <f>INPUT!CW548</f>
        <v>1.3864151521422794</v>
      </c>
      <c r="BG83" s="752">
        <f>INPUT!CX548</f>
        <v>-3.9119032295330425</v>
      </c>
      <c r="BH83" s="793">
        <f>INPUT!CY548</f>
        <v>1.4360400148991639</v>
      </c>
      <c r="BI83" s="752">
        <f>INPUT!CZ548</f>
        <v>-5.0331695739569753</v>
      </c>
      <c r="BJ83" s="793">
        <f>INPUT!DA548</f>
        <v>1.4982374919396209</v>
      </c>
      <c r="BK83" s="752">
        <f>INPUT!DB548</f>
        <v>1.5051720438948202</v>
      </c>
      <c r="BL83" s="793">
        <f>INPUT!DC548</f>
        <v>1.4492545350491519</v>
      </c>
      <c r="BM83" s="752">
        <f>INPUT!DD548</f>
        <v>-1.0180086238046449</v>
      </c>
      <c r="BN83" s="793">
        <f>INPUT!DE548</f>
        <v>1.4871689090837712</v>
      </c>
      <c r="BO83" s="752">
        <f>INPUT!DF548</f>
        <v>7.2672140654123529</v>
      </c>
      <c r="BP83" s="793">
        <f>INPUT!DG548</f>
        <v>1.4486373611627068</v>
      </c>
      <c r="BQ83" s="752">
        <f>INPUT!DH548</f>
        <v>0.8772280808921229</v>
      </c>
      <c r="BR83" s="793">
        <f>INPUT!DI548</f>
        <v>1.4250615049651136</v>
      </c>
      <c r="BS83" s="752">
        <f>INPUT!DJ548</f>
        <v>-4.884138020052708</v>
      </c>
      <c r="BT83" s="793">
        <f>INPUT!DK548</f>
        <v>-1.4816994594804354</v>
      </c>
      <c r="BU83" s="752" t="str">
        <f>INPUT!DL548</f>
        <v>NM</v>
      </c>
      <c r="BV83" s="793">
        <f>INPUT!DM548</f>
        <v>1.426127598112253</v>
      </c>
      <c r="BW83" s="752">
        <f>INPUT!DN548</f>
        <v>-4.1045311395815247</v>
      </c>
      <c r="BX83" s="793">
        <f>INPUT!DO548</f>
        <v>1.41800548786122</v>
      </c>
      <c r="BY83" s="752">
        <f>INPUT!DP548</f>
        <v>-2.1145301179379294</v>
      </c>
      <c r="BZ83" s="793">
        <f>INPUT!DQ548</f>
        <v>1.4358984350265713</v>
      </c>
      <c r="CA83" s="752">
        <f>INPUT!DR548</f>
        <v>0.76045349788063099</v>
      </c>
      <c r="CB83" s="793">
        <f>INPUT!DS548</f>
        <v>1.4983360015206204</v>
      </c>
      <c r="CC83" s="752" t="str">
        <f>INPUT!DT548</f>
        <v>NM</v>
      </c>
      <c r="CD83" s="793">
        <f>INPUT!DU548</f>
        <v>1.466068556033636</v>
      </c>
      <c r="CE83" s="752">
        <f>INPUT!DV548</f>
        <v>2.8006580879756049</v>
      </c>
      <c r="CF83" s="793">
        <f>INPUT!DW548</f>
        <v>1.4878612393788333</v>
      </c>
      <c r="CG83" s="752">
        <f>INPUT!DX548</f>
        <v>4.9263385872347243</v>
      </c>
      <c r="CH83" s="793">
        <f>INPUT!DY548</f>
        <v>1.4409964108982061</v>
      </c>
      <c r="CI83" s="752">
        <f>INPUT!DZ548</f>
        <v>0.3550373583031563</v>
      </c>
      <c r="CJ83" s="793">
        <f>INPUT!EA548</f>
        <v>1.4648428936864919</v>
      </c>
      <c r="CK83" s="752">
        <f>INPUT!EB548</f>
        <v>-2.2353536056089696</v>
      </c>
      <c r="CL83" s="793">
        <f>INPUT!EC548</f>
        <v>1.5169037431093622</v>
      </c>
      <c r="CM83" s="752">
        <f>INPUT!ED548</f>
        <v>3.4674495177263731</v>
      </c>
      <c r="CN83" s="793">
        <f>INPUT!EE548</f>
        <v>1.5287636823236705</v>
      </c>
      <c r="CO83" s="752">
        <f>INPUT!EF548</f>
        <v>2.749076450295429</v>
      </c>
      <c r="CP83" s="793">
        <f>INPUT!EG548</f>
        <v>1.5469670702381333</v>
      </c>
      <c r="CQ83" s="752">
        <f>INPUT!EH548</f>
        <v>7.3539849605783081</v>
      </c>
      <c r="CR83" s="793">
        <f>INPUT!EI548</f>
        <v>1.5903799571989607</v>
      </c>
      <c r="CS83" s="752">
        <f>INPUT!EJ548</f>
        <v>8.5700018789411914</v>
      </c>
      <c r="CT83" s="793">
        <f>INPUT!EK548</f>
        <v>1.7568451185437013</v>
      </c>
      <c r="CU83" s="752">
        <f>INPUT!EL548</f>
        <v>15.8178379164986</v>
      </c>
      <c r="CV83" s="793">
        <f>INPUT!EM548</f>
        <v>1.7469905858253032</v>
      </c>
      <c r="CW83" s="752">
        <f>INPUT!EN548</f>
        <v>14.274731014667674</v>
      </c>
      <c r="CX83" s="793">
        <f>INPUT!EO548</f>
        <v>1.7326418198597344</v>
      </c>
      <c r="CY83" s="752">
        <f>INPUT!EP548</f>
        <v>12.002501746402338</v>
      </c>
      <c r="CZ83" s="793">
        <f>INPUT!EQ548</f>
        <v>1.7227347864934934</v>
      </c>
      <c r="DA83" s="752">
        <f>INPUT!ER548</f>
        <v>8.3222143674170255</v>
      </c>
      <c r="DB83" s="753"/>
      <c r="DC83" s="768">
        <f>INPUT!FB548</f>
        <v>-0.56162680712447555</v>
      </c>
      <c r="DD83" s="767" t="str">
        <f>INPUT!FC548</f>
        <v>NA</v>
      </c>
      <c r="DE83" s="768">
        <f>INPUT!FD548</f>
        <v>1.7348705293012654</v>
      </c>
      <c r="DF83" s="767" t="str">
        <f>INPUT!FE548</f>
        <v>NM</v>
      </c>
      <c r="DG83" s="768">
        <f>INPUT!FF548</f>
        <v>9.0724202723447347E-2</v>
      </c>
      <c r="DH83" s="767" t="str">
        <f>INPUT!FG548</f>
        <v>NM</v>
      </c>
      <c r="DI83" s="768">
        <f>INPUT!FH548</f>
        <v>-0.117060255387479</v>
      </c>
      <c r="DJ83" s="767" t="str">
        <f>INPUT!FI548</f>
        <v>NM</v>
      </c>
      <c r="DK83" s="768">
        <f>INPUT!FJ548</f>
        <v>1.103398647736985</v>
      </c>
      <c r="DL83" s="752" t="str">
        <f>INPUT!FK548</f>
        <v>NM</v>
      </c>
      <c r="DM83" s="793">
        <f>INPUT!FL548</f>
        <v>1.1868044907485686</v>
      </c>
      <c r="DN83" s="752">
        <f>INPUT!FM548</f>
        <v>7.5589944923935448</v>
      </c>
      <c r="DO83" s="793">
        <f>INPUT!FN548</f>
        <v>1.5091231785079053</v>
      </c>
      <c r="DP83" s="752">
        <f>INPUT!FO548</f>
        <v>27.158532873096597</v>
      </c>
      <c r="DQ83" s="793">
        <f>INPUT!FP548</f>
        <v>1.6753171631582648</v>
      </c>
      <c r="DR83" s="752">
        <f>INPUT!FQ548</f>
        <v>11.012618917872441</v>
      </c>
      <c r="DS83" s="793">
        <f>INPUT!FR548</f>
        <v>1.5591413519222201</v>
      </c>
      <c r="DT83" s="752">
        <f>INPUT!FS548</f>
        <v>-6.9345562613966845</v>
      </c>
      <c r="DU83" s="793">
        <f>INPUT!FT548</f>
        <v>1.6210198093440085</v>
      </c>
      <c r="DV83" s="752">
        <f>INPUT!FU548</f>
        <v>3.9687522459397329</v>
      </c>
      <c r="DW83" s="793">
        <f>INPUT!FV548</f>
        <v>0.53491837943139098</v>
      </c>
      <c r="DX83" s="752" t="str">
        <f>INPUT!FW548</f>
        <v>NM</v>
      </c>
      <c r="DY83" s="793">
        <f>INPUT!FX548</f>
        <v>1.4601309842876851</v>
      </c>
      <c r="DZ83" s="752" t="str">
        <f>INPUT!FY548</f>
        <v>NM</v>
      </c>
      <c r="EA83" s="793">
        <f>INPUT!FZ548</f>
        <v>1.432154477201492</v>
      </c>
      <c r="EB83" s="752">
        <f>INPUT!GA548</f>
        <v>-1.9160272186019789</v>
      </c>
      <c r="EC83" s="793">
        <f>INPUT!GB548</f>
        <v>0.7148099427608402</v>
      </c>
      <c r="ED83" s="752" t="str">
        <f>INPUT!GC548</f>
        <v>NM</v>
      </c>
      <c r="EE83" s="793">
        <f>INPUT!GD548</f>
        <v>1.4540434682811123</v>
      </c>
      <c r="EF83" s="752" t="str">
        <f>INPUT!GE548</f>
        <v>NM</v>
      </c>
      <c r="EG83" s="793">
        <f>INPUT!GF548</f>
        <v>1.4940509651526828</v>
      </c>
      <c r="EH83" s="752">
        <f>INPUT!GG548</f>
        <v>2.7514649832900195</v>
      </c>
      <c r="EI83" s="793">
        <f>INPUT!GH548</f>
        <v>1.5500710608120072</v>
      </c>
      <c r="EJ83" s="752">
        <f>INPUT!GI548</f>
        <v>3.7495438218601462</v>
      </c>
      <c r="EK83" s="793">
        <f>INPUT!GJ548</f>
        <v>1.7393009080127302</v>
      </c>
      <c r="EL83" s="752">
        <f>INPUT!GK548</f>
        <v>12.207817562995761</v>
      </c>
      <c r="EM83" s="793">
        <f>INPUT!GL548</f>
        <v>1.6961493888999799</v>
      </c>
      <c r="EN83" s="752">
        <f>INPUT!GM548</f>
        <v>-2.4809691591579641</v>
      </c>
      <c r="EO83" s="793">
        <f>INPUT!GN548</f>
        <v>1.66058077130777</v>
      </c>
      <c r="EP83" s="752">
        <f>INPUT!GO548</f>
        <v>-2.0970215138465753</v>
      </c>
      <c r="EQ83" s="793">
        <f>INPUT!GP548</f>
        <v>1.6301113958802345</v>
      </c>
      <c r="ER83" s="752">
        <f>INPUT!GQ548</f>
        <v>-1.834862594701725</v>
      </c>
      <c r="ES83" s="793">
        <f>INPUT!GR548</f>
        <v>1.5927703471956951</v>
      </c>
      <c r="ET83" s="752">
        <f>INPUT!GS548</f>
        <v>-2.2907053333232952</v>
      </c>
      <c r="EU83" s="767">
        <f>INPUT!GT548</f>
        <v>0.54496116553135465</v>
      </c>
      <c r="EV83" s="710"/>
    </row>
    <row r="84" spans="1:152" ht="12.75" customHeight="1" x14ac:dyDescent="0.2">
      <c r="A84" s="754" t="str">
        <f>INPUT!B549</f>
        <v>Book Value per Share</v>
      </c>
      <c r="B84" s="768">
        <f>INPUT!AS549</f>
        <v>20.901239386184351</v>
      </c>
      <c r="C84" s="767">
        <f>INPUT!AT549</f>
        <v>5.8735865078717531</v>
      </c>
      <c r="D84" s="768">
        <f>INPUT!AU549</f>
        <v>20.247674321682329</v>
      </c>
      <c r="E84" s="767">
        <f>INPUT!AV549</f>
        <v>-7.196743512707382E-2</v>
      </c>
      <c r="F84" s="768">
        <f>INPUT!AW549</f>
        <v>20.000191392743684</v>
      </c>
      <c r="G84" s="767">
        <f>INPUT!AX549</f>
        <v>-1.8162324160087895</v>
      </c>
      <c r="H84" s="768">
        <f>INPUT!AY549</f>
        <v>20.739723356898701</v>
      </c>
      <c r="I84" s="752">
        <f>INPUT!AZ549</f>
        <v>-0.13538753283254268</v>
      </c>
      <c r="J84" s="768">
        <f>INPUT!BA549</f>
        <v>19.932441656863176</v>
      </c>
      <c r="K84" s="752">
        <f>INPUT!BB549</f>
        <v>-4.6351209678099137</v>
      </c>
      <c r="L84" s="768">
        <f>INPUT!BC549</f>
        <v>20.144005903106432</v>
      </c>
      <c r="M84" s="752">
        <f>INPUT!BD549</f>
        <v>-0.51200161030288127</v>
      </c>
      <c r="N84" s="768">
        <f>INPUT!BE549</f>
        <v>20.599386435293223</v>
      </c>
      <c r="O84" s="752">
        <f>INPUT!BF549</f>
        <v>2.9959465426262488</v>
      </c>
      <c r="P84" s="768">
        <f>INPUT!BG549</f>
        <v>20.993452430803853</v>
      </c>
      <c r="Q84" s="752">
        <f>INPUT!BH549</f>
        <v>1.2233966169117316</v>
      </c>
      <c r="R84" s="768">
        <f>INPUT!BI549</f>
        <v>21.278790048153013</v>
      </c>
      <c r="S84" s="752">
        <f>INPUT!BJ549</f>
        <v>6.7545582948000726</v>
      </c>
      <c r="T84" s="768">
        <f>INPUT!BK549</f>
        <v>21.974856911370395</v>
      </c>
      <c r="U84" s="752">
        <f>INPUT!BL549</f>
        <v>9.0888129057866465</v>
      </c>
      <c r="V84" s="768">
        <f>INPUT!BM549</f>
        <v>22.012559544101169</v>
      </c>
      <c r="W84" s="752">
        <f>INPUT!BN549</f>
        <v>6.8602679659756083</v>
      </c>
      <c r="X84" s="768">
        <f>INPUT!BO549</f>
        <v>22.215789851269935</v>
      </c>
      <c r="Y84" s="752">
        <f>INPUT!BP549</f>
        <v>5.8224697652518476</v>
      </c>
      <c r="Z84" s="768">
        <f>INPUT!BQ549</f>
        <v>22.652262972272364</v>
      </c>
      <c r="AA84" s="752">
        <f>INPUT!BR549</f>
        <v>6.4546570599702369</v>
      </c>
      <c r="AB84" s="768">
        <f>INPUT!BS549</f>
        <v>23.451979439510819</v>
      </c>
      <c r="AC84" s="752">
        <f>INPUT!BT549</f>
        <v>6.7218755239135231</v>
      </c>
      <c r="AD84" s="768">
        <f>INPUT!BU549</f>
        <v>24.057100503977878</v>
      </c>
      <c r="AE84" s="752">
        <f>INPUT!BV549</f>
        <v>9.2880655508531973</v>
      </c>
      <c r="AF84" s="768">
        <f>INPUT!BW549</f>
        <v>24.58973061712171</v>
      </c>
      <c r="AG84" s="752">
        <f>INPUT!BX549</f>
        <v>10.685826530340847</v>
      </c>
      <c r="AH84" s="768">
        <f>INPUT!BY549</f>
        <v>25.174032368228897</v>
      </c>
      <c r="AI84" s="752">
        <f>INPUT!BZ549</f>
        <v>11.132527461134089</v>
      </c>
      <c r="AJ84" s="768">
        <f>INPUT!CA549</f>
        <v>25.780242770606343</v>
      </c>
      <c r="AK84" s="752">
        <f>INPUT!CB549</f>
        <v>9.9277902622282319</v>
      </c>
      <c r="AL84" s="768">
        <f>INPUT!CC549</f>
        <v>26.527895780232232</v>
      </c>
      <c r="AM84" s="752">
        <f>INPUT!CD549</f>
        <v>10.270544764302759</v>
      </c>
      <c r="AN84" s="768">
        <f>INPUT!CE549</f>
        <v>25.692299681528571</v>
      </c>
      <c r="AO84" s="752">
        <f>INPUT!CF549</f>
        <v>4.4838598745736036</v>
      </c>
      <c r="AP84" s="768">
        <f>INPUT!CG549</f>
        <v>26.26791871760409</v>
      </c>
      <c r="AQ84" s="752">
        <f>INPUT!CH549</f>
        <v>4.3452965078242256</v>
      </c>
      <c r="AR84" s="768">
        <f>INPUT!CI549</f>
        <v>26.941834412805292</v>
      </c>
      <c r="AS84" s="752">
        <f>INPUT!CJ549</f>
        <v>4.5057436135681028</v>
      </c>
      <c r="AT84" s="768">
        <f>INPUT!CK549</f>
        <v>27.7</v>
      </c>
      <c r="AU84" s="752">
        <f>INPUT!CL549</f>
        <v>4.418383687413252</v>
      </c>
      <c r="AV84" s="768">
        <f>INPUT!CM549</f>
        <v>26.332353582613401</v>
      </c>
      <c r="AW84" s="752">
        <f>INPUT!CN549</f>
        <v>2.49122853547048</v>
      </c>
      <c r="AX84" s="768">
        <f>INPUT!CO549</f>
        <v>27.026469015947281</v>
      </c>
      <c r="AY84" s="752">
        <f>INPUT!CP549</f>
        <v>2.8877441966303596</v>
      </c>
      <c r="AZ84" s="768">
        <f>INPUT!CQ549</f>
        <v>27.800352078993306</v>
      </c>
      <c r="BA84" s="752">
        <f>INPUT!CR549</f>
        <v>3.1865598052223332</v>
      </c>
      <c r="BB84" s="768">
        <f>INPUT!CS549</f>
        <v>28.656567154025943</v>
      </c>
      <c r="BC84" s="752">
        <f>INPUT!CT549</f>
        <v>3.4533110253644139</v>
      </c>
      <c r="BD84" s="768">
        <f>INPUT!CU549</f>
        <v>29.550136130807413</v>
      </c>
      <c r="BE84" s="752">
        <f>INPUT!CV549</f>
        <v>12.219882047758301</v>
      </c>
      <c r="BF84" s="768">
        <f>INPUT!CW549</f>
        <v>30.23623096295681</v>
      </c>
      <c r="BG84" s="752">
        <f>INPUT!CX549</f>
        <v>11.87636440822355</v>
      </c>
      <c r="BH84" s="768">
        <f>INPUT!CY549</f>
        <v>30.974908760721714</v>
      </c>
      <c r="BI84" s="752">
        <f>INPUT!CZ549</f>
        <v>11.419124019393934</v>
      </c>
      <c r="BJ84" s="768">
        <f>INPUT!DA549</f>
        <v>31.631735661669254</v>
      </c>
      <c r="BK84" s="752">
        <f>INPUT!DB549</f>
        <v>10.382152515519749</v>
      </c>
      <c r="BL84" s="768">
        <f>INPUT!DC549</f>
        <v>32.249615384615382</v>
      </c>
      <c r="BM84" s="752">
        <f>INPUT!DD549</f>
        <v>9.1352514988708666</v>
      </c>
      <c r="BN84" s="768">
        <f>INPUT!DE549</f>
        <v>32.919254658385093</v>
      </c>
      <c r="BO84" s="752">
        <f>INPUT!DF549</f>
        <v>8.8735388306675045</v>
      </c>
      <c r="BP84" s="768">
        <f>INPUT!DG549</f>
        <v>33.798273155416013</v>
      </c>
      <c r="BQ84" s="752">
        <f>INPUT!DH549</f>
        <v>9.1150047172197546</v>
      </c>
      <c r="BR84" s="768">
        <f>INPUT!DI549</f>
        <v>34.515283842794759</v>
      </c>
      <c r="BS84" s="752">
        <f>INPUT!DJ549</f>
        <v>9.1159973387730844</v>
      </c>
      <c r="BT84" s="768">
        <f>INPUT!DK549</f>
        <v>33.117320650019813</v>
      </c>
      <c r="BU84" s="752">
        <f>INPUT!DL549</f>
        <v>2.6905910506404673</v>
      </c>
      <c r="BV84" s="768">
        <f>INPUT!DM549</f>
        <v>33.77755511022044</v>
      </c>
      <c r="BW84" s="752">
        <f>INPUT!DN549</f>
        <v>2.6072900518017139</v>
      </c>
      <c r="BX84" s="768">
        <f>INPUT!DO549</f>
        <v>34.51459854014599</v>
      </c>
      <c r="BY84" s="752">
        <f>INPUT!DP549</f>
        <v>2.1194141530132882</v>
      </c>
      <c r="BZ84" s="768">
        <f>INPUT!DQ549</f>
        <v>35.164749383730488</v>
      </c>
      <c r="CA84" s="752">
        <f>INPUT!DR549</f>
        <v>1.881675213490408</v>
      </c>
      <c r="CB84" s="768">
        <f>INPUT!DS549</f>
        <v>35.897882938978825</v>
      </c>
      <c r="CC84" s="752">
        <f>INPUT!DT549</f>
        <v>8.3960967686476984</v>
      </c>
      <c r="CD84" s="768">
        <f>INPUT!DU549</f>
        <v>36.677042146883139</v>
      </c>
      <c r="CE84" s="752">
        <f>INPUT!DV549</f>
        <v>8.5840642616119123</v>
      </c>
      <c r="CF84" s="768">
        <f>INPUT!DW549</f>
        <v>37.51521082415011</v>
      </c>
      <c r="CG84" s="752">
        <f>INPUT!DX549</f>
        <v>8.693748184594785</v>
      </c>
      <c r="CH84" s="768">
        <f>INPUT!DY549</f>
        <v>38.390779836277467</v>
      </c>
      <c r="CI84" s="752">
        <f>INPUT!DZ549</f>
        <v>9.1740464786009603</v>
      </c>
      <c r="CJ84" s="768">
        <f>INPUT!EA549</f>
        <v>39.247171453437772</v>
      </c>
      <c r="CK84" s="752">
        <f>INPUT!EB549</f>
        <v>9.3300446718606054</v>
      </c>
      <c r="CL84" s="768">
        <f>INPUT!EC549</f>
        <v>39.909162647961416</v>
      </c>
      <c r="CM84" s="752">
        <f>INPUT!ED549</f>
        <v>8.8123804753239767</v>
      </c>
      <c r="CN84" s="768">
        <f>INPUT!EE549</f>
        <v>40.741707209199475</v>
      </c>
      <c r="CO84" s="752">
        <f>INPUT!EF549</f>
        <v>8.6005018075823614</v>
      </c>
      <c r="CP84" s="768">
        <f>INPUT!EG549</f>
        <v>41.552139037433157</v>
      </c>
      <c r="CQ84" s="752">
        <f>INPUT!EH549</f>
        <v>8.234683469931392</v>
      </c>
      <c r="CR84" s="768">
        <f>INPUT!EI549</f>
        <v>42.46022471910112</v>
      </c>
      <c r="CS84" s="752">
        <f>INPUT!EJ549</f>
        <v>8.1867129443334861</v>
      </c>
      <c r="CT84" s="768">
        <f>INPUT!EK549</f>
        <v>43.332208205548568</v>
      </c>
      <c r="CU84" s="752">
        <f>INPUT!EL549</f>
        <v>8.5770919018818503</v>
      </c>
      <c r="CV84" s="768">
        <f>INPUT!EM549</f>
        <v>44.285305449135777</v>
      </c>
      <c r="CW84" s="752">
        <f>INPUT!EN549</f>
        <v>8.6977166217918178</v>
      </c>
      <c r="CX84" s="768">
        <f>INPUT!EO549</f>
        <v>45.221837405704271</v>
      </c>
      <c r="CY84" s="752">
        <f>INPUT!EP549</f>
        <v>8.8315510423306662</v>
      </c>
      <c r="CZ84" s="768">
        <f>INPUT!EQ549</f>
        <v>46.184151639322444</v>
      </c>
      <c r="DA84" s="752">
        <f>INPUT!ER549</f>
        <v>8.7703890991092095</v>
      </c>
      <c r="DB84" s="753"/>
      <c r="DC84" s="768">
        <f>INPUT!FB549</f>
        <v>24.324711410288668</v>
      </c>
      <c r="DD84" s="767" t="str">
        <f>INPUT!FC549</f>
        <v>NA</v>
      </c>
      <c r="DE84" s="768">
        <f>INPUT!FD549</f>
        <v>25.042657627001311</v>
      </c>
      <c r="DF84" s="767">
        <f>INPUT!FE549</f>
        <v>2.9515096997573043</v>
      </c>
      <c r="DG84" s="768">
        <f>INPUT!FF549</f>
        <v>20.597452270947286</v>
      </c>
      <c r="DH84" s="767">
        <f>INPUT!FG549</f>
        <v>-17.750533598563234</v>
      </c>
      <c r="DI84" s="768">
        <f>INPUT!FH549</f>
        <v>19.366309728908657</v>
      </c>
      <c r="DJ84" s="767">
        <f>INPUT!FI549</f>
        <v>-5.9771593391438778</v>
      </c>
      <c r="DK84" s="768">
        <f>INPUT!FJ549</f>
        <v>20.767840423670908</v>
      </c>
      <c r="DL84" s="752">
        <f>INPUT!FK549</f>
        <v>7.2369528029913921</v>
      </c>
      <c r="DM84" s="768">
        <f>INPUT!FL549</f>
        <v>20.739723356898701</v>
      </c>
      <c r="DN84" s="752">
        <f>INPUT!FM549</f>
        <v>-0.13538753283254268</v>
      </c>
      <c r="DO84" s="768">
        <f>INPUT!FN549</f>
        <v>20.993452430803853</v>
      </c>
      <c r="DP84" s="752">
        <f>INPUT!FO549</f>
        <v>1.2233966169117316</v>
      </c>
      <c r="DQ84" s="768">
        <f>INPUT!FP549</f>
        <v>22.215789851269935</v>
      </c>
      <c r="DR84" s="752">
        <f>INPUT!FQ549</f>
        <v>5.8224697652518476</v>
      </c>
      <c r="DS84" s="768">
        <f>INPUT!FR549</f>
        <v>24.58973061712171</v>
      </c>
      <c r="DT84" s="752">
        <f>INPUT!FS549</f>
        <v>10.685826530340847</v>
      </c>
      <c r="DU84" s="768">
        <f>INPUT!FT549</f>
        <v>25.692299681528571</v>
      </c>
      <c r="DV84" s="752">
        <f>INPUT!FU549</f>
        <v>4.4838598745736036</v>
      </c>
      <c r="DW84" s="768">
        <f>INPUT!FV549</f>
        <v>26.332353582613401</v>
      </c>
      <c r="DX84" s="752">
        <f>INPUT!FW549</f>
        <v>2.49122853547048</v>
      </c>
      <c r="DY84" s="768">
        <f>INPUT!FX549</f>
        <v>29.550136130807413</v>
      </c>
      <c r="DZ84" s="752">
        <f>INPUT!FY549</f>
        <v>12.219882047758301</v>
      </c>
      <c r="EA84" s="768">
        <f>INPUT!FZ549</f>
        <v>32.249615384615382</v>
      </c>
      <c r="EB84" s="752">
        <f>INPUT!GA549</f>
        <v>9.1352514988708666</v>
      </c>
      <c r="EC84" s="768">
        <f>INPUT!GB549</f>
        <v>33.117320650019813</v>
      </c>
      <c r="ED84" s="752">
        <f>INPUT!GC549</f>
        <v>2.6905910506404673</v>
      </c>
      <c r="EE84" s="768">
        <f>INPUT!GD549</f>
        <v>35.897882938978825</v>
      </c>
      <c r="EF84" s="752">
        <f>INPUT!GE549</f>
        <v>8.3960967686476984</v>
      </c>
      <c r="EG84" s="768">
        <f>INPUT!GF549</f>
        <v>39.247171453437772</v>
      </c>
      <c r="EH84" s="752">
        <f>INPUT!GG549</f>
        <v>9.3300446718606054</v>
      </c>
      <c r="EI84" s="768">
        <f>INPUT!GH549</f>
        <v>42.46022471910112</v>
      </c>
      <c r="EJ84" s="752">
        <f>INPUT!GI549</f>
        <v>8.1867129443334861</v>
      </c>
      <c r="EK84" s="768">
        <f>INPUT!GJ549</f>
        <v>46.184151639322444</v>
      </c>
      <c r="EL84" s="752">
        <f>INPUT!GK549</f>
        <v>8.7703890991092095</v>
      </c>
      <c r="EM84" s="768">
        <f>INPUT!GL549</f>
        <v>50.151201089424845</v>
      </c>
      <c r="EN84" s="752">
        <f>INPUT!GM549</f>
        <v>8.5896336931406303</v>
      </c>
      <c r="EO84" s="768">
        <f>INPUT!GN549</f>
        <v>54.368308593489438</v>
      </c>
      <c r="EP84" s="752">
        <f>INPUT!GO549</f>
        <v>8.4087866540724541</v>
      </c>
      <c r="EQ84" s="768">
        <f>INPUT!GP549</f>
        <v>58.88412002552225</v>
      </c>
      <c r="ER84" s="752">
        <f>INPUT!GQ549</f>
        <v>8.3059626993317472</v>
      </c>
      <c r="ES84" s="768">
        <f>INPUT!GR549</f>
        <v>63.675863669672324</v>
      </c>
      <c r="ET84" s="752">
        <f>INPUT!GS549</f>
        <v>8.1375821564000361</v>
      </c>
      <c r="EU84" s="767">
        <f>INPUT!GT549</f>
        <v>8.442247822444493</v>
      </c>
      <c r="EV84" s="710"/>
    </row>
    <row r="85" spans="1:152" ht="12.75" customHeight="1" x14ac:dyDescent="0.2">
      <c r="A85" s="754"/>
      <c r="B85" s="750"/>
      <c r="C85" s="767"/>
      <c r="D85" s="750"/>
      <c r="E85" s="767"/>
      <c r="F85" s="750"/>
      <c r="G85" s="767"/>
      <c r="H85" s="750"/>
      <c r="I85" s="752"/>
      <c r="J85" s="750"/>
      <c r="K85" s="752"/>
      <c r="L85" s="750"/>
      <c r="M85" s="752"/>
      <c r="N85" s="750"/>
      <c r="O85" s="752"/>
      <c r="P85" s="750"/>
      <c r="Q85" s="752"/>
      <c r="R85" s="750"/>
      <c r="S85" s="752"/>
      <c r="T85" s="750"/>
      <c r="U85" s="752"/>
      <c r="V85" s="750"/>
      <c r="W85" s="752"/>
      <c r="X85" s="750"/>
      <c r="Y85" s="752"/>
      <c r="Z85" s="750"/>
      <c r="AA85" s="752"/>
      <c r="AB85" s="750"/>
      <c r="AC85" s="752"/>
      <c r="AD85" s="750"/>
      <c r="AE85" s="752"/>
      <c r="AF85" s="750"/>
      <c r="AG85" s="752"/>
      <c r="AH85" s="750"/>
      <c r="AI85" s="752"/>
      <c r="AJ85" s="750"/>
      <c r="AK85" s="752"/>
      <c r="AL85" s="750"/>
      <c r="AM85" s="752"/>
      <c r="AN85" s="750"/>
      <c r="AO85" s="752"/>
      <c r="AP85" s="750"/>
      <c r="AQ85" s="752"/>
      <c r="AR85" s="750"/>
      <c r="AS85" s="752"/>
      <c r="AT85" s="750"/>
      <c r="AU85" s="752"/>
      <c r="AV85" s="750"/>
      <c r="AW85" s="752"/>
      <c r="AX85" s="750"/>
      <c r="AY85" s="752"/>
      <c r="AZ85" s="750"/>
      <c r="BA85" s="752"/>
      <c r="BB85" s="750"/>
      <c r="BC85" s="752"/>
      <c r="BD85" s="750"/>
      <c r="BE85" s="752"/>
      <c r="BF85" s="750"/>
      <c r="BG85" s="752"/>
      <c r="BH85" s="750"/>
      <c r="BI85" s="752"/>
      <c r="BJ85" s="750"/>
      <c r="BK85" s="752"/>
      <c r="BL85" s="750"/>
      <c r="BM85" s="752"/>
      <c r="BN85" s="750"/>
      <c r="BO85" s="752"/>
      <c r="BP85" s="750"/>
      <c r="BQ85" s="752"/>
      <c r="BR85" s="750"/>
      <c r="BS85" s="752"/>
      <c r="BT85" s="750"/>
      <c r="BU85" s="752"/>
      <c r="BV85" s="750"/>
      <c r="BW85" s="752"/>
      <c r="BX85" s="750"/>
      <c r="BY85" s="752"/>
      <c r="BZ85" s="750"/>
      <c r="CA85" s="752"/>
      <c r="CB85" s="750"/>
      <c r="CC85" s="752"/>
      <c r="CD85" s="750"/>
      <c r="CE85" s="752"/>
      <c r="CF85" s="750"/>
      <c r="CG85" s="752"/>
      <c r="CH85" s="750"/>
      <c r="CI85" s="752"/>
      <c r="CJ85" s="750"/>
      <c r="CK85" s="752"/>
      <c r="CL85" s="750"/>
      <c r="CM85" s="752"/>
      <c r="CN85" s="750"/>
      <c r="CO85" s="752"/>
      <c r="CP85" s="750"/>
      <c r="CQ85" s="752"/>
      <c r="CR85" s="750"/>
      <c r="CS85" s="752"/>
      <c r="CT85" s="750"/>
      <c r="CU85" s="752"/>
      <c r="CV85" s="750"/>
      <c r="CW85" s="752"/>
      <c r="CX85" s="750"/>
      <c r="CY85" s="752"/>
      <c r="CZ85" s="750"/>
      <c r="DA85" s="752"/>
      <c r="DB85" s="753"/>
      <c r="DC85" s="750"/>
      <c r="DD85" s="767"/>
      <c r="DE85" s="750"/>
      <c r="DF85" s="767"/>
      <c r="DG85" s="750"/>
      <c r="DH85" s="767"/>
      <c r="DI85" s="750"/>
      <c r="DJ85" s="767"/>
      <c r="DK85" s="750"/>
      <c r="DL85" s="752"/>
      <c r="DM85" s="750"/>
      <c r="DN85" s="752"/>
      <c r="DO85" s="750"/>
      <c r="DP85" s="752"/>
      <c r="DQ85" s="750"/>
      <c r="DR85" s="752"/>
      <c r="DS85" s="750"/>
      <c r="DT85" s="752"/>
      <c r="DU85" s="750"/>
      <c r="DV85" s="752"/>
      <c r="DW85" s="750"/>
      <c r="DX85" s="752"/>
      <c r="DY85" s="750"/>
      <c r="DZ85" s="752"/>
      <c r="EA85" s="750"/>
      <c r="EB85" s="752"/>
      <c r="EC85" s="750"/>
      <c r="ED85" s="752"/>
      <c r="EE85" s="750"/>
      <c r="EF85" s="752"/>
      <c r="EG85" s="750"/>
      <c r="EH85" s="752"/>
      <c r="EI85" s="750"/>
      <c r="EJ85" s="752"/>
      <c r="EK85" s="750"/>
      <c r="EL85" s="752"/>
      <c r="EM85" s="750"/>
      <c r="EN85" s="752"/>
      <c r="EO85" s="750"/>
      <c r="EP85" s="752"/>
      <c r="EQ85" s="750"/>
      <c r="ER85" s="752"/>
      <c r="ES85" s="750"/>
      <c r="ET85" s="752"/>
      <c r="EU85" s="767"/>
      <c r="EV85" s="710"/>
    </row>
    <row r="86" spans="1:152" ht="12.75" customHeight="1" x14ac:dyDescent="0.2">
      <c r="A86" s="749" t="str">
        <f>INPUT!B552</f>
        <v>Capital Structure Incl FAS 115</v>
      </c>
      <c r="B86" s="750"/>
      <c r="C86" s="767"/>
      <c r="D86" s="750"/>
      <c r="E86" s="767"/>
      <c r="F86" s="750"/>
      <c r="G86" s="767"/>
      <c r="H86" s="750"/>
      <c r="I86" s="752"/>
      <c r="J86" s="750"/>
      <c r="K86" s="752"/>
      <c r="L86" s="750"/>
      <c r="M86" s="752"/>
      <c r="N86" s="750"/>
      <c r="O86" s="752"/>
      <c r="P86" s="750"/>
      <c r="Q86" s="752"/>
      <c r="R86" s="750"/>
      <c r="S86" s="752"/>
      <c r="T86" s="750"/>
      <c r="U86" s="752"/>
      <c r="V86" s="750"/>
      <c r="W86" s="752"/>
      <c r="X86" s="750"/>
      <c r="Y86" s="752"/>
      <c r="Z86" s="750"/>
      <c r="AA86" s="752"/>
      <c r="AB86" s="750"/>
      <c r="AC86" s="752"/>
      <c r="AD86" s="750"/>
      <c r="AE86" s="752"/>
      <c r="AF86" s="750"/>
      <c r="AG86" s="752"/>
      <c r="AH86" s="750"/>
      <c r="AI86" s="752"/>
      <c r="AJ86" s="750"/>
      <c r="AK86" s="752"/>
      <c r="AL86" s="750"/>
      <c r="AM86" s="752"/>
      <c r="AN86" s="750"/>
      <c r="AO86" s="752"/>
      <c r="AP86" s="750"/>
      <c r="AQ86" s="752"/>
      <c r="AR86" s="750"/>
      <c r="AS86" s="752"/>
      <c r="AT86" s="750"/>
      <c r="AU86" s="752"/>
      <c r="AV86" s="750"/>
      <c r="AW86" s="752"/>
      <c r="AX86" s="750"/>
      <c r="AY86" s="752"/>
      <c r="AZ86" s="750"/>
      <c r="BA86" s="752"/>
      <c r="BB86" s="750"/>
      <c r="BC86" s="752"/>
      <c r="BD86" s="750"/>
      <c r="BE86" s="752"/>
      <c r="BF86" s="750"/>
      <c r="BG86" s="752"/>
      <c r="BH86" s="750"/>
      <c r="BI86" s="752"/>
      <c r="BJ86" s="750"/>
      <c r="BK86" s="752"/>
      <c r="BL86" s="750"/>
      <c r="BM86" s="752"/>
      <c r="BN86" s="750"/>
      <c r="BO86" s="752"/>
      <c r="BP86" s="750"/>
      <c r="BQ86" s="752"/>
      <c r="BR86" s="750"/>
      <c r="BS86" s="752"/>
      <c r="BT86" s="750"/>
      <c r="BU86" s="752"/>
      <c r="BV86" s="750"/>
      <c r="BW86" s="752"/>
      <c r="BX86" s="750"/>
      <c r="BY86" s="752"/>
      <c r="BZ86" s="750"/>
      <c r="CA86" s="752"/>
      <c r="CB86" s="750"/>
      <c r="CC86" s="752"/>
      <c r="CD86" s="750"/>
      <c r="CE86" s="752"/>
      <c r="CF86" s="750"/>
      <c r="CG86" s="752"/>
      <c r="CH86" s="750"/>
      <c r="CI86" s="752"/>
      <c r="CJ86" s="750"/>
      <c r="CK86" s="752"/>
      <c r="CL86" s="750"/>
      <c r="CM86" s="752"/>
      <c r="CN86" s="750"/>
      <c r="CO86" s="752"/>
      <c r="CP86" s="750"/>
      <c r="CQ86" s="752"/>
      <c r="CR86" s="750"/>
      <c r="CS86" s="752"/>
      <c r="CT86" s="750"/>
      <c r="CU86" s="752"/>
      <c r="CV86" s="750"/>
      <c r="CW86" s="752"/>
      <c r="CX86" s="750"/>
      <c r="CY86" s="752"/>
      <c r="CZ86" s="750"/>
      <c r="DA86" s="752"/>
      <c r="DB86" s="753"/>
      <c r="DC86" s="750"/>
      <c r="DD86" s="767"/>
      <c r="DE86" s="750"/>
      <c r="DF86" s="767"/>
      <c r="DG86" s="750"/>
      <c r="DH86" s="767"/>
      <c r="DI86" s="750"/>
      <c r="DJ86" s="767"/>
      <c r="DK86" s="750"/>
      <c r="DL86" s="752"/>
      <c r="DM86" s="750"/>
      <c r="DN86" s="752"/>
      <c r="DO86" s="750"/>
      <c r="DP86" s="752"/>
      <c r="DQ86" s="750"/>
      <c r="DR86" s="752"/>
      <c r="DS86" s="750"/>
      <c r="DT86" s="752"/>
      <c r="DU86" s="750"/>
      <c r="DV86" s="752"/>
      <c r="DW86" s="750"/>
      <c r="DX86" s="752"/>
      <c r="DY86" s="750"/>
      <c r="DZ86" s="752"/>
      <c r="EA86" s="750"/>
      <c r="EB86" s="752"/>
      <c r="EC86" s="750"/>
      <c r="ED86" s="752"/>
      <c r="EE86" s="750"/>
      <c r="EF86" s="752"/>
      <c r="EG86" s="750"/>
      <c r="EH86" s="752"/>
      <c r="EI86" s="750"/>
      <c r="EJ86" s="752"/>
      <c r="EK86" s="750"/>
      <c r="EL86" s="752"/>
      <c r="EM86" s="750"/>
      <c r="EN86" s="752"/>
      <c r="EO86" s="750"/>
      <c r="EP86" s="752"/>
      <c r="EQ86" s="750"/>
      <c r="ER86" s="752"/>
      <c r="ES86" s="750"/>
      <c r="ET86" s="752"/>
      <c r="EU86" s="767"/>
      <c r="EV86" s="710"/>
    </row>
    <row r="87" spans="1:152" ht="12.75" customHeight="1" x14ac:dyDescent="0.2">
      <c r="A87" s="754" t="str">
        <f>INPUT!B506</f>
        <v xml:space="preserve">Total Assets </v>
      </c>
      <c r="B87" s="750">
        <f>INPUT!AS506</f>
        <v>50471.3</v>
      </c>
      <c r="C87" s="767">
        <f>INPUT!AT506</f>
        <v>-0.71857677342701542</v>
      </c>
      <c r="D87" s="750">
        <f>INPUT!AU506</f>
        <v>50401.9</v>
      </c>
      <c r="E87" s="767">
        <f>INPUT!AV506</f>
        <v>-3.8689386310232221</v>
      </c>
      <c r="F87" s="750">
        <f>INPUT!AW506</f>
        <v>52171.5</v>
      </c>
      <c r="G87" s="767">
        <f>INPUT!AX506</f>
        <v>2.0032494637993725</v>
      </c>
      <c r="H87" s="750">
        <f>INPUT!AY506</f>
        <v>52823.3</v>
      </c>
      <c r="I87" s="752">
        <f>INPUT!AZ506</f>
        <v>1.8441469302135527</v>
      </c>
      <c r="J87" s="750">
        <f>INPUT!BA506</f>
        <v>52324.800000000003</v>
      </c>
      <c r="K87" s="752">
        <f>INPUT!BB506</f>
        <v>3.6723841074036034</v>
      </c>
      <c r="L87" s="750">
        <f>INPUT!BC506</f>
        <v>52071.199999999997</v>
      </c>
      <c r="M87" s="752">
        <f>INPUT!BD506</f>
        <v>3.3119783182776752</v>
      </c>
      <c r="N87" s="750">
        <f>INPUT!BE506</f>
        <v>52566.6</v>
      </c>
      <c r="O87" s="752">
        <f>INPUT!BF506</f>
        <v>0.75731002558867555</v>
      </c>
      <c r="P87" s="750">
        <f>INPUT!BG506</f>
        <v>52432.7</v>
      </c>
      <c r="Q87" s="752">
        <f>INPUT!BH506</f>
        <v>-0.73944641853123105</v>
      </c>
      <c r="R87" s="750">
        <f>INPUT!BI506</f>
        <v>52069.2</v>
      </c>
      <c r="S87" s="752">
        <f>INPUT!BJ506</f>
        <v>-0.48848729474361141</v>
      </c>
      <c r="T87" s="750">
        <f>INPUT!BK506</f>
        <v>51767.8</v>
      </c>
      <c r="U87" s="752">
        <f>INPUT!BL506</f>
        <v>-0.5826637373442356</v>
      </c>
      <c r="V87" s="750">
        <f>INPUT!BM506</f>
        <v>49937.8</v>
      </c>
      <c r="W87" s="752">
        <f>INPUT!BN506</f>
        <v>-5.0008941038606203</v>
      </c>
      <c r="X87" s="750">
        <f>INPUT!BO506</f>
        <v>49417.4</v>
      </c>
      <c r="Y87" s="752">
        <f>INPUT!BP506</f>
        <v>-5.7508005500384263</v>
      </c>
      <c r="Z87" s="750">
        <f>INPUT!BQ506</f>
        <v>49179.5</v>
      </c>
      <c r="AA87" s="752">
        <f>INPUT!BR506</f>
        <v>-5.5497299747259365</v>
      </c>
      <c r="AB87" s="750">
        <f>INPUT!BS506</f>
        <v>51339.8</v>
      </c>
      <c r="AC87" s="752">
        <f>INPUT!BT506</f>
        <v>-0.82676876359435436</v>
      </c>
      <c r="AD87" s="750">
        <f>INPUT!BU506</f>
        <v>54475.199999999997</v>
      </c>
      <c r="AE87" s="752">
        <f>INPUT!BV506</f>
        <v>9.0861031122716476</v>
      </c>
      <c r="AF87" s="750">
        <f>INPUT!BW506</f>
        <v>54477</v>
      </c>
      <c r="AG87" s="752">
        <f>INPUT!BX506</f>
        <v>10.238498990234213</v>
      </c>
      <c r="AH87" s="750">
        <f>INPUT!BY506</f>
        <v>54997.2</v>
      </c>
      <c r="AI87" s="752">
        <f>INPUT!BZ506</f>
        <v>11.829522463628139</v>
      </c>
      <c r="AJ87" s="750">
        <f>INPUT!CA506</f>
        <v>56792.2</v>
      </c>
      <c r="AK87" s="752">
        <f>INPUT!CB506</f>
        <v>10.620220569616535</v>
      </c>
      <c r="AL87" s="750">
        <f>INPUT!CC506</f>
        <v>59054.7</v>
      </c>
      <c r="AM87" s="752">
        <f>INPUT!CD506</f>
        <v>8.4065776720415819</v>
      </c>
      <c r="AN87" s="750">
        <f>INPUT!CE506</f>
        <v>56602.7</v>
      </c>
      <c r="AO87" s="752">
        <f>INPUT!CF506</f>
        <v>3.9020136938524352</v>
      </c>
      <c r="AP87" s="750">
        <f>INPUT!CG506</f>
        <v>57116.800000000003</v>
      </c>
      <c r="AQ87" s="752">
        <f>INPUT!CH506</f>
        <v>3.8540143861869547</v>
      </c>
      <c r="AR87" s="750">
        <f>INPUT!CI506</f>
        <v>58015.8</v>
      </c>
      <c r="AS87" s="752">
        <f>INPUT!CJ506</f>
        <v>2.1545212194632457</v>
      </c>
      <c r="AT87" s="750">
        <f>INPUT!CK506</f>
        <v>60040.9</v>
      </c>
      <c r="AU87" s="752">
        <f>INPUT!CL506</f>
        <v>1.6699771567716182</v>
      </c>
      <c r="AV87" s="750">
        <f>INPUT!CM506</f>
        <v>59555.199999999997</v>
      </c>
      <c r="AW87" s="752">
        <f>INPUT!CN506</f>
        <v>5.2161822669236635</v>
      </c>
      <c r="AX87" s="750">
        <f>INPUT!CO506</f>
        <v>59571.8</v>
      </c>
      <c r="AY87" s="752">
        <f>INPUT!CP506</f>
        <v>4.2982099837525878</v>
      </c>
      <c r="AZ87" s="750">
        <f>INPUT!CQ506</f>
        <v>60678.7</v>
      </c>
      <c r="BA87" s="752">
        <f>INPUT!CR506</f>
        <v>4.5899565290834499</v>
      </c>
      <c r="BB87" s="750">
        <f>INPUT!CS506</f>
        <v>62119.6</v>
      </c>
      <c r="BC87" s="752">
        <f>INPUT!CT506</f>
        <v>3.4621399745839776</v>
      </c>
      <c r="BD87" s="750">
        <f>INPUT!CU506</f>
        <v>62236.1</v>
      </c>
      <c r="BE87" s="752">
        <f>INPUT!CV506</f>
        <v>4.5015380688840034</v>
      </c>
      <c r="BF87" s="750">
        <f>INPUT!CW506</f>
        <v>61611.4</v>
      </c>
      <c r="BG87" s="752">
        <f>INPUT!CX506</f>
        <v>3.4237676215927548</v>
      </c>
      <c r="BH87" s="750">
        <f>INPUT!CY506</f>
        <v>59366.2</v>
      </c>
      <c r="BI87" s="752">
        <f>INPUT!CZ506</f>
        <v>-2.1630324974002413</v>
      </c>
      <c r="BJ87" s="750">
        <f>INPUT!DA506</f>
        <v>59585.8</v>
      </c>
      <c r="BK87" s="752">
        <f>INPUT!DB506</f>
        <v>-4.0789058525811388</v>
      </c>
      <c r="BL87" s="750">
        <f>INPUT!DC506</f>
        <v>59374.1</v>
      </c>
      <c r="BM87" s="752">
        <f>INPUT!DD506</f>
        <v>-4.598617201270649</v>
      </c>
      <c r="BN87" s="750">
        <f>INPUT!DE506</f>
        <v>61078.6</v>
      </c>
      <c r="BO87" s="752">
        <f>INPUT!DF506</f>
        <v>-0.86477502540114326</v>
      </c>
      <c r="BP87" s="750">
        <f>INPUT!DG506</f>
        <v>62218.1</v>
      </c>
      <c r="BQ87" s="752">
        <f>INPUT!DH506</f>
        <v>4.8039119903244609</v>
      </c>
      <c r="BR87" s="750">
        <f>INPUT!DI506</f>
        <v>61960.6</v>
      </c>
      <c r="BS87" s="752">
        <f>INPUT!DJ506</f>
        <v>3.9855133270007226</v>
      </c>
      <c r="BT87" s="750">
        <f>INPUT!DK506</f>
        <v>62450.2</v>
      </c>
      <c r="BU87" s="752">
        <f>INPUT!DL506</f>
        <v>5.1808785312114081</v>
      </c>
      <c r="BV87" s="750">
        <f>INPUT!DM506</f>
        <v>63014.5</v>
      </c>
      <c r="BW87" s="752">
        <f>INPUT!DN506</f>
        <v>3.1695225496327639</v>
      </c>
      <c r="BX87" s="750">
        <f>INPUT!DO506</f>
        <v>61706.8</v>
      </c>
      <c r="BY87" s="752">
        <f>INPUT!DP506</f>
        <v>-0.82178658621847589</v>
      </c>
      <c r="BZ87" s="750">
        <f>INPUT!DQ506</f>
        <v>61503.8</v>
      </c>
      <c r="CA87" s="752">
        <f>INPUT!DR506</f>
        <v>-0.73724269939283715</v>
      </c>
      <c r="CB87" s="750">
        <f>INPUT!DS506</f>
        <v>60589.7</v>
      </c>
      <c r="CC87" s="752">
        <f>INPUT!DT506</f>
        <v>-2.9791738056883732</v>
      </c>
      <c r="CD87" s="750">
        <f>INPUT!DU506</f>
        <v>61967.9</v>
      </c>
      <c r="CE87" s="752">
        <f>INPUT!DV506</f>
        <v>-1.6608875734949846</v>
      </c>
      <c r="CF87" s="750">
        <f>INPUT!DW506</f>
        <v>63853.1</v>
      </c>
      <c r="CG87" s="752">
        <f>INPUT!DX506</f>
        <v>3.4782228214718547</v>
      </c>
      <c r="CH87" s="750">
        <f>INPUT!DY506</f>
        <v>63905.1</v>
      </c>
      <c r="CI87" s="752">
        <f>INPUT!DZ506</f>
        <v>3.9043116035106795</v>
      </c>
      <c r="CJ87" s="750">
        <f>INPUT!EA506</f>
        <v>61941.5</v>
      </c>
      <c r="CK87" s="752">
        <f>INPUT!EB506</f>
        <v>2.2310722779614434</v>
      </c>
      <c r="CL87" s="750">
        <f>INPUT!EC506</f>
        <v>62524.7</v>
      </c>
      <c r="CM87" s="752">
        <f>INPUT!ED506</f>
        <v>0.89852972264672371</v>
      </c>
      <c r="CN87" s="750">
        <f>INPUT!EE506</f>
        <v>63381.599999999999</v>
      </c>
      <c r="CO87" s="752">
        <f>INPUT!EF506</f>
        <v>-0.73841364005819976</v>
      </c>
      <c r="CP87" s="750">
        <f>INPUT!EG506</f>
        <v>63805.7</v>
      </c>
      <c r="CQ87" s="752">
        <f>INPUT!EH506</f>
        <v>-0.15554314131422942</v>
      </c>
      <c r="CR87" s="750">
        <f>INPUT!EI506</f>
        <v>64013.1</v>
      </c>
      <c r="CS87" s="752">
        <f>INPUT!EJ506</f>
        <v>3.3444459691805983</v>
      </c>
      <c r="CT87" s="750">
        <f>INPUT!EK506</f>
        <v>64798.540736999996</v>
      </c>
      <c r="CU87" s="752">
        <f>INPUT!EL506</f>
        <v>3.6367079522172885</v>
      </c>
      <c r="CV87" s="750">
        <f>INPUT!EM506</f>
        <v>65593.618831842992</v>
      </c>
      <c r="CW87" s="752">
        <f>INPUT!EN506</f>
        <v>3.4900015648752891</v>
      </c>
      <c r="CX87" s="750">
        <f>INPUT!EO506</f>
        <v>66398.452534909709</v>
      </c>
      <c r="CY87" s="752">
        <f>INPUT!EP506</f>
        <v>4.0635124054899663</v>
      </c>
      <c r="CZ87" s="750">
        <f>INPUT!EQ506</f>
        <v>67213.161547513053</v>
      </c>
      <c r="DA87" s="752">
        <f>INPUT!ER506</f>
        <v>4.9990729202507911</v>
      </c>
      <c r="DB87" s="753"/>
      <c r="DC87" s="750">
        <f>INPUT!FB506</f>
        <v>42442.7</v>
      </c>
      <c r="DD87" s="767" t="str">
        <f>INPUT!FC506</f>
        <v>NA</v>
      </c>
      <c r="DE87" s="750">
        <f>INPUT!FD506</f>
        <v>45259.5</v>
      </c>
      <c r="DF87" s="767">
        <f>INPUT!FE506</f>
        <v>6.6367125559872564</v>
      </c>
      <c r="DG87" s="750">
        <f>INPUT!FF506</f>
        <v>49718.3</v>
      </c>
      <c r="DH87" s="767">
        <f>INPUT!FG506</f>
        <v>9.8516333587423723</v>
      </c>
      <c r="DI87" s="750">
        <f>INPUT!FH506</f>
        <v>50832.3</v>
      </c>
      <c r="DJ87" s="767">
        <f>INPUT!FI506</f>
        <v>2.2406236737780638</v>
      </c>
      <c r="DK87" s="750">
        <f>INPUT!FJ506</f>
        <v>51866.8</v>
      </c>
      <c r="DL87" s="752">
        <f>INPUT!FK506</f>
        <v>2.0351233369334087</v>
      </c>
      <c r="DM87" s="750">
        <f>INPUT!FL506</f>
        <v>52823.3</v>
      </c>
      <c r="DN87" s="752">
        <f>INPUT!FM506</f>
        <v>1.8441469302135527</v>
      </c>
      <c r="DO87" s="750">
        <f>INPUT!FN506</f>
        <v>52432.7</v>
      </c>
      <c r="DP87" s="752">
        <f>INPUT!FO506</f>
        <v>-0.73944641853123105</v>
      </c>
      <c r="DQ87" s="750">
        <f>INPUT!FP506</f>
        <v>49417.4</v>
      </c>
      <c r="DR87" s="752">
        <f>INPUT!FQ506</f>
        <v>-5.7508005500384263</v>
      </c>
      <c r="DS87" s="750">
        <f>INPUT!FR506</f>
        <v>54477</v>
      </c>
      <c r="DT87" s="752">
        <f>INPUT!FS506</f>
        <v>10.238498990234213</v>
      </c>
      <c r="DU87" s="750">
        <f>INPUT!FT506</f>
        <v>56602.7</v>
      </c>
      <c r="DV87" s="752">
        <f>INPUT!FU506</f>
        <v>3.9020136938524352</v>
      </c>
      <c r="DW87" s="750">
        <f>INPUT!FV506</f>
        <v>59555.199999999997</v>
      </c>
      <c r="DX87" s="752">
        <f>INPUT!FW506</f>
        <v>5.2161822669236635</v>
      </c>
      <c r="DY87" s="750">
        <f>INPUT!FX506</f>
        <v>62236.1</v>
      </c>
      <c r="DZ87" s="752">
        <f>INPUT!FY506</f>
        <v>4.5015380688840034</v>
      </c>
      <c r="EA87" s="750">
        <f>INPUT!FZ506</f>
        <v>59374.1</v>
      </c>
      <c r="EB87" s="752">
        <f>INPUT!GA506</f>
        <v>-4.598617201270649</v>
      </c>
      <c r="EC87" s="750">
        <f>INPUT!GB506</f>
        <v>62450.2</v>
      </c>
      <c r="ED87" s="752">
        <f>INPUT!GC506</f>
        <v>5.1808785312114081</v>
      </c>
      <c r="EE87" s="750">
        <f>INPUT!GD506</f>
        <v>60589.7</v>
      </c>
      <c r="EF87" s="752">
        <f>INPUT!GE506</f>
        <v>-2.9791738056883732</v>
      </c>
      <c r="EG87" s="750">
        <f>INPUT!GF506</f>
        <v>61941.5</v>
      </c>
      <c r="EH87" s="752">
        <f>INPUT!GG506</f>
        <v>2.2310722779614434</v>
      </c>
      <c r="EI87" s="750">
        <f>INPUT!GH506</f>
        <v>64013.1</v>
      </c>
      <c r="EJ87" s="752">
        <f>INPUT!GI506</f>
        <v>3.3444459691805983</v>
      </c>
      <c r="EK87" s="750">
        <f>INPUT!GJ506</f>
        <v>67213.161547513053</v>
      </c>
      <c r="EL87" s="752">
        <f>INPUT!GK506</f>
        <v>4.9990729202507911</v>
      </c>
      <c r="EM87" s="750">
        <f>INPUT!GL506</f>
        <v>70573.819624888711</v>
      </c>
      <c r="EN87" s="752">
        <f>INPUT!GM506</f>
        <v>5.0000000000000044</v>
      </c>
      <c r="EO87" s="750">
        <f>INPUT!GN506</f>
        <v>74102.510606133146</v>
      </c>
      <c r="EP87" s="752">
        <f>INPUT!GO506</f>
        <v>5.0000000000000044</v>
      </c>
      <c r="EQ87" s="750">
        <f>INPUT!GP506</f>
        <v>77807.636136439804</v>
      </c>
      <c r="ER87" s="752">
        <f>INPUT!GQ506</f>
        <v>5.0000000000000044</v>
      </c>
      <c r="ES87" s="750">
        <f>INPUT!GR506</f>
        <v>81698.017943261802</v>
      </c>
      <c r="ET87" s="752">
        <f>INPUT!GS506</f>
        <v>5.0000000000000044</v>
      </c>
      <c r="EU87" s="767">
        <f>INPUT!GT506</f>
        <v>4.9998145833953123</v>
      </c>
      <c r="EV87" s="710"/>
    </row>
    <row r="88" spans="1:152" ht="12.75" customHeight="1" x14ac:dyDescent="0.2">
      <c r="A88" s="754" t="str">
        <f>INPUT!B518</f>
        <v>Long-Term Debt</v>
      </c>
      <c r="B88" s="750">
        <f>INPUT!AS518</f>
        <v>2861.6</v>
      </c>
      <c r="C88" s="767">
        <f>INPUT!AT518</f>
        <v>-1.3976240391333494E-2</v>
      </c>
      <c r="D88" s="750">
        <f>INPUT!AU518</f>
        <v>2561.6</v>
      </c>
      <c r="E88" s="767">
        <f>INPUT!AV518</f>
        <v>-10.496156533892387</v>
      </c>
      <c r="F88" s="750">
        <f>INPUT!AW518</f>
        <v>2561.6</v>
      </c>
      <c r="G88" s="767">
        <f>INPUT!AX518</f>
        <v>-10.496156533892387</v>
      </c>
      <c r="H88" s="750">
        <f>INPUT!AY518</f>
        <v>2659.6</v>
      </c>
      <c r="I88" s="752">
        <f>INPUT!AZ518</f>
        <v>-18.457198920775074</v>
      </c>
      <c r="J88" s="750">
        <f>INPUT!BA518</f>
        <v>2499.6999999999998</v>
      </c>
      <c r="K88" s="752">
        <f>INPUT!BB518</f>
        <v>-12.646771037182003</v>
      </c>
      <c r="L88" s="750">
        <f>INPUT!BC518</f>
        <v>2287.6999999999998</v>
      </c>
      <c r="M88" s="752">
        <f>INPUT!BD518</f>
        <v>-10.692535915053092</v>
      </c>
      <c r="N88" s="750">
        <f>INPUT!BE518</f>
        <v>2285.1999999999998</v>
      </c>
      <c r="O88" s="752">
        <f>INPUT!BF518</f>
        <v>-10.79013116801999</v>
      </c>
      <c r="P88" s="750">
        <f>INPUT!BG518</f>
        <v>2515.1999999999998</v>
      </c>
      <c r="Q88" s="752">
        <f>INPUT!BH518</f>
        <v>-5.4293878778763798</v>
      </c>
      <c r="R88" s="750">
        <f>INPUT!BI518</f>
        <v>2497.6999999999998</v>
      </c>
      <c r="S88" s="752">
        <f>INPUT!BJ518</f>
        <v>-8.0009601152142285E-2</v>
      </c>
      <c r="T88" s="750">
        <f>INPUT!BK518</f>
        <v>2298.3000000000002</v>
      </c>
      <c r="U88" s="752">
        <f>INPUT!BL518</f>
        <v>0.46334746688816431</v>
      </c>
      <c r="V88" s="750">
        <f>INPUT!BM518</f>
        <v>2285.3999999999996</v>
      </c>
      <c r="W88" s="752">
        <f>INPUT!BN518</f>
        <v>8.751969193054876E-3</v>
      </c>
      <c r="X88" s="750">
        <f>INPUT!BO518</f>
        <v>2259.4</v>
      </c>
      <c r="Y88" s="752">
        <f>INPUT!BP518</f>
        <v>-10.17016539440203</v>
      </c>
      <c r="Z88" s="750">
        <f>INPUT!BQ518</f>
        <v>2254.6999999999998</v>
      </c>
      <c r="AA88" s="752">
        <f>INPUT!BR518</f>
        <v>-9.7289506345838213</v>
      </c>
      <c r="AB88" s="750">
        <f>INPUT!BS518</f>
        <v>2250.6</v>
      </c>
      <c r="AC88" s="752">
        <f>INPUT!BT518</f>
        <v>-2.0754470695731775</v>
      </c>
      <c r="AD88" s="750">
        <f>INPUT!BU518</f>
        <v>2580.1999999999998</v>
      </c>
      <c r="AE88" s="752">
        <f>INPUT!BV518</f>
        <v>12.899273650126908</v>
      </c>
      <c r="AF88" s="750">
        <f>INPUT!BW518</f>
        <v>2549.6000000000004</v>
      </c>
      <c r="AG88" s="752">
        <f>INPUT!BX518</f>
        <v>12.844117907409046</v>
      </c>
      <c r="AH88" s="750">
        <f>INPUT!BY518</f>
        <v>2291.1999999999998</v>
      </c>
      <c r="AI88" s="752">
        <f>INPUT!BZ518</f>
        <v>1.6188406439881176</v>
      </c>
      <c r="AJ88" s="750">
        <f>INPUT!CA518</f>
        <v>2266.8000000000002</v>
      </c>
      <c r="AK88" s="752">
        <f>INPUT!CB518</f>
        <v>0.71980805118636582</v>
      </c>
      <c r="AL88" s="750">
        <f>INPUT!CC518</f>
        <v>2661.3</v>
      </c>
      <c r="AM88" s="752">
        <f>INPUT!CD518</f>
        <v>3.1431671963413788</v>
      </c>
      <c r="AN88" s="750">
        <f>INPUT!CE518</f>
        <v>2631.3</v>
      </c>
      <c r="AO88" s="752">
        <f>INPUT!CF518</f>
        <v>3.204424223407587</v>
      </c>
      <c r="AP88" s="750">
        <f>INPUT!CG518</f>
        <v>2605</v>
      </c>
      <c r="AQ88" s="752">
        <f>INPUT!CH518</f>
        <v>13.69587988826817</v>
      </c>
      <c r="AR88" s="750">
        <f>INPUT!CI518</f>
        <v>2589.1</v>
      </c>
      <c r="AS88" s="752">
        <f>INPUT!CJ518</f>
        <v>14.218281277571897</v>
      </c>
      <c r="AT88" s="750">
        <f>INPUT!CK518</f>
        <v>2586.5</v>
      </c>
      <c r="AU88" s="752">
        <f>INPUT!CL518</f>
        <v>-2.8106564460977812</v>
      </c>
      <c r="AV88" s="750">
        <f>INPUT!CM518</f>
        <v>2570.1999999999998</v>
      </c>
      <c r="AW88" s="752">
        <f>INPUT!CN518</f>
        <v>-2.322046136890521</v>
      </c>
      <c r="AX88" s="750">
        <f>INPUT!CO518</f>
        <v>2552.8000000000002</v>
      </c>
      <c r="AY88" s="752">
        <f>INPUT!CP518</f>
        <v>-2.0038387715930805</v>
      </c>
      <c r="AZ88" s="750">
        <f>INPUT!CQ518</f>
        <v>2540.3000000000002</v>
      </c>
      <c r="BA88" s="752">
        <f>INPUT!CR518</f>
        <v>-1.8848248426093894</v>
      </c>
      <c r="BB88" s="750">
        <f>INPUT!CS518</f>
        <v>2781.5</v>
      </c>
      <c r="BC88" s="752">
        <f>INPUT!CT518</f>
        <v>7.5391455635028137</v>
      </c>
      <c r="BD88" s="750">
        <f>INPUT!CU518</f>
        <v>2755.4</v>
      </c>
      <c r="BE88" s="752">
        <f>INPUT!CV518</f>
        <v>7.2056649287993269</v>
      </c>
      <c r="BF88" s="750">
        <f>INPUT!CW518</f>
        <v>2673.9</v>
      </c>
      <c r="BG88" s="752">
        <f>INPUT!CX518</f>
        <v>4.7438107176433597</v>
      </c>
      <c r="BH88" s="750">
        <f>INPUT!CY518</f>
        <v>2644</v>
      </c>
      <c r="BI88" s="752">
        <f>INPUT!CZ518</f>
        <v>4.0821950163366427</v>
      </c>
      <c r="BJ88" s="750">
        <f>INPUT!DA518</f>
        <v>2631.3</v>
      </c>
      <c r="BK88" s="752">
        <f>INPUT!DB518</f>
        <v>-5.399964048175443</v>
      </c>
      <c r="BL88" s="750">
        <f>INPUT!DC518</f>
        <v>2612</v>
      </c>
      <c r="BM88" s="752">
        <f>INPUT!DD518</f>
        <v>-5.2043260506641538</v>
      </c>
      <c r="BN88" s="750">
        <f>INPUT!DE518</f>
        <v>2948.2</v>
      </c>
      <c r="BO88" s="752">
        <f>INPUT!DF518</f>
        <v>10.258424024832635</v>
      </c>
      <c r="BP88" s="750">
        <f>INPUT!DG518</f>
        <v>2792</v>
      </c>
      <c r="BQ88" s="752">
        <f>INPUT!DH518</f>
        <v>5.5975794251134747</v>
      </c>
      <c r="BR88" s="750">
        <f>INPUT!DI518</f>
        <v>2783.3</v>
      </c>
      <c r="BS88" s="752">
        <f>INPUT!DJ518</f>
        <v>5.776612320906005</v>
      </c>
      <c r="BT88" s="750">
        <f>INPUT!DK518</f>
        <v>2628.7000000000003</v>
      </c>
      <c r="BU88" s="752">
        <f>INPUT!DL518</f>
        <v>0.63935681470139727</v>
      </c>
      <c r="BV88" s="750">
        <f>INPUT!DM518</f>
        <v>2603.3000000000002</v>
      </c>
      <c r="BW88" s="752">
        <f>INPUT!DN518</f>
        <v>-11.698663591343861</v>
      </c>
      <c r="BX88" s="750">
        <f>INPUT!DO518</f>
        <v>2580.8000000000002</v>
      </c>
      <c r="BY88" s="752">
        <f>INPUT!DP518</f>
        <v>-7.5644699140401066</v>
      </c>
      <c r="BZ88" s="750">
        <f>INPUT!DQ518</f>
        <v>2217.1</v>
      </c>
      <c r="CA88" s="752">
        <f>INPUT!DR518</f>
        <v>-20.342758595911338</v>
      </c>
      <c r="CB88" s="750">
        <f>INPUT!DS518</f>
        <v>2449.4</v>
      </c>
      <c r="CC88" s="752">
        <f>INPUT!DT518</f>
        <v>-6.8208620230532313</v>
      </c>
      <c r="CD88" s="750">
        <f>INPUT!DU518</f>
        <v>2442.5</v>
      </c>
      <c r="CE88" s="752">
        <f>INPUT!DV518</f>
        <v>-6.1767756309299759</v>
      </c>
      <c r="CF88" s="750">
        <f>INPUT!DW518</f>
        <v>3042.6</v>
      </c>
      <c r="CG88" s="752">
        <f>INPUT!DX518</f>
        <v>17.893676379417233</v>
      </c>
      <c r="CH88" s="750">
        <f>INPUT!DY518</f>
        <v>3019.7999999999997</v>
      </c>
      <c r="CI88" s="752">
        <f>INPUT!DZ518</f>
        <v>36.204952415317294</v>
      </c>
      <c r="CJ88" s="750">
        <f>INPUT!EA518</f>
        <v>2999.4</v>
      </c>
      <c r="CK88" s="752">
        <f>INPUT!EB518</f>
        <v>22.454478647832122</v>
      </c>
      <c r="CL88" s="750">
        <f>INPUT!EC518</f>
        <v>2984.6</v>
      </c>
      <c r="CM88" s="752">
        <f>INPUT!ED518</f>
        <v>22.194472876151483</v>
      </c>
      <c r="CN88" s="750">
        <f>INPUT!EE518</f>
        <v>2968.4</v>
      </c>
      <c r="CO88" s="752">
        <f>INPUT!EF518</f>
        <v>-2.4387037402221701</v>
      </c>
      <c r="CP88" s="750">
        <f>INPUT!EG518</f>
        <v>2754.1000000000004</v>
      </c>
      <c r="CQ88" s="752">
        <f>INPUT!EH518</f>
        <v>-8.7985959335055153</v>
      </c>
      <c r="CR88" s="750">
        <f>INPUT!EI518</f>
        <v>2938.3</v>
      </c>
      <c r="CS88" s="752">
        <f>INPUT!EJ518</f>
        <v>-2.0370740814829591</v>
      </c>
      <c r="CT88" s="750">
        <f>INPUT!EK518</f>
        <v>2938.3</v>
      </c>
      <c r="CU88" s="752">
        <f>INPUT!EL518</f>
        <v>-1.5512966561683217</v>
      </c>
      <c r="CV88" s="750">
        <f>INPUT!EM518</f>
        <v>2938.3</v>
      </c>
      <c r="CW88" s="752">
        <f>INPUT!EN518</f>
        <v>-1.0140142837892441</v>
      </c>
      <c r="CX88" s="750">
        <f>INPUT!EO518</f>
        <v>2938.3</v>
      </c>
      <c r="CY88" s="752">
        <f>INPUT!EP518</f>
        <v>6.6882103046367103</v>
      </c>
      <c r="CZ88" s="750">
        <f>INPUT!EQ518</f>
        <v>2938.3</v>
      </c>
      <c r="DA88" s="752">
        <f>INPUT!ER518</f>
        <v>0</v>
      </c>
      <c r="DB88" s="753"/>
      <c r="DC88" s="750">
        <f>INPUT!FB518</f>
        <v>2004.2</v>
      </c>
      <c r="DD88" s="767" t="str">
        <f>INPUT!FC518</f>
        <v>NA</v>
      </c>
      <c r="DE88" s="750">
        <f>INPUT!FD518</f>
        <v>1914</v>
      </c>
      <c r="DF88" s="767">
        <f>INPUT!FE518</f>
        <v>-4.5005488474204158</v>
      </c>
      <c r="DG88" s="750">
        <f>INPUT!FF518</f>
        <v>2789</v>
      </c>
      <c r="DH88" s="767">
        <f>INPUT!FG518</f>
        <v>45.715778474399158</v>
      </c>
      <c r="DI88" s="750">
        <f>INPUT!FH518</f>
        <v>2862</v>
      </c>
      <c r="DJ88" s="767">
        <f>INPUT!FI518</f>
        <v>2.6174256005736751</v>
      </c>
      <c r="DK88" s="750">
        <f>INPUT!FJ518</f>
        <v>3261.6</v>
      </c>
      <c r="DL88" s="752">
        <f>INPUT!FK518</f>
        <v>13.962264150943394</v>
      </c>
      <c r="DM88" s="750">
        <f>INPUT!FL518</f>
        <v>2659.6</v>
      </c>
      <c r="DN88" s="752">
        <f>INPUT!FM518</f>
        <v>-18.457198920775074</v>
      </c>
      <c r="DO88" s="750">
        <f>INPUT!FN518</f>
        <v>2515.1999999999998</v>
      </c>
      <c r="DP88" s="752">
        <f>INPUT!FO518</f>
        <v>-5.4293878778763798</v>
      </c>
      <c r="DQ88" s="750">
        <f>INPUT!FP518</f>
        <v>2259.4</v>
      </c>
      <c r="DR88" s="752">
        <f>INPUT!FQ518</f>
        <v>-10.17016539440203</v>
      </c>
      <c r="DS88" s="750">
        <f>INPUT!FR518</f>
        <v>2549.6000000000004</v>
      </c>
      <c r="DT88" s="752">
        <f>INPUT!FS518</f>
        <v>12.844117907409046</v>
      </c>
      <c r="DU88" s="750">
        <f>INPUT!FT518</f>
        <v>2631.3</v>
      </c>
      <c r="DV88" s="752">
        <f>INPUT!FU518</f>
        <v>3.204424223407587</v>
      </c>
      <c r="DW88" s="750">
        <f>INPUT!FV518</f>
        <v>2570.1999999999998</v>
      </c>
      <c r="DX88" s="752">
        <f>INPUT!FW518</f>
        <v>-2.322046136890521</v>
      </c>
      <c r="DY88" s="750">
        <f>INPUT!FX518</f>
        <v>2755.4</v>
      </c>
      <c r="DZ88" s="752">
        <f>INPUT!FY518</f>
        <v>7.2056649287993269</v>
      </c>
      <c r="EA88" s="750">
        <f>INPUT!FZ518</f>
        <v>2612</v>
      </c>
      <c r="EB88" s="752">
        <f>INPUT!GA518</f>
        <v>-5.2043260506641538</v>
      </c>
      <c r="EC88" s="750">
        <f>INPUT!GB518</f>
        <v>2628.7000000000003</v>
      </c>
      <c r="ED88" s="752">
        <f>INPUT!GC518</f>
        <v>0.63935681470139727</v>
      </c>
      <c r="EE88" s="750">
        <f>INPUT!GD518</f>
        <v>2449.4</v>
      </c>
      <c r="EF88" s="752">
        <f>INPUT!GE518</f>
        <v>-6.8208620230532313</v>
      </c>
      <c r="EG88" s="750">
        <f>INPUT!GF518</f>
        <v>2999.4</v>
      </c>
      <c r="EH88" s="752">
        <f>INPUT!GG518</f>
        <v>22.454478647832122</v>
      </c>
      <c r="EI88" s="750">
        <f>INPUT!GH518</f>
        <v>2938.3</v>
      </c>
      <c r="EJ88" s="752">
        <f>INPUT!GI518</f>
        <v>-2.0370740814829591</v>
      </c>
      <c r="EK88" s="750">
        <f>INPUT!GJ518</f>
        <v>2938.3</v>
      </c>
      <c r="EL88" s="752">
        <f>INPUT!GK518</f>
        <v>0</v>
      </c>
      <c r="EM88" s="750">
        <f>INPUT!GL518</f>
        <v>2938.3</v>
      </c>
      <c r="EN88" s="752">
        <f>INPUT!GM518</f>
        <v>0</v>
      </c>
      <c r="EO88" s="750">
        <f>INPUT!GN518</f>
        <v>2938.3</v>
      </c>
      <c r="EP88" s="752">
        <f>INPUT!GO518</f>
        <v>0</v>
      </c>
      <c r="EQ88" s="750">
        <f>INPUT!GP518</f>
        <v>2938.3</v>
      </c>
      <c r="ER88" s="752">
        <f>INPUT!GQ518</f>
        <v>0</v>
      </c>
      <c r="ES88" s="750">
        <f>INPUT!GR518</f>
        <v>2938.3</v>
      </c>
      <c r="ET88" s="752">
        <f>INPUT!GS518</f>
        <v>0</v>
      </c>
      <c r="EU88" s="767">
        <f>INPUT!GT518</f>
        <v>0</v>
      </c>
      <c r="EV88" s="710"/>
    </row>
    <row r="89" spans="1:152" ht="12.75" customHeight="1" x14ac:dyDescent="0.2">
      <c r="A89" s="754" t="str">
        <f>INPUT!B529</f>
        <v>Equity EOP Including FAS 115</v>
      </c>
      <c r="B89" s="750">
        <f>INPUT!AS529</f>
        <v>6568</v>
      </c>
      <c r="C89" s="767">
        <f>INPUT!AT529</f>
        <v>-6.8685837445408566</v>
      </c>
      <c r="D89" s="750">
        <f>INPUT!AU529</f>
        <v>6986.9</v>
      </c>
      <c r="E89" s="767">
        <f>INPUT!AV529</f>
        <v>-11.047029765997006</v>
      </c>
      <c r="F89" s="750">
        <f>INPUT!AW529</f>
        <v>7594.4</v>
      </c>
      <c r="G89" s="767">
        <f>INPUT!AX529</f>
        <v>4.9283612197244864</v>
      </c>
      <c r="H89" s="750">
        <f>INPUT!AY529</f>
        <v>7718.8</v>
      </c>
      <c r="I89" s="752">
        <f>INPUT!AZ529</f>
        <v>4.8194570811662452</v>
      </c>
      <c r="J89" s="750">
        <f>INPUT!BA529</f>
        <v>7376.6</v>
      </c>
      <c r="K89" s="752">
        <f>INPUT!BB529</f>
        <v>12.311205846528628</v>
      </c>
      <c r="L89" s="750">
        <f>INPUT!BC529</f>
        <v>7371.6</v>
      </c>
      <c r="M89" s="752">
        <f>INPUT!BD529</f>
        <v>5.5060184058738582</v>
      </c>
      <c r="N89" s="750">
        <f>INPUT!BE529</f>
        <v>7830.8</v>
      </c>
      <c r="O89" s="752">
        <f>INPUT!BF529</f>
        <v>3.1128199726114136</v>
      </c>
      <c r="P89" s="750">
        <f>INPUT!BG529</f>
        <v>8039.9</v>
      </c>
      <c r="Q89" s="752">
        <f>INPUT!BH529</f>
        <v>4.1599730528061318</v>
      </c>
      <c r="R89" s="750">
        <f>INPUT!BI529</f>
        <v>7638.4</v>
      </c>
      <c r="S89" s="752">
        <f>INPUT!BJ529</f>
        <v>3.5490605427974886</v>
      </c>
      <c r="T89" s="750">
        <f>INPUT!BK529</f>
        <v>7664.3</v>
      </c>
      <c r="U89" s="752">
        <f>INPUT!BL529</f>
        <v>3.9706440935482146</v>
      </c>
      <c r="V89" s="750">
        <f>INPUT!BM529</f>
        <v>6735.9</v>
      </c>
      <c r="W89" s="752">
        <f>INPUT!BN529</f>
        <v>-13.981968636665476</v>
      </c>
      <c r="X89" s="750">
        <f>INPUT!BO529</f>
        <v>6397.9</v>
      </c>
      <c r="Y89" s="752">
        <f>INPUT!BP529</f>
        <v>-20.423139591288454</v>
      </c>
      <c r="Z89" s="750">
        <f>INPUT!BQ529</f>
        <v>6422.6</v>
      </c>
      <c r="AA89" s="752">
        <f>INPUT!BR529</f>
        <v>-15.916945957268524</v>
      </c>
      <c r="AB89" s="750">
        <f>INPUT!BS529</f>
        <v>7478.4</v>
      </c>
      <c r="AC89" s="752">
        <f>INPUT!BT529</f>
        <v>-2.4255313596805994</v>
      </c>
      <c r="AD89" s="750">
        <f>INPUT!BU529</f>
        <v>8243</v>
      </c>
      <c r="AE89" s="752">
        <f>INPUT!BV529</f>
        <v>22.374144509271222</v>
      </c>
      <c r="AF89" s="750">
        <f>INPUT!BW529</f>
        <v>8500.1</v>
      </c>
      <c r="AG89" s="752">
        <f>INPUT!BX529</f>
        <v>32.857656418512327</v>
      </c>
      <c r="AH89" s="750">
        <f>INPUT!BY529</f>
        <v>8780.2000000000007</v>
      </c>
      <c r="AI89" s="752">
        <f>INPUT!BZ529</f>
        <v>36.707875315292867</v>
      </c>
      <c r="AJ89" s="750">
        <f>INPUT!CA529</f>
        <v>8871.7000000000007</v>
      </c>
      <c r="AK89" s="752">
        <f>INPUT!CB529</f>
        <v>18.630990586221664</v>
      </c>
      <c r="AL89" s="750">
        <f>INPUT!CC529</f>
        <v>8924.1</v>
      </c>
      <c r="AM89" s="752">
        <f>INPUT!CD529</f>
        <v>8.2627684095596408</v>
      </c>
      <c r="AN89" s="750">
        <f>INPUT!CE529</f>
        <v>8484.9</v>
      </c>
      <c r="AO89" s="752">
        <f>INPUT!CF529</f>
        <v>-0.17882142563029335</v>
      </c>
      <c r="AP89" s="750">
        <f>INPUT!CG529</f>
        <v>8522.2000000000007</v>
      </c>
      <c r="AQ89" s="752">
        <f>INPUT!CH529</f>
        <v>-2.9384296485273631</v>
      </c>
      <c r="AR89" s="750">
        <f>INPUT!CI529</f>
        <v>8617.7999999999993</v>
      </c>
      <c r="AS89" s="752">
        <f>INPUT!CJ529</f>
        <v>-2.8619092169482885</v>
      </c>
      <c r="AT89" s="750">
        <f>INPUT!CK529</f>
        <v>9460.1</v>
      </c>
      <c r="AU89" s="752">
        <f>INPUT!CL529</f>
        <v>6.0062079089207909</v>
      </c>
      <c r="AV89" s="750">
        <f>INPUT!CM529</f>
        <v>8169.7</v>
      </c>
      <c r="AW89" s="752">
        <f>INPUT!CN529</f>
        <v>-3.7148345885042788</v>
      </c>
      <c r="AX89" s="750">
        <f>INPUT!CO529</f>
        <v>8179.9</v>
      </c>
      <c r="AY89" s="752">
        <f>INPUT!CP529</f>
        <v>-4.0165684917040316</v>
      </c>
      <c r="AZ89" s="750">
        <f>INPUT!CQ529</f>
        <v>8385.9</v>
      </c>
      <c r="BA89" s="752">
        <f>INPUT!CR529</f>
        <v>-2.6909420037596554</v>
      </c>
      <c r="BB89" s="750">
        <f>INPUT!CS529</f>
        <v>8673.2999999999993</v>
      </c>
      <c r="BC89" s="752">
        <f>INPUT!CT529</f>
        <v>-8.3170368177926335</v>
      </c>
      <c r="BD89" s="750">
        <f>INPUT!CU529</f>
        <v>8612.6</v>
      </c>
      <c r="BE89" s="752">
        <f>INPUT!CV529</f>
        <v>5.4212516983487724</v>
      </c>
      <c r="BF89" s="750">
        <f>INPUT!CW529</f>
        <v>8557.7999999999993</v>
      </c>
      <c r="BG89" s="752">
        <f>INPUT!CX529</f>
        <v>4.6198608784948414</v>
      </c>
      <c r="BH89" s="750">
        <f>INPUT!CY529</f>
        <v>8380.6</v>
      </c>
      <c r="BI89" s="752">
        <f>INPUT!CZ529</f>
        <v>-6.3201326035355887E-2</v>
      </c>
      <c r="BJ89" s="750">
        <f>INPUT!DA529</f>
        <v>8669.9</v>
      </c>
      <c r="BK89" s="752">
        <f>INPUT!DB529</f>
        <v>-3.9200765567892759E-2</v>
      </c>
      <c r="BL89" s="750">
        <f>INPUT!DC529</f>
        <v>8639.9</v>
      </c>
      <c r="BM89" s="752">
        <f>INPUT!DD529</f>
        <v>0.31697745164060986</v>
      </c>
      <c r="BN89" s="750">
        <f>INPUT!DE529</f>
        <v>8933.4</v>
      </c>
      <c r="BO89" s="752">
        <f>INPUT!DF529</f>
        <v>4.3889784757764838</v>
      </c>
      <c r="BP89" s="750">
        <f>INPUT!DG529</f>
        <v>9243.7000000000007</v>
      </c>
      <c r="BQ89" s="752">
        <f>INPUT!DH529</f>
        <v>10.298785289836054</v>
      </c>
      <c r="BR89" s="750">
        <f>INPUT!DI529</f>
        <v>9243</v>
      </c>
      <c r="BS89" s="752">
        <f>INPUT!DJ529</f>
        <v>6.610226184846435</v>
      </c>
      <c r="BT89" s="750">
        <f>INPUT!DK529</f>
        <v>8521.9</v>
      </c>
      <c r="BU89" s="752">
        <f>INPUT!DL529</f>
        <v>-1.365756548108199</v>
      </c>
      <c r="BV89" s="750">
        <f>INPUT!DM529</f>
        <v>8687.9</v>
      </c>
      <c r="BW89" s="752">
        <f>INPUT!DN529</f>
        <v>-2.7481138200461164</v>
      </c>
      <c r="BX89" s="750">
        <f>INPUT!DO529</f>
        <v>8515.7000000000007</v>
      </c>
      <c r="BY89" s="752">
        <f>INPUT!DP529</f>
        <v>-7.8756342157361274</v>
      </c>
      <c r="BZ89" s="750">
        <f>INPUT!DQ529</f>
        <v>8581.1</v>
      </c>
      <c r="CA89" s="752">
        <f>INPUT!DR529</f>
        <v>-7.1610948826138614</v>
      </c>
      <c r="CB89" s="750">
        <f>INPUT!DS529</f>
        <v>8663.9</v>
      </c>
      <c r="CC89" s="752">
        <f>INPUT!DT529</f>
        <v>1.6662950750419459</v>
      </c>
      <c r="CD89" s="750">
        <f>INPUT!DU529</f>
        <v>8920.2999999999993</v>
      </c>
      <c r="CE89" s="752">
        <f>INPUT!DV529</f>
        <v>2.6749847489036416</v>
      </c>
      <c r="CF89" s="750">
        <f>INPUT!DW529</f>
        <v>9157</v>
      </c>
      <c r="CG89" s="752">
        <f>INPUT!DX529</f>
        <v>7.5307960590438761</v>
      </c>
      <c r="CH89" s="750">
        <f>INPUT!DY529</f>
        <v>9361.2000000000007</v>
      </c>
      <c r="CI89" s="752">
        <f>INPUT!DZ529</f>
        <v>9.0909090909091042</v>
      </c>
      <c r="CJ89" s="750">
        <f>INPUT!EA529</f>
        <v>8968</v>
      </c>
      <c r="CK89" s="752">
        <f>INPUT!EB529</f>
        <v>3.5099666431976484</v>
      </c>
      <c r="CL89" s="750">
        <f>INPUT!EC529</f>
        <v>9103.6799999999985</v>
      </c>
      <c r="CM89" s="752">
        <f>INPUT!ED529</f>
        <v>2.055760456486877</v>
      </c>
      <c r="CN89" s="750">
        <f>INPUT!EE529</f>
        <v>9316.6</v>
      </c>
      <c r="CO89" s="752">
        <f>INPUT!EF529</f>
        <v>1.7429289068472187</v>
      </c>
      <c r="CP89" s="750">
        <f>INPUT!EG529</f>
        <v>9448.6</v>
      </c>
      <c r="CQ89" s="752">
        <f>INPUT!EH529</f>
        <v>0.93364098619834746</v>
      </c>
      <c r="CR89" s="750">
        <f>INPUT!EI529</f>
        <v>9574.9</v>
      </c>
      <c r="CS89" s="752">
        <f>INPUT!EJ529</f>
        <v>6.7673951828724377</v>
      </c>
      <c r="CT89" s="750">
        <f>INPUT!EK529</f>
        <v>9685.9828303240956</v>
      </c>
      <c r="CU89" s="752">
        <f>INPUT!EL529</f>
        <v>6.3963455473401654</v>
      </c>
      <c r="CV89" s="750">
        <f>INPUT!EM529</f>
        <v>9812.7669541748146</v>
      </c>
      <c r="CW89" s="752">
        <f>INPUT!EN529</f>
        <v>5.3256225895156328</v>
      </c>
      <c r="CX89" s="750">
        <f>INPUT!EO529</f>
        <v>9933.6279088450246</v>
      </c>
      <c r="CY89" s="752">
        <f>INPUT!EP529</f>
        <v>5.1333309574436825</v>
      </c>
      <c r="CZ89" s="750">
        <f>INPUT!EQ529</f>
        <v>10057.828790254847</v>
      </c>
      <c r="DA89" s="752">
        <f>INPUT!ER529</f>
        <v>5.0436953937361917</v>
      </c>
      <c r="DB89" s="753"/>
      <c r="DC89" s="750">
        <f>INPUT!FB529</f>
        <v>5939.9</v>
      </c>
      <c r="DD89" s="767">
        <f>INPUT!FC529</f>
        <v>6.5452914798206141</v>
      </c>
      <c r="DE89" s="750">
        <f>INPUT!FD529</f>
        <v>6843.2</v>
      </c>
      <c r="DF89" s="767">
        <f>INPUT!FE529</f>
        <v>15.207326722672111</v>
      </c>
      <c r="DG89" s="750">
        <f>INPUT!FF529</f>
        <v>7271</v>
      </c>
      <c r="DH89" s="767">
        <f>INPUT!FG529</f>
        <v>6.2514613046527945</v>
      </c>
      <c r="DI89" s="750">
        <f>INPUT!FH529</f>
        <v>7224.1</v>
      </c>
      <c r="DJ89" s="767">
        <f>INPUT!FI529</f>
        <v>-0.64502819419611779</v>
      </c>
      <c r="DK89" s="750">
        <f>INPUT!FJ529</f>
        <v>7363.9</v>
      </c>
      <c r="DL89" s="752">
        <f>INPUT!FK529</f>
        <v>1.9351891585110748</v>
      </c>
      <c r="DM89" s="750">
        <f>INPUT!FL529</f>
        <v>7718.8</v>
      </c>
      <c r="DN89" s="752">
        <f>INPUT!FM529</f>
        <v>4.8194570811662452</v>
      </c>
      <c r="DO89" s="750">
        <f>INPUT!FN529</f>
        <v>8039.9</v>
      </c>
      <c r="DP89" s="752">
        <f>INPUT!FO529</f>
        <v>4.1599730528061318</v>
      </c>
      <c r="DQ89" s="750">
        <f>INPUT!FP529</f>
        <v>6397.9</v>
      </c>
      <c r="DR89" s="752">
        <f>INPUT!FQ529</f>
        <v>-20.423139591288454</v>
      </c>
      <c r="DS89" s="750">
        <f>INPUT!FR529</f>
        <v>8500.1</v>
      </c>
      <c r="DT89" s="752">
        <f>INPUT!FS529</f>
        <v>32.857656418512327</v>
      </c>
      <c r="DU89" s="750">
        <f>INPUT!FT529</f>
        <v>8484.9</v>
      </c>
      <c r="DV89" s="752">
        <f>INPUT!FU529</f>
        <v>-0.17882142563029335</v>
      </c>
      <c r="DW89" s="750">
        <f>INPUT!FV529</f>
        <v>8169.7</v>
      </c>
      <c r="DX89" s="752">
        <f>INPUT!FW529</f>
        <v>-3.7148345885042788</v>
      </c>
      <c r="DY89" s="750">
        <f>INPUT!FX529</f>
        <v>8612.6</v>
      </c>
      <c r="DZ89" s="752">
        <f>INPUT!FY529</f>
        <v>5.4212516983487724</v>
      </c>
      <c r="EA89" s="750">
        <f>INPUT!FZ529</f>
        <v>8639.9</v>
      </c>
      <c r="EB89" s="752">
        <f>INPUT!GA529</f>
        <v>0.31697745164060986</v>
      </c>
      <c r="EC89" s="750">
        <f>INPUT!GB529</f>
        <v>8521.9</v>
      </c>
      <c r="ED89" s="752">
        <f>INPUT!GC529</f>
        <v>-1.365756548108199</v>
      </c>
      <c r="EE89" s="750">
        <f>INPUT!GD529</f>
        <v>8663.9</v>
      </c>
      <c r="EF89" s="752">
        <f>INPUT!GE529</f>
        <v>1.6662950750419459</v>
      </c>
      <c r="EG89" s="750">
        <f>INPUT!GF529</f>
        <v>8968</v>
      </c>
      <c r="EH89" s="752">
        <f>INPUT!GG529</f>
        <v>3.5099666431976484</v>
      </c>
      <c r="EI89" s="750">
        <f>INPUT!GH529</f>
        <v>9574.9</v>
      </c>
      <c r="EJ89" s="752">
        <f>INPUT!GI529</f>
        <v>6.7673951828724377</v>
      </c>
      <c r="EK89" s="750">
        <f>INPUT!GJ529</f>
        <v>10057.828790254847</v>
      </c>
      <c r="EL89" s="752">
        <f>INPUT!GK529</f>
        <v>5.0436953937361917</v>
      </c>
      <c r="EM89" s="750">
        <f>INPUT!GL529</f>
        <v>10556.702729138586</v>
      </c>
      <c r="EN89" s="752">
        <f>INPUT!GM529</f>
        <v>4.9600559851158188</v>
      </c>
      <c r="EO89" s="750">
        <f>INPUT!GN529</f>
        <v>11048.477516748733</v>
      </c>
      <c r="EP89" s="752">
        <f>INPUT!GO529</f>
        <v>4.65841276606902</v>
      </c>
      <c r="EQ89" s="750">
        <f>INPUT!GP529</f>
        <v>11561.272349577594</v>
      </c>
      <c r="ER89" s="752">
        <f>INPUT!GQ529</f>
        <v>4.6413167067724803</v>
      </c>
      <c r="ES89" s="750">
        <f>INPUT!GR529</f>
        <v>12064.660699800681</v>
      </c>
      <c r="ET89" s="752">
        <f>INPUT!GS529</f>
        <v>4.3540912712905611</v>
      </c>
      <c r="EU89" s="767">
        <f>INPUT!GT529</f>
        <v>4.731222538510016</v>
      </c>
      <c r="EV89" s="710"/>
    </row>
    <row r="90" spans="1:152" ht="12.75" customHeight="1" x14ac:dyDescent="0.2">
      <c r="A90" s="754" t="str">
        <f>INPUT!B554</f>
        <v>LT Debt to LT Capital (%)</v>
      </c>
      <c r="B90" s="793">
        <f>INPUT!AS554</f>
        <v>30.346992449308559</v>
      </c>
      <c r="C90" s="767">
        <f>INPUT!AT554</f>
        <v>5.1265625225104028</v>
      </c>
      <c r="D90" s="793">
        <f>INPUT!AU554</f>
        <v>26.827250353458659</v>
      </c>
      <c r="E90" s="767">
        <f>INPUT!AV554</f>
        <v>0.45314854572853225</v>
      </c>
      <c r="F90" s="793">
        <f>INPUT!AW554</f>
        <v>25.222528554549033</v>
      </c>
      <c r="G90" s="767">
        <f>INPUT!AX554</f>
        <v>-10.992322976108005</v>
      </c>
      <c r="H90" s="793">
        <f>INPUT!AY554</f>
        <v>25.626300778540045</v>
      </c>
      <c r="I90" s="752">
        <f>INPUT!AZ554</f>
        <v>-16.5157410711377</v>
      </c>
      <c r="J90" s="793">
        <f>INPUT!BA554</f>
        <v>25.31008576086186</v>
      </c>
      <c r="K90" s="752">
        <f>INPUT!BB554</f>
        <v>-16.597712926117204</v>
      </c>
      <c r="L90" s="793">
        <f>INPUT!BC554</f>
        <v>23.683910842400589</v>
      </c>
      <c r="M90" s="752">
        <f>INPUT!BD554</f>
        <v>-11.716964913076977</v>
      </c>
      <c r="N90" s="793">
        <f>INPUT!BE554</f>
        <v>22.589956504547253</v>
      </c>
      <c r="O90" s="752">
        <f>INPUT!BF554</f>
        <v>-10.43738356488838</v>
      </c>
      <c r="P90" s="793">
        <f>INPUT!BG554</f>
        <v>23.829238946101885</v>
      </c>
      <c r="Q90" s="752">
        <f>INPUT!BH554</f>
        <v>-7.0125682515326364</v>
      </c>
      <c r="R90" s="793">
        <f>INPUT!BI554</f>
        <v>24.641627450400058</v>
      </c>
      <c r="S90" s="752">
        <f>INPUT!BJ554</f>
        <v>-2.6410748536279893</v>
      </c>
      <c r="T90" s="793">
        <f>INPUT!BK554</f>
        <v>23.069279103848395</v>
      </c>
      <c r="U90" s="752">
        <f>INPUT!BL554</f>
        <v>-2.5951446221957442</v>
      </c>
      <c r="V90" s="793">
        <f>INPUT!BM554</f>
        <v>25.333377672840939</v>
      </c>
      <c r="W90" s="752">
        <f>INPUT!BN554</f>
        <v>12.144428732040492</v>
      </c>
      <c r="X90" s="793">
        <f>INPUT!BO554</f>
        <v>26.098206138172415</v>
      </c>
      <c r="Y90" s="752">
        <f>INPUT!BP554</f>
        <v>9.5217778343764436</v>
      </c>
      <c r="Z90" s="793">
        <f>INPUT!BQ554</f>
        <v>25.983888997729711</v>
      </c>
      <c r="AA90" s="752">
        <f>INPUT!BR554</f>
        <v>5.4471302678016142</v>
      </c>
      <c r="AB90" s="793">
        <f>INPUT!BS554</f>
        <v>23.132901634289237</v>
      </c>
      <c r="AC90" s="752">
        <f>INPUT!BT554</f>
        <v>0.27578898393156859</v>
      </c>
      <c r="AD90" s="793">
        <f>INPUT!BU554</f>
        <v>23.839529898736046</v>
      </c>
      <c r="AE90" s="752">
        <f>INPUT!BV554</f>
        <v>-5.8967572085991353</v>
      </c>
      <c r="AF90" s="793">
        <f>INPUT!BW554</f>
        <v>23.073929608948664</v>
      </c>
      <c r="AG90" s="752">
        <f>INPUT!BX554</f>
        <v>-11.588062846972102</v>
      </c>
      <c r="AH90" s="793">
        <f>INPUT!BY554</f>
        <v>20.694763083259566</v>
      </c>
      <c r="AI90" s="752">
        <f>INPUT!BZ554</f>
        <v>-20.355405285684025</v>
      </c>
      <c r="AJ90" s="793">
        <f>INPUT!CA554</f>
        <v>20.351034699465821</v>
      </c>
      <c r="AK90" s="752">
        <f>INPUT!CB554</f>
        <v>-12.025585803295568</v>
      </c>
      <c r="AL90" s="793">
        <f>INPUT!CC554</f>
        <v>22.971153348179605</v>
      </c>
      <c r="AM90" s="752">
        <f>INPUT!CD554</f>
        <v>-3.6425909162012493</v>
      </c>
      <c r="AN90" s="793">
        <f>INPUT!CE554</f>
        <v>23.670858746694016</v>
      </c>
      <c r="AO90" s="752">
        <f>INPUT!CF554</f>
        <v>2.587028511666456</v>
      </c>
      <c r="AP90" s="793">
        <f>INPUT!CG554</f>
        <v>23.411100726148533</v>
      </c>
      <c r="AQ90" s="752">
        <f>INPUT!CH554</f>
        <v>13.125724764089085</v>
      </c>
      <c r="AR90" s="793">
        <f>INPUT!CI554</f>
        <v>23.102731353005737</v>
      </c>
      <c r="AS90" s="752">
        <f>INPUT!CJ554</f>
        <v>13.521163391324498</v>
      </c>
      <c r="AT90" s="793">
        <f>INPUT!CK554</f>
        <v>21.470788438231533</v>
      </c>
      <c r="AU90" s="752">
        <f>INPUT!CL554</f>
        <v>-6.5315175394402676</v>
      </c>
      <c r="AV90" s="793">
        <f>INPUT!CM554</f>
        <v>23.931321520684548</v>
      </c>
      <c r="AW90" s="752">
        <f>INPUT!CN554</f>
        <v>1.1003520268435985</v>
      </c>
      <c r="AX90" s="793">
        <f>INPUT!CO554</f>
        <v>23.785254409421675</v>
      </c>
      <c r="AY90" s="752">
        <f>INPUT!CP554</f>
        <v>1.5981891994306663</v>
      </c>
      <c r="AZ90" s="793">
        <f>INPUT!CQ554</f>
        <v>23.249620179019239</v>
      </c>
      <c r="BA90" s="752">
        <f>INPUT!CR554</f>
        <v>0.63580718560531935</v>
      </c>
      <c r="BB90" s="793">
        <f>INPUT!CS554</f>
        <v>24.282396899116527</v>
      </c>
      <c r="BC90" s="752">
        <f>INPUT!CT554</f>
        <v>13.095040589560082</v>
      </c>
      <c r="BD90" s="793">
        <f>INPUT!CU554</f>
        <v>24.238212526389869</v>
      </c>
      <c r="BE90" s="752">
        <f>INPUT!CV554</f>
        <v>1.2823821928933832</v>
      </c>
      <c r="BF90" s="793">
        <f>INPUT!CW554</f>
        <v>23.806725606987371</v>
      </c>
      <c r="BG90" s="752">
        <f>INPUT!CX554</f>
        <v>9.027104438785738E-2</v>
      </c>
      <c r="BH90" s="793">
        <f>INPUT!CY554</f>
        <v>23.98272953213722</v>
      </c>
      <c r="BI90" s="752">
        <f>INPUT!CZ554</f>
        <v>3.1532100200912128</v>
      </c>
      <c r="BJ90" s="793">
        <f>INPUT!DA554</f>
        <v>23.283368137896858</v>
      </c>
      <c r="BK90" s="752">
        <f>INPUT!DB554</f>
        <v>-4.1142098342689444</v>
      </c>
      <c r="BL90" s="793">
        <f>INPUT!DC554</f>
        <v>23.213857215225875</v>
      </c>
      <c r="BM90" s="752">
        <f>INPUT!DD554</f>
        <v>-4.2261998901474529</v>
      </c>
      <c r="BN90" s="793">
        <f>INPUT!DE554</f>
        <v>24.813156477242124</v>
      </c>
      <c r="BO90" s="752">
        <f>INPUT!DF554</f>
        <v>4.2275064906841298</v>
      </c>
      <c r="BP90" s="793">
        <f>INPUT!DG554</f>
        <v>23.197653647066645</v>
      </c>
      <c r="BQ90" s="752">
        <f>INPUT!DH554</f>
        <v>-3.2735051446857288</v>
      </c>
      <c r="BR90" s="793">
        <f>INPUT!DI554</f>
        <v>23.143443952005192</v>
      </c>
      <c r="BS90" s="752">
        <f>INPUT!DJ554</f>
        <v>-0.6009619616155093</v>
      </c>
      <c r="BT90" s="793">
        <f>INPUT!DK554</f>
        <v>23.574516169533482</v>
      </c>
      <c r="BU90" s="752">
        <f>INPUT!DL554</f>
        <v>1.5536364808475422</v>
      </c>
      <c r="BV90" s="793">
        <f>INPUT!DM554</f>
        <v>23.056008218789852</v>
      </c>
      <c r="BW90" s="752">
        <f>INPUT!DN554</f>
        <v>-7.0815184680912076</v>
      </c>
      <c r="BX90" s="793">
        <f>INPUT!DO554</f>
        <v>23.257783985941515</v>
      </c>
      <c r="BY90" s="752">
        <f>INPUT!DP554</f>
        <v>0.25920871045712612</v>
      </c>
      <c r="BZ90" s="793">
        <f>INPUT!DQ554</f>
        <v>20.53212572465781</v>
      </c>
      <c r="CA90" s="752">
        <f>INPUT!DR554</f>
        <v>-11.283187725918086</v>
      </c>
      <c r="CB90" s="793">
        <f>INPUT!DS554</f>
        <v>22.04025806916038</v>
      </c>
      <c r="CC90" s="752">
        <f>INPUT!DT554</f>
        <v>-6.5081212667935873</v>
      </c>
      <c r="CD90" s="793">
        <f>INPUT!DU554</f>
        <v>21.495582074840712</v>
      </c>
      <c r="CE90" s="752">
        <f>INPUT!DV554</f>
        <v>-6.7679805157141111</v>
      </c>
      <c r="CF90" s="793">
        <f>INPUT!DW554</f>
        <v>24.94016197252369</v>
      </c>
      <c r="CG90" s="752">
        <f>INPUT!DX554</f>
        <v>7.2336125728879042</v>
      </c>
      <c r="CH90" s="793">
        <f>INPUT!DY554</f>
        <v>24.390598497698083</v>
      </c>
      <c r="CI90" s="752">
        <f>INPUT!DZ554</f>
        <v>18.792368723938235</v>
      </c>
      <c r="CJ90" s="793">
        <f>INPUT!EA554</f>
        <v>25.063088055885157</v>
      </c>
      <c r="CK90" s="752">
        <f>INPUT!EB554</f>
        <v>13.715038985657069</v>
      </c>
      <c r="CL90" s="793">
        <f>INPUT!EC554</f>
        <v>24.690030343440096</v>
      </c>
      <c r="CM90" s="752">
        <f>INPUT!ED554</f>
        <v>14.860952624950286</v>
      </c>
      <c r="CN90" s="793">
        <f>INPUT!EE554</f>
        <v>24.162800162800163</v>
      </c>
      <c r="CO90" s="752">
        <f>INPUT!EF554</f>
        <v>-3.1169076230536774</v>
      </c>
      <c r="CP90" s="793">
        <f>INPUT!EG554</f>
        <v>22.569595253509469</v>
      </c>
      <c r="CQ90" s="752">
        <f>INPUT!EH554</f>
        <v>-7.4660047573677835</v>
      </c>
      <c r="CR90" s="793">
        <f>INPUT!EI554</f>
        <v>23.481603426781319</v>
      </c>
      <c r="CS90" s="752">
        <f>INPUT!EJ554</f>
        <v>-6.3100150531230419</v>
      </c>
      <c r="CT90" s="793">
        <f>INPUT!EK554</f>
        <v>23.27498551396576</v>
      </c>
      <c r="CU90" s="752">
        <f>INPUT!EL554</f>
        <v>-5.731239734382509</v>
      </c>
      <c r="CV90" s="793">
        <f>INPUT!EM554</f>
        <v>23.043561849057458</v>
      </c>
      <c r="CW90" s="752">
        <f>INPUT!EN554</f>
        <v>-4.6320720537424638</v>
      </c>
      <c r="CX90" s="793">
        <f>INPUT!EO554</f>
        <v>22.82719434732795</v>
      </c>
      <c r="CY90" s="752">
        <f>INPUT!EP554</f>
        <v>1.1413545122322288</v>
      </c>
      <c r="CZ90" s="793">
        <f>INPUT!EQ554</f>
        <v>22.609040333636013</v>
      </c>
      <c r="DA90" s="752">
        <f>INPUT!ER554</f>
        <v>-3.7159434016764248</v>
      </c>
      <c r="DB90" s="753"/>
      <c r="DC90" s="793">
        <f>INPUT!FB554</f>
        <v>24.310719180990045</v>
      </c>
      <c r="DD90" s="767" t="str">
        <f>INPUT!FC554</f>
        <v>NA</v>
      </c>
      <c r="DE90" s="793">
        <f>INPUT!FD554</f>
        <v>21.132358786379896</v>
      </c>
      <c r="DF90" s="767">
        <f>INPUT!FE554</f>
        <v>-13.073905263549312</v>
      </c>
      <c r="DG90" s="793">
        <f>INPUT!FF554</f>
        <v>27.72365805168986</v>
      </c>
      <c r="DH90" s="767">
        <f>INPUT!FG554</f>
        <v>31.190551570410353</v>
      </c>
      <c r="DI90" s="793">
        <f>INPUT!FH554</f>
        <v>28.375685349143868</v>
      </c>
      <c r="DJ90" s="767">
        <f>INPUT!FI554</f>
        <v>2.3518804633873458</v>
      </c>
      <c r="DK90" s="793">
        <f>INPUT!FJ554</f>
        <v>30.695967248600063</v>
      </c>
      <c r="DL90" s="752">
        <f>INPUT!FK554</f>
        <v>8.1770074305049345</v>
      </c>
      <c r="DM90" s="793">
        <f>INPUT!FL554</f>
        <v>25.626300778540045</v>
      </c>
      <c r="DN90" s="752">
        <f>INPUT!FM554</f>
        <v>-16.5157410711377</v>
      </c>
      <c r="DO90" s="793">
        <f>INPUT!FN554</f>
        <v>23.829238946101885</v>
      </c>
      <c r="DP90" s="752">
        <f>INPUT!FO554</f>
        <v>-7.0125682515326364</v>
      </c>
      <c r="DQ90" s="793">
        <f>INPUT!FP554</f>
        <v>26.098206138172415</v>
      </c>
      <c r="DR90" s="752">
        <f>INPUT!FQ554</f>
        <v>9.5217778343764436</v>
      </c>
      <c r="DS90" s="793">
        <f>INPUT!FR554</f>
        <v>23.073929608948664</v>
      </c>
      <c r="DT90" s="752">
        <f>INPUT!FS554</f>
        <v>-11.588062846972102</v>
      </c>
      <c r="DU90" s="793">
        <f>INPUT!FT554</f>
        <v>23.670858746694016</v>
      </c>
      <c r="DV90" s="752">
        <f>INPUT!FU554</f>
        <v>2.587028511666456</v>
      </c>
      <c r="DW90" s="793">
        <f>INPUT!FV554</f>
        <v>23.931321520684548</v>
      </c>
      <c r="DX90" s="752">
        <f>INPUT!FW554</f>
        <v>1.1003520268435985</v>
      </c>
      <c r="DY90" s="793">
        <f>INPUT!FX554</f>
        <v>24.238212526389869</v>
      </c>
      <c r="DZ90" s="752">
        <f>INPUT!FY554</f>
        <v>1.2823821928933832</v>
      </c>
      <c r="EA90" s="793">
        <f>INPUT!FZ554</f>
        <v>23.213857215225875</v>
      </c>
      <c r="EB90" s="752">
        <f>INPUT!GA554</f>
        <v>-4.2261998901474529</v>
      </c>
      <c r="EC90" s="793">
        <f>INPUT!GB554</f>
        <v>23.574516169533482</v>
      </c>
      <c r="ED90" s="752">
        <f>INPUT!GC554</f>
        <v>1.5536364808475422</v>
      </c>
      <c r="EE90" s="793">
        <f>INPUT!GD554</f>
        <v>22.04025806916038</v>
      </c>
      <c r="EF90" s="752">
        <f>INPUT!GE554</f>
        <v>-6.5081212667935873</v>
      </c>
      <c r="EG90" s="793">
        <f>INPUT!GF554</f>
        <v>25.063088055885157</v>
      </c>
      <c r="EH90" s="752">
        <f>INPUT!GG554</f>
        <v>13.715038985657069</v>
      </c>
      <c r="EI90" s="793">
        <f>INPUT!GH554</f>
        <v>23.481603426781319</v>
      </c>
      <c r="EJ90" s="752">
        <f>INPUT!GI554</f>
        <v>-6.3100150531230419</v>
      </c>
      <c r="EK90" s="793">
        <f>INPUT!GJ554</f>
        <v>22.609040333636013</v>
      </c>
      <c r="EL90" s="752">
        <f>INPUT!GK554</f>
        <v>-3.7159434016764248</v>
      </c>
      <c r="EM90" s="793">
        <f>INPUT!GL554</f>
        <v>21.773244948336206</v>
      </c>
      <c r="EN90" s="752">
        <f>INPUT!GM554</f>
        <v>-3.696730922525604</v>
      </c>
      <c r="EO90" s="793">
        <f>INPUT!GN554</f>
        <v>21.007698138341564</v>
      </c>
      <c r="EP90" s="752">
        <f>INPUT!GO554</f>
        <v>-3.5159977844879786</v>
      </c>
      <c r="EQ90" s="793">
        <f>INPUT!GP554</f>
        <v>20.264735601568276</v>
      </c>
      <c r="ER90" s="752">
        <f>INPUT!GQ554</f>
        <v>-3.5366203944890651</v>
      </c>
      <c r="ES90" s="793">
        <f>INPUT!GR554</f>
        <v>19.5848010189018</v>
      </c>
      <c r="ET90" s="752">
        <f>INPUT!GS554</f>
        <v>-3.3552600736318383</v>
      </c>
      <c r="EU90" s="767">
        <f>INPUT!GT554</f>
        <v>-3.5642010490693377</v>
      </c>
      <c r="EV90" s="710"/>
    </row>
    <row r="91" spans="1:152" ht="12.75" customHeight="1" x14ac:dyDescent="0.2">
      <c r="A91" s="754" t="str">
        <f>INPUT!B555</f>
        <v>LTD + Pref Equity to LT Capital (%)</v>
      </c>
      <c r="B91" s="793">
        <f>INPUT!AS555</f>
        <v>30.346992449308559</v>
      </c>
      <c r="C91" s="767">
        <f>INPUT!AT555</f>
        <v>5.1265625225104028</v>
      </c>
      <c r="D91" s="793">
        <f>INPUT!AU555</f>
        <v>26.827250353458659</v>
      </c>
      <c r="E91" s="767">
        <f>INPUT!AV555</f>
        <v>0.45314854572853225</v>
      </c>
      <c r="F91" s="793">
        <f>INPUT!AW555</f>
        <v>25.222528554549033</v>
      </c>
      <c r="G91" s="767">
        <f>INPUT!AX555</f>
        <v>-10.992322976108005</v>
      </c>
      <c r="H91" s="793">
        <f>INPUT!AY555</f>
        <v>25.626300778540045</v>
      </c>
      <c r="I91" s="752">
        <f>INPUT!AZ555</f>
        <v>-16.5157410711377</v>
      </c>
      <c r="J91" s="793">
        <f>INPUT!BA555</f>
        <v>25.31008576086186</v>
      </c>
      <c r="K91" s="752">
        <f>INPUT!BB555</f>
        <v>-16.597712926117204</v>
      </c>
      <c r="L91" s="793">
        <f>INPUT!BC555</f>
        <v>23.683910842400589</v>
      </c>
      <c r="M91" s="752">
        <f>INPUT!BD555</f>
        <v>-11.716964913076977</v>
      </c>
      <c r="N91" s="793">
        <f>INPUT!BE555</f>
        <v>22.589956504547253</v>
      </c>
      <c r="O91" s="752">
        <f>INPUT!BF555</f>
        <v>-10.43738356488838</v>
      </c>
      <c r="P91" s="793">
        <f>INPUT!BG555</f>
        <v>23.829238946101885</v>
      </c>
      <c r="Q91" s="752">
        <f>INPUT!BH555</f>
        <v>-7.0125682515326364</v>
      </c>
      <c r="R91" s="793">
        <f>INPUT!BI555</f>
        <v>24.641627450400058</v>
      </c>
      <c r="S91" s="752">
        <f>INPUT!BJ555</f>
        <v>-2.6410748536279893</v>
      </c>
      <c r="T91" s="793">
        <f>INPUT!BK555</f>
        <v>23.069279103848395</v>
      </c>
      <c r="U91" s="752">
        <f>INPUT!BL555</f>
        <v>-2.5951446221957442</v>
      </c>
      <c r="V91" s="793">
        <f>INPUT!BM555</f>
        <v>25.333377672840939</v>
      </c>
      <c r="W91" s="752">
        <f>INPUT!BN555</f>
        <v>12.144428732040492</v>
      </c>
      <c r="X91" s="793">
        <f>INPUT!BO555</f>
        <v>26.098206138172415</v>
      </c>
      <c r="Y91" s="752">
        <f>INPUT!BP555</f>
        <v>9.5217778343764436</v>
      </c>
      <c r="Z91" s="793">
        <f>INPUT!BQ555</f>
        <v>25.983888997729711</v>
      </c>
      <c r="AA91" s="752">
        <f>INPUT!BR555</f>
        <v>5.4471302678016142</v>
      </c>
      <c r="AB91" s="793">
        <f>INPUT!BS555</f>
        <v>23.132901634289237</v>
      </c>
      <c r="AC91" s="752">
        <f>INPUT!BT555</f>
        <v>0.27578898393156859</v>
      </c>
      <c r="AD91" s="793">
        <f>INPUT!BU555</f>
        <v>23.839529898736046</v>
      </c>
      <c r="AE91" s="752">
        <f>INPUT!BV555</f>
        <v>-5.8967572085991353</v>
      </c>
      <c r="AF91" s="793">
        <f>INPUT!BW555</f>
        <v>23.073929608948664</v>
      </c>
      <c r="AG91" s="752">
        <f>INPUT!BX555</f>
        <v>-11.588062846972102</v>
      </c>
      <c r="AH91" s="793">
        <f>INPUT!BY555</f>
        <v>20.694763083259566</v>
      </c>
      <c r="AI91" s="752">
        <f>INPUT!BZ555</f>
        <v>-20.355405285684025</v>
      </c>
      <c r="AJ91" s="793">
        <f>INPUT!CA555</f>
        <v>20.351034699465821</v>
      </c>
      <c r="AK91" s="752">
        <f>INPUT!CB555</f>
        <v>-12.025585803295568</v>
      </c>
      <c r="AL91" s="793">
        <f>INPUT!CC555</f>
        <v>22.971153348179605</v>
      </c>
      <c r="AM91" s="752">
        <f>INPUT!CD555</f>
        <v>-3.6425909162012493</v>
      </c>
      <c r="AN91" s="793">
        <f>INPUT!CE555</f>
        <v>23.670858746694016</v>
      </c>
      <c r="AO91" s="752">
        <f>INPUT!CF555</f>
        <v>2.587028511666456</v>
      </c>
      <c r="AP91" s="793">
        <f>INPUT!CG555</f>
        <v>23.411100726148533</v>
      </c>
      <c r="AQ91" s="752">
        <f>INPUT!CH555</f>
        <v>13.125724764089085</v>
      </c>
      <c r="AR91" s="793">
        <f>INPUT!CI555</f>
        <v>23.102731353005737</v>
      </c>
      <c r="AS91" s="752">
        <f>INPUT!CJ555</f>
        <v>13.521163391324498</v>
      </c>
      <c r="AT91" s="793">
        <f>INPUT!CK555</f>
        <v>21.470788438231533</v>
      </c>
      <c r="AU91" s="752">
        <f>INPUT!CL555</f>
        <v>-6.5315175394402676</v>
      </c>
      <c r="AV91" s="793">
        <f>INPUT!CM555</f>
        <v>23.931321520684548</v>
      </c>
      <c r="AW91" s="752">
        <f>INPUT!CN555</f>
        <v>1.1003520268435985</v>
      </c>
      <c r="AX91" s="793">
        <f>INPUT!CO555</f>
        <v>23.785254409421675</v>
      </c>
      <c r="AY91" s="752">
        <f>INPUT!CP555</f>
        <v>1.5981891994306663</v>
      </c>
      <c r="AZ91" s="793">
        <f>INPUT!CQ555</f>
        <v>23.249620179019239</v>
      </c>
      <c r="BA91" s="752">
        <f>INPUT!CR555</f>
        <v>0.63580718560531935</v>
      </c>
      <c r="BB91" s="793">
        <f>INPUT!CS555</f>
        <v>24.282396899116527</v>
      </c>
      <c r="BC91" s="752">
        <f>INPUT!CT555</f>
        <v>13.095040589560082</v>
      </c>
      <c r="BD91" s="793">
        <f>INPUT!CU555</f>
        <v>24.238212526389869</v>
      </c>
      <c r="BE91" s="752">
        <f>INPUT!CV555</f>
        <v>1.2823821928933832</v>
      </c>
      <c r="BF91" s="793">
        <f>INPUT!CW555</f>
        <v>23.806725606987371</v>
      </c>
      <c r="BG91" s="752">
        <f>INPUT!CX555</f>
        <v>9.027104438785738E-2</v>
      </c>
      <c r="BH91" s="793">
        <f>INPUT!CY555</f>
        <v>23.98272953213722</v>
      </c>
      <c r="BI91" s="752">
        <f>INPUT!CZ555</f>
        <v>3.1532100200912128</v>
      </c>
      <c r="BJ91" s="793">
        <f>INPUT!DA555</f>
        <v>23.283368137896858</v>
      </c>
      <c r="BK91" s="752">
        <f>INPUT!DB555</f>
        <v>-4.1142098342689444</v>
      </c>
      <c r="BL91" s="793">
        <f>INPUT!DC555</f>
        <v>23.213857215225875</v>
      </c>
      <c r="BM91" s="752">
        <f>INPUT!DD555</f>
        <v>-4.2261998901474529</v>
      </c>
      <c r="BN91" s="793">
        <f>INPUT!DE555</f>
        <v>24.813156477242124</v>
      </c>
      <c r="BO91" s="752">
        <f>INPUT!DF555</f>
        <v>4.2275064906841298</v>
      </c>
      <c r="BP91" s="793">
        <f>INPUT!DG555</f>
        <v>23.197653647066645</v>
      </c>
      <c r="BQ91" s="752">
        <f>INPUT!DH555</f>
        <v>-3.2735051446857288</v>
      </c>
      <c r="BR91" s="793">
        <f>INPUT!DI555</f>
        <v>23.143443952005192</v>
      </c>
      <c r="BS91" s="752">
        <f>INPUT!DJ555</f>
        <v>-0.6009619616155093</v>
      </c>
      <c r="BT91" s="793">
        <f>INPUT!DK555</f>
        <v>23.574516169533482</v>
      </c>
      <c r="BU91" s="752">
        <f>INPUT!DL555</f>
        <v>1.5536364808475422</v>
      </c>
      <c r="BV91" s="793">
        <f>INPUT!DM555</f>
        <v>23.056008218789852</v>
      </c>
      <c r="BW91" s="752">
        <f>INPUT!DN555</f>
        <v>-7.0815184680912076</v>
      </c>
      <c r="BX91" s="793">
        <f>INPUT!DO555</f>
        <v>23.257783985941515</v>
      </c>
      <c r="BY91" s="752">
        <f>INPUT!DP555</f>
        <v>0.25920871045712612</v>
      </c>
      <c r="BZ91" s="793">
        <f>INPUT!DQ555</f>
        <v>20.53212572465781</v>
      </c>
      <c r="CA91" s="752">
        <f>INPUT!DR555</f>
        <v>-11.283187725918086</v>
      </c>
      <c r="CB91" s="793">
        <f>INPUT!DS555</f>
        <v>22.04025806916038</v>
      </c>
      <c r="CC91" s="752">
        <f>INPUT!DT555</f>
        <v>-6.5081212667935873</v>
      </c>
      <c r="CD91" s="793">
        <f>INPUT!DU555</f>
        <v>21.495582074840712</v>
      </c>
      <c r="CE91" s="752">
        <f>INPUT!DV555</f>
        <v>-6.7679805157141111</v>
      </c>
      <c r="CF91" s="793">
        <f>INPUT!DW555</f>
        <v>24.94016197252369</v>
      </c>
      <c r="CG91" s="752">
        <f>INPUT!DX555</f>
        <v>7.2336125728879042</v>
      </c>
      <c r="CH91" s="793">
        <f>INPUT!DY555</f>
        <v>24.390598497698083</v>
      </c>
      <c r="CI91" s="752">
        <f>INPUT!DZ555</f>
        <v>18.792368723938235</v>
      </c>
      <c r="CJ91" s="793">
        <f>INPUT!EA555</f>
        <v>25.063088055885157</v>
      </c>
      <c r="CK91" s="752">
        <f>INPUT!EB555</f>
        <v>13.715038985657069</v>
      </c>
      <c r="CL91" s="793">
        <f>INPUT!EC555</f>
        <v>24.690030343440096</v>
      </c>
      <c r="CM91" s="752">
        <f>INPUT!ED555</f>
        <v>14.860952624950286</v>
      </c>
      <c r="CN91" s="793">
        <f>INPUT!EE555</f>
        <v>24.162800162800163</v>
      </c>
      <c r="CO91" s="752">
        <f>INPUT!EF555</f>
        <v>-3.1169076230536774</v>
      </c>
      <c r="CP91" s="793">
        <f>INPUT!EG555</f>
        <v>22.569595253509469</v>
      </c>
      <c r="CQ91" s="752">
        <f>INPUT!EH555</f>
        <v>-7.4660047573677835</v>
      </c>
      <c r="CR91" s="793">
        <f>INPUT!EI555</f>
        <v>23.481603426781319</v>
      </c>
      <c r="CS91" s="752">
        <f>INPUT!EJ555</f>
        <v>-6.3100150531230419</v>
      </c>
      <c r="CT91" s="793">
        <f>INPUT!EK555</f>
        <v>23.27498551396576</v>
      </c>
      <c r="CU91" s="752">
        <f>INPUT!EL555</f>
        <v>-5.731239734382509</v>
      </c>
      <c r="CV91" s="793">
        <f>INPUT!EM555</f>
        <v>23.043561849057458</v>
      </c>
      <c r="CW91" s="752">
        <f>INPUT!EN555</f>
        <v>-4.6320720537424638</v>
      </c>
      <c r="CX91" s="793">
        <f>INPUT!EO555</f>
        <v>22.82719434732795</v>
      </c>
      <c r="CY91" s="752">
        <f>INPUT!EP555</f>
        <v>1.1413545122322288</v>
      </c>
      <c r="CZ91" s="793">
        <f>INPUT!EQ555</f>
        <v>22.609040333636013</v>
      </c>
      <c r="DA91" s="752">
        <f>INPUT!ER555</f>
        <v>-3.7159434016764248</v>
      </c>
      <c r="DB91" s="753"/>
      <c r="DC91" s="793">
        <f>INPUT!FB555</f>
        <v>27.94968522943681</v>
      </c>
      <c r="DD91" s="767" t="str">
        <f>INPUT!FC555</f>
        <v>NA</v>
      </c>
      <c r="DE91" s="793">
        <f>INPUT!FD555</f>
        <v>24.444640727818751</v>
      </c>
      <c r="DF91" s="767">
        <f>INPUT!FE555</f>
        <v>-12.540550896532176</v>
      </c>
      <c r="DG91" s="793">
        <f>INPUT!FF555</f>
        <v>27.72365805168986</v>
      </c>
      <c r="DH91" s="767">
        <f>INPUT!FG555</f>
        <v>13.41405406764471</v>
      </c>
      <c r="DI91" s="793">
        <f>INPUT!FH555</f>
        <v>28.375685349143868</v>
      </c>
      <c r="DJ91" s="767">
        <f>INPUT!FI555</f>
        <v>2.3518804633873458</v>
      </c>
      <c r="DK91" s="793">
        <f>INPUT!FJ555</f>
        <v>30.695967248600063</v>
      </c>
      <c r="DL91" s="752">
        <f>INPUT!FK555</f>
        <v>8.1770074305049345</v>
      </c>
      <c r="DM91" s="793">
        <f>INPUT!FL555</f>
        <v>25.626300778540045</v>
      </c>
      <c r="DN91" s="752">
        <f>INPUT!FM555</f>
        <v>-16.5157410711377</v>
      </c>
      <c r="DO91" s="793">
        <f>INPUT!FN555</f>
        <v>23.829238946101885</v>
      </c>
      <c r="DP91" s="752">
        <f>INPUT!FO555</f>
        <v>-7.0125682515326364</v>
      </c>
      <c r="DQ91" s="793">
        <f>INPUT!FP555</f>
        <v>26.098206138172415</v>
      </c>
      <c r="DR91" s="752">
        <f>INPUT!FQ555</f>
        <v>9.5217778343764436</v>
      </c>
      <c r="DS91" s="793">
        <f>INPUT!FR555</f>
        <v>23.073929608948664</v>
      </c>
      <c r="DT91" s="752">
        <f>INPUT!FS555</f>
        <v>-11.588062846972102</v>
      </c>
      <c r="DU91" s="793">
        <f>INPUT!FT555</f>
        <v>23.670858746694016</v>
      </c>
      <c r="DV91" s="752">
        <f>INPUT!FU555</f>
        <v>2.587028511666456</v>
      </c>
      <c r="DW91" s="793">
        <f>INPUT!FV555</f>
        <v>23.931321520684548</v>
      </c>
      <c r="DX91" s="752">
        <f>INPUT!FW555</f>
        <v>1.1003520268435985</v>
      </c>
      <c r="DY91" s="793">
        <f>INPUT!FX555</f>
        <v>24.238212526389869</v>
      </c>
      <c r="DZ91" s="752">
        <f>INPUT!FY555</f>
        <v>1.2823821928933832</v>
      </c>
      <c r="EA91" s="793">
        <f>INPUT!FZ555</f>
        <v>23.213857215225875</v>
      </c>
      <c r="EB91" s="752">
        <f>INPUT!GA555</f>
        <v>-4.2261998901474529</v>
      </c>
      <c r="EC91" s="793">
        <f>INPUT!GB555</f>
        <v>23.574516169533482</v>
      </c>
      <c r="ED91" s="752">
        <f>INPUT!GC555</f>
        <v>1.5536364808475422</v>
      </c>
      <c r="EE91" s="793">
        <f>INPUT!GD555</f>
        <v>22.04025806916038</v>
      </c>
      <c r="EF91" s="752">
        <f>INPUT!GE555</f>
        <v>-6.5081212667935873</v>
      </c>
      <c r="EG91" s="793">
        <f>INPUT!GF555</f>
        <v>25.063088055885157</v>
      </c>
      <c r="EH91" s="752">
        <f>INPUT!GG555</f>
        <v>13.715038985657069</v>
      </c>
      <c r="EI91" s="793">
        <f>INPUT!GH555</f>
        <v>23.481603426781319</v>
      </c>
      <c r="EJ91" s="752">
        <f>INPUT!GI555</f>
        <v>-6.3100150531230419</v>
      </c>
      <c r="EK91" s="793">
        <f>INPUT!GJ555</f>
        <v>22.609040333636013</v>
      </c>
      <c r="EL91" s="752">
        <f>INPUT!GK555</f>
        <v>-3.7159434016764248</v>
      </c>
      <c r="EM91" s="793">
        <f>INPUT!GL555</f>
        <v>21.773244948336206</v>
      </c>
      <c r="EN91" s="752">
        <f>INPUT!GM555</f>
        <v>-3.696730922525604</v>
      </c>
      <c r="EO91" s="793">
        <f>INPUT!GN555</f>
        <v>21.007698138341564</v>
      </c>
      <c r="EP91" s="752">
        <f>INPUT!GO555</f>
        <v>-3.5159977844879786</v>
      </c>
      <c r="EQ91" s="793">
        <f>INPUT!GP555</f>
        <v>20.264735601568276</v>
      </c>
      <c r="ER91" s="752">
        <f>INPUT!GQ555</f>
        <v>-3.5366203944890651</v>
      </c>
      <c r="ES91" s="793">
        <f>INPUT!GR555</f>
        <v>19.5848010189018</v>
      </c>
      <c r="ET91" s="752">
        <f>INPUT!GS555</f>
        <v>-3.3552600736318383</v>
      </c>
      <c r="EU91" s="767">
        <f>INPUT!GT555</f>
        <v>-3.5642010490693377</v>
      </c>
      <c r="EV91" s="710"/>
    </row>
    <row r="92" spans="1:152" ht="12.75" customHeight="1" x14ac:dyDescent="0.2">
      <c r="A92" s="754" t="str">
        <f>INPUT!B556</f>
        <v>LTD + Pref Eq to Common Eq (%)</v>
      </c>
      <c r="B92" s="793">
        <f>INPUT!AS556</f>
        <v>87.137637028014609</v>
      </c>
      <c r="C92" s="767">
        <f>INPUT!AT556</f>
        <v>3.7005520378620149</v>
      </c>
      <c r="D92" s="793">
        <f>INPUT!AU556</f>
        <v>73.325795417137783</v>
      </c>
      <c r="E92" s="767">
        <f>INPUT!AV556</f>
        <v>-2.7777189933405722</v>
      </c>
      <c r="F92" s="793">
        <f>INPUT!AW556</f>
        <v>67.460233856525861</v>
      </c>
      <c r="G92" s="767">
        <f>INPUT!AX556</f>
        <v>-14.700046369081543</v>
      </c>
      <c r="H92" s="793">
        <f>INPUT!AY556</f>
        <v>68.912266155360939</v>
      </c>
      <c r="I92" s="752">
        <f>INPUT!AZ556</f>
        <v>-22.206426793374057</v>
      </c>
      <c r="J92" s="793">
        <f>INPUT!BA556</f>
        <v>67.773771114063379</v>
      </c>
      <c r="K92" s="752">
        <f>INPUT!BB556</f>
        <v>-22.222160910475207</v>
      </c>
      <c r="L92" s="793">
        <f>INPUT!BC556</f>
        <v>62.067936404579726</v>
      </c>
      <c r="M92" s="752">
        <f>INPUT!BD556</f>
        <v>-15.353204078474757</v>
      </c>
      <c r="N92" s="793">
        <f>INPUT!BE556</f>
        <v>60.599172498339883</v>
      </c>
      <c r="O92" s="752">
        <f>INPUT!BF556</f>
        <v>-10.170527088266624</v>
      </c>
      <c r="P92" s="793">
        <f>INPUT!BG556</f>
        <v>64.744586375452428</v>
      </c>
      <c r="Q92" s="752">
        <f>INPUT!BH556</f>
        <v>-6.0478054378774626</v>
      </c>
      <c r="R92" s="793">
        <f>INPUT!BI556</f>
        <v>67.689568496020101</v>
      </c>
      <c r="S92" s="752">
        <f>INPUT!BJ556</f>
        <v>-0.12424071533745362</v>
      </c>
      <c r="T92" s="793">
        <f>INPUT!BK556</f>
        <v>63.105567370797075</v>
      </c>
      <c r="U92" s="752">
        <f>INPUT!BL556</f>
        <v>1.6717664970424151</v>
      </c>
      <c r="V92" s="793">
        <f>INPUT!BM556</f>
        <v>71.939904095963414</v>
      </c>
      <c r="W92" s="752">
        <f>INPUT!BN556</f>
        <v>18.714334090839625</v>
      </c>
      <c r="X92" s="793">
        <f>INPUT!BO556</f>
        <v>73.606964785320201</v>
      </c>
      <c r="Y92" s="752">
        <f>INPUT!BP556</f>
        <v>13.688215348963762</v>
      </c>
      <c r="Z92" s="793">
        <f>INPUT!BQ556</f>
        <v>73.432877650795618</v>
      </c>
      <c r="AA92" s="752">
        <f>INPUT!BR556</f>
        <v>8.4847773185512398</v>
      </c>
      <c r="AB92" s="793">
        <f>INPUT!BS556</f>
        <v>60.791078305519896</v>
      </c>
      <c r="AC92" s="752">
        <f>INPUT!BT556</f>
        <v>-3.6676463927146963</v>
      </c>
      <c r="AD92" s="793">
        <f>INPUT!BU556</f>
        <v>62.603421084556587</v>
      </c>
      <c r="AE92" s="752">
        <f>INPUT!BV556</f>
        <v>-12.978169944392103</v>
      </c>
      <c r="AF92" s="793">
        <f>INPUT!BW556</f>
        <v>59.989882471970922</v>
      </c>
      <c r="AG92" s="752">
        <f>INPUT!BX556</f>
        <v>-18.499719901594148</v>
      </c>
      <c r="AH92" s="793">
        <f>INPUT!BY556</f>
        <v>54.753878043780325</v>
      </c>
      <c r="AI92" s="752">
        <f>INPUT!BZ556</f>
        <v>-25.436834568627198</v>
      </c>
      <c r="AJ92" s="793">
        <f>INPUT!CA556</f>
        <v>53.639099608868655</v>
      </c>
      <c r="AK92" s="752">
        <f>INPUT!CB556</f>
        <v>-11.76484921143739</v>
      </c>
      <c r="AL92" s="793">
        <f>INPUT!CC556</f>
        <v>62.165372418507189</v>
      </c>
      <c r="AM92" s="752">
        <f>INPUT!CD556</f>
        <v>-0.69972001283722385</v>
      </c>
      <c r="AN92" s="793">
        <f>INPUT!CE556</f>
        <v>64.676071609565241</v>
      </c>
      <c r="AO92" s="752">
        <f>INPUT!CF556</f>
        <v>7.8116324694982531</v>
      </c>
      <c r="AP92" s="793">
        <f>INPUT!CG556</f>
        <v>61.134448851235589</v>
      </c>
      <c r="AQ92" s="752">
        <f>INPUT!CH556</f>
        <v>11.653185190560311</v>
      </c>
      <c r="AR92" s="793">
        <f>INPUT!CI556</f>
        <v>61.71644735315278</v>
      </c>
      <c r="AS92" s="752">
        <f>INPUT!CJ556</f>
        <v>15.058693757321429</v>
      </c>
      <c r="AT92" s="793">
        <f>INPUT!CK556</f>
        <v>58.301709284257029</v>
      </c>
      <c r="AU92" s="752">
        <f>INPUT!CL556</f>
        <v>-6.215137115626634</v>
      </c>
      <c r="AV92" s="793">
        <f>INPUT!CM556</f>
        <v>66.74296485795071</v>
      </c>
      <c r="AW92" s="752">
        <f>INPUT!CN556</f>
        <v>3.1957618899039364</v>
      </c>
      <c r="AX92" s="793">
        <f>INPUT!CO556</f>
        <v>66.96658883360432</v>
      </c>
      <c r="AY92" s="752">
        <f>INPUT!CP556</f>
        <v>9.5398586099314286</v>
      </c>
      <c r="AZ92" s="793">
        <f>INPUT!CQ556</f>
        <v>66.155093669135113</v>
      </c>
      <c r="BA92" s="752">
        <f>INPUT!CR556</f>
        <v>7.1919990640154419</v>
      </c>
      <c r="BB92" s="793">
        <f>INPUT!CS556</f>
        <v>69.423402857044039</v>
      </c>
      <c r="BC92" s="752">
        <f>INPUT!CT556</f>
        <v>19.076102072002477</v>
      </c>
      <c r="BD92" s="793">
        <f>INPUT!CU556</f>
        <v>69.277570071755335</v>
      </c>
      <c r="BE92" s="752">
        <f>INPUT!CV556</f>
        <v>3.7975616144698243</v>
      </c>
      <c r="BF92" s="793">
        <f>INPUT!CW556</f>
        <v>65.25158335086121</v>
      </c>
      <c r="BG92" s="752">
        <f>INPUT!CX556</f>
        <v>-2.5609867735752245</v>
      </c>
      <c r="BH92" s="793">
        <f>INPUT!CY556</f>
        <v>64.930911867885357</v>
      </c>
      <c r="BI92" s="752">
        <f>INPUT!CZ556</f>
        <v>-1.8504724781621795</v>
      </c>
      <c r="BJ92" s="793">
        <f>INPUT!DA556</f>
        <v>62.320211305782081</v>
      </c>
      <c r="BK92" s="752">
        <f>INPUT!DB556</f>
        <v>-10.231696026034298</v>
      </c>
      <c r="BL92" s="793">
        <f>INPUT!DC556</f>
        <v>60.463662773874702</v>
      </c>
      <c r="BM92" s="752">
        <f>INPUT!DD556</f>
        <v>-12.722598798935191</v>
      </c>
      <c r="BN92" s="793">
        <f>INPUT!DE556</f>
        <v>66.693532137819872</v>
      </c>
      <c r="BO92" s="752">
        <f>INPUT!DF556</f>
        <v>2.2098295748705921</v>
      </c>
      <c r="BP92" s="793">
        <f>INPUT!DG556</f>
        <v>61.029674264634281</v>
      </c>
      <c r="BQ92" s="752">
        <f>INPUT!DH556</f>
        <v>-6.0082901826312041</v>
      </c>
      <c r="BR92" s="793">
        <f>INPUT!DI556</f>
        <v>60.984528832630104</v>
      </c>
      <c r="BS92" s="752">
        <f>INPUT!DJ556</f>
        <v>-2.1432572919213633</v>
      </c>
      <c r="BT92" s="793">
        <f>INPUT!DK556</f>
        <v>63.475281333974834</v>
      </c>
      <c r="BU92" s="752">
        <f>INPUT!DL556</f>
        <v>4.9808735063953113</v>
      </c>
      <c r="BV92" s="793">
        <f>INPUT!DM556</f>
        <v>61.677735701377777</v>
      </c>
      <c r="BW92" s="752">
        <f>INPUT!DN556</f>
        <v>-7.5206639619523008</v>
      </c>
      <c r="BX92" s="793">
        <f>INPUT!DO556</f>
        <v>62.396514672898284</v>
      </c>
      <c r="BY92" s="752">
        <f>INPUT!DP556</f>
        <v>2.239632481630438</v>
      </c>
      <c r="BZ92" s="793">
        <f>INPUT!DQ556</f>
        <v>57.571873069886138</v>
      </c>
      <c r="CA92" s="752">
        <f>INPUT!DR556</f>
        <v>-5.5959369172300715</v>
      </c>
      <c r="CB92" s="793">
        <f>INPUT!DS556</f>
        <v>60.610117845312175</v>
      </c>
      <c r="CC92" s="752">
        <f>INPUT!DT556</f>
        <v>-4.5138255844627384</v>
      </c>
      <c r="CD92" s="793">
        <f>INPUT!DU556</f>
        <v>58.702061589856847</v>
      </c>
      <c r="CE92" s="752">
        <f>INPUT!DV556</f>
        <v>-4.8245514814747921</v>
      </c>
      <c r="CF92" s="793">
        <f>INPUT!DW556</f>
        <v>70.283935786829744</v>
      </c>
      <c r="CG92" s="752">
        <f>INPUT!DX556</f>
        <v>12.640803986055538</v>
      </c>
      <c r="CH92" s="793">
        <f>INPUT!DY556</f>
        <v>64.517369568004085</v>
      </c>
      <c r="CI92" s="752">
        <f>INPUT!DZ556</f>
        <v>12.064044693642062</v>
      </c>
      <c r="CJ92" s="793">
        <f>INPUT!EA556</f>
        <v>66.891168599464763</v>
      </c>
      <c r="CK92" s="752">
        <f>INPUT!EB556</f>
        <v>10.363039996363232</v>
      </c>
      <c r="CL92" s="793">
        <f>INPUT!EC556</f>
        <v>65.569088544412807</v>
      </c>
      <c r="CM92" s="752">
        <f>INPUT!ED556</f>
        <v>11.69810185293818</v>
      </c>
      <c r="CN92" s="793">
        <f>INPUT!EE556</f>
        <v>63.722817336796687</v>
      </c>
      <c r="CO92" s="752">
        <f>INPUT!EF556</f>
        <v>-9.3351608395022758</v>
      </c>
      <c r="CP92" s="793">
        <f>INPUT!EG556</f>
        <v>58.296467201490174</v>
      </c>
      <c r="CQ92" s="752">
        <f>INPUT!EH556</f>
        <v>-9.6422132646880705</v>
      </c>
      <c r="CR92" s="793">
        <f>INPUT!EI556</f>
        <v>61.375053525363199</v>
      </c>
      <c r="CS92" s="752">
        <f>INPUT!EJ556</f>
        <v>-8.2464026112793913</v>
      </c>
      <c r="CT92" s="793">
        <f>INPUT!EK556</f>
        <v>60.671179197241756</v>
      </c>
      <c r="CU92" s="752">
        <f>INPUT!EL556</f>
        <v>-7.4698450991178333</v>
      </c>
      <c r="CV92" s="793">
        <f>INPUT!EM556</f>
        <v>59.887287932582737</v>
      </c>
      <c r="CW92" s="752">
        <f>INPUT!EN556</f>
        <v>-6.0190832177771991</v>
      </c>
      <c r="CX92" s="793">
        <f>INPUT!EO556</f>
        <v>59.158648319889281</v>
      </c>
      <c r="CY92" s="752">
        <f>INPUT!EP556</f>
        <v>1.4789594632195202</v>
      </c>
      <c r="CZ92" s="793">
        <f>INPUT!EQ556</f>
        <v>58.42811726616295</v>
      </c>
      <c r="DA92" s="752">
        <f>INPUT!ER556</f>
        <v>-4.8015212858143252</v>
      </c>
      <c r="DB92" s="753"/>
      <c r="DC92" s="793">
        <f>INPUT!FB556</f>
        <v>75.257159211434526</v>
      </c>
      <c r="DD92" s="767" t="str">
        <f>INPUT!FC556</f>
        <v>NA</v>
      </c>
      <c r="DE92" s="793">
        <f>INPUT!FD556</f>
        <v>64.04898293196166</v>
      </c>
      <c r="DF92" s="767">
        <f>INPUT!FE556</f>
        <v>-14.893169496318038</v>
      </c>
      <c r="DG92" s="793">
        <f>INPUT!FF556</f>
        <v>76.715719983496072</v>
      </c>
      <c r="DH92" s="767">
        <f>INPUT!FG556</f>
        <v>19.776640426890314</v>
      </c>
      <c r="DI92" s="793">
        <f>INPUT!FH556</f>
        <v>82.377043507149665</v>
      </c>
      <c r="DJ92" s="767">
        <f>INPUT!FI556</f>
        <v>7.3796133632996197</v>
      </c>
      <c r="DK92" s="793">
        <f>INPUT!FJ556</f>
        <v>88.58349515881531</v>
      </c>
      <c r="DL92" s="752">
        <f>INPUT!FK556</f>
        <v>7.5342005338258744</v>
      </c>
      <c r="DM92" s="793">
        <f>INPUT!FL556</f>
        <v>68.912266155360939</v>
      </c>
      <c r="DN92" s="752">
        <f>INPUT!FM556</f>
        <v>-22.206426793374057</v>
      </c>
      <c r="DO92" s="793">
        <f>INPUT!FN556</f>
        <v>64.744586375452428</v>
      </c>
      <c r="DP92" s="752">
        <f>INPUT!FO556</f>
        <v>-6.0478054378774626</v>
      </c>
      <c r="DQ92" s="793">
        <f>INPUT!FP556</f>
        <v>73.606964785320201</v>
      </c>
      <c r="DR92" s="752">
        <f>INPUT!FQ556</f>
        <v>13.688215348963762</v>
      </c>
      <c r="DS92" s="793">
        <f>INPUT!FR556</f>
        <v>59.989882471970922</v>
      </c>
      <c r="DT92" s="752">
        <f>INPUT!FS556</f>
        <v>-18.499719901594148</v>
      </c>
      <c r="DU92" s="793">
        <f>INPUT!FT556</f>
        <v>64.676071609565241</v>
      </c>
      <c r="DV92" s="752">
        <f>INPUT!FU556</f>
        <v>7.8116324694982531</v>
      </c>
      <c r="DW92" s="793">
        <f>INPUT!FV556</f>
        <v>66.74296485795071</v>
      </c>
      <c r="DX92" s="752">
        <f>INPUT!FW556</f>
        <v>3.1957618899039364</v>
      </c>
      <c r="DY92" s="793">
        <f>INPUT!FX556</f>
        <v>69.277570071755335</v>
      </c>
      <c r="DZ92" s="752">
        <f>INPUT!FY556</f>
        <v>3.7975616144698243</v>
      </c>
      <c r="EA92" s="793">
        <f>INPUT!FZ556</f>
        <v>60.463662773874702</v>
      </c>
      <c r="EB92" s="752">
        <f>INPUT!GA556</f>
        <v>-12.722598798935191</v>
      </c>
      <c r="EC92" s="793">
        <f>INPUT!GB556</f>
        <v>63.475281333974834</v>
      </c>
      <c r="ED92" s="752">
        <f>INPUT!GC556</f>
        <v>4.9808735063953113</v>
      </c>
      <c r="EE92" s="793">
        <f>INPUT!GD556</f>
        <v>60.610117845312175</v>
      </c>
      <c r="EF92" s="752">
        <f>INPUT!GE556</f>
        <v>-4.5138255844627384</v>
      </c>
      <c r="EG92" s="793">
        <f>INPUT!GF556</f>
        <v>66.891168599464763</v>
      </c>
      <c r="EH92" s="752">
        <f>INPUT!GG556</f>
        <v>10.363039996363232</v>
      </c>
      <c r="EI92" s="793">
        <f>INPUT!GH556</f>
        <v>61.375053525363199</v>
      </c>
      <c r="EJ92" s="752">
        <f>INPUT!GI556</f>
        <v>-8.2464026112793913</v>
      </c>
      <c r="EK92" s="793">
        <f>INPUT!GJ556</f>
        <v>58.42811726616295</v>
      </c>
      <c r="EL92" s="752">
        <f>INPUT!GK556</f>
        <v>-4.8015212858143252</v>
      </c>
      <c r="EM92" s="793">
        <f>INPUT!GL556</f>
        <v>55.667002763840486</v>
      </c>
      <c r="EN92" s="752">
        <f>INPUT!GM556</f>
        <v>-4.7256605749326219</v>
      </c>
      <c r="EO92" s="793">
        <f>INPUT!GN556</f>
        <v>53.189228933049627</v>
      </c>
      <c r="EP92" s="752">
        <f>INPUT!GO556</f>
        <v>-4.4510638399241076</v>
      </c>
      <c r="EQ92" s="793">
        <f>INPUT!GP556</f>
        <v>50.830045537459469</v>
      </c>
      <c r="ER92" s="752">
        <f>INPUT!GQ556</f>
        <v>-4.435453272991996</v>
      </c>
      <c r="ES92" s="793">
        <f>INPUT!GR556</f>
        <v>48.709202407135137</v>
      </c>
      <c r="ET92" s="752">
        <f>INPUT!GS556</f>
        <v>-4.1724202839074076</v>
      </c>
      <c r="EU92" s="767">
        <f>INPUT!GT556</f>
        <v>-4.5174900319437494</v>
      </c>
      <c r="EV92" s="710"/>
    </row>
    <row r="93" spans="1:152" ht="12.75" customHeight="1" x14ac:dyDescent="0.2">
      <c r="A93" s="754" t="str">
        <f>INPUT!B557</f>
        <v>Equity to Assets (Excl SAA)(%)</v>
      </c>
      <c r="B93" s="793">
        <f>INPUT!AS557</f>
        <v>13.028669818038994</v>
      </c>
      <c r="C93" s="767">
        <f>INPUT!AT557</f>
        <v>-6.1952030303619736</v>
      </c>
      <c r="D93" s="793">
        <f>INPUT!AU557</f>
        <v>13.877572909445901</v>
      </c>
      <c r="E93" s="767">
        <f>INPUT!AV557</f>
        <v>-7.4708329735429846</v>
      </c>
      <c r="F93" s="793">
        <f>INPUT!AW557</f>
        <v>14.572248179524324</v>
      </c>
      <c r="G93" s="767">
        <f>INPUT!AX557</f>
        <v>2.8545787163173353</v>
      </c>
      <c r="H93" s="793">
        <f>INPUT!AY557</f>
        <v>14.628276001917889</v>
      </c>
      <c r="I93" s="752">
        <f>INPUT!AZ557</f>
        <v>2.9150140274802006</v>
      </c>
      <c r="J93" s="793">
        <f>INPUT!BA557</f>
        <v>14.108983799705449</v>
      </c>
      <c r="K93" s="752">
        <f>INPUT!BB557</f>
        <v>8.2918210128458014</v>
      </c>
      <c r="L93" s="793">
        <f>INPUT!BC557</f>
        <v>14.168688037457189</v>
      </c>
      <c r="M93" s="752">
        <f>INPUT!BD557</f>
        <v>2.0977380548520719</v>
      </c>
      <c r="N93" s="793">
        <f>INPUT!BE557</f>
        <v>14.909561707474966</v>
      </c>
      <c r="O93" s="752">
        <f>INPUT!BF557</f>
        <v>2.3147665603486356</v>
      </c>
      <c r="P93" s="793">
        <f>INPUT!BG557</f>
        <v>15.345575590306208</v>
      </c>
      <c r="Q93" s="752">
        <f>INPUT!BH557</f>
        <v>4.9035141823566608</v>
      </c>
      <c r="R93" s="793">
        <f>INPUT!BI557</f>
        <v>14.68025322975565</v>
      </c>
      <c r="S93" s="752">
        <f>INPUT!BJ557</f>
        <v>4.0489764405436945</v>
      </c>
      <c r="T93" s="793">
        <f>INPUT!BK557</f>
        <v>14.815108344770264</v>
      </c>
      <c r="U93" s="752">
        <f>INPUT!BL557</f>
        <v>4.5623159011205505</v>
      </c>
      <c r="V93" s="793">
        <f>INPUT!BM557</f>
        <v>13.496363381354062</v>
      </c>
      <c r="W93" s="752">
        <f>INPUT!BN557</f>
        <v>-9.4784699500079288</v>
      </c>
      <c r="X93" s="793">
        <f>INPUT!BO557</f>
        <v>12.952158456891594</v>
      </c>
      <c r="Y93" s="752">
        <f>INPUT!BP557</f>
        <v>-15.59678957188504</v>
      </c>
      <c r="Z93" s="793">
        <f>INPUT!BQ557</f>
        <v>13.064234963396304</v>
      </c>
      <c r="AA93" s="752">
        <f>INPUT!BR557</f>
        <v>-11.008108927465987</v>
      </c>
      <c r="AB93" s="793">
        <f>INPUT!BS557</f>
        <v>14.571926283013056</v>
      </c>
      <c r="AC93" s="752">
        <f>INPUT!BT557</f>
        <v>-1.6414463944372848</v>
      </c>
      <c r="AD93" s="793">
        <f>INPUT!BU557</f>
        <v>15.13776968112067</v>
      </c>
      <c r="AE93" s="752">
        <f>INPUT!BV557</f>
        <v>12.161841330045231</v>
      </c>
      <c r="AF93" s="793">
        <f>INPUT!BW557</f>
        <v>15.603098555353636</v>
      </c>
      <c r="AG93" s="752">
        <f>INPUT!BX557</f>
        <v>20.467168520869429</v>
      </c>
      <c r="AH93" s="793">
        <f>INPUT!BY557</f>
        <v>15.964812754103846</v>
      </c>
      <c r="AI93" s="752">
        <f>INPUT!BZ557</f>
        <v>22.202431285371492</v>
      </c>
      <c r="AJ93" s="793">
        <f>INPUT!CA557</f>
        <v>15.621335324217059</v>
      </c>
      <c r="AK93" s="752">
        <f>INPUT!CB557</f>
        <v>7.2015807712898727</v>
      </c>
      <c r="AL93" s="793">
        <f>INPUT!CC557</f>
        <v>15.111582990007571</v>
      </c>
      <c r="AM93" s="752">
        <f>INPUT!CD557</f>
        <v>-0.17298909723642009</v>
      </c>
      <c r="AN93" s="793">
        <f>INPUT!CE557</f>
        <v>14.990274315536183</v>
      </c>
      <c r="AO93" s="752">
        <f>INPUT!CF557</f>
        <v>-3.9275803946465793</v>
      </c>
      <c r="AP93" s="793">
        <f>INPUT!CG557</f>
        <v>14.920653818141073</v>
      </c>
      <c r="AQ93" s="752">
        <f>INPUT!CH557</f>
        <v>-6.5403769655511095</v>
      </c>
      <c r="AR93" s="793">
        <f>INPUT!CI557</f>
        <v>14.854229365103988</v>
      </c>
      <c r="AS93" s="752">
        <f>INPUT!CJ557</f>
        <v>-4.9106298737718106</v>
      </c>
      <c r="AT93" s="793">
        <f>INPUT!CK557</f>
        <v>15.75609292998606</v>
      </c>
      <c r="AU93" s="752">
        <f>INPUT!CL557</f>
        <v>4.265006124141113</v>
      </c>
      <c r="AV93" s="793">
        <f>INPUT!CM557</f>
        <v>13.717861748428351</v>
      </c>
      <c r="AW93" s="752">
        <f>INPUT!CN557</f>
        <v>-8.4882540527566057</v>
      </c>
      <c r="AX93" s="793">
        <f>INPUT!CO557</f>
        <v>13.731161388442182</v>
      </c>
      <c r="AY93" s="752">
        <f>INPUT!CP557</f>
        <v>-7.972120016970452</v>
      </c>
      <c r="AZ93" s="793">
        <f>INPUT!CQ557</f>
        <v>13.820170834246614</v>
      </c>
      <c r="BA93" s="752">
        <f>INPUT!CR557</f>
        <v>-6.9613744708063807</v>
      </c>
      <c r="BB93" s="793">
        <f>INPUT!CS557</f>
        <v>13.962259898647126</v>
      </c>
      <c r="BC93" s="752">
        <f>INPUT!CT557</f>
        <v>-11.385011749486562</v>
      </c>
      <c r="BD93" s="793">
        <f>INPUT!CU557</f>
        <v>13.838592071161271</v>
      </c>
      <c r="BE93" s="752">
        <f>INPUT!CV557</f>
        <v>0.88009578276111444</v>
      </c>
      <c r="BF93" s="793">
        <f>INPUT!CW557</f>
        <v>13.889961922631199</v>
      </c>
      <c r="BG93" s="752">
        <f>INPUT!CX557</f>
        <v>1.1564974709472375</v>
      </c>
      <c r="BH93" s="793">
        <f>INPUT!CY557</f>
        <v>14.116786993272267</v>
      </c>
      <c r="BI93" s="752">
        <f>INPUT!CZ557</f>
        <v>2.1462553725503319</v>
      </c>
      <c r="BJ93" s="793">
        <f>INPUT!DA557</f>
        <v>14.55027875769059</v>
      </c>
      <c r="BK93" s="752">
        <f>INPUT!DB557</f>
        <v>4.2114877055142053</v>
      </c>
      <c r="BL93" s="793">
        <f>INPUT!DC557</f>
        <v>14.551631098408228</v>
      </c>
      <c r="BM93" s="752">
        <f>INPUT!DD557</f>
        <v>5.152540255398419</v>
      </c>
      <c r="BN93" s="793">
        <f>INPUT!DE557</f>
        <v>14.626071979383942</v>
      </c>
      <c r="BO93" s="752">
        <f>INPUT!DF557</f>
        <v>5.2995829711626863</v>
      </c>
      <c r="BP93" s="793">
        <f>INPUT!DG557</f>
        <v>14.85693070023032</v>
      </c>
      <c r="BQ93" s="752">
        <f>INPUT!DH557</f>
        <v>5.2430040016243629</v>
      </c>
      <c r="BR93" s="793">
        <f>INPUT!DI557</f>
        <v>14.917544374973774</v>
      </c>
      <c r="BS93" s="752">
        <f>INPUT!DJ557</f>
        <v>2.5241139595972628</v>
      </c>
      <c r="BT93" s="793">
        <f>INPUT!DK557</f>
        <v>13.645913063529019</v>
      </c>
      <c r="BU93" s="752">
        <f>INPUT!DL557</f>
        <v>-6.2241684712463829</v>
      </c>
      <c r="BV93" s="793">
        <f>INPUT!DM557</f>
        <v>13.787144228709264</v>
      </c>
      <c r="BW93" s="752">
        <f>INPUT!DN557</f>
        <v>-5.7358377003557841</v>
      </c>
      <c r="BX93" s="793">
        <f>INPUT!DO557</f>
        <v>13.800261883617365</v>
      </c>
      <c r="BY93" s="752">
        <f>INPUT!DP557</f>
        <v>-7.1122955200738307</v>
      </c>
      <c r="BZ93" s="793">
        <f>INPUT!DQ557</f>
        <v>13.952146046260555</v>
      </c>
      <c r="CA93" s="752">
        <f>INPUT!DR557</f>
        <v>-6.4715633112699678</v>
      </c>
      <c r="CB93" s="793">
        <f>INPUT!DS557</f>
        <v>14.299295094710818</v>
      </c>
      <c r="CC93" s="752">
        <f>INPUT!DT557</f>
        <v>4.7881151531594668</v>
      </c>
      <c r="CD93" s="793">
        <f>INPUT!DU557</f>
        <v>14.395033557696808</v>
      </c>
      <c r="CE93" s="752">
        <f>INPUT!DV557</f>
        <v>4.4091025589021005</v>
      </c>
      <c r="CF93" s="793">
        <f>INPUT!DW557</f>
        <v>14.340728954428211</v>
      </c>
      <c r="CG93" s="752">
        <f>INPUT!DX557</f>
        <v>3.9163537284205407</v>
      </c>
      <c r="CH93" s="793">
        <f>INPUT!DY557</f>
        <v>14.64859612143632</v>
      </c>
      <c r="CI93" s="752">
        <f>INPUT!DZ557</f>
        <v>4.9917057409417431</v>
      </c>
      <c r="CJ93" s="793">
        <f>INPUT!EA557</f>
        <v>14.478176989578879</v>
      </c>
      <c r="CK93" s="752">
        <f>INPUT!EB557</f>
        <v>1.2509840078356538</v>
      </c>
      <c r="CL93" s="793">
        <f>INPUT!EC557</f>
        <v>14.560133835108363</v>
      </c>
      <c r="CM93" s="752">
        <f>INPUT!ED557</f>
        <v>1.1469252693980581</v>
      </c>
      <c r="CN93" s="793">
        <f>INPUT!EE557</f>
        <v>14.699218700695472</v>
      </c>
      <c r="CO93" s="752">
        <f>INPUT!EF557</f>
        <v>2.4998014215767084</v>
      </c>
      <c r="CP93" s="793">
        <f>INPUT!EG557</f>
        <v>14.808394861274152</v>
      </c>
      <c r="CQ93" s="752">
        <f>INPUT!EH557</f>
        <v>1.0908809179603685</v>
      </c>
      <c r="CR93" s="793">
        <f>INPUT!EI557</f>
        <v>14.95771959177106</v>
      </c>
      <c r="CS93" s="752">
        <f>INPUT!EJ557</f>
        <v>3.3121753003665155</v>
      </c>
      <c r="CT93" s="793">
        <f>INPUT!EK557</f>
        <v>14.947840985550767</v>
      </c>
      <c r="CU93" s="752">
        <f>INPUT!EL557</f>
        <v>2.6627993590796484</v>
      </c>
      <c r="CV93" s="793">
        <f>INPUT!EM557</f>
        <v>14.959941422550576</v>
      </c>
      <c r="CW93" s="752">
        <f>INPUT!EN557</f>
        <v>1.7737182306347243</v>
      </c>
      <c r="CX93" s="793">
        <f>INPUT!EO557</f>
        <v>14.96063165571865</v>
      </c>
      <c r="CY93" s="752">
        <f>INPUT!EP557</f>
        <v>1.0280438620840382</v>
      </c>
      <c r="CZ93" s="793">
        <f>INPUT!EQ557</f>
        <v>14.964076318809907</v>
      </c>
      <c r="DA93" s="752">
        <f>INPUT!ER557</f>
        <v>4.2497969024268833E-2</v>
      </c>
      <c r="DB93" s="753"/>
      <c r="DC93" s="793">
        <f>INPUT!FB557</f>
        <v>14.023585518161319</v>
      </c>
      <c r="DD93" s="767" t="str">
        <f>INPUT!FC557</f>
        <v>NA</v>
      </c>
      <c r="DE93" s="793">
        <f>INPUT!FD557</f>
        <v>15.138583788495191</v>
      </c>
      <c r="DF93" s="767">
        <f>INPUT!FE557</f>
        <v>7.9508786742868764</v>
      </c>
      <c r="DG93" s="793">
        <f>INPUT!FF557</f>
        <v>14.6435382945343</v>
      </c>
      <c r="DH93" s="767">
        <f>INPUT!FG557</f>
        <v>-3.2700911847322822</v>
      </c>
      <c r="DI93" s="793">
        <f>INPUT!FH557</f>
        <v>14.229380585358356</v>
      </c>
      <c r="DJ93" s="767">
        <f>INPUT!FI557</f>
        <v>-2.8282625472460299</v>
      </c>
      <c r="DK93" s="793">
        <f>INPUT!FJ557</f>
        <v>14.213937723422815</v>
      </c>
      <c r="DL93" s="752">
        <f>INPUT!FK557</f>
        <v>-0.10852799841077898</v>
      </c>
      <c r="DM93" s="793">
        <f>INPUT!FL557</f>
        <v>14.628276001917889</v>
      </c>
      <c r="DN93" s="752">
        <f>INPUT!FM557</f>
        <v>2.9150140274802006</v>
      </c>
      <c r="DO93" s="793">
        <f>INPUT!FN557</f>
        <v>15.345575590306208</v>
      </c>
      <c r="DP93" s="752">
        <f>INPUT!FO557</f>
        <v>4.9035141823566608</v>
      </c>
      <c r="DQ93" s="793">
        <f>INPUT!FP557</f>
        <v>12.952158456891594</v>
      </c>
      <c r="DR93" s="752">
        <f>INPUT!FQ557</f>
        <v>-15.59678957188504</v>
      </c>
      <c r="DS93" s="793">
        <f>INPUT!FR557</f>
        <v>15.603098555353636</v>
      </c>
      <c r="DT93" s="752">
        <f>INPUT!FS557</f>
        <v>20.467168520869429</v>
      </c>
      <c r="DU93" s="793">
        <f>INPUT!FT557</f>
        <v>14.990274315536183</v>
      </c>
      <c r="DV93" s="752">
        <f>INPUT!FU557</f>
        <v>-3.9275803946465793</v>
      </c>
      <c r="DW93" s="793">
        <f>INPUT!FV557</f>
        <v>13.717861748428351</v>
      </c>
      <c r="DX93" s="752">
        <f>INPUT!FW557</f>
        <v>-8.4882540527566057</v>
      </c>
      <c r="DY93" s="793">
        <f>INPUT!FX557</f>
        <v>13.838592071161271</v>
      </c>
      <c r="DZ93" s="752">
        <f>INPUT!FY557</f>
        <v>0.88009578276111444</v>
      </c>
      <c r="EA93" s="793">
        <f>INPUT!FZ557</f>
        <v>14.551631098408228</v>
      </c>
      <c r="EB93" s="752">
        <f>INPUT!GA557</f>
        <v>5.152540255398419</v>
      </c>
      <c r="EC93" s="793">
        <f>INPUT!GB557</f>
        <v>13.645913063529019</v>
      </c>
      <c r="ED93" s="752">
        <f>INPUT!GC557</f>
        <v>-6.2241684712463829</v>
      </c>
      <c r="EE93" s="793">
        <f>INPUT!GD557</f>
        <v>14.299295094710818</v>
      </c>
      <c r="EF93" s="752">
        <f>INPUT!GE557</f>
        <v>4.7881151531594668</v>
      </c>
      <c r="EG93" s="793">
        <f>INPUT!GF557</f>
        <v>14.478176989578879</v>
      </c>
      <c r="EH93" s="752">
        <f>INPUT!GG557</f>
        <v>1.2509840078356538</v>
      </c>
      <c r="EI93" s="793">
        <f>INPUT!GH557</f>
        <v>14.95771959177106</v>
      </c>
      <c r="EJ93" s="752">
        <f>INPUT!GI557</f>
        <v>3.3121753003665155</v>
      </c>
      <c r="EK93" s="793">
        <f>INPUT!GJ557</f>
        <v>14.964076318809907</v>
      </c>
      <c r="EL93" s="752">
        <f>INPUT!GK557</f>
        <v>4.2497969024268833E-2</v>
      </c>
      <c r="EM93" s="793">
        <f>INPUT!GL557</f>
        <v>14.958383697026989</v>
      </c>
      <c r="EN93" s="752">
        <f>INPUT!GM557</f>
        <v>-3.8041918937303798E-2</v>
      </c>
      <c r="EO93" s="793">
        <f>INPUT!GN557</f>
        <v>14.909720907397029</v>
      </c>
      <c r="EP93" s="752">
        <f>INPUT!GO557</f>
        <v>-0.32532117517236614</v>
      </c>
      <c r="EQ93" s="793">
        <f>INPUT!GP557</f>
        <v>14.858788833147804</v>
      </c>
      <c r="ER93" s="752">
        <f>INPUT!GQ557</f>
        <v>-0.34160313640717588</v>
      </c>
      <c r="ES93" s="793">
        <f>INPUT!GR557</f>
        <v>14.767384819763226</v>
      </c>
      <c r="ET93" s="752">
        <f>INPUT!GS557</f>
        <v>-0.6151511701994794</v>
      </c>
      <c r="EU93" s="767">
        <f>INPUT!GT557</f>
        <v>-0.25580239922422532</v>
      </c>
      <c r="EV93" s="710"/>
    </row>
    <row r="94" spans="1:152" ht="12.75" customHeight="1" x14ac:dyDescent="0.2">
      <c r="A94" s="754" t="str">
        <f>INPUT!B558</f>
        <v>Equity to Total Assets (%)</v>
      </c>
      <c r="B94" s="793">
        <f>INPUT!AS558</f>
        <v>13.013336292110564</v>
      </c>
      <c r="C94" s="767">
        <f>INPUT!AT558</f>
        <v>-6.1945193483767262</v>
      </c>
      <c r="D94" s="793">
        <f>INPUT!AU558</f>
        <v>13.862374235891901</v>
      </c>
      <c r="E94" s="767">
        <f>INPUT!AV558</f>
        <v>-7.4669841701032968</v>
      </c>
      <c r="F94" s="793">
        <f>INPUT!AW558</f>
        <v>14.556606576387491</v>
      </c>
      <c r="G94" s="767">
        <f>INPUT!AX558</f>
        <v>2.8676652668435221</v>
      </c>
      <c r="H94" s="793">
        <f>INPUT!AY558</f>
        <v>14.612491078747446</v>
      </c>
      <c r="I94" s="752">
        <f>INPUT!AZ558</f>
        <v>2.9214346043778816</v>
      </c>
      <c r="J94" s="793">
        <f>INPUT!BA558</f>
        <v>14.097712748065927</v>
      </c>
      <c r="K94" s="752">
        <f>INPUT!BB558</f>
        <v>8.3328089862149781</v>
      </c>
      <c r="L94" s="793">
        <f>INPUT!BC558</f>
        <v>14.156769961130147</v>
      </c>
      <c r="M94" s="752">
        <f>INPUT!BD558</f>
        <v>2.1237034885121631</v>
      </c>
      <c r="N94" s="793">
        <f>INPUT!BE558</f>
        <v>14.896911727218425</v>
      </c>
      <c r="O94" s="752">
        <f>INPUT!BF558</f>
        <v>2.3378055115053309</v>
      </c>
      <c r="P94" s="793">
        <f>INPUT!BG558</f>
        <v>15.333751647349841</v>
      </c>
      <c r="Q94" s="752">
        <f>INPUT!BH558</f>
        <v>4.935917939764578</v>
      </c>
      <c r="R94" s="793">
        <f>INPUT!BI558</f>
        <v>14.669708772172415</v>
      </c>
      <c r="S94" s="752">
        <f>INPUT!BJ558</f>
        <v>4.0573675625853678</v>
      </c>
      <c r="T94" s="793">
        <f>INPUT!BK558</f>
        <v>14.805149146766908</v>
      </c>
      <c r="U94" s="752">
        <f>INPUT!BL558</f>
        <v>4.5799937939021262</v>
      </c>
      <c r="V94" s="793">
        <f>INPUT!BM558</f>
        <v>13.488579793262817</v>
      </c>
      <c r="W94" s="752">
        <f>INPUT!BN558</f>
        <v>-9.4538516421656666</v>
      </c>
      <c r="X94" s="793">
        <f>INPUT!BO558</f>
        <v>12.946654417270029</v>
      </c>
      <c r="Y94" s="752">
        <f>INPUT!BP558</f>
        <v>-15.567600708417483</v>
      </c>
      <c r="Z94" s="793">
        <f>INPUT!BQ558</f>
        <v>13.05950650169278</v>
      </c>
      <c r="AA94" s="752">
        <f>INPUT!BR558</f>
        <v>-10.976375165225461</v>
      </c>
      <c r="AB94" s="793">
        <f>INPUT!BS558</f>
        <v>14.566476690598714</v>
      </c>
      <c r="AC94" s="752">
        <f>INPUT!BT558</f>
        <v>-1.6120908597554662</v>
      </c>
      <c r="AD94" s="793">
        <f>INPUT!BU558</f>
        <v>15.131656239903663</v>
      </c>
      <c r="AE94" s="752">
        <f>INPUT!BV558</f>
        <v>12.18124125611444</v>
      </c>
      <c r="AF94" s="793">
        <f>INPUT!BW558</f>
        <v>15.603098555353636</v>
      </c>
      <c r="AG94" s="752">
        <f>INPUT!BX558</f>
        <v>20.518382992752748</v>
      </c>
      <c r="AH94" s="793">
        <f>INPUT!BY558</f>
        <v>15.964812754103846</v>
      </c>
      <c r="AI94" s="752">
        <f>INPUT!BZ558</f>
        <v>22.246677177537123</v>
      </c>
      <c r="AJ94" s="793">
        <f>INPUT!CA558</f>
        <v>15.621335324217059</v>
      </c>
      <c r="AK94" s="752">
        <f>INPUT!CB558</f>
        <v>7.24168689535718</v>
      </c>
      <c r="AL94" s="793">
        <f>INPUT!CC558</f>
        <v>15.111582990007571</v>
      </c>
      <c r="AM94" s="752">
        <f>INPUT!CD558</f>
        <v>-0.13265732169592814</v>
      </c>
      <c r="AN94" s="793">
        <f>INPUT!CE558</f>
        <v>14.990274315536183</v>
      </c>
      <c r="AO94" s="752">
        <f>INPUT!CF558</f>
        <v>-3.9275803946465793</v>
      </c>
      <c r="AP94" s="793">
        <f>INPUT!CG558</f>
        <v>14.920653818141073</v>
      </c>
      <c r="AQ94" s="752">
        <f>INPUT!CH558</f>
        <v>-6.5403769655511095</v>
      </c>
      <c r="AR94" s="793">
        <f>INPUT!CI558</f>
        <v>14.854229365103988</v>
      </c>
      <c r="AS94" s="752">
        <f>INPUT!CJ558</f>
        <v>-4.9106298737718106</v>
      </c>
      <c r="AT94" s="793">
        <f>INPUT!CK558</f>
        <v>15.75609292998606</v>
      </c>
      <c r="AU94" s="752">
        <f>INPUT!CL558</f>
        <v>4.265006124141113</v>
      </c>
      <c r="AV94" s="793">
        <f>INPUT!CM558</f>
        <v>13.717861748428351</v>
      </c>
      <c r="AW94" s="752">
        <f>INPUT!CN558</f>
        <v>-8.4882540527566057</v>
      </c>
      <c r="AX94" s="793">
        <f>INPUT!CO558</f>
        <v>13.731161388442182</v>
      </c>
      <c r="AY94" s="752">
        <f>INPUT!CP558</f>
        <v>-7.972120016970452</v>
      </c>
      <c r="AZ94" s="793">
        <f>INPUT!CQ558</f>
        <v>13.820170834246614</v>
      </c>
      <c r="BA94" s="752">
        <f>INPUT!CR558</f>
        <v>-6.9613744708063807</v>
      </c>
      <c r="BB94" s="793">
        <f>INPUT!CS558</f>
        <v>13.962259898647126</v>
      </c>
      <c r="BC94" s="752">
        <f>INPUT!CT558</f>
        <v>-11.385011749486562</v>
      </c>
      <c r="BD94" s="793">
        <f>INPUT!CU558</f>
        <v>13.838592071161271</v>
      </c>
      <c r="BE94" s="752">
        <f>INPUT!CV558</f>
        <v>0.88009578276111444</v>
      </c>
      <c r="BF94" s="793">
        <f>INPUT!CW558</f>
        <v>13.889961922631199</v>
      </c>
      <c r="BG94" s="752">
        <f>INPUT!CX558</f>
        <v>1.1564974709472375</v>
      </c>
      <c r="BH94" s="793">
        <f>INPUT!CY558</f>
        <v>14.116786993272267</v>
      </c>
      <c r="BI94" s="752">
        <f>INPUT!CZ558</f>
        <v>2.1462553725503319</v>
      </c>
      <c r="BJ94" s="793">
        <f>INPUT!DA558</f>
        <v>14.55027875769059</v>
      </c>
      <c r="BK94" s="752">
        <f>INPUT!DB558</f>
        <v>4.2114877055142053</v>
      </c>
      <c r="BL94" s="793">
        <f>INPUT!DC558</f>
        <v>14.551631098408228</v>
      </c>
      <c r="BM94" s="752">
        <f>INPUT!DD558</f>
        <v>5.152540255398419</v>
      </c>
      <c r="BN94" s="793">
        <f>INPUT!DE558</f>
        <v>14.626071979383942</v>
      </c>
      <c r="BO94" s="752">
        <f>INPUT!DF558</f>
        <v>5.2995829711626863</v>
      </c>
      <c r="BP94" s="793">
        <f>INPUT!DG558</f>
        <v>14.85693070023032</v>
      </c>
      <c r="BQ94" s="752">
        <f>INPUT!DH558</f>
        <v>5.2430040016243629</v>
      </c>
      <c r="BR94" s="793">
        <f>INPUT!DI558</f>
        <v>14.917544374973774</v>
      </c>
      <c r="BS94" s="752">
        <f>INPUT!DJ558</f>
        <v>2.5241139595972628</v>
      </c>
      <c r="BT94" s="793">
        <f>INPUT!DK558</f>
        <v>13.645913063529019</v>
      </c>
      <c r="BU94" s="752">
        <f>INPUT!DL558</f>
        <v>-6.2241684712463829</v>
      </c>
      <c r="BV94" s="793">
        <f>INPUT!DM558</f>
        <v>13.787144228709264</v>
      </c>
      <c r="BW94" s="752">
        <f>INPUT!DN558</f>
        <v>-5.7358377003557841</v>
      </c>
      <c r="BX94" s="793">
        <f>INPUT!DO558</f>
        <v>13.800261883617365</v>
      </c>
      <c r="BY94" s="752">
        <f>INPUT!DP558</f>
        <v>-7.1122955200738307</v>
      </c>
      <c r="BZ94" s="793">
        <f>INPUT!DQ558</f>
        <v>13.952146046260555</v>
      </c>
      <c r="CA94" s="752">
        <f>INPUT!DR558</f>
        <v>-6.4715633112699678</v>
      </c>
      <c r="CB94" s="793">
        <f>INPUT!DS558</f>
        <v>14.299295094710818</v>
      </c>
      <c r="CC94" s="752">
        <f>INPUT!DT558</f>
        <v>4.7881151531594668</v>
      </c>
      <c r="CD94" s="793">
        <f>INPUT!DU558</f>
        <v>14.395033557696808</v>
      </c>
      <c r="CE94" s="752">
        <f>INPUT!DV558</f>
        <v>4.4091025589021005</v>
      </c>
      <c r="CF94" s="793">
        <f>INPUT!DW558</f>
        <v>14.340728954428211</v>
      </c>
      <c r="CG94" s="752">
        <f>INPUT!DX558</f>
        <v>3.9163537284205407</v>
      </c>
      <c r="CH94" s="793">
        <f>INPUT!DY558</f>
        <v>14.64859612143632</v>
      </c>
      <c r="CI94" s="752">
        <f>INPUT!DZ558</f>
        <v>4.9917057409417431</v>
      </c>
      <c r="CJ94" s="793">
        <f>INPUT!EA558</f>
        <v>14.478176989578879</v>
      </c>
      <c r="CK94" s="752">
        <f>INPUT!EB558</f>
        <v>1.2509840078356538</v>
      </c>
      <c r="CL94" s="793">
        <f>INPUT!EC558</f>
        <v>14.560133835108363</v>
      </c>
      <c r="CM94" s="752">
        <f>INPUT!ED558</f>
        <v>1.1469252693980581</v>
      </c>
      <c r="CN94" s="793">
        <f>INPUT!EE558</f>
        <v>14.699218700695472</v>
      </c>
      <c r="CO94" s="752">
        <f>INPUT!EF558</f>
        <v>2.4998014215767084</v>
      </c>
      <c r="CP94" s="793">
        <f>INPUT!EG558</f>
        <v>14.808394861274152</v>
      </c>
      <c r="CQ94" s="752">
        <f>INPUT!EH558</f>
        <v>1.0908809179603685</v>
      </c>
      <c r="CR94" s="793">
        <f>INPUT!EI558</f>
        <v>14.95771959177106</v>
      </c>
      <c r="CS94" s="752">
        <f>INPUT!EJ558</f>
        <v>3.3121753003665155</v>
      </c>
      <c r="CT94" s="793">
        <f>INPUT!EK558</f>
        <v>14.947840985550767</v>
      </c>
      <c r="CU94" s="752">
        <f>INPUT!EL558</f>
        <v>2.6627993590796484</v>
      </c>
      <c r="CV94" s="793">
        <f>INPUT!EM558</f>
        <v>14.959941422550576</v>
      </c>
      <c r="CW94" s="752">
        <f>INPUT!EN558</f>
        <v>1.7737182306347243</v>
      </c>
      <c r="CX94" s="793">
        <f>INPUT!EO558</f>
        <v>14.96063165571865</v>
      </c>
      <c r="CY94" s="752">
        <f>INPUT!EP558</f>
        <v>1.0280438620840382</v>
      </c>
      <c r="CZ94" s="793">
        <f>INPUT!EQ558</f>
        <v>14.964076318809907</v>
      </c>
      <c r="DA94" s="752">
        <f>INPUT!ER558</f>
        <v>4.2497969024268833E-2</v>
      </c>
      <c r="DB94" s="753"/>
      <c r="DC94" s="793">
        <f>INPUT!FB558</f>
        <v>13.995103987258114</v>
      </c>
      <c r="DD94" s="767" t="str">
        <f>INPUT!FC558</f>
        <v>NA</v>
      </c>
      <c r="DE94" s="793">
        <f>INPUT!FD558</f>
        <v>15.119919574895876</v>
      </c>
      <c r="DF94" s="767">
        <f>INPUT!FE558</f>
        <v>8.0372077882511874</v>
      </c>
      <c r="DG94" s="793">
        <f>INPUT!FF558</f>
        <v>14.624393834865632</v>
      </c>
      <c r="DH94" s="767">
        <f>INPUT!FG558</f>
        <v>-3.2773040727874125</v>
      </c>
      <c r="DI94" s="793">
        <f>INPUT!FH558</f>
        <v>14.211633154510025</v>
      </c>
      <c r="DJ94" s="767">
        <f>INPUT!FI558</f>
        <v>-2.8224122313470157</v>
      </c>
      <c r="DK94" s="793">
        <f>INPUT!FJ558</f>
        <v>14.197714144693713</v>
      </c>
      <c r="DL94" s="752">
        <f>INPUT!FK558</f>
        <v>-9.7940959107123415E-2</v>
      </c>
      <c r="DM94" s="793">
        <f>INPUT!FL558</f>
        <v>14.612491078747446</v>
      </c>
      <c r="DN94" s="752">
        <f>INPUT!FM558</f>
        <v>2.9214346043778816</v>
      </c>
      <c r="DO94" s="793">
        <f>INPUT!FN558</f>
        <v>15.333751647349841</v>
      </c>
      <c r="DP94" s="752">
        <f>INPUT!FO558</f>
        <v>4.935917939764578</v>
      </c>
      <c r="DQ94" s="793">
        <f>INPUT!FP558</f>
        <v>12.946654417270029</v>
      </c>
      <c r="DR94" s="752">
        <f>INPUT!FQ558</f>
        <v>-15.567600708417483</v>
      </c>
      <c r="DS94" s="793">
        <f>INPUT!FR558</f>
        <v>15.603098555353636</v>
      </c>
      <c r="DT94" s="752">
        <f>INPUT!FS558</f>
        <v>20.518382992752748</v>
      </c>
      <c r="DU94" s="793">
        <f>INPUT!FT558</f>
        <v>14.990274315536183</v>
      </c>
      <c r="DV94" s="752">
        <f>INPUT!FU558</f>
        <v>-3.9275803946465793</v>
      </c>
      <c r="DW94" s="793">
        <f>INPUT!FV558</f>
        <v>13.717861748428351</v>
      </c>
      <c r="DX94" s="752">
        <f>INPUT!FW558</f>
        <v>-8.4882540527566057</v>
      </c>
      <c r="DY94" s="793">
        <f>INPUT!FX558</f>
        <v>13.838592071161271</v>
      </c>
      <c r="DZ94" s="752">
        <f>INPUT!FY558</f>
        <v>0.88009578276111444</v>
      </c>
      <c r="EA94" s="793">
        <f>INPUT!FZ558</f>
        <v>14.551631098408228</v>
      </c>
      <c r="EB94" s="752">
        <f>INPUT!GA558</f>
        <v>5.152540255398419</v>
      </c>
      <c r="EC94" s="793">
        <f>INPUT!GB558</f>
        <v>13.645913063529019</v>
      </c>
      <c r="ED94" s="752">
        <f>INPUT!GC558</f>
        <v>-6.2241684712463829</v>
      </c>
      <c r="EE94" s="793">
        <f>INPUT!GD558</f>
        <v>14.299295094710818</v>
      </c>
      <c r="EF94" s="752">
        <f>INPUT!GE558</f>
        <v>4.7881151531594668</v>
      </c>
      <c r="EG94" s="793">
        <f>INPUT!GF558</f>
        <v>14.478176989578879</v>
      </c>
      <c r="EH94" s="752">
        <f>INPUT!GG558</f>
        <v>1.2509840078356538</v>
      </c>
      <c r="EI94" s="793">
        <f>INPUT!GH558</f>
        <v>14.95771959177106</v>
      </c>
      <c r="EJ94" s="752">
        <f>INPUT!GI558</f>
        <v>3.3121753003665155</v>
      </c>
      <c r="EK94" s="793">
        <f>INPUT!GJ558</f>
        <v>14.964076318809907</v>
      </c>
      <c r="EL94" s="752">
        <f>INPUT!GK558</f>
        <v>4.2497969024268833E-2</v>
      </c>
      <c r="EM94" s="793">
        <f>INPUT!GL558</f>
        <v>14.958383697026989</v>
      </c>
      <c r="EN94" s="752">
        <f>INPUT!GM558</f>
        <v>-3.8041918937303798E-2</v>
      </c>
      <c r="EO94" s="793">
        <f>INPUT!GN558</f>
        <v>14.909720907397029</v>
      </c>
      <c r="EP94" s="752">
        <f>INPUT!GO558</f>
        <v>-0.32532117517236614</v>
      </c>
      <c r="EQ94" s="793">
        <f>INPUT!GP558</f>
        <v>14.858788833147804</v>
      </c>
      <c r="ER94" s="752">
        <f>INPUT!GQ558</f>
        <v>-0.34160313640717588</v>
      </c>
      <c r="ES94" s="793">
        <f>INPUT!GR558</f>
        <v>14.767384819763226</v>
      </c>
      <c r="ET94" s="752">
        <f>INPUT!GS558</f>
        <v>-0.6151511701994794</v>
      </c>
      <c r="EU94" s="767">
        <f>INPUT!GT558</f>
        <v>-0.25580239922422532</v>
      </c>
      <c r="EV94" s="710"/>
    </row>
    <row r="95" spans="1:152" ht="12.75" customHeight="1" x14ac:dyDescent="0.2">
      <c r="A95" s="754" t="str">
        <f>INPUT!B559</f>
        <v>Oper Return on Avg Assets (%)</v>
      </c>
      <c r="B95" s="768">
        <f>INPUT!AS559</f>
        <v>1.040472707623064</v>
      </c>
      <c r="C95" s="767">
        <f>INPUT!AT559</f>
        <v>-14.303535592953509</v>
      </c>
      <c r="D95" s="768">
        <f>INPUT!AU559</f>
        <v>1.1132391953462344</v>
      </c>
      <c r="E95" s="767">
        <f>INPUT!AV559</f>
        <v>11.655858572086085</v>
      </c>
      <c r="F95" s="768">
        <f>INPUT!AW559</f>
        <v>1.2277865411500455</v>
      </c>
      <c r="G95" s="767">
        <f>INPUT!AX559</f>
        <v>17.143344610041144</v>
      </c>
      <c r="H95" s="768">
        <f>INPUT!AY559</f>
        <v>1.3699726081672625</v>
      </c>
      <c r="I95" s="752">
        <f>INPUT!AZ559</f>
        <v>32.338660226894199</v>
      </c>
      <c r="J95" s="793">
        <f>INPUT!BA559</f>
        <v>1.3284120207592907</v>
      </c>
      <c r="K95" s="752">
        <f>INPUT!BB559</f>
        <v>27.673893897132331</v>
      </c>
      <c r="L95" s="793">
        <f>INPUT!BC559</f>
        <v>1.3908578872753745</v>
      </c>
      <c r="M95" s="752">
        <f>INPUT!BD559</f>
        <v>24.937919280033661</v>
      </c>
      <c r="N95" s="793">
        <f>INPUT!BE559</f>
        <v>1.6582917454304267</v>
      </c>
      <c r="O95" s="752">
        <f>INPUT!BF559</f>
        <v>35.063522025346103</v>
      </c>
      <c r="P95" s="793">
        <f>INPUT!BG559</f>
        <v>1.6236298718181936</v>
      </c>
      <c r="Q95" s="752">
        <f>INPUT!BH559</f>
        <v>18.515498933243023</v>
      </c>
      <c r="R95" s="793">
        <f>INPUT!BI559</f>
        <v>1.590784473775118</v>
      </c>
      <c r="S95" s="752">
        <f>INPUT!BJ559</f>
        <v>19.750833996959848</v>
      </c>
      <c r="T95" s="793">
        <f>INPUT!BK559</f>
        <v>1.7196182478307329</v>
      </c>
      <c r="U95" s="752">
        <f>INPUT!BL559</f>
        <v>23.637235950783197</v>
      </c>
      <c r="V95" s="793">
        <f>INPUT!BM559</f>
        <v>1.7061007456816526</v>
      </c>
      <c r="W95" s="752">
        <f>INPUT!BN559</f>
        <v>2.883027089953738</v>
      </c>
      <c r="X95" s="793">
        <f>INPUT!BO559</f>
        <v>1.6860717909077747</v>
      </c>
      <c r="Y95" s="752">
        <f>INPUT!BP559</f>
        <v>3.845822263645382</v>
      </c>
      <c r="Z95" s="793">
        <f>INPUT!BQ559</f>
        <v>1.6771318368021708</v>
      </c>
      <c r="AA95" s="752">
        <f>INPUT!BR559</f>
        <v>5.4279737104889092</v>
      </c>
      <c r="AB95" s="793">
        <f>INPUT!BS559</f>
        <v>1.7174811205410316</v>
      </c>
      <c r="AC95" s="752">
        <f>INPUT!BT559</f>
        <v>-0.12427917024009361</v>
      </c>
      <c r="AD95" s="793">
        <f>INPUT!BU559</f>
        <v>1.5997731890563707</v>
      </c>
      <c r="AE95" s="752">
        <f>INPUT!BV559</f>
        <v>-6.2321968321278671</v>
      </c>
      <c r="AF95" s="793">
        <f>INPUT!BW559</f>
        <v>1.6029047600690929</v>
      </c>
      <c r="AG95" s="752">
        <f>INPUT!BX559</f>
        <v>-4.9325913218621009</v>
      </c>
      <c r="AH95" s="793">
        <f>INPUT!BY559</f>
        <v>1.65591527501457</v>
      </c>
      <c r="AI95" s="752">
        <f>INPUT!BZ559</f>
        <v>-1.2650503271141145</v>
      </c>
      <c r="AJ95" s="793">
        <f>INPUT!CA559</f>
        <v>1.6638429046045511</v>
      </c>
      <c r="AK95" s="752">
        <f>INPUT!CB559</f>
        <v>-3.1230745593048392</v>
      </c>
      <c r="AL95" s="793">
        <f>INPUT!CC559</f>
        <v>1.5420352206230816</v>
      </c>
      <c r="AM95" s="752">
        <f>INPUT!CD559</f>
        <v>-3.6091346466023633</v>
      </c>
      <c r="AN95" s="793">
        <f>INPUT!CE559</f>
        <v>1.4684749959795069</v>
      </c>
      <c r="AO95" s="752">
        <f>INPUT!CF559</f>
        <v>-8.3866345299137617</v>
      </c>
      <c r="AP95" s="793">
        <f>INPUT!CG559</f>
        <v>1.541336358320252</v>
      </c>
      <c r="AQ95" s="752">
        <f>INPUT!CH559</f>
        <v>-6.9193707204198596</v>
      </c>
      <c r="AR95" s="793">
        <f>INPUT!CI559</f>
        <v>1.6328998042257372</v>
      </c>
      <c r="AS95" s="752">
        <f>INPUT!CJ559</f>
        <v>-1.8597368954233251</v>
      </c>
      <c r="AT95" s="793">
        <f>INPUT!CK559</f>
        <v>1.5118159325137837</v>
      </c>
      <c r="AU95" s="752">
        <f>INPUT!CL559</f>
        <v>-1.9597015492997305</v>
      </c>
      <c r="AV95" s="793">
        <f>INPUT!CM559</f>
        <v>-2.4663011586498236</v>
      </c>
      <c r="AW95" s="752" t="str">
        <f>INPUT!CN559</f>
        <v>NM</v>
      </c>
      <c r="AX95" s="793">
        <f>INPUT!CO559</f>
        <v>1.4317493095603846</v>
      </c>
      <c r="AY95" s="752">
        <f>INPUT!CP559</f>
        <v>-7.1098724277999459</v>
      </c>
      <c r="AZ95" s="793">
        <f>INPUT!CQ559</f>
        <v>1.4988711065650449</v>
      </c>
      <c r="BA95" s="752">
        <f>INPUT!CR559</f>
        <v>-8.2080172533454352</v>
      </c>
      <c r="BB95" s="793">
        <f>INPUT!CS559</f>
        <v>1.4593035897076752</v>
      </c>
      <c r="BC95" s="752">
        <f>INPUT!CT559</f>
        <v>-3.4734613967715711</v>
      </c>
      <c r="BD95" s="793">
        <f>INPUT!CU559</f>
        <v>1.4474607919057989</v>
      </c>
      <c r="BE95" s="752" t="str">
        <f>INPUT!CV559</f>
        <v>NM</v>
      </c>
      <c r="BF95" s="793">
        <f>INPUT!CW559</f>
        <v>1.373947798704052</v>
      </c>
      <c r="BG95" s="752">
        <f>INPUT!CX559</f>
        <v>-4.0371251077523045</v>
      </c>
      <c r="BH95" s="793">
        <f>INPUT!CY559</f>
        <v>1.4277023184457283</v>
      </c>
      <c r="BI95" s="752">
        <f>INPUT!CZ559</f>
        <v>-4.7481593185429887</v>
      </c>
      <c r="BJ95" s="793">
        <f>INPUT!DA559</f>
        <v>1.4903490483556394</v>
      </c>
      <c r="BK95" s="752">
        <f>INPUT!DB559</f>
        <v>2.1274160405637899</v>
      </c>
      <c r="BL95" s="793">
        <f>INPUT!DC559</f>
        <v>1.4411579027890908</v>
      </c>
      <c r="BM95" s="752">
        <f>INPUT!DD559</f>
        <v>-0.43544454896145002</v>
      </c>
      <c r="BN95" s="793">
        <f>INPUT!DE559</f>
        <v>1.4784226505507954</v>
      </c>
      <c r="BO95" s="752">
        <f>INPUT!DF559</f>
        <v>7.6039899001466571</v>
      </c>
      <c r="BP95" s="793">
        <f>INPUT!DG559</f>
        <v>1.4358859563962378</v>
      </c>
      <c r="BQ95" s="752">
        <f>INPUT!DH559</f>
        <v>0.57320338033903795</v>
      </c>
      <c r="BR95" s="793">
        <f>INPUT!DI559</f>
        <v>1.4115142129849969</v>
      </c>
      <c r="BS95" s="752">
        <f>INPUT!DJ559</f>
        <v>-5.2896893823379258</v>
      </c>
      <c r="BT95" s="793">
        <f>INPUT!DK559</f>
        <v>-1.4731840001028851</v>
      </c>
      <c r="BU95" s="752" t="str">
        <f>INPUT!DL559</f>
        <v>NM</v>
      </c>
      <c r="BV95" s="793">
        <f>INPUT!DM559</f>
        <v>1.4212762633633209</v>
      </c>
      <c r="BW95" s="752">
        <f>INPUT!DN559</f>
        <v>-3.8653619901037217</v>
      </c>
      <c r="BX95" s="793">
        <f>INPUT!DO559</f>
        <v>1.4149948725678769</v>
      </c>
      <c r="BY95" s="752">
        <f>INPUT!DP559</f>
        <v>-1.4549263982491345</v>
      </c>
      <c r="BZ95" s="793">
        <f>INPUT!DQ559</f>
        <v>1.4355907689760472</v>
      </c>
      <c r="CA95" s="752">
        <f>INPUT!DR559</f>
        <v>1.7057253670959893</v>
      </c>
      <c r="CB95" s="793">
        <f>INPUT!DS559</f>
        <v>1.4978684368946744</v>
      </c>
      <c r="CC95" s="752" t="str">
        <f>INPUT!DT559</f>
        <v>NM</v>
      </c>
      <c r="CD95" s="793">
        <f>INPUT!DU559</f>
        <v>1.463475133325064</v>
      </c>
      <c r="CE95" s="752">
        <f>INPUT!DV559</f>
        <v>2.9690828623200494</v>
      </c>
      <c r="CF95" s="793">
        <f>INPUT!DW559</f>
        <v>1.4814697069646556</v>
      </c>
      <c r="CG95" s="752">
        <f>INPUT!DX559</f>
        <v>4.697885178632677</v>
      </c>
      <c r="CH95" s="793">
        <f>INPUT!DY559</f>
        <v>1.4320802891712638</v>
      </c>
      <c r="CI95" s="752">
        <f>INPUT!DZ559</f>
        <v>-0.24453206865402421</v>
      </c>
      <c r="CJ95" s="793">
        <f>INPUT!EA559</f>
        <v>1.4601904223077935</v>
      </c>
      <c r="CK95" s="752">
        <f>INPUT!EB559</f>
        <v>-2.5154421883001654</v>
      </c>
      <c r="CL95" s="793">
        <f>INPUT!EC559</f>
        <v>1.5175204191981422</v>
      </c>
      <c r="CM95" s="752">
        <f>INPUT!ED559</f>
        <v>3.6929418643612655</v>
      </c>
      <c r="CN95" s="793">
        <f>INPUT!EE559</f>
        <v>1.5274851218723775</v>
      </c>
      <c r="CO95" s="752">
        <f>INPUT!EF559</f>
        <v>3.1060651926526184</v>
      </c>
      <c r="CP95" s="793">
        <f>INPUT!EG559</f>
        <v>1.5441793323704485</v>
      </c>
      <c r="CQ95" s="752">
        <f>INPUT!EH559</f>
        <v>7.8277065920693278</v>
      </c>
      <c r="CR95" s="793">
        <f>INPUT!EI559</f>
        <v>1.5872469464585794</v>
      </c>
      <c r="CS95" s="752">
        <f>INPUT!EJ559</f>
        <v>8.7013667676285813</v>
      </c>
      <c r="CT95" s="793">
        <f>INPUT!EK559</f>
        <v>1.7533672068994941</v>
      </c>
      <c r="CU95" s="752">
        <f>INPUT!EL559</f>
        <v>15.541589076341623</v>
      </c>
      <c r="CV95" s="793">
        <f>INPUT!EM559</f>
        <v>1.7435741028031759</v>
      </c>
      <c r="CW95" s="752">
        <f>INPUT!EN559</f>
        <v>14.146715921260068</v>
      </c>
      <c r="CX95" s="793">
        <f>INPUT!EO559</f>
        <v>1.7292944698296211</v>
      </c>
      <c r="CY95" s="752">
        <f>INPUT!EP559</f>
        <v>11.987930001303981</v>
      </c>
      <c r="CZ95" s="793">
        <f>INPUT!EQ559</f>
        <v>1.7194469183424144</v>
      </c>
      <c r="DA95" s="752">
        <f>INPUT!ER559</f>
        <v>8.3288849399770992</v>
      </c>
      <c r="DB95" s="753"/>
      <c r="DC95" s="768">
        <f>INPUT!FB559</f>
        <v>-0.56099164285024294</v>
      </c>
      <c r="DD95" s="767" t="str">
        <f>INPUT!FC559</f>
        <v>NA</v>
      </c>
      <c r="DE95" s="768">
        <f>INPUT!FD559</f>
        <v>1.7185429783973509</v>
      </c>
      <c r="DF95" s="767" t="str">
        <f>INPUT!FE559</f>
        <v>NM</v>
      </c>
      <c r="DG95" s="768">
        <f>INPUT!FF559</f>
        <v>8.8862871113040393E-2</v>
      </c>
      <c r="DH95" s="767" t="str">
        <f>INPUT!FG559</f>
        <v>NM</v>
      </c>
      <c r="DI95" s="768">
        <f>INPUT!FH559</f>
        <v>-0.11397246759343094</v>
      </c>
      <c r="DJ95" s="767" t="str">
        <f>INPUT!FI559</f>
        <v>NM</v>
      </c>
      <c r="DK95" s="768">
        <f>INPUT!FJ559</f>
        <v>1.0749850777660193</v>
      </c>
      <c r="DL95" s="752" t="str">
        <f>INPUT!FK559</f>
        <v>NM</v>
      </c>
      <c r="DM95" s="793">
        <f>INPUT!FL559</f>
        <v>1.1666677173868403</v>
      </c>
      <c r="DN95" s="752">
        <f>INPUT!FM559</f>
        <v>8.5287360277922488</v>
      </c>
      <c r="DO95" s="793">
        <f>INPUT!FN559</f>
        <v>1.4936915710268301</v>
      </c>
      <c r="DP95" s="752">
        <f>INPUT!FO559</f>
        <v>28.030590781450094</v>
      </c>
      <c r="DQ95" s="793">
        <f>INPUT!FP559</f>
        <v>1.6834544099613054</v>
      </c>
      <c r="DR95" s="752">
        <f>INPUT!FQ559</f>
        <v>12.704285316681796</v>
      </c>
      <c r="DS95" s="793">
        <f>INPUT!FR559</f>
        <v>1.5494226591991487</v>
      </c>
      <c r="DT95" s="752">
        <f>INPUT!FS559</f>
        <v>-7.9617095639220476</v>
      </c>
      <c r="DU95" s="793">
        <f>INPUT!FT559</f>
        <v>1.610915405785214</v>
      </c>
      <c r="DV95" s="752">
        <f>INPUT!FU559</f>
        <v>3.9687522459397329</v>
      </c>
      <c r="DW95" s="793">
        <f>INPUT!FV559</f>
        <v>0.53117351467269946</v>
      </c>
      <c r="DX95" s="752" t="str">
        <f>INPUT!FW559</f>
        <v>NM</v>
      </c>
      <c r="DY95" s="793">
        <f>INPUT!FX559</f>
        <v>1.4470655949973441</v>
      </c>
      <c r="DZ95" s="752" t="str">
        <f>INPUT!FY559</f>
        <v>NM</v>
      </c>
      <c r="EA95" s="793">
        <f>INPUT!FZ559</f>
        <v>1.421755740883577</v>
      </c>
      <c r="EB95" s="752">
        <f>INPUT!GA559</f>
        <v>-1.7490467744700644</v>
      </c>
      <c r="EC95" s="793">
        <f>INPUT!GB559</f>
        <v>0.71233735798194631</v>
      </c>
      <c r="ED95" s="752">
        <f>INPUT!GC559</f>
        <v>-49.897346112402488</v>
      </c>
      <c r="EE95" s="793">
        <f>INPUT!GD559</f>
        <v>1.4518867456816849</v>
      </c>
      <c r="EF95" s="752" t="str">
        <f>INPUT!GE559</f>
        <v>NM</v>
      </c>
      <c r="EG95" s="793">
        <f>INPUT!GF559</f>
        <v>1.4944765088401992</v>
      </c>
      <c r="EH95" s="752">
        <f>INPUT!GG559</f>
        <v>2.9334080833224974</v>
      </c>
      <c r="EI95" s="793">
        <f>INPUT!GH559</f>
        <v>1.549129607017131</v>
      </c>
      <c r="EJ95" s="752">
        <f>INPUT!GI559</f>
        <v>3.6570061726393988</v>
      </c>
      <c r="EK95" s="793">
        <f>INPUT!GJ559</f>
        <v>1.7359210835300929</v>
      </c>
      <c r="EL95" s="752">
        <f>INPUT!GK559</f>
        <v>12.057834003484791</v>
      </c>
      <c r="EM95" s="793">
        <f>INPUT!GL559</f>
        <v>1.6930103543519457</v>
      </c>
      <c r="EN95" s="752">
        <f>INPUT!GM559</f>
        <v>-2.4719285677944458</v>
      </c>
      <c r="EO95" s="793">
        <f>INPUT!GN559</f>
        <v>1.6576539062427849</v>
      </c>
      <c r="EP95" s="752">
        <f>INPUT!GO559</f>
        <v>-2.088377547028919</v>
      </c>
      <c r="EQ95" s="793">
        <f>INPUT!GP559</f>
        <v>1.6273750519633672</v>
      </c>
      <c r="ER95" s="752">
        <f>INPUT!GQ559</f>
        <v>-1.8266089299694199</v>
      </c>
      <c r="ES95" s="793">
        <f>INPUT!GR559</f>
        <v>1.5902240021091947</v>
      </c>
      <c r="ET95" s="752">
        <f>INPUT!GS559</f>
        <v>-2.2828818599222811</v>
      </c>
      <c r="EU95" s="767">
        <f>INPUT!GT559</f>
        <v>0.5250065304307272</v>
      </c>
      <c r="EV95" s="710"/>
    </row>
    <row r="96" spans="1:152" ht="12.75" customHeight="1" x14ac:dyDescent="0.2">
      <c r="A96" s="754" t="str">
        <f>INPUT!B560</f>
        <v>Book Value per Share</v>
      </c>
      <c r="B96" s="768">
        <f>INPUT!AS560</f>
        <v>21.94</v>
      </c>
      <c r="C96" s="767">
        <f>INPUT!AT560</f>
        <v>-7.3479729729729719</v>
      </c>
      <c r="D96" s="768">
        <f>INPUT!AU560</f>
        <v>20.399999999999999</v>
      </c>
      <c r="E96" s="767">
        <f>INPUT!AV560</f>
        <v>-22.639362912400461</v>
      </c>
      <c r="F96" s="768">
        <f>INPUT!AW560</f>
        <v>22.17</v>
      </c>
      <c r="G96" s="767">
        <f>INPUT!AX560</f>
        <v>-8.7278715520790371</v>
      </c>
      <c r="H96" s="768">
        <f>INPUT!AY560</f>
        <v>22.52825452395577</v>
      </c>
      <c r="I96" s="752">
        <f>INPUT!AZ560</f>
        <v>-8.6445477536262416</v>
      </c>
      <c r="J96" s="768">
        <f>INPUT!BA560</f>
        <v>21.518483971083565</v>
      </c>
      <c r="K96" s="752">
        <f>INPUT!BB560</f>
        <v>-1.9212216450156583</v>
      </c>
      <c r="L96" s="768">
        <f>INPUT!BC560</f>
        <v>20.431425021717331</v>
      </c>
      <c r="M96" s="752">
        <f>INPUT!BD560</f>
        <v>0.15404422410456586</v>
      </c>
      <c r="N96" s="768">
        <f>INPUT!BE560</f>
        <v>21.704162333830386</v>
      </c>
      <c r="O96" s="752">
        <f>INPUT!BF560</f>
        <v>-2.1012073350005211</v>
      </c>
      <c r="P96" s="768">
        <f>INPUT!BG560</f>
        <v>22.277764927725553</v>
      </c>
      <c r="Q96" s="752">
        <f>INPUT!BH560</f>
        <v>-1.1118908300856378</v>
      </c>
      <c r="R96" s="768">
        <f>INPUT!BI560</f>
        <v>22.057609877429122</v>
      </c>
      <c r="S96" s="752">
        <f>INPUT!BJ560</f>
        <v>2.5054084064194848</v>
      </c>
      <c r="T96" s="768">
        <f>INPUT!BK560</f>
        <v>22.186173096283394</v>
      </c>
      <c r="U96" s="752">
        <f>INPUT!BL560</f>
        <v>8.5884761963537883</v>
      </c>
      <c r="V96" s="768">
        <f>INPUT!BM560</f>
        <v>20.224292413982276</v>
      </c>
      <c r="W96" s="752">
        <f>INPUT!BN560</f>
        <v>-6.818369200738184</v>
      </c>
      <c r="X96" s="768">
        <f>INPUT!BO560</f>
        <v>19.321977935242849</v>
      </c>
      <c r="Y96" s="752">
        <f>INPUT!BP560</f>
        <v>-13.267879439755248</v>
      </c>
      <c r="Z96" s="768">
        <f>INPUT!BQ560</f>
        <v>19.391467513357568</v>
      </c>
      <c r="AA96" s="752">
        <f>INPUT!BR560</f>
        <v>-12.087177073522081</v>
      </c>
      <c r="AB96" s="768">
        <f>INPUT!BS560</f>
        <v>22.570979632760345</v>
      </c>
      <c r="AC96" s="752">
        <f>INPUT!BT560</f>
        <v>1.7344430461574856</v>
      </c>
      <c r="AD96" s="768">
        <f>INPUT!BU560</f>
        <v>24.855877897530693</v>
      </c>
      <c r="AE96" s="752">
        <f>INPUT!BV560</f>
        <v>22.901100264681308</v>
      </c>
      <c r="AF96" s="768">
        <f>INPUT!BW560</f>
        <v>25.617429522691992</v>
      </c>
      <c r="AG96" s="752">
        <f>INPUT!BX560</f>
        <v>32.581817495849542</v>
      </c>
      <c r="AH96" s="768">
        <f>INPUT!BY560</f>
        <v>26.384758693078123</v>
      </c>
      <c r="AI96" s="752">
        <f>INPUT!BZ560</f>
        <v>36.063754199641231</v>
      </c>
      <c r="AJ96" s="768">
        <f>INPUT!CA560</f>
        <v>27.118805258363761</v>
      </c>
      <c r="AK96" s="752">
        <f>INPUT!CB560</f>
        <v>20.148995301039285</v>
      </c>
      <c r="AL96" s="768">
        <f>INPUT!CC560</f>
        <v>28.081752100443687</v>
      </c>
      <c r="AM96" s="752">
        <f>INPUT!CD560</f>
        <v>12.978315295125697</v>
      </c>
      <c r="AN96" s="768">
        <f>INPUT!CE560</f>
        <v>26.802310637216667</v>
      </c>
      <c r="AO96" s="752">
        <f>INPUT!CF560</f>
        <v>4.6252927659080845</v>
      </c>
      <c r="AP96" s="768">
        <f>INPUT!CG560</f>
        <v>27.582949136283787</v>
      </c>
      <c r="AQ96" s="752">
        <f>INPUT!CH560</f>
        <v>4.541221912027571</v>
      </c>
      <c r="AR96" s="768">
        <f>INPUT!CI560</f>
        <v>28.405312168474079</v>
      </c>
      <c r="AS96" s="752">
        <f>INPUT!CJ560</f>
        <v>4.7439660333618239</v>
      </c>
      <c r="AT96" s="768">
        <f>INPUT!CK560</f>
        <v>30.77</v>
      </c>
      <c r="AU96" s="752">
        <f>INPUT!CL560</f>
        <v>9.5729350858910323</v>
      </c>
      <c r="AV96" s="768">
        <f>INPUT!CM560</f>
        <v>27.909992224065789</v>
      </c>
      <c r="AW96" s="752">
        <f>INPUT!CN560</f>
        <v>4.1327839298714641</v>
      </c>
      <c r="AX96" s="768">
        <f>INPUT!CO560</f>
        <v>28.619821853006297</v>
      </c>
      <c r="AY96" s="752">
        <f>INPUT!CP560</f>
        <v>3.7591075254479023</v>
      </c>
      <c r="AZ96" s="768">
        <f>INPUT!CQ560</f>
        <v>29.944636434766355</v>
      </c>
      <c r="BA96" s="752">
        <f>INPUT!CR560</f>
        <v>5.4191422265047695</v>
      </c>
      <c r="BB96" s="768">
        <f>INPUT!CS560</f>
        <v>31.529494341876596</v>
      </c>
      <c r="BC96" s="752">
        <f>INPUT!CT560</f>
        <v>2.4682949037263535</v>
      </c>
      <c r="BD96" s="768">
        <f>INPUT!CU560</f>
        <v>31.874295824486126</v>
      </c>
      <c r="BE96" s="752">
        <f>INPUT!CV560</f>
        <v>14.203886438212843</v>
      </c>
      <c r="BF96" s="768">
        <f>INPUT!CW560</f>
        <v>32.055551508875233</v>
      </c>
      <c r="BG96" s="752">
        <f>INPUT!CX560</f>
        <v>12.004720621655585</v>
      </c>
      <c r="BH96" s="768">
        <f>INPUT!CY560</f>
        <v>31.797097019819496</v>
      </c>
      <c r="BI96" s="752">
        <f>INPUT!CZ560</f>
        <v>6.1862851101521343</v>
      </c>
      <c r="BJ96" s="768">
        <f>INPUT!DA560</f>
        <v>33.20024515006795</v>
      </c>
      <c r="BK96" s="752">
        <f>INPUT!DB560</f>
        <v>5.2990092073005757</v>
      </c>
      <c r="BL96" s="768">
        <f>INPUT!DC560</f>
        <v>33.230384615384615</v>
      </c>
      <c r="BM96" s="752">
        <f>INPUT!DD560</f>
        <v>4.2544901960053005</v>
      </c>
      <c r="BN96" s="768">
        <f>INPUT!DE560</f>
        <v>34.679347826086953</v>
      </c>
      <c r="BO96" s="752">
        <f>INPUT!DF560</f>
        <v>8.1851541892369752</v>
      </c>
      <c r="BP96" s="768">
        <f>INPUT!DG560</f>
        <v>36.278257456828889</v>
      </c>
      <c r="BQ96" s="752">
        <f>INPUT!DH560</f>
        <v>14.092986017611086</v>
      </c>
      <c r="BR96" s="768">
        <f>INPUT!DI560</f>
        <v>36.693132195315599</v>
      </c>
      <c r="BS96" s="752">
        <f>INPUT!DJ560</f>
        <v>10.520666427189006</v>
      </c>
      <c r="BT96" s="768">
        <f>INPUT!DK560</f>
        <v>33.776852952833927</v>
      </c>
      <c r="BU96" s="752">
        <f>INPUT!DL560</f>
        <v>1.6444839377402598</v>
      </c>
      <c r="BV96" s="768">
        <f>INPUT!DM560</f>
        <v>34.821242484969936</v>
      </c>
      <c r="BW96" s="752">
        <f>INPUT!DN560</f>
        <v>0.40916184351149631</v>
      </c>
      <c r="BX96" s="768">
        <f>INPUT!DO560</f>
        <v>34.532441200324413</v>
      </c>
      <c r="BY96" s="752">
        <f>INPUT!DP560</f>
        <v>-4.8122935854402531</v>
      </c>
      <c r="BZ96" s="768">
        <f>INPUT!DQ560</f>
        <v>35.255135579293345</v>
      </c>
      <c r="CA96" s="752">
        <f>INPUT!DR560</f>
        <v>-3.9189802831981591</v>
      </c>
      <c r="CB96" s="768">
        <f>INPUT!DS560</f>
        <v>35.964715649647154</v>
      </c>
      <c r="CC96" s="752">
        <f>INPUT!DT560</f>
        <v>6.4774024384934847</v>
      </c>
      <c r="CD96" s="768">
        <f>INPUT!DU560</f>
        <v>37.521241692605365</v>
      </c>
      <c r="CE96" s="752">
        <f>INPUT!DV560</f>
        <v>7.7538853152665066</v>
      </c>
      <c r="CF96" s="768">
        <f>INPUT!DW560</f>
        <v>38.960983704207976</v>
      </c>
      <c r="CG96" s="752">
        <f>INPUT!DX560</f>
        <v>12.824296082033037</v>
      </c>
      <c r="CH96" s="768">
        <f>INPUT!DY560</f>
        <v>40.332615252046537</v>
      </c>
      <c r="CI96" s="752">
        <f>INPUT!DZ560</f>
        <v>14.402099408562163</v>
      </c>
      <c r="CJ96" s="768">
        <f>INPUT!EA560</f>
        <v>39.025239338555266</v>
      </c>
      <c r="CK96" s="752">
        <f>INPUT!EB560</f>
        <v>8.5097953191745503</v>
      </c>
      <c r="CL96" s="768">
        <f>INPUT!EC560</f>
        <v>39.910916264796136</v>
      </c>
      <c r="CM96" s="752">
        <f>INPUT!ED560</f>
        <v>6.3688579172520354</v>
      </c>
      <c r="CN96" s="768">
        <f>INPUT!EE560</f>
        <v>41.205661211853162</v>
      </c>
      <c r="CO96" s="752">
        <f>INPUT!EF560</f>
        <v>5.761347107369752</v>
      </c>
      <c r="CP96" s="768">
        <f>INPUT!EG560</f>
        <v>42.106060606060609</v>
      </c>
      <c r="CQ96" s="752">
        <f>INPUT!EH560</f>
        <v>4.3970502357247643</v>
      </c>
      <c r="CR96" s="768">
        <f>INPUT!EI560</f>
        <v>43.033258426966292</v>
      </c>
      <c r="CS96" s="752">
        <f>INPUT!EJ560</f>
        <v>10.270325451793649</v>
      </c>
      <c r="CT96" s="768">
        <f>INPUT!EK560</f>
        <v>43.910213799561866</v>
      </c>
      <c r="CU96" s="752">
        <f>INPUT!EL560</f>
        <v>10.020560561004599</v>
      </c>
      <c r="CV96" s="768">
        <f>INPUT!EM560</f>
        <v>44.868291594120755</v>
      </c>
      <c r="CW96" s="752">
        <f>INPUT!EN560</f>
        <v>8.8886581953792501</v>
      </c>
      <c r="CX96" s="768">
        <f>INPUT!EO560</f>
        <v>45.809815078729173</v>
      </c>
      <c r="CY96" s="752">
        <f>INPUT!EP560</f>
        <v>8.7962502769386433</v>
      </c>
      <c r="CZ96" s="768">
        <f>INPUT!EQ560</f>
        <v>46.777130931185596</v>
      </c>
      <c r="DA96" s="752">
        <f>INPUT!ER560</f>
        <v>8.6999512495043785</v>
      </c>
      <c r="DB96" s="753"/>
      <c r="DC96" s="768">
        <f>INPUT!FB560</f>
        <v>24.38217461735476</v>
      </c>
      <c r="DD96" s="767" t="str">
        <f>INPUT!FC560</f>
        <v>NA</v>
      </c>
      <c r="DE96" s="768">
        <f>INPUT!FD560</f>
        <v>28.152679097549481</v>
      </c>
      <c r="DF96" s="767">
        <f>INPUT!FE560</f>
        <v>15.464184550261351</v>
      </c>
      <c r="DG96" s="768">
        <f>INPUT!FF560</f>
        <v>26.331592736950725</v>
      </c>
      <c r="DH96" s="767">
        <f>INPUT!FG560</f>
        <v>-6.4686076742062841</v>
      </c>
      <c r="DI96" s="768">
        <f>INPUT!FH560</f>
        <v>24.46986876639442</v>
      </c>
      <c r="DJ96" s="767">
        <f>INPUT!FI560</f>
        <v>-7.0703052001247713</v>
      </c>
      <c r="DK96" s="768">
        <f>INPUT!FJ560</f>
        <v>23.563561907075552</v>
      </c>
      <c r="DL96" s="752">
        <f>INPUT!FK560</f>
        <v>-3.7037667343910674</v>
      </c>
      <c r="DM96" s="768">
        <f>INPUT!FL560</f>
        <v>22.52825452395577</v>
      </c>
      <c r="DN96" s="752">
        <f>INPUT!FM560</f>
        <v>-4.3936794751259782</v>
      </c>
      <c r="DO96" s="768">
        <f>INPUT!FN560</f>
        <v>22.277764927725553</v>
      </c>
      <c r="DP96" s="752">
        <f>INPUT!FO560</f>
        <v>-1.1118908300856378</v>
      </c>
      <c r="DQ96" s="768">
        <f>INPUT!FP560</f>
        <v>19.321977935242849</v>
      </c>
      <c r="DR96" s="752">
        <f>INPUT!FQ560</f>
        <v>-13.267879439755248</v>
      </c>
      <c r="DS96" s="768">
        <f>INPUT!FR560</f>
        <v>25.617429522691992</v>
      </c>
      <c r="DT96" s="752">
        <f>INPUT!FS560</f>
        <v>32.581817495849542</v>
      </c>
      <c r="DU96" s="768">
        <f>INPUT!FT560</f>
        <v>26.802310637216667</v>
      </c>
      <c r="DV96" s="752">
        <f>INPUT!FU560</f>
        <v>4.6252927659080845</v>
      </c>
      <c r="DW96" s="768">
        <f>INPUT!FV560</f>
        <v>27.909992224065789</v>
      </c>
      <c r="DX96" s="752">
        <f>INPUT!FW560</f>
        <v>4.1327839298714641</v>
      </c>
      <c r="DY96" s="768">
        <f>INPUT!FX560</f>
        <v>31.874295824486126</v>
      </c>
      <c r="DZ96" s="752">
        <f>INPUT!FY560</f>
        <v>14.203886438212843</v>
      </c>
      <c r="EA96" s="768">
        <f>INPUT!FZ560</f>
        <v>33.230384615384615</v>
      </c>
      <c r="EB96" s="752">
        <f>INPUT!GA560</f>
        <v>4.2544901960053005</v>
      </c>
      <c r="EC96" s="768">
        <f>INPUT!GB560</f>
        <v>33.776852952833927</v>
      </c>
      <c r="ED96" s="752">
        <f>INPUT!GC560</f>
        <v>1.6444839377402598</v>
      </c>
      <c r="EE96" s="768">
        <f>INPUT!GD560</f>
        <v>35.964715649647154</v>
      </c>
      <c r="EF96" s="752">
        <f>INPUT!GE560</f>
        <v>6.4774024384934847</v>
      </c>
      <c r="EG96" s="768">
        <f>INPUT!GF560</f>
        <v>39.025239338555266</v>
      </c>
      <c r="EH96" s="752">
        <f>INPUT!GG560</f>
        <v>8.5097953191745503</v>
      </c>
      <c r="EI96" s="768">
        <f>INPUT!GH560</f>
        <v>43.033258426966292</v>
      </c>
      <c r="EJ96" s="752">
        <f>INPUT!GI560</f>
        <v>10.270325451793649</v>
      </c>
      <c r="EK96" s="768">
        <f>INPUT!GJ560</f>
        <v>46.777130931185596</v>
      </c>
      <c r="EL96" s="752">
        <f>INPUT!GK560</f>
        <v>8.6999512495043785</v>
      </c>
      <c r="EM96" s="768">
        <f>INPUT!GL560</f>
        <v>50.764313932752401</v>
      </c>
      <c r="EN96" s="752">
        <f>INPUT!GM560</f>
        <v>8.5237869920504536</v>
      </c>
      <c r="EO96" s="768">
        <f>INPUT!GN560</f>
        <v>55.003046586039908</v>
      </c>
      <c r="EP96" s="752">
        <f>INPUT!GO560</f>
        <v>8.3498275164371591</v>
      </c>
      <c r="EQ96" s="768">
        <f>INPUT!GP560</f>
        <v>59.540747171289361</v>
      </c>
      <c r="ER96" s="752">
        <f>INPUT!GQ560</f>
        <v>8.2499077176593225</v>
      </c>
      <c r="ES96" s="768">
        <f>INPUT!GR560</f>
        <v>64.355981230460358</v>
      </c>
      <c r="ET96" s="752">
        <f>INPUT!GS560</f>
        <v>8.0872919604423554</v>
      </c>
      <c r="EU96" s="767">
        <f>INPUT!GT560</f>
        <v>8.3819441132489292</v>
      </c>
      <c r="EV96" s="710"/>
    </row>
    <row r="97" spans="1:152" ht="12.75" customHeight="1" x14ac:dyDescent="0.2">
      <c r="A97" s="754"/>
      <c r="B97" s="750"/>
      <c r="C97" s="767"/>
      <c r="D97" s="750"/>
      <c r="E97" s="767"/>
      <c r="F97" s="750"/>
      <c r="G97" s="767"/>
      <c r="H97" s="750"/>
      <c r="I97" s="752"/>
      <c r="J97" s="750"/>
      <c r="K97" s="752"/>
      <c r="L97" s="750"/>
      <c r="M97" s="752"/>
      <c r="N97" s="750"/>
      <c r="O97" s="752"/>
      <c r="P97" s="750"/>
      <c r="Q97" s="752"/>
      <c r="R97" s="750"/>
      <c r="S97" s="752"/>
      <c r="T97" s="750"/>
      <c r="U97" s="752"/>
      <c r="V97" s="750"/>
      <c r="W97" s="752"/>
      <c r="X97" s="750"/>
      <c r="Y97" s="752"/>
      <c r="Z97" s="750"/>
      <c r="AA97" s="752"/>
      <c r="AB97" s="750"/>
      <c r="AC97" s="752"/>
      <c r="AD97" s="750"/>
      <c r="AE97" s="752"/>
      <c r="AF97" s="750"/>
      <c r="AG97" s="752"/>
      <c r="AH97" s="750"/>
      <c r="AI97" s="752"/>
      <c r="AJ97" s="750"/>
      <c r="AK97" s="752"/>
      <c r="AL97" s="750"/>
      <c r="AM97" s="752"/>
      <c r="AN97" s="750"/>
      <c r="AO97" s="752"/>
      <c r="AP97" s="750"/>
      <c r="AQ97" s="752"/>
      <c r="AR97" s="750"/>
      <c r="AS97" s="752"/>
      <c r="AT97" s="750"/>
      <c r="AU97" s="752"/>
      <c r="AV97" s="750"/>
      <c r="AW97" s="752"/>
      <c r="AX97" s="750"/>
      <c r="AY97" s="752"/>
      <c r="AZ97" s="750"/>
      <c r="BA97" s="752"/>
      <c r="BB97" s="750"/>
      <c r="BC97" s="752"/>
      <c r="BD97" s="750"/>
      <c r="BE97" s="752"/>
      <c r="BF97" s="750"/>
      <c r="BG97" s="752"/>
      <c r="BH97" s="750"/>
      <c r="BI97" s="752"/>
      <c r="BJ97" s="750"/>
      <c r="BK97" s="752"/>
      <c r="BL97" s="750"/>
      <c r="BM97" s="752"/>
      <c r="BN97" s="750"/>
      <c r="BO97" s="752"/>
      <c r="BP97" s="750"/>
      <c r="BQ97" s="752"/>
      <c r="BR97" s="750"/>
      <c r="BS97" s="752"/>
      <c r="BT97" s="750"/>
      <c r="BU97" s="752"/>
      <c r="BV97" s="750"/>
      <c r="BW97" s="752"/>
      <c r="BX97" s="750"/>
      <c r="BY97" s="752"/>
      <c r="BZ97" s="750"/>
      <c r="CA97" s="752"/>
      <c r="CB97" s="750"/>
      <c r="CC97" s="752"/>
      <c r="CD97" s="750"/>
      <c r="CE97" s="752"/>
      <c r="CF97" s="750"/>
      <c r="CG97" s="752"/>
      <c r="CH97" s="750"/>
      <c r="CI97" s="752"/>
      <c r="CJ97" s="750"/>
      <c r="CK97" s="752"/>
      <c r="CL97" s="750"/>
      <c r="CM97" s="752"/>
      <c r="CN97" s="750"/>
      <c r="CO97" s="752"/>
      <c r="CP97" s="750"/>
      <c r="CQ97" s="752"/>
      <c r="CR97" s="750"/>
      <c r="CS97" s="752"/>
      <c r="CT97" s="750"/>
      <c r="CU97" s="752"/>
      <c r="CV97" s="750"/>
      <c r="CW97" s="752"/>
      <c r="CX97" s="750"/>
      <c r="CY97" s="752"/>
      <c r="CZ97" s="750"/>
      <c r="DA97" s="752"/>
      <c r="DB97" s="753"/>
      <c r="DC97" s="750"/>
      <c r="DD97" s="767"/>
      <c r="DE97" s="750"/>
      <c r="DF97" s="767"/>
      <c r="DG97" s="750"/>
      <c r="DH97" s="767"/>
      <c r="DI97" s="750"/>
      <c r="DJ97" s="767"/>
      <c r="DK97" s="750"/>
      <c r="DL97" s="752"/>
      <c r="DM97" s="750"/>
      <c r="DN97" s="752"/>
      <c r="DO97" s="750"/>
      <c r="DP97" s="752"/>
      <c r="DQ97" s="750"/>
      <c r="DR97" s="752"/>
      <c r="DS97" s="750"/>
      <c r="DT97" s="752"/>
      <c r="DU97" s="750"/>
      <c r="DV97" s="752"/>
      <c r="DW97" s="750"/>
      <c r="DX97" s="752"/>
      <c r="DY97" s="750"/>
      <c r="DZ97" s="752"/>
      <c r="EA97" s="750"/>
      <c r="EB97" s="752"/>
      <c r="EC97" s="750"/>
      <c r="ED97" s="752"/>
      <c r="EE97" s="750"/>
      <c r="EF97" s="752"/>
      <c r="EG97" s="750"/>
      <c r="EH97" s="752"/>
      <c r="EI97" s="750"/>
      <c r="EJ97" s="752"/>
      <c r="EK97" s="750"/>
      <c r="EL97" s="752"/>
      <c r="EM97" s="750"/>
      <c r="EN97" s="752"/>
      <c r="EO97" s="750"/>
      <c r="EP97" s="752"/>
      <c r="EQ97" s="750"/>
      <c r="ER97" s="752"/>
      <c r="ES97" s="750"/>
      <c r="ET97" s="752"/>
      <c r="EU97" s="767"/>
      <c r="EV97" s="710"/>
    </row>
    <row r="98" spans="1:152" ht="12.75" customHeight="1" x14ac:dyDescent="0.2">
      <c r="A98" s="803" t="str">
        <f>+A47</f>
        <v>Quarterly income statement ratios are annualized where appropriate     E = Morgan Stanley Research Estimates      NM = Not Meaningful       NA = Not Applicable              CAGR = Cumulative Average Growth Rate</v>
      </c>
      <c r="B98" s="750"/>
      <c r="C98" s="767"/>
      <c r="D98" s="750"/>
      <c r="E98" s="767"/>
      <c r="F98" s="750"/>
      <c r="G98" s="767"/>
      <c r="H98" s="750"/>
      <c r="I98" s="752"/>
      <c r="J98" s="750"/>
      <c r="K98" s="752"/>
      <c r="L98" s="750"/>
      <c r="M98" s="752"/>
      <c r="N98" s="750"/>
      <c r="O98" s="752"/>
      <c r="P98" s="750"/>
      <c r="Q98" s="752"/>
      <c r="R98" s="750"/>
      <c r="S98" s="752"/>
      <c r="T98" s="750"/>
      <c r="U98" s="752"/>
      <c r="V98" s="750"/>
      <c r="W98" s="752"/>
      <c r="X98" s="750"/>
      <c r="Y98" s="752"/>
      <c r="Z98" s="750"/>
      <c r="AA98" s="752"/>
      <c r="AB98" s="750"/>
      <c r="AC98" s="752"/>
      <c r="AD98" s="750"/>
      <c r="AE98" s="752"/>
      <c r="AF98" s="750"/>
      <c r="AG98" s="752"/>
      <c r="AH98" s="750"/>
      <c r="AI98" s="752"/>
      <c r="AJ98" s="750"/>
      <c r="AK98" s="752"/>
      <c r="AL98" s="750"/>
      <c r="AM98" s="752"/>
      <c r="AN98" s="750"/>
      <c r="AO98" s="752"/>
      <c r="AP98" s="750"/>
      <c r="AQ98" s="752"/>
      <c r="AR98" s="750"/>
      <c r="AS98" s="752"/>
      <c r="AT98" s="750"/>
      <c r="AU98" s="752"/>
      <c r="AV98" s="750"/>
      <c r="AW98" s="752"/>
      <c r="AX98" s="750"/>
      <c r="AY98" s="752"/>
      <c r="AZ98" s="750"/>
      <c r="BA98" s="752"/>
      <c r="BB98" s="750"/>
      <c r="BC98" s="752"/>
      <c r="BD98" s="750"/>
      <c r="BE98" s="752"/>
      <c r="BF98" s="750"/>
      <c r="BG98" s="752"/>
      <c r="BH98" s="750"/>
      <c r="BI98" s="752"/>
      <c r="BJ98" s="750"/>
      <c r="BK98" s="752"/>
      <c r="BL98" s="750"/>
      <c r="BM98" s="752"/>
      <c r="BN98" s="750"/>
      <c r="BO98" s="752"/>
      <c r="BP98" s="750"/>
      <c r="BQ98" s="752"/>
      <c r="BR98" s="750"/>
      <c r="BS98" s="752"/>
      <c r="BT98" s="750"/>
      <c r="BU98" s="752"/>
      <c r="BV98" s="750"/>
      <c r="BW98" s="752"/>
      <c r="BX98" s="750"/>
      <c r="BY98" s="752"/>
      <c r="BZ98" s="750"/>
      <c r="CA98" s="752"/>
      <c r="CB98" s="750"/>
      <c r="CC98" s="752"/>
      <c r="CD98" s="750"/>
      <c r="CE98" s="752"/>
      <c r="CF98" s="750"/>
      <c r="CG98" s="752"/>
      <c r="CH98" s="750"/>
      <c r="CI98" s="752"/>
      <c r="CJ98" s="750"/>
      <c r="CK98" s="752"/>
      <c r="CL98" s="750"/>
      <c r="CM98" s="752"/>
      <c r="CN98" s="750"/>
      <c r="CO98" s="752"/>
      <c r="CP98" s="750"/>
      <c r="CQ98" s="752"/>
      <c r="CR98" s="750"/>
      <c r="CS98" s="752"/>
      <c r="CT98" s="750"/>
      <c r="CU98" s="752"/>
      <c r="CV98" s="750"/>
      <c r="CW98" s="752"/>
      <c r="CX98" s="750"/>
      <c r="CY98" s="752"/>
      <c r="CZ98" s="750"/>
      <c r="DA98" s="752"/>
      <c r="DB98" s="753"/>
      <c r="DC98" s="750"/>
      <c r="DD98" s="767"/>
      <c r="DE98" s="750"/>
      <c r="DF98" s="767"/>
      <c r="DG98" s="750"/>
      <c r="DH98" s="767"/>
      <c r="DI98" s="750"/>
      <c r="DJ98" s="767"/>
      <c r="DK98" s="750"/>
      <c r="DL98" s="752"/>
      <c r="DM98" s="750"/>
      <c r="DN98" s="752"/>
      <c r="DO98" s="750"/>
      <c r="DP98" s="752"/>
      <c r="DQ98" s="750"/>
      <c r="DR98" s="752"/>
      <c r="DS98" s="750"/>
      <c r="DT98" s="752"/>
      <c r="DU98" s="750"/>
      <c r="DV98" s="752"/>
      <c r="DW98" s="750"/>
      <c r="DX98" s="752"/>
      <c r="DY98" s="750"/>
      <c r="DZ98" s="752"/>
      <c r="EA98" s="750"/>
      <c r="EB98" s="752"/>
      <c r="EC98" s="750"/>
      <c r="ED98" s="752"/>
      <c r="EE98" s="750"/>
      <c r="EF98" s="752"/>
      <c r="EG98" s="750"/>
      <c r="EH98" s="752"/>
      <c r="EI98" s="750"/>
      <c r="EJ98" s="752"/>
      <c r="EK98" s="750"/>
      <c r="EL98" s="752"/>
      <c r="EM98" s="750"/>
      <c r="EN98" s="752"/>
      <c r="EO98" s="750"/>
      <c r="EP98" s="752"/>
      <c r="EQ98" s="750"/>
      <c r="ER98" s="752"/>
      <c r="ES98" s="750"/>
      <c r="ET98" s="752"/>
      <c r="EU98" s="767"/>
      <c r="EV98" s="710"/>
    </row>
    <row r="99" spans="1:152" ht="12.75" customHeight="1" x14ac:dyDescent="0.2">
      <c r="A99" s="795" t="s">
        <v>353</v>
      </c>
      <c r="B99" s="750"/>
      <c r="C99" s="767"/>
      <c r="D99" s="750"/>
      <c r="E99" s="767"/>
      <c r="F99" s="750"/>
      <c r="G99" s="767"/>
      <c r="H99" s="750"/>
      <c r="I99" s="752"/>
      <c r="J99" s="750"/>
      <c r="K99" s="752"/>
      <c r="L99" s="750"/>
      <c r="M99" s="752"/>
      <c r="N99" s="750"/>
      <c r="O99" s="752"/>
      <c r="P99" s="750"/>
      <c r="Q99" s="752"/>
      <c r="R99" s="750"/>
      <c r="S99" s="752"/>
      <c r="T99" s="750"/>
      <c r="U99" s="752"/>
      <c r="V99" s="750"/>
      <c r="W99" s="752"/>
      <c r="X99" s="750"/>
      <c r="Y99" s="752"/>
      <c r="Z99" s="750"/>
      <c r="AA99" s="752"/>
      <c r="AB99" s="750"/>
      <c r="AC99" s="752"/>
      <c r="AD99" s="750"/>
      <c r="AE99" s="752"/>
      <c r="AF99" s="750"/>
      <c r="AG99" s="752"/>
      <c r="AH99" s="750"/>
      <c r="AI99" s="752"/>
      <c r="AJ99" s="750"/>
      <c r="AK99" s="752"/>
      <c r="AL99" s="750"/>
      <c r="AM99" s="752"/>
      <c r="AN99" s="750"/>
      <c r="AO99" s="752"/>
      <c r="AP99" s="750"/>
      <c r="AQ99" s="752"/>
      <c r="AR99" s="750"/>
      <c r="AS99" s="752"/>
      <c r="AT99" s="750"/>
      <c r="AU99" s="752"/>
      <c r="AV99" s="750"/>
      <c r="AW99" s="752"/>
      <c r="AX99" s="750"/>
      <c r="AY99" s="752"/>
      <c r="AZ99" s="750"/>
      <c r="BA99" s="752"/>
      <c r="BB99" s="750"/>
      <c r="BC99" s="752"/>
      <c r="BD99" s="750"/>
      <c r="BE99" s="752"/>
      <c r="BF99" s="750"/>
      <c r="BG99" s="752"/>
      <c r="BH99" s="750"/>
      <c r="BI99" s="752"/>
      <c r="BJ99" s="750"/>
      <c r="BK99" s="752"/>
      <c r="BL99" s="750"/>
      <c r="BM99" s="752"/>
      <c r="BN99" s="750"/>
      <c r="BO99" s="752"/>
      <c r="BP99" s="750"/>
      <c r="BQ99" s="752"/>
      <c r="BR99" s="750"/>
      <c r="BS99" s="752"/>
      <c r="BT99" s="750"/>
      <c r="BU99" s="752"/>
      <c r="BV99" s="750"/>
      <c r="BW99" s="752"/>
      <c r="BX99" s="750"/>
      <c r="BY99" s="752"/>
      <c r="BZ99" s="750"/>
      <c r="CA99" s="752"/>
      <c r="CB99" s="750"/>
      <c r="CC99" s="752"/>
      <c r="CD99" s="750"/>
      <c r="CE99" s="752"/>
      <c r="CF99" s="750"/>
      <c r="CG99" s="752"/>
      <c r="CH99" s="750"/>
      <c r="CI99" s="752"/>
      <c r="CJ99" s="750"/>
      <c r="CK99" s="752"/>
      <c r="CL99" s="750"/>
      <c r="CM99" s="752"/>
      <c r="CN99" s="750"/>
      <c r="CO99" s="752"/>
      <c r="CP99" s="750"/>
      <c r="CQ99" s="752"/>
      <c r="CR99" s="750"/>
      <c r="CS99" s="752"/>
      <c r="CT99" s="750"/>
      <c r="CU99" s="752"/>
      <c r="CV99" s="750"/>
      <c r="CW99" s="752"/>
      <c r="CX99" s="750"/>
      <c r="CY99" s="752"/>
      <c r="CZ99" s="750"/>
      <c r="DA99" s="752"/>
      <c r="DB99" s="753"/>
      <c r="DC99" s="750"/>
      <c r="DD99" s="767"/>
      <c r="DE99" s="750"/>
      <c r="DF99" s="767"/>
      <c r="DG99" s="750"/>
      <c r="DH99" s="767"/>
      <c r="DI99" s="750"/>
      <c r="DJ99" s="767"/>
      <c r="DK99" s="750"/>
      <c r="DL99" s="752"/>
      <c r="DM99" s="750"/>
      <c r="DN99" s="752"/>
      <c r="DO99" s="750"/>
      <c r="DP99" s="752"/>
      <c r="DQ99" s="750"/>
      <c r="DR99" s="752"/>
      <c r="DS99" s="750"/>
      <c r="DT99" s="752"/>
      <c r="DU99" s="750"/>
      <c r="DV99" s="752"/>
      <c r="DW99" s="750"/>
      <c r="DX99" s="752"/>
      <c r="DY99" s="750"/>
      <c r="DZ99" s="752"/>
      <c r="EA99" s="750"/>
      <c r="EB99" s="752"/>
      <c r="EC99" s="750"/>
      <c r="ED99" s="752"/>
      <c r="EE99" s="750"/>
      <c r="EF99" s="752"/>
      <c r="EG99" s="750"/>
      <c r="EH99" s="752"/>
      <c r="EI99" s="750"/>
      <c r="EJ99" s="752"/>
      <c r="EK99" s="750"/>
      <c r="EL99" s="752"/>
      <c r="EM99" s="750"/>
      <c r="EN99" s="752"/>
      <c r="EO99" s="750"/>
      <c r="EP99" s="752"/>
      <c r="EQ99" s="750"/>
      <c r="ER99" s="752"/>
      <c r="ES99" s="750"/>
      <c r="ET99" s="752"/>
      <c r="EU99" s="767"/>
      <c r="EV99" s="710"/>
    </row>
    <row r="100" spans="1:152" ht="12.75" customHeight="1" x14ac:dyDescent="0.2">
      <c r="A100" s="795" t="s">
        <v>472</v>
      </c>
      <c r="B100" s="750"/>
      <c r="C100" s="767"/>
      <c r="D100" s="750"/>
      <c r="E100" s="767"/>
      <c r="F100" s="750"/>
      <c r="G100" s="767"/>
      <c r="H100" s="750"/>
      <c r="I100" s="752"/>
      <c r="J100" s="750"/>
      <c r="K100" s="752"/>
      <c r="L100" s="750"/>
      <c r="M100" s="752"/>
      <c r="N100" s="750"/>
      <c r="O100" s="752"/>
      <c r="P100" s="750"/>
      <c r="Q100" s="752"/>
      <c r="R100" s="750"/>
      <c r="S100" s="752"/>
      <c r="T100" s="750"/>
      <c r="U100" s="752"/>
      <c r="V100" s="750"/>
      <c r="W100" s="752"/>
      <c r="X100" s="750"/>
      <c r="Y100" s="752"/>
      <c r="Z100" s="750"/>
      <c r="AA100" s="752"/>
      <c r="AB100" s="750"/>
      <c r="AC100" s="752"/>
      <c r="AD100" s="750"/>
      <c r="AE100" s="752"/>
      <c r="AF100" s="750"/>
      <c r="AG100" s="752"/>
      <c r="AH100" s="750"/>
      <c r="AI100" s="752"/>
      <c r="AJ100" s="750"/>
      <c r="AK100" s="752"/>
      <c r="AL100" s="750"/>
      <c r="AM100" s="752"/>
      <c r="AN100" s="750"/>
      <c r="AO100" s="752"/>
      <c r="AP100" s="750"/>
      <c r="AQ100" s="752"/>
      <c r="AR100" s="750"/>
      <c r="AS100" s="752"/>
      <c r="AT100" s="750"/>
      <c r="AU100" s="752"/>
      <c r="AV100" s="750"/>
      <c r="AW100" s="752"/>
      <c r="AX100" s="750"/>
      <c r="AY100" s="752"/>
      <c r="AZ100" s="750"/>
      <c r="BA100" s="752"/>
      <c r="BB100" s="750"/>
      <c r="BC100" s="752"/>
      <c r="BD100" s="750"/>
      <c r="BE100" s="752"/>
      <c r="BF100" s="750"/>
      <c r="BG100" s="752"/>
      <c r="BH100" s="750"/>
      <c r="BI100" s="752"/>
      <c r="BJ100" s="750"/>
      <c r="BK100" s="752"/>
      <c r="BL100" s="750"/>
      <c r="BM100" s="752"/>
      <c r="BN100" s="750"/>
      <c r="BO100" s="752"/>
      <c r="BP100" s="750"/>
      <c r="BQ100" s="752"/>
      <c r="BR100" s="750"/>
      <c r="BS100" s="752"/>
      <c r="BT100" s="750"/>
      <c r="BU100" s="752"/>
      <c r="BV100" s="750"/>
      <c r="BW100" s="752"/>
      <c r="BX100" s="750"/>
      <c r="BY100" s="752"/>
      <c r="BZ100" s="750"/>
      <c r="CA100" s="752"/>
      <c r="CB100" s="750"/>
      <c r="CC100" s="752"/>
      <c r="CD100" s="750"/>
      <c r="CE100" s="752"/>
      <c r="CF100" s="750"/>
      <c r="CG100" s="752"/>
      <c r="CH100" s="750"/>
      <c r="CI100" s="752"/>
      <c r="CJ100" s="750"/>
      <c r="CK100" s="752"/>
      <c r="CL100" s="750"/>
      <c r="CM100" s="752"/>
      <c r="CN100" s="750"/>
      <c r="CO100" s="752"/>
      <c r="CP100" s="750"/>
      <c r="CQ100" s="752"/>
      <c r="CR100" s="750"/>
      <c r="CS100" s="752"/>
      <c r="CT100" s="750"/>
      <c r="CU100" s="752"/>
      <c r="CV100" s="750"/>
      <c r="CW100" s="752"/>
      <c r="CX100" s="750"/>
      <c r="CY100" s="752"/>
      <c r="CZ100" s="750"/>
      <c r="DA100" s="752"/>
      <c r="DB100" s="753"/>
      <c r="DC100" s="750"/>
      <c r="DD100" s="767"/>
      <c r="DE100" s="750"/>
      <c r="DF100" s="767"/>
      <c r="DG100" s="750"/>
      <c r="DH100" s="767"/>
      <c r="DI100" s="750"/>
      <c r="DJ100" s="767"/>
      <c r="DK100" s="750"/>
      <c r="DL100" s="752"/>
      <c r="DM100" s="750"/>
      <c r="DN100" s="752"/>
      <c r="DO100" s="750"/>
      <c r="DP100" s="752"/>
      <c r="DQ100" s="750"/>
      <c r="DR100" s="752"/>
      <c r="DS100" s="750"/>
      <c r="DT100" s="752"/>
      <c r="DU100" s="750"/>
      <c r="DV100" s="752"/>
      <c r="DW100" s="750"/>
      <c r="DX100" s="752"/>
      <c r="DY100" s="750"/>
      <c r="DZ100" s="752"/>
      <c r="EA100" s="750"/>
      <c r="EB100" s="752"/>
      <c r="EC100" s="750"/>
      <c r="ED100" s="752"/>
      <c r="EE100" s="750"/>
      <c r="EF100" s="752"/>
      <c r="EG100" s="750"/>
      <c r="EH100" s="752"/>
      <c r="EI100" s="750"/>
      <c r="EJ100" s="752"/>
      <c r="EK100" s="750"/>
      <c r="EL100" s="752"/>
      <c r="EM100" s="750"/>
      <c r="EN100" s="752"/>
      <c r="EO100" s="750"/>
      <c r="EP100" s="752"/>
      <c r="EQ100" s="750"/>
      <c r="ER100" s="752"/>
      <c r="ES100" s="750"/>
      <c r="ET100" s="752"/>
      <c r="EU100" s="767"/>
      <c r="EV100" s="710"/>
    </row>
    <row r="101" spans="1:152" s="722" customFormat="1" ht="12.75" customHeight="1" x14ac:dyDescent="0.2">
      <c r="A101" s="804"/>
      <c r="B101" s="798"/>
      <c r="C101" s="799"/>
      <c r="D101" s="798"/>
      <c r="E101" s="799"/>
      <c r="F101" s="798"/>
      <c r="G101" s="799"/>
      <c r="H101" s="798"/>
      <c r="I101" s="800"/>
      <c r="J101" s="798"/>
      <c r="K101" s="800"/>
      <c r="L101" s="798"/>
      <c r="M101" s="800"/>
      <c r="N101" s="798"/>
      <c r="O101" s="800"/>
      <c r="P101" s="798"/>
      <c r="Q101" s="800"/>
      <c r="R101" s="798"/>
      <c r="S101" s="800"/>
      <c r="T101" s="798"/>
      <c r="U101" s="800"/>
      <c r="V101" s="798"/>
      <c r="W101" s="800"/>
      <c r="X101" s="798"/>
      <c r="Y101" s="800"/>
      <c r="Z101" s="798"/>
      <c r="AA101" s="800"/>
      <c r="AB101" s="798"/>
      <c r="AC101" s="800"/>
      <c r="AD101" s="798"/>
      <c r="AE101" s="800"/>
      <c r="AF101" s="798"/>
      <c r="AG101" s="800"/>
      <c r="AH101" s="798"/>
      <c r="AI101" s="800"/>
      <c r="AJ101" s="798"/>
      <c r="AK101" s="800"/>
      <c r="AL101" s="798"/>
      <c r="AM101" s="800"/>
      <c r="AN101" s="798"/>
      <c r="AO101" s="800"/>
      <c r="AP101" s="798"/>
      <c r="AQ101" s="800"/>
      <c r="AR101" s="798"/>
      <c r="AS101" s="800"/>
      <c r="AT101" s="798"/>
      <c r="AU101" s="800"/>
      <c r="AV101" s="798"/>
      <c r="AW101" s="800"/>
      <c r="AX101" s="798"/>
      <c r="AY101" s="800"/>
      <c r="AZ101" s="798"/>
      <c r="BA101" s="800"/>
      <c r="BB101" s="798"/>
      <c r="BC101" s="800"/>
      <c r="BD101" s="798"/>
      <c r="BE101" s="800"/>
      <c r="BF101" s="798"/>
      <c r="BG101" s="800"/>
      <c r="BH101" s="798"/>
      <c r="BI101" s="800"/>
      <c r="BJ101" s="798"/>
      <c r="BK101" s="800"/>
      <c r="BL101" s="798"/>
      <c r="BM101" s="800"/>
      <c r="BN101" s="798"/>
      <c r="BO101" s="800"/>
      <c r="BP101" s="798"/>
      <c r="BQ101" s="800"/>
      <c r="BR101" s="798"/>
      <c r="BS101" s="800"/>
      <c r="BT101" s="798"/>
      <c r="BU101" s="800"/>
      <c r="BV101" s="798"/>
      <c r="BW101" s="800"/>
      <c r="BX101" s="798"/>
      <c r="BY101" s="800"/>
      <c r="BZ101" s="798"/>
      <c r="CA101" s="800"/>
      <c r="CB101" s="798"/>
      <c r="CC101" s="800"/>
      <c r="CD101" s="798"/>
      <c r="CE101" s="800"/>
      <c r="CF101" s="798"/>
      <c r="CG101" s="800"/>
      <c r="CH101" s="798"/>
      <c r="CI101" s="800"/>
      <c r="CJ101" s="798"/>
      <c r="CK101" s="800"/>
      <c r="CL101" s="798"/>
      <c r="CM101" s="800"/>
      <c r="CN101" s="798"/>
      <c r="CO101" s="800"/>
      <c r="CP101" s="798"/>
      <c r="CQ101" s="800"/>
      <c r="CR101" s="798"/>
      <c r="CS101" s="800"/>
      <c r="CT101" s="798"/>
      <c r="CU101" s="800"/>
      <c r="CV101" s="798"/>
      <c r="CW101" s="800"/>
      <c r="CX101" s="798"/>
      <c r="CY101" s="800"/>
      <c r="CZ101" s="798"/>
      <c r="DA101" s="800"/>
      <c r="DB101" s="801"/>
      <c r="DC101" s="798"/>
      <c r="DD101" s="799"/>
      <c r="DE101" s="798"/>
      <c r="DF101" s="799"/>
      <c r="DG101" s="798"/>
      <c r="DH101" s="799"/>
      <c r="DI101" s="798"/>
      <c r="DJ101" s="799"/>
      <c r="DK101" s="798"/>
      <c r="DL101" s="800"/>
      <c r="DM101" s="798"/>
      <c r="DN101" s="800"/>
      <c r="DO101" s="798"/>
      <c r="DP101" s="800"/>
      <c r="DQ101" s="798"/>
      <c r="DR101" s="800"/>
      <c r="DS101" s="798"/>
      <c r="DT101" s="800"/>
      <c r="DU101" s="798"/>
      <c r="DV101" s="800"/>
      <c r="DW101" s="798"/>
      <c r="DX101" s="800"/>
      <c r="DY101" s="798"/>
      <c r="DZ101" s="800"/>
      <c r="EA101" s="798"/>
      <c r="EB101" s="800"/>
      <c r="EC101" s="798"/>
      <c r="ED101" s="800"/>
      <c r="EE101" s="798"/>
      <c r="EF101" s="800"/>
      <c r="EG101" s="798"/>
      <c r="EH101" s="800"/>
      <c r="EI101" s="798"/>
      <c r="EJ101" s="800"/>
      <c r="EK101" s="798"/>
      <c r="EL101" s="800"/>
      <c r="EM101" s="798"/>
      <c r="EN101" s="800"/>
      <c r="EO101" s="798"/>
      <c r="EP101" s="800"/>
      <c r="EQ101" s="798"/>
      <c r="ER101" s="800"/>
      <c r="ES101" s="798"/>
      <c r="ET101" s="800"/>
      <c r="EU101" s="799"/>
      <c r="EV101" s="721"/>
    </row>
    <row r="102" spans="1:152" ht="21.95" hidden="1" customHeight="1" outlineLevel="1" x14ac:dyDescent="0.25">
      <c r="A102" s="709" t="str">
        <f>INPUT!$B$4</f>
        <v>Unum Group</v>
      </c>
      <c r="B102" s="728"/>
      <c r="C102" s="729"/>
      <c r="D102" s="728"/>
      <c r="E102" s="729"/>
      <c r="F102" s="728"/>
      <c r="G102" s="729"/>
      <c r="H102" s="728"/>
      <c r="I102" s="730"/>
      <c r="J102" s="728"/>
      <c r="K102" s="730"/>
      <c r="L102" s="728"/>
      <c r="M102" s="730"/>
      <c r="N102" s="728"/>
      <c r="O102" s="730"/>
      <c r="P102" s="728"/>
      <c r="Q102" s="730"/>
      <c r="R102" s="728"/>
      <c r="S102" s="730"/>
      <c r="T102" s="728"/>
      <c r="U102" s="730"/>
      <c r="V102" s="728"/>
      <c r="W102" s="730"/>
      <c r="X102" s="728"/>
      <c r="Y102" s="730"/>
      <c r="Z102" s="728"/>
      <c r="AA102" s="730"/>
      <c r="AB102" s="728"/>
      <c r="AC102" s="730"/>
      <c r="AD102" s="728"/>
      <c r="AE102" s="730"/>
      <c r="AF102" s="728"/>
      <c r="AG102" s="730"/>
      <c r="AH102" s="728"/>
      <c r="AI102" s="730"/>
      <c r="AJ102" s="728"/>
      <c r="AK102" s="730"/>
      <c r="AL102" s="728"/>
      <c r="AM102" s="730"/>
      <c r="AN102" s="728"/>
      <c r="AO102" s="730"/>
      <c r="AP102" s="728"/>
      <c r="AQ102" s="730"/>
      <c r="AR102" s="728"/>
      <c r="AS102" s="730"/>
      <c r="AT102" s="728"/>
      <c r="AU102" s="730"/>
      <c r="AV102" s="728"/>
      <c r="AW102" s="730"/>
      <c r="AX102" s="728"/>
      <c r="AY102" s="730"/>
      <c r="AZ102" s="728"/>
      <c r="BA102" s="730"/>
      <c r="BB102" s="728"/>
      <c r="BC102" s="730"/>
      <c r="BD102" s="728"/>
      <c r="BE102" s="730"/>
      <c r="BF102" s="728"/>
      <c r="BG102" s="730"/>
      <c r="BH102" s="728"/>
      <c r="BI102" s="730"/>
      <c r="BJ102" s="728"/>
      <c r="BK102" s="730"/>
      <c r="BL102" s="728"/>
      <c r="BM102" s="730"/>
      <c r="BN102" s="728"/>
      <c r="BO102" s="730"/>
      <c r="BP102" s="728"/>
      <c r="BQ102" s="730"/>
      <c r="BR102" s="728"/>
      <c r="BS102" s="730"/>
      <c r="BT102" s="728"/>
      <c r="BU102" s="730"/>
      <c r="BV102" s="728"/>
      <c r="BW102" s="730"/>
      <c r="BX102" s="728"/>
      <c r="BY102" s="730"/>
      <c r="BZ102" s="728"/>
      <c r="CA102" s="730"/>
      <c r="CB102" s="728"/>
      <c r="CC102" s="730"/>
      <c r="CD102" s="728"/>
      <c r="CE102" s="730"/>
      <c r="CF102" s="728"/>
      <c r="CG102" s="730"/>
      <c r="CH102" s="728"/>
      <c r="CI102" s="730"/>
      <c r="CJ102" s="728"/>
      <c r="CK102" s="730"/>
      <c r="CL102" s="728"/>
      <c r="CM102" s="730"/>
      <c r="CN102" s="728"/>
      <c r="CO102" s="730"/>
      <c r="CP102" s="728"/>
      <c r="CQ102" s="730"/>
      <c r="CR102" s="728"/>
      <c r="CS102" s="730"/>
      <c r="CT102" s="728"/>
      <c r="CU102" s="730"/>
      <c r="CV102" s="728"/>
      <c r="CW102" s="730"/>
      <c r="CX102" s="728"/>
      <c r="CY102" s="730"/>
      <c r="CZ102" s="728"/>
      <c r="DA102" s="730"/>
      <c r="DB102" s="730"/>
      <c r="DC102" s="728"/>
      <c r="DD102" s="729"/>
      <c r="DE102" s="728"/>
      <c r="DF102" s="729"/>
      <c r="DG102" s="728"/>
      <c r="DH102" s="729"/>
      <c r="DI102" s="728"/>
      <c r="DJ102" s="729"/>
      <c r="DK102" s="728"/>
      <c r="DL102" s="730"/>
      <c r="DM102" s="728"/>
      <c r="DN102" s="730"/>
      <c r="DO102" s="728"/>
      <c r="DP102" s="730"/>
      <c r="DQ102" s="728"/>
      <c r="DR102" s="730"/>
      <c r="DS102" s="728"/>
      <c r="DT102" s="730"/>
      <c r="DU102" s="728"/>
      <c r="DV102" s="730"/>
      <c r="DW102" s="728"/>
      <c r="DX102" s="730"/>
      <c r="DY102" s="728"/>
      <c r="DZ102" s="730"/>
      <c r="EA102" s="728"/>
      <c r="EB102" s="730"/>
      <c r="EC102" s="728"/>
      <c r="ED102" s="730"/>
      <c r="EE102" s="728"/>
      <c r="EF102" s="730"/>
      <c r="EG102" s="728"/>
      <c r="EH102" s="730"/>
      <c r="EI102" s="728"/>
      <c r="EJ102" s="730"/>
      <c r="EK102" s="728"/>
      <c r="EL102" s="730"/>
      <c r="EM102" s="728"/>
      <c r="EN102" s="730"/>
      <c r="EO102" s="728"/>
      <c r="EP102" s="730"/>
      <c r="EQ102" s="728"/>
      <c r="ER102" s="730"/>
      <c r="ES102" s="728"/>
      <c r="ET102" s="730"/>
      <c r="EU102" s="729"/>
      <c r="EV102" s="710"/>
    </row>
    <row r="103" spans="1:152" ht="12.75" hidden="1" customHeight="1" outlineLevel="1" x14ac:dyDescent="0.2">
      <c r="A103" s="731" t="s">
        <v>387</v>
      </c>
      <c r="B103" s="732"/>
      <c r="C103" s="733"/>
      <c r="D103" s="732"/>
      <c r="E103" s="733"/>
      <c r="F103" s="732"/>
      <c r="G103" s="733"/>
      <c r="H103" s="732"/>
      <c r="I103" s="734"/>
      <c r="J103" s="732"/>
      <c r="K103" s="734"/>
      <c r="L103" s="732"/>
      <c r="M103" s="734"/>
      <c r="N103" s="732"/>
      <c r="O103" s="734"/>
      <c r="P103" s="732"/>
      <c r="Q103" s="734"/>
      <c r="R103" s="732"/>
      <c r="S103" s="734"/>
      <c r="T103" s="732"/>
      <c r="U103" s="734"/>
      <c r="V103" s="732"/>
      <c r="W103" s="734"/>
      <c r="X103" s="732"/>
      <c r="Y103" s="734"/>
      <c r="Z103" s="732"/>
      <c r="AA103" s="734"/>
      <c r="AB103" s="732"/>
      <c r="AC103" s="734"/>
      <c r="AD103" s="732"/>
      <c r="AE103" s="734"/>
      <c r="AF103" s="732"/>
      <c r="AG103" s="734"/>
      <c r="AH103" s="732"/>
      <c r="AI103" s="734"/>
      <c r="AJ103" s="732"/>
      <c r="AK103" s="734"/>
      <c r="AL103" s="732"/>
      <c r="AM103" s="734"/>
      <c r="AN103" s="732"/>
      <c r="AO103" s="734"/>
      <c r="AP103" s="732"/>
      <c r="AQ103" s="734"/>
      <c r="AR103" s="732"/>
      <c r="AS103" s="734"/>
      <c r="AT103" s="732"/>
      <c r="AU103" s="734"/>
      <c r="AV103" s="732"/>
      <c r="AW103" s="734"/>
      <c r="AX103" s="732"/>
      <c r="AY103" s="734"/>
      <c r="AZ103" s="732"/>
      <c r="BA103" s="734"/>
      <c r="BB103" s="732"/>
      <c r="BC103" s="734"/>
      <c r="BD103" s="732"/>
      <c r="BE103" s="734"/>
      <c r="BF103" s="732"/>
      <c r="BG103" s="734"/>
      <c r="BH103" s="732"/>
      <c r="BI103" s="734"/>
      <c r="BJ103" s="732"/>
      <c r="BK103" s="734"/>
      <c r="BL103" s="732"/>
      <c r="BM103" s="734"/>
      <c r="BN103" s="732"/>
      <c r="BO103" s="734"/>
      <c r="BP103" s="732"/>
      <c r="BQ103" s="734"/>
      <c r="BR103" s="732"/>
      <c r="BS103" s="734"/>
      <c r="BT103" s="732"/>
      <c r="BU103" s="734"/>
      <c r="BV103" s="732"/>
      <c r="BW103" s="734"/>
      <c r="BX103" s="732"/>
      <c r="BY103" s="734"/>
      <c r="BZ103" s="732"/>
      <c r="CA103" s="734"/>
      <c r="CB103" s="732"/>
      <c r="CC103" s="734"/>
      <c r="CD103" s="732"/>
      <c r="CE103" s="734"/>
      <c r="CF103" s="732"/>
      <c r="CG103" s="734"/>
      <c r="CH103" s="732"/>
      <c r="CI103" s="734"/>
      <c r="CJ103" s="732"/>
      <c r="CK103" s="734"/>
      <c r="CL103" s="732"/>
      <c r="CM103" s="734"/>
      <c r="CN103" s="732"/>
      <c r="CO103" s="734"/>
      <c r="CP103" s="732"/>
      <c r="CQ103" s="734"/>
      <c r="CR103" s="732"/>
      <c r="CS103" s="734"/>
      <c r="CT103" s="732"/>
      <c r="CU103" s="734"/>
      <c r="CV103" s="732"/>
      <c r="CW103" s="734"/>
      <c r="CX103" s="732"/>
      <c r="CY103" s="734"/>
      <c r="CZ103" s="732"/>
      <c r="DA103" s="734"/>
      <c r="DB103" s="734"/>
      <c r="DC103" s="732"/>
      <c r="DD103" s="733"/>
      <c r="DE103" s="732"/>
      <c r="DF103" s="733"/>
      <c r="DG103" s="732"/>
      <c r="DH103" s="733"/>
      <c r="DI103" s="732"/>
      <c r="DJ103" s="733"/>
      <c r="DK103" s="732"/>
      <c r="DL103" s="734"/>
      <c r="DM103" s="732"/>
      <c r="DN103" s="734"/>
      <c r="DO103" s="732"/>
      <c r="DP103" s="734"/>
      <c r="DQ103" s="732"/>
      <c r="DR103" s="734"/>
      <c r="DS103" s="732"/>
      <c r="DT103" s="734"/>
      <c r="DU103" s="732"/>
      <c r="DV103" s="734"/>
      <c r="DW103" s="732"/>
      <c r="DX103" s="734"/>
      <c r="DY103" s="732"/>
      <c r="DZ103" s="734"/>
      <c r="EA103" s="732"/>
      <c r="EB103" s="734"/>
      <c r="EC103" s="732"/>
      <c r="ED103" s="734"/>
      <c r="EE103" s="732"/>
      <c r="EF103" s="734"/>
      <c r="EG103" s="732"/>
      <c r="EH103" s="734"/>
      <c r="EI103" s="732"/>
      <c r="EJ103" s="734"/>
      <c r="EK103" s="732"/>
      <c r="EL103" s="734"/>
      <c r="EM103" s="732"/>
      <c r="EN103" s="734"/>
      <c r="EO103" s="732"/>
      <c r="EP103" s="734"/>
      <c r="EQ103" s="732"/>
      <c r="ER103" s="734"/>
      <c r="ES103" s="732"/>
      <c r="ET103" s="734"/>
      <c r="EU103" s="733"/>
      <c r="EV103" s="710"/>
    </row>
    <row r="104" spans="1:152" ht="12.75" hidden="1" customHeight="1" outlineLevel="1" x14ac:dyDescent="0.2">
      <c r="A104" s="712" t="str">
        <f>A$3</f>
        <v>($Millions Except Per Share Data)</v>
      </c>
      <c r="B104" s="736"/>
      <c r="C104" s="737" t="str">
        <f>C$3</f>
        <v>1Q06/</v>
      </c>
      <c r="D104" s="736"/>
      <c r="E104" s="737" t="str">
        <f>E$3</f>
        <v>2Q06/</v>
      </c>
      <c r="F104" s="736"/>
      <c r="G104" s="737" t="str">
        <f>G$3</f>
        <v>3Q06/</v>
      </c>
      <c r="H104" s="736"/>
      <c r="I104" s="738" t="str">
        <f>I$3</f>
        <v>4Q06/</v>
      </c>
      <c r="J104" s="736"/>
      <c r="K104" s="738" t="str">
        <f>K$3</f>
        <v>1Q07/</v>
      </c>
      <c r="L104" s="736"/>
      <c r="M104" s="738" t="str">
        <f>M$3</f>
        <v>2Q07/</v>
      </c>
      <c r="N104" s="736"/>
      <c r="O104" s="738" t="str">
        <f>O$3</f>
        <v>3Q07/</v>
      </c>
      <c r="P104" s="736"/>
      <c r="Q104" s="738" t="str">
        <f>Q$3</f>
        <v>4Q07/</v>
      </c>
      <c r="R104" s="736"/>
      <c r="S104" s="738" t="str">
        <f>S$3</f>
        <v>1Q08/</v>
      </c>
      <c r="T104" s="736"/>
      <c r="U104" s="738" t="str">
        <f>U$3</f>
        <v>2Q08/</v>
      </c>
      <c r="V104" s="736"/>
      <c r="W104" s="738" t="str">
        <f>W$3</f>
        <v>3Q08/</v>
      </c>
      <c r="X104" s="736"/>
      <c r="Y104" s="738" t="str">
        <f>Y$3</f>
        <v>4Q08/</v>
      </c>
      <c r="Z104" s="736"/>
      <c r="AA104" s="738" t="str">
        <f>AA$3</f>
        <v>1Q09/</v>
      </c>
      <c r="AB104" s="736"/>
      <c r="AC104" s="738" t="str">
        <f>AC$3</f>
        <v>2Q09/</v>
      </c>
      <c r="AD104" s="736"/>
      <c r="AE104" s="738" t="str">
        <f>AE$3</f>
        <v>3Q09/</v>
      </c>
      <c r="AF104" s="736"/>
      <c r="AG104" s="738" t="str">
        <f>AG$3</f>
        <v>4Q09/</v>
      </c>
      <c r="AH104" s="736"/>
      <c r="AI104" s="738" t="str">
        <f>AI$3</f>
        <v>1Q10/</v>
      </c>
      <c r="AJ104" s="736"/>
      <c r="AK104" s="738" t="str">
        <f>AK$3</f>
        <v>2Q10/</v>
      </c>
      <c r="AL104" s="736"/>
      <c r="AM104" s="738" t="str">
        <f>AM$3</f>
        <v>3Q10/</v>
      </c>
      <c r="AN104" s="736"/>
      <c r="AO104" s="738">
        <f>AO$3</f>
        <v>0</v>
      </c>
      <c r="AP104" s="736"/>
      <c r="AQ104" s="738" t="str">
        <f>AQ$3</f>
        <v>1Q11/</v>
      </c>
      <c r="AR104" s="736"/>
      <c r="AS104" s="738" t="str">
        <f>AS$3</f>
        <v>2Q11/</v>
      </c>
      <c r="AT104" s="736"/>
      <c r="AU104" s="738" t="str">
        <f>AU$3</f>
        <v>3Q11/</v>
      </c>
      <c r="AV104" s="736"/>
      <c r="AW104" s="738" t="str">
        <f>AW$3</f>
        <v>4Q11/</v>
      </c>
      <c r="AX104" s="736"/>
      <c r="AY104" s="738" t="str">
        <f>AY$3</f>
        <v>1Q12/</v>
      </c>
      <c r="AZ104" s="736"/>
      <c r="BA104" s="738" t="str">
        <f>BA$3</f>
        <v>2Q12/</v>
      </c>
      <c r="BB104" s="736"/>
      <c r="BC104" s="738" t="str">
        <f>BC$3</f>
        <v>3Q12/</v>
      </c>
      <c r="BD104" s="736"/>
      <c r="BE104" s="738" t="str">
        <f>BE$3</f>
        <v>4Q12/</v>
      </c>
      <c r="BF104" s="736"/>
      <c r="BG104" s="738" t="str">
        <f>BG$3</f>
        <v>1Q13/</v>
      </c>
      <c r="BH104" s="736"/>
      <c r="BI104" s="738" t="str">
        <f>BI$3</f>
        <v>2Q13/</v>
      </c>
      <c r="BJ104" s="736"/>
      <c r="BK104" s="738" t="str">
        <f>BK$3</f>
        <v>3Q13/</v>
      </c>
      <c r="BL104" s="736"/>
      <c r="BM104" s="738" t="str">
        <f>BM$3</f>
        <v>4Q13/</v>
      </c>
      <c r="BN104" s="736"/>
      <c r="BO104" s="738" t="str">
        <f>BO$3</f>
        <v>1Q14/</v>
      </c>
      <c r="BP104" s="736"/>
      <c r="BQ104" s="738" t="str">
        <f>BQ$3</f>
        <v>2Q14/</v>
      </c>
      <c r="BR104" s="736"/>
      <c r="BS104" s="738" t="str">
        <f>BS$3</f>
        <v>3Q14/</v>
      </c>
      <c r="BT104" s="736"/>
      <c r="BU104" s="738" t="str">
        <f>BU$3</f>
        <v>4Q14/</v>
      </c>
      <c r="BV104" s="736"/>
      <c r="BW104" s="738" t="str">
        <f>BW$3</f>
        <v>1Q15/</v>
      </c>
      <c r="BX104" s="736"/>
      <c r="BY104" s="738" t="str">
        <f>BY$3</f>
        <v>2Q15/</v>
      </c>
      <c r="BZ104" s="736"/>
      <c r="CA104" s="738" t="str">
        <f>CA$3</f>
        <v>3Q15/</v>
      </c>
      <c r="CB104" s="736"/>
      <c r="CC104" s="738" t="str">
        <f>CC$3</f>
        <v>4Q15/</v>
      </c>
      <c r="CD104" s="736"/>
      <c r="CE104" s="738" t="str">
        <f>CE$3</f>
        <v>1Q16/</v>
      </c>
      <c r="CF104" s="736"/>
      <c r="CG104" s="738" t="str">
        <f>CG$3</f>
        <v>2Q16/</v>
      </c>
      <c r="CH104" s="736"/>
      <c r="CI104" s="738" t="str">
        <f>CI$3</f>
        <v>3Q16/</v>
      </c>
      <c r="CJ104" s="736"/>
      <c r="CK104" s="738" t="str">
        <f>CK$3</f>
        <v>4Q16/</v>
      </c>
      <c r="CL104" s="736"/>
      <c r="CM104" s="738" t="str">
        <f t="shared" ref="CM104" si="196">CM$3</f>
        <v>1Q17/</v>
      </c>
      <c r="CN104" s="736"/>
      <c r="CO104" s="738" t="str">
        <f t="shared" ref="CO104" si="197">CO$3</f>
        <v>2Q17/</v>
      </c>
      <c r="CP104" s="736"/>
      <c r="CQ104" s="738" t="str">
        <f t="shared" ref="CQ104:CS104" si="198">CQ$3</f>
        <v>3Q17/</v>
      </c>
      <c r="CR104" s="736"/>
      <c r="CS104" s="738" t="str">
        <f t="shared" si="198"/>
        <v>4Q17/</v>
      </c>
      <c r="CT104" s="736"/>
      <c r="CU104" s="738" t="str">
        <f t="shared" ref="CU104" si="199">CU$3</f>
        <v>1Q18E/</v>
      </c>
      <c r="CV104" s="736"/>
      <c r="CW104" s="738" t="str">
        <f t="shared" ref="CW104" si="200">CW$3</f>
        <v>2Q18E/</v>
      </c>
      <c r="CX104" s="736"/>
      <c r="CY104" s="738" t="str">
        <f t="shared" ref="CY104:DA104" si="201">CY$3</f>
        <v>3Q18E/</v>
      </c>
      <c r="CZ104" s="736"/>
      <c r="DA104" s="738" t="str">
        <f t="shared" si="201"/>
        <v>4Q18E/</v>
      </c>
      <c r="DB104" s="739"/>
      <c r="DC104" s="736"/>
      <c r="DD104" s="737" t="str">
        <f>DD$3</f>
        <v>2001/</v>
      </c>
      <c r="DE104" s="736"/>
      <c r="DF104" s="737" t="str">
        <f>DF$3</f>
        <v>2002/</v>
      </c>
      <c r="DG104" s="736"/>
      <c r="DH104" s="737" t="str">
        <f>DH$3</f>
        <v>2003/</v>
      </c>
      <c r="DI104" s="736"/>
      <c r="DJ104" s="737" t="str">
        <f>DJ$3</f>
        <v>2004/</v>
      </c>
      <c r="DK104" s="736"/>
      <c r="DL104" s="738" t="str">
        <f>DL$3</f>
        <v>2005/</v>
      </c>
      <c r="DM104" s="736"/>
      <c r="DN104" s="738" t="str">
        <f>DN$3</f>
        <v>2006/</v>
      </c>
      <c r="DO104" s="736"/>
      <c r="DP104" s="738" t="str">
        <f>DP$3</f>
        <v>2007/</v>
      </c>
      <c r="DQ104" s="736"/>
      <c r="DR104" s="738" t="str">
        <f>DR$3</f>
        <v>2008/</v>
      </c>
      <c r="DS104" s="736"/>
      <c r="DT104" s="738" t="str">
        <f>DT$3</f>
        <v>2009/</v>
      </c>
      <c r="DU104" s="736"/>
      <c r="DV104" s="738" t="str">
        <f>DV$3</f>
        <v>2010/</v>
      </c>
      <c r="DW104" s="736"/>
      <c r="DX104" s="738" t="str">
        <f>DX$3</f>
        <v>2011/</v>
      </c>
      <c r="DY104" s="736"/>
      <c r="DZ104" s="738" t="str">
        <f>DZ$3</f>
        <v>2012/</v>
      </c>
      <c r="EA104" s="736"/>
      <c r="EB104" s="738" t="str">
        <f>EB$3</f>
        <v>2013/</v>
      </c>
      <c r="EC104" s="736"/>
      <c r="ED104" s="738" t="str">
        <f>ED$3</f>
        <v>2014/</v>
      </c>
      <c r="EE104" s="736"/>
      <c r="EF104" s="738" t="str">
        <f>EF$3</f>
        <v>2015/</v>
      </c>
      <c r="EG104" s="736"/>
      <c r="EH104" s="738" t="str">
        <f>EH$3</f>
        <v>2016/</v>
      </c>
      <c r="EI104" s="736"/>
      <c r="EJ104" s="738" t="str">
        <f>EJ$3</f>
        <v>2017/</v>
      </c>
      <c r="EK104" s="736"/>
      <c r="EL104" s="738" t="str">
        <f>EL$3</f>
        <v>2018E/</v>
      </c>
      <c r="EM104" s="736"/>
      <c r="EN104" s="738" t="str">
        <f>EN$3</f>
        <v>2019E/</v>
      </c>
      <c r="EO104" s="736"/>
      <c r="EP104" s="738" t="str">
        <f>EP$3</f>
        <v>2020E/</v>
      </c>
      <c r="EQ104" s="736"/>
      <c r="ER104" s="738" t="str">
        <f>ER$3</f>
        <v>2021E/</v>
      </c>
      <c r="ES104" s="736"/>
      <c r="ET104" s="738" t="str">
        <f>ET$3</f>
        <v>2022E/</v>
      </c>
      <c r="EU104" s="737"/>
      <c r="EV104" s="710"/>
    </row>
    <row r="105" spans="1:152" ht="12.75" hidden="1" customHeight="1" outlineLevel="1" x14ac:dyDescent="0.2">
      <c r="A105" s="740"/>
      <c r="B105" s="732"/>
      <c r="C105" s="741" t="str">
        <f>C$4</f>
        <v>1Q05</v>
      </c>
      <c r="D105" s="732"/>
      <c r="E105" s="741" t="str">
        <f>E$4</f>
        <v>2Q05</v>
      </c>
      <c r="F105" s="732"/>
      <c r="G105" s="741" t="str">
        <f>G$4</f>
        <v>3Q05</v>
      </c>
      <c r="H105" s="732"/>
      <c r="I105" s="734" t="str">
        <f>I$4</f>
        <v>4Q05</v>
      </c>
      <c r="J105" s="732"/>
      <c r="K105" s="734" t="str">
        <f>K$4</f>
        <v>1Q06</v>
      </c>
      <c r="L105" s="732"/>
      <c r="M105" s="734" t="str">
        <f>M$4</f>
        <v>2Q06</v>
      </c>
      <c r="N105" s="732"/>
      <c r="O105" s="734" t="str">
        <f>O$4</f>
        <v>3Q06</v>
      </c>
      <c r="P105" s="732"/>
      <c r="Q105" s="734" t="str">
        <f>Q$4</f>
        <v>4Q06</v>
      </c>
      <c r="R105" s="732"/>
      <c r="S105" s="734" t="str">
        <f>S$4</f>
        <v>1Q07</v>
      </c>
      <c r="T105" s="732"/>
      <c r="U105" s="734" t="str">
        <f>U$4</f>
        <v>2Q07</v>
      </c>
      <c r="V105" s="732"/>
      <c r="W105" s="734" t="str">
        <f>W$4</f>
        <v>3Q07</v>
      </c>
      <c r="X105" s="732"/>
      <c r="Y105" s="734" t="str">
        <f>Y$4</f>
        <v>4Q07</v>
      </c>
      <c r="Z105" s="732"/>
      <c r="AA105" s="734" t="str">
        <f>AA$4</f>
        <v>1Q08</v>
      </c>
      <c r="AB105" s="732"/>
      <c r="AC105" s="734" t="str">
        <f>AC$4</f>
        <v>2Q08</v>
      </c>
      <c r="AD105" s="732"/>
      <c r="AE105" s="734" t="str">
        <f>AE$4</f>
        <v>3Q08</v>
      </c>
      <c r="AF105" s="732"/>
      <c r="AG105" s="734" t="str">
        <f>AG$4</f>
        <v>4Q08</v>
      </c>
      <c r="AH105" s="732"/>
      <c r="AI105" s="734" t="str">
        <f>AI$4</f>
        <v>1Q09</v>
      </c>
      <c r="AJ105" s="732"/>
      <c r="AK105" s="734" t="str">
        <f>AK$4</f>
        <v>2Q09</v>
      </c>
      <c r="AL105" s="732"/>
      <c r="AM105" s="734" t="str">
        <f>AM$4</f>
        <v>3Q09</v>
      </c>
      <c r="AN105" s="732"/>
      <c r="AO105" s="734" t="str">
        <f>AO$4</f>
        <v>4Q09</v>
      </c>
      <c r="AP105" s="732"/>
      <c r="AQ105" s="734" t="str">
        <f>AQ$4</f>
        <v>1Q10</v>
      </c>
      <c r="AR105" s="732"/>
      <c r="AS105" s="734" t="str">
        <f>AS$4</f>
        <v>2Q10</v>
      </c>
      <c r="AT105" s="732"/>
      <c r="AU105" s="734" t="str">
        <f>AU$4</f>
        <v>3Q10</v>
      </c>
      <c r="AV105" s="732"/>
      <c r="AW105" s="734" t="str">
        <f>AW$4</f>
        <v>4Q10</v>
      </c>
      <c r="AX105" s="732"/>
      <c r="AY105" s="734" t="str">
        <f>AY$4</f>
        <v>1Q11</v>
      </c>
      <c r="AZ105" s="732"/>
      <c r="BA105" s="734" t="str">
        <f>BA$4</f>
        <v>2Q11</v>
      </c>
      <c r="BB105" s="732"/>
      <c r="BC105" s="734" t="str">
        <f>BC$4</f>
        <v>3Q11</v>
      </c>
      <c r="BD105" s="732"/>
      <c r="BE105" s="734" t="str">
        <f>BE$4</f>
        <v>4Q11</v>
      </c>
      <c r="BF105" s="732"/>
      <c r="BG105" s="734" t="str">
        <f>BG$4</f>
        <v>1Q12</v>
      </c>
      <c r="BH105" s="732"/>
      <c r="BI105" s="734" t="str">
        <f>BI$4</f>
        <v>2Q12</v>
      </c>
      <c r="BJ105" s="732"/>
      <c r="BK105" s="734" t="str">
        <f>BK$4</f>
        <v>3Q12</v>
      </c>
      <c r="BL105" s="732"/>
      <c r="BM105" s="734" t="str">
        <f>BM$4</f>
        <v>4Q12</v>
      </c>
      <c r="BN105" s="732"/>
      <c r="BO105" s="734" t="str">
        <f>BO$4</f>
        <v>1Q13</v>
      </c>
      <c r="BP105" s="732"/>
      <c r="BQ105" s="734" t="str">
        <f>BQ$4</f>
        <v>2Q13</v>
      </c>
      <c r="BR105" s="732"/>
      <c r="BS105" s="734" t="str">
        <f>BS$4</f>
        <v>3Q13</v>
      </c>
      <c r="BT105" s="732"/>
      <c r="BU105" s="734" t="str">
        <f>BU$4</f>
        <v>4Q13</v>
      </c>
      <c r="BV105" s="732"/>
      <c r="BW105" s="734" t="str">
        <f>BW$4</f>
        <v>1Q14</v>
      </c>
      <c r="BX105" s="732"/>
      <c r="BY105" s="734" t="str">
        <f>BY$4</f>
        <v>2Q14</v>
      </c>
      <c r="BZ105" s="732"/>
      <c r="CA105" s="734" t="str">
        <f>CA$4</f>
        <v>3Q14</v>
      </c>
      <c r="CB105" s="732"/>
      <c r="CC105" s="734" t="str">
        <f>CC$4</f>
        <v>4Q14</v>
      </c>
      <c r="CD105" s="732"/>
      <c r="CE105" s="734" t="str">
        <f>CE$4</f>
        <v>1Q15</v>
      </c>
      <c r="CF105" s="732"/>
      <c r="CG105" s="734" t="str">
        <f>CG$4</f>
        <v>2Q15</v>
      </c>
      <c r="CH105" s="732"/>
      <c r="CI105" s="734" t="str">
        <f>CI$4</f>
        <v>3Q15</v>
      </c>
      <c r="CJ105" s="732"/>
      <c r="CK105" s="734" t="str">
        <f>CK$4</f>
        <v>4Q15</v>
      </c>
      <c r="CL105" s="732"/>
      <c r="CM105" s="734" t="str">
        <f t="shared" ref="CM105" si="202">CM$4</f>
        <v>1Q16</v>
      </c>
      <c r="CN105" s="732"/>
      <c r="CO105" s="734" t="str">
        <f t="shared" ref="CO105" si="203">CO$4</f>
        <v>2Q16</v>
      </c>
      <c r="CP105" s="732"/>
      <c r="CQ105" s="734" t="str">
        <f t="shared" ref="CQ105:CS105" si="204">CQ$4</f>
        <v>3Q16</v>
      </c>
      <c r="CR105" s="732"/>
      <c r="CS105" s="734" t="str">
        <f t="shared" si="204"/>
        <v>4Q16</v>
      </c>
      <c r="CT105" s="732"/>
      <c r="CU105" s="734" t="str">
        <f t="shared" ref="CU105" si="205">CU$4</f>
        <v>1Q17</v>
      </c>
      <c r="CV105" s="732"/>
      <c r="CW105" s="734" t="str">
        <f t="shared" ref="CW105" si="206">CW$4</f>
        <v>2Q17</v>
      </c>
      <c r="CX105" s="732"/>
      <c r="CY105" s="734" t="str">
        <f t="shared" ref="CY105:DA105" si="207">CY$4</f>
        <v>3Q17</v>
      </c>
      <c r="CZ105" s="732"/>
      <c r="DA105" s="734" t="str">
        <f t="shared" si="207"/>
        <v>4Q17</v>
      </c>
      <c r="DB105" s="742"/>
      <c r="DC105" s="732"/>
      <c r="DD105" s="741" t="str">
        <f>DD$4</f>
        <v>2000</v>
      </c>
      <c r="DE105" s="732"/>
      <c r="DF105" s="741" t="str">
        <f>DF$4</f>
        <v>2001</v>
      </c>
      <c r="DG105" s="732"/>
      <c r="DH105" s="741" t="str">
        <f>DH$4</f>
        <v>2002</v>
      </c>
      <c r="DI105" s="732"/>
      <c r="DJ105" s="741" t="str">
        <f>DJ$4</f>
        <v>2003</v>
      </c>
      <c r="DK105" s="732"/>
      <c r="DL105" s="734" t="str">
        <f>DL$4</f>
        <v>2004</v>
      </c>
      <c r="DM105" s="732"/>
      <c r="DN105" s="734" t="str">
        <f>DN$4</f>
        <v>2005</v>
      </c>
      <c r="DO105" s="732"/>
      <c r="DP105" s="734">
        <f>DP$4</f>
        <v>2006</v>
      </c>
      <c r="DQ105" s="732"/>
      <c r="DR105" s="734">
        <f>DR$4</f>
        <v>2007</v>
      </c>
      <c r="DS105" s="732"/>
      <c r="DT105" s="734">
        <f>DT$4</f>
        <v>2008</v>
      </c>
      <c r="DU105" s="732"/>
      <c r="DV105" s="734" t="str">
        <f>DV$4</f>
        <v>2009</v>
      </c>
      <c r="DW105" s="732"/>
      <c r="DX105" s="734" t="str">
        <f>DX$4</f>
        <v>2010</v>
      </c>
      <c r="DY105" s="732"/>
      <c r="DZ105" s="734" t="str">
        <f>DZ$4</f>
        <v>2011</v>
      </c>
      <c r="EA105" s="732"/>
      <c r="EB105" s="734" t="str">
        <f>EB$4</f>
        <v>2012</v>
      </c>
      <c r="EC105" s="732"/>
      <c r="ED105" s="734" t="str">
        <f>ED$4</f>
        <v>2013</v>
      </c>
      <c r="EE105" s="732"/>
      <c r="EF105" s="734" t="str">
        <f>EF$4</f>
        <v>2014</v>
      </c>
      <c r="EG105" s="732"/>
      <c r="EH105" s="734" t="str">
        <f>EH$4</f>
        <v>2015</v>
      </c>
      <c r="EI105" s="732"/>
      <c r="EJ105" s="734" t="str">
        <f>EJ$4</f>
        <v>2016</v>
      </c>
      <c r="EK105" s="732"/>
      <c r="EL105" s="734" t="str">
        <f>EL$4</f>
        <v>2017</v>
      </c>
      <c r="EM105" s="732"/>
      <c r="EN105" s="734" t="str">
        <f>EN$4</f>
        <v>2018E</v>
      </c>
      <c r="EO105" s="732"/>
      <c r="EP105" s="734" t="str">
        <f>EP$4</f>
        <v>2019E</v>
      </c>
      <c r="EQ105" s="732"/>
      <c r="ER105" s="734" t="str">
        <f>ER$4</f>
        <v>2020E</v>
      </c>
      <c r="ES105" s="732"/>
      <c r="ET105" s="734" t="str">
        <f>ET$4</f>
        <v>2021E</v>
      </c>
      <c r="EU105" s="741" t="str">
        <f>EU$4</f>
        <v>CAGR</v>
      </c>
      <c r="EV105" s="710"/>
    </row>
    <row r="106" spans="1:152" ht="12.75" hidden="1" customHeight="1" outlineLevel="1" x14ac:dyDescent="0.2">
      <c r="A106" s="743"/>
      <c r="B106" s="744" t="str">
        <f t="shared" ref="B106:CL106" si="208">B$5</f>
        <v>1Q06</v>
      </c>
      <c r="C106" s="745" t="str">
        <f t="shared" si="208"/>
        <v>% Chg</v>
      </c>
      <c r="D106" s="744" t="str">
        <f t="shared" si="208"/>
        <v>2Q06</v>
      </c>
      <c r="E106" s="745" t="str">
        <f t="shared" si="208"/>
        <v>% Chg</v>
      </c>
      <c r="F106" s="744" t="str">
        <f t="shared" si="208"/>
        <v>3Q06</v>
      </c>
      <c r="G106" s="745" t="str">
        <f t="shared" si="208"/>
        <v>% Chg</v>
      </c>
      <c r="H106" s="744" t="str">
        <f t="shared" si="208"/>
        <v>4Q06</v>
      </c>
      <c r="I106" s="746" t="str">
        <f t="shared" si="208"/>
        <v>% Chg</v>
      </c>
      <c r="J106" s="744" t="str">
        <f t="shared" si="208"/>
        <v>1Q07</v>
      </c>
      <c r="K106" s="746" t="str">
        <f t="shared" si="208"/>
        <v>% Chg</v>
      </c>
      <c r="L106" s="744" t="str">
        <f t="shared" si="208"/>
        <v>2Q07</v>
      </c>
      <c r="M106" s="746" t="str">
        <f t="shared" si="208"/>
        <v>% Chg</v>
      </c>
      <c r="N106" s="744" t="str">
        <f t="shared" si="208"/>
        <v>3Q07</v>
      </c>
      <c r="O106" s="746" t="str">
        <f t="shared" si="208"/>
        <v>% Chg</v>
      </c>
      <c r="P106" s="744" t="str">
        <f t="shared" si="208"/>
        <v>4Q07</v>
      </c>
      <c r="Q106" s="746" t="str">
        <f t="shared" si="208"/>
        <v>% Chg</v>
      </c>
      <c r="R106" s="744" t="str">
        <f t="shared" si="208"/>
        <v>1Q08</v>
      </c>
      <c r="S106" s="746" t="str">
        <f t="shared" si="208"/>
        <v>% Chg</v>
      </c>
      <c r="T106" s="744" t="str">
        <f t="shared" si="208"/>
        <v>2Q08</v>
      </c>
      <c r="U106" s="746" t="str">
        <f t="shared" si="208"/>
        <v>% Chg</v>
      </c>
      <c r="V106" s="744" t="str">
        <f t="shared" si="208"/>
        <v>3Q08</v>
      </c>
      <c r="W106" s="746" t="str">
        <f t="shared" si="208"/>
        <v>% Chg</v>
      </c>
      <c r="X106" s="744" t="str">
        <f t="shared" si="208"/>
        <v>4Q08</v>
      </c>
      <c r="Y106" s="746" t="str">
        <f t="shared" si="208"/>
        <v>% Chg</v>
      </c>
      <c r="Z106" s="744" t="str">
        <f t="shared" si="208"/>
        <v>1Q09</v>
      </c>
      <c r="AA106" s="746" t="str">
        <f t="shared" si="208"/>
        <v>% Chg</v>
      </c>
      <c r="AB106" s="744" t="str">
        <f t="shared" si="208"/>
        <v>2Q09</v>
      </c>
      <c r="AC106" s="746" t="str">
        <f t="shared" si="208"/>
        <v>% Chg</v>
      </c>
      <c r="AD106" s="744" t="str">
        <f t="shared" si="208"/>
        <v>3Q09</v>
      </c>
      <c r="AE106" s="746" t="str">
        <f t="shared" si="208"/>
        <v>% Chg</v>
      </c>
      <c r="AF106" s="744" t="str">
        <f t="shared" si="208"/>
        <v>4Q09</v>
      </c>
      <c r="AG106" s="746" t="str">
        <f t="shared" si="208"/>
        <v>% Chg</v>
      </c>
      <c r="AH106" s="744" t="str">
        <f t="shared" si="208"/>
        <v>1Q10</v>
      </c>
      <c r="AI106" s="746" t="str">
        <f t="shared" si="208"/>
        <v>% Chg</v>
      </c>
      <c r="AJ106" s="744" t="str">
        <f t="shared" si="208"/>
        <v>2Q10</v>
      </c>
      <c r="AK106" s="746" t="str">
        <f t="shared" si="208"/>
        <v>% Chg</v>
      </c>
      <c r="AL106" s="744" t="str">
        <f t="shared" si="208"/>
        <v>3Q10</v>
      </c>
      <c r="AM106" s="746" t="str">
        <f t="shared" si="208"/>
        <v>% Chg</v>
      </c>
      <c r="AN106" s="744" t="str">
        <f t="shared" si="208"/>
        <v>4Q10</v>
      </c>
      <c r="AO106" s="746" t="str">
        <f t="shared" si="208"/>
        <v>% Chg</v>
      </c>
      <c r="AP106" s="744" t="str">
        <f t="shared" si="208"/>
        <v>1Q11</v>
      </c>
      <c r="AQ106" s="746" t="str">
        <f t="shared" si="208"/>
        <v>% Chg</v>
      </c>
      <c r="AR106" s="744" t="str">
        <f t="shared" si="208"/>
        <v>2Q11</v>
      </c>
      <c r="AS106" s="746" t="str">
        <f t="shared" si="208"/>
        <v>% Chg</v>
      </c>
      <c r="AT106" s="744" t="str">
        <f t="shared" si="208"/>
        <v>3Q11</v>
      </c>
      <c r="AU106" s="746" t="str">
        <f t="shared" si="208"/>
        <v>% Chg</v>
      </c>
      <c r="AV106" s="744" t="str">
        <f t="shared" si="208"/>
        <v>4Q11</v>
      </c>
      <c r="AW106" s="746" t="str">
        <f t="shared" si="208"/>
        <v>% Chg</v>
      </c>
      <c r="AX106" s="744" t="str">
        <f t="shared" si="208"/>
        <v>1Q12</v>
      </c>
      <c r="AY106" s="746" t="str">
        <f t="shared" si="208"/>
        <v>% Chg</v>
      </c>
      <c r="AZ106" s="744" t="str">
        <f t="shared" si="208"/>
        <v>2Q12</v>
      </c>
      <c r="BA106" s="746" t="str">
        <f t="shared" si="208"/>
        <v>% Chg</v>
      </c>
      <c r="BB106" s="744" t="str">
        <f t="shared" si="208"/>
        <v>3Q12</v>
      </c>
      <c r="BC106" s="746" t="str">
        <f t="shared" si="208"/>
        <v>% Chg</v>
      </c>
      <c r="BD106" s="744" t="str">
        <f t="shared" si="208"/>
        <v>4Q12</v>
      </c>
      <c r="BE106" s="746" t="str">
        <f t="shared" si="208"/>
        <v>% Chg</v>
      </c>
      <c r="BF106" s="744" t="str">
        <f t="shared" si="208"/>
        <v>1Q13</v>
      </c>
      <c r="BG106" s="746" t="str">
        <f t="shared" si="208"/>
        <v>% Chg</v>
      </c>
      <c r="BH106" s="744" t="str">
        <f t="shared" si="208"/>
        <v>2Q13</v>
      </c>
      <c r="BI106" s="746" t="str">
        <f t="shared" si="208"/>
        <v>% Chg</v>
      </c>
      <c r="BJ106" s="744" t="str">
        <f t="shared" si="208"/>
        <v>3Q13</v>
      </c>
      <c r="BK106" s="746" t="str">
        <f t="shared" si="208"/>
        <v>% Chg</v>
      </c>
      <c r="BL106" s="744" t="str">
        <f t="shared" si="208"/>
        <v>4Q13</v>
      </c>
      <c r="BM106" s="746" t="str">
        <f t="shared" si="208"/>
        <v>% Chg</v>
      </c>
      <c r="BN106" s="744" t="str">
        <f t="shared" si="208"/>
        <v>1Q14</v>
      </c>
      <c r="BO106" s="746" t="str">
        <f>BO$5</f>
        <v>% Chg</v>
      </c>
      <c r="BP106" s="744" t="str">
        <f t="shared" si="208"/>
        <v>2Q14</v>
      </c>
      <c r="BQ106" s="746" t="str">
        <f>BQ$5</f>
        <v>% Chg</v>
      </c>
      <c r="BR106" s="744" t="str">
        <f t="shared" si="208"/>
        <v>3Q14</v>
      </c>
      <c r="BS106" s="746" t="str">
        <f>BS$5</f>
        <v>% Chg</v>
      </c>
      <c r="BT106" s="744" t="str">
        <f t="shared" si="208"/>
        <v>4Q14</v>
      </c>
      <c r="BU106" s="746" t="str">
        <f>BU$5</f>
        <v>% Chg</v>
      </c>
      <c r="BV106" s="744" t="str">
        <f t="shared" si="208"/>
        <v>1Q15</v>
      </c>
      <c r="BW106" s="746" t="str">
        <f>BW$5</f>
        <v>% Chg</v>
      </c>
      <c r="BX106" s="744" t="str">
        <f t="shared" si="208"/>
        <v>2Q15</v>
      </c>
      <c r="BY106" s="746" t="str">
        <f>BY$5</f>
        <v>% Chg</v>
      </c>
      <c r="BZ106" s="744" t="str">
        <f t="shared" si="208"/>
        <v>3Q15</v>
      </c>
      <c r="CA106" s="746" t="str">
        <f>CA$5</f>
        <v>% Chg</v>
      </c>
      <c r="CB106" s="744" t="str">
        <f t="shared" si="208"/>
        <v>4Q15</v>
      </c>
      <c r="CC106" s="746" t="str">
        <f>CC$5</f>
        <v>% Chg</v>
      </c>
      <c r="CD106" s="744" t="str">
        <f t="shared" si="208"/>
        <v>1Q16</v>
      </c>
      <c r="CE106" s="746" t="str">
        <f>CE$5</f>
        <v>% Chg</v>
      </c>
      <c r="CF106" s="744" t="str">
        <f t="shared" si="208"/>
        <v>2Q16</v>
      </c>
      <c r="CG106" s="746" t="str">
        <f>CG$5</f>
        <v>% Chg</v>
      </c>
      <c r="CH106" s="744" t="str">
        <f t="shared" si="208"/>
        <v>3Q16</v>
      </c>
      <c r="CI106" s="746" t="str">
        <f>CI$5</f>
        <v>% Chg</v>
      </c>
      <c r="CJ106" s="744" t="str">
        <f t="shared" si="208"/>
        <v>4Q16</v>
      </c>
      <c r="CK106" s="746" t="str">
        <f>CK$5</f>
        <v>% Chg</v>
      </c>
      <c r="CL106" s="744" t="str">
        <f t="shared" si="208"/>
        <v>1Q17</v>
      </c>
      <c r="CM106" s="746" t="str">
        <f t="shared" ref="CM106:DA106" si="209">CM$5</f>
        <v>% Chg</v>
      </c>
      <c r="CN106" s="744" t="str">
        <f t="shared" si="209"/>
        <v>2Q17</v>
      </c>
      <c r="CO106" s="746" t="str">
        <f t="shared" si="209"/>
        <v>% Chg</v>
      </c>
      <c r="CP106" s="744" t="str">
        <f t="shared" si="209"/>
        <v>3Q17</v>
      </c>
      <c r="CQ106" s="746" t="str">
        <f t="shared" si="209"/>
        <v>% Chg</v>
      </c>
      <c r="CR106" s="744" t="str">
        <f t="shared" si="209"/>
        <v>4Q17</v>
      </c>
      <c r="CS106" s="746" t="str">
        <f t="shared" si="209"/>
        <v>% Chg</v>
      </c>
      <c r="CT106" s="744" t="str">
        <f t="shared" si="209"/>
        <v>1Q18E</v>
      </c>
      <c r="CU106" s="746" t="str">
        <f t="shared" si="209"/>
        <v>% Chg</v>
      </c>
      <c r="CV106" s="744" t="str">
        <f t="shared" si="209"/>
        <v>2Q18E</v>
      </c>
      <c r="CW106" s="746" t="str">
        <f t="shared" si="209"/>
        <v>% Chg</v>
      </c>
      <c r="CX106" s="744" t="str">
        <f t="shared" si="209"/>
        <v>3Q18E</v>
      </c>
      <c r="CY106" s="746" t="str">
        <f t="shared" si="209"/>
        <v>% Chg</v>
      </c>
      <c r="CZ106" s="744" t="str">
        <f t="shared" si="209"/>
        <v>4Q18E</v>
      </c>
      <c r="DA106" s="746" t="str">
        <f t="shared" si="209"/>
        <v>% Chg</v>
      </c>
      <c r="DB106" s="747"/>
      <c r="DC106" s="744" t="str">
        <f t="shared" ref="DC106:ET106" si="210">DC$5</f>
        <v>2001</v>
      </c>
      <c r="DD106" s="745" t="str">
        <f t="shared" si="210"/>
        <v>% Chg</v>
      </c>
      <c r="DE106" s="744" t="str">
        <f t="shared" si="210"/>
        <v>2002</v>
      </c>
      <c r="DF106" s="745" t="str">
        <f t="shared" si="210"/>
        <v>% Chg</v>
      </c>
      <c r="DG106" s="744" t="str">
        <f t="shared" si="210"/>
        <v>2003</v>
      </c>
      <c r="DH106" s="745" t="str">
        <f t="shared" si="210"/>
        <v>% Chg</v>
      </c>
      <c r="DI106" s="744" t="str">
        <f t="shared" si="210"/>
        <v>2004</v>
      </c>
      <c r="DJ106" s="745" t="str">
        <f t="shared" si="210"/>
        <v>% Chg</v>
      </c>
      <c r="DK106" s="744" t="str">
        <f t="shared" si="210"/>
        <v>2005</v>
      </c>
      <c r="DL106" s="746" t="str">
        <f t="shared" si="210"/>
        <v>% Chg</v>
      </c>
      <c r="DM106" s="748">
        <f t="shared" si="210"/>
        <v>2006</v>
      </c>
      <c r="DN106" s="746" t="str">
        <f t="shared" si="210"/>
        <v>% Chg</v>
      </c>
      <c r="DO106" s="748">
        <f t="shared" si="210"/>
        <v>2007</v>
      </c>
      <c r="DP106" s="746" t="str">
        <f t="shared" si="210"/>
        <v>% Chg</v>
      </c>
      <c r="DQ106" s="748">
        <f t="shared" si="210"/>
        <v>2008</v>
      </c>
      <c r="DR106" s="746" t="str">
        <f t="shared" si="210"/>
        <v>% Chg</v>
      </c>
      <c r="DS106" s="744" t="str">
        <f t="shared" si="210"/>
        <v>2009</v>
      </c>
      <c r="DT106" s="746" t="str">
        <f t="shared" si="210"/>
        <v>% Chg</v>
      </c>
      <c r="DU106" s="744" t="str">
        <f t="shared" si="210"/>
        <v>2010</v>
      </c>
      <c r="DV106" s="746" t="str">
        <f t="shared" si="210"/>
        <v>% Chg</v>
      </c>
      <c r="DW106" s="744" t="str">
        <f t="shared" si="210"/>
        <v>2011</v>
      </c>
      <c r="DX106" s="746" t="str">
        <f t="shared" si="210"/>
        <v>% Chg</v>
      </c>
      <c r="DY106" s="744" t="str">
        <f t="shared" si="210"/>
        <v>2012</v>
      </c>
      <c r="DZ106" s="746" t="str">
        <f t="shared" si="210"/>
        <v>% Chg</v>
      </c>
      <c r="EA106" s="744" t="str">
        <f t="shared" si="210"/>
        <v>2013</v>
      </c>
      <c r="EB106" s="746" t="str">
        <f t="shared" si="210"/>
        <v>% Chg</v>
      </c>
      <c r="EC106" s="744" t="str">
        <f t="shared" si="210"/>
        <v>2014</v>
      </c>
      <c r="ED106" s="746" t="str">
        <f t="shared" si="210"/>
        <v>% Chg</v>
      </c>
      <c r="EE106" s="744" t="str">
        <f t="shared" si="210"/>
        <v>2015</v>
      </c>
      <c r="EF106" s="746" t="str">
        <f t="shared" si="210"/>
        <v>% Chg</v>
      </c>
      <c r="EG106" s="744" t="str">
        <f t="shared" si="210"/>
        <v>2016</v>
      </c>
      <c r="EH106" s="746" t="str">
        <f t="shared" si="210"/>
        <v>% Chg</v>
      </c>
      <c r="EI106" s="744" t="str">
        <f t="shared" si="210"/>
        <v>2017</v>
      </c>
      <c r="EJ106" s="746" t="str">
        <f t="shared" si="210"/>
        <v>% Chg</v>
      </c>
      <c r="EK106" s="744" t="str">
        <f t="shared" si="210"/>
        <v>2018E</v>
      </c>
      <c r="EL106" s="746" t="str">
        <f t="shared" si="210"/>
        <v>% Chg</v>
      </c>
      <c r="EM106" s="744" t="str">
        <f t="shared" si="210"/>
        <v>2019E</v>
      </c>
      <c r="EN106" s="746" t="str">
        <f t="shared" si="210"/>
        <v>% Chg</v>
      </c>
      <c r="EO106" s="744" t="str">
        <f t="shared" si="210"/>
        <v>2020E</v>
      </c>
      <c r="EP106" s="746" t="str">
        <f t="shared" si="210"/>
        <v>% Chg</v>
      </c>
      <c r="EQ106" s="744" t="str">
        <f t="shared" si="210"/>
        <v>2021E</v>
      </c>
      <c r="ER106" s="746" t="str">
        <f t="shared" si="210"/>
        <v>% Chg</v>
      </c>
      <c r="ES106" s="744" t="str">
        <f t="shared" si="210"/>
        <v>2022E</v>
      </c>
      <c r="ET106" s="746" t="str">
        <f t="shared" si="210"/>
        <v>% Chg</v>
      </c>
      <c r="EU106" s="745" t="str">
        <f>EU$5</f>
        <v>(%)</v>
      </c>
      <c r="EV106" s="710"/>
    </row>
    <row r="107" spans="1:152" ht="12.75" hidden="1" customHeight="1" outlineLevel="1" x14ac:dyDescent="0.2">
      <c r="A107" s="749"/>
      <c r="B107" s="750"/>
      <c r="C107" s="767"/>
      <c r="D107" s="750"/>
      <c r="E107" s="767"/>
      <c r="F107" s="750"/>
      <c r="G107" s="767"/>
      <c r="H107" s="750"/>
      <c r="I107" s="752"/>
      <c r="J107" s="750"/>
      <c r="K107" s="752"/>
      <c r="L107" s="750"/>
      <c r="M107" s="752"/>
      <c r="N107" s="750"/>
      <c r="O107" s="752"/>
      <c r="P107" s="750"/>
      <c r="Q107" s="752"/>
      <c r="R107" s="750"/>
      <c r="S107" s="752"/>
      <c r="T107" s="750"/>
      <c r="U107" s="752"/>
      <c r="V107" s="750"/>
      <c r="W107" s="752"/>
      <c r="X107" s="750"/>
      <c r="Y107" s="752"/>
      <c r="Z107" s="750"/>
      <c r="AA107" s="752"/>
      <c r="AB107" s="750"/>
      <c r="AC107" s="752"/>
      <c r="AD107" s="750"/>
      <c r="AE107" s="752"/>
      <c r="AF107" s="750"/>
      <c r="AG107" s="752"/>
      <c r="AH107" s="750"/>
      <c r="AI107" s="752"/>
      <c r="AJ107" s="750"/>
      <c r="AK107" s="752"/>
      <c r="AL107" s="750"/>
      <c r="AM107" s="752"/>
      <c r="AN107" s="750"/>
      <c r="AO107" s="752"/>
      <c r="AP107" s="750"/>
      <c r="AQ107" s="752"/>
      <c r="AR107" s="750"/>
      <c r="AS107" s="752"/>
      <c r="AT107" s="750"/>
      <c r="AU107" s="752"/>
      <c r="AV107" s="750"/>
      <c r="AW107" s="752"/>
      <c r="AX107" s="750"/>
      <c r="AY107" s="752"/>
      <c r="AZ107" s="750"/>
      <c r="BA107" s="752"/>
      <c r="BB107" s="750"/>
      <c r="BC107" s="752"/>
      <c r="BD107" s="750"/>
      <c r="BE107" s="752"/>
      <c r="BF107" s="750"/>
      <c r="BG107" s="752"/>
      <c r="BH107" s="750"/>
      <c r="BI107" s="752"/>
      <c r="BJ107" s="750"/>
      <c r="BK107" s="752"/>
      <c r="BL107" s="750"/>
      <c r="BM107" s="752"/>
      <c r="BN107" s="750"/>
      <c r="BO107" s="752"/>
      <c r="BP107" s="750"/>
      <c r="BQ107" s="752"/>
      <c r="BR107" s="750"/>
      <c r="BS107" s="752"/>
      <c r="BT107" s="750"/>
      <c r="BU107" s="752"/>
      <c r="BV107" s="750"/>
      <c r="BW107" s="752"/>
      <c r="BX107" s="750"/>
      <c r="BY107" s="752"/>
      <c r="BZ107" s="750"/>
      <c r="CA107" s="752"/>
      <c r="CB107" s="750"/>
      <c r="CC107" s="752"/>
      <c r="CD107" s="750"/>
      <c r="CE107" s="752"/>
      <c r="CF107" s="750"/>
      <c r="CG107" s="752"/>
      <c r="CH107" s="750"/>
      <c r="CI107" s="752"/>
      <c r="CJ107" s="750"/>
      <c r="CK107" s="752"/>
      <c r="CL107" s="750"/>
      <c r="CM107" s="752"/>
      <c r="CN107" s="750"/>
      <c r="CO107" s="752"/>
      <c r="CP107" s="750"/>
      <c r="CQ107" s="752"/>
      <c r="CR107" s="750"/>
      <c r="CS107" s="752"/>
      <c r="CT107" s="750"/>
      <c r="CU107" s="752"/>
      <c r="CV107" s="750"/>
      <c r="CW107" s="752"/>
      <c r="CX107" s="750"/>
      <c r="CY107" s="752"/>
      <c r="CZ107" s="750"/>
      <c r="DA107" s="752"/>
      <c r="DB107" s="753"/>
      <c r="DC107" s="750"/>
      <c r="DD107" s="767"/>
      <c r="DE107" s="750"/>
      <c r="DF107" s="767"/>
      <c r="DG107" s="750"/>
      <c r="DH107" s="767"/>
      <c r="DI107" s="750"/>
      <c r="DJ107" s="767"/>
      <c r="DK107" s="750"/>
      <c r="DL107" s="752"/>
      <c r="DM107" s="750"/>
      <c r="DN107" s="752"/>
      <c r="DO107" s="750"/>
      <c r="DP107" s="752"/>
      <c r="DQ107" s="750"/>
      <c r="DR107" s="752"/>
      <c r="DS107" s="750"/>
      <c r="DT107" s="752"/>
      <c r="DU107" s="750"/>
      <c r="DV107" s="752"/>
      <c r="DW107" s="750"/>
      <c r="DX107" s="752"/>
      <c r="DY107" s="750"/>
      <c r="DZ107" s="752"/>
      <c r="EA107" s="750"/>
      <c r="EB107" s="752"/>
      <c r="EC107" s="750"/>
      <c r="ED107" s="752"/>
      <c r="EE107" s="750"/>
      <c r="EF107" s="752"/>
      <c r="EG107" s="750"/>
      <c r="EH107" s="752"/>
      <c r="EI107" s="750"/>
      <c r="EJ107" s="752"/>
      <c r="EK107" s="750"/>
      <c r="EL107" s="752"/>
      <c r="EM107" s="750"/>
      <c r="EN107" s="752"/>
      <c r="EO107" s="750"/>
      <c r="EP107" s="752"/>
      <c r="EQ107" s="750"/>
      <c r="ER107" s="752"/>
      <c r="ES107" s="750"/>
      <c r="ET107" s="752"/>
      <c r="EU107" s="767"/>
      <c r="EV107" s="710"/>
    </row>
    <row r="108" spans="1:152" ht="12.75" hidden="1" customHeight="1" outlineLevel="1" x14ac:dyDescent="0.2">
      <c r="A108" s="749" t="s">
        <v>285</v>
      </c>
      <c r="B108" s="750"/>
      <c r="C108" s="767"/>
      <c r="D108" s="750"/>
      <c r="E108" s="767"/>
      <c r="F108" s="750"/>
      <c r="G108" s="767"/>
      <c r="H108" s="750"/>
      <c r="I108" s="752"/>
      <c r="J108" s="750"/>
      <c r="K108" s="752"/>
      <c r="L108" s="750"/>
      <c r="M108" s="752"/>
      <c r="N108" s="750"/>
      <c r="O108" s="752"/>
      <c r="P108" s="750"/>
      <c r="Q108" s="752"/>
      <c r="R108" s="750"/>
      <c r="S108" s="752"/>
      <c r="T108" s="750"/>
      <c r="U108" s="752"/>
      <c r="V108" s="750"/>
      <c r="W108" s="752"/>
      <c r="X108" s="750"/>
      <c r="Y108" s="752"/>
      <c r="Z108" s="750"/>
      <c r="AA108" s="752"/>
      <c r="AB108" s="750"/>
      <c r="AC108" s="752"/>
      <c r="AD108" s="750"/>
      <c r="AE108" s="752"/>
      <c r="AF108" s="750"/>
      <c r="AG108" s="752"/>
      <c r="AH108" s="750"/>
      <c r="AI108" s="752"/>
      <c r="AJ108" s="750"/>
      <c r="AK108" s="752"/>
      <c r="AL108" s="750"/>
      <c r="AM108" s="752"/>
      <c r="AN108" s="750"/>
      <c r="AO108" s="752"/>
      <c r="AP108" s="750"/>
      <c r="AQ108" s="752"/>
      <c r="AR108" s="750"/>
      <c r="AS108" s="752"/>
      <c r="AT108" s="750"/>
      <c r="AU108" s="752"/>
      <c r="AV108" s="750"/>
      <c r="AW108" s="752"/>
      <c r="AX108" s="750"/>
      <c r="AY108" s="752"/>
      <c r="AZ108" s="750"/>
      <c r="BA108" s="752"/>
      <c r="BB108" s="750"/>
      <c r="BC108" s="752"/>
      <c r="BD108" s="750"/>
      <c r="BE108" s="752"/>
      <c r="BF108" s="750"/>
      <c r="BG108" s="752"/>
      <c r="BH108" s="750"/>
      <c r="BI108" s="752"/>
      <c r="BJ108" s="750"/>
      <c r="BK108" s="752"/>
      <c r="BL108" s="750"/>
      <c r="BM108" s="752"/>
      <c r="BN108" s="750"/>
      <c r="BO108" s="752"/>
      <c r="BP108" s="750"/>
      <c r="BQ108" s="752"/>
      <c r="BR108" s="750"/>
      <c r="BS108" s="752"/>
      <c r="BT108" s="750"/>
      <c r="BU108" s="752"/>
      <c r="BV108" s="750"/>
      <c r="BW108" s="752"/>
      <c r="BX108" s="750"/>
      <c r="BY108" s="752"/>
      <c r="BZ108" s="750"/>
      <c r="CA108" s="752"/>
      <c r="CB108" s="750"/>
      <c r="CC108" s="752"/>
      <c r="CD108" s="750"/>
      <c r="CE108" s="752"/>
      <c r="CF108" s="750"/>
      <c r="CG108" s="752"/>
      <c r="CH108" s="750"/>
      <c r="CI108" s="752"/>
      <c r="CJ108" s="750"/>
      <c r="CK108" s="752"/>
      <c r="CL108" s="750"/>
      <c r="CM108" s="752"/>
      <c r="CN108" s="750"/>
      <c r="CO108" s="752"/>
      <c r="CP108" s="750"/>
      <c r="CQ108" s="752"/>
      <c r="CR108" s="750"/>
      <c r="CS108" s="752"/>
      <c r="CT108" s="750"/>
      <c r="CU108" s="752"/>
      <c r="CV108" s="750"/>
      <c r="CW108" s="752"/>
      <c r="CX108" s="750"/>
      <c r="CY108" s="752"/>
      <c r="CZ108" s="750"/>
      <c r="DA108" s="752"/>
      <c r="DB108" s="753"/>
      <c r="DC108" s="750"/>
      <c r="DD108" s="767"/>
      <c r="DE108" s="750"/>
      <c r="DF108" s="767"/>
      <c r="DG108" s="750"/>
      <c r="DH108" s="767"/>
      <c r="DI108" s="750"/>
      <c r="DJ108" s="767"/>
      <c r="DK108" s="750"/>
      <c r="DL108" s="752"/>
      <c r="DM108" s="750"/>
      <c r="DN108" s="752"/>
      <c r="DO108" s="750"/>
      <c r="DP108" s="752"/>
      <c r="DQ108" s="750"/>
      <c r="DR108" s="752"/>
      <c r="DS108" s="750"/>
      <c r="DT108" s="752"/>
      <c r="DU108" s="750"/>
      <c r="DV108" s="752"/>
      <c r="DW108" s="750"/>
      <c r="DX108" s="752"/>
      <c r="DY108" s="750"/>
      <c r="DZ108" s="752"/>
      <c r="EA108" s="750"/>
      <c r="EB108" s="752"/>
      <c r="EC108" s="750"/>
      <c r="ED108" s="752"/>
      <c r="EE108" s="750"/>
      <c r="EF108" s="752"/>
      <c r="EG108" s="750"/>
      <c r="EH108" s="752"/>
      <c r="EI108" s="750"/>
      <c r="EJ108" s="752"/>
      <c r="EK108" s="750"/>
      <c r="EL108" s="752"/>
      <c r="EM108" s="750"/>
      <c r="EN108" s="752"/>
      <c r="EO108" s="750"/>
      <c r="EP108" s="752"/>
      <c r="EQ108" s="750"/>
      <c r="ER108" s="752"/>
      <c r="ES108" s="750"/>
      <c r="ET108" s="752"/>
      <c r="EU108" s="767"/>
      <c r="EV108" s="710"/>
    </row>
    <row r="109" spans="1:152" ht="12.75" hidden="1" customHeight="1" outlineLevel="1" x14ac:dyDescent="0.2">
      <c r="A109" s="754" t="str">
        <f>INPUT!B39</f>
        <v>Premium Income</v>
      </c>
      <c r="B109" s="750">
        <f>INPUT!AS39</f>
        <v>619.79999999999995</v>
      </c>
      <c r="C109" s="756">
        <f>INPUT!AT39</f>
        <v>-2.4551463644948313</v>
      </c>
      <c r="D109" s="750">
        <f>INPUT!AU39</f>
        <v>622.9</v>
      </c>
      <c r="E109" s="756">
        <f>INPUT!AV39</f>
        <v>-2.1827889447236126</v>
      </c>
      <c r="F109" s="750">
        <f>INPUT!AW39</f>
        <v>615.70000000000005</v>
      </c>
      <c r="G109" s="756">
        <f>INPUT!AX39</f>
        <v>-1.6453674121405637</v>
      </c>
      <c r="H109" s="750">
        <f>INPUT!AY39</f>
        <v>625.1</v>
      </c>
      <c r="I109" s="752">
        <f>INPUT!AZ39</f>
        <v>-0.73050659043989441</v>
      </c>
      <c r="J109" s="750">
        <f>INPUT!BA39</f>
        <v>590.1</v>
      </c>
      <c r="K109" s="752">
        <f>INPUT!BB39</f>
        <v>-4.7918683446272929</v>
      </c>
      <c r="L109" s="750">
        <f>INPUT!BC39</f>
        <v>609.29999999999995</v>
      </c>
      <c r="M109" s="752">
        <f>INPUT!BD39</f>
        <v>-2.183336008990211</v>
      </c>
      <c r="N109" s="750">
        <f>INPUT!BE39</f>
        <v>593.29999999999995</v>
      </c>
      <c r="O109" s="752">
        <f>INPUT!BF39</f>
        <v>-3.638135455579028</v>
      </c>
      <c r="P109" s="750">
        <f>INPUT!BG39</f>
        <v>588.6</v>
      </c>
      <c r="Q109" s="752">
        <f>INPUT!BH39</f>
        <v>-5.8390657494800884</v>
      </c>
      <c r="R109" s="750">
        <f>INPUT!BI39</f>
        <v>568.4</v>
      </c>
      <c r="S109" s="752">
        <f>INPUT!BJ39</f>
        <v>-3.6773428232503069</v>
      </c>
      <c r="T109" s="750">
        <f>INPUT!BK39</f>
        <v>573.6</v>
      </c>
      <c r="U109" s="752">
        <f>INPUT!BL39</f>
        <v>-5.8591826686361319</v>
      </c>
      <c r="V109" s="750">
        <f>INPUT!BM39</f>
        <v>562.4</v>
      </c>
      <c r="W109" s="752">
        <f>INPUT!BN39</f>
        <v>-5.2081577616720054</v>
      </c>
      <c r="X109" s="750">
        <f>INPUT!BO39</f>
        <v>569.20000000000005</v>
      </c>
      <c r="Y109" s="752">
        <f>INPUT!BP39</f>
        <v>-3.2959565069656804</v>
      </c>
      <c r="Z109" s="750">
        <f>INPUT!BQ39</f>
        <v>545.70000000000005</v>
      </c>
      <c r="AA109" s="752">
        <f>INPUT!BR39</f>
        <v>-3.9936664320900706</v>
      </c>
      <c r="AB109" s="750">
        <f>INPUT!BS39</f>
        <v>541</v>
      </c>
      <c r="AC109" s="752">
        <f>INPUT!BT39</f>
        <v>-5.6834030683403096</v>
      </c>
      <c r="AD109" s="750">
        <f>INPUT!BU39</f>
        <v>537.4</v>
      </c>
      <c r="AE109" s="752">
        <f>INPUT!BV39</f>
        <v>-4.445234708392598</v>
      </c>
      <c r="AF109" s="750">
        <f>INPUT!BW39</f>
        <v>535.6</v>
      </c>
      <c r="AG109" s="752">
        <f>INPUT!BX39</f>
        <v>-5.9030217849613482</v>
      </c>
      <c r="AH109" s="750">
        <f>INPUT!BY39</f>
        <v>521.79999999999995</v>
      </c>
      <c r="AI109" s="752">
        <f>INPUT!BZ39</f>
        <v>-4.3796958035550837</v>
      </c>
      <c r="AJ109" s="750">
        <f>INPUT!CA39</f>
        <v>520.70000000000005</v>
      </c>
      <c r="AK109" s="752">
        <f>INPUT!CB39</f>
        <v>-3.7523105360443565</v>
      </c>
      <c r="AL109" s="750">
        <f>INPUT!CC39</f>
        <v>513.6</v>
      </c>
      <c r="AM109" s="752">
        <f>INPUT!CD39</f>
        <v>-4.4287309266840218</v>
      </c>
      <c r="AN109" s="750">
        <f>INPUT!CE39</f>
        <v>514.20000000000005</v>
      </c>
      <c r="AO109" s="752">
        <f>INPUT!CF39</f>
        <v>-3.9955190440627342</v>
      </c>
      <c r="AP109" s="750">
        <f>INPUT!CG39</f>
        <v>508</v>
      </c>
      <c r="AQ109" s="752">
        <f>INPUT!CH39</f>
        <v>-2.6446914526638499</v>
      </c>
      <c r="AR109" s="750">
        <f>INPUT!CI39</f>
        <v>507.4</v>
      </c>
      <c r="AS109" s="752">
        <f>INPUT!CJ39</f>
        <v>-2.5542538889955946</v>
      </c>
      <c r="AT109" s="750">
        <f>INPUT!CK39</f>
        <v>508.9</v>
      </c>
      <c r="AU109" s="752">
        <f>INPUT!CL39</f>
        <v>-0.91510903426792467</v>
      </c>
      <c r="AV109" s="750">
        <f>INPUT!CM39</f>
        <v>511.1</v>
      </c>
      <c r="AW109" s="752">
        <f>INPUT!CN39</f>
        <v>-0.60287825748736035</v>
      </c>
      <c r="AX109" s="750">
        <f>INPUT!CO39</f>
        <v>513.20000000000005</v>
      </c>
      <c r="AY109" s="752">
        <f>INPUT!CP39</f>
        <v>1.0236220472441104</v>
      </c>
      <c r="AZ109" s="750">
        <f>INPUT!CQ39</f>
        <v>516</v>
      </c>
      <c r="BA109" s="752">
        <f>INPUT!CR39</f>
        <v>1.6949152542372836</v>
      </c>
      <c r="BB109" s="750">
        <f>INPUT!CS39</f>
        <v>512.5</v>
      </c>
      <c r="BC109" s="752">
        <f>INPUT!CT39</f>
        <v>0.70740813519356571</v>
      </c>
      <c r="BD109" s="750">
        <f>INPUT!CU39</f>
        <v>513.79999999999995</v>
      </c>
      <c r="BE109" s="752">
        <f>INPUT!CV39</f>
        <v>0.52827235374681702</v>
      </c>
      <c r="BF109" s="750">
        <f>INPUT!CW39</f>
        <v>523.70000000000005</v>
      </c>
      <c r="BG109" s="752">
        <f>INPUT!CX39</f>
        <v>2.045985970381925</v>
      </c>
      <c r="BH109" s="750">
        <f>INPUT!CY39</f>
        <v>523.9</v>
      </c>
      <c r="BI109" s="752">
        <f>INPUT!CZ39</f>
        <v>1.5310077519379739</v>
      </c>
      <c r="BJ109" s="750">
        <f>INPUT!DA39</f>
        <v>514.5</v>
      </c>
      <c r="BK109" s="752">
        <f>INPUT!DB39</f>
        <v>0.39024390243902474</v>
      </c>
      <c r="BL109" s="750">
        <f>INPUT!DC39</f>
        <v>511.4</v>
      </c>
      <c r="BM109" s="752">
        <f>INPUT!DD39</f>
        <v>-0.46710782405604556</v>
      </c>
      <c r="BN109" s="750">
        <f>INPUT!DE39</f>
        <v>520.79999999999995</v>
      </c>
      <c r="BO109" s="752">
        <f>INPUT!DF39</f>
        <v>-0.55375214817645624</v>
      </c>
      <c r="BP109" s="750">
        <f>INPUT!DG39</f>
        <v>524</v>
      </c>
      <c r="BQ109" s="752">
        <f>INPUT!DH39</f>
        <v>1.9087612139734311E-2</v>
      </c>
      <c r="BR109" s="750">
        <f>INPUT!DI39</f>
        <v>526</v>
      </c>
      <c r="BS109" s="752">
        <f>INPUT!DJ39</f>
        <v>2.2351797862002032</v>
      </c>
      <c r="BT109" s="750">
        <f>INPUT!DK39</f>
        <v>540.79999999999995</v>
      </c>
      <c r="BU109" s="752">
        <f>INPUT!DL39</f>
        <v>5.7489245209229489</v>
      </c>
      <c r="BV109" s="750">
        <f>INPUT!DM39</f>
        <v>553</v>
      </c>
      <c r="BW109" s="752">
        <f>INPUT!DN39</f>
        <v>6.1827956989247479</v>
      </c>
      <c r="BX109" s="750">
        <f>INPUT!DO39</f>
        <v>561</v>
      </c>
      <c r="BY109" s="752">
        <f>INPUT!DP39</f>
        <v>7.0610687022900853</v>
      </c>
      <c r="BZ109" s="750">
        <f>INPUT!DQ39</f>
        <v>567.5</v>
      </c>
      <c r="CA109" s="752">
        <f>INPUT!DR39</f>
        <v>7.8897338403041806</v>
      </c>
      <c r="CB109" s="750">
        <f>INPUT!DS39</f>
        <v>570.6</v>
      </c>
      <c r="CC109" s="752">
        <f>INPUT!DT39</f>
        <v>5.5103550295858117</v>
      </c>
      <c r="CD109" s="750">
        <f>INPUT!DU39</f>
        <v>588.1</v>
      </c>
      <c r="CE109" s="752">
        <f>INPUT!DV39</f>
        <v>6.3471971066907829</v>
      </c>
      <c r="CF109" s="750">
        <f>INPUT!DW39</f>
        <v>589.1</v>
      </c>
      <c r="CG109" s="752">
        <f>INPUT!DX39</f>
        <v>5.0089126559714758</v>
      </c>
      <c r="CH109" s="750">
        <f>INPUT!DY39</f>
        <v>583.6</v>
      </c>
      <c r="CI109" s="752">
        <f>INPUT!DZ39</f>
        <v>2.8370044052863586</v>
      </c>
      <c r="CJ109" s="750">
        <f>INPUT!EA39</f>
        <v>591.9</v>
      </c>
      <c r="CK109" s="752">
        <f>INPUT!EB39</f>
        <v>3.732912723449</v>
      </c>
      <c r="CL109" s="750">
        <f>INPUT!EC39</f>
        <v>592.29999999999995</v>
      </c>
      <c r="CM109" s="752">
        <f>INPUT!ED39</f>
        <v>0.71416425777928172</v>
      </c>
      <c r="CN109" s="750">
        <f>INPUT!EE39</f>
        <v>596</v>
      </c>
      <c r="CO109" s="752">
        <f>INPUT!EF39</f>
        <v>1.171278221015104</v>
      </c>
      <c r="CP109" s="750">
        <f>INPUT!EG39</f>
        <v>596.29999999999995</v>
      </c>
      <c r="CQ109" s="752">
        <f>INPUT!EH39</f>
        <v>2.1761480466072625</v>
      </c>
      <c r="CR109" s="750">
        <f>INPUT!EI39</f>
        <v>604.79999999999995</v>
      </c>
      <c r="CS109" s="752">
        <f>INPUT!EJ39</f>
        <v>2.1794221996958907</v>
      </c>
      <c r="CT109" s="750">
        <f>INPUT!EK39</f>
        <v>628.99588499999993</v>
      </c>
      <c r="CU109" s="752">
        <f>INPUT!EL39</f>
        <v>6.1954896167482731</v>
      </c>
      <c r="CV109" s="750">
        <f>INPUT!EM39</f>
        <v>632.17981379949993</v>
      </c>
      <c r="CW109" s="752">
        <f>INPUT!EN39</f>
        <v>6.0704385569630759</v>
      </c>
      <c r="CX109" s="750">
        <f>INPUT!EO39</f>
        <v>630.29246062757557</v>
      </c>
      <c r="CY109" s="752">
        <f>INPUT!EP39</f>
        <v>5.7005635800059684</v>
      </c>
      <c r="CZ109" s="750">
        <f>INPUT!EQ39</f>
        <v>629.0675514111166</v>
      </c>
      <c r="DA109" s="752">
        <f>INPUT!ER39</f>
        <v>4.0124919661237879</v>
      </c>
      <c r="DB109" s="753"/>
      <c r="DC109" s="750">
        <f>INPUT!FB39</f>
        <v>0</v>
      </c>
      <c r="DD109" s="756">
        <f>INPUT!FC39</f>
        <v>0</v>
      </c>
      <c r="DE109" s="750">
        <f>INPUT!FD39</f>
        <v>2547.8000000000002</v>
      </c>
      <c r="DF109" s="756" t="str">
        <f>INPUT!FE39</f>
        <v>NA</v>
      </c>
      <c r="DG109" s="750">
        <f>INPUT!FF39</f>
        <v>2662.6</v>
      </c>
      <c r="DH109" s="756">
        <f>INPUT!FG39</f>
        <v>4.5058481827458863</v>
      </c>
      <c r="DI109" s="750">
        <f>INPUT!FH39</f>
        <v>2644.7</v>
      </c>
      <c r="DJ109" s="756">
        <f>INPUT!FI39</f>
        <v>-0.67227521971006121</v>
      </c>
      <c r="DK109" s="750">
        <f>INPUT!FJ39</f>
        <v>2527.9</v>
      </c>
      <c r="DL109" s="752">
        <f>INPUT!FK39</f>
        <v>-4.4163799296706552</v>
      </c>
      <c r="DM109" s="750">
        <f>INPUT!FL39</f>
        <v>2483.5</v>
      </c>
      <c r="DN109" s="752">
        <f>INPUT!FM39</f>
        <v>-1.756398591716446</v>
      </c>
      <c r="DO109" s="750">
        <f>INPUT!FN39</f>
        <v>2381.3000000000002</v>
      </c>
      <c r="DP109" s="752">
        <f>INPUT!FO39</f>
        <v>-4.115160056372047</v>
      </c>
      <c r="DQ109" s="750">
        <f>INPUT!FP39</f>
        <v>2273.6000000000004</v>
      </c>
      <c r="DR109" s="752">
        <f>INPUT!FQ39</f>
        <v>-4.5227396800067154</v>
      </c>
      <c r="DS109" s="750">
        <f>INPUT!FR39</f>
        <v>2159.6999999999998</v>
      </c>
      <c r="DT109" s="752">
        <f>INPUT!FS39</f>
        <v>-5.0096762843068525</v>
      </c>
      <c r="DU109" s="750">
        <f>INPUT!FT39</f>
        <v>2070.3000000000002</v>
      </c>
      <c r="DV109" s="752">
        <f>INPUT!FU39</f>
        <v>-4.1394638144186535</v>
      </c>
      <c r="DW109" s="750">
        <f>INPUT!FV39</f>
        <v>2035.4</v>
      </c>
      <c r="DX109" s="752">
        <f>INPUT!FW39</f>
        <v>-1.6857460271458291</v>
      </c>
      <c r="DY109" s="750">
        <f>INPUT!FX39</f>
        <v>2055.5</v>
      </c>
      <c r="DZ109" s="752">
        <f>INPUT!FY39</f>
        <v>0.98752088041662578</v>
      </c>
      <c r="EA109" s="750">
        <f>INPUT!FZ39</f>
        <v>2073.5</v>
      </c>
      <c r="EB109" s="752">
        <f>INPUT!GA39</f>
        <v>0.87569934322548892</v>
      </c>
      <c r="EC109" s="750">
        <f>INPUT!GB39</f>
        <v>2111.6</v>
      </c>
      <c r="ED109" s="752">
        <f>INPUT!GC39</f>
        <v>1.8374728719556366</v>
      </c>
      <c r="EE109" s="750">
        <f>INPUT!GD39</f>
        <v>2252.1</v>
      </c>
      <c r="EF109" s="752">
        <f>INPUT!GE39</f>
        <v>6.6537222958893638</v>
      </c>
      <c r="EG109" s="750">
        <f>INPUT!GF39</f>
        <v>2352.7000000000003</v>
      </c>
      <c r="EH109" s="752">
        <f>INPUT!GG39</f>
        <v>4.4669419652768605</v>
      </c>
      <c r="EI109" s="750">
        <f>INPUT!GH39</f>
        <v>2389.3999999999996</v>
      </c>
      <c r="EJ109" s="752">
        <f>INPUT!GI39</f>
        <v>1.5599098907637776</v>
      </c>
      <c r="EK109" s="750">
        <f>INPUT!GJ39</f>
        <v>2520.5357108381922</v>
      </c>
      <c r="EL109" s="752">
        <f>INPUT!GK39</f>
        <v>5.4882276235955763</v>
      </c>
      <c r="EM109" s="750">
        <f>INPUT!GL39</f>
        <v>2627.3445940771685</v>
      </c>
      <c r="EN109" s="752">
        <f>INPUT!GM39</f>
        <v>4.2375469143207445</v>
      </c>
      <c r="EO109" s="750">
        <f>INPUT!GN39</f>
        <v>2742.0026894109578</v>
      </c>
      <c r="EP109" s="752">
        <f>INPUT!GO39</f>
        <v>4.3640295830346565</v>
      </c>
      <c r="EQ109" s="750">
        <f>INPUT!GP39</f>
        <v>2864.5749546585253</v>
      </c>
      <c r="ER109" s="752">
        <f>INPUT!GQ39</f>
        <v>4.4701730498265313</v>
      </c>
      <c r="ES109" s="750">
        <f>INPUT!GR39</f>
        <v>2995.1723488164821</v>
      </c>
      <c r="ET109" s="752">
        <f>INPUT!GS39</f>
        <v>4.559049640002355</v>
      </c>
      <c r="EU109" s="756">
        <f>INPUT!GT39</f>
        <v>4.6228609201699689</v>
      </c>
      <c r="EV109" s="710"/>
    </row>
    <row r="110" spans="1:152" ht="12.75" hidden="1" customHeight="1" outlineLevel="1" x14ac:dyDescent="0.2">
      <c r="A110" s="754" t="str">
        <f>INPUT!B40</f>
        <v>Net Investment Income</v>
      </c>
      <c r="B110" s="750">
        <f>INPUT!AS40</f>
        <v>153.30000000000001</v>
      </c>
      <c r="C110" s="756">
        <f>INPUT!AT40</f>
        <v>3.0934767989240219</v>
      </c>
      <c r="D110" s="750">
        <f>INPUT!AU40</f>
        <v>150.6</v>
      </c>
      <c r="E110" s="756">
        <f>INPUT!AV40</f>
        <v>-1.4397905759162444</v>
      </c>
      <c r="F110" s="750">
        <f>INPUT!AW40</f>
        <v>149.6</v>
      </c>
      <c r="G110" s="756">
        <f>INPUT!AX40</f>
        <v>-1.5141540487162652</v>
      </c>
      <c r="H110" s="750">
        <f>INPUT!AY40</f>
        <v>168.4</v>
      </c>
      <c r="I110" s="752">
        <f>INPUT!AZ40</f>
        <v>10.571240971766249</v>
      </c>
      <c r="J110" s="750">
        <f>INPUT!BA40</f>
        <v>158.60000000000002</v>
      </c>
      <c r="K110" s="752">
        <f>INPUT!BB40</f>
        <v>3.4572733202870243</v>
      </c>
      <c r="L110" s="750">
        <f>INPUT!BC40</f>
        <v>168.2</v>
      </c>
      <c r="M110" s="752">
        <f>INPUT!BD40</f>
        <v>11.686586985391756</v>
      </c>
      <c r="N110" s="750">
        <f>INPUT!BE40</f>
        <v>163.30000000000001</v>
      </c>
      <c r="O110" s="752">
        <f>INPUT!BF40</f>
        <v>9.1577540106952071</v>
      </c>
      <c r="P110" s="750">
        <f>INPUT!BG40</f>
        <v>158.6</v>
      </c>
      <c r="Q110" s="752">
        <f>INPUT!BH40</f>
        <v>-5.8194774346793432</v>
      </c>
      <c r="R110" s="750">
        <f>INPUT!BI40</f>
        <v>156.80000000000001</v>
      </c>
      <c r="S110" s="752">
        <f>INPUT!BJ40</f>
        <v>-1.1349306431273742</v>
      </c>
      <c r="T110" s="750">
        <f>INPUT!BK40</f>
        <v>160.70000000000002</v>
      </c>
      <c r="U110" s="752">
        <f>INPUT!BL40</f>
        <v>-4.4589774078477866</v>
      </c>
      <c r="V110" s="750">
        <f>INPUT!BM40</f>
        <v>157.19999999999999</v>
      </c>
      <c r="W110" s="752">
        <f>INPUT!BN40</f>
        <v>-3.7354562155542115</v>
      </c>
      <c r="X110" s="750">
        <f>INPUT!BO40</f>
        <v>156.6</v>
      </c>
      <c r="Y110" s="752">
        <f>INPUT!BP40</f>
        <v>-1.2610340479192961</v>
      </c>
      <c r="Z110" s="750">
        <f>INPUT!BQ40</f>
        <v>156.5</v>
      </c>
      <c r="AA110" s="752">
        <f>INPUT!BR40</f>
        <v>-0.19132653061225691</v>
      </c>
      <c r="AB110" s="750">
        <f>INPUT!BS40</f>
        <v>161.6</v>
      </c>
      <c r="AC110" s="752">
        <f>INPUT!BT40</f>
        <v>0.56004978220285384</v>
      </c>
      <c r="AD110" s="750">
        <f>INPUT!BU40</f>
        <v>157.30000000000001</v>
      </c>
      <c r="AE110" s="752">
        <f>INPUT!BV40</f>
        <v>6.3613231552173133E-2</v>
      </c>
      <c r="AF110" s="750">
        <f>INPUT!BW40</f>
        <v>154</v>
      </c>
      <c r="AG110" s="752">
        <f>INPUT!BX40</f>
        <v>-1.6602809706257937</v>
      </c>
      <c r="AH110" s="750">
        <f>INPUT!BY40</f>
        <v>151.30000000000001</v>
      </c>
      <c r="AI110" s="752">
        <f>INPUT!BZ40</f>
        <v>-3.3226837060702841</v>
      </c>
      <c r="AJ110" s="750">
        <f>INPUT!CA40</f>
        <v>155.9</v>
      </c>
      <c r="AK110" s="752">
        <f>INPUT!CB40</f>
        <v>-3.5272277227722748</v>
      </c>
      <c r="AL110" s="750">
        <f>INPUT!CC40</f>
        <v>150.19999999999999</v>
      </c>
      <c r="AM110" s="752">
        <f>INPUT!CD40</f>
        <v>-4.5136681500318021</v>
      </c>
      <c r="AN110" s="750">
        <f>INPUT!CE40</f>
        <v>157.19999999999999</v>
      </c>
      <c r="AO110" s="752">
        <f>INPUT!CF40</f>
        <v>2.0779220779220786</v>
      </c>
      <c r="AP110" s="750">
        <f>INPUT!CG40</f>
        <v>147.69999999999999</v>
      </c>
      <c r="AQ110" s="752">
        <f>INPUT!CH40</f>
        <v>-2.3793787177792569</v>
      </c>
      <c r="AR110" s="750">
        <f>INPUT!CI40</f>
        <v>153.5</v>
      </c>
      <c r="AS110" s="752">
        <f>INPUT!CJ40</f>
        <v>-1.5394483643361156</v>
      </c>
      <c r="AT110" s="750">
        <f>INPUT!CK40</f>
        <v>153</v>
      </c>
      <c r="AU110" s="752">
        <f>INPUT!CL40</f>
        <v>1.8641810918775148</v>
      </c>
      <c r="AV110" s="750">
        <f>INPUT!CM40</f>
        <v>150.80000000000001</v>
      </c>
      <c r="AW110" s="752">
        <f>INPUT!CN40</f>
        <v>-4.0712468193384037</v>
      </c>
      <c r="AX110" s="750">
        <f>INPUT!CO40</f>
        <v>147.4</v>
      </c>
      <c r="AY110" s="752">
        <f>INPUT!CP40</f>
        <v>-0.20311442112388445</v>
      </c>
      <c r="AZ110" s="750">
        <f>INPUT!CQ40</f>
        <v>142</v>
      </c>
      <c r="BA110" s="752">
        <f>INPUT!CR40</f>
        <v>-7.4918566775244333</v>
      </c>
      <c r="BB110" s="750">
        <f>INPUT!CS40</f>
        <v>142.9</v>
      </c>
      <c r="BC110" s="752">
        <f>INPUT!CT40</f>
        <v>-6.6013071895424824</v>
      </c>
      <c r="BD110" s="750">
        <f>INPUT!CU40</f>
        <v>144.6</v>
      </c>
      <c r="BE110" s="752">
        <f>INPUT!CV40</f>
        <v>-4.1114058355437795</v>
      </c>
      <c r="BF110" s="750">
        <f>INPUT!CW40</f>
        <v>140.80000000000001</v>
      </c>
      <c r="BG110" s="752">
        <f>INPUT!CX40</f>
        <v>-4.4776119402984982</v>
      </c>
      <c r="BH110" s="750">
        <f>INPUT!CY40</f>
        <v>136.69999999999999</v>
      </c>
      <c r="BI110" s="752">
        <f>INPUT!CZ40</f>
        <v>-3.7323943661971892</v>
      </c>
      <c r="BJ110" s="750">
        <f>INPUT!DA40</f>
        <v>136.30000000000001</v>
      </c>
      <c r="BK110" s="752">
        <f>INPUT!DB40</f>
        <v>-4.6186144156752924</v>
      </c>
      <c r="BL110" s="750">
        <f>INPUT!DC40</f>
        <v>133.6</v>
      </c>
      <c r="BM110" s="752">
        <f>INPUT!DD40</f>
        <v>-7.6071922544951542</v>
      </c>
      <c r="BN110" s="750">
        <f>INPUT!DE40</f>
        <v>131.5</v>
      </c>
      <c r="BO110" s="752">
        <f>INPUT!DF40</f>
        <v>-6.6051136363636465</v>
      </c>
      <c r="BP110" s="750">
        <f>INPUT!DG40</f>
        <v>127.5</v>
      </c>
      <c r="BQ110" s="752">
        <f>INPUT!DH40</f>
        <v>-6.7300658376005735</v>
      </c>
      <c r="BR110" s="750">
        <f>INPUT!DI40</f>
        <v>124.8</v>
      </c>
      <c r="BS110" s="752">
        <f>INPUT!DJ40</f>
        <v>-8.4372707263389639</v>
      </c>
      <c r="BT110" s="750">
        <f>INPUT!DK40</f>
        <v>132.1</v>
      </c>
      <c r="BU110" s="752">
        <f>INPUT!DL40</f>
        <v>-1.1227544910179632</v>
      </c>
      <c r="BV110" s="750">
        <f>INPUT!DM40</f>
        <v>125</v>
      </c>
      <c r="BW110" s="752">
        <f>INPUT!DN40</f>
        <v>-4.9429657794676789</v>
      </c>
      <c r="BX110" s="750">
        <f>INPUT!DO40</f>
        <v>125.2</v>
      </c>
      <c r="BY110" s="752">
        <f>INPUT!DP40</f>
        <v>-1.8039215686274535</v>
      </c>
      <c r="BZ110" s="750">
        <f>INPUT!DQ40</f>
        <v>121.7</v>
      </c>
      <c r="CA110" s="752">
        <f>INPUT!DR40</f>
        <v>-2.4839743589743501</v>
      </c>
      <c r="CB110" s="750">
        <f>INPUT!DS40</f>
        <v>124.6</v>
      </c>
      <c r="CC110" s="752">
        <f>INPUT!DT40</f>
        <v>-5.6775170325510942</v>
      </c>
      <c r="CD110" s="750">
        <f>INPUT!DU40</f>
        <v>120.8</v>
      </c>
      <c r="CE110" s="752">
        <f>INPUT!DV40</f>
        <v>-3.3600000000000074</v>
      </c>
      <c r="CF110" s="750">
        <f>INPUT!DW40</f>
        <v>119.8</v>
      </c>
      <c r="CG110" s="752">
        <f>INPUT!DX40</f>
        <v>-4.3130990415335528</v>
      </c>
      <c r="CH110" s="750">
        <f>INPUT!DY40</f>
        <v>120.1</v>
      </c>
      <c r="CI110" s="752">
        <f>INPUT!DZ40</f>
        <v>-1.3147082990961456</v>
      </c>
      <c r="CJ110" s="750">
        <f>INPUT!EA40</f>
        <v>118.8</v>
      </c>
      <c r="CK110" s="752">
        <f>INPUT!EB40</f>
        <v>-4.6548956661316199</v>
      </c>
      <c r="CL110" s="750">
        <f>INPUT!EC40</f>
        <v>115.5</v>
      </c>
      <c r="CM110" s="752">
        <f>INPUT!ED40</f>
        <v>-4.3874172185430442</v>
      </c>
      <c r="CN110" s="750">
        <f>INPUT!EE40</f>
        <v>118.1</v>
      </c>
      <c r="CO110" s="752">
        <f>INPUT!EF40</f>
        <v>-1.4190317195325597</v>
      </c>
      <c r="CP110" s="750">
        <f>INPUT!EG40</f>
        <v>113.7</v>
      </c>
      <c r="CQ110" s="752">
        <f>INPUT!EH40</f>
        <v>-5.3288925895087385</v>
      </c>
      <c r="CR110" s="750">
        <f>INPUT!EI40</f>
        <v>113.2</v>
      </c>
      <c r="CS110" s="752">
        <f>INPUT!EJ40</f>
        <v>-4.7138047138047146</v>
      </c>
      <c r="CT110" s="750">
        <f>INPUT!EK40</f>
        <v>114.33200000000001</v>
      </c>
      <c r="CU110" s="752">
        <f>INPUT!EL40</f>
        <v>-1.0112554112554073</v>
      </c>
      <c r="CV110" s="750">
        <f>INPUT!EM40</f>
        <v>115.47532000000001</v>
      </c>
      <c r="CW110" s="752">
        <f>INPUT!EN40</f>
        <v>-2.2224216765452831</v>
      </c>
      <c r="CX110" s="750">
        <f>INPUT!EO40</f>
        <v>116.63007320000001</v>
      </c>
      <c r="CY110" s="752">
        <f>INPUT!EP40</f>
        <v>2.577021284080927</v>
      </c>
      <c r="CZ110" s="750">
        <f>INPUT!EQ40</f>
        <v>117.79637393200001</v>
      </c>
      <c r="DA110" s="752">
        <f>INPUT!ER40</f>
        <v>4.0604010000000024</v>
      </c>
      <c r="DB110" s="753"/>
      <c r="DC110" s="750">
        <f>INPUT!FB40</f>
        <v>0</v>
      </c>
      <c r="DD110" s="756">
        <f>INPUT!FC40</f>
        <v>0</v>
      </c>
      <c r="DE110" s="750">
        <f>INPUT!FD40</f>
        <v>568.29999999999995</v>
      </c>
      <c r="DF110" s="756" t="str">
        <f>INPUT!FE40</f>
        <v>NA</v>
      </c>
      <c r="DG110" s="750">
        <f>INPUT!FF40</f>
        <v>609.70000000000005</v>
      </c>
      <c r="DH110" s="756">
        <f>INPUT!FG40</f>
        <v>7.2848847439732634</v>
      </c>
      <c r="DI110" s="750">
        <f>INPUT!FH40</f>
        <v>595.79999999999995</v>
      </c>
      <c r="DJ110" s="756">
        <f>INPUT!FI40</f>
        <v>-2.2798097424963193</v>
      </c>
      <c r="DK110" s="750">
        <f>INPUT!FJ40</f>
        <v>605.70000000000005</v>
      </c>
      <c r="DL110" s="752">
        <f>INPUT!FK40</f>
        <v>1.6616314199396021</v>
      </c>
      <c r="DM110" s="750">
        <f>INPUT!FL40</f>
        <v>621.9</v>
      </c>
      <c r="DN110" s="752">
        <f>INPUT!FM40</f>
        <v>2.6745913818722045</v>
      </c>
      <c r="DO110" s="750">
        <f>INPUT!FN40</f>
        <v>648.70000000000005</v>
      </c>
      <c r="DP110" s="752">
        <f>INPUT!FO40</f>
        <v>4.3093744975076564</v>
      </c>
      <c r="DQ110" s="750">
        <f>INPUT!FP40</f>
        <v>631.29999999999995</v>
      </c>
      <c r="DR110" s="752">
        <f>INPUT!FQ40</f>
        <v>-2.6822876522275441</v>
      </c>
      <c r="DS110" s="750">
        <f>INPUT!FR40</f>
        <v>629.40000000000009</v>
      </c>
      <c r="DT110" s="752">
        <f>INPUT!FS40</f>
        <v>-0.30096626009818994</v>
      </c>
      <c r="DU110" s="750">
        <f>INPUT!FT40</f>
        <v>614.6</v>
      </c>
      <c r="DV110" s="752">
        <f>INPUT!FU40</f>
        <v>-2.3514458214172307</v>
      </c>
      <c r="DW110" s="750">
        <f>INPUT!FV40</f>
        <v>605</v>
      </c>
      <c r="DX110" s="752">
        <f>INPUT!FW40</f>
        <v>-1.5619915392125039</v>
      </c>
      <c r="DY110" s="750">
        <f>INPUT!FX40</f>
        <v>575.6</v>
      </c>
      <c r="DZ110" s="752">
        <f>INPUT!FY40</f>
        <v>-4.8595041322313959</v>
      </c>
      <c r="EA110" s="750">
        <f>INPUT!FZ40</f>
        <v>547.4</v>
      </c>
      <c r="EB110" s="752">
        <f>INPUT!GA40</f>
        <v>-4.899235580264083</v>
      </c>
      <c r="EC110" s="750">
        <f>INPUT!GB40</f>
        <v>515.9</v>
      </c>
      <c r="ED110" s="752">
        <f>INPUT!GC40</f>
        <v>-5.7544757033248128</v>
      </c>
      <c r="EE110" s="750">
        <f>INPUT!GD40</f>
        <v>496.5</v>
      </c>
      <c r="EF110" s="752">
        <f>INPUT!GE40</f>
        <v>-3.7604186857918109</v>
      </c>
      <c r="EG110" s="750">
        <f>INPUT!GF40</f>
        <v>479.5</v>
      </c>
      <c r="EH110" s="752">
        <f>INPUT!GG40</f>
        <v>-3.423967774420944</v>
      </c>
      <c r="EI110" s="750">
        <f>INPUT!GH40</f>
        <v>460.5</v>
      </c>
      <c r="EJ110" s="752">
        <f>INPUT!GI40</f>
        <v>-3.9624608967674613</v>
      </c>
      <c r="EK110" s="750">
        <f>INPUT!GJ40</f>
        <v>464.23376713200003</v>
      </c>
      <c r="EL110" s="752">
        <f>INPUT!GK40</f>
        <v>0.81080719478827668</v>
      </c>
      <c r="EM110" s="750">
        <f>INPUT!GL40</f>
        <v>473.51844247464004</v>
      </c>
      <c r="EN110" s="752">
        <f>INPUT!GM40</f>
        <v>2.0000000000000018</v>
      </c>
      <c r="EO110" s="750">
        <f>INPUT!GN40</f>
        <v>482.98881132413283</v>
      </c>
      <c r="EP110" s="752">
        <f>INPUT!GO40</f>
        <v>2.0000000000000018</v>
      </c>
      <c r="EQ110" s="750">
        <f>INPUT!GP40</f>
        <v>492.6485875506155</v>
      </c>
      <c r="ER110" s="752">
        <f>INPUT!GQ40</f>
        <v>2.0000000000000018</v>
      </c>
      <c r="ES110" s="750">
        <f>INPUT!GR40</f>
        <v>502.50155930162782</v>
      </c>
      <c r="ET110" s="752">
        <f>INPUT!GS40</f>
        <v>2.0000000000000018</v>
      </c>
      <c r="EU110" s="756">
        <f>INPUT!GT40</f>
        <v>1.7610444557998317</v>
      </c>
      <c r="EV110" s="710"/>
    </row>
    <row r="111" spans="1:152" ht="12.75" hidden="1" customHeight="1" outlineLevel="1" x14ac:dyDescent="0.2">
      <c r="A111" s="754" t="str">
        <f>INPUT!B41</f>
        <v>Other Income</v>
      </c>
      <c r="B111" s="750">
        <f>INPUT!AS41</f>
        <v>19.5</v>
      </c>
      <c r="C111" s="756">
        <f>INPUT!AT41</f>
        <v>-4.4117647058823479</v>
      </c>
      <c r="D111" s="750">
        <f>INPUT!AU41</f>
        <v>21.5</v>
      </c>
      <c r="E111" s="756">
        <f>INPUT!AV41</f>
        <v>16.847826086956541</v>
      </c>
      <c r="F111" s="750">
        <f>INPUT!AW41</f>
        <v>20.7</v>
      </c>
      <c r="G111" s="756">
        <f>INPUT!AX41</f>
        <v>2.4752475247524774</v>
      </c>
      <c r="H111" s="750">
        <f>INPUT!AY41</f>
        <v>20.6</v>
      </c>
      <c r="I111" s="752">
        <f>INPUT!AZ41</f>
        <v>-3.2863849765258135</v>
      </c>
      <c r="J111" s="750">
        <f>INPUT!BA41</f>
        <v>24.599999999999998</v>
      </c>
      <c r="K111" s="752">
        <f>INPUT!BB41</f>
        <v>26.15384615384615</v>
      </c>
      <c r="L111" s="750">
        <f>INPUT!BC41</f>
        <v>24.700000000000003</v>
      </c>
      <c r="M111" s="752">
        <f>INPUT!BD41</f>
        <v>14.883720930232581</v>
      </c>
      <c r="N111" s="750">
        <f>INPUT!BE41</f>
        <v>24.4</v>
      </c>
      <c r="O111" s="752">
        <f>INPUT!BF41</f>
        <v>17.874396135265691</v>
      </c>
      <c r="P111" s="750">
        <f>INPUT!BG41</f>
        <v>26.4</v>
      </c>
      <c r="Q111" s="752">
        <f>INPUT!BH41</f>
        <v>28.155339805825228</v>
      </c>
      <c r="R111" s="750">
        <f>INPUT!BI41</f>
        <v>24.4</v>
      </c>
      <c r="S111" s="752">
        <f>INPUT!BJ41</f>
        <v>-0.81300813008129413</v>
      </c>
      <c r="T111" s="750">
        <f>INPUT!BK41</f>
        <v>25.3</v>
      </c>
      <c r="U111" s="752">
        <f>INPUT!BL41</f>
        <v>2.4291497975708509</v>
      </c>
      <c r="V111" s="750">
        <f>INPUT!BM41</f>
        <v>25.599999999999998</v>
      </c>
      <c r="W111" s="752">
        <f>INPUT!BN41</f>
        <v>4.9180327868852514</v>
      </c>
      <c r="X111" s="750">
        <f>INPUT!BO41</f>
        <v>24.9</v>
      </c>
      <c r="Y111" s="752">
        <f>INPUT!BP41</f>
        <v>-5.6818181818181763</v>
      </c>
      <c r="Z111" s="750">
        <f>INPUT!BQ41</f>
        <v>23.4</v>
      </c>
      <c r="AA111" s="752">
        <f>INPUT!BR41</f>
        <v>-4.098360655737709</v>
      </c>
      <c r="AB111" s="750">
        <f>INPUT!BS41</f>
        <v>21.8</v>
      </c>
      <c r="AC111" s="752">
        <f>INPUT!BT41</f>
        <v>-13.833992094861658</v>
      </c>
      <c r="AD111" s="750">
        <f>INPUT!BU41</f>
        <v>21.9</v>
      </c>
      <c r="AE111" s="752">
        <f>INPUT!BV41</f>
        <v>-14.453125</v>
      </c>
      <c r="AF111" s="750">
        <f>INPUT!BW41</f>
        <v>21.8</v>
      </c>
      <c r="AG111" s="752">
        <f>INPUT!BX41</f>
        <v>-12.449799196787136</v>
      </c>
      <c r="AH111" s="750">
        <f>INPUT!BY41</f>
        <v>21.7</v>
      </c>
      <c r="AI111" s="752">
        <f>INPUT!BZ41</f>
        <v>-7.2649572649572614</v>
      </c>
      <c r="AJ111" s="750">
        <f>INPUT!CA41</f>
        <v>21.6</v>
      </c>
      <c r="AK111" s="752">
        <f>INPUT!CB41</f>
        <v>-0.91743119266054496</v>
      </c>
      <c r="AL111" s="750">
        <f>INPUT!CC41</f>
        <v>21.5</v>
      </c>
      <c r="AM111" s="752">
        <f>INPUT!CD41</f>
        <v>-1.826484018264829</v>
      </c>
      <c r="AN111" s="750">
        <f>INPUT!CE41</f>
        <v>21.9</v>
      </c>
      <c r="AO111" s="752">
        <f>INPUT!CF41</f>
        <v>0.45871559633026138</v>
      </c>
      <c r="AP111" s="750">
        <f>INPUT!CG41</f>
        <v>22.2</v>
      </c>
      <c r="AQ111" s="752">
        <f>INPUT!CH41</f>
        <v>2.3041474654377891</v>
      </c>
      <c r="AR111" s="750">
        <f>INPUT!CI41</f>
        <v>21.8</v>
      </c>
      <c r="AS111" s="752">
        <f>INPUT!CJ41</f>
        <v>0.92592592592593004</v>
      </c>
      <c r="AT111" s="750">
        <f>INPUT!CK41</f>
        <v>23.1</v>
      </c>
      <c r="AU111" s="752">
        <f>INPUT!CL41</f>
        <v>7.441860465116279</v>
      </c>
      <c r="AV111" s="750">
        <f>INPUT!CM41</f>
        <v>22.3</v>
      </c>
      <c r="AW111" s="752">
        <f>INPUT!CN41</f>
        <v>1.8264840182648401</v>
      </c>
      <c r="AX111" s="750">
        <f>INPUT!CO41</f>
        <v>23.5</v>
      </c>
      <c r="AY111" s="752">
        <f>INPUT!CP41</f>
        <v>5.8558558558558627</v>
      </c>
      <c r="AZ111" s="750">
        <f>INPUT!CQ41</f>
        <v>23.1</v>
      </c>
      <c r="BA111" s="752">
        <f>INPUT!CR41</f>
        <v>5.9633027522935755</v>
      </c>
      <c r="BB111" s="750">
        <f>INPUT!CS41</f>
        <v>23.4</v>
      </c>
      <c r="BC111" s="752">
        <f>INPUT!CT41</f>
        <v>1.298701298701288</v>
      </c>
      <c r="BD111" s="750">
        <f>INPUT!CU41</f>
        <v>23.7</v>
      </c>
      <c r="BE111" s="752">
        <f>INPUT!CV41</f>
        <v>6.2780269058295923</v>
      </c>
      <c r="BF111" s="750">
        <f>INPUT!CW41</f>
        <v>27.8</v>
      </c>
      <c r="BG111" s="752">
        <f>INPUT!CX41</f>
        <v>18.297872340425524</v>
      </c>
      <c r="BH111" s="750">
        <f>INPUT!CY41</f>
        <v>22.7</v>
      </c>
      <c r="BI111" s="752">
        <f>INPUT!CZ41</f>
        <v>-1.7316017316017396</v>
      </c>
      <c r="BJ111" s="750">
        <f>INPUT!DA41</f>
        <v>23.1</v>
      </c>
      <c r="BK111" s="752">
        <f>INPUT!DB41</f>
        <v>-1.2820512820512664</v>
      </c>
      <c r="BL111" s="750">
        <f>INPUT!DC41</f>
        <v>22</v>
      </c>
      <c r="BM111" s="752">
        <f>INPUT!DD41</f>
        <v>-7.1729957805907185</v>
      </c>
      <c r="BN111" s="750">
        <f>INPUT!DE41</f>
        <v>21.8</v>
      </c>
      <c r="BO111" s="752">
        <f>INPUT!DF41</f>
        <v>-21.582733812949641</v>
      </c>
      <c r="BP111" s="750">
        <f>INPUT!DG41</f>
        <v>22.9</v>
      </c>
      <c r="BQ111" s="752">
        <f>INPUT!DH41</f>
        <v>0.88105726872247381</v>
      </c>
      <c r="BR111" s="750">
        <f>INPUT!DI41</f>
        <v>22.9</v>
      </c>
      <c r="BS111" s="752">
        <f>INPUT!DJ41</f>
        <v>-0.86580086580088089</v>
      </c>
      <c r="BT111" s="750">
        <f>INPUT!DK41</f>
        <v>23.4</v>
      </c>
      <c r="BU111" s="752">
        <f>INPUT!DL41</f>
        <v>6.3636363636363491</v>
      </c>
      <c r="BV111" s="750">
        <f>INPUT!DM41</f>
        <v>23.6</v>
      </c>
      <c r="BW111" s="752">
        <f>INPUT!DN41</f>
        <v>8.2568807339449499</v>
      </c>
      <c r="BX111" s="750">
        <f>INPUT!DO41</f>
        <v>24.8</v>
      </c>
      <c r="BY111" s="752">
        <f>INPUT!DP41</f>
        <v>8.2969432314410554</v>
      </c>
      <c r="BZ111" s="750">
        <f>INPUT!DQ41</f>
        <v>21.6</v>
      </c>
      <c r="CA111" s="752">
        <f>INPUT!DR41</f>
        <v>-5.676855895196498</v>
      </c>
      <c r="CB111" s="750">
        <f>INPUT!DS41</f>
        <v>22.9</v>
      </c>
      <c r="CC111" s="752">
        <f>INPUT!DT41</f>
        <v>-2.1367521367521403</v>
      </c>
      <c r="CD111" s="750">
        <f>INPUT!DU41</f>
        <v>22.9</v>
      </c>
      <c r="CE111" s="752">
        <f>INPUT!DV41</f>
        <v>-2.9661016949152685</v>
      </c>
      <c r="CF111" s="750">
        <f>INPUT!DW41</f>
        <v>22.5</v>
      </c>
      <c r="CG111" s="752">
        <f>INPUT!DX41</f>
        <v>-9.2741935483870996</v>
      </c>
      <c r="CH111" s="750">
        <f>INPUT!DY41</f>
        <v>22.8</v>
      </c>
      <c r="CI111" s="752">
        <f>INPUT!DZ41</f>
        <v>5.555555555555558</v>
      </c>
      <c r="CJ111" s="750">
        <f>INPUT!EA41</f>
        <v>22.9</v>
      </c>
      <c r="CK111" s="752">
        <f>INPUT!EB41</f>
        <v>0</v>
      </c>
      <c r="CL111" s="750">
        <f>INPUT!EC41</f>
        <v>24</v>
      </c>
      <c r="CM111" s="752">
        <f>INPUT!ED41</f>
        <v>4.8034934497816595</v>
      </c>
      <c r="CN111" s="750">
        <f>INPUT!EE41</f>
        <v>25.6</v>
      </c>
      <c r="CO111" s="752">
        <f>INPUT!EF41</f>
        <v>13.777777777777779</v>
      </c>
      <c r="CP111" s="750">
        <f>INPUT!EG41</f>
        <v>23.8</v>
      </c>
      <c r="CQ111" s="752">
        <f>INPUT!EH41</f>
        <v>4.3859649122806932</v>
      </c>
      <c r="CR111" s="750">
        <f>INPUT!EI41</f>
        <v>24.9</v>
      </c>
      <c r="CS111" s="752">
        <f>INPUT!EJ41</f>
        <v>8.7336244541484689</v>
      </c>
      <c r="CT111" s="750">
        <f>INPUT!EK41</f>
        <v>25.148999999999997</v>
      </c>
      <c r="CU111" s="752">
        <f>INPUT!EL41</f>
        <v>4.787499999999989</v>
      </c>
      <c r="CV111" s="750">
        <f>INPUT!EM41</f>
        <v>25.400489999999998</v>
      </c>
      <c r="CW111" s="752">
        <f>INPUT!EN41</f>
        <v>-0.77933593750001418</v>
      </c>
      <c r="CX111" s="750">
        <f>INPUT!EO41</f>
        <v>25.6544949</v>
      </c>
      <c r="CY111" s="752">
        <f>INPUT!EP41</f>
        <v>7.7919953781512508</v>
      </c>
      <c r="CZ111" s="750">
        <f>INPUT!EQ41</f>
        <v>25.911039848999998</v>
      </c>
      <c r="DA111" s="752">
        <f>INPUT!ER41</f>
        <v>4.0604010000000024</v>
      </c>
      <c r="DB111" s="753"/>
      <c r="DC111" s="750">
        <f>INPUT!FB41</f>
        <v>0</v>
      </c>
      <c r="DD111" s="756">
        <f>INPUT!FC41</f>
        <v>0</v>
      </c>
      <c r="DE111" s="750">
        <f>INPUT!FD41</f>
        <v>33.9</v>
      </c>
      <c r="DF111" s="756" t="str">
        <f>INPUT!FE41</f>
        <v>NA</v>
      </c>
      <c r="DG111" s="750">
        <f>INPUT!FF41</f>
        <v>56.4</v>
      </c>
      <c r="DH111" s="756">
        <f>INPUT!FG41</f>
        <v>66.371681415929203</v>
      </c>
      <c r="DI111" s="750">
        <f>INPUT!FH41</f>
        <v>69.599999999999994</v>
      </c>
      <c r="DJ111" s="756">
        <f>INPUT!FI41</f>
        <v>23.404255319148938</v>
      </c>
      <c r="DK111" s="750">
        <f>INPUT!FJ41</f>
        <v>80.3</v>
      </c>
      <c r="DL111" s="752">
        <f>INPUT!FK41</f>
        <v>15.373563218390807</v>
      </c>
      <c r="DM111" s="750">
        <f>INPUT!FL41</f>
        <v>82.300000000000011</v>
      </c>
      <c r="DN111" s="752">
        <f>INPUT!FM41</f>
        <v>2.4906600249066102</v>
      </c>
      <c r="DO111" s="750">
        <f>INPUT!FN41</f>
        <v>100.1</v>
      </c>
      <c r="DP111" s="752">
        <f>INPUT!FO41</f>
        <v>21.628189550425247</v>
      </c>
      <c r="DQ111" s="750">
        <f>INPUT!FP41</f>
        <v>100.19999999999999</v>
      </c>
      <c r="DR111" s="752">
        <f>INPUT!FQ41</f>
        <v>9.9900099900085415E-2</v>
      </c>
      <c r="DS111" s="750">
        <f>INPUT!FR41</f>
        <v>88.899999999999991</v>
      </c>
      <c r="DT111" s="752">
        <f>INPUT!FS41</f>
        <v>-11.277445109780437</v>
      </c>
      <c r="DU111" s="750">
        <f>INPUT!FT41</f>
        <v>86.699999999999989</v>
      </c>
      <c r="DV111" s="752">
        <f>INPUT!FU41</f>
        <v>-2.4746906636670452</v>
      </c>
      <c r="DW111" s="750">
        <f>INPUT!FV41</f>
        <v>89.399999999999991</v>
      </c>
      <c r="DX111" s="752">
        <f>INPUT!FW41</f>
        <v>3.114186851211076</v>
      </c>
      <c r="DY111" s="750">
        <f>INPUT!FX41</f>
        <v>93.7</v>
      </c>
      <c r="DZ111" s="752">
        <f>INPUT!FY41</f>
        <v>4.8098434004474333</v>
      </c>
      <c r="EA111" s="750">
        <f>INPUT!FZ41</f>
        <v>95.6</v>
      </c>
      <c r="EB111" s="752">
        <f>INPUT!GA41</f>
        <v>2.0277481323372371</v>
      </c>
      <c r="EC111" s="750">
        <f>INPUT!GB41</f>
        <v>91</v>
      </c>
      <c r="ED111" s="752">
        <f>INPUT!GC41</f>
        <v>-4.8117154811715412</v>
      </c>
      <c r="EE111" s="750">
        <f>INPUT!GD41</f>
        <v>92.9</v>
      </c>
      <c r="EF111" s="752">
        <f>INPUT!GE41</f>
        <v>2.0879120879121027</v>
      </c>
      <c r="EG111" s="750">
        <f>INPUT!GF41</f>
        <v>91.1</v>
      </c>
      <c r="EH111" s="752">
        <f>INPUT!GG41</f>
        <v>-1.9375672766415608</v>
      </c>
      <c r="EI111" s="750">
        <f>INPUT!GH41</f>
        <v>98.300000000000011</v>
      </c>
      <c r="EJ111" s="752">
        <f>INPUT!GI41</f>
        <v>7.9034028540066137</v>
      </c>
      <c r="EK111" s="750">
        <f>INPUT!GJ41</f>
        <v>102.11502474899999</v>
      </c>
      <c r="EL111" s="752">
        <f>INPUT!GK41</f>
        <v>3.8810017792471729</v>
      </c>
      <c r="EM111" s="750">
        <f>INPUT!GL41</f>
        <v>106.19962573895999</v>
      </c>
      <c r="EN111" s="752">
        <f>INPUT!GM41</f>
        <v>4.0000000000000036</v>
      </c>
      <c r="EO111" s="750">
        <f>INPUT!GN41</f>
        <v>110.4476107685184</v>
      </c>
      <c r="EP111" s="752">
        <f>INPUT!GO41</f>
        <v>4.0000000000000036</v>
      </c>
      <c r="EQ111" s="750">
        <f>INPUT!GP41</f>
        <v>114.86551519925914</v>
      </c>
      <c r="ER111" s="752">
        <f>INPUT!GQ41</f>
        <v>4.0000000000000036</v>
      </c>
      <c r="ES111" s="750">
        <f>INPUT!GR41</f>
        <v>119.46013580722951</v>
      </c>
      <c r="ET111" s="752">
        <f>INPUT!GS41</f>
        <v>4.0000000000000036</v>
      </c>
      <c r="EU111" s="756">
        <f>INPUT!GT41</f>
        <v>3.9761894556140875</v>
      </c>
      <c r="EV111" s="710"/>
    </row>
    <row r="112" spans="1:152" ht="12.75" hidden="1" customHeight="1" outlineLevel="1" x14ac:dyDescent="0.2">
      <c r="A112" s="754" t="str">
        <f>INPUT!B42</f>
        <v xml:space="preserve"> Total Revenues</v>
      </c>
      <c r="B112" s="750">
        <f>INPUT!AS42</f>
        <v>792.59999999999991</v>
      </c>
      <c r="C112" s="756">
        <f>INPUT!AT42</f>
        <v>-1.4791796146675251</v>
      </c>
      <c r="D112" s="750">
        <f>INPUT!AU42</f>
        <v>795</v>
      </c>
      <c r="E112" s="756">
        <f>INPUT!AV42</f>
        <v>-1.6089108910890992</v>
      </c>
      <c r="F112" s="750">
        <f>INPUT!AW42</f>
        <v>786.00000000000011</v>
      </c>
      <c r="G112" s="756">
        <f>INPUT!AX42</f>
        <v>-1.5161007392557213</v>
      </c>
      <c r="H112" s="750">
        <f>INPUT!AY42</f>
        <v>814.1</v>
      </c>
      <c r="I112" s="752">
        <f>INPUT!AZ42</f>
        <v>1.3444541267272569</v>
      </c>
      <c r="J112" s="750">
        <f>INPUT!BA42</f>
        <v>773.30000000000007</v>
      </c>
      <c r="K112" s="752">
        <f>INPUT!BB42</f>
        <v>-2.4350239717385591</v>
      </c>
      <c r="L112" s="750">
        <f>INPUT!BC42</f>
        <v>802.2</v>
      </c>
      <c r="M112" s="752">
        <f>INPUT!BD42</f>
        <v>0.90566037735848592</v>
      </c>
      <c r="N112" s="750">
        <f>INPUT!BE42</f>
        <v>780.99999999999989</v>
      </c>
      <c r="O112" s="752">
        <f>INPUT!BF42</f>
        <v>-0.63613231552165361</v>
      </c>
      <c r="P112" s="750">
        <f>INPUT!BG42</f>
        <v>773.6</v>
      </c>
      <c r="Q112" s="752">
        <f>INPUT!BH42</f>
        <v>-4.9748188183269875</v>
      </c>
      <c r="R112" s="750">
        <f>INPUT!BI42</f>
        <v>749.6</v>
      </c>
      <c r="S112" s="752">
        <f>INPUT!BJ42</f>
        <v>-3.0647872753135963</v>
      </c>
      <c r="T112" s="750">
        <f>INPUT!BK42</f>
        <v>759.6</v>
      </c>
      <c r="U112" s="752">
        <f>INPUT!BL42</f>
        <v>-5.3103964098728529</v>
      </c>
      <c r="V112" s="750">
        <f>INPUT!BM42</f>
        <v>745.19999999999993</v>
      </c>
      <c r="W112" s="752">
        <f>INPUT!BN42</f>
        <v>-4.5838668373879621</v>
      </c>
      <c r="X112" s="750">
        <f>INPUT!BO42</f>
        <v>750.7</v>
      </c>
      <c r="Y112" s="752">
        <f>INPUT!BP42</f>
        <v>-2.9601861427094089</v>
      </c>
      <c r="Z112" s="750">
        <f>INPUT!BQ42</f>
        <v>725.6</v>
      </c>
      <c r="AA112" s="752">
        <f>INPUT!BR42</f>
        <v>-3.2017075773746018</v>
      </c>
      <c r="AB112" s="750">
        <f>INPUT!BS42</f>
        <v>724.4</v>
      </c>
      <c r="AC112" s="752">
        <f>INPUT!BT42</f>
        <v>-4.6340179041600926</v>
      </c>
      <c r="AD112" s="750">
        <f>INPUT!BU42</f>
        <v>716.6</v>
      </c>
      <c r="AE112" s="752">
        <f>INPUT!BV42</f>
        <v>-3.8378958668813579</v>
      </c>
      <c r="AF112" s="750">
        <f>INPUT!BW42</f>
        <v>711.4</v>
      </c>
      <c r="AG112" s="752">
        <f>INPUT!BX42</f>
        <v>-5.2351138936992285</v>
      </c>
      <c r="AH112" s="750">
        <f>INPUT!BY42</f>
        <v>694.8</v>
      </c>
      <c r="AI112" s="752">
        <f>INPUT!BZ42</f>
        <v>-4.2447629547960446</v>
      </c>
      <c r="AJ112" s="750">
        <f>INPUT!CA42</f>
        <v>698.2</v>
      </c>
      <c r="AK112" s="752">
        <f>INPUT!CB42</f>
        <v>-3.6167863059083261</v>
      </c>
      <c r="AL112" s="750">
        <f>INPUT!CC42</f>
        <v>685.3</v>
      </c>
      <c r="AM112" s="752">
        <f>INPUT!CD42</f>
        <v>-4.3678481719229829</v>
      </c>
      <c r="AN112" s="750">
        <f>INPUT!CE42</f>
        <v>693.30000000000007</v>
      </c>
      <c r="AO112" s="752">
        <f>INPUT!CF42</f>
        <v>-2.544278886702267</v>
      </c>
      <c r="AP112" s="750">
        <f>INPUT!CG42</f>
        <v>677.90000000000009</v>
      </c>
      <c r="AQ112" s="752">
        <f>INPUT!CH42</f>
        <v>-2.4323546344271585</v>
      </c>
      <c r="AR112" s="750">
        <f>INPUT!CI42</f>
        <v>682.69999999999993</v>
      </c>
      <c r="AS112" s="752">
        <f>INPUT!CJ42</f>
        <v>-2.2199942709825393</v>
      </c>
      <c r="AT112" s="750">
        <f>INPUT!CK42</f>
        <v>685</v>
      </c>
      <c r="AU112" s="752">
        <f>INPUT!CL42</f>
        <v>-4.377644827082694E-2</v>
      </c>
      <c r="AV112" s="750">
        <f>INPUT!CM42</f>
        <v>684.2</v>
      </c>
      <c r="AW112" s="752">
        <f>INPUT!CN42</f>
        <v>-1.31256310399539</v>
      </c>
      <c r="AX112" s="750">
        <f>INPUT!CO42</f>
        <v>684.1</v>
      </c>
      <c r="AY112" s="752">
        <f>INPUT!CP42</f>
        <v>0.91458917244431337</v>
      </c>
      <c r="AZ112" s="750">
        <f>INPUT!CQ42</f>
        <v>681.1</v>
      </c>
      <c r="BA112" s="752">
        <f>INPUT!CR42</f>
        <v>-0.23436355646695439</v>
      </c>
      <c r="BB112" s="750">
        <f>INPUT!CS42</f>
        <v>678.8</v>
      </c>
      <c r="BC112" s="752">
        <f>INPUT!CT42</f>
        <v>-0.90510948905110356</v>
      </c>
      <c r="BD112" s="750">
        <f>INPUT!CU42</f>
        <v>682.1</v>
      </c>
      <c r="BE112" s="752">
        <f>INPUT!CV42</f>
        <v>-0.30692779888921162</v>
      </c>
      <c r="BF112" s="750">
        <f>INPUT!CW42</f>
        <v>692.3</v>
      </c>
      <c r="BG112" s="752">
        <f>INPUT!CX42</f>
        <v>1.198655167373186</v>
      </c>
      <c r="BH112" s="750">
        <f>INPUT!CY42</f>
        <v>683.3</v>
      </c>
      <c r="BI112" s="752">
        <f>INPUT!CZ42</f>
        <v>0.32300690060196313</v>
      </c>
      <c r="BJ112" s="750">
        <f>INPUT!DA42</f>
        <v>673.9</v>
      </c>
      <c r="BK112" s="752">
        <f>INPUT!DB42</f>
        <v>-0.72186210960518693</v>
      </c>
      <c r="BL112" s="750">
        <f>INPUT!DC42</f>
        <v>667</v>
      </c>
      <c r="BM112" s="752">
        <f>INPUT!DD42</f>
        <v>-2.2137516493182852</v>
      </c>
      <c r="BN112" s="750">
        <f>INPUT!DE42</f>
        <v>674.09999999999991</v>
      </c>
      <c r="BO112" s="752">
        <f>INPUT!DF42</f>
        <v>-2.6289180990899941</v>
      </c>
      <c r="BP112" s="750">
        <f>INPUT!DG42</f>
        <v>674.4</v>
      </c>
      <c r="BQ112" s="752">
        <f>INPUT!DH42</f>
        <v>-1.3025025611005381</v>
      </c>
      <c r="BR112" s="750">
        <f>INPUT!DI42</f>
        <v>673.69999999999993</v>
      </c>
      <c r="BS112" s="752">
        <f>INPUT!DJ42</f>
        <v>-2.9677993767629474E-2</v>
      </c>
      <c r="BT112" s="750">
        <f>INPUT!DK42</f>
        <v>696.3</v>
      </c>
      <c r="BU112" s="752">
        <f>INPUT!DL42</f>
        <v>4.3928035982008895</v>
      </c>
      <c r="BV112" s="750">
        <f>INPUT!DM42</f>
        <v>701.6</v>
      </c>
      <c r="BW112" s="752">
        <f>INPUT!DN42</f>
        <v>4.0795134253078347</v>
      </c>
      <c r="BX112" s="750">
        <f>INPUT!DO42</f>
        <v>711</v>
      </c>
      <c r="BY112" s="752">
        <f>INPUT!DP42</f>
        <v>5.4270462633452032</v>
      </c>
      <c r="BZ112" s="750">
        <f>INPUT!DQ42</f>
        <v>710.80000000000007</v>
      </c>
      <c r="CA112" s="752">
        <f>INPUT!DR42</f>
        <v>5.5069021819801334</v>
      </c>
      <c r="CB112" s="750">
        <f>INPUT!DS42</f>
        <v>718.1</v>
      </c>
      <c r="CC112" s="752">
        <f>INPUT!DT42</f>
        <v>3.1308344104552743</v>
      </c>
      <c r="CD112" s="750">
        <f>INPUT!DU42</f>
        <v>731.8</v>
      </c>
      <c r="CE112" s="752">
        <f>INPUT!DV42</f>
        <v>4.3044469783352302</v>
      </c>
      <c r="CF112" s="750">
        <f>INPUT!DW42</f>
        <v>731.4</v>
      </c>
      <c r="CG112" s="752">
        <f>INPUT!DX42</f>
        <v>2.8691983122362874</v>
      </c>
      <c r="CH112" s="750">
        <f>INPUT!DY42</f>
        <v>726.5</v>
      </c>
      <c r="CI112" s="752">
        <f>INPUT!DZ42</f>
        <v>2.2087788407428199</v>
      </c>
      <c r="CJ112" s="750">
        <f>INPUT!EA42</f>
        <v>733.59999999999991</v>
      </c>
      <c r="CK112" s="752">
        <f>INPUT!EB42</f>
        <v>2.1584737501740614</v>
      </c>
      <c r="CL112" s="750">
        <f>INPUT!EC42</f>
        <v>731.8</v>
      </c>
      <c r="CM112" s="752">
        <f>INPUT!ED42</f>
        <v>0</v>
      </c>
      <c r="CN112" s="750">
        <f>INPUT!EE42</f>
        <v>739.7</v>
      </c>
      <c r="CO112" s="752">
        <f>INPUT!EF42</f>
        <v>1.1348099535138267</v>
      </c>
      <c r="CP112" s="750">
        <f>INPUT!EG42</f>
        <v>733.8</v>
      </c>
      <c r="CQ112" s="752">
        <f>INPUT!EH42</f>
        <v>1.0048176187198887</v>
      </c>
      <c r="CR112" s="750">
        <f>INPUT!EI42</f>
        <v>742.9</v>
      </c>
      <c r="CS112" s="752">
        <f>INPUT!EJ42</f>
        <v>1.2677208287895425</v>
      </c>
      <c r="CT112" s="750">
        <f>INPUT!EK42</f>
        <v>768.47688499999992</v>
      </c>
      <c r="CU112" s="752">
        <f>INPUT!EL42</f>
        <v>5.0118727794479234</v>
      </c>
      <c r="CV112" s="750">
        <f>INPUT!EM42</f>
        <v>773.05562379949993</v>
      </c>
      <c r="CW112" s="752">
        <f>INPUT!EN42</f>
        <v>4.5093448424361027</v>
      </c>
      <c r="CX112" s="750">
        <f>INPUT!EO42</f>
        <v>772.57702872757557</v>
      </c>
      <c r="CY112" s="752">
        <f>INPUT!EP42</f>
        <v>5.2844138358647541</v>
      </c>
      <c r="CZ112" s="750">
        <f>INPUT!EQ42</f>
        <v>772.77496519211661</v>
      </c>
      <c r="DA112" s="752">
        <f>INPUT!ER42</f>
        <v>4.0213979259815069</v>
      </c>
      <c r="DB112" s="753"/>
      <c r="DC112" s="750">
        <f>INPUT!FB42</f>
        <v>0</v>
      </c>
      <c r="DD112" s="756">
        <f>INPUT!FC42</f>
        <v>0</v>
      </c>
      <c r="DE112" s="750">
        <f>INPUT!FD42</f>
        <v>3150.0000000000005</v>
      </c>
      <c r="DF112" s="756" t="str">
        <f>INPUT!FE42</f>
        <v>NA</v>
      </c>
      <c r="DG112" s="750">
        <f>INPUT!FF42</f>
        <v>3328.7000000000003</v>
      </c>
      <c r="DH112" s="756">
        <f>INPUT!FG42</f>
        <v>5.6730158730158742</v>
      </c>
      <c r="DI112" s="750">
        <f>INPUT!FH42</f>
        <v>3310.1</v>
      </c>
      <c r="DJ112" s="756">
        <f>INPUT!FI42</f>
        <v>-0.55877669961247323</v>
      </c>
      <c r="DK112" s="750">
        <f>INPUT!FJ42</f>
        <v>3213.9000000000005</v>
      </c>
      <c r="DL112" s="752">
        <f>INPUT!FK42</f>
        <v>-2.9062566085616526</v>
      </c>
      <c r="DM112" s="750">
        <f>INPUT!FL42</f>
        <v>3187.7000000000003</v>
      </c>
      <c r="DN112" s="752">
        <f>INPUT!FM42</f>
        <v>-0.81520893618346468</v>
      </c>
      <c r="DO112" s="750">
        <f>INPUT!FN42</f>
        <v>3130.1</v>
      </c>
      <c r="DP112" s="752">
        <f>INPUT!FO42</f>
        <v>-1.8069454465602264</v>
      </c>
      <c r="DQ112" s="750">
        <f>INPUT!FP42</f>
        <v>3005.1000000000004</v>
      </c>
      <c r="DR112" s="752">
        <f>INPUT!FQ42</f>
        <v>-3.9934826363374865</v>
      </c>
      <c r="DS112" s="750">
        <f>INPUT!FR42</f>
        <v>2878</v>
      </c>
      <c r="DT112" s="752">
        <f>INPUT!FS42</f>
        <v>-4.229476556520595</v>
      </c>
      <c r="DU112" s="750">
        <f>INPUT!FT42</f>
        <v>2771.6</v>
      </c>
      <c r="DV112" s="752">
        <f>INPUT!FU42</f>
        <v>-3.6970118137595542</v>
      </c>
      <c r="DW112" s="750">
        <f>INPUT!FV42</f>
        <v>2729.8</v>
      </c>
      <c r="DX112" s="752">
        <f>INPUT!FW42</f>
        <v>-1.5081541347957805</v>
      </c>
      <c r="DY112" s="750">
        <f>INPUT!FX42</f>
        <v>2724.7999999999997</v>
      </c>
      <c r="DZ112" s="752">
        <f>INPUT!FY42</f>
        <v>-0.18316360172908608</v>
      </c>
      <c r="EA112" s="750">
        <f>INPUT!FZ42</f>
        <v>2716.5</v>
      </c>
      <c r="EB112" s="752">
        <f>INPUT!GA42</f>
        <v>-0.30460951262476499</v>
      </c>
      <c r="EC112" s="750">
        <f>INPUT!GB42</f>
        <v>2718.5</v>
      </c>
      <c r="ED112" s="752">
        <f>INPUT!GC42</f>
        <v>7.3624148720785598E-2</v>
      </c>
      <c r="EE112" s="750">
        <f>INPUT!GD42</f>
        <v>2841.5</v>
      </c>
      <c r="EF112" s="752">
        <f>INPUT!GE42</f>
        <v>4.5245539819753544</v>
      </c>
      <c r="EG112" s="750">
        <f>INPUT!GF42</f>
        <v>2923.3</v>
      </c>
      <c r="EH112" s="752">
        <f>INPUT!GG42</f>
        <v>2.8787612176667254</v>
      </c>
      <c r="EI112" s="750">
        <f>INPUT!GH42</f>
        <v>2948.2</v>
      </c>
      <c r="EJ112" s="752">
        <f>INPUT!GI42</f>
        <v>0.8517771012212183</v>
      </c>
      <c r="EK112" s="750">
        <f>INPUT!GJ42</f>
        <v>3086.8845027191924</v>
      </c>
      <c r="EL112" s="752">
        <f>INPUT!GK42</f>
        <v>4.7040398453019661</v>
      </c>
      <c r="EM112" s="750">
        <f>INPUT!GL42</f>
        <v>3207.0626622907685</v>
      </c>
      <c r="EN112" s="752">
        <f>INPUT!GM42</f>
        <v>3.8931861385067323</v>
      </c>
      <c r="EO112" s="750">
        <f>INPUT!GN42</f>
        <v>3335.4391115036087</v>
      </c>
      <c r="EP112" s="752">
        <f>INPUT!GO42</f>
        <v>4.0029292449540899</v>
      </c>
      <c r="EQ112" s="750">
        <f>INPUT!GP42</f>
        <v>3472.0890574084001</v>
      </c>
      <c r="ER112" s="752">
        <f>INPUT!GQ42</f>
        <v>4.0969102219104769</v>
      </c>
      <c r="ES112" s="750">
        <f>INPUT!GR42</f>
        <v>3617.1340439253395</v>
      </c>
      <c r="ET112" s="752">
        <f>INPUT!GS42</f>
        <v>4.1774558232444248</v>
      </c>
      <c r="EU112" s="756">
        <f>INPUT!GT42</f>
        <v>4.1745258062923618</v>
      </c>
      <c r="EV112" s="710"/>
    </row>
    <row r="113" spans="1:152" ht="12.75" hidden="1" customHeight="1" outlineLevel="1" x14ac:dyDescent="0.2">
      <c r="A113" s="754"/>
      <c r="B113" s="750"/>
      <c r="C113" s="756"/>
      <c r="D113" s="750"/>
      <c r="E113" s="756"/>
      <c r="F113" s="750"/>
      <c r="G113" s="756"/>
      <c r="H113" s="750"/>
      <c r="I113" s="752"/>
      <c r="J113" s="750"/>
      <c r="K113" s="752"/>
      <c r="L113" s="750"/>
      <c r="M113" s="752"/>
      <c r="N113" s="750"/>
      <c r="O113" s="752"/>
      <c r="P113" s="750"/>
      <c r="Q113" s="752"/>
      <c r="R113" s="750"/>
      <c r="S113" s="752"/>
      <c r="T113" s="750"/>
      <c r="U113" s="752"/>
      <c r="V113" s="750"/>
      <c r="W113" s="752"/>
      <c r="X113" s="750"/>
      <c r="Y113" s="752"/>
      <c r="Z113" s="750"/>
      <c r="AA113" s="752"/>
      <c r="AB113" s="750"/>
      <c r="AC113" s="752"/>
      <c r="AD113" s="750"/>
      <c r="AE113" s="752"/>
      <c r="AF113" s="750"/>
      <c r="AG113" s="752"/>
      <c r="AH113" s="750"/>
      <c r="AI113" s="752"/>
      <c r="AJ113" s="750"/>
      <c r="AK113" s="752"/>
      <c r="AL113" s="750"/>
      <c r="AM113" s="752"/>
      <c r="AN113" s="750"/>
      <c r="AO113" s="752"/>
      <c r="AP113" s="750"/>
      <c r="AQ113" s="752"/>
      <c r="AR113" s="750"/>
      <c r="AS113" s="752"/>
      <c r="AT113" s="750"/>
      <c r="AU113" s="752"/>
      <c r="AV113" s="750"/>
      <c r="AW113" s="752"/>
      <c r="AX113" s="750"/>
      <c r="AY113" s="752"/>
      <c r="AZ113" s="750"/>
      <c r="BA113" s="752"/>
      <c r="BB113" s="750"/>
      <c r="BC113" s="752"/>
      <c r="BD113" s="750"/>
      <c r="BE113" s="752"/>
      <c r="BF113" s="750"/>
      <c r="BG113" s="752"/>
      <c r="BH113" s="750"/>
      <c r="BI113" s="752"/>
      <c r="BJ113" s="750"/>
      <c r="BK113" s="752"/>
      <c r="BL113" s="750"/>
      <c r="BM113" s="752"/>
      <c r="BN113" s="750"/>
      <c r="BO113" s="752"/>
      <c r="BP113" s="750"/>
      <c r="BQ113" s="752"/>
      <c r="BR113" s="750"/>
      <c r="BS113" s="752"/>
      <c r="BT113" s="750"/>
      <c r="BU113" s="752"/>
      <c r="BV113" s="750"/>
      <c r="BW113" s="752"/>
      <c r="BX113" s="750"/>
      <c r="BY113" s="752"/>
      <c r="BZ113" s="750"/>
      <c r="CA113" s="752"/>
      <c r="CB113" s="750"/>
      <c r="CC113" s="752"/>
      <c r="CD113" s="750"/>
      <c r="CE113" s="752"/>
      <c r="CF113" s="750"/>
      <c r="CG113" s="752"/>
      <c r="CH113" s="750"/>
      <c r="CI113" s="752"/>
      <c r="CJ113" s="750"/>
      <c r="CK113" s="752"/>
      <c r="CL113" s="750"/>
      <c r="CM113" s="752"/>
      <c r="CN113" s="750"/>
      <c r="CO113" s="752"/>
      <c r="CP113" s="750"/>
      <c r="CQ113" s="752"/>
      <c r="CR113" s="750"/>
      <c r="CS113" s="752"/>
      <c r="CT113" s="750"/>
      <c r="CU113" s="752"/>
      <c r="CV113" s="750"/>
      <c r="CW113" s="752"/>
      <c r="CX113" s="750"/>
      <c r="CY113" s="752"/>
      <c r="CZ113" s="750"/>
      <c r="DA113" s="752"/>
      <c r="DB113" s="753"/>
      <c r="DC113" s="750"/>
      <c r="DD113" s="756"/>
      <c r="DE113" s="750"/>
      <c r="DF113" s="756"/>
      <c r="DG113" s="750"/>
      <c r="DH113" s="756"/>
      <c r="DI113" s="750"/>
      <c r="DJ113" s="756"/>
      <c r="DK113" s="750"/>
      <c r="DL113" s="752"/>
      <c r="DM113" s="750"/>
      <c r="DN113" s="752"/>
      <c r="DO113" s="750"/>
      <c r="DP113" s="752"/>
      <c r="DQ113" s="750"/>
      <c r="DR113" s="752"/>
      <c r="DS113" s="750"/>
      <c r="DT113" s="752"/>
      <c r="DU113" s="750"/>
      <c r="DV113" s="752"/>
      <c r="DW113" s="750"/>
      <c r="DX113" s="752"/>
      <c r="DY113" s="750"/>
      <c r="DZ113" s="752"/>
      <c r="EA113" s="750"/>
      <c r="EB113" s="752"/>
      <c r="EC113" s="750"/>
      <c r="ED113" s="752"/>
      <c r="EE113" s="750"/>
      <c r="EF113" s="752"/>
      <c r="EG113" s="750"/>
      <c r="EH113" s="752"/>
      <c r="EI113" s="750"/>
      <c r="EJ113" s="752"/>
      <c r="EK113" s="750"/>
      <c r="EL113" s="752"/>
      <c r="EM113" s="750"/>
      <c r="EN113" s="752"/>
      <c r="EO113" s="750"/>
      <c r="EP113" s="752"/>
      <c r="EQ113" s="750"/>
      <c r="ER113" s="752"/>
      <c r="ES113" s="750"/>
      <c r="ET113" s="752"/>
      <c r="EU113" s="756"/>
      <c r="EV113" s="710"/>
    </row>
    <row r="114" spans="1:152" ht="12.75" hidden="1" customHeight="1" outlineLevel="1" x14ac:dyDescent="0.2">
      <c r="A114" s="749" t="s">
        <v>454</v>
      </c>
      <c r="B114" s="750"/>
      <c r="C114" s="756"/>
      <c r="D114" s="750"/>
      <c r="E114" s="756"/>
      <c r="F114" s="750"/>
      <c r="G114" s="756"/>
      <c r="H114" s="750"/>
      <c r="I114" s="752"/>
      <c r="J114" s="750"/>
      <c r="K114" s="752"/>
      <c r="L114" s="750"/>
      <c r="M114" s="752"/>
      <c r="N114" s="750"/>
      <c r="O114" s="752"/>
      <c r="P114" s="750"/>
      <c r="Q114" s="752"/>
      <c r="R114" s="750"/>
      <c r="S114" s="752"/>
      <c r="T114" s="750"/>
      <c r="U114" s="752"/>
      <c r="V114" s="750"/>
      <c r="W114" s="752"/>
      <c r="X114" s="750"/>
      <c r="Y114" s="752"/>
      <c r="Z114" s="750"/>
      <c r="AA114" s="752"/>
      <c r="AB114" s="750"/>
      <c r="AC114" s="752"/>
      <c r="AD114" s="750"/>
      <c r="AE114" s="752"/>
      <c r="AF114" s="750"/>
      <c r="AG114" s="752"/>
      <c r="AH114" s="750"/>
      <c r="AI114" s="752"/>
      <c r="AJ114" s="750"/>
      <c r="AK114" s="752"/>
      <c r="AL114" s="750"/>
      <c r="AM114" s="752"/>
      <c r="AN114" s="750"/>
      <c r="AO114" s="752"/>
      <c r="AP114" s="750"/>
      <c r="AQ114" s="752"/>
      <c r="AR114" s="750"/>
      <c r="AS114" s="752"/>
      <c r="AT114" s="750"/>
      <c r="AU114" s="752"/>
      <c r="AV114" s="750"/>
      <c r="AW114" s="752"/>
      <c r="AX114" s="750"/>
      <c r="AY114" s="752"/>
      <c r="AZ114" s="750"/>
      <c r="BA114" s="752"/>
      <c r="BB114" s="750"/>
      <c r="BC114" s="752"/>
      <c r="BD114" s="750"/>
      <c r="BE114" s="752"/>
      <c r="BF114" s="750"/>
      <c r="BG114" s="752"/>
      <c r="BH114" s="750"/>
      <c r="BI114" s="752"/>
      <c r="BJ114" s="750"/>
      <c r="BK114" s="752"/>
      <c r="BL114" s="750"/>
      <c r="BM114" s="752"/>
      <c r="BN114" s="750"/>
      <c r="BO114" s="752"/>
      <c r="BP114" s="750"/>
      <c r="BQ114" s="752"/>
      <c r="BR114" s="750"/>
      <c r="BS114" s="752"/>
      <c r="BT114" s="750"/>
      <c r="BU114" s="752"/>
      <c r="BV114" s="750"/>
      <c r="BW114" s="752"/>
      <c r="BX114" s="750"/>
      <c r="BY114" s="752"/>
      <c r="BZ114" s="750"/>
      <c r="CA114" s="752"/>
      <c r="CB114" s="750"/>
      <c r="CC114" s="752"/>
      <c r="CD114" s="750"/>
      <c r="CE114" s="752"/>
      <c r="CF114" s="750"/>
      <c r="CG114" s="752"/>
      <c r="CH114" s="750"/>
      <c r="CI114" s="752"/>
      <c r="CJ114" s="750"/>
      <c r="CK114" s="752"/>
      <c r="CL114" s="750"/>
      <c r="CM114" s="752"/>
      <c r="CN114" s="750"/>
      <c r="CO114" s="752"/>
      <c r="CP114" s="750"/>
      <c r="CQ114" s="752"/>
      <c r="CR114" s="750"/>
      <c r="CS114" s="752"/>
      <c r="CT114" s="750"/>
      <c r="CU114" s="752"/>
      <c r="CV114" s="750"/>
      <c r="CW114" s="752"/>
      <c r="CX114" s="750"/>
      <c r="CY114" s="752"/>
      <c r="CZ114" s="750"/>
      <c r="DA114" s="752"/>
      <c r="DB114" s="753"/>
      <c r="DC114" s="750"/>
      <c r="DD114" s="756"/>
      <c r="DE114" s="750"/>
      <c r="DF114" s="756"/>
      <c r="DG114" s="750"/>
      <c r="DH114" s="756"/>
      <c r="DI114" s="750"/>
      <c r="DJ114" s="756"/>
      <c r="DK114" s="750"/>
      <c r="DL114" s="752"/>
      <c r="DM114" s="750"/>
      <c r="DN114" s="752"/>
      <c r="DO114" s="750"/>
      <c r="DP114" s="752"/>
      <c r="DQ114" s="750"/>
      <c r="DR114" s="752"/>
      <c r="DS114" s="750"/>
      <c r="DT114" s="752"/>
      <c r="DU114" s="750"/>
      <c r="DV114" s="752"/>
      <c r="DW114" s="750"/>
      <c r="DX114" s="752"/>
      <c r="DY114" s="750"/>
      <c r="DZ114" s="752"/>
      <c r="EA114" s="750"/>
      <c r="EB114" s="752"/>
      <c r="EC114" s="750"/>
      <c r="ED114" s="752"/>
      <c r="EE114" s="750"/>
      <c r="EF114" s="752"/>
      <c r="EG114" s="750"/>
      <c r="EH114" s="752"/>
      <c r="EI114" s="750"/>
      <c r="EJ114" s="752"/>
      <c r="EK114" s="750"/>
      <c r="EL114" s="752"/>
      <c r="EM114" s="750"/>
      <c r="EN114" s="752"/>
      <c r="EO114" s="750"/>
      <c r="EP114" s="752"/>
      <c r="EQ114" s="750"/>
      <c r="ER114" s="752"/>
      <c r="ES114" s="750"/>
      <c r="ET114" s="752"/>
      <c r="EU114" s="756"/>
      <c r="EV114" s="710"/>
    </row>
    <row r="115" spans="1:152" ht="12.75" hidden="1" customHeight="1" outlineLevel="1" x14ac:dyDescent="0.2">
      <c r="A115" s="754" t="str">
        <f>INPUT!B45</f>
        <v>Benefit Expenses</v>
      </c>
      <c r="B115" s="750">
        <f>INPUT!AS45</f>
        <v>591.6</v>
      </c>
      <c r="C115" s="756">
        <f>INPUT!AT45</f>
        <v>-2.2956234516927965</v>
      </c>
      <c r="D115" s="750">
        <f>INPUT!AU45</f>
        <v>592.1</v>
      </c>
      <c r="E115" s="756">
        <f>INPUT!AV45</f>
        <v>-0.50411695513359334</v>
      </c>
      <c r="F115" s="750">
        <f>INPUT!AW45</f>
        <v>567</v>
      </c>
      <c r="G115" s="756">
        <f>INPUT!AX45</f>
        <v>-2.021772939346822</v>
      </c>
      <c r="H115" s="750">
        <f>INPUT!AY45</f>
        <v>587.6</v>
      </c>
      <c r="I115" s="752">
        <f>INPUT!AZ45</f>
        <v>-0.5921163931652873</v>
      </c>
      <c r="J115" s="750">
        <f>INPUT!BA45</f>
        <v>551.1</v>
      </c>
      <c r="K115" s="752">
        <f>INPUT!BB45</f>
        <v>-6.845841784989859</v>
      </c>
      <c r="L115" s="750">
        <f>INPUT!BC45</f>
        <v>575</v>
      </c>
      <c r="M115" s="752">
        <f>INPUT!BD45</f>
        <v>-2.8880256713393004</v>
      </c>
      <c r="N115" s="750">
        <f>INPUT!BE45</f>
        <v>546.4</v>
      </c>
      <c r="O115" s="752">
        <f>INPUT!BF45</f>
        <v>-3.633156966490303</v>
      </c>
      <c r="P115" s="750">
        <f>INPUT!BG45</f>
        <v>538.70000000000005</v>
      </c>
      <c r="Q115" s="752">
        <f>INPUT!BH45</f>
        <v>-8.3219877467665011</v>
      </c>
      <c r="R115" s="750">
        <f>INPUT!BI45</f>
        <v>517.4</v>
      </c>
      <c r="S115" s="752">
        <f>INPUT!BJ45</f>
        <v>-6.1150426419887545</v>
      </c>
      <c r="T115" s="750">
        <f>INPUT!BK45</f>
        <v>519.1</v>
      </c>
      <c r="U115" s="752">
        <f>INPUT!BL45</f>
        <v>-9.7217391304347807</v>
      </c>
      <c r="V115" s="750">
        <f>INPUT!BM45</f>
        <v>502.5</v>
      </c>
      <c r="W115" s="752">
        <f>INPUT!BN45</f>
        <v>-8.0344070278184461</v>
      </c>
      <c r="X115" s="750">
        <f>INPUT!BO45</f>
        <v>504.9</v>
      </c>
      <c r="Y115" s="752">
        <f>INPUT!BP45</f>
        <v>-6.274364210135519</v>
      </c>
      <c r="Z115" s="750">
        <f>INPUT!BQ45</f>
        <v>480.4</v>
      </c>
      <c r="AA115" s="752">
        <f>INPUT!BR45</f>
        <v>-7.1511403169694621</v>
      </c>
      <c r="AB115" s="750">
        <f>INPUT!BS45</f>
        <v>470.8</v>
      </c>
      <c r="AC115" s="752">
        <f>INPUT!BT45</f>
        <v>-9.30456559429782</v>
      </c>
      <c r="AD115" s="750">
        <f>INPUT!BU45</f>
        <v>458.5</v>
      </c>
      <c r="AE115" s="752">
        <f>INPUT!BV45</f>
        <v>-8.7562189054726343</v>
      </c>
      <c r="AF115" s="750">
        <f>INPUT!BW45</f>
        <v>453.1</v>
      </c>
      <c r="AG115" s="752">
        <f>INPUT!BX45</f>
        <v>-10.259457318280841</v>
      </c>
      <c r="AH115" s="750">
        <f>INPUT!BY45</f>
        <v>439.3</v>
      </c>
      <c r="AI115" s="752">
        <f>INPUT!BZ45</f>
        <v>-8.5553705245628553</v>
      </c>
      <c r="AJ115" s="750">
        <f>INPUT!CA45</f>
        <v>440.6</v>
      </c>
      <c r="AK115" s="752">
        <f>INPUT!CB45</f>
        <v>-6.4146134239592145</v>
      </c>
      <c r="AL115" s="750">
        <f>INPUT!CC45</f>
        <v>434.7</v>
      </c>
      <c r="AM115" s="752">
        <f>INPUT!CD45</f>
        <v>-5.190839694656491</v>
      </c>
      <c r="AN115" s="750">
        <f>INPUT!CE45</f>
        <v>433.2</v>
      </c>
      <c r="AO115" s="752">
        <f>INPUT!CF45</f>
        <v>-4.3919664533215723</v>
      </c>
      <c r="AP115" s="750">
        <f>INPUT!CG45</f>
        <v>426.3</v>
      </c>
      <c r="AQ115" s="752">
        <f>INPUT!CH45</f>
        <v>-2.9592533576143887</v>
      </c>
      <c r="AR115" s="750">
        <f>INPUT!CI45</f>
        <v>428.1</v>
      </c>
      <c r="AS115" s="752">
        <f>INPUT!CJ45</f>
        <v>-2.8370403994552928</v>
      </c>
      <c r="AT115" s="750">
        <f>INPUT!CK45</f>
        <v>435</v>
      </c>
      <c r="AU115" s="752">
        <f>INPUT!CL45</f>
        <v>6.9013112491367323E-2</v>
      </c>
      <c r="AV115" s="750">
        <f>INPUT!CM45</f>
        <v>432.7</v>
      </c>
      <c r="AW115" s="752">
        <f>INPUT!CN45</f>
        <v>-0.11542012927054923</v>
      </c>
      <c r="AX115" s="750">
        <f>INPUT!CO45</f>
        <v>435.7</v>
      </c>
      <c r="AY115" s="752">
        <f>INPUT!CP45</f>
        <v>2.2050199390100778</v>
      </c>
      <c r="AZ115" s="750">
        <f>INPUT!CQ45</f>
        <v>436.8</v>
      </c>
      <c r="BA115" s="752">
        <f>INPUT!CR45</f>
        <v>2.0322354590049052</v>
      </c>
      <c r="BB115" s="750">
        <f>INPUT!CS45</f>
        <v>435.1</v>
      </c>
      <c r="BC115" s="752">
        <f>INPUT!CT45</f>
        <v>2.2988505747134624E-2</v>
      </c>
      <c r="BD115" s="750">
        <f>INPUT!CU45</f>
        <v>434</v>
      </c>
      <c r="BE115" s="752">
        <f>INPUT!CV45</f>
        <v>0.30043910330483925</v>
      </c>
      <c r="BF115" s="750">
        <f>INPUT!CW45</f>
        <v>441.4</v>
      </c>
      <c r="BG115" s="752">
        <f>INPUT!CX45</f>
        <v>1.3082396144135755</v>
      </c>
      <c r="BH115" s="750">
        <f>INPUT!CY45</f>
        <v>439.6</v>
      </c>
      <c r="BI115" s="752">
        <f>INPUT!CZ45</f>
        <v>0.64102564102563875</v>
      </c>
      <c r="BJ115" s="750">
        <f>INPUT!DA45</f>
        <v>426.3</v>
      </c>
      <c r="BK115" s="752">
        <f>INPUT!DB45</f>
        <v>-2.0225235578028022</v>
      </c>
      <c r="BL115" s="750">
        <f>INPUT!DC45</f>
        <v>425.6</v>
      </c>
      <c r="BM115" s="752">
        <f>INPUT!DD45</f>
        <v>-1.9354838709677358</v>
      </c>
      <c r="BN115" s="750">
        <f>INPUT!DE45</f>
        <v>432.5</v>
      </c>
      <c r="BO115" s="752">
        <f>INPUT!DF45</f>
        <v>-2.0163117353873994</v>
      </c>
      <c r="BP115" s="750">
        <f>INPUT!DG45</f>
        <v>429.1</v>
      </c>
      <c r="BQ115" s="752">
        <f>INPUT!DH45</f>
        <v>-2.3885350318471388</v>
      </c>
      <c r="BR115" s="750">
        <f>INPUT!DI45</f>
        <v>431.9</v>
      </c>
      <c r="BS115" s="752">
        <f>INPUT!DJ45</f>
        <v>1.3136288998357948</v>
      </c>
      <c r="BT115" s="750">
        <f>INPUT!DK45</f>
        <v>452.9</v>
      </c>
      <c r="BU115" s="752">
        <f>INPUT!DL45</f>
        <v>6.4144736842105088</v>
      </c>
      <c r="BV115" s="750">
        <f>INPUT!DM45</f>
        <v>443</v>
      </c>
      <c r="BW115" s="752">
        <f>INPUT!DN45</f>
        <v>2.4277456647398887</v>
      </c>
      <c r="BX115" s="750">
        <f>INPUT!DO45</f>
        <v>467.8</v>
      </c>
      <c r="BY115" s="752">
        <f>INPUT!DP45</f>
        <v>9.0188767187135745</v>
      </c>
      <c r="BZ115" s="750">
        <f>INPUT!DQ45</f>
        <v>457.1</v>
      </c>
      <c r="CA115" s="752">
        <f>INPUT!DR45</f>
        <v>5.8346839546191465</v>
      </c>
      <c r="CB115" s="750">
        <f>INPUT!DS45</f>
        <v>466.1</v>
      </c>
      <c r="CC115" s="752">
        <f>INPUT!DT45</f>
        <v>2.9145506734378657</v>
      </c>
      <c r="CD115" s="750">
        <f>INPUT!DU45</f>
        <v>474.3</v>
      </c>
      <c r="CE115" s="752">
        <f>INPUT!DV45</f>
        <v>7.0654627539503467</v>
      </c>
      <c r="CF115" s="750">
        <f>INPUT!DW45</f>
        <v>471.2</v>
      </c>
      <c r="CG115" s="752">
        <f>INPUT!DX45</f>
        <v>0.72680632749038132</v>
      </c>
      <c r="CH115" s="750">
        <f>INPUT!DY45</f>
        <v>458.5</v>
      </c>
      <c r="CI115" s="752">
        <f>INPUT!DZ45</f>
        <v>0.30627871362940429</v>
      </c>
      <c r="CJ115" s="750">
        <f>INPUT!EA45</f>
        <v>459.8</v>
      </c>
      <c r="CK115" s="752">
        <f>INPUT!EB45</f>
        <v>-1.3516412786955589</v>
      </c>
      <c r="CL115" s="750">
        <f>INPUT!EC45</f>
        <v>453.8</v>
      </c>
      <c r="CM115" s="752">
        <f>INPUT!ED45</f>
        <v>-4.3221589711153303</v>
      </c>
      <c r="CN115" s="750">
        <f>INPUT!EE45</f>
        <v>455.9</v>
      </c>
      <c r="CO115" s="752">
        <f>INPUT!EF45</f>
        <v>-3.2470288624787846</v>
      </c>
      <c r="CP115" s="750">
        <f>INPUT!EG45</f>
        <v>457.1</v>
      </c>
      <c r="CQ115" s="752">
        <f>INPUT!EH45</f>
        <v>-0.30534351145037331</v>
      </c>
      <c r="CR115" s="750">
        <f>INPUT!EI45</f>
        <v>461.7</v>
      </c>
      <c r="CS115" s="752">
        <f>INPUT!EJ45</f>
        <v>0.41322314049585529</v>
      </c>
      <c r="CT115" s="750">
        <f>INPUT!EK45</f>
        <v>480.17096578125</v>
      </c>
      <c r="CU115" s="752">
        <f>INPUT!EL45</f>
        <v>5.8111427459784037</v>
      </c>
      <c r="CV115" s="750">
        <f>INPUT!EM45</f>
        <v>482.60155428443971</v>
      </c>
      <c r="CW115" s="752">
        <f>INPUT!EN45</f>
        <v>5.856888415099748</v>
      </c>
      <c r="CX115" s="750">
        <f>INPUT!EO45</f>
        <v>481.16076235408678</v>
      </c>
      <c r="CY115" s="752">
        <f>INPUT!EP45</f>
        <v>5.2637852448231826</v>
      </c>
      <c r="CZ115" s="750">
        <f>INPUT!EQ45</f>
        <v>478.96754030477126</v>
      </c>
      <c r="DA115" s="752">
        <f>INPUT!ER45</f>
        <v>3.7399914023762859</v>
      </c>
      <c r="DB115" s="753"/>
      <c r="DC115" s="750">
        <f>INPUT!FB45</f>
        <v>0</v>
      </c>
      <c r="DD115" s="756">
        <f>INPUT!FC45</f>
        <v>0</v>
      </c>
      <c r="DE115" s="750">
        <f>INPUT!FD45</f>
        <v>2148.5</v>
      </c>
      <c r="DF115" s="756" t="str">
        <f>INPUT!FE45</f>
        <v>NA</v>
      </c>
      <c r="DG115" s="750">
        <f>INPUT!FF45</f>
        <v>3412.1</v>
      </c>
      <c r="DH115" s="756">
        <f>INPUT!FG45</f>
        <v>58.81312543635093</v>
      </c>
      <c r="DI115" s="750">
        <f>INPUT!FH45</f>
        <v>2533.1</v>
      </c>
      <c r="DJ115" s="756">
        <f>INPUT!FI45</f>
        <v>-25.761261393276868</v>
      </c>
      <c r="DK115" s="750">
        <f>INPUT!FJ45</f>
        <v>2370.4</v>
      </c>
      <c r="DL115" s="752">
        <f>INPUT!FK45</f>
        <v>-6.4229600094745543</v>
      </c>
      <c r="DM115" s="750">
        <f>INPUT!FL45</f>
        <v>2338.3000000000002</v>
      </c>
      <c r="DN115" s="752">
        <f>INPUT!FM45</f>
        <v>-1.354201822477219</v>
      </c>
      <c r="DO115" s="750">
        <f>INPUT!FN45</f>
        <v>2211.1999999999998</v>
      </c>
      <c r="DP115" s="752">
        <f>INPUT!FO45</f>
        <v>-5.4355728520720348</v>
      </c>
      <c r="DQ115" s="750">
        <f>INPUT!FP45</f>
        <v>2043.9</v>
      </c>
      <c r="DR115" s="752">
        <f>INPUT!FQ45</f>
        <v>-7.566027496382044</v>
      </c>
      <c r="DS115" s="750">
        <f>INPUT!FR45</f>
        <v>1862.8000000000002</v>
      </c>
      <c r="DT115" s="752">
        <f>INPUT!FS45</f>
        <v>-8.8605117667204798</v>
      </c>
      <c r="DU115" s="750">
        <f>INPUT!FT45</f>
        <v>1747.8000000000002</v>
      </c>
      <c r="DV115" s="752">
        <f>INPUT!FU45</f>
        <v>-6.1735022546703933</v>
      </c>
      <c r="DW115" s="750">
        <f>INPUT!FV45</f>
        <v>1722.1000000000001</v>
      </c>
      <c r="DX115" s="752">
        <f>INPUT!FW45</f>
        <v>-1.4704199565167664</v>
      </c>
      <c r="DY115" s="750">
        <f>INPUT!FX45</f>
        <v>1741.6</v>
      </c>
      <c r="DZ115" s="752">
        <f>INPUT!FY45</f>
        <v>1.1323384240171652</v>
      </c>
      <c r="EA115" s="750">
        <f>INPUT!FZ45</f>
        <v>1732.9</v>
      </c>
      <c r="EB115" s="752">
        <f>INPUT!GA45</f>
        <v>-0.49954065227375555</v>
      </c>
      <c r="EC115" s="750">
        <f>INPUT!GB45</f>
        <v>1746.4</v>
      </c>
      <c r="ED115" s="752">
        <f>INPUT!GC45</f>
        <v>0.77904091407468012</v>
      </c>
      <c r="EE115" s="750">
        <f>INPUT!GD45</f>
        <v>1834</v>
      </c>
      <c r="EF115" s="752">
        <f>INPUT!GE45</f>
        <v>5.0160329821346661</v>
      </c>
      <c r="EG115" s="750">
        <f>INPUT!GF45</f>
        <v>1863.8</v>
      </c>
      <c r="EH115" s="752">
        <f>INPUT!GG45</f>
        <v>1.6248636859323762</v>
      </c>
      <c r="EI115" s="750">
        <f>INPUT!GH45</f>
        <v>1828.5000000000002</v>
      </c>
      <c r="EJ115" s="752">
        <f>INPUT!GI45</f>
        <v>-1.8939800407768881</v>
      </c>
      <c r="EK115" s="750">
        <f>INPUT!GJ45</f>
        <v>1922.9008227245479</v>
      </c>
      <c r="EL115" s="752">
        <f>INPUT!GK45</f>
        <v>5.1627466625401963</v>
      </c>
      <c r="EM115" s="750">
        <f>INPUT!GL45</f>
        <v>2004.3846472033601</v>
      </c>
      <c r="EN115" s="752">
        <f>INPUT!GM45</f>
        <v>4.2375469143207445</v>
      </c>
      <c r="EO115" s="750">
        <f>INPUT!GN45</f>
        <v>2091.8565861651196</v>
      </c>
      <c r="EP115" s="752">
        <f>INPUT!GO45</f>
        <v>4.3640295830346565</v>
      </c>
      <c r="EQ115" s="750">
        <f>INPUT!GP45</f>
        <v>2185.3661955208941</v>
      </c>
      <c r="ER115" s="752">
        <f>INPUT!GQ45</f>
        <v>4.4701730498265313</v>
      </c>
      <c r="ES115" s="750">
        <f>INPUT!GR45</f>
        <v>2284.9981251905224</v>
      </c>
      <c r="ET115" s="752">
        <f>INPUT!GS45</f>
        <v>4.559049640002355</v>
      </c>
      <c r="EU115" s="756">
        <f>INPUT!GT45</f>
        <v>4.5582189111376126</v>
      </c>
      <c r="EV115" s="710"/>
    </row>
    <row r="116" spans="1:152" ht="12.75" hidden="1" customHeight="1" outlineLevel="1" x14ac:dyDescent="0.2">
      <c r="A116" s="754" t="str">
        <f>INPUT!B46</f>
        <v xml:space="preserve">Commissions </v>
      </c>
      <c r="B116" s="750">
        <f>INPUT!AS46</f>
        <v>46.6</v>
      </c>
      <c r="C116" s="756">
        <f>INPUT!AT46</f>
        <v>-3.1185031185031131</v>
      </c>
      <c r="D116" s="750">
        <f>INPUT!AU46</f>
        <v>44.1</v>
      </c>
      <c r="E116" s="756">
        <f>INPUT!AV46</f>
        <v>-7.9331941544885094</v>
      </c>
      <c r="F116" s="750">
        <f>INPUT!AW46</f>
        <v>42.1</v>
      </c>
      <c r="G116" s="756">
        <f>INPUT!AX46</f>
        <v>7.9487179487179427</v>
      </c>
      <c r="H116" s="750">
        <f>INPUT!AY46</f>
        <v>43</v>
      </c>
      <c r="I116" s="752">
        <f>INPUT!AZ46</f>
        <v>7.2319201995012516</v>
      </c>
      <c r="J116" s="750">
        <f>INPUT!BA46</f>
        <v>45.4</v>
      </c>
      <c r="K116" s="752">
        <f>INPUT!BB46</f>
        <v>-2.5751072961373467</v>
      </c>
      <c r="L116" s="750">
        <f>INPUT!BC46</f>
        <v>41.5</v>
      </c>
      <c r="M116" s="752">
        <f>INPUT!BD46</f>
        <v>-5.8956916099773267</v>
      </c>
      <c r="N116" s="750">
        <f>INPUT!BE46</f>
        <v>40.5</v>
      </c>
      <c r="O116" s="752">
        <f>INPUT!BF46</f>
        <v>-3.8004750593824244</v>
      </c>
      <c r="P116" s="750">
        <f>INPUT!BG46</f>
        <v>40.299999999999997</v>
      </c>
      <c r="Q116" s="752">
        <f>INPUT!BH46</f>
        <v>-6.2790697674418698</v>
      </c>
      <c r="R116" s="750">
        <f>INPUT!BI46</f>
        <v>42.8</v>
      </c>
      <c r="S116" s="752">
        <f>INPUT!BJ46</f>
        <v>-5.7268722466960353</v>
      </c>
      <c r="T116" s="750">
        <f>INPUT!BK46</f>
        <v>41.6</v>
      </c>
      <c r="U116" s="752">
        <f>INPUT!BL46</f>
        <v>0.24096385542169418</v>
      </c>
      <c r="V116" s="750">
        <f>INPUT!BM46</f>
        <v>41.7</v>
      </c>
      <c r="W116" s="752">
        <f>INPUT!BN46</f>
        <v>2.9629629629629672</v>
      </c>
      <c r="X116" s="750">
        <f>INPUT!BO46</f>
        <v>39.799999999999997</v>
      </c>
      <c r="Y116" s="752">
        <f>INPUT!BP46</f>
        <v>-1.2406947890818865</v>
      </c>
      <c r="Z116" s="750">
        <f>INPUT!BQ46</f>
        <v>42.1</v>
      </c>
      <c r="AA116" s="752">
        <f>INPUT!BR46</f>
        <v>-1.6355140186915751</v>
      </c>
      <c r="AB116" s="750">
        <f>INPUT!BS46</f>
        <v>41.5</v>
      </c>
      <c r="AC116" s="752">
        <f>INPUT!BT46</f>
        <v>-0.24038461538461453</v>
      </c>
      <c r="AD116" s="750">
        <f>INPUT!BU46</f>
        <v>39.9</v>
      </c>
      <c r="AE116" s="752">
        <f>INPUT!BV46</f>
        <v>-4.316546762589935</v>
      </c>
      <c r="AF116" s="750">
        <f>INPUT!BW46</f>
        <v>38.700000000000003</v>
      </c>
      <c r="AG116" s="752">
        <f>INPUT!BX46</f>
        <v>-2.7638190954773711</v>
      </c>
      <c r="AH116" s="750">
        <f>INPUT!BY46</f>
        <v>41.1</v>
      </c>
      <c r="AI116" s="752">
        <f>INPUT!BZ46</f>
        <v>-2.3752969121140111</v>
      </c>
      <c r="AJ116" s="750">
        <f>INPUT!CA46</f>
        <v>39.6</v>
      </c>
      <c r="AK116" s="752">
        <f>INPUT!CB46</f>
        <v>-4.5783132530120447</v>
      </c>
      <c r="AL116" s="750">
        <f>INPUT!CC46</f>
        <v>38.5</v>
      </c>
      <c r="AM116" s="752">
        <f>INPUT!CD46</f>
        <v>-3.5087719298245612</v>
      </c>
      <c r="AN116" s="750">
        <f>INPUT!CE46</f>
        <v>40.5</v>
      </c>
      <c r="AO116" s="752">
        <f>INPUT!CF46</f>
        <v>4.6511627906976605</v>
      </c>
      <c r="AP116" s="750">
        <f>INPUT!CG46</f>
        <v>40.799999999999997</v>
      </c>
      <c r="AQ116" s="752">
        <f>INPUT!CH46</f>
        <v>-0.72992700729928028</v>
      </c>
      <c r="AR116" s="750">
        <f>INPUT!CI46</f>
        <v>39.5</v>
      </c>
      <c r="AS116" s="752">
        <f>INPUT!CJ46</f>
        <v>-0.2525252525252597</v>
      </c>
      <c r="AT116" s="750">
        <f>INPUT!CK46</f>
        <v>39.9</v>
      </c>
      <c r="AU116" s="752">
        <f>INPUT!CL46</f>
        <v>3.6363636363636376</v>
      </c>
      <c r="AV116" s="750">
        <f>INPUT!CM46</f>
        <v>39.299999999999997</v>
      </c>
      <c r="AW116" s="752">
        <f>INPUT!CN46</f>
        <v>-2.9629629629629672</v>
      </c>
      <c r="AX116" s="750">
        <f>INPUT!CO46</f>
        <v>40.4</v>
      </c>
      <c r="AY116" s="752">
        <f>INPUT!CP46</f>
        <v>-0.98039215686274161</v>
      </c>
      <c r="AZ116" s="750">
        <f>INPUT!CQ46</f>
        <v>40.299999999999997</v>
      </c>
      <c r="BA116" s="752">
        <f>INPUT!CR46</f>
        <v>2.0253164556961911</v>
      </c>
      <c r="BB116" s="750">
        <f>INPUT!CS46</f>
        <v>39.4</v>
      </c>
      <c r="BC116" s="752">
        <f>INPUT!CT46</f>
        <v>-1.253132832080206</v>
      </c>
      <c r="BD116" s="750">
        <f>INPUT!CU46</f>
        <v>39.200000000000003</v>
      </c>
      <c r="BE116" s="752">
        <f>INPUT!CV46</f>
        <v>-0.25445292620863702</v>
      </c>
      <c r="BF116" s="750">
        <f>INPUT!CW46</f>
        <v>43.6</v>
      </c>
      <c r="BG116" s="752">
        <f>INPUT!CX46</f>
        <v>7.9207920792079278</v>
      </c>
      <c r="BH116" s="750">
        <f>INPUT!CY46</f>
        <v>40.700000000000003</v>
      </c>
      <c r="BI116" s="752">
        <f>INPUT!CZ46</f>
        <v>0.99255583126551805</v>
      </c>
      <c r="BJ116" s="750">
        <f>INPUT!DA46</f>
        <v>40.299999999999997</v>
      </c>
      <c r="BK116" s="752">
        <f>INPUT!DB46</f>
        <v>2.2842639593908531</v>
      </c>
      <c r="BL116" s="750">
        <f>INPUT!DC46</f>
        <v>39.4</v>
      </c>
      <c r="BM116" s="752">
        <f>INPUT!DD46</f>
        <v>0.51020408163264808</v>
      </c>
      <c r="BN116" s="750">
        <f>INPUT!DE46</f>
        <v>41.4</v>
      </c>
      <c r="BO116" s="752">
        <f>INPUT!DF46</f>
        <v>-5.0458715596330306</v>
      </c>
      <c r="BP116" s="750">
        <f>INPUT!DG46</f>
        <v>39.799999999999997</v>
      </c>
      <c r="BQ116" s="752">
        <f>INPUT!DH46</f>
        <v>-2.211302211302224</v>
      </c>
      <c r="BR116" s="750">
        <f>INPUT!DI46</f>
        <v>39.700000000000003</v>
      </c>
      <c r="BS116" s="752">
        <f>INPUT!DJ46</f>
        <v>-1.4888337468982438</v>
      </c>
      <c r="BT116" s="750">
        <f>INPUT!DK46</f>
        <v>40.299999999999997</v>
      </c>
      <c r="BU116" s="752">
        <f>INPUT!DL46</f>
        <v>2.2842639593908531</v>
      </c>
      <c r="BV116" s="750">
        <f>INPUT!DM46</f>
        <v>44.5</v>
      </c>
      <c r="BW116" s="752">
        <f>INPUT!DN46</f>
        <v>7.4879227053140207</v>
      </c>
      <c r="BX116" s="750">
        <f>INPUT!DO46</f>
        <v>42</v>
      </c>
      <c r="BY116" s="752">
        <f>INPUT!DP46</f>
        <v>5.5276381909547867</v>
      </c>
      <c r="BZ116" s="750">
        <f>INPUT!DQ46</f>
        <v>42.4</v>
      </c>
      <c r="CA116" s="752">
        <f>INPUT!DR46</f>
        <v>6.8010075566750539</v>
      </c>
      <c r="CB116" s="750">
        <f>INPUT!DS46</f>
        <v>43.3</v>
      </c>
      <c r="CC116" s="752">
        <f>INPUT!DT46</f>
        <v>7.4441687344913188</v>
      </c>
      <c r="CD116" s="750">
        <f>INPUT!DU46</f>
        <v>45.2</v>
      </c>
      <c r="CE116" s="752">
        <f>INPUT!DV46</f>
        <v>1.5730337078651679</v>
      </c>
      <c r="CF116" s="750">
        <f>INPUT!DW46</f>
        <v>44.9</v>
      </c>
      <c r="CG116" s="752">
        <f>INPUT!DX46</f>
        <v>6.9047619047619024</v>
      </c>
      <c r="CH116" s="750">
        <f>INPUT!DY46</f>
        <v>44.2</v>
      </c>
      <c r="CI116" s="752">
        <f>INPUT!DZ46</f>
        <v>4.2452830188679291</v>
      </c>
      <c r="CJ116" s="750">
        <f>INPUT!EA46</f>
        <v>43.9</v>
      </c>
      <c r="CK116" s="752">
        <f>INPUT!EB46</f>
        <v>1.3856812933025431</v>
      </c>
      <c r="CL116" s="750">
        <f>INPUT!EC46</f>
        <v>46.4</v>
      </c>
      <c r="CM116" s="752">
        <f>INPUT!ED46</f>
        <v>2.6548672566371501</v>
      </c>
      <c r="CN116" s="750">
        <f>INPUT!EE46</f>
        <v>44.9</v>
      </c>
      <c r="CO116" s="752">
        <f>INPUT!EF46</f>
        <v>0</v>
      </c>
      <c r="CP116" s="750">
        <f>INPUT!EG46</f>
        <v>45.8</v>
      </c>
      <c r="CQ116" s="752">
        <f>INPUT!EH46</f>
        <v>3.6199095022624306</v>
      </c>
      <c r="CR116" s="750">
        <f>INPUT!EI46</f>
        <v>44.8</v>
      </c>
      <c r="CS116" s="752">
        <f>INPUT!EJ46</f>
        <v>2.0501138952163878</v>
      </c>
      <c r="CT116" s="750">
        <f>INPUT!EK46</f>
        <v>45.023999999999994</v>
      </c>
      <c r="CU116" s="752">
        <f>INPUT!EL46</f>
        <v>-2.9655172413793229</v>
      </c>
      <c r="CV116" s="750">
        <f>INPUT!EM46</f>
        <v>45.474239999999995</v>
      </c>
      <c r="CW116" s="752">
        <f>INPUT!EN46</f>
        <v>1.2789309576837438</v>
      </c>
      <c r="CX116" s="750">
        <f>INPUT!EO46</f>
        <v>45.928982399999995</v>
      </c>
      <c r="CY116" s="752">
        <f>INPUT!EP46</f>
        <v>0.28162096069868081</v>
      </c>
      <c r="CZ116" s="750">
        <f>INPUT!EQ46</f>
        <v>46.388272223999998</v>
      </c>
      <c r="DA116" s="752">
        <f>INPUT!ER46</f>
        <v>3.5452505000000079</v>
      </c>
      <c r="DB116" s="753"/>
      <c r="DC116" s="750">
        <f>INPUT!FB46</f>
        <v>0</v>
      </c>
      <c r="DD116" s="756">
        <f>INPUT!FC46</f>
        <v>0</v>
      </c>
      <c r="DE116" s="750">
        <f>INPUT!FD46</f>
        <v>205.6</v>
      </c>
      <c r="DF116" s="756" t="str">
        <f>INPUT!FE46</f>
        <v>NA</v>
      </c>
      <c r="DG116" s="750">
        <f>INPUT!FF46</f>
        <v>200.1</v>
      </c>
      <c r="DH116" s="756">
        <f>INPUT!FG46</f>
        <v>-2.675097276264593</v>
      </c>
      <c r="DI116" s="750">
        <f>INPUT!FH46</f>
        <v>199</v>
      </c>
      <c r="DJ116" s="756">
        <f>INPUT!FI46</f>
        <v>-0.54972513743127838</v>
      </c>
      <c r="DK116" s="750">
        <f>INPUT!FJ46</f>
        <v>175.1</v>
      </c>
      <c r="DL116" s="752">
        <f>INPUT!FK46</f>
        <v>-12.010050251256288</v>
      </c>
      <c r="DM116" s="750">
        <f>INPUT!FL46</f>
        <v>175.8</v>
      </c>
      <c r="DN116" s="752">
        <f>INPUT!FM46</f>
        <v>0.39977155910908557</v>
      </c>
      <c r="DO116" s="750">
        <f>INPUT!FN46</f>
        <v>167.7</v>
      </c>
      <c r="DP116" s="752">
        <f>INPUT!FO46</f>
        <v>-4.6075085324232212</v>
      </c>
      <c r="DQ116" s="750">
        <f>INPUT!FP46</f>
        <v>165.9</v>
      </c>
      <c r="DR116" s="752">
        <f>INPUT!FQ46</f>
        <v>-1.0733452593917558</v>
      </c>
      <c r="DS116" s="750">
        <f>INPUT!FR46</f>
        <v>162.19999999999999</v>
      </c>
      <c r="DT116" s="752">
        <f>INPUT!FS46</f>
        <v>-2.2302591922845227</v>
      </c>
      <c r="DU116" s="750">
        <f>INPUT!FT46</f>
        <v>159.69999999999999</v>
      </c>
      <c r="DV116" s="752">
        <f>INPUT!FU46</f>
        <v>-1.5413070283600505</v>
      </c>
      <c r="DW116" s="750">
        <f>INPUT!FV46</f>
        <v>159.5</v>
      </c>
      <c r="DX116" s="752">
        <f>INPUT!FW46</f>
        <v>-0.12523481527864089</v>
      </c>
      <c r="DY116" s="750">
        <f>INPUT!FX46</f>
        <v>159.30000000000001</v>
      </c>
      <c r="DZ116" s="752">
        <f>INPUT!FY46</f>
        <v>-0.12539184952977678</v>
      </c>
      <c r="EA116" s="750">
        <f>INPUT!FZ46</f>
        <v>164</v>
      </c>
      <c r="EB116" s="752">
        <f>INPUT!GA46</f>
        <v>2.9504080351537842</v>
      </c>
      <c r="EC116" s="750">
        <f>INPUT!GB46</f>
        <v>161.19999999999999</v>
      </c>
      <c r="ED116" s="752">
        <f>INPUT!GC46</f>
        <v>-1.7073170731707332</v>
      </c>
      <c r="EE116" s="750">
        <f>INPUT!GD46</f>
        <v>172.2</v>
      </c>
      <c r="EF116" s="752">
        <f>INPUT!GE46</f>
        <v>6.8238213399503644</v>
      </c>
      <c r="EG116" s="750">
        <f>INPUT!GF46</f>
        <v>178.20000000000002</v>
      </c>
      <c r="EH116" s="752">
        <f>INPUT!GG46</f>
        <v>3.484320557491305</v>
      </c>
      <c r="EI116" s="750">
        <f>INPUT!GH46</f>
        <v>181.89999999999998</v>
      </c>
      <c r="EJ116" s="752">
        <f>INPUT!GI46</f>
        <v>2.0763187429853946</v>
      </c>
      <c r="EK116" s="750">
        <f>INPUT!GJ46</f>
        <v>182.81549462399997</v>
      </c>
      <c r="EL116" s="752">
        <f>INPUT!GK46</f>
        <v>0.50329556019790278</v>
      </c>
      <c r="EM116" s="750">
        <f>INPUT!GL46</f>
        <v>188.29995946271998</v>
      </c>
      <c r="EN116" s="752">
        <f>INPUT!GM46</f>
        <v>3.0000000000000027</v>
      </c>
      <c r="EO116" s="750">
        <f>INPUT!GN46</f>
        <v>193.94895824660159</v>
      </c>
      <c r="EP116" s="752">
        <f>INPUT!GO46</f>
        <v>3.0000000000000027</v>
      </c>
      <c r="EQ116" s="750">
        <f>INPUT!GP46</f>
        <v>199.76742699399963</v>
      </c>
      <c r="ER116" s="752">
        <f>INPUT!GQ46</f>
        <v>3.0000000000000027</v>
      </c>
      <c r="ES116" s="750">
        <f>INPUT!GR46</f>
        <v>205.76044980381963</v>
      </c>
      <c r="ET116" s="752">
        <f>INPUT!GS46</f>
        <v>3.0000000000000027</v>
      </c>
      <c r="EU116" s="756">
        <f>INPUT!GT46</f>
        <v>2.4957459002277194</v>
      </c>
      <c r="EV116" s="710"/>
    </row>
    <row r="117" spans="1:152" ht="12.75" hidden="1" customHeight="1" outlineLevel="1" x14ac:dyDescent="0.2">
      <c r="A117" s="754" t="str">
        <f>INPUT!B47</f>
        <v>Net Change in DPAC</v>
      </c>
      <c r="B117" s="750">
        <f>INPUT!AS47</f>
        <v>4.1999999999999993</v>
      </c>
      <c r="C117" s="756">
        <f>INPUT!AT47</f>
        <v>27.272727272727359</v>
      </c>
      <c r="D117" s="750">
        <f>INPUT!AU47</f>
        <v>6.6000000000000014</v>
      </c>
      <c r="E117" s="756">
        <f>INPUT!AV47</f>
        <v>60.975609756097548</v>
      </c>
      <c r="F117" s="750">
        <f>INPUT!AW47</f>
        <v>6.4</v>
      </c>
      <c r="G117" s="756">
        <f>INPUT!AX47</f>
        <v>-32.631578947368432</v>
      </c>
      <c r="H117" s="750">
        <f>INPUT!AY47</f>
        <v>4.6999999999999993</v>
      </c>
      <c r="I117" s="752" t="str">
        <f>INPUT!AZ47</f>
        <v>NM</v>
      </c>
      <c r="J117" s="750">
        <f>INPUT!BA47</f>
        <v>1.1000000000000014</v>
      </c>
      <c r="K117" s="752" t="str">
        <f>INPUT!BB47</f>
        <v>NM</v>
      </c>
      <c r="L117" s="750">
        <f>INPUT!BC47</f>
        <v>1.6000000000000014</v>
      </c>
      <c r="M117" s="752" t="str">
        <f>INPUT!BD47</f>
        <v>NM</v>
      </c>
      <c r="N117" s="750">
        <f>INPUT!BE47</f>
        <v>1.6999999999999993</v>
      </c>
      <c r="O117" s="752" t="str">
        <f>INPUT!BF47</f>
        <v>NM</v>
      </c>
      <c r="P117" s="750">
        <f>INPUT!BG47</f>
        <v>1.4000000000000021</v>
      </c>
      <c r="Q117" s="752" t="str">
        <f>INPUT!BH47</f>
        <v>NM</v>
      </c>
      <c r="R117" s="750">
        <f>INPUT!BI47</f>
        <v>4.9999999999999982</v>
      </c>
      <c r="S117" s="752" t="str">
        <f>INPUT!BJ47</f>
        <v>NM</v>
      </c>
      <c r="T117" s="750">
        <f>INPUT!BK47</f>
        <v>4.1000000000000014</v>
      </c>
      <c r="U117" s="752" t="str">
        <f>INPUT!BL47</f>
        <v>NM</v>
      </c>
      <c r="V117" s="750">
        <f>INPUT!BM47</f>
        <v>4.4000000000000021</v>
      </c>
      <c r="W117" s="752" t="str">
        <f>INPUT!BN47</f>
        <v>NM</v>
      </c>
      <c r="X117" s="750">
        <f>INPUT!BO47</f>
        <v>3.8000000000000007</v>
      </c>
      <c r="Y117" s="752" t="str">
        <f>INPUT!BP47</f>
        <v>NM</v>
      </c>
      <c r="Z117" s="750">
        <f>INPUT!BQ47</f>
        <v>1.0999999999999979</v>
      </c>
      <c r="AA117" s="752" t="str">
        <f>INPUT!BR47</f>
        <v>NM</v>
      </c>
      <c r="AB117" s="750">
        <f>INPUT!BS47</f>
        <v>1.3000000000000007</v>
      </c>
      <c r="AC117" s="752" t="str">
        <f>INPUT!BT47</f>
        <v>NM</v>
      </c>
      <c r="AD117" s="750">
        <f>INPUT!BU47</f>
        <v>1.3000000000000007</v>
      </c>
      <c r="AE117" s="752" t="str">
        <f>INPUT!BV47</f>
        <v>NM</v>
      </c>
      <c r="AF117" s="750">
        <f>INPUT!BW47</f>
        <v>1.1000000000000014</v>
      </c>
      <c r="AG117" s="752" t="str">
        <f>INPUT!BX47</f>
        <v>NM</v>
      </c>
      <c r="AH117" s="750">
        <f>INPUT!BY47</f>
        <v>0.39999999999999947</v>
      </c>
      <c r="AI117" s="752" t="str">
        <f>INPUT!BZ47</f>
        <v>NM</v>
      </c>
      <c r="AJ117" s="750">
        <f>INPUT!CA47</f>
        <v>0.70000000000000018</v>
      </c>
      <c r="AK117" s="752">
        <f>INPUT!CB47</f>
        <v>-46.153846153846168</v>
      </c>
      <c r="AL117" s="750">
        <f>INPUT!CC47</f>
        <v>0.59999999999999964</v>
      </c>
      <c r="AM117" s="752" t="str">
        <f>INPUT!CD47</f>
        <v>NM</v>
      </c>
      <c r="AN117" s="750">
        <f>INPUT!CE47</f>
        <v>0.59999999999999964</v>
      </c>
      <c r="AO117" s="752">
        <f>INPUT!CF47</f>
        <v>-45.45454545454556</v>
      </c>
      <c r="AP117" s="750">
        <f>INPUT!CG47</f>
        <v>-0.40000000000000036</v>
      </c>
      <c r="AQ117" s="752" t="str">
        <f>INPUT!CH47</f>
        <v>NM</v>
      </c>
      <c r="AR117" s="750">
        <f>INPUT!CI47</f>
        <v>-0.39999999999999947</v>
      </c>
      <c r="AS117" s="752" t="str">
        <f>INPUT!CJ47</f>
        <v>NM</v>
      </c>
      <c r="AT117" s="750">
        <f>INPUT!CK47</f>
        <v>-0.29999999999999982</v>
      </c>
      <c r="AU117" s="752" t="str">
        <f>INPUT!CL47</f>
        <v>NM</v>
      </c>
      <c r="AV117" s="750">
        <f>INPUT!CM47</f>
        <v>-1</v>
      </c>
      <c r="AW117" s="752" t="str">
        <f>INPUT!CN47</f>
        <v>NM</v>
      </c>
      <c r="AX117" s="750">
        <f>INPUT!CO47</f>
        <v>-1.8999999999999995</v>
      </c>
      <c r="AY117" s="752" t="str">
        <f>INPUT!CP47</f>
        <v>NM</v>
      </c>
      <c r="AZ117" s="750">
        <f>INPUT!CQ47</f>
        <v>-1.2999999999999998</v>
      </c>
      <c r="BA117" s="752" t="str">
        <f>INPUT!CR47</f>
        <v>NM</v>
      </c>
      <c r="BB117" s="750">
        <f>INPUT!CS47</f>
        <v>-1</v>
      </c>
      <c r="BC117" s="752" t="str">
        <f>INPUT!CT47</f>
        <v>NM</v>
      </c>
      <c r="BD117" s="750">
        <f>INPUT!CU47</f>
        <v>-3.8000000000000007</v>
      </c>
      <c r="BE117" s="752" t="str">
        <f>INPUT!CV47</f>
        <v>NM</v>
      </c>
      <c r="BF117" s="750">
        <f>INPUT!CW47</f>
        <v>-1.5</v>
      </c>
      <c r="BG117" s="752">
        <f>INPUT!CX47</f>
        <v>-21.052631578947345</v>
      </c>
      <c r="BH117" s="750">
        <f>INPUT!CY47</f>
        <v>-1.7000000000000002</v>
      </c>
      <c r="BI117" s="752">
        <f>INPUT!CZ47</f>
        <v>30.769230769230795</v>
      </c>
      <c r="BJ117" s="750">
        <f>INPUT!DA47</f>
        <v>-3.1999999999999993</v>
      </c>
      <c r="BK117" s="752" t="str">
        <f>INPUT!DB47</f>
        <v>NM</v>
      </c>
      <c r="BL117" s="750">
        <f>INPUT!DC47</f>
        <v>-2.1000000000000005</v>
      </c>
      <c r="BM117" s="752">
        <f>INPUT!DD47</f>
        <v>-44.73684210526315</v>
      </c>
      <c r="BN117" s="750">
        <f>INPUT!DE47</f>
        <v>-3.4000000000000004</v>
      </c>
      <c r="BO117" s="752" t="str">
        <f>INPUT!DF47</f>
        <v>NM</v>
      </c>
      <c r="BP117" s="750">
        <f>INPUT!DG47</f>
        <v>-2.5999999999999996</v>
      </c>
      <c r="BQ117" s="752">
        <f>INPUT!DH47</f>
        <v>52.941176470588204</v>
      </c>
      <c r="BR117" s="750">
        <f>INPUT!DI47</f>
        <v>-2.8000000000000007</v>
      </c>
      <c r="BS117" s="752">
        <f>INPUT!DJ47</f>
        <v>-12.499999999999956</v>
      </c>
      <c r="BT117" s="750">
        <f>INPUT!DK47</f>
        <v>-5.1000000000000005</v>
      </c>
      <c r="BU117" s="752" t="str">
        <f>INPUT!DL47</f>
        <v>NM</v>
      </c>
      <c r="BV117" s="750">
        <f>INPUT!DM47</f>
        <v>-2</v>
      </c>
      <c r="BW117" s="752">
        <f>INPUT!DN47</f>
        <v>-41.176470588235304</v>
      </c>
      <c r="BX117" s="750">
        <f>INPUT!DO47</f>
        <v>-2.6999999999999993</v>
      </c>
      <c r="BY117" s="752">
        <f>INPUT!DP47</f>
        <v>3.8461538461538325</v>
      </c>
      <c r="BZ117" s="750">
        <f>INPUT!DQ47</f>
        <v>-1.9000000000000004</v>
      </c>
      <c r="CA117" s="752">
        <f>INPUT!DR47</f>
        <v>-32.142857142857153</v>
      </c>
      <c r="CB117" s="750">
        <f>INPUT!DS47</f>
        <v>-2.9000000000000004</v>
      </c>
      <c r="CC117" s="752">
        <f>INPUT!DT47</f>
        <v>-43.137254901960787</v>
      </c>
      <c r="CD117" s="750">
        <f>INPUT!DU47</f>
        <v>-3.3000000000000007</v>
      </c>
      <c r="CE117" s="752">
        <f>INPUT!DV47</f>
        <v>65.000000000000028</v>
      </c>
      <c r="CF117" s="750">
        <f>INPUT!DW47</f>
        <v>-2.4000000000000004</v>
      </c>
      <c r="CG117" s="752">
        <f>INPUT!DX47</f>
        <v>-11.111111111111072</v>
      </c>
      <c r="CH117" s="750">
        <f>INPUT!DY47</f>
        <v>-2.5999999999999996</v>
      </c>
      <c r="CI117" s="752">
        <f>INPUT!DZ47</f>
        <v>36.842105263157855</v>
      </c>
      <c r="CJ117" s="750">
        <f>INPUT!EA47</f>
        <v>-2.1999999999999993</v>
      </c>
      <c r="CK117" s="752">
        <f>INPUT!EB47</f>
        <v>-24.137931034482797</v>
      </c>
      <c r="CL117" s="750">
        <f>INPUT!EC47</f>
        <v>-2</v>
      </c>
      <c r="CM117" s="752">
        <f>INPUT!ED47</f>
        <v>-39.393939393939405</v>
      </c>
      <c r="CN117" s="750">
        <f>INPUT!EE47</f>
        <v>-1.5</v>
      </c>
      <c r="CO117" s="752">
        <f>INPUT!EF47</f>
        <v>-37.500000000000014</v>
      </c>
      <c r="CP117" s="750">
        <f>INPUT!EG47</f>
        <v>-2.4000000000000004</v>
      </c>
      <c r="CQ117" s="752">
        <f>INPUT!EH47</f>
        <v>-7.692307692307665</v>
      </c>
      <c r="CR117" s="750">
        <f>INPUT!EI47</f>
        <v>-1.0999999999999996</v>
      </c>
      <c r="CS117" s="752">
        <f>INPUT!EJ47</f>
        <v>-50</v>
      </c>
      <c r="CT117" s="750">
        <f>INPUT!EK47</f>
        <v>-1.1109999999999995</v>
      </c>
      <c r="CU117" s="752">
        <f>INPUT!EL47</f>
        <v>-44.450000000000024</v>
      </c>
      <c r="CV117" s="750">
        <f>INPUT!EM47</f>
        <v>-1.1221099999999995</v>
      </c>
      <c r="CW117" s="752">
        <f>INPUT!EN47</f>
        <v>-25.192666666666696</v>
      </c>
      <c r="CX117" s="750">
        <f>INPUT!EO47</f>
        <v>-1.1333310999999995</v>
      </c>
      <c r="CY117" s="752" t="str">
        <f>INPUT!EP47</f>
        <v>NM</v>
      </c>
      <c r="CZ117" s="750">
        <f>INPUT!EQ47</f>
        <v>-1.1446644109999995</v>
      </c>
      <c r="DA117" s="752">
        <f>INPUT!ER47</f>
        <v>4.0604009999999802</v>
      </c>
      <c r="DB117" s="753"/>
      <c r="DC117" s="750">
        <f>INPUT!FB47</f>
        <v>0</v>
      </c>
      <c r="DD117" s="756">
        <f>INPUT!FC47</f>
        <v>0</v>
      </c>
      <c r="DE117" s="750">
        <f>INPUT!FD47</f>
        <v>-41.8</v>
      </c>
      <c r="DF117" s="756" t="str">
        <f>INPUT!FE47</f>
        <v>NA</v>
      </c>
      <c r="DG117" s="750">
        <f>INPUT!FF47</f>
        <v>-29</v>
      </c>
      <c r="DH117" s="756">
        <f>INPUT!FG47</f>
        <v>-30.622009569377983</v>
      </c>
      <c r="DI117" s="750">
        <f>INPUT!FH47</f>
        <v>16.400000000000006</v>
      </c>
      <c r="DJ117" s="756" t="str">
        <f>INPUT!FI47</f>
        <v>NM</v>
      </c>
      <c r="DK117" s="750">
        <f>INPUT!FJ47</f>
        <v>27.6</v>
      </c>
      <c r="DL117" s="752">
        <f>INPUT!FK47</f>
        <v>68.292682926829215</v>
      </c>
      <c r="DM117" s="750">
        <f>INPUT!FL47</f>
        <v>21.900000000000002</v>
      </c>
      <c r="DN117" s="752">
        <f>INPUT!FM47</f>
        <v>-20.65217391304347</v>
      </c>
      <c r="DO117" s="750">
        <f>INPUT!FN47</f>
        <v>5.8000000000000043</v>
      </c>
      <c r="DP117" s="752" t="str">
        <f>INPUT!FO47</f>
        <v>NM</v>
      </c>
      <c r="DQ117" s="750">
        <f>INPUT!FP47</f>
        <v>17.300000000000004</v>
      </c>
      <c r="DR117" s="752" t="str">
        <f>INPUT!FQ47</f>
        <v>NM</v>
      </c>
      <c r="DS117" s="750">
        <f>INPUT!FR47</f>
        <v>9.9999999999997868E-2</v>
      </c>
      <c r="DT117" s="752" t="str">
        <f>INPUT!FS47</f>
        <v>NM</v>
      </c>
      <c r="DU117" s="750">
        <f>INPUT!FT47</f>
        <v>2.2999999999999989</v>
      </c>
      <c r="DV117" s="752" t="str">
        <f>INPUT!FU47</f>
        <v>NM</v>
      </c>
      <c r="DW117" s="750">
        <f>INPUT!FV47</f>
        <v>-2.0999999999999996</v>
      </c>
      <c r="DX117" s="752" t="str">
        <f>INPUT!FW47</f>
        <v>NM</v>
      </c>
      <c r="DY117" s="750">
        <f>INPUT!FX47</f>
        <v>-8</v>
      </c>
      <c r="DZ117" s="752" t="str">
        <f>INPUT!FY47</f>
        <v>NM</v>
      </c>
      <c r="EA117" s="750">
        <f>INPUT!FZ47</f>
        <v>-8.5</v>
      </c>
      <c r="EB117" s="752">
        <f>INPUT!GA47</f>
        <v>6.25</v>
      </c>
      <c r="EC117" s="750">
        <f>INPUT!GB47</f>
        <v>-13.900000000000002</v>
      </c>
      <c r="ED117" s="752">
        <f>INPUT!GC47</f>
        <v>63.529411764705898</v>
      </c>
      <c r="EE117" s="750">
        <f>INPUT!GD47</f>
        <v>-9.5</v>
      </c>
      <c r="EF117" s="752">
        <f>INPUT!GE47</f>
        <v>-31.654676258992819</v>
      </c>
      <c r="EG117" s="750">
        <f>INPUT!GF47</f>
        <v>-10.5</v>
      </c>
      <c r="EH117" s="752">
        <f>INPUT!GG47</f>
        <v>10.526315789473696</v>
      </c>
      <c r="EI117" s="750">
        <f>INPUT!GH47</f>
        <v>-7</v>
      </c>
      <c r="EJ117" s="752">
        <f>INPUT!GI47</f>
        <v>-33.333333333333336</v>
      </c>
      <c r="EK117" s="750">
        <f>INPUT!GJ47</f>
        <v>-4.5111055109999985</v>
      </c>
      <c r="EL117" s="752">
        <f>INPUT!GK47</f>
        <v>-35.555635557142885</v>
      </c>
      <c r="EM117" s="750">
        <f>INPUT!GL47</f>
        <v>-4.6013276212199985</v>
      </c>
      <c r="EN117" s="752">
        <f>INPUT!GM47</f>
        <v>2.0000000000000018</v>
      </c>
      <c r="EO117" s="750">
        <f>INPUT!GN47</f>
        <v>-4.6933541736443987</v>
      </c>
      <c r="EP117" s="752">
        <f>INPUT!GO47</f>
        <v>2.0000000000000018</v>
      </c>
      <c r="EQ117" s="750">
        <f>INPUT!GP47</f>
        <v>-4.7872212571172863</v>
      </c>
      <c r="ER117" s="752">
        <f>INPUT!GQ47</f>
        <v>2.0000000000000018</v>
      </c>
      <c r="ES117" s="750">
        <f>INPUT!GR47</f>
        <v>-4.8829656822596323</v>
      </c>
      <c r="ET117" s="752">
        <f>INPUT!GS47</f>
        <v>2.0000000000000018</v>
      </c>
      <c r="EU117" s="756">
        <f>INPUT!GT47</f>
        <v>-6.9498395352237452</v>
      </c>
      <c r="EV117" s="710"/>
    </row>
    <row r="118" spans="1:152" ht="12.75" hidden="1" customHeight="1" outlineLevel="1" x14ac:dyDescent="0.2">
      <c r="A118" s="754" t="str">
        <f>INPUT!B48</f>
        <v>Operating Expenses &amp; VOBA</v>
      </c>
      <c r="B118" s="750">
        <f>INPUT!AS48</f>
        <v>149</v>
      </c>
      <c r="C118" s="756">
        <f>INPUT!AT48</f>
        <v>3.4004163775156471</v>
      </c>
      <c r="D118" s="750">
        <f>INPUT!AU48</f>
        <v>141.80000000000001</v>
      </c>
      <c r="E118" s="756">
        <f>INPUT!AV48</f>
        <v>0.71022727272727071</v>
      </c>
      <c r="F118" s="750">
        <f>INPUT!AW48</f>
        <v>154.1</v>
      </c>
      <c r="G118" s="756">
        <f>INPUT!AX48</f>
        <v>10.307802433786662</v>
      </c>
      <c r="H118" s="750">
        <f>INPUT!AY48</f>
        <v>143.69999999999999</v>
      </c>
      <c r="I118" s="752">
        <f>INPUT!AZ48</f>
        <v>-2.7740189445196406</v>
      </c>
      <c r="J118" s="750">
        <f>INPUT!BA48</f>
        <v>146</v>
      </c>
      <c r="K118" s="752">
        <f>INPUT!BB48</f>
        <v>-2.0134228187919434</v>
      </c>
      <c r="L118" s="750">
        <f>INPUT!BC48</f>
        <v>132.20000000000002</v>
      </c>
      <c r="M118" s="752">
        <f>INPUT!BD48</f>
        <v>-6.7700987306064881</v>
      </c>
      <c r="N118" s="750">
        <f>INPUT!BE48</f>
        <v>140.9</v>
      </c>
      <c r="O118" s="752">
        <f>INPUT!BF48</f>
        <v>-8.5658663205710468</v>
      </c>
      <c r="P118" s="750">
        <f>INPUT!BG48</f>
        <v>150.00000000000003</v>
      </c>
      <c r="Q118" s="752">
        <f>INPUT!BH48</f>
        <v>4.3841336116910545</v>
      </c>
      <c r="R118" s="750">
        <f>INPUT!BI48</f>
        <v>144.30000000000001</v>
      </c>
      <c r="S118" s="752">
        <f>INPUT!BJ48</f>
        <v>-1.1643835616438225</v>
      </c>
      <c r="T118" s="750">
        <f>INPUT!BK48</f>
        <v>147.80000000000001</v>
      </c>
      <c r="U118" s="752">
        <f>INPUT!BL48</f>
        <v>11.800302571860822</v>
      </c>
      <c r="V118" s="750">
        <f>INPUT!BM48</f>
        <v>142</v>
      </c>
      <c r="W118" s="752">
        <f>INPUT!BN48</f>
        <v>0.78069552874378001</v>
      </c>
      <c r="X118" s="750">
        <f>INPUT!BO48</f>
        <v>142.5</v>
      </c>
      <c r="Y118" s="752">
        <f>INPUT!BP48</f>
        <v>-5.000000000000016</v>
      </c>
      <c r="Z118" s="750">
        <f>INPUT!BQ48</f>
        <v>144.30000000000001</v>
      </c>
      <c r="AA118" s="752">
        <f>INPUT!BR48</f>
        <v>0</v>
      </c>
      <c r="AB118" s="750">
        <f>INPUT!BS48</f>
        <v>142.5</v>
      </c>
      <c r="AC118" s="752">
        <f>INPUT!BT48</f>
        <v>-3.5859269282814688</v>
      </c>
      <c r="AD118" s="750">
        <f>INPUT!BU48</f>
        <v>141.9</v>
      </c>
      <c r="AE118" s="752">
        <f>INPUT!BV48</f>
        <v>-7.0422535211267512E-2</v>
      </c>
      <c r="AF118" s="750">
        <f>INPUT!BW48</f>
        <v>145.9</v>
      </c>
      <c r="AG118" s="752">
        <f>INPUT!BX48</f>
        <v>2.3859649122807136</v>
      </c>
      <c r="AH118" s="750">
        <f>INPUT!BY48</f>
        <v>138.20000000000002</v>
      </c>
      <c r="AI118" s="752">
        <f>INPUT!BZ48</f>
        <v>-4.2273042273042183</v>
      </c>
      <c r="AJ118" s="750">
        <f>INPUT!CA48</f>
        <v>132.60000000000002</v>
      </c>
      <c r="AK118" s="752">
        <f>INPUT!CB48</f>
        <v>-6.9473684210526132</v>
      </c>
      <c r="AL118" s="750">
        <f>INPUT!CC48</f>
        <v>133</v>
      </c>
      <c r="AM118" s="752">
        <f>INPUT!CD48</f>
        <v>-6.2720225510923271</v>
      </c>
      <c r="AN118" s="750">
        <f>INPUT!CE48</f>
        <v>140.80000000000001</v>
      </c>
      <c r="AO118" s="752">
        <f>INPUT!CF48</f>
        <v>-3.4955448937628475</v>
      </c>
      <c r="AP118" s="750">
        <f>INPUT!CG48</f>
        <v>137.4</v>
      </c>
      <c r="AQ118" s="752">
        <f>INPUT!CH48</f>
        <v>-0.57887120115774904</v>
      </c>
      <c r="AR118" s="750">
        <f>INPUT!CI48</f>
        <v>136.79999999999998</v>
      </c>
      <c r="AS118" s="752">
        <f>INPUT!CJ48</f>
        <v>3.1674208144796046</v>
      </c>
      <c r="AT118" s="750">
        <f>INPUT!CK48</f>
        <v>137.70000000000002</v>
      </c>
      <c r="AU118" s="752">
        <f>INPUT!CL48</f>
        <v>3.5338345864661891</v>
      </c>
      <c r="AV118" s="750">
        <f>INPUT!CM48</f>
        <v>136.1</v>
      </c>
      <c r="AW118" s="752">
        <f>INPUT!CN48</f>
        <v>-3.338068181818199</v>
      </c>
      <c r="AX118" s="750">
        <f>INPUT!CO48</f>
        <v>135.20000000000002</v>
      </c>
      <c r="AY118" s="752">
        <f>INPUT!CP48</f>
        <v>-1.6011644832605421</v>
      </c>
      <c r="AZ118" s="750">
        <f>INPUT!CQ48</f>
        <v>134.9</v>
      </c>
      <c r="BA118" s="752">
        <f>INPUT!CR48</f>
        <v>-1.3888888888888729</v>
      </c>
      <c r="BB118" s="750">
        <f>INPUT!CS48</f>
        <v>130.79999999999998</v>
      </c>
      <c r="BC118" s="752">
        <f>INPUT!CT48</f>
        <v>-5.0108932461873863</v>
      </c>
      <c r="BD118" s="750">
        <f>INPUT!CU48</f>
        <v>139.20000000000002</v>
      </c>
      <c r="BE118" s="752">
        <f>INPUT!CV48</f>
        <v>2.2777369581190365</v>
      </c>
      <c r="BF118" s="750">
        <f>INPUT!CW48</f>
        <v>131.6</v>
      </c>
      <c r="BG118" s="752">
        <f>INPUT!CX48</f>
        <v>-2.6627218934911379</v>
      </c>
      <c r="BH118" s="750">
        <f>INPUT!CY48</f>
        <v>132.69999999999999</v>
      </c>
      <c r="BI118" s="752">
        <f>INPUT!CZ48</f>
        <v>-1.630837657524109</v>
      </c>
      <c r="BJ118" s="750">
        <f>INPUT!DA48</f>
        <v>132.6</v>
      </c>
      <c r="BK118" s="752">
        <f>INPUT!DB48</f>
        <v>1.3761467889908285</v>
      </c>
      <c r="BL118" s="750">
        <f>INPUT!DC48</f>
        <v>135.5</v>
      </c>
      <c r="BM118" s="752">
        <f>INPUT!DD48</f>
        <v>-2.6580459770115028</v>
      </c>
      <c r="BN118" s="750">
        <f>INPUT!DE48</f>
        <v>136</v>
      </c>
      <c r="BO118" s="752">
        <f>INPUT!DF48</f>
        <v>3.3434650455927084</v>
      </c>
      <c r="BP118" s="750">
        <f>INPUT!DG48</f>
        <v>135.4</v>
      </c>
      <c r="BQ118" s="752">
        <f>INPUT!DH48</f>
        <v>2.0346646571213434</v>
      </c>
      <c r="BR118" s="750">
        <f>INPUT!DI48</f>
        <v>136.30000000000001</v>
      </c>
      <c r="BS118" s="752">
        <f>INPUT!DJ48</f>
        <v>2.7903469079939791</v>
      </c>
      <c r="BT118" s="750">
        <f>INPUT!DK48</f>
        <v>142.30000000000001</v>
      </c>
      <c r="BU118" s="752">
        <f>INPUT!DL48</f>
        <v>5.0184501845018437</v>
      </c>
      <c r="BV118" s="750">
        <f>INPUT!DM48</f>
        <v>141.80000000000001</v>
      </c>
      <c r="BW118" s="752">
        <f>INPUT!DN48</f>
        <v>4.2647058823529482</v>
      </c>
      <c r="BX118" s="750">
        <f>INPUT!DO48</f>
        <v>142.69999999999999</v>
      </c>
      <c r="BY118" s="752">
        <f>INPUT!DP48</f>
        <v>5.3914327917282012</v>
      </c>
      <c r="BZ118" s="750">
        <f>INPUT!DQ48</f>
        <v>142.4</v>
      </c>
      <c r="CA118" s="752">
        <f>INPUT!DR48</f>
        <v>4.4754218635363108</v>
      </c>
      <c r="CB118" s="750">
        <f>INPUT!DS48</f>
        <v>145.5</v>
      </c>
      <c r="CC118" s="752">
        <f>INPUT!DT48</f>
        <v>2.2487702037947921</v>
      </c>
      <c r="CD118" s="750">
        <f>INPUT!DU48</f>
        <v>145.19999999999999</v>
      </c>
      <c r="CE118" s="752">
        <f>INPUT!DV48</f>
        <v>2.3977433004231052</v>
      </c>
      <c r="CF118" s="750">
        <f>INPUT!DW48</f>
        <v>143.30000000000001</v>
      </c>
      <c r="CG118" s="752">
        <f>INPUT!DX48</f>
        <v>0.42046250875964475</v>
      </c>
      <c r="CH118" s="750">
        <f>INPUT!DY48</f>
        <v>141</v>
      </c>
      <c r="CI118" s="752">
        <f>INPUT!DZ48</f>
        <v>-0.98314606741572996</v>
      </c>
      <c r="CJ118" s="750">
        <f>INPUT!EA48</f>
        <v>142.6</v>
      </c>
      <c r="CK118" s="752">
        <f>INPUT!EB48</f>
        <v>-1.993127147766327</v>
      </c>
      <c r="CL118" s="750">
        <f>INPUT!EC48</f>
        <v>144.9</v>
      </c>
      <c r="CM118" s="752">
        <f>INPUT!ED48</f>
        <v>-0.20661157024792765</v>
      </c>
      <c r="CN118" s="750">
        <f>INPUT!EE48</f>
        <v>148</v>
      </c>
      <c r="CO118" s="752">
        <f>INPUT!EF48</f>
        <v>3.2798325191905064</v>
      </c>
      <c r="CP118" s="750">
        <f>INPUT!EG48</f>
        <v>143.30000000000001</v>
      </c>
      <c r="CQ118" s="752">
        <f>INPUT!EH48</f>
        <v>1.6312056737588732</v>
      </c>
      <c r="CR118" s="750">
        <f>INPUT!EI48</f>
        <v>150.80000000000001</v>
      </c>
      <c r="CS118" s="752">
        <f>INPUT!EJ48</f>
        <v>5.7503506311360475</v>
      </c>
      <c r="CT118" s="750">
        <f>INPUT!EK48</f>
        <v>154.45485435760804</v>
      </c>
      <c r="CU118" s="752">
        <f>INPUT!EL48</f>
        <v>6.5941023862029269</v>
      </c>
      <c r="CV118" s="750">
        <f>INPUT!EM48</f>
        <v>155.37512723532549</v>
      </c>
      <c r="CW118" s="752">
        <f>INPUT!EN48</f>
        <v>4.9831940779226258</v>
      </c>
      <c r="CX118" s="750">
        <f>INPUT!EO48</f>
        <v>155.27893523062994</v>
      </c>
      <c r="CY118" s="752">
        <f>INPUT!EP48</f>
        <v>8.3593407052546596</v>
      </c>
      <c r="CZ118" s="750">
        <f>INPUT!EQ48</f>
        <v>155.3187181419959</v>
      </c>
      <c r="DA118" s="752">
        <f>INPUT!ER48</f>
        <v>2.9964974416418322</v>
      </c>
      <c r="DB118" s="753"/>
      <c r="DC118" s="750">
        <f>INPUT!FB48</f>
        <v>0</v>
      </c>
      <c r="DD118" s="756">
        <f>INPUT!FC48</f>
        <v>0</v>
      </c>
      <c r="DE118" s="750">
        <f>INPUT!FD48</f>
        <v>547.79999999999995</v>
      </c>
      <c r="DF118" s="756" t="str">
        <f>INPUT!FE48</f>
        <v>NA</v>
      </c>
      <c r="DG118" s="750">
        <f>INPUT!FF48</f>
        <v>615.5</v>
      </c>
      <c r="DH118" s="756">
        <f>INPUT!FG48</f>
        <v>12.358525009127419</v>
      </c>
      <c r="DI118" s="750">
        <f>INPUT!FH48</f>
        <v>619.6</v>
      </c>
      <c r="DJ118" s="756">
        <f>INPUT!FI48</f>
        <v>0.66612510154346882</v>
      </c>
      <c r="DK118" s="750">
        <f>INPUT!FJ48</f>
        <v>572.4</v>
      </c>
      <c r="DL118" s="752">
        <f>INPUT!FK48</f>
        <v>-7.6178179470626333</v>
      </c>
      <c r="DM118" s="750">
        <f>INPUT!FL48</f>
        <v>588.59999999999991</v>
      </c>
      <c r="DN118" s="752">
        <f>INPUT!FM48</f>
        <v>2.8301886792452713</v>
      </c>
      <c r="DO118" s="750">
        <f>INPUT!FN48</f>
        <v>569.1</v>
      </c>
      <c r="DP118" s="752">
        <f>INPUT!FO48</f>
        <v>-3.3129459734964173</v>
      </c>
      <c r="DQ118" s="750">
        <f>INPUT!FP48</f>
        <v>576.6</v>
      </c>
      <c r="DR118" s="752">
        <f>INPUT!FQ48</f>
        <v>1.317870321560366</v>
      </c>
      <c r="DS118" s="750">
        <f>INPUT!FR48</f>
        <v>574.6</v>
      </c>
      <c r="DT118" s="752">
        <f>INPUT!FS48</f>
        <v>-0.3468609087755814</v>
      </c>
      <c r="DU118" s="750">
        <f>INPUT!FT48</f>
        <v>544.60000000000014</v>
      </c>
      <c r="DV118" s="752">
        <f>INPUT!FU48</f>
        <v>-5.2210233205708168</v>
      </c>
      <c r="DW118" s="750">
        <f>INPUT!FV48</f>
        <v>548</v>
      </c>
      <c r="DX118" s="752">
        <f>INPUT!FW48</f>
        <v>0.62431142122656436</v>
      </c>
      <c r="DY118" s="750">
        <f>INPUT!FX48</f>
        <v>540.1</v>
      </c>
      <c r="DZ118" s="752">
        <f>INPUT!FY48</f>
        <v>-1.4416058394160491</v>
      </c>
      <c r="EA118" s="750">
        <f>INPUT!FZ48</f>
        <v>532.4</v>
      </c>
      <c r="EB118" s="752">
        <f>INPUT!GA48</f>
        <v>-1.4256619144602967</v>
      </c>
      <c r="EC118" s="750">
        <f>INPUT!GB48</f>
        <v>550</v>
      </c>
      <c r="ED118" s="752">
        <f>INPUT!GC48</f>
        <v>3.3057851239669533</v>
      </c>
      <c r="EE118" s="750">
        <f>INPUT!GD48</f>
        <v>572.4</v>
      </c>
      <c r="EF118" s="752">
        <f>INPUT!GE48</f>
        <v>4.0727272727272723</v>
      </c>
      <c r="EG118" s="750">
        <f>INPUT!GF48</f>
        <v>572.1</v>
      </c>
      <c r="EH118" s="752">
        <f>INPUT!GG48</f>
        <v>-5.2410901467492277E-2</v>
      </c>
      <c r="EI118" s="750">
        <f>INPUT!GH48</f>
        <v>587</v>
      </c>
      <c r="EJ118" s="752">
        <f>INPUT!GI48</f>
        <v>2.604439783254664</v>
      </c>
      <c r="EK118" s="750">
        <f>INPUT!GJ48</f>
        <v>620.42763496555938</v>
      </c>
      <c r="EL118" s="752">
        <f>INPUT!GK48</f>
        <v>5.6946567232639467</v>
      </c>
      <c r="EM118" s="750">
        <f>INPUT!GL48</f>
        <v>644.5820376495036</v>
      </c>
      <c r="EN118" s="752">
        <f>INPUT!GM48</f>
        <v>3.8931861385067101</v>
      </c>
      <c r="EO118" s="750">
        <f>INPUT!GN48</f>
        <v>670.38420054229653</v>
      </c>
      <c r="EP118" s="752">
        <f>INPUT!GO48</f>
        <v>4.0029292449540899</v>
      </c>
      <c r="EQ118" s="750">
        <f>INPUT!GP48</f>
        <v>697.84923938038673</v>
      </c>
      <c r="ER118" s="752">
        <f>INPUT!GQ48</f>
        <v>4.0969102219104769</v>
      </c>
      <c r="ES118" s="750">
        <f>INPUT!GR48</f>
        <v>727.00158306834953</v>
      </c>
      <c r="ET118" s="752">
        <f>INPUT!GS48</f>
        <v>4.1774558232444026</v>
      </c>
      <c r="EU118" s="756">
        <f>INPUT!GT48</f>
        <v>4.3709054349535092</v>
      </c>
      <c r="EV118" s="710"/>
    </row>
    <row r="119" spans="1:152" ht="12.75" hidden="1" customHeight="1" outlineLevel="1" x14ac:dyDescent="0.2">
      <c r="A119" s="754" t="str">
        <f>INPUT!B49</f>
        <v xml:space="preserve"> Total Benefits and Expenses</v>
      </c>
      <c r="B119" s="750">
        <f>INPUT!AS49</f>
        <v>791.40000000000009</v>
      </c>
      <c r="C119" s="756">
        <f>INPUT!AT49</f>
        <v>-1.1985018726591412</v>
      </c>
      <c r="D119" s="750">
        <f>INPUT!AU49</f>
        <v>784.60000000000014</v>
      </c>
      <c r="E119" s="756">
        <f>INPUT!AV49</f>
        <v>-0.41883487752252258</v>
      </c>
      <c r="F119" s="750">
        <f>INPUT!AW49</f>
        <v>769.6</v>
      </c>
      <c r="G119" s="756">
        <f>INPUT!AX49</f>
        <v>0.35206676228973777</v>
      </c>
      <c r="H119" s="750">
        <f>INPUT!AY49</f>
        <v>779</v>
      </c>
      <c r="I119" s="752">
        <f>INPUT!AZ49</f>
        <v>-1.3549449157908122</v>
      </c>
      <c r="J119" s="750">
        <f>INPUT!BA49</f>
        <v>743.6</v>
      </c>
      <c r="K119" s="752">
        <f>INPUT!BB49</f>
        <v>-6.0399292393227277</v>
      </c>
      <c r="L119" s="750">
        <f>INPUT!BC49</f>
        <v>750.30000000000007</v>
      </c>
      <c r="M119" s="752">
        <f>INPUT!BD49</f>
        <v>-4.3716543461636554</v>
      </c>
      <c r="N119" s="750">
        <f>INPUT!BE49</f>
        <v>729.5</v>
      </c>
      <c r="O119" s="752">
        <f>INPUT!BF49</f>
        <v>-5.210498960498966</v>
      </c>
      <c r="P119" s="750">
        <f>INPUT!BG49</f>
        <v>730.4</v>
      </c>
      <c r="Q119" s="752">
        <f>INPUT!BH49</f>
        <v>-6.2387676508344097</v>
      </c>
      <c r="R119" s="750">
        <f>INPUT!BI49</f>
        <v>709.5</v>
      </c>
      <c r="S119" s="752">
        <f>INPUT!BJ49</f>
        <v>-4.5857988165680545</v>
      </c>
      <c r="T119" s="750">
        <f>INPUT!BK49</f>
        <v>712.60000000000014</v>
      </c>
      <c r="U119" s="752">
        <f>INPUT!BL49</f>
        <v>-5.0246568039450823</v>
      </c>
      <c r="V119" s="750">
        <f>INPUT!BM49</f>
        <v>690.6</v>
      </c>
      <c r="W119" s="752">
        <f>INPUT!BN49</f>
        <v>-5.3324194653872503</v>
      </c>
      <c r="X119" s="750">
        <f>INPUT!BO49</f>
        <v>690.99999999999989</v>
      </c>
      <c r="Y119" s="752">
        <f>INPUT!BP49</f>
        <v>-5.3943044906900495</v>
      </c>
      <c r="Z119" s="750">
        <f>INPUT!BQ49</f>
        <v>667.90000000000009</v>
      </c>
      <c r="AA119" s="752">
        <f>INPUT!BR49</f>
        <v>-5.8632840028188689</v>
      </c>
      <c r="AB119" s="750">
        <f>INPUT!BS49</f>
        <v>656.09999999999991</v>
      </c>
      <c r="AC119" s="752">
        <f>INPUT!BT49</f>
        <v>-7.9287117597530488</v>
      </c>
      <c r="AD119" s="750">
        <f>INPUT!BU49</f>
        <v>641.6</v>
      </c>
      <c r="AE119" s="752">
        <f>INPUT!BV49</f>
        <v>-7.0952794671300339</v>
      </c>
      <c r="AF119" s="750">
        <f>INPUT!BW49</f>
        <v>638.80000000000007</v>
      </c>
      <c r="AG119" s="752">
        <f>INPUT!BX49</f>
        <v>-7.5542691751085078</v>
      </c>
      <c r="AH119" s="750">
        <f>INPUT!BY49</f>
        <v>619</v>
      </c>
      <c r="AI119" s="752">
        <f>INPUT!BZ49</f>
        <v>-7.321455307680802</v>
      </c>
      <c r="AJ119" s="750">
        <f>INPUT!CA49</f>
        <v>613.5</v>
      </c>
      <c r="AK119" s="752">
        <f>INPUT!CB49</f>
        <v>-6.4929126657521596</v>
      </c>
      <c r="AL119" s="750">
        <f>INPUT!CC49</f>
        <v>606.79999999999995</v>
      </c>
      <c r="AM119" s="752">
        <f>INPUT!CD49</f>
        <v>-5.4239401496259498</v>
      </c>
      <c r="AN119" s="750">
        <f>INPUT!CE49</f>
        <v>615.1</v>
      </c>
      <c r="AO119" s="752">
        <f>INPUT!CF49</f>
        <v>-3.7100814026299389</v>
      </c>
      <c r="AP119" s="750">
        <f>INPUT!CG49</f>
        <v>604.1</v>
      </c>
      <c r="AQ119" s="752">
        <f>INPUT!CH49</f>
        <v>-2.4071082390953125</v>
      </c>
      <c r="AR119" s="750">
        <f>INPUT!CI49</f>
        <v>604</v>
      </c>
      <c r="AS119" s="752">
        <f>INPUT!CJ49</f>
        <v>-1.5484922575387139</v>
      </c>
      <c r="AT119" s="750">
        <f>INPUT!CK49</f>
        <v>612.29999999999995</v>
      </c>
      <c r="AU119" s="752">
        <f>INPUT!CL49</f>
        <v>0.90639419907712071</v>
      </c>
      <c r="AV119" s="750">
        <f>INPUT!CM49</f>
        <v>607.1</v>
      </c>
      <c r="AW119" s="752">
        <f>INPUT!CN49</f>
        <v>-1.3006015282067906</v>
      </c>
      <c r="AX119" s="750">
        <f>INPUT!CO49</f>
        <v>609.4</v>
      </c>
      <c r="AY119" s="752">
        <f>INPUT!CP49</f>
        <v>0.87733818904154326</v>
      </c>
      <c r="AZ119" s="750">
        <f>INPUT!CQ49</f>
        <v>610.70000000000005</v>
      </c>
      <c r="BA119" s="752">
        <f>INPUT!CR49</f>
        <v>1.1092715231788119</v>
      </c>
      <c r="BB119" s="750">
        <f>INPUT!CS49</f>
        <v>604.29999999999995</v>
      </c>
      <c r="BC119" s="752">
        <f>INPUT!CT49</f>
        <v>-1.306549077249719</v>
      </c>
      <c r="BD119" s="750">
        <f>INPUT!CU49</f>
        <v>608.6</v>
      </c>
      <c r="BE119" s="752">
        <f>INPUT!CV49</f>
        <v>0.24707626420688023</v>
      </c>
      <c r="BF119" s="750">
        <f>INPUT!CW49</f>
        <v>615.1</v>
      </c>
      <c r="BG119" s="752">
        <f>INPUT!CX49</f>
        <v>0.93534624220545926</v>
      </c>
      <c r="BH119" s="750">
        <f>INPUT!CY49</f>
        <v>611.29999999999995</v>
      </c>
      <c r="BI119" s="752">
        <f>INPUT!CZ49</f>
        <v>9.8247912231852474E-2</v>
      </c>
      <c r="BJ119" s="750">
        <f>INPUT!DA49</f>
        <v>596</v>
      </c>
      <c r="BK119" s="752">
        <f>INPUT!DB49</f>
        <v>-1.3734899884163432</v>
      </c>
      <c r="BL119" s="750">
        <f>INPUT!DC49</f>
        <v>598.4</v>
      </c>
      <c r="BM119" s="752">
        <f>INPUT!DD49</f>
        <v>-1.6759776536312887</v>
      </c>
      <c r="BN119" s="750">
        <f>INPUT!DE49</f>
        <v>606.5</v>
      </c>
      <c r="BO119" s="752">
        <f>INPUT!DF49</f>
        <v>-1.3981466428223066</v>
      </c>
      <c r="BP119" s="750">
        <f>INPUT!DG49</f>
        <v>601.70000000000005</v>
      </c>
      <c r="BQ119" s="752">
        <f>INPUT!DH49</f>
        <v>-1.5704236872239319</v>
      </c>
      <c r="BR119" s="750">
        <f>INPUT!DI49</f>
        <v>605.09999999999991</v>
      </c>
      <c r="BS119" s="752">
        <f>INPUT!DJ49</f>
        <v>1.5268456375838735</v>
      </c>
      <c r="BT119" s="750">
        <f>INPUT!DK49</f>
        <v>630.4</v>
      </c>
      <c r="BU119" s="752">
        <f>INPUT!DL49</f>
        <v>5.3475935828876997</v>
      </c>
      <c r="BV119" s="750">
        <f>INPUT!DM49</f>
        <v>627.29999999999995</v>
      </c>
      <c r="BW119" s="752">
        <f>INPUT!DN49</f>
        <v>3.429513602638079</v>
      </c>
      <c r="BX119" s="750">
        <f>INPUT!DO49</f>
        <v>649.79999999999995</v>
      </c>
      <c r="BY119" s="752">
        <f>INPUT!DP49</f>
        <v>7.994016951969396</v>
      </c>
      <c r="BZ119" s="750">
        <f>INPUT!DQ49</f>
        <v>640</v>
      </c>
      <c r="CA119" s="752">
        <f>INPUT!DR49</f>
        <v>5.7676417121137247</v>
      </c>
      <c r="CB119" s="750">
        <f>INPUT!DS49</f>
        <v>652</v>
      </c>
      <c r="CC119" s="752">
        <f>INPUT!DT49</f>
        <v>3.4263959390862908</v>
      </c>
      <c r="CD119" s="750">
        <f>INPUT!DU49</f>
        <v>661.40000000000009</v>
      </c>
      <c r="CE119" s="752">
        <f>INPUT!DV49</f>
        <v>5.4359955364259749</v>
      </c>
      <c r="CF119" s="750">
        <f>INPUT!DW49</f>
        <v>657</v>
      </c>
      <c r="CG119" s="752">
        <f>INPUT!DX49</f>
        <v>1.1080332409972415</v>
      </c>
      <c r="CH119" s="750">
        <f>INPUT!DY49</f>
        <v>641.09999999999991</v>
      </c>
      <c r="CI119" s="752">
        <f>INPUT!DZ49</f>
        <v>0.17187499999997691</v>
      </c>
      <c r="CJ119" s="750">
        <f>INPUT!EA49</f>
        <v>644.1</v>
      </c>
      <c r="CK119" s="752">
        <f>INPUT!EB49</f>
        <v>-1.21165644171779</v>
      </c>
      <c r="CL119" s="750">
        <f>INPUT!EC49</f>
        <v>643.1</v>
      </c>
      <c r="CM119" s="752">
        <f>INPUT!ED49</f>
        <v>-2.7668581796190028</v>
      </c>
      <c r="CN119" s="750">
        <f>INPUT!EE49</f>
        <v>647.29999999999995</v>
      </c>
      <c r="CO119" s="752">
        <f>INPUT!EF49</f>
        <v>-1.4764079147640885</v>
      </c>
      <c r="CP119" s="750">
        <f>INPUT!EG49</f>
        <v>643.80000000000007</v>
      </c>
      <c r="CQ119" s="752">
        <f>INPUT!EH49</f>
        <v>0.42115114646703589</v>
      </c>
      <c r="CR119" s="750">
        <f>INPUT!EI49</f>
        <v>656.2</v>
      </c>
      <c r="CS119" s="752">
        <f>INPUT!EJ49</f>
        <v>1.8785902810122712</v>
      </c>
      <c r="CT119" s="750">
        <f>INPUT!EK49</f>
        <v>678.538820138858</v>
      </c>
      <c r="CU119" s="752">
        <f>INPUT!EL49</f>
        <v>5.5106235638093581</v>
      </c>
      <c r="CV119" s="750">
        <f>INPUT!EM49</f>
        <v>682.32881151976517</v>
      </c>
      <c r="CW119" s="752">
        <f>INPUT!EN49</f>
        <v>5.4115265749675956</v>
      </c>
      <c r="CX119" s="750">
        <f>INPUT!EO49</f>
        <v>681.2353488847167</v>
      </c>
      <c r="CY119" s="752">
        <f>INPUT!EP49</f>
        <v>5.8147481958242597</v>
      </c>
      <c r="CZ119" s="750">
        <f>INPUT!EQ49</f>
        <v>679.52986625976712</v>
      </c>
      <c r="DA119" s="752">
        <f>INPUT!ER49</f>
        <v>3.5552981194402644</v>
      </c>
      <c r="DB119" s="753"/>
      <c r="DC119" s="750">
        <f>INPUT!FB49</f>
        <v>0</v>
      </c>
      <c r="DD119" s="756">
        <f>INPUT!FC49</f>
        <v>0</v>
      </c>
      <c r="DE119" s="750">
        <f>INPUT!FD49</f>
        <v>2860.0999999999995</v>
      </c>
      <c r="DF119" s="756" t="str">
        <f>INPUT!FE49</f>
        <v>NA</v>
      </c>
      <c r="DG119" s="750">
        <f>INPUT!FF49</f>
        <v>4198.7</v>
      </c>
      <c r="DH119" s="756">
        <f>INPUT!FG49</f>
        <v>46.802559351071672</v>
      </c>
      <c r="DI119" s="750">
        <f>INPUT!FH49</f>
        <v>3368.1</v>
      </c>
      <c r="DJ119" s="756">
        <f>INPUT!FI49</f>
        <v>-19.782313573248867</v>
      </c>
      <c r="DK119" s="750">
        <f>INPUT!FJ49</f>
        <v>3145.5</v>
      </c>
      <c r="DL119" s="752">
        <f>INPUT!FK49</f>
        <v>-6.609067426739113</v>
      </c>
      <c r="DM119" s="750">
        <f>INPUT!FL49</f>
        <v>3124.6000000000004</v>
      </c>
      <c r="DN119" s="752">
        <f>INPUT!FM49</f>
        <v>-0.66444126529962011</v>
      </c>
      <c r="DO119" s="750">
        <f>INPUT!FN49</f>
        <v>2953.7999999999997</v>
      </c>
      <c r="DP119" s="752">
        <f>INPUT!FO49</f>
        <v>-5.4662996863598767</v>
      </c>
      <c r="DQ119" s="750">
        <f>INPUT!FP49</f>
        <v>2803.7000000000003</v>
      </c>
      <c r="DR119" s="752">
        <f>INPUT!FQ49</f>
        <v>-5.0815898165075364</v>
      </c>
      <c r="DS119" s="750">
        <f>INPUT!FR49</f>
        <v>2599.7000000000003</v>
      </c>
      <c r="DT119" s="752">
        <f>INPUT!FS49</f>
        <v>-7.2760994400256855</v>
      </c>
      <c r="DU119" s="750">
        <f>INPUT!FT49</f>
        <v>2454.4000000000005</v>
      </c>
      <c r="DV119" s="752">
        <f>INPUT!FU49</f>
        <v>-5.5891064353579161</v>
      </c>
      <c r="DW119" s="750">
        <f>INPUT!FV49</f>
        <v>2427.5</v>
      </c>
      <c r="DX119" s="752">
        <f>INPUT!FW49</f>
        <v>-1.0959908735332702</v>
      </c>
      <c r="DY119" s="750">
        <f>INPUT!FX49</f>
        <v>2433</v>
      </c>
      <c r="DZ119" s="752">
        <f>INPUT!FY49</f>
        <v>0.22657054582904124</v>
      </c>
      <c r="EA119" s="750">
        <f>INPUT!FZ49</f>
        <v>2420.8000000000002</v>
      </c>
      <c r="EB119" s="752">
        <f>INPUT!GA49</f>
        <v>-0.50143855322646314</v>
      </c>
      <c r="EC119" s="750">
        <f>INPUT!GB49</f>
        <v>2443.6999999999998</v>
      </c>
      <c r="ED119" s="752">
        <f>INPUT!GC49</f>
        <v>0.94596827495041502</v>
      </c>
      <c r="EE119" s="750">
        <f>INPUT!GD49</f>
        <v>2569.1</v>
      </c>
      <c r="EF119" s="752">
        <f>INPUT!GE49</f>
        <v>5.1315627941236786</v>
      </c>
      <c r="EG119" s="750">
        <f>INPUT!GF49</f>
        <v>2603.6</v>
      </c>
      <c r="EH119" s="752">
        <f>INPUT!GG49</f>
        <v>1.3428827215756556</v>
      </c>
      <c r="EI119" s="750">
        <f>INPUT!GH49</f>
        <v>2590.4</v>
      </c>
      <c r="EJ119" s="752">
        <f>INPUT!GI49</f>
        <v>-0.50699032109385866</v>
      </c>
      <c r="EK119" s="750">
        <f>INPUT!GJ49</f>
        <v>2721.632846803107</v>
      </c>
      <c r="EL119" s="752">
        <f>INPUT!GK49</f>
        <v>5.0661228691749161</v>
      </c>
      <c r="EM119" s="750">
        <f>INPUT!GL49</f>
        <v>2832.6653166943634</v>
      </c>
      <c r="EN119" s="752">
        <f>INPUT!GM49</f>
        <v>4.0796270526231249</v>
      </c>
      <c r="EO119" s="750">
        <f>INPUT!GN49</f>
        <v>2951.4963907803735</v>
      </c>
      <c r="EP119" s="752">
        <f>INPUT!GO49</f>
        <v>4.1950269728540546</v>
      </c>
      <c r="EQ119" s="750">
        <f>INPUT!GP49</f>
        <v>3078.1956406381632</v>
      </c>
      <c r="ER119" s="752">
        <f>INPUT!GQ49</f>
        <v>4.2927123425785529</v>
      </c>
      <c r="ES119" s="750">
        <f>INPUT!GR49</f>
        <v>3212.877192380432</v>
      </c>
      <c r="ET119" s="752">
        <f>INPUT!GS49</f>
        <v>4.3753408641156621</v>
      </c>
      <c r="EU119" s="756">
        <f>INPUT!GT49</f>
        <v>4.4011923812574683</v>
      </c>
      <c r="EV119" s="710"/>
    </row>
    <row r="120" spans="1:152" ht="12.75" hidden="1" customHeight="1" outlineLevel="1" x14ac:dyDescent="0.2">
      <c r="A120" s="754"/>
      <c r="B120" s="750"/>
      <c r="C120" s="756"/>
      <c r="D120" s="750"/>
      <c r="E120" s="756"/>
      <c r="F120" s="750"/>
      <c r="G120" s="756"/>
      <c r="H120" s="750"/>
      <c r="I120" s="752"/>
      <c r="J120" s="750"/>
      <c r="K120" s="752"/>
      <c r="L120" s="750"/>
      <c r="M120" s="752"/>
      <c r="N120" s="750"/>
      <c r="O120" s="752"/>
      <c r="P120" s="750"/>
      <c r="Q120" s="752"/>
      <c r="R120" s="750"/>
      <c r="S120" s="752"/>
      <c r="T120" s="750"/>
      <c r="U120" s="752"/>
      <c r="V120" s="750"/>
      <c r="W120" s="752"/>
      <c r="X120" s="750"/>
      <c r="Y120" s="752"/>
      <c r="Z120" s="750"/>
      <c r="AA120" s="752"/>
      <c r="AB120" s="750"/>
      <c r="AC120" s="752"/>
      <c r="AD120" s="750"/>
      <c r="AE120" s="752"/>
      <c r="AF120" s="750"/>
      <c r="AG120" s="752"/>
      <c r="AH120" s="750"/>
      <c r="AI120" s="752"/>
      <c r="AJ120" s="750"/>
      <c r="AK120" s="752"/>
      <c r="AL120" s="750"/>
      <c r="AM120" s="752"/>
      <c r="AN120" s="750"/>
      <c r="AO120" s="752"/>
      <c r="AP120" s="750"/>
      <c r="AQ120" s="752"/>
      <c r="AR120" s="750"/>
      <c r="AS120" s="752"/>
      <c r="AT120" s="750"/>
      <c r="AU120" s="752"/>
      <c r="AV120" s="750"/>
      <c r="AW120" s="752"/>
      <c r="AX120" s="750"/>
      <c r="AY120" s="752"/>
      <c r="AZ120" s="750"/>
      <c r="BA120" s="752"/>
      <c r="BB120" s="750"/>
      <c r="BC120" s="752"/>
      <c r="BD120" s="750"/>
      <c r="BE120" s="752"/>
      <c r="BF120" s="750"/>
      <c r="BG120" s="752"/>
      <c r="BH120" s="750"/>
      <c r="BI120" s="752"/>
      <c r="BJ120" s="750"/>
      <c r="BK120" s="752"/>
      <c r="BL120" s="750"/>
      <c r="BM120" s="752"/>
      <c r="BN120" s="750"/>
      <c r="BO120" s="752"/>
      <c r="BP120" s="750"/>
      <c r="BQ120" s="752"/>
      <c r="BR120" s="750"/>
      <c r="BS120" s="752"/>
      <c r="BT120" s="750"/>
      <c r="BU120" s="752"/>
      <c r="BV120" s="750"/>
      <c r="BW120" s="752"/>
      <c r="BX120" s="750"/>
      <c r="BY120" s="752"/>
      <c r="BZ120" s="750"/>
      <c r="CA120" s="752"/>
      <c r="CB120" s="750"/>
      <c r="CC120" s="752"/>
      <c r="CD120" s="750"/>
      <c r="CE120" s="752"/>
      <c r="CF120" s="750"/>
      <c r="CG120" s="752"/>
      <c r="CH120" s="750"/>
      <c r="CI120" s="752"/>
      <c r="CJ120" s="750"/>
      <c r="CK120" s="752"/>
      <c r="CL120" s="750"/>
      <c r="CM120" s="752"/>
      <c r="CN120" s="750"/>
      <c r="CO120" s="752"/>
      <c r="CP120" s="750"/>
      <c r="CQ120" s="752"/>
      <c r="CR120" s="750"/>
      <c r="CS120" s="752"/>
      <c r="CT120" s="750"/>
      <c r="CU120" s="752"/>
      <c r="CV120" s="750"/>
      <c r="CW120" s="752"/>
      <c r="CX120" s="750"/>
      <c r="CY120" s="752"/>
      <c r="CZ120" s="750"/>
      <c r="DA120" s="752"/>
      <c r="DB120" s="753"/>
      <c r="DC120" s="750"/>
      <c r="DD120" s="756"/>
      <c r="DE120" s="750"/>
      <c r="DF120" s="756"/>
      <c r="DG120" s="750"/>
      <c r="DH120" s="756"/>
      <c r="DI120" s="750"/>
      <c r="DJ120" s="756"/>
      <c r="DK120" s="750"/>
      <c r="DL120" s="752"/>
      <c r="DM120" s="750"/>
      <c r="DN120" s="752"/>
      <c r="DO120" s="750"/>
      <c r="DP120" s="752"/>
      <c r="DQ120" s="750"/>
      <c r="DR120" s="752"/>
      <c r="DS120" s="750"/>
      <c r="DT120" s="752"/>
      <c r="DU120" s="750"/>
      <c r="DV120" s="752"/>
      <c r="DW120" s="750"/>
      <c r="DX120" s="752"/>
      <c r="DY120" s="750"/>
      <c r="DZ120" s="752"/>
      <c r="EA120" s="750"/>
      <c r="EB120" s="752"/>
      <c r="EC120" s="750"/>
      <c r="ED120" s="752"/>
      <c r="EE120" s="750"/>
      <c r="EF120" s="752"/>
      <c r="EG120" s="750"/>
      <c r="EH120" s="752"/>
      <c r="EI120" s="750"/>
      <c r="EJ120" s="752"/>
      <c r="EK120" s="750"/>
      <c r="EL120" s="752"/>
      <c r="EM120" s="750"/>
      <c r="EN120" s="752"/>
      <c r="EO120" s="750"/>
      <c r="EP120" s="752"/>
      <c r="EQ120" s="750"/>
      <c r="ER120" s="752"/>
      <c r="ES120" s="750"/>
      <c r="ET120" s="752"/>
      <c r="EU120" s="756"/>
      <c r="EV120" s="710"/>
    </row>
    <row r="121" spans="1:152" ht="12.75" hidden="1" customHeight="1" outlineLevel="1" x14ac:dyDescent="0.2">
      <c r="A121" s="805" t="str">
        <f>INPUT!B55</f>
        <v>Pretax Earnings</v>
      </c>
      <c r="B121" s="806">
        <f>INPUT!AS55</f>
        <v>1.1999999999998181</v>
      </c>
      <c r="C121" s="807" t="str">
        <f>INPUT!AT55</f>
        <v>NM</v>
      </c>
      <c r="D121" s="806">
        <f>INPUT!AU55</f>
        <v>10.399999999999864</v>
      </c>
      <c r="E121" s="807">
        <f>INPUT!AV55</f>
        <v>-48.258706467661838</v>
      </c>
      <c r="F121" s="806">
        <f>INPUT!AW55</f>
        <v>16.400000000000091</v>
      </c>
      <c r="G121" s="807">
        <f>INPUT!AX55</f>
        <v>-47.435897435897033</v>
      </c>
      <c r="H121" s="806">
        <f>INPUT!AY55</f>
        <v>35.100000000000023</v>
      </c>
      <c r="I121" s="808" t="str">
        <f>INPUT!AZ55</f>
        <v>NM</v>
      </c>
      <c r="J121" s="806">
        <f>INPUT!BA55</f>
        <v>29.700000000000045</v>
      </c>
      <c r="K121" s="808" t="str">
        <f>INPUT!BB55</f>
        <v>NM</v>
      </c>
      <c r="L121" s="806">
        <f>INPUT!BC55</f>
        <v>51.899999999999977</v>
      </c>
      <c r="M121" s="808" t="str">
        <f>INPUT!BD55</f>
        <v>NM</v>
      </c>
      <c r="N121" s="806">
        <f>INPUT!BE55</f>
        <v>51.499999999999886</v>
      </c>
      <c r="O121" s="808" t="str">
        <f>INPUT!BF55</f>
        <v>NM</v>
      </c>
      <c r="P121" s="806">
        <f>INPUT!BG55</f>
        <v>43.200000000000045</v>
      </c>
      <c r="Q121" s="808">
        <f>INPUT!BH55</f>
        <v>23.07692307692313</v>
      </c>
      <c r="R121" s="806">
        <f>INPUT!BI55</f>
        <v>40.100000000000023</v>
      </c>
      <c r="S121" s="808">
        <f>INPUT!BJ55</f>
        <v>35.016835016834882</v>
      </c>
      <c r="T121" s="806">
        <f>INPUT!BK55</f>
        <v>46.999999999999886</v>
      </c>
      <c r="U121" s="808">
        <f>INPUT!BL55</f>
        <v>-9.4412331406552816</v>
      </c>
      <c r="V121" s="806">
        <f>INPUT!BM55</f>
        <v>54.599999999999909</v>
      </c>
      <c r="W121" s="808">
        <f>INPUT!BN55</f>
        <v>6.019417475728206</v>
      </c>
      <c r="X121" s="806">
        <f>INPUT!BO55</f>
        <v>59.700000000000159</v>
      </c>
      <c r="Y121" s="808">
        <f>INPUT!BP55</f>
        <v>38.194444444444663</v>
      </c>
      <c r="Z121" s="806">
        <f>INPUT!BQ55</f>
        <v>57.699999999999932</v>
      </c>
      <c r="AA121" s="808">
        <f>INPUT!BR55</f>
        <v>43.890274314214217</v>
      </c>
      <c r="AB121" s="806">
        <f>INPUT!BS55</f>
        <v>68.300000000000068</v>
      </c>
      <c r="AC121" s="808">
        <f>INPUT!BT55</f>
        <v>45.319148936170706</v>
      </c>
      <c r="AD121" s="806">
        <f>INPUT!BU55</f>
        <v>75</v>
      </c>
      <c r="AE121" s="808">
        <f>INPUT!BV55</f>
        <v>37.362637362637585</v>
      </c>
      <c r="AF121" s="806">
        <f>INPUT!BW55</f>
        <v>72.599999999999909</v>
      </c>
      <c r="AG121" s="808">
        <f>INPUT!BX55</f>
        <v>21.608040201004552</v>
      </c>
      <c r="AH121" s="806">
        <f>INPUT!BY55</f>
        <v>75.799999999999955</v>
      </c>
      <c r="AI121" s="808">
        <f>INPUT!BZ55</f>
        <v>31.369150779896081</v>
      </c>
      <c r="AJ121" s="806">
        <f>INPUT!CA55</f>
        <v>84.700000000000045</v>
      </c>
      <c r="AK121" s="808">
        <f>INPUT!CB55</f>
        <v>24.011713030746652</v>
      </c>
      <c r="AL121" s="806">
        <f>INPUT!CC55</f>
        <v>78.5</v>
      </c>
      <c r="AM121" s="808">
        <f>INPUT!CD55</f>
        <v>4.6666666666666634</v>
      </c>
      <c r="AN121" s="806">
        <f>INPUT!CE55</f>
        <v>78.200000000000045</v>
      </c>
      <c r="AO121" s="808">
        <f>INPUT!CF55</f>
        <v>7.7134986225897206</v>
      </c>
      <c r="AP121" s="806">
        <f>INPUT!CG55</f>
        <v>73.800000000000068</v>
      </c>
      <c r="AQ121" s="808">
        <f>INPUT!CH55</f>
        <v>-2.6385224274404817</v>
      </c>
      <c r="AR121" s="806">
        <f>INPUT!CI55</f>
        <v>78.699999999999932</v>
      </c>
      <c r="AS121" s="808">
        <f>INPUT!CJ55</f>
        <v>-7.083825265643573</v>
      </c>
      <c r="AT121" s="806">
        <f>INPUT!CK55</f>
        <v>72.700000000000045</v>
      </c>
      <c r="AU121" s="808">
        <f>INPUT!CL55</f>
        <v>-7.3885350318470771</v>
      </c>
      <c r="AV121" s="806">
        <f>INPUT!CM55</f>
        <v>77.100000000000023</v>
      </c>
      <c r="AW121" s="808">
        <f>INPUT!CN55</f>
        <v>-1.4066496163683162</v>
      </c>
      <c r="AX121" s="806">
        <f>INPUT!CO55</f>
        <v>74.700000000000045</v>
      </c>
      <c r="AY121" s="808">
        <f>INPUT!CP55</f>
        <v>1.2195121951219301</v>
      </c>
      <c r="AZ121" s="806">
        <f>INPUT!CQ55</f>
        <v>70.399999999999977</v>
      </c>
      <c r="BA121" s="808">
        <f>INPUT!CR55</f>
        <v>-10.546378653113042</v>
      </c>
      <c r="BB121" s="806">
        <f>INPUT!CS55</f>
        <v>74.5</v>
      </c>
      <c r="BC121" s="808">
        <f>INPUT!CT55</f>
        <v>2.475928473177369</v>
      </c>
      <c r="BD121" s="806">
        <f>INPUT!CU55</f>
        <v>73.5</v>
      </c>
      <c r="BE121" s="808">
        <f>INPUT!CV55</f>
        <v>-4.6692607003891329</v>
      </c>
      <c r="BF121" s="806">
        <f>INPUT!CW55</f>
        <v>77.199999999999932</v>
      </c>
      <c r="BG121" s="808">
        <f>INPUT!CX55</f>
        <v>3.3467202141899355</v>
      </c>
      <c r="BH121" s="806">
        <f>INPUT!CY55</f>
        <v>72</v>
      </c>
      <c r="BI121" s="808">
        <f>INPUT!CZ55</f>
        <v>2.2727272727273151</v>
      </c>
      <c r="BJ121" s="806">
        <f>INPUT!DA55</f>
        <v>77.899999999999977</v>
      </c>
      <c r="BK121" s="808">
        <f>INPUT!DB55</f>
        <v>4.5637583892617073</v>
      </c>
      <c r="BL121" s="806">
        <f>INPUT!DC55</f>
        <v>68.600000000000023</v>
      </c>
      <c r="BM121" s="808">
        <f>INPUT!DD55</f>
        <v>-6.6666666666666323</v>
      </c>
      <c r="BN121" s="806">
        <f>INPUT!DE55</f>
        <v>67.599999999999909</v>
      </c>
      <c r="BO121" s="808">
        <f>INPUT!DF55</f>
        <v>-12.435233160621806</v>
      </c>
      <c r="BP121" s="806">
        <f>INPUT!DG55</f>
        <v>72.699999999999932</v>
      </c>
      <c r="BQ121" s="808">
        <f>INPUT!DH55</f>
        <v>0.97222222222212995</v>
      </c>
      <c r="BR121" s="806">
        <f>INPUT!DI55</f>
        <v>68.600000000000023</v>
      </c>
      <c r="BS121" s="808">
        <f>INPUT!DJ55</f>
        <v>-11.938382541720093</v>
      </c>
      <c r="BT121" s="806">
        <f>INPUT!DK55</f>
        <v>65.899999999999977</v>
      </c>
      <c r="BU121" s="808">
        <f>INPUT!DL55</f>
        <v>-3.9358600583091041</v>
      </c>
      <c r="BV121" s="806">
        <f>INPUT!DM55</f>
        <v>74.300000000000068</v>
      </c>
      <c r="BW121" s="808">
        <f>INPUT!DN55</f>
        <v>9.9112426035505408</v>
      </c>
      <c r="BX121" s="806">
        <f>INPUT!DO55</f>
        <v>61.200000000000045</v>
      </c>
      <c r="BY121" s="808">
        <f>INPUT!DP55</f>
        <v>-15.818431911966846</v>
      </c>
      <c r="BZ121" s="806">
        <f>INPUT!DQ55</f>
        <v>70.800000000000068</v>
      </c>
      <c r="CA121" s="808">
        <f>INPUT!DR55</f>
        <v>3.2069970845481688</v>
      </c>
      <c r="CB121" s="806">
        <f>INPUT!DS55</f>
        <v>66.100000000000023</v>
      </c>
      <c r="CC121" s="808">
        <f>INPUT!DT55</f>
        <v>0.30349013657062773</v>
      </c>
      <c r="CD121" s="806">
        <f>INPUT!DU55</f>
        <v>70.399999999999864</v>
      </c>
      <c r="CE121" s="808">
        <f>INPUT!DV55</f>
        <v>-5.2489905787351248</v>
      </c>
      <c r="CF121" s="806">
        <f>INPUT!DW55</f>
        <v>74.399999999999977</v>
      </c>
      <c r="CG121" s="808">
        <f>INPUT!DX55</f>
        <v>21.568627450980273</v>
      </c>
      <c r="CH121" s="806">
        <f>INPUT!DY55</f>
        <v>85.400000000000091</v>
      </c>
      <c r="CI121" s="808">
        <f>INPUT!DZ55</f>
        <v>20.621468926553675</v>
      </c>
      <c r="CJ121" s="806">
        <f>INPUT!EA55</f>
        <v>89.499999999999886</v>
      </c>
      <c r="CK121" s="808">
        <f>INPUT!EB55</f>
        <v>35.400907715582242</v>
      </c>
      <c r="CL121" s="806">
        <f>INPUT!EC55</f>
        <v>88.699999999999932</v>
      </c>
      <c r="CM121" s="808">
        <f>INPUT!ED55</f>
        <v>25.994318181818322</v>
      </c>
      <c r="CN121" s="806">
        <f>INPUT!EE55</f>
        <v>92.400000000000091</v>
      </c>
      <c r="CO121" s="808">
        <f>INPUT!EF55</f>
        <v>24.193548387096932</v>
      </c>
      <c r="CP121" s="806">
        <f>INPUT!EG55</f>
        <v>89.999999999999886</v>
      </c>
      <c r="CQ121" s="808">
        <f>INPUT!EH55</f>
        <v>5.3864168618264596</v>
      </c>
      <c r="CR121" s="806">
        <f>INPUT!EI55</f>
        <v>86.699999999999932</v>
      </c>
      <c r="CS121" s="808">
        <f>INPUT!EJ55</f>
        <v>-3.1284916201116841</v>
      </c>
      <c r="CT121" s="806">
        <f>INPUT!EK55</f>
        <v>89.938064861141925</v>
      </c>
      <c r="CU121" s="808">
        <f>INPUT!EL55</f>
        <v>1.3957890204532086</v>
      </c>
      <c r="CV121" s="806">
        <f>INPUT!EM55</f>
        <v>90.726812279734759</v>
      </c>
      <c r="CW121" s="808">
        <f>INPUT!EN55</f>
        <v>-1.8108092210663784</v>
      </c>
      <c r="CX121" s="806">
        <f>INPUT!EO55</f>
        <v>91.341679842858866</v>
      </c>
      <c r="CY121" s="808">
        <f>INPUT!EP55</f>
        <v>1.4907553809544227</v>
      </c>
      <c r="CZ121" s="806">
        <f>INPUT!EQ55</f>
        <v>93.245098932349492</v>
      </c>
      <c r="DA121" s="808">
        <f>INPUT!ER55</f>
        <v>7.5491337166661676</v>
      </c>
      <c r="DB121" s="809"/>
      <c r="DC121" s="810">
        <f>INPUT!FB55</f>
        <v>0</v>
      </c>
      <c r="DD121" s="807">
        <f>INPUT!FC55</f>
        <v>0</v>
      </c>
      <c r="DE121" s="810">
        <f>INPUT!FD55</f>
        <v>289.900000000001</v>
      </c>
      <c r="DF121" s="807" t="str">
        <f>INPUT!FE55</f>
        <v>NA</v>
      </c>
      <c r="DG121" s="810">
        <f>INPUT!FF55</f>
        <v>-869.99999999999955</v>
      </c>
      <c r="DH121" s="807" t="str">
        <f>INPUT!FG55</f>
        <v>NM</v>
      </c>
      <c r="DI121" s="810">
        <f>INPUT!FH55</f>
        <v>-58</v>
      </c>
      <c r="DJ121" s="807" t="str">
        <f>INPUT!FI55</f>
        <v>NM</v>
      </c>
      <c r="DK121" s="810">
        <f>INPUT!FJ55</f>
        <v>68.400000000000546</v>
      </c>
      <c r="DL121" s="808" t="str">
        <f>INPUT!FK55</f>
        <v>NM</v>
      </c>
      <c r="DM121" s="810">
        <f>INPUT!FL55</f>
        <v>63.099999999999909</v>
      </c>
      <c r="DN121" s="808">
        <f>INPUT!FM55</f>
        <v>-7.7485380116967706</v>
      </c>
      <c r="DO121" s="810">
        <f>INPUT!FN55</f>
        <v>176.30000000000018</v>
      </c>
      <c r="DP121" s="808" t="str">
        <f>INPUT!FO55</f>
        <v>NM</v>
      </c>
      <c r="DQ121" s="806">
        <f>INPUT!FP55</f>
        <v>201.40000000000009</v>
      </c>
      <c r="DR121" s="808">
        <f>INPUT!FQ55</f>
        <v>14.237095859330617</v>
      </c>
      <c r="DS121" s="806">
        <f>INPUT!FR55</f>
        <v>278.29999999999973</v>
      </c>
      <c r="DT121" s="808">
        <f>INPUT!FS55</f>
        <v>38.182720953326509</v>
      </c>
      <c r="DU121" s="806">
        <f>INPUT!FT55</f>
        <v>317.19999999999936</v>
      </c>
      <c r="DV121" s="808">
        <f>INPUT!FU55</f>
        <v>13.977721882860106</v>
      </c>
      <c r="DW121" s="806">
        <f>INPUT!FV55</f>
        <v>302.30000000000018</v>
      </c>
      <c r="DX121" s="808">
        <f>INPUT!FW55</f>
        <v>-4.6973518284991194</v>
      </c>
      <c r="DY121" s="806">
        <f>INPUT!FX55</f>
        <v>291.79999999999973</v>
      </c>
      <c r="DZ121" s="808">
        <f>INPUT!FY55</f>
        <v>-3.473370823685229</v>
      </c>
      <c r="EA121" s="806">
        <f>INPUT!FZ55</f>
        <v>295.69999999999982</v>
      </c>
      <c r="EB121" s="808">
        <f>INPUT!GA55</f>
        <v>1.3365318711446417</v>
      </c>
      <c r="EC121" s="806">
        <f>INPUT!GB55</f>
        <v>274.80000000000018</v>
      </c>
      <c r="ED121" s="808">
        <f>INPUT!GC55</f>
        <v>-7.0679742982751588</v>
      </c>
      <c r="EE121" s="806">
        <f>INPUT!GD55</f>
        <v>272.40000000000009</v>
      </c>
      <c r="EF121" s="808">
        <f>INPUT!GE55</f>
        <v>-0.8733624454148825</v>
      </c>
      <c r="EG121" s="806">
        <f>INPUT!GF55</f>
        <v>319.70000000000027</v>
      </c>
      <c r="EH121" s="808">
        <f>INPUT!GG55</f>
        <v>17.36417033773867</v>
      </c>
      <c r="EI121" s="806">
        <f>INPUT!GH55</f>
        <v>357.79999999999973</v>
      </c>
      <c r="EJ121" s="808">
        <f>INPUT!GI55</f>
        <v>11.91742258367201</v>
      </c>
      <c r="EK121" s="806">
        <f>INPUT!GJ55</f>
        <v>365.25165591608538</v>
      </c>
      <c r="EL121" s="808">
        <f>INPUT!GK55</f>
        <v>2.0826316143336188</v>
      </c>
      <c r="EM121" s="806">
        <f>INPUT!GL55</f>
        <v>374.3973455964051</v>
      </c>
      <c r="EN121" s="808">
        <f>INPUT!GM55</f>
        <v>2.5039420170132942</v>
      </c>
      <c r="EO121" s="806">
        <f>INPUT!GN55</f>
        <v>383.9427207232352</v>
      </c>
      <c r="EP121" s="808">
        <f>INPUT!GO55</f>
        <v>2.5495306628375181</v>
      </c>
      <c r="EQ121" s="806">
        <f>INPUT!GP55</f>
        <v>393.89341677023685</v>
      </c>
      <c r="ER121" s="808">
        <f>INPUT!GQ55</f>
        <v>2.5917136879838321</v>
      </c>
      <c r="ES121" s="806">
        <f>INPUT!GR55</f>
        <v>404.25685154490748</v>
      </c>
      <c r="ET121" s="808">
        <f>INPUT!GS55</f>
        <v>2.6310251284843655</v>
      </c>
      <c r="EU121" s="807">
        <f>INPUT!GT55</f>
        <v>2.4715748100562429</v>
      </c>
      <c r="EV121" s="724"/>
    </row>
    <row r="122" spans="1:152" ht="12.75" hidden="1" customHeight="1" outlineLevel="2" x14ac:dyDescent="0.2">
      <c r="A122" s="759" t="s">
        <v>517</v>
      </c>
      <c r="B122" s="760"/>
      <c r="C122" s="761"/>
      <c r="D122" s="760"/>
      <c r="E122" s="761"/>
      <c r="F122" s="760"/>
      <c r="G122" s="761"/>
      <c r="H122" s="762"/>
      <c r="I122" s="763"/>
      <c r="J122" s="760"/>
      <c r="K122" s="763"/>
      <c r="L122" s="760"/>
      <c r="M122" s="763"/>
      <c r="N122" s="760"/>
      <c r="O122" s="763"/>
      <c r="P122" s="760"/>
      <c r="Q122" s="763"/>
      <c r="R122" s="760"/>
      <c r="S122" s="763"/>
      <c r="T122" s="760"/>
      <c r="U122" s="763"/>
      <c r="V122" s="760"/>
      <c r="W122" s="763"/>
      <c r="X122" s="760"/>
      <c r="Y122" s="763"/>
      <c r="Z122" s="760"/>
      <c r="AA122" s="763"/>
      <c r="AB122" s="760"/>
      <c r="AC122" s="763"/>
      <c r="AD122" s="760"/>
      <c r="AE122" s="763"/>
      <c r="AF122" s="760"/>
      <c r="AG122" s="763"/>
      <c r="AH122" s="760"/>
      <c r="AI122" s="763"/>
      <c r="AJ122" s="760"/>
      <c r="AK122" s="763"/>
      <c r="AL122" s="760"/>
      <c r="AM122" s="763"/>
      <c r="AN122" s="760"/>
      <c r="AO122" s="763"/>
      <c r="AP122" s="764">
        <f>(AP109+AP110+AP111-AP115-AP116-AP117-AP118)-AP121</f>
        <v>0</v>
      </c>
      <c r="AQ122" s="763"/>
      <c r="AR122" s="764">
        <f>(AR109+AR110+AR111-AR115-AR116-AR117-AR118)-AR121</f>
        <v>0</v>
      </c>
      <c r="AS122" s="763"/>
      <c r="AT122" s="764">
        <f>(AT109+AT110+AT111-AT115-AT116-AT117-AT118)-AT121</f>
        <v>0</v>
      </c>
      <c r="AU122" s="763"/>
      <c r="AV122" s="764">
        <f>(AV109+AV110+AV111-AV115-AV116-AV117-AV118)-AV121</f>
        <v>0</v>
      </c>
      <c r="AW122" s="763"/>
      <c r="AX122" s="764">
        <f>(AX109+AX110+AX111-AX115-AX116-AX117-AX118)-AX121</f>
        <v>0</v>
      </c>
      <c r="AY122" s="763"/>
      <c r="AZ122" s="764">
        <f>(AZ109+AZ110+AZ111-AZ115-AZ116-AZ117-AZ118)-AZ121</f>
        <v>0</v>
      </c>
      <c r="BA122" s="763"/>
      <c r="BB122" s="764">
        <f>(BB109+BB110+BB111-BB115-BB116-BB117-BB118)-BB121</f>
        <v>0</v>
      </c>
      <c r="BC122" s="763"/>
      <c r="BD122" s="764">
        <f>(BD109+BD110+BD111-BD115-BD116-BD117-BD118)-BD121</f>
        <v>0</v>
      </c>
      <c r="BE122" s="763"/>
      <c r="BF122" s="764">
        <f>(BF109+BF110+BF111-BF115-BF116-BF117-BF118)-BF121</f>
        <v>0</v>
      </c>
      <c r="BG122" s="763"/>
      <c r="BH122" s="764">
        <f>(BH109+BH110+BH111-BH115-BH116-BH117-BH118)-BH121</f>
        <v>0</v>
      </c>
      <c r="BI122" s="763"/>
      <c r="BJ122" s="764">
        <f>(BJ109+BJ110+BJ111-BJ115-BJ116-BJ117-BJ118)-BJ121</f>
        <v>0</v>
      </c>
      <c r="BK122" s="763"/>
      <c r="BL122" s="764">
        <f>(BL109+BL110+BL111-BL115-BL116-BL117-BL118)-BL121</f>
        <v>0</v>
      </c>
      <c r="BM122" s="763"/>
      <c r="BN122" s="764">
        <f>(BN109+BN110+BN111-BN115-BN116-BN117-BN118)-BN121</f>
        <v>0</v>
      </c>
      <c r="BO122" s="763"/>
      <c r="BP122" s="764">
        <f>(BP109+BP110+BP111-BP115-BP116-BP117-BP118)-BP121</f>
        <v>0</v>
      </c>
      <c r="BQ122" s="763"/>
      <c r="BR122" s="764">
        <f>(BR109+BR110+BR111-BR115-BR116-BR117-BR118)-BR121</f>
        <v>0</v>
      </c>
      <c r="BS122" s="763"/>
      <c r="BT122" s="764">
        <f>(BT109+BT110+BT111-BT115-BT116-BT117-BT118)-BT121</f>
        <v>0</v>
      </c>
      <c r="BU122" s="763"/>
      <c r="BV122" s="764">
        <f>(BV109+BV110+BV111-BV115-BV116-BV117-BV118)-BV121</f>
        <v>0</v>
      </c>
      <c r="BW122" s="763"/>
      <c r="BX122" s="764">
        <f>(BX109+BX110+BX111-BX115-BX116-BX117-BX118)-BX121</f>
        <v>-5.6843418860808015E-14</v>
      </c>
      <c r="BY122" s="763"/>
      <c r="BZ122" s="764">
        <f>(BZ109+BZ110+BZ111-BZ115-BZ116-BZ117-BZ118)-BZ121</f>
        <v>0</v>
      </c>
      <c r="CA122" s="763"/>
      <c r="CB122" s="764">
        <f>(CB109+CB110+CB111-CB115-CB116-CB117-CB118)-CB121</f>
        <v>0</v>
      </c>
      <c r="CC122" s="763"/>
      <c r="CD122" s="764">
        <f>(CD109+CD110+CD111-CD115-CD116-CD117-CD118)-CD121</f>
        <v>1.1368683772161603E-13</v>
      </c>
      <c r="CE122" s="763"/>
      <c r="CF122" s="764">
        <f>(CF109+CF110+CF111-CF115-CF116-CF117-CF118)-CF121</f>
        <v>0</v>
      </c>
      <c r="CG122" s="763"/>
      <c r="CH122" s="764">
        <f>(CH109+CH110+CH111-CH115-CH116-CH117-CH118)-CH121</f>
        <v>0</v>
      </c>
      <c r="CI122" s="763"/>
      <c r="CJ122" s="764">
        <f>(CJ109+CJ110+CJ111-CJ115-CJ116-CJ117-CJ118)-CJ121</f>
        <v>0</v>
      </c>
      <c r="CK122" s="763"/>
      <c r="CL122" s="764">
        <f t="shared" ref="CL122" si="211">(CL109+CL110+CL111-CL115-CL116-CL117-CL118)-CL121</f>
        <v>0</v>
      </c>
      <c r="CM122" s="763"/>
      <c r="CN122" s="764">
        <f t="shared" ref="CN122" si="212">(CN109+CN110+CN111-CN115-CN116-CN117-CN118)-CN121</f>
        <v>0</v>
      </c>
      <c r="CO122" s="763"/>
      <c r="CP122" s="764">
        <f t="shared" ref="CP122" si="213">(CP109+CP110+CP111-CP115-CP116-CP117-CP118)-CP121</f>
        <v>0</v>
      </c>
      <c r="CQ122" s="763"/>
      <c r="CR122" s="764">
        <f t="shared" ref="CR122" si="214">(CR109+CR110+CR111-CR115-CR116-CR117-CR118)-CR121</f>
        <v>0</v>
      </c>
      <c r="CS122" s="763"/>
      <c r="CT122" s="764">
        <f t="shared" ref="CT122" si="215">(CT109+CT110+CT111-CT115-CT116-CT117-CT118)-CT121</f>
        <v>0</v>
      </c>
      <c r="CU122" s="763"/>
      <c r="CV122" s="764">
        <f t="shared" ref="CV122" si="216">(CV109+CV110+CV111-CV115-CV116-CV117-CV118)-CV121</f>
        <v>0</v>
      </c>
      <c r="CW122" s="763"/>
      <c r="CX122" s="764">
        <f t="shared" ref="CX122" si="217">(CX109+CX110+CX111-CX115-CX116-CX117-CX118)-CX121</f>
        <v>0</v>
      </c>
      <c r="CY122" s="763"/>
      <c r="CZ122" s="764">
        <f t="shared" ref="CZ122" si="218">(CZ109+CZ110+CZ111-CZ115-CZ116-CZ117-CZ118)-CZ121</f>
        <v>0</v>
      </c>
      <c r="DA122" s="763"/>
      <c r="DB122" s="765"/>
      <c r="DC122" s="766"/>
      <c r="DD122" s="761"/>
      <c r="DE122" s="766"/>
      <c r="DF122" s="761"/>
      <c r="DG122" s="766"/>
      <c r="DH122" s="761"/>
      <c r="DI122" s="766"/>
      <c r="DJ122" s="761"/>
      <c r="DK122" s="766"/>
      <c r="DL122" s="763"/>
      <c r="DM122" s="766"/>
      <c r="DN122" s="763"/>
      <c r="DO122" s="766"/>
      <c r="DP122" s="763"/>
      <c r="DQ122" s="760"/>
      <c r="DR122" s="763"/>
      <c r="DS122" s="760"/>
      <c r="DT122" s="763"/>
      <c r="DU122" s="764">
        <f>(DU109+DU110+DU111-DU115-DU116-DU117-DU118)-DU121</f>
        <v>0</v>
      </c>
      <c r="DV122" s="763"/>
      <c r="DW122" s="764">
        <f>(DW109+DW110+DW111-DW115-DW116-DW117-DW118)-DW121</f>
        <v>0</v>
      </c>
      <c r="DX122" s="763"/>
      <c r="DY122" s="764">
        <f>(DY109+DY110+DY111-DY115-DY116-DY117-DY118)-DY121</f>
        <v>0</v>
      </c>
      <c r="DZ122" s="763"/>
      <c r="EA122" s="764">
        <f>(EA109+EA110+EA111-EA115-EA116-EA117-EA118)-EA121</f>
        <v>0</v>
      </c>
      <c r="EB122" s="763"/>
      <c r="EC122" s="764">
        <f>(EC109+EC110+EC111-EC115-EC116-EC117-EC118)-EC121</f>
        <v>0</v>
      </c>
      <c r="ED122" s="763"/>
      <c r="EE122" s="764">
        <f>(EE109+EE110+EE111-EE115-EE116-EE117-EE118)-EE121</f>
        <v>0</v>
      </c>
      <c r="EF122" s="763"/>
      <c r="EG122" s="764">
        <f>(EG109+EG110+EG111-EG115-EG116-EG117-EG118)-EG121</f>
        <v>0</v>
      </c>
      <c r="EH122" s="763"/>
      <c r="EI122" s="764">
        <f>(EI109+EI110+EI111-EI115-EI116-EI117-EI118)-EI121</f>
        <v>0</v>
      </c>
      <c r="EJ122" s="763"/>
      <c r="EK122" s="764">
        <f>(EK109+EK110+EK111-EK115-EK116-EK117-EK118)-EK121</f>
        <v>0</v>
      </c>
      <c r="EL122" s="763"/>
      <c r="EM122" s="764">
        <f>(EM109+EM110+EM111-EM115-EM116-EM117-EM118)-EM121</f>
        <v>0</v>
      </c>
      <c r="EN122" s="763"/>
      <c r="EO122" s="764">
        <f>(EO109+EO110+EO111-EO115-EO116-EO117-EO118)-EO121</f>
        <v>0</v>
      </c>
      <c r="EP122" s="763"/>
      <c r="EQ122" s="764">
        <f>(EQ109+EQ110+EQ111-EQ115-EQ116-EQ117-EQ118)-EQ121</f>
        <v>0</v>
      </c>
      <c r="ER122" s="763"/>
      <c r="ES122" s="764">
        <f>(ES109+ES110+ES111-ES115-ES116-ES117-ES118)-ES121</f>
        <v>0</v>
      </c>
      <c r="ET122" s="763"/>
      <c r="EU122" s="761"/>
      <c r="EV122" s="710"/>
    </row>
    <row r="123" spans="1:152" ht="12.75" hidden="1" customHeight="1" outlineLevel="1" collapsed="1" x14ac:dyDescent="0.2">
      <c r="A123" s="754"/>
      <c r="B123" s="750"/>
      <c r="C123" s="767"/>
      <c r="D123" s="750"/>
      <c r="E123" s="767"/>
      <c r="F123" s="750"/>
      <c r="G123" s="767"/>
      <c r="H123" s="750"/>
      <c r="I123" s="752"/>
      <c r="J123" s="750"/>
      <c r="K123" s="752"/>
      <c r="L123" s="750"/>
      <c r="M123" s="752"/>
      <c r="N123" s="750"/>
      <c r="O123" s="752"/>
      <c r="P123" s="750"/>
      <c r="Q123" s="752"/>
      <c r="R123" s="750"/>
      <c r="S123" s="752"/>
      <c r="T123" s="750"/>
      <c r="U123" s="752"/>
      <c r="V123" s="750"/>
      <c r="W123" s="752"/>
      <c r="X123" s="750"/>
      <c r="Y123" s="752"/>
      <c r="Z123" s="750"/>
      <c r="AA123" s="752"/>
      <c r="AB123" s="750"/>
      <c r="AC123" s="752"/>
      <c r="AD123" s="750"/>
      <c r="AE123" s="752"/>
      <c r="AF123" s="750"/>
      <c r="AG123" s="752"/>
      <c r="AH123" s="750"/>
      <c r="AI123" s="752"/>
      <c r="AJ123" s="750"/>
      <c r="AK123" s="752"/>
      <c r="AL123" s="750"/>
      <c r="AM123" s="752"/>
      <c r="AN123" s="750"/>
      <c r="AO123" s="752"/>
      <c r="AP123" s="750"/>
      <c r="AQ123" s="752"/>
      <c r="AR123" s="750"/>
      <c r="AS123" s="752"/>
      <c r="AT123" s="750"/>
      <c r="AU123" s="752"/>
      <c r="AV123" s="750"/>
      <c r="AW123" s="752"/>
      <c r="AX123" s="750"/>
      <c r="AY123" s="752"/>
      <c r="AZ123" s="750"/>
      <c r="BA123" s="752"/>
      <c r="BB123" s="750"/>
      <c r="BC123" s="752"/>
      <c r="BD123" s="750"/>
      <c r="BE123" s="752"/>
      <c r="BF123" s="750"/>
      <c r="BG123" s="752"/>
      <c r="BH123" s="750"/>
      <c r="BI123" s="752"/>
      <c r="BJ123" s="750"/>
      <c r="BK123" s="752"/>
      <c r="BL123" s="750"/>
      <c r="BM123" s="752"/>
      <c r="BN123" s="750"/>
      <c r="BO123" s="752"/>
      <c r="BP123" s="750"/>
      <c r="BQ123" s="752"/>
      <c r="BR123" s="750"/>
      <c r="BS123" s="752"/>
      <c r="BT123" s="750"/>
      <c r="BU123" s="752"/>
      <c r="BV123" s="750"/>
      <c r="BW123" s="752"/>
      <c r="BX123" s="750"/>
      <c r="BY123" s="752"/>
      <c r="BZ123" s="750"/>
      <c r="CA123" s="752"/>
      <c r="CB123" s="750"/>
      <c r="CC123" s="752"/>
      <c r="CD123" s="750"/>
      <c r="CE123" s="752"/>
      <c r="CF123" s="750"/>
      <c r="CG123" s="752"/>
      <c r="CH123" s="750"/>
      <c r="CI123" s="752"/>
      <c r="CJ123" s="750"/>
      <c r="CK123" s="752"/>
      <c r="CL123" s="750"/>
      <c r="CM123" s="752"/>
      <c r="CN123" s="750"/>
      <c r="CO123" s="752"/>
      <c r="CP123" s="750"/>
      <c r="CQ123" s="752"/>
      <c r="CR123" s="750"/>
      <c r="CS123" s="752"/>
      <c r="CT123" s="750"/>
      <c r="CU123" s="752"/>
      <c r="CV123" s="750"/>
      <c r="CW123" s="752"/>
      <c r="CX123" s="750"/>
      <c r="CY123" s="752"/>
      <c r="CZ123" s="750"/>
      <c r="DA123" s="752"/>
      <c r="DB123" s="753"/>
      <c r="DC123" s="750"/>
      <c r="DD123" s="767"/>
      <c r="DE123" s="750"/>
      <c r="DF123" s="767"/>
      <c r="DG123" s="750"/>
      <c r="DH123" s="767"/>
      <c r="DI123" s="750"/>
      <c r="DJ123" s="767"/>
      <c r="DK123" s="750"/>
      <c r="DL123" s="752"/>
      <c r="DM123" s="750"/>
      <c r="DN123" s="752"/>
      <c r="DO123" s="750"/>
      <c r="DP123" s="752"/>
      <c r="DQ123" s="750"/>
      <c r="DR123" s="752"/>
      <c r="DS123" s="750"/>
      <c r="DT123" s="752"/>
      <c r="DU123" s="750"/>
      <c r="DV123" s="752"/>
      <c r="DW123" s="750"/>
      <c r="DX123" s="752"/>
      <c r="DY123" s="750"/>
      <c r="DZ123" s="752"/>
      <c r="EA123" s="750"/>
      <c r="EB123" s="752"/>
      <c r="EC123" s="750"/>
      <c r="ED123" s="752"/>
      <c r="EE123" s="750"/>
      <c r="EF123" s="752"/>
      <c r="EG123" s="750"/>
      <c r="EH123" s="752"/>
      <c r="EI123" s="750"/>
      <c r="EJ123" s="752"/>
      <c r="EK123" s="750"/>
      <c r="EL123" s="752"/>
      <c r="EM123" s="750"/>
      <c r="EN123" s="752"/>
      <c r="EO123" s="750"/>
      <c r="EP123" s="752"/>
      <c r="EQ123" s="750"/>
      <c r="ER123" s="752"/>
      <c r="ES123" s="750"/>
      <c r="ET123" s="752"/>
      <c r="EU123" s="767"/>
      <c r="EV123" s="710"/>
    </row>
    <row r="124" spans="1:152" ht="12.75" hidden="1" customHeight="1" outlineLevel="1" x14ac:dyDescent="0.2">
      <c r="A124" s="749" t="s">
        <v>260</v>
      </c>
      <c r="B124" s="793">
        <f>INPUT!AS447</f>
        <v>0.59494298463054984</v>
      </c>
      <c r="C124" s="756" t="str">
        <f>INPUT!AT447</f>
        <v>NM</v>
      </c>
      <c r="D124" s="793">
        <f>INPUT!AU447</f>
        <v>4.8036951501154164</v>
      </c>
      <c r="E124" s="756" t="str">
        <f>INPUT!AV447</f>
        <v>NM</v>
      </c>
      <c r="F124" s="793">
        <f>INPUT!AW447</f>
        <v>6.7075664621677227</v>
      </c>
      <c r="G124" s="756" t="str">
        <f>INPUT!AX447</f>
        <v>NM</v>
      </c>
      <c r="H124" s="793">
        <f>INPUT!AY447</f>
        <v>8.7169811320754764</v>
      </c>
      <c r="I124" s="752">
        <f>INPUT!AZ447</f>
        <v>20.050776914540226</v>
      </c>
      <c r="J124" s="793">
        <f>INPUT!BA447</f>
        <v>11.267071320182112</v>
      </c>
      <c r="K124" s="752" t="str">
        <f>INPUT!BB447</f>
        <v>NM</v>
      </c>
      <c r="L124" s="793">
        <f>INPUT!BC447</f>
        <v>18.838475499092549</v>
      </c>
      <c r="M124" s="752" t="str">
        <f>INPUT!BD447</f>
        <v>NM</v>
      </c>
      <c r="N124" s="793">
        <f>INPUT!BE447</f>
        <v>15.846153846153818</v>
      </c>
      <c r="O124" s="752" t="str">
        <f>INPUT!BF447</f>
        <v>NM</v>
      </c>
      <c r="P124" s="793">
        <f>INPUT!BG447</f>
        <v>17.014341590612787</v>
      </c>
      <c r="Q124" s="752">
        <f>INPUT!BH447</f>
        <v>95.186169762440969</v>
      </c>
      <c r="R124" s="793">
        <f>INPUT!BI447</f>
        <v>12.803320561941259</v>
      </c>
      <c r="S124" s="752">
        <f>INPUT!BJ447</f>
        <v>13.634858590158604</v>
      </c>
      <c r="T124" s="793">
        <f>INPUT!BK447</f>
        <v>14.960398943971818</v>
      </c>
      <c r="U124" s="752">
        <f>INPUT!BL447</f>
        <v>-20.585936241536839</v>
      </c>
      <c r="V124" s="793">
        <f>INPUT!BM447</f>
        <v>16.769041769041749</v>
      </c>
      <c r="W124" s="752">
        <f>INPUT!BN447</f>
        <v>5.8240499988073458</v>
      </c>
      <c r="X124" s="793">
        <f>INPUT!BO447</f>
        <v>19.245647969052264</v>
      </c>
      <c r="Y124" s="752">
        <f>INPUT!BP447</f>
        <v>13.114268139946962</v>
      </c>
      <c r="Z124" s="793">
        <f>INPUT!BQ447</f>
        <v>18.30583756345176</v>
      </c>
      <c r="AA124" s="752">
        <f>INPUT!BR447</f>
        <v>42.977264959428616</v>
      </c>
      <c r="AB124" s="793">
        <f>INPUT!BS447</f>
        <v>21.086755171349196</v>
      </c>
      <c r="AC124" s="752">
        <f>INPUT!BT447</f>
        <v>40.950487017901004</v>
      </c>
      <c r="AD124" s="793">
        <f>INPUT!BU447</f>
        <v>23.459493274945274</v>
      </c>
      <c r="AE124" s="752">
        <f>INPUT!BV447</f>
        <v>39.897637551688469</v>
      </c>
      <c r="AF124" s="793">
        <f>INPUT!BW447</f>
        <v>22.560596643878171</v>
      </c>
      <c r="AG124" s="752">
        <f>INPUT!BX447</f>
        <v>17.224406682261218</v>
      </c>
      <c r="AH124" s="793">
        <f>INPUT!BY447</f>
        <v>22.287562481623038</v>
      </c>
      <c r="AI124" s="752">
        <f>INPUT!BZ447</f>
        <v>21.751121216769278</v>
      </c>
      <c r="AJ124" s="793">
        <f>INPUT!CA447</f>
        <v>24.650756693830051</v>
      </c>
      <c r="AK124" s="752">
        <f>INPUT!CB447</f>
        <v>16.901611905293535</v>
      </c>
      <c r="AL124" s="793">
        <f>INPUT!CC447</f>
        <v>23.759079903147693</v>
      </c>
      <c r="AM124" s="752">
        <f>INPUT!CD447</f>
        <v>1.2770379338175042</v>
      </c>
      <c r="AN124" s="793">
        <f>INPUT!CE447</f>
        <v>24.936224489795908</v>
      </c>
      <c r="AO124" s="752">
        <f>INPUT!CF447</f>
        <v>10.529986788103706</v>
      </c>
      <c r="AP124" s="793">
        <f>INPUT!CG447</f>
        <v>23.048094940662118</v>
      </c>
      <c r="AQ124" s="752">
        <f>INPUT!CH447</f>
        <v>3.4123626559260156</v>
      </c>
      <c r="AR124" s="793">
        <f>INPUT!CI447</f>
        <v>22.739092747760733</v>
      </c>
      <c r="AS124" s="752">
        <f>INPUT!CJ447</f>
        <v>-7.754990931161954</v>
      </c>
      <c r="AT124" s="793">
        <f>INPUT!CK447</f>
        <v>22.676232064878366</v>
      </c>
      <c r="AU124" s="752">
        <f>INPUT!CL447</f>
        <v>-4.5576168887157431</v>
      </c>
      <c r="AV124" s="793">
        <f>INPUT!CM447</f>
        <v>-12.499999999999996</v>
      </c>
      <c r="AW124" s="752" t="str">
        <f>INPUT!CN447</f>
        <v>NM</v>
      </c>
      <c r="AX124" s="793">
        <f>INPUT!CO447</f>
        <v>24.159120310478674</v>
      </c>
      <c r="AY124" s="752">
        <f>INPUT!CP447</f>
        <v>4.8204650869276611</v>
      </c>
      <c r="AZ124" s="793">
        <f>INPUT!CQ447</f>
        <v>22.702354079329247</v>
      </c>
      <c r="BA124" s="752">
        <f>INPUT!CR447</f>
        <v>-0.1615661136485036</v>
      </c>
      <c r="BB124" s="793">
        <f>INPUT!CS447</f>
        <v>23.978113936272933</v>
      </c>
      <c r="BC124" s="752">
        <f>INPUT!CT447</f>
        <v>5.7411736997124985</v>
      </c>
      <c r="BD124" s="793">
        <f>INPUT!CU447</f>
        <v>23.732644494672268</v>
      </c>
      <c r="BE124" s="752" t="str">
        <f>INPUT!CV447</f>
        <v>NM</v>
      </c>
      <c r="BF124" s="793">
        <f>INPUT!CW447</f>
        <v>23.461538461538431</v>
      </c>
      <c r="BG124" s="752">
        <f>INPUT!CX447</f>
        <v>-2.8874472247968241</v>
      </c>
      <c r="BH124" s="793">
        <f>INPUT!CY447</f>
        <v>22.864401397268981</v>
      </c>
      <c r="BI124" s="752">
        <f>INPUT!CZ447</f>
        <v>0.71379081382261234</v>
      </c>
      <c r="BJ124" s="793">
        <f>INPUT!DA447</f>
        <v>24.620733249051824</v>
      </c>
      <c r="BK124" s="752">
        <f>INPUT!DB447</f>
        <v>2.6800244359785452</v>
      </c>
      <c r="BL124" s="793">
        <f>INPUT!DC447</f>
        <v>22.655217965653907</v>
      </c>
      <c r="BM124" s="752">
        <f>INPUT!DD447</f>
        <v>-4.5398502862174954</v>
      </c>
      <c r="BN124" s="793">
        <f>INPUT!DE447</f>
        <v>20.806401969836859</v>
      </c>
      <c r="BO124" s="752">
        <f>INPUT!DF447</f>
        <v>-11.316975210531311</v>
      </c>
      <c r="BP124" s="793">
        <f>INPUT!DG447</f>
        <v>22.348601291115873</v>
      </c>
      <c r="BQ124" s="752">
        <f>INPUT!DH447</f>
        <v>-2.255909075383522</v>
      </c>
      <c r="BR124" s="793">
        <f>INPUT!DI447</f>
        <v>21.626733921815894</v>
      </c>
      <c r="BS124" s="752">
        <f>INPUT!DJ447</f>
        <v>-12.160479937579572</v>
      </c>
      <c r="BT124" s="793">
        <f>INPUT!DK447</f>
        <v>-17.672298203271648</v>
      </c>
      <c r="BU124" s="752" t="str">
        <f>INPUT!DL447</f>
        <v>NM</v>
      </c>
      <c r="BV124" s="793">
        <f>INPUT!DM447</f>
        <v>23.342758404021382</v>
      </c>
      <c r="BW124" s="752">
        <f>INPUT!DN447</f>
        <v>12.190269311635383</v>
      </c>
      <c r="BX124" s="793">
        <f>INPUT!DO447</f>
        <v>19.184952978056444</v>
      </c>
      <c r="BY124" s="752">
        <f>INPUT!DP447</f>
        <v>-14.155911915243923</v>
      </c>
      <c r="BZ124" s="793">
        <f>INPUT!DQ447</f>
        <v>21.751152073732722</v>
      </c>
      <c r="CA124" s="752">
        <f>INPUT!DR447</f>
        <v>0.57529792693904458</v>
      </c>
      <c r="CB124" s="793">
        <f>INPUT!DS447</f>
        <v>20.701534606952723</v>
      </c>
      <c r="CC124" s="752" t="str">
        <f>INPUT!DT447</f>
        <v>NM</v>
      </c>
      <c r="CD124" s="793">
        <f>INPUT!DU447</f>
        <v>21.681552202032616</v>
      </c>
      <c r="CE124" s="752">
        <f>INPUT!DV447</f>
        <v>-7.1165805396100072</v>
      </c>
      <c r="CF124" s="793">
        <f>INPUT!DW447</f>
        <v>22.215586742311135</v>
      </c>
      <c r="CG124" s="752">
        <f>INPUT!DX447</f>
        <v>15.796930895379834</v>
      </c>
      <c r="CH124" s="793">
        <f>INPUT!DY447</f>
        <v>26.596075988788552</v>
      </c>
      <c r="CI124" s="752">
        <f>INPUT!DZ447</f>
        <v>22.274332406082941</v>
      </c>
      <c r="CJ124" s="793">
        <f>INPUT!EA447</f>
        <v>26.108518086347694</v>
      </c>
      <c r="CK124" s="752">
        <f>INPUT!EB447</f>
        <v>26.118756807425303</v>
      </c>
      <c r="CL124" s="793">
        <f>INPUT!EC447</f>
        <v>26.09591056192998</v>
      </c>
      <c r="CM124" s="752">
        <f>INPUT!ED447</f>
        <v>20.3599738559471</v>
      </c>
      <c r="CN124" s="793">
        <f>INPUT!EE447</f>
        <v>26.138613861386155</v>
      </c>
      <c r="CO124" s="752">
        <f>INPUT!EF447</f>
        <v>17.658894921750324</v>
      </c>
      <c r="CP124" s="793">
        <f>INPUT!EG447</f>
        <v>25.252525252525228</v>
      </c>
      <c r="CQ124" s="752">
        <f>INPUT!EH447</f>
        <v>-5.0516878385732262</v>
      </c>
      <c r="CR124" s="793">
        <f>INPUT!EI447</f>
        <v>23.250201126307317</v>
      </c>
      <c r="CS124" s="752">
        <f>INPUT!EJ447</f>
        <v>-10.94783300448986</v>
      </c>
      <c r="CT124" s="793">
        <f>INPUT!EK447</f>
        <v>25.644923888184877</v>
      </c>
      <c r="CU124" s="752">
        <f>INPUT!EL447</f>
        <v>-1.7281890688383372</v>
      </c>
      <c r="CV124" s="793">
        <f>INPUT!EM447</f>
        <v>25.699793357464038</v>
      </c>
      <c r="CW124" s="752">
        <f>INPUT!EN447</f>
        <v>-1.6788208672777971</v>
      </c>
      <c r="CX124" s="793">
        <f>INPUT!EO447</f>
        <v>25.771403145945165</v>
      </c>
      <c r="CY124" s="752">
        <f>INPUT!EP447</f>
        <v>2.0547564579429523</v>
      </c>
      <c r="CZ124" s="793">
        <f>INPUT!EQ447</f>
        <v>26.138393866613619</v>
      </c>
      <c r="DA124" s="752">
        <f>INPUT!ER447</f>
        <v>12.422226907268975</v>
      </c>
      <c r="DB124" s="753"/>
      <c r="DC124" s="793">
        <f>INPUT!FB447</f>
        <v>0</v>
      </c>
      <c r="DD124" s="756" t="str">
        <f>INPUT!FC447</f>
        <v>NA</v>
      </c>
      <c r="DE124" s="793">
        <f>INPUT!FD447</f>
        <v>27.418897190958173</v>
      </c>
      <c r="DF124" s="756" t="str">
        <f>INPUT!FE447</f>
        <v>NA</v>
      </c>
      <c r="DG124" s="793">
        <f>INPUT!FF447</f>
        <v>1281.2960235640764</v>
      </c>
      <c r="DH124" s="756" t="str">
        <f>INPUT!FG447</f>
        <v>NM</v>
      </c>
      <c r="DI124" s="793">
        <f>INPUT!FH447</f>
        <v>42.962962962962905</v>
      </c>
      <c r="DJ124" s="756" t="str">
        <f>INPUT!FI447</f>
        <v>NM</v>
      </c>
      <c r="DK124" s="793">
        <f>INPUT!FJ447</f>
        <v>8.7535193242897957</v>
      </c>
      <c r="DL124" s="752" t="str">
        <f>INPUT!FK447</f>
        <v>NM</v>
      </c>
      <c r="DM124" s="793">
        <f>INPUT!FL447</f>
        <v>5.5082462002802517</v>
      </c>
      <c r="DN124" s="752">
        <f>INPUT!FM447</f>
        <v>-37.073924255863169</v>
      </c>
      <c r="DO124" s="793">
        <f>INPUT!FN447</f>
        <v>15.825433427278176</v>
      </c>
      <c r="DP124" s="752" t="str">
        <f>INPUT!FO447</f>
        <v>NM</v>
      </c>
      <c r="DQ124" s="793">
        <f>INPUT!FP447</f>
        <v>15.923715016667966</v>
      </c>
      <c r="DR124" s="752">
        <f>INPUT!FQ447</f>
        <v>0.62103568816247456</v>
      </c>
      <c r="DS124" s="793">
        <f>INPUT!FR447</f>
        <v>21.152238352207949</v>
      </c>
      <c r="DT124" s="752">
        <f>INPUT!FS447</f>
        <v>32.834821083315589</v>
      </c>
      <c r="DU124" s="793">
        <f>INPUT!FT447</f>
        <v>23.890939218196849</v>
      </c>
      <c r="DV124" s="752">
        <f>INPUT!FU447</f>
        <v>12.947569994184672</v>
      </c>
      <c r="DW124" s="793">
        <f>INPUT!FV447</f>
        <v>81.680626857606143</v>
      </c>
      <c r="DX124" s="752" t="str">
        <f>INPUT!FW447</f>
        <v>NM</v>
      </c>
      <c r="DY124" s="793">
        <f>INPUT!FX447</f>
        <v>23.236184105749324</v>
      </c>
      <c r="DZ124" s="752" t="str">
        <f>INPUT!FY447</f>
        <v>NM</v>
      </c>
      <c r="EA124" s="793">
        <f>INPUT!FZ447</f>
        <v>23.409036192921903</v>
      </c>
      <c r="EB124" s="752">
        <f>INPUT!GA447</f>
        <v>0.74389188167005571</v>
      </c>
      <c r="EC124" s="793">
        <f>INPUT!GB447</f>
        <v>46.22371740958792</v>
      </c>
      <c r="ED124" s="752">
        <f>INPUT!GC447</f>
        <v>97.461001933793412</v>
      </c>
      <c r="EE124" s="793">
        <f>INPUT!GD447</f>
        <v>21.246392637079804</v>
      </c>
      <c r="EF124" s="752" t="str">
        <f>INPUT!GE447</f>
        <v>NM</v>
      </c>
      <c r="EG124" s="793">
        <f>INPUT!GF447</f>
        <v>24.155647903286738</v>
      </c>
      <c r="EH124" s="752">
        <f>INPUT!GG447</f>
        <v>13.692937506622282</v>
      </c>
      <c r="EI124" s="793">
        <f>INPUT!GH447</f>
        <v>25.149363885569681</v>
      </c>
      <c r="EJ124" s="752">
        <f>INPUT!GI447</f>
        <v>4.1138038866170623</v>
      </c>
      <c r="EK124" s="793">
        <f>INPUT!GJ447</f>
        <v>25.814715024825109</v>
      </c>
      <c r="EL124" s="752">
        <f>INPUT!GK447</f>
        <v>2.6455982834508118</v>
      </c>
      <c r="EM124" s="793">
        <f>INPUT!GL447</f>
        <v>25.839900540125999</v>
      </c>
      <c r="EN124" s="752">
        <f>INPUT!GM447</f>
        <v>9.7562631532710498E-2</v>
      </c>
      <c r="EO124" s="793">
        <f>INPUT!GN447</f>
        <v>25.775136183090673</v>
      </c>
      <c r="EP124" s="752">
        <f>INPUT!GO447</f>
        <v>-0.25063702135678101</v>
      </c>
      <c r="EQ124" s="793">
        <f>INPUT!GP447</f>
        <v>25.652527467623916</v>
      </c>
      <c r="ER124" s="752">
        <f>INPUT!GQ447</f>
        <v>-0.47568600451155518</v>
      </c>
      <c r="ES124" s="793">
        <f>INPUT!GR447</f>
        <v>25.659540725698204</v>
      </c>
      <c r="ET124" s="752">
        <f>INPUT!GS447</f>
        <v>2.7339442802043479E-2</v>
      </c>
      <c r="EU124" s="756">
        <f>INPUT!GT447</f>
        <v>0.40246486674442306</v>
      </c>
      <c r="EV124" s="710"/>
    </row>
    <row r="125" spans="1:152" ht="12.75" hidden="1" customHeight="1" outlineLevel="1" x14ac:dyDescent="0.2">
      <c r="A125" s="754"/>
      <c r="B125" s="793"/>
      <c r="C125" s="756"/>
      <c r="D125" s="793"/>
      <c r="E125" s="756"/>
      <c r="F125" s="793"/>
      <c r="G125" s="756"/>
      <c r="H125" s="793"/>
      <c r="I125" s="752"/>
      <c r="J125" s="793"/>
      <c r="K125" s="752"/>
      <c r="L125" s="793"/>
      <c r="M125" s="752"/>
      <c r="N125" s="793"/>
      <c r="O125" s="752"/>
      <c r="P125" s="793"/>
      <c r="Q125" s="752"/>
      <c r="R125" s="793"/>
      <c r="S125" s="752"/>
      <c r="T125" s="793"/>
      <c r="U125" s="752"/>
      <c r="V125" s="793"/>
      <c r="W125" s="752"/>
      <c r="X125" s="793"/>
      <c r="Y125" s="752"/>
      <c r="Z125" s="793"/>
      <c r="AA125" s="752"/>
      <c r="AB125" s="793"/>
      <c r="AC125" s="752"/>
      <c r="AD125" s="793"/>
      <c r="AE125" s="752"/>
      <c r="AF125" s="793"/>
      <c r="AG125" s="752"/>
      <c r="AH125" s="793"/>
      <c r="AI125" s="752"/>
      <c r="AJ125" s="793"/>
      <c r="AK125" s="752"/>
      <c r="AL125" s="793"/>
      <c r="AM125" s="752"/>
      <c r="AN125" s="793"/>
      <c r="AO125" s="752"/>
      <c r="AP125" s="793"/>
      <c r="AQ125" s="752"/>
      <c r="AR125" s="793"/>
      <c r="AS125" s="752"/>
      <c r="AT125" s="793"/>
      <c r="AU125" s="752"/>
      <c r="AV125" s="793"/>
      <c r="AW125" s="752"/>
      <c r="AX125" s="793"/>
      <c r="AY125" s="752"/>
      <c r="AZ125" s="793"/>
      <c r="BA125" s="752"/>
      <c r="BB125" s="793"/>
      <c r="BC125" s="752"/>
      <c r="BD125" s="793"/>
      <c r="BE125" s="752"/>
      <c r="BF125" s="793"/>
      <c r="BG125" s="752"/>
      <c r="BH125" s="793"/>
      <c r="BI125" s="752"/>
      <c r="BJ125" s="793"/>
      <c r="BK125" s="752"/>
      <c r="BL125" s="793"/>
      <c r="BM125" s="752"/>
      <c r="BN125" s="793"/>
      <c r="BO125" s="752"/>
      <c r="BP125" s="793"/>
      <c r="BQ125" s="752"/>
      <c r="BR125" s="793"/>
      <c r="BS125" s="752"/>
      <c r="BT125" s="793"/>
      <c r="BU125" s="752"/>
      <c r="BV125" s="793"/>
      <c r="BW125" s="752"/>
      <c r="BX125" s="793"/>
      <c r="BY125" s="752"/>
      <c r="BZ125" s="793"/>
      <c r="CA125" s="752"/>
      <c r="CB125" s="793"/>
      <c r="CC125" s="752"/>
      <c r="CD125" s="793"/>
      <c r="CE125" s="752"/>
      <c r="CF125" s="793"/>
      <c r="CG125" s="752"/>
      <c r="CH125" s="793"/>
      <c r="CI125" s="752"/>
      <c r="CJ125" s="793"/>
      <c r="CK125" s="752"/>
      <c r="CL125" s="793"/>
      <c r="CM125" s="752"/>
      <c r="CN125" s="793"/>
      <c r="CO125" s="752"/>
      <c r="CP125" s="793"/>
      <c r="CQ125" s="752"/>
      <c r="CR125" s="793"/>
      <c r="CS125" s="752"/>
      <c r="CT125" s="793"/>
      <c r="CU125" s="752"/>
      <c r="CV125" s="793"/>
      <c r="CW125" s="752"/>
      <c r="CX125" s="793"/>
      <c r="CY125" s="752"/>
      <c r="CZ125" s="793"/>
      <c r="DA125" s="752"/>
      <c r="DB125" s="753"/>
      <c r="DC125" s="793"/>
      <c r="DD125" s="756"/>
      <c r="DE125" s="793"/>
      <c r="DF125" s="756"/>
      <c r="DG125" s="793"/>
      <c r="DH125" s="756"/>
      <c r="DI125" s="793"/>
      <c r="DJ125" s="756"/>
      <c r="DK125" s="793"/>
      <c r="DL125" s="752"/>
      <c r="DM125" s="793"/>
      <c r="DN125" s="752"/>
      <c r="DO125" s="793"/>
      <c r="DP125" s="752"/>
      <c r="DQ125" s="793"/>
      <c r="DR125" s="752"/>
      <c r="DS125" s="793"/>
      <c r="DT125" s="752"/>
      <c r="DU125" s="793"/>
      <c r="DV125" s="752"/>
      <c r="DW125" s="793"/>
      <c r="DX125" s="752"/>
      <c r="DY125" s="793"/>
      <c r="DZ125" s="752"/>
      <c r="EA125" s="793"/>
      <c r="EB125" s="752"/>
      <c r="EC125" s="793"/>
      <c r="ED125" s="752"/>
      <c r="EE125" s="793"/>
      <c r="EF125" s="752"/>
      <c r="EG125" s="793"/>
      <c r="EH125" s="752"/>
      <c r="EI125" s="793"/>
      <c r="EJ125" s="752"/>
      <c r="EK125" s="793"/>
      <c r="EL125" s="752"/>
      <c r="EM125" s="793"/>
      <c r="EN125" s="752"/>
      <c r="EO125" s="793"/>
      <c r="EP125" s="752"/>
      <c r="EQ125" s="793"/>
      <c r="ER125" s="752"/>
      <c r="ES125" s="793"/>
      <c r="ET125" s="752"/>
      <c r="EU125" s="756"/>
      <c r="EV125" s="710"/>
    </row>
    <row r="126" spans="1:152" ht="12.75" hidden="1" customHeight="1" outlineLevel="1" x14ac:dyDescent="0.2">
      <c r="A126" s="749" t="s">
        <v>450</v>
      </c>
      <c r="B126" s="793"/>
      <c r="C126" s="756"/>
      <c r="D126" s="793"/>
      <c r="E126" s="756"/>
      <c r="F126" s="793"/>
      <c r="G126" s="756"/>
      <c r="H126" s="793"/>
      <c r="I126" s="752"/>
      <c r="J126" s="793"/>
      <c r="K126" s="752"/>
      <c r="L126" s="793"/>
      <c r="M126" s="752"/>
      <c r="N126" s="793"/>
      <c r="O126" s="752"/>
      <c r="P126" s="793"/>
      <c r="Q126" s="752"/>
      <c r="R126" s="793"/>
      <c r="S126" s="752"/>
      <c r="T126" s="793"/>
      <c r="U126" s="752"/>
      <c r="V126" s="793"/>
      <c r="W126" s="752"/>
      <c r="X126" s="793"/>
      <c r="Y126" s="752"/>
      <c r="Z126" s="793"/>
      <c r="AA126" s="752"/>
      <c r="AB126" s="793"/>
      <c r="AC126" s="752"/>
      <c r="AD126" s="793"/>
      <c r="AE126" s="752"/>
      <c r="AF126" s="793"/>
      <c r="AG126" s="752"/>
      <c r="AH126" s="793"/>
      <c r="AI126" s="752"/>
      <c r="AJ126" s="793"/>
      <c r="AK126" s="752"/>
      <c r="AL126" s="793"/>
      <c r="AM126" s="752"/>
      <c r="AN126" s="793"/>
      <c r="AO126" s="752"/>
      <c r="AP126" s="793"/>
      <c r="AQ126" s="752"/>
      <c r="AR126" s="793"/>
      <c r="AS126" s="752"/>
      <c r="AT126" s="793"/>
      <c r="AU126" s="752"/>
      <c r="AV126" s="793"/>
      <c r="AW126" s="752"/>
      <c r="AX126" s="793"/>
      <c r="AY126" s="752"/>
      <c r="AZ126" s="793"/>
      <c r="BA126" s="752"/>
      <c r="BB126" s="793"/>
      <c r="BC126" s="752"/>
      <c r="BD126" s="793"/>
      <c r="BE126" s="752"/>
      <c r="BF126" s="793"/>
      <c r="BG126" s="752"/>
      <c r="BH126" s="793"/>
      <c r="BI126" s="752"/>
      <c r="BJ126" s="793"/>
      <c r="BK126" s="752"/>
      <c r="BL126" s="793"/>
      <c r="BM126" s="752"/>
      <c r="BN126" s="793"/>
      <c r="BO126" s="752"/>
      <c r="BP126" s="793"/>
      <c r="BQ126" s="752"/>
      <c r="BR126" s="793"/>
      <c r="BS126" s="752"/>
      <c r="BT126" s="793"/>
      <c r="BU126" s="752"/>
      <c r="BV126" s="793"/>
      <c r="BW126" s="752"/>
      <c r="BX126" s="793"/>
      <c r="BY126" s="752"/>
      <c r="BZ126" s="793"/>
      <c r="CA126" s="752"/>
      <c r="CB126" s="793"/>
      <c r="CC126" s="752"/>
      <c r="CD126" s="793"/>
      <c r="CE126" s="752"/>
      <c r="CF126" s="793"/>
      <c r="CG126" s="752"/>
      <c r="CH126" s="793"/>
      <c r="CI126" s="752"/>
      <c r="CJ126" s="793"/>
      <c r="CK126" s="752"/>
      <c r="CL126" s="793"/>
      <c r="CM126" s="752"/>
      <c r="CN126" s="793"/>
      <c r="CO126" s="752"/>
      <c r="CP126" s="793"/>
      <c r="CQ126" s="752"/>
      <c r="CR126" s="793"/>
      <c r="CS126" s="752"/>
      <c r="CT126" s="793"/>
      <c r="CU126" s="752"/>
      <c r="CV126" s="793"/>
      <c r="CW126" s="752"/>
      <c r="CX126" s="793"/>
      <c r="CY126" s="752"/>
      <c r="CZ126" s="793"/>
      <c r="DA126" s="752"/>
      <c r="DB126" s="753"/>
      <c r="DC126" s="793"/>
      <c r="DD126" s="756"/>
      <c r="DE126" s="793"/>
      <c r="DF126" s="756"/>
      <c r="DG126" s="793"/>
      <c r="DH126" s="756"/>
      <c r="DI126" s="793"/>
      <c r="DJ126" s="756"/>
      <c r="DK126" s="793"/>
      <c r="DL126" s="752"/>
      <c r="DM126" s="793"/>
      <c r="DN126" s="752"/>
      <c r="DO126" s="793"/>
      <c r="DP126" s="752"/>
      <c r="DQ126" s="793"/>
      <c r="DR126" s="752"/>
      <c r="DS126" s="793"/>
      <c r="DT126" s="752"/>
      <c r="DU126" s="793"/>
      <c r="DV126" s="752"/>
      <c r="DW126" s="793"/>
      <c r="DX126" s="752"/>
      <c r="DY126" s="793"/>
      <c r="DZ126" s="752"/>
      <c r="EA126" s="793"/>
      <c r="EB126" s="752"/>
      <c r="EC126" s="793"/>
      <c r="ED126" s="752"/>
      <c r="EE126" s="793"/>
      <c r="EF126" s="752"/>
      <c r="EG126" s="793"/>
      <c r="EH126" s="752"/>
      <c r="EI126" s="793"/>
      <c r="EJ126" s="752"/>
      <c r="EK126" s="793"/>
      <c r="EL126" s="752"/>
      <c r="EM126" s="793"/>
      <c r="EN126" s="752"/>
      <c r="EO126" s="793"/>
      <c r="EP126" s="752"/>
      <c r="EQ126" s="793"/>
      <c r="ER126" s="752"/>
      <c r="ES126" s="793"/>
      <c r="ET126" s="752"/>
      <c r="EU126" s="756"/>
      <c r="EV126" s="710"/>
    </row>
    <row r="127" spans="1:152" ht="12.75" hidden="1" customHeight="1" outlineLevel="1" x14ac:dyDescent="0.2">
      <c r="A127" s="754" t="str">
        <f>INPUT!B56</f>
        <v>Pretax Earnings/Revenues (%)</v>
      </c>
      <c r="B127" s="793">
        <f>INPUT!AS56</f>
        <v>0.15140045420133966</v>
      </c>
      <c r="C127" s="756" t="str">
        <f>INPUT!AT56</f>
        <v>NM</v>
      </c>
      <c r="D127" s="793">
        <f>INPUT!AU56</f>
        <v>1.3081761006289137</v>
      </c>
      <c r="E127" s="756">
        <f>INPUT!AV56</f>
        <v>-47.412622422478968</v>
      </c>
      <c r="F127" s="793">
        <f>INPUT!AW56</f>
        <v>2.0865139949109528</v>
      </c>
      <c r="G127" s="756">
        <f>INPUT!AX56</f>
        <v>-46.62670450838349</v>
      </c>
      <c r="H127" s="793">
        <f>INPUT!AY56</f>
        <v>4.3115096425500576</v>
      </c>
      <c r="I127" s="752" t="str">
        <f>INPUT!AZ56</f>
        <v>NM</v>
      </c>
      <c r="J127" s="793">
        <f>INPUT!BA56</f>
        <v>3.8406827880512147</v>
      </c>
      <c r="K127" s="752" t="str">
        <f>INPUT!BB56</f>
        <v>NM</v>
      </c>
      <c r="L127" s="793">
        <f>INPUT!BC56</f>
        <v>6.4697083021690318</v>
      </c>
      <c r="M127" s="752" t="str">
        <f>INPUT!BD56</f>
        <v>NM</v>
      </c>
      <c r="N127" s="793">
        <f>INPUT!BE56</f>
        <v>6.5941101152368624</v>
      </c>
      <c r="O127" s="752" t="str">
        <f>INPUT!BF56</f>
        <v>NM</v>
      </c>
      <c r="P127" s="793">
        <f>INPUT!BG56</f>
        <v>5.5842812823164483</v>
      </c>
      <c r="Q127" s="752">
        <f>INPUT!BH56</f>
        <v>29.520324556519029</v>
      </c>
      <c r="R127" s="793">
        <f>INPUT!BI56</f>
        <v>5.3495197438633966</v>
      </c>
      <c r="S127" s="752">
        <f>INPUT!BJ56</f>
        <v>39.285643701331942</v>
      </c>
      <c r="T127" s="793">
        <f>INPUT!BK56</f>
        <v>6.1874670879410063</v>
      </c>
      <c r="U127" s="752">
        <f>INPUT!BL56</f>
        <v>-4.3625029297441609</v>
      </c>
      <c r="V127" s="793">
        <f>INPUT!BM56</f>
        <v>7.3268921095007933</v>
      </c>
      <c r="W127" s="752">
        <f>INPUT!BN56</f>
        <v>11.112674514954012</v>
      </c>
      <c r="X127" s="793">
        <f>INPUT!BO56</f>
        <v>7.9525775942453913</v>
      </c>
      <c r="Y127" s="752">
        <f>INPUT!BP56</f>
        <v>42.410046919171961</v>
      </c>
      <c r="Z127" s="793">
        <f>INPUT!BQ56</f>
        <v>7.9520396912899569</v>
      </c>
      <c r="AA127" s="752">
        <f>INPUT!BR56</f>
        <v>48.649599815235625</v>
      </c>
      <c r="AB127" s="793">
        <f>INPUT!BS56</f>
        <v>9.4284925455549526</v>
      </c>
      <c r="AC127" s="752">
        <f>INPUT!BT56</f>
        <v>52.380488034118301</v>
      </c>
      <c r="AD127" s="793">
        <f>INPUT!BU56</f>
        <v>10.466089868825007</v>
      </c>
      <c r="AE127" s="752">
        <f>INPUT!BV56</f>
        <v>42.844874912974504</v>
      </c>
      <c r="AF127" s="793">
        <f>INPUT!BW56</f>
        <v>10.205229125667685</v>
      </c>
      <c r="AG127" s="752">
        <f>INPUT!BX56</f>
        <v>28.326055354082278</v>
      </c>
      <c r="AH127" s="793">
        <f>INPUT!BY56</f>
        <v>10.909614277489919</v>
      </c>
      <c r="AI127" s="752">
        <f>INPUT!BZ56</f>
        <v>37.192653721779799</v>
      </c>
      <c r="AJ127" s="793">
        <f>INPUT!CA56</f>
        <v>12.131194500143232</v>
      </c>
      <c r="AK127" s="752">
        <f>INPUT!CB56</f>
        <v>28.665260554959705</v>
      </c>
      <c r="AL127" s="793">
        <f>INPUT!CC56</f>
        <v>11.454837297533928</v>
      </c>
      <c r="AM127" s="752">
        <f>INPUT!CD56</f>
        <v>9.4471520988375079</v>
      </c>
      <c r="AN127" s="793">
        <f>INPUT!CE56</f>
        <v>11.279388432136166</v>
      </c>
      <c r="AO127" s="752">
        <f>INPUT!CF56</f>
        <v>10.525577556772436</v>
      </c>
      <c r="AP127" s="793">
        <f>INPUT!CG56</f>
        <v>10.886561439740383</v>
      </c>
      <c r="AQ127" s="752">
        <f>INPUT!CH56</f>
        <v>-0.21130754179916611</v>
      </c>
      <c r="AR127" s="793">
        <f>INPUT!CI56</f>
        <v>11.527757433719048</v>
      </c>
      <c r="AS127" s="752">
        <f>INPUT!CJ56</f>
        <v>-4.9742592653762134</v>
      </c>
      <c r="AT127" s="793">
        <f>INPUT!CK56</f>
        <v>10.613138686131393</v>
      </c>
      <c r="AU127" s="752">
        <f>INPUT!CL56</f>
        <v>-7.3479752661676052</v>
      </c>
      <c r="AV127" s="793">
        <f>INPUT!CM56</f>
        <v>11.268634902075419</v>
      </c>
      <c r="AW127" s="752">
        <f>INPUT!CN56</f>
        <v>-9.5337882239332483E-2</v>
      </c>
      <c r="AX127" s="793">
        <f>INPUT!CO56</f>
        <v>10.919456219850906</v>
      </c>
      <c r="AY127" s="752">
        <f>INPUT!CP56</f>
        <v>0.30215950456535801</v>
      </c>
      <c r="AZ127" s="793">
        <f>INPUT!CQ56</f>
        <v>10.336220819262953</v>
      </c>
      <c r="BA127" s="752">
        <f>INPUT!CR56</f>
        <v>-10.336239475084829</v>
      </c>
      <c r="BB127" s="793">
        <f>INPUT!CS56</f>
        <v>10.975250441956394</v>
      </c>
      <c r="BC127" s="752">
        <f>INPUT!CT56</f>
        <v>3.4119195700154759</v>
      </c>
      <c r="BD127" s="793">
        <f>INPUT!CU56</f>
        <v>10.775546107608855</v>
      </c>
      <c r="BE127" s="752">
        <f>INPUT!CV56</f>
        <v>-4.3757633355904435</v>
      </c>
      <c r="BF127" s="793">
        <f>INPUT!CW56</f>
        <v>11.151235013722365</v>
      </c>
      <c r="BG127" s="752">
        <f>INPUT!CX56</f>
        <v>2.1226221270075785</v>
      </c>
      <c r="BH127" s="793">
        <f>INPUT!CY56</f>
        <v>10.537099370701011</v>
      </c>
      <c r="BI127" s="752">
        <f>INPUT!CZ56</f>
        <v>1.9434429173929013</v>
      </c>
      <c r="BJ127" s="793">
        <f>INPUT!DA56</f>
        <v>11.559578572488496</v>
      </c>
      <c r="BK127" s="752">
        <f>INPUT!DB56</f>
        <v>5.3240528188616132</v>
      </c>
      <c r="BL127" s="793">
        <f>INPUT!DC56</f>
        <v>10.284857571214397</v>
      </c>
      <c r="BM127" s="752">
        <f>INPUT!DD56</f>
        <v>-4.5537231384307431</v>
      </c>
      <c r="BN127" s="793">
        <f>INPUT!DE56</f>
        <v>10.028185729120297</v>
      </c>
      <c r="BO127" s="752">
        <f>INPUT!DF56</f>
        <v>-10.071075385103789</v>
      </c>
      <c r="BP127" s="793">
        <f>INPUT!DG56</f>
        <v>10.779952550415175</v>
      </c>
      <c r="BQ127" s="752">
        <f>INPUT!DH56</f>
        <v>2.3047441347040065</v>
      </c>
      <c r="BR127" s="793">
        <f>INPUT!DI56</f>
        <v>10.182573845925491</v>
      </c>
      <c r="BS127" s="752">
        <f>INPUT!DJ56</f>
        <v>-11.912239861756213</v>
      </c>
      <c r="BT127" s="793">
        <f>INPUT!DK56</f>
        <v>9.4643113600459543</v>
      </c>
      <c r="BU127" s="752">
        <f>INPUT!DL56</f>
        <v>-7.9781971260838418</v>
      </c>
      <c r="BV127" s="793">
        <f>INPUT!DM56</f>
        <v>10.590079817559872</v>
      </c>
      <c r="BW127" s="752">
        <f>INPUT!DN56</f>
        <v>5.6031480032117997</v>
      </c>
      <c r="BX127" s="793">
        <f>INPUT!DO56</f>
        <v>8.6075949367088676</v>
      </c>
      <c r="BY127" s="752">
        <f>INPUT!DP56</f>
        <v>-20.151829087806526</v>
      </c>
      <c r="BZ127" s="793">
        <f>INPUT!DQ56</f>
        <v>9.9606077658975885</v>
      </c>
      <c r="CA127" s="752">
        <f>INPUT!DR56</f>
        <v>-2.1798622174168836</v>
      </c>
      <c r="CB127" s="793">
        <f>INPUT!DS56</f>
        <v>9.2048461217100712</v>
      </c>
      <c r="CC127" s="752">
        <f>INPUT!DT56</f>
        <v>-2.7415120706111629</v>
      </c>
      <c r="CD127" s="793">
        <f>INPUT!DU56</f>
        <v>9.6201147854604905</v>
      </c>
      <c r="CE127" s="752">
        <f>INPUT!DV56</f>
        <v>-9.1591852829195908</v>
      </c>
      <c r="CF127" s="793">
        <f>INPUT!DW56</f>
        <v>10.172272354388841</v>
      </c>
      <c r="CG127" s="752">
        <f>INPUT!DX56</f>
        <v>18.177869999517338</v>
      </c>
      <c r="CH127" s="793">
        <f>INPUT!DY56</f>
        <v>11.754989676531327</v>
      </c>
      <c r="CI127" s="752">
        <f>INPUT!DZ56</f>
        <v>18.01478336269011</v>
      </c>
      <c r="CJ127" s="793">
        <f>INPUT!EA56</f>
        <v>12.200109051254076</v>
      </c>
      <c r="CK127" s="752">
        <f>INPUT!EB56</f>
        <v>32.540065199781388</v>
      </c>
      <c r="CL127" s="793">
        <f>INPUT!EC56</f>
        <v>12.12079803224924</v>
      </c>
      <c r="CM127" s="752">
        <f>INPUT!ED56</f>
        <v>25.994318181818322</v>
      </c>
      <c r="CN127" s="793">
        <f>INPUT!EE56</f>
        <v>12.491550628633242</v>
      </c>
      <c r="CO127" s="752">
        <f>INPUT!EF56</f>
        <v>22.800001744386478</v>
      </c>
      <c r="CP127" s="793">
        <f>INPUT!EG56</f>
        <v>12.264922322158611</v>
      </c>
      <c r="CQ127" s="752">
        <f>INPUT!EH56</f>
        <v>4.3380101527894732</v>
      </c>
      <c r="CR127" s="793">
        <f>INPUT!EI56</f>
        <v>11.670480549199077</v>
      </c>
      <c r="CS127" s="752">
        <f>INPUT!EJ56</f>
        <v>-4.3411784257826547</v>
      </c>
      <c r="CT127" s="793">
        <f>INPUT!EK56</f>
        <v>11.703418361261697</v>
      </c>
      <c r="CU127" s="752">
        <f>INPUT!EL56</f>
        <v>-3.4434999236604757</v>
      </c>
      <c r="CV127" s="793">
        <f>INPUT!EM56</f>
        <v>11.736129909232211</v>
      </c>
      <c r="CW127" s="752">
        <f>INPUT!EN56</f>
        <v>-6.047453529663871</v>
      </c>
      <c r="CX127" s="793">
        <f>INPUT!EO56</f>
        <v>11.822986763313095</v>
      </c>
      <c r="CY127" s="752">
        <f>INPUT!EP56</f>
        <v>-3.6032479231204451</v>
      </c>
      <c r="CZ127" s="793">
        <f>INPUT!EQ56</f>
        <v>12.066268077042091</v>
      </c>
      <c r="DA127" s="752">
        <f>INPUT!ER56</f>
        <v>3.3913558758313256</v>
      </c>
      <c r="DB127" s="793"/>
      <c r="DC127" s="793">
        <f>INPUT!FB56</f>
        <v>0</v>
      </c>
      <c r="DD127" s="756">
        <f>INPUT!FC56</f>
        <v>0</v>
      </c>
      <c r="DE127" s="793">
        <f>INPUT!FD56</f>
        <v>9.2031746031746344</v>
      </c>
      <c r="DF127" s="756" t="str">
        <f>INPUT!FE56</f>
        <v>NA</v>
      </c>
      <c r="DG127" s="793">
        <f>INPUT!FF56</f>
        <v>-26.136329498002208</v>
      </c>
      <c r="DH127" s="756" t="str">
        <f>INPUT!FG56</f>
        <v>NM</v>
      </c>
      <c r="DI127" s="793">
        <f>INPUT!FH56</f>
        <v>-1.7522129240808437</v>
      </c>
      <c r="DJ127" s="756" t="str">
        <f>INPUT!FI56</f>
        <v>NM</v>
      </c>
      <c r="DK127" s="793">
        <f>INPUT!FJ56</f>
        <v>2.1282553906468942</v>
      </c>
      <c r="DL127" s="752" t="str">
        <f>INPUT!FK56</f>
        <v>NM</v>
      </c>
      <c r="DM127" s="793">
        <f>INPUT!FL56</f>
        <v>1.979483640242178</v>
      </c>
      <c r="DN127" s="752">
        <f>INPUT!FM56</f>
        <v>-6.9903147459899673</v>
      </c>
      <c r="DO127" s="793">
        <f>INPUT!FN56</f>
        <v>5.6324079102904125</v>
      </c>
      <c r="DP127" s="752" t="str">
        <f>INPUT!FO56</f>
        <v>NM</v>
      </c>
      <c r="DQ127" s="793">
        <f>INPUT!FP56</f>
        <v>6.7019400352733713</v>
      </c>
      <c r="DR127" s="752">
        <f>INPUT!FQ56</f>
        <v>18.988896791884024</v>
      </c>
      <c r="DS127" s="793">
        <f>INPUT!FR56</f>
        <v>9.6699096594857448</v>
      </c>
      <c r="DT127" s="752">
        <f>INPUT!FS56</f>
        <v>44.285230971800395</v>
      </c>
      <c r="DU127" s="793">
        <f>INPUT!FT56</f>
        <v>11.444652908067519</v>
      </c>
      <c r="DV127" s="752">
        <f>INPUT!FU56</f>
        <v>18.353255729135288</v>
      </c>
      <c r="DW127" s="793">
        <f>INPUT!FV56</f>
        <v>11.074071360539239</v>
      </c>
      <c r="DX127" s="752">
        <f>INPUT!FW56</f>
        <v>-3.2380322103700565</v>
      </c>
      <c r="DY127" s="793">
        <f>INPUT!FX56</f>
        <v>10.709042865531407</v>
      </c>
      <c r="DZ127" s="752">
        <f>INPUT!FY56</f>
        <v>-3.2962447425484043</v>
      </c>
      <c r="EA127" s="793">
        <f>INPUT!FZ56</f>
        <v>10.885330388367377</v>
      </c>
      <c r="EB127" s="752">
        <f>INPUT!GA56</f>
        <v>1.6461557307178021</v>
      </c>
      <c r="EC127" s="793">
        <f>INPUT!GB56</f>
        <v>10.108515725583969</v>
      </c>
      <c r="ED127" s="752">
        <f>INPUT!GC56</f>
        <v>-7.1363443742006432</v>
      </c>
      <c r="EE127" s="793">
        <f>INPUT!GD56</f>
        <v>9.5864860109097343</v>
      </c>
      <c r="EF127" s="752">
        <f>INPUT!GE56</f>
        <v>-5.1642568389443362</v>
      </c>
      <c r="EG127" s="793">
        <f>INPUT!GF56</f>
        <v>10.936270653029119</v>
      </c>
      <c r="EH127" s="752">
        <f>INPUT!GG56</f>
        <v>14.080077314912742</v>
      </c>
      <c r="EI127" s="793">
        <f>INPUT!GH56</f>
        <v>12.136218709721177</v>
      </c>
      <c r="EJ127" s="752">
        <f>INPUT!GI56</f>
        <v>10.972186906874848</v>
      </c>
      <c r="EK127" s="793">
        <f>INPUT!GJ56</f>
        <v>11.832371946353692</v>
      </c>
      <c r="EL127" s="752">
        <f>INPUT!GK56</f>
        <v>-2.5036361871437096</v>
      </c>
      <c r="EM127" s="793">
        <f>INPUT!GL56</f>
        <v>11.674151241216389</v>
      </c>
      <c r="EN127" s="752">
        <f>INPUT!GM56</f>
        <v>-1.3371850196617685</v>
      </c>
      <c r="EO127" s="793">
        <f>INPUT!GN56</f>
        <v>11.511009731793745</v>
      </c>
      <c r="EP127" s="752">
        <f>INPUT!GO56</f>
        <v>-1.3974592760685023</v>
      </c>
      <c r="EQ127" s="793">
        <f>INPUT!GP56</f>
        <v>11.344565483704574</v>
      </c>
      <c r="ER127" s="752">
        <f>INPUT!GQ56</f>
        <v>-1.4459569748207834</v>
      </c>
      <c r="ES127" s="793">
        <f>INPUT!GR56</f>
        <v>11.176164516872729</v>
      </c>
      <c r="ET127" s="752">
        <f>INPUT!GS56</f>
        <v>-1.4844197168568329</v>
      </c>
      <c r="EU127" s="756">
        <f>INPUT!GT56</f>
        <v>-1.6347096212395384</v>
      </c>
      <c r="EV127" s="710"/>
    </row>
    <row r="128" spans="1:152" ht="12.75" hidden="1" customHeight="1" outlineLevel="1" x14ac:dyDescent="0.2">
      <c r="A128" s="754"/>
      <c r="B128" s="793"/>
      <c r="C128" s="756"/>
      <c r="D128" s="793"/>
      <c r="E128" s="756"/>
      <c r="F128" s="793"/>
      <c r="G128" s="756"/>
      <c r="H128" s="793"/>
      <c r="I128" s="752"/>
      <c r="J128" s="793"/>
      <c r="K128" s="752"/>
      <c r="L128" s="793"/>
      <c r="M128" s="752"/>
      <c r="N128" s="793"/>
      <c r="O128" s="752"/>
      <c r="P128" s="793"/>
      <c r="Q128" s="752"/>
      <c r="R128" s="793"/>
      <c r="S128" s="752"/>
      <c r="T128" s="793"/>
      <c r="U128" s="752"/>
      <c r="V128" s="793"/>
      <c r="W128" s="752"/>
      <c r="X128" s="793"/>
      <c r="Y128" s="752"/>
      <c r="Z128" s="793"/>
      <c r="AA128" s="752"/>
      <c r="AB128" s="793"/>
      <c r="AC128" s="752"/>
      <c r="AD128" s="793"/>
      <c r="AE128" s="752"/>
      <c r="AF128" s="793"/>
      <c r="AG128" s="752"/>
      <c r="AH128" s="793"/>
      <c r="AI128" s="752"/>
      <c r="AJ128" s="793"/>
      <c r="AK128" s="752"/>
      <c r="AL128" s="793"/>
      <c r="AM128" s="752"/>
      <c r="AN128" s="793"/>
      <c r="AO128" s="752"/>
      <c r="AP128" s="793"/>
      <c r="AQ128" s="752"/>
      <c r="AR128" s="793"/>
      <c r="AS128" s="752"/>
      <c r="AT128" s="793"/>
      <c r="AU128" s="752"/>
      <c r="AV128" s="793"/>
      <c r="AW128" s="752"/>
      <c r="AX128" s="793"/>
      <c r="AY128" s="752"/>
      <c r="AZ128" s="793"/>
      <c r="BA128" s="752"/>
      <c r="BB128" s="793"/>
      <c r="BC128" s="752"/>
      <c r="BD128" s="793"/>
      <c r="BE128" s="752"/>
      <c r="BF128" s="793"/>
      <c r="BG128" s="752"/>
      <c r="BH128" s="793"/>
      <c r="BI128" s="752"/>
      <c r="BJ128" s="793"/>
      <c r="BK128" s="752"/>
      <c r="BL128" s="793"/>
      <c r="BM128" s="752"/>
      <c r="BN128" s="793"/>
      <c r="BO128" s="752"/>
      <c r="BP128" s="793"/>
      <c r="BQ128" s="752"/>
      <c r="BR128" s="793"/>
      <c r="BS128" s="752"/>
      <c r="BT128" s="793"/>
      <c r="BU128" s="752"/>
      <c r="BV128" s="793"/>
      <c r="BW128" s="752"/>
      <c r="BX128" s="793"/>
      <c r="BY128" s="752"/>
      <c r="BZ128" s="793"/>
      <c r="CA128" s="752"/>
      <c r="CB128" s="793"/>
      <c r="CC128" s="752"/>
      <c r="CD128" s="793"/>
      <c r="CE128" s="752"/>
      <c r="CF128" s="793"/>
      <c r="CG128" s="752"/>
      <c r="CH128" s="793"/>
      <c r="CI128" s="752"/>
      <c r="CJ128" s="793"/>
      <c r="CK128" s="752"/>
      <c r="CL128" s="793"/>
      <c r="CM128" s="752"/>
      <c r="CN128" s="793"/>
      <c r="CO128" s="752"/>
      <c r="CP128" s="793"/>
      <c r="CQ128" s="752"/>
      <c r="CR128" s="793"/>
      <c r="CS128" s="752"/>
      <c r="CT128" s="793"/>
      <c r="CU128" s="752"/>
      <c r="CV128" s="793"/>
      <c r="CW128" s="752"/>
      <c r="CX128" s="793"/>
      <c r="CY128" s="752"/>
      <c r="CZ128" s="793"/>
      <c r="DA128" s="752"/>
      <c r="DB128" s="753"/>
      <c r="DC128" s="793"/>
      <c r="DD128" s="756"/>
      <c r="DE128" s="793"/>
      <c r="DF128" s="756"/>
      <c r="DG128" s="793"/>
      <c r="DH128" s="756"/>
      <c r="DI128" s="793"/>
      <c r="DJ128" s="756"/>
      <c r="DK128" s="793"/>
      <c r="DL128" s="752"/>
      <c r="DM128" s="793"/>
      <c r="DN128" s="752"/>
      <c r="DO128" s="793"/>
      <c r="DP128" s="752"/>
      <c r="DQ128" s="793"/>
      <c r="DR128" s="752"/>
      <c r="DS128" s="793"/>
      <c r="DT128" s="752"/>
      <c r="DU128" s="793"/>
      <c r="DV128" s="752"/>
      <c r="DW128" s="793"/>
      <c r="DX128" s="752"/>
      <c r="DY128" s="793"/>
      <c r="DZ128" s="752"/>
      <c r="EA128" s="793"/>
      <c r="EB128" s="752"/>
      <c r="EC128" s="793"/>
      <c r="ED128" s="752"/>
      <c r="EE128" s="793"/>
      <c r="EF128" s="752"/>
      <c r="EG128" s="793"/>
      <c r="EH128" s="752"/>
      <c r="EI128" s="793"/>
      <c r="EJ128" s="752"/>
      <c r="EK128" s="793"/>
      <c r="EL128" s="752"/>
      <c r="EM128" s="793"/>
      <c r="EN128" s="752"/>
      <c r="EO128" s="793"/>
      <c r="EP128" s="752"/>
      <c r="EQ128" s="793"/>
      <c r="ER128" s="752"/>
      <c r="ES128" s="793"/>
      <c r="ET128" s="752"/>
      <c r="EU128" s="756"/>
      <c r="EV128" s="710"/>
    </row>
    <row r="129" spans="1:152" ht="12.75" hidden="1" customHeight="1" outlineLevel="1" x14ac:dyDescent="0.2">
      <c r="A129" s="749" t="s">
        <v>438</v>
      </c>
      <c r="B129" s="793"/>
      <c r="C129" s="756"/>
      <c r="D129" s="793"/>
      <c r="E129" s="756"/>
      <c r="F129" s="793"/>
      <c r="G129" s="756"/>
      <c r="H129" s="793"/>
      <c r="I129" s="752"/>
      <c r="J129" s="793"/>
      <c r="K129" s="752"/>
      <c r="L129" s="793"/>
      <c r="M129" s="752"/>
      <c r="N129" s="793"/>
      <c r="O129" s="752"/>
      <c r="P129" s="793"/>
      <c r="Q129" s="752"/>
      <c r="R129" s="793"/>
      <c r="S129" s="752"/>
      <c r="T129" s="793"/>
      <c r="U129" s="752"/>
      <c r="V129" s="793"/>
      <c r="W129" s="752"/>
      <c r="X129" s="793"/>
      <c r="Y129" s="752"/>
      <c r="Z129" s="793"/>
      <c r="AA129" s="752"/>
      <c r="AB129" s="793"/>
      <c r="AC129" s="752"/>
      <c r="AD129" s="793"/>
      <c r="AE129" s="752"/>
      <c r="AF129" s="793"/>
      <c r="AG129" s="752"/>
      <c r="AH129" s="793"/>
      <c r="AI129" s="752"/>
      <c r="AJ129" s="793"/>
      <c r="AK129" s="752"/>
      <c r="AL129" s="793"/>
      <c r="AM129" s="752"/>
      <c r="AN129" s="793"/>
      <c r="AO129" s="752"/>
      <c r="AP129" s="793"/>
      <c r="AQ129" s="752"/>
      <c r="AR129" s="793"/>
      <c r="AS129" s="752"/>
      <c r="AT129" s="793"/>
      <c r="AU129" s="752"/>
      <c r="AV129" s="793"/>
      <c r="AW129" s="752"/>
      <c r="AX129" s="793"/>
      <c r="AY129" s="752"/>
      <c r="AZ129" s="793"/>
      <c r="BA129" s="752"/>
      <c r="BB129" s="793"/>
      <c r="BC129" s="752"/>
      <c r="BD129" s="793"/>
      <c r="BE129" s="752"/>
      <c r="BF129" s="793"/>
      <c r="BG129" s="752"/>
      <c r="BH129" s="793"/>
      <c r="BI129" s="752"/>
      <c r="BJ129" s="793"/>
      <c r="BK129" s="752"/>
      <c r="BL129" s="793"/>
      <c r="BM129" s="752"/>
      <c r="BN129" s="793"/>
      <c r="BO129" s="752"/>
      <c r="BP129" s="793"/>
      <c r="BQ129" s="752"/>
      <c r="BR129" s="793"/>
      <c r="BS129" s="752"/>
      <c r="BT129" s="793"/>
      <c r="BU129" s="752"/>
      <c r="BV129" s="793"/>
      <c r="BW129" s="752"/>
      <c r="BX129" s="793"/>
      <c r="BY129" s="752"/>
      <c r="BZ129" s="793"/>
      <c r="CA129" s="752"/>
      <c r="CB129" s="793"/>
      <c r="CC129" s="752"/>
      <c r="CD129" s="793"/>
      <c r="CE129" s="752"/>
      <c r="CF129" s="793"/>
      <c r="CG129" s="752"/>
      <c r="CH129" s="793"/>
      <c r="CI129" s="752"/>
      <c r="CJ129" s="793"/>
      <c r="CK129" s="752"/>
      <c r="CL129" s="793"/>
      <c r="CM129" s="752"/>
      <c r="CN129" s="793"/>
      <c r="CO129" s="752"/>
      <c r="CP129" s="793"/>
      <c r="CQ129" s="752"/>
      <c r="CR129" s="793"/>
      <c r="CS129" s="752"/>
      <c r="CT129" s="793"/>
      <c r="CU129" s="752"/>
      <c r="CV129" s="793"/>
      <c r="CW129" s="752"/>
      <c r="CX129" s="793"/>
      <c r="CY129" s="752"/>
      <c r="CZ129" s="793"/>
      <c r="DA129" s="752"/>
      <c r="DB129" s="753"/>
      <c r="DC129" s="793"/>
      <c r="DD129" s="756"/>
      <c r="DE129" s="793"/>
      <c r="DF129" s="756"/>
      <c r="DG129" s="793"/>
      <c r="DH129" s="756"/>
      <c r="DI129" s="793"/>
      <c r="DJ129" s="756"/>
      <c r="DK129" s="793"/>
      <c r="DL129" s="752"/>
      <c r="DM129" s="793"/>
      <c r="DN129" s="752"/>
      <c r="DO129" s="793"/>
      <c r="DP129" s="752"/>
      <c r="DQ129" s="793"/>
      <c r="DR129" s="752"/>
      <c r="DS129" s="793"/>
      <c r="DT129" s="752"/>
      <c r="DU129" s="793"/>
      <c r="DV129" s="752"/>
      <c r="DW129" s="793"/>
      <c r="DX129" s="752"/>
      <c r="DY129" s="793"/>
      <c r="DZ129" s="752"/>
      <c r="EA129" s="793"/>
      <c r="EB129" s="752"/>
      <c r="EC129" s="793"/>
      <c r="ED129" s="752"/>
      <c r="EE129" s="793"/>
      <c r="EF129" s="752"/>
      <c r="EG129" s="793"/>
      <c r="EH129" s="752"/>
      <c r="EI129" s="793"/>
      <c r="EJ129" s="752"/>
      <c r="EK129" s="793"/>
      <c r="EL129" s="752"/>
      <c r="EM129" s="793"/>
      <c r="EN129" s="752"/>
      <c r="EO129" s="793"/>
      <c r="EP129" s="752"/>
      <c r="EQ129" s="793"/>
      <c r="ER129" s="752"/>
      <c r="ES129" s="793"/>
      <c r="ET129" s="752"/>
      <c r="EU129" s="756"/>
      <c r="EV129" s="710"/>
    </row>
    <row r="130" spans="1:152" ht="12.75" hidden="1" customHeight="1" outlineLevel="1" x14ac:dyDescent="0.2">
      <c r="A130" s="754" t="str">
        <f>INPUT!B51</f>
        <v>Benefits/Premiums (%)</v>
      </c>
      <c r="B130" s="793">
        <f>INPUT!AS51</f>
        <v>95.450145208131659</v>
      </c>
      <c r="C130" s="756">
        <f>INPUT!AT51</f>
        <v>0.1635380103168993</v>
      </c>
      <c r="D130" s="793">
        <f>INPUT!AU51</f>
        <v>95.055386097286885</v>
      </c>
      <c r="E130" s="756">
        <f>INPUT!AV51</f>
        <v>1.7161315186561721</v>
      </c>
      <c r="F130" s="793">
        <f>INPUT!AW51</f>
        <v>92.090303719343822</v>
      </c>
      <c r="G130" s="756">
        <f>INPUT!AX51</f>
        <v>-0.38270238757693864</v>
      </c>
      <c r="H130" s="793">
        <f>INPUT!AY51</f>
        <v>94.000959846424564</v>
      </c>
      <c r="I130" s="752">
        <f>INPUT!AZ51</f>
        <v>0.13940858618433083</v>
      </c>
      <c r="J130" s="793">
        <f>INPUT!BA51</f>
        <v>93.390950686324345</v>
      </c>
      <c r="K130" s="752">
        <f>INPUT!BB51</f>
        <v>-2.1573508529685093</v>
      </c>
      <c r="L130" s="793">
        <f>INPUT!BC51</f>
        <v>94.370589200722151</v>
      </c>
      <c r="M130" s="752">
        <f>INPUT!BD51</f>
        <v>-0.72041882599251927</v>
      </c>
      <c r="N130" s="793">
        <f>INPUT!BE51</f>
        <v>92.095061520310125</v>
      </c>
      <c r="O130" s="752">
        <f>INPUT!BF51</f>
        <v>5.1664515960281321E-3</v>
      </c>
      <c r="P130" s="793">
        <f>INPUT!BG51</f>
        <v>91.522256201155287</v>
      </c>
      <c r="Q130" s="752">
        <f>INPUT!BH51</f>
        <v>-2.6368918459118929</v>
      </c>
      <c r="R130" s="793">
        <f>INPUT!BI51</f>
        <v>91.027445460942999</v>
      </c>
      <c r="S130" s="752">
        <f>INPUT!BJ51</f>
        <v>-2.5307647132961963</v>
      </c>
      <c r="T130" s="793">
        <f>INPUT!BK51</f>
        <v>90.498605299860529</v>
      </c>
      <c r="U130" s="752">
        <f>INPUT!BL51</f>
        <v>-4.102956157904325</v>
      </c>
      <c r="V130" s="793">
        <f>INPUT!BM51</f>
        <v>89.349217638691329</v>
      </c>
      <c r="W130" s="752">
        <f>INPUT!BN51</f>
        <v>-2.9815321650154325</v>
      </c>
      <c r="X130" s="793">
        <f>INPUT!BO51</f>
        <v>88.703443429374545</v>
      </c>
      <c r="Y130" s="752">
        <f>INPUT!BP51</f>
        <v>-3.079920544774728</v>
      </c>
      <c r="Z130" s="793">
        <f>INPUT!BQ51</f>
        <v>88.033718160161243</v>
      </c>
      <c r="AA130" s="752">
        <f>INPUT!BR51</f>
        <v>-3.2888183180602049</v>
      </c>
      <c r="AB130" s="793">
        <f>INPUT!BS51</f>
        <v>87.024029574861373</v>
      </c>
      <c r="AC130" s="752">
        <f>INPUT!BT51</f>
        <v>-3.8393693620872971</v>
      </c>
      <c r="AD130" s="793">
        <f>INPUT!BU51</f>
        <v>85.318198734648306</v>
      </c>
      <c r="AE130" s="752">
        <f>INPUT!BV51</f>
        <v>-4.5115324012612863</v>
      </c>
      <c r="AF130" s="793">
        <f>INPUT!BW51</f>
        <v>84.596713965646003</v>
      </c>
      <c r="AG130" s="752">
        <f>INPUT!BX51</f>
        <v>-4.6297294726763472</v>
      </c>
      <c r="AH130" s="793">
        <f>INPUT!BY51</f>
        <v>84.189344576466084</v>
      </c>
      <c r="AI130" s="752">
        <f>INPUT!BZ51</f>
        <v>-4.3669331070409045</v>
      </c>
      <c r="AJ130" s="793">
        <f>INPUT!CA51</f>
        <v>84.616861916650649</v>
      </c>
      <c r="AK130" s="752">
        <f>INPUT!CB51</f>
        <v>-2.7660953761512341</v>
      </c>
      <c r="AL130" s="793">
        <f>INPUT!CC51</f>
        <v>84.637850467289709</v>
      </c>
      <c r="AM130" s="752">
        <f>INPUT!CD51</f>
        <v>-0.79742455589641992</v>
      </c>
      <c r="AN130" s="793">
        <f>INPUT!CE51</f>
        <v>84.247374562427055</v>
      </c>
      <c r="AO130" s="752">
        <f>INPUT!CF51</f>
        <v>-0.41294677634974297</v>
      </c>
      <c r="AP130" s="793">
        <f>INPUT!CG51</f>
        <v>83.917322834645674</v>
      </c>
      <c r="AQ130" s="752">
        <f>INPUT!CH51</f>
        <v>-0.32310709055745068</v>
      </c>
      <c r="AR130" s="793">
        <f>INPUT!CI51</f>
        <v>84.371304690579436</v>
      </c>
      <c r="AS130" s="752">
        <f>INPUT!CJ51</f>
        <v>-0.29019892786037449</v>
      </c>
      <c r="AT130" s="793">
        <f>INPUT!CK51</f>
        <v>85.478483002554526</v>
      </c>
      <c r="AU130" s="752">
        <f>INPUT!CL51</f>
        <v>0.99321111136878582</v>
      </c>
      <c r="AV130" s="793">
        <f>INPUT!CM51</f>
        <v>84.660536098610834</v>
      </c>
      <c r="AW130" s="752">
        <f>INPUT!CN51</f>
        <v>0.49041473200761576</v>
      </c>
      <c r="AX130" s="793">
        <f>INPUT!CO51</f>
        <v>84.898674980514414</v>
      </c>
      <c r="AY130" s="752">
        <f>INPUT!CP51</f>
        <v>1.1694273753256379</v>
      </c>
      <c r="AZ130" s="793">
        <f>INPUT!CQ51</f>
        <v>84.651162790697683</v>
      </c>
      <c r="BA130" s="752">
        <f>INPUT!CR51</f>
        <v>0.33169820135481309</v>
      </c>
      <c r="BB130" s="793">
        <f>INPUT!CS51</f>
        <v>84.897560975609764</v>
      </c>
      <c r="BC130" s="752">
        <f>INPUT!CT51</f>
        <v>-0.67961199887859314</v>
      </c>
      <c r="BD130" s="793">
        <f>INPUT!CU51</f>
        <v>84.46866485013625</v>
      </c>
      <c r="BE130" s="752">
        <f>INPUT!CV51</f>
        <v>-0.22663599513602639</v>
      </c>
      <c r="BF130" s="793">
        <f>INPUT!CW51</f>
        <v>84.284895932785929</v>
      </c>
      <c r="BG130" s="752">
        <f>INPUT!CX51</f>
        <v>-0.7229548021442711</v>
      </c>
      <c r="BH130" s="793">
        <f>INPUT!CY51</f>
        <v>83.90914296621493</v>
      </c>
      <c r="BI130" s="752">
        <f>INPUT!CZ51</f>
        <v>-0.87656188057028128</v>
      </c>
      <c r="BJ130" s="793">
        <f>INPUT!DA51</f>
        <v>82.857142857142861</v>
      </c>
      <c r="BK130" s="752">
        <f>INPUT!DB51</f>
        <v>-2.4033883836228176</v>
      </c>
      <c r="BL130" s="793">
        <f>INPUT!DC51</f>
        <v>83.22252639812281</v>
      </c>
      <c r="BM130" s="752">
        <f>INPUT!DD51</f>
        <v>-1.4752671351255908</v>
      </c>
      <c r="BN130" s="793">
        <f>INPUT!DE51</f>
        <v>83.045314900153627</v>
      </c>
      <c r="BO130" s="752">
        <f>INPUT!DF51</f>
        <v>-1.4707036402119122</v>
      </c>
      <c r="BP130" s="793">
        <f>INPUT!DG51</f>
        <v>81.889312977099237</v>
      </c>
      <c r="BQ130" s="752">
        <f>INPUT!DH51</f>
        <v>-2.4071631740166355</v>
      </c>
      <c r="BR130" s="793">
        <f>INPUT!DI51</f>
        <v>82.110266159695811</v>
      </c>
      <c r="BS130" s="752">
        <f>INPUT!DJ51</f>
        <v>-0.901402910711957</v>
      </c>
      <c r="BT130" s="793">
        <f>INPUT!DK51</f>
        <v>83.746301775147941</v>
      </c>
      <c r="BU130" s="752">
        <f>INPUT!DL51</f>
        <v>0.62936731158518278</v>
      </c>
      <c r="BV130" s="793">
        <f>INPUT!DM51</f>
        <v>80.10849909584087</v>
      </c>
      <c r="BW130" s="752">
        <f>INPUT!DN51</f>
        <v>-3.5364015511817004</v>
      </c>
      <c r="BX130" s="793">
        <f>INPUT!DO51</f>
        <v>83.386809269162214</v>
      </c>
      <c r="BY130" s="752">
        <f>INPUT!DP51</f>
        <v>1.8286834235399674</v>
      </c>
      <c r="BZ130" s="793">
        <f>INPUT!DQ51</f>
        <v>80.546255506607935</v>
      </c>
      <c r="CA130" s="752">
        <f>INPUT!DR51</f>
        <v>-1.9047687046173212</v>
      </c>
      <c r="CB130" s="793">
        <f>INPUT!DS51</f>
        <v>81.68594461969856</v>
      </c>
      <c r="CC130" s="752">
        <f>INPUT!DT51</f>
        <v>-2.4602365857077202</v>
      </c>
      <c r="CD130" s="793">
        <f>INPUT!DU51</f>
        <v>80.649549396361166</v>
      </c>
      <c r="CE130" s="752">
        <f>INPUT!DV51</f>
        <v>0.67539687627025113</v>
      </c>
      <c r="CF130" s="793">
        <f>INPUT!DW51</f>
        <v>79.986419962654892</v>
      </c>
      <c r="CG130" s="752">
        <f>INPUT!DX51</f>
        <v>-4.0778503654352427</v>
      </c>
      <c r="CH130" s="793">
        <f>INPUT!DY51</f>
        <v>78.564084989718992</v>
      </c>
      <c r="CI130" s="752">
        <f>INPUT!DZ51</f>
        <v>-2.4609095785046442</v>
      </c>
      <c r="CJ130" s="793">
        <f>INPUT!EA51</f>
        <v>77.682040885284692</v>
      </c>
      <c r="CK130" s="752">
        <f>INPUT!EB51</f>
        <v>-4.9015822159548472</v>
      </c>
      <c r="CL130" s="793">
        <f>INPUT!EC51</f>
        <v>76.616579436096572</v>
      </c>
      <c r="CM130" s="752">
        <f>INPUT!ED51</f>
        <v>-5.0006106549264295</v>
      </c>
      <c r="CN130" s="793">
        <f>INPUT!EE51</f>
        <v>76.493288590604024</v>
      </c>
      <c r="CO130" s="752">
        <f>INPUT!EF51</f>
        <v>-4.3671555417554515</v>
      </c>
      <c r="CP130" s="793">
        <f>INPUT!EG51</f>
        <v>76.656045614623523</v>
      </c>
      <c r="CQ130" s="752">
        <f>INPUT!EH51</f>
        <v>-2.4286407400342824</v>
      </c>
      <c r="CR130" s="793">
        <f>INPUT!EI51</f>
        <v>76.339285714285722</v>
      </c>
      <c r="CS130" s="752">
        <f>INPUT!EJ51</f>
        <v>-1.7285271546635284</v>
      </c>
      <c r="CT130" s="793">
        <f>INPUT!EK51</f>
        <v>76.339285714285722</v>
      </c>
      <c r="CU130" s="752">
        <f>INPUT!EL51</f>
        <v>-0.36192391235911892</v>
      </c>
      <c r="CV130" s="793">
        <f>INPUT!EM51</f>
        <v>76.339285714285722</v>
      </c>
      <c r="CW130" s="752">
        <f>INPUT!EN51</f>
        <v>-0.20132861216430875</v>
      </c>
      <c r="CX130" s="793">
        <f>INPUT!EO51</f>
        <v>76.339285714285722</v>
      </c>
      <c r="CY130" s="752">
        <f>INPUT!EP51</f>
        <v>-0.41322233334375458</v>
      </c>
      <c r="CZ130" s="793">
        <f>INPUT!EQ51</f>
        <v>76.13928571428572</v>
      </c>
      <c r="DA130" s="752">
        <f>INPUT!ER51</f>
        <v>-0.26198830409357443</v>
      </c>
      <c r="DB130" s="753"/>
      <c r="DC130" s="793">
        <f>INPUT!FB51</f>
        <v>0</v>
      </c>
      <c r="DD130" s="756">
        <f>INPUT!FC51</f>
        <v>0</v>
      </c>
      <c r="DE130" s="793">
        <f>INPUT!FD51</f>
        <v>84.327655231964826</v>
      </c>
      <c r="DF130" s="756" t="str">
        <f>INPUT!FE51</f>
        <v>NA</v>
      </c>
      <c r="DG130" s="793">
        <f>INPUT!FF51</f>
        <v>128.1491774956809</v>
      </c>
      <c r="DH130" s="756">
        <f>INPUT!FG51</f>
        <v>51.965778181752768</v>
      </c>
      <c r="DI130" s="793">
        <f>INPUT!FH51</f>
        <v>95.780239724732482</v>
      </c>
      <c r="DJ130" s="756">
        <f>INPUT!FI51</f>
        <v>-25.25879479174915</v>
      </c>
      <c r="DK130" s="793">
        <f>INPUT!FJ51</f>
        <v>93.769532022627473</v>
      </c>
      <c r="DL130" s="752">
        <f>INPUT!FK51</f>
        <v>-2.0992928268750211</v>
      </c>
      <c r="DM130" s="793">
        <f>INPUT!FL51</f>
        <v>94.153412522649489</v>
      </c>
      <c r="DN130" s="752">
        <f>INPUT!FM51</f>
        <v>0.40938724097436818</v>
      </c>
      <c r="DO130" s="793">
        <f>INPUT!FN51</f>
        <v>92.856842900936456</v>
      </c>
      <c r="DP130" s="752">
        <f>INPUT!FO51</f>
        <v>-1.3770819208503204</v>
      </c>
      <c r="DQ130" s="793">
        <f>INPUT!FP51</f>
        <v>89.897079521463752</v>
      </c>
      <c r="DR130" s="752">
        <f>INPUT!FQ51</f>
        <v>-3.1874477819909375</v>
      </c>
      <c r="DS130" s="793">
        <f>INPUT!FR51</f>
        <v>86.252720285224811</v>
      </c>
      <c r="DT130" s="752">
        <f>INPUT!FS51</f>
        <v>-4.0539239490742451</v>
      </c>
      <c r="DU130" s="793">
        <f>INPUT!FT51</f>
        <v>84.4225474568903</v>
      </c>
      <c r="DV130" s="752">
        <f>INPUT!FU51</f>
        <v>-2.1218725882295675</v>
      </c>
      <c r="DW130" s="793">
        <f>INPUT!FV51</f>
        <v>84.607448167436388</v>
      </c>
      <c r="DX130" s="752">
        <f>INPUT!FW51</f>
        <v>0.21901816056961732</v>
      </c>
      <c r="DY130" s="793">
        <f>INPUT!FX51</f>
        <v>84.728776453417652</v>
      </c>
      <c r="DZ130" s="752">
        <f>INPUT!FY51</f>
        <v>0.14340142458990623</v>
      </c>
      <c r="EA130" s="793">
        <f>INPUT!FZ51</f>
        <v>83.573667711598759</v>
      </c>
      <c r="EB130" s="752">
        <f>INPUT!GA51</f>
        <v>-1.3633015725819542</v>
      </c>
      <c r="EC130" s="793">
        <f>INPUT!GB51</f>
        <v>82.705057776093966</v>
      </c>
      <c r="ED130" s="752">
        <f>INPUT!GC51</f>
        <v>-1.0393344689648476</v>
      </c>
      <c r="EE130" s="793">
        <f>INPUT!GD51</f>
        <v>81.435105013098891</v>
      </c>
      <c r="EF130" s="752">
        <f>INPUT!GE51</f>
        <v>-1.5355200723433327</v>
      </c>
      <c r="EG130" s="793">
        <f>INPUT!GF51</f>
        <v>79.21962001105112</v>
      </c>
      <c r="EH130" s="752">
        <f>INPUT!GG51</f>
        <v>-2.7205527661460116</v>
      </c>
      <c r="EI130" s="793">
        <f>INPUT!GH51</f>
        <v>76.525487570101305</v>
      </c>
      <c r="EJ130" s="752">
        <f>INPUT!GI51</f>
        <v>-3.40083989367026</v>
      </c>
      <c r="EK130" s="793">
        <f>INPUT!GJ51</f>
        <v>76.289370329337501</v>
      </c>
      <c r="EL130" s="752">
        <f>INPUT!GK51</f>
        <v>-0.30854718899701039</v>
      </c>
      <c r="EM130" s="793">
        <f>INPUT!GL51</f>
        <v>76.289370329337501</v>
      </c>
      <c r="EN130" s="752">
        <f>INPUT!GM51</f>
        <v>0</v>
      </c>
      <c r="EO130" s="793">
        <f>INPUT!GN51</f>
        <v>76.289370329337501</v>
      </c>
      <c r="EP130" s="752">
        <f>INPUT!GO51</f>
        <v>0</v>
      </c>
      <c r="EQ130" s="793">
        <f>INPUT!GP51</f>
        <v>76.289370329337501</v>
      </c>
      <c r="ER130" s="752">
        <f>INPUT!GQ51</f>
        <v>0</v>
      </c>
      <c r="ES130" s="793">
        <f>INPUT!GR51</f>
        <v>76.289370329337501</v>
      </c>
      <c r="ET130" s="752">
        <f>INPUT!GS51</f>
        <v>0</v>
      </c>
      <c r="EU130" s="756">
        <f>INPUT!GT51</f>
        <v>-6.1785740194664207E-2</v>
      </c>
      <c r="EV130" s="710"/>
    </row>
    <row r="131" spans="1:152" ht="12.75" hidden="1" customHeight="1" outlineLevel="1" x14ac:dyDescent="0.2">
      <c r="A131" s="754" t="str">
        <f>INPUT!B53</f>
        <v>Other Expenses/Revenues (%)</v>
      </c>
      <c r="B131" s="793">
        <f>INPUT!AS53</f>
        <v>18.798889730002525</v>
      </c>
      <c r="C131" s="756">
        <f>INPUT!AT53</f>
        <v>4.952857652928766</v>
      </c>
      <c r="D131" s="793">
        <f>INPUT!AU53</f>
        <v>17.836477987421382</v>
      </c>
      <c r="E131" s="756">
        <f>INPUT!AV53</f>
        <v>2.3570611778158668</v>
      </c>
      <c r="F131" s="793">
        <f>INPUT!AW53</f>
        <v>19.605597964376585</v>
      </c>
      <c r="G131" s="756">
        <f>INPUT!AX53</f>
        <v>12.005925092118485</v>
      </c>
      <c r="H131" s="793">
        <f>INPUT!AY53</f>
        <v>17.651394177619455</v>
      </c>
      <c r="I131" s="752">
        <f>INPUT!AZ53</f>
        <v>-4.0638366516799307</v>
      </c>
      <c r="J131" s="793">
        <f>INPUT!BA53</f>
        <v>18.880124143282035</v>
      </c>
      <c r="K131" s="752">
        <f>INPUT!BB53</f>
        <v>0.43212346285463887</v>
      </c>
      <c r="L131" s="793">
        <f>INPUT!BC53</f>
        <v>16.479680877586638</v>
      </c>
      <c r="M131" s="752">
        <f>INPUT!BD53</f>
        <v>-7.606866730032591</v>
      </c>
      <c r="N131" s="793">
        <f>INPUT!BE53</f>
        <v>18.040973111395651</v>
      </c>
      <c r="O131" s="752">
        <f>INPUT!BF53</f>
        <v>-7.9805005479754332</v>
      </c>
      <c r="P131" s="793">
        <f>INPUT!BG53</f>
        <v>19.389865563598761</v>
      </c>
      <c r="Q131" s="752">
        <f>INPUT!BH53</f>
        <v>9.8489182694902802</v>
      </c>
      <c r="R131" s="793">
        <f>INPUT!BI53</f>
        <v>19.250266808964785</v>
      </c>
      <c r="S131" s="752">
        <f>INPUT!BJ53</f>
        <v>1.960488516249792</v>
      </c>
      <c r="T131" s="793">
        <f>INPUT!BK53</f>
        <v>19.457609268035807</v>
      </c>
      <c r="U131" s="752">
        <f>INPUT!BL53</f>
        <v>18.070303742952511</v>
      </c>
      <c r="V131" s="793">
        <f>INPUT!BM53</f>
        <v>19.055287171229203</v>
      </c>
      <c r="W131" s="752">
        <f>INPUT!BN53</f>
        <v>5.6222802039034958</v>
      </c>
      <c r="X131" s="793">
        <f>INPUT!BO53</f>
        <v>18.982283202344476</v>
      </c>
      <c r="Y131" s="752">
        <f>INPUT!BP53</f>
        <v>-2.1020380977754272</v>
      </c>
      <c r="Z131" s="793">
        <f>INPUT!BQ53</f>
        <v>19.886990077177511</v>
      </c>
      <c r="AA131" s="752">
        <f>INPUT!BR53</f>
        <v>3.3076074972436587</v>
      </c>
      <c r="AB131" s="793">
        <f>INPUT!BS53</f>
        <v>19.671452236333518</v>
      </c>
      <c r="AC131" s="752">
        <f>INPUT!BT53</f>
        <v>1.0990197477600994</v>
      </c>
      <c r="AD131" s="793">
        <f>INPUT!BU53</f>
        <v>19.801842031816914</v>
      </c>
      <c r="AE131" s="752">
        <f>INPUT!BV53</f>
        <v>3.9178357895067739</v>
      </c>
      <c r="AF131" s="793">
        <f>INPUT!BW53</f>
        <v>20.508855777340457</v>
      </c>
      <c r="AG131" s="752">
        <f>INPUT!BX53</f>
        <v>8.042091452978827</v>
      </c>
      <c r="AH131" s="793">
        <f>INPUT!BY53</f>
        <v>19.890616004605647</v>
      </c>
      <c r="AI131" s="752">
        <f>INPUT!BZ53</f>
        <v>1.8232660719719185E-2</v>
      </c>
      <c r="AJ131" s="793">
        <f>INPUT!CA53</f>
        <v>18.991692924663422</v>
      </c>
      <c r="AK131" s="752">
        <f>INPUT!CB53</f>
        <v>-3.4555624236759175</v>
      </c>
      <c r="AL131" s="793">
        <f>INPUT!CC53</f>
        <v>19.40755873340143</v>
      </c>
      <c r="AM131" s="752">
        <f>INPUT!CD53</f>
        <v>-1.9911445499967262</v>
      </c>
      <c r="AN131" s="793">
        <f>INPUT!CE53</f>
        <v>20.308668685994519</v>
      </c>
      <c r="AO131" s="752">
        <f>INPUT!CF53</f>
        <v>-0.97610073189513535</v>
      </c>
      <c r="AP131" s="793">
        <f>INPUT!CG53</f>
        <v>20.2684761764272</v>
      </c>
      <c r="AQ131" s="752">
        <f>INPUT!CH53</f>
        <v>1.8996906467555252</v>
      </c>
      <c r="AR131" s="793">
        <f>INPUT!CI53</f>
        <v>20.038084077925884</v>
      </c>
      <c r="AS131" s="752">
        <f>INPUT!CJ53</f>
        <v>5.509730793422718</v>
      </c>
      <c r="AT131" s="793">
        <f>INPUT!CK53</f>
        <v>20.102189781021902</v>
      </c>
      <c r="AU131" s="752">
        <f>INPUT!CL53</f>
        <v>3.5791778716865341</v>
      </c>
      <c r="AV131" s="793">
        <f>INPUT!CM53</f>
        <v>19.891844489915229</v>
      </c>
      <c r="AW131" s="752">
        <f>INPUT!CN53</f>
        <v>-2.0524447098137166</v>
      </c>
      <c r="AX131" s="793">
        <f>INPUT!CO53</f>
        <v>19.763192515714078</v>
      </c>
      <c r="AY131" s="752">
        <f>INPUT!CP53</f>
        <v>-2.4929533740715049</v>
      </c>
      <c r="AZ131" s="793">
        <f>INPUT!CQ53</f>
        <v>19.806195859638819</v>
      </c>
      <c r="BA131" s="752">
        <f>INPUT!CR53</f>
        <v>-1.1572374753258674</v>
      </c>
      <c r="BB131" s="793">
        <f>INPUT!CS53</f>
        <v>19.269298762522098</v>
      </c>
      <c r="BC131" s="752">
        <f>INPUT!CT53</f>
        <v>-4.1432850230382456</v>
      </c>
      <c r="BD131" s="793">
        <f>INPUT!CU53</f>
        <v>20.407564873185752</v>
      </c>
      <c r="BE131" s="752">
        <f>INPUT!CV53</f>
        <v>2.59262223536878</v>
      </c>
      <c r="BF131" s="793">
        <f>INPUT!CW53</f>
        <v>19.009100101112235</v>
      </c>
      <c r="BG131" s="752">
        <f>INPUT!CX53</f>
        <v>-3.8156406866059256</v>
      </c>
      <c r="BH131" s="793">
        <f>INPUT!CY53</f>
        <v>19.420459534611446</v>
      </c>
      <c r="BI131" s="752">
        <f>INPUT!CZ53</f>
        <v>-1.9475538248787561</v>
      </c>
      <c r="BJ131" s="793">
        <f>INPUT!DA53</f>
        <v>19.676509867932928</v>
      </c>
      <c r="BK131" s="752">
        <f>INPUT!DB53</f>
        <v>2.1132637488751715</v>
      </c>
      <c r="BL131" s="793">
        <f>INPUT!DC53</f>
        <v>20.314842578710646</v>
      </c>
      <c r="BM131" s="752">
        <f>INPUT!DD53</f>
        <v>-0.45435256509676059</v>
      </c>
      <c r="BN131" s="793">
        <f>INPUT!DE53</f>
        <v>20.175048212431392</v>
      </c>
      <c r="BO131" s="752">
        <f>INPUT!DF53</f>
        <v>6.1336312877374732</v>
      </c>
      <c r="BP131" s="793">
        <f>INPUT!DG53</f>
        <v>20.077105575326218</v>
      </c>
      <c r="BQ131" s="752">
        <f>INPUT!DH53</f>
        <v>3.3812075329344715</v>
      </c>
      <c r="BR131" s="793">
        <f>INPUT!DI53</f>
        <v>20.231557072881106</v>
      </c>
      <c r="BS131" s="752">
        <f>INPUT!DJ53</f>
        <v>2.820862077033004</v>
      </c>
      <c r="BT131" s="793">
        <f>INPUT!DK53</f>
        <v>20.436593422375417</v>
      </c>
      <c r="BU131" s="752">
        <f>INPUT!DL53</f>
        <v>0.59931965110260332</v>
      </c>
      <c r="BV131" s="793">
        <f>INPUT!DM53</f>
        <v>20.210946408209807</v>
      </c>
      <c r="BW131" s="752">
        <f>INPUT!DN53</f>
        <v>0.17793363069287249</v>
      </c>
      <c r="BX131" s="793">
        <f>INPUT!DO53</f>
        <v>20.070323488045005</v>
      </c>
      <c r="BY131" s="752">
        <f>INPUT!DP53</f>
        <v>-3.3780204301703254E-2</v>
      </c>
      <c r="BZ131" s="793">
        <f>INPUT!DQ53</f>
        <v>20.033764772087785</v>
      </c>
      <c r="CA131" s="752">
        <f>INPUT!DR53</f>
        <v>-0.97764250216038073</v>
      </c>
      <c r="CB131" s="793">
        <f>INPUT!DS53</f>
        <v>20.261801977440467</v>
      </c>
      <c r="CC131" s="752">
        <f>INPUT!DT53</f>
        <v>-0.85528659949547503</v>
      </c>
      <c r="CD131" s="793">
        <f>INPUT!DU53</f>
        <v>19.8414867450123</v>
      </c>
      <c r="CE131" s="752">
        <f>INPUT!DV53</f>
        <v>-1.8280176283453464</v>
      </c>
      <c r="CF131" s="793">
        <f>INPUT!DW53</f>
        <v>19.59256220946131</v>
      </c>
      <c r="CG131" s="752">
        <f>INPUT!DX53</f>
        <v>-2.3804363635109183</v>
      </c>
      <c r="CH131" s="793">
        <f>INPUT!DY53</f>
        <v>19.408121128699243</v>
      </c>
      <c r="CI131" s="752">
        <f>INPUT!DZ53</f>
        <v>-3.1229459390489933</v>
      </c>
      <c r="CJ131" s="793">
        <f>INPUT!EA53</f>
        <v>19.438386041439479</v>
      </c>
      <c r="CK131" s="752">
        <f>INPUT!EB53</f>
        <v>-4.0638830490880355</v>
      </c>
      <c r="CL131" s="793">
        <f>INPUT!EC53</f>
        <v>19.800491937687895</v>
      </c>
      <c r="CM131" s="752">
        <f>INPUT!ED53</f>
        <v>-0.20661157024793875</v>
      </c>
      <c r="CN131" s="793">
        <f>INPUT!EE53</f>
        <v>20.008111396512099</v>
      </c>
      <c r="CO131" s="752">
        <f>INPUT!EF53</f>
        <v>2.1209537711720072</v>
      </c>
      <c r="CP131" s="793">
        <f>INPUT!EG53</f>
        <v>19.528481875170346</v>
      </c>
      <c r="CQ131" s="752">
        <f>INPUT!EH53</f>
        <v>0.6201566121365687</v>
      </c>
      <c r="CR131" s="793">
        <f>INPUT!EI53</f>
        <v>20.29882891371652</v>
      </c>
      <c r="CS131" s="752">
        <f>INPUT!EJ53</f>
        <v>4.4265139628501871</v>
      </c>
      <c r="CT131" s="793">
        <f>INPUT!EK53</f>
        <v>20.09882891371652</v>
      </c>
      <c r="CU131" s="752">
        <f>INPUT!EL53</f>
        <v>1.5067149693426485</v>
      </c>
      <c r="CV131" s="793">
        <f>INPUT!EM53</f>
        <v>20.09882891371652</v>
      </c>
      <c r="CW131" s="752">
        <f>INPUT!EN53</f>
        <v>0.45340369916291312</v>
      </c>
      <c r="CX131" s="793">
        <f>INPUT!EO53</f>
        <v>20.09882891371652</v>
      </c>
      <c r="CY131" s="752">
        <f>INPUT!EP53</f>
        <v>2.9205907668191422</v>
      </c>
      <c r="CZ131" s="793">
        <f>INPUT!EQ53</f>
        <v>20.09882891371652</v>
      </c>
      <c r="DA131" s="752">
        <f>INPUT!ER53</f>
        <v>-0.98527851458886095</v>
      </c>
      <c r="DB131" s="753"/>
      <c r="DC131" s="793">
        <f>INPUT!FB53</f>
        <v>0</v>
      </c>
      <c r="DD131" s="756">
        <f>INPUT!FC53</f>
        <v>0</v>
      </c>
      <c r="DE131" s="793">
        <f>INPUT!FD53</f>
        <v>17.390476190476186</v>
      </c>
      <c r="DF131" s="756" t="str">
        <f>INPUT!FE53</f>
        <v>NA</v>
      </c>
      <c r="DG131" s="793">
        <f>INPUT!FF53</f>
        <v>18.49070207588548</v>
      </c>
      <c r="DH131" s="756">
        <f>INPUT!FG53</f>
        <v>6.3266001077752376</v>
      </c>
      <c r="DI131" s="793">
        <f>INPUT!FH53</f>
        <v>18.718467720008462</v>
      </c>
      <c r="DJ131" s="756">
        <f>INPUT!FI53</f>
        <v>1.2317847272009352</v>
      </c>
      <c r="DK131" s="793">
        <f>INPUT!FJ53</f>
        <v>17.810137216465971</v>
      </c>
      <c r="DL131" s="752">
        <f>INPUT!FK53</f>
        <v>-4.8525900577404695</v>
      </c>
      <c r="DM131" s="793">
        <f>INPUT!FL53</f>
        <v>18.464723782037201</v>
      </c>
      <c r="DN131" s="752">
        <f>INPUT!FM53</f>
        <v>3.6753594743000884</v>
      </c>
      <c r="DO131" s="793">
        <f>INPUT!FN53</f>
        <v>18.181527746717357</v>
      </c>
      <c r="DP131" s="752">
        <f>INPUT!FO53</f>
        <v>-1.5337139004231504</v>
      </c>
      <c r="DQ131" s="793">
        <f>INPUT!FP53</f>
        <v>19.187381451532392</v>
      </c>
      <c r="DR131" s="752">
        <f>INPUT!FQ53</f>
        <v>5.5322837487990606</v>
      </c>
      <c r="DS131" s="793">
        <f>INPUT!FR53</f>
        <v>19.965253648366925</v>
      </c>
      <c r="DT131" s="752">
        <f>INPUT!FS53</f>
        <v>4.0540820997354343</v>
      </c>
      <c r="DU131" s="793">
        <f>INPUT!FT53</f>
        <v>19.649300043296297</v>
      </c>
      <c r="DV131" s="752">
        <f>INPUT!FU53</f>
        <v>-1.5825173605869658</v>
      </c>
      <c r="DW131" s="793">
        <f>INPUT!FV53</f>
        <v>20.074730749505456</v>
      </c>
      <c r="DX131" s="752">
        <f>INPUT!FW53</f>
        <v>2.1651188860251747</v>
      </c>
      <c r="DY131" s="793">
        <f>INPUT!FX53</f>
        <v>19.821638285378747</v>
      </c>
      <c r="DZ131" s="752">
        <f>INPUT!FY53</f>
        <v>-1.2607514754983451</v>
      </c>
      <c r="EA131" s="793">
        <f>INPUT!FZ53</f>
        <v>19.598748389471744</v>
      </c>
      <c r="EB131" s="752">
        <f>INPUT!GA53</f>
        <v>-1.1244776677789337</v>
      </c>
      <c r="EC131" s="793">
        <f>INPUT!GB53</f>
        <v>20.231745447857275</v>
      </c>
      <c r="ED131" s="752">
        <f>INPUT!GC53</f>
        <v>3.2297830749517198</v>
      </c>
      <c r="EE131" s="793">
        <f>INPUT!GD53</f>
        <v>20.144289987682562</v>
      </c>
      <c r="EF131" s="752">
        <f>INPUT!GE53</f>
        <v>-0.43226848815446361</v>
      </c>
      <c r="EG131" s="793">
        <f>INPUT!GF53</f>
        <v>19.5703485786611</v>
      </c>
      <c r="EH131" s="752">
        <f>INPUT!GG53</f>
        <v>-2.8491518409058059</v>
      </c>
      <c r="EI131" s="793">
        <f>INPUT!GH53</f>
        <v>19.910453836239061</v>
      </c>
      <c r="EJ131" s="752">
        <f>INPUT!GI53</f>
        <v>1.7378599885992774</v>
      </c>
      <c r="EK131" s="793">
        <f>INPUT!GJ53</f>
        <v>20.098828913716517</v>
      </c>
      <c r="EL131" s="752">
        <f>INPUT!GK53</f>
        <v>0.94611141979392688</v>
      </c>
      <c r="EM131" s="793">
        <f>INPUT!GL53</f>
        <v>20.098828913716517</v>
      </c>
      <c r="EN131" s="752">
        <f>INPUT!GM53</f>
        <v>0</v>
      </c>
      <c r="EO131" s="793">
        <f>INPUT!GN53</f>
        <v>20.098828913716517</v>
      </c>
      <c r="EP131" s="752">
        <f>INPUT!GO53</f>
        <v>0</v>
      </c>
      <c r="EQ131" s="793">
        <f>INPUT!GP53</f>
        <v>20.098828913716517</v>
      </c>
      <c r="ER131" s="752">
        <f>INPUT!GQ53</f>
        <v>0</v>
      </c>
      <c r="ES131" s="793">
        <f>INPUT!GR53</f>
        <v>20.098828913716517</v>
      </c>
      <c r="ET131" s="752">
        <f>INPUT!GS53</f>
        <v>0</v>
      </c>
      <c r="EU131" s="756">
        <f>INPUT!GT53</f>
        <v>0.18851022084449554</v>
      </c>
      <c r="EV131" s="710"/>
    </row>
    <row r="132" spans="1:152" ht="12.75" hidden="1" customHeight="1" outlineLevel="1" x14ac:dyDescent="0.2">
      <c r="A132" s="754"/>
      <c r="B132" s="793"/>
      <c r="C132" s="756"/>
      <c r="D132" s="793"/>
      <c r="E132" s="756"/>
      <c r="F132" s="793"/>
      <c r="G132" s="756"/>
      <c r="H132" s="793"/>
      <c r="I132" s="752"/>
      <c r="J132" s="793"/>
      <c r="K132" s="752"/>
      <c r="L132" s="793"/>
      <c r="M132" s="752"/>
      <c r="N132" s="793"/>
      <c r="O132" s="752"/>
      <c r="P132" s="793"/>
      <c r="Q132" s="752"/>
      <c r="R132" s="793"/>
      <c r="S132" s="752"/>
      <c r="T132" s="793"/>
      <c r="U132" s="752"/>
      <c r="V132" s="793"/>
      <c r="W132" s="752"/>
      <c r="X132" s="793"/>
      <c r="Y132" s="752"/>
      <c r="Z132" s="793"/>
      <c r="AA132" s="752"/>
      <c r="AB132" s="793"/>
      <c r="AC132" s="752"/>
      <c r="AD132" s="793"/>
      <c r="AE132" s="752"/>
      <c r="AF132" s="793"/>
      <c r="AG132" s="752"/>
      <c r="AH132" s="793"/>
      <c r="AI132" s="752"/>
      <c r="AJ132" s="793"/>
      <c r="AK132" s="752"/>
      <c r="AL132" s="793"/>
      <c r="AM132" s="752"/>
      <c r="AN132" s="793"/>
      <c r="AO132" s="752"/>
      <c r="AP132" s="793"/>
      <c r="AQ132" s="752"/>
      <c r="AR132" s="793"/>
      <c r="AS132" s="752"/>
      <c r="AT132" s="793"/>
      <c r="AU132" s="752"/>
      <c r="AV132" s="793"/>
      <c r="AW132" s="752"/>
      <c r="AX132" s="793"/>
      <c r="AY132" s="752"/>
      <c r="AZ132" s="793"/>
      <c r="BA132" s="752"/>
      <c r="BB132" s="793"/>
      <c r="BC132" s="752"/>
      <c r="BD132" s="793"/>
      <c r="BE132" s="752"/>
      <c r="BF132" s="793"/>
      <c r="BG132" s="752"/>
      <c r="BH132" s="793"/>
      <c r="BI132" s="752"/>
      <c r="BJ132" s="793"/>
      <c r="BK132" s="752"/>
      <c r="BL132" s="793"/>
      <c r="BM132" s="752"/>
      <c r="BN132" s="793"/>
      <c r="BO132" s="752"/>
      <c r="BP132" s="793"/>
      <c r="BQ132" s="752"/>
      <c r="BR132" s="793"/>
      <c r="BS132" s="752"/>
      <c r="BT132" s="793"/>
      <c r="BU132" s="752"/>
      <c r="BV132" s="793"/>
      <c r="BW132" s="752"/>
      <c r="BX132" s="793"/>
      <c r="BY132" s="752"/>
      <c r="BZ132" s="793"/>
      <c r="CA132" s="752"/>
      <c r="CB132" s="793"/>
      <c r="CC132" s="752"/>
      <c r="CD132" s="793"/>
      <c r="CE132" s="752"/>
      <c r="CF132" s="793"/>
      <c r="CG132" s="752"/>
      <c r="CH132" s="793"/>
      <c r="CI132" s="752"/>
      <c r="CJ132" s="793"/>
      <c r="CK132" s="752"/>
      <c r="CL132" s="793"/>
      <c r="CM132" s="752"/>
      <c r="CN132" s="793"/>
      <c r="CO132" s="752"/>
      <c r="CP132" s="793"/>
      <c r="CQ132" s="752"/>
      <c r="CR132" s="793"/>
      <c r="CS132" s="752"/>
      <c r="CT132" s="793"/>
      <c r="CU132" s="752"/>
      <c r="CV132" s="793"/>
      <c r="CW132" s="752"/>
      <c r="CX132" s="793"/>
      <c r="CY132" s="752"/>
      <c r="CZ132" s="793"/>
      <c r="DA132" s="752"/>
      <c r="DB132" s="753"/>
      <c r="DC132" s="793"/>
      <c r="DD132" s="756"/>
      <c r="DE132" s="793"/>
      <c r="DF132" s="756"/>
      <c r="DG132" s="793"/>
      <c r="DH132" s="756"/>
      <c r="DI132" s="793"/>
      <c r="DJ132" s="756"/>
      <c r="DK132" s="793"/>
      <c r="DL132" s="752"/>
      <c r="DM132" s="793"/>
      <c r="DN132" s="752"/>
      <c r="DO132" s="793"/>
      <c r="DP132" s="752"/>
      <c r="DQ132" s="793"/>
      <c r="DR132" s="752"/>
      <c r="DS132" s="793"/>
      <c r="DT132" s="752"/>
      <c r="DU132" s="793"/>
      <c r="DV132" s="752"/>
      <c r="DW132" s="793"/>
      <c r="DX132" s="752"/>
      <c r="DY132" s="793"/>
      <c r="DZ132" s="752"/>
      <c r="EA132" s="793"/>
      <c r="EB132" s="752"/>
      <c r="EC132" s="793"/>
      <c r="ED132" s="752"/>
      <c r="EE132" s="793"/>
      <c r="EF132" s="752"/>
      <c r="EG132" s="793"/>
      <c r="EH132" s="752"/>
      <c r="EI132" s="793"/>
      <c r="EJ132" s="752"/>
      <c r="EK132" s="793"/>
      <c r="EL132" s="752"/>
      <c r="EM132" s="793"/>
      <c r="EN132" s="752"/>
      <c r="EO132" s="793"/>
      <c r="EP132" s="752"/>
      <c r="EQ132" s="793"/>
      <c r="ER132" s="752"/>
      <c r="ES132" s="793"/>
      <c r="ET132" s="752"/>
      <c r="EU132" s="756"/>
      <c r="EV132" s="710"/>
    </row>
    <row r="133" spans="1:152" ht="12.75" hidden="1" customHeight="1" outlineLevel="1" x14ac:dyDescent="0.2">
      <c r="A133" s="749" t="str">
        <f>INPUT!B61</f>
        <v>Sales Data</v>
      </c>
      <c r="B133" s="793"/>
      <c r="C133" s="756"/>
      <c r="D133" s="793"/>
      <c r="E133" s="756"/>
      <c r="F133" s="793"/>
      <c r="G133" s="756"/>
      <c r="H133" s="793"/>
      <c r="I133" s="752"/>
      <c r="J133" s="793"/>
      <c r="K133" s="752"/>
      <c r="L133" s="793"/>
      <c r="M133" s="752"/>
      <c r="N133" s="793"/>
      <c r="O133" s="752"/>
      <c r="P133" s="793"/>
      <c r="Q133" s="752"/>
      <c r="R133" s="793"/>
      <c r="S133" s="752"/>
      <c r="T133" s="793"/>
      <c r="U133" s="752"/>
      <c r="V133" s="793"/>
      <c r="W133" s="752"/>
      <c r="X133" s="793"/>
      <c r="Y133" s="752"/>
      <c r="Z133" s="793"/>
      <c r="AA133" s="752"/>
      <c r="AB133" s="793"/>
      <c r="AC133" s="752"/>
      <c r="AD133" s="793"/>
      <c r="AE133" s="752"/>
      <c r="AF133" s="793"/>
      <c r="AG133" s="752"/>
      <c r="AH133" s="793"/>
      <c r="AI133" s="752"/>
      <c r="AJ133" s="793"/>
      <c r="AK133" s="752"/>
      <c r="AL133" s="793"/>
      <c r="AM133" s="752"/>
      <c r="AN133" s="793"/>
      <c r="AO133" s="752"/>
      <c r="AP133" s="793"/>
      <c r="AQ133" s="752"/>
      <c r="AR133" s="793"/>
      <c r="AS133" s="752"/>
      <c r="AT133" s="793"/>
      <c r="AU133" s="752"/>
      <c r="AV133" s="793"/>
      <c r="AW133" s="752"/>
      <c r="AX133" s="793"/>
      <c r="AY133" s="752"/>
      <c r="AZ133" s="793"/>
      <c r="BA133" s="752"/>
      <c r="BB133" s="793"/>
      <c r="BC133" s="752"/>
      <c r="BD133" s="793"/>
      <c r="BE133" s="752"/>
      <c r="BF133" s="793"/>
      <c r="BG133" s="752"/>
      <c r="BH133" s="793"/>
      <c r="BI133" s="752"/>
      <c r="BJ133" s="793"/>
      <c r="BK133" s="752"/>
      <c r="BL133" s="793"/>
      <c r="BM133" s="752"/>
      <c r="BN133" s="793"/>
      <c r="BO133" s="752"/>
      <c r="BP133" s="793"/>
      <c r="BQ133" s="752"/>
      <c r="BR133" s="793"/>
      <c r="BS133" s="752"/>
      <c r="BT133" s="793"/>
      <c r="BU133" s="752"/>
      <c r="BV133" s="793"/>
      <c r="BW133" s="752"/>
      <c r="BX133" s="793"/>
      <c r="BY133" s="752"/>
      <c r="BZ133" s="793"/>
      <c r="CA133" s="752"/>
      <c r="CB133" s="793"/>
      <c r="CC133" s="752"/>
      <c r="CD133" s="793"/>
      <c r="CE133" s="752"/>
      <c r="CF133" s="793"/>
      <c r="CG133" s="752"/>
      <c r="CH133" s="793"/>
      <c r="CI133" s="752"/>
      <c r="CJ133" s="793"/>
      <c r="CK133" s="752"/>
      <c r="CL133" s="793"/>
      <c r="CM133" s="752"/>
      <c r="CN133" s="793"/>
      <c r="CO133" s="752"/>
      <c r="CP133" s="793"/>
      <c r="CQ133" s="752"/>
      <c r="CR133" s="793"/>
      <c r="CS133" s="752"/>
      <c r="CT133" s="793"/>
      <c r="CU133" s="752"/>
      <c r="CV133" s="793"/>
      <c r="CW133" s="752"/>
      <c r="CX133" s="793"/>
      <c r="CY133" s="752"/>
      <c r="CZ133" s="793"/>
      <c r="DA133" s="752"/>
      <c r="DB133" s="753"/>
      <c r="DC133" s="793"/>
      <c r="DD133" s="756"/>
      <c r="DE133" s="793"/>
      <c r="DF133" s="756"/>
      <c r="DG133" s="793"/>
      <c r="DH133" s="756"/>
      <c r="DI133" s="793"/>
      <c r="DJ133" s="756"/>
      <c r="DK133" s="793"/>
      <c r="DL133" s="752"/>
      <c r="DM133" s="793"/>
      <c r="DN133" s="752"/>
      <c r="DO133" s="793"/>
      <c r="DP133" s="752"/>
      <c r="DQ133" s="793"/>
      <c r="DR133" s="752"/>
      <c r="DS133" s="793"/>
      <c r="DT133" s="752"/>
      <c r="DU133" s="793"/>
      <c r="DV133" s="752"/>
      <c r="DW133" s="793"/>
      <c r="DX133" s="752"/>
      <c r="DY133" s="793"/>
      <c r="DZ133" s="752"/>
      <c r="EA133" s="793"/>
      <c r="EB133" s="752"/>
      <c r="EC133" s="793"/>
      <c r="ED133" s="752"/>
      <c r="EE133" s="793"/>
      <c r="EF133" s="752"/>
      <c r="EG133" s="793"/>
      <c r="EH133" s="752"/>
      <c r="EI133" s="793"/>
      <c r="EJ133" s="752"/>
      <c r="EK133" s="793"/>
      <c r="EL133" s="752"/>
      <c r="EM133" s="793"/>
      <c r="EN133" s="752"/>
      <c r="EO133" s="793"/>
      <c r="EP133" s="752"/>
      <c r="EQ133" s="793"/>
      <c r="ER133" s="752"/>
      <c r="ES133" s="793"/>
      <c r="ET133" s="752"/>
      <c r="EU133" s="756"/>
      <c r="EV133" s="710"/>
    </row>
    <row r="134" spans="1:152" ht="12.75" hidden="1" customHeight="1" outlineLevel="1" x14ac:dyDescent="0.2">
      <c r="A134" s="754" t="str">
        <f>INPUT!B62</f>
        <v xml:space="preserve">  LTD Fully Insured</v>
      </c>
      <c r="B134" s="793">
        <f>INPUT!AS62</f>
        <v>43.1</v>
      </c>
      <c r="C134" s="756">
        <f>INPUT!AT62</f>
        <v>16.486486486486495</v>
      </c>
      <c r="D134" s="793">
        <f>INPUT!AU62</f>
        <v>50.9</v>
      </c>
      <c r="E134" s="756">
        <f>INPUT!AV62</f>
        <v>6.7085953878406546</v>
      </c>
      <c r="F134" s="793">
        <f>INPUT!AW62</f>
        <v>25.4</v>
      </c>
      <c r="G134" s="756">
        <f>INPUT!AX62</f>
        <v>-7.9710144927536364</v>
      </c>
      <c r="H134" s="793">
        <f>INPUT!AY62</f>
        <v>89.1</v>
      </c>
      <c r="I134" s="752">
        <f>INPUT!AZ62</f>
        <v>30.83700440528634</v>
      </c>
      <c r="J134" s="793">
        <f>INPUT!BA62</f>
        <v>25.5</v>
      </c>
      <c r="K134" s="752">
        <f>INPUT!BB62</f>
        <v>-40.835266821345705</v>
      </c>
      <c r="L134" s="793">
        <f>INPUT!BC62</f>
        <v>53</v>
      </c>
      <c r="M134" s="752">
        <f>INPUT!BD62</f>
        <v>4.1257367387033339</v>
      </c>
      <c r="N134" s="793">
        <f>INPUT!BE62</f>
        <v>23.9</v>
      </c>
      <c r="O134" s="752">
        <f>INPUT!BF62</f>
        <v>-5.9055118110236222</v>
      </c>
      <c r="P134" s="793">
        <f>INPUT!BG62</f>
        <v>75.3</v>
      </c>
      <c r="Q134" s="752">
        <f>INPUT!BH62</f>
        <v>-15.488215488215484</v>
      </c>
      <c r="R134" s="793">
        <f>INPUT!BI62</f>
        <v>36.1</v>
      </c>
      <c r="S134" s="752">
        <f>INPUT!BJ62</f>
        <v>41.568627450980401</v>
      </c>
      <c r="T134" s="793">
        <f>INPUT!BK62</f>
        <v>45.4</v>
      </c>
      <c r="U134" s="752">
        <f>INPUT!BL62</f>
        <v>-14.339622641509441</v>
      </c>
      <c r="V134" s="793">
        <f>INPUT!BM62</f>
        <v>31.4</v>
      </c>
      <c r="W134" s="752">
        <f>INPUT!BN62</f>
        <v>31.380753138075313</v>
      </c>
      <c r="X134" s="793">
        <f>INPUT!BO62</f>
        <v>77.400000000000006</v>
      </c>
      <c r="Y134" s="752">
        <f>INPUT!BP62</f>
        <v>2.788844621513964</v>
      </c>
      <c r="Z134" s="793">
        <f>INPUT!BQ62</f>
        <v>31.7</v>
      </c>
      <c r="AA134" s="752">
        <f>INPUT!BR62</f>
        <v>-12.188365650969535</v>
      </c>
      <c r="AB134" s="793">
        <f>INPUT!BS62</f>
        <v>54.3</v>
      </c>
      <c r="AC134" s="752">
        <f>INPUT!BT62</f>
        <v>19.6035242290749</v>
      </c>
      <c r="AD134" s="793">
        <f>INPUT!BU62</f>
        <v>20.7</v>
      </c>
      <c r="AE134" s="752">
        <f>INPUT!BV62</f>
        <v>0</v>
      </c>
      <c r="AF134" s="793">
        <f>INPUT!BW62</f>
        <v>75.400000000000006</v>
      </c>
      <c r="AG134" s="752">
        <f>INPUT!BX62</f>
        <v>0</v>
      </c>
      <c r="AH134" s="793">
        <f>INPUT!BY62</f>
        <v>27.6</v>
      </c>
      <c r="AI134" s="752">
        <f>INPUT!BZ62</f>
        <v>-12.933753943217663</v>
      </c>
      <c r="AJ134" s="793">
        <f>INPUT!CA62</f>
        <v>32.200000000000003</v>
      </c>
      <c r="AK134" s="752">
        <f>INPUT!CB62</f>
        <v>-40.699815837937379</v>
      </c>
      <c r="AL134" s="793">
        <f>INPUT!CC62</f>
        <v>21.2</v>
      </c>
      <c r="AM134" s="752">
        <f>INPUT!CD62</f>
        <v>2.4154589371980784</v>
      </c>
      <c r="AN134" s="793">
        <f>INPUT!CE62</f>
        <v>67.3</v>
      </c>
      <c r="AO134" s="752">
        <f>INPUT!CF62</f>
        <v>-10.742705570291788</v>
      </c>
      <c r="AP134" s="793">
        <f>INPUT!CG62</f>
        <v>29.5</v>
      </c>
      <c r="AQ134" s="752">
        <f>INPUT!CH62</f>
        <v>6.8840579710144789</v>
      </c>
      <c r="AR134" s="793">
        <f>INPUT!CI62</f>
        <v>38.299999999999997</v>
      </c>
      <c r="AS134" s="752">
        <f>INPUT!CJ62</f>
        <v>18.944099378881972</v>
      </c>
      <c r="AT134" s="793">
        <f>INPUT!CK62</f>
        <v>22</v>
      </c>
      <c r="AU134" s="752">
        <f>INPUT!CL62</f>
        <v>3.7735849056603765</v>
      </c>
      <c r="AV134" s="793">
        <f>INPUT!CM62</f>
        <v>75.2</v>
      </c>
      <c r="AW134" s="752">
        <f>INPUT!CN62</f>
        <v>11.738484398216942</v>
      </c>
      <c r="AX134" s="793">
        <f>INPUT!CO62</f>
        <v>35.799999999999997</v>
      </c>
      <c r="AY134" s="752">
        <f>INPUT!CP62</f>
        <v>21.355932203389827</v>
      </c>
      <c r="AZ134" s="793">
        <f>INPUT!CQ62</f>
        <v>36</v>
      </c>
      <c r="BA134" s="752">
        <f>INPUT!CR62</f>
        <v>-6.0052219321148792</v>
      </c>
      <c r="BB134" s="793">
        <f>INPUT!CS62</f>
        <v>23.6</v>
      </c>
      <c r="BC134" s="752">
        <f>INPUT!CT62</f>
        <v>7.2727272727272751</v>
      </c>
      <c r="BD134" s="793">
        <f>INPUT!CU62</f>
        <v>86.8</v>
      </c>
      <c r="BE134" s="752">
        <f>INPUT!CV62</f>
        <v>15.42553191489362</v>
      </c>
      <c r="BF134" s="793">
        <f>INPUT!CW62</f>
        <v>31.1</v>
      </c>
      <c r="BG134" s="752">
        <f>INPUT!CX62</f>
        <v>-13.128491620111726</v>
      </c>
      <c r="BH134" s="793">
        <f>INPUT!CY62</f>
        <v>32.799999999999997</v>
      </c>
      <c r="BI134" s="752">
        <f>INPUT!CZ62</f>
        <v>-8.8888888888889017</v>
      </c>
      <c r="BJ134" s="793">
        <f>INPUT!DA62</f>
        <v>25.7</v>
      </c>
      <c r="BK134" s="752">
        <f>INPUT!DB62</f>
        <v>8.8983050847457612</v>
      </c>
      <c r="BL134" s="793">
        <f>INPUT!DC62</f>
        <v>83.7</v>
      </c>
      <c r="BM134" s="752">
        <f>INPUT!DD62</f>
        <v>-3.5714285714285698</v>
      </c>
      <c r="BN134" s="793">
        <f>INPUT!DE62</f>
        <v>32.700000000000003</v>
      </c>
      <c r="BO134" s="752">
        <f>INPUT!DF62</f>
        <v>5.1446945337620731</v>
      </c>
      <c r="BP134" s="793">
        <f>INPUT!DG62</f>
        <v>46.8</v>
      </c>
      <c r="BQ134" s="752">
        <f>INPUT!DH62</f>
        <v>42.682926829268283</v>
      </c>
      <c r="BR134" s="793">
        <f>INPUT!DI62</f>
        <v>28</v>
      </c>
      <c r="BS134" s="752">
        <f>INPUT!DJ62</f>
        <v>8.949416342412464</v>
      </c>
      <c r="BT134" s="793">
        <f>INPUT!DK62</f>
        <v>116.1</v>
      </c>
      <c r="BU134" s="752">
        <f>INPUT!DL62</f>
        <v>38.709677419354826</v>
      </c>
      <c r="BV134" s="793">
        <f>INPUT!DM62</f>
        <v>37.299999999999997</v>
      </c>
      <c r="BW134" s="752">
        <f>INPUT!DN62</f>
        <v>14.067278287461749</v>
      </c>
      <c r="BX134" s="793">
        <f>INPUT!DO62</f>
        <v>51.9</v>
      </c>
      <c r="BY134" s="752">
        <f>INPUT!DP62</f>
        <v>10.897435897435903</v>
      </c>
      <c r="BZ134" s="793">
        <f>INPUT!DQ62</f>
        <v>34.299999999999997</v>
      </c>
      <c r="CA134" s="752">
        <f>INPUT!DR62</f>
        <v>22.499999999999986</v>
      </c>
      <c r="CB134" s="793">
        <f>INPUT!DS62</f>
        <v>116.2</v>
      </c>
      <c r="CC134" s="752">
        <f>INPUT!DT62</f>
        <v>8.6132644272196579E-2</v>
      </c>
      <c r="CD134" s="793">
        <f>INPUT!DU62</f>
        <v>37.5</v>
      </c>
      <c r="CE134" s="752">
        <f>INPUT!DV62</f>
        <v>0.53619302949061698</v>
      </c>
      <c r="CF134" s="793">
        <f>INPUT!DW62</f>
        <v>48.3</v>
      </c>
      <c r="CG134" s="752">
        <f>INPUT!DX62</f>
        <v>-6.9364161849711063</v>
      </c>
      <c r="CH134" s="793">
        <f>INPUT!DY62</f>
        <v>24.3</v>
      </c>
      <c r="CI134" s="752">
        <f>INPUT!DZ62</f>
        <v>-29.154518950437314</v>
      </c>
      <c r="CJ134" s="793">
        <f>INPUT!EA62</f>
        <v>107.7</v>
      </c>
      <c r="CK134" s="752">
        <f>INPUT!EB62</f>
        <v>-7.3149741824440673</v>
      </c>
      <c r="CL134" s="793">
        <f>INPUT!EC62</f>
        <v>36</v>
      </c>
      <c r="CM134" s="752">
        <f>INPUT!ED62</f>
        <v>-4.0000000000000036</v>
      </c>
      <c r="CN134" s="793">
        <f>INPUT!EE62</f>
        <v>47.5</v>
      </c>
      <c r="CO134" s="752">
        <f>INPUT!EF62</f>
        <v>-1.6563146997929601</v>
      </c>
      <c r="CP134" s="793">
        <f>INPUT!EG62</f>
        <v>31.1</v>
      </c>
      <c r="CQ134" s="752">
        <f>INPUT!EH62</f>
        <v>27.983539094650212</v>
      </c>
      <c r="CR134" s="793">
        <f>INPUT!EI62</f>
        <v>126.2</v>
      </c>
      <c r="CS134" s="752">
        <f>INPUT!EJ62</f>
        <v>17.177344475394605</v>
      </c>
      <c r="CT134" s="793">
        <f>INPUT!EK62</f>
        <v>0</v>
      </c>
      <c r="CU134" s="752" t="str">
        <f>INPUT!EL62</f>
        <v>NM</v>
      </c>
      <c r="CV134" s="793">
        <f>INPUT!EM62</f>
        <v>0</v>
      </c>
      <c r="CW134" s="752" t="str">
        <f>INPUT!EN62</f>
        <v>NM</v>
      </c>
      <c r="CX134" s="793">
        <f>INPUT!EO62</f>
        <v>0</v>
      </c>
      <c r="CY134" s="752" t="str">
        <f>INPUT!EP62</f>
        <v>NM</v>
      </c>
      <c r="CZ134" s="793">
        <f>INPUT!EQ62</f>
        <v>0</v>
      </c>
      <c r="DA134" s="752" t="str">
        <f>INPUT!ER62</f>
        <v>NM</v>
      </c>
      <c r="DB134" s="753"/>
      <c r="DC134" s="793">
        <f>INPUT!FB62</f>
        <v>0</v>
      </c>
      <c r="DD134" s="756">
        <f>INPUT!FC62</f>
        <v>0</v>
      </c>
      <c r="DE134" s="793">
        <f>INPUT!FD62</f>
        <v>325.2</v>
      </c>
      <c r="DF134" s="756" t="str">
        <f>INPUT!FE62</f>
        <v>NA</v>
      </c>
      <c r="DG134" s="793">
        <f>INPUT!FF62</f>
        <v>299.10000000000002</v>
      </c>
      <c r="DH134" s="756">
        <f>INPUT!FG62</f>
        <v>-8.0258302583025696</v>
      </c>
      <c r="DI134" s="793">
        <f>INPUT!FH62</f>
        <v>180.4</v>
      </c>
      <c r="DJ134" s="756">
        <f>INPUT!FI62</f>
        <v>-39.685723838181211</v>
      </c>
      <c r="DK134" s="793">
        <f>INPUT!FJ62</f>
        <v>0</v>
      </c>
      <c r="DL134" s="752" t="str">
        <f>INPUT!FK62</f>
        <v>NM</v>
      </c>
      <c r="DM134" s="793">
        <f>INPUT!FL62</f>
        <v>0</v>
      </c>
      <c r="DN134" s="752" t="str">
        <f>INPUT!FM62</f>
        <v>NA</v>
      </c>
      <c r="DO134" s="793">
        <f>INPUT!FN62</f>
        <v>0</v>
      </c>
      <c r="DP134" s="752" t="str">
        <f>INPUT!FO62</f>
        <v>NA</v>
      </c>
      <c r="DQ134" s="793">
        <f>INPUT!FP62</f>
        <v>190.3</v>
      </c>
      <c r="DR134" s="752" t="str">
        <f>INPUT!FQ62</f>
        <v>NA</v>
      </c>
      <c r="DS134" s="750">
        <f>INPUT!FR62</f>
        <v>182.10000000000002</v>
      </c>
      <c r="DT134" s="752">
        <f>INPUT!FS62</f>
        <v>-4.3089858118759761</v>
      </c>
      <c r="DU134" s="750">
        <f>INPUT!FT62</f>
        <v>148.30000000000001</v>
      </c>
      <c r="DV134" s="752">
        <f>INPUT!FU62</f>
        <v>-18.561230093355306</v>
      </c>
      <c r="DW134" s="750">
        <f>INPUT!FV62</f>
        <v>165</v>
      </c>
      <c r="DX134" s="752">
        <f>INPUT!FW62</f>
        <v>11.26095751854348</v>
      </c>
      <c r="DY134" s="750">
        <f>INPUT!FX62</f>
        <v>182.2</v>
      </c>
      <c r="DZ134" s="752">
        <f>INPUT!FY62</f>
        <v>10.424242424242426</v>
      </c>
      <c r="EA134" s="750">
        <f>INPUT!FZ62</f>
        <v>173.3</v>
      </c>
      <c r="EB134" s="752">
        <f>INPUT!GA62</f>
        <v>-4.8847420417123866</v>
      </c>
      <c r="EC134" s="750">
        <f>INPUT!GB62</f>
        <v>223.6</v>
      </c>
      <c r="ED134" s="752">
        <f>INPUT!GC62</f>
        <v>29.024812463935355</v>
      </c>
      <c r="EE134" s="750">
        <f>INPUT!GD62</f>
        <v>0</v>
      </c>
      <c r="EF134" s="752" t="str">
        <f>INPUT!GE62</f>
        <v>NM</v>
      </c>
      <c r="EG134" s="750">
        <f>INPUT!GF62</f>
        <v>0</v>
      </c>
      <c r="EH134" s="752" t="str">
        <f>INPUT!GG62</f>
        <v>NA</v>
      </c>
      <c r="EI134" s="750">
        <f>INPUT!GH62</f>
        <v>0</v>
      </c>
      <c r="EJ134" s="752" t="str">
        <f>INPUT!GI62</f>
        <v>NA</v>
      </c>
      <c r="EK134" s="750">
        <f>INPUT!GJ62</f>
        <v>0</v>
      </c>
      <c r="EL134" s="752" t="str">
        <f>INPUT!GK62</f>
        <v>NA</v>
      </c>
      <c r="EM134" s="750">
        <f>INPUT!GL62</f>
        <v>0</v>
      </c>
      <c r="EN134" s="752" t="str">
        <f>INPUT!GM62</f>
        <v>NA</v>
      </c>
      <c r="EO134" s="750">
        <f>INPUT!GN62</f>
        <v>0</v>
      </c>
      <c r="EP134" s="752" t="str">
        <f>INPUT!GO62</f>
        <v>NA</v>
      </c>
      <c r="EQ134" s="750">
        <f>INPUT!GP62</f>
        <v>0</v>
      </c>
      <c r="ER134" s="752" t="str">
        <f>INPUT!GQ62</f>
        <v>NA</v>
      </c>
      <c r="ES134" s="750">
        <f>INPUT!GR62</f>
        <v>0</v>
      </c>
      <c r="ET134" s="752" t="str">
        <f>INPUT!GS62</f>
        <v>NA</v>
      </c>
      <c r="EU134" s="756">
        <f>INPUT!GT56</f>
        <v>-1.6347096212395384</v>
      </c>
      <c r="EV134" s="710"/>
    </row>
    <row r="135" spans="1:152" ht="12.75" hidden="1" customHeight="1" outlineLevel="1" x14ac:dyDescent="0.2">
      <c r="A135" s="754" t="str">
        <f>INPUT!B63</f>
        <v xml:space="preserve">  LTD ASO Premium Equivalent</v>
      </c>
      <c r="B135" s="793">
        <f>INPUT!AS63</f>
        <v>0</v>
      </c>
      <c r="C135" s="756" t="str">
        <f>INPUT!AT63</f>
        <v>NM</v>
      </c>
      <c r="D135" s="793">
        <f>INPUT!AU63</f>
        <v>0.5</v>
      </c>
      <c r="E135" s="756">
        <f>INPUT!AV63</f>
        <v>0</v>
      </c>
      <c r="F135" s="793">
        <f>INPUT!AW63</f>
        <v>0</v>
      </c>
      <c r="G135" s="756" t="str">
        <f>INPUT!AX63</f>
        <v>NM</v>
      </c>
      <c r="H135" s="793">
        <f>INPUT!AY63</f>
        <v>3.2</v>
      </c>
      <c r="I135" s="752" t="str">
        <f>INPUT!AZ63</f>
        <v>NM</v>
      </c>
      <c r="J135" s="793">
        <f>INPUT!BA63</f>
        <v>0</v>
      </c>
      <c r="K135" s="752" t="str">
        <f>INPUT!BB63</f>
        <v>NA</v>
      </c>
      <c r="L135" s="793">
        <f>INPUT!BC63</f>
        <v>1.6</v>
      </c>
      <c r="M135" s="752" t="str">
        <f>INPUT!BD63</f>
        <v>NM</v>
      </c>
      <c r="N135" s="793">
        <f>INPUT!BE63</f>
        <v>0</v>
      </c>
      <c r="O135" s="752" t="str">
        <f>INPUT!BF63</f>
        <v>NA</v>
      </c>
      <c r="P135" s="793">
        <f>INPUT!BG63</f>
        <v>0</v>
      </c>
      <c r="Q135" s="752" t="str">
        <f>INPUT!BH63</f>
        <v>NM</v>
      </c>
      <c r="R135" s="793">
        <f>INPUT!BI63</f>
        <v>1.2</v>
      </c>
      <c r="S135" s="752" t="str">
        <f>INPUT!BJ63</f>
        <v>NA</v>
      </c>
      <c r="T135" s="793">
        <f>INPUT!BK63</f>
        <v>0</v>
      </c>
      <c r="U135" s="752" t="str">
        <f>INPUT!BL63</f>
        <v>NM</v>
      </c>
      <c r="V135" s="793">
        <f>INPUT!BM63</f>
        <v>0.1</v>
      </c>
      <c r="W135" s="752" t="str">
        <f>INPUT!BN63</f>
        <v>NA</v>
      </c>
      <c r="X135" s="793">
        <f>INPUT!BO63</f>
        <v>0.1</v>
      </c>
      <c r="Y135" s="752" t="str">
        <f>INPUT!BP63</f>
        <v>NA</v>
      </c>
      <c r="Z135" s="793">
        <f>INPUT!BQ63</f>
        <v>0</v>
      </c>
      <c r="AA135" s="752" t="str">
        <f>INPUT!BR63</f>
        <v>NM</v>
      </c>
      <c r="AB135" s="793">
        <f>INPUT!BS63</f>
        <v>0</v>
      </c>
      <c r="AC135" s="752" t="str">
        <f>INPUT!BT63</f>
        <v>NA</v>
      </c>
      <c r="AD135" s="793">
        <f>INPUT!BU63</f>
        <v>0</v>
      </c>
      <c r="AE135" s="752">
        <f>INPUT!BV63</f>
        <v>0</v>
      </c>
      <c r="AF135" s="793">
        <f>INPUT!BW63</f>
        <v>0</v>
      </c>
      <c r="AG135" s="752">
        <f>INPUT!BX63</f>
        <v>0</v>
      </c>
      <c r="AH135" s="793">
        <f>INPUT!BY63</f>
        <v>0</v>
      </c>
      <c r="AI135" s="752" t="str">
        <f>INPUT!BZ63</f>
        <v>NA</v>
      </c>
      <c r="AJ135" s="793">
        <f>INPUT!CA63</f>
        <v>0</v>
      </c>
      <c r="AK135" s="752" t="str">
        <f>INPUT!CB63</f>
        <v>NA</v>
      </c>
      <c r="AL135" s="793">
        <f>INPUT!CC63</f>
        <v>0</v>
      </c>
      <c r="AM135" s="752" t="str">
        <f>INPUT!CD63</f>
        <v>NA</v>
      </c>
      <c r="AN135" s="793">
        <f>INPUT!CE63</f>
        <v>0</v>
      </c>
      <c r="AO135" s="752" t="str">
        <f>INPUT!CF63</f>
        <v>NA</v>
      </c>
      <c r="AP135" s="793">
        <f>INPUT!CG63</f>
        <v>0</v>
      </c>
      <c r="AQ135" s="752" t="str">
        <f>INPUT!CH63</f>
        <v>NA</v>
      </c>
      <c r="AR135" s="793">
        <f>INPUT!CI63</f>
        <v>0</v>
      </c>
      <c r="AS135" s="752" t="str">
        <f>INPUT!CJ63</f>
        <v>NA</v>
      </c>
      <c r="AT135" s="793">
        <f>INPUT!CK63</f>
        <v>0</v>
      </c>
      <c r="AU135" s="752" t="str">
        <f>INPUT!CL63</f>
        <v>NA</v>
      </c>
      <c r="AV135" s="793">
        <f>INPUT!CM63</f>
        <v>0</v>
      </c>
      <c r="AW135" s="752" t="str">
        <f>INPUT!CN63</f>
        <v>NA</v>
      </c>
      <c r="AX135" s="793">
        <f>INPUT!CO63</f>
        <v>0</v>
      </c>
      <c r="AY135" s="752" t="str">
        <f>INPUT!CP63</f>
        <v>NA</v>
      </c>
      <c r="AZ135" s="793">
        <f>INPUT!CQ63</f>
        <v>0</v>
      </c>
      <c r="BA135" s="752" t="str">
        <f>INPUT!CR63</f>
        <v>NA</v>
      </c>
      <c r="BB135" s="793">
        <f>INPUT!CS63</f>
        <v>0</v>
      </c>
      <c r="BC135" s="752" t="str">
        <f>INPUT!CT63</f>
        <v>NA</v>
      </c>
      <c r="BD135" s="793">
        <f>INPUT!CU63</f>
        <v>0</v>
      </c>
      <c r="BE135" s="752" t="str">
        <f>INPUT!CV63</f>
        <v>NA</v>
      </c>
      <c r="BF135" s="793">
        <f>INPUT!CW63</f>
        <v>0</v>
      </c>
      <c r="BG135" s="752" t="str">
        <f>INPUT!CX63</f>
        <v>NA</v>
      </c>
      <c r="BH135" s="793">
        <f>INPUT!CY63</f>
        <v>0</v>
      </c>
      <c r="BI135" s="752" t="str">
        <f>INPUT!CZ63</f>
        <v>NA</v>
      </c>
      <c r="BJ135" s="793">
        <f>INPUT!DA63</f>
        <v>0</v>
      </c>
      <c r="BK135" s="752" t="str">
        <f>INPUT!DB63</f>
        <v>NA</v>
      </c>
      <c r="BL135" s="793">
        <f>INPUT!DC63</f>
        <v>0</v>
      </c>
      <c r="BM135" s="752" t="str">
        <f>INPUT!DD63</f>
        <v>NA</v>
      </c>
      <c r="BN135" s="793">
        <f>INPUT!DE63</f>
        <v>0</v>
      </c>
      <c r="BO135" s="752" t="str">
        <f>INPUT!DF63</f>
        <v>NA</v>
      </c>
      <c r="BP135" s="793">
        <f>INPUT!DG63</f>
        <v>0</v>
      </c>
      <c r="BQ135" s="752" t="str">
        <f>INPUT!DH63</f>
        <v>NA</v>
      </c>
      <c r="BR135" s="793">
        <f>INPUT!DI63</f>
        <v>0</v>
      </c>
      <c r="BS135" s="752" t="str">
        <f>INPUT!DJ63</f>
        <v>NA</v>
      </c>
      <c r="BT135" s="793">
        <f>INPUT!DK63</f>
        <v>0</v>
      </c>
      <c r="BU135" s="752" t="str">
        <f>INPUT!DL63</f>
        <v>NA</v>
      </c>
      <c r="BV135" s="793">
        <f>INPUT!DM63</f>
        <v>0</v>
      </c>
      <c r="BW135" s="752" t="str">
        <f>INPUT!DN63</f>
        <v>NA</v>
      </c>
      <c r="BX135" s="793">
        <f>INPUT!DO63</f>
        <v>0</v>
      </c>
      <c r="BY135" s="752" t="str">
        <f>INPUT!DP63</f>
        <v>NA</v>
      </c>
      <c r="BZ135" s="793">
        <f>INPUT!DQ63</f>
        <v>0</v>
      </c>
      <c r="CA135" s="752" t="str">
        <f>INPUT!DR63</f>
        <v>NA</v>
      </c>
      <c r="CB135" s="793">
        <f>INPUT!DS63</f>
        <v>0</v>
      </c>
      <c r="CC135" s="752" t="str">
        <f>INPUT!DT63</f>
        <v>NA</v>
      </c>
      <c r="CD135" s="793">
        <f>INPUT!DU63</f>
        <v>0</v>
      </c>
      <c r="CE135" s="752" t="str">
        <f>INPUT!DV63</f>
        <v>NA</v>
      </c>
      <c r="CF135" s="793">
        <f>INPUT!DW63</f>
        <v>0</v>
      </c>
      <c r="CG135" s="752" t="str">
        <f>INPUT!DX63</f>
        <v>NA</v>
      </c>
      <c r="CH135" s="793">
        <f>INPUT!DY63</f>
        <v>0</v>
      </c>
      <c r="CI135" s="752" t="str">
        <f>INPUT!DZ63</f>
        <v>NA</v>
      </c>
      <c r="CJ135" s="793">
        <f>INPUT!EA63</f>
        <v>0</v>
      </c>
      <c r="CK135" s="752" t="str">
        <f>INPUT!EB63</f>
        <v>NA</v>
      </c>
      <c r="CL135" s="793">
        <f>INPUT!EC63</f>
        <v>0</v>
      </c>
      <c r="CM135" s="752" t="str">
        <f>INPUT!ED63</f>
        <v>NA</v>
      </c>
      <c r="CN135" s="793">
        <f>INPUT!EE63</f>
        <v>0</v>
      </c>
      <c r="CO135" s="752" t="str">
        <f>INPUT!EF63</f>
        <v>NA</v>
      </c>
      <c r="CP135" s="793">
        <f>INPUT!EG63</f>
        <v>0</v>
      </c>
      <c r="CQ135" s="752" t="str">
        <f>INPUT!EH63</f>
        <v>NA</v>
      </c>
      <c r="CR135" s="793">
        <f>INPUT!EI63</f>
        <v>0</v>
      </c>
      <c r="CS135" s="752" t="str">
        <f>INPUT!EJ63</f>
        <v>NA</v>
      </c>
      <c r="CT135" s="793">
        <f>INPUT!EK63</f>
        <v>0</v>
      </c>
      <c r="CU135" s="752" t="str">
        <f>INPUT!EL63</f>
        <v>NA</v>
      </c>
      <c r="CV135" s="793">
        <f>INPUT!EM63</f>
        <v>0</v>
      </c>
      <c r="CW135" s="752" t="str">
        <f>INPUT!EN63</f>
        <v>NA</v>
      </c>
      <c r="CX135" s="793">
        <f>INPUT!EO63</f>
        <v>0</v>
      </c>
      <c r="CY135" s="752" t="str">
        <f>INPUT!EP63</f>
        <v>NA</v>
      </c>
      <c r="CZ135" s="793">
        <f>INPUT!EQ63</f>
        <v>0</v>
      </c>
      <c r="DA135" s="752" t="str">
        <f>INPUT!ER63</f>
        <v>NA</v>
      </c>
      <c r="DB135" s="753"/>
      <c r="DC135" s="793">
        <f>INPUT!FB63</f>
        <v>0</v>
      </c>
      <c r="DD135" s="756">
        <f>INPUT!FC63</f>
        <v>0</v>
      </c>
      <c r="DE135" s="793">
        <f>INPUT!FD63</f>
        <v>4.8</v>
      </c>
      <c r="DF135" s="756" t="str">
        <f>INPUT!FE63</f>
        <v>NA</v>
      </c>
      <c r="DG135" s="793">
        <f>INPUT!FF63</f>
        <v>6.5</v>
      </c>
      <c r="DH135" s="756">
        <f>INPUT!FG63</f>
        <v>35.416666666666671</v>
      </c>
      <c r="DI135" s="793">
        <f>INPUT!FH63</f>
        <v>1.1000000000000001</v>
      </c>
      <c r="DJ135" s="756" t="str">
        <f>INPUT!FI63</f>
        <v>NM</v>
      </c>
      <c r="DK135" s="793">
        <f>INPUT!FJ63</f>
        <v>0</v>
      </c>
      <c r="DL135" s="752" t="str">
        <f>INPUT!FK63</f>
        <v>NM</v>
      </c>
      <c r="DM135" s="793">
        <f>INPUT!FL63</f>
        <v>0</v>
      </c>
      <c r="DN135" s="752" t="str">
        <f>INPUT!FM63</f>
        <v>NA</v>
      </c>
      <c r="DO135" s="793">
        <f>INPUT!FN63</f>
        <v>0</v>
      </c>
      <c r="DP135" s="752" t="str">
        <f>INPUT!FO63</f>
        <v>NA</v>
      </c>
      <c r="DQ135" s="793">
        <f>INPUT!FP63</f>
        <v>1.4000000000000001</v>
      </c>
      <c r="DR135" s="752" t="str">
        <f>INPUT!FQ63</f>
        <v>NA</v>
      </c>
      <c r="DS135" s="750">
        <f>INPUT!FR63</f>
        <v>0</v>
      </c>
      <c r="DT135" s="752" t="str">
        <f>INPUT!FS63</f>
        <v>NM</v>
      </c>
      <c r="DU135" s="750">
        <f>INPUT!FT63</f>
        <v>0</v>
      </c>
      <c r="DV135" s="752" t="str">
        <f>INPUT!FU63</f>
        <v>NA</v>
      </c>
      <c r="DW135" s="750">
        <f>INPUT!FV63</f>
        <v>0</v>
      </c>
      <c r="DX135" s="752" t="str">
        <f>INPUT!FW63</f>
        <v>NA</v>
      </c>
      <c r="DY135" s="750">
        <f>INPUT!FX63</f>
        <v>0</v>
      </c>
      <c r="DZ135" s="752" t="str">
        <f>INPUT!FY63</f>
        <v>NA</v>
      </c>
      <c r="EA135" s="750">
        <f>INPUT!FZ63</f>
        <v>0</v>
      </c>
      <c r="EB135" s="752" t="str">
        <f>INPUT!GA63</f>
        <v>NA</v>
      </c>
      <c r="EC135" s="750">
        <f>INPUT!GB63</f>
        <v>0</v>
      </c>
      <c r="ED135" s="752" t="str">
        <f>INPUT!GC63</f>
        <v>NA</v>
      </c>
      <c r="EE135" s="750">
        <f>INPUT!GD63</f>
        <v>0</v>
      </c>
      <c r="EF135" s="752" t="str">
        <f>INPUT!GE63</f>
        <v>NA</v>
      </c>
      <c r="EG135" s="750">
        <f>INPUT!GF63</f>
        <v>0</v>
      </c>
      <c r="EH135" s="752" t="str">
        <f>INPUT!GG63</f>
        <v>NA</v>
      </c>
      <c r="EI135" s="750">
        <f>INPUT!GH63</f>
        <v>0</v>
      </c>
      <c r="EJ135" s="752" t="str">
        <f>INPUT!GI63</f>
        <v>NA</v>
      </c>
      <c r="EK135" s="750">
        <f>INPUT!GJ63</f>
        <v>0</v>
      </c>
      <c r="EL135" s="752" t="str">
        <f>INPUT!GK63</f>
        <v>NA</v>
      </c>
      <c r="EM135" s="750">
        <f>INPUT!GL63</f>
        <v>0</v>
      </c>
      <c r="EN135" s="752" t="str">
        <f>INPUT!GM63</f>
        <v>NA</v>
      </c>
      <c r="EO135" s="750">
        <f>INPUT!GN63</f>
        <v>0</v>
      </c>
      <c r="EP135" s="752" t="str">
        <f>INPUT!GO63</f>
        <v>NA</v>
      </c>
      <c r="EQ135" s="750">
        <f>INPUT!GP63</f>
        <v>0</v>
      </c>
      <c r="ER135" s="752" t="str">
        <f>INPUT!GQ63</f>
        <v>NA</v>
      </c>
      <c r="ES135" s="750">
        <f>INPUT!GR63</f>
        <v>0</v>
      </c>
      <c r="ET135" s="752" t="str">
        <f>INPUT!GS63</f>
        <v>NA</v>
      </c>
      <c r="EU135" s="756">
        <f>INPUT!GT60</f>
        <v>0</v>
      </c>
      <c r="EV135" s="710"/>
    </row>
    <row r="136" spans="1:152" ht="12.75" hidden="1" customHeight="1" outlineLevel="1" x14ac:dyDescent="0.2">
      <c r="A136" s="754" t="str">
        <f>INPUT!B64</f>
        <v>Group Long Term Income Protection</v>
      </c>
      <c r="B136" s="793">
        <f>INPUT!AS64</f>
        <v>43.1</v>
      </c>
      <c r="C136" s="756">
        <f>INPUT!AT64</f>
        <v>16.172506738544467</v>
      </c>
      <c r="D136" s="793">
        <f>INPUT!AU64</f>
        <v>51.4</v>
      </c>
      <c r="E136" s="756">
        <f>INPUT!AV64</f>
        <v>6.639004149377592</v>
      </c>
      <c r="F136" s="793">
        <f>INPUT!AW64</f>
        <v>25.4</v>
      </c>
      <c r="G136" s="756">
        <f>INPUT!AX64</f>
        <v>-10.87719298245614</v>
      </c>
      <c r="H136" s="793">
        <f>INPUT!AY64</f>
        <v>92.3</v>
      </c>
      <c r="I136" s="752">
        <f>INPUT!AZ64</f>
        <v>34.94152046783627</v>
      </c>
      <c r="J136" s="793">
        <f>INPUT!BA64</f>
        <v>25.5</v>
      </c>
      <c r="K136" s="752">
        <f>INPUT!BB64</f>
        <v>-40.835266821345705</v>
      </c>
      <c r="L136" s="793">
        <f>INPUT!BC64</f>
        <v>54.6</v>
      </c>
      <c r="M136" s="752">
        <f>INPUT!BD64</f>
        <v>6.2256809338521402</v>
      </c>
      <c r="N136" s="793">
        <f>INPUT!BE64</f>
        <v>23.9</v>
      </c>
      <c r="O136" s="752">
        <f>INPUT!BF64</f>
        <v>-5.9055118110236222</v>
      </c>
      <c r="P136" s="793">
        <f>INPUT!BG64</f>
        <v>75.3</v>
      </c>
      <c r="Q136" s="752">
        <f>INPUT!BH64</f>
        <v>-18.418201516793065</v>
      </c>
      <c r="R136" s="793">
        <f>INPUT!BI64</f>
        <v>37.300000000000004</v>
      </c>
      <c r="S136" s="752">
        <f>INPUT!BJ64</f>
        <v>46.274509803921582</v>
      </c>
      <c r="T136" s="793">
        <f>INPUT!BK64</f>
        <v>45.4</v>
      </c>
      <c r="U136" s="752">
        <f>INPUT!BL64</f>
        <v>-16.849816849816857</v>
      </c>
      <c r="V136" s="793">
        <f>INPUT!BM64</f>
        <v>31.5</v>
      </c>
      <c r="W136" s="752">
        <f>INPUT!BN64</f>
        <v>31.799163179916334</v>
      </c>
      <c r="X136" s="793">
        <f>INPUT!BO64</f>
        <v>77.5</v>
      </c>
      <c r="Y136" s="752">
        <f>INPUT!BP64</f>
        <v>2.921646746347939</v>
      </c>
      <c r="Z136" s="793">
        <f>INPUT!BQ64</f>
        <v>31.7</v>
      </c>
      <c r="AA136" s="752">
        <f>INPUT!BR64</f>
        <v>-15.013404825737275</v>
      </c>
      <c r="AB136" s="793">
        <f>INPUT!BS64</f>
        <v>54.3</v>
      </c>
      <c r="AC136" s="752">
        <f>INPUT!BT64</f>
        <v>19.6035242290749</v>
      </c>
      <c r="AD136" s="793">
        <f>INPUT!BU64</f>
        <v>20.7</v>
      </c>
      <c r="AE136" s="752">
        <f>INPUT!BV64</f>
        <v>0</v>
      </c>
      <c r="AF136" s="793">
        <f>INPUT!BW64</f>
        <v>75.400000000000006</v>
      </c>
      <c r="AG136" s="752">
        <f>INPUT!BX64</f>
        <v>0</v>
      </c>
      <c r="AH136" s="793">
        <f>INPUT!BY64</f>
        <v>27.6</v>
      </c>
      <c r="AI136" s="752">
        <f>INPUT!BZ64</f>
        <v>-12.933753943217663</v>
      </c>
      <c r="AJ136" s="793">
        <f>INPUT!CA64</f>
        <v>32.200000000000003</v>
      </c>
      <c r="AK136" s="752">
        <f>INPUT!CB64</f>
        <v>-40.699815837937379</v>
      </c>
      <c r="AL136" s="793">
        <f>INPUT!CC64</f>
        <v>21.2</v>
      </c>
      <c r="AM136" s="752">
        <f>INPUT!CD64</f>
        <v>2.4154589371980784</v>
      </c>
      <c r="AN136" s="793">
        <f>INPUT!CE64</f>
        <v>67.3</v>
      </c>
      <c r="AO136" s="752">
        <f>INPUT!CF64</f>
        <v>-10.742705570291788</v>
      </c>
      <c r="AP136" s="793">
        <f>INPUT!CG64</f>
        <v>29.5</v>
      </c>
      <c r="AQ136" s="752">
        <f>INPUT!CH64</f>
        <v>6.8840579710144789</v>
      </c>
      <c r="AR136" s="793">
        <f>INPUT!CI64</f>
        <v>38.299999999999997</v>
      </c>
      <c r="AS136" s="752">
        <f>INPUT!CJ64</f>
        <v>18.944099378881972</v>
      </c>
      <c r="AT136" s="793">
        <f>INPUT!CK64</f>
        <v>22</v>
      </c>
      <c r="AU136" s="752">
        <f>INPUT!CL64</f>
        <v>3.7735849056603765</v>
      </c>
      <c r="AV136" s="793">
        <f>INPUT!CM64</f>
        <v>75.2</v>
      </c>
      <c r="AW136" s="752">
        <f>INPUT!CN64</f>
        <v>11.738484398216942</v>
      </c>
      <c r="AX136" s="793">
        <f>INPUT!CO64</f>
        <v>35.799999999999997</v>
      </c>
      <c r="AY136" s="752">
        <f>INPUT!CP64</f>
        <v>21.355932203389827</v>
      </c>
      <c r="AZ136" s="793">
        <f>INPUT!CQ64</f>
        <v>36</v>
      </c>
      <c r="BA136" s="752">
        <f>INPUT!CR64</f>
        <v>-6.0052219321148792</v>
      </c>
      <c r="BB136" s="793">
        <f>INPUT!CS64</f>
        <v>23.6</v>
      </c>
      <c r="BC136" s="752">
        <f>INPUT!CT64</f>
        <v>7.2727272727272751</v>
      </c>
      <c r="BD136" s="793">
        <f>INPUT!CU64</f>
        <v>86.8</v>
      </c>
      <c r="BE136" s="752">
        <f>INPUT!CV64</f>
        <v>15.42553191489362</v>
      </c>
      <c r="BF136" s="793">
        <f>INPUT!CW64</f>
        <v>31.1</v>
      </c>
      <c r="BG136" s="752">
        <f>INPUT!CX64</f>
        <v>-13.128491620111726</v>
      </c>
      <c r="BH136" s="793">
        <f>INPUT!CY64</f>
        <v>32.799999999999997</v>
      </c>
      <c r="BI136" s="752">
        <f>INPUT!CZ64</f>
        <v>-8.8888888888889017</v>
      </c>
      <c r="BJ136" s="793">
        <f>INPUT!DA64</f>
        <v>25.7</v>
      </c>
      <c r="BK136" s="752">
        <f>INPUT!DB64</f>
        <v>8.8983050847457612</v>
      </c>
      <c r="BL136" s="793">
        <f>INPUT!DC64</f>
        <v>83.7</v>
      </c>
      <c r="BM136" s="752">
        <f>INPUT!DD64</f>
        <v>-3.5714285714285698</v>
      </c>
      <c r="BN136" s="793">
        <f>INPUT!DE64</f>
        <v>32.700000000000003</v>
      </c>
      <c r="BO136" s="752">
        <f>INPUT!DF64</f>
        <v>5.1446945337620731</v>
      </c>
      <c r="BP136" s="793">
        <f>INPUT!DG64</f>
        <v>46.8</v>
      </c>
      <c r="BQ136" s="752">
        <f>INPUT!DH64</f>
        <v>42.682926829268283</v>
      </c>
      <c r="BR136" s="793">
        <f>INPUT!DI64</f>
        <v>28</v>
      </c>
      <c r="BS136" s="752">
        <f>INPUT!DJ64</f>
        <v>8.949416342412464</v>
      </c>
      <c r="BT136" s="793">
        <f>INPUT!DK64</f>
        <v>116.1</v>
      </c>
      <c r="BU136" s="752">
        <f>INPUT!DL64</f>
        <v>38.709677419354826</v>
      </c>
      <c r="BV136" s="793">
        <f>INPUT!DM64</f>
        <v>37.299999999999997</v>
      </c>
      <c r="BW136" s="752">
        <f>INPUT!DN64</f>
        <v>14.067278287461749</v>
      </c>
      <c r="BX136" s="793">
        <f>INPUT!DO64</f>
        <v>51.9</v>
      </c>
      <c r="BY136" s="752">
        <f>INPUT!DP64</f>
        <v>10.897435897435903</v>
      </c>
      <c r="BZ136" s="793">
        <f>INPUT!DQ64</f>
        <v>34.299999999999997</v>
      </c>
      <c r="CA136" s="752">
        <f>INPUT!DR64</f>
        <v>22.499999999999986</v>
      </c>
      <c r="CB136" s="793">
        <f>INPUT!DS64</f>
        <v>116.2</v>
      </c>
      <c r="CC136" s="752">
        <f>INPUT!DT64</f>
        <v>8.6132644272196579E-2</v>
      </c>
      <c r="CD136" s="793">
        <f>INPUT!DU64</f>
        <v>37.5</v>
      </c>
      <c r="CE136" s="752">
        <f>INPUT!DV64</f>
        <v>0.53619302949061698</v>
      </c>
      <c r="CF136" s="793">
        <f>INPUT!DW64</f>
        <v>48.3</v>
      </c>
      <c r="CG136" s="752">
        <f>INPUT!DX64</f>
        <v>-6.9364161849711063</v>
      </c>
      <c r="CH136" s="793">
        <f>INPUT!DY64</f>
        <v>24.3</v>
      </c>
      <c r="CI136" s="752">
        <f>INPUT!DZ64</f>
        <v>-29.154518950437314</v>
      </c>
      <c r="CJ136" s="793">
        <f>INPUT!EA64</f>
        <v>107.7</v>
      </c>
      <c r="CK136" s="752">
        <f>INPUT!EB64</f>
        <v>-7.3149741824440673</v>
      </c>
      <c r="CL136" s="793">
        <f>INPUT!EC64</f>
        <v>36</v>
      </c>
      <c r="CM136" s="752">
        <f>INPUT!ED64</f>
        <v>-4.0000000000000036</v>
      </c>
      <c r="CN136" s="793">
        <f>INPUT!EE64</f>
        <v>47.5</v>
      </c>
      <c r="CO136" s="752">
        <f>INPUT!EF64</f>
        <v>-1.6563146997929601</v>
      </c>
      <c r="CP136" s="793">
        <f>INPUT!EG64</f>
        <v>31.1</v>
      </c>
      <c r="CQ136" s="752">
        <f>INPUT!EH64</f>
        <v>27.983539094650212</v>
      </c>
      <c r="CR136" s="793">
        <f>INPUT!EI64</f>
        <v>126.2</v>
      </c>
      <c r="CS136" s="752">
        <f>INPUT!EJ64</f>
        <v>17.177344475394605</v>
      </c>
      <c r="CT136" s="793">
        <f>INPUT!EK64</f>
        <v>0</v>
      </c>
      <c r="CU136" s="752" t="str">
        <f>INPUT!EL64</f>
        <v>NM</v>
      </c>
      <c r="CV136" s="793">
        <f>INPUT!EM64</f>
        <v>0</v>
      </c>
      <c r="CW136" s="752" t="str">
        <f>INPUT!EN64</f>
        <v>NM</v>
      </c>
      <c r="CX136" s="793">
        <f>INPUT!EO64</f>
        <v>0</v>
      </c>
      <c r="CY136" s="752" t="str">
        <f>INPUT!EP64</f>
        <v>NM</v>
      </c>
      <c r="CZ136" s="793">
        <f>INPUT!EQ64</f>
        <v>0</v>
      </c>
      <c r="DA136" s="752" t="str">
        <f>INPUT!ER64</f>
        <v>NM</v>
      </c>
      <c r="DB136" s="753"/>
      <c r="DC136" s="793">
        <f>INPUT!FB64</f>
        <v>0</v>
      </c>
      <c r="DD136" s="756">
        <f>INPUT!FC64</f>
        <v>0</v>
      </c>
      <c r="DE136" s="793">
        <f>INPUT!FD64</f>
        <v>330</v>
      </c>
      <c r="DF136" s="756" t="str">
        <f>INPUT!FE64</f>
        <v>NA</v>
      </c>
      <c r="DG136" s="793">
        <f>INPUT!FF64</f>
        <v>305.60000000000002</v>
      </c>
      <c r="DH136" s="756">
        <f>INPUT!FG64</f>
        <v>-7.3939393939393856</v>
      </c>
      <c r="DI136" s="793">
        <f>INPUT!FH64</f>
        <v>181.5</v>
      </c>
      <c r="DJ136" s="756">
        <f>INPUT!FI64</f>
        <v>-40.608638743455508</v>
      </c>
      <c r="DK136" s="793">
        <f>INPUT!FJ64</f>
        <v>0</v>
      </c>
      <c r="DL136" s="752" t="str">
        <f>INPUT!FK64</f>
        <v>NM</v>
      </c>
      <c r="DM136" s="793">
        <f>INPUT!FL64</f>
        <v>0</v>
      </c>
      <c r="DN136" s="752" t="str">
        <f>INPUT!FM64</f>
        <v>NA</v>
      </c>
      <c r="DO136" s="793">
        <f>INPUT!FN64</f>
        <v>0</v>
      </c>
      <c r="DP136" s="752" t="str">
        <f>INPUT!FO64</f>
        <v>NA</v>
      </c>
      <c r="DQ136" s="793">
        <f>INPUT!FP64</f>
        <v>191.70000000000002</v>
      </c>
      <c r="DR136" s="752" t="str">
        <f>INPUT!FQ64</f>
        <v>NA</v>
      </c>
      <c r="DS136" s="750">
        <f>INPUT!FR64</f>
        <v>182.10000000000002</v>
      </c>
      <c r="DT136" s="752">
        <f>INPUT!FS64</f>
        <v>-5.0078247261345794</v>
      </c>
      <c r="DU136" s="750">
        <f>INPUT!FT64</f>
        <v>148.30000000000001</v>
      </c>
      <c r="DV136" s="752">
        <f>INPUT!FU64</f>
        <v>-18.561230093355306</v>
      </c>
      <c r="DW136" s="750">
        <f>INPUT!FV64</f>
        <v>165</v>
      </c>
      <c r="DX136" s="752">
        <f>INPUT!FW64</f>
        <v>11.26095751854348</v>
      </c>
      <c r="DY136" s="750">
        <f>INPUT!FX64</f>
        <v>182.2</v>
      </c>
      <c r="DZ136" s="752">
        <f>INPUT!FY64</f>
        <v>10.424242424242426</v>
      </c>
      <c r="EA136" s="750">
        <f>INPUT!FZ64</f>
        <v>173.3</v>
      </c>
      <c r="EB136" s="752">
        <f>INPUT!GA64</f>
        <v>-4.8847420417123866</v>
      </c>
      <c r="EC136" s="750">
        <f>INPUT!GB64</f>
        <v>223.6</v>
      </c>
      <c r="ED136" s="752">
        <f>INPUT!GC64</f>
        <v>29.024812463935355</v>
      </c>
      <c r="EE136" s="750">
        <f>INPUT!GD64</f>
        <v>0</v>
      </c>
      <c r="EF136" s="752" t="str">
        <f>INPUT!GE64</f>
        <v>NM</v>
      </c>
      <c r="EG136" s="750">
        <f>INPUT!GF64</f>
        <v>0</v>
      </c>
      <c r="EH136" s="752" t="str">
        <f>INPUT!GG64</f>
        <v>NA</v>
      </c>
      <c r="EI136" s="750">
        <f>INPUT!GH64</f>
        <v>0</v>
      </c>
      <c r="EJ136" s="752" t="str">
        <f>INPUT!GI64</f>
        <v>NA</v>
      </c>
      <c r="EK136" s="750">
        <f>INPUT!GJ64</f>
        <v>0</v>
      </c>
      <c r="EL136" s="752" t="str">
        <f>INPUT!GK64</f>
        <v>NA</v>
      </c>
      <c r="EM136" s="750">
        <f>INPUT!GL64</f>
        <v>0</v>
      </c>
      <c r="EN136" s="752" t="str">
        <f>INPUT!GM64</f>
        <v>NA</v>
      </c>
      <c r="EO136" s="750">
        <f>INPUT!GN64</f>
        <v>0</v>
      </c>
      <c r="EP136" s="752" t="str">
        <f>INPUT!GO64</f>
        <v>NA</v>
      </c>
      <c r="EQ136" s="750">
        <f>INPUT!GP64</f>
        <v>0</v>
      </c>
      <c r="ER136" s="752" t="str">
        <f>INPUT!GQ64</f>
        <v>NA</v>
      </c>
      <c r="ES136" s="750">
        <f>INPUT!GR64</f>
        <v>0</v>
      </c>
      <c r="ET136" s="752" t="str">
        <f>INPUT!GS64</f>
        <v>NA</v>
      </c>
      <c r="EU136" s="756">
        <f>INPUT!GT61</f>
        <v>0</v>
      </c>
      <c r="EV136" s="710"/>
    </row>
    <row r="137" spans="1:152" ht="12.75" hidden="1" customHeight="1" outlineLevel="1" x14ac:dyDescent="0.2">
      <c r="A137" s="754" t="str">
        <f>INPUT!B66</f>
        <v xml:space="preserve">  STD Fully Insured</v>
      </c>
      <c r="B137" s="793">
        <f>INPUT!AS66</f>
        <v>12</v>
      </c>
      <c r="C137" s="756">
        <f>INPUT!AT66</f>
        <v>-25</v>
      </c>
      <c r="D137" s="793">
        <f>INPUT!AU66</f>
        <v>18.8</v>
      </c>
      <c r="E137" s="756">
        <f>INPUT!AV66</f>
        <v>27.891156462585045</v>
      </c>
      <c r="F137" s="793">
        <f>INPUT!AW66</f>
        <v>9.8000000000000007</v>
      </c>
      <c r="G137" s="756">
        <f>INPUT!AX66</f>
        <v>-14.782608695652167</v>
      </c>
      <c r="H137" s="793">
        <f>INPUT!AY66</f>
        <v>33.5</v>
      </c>
      <c r="I137" s="752">
        <f>INPUT!AZ66</f>
        <v>2.7607361963190247</v>
      </c>
      <c r="J137" s="793">
        <f>INPUT!BA66</f>
        <v>15.2</v>
      </c>
      <c r="K137" s="752">
        <f>INPUT!BB66</f>
        <v>26.666666666666661</v>
      </c>
      <c r="L137" s="793">
        <f>INPUT!BC66</f>
        <v>16.2</v>
      </c>
      <c r="M137" s="752">
        <f>INPUT!BD66</f>
        <v>-13.829787234042556</v>
      </c>
      <c r="N137" s="793">
        <f>INPUT!BE66</f>
        <v>8.5</v>
      </c>
      <c r="O137" s="752">
        <f>INPUT!BF66</f>
        <v>-13.265306122448983</v>
      </c>
      <c r="P137" s="793">
        <f>INPUT!BG66</f>
        <v>24.8</v>
      </c>
      <c r="Q137" s="752">
        <f>INPUT!BH66</f>
        <v>-25.970149253731346</v>
      </c>
      <c r="R137" s="793">
        <f>INPUT!BI66</f>
        <v>13.4</v>
      </c>
      <c r="S137" s="752">
        <f>INPUT!BJ66</f>
        <v>-11.842105263157887</v>
      </c>
      <c r="T137" s="793">
        <f>INPUT!BK66</f>
        <v>16.399999999999999</v>
      </c>
      <c r="U137" s="752">
        <f>INPUT!BL66</f>
        <v>1.2345679012345734</v>
      </c>
      <c r="V137" s="793">
        <f>INPUT!BM66</f>
        <v>10.7</v>
      </c>
      <c r="W137" s="752">
        <f>INPUT!BN66</f>
        <v>0</v>
      </c>
      <c r="X137" s="793">
        <f>INPUT!BO66</f>
        <v>31</v>
      </c>
      <c r="Y137" s="752">
        <f>INPUT!BP66</f>
        <v>0</v>
      </c>
      <c r="Z137" s="793">
        <f>INPUT!BQ66</f>
        <v>15.9</v>
      </c>
      <c r="AA137" s="752">
        <f>INPUT!BR66</f>
        <v>18.656716417910445</v>
      </c>
      <c r="AB137" s="793">
        <f>INPUT!BS66</f>
        <v>19.399999999999999</v>
      </c>
      <c r="AC137" s="752">
        <f>INPUT!BT66</f>
        <v>0</v>
      </c>
      <c r="AD137" s="793">
        <f>INPUT!BU66</f>
        <v>13.8</v>
      </c>
      <c r="AE137" s="752">
        <f>INPUT!BV66</f>
        <v>0</v>
      </c>
      <c r="AF137" s="793">
        <f>INPUT!BW66</f>
        <v>34.799999999999997</v>
      </c>
      <c r="AG137" s="752">
        <f>INPUT!BX66</f>
        <v>0</v>
      </c>
      <c r="AH137" s="793">
        <f>INPUT!BY66</f>
        <v>14.3</v>
      </c>
      <c r="AI137" s="752">
        <f>INPUT!BZ66</f>
        <v>-10.062893081761004</v>
      </c>
      <c r="AJ137" s="793">
        <f>INPUT!CA66</f>
        <v>17.100000000000001</v>
      </c>
      <c r="AK137" s="752">
        <f>INPUT!CB66</f>
        <v>-11.855670103092775</v>
      </c>
      <c r="AL137" s="793">
        <f>INPUT!CC66</f>
        <v>11.5</v>
      </c>
      <c r="AM137" s="752">
        <f>INPUT!CD66</f>
        <v>-16.666666666666675</v>
      </c>
      <c r="AN137" s="793">
        <f>INPUT!CE66</f>
        <v>37.4</v>
      </c>
      <c r="AO137" s="752">
        <f>INPUT!CF66</f>
        <v>7.4712643678160884</v>
      </c>
      <c r="AP137" s="793">
        <f>INPUT!CG66</f>
        <v>14</v>
      </c>
      <c r="AQ137" s="752">
        <f>INPUT!CH66</f>
        <v>-2.0979020979021046</v>
      </c>
      <c r="AR137" s="793">
        <f>INPUT!CI66</f>
        <v>17.7</v>
      </c>
      <c r="AS137" s="752">
        <f>INPUT!CJ66</f>
        <v>3.5087719298245501</v>
      </c>
      <c r="AT137" s="793">
        <f>INPUT!CK66</f>
        <v>12.4</v>
      </c>
      <c r="AU137" s="752">
        <f>INPUT!CL66</f>
        <v>7.8260869565217384</v>
      </c>
      <c r="AV137" s="793">
        <f>INPUT!CM66</f>
        <v>40.799999999999997</v>
      </c>
      <c r="AW137" s="752">
        <f>INPUT!CN66</f>
        <v>9.0909090909090828</v>
      </c>
      <c r="AX137" s="793">
        <f>INPUT!CO66</f>
        <v>13.4</v>
      </c>
      <c r="AY137" s="752">
        <f>INPUT!CP66</f>
        <v>-4.2857142857142811</v>
      </c>
      <c r="AZ137" s="793">
        <f>INPUT!CQ66</f>
        <v>23.6</v>
      </c>
      <c r="BA137" s="752">
        <f>INPUT!CR66</f>
        <v>33.33333333333335</v>
      </c>
      <c r="BB137" s="793">
        <f>INPUT!CS66</f>
        <v>14.1</v>
      </c>
      <c r="BC137" s="752">
        <f>INPUT!CT66</f>
        <v>13.709677419354826</v>
      </c>
      <c r="BD137" s="793">
        <f>INPUT!CU66</f>
        <v>46.3</v>
      </c>
      <c r="BE137" s="752">
        <f>INPUT!CV66</f>
        <v>13.480392156862742</v>
      </c>
      <c r="BF137" s="793">
        <f>INPUT!CW66</f>
        <v>15.8</v>
      </c>
      <c r="BG137" s="752">
        <f>INPUT!CX66</f>
        <v>17.910447761194035</v>
      </c>
      <c r="BH137" s="793">
        <f>INPUT!CY66</f>
        <v>18.7</v>
      </c>
      <c r="BI137" s="752">
        <f>INPUT!CZ66</f>
        <v>-20.762711864406789</v>
      </c>
      <c r="BJ137" s="793">
        <f>INPUT!DA66</f>
        <v>12.8</v>
      </c>
      <c r="BK137" s="752">
        <f>INPUT!DB66</f>
        <v>-9.2198581560283603</v>
      </c>
      <c r="BL137" s="793">
        <f>INPUT!DC66</f>
        <v>54.6</v>
      </c>
      <c r="BM137" s="752">
        <f>INPUT!DD66</f>
        <v>17.926565874730027</v>
      </c>
      <c r="BN137" s="793">
        <f>INPUT!DE66</f>
        <v>19.8</v>
      </c>
      <c r="BO137" s="752">
        <f>INPUT!DF66</f>
        <v>25.316455696202532</v>
      </c>
      <c r="BP137" s="793">
        <f>INPUT!DG66</f>
        <v>23.3</v>
      </c>
      <c r="BQ137" s="752">
        <f>INPUT!DH66</f>
        <v>24.598930481283432</v>
      </c>
      <c r="BR137" s="793">
        <f>INPUT!DI66</f>
        <v>15.6</v>
      </c>
      <c r="BS137" s="752">
        <f>INPUT!DJ66</f>
        <v>21.875</v>
      </c>
      <c r="BT137" s="793">
        <f>INPUT!DK66</f>
        <v>60.1</v>
      </c>
      <c r="BU137" s="752">
        <f>INPUT!DL66</f>
        <v>10.073260073260082</v>
      </c>
      <c r="BV137" s="793">
        <f>INPUT!DM66</f>
        <v>24</v>
      </c>
      <c r="BW137" s="752">
        <f>INPUT!DN66</f>
        <v>21.212121212121215</v>
      </c>
      <c r="BX137" s="793">
        <f>INPUT!DO66</f>
        <v>32.4</v>
      </c>
      <c r="BY137" s="752">
        <f>INPUT!DP66</f>
        <v>39.055793991416301</v>
      </c>
      <c r="BZ137" s="793">
        <f>INPUT!DQ66</f>
        <v>15.2</v>
      </c>
      <c r="CA137" s="752">
        <f>INPUT!DR66</f>
        <v>-2.5641025641025661</v>
      </c>
      <c r="CB137" s="793">
        <f>INPUT!DS66</f>
        <v>48.1</v>
      </c>
      <c r="CC137" s="752">
        <f>INPUT!DT66</f>
        <v>-19.966722129783697</v>
      </c>
      <c r="CD137" s="793">
        <f>INPUT!DU66</f>
        <v>16.2</v>
      </c>
      <c r="CE137" s="752">
        <f>INPUT!DV66</f>
        <v>-32.500000000000007</v>
      </c>
      <c r="CF137" s="793">
        <f>INPUT!DW66</f>
        <v>24.9</v>
      </c>
      <c r="CG137" s="752">
        <f>INPUT!DX66</f>
        <v>-23.148148148148152</v>
      </c>
      <c r="CH137" s="793">
        <f>INPUT!DY66</f>
        <v>11.7</v>
      </c>
      <c r="CI137" s="752">
        <f>INPUT!DZ66</f>
        <v>-23.026315789473685</v>
      </c>
      <c r="CJ137" s="793">
        <f>INPUT!EA66</f>
        <v>61.8</v>
      </c>
      <c r="CK137" s="752">
        <f>INPUT!EB66</f>
        <v>28.482328482328477</v>
      </c>
      <c r="CL137" s="793">
        <f>INPUT!EC66</f>
        <v>16.899999999999999</v>
      </c>
      <c r="CM137" s="752">
        <f>INPUT!ED66</f>
        <v>4.3209876543209846</v>
      </c>
      <c r="CN137" s="793">
        <f>INPUT!EE66</f>
        <v>27.4</v>
      </c>
      <c r="CO137" s="752">
        <f>INPUT!EF66</f>
        <v>10.040160642570273</v>
      </c>
      <c r="CP137" s="793">
        <f>INPUT!EG66</f>
        <v>20.7</v>
      </c>
      <c r="CQ137" s="752">
        <f>INPUT!EH66</f>
        <v>76.923076923076934</v>
      </c>
      <c r="CR137" s="793">
        <f>INPUT!EI66</f>
        <v>97.5</v>
      </c>
      <c r="CS137" s="752">
        <f>INPUT!EJ66</f>
        <v>57.766990291262132</v>
      </c>
      <c r="CT137" s="793">
        <f>INPUT!EK66</f>
        <v>0</v>
      </c>
      <c r="CU137" s="752" t="str">
        <f>INPUT!EL66</f>
        <v>NM</v>
      </c>
      <c r="CV137" s="793">
        <f>INPUT!EM66</f>
        <v>0</v>
      </c>
      <c r="CW137" s="752" t="str">
        <f>INPUT!EN66</f>
        <v>NM</v>
      </c>
      <c r="CX137" s="793">
        <f>INPUT!EO66</f>
        <v>0</v>
      </c>
      <c r="CY137" s="752" t="str">
        <f>INPUT!EP66</f>
        <v>NM</v>
      </c>
      <c r="CZ137" s="793">
        <f>INPUT!EQ66</f>
        <v>0</v>
      </c>
      <c r="DA137" s="752" t="str">
        <f>INPUT!ER66</f>
        <v>NM</v>
      </c>
      <c r="DB137" s="753"/>
      <c r="DC137" s="793">
        <f>INPUT!FB66</f>
        <v>0</v>
      </c>
      <c r="DD137" s="756">
        <f>INPUT!FC66</f>
        <v>0</v>
      </c>
      <c r="DE137" s="793">
        <f>INPUT!FD66</f>
        <v>129.30000000000001</v>
      </c>
      <c r="DF137" s="756" t="str">
        <f>INPUT!FE66</f>
        <v>NA</v>
      </c>
      <c r="DG137" s="793">
        <f>INPUT!FF66</f>
        <v>127.2</v>
      </c>
      <c r="DH137" s="756">
        <f>INPUT!FG66</f>
        <v>-1.6241299303944357</v>
      </c>
      <c r="DI137" s="793">
        <f>INPUT!FH66</f>
        <v>79.5</v>
      </c>
      <c r="DJ137" s="756">
        <f>INPUT!FI66</f>
        <v>-37.5</v>
      </c>
      <c r="DK137" s="793">
        <f>INPUT!FJ66</f>
        <v>0</v>
      </c>
      <c r="DL137" s="752" t="str">
        <f>INPUT!FK66</f>
        <v>NM</v>
      </c>
      <c r="DM137" s="793" t="str">
        <f>INPUT!FL66</f>
        <v xml:space="preserve"> </v>
      </c>
      <c r="DN137" s="752" t="str">
        <f>INPUT!FM66</f>
        <v>NA</v>
      </c>
      <c r="DO137" s="793" t="str">
        <f>INPUT!FN66</f>
        <v xml:space="preserve"> </v>
      </c>
      <c r="DP137" s="752" t="str">
        <f>INPUT!FO66</f>
        <v>NA</v>
      </c>
      <c r="DQ137" s="793">
        <f>INPUT!FP66</f>
        <v>71.5</v>
      </c>
      <c r="DR137" s="752" t="str">
        <f>INPUT!FQ66</f>
        <v>NA</v>
      </c>
      <c r="DS137" s="750">
        <f>INPUT!FR66</f>
        <v>83.899999999999991</v>
      </c>
      <c r="DT137" s="752">
        <f>INPUT!FS66</f>
        <v>17.34265734265734</v>
      </c>
      <c r="DU137" s="750">
        <f>INPUT!FT66</f>
        <v>80.300000000000011</v>
      </c>
      <c r="DV137" s="752">
        <f>INPUT!FU66</f>
        <v>-4.2908224076281032</v>
      </c>
      <c r="DW137" s="750">
        <f>INPUT!FV66</f>
        <v>84.9</v>
      </c>
      <c r="DX137" s="752">
        <f>INPUT!FW66</f>
        <v>5.7285180572851813</v>
      </c>
      <c r="DY137" s="750">
        <f>INPUT!FX66</f>
        <v>97.4</v>
      </c>
      <c r="DZ137" s="752">
        <f>INPUT!FY66</f>
        <v>14.723203769140159</v>
      </c>
      <c r="EA137" s="750">
        <f>INPUT!FZ66</f>
        <v>101.9</v>
      </c>
      <c r="EB137" s="752">
        <f>INPUT!GA66</f>
        <v>4.62012320328542</v>
      </c>
      <c r="EC137" s="750">
        <f>INPUT!GB66</f>
        <v>118.80000000000001</v>
      </c>
      <c r="ED137" s="752">
        <f>INPUT!GC66</f>
        <v>16.584887144259074</v>
      </c>
      <c r="EE137" s="750">
        <f>INPUT!GD66</f>
        <v>0</v>
      </c>
      <c r="EF137" s="752" t="str">
        <f>INPUT!GE66</f>
        <v>NM</v>
      </c>
      <c r="EG137" s="750">
        <f>INPUT!GF66</f>
        <v>0</v>
      </c>
      <c r="EH137" s="752" t="str">
        <f>INPUT!GG66</f>
        <v>NA</v>
      </c>
      <c r="EI137" s="750">
        <f>INPUT!GH66</f>
        <v>0</v>
      </c>
      <c r="EJ137" s="752" t="str">
        <f>INPUT!GI66</f>
        <v>NA</v>
      </c>
      <c r="EK137" s="750">
        <f>INPUT!GJ66</f>
        <v>0</v>
      </c>
      <c r="EL137" s="752" t="str">
        <f>INPUT!GK66</f>
        <v>NA</v>
      </c>
      <c r="EM137" s="750">
        <f>INPUT!GL66</f>
        <v>0</v>
      </c>
      <c r="EN137" s="752" t="str">
        <f>INPUT!GM66</f>
        <v>NA</v>
      </c>
      <c r="EO137" s="750">
        <f>INPUT!GN66</f>
        <v>0</v>
      </c>
      <c r="EP137" s="752" t="str">
        <f>INPUT!GO66</f>
        <v>NA</v>
      </c>
      <c r="EQ137" s="750">
        <f>INPUT!GP66</f>
        <v>0</v>
      </c>
      <c r="ER137" s="752" t="str">
        <f>INPUT!GQ66</f>
        <v>NA</v>
      </c>
      <c r="ES137" s="750">
        <f>INPUT!GR66</f>
        <v>0</v>
      </c>
      <c r="ET137" s="752" t="str">
        <f>INPUT!GS66</f>
        <v>NA</v>
      </c>
      <c r="EU137" s="756">
        <f>INPUT!GT62</f>
        <v>0</v>
      </c>
      <c r="EV137" s="710"/>
    </row>
    <row r="138" spans="1:152" ht="12.75" hidden="1" customHeight="1" outlineLevel="1" x14ac:dyDescent="0.2">
      <c r="A138" s="754" t="str">
        <f>INPUT!B67</f>
        <v xml:space="preserve">  STD ASO Premium Equivalent</v>
      </c>
      <c r="B138" s="793">
        <f>INPUT!AS67</f>
        <v>1.3</v>
      </c>
      <c r="C138" s="756">
        <f>INPUT!AT67</f>
        <v>85.714285714285737</v>
      </c>
      <c r="D138" s="793">
        <f>INPUT!AU67</f>
        <v>1.9</v>
      </c>
      <c r="E138" s="756" t="str">
        <f>INPUT!AV67</f>
        <v>NM</v>
      </c>
      <c r="F138" s="793">
        <f>INPUT!AW67</f>
        <v>0.4</v>
      </c>
      <c r="G138" s="756">
        <f>INPUT!AX67</f>
        <v>-50</v>
      </c>
      <c r="H138" s="793">
        <f>INPUT!AY67</f>
        <v>6.4</v>
      </c>
      <c r="I138" s="752">
        <f>INPUT!AZ67</f>
        <v>77.777777777777786</v>
      </c>
      <c r="J138" s="793">
        <f>INPUT!BA67</f>
        <v>0.7</v>
      </c>
      <c r="K138" s="752">
        <f>INPUT!BB67</f>
        <v>-46.153846153846153</v>
      </c>
      <c r="L138" s="793">
        <f>INPUT!BC67</f>
        <v>0.8</v>
      </c>
      <c r="M138" s="752" t="str">
        <f>INPUT!BD67</f>
        <v>NM</v>
      </c>
      <c r="N138" s="793">
        <f>INPUT!BE67</f>
        <v>1.5</v>
      </c>
      <c r="O138" s="752" t="str">
        <f>INPUT!BF67</f>
        <v>NM</v>
      </c>
      <c r="P138" s="793">
        <f>INPUT!BG67</f>
        <v>2.6</v>
      </c>
      <c r="Q138" s="752" t="str">
        <f>INPUT!BH67</f>
        <v>NM</v>
      </c>
      <c r="R138" s="793">
        <f>INPUT!BI67</f>
        <v>1.2</v>
      </c>
      <c r="S138" s="752">
        <f>INPUT!BJ67</f>
        <v>71.428571428571445</v>
      </c>
      <c r="T138" s="793">
        <f>INPUT!BK67</f>
        <v>1.7</v>
      </c>
      <c r="U138" s="752" t="str">
        <f>INPUT!BL67</f>
        <v>NM</v>
      </c>
      <c r="V138" s="793">
        <f>INPUT!BM67</f>
        <v>0.5</v>
      </c>
      <c r="W138" s="752">
        <f>INPUT!BN67</f>
        <v>0</v>
      </c>
      <c r="X138" s="793">
        <f>INPUT!BO67</f>
        <v>3.7</v>
      </c>
      <c r="Y138" s="752">
        <f>INPUT!BP67</f>
        <v>0</v>
      </c>
      <c r="Z138" s="793">
        <f>INPUT!BQ67</f>
        <v>0.7</v>
      </c>
      <c r="AA138" s="752">
        <f>INPUT!BR67</f>
        <v>-41.666666666666664</v>
      </c>
      <c r="AB138" s="793">
        <f>INPUT!BS67</f>
        <v>2.2000000000000002</v>
      </c>
      <c r="AC138" s="752">
        <f>INPUT!BT67</f>
        <v>0</v>
      </c>
      <c r="AD138" s="793">
        <f>INPUT!BU67</f>
        <v>0.3</v>
      </c>
      <c r="AE138" s="752">
        <f>INPUT!BV67</f>
        <v>0</v>
      </c>
      <c r="AF138" s="793">
        <f>INPUT!BW67</f>
        <v>4.5</v>
      </c>
      <c r="AG138" s="752">
        <f>INPUT!BX67</f>
        <v>0</v>
      </c>
      <c r="AH138" s="793">
        <f>INPUT!BY67</f>
        <v>0.6</v>
      </c>
      <c r="AI138" s="752">
        <f>INPUT!BZ67</f>
        <v>-14.285714285714279</v>
      </c>
      <c r="AJ138" s="793">
        <f>INPUT!CA67</f>
        <v>1.1000000000000001</v>
      </c>
      <c r="AK138" s="752">
        <f>INPUT!CB67</f>
        <v>-50</v>
      </c>
      <c r="AL138" s="793">
        <f>INPUT!CC67</f>
        <v>0.1</v>
      </c>
      <c r="AM138" s="752" t="str">
        <f>INPUT!CD67</f>
        <v>NM</v>
      </c>
      <c r="AN138" s="793">
        <f>INPUT!CE67</f>
        <v>4.5</v>
      </c>
      <c r="AO138" s="752">
        <f>INPUT!CF67</f>
        <v>0</v>
      </c>
      <c r="AP138" s="793">
        <f>INPUT!CG67</f>
        <v>1.4</v>
      </c>
      <c r="AQ138" s="752" t="str">
        <f>INPUT!CH67</f>
        <v>NM</v>
      </c>
      <c r="AR138" s="793">
        <f>INPUT!CI67</f>
        <v>1.2</v>
      </c>
      <c r="AS138" s="752">
        <f>INPUT!CJ67</f>
        <v>9.0909090909090828</v>
      </c>
      <c r="AT138" s="793">
        <f>INPUT!CK67</f>
        <v>0</v>
      </c>
      <c r="AU138" s="752" t="str">
        <f>INPUT!CL67</f>
        <v>NM</v>
      </c>
      <c r="AV138" s="793">
        <f>INPUT!CM67</f>
        <v>3.4</v>
      </c>
      <c r="AW138" s="752">
        <f>INPUT!CN67</f>
        <v>-24.444444444444446</v>
      </c>
      <c r="AX138" s="793">
        <f>INPUT!CO67</f>
        <v>0.6</v>
      </c>
      <c r="AY138" s="752" t="str">
        <f>INPUT!CP67</f>
        <v>NM</v>
      </c>
      <c r="AZ138" s="793">
        <f>INPUT!CQ67</f>
        <v>0</v>
      </c>
      <c r="BA138" s="752" t="str">
        <f>INPUT!CR67</f>
        <v>NM</v>
      </c>
      <c r="BB138" s="793">
        <f>INPUT!CS67</f>
        <v>0</v>
      </c>
      <c r="BC138" s="752" t="str">
        <f>INPUT!CT67</f>
        <v>NA</v>
      </c>
      <c r="BD138" s="793">
        <f>INPUT!CU67</f>
        <v>0</v>
      </c>
      <c r="BE138" s="752" t="str">
        <f>INPUT!CV67</f>
        <v>NM</v>
      </c>
      <c r="BF138" s="793">
        <f>INPUT!CW67</f>
        <v>0</v>
      </c>
      <c r="BG138" s="752" t="str">
        <f>INPUT!CX67</f>
        <v>NM</v>
      </c>
      <c r="BH138" s="793">
        <f>INPUT!CY67</f>
        <v>0</v>
      </c>
      <c r="BI138" s="752" t="str">
        <f>INPUT!CZ67</f>
        <v>NA</v>
      </c>
      <c r="BJ138" s="793">
        <f>INPUT!DA67</f>
        <v>0</v>
      </c>
      <c r="BK138" s="752" t="str">
        <f>INPUT!DB67</f>
        <v>NA</v>
      </c>
      <c r="BL138" s="793">
        <f>INPUT!DC67</f>
        <v>0</v>
      </c>
      <c r="BM138" s="752" t="str">
        <f>INPUT!DD67</f>
        <v>NA</v>
      </c>
      <c r="BN138" s="793">
        <f>INPUT!DE67</f>
        <v>0</v>
      </c>
      <c r="BO138" s="752" t="str">
        <f>INPUT!DF67</f>
        <v>NA</v>
      </c>
      <c r="BP138" s="793">
        <f>INPUT!DG67</f>
        <v>0</v>
      </c>
      <c r="BQ138" s="752" t="str">
        <f>INPUT!DH67</f>
        <v>NA</v>
      </c>
      <c r="BR138" s="793">
        <f>INPUT!DI67</f>
        <v>0</v>
      </c>
      <c r="BS138" s="752" t="str">
        <f>INPUT!DJ67</f>
        <v>NA</v>
      </c>
      <c r="BT138" s="793">
        <f>INPUT!DK67</f>
        <v>0</v>
      </c>
      <c r="BU138" s="752" t="str">
        <f>INPUT!DL67</f>
        <v>NA</v>
      </c>
      <c r="BV138" s="793">
        <f>INPUT!DM67</f>
        <v>0</v>
      </c>
      <c r="BW138" s="752" t="str">
        <f>INPUT!DN67</f>
        <v>NA</v>
      </c>
      <c r="BX138" s="793">
        <f>INPUT!DO67</f>
        <v>0</v>
      </c>
      <c r="BY138" s="752" t="str">
        <f>INPUT!DP67</f>
        <v>NA</v>
      </c>
      <c r="BZ138" s="793">
        <f>INPUT!DQ67</f>
        <v>0</v>
      </c>
      <c r="CA138" s="752" t="str">
        <f>INPUT!DR67</f>
        <v>NA</v>
      </c>
      <c r="CB138" s="793">
        <f>INPUT!DS67</f>
        <v>0</v>
      </c>
      <c r="CC138" s="752" t="str">
        <f>INPUT!DT67</f>
        <v>NA</v>
      </c>
      <c r="CD138" s="793">
        <f>INPUT!DU67</f>
        <v>0</v>
      </c>
      <c r="CE138" s="752" t="str">
        <f>INPUT!DV67</f>
        <v>NA</v>
      </c>
      <c r="CF138" s="793">
        <f>INPUT!DW67</f>
        <v>0</v>
      </c>
      <c r="CG138" s="752" t="str">
        <f>INPUT!DX67</f>
        <v>NA</v>
      </c>
      <c r="CH138" s="793">
        <f>INPUT!DY67</f>
        <v>0</v>
      </c>
      <c r="CI138" s="752" t="str">
        <f>INPUT!DZ67</f>
        <v>NA</v>
      </c>
      <c r="CJ138" s="793">
        <f>INPUT!EA67</f>
        <v>0</v>
      </c>
      <c r="CK138" s="752" t="str">
        <f>INPUT!EB67</f>
        <v>NA</v>
      </c>
      <c r="CL138" s="793">
        <f>INPUT!EC67</f>
        <v>0</v>
      </c>
      <c r="CM138" s="752" t="str">
        <f>INPUT!ED67</f>
        <v>NA</v>
      </c>
      <c r="CN138" s="793">
        <f>INPUT!EE67</f>
        <v>0</v>
      </c>
      <c r="CO138" s="752" t="str">
        <f>INPUT!EF67</f>
        <v>NA</v>
      </c>
      <c r="CP138" s="793">
        <f>INPUT!EG67</f>
        <v>0</v>
      </c>
      <c r="CQ138" s="752" t="str">
        <f>INPUT!EH67</f>
        <v>NA</v>
      </c>
      <c r="CR138" s="793">
        <f>INPUT!EI67</f>
        <v>0</v>
      </c>
      <c r="CS138" s="752" t="str">
        <f>INPUT!EJ67</f>
        <v>NA</v>
      </c>
      <c r="CT138" s="793">
        <f>INPUT!EK67</f>
        <v>0</v>
      </c>
      <c r="CU138" s="752" t="str">
        <f>INPUT!EL67</f>
        <v>NA</v>
      </c>
      <c r="CV138" s="793">
        <f>INPUT!EM67</f>
        <v>0</v>
      </c>
      <c r="CW138" s="752" t="str">
        <f>INPUT!EN67</f>
        <v>NA</v>
      </c>
      <c r="CX138" s="793">
        <f>INPUT!EO67</f>
        <v>0</v>
      </c>
      <c r="CY138" s="752" t="str">
        <f>INPUT!EP67</f>
        <v>NA</v>
      </c>
      <c r="CZ138" s="793">
        <f>INPUT!EQ67</f>
        <v>0</v>
      </c>
      <c r="DA138" s="752" t="str">
        <f>INPUT!ER67</f>
        <v>NA</v>
      </c>
      <c r="DB138" s="753"/>
      <c r="DC138" s="793">
        <f>INPUT!FB67</f>
        <v>0</v>
      </c>
      <c r="DD138" s="756">
        <f>INPUT!FC67</f>
        <v>0</v>
      </c>
      <c r="DE138" s="793">
        <f>INPUT!FD67</f>
        <v>20.2</v>
      </c>
      <c r="DF138" s="756" t="str">
        <f>INPUT!FE67</f>
        <v>NA</v>
      </c>
      <c r="DG138" s="793">
        <f>INPUT!FF67</f>
        <v>14.4</v>
      </c>
      <c r="DH138" s="756">
        <f>INPUT!FG67</f>
        <v>-28.712871287128706</v>
      </c>
      <c r="DI138" s="793">
        <f>INPUT!FH67</f>
        <v>7.3</v>
      </c>
      <c r="DJ138" s="756">
        <f>INPUT!FI67</f>
        <v>-49.305555555555557</v>
      </c>
      <c r="DK138" s="793">
        <f>INPUT!FJ67</f>
        <v>0</v>
      </c>
      <c r="DL138" s="752" t="str">
        <f>INPUT!FK67</f>
        <v>NM</v>
      </c>
      <c r="DM138" s="793">
        <f>INPUT!FL67</f>
        <v>0</v>
      </c>
      <c r="DN138" s="752" t="str">
        <f>INPUT!FM67</f>
        <v>NA</v>
      </c>
      <c r="DO138" s="793">
        <f>INPUT!FN67</f>
        <v>0</v>
      </c>
      <c r="DP138" s="752" t="str">
        <f>INPUT!FO67</f>
        <v>NA</v>
      </c>
      <c r="DQ138" s="793">
        <f>INPUT!FP67</f>
        <v>7.1</v>
      </c>
      <c r="DR138" s="752" t="str">
        <f>INPUT!FQ67</f>
        <v>NA</v>
      </c>
      <c r="DS138" s="750">
        <f>INPUT!FR67</f>
        <v>7.7</v>
      </c>
      <c r="DT138" s="752">
        <f>INPUT!FS67</f>
        <v>8.4507042253521227</v>
      </c>
      <c r="DU138" s="750">
        <f>INPUT!FT67</f>
        <v>6.3000000000000007</v>
      </c>
      <c r="DV138" s="752">
        <f>INPUT!FU67</f>
        <v>-18.181818181818176</v>
      </c>
      <c r="DW138" s="750">
        <f>INPUT!FV67</f>
        <v>6</v>
      </c>
      <c r="DX138" s="752">
        <f>INPUT!FW67</f>
        <v>-4.7619047619047672</v>
      </c>
      <c r="DY138" s="750">
        <f>INPUT!FX67</f>
        <v>0.6</v>
      </c>
      <c r="DZ138" s="752" t="str">
        <f>INPUT!FY67</f>
        <v>NM</v>
      </c>
      <c r="EA138" s="750">
        <f>INPUT!FZ67</f>
        <v>0</v>
      </c>
      <c r="EB138" s="752" t="str">
        <f>INPUT!GA67</f>
        <v>NM</v>
      </c>
      <c r="EC138" s="750">
        <f>INPUT!GB67</f>
        <v>0</v>
      </c>
      <c r="ED138" s="752" t="str">
        <f>INPUT!GC67</f>
        <v>NA</v>
      </c>
      <c r="EE138" s="750">
        <f>INPUT!GD67</f>
        <v>0</v>
      </c>
      <c r="EF138" s="752" t="str">
        <f>INPUT!GE67</f>
        <v>NA</v>
      </c>
      <c r="EG138" s="750">
        <f>INPUT!GF67</f>
        <v>0</v>
      </c>
      <c r="EH138" s="752" t="str">
        <f>INPUT!GG67</f>
        <v>NA</v>
      </c>
      <c r="EI138" s="750">
        <f>INPUT!GH67</f>
        <v>0</v>
      </c>
      <c r="EJ138" s="752" t="str">
        <f>INPUT!GI67</f>
        <v>NA</v>
      </c>
      <c r="EK138" s="750">
        <f>INPUT!GJ67</f>
        <v>0</v>
      </c>
      <c r="EL138" s="752" t="str">
        <f>INPUT!GK67</f>
        <v>NA</v>
      </c>
      <c r="EM138" s="750">
        <f>INPUT!GL67</f>
        <v>0</v>
      </c>
      <c r="EN138" s="752" t="str">
        <f>INPUT!GM67</f>
        <v>NA</v>
      </c>
      <c r="EO138" s="750">
        <f>INPUT!GN67</f>
        <v>0</v>
      </c>
      <c r="EP138" s="752" t="str">
        <f>INPUT!GO67</f>
        <v>NA</v>
      </c>
      <c r="EQ138" s="750">
        <f>INPUT!GP67</f>
        <v>0</v>
      </c>
      <c r="ER138" s="752" t="str">
        <f>INPUT!GQ67</f>
        <v>NA</v>
      </c>
      <c r="ES138" s="750">
        <f>INPUT!GR67</f>
        <v>0</v>
      </c>
      <c r="ET138" s="752" t="str">
        <f>INPUT!GS67</f>
        <v>NA</v>
      </c>
      <c r="EU138" s="756">
        <f>INPUT!GT63</f>
        <v>0</v>
      </c>
      <c r="EV138" s="710"/>
    </row>
    <row r="139" spans="1:152" ht="12.75" hidden="1" customHeight="1" outlineLevel="1" x14ac:dyDescent="0.2">
      <c r="A139" s="754" t="str">
        <f>INPUT!B68</f>
        <v>Group Short Term Income Protection</v>
      </c>
      <c r="B139" s="793">
        <f>INPUT!AS68</f>
        <v>13.3</v>
      </c>
      <c r="C139" s="756">
        <f>INPUT!AT68</f>
        <v>-20.359281437125741</v>
      </c>
      <c r="D139" s="793">
        <f>INPUT!AU68</f>
        <v>20.7</v>
      </c>
      <c r="E139" s="756">
        <f>INPUT!AV68</f>
        <v>34.415584415584433</v>
      </c>
      <c r="F139" s="793">
        <f>INPUT!AW68</f>
        <v>10.200000000000001</v>
      </c>
      <c r="G139" s="756">
        <f>INPUT!AX68</f>
        <v>-17.073170731707311</v>
      </c>
      <c r="H139" s="793">
        <f>INPUT!AY68</f>
        <v>39.9</v>
      </c>
      <c r="I139" s="752">
        <f>INPUT!AZ68</f>
        <v>10.220994475138113</v>
      </c>
      <c r="J139" s="793">
        <f>INPUT!BA68</f>
        <v>15.899999999999999</v>
      </c>
      <c r="K139" s="752">
        <f>INPUT!BB68</f>
        <v>19.548872180451117</v>
      </c>
      <c r="L139" s="793">
        <f>INPUT!BC68</f>
        <v>17</v>
      </c>
      <c r="M139" s="752">
        <f>INPUT!BD68</f>
        <v>-17.874396135265702</v>
      </c>
      <c r="N139" s="793">
        <f>INPUT!BE68</f>
        <v>10</v>
      </c>
      <c r="O139" s="752">
        <f>INPUT!BF68</f>
        <v>-1.9607843137255054</v>
      </c>
      <c r="P139" s="793">
        <f>INPUT!BG68</f>
        <v>27.400000000000002</v>
      </c>
      <c r="Q139" s="752">
        <f>INPUT!BH68</f>
        <v>-31.328320802005006</v>
      </c>
      <c r="R139" s="793">
        <f>INPUT!BI68</f>
        <v>14.6</v>
      </c>
      <c r="S139" s="752">
        <f>INPUT!BJ68</f>
        <v>-8.1761006289308149</v>
      </c>
      <c r="T139" s="793">
        <f>INPUT!BK68</f>
        <v>18.099999999999998</v>
      </c>
      <c r="U139" s="752">
        <f>INPUT!BL68</f>
        <v>6.4705882352940947</v>
      </c>
      <c r="V139" s="793">
        <f>INPUT!BM68</f>
        <v>11.2</v>
      </c>
      <c r="W139" s="752">
        <f>INPUT!BN68</f>
        <v>0</v>
      </c>
      <c r="X139" s="793">
        <f>INPUT!BO68</f>
        <v>34.700000000000003</v>
      </c>
      <c r="Y139" s="752">
        <f>INPUT!BP68</f>
        <v>0</v>
      </c>
      <c r="Z139" s="793">
        <f>INPUT!BQ68</f>
        <v>16.600000000000001</v>
      </c>
      <c r="AA139" s="752">
        <f>INPUT!BR68</f>
        <v>13.698630136986312</v>
      </c>
      <c r="AB139" s="793">
        <f>INPUT!BS68</f>
        <v>21.599999999999998</v>
      </c>
      <c r="AC139" s="752">
        <f>INPUT!BT68</f>
        <v>0</v>
      </c>
      <c r="AD139" s="793">
        <f>INPUT!BU68</f>
        <v>14.100000000000001</v>
      </c>
      <c r="AE139" s="752">
        <f>INPUT!BV68</f>
        <v>0</v>
      </c>
      <c r="AF139" s="793">
        <f>INPUT!BW68</f>
        <v>39.299999999999997</v>
      </c>
      <c r="AG139" s="752">
        <f>INPUT!BX68</f>
        <v>0</v>
      </c>
      <c r="AH139" s="793">
        <f>INPUT!BY68</f>
        <v>14.9</v>
      </c>
      <c r="AI139" s="752">
        <f>INPUT!BZ68</f>
        <v>-10.240963855421692</v>
      </c>
      <c r="AJ139" s="793">
        <f>INPUT!CA68</f>
        <v>18.200000000000003</v>
      </c>
      <c r="AK139" s="752">
        <f>INPUT!CB68</f>
        <v>-15.740740740740723</v>
      </c>
      <c r="AL139" s="793">
        <f>INPUT!CC68</f>
        <v>11.6</v>
      </c>
      <c r="AM139" s="752">
        <f>INPUT!CD68</f>
        <v>-17.730496453900724</v>
      </c>
      <c r="AN139" s="793">
        <f>INPUT!CE68</f>
        <v>41.9</v>
      </c>
      <c r="AO139" s="752">
        <f>INPUT!CF68</f>
        <v>6.61577608142494</v>
      </c>
      <c r="AP139" s="793">
        <f>INPUT!CG68</f>
        <v>15.4</v>
      </c>
      <c r="AQ139" s="752">
        <f>INPUT!CH68</f>
        <v>3.3557046979865834</v>
      </c>
      <c r="AR139" s="793">
        <f>INPUT!CI68</f>
        <v>18.899999999999999</v>
      </c>
      <c r="AS139" s="752">
        <f>INPUT!CJ68</f>
        <v>3.8461538461538325</v>
      </c>
      <c r="AT139" s="793">
        <f>INPUT!CK68</f>
        <v>12.4</v>
      </c>
      <c r="AU139" s="752">
        <f>INPUT!CL68</f>
        <v>6.8965517241379448</v>
      </c>
      <c r="AV139" s="793">
        <f>INPUT!CM68</f>
        <v>44.199999999999996</v>
      </c>
      <c r="AW139" s="752">
        <f>INPUT!CN68</f>
        <v>5.4892601431980825</v>
      </c>
      <c r="AX139" s="793">
        <f>INPUT!CO68</f>
        <v>14</v>
      </c>
      <c r="AY139" s="752">
        <f>INPUT!CP68</f>
        <v>-9.0909090909090935</v>
      </c>
      <c r="AZ139" s="793">
        <f>INPUT!CQ68</f>
        <v>23.6</v>
      </c>
      <c r="BA139" s="752">
        <f>INPUT!CR68</f>
        <v>24.867724867724881</v>
      </c>
      <c r="BB139" s="793">
        <f>INPUT!CS68</f>
        <v>14.1</v>
      </c>
      <c r="BC139" s="752">
        <f>INPUT!CT68</f>
        <v>13.709677419354826</v>
      </c>
      <c r="BD139" s="793">
        <f>INPUT!CU68</f>
        <v>46.3</v>
      </c>
      <c r="BE139" s="752">
        <f>INPUT!CV68</f>
        <v>4.7511312217194623</v>
      </c>
      <c r="BF139" s="793">
        <f>INPUT!CW68</f>
        <v>15.8</v>
      </c>
      <c r="BG139" s="752">
        <f>INPUT!CX68</f>
        <v>12.857142857142856</v>
      </c>
      <c r="BH139" s="793">
        <f>INPUT!CY68</f>
        <v>18.7</v>
      </c>
      <c r="BI139" s="752">
        <f>INPUT!CZ68</f>
        <v>-20.762711864406789</v>
      </c>
      <c r="BJ139" s="793">
        <f>INPUT!DA68</f>
        <v>12.8</v>
      </c>
      <c r="BK139" s="752">
        <f>INPUT!DB68</f>
        <v>-9.2198581560283603</v>
      </c>
      <c r="BL139" s="793">
        <f>INPUT!DC68</f>
        <v>54.6</v>
      </c>
      <c r="BM139" s="752">
        <f>INPUT!DD68</f>
        <v>17.926565874730027</v>
      </c>
      <c r="BN139" s="793">
        <f>INPUT!DE68</f>
        <v>19.8</v>
      </c>
      <c r="BO139" s="752">
        <f>INPUT!DF68</f>
        <v>25.316455696202532</v>
      </c>
      <c r="BP139" s="793">
        <f>INPUT!DG68</f>
        <v>23.3</v>
      </c>
      <c r="BQ139" s="752">
        <f>INPUT!DH68</f>
        <v>24.598930481283432</v>
      </c>
      <c r="BR139" s="793">
        <f>INPUT!DI68</f>
        <v>15.6</v>
      </c>
      <c r="BS139" s="752">
        <f>INPUT!DJ68</f>
        <v>21.875</v>
      </c>
      <c r="BT139" s="793">
        <f>INPUT!DK68</f>
        <v>60.1</v>
      </c>
      <c r="BU139" s="752">
        <f>INPUT!DL68</f>
        <v>10.073260073260082</v>
      </c>
      <c r="BV139" s="793">
        <f>INPUT!DM68</f>
        <v>24</v>
      </c>
      <c r="BW139" s="752">
        <f>INPUT!DN68</f>
        <v>21.212121212121215</v>
      </c>
      <c r="BX139" s="793">
        <f>INPUT!DO68</f>
        <v>32.4</v>
      </c>
      <c r="BY139" s="752">
        <f>INPUT!DP68</f>
        <v>39.055793991416301</v>
      </c>
      <c r="BZ139" s="793">
        <f>INPUT!DQ68</f>
        <v>15.2</v>
      </c>
      <c r="CA139" s="752">
        <f>INPUT!DR68</f>
        <v>-2.5641025641025661</v>
      </c>
      <c r="CB139" s="793">
        <f>INPUT!DS68</f>
        <v>48.1</v>
      </c>
      <c r="CC139" s="752">
        <f>INPUT!DT68</f>
        <v>-19.966722129783697</v>
      </c>
      <c r="CD139" s="793">
        <f>INPUT!DU68</f>
        <v>16.2</v>
      </c>
      <c r="CE139" s="752">
        <f>INPUT!DV68</f>
        <v>-32.500000000000007</v>
      </c>
      <c r="CF139" s="793">
        <f>INPUT!DW68</f>
        <v>24.9</v>
      </c>
      <c r="CG139" s="752">
        <f>INPUT!DX68</f>
        <v>-23.148148148148152</v>
      </c>
      <c r="CH139" s="793">
        <f>INPUT!DY68</f>
        <v>11.7</v>
      </c>
      <c r="CI139" s="752">
        <f>INPUT!DZ68</f>
        <v>-23.026315789473685</v>
      </c>
      <c r="CJ139" s="793">
        <f>INPUT!EA68</f>
        <v>61.8</v>
      </c>
      <c r="CK139" s="752">
        <f>INPUT!EB68</f>
        <v>28.482328482328477</v>
      </c>
      <c r="CL139" s="793">
        <f>INPUT!EC68</f>
        <v>16.899999999999999</v>
      </c>
      <c r="CM139" s="752">
        <f>INPUT!ED68</f>
        <v>4.3209876543209846</v>
      </c>
      <c r="CN139" s="793">
        <f>INPUT!EE68</f>
        <v>27.4</v>
      </c>
      <c r="CO139" s="752">
        <f>INPUT!EF68</f>
        <v>10.040160642570273</v>
      </c>
      <c r="CP139" s="793">
        <f>INPUT!EG68</f>
        <v>20.7</v>
      </c>
      <c r="CQ139" s="752">
        <f>INPUT!EH68</f>
        <v>76.923076923076934</v>
      </c>
      <c r="CR139" s="793">
        <f>INPUT!EI68</f>
        <v>97.5</v>
      </c>
      <c r="CS139" s="752">
        <f>INPUT!EJ68</f>
        <v>57.766990291262132</v>
      </c>
      <c r="CT139" s="793">
        <f>INPUT!EK68</f>
        <v>0</v>
      </c>
      <c r="CU139" s="752" t="str">
        <f>INPUT!EL68</f>
        <v>NM</v>
      </c>
      <c r="CV139" s="793">
        <f>INPUT!EM68</f>
        <v>0</v>
      </c>
      <c r="CW139" s="752" t="str">
        <f>INPUT!EN68</f>
        <v>NM</v>
      </c>
      <c r="CX139" s="793">
        <f>INPUT!EO68</f>
        <v>0</v>
      </c>
      <c r="CY139" s="752" t="str">
        <f>INPUT!EP68</f>
        <v>NM</v>
      </c>
      <c r="CZ139" s="793">
        <f>INPUT!EQ68</f>
        <v>0</v>
      </c>
      <c r="DA139" s="752" t="str">
        <f>INPUT!ER68</f>
        <v>NM</v>
      </c>
      <c r="DB139" s="753"/>
      <c r="DC139" s="793">
        <f>INPUT!FB68</f>
        <v>0</v>
      </c>
      <c r="DD139" s="756">
        <f>INPUT!FC68</f>
        <v>0</v>
      </c>
      <c r="DE139" s="793">
        <f>INPUT!FD68</f>
        <v>149.5</v>
      </c>
      <c r="DF139" s="756" t="str">
        <f>INPUT!FE68</f>
        <v>NA</v>
      </c>
      <c r="DG139" s="793">
        <f>INPUT!FF68</f>
        <v>141.6</v>
      </c>
      <c r="DH139" s="756">
        <f>INPUT!FG68</f>
        <v>-5.2842809364548549</v>
      </c>
      <c r="DI139" s="793">
        <f>INPUT!FH68</f>
        <v>86.8</v>
      </c>
      <c r="DJ139" s="756">
        <f>INPUT!FI68</f>
        <v>-38.700564971751419</v>
      </c>
      <c r="DK139" s="793">
        <f>INPUT!FJ68</f>
        <v>0</v>
      </c>
      <c r="DL139" s="752" t="str">
        <f>INPUT!FK68</f>
        <v>NM</v>
      </c>
      <c r="DM139" s="793">
        <f>INPUT!FL68</f>
        <v>0</v>
      </c>
      <c r="DN139" s="752" t="str">
        <f>INPUT!FM68</f>
        <v>NA</v>
      </c>
      <c r="DO139" s="793">
        <f>INPUT!FN68</f>
        <v>0</v>
      </c>
      <c r="DP139" s="752" t="str">
        <f>INPUT!FO68</f>
        <v>NA</v>
      </c>
      <c r="DQ139" s="793">
        <f>INPUT!FP68</f>
        <v>78.599999999999994</v>
      </c>
      <c r="DR139" s="752" t="str">
        <f>INPUT!FQ68</f>
        <v>NA</v>
      </c>
      <c r="DS139" s="750">
        <f>INPUT!FR68</f>
        <v>91.6</v>
      </c>
      <c r="DT139" s="752">
        <f>INPUT!FS68</f>
        <v>16.53944020356235</v>
      </c>
      <c r="DU139" s="750">
        <f>INPUT!FT68</f>
        <v>86.600000000000009</v>
      </c>
      <c r="DV139" s="752">
        <f>INPUT!FU68</f>
        <v>-5.4585152838427797</v>
      </c>
      <c r="DW139" s="750">
        <f>INPUT!FV68</f>
        <v>90.9</v>
      </c>
      <c r="DX139" s="752">
        <f>INPUT!FW68</f>
        <v>4.9653579676674386</v>
      </c>
      <c r="DY139" s="750">
        <f>INPUT!FX68</f>
        <v>98</v>
      </c>
      <c r="DZ139" s="752">
        <f>INPUT!FY68</f>
        <v>7.810781078107798</v>
      </c>
      <c r="EA139" s="750">
        <f>INPUT!FZ68</f>
        <v>101.9</v>
      </c>
      <c r="EB139" s="752">
        <f>INPUT!GA68</f>
        <v>3.9795918367347083</v>
      </c>
      <c r="EC139" s="750">
        <f>INPUT!GB68</f>
        <v>118.80000000000001</v>
      </c>
      <c r="ED139" s="752">
        <f>INPUT!GC68</f>
        <v>16.584887144259074</v>
      </c>
      <c r="EE139" s="750">
        <f>INPUT!GD68</f>
        <v>0</v>
      </c>
      <c r="EF139" s="752" t="str">
        <f>INPUT!GE68</f>
        <v>NM</v>
      </c>
      <c r="EG139" s="750">
        <f>INPUT!GF68</f>
        <v>0</v>
      </c>
      <c r="EH139" s="752" t="str">
        <f>INPUT!GG68</f>
        <v>NA</v>
      </c>
      <c r="EI139" s="750">
        <f>INPUT!GH68</f>
        <v>0</v>
      </c>
      <c r="EJ139" s="752" t="str">
        <f>INPUT!GI68</f>
        <v>NA</v>
      </c>
      <c r="EK139" s="750">
        <f>INPUT!GJ68</f>
        <v>0</v>
      </c>
      <c r="EL139" s="752" t="str">
        <f>INPUT!GK68</f>
        <v>NA</v>
      </c>
      <c r="EM139" s="750">
        <f>INPUT!GL68</f>
        <v>0</v>
      </c>
      <c r="EN139" s="752" t="str">
        <f>INPUT!GM68</f>
        <v>NA</v>
      </c>
      <c r="EO139" s="750">
        <f>INPUT!GN68</f>
        <v>0</v>
      </c>
      <c r="EP139" s="752" t="str">
        <f>INPUT!GO68</f>
        <v>NA</v>
      </c>
      <c r="EQ139" s="750">
        <f>INPUT!GP68</f>
        <v>0</v>
      </c>
      <c r="ER139" s="752" t="str">
        <f>INPUT!GQ68</f>
        <v>NA</v>
      </c>
      <c r="ES139" s="750">
        <f>INPUT!GR68</f>
        <v>0</v>
      </c>
      <c r="ET139" s="752" t="str">
        <f>INPUT!GS68</f>
        <v>NA</v>
      </c>
      <c r="EU139" s="756">
        <f>INPUT!GT64</f>
        <v>0</v>
      </c>
      <c r="EV139" s="710"/>
    </row>
    <row r="140" spans="1:152" ht="12.75" hidden="1" customHeight="1" outlineLevel="1" x14ac:dyDescent="0.2">
      <c r="A140" s="754" t="str">
        <f>INPUT!B70</f>
        <v>Total Group Inc Protection Sales</v>
      </c>
      <c r="B140" s="793">
        <f>INPUT!AS70</f>
        <v>56.400000000000006</v>
      </c>
      <c r="C140" s="756">
        <f>INPUT!AT70</f>
        <v>4.8327137546468668</v>
      </c>
      <c r="D140" s="793">
        <f>INPUT!AU70</f>
        <v>72.099999999999994</v>
      </c>
      <c r="E140" s="756">
        <f>INPUT!AV70</f>
        <v>13.364779874213827</v>
      </c>
      <c r="F140" s="793">
        <f>INPUT!AW70</f>
        <v>35.6</v>
      </c>
      <c r="G140" s="756">
        <f>INPUT!AX70</f>
        <v>-12.745098039215675</v>
      </c>
      <c r="H140" s="793">
        <f>INPUT!AY70</f>
        <v>132.19999999999999</v>
      </c>
      <c r="I140" s="752">
        <f>INPUT!AZ70</f>
        <v>26.386233269598456</v>
      </c>
      <c r="J140" s="793">
        <f>INPUT!BA70</f>
        <v>41.4</v>
      </c>
      <c r="K140" s="752">
        <f>INPUT!BB70</f>
        <v>-26.595744680851073</v>
      </c>
      <c r="L140" s="793">
        <f>INPUT!BC70</f>
        <v>71.599999999999994</v>
      </c>
      <c r="M140" s="752">
        <f>INPUT!BD70</f>
        <v>-0.69348127600554754</v>
      </c>
      <c r="N140" s="793">
        <f>INPUT!BE70</f>
        <v>33.9</v>
      </c>
      <c r="O140" s="752">
        <f>INPUT!BF70</f>
        <v>-4.7752808988764102</v>
      </c>
      <c r="P140" s="793">
        <f>INPUT!BG70</f>
        <v>102.7</v>
      </c>
      <c r="Q140" s="752">
        <f>INPUT!BH70</f>
        <v>-22.314674735249618</v>
      </c>
      <c r="R140" s="793">
        <f>INPUT!BI70</f>
        <v>51.900000000000006</v>
      </c>
      <c r="S140" s="752">
        <f>INPUT!BJ70</f>
        <v>25.362318840579732</v>
      </c>
      <c r="T140" s="793">
        <f>INPUT!BK70</f>
        <v>63.5</v>
      </c>
      <c r="U140" s="752">
        <f>INPUT!BL70</f>
        <v>-11.312849162011162</v>
      </c>
      <c r="V140" s="793">
        <f>INPUT!BM70</f>
        <v>42.7</v>
      </c>
      <c r="W140" s="752">
        <f>INPUT!BN70</f>
        <v>0</v>
      </c>
      <c r="X140" s="793">
        <f>INPUT!BO70</f>
        <v>112.2</v>
      </c>
      <c r="Y140" s="752">
        <f>INPUT!BP70</f>
        <v>0</v>
      </c>
      <c r="Z140" s="793">
        <f>INPUT!BQ70</f>
        <v>48.3</v>
      </c>
      <c r="AA140" s="752">
        <f>INPUT!BR70</f>
        <v>-6.936416184971117</v>
      </c>
      <c r="AB140" s="793">
        <f>INPUT!BS70</f>
        <v>75.899999999999991</v>
      </c>
      <c r="AC140" s="752">
        <f>INPUT!BT70</f>
        <v>0</v>
      </c>
      <c r="AD140" s="793">
        <f>INPUT!BU70</f>
        <v>34.799999999999997</v>
      </c>
      <c r="AE140" s="752">
        <f>INPUT!BV70</f>
        <v>0</v>
      </c>
      <c r="AF140" s="793">
        <f>INPUT!BW70</f>
        <v>114.7</v>
      </c>
      <c r="AG140" s="752">
        <f>INPUT!BX70</f>
        <v>0</v>
      </c>
      <c r="AH140" s="793">
        <f>INPUT!BY70</f>
        <v>42.5</v>
      </c>
      <c r="AI140" s="752">
        <f>INPUT!BZ70</f>
        <v>-12.008281573498959</v>
      </c>
      <c r="AJ140" s="793">
        <f>INPUT!CA70</f>
        <v>50.400000000000006</v>
      </c>
      <c r="AK140" s="752">
        <f>INPUT!CB70</f>
        <v>-33.596837944664017</v>
      </c>
      <c r="AL140" s="793">
        <f>INPUT!CC70</f>
        <v>32.799999999999997</v>
      </c>
      <c r="AM140" s="752">
        <f>INPUT!CD70</f>
        <v>-5.7471264367816133</v>
      </c>
      <c r="AN140" s="793">
        <f>INPUT!CE70</f>
        <v>109.19999999999999</v>
      </c>
      <c r="AO140" s="752">
        <f>INPUT!CF70</f>
        <v>-4.7951176983435211</v>
      </c>
      <c r="AP140" s="793">
        <f>INPUT!CG70</f>
        <v>44.9</v>
      </c>
      <c r="AQ140" s="752">
        <f>INPUT!CH70</f>
        <v>5.647058823529405</v>
      </c>
      <c r="AR140" s="793">
        <f>INPUT!CI70</f>
        <v>57.199999999999996</v>
      </c>
      <c r="AS140" s="752">
        <f>INPUT!CJ70</f>
        <v>13.492063492063465</v>
      </c>
      <c r="AT140" s="793">
        <f>INPUT!CK70</f>
        <v>34.4</v>
      </c>
      <c r="AU140" s="752">
        <f>INPUT!CL70</f>
        <v>4.8780487804878092</v>
      </c>
      <c r="AV140" s="793">
        <f>INPUT!CM70</f>
        <v>119.4</v>
      </c>
      <c r="AW140" s="752">
        <f>INPUT!CN70</f>
        <v>9.3406593406593519</v>
      </c>
      <c r="AX140" s="793">
        <f>INPUT!CO70</f>
        <v>49.8</v>
      </c>
      <c r="AY140" s="752">
        <f>INPUT!CP70</f>
        <v>10.913140311804014</v>
      </c>
      <c r="AZ140" s="793">
        <f>INPUT!CQ70</f>
        <v>59.6</v>
      </c>
      <c r="BA140" s="752">
        <f>INPUT!CR70</f>
        <v>4.1958041958042092</v>
      </c>
      <c r="BB140" s="793">
        <f>INPUT!CS70</f>
        <v>37.700000000000003</v>
      </c>
      <c r="BC140" s="752">
        <f>INPUT!CT70</f>
        <v>9.5930232558139714</v>
      </c>
      <c r="BD140" s="793">
        <f>INPUT!CU70</f>
        <v>133.1</v>
      </c>
      <c r="BE140" s="752">
        <f>INPUT!CV70</f>
        <v>11.474036850921255</v>
      </c>
      <c r="BF140" s="793">
        <f>INPUT!CW70</f>
        <v>46.900000000000006</v>
      </c>
      <c r="BG140" s="752">
        <f>INPUT!CX70</f>
        <v>-5.8232931726907466</v>
      </c>
      <c r="BH140" s="793">
        <f>INPUT!CY70</f>
        <v>51.5</v>
      </c>
      <c r="BI140" s="752">
        <f>INPUT!CZ70</f>
        <v>-13.590604026845643</v>
      </c>
      <c r="BJ140" s="793">
        <f>INPUT!DA70</f>
        <v>38.5</v>
      </c>
      <c r="BK140" s="752">
        <f>INPUT!DB70</f>
        <v>2.1220159151193574</v>
      </c>
      <c r="BL140" s="793">
        <f>INPUT!DC70</f>
        <v>138.30000000000001</v>
      </c>
      <c r="BM140" s="752">
        <f>INPUT!DD70</f>
        <v>3.9068369646882095</v>
      </c>
      <c r="BN140" s="793">
        <f>INPUT!DE70</f>
        <v>52.5</v>
      </c>
      <c r="BO140" s="752">
        <f>INPUT!DF70</f>
        <v>11.940298507462677</v>
      </c>
      <c r="BP140" s="793">
        <f>INPUT!DG70</f>
        <v>70.099999999999994</v>
      </c>
      <c r="BQ140" s="752">
        <f>INPUT!DH70</f>
        <v>36.116504854368927</v>
      </c>
      <c r="BR140" s="793">
        <f>INPUT!DI70</f>
        <v>43.6</v>
      </c>
      <c r="BS140" s="752">
        <f>INPUT!DJ70</f>
        <v>13.24675324675324</v>
      </c>
      <c r="BT140" s="793">
        <f>INPUT!DK70</f>
        <v>176.2</v>
      </c>
      <c r="BU140" s="752">
        <f>INPUT!DL70</f>
        <v>27.404193781634099</v>
      </c>
      <c r="BV140" s="793">
        <f>INPUT!DM70</f>
        <v>61.3</v>
      </c>
      <c r="BW140" s="752">
        <f>INPUT!DN70</f>
        <v>16.761904761904756</v>
      </c>
      <c r="BX140" s="793">
        <f>INPUT!DO70</f>
        <v>84.3</v>
      </c>
      <c r="BY140" s="752">
        <f>INPUT!DP70</f>
        <v>20.256776034236811</v>
      </c>
      <c r="BZ140" s="793">
        <f>INPUT!DQ70</f>
        <v>49.5</v>
      </c>
      <c r="CA140" s="752">
        <f>INPUT!DR70</f>
        <v>13.53211009174311</v>
      </c>
      <c r="CB140" s="793">
        <f>INPUT!DS70</f>
        <v>164.3</v>
      </c>
      <c r="CC140" s="752">
        <f>INPUT!DT70</f>
        <v>-6.7536889897843233</v>
      </c>
      <c r="CD140" s="793">
        <f>INPUT!DU70</f>
        <v>53.7</v>
      </c>
      <c r="CE140" s="752">
        <f>INPUT!DV70</f>
        <v>-12.398042414355615</v>
      </c>
      <c r="CF140" s="793">
        <f>INPUT!DW70</f>
        <v>73.199999999999989</v>
      </c>
      <c r="CG140" s="752">
        <f>INPUT!DX70</f>
        <v>-13.167259786476881</v>
      </c>
      <c r="CH140" s="793">
        <f>INPUT!DY70</f>
        <v>36</v>
      </c>
      <c r="CI140" s="752">
        <f>INPUT!DZ70</f>
        <v>-27.27272727272727</v>
      </c>
      <c r="CJ140" s="793">
        <f>INPUT!EA70</f>
        <v>169.5</v>
      </c>
      <c r="CK140" s="752">
        <f>INPUT!EB70</f>
        <v>3.1649421789409438</v>
      </c>
      <c r="CL140" s="793">
        <f>INPUT!EC70</f>
        <v>52.9</v>
      </c>
      <c r="CM140" s="752">
        <f>INPUT!ED70</f>
        <v>-1.4897579143389295</v>
      </c>
      <c r="CN140" s="793">
        <f>INPUT!EE70</f>
        <v>74.900000000000006</v>
      </c>
      <c r="CO140" s="752">
        <f>INPUT!EF70</f>
        <v>2.3224043715847298</v>
      </c>
      <c r="CP140" s="793">
        <f>INPUT!EG70</f>
        <v>51.8</v>
      </c>
      <c r="CQ140" s="752">
        <f>INPUT!EH70</f>
        <v>43.888888888888886</v>
      </c>
      <c r="CR140" s="793">
        <f>INPUT!EI70</f>
        <v>223.7</v>
      </c>
      <c r="CS140" s="752">
        <f>INPUT!EJ70</f>
        <v>31.976401179941007</v>
      </c>
      <c r="CT140" s="793">
        <f>INPUT!EK70</f>
        <v>0</v>
      </c>
      <c r="CU140" s="752" t="str">
        <f>INPUT!EL70</f>
        <v>NM</v>
      </c>
      <c r="CV140" s="793">
        <f>INPUT!EM70</f>
        <v>0</v>
      </c>
      <c r="CW140" s="752" t="str">
        <f>INPUT!EN70</f>
        <v>NM</v>
      </c>
      <c r="CX140" s="793">
        <f>INPUT!EO70</f>
        <v>0</v>
      </c>
      <c r="CY140" s="752" t="str">
        <f>INPUT!EP70</f>
        <v>NM</v>
      </c>
      <c r="CZ140" s="793">
        <f>INPUT!EQ70</f>
        <v>0</v>
      </c>
      <c r="DA140" s="752" t="str">
        <f>INPUT!ER70</f>
        <v>NM</v>
      </c>
      <c r="DB140" s="753"/>
      <c r="DC140" s="793">
        <f>INPUT!FB70</f>
        <v>0</v>
      </c>
      <c r="DD140" s="756">
        <f>INPUT!FC70</f>
        <v>0</v>
      </c>
      <c r="DE140" s="793">
        <f>INPUT!FD70</f>
        <v>479.5</v>
      </c>
      <c r="DF140" s="756" t="str">
        <f>INPUT!FE70</f>
        <v>NA</v>
      </c>
      <c r="DG140" s="793">
        <f>INPUT!FF70</f>
        <v>447.20000000000005</v>
      </c>
      <c r="DH140" s="756">
        <f>INPUT!FG70</f>
        <v>-6.7361835245046802</v>
      </c>
      <c r="DI140" s="793">
        <f>INPUT!FH70</f>
        <v>268.3</v>
      </c>
      <c r="DJ140" s="756">
        <f>INPUT!FI70</f>
        <v>-40.004472271914139</v>
      </c>
      <c r="DK140" s="793">
        <f>INPUT!FJ70</f>
        <v>0</v>
      </c>
      <c r="DL140" s="752" t="str">
        <f>INPUT!FK70</f>
        <v>NM</v>
      </c>
      <c r="DM140" s="793">
        <f>INPUT!FL70</f>
        <v>0</v>
      </c>
      <c r="DN140" s="752" t="str">
        <f>INPUT!FM70</f>
        <v>NA</v>
      </c>
      <c r="DO140" s="793">
        <f>INPUT!FN70</f>
        <v>0</v>
      </c>
      <c r="DP140" s="752" t="str">
        <f>INPUT!FO70</f>
        <v>NA</v>
      </c>
      <c r="DQ140" s="793">
        <f>INPUT!FP70</f>
        <v>270.3</v>
      </c>
      <c r="DR140" s="752" t="str">
        <f>INPUT!FQ70</f>
        <v>NA</v>
      </c>
      <c r="DS140" s="750">
        <f>INPUT!FR70</f>
        <v>273.70000000000005</v>
      </c>
      <c r="DT140" s="752">
        <f>INPUT!FS70</f>
        <v>1.2578616352201477</v>
      </c>
      <c r="DU140" s="750">
        <f>INPUT!FT70</f>
        <v>234.90000000000003</v>
      </c>
      <c r="DV140" s="752">
        <f>INPUT!FU70</f>
        <v>-14.176105224698576</v>
      </c>
      <c r="DW140" s="750">
        <f>INPUT!FV70</f>
        <v>255.9</v>
      </c>
      <c r="DX140" s="752">
        <f>INPUT!FW70</f>
        <v>8.9399744572158149</v>
      </c>
      <c r="DY140" s="750">
        <f>INPUT!FX70</f>
        <v>280.2</v>
      </c>
      <c r="DZ140" s="752">
        <f>INPUT!FY70</f>
        <v>9.4958968347010462</v>
      </c>
      <c r="EA140" s="750">
        <f>INPUT!FZ70</f>
        <v>275.20000000000005</v>
      </c>
      <c r="EB140" s="752">
        <f>INPUT!GA70</f>
        <v>-1.7844396859385991</v>
      </c>
      <c r="EC140" s="750">
        <f>INPUT!GB70</f>
        <v>342.4</v>
      </c>
      <c r="ED140" s="752">
        <f>INPUT!GC70</f>
        <v>24.418604651162767</v>
      </c>
      <c r="EE140" s="750">
        <f>INPUT!GD70</f>
        <v>0</v>
      </c>
      <c r="EF140" s="752" t="str">
        <f>INPUT!GE70</f>
        <v>NM</v>
      </c>
      <c r="EG140" s="750">
        <f>INPUT!GF70</f>
        <v>0</v>
      </c>
      <c r="EH140" s="752" t="str">
        <f>INPUT!GG70</f>
        <v>NA</v>
      </c>
      <c r="EI140" s="750">
        <f>INPUT!GH70</f>
        <v>0</v>
      </c>
      <c r="EJ140" s="752" t="str">
        <f>INPUT!GI70</f>
        <v>NA</v>
      </c>
      <c r="EK140" s="750">
        <f>INPUT!GJ70</f>
        <v>0</v>
      </c>
      <c r="EL140" s="752" t="str">
        <f>INPUT!GK70</f>
        <v>NA</v>
      </c>
      <c r="EM140" s="750">
        <f>INPUT!GL70</f>
        <v>0</v>
      </c>
      <c r="EN140" s="752" t="str">
        <f>INPUT!GM70</f>
        <v>NA</v>
      </c>
      <c r="EO140" s="750">
        <f>INPUT!GN70</f>
        <v>0</v>
      </c>
      <c r="EP140" s="752" t="str">
        <f>INPUT!GO70</f>
        <v>NA</v>
      </c>
      <c r="EQ140" s="750">
        <f>INPUT!GP70</f>
        <v>0</v>
      </c>
      <c r="ER140" s="752" t="str">
        <f>INPUT!GQ70</f>
        <v>NA</v>
      </c>
      <c r="ES140" s="750">
        <f>INPUT!GR70</f>
        <v>0</v>
      </c>
      <c r="ET140" s="752" t="str">
        <f>INPUT!GS70</f>
        <v>NA</v>
      </c>
      <c r="EU140" s="756">
        <f>INPUT!GT65</f>
        <v>0</v>
      </c>
      <c r="EV140" s="710"/>
    </row>
    <row r="141" spans="1:152" ht="12.75" hidden="1" customHeight="1" outlineLevel="1" x14ac:dyDescent="0.2">
      <c r="A141" s="754"/>
      <c r="B141" s="793"/>
      <c r="C141" s="756"/>
      <c r="D141" s="793"/>
      <c r="E141" s="756"/>
      <c r="F141" s="793"/>
      <c r="G141" s="756"/>
      <c r="H141" s="793"/>
      <c r="I141" s="752"/>
      <c r="J141" s="793"/>
      <c r="K141" s="752"/>
      <c r="L141" s="793"/>
      <c r="M141" s="752"/>
      <c r="N141" s="793"/>
      <c r="O141" s="752"/>
      <c r="P141" s="793"/>
      <c r="Q141" s="752"/>
      <c r="R141" s="793"/>
      <c r="S141" s="752"/>
      <c r="T141" s="793"/>
      <c r="U141" s="752"/>
      <c r="V141" s="793"/>
      <c r="W141" s="752"/>
      <c r="X141" s="793"/>
      <c r="Y141" s="752"/>
      <c r="Z141" s="793"/>
      <c r="AA141" s="752"/>
      <c r="AB141" s="793"/>
      <c r="AC141" s="752"/>
      <c r="AD141" s="793"/>
      <c r="AE141" s="752"/>
      <c r="AF141" s="793"/>
      <c r="AG141" s="752"/>
      <c r="AH141" s="793"/>
      <c r="AI141" s="752"/>
      <c r="AJ141" s="793"/>
      <c r="AK141" s="752"/>
      <c r="AL141" s="793"/>
      <c r="AM141" s="752"/>
      <c r="AN141" s="793"/>
      <c r="AO141" s="752"/>
      <c r="AP141" s="793"/>
      <c r="AQ141" s="752"/>
      <c r="AR141" s="793"/>
      <c r="AS141" s="752"/>
      <c r="AT141" s="793"/>
      <c r="AU141" s="752"/>
      <c r="AV141" s="793"/>
      <c r="AW141" s="752"/>
      <c r="AX141" s="793"/>
      <c r="AY141" s="752"/>
      <c r="AZ141" s="793"/>
      <c r="BA141" s="752"/>
      <c r="BB141" s="793"/>
      <c r="BC141" s="752"/>
      <c r="BD141" s="793"/>
      <c r="BE141" s="752"/>
      <c r="BF141" s="793"/>
      <c r="BG141" s="752"/>
      <c r="BH141" s="793"/>
      <c r="BI141" s="752"/>
      <c r="BJ141" s="793"/>
      <c r="BK141" s="752"/>
      <c r="BL141" s="793"/>
      <c r="BM141" s="752"/>
      <c r="BN141" s="793"/>
      <c r="BO141" s="752"/>
      <c r="BP141" s="793"/>
      <c r="BQ141" s="752"/>
      <c r="BR141" s="793"/>
      <c r="BS141" s="752"/>
      <c r="BT141" s="793"/>
      <c r="BU141" s="752"/>
      <c r="BV141" s="793"/>
      <c r="BW141" s="752"/>
      <c r="BX141" s="793"/>
      <c r="BY141" s="752"/>
      <c r="BZ141" s="793"/>
      <c r="CA141" s="752"/>
      <c r="CB141" s="793"/>
      <c r="CC141" s="752"/>
      <c r="CD141" s="793"/>
      <c r="CE141" s="752"/>
      <c r="CF141" s="793"/>
      <c r="CG141" s="752"/>
      <c r="CH141" s="793"/>
      <c r="CI141" s="752"/>
      <c r="CJ141" s="793"/>
      <c r="CK141" s="752"/>
      <c r="CL141" s="793"/>
      <c r="CM141" s="752"/>
      <c r="CN141" s="793"/>
      <c r="CO141" s="752"/>
      <c r="CP141" s="793"/>
      <c r="CQ141" s="752"/>
      <c r="CR141" s="793"/>
      <c r="CS141" s="752"/>
      <c r="CT141" s="793"/>
      <c r="CU141" s="752"/>
      <c r="CV141" s="793"/>
      <c r="CW141" s="752"/>
      <c r="CX141" s="793"/>
      <c r="CY141" s="752"/>
      <c r="CZ141" s="793"/>
      <c r="DA141" s="752"/>
      <c r="DB141" s="753"/>
      <c r="DC141" s="793"/>
      <c r="DD141" s="756"/>
      <c r="DE141" s="793"/>
      <c r="DF141" s="756"/>
      <c r="DG141" s="793"/>
      <c r="DH141" s="756"/>
      <c r="DI141" s="793"/>
      <c r="DJ141" s="756"/>
      <c r="DK141" s="793"/>
      <c r="DL141" s="752"/>
      <c r="DM141" s="793"/>
      <c r="DN141" s="752"/>
      <c r="DO141" s="793"/>
      <c r="DP141" s="752"/>
      <c r="DQ141" s="793"/>
      <c r="DR141" s="752"/>
      <c r="DS141" s="793"/>
      <c r="DT141" s="752"/>
      <c r="DU141" s="793"/>
      <c r="DV141" s="752"/>
      <c r="DW141" s="793"/>
      <c r="DX141" s="752"/>
      <c r="DY141" s="793"/>
      <c r="DZ141" s="752"/>
      <c r="EA141" s="793"/>
      <c r="EB141" s="752"/>
      <c r="EC141" s="793"/>
      <c r="ED141" s="752"/>
      <c r="EE141" s="793"/>
      <c r="EF141" s="752"/>
      <c r="EG141" s="793"/>
      <c r="EH141" s="752"/>
      <c r="EI141" s="793"/>
      <c r="EJ141" s="752"/>
      <c r="EK141" s="793"/>
      <c r="EL141" s="752"/>
      <c r="EM141" s="793"/>
      <c r="EN141" s="752"/>
      <c r="EO141" s="793"/>
      <c r="EP141" s="752"/>
      <c r="EQ141" s="793"/>
      <c r="ER141" s="752"/>
      <c r="ES141" s="793"/>
      <c r="ET141" s="752"/>
      <c r="EU141" s="756"/>
      <c r="EV141" s="710"/>
    </row>
    <row r="142" spans="1:152" ht="12.75" hidden="1" customHeight="1" outlineLevel="1" x14ac:dyDescent="0.2">
      <c r="A142" s="803" t="str">
        <f>+A47</f>
        <v>Quarterly income statement ratios are annualized where appropriate     E = Morgan Stanley Research Estimates      NM = Not Meaningful       NA = Not Applicable              CAGR = Cumulative Average Growth Rate</v>
      </c>
      <c r="B142" s="750"/>
      <c r="C142" s="767"/>
      <c r="D142" s="750"/>
      <c r="E142" s="767"/>
      <c r="F142" s="750"/>
      <c r="G142" s="767"/>
      <c r="H142" s="750"/>
      <c r="I142" s="752"/>
      <c r="J142" s="750"/>
      <c r="K142" s="752"/>
      <c r="L142" s="750"/>
      <c r="M142" s="752"/>
      <c r="N142" s="750"/>
      <c r="O142" s="752"/>
      <c r="P142" s="750"/>
      <c r="Q142" s="752"/>
      <c r="R142" s="750"/>
      <c r="S142" s="752"/>
      <c r="T142" s="750"/>
      <c r="U142" s="752"/>
      <c r="V142" s="750"/>
      <c r="W142" s="752"/>
      <c r="X142" s="750"/>
      <c r="Y142" s="752"/>
      <c r="Z142" s="750"/>
      <c r="AA142" s="752"/>
      <c r="AB142" s="750"/>
      <c r="AC142" s="752"/>
      <c r="AD142" s="750"/>
      <c r="AE142" s="752"/>
      <c r="AF142" s="750"/>
      <c r="AG142" s="752"/>
      <c r="AH142" s="750"/>
      <c r="AI142" s="752"/>
      <c r="AJ142" s="750"/>
      <c r="AK142" s="752"/>
      <c r="AL142" s="750"/>
      <c r="AM142" s="752"/>
      <c r="AN142" s="750"/>
      <c r="AO142" s="752"/>
      <c r="AP142" s="750"/>
      <c r="AQ142" s="752"/>
      <c r="AR142" s="750"/>
      <c r="AS142" s="752"/>
      <c r="AT142" s="750"/>
      <c r="AU142" s="752"/>
      <c r="AV142" s="750"/>
      <c r="AW142" s="752"/>
      <c r="AX142" s="750"/>
      <c r="AY142" s="752"/>
      <c r="AZ142" s="750"/>
      <c r="BA142" s="752"/>
      <c r="BB142" s="750"/>
      <c r="BC142" s="752"/>
      <c r="BD142" s="750"/>
      <c r="BE142" s="752"/>
      <c r="BF142" s="750"/>
      <c r="BG142" s="752"/>
      <c r="BH142" s="750"/>
      <c r="BI142" s="752"/>
      <c r="BJ142" s="750"/>
      <c r="BK142" s="752"/>
      <c r="BL142" s="750"/>
      <c r="BM142" s="752"/>
      <c r="BN142" s="750"/>
      <c r="BO142" s="752"/>
      <c r="BP142" s="750"/>
      <c r="BQ142" s="752"/>
      <c r="BR142" s="750"/>
      <c r="BS142" s="752"/>
      <c r="BT142" s="750"/>
      <c r="BU142" s="752"/>
      <c r="BV142" s="750"/>
      <c r="BW142" s="752"/>
      <c r="BX142" s="750"/>
      <c r="BY142" s="752"/>
      <c r="BZ142" s="750"/>
      <c r="CA142" s="752"/>
      <c r="CB142" s="750"/>
      <c r="CC142" s="752"/>
      <c r="CD142" s="750"/>
      <c r="CE142" s="752"/>
      <c r="CF142" s="750"/>
      <c r="CG142" s="752"/>
      <c r="CH142" s="750"/>
      <c r="CI142" s="752"/>
      <c r="CJ142" s="750"/>
      <c r="CK142" s="752"/>
      <c r="CL142" s="750"/>
      <c r="CM142" s="752"/>
      <c r="CN142" s="750"/>
      <c r="CO142" s="752"/>
      <c r="CP142" s="750"/>
      <c r="CQ142" s="752"/>
      <c r="CR142" s="750"/>
      <c r="CS142" s="752"/>
      <c r="CT142" s="750"/>
      <c r="CU142" s="752"/>
      <c r="CV142" s="750"/>
      <c r="CW142" s="752"/>
      <c r="CX142" s="750"/>
      <c r="CY142" s="752"/>
      <c r="CZ142" s="750"/>
      <c r="DA142" s="752"/>
      <c r="DB142" s="753"/>
      <c r="DC142" s="750"/>
      <c r="DD142" s="767"/>
      <c r="DE142" s="750"/>
      <c r="DF142" s="767"/>
      <c r="DG142" s="750"/>
      <c r="DH142" s="767"/>
      <c r="DI142" s="750"/>
      <c r="DJ142" s="767"/>
      <c r="DK142" s="750"/>
      <c r="DL142" s="752"/>
      <c r="DM142" s="750"/>
      <c r="DN142" s="752"/>
      <c r="DO142" s="750"/>
      <c r="DP142" s="752"/>
      <c r="DQ142" s="750"/>
      <c r="DR142" s="752"/>
      <c r="DS142" s="750"/>
      <c r="DT142" s="752"/>
      <c r="DU142" s="750"/>
      <c r="DV142" s="752"/>
      <c r="DW142" s="750"/>
      <c r="DX142" s="752"/>
      <c r="DY142" s="750"/>
      <c r="DZ142" s="752"/>
      <c r="EA142" s="750"/>
      <c r="EB142" s="752"/>
      <c r="EC142" s="750"/>
      <c r="ED142" s="752"/>
      <c r="EE142" s="750"/>
      <c r="EF142" s="752"/>
      <c r="EG142" s="750"/>
      <c r="EH142" s="752"/>
      <c r="EI142" s="750"/>
      <c r="EJ142" s="752"/>
      <c r="EK142" s="750"/>
      <c r="EL142" s="752"/>
      <c r="EM142" s="750"/>
      <c r="EN142" s="752"/>
      <c r="EO142" s="750"/>
      <c r="EP142" s="752"/>
      <c r="EQ142" s="750"/>
      <c r="ER142" s="752"/>
      <c r="ES142" s="750"/>
      <c r="ET142" s="752"/>
      <c r="EU142" s="767"/>
      <c r="EV142" s="710"/>
    </row>
    <row r="143" spans="1:152" ht="12.75" hidden="1" customHeight="1" outlineLevel="1" x14ac:dyDescent="0.2">
      <c r="A143" s="795" t="s">
        <v>89</v>
      </c>
      <c r="B143" s="750"/>
      <c r="C143" s="767"/>
      <c r="D143" s="750"/>
      <c r="E143" s="767"/>
      <c r="F143" s="750"/>
      <c r="G143" s="767"/>
      <c r="H143" s="750"/>
      <c r="I143" s="752"/>
      <c r="J143" s="750"/>
      <c r="K143" s="752"/>
      <c r="L143" s="750"/>
      <c r="M143" s="752"/>
      <c r="N143" s="750"/>
      <c r="O143" s="752"/>
      <c r="P143" s="750"/>
      <c r="Q143" s="752"/>
      <c r="R143" s="750"/>
      <c r="S143" s="752"/>
      <c r="T143" s="750"/>
      <c r="U143" s="752"/>
      <c r="V143" s="750"/>
      <c r="W143" s="752"/>
      <c r="X143" s="750"/>
      <c r="Y143" s="752"/>
      <c r="Z143" s="750"/>
      <c r="AA143" s="752"/>
      <c r="AB143" s="750"/>
      <c r="AC143" s="752"/>
      <c r="AD143" s="750"/>
      <c r="AE143" s="752"/>
      <c r="AF143" s="750"/>
      <c r="AG143" s="752"/>
      <c r="AH143" s="750"/>
      <c r="AI143" s="752"/>
      <c r="AJ143" s="750"/>
      <c r="AK143" s="752"/>
      <c r="AL143" s="750"/>
      <c r="AM143" s="752"/>
      <c r="AN143" s="750"/>
      <c r="AO143" s="752"/>
      <c r="AP143" s="750"/>
      <c r="AQ143" s="752"/>
      <c r="AR143" s="750"/>
      <c r="AS143" s="752"/>
      <c r="AT143" s="750"/>
      <c r="AU143" s="752"/>
      <c r="AV143" s="750"/>
      <c r="AW143" s="752"/>
      <c r="AX143" s="750"/>
      <c r="AY143" s="752"/>
      <c r="AZ143" s="750"/>
      <c r="BA143" s="752"/>
      <c r="BB143" s="750"/>
      <c r="BC143" s="752"/>
      <c r="BD143" s="750"/>
      <c r="BE143" s="752"/>
      <c r="BF143" s="750"/>
      <c r="BG143" s="752"/>
      <c r="BH143" s="750"/>
      <c r="BI143" s="752"/>
      <c r="BJ143" s="750"/>
      <c r="BK143" s="752"/>
      <c r="BL143" s="750"/>
      <c r="BM143" s="752"/>
      <c r="BN143" s="750"/>
      <c r="BO143" s="752"/>
      <c r="BP143" s="750"/>
      <c r="BQ143" s="752"/>
      <c r="BR143" s="750"/>
      <c r="BS143" s="752"/>
      <c r="BT143" s="750"/>
      <c r="BU143" s="752"/>
      <c r="BV143" s="750"/>
      <c r="BW143" s="752"/>
      <c r="BX143" s="750"/>
      <c r="BY143" s="752"/>
      <c r="BZ143" s="750"/>
      <c r="CA143" s="752"/>
      <c r="CB143" s="750"/>
      <c r="CC143" s="752"/>
      <c r="CD143" s="750"/>
      <c r="CE143" s="752"/>
      <c r="CF143" s="750"/>
      <c r="CG143" s="752"/>
      <c r="CH143" s="750"/>
      <c r="CI143" s="752"/>
      <c r="CJ143" s="750"/>
      <c r="CK143" s="752"/>
      <c r="CL143" s="750"/>
      <c r="CM143" s="752"/>
      <c r="CN143" s="750"/>
      <c r="CO143" s="752"/>
      <c r="CP143" s="750"/>
      <c r="CQ143" s="752"/>
      <c r="CR143" s="750"/>
      <c r="CS143" s="752"/>
      <c r="CT143" s="750"/>
      <c r="CU143" s="752"/>
      <c r="CV143" s="750"/>
      <c r="CW143" s="752"/>
      <c r="CX143" s="750"/>
      <c r="CY143" s="752"/>
      <c r="CZ143" s="750"/>
      <c r="DA143" s="752"/>
      <c r="DB143" s="753"/>
      <c r="DC143" s="750"/>
      <c r="DD143" s="767"/>
      <c r="DE143" s="750"/>
      <c r="DF143" s="767"/>
      <c r="DG143" s="750"/>
      <c r="DH143" s="767"/>
      <c r="DI143" s="750"/>
      <c r="DJ143" s="767"/>
      <c r="DK143" s="750"/>
      <c r="DL143" s="752"/>
      <c r="DM143" s="750"/>
      <c r="DN143" s="752"/>
      <c r="DO143" s="750"/>
      <c r="DP143" s="752"/>
      <c r="DQ143" s="750"/>
      <c r="DR143" s="752"/>
      <c r="DS143" s="750"/>
      <c r="DT143" s="752"/>
      <c r="DU143" s="750"/>
      <c r="DV143" s="752"/>
      <c r="DW143" s="750"/>
      <c r="DX143" s="752"/>
      <c r="DY143" s="750"/>
      <c r="DZ143" s="752"/>
      <c r="EA143" s="750"/>
      <c r="EB143" s="752"/>
      <c r="EC143" s="750"/>
      <c r="ED143" s="752"/>
      <c r="EE143" s="750"/>
      <c r="EF143" s="752"/>
      <c r="EG143" s="750"/>
      <c r="EH143" s="752"/>
      <c r="EI143" s="750"/>
      <c r="EJ143" s="752"/>
      <c r="EK143" s="750"/>
      <c r="EL143" s="752"/>
      <c r="EM143" s="750"/>
      <c r="EN143" s="752"/>
      <c r="EO143" s="750"/>
      <c r="EP143" s="752"/>
      <c r="EQ143" s="750"/>
      <c r="ER143" s="752"/>
      <c r="ES143" s="750"/>
      <c r="ET143" s="752"/>
      <c r="EU143" s="767"/>
      <c r="EV143" s="710"/>
    </row>
    <row r="144" spans="1:152" s="722" customFormat="1" ht="12.75" hidden="1" customHeight="1" outlineLevel="1" x14ac:dyDescent="0.2">
      <c r="A144" s="804"/>
      <c r="B144" s="798"/>
      <c r="C144" s="799"/>
      <c r="D144" s="798"/>
      <c r="E144" s="799"/>
      <c r="F144" s="798"/>
      <c r="G144" s="799"/>
      <c r="H144" s="798"/>
      <c r="I144" s="800"/>
      <c r="J144" s="798"/>
      <c r="K144" s="800"/>
      <c r="L144" s="798"/>
      <c r="M144" s="800"/>
      <c r="N144" s="798"/>
      <c r="O144" s="800"/>
      <c r="P144" s="798"/>
      <c r="Q144" s="800"/>
      <c r="R144" s="798"/>
      <c r="S144" s="800"/>
      <c r="T144" s="798"/>
      <c r="U144" s="800"/>
      <c r="V144" s="798"/>
      <c r="W144" s="800"/>
      <c r="X144" s="798"/>
      <c r="Y144" s="800"/>
      <c r="Z144" s="798"/>
      <c r="AA144" s="800"/>
      <c r="AB144" s="798"/>
      <c r="AC144" s="800"/>
      <c r="AD144" s="798"/>
      <c r="AE144" s="800"/>
      <c r="AF144" s="798"/>
      <c r="AG144" s="800"/>
      <c r="AH144" s="798"/>
      <c r="AI144" s="800"/>
      <c r="AJ144" s="798"/>
      <c r="AK144" s="800"/>
      <c r="AL144" s="798"/>
      <c r="AM144" s="800"/>
      <c r="AN144" s="798"/>
      <c r="AO144" s="800"/>
      <c r="AP144" s="798"/>
      <c r="AQ144" s="800"/>
      <c r="AR144" s="798"/>
      <c r="AS144" s="800"/>
      <c r="AT144" s="798"/>
      <c r="AU144" s="800"/>
      <c r="AV144" s="798"/>
      <c r="AW144" s="800"/>
      <c r="AX144" s="798"/>
      <c r="AY144" s="800"/>
      <c r="AZ144" s="798"/>
      <c r="BA144" s="800"/>
      <c r="BB144" s="798"/>
      <c r="BC144" s="800"/>
      <c r="BD144" s="798"/>
      <c r="BE144" s="800"/>
      <c r="BF144" s="798"/>
      <c r="BG144" s="800"/>
      <c r="BH144" s="798"/>
      <c r="BI144" s="800"/>
      <c r="BJ144" s="798"/>
      <c r="BK144" s="800"/>
      <c r="BL144" s="798"/>
      <c r="BM144" s="800"/>
      <c r="BN144" s="798"/>
      <c r="BO144" s="800"/>
      <c r="BP144" s="798"/>
      <c r="BQ144" s="800"/>
      <c r="BR144" s="798"/>
      <c r="BS144" s="800"/>
      <c r="BT144" s="798"/>
      <c r="BU144" s="800"/>
      <c r="BV144" s="798"/>
      <c r="BW144" s="800"/>
      <c r="BX144" s="798"/>
      <c r="BY144" s="800"/>
      <c r="BZ144" s="798"/>
      <c r="CA144" s="800"/>
      <c r="CB144" s="798"/>
      <c r="CC144" s="800"/>
      <c r="CD144" s="798"/>
      <c r="CE144" s="800"/>
      <c r="CF144" s="798"/>
      <c r="CG144" s="800"/>
      <c r="CH144" s="798"/>
      <c r="CI144" s="800"/>
      <c r="CJ144" s="798"/>
      <c r="CK144" s="800"/>
      <c r="CL144" s="798"/>
      <c r="CM144" s="800"/>
      <c r="CN144" s="798"/>
      <c r="CO144" s="800"/>
      <c r="CP144" s="798"/>
      <c r="CQ144" s="800"/>
      <c r="CR144" s="798"/>
      <c r="CS144" s="800"/>
      <c r="CT144" s="798"/>
      <c r="CU144" s="800"/>
      <c r="CV144" s="798"/>
      <c r="CW144" s="800"/>
      <c r="CX144" s="798"/>
      <c r="CY144" s="800"/>
      <c r="CZ144" s="798"/>
      <c r="DA144" s="800"/>
      <c r="DB144" s="801"/>
      <c r="DC144" s="798"/>
      <c r="DD144" s="799"/>
      <c r="DE144" s="798"/>
      <c r="DF144" s="799"/>
      <c r="DG144" s="798"/>
      <c r="DH144" s="799"/>
      <c r="DI144" s="798"/>
      <c r="DJ144" s="799"/>
      <c r="DK144" s="798"/>
      <c r="DL144" s="800"/>
      <c r="DM144" s="798"/>
      <c r="DN144" s="800"/>
      <c r="DO144" s="798"/>
      <c r="DP144" s="800"/>
      <c r="DQ144" s="798"/>
      <c r="DR144" s="800"/>
      <c r="DS144" s="798"/>
      <c r="DT144" s="800"/>
      <c r="DU144" s="798"/>
      <c r="DV144" s="800"/>
      <c r="DW144" s="798"/>
      <c r="DX144" s="800"/>
      <c r="DY144" s="798"/>
      <c r="DZ144" s="800"/>
      <c r="EA144" s="798"/>
      <c r="EB144" s="800"/>
      <c r="EC144" s="798"/>
      <c r="ED144" s="800"/>
      <c r="EE144" s="798"/>
      <c r="EF144" s="800"/>
      <c r="EG144" s="798"/>
      <c r="EH144" s="800"/>
      <c r="EI144" s="798"/>
      <c r="EJ144" s="800"/>
      <c r="EK144" s="798"/>
      <c r="EL144" s="800"/>
      <c r="EM144" s="798"/>
      <c r="EN144" s="800"/>
      <c r="EO144" s="798"/>
      <c r="EP144" s="800"/>
      <c r="EQ144" s="798"/>
      <c r="ER144" s="800"/>
      <c r="ES144" s="798"/>
      <c r="ET144" s="800"/>
      <c r="EU144" s="799"/>
      <c r="EV144" s="721"/>
    </row>
    <row r="145" spans="1:152" ht="21.95" hidden="1" customHeight="1" outlineLevel="1" x14ac:dyDescent="0.25">
      <c r="A145" s="709" t="str">
        <f>INPUT!$B$4</f>
        <v>Unum Group</v>
      </c>
      <c r="B145" s="728"/>
      <c r="C145" s="729"/>
      <c r="D145" s="728"/>
      <c r="E145" s="729"/>
      <c r="F145" s="728"/>
      <c r="G145" s="729"/>
      <c r="H145" s="728"/>
      <c r="I145" s="730"/>
      <c r="J145" s="728"/>
      <c r="K145" s="730"/>
      <c r="L145" s="728"/>
      <c r="M145" s="730"/>
      <c r="N145" s="728"/>
      <c r="O145" s="730"/>
      <c r="P145" s="728"/>
      <c r="Q145" s="730"/>
      <c r="R145" s="728"/>
      <c r="S145" s="730"/>
      <c r="T145" s="728"/>
      <c r="U145" s="730"/>
      <c r="V145" s="728"/>
      <c r="W145" s="730"/>
      <c r="X145" s="728"/>
      <c r="Y145" s="730"/>
      <c r="Z145" s="728"/>
      <c r="AA145" s="730"/>
      <c r="AB145" s="728"/>
      <c r="AC145" s="730"/>
      <c r="AD145" s="728"/>
      <c r="AE145" s="730"/>
      <c r="AF145" s="728"/>
      <c r="AG145" s="730"/>
      <c r="AH145" s="728"/>
      <c r="AI145" s="730"/>
      <c r="AJ145" s="728"/>
      <c r="AK145" s="730"/>
      <c r="AL145" s="728"/>
      <c r="AM145" s="730"/>
      <c r="AN145" s="728"/>
      <c r="AO145" s="730"/>
      <c r="AP145" s="728"/>
      <c r="AQ145" s="730"/>
      <c r="AR145" s="728"/>
      <c r="AS145" s="730"/>
      <c r="AT145" s="728"/>
      <c r="AU145" s="730"/>
      <c r="AV145" s="728"/>
      <c r="AW145" s="730"/>
      <c r="AX145" s="728"/>
      <c r="AY145" s="730"/>
      <c r="AZ145" s="728"/>
      <c r="BA145" s="730"/>
      <c r="BB145" s="728"/>
      <c r="BC145" s="730"/>
      <c r="BD145" s="728"/>
      <c r="BE145" s="730"/>
      <c r="BF145" s="728"/>
      <c r="BG145" s="730"/>
      <c r="BH145" s="728"/>
      <c r="BI145" s="730"/>
      <c r="BJ145" s="728"/>
      <c r="BK145" s="730"/>
      <c r="BL145" s="728"/>
      <c r="BM145" s="730"/>
      <c r="BN145" s="728"/>
      <c r="BO145" s="730"/>
      <c r="BP145" s="728"/>
      <c r="BQ145" s="730"/>
      <c r="BR145" s="728"/>
      <c r="BS145" s="730"/>
      <c r="BT145" s="728"/>
      <c r="BU145" s="730"/>
      <c r="BV145" s="728"/>
      <c r="BW145" s="730"/>
      <c r="BX145" s="728"/>
      <c r="BY145" s="730"/>
      <c r="BZ145" s="728"/>
      <c r="CA145" s="730"/>
      <c r="CB145" s="728"/>
      <c r="CC145" s="730"/>
      <c r="CD145" s="728"/>
      <c r="CE145" s="730"/>
      <c r="CF145" s="728"/>
      <c r="CG145" s="730"/>
      <c r="CH145" s="728"/>
      <c r="CI145" s="730"/>
      <c r="CJ145" s="728"/>
      <c r="CK145" s="730"/>
      <c r="CL145" s="728"/>
      <c r="CM145" s="730"/>
      <c r="CN145" s="728"/>
      <c r="CO145" s="730"/>
      <c r="CP145" s="728"/>
      <c r="CQ145" s="730"/>
      <c r="CR145" s="728"/>
      <c r="CS145" s="730"/>
      <c r="CT145" s="728"/>
      <c r="CU145" s="730"/>
      <c r="CV145" s="728"/>
      <c r="CW145" s="730"/>
      <c r="CX145" s="728"/>
      <c r="CY145" s="730"/>
      <c r="CZ145" s="728"/>
      <c r="DA145" s="730"/>
      <c r="DB145" s="730"/>
      <c r="DC145" s="728"/>
      <c r="DD145" s="729"/>
      <c r="DE145" s="728"/>
      <c r="DF145" s="729"/>
      <c r="DG145" s="728"/>
      <c r="DH145" s="729"/>
      <c r="DI145" s="728"/>
      <c r="DJ145" s="729"/>
      <c r="DK145" s="728"/>
      <c r="DL145" s="730"/>
      <c r="DM145" s="728"/>
      <c r="DN145" s="730"/>
      <c r="DO145" s="728"/>
      <c r="DP145" s="730"/>
      <c r="DQ145" s="728"/>
      <c r="DR145" s="730"/>
      <c r="DS145" s="728"/>
      <c r="DT145" s="730"/>
      <c r="DU145" s="728"/>
      <c r="DV145" s="730"/>
      <c r="DW145" s="728"/>
      <c r="DX145" s="730"/>
      <c r="DY145" s="728"/>
      <c r="DZ145" s="730"/>
      <c r="EA145" s="728"/>
      <c r="EB145" s="730"/>
      <c r="EC145" s="728"/>
      <c r="ED145" s="730"/>
      <c r="EE145" s="728"/>
      <c r="EF145" s="730"/>
      <c r="EG145" s="728"/>
      <c r="EH145" s="730"/>
      <c r="EI145" s="728"/>
      <c r="EJ145" s="730"/>
      <c r="EK145" s="728"/>
      <c r="EL145" s="730"/>
      <c r="EM145" s="728"/>
      <c r="EN145" s="730"/>
      <c r="EO145" s="728"/>
      <c r="EP145" s="730"/>
      <c r="EQ145" s="728"/>
      <c r="ER145" s="730"/>
      <c r="ES145" s="728"/>
      <c r="ET145" s="730"/>
      <c r="EU145" s="729"/>
      <c r="EV145" s="710"/>
    </row>
    <row r="146" spans="1:152" ht="12.75" hidden="1" customHeight="1" outlineLevel="1" x14ac:dyDescent="0.2">
      <c r="A146" s="731" t="s">
        <v>33</v>
      </c>
      <c r="B146" s="732"/>
      <c r="C146" s="733"/>
      <c r="D146" s="732"/>
      <c r="E146" s="733"/>
      <c r="F146" s="732"/>
      <c r="G146" s="733"/>
      <c r="H146" s="732"/>
      <c r="I146" s="734"/>
      <c r="J146" s="732"/>
      <c r="K146" s="734"/>
      <c r="L146" s="732"/>
      <c r="M146" s="734"/>
      <c r="N146" s="732"/>
      <c r="O146" s="734"/>
      <c r="P146" s="732"/>
      <c r="Q146" s="734"/>
      <c r="R146" s="732"/>
      <c r="S146" s="734"/>
      <c r="T146" s="732"/>
      <c r="U146" s="734"/>
      <c r="V146" s="732"/>
      <c r="W146" s="734"/>
      <c r="X146" s="732"/>
      <c r="Y146" s="734"/>
      <c r="Z146" s="732"/>
      <c r="AA146" s="734"/>
      <c r="AB146" s="732"/>
      <c r="AC146" s="734"/>
      <c r="AD146" s="732"/>
      <c r="AE146" s="734"/>
      <c r="AF146" s="732"/>
      <c r="AG146" s="734"/>
      <c r="AH146" s="732"/>
      <c r="AI146" s="734"/>
      <c r="AJ146" s="732"/>
      <c r="AK146" s="734"/>
      <c r="AL146" s="732"/>
      <c r="AM146" s="734"/>
      <c r="AN146" s="732"/>
      <c r="AO146" s="734"/>
      <c r="AP146" s="732"/>
      <c r="AQ146" s="734"/>
      <c r="AR146" s="732"/>
      <c r="AS146" s="734"/>
      <c r="AT146" s="732"/>
      <c r="AU146" s="734"/>
      <c r="AV146" s="732"/>
      <c r="AW146" s="734"/>
      <c r="AX146" s="732"/>
      <c r="AY146" s="734"/>
      <c r="AZ146" s="732"/>
      <c r="BA146" s="734"/>
      <c r="BB146" s="732"/>
      <c r="BC146" s="734"/>
      <c r="BD146" s="732"/>
      <c r="BE146" s="734"/>
      <c r="BF146" s="732"/>
      <c r="BG146" s="734"/>
      <c r="BH146" s="732"/>
      <c r="BI146" s="734"/>
      <c r="BJ146" s="732"/>
      <c r="BK146" s="734"/>
      <c r="BL146" s="732"/>
      <c r="BM146" s="734"/>
      <c r="BN146" s="732"/>
      <c r="BO146" s="734"/>
      <c r="BP146" s="732"/>
      <c r="BQ146" s="734"/>
      <c r="BR146" s="732"/>
      <c r="BS146" s="734"/>
      <c r="BT146" s="732"/>
      <c r="BU146" s="734"/>
      <c r="BV146" s="732"/>
      <c r="BW146" s="734"/>
      <c r="BX146" s="732"/>
      <c r="BY146" s="734"/>
      <c r="BZ146" s="732"/>
      <c r="CA146" s="734"/>
      <c r="CB146" s="732"/>
      <c r="CC146" s="734"/>
      <c r="CD146" s="732"/>
      <c r="CE146" s="734"/>
      <c r="CF146" s="732"/>
      <c r="CG146" s="734"/>
      <c r="CH146" s="732"/>
      <c r="CI146" s="734"/>
      <c r="CJ146" s="732"/>
      <c r="CK146" s="734"/>
      <c r="CL146" s="732"/>
      <c r="CM146" s="734"/>
      <c r="CN146" s="732"/>
      <c r="CO146" s="734"/>
      <c r="CP146" s="732"/>
      <c r="CQ146" s="734"/>
      <c r="CR146" s="732"/>
      <c r="CS146" s="734"/>
      <c r="CT146" s="732"/>
      <c r="CU146" s="734"/>
      <c r="CV146" s="732"/>
      <c r="CW146" s="734"/>
      <c r="CX146" s="732"/>
      <c r="CY146" s="734"/>
      <c r="CZ146" s="732"/>
      <c r="DA146" s="734"/>
      <c r="DB146" s="734"/>
      <c r="DC146" s="732"/>
      <c r="DD146" s="733"/>
      <c r="DE146" s="732"/>
      <c r="DF146" s="733"/>
      <c r="DG146" s="732"/>
      <c r="DH146" s="733"/>
      <c r="DI146" s="732"/>
      <c r="DJ146" s="733"/>
      <c r="DK146" s="732"/>
      <c r="DL146" s="734"/>
      <c r="DM146" s="732"/>
      <c r="DN146" s="734"/>
      <c r="DO146" s="732"/>
      <c r="DP146" s="734"/>
      <c r="DQ146" s="732"/>
      <c r="DR146" s="734"/>
      <c r="DS146" s="732"/>
      <c r="DT146" s="734"/>
      <c r="DU146" s="732"/>
      <c r="DV146" s="734"/>
      <c r="DW146" s="732"/>
      <c r="DX146" s="734"/>
      <c r="DY146" s="732"/>
      <c r="DZ146" s="734"/>
      <c r="EA146" s="732"/>
      <c r="EB146" s="734"/>
      <c r="EC146" s="732"/>
      <c r="ED146" s="734"/>
      <c r="EE146" s="732"/>
      <c r="EF146" s="734"/>
      <c r="EG146" s="732"/>
      <c r="EH146" s="734"/>
      <c r="EI146" s="732"/>
      <c r="EJ146" s="734"/>
      <c r="EK146" s="732"/>
      <c r="EL146" s="734"/>
      <c r="EM146" s="732"/>
      <c r="EN146" s="734"/>
      <c r="EO146" s="732"/>
      <c r="EP146" s="734"/>
      <c r="EQ146" s="732"/>
      <c r="ER146" s="734"/>
      <c r="ES146" s="732"/>
      <c r="ET146" s="734"/>
      <c r="EU146" s="733"/>
      <c r="EV146" s="710"/>
    </row>
    <row r="147" spans="1:152" ht="12.75" hidden="1" customHeight="1" outlineLevel="1" x14ac:dyDescent="0.2">
      <c r="A147" s="712" t="str">
        <f>A$3</f>
        <v>($Millions Except Per Share Data)</v>
      </c>
      <c r="B147" s="736"/>
      <c r="C147" s="737" t="str">
        <f>C$3</f>
        <v>1Q06/</v>
      </c>
      <c r="D147" s="736"/>
      <c r="E147" s="737" t="str">
        <f>E$3</f>
        <v>2Q06/</v>
      </c>
      <c r="F147" s="736"/>
      <c r="G147" s="737" t="str">
        <f>G$3</f>
        <v>3Q06/</v>
      </c>
      <c r="H147" s="736"/>
      <c r="I147" s="738" t="str">
        <f>I$3</f>
        <v>4Q06/</v>
      </c>
      <c r="J147" s="736"/>
      <c r="K147" s="738" t="str">
        <f>K$3</f>
        <v>1Q07/</v>
      </c>
      <c r="L147" s="736"/>
      <c r="M147" s="738" t="str">
        <f>M$3</f>
        <v>2Q07/</v>
      </c>
      <c r="N147" s="736"/>
      <c r="O147" s="738" t="str">
        <f>O$3</f>
        <v>3Q07/</v>
      </c>
      <c r="P147" s="736"/>
      <c r="Q147" s="738" t="str">
        <f>Q$3</f>
        <v>4Q07/</v>
      </c>
      <c r="R147" s="736"/>
      <c r="S147" s="738" t="str">
        <f>S$3</f>
        <v>1Q08/</v>
      </c>
      <c r="T147" s="736"/>
      <c r="U147" s="738" t="str">
        <f>U$3</f>
        <v>2Q08/</v>
      </c>
      <c r="V147" s="736"/>
      <c r="W147" s="738" t="str">
        <f>W$3</f>
        <v>3Q08/</v>
      </c>
      <c r="X147" s="736"/>
      <c r="Y147" s="738" t="str">
        <f>Y$3</f>
        <v>4Q08/</v>
      </c>
      <c r="Z147" s="736"/>
      <c r="AA147" s="738" t="str">
        <f>AA$3</f>
        <v>1Q09/</v>
      </c>
      <c r="AB147" s="736"/>
      <c r="AC147" s="738" t="str">
        <f>AC$3</f>
        <v>2Q09/</v>
      </c>
      <c r="AD147" s="736"/>
      <c r="AE147" s="738" t="str">
        <f>AE$3</f>
        <v>3Q09/</v>
      </c>
      <c r="AF147" s="736"/>
      <c r="AG147" s="738" t="str">
        <f>AG$3</f>
        <v>4Q09/</v>
      </c>
      <c r="AH147" s="736"/>
      <c r="AI147" s="738" t="str">
        <f>AI$3</f>
        <v>1Q10/</v>
      </c>
      <c r="AJ147" s="736"/>
      <c r="AK147" s="738" t="str">
        <f>AK$3</f>
        <v>2Q10/</v>
      </c>
      <c r="AL147" s="736"/>
      <c r="AM147" s="738" t="str">
        <f>AM$3</f>
        <v>3Q10/</v>
      </c>
      <c r="AN147" s="736"/>
      <c r="AO147" s="738">
        <f>AO$3</f>
        <v>0</v>
      </c>
      <c r="AP147" s="736"/>
      <c r="AQ147" s="738" t="str">
        <f>AQ$3</f>
        <v>1Q11/</v>
      </c>
      <c r="AR147" s="736"/>
      <c r="AS147" s="738" t="str">
        <f>AS$3</f>
        <v>2Q11/</v>
      </c>
      <c r="AT147" s="736"/>
      <c r="AU147" s="738" t="str">
        <f>AU$3</f>
        <v>3Q11/</v>
      </c>
      <c r="AV147" s="736"/>
      <c r="AW147" s="738" t="str">
        <f>AW$3</f>
        <v>4Q11/</v>
      </c>
      <c r="AX147" s="736"/>
      <c r="AY147" s="738" t="str">
        <f>AY$3</f>
        <v>1Q12/</v>
      </c>
      <c r="AZ147" s="736"/>
      <c r="BA147" s="738" t="str">
        <f>BA$3</f>
        <v>2Q12/</v>
      </c>
      <c r="BB147" s="736"/>
      <c r="BC147" s="738" t="str">
        <f>BC$3</f>
        <v>3Q12/</v>
      </c>
      <c r="BD147" s="736"/>
      <c r="BE147" s="738" t="str">
        <f>BE$3</f>
        <v>4Q12/</v>
      </c>
      <c r="BF147" s="736"/>
      <c r="BG147" s="738" t="str">
        <f>BG$3</f>
        <v>1Q13/</v>
      </c>
      <c r="BH147" s="736"/>
      <c r="BI147" s="738" t="str">
        <f>BI$3</f>
        <v>2Q13/</v>
      </c>
      <c r="BJ147" s="736"/>
      <c r="BK147" s="738" t="str">
        <f>BK$3</f>
        <v>3Q13/</v>
      </c>
      <c r="BL147" s="736"/>
      <c r="BM147" s="738" t="str">
        <f>BM$3</f>
        <v>4Q13/</v>
      </c>
      <c r="BN147" s="736"/>
      <c r="BO147" s="738" t="str">
        <f>BO$3</f>
        <v>1Q14/</v>
      </c>
      <c r="BP147" s="736"/>
      <c r="BQ147" s="738" t="str">
        <f>BQ$3</f>
        <v>2Q14/</v>
      </c>
      <c r="BR147" s="736"/>
      <c r="BS147" s="738" t="str">
        <f>BS$3</f>
        <v>3Q14/</v>
      </c>
      <c r="BT147" s="736"/>
      <c r="BU147" s="738" t="str">
        <f>BU$3</f>
        <v>4Q14/</v>
      </c>
      <c r="BV147" s="736"/>
      <c r="BW147" s="738" t="str">
        <f>BW$3</f>
        <v>1Q15/</v>
      </c>
      <c r="BX147" s="736"/>
      <c r="BY147" s="738" t="str">
        <f>BY$3</f>
        <v>2Q15/</v>
      </c>
      <c r="BZ147" s="736"/>
      <c r="CA147" s="738" t="str">
        <f>CA$3</f>
        <v>3Q15/</v>
      </c>
      <c r="CB147" s="736"/>
      <c r="CC147" s="738" t="str">
        <f>CC$3</f>
        <v>4Q15/</v>
      </c>
      <c r="CD147" s="736"/>
      <c r="CE147" s="738" t="str">
        <f>CE$3</f>
        <v>1Q16/</v>
      </c>
      <c r="CF147" s="736"/>
      <c r="CG147" s="738" t="str">
        <f>CG$3</f>
        <v>2Q16/</v>
      </c>
      <c r="CH147" s="736"/>
      <c r="CI147" s="738" t="str">
        <f>CI$3</f>
        <v>3Q16/</v>
      </c>
      <c r="CJ147" s="736"/>
      <c r="CK147" s="738" t="str">
        <f>CK$3</f>
        <v>4Q16/</v>
      </c>
      <c r="CL147" s="736"/>
      <c r="CM147" s="738" t="str">
        <f t="shared" ref="CM147" si="219">CM$3</f>
        <v>1Q17/</v>
      </c>
      <c r="CN147" s="736"/>
      <c r="CO147" s="738" t="str">
        <f t="shared" ref="CO147" si="220">CO$3</f>
        <v>2Q17/</v>
      </c>
      <c r="CP147" s="736"/>
      <c r="CQ147" s="738" t="str">
        <f t="shared" ref="CQ147:CS147" si="221">CQ$3</f>
        <v>3Q17/</v>
      </c>
      <c r="CR147" s="736"/>
      <c r="CS147" s="738" t="str">
        <f t="shared" si="221"/>
        <v>4Q17/</v>
      </c>
      <c r="CT147" s="736"/>
      <c r="CU147" s="738" t="str">
        <f t="shared" ref="CU147" si="222">CU$3</f>
        <v>1Q18E/</v>
      </c>
      <c r="CV147" s="736"/>
      <c r="CW147" s="738" t="str">
        <f t="shared" ref="CW147" si="223">CW$3</f>
        <v>2Q18E/</v>
      </c>
      <c r="CX147" s="736"/>
      <c r="CY147" s="738" t="str">
        <f t="shared" ref="CY147:DA147" si="224">CY$3</f>
        <v>3Q18E/</v>
      </c>
      <c r="CZ147" s="736"/>
      <c r="DA147" s="738" t="str">
        <f t="shared" si="224"/>
        <v>4Q18E/</v>
      </c>
      <c r="DB147" s="739"/>
      <c r="DC147" s="736"/>
      <c r="DD147" s="737" t="str">
        <f>DD$3</f>
        <v>2001/</v>
      </c>
      <c r="DE147" s="736"/>
      <c r="DF147" s="737" t="str">
        <f>DF$3</f>
        <v>2002/</v>
      </c>
      <c r="DG147" s="736"/>
      <c r="DH147" s="737" t="str">
        <f>DH$3</f>
        <v>2003/</v>
      </c>
      <c r="DI147" s="736"/>
      <c r="DJ147" s="737" t="str">
        <f>DJ$3</f>
        <v>2004/</v>
      </c>
      <c r="DK147" s="736"/>
      <c r="DL147" s="738" t="str">
        <f>DL$3</f>
        <v>2005/</v>
      </c>
      <c r="DM147" s="736"/>
      <c r="DN147" s="738" t="str">
        <f>DN$3</f>
        <v>2006/</v>
      </c>
      <c r="DO147" s="736"/>
      <c r="DP147" s="738" t="str">
        <f>DP$3</f>
        <v>2007/</v>
      </c>
      <c r="DQ147" s="736"/>
      <c r="DR147" s="738" t="str">
        <f>DR$3</f>
        <v>2008/</v>
      </c>
      <c r="DS147" s="736"/>
      <c r="DT147" s="738" t="str">
        <f>DT$3</f>
        <v>2009/</v>
      </c>
      <c r="DU147" s="736"/>
      <c r="DV147" s="738" t="str">
        <f>DV$3</f>
        <v>2010/</v>
      </c>
      <c r="DW147" s="736"/>
      <c r="DX147" s="738" t="str">
        <f>DX$3</f>
        <v>2011/</v>
      </c>
      <c r="DY147" s="736"/>
      <c r="DZ147" s="738" t="str">
        <f>DZ$3</f>
        <v>2012/</v>
      </c>
      <c r="EA147" s="736"/>
      <c r="EB147" s="738" t="str">
        <f>EB$3</f>
        <v>2013/</v>
      </c>
      <c r="EC147" s="736"/>
      <c r="ED147" s="738" t="str">
        <f>ED$3</f>
        <v>2014/</v>
      </c>
      <c r="EE147" s="736"/>
      <c r="EF147" s="738" t="str">
        <f>EF$3</f>
        <v>2015/</v>
      </c>
      <c r="EG147" s="736"/>
      <c r="EH147" s="738" t="str">
        <f>EH$3</f>
        <v>2016/</v>
      </c>
      <c r="EI147" s="736"/>
      <c r="EJ147" s="738" t="str">
        <f>EJ$3</f>
        <v>2017/</v>
      </c>
      <c r="EK147" s="736"/>
      <c r="EL147" s="738" t="str">
        <f>EL$3</f>
        <v>2018E/</v>
      </c>
      <c r="EM147" s="736"/>
      <c r="EN147" s="738" t="str">
        <f>EN$3</f>
        <v>2019E/</v>
      </c>
      <c r="EO147" s="736"/>
      <c r="EP147" s="738" t="str">
        <f>EP$3</f>
        <v>2020E/</v>
      </c>
      <c r="EQ147" s="736"/>
      <c r="ER147" s="738" t="str">
        <f>ER$3</f>
        <v>2021E/</v>
      </c>
      <c r="ES147" s="736"/>
      <c r="ET147" s="738" t="str">
        <f>ET$3</f>
        <v>2022E/</v>
      </c>
      <c r="EU147" s="737"/>
      <c r="EV147" s="710"/>
    </row>
    <row r="148" spans="1:152" ht="12.75" hidden="1" customHeight="1" outlineLevel="1" x14ac:dyDescent="0.2">
      <c r="A148" s="740"/>
      <c r="B148" s="732"/>
      <c r="C148" s="741" t="str">
        <f>C$4</f>
        <v>1Q05</v>
      </c>
      <c r="D148" s="732"/>
      <c r="E148" s="741" t="str">
        <f>E$4</f>
        <v>2Q05</v>
      </c>
      <c r="F148" s="732"/>
      <c r="G148" s="741" t="str">
        <f>G$4</f>
        <v>3Q05</v>
      </c>
      <c r="H148" s="732"/>
      <c r="I148" s="734" t="str">
        <f>I$4</f>
        <v>4Q05</v>
      </c>
      <c r="J148" s="732"/>
      <c r="K148" s="734" t="str">
        <f>K$4</f>
        <v>1Q06</v>
      </c>
      <c r="L148" s="732"/>
      <c r="M148" s="734" t="str">
        <f>M$4</f>
        <v>2Q06</v>
      </c>
      <c r="N148" s="732"/>
      <c r="O148" s="734" t="str">
        <f>O$4</f>
        <v>3Q06</v>
      </c>
      <c r="P148" s="732"/>
      <c r="Q148" s="734" t="str">
        <f>Q$4</f>
        <v>4Q06</v>
      </c>
      <c r="R148" s="732"/>
      <c r="S148" s="734" t="str">
        <f>S$4</f>
        <v>1Q07</v>
      </c>
      <c r="T148" s="732"/>
      <c r="U148" s="734" t="str">
        <f>U$4</f>
        <v>2Q07</v>
      </c>
      <c r="V148" s="732"/>
      <c r="W148" s="734" t="str">
        <f>W$4</f>
        <v>3Q07</v>
      </c>
      <c r="X148" s="732"/>
      <c r="Y148" s="734" t="str">
        <f>Y$4</f>
        <v>4Q07</v>
      </c>
      <c r="Z148" s="732"/>
      <c r="AA148" s="734" t="str">
        <f>AA$4</f>
        <v>1Q08</v>
      </c>
      <c r="AB148" s="732"/>
      <c r="AC148" s="734" t="str">
        <f>AC$4</f>
        <v>2Q08</v>
      </c>
      <c r="AD148" s="732"/>
      <c r="AE148" s="734" t="str">
        <f>AE$4</f>
        <v>3Q08</v>
      </c>
      <c r="AF148" s="732"/>
      <c r="AG148" s="734" t="str">
        <f>AG$4</f>
        <v>4Q08</v>
      </c>
      <c r="AH148" s="732"/>
      <c r="AI148" s="734" t="str">
        <f>AI$4</f>
        <v>1Q09</v>
      </c>
      <c r="AJ148" s="732"/>
      <c r="AK148" s="734" t="str">
        <f>AK$4</f>
        <v>2Q09</v>
      </c>
      <c r="AL148" s="732"/>
      <c r="AM148" s="734" t="str">
        <f>AM$4</f>
        <v>3Q09</v>
      </c>
      <c r="AN148" s="732"/>
      <c r="AO148" s="734" t="str">
        <f>AO$4</f>
        <v>4Q09</v>
      </c>
      <c r="AP148" s="732"/>
      <c r="AQ148" s="734" t="str">
        <f>AQ$4</f>
        <v>1Q10</v>
      </c>
      <c r="AR148" s="732"/>
      <c r="AS148" s="734" t="str">
        <f>AS$4</f>
        <v>2Q10</v>
      </c>
      <c r="AT148" s="732"/>
      <c r="AU148" s="734" t="str">
        <f>AU$4</f>
        <v>3Q10</v>
      </c>
      <c r="AV148" s="732"/>
      <c r="AW148" s="734" t="str">
        <f>AW$4</f>
        <v>4Q10</v>
      </c>
      <c r="AX148" s="732"/>
      <c r="AY148" s="734" t="str">
        <f>AY$4</f>
        <v>1Q11</v>
      </c>
      <c r="AZ148" s="732"/>
      <c r="BA148" s="734" t="str">
        <f>BA$4</f>
        <v>2Q11</v>
      </c>
      <c r="BB148" s="732"/>
      <c r="BC148" s="734" t="str">
        <f>BC$4</f>
        <v>3Q11</v>
      </c>
      <c r="BD148" s="732"/>
      <c r="BE148" s="734" t="str">
        <f>BE$4</f>
        <v>4Q11</v>
      </c>
      <c r="BF148" s="732"/>
      <c r="BG148" s="734" t="str">
        <f>BG$4</f>
        <v>1Q12</v>
      </c>
      <c r="BH148" s="732"/>
      <c r="BI148" s="734" t="str">
        <f>BI$4</f>
        <v>2Q12</v>
      </c>
      <c r="BJ148" s="732"/>
      <c r="BK148" s="734" t="str">
        <f>BK$4</f>
        <v>3Q12</v>
      </c>
      <c r="BL148" s="732"/>
      <c r="BM148" s="734" t="str">
        <f>BM$4</f>
        <v>4Q12</v>
      </c>
      <c r="BN148" s="732"/>
      <c r="BO148" s="734" t="str">
        <f>BO$4</f>
        <v>1Q13</v>
      </c>
      <c r="BP148" s="732"/>
      <c r="BQ148" s="734" t="str">
        <f>BQ$4</f>
        <v>2Q13</v>
      </c>
      <c r="BR148" s="732"/>
      <c r="BS148" s="734" t="str">
        <f>BS$4</f>
        <v>3Q13</v>
      </c>
      <c r="BT148" s="732"/>
      <c r="BU148" s="734" t="str">
        <f>BU$4</f>
        <v>4Q13</v>
      </c>
      <c r="BV148" s="732"/>
      <c r="BW148" s="734" t="str">
        <f>BW$4</f>
        <v>1Q14</v>
      </c>
      <c r="BX148" s="732"/>
      <c r="BY148" s="734" t="str">
        <f>BY$4</f>
        <v>2Q14</v>
      </c>
      <c r="BZ148" s="732"/>
      <c r="CA148" s="734" t="str">
        <f>CA$4</f>
        <v>3Q14</v>
      </c>
      <c r="CB148" s="732"/>
      <c r="CC148" s="734" t="str">
        <f>CC$4</f>
        <v>4Q14</v>
      </c>
      <c r="CD148" s="732"/>
      <c r="CE148" s="734" t="str">
        <f>CE$4</f>
        <v>1Q15</v>
      </c>
      <c r="CF148" s="732"/>
      <c r="CG148" s="734" t="str">
        <f>CG$4</f>
        <v>2Q15</v>
      </c>
      <c r="CH148" s="732"/>
      <c r="CI148" s="734" t="str">
        <f>CI$4</f>
        <v>3Q15</v>
      </c>
      <c r="CJ148" s="732"/>
      <c r="CK148" s="734" t="str">
        <f>CK$4</f>
        <v>4Q15</v>
      </c>
      <c r="CL148" s="732"/>
      <c r="CM148" s="734" t="str">
        <f t="shared" ref="CM148" si="225">CM$4</f>
        <v>1Q16</v>
      </c>
      <c r="CN148" s="732"/>
      <c r="CO148" s="734" t="str">
        <f t="shared" ref="CO148" si="226">CO$4</f>
        <v>2Q16</v>
      </c>
      <c r="CP148" s="732"/>
      <c r="CQ148" s="734" t="str">
        <f t="shared" ref="CQ148:CS148" si="227">CQ$4</f>
        <v>3Q16</v>
      </c>
      <c r="CR148" s="732"/>
      <c r="CS148" s="734" t="str">
        <f t="shared" si="227"/>
        <v>4Q16</v>
      </c>
      <c r="CT148" s="732"/>
      <c r="CU148" s="734" t="str">
        <f t="shared" ref="CU148" si="228">CU$4</f>
        <v>1Q17</v>
      </c>
      <c r="CV148" s="732"/>
      <c r="CW148" s="734" t="str">
        <f t="shared" ref="CW148" si="229">CW$4</f>
        <v>2Q17</v>
      </c>
      <c r="CX148" s="732"/>
      <c r="CY148" s="734" t="str">
        <f t="shared" ref="CY148:DA148" si="230">CY$4</f>
        <v>3Q17</v>
      </c>
      <c r="CZ148" s="732"/>
      <c r="DA148" s="734" t="str">
        <f t="shared" si="230"/>
        <v>4Q17</v>
      </c>
      <c r="DB148" s="742"/>
      <c r="DC148" s="732"/>
      <c r="DD148" s="741" t="str">
        <f>DD$4</f>
        <v>2000</v>
      </c>
      <c r="DE148" s="732"/>
      <c r="DF148" s="741" t="str">
        <f>DF$4</f>
        <v>2001</v>
      </c>
      <c r="DG148" s="732"/>
      <c r="DH148" s="741" t="str">
        <f>DH$4</f>
        <v>2002</v>
      </c>
      <c r="DI148" s="732"/>
      <c r="DJ148" s="741" t="str">
        <f>DJ$4</f>
        <v>2003</v>
      </c>
      <c r="DK148" s="732"/>
      <c r="DL148" s="734" t="str">
        <f>DL$4</f>
        <v>2004</v>
      </c>
      <c r="DM148" s="732"/>
      <c r="DN148" s="734" t="str">
        <f>DN$4</f>
        <v>2005</v>
      </c>
      <c r="DO148" s="732"/>
      <c r="DP148" s="734">
        <f>DP$4</f>
        <v>2006</v>
      </c>
      <c r="DQ148" s="732"/>
      <c r="DR148" s="734">
        <f>DR$4</f>
        <v>2007</v>
      </c>
      <c r="DS148" s="732"/>
      <c r="DT148" s="734">
        <f>DT$4</f>
        <v>2008</v>
      </c>
      <c r="DU148" s="732"/>
      <c r="DV148" s="734" t="str">
        <f>DV$4</f>
        <v>2009</v>
      </c>
      <c r="DW148" s="732"/>
      <c r="DX148" s="734" t="str">
        <f>DX$4</f>
        <v>2010</v>
      </c>
      <c r="DY148" s="732"/>
      <c r="DZ148" s="734" t="str">
        <f>DZ$4</f>
        <v>2011</v>
      </c>
      <c r="EA148" s="732"/>
      <c r="EB148" s="734" t="str">
        <f>EB$4</f>
        <v>2012</v>
      </c>
      <c r="EC148" s="732"/>
      <c r="ED148" s="734" t="str">
        <f>ED$4</f>
        <v>2013</v>
      </c>
      <c r="EE148" s="732"/>
      <c r="EF148" s="734" t="str">
        <f>EF$4</f>
        <v>2014</v>
      </c>
      <c r="EG148" s="732"/>
      <c r="EH148" s="734" t="str">
        <f>EH$4</f>
        <v>2015</v>
      </c>
      <c r="EI148" s="732"/>
      <c r="EJ148" s="734" t="str">
        <f>EJ$4</f>
        <v>2016</v>
      </c>
      <c r="EK148" s="732"/>
      <c r="EL148" s="734" t="str">
        <f>EL$4</f>
        <v>2017</v>
      </c>
      <c r="EM148" s="732"/>
      <c r="EN148" s="734" t="str">
        <f>EN$4</f>
        <v>2018E</v>
      </c>
      <c r="EO148" s="732"/>
      <c r="EP148" s="734" t="str">
        <f>EP$4</f>
        <v>2019E</v>
      </c>
      <c r="EQ148" s="732"/>
      <c r="ER148" s="734" t="str">
        <f>ER$4</f>
        <v>2020E</v>
      </c>
      <c r="ES148" s="732"/>
      <c r="ET148" s="734" t="str">
        <f>ET$4</f>
        <v>2021E</v>
      </c>
      <c r="EU148" s="741" t="str">
        <f>EU$4</f>
        <v>CAGR</v>
      </c>
      <c r="EV148" s="710"/>
    </row>
    <row r="149" spans="1:152" ht="12.75" hidden="1" customHeight="1" outlineLevel="1" x14ac:dyDescent="0.2">
      <c r="A149" s="743"/>
      <c r="B149" s="744" t="str">
        <f t="shared" ref="B149:CL149" si="231">B$5</f>
        <v>1Q06</v>
      </c>
      <c r="C149" s="745" t="str">
        <f t="shared" si="231"/>
        <v>% Chg</v>
      </c>
      <c r="D149" s="744" t="str">
        <f t="shared" si="231"/>
        <v>2Q06</v>
      </c>
      <c r="E149" s="745" t="str">
        <f t="shared" si="231"/>
        <v>% Chg</v>
      </c>
      <c r="F149" s="744" t="str">
        <f t="shared" si="231"/>
        <v>3Q06</v>
      </c>
      <c r="G149" s="745" t="str">
        <f t="shared" si="231"/>
        <v>% Chg</v>
      </c>
      <c r="H149" s="744" t="str">
        <f t="shared" si="231"/>
        <v>4Q06</v>
      </c>
      <c r="I149" s="746" t="str">
        <f t="shared" si="231"/>
        <v>% Chg</v>
      </c>
      <c r="J149" s="744" t="str">
        <f t="shared" si="231"/>
        <v>1Q07</v>
      </c>
      <c r="K149" s="746" t="str">
        <f t="shared" si="231"/>
        <v>% Chg</v>
      </c>
      <c r="L149" s="744" t="str">
        <f t="shared" si="231"/>
        <v>2Q07</v>
      </c>
      <c r="M149" s="746" t="str">
        <f t="shared" si="231"/>
        <v>% Chg</v>
      </c>
      <c r="N149" s="744" t="str">
        <f t="shared" si="231"/>
        <v>3Q07</v>
      </c>
      <c r="O149" s="746" t="str">
        <f t="shared" si="231"/>
        <v>% Chg</v>
      </c>
      <c r="P149" s="744" t="str">
        <f t="shared" si="231"/>
        <v>4Q07</v>
      </c>
      <c r="Q149" s="746" t="str">
        <f t="shared" si="231"/>
        <v>% Chg</v>
      </c>
      <c r="R149" s="744" t="str">
        <f t="shared" si="231"/>
        <v>1Q08</v>
      </c>
      <c r="S149" s="746" t="str">
        <f t="shared" si="231"/>
        <v>% Chg</v>
      </c>
      <c r="T149" s="744" t="str">
        <f t="shared" si="231"/>
        <v>2Q08</v>
      </c>
      <c r="U149" s="746" t="str">
        <f t="shared" si="231"/>
        <v>% Chg</v>
      </c>
      <c r="V149" s="744" t="str">
        <f t="shared" si="231"/>
        <v>3Q08</v>
      </c>
      <c r="W149" s="746" t="str">
        <f t="shared" si="231"/>
        <v>% Chg</v>
      </c>
      <c r="X149" s="744" t="str">
        <f t="shared" si="231"/>
        <v>4Q08</v>
      </c>
      <c r="Y149" s="746" t="str">
        <f t="shared" si="231"/>
        <v>% Chg</v>
      </c>
      <c r="Z149" s="744" t="str">
        <f t="shared" si="231"/>
        <v>1Q09</v>
      </c>
      <c r="AA149" s="746" t="str">
        <f t="shared" si="231"/>
        <v>% Chg</v>
      </c>
      <c r="AB149" s="744" t="str">
        <f t="shared" si="231"/>
        <v>2Q09</v>
      </c>
      <c r="AC149" s="746" t="str">
        <f t="shared" si="231"/>
        <v>% Chg</v>
      </c>
      <c r="AD149" s="744" t="str">
        <f t="shared" si="231"/>
        <v>3Q09</v>
      </c>
      <c r="AE149" s="746" t="str">
        <f t="shared" si="231"/>
        <v>% Chg</v>
      </c>
      <c r="AF149" s="744" t="str">
        <f t="shared" si="231"/>
        <v>4Q09</v>
      </c>
      <c r="AG149" s="746" t="str">
        <f t="shared" si="231"/>
        <v>% Chg</v>
      </c>
      <c r="AH149" s="744" t="str">
        <f t="shared" si="231"/>
        <v>1Q10</v>
      </c>
      <c r="AI149" s="746" t="str">
        <f t="shared" si="231"/>
        <v>% Chg</v>
      </c>
      <c r="AJ149" s="744" t="str">
        <f t="shared" si="231"/>
        <v>2Q10</v>
      </c>
      <c r="AK149" s="746" t="str">
        <f t="shared" si="231"/>
        <v>% Chg</v>
      </c>
      <c r="AL149" s="744" t="str">
        <f t="shared" si="231"/>
        <v>3Q10</v>
      </c>
      <c r="AM149" s="746" t="str">
        <f t="shared" si="231"/>
        <v>% Chg</v>
      </c>
      <c r="AN149" s="744" t="str">
        <f t="shared" si="231"/>
        <v>4Q10</v>
      </c>
      <c r="AO149" s="746" t="str">
        <f t="shared" si="231"/>
        <v>% Chg</v>
      </c>
      <c r="AP149" s="744" t="str">
        <f t="shared" si="231"/>
        <v>1Q11</v>
      </c>
      <c r="AQ149" s="746" t="str">
        <f t="shared" si="231"/>
        <v>% Chg</v>
      </c>
      <c r="AR149" s="744" t="str">
        <f t="shared" si="231"/>
        <v>2Q11</v>
      </c>
      <c r="AS149" s="746" t="str">
        <f t="shared" si="231"/>
        <v>% Chg</v>
      </c>
      <c r="AT149" s="744" t="str">
        <f t="shared" si="231"/>
        <v>3Q11</v>
      </c>
      <c r="AU149" s="746" t="str">
        <f t="shared" si="231"/>
        <v>% Chg</v>
      </c>
      <c r="AV149" s="744" t="str">
        <f t="shared" si="231"/>
        <v>4Q11</v>
      </c>
      <c r="AW149" s="746" t="str">
        <f t="shared" si="231"/>
        <v>% Chg</v>
      </c>
      <c r="AX149" s="744" t="str">
        <f t="shared" si="231"/>
        <v>1Q12</v>
      </c>
      <c r="AY149" s="746" t="str">
        <f t="shared" si="231"/>
        <v>% Chg</v>
      </c>
      <c r="AZ149" s="744" t="str">
        <f t="shared" si="231"/>
        <v>2Q12</v>
      </c>
      <c r="BA149" s="746" t="str">
        <f t="shared" si="231"/>
        <v>% Chg</v>
      </c>
      <c r="BB149" s="744" t="str">
        <f t="shared" si="231"/>
        <v>3Q12</v>
      </c>
      <c r="BC149" s="746" t="str">
        <f t="shared" si="231"/>
        <v>% Chg</v>
      </c>
      <c r="BD149" s="744" t="str">
        <f t="shared" si="231"/>
        <v>4Q12</v>
      </c>
      <c r="BE149" s="746" t="str">
        <f t="shared" si="231"/>
        <v>% Chg</v>
      </c>
      <c r="BF149" s="744" t="str">
        <f t="shared" si="231"/>
        <v>1Q13</v>
      </c>
      <c r="BG149" s="746" t="str">
        <f t="shared" si="231"/>
        <v>% Chg</v>
      </c>
      <c r="BH149" s="744" t="str">
        <f t="shared" si="231"/>
        <v>2Q13</v>
      </c>
      <c r="BI149" s="746" t="str">
        <f t="shared" si="231"/>
        <v>% Chg</v>
      </c>
      <c r="BJ149" s="744" t="str">
        <f t="shared" si="231"/>
        <v>3Q13</v>
      </c>
      <c r="BK149" s="746" t="str">
        <f t="shared" si="231"/>
        <v>% Chg</v>
      </c>
      <c r="BL149" s="744" t="str">
        <f t="shared" si="231"/>
        <v>4Q13</v>
      </c>
      <c r="BM149" s="746" t="str">
        <f t="shared" si="231"/>
        <v>% Chg</v>
      </c>
      <c r="BN149" s="744" t="str">
        <f t="shared" si="231"/>
        <v>1Q14</v>
      </c>
      <c r="BO149" s="746" t="str">
        <f>BO$5</f>
        <v>% Chg</v>
      </c>
      <c r="BP149" s="744" t="str">
        <f t="shared" si="231"/>
        <v>2Q14</v>
      </c>
      <c r="BQ149" s="746" t="str">
        <f>BQ$5</f>
        <v>% Chg</v>
      </c>
      <c r="BR149" s="744" t="str">
        <f t="shared" si="231"/>
        <v>3Q14</v>
      </c>
      <c r="BS149" s="746" t="str">
        <f>BS$5</f>
        <v>% Chg</v>
      </c>
      <c r="BT149" s="744" t="str">
        <f t="shared" si="231"/>
        <v>4Q14</v>
      </c>
      <c r="BU149" s="746" t="str">
        <f>BU$5</f>
        <v>% Chg</v>
      </c>
      <c r="BV149" s="744" t="str">
        <f t="shared" si="231"/>
        <v>1Q15</v>
      </c>
      <c r="BW149" s="746" t="str">
        <f>BW$5</f>
        <v>% Chg</v>
      </c>
      <c r="BX149" s="744" t="str">
        <f t="shared" si="231"/>
        <v>2Q15</v>
      </c>
      <c r="BY149" s="746" t="str">
        <f>BY$5</f>
        <v>% Chg</v>
      </c>
      <c r="BZ149" s="744" t="str">
        <f t="shared" si="231"/>
        <v>3Q15</v>
      </c>
      <c r="CA149" s="746" t="str">
        <f>CA$5</f>
        <v>% Chg</v>
      </c>
      <c r="CB149" s="744" t="str">
        <f t="shared" si="231"/>
        <v>4Q15</v>
      </c>
      <c r="CC149" s="746" t="str">
        <f>CC$5</f>
        <v>% Chg</v>
      </c>
      <c r="CD149" s="744" t="str">
        <f t="shared" si="231"/>
        <v>1Q16</v>
      </c>
      <c r="CE149" s="746" t="str">
        <f>CE$5</f>
        <v>% Chg</v>
      </c>
      <c r="CF149" s="744" t="str">
        <f t="shared" si="231"/>
        <v>2Q16</v>
      </c>
      <c r="CG149" s="746" t="str">
        <f>CG$5</f>
        <v>% Chg</v>
      </c>
      <c r="CH149" s="744" t="str">
        <f t="shared" si="231"/>
        <v>3Q16</v>
      </c>
      <c r="CI149" s="746" t="str">
        <f>CI$5</f>
        <v>% Chg</v>
      </c>
      <c r="CJ149" s="744" t="str">
        <f t="shared" si="231"/>
        <v>4Q16</v>
      </c>
      <c r="CK149" s="746" t="str">
        <f>CK$5</f>
        <v>% Chg</v>
      </c>
      <c r="CL149" s="744" t="str">
        <f t="shared" si="231"/>
        <v>1Q17</v>
      </c>
      <c r="CM149" s="746" t="str">
        <f t="shared" ref="CM149:DA149" si="232">CM$5</f>
        <v>% Chg</v>
      </c>
      <c r="CN149" s="744" t="str">
        <f t="shared" si="232"/>
        <v>2Q17</v>
      </c>
      <c r="CO149" s="746" t="str">
        <f t="shared" si="232"/>
        <v>% Chg</v>
      </c>
      <c r="CP149" s="744" t="str">
        <f t="shared" si="232"/>
        <v>3Q17</v>
      </c>
      <c r="CQ149" s="746" t="str">
        <f t="shared" si="232"/>
        <v>% Chg</v>
      </c>
      <c r="CR149" s="744" t="str">
        <f t="shared" si="232"/>
        <v>4Q17</v>
      </c>
      <c r="CS149" s="746" t="str">
        <f t="shared" si="232"/>
        <v>% Chg</v>
      </c>
      <c r="CT149" s="744" t="str">
        <f t="shared" si="232"/>
        <v>1Q18E</v>
      </c>
      <c r="CU149" s="746" t="str">
        <f t="shared" si="232"/>
        <v>% Chg</v>
      </c>
      <c r="CV149" s="744" t="str">
        <f t="shared" si="232"/>
        <v>2Q18E</v>
      </c>
      <c r="CW149" s="746" t="str">
        <f t="shared" si="232"/>
        <v>% Chg</v>
      </c>
      <c r="CX149" s="744" t="str">
        <f t="shared" si="232"/>
        <v>3Q18E</v>
      </c>
      <c r="CY149" s="746" t="str">
        <f t="shared" si="232"/>
        <v>% Chg</v>
      </c>
      <c r="CZ149" s="744" t="str">
        <f t="shared" si="232"/>
        <v>4Q18E</v>
      </c>
      <c r="DA149" s="746" t="str">
        <f t="shared" si="232"/>
        <v>% Chg</v>
      </c>
      <c r="DB149" s="747"/>
      <c r="DC149" s="744" t="str">
        <f t="shared" ref="DC149:ET149" si="233">DC$5</f>
        <v>2001</v>
      </c>
      <c r="DD149" s="745" t="str">
        <f t="shared" si="233"/>
        <v>% Chg</v>
      </c>
      <c r="DE149" s="744" t="str">
        <f t="shared" si="233"/>
        <v>2002</v>
      </c>
      <c r="DF149" s="745" t="str">
        <f t="shared" si="233"/>
        <v>% Chg</v>
      </c>
      <c r="DG149" s="744" t="str">
        <f t="shared" si="233"/>
        <v>2003</v>
      </c>
      <c r="DH149" s="745" t="str">
        <f t="shared" si="233"/>
        <v>% Chg</v>
      </c>
      <c r="DI149" s="744" t="str">
        <f t="shared" si="233"/>
        <v>2004</v>
      </c>
      <c r="DJ149" s="745" t="str">
        <f t="shared" si="233"/>
        <v>% Chg</v>
      </c>
      <c r="DK149" s="744" t="str">
        <f t="shared" si="233"/>
        <v>2005</v>
      </c>
      <c r="DL149" s="746" t="str">
        <f t="shared" si="233"/>
        <v>% Chg</v>
      </c>
      <c r="DM149" s="748">
        <f t="shared" si="233"/>
        <v>2006</v>
      </c>
      <c r="DN149" s="746" t="str">
        <f t="shared" si="233"/>
        <v>% Chg</v>
      </c>
      <c r="DO149" s="748">
        <f t="shared" si="233"/>
        <v>2007</v>
      </c>
      <c r="DP149" s="746" t="str">
        <f t="shared" si="233"/>
        <v>% Chg</v>
      </c>
      <c r="DQ149" s="748">
        <f t="shared" si="233"/>
        <v>2008</v>
      </c>
      <c r="DR149" s="746" t="str">
        <f t="shared" si="233"/>
        <v>% Chg</v>
      </c>
      <c r="DS149" s="744" t="str">
        <f t="shared" si="233"/>
        <v>2009</v>
      </c>
      <c r="DT149" s="746" t="str">
        <f t="shared" si="233"/>
        <v>% Chg</v>
      </c>
      <c r="DU149" s="744" t="str">
        <f t="shared" si="233"/>
        <v>2010</v>
      </c>
      <c r="DV149" s="746" t="str">
        <f t="shared" si="233"/>
        <v>% Chg</v>
      </c>
      <c r="DW149" s="744" t="str">
        <f t="shared" si="233"/>
        <v>2011</v>
      </c>
      <c r="DX149" s="746" t="str">
        <f t="shared" si="233"/>
        <v>% Chg</v>
      </c>
      <c r="DY149" s="744" t="str">
        <f t="shared" si="233"/>
        <v>2012</v>
      </c>
      <c r="DZ149" s="746" t="str">
        <f t="shared" si="233"/>
        <v>% Chg</v>
      </c>
      <c r="EA149" s="744" t="str">
        <f t="shared" si="233"/>
        <v>2013</v>
      </c>
      <c r="EB149" s="746" t="str">
        <f t="shared" si="233"/>
        <v>% Chg</v>
      </c>
      <c r="EC149" s="744" t="str">
        <f t="shared" si="233"/>
        <v>2014</v>
      </c>
      <c r="ED149" s="746" t="str">
        <f t="shared" si="233"/>
        <v>% Chg</v>
      </c>
      <c r="EE149" s="744" t="str">
        <f t="shared" si="233"/>
        <v>2015</v>
      </c>
      <c r="EF149" s="746" t="str">
        <f t="shared" si="233"/>
        <v>% Chg</v>
      </c>
      <c r="EG149" s="744" t="str">
        <f t="shared" si="233"/>
        <v>2016</v>
      </c>
      <c r="EH149" s="746" t="str">
        <f t="shared" si="233"/>
        <v>% Chg</v>
      </c>
      <c r="EI149" s="744" t="str">
        <f t="shared" si="233"/>
        <v>2017</v>
      </c>
      <c r="EJ149" s="746" t="str">
        <f t="shared" si="233"/>
        <v>% Chg</v>
      </c>
      <c r="EK149" s="744" t="str">
        <f t="shared" si="233"/>
        <v>2018E</v>
      </c>
      <c r="EL149" s="746" t="str">
        <f t="shared" si="233"/>
        <v>% Chg</v>
      </c>
      <c r="EM149" s="744" t="str">
        <f t="shared" si="233"/>
        <v>2019E</v>
      </c>
      <c r="EN149" s="746" t="str">
        <f t="shared" si="233"/>
        <v>% Chg</v>
      </c>
      <c r="EO149" s="744" t="str">
        <f t="shared" si="233"/>
        <v>2020E</v>
      </c>
      <c r="EP149" s="746" t="str">
        <f t="shared" si="233"/>
        <v>% Chg</v>
      </c>
      <c r="EQ149" s="744" t="str">
        <f t="shared" si="233"/>
        <v>2021E</v>
      </c>
      <c r="ER149" s="746" t="str">
        <f t="shared" si="233"/>
        <v>% Chg</v>
      </c>
      <c r="ES149" s="744" t="str">
        <f t="shared" si="233"/>
        <v>2022E</v>
      </c>
      <c r="ET149" s="746" t="str">
        <f t="shared" si="233"/>
        <v>% Chg</v>
      </c>
      <c r="EU149" s="745" t="str">
        <f>EU$5</f>
        <v>(%)</v>
      </c>
      <c r="EV149" s="710"/>
    </row>
    <row r="150" spans="1:152" ht="12.75" hidden="1" customHeight="1" outlineLevel="1" x14ac:dyDescent="0.2">
      <c r="A150" s="749"/>
      <c r="B150" s="750"/>
      <c r="C150" s="767"/>
      <c r="D150" s="750"/>
      <c r="E150" s="767"/>
      <c r="F150" s="750"/>
      <c r="G150" s="767"/>
      <c r="H150" s="750"/>
      <c r="I150" s="752"/>
      <c r="J150" s="750"/>
      <c r="K150" s="752"/>
      <c r="L150" s="750"/>
      <c r="M150" s="752"/>
      <c r="N150" s="750"/>
      <c r="O150" s="752"/>
      <c r="P150" s="750"/>
      <c r="Q150" s="752"/>
      <c r="R150" s="750"/>
      <c r="S150" s="752"/>
      <c r="T150" s="750"/>
      <c r="U150" s="752"/>
      <c r="V150" s="750"/>
      <c r="W150" s="752"/>
      <c r="X150" s="750"/>
      <c r="Y150" s="752"/>
      <c r="Z150" s="750"/>
      <c r="AA150" s="752"/>
      <c r="AB150" s="750"/>
      <c r="AC150" s="752"/>
      <c r="AD150" s="750"/>
      <c r="AE150" s="752"/>
      <c r="AF150" s="750"/>
      <c r="AG150" s="752"/>
      <c r="AH150" s="750"/>
      <c r="AI150" s="752"/>
      <c r="AJ150" s="750"/>
      <c r="AK150" s="752"/>
      <c r="AL150" s="750"/>
      <c r="AM150" s="752"/>
      <c r="AN150" s="750"/>
      <c r="AO150" s="752"/>
      <c r="AP150" s="750"/>
      <c r="AQ150" s="752"/>
      <c r="AR150" s="750"/>
      <c r="AS150" s="752"/>
      <c r="AT150" s="750"/>
      <c r="AU150" s="752"/>
      <c r="AV150" s="750"/>
      <c r="AW150" s="752"/>
      <c r="AX150" s="750"/>
      <c r="AY150" s="752"/>
      <c r="AZ150" s="750"/>
      <c r="BA150" s="752"/>
      <c r="BB150" s="750"/>
      <c r="BC150" s="752"/>
      <c r="BD150" s="750"/>
      <c r="BE150" s="752"/>
      <c r="BF150" s="750"/>
      <c r="BG150" s="752"/>
      <c r="BH150" s="750"/>
      <c r="BI150" s="752"/>
      <c r="BJ150" s="750"/>
      <c r="BK150" s="752"/>
      <c r="BL150" s="750"/>
      <c r="BM150" s="752"/>
      <c r="BN150" s="750"/>
      <c r="BO150" s="752"/>
      <c r="BP150" s="750"/>
      <c r="BQ150" s="752"/>
      <c r="BR150" s="750"/>
      <c r="BS150" s="752"/>
      <c r="BT150" s="750"/>
      <c r="BU150" s="752"/>
      <c r="BV150" s="750"/>
      <c r="BW150" s="752"/>
      <c r="BX150" s="750"/>
      <c r="BY150" s="752"/>
      <c r="BZ150" s="750"/>
      <c r="CA150" s="752"/>
      <c r="CB150" s="750"/>
      <c r="CC150" s="752"/>
      <c r="CD150" s="750"/>
      <c r="CE150" s="752"/>
      <c r="CF150" s="750"/>
      <c r="CG150" s="752"/>
      <c r="CH150" s="750"/>
      <c r="CI150" s="752"/>
      <c r="CJ150" s="750"/>
      <c r="CK150" s="752"/>
      <c r="CL150" s="750"/>
      <c r="CM150" s="752"/>
      <c r="CN150" s="750"/>
      <c r="CO150" s="752"/>
      <c r="CP150" s="750"/>
      <c r="CQ150" s="752"/>
      <c r="CR150" s="750"/>
      <c r="CS150" s="752"/>
      <c r="CT150" s="750"/>
      <c r="CU150" s="752"/>
      <c r="CV150" s="750"/>
      <c r="CW150" s="752"/>
      <c r="CX150" s="750"/>
      <c r="CY150" s="752"/>
      <c r="CZ150" s="750"/>
      <c r="DA150" s="752"/>
      <c r="DB150" s="753"/>
      <c r="DC150" s="750"/>
      <c r="DD150" s="767"/>
      <c r="DE150" s="750"/>
      <c r="DF150" s="767"/>
      <c r="DG150" s="750"/>
      <c r="DH150" s="767"/>
      <c r="DI150" s="750"/>
      <c r="DJ150" s="767"/>
      <c r="DK150" s="750"/>
      <c r="DL150" s="752"/>
      <c r="DM150" s="750"/>
      <c r="DN150" s="752"/>
      <c r="DO150" s="750"/>
      <c r="DP150" s="752"/>
      <c r="DQ150" s="750"/>
      <c r="DR150" s="752"/>
      <c r="DS150" s="750"/>
      <c r="DT150" s="752"/>
      <c r="DU150" s="750"/>
      <c r="DV150" s="752"/>
      <c r="DW150" s="750"/>
      <c r="DX150" s="752"/>
      <c r="DY150" s="750"/>
      <c r="DZ150" s="752"/>
      <c r="EA150" s="750"/>
      <c r="EB150" s="752"/>
      <c r="EC150" s="750"/>
      <c r="ED150" s="752"/>
      <c r="EE150" s="750"/>
      <c r="EF150" s="752"/>
      <c r="EG150" s="750"/>
      <c r="EH150" s="752"/>
      <c r="EI150" s="750"/>
      <c r="EJ150" s="752"/>
      <c r="EK150" s="750"/>
      <c r="EL150" s="752"/>
      <c r="EM150" s="750"/>
      <c r="EN150" s="752"/>
      <c r="EO150" s="750"/>
      <c r="EP150" s="752"/>
      <c r="EQ150" s="750"/>
      <c r="ER150" s="752"/>
      <c r="ES150" s="750"/>
      <c r="ET150" s="752"/>
      <c r="EU150" s="767"/>
      <c r="EV150" s="710"/>
    </row>
    <row r="151" spans="1:152" ht="12.75" hidden="1" customHeight="1" outlineLevel="1" x14ac:dyDescent="0.2">
      <c r="A151" s="749" t="s">
        <v>285</v>
      </c>
      <c r="B151" s="750"/>
      <c r="C151" s="767"/>
      <c r="D151" s="750"/>
      <c r="E151" s="767"/>
      <c r="F151" s="750"/>
      <c r="G151" s="767"/>
      <c r="H151" s="750"/>
      <c r="I151" s="752"/>
      <c r="J151" s="750"/>
      <c r="K151" s="752"/>
      <c r="L151" s="750"/>
      <c r="M151" s="752"/>
      <c r="N151" s="750"/>
      <c r="O151" s="752"/>
      <c r="P151" s="750"/>
      <c r="Q151" s="752"/>
      <c r="R151" s="750"/>
      <c r="S151" s="752"/>
      <c r="T151" s="750"/>
      <c r="U151" s="752"/>
      <c r="V151" s="750"/>
      <c r="W151" s="752"/>
      <c r="X151" s="750"/>
      <c r="Y151" s="752"/>
      <c r="Z151" s="750"/>
      <c r="AA151" s="752"/>
      <c r="AB151" s="750"/>
      <c r="AC151" s="752"/>
      <c r="AD151" s="750"/>
      <c r="AE151" s="752"/>
      <c r="AF151" s="750"/>
      <c r="AG151" s="752"/>
      <c r="AH151" s="750"/>
      <c r="AI151" s="752"/>
      <c r="AJ151" s="750"/>
      <c r="AK151" s="752"/>
      <c r="AL151" s="750"/>
      <c r="AM151" s="752"/>
      <c r="AN151" s="750"/>
      <c r="AO151" s="752"/>
      <c r="AP151" s="750"/>
      <c r="AQ151" s="752"/>
      <c r="AR151" s="750"/>
      <c r="AS151" s="752"/>
      <c r="AT151" s="750"/>
      <c r="AU151" s="752"/>
      <c r="AV151" s="750"/>
      <c r="AW151" s="752"/>
      <c r="AX151" s="750"/>
      <c r="AY151" s="752"/>
      <c r="AZ151" s="750"/>
      <c r="BA151" s="752"/>
      <c r="BB151" s="750"/>
      <c r="BC151" s="752"/>
      <c r="BD151" s="750"/>
      <c r="BE151" s="752"/>
      <c r="BF151" s="750"/>
      <c r="BG151" s="752"/>
      <c r="BH151" s="750"/>
      <c r="BI151" s="752"/>
      <c r="BJ151" s="750"/>
      <c r="BK151" s="752"/>
      <c r="BL151" s="750"/>
      <c r="BM151" s="752"/>
      <c r="BN151" s="750"/>
      <c r="BO151" s="752"/>
      <c r="BP151" s="750"/>
      <c r="BQ151" s="752"/>
      <c r="BR151" s="750"/>
      <c r="BS151" s="752"/>
      <c r="BT151" s="750"/>
      <c r="BU151" s="752"/>
      <c r="BV151" s="750"/>
      <c r="BW151" s="752"/>
      <c r="BX151" s="750"/>
      <c r="BY151" s="752"/>
      <c r="BZ151" s="750"/>
      <c r="CA151" s="752"/>
      <c r="CB151" s="750"/>
      <c r="CC151" s="752"/>
      <c r="CD151" s="750"/>
      <c r="CE151" s="752"/>
      <c r="CF151" s="750"/>
      <c r="CG151" s="752"/>
      <c r="CH151" s="750"/>
      <c r="CI151" s="752"/>
      <c r="CJ151" s="750"/>
      <c r="CK151" s="752"/>
      <c r="CL151" s="750"/>
      <c r="CM151" s="752"/>
      <c r="CN151" s="750"/>
      <c r="CO151" s="752"/>
      <c r="CP151" s="750"/>
      <c r="CQ151" s="752"/>
      <c r="CR151" s="750"/>
      <c r="CS151" s="752"/>
      <c r="CT151" s="750"/>
      <c r="CU151" s="752"/>
      <c r="CV151" s="750"/>
      <c r="CW151" s="752"/>
      <c r="CX151" s="750"/>
      <c r="CY151" s="752"/>
      <c r="CZ151" s="750"/>
      <c r="DA151" s="752"/>
      <c r="DB151" s="753"/>
      <c r="DC151" s="750"/>
      <c r="DD151" s="767"/>
      <c r="DE151" s="750"/>
      <c r="DF151" s="767"/>
      <c r="DG151" s="750"/>
      <c r="DH151" s="767"/>
      <c r="DI151" s="750"/>
      <c r="DJ151" s="767"/>
      <c r="DK151" s="750"/>
      <c r="DL151" s="752"/>
      <c r="DM151" s="750"/>
      <c r="DN151" s="752"/>
      <c r="DO151" s="750"/>
      <c r="DP151" s="752"/>
      <c r="DQ151" s="750"/>
      <c r="DR151" s="752"/>
      <c r="DS151" s="750"/>
      <c r="DT151" s="752"/>
      <c r="DU151" s="750"/>
      <c r="DV151" s="752"/>
      <c r="DW151" s="750"/>
      <c r="DX151" s="752"/>
      <c r="DY151" s="750"/>
      <c r="DZ151" s="752"/>
      <c r="EA151" s="750"/>
      <c r="EB151" s="752"/>
      <c r="EC151" s="750"/>
      <c r="ED151" s="752"/>
      <c r="EE151" s="750"/>
      <c r="EF151" s="752"/>
      <c r="EG151" s="750"/>
      <c r="EH151" s="752"/>
      <c r="EI151" s="750"/>
      <c r="EJ151" s="752"/>
      <c r="EK151" s="750"/>
      <c r="EL151" s="752"/>
      <c r="EM151" s="750"/>
      <c r="EN151" s="752"/>
      <c r="EO151" s="750"/>
      <c r="EP151" s="752"/>
      <c r="EQ151" s="750"/>
      <c r="ER151" s="752"/>
      <c r="ES151" s="750"/>
      <c r="ET151" s="752"/>
      <c r="EU151" s="767"/>
      <c r="EV151" s="710"/>
    </row>
    <row r="152" spans="1:152" ht="12.75" hidden="1" customHeight="1" outlineLevel="1" x14ac:dyDescent="0.2">
      <c r="A152" s="754" t="str">
        <f>INPUT!B75</f>
        <v>Premium Income</v>
      </c>
      <c r="B152" s="750">
        <f>INPUT!AS75</f>
        <v>358.8</v>
      </c>
      <c r="C152" s="756">
        <f>INPUT!AT75</f>
        <v>-2.948336489045178</v>
      </c>
      <c r="D152" s="750">
        <f>INPUT!AU75</f>
        <v>361.5</v>
      </c>
      <c r="E152" s="756">
        <f>INPUT!AV75</f>
        <v>-2.6917900403768513</v>
      </c>
      <c r="F152" s="750">
        <f>INPUT!AW75</f>
        <v>330.6</v>
      </c>
      <c r="G152" s="756">
        <f>INPUT!AX75</f>
        <v>-7.1087384096656265</v>
      </c>
      <c r="H152" s="750">
        <f>INPUT!AY75</f>
        <v>348.8</v>
      </c>
      <c r="I152" s="752">
        <f>INPUT!AZ75</f>
        <v>-4.725484840207594</v>
      </c>
      <c r="J152" s="750">
        <f>INPUT!BA75</f>
        <v>313.2</v>
      </c>
      <c r="K152" s="752">
        <f>INPUT!BB75</f>
        <v>-12.70903010033445</v>
      </c>
      <c r="L152" s="750">
        <f>INPUT!BC75</f>
        <v>309.2</v>
      </c>
      <c r="M152" s="752">
        <f>INPUT!BD75</f>
        <v>-14.467496542185343</v>
      </c>
      <c r="N152" s="750">
        <f>INPUT!BE75</f>
        <v>309.60000000000002</v>
      </c>
      <c r="O152" s="752">
        <f>INPUT!BF75</f>
        <v>-6.3520871143375679</v>
      </c>
      <c r="P152" s="750">
        <f>INPUT!BG75</f>
        <v>306.39999999999998</v>
      </c>
      <c r="Q152" s="752">
        <f>INPUT!BH75</f>
        <v>-12.155963302752305</v>
      </c>
      <c r="R152" s="750">
        <f>INPUT!BI75</f>
        <v>292.39999999999998</v>
      </c>
      <c r="S152" s="752">
        <f>INPUT!BJ75</f>
        <v>-6.6411238825031971</v>
      </c>
      <c r="T152" s="750">
        <f>INPUT!BK75</f>
        <v>300.60000000000002</v>
      </c>
      <c r="U152" s="752">
        <f>INPUT!BL75</f>
        <v>-2.7813712807244428</v>
      </c>
      <c r="V152" s="750">
        <f>INPUT!BM75</f>
        <v>300.3</v>
      </c>
      <c r="W152" s="752">
        <f>INPUT!BN75</f>
        <v>-3.0038759689922534</v>
      </c>
      <c r="X152" s="750">
        <f>INPUT!BO75</f>
        <v>297.10000000000002</v>
      </c>
      <c r="Y152" s="752">
        <f>INPUT!BP75</f>
        <v>-3.0352480417754402</v>
      </c>
      <c r="Z152" s="750">
        <f>INPUT!BQ75</f>
        <v>288</v>
      </c>
      <c r="AA152" s="752">
        <f>INPUT!BR75</f>
        <v>-1.5047879616962967</v>
      </c>
      <c r="AB152" s="750">
        <f>INPUT!BS75</f>
        <v>291.8</v>
      </c>
      <c r="AC152" s="752">
        <f>INPUT!BT75</f>
        <v>-2.9274783765801726</v>
      </c>
      <c r="AD152" s="750">
        <f>INPUT!BU75</f>
        <v>293.39999999999998</v>
      </c>
      <c r="AE152" s="752">
        <f>INPUT!BV75</f>
        <v>-2.2977022977023087</v>
      </c>
      <c r="AF152" s="750">
        <f>INPUT!BW75</f>
        <v>289.39999999999998</v>
      </c>
      <c r="AG152" s="752">
        <f>INPUT!BX75</f>
        <v>-2.591719959609573</v>
      </c>
      <c r="AH152" s="750">
        <f>INPUT!BY75</f>
        <v>296.10000000000002</v>
      </c>
      <c r="AI152" s="752">
        <f>INPUT!BZ75</f>
        <v>2.8125000000000178</v>
      </c>
      <c r="AJ152" s="750">
        <f>INPUT!CA75</f>
        <v>297.7</v>
      </c>
      <c r="AK152" s="752">
        <f>INPUT!CB75</f>
        <v>2.0219328307059525</v>
      </c>
      <c r="AL152" s="750">
        <f>INPUT!CC75</f>
        <v>300</v>
      </c>
      <c r="AM152" s="752">
        <f>INPUT!CD75</f>
        <v>2.249488752556239</v>
      </c>
      <c r="AN152" s="750">
        <f>INPUT!CE75</f>
        <v>302.60000000000002</v>
      </c>
      <c r="AO152" s="752">
        <f>INPUT!CF75</f>
        <v>4.5611610228058153</v>
      </c>
      <c r="AP152" s="750">
        <f>INPUT!CG75</f>
        <v>300.5</v>
      </c>
      <c r="AQ152" s="752">
        <f>INPUT!CH75</f>
        <v>1.4859844647078679</v>
      </c>
      <c r="AR152" s="750">
        <f>INPUT!CI75</f>
        <v>301.10000000000002</v>
      </c>
      <c r="AS152" s="752">
        <f>INPUT!CJ75</f>
        <v>1.1420893516963515</v>
      </c>
      <c r="AT152" s="750">
        <f>INPUT!CK75</f>
        <v>305.3</v>
      </c>
      <c r="AU152" s="752">
        <f>INPUT!CL75</f>
        <v>1.7666666666666719</v>
      </c>
      <c r="AV152" s="750">
        <f>INPUT!CM75</f>
        <v>309</v>
      </c>
      <c r="AW152" s="752">
        <f>INPUT!CN75</f>
        <v>2.1150033046926531</v>
      </c>
      <c r="AX152" s="750">
        <f>INPUT!CO75</f>
        <v>321.89999999999998</v>
      </c>
      <c r="AY152" s="752">
        <f>INPUT!CP75</f>
        <v>7.12146422628952</v>
      </c>
      <c r="AZ152" s="750">
        <f>INPUT!CQ75</f>
        <v>322.89999999999998</v>
      </c>
      <c r="BA152" s="752">
        <f>INPUT!CR75</f>
        <v>7.2401195616074165</v>
      </c>
      <c r="BB152" s="750">
        <f>INPUT!CS75</f>
        <v>326.5</v>
      </c>
      <c r="BC152" s="752">
        <f>INPUT!CT75</f>
        <v>6.9439895185063882</v>
      </c>
      <c r="BD152" s="750">
        <f>INPUT!CU75</f>
        <v>326.10000000000002</v>
      </c>
      <c r="BE152" s="752">
        <f>INPUT!CV75</f>
        <v>5.5339805825242783</v>
      </c>
      <c r="BF152" s="750">
        <f>INPUT!CW75</f>
        <v>333.1</v>
      </c>
      <c r="BG152" s="752">
        <f>INPUT!CX75</f>
        <v>3.4793414103759135</v>
      </c>
      <c r="BH152" s="750">
        <f>INPUT!CY75</f>
        <v>333.8</v>
      </c>
      <c r="BI152" s="752">
        <f>INPUT!CZ75</f>
        <v>3.3756580984825035</v>
      </c>
      <c r="BJ152" s="750">
        <f>INPUT!DA75</f>
        <v>335.7</v>
      </c>
      <c r="BK152" s="752">
        <f>INPUT!DB75</f>
        <v>2.8177641653905017</v>
      </c>
      <c r="BL152" s="750">
        <f>INPUT!DC75</f>
        <v>332.9</v>
      </c>
      <c r="BM152" s="752">
        <f>INPUT!DD75</f>
        <v>2.0852499233363853</v>
      </c>
      <c r="BN152" s="750">
        <f>INPUT!DE75</f>
        <v>340.5</v>
      </c>
      <c r="BO152" s="752">
        <f>INPUT!DF75</f>
        <v>2.2215550885619884</v>
      </c>
      <c r="BP152" s="750">
        <f>INPUT!DG75</f>
        <v>344.3</v>
      </c>
      <c r="BQ152" s="752">
        <f>INPUT!DH75</f>
        <v>3.1455961653684916</v>
      </c>
      <c r="BR152" s="750">
        <f>INPUT!DI75</f>
        <v>348.3</v>
      </c>
      <c r="BS152" s="752">
        <f>INPUT!DJ75</f>
        <v>3.7533512064343189</v>
      </c>
      <c r="BT152" s="750">
        <f>INPUT!DK75</f>
        <v>355.1</v>
      </c>
      <c r="BU152" s="752">
        <f>INPUT!DL75</f>
        <v>6.6686692700510752</v>
      </c>
      <c r="BV152" s="750">
        <f>INPUT!DM75</f>
        <v>367.6</v>
      </c>
      <c r="BW152" s="752">
        <f>INPUT!DN75</f>
        <v>7.9588839941262979</v>
      </c>
      <c r="BX152" s="750">
        <f>INPUT!DO75</f>
        <v>369.3</v>
      </c>
      <c r="BY152" s="752">
        <f>INPUT!DP75</f>
        <v>7.2611094975312263</v>
      </c>
      <c r="BZ152" s="750">
        <f>INPUT!DQ75</f>
        <v>368.6</v>
      </c>
      <c r="CA152" s="752">
        <f>INPUT!DR75</f>
        <v>5.828308929084125</v>
      </c>
      <c r="CB152" s="750">
        <f>INPUT!DS75</f>
        <v>373.6</v>
      </c>
      <c r="CC152" s="752">
        <f>INPUT!DT75</f>
        <v>5.2098000563221669</v>
      </c>
      <c r="CD152" s="750">
        <f>INPUT!DU75</f>
        <v>386.1</v>
      </c>
      <c r="CE152" s="752">
        <f>INPUT!DV75</f>
        <v>5.032644178454837</v>
      </c>
      <c r="CF152" s="750">
        <f>INPUT!DW75</f>
        <v>383.6</v>
      </c>
      <c r="CG152" s="752">
        <f>INPUT!DX75</f>
        <v>3.8721906309233667</v>
      </c>
      <c r="CH152" s="750">
        <f>INPUT!DY75</f>
        <v>388.7</v>
      </c>
      <c r="CI152" s="752">
        <f>INPUT!DZ75</f>
        <v>5.4530656538252842</v>
      </c>
      <c r="CJ152" s="750">
        <f>INPUT!EA75</f>
        <v>391.9</v>
      </c>
      <c r="CK152" s="752">
        <f>INPUT!EB75</f>
        <v>4.8982869379014859</v>
      </c>
      <c r="CL152" s="750">
        <f>INPUT!EC75</f>
        <v>404.4</v>
      </c>
      <c r="CM152" s="752">
        <f>INPUT!ED75</f>
        <v>4.7397047397047309</v>
      </c>
      <c r="CN152" s="750">
        <f>INPUT!EE75</f>
        <v>400.6</v>
      </c>
      <c r="CO152" s="752">
        <f>INPUT!EF75</f>
        <v>4.4316996871741399</v>
      </c>
      <c r="CP152" s="750">
        <f>INPUT!EG75</f>
        <v>407.2</v>
      </c>
      <c r="CQ152" s="752">
        <f>INPUT!EH75</f>
        <v>4.7594545922305054</v>
      </c>
      <c r="CR152" s="750">
        <f>INPUT!EI75</f>
        <v>402.8</v>
      </c>
      <c r="CS152" s="752">
        <f>INPUT!EJ75</f>
        <v>2.7813217657565836</v>
      </c>
      <c r="CT152" s="750">
        <f>INPUT!EK75</f>
        <v>420.57599999999996</v>
      </c>
      <c r="CU152" s="752">
        <f>INPUT!EL75</f>
        <v>4.0000000000000036</v>
      </c>
      <c r="CV152" s="750">
        <f>INPUT!EM75</f>
        <v>416.62400000000002</v>
      </c>
      <c r="CW152" s="752">
        <f>INPUT!EN75</f>
        <v>4.0000000000000036</v>
      </c>
      <c r="CX152" s="750">
        <f>INPUT!EO75</f>
        <v>423.488</v>
      </c>
      <c r="CY152" s="752">
        <f>INPUT!EP75</f>
        <v>4.0000000000000036</v>
      </c>
      <c r="CZ152" s="750">
        <f>INPUT!EQ75</f>
        <v>418.91200000000003</v>
      </c>
      <c r="DA152" s="752">
        <f>INPUT!ER75</f>
        <v>4.0000000000000036</v>
      </c>
      <c r="DB152" s="753"/>
      <c r="DC152" s="750">
        <f>INPUT!FB75</f>
        <v>0</v>
      </c>
      <c r="DD152" s="756">
        <f>INPUT!FC75</f>
        <v>0</v>
      </c>
      <c r="DE152" s="750">
        <f>INPUT!FD75</f>
        <v>1606.3</v>
      </c>
      <c r="DF152" s="756" t="str">
        <f>INPUT!FE75</f>
        <v>NA</v>
      </c>
      <c r="DG152" s="750">
        <f>INPUT!FF75</f>
        <v>1662.4</v>
      </c>
      <c r="DH152" s="756">
        <f>INPUT!FG75</f>
        <v>3.4924982879910527</v>
      </c>
      <c r="DI152" s="750">
        <f>INPUT!FH75</f>
        <v>1623.4</v>
      </c>
      <c r="DJ152" s="756">
        <f>INPUT!FI75</f>
        <v>-2.346005774783444</v>
      </c>
      <c r="DK152" s="750">
        <f>INPUT!FJ75</f>
        <v>1463.2</v>
      </c>
      <c r="DL152" s="752">
        <f>INPUT!FK75</f>
        <v>-9.8681778982382724</v>
      </c>
      <c r="DM152" s="750">
        <f>INPUT!FL75</f>
        <v>1399.7</v>
      </c>
      <c r="DN152" s="752">
        <f>INPUT!FM75</f>
        <v>-4.3398031711317619</v>
      </c>
      <c r="DO152" s="750">
        <f>INPUT!FN75</f>
        <v>1238.4000000000001</v>
      </c>
      <c r="DP152" s="752">
        <f>INPUT!FO75</f>
        <v>-11.523897978138164</v>
      </c>
      <c r="DQ152" s="750">
        <f>INPUT!FP75</f>
        <v>1190.4000000000001</v>
      </c>
      <c r="DR152" s="752">
        <f>INPUT!FQ75</f>
        <v>-3.8759689922480578</v>
      </c>
      <c r="DS152" s="750">
        <f>INPUT!FR75</f>
        <v>1162.5999999999999</v>
      </c>
      <c r="DT152" s="752">
        <f>INPUT!FS75</f>
        <v>-2.3353494623656101</v>
      </c>
      <c r="DU152" s="750">
        <f>INPUT!FT75</f>
        <v>1196.4000000000001</v>
      </c>
      <c r="DV152" s="752">
        <f>INPUT!FU75</f>
        <v>2.9072767933941313</v>
      </c>
      <c r="DW152" s="750">
        <f>INPUT!FV75</f>
        <v>1215.9000000000001</v>
      </c>
      <c r="DX152" s="752">
        <f>INPUT!FW75</f>
        <v>1.6298896690070119</v>
      </c>
      <c r="DY152" s="750">
        <f>INPUT!FX75</f>
        <v>1297.4000000000001</v>
      </c>
      <c r="DZ152" s="752">
        <f>INPUT!FY75</f>
        <v>6.7028538531129112</v>
      </c>
      <c r="EA152" s="750">
        <f>INPUT!FZ75</f>
        <v>1335.5</v>
      </c>
      <c r="EB152" s="752">
        <f>INPUT!GA75</f>
        <v>2.9366425158008358</v>
      </c>
      <c r="EC152" s="750">
        <f>INPUT!GB75</f>
        <v>1388.1999999999998</v>
      </c>
      <c r="ED152" s="752">
        <f>INPUT!GC75</f>
        <v>3.9460876076375717</v>
      </c>
      <c r="EE152" s="750">
        <f>INPUT!GD75</f>
        <v>1479.1</v>
      </c>
      <c r="EF152" s="752">
        <f>INPUT!GE75</f>
        <v>6.548047831724535</v>
      </c>
      <c r="EG152" s="750">
        <f>INPUT!GF75</f>
        <v>1550.3000000000002</v>
      </c>
      <c r="EH152" s="752">
        <f>INPUT!GG75</f>
        <v>4.8137380839700095</v>
      </c>
      <c r="EI152" s="750">
        <f>INPUT!GH75</f>
        <v>1615</v>
      </c>
      <c r="EJ152" s="752">
        <f>INPUT!GI75</f>
        <v>4.1733857962974685</v>
      </c>
      <c r="EK152" s="750">
        <f>INPUT!GJ75</f>
        <v>1679.6000000000001</v>
      </c>
      <c r="EL152" s="752">
        <f>INPUT!GK75</f>
        <v>4.0000000000000036</v>
      </c>
      <c r="EM152" s="750">
        <f>INPUT!GL75</f>
        <v>1721.59</v>
      </c>
      <c r="EN152" s="752">
        <f>INPUT!GM75</f>
        <v>2.4999999999999911</v>
      </c>
      <c r="EO152" s="750">
        <f>INPUT!GN75</f>
        <v>1764.6297499999998</v>
      </c>
      <c r="EP152" s="752">
        <f>INPUT!GO75</f>
        <v>2.4999999999999911</v>
      </c>
      <c r="EQ152" s="750">
        <f>INPUT!GP75</f>
        <v>1808.7454937499997</v>
      </c>
      <c r="ER152" s="752">
        <f>INPUT!GQ75</f>
        <v>2.4999999999999911</v>
      </c>
      <c r="ES152" s="750">
        <f>INPUT!GR75</f>
        <v>1853.9641310937495</v>
      </c>
      <c r="ET152" s="752">
        <f>INPUT!GS75</f>
        <v>2.4999999999999911</v>
      </c>
      <c r="EU152" s="756">
        <f>INPUT!GT75</f>
        <v>2.7982591656139144</v>
      </c>
      <c r="EV152" s="710"/>
    </row>
    <row r="153" spans="1:152" ht="12.75" hidden="1" customHeight="1" outlineLevel="1" x14ac:dyDescent="0.2">
      <c r="A153" s="754" t="str">
        <f>INPUT!B76</f>
        <v>Net Investment Income</v>
      </c>
      <c r="B153" s="750">
        <f>INPUT!AS76</f>
        <v>35.1</v>
      </c>
      <c r="C153" s="756">
        <f>INPUT!AT76</f>
        <v>-11.809045226130642</v>
      </c>
      <c r="D153" s="750">
        <f>INPUT!AU76</f>
        <v>35.200000000000003</v>
      </c>
      <c r="E153" s="756">
        <f>INPUT!AV76</f>
        <v>-7.8534031413612588</v>
      </c>
      <c r="F153" s="750">
        <f>INPUT!AW76</f>
        <v>35.4</v>
      </c>
      <c r="G153" s="756">
        <f>INPUT!AX76</f>
        <v>-2.209944751381232</v>
      </c>
      <c r="H153" s="750">
        <f>INPUT!AY76</f>
        <v>35.6</v>
      </c>
      <c r="I153" s="752">
        <f>INPUT!AZ76</f>
        <v>-5.5702917771883298</v>
      </c>
      <c r="J153" s="750">
        <f>INPUT!BA76</f>
        <v>34.4</v>
      </c>
      <c r="K153" s="752">
        <f>INPUT!BB76</f>
        <v>-1.9943019943020057</v>
      </c>
      <c r="L153" s="750">
        <f>INPUT!BC76</f>
        <v>35.1</v>
      </c>
      <c r="M153" s="752">
        <f>INPUT!BD76</f>
        <v>-0.28409090909091717</v>
      </c>
      <c r="N153" s="750">
        <f>INPUT!BE76</f>
        <v>32.9</v>
      </c>
      <c r="O153" s="752">
        <f>INPUT!BF76</f>
        <v>-7.0621468926553632</v>
      </c>
      <c r="P153" s="750">
        <f>INPUT!BG76</f>
        <v>32.5</v>
      </c>
      <c r="Q153" s="752">
        <f>INPUT!BH76</f>
        <v>-8.70786516853933</v>
      </c>
      <c r="R153" s="750">
        <f>INPUT!BI76</f>
        <v>31.3</v>
      </c>
      <c r="S153" s="752">
        <f>INPUT!BJ76</f>
        <v>-9.011627906976738</v>
      </c>
      <c r="T153" s="750">
        <f>INPUT!BK76</f>
        <v>31.9</v>
      </c>
      <c r="U153" s="752">
        <f>INPUT!BL76</f>
        <v>-9.1168091168091223</v>
      </c>
      <c r="V153" s="750">
        <f>INPUT!BM76</f>
        <v>30.9</v>
      </c>
      <c r="W153" s="752">
        <f>INPUT!BN76</f>
        <v>-6.0790273556231007</v>
      </c>
      <c r="X153" s="750">
        <f>INPUT!BO76</f>
        <v>31.9</v>
      </c>
      <c r="Y153" s="752">
        <f>INPUT!BP76</f>
        <v>-1.8461538461538529</v>
      </c>
      <c r="Z153" s="750">
        <f>INPUT!BQ76</f>
        <v>31</v>
      </c>
      <c r="AA153" s="752">
        <f>INPUT!BR76</f>
        <v>-0.95846645367412275</v>
      </c>
      <c r="AB153" s="750">
        <f>INPUT!BS76</f>
        <v>32.1</v>
      </c>
      <c r="AC153" s="752">
        <f>INPUT!BT76</f>
        <v>0.62695924764890609</v>
      </c>
      <c r="AD153" s="750">
        <f>INPUT!BU76</f>
        <v>32</v>
      </c>
      <c r="AE153" s="752">
        <f>INPUT!BV76</f>
        <v>3.5598705501618255</v>
      </c>
      <c r="AF153" s="750">
        <f>INPUT!BW76</f>
        <v>31.4</v>
      </c>
      <c r="AG153" s="752">
        <f>INPUT!BX76</f>
        <v>-1.5673981191222541</v>
      </c>
      <c r="AH153" s="750">
        <f>INPUT!BY76</f>
        <v>31.8</v>
      </c>
      <c r="AI153" s="752">
        <f>INPUT!BZ76</f>
        <v>2.5806451612903292</v>
      </c>
      <c r="AJ153" s="750">
        <f>INPUT!CA76</f>
        <v>31.5</v>
      </c>
      <c r="AK153" s="752">
        <f>INPUT!CB76</f>
        <v>-1.8691588785046731</v>
      </c>
      <c r="AL153" s="750">
        <f>INPUT!CC76</f>
        <v>32.5</v>
      </c>
      <c r="AM153" s="752">
        <f>INPUT!CD76</f>
        <v>1.5625</v>
      </c>
      <c r="AN153" s="750">
        <f>INPUT!CE76</f>
        <v>33.799999999999997</v>
      </c>
      <c r="AO153" s="752">
        <f>INPUT!CF76</f>
        <v>7.6433121019108263</v>
      </c>
      <c r="AP153" s="750">
        <f>INPUT!CG76</f>
        <v>34.200000000000003</v>
      </c>
      <c r="AQ153" s="752">
        <f>INPUT!CH76</f>
        <v>7.547169811320753</v>
      </c>
      <c r="AR153" s="750">
        <f>INPUT!CI76</f>
        <v>33.700000000000003</v>
      </c>
      <c r="AS153" s="752">
        <f>INPUT!CJ76</f>
        <v>6.9841269841270037</v>
      </c>
      <c r="AT153" s="750">
        <f>INPUT!CK76</f>
        <v>33.700000000000003</v>
      </c>
      <c r="AU153" s="752">
        <f>INPUT!CL76</f>
        <v>3.6923076923077058</v>
      </c>
      <c r="AV153" s="750">
        <f>INPUT!CM76</f>
        <v>33.9</v>
      </c>
      <c r="AW153" s="752">
        <f>INPUT!CN76</f>
        <v>0.29585798816569309</v>
      </c>
      <c r="AX153" s="750">
        <f>INPUT!CO76</f>
        <v>34.9</v>
      </c>
      <c r="AY153" s="752">
        <f>INPUT!CP76</f>
        <v>2.0467836257309857</v>
      </c>
      <c r="AZ153" s="750">
        <f>INPUT!CQ76</f>
        <v>38.200000000000003</v>
      </c>
      <c r="BA153" s="752">
        <f>INPUT!CR76</f>
        <v>13.353115727002972</v>
      </c>
      <c r="BB153" s="750">
        <f>INPUT!CS76</f>
        <v>35.9</v>
      </c>
      <c r="BC153" s="752">
        <f>INPUT!CT76</f>
        <v>6.5281899109792096</v>
      </c>
      <c r="BD153" s="750">
        <f>INPUT!CU76</f>
        <v>37.9</v>
      </c>
      <c r="BE153" s="752">
        <f>INPUT!CV76</f>
        <v>11.799410029498535</v>
      </c>
      <c r="BF153" s="750">
        <f>INPUT!CW76</f>
        <v>34.799999999999997</v>
      </c>
      <c r="BG153" s="752">
        <f>INPUT!CX76</f>
        <v>-0.28653295128939771</v>
      </c>
      <c r="BH153" s="750">
        <f>INPUT!CY76</f>
        <v>33.9</v>
      </c>
      <c r="BI153" s="752">
        <f>INPUT!CZ76</f>
        <v>-11.256544502617816</v>
      </c>
      <c r="BJ153" s="750">
        <f>INPUT!DA76</f>
        <v>35.700000000000003</v>
      </c>
      <c r="BK153" s="752">
        <f>INPUT!DB76</f>
        <v>-0.55710306406684396</v>
      </c>
      <c r="BL153" s="750">
        <f>INPUT!DC76</f>
        <v>34.700000000000003</v>
      </c>
      <c r="BM153" s="752">
        <f>INPUT!DD76</f>
        <v>-8.4432717678100122</v>
      </c>
      <c r="BN153" s="750">
        <f>INPUT!DE76</f>
        <v>34.1</v>
      </c>
      <c r="BO153" s="752">
        <f>INPUT!DF76</f>
        <v>-2.0114942528735469</v>
      </c>
      <c r="BP153" s="750">
        <f>INPUT!DG76</f>
        <v>33.200000000000003</v>
      </c>
      <c r="BQ153" s="752">
        <f>INPUT!DH76</f>
        <v>-2.0648967551622266</v>
      </c>
      <c r="BR153" s="750">
        <f>INPUT!DI76</f>
        <v>33.799999999999997</v>
      </c>
      <c r="BS153" s="752">
        <f>INPUT!DJ76</f>
        <v>-5.3221288515406311</v>
      </c>
      <c r="BT153" s="750">
        <f>INPUT!DK76</f>
        <v>34.1</v>
      </c>
      <c r="BU153" s="752">
        <f>INPUT!DL76</f>
        <v>-1.7291066282420831</v>
      </c>
      <c r="BV153" s="750">
        <f>INPUT!DM76</f>
        <v>33.5</v>
      </c>
      <c r="BW153" s="752">
        <f>INPUT!DN76</f>
        <v>-1.7595307917888658</v>
      </c>
      <c r="BX153" s="750">
        <f>INPUT!DO76</f>
        <v>33.799999999999997</v>
      </c>
      <c r="BY153" s="752">
        <f>INPUT!DP76</f>
        <v>1.8072289156626287</v>
      </c>
      <c r="BZ153" s="750">
        <f>INPUT!DQ76</f>
        <v>34.700000000000003</v>
      </c>
      <c r="CA153" s="752">
        <f>INPUT!DR76</f>
        <v>2.662721893491149</v>
      </c>
      <c r="CB153" s="750">
        <f>INPUT!DS76</f>
        <v>33.1</v>
      </c>
      <c r="CC153" s="752">
        <f>INPUT!DT76</f>
        <v>-2.9325513196480912</v>
      </c>
      <c r="CD153" s="750">
        <f>INPUT!DU76</f>
        <v>28.5</v>
      </c>
      <c r="CE153" s="752">
        <f>INPUT!DV76</f>
        <v>-14.925373134328357</v>
      </c>
      <c r="CF153" s="750">
        <f>INPUT!DW76</f>
        <v>28.9</v>
      </c>
      <c r="CG153" s="752">
        <f>INPUT!DX76</f>
        <v>-14.49704142011834</v>
      </c>
      <c r="CH153" s="750">
        <f>INPUT!DY76</f>
        <v>28.1</v>
      </c>
      <c r="CI153" s="752">
        <f>INPUT!DZ76</f>
        <v>-19.020172910662826</v>
      </c>
      <c r="CJ153" s="750">
        <f>INPUT!EA76</f>
        <v>27.9</v>
      </c>
      <c r="CK153" s="752">
        <f>INPUT!EB76</f>
        <v>-15.70996978851964</v>
      </c>
      <c r="CL153" s="750">
        <f>INPUT!EC76</f>
        <v>27.6</v>
      </c>
      <c r="CM153" s="752">
        <f>INPUT!ED76</f>
        <v>-3.157894736842104</v>
      </c>
      <c r="CN153" s="750">
        <f>INPUT!EE76</f>
        <v>27.8</v>
      </c>
      <c r="CO153" s="752">
        <f>INPUT!EF76</f>
        <v>-3.8062283737024138</v>
      </c>
      <c r="CP153" s="750">
        <f>INPUT!EG76</f>
        <v>27.3</v>
      </c>
      <c r="CQ153" s="752">
        <f>INPUT!EH76</f>
        <v>-2.8469750889679735</v>
      </c>
      <c r="CR153" s="750">
        <f>INPUT!EI76</f>
        <v>27.2</v>
      </c>
      <c r="CS153" s="752">
        <f>INPUT!EJ76</f>
        <v>-2.508960573476704</v>
      </c>
      <c r="CT153" s="750">
        <f>INPUT!EK76</f>
        <v>27.471999999999998</v>
      </c>
      <c r="CU153" s="752">
        <f>INPUT!EL76</f>
        <v>-0.46376811594204259</v>
      </c>
      <c r="CV153" s="750">
        <f>INPUT!EM76</f>
        <v>27.746719999999996</v>
      </c>
      <c r="CW153" s="752">
        <f>INPUT!EN76</f>
        <v>-0.19165467625901211</v>
      </c>
      <c r="CX153" s="750">
        <f>INPUT!EO76</f>
        <v>28.301654399999997</v>
      </c>
      <c r="CY153" s="752">
        <f>INPUT!EP76</f>
        <v>3.6690637362637224</v>
      </c>
      <c r="CZ153" s="750">
        <f>INPUT!EQ76</f>
        <v>28.867687487999998</v>
      </c>
      <c r="DA153" s="752">
        <f>INPUT!ER76</f>
        <v>6.1312040000000012</v>
      </c>
      <c r="DB153" s="753"/>
      <c r="DC153" s="750">
        <f>INPUT!FB76</f>
        <v>0</v>
      </c>
      <c r="DD153" s="756">
        <f>INPUT!FC76</f>
        <v>0</v>
      </c>
      <c r="DE153" s="750">
        <f>INPUT!FD76</f>
        <v>152.4</v>
      </c>
      <c r="DF153" s="756" t="str">
        <f>INPUT!FE76</f>
        <v>NA</v>
      </c>
      <c r="DG153" s="750">
        <f>INPUT!FF76</f>
        <v>145</v>
      </c>
      <c r="DH153" s="756">
        <f>INPUT!FG76</f>
        <v>-4.8556430446194287</v>
      </c>
      <c r="DI153" s="750">
        <f>INPUT!FH76</f>
        <v>147.9</v>
      </c>
      <c r="DJ153" s="756">
        <f>INPUT!FI76</f>
        <v>2.0000000000000018</v>
      </c>
      <c r="DK153" s="750">
        <f>INPUT!FJ76</f>
        <v>151.9</v>
      </c>
      <c r="DL153" s="752">
        <f>INPUT!FK76</f>
        <v>2.7045300878972167</v>
      </c>
      <c r="DM153" s="750">
        <f>INPUT!FL76</f>
        <v>141.30000000000001</v>
      </c>
      <c r="DN153" s="752">
        <f>INPUT!FM76</f>
        <v>-6.97827518104015</v>
      </c>
      <c r="DO153" s="750">
        <f>INPUT!FN76</f>
        <v>134.9</v>
      </c>
      <c r="DP153" s="752">
        <f>INPUT!FO76</f>
        <v>-4.5293701344656823</v>
      </c>
      <c r="DQ153" s="750">
        <f>INPUT!FP76</f>
        <v>126</v>
      </c>
      <c r="DR153" s="752">
        <f>INPUT!FQ76</f>
        <v>-6.5974796145292895</v>
      </c>
      <c r="DS153" s="750">
        <f>INPUT!FR76</f>
        <v>126.5</v>
      </c>
      <c r="DT153" s="752">
        <f>INPUT!FS76</f>
        <v>0.39682539682539542</v>
      </c>
      <c r="DU153" s="750">
        <f>INPUT!FT76</f>
        <v>129.6</v>
      </c>
      <c r="DV153" s="752">
        <f>INPUT!FU76</f>
        <v>2.4505928853754799</v>
      </c>
      <c r="DW153" s="750">
        <f>INPUT!FV76</f>
        <v>135.5</v>
      </c>
      <c r="DX153" s="752">
        <f>INPUT!FW76</f>
        <v>4.5524691358024727</v>
      </c>
      <c r="DY153" s="750">
        <f>INPUT!FX76</f>
        <v>145.4</v>
      </c>
      <c r="DZ153" s="752">
        <f>INPUT!FY76</f>
        <v>7.3062730627306394</v>
      </c>
      <c r="EA153" s="750">
        <f>INPUT!FZ76</f>
        <v>139.1</v>
      </c>
      <c r="EB153" s="752">
        <f>INPUT!GA76</f>
        <v>-4.3328748280605289</v>
      </c>
      <c r="EC153" s="750">
        <f>INPUT!GB76</f>
        <v>135.20000000000002</v>
      </c>
      <c r="ED153" s="752">
        <f>INPUT!GC76</f>
        <v>-2.8037383177569986</v>
      </c>
      <c r="EE153" s="750">
        <f>INPUT!GD76</f>
        <v>135.1</v>
      </c>
      <c r="EF153" s="752">
        <f>INPUT!GE76</f>
        <v>-7.3964497041434374E-2</v>
      </c>
      <c r="EG153" s="750">
        <f>INPUT!GF76</f>
        <v>113.4</v>
      </c>
      <c r="EH153" s="752">
        <f>INPUT!GG76</f>
        <v>-16.062176165803098</v>
      </c>
      <c r="EI153" s="750">
        <f>INPUT!GH76</f>
        <v>109.9</v>
      </c>
      <c r="EJ153" s="752">
        <f>INPUT!GI76</f>
        <v>-3.0864197530864224</v>
      </c>
      <c r="EK153" s="750">
        <f>INPUT!GJ76</f>
        <v>112.38806188799998</v>
      </c>
      <c r="EL153" s="752">
        <f>INPUT!GK76</f>
        <v>2.263932564149207</v>
      </c>
      <c r="EM153" s="750">
        <f>INPUT!GL76</f>
        <v>116.88358436351999</v>
      </c>
      <c r="EN153" s="752">
        <f>INPUT!GM76</f>
        <v>4.0000000000000036</v>
      </c>
      <c r="EO153" s="750">
        <f>INPUT!GN76</f>
        <v>121.55892773806079</v>
      </c>
      <c r="EP153" s="752">
        <f>INPUT!GO76</f>
        <v>4.0000000000000036</v>
      </c>
      <c r="EQ153" s="750">
        <f>INPUT!GP76</f>
        <v>126.42128484758322</v>
      </c>
      <c r="ER153" s="752">
        <f>INPUT!GQ76</f>
        <v>4.0000000000000036</v>
      </c>
      <c r="ES153" s="750">
        <f>INPUT!GR76</f>
        <v>131.47813624148657</v>
      </c>
      <c r="ET153" s="752">
        <f>INPUT!GS76</f>
        <v>4.0000000000000036</v>
      </c>
      <c r="EU153" s="756">
        <f>INPUT!GT76</f>
        <v>3.6504446095568133</v>
      </c>
      <c r="EV153" s="710"/>
    </row>
    <row r="154" spans="1:152" ht="12.75" hidden="1" customHeight="1" outlineLevel="1" x14ac:dyDescent="0.2">
      <c r="A154" s="754" t="str">
        <f>INPUT!B77</f>
        <v>Other Income</v>
      </c>
      <c r="B154" s="750">
        <f>INPUT!AS77</f>
        <v>0</v>
      </c>
      <c r="C154" s="756" t="str">
        <f>INPUT!AT77</f>
        <v>NA</v>
      </c>
      <c r="D154" s="750">
        <f>INPUT!AU77</f>
        <v>-0.1</v>
      </c>
      <c r="E154" s="756" t="str">
        <f>INPUT!AV77</f>
        <v>NM</v>
      </c>
      <c r="F154" s="750">
        <f>INPUT!AW77</f>
        <v>0.1</v>
      </c>
      <c r="G154" s="756" t="str">
        <f>INPUT!AX77</f>
        <v>NM</v>
      </c>
      <c r="H154" s="750">
        <f>INPUT!AY77</f>
        <v>0</v>
      </c>
      <c r="I154" s="752" t="str">
        <f>INPUT!AZ77</f>
        <v>NM</v>
      </c>
      <c r="J154" s="750">
        <f>INPUT!BA77</f>
        <v>0.6</v>
      </c>
      <c r="K154" s="752" t="str">
        <f>INPUT!BB77</f>
        <v>NA</v>
      </c>
      <c r="L154" s="750">
        <f>INPUT!BC77</f>
        <v>0.6</v>
      </c>
      <c r="M154" s="752" t="str">
        <f>INPUT!BD77</f>
        <v>NM</v>
      </c>
      <c r="N154" s="750">
        <f>INPUT!BE77</f>
        <v>0.7</v>
      </c>
      <c r="O154" s="752" t="str">
        <f>INPUT!BF77</f>
        <v>NM</v>
      </c>
      <c r="P154" s="750">
        <f>INPUT!BG77</f>
        <v>0.5</v>
      </c>
      <c r="Q154" s="752" t="str">
        <f>INPUT!BH77</f>
        <v>NA</v>
      </c>
      <c r="R154" s="750">
        <f>INPUT!BI77</f>
        <v>0.5</v>
      </c>
      <c r="S154" s="752">
        <f>INPUT!BJ77</f>
        <v>-16.666666666666664</v>
      </c>
      <c r="T154" s="750">
        <f>INPUT!BK77</f>
        <v>0.7</v>
      </c>
      <c r="U154" s="752">
        <f>INPUT!BL77</f>
        <v>16.666666666666675</v>
      </c>
      <c r="V154" s="750">
        <f>INPUT!BM77</f>
        <v>0.5</v>
      </c>
      <c r="W154" s="752">
        <f>INPUT!BN77</f>
        <v>-28.571428571428569</v>
      </c>
      <c r="X154" s="750">
        <f>INPUT!BO77</f>
        <v>0.6</v>
      </c>
      <c r="Y154" s="752">
        <f>INPUT!BP77</f>
        <v>19.999999999999996</v>
      </c>
      <c r="Z154" s="750">
        <f>INPUT!BQ77</f>
        <v>0.5</v>
      </c>
      <c r="AA154" s="752">
        <f>INPUT!BR77</f>
        <v>0</v>
      </c>
      <c r="AB154" s="750">
        <f>INPUT!BS77</f>
        <v>0.6</v>
      </c>
      <c r="AC154" s="752">
        <f>INPUT!BT77</f>
        <v>-14.285714285714279</v>
      </c>
      <c r="AD154" s="750">
        <f>INPUT!BU77</f>
        <v>0.5</v>
      </c>
      <c r="AE154" s="752">
        <f>INPUT!BV77</f>
        <v>0</v>
      </c>
      <c r="AF154" s="750">
        <f>INPUT!BW77</f>
        <v>0.3</v>
      </c>
      <c r="AG154" s="752">
        <f>INPUT!BX77</f>
        <v>-50</v>
      </c>
      <c r="AH154" s="750">
        <f>INPUT!BY77</f>
        <v>0.6</v>
      </c>
      <c r="AI154" s="752">
        <f>INPUT!BZ77</f>
        <v>19.999999999999996</v>
      </c>
      <c r="AJ154" s="750">
        <f>INPUT!CA77</f>
        <v>0.6</v>
      </c>
      <c r="AK154" s="752">
        <f>INPUT!CB77</f>
        <v>0</v>
      </c>
      <c r="AL154" s="750">
        <f>INPUT!CC77</f>
        <v>0.6</v>
      </c>
      <c r="AM154" s="752">
        <f>INPUT!CD77</f>
        <v>19.999999999999996</v>
      </c>
      <c r="AN154" s="750">
        <f>INPUT!CE77</f>
        <v>0.6</v>
      </c>
      <c r="AO154" s="752">
        <f>INPUT!CF77</f>
        <v>100</v>
      </c>
      <c r="AP154" s="750">
        <f>INPUT!CG77</f>
        <v>0.5</v>
      </c>
      <c r="AQ154" s="752">
        <f>INPUT!CH77</f>
        <v>-16.666666666666664</v>
      </c>
      <c r="AR154" s="750">
        <f>INPUT!CI77</f>
        <v>0.7</v>
      </c>
      <c r="AS154" s="752">
        <f>INPUT!CJ77</f>
        <v>16.666666666666675</v>
      </c>
      <c r="AT154" s="750">
        <f>INPUT!CK77</f>
        <v>0.5</v>
      </c>
      <c r="AU154" s="752">
        <f>INPUT!CL77</f>
        <v>-16.666666666666664</v>
      </c>
      <c r="AV154" s="750">
        <f>INPUT!CM77</f>
        <v>0.5</v>
      </c>
      <c r="AW154" s="752">
        <f>INPUT!CN77</f>
        <v>-16.666666666666664</v>
      </c>
      <c r="AX154" s="750">
        <f>INPUT!CO77</f>
        <v>0.5</v>
      </c>
      <c r="AY154" s="752">
        <f>INPUT!CP77</f>
        <v>0</v>
      </c>
      <c r="AZ154" s="750">
        <f>INPUT!CQ77</f>
        <v>0.4</v>
      </c>
      <c r="BA154" s="752">
        <f>INPUT!CR77</f>
        <v>-42.857142857142847</v>
      </c>
      <c r="BB154" s="750">
        <f>INPUT!CS77</f>
        <v>0.6</v>
      </c>
      <c r="BC154" s="752">
        <f>INPUT!CT77</f>
        <v>19.999999999999996</v>
      </c>
      <c r="BD154" s="750">
        <f>INPUT!CU77</f>
        <v>0.4</v>
      </c>
      <c r="BE154" s="752">
        <f>INPUT!CV77</f>
        <v>-19.999999999999996</v>
      </c>
      <c r="BF154" s="750">
        <f>INPUT!CW77</f>
        <v>0.5</v>
      </c>
      <c r="BG154" s="752">
        <f>INPUT!CX77</f>
        <v>0</v>
      </c>
      <c r="BH154" s="750">
        <f>INPUT!CY77</f>
        <v>0.4</v>
      </c>
      <c r="BI154" s="752">
        <f>INPUT!CZ77</f>
        <v>0</v>
      </c>
      <c r="BJ154" s="750">
        <f>INPUT!DA77</f>
        <v>0.6</v>
      </c>
      <c r="BK154" s="752">
        <f>INPUT!DB77</f>
        <v>0</v>
      </c>
      <c r="BL154" s="750">
        <f>INPUT!DC77</f>
        <v>0.3</v>
      </c>
      <c r="BM154" s="752">
        <f>INPUT!DD77</f>
        <v>-25.000000000000011</v>
      </c>
      <c r="BN154" s="750">
        <f>INPUT!DE77</f>
        <v>0.4</v>
      </c>
      <c r="BO154" s="752">
        <f>INPUT!DF77</f>
        <v>-19.999999999999996</v>
      </c>
      <c r="BP154" s="750">
        <f>INPUT!DG77</f>
        <v>0.4</v>
      </c>
      <c r="BQ154" s="752">
        <f>INPUT!DH77</f>
        <v>0</v>
      </c>
      <c r="BR154" s="750">
        <f>INPUT!DI77</f>
        <v>0.4</v>
      </c>
      <c r="BS154" s="752">
        <f>INPUT!DJ77</f>
        <v>-33.333333333333329</v>
      </c>
      <c r="BT154" s="750">
        <f>INPUT!DK77</f>
        <v>0.2</v>
      </c>
      <c r="BU154" s="752">
        <f>INPUT!DL77</f>
        <v>-33.333333333333329</v>
      </c>
      <c r="BV154" s="750">
        <f>INPUT!DM77</f>
        <v>0.3</v>
      </c>
      <c r="BW154" s="752">
        <f>INPUT!DN77</f>
        <v>-25.000000000000011</v>
      </c>
      <c r="BX154" s="750">
        <f>INPUT!DO77</f>
        <v>0.7</v>
      </c>
      <c r="BY154" s="752">
        <f>INPUT!DP77</f>
        <v>74.999999999999972</v>
      </c>
      <c r="BZ154" s="750">
        <f>INPUT!DQ77</f>
        <v>0.5</v>
      </c>
      <c r="CA154" s="752">
        <f>INPUT!DR77</f>
        <v>25</v>
      </c>
      <c r="CB154" s="750">
        <f>INPUT!DS77</f>
        <v>0.6</v>
      </c>
      <c r="CC154" s="752" t="str">
        <f>INPUT!DT77</f>
        <v>NM</v>
      </c>
      <c r="CD154" s="750">
        <f>INPUT!DU77</f>
        <v>1</v>
      </c>
      <c r="CE154" s="752" t="str">
        <f>INPUT!DV77</f>
        <v>NM</v>
      </c>
      <c r="CF154" s="750">
        <f>INPUT!DW77</f>
        <v>1.2</v>
      </c>
      <c r="CG154" s="752">
        <f>INPUT!DX77</f>
        <v>71.428571428571445</v>
      </c>
      <c r="CH154" s="750">
        <f>INPUT!DY77</f>
        <v>1.1000000000000001</v>
      </c>
      <c r="CI154" s="752" t="str">
        <f>INPUT!DZ77</f>
        <v>NM</v>
      </c>
      <c r="CJ154" s="750">
        <f>INPUT!EA77</f>
        <v>1.2</v>
      </c>
      <c r="CK154" s="752">
        <f>INPUT!EB77</f>
        <v>100</v>
      </c>
      <c r="CL154" s="750">
        <f>INPUT!EC77</f>
        <v>1</v>
      </c>
      <c r="CM154" s="752">
        <f>INPUT!ED77</f>
        <v>0</v>
      </c>
      <c r="CN154" s="750">
        <f>INPUT!EE77</f>
        <v>1.2</v>
      </c>
      <c r="CO154" s="752">
        <f>INPUT!EF77</f>
        <v>0</v>
      </c>
      <c r="CP154" s="750">
        <f>INPUT!EG77</f>
        <v>1.4</v>
      </c>
      <c r="CQ154" s="752">
        <f>INPUT!EH77</f>
        <v>27.272727272727249</v>
      </c>
      <c r="CR154" s="750">
        <f>INPUT!EI77</f>
        <v>1.2</v>
      </c>
      <c r="CS154" s="752">
        <f>INPUT!EJ77</f>
        <v>0</v>
      </c>
      <c r="CT154" s="750">
        <f>INPUT!EK77</f>
        <v>1.0249999999999999</v>
      </c>
      <c r="CU154" s="752">
        <f>INPUT!EL77</f>
        <v>2.4999999999999911</v>
      </c>
      <c r="CV154" s="750">
        <f>INPUT!EM77</f>
        <v>1.2299999999999998</v>
      </c>
      <c r="CW154" s="752">
        <f>INPUT!EN77</f>
        <v>2.4999999999999911</v>
      </c>
      <c r="CX154" s="750">
        <f>INPUT!EO77</f>
        <v>1.4349999999999998</v>
      </c>
      <c r="CY154" s="752">
        <f>INPUT!EP77</f>
        <v>2.4999999999999911</v>
      </c>
      <c r="CZ154" s="750">
        <f>INPUT!EQ77</f>
        <v>1.2299999999999998</v>
      </c>
      <c r="DA154" s="752">
        <f>INPUT!ER77</f>
        <v>2.4999999999999911</v>
      </c>
      <c r="DB154" s="753"/>
      <c r="DC154" s="750">
        <f>INPUT!FB77</f>
        <v>0</v>
      </c>
      <c r="DD154" s="756">
        <f>INPUT!FC77</f>
        <v>0</v>
      </c>
      <c r="DE154" s="750">
        <f>INPUT!FD77</f>
        <v>2.6</v>
      </c>
      <c r="DF154" s="756" t="str">
        <f>INPUT!FE77</f>
        <v>NA</v>
      </c>
      <c r="DG154" s="750">
        <f>INPUT!FF77</f>
        <v>0.5</v>
      </c>
      <c r="DH154" s="756" t="str">
        <f>INPUT!FG77</f>
        <v>NM</v>
      </c>
      <c r="DI154" s="750">
        <f>INPUT!FH77</f>
        <v>-0.6</v>
      </c>
      <c r="DJ154" s="756" t="str">
        <f>INPUT!FI77</f>
        <v>NM</v>
      </c>
      <c r="DK154" s="750">
        <f>INPUT!FJ77</f>
        <v>2</v>
      </c>
      <c r="DL154" s="752" t="str">
        <f>INPUT!FK77</f>
        <v>NM</v>
      </c>
      <c r="DM154" s="750">
        <f>INPUT!FL77</f>
        <v>0</v>
      </c>
      <c r="DN154" s="752" t="str">
        <f>INPUT!FM77</f>
        <v>NM</v>
      </c>
      <c r="DO154" s="750">
        <f>INPUT!FN77</f>
        <v>2.4</v>
      </c>
      <c r="DP154" s="752" t="str">
        <f>INPUT!FO77</f>
        <v>NA</v>
      </c>
      <c r="DQ154" s="750">
        <f>INPUT!FP77</f>
        <v>2.2999999999999998</v>
      </c>
      <c r="DR154" s="752">
        <f>INPUT!FQ77</f>
        <v>-4.1666666666666741</v>
      </c>
      <c r="DS154" s="750">
        <f>INPUT!FR77</f>
        <v>1.9000000000000001</v>
      </c>
      <c r="DT154" s="752">
        <f>INPUT!FS77</f>
        <v>-17.391304347826075</v>
      </c>
      <c r="DU154" s="750">
        <f>INPUT!FT77</f>
        <v>2.4</v>
      </c>
      <c r="DV154" s="752">
        <f>INPUT!FU77</f>
        <v>26.315789473684205</v>
      </c>
      <c r="DW154" s="750">
        <f>INPUT!FV77</f>
        <v>2.2000000000000002</v>
      </c>
      <c r="DX154" s="752">
        <f>INPUT!FW77</f>
        <v>-8.333333333333325</v>
      </c>
      <c r="DY154" s="750">
        <f>INPUT!FX77</f>
        <v>1.9</v>
      </c>
      <c r="DZ154" s="752">
        <f>INPUT!FY77</f>
        <v>-13.636363636363647</v>
      </c>
      <c r="EA154" s="750">
        <f>INPUT!FZ77</f>
        <v>1.8</v>
      </c>
      <c r="EB154" s="752">
        <f>INPUT!GA77</f>
        <v>-5.2631578947368363</v>
      </c>
      <c r="EC154" s="750">
        <f>INPUT!GB77</f>
        <v>1.4000000000000001</v>
      </c>
      <c r="ED154" s="752">
        <f>INPUT!GC77</f>
        <v>-22.222222222222221</v>
      </c>
      <c r="EE154" s="750">
        <f>INPUT!GD77</f>
        <v>2.1</v>
      </c>
      <c r="EF154" s="752">
        <f>INPUT!GE77</f>
        <v>50</v>
      </c>
      <c r="EG154" s="750">
        <f>INPUT!GF77</f>
        <v>4.5</v>
      </c>
      <c r="EH154" s="752" t="str">
        <f>INPUT!GG77</f>
        <v>NM</v>
      </c>
      <c r="EI154" s="750">
        <f>INPUT!GH77</f>
        <v>4.8</v>
      </c>
      <c r="EJ154" s="752">
        <f>INPUT!GI77</f>
        <v>6.6666666666666652</v>
      </c>
      <c r="EK154" s="750">
        <f>INPUT!GJ77</f>
        <v>4.919999999999999</v>
      </c>
      <c r="EL154" s="752">
        <f>INPUT!GK77</f>
        <v>2.4999999999999911</v>
      </c>
      <c r="EM154" s="750">
        <f>INPUT!GL77</f>
        <v>5.1167999999999996</v>
      </c>
      <c r="EN154" s="752">
        <f>INPUT!GM77</f>
        <v>4.0000000000000036</v>
      </c>
      <c r="EO154" s="750">
        <f>INPUT!GN77</f>
        <v>5.321472</v>
      </c>
      <c r="EP154" s="752">
        <f>INPUT!GO77</f>
        <v>4.0000000000000036</v>
      </c>
      <c r="EQ154" s="750">
        <f>INPUT!GP77</f>
        <v>5.5343308799999997</v>
      </c>
      <c r="ER154" s="752">
        <f>INPUT!GQ77</f>
        <v>4.0000000000000036</v>
      </c>
      <c r="ES154" s="750">
        <f>INPUT!GR77</f>
        <v>5.7557041152000004</v>
      </c>
      <c r="ET154" s="752">
        <f>INPUT!GS77</f>
        <v>4.0000000000000036</v>
      </c>
      <c r="EU154" s="756">
        <f>INPUT!GT77</f>
        <v>3.6982541000633473</v>
      </c>
      <c r="EV154" s="710"/>
    </row>
    <row r="155" spans="1:152" ht="12.75" hidden="1" customHeight="1" outlineLevel="1" x14ac:dyDescent="0.2">
      <c r="A155" s="754" t="str">
        <f>INPUT!B78</f>
        <v xml:space="preserve"> Total Revenues</v>
      </c>
      <c r="B155" s="750">
        <f>INPUT!AS78</f>
        <v>393.90000000000003</v>
      </c>
      <c r="C155" s="756">
        <f>INPUT!AT78</f>
        <v>-3.8095238095238182</v>
      </c>
      <c r="D155" s="750">
        <f>INPUT!AU78</f>
        <v>396.59999999999997</v>
      </c>
      <c r="E155" s="756">
        <f>INPUT!AV78</f>
        <v>-3.2682926829268322</v>
      </c>
      <c r="F155" s="750">
        <f>INPUT!AW78</f>
        <v>366.1</v>
      </c>
      <c r="G155" s="756">
        <f>INPUT!AX78</f>
        <v>-6.9631512071156143</v>
      </c>
      <c r="H155" s="750">
        <f>INPUT!AY78</f>
        <v>384.40000000000003</v>
      </c>
      <c r="I155" s="752">
        <f>INPUT!AZ78</f>
        <v>-4.8750309329373849</v>
      </c>
      <c r="J155" s="750">
        <f>INPUT!BA78</f>
        <v>348.2</v>
      </c>
      <c r="K155" s="752">
        <f>INPUT!BB78</f>
        <v>-11.60192942371161</v>
      </c>
      <c r="L155" s="750">
        <f>INPUT!BC78</f>
        <v>344.90000000000003</v>
      </c>
      <c r="M155" s="752">
        <f>INPUT!BD78</f>
        <v>-13.035804336863322</v>
      </c>
      <c r="N155" s="750">
        <f>INPUT!BE78</f>
        <v>343.2</v>
      </c>
      <c r="O155" s="752">
        <f>INPUT!BF78</f>
        <v>-6.2551215514886742</v>
      </c>
      <c r="P155" s="750">
        <f>INPUT!BG78</f>
        <v>339.4</v>
      </c>
      <c r="Q155" s="752">
        <f>INPUT!BH78</f>
        <v>-11.706555671175867</v>
      </c>
      <c r="R155" s="750">
        <f>INPUT!BI78</f>
        <v>324.2</v>
      </c>
      <c r="S155" s="752">
        <f>INPUT!BJ78</f>
        <v>-6.8925904652498593</v>
      </c>
      <c r="T155" s="750">
        <f>INPUT!BK78</f>
        <v>333.2</v>
      </c>
      <c r="U155" s="752">
        <f>INPUT!BL78</f>
        <v>-3.3922876195998986</v>
      </c>
      <c r="V155" s="750">
        <f>INPUT!BM78</f>
        <v>331.7</v>
      </c>
      <c r="W155" s="752">
        <f>INPUT!BN78</f>
        <v>-3.350815850815847</v>
      </c>
      <c r="X155" s="750">
        <f>INPUT!BO78</f>
        <v>329.6</v>
      </c>
      <c r="Y155" s="752">
        <f>INPUT!BP78</f>
        <v>-2.8874484384207255</v>
      </c>
      <c r="Z155" s="750">
        <f>INPUT!BQ78</f>
        <v>319.5</v>
      </c>
      <c r="AA155" s="752">
        <f>INPUT!BR78</f>
        <v>-1.4497223935842074</v>
      </c>
      <c r="AB155" s="750">
        <f>INPUT!BS78</f>
        <v>324.50000000000006</v>
      </c>
      <c r="AC155" s="752">
        <f>INPUT!BT78</f>
        <v>-2.6110444177670833</v>
      </c>
      <c r="AD155" s="750">
        <f>INPUT!BU78</f>
        <v>325.89999999999998</v>
      </c>
      <c r="AE155" s="752">
        <f>INPUT!BV78</f>
        <v>-1.7485679831172773</v>
      </c>
      <c r="AF155" s="750">
        <f>INPUT!BW78</f>
        <v>321.09999999999997</v>
      </c>
      <c r="AG155" s="752">
        <f>INPUT!BX78</f>
        <v>-2.5788834951456452</v>
      </c>
      <c r="AH155" s="750">
        <f>INPUT!BY78</f>
        <v>328.50000000000006</v>
      </c>
      <c r="AI155" s="752">
        <f>INPUT!BZ78</f>
        <v>2.8169014084507227</v>
      </c>
      <c r="AJ155" s="750">
        <f>INPUT!CA78</f>
        <v>329.8</v>
      </c>
      <c r="AK155" s="752">
        <f>INPUT!CB78</f>
        <v>1.6332819722649994</v>
      </c>
      <c r="AL155" s="750">
        <f>INPUT!CC78</f>
        <v>333.1</v>
      </c>
      <c r="AM155" s="752">
        <f>INPUT!CD78</f>
        <v>2.2092666462105059</v>
      </c>
      <c r="AN155" s="750">
        <f>INPUT!CE78</f>
        <v>337.00000000000006</v>
      </c>
      <c r="AO155" s="752">
        <f>INPUT!CF78</f>
        <v>4.9517284335098388</v>
      </c>
      <c r="AP155" s="750">
        <f>INPUT!CG78</f>
        <v>335.2</v>
      </c>
      <c r="AQ155" s="752">
        <f>INPUT!CH78</f>
        <v>2.0395738203957237</v>
      </c>
      <c r="AR155" s="750">
        <f>INPUT!CI78</f>
        <v>335.5</v>
      </c>
      <c r="AS155" s="752">
        <f>INPUT!CJ78</f>
        <v>1.7283201940569981</v>
      </c>
      <c r="AT155" s="750">
        <f>INPUT!CK78</f>
        <v>339.5</v>
      </c>
      <c r="AU155" s="752">
        <f>INPUT!CL78</f>
        <v>1.9213449414590134</v>
      </c>
      <c r="AV155" s="750">
        <f>INPUT!CM78</f>
        <v>343.4</v>
      </c>
      <c r="AW155" s="752">
        <f>INPUT!CN78</f>
        <v>1.8991097922848477</v>
      </c>
      <c r="AX155" s="750">
        <f>INPUT!CO78</f>
        <v>357.29999999999995</v>
      </c>
      <c r="AY155" s="752">
        <f>INPUT!CP78</f>
        <v>6.5930787589498774</v>
      </c>
      <c r="AZ155" s="750">
        <f>INPUT!CQ78</f>
        <v>361.49999999999994</v>
      </c>
      <c r="BA155" s="752">
        <f>INPUT!CR78</f>
        <v>7.7496274217585537</v>
      </c>
      <c r="BB155" s="750">
        <f>INPUT!CS78</f>
        <v>363</v>
      </c>
      <c r="BC155" s="752">
        <f>INPUT!CT78</f>
        <v>6.9219440353460948</v>
      </c>
      <c r="BD155" s="750">
        <f>INPUT!CU78</f>
        <v>364.4</v>
      </c>
      <c r="BE155" s="752">
        <f>INPUT!CV78</f>
        <v>6.1153174140943456</v>
      </c>
      <c r="BF155" s="750">
        <f>INPUT!CW78</f>
        <v>368.40000000000003</v>
      </c>
      <c r="BG155" s="752">
        <f>INPUT!CX78</f>
        <v>3.1066330814441878</v>
      </c>
      <c r="BH155" s="750">
        <f>INPUT!CY78</f>
        <v>368.09999999999997</v>
      </c>
      <c r="BI155" s="752">
        <f>INPUT!CZ78</f>
        <v>1.8257261410788539</v>
      </c>
      <c r="BJ155" s="750">
        <f>INPUT!DA78</f>
        <v>372</v>
      </c>
      <c r="BK155" s="752">
        <f>INPUT!DB78</f>
        <v>2.4793388429751984</v>
      </c>
      <c r="BL155" s="750">
        <f>INPUT!DC78</f>
        <v>367.9</v>
      </c>
      <c r="BM155" s="752">
        <f>INPUT!DD78</f>
        <v>0.96048298572997126</v>
      </c>
      <c r="BN155" s="750">
        <f>INPUT!DE78</f>
        <v>375</v>
      </c>
      <c r="BO155" s="752">
        <f>INPUT!DF78</f>
        <v>1.791530944625408</v>
      </c>
      <c r="BP155" s="750">
        <f>INPUT!DG78</f>
        <v>377.9</v>
      </c>
      <c r="BQ155" s="752">
        <f>INPUT!DH78</f>
        <v>2.6623200217332332</v>
      </c>
      <c r="BR155" s="750">
        <f>INPUT!DI78</f>
        <v>382.5</v>
      </c>
      <c r="BS155" s="752">
        <f>INPUT!DJ78</f>
        <v>2.8225806451612989</v>
      </c>
      <c r="BT155" s="750">
        <f>INPUT!DK78</f>
        <v>389.40000000000003</v>
      </c>
      <c r="BU155" s="752">
        <f>INPUT!DL78</f>
        <v>5.8439793422125685</v>
      </c>
      <c r="BV155" s="750">
        <f>INPUT!DM78</f>
        <v>401.40000000000003</v>
      </c>
      <c r="BW155" s="752">
        <f>INPUT!DN78</f>
        <v>7.0400000000000018</v>
      </c>
      <c r="BX155" s="750">
        <f>INPUT!DO78</f>
        <v>403.8</v>
      </c>
      <c r="BY155" s="752">
        <f>INPUT!DP78</f>
        <v>6.8536649907382952</v>
      </c>
      <c r="BZ155" s="750">
        <f>INPUT!DQ78</f>
        <v>403.8</v>
      </c>
      <c r="CA155" s="752">
        <f>INPUT!DR78</f>
        <v>5.5686274509803901</v>
      </c>
      <c r="CB155" s="750">
        <f>INPUT!DS78</f>
        <v>407.30000000000007</v>
      </c>
      <c r="CC155" s="752">
        <f>INPUT!DT78</f>
        <v>4.5968156137647709</v>
      </c>
      <c r="CD155" s="750">
        <f>INPUT!DU78</f>
        <v>415.6</v>
      </c>
      <c r="CE155" s="752">
        <f>INPUT!DV78</f>
        <v>3.5376183358246216</v>
      </c>
      <c r="CF155" s="750">
        <f>INPUT!DW78</f>
        <v>413.7</v>
      </c>
      <c r="CG155" s="752">
        <f>INPUT!DX78</f>
        <v>2.4517087667161874</v>
      </c>
      <c r="CH155" s="750">
        <f>INPUT!DY78</f>
        <v>417.90000000000003</v>
      </c>
      <c r="CI155" s="752">
        <f>INPUT!DZ78</f>
        <v>3.4918276374442891</v>
      </c>
      <c r="CJ155" s="750">
        <f>INPUT!EA78</f>
        <v>420.99999999999994</v>
      </c>
      <c r="CK155" s="752">
        <f>INPUT!EB78</f>
        <v>3.3636140437024009</v>
      </c>
      <c r="CL155" s="750">
        <f>INPUT!EC78</f>
        <v>433</v>
      </c>
      <c r="CM155" s="752">
        <f>INPUT!ED78</f>
        <v>4.1867179980750624</v>
      </c>
      <c r="CN155" s="750">
        <f>INPUT!EE78</f>
        <v>429.6</v>
      </c>
      <c r="CO155" s="752">
        <f>INPUT!EF78</f>
        <v>3.8433647570703444</v>
      </c>
      <c r="CP155" s="750">
        <f>INPUT!EG78</f>
        <v>435.9</v>
      </c>
      <c r="CQ155" s="752">
        <f>INPUT!EH78</f>
        <v>4.3072505384063042</v>
      </c>
      <c r="CR155" s="750">
        <f>INPUT!EI78</f>
        <v>431.2</v>
      </c>
      <c r="CS155" s="752">
        <f>INPUT!EJ78</f>
        <v>2.4228028503562982</v>
      </c>
      <c r="CT155" s="750">
        <f>INPUT!EK78</f>
        <v>449.07299999999992</v>
      </c>
      <c r="CU155" s="752">
        <f>INPUT!EL78</f>
        <v>3.7120092378752689</v>
      </c>
      <c r="CV155" s="750">
        <f>INPUT!EM78</f>
        <v>445.60072000000002</v>
      </c>
      <c r="CW155" s="752">
        <f>INPUT!EN78</f>
        <v>3.7245623836126729</v>
      </c>
      <c r="CX155" s="750">
        <f>INPUT!EO78</f>
        <v>453.22465440000002</v>
      </c>
      <c r="CY155" s="752">
        <f>INPUT!EP78</f>
        <v>3.9744561596696482</v>
      </c>
      <c r="CZ155" s="750">
        <f>INPUT!EQ78</f>
        <v>449.00968748800005</v>
      </c>
      <c r="DA155" s="752">
        <f>INPUT!ER78</f>
        <v>4.1302614768089274</v>
      </c>
      <c r="DB155" s="753"/>
      <c r="DC155" s="750">
        <f>INPUT!FB78</f>
        <v>0</v>
      </c>
      <c r="DD155" s="756">
        <f>INPUT!FC78</f>
        <v>0</v>
      </c>
      <c r="DE155" s="750">
        <f>INPUT!FD78</f>
        <v>1761.3</v>
      </c>
      <c r="DF155" s="756" t="str">
        <f>INPUT!FE78</f>
        <v>NA</v>
      </c>
      <c r="DG155" s="750">
        <f>INPUT!FF78</f>
        <v>1807.9</v>
      </c>
      <c r="DH155" s="756">
        <f>INPUT!FG78</f>
        <v>2.6457730085732267</v>
      </c>
      <c r="DI155" s="750">
        <f>INPUT!FH78</f>
        <v>1770.7000000000003</v>
      </c>
      <c r="DJ155" s="756">
        <f>INPUT!FI78</f>
        <v>-2.057635931190871</v>
      </c>
      <c r="DK155" s="750">
        <f>INPUT!FJ78</f>
        <v>1617.1000000000001</v>
      </c>
      <c r="DL155" s="752">
        <f>INPUT!FK78</f>
        <v>-8.6745354944372295</v>
      </c>
      <c r="DM155" s="750">
        <f>INPUT!FL78</f>
        <v>1541</v>
      </c>
      <c r="DN155" s="752">
        <f>INPUT!FM78</f>
        <v>-4.7059551048172725</v>
      </c>
      <c r="DO155" s="750">
        <f>INPUT!FN78</f>
        <v>1375.7000000000003</v>
      </c>
      <c r="DP155" s="752">
        <f>INPUT!FO78</f>
        <v>-10.726800778715106</v>
      </c>
      <c r="DQ155" s="750">
        <f>INPUT!FP78</f>
        <v>1318.7</v>
      </c>
      <c r="DR155" s="752">
        <f>INPUT!FQ78</f>
        <v>-4.1433452060769209</v>
      </c>
      <c r="DS155" s="750">
        <f>INPUT!FR78</f>
        <v>1291</v>
      </c>
      <c r="DT155" s="752">
        <f>INPUT!FS78</f>
        <v>-2.1005535754910154</v>
      </c>
      <c r="DU155" s="750">
        <f>INPUT!FT78</f>
        <v>1328.4</v>
      </c>
      <c r="DV155" s="752">
        <f>INPUT!FU78</f>
        <v>2.8969790859798783</v>
      </c>
      <c r="DW155" s="750">
        <f>INPUT!FV78</f>
        <v>1353.6000000000001</v>
      </c>
      <c r="DX155" s="752">
        <f>INPUT!FW78</f>
        <v>1.8970189701897011</v>
      </c>
      <c r="DY155" s="750">
        <f>INPUT!FX78</f>
        <v>1444.7000000000003</v>
      </c>
      <c r="DZ155" s="752">
        <f>INPUT!FY78</f>
        <v>6.7302009456264855</v>
      </c>
      <c r="EA155" s="750">
        <f>INPUT!FZ78</f>
        <v>1476.3999999999999</v>
      </c>
      <c r="EB155" s="752">
        <f>INPUT!GA78</f>
        <v>2.1942271751920428</v>
      </c>
      <c r="EC155" s="750">
        <f>INPUT!GB78</f>
        <v>1524.8</v>
      </c>
      <c r="ED155" s="752">
        <f>INPUT!GC78</f>
        <v>3.2782443782172876</v>
      </c>
      <c r="EE155" s="750">
        <f>INPUT!GD78</f>
        <v>1616.2999999999997</v>
      </c>
      <c r="EF155" s="752">
        <f>INPUT!GE78</f>
        <v>6.000786988457496</v>
      </c>
      <c r="EG155" s="750">
        <f>INPUT!GF78</f>
        <v>1668.2000000000003</v>
      </c>
      <c r="EH155" s="752">
        <f>INPUT!GG78</f>
        <v>3.2110375549093906</v>
      </c>
      <c r="EI155" s="750">
        <f>INPUT!GH78</f>
        <v>1729.7</v>
      </c>
      <c r="EJ155" s="752">
        <f>INPUT!GI78</f>
        <v>3.6866083203452638</v>
      </c>
      <c r="EK155" s="750">
        <f>INPUT!GJ78</f>
        <v>1796.9080618880002</v>
      </c>
      <c r="EL155" s="752">
        <f>INPUT!GK78</f>
        <v>3.8855328604960437</v>
      </c>
      <c r="EM155" s="750">
        <f>INPUT!GL78</f>
        <v>1843.5903843635199</v>
      </c>
      <c r="EN155" s="752">
        <f>INPUT!GM78</f>
        <v>2.5979249281385508</v>
      </c>
      <c r="EO155" s="750">
        <f>INPUT!GN78</f>
        <v>1891.5101497380606</v>
      </c>
      <c r="EP155" s="752">
        <f>INPUT!GO78</f>
        <v>2.5992631433193525</v>
      </c>
      <c r="EQ155" s="750">
        <f>INPUT!GP78</f>
        <v>1940.7011094775828</v>
      </c>
      <c r="ER155" s="752">
        <f>INPUT!GQ78</f>
        <v>2.6006183337865973</v>
      </c>
      <c r="ES155" s="750">
        <f>INPUT!GR78</f>
        <v>1991.1979714504359</v>
      </c>
      <c r="ET155" s="752">
        <f>INPUT!GS78</f>
        <v>2.6019906788452563</v>
      </c>
      <c r="EU155" s="756">
        <f>INPUT!GT78</f>
        <v>2.8557869088456034</v>
      </c>
      <c r="EV155" s="710"/>
    </row>
    <row r="156" spans="1:152" ht="12.75" hidden="1" customHeight="1" outlineLevel="1" x14ac:dyDescent="0.2">
      <c r="A156" s="754"/>
      <c r="B156" s="750"/>
      <c r="C156" s="756"/>
      <c r="D156" s="750"/>
      <c r="E156" s="756"/>
      <c r="F156" s="750"/>
      <c r="G156" s="756"/>
      <c r="H156" s="750"/>
      <c r="I156" s="752"/>
      <c r="J156" s="750"/>
      <c r="K156" s="752"/>
      <c r="L156" s="750"/>
      <c r="M156" s="752"/>
      <c r="N156" s="750"/>
      <c r="O156" s="752"/>
      <c r="P156" s="750"/>
      <c r="Q156" s="752"/>
      <c r="R156" s="750"/>
      <c r="S156" s="752"/>
      <c r="T156" s="750"/>
      <c r="U156" s="752"/>
      <c r="V156" s="750"/>
      <c r="W156" s="752"/>
      <c r="X156" s="750"/>
      <c r="Y156" s="752"/>
      <c r="Z156" s="750"/>
      <c r="AA156" s="752"/>
      <c r="AB156" s="750"/>
      <c r="AC156" s="752"/>
      <c r="AD156" s="750"/>
      <c r="AE156" s="752"/>
      <c r="AF156" s="750"/>
      <c r="AG156" s="752"/>
      <c r="AH156" s="750"/>
      <c r="AI156" s="752"/>
      <c r="AJ156" s="750"/>
      <c r="AK156" s="752"/>
      <c r="AL156" s="750"/>
      <c r="AM156" s="752"/>
      <c r="AN156" s="750"/>
      <c r="AO156" s="752"/>
      <c r="AP156" s="750"/>
      <c r="AQ156" s="752"/>
      <c r="AR156" s="750"/>
      <c r="AS156" s="752"/>
      <c r="AT156" s="750"/>
      <c r="AU156" s="752"/>
      <c r="AV156" s="750"/>
      <c r="AW156" s="752"/>
      <c r="AX156" s="750"/>
      <c r="AY156" s="752"/>
      <c r="AZ156" s="750"/>
      <c r="BA156" s="752"/>
      <c r="BB156" s="750"/>
      <c r="BC156" s="752"/>
      <c r="BD156" s="750"/>
      <c r="BE156" s="752"/>
      <c r="BF156" s="750"/>
      <c r="BG156" s="752"/>
      <c r="BH156" s="750"/>
      <c r="BI156" s="752"/>
      <c r="BJ156" s="750"/>
      <c r="BK156" s="752"/>
      <c r="BL156" s="750"/>
      <c r="BM156" s="752"/>
      <c r="BN156" s="750"/>
      <c r="BO156" s="752"/>
      <c r="BP156" s="750"/>
      <c r="BQ156" s="752"/>
      <c r="BR156" s="750"/>
      <c r="BS156" s="752"/>
      <c r="BT156" s="750"/>
      <c r="BU156" s="752"/>
      <c r="BV156" s="750"/>
      <c r="BW156" s="752"/>
      <c r="BX156" s="750"/>
      <c r="BY156" s="752"/>
      <c r="BZ156" s="750"/>
      <c r="CA156" s="752"/>
      <c r="CB156" s="750"/>
      <c r="CC156" s="752"/>
      <c r="CD156" s="750"/>
      <c r="CE156" s="752"/>
      <c r="CF156" s="750"/>
      <c r="CG156" s="752"/>
      <c r="CH156" s="750"/>
      <c r="CI156" s="752"/>
      <c r="CJ156" s="750"/>
      <c r="CK156" s="752"/>
      <c r="CL156" s="750"/>
      <c r="CM156" s="752"/>
      <c r="CN156" s="750"/>
      <c r="CO156" s="752"/>
      <c r="CP156" s="750"/>
      <c r="CQ156" s="752"/>
      <c r="CR156" s="750"/>
      <c r="CS156" s="752"/>
      <c r="CT156" s="750"/>
      <c r="CU156" s="752"/>
      <c r="CV156" s="750"/>
      <c r="CW156" s="752"/>
      <c r="CX156" s="750"/>
      <c r="CY156" s="752"/>
      <c r="CZ156" s="750"/>
      <c r="DA156" s="752"/>
      <c r="DB156" s="753"/>
      <c r="DC156" s="750"/>
      <c r="DD156" s="756"/>
      <c r="DE156" s="750"/>
      <c r="DF156" s="756"/>
      <c r="DG156" s="750"/>
      <c r="DH156" s="756"/>
      <c r="DI156" s="750"/>
      <c r="DJ156" s="756"/>
      <c r="DK156" s="750"/>
      <c r="DL156" s="752"/>
      <c r="DM156" s="750"/>
      <c r="DN156" s="752"/>
      <c r="DO156" s="750"/>
      <c r="DP156" s="752"/>
      <c r="DQ156" s="750"/>
      <c r="DR156" s="752"/>
      <c r="DS156" s="750"/>
      <c r="DT156" s="752"/>
      <c r="DU156" s="750"/>
      <c r="DV156" s="752"/>
      <c r="DW156" s="750"/>
      <c r="DX156" s="752"/>
      <c r="DY156" s="750"/>
      <c r="DZ156" s="752"/>
      <c r="EA156" s="750"/>
      <c r="EB156" s="752"/>
      <c r="EC156" s="750"/>
      <c r="ED156" s="752"/>
      <c r="EE156" s="750"/>
      <c r="EF156" s="752"/>
      <c r="EG156" s="750"/>
      <c r="EH156" s="752"/>
      <c r="EI156" s="750"/>
      <c r="EJ156" s="752"/>
      <c r="EK156" s="750"/>
      <c r="EL156" s="752"/>
      <c r="EM156" s="750"/>
      <c r="EN156" s="752"/>
      <c r="EO156" s="750"/>
      <c r="EP156" s="752"/>
      <c r="EQ156" s="750"/>
      <c r="ER156" s="752"/>
      <c r="ES156" s="750"/>
      <c r="ET156" s="752"/>
      <c r="EU156" s="756"/>
      <c r="EV156" s="710"/>
    </row>
    <row r="157" spans="1:152" ht="12.75" hidden="1" customHeight="1" outlineLevel="1" x14ac:dyDescent="0.2">
      <c r="A157" s="749" t="s">
        <v>454</v>
      </c>
      <c r="B157" s="750"/>
      <c r="C157" s="756"/>
      <c r="D157" s="750"/>
      <c r="E157" s="756"/>
      <c r="F157" s="750"/>
      <c r="G157" s="756"/>
      <c r="H157" s="750"/>
      <c r="I157" s="752"/>
      <c r="J157" s="750"/>
      <c r="K157" s="752"/>
      <c r="L157" s="750"/>
      <c r="M157" s="752"/>
      <c r="N157" s="750"/>
      <c r="O157" s="752"/>
      <c r="P157" s="750"/>
      <c r="Q157" s="752"/>
      <c r="R157" s="750"/>
      <c r="S157" s="752"/>
      <c r="T157" s="750"/>
      <c r="U157" s="752"/>
      <c r="V157" s="750"/>
      <c r="W157" s="752"/>
      <c r="X157" s="750"/>
      <c r="Y157" s="752"/>
      <c r="Z157" s="750"/>
      <c r="AA157" s="752"/>
      <c r="AB157" s="750"/>
      <c r="AC157" s="752"/>
      <c r="AD157" s="750"/>
      <c r="AE157" s="752"/>
      <c r="AF157" s="750"/>
      <c r="AG157" s="752"/>
      <c r="AH157" s="750"/>
      <c r="AI157" s="752"/>
      <c r="AJ157" s="750"/>
      <c r="AK157" s="752"/>
      <c r="AL157" s="750"/>
      <c r="AM157" s="752"/>
      <c r="AN157" s="750"/>
      <c r="AO157" s="752"/>
      <c r="AP157" s="750"/>
      <c r="AQ157" s="752"/>
      <c r="AR157" s="750"/>
      <c r="AS157" s="752"/>
      <c r="AT157" s="750"/>
      <c r="AU157" s="752"/>
      <c r="AV157" s="750"/>
      <c r="AW157" s="752"/>
      <c r="AX157" s="750"/>
      <c r="AY157" s="752"/>
      <c r="AZ157" s="750"/>
      <c r="BA157" s="752"/>
      <c r="BB157" s="750"/>
      <c r="BC157" s="752"/>
      <c r="BD157" s="750"/>
      <c r="BE157" s="752"/>
      <c r="BF157" s="750"/>
      <c r="BG157" s="752"/>
      <c r="BH157" s="750"/>
      <c r="BI157" s="752"/>
      <c r="BJ157" s="750"/>
      <c r="BK157" s="752"/>
      <c r="BL157" s="750"/>
      <c r="BM157" s="752"/>
      <c r="BN157" s="750"/>
      <c r="BO157" s="752"/>
      <c r="BP157" s="750"/>
      <c r="BQ157" s="752"/>
      <c r="BR157" s="750"/>
      <c r="BS157" s="752"/>
      <c r="BT157" s="750"/>
      <c r="BU157" s="752"/>
      <c r="BV157" s="750"/>
      <c r="BW157" s="752"/>
      <c r="BX157" s="750"/>
      <c r="BY157" s="752"/>
      <c r="BZ157" s="750"/>
      <c r="CA157" s="752"/>
      <c r="CB157" s="750"/>
      <c r="CC157" s="752"/>
      <c r="CD157" s="750"/>
      <c r="CE157" s="752"/>
      <c r="CF157" s="750"/>
      <c r="CG157" s="752"/>
      <c r="CH157" s="750"/>
      <c r="CI157" s="752"/>
      <c r="CJ157" s="750"/>
      <c r="CK157" s="752"/>
      <c r="CL157" s="750"/>
      <c r="CM157" s="752"/>
      <c r="CN157" s="750"/>
      <c r="CO157" s="752"/>
      <c r="CP157" s="750"/>
      <c r="CQ157" s="752"/>
      <c r="CR157" s="750"/>
      <c r="CS157" s="752"/>
      <c r="CT157" s="750"/>
      <c r="CU157" s="752"/>
      <c r="CV157" s="750"/>
      <c r="CW157" s="752"/>
      <c r="CX157" s="750"/>
      <c r="CY157" s="752"/>
      <c r="CZ157" s="750"/>
      <c r="DA157" s="752"/>
      <c r="DB157" s="753"/>
      <c r="DC157" s="750"/>
      <c r="DD157" s="756"/>
      <c r="DE157" s="750"/>
      <c r="DF157" s="756"/>
      <c r="DG157" s="750"/>
      <c r="DH157" s="756"/>
      <c r="DI157" s="750"/>
      <c r="DJ157" s="756"/>
      <c r="DK157" s="750"/>
      <c r="DL157" s="752"/>
      <c r="DM157" s="750"/>
      <c r="DN157" s="752"/>
      <c r="DO157" s="750"/>
      <c r="DP157" s="752"/>
      <c r="DQ157" s="750"/>
      <c r="DR157" s="752"/>
      <c r="DS157" s="750"/>
      <c r="DT157" s="752"/>
      <c r="DU157" s="750"/>
      <c r="DV157" s="752"/>
      <c r="DW157" s="750"/>
      <c r="DX157" s="752"/>
      <c r="DY157" s="750"/>
      <c r="DZ157" s="752"/>
      <c r="EA157" s="750"/>
      <c r="EB157" s="752"/>
      <c r="EC157" s="750"/>
      <c r="ED157" s="752"/>
      <c r="EE157" s="750"/>
      <c r="EF157" s="752"/>
      <c r="EG157" s="750"/>
      <c r="EH157" s="752"/>
      <c r="EI157" s="750"/>
      <c r="EJ157" s="752"/>
      <c r="EK157" s="750"/>
      <c r="EL157" s="752"/>
      <c r="EM157" s="750"/>
      <c r="EN157" s="752"/>
      <c r="EO157" s="750"/>
      <c r="EP157" s="752"/>
      <c r="EQ157" s="750"/>
      <c r="ER157" s="752"/>
      <c r="ES157" s="750"/>
      <c r="ET157" s="752"/>
      <c r="EU157" s="756"/>
      <c r="EV157" s="710"/>
    </row>
    <row r="158" spans="1:152" ht="12.75" hidden="1" customHeight="1" outlineLevel="1" x14ac:dyDescent="0.2">
      <c r="A158" s="754" t="str">
        <f>INPUT!B81</f>
        <v>Benefits &amp; Change in Reserves for Future Benefits</v>
      </c>
      <c r="B158" s="750">
        <f>INPUT!AS81</f>
        <v>274.8</v>
      </c>
      <c r="C158" s="756">
        <f>INPUT!AT81</f>
        <v>-0.10905125408942062</v>
      </c>
      <c r="D158" s="750">
        <f>INPUT!AU81</f>
        <v>276</v>
      </c>
      <c r="E158" s="756">
        <f>INPUT!AV81</f>
        <v>-2.9535864978902926</v>
      </c>
      <c r="F158" s="750">
        <f>INPUT!AW81</f>
        <v>251.6</v>
      </c>
      <c r="G158" s="756">
        <f>INPUT!AX81</f>
        <v>-7.7035950110051488</v>
      </c>
      <c r="H158" s="750">
        <f>INPUT!AY81</f>
        <v>264.89999999999998</v>
      </c>
      <c r="I158" s="752">
        <f>INPUT!AZ81</f>
        <v>-5.325232308792005</v>
      </c>
      <c r="J158" s="750">
        <f>INPUT!BA81</f>
        <v>235.4</v>
      </c>
      <c r="K158" s="752">
        <f>INPUT!BB81</f>
        <v>-14.337700145560406</v>
      </c>
      <c r="L158" s="750">
        <f>INPUT!BC81</f>
        <v>229.6</v>
      </c>
      <c r="M158" s="752">
        <f>INPUT!BD81</f>
        <v>-16.811594202898551</v>
      </c>
      <c r="N158" s="750">
        <f>INPUT!BE81</f>
        <v>223.7</v>
      </c>
      <c r="O158" s="752">
        <f>INPUT!BF81</f>
        <v>-11.089030206677265</v>
      </c>
      <c r="P158" s="750">
        <f>INPUT!BG81</f>
        <v>212.9</v>
      </c>
      <c r="Q158" s="752">
        <f>INPUT!BH81</f>
        <v>-19.630049075122681</v>
      </c>
      <c r="R158" s="750">
        <f>INPUT!BI81</f>
        <v>199.3</v>
      </c>
      <c r="S158" s="752">
        <f>INPUT!BJ81</f>
        <v>-15.335598980458787</v>
      </c>
      <c r="T158" s="750">
        <f>INPUT!BK81</f>
        <v>208.9</v>
      </c>
      <c r="U158" s="752">
        <f>INPUT!BL81</f>
        <v>-9.0156794425087057</v>
      </c>
      <c r="V158" s="750">
        <f>INPUT!BM81</f>
        <v>211.5</v>
      </c>
      <c r="W158" s="752">
        <f>INPUT!BN81</f>
        <v>-5.4537326776933348</v>
      </c>
      <c r="X158" s="750">
        <f>INPUT!BO81</f>
        <v>207.9</v>
      </c>
      <c r="Y158" s="752">
        <f>INPUT!BP81</f>
        <v>-2.3485204321277542</v>
      </c>
      <c r="Z158" s="750">
        <f>INPUT!BQ81</f>
        <v>201.1</v>
      </c>
      <c r="AA158" s="752">
        <f>INPUT!BR81</f>
        <v>0.90316106372301252</v>
      </c>
      <c r="AB158" s="750">
        <f>INPUT!BS81</f>
        <v>205.7</v>
      </c>
      <c r="AC158" s="752">
        <f>INPUT!BT81</f>
        <v>-1.5318334131163347</v>
      </c>
      <c r="AD158" s="750">
        <f>INPUT!BU81</f>
        <v>206.4</v>
      </c>
      <c r="AE158" s="752">
        <f>INPUT!BV81</f>
        <v>-2.4113475177304888</v>
      </c>
      <c r="AF158" s="750">
        <f>INPUT!BW81</f>
        <v>202.3</v>
      </c>
      <c r="AG158" s="752">
        <f>INPUT!BX81</f>
        <v>-2.6936026936026924</v>
      </c>
      <c r="AH158" s="750">
        <f>INPUT!BY81</f>
        <v>206.5</v>
      </c>
      <c r="AI158" s="752">
        <f>INPUT!BZ81</f>
        <v>2.6852312282446666</v>
      </c>
      <c r="AJ158" s="750">
        <f>INPUT!CA81</f>
        <v>209.4</v>
      </c>
      <c r="AK158" s="752">
        <f>INPUT!CB81</f>
        <v>1.798736023334957</v>
      </c>
      <c r="AL158" s="750">
        <f>INPUT!CC81</f>
        <v>211.3</v>
      </c>
      <c r="AM158" s="752">
        <f>INPUT!CD81</f>
        <v>2.3740310077519311</v>
      </c>
      <c r="AN158" s="750">
        <f>INPUT!CE81</f>
        <v>212.7</v>
      </c>
      <c r="AO158" s="752">
        <f>INPUT!CF81</f>
        <v>5.1408798813642909</v>
      </c>
      <c r="AP158" s="750">
        <f>INPUT!CG81</f>
        <v>210.2</v>
      </c>
      <c r="AQ158" s="752">
        <f>INPUT!CH81</f>
        <v>1.7917675544794065</v>
      </c>
      <c r="AR158" s="750">
        <f>INPUT!CI81</f>
        <v>211.6</v>
      </c>
      <c r="AS158" s="752">
        <f>INPUT!CJ81</f>
        <v>1.0506208213944657</v>
      </c>
      <c r="AT158" s="750">
        <f>INPUT!CK81</f>
        <v>214.3</v>
      </c>
      <c r="AU158" s="752">
        <f>INPUT!CL81</f>
        <v>1.4197823000473342</v>
      </c>
      <c r="AV158" s="750">
        <f>INPUT!CM81</f>
        <v>218.5</v>
      </c>
      <c r="AW158" s="752">
        <f>INPUT!CN81</f>
        <v>2.7268453220498312</v>
      </c>
      <c r="AX158" s="750">
        <f>INPUT!CO81</f>
        <v>231.7</v>
      </c>
      <c r="AY158" s="752">
        <f>INPUT!CP81</f>
        <v>10.228353948620361</v>
      </c>
      <c r="AZ158" s="750">
        <f>INPUT!CQ81</f>
        <v>232.2</v>
      </c>
      <c r="BA158" s="752">
        <f>INPUT!CR81</f>
        <v>9.7353497164461178</v>
      </c>
      <c r="BB158" s="750">
        <f>INPUT!CS81</f>
        <v>236</v>
      </c>
      <c r="BC158" s="752">
        <f>INPUT!CT81</f>
        <v>10.125991600559958</v>
      </c>
      <c r="BD158" s="750">
        <f>INPUT!CU81</f>
        <v>236.5</v>
      </c>
      <c r="BE158" s="752">
        <f>INPUT!CV81</f>
        <v>8.2379862700228799</v>
      </c>
      <c r="BF158" s="750">
        <f>INPUT!CW81</f>
        <v>235.3</v>
      </c>
      <c r="BG158" s="752">
        <f>INPUT!CX81</f>
        <v>1.5537332757876721</v>
      </c>
      <c r="BH158" s="750">
        <f>INPUT!CY81</f>
        <v>237.3</v>
      </c>
      <c r="BI158" s="752">
        <f>INPUT!CZ81</f>
        <v>2.1963824289405798</v>
      </c>
      <c r="BJ158" s="750">
        <f>INPUT!DA81</f>
        <v>240.3</v>
      </c>
      <c r="BK158" s="752">
        <f>INPUT!DB81</f>
        <v>1.8220338983050866</v>
      </c>
      <c r="BL158" s="750">
        <f>INPUT!DC81</f>
        <v>197</v>
      </c>
      <c r="BM158" s="752">
        <f>INPUT!DD81</f>
        <v>-16.701902748414376</v>
      </c>
      <c r="BN158" s="750">
        <f>INPUT!DE81</f>
        <v>239.3</v>
      </c>
      <c r="BO158" s="752">
        <f>INPUT!DF81</f>
        <v>1.6999575010624657</v>
      </c>
      <c r="BP158" s="750">
        <f>INPUT!DG81</f>
        <v>241.5</v>
      </c>
      <c r="BQ158" s="752">
        <f>INPUT!DH81</f>
        <v>1.7699115044247815</v>
      </c>
      <c r="BR158" s="750">
        <f>INPUT!DI81</f>
        <v>243.7</v>
      </c>
      <c r="BS158" s="752">
        <f>INPUT!DJ81</f>
        <v>1.4148980441115233</v>
      </c>
      <c r="BT158" s="750">
        <f>INPUT!DK81</f>
        <v>251.3</v>
      </c>
      <c r="BU158" s="752">
        <f>INPUT!DL81</f>
        <v>27.56345177664976</v>
      </c>
      <c r="BV158" s="750">
        <f>INPUT!DM81</f>
        <v>260.8</v>
      </c>
      <c r="BW158" s="752">
        <f>INPUT!DN81</f>
        <v>8.9845382365231874</v>
      </c>
      <c r="BX158" s="750">
        <f>INPUT!DO81</f>
        <v>269.89999999999998</v>
      </c>
      <c r="BY158" s="752">
        <f>INPUT!DP81</f>
        <v>11.759834368530008</v>
      </c>
      <c r="BZ158" s="750">
        <f>INPUT!DQ81</f>
        <v>261.8</v>
      </c>
      <c r="CA158" s="752">
        <f>INPUT!DR81</f>
        <v>7.4271645465736613</v>
      </c>
      <c r="CB158" s="750">
        <f>INPUT!DS81</f>
        <v>269.10000000000002</v>
      </c>
      <c r="CC158" s="752">
        <f>INPUT!DT81</f>
        <v>7.0831675288499873</v>
      </c>
      <c r="CD158" s="750">
        <f>INPUT!DU81</f>
        <v>275.89999999999998</v>
      </c>
      <c r="CE158" s="752">
        <f>INPUT!DV81</f>
        <v>5.7898773006134885</v>
      </c>
      <c r="CF158" s="750">
        <f>INPUT!DW81</f>
        <v>274.39999999999998</v>
      </c>
      <c r="CG158" s="752">
        <f>INPUT!DX81</f>
        <v>1.6672841793256676</v>
      </c>
      <c r="CH158" s="750">
        <f>INPUT!DY81</f>
        <v>282.2</v>
      </c>
      <c r="CI158" s="752">
        <f>INPUT!DZ81</f>
        <v>7.7922077922077726</v>
      </c>
      <c r="CJ158" s="750">
        <f>INPUT!EA81</f>
        <v>280.10000000000002</v>
      </c>
      <c r="CK158" s="752">
        <f>INPUT!EB81</f>
        <v>4.0876997398736625</v>
      </c>
      <c r="CL158" s="750">
        <f>INPUT!EC81</f>
        <v>290.7</v>
      </c>
      <c r="CM158" s="752">
        <f>INPUT!ED81</f>
        <v>5.3642624139180972</v>
      </c>
      <c r="CN158" s="750">
        <f>INPUT!EE81</f>
        <v>282.8</v>
      </c>
      <c r="CO158" s="752">
        <f>INPUT!EF81</f>
        <v>3.0612244897959329</v>
      </c>
      <c r="CP158" s="750">
        <f>INPUT!EG81</f>
        <v>290.60000000000002</v>
      </c>
      <c r="CQ158" s="752">
        <f>INPUT!EH81</f>
        <v>2.9766123316796733</v>
      </c>
      <c r="CR158" s="750">
        <f>INPUT!EI81</f>
        <v>305.7</v>
      </c>
      <c r="CS158" s="752">
        <f>INPUT!EJ81</f>
        <v>9.1395930024990903</v>
      </c>
      <c r="CT158" s="750">
        <f>INPUT!EK81</f>
        <v>299.02953599999995</v>
      </c>
      <c r="CU158" s="752">
        <f>INPUT!EL81</f>
        <v>2.865337461300288</v>
      </c>
      <c r="CV158" s="750">
        <f>INPUT!EM81</f>
        <v>296.21966399999997</v>
      </c>
      <c r="CW158" s="752">
        <f>INPUT!EN81</f>
        <v>4.7452842998585432</v>
      </c>
      <c r="CX158" s="750">
        <f>INPUT!EO81</f>
        <v>301.09996799999999</v>
      </c>
      <c r="CY158" s="752">
        <f>INPUT!EP81</f>
        <v>3.6132030282174599</v>
      </c>
      <c r="CZ158" s="750">
        <f>INPUT!EQ81</f>
        <v>297.84643199999999</v>
      </c>
      <c r="DA158" s="752">
        <f>INPUT!ER81</f>
        <v>-2.5690441609421022</v>
      </c>
      <c r="DB158" s="753"/>
      <c r="DC158" s="750">
        <f>INPUT!FB81</f>
        <v>0</v>
      </c>
      <c r="DD158" s="756">
        <f>INPUT!FC81</f>
        <v>0</v>
      </c>
      <c r="DE158" s="750">
        <f>INPUT!FD81</f>
        <v>1247.9000000000001</v>
      </c>
      <c r="DF158" s="756" t="str">
        <f>INPUT!FE81</f>
        <v>NA</v>
      </c>
      <c r="DG158" s="750">
        <f>INPUT!FF81</f>
        <v>1280</v>
      </c>
      <c r="DH158" s="756">
        <f>INPUT!FG81</f>
        <v>2.5723215001201893</v>
      </c>
      <c r="DI158" s="750">
        <f>INPUT!FH81</f>
        <v>1244.3</v>
      </c>
      <c r="DJ158" s="756">
        <f>INPUT!FI81</f>
        <v>-2.7890625000000058</v>
      </c>
      <c r="DK158" s="750">
        <f>INPUT!FJ81</f>
        <v>1111.9000000000001</v>
      </c>
      <c r="DL158" s="752">
        <f>INPUT!FK81</f>
        <v>-10.640520774732776</v>
      </c>
      <c r="DM158" s="750">
        <f>INPUT!FL81</f>
        <v>1067.3</v>
      </c>
      <c r="DN158" s="752">
        <f>INPUT!FM81</f>
        <v>-4.0111520820217734</v>
      </c>
      <c r="DO158" s="750">
        <f>INPUT!FN81</f>
        <v>901.6</v>
      </c>
      <c r="DP158" s="752">
        <f>INPUT!FO81</f>
        <v>-15.525156938068019</v>
      </c>
      <c r="DQ158" s="750">
        <f>INPUT!FP81</f>
        <v>827.6</v>
      </c>
      <c r="DR158" s="752">
        <f>INPUT!FQ81</f>
        <v>-8.2076308784383318</v>
      </c>
      <c r="DS158" s="750">
        <f>INPUT!FR81</f>
        <v>815.5</v>
      </c>
      <c r="DT158" s="752">
        <f>INPUT!FS81</f>
        <v>-1.46205896568391</v>
      </c>
      <c r="DU158" s="750">
        <f>INPUT!FT81</f>
        <v>839.90000000000009</v>
      </c>
      <c r="DV158" s="752">
        <f>INPUT!FU81</f>
        <v>2.9920294297976824</v>
      </c>
      <c r="DW158" s="750">
        <f>INPUT!FV81</f>
        <v>854.59999999999991</v>
      </c>
      <c r="DX158" s="752">
        <f>INPUT!FW81</f>
        <v>1.7502083581378614</v>
      </c>
      <c r="DY158" s="750">
        <f>INPUT!FX81</f>
        <v>936.4</v>
      </c>
      <c r="DZ158" s="752">
        <f>INPUT!FY81</f>
        <v>9.5717294640767605</v>
      </c>
      <c r="EA158" s="750">
        <f>INPUT!FZ81</f>
        <v>909.90000000000009</v>
      </c>
      <c r="EB158" s="752">
        <f>INPUT!GA81</f>
        <v>-2.8299871849636782</v>
      </c>
      <c r="EC158" s="750">
        <f>INPUT!GB81</f>
        <v>975.8</v>
      </c>
      <c r="ED158" s="752">
        <f>INPUT!GC81</f>
        <v>7.2425541268271054</v>
      </c>
      <c r="EE158" s="750">
        <f>INPUT!GD81</f>
        <v>1061.5999999999999</v>
      </c>
      <c r="EF158" s="752">
        <f>INPUT!GE81</f>
        <v>8.7927854068456703</v>
      </c>
      <c r="EG158" s="750">
        <f>INPUT!GF81</f>
        <v>1112.5999999999999</v>
      </c>
      <c r="EH158" s="752">
        <f>INPUT!GG81</f>
        <v>4.8040693293142533</v>
      </c>
      <c r="EI158" s="750">
        <f>INPUT!GH81</f>
        <v>1169.8</v>
      </c>
      <c r="EJ158" s="752">
        <f>INPUT!GI81</f>
        <v>5.1411109113787656</v>
      </c>
      <c r="EK158" s="750">
        <f>INPUT!GJ81</f>
        <v>1194.1956</v>
      </c>
      <c r="EL158" s="752">
        <f>INPUT!GK81</f>
        <v>2.0854505043597316</v>
      </c>
      <c r="EM158" s="750">
        <f>INPUT!GL81</f>
        <v>1224.0504899999999</v>
      </c>
      <c r="EN158" s="752">
        <f>INPUT!GM81</f>
        <v>2.4999999999999911</v>
      </c>
      <c r="EO158" s="750">
        <f>INPUT!GN81</f>
        <v>1254.6517522499998</v>
      </c>
      <c r="EP158" s="752">
        <f>INPUT!GO81</f>
        <v>2.4999999999999911</v>
      </c>
      <c r="EQ158" s="750">
        <f>INPUT!GP81</f>
        <v>1284.2093005624999</v>
      </c>
      <c r="ER158" s="752">
        <f>INPUT!GQ81</f>
        <v>2.3558368495077531</v>
      </c>
      <c r="ES158" s="750">
        <f>INPUT!GR81</f>
        <v>1316.3145330765622</v>
      </c>
      <c r="ET158" s="752">
        <f>INPUT!GS81</f>
        <v>2.4999999999999689</v>
      </c>
      <c r="EU158" s="756">
        <f>INPUT!GT81</f>
        <v>2.3881301549752321</v>
      </c>
      <c r="EV158" s="710"/>
    </row>
    <row r="159" spans="1:152" ht="12.75" hidden="1" customHeight="1" outlineLevel="1" x14ac:dyDescent="0.2">
      <c r="A159" s="754" t="str">
        <f>INPUT!B82</f>
        <v xml:space="preserve">Commissions </v>
      </c>
      <c r="B159" s="750">
        <f>INPUT!AS82</f>
        <v>23</v>
      </c>
      <c r="C159" s="756">
        <f>INPUT!AT82</f>
        <v>-9.4488188976377998</v>
      </c>
      <c r="D159" s="750">
        <f>INPUT!AU82</f>
        <v>23.1</v>
      </c>
      <c r="E159" s="756">
        <f>INPUT!AV82</f>
        <v>-25</v>
      </c>
      <c r="F159" s="750">
        <f>INPUT!AW82</f>
        <v>21</v>
      </c>
      <c r="G159" s="756">
        <f>INPUT!AX82</f>
        <v>1.449275362318847</v>
      </c>
      <c r="H159" s="750">
        <f>INPUT!AY82</f>
        <v>23</v>
      </c>
      <c r="I159" s="752">
        <f>INPUT!AZ82</f>
        <v>10.047846889952151</v>
      </c>
      <c r="J159" s="750">
        <f>INPUT!BA82</f>
        <v>22.6</v>
      </c>
      <c r="K159" s="752">
        <f>INPUT!BB82</f>
        <v>-1.7391304347825987</v>
      </c>
      <c r="L159" s="750">
        <f>INPUT!BC82</f>
        <v>22.5</v>
      </c>
      <c r="M159" s="752">
        <f>INPUT!BD82</f>
        <v>-2.5974025974025983</v>
      </c>
      <c r="N159" s="750">
        <f>INPUT!BE82</f>
        <v>21.2</v>
      </c>
      <c r="O159" s="752">
        <f>INPUT!BF82</f>
        <v>0.952380952380949</v>
      </c>
      <c r="P159" s="750">
        <f>INPUT!BG82</f>
        <v>22.4</v>
      </c>
      <c r="Q159" s="752">
        <f>INPUT!BH82</f>
        <v>-2.6086956521739202</v>
      </c>
      <c r="R159" s="750">
        <f>INPUT!BI82</f>
        <v>21.6</v>
      </c>
      <c r="S159" s="752">
        <f>INPUT!BJ82</f>
        <v>-4.4247787610619422</v>
      </c>
      <c r="T159" s="750">
        <f>INPUT!BK82</f>
        <v>20.8</v>
      </c>
      <c r="U159" s="752">
        <f>INPUT!BL82</f>
        <v>-7.5555555555555483</v>
      </c>
      <c r="V159" s="750">
        <f>INPUT!BM82</f>
        <v>21.2</v>
      </c>
      <c r="W159" s="752">
        <f>INPUT!BN82</f>
        <v>0</v>
      </c>
      <c r="X159" s="750">
        <f>INPUT!BO82</f>
        <v>21.8</v>
      </c>
      <c r="Y159" s="752">
        <f>INPUT!BP82</f>
        <v>-2.6785714285714191</v>
      </c>
      <c r="Z159" s="750">
        <f>INPUT!BQ82</f>
        <v>21.4</v>
      </c>
      <c r="AA159" s="752">
        <f>INPUT!BR82</f>
        <v>-0.92592592592594114</v>
      </c>
      <c r="AB159" s="750">
        <f>INPUT!BS82</f>
        <v>21.7</v>
      </c>
      <c r="AC159" s="752">
        <f>INPUT!BT82</f>
        <v>4.3269230769230616</v>
      </c>
      <c r="AD159" s="750">
        <f>INPUT!BU82</f>
        <v>21.3</v>
      </c>
      <c r="AE159" s="752">
        <f>INPUT!BV82</f>
        <v>0.47169811320755262</v>
      </c>
      <c r="AF159" s="750">
        <f>INPUT!BW82</f>
        <v>21</v>
      </c>
      <c r="AG159" s="752">
        <f>INPUT!BX82</f>
        <v>-3.669724770642202</v>
      </c>
      <c r="AH159" s="750">
        <f>INPUT!BY82</f>
        <v>22.3</v>
      </c>
      <c r="AI159" s="752">
        <f>INPUT!BZ82</f>
        <v>4.20560747663552</v>
      </c>
      <c r="AJ159" s="750">
        <f>INPUT!CA82</f>
        <v>21.4</v>
      </c>
      <c r="AK159" s="752">
        <f>INPUT!CB82</f>
        <v>-1.3824884792626779</v>
      </c>
      <c r="AL159" s="750">
        <f>INPUT!CC82</f>
        <v>22.2</v>
      </c>
      <c r="AM159" s="752">
        <f>INPUT!CD82</f>
        <v>4.2253521126760507</v>
      </c>
      <c r="AN159" s="750">
        <f>INPUT!CE82</f>
        <v>23.4</v>
      </c>
      <c r="AO159" s="752">
        <f>INPUT!CF82</f>
        <v>11.428571428571432</v>
      </c>
      <c r="AP159" s="750">
        <f>INPUT!CG82</f>
        <v>23.5</v>
      </c>
      <c r="AQ159" s="752">
        <f>INPUT!CH82</f>
        <v>5.3811659192825045</v>
      </c>
      <c r="AR159" s="750">
        <f>INPUT!CI82</f>
        <v>23.4</v>
      </c>
      <c r="AS159" s="752">
        <f>INPUT!CJ82</f>
        <v>9.3457943925233664</v>
      </c>
      <c r="AT159" s="750">
        <f>INPUT!CK82</f>
        <v>24.2</v>
      </c>
      <c r="AU159" s="752">
        <f>INPUT!CL82</f>
        <v>9.0090090090090058</v>
      </c>
      <c r="AV159" s="750">
        <f>INPUT!CM82</f>
        <v>24.4</v>
      </c>
      <c r="AW159" s="752">
        <f>INPUT!CN82</f>
        <v>4.2735042735042805</v>
      </c>
      <c r="AX159" s="750">
        <f>INPUT!CO82</f>
        <v>26.2</v>
      </c>
      <c r="AY159" s="752">
        <f>INPUT!CP82</f>
        <v>11.489361702127665</v>
      </c>
      <c r="AZ159" s="750">
        <f>INPUT!CQ82</f>
        <v>25.9</v>
      </c>
      <c r="BA159" s="752">
        <f>INPUT!CR82</f>
        <v>10.68376068376069</v>
      </c>
      <c r="BB159" s="750">
        <f>INPUT!CS82</f>
        <v>26.1</v>
      </c>
      <c r="BC159" s="752">
        <f>INPUT!CT82</f>
        <v>7.8512396694214948</v>
      </c>
      <c r="BD159" s="750">
        <f>INPUT!CU82</f>
        <v>26.4</v>
      </c>
      <c r="BE159" s="752">
        <f>INPUT!CV82</f>
        <v>8.196721311475418</v>
      </c>
      <c r="BF159" s="750">
        <f>INPUT!CW82</f>
        <v>28.4</v>
      </c>
      <c r="BG159" s="752">
        <f>INPUT!CX82</f>
        <v>8.3969465648855</v>
      </c>
      <c r="BH159" s="750">
        <f>INPUT!CY82</f>
        <v>27.2</v>
      </c>
      <c r="BI159" s="752">
        <f>INPUT!CZ82</f>
        <v>5.0193050193050315</v>
      </c>
      <c r="BJ159" s="750">
        <f>INPUT!DA82</f>
        <v>27.4</v>
      </c>
      <c r="BK159" s="752">
        <f>INPUT!DB82</f>
        <v>4.9808429118773923</v>
      </c>
      <c r="BL159" s="750">
        <f>INPUT!DC82</f>
        <v>25.9</v>
      </c>
      <c r="BM159" s="752">
        <f>INPUT!DD82</f>
        <v>-1.8939393939393923</v>
      </c>
      <c r="BN159" s="750">
        <f>INPUT!DE82</f>
        <v>28.5</v>
      </c>
      <c r="BO159" s="752">
        <f>INPUT!DF82</f>
        <v>0.35211267605634866</v>
      </c>
      <c r="BP159" s="750">
        <f>INPUT!DG82</f>
        <v>28</v>
      </c>
      <c r="BQ159" s="752">
        <f>INPUT!DH82</f>
        <v>2.941176470588247</v>
      </c>
      <c r="BR159" s="750">
        <f>INPUT!DI82</f>
        <v>28.3</v>
      </c>
      <c r="BS159" s="752">
        <f>INPUT!DJ82</f>
        <v>3.284671532846728</v>
      </c>
      <c r="BT159" s="750">
        <f>INPUT!DK82</f>
        <v>28.5</v>
      </c>
      <c r="BU159" s="752">
        <f>INPUT!DL82</f>
        <v>10.038610038610042</v>
      </c>
      <c r="BV159" s="750">
        <f>INPUT!DM82</f>
        <v>30.3</v>
      </c>
      <c r="BW159" s="752">
        <f>INPUT!DN82</f>
        <v>6.315789473684208</v>
      </c>
      <c r="BX159" s="750">
        <f>INPUT!DO82</f>
        <v>30.2</v>
      </c>
      <c r="BY159" s="752">
        <f>INPUT!DP82</f>
        <v>7.8571428571428514</v>
      </c>
      <c r="BZ159" s="750">
        <f>INPUT!DQ82</f>
        <v>30</v>
      </c>
      <c r="CA159" s="752">
        <f>INPUT!DR82</f>
        <v>6.0070671378091856</v>
      </c>
      <c r="CB159" s="750">
        <f>INPUT!DS82</f>
        <v>30.7</v>
      </c>
      <c r="CC159" s="752">
        <f>INPUT!DT82</f>
        <v>7.7192982456140369</v>
      </c>
      <c r="CD159" s="750">
        <f>INPUT!DU82</f>
        <v>32.299999999999997</v>
      </c>
      <c r="CE159" s="752">
        <f>INPUT!DV82</f>
        <v>6.6006600660065917</v>
      </c>
      <c r="CF159" s="750">
        <f>INPUT!DW82</f>
        <v>31</v>
      </c>
      <c r="CG159" s="752">
        <f>INPUT!DX82</f>
        <v>2.6490066225165476</v>
      </c>
      <c r="CH159" s="750">
        <f>INPUT!DY82</f>
        <v>31.5</v>
      </c>
      <c r="CI159" s="752">
        <f>INPUT!DZ82</f>
        <v>5.0000000000000044</v>
      </c>
      <c r="CJ159" s="750">
        <f>INPUT!EA82</f>
        <v>32</v>
      </c>
      <c r="CK159" s="752">
        <f>INPUT!EB82</f>
        <v>4.2345276872964188</v>
      </c>
      <c r="CL159" s="750">
        <f>INPUT!EC82</f>
        <v>32.6</v>
      </c>
      <c r="CM159" s="752">
        <f>INPUT!ED82</f>
        <v>0.92879256965945345</v>
      </c>
      <c r="CN159" s="750">
        <f>INPUT!EE82</f>
        <v>32.1</v>
      </c>
      <c r="CO159" s="752">
        <f>INPUT!EF82</f>
        <v>3.5483870967742082</v>
      </c>
      <c r="CP159" s="750">
        <f>INPUT!EG82</f>
        <v>33.299999999999997</v>
      </c>
      <c r="CQ159" s="752">
        <f>INPUT!EH82</f>
        <v>5.7142857142857162</v>
      </c>
      <c r="CR159" s="750">
        <f>INPUT!EI82</f>
        <v>33.299999999999997</v>
      </c>
      <c r="CS159" s="752">
        <f>INPUT!EJ82</f>
        <v>4.0624999999999911</v>
      </c>
      <c r="CT159" s="750">
        <f>INPUT!EK82</f>
        <v>34.769565044687191</v>
      </c>
      <c r="CU159" s="752">
        <f>INPUT!EL82</f>
        <v>6.655107499040458</v>
      </c>
      <c r="CV159" s="750">
        <f>INPUT!EM82</f>
        <v>34.442848063555118</v>
      </c>
      <c r="CW159" s="752">
        <f>INPUT!EN82</f>
        <v>7.2985920983025476</v>
      </c>
      <c r="CX159" s="750">
        <f>INPUT!EO82</f>
        <v>34.798559872889768</v>
      </c>
      <c r="CY159" s="752">
        <f>INPUT!EP82</f>
        <v>4.5001797984677738</v>
      </c>
      <c r="CZ159" s="750">
        <f>INPUT!EQ82</f>
        <v>34.213087999999999</v>
      </c>
      <c r="DA159" s="752">
        <f>INPUT!ER82</f>
        <v>2.7420060060060036</v>
      </c>
      <c r="DB159" s="753"/>
      <c r="DC159" s="750">
        <f>INPUT!FB82</f>
        <v>0</v>
      </c>
      <c r="DD159" s="756">
        <f>INPUT!FC82</f>
        <v>0</v>
      </c>
      <c r="DE159" s="750">
        <f>INPUT!FD82</f>
        <v>115.9</v>
      </c>
      <c r="DF159" s="756" t="str">
        <f>INPUT!FE82</f>
        <v>NA</v>
      </c>
      <c r="DG159" s="750">
        <f>INPUT!FF82</f>
        <v>113.2</v>
      </c>
      <c r="DH159" s="756">
        <f>INPUT!FG82</f>
        <v>-2.3295944779982758</v>
      </c>
      <c r="DI159" s="750">
        <f>INPUT!FH82</f>
        <v>106.2</v>
      </c>
      <c r="DJ159" s="756">
        <f>INPUT!FI82</f>
        <v>-6.1837455830388688</v>
      </c>
      <c r="DK159" s="750">
        <f>INPUT!FJ82</f>
        <v>97.8</v>
      </c>
      <c r="DL159" s="752">
        <f>INPUT!FK82</f>
        <v>-7.9096045197740157</v>
      </c>
      <c r="DM159" s="750">
        <f>INPUT!FL82</f>
        <v>90.1</v>
      </c>
      <c r="DN159" s="752">
        <f>INPUT!FM82</f>
        <v>-7.8732106339468366</v>
      </c>
      <c r="DO159" s="750">
        <f>INPUT!FN82</f>
        <v>88.699999999999989</v>
      </c>
      <c r="DP159" s="752">
        <f>INPUT!FO82</f>
        <v>-1.5538290788013387</v>
      </c>
      <c r="DQ159" s="750">
        <f>INPUT!FP82</f>
        <v>85.4</v>
      </c>
      <c r="DR159" s="752">
        <f>INPUT!FQ82</f>
        <v>-3.7204058624576986</v>
      </c>
      <c r="DS159" s="750">
        <f>INPUT!FR82</f>
        <v>85.399999999999991</v>
      </c>
      <c r="DT159" s="752">
        <f>INPUT!FS82</f>
        <v>-1.1102230246251565E-14</v>
      </c>
      <c r="DU159" s="750">
        <f>INPUT!FT82</f>
        <v>89.300000000000011</v>
      </c>
      <c r="DV159" s="752">
        <f>INPUT!FU82</f>
        <v>4.5667447306791731</v>
      </c>
      <c r="DW159" s="750">
        <f>INPUT!FV82</f>
        <v>95.5</v>
      </c>
      <c r="DX159" s="752">
        <f>INPUT!FW82</f>
        <v>6.9428891377379509</v>
      </c>
      <c r="DY159" s="750">
        <f>INPUT!FX82</f>
        <v>104.6</v>
      </c>
      <c r="DZ159" s="752">
        <f>INPUT!FY82</f>
        <v>9.5287958115183091</v>
      </c>
      <c r="EA159" s="750">
        <f>INPUT!FZ82</f>
        <v>108.9</v>
      </c>
      <c r="EB159" s="752">
        <f>INPUT!GA82</f>
        <v>4.1108986615678855</v>
      </c>
      <c r="EC159" s="750">
        <f>INPUT!GB82</f>
        <v>113.3</v>
      </c>
      <c r="ED159" s="752">
        <f>INPUT!GC82</f>
        <v>4.040404040404022</v>
      </c>
      <c r="EE159" s="750">
        <f>INPUT!GD82</f>
        <v>121.2</v>
      </c>
      <c r="EF159" s="752">
        <f>INPUT!GE82</f>
        <v>6.9726390114739578</v>
      </c>
      <c r="EG159" s="750">
        <f>INPUT!GF82</f>
        <v>126.8</v>
      </c>
      <c r="EH159" s="752">
        <f>INPUT!GG82</f>
        <v>4.6204620462046098</v>
      </c>
      <c r="EI159" s="750">
        <f>INPUT!GH82</f>
        <v>131.30000000000001</v>
      </c>
      <c r="EJ159" s="752">
        <f>INPUT!GI82</f>
        <v>3.5488958990536501</v>
      </c>
      <c r="EK159" s="750">
        <f>INPUT!GJ82</f>
        <v>138.22406098113208</v>
      </c>
      <c r="EL159" s="752">
        <f>INPUT!GK82</f>
        <v>5.2734660937791888</v>
      </c>
      <c r="EM159" s="750">
        <f>INPUT!GL82</f>
        <v>141.67966250566039</v>
      </c>
      <c r="EN159" s="752">
        <f>INPUT!GM82</f>
        <v>2.4999999999999911</v>
      </c>
      <c r="EO159" s="750">
        <f>INPUT!GN82</f>
        <v>145.22165406830189</v>
      </c>
      <c r="EP159" s="752">
        <f>INPUT!GO82</f>
        <v>2.4999999999999911</v>
      </c>
      <c r="EQ159" s="750">
        <f>INPUT!GP82</f>
        <v>148.85219542000942</v>
      </c>
      <c r="ER159" s="752">
        <f>INPUT!GQ82</f>
        <v>2.4999999999999911</v>
      </c>
      <c r="ES159" s="750">
        <f>INPUT!GR82</f>
        <v>152.57350030550964</v>
      </c>
      <c r="ET159" s="752">
        <f>INPUT!GS82</f>
        <v>2.4999999999999911</v>
      </c>
      <c r="EU159" s="756">
        <f>INPUT!GT82</f>
        <v>3.0487852765012091</v>
      </c>
      <c r="EV159" s="710"/>
    </row>
    <row r="160" spans="1:152" ht="12.75" hidden="1" customHeight="1" outlineLevel="1" x14ac:dyDescent="0.2">
      <c r="A160" s="754" t="str">
        <f>INPUT!B83</f>
        <v>Net Change in DPAC</v>
      </c>
      <c r="B160" s="750">
        <f>INPUT!AS83</f>
        <v>6.5999999999999979</v>
      </c>
      <c r="C160" s="756">
        <f>INPUT!AT83</f>
        <v>0</v>
      </c>
      <c r="D160" s="750">
        <f>INPUT!AU83</f>
        <v>6.4</v>
      </c>
      <c r="E160" s="756" t="str">
        <f>INPUT!AV83</f>
        <v>NM</v>
      </c>
      <c r="F160" s="750">
        <f>INPUT!AW83</f>
        <v>7.1000000000000014</v>
      </c>
      <c r="G160" s="756">
        <f>INPUT!AX83</f>
        <v>-37.71929824561402</v>
      </c>
      <c r="H160" s="750">
        <f>INPUT!AY83</f>
        <v>7.1999999999999993</v>
      </c>
      <c r="I160" s="752">
        <f>INPUT!AZ83</f>
        <v>-40.000000000000014</v>
      </c>
      <c r="J160" s="750">
        <f>INPUT!BA83</f>
        <v>0.20000000000000107</v>
      </c>
      <c r="K160" s="752" t="str">
        <f>INPUT!BB83</f>
        <v>NM</v>
      </c>
      <c r="L160" s="750">
        <f>INPUT!BC83</f>
        <v>1.4000000000000004</v>
      </c>
      <c r="M160" s="752" t="str">
        <f>INPUT!BD83</f>
        <v>NM</v>
      </c>
      <c r="N160" s="750">
        <f>INPUT!BE83</f>
        <v>1.2000000000000011</v>
      </c>
      <c r="O160" s="752" t="str">
        <f>INPUT!BF83</f>
        <v>NM</v>
      </c>
      <c r="P160" s="750">
        <f>INPUT!BG83</f>
        <v>0.5</v>
      </c>
      <c r="Q160" s="752" t="str">
        <f>INPUT!BH83</f>
        <v>NM</v>
      </c>
      <c r="R160" s="750">
        <f>INPUT!BI83</f>
        <v>4.0999999999999996</v>
      </c>
      <c r="S160" s="752" t="str">
        <f>INPUT!BJ83</f>
        <v>NM</v>
      </c>
      <c r="T160" s="750">
        <f>INPUT!BK83</f>
        <v>3.5</v>
      </c>
      <c r="U160" s="752" t="str">
        <f>INPUT!BL83</f>
        <v>NM</v>
      </c>
      <c r="V160" s="750">
        <f>INPUT!BM83</f>
        <v>3.5999999999999996</v>
      </c>
      <c r="W160" s="752" t="str">
        <f>INPUT!BN83</f>
        <v>NM</v>
      </c>
      <c r="X160" s="750">
        <f>INPUT!BO83</f>
        <v>3.5</v>
      </c>
      <c r="Y160" s="752" t="str">
        <f>INPUT!BP83</f>
        <v>NM</v>
      </c>
      <c r="Z160" s="750">
        <f>INPUT!BQ83</f>
        <v>-0.30000000000000071</v>
      </c>
      <c r="AA160" s="752" t="str">
        <f>INPUT!BR83</f>
        <v>NM</v>
      </c>
      <c r="AB160" s="750">
        <f>INPUT!BS83</f>
        <v>-0.59999999999999964</v>
      </c>
      <c r="AC160" s="752" t="str">
        <f>INPUT!BT83</f>
        <v>NM</v>
      </c>
      <c r="AD160" s="750">
        <f>INPUT!BU83</f>
        <v>-0.40000000000000036</v>
      </c>
      <c r="AE160" s="752" t="str">
        <f>INPUT!BV83</f>
        <v>NM</v>
      </c>
      <c r="AF160" s="750">
        <f>INPUT!BW83</f>
        <v>-0.90000000000000036</v>
      </c>
      <c r="AG160" s="752" t="str">
        <f>INPUT!BX83</f>
        <v>NM</v>
      </c>
      <c r="AH160" s="750">
        <f>INPUT!BY83</f>
        <v>-0.10000000000000009</v>
      </c>
      <c r="AI160" s="752" t="str">
        <f>INPUT!BZ83</f>
        <v>NM</v>
      </c>
      <c r="AJ160" s="750">
        <f>INPUT!CA83</f>
        <v>-0.29999999999999982</v>
      </c>
      <c r="AK160" s="752">
        <f>INPUT!CB83</f>
        <v>-50</v>
      </c>
      <c r="AL160" s="750">
        <f>INPUT!CC83</f>
        <v>-0.59999999999999964</v>
      </c>
      <c r="AM160" s="752">
        <f>INPUT!CD83</f>
        <v>49.99999999999978</v>
      </c>
      <c r="AN160" s="750">
        <f>INPUT!CE83</f>
        <v>-0.30000000000000027</v>
      </c>
      <c r="AO160" s="752" t="str">
        <f>INPUT!CF83</f>
        <v>NM</v>
      </c>
      <c r="AP160" s="750">
        <f>INPUT!CG83</f>
        <v>-1.1000000000000001</v>
      </c>
      <c r="AQ160" s="752" t="str">
        <f>INPUT!CH83</f>
        <v>NM</v>
      </c>
      <c r="AR160" s="750">
        <f>INPUT!CI83</f>
        <v>-1.1000000000000001</v>
      </c>
      <c r="AS160" s="752" t="str">
        <f>INPUT!CJ83</f>
        <v>NM</v>
      </c>
      <c r="AT160" s="750">
        <f>INPUT!CK83</f>
        <v>-0.89999999999999991</v>
      </c>
      <c r="AU160" s="752">
        <f>INPUT!CL83</f>
        <v>50.000000000000064</v>
      </c>
      <c r="AV160" s="750">
        <f>INPUT!CM83</f>
        <v>-1.1999999999999997</v>
      </c>
      <c r="AW160" s="752" t="str">
        <f>INPUT!CN83</f>
        <v>NM</v>
      </c>
      <c r="AX160" s="750">
        <f>INPUT!CO83</f>
        <v>-1.6999999999999997</v>
      </c>
      <c r="AY160" s="752">
        <f>INPUT!CP83</f>
        <v>54.545454545454518</v>
      </c>
      <c r="AZ160" s="750">
        <f>INPUT!CQ83</f>
        <v>-1.7000000000000002</v>
      </c>
      <c r="BA160" s="752">
        <f>INPUT!CR83</f>
        <v>54.54545454545454</v>
      </c>
      <c r="BB160" s="750">
        <f>INPUT!CS83</f>
        <v>-1.6000000000000005</v>
      </c>
      <c r="BC160" s="752">
        <f>INPUT!CT83</f>
        <v>77.777777777777857</v>
      </c>
      <c r="BD160" s="750">
        <f>INPUT!CU83</f>
        <v>-3.8000000000000003</v>
      </c>
      <c r="BE160" s="752" t="str">
        <f>INPUT!CV83</f>
        <v>NM</v>
      </c>
      <c r="BF160" s="750">
        <f>INPUT!CW83</f>
        <v>-1.6000000000000005</v>
      </c>
      <c r="BG160" s="752">
        <f>INPUT!CX83</f>
        <v>-5.8823529411764275</v>
      </c>
      <c r="BH160" s="750">
        <f>INPUT!CY83</f>
        <v>-2.1</v>
      </c>
      <c r="BI160" s="752">
        <f>INPUT!CZ83</f>
        <v>23.529411764705866</v>
      </c>
      <c r="BJ160" s="750">
        <f>INPUT!DA83</f>
        <v>-3.3</v>
      </c>
      <c r="BK160" s="752" t="str">
        <f>INPUT!DB83</f>
        <v>NM</v>
      </c>
      <c r="BL160" s="750">
        <f>INPUT!DC83</f>
        <v>-2.1</v>
      </c>
      <c r="BM160" s="752">
        <f>INPUT!DD83</f>
        <v>-44.736842105263165</v>
      </c>
      <c r="BN160" s="750">
        <f>INPUT!DE83</f>
        <v>-1.9000000000000004</v>
      </c>
      <c r="BO160" s="752">
        <f>INPUT!DF83</f>
        <v>18.749999999999979</v>
      </c>
      <c r="BP160" s="750">
        <f>INPUT!DG83</f>
        <v>-2.2000000000000002</v>
      </c>
      <c r="BQ160" s="752">
        <f>INPUT!DH83</f>
        <v>4.7619047619047672</v>
      </c>
      <c r="BR160" s="750">
        <f>INPUT!DI83</f>
        <v>-2.0999999999999996</v>
      </c>
      <c r="BS160" s="752">
        <f>INPUT!DJ83</f>
        <v>-36.363636363636374</v>
      </c>
      <c r="BT160" s="750">
        <f>INPUT!DK83</f>
        <v>-3.7000000000000011</v>
      </c>
      <c r="BU160" s="752">
        <f>INPUT!DL83</f>
        <v>76.190476190476232</v>
      </c>
      <c r="BV160" s="750">
        <f>INPUT!DM83</f>
        <v>-1.5</v>
      </c>
      <c r="BW160" s="752">
        <f>INPUT!DN83</f>
        <v>-21.052631578947377</v>
      </c>
      <c r="BX160" s="750">
        <f>INPUT!DO83</f>
        <v>-2.2000000000000011</v>
      </c>
      <c r="BY160" s="752">
        <f>INPUT!DP83</f>
        <v>4.4408920985006262E-14</v>
      </c>
      <c r="BZ160" s="750">
        <f>INPUT!DQ83</f>
        <v>-1.4000000000000004</v>
      </c>
      <c r="CA160" s="752">
        <f>INPUT!DR83</f>
        <v>-33.3333333333333</v>
      </c>
      <c r="CB160" s="750">
        <f>INPUT!DS83</f>
        <v>-2</v>
      </c>
      <c r="CC160" s="752">
        <f>INPUT!DT83</f>
        <v>-45.945945945945965</v>
      </c>
      <c r="CD160" s="750">
        <f>INPUT!DU83</f>
        <v>-2.3000000000000007</v>
      </c>
      <c r="CE160" s="752">
        <f>INPUT!DV83</f>
        <v>53.333333333333385</v>
      </c>
      <c r="CF160" s="750">
        <f>INPUT!DW83</f>
        <v>-1.4999999999999991</v>
      </c>
      <c r="CG160" s="752">
        <f>INPUT!DX83</f>
        <v>-31.818181818181891</v>
      </c>
      <c r="CH160" s="750">
        <f>INPUT!DY83</f>
        <v>-1.6000000000000005</v>
      </c>
      <c r="CI160" s="752">
        <f>INPUT!DZ83</f>
        <v>14.285714285714302</v>
      </c>
      <c r="CJ160" s="750">
        <f>INPUT!EA83</f>
        <v>-1.1000000000000005</v>
      </c>
      <c r="CK160" s="752">
        <f>INPUT!EB83</f>
        <v>-44.999999999999972</v>
      </c>
      <c r="CL160" s="750">
        <f>INPUT!EC83</f>
        <v>-1.3000000000000007</v>
      </c>
      <c r="CM160" s="752">
        <f>INPUT!ED83</f>
        <v>-43.478260869565197</v>
      </c>
      <c r="CN160" s="750">
        <f>INPUT!EE83</f>
        <v>-0.80000000000000071</v>
      </c>
      <c r="CO160" s="752">
        <f>INPUT!EF83</f>
        <v>-46.666666666666586</v>
      </c>
      <c r="CP160" s="750">
        <f>INPUT!EG83</f>
        <v>-1.5999999999999996</v>
      </c>
      <c r="CQ160" s="752">
        <f>INPUT!EH83</f>
        <v>-5.5511151231257827E-14</v>
      </c>
      <c r="CR160" s="750">
        <f>INPUT!EI83</f>
        <v>-0.59999999999999964</v>
      </c>
      <c r="CS160" s="752">
        <f>INPUT!EJ83</f>
        <v>-45.454545454545517</v>
      </c>
      <c r="CT160" s="750">
        <f>INPUT!EK83</f>
        <v>-0.62647864945382292</v>
      </c>
      <c r="CU160" s="752" t="str">
        <f>INPUT!EL83</f>
        <v>NM</v>
      </c>
      <c r="CV160" s="750">
        <f>INPUT!EM83</f>
        <v>-0.62059185700099273</v>
      </c>
      <c r="CW160" s="752">
        <f>INPUT!EN83</f>
        <v>-22.426017874875981</v>
      </c>
      <c r="CX160" s="750">
        <f>INPUT!EO83</f>
        <v>-0.62700107879080624</v>
      </c>
      <c r="CY160" s="752" t="str">
        <f>INPUT!EP83</f>
        <v>NM</v>
      </c>
      <c r="CZ160" s="750">
        <f>INPUT!EQ83</f>
        <v>-0.6164520360360356</v>
      </c>
      <c r="DA160" s="752">
        <f>INPUT!ER83</f>
        <v>2.7420060060060036</v>
      </c>
      <c r="DB160" s="753"/>
      <c r="DC160" s="750">
        <f>INPUT!FB83</f>
        <v>0</v>
      </c>
      <c r="DD160" s="756">
        <f>INPUT!FC83</f>
        <v>0</v>
      </c>
      <c r="DE160" s="750">
        <f>INPUT!FD83</f>
        <v>-29.200000000000003</v>
      </c>
      <c r="DF160" s="756" t="str">
        <f>INPUT!FE83</f>
        <v>NA</v>
      </c>
      <c r="DG160" s="750">
        <f>INPUT!FF83</f>
        <v>-8.0999999999999943</v>
      </c>
      <c r="DH160" s="756" t="str">
        <f>INPUT!FG83</f>
        <v>NM</v>
      </c>
      <c r="DI160" s="750">
        <f>INPUT!FH83</f>
        <v>20</v>
      </c>
      <c r="DJ160" s="756" t="str">
        <f>INPUT!FI83</f>
        <v>NM</v>
      </c>
      <c r="DK160" s="750">
        <f>INPUT!FJ83</f>
        <v>30.3</v>
      </c>
      <c r="DL160" s="752">
        <f>INPUT!FK83</f>
        <v>51.500000000000014</v>
      </c>
      <c r="DM160" s="750">
        <f>INPUT!FL83</f>
        <v>27.3</v>
      </c>
      <c r="DN160" s="752">
        <f>INPUT!FM83</f>
        <v>-9.9009900990098991</v>
      </c>
      <c r="DO160" s="750">
        <f>INPUT!FN83</f>
        <v>3.3000000000000025</v>
      </c>
      <c r="DP160" s="752" t="str">
        <f>INPUT!FO83</f>
        <v>NM</v>
      </c>
      <c r="DQ160" s="750">
        <f>INPUT!FP83</f>
        <v>14.7</v>
      </c>
      <c r="DR160" s="752" t="str">
        <f>INPUT!FQ83</f>
        <v>NM</v>
      </c>
      <c r="DS160" s="750">
        <f>INPUT!FR83</f>
        <v>-1.0999999999999979</v>
      </c>
      <c r="DT160" s="752" t="str">
        <f>INPUT!FS83</f>
        <v>NM</v>
      </c>
      <c r="DU160" s="750">
        <f>INPUT!FT83</f>
        <v>-1.2999999999999998</v>
      </c>
      <c r="DV160" s="752">
        <f>INPUT!FU83</f>
        <v>18.181818181818386</v>
      </c>
      <c r="DW160" s="750">
        <f>INPUT!FV83</f>
        <v>-4.3</v>
      </c>
      <c r="DX160" s="752" t="str">
        <f>INPUT!FW83</f>
        <v>NM</v>
      </c>
      <c r="DY160" s="750">
        <f>INPUT!FX83</f>
        <v>-8.8000000000000007</v>
      </c>
      <c r="DZ160" s="752" t="str">
        <f>INPUT!FY83</f>
        <v>NM</v>
      </c>
      <c r="EA160" s="750">
        <f>INPUT!FZ83</f>
        <v>-9.1</v>
      </c>
      <c r="EB160" s="752">
        <f>INPUT!GA83</f>
        <v>3.409090909090895</v>
      </c>
      <c r="EC160" s="750">
        <f>INPUT!GB83</f>
        <v>-9.9000000000000021</v>
      </c>
      <c r="ED160" s="752">
        <f>INPUT!GC83</f>
        <v>8.7912087912088275</v>
      </c>
      <c r="EE160" s="750">
        <f>INPUT!GD83</f>
        <v>-7.1000000000000014</v>
      </c>
      <c r="EF160" s="752">
        <f>INPUT!GE83</f>
        <v>-28.282828282828287</v>
      </c>
      <c r="EG160" s="750">
        <f>INPUT!GF83</f>
        <v>-6.5000000000000009</v>
      </c>
      <c r="EH160" s="752">
        <f>INPUT!GG83</f>
        <v>-8.4507042253521227</v>
      </c>
      <c r="EI160" s="750">
        <f>INPUT!GH83</f>
        <v>-4.3000000000000007</v>
      </c>
      <c r="EJ160" s="752">
        <f>INPUT!GI83</f>
        <v>-33.846153846153847</v>
      </c>
      <c r="EK160" s="750">
        <f>INPUT!GJ83</f>
        <v>-2.4905236212816577</v>
      </c>
      <c r="EL160" s="752">
        <f>INPUT!GK83</f>
        <v>-42.080846016705642</v>
      </c>
      <c r="EM160" s="750">
        <f>INPUT!GL83</f>
        <v>-2.5527867118136993</v>
      </c>
      <c r="EN160" s="752">
        <f>INPUT!GM83</f>
        <v>2.5000000000000133</v>
      </c>
      <c r="EO160" s="750">
        <f>INPUT!GN83</f>
        <v>-2.6166063796090415</v>
      </c>
      <c r="EP160" s="752">
        <f>INPUT!GO83</f>
        <v>2.4999999999999911</v>
      </c>
      <c r="EQ160" s="750">
        <f>INPUT!GP83</f>
        <v>-2.6820215390992677</v>
      </c>
      <c r="ER160" s="752">
        <f>INPUT!GQ83</f>
        <v>2.5000000000000133</v>
      </c>
      <c r="ES160" s="750">
        <f>INPUT!GR83</f>
        <v>-2.749072077576749</v>
      </c>
      <c r="ET160" s="752">
        <f>INPUT!GS83</f>
        <v>2.4999999999999911</v>
      </c>
      <c r="EU160" s="756">
        <f>INPUT!GT83</f>
        <v>-8.5584594386410533</v>
      </c>
      <c r="EV160" s="710"/>
    </row>
    <row r="161" spans="1:152" ht="12.75" hidden="1" customHeight="1" outlineLevel="1" x14ac:dyDescent="0.2">
      <c r="A161" s="754" t="str">
        <f>INPUT!B84</f>
        <v>Operating Expenses</v>
      </c>
      <c r="B161" s="750">
        <f>INPUT!AS84</f>
        <v>45.6</v>
      </c>
      <c r="C161" s="756">
        <f>INPUT!AT84</f>
        <v>-2.771855010660973</v>
      </c>
      <c r="D161" s="750">
        <f>INPUT!AU84</f>
        <v>46.3</v>
      </c>
      <c r="E161" s="756">
        <f>INPUT!AV84</f>
        <v>-0.64377682403434777</v>
      </c>
      <c r="F161" s="750">
        <f>INPUT!AW84</f>
        <v>43.4</v>
      </c>
      <c r="G161" s="756">
        <f>INPUT!AX84</f>
        <v>-7.4626865671641784</v>
      </c>
      <c r="H161" s="750">
        <f>INPUT!AY84</f>
        <v>43</v>
      </c>
      <c r="I161" s="752">
        <f>INPUT!AZ84</f>
        <v>-10.229645093945717</v>
      </c>
      <c r="J161" s="750">
        <f>INPUT!BA84</f>
        <v>40.6</v>
      </c>
      <c r="K161" s="752">
        <f>INPUT!BB84</f>
        <v>-10.964912280701755</v>
      </c>
      <c r="L161" s="750">
        <f>INPUT!BC84</f>
        <v>39.9</v>
      </c>
      <c r="M161" s="752">
        <f>INPUT!BD84</f>
        <v>-13.822894168466515</v>
      </c>
      <c r="N161" s="750">
        <f>INPUT!BE84</f>
        <v>40.9</v>
      </c>
      <c r="O161" s="752">
        <f>INPUT!BF84</f>
        <v>-5.7603686635944733</v>
      </c>
      <c r="P161" s="750">
        <f>INPUT!BG84</f>
        <v>43.5</v>
      </c>
      <c r="Q161" s="752">
        <f>INPUT!BH84</f>
        <v>1.1627906976744207</v>
      </c>
      <c r="R161" s="750">
        <f>INPUT!BI84</f>
        <v>43.8</v>
      </c>
      <c r="S161" s="752">
        <f>INPUT!BJ84</f>
        <v>7.8817733990147687</v>
      </c>
      <c r="T161" s="750">
        <f>INPUT!BK84</f>
        <v>45.7</v>
      </c>
      <c r="U161" s="752">
        <f>INPUT!BL84</f>
        <v>14.536340852130337</v>
      </c>
      <c r="V161" s="750">
        <f>INPUT!BM84</f>
        <v>44.5</v>
      </c>
      <c r="W161" s="752">
        <f>INPUT!BN84</f>
        <v>8.8019559902200442</v>
      </c>
      <c r="X161" s="750">
        <f>INPUT!BO84</f>
        <v>46.1</v>
      </c>
      <c r="Y161" s="752">
        <f>INPUT!BP84</f>
        <v>5.9770114942528707</v>
      </c>
      <c r="Z161" s="750">
        <f>INPUT!BQ84</f>
        <v>49</v>
      </c>
      <c r="AA161" s="752">
        <f>INPUT!BR84</f>
        <v>11.872146118721471</v>
      </c>
      <c r="AB161" s="750">
        <f>INPUT!BS84</f>
        <v>49</v>
      </c>
      <c r="AC161" s="752">
        <f>INPUT!BT84</f>
        <v>7.2210065645514243</v>
      </c>
      <c r="AD161" s="750">
        <f>INPUT!BU84</f>
        <v>48.6</v>
      </c>
      <c r="AE161" s="752">
        <f>INPUT!BV84</f>
        <v>9.2134831460674249</v>
      </c>
      <c r="AF161" s="750">
        <f>INPUT!BW84</f>
        <v>51</v>
      </c>
      <c r="AG161" s="752">
        <f>INPUT!BX84</f>
        <v>10.629067245119295</v>
      </c>
      <c r="AH161" s="750">
        <f>INPUT!BY84</f>
        <v>49.3</v>
      </c>
      <c r="AI161" s="752">
        <f>INPUT!BZ84</f>
        <v>0.61224489795916881</v>
      </c>
      <c r="AJ161" s="750">
        <f>INPUT!CA84</f>
        <v>48.9</v>
      </c>
      <c r="AK161" s="752">
        <f>INPUT!CB84</f>
        <v>-0.20408163265306367</v>
      </c>
      <c r="AL161" s="750">
        <f>INPUT!CC84</f>
        <v>49.1</v>
      </c>
      <c r="AM161" s="752">
        <f>INPUT!CD84</f>
        <v>1.0288065843621297</v>
      </c>
      <c r="AN161" s="750">
        <f>INPUT!CE84</f>
        <v>49.2</v>
      </c>
      <c r="AO161" s="752">
        <f>INPUT!CF84</f>
        <v>-3.5294117647058809</v>
      </c>
      <c r="AP161" s="750">
        <f>INPUT!CG84</f>
        <v>51</v>
      </c>
      <c r="AQ161" s="752">
        <f>INPUT!CH84</f>
        <v>3.4482758620689724</v>
      </c>
      <c r="AR161" s="750">
        <f>INPUT!CI84</f>
        <v>49.6</v>
      </c>
      <c r="AS161" s="752">
        <f>INPUT!CJ84</f>
        <v>1.4314928425357865</v>
      </c>
      <c r="AT161" s="750">
        <f>INPUT!CK84</f>
        <v>49.6</v>
      </c>
      <c r="AU161" s="752">
        <f>INPUT!CL84</f>
        <v>1.0183299389002087</v>
      </c>
      <c r="AV161" s="750">
        <f>INPUT!CM84</f>
        <v>49.1</v>
      </c>
      <c r="AW161" s="752">
        <f>INPUT!CN84</f>
        <v>-0.20325203252032908</v>
      </c>
      <c r="AX161" s="750">
        <f>INPUT!CO84</f>
        <v>48.7</v>
      </c>
      <c r="AY161" s="752">
        <f>INPUT!CP84</f>
        <v>-4.5098039215686221</v>
      </c>
      <c r="AZ161" s="750">
        <f>INPUT!CQ84</f>
        <v>47.8</v>
      </c>
      <c r="BA161" s="752">
        <f>INPUT!CR84</f>
        <v>-3.629032258064524</v>
      </c>
      <c r="BB161" s="750">
        <f>INPUT!CS84</f>
        <v>46.4</v>
      </c>
      <c r="BC161" s="752">
        <f>INPUT!CT84</f>
        <v>-6.4516129032258114</v>
      </c>
      <c r="BD161" s="750">
        <f>INPUT!CU84</f>
        <v>50.2</v>
      </c>
      <c r="BE161" s="752">
        <f>INPUT!CV84</f>
        <v>2.2403258655804503</v>
      </c>
      <c r="BF161" s="750">
        <f>INPUT!CW84</f>
        <v>49.3</v>
      </c>
      <c r="BG161" s="752">
        <f>INPUT!CX84</f>
        <v>1.2320328542094305</v>
      </c>
      <c r="BH161" s="750">
        <f>INPUT!CY84</f>
        <v>49.6</v>
      </c>
      <c r="BI161" s="752">
        <f>INPUT!CZ84</f>
        <v>3.7656903765690419</v>
      </c>
      <c r="BJ161" s="750">
        <f>INPUT!DA84</f>
        <v>49.9</v>
      </c>
      <c r="BK161" s="752">
        <f>INPUT!DB84</f>
        <v>7.5431034482758674</v>
      </c>
      <c r="BL161" s="750">
        <f>INPUT!DC84</f>
        <v>49.4</v>
      </c>
      <c r="BM161" s="752">
        <f>INPUT!DD84</f>
        <v>-1.5936254980079778</v>
      </c>
      <c r="BN161" s="750">
        <f>INPUT!DE84</f>
        <v>50.4</v>
      </c>
      <c r="BO161" s="752">
        <f>INPUT!DF84</f>
        <v>2.2312373225152227</v>
      </c>
      <c r="BP161" s="750">
        <f>INPUT!DG84</f>
        <v>50</v>
      </c>
      <c r="BQ161" s="752">
        <f>INPUT!DH84</f>
        <v>0.80645161290322509</v>
      </c>
      <c r="BR161" s="750">
        <f>INPUT!DI84</f>
        <v>50.8</v>
      </c>
      <c r="BS161" s="752">
        <f>INPUT!DJ84</f>
        <v>1.8036072144288484</v>
      </c>
      <c r="BT161" s="750">
        <f>INPUT!DK84</f>
        <v>54</v>
      </c>
      <c r="BU161" s="752">
        <f>INPUT!DL84</f>
        <v>9.3117408906882702</v>
      </c>
      <c r="BV161" s="750">
        <f>INPUT!DM84</f>
        <v>53.9</v>
      </c>
      <c r="BW161" s="752">
        <f>INPUT!DN84</f>
        <v>6.944444444444442</v>
      </c>
      <c r="BX161" s="750">
        <f>INPUT!DO84</f>
        <v>53.4</v>
      </c>
      <c r="BY161" s="752">
        <f>INPUT!DP84</f>
        <v>6.800000000000006</v>
      </c>
      <c r="BZ161" s="750">
        <f>INPUT!DQ84</f>
        <v>53.2</v>
      </c>
      <c r="CA161" s="752">
        <f>INPUT!DR84</f>
        <v>4.7244094488189115</v>
      </c>
      <c r="CB161" s="750">
        <f>INPUT!DS84</f>
        <v>55.2</v>
      </c>
      <c r="CC161" s="752">
        <f>INPUT!DT84</f>
        <v>2.2222222222222365</v>
      </c>
      <c r="CD161" s="750">
        <f>INPUT!DU84</f>
        <v>54.3</v>
      </c>
      <c r="CE161" s="752">
        <f>INPUT!DV84</f>
        <v>0.74211502782930427</v>
      </c>
      <c r="CF161" s="750">
        <f>INPUT!DW84</f>
        <v>52.9</v>
      </c>
      <c r="CG161" s="752">
        <f>INPUT!DX84</f>
        <v>-0.93632958801498356</v>
      </c>
      <c r="CH161" s="750">
        <f>INPUT!DY84</f>
        <v>52.4</v>
      </c>
      <c r="CI161" s="752">
        <f>INPUT!DZ84</f>
        <v>-1.5037593984962516</v>
      </c>
      <c r="CJ161" s="750">
        <f>INPUT!EA84</f>
        <v>53.9</v>
      </c>
      <c r="CK161" s="752">
        <f>INPUT!EB84</f>
        <v>-2.3550724637681264</v>
      </c>
      <c r="CL161" s="750">
        <f>INPUT!EC84</f>
        <v>55</v>
      </c>
      <c r="CM161" s="752">
        <f>INPUT!ED84</f>
        <v>1.2891344383057168</v>
      </c>
      <c r="CN161" s="750">
        <f>INPUT!EE84</f>
        <v>54.6</v>
      </c>
      <c r="CO161" s="752">
        <f>INPUT!EF84</f>
        <v>3.2136105860113506</v>
      </c>
      <c r="CP161" s="750">
        <f>INPUT!EG84</f>
        <v>53.5</v>
      </c>
      <c r="CQ161" s="752">
        <f>INPUT!EH84</f>
        <v>2.0992366412213803</v>
      </c>
      <c r="CR161" s="750">
        <f>INPUT!EI84</f>
        <v>54.3</v>
      </c>
      <c r="CS161" s="752">
        <f>INPUT!EJ84</f>
        <v>0.74211502782930427</v>
      </c>
      <c r="CT161" s="750">
        <f>INPUT!EK84</f>
        <v>56.550704777365475</v>
      </c>
      <c r="CU161" s="752">
        <f>INPUT!EL84</f>
        <v>2.8194632315735824</v>
      </c>
      <c r="CV161" s="750">
        <f>INPUT!EM84</f>
        <v>56.11344873840445</v>
      </c>
      <c r="CW161" s="752">
        <f>INPUT!EN84</f>
        <v>2.7718841362718738</v>
      </c>
      <c r="CX161" s="750">
        <f>INPUT!EO84</f>
        <v>57.073512833766223</v>
      </c>
      <c r="CY161" s="752">
        <f>INPUT!EP84</f>
        <v>6.6794632406845356</v>
      </c>
      <c r="CZ161" s="750">
        <f>INPUT!EQ84</f>
        <v>56.542731981907238</v>
      </c>
      <c r="DA161" s="752">
        <f>INPUT!ER84</f>
        <v>4.1302614768089052</v>
      </c>
      <c r="DB161" s="753"/>
      <c r="DC161" s="750">
        <f>INPUT!FB84</f>
        <v>0</v>
      </c>
      <c r="DD161" s="756">
        <f>INPUT!FC84</f>
        <v>0</v>
      </c>
      <c r="DE161" s="750">
        <f>INPUT!FD84</f>
        <v>202.6</v>
      </c>
      <c r="DF161" s="756" t="str">
        <f>INPUT!FE84</f>
        <v>NA</v>
      </c>
      <c r="DG161" s="750">
        <f>INPUT!FF84</f>
        <v>200.1</v>
      </c>
      <c r="DH161" s="756">
        <f>INPUT!FG84</f>
        <v>-1.2339585389930852</v>
      </c>
      <c r="DI161" s="750">
        <f>INPUT!FH84</f>
        <v>186.8</v>
      </c>
      <c r="DJ161" s="756">
        <f>INPUT!FI84</f>
        <v>-6.6466766616691597</v>
      </c>
      <c r="DK161" s="750">
        <f>INPUT!FJ84</f>
        <v>188.3</v>
      </c>
      <c r="DL161" s="752">
        <f>INPUT!FK84</f>
        <v>0.80299785867237183</v>
      </c>
      <c r="DM161" s="750">
        <f>INPUT!FL84</f>
        <v>178.3</v>
      </c>
      <c r="DN161" s="752">
        <f>INPUT!FM84</f>
        <v>-5.3106744556558727</v>
      </c>
      <c r="DO161" s="750">
        <f>INPUT!FN84</f>
        <v>164.9</v>
      </c>
      <c r="DP161" s="752">
        <f>INPUT!FO84</f>
        <v>-7.5154234436343277</v>
      </c>
      <c r="DQ161" s="750">
        <f>INPUT!FP84</f>
        <v>180.1</v>
      </c>
      <c r="DR161" s="752">
        <f>INPUT!FQ84</f>
        <v>9.2177077016373445</v>
      </c>
      <c r="DS161" s="750">
        <f>INPUT!FR84</f>
        <v>197.6</v>
      </c>
      <c r="DT161" s="752">
        <f>INPUT!FS84</f>
        <v>9.7168239866740613</v>
      </c>
      <c r="DU161" s="750">
        <f>INPUT!FT84</f>
        <v>196.5</v>
      </c>
      <c r="DV161" s="752">
        <f>INPUT!FU84</f>
        <v>-0.5566801619433126</v>
      </c>
      <c r="DW161" s="750">
        <f>INPUT!FV84</f>
        <v>199.29999999999998</v>
      </c>
      <c r="DX161" s="752">
        <f>INPUT!FW84</f>
        <v>1.4249363867684384</v>
      </c>
      <c r="DY161" s="750">
        <f>INPUT!FX84</f>
        <v>193.10000000000002</v>
      </c>
      <c r="DZ161" s="752">
        <f>INPUT!FY84</f>
        <v>-3.1108881083793061</v>
      </c>
      <c r="EA161" s="750">
        <f>INPUT!FZ84</f>
        <v>198.20000000000002</v>
      </c>
      <c r="EB161" s="752">
        <f>INPUT!GA84</f>
        <v>2.641118591403413</v>
      </c>
      <c r="EC161" s="750">
        <f>INPUT!GB84</f>
        <v>205.2</v>
      </c>
      <c r="ED161" s="752">
        <f>INPUT!GC84</f>
        <v>3.5317860746720386</v>
      </c>
      <c r="EE161" s="750">
        <f>INPUT!GD84</f>
        <v>215.7</v>
      </c>
      <c r="EF161" s="752">
        <f>INPUT!GE84</f>
        <v>5.1169590643274754</v>
      </c>
      <c r="EG161" s="750">
        <f>INPUT!GF84</f>
        <v>213.5</v>
      </c>
      <c r="EH161" s="752">
        <f>INPUT!GG84</f>
        <v>-1.0199350950394037</v>
      </c>
      <c r="EI161" s="750">
        <f>INPUT!GH84</f>
        <v>217.39999999999998</v>
      </c>
      <c r="EJ161" s="752">
        <f>INPUT!GI84</f>
        <v>1.8266978922716559</v>
      </c>
      <c r="EK161" s="750">
        <f>INPUT!GJ84</f>
        <v>226.28039833144339</v>
      </c>
      <c r="EL161" s="752">
        <f>INPUT!GK84</f>
        <v>4.084819839670395</v>
      </c>
      <c r="EM161" s="750">
        <f>INPUT!GL84</f>
        <v>232.15899320718717</v>
      </c>
      <c r="EN161" s="752">
        <f>INPUT!GM84</f>
        <v>2.5979249281385508</v>
      </c>
      <c r="EO161" s="750">
        <f>INPUT!GN84</f>
        <v>238.19341635152287</v>
      </c>
      <c r="EP161" s="752">
        <f>INPUT!GO84</f>
        <v>2.5992631433193525</v>
      </c>
      <c r="EQ161" s="750">
        <f>INPUT!GP84</f>
        <v>244.38791800703319</v>
      </c>
      <c r="ER161" s="752">
        <f>INPUT!GQ84</f>
        <v>2.6006183337865973</v>
      </c>
      <c r="ES161" s="750">
        <f>INPUT!GR84</f>
        <v>250.74686885380018</v>
      </c>
      <c r="ET161" s="752">
        <f>INPUT!GS84</f>
        <v>2.6019906788452563</v>
      </c>
      <c r="EU161" s="756">
        <f>INPUT!GT84</f>
        <v>2.8952189797552874</v>
      </c>
      <c r="EV161" s="710"/>
    </row>
    <row r="162" spans="1:152" ht="12.75" hidden="1" customHeight="1" outlineLevel="1" x14ac:dyDescent="0.2">
      <c r="A162" s="754" t="str">
        <f>INPUT!B85</f>
        <v xml:space="preserve"> Total Benefits and Expenses</v>
      </c>
      <c r="B162" s="750">
        <f>INPUT!AS85</f>
        <v>350.00000000000006</v>
      </c>
      <c r="C162" s="756">
        <f>INPUT!AT85</f>
        <v>-1.1299435028248372</v>
      </c>
      <c r="D162" s="750">
        <f>INPUT!AU85</f>
        <v>351.8</v>
      </c>
      <c r="E162" s="756">
        <f>INPUT!AV85</f>
        <v>-2.8445180889257182</v>
      </c>
      <c r="F162" s="750">
        <f>INPUT!AW85</f>
        <v>323.10000000000002</v>
      </c>
      <c r="G162" s="756">
        <f>INPUT!AX85</f>
        <v>-8.1058020477815518</v>
      </c>
      <c r="H162" s="750">
        <f>INPUT!AY85</f>
        <v>338.09999999999997</v>
      </c>
      <c r="I162" s="752">
        <f>INPUT!AZ85</f>
        <v>-6.2396006655574094</v>
      </c>
      <c r="J162" s="750">
        <f>INPUT!BA85</f>
        <v>298.8</v>
      </c>
      <c r="K162" s="752">
        <f>INPUT!BB85</f>
        <v>-14.628571428571435</v>
      </c>
      <c r="L162" s="750">
        <f>INPUT!BC85</f>
        <v>293.39999999999998</v>
      </c>
      <c r="M162" s="752">
        <f>INPUT!BD85</f>
        <v>-16.600341102899385</v>
      </c>
      <c r="N162" s="750">
        <f>INPUT!BE85</f>
        <v>286.99999999999994</v>
      </c>
      <c r="O162" s="752">
        <f>INPUT!BF85</f>
        <v>-11.173011451563008</v>
      </c>
      <c r="P162" s="750">
        <f>INPUT!BG85</f>
        <v>279.3</v>
      </c>
      <c r="Q162" s="752">
        <f>INPUT!BH85</f>
        <v>-17.391304347826075</v>
      </c>
      <c r="R162" s="750">
        <f>INPUT!BI85</f>
        <v>268.8</v>
      </c>
      <c r="S162" s="752">
        <f>INPUT!BJ85</f>
        <v>-10.040160642570283</v>
      </c>
      <c r="T162" s="750">
        <f>INPUT!BK85</f>
        <v>278.90000000000003</v>
      </c>
      <c r="U162" s="752">
        <f>INPUT!BL85</f>
        <v>-4.9420586230402019</v>
      </c>
      <c r="V162" s="750">
        <f>INPUT!BM85</f>
        <v>280.79999999999995</v>
      </c>
      <c r="W162" s="752">
        <f>INPUT!BN85</f>
        <v>-2.1602787456445949</v>
      </c>
      <c r="X162" s="750">
        <f>INPUT!BO85</f>
        <v>279.3</v>
      </c>
      <c r="Y162" s="752">
        <f>INPUT!BP85</f>
        <v>0</v>
      </c>
      <c r="Z162" s="750">
        <f>INPUT!BQ85</f>
        <v>271.2</v>
      </c>
      <c r="AA162" s="752">
        <f>INPUT!BR85</f>
        <v>0.89285714285713969</v>
      </c>
      <c r="AB162" s="750">
        <f>INPUT!BS85</f>
        <v>275.79999999999995</v>
      </c>
      <c r="AC162" s="752">
        <f>INPUT!BT85</f>
        <v>-1.1115095016135057</v>
      </c>
      <c r="AD162" s="750">
        <f>INPUT!BU85</f>
        <v>275.90000000000003</v>
      </c>
      <c r="AE162" s="752">
        <f>INPUT!BV85</f>
        <v>-1.7450142450142203</v>
      </c>
      <c r="AF162" s="750">
        <f>INPUT!BW85</f>
        <v>273.39999999999998</v>
      </c>
      <c r="AG162" s="752">
        <f>INPUT!BX85</f>
        <v>-2.1124239169352022</v>
      </c>
      <c r="AH162" s="750">
        <f>INPUT!BY85</f>
        <v>278</v>
      </c>
      <c r="AI162" s="752">
        <f>INPUT!BZ85</f>
        <v>2.5073746312684442</v>
      </c>
      <c r="AJ162" s="750">
        <f>INPUT!CA85</f>
        <v>279.39999999999998</v>
      </c>
      <c r="AK162" s="752">
        <f>INPUT!CB85</f>
        <v>1.3052936910805002</v>
      </c>
      <c r="AL162" s="750">
        <f>INPUT!CC85</f>
        <v>282</v>
      </c>
      <c r="AM162" s="752">
        <f>INPUT!CD85</f>
        <v>2.2109459949256838</v>
      </c>
      <c r="AN162" s="750">
        <f>INPUT!CE85</f>
        <v>285</v>
      </c>
      <c r="AO162" s="752">
        <f>INPUT!CF85</f>
        <v>4.24286759326995</v>
      </c>
      <c r="AP162" s="750">
        <f>INPUT!CG85</f>
        <v>283.60000000000002</v>
      </c>
      <c r="AQ162" s="752">
        <f>INPUT!CH85</f>
        <v>2.0143884892086517</v>
      </c>
      <c r="AR162" s="750">
        <f>INPUT!CI85</f>
        <v>283.5</v>
      </c>
      <c r="AS162" s="752">
        <f>INPUT!CJ85</f>
        <v>1.4674302075877055</v>
      </c>
      <c r="AT162" s="750">
        <f>INPUT!CK85</f>
        <v>287.2</v>
      </c>
      <c r="AU162" s="752">
        <f>INPUT!CL85</f>
        <v>1.8439716312056653</v>
      </c>
      <c r="AV162" s="750">
        <f>INPUT!CM85</f>
        <v>290.8</v>
      </c>
      <c r="AW162" s="752">
        <f>INPUT!CN85</f>
        <v>2.0350877192982564</v>
      </c>
      <c r="AX162" s="750">
        <f>INPUT!CO85</f>
        <v>304.89999999999998</v>
      </c>
      <c r="AY162" s="752">
        <f>INPUT!CP85</f>
        <v>7.5105782792665554</v>
      </c>
      <c r="AZ162" s="750">
        <f>INPUT!CQ85</f>
        <v>304.2</v>
      </c>
      <c r="BA162" s="752">
        <f>INPUT!CR85</f>
        <v>7.3015873015872979</v>
      </c>
      <c r="BB162" s="750">
        <f>INPUT!CS85</f>
        <v>306.89999999999998</v>
      </c>
      <c r="BC162" s="752">
        <f>INPUT!CT85</f>
        <v>6.8593314763231161</v>
      </c>
      <c r="BD162" s="750">
        <f>INPUT!CU85</f>
        <v>309.29999999999995</v>
      </c>
      <c r="BE162" s="752">
        <f>INPUT!CV85</f>
        <v>6.361760660247584</v>
      </c>
      <c r="BF162" s="750">
        <f>INPUT!CW85</f>
        <v>311.39999999999998</v>
      </c>
      <c r="BG162" s="752">
        <f>INPUT!CX85</f>
        <v>2.1318465070514936</v>
      </c>
      <c r="BH162" s="750">
        <f>INPUT!CY85</f>
        <v>312</v>
      </c>
      <c r="BI162" s="752">
        <f>INPUT!CZ85</f>
        <v>2.5641025641025772</v>
      </c>
      <c r="BJ162" s="750">
        <f>INPUT!DA85</f>
        <v>314.29999999999995</v>
      </c>
      <c r="BK162" s="752">
        <f>INPUT!DB85</f>
        <v>2.4112088628217565</v>
      </c>
      <c r="BL162" s="750">
        <f>INPUT!DC85</f>
        <v>270.2</v>
      </c>
      <c r="BM162" s="752">
        <f>INPUT!DD85</f>
        <v>-12.641448431943092</v>
      </c>
      <c r="BN162" s="750">
        <f>INPUT!DE85</f>
        <v>316.3</v>
      </c>
      <c r="BO162" s="752">
        <f>INPUT!DF85</f>
        <v>1.573538856775869</v>
      </c>
      <c r="BP162" s="750">
        <f>INPUT!DG85</f>
        <v>317.3</v>
      </c>
      <c r="BQ162" s="752">
        <f>INPUT!DH85</f>
        <v>1.6987179487179427</v>
      </c>
      <c r="BR162" s="750">
        <f>INPUT!DI85</f>
        <v>320.7</v>
      </c>
      <c r="BS162" s="752">
        <f>INPUT!DJ85</f>
        <v>2.0362710785873483</v>
      </c>
      <c r="BT162" s="750">
        <f>INPUT!DK85</f>
        <v>330.1</v>
      </c>
      <c r="BU162" s="752">
        <f>INPUT!DL85</f>
        <v>22.168763878608445</v>
      </c>
      <c r="BV162" s="750">
        <f>INPUT!DM85</f>
        <v>343.5</v>
      </c>
      <c r="BW162" s="752">
        <f>INPUT!DN85</f>
        <v>8.5994309200126509</v>
      </c>
      <c r="BX162" s="750">
        <f>INPUT!DO85</f>
        <v>351.29999999999995</v>
      </c>
      <c r="BY162" s="752">
        <f>INPUT!DP85</f>
        <v>10.715411282697751</v>
      </c>
      <c r="BZ162" s="750">
        <f>INPUT!DQ85</f>
        <v>343.6</v>
      </c>
      <c r="CA162" s="752">
        <f>INPUT!DR85</f>
        <v>7.140629872154669</v>
      </c>
      <c r="CB162" s="750">
        <f>INPUT!DS85</f>
        <v>353</v>
      </c>
      <c r="CC162" s="752">
        <f>INPUT!DT85</f>
        <v>6.9372917297788383</v>
      </c>
      <c r="CD162" s="750">
        <f>INPUT!DU85</f>
        <v>360.2</v>
      </c>
      <c r="CE162" s="752">
        <f>INPUT!DV85</f>
        <v>4.8617176128093131</v>
      </c>
      <c r="CF162" s="750">
        <f>INPUT!DW85</f>
        <v>356.79999999999995</v>
      </c>
      <c r="CG162" s="752">
        <f>INPUT!DX85</f>
        <v>1.5656134358098539</v>
      </c>
      <c r="CH162" s="750">
        <f>INPUT!DY85</f>
        <v>364.49999999999994</v>
      </c>
      <c r="CI162" s="752">
        <f>INPUT!DZ85</f>
        <v>6.082654249126862</v>
      </c>
      <c r="CJ162" s="750">
        <f>INPUT!EA85</f>
        <v>364.9</v>
      </c>
      <c r="CK162" s="752">
        <f>INPUT!EB85</f>
        <v>3.3711048158640233</v>
      </c>
      <c r="CL162" s="750">
        <f>INPUT!EC85</f>
        <v>377</v>
      </c>
      <c r="CM162" s="752">
        <f>INPUT!ED85</f>
        <v>4.6640755136035494</v>
      </c>
      <c r="CN162" s="750">
        <f>INPUT!EE85</f>
        <v>368.70000000000005</v>
      </c>
      <c r="CO162" s="752">
        <f>INPUT!EF85</f>
        <v>3.335201793721998</v>
      </c>
      <c r="CP162" s="750">
        <f>INPUT!EG85</f>
        <v>375.8</v>
      </c>
      <c r="CQ162" s="752">
        <f>INPUT!EH85</f>
        <v>3.1001371742112704</v>
      </c>
      <c r="CR162" s="750">
        <f>INPUT!EI85</f>
        <v>392.7</v>
      </c>
      <c r="CS162" s="752">
        <f>INPUT!EJ85</f>
        <v>7.6185256234584831</v>
      </c>
      <c r="CT162" s="750">
        <f>INPUT!EK85</f>
        <v>389.72332717259877</v>
      </c>
      <c r="CU162" s="752">
        <f>INPUT!EL85</f>
        <v>3.374887844190666</v>
      </c>
      <c r="CV162" s="750">
        <f>INPUT!EM85</f>
        <v>386.15536894495852</v>
      </c>
      <c r="CW162" s="752">
        <f>INPUT!EN85</f>
        <v>4.7343013140652257</v>
      </c>
      <c r="CX162" s="750">
        <f>INPUT!EO85</f>
        <v>392.34503962786522</v>
      </c>
      <c r="CY162" s="752">
        <f>INPUT!EP85</f>
        <v>4.4026183150253306</v>
      </c>
      <c r="CZ162" s="750">
        <f>INPUT!EQ85</f>
        <v>387.98579994587124</v>
      </c>
      <c r="DA162" s="752">
        <f>INPUT!ER85</f>
        <v>-1.2004583789479883</v>
      </c>
      <c r="DB162" s="753"/>
      <c r="DC162" s="750">
        <f>INPUT!FB85</f>
        <v>0</v>
      </c>
      <c r="DD162" s="756">
        <f>INPUT!FC85</f>
        <v>0</v>
      </c>
      <c r="DE162" s="750">
        <f>INPUT!FD85</f>
        <v>1537.2</v>
      </c>
      <c r="DF162" s="756" t="str">
        <f>INPUT!FE85</f>
        <v>NA</v>
      </c>
      <c r="DG162" s="750">
        <f>INPUT!FF85</f>
        <v>1585.2</v>
      </c>
      <c r="DH162" s="756">
        <f>INPUT!FG85</f>
        <v>3.1225604996096834</v>
      </c>
      <c r="DI162" s="750">
        <f>INPUT!FH85</f>
        <v>1557.3</v>
      </c>
      <c r="DJ162" s="756">
        <f>INPUT!FI85</f>
        <v>-1.7600302800908407</v>
      </c>
      <c r="DK162" s="750">
        <f>INPUT!FJ85</f>
        <v>1428.3</v>
      </c>
      <c r="DL162" s="752">
        <f>INPUT!FK85</f>
        <v>-8.2835677133500258</v>
      </c>
      <c r="DM162" s="750">
        <f>INPUT!FL85</f>
        <v>1362.9999999999998</v>
      </c>
      <c r="DN162" s="752">
        <f>INPUT!FM85</f>
        <v>-4.5718686550444758</v>
      </c>
      <c r="DO162" s="750">
        <f>INPUT!FN85</f>
        <v>1158.5</v>
      </c>
      <c r="DP162" s="752">
        <f>INPUT!FO85</f>
        <v>-15.003668378576652</v>
      </c>
      <c r="DQ162" s="750">
        <f>INPUT!FP85</f>
        <v>1107.8</v>
      </c>
      <c r="DR162" s="752">
        <f>INPUT!FQ85</f>
        <v>-4.3763487268019041</v>
      </c>
      <c r="DS162" s="750">
        <f>INPUT!FR85</f>
        <v>1097.3999999999999</v>
      </c>
      <c r="DT162" s="752">
        <f>INPUT!FS85</f>
        <v>-0.93879761689836805</v>
      </c>
      <c r="DU162" s="750">
        <f>INPUT!FT85</f>
        <v>1124.4000000000001</v>
      </c>
      <c r="DV162" s="752">
        <f>INPUT!FU85</f>
        <v>2.4603608529251142</v>
      </c>
      <c r="DW162" s="750">
        <f>INPUT!FV85</f>
        <v>1145.0999999999999</v>
      </c>
      <c r="DX162" s="752">
        <f>INPUT!FW85</f>
        <v>1.8409818569903758</v>
      </c>
      <c r="DY162" s="750">
        <f>INPUT!FX85</f>
        <v>1225.3000000000002</v>
      </c>
      <c r="DZ162" s="752">
        <f>INPUT!FY85</f>
        <v>7.0037551305563106</v>
      </c>
      <c r="EA162" s="750">
        <f>INPUT!FZ85</f>
        <v>1207.9000000000001</v>
      </c>
      <c r="EB162" s="752">
        <f>INPUT!GA85</f>
        <v>-1.4200603933730571</v>
      </c>
      <c r="EC162" s="750">
        <f>INPUT!GB85</f>
        <v>1284.3999999999999</v>
      </c>
      <c r="ED162" s="752">
        <f>INPUT!GC85</f>
        <v>6.3333057372298773</v>
      </c>
      <c r="EE162" s="750">
        <f>INPUT!GD85</f>
        <v>1391.4</v>
      </c>
      <c r="EF162" s="752">
        <f>INPUT!GE85</f>
        <v>8.3307380878231196</v>
      </c>
      <c r="EG162" s="750">
        <f>INPUT!GF85</f>
        <v>1446.3999999999999</v>
      </c>
      <c r="EH162" s="752">
        <f>INPUT!GG85</f>
        <v>3.9528532413396489</v>
      </c>
      <c r="EI162" s="750">
        <f>INPUT!GH85</f>
        <v>1514.1999999999998</v>
      </c>
      <c r="EJ162" s="752">
        <f>INPUT!GI85</f>
        <v>4.6875</v>
      </c>
      <c r="EK162" s="750">
        <f>INPUT!GJ85</f>
        <v>1556.2095356912937</v>
      </c>
      <c r="EL162" s="752">
        <f>INPUT!GK85</f>
        <v>2.7743716610285185</v>
      </c>
      <c r="EM162" s="750">
        <f>INPUT!GL85</f>
        <v>1595.3363590010338</v>
      </c>
      <c r="EN162" s="752">
        <f>INPUT!GM85</f>
        <v>2.5142387584946357</v>
      </c>
      <c r="EO162" s="750">
        <f>INPUT!GN85</f>
        <v>1635.4502162902156</v>
      </c>
      <c r="EP162" s="752">
        <f>INPUT!GO85</f>
        <v>2.5144451239298649</v>
      </c>
      <c r="EQ162" s="750">
        <f>INPUT!GP85</f>
        <v>1674.7673924504434</v>
      </c>
      <c r="ER162" s="752">
        <f>INPUT!GQ85</f>
        <v>2.4040582690076029</v>
      </c>
      <c r="ES162" s="750">
        <f>INPUT!GR85</f>
        <v>1716.8858301582952</v>
      </c>
      <c r="ET162" s="752">
        <f>INPUT!GS85</f>
        <v>2.5148828367279163</v>
      </c>
      <c r="EU162" s="756">
        <f>INPUT!GT85</f>
        <v>2.5443259951967834</v>
      </c>
      <c r="EV162" s="710"/>
    </row>
    <row r="163" spans="1:152" ht="12.75" hidden="1" customHeight="1" outlineLevel="1" x14ac:dyDescent="0.2">
      <c r="A163" s="754"/>
      <c r="B163" s="750"/>
      <c r="C163" s="756"/>
      <c r="D163" s="750"/>
      <c r="E163" s="756"/>
      <c r="F163" s="750"/>
      <c r="G163" s="756"/>
      <c r="H163" s="750"/>
      <c r="I163" s="752"/>
      <c r="J163" s="750"/>
      <c r="K163" s="752"/>
      <c r="L163" s="750"/>
      <c r="M163" s="752"/>
      <c r="N163" s="750"/>
      <c r="O163" s="752"/>
      <c r="P163" s="750"/>
      <c r="Q163" s="752"/>
      <c r="R163" s="750"/>
      <c r="S163" s="752"/>
      <c r="T163" s="750"/>
      <c r="U163" s="752"/>
      <c r="V163" s="750"/>
      <c r="W163" s="752"/>
      <c r="X163" s="750"/>
      <c r="Y163" s="752"/>
      <c r="Z163" s="750"/>
      <c r="AA163" s="752"/>
      <c r="AB163" s="750"/>
      <c r="AC163" s="752"/>
      <c r="AD163" s="750"/>
      <c r="AE163" s="752"/>
      <c r="AF163" s="750"/>
      <c r="AG163" s="752"/>
      <c r="AH163" s="750"/>
      <c r="AI163" s="752"/>
      <c r="AJ163" s="750"/>
      <c r="AK163" s="752"/>
      <c r="AL163" s="750"/>
      <c r="AM163" s="752"/>
      <c r="AN163" s="750"/>
      <c r="AO163" s="752"/>
      <c r="AP163" s="750"/>
      <c r="AQ163" s="752"/>
      <c r="AR163" s="750"/>
      <c r="AS163" s="752"/>
      <c r="AT163" s="750"/>
      <c r="AU163" s="752"/>
      <c r="AV163" s="750"/>
      <c r="AW163" s="752"/>
      <c r="AX163" s="750"/>
      <c r="AY163" s="752"/>
      <c r="AZ163" s="750"/>
      <c r="BA163" s="752"/>
      <c r="BB163" s="750"/>
      <c r="BC163" s="752"/>
      <c r="BD163" s="750"/>
      <c r="BE163" s="752"/>
      <c r="BF163" s="750"/>
      <c r="BG163" s="752"/>
      <c r="BH163" s="750"/>
      <c r="BI163" s="752"/>
      <c r="BJ163" s="750"/>
      <c r="BK163" s="752"/>
      <c r="BL163" s="750"/>
      <c r="BM163" s="752"/>
      <c r="BN163" s="750"/>
      <c r="BO163" s="752"/>
      <c r="BP163" s="750"/>
      <c r="BQ163" s="752"/>
      <c r="BR163" s="750"/>
      <c r="BS163" s="752"/>
      <c r="BT163" s="750"/>
      <c r="BU163" s="752"/>
      <c r="BV163" s="750"/>
      <c r="BW163" s="752"/>
      <c r="BX163" s="750"/>
      <c r="BY163" s="752"/>
      <c r="BZ163" s="750"/>
      <c r="CA163" s="752"/>
      <c r="CB163" s="750"/>
      <c r="CC163" s="752"/>
      <c r="CD163" s="750"/>
      <c r="CE163" s="752"/>
      <c r="CF163" s="750"/>
      <c r="CG163" s="752"/>
      <c r="CH163" s="750"/>
      <c r="CI163" s="752"/>
      <c r="CJ163" s="750"/>
      <c r="CK163" s="752"/>
      <c r="CL163" s="750"/>
      <c r="CM163" s="752"/>
      <c r="CN163" s="750"/>
      <c r="CO163" s="752"/>
      <c r="CP163" s="750"/>
      <c r="CQ163" s="752"/>
      <c r="CR163" s="750"/>
      <c r="CS163" s="752"/>
      <c r="CT163" s="750"/>
      <c r="CU163" s="752"/>
      <c r="CV163" s="750"/>
      <c r="CW163" s="752"/>
      <c r="CX163" s="750"/>
      <c r="CY163" s="752"/>
      <c r="CZ163" s="750"/>
      <c r="DA163" s="752"/>
      <c r="DB163" s="753"/>
      <c r="DC163" s="750"/>
      <c r="DD163" s="756"/>
      <c r="DE163" s="750"/>
      <c r="DF163" s="756"/>
      <c r="DG163" s="750"/>
      <c r="DH163" s="756"/>
      <c r="DI163" s="750"/>
      <c r="DJ163" s="756"/>
      <c r="DK163" s="750"/>
      <c r="DL163" s="752"/>
      <c r="DM163" s="750"/>
      <c r="DN163" s="752"/>
      <c r="DO163" s="750"/>
      <c r="DP163" s="752"/>
      <c r="DQ163" s="750"/>
      <c r="DR163" s="752"/>
      <c r="DS163" s="750"/>
      <c r="DT163" s="752"/>
      <c r="DU163" s="750"/>
      <c r="DV163" s="752"/>
      <c r="DW163" s="750"/>
      <c r="DX163" s="752"/>
      <c r="DY163" s="750"/>
      <c r="DZ163" s="752"/>
      <c r="EA163" s="750"/>
      <c r="EB163" s="752"/>
      <c r="EC163" s="750"/>
      <c r="ED163" s="752"/>
      <c r="EE163" s="750"/>
      <c r="EF163" s="752"/>
      <c r="EG163" s="750"/>
      <c r="EH163" s="752"/>
      <c r="EI163" s="750"/>
      <c r="EJ163" s="752"/>
      <c r="EK163" s="750"/>
      <c r="EL163" s="752"/>
      <c r="EM163" s="750"/>
      <c r="EN163" s="752"/>
      <c r="EO163" s="750"/>
      <c r="EP163" s="752"/>
      <c r="EQ163" s="750"/>
      <c r="ER163" s="752"/>
      <c r="ES163" s="750"/>
      <c r="ET163" s="752"/>
      <c r="EU163" s="756"/>
      <c r="EV163" s="710"/>
    </row>
    <row r="164" spans="1:152" ht="12.75" hidden="1" customHeight="1" outlineLevel="1" x14ac:dyDescent="0.2">
      <c r="A164" s="805" t="str">
        <f>INPUT!B93</f>
        <v>Pretax Earnings</v>
      </c>
      <c r="B164" s="806">
        <f>INPUT!AS93</f>
        <v>43.899999999999977</v>
      </c>
      <c r="C164" s="807">
        <f>INPUT!AT93</f>
        <v>-20.900900900901021</v>
      </c>
      <c r="D164" s="806">
        <f>INPUT!AU93</f>
        <v>44.799999999999955</v>
      </c>
      <c r="E164" s="807">
        <f>INPUT!AV93</f>
        <v>-6.4718162839248912</v>
      </c>
      <c r="F164" s="806">
        <f>INPUT!AW93</f>
        <v>43</v>
      </c>
      <c r="G164" s="807">
        <f>INPUT!AX93</f>
        <v>2.6252983293556742</v>
      </c>
      <c r="H164" s="806">
        <f>INPUT!AY93</f>
        <v>46.300000000000068</v>
      </c>
      <c r="I164" s="808">
        <f>INPUT!AZ93</f>
        <v>6.43678160919543</v>
      </c>
      <c r="J164" s="806">
        <f>INPUT!BA93</f>
        <v>49.399999999999977</v>
      </c>
      <c r="K164" s="808">
        <f>INPUT!BB93</f>
        <v>12.528473804100226</v>
      </c>
      <c r="L164" s="806">
        <f>INPUT!BC93</f>
        <v>51.500000000000057</v>
      </c>
      <c r="M164" s="808">
        <f>INPUT!BD93</f>
        <v>14.955357142857384</v>
      </c>
      <c r="N164" s="806">
        <f>INPUT!BE93</f>
        <v>56.200000000000045</v>
      </c>
      <c r="O164" s="808">
        <f>INPUT!BF93</f>
        <v>30.697674418604759</v>
      </c>
      <c r="P164" s="806">
        <f>INPUT!BG93</f>
        <v>60.099999999999966</v>
      </c>
      <c r="Q164" s="808">
        <f>INPUT!BH93</f>
        <v>29.805615550755672</v>
      </c>
      <c r="R164" s="806">
        <f>INPUT!BI93</f>
        <v>55.399999999999977</v>
      </c>
      <c r="S164" s="808">
        <f>INPUT!BJ93</f>
        <v>12.145748987854255</v>
      </c>
      <c r="T164" s="806">
        <f>INPUT!BK93</f>
        <v>54.299999999999955</v>
      </c>
      <c r="U164" s="808">
        <f>INPUT!BL93</f>
        <v>5.4368932038832973</v>
      </c>
      <c r="V164" s="806">
        <f>INPUT!BM93</f>
        <v>50.900000000000034</v>
      </c>
      <c r="W164" s="808">
        <f>INPUT!BN93</f>
        <v>-9.4306049822064146</v>
      </c>
      <c r="X164" s="806">
        <f>INPUT!BO93</f>
        <v>50.300000000000011</v>
      </c>
      <c r="Y164" s="808">
        <f>INPUT!BP93</f>
        <v>-16.306156405989945</v>
      </c>
      <c r="Z164" s="806">
        <f>INPUT!BQ93</f>
        <v>48.300000000000011</v>
      </c>
      <c r="AA164" s="808">
        <f>INPUT!BR93</f>
        <v>-12.815884476534245</v>
      </c>
      <c r="AB164" s="806">
        <f>INPUT!BS93</f>
        <v>48.700000000000102</v>
      </c>
      <c r="AC164" s="808">
        <f>INPUT!BT93</f>
        <v>-10.313075506445413</v>
      </c>
      <c r="AD164" s="806">
        <f>INPUT!BU93</f>
        <v>49.999999999999943</v>
      </c>
      <c r="AE164" s="808">
        <f>INPUT!BV93</f>
        <v>-1.7681728880158953</v>
      </c>
      <c r="AF164" s="806">
        <f>INPUT!BW93</f>
        <v>47.699999999999989</v>
      </c>
      <c r="AG164" s="808">
        <f>INPUT!BX93</f>
        <v>-5.1689860834990498</v>
      </c>
      <c r="AH164" s="806">
        <f>INPUT!BY93</f>
        <v>50.500000000000057</v>
      </c>
      <c r="AI164" s="808">
        <f>INPUT!BZ93</f>
        <v>4.5548654244307318</v>
      </c>
      <c r="AJ164" s="806">
        <f>INPUT!CA93</f>
        <v>50.400000000000034</v>
      </c>
      <c r="AK164" s="808">
        <f>INPUT!CB93</f>
        <v>3.4907597535932755</v>
      </c>
      <c r="AL164" s="806">
        <f>INPUT!CC93</f>
        <v>51.100000000000023</v>
      </c>
      <c r="AM164" s="808">
        <f>INPUT!CD93</f>
        <v>2.2000000000001574</v>
      </c>
      <c r="AN164" s="806">
        <f>INPUT!CE93</f>
        <v>52.000000000000057</v>
      </c>
      <c r="AO164" s="808">
        <f>INPUT!CF93</f>
        <v>9.0146750524110466</v>
      </c>
      <c r="AP164" s="806">
        <f>INPUT!CG93</f>
        <v>51.599999999999966</v>
      </c>
      <c r="AQ164" s="808">
        <f>INPUT!CH93</f>
        <v>2.1782178217820025</v>
      </c>
      <c r="AR164" s="806">
        <f>INPUT!CI93</f>
        <v>52</v>
      </c>
      <c r="AS164" s="808">
        <f>INPUT!CJ93</f>
        <v>3.1746031746030967</v>
      </c>
      <c r="AT164" s="806">
        <f>INPUT!CK93</f>
        <v>52.300000000000011</v>
      </c>
      <c r="AU164" s="808">
        <f>INPUT!CL93</f>
        <v>2.348336594911915</v>
      </c>
      <c r="AV164" s="806">
        <f>INPUT!CM93</f>
        <v>52.599999999999966</v>
      </c>
      <c r="AW164" s="808">
        <f>INPUT!CN93</f>
        <v>1.1538461538459721</v>
      </c>
      <c r="AX164" s="806">
        <f>INPUT!CO93</f>
        <v>52.399999999999977</v>
      </c>
      <c r="AY164" s="808">
        <f>INPUT!CP93</f>
        <v>1.5503875968992498</v>
      </c>
      <c r="AZ164" s="806">
        <f>INPUT!CQ93</f>
        <v>57.299999999999955</v>
      </c>
      <c r="BA164" s="808">
        <f>INPUT!CR93</f>
        <v>10.192307692307612</v>
      </c>
      <c r="BB164" s="806">
        <f>INPUT!CS93</f>
        <v>56.100000000000023</v>
      </c>
      <c r="BC164" s="808">
        <f>INPUT!CT93</f>
        <v>7.2657743785851103</v>
      </c>
      <c r="BD164" s="806">
        <f>INPUT!CU93</f>
        <v>55.100000000000023</v>
      </c>
      <c r="BE164" s="808">
        <f>INPUT!CV93</f>
        <v>4.7528517110267288</v>
      </c>
      <c r="BF164" s="806">
        <f>INPUT!CW93</f>
        <v>57.000000000000057</v>
      </c>
      <c r="BG164" s="808">
        <f>INPUT!CX93</f>
        <v>8.7786259541986276</v>
      </c>
      <c r="BH164" s="806">
        <f>INPUT!CY93</f>
        <v>56.099999999999966</v>
      </c>
      <c r="BI164" s="808">
        <f>INPUT!CZ93</f>
        <v>-2.0942408376963151</v>
      </c>
      <c r="BJ164" s="806">
        <f>INPUT!DA93</f>
        <v>57.700000000000045</v>
      </c>
      <c r="BK164" s="808">
        <f>INPUT!DB93</f>
        <v>2.8520499108734887</v>
      </c>
      <c r="BL164" s="806">
        <f>INPUT!DC93</f>
        <v>97.699999999999989</v>
      </c>
      <c r="BM164" s="808">
        <f>INPUT!DD93</f>
        <v>77.313974591651458</v>
      </c>
      <c r="BN164" s="806">
        <f>INPUT!DE93</f>
        <v>58.699999999999989</v>
      </c>
      <c r="BO164" s="808">
        <f>INPUT!DF93</f>
        <v>2.9824561403507532</v>
      </c>
      <c r="BP164" s="806">
        <f>INPUT!DG93</f>
        <v>60.599999999999966</v>
      </c>
      <c r="BQ164" s="808">
        <f>INPUT!DH93</f>
        <v>8.0213903743315598</v>
      </c>
      <c r="BR164" s="806">
        <f>INPUT!DI93</f>
        <v>61.800000000000011</v>
      </c>
      <c r="BS164" s="808">
        <f>INPUT!DJ93</f>
        <v>7.1057192374349487</v>
      </c>
      <c r="BT164" s="806">
        <f>INPUT!DK93</f>
        <v>59.300000000000011</v>
      </c>
      <c r="BU164" s="808">
        <f>INPUT!DL93</f>
        <v>-39.303991811668347</v>
      </c>
      <c r="BV164" s="806">
        <f>INPUT!DM93</f>
        <v>57.900000000000034</v>
      </c>
      <c r="BW164" s="808">
        <f>INPUT!DN93</f>
        <v>-1.3628620102213884</v>
      </c>
      <c r="BX164" s="806">
        <f>INPUT!DO93</f>
        <v>52.500000000000057</v>
      </c>
      <c r="BY164" s="808">
        <f>INPUT!DP93</f>
        <v>-13.366336633663224</v>
      </c>
      <c r="BZ164" s="806">
        <f>INPUT!DQ93</f>
        <v>60.199999999999989</v>
      </c>
      <c r="CA164" s="808">
        <f>INPUT!DR93</f>
        <v>-2.5889967637540812</v>
      </c>
      <c r="CB164" s="806">
        <f>INPUT!DS93</f>
        <v>54.300000000000068</v>
      </c>
      <c r="CC164" s="808">
        <f>INPUT!DT93</f>
        <v>-8.4317032040471247</v>
      </c>
      <c r="CD164" s="806">
        <f>INPUT!DU93</f>
        <v>55.400000000000034</v>
      </c>
      <c r="CE164" s="808">
        <f>INPUT!DV93</f>
        <v>-4.3177892918825567</v>
      </c>
      <c r="CF164" s="806">
        <f>INPUT!DW93</f>
        <v>56.900000000000034</v>
      </c>
      <c r="CG164" s="808">
        <f>INPUT!DX93</f>
        <v>8.3809523809523334</v>
      </c>
      <c r="CH164" s="806">
        <f>INPUT!DY93</f>
        <v>53.400000000000091</v>
      </c>
      <c r="CI164" s="808">
        <f>INPUT!DZ93</f>
        <v>-11.295681063122753</v>
      </c>
      <c r="CJ164" s="806">
        <f>INPUT!EA93</f>
        <v>56.099999999999966</v>
      </c>
      <c r="CK164" s="808">
        <f>INPUT!EB93</f>
        <v>3.3149171270716371</v>
      </c>
      <c r="CL164" s="806">
        <f>INPUT!EC93</f>
        <v>56</v>
      </c>
      <c r="CM164" s="808">
        <f>INPUT!ED93</f>
        <v>1.083032490974678</v>
      </c>
      <c r="CN164" s="806">
        <f>INPUT!EE93</f>
        <v>60.899999999999977</v>
      </c>
      <c r="CO164" s="808">
        <f>INPUT!EF93</f>
        <v>7.0298769771528047</v>
      </c>
      <c r="CP164" s="806">
        <f>INPUT!EG93</f>
        <v>60.099999999999966</v>
      </c>
      <c r="CQ164" s="808">
        <f>INPUT!EH93</f>
        <v>12.546816479400501</v>
      </c>
      <c r="CR164" s="806">
        <f>INPUT!EI93</f>
        <v>57</v>
      </c>
      <c r="CS164" s="808">
        <f>INPUT!EJ93</f>
        <v>1.604278074866361</v>
      </c>
      <c r="CT164" s="806">
        <f>INPUT!EK93</f>
        <v>59.34967282740115</v>
      </c>
      <c r="CU164" s="808">
        <f>INPUT!EL93</f>
        <v>5.9815586203592064</v>
      </c>
      <c r="CV164" s="806">
        <f>INPUT!EM93</f>
        <v>59.445351055041499</v>
      </c>
      <c r="CW164" s="808">
        <f>INPUT!EN93</f>
        <v>-2.3885861165163891</v>
      </c>
      <c r="CX164" s="806">
        <f>INPUT!EO93</f>
        <v>60.879614772134801</v>
      </c>
      <c r="CY164" s="808">
        <f>INPUT!EP93</f>
        <v>1.2971959602908978</v>
      </c>
      <c r="CZ164" s="806">
        <f>INPUT!EQ93</f>
        <v>61.023887542128818</v>
      </c>
      <c r="DA164" s="808">
        <f>INPUT!ER93</f>
        <v>7.0594518282961705</v>
      </c>
      <c r="DB164" s="811"/>
      <c r="DC164" s="810">
        <f>INPUT!FB93</f>
        <v>0</v>
      </c>
      <c r="DD164" s="807">
        <f>INPUT!FC93</f>
        <v>0</v>
      </c>
      <c r="DE164" s="810">
        <f>INPUT!FD93</f>
        <v>224.09999999999991</v>
      </c>
      <c r="DF164" s="807" t="str">
        <f>INPUT!FE93</f>
        <v>NA</v>
      </c>
      <c r="DG164" s="810">
        <f>INPUT!FF93</f>
        <v>222.70000000000005</v>
      </c>
      <c r="DH164" s="807">
        <f>INPUT!FG93</f>
        <v>-0.62472110664876235</v>
      </c>
      <c r="DI164" s="810">
        <f>INPUT!FH93</f>
        <v>213.40000000000032</v>
      </c>
      <c r="DJ164" s="807">
        <f>INPUT!FI93</f>
        <v>-4.1760215536595036</v>
      </c>
      <c r="DK164" s="810">
        <f>INPUT!FJ93</f>
        <v>188.80000000000018</v>
      </c>
      <c r="DL164" s="808">
        <f>INPUT!FK93</f>
        <v>-11.527647610121882</v>
      </c>
      <c r="DM164" s="810">
        <f>INPUT!FL93</f>
        <v>178.00000000000023</v>
      </c>
      <c r="DN164" s="808">
        <f>INPUT!FM93</f>
        <v>-5.7203389830508211</v>
      </c>
      <c r="DO164" s="810">
        <f>INPUT!FN93</f>
        <v>217.20000000000027</v>
      </c>
      <c r="DP164" s="808">
        <f>INPUT!FO93</f>
        <v>22.022471910112351</v>
      </c>
      <c r="DQ164" s="806">
        <f>INPUT!FP93</f>
        <v>210.90000000000009</v>
      </c>
      <c r="DR164" s="808">
        <f>INPUT!FQ93</f>
        <v>-2.9005524861879239</v>
      </c>
      <c r="DS164" s="806">
        <f>INPUT!FR93</f>
        <v>193.60000000000014</v>
      </c>
      <c r="DT164" s="808">
        <f>INPUT!FS93</f>
        <v>-8.2029397818871193</v>
      </c>
      <c r="DU164" s="806">
        <f>INPUT!FT93</f>
        <v>204</v>
      </c>
      <c r="DV164" s="808">
        <f>INPUT!FU93</f>
        <v>5.3719008264462076</v>
      </c>
      <c r="DW164" s="806">
        <f>INPUT!FV93</f>
        <v>208.50000000000023</v>
      </c>
      <c r="DX164" s="808">
        <f>INPUT!FW93</f>
        <v>2.2058823529412797</v>
      </c>
      <c r="DY164" s="806">
        <f>INPUT!FX93</f>
        <v>219.40000000000009</v>
      </c>
      <c r="DZ164" s="808">
        <f>INPUT!FY93</f>
        <v>5.227817745803276</v>
      </c>
      <c r="EA164" s="806">
        <f>INPUT!FZ93</f>
        <v>268.49999999999977</v>
      </c>
      <c r="EB164" s="808">
        <f>INPUT!GA93</f>
        <v>22.379216043755545</v>
      </c>
      <c r="EC164" s="806">
        <f>INPUT!GB93</f>
        <v>240.40000000000009</v>
      </c>
      <c r="ED164" s="808">
        <f>INPUT!GC93</f>
        <v>-10.465549348230807</v>
      </c>
      <c r="EE164" s="806">
        <f>INPUT!GD93</f>
        <v>224.89999999999964</v>
      </c>
      <c r="EF164" s="808">
        <f>INPUT!GE93</f>
        <v>-6.4475873544095013</v>
      </c>
      <c r="EG164" s="806">
        <f>INPUT!GF93</f>
        <v>221.80000000000041</v>
      </c>
      <c r="EH164" s="808">
        <f>INPUT!GG93</f>
        <v>-1.3783903957310994</v>
      </c>
      <c r="EI164" s="806">
        <f>INPUT!GH93</f>
        <v>234.00000000000023</v>
      </c>
      <c r="EJ164" s="808">
        <f>INPUT!GI93</f>
        <v>5.5004508566274923</v>
      </c>
      <c r="EK164" s="806">
        <f>INPUT!GJ93</f>
        <v>240.69852619670655</v>
      </c>
      <c r="EL164" s="808">
        <f>INPUT!GK93</f>
        <v>2.8626180327804729</v>
      </c>
      <c r="EM164" s="806">
        <f>INPUT!GL93</f>
        <v>248.25402536248612</v>
      </c>
      <c r="EN164" s="808">
        <f>INPUT!GM93</f>
        <v>3.1389885451998945</v>
      </c>
      <c r="EO164" s="806">
        <f>INPUT!GN93</f>
        <v>256.05993344784497</v>
      </c>
      <c r="EP164" s="808">
        <f>INPUT!GO93</f>
        <v>3.1443228660486433</v>
      </c>
      <c r="EQ164" s="806">
        <f>INPUT!GP93</f>
        <v>265.93371702713944</v>
      </c>
      <c r="ER164" s="808">
        <f>INPUT!GQ93</f>
        <v>3.8560439528137147</v>
      </c>
      <c r="ES164" s="806">
        <f>INPUT!GR93</f>
        <v>274.31214129214072</v>
      </c>
      <c r="ET164" s="808">
        <f>INPUT!GS93</f>
        <v>3.1505686299064584</v>
      </c>
      <c r="EU164" s="807">
        <f>INPUT!GT93</f>
        <v>3.2299779496921976</v>
      </c>
      <c r="EV164" s="710"/>
    </row>
    <row r="165" spans="1:152" ht="12.75" hidden="1" customHeight="1" outlineLevel="2" x14ac:dyDescent="0.2">
      <c r="A165" s="759" t="s">
        <v>517</v>
      </c>
      <c r="B165" s="760"/>
      <c r="C165" s="761"/>
      <c r="D165" s="760"/>
      <c r="E165" s="761"/>
      <c r="F165" s="760"/>
      <c r="G165" s="761"/>
      <c r="H165" s="762"/>
      <c r="I165" s="763"/>
      <c r="J165" s="760"/>
      <c r="K165" s="763"/>
      <c r="L165" s="760"/>
      <c r="M165" s="763"/>
      <c r="N165" s="760"/>
      <c r="O165" s="763"/>
      <c r="P165" s="760"/>
      <c r="Q165" s="763"/>
      <c r="R165" s="760"/>
      <c r="S165" s="763"/>
      <c r="T165" s="760"/>
      <c r="U165" s="763"/>
      <c r="V165" s="760"/>
      <c r="W165" s="763"/>
      <c r="X165" s="760"/>
      <c r="Y165" s="763"/>
      <c r="Z165" s="760"/>
      <c r="AA165" s="763"/>
      <c r="AB165" s="760"/>
      <c r="AC165" s="763"/>
      <c r="AD165" s="760"/>
      <c r="AE165" s="763"/>
      <c r="AF165" s="760"/>
      <c r="AG165" s="763"/>
      <c r="AH165" s="760"/>
      <c r="AI165" s="763"/>
      <c r="AJ165" s="760"/>
      <c r="AK165" s="763"/>
      <c r="AL165" s="760"/>
      <c r="AM165" s="763"/>
      <c r="AN165" s="760"/>
      <c r="AO165" s="763"/>
      <c r="AP165" s="764">
        <f>(AP152+AP153+AP154-AP158-AP159-AP160-AP161)-AP164</f>
        <v>0</v>
      </c>
      <c r="AQ165" s="763"/>
      <c r="AR165" s="764">
        <f>(AR152+AR153+AR154-AR158-AR159-AR160-AR161)-AR164</f>
        <v>0</v>
      </c>
      <c r="AS165" s="763"/>
      <c r="AT165" s="764">
        <f>(AT152+AT153+AT154-AT158-AT159-AT160-AT161)-AT164</f>
        <v>0</v>
      </c>
      <c r="AU165" s="763"/>
      <c r="AV165" s="764">
        <f>(AV152+AV153+AV154-AV158-AV159-AV160-AV161)-AV164</f>
        <v>0</v>
      </c>
      <c r="AW165" s="763"/>
      <c r="AX165" s="764">
        <f>(AX152+AX153+AX154-AX158-AX159-AX160-AX161)-AX164</f>
        <v>0</v>
      </c>
      <c r="AY165" s="763"/>
      <c r="AZ165" s="764">
        <f>(AZ152+AZ153+AZ154-AZ158-AZ159-AZ160-AZ161)-AZ164</f>
        <v>0</v>
      </c>
      <c r="BA165" s="763"/>
      <c r="BB165" s="764">
        <f>(BB152+BB153+BB154-BB158-BB159-BB160-BB161)-BB164</f>
        <v>0</v>
      </c>
      <c r="BC165" s="763"/>
      <c r="BD165" s="764">
        <f>(BD152+BD153+BD154-BD158-BD159-BD160-BD161)-BD164</f>
        <v>-5.6843418860808015E-14</v>
      </c>
      <c r="BE165" s="763"/>
      <c r="BF165" s="764">
        <f>(BF152+BF153+BF154-BF158-BF159-BF160-BF161)-BF164</f>
        <v>0</v>
      </c>
      <c r="BG165" s="763"/>
      <c r="BH165" s="764">
        <f>(BH152+BH153+BH154-BH158-BH159-BH160-BH161)-BH164</f>
        <v>0</v>
      </c>
      <c r="BI165" s="763"/>
      <c r="BJ165" s="764">
        <f>(BJ152+BJ153+BJ154-BJ158-BJ159-BJ160-BJ161)-BJ164</f>
        <v>-6.3948846218409017E-14</v>
      </c>
      <c r="BK165" s="763"/>
      <c r="BL165" s="764">
        <f>(BL152+BL153+BL154-BL158-BL159-BL160-BL161)-BL164</f>
        <v>0</v>
      </c>
      <c r="BM165" s="763"/>
      <c r="BN165" s="764">
        <f>(BN152+BN153+BN154-BN158-BN159-BN160-BN161)-BN164</f>
        <v>0</v>
      </c>
      <c r="BO165" s="763"/>
      <c r="BP165" s="764">
        <f>(BP152+BP153+BP154-BP158-BP159-BP160-BP161)-BP164</f>
        <v>0</v>
      </c>
      <c r="BQ165" s="763"/>
      <c r="BR165" s="764">
        <f>(BR152+BR153+BR154-BR158-BR159-BR160-BR161)-BR164</f>
        <v>0</v>
      </c>
      <c r="BS165" s="763"/>
      <c r="BT165" s="764">
        <f>(BT152+BT153+BT154-BT158-BT159-BT160-BT161)-BT164</f>
        <v>0</v>
      </c>
      <c r="BU165" s="763"/>
      <c r="BV165" s="764">
        <f>(BV152+BV153+BV154-BV158-BV159-BV160-BV161)-BV164</f>
        <v>0</v>
      </c>
      <c r="BW165" s="763"/>
      <c r="BX165" s="764">
        <f>(BX152+BX153+BX154-BX158-BX159-BX160-BX161)-BX164</f>
        <v>0</v>
      </c>
      <c r="BY165" s="763"/>
      <c r="BZ165" s="764">
        <f>(BZ152+BZ153+BZ154-BZ158-BZ159-BZ160-BZ161)-BZ164</f>
        <v>0</v>
      </c>
      <c r="CA165" s="763"/>
      <c r="CB165" s="764">
        <f>(CB152+CB153+CB154-CB158-CB159-CB160-CB161)-CB164</f>
        <v>0</v>
      </c>
      <c r="CC165" s="763"/>
      <c r="CD165" s="764">
        <f>(CD152+CD153+CD154-CD158-CD159-CD160-CD161)-CD164</f>
        <v>0</v>
      </c>
      <c r="CE165" s="763"/>
      <c r="CF165" s="764">
        <f>(CF152+CF153+CF154-CF158-CF159-CF160-CF161)-CF164</f>
        <v>0</v>
      </c>
      <c r="CG165" s="763"/>
      <c r="CH165" s="764">
        <f>(CH152+CH153+CH154-CH158-CH159-CH160-CH161)-CH164</f>
        <v>0</v>
      </c>
      <c r="CI165" s="763"/>
      <c r="CJ165" s="764">
        <f>(CJ152+CJ153+CJ154-CJ158-CJ159-CJ160-CJ161)-CJ164</f>
        <v>0</v>
      </c>
      <c r="CK165" s="763"/>
      <c r="CL165" s="764">
        <f t="shared" ref="CL165" si="234">(CL152+CL153+CL154-CL158-CL159-CL160-CL161)-CL164</f>
        <v>0</v>
      </c>
      <c r="CM165" s="763"/>
      <c r="CN165" s="764">
        <f t="shared" ref="CN165" si="235">(CN152+CN153+CN154-CN158-CN159-CN160-CN161)-CN164</f>
        <v>0</v>
      </c>
      <c r="CO165" s="763"/>
      <c r="CP165" s="764">
        <f t="shared" ref="CP165" si="236">(CP152+CP153+CP154-CP158-CP159-CP160-CP161)-CP164</f>
        <v>0</v>
      </c>
      <c r="CQ165" s="763"/>
      <c r="CR165" s="764">
        <f t="shared" ref="CR165" si="237">(CR152+CR153+CR154-CR158-CR159-CR160-CR161)-CR164</f>
        <v>-18.5</v>
      </c>
      <c r="CS165" s="763"/>
      <c r="CT165" s="764">
        <f t="shared" ref="CT165" si="238">(CT152+CT153+CT154-CT158-CT159-CT160-CT161)-CT164</f>
        <v>0</v>
      </c>
      <c r="CU165" s="763"/>
      <c r="CV165" s="764">
        <f t="shared" ref="CV165" si="239">(CV152+CV153+CV154-CV158-CV159-CV160-CV161)-CV164</f>
        <v>0</v>
      </c>
      <c r="CW165" s="763"/>
      <c r="CX165" s="764">
        <f t="shared" ref="CX165" si="240">(CX152+CX153+CX154-CX158-CX159-CX160-CX161)-CX164</f>
        <v>0</v>
      </c>
      <c r="CY165" s="763"/>
      <c r="CZ165" s="764">
        <f t="shared" ref="CZ165" si="241">(CZ152+CZ153+CZ154-CZ158-CZ159-CZ160-CZ161)-CZ164</f>
        <v>0</v>
      </c>
      <c r="DA165" s="763"/>
      <c r="DB165" s="765"/>
      <c r="DC165" s="766"/>
      <c r="DD165" s="761"/>
      <c r="DE165" s="766"/>
      <c r="DF165" s="761"/>
      <c r="DG165" s="766"/>
      <c r="DH165" s="761"/>
      <c r="DI165" s="766"/>
      <c r="DJ165" s="761"/>
      <c r="DK165" s="766"/>
      <c r="DL165" s="763"/>
      <c r="DM165" s="766"/>
      <c r="DN165" s="763"/>
      <c r="DO165" s="766"/>
      <c r="DP165" s="763"/>
      <c r="DQ165" s="760"/>
      <c r="DR165" s="763"/>
      <c r="DS165" s="760"/>
      <c r="DT165" s="763"/>
      <c r="DU165" s="764">
        <f>(DU152+DU153+DU154-DU158-DU159-DU160-DU161)-DU164</f>
        <v>0</v>
      </c>
      <c r="DV165" s="763"/>
      <c r="DW165" s="764">
        <f>(DW152+DW153+DW154-DW158-DW159-DW160-DW161)-DW164</f>
        <v>0</v>
      </c>
      <c r="DX165" s="763"/>
      <c r="DY165" s="764">
        <f>(DY152+DY153+DY154-DY158-DY159-DY160-DY161)-DY164</f>
        <v>0</v>
      </c>
      <c r="DZ165" s="763"/>
      <c r="EA165" s="764">
        <f>(EA152+EA153+EA154-EA158-EA159-EA160-EA161)-EA164</f>
        <v>0</v>
      </c>
      <c r="EB165" s="763"/>
      <c r="EC165" s="764">
        <f>(EC152+EC153+EC154-EC158-EC159-EC160-EC161)-EC164</f>
        <v>0</v>
      </c>
      <c r="ED165" s="763"/>
      <c r="EE165" s="764">
        <f>(EE152+EE153+EE154-EE158-EE159-EE160-EE161)-EE164</f>
        <v>2.2737367544323206E-13</v>
      </c>
      <c r="EF165" s="763"/>
      <c r="EG165" s="764">
        <f>(EG152+EG153+EG154-EG158-EG159-EG160-EG161)-EG164</f>
        <v>0</v>
      </c>
      <c r="EH165" s="763"/>
      <c r="EI165" s="764">
        <f>(EI152+EI153+EI154-EI158-EI159-EI160-EI161)-EI164</f>
        <v>-18.500000000000114</v>
      </c>
      <c r="EJ165" s="763"/>
      <c r="EK165" s="764">
        <f>(EK152+EK153+EK154-EK158-EK159-EK160-EK161)-EK164</f>
        <v>0</v>
      </c>
      <c r="EL165" s="763"/>
      <c r="EM165" s="764">
        <f>(EM152+EM153+EM154-EM158-EM159-EM160-EM161)-EM164</f>
        <v>0</v>
      </c>
      <c r="EN165" s="763"/>
      <c r="EO165" s="764">
        <f>(EO152+EO153+EO154-EO158-EO159-EO160-EO161)-EO164</f>
        <v>0</v>
      </c>
      <c r="EP165" s="763"/>
      <c r="EQ165" s="764">
        <f>(EQ152+EQ153+EQ154-EQ158-EQ159-EQ160-EQ161)-EQ164</f>
        <v>0</v>
      </c>
      <c r="ER165" s="763"/>
      <c r="ES165" s="764">
        <f>(ES152+ES153+ES154-ES158-ES159-ES160-ES161)-ES164</f>
        <v>0</v>
      </c>
      <c r="ET165" s="763"/>
      <c r="EU165" s="761"/>
      <c r="EV165" s="710"/>
    </row>
    <row r="166" spans="1:152" ht="12.75" hidden="1" customHeight="1" outlineLevel="1" collapsed="1" x14ac:dyDescent="0.2">
      <c r="A166" s="754"/>
      <c r="B166" s="750"/>
      <c r="C166" s="767"/>
      <c r="D166" s="750"/>
      <c r="E166" s="767"/>
      <c r="F166" s="750"/>
      <c r="G166" s="767"/>
      <c r="H166" s="750"/>
      <c r="I166" s="752"/>
      <c r="J166" s="750"/>
      <c r="K166" s="752"/>
      <c r="L166" s="750"/>
      <c r="M166" s="752"/>
      <c r="N166" s="750"/>
      <c r="O166" s="752"/>
      <c r="P166" s="750"/>
      <c r="Q166" s="752"/>
      <c r="R166" s="750"/>
      <c r="S166" s="752"/>
      <c r="T166" s="750"/>
      <c r="U166" s="752"/>
      <c r="V166" s="750"/>
      <c r="W166" s="752"/>
      <c r="X166" s="750"/>
      <c r="Y166" s="752"/>
      <c r="Z166" s="750"/>
      <c r="AA166" s="752"/>
      <c r="AB166" s="750"/>
      <c r="AC166" s="752"/>
      <c r="AD166" s="750"/>
      <c r="AE166" s="752"/>
      <c r="AF166" s="750"/>
      <c r="AG166" s="752"/>
      <c r="AH166" s="750"/>
      <c r="AI166" s="752"/>
      <c r="AJ166" s="750"/>
      <c r="AK166" s="752"/>
      <c r="AL166" s="750"/>
      <c r="AM166" s="752"/>
      <c r="AN166" s="750"/>
      <c r="AO166" s="752"/>
      <c r="AP166" s="750"/>
      <c r="AQ166" s="752"/>
      <c r="AR166" s="750"/>
      <c r="AS166" s="752"/>
      <c r="AT166" s="750"/>
      <c r="AU166" s="752"/>
      <c r="AV166" s="750"/>
      <c r="AW166" s="752"/>
      <c r="AX166" s="750"/>
      <c r="AY166" s="752"/>
      <c r="AZ166" s="750"/>
      <c r="BA166" s="752"/>
      <c r="BB166" s="750"/>
      <c r="BC166" s="752"/>
      <c r="BD166" s="750"/>
      <c r="BE166" s="752"/>
      <c r="BF166" s="750"/>
      <c r="BG166" s="752"/>
      <c r="BH166" s="750"/>
      <c r="BI166" s="752"/>
      <c r="BJ166" s="750"/>
      <c r="BK166" s="752"/>
      <c r="BL166" s="750"/>
      <c r="BM166" s="752"/>
      <c r="BN166" s="750"/>
      <c r="BO166" s="752"/>
      <c r="BP166" s="750"/>
      <c r="BQ166" s="752"/>
      <c r="BR166" s="750"/>
      <c r="BS166" s="752"/>
      <c r="BT166" s="750"/>
      <c r="BU166" s="752"/>
      <c r="BV166" s="750"/>
      <c r="BW166" s="752"/>
      <c r="BX166" s="750"/>
      <c r="BY166" s="752"/>
      <c r="BZ166" s="750"/>
      <c r="CA166" s="752"/>
      <c r="CB166" s="750"/>
      <c r="CC166" s="752"/>
      <c r="CD166" s="750"/>
      <c r="CE166" s="752"/>
      <c r="CF166" s="750"/>
      <c r="CG166" s="752"/>
      <c r="CH166" s="750"/>
      <c r="CI166" s="752"/>
      <c r="CJ166" s="750"/>
      <c r="CK166" s="752"/>
      <c r="CL166" s="750"/>
      <c r="CM166" s="752"/>
      <c r="CN166" s="750"/>
      <c r="CO166" s="752"/>
      <c r="CP166" s="750"/>
      <c r="CQ166" s="752"/>
      <c r="CR166" s="750"/>
      <c r="CS166" s="752"/>
      <c r="CT166" s="750"/>
      <c r="CU166" s="752"/>
      <c r="CV166" s="750"/>
      <c r="CW166" s="752"/>
      <c r="CX166" s="750"/>
      <c r="CY166" s="752"/>
      <c r="CZ166" s="750"/>
      <c r="DA166" s="752"/>
      <c r="DB166" s="753"/>
      <c r="DC166" s="750"/>
      <c r="DD166" s="767"/>
      <c r="DE166" s="750"/>
      <c r="DF166" s="767"/>
      <c r="DG166" s="750"/>
      <c r="DH166" s="767"/>
      <c r="DI166" s="750"/>
      <c r="DJ166" s="767"/>
      <c r="DK166" s="750"/>
      <c r="DL166" s="752"/>
      <c r="DM166" s="750"/>
      <c r="DN166" s="752"/>
      <c r="DO166" s="750"/>
      <c r="DP166" s="752"/>
      <c r="DQ166" s="750"/>
      <c r="DR166" s="752"/>
      <c r="DS166" s="750"/>
      <c r="DT166" s="752"/>
      <c r="DU166" s="750"/>
      <c r="DV166" s="752"/>
      <c r="DW166" s="750"/>
      <c r="DX166" s="752"/>
      <c r="DY166" s="750"/>
      <c r="DZ166" s="752"/>
      <c r="EA166" s="750"/>
      <c r="EB166" s="752"/>
      <c r="EC166" s="750"/>
      <c r="ED166" s="752"/>
      <c r="EE166" s="750"/>
      <c r="EF166" s="752"/>
      <c r="EG166" s="750"/>
      <c r="EH166" s="752"/>
      <c r="EI166" s="750"/>
      <c r="EJ166" s="752"/>
      <c r="EK166" s="750"/>
      <c r="EL166" s="752"/>
      <c r="EM166" s="750"/>
      <c r="EN166" s="752"/>
      <c r="EO166" s="750"/>
      <c r="EP166" s="752"/>
      <c r="EQ166" s="750"/>
      <c r="ER166" s="752"/>
      <c r="ES166" s="750"/>
      <c r="ET166" s="752"/>
      <c r="EU166" s="767"/>
      <c r="EV166" s="710"/>
    </row>
    <row r="167" spans="1:152" ht="12.75" hidden="1" customHeight="1" outlineLevel="1" x14ac:dyDescent="0.2">
      <c r="A167" s="749" t="s">
        <v>260</v>
      </c>
      <c r="B167" s="793">
        <f>INPUT!AS448</f>
        <v>21.764997521070899</v>
      </c>
      <c r="C167" s="756">
        <f>INPUT!AT448</f>
        <v>-27.528440686596234</v>
      </c>
      <c r="D167" s="793">
        <f>INPUT!AU448</f>
        <v>20.692840646651277</v>
      </c>
      <c r="E167" s="756">
        <f>INPUT!AV448</f>
        <v>-13.470230030809038</v>
      </c>
      <c r="F167" s="793">
        <f>INPUT!AW448</f>
        <v>17.586912065439662</v>
      </c>
      <c r="G167" s="756">
        <f>INPUT!AX448</f>
        <v>-12.275307358546762</v>
      </c>
      <c r="H167" s="793">
        <f>INPUT!AY448</f>
        <v>17.471698113207566</v>
      </c>
      <c r="I167" s="752">
        <f>INPUT!AZ448</f>
        <v>-24.771286055085707</v>
      </c>
      <c r="J167" s="793">
        <f>INPUT!BA448</f>
        <v>18.740515933232164</v>
      </c>
      <c r="K167" s="752">
        <f>INPUT!BB448</f>
        <v>-13.89608055278071</v>
      </c>
      <c r="L167" s="793">
        <f>INPUT!BC448</f>
        <v>18.693284936479149</v>
      </c>
      <c r="M167" s="752">
        <f>INPUT!BD448</f>
        <v>-9.6630315011666408</v>
      </c>
      <c r="N167" s="793">
        <f>INPUT!BE448</f>
        <v>17.292307692307716</v>
      </c>
      <c r="O167" s="752">
        <f>INPUT!BF448</f>
        <v>-1.6751341681572329</v>
      </c>
      <c r="P167" s="793">
        <f>INPUT!BG448</f>
        <v>20.893089960886556</v>
      </c>
      <c r="Q167" s="752">
        <f>INPUT!BH448</f>
        <v>19.582480337687503</v>
      </c>
      <c r="R167" s="793">
        <f>INPUT!BI448</f>
        <v>17.688378033205613</v>
      </c>
      <c r="S167" s="752">
        <f>INPUT!BJ448</f>
        <v>-5.6142419118825675</v>
      </c>
      <c r="T167" s="793">
        <f>INPUT!BK448</f>
        <v>16.2217659137577</v>
      </c>
      <c r="U167" s="752">
        <f>INPUT!BL448</f>
        <v>-13.22142700504385</v>
      </c>
      <c r="V167" s="793">
        <f>INPUT!BM448</f>
        <v>15.63267813267815</v>
      </c>
      <c r="W167" s="752">
        <f>INPUT!BN448</f>
        <v>-9.5975019017723877</v>
      </c>
      <c r="X167" s="793">
        <f>INPUT!BO448</f>
        <v>16.215344938749187</v>
      </c>
      <c r="Y167" s="752">
        <f>INPUT!BP448</f>
        <v>-22.38895745384939</v>
      </c>
      <c r="Z167" s="793">
        <f>INPUT!BQ448</f>
        <v>15.323604060913713</v>
      </c>
      <c r="AA167" s="752">
        <f>INPUT!BR448</f>
        <v>-13.369083179094288</v>
      </c>
      <c r="AB167" s="793">
        <f>INPUT!BS448</f>
        <v>15.035504785427625</v>
      </c>
      <c r="AC167" s="752">
        <f>INPUT!BT448</f>
        <v>-7.3127742974271719</v>
      </c>
      <c r="AD167" s="793">
        <f>INPUT!BU448</f>
        <v>15.639662183296831</v>
      </c>
      <c r="AE167" s="752">
        <f>INPUT!BV448</f>
        <v>4.4675970165863887E-2</v>
      </c>
      <c r="AF167" s="793">
        <f>INPUT!BW448</f>
        <v>14.822871348663771</v>
      </c>
      <c r="AG167" s="752">
        <f>INPUT!BX448</f>
        <v>-8.5873818617196118</v>
      </c>
      <c r="AH167" s="793">
        <f>INPUT!BY448</f>
        <v>14.848573948838592</v>
      </c>
      <c r="AI167" s="752">
        <f>INPUT!BZ448</f>
        <v>-3.0999894684488161</v>
      </c>
      <c r="AJ167" s="793">
        <f>INPUT!CA448</f>
        <v>14.668218859138543</v>
      </c>
      <c r="AK167" s="752">
        <f>INPUT!CB448</f>
        <v>-2.4427907910684499</v>
      </c>
      <c r="AL167" s="793">
        <f>INPUT!CC448</f>
        <v>15.466101694915258</v>
      </c>
      <c r="AM167" s="752">
        <f>INPUT!CD448</f>
        <v>-1.1097457627117779</v>
      </c>
      <c r="AN167" s="793">
        <f>INPUT!CE448</f>
        <v>16.581632653061227</v>
      </c>
      <c r="AO167" s="752">
        <f>INPUT!CF448</f>
        <v>11.865186326102762</v>
      </c>
      <c r="AP167" s="793">
        <f>INPUT!CG448</f>
        <v>16.114928169893812</v>
      </c>
      <c r="AQ167" s="752">
        <f>INPUT!CH448</f>
        <v>8.5284568431857508</v>
      </c>
      <c r="AR167" s="793">
        <f>INPUT!CI448</f>
        <v>15.024559375902912</v>
      </c>
      <c r="AS167" s="752">
        <f>INPUT!CJ448</f>
        <v>2.429337332544379</v>
      </c>
      <c r="AT167" s="793">
        <f>INPUT!CK448</f>
        <v>16.313162819713039</v>
      </c>
      <c r="AU167" s="752">
        <f>INPUT!CL448</f>
        <v>5.4768883685555103</v>
      </c>
      <c r="AV167" s="793">
        <f>INPUT!CM448</f>
        <v>-8.5278858625162037</v>
      </c>
      <c r="AW167" s="752" t="str">
        <f>INPUT!CN448</f>
        <v>NM</v>
      </c>
      <c r="AX167" s="793">
        <f>INPUT!CO448</f>
        <v>16.94695989650711</v>
      </c>
      <c r="AY167" s="752">
        <f>INPUT!CP448</f>
        <v>5.1631116058445281</v>
      </c>
      <c r="AZ167" s="793">
        <f>INPUT!CQ448</f>
        <v>18.477910351499506</v>
      </c>
      <c r="BA167" s="752">
        <f>INPUT!CR448</f>
        <v>22.984707166422737</v>
      </c>
      <c r="BB167" s="793">
        <f>INPUT!CS448</f>
        <v>18.056002574831034</v>
      </c>
      <c r="BC167" s="752">
        <f>INPUT!CT448</f>
        <v>10.683641022769198</v>
      </c>
      <c r="BD167" s="793">
        <f>INPUT!CU448</f>
        <v>17.791411042944798</v>
      </c>
      <c r="BE167" s="752" t="str">
        <f>INPUT!CV448</f>
        <v>NM</v>
      </c>
      <c r="BF167" s="793">
        <f>INPUT!CW448</f>
        <v>18.269230769230781</v>
      </c>
      <c r="BG167" s="752">
        <f>INPUT!CX448</f>
        <v>7.8024075161480688</v>
      </c>
      <c r="BH167" s="793">
        <f>INPUT!CY448</f>
        <v>17.815179422038735</v>
      </c>
      <c r="BI167" s="752">
        <f>INPUT!CZ448</f>
        <v>-3.586611888757163</v>
      </c>
      <c r="BJ167" s="793">
        <f>INPUT!DA448</f>
        <v>18.236409608091037</v>
      </c>
      <c r="BK167" s="752">
        <f>INPUT!DB448</f>
        <v>0.99915267796581997</v>
      </c>
      <c r="BL167" s="793">
        <f>INPUT!DC448</f>
        <v>20.409511228533685</v>
      </c>
      <c r="BM167" s="752">
        <f>INPUT!DD448</f>
        <v>14.715528629344421</v>
      </c>
      <c r="BN167" s="793">
        <f>INPUT!DE448</f>
        <v>18.06709756848262</v>
      </c>
      <c r="BO167" s="752">
        <f>INPUT!DF448</f>
        <v>-1.1064133093583561</v>
      </c>
      <c r="BP167" s="793">
        <f>INPUT!DG448</f>
        <v>18.628957885029195</v>
      </c>
      <c r="BQ167" s="752">
        <f>INPUT!DH448</f>
        <v>4.5678937254134633</v>
      </c>
      <c r="BR167" s="793">
        <f>INPUT!DI448</f>
        <v>19.48297604035309</v>
      </c>
      <c r="BS167" s="752">
        <f>INPUT!DJ448</f>
        <v>6.8355913200643492</v>
      </c>
      <c r="BT167" s="793">
        <f>INPUT!DK448</f>
        <v>-15.902386698846877</v>
      </c>
      <c r="BU167" s="752" t="str">
        <f>INPUT!DL448</f>
        <v>NM</v>
      </c>
      <c r="BV167" s="793">
        <f>INPUT!DM448</f>
        <v>18.190386427898218</v>
      </c>
      <c r="BW167" s="752">
        <f>INPUT!DN448</f>
        <v>0.68239438541954911</v>
      </c>
      <c r="BX167" s="793">
        <f>INPUT!DO448</f>
        <v>16.457680250783721</v>
      </c>
      <c r="BY167" s="752">
        <f>INPUT!DP448</f>
        <v>-11.655389676898565</v>
      </c>
      <c r="BZ167" s="793">
        <f>INPUT!DQ448</f>
        <v>18.494623655913962</v>
      </c>
      <c r="CA167" s="752">
        <f>INPUT!DR448</f>
        <v>-5.0729025298396735</v>
      </c>
      <c r="CB167" s="793">
        <f>INPUT!DS448</f>
        <v>17.00595051675543</v>
      </c>
      <c r="CC167" s="752" t="str">
        <f>INPUT!DT448</f>
        <v>NM</v>
      </c>
      <c r="CD167" s="793">
        <f>INPUT!DU448</f>
        <v>17.061903295349573</v>
      </c>
      <c r="CE167" s="752">
        <f>INPUT!DV448</f>
        <v>-6.2037336975860669</v>
      </c>
      <c r="CF167" s="793">
        <f>INPUT!DW448</f>
        <v>16.990146312332051</v>
      </c>
      <c r="CG167" s="752">
        <f>INPUT!DX448</f>
        <v>3.2353652120746146</v>
      </c>
      <c r="CH167" s="793">
        <f>INPUT!DY448</f>
        <v>16.630333229523529</v>
      </c>
      <c r="CI167" s="752">
        <f>INPUT!DZ448</f>
        <v>-10.080174979901768</v>
      </c>
      <c r="CJ167" s="793">
        <f>INPUT!EA448</f>
        <v>16.36522753792298</v>
      </c>
      <c r="CK167" s="752">
        <f>INPUT!EB448</f>
        <v>-3.7676399105193492</v>
      </c>
      <c r="CL167" s="793">
        <f>INPUT!EC448</f>
        <v>16.47543395116212</v>
      </c>
      <c r="CM167" s="752">
        <f>INPUT!ED448</f>
        <v>-3.4373031779362018</v>
      </c>
      <c r="CN167" s="793">
        <f>INPUT!EE448</f>
        <v>17.227722772277215</v>
      </c>
      <c r="CO167" s="752">
        <f>INPUT!EF448</f>
        <v>1.398319093772149</v>
      </c>
      <c r="CP167" s="793">
        <f>INPUT!EG448</f>
        <v>16.863075196408523</v>
      </c>
      <c r="CQ167" s="752">
        <f>INPUT!EH448</f>
        <v>1.3995027259695147</v>
      </c>
      <c r="CR167" s="793">
        <f>INPUT!EI448</f>
        <v>15.285599356395824</v>
      </c>
      <c r="CS167" s="752">
        <f>INPUT!EJ448</f>
        <v>-6.5970862856953527</v>
      </c>
      <c r="CT167" s="793">
        <f>INPUT!EK448</f>
        <v>16.922955200306632</v>
      </c>
      <c r="CU167" s="752">
        <f>INPUT!EL448</f>
        <v>2.7162941532896223</v>
      </c>
      <c r="CV167" s="793">
        <f>INPUT!EM448</f>
        <v>16.838828564438789</v>
      </c>
      <c r="CW167" s="752">
        <f>INPUT!EN448</f>
        <v>-2.2573744248092553</v>
      </c>
      <c r="CX167" s="793">
        <f>INPUT!EO448</f>
        <v>17.176748866034636</v>
      </c>
      <c r="CY167" s="752">
        <f>INPUT!EP448</f>
        <v>1.8601213952536888</v>
      </c>
      <c r="CZ167" s="793">
        <f>INPUT!EQ448</f>
        <v>17.106168861543491</v>
      </c>
      <c r="DA167" s="752">
        <f>INPUT!ER448</f>
        <v>11.910357341571309</v>
      </c>
      <c r="DB167" s="793"/>
      <c r="DC167" s="793"/>
      <c r="DD167" s="756" t="str">
        <f>INPUT!FC448</f>
        <v>NA</v>
      </c>
      <c r="DE167" s="793">
        <f>INPUT!FD448</f>
        <v>21.195497966518463</v>
      </c>
      <c r="DF167" s="756" t="str">
        <f>INPUT!FE448</f>
        <v>NA</v>
      </c>
      <c r="DG167" s="793">
        <f>INPUT!FF448</f>
        <v>-327.98232695140229</v>
      </c>
      <c r="DH167" s="756" t="str">
        <f>INPUT!FG448</f>
        <v>NM</v>
      </c>
      <c r="DI167" s="793">
        <f>INPUT!FH448</f>
        <v>-158.0740740740741</v>
      </c>
      <c r="DJ167" s="756" t="str">
        <f>INPUT!FI448</f>
        <v>NM</v>
      </c>
      <c r="DK167" s="793">
        <f>INPUT!FJ448</f>
        <v>24.161760941899153</v>
      </c>
      <c r="DL167" s="752" t="str">
        <f>INPUT!FK448</f>
        <v>NM</v>
      </c>
      <c r="DM167" s="793">
        <f>INPUT!FL448</f>
        <v>19.187237253422463</v>
      </c>
      <c r="DN167" s="752">
        <f>INPUT!FM448</f>
        <v>-20.588415308133932</v>
      </c>
      <c r="DO167" s="793">
        <f>INPUT!FN448</f>
        <v>18.89145102058248</v>
      </c>
      <c r="DP167" s="752">
        <f>INPUT!FO448</f>
        <v>-1.5415780236272547</v>
      </c>
      <c r="DQ167" s="793">
        <f>INPUT!FP448</f>
        <v>16.427630048841007</v>
      </c>
      <c r="DR167" s="752">
        <f>INPUT!FQ448</f>
        <v>-13.041989040741807</v>
      </c>
      <c r="DS167" s="793">
        <f>INPUT!FR448</f>
        <v>14.714600592840336</v>
      </c>
      <c r="DT167" s="752">
        <f>INPUT!FS448</f>
        <v>-10.427733342592093</v>
      </c>
      <c r="DU167" s="793">
        <f>INPUT!FT448</f>
        <v>15.364916773367487</v>
      </c>
      <c r="DV167" s="752">
        <f>INPUT!FU448</f>
        <v>4.4195299520638942</v>
      </c>
      <c r="DW167" s="793">
        <f>INPUT!FV448</f>
        <v>56.336125371521305</v>
      </c>
      <c r="DX167" s="752" t="str">
        <f>INPUT!FW448</f>
        <v>NM</v>
      </c>
      <c r="DY167" s="793">
        <f>INPUT!FX448</f>
        <v>17.470934862239236</v>
      </c>
      <c r="DZ167" s="752" t="str">
        <f>INPUT!FY448</f>
        <v>NM</v>
      </c>
      <c r="EA167" s="793">
        <f>INPUT!FZ448</f>
        <v>18.666238664633639</v>
      </c>
      <c r="EB167" s="752">
        <f>INPUT!GA448</f>
        <v>6.8416705334862771</v>
      </c>
      <c r="EC167" s="793">
        <f>INPUT!GB448</f>
        <v>40.437342304457538</v>
      </c>
      <c r="ED167" s="752" t="str">
        <f>INPUT!GC448</f>
        <v>NM</v>
      </c>
      <c r="EE167" s="793">
        <f>INPUT!GD448</f>
        <v>17.541533421729948</v>
      </c>
      <c r="EF167" s="752" t="str">
        <f>INPUT!GE448</f>
        <v>NM</v>
      </c>
      <c r="EG167" s="793">
        <f>INPUT!GF448</f>
        <v>16.75859463543636</v>
      </c>
      <c r="EH167" s="752">
        <f>INPUT!GG448</f>
        <v>-4.4633428986527779</v>
      </c>
      <c r="EI167" s="793">
        <f>INPUT!GH448</f>
        <v>16.447599634497806</v>
      </c>
      <c r="EJ167" s="752">
        <f>INPUT!GI448</f>
        <v>-1.8557343721468667</v>
      </c>
      <c r="EK167" s="793">
        <f>INPUT!GJ448</f>
        <v>17.011733581547166</v>
      </c>
      <c r="EL167" s="752">
        <f>INPUT!GK448</f>
        <v>3.4298861814834325</v>
      </c>
      <c r="EM167" s="793">
        <f>INPUT!GL448</f>
        <v>17.133826934146278</v>
      </c>
      <c r="EN167" s="752">
        <f>INPUT!GM448</f>
        <v>0.71770082698419113</v>
      </c>
      <c r="EO167" s="793">
        <f>INPUT!GN448</f>
        <v>17.190011164214596</v>
      </c>
      <c r="EP167" s="752">
        <f>INPUT!GO448</f>
        <v>0.32791407479637602</v>
      </c>
      <c r="EQ167" s="793">
        <f>INPUT!GP448</f>
        <v>17.319080975108822</v>
      </c>
      <c r="ER167" s="752">
        <f>INPUT!GQ448</f>
        <v>0.7508419259373067</v>
      </c>
      <c r="ES167" s="793">
        <f>INPUT!GR448</f>
        <v>17.411513334010266</v>
      </c>
      <c r="ET167" s="752">
        <f>INPUT!GS448</f>
        <v>0.53370244664996402</v>
      </c>
      <c r="EU167" s="756">
        <f>INPUT!GT448</f>
        <v>1.1455543012853786</v>
      </c>
      <c r="EV167" s="710"/>
    </row>
    <row r="168" spans="1:152" ht="12.75" hidden="1" customHeight="1" outlineLevel="1" x14ac:dyDescent="0.2">
      <c r="A168" s="754"/>
      <c r="B168" s="793"/>
      <c r="C168" s="756"/>
      <c r="D168" s="793"/>
      <c r="E168" s="756"/>
      <c r="F168" s="793"/>
      <c r="G168" s="756"/>
      <c r="H168" s="793"/>
      <c r="I168" s="752"/>
      <c r="J168" s="793"/>
      <c r="K168" s="752"/>
      <c r="L168" s="793"/>
      <c r="M168" s="752"/>
      <c r="N168" s="793"/>
      <c r="O168" s="752"/>
      <c r="P168" s="793"/>
      <c r="Q168" s="752"/>
      <c r="R168" s="793"/>
      <c r="S168" s="752"/>
      <c r="T168" s="793"/>
      <c r="U168" s="752"/>
      <c r="V168" s="793"/>
      <c r="W168" s="752"/>
      <c r="X168" s="793"/>
      <c r="Y168" s="752"/>
      <c r="Z168" s="793"/>
      <c r="AA168" s="752"/>
      <c r="AB168" s="793"/>
      <c r="AC168" s="752"/>
      <c r="AD168" s="793"/>
      <c r="AE168" s="752"/>
      <c r="AF168" s="793"/>
      <c r="AG168" s="752"/>
      <c r="AH168" s="793"/>
      <c r="AI168" s="752"/>
      <c r="AJ168" s="793"/>
      <c r="AK168" s="752"/>
      <c r="AL168" s="793"/>
      <c r="AM168" s="752"/>
      <c r="AN168" s="793"/>
      <c r="AO168" s="752"/>
      <c r="AP168" s="793"/>
      <c r="AQ168" s="752"/>
      <c r="AR168" s="793"/>
      <c r="AS168" s="752"/>
      <c r="AT168" s="793"/>
      <c r="AU168" s="752"/>
      <c r="AV168" s="793"/>
      <c r="AW168" s="752"/>
      <c r="AX168" s="793"/>
      <c r="AY168" s="752"/>
      <c r="AZ168" s="793"/>
      <c r="BA168" s="752"/>
      <c r="BB168" s="793"/>
      <c r="BC168" s="752"/>
      <c r="BD168" s="793"/>
      <c r="BE168" s="752"/>
      <c r="BF168" s="793"/>
      <c r="BG168" s="752"/>
      <c r="BH168" s="793"/>
      <c r="BI168" s="752"/>
      <c r="BJ168" s="793"/>
      <c r="BK168" s="752"/>
      <c r="BL168" s="793"/>
      <c r="BM168" s="752"/>
      <c r="BN168" s="793"/>
      <c r="BO168" s="752"/>
      <c r="BP168" s="793"/>
      <c r="BQ168" s="752"/>
      <c r="BR168" s="793"/>
      <c r="BS168" s="752"/>
      <c r="BT168" s="793"/>
      <c r="BU168" s="752"/>
      <c r="BV168" s="793"/>
      <c r="BW168" s="752"/>
      <c r="BX168" s="793"/>
      <c r="BY168" s="752"/>
      <c r="BZ168" s="793"/>
      <c r="CA168" s="752"/>
      <c r="CB168" s="793"/>
      <c r="CC168" s="752"/>
      <c r="CD168" s="793"/>
      <c r="CE168" s="752"/>
      <c r="CF168" s="793"/>
      <c r="CG168" s="752"/>
      <c r="CH168" s="793"/>
      <c r="CI168" s="752"/>
      <c r="CJ168" s="793"/>
      <c r="CK168" s="752"/>
      <c r="CL168" s="793"/>
      <c r="CM168" s="752"/>
      <c r="CN168" s="793"/>
      <c r="CO168" s="752"/>
      <c r="CP168" s="793"/>
      <c r="CQ168" s="752"/>
      <c r="CR168" s="793"/>
      <c r="CS168" s="752"/>
      <c r="CT168" s="793"/>
      <c r="CU168" s="752"/>
      <c r="CV168" s="793"/>
      <c r="CW168" s="752"/>
      <c r="CX168" s="793"/>
      <c r="CY168" s="752"/>
      <c r="CZ168" s="793"/>
      <c r="DA168" s="752"/>
      <c r="DB168" s="753"/>
      <c r="DC168" s="793"/>
      <c r="DD168" s="756"/>
      <c r="DE168" s="793"/>
      <c r="DF168" s="756"/>
      <c r="DG168" s="793"/>
      <c r="DH168" s="756"/>
      <c r="DI168" s="793"/>
      <c r="DJ168" s="756"/>
      <c r="DK168" s="793"/>
      <c r="DL168" s="752"/>
      <c r="DM168" s="793"/>
      <c r="DN168" s="752"/>
      <c r="DO168" s="793"/>
      <c r="DP168" s="752"/>
      <c r="DQ168" s="793"/>
      <c r="DR168" s="752"/>
      <c r="DS168" s="793"/>
      <c r="DT168" s="752"/>
      <c r="DU168" s="793"/>
      <c r="DV168" s="752"/>
      <c r="DW168" s="793"/>
      <c r="DX168" s="752"/>
      <c r="DY168" s="793"/>
      <c r="DZ168" s="752"/>
      <c r="EA168" s="793"/>
      <c r="EB168" s="752"/>
      <c r="EC168" s="793"/>
      <c r="ED168" s="752"/>
      <c r="EE168" s="793"/>
      <c r="EF168" s="752"/>
      <c r="EG168" s="793"/>
      <c r="EH168" s="752"/>
      <c r="EI168" s="793"/>
      <c r="EJ168" s="752"/>
      <c r="EK168" s="793"/>
      <c r="EL168" s="752"/>
      <c r="EM168" s="793"/>
      <c r="EN168" s="752"/>
      <c r="EO168" s="793"/>
      <c r="EP168" s="752"/>
      <c r="EQ168" s="793"/>
      <c r="ER168" s="752"/>
      <c r="ES168" s="793"/>
      <c r="ET168" s="752"/>
      <c r="EU168" s="756"/>
      <c r="EV168" s="710"/>
    </row>
    <row r="169" spans="1:152" ht="12.75" hidden="1" customHeight="1" outlineLevel="1" x14ac:dyDescent="0.2">
      <c r="A169" s="749" t="s">
        <v>450</v>
      </c>
      <c r="B169" s="793"/>
      <c r="C169" s="756"/>
      <c r="D169" s="793"/>
      <c r="E169" s="756"/>
      <c r="F169" s="793"/>
      <c r="G169" s="756"/>
      <c r="H169" s="793"/>
      <c r="I169" s="752"/>
      <c r="J169" s="793"/>
      <c r="K169" s="752"/>
      <c r="L169" s="793"/>
      <c r="M169" s="752"/>
      <c r="N169" s="793"/>
      <c r="O169" s="752"/>
      <c r="P169" s="793"/>
      <c r="Q169" s="752"/>
      <c r="R169" s="793"/>
      <c r="S169" s="752"/>
      <c r="T169" s="793"/>
      <c r="U169" s="752"/>
      <c r="V169" s="793"/>
      <c r="W169" s="752"/>
      <c r="X169" s="793"/>
      <c r="Y169" s="752"/>
      <c r="Z169" s="793"/>
      <c r="AA169" s="752"/>
      <c r="AB169" s="793"/>
      <c r="AC169" s="752"/>
      <c r="AD169" s="793"/>
      <c r="AE169" s="752"/>
      <c r="AF169" s="793"/>
      <c r="AG169" s="752"/>
      <c r="AH169" s="793"/>
      <c r="AI169" s="752"/>
      <c r="AJ169" s="793"/>
      <c r="AK169" s="752"/>
      <c r="AL169" s="793"/>
      <c r="AM169" s="752"/>
      <c r="AN169" s="793"/>
      <c r="AO169" s="752"/>
      <c r="AP169" s="793"/>
      <c r="AQ169" s="752"/>
      <c r="AR169" s="793"/>
      <c r="AS169" s="752"/>
      <c r="AT169" s="793"/>
      <c r="AU169" s="752"/>
      <c r="AV169" s="793"/>
      <c r="AW169" s="752"/>
      <c r="AX169" s="793"/>
      <c r="AY169" s="752"/>
      <c r="AZ169" s="793"/>
      <c r="BA169" s="752"/>
      <c r="BB169" s="793"/>
      <c r="BC169" s="752"/>
      <c r="BD169" s="793"/>
      <c r="BE169" s="752"/>
      <c r="BF169" s="793"/>
      <c r="BG169" s="752"/>
      <c r="BH169" s="793"/>
      <c r="BI169" s="752"/>
      <c r="BJ169" s="793"/>
      <c r="BK169" s="752"/>
      <c r="BL169" s="793"/>
      <c r="BM169" s="752"/>
      <c r="BN169" s="793"/>
      <c r="BO169" s="752"/>
      <c r="BP169" s="793"/>
      <c r="BQ169" s="752"/>
      <c r="BR169" s="793"/>
      <c r="BS169" s="752"/>
      <c r="BT169" s="793"/>
      <c r="BU169" s="752"/>
      <c r="BV169" s="793"/>
      <c r="BW169" s="752"/>
      <c r="BX169" s="793"/>
      <c r="BY169" s="752"/>
      <c r="BZ169" s="793"/>
      <c r="CA169" s="752"/>
      <c r="CB169" s="793"/>
      <c r="CC169" s="752"/>
      <c r="CD169" s="793"/>
      <c r="CE169" s="752"/>
      <c r="CF169" s="793"/>
      <c r="CG169" s="752"/>
      <c r="CH169" s="793"/>
      <c r="CI169" s="752"/>
      <c r="CJ169" s="793"/>
      <c r="CK169" s="752"/>
      <c r="CL169" s="793"/>
      <c r="CM169" s="752"/>
      <c r="CN169" s="793"/>
      <c r="CO169" s="752"/>
      <c r="CP169" s="793"/>
      <c r="CQ169" s="752"/>
      <c r="CR169" s="793"/>
      <c r="CS169" s="752"/>
      <c r="CT169" s="793"/>
      <c r="CU169" s="752"/>
      <c r="CV169" s="793"/>
      <c r="CW169" s="752"/>
      <c r="CX169" s="793"/>
      <c r="CY169" s="752"/>
      <c r="CZ169" s="793"/>
      <c r="DA169" s="752"/>
      <c r="DB169" s="753"/>
      <c r="DC169" s="793"/>
      <c r="DD169" s="756"/>
      <c r="DE169" s="793"/>
      <c r="DF169" s="756"/>
      <c r="DG169" s="793"/>
      <c r="DH169" s="756"/>
      <c r="DI169" s="793"/>
      <c r="DJ169" s="756"/>
      <c r="DK169" s="793"/>
      <c r="DL169" s="752"/>
      <c r="DM169" s="793"/>
      <c r="DN169" s="752"/>
      <c r="DO169" s="793"/>
      <c r="DP169" s="752"/>
      <c r="DQ169" s="793"/>
      <c r="DR169" s="752"/>
      <c r="DS169" s="793"/>
      <c r="DT169" s="752"/>
      <c r="DU169" s="793"/>
      <c r="DV169" s="752"/>
      <c r="DW169" s="793"/>
      <c r="DX169" s="752"/>
      <c r="DY169" s="793"/>
      <c r="DZ169" s="752"/>
      <c r="EA169" s="793"/>
      <c r="EB169" s="752"/>
      <c r="EC169" s="793"/>
      <c r="ED169" s="752"/>
      <c r="EE169" s="793"/>
      <c r="EF169" s="752"/>
      <c r="EG169" s="793"/>
      <c r="EH169" s="752"/>
      <c r="EI169" s="793"/>
      <c r="EJ169" s="752"/>
      <c r="EK169" s="793"/>
      <c r="EL169" s="752"/>
      <c r="EM169" s="793"/>
      <c r="EN169" s="752"/>
      <c r="EO169" s="793"/>
      <c r="EP169" s="752"/>
      <c r="EQ169" s="793"/>
      <c r="ER169" s="752"/>
      <c r="ES169" s="793"/>
      <c r="ET169" s="752"/>
      <c r="EU169" s="756"/>
      <c r="EV169" s="710"/>
    </row>
    <row r="170" spans="1:152" ht="12.75" hidden="1" customHeight="1" outlineLevel="1" x14ac:dyDescent="0.2">
      <c r="A170" s="754" t="str">
        <f>INPUT!B94</f>
        <v>Pretax Earnings/Revenues (%)</v>
      </c>
      <c r="B170" s="793">
        <f>INPUT!AS94</f>
        <v>11.144960649911138</v>
      </c>
      <c r="C170" s="756">
        <f>INPUT!AT94</f>
        <v>-17.768263312817901</v>
      </c>
      <c r="D170" s="793">
        <f>INPUT!AU94</f>
        <v>11.2960161371659</v>
      </c>
      <c r="E170" s="756">
        <f>INPUT!AV94</f>
        <v>-3.3117616651770154</v>
      </c>
      <c r="F170" s="793">
        <f>INPUT!AW94</f>
        <v>11.745424747336793</v>
      </c>
      <c r="G170" s="756">
        <f>INPUT!AX94</f>
        <v>10.306077281074689</v>
      </c>
      <c r="H170" s="793">
        <f>INPUT!AY94</f>
        <v>12.044745057232067</v>
      </c>
      <c r="I170" s="752">
        <f>INPUT!AZ94</f>
        <v>11.891528221321202</v>
      </c>
      <c r="J170" s="793">
        <f>INPUT!BA94</f>
        <v>14.187248707639283</v>
      </c>
      <c r="K170" s="752">
        <f>INPUT!BB94</f>
        <v>27.297432025947987</v>
      </c>
      <c r="L170" s="793">
        <f>INPUT!BC94</f>
        <v>14.931864308495232</v>
      </c>
      <c r="M170" s="752">
        <f>INPUT!BD94</f>
        <v>32.186995195294976</v>
      </c>
      <c r="N170" s="793">
        <f>INPUT!BE94</f>
        <v>16.37529137529139</v>
      </c>
      <c r="O170" s="752">
        <f>INPUT!BF94</f>
        <v>39.41846912777158</v>
      </c>
      <c r="P170" s="793">
        <f>INPUT!BG94</f>
        <v>17.707719505008832</v>
      </c>
      <c r="Q170" s="752">
        <f>INPUT!BH94</f>
        <v>47.016142067502933</v>
      </c>
      <c r="R170" s="793">
        <f>INPUT!BI94</f>
        <v>17.088217149907457</v>
      </c>
      <c r="S170" s="752">
        <f>INPUT!BJ94</f>
        <v>20.447716833963135</v>
      </c>
      <c r="T170" s="793">
        <f>INPUT!BK94</f>
        <v>16.296518607442962</v>
      </c>
      <c r="U170" s="752">
        <f>INPUT!BL94</f>
        <v>9.1392090816907015</v>
      </c>
      <c r="V170" s="793">
        <f>INPUT!BM94</f>
        <v>15.345191438046438</v>
      </c>
      <c r="W170" s="752">
        <f>INPUT!BN94</f>
        <v>-6.2905747057378498</v>
      </c>
      <c r="X170" s="793">
        <f>INPUT!BO94</f>
        <v>15.26092233009709</v>
      </c>
      <c r="Y170" s="752">
        <f>INPUT!BP94</f>
        <v>-13.817686541847685</v>
      </c>
      <c r="Z170" s="793">
        <f>INPUT!BQ94</f>
        <v>15.117370892018783</v>
      </c>
      <c r="AA170" s="752">
        <f>INPUT!BR94</f>
        <v>-11.533363841290766</v>
      </c>
      <c r="AB170" s="793">
        <f>INPUT!BS94</f>
        <v>15.007704160246563</v>
      </c>
      <c r="AC170" s="752">
        <f>INPUT!BT94</f>
        <v>-7.9085262211020417</v>
      </c>
      <c r="AD170" s="793">
        <f>INPUT!BU94</f>
        <v>15.342129487572858</v>
      </c>
      <c r="AE170" s="752">
        <f>INPUT!BV94</f>
        <v>-1.9953810846484732E-2</v>
      </c>
      <c r="AF170" s="793">
        <f>INPUT!BW94</f>
        <v>14.855185300529428</v>
      </c>
      <c r="AG170" s="752">
        <f>INPUT!BX94</f>
        <v>-2.6586664999105669</v>
      </c>
      <c r="AH170" s="793">
        <f>INPUT!BY94</f>
        <v>15.372907153729088</v>
      </c>
      <c r="AI170" s="752">
        <f>INPUT!BZ94</f>
        <v>1.6903485634874205</v>
      </c>
      <c r="AJ170" s="793">
        <f>INPUT!CA94</f>
        <v>15.281989084293521</v>
      </c>
      <c r="AK170" s="752">
        <f>INPUT!CB94</f>
        <v>1.8276274713190377</v>
      </c>
      <c r="AL170" s="793">
        <f>INPUT!CC94</f>
        <v>15.34073851696188</v>
      </c>
      <c r="AM170" s="752">
        <f>INPUT!CD94</f>
        <v>-9.0663464423657025E-3</v>
      </c>
      <c r="AN170" s="793">
        <f>INPUT!CE94</f>
        <v>15.430267062314554</v>
      </c>
      <c r="AO170" s="752">
        <f>INPUT!CF94</f>
        <v>3.8712526983061712</v>
      </c>
      <c r="AP170" s="793">
        <f>INPUT!CG94</f>
        <v>15.39379474940333</v>
      </c>
      <c r="AQ170" s="752">
        <f>INPUT!CH94</f>
        <v>0.13587277582156609</v>
      </c>
      <c r="AR170" s="793">
        <f>INPUT!CI94</f>
        <v>15.499254843517138</v>
      </c>
      <c r="AS170" s="752">
        <f>INPUT!CJ94</f>
        <v>1.4217112577767699</v>
      </c>
      <c r="AT170" s="793">
        <f>INPUT!CK94</f>
        <v>15.405007363770254</v>
      </c>
      <c r="AU170" s="752">
        <f>INPUT!CL94</f>
        <v>0.41894232625967476</v>
      </c>
      <c r="AV170" s="793">
        <f>INPUT!CM94</f>
        <v>15.317414094350603</v>
      </c>
      <c r="AW170" s="752">
        <f>INPUT!CN94</f>
        <v>-0.73137404238176051</v>
      </c>
      <c r="AX170" s="793">
        <f>INPUT!CO94</f>
        <v>14.665547159249925</v>
      </c>
      <c r="AY170" s="752">
        <f>INPUT!CP94</f>
        <v>-4.7307866709190183</v>
      </c>
      <c r="AZ170" s="793">
        <f>INPUT!CQ94</f>
        <v>15.850622406638996</v>
      </c>
      <c r="BA170" s="752">
        <f>INPUT!CR94</f>
        <v>2.2669964889881378</v>
      </c>
      <c r="BB170" s="793">
        <f>INPUT!CS94</f>
        <v>15.45454545454546</v>
      </c>
      <c r="BC170" s="752">
        <f>INPUT!CT94</f>
        <v>0.32157135407615556</v>
      </c>
      <c r="BD170" s="793">
        <f>INPUT!CU94</f>
        <v>15.120746432491774</v>
      </c>
      <c r="BE170" s="752">
        <f>INPUT!CV94</f>
        <v>-1.2839481954813992</v>
      </c>
      <c r="BF170" s="793">
        <f>INPUT!CW94</f>
        <v>15.472312703583077</v>
      </c>
      <c r="BG170" s="752">
        <f>INPUT!CX94</f>
        <v>5.5010940646991413</v>
      </c>
      <c r="BH170" s="793">
        <f>INPUT!CY94</f>
        <v>15.240423797881004</v>
      </c>
      <c r="BI170" s="752">
        <f>INPUT!CZ94</f>
        <v>-3.8496823222690102</v>
      </c>
      <c r="BJ170" s="793">
        <f>INPUT!DA94</f>
        <v>15.510752688172055</v>
      </c>
      <c r="BK170" s="752">
        <f>INPUT!DB94</f>
        <v>0.36369386464267794</v>
      </c>
      <c r="BL170" s="793">
        <f>INPUT!DC94</f>
        <v>26.556129382984505</v>
      </c>
      <c r="BM170" s="752">
        <f>INPUT!DD94</f>
        <v>75.627106119048079</v>
      </c>
      <c r="BN170" s="793">
        <f>INPUT!DE94</f>
        <v>15.653333333333331</v>
      </c>
      <c r="BO170" s="752">
        <f>INPUT!DF94</f>
        <v>1.1699649122805855</v>
      </c>
      <c r="BP170" s="793">
        <f>INPUT!DG94</f>
        <v>16.035988356708117</v>
      </c>
      <c r="BQ170" s="752">
        <f>INPUT!DH94</f>
        <v>5.220094725566149</v>
      </c>
      <c r="BR170" s="793">
        <f>INPUT!DI94</f>
        <v>16.156862745098042</v>
      </c>
      <c r="BS170" s="752">
        <f>INPUT!DJ94</f>
        <v>4.1655622387602564</v>
      </c>
      <c r="BT170" s="793">
        <f>INPUT!DK94</f>
        <v>15.228556753980484</v>
      </c>
      <c r="BU170" s="752">
        <f>INPUT!DL94</f>
        <v>-42.655209521090889</v>
      </c>
      <c r="BV170" s="793">
        <f>INPUT!DM94</f>
        <v>14.42451420029896</v>
      </c>
      <c r="BW170" s="752">
        <f>INPUT!DN94</f>
        <v>-7.8502074086522882</v>
      </c>
      <c r="BX170" s="793">
        <f>INPUT!DO94</f>
        <v>13.001485884101054</v>
      </c>
      <c r="BY170" s="752">
        <f>INPUT!DP94</f>
        <v>-18.923077300300484</v>
      </c>
      <c r="BZ170" s="793">
        <f>INPUT!DQ94</f>
        <v>14.908370480435856</v>
      </c>
      <c r="CA170" s="752">
        <f>INPUT!DR94</f>
        <v>-7.7273186283703277</v>
      </c>
      <c r="CB170" s="793">
        <f>INPUT!DS94</f>
        <v>13.331696538178262</v>
      </c>
      <c r="CC170" s="752">
        <f>INPUT!DT94</f>
        <v>-12.455942125352204</v>
      </c>
      <c r="CD170" s="793">
        <f>INPUT!DU94</f>
        <v>13.330125120307995</v>
      </c>
      <c r="CE170" s="752">
        <f>INPUT!DV94</f>
        <v>-7.5870082333052373</v>
      </c>
      <c r="CF170" s="793">
        <f>INPUT!DW94</f>
        <v>13.753927967125945</v>
      </c>
      <c r="CG170" s="752">
        <f>INPUT!DX94</f>
        <v>5.7873545357228551</v>
      </c>
      <c r="CH170" s="793">
        <f>INPUT!DY94</f>
        <v>12.778176597272095</v>
      </c>
      <c r="CI170" s="752">
        <f>INPUT!DZ94</f>
        <v>-14.288576246204766</v>
      </c>
      <c r="CJ170" s="793">
        <f>INPUT!EA94</f>
        <v>13.325415676959615</v>
      </c>
      <c r="CK170" s="752">
        <f>INPUT!EB94</f>
        <v>-4.71122426216386E-2</v>
      </c>
      <c r="CL170" s="793">
        <f>INPUT!EC94</f>
        <v>12.933025404157044</v>
      </c>
      <c r="CM170" s="752">
        <f>INPUT!ED94</f>
        <v>-2.978964657623373</v>
      </c>
      <c r="CN170" s="793">
        <f>INPUT!EE94</f>
        <v>14.175977653631278</v>
      </c>
      <c r="CO170" s="752">
        <f>INPUT!EF94</f>
        <v>3.0685756644509121</v>
      </c>
      <c r="CP170" s="793">
        <f>INPUT!EG94</f>
        <v>13.787565955494371</v>
      </c>
      <c r="CQ170" s="752">
        <f>INPUT!EH94</f>
        <v>7.899322337099024</v>
      </c>
      <c r="CR170" s="793">
        <f>INPUT!EI94</f>
        <v>13.218923933209648</v>
      </c>
      <c r="CS170" s="752">
        <f>INPUT!EJ94</f>
        <v>-0.79916264026267392</v>
      </c>
      <c r="CT170" s="793">
        <f>INPUT!EK94</f>
        <v>13.216041228798247</v>
      </c>
      <c r="CU170" s="752">
        <f>INPUT!EL94</f>
        <v>2.1883187869578657</v>
      </c>
      <c r="CV170" s="793">
        <f>INPUT!EM94</f>
        <v>13.340497083362319</v>
      </c>
      <c r="CW170" s="752">
        <f>INPUT!EN94</f>
        <v>-5.8936363380549306</v>
      </c>
      <c r="CX170" s="793">
        <f>INPUT!EO94</f>
        <v>13.432547011973583</v>
      </c>
      <c r="CY170" s="752">
        <f>INPUT!EP94</f>
        <v>-2.574921089529314</v>
      </c>
      <c r="CZ170" s="793">
        <f>INPUT!EQ94</f>
        <v>13.59077303733223</v>
      </c>
      <c r="DA170" s="752">
        <f>INPUT!ER94</f>
        <v>2.8130058543448744</v>
      </c>
      <c r="DB170" s="793"/>
      <c r="DC170" s="793"/>
      <c r="DD170" s="756">
        <f>INPUT!FC94</f>
        <v>0</v>
      </c>
      <c r="DE170" s="793">
        <f>INPUT!FD94</f>
        <v>12.723556463975468</v>
      </c>
      <c r="DF170" s="756" t="str">
        <f>INPUT!FE94</f>
        <v>NA</v>
      </c>
      <c r="DG170" s="793">
        <f>INPUT!FF94</f>
        <v>12.318159190220699</v>
      </c>
      <c r="DH170" s="756">
        <f>INPUT!FG94</f>
        <v>-3.1861946375023376</v>
      </c>
      <c r="DI170" s="793">
        <f>INPUT!FH94</f>
        <v>12.051730953860071</v>
      </c>
      <c r="DJ170" s="756">
        <f>INPUT!FI94</f>
        <v>-2.1628900247704475</v>
      </c>
      <c r="DK170" s="793">
        <f>INPUT!FJ94</f>
        <v>11.675221074763476</v>
      </c>
      <c r="DL170" s="752">
        <f>INPUT!FK94</f>
        <v>-3.124114540376477</v>
      </c>
      <c r="DM170" s="793">
        <f>INPUT!FL94</f>
        <v>11.550940947436745</v>
      </c>
      <c r="DN170" s="752">
        <f>INPUT!FM94</f>
        <v>-1.0644777219282697</v>
      </c>
      <c r="DO170" s="793">
        <f>INPUT!FN94</f>
        <v>15.788325943156229</v>
      </c>
      <c r="DP170" s="752">
        <f>INPUT!FO94</f>
        <v>36.684327406762463</v>
      </c>
      <c r="DQ170" s="793">
        <f>INPUT!FP94</f>
        <v>15.993023432168052</v>
      </c>
      <c r="DR170" s="752">
        <f>INPUT!FQ94</f>
        <v>1.2965116741876725</v>
      </c>
      <c r="DS170" s="793">
        <f>INPUT!FR94</f>
        <v>14.996127033307523</v>
      </c>
      <c r="DT170" s="752">
        <f>INPUT!FS94</f>
        <v>-6.2333204418083321</v>
      </c>
      <c r="DU170" s="793">
        <f>INPUT!FT94</f>
        <v>15.356820234869014</v>
      </c>
      <c r="DV170" s="752">
        <f>INPUT!FU94</f>
        <v>2.4052423719828742</v>
      </c>
      <c r="DW170" s="793">
        <f>INPUT!FV94</f>
        <v>15.403368794326255</v>
      </c>
      <c r="DX170" s="752">
        <f>INPUT!FW94</f>
        <v>0.30311326658332138</v>
      </c>
      <c r="DY170" s="793">
        <f>INPUT!FX94</f>
        <v>15.186543919152767</v>
      </c>
      <c r="DZ170" s="752">
        <f>INPUT!FY94</f>
        <v>-1.4076458083205456</v>
      </c>
      <c r="EA170" s="793">
        <f>INPUT!FZ94</f>
        <v>18.186128420482241</v>
      </c>
      <c r="EB170" s="752">
        <f>INPUT!GA94</f>
        <v>19.751594024934782</v>
      </c>
      <c r="EC170" s="793">
        <f>INPUT!GB94</f>
        <v>15.766002098635893</v>
      </c>
      <c r="ED170" s="752">
        <f>INPUT!GC94</f>
        <v>-13.30754004310597</v>
      </c>
      <c r="EE170" s="793">
        <f>INPUT!GD94</f>
        <v>13.914496071273877</v>
      </c>
      <c r="EF170" s="752">
        <f>INPUT!GE94</f>
        <v>-11.743662190189685</v>
      </c>
      <c r="EG170" s="793">
        <f>INPUT!GF94</f>
        <v>13.295767893537969</v>
      </c>
      <c r="EH170" s="752">
        <f>INPUT!GG94</f>
        <v>-4.4466445250091136</v>
      </c>
      <c r="EI170" s="793">
        <f>INPUT!GH94</f>
        <v>13.528357518644865</v>
      </c>
      <c r="EJ170" s="752">
        <f>INPUT!GI94</f>
        <v>1.7493508232791832</v>
      </c>
      <c r="EK170" s="793">
        <f>INPUT!GJ94</f>
        <v>13.395149774318787</v>
      </c>
      <c r="EL170" s="752">
        <f>INPUT!GK94</f>
        <v>-0.98465570667016777</v>
      </c>
      <c r="EM170" s="793">
        <f>INPUT!GL94</f>
        <v>13.465790853980463</v>
      </c>
      <c r="EN170" s="752">
        <f>INPUT!GM94</f>
        <v>0.52736311912771061</v>
      </c>
      <c r="EO170" s="793">
        <f>INPUT!GN94</f>
        <v>13.53732801715627</v>
      </c>
      <c r="EP170" s="752">
        <f>INPUT!GO94</f>
        <v>0.53125110846838908</v>
      </c>
      <c r="EQ170" s="793">
        <f>INPUT!GP94</f>
        <v>13.702971350324322</v>
      </c>
      <c r="ER170" s="752">
        <f>INPUT!GQ94</f>
        <v>1.223604340222284</v>
      </c>
      <c r="ES170" s="793">
        <f>INPUT!GR94</f>
        <v>13.776236477999484</v>
      </c>
      <c r="ET170" s="752">
        <f>INPUT!GS94</f>
        <v>0.53466599179183838</v>
      </c>
      <c r="EU170" s="756">
        <f>INPUT!GT94</f>
        <v>0.36380164120295433</v>
      </c>
      <c r="EV170" s="710"/>
    </row>
    <row r="171" spans="1:152" ht="12.75" hidden="1" customHeight="1" outlineLevel="1" x14ac:dyDescent="0.2">
      <c r="A171" s="754"/>
      <c r="B171" s="793"/>
      <c r="C171" s="756"/>
      <c r="D171" s="793"/>
      <c r="E171" s="756"/>
      <c r="F171" s="793"/>
      <c r="G171" s="756"/>
      <c r="H171" s="793"/>
      <c r="I171" s="752"/>
      <c r="J171" s="793"/>
      <c r="K171" s="752"/>
      <c r="L171" s="793"/>
      <c r="M171" s="752"/>
      <c r="N171" s="793"/>
      <c r="O171" s="752"/>
      <c r="P171" s="793"/>
      <c r="Q171" s="752"/>
      <c r="R171" s="793"/>
      <c r="S171" s="752"/>
      <c r="T171" s="793"/>
      <c r="U171" s="752"/>
      <c r="V171" s="793"/>
      <c r="W171" s="752"/>
      <c r="X171" s="793"/>
      <c r="Y171" s="752"/>
      <c r="Z171" s="793"/>
      <c r="AA171" s="752"/>
      <c r="AB171" s="793"/>
      <c r="AC171" s="752"/>
      <c r="AD171" s="793"/>
      <c r="AE171" s="752"/>
      <c r="AF171" s="793"/>
      <c r="AG171" s="752"/>
      <c r="AH171" s="793"/>
      <c r="AI171" s="752"/>
      <c r="AJ171" s="793"/>
      <c r="AK171" s="752"/>
      <c r="AL171" s="793"/>
      <c r="AM171" s="752"/>
      <c r="AN171" s="793"/>
      <c r="AO171" s="752"/>
      <c r="AP171" s="793"/>
      <c r="AQ171" s="752"/>
      <c r="AR171" s="793"/>
      <c r="AS171" s="752"/>
      <c r="AT171" s="793"/>
      <c r="AU171" s="752"/>
      <c r="AV171" s="793"/>
      <c r="AW171" s="752"/>
      <c r="AX171" s="793"/>
      <c r="AY171" s="752"/>
      <c r="AZ171" s="793"/>
      <c r="BA171" s="752"/>
      <c r="BB171" s="793"/>
      <c r="BC171" s="752"/>
      <c r="BD171" s="793"/>
      <c r="BE171" s="752"/>
      <c r="BF171" s="793"/>
      <c r="BG171" s="752"/>
      <c r="BH171" s="793"/>
      <c r="BI171" s="752"/>
      <c r="BJ171" s="793"/>
      <c r="BK171" s="752"/>
      <c r="BL171" s="793"/>
      <c r="BM171" s="752"/>
      <c r="BN171" s="793"/>
      <c r="BO171" s="752"/>
      <c r="BP171" s="793"/>
      <c r="BQ171" s="752"/>
      <c r="BR171" s="793"/>
      <c r="BS171" s="752"/>
      <c r="BT171" s="793"/>
      <c r="BU171" s="752"/>
      <c r="BV171" s="793"/>
      <c r="BW171" s="752"/>
      <c r="BX171" s="793"/>
      <c r="BY171" s="752"/>
      <c r="BZ171" s="793"/>
      <c r="CA171" s="752"/>
      <c r="CB171" s="793"/>
      <c r="CC171" s="752"/>
      <c r="CD171" s="793"/>
      <c r="CE171" s="752"/>
      <c r="CF171" s="793"/>
      <c r="CG171" s="752"/>
      <c r="CH171" s="793"/>
      <c r="CI171" s="752"/>
      <c r="CJ171" s="793"/>
      <c r="CK171" s="752"/>
      <c r="CL171" s="793"/>
      <c r="CM171" s="752"/>
      <c r="CN171" s="793"/>
      <c r="CO171" s="752"/>
      <c r="CP171" s="793"/>
      <c r="CQ171" s="752"/>
      <c r="CR171" s="793"/>
      <c r="CS171" s="752"/>
      <c r="CT171" s="793"/>
      <c r="CU171" s="752"/>
      <c r="CV171" s="793"/>
      <c r="CW171" s="752"/>
      <c r="CX171" s="793"/>
      <c r="CY171" s="752"/>
      <c r="CZ171" s="793"/>
      <c r="DA171" s="752"/>
      <c r="DB171" s="753"/>
      <c r="DC171" s="793"/>
      <c r="DD171" s="756"/>
      <c r="DE171" s="793"/>
      <c r="DF171" s="756"/>
      <c r="DG171" s="793"/>
      <c r="DH171" s="756"/>
      <c r="DI171" s="793"/>
      <c r="DJ171" s="756"/>
      <c r="DK171" s="793"/>
      <c r="DL171" s="752"/>
      <c r="DM171" s="793"/>
      <c r="DN171" s="752"/>
      <c r="DO171" s="793"/>
      <c r="DP171" s="752"/>
      <c r="DQ171" s="793"/>
      <c r="DR171" s="752"/>
      <c r="DS171" s="793"/>
      <c r="DT171" s="752"/>
      <c r="DU171" s="793"/>
      <c r="DV171" s="752"/>
      <c r="DW171" s="793"/>
      <c r="DX171" s="752"/>
      <c r="DY171" s="793"/>
      <c r="DZ171" s="752"/>
      <c r="EA171" s="793"/>
      <c r="EB171" s="752"/>
      <c r="EC171" s="793"/>
      <c r="ED171" s="752"/>
      <c r="EE171" s="793"/>
      <c r="EF171" s="752"/>
      <c r="EG171" s="793"/>
      <c r="EH171" s="752"/>
      <c r="EI171" s="793"/>
      <c r="EJ171" s="752"/>
      <c r="EK171" s="793"/>
      <c r="EL171" s="752"/>
      <c r="EM171" s="793"/>
      <c r="EN171" s="752"/>
      <c r="EO171" s="793"/>
      <c r="EP171" s="752"/>
      <c r="EQ171" s="793"/>
      <c r="ER171" s="752"/>
      <c r="ES171" s="793"/>
      <c r="ET171" s="752"/>
      <c r="EU171" s="756"/>
      <c r="EV171" s="710"/>
    </row>
    <row r="172" spans="1:152" ht="12.75" hidden="1" customHeight="1" outlineLevel="1" x14ac:dyDescent="0.2">
      <c r="A172" s="749" t="s">
        <v>438</v>
      </c>
      <c r="B172" s="793"/>
      <c r="C172" s="756"/>
      <c r="D172" s="793"/>
      <c r="E172" s="756"/>
      <c r="F172" s="793"/>
      <c r="G172" s="756"/>
      <c r="H172" s="793"/>
      <c r="I172" s="752"/>
      <c r="J172" s="793"/>
      <c r="K172" s="752"/>
      <c r="L172" s="793"/>
      <c r="M172" s="752"/>
      <c r="N172" s="793"/>
      <c r="O172" s="752"/>
      <c r="P172" s="793"/>
      <c r="Q172" s="752"/>
      <c r="R172" s="793"/>
      <c r="S172" s="752"/>
      <c r="T172" s="793"/>
      <c r="U172" s="752"/>
      <c r="V172" s="793"/>
      <c r="W172" s="752"/>
      <c r="X172" s="793"/>
      <c r="Y172" s="752"/>
      <c r="Z172" s="793"/>
      <c r="AA172" s="752"/>
      <c r="AB172" s="793"/>
      <c r="AC172" s="752"/>
      <c r="AD172" s="793"/>
      <c r="AE172" s="752"/>
      <c r="AF172" s="793"/>
      <c r="AG172" s="752"/>
      <c r="AH172" s="793"/>
      <c r="AI172" s="752"/>
      <c r="AJ172" s="793"/>
      <c r="AK172" s="752"/>
      <c r="AL172" s="793"/>
      <c r="AM172" s="752"/>
      <c r="AN172" s="793"/>
      <c r="AO172" s="752"/>
      <c r="AP172" s="793"/>
      <c r="AQ172" s="752"/>
      <c r="AR172" s="793"/>
      <c r="AS172" s="752"/>
      <c r="AT172" s="793"/>
      <c r="AU172" s="752"/>
      <c r="AV172" s="793"/>
      <c r="AW172" s="752"/>
      <c r="AX172" s="793"/>
      <c r="AY172" s="752"/>
      <c r="AZ172" s="793"/>
      <c r="BA172" s="752"/>
      <c r="BB172" s="793"/>
      <c r="BC172" s="752"/>
      <c r="BD172" s="793"/>
      <c r="BE172" s="752"/>
      <c r="BF172" s="793"/>
      <c r="BG172" s="752"/>
      <c r="BH172" s="793"/>
      <c r="BI172" s="752"/>
      <c r="BJ172" s="793"/>
      <c r="BK172" s="752"/>
      <c r="BL172" s="793"/>
      <c r="BM172" s="752"/>
      <c r="BN172" s="793"/>
      <c r="BO172" s="752"/>
      <c r="BP172" s="793"/>
      <c r="BQ172" s="752"/>
      <c r="BR172" s="793"/>
      <c r="BS172" s="752"/>
      <c r="BT172" s="793"/>
      <c r="BU172" s="752"/>
      <c r="BV172" s="793"/>
      <c r="BW172" s="752"/>
      <c r="BX172" s="793"/>
      <c r="BY172" s="752"/>
      <c r="BZ172" s="793"/>
      <c r="CA172" s="752"/>
      <c r="CB172" s="793"/>
      <c r="CC172" s="752"/>
      <c r="CD172" s="793"/>
      <c r="CE172" s="752"/>
      <c r="CF172" s="793"/>
      <c r="CG172" s="752"/>
      <c r="CH172" s="793"/>
      <c r="CI172" s="752"/>
      <c r="CJ172" s="793"/>
      <c r="CK172" s="752"/>
      <c r="CL172" s="793"/>
      <c r="CM172" s="752"/>
      <c r="CN172" s="793"/>
      <c r="CO172" s="752"/>
      <c r="CP172" s="793"/>
      <c r="CQ172" s="752"/>
      <c r="CR172" s="793"/>
      <c r="CS172" s="752"/>
      <c r="CT172" s="793"/>
      <c r="CU172" s="752"/>
      <c r="CV172" s="793"/>
      <c r="CW172" s="752"/>
      <c r="CX172" s="793"/>
      <c r="CY172" s="752"/>
      <c r="CZ172" s="793"/>
      <c r="DA172" s="752"/>
      <c r="DB172" s="753"/>
      <c r="DC172" s="793"/>
      <c r="DD172" s="756"/>
      <c r="DE172" s="793"/>
      <c r="DF172" s="756"/>
      <c r="DG172" s="793"/>
      <c r="DH172" s="756"/>
      <c r="DI172" s="793"/>
      <c r="DJ172" s="756"/>
      <c r="DK172" s="793"/>
      <c r="DL172" s="752"/>
      <c r="DM172" s="793"/>
      <c r="DN172" s="752"/>
      <c r="DO172" s="793"/>
      <c r="DP172" s="752"/>
      <c r="DQ172" s="793"/>
      <c r="DR172" s="752"/>
      <c r="DS172" s="793"/>
      <c r="DT172" s="752"/>
      <c r="DU172" s="793"/>
      <c r="DV172" s="752"/>
      <c r="DW172" s="793"/>
      <c r="DX172" s="752"/>
      <c r="DY172" s="793"/>
      <c r="DZ172" s="752"/>
      <c r="EA172" s="793"/>
      <c r="EB172" s="752"/>
      <c r="EC172" s="793"/>
      <c r="ED172" s="752"/>
      <c r="EE172" s="793"/>
      <c r="EF172" s="752"/>
      <c r="EG172" s="793"/>
      <c r="EH172" s="752"/>
      <c r="EI172" s="793"/>
      <c r="EJ172" s="752"/>
      <c r="EK172" s="793"/>
      <c r="EL172" s="752"/>
      <c r="EM172" s="793"/>
      <c r="EN172" s="752"/>
      <c r="EO172" s="793"/>
      <c r="EP172" s="752"/>
      <c r="EQ172" s="793"/>
      <c r="ER172" s="752"/>
      <c r="ES172" s="793"/>
      <c r="ET172" s="752"/>
      <c r="EU172" s="756"/>
      <c r="EV172" s="710"/>
    </row>
    <row r="173" spans="1:152" ht="12.75" hidden="1" customHeight="1" outlineLevel="1" x14ac:dyDescent="0.2">
      <c r="A173" s="754" t="str">
        <f>INPUT!B87</f>
        <v>Benefits/Premiums (%)</v>
      </c>
      <c r="B173" s="793">
        <f>INPUT!AS87</f>
        <v>76.588628762541816</v>
      </c>
      <c r="C173" s="756">
        <f>INPUT!AT87</f>
        <v>2.9255399982250241</v>
      </c>
      <c r="D173" s="793">
        <f>INPUT!AU87</f>
        <v>76.348547717842322</v>
      </c>
      <c r="E173" s="756">
        <f>INPUT!AV87</f>
        <v>-0.26903840654562972</v>
      </c>
      <c r="F173" s="793">
        <f>INPUT!AW87</f>
        <v>76.104053236539613</v>
      </c>
      <c r="G173" s="756">
        <f>INPUT!AX87</f>
        <v>-0.64037950519280074</v>
      </c>
      <c r="H173" s="793">
        <f>INPUT!AY87</f>
        <v>75.946100917431181</v>
      </c>
      <c r="I173" s="752">
        <f>INPUT!AZ87</f>
        <v>-0.62949411768564723</v>
      </c>
      <c r="J173" s="793">
        <f>INPUT!BA87</f>
        <v>75.159642401021713</v>
      </c>
      <c r="K173" s="752">
        <f>INPUT!BB87</f>
        <v>-1.8657944196266874</v>
      </c>
      <c r="L173" s="793">
        <f>INPUT!BC87</f>
        <v>74.256144890038811</v>
      </c>
      <c r="M173" s="752">
        <f>INPUT!BD87</f>
        <v>-2.7405928342426389</v>
      </c>
      <c r="N173" s="793">
        <f>INPUT!BE87</f>
        <v>72.254521963824274</v>
      </c>
      <c r="O173" s="752">
        <f>INPUT!BF87</f>
        <v>-5.0582473718588705</v>
      </c>
      <c r="P173" s="793">
        <f>INPUT!BG87</f>
        <v>69.484334203655365</v>
      </c>
      <c r="Q173" s="752">
        <f>INPUT!BH87</f>
        <v>-8.5083587382597354</v>
      </c>
      <c r="R173" s="793">
        <f>INPUT!BI87</f>
        <v>68.160054719562254</v>
      </c>
      <c r="S173" s="752">
        <f>INPUT!BJ87</f>
        <v>-9.3129603306418947</v>
      </c>
      <c r="T173" s="793">
        <f>INPUT!BK87</f>
        <v>69.494344644045242</v>
      </c>
      <c r="U173" s="752">
        <f>INPUT!BL87</f>
        <v>-6.4126682755279223</v>
      </c>
      <c r="V173" s="793">
        <f>INPUT!BM87</f>
        <v>70.429570429570433</v>
      </c>
      <c r="W173" s="752">
        <f>INPUT!BN87</f>
        <v>-2.5257263969825194</v>
      </c>
      <c r="X173" s="793">
        <f>INPUT!BO87</f>
        <v>69.976438909458096</v>
      </c>
      <c r="Y173" s="752">
        <f>INPUT!BP87</f>
        <v>0.7082239636353016</v>
      </c>
      <c r="Z173" s="793">
        <f>INPUT!BQ87</f>
        <v>69.826388888888886</v>
      </c>
      <c r="AA173" s="752">
        <f>INPUT!BR87</f>
        <v>2.4447371355298841</v>
      </c>
      <c r="AB173" s="793">
        <f>INPUT!BS87</f>
        <v>70.493488690884163</v>
      </c>
      <c r="AC173" s="752">
        <f>INPUT!BT87</f>
        <v>1.4377343249390995</v>
      </c>
      <c r="AD173" s="793">
        <f>INPUT!BU87</f>
        <v>70.347648261758707</v>
      </c>
      <c r="AE173" s="752">
        <f>INPUT!BV87</f>
        <v>-0.11631785812700191</v>
      </c>
      <c r="AF173" s="793">
        <f>INPUT!BW87</f>
        <v>69.903248099516247</v>
      </c>
      <c r="AG173" s="752">
        <f>INPUT!BX87</f>
        <v>-0.10459350473170925</v>
      </c>
      <c r="AH173" s="793">
        <f>INPUT!BY87</f>
        <v>69.739952718676108</v>
      </c>
      <c r="AI173" s="752">
        <f>INPUT!BZ87</f>
        <v>-0.12378725520278966</v>
      </c>
      <c r="AJ173" s="793">
        <f>INPUT!CA87</f>
        <v>70.339267719180384</v>
      </c>
      <c r="AK173" s="752">
        <f>INPUT!CB87</f>
        <v>-0.21877335704016954</v>
      </c>
      <c r="AL173" s="793">
        <f>INPUT!CC87</f>
        <v>70.433333333333337</v>
      </c>
      <c r="AM173" s="752">
        <f>INPUT!CD87</f>
        <v>0.12180232558138826</v>
      </c>
      <c r="AN173" s="793">
        <f>INPUT!CE87</f>
        <v>70.290812954395236</v>
      </c>
      <c r="AO173" s="752">
        <f>INPUT!CF87</f>
        <v>0.55443039546207995</v>
      </c>
      <c r="AP173" s="793">
        <f>INPUT!CG87</f>
        <v>69.950083194675543</v>
      </c>
      <c r="AQ173" s="752">
        <f>INPUT!CH87</f>
        <v>0.30130573338225108</v>
      </c>
      <c r="AR173" s="793">
        <f>INPUT!CI87</f>
        <v>70.275655928263021</v>
      </c>
      <c r="AS173" s="752">
        <f>INPUT!CJ87</f>
        <v>-9.0435674097899543E-2</v>
      </c>
      <c r="AT173" s="793">
        <f>INPUT!CK87</f>
        <v>70.193252538486746</v>
      </c>
      <c r="AU173" s="752">
        <f>INPUT!CL87</f>
        <v>-0.34086246310448542</v>
      </c>
      <c r="AV173" s="793">
        <f>INPUT!CM87</f>
        <v>70.711974110032358</v>
      </c>
      <c r="AW173" s="752">
        <f>INPUT!CN87</f>
        <v>0.59916956133423405</v>
      </c>
      <c r="AX173" s="793">
        <f>INPUT!CO87</f>
        <v>71.978875427151294</v>
      </c>
      <c r="AY173" s="752">
        <f>INPUT!CP87</f>
        <v>2.900342844238657</v>
      </c>
      <c r="AZ173" s="793">
        <f>INPUT!CQ87</f>
        <v>71.910808299783213</v>
      </c>
      <c r="BA173" s="752">
        <f>INPUT!CR87</f>
        <v>2.3267692772435344</v>
      </c>
      <c r="BB173" s="793">
        <f>INPUT!CS87</f>
        <v>72.281776416539046</v>
      </c>
      <c r="BC173" s="752">
        <f>INPUT!CT87</f>
        <v>2.9753912271085703</v>
      </c>
      <c r="BD173" s="793">
        <f>INPUT!CU87</f>
        <v>72.523765716038028</v>
      </c>
      <c r="BE173" s="752">
        <f>INPUT!CV87</f>
        <v>2.5622133009416626</v>
      </c>
      <c r="BF173" s="793">
        <f>INPUT!CW87</f>
        <v>70.639447613329338</v>
      </c>
      <c r="BG173" s="752">
        <f>INPUT!CX87</f>
        <v>-1.8608623792373269</v>
      </c>
      <c r="BH173" s="793">
        <f>INPUT!CY87</f>
        <v>71.090473337327737</v>
      </c>
      <c r="BI173" s="752">
        <f>INPUT!CZ87</f>
        <v>-1.140767266911602</v>
      </c>
      <c r="BJ173" s="793">
        <f>INPUT!DA87</f>
        <v>71.58176943699732</v>
      </c>
      <c r="BK173" s="752">
        <f>INPUT!DB87</f>
        <v>-0.96844185940836436</v>
      </c>
      <c r="BL173" s="793">
        <f>INPUT!DC87</f>
        <v>59.17693000901172</v>
      </c>
      <c r="BM173" s="752">
        <f>INPUT!DD87</f>
        <v>-18.403395873409213</v>
      </c>
      <c r="BN173" s="793">
        <f>INPUT!DE87</f>
        <v>70.279001468428788</v>
      </c>
      <c r="BO173" s="752">
        <f>INPUT!DF87</f>
        <v>-0.51026183963609473</v>
      </c>
      <c r="BP173" s="793">
        <f>INPUT!DG87</f>
        <v>70.142317746151605</v>
      </c>
      <c r="BQ173" s="752">
        <f>INPUT!DH87</f>
        <v>-1.3337308737235265</v>
      </c>
      <c r="BR173" s="793">
        <f>INPUT!DI87</f>
        <v>69.968418030433526</v>
      </c>
      <c r="BS173" s="752">
        <f>INPUT!DJ87</f>
        <v>-2.253857957484251</v>
      </c>
      <c r="BT173" s="793">
        <f>INPUT!DK87</f>
        <v>70.768797521824837</v>
      </c>
      <c r="BU173" s="752">
        <f>INPUT!DL87</f>
        <v>19.58849083764207</v>
      </c>
      <c r="BV173" s="793">
        <f>INPUT!DM87</f>
        <v>70.94668117519042</v>
      </c>
      <c r="BW173" s="752">
        <f>INPUT!DN87</f>
        <v>0.95004153845523742</v>
      </c>
      <c r="BX173" s="793">
        <f>INPUT!DO87</f>
        <v>73.084213376658539</v>
      </c>
      <c r="BY173" s="752">
        <f>INPUT!DP87</f>
        <v>4.1941808098697297</v>
      </c>
      <c r="BZ173" s="793">
        <f>INPUT!DQ87</f>
        <v>71.025501899077597</v>
      </c>
      <c r="CA173" s="752">
        <f>INPUT!DR87</f>
        <v>1.5108014421367555</v>
      </c>
      <c r="CB173" s="793">
        <f>INPUT!DS87</f>
        <v>72.028907922912211</v>
      </c>
      <c r="CC173" s="752">
        <f>INPUT!DT87</f>
        <v>1.7806016849428064</v>
      </c>
      <c r="CD173" s="793">
        <f>INPUT!DU87</f>
        <v>71.458171458171449</v>
      </c>
      <c r="CE173" s="752">
        <f>INPUT!DV87</f>
        <v>0.72095026082754643</v>
      </c>
      <c r="CF173" s="793">
        <f>INPUT!DW87</f>
        <v>71.532846715328461</v>
      </c>
      <c r="CG173" s="752">
        <f>INPUT!DX87</f>
        <v>-2.122711033824376</v>
      </c>
      <c r="CH173" s="793">
        <f>INPUT!DY87</f>
        <v>72.600977617700025</v>
      </c>
      <c r="CI173" s="752">
        <f>INPUT!DZ87</f>
        <v>2.2181831546379982</v>
      </c>
      <c r="CJ173" s="793">
        <f>INPUT!EA87</f>
        <v>71.472314365909682</v>
      </c>
      <c r="CK173" s="752">
        <f>INPUT!EB87</f>
        <v>-0.77273635412911101</v>
      </c>
      <c r="CL173" s="793">
        <f>INPUT!EC87</f>
        <v>71.884272997032639</v>
      </c>
      <c r="CM173" s="752">
        <f>INPUT!ED87</f>
        <v>0.59629504949005874</v>
      </c>
      <c r="CN173" s="793">
        <f>INPUT!EE87</f>
        <v>70.59410883674488</v>
      </c>
      <c r="CO173" s="752">
        <f>INPUT!EF87</f>
        <v>-1.3123172384280624</v>
      </c>
      <c r="CP173" s="793">
        <f>INPUT!EG87</f>
        <v>71.365422396856587</v>
      </c>
      <c r="CQ173" s="752">
        <f>INPUT!EH87</f>
        <v>-1.7018437786741503</v>
      </c>
      <c r="CR173" s="793">
        <f>INPUT!EI87</f>
        <v>75.893743793445879</v>
      </c>
      <c r="CS173" s="752">
        <f>INPUT!EJ87</f>
        <v>6.1862127549140888</v>
      </c>
      <c r="CT173" s="793">
        <f>INPUT!EK87</f>
        <v>71.099999999999994</v>
      </c>
      <c r="CU173" s="752">
        <f>INPUT!EL87</f>
        <v>-1.0910216718266308</v>
      </c>
      <c r="CV173" s="793">
        <f>INPUT!EM87</f>
        <v>71.099999999999994</v>
      </c>
      <c r="CW173" s="752">
        <f>INPUT!EN87</f>
        <v>0.71661951909476329</v>
      </c>
      <c r="CX173" s="793">
        <f>INPUT!EO87</f>
        <v>71.099999999999994</v>
      </c>
      <c r="CY173" s="752">
        <f>INPUT!EP87</f>
        <v>-0.37192016517550996</v>
      </c>
      <c r="CZ173" s="793">
        <f>INPUT!EQ87</f>
        <v>71.099999999999994</v>
      </c>
      <c r="DA173" s="752">
        <f>INPUT!ER87</f>
        <v>-6.3163886162904914</v>
      </c>
      <c r="DB173" s="793"/>
      <c r="DC173" s="793"/>
      <c r="DD173" s="756">
        <f>INPUT!FC87</f>
        <v>0</v>
      </c>
      <c r="DE173" s="793">
        <f>INPUT!FD87</f>
        <v>77.687854074581338</v>
      </c>
      <c r="DF173" s="756" t="str">
        <f>INPUT!FE87</f>
        <v>NA</v>
      </c>
      <c r="DG173" s="793">
        <f>INPUT!FF87</f>
        <v>76.997112608277192</v>
      </c>
      <c r="DH173" s="756">
        <f>INPUT!FG87</f>
        <v>-0.88912414241874016</v>
      </c>
      <c r="DI173" s="793">
        <f>INPUT!FH87</f>
        <v>76.647776272021673</v>
      </c>
      <c r="DJ173" s="756">
        <f>INPUT!FI87</f>
        <v>-0.45370056671185655</v>
      </c>
      <c r="DK173" s="793">
        <f>INPUT!FJ87</f>
        <v>75.990978676872615</v>
      </c>
      <c r="DL173" s="752">
        <f>INPUT!FK87</f>
        <v>-0.85690365343162878</v>
      </c>
      <c r="DM173" s="793">
        <f>INPUT!FL87</f>
        <v>76.252054011573904</v>
      </c>
      <c r="DN173" s="752">
        <f>INPUT!FM87</f>
        <v>0.34356095848091517</v>
      </c>
      <c r="DO173" s="793">
        <f>INPUT!FN87</f>
        <v>72.803617571059434</v>
      </c>
      <c r="DP173" s="752">
        <f>INPUT!FO87</f>
        <v>-4.5224177698754868</v>
      </c>
      <c r="DQ173" s="793">
        <f>INPUT!FP87</f>
        <v>69.522849462365585</v>
      </c>
      <c r="DR173" s="752">
        <f>INPUT!FQ87</f>
        <v>-4.5063256719237614</v>
      </c>
      <c r="DS173" s="793">
        <f>INPUT!FR87</f>
        <v>70.14450369860657</v>
      </c>
      <c r="DT173" s="752">
        <f>INPUT!FS87</f>
        <v>0.89417255053318989</v>
      </c>
      <c r="DU173" s="793">
        <f>INPUT!FT87</f>
        <v>70.202273487128053</v>
      </c>
      <c r="DV173" s="752">
        <f>INPUT!FU87</f>
        <v>8.2358253997649733E-2</v>
      </c>
      <c r="DW173" s="793">
        <f>INPUT!FV87</f>
        <v>70.285385311292032</v>
      </c>
      <c r="DX173" s="752">
        <f>INPUT!FW87</f>
        <v>0.11838907778281005</v>
      </c>
      <c r="DY173" s="793">
        <f>INPUT!FX87</f>
        <v>72.175119469708633</v>
      </c>
      <c r="DZ173" s="752">
        <f>INPUT!FY87</f>
        <v>2.6886587446978139</v>
      </c>
      <c r="EA173" s="793">
        <f>INPUT!FZ87</f>
        <v>68.131785847997008</v>
      </c>
      <c r="EB173" s="752">
        <f>INPUT!GA87</f>
        <v>-5.6021155924910975</v>
      </c>
      <c r="EC173" s="793">
        <f>INPUT!GB87</f>
        <v>70.292465062671099</v>
      </c>
      <c r="ED173" s="752">
        <f>INPUT!GC87</f>
        <v>3.1713233225598936</v>
      </c>
      <c r="EE173" s="793">
        <f>INPUT!GD87</f>
        <v>71.773375701440074</v>
      </c>
      <c r="EF173" s="752">
        <f>INPUT!GE87</f>
        <v>2.1067843295133226</v>
      </c>
      <c r="EG173" s="793">
        <f>INPUT!GF87</f>
        <v>71.76675482164741</v>
      </c>
      <c r="EH173" s="752">
        <f>INPUT!GG87</f>
        <v>-9.2247016779678503E-3</v>
      </c>
      <c r="EI173" s="793">
        <f>INPUT!GH87</f>
        <v>72.433436532507727</v>
      </c>
      <c r="EJ173" s="752">
        <f>INPUT!GI87</f>
        <v>0.92895618941826186</v>
      </c>
      <c r="EK173" s="793">
        <f>INPUT!GJ87</f>
        <v>71.099999999999994</v>
      </c>
      <c r="EL173" s="752">
        <f>INPUT!GK87</f>
        <v>-1.8409129765771803</v>
      </c>
      <c r="EM173" s="793">
        <f>INPUT!GL87</f>
        <v>71.099999999999994</v>
      </c>
      <c r="EN173" s="752">
        <f>INPUT!GM87</f>
        <v>0</v>
      </c>
      <c r="EO173" s="793">
        <f>INPUT!GN87</f>
        <v>71.099999999999994</v>
      </c>
      <c r="EP173" s="752">
        <f>INPUT!GO87</f>
        <v>0</v>
      </c>
      <c r="EQ173" s="793">
        <f>INPUT!GP87</f>
        <v>71</v>
      </c>
      <c r="ER173" s="752">
        <f>INPUT!GQ87</f>
        <v>-0.14064697609000865</v>
      </c>
      <c r="ES173" s="793">
        <f>INPUT!GR87</f>
        <v>71</v>
      </c>
      <c r="ET173" s="752">
        <f>INPUT!GS87</f>
        <v>0</v>
      </c>
      <c r="EU173" s="756">
        <f>INPUT!GT87</f>
        <v>-0.39896493770186225</v>
      </c>
      <c r="EV173" s="710"/>
    </row>
    <row r="174" spans="1:152" ht="12.75" hidden="1" customHeight="1" outlineLevel="1" x14ac:dyDescent="0.2">
      <c r="A174" s="754" t="str">
        <f>INPUT!B89</f>
        <v>Commissions/Premiums (%)</v>
      </c>
      <c r="B174" s="793">
        <f>INPUT!AS89</f>
        <v>6.4102564102564097</v>
      </c>
      <c r="C174" s="756">
        <f>INPUT!AT89</f>
        <v>-6.6979608318191053</v>
      </c>
      <c r="D174" s="793">
        <f>INPUT!AU89</f>
        <v>6.3900414937759349</v>
      </c>
      <c r="E174" s="756">
        <f>INPUT!AV89</f>
        <v>-22.925311203319488</v>
      </c>
      <c r="F174" s="793">
        <f>INPUT!AW89</f>
        <v>6.3520871143375679</v>
      </c>
      <c r="G174" s="756">
        <f>INPUT!AX89</f>
        <v>9.2129373909536572</v>
      </c>
      <c r="H174" s="793">
        <f>INPUT!AY89</f>
        <v>6.5940366972477058</v>
      </c>
      <c r="I174" s="752">
        <f>INPUT!AZ89</f>
        <v>15.506068653702654</v>
      </c>
      <c r="J174" s="793">
        <f>INPUT!BA89</f>
        <v>7.2158365261813548</v>
      </c>
      <c r="K174" s="752">
        <f>INPUT!BB89</f>
        <v>12.567049808429154</v>
      </c>
      <c r="L174" s="793">
        <f>INPUT!BC89</f>
        <v>7.2768434670116431</v>
      </c>
      <c r="M174" s="752">
        <f>INPUT!BD89</f>
        <v>13.87787503570166</v>
      </c>
      <c r="N174" s="793">
        <f>INPUT!BE89</f>
        <v>6.847545219638242</v>
      </c>
      <c r="O174" s="752">
        <f>INPUT!BF89</f>
        <v>7.7999261720191893</v>
      </c>
      <c r="P174" s="793">
        <f>INPUT!BG89</f>
        <v>7.3107049608355092</v>
      </c>
      <c r="Q174" s="752">
        <f>INPUT!BH89</f>
        <v>10.868430014757656</v>
      </c>
      <c r="R174" s="793">
        <f>INPUT!BI89</f>
        <v>7.3871409028727779</v>
      </c>
      <c r="S174" s="752">
        <f>INPUT!BJ89</f>
        <v>2.3740057867147613</v>
      </c>
      <c r="T174" s="793">
        <f>INPUT!BK89</f>
        <v>6.9194943446440451</v>
      </c>
      <c r="U174" s="752">
        <f>INPUT!BL89</f>
        <v>-4.9107710504916131</v>
      </c>
      <c r="V174" s="793">
        <f>INPUT!BM89</f>
        <v>7.0596070596070595</v>
      </c>
      <c r="W174" s="752">
        <f>INPUT!BN89</f>
        <v>3.0969030969031142</v>
      </c>
      <c r="X174" s="793">
        <f>INPUT!BO89</f>
        <v>7.3375967687647261</v>
      </c>
      <c r="Y174" s="752">
        <f>INPUT!BP89</f>
        <v>0.36784151560320666</v>
      </c>
      <c r="Z174" s="793">
        <f>INPUT!BQ89</f>
        <v>7.4305555555555554</v>
      </c>
      <c r="AA174" s="752">
        <f>INPUT!BR89</f>
        <v>0.58770576131685903</v>
      </c>
      <c r="AB174" s="793">
        <f>INPUT!BS89</f>
        <v>7.4366004112405752</v>
      </c>
      <c r="AC174" s="752">
        <f>INPUT!BT89</f>
        <v>7.4731770970633216</v>
      </c>
      <c r="AD174" s="793">
        <f>INPUT!BU89</f>
        <v>7.259713701431493</v>
      </c>
      <c r="AE174" s="752">
        <f>INPUT!BV89</f>
        <v>2.83452945942817</v>
      </c>
      <c r="AF174" s="793">
        <f>INPUT!BW89</f>
        <v>7.2563925362819637</v>
      </c>
      <c r="AG174" s="752">
        <f>INPUT!BX89</f>
        <v>-1.1066870399370932</v>
      </c>
      <c r="AH174" s="793">
        <f>INPUT!BY89</f>
        <v>7.5312394461330632</v>
      </c>
      <c r="AI174" s="752">
        <f>INPUT!BZ89</f>
        <v>1.3549981535664557</v>
      </c>
      <c r="AJ174" s="793">
        <f>INPUT!CA89</f>
        <v>7.188444743029895</v>
      </c>
      <c r="AK174" s="752">
        <f>INPUT!CB89</f>
        <v>-3.3369504140035255</v>
      </c>
      <c r="AL174" s="793">
        <f>INPUT!CC89</f>
        <v>7.3999999999999995</v>
      </c>
      <c r="AM174" s="752">
        <f>INPUT!CD89</f>
        <v>1.9323943661971654</v>
      </c>
      <c r="AN174" s="793">
        <f>INPUT!CE89</f>
        <v>7.73298083278255</v>
      </c>
      <c r="AO174" s="752">
        <f>INPUT!CF89</f>
        <v>6.5678406193937944</v>
      </c>
      <c r="AP174" s="793">
        <f>INPUT!CG89</f>
        <v>7.8202995008319469</v>
      </c>
      <c r="AQ174" s="752">
        <f>INPUT!CH89</f>
        <v>3.8381471836923531</v>
      </c>
      <c r="AR174" s="793">
        <f>INPUT!CI89</f>
        <v>7.7715044835602782</v>
      </c>
      <c r="AS174" s="752">
        <f>INPUT!CJ89</f>
        <v>8.1110693811165859</v>
      </c>
      <c r="AT174" s="793">
        <f>INPUT!CK89</f>
        <v>7.9266295447101207</v>
      </c>
      <c r="AU174" s="752">
        <f>INPUT!CL89</f>
        <v>7.1166154690556871</v>
      </c>
      <c r="AV174" s="793">
        <f>INPUT!CM89</f>
        <v>7.8964401294498376</v>
      </c>
      <c r="AW174" s="752">
        <f>INPUT!CN89</f>
        <v>2.1137941526291115</v>
      </c>
      <c r="AX174" s="793">
        <f>INPUT!CO89</f>
        <v>8.1391736564150357</v>
      </c>
      <c r="AY174" s="752">
        <f>INPUT!CP89</f>
        <v>4.077518457562479</v>
      </c>
      <c r="AZ174" s="793">
        <f>INPUT!CQ89</f>
        <v>8.021059151440074</v>
      </c>
      <c r="BA174" s="752">
        <f>INPUT!CR89</f>
        <v>3.2111500213079625</v>
      </c>
      <c r="BB174" s="793">
        <f>INPUT!CS89</f>
        <v>7.9938744257274124</v>
      </c>
      <c r="BC174" s="752">
        <f>INPUT!CT89</f>
        <v>0.84834141217269288</v>
      </c>
      <c r="BD174" s="793">
        <f>INPUT!CU89</f>
        <v>8.0956761729530804</v>
      </c>
      <c r="BE174" s="752">
        <f>INPUT!CV89</f>
        <v>2.5231121902664855</v>
      </c>
      <c r="BF174" s="793">
        <f>INPUT!CW89</f>
        <v>8.5259681777244065</v>
      </c>
      <c r="BG174" s="752">
        <f>INPUT!CX89</f>
        <v>4.7522578782246638</v>
      </c>
      <c r="BH174" s="793">
        <f>INPUT!CY89</f>
        <v>8.148591971240263</v>
      </c>
      <c r="BI174" s="752">
        <f>INPUT!CZ89</f>
        <v>1.5899748074703179</v>
      </c>
      <c r="BJ174" s="793">
        <f>INPUT!DA89</f>
        <v>8.16204944891272</v>
      </c>
      <c r="BK174" s="752">
        <f>INPUT!DB89</f>
        <v>2.1037986616859294</v>
      </c>
      <c r="BL174" s="793">
        <f>INPUT!DC89</f>
        <v>7.7801141483929106</v>
      </c>
      <c r="BM174" s="752">
        <f>INPUT!DD89</f>
        <v>-3.8979081897375534</v>
      </c>
      <c r="BN174" s="793">
        <f>INPUT!DE89</f>
        <v>8.3700440528634363</v>
      </c>
      <c r="BO174" s="752">
        <f>INPUT!DF89</f>
        <v>-1.8288142954644093</v>
      </c>
      <c r="BP174" s="793">
        <f>INPUT!DG89</f>
        <v>8.1324426372349699</v>
      </c>
      <c r="BQ174" s="752">
        <f>INPUT!DH89</f>
        <v>-0.19818557687377725</v>
      </c>
      <c r="BR174" s="793">
        <f>INPUT!DI89</f>
        <v>8.1251794430088999</v>
      </c>
      <c r="BS174" s="752">
        <f>INPUT!DJ89</f>
        <v>-0.45172485335446266</v>
      </c>
      <c r="BT174" s="793">
        <f>INPUT!DK89</f>
        <v>8.0259081948746829</v>
      </c>
      <c r="BU174" s="752">
        <f>INPUT!DL89</f>
        <v>3.1592601572888901</v>
      </c>
      <c r="BV174" s="793">
        <f>INPUT!DM89</f>
        <v>8.2426550598476602</v>
      </c>
      <c r="BW174" s="752">
        <f>INPUT!DN89</f>
        <v>-1.5219632323463794</v>
      </c>
      <c r="BX174" s="793">
        <f>INPUT!DO89</f>
        <v>8.1776333604115887</v>
      </c>
      <c r="BY174" s="752">
        <f>INPUT!DP89</f>
        <v>0.55568449963250277</v>
      </c>
      <c r="BZ174" s="793">
        <f>INPUT!DQ89</f>
        <v>8.138903960933261</v>
      </c>
      <c r="CA174" s="752">
        <f>INPUT!DR89</f>
        <v>0.16891341318214792</v>
      </c>
      <c r="CB174" s="793">
        <f>INPUT!DS89</f>
        <v>8.217344753747323</v>
      </c>
      <c r="CC174" s="752">
        <f>INPUT!DT89</f>
        <v>2.3852323528306796</v>
      </c>
      <c r="CD174" s="793">
        <f>INPUT!DU89</f>
        <v>8.3657083657083646</v>
      </c>
      <c r="CE174" s="752">
        <f>INPUT!DV89</f>
        <v>1.4928843311681428</v>
      </c>
      <c r="CF174" s="793">
        <f>INPUT!DW89</f>
        <v>8.0813347236704907</v>
      </c>
      <c r="CG174" s="752">
        <f>INPUT!DX89</f>
        <v>-1.1775856473009161</v>
      </c>
      <c r="CH174" s="793">
        <f>INPUT!DY89</f>
        <v>8.1039361975816835</v>
      </c>
      <c r="CI174" s="752">
        <f>INPUT!DZ89</f>
        <v>-0.42963725237971095</v>
      </c>
      <c r="CJ174" s="793">
        <f>INPUT!EA89</f>
        <v>8.1653483031385559</v>
      </c>
      <c r="CK174" s="752">
        <f>INPUT!EB89</f>
        <v>-0.63276462369495912</v>
      </c>
      <c r="CL174" s="793">
        <f>INPUT!EC89</f>
        <v>8.0613254203758657</v>
      </c>
      <c r="CM174" s="752">
        <f>INPUT!ED89</f>
        <v>-3.6384599130921957</v>
      </c>
      <c r="CN174" s="793">
        <f>INPUT!EE89</f>
        <v>8.0129805292061906</v>
      </c>
      <c r="CO174" s="752">
        <f>INPUT!EF89</f>
        <v>-0.84582803214533486</v>
      </c>
      <c r="CP174" s="793">
        <f>INPUT!EG89</f>
        <v>8.177799607072691</v>
      </c>
      <c r="CQ174" s="752">
        <f>INPUT!EH89</f>
        <v>0.91145102441760883</v>
      </c>
      <c r="CR174" s="793">
        <f>INPUT!EI89</f>
        <v>8.2671300893743798</v>
      </c>
      <c r="CS174" s="752">
        <f>INPUT!EJ89</f>
        <v>1.2465088133068569</v>
      </c>
      <c r="CT174" s="793">
        <f>INPUT!EK89</f>
        <v>8.2671300893743798</v>
      </c>
      <c r="CU174" s="752">
        <f>INPUT!EL89</f>
        <v>2.5529879798465993</v>
      </c>
      <c r="CV174" s="793">
        <f>INPUT!EM89</f>
        <v>8.2671300893743798</v>
      </c>
      <c r="CW174" s="752">
        <f>INPUT!EN89</f>
        <v>3.1717231714447625</v>
      </c>
      <c r="CX174" s="793">
        <f>INPUT!EO89</f>
        <v>8.2171300893743791</v>
      </c>
      <c r="CY174" s="752">
        <f>INPUT!EP89</f>
        <v>0.48094211391134234</v>
      </c>
      <c r="CZ174" s="793">
        <f>INPUT!EQ89</f>
        <v>8.1671300893743783</v>
      </c>
      <c r="DA174" s="752">
        <f>INPUT!ER89</f>
        <v>-1.2096096096096298</v>
      </c>
      <c r="DB174" s="793"/>
      <c r="DC174" s="793"/>
      <c r="DD174" s="756">
        <f>INPUT!FC89</f>
        <v>0</v>
      </c>
      <c r="DE174" s="793">
        <f>INPUT!FD89</f>
        <v>7.2153396003237251</v>
      </c>
      <c r="DF174" s="756" t="str">
        <f>INPUT!FE89</f>
        <v>NA</v>
      </c>
      <c r="DG174" s="793">
        <f>INPUT!FF89</f>
        <v>6.8094321462945135</v>
      </c>
      <c r="DH174" s="756">
        <f>INPUT!FG89</f>
        <v>-5.6256181484652501</v>
      </c>
      <c r="DI174" s="793">
        <f>INPUT!FH89</f>
        <v>6.5418257977085128</v>
      </c>
      <c r="DJ174" s="756">
        <f>INPUT!FI89</f>
        <v>-3.9299363417788613</v>
      </c>
      <c r="DK174" s="793">
        <f>INPUT!FJ89</f>
        <v>6.6839803171131766</v>
      </c>
      <c r="DL174" s="752">
        <f>INPUT!FK89</f>
        <v>2.1730098568882417</v>
      </c>
      <c r="DM174" s="793">
        <f>INPUT!FL89</f>
        <v>6.4370936629277704</v>
      </c>
      <c r="DN174" s="752">
        <f>INPUT!FM89</f>
        <v>-3.6937070797963822</v>
      </c>
      <c r="DO174" s="793">
        <f>INPUT!FN89</f>
        <v>7.1624677002583956</v>
      </c>
      <c r="DP174" s="752">
        <f>INPUT!FO89</f>
        <v>11.268657492249456</v>
      </c>
      <c r="DQ174" s="793">
        <f>INPUT!FP89</f>
        <v>7.1740591397849469</v>
      </c>
      <c r="DR174" s="752">
        <f>INPUT!FQ89</f>
        <v>0.16183583663675893</v>
      </c>
      <c r="DS174" s="793">
        <f>INPUT!FR89</f>
        <v>7.3456046791673835</v>
      </c>
      <c r="DT174" s="752">
        <f>INPUT!FS89</f>
        <v>2.3911921555134885</v>
      </c>
      <c r="DU174" s="793">
        <f>INPUT!FT89</f>
        <v>7.4640588431962556</v>
      </c>
      <c r="DV174" s="752">
        <f>INPUT!FU89</f>
        <v>1.6125856100698721</v>
      </c>
      <c r="DW174" s="793">
        <f>INPUT!FV89</f>
        <v>7.8542643309482685</v>
      </c>
      <c r="DX174" s="752">
        <f>INPUT!FW89</f>
        <v>5.2277922233651575</v>
      </c>
      <c r="DY174" s="793">
        <f>INPUT!FX89</f>
        <v>8.0622784029597643</v>
      </c>
      <c r="DZ174" s="752">
        <f>INPUT!FY89</f>
        <v>2.6484220959034355</v>
      </c>
      <c r="EA174" s="793">
        <f>INPUT!FZ89</f>
        <v>8.1542493448146764</v>
      </c>
      <c r="EB174" s="752">
        <f>INPUT!GA89</f>
        <v>1.1407562137912386</v>
      </c>
      <c r="EC174" s="793">
        <f>INPUT!GB89</f>
        <v>8.1616481774960388</v>
      </c>
      <c r="ED174" s="752">
        <f>INPUT!GC89</f>
        <v>9.073591410431181E-2</v>
      </c>
      <c r="EE174" s="793">
        <f>INPUT!GD89</f>
        <v>8.1941721317017109</v>
      </c>
      <c r="EF174" s="752">
        <f>INPUT!GE89</f>
        <v>0.39849738065591556</v>
      </c>
      <c r="EG174" s="793">
        <f>INPUT!GF89</f>
        <v>8.1790621170096092</v>
      </c>
      <c r="EH174" s="752">
        <f>INPUT!GG89</f>
        <v>-0.18439952748422472</v>
      </c>
      <c r="EI174" s="793">
        <f>INPUT!GH89</f>
        <v>8.1300309597523235</v>
      </c>
      <c r="EJ174" s="752">
        <f>INPUT!GI89</f>
        <v>-0.59947163324897135</v>
      </c>
      <c r="EK174" s="793">
        <f>INPUT!GJ89</f>
        <v>8.2295821017582806</v>
      </c>
      <c r="EL174" s="752">
        <f>INPUT!GK89</f>
        <v>1.2244866286338141</v>
      </c>
      <c r="EM174" s="793">
        <f>INPUT!GL89</f>
        <v>8.2295821017582806</v>
      </c>
      <c r="EN174" s="752">
        <f>INPUT!GM89</f>
        <v>0</v>
      </c>
      <c r="EO174" s="793">
        <f>INPUT!GN89</f>
        <v>8.2295821017582806</v>
      </c>
      <c r="EP174" s="752">
        <f>INPUT!GO89</f>
        <v>0</v>
      </c>
      <c r="EQ174" s="793">
        <f>INPUT!GP89</f>
        <v>8.2295821017582806</v>
      </c>
      <c r="ER174" s="752">
        <f>INPUT!GQ89</f>
        <v>0</v>
      </c>
      <c r="ES174" s="793">
        <f>INPUT!GR89</f>
        <v>8.2295821017582806</v>
      </c>
      <c r="ET174" s="752">
        <f>INPUT!GS89</f>
        <v>0</v>
      </c>
      <c r="EU174" s="756">
        <f>INPUT!GT89</f>
        <v>0.24370656946988145</v>
      </c>
      <c r="EV174" s="710"/>
    </row>
    <row r="175" spans="1:152" ht="12.75" hidden="1" customHeight="1" outlineLevel="1" x14ac:dyDescent="0.2">
      <c r="A175" s="754" t="str">
        <f>INPUT!B90</f>
        <v>Other Expenses/Revenues (%)</v>
      </c>
      <c r="B175" s="793">
        <f>INPUT!AS90</f>
        <v>11.576542269611576</v>
      </c>
      <c r="C175" s="756">
        <f>INPUT!AT90</f>
        <v>1.0787645928772127</v>
      </c>
      <c r="D175" s="793">
        <f>INPUT!AU90</f>
        <v>11.674230963187091</v>
      </c>
      <c r="E175" s="756">
        <f>INPUT!AV90</f>
        <v>2.7131908778263325</v>
      </c>
      <c r="F175" s="793">
        <f>INPUT!AW90</f>
        <v>11.854684512428298</v>
      </c>
      <c r="G175" s="756">
        <f>INPUT!AX90</f>
        <v>-0.53692205457281927</v>
      </c>
      <c r="H175" s="793">
        <f>INPUT!AY90</f>
        <v>11.186264308012486</v>
      </c>
      <c r="I175" s="752">
        <f>INPUT!AZ90</f>
        <v>-5.6290311718612536</v>
      </c>
      <c r="J175" s="793">
        <f>INPUT!BA90</f>
        <v>11.659965537047674</v>
      </c>
      <c r="K175" s="752">
        <f>INPUT!BB90</f>
        <v>0.72062335620788343</v>
      </c>
      <c r="L175" s="793">
        <f>INPUT!BC90</f>
        <v>11.568570600173961</v>
      </c>
      <c r="M175" s="752">
        <f>INPUT!BD90</f>
        <v>-0.90507343349907066</v>
      </c>
      <c r="N175" s="793">
        <f>INPUT!BE90</f>
        <v>11.917249417249417</v>
      </c>
      <c r="O175" s="752">
        <f>INPUT!BF90</f>
        <v>0.52776524550719461</v>
      </c>
      <c r="P175" s="793">
        <f>INPUT!BG90</f>
        <v>12.816735415439009</v>
      </c>
      <c r="Q175" s="752">
        <f>INPUT!BH90</f>
        <v>14.575653341738493</v>
      </c>
      <c r="R175" s="793">
        <f>INPUT!BI90</f>
        <v>13.510178901912399</v>
      </c>
      <c r="S175" s="752">
        <f>INPUT!BJ90</f>
        <v>15.868086050391561</v>
      </c>
      <c r="T175" s="793">
        <f>INPUT!BK90</f>
        <v>13.715486194477791</v>
      </c>
      <c r="U175" s="752">
        <f>INPUT!BL90</f>
        <v>18.558175149759172</v>
      </c>
      <c r="V175" s="793">
        <f>INPUT!BM90</f>
        <v>13.415737111848056</v>
      </c>
      <c r="W175" s="752">
        <f>INPUT!BN90</f>
        <v>12.574107011888813</v>
      </c>
      <c r="X175" s="793">
        <f>INPUT!BO90</f>
        <v>13.986650485436893</v>
      </c>
      <c r="Y175" s="752">
        <f>INPUT!BP90</f>
        <v>9.1280270059145288</v>
      </c>
      <c r="Z175" s="793">
        <f>INPUT!BQ90</f>
        <v>15.336463223787167</v>
      </c>
      <c r="AA175" s="752">
        <f>INPUT!BR90</f>
        <v>13.517839660999996</v>
      </c>
      <c r="AB175" s="793">
        <f>INPUT!BS90</f>
        <v>15.100154083204927</v>
      </c>
      <c r="AC175" s="752">
        <f>INPUT!BT90</f>
        <v>10.095652965511647</v>
      </c>
      <c r="AD175" s="793">
        <f>INPUT!BU90</f>
        <v>14.912549861920837</v>
      </c>
      <c r="AE175" s="752">
        <f>INPUT!BV90</f>
        <v>11.157141330317778</v>
      </c>
      <c r="AF175" s="793">
        <f>INPUT!BW90</f>
        <v>15.882902522578638</v>
      </c>
      <c r="AG175" s="752">
        <f>INPUT!BX90</f>
        <v>13.557585063816035</v>
      </c>
      <c r="AH175" s="793">
        <f>INPUT!BY90</f>
        <v>15.007610350076101</v>
      </c>
      <c r="AI175" s="752">
        <f>INPUT!BZ90</f>
        <v>-2.1442549622588847</v>
      </c>
      <c r="AJ175" s="793">
        <f>INPUT!CA90</f>
        <v>14.8271679805943</v>
      </c>
      <c r="AK175" s="752">
        <f>INPUT!CB90</f>
        <v>-1.8078365366764992</v>
      </c>
      <c r="AL175" s="793">
        <f>INPUT!CC90</f>
        <v>14.74031822275593</v>
      </c>
      <c r="AM175" s="752">
        <f>INPUT!CD90</f>
        <v>-1.1549442634535723</v>
      </c>
      <c r="AN175" s="793">
        <f>INPUT!CE90</f>
        <v>14.59940652818991</v>
      </c>
      <c r="AO175" s="752">
        <f>INPUT!CF90</f>
        <v>-8.0809914470239335</v>
      </c>
      <c r="AP175" s="793">
        <f>INPUT!CG90</f>
        <v>15.214797136038186</v>
      </c>
      <c r="AQ175" s="752">
        <f>INPUT!CH90</f>
        <v>1.3805448111266605</v>
      </c>
      <c r="AR175" s="793">
        <f>INPUT!CI90</f>
        <v>14.783904619970196</v>
      </c>
      <c r="AS175" s="752">
        <f>INPUT!CJ90</f>
        <v>-0.29178438310489829</v>
      </c>
      <c r="AT175" s="793">
        <f>INPUT!CK90</f>
        <v>14.609720176730487</v>
      </c>
      <c r="AU175" s="752">
        <f>INPUT!CL90</f>
        <v>-0.88599203932941961</v>
      </c>
      <c r="AV175" s="793">
        <f>INPUT!CM90</f>
        <v>14.298194525334887</v>
      </c>
      <c r="AW175" s="752">
        <f>INPUT!CN90</f>
        <v>-2.063179775653301</v>
      </c>
      <c r="AX175" s="793">
        <f>INPUT!CO90</f>
        <v>13.630002798768546</v>
      </c>
      <c r="AY175" s="752">
        <f>INPUT!CP90</f>
        <v>-10.416138467701641</v>
      </c>
      <c r="AZ175" s="793">
        <f>INPUT!CQ90</f>
        <v>13.222683264177041</v>
      </c>
      <c r="BA175" s="752">
        <f>INPUT!CR90</f>
        <v>-10.560277517512162</v>
      </c>
      <c r="BB175" s="793">
        <f>INPUT!CS90</f>
        <v>12.782369146005509</v>
      </c>
      <c r="BC175" s="752">
        <f>INPUT!CT90</f>
        <v>-12.507775704256652</v>
      </c>
      <c r="BD175" s="793">
        <f>INPUT!CU90</f>
        <v>13.776070252469816</v>
      </c>
      <c r="BE175" s="752">
        <f>INPUT!CV90</f>
        <v>-3.6516797413821855</v>
      </c>
      <c r="BF175" s="793">
        <f>INPUT!CW90</f>
        <v>13.382193268186752</v>
      </c>
      <c r="BG175" s="752">
        <f>INPUT!CX90</f>
        <v>-1.8181179728311014</v>
      </c>
      <c r="BH175" s="793">
        <f>INPUT!CY90</f>
        <v>13.474599293670201</v>
      </c>
      <c r="BI175" s="752">
        <f>INPUT!CZ90</f>
        <v>1.9051808506648005</v>
      </c>
      <c r="BJ175" s="793">
        <f>INPUT!DA90</f>
        <v>13.413978494623654</v>
      </c>
      <c r="BK175" s="752">
        <f>INPUT!DB90</f>
        <v>4.9412541713014457</v>
      </c>
      <c r="BL175" s="793">
        <f>INPUT!DC90</f>
        <v>13.427561837455832</v>
      </c>
      <c r="BM175" s="752">
        <f>INPUT!DD90</f>
        <v>-2.5298100882688468</v>
      </c>
      <c r="BN175" s="793">
        <f>INPUT!DE90</f>
        <v>13.44</v>
      </c>
      <c r="BO175" s="752">
        <f>INPUT!DF90</f>
        <v>0.43196754563894491</v>
      </c>
      <c r="BP175" s="793">
        <f>INPUT!DG90</f>
        <v>13.231013495633768</v>
      </c>
      <c r="BQ175" s="752">
        <f>INPUT!DH90</f>
        <v>-1.8077405697018323</v>
      </c>
      <c r="BR175" s="793">
        <f>INPUT!DI90</f>
        <v>13.281045751633986</v>
      </c>
      <c r="BS175" s="752">
        <f>INPUT!DJ90</f>
        <v>-0.99100161106526752</v>
      </c>
      <c r="BT175" s="793">
        <f>INPUT!DK90</f>
        <v>13.86748844375963</v>
      </c>
      <c r="BU175" s="752">
        <f>INPUT!DL90</f>
        <v>3.2762955153677664</v>
      </c>
      <c r="BV175" s="793">
        <f>INPUT!DM90</f>
        <v>13.428001993024413</v>
      </c>
      <c r="BW175" s="752">
        <f>INPUT!DN90</f>
        <v>-8.9270885235015474E-2</v>
      </c>
      <c r="BX175" s="793">
        <f>INPUT!DO90</f>
        <v>13.224368499257059</v>
      </c>
      <c r="BY175" s="752">
        <f>INPUT!DP90</f>
        <v>-5.0222882615169606E-2</v>
      </c>
      <c r="BZ175" s="793">
        <f>INPUT!DQ90</f>
        <v>13.174839029222388</v>
      </c>
      <c r="CA175" s="752">
        <f>INPUT!DR90</f>
        <v>-0.79968644335504102</v>
      </c>
      <c r="CB175" s="793">
        <f>INPUT!DS90</f>
        <v>13.552663884114901</v>
      </c>
      <c r="CC175" s="752">
        <f>INPUT!DT90</f>
        <v>-2.27023488010476</v>
      </c>
      <c r="CD175" s="793">
        <f>INPUT!DU90</f>
        <v>13.065447545717035</v>
      </c>
      <c r="CE175" s="752">
        <f>INPUT!DV90</f>
        <v>-2.6999880361629258</v>
      </c>
      <c r="CF175" s="793">
        <f>INPUT!DW90</f>
        <v>12.787043751510756</v>
      </c>
      <c r="CG175" s="752">
        <f>INPUT!DX90</f>
        <v>-3.3069612947557503</v>
      </c>
      <c r="CH175" s="793">
        <f>INPUT!DY90</f>
        <v>12.538884900693944</v>
      </c>
      <c r="CI175" s="752">
        <f>INPUT!DZ90</f>
        <v>-4.8270352838305612</v>
      </c>
      <c r="CJ175" s="793">
        <f>INPUT!EA90</f>
        <v>12.802850356294538</v>
      </c>
      <c r="CK175" s="752">
        <f>INPUT!EB90</f>
        <v>-5.5325914833556862</v>
      </c>
      <c r="CL175" s="793">
        <f>INPUT!EC90</f>
        <v>12.702078521939955</v>
      </c>
      <c r="CM175" s="752">
        <f>INPUT!ED90</f>
        <v>-2.7811448670673089</v>
      </c>
      <c r="CN175" s="793">
        <f>INPUT!EE90</f>
        <v>12.70949720670391</v>
      </c>
      <c r="CO175" s="752">
        <f>INPUT!EF90</f>
        <v>-0.60644623037037215</v>
      </c>
      <c r="CP175" s="793">
        <f>INPUT!EG90</f>
        <v>12.27345721495756</v>
      </c>
      <c r="CQ175" s="752">
        <f>INPUT!EH90</f>
        <v>-2.1168364478861612</v>
      </c>
      <c r="CR175" s="793">
        <f>INPUT!EI90</f>
        <v>12.592764378478662</v>
      </c>
      <c r="CS175" s="752">
        <f>INPUT!EJ90</f>
        <v>-1.6409312924022923</v>
      </c>
      <c r="CT175" s="793">
        <f>INPUT!EK90</f>
        <v>12.592764378478662</v>
      </c>
      <c r="CU175" s="752">
        <f>INPUT!EL90</f>
        <v>-0.86060043852254076</v>
      </c>
      <c r="CV175" s="793">
        <f>INPUT!EM90</f>
        <v>12.592764378478662</v>
      </c>
      <c r="CW175" s="752">
        <f>INPUT!EN90</f>
        <v>-0.91846928581623688</v>
      </c>
      <c r="CX175" s="793">
        <f>INPUT!EO90</f>
        <v>12.592764378478662</v>
      </c>
      <c r="CY175" s="752">
        <f>INPUT!EP90</f>
        <v>2.6016073379224069</v>
      </c>
      <c r="CZ175" s="793">
        <f>INPUT!EQ90</f>
        <v>12.592764378478662</v>
      </c>
      <c r="DA175" s="752">
        <f>INPUT!ER90</f>
        <v>0</v>
      </c>
      <c r="DB175" s="793"/>
      <c r="DC175" s="793"/>
      <c r="DD175" s="756">
        <f>INPUT!FC90</f>
        <v>0</v>
      </c>
      <c r="DE175" s="793">
        <f>INPUT!FD90</f>
        <v>11.502867200363367</v>
      </c>
      <c r="DF175" s="756" t="str">
        <f>INPUT!FE90</f>
        <v>NA</v>
      </c>
      <c r="DG175" s="793">
        <f>INPUT!FF90</f>
        <v>11.068090049228385</v>
      </c>
      <c r="DH175" s="756">
        <f>INPUT!FG90</f>
        <v>-3.7797285108294387</v>
      </c>
      <c r="DI175" s="793">
        <f>INPUT!FH90</f>
        <v>10.54950019766194</v>
      </c>
      <c r="DJ175" s="756">
        <f>INPUT!FI90</f>
        <v>-4.6854502381158181</v>
      </c>
      <c r="DK175" s="793">
        <f>INPUT!FJ90</f>
        <v>11.644301527425638</v>
      </c>
      <c r="DL175" s="752">
        <f>INPUT!FK90</f>
        <v>10.377755431544866</v>
      </c>
      <c r="DM175" s="793">
        <f>INPUT!FL90</f>
        <v>11.570408825438028</v>
      </c>
      <c r="DN175" s="752">
        <f>INPUT!FM90</f>
        <v>-0.63458251929986442</v>
      </c>
      <c r="DO175" s="793">
        <f>INPUT!FN90</f>
        <v>11.986624990913715</v>
      </c>
      <c r="DP175" s="752">
        <f>INPUT!FO90</f>
        <v>3.5972468367808874</v>
      </c>
      <c r="DQ175" s="793">
        <f>INPUT!FP90</f>
        <v>13.657389853643739</v>
      </c>
      <c r="DR175" s="752">
        <f>INPUT!FQ90</f>
        <v>13.938576238069711</v>
      </c>
      <c r="DS175" s="793">
        <f>INPUT!FR90</f>
        <v>15.305964368706428</v>
      </c>
      <c r="DT175" s="752">
        <f>INPUT!FS90</f>
        <v>12.07093399785213</v>
      </c>
      <c r="DU175" s="793">
        <f>INPUT!FT90</f>
        <v>14.792231255645888</v>
      </c>
      <c r="DV175" s="752">
        <f>INPUT!FU90</f>
        <v>-3.3564243368479629</v>
      </c>
      <c r="DW175" s="793">
        <f>INPUT!FV90</f>
        <v>14.723699763593379</v>
      </c>
      <c r="DX175" s="752">
        <f>INPUT!FW90</f>
        <v>-0.46329381192139474</v>
      </c>
      <c r="DY175" s="793">
        <f>INPUT!FX90</f>
        <v>13.36609676749498</v>
      </c>
      <c r="DZ175" s="752">
        <f>INPUT!FY90</f>
        <v>-9.2205289288449173</v>
      </c>
      <c r="EA175" s="793">
        <f>INPUT!FZ90</f>
        <v>13.424546193443513</v>
      </c>
      <c r="EB175" s="752">
        <f>INPUT!GA90</f>
        <v>0.43729614535392702</v>
      </c>
      <c r="EC175" s="793">
        <f>INPUT!GB90</f>
        <v>13.457502623294859</v>
      </c>
      <c r="ED175" s="752">
        <f>INPUT!GC90</f>
        <v>0.24549380944767218</v>
      </c>
      <c r="EE175" s="793">
        <f>INPUT!GD90</f>
        <v>13.345294809131969</v>
      </c>
      <c r="EF175" s="752">
        <f>INPUT!GE90</f>
        <v>-0.83379373799012946</v>
      </c>
      <c r="EG175" s="793">
        <f>INPUT!GF90</f>
        <v>12.798225632418173</v>
      </c>
      <c r="EH175" s="752">
        <f>INPUT!GG90</f>
        <v>-4.0993412625058294</v>
      </c>
      <c r="EI175" s="793">
        <f>INPUT!GH90</f>
        <v>12.568653523732436</v>
      </c>
      <c r="EJ175" s="752">
        <f>INPUT!GI90</f>
        <v>-1.793780757421759</v>
      </c>
      <c r="EK175" s="793">
        <f>INPUT!GJ90</f>
        <v>12.592764378478661</v>
      </c>
      <c r="EL175" s="752">
        <f>INPUT!GK90</f>
        <v>0.19183323576146272</v>
      </c>
      <c r="EM175" s="793">
        <f>INPUT!GL90</f>
        <v>12.592764378478661</v>
      </c>
      <c r="EN175" s="752">
        <f>INPUT!GM90</f>
        <v>0</v>
      </c>
      <c r="EO175" s="793">
        <f>INPUT!GN90</f>
        <v>12.592764378478661</v>
      </c>
      <c r="EP175" s="752">
        <f>INPUT!GO90</f>
        <v>0</v>
      </c>
      <c r="EQ175" s="793">
        <f>INPUT!GP90</f>
        <v>12.592764378478661</v>
      </c>
      <c r="ER175" s="752">
        <f>INPUT!GQ90</f>
        <v>0</v>
      </c>
      <c r="ES175" s="793">
        <f>INPUT!GR90</f>
        <v>12.592764378478661</v>
      </c>
      <c r="ET175" s="752">
        <f>INPUT!GS90</f>
        <v>0</v>
      </c>
      <c r="EU175" s="756">
        <f>INPUT!GT90</f>
        <v>3.8337240999997135E-2</v>
      </c>
      <c r="EV175" s="710"/>
    </row>
    <row r="176" spans="1:152" ht="12.75" hidden="1" customHeight="1" outlineLevel="1" x14ac:dyDescent="0.2">
      <c r="A176" s="754"/>
      <c r="B176" s="793"/>
      <c r="C176" s="756"/>
      <c r="D176" s="793"/>
      <c r="E176" s="756"/>
      <c r="F176" s="793"/>
      <c r="G176" s="756"/>
      <c r="H176" s="793"/>
      <c r="I176" s="752"/>
      <c r="J176" s="793"/>
      <c r="K176" s="752"/>
      <c r="L176" s="793"/>
      <c r="M176" s="752"/>
      <c r="N176" s="793"/>
      <c r="O176" s="752"/>
      <c r="P176" s="793"/>
      <c r="Q176" s="752"/>
      <c r="R176" s="793"/>
      <c r="S176" s="752"/>
      <c r="T176" s="793"/>
      <c r="U176" s="752"/>
      <c r="V176" s="793"/>
      <c r="W176" s="752"/>
      <c r="X176" s="793"/>
      <c r="Y176" s="752"/>
      <c r="Z176" s="793"/>
      <c r="AA176" s="752"/>
      <c r="AB176" s="793"/>
      <c r="AC176" s="752"/>
      <c r="AD176" s="793"/>
      <c r="AE176" s="752"/>
      <c r="AF176" s="793"/>
      <c r="AG176" s="752"/>
      <c r="AH176" s="793"/>
      <c r="AI176" s="752"/>
      <c r="AJ176" s="793"/>
      <c r="AK176" s="752"/>
      <c r="AL176" s="793"/>
      <c r="AM176" s="752"/>
      <c r="AN176" s="793"/>
      <c r="AO176" s="752"/>
      <c r="AP176" s="793"/>
      <c r="AQ176" s="752"/>
      <c r="AR176" s="793"/>
      <c r="AS176" s="752"/>
      <c r="AT176" s="793"/>
      <c r="AU176" s="752"/>
      <c r="AV176" s="793"/>
      <c r="AW176" s="752"/>
      <c r="AX176" s="793"/>
      <c r="AY176" s="752"/>
      <c r="AZ176" s="793"/>
      <c r="BA176" s="752"/>
      <c r="BB176" s="793"/>
      <c r="BC176" s="752"/>
      <c r="BD176" s="793"/>
      <c r="BE176" s="752"/>
      <c r="BF176" s="793"/>
      <c r="BG176" s="752"/>
      <c r="BH176" s="793"/>
      <c r="BI176" s="752"/>
      <c r="BJ176" s="793"/>
      <c r="BK176" s="752"/>
      <c r="BL176" s="793"/>
      <c r="BM176" s="752"/>
      <c r="BN176" s="793"/>
      <c r="BO176" s="752"/>
      <c r="BP176" s="793"/>
      <c r="BQ176" s="752"/>
      <c r="BR176" s="793"/>
      <c r="BS176" s="752"/>
      <c r="BT176" s="793"/>
      <c r="BU176" s="752"/>
      <c r="BV176" s="793"/>
      <c r="BW176" s="752"/>
      <c r="BX176" s="793"/>
      <c r="BY176" s="752"/>
      <c r="BZ176" s="793"/>
      <c r="CA176" s="752"/>
      <c r="CB176" s="793"/>
      <c r="CC176" s="752"/>
      <c r="CD176" s="793"/>
      <c r="CE176" s="752"/>
      <c r="CF176" s="793"/>
      <c r="CG176" s="752"/>
      <c r="CH176" s="793"/>
      <c r="CI176" s="752"/>
      <c r="CJ176" s="793"/>
      <c r="CK176" s="752"/>
      <c r="CL176" s="793"/>
      <c r="CM176" s="752"/>
      <c r="CN176" s="793"/>
      <c r="CO176" s="752"/>
      <c r="CP176" s="793"/>
      <c r="CQ176" s="752"/>
      <c r="CR176" s="793"/>
      <c r="CS176" s="752"/>
      <c r="CT176" s="793"/>
      <c r="CU176" s="752"/>
      <c r="CV176" s="793"/>
      <c r="CW176" s="752"/>
      <c r="CX176" s="793"/>
      <c r="CY176" s="752"/>
      <c r="CZ176" s="793"/>
      <c r="DA176" s="752"/>
      <c r="DB176" s="793"/>
      <c r="DC176" s="793"/>
      <c r="DD176" s="756"/>
      <c r="DE176" s="793"/>
      <c r="DF176" s="756"/>
      <c r="DG176" s="793"/>
      <c r="DH176" s="756"/>
      <c r="DI176" s="793"/>
      <c r="DJ176" s="756"/>
      <c r="DK176" s="793"/>
      <c r="DL176" s="752"/>
      <c r="DM176" s="793"/>
      <c r="DN176" s="752"/>
      <c r="DO176" s="793"/>
      <c r="DP176" s="752"/>
      <c r="DQ176" s="793"/>
      <c r="DR176" s="752"/>
      <c r="DS176" s="793"/>
      <c r="DT176" s="752"/>
      <c r="DU176" s="793"/>
      <c r="DV176" s="752"/>
      <c r="DW176" s="793"/>
      <c r="DX176" s="752"/>
      <c r="DY176" s="793"/>
      <c r="DZ176" s="752"/>
      <c r="EA176" s="793"/>
      <c r="EB176" s="752"/>
      <c r="EC176" s="793"/>
      <c r="ED176" s="752"/>
      <c r="EE176" s="793"/>
      <c r="EF176" s="752"/>
      <c r="EG176" s="793"/>
      <c r="EH176" s="752"/>
      <c r="EI176" s="793"/>
      <c r="EJ176" s="752"/>
      <c r="EK176" s="793"/>
      <c r="EL176" s="752"/>
      <c r="EM176" s="793"/>
      <c r="EN176" s="752"/>
      <c r="EO176" s="793"/>
      <c r="EP176" s="752"/>
      <c r="EQ176" s="793"/>
      <c r="ER176" s="752"/>
      <c r="ES176" s="793"/>
      <c r="ET176" s="752"/>
      <c r="EU176" s="756"/>
      <c r="EV176" s="710"/>
    </row>
    <row r="177" spans="1:152" ht="12.75" hidden="1" customHeight="1" outlineLevel="1" x14ac:dyDescent="0.2">
      <c r="A177" s="749" t="str">
        <f>+INPUT!B99</f>
        <v>Sales Data</v>
      </c>
      <c r="B177" s="793"/>
      <c r="C177" s="756"/>
      <c r="D177" s="793"/>
      <c r="E177" s="756"/>
      <c r="F177" s="793"/>
      <c r="G177" s="756"/>
      <c r="H177" s="793"/>
      <c r="I177" s="752"/>
      <c r="J177" s="793"/>
      <c r="K177" s="752"/>
      <c r="L177" s="793"/>
      <c r="M177" s="752"/>
      <c r="N177" s="793"/>
      <c r="O177" s="752"/>
      <c r="P177" s="793"/>
      <c r="Q177" s="752"/>
      <c r="R177" s="793"/>
      <c r="S177" s="752"/>
      <c r="T177" s="793"/>
      <c r="U177" s="752"/>
      <c r="V177" s="793"/>
      <c r="W177" s="752"/>
      <c r="X177" s="793"/>
      <c r="Y177" s="752"/>
      <c r="Z177" s="793"/>
      <c r="AA177" s="752"/>
      <c r="AB177" s="793"/>
      <c r="AC177" s="752"/>
      <c r="AD177" s="793"/>
      <c r="AE177" s="752"/>
      <c r="AF177" s="793"/>
      <c r="AG177" s="752"/>
      <c r="AH177" s="793"/>
      <c r="AI177" s="752"/>
      <c r="AJ177" s="793"/>
      <c r="AK177" s="752"/>
      <c r="AL177" s="793"/>
      <c r="AM177" s="752"/>
      <c r="AN177" s="793"/>
      <c r="AO177" s="752"/>
      <c r="AP177" s="793"/>
      <c r="AQ177" s="752"/>
      <c r="AR177" s="793"/>
      <c r="AS177" s="752"/>
      <c r="AT177" s="793"/>
      <c r="AU177" s="752"/>
      <c r="AV177" s="793"/>
      <c r="AW177" s="752"/>
      <c r="AX177" s="793"/>
      <c r="AY177" s="752"/>
      <c r="AZ177" s="793"/>
      <c r="BA177" s="752"/>
      <c r="BB177" s="793"/>
      <c r="BC177" s="752"/>
      <c r="BD177" s="793"/>
      <c r="BE177" s="752"/>
      <c r="BF177" s="793"/>
      <c r="BG177" s="752"/>
      <c r="BH177" s="793"/>
      <c r="BI177" s="752"/>
      <c r="BJ177" s="793"/>
      <c r="BK177" s="752"/>
      <c r="BL177" s="793"/>
      <c r="BM177" s="752"/>
      <c r="BN177" s="793"/>
      <c r="BO177" s="752"/>
      <c r="BP177" s="793"/>
      <c r="BQ177" s="752"/>
      <c r="BR177" s="793"/>
      <c r="BS177" s="752"/>
      <c r="BT177" s="793"/>
      <c r="BU177" s="752"/>
      <c r="BV177" s="793"/>
      <c r="BW177" s="752"/>
      <c r="BX177" s="793"/>
      <c r="BY177" s="752"/>
      <c r="BZ177" s="793"/>
      <c r="CA177" s="752"/>
      <c r="CB177" s="793"/>
      <c r="CC177" s="752"/>
      <c r="CD177" s="793"/>
      <c r="CE177" s="752"/>
      <c r="CF177" s="793"/>
      <c r="CG177" s="752"/>
      <c r="CH177" s="793"/>
      <c r="CI177" s="752"/>
      <c r="CJ177" s="793"/>
      <c r="CK177" s="752"/>
      <c r="CL177" s="793"/>
      <c r="CM177" s="752"/>
      <c r="CN177" s="793"/>
      <c r="CO177" s="752"/>
      <c r="CP177" s="793"/>
      <c r="CQ177" s="752"/>
      <c r="CR177" s="793"/>
      <c r="CS177" s="752"/>
      <c r="CT177" s="793"/>
      <c r="CU177" s="752"/>
      <c r="CV177" s="793"/>
      <c r="CW177" s="752"/>
      <c r="CX177" s="793"/>
      <c r="CY177" s="752"/>
      <c r="CZ177" s="793"/>
      <c r="DA177" s="752"/>
      <c r="DB177" s="793"/>
      <c r="DC177" s="793"/>
      <c r="DD177" s="756"/>
      <c r="DE177" s="793"/>
      <c r="DF177" s="756"/>
      <c r="DG177" s="793"/>
      <c r="DH177" s="756"/>
      <c r="DI177" s="793"/>
      <c r="DJ177" s="756"/>
      <c r="DK177" s="793"/>
      <c r="DL177" s="752"/>
      <c r="DM177" s="793"/>
      <c r="DN177" s="752"/>
      <c r="DO177" s="793"/>
      <c r="DP177" s="752"/>
      <c r="DQ177" s="793"/>
      <c r="DR177" s="752"/>
      <c r="DS177" s="793"/>
      <c r="DT177" s="752"/>
      <c r="DU177" s="793"/>
      <c r="DV177" s="752"/>
      <c r="DW177" s="793"/>
      <c r="DX177" s="752"/>
      <c r="DY177" s="793"/>
      <c r="DZ177" s="752"/>
      <c r="EA177" s="793"/>
      <c r="EB177" s="752"/>
      <c r="EC177" s="793"/>
      <c r="ED177" s="752"/>
      <c r="EE177" s="793"/>
      <c r="EF177" s="752"/>
      <c r="EG177" s="793"/>
      <c r="EH177" s="752"/>
      <c r="EI177" s="793"/>
      <c r="EJ177" s="752"/>
      <c r="EK177" s="793"/>
      <c r="EL177" s="752"/>
      <c r="EM177" s="793"/>
      <c r="EN177" s="752"/>
      <c r="EO177" s="793"/>
      <c r="EP177" s="752"/>
      <c r="EQ177" s="793"/>
      <c r="ER177" s="752"/>
      <c r="ES177" s="793"/>
      <c r="ET177" s="752"/>
      <c r="EU177" s="756"/>
      <c r="EV177" s="710"/>
    </row>
    <row r="178" spans="1:152" ht="12.75" hidden="1" customHeight="1" outlineLevel="1" x14ac:dyDescent="0.2">
      <c r="A178" s="754" t="str">
        <f>+INPUT!B100</f>
        <v xml:space="preserve">  Group Life</v>
      </c>
      <c r="B178" s="793">
        <f>+INPUT!AS100</f>
        <v>33.200000000000003</v>
      </c>
      <c r="C178" s="756">
        <f>+INPUT!AT100</f>
        <v>4.7318611987381631</v>
      </c>
      <c r="D178" s="793">
        <f>+INPUT!AU100</f>
        <v>43.5</v>
      </c>
      <c r="E178" s="756">
        <f>+INPUT!AV100</f>
        <v>12.987012987012992</v>
      </c>
      <c r="F178" s="793">
        <f>+INPUT!AW100</f>
        <v>17.7</v>
      </c>
      <c r="G178" s="756">
        <f>+INPUT!AX100</f>
        <v>-24.358974358974361</v>
      </c>
      <c r="H178" s="793">
        <f>+INPUT!AY100</f>
        <v>55.4</v>
      </c>
      <c r="I178" s="752">
        <f>+INPUT!AZ100</f>
        <v>-13.707165109034269</v>
      </c>
      <c r="J178" s="793">
        <f>+INPUT!BA100</f>
        <v>20.100000000000001</v>
      </c>
      <c r="K178" s="752">
        <f>+INPUT!BB100</f>
        <v>-39.457831325301207</v>
      </c>
      <c r="L178" s="793">
        <f>+INPUT!BC100</f>
        <v>35.299999999999997</v>
      </c>
      <c r="M178" s="752">
        <f>+INPUT!BD100</f>
        <v>-18.850574712643684</v>
      </c>
      <c r="N178" s="793">
        <f>+INPUT!BE100</f>
        <v>17.3</v>
      </c>
      <c r="O178" s="752">
        <f>+INPUT!BF100</f>
        <v>-2.2598870056497078</v>
      </c>
      <c r="P178" s="793">
        <f>+INPUT!BG100</f>
        <v>61.3</v>
      </c>
      <c r="Q178" s="752">
        <f>+INPUT!BH100</f>
        <v>10.649819494584833</v>
      </c>
      <c r="R178" s="793">
        <f>+INPUT!BI100</f>
        <v>27.1</v>
      </c>
      <c r="S178" s="752">
        <f>+INPUT!BJ100</f>
        <v>34.825870646766163</v>
      </c>
      <c r="T178" s="793">
        <f>+INPUT!BK100</f>
        <v>38.6</v>
      </c>
      <c r="U178" s="752">
        <f>+INPUT!BL100</f>
        <v>9.3484419263456289</v>
      </c>
      <c r="V178" s="793">
        <f>+INPUT!BM100</f>
        <v>17.100000000000001</v>
      </c>
      <c r="W178" s="752">
        <f>+INPUT!BN100</f>
        <v>0</v>
      </c>
      <c r="X178" s="793">
        <f>+INPUT!BO100</f>
        <v>82.6</v>
      </c>
      <c r="Y178" s="752">
        <f>+INPUT!BP100</f>
        <v>0</v>
      </c>
      <c r="Z178" s="793">
        <f>+INPUT!BQ100</f>
        <v>31.8</v>
      </c>
      <c r="AA178" s="752">
        <f>+INPUT!BR100</f>
        <v>17.343173431734304</v>
      </c>
      <c r="AB178" s="793">
        <f>+INPUT!BS100</f>
        <v>48.6</v>
      </c>
      <c r="AC178" s="752">
        <f>+INPUT!BT100</f>
        <v>0</v>
      </c>
      <c r="AD178" s="793">
        <f>+INPUT!BU100</f>
        <v>28</v>
      </c>
      <c r="AE178" s="752">
        <f>+INPUT!BV100</f>
        <v>0</v>
      </c>
      <c r="AF178" s="793">
        <f>+INPUT!BW100</f>
        <v>76.5</v>
      </c>
      <c r="AG178" s="752">
        <f>+INPUT!BX100</f>
        <v>0</v>
      </c>
      <c r="AH178" s="793">
        <f>+INPUT!BY100</f>
        <v>28.5</v>
      </c>
      <c r="AI178" s="752">
        <f>+INPUT!BZ100</f>
        <v>-10.377358490566035</v>
      </c>
      <c r="AJ178" s="793">
        <f>+INPUT!CA100</f>
        <v>36.299999999999997</v>
      </c>
      <c r="AK178" s="752">
        <f>+INPUT!CB100</f>
        <v>-25.308641975308653</v>
      </c>
      <c r="AL178" s="793">
        <f>+INPUT!CC100</f>
        <v>24.5</v>
      </c>
      <c r="AM178" s="752">
        <f>+INPUT!CD100</f>
        <v>-12.5</v>
      </c>
      <c r="AN178" s="793">
        <f>+INPUT!CE100</f>
        <v>77.599999999999994</v>
      </c>
      <c r="AO178" s="752">
        <f>+INPUT!CF100</f>
        <v>1.437908496732021</v>
      </c>
      <c r="AP178" s="793">
        <f>+INPUT!CG100</f>
        <v>30.8</v>
      </c>
      <c r="AQ178" s="752">
        <f>+INPUT!CH100</f>
        <v>0</v>
      </c>
      <c r="AR178" s="793">
        <f>+INPUT!CI100</f>
        <v>40.9</v>
      </c>
      <c r="AS178" s="752">
        <f>+INPUT!CJ100</f>
        <v>0</v>
      </c>
      <c r="AT178" s="793">
        <f>+INPUT!CK100</f>
        <v>25.2</v>
      </c>
      <c r="AU178" s="752">
        <f>+INPUT!CL100</f>
        <v>0</v>
      </c>
      <c r="AV178" s="793">
        <f>+INPUT!CM100</f>
        <v>88.4</v>
      </c>
      <c r="AW178" s="752">
        <f>+INPUT!CN100</f>
        <v>0</v>
      </c>
      <c r="AX178" s="793">
        <f>+INPUT!CO100</f>
        <v>33</v>
      </c>
      <c r="AY178" s="752">
        <f>+INPUT!CP100</f>
        <v>0</v>
      </c>
      <c r="AZ178" s="793">
        <f>+INPUT!CQ100</f>
        <v>45.2</v>
      </c>
      <c r="BA178" s="752">
        <f>+INPUT!CR100</f>
        <v>0</v>
      </c>
      <c r="BB178" s="793">
        <f>+INPUT!CS100</f>
        <v>24.5</v>
      </c>
      <c r="BC178" s="752">
        <f>+INPUT!CT100</f>
        <v>0</v>
      </c>
      <c r="BD178" s="793">
        <f>+INPUT!CU100</f>
        <v>85.3</v>
      </c>
      <c r="BE178" s="752">
        <f>+INPUT!CV100</f>
        <v>0</v>
      </c>
      <c r="BF178" s="793">
        <f>+INPUT!CW100</f>
        <v>33.700000000000003</v>
      </c>
      <c r="BG178" s="752">
        <f>+INPUT!CX100</f>
        <v>0</v>
      </c>
      <c r="BH178" s="793">
        <f>+INPUT!CY100</f>
        <v>33.6</v>
      </c>
      <c r="BI178" s="752">
        <f>+INPUT!CZ100</f>
        <v>0</v>
      </c>
      <c r="BJ178" s="793">
        <f>+INPUT!DA100</f>
        <v>23.3</v>
      </c>
      <c r="BK178" s="752">
        <f>+INPUT!DB100</f>
        <v>0</v>
      </c>
      <c r="BL178" s="793">
        <f>+INPUT!DC100</f>
        <v>0</v>
      </c>
      <c r="BM178" s="752">
        <f>+INPUT!DD100</f>
        <v>0</v>
      </c>
      <c r="BN178" s="793">
        <f>+INPUT!DE100</f>
        <v>0</v>
      </c>
      <c r="BO178" s="752">
        <f>+INPUT!DF100</f>
        <v>0</v>
      </c>
      <c r="BP178" s="793">
        <f>+INPUT!DG100</f>
        <v>0</v>
      </c>
      <c r="BQ178" s="752">
        <f>+INPUT!DH100</f>
        <v>0</v>
      </c>
      <c r="BR178" s="793">
        <f>+INPUT!DI100</f>
        <v>0</v>
      </c>
      <c r="BS178" s="752">
        <f>+INPUT!DJ100</f>
        <v>0</v>
      </c>
      <c r="BT178" s="793">
        <f>+INPUT!DK100</f>
        <v>0</v>
      </c>
      <c r="BU178" s="752">
        <f>+INPUT!DL100</f>
        <v>0</v>
      </c>
      <c r="BV178" s="793">
        <f>+INPUT!DM100</f>
        <v>0</v>
      </c>
      <c r="BW178" s="752">
        <f>+INPUT!DN100</f>
        <v>0</v>
      </c>
      <c r="BX178" s="793">
        <f>+INPUT!DO100</f>
        <v>0</v>
      </c>
      <c r="BY178" s="752">
        <f>+INPUT!DP100</f>
        <v>0</v>
      </c>
      <c r="BZ178" s="793">
        <f>+INPUT!DQ100</f>
        <v>0</v>
      </c>
      <c r="CA178" s="752">
        <f>+INPUT!DR100</f>
        <v>0</v>
      </c>
      <c r="CB178" s="793">
        <f>+INPUT!DS100</f>
        <v>0</v>
      </c>
      <c r="CC178" s="752">
        <f>+INPUT!DT100</f>
        <v>0</v>
      </c>
      <c r="CD178" s="793">
        <f>+INPUT!DU100</f>
        <v>0</v>
      </c>
      <c r="CE178" s="752">
        <f>+INPUT!DV100</f>
        <v>0</v>
      </c>
      <c r="CF178" s="793">
        <f>+INPUT!DW100</f>
        <v>0</v>
      </c>
      <c r="CG178" s="752">
        <f>+INPUT!DX100</f>
        <v>0</v>
      </c>
      <c r="CH178" s="793">
        <f>+INPUT!DY100</f>
        <v>0</v>
      </c>
      <c r="CI178" s="752">
        <f>+INPUT!DZ100</f>
        <v>0</v>
      </c>
      <c r="CJ178" s="793">
        <f>+INPUT!EA100</f>
        <v>0</v>
      </c>
      <c r="CK178" s="752">
        <f>+INPUT!EB100</f>
        <v>0</v>
      </c>
      <c r="CL178" s="793">
        <f>+INPUT!EC100</f>
        <v>0</v>
      </c>
      <c r="CM178" s="752">
        <f>+INPUT!ED100</f>
        <v>0</v>
      </c>
      <c r="CN178" s="793">
        <f>+INPUT!EE100</f>
        <v>0</v>
      </c>
      <c r="CO178" s="752">
        <f>+INPUT!EF100</f>
        <v>0</v>
      </c>
      <c r="CP178" s="793">
        <f>+INPUT!EG100</f>
        <v>0</v>
      </c>
      <c r="CQ178" s="752">
        <f>+INPUT!EH100</f>
        <v>0</v>
      </c>
      <c r="CR178" s="793">
        <f>+INPUT!EI100</f>
        <v>0</v>
      </c>
      <c r="CS178" s="752">
        <f>+INPUT!EJ100</f>
        <v>0</v>
      </c>
      <c r="CT178" s="793">
        <f>+INPUT!EK100</f>
        <v>0</v>
      </c>
      <c r="CU178" s="752">
        <f>+INPUT!EL100</f>
        <v>0</v>
      </c>
      <c r="CV178" s="793">
        <f>+INPUT!EM100</f>
        <v>0</v>
      </c>
      <c r="CW178" s="752">
        <f>+INPUT!EN100</f>
        <v>0</v>
      </c>
      <c r="CX178" s="793">
        <f>+INPUT!EO100</f>
        <v>0</v>
      </c>
      <c r="CY178" s="752">
        <f>+INPUT!EP100</f>
        <v>0</v>
      </c>
      <c r="CZ178" s="793">
        <f>+INPUT!EQ100</f>
        <v>0</v>
      </c>
      <c r="DA178" s="752">
        <f>+INPUT!ER100</f>
        <v>0</v>
      </c>
      <c r="DB178" s="793"/>
      <c r="DC178" s="793">
        <f>+INPUT!FB100</f>
        <v>0</v>
      </c>
      <c r="DD178" s="756">
        <f>+INPUT!FC100</f>
        <v>0</v>
      </c>
      <c r="DE178" s="793">
        <f>+INPUT!FD100</f>
        <v>274.10000000000002</v>
      </c>
      <c r="DF178" s="756" t="str">
        <f>+INPUT!FE100</f>
        <v>NA</v>
      </c>
      <c r="DG178" s="793">
        <f>+INPUT!FF100</f>
        <v>241.6</v>
      </c>
      <c r="DH178" s="756">
        <f>+INPUT!FG100</f>
        <v>-11.856986501276911</v>
      </c>
      <c r="DI178" s="793">
        <f>+INPUT!FH100</f>
        <v>166.5</v>
      </c>
      <c r="DJ178" s="756">
        <f>+INPUT!FI100</f>
        <v>-31.084437086092709</v>
      </c>
      <c r="DK178" s="793">
        <f>+INPUT!FJ100</f>
        <v>0</v>
      </c>
      <c r="DL178" s="752" t="str">
        <f>+INPUT!FK100</f>
        <v>NM</v>
      </c>
      <c r="DM178" s="793">
        <f>+INPUT!FL100</f>
        <v>0</v>
      </c>
      <c r="DN178" s="752" t="str">
        <f>+INPUT!FM100</f>
        <v>NA</v>
      </c>
      <c r="DO178" s="793">
        <f>+INPUT!FN100</f>
        <v>0</v>
      </c>
      <c r="DP178" s="752" t="str">
        <f>+INPUT!FO100</f>
        <v>NA</v>
      </c>
      <c r="DQ178" s="793">
        <f>+INPUT!FP100</f>
        <v>0</v>
      </c>
      <c r="DR178" s="752" t="str">
        <f>+INPUT!FQ100</f>
        <v>NA</v>
      </c>
      <c r="DS178" s="793">
        <f>+INPUT!FR100</f>
        <v>184.9</v>
      </c>
      <c r="DT178" s="752" t="str">
        <f>+INPUT!FS100</f>
        <v>NA</v>
      </c>
      <c r="DU178" s="793">
        <f>+INPUT!FT100</f>
        <v>166.89999999999998</v>
      </c>
      <c r="DV178" s="752">
        <f>+INPUT!FU100</f>
        <v>-9.7349918875067729</v>
      </c>
      <c r="DW178" s="793">
        <f>+INPUT!FV100</f>
        <v>185.3</v>
      </c>
      <c r="DX178" s="752">
        <f>+INPUT!FW100</f>
        <v>11.024565608148617</v>
      </c>
      <c r="DY178" s="793">
        <f>+INPUT!FX100</f>
        <v>188</v>
      </c>
      <c r="DZ178" s="752">
        <f>+INPUT!FY100</f>
        <v>1.4570966001079322</v>
      </c>
      <c r="EA178" s="793">
        <f>+INPUT!FZ100</f>
        <v>90.600000000000009</v>
      </c>
      <c r="EB178" s="752" t="str">
        <f>+INPUT!GA100</f>
        <v>NM</v>
      </c>
      <c r="EC178" s="793">
        <f>+INPUT!GB100</f>
        <v>0</v>
      </c>
      <c r="ED178" s="752" t="str">
        <f>+INPUT!GC100</f>
        <v>NM</v>
      </c>
      <c r="EE178" s="793">
        <f>+INPUT!GD100</f>
        <v>0</v>
      </c>
      <c r="EF178" s="752" t="str">
        <f>+INPUT!GE100</f>
        <v>NA</v>
      </c>
      <c r="EG178" s="793">
        <f>+INPUT!GF100</f>
        <v>0</v>
      </c>
      <c r="EH178" s="752" t="str">
        <f>+INPUT!GG100</f>
        <v>NA</v>
      </c>
      <c r="EI178" s="793">
        <f>+INPUT!GH100</f>
        <v>0</v>
      </c>
      <c r="EJ178" s="752" t="str">
        <f>+INPUT!GI100</f>
        <v>NA</v>
      </c>
      <c r="EK178" s="793">
        <f>+INPUT!GJ100</f>
        <v>0</v>
      </c>
      <c r="EL178" s="752" t="str">
        <f>+INPUT!GK100</f>
        <v>NA</v>
      </c>
      <c r="EM178" s="793">
        <f>+INPUT!GL100</f>
        <v>0</v>
      </c>
      <c r="EN178" s="752" t="str">
        <f>+INPUT!GM100</f>
        <v>NA</v>
      </c>
      <c r="EO178" s="793">
        <f>+INPUT!GN100</f>
        <v>0</v>
      </c>
      <c r="EP178" s="752" t="str">
        <f>+INPUT!GO100</f>
        <v>NA</v>
      </c>
      <c r="EQ178" s="793">
        <f>+INPUT!GP100</f>
        <v>0</v>
      </c>
      <c r="ER178" s="752" t="str">
        <f>+INPUT!GQ100</f>
        <v>NA</v>
      </c>
      <c r="ES178" s="793">
        <f>+INPUT!GR100</f>
        <v>0</v>
      </c>
      <c r="ET178" s="752" t="str">
        <f>+INPUT!GS100</f>
        <v>NA</v>
      </c>
      <c r="EU178" s="756">
        <f>+INPUT!GT100</f>
        <v>0</v>
      </c>
      <c r="EV178" s="710"/>
    </row>
    <row r="179" spans="1:152" ht="12.75" hidden="1" customHeight="1" outlineLevel="1" x14ac:dyDescent="0.2">
      <c r="A179" s="754" t="str">
        <f>+INPUT!B101</f>
        <v xml:space="preserve">  Accidental Death &amp; Dismemberment</v>
      </c>
      <c r="B179" s="793">
        <f>+INPUT!AS101</f>
        <v>2.8</v>
      </c>
      <c r="C179" s="756">
        <f>+INPUT!AT101</f>
        <v>-17.647058823529427</v>
      </c>
      <c r="D179" s="793">
        <f>+INPUT!AU101</f>
        <v>3.1</v>
      </c>
      <c r="E179" s="756">
        <f>+INPUT!AV101</f>
        <v>-6.0606060606060552</v>
      </c>
      <c r="F179" s="793">
        <f>+INPUT!AW101</f>
        <v>1.8</v>
      </c>
      <c r="G179" s="756">
        <f>+INPUT!AX101</f>
        <v>5.8823529411764719</v>
      </c>
      <c r="H179" s="793">
        <f>+INPUT!AY101</f>
        <v>6</v>
      </c>
      <c r="I179" s="752">
        <f>+INPUT!AZ101</f>
        <v>-4.7619047619047556</v>
      </c>
      <c r="J179" s="793">
        <f>+INPUT!BA101</f>
        <v>2</v>
      </c>
      <c r="K179" s="752">
        <f>+INPUT!BB101</f>
        <v>-28.571428571428569</v>
      </c>
      <c r="L179" s="793">
        <f>+INPUT!BC101</f>
        <v>3.2</v>
      </c>
      <c r="M179" s="752">
        <f>+INPUT!BD101</f>
        <v>3.2258064516129004</v>
      </c>
      <c r="N179" s="793">
        <f>+INPUT!BE101</f>
        <v>2.4</v>
      </c>
      <c r="O179" s="752">
        <f>+INPUT!BF101</f>
        <v>33.333333333333329</v>
      </c>
      <c r="P179" s="793">
        <f>+INPUT!BG101</f>
        <v>6.2</v>
      </c>
      <c r="Q179" s="752">
        <f>+INPUT!BH101</f>
        <v>3.3333333333333437</v>
      </c>
      <c r="R179" s="793">
        <f>+INPUT!BI101</f>
        <v>2.9</v>
      </c>
      <c r="S179" s="752">
        <f>+INPUT!BJ101</f>
        <v>44.999999999999993</v>
      </c>
      <c r="T179" s="793">
        <f>+INPUT!BK101</f>
        <v>3.4</v>
      </c>
      <c r="U179" s="752">
        <f>+INPUT!BL101</f>
        <v>6.25</v>
      </c>
      <c r="V179" s="793">
        <f>+INPUT!BM101</f>
        <v>1.7</v>
      </c>
      <c r="W179" s="752">
        <f>+INPUT!BN101</f>
        <v>0</v>
      </c>
      <c r="X179" s="793">
        <f>+INPUT!BO101</f>
        <v>9.1999999999999993</v>
      </c>
      <c r="Y179" s="752">
        <f>+INPUT!BP101</f>
        <v>0</v>
      </c>
      <c r="Z179" s="793">
        <f>+INPUT!BQ101</f>
        <v>2.9</v>
      </c>
      <c r="AA179" s="752">
        <f>+INPUT!BR101</f>
        <v>0</v>
      </c>
      <c r="AB179" s="793">
        <f>+INPUT!BS101</f>
        <v>5.0999999999999996</v>
      </c>
      <c r="AC179" s="752">
        <f>+INPUT!BT101</f>
        <v>0</v>
      </c>
      <c r="AD179" s="793">
        <f>+INPUT!BU101</f>
        <v>2.9</v>
      </c>
      <c r="AE179" s="752">
        <f>+INPUT!BV101</f>
        <v>0</v>
      </c>
      <c r="AF179" s="793">
        <f>+INPUT!BW101</f>
        <v>7.8</v>
      </c>
      <c r="AG179" s="752">
        <f>+INPUT!BX101</f>
        <v>0</v>
      </c>
      <c r="AH179" s="793">
        <f>+INPUT!BY101</f>
        <v>3.5</v>
      </c>
      <c r="AI179" s="752">
        <f>+INPUT!BZ101</f>
        <v>20.68965517241379</v>
      </c>
      <c r="AJ179" s="793">
        <f>+INPUT!CA101</f>
        <v>3.7</v>
      </c>
      <c r="AK179" s="752">
        <f>+INPUT!CB101</f>
        <v>-27.450980392156854</v>
      </c>
      <c r="AL179" s="793">
        <f>+INPUT!CC101</f>
        <v>2.6</v>
      </c>
      <c r="AM179" s="752">
        <f>+INPUT!CD101</f>
        <v>-10.344827586206895</v>
      </c>
      <c r="AN179" s="793">
        <f>+INPUT!CE101</f>
        <v>8.3000000000000007</v>
      </c>
      <c r="AO179" s="752">
        <f>+INPUT!CF101</f>
        <v>6.4102564102564319</v>
      </c>
      <c r="AP179" s="793">
        <f>+INPUT!CG101</f>
        <v>2.5</v>
      </c>
      <c r="AQ179" s="752">
        <f>+INPUT!CH101</f>
        <v>0</v>
      </c>
      <c r="AR179" s="793">
        <f>+INPUT!CI101</f>
        <v>3.8</v>
      </c>
      <c r="AS179" s="752">
        <f>+INPUT!CJ101</f>
        <v>0</v>
      </c>
      <c r="AT179" s="793">
        <f>+INPUT!CK101</f>
        <v>2.6</v>
      </c>
      <c r="AU179" s="752">
        <f>+INPUT!CL101</f>
        <v>0</v>
      </c>
      <c r="AV179" s="793">
        <f>+INPUT!CM101</f>
        <v>8.6999999999999993</v>
      </c>
      <c r="AW179" s="752">
        <f>+INPUT!CN101</f>
        <v>0</v>
      </c>
      <c r="AX179" s="793">
        <f>+INPUT!CO101</f>
        <v>2.9</v>
      </c>
      <c r="AY179" s="752">
        <f>+INPUT!CP101</f>
        <v>0</v>
      </c>
      <c r="AZ179" s="793">
        <f>+INPUT!CQ101</f>
        <v>4.9000000000000004</v>
      </c>
      <c r="BA179" s="752">
        <f>+INPUT!CR101</f>
        <v>0</v>
      </c>
      <c r="BB179" s="793">
        <f>+INPUT!CS101</f>
        <v>2.2000000000000002</v>
      </c>
      <c r="BC179" s="752">
        <f>+INPUT!CT101</f>
        <v>0</v>
      </c>
      <c r="BD179" s="793">
        <f>+INPUT!CU101</f>
        <v>9.5</v>
      </c>
      <c r="BE179" s="752">
        <f>+INPUT!CV101</f>
        <v>0</v>
      </c>
      <c r="BF179" s="793">
        <f>+INPUT!CW101</f>
        <v>3.1</v>
      </c>
      <c r="BG179" s="752">
        <f>+INPUT!CX101</f>
        <v>0</v>
      </c>
      <c r="BH179" s="793">
        <f>+INPUT!CY101</f>
        <v>2.9</v>
      </c>
      <c r="BI179" s="752">
        <f>+INPUT!CZ101</f>
        <v>0</v>
      </c>
      <c r="BJ179" s="793">
        <f>+INPUT!DA101</f>
        <v>2.2000000000000002</v>
      </c>
      <c r="BK179" s="752">
        <f>+INPUT!DB101</f>
        <v>0</v>
      </c>
      <c r="BL179" s="793">
        <f>+INPUT!DC101</f>
        <v>0</v>
      </c>
      <c r="BM179" s="752">
        <f>+INPUT!DD101</f>
        <v>0</v>
      </c>
      <c r="BN179" s="793">
        <f>+INPUT!DE101</f>
        <v>0</v>
      </c>
      <c r="BO179" s="752">
        <f>+INPUT!DF101</f>
        <v>0</v>
      </c>
      <c r="BP179" s="793">
        <f>+INPUT!DG101</f>
        <v>0</v>
      </c>
      <c r="BQ179" s="752">
        <f>+INPUT!DH101</f>
        <v>0</v>
      </c>
      <c r="BR179" s="793">
        <f>+INPUT!DI101</f>
        <v>0</v>
      </c>
      <c r="BS179" s="752">
        <f>+INPUT!DJ101</f>
        <v>0</v>
      </c>
      <c r="BT179" s="793">
        <f>+INPUT!DK101</f>
        <v>0</v>
      </c>
      <c r="BU179" s="752">
        <f>+INPUT!DL101</f>
        <v>0</v>
      </c>
      <c r="BV179" s="793">
        <f>+INPUT!DM101</f>
        <v>0</v>
      </c>
      <c r="BW179" s="752">
        <f>+INPUT!DN101</f>
        <v>0</v>
      </c>
      <c r="BX179" s="793">
        <f>+INPUT!DO101</f>
        <v>0</v>
      </c>
      <c r="BY179" s="752">
        <f>+INPUT!DP101</f>
        <v>0</v>
      </c>
      <c r="BZ179" s="793">
        <f>+INPUT!DQ101</f>
        <v>0</v>
      </c>
      <c r="CA179" s="752">
        <f>+INPUT!DR101</f>
        <v>0</v>
      </c>
      <c r="CB179" s="793">
        <f>+INPUT!DS101</f>
        <v>0</v>
      </c>
      <c r="CC179" s="752">
        <f>+INPUT!DT101</f>
        <v>0</v>
      </c>
      <c r="CD179" s="793">
        <f>+INPUT!DU101</f>
        <v>0</v>
      </c>
      <c r="CE179" s="752">
        <f>+INPUT!DV101</f>
        <v>0</v>
      </c>
      <c r="CF179" s="793">
        <f>+INPUT!DW101</f>
        <v>0</v>
      </c>
      <c r="CG179" s="752">
        <f>+INPUT!DX101</f>
        <v>0</v>
      </c>
      <c r="CH179" s="793">
        <f>+INPUT!DY101</f>
        <v>0</v>
      </c>
      <c r="CI179" s="752">
        <f>+INPUT!DZ101</f>
        <v>0</v>
      </c>
      <c r="CJ179" s="793">
        <f>+INPUT!EA101</f>
        <v>0</v>
      </c>
      <c r="CK179" s="752">
        <f>+INPUT!EB101</f>
        <v>0</v>
      </c>
      <c r="CL179" s="793">
        <f>+INPUT!EC101</f>
        <v>0</v>
      </c>
      <c r="CM179" s="752">
        <f>+INPUT!ED101</f>
        <v>0</v>
      </c>
      <c r="CN179" s="793">
        <f>+INPUT!EE101</f>
        <v>0</v>
      </c>
      <c r="CO179" s="752">
        <f>+INPUT!EF101</f>
        <v>0</v>
      </c>
      <c r="CP179" s="793">
        <f>+INPUT!EG101</f>
        <v>0</v>
      </c>
      <c r="CQ179" s="752">
        <f>+INPUT!EH101</f>
        <v>0</v>
      </c>
      <c r="CR179" s="793">
        <f>+INPUT!EI101</f>
        <v>0</v>
      </c>
      <c r="CS179" s="752">
        <f>+INPUT!EJ101</f>
        <v>0</v>
      </c>
      <c r="CT179" s="793">
        <f>+INPUT!EK101</f>
        <v>0</v>
      </c>
      <c r="CU179" s="752">
        <f>+INPUT!EL101</f>
        <v>0</v>
      </c>
      <c r="CV179" s="793">
        <f>+INPUT!EM101</f>
        <v>0</v>
      </c>
      <c r="CW179" s="752">
        <f>+INPUT!EN101</f>
        <v>0</v>
      </c>
      <c r="CX179" s="793">
        <f>+INPUT!EO101</f>
        <v>0</v>
      </c>
      <c r="CY179" s="752">
        <f>+INPUT!EP101</f>
        <v>0</v>
      </c>
      <c r="CZ179" s="793">
        <f>+INPUT!EQ101</f>
        <v>0</v>
      </c>
      <c r="DA179" s="752">
        <f>+INPUT!ER101</f>
        <v>0</v>
      </c>
      <c r="DB179" s="793"/>
      <c r="DC179" s="793">
        <f>+INPUT!FB101</f>
        <v>0</v>
      </c>
      <c r="DD179" s="756">
        <f>+INPUT!FC101</f>
        <v>0</v>
      </c>
      <c r="DE179" s="793">
        <f>+INPUT!FD101</f>
        <v>41.1</v>
      </c>
      <c r="DF179" s="756" t="str">
        <f>+INPUT!FE101</f>
        <v>NA</v>
      </c>
      <c r="DG179" s="793">
        <f>+INPUT!FF101</f>
        <v>26.6</v>
      </c>
      <c r="DH179" s="756">
        <f>+INPUT!FG101</f>
        <v>-35.279805352798057</v>
      </c>
      <c r="DI179" s="793">
        <f>+INPUT!FH101</f>
        <v>12.8</v>
      </c>
      <c r="DJ179" s="756" t="str">
        <f>+INPUT!FI101</f>
        <v>NM</v>
      </c>
      <c r="DK179" s="793">
        <f>+INPUT!FJ101</f>
        <v>0</v>
      </c>
      <c r="DL179" s="752" t="str">
        <f>+INPUT!FK101</f>
        <v>NM</v>
      </c>
      <c r="DM179" s="793">
        <f>+INPUT!FL101</f>
        <v>0</v>
      </c>
      <c r="DN179" s="752" t="str">
        <f>+INPUT!FM101</f>
        <v>NA</v>
      </c>
      <c r="DO179" s="793">
        <f>+INPUT!FN101</f>
        <v>0</v>
      </c>
      <c r="DP179" s="752" t="str">
        <f>+INPUT!FO101</f>
        <v>NA</v>
      </c>
      <c r="DQ179" s="793">
        <f>+INPUT!FP101</f>
        <v>0</v>
      </c>
      <c r="DR179" s="752" t="str">
        <f>+INPUT!FQ101</f>
        <v>NA</v>
      </c>
      <c r="DS179" s="793">
        <f>+INPUT!FR101</f>
        <v>18.7</v>
      </c>
      <c r="DT179" s="752" t="str">
        <f>+INPUT!FS101</f>
        <v>NA</v>
      </c>
      <c r="DU179" s="793">
        <f>+INPUT!FT101</f>
        <v>18.100000000000001</v>
      </c>
      <c r="DV179" s="752">
        <f>+INPUT!FU101</f>
        <v>-3.2085561497326109</v>
      </c>
      <c r="DW179" s="793">
        <f>+INPUT!FV101</f>
        <v>17.600000000000001</v>
      </c>
      <c r="DX179" s="752">
        <f>+INPUT!FW101</f>
        <v>-2.7624309392265234</v>
      </c>
      <c r="DY179" s="793">
        <f>+INPUT!FX101</f>
        <v>19.5</v>
      </c>
      <c r="DZ179" s="752">
        <f>+INPUT!FY101</f>
        <v>10.795454545454541</v>
      </c>
      <c r="EA179" s="793">
        <f>+INPUT!FZ101</f>
        <v>8.1999999999999993</v>
      </c>
      <c r="EB179" s="752" t="str">
        <f>+INPUT!GA101</f>
        <v>NM</v>
      </c>
      <c r="EC179" s="793">
        <f>+INPUT!GB101</f>
        <v>0</v>
      </c>
      <c r="ED179" s="752" t="str">
        <f>+INPUT!GC101</f>
        <v>NM</v>
      </c>
      <c r="EE179" s="793">
        <f>+INPUT!GD101</f>
        <v>0</v>
      </c>
      <c r="EF179" s="752" t="str">
        <f>+INPUT!GE101</f>
        <v>NA</v>
      </c>
      <c r="EG179" s="793">
        <f>+INPUT!GF101</f>
        <v>0</v>
      </c>
      <c r="EH179" s="752" t="str">
        <f>+INPUT!GG101</f>
        <v>NA</v>
      </c>
      <c r="EI179" s="793">
        <f>+INPUT!GH101</f>
        <v>0</v>
      </c>
      <c r="EJ179" s="752" t="str">
        <f>+INPUT!GI101</f>
        <v>NA</v>
      </c>
      <c r="EK179" s="793">
        <f>+INPUT!GJ101</f>
        <v>0</v>
      </c>
      <c r="EL179" s="752" t="str">
        <f>+INPUT!GK101</f>
        <v>NA</v>
      </c>
      <c r="EM179" s="793">
        <f>+INPUT!GL101</f>
        <v>0</v>
      </c>
      <c r="EN179" s="752" t="str">
        <f>+INPUT!GM101</f>
        <v>NA</v>
      </c>
      <c r="EO179" s="793">
        <f>+INPUT!GN101</f>
        <v>0</v>
      </c>
      <c r="EP179" s="752" t="str">
        <f>+INPUT!GO101</f>
        <v>NA</v>
      </c>
      <c r="EQ179" s="793">
        <f>+INPUT!GP101</f>
        <v>0</v>
      </c>
      <c r="ER179" s="752" t="str">
        <f>+INPUT!GQ101</f>
        <v>NA</v>
      </c>
      <c r="ES179" s="793">
        <f>+INPUT!GR101</f>
        <v>0</v>
      </c>
      <c r="ET179" s="752" t="str">
        <f>+INPUT!GS101</f>
        <v>NA</v>
      </c>
      <c r="EU179" s="756">
        <f>+INPUT!GT101</f>
        <v>0</v>
      </c>
      <c r="EV179" s="710"/>
    </row>
    <row r="180" spans="1:152" ht="12.75" hidden="1" customHeight="1" outlineLevel="1" x14ac:dyDescent="0.2">
      <c r="A180" s="754" t="str">
        <f>+INPUT!B102</f>
        <v>Total</v>
      </c>
      <c r="B180" s="793">
        <f>+INPUT!AS102</f>
        <v>36</v>
      </c>
      <c r="C180" s="756">
        <f>+INPUT!AT102</f>
        <v>2.564102564102555</v>
      </c>
      <c r="D180" s="793">
        <f>+INPUT!AU102</f>
        <v>46.6</v>
      </c>
      <c r="E180" s="756">
        <f>+INPUT!AV102</f>
        <v>11.483253588516762</v>
      </c>
      <c r="F180" s="793">
        <f>+INPUT!AW102</f>
        <v>19.5</v>
      </c>
      <c r="G180" s="756">
        <f>+INPUT!AX102</f>
        <v>-22.310756972111545</v>
      </c>
      <c r="H180" s="793">
        <f>+INPUT!AY102</f>
        <v>61.4</v>
      </c>
      <c r="I180" s="752">
        <f>+INPUT!AZ102</f>
        <v>-12.907801418439725</v>
      </c>
      <c r="J180" s="793">
        <f>+INPUT!BA102</f>
        <v>22.1</v>
      </c>
      <c r="K180" s="752">
        <f>+INPUT!BB102</f>
        <v>-38.611111111111107</v>
      </c>
      <c r="L180" s="793">
        <f>+INPUT!BC102</f>
        <v>38.5</v>
      </c>
      <c r="M180" s="752">
        <f>+INPUT!BD102</f>
        <v>-17.381974248927044</v>
      </c>
      <c r="N180" s="793">
        <f>+INPUT!BE102</f>
        <v>19.7</v>
      </c>
      <c r="O180" s="752">
        <f>+INPUT!BF102</f>
        <v>1.025641025641022</v>
      </c>
      <c r="P180" s="793">
        <f>+INPUT!BG102</f>
        <v>67.5</v>
      </c>
      <c r="Q180" s="752">
        <f>+INPUT!BH102</f>
        <v>9.934853420195445</v>
      </c>
      <c r="R180" s="793">
        <f>+INPUT!BI102</f>
        <v>30</v>
      </c>
      <c r="S180" s="752">
        <f>+INPUT!BJ102</f>
        <v>35.746606334841616</v>
      </c>
      <c r="T180" s="793">
        <f>+INPUT!BK102</f>
        <v>42</v>
      </c>
      <c r="U180" s="752">
        <f>+INPUT!BL102</f>
        <v>9.0909090909090828</v>
      </c>
      <c r="V180" s="793">
        <f>+INPUT!BM102</f>
        <v>18.8</v>
      </c>
      <c r="W180" s="752">
        <f>+INPUT!BN102</f>
        <v>0</v>
      </c>
      <c r="X180" s="793">
        <f>+INPUT!BO102</f>
        <v>91.8</v>
      </c>
      <c r="Y180" s="752">
        <f>+INPUT!BP102</f>
        <v>0</v>
      </c>
      <c r="Z180" s="793">
        <f>+INPUT!BQ102</f>
        <v>34.700000000000003</v>
      </c>
      <c r="AA180" s="752">
        <f>+INPUT!BR102</f>
        <v>15.666666666666673</v>
      </c>
      <c r="AB180" s="793">
        <f>+INPUT!BS102</f>
        <v>53.7</v>
      </c>
      <c r="AC180" s="752">
        <f>+INPUT!BT102</f>
        <v>0</v>
      </c>
      <c r="AD180" s="793">
        <f>+INPUT!BU102</f>
        <v>30.9</v>
      </c>
      <c r="AE180" s="752">
        <f>+INPUT!BV102</f>
        <v>0</v>
      </c>
      <c r="AF180" s="793">
        <f>+INPUT!BW102</f>
        <v>84.3</v>
      </c>
      <c r="AG180" s="752">
        <f>+INPUT!BX102</f>
        <v>0</v>
      </c>
      <c r="AH180" s="793">
        <f>+INPUT!BY102</f>
        <v>32</v>
      </c>
      <c r="AI180" s="752">
        <f>+INPUT!BZ102</f>
        <v>-7.7809798270893404</v>
      </c>
      <c r="AJ180" s="793">
        <f>+INPUT!CA102</f>
        <v>40</v>
      </c>
      <c r="AK180" s="752">
        <f>+INPUT!CB102</f>
        <v>-25.512104283054004</v>
      </c>
      <c r="AL180" s="793">
        <f>+INPUT!CC102</f>
        <v>27.1</v>
      </c>
      <c r="AM180" s="752">
        <f>+INPUT!CD102</f>
        <v>-12.297734627831701</v>
      </c>
      <c r="AN180" s="793">
        <f>+INPUT!CE102</f>
        <v>85.899999999999991</v>
      </c>
      <c r="AO180" s="752">
        <f>+INPUT!CF102</f>
        <v>1.8979833926453082</v>
      </c>
      <c r="AP180" s="793">
        <f>+INPUT!CG102</f>
        <v>33.299999999999997</v>
      </c>
      <c r="AQ180" s="752">
        <f>+INPUT!CH102</f>
        <v>0</v>
      </c>
      <c r="AR180" s="793">
        <f>+INPUT!CI102</f>
        <v>44.699999999999996</v>
      </c>
      <c r="AS180" s="752">
        <f>+INPUT!CJ102</f>
        <v>0</v>
      </c>
      <c r="AT180" s="793">
        <f>+INPUT!CK102</f>
        <v>27.8</v>
      </c>
      <c r="AU180" s="752">
        <f>+INPUT!CL102</f>
        <v>0</v>
      </c>
      <c r="AV180" s="793">
        <f>+INPUT!CM102</f>
        <v>97.100000000000009</v>
      </c>
      <c r="AW180" s="752">
        <f>+INPUT!CN102</f>
        <v>0</v>
      </c>
      <c r="AX180" s="793">
        <f>+INPUT!CO102</f>
        <v>35.9</v>
      </c>
      <c r="AY180" s="752">
        <f>+INPUT!CP102</f>
        <v>0</v>
      </c>
      <c r="AZ180" s="793">
        <f>+INPUT!CQ102</f>
        <v>50.1</v>
      </c>
      <c r="BA180" s="752">
        <f>+INPUT!CR102</f>
        <v>0</v>
      </c>
      <c r="BB180" s="793">
        <f>+INPUT!CS102</f>
        <v>26.7</v>
      </c>
      <c r="BC180" s="752">
        <f>+INPUT!CT102</f>
        <v>0</v>
      </c>
      <c r="BD180" s="793">
        <f>+INPUT!CU102</f>
        <v>94.8</v>
      </c>
      <c r="BE180" s="752">
        <f>+INPUT!CV102</f>
        <v>0</v>
      </c>
      <c r="BF180" s="793">
        <f>+INPUT!CW102</f>
        <v>36.800000000000004</v>
      </c>
      <c r="BG180" s="752">
        <f>+INPUT!CX102</f>
        <v>2.5069637883008422</v>
      </c>
      <c r="BH180" s="793">
        <f>+INPUT!CY102</f>
        <v>36.5</v>
      </c>
      <c r="BI180" s="752">
        <f>+INPUT!CZ102</f>
        <v>-27.145708582834338</v>
      </c>
      <c r="BJ180" s="793">
        <f>+INPUT!DA102</f>
        <v>25.5</v>
      </c>
      <c r="BK180" s="752">
        <f>+INPUT!DB102</f>
        <v>-4.4943820224719104</v>
      </c>
      <c r="BL180" s="793">
        <f>+INPUT!DC102</f>
        <v>100.6</v>
      </c>
      <c r="BM180" s="752">
        <f>+INPUT!DD102</f>
        <v>6.1181434599156148</v>
      </c>
      <c r="BN180" s="793">
        <f>+INPUT!DE102</f>
        <v>41.3</v>
      </c>
      <c r="BO180" s="752">
        <f>+INPUT!DF102</f>
        <v>12.228260869565188</v>
      </c>
      <c r="BP180" s="793">
        <f>+INPUT!DG102</f>
        <v>62.3</v>
      </c>
      <c r="BQ180" s="752">
        <f>+INPUT!DH102</f>
        <v>0</v>
      </c>
      <c r="BR180" s="793">
        <f>+INPUT!DI102</f>
        <v>33.6</v>
      </c>
      <c r="BS180" s="752">
        <f>+INPUT!DJ102</f>
        <v>0</v>
      </c>
      <c r="BT180" s="793">
        <f>+INPUT!DK102</f>
        <v>127.6</v>
      </c>
      <c r="BU180" s="752">
        <f>+INPUT!DL102</f>
        <v>0</v>
      </c>
      <c r="BV180" s="793">
        <f>+INPUT!DM102</f>
        <v>42.9</v>
      </c>
      <c r="BW180" s="752">
        <f>+INPUT!DN102</f>
        <v>3.874092009685226</v>
      </c>
      <c r="BX180" s="793">
        <f>+INPUT!DO102</f>
        <v>48.7</v>
      </c>
      <c r="BY180" s="752">
        <f>+INPUT!DP102</f>
        <v>-21.8298555377207</v>
      </c>
      <c r="BZ180" s="793">
        <f>+INPUT!DQ102</f>
        <v>34.1</v>
      </c>
      <c r="CA180" s="752">
        <f>+INPUT!DR102</f>
        <v>1.4880952380952328</v>
      </c>
      <c r="CB180" s="793">
        <f>+INPUT!DS102</f>
        <v>124.4</v>
      </c>
      <c r="CC180" s="752">
        <f>+INPUT!DT102</f>
        <v>0</v>
      </c>
      <c r="CD180" s="793">
        <f>+INPUT!DU102</f>
        <v>40.799999999999997</v>
      </c>
      <c r="CE180" s="752">
        <f>+INPUT!DV102</f>
        <v>0</v>
      </c>
      <c r="CF180" s="793">
        <f>+INPUT!DW102</f>
        <v>55.3</v>
      </c>
      <c r="CG180" s="752">
        <f>+INPUT!DX102</f>
        <v>0</v>
      </c>
      <c r="CH180" s="793">
        <f>+INPUT!DY102</f>
        <v>31.1</v>
      </c>
      <c r="CI180" s="752">
        <f>+INPUT!DZ102</f>
        <v>0</v>
      </c>
      <c r="CJ180" s="793">
        <f>+INPUT!EA102</f>
        <v>142.9</v>
      </c>
      <c r="CK180" s="752">
        <f>+INPUT!EB102</f>
        <v>0</v>
      </c>
      <c r="CL180" s="793">
        <f>+INPUT!EC102</f>
        <v>37.200000000000003</v>
      </c>
      <c r="CM180" s="752">
        <f>+INPUT!ED102</f>
        <v>0</v>
      </c>
      <c r="CN180" s="793">
        <f>+INPUT!EE102</f>
        <v>59.5</v>
      </c>
      <c r="CO180" s="752">
        <f>+INPUT!EF102</f>
        <v>0</v>
      </c>
      <c r="CP180" s="793">
        <f>+INPUT!EG102</f>
        <v>35.1</v>
      </c>
      <c r="CQ180" s="752">
        <f>+INPUT!EH102</f>
        <v>0</v>
      </c>
      <c r="CR180" s="793">
        <f>+INPUT!EI102</f>
        <v>178.7</v>
      </c>
      <c r="CS180" s="752">
        <f>+INPUT!EJ102</f>
        <v>0</v>
      </c>
      <c r="CT180" s="793">
        <f>+INPUT!EK102</f>
        <v>0</v>
      </c>
      <c r="CU180" s="752">
        <f>+INPUT!EL102</f>
        <v>0</v>
      </c>
      <c r="CV180" s="793">
        <f>+INPUT!EM102</f>
        <v>0</v>
      </c>
      <c r="CW180" s="752">
        <f>+INPUT!EN102</f>
        <v>0</v>
      </c>
      <c r="CX180" s="793">
        <f>+INPUT!EO102</f>
        <v>0</v>
      </c>
      <c r="CY180" s="752">
        <f>+INPUT!EP102</f>
        <v>0</v>
      </c>
      <c r="CZ180" s="793">
        <f>+INPUT!EQ102</f>
        <v>0</v>
      </c>
      <c r="DA180" s="752">
        <f>+INPUT!ER102</f>
        <v>0</v>
      </c>
      <c r="DB180" s="753"/>
      <c r="DC180" s="793">
        <f>+INPUT!FB102</f>
        <v>0</v>
      </c>
      <c r="DD180" s="756">
        <f>+INPUT!FC102</f>
        <v>0</v>
      </c>
      <c r="DE180" s="793">
        <f>+INPUT!FD102</f>
        <v>315.20000000000005</v>
      </c>
      <c r="DF180" s="756" t="str">
        <f>+INPUT!FE102</f>
        <v>NA</v>
      </c>
      <c r="DG180" s="793">
        <f>+INPUT!FF102</f>
        <v>268.2</v>
      </c>
      <c r="DH180" s="756">
        <f>+INPUT!FG102</f>
        <v>-14.911167512690371</v>
      </c>
      <c r="DI180" s="793">
        <f>+INPUT!FH102</f>
        <v>179.3</v>
      </c>
      <c r="DJ180" s="756">
        <f>+INPUT!FI102</f>
        <v>-33.146905294556298</v>
      </c>
      <c r="DK180" s="793">
        <f>+INPUT!FJ102</f>
        <v>0</v>
      </c>
      <c r="DL180" s="752" t="str">
        <f>+INPUT!FK102</f>
        <v>NM</v>
      </c>
      <c r="DM180" s="793">
        <f>+INPUT!FL102</f>
        <v>0</v>
      </c>
      <c r="DN180" s="752" t="str">
        <f>+INPUT!FM102</f>
        <v>NA</v>
      </c>
      <c r="DO180" s="793">
        <f>+INPUT!FN102</f>
        <v>0</v>
      </c>
      <c r="DP180" s="752" t="str">
        <f>+INPUT!FO102</f>
        <v>NA</v>
      </c>
      <c r="DQ180" s="793">
        <f>+INPUT!FP102</f>
        <v>0</v>
      </c>
      <c r="DR180" s="752" t="str">
        <f>+INPUT!FQ102</f>
        <v>NA</v>
      </c>
      <c r="DS180" s="793">
        <f>+INPUT!FR102</f>
        <v>203.60000000000002</v>
      </c>
      <c r="DT180" s="752" t="str">
        <f>+INPUT!FS102</f>
        <v>NA</v>
      </c>
      <c r="DU180" s="793">
        <f>+INPUT!FT102</f>
        <v>185</v>
      </c>
      <c r="DV180" s="752">
        <f>+INPUT!FU102</f>
        <v>-9.1355599214145489</v>
      </c>
      <c r="DW180" s="793">
        <f>+INPUT!FV102</f>
        <v>202.9</v>
      </c>
      <c r="DX180" s="752">
        <f>+INPUT!FW102</f>
        <v>9.6756756756756879</v>
      </c>
      <c r="DY180" s="793">
        <f>+INPUT!FX102</f>
        <v>207.5</v>
      </c>
      <c r="DZ180" s="752">
        <f>+INPUT!FY102</f>
        <v>2.2671266633809806</v>
      </c>
      <c r="EA180" s="793">
        <f>+INPUT!FZ102</f>
        <v>199.4</v>
      </c>
      <c r="EB180" s="752">
        <f>+INPUT!GA102</f>
        <v>-3.9036144578313281</v>
      </c>
      <c r="EC180" s="793">
        <f>+INPUT!GB102</f>
        <v>264.79999999999995</v>
      </c>
      <c r="ED180" s="752">
        <f>+INPUT!GC102</f>
        <v>32.79839518555665</v>
      </c>
      <c r="EE180" s="793">
        <f>+INPUT!GD102</f>
        <v>0</v>
      </c>
      <c r="EF180" s="752" t="str">
        <f>+INPUT!GE102</f>
        <v>NM</v>
      </c>
      <c r="EG180" s="793">
        <f>+INPUT!GF102</f>
        <v>0</v>
      </c>
      <c r="EH180" s="752" t="str">
        <f>+INPUT!GG102</f>
        <v>NA</v>
      </c>
      <c r="EI180" s="793">
        <f>+INPUT!GH102</f>
        <v>0</v>
      </c>
      <c r="EJ180" s="752" t="str">
        <f>+INPUT!GI102</f>
        <v>NA</v>
      </c>
      <c r="EK180" s="793">
        <f>+INPUT!GJ102</f>
        <v>0</v>
      </c>
      <c r="EL180" s="752" t="str">
        <f>+INPUT!GK102</f>
        <v>NA</v>
      </c>
      <c r="EM180" s="793">
        <f>+INPUT!GL102</f>
        <v>0</v>
      </c>
      <c r="EN180" s="752" t="str">
        <f>+INPUT!GM102</f>
        <v>NA</v>
      </c>
      <c r="EO180" s="793">
        <f>+INPUT!GN102</f>
        <v>0</v>
      </c>
      <c r="EP180" s="752" t="str">
        <f>+INPUT!GO102</f>
        <v>NA</v>
      </c>
      <c r="EQ180" s="793">
        <f>+INPUT!GP102</f>
        <v>0</v>
      </c>
      <c r="ER180" s="752" t="str">
        <f>+INPUT!GQ102</f>
        <v>NA</v>
      </c>
      <c r="ES180" s="793">
        <f>+INPUT!GR102</f>
        <v>0</v>
      </c>
      <c r="ET180" s="752" t="str">
        <f>+INPUT!GS102</f>
        <v>NA</v>
      </c>
      <c r="EU180" s="756">
        <f>+INPUT!GT102</f>
        <v>0</v>
      </c>
      <c r="EV180" s="710"/>
    </row>
    <row r="181" spans="1:152" ht="12.75" hidden="1" customHeight="1" outlineLevel="1" x14ac:dyDescent="0.2">
      <c r="A181" s="754"/>
      <c r="B181" s="750"/>
      <c r="C181" s="756"/>
      <c r="D181" s="750"/>
      <c r="E181" s="756"/>
      <c r="F181" s="750"/>
      <c r="G181" s="756"/>
      <c r="H181" s="750"/>
      <c r="I181" s="752"/>
      <c r="J181" s="750"/>
      <c r="K181" s="752"/>
      <c r="L181" s="750"/>
      <c r="M181" s="752"/>
      <c r="N181" s="750"/>
      <c r="O181" s="752"/>
      <c r="P181" s="750"/>
      <c r="Q181" s="752"/>
      <c r="R181" s="750"/>
      <c r="S181" s="752"/>
      <c r="T181" s="750"/>
      <c r="U181" s="752"/>
      <c r="V181" s="750"/>
      <c r="W181" s="752"/>
      <c r="X181" s="750"/>
      <c r="Y181" s="752"/>
      <c r="Z181" s="750"/>
      <c r="AA181" s="752"/>
      <c r="AB181" s="750"/>
      <c r="AC181" s="752"/>
      <c r="AD181" s="750"/>
      <c r="AE181" s="752"/>
      <c r="AF181" s="750"/>
      <c r="AG181" s="752"/>
      <c r="AH181" s="750"/>
      <c r="AI181" s="752"/>
      <c r="AJ181" s="750"/>
      <c r="AK181" s="752"/>
      <c r="AL181" s="750"/>
      <c r="AM181" s="752"/>
      <c r="AN181" s="750"/>
      <c r="AO181" s="752"/>
      <c r="AP181" s="750"/>
      <c r="AQ181" s="752"/>
      <c r="AR181" s="750"/>
      <c r="AS181" s="752"/>
      <c r="AT181" s="750"/>
      <c r="AU181" s="752"/>
      <c r="AV181" s="750"/>
      <c r="AW181" s="752"/>
      <c r="AX181" s="750"/>
      <c r="AY181" s="752"/>
      <c r="AZ181" s="750"/>
      <c r="BA181" s="752"/>
      <c r="BB181" s="750"/>
      <c r="BC181" s="752"/>
      <c r="BD181" s="750"/>
      <c r="BE181" s="752"/>
      <c r="BF181" s="750"/>
      <c r="BG181" s="752"/>
      <c r="BH181" s="750"/>
      <c r="BI181" s="752"/>
      <c r="BJ181" s="750"/>
      <c r="BK181" s="752"/>
      <c r="BL181" s="750"/>
      <c r="BM181" s="752"/>
      <c r="BN181" s="750"/>
      <c r="BO181" s="752"/>
      <c r="BP181" s="750"/>
      <c r="BQ181" s="752"/>
      <c r="BR181" s="750"/>
      <c r="BS181" s="752"/>
      <c r="BT181" s="750"/>
      <c r="BU181" s="752"/>
      <c r="BV181" s="750"/>
      <c r="BW181" s="752"/>
      <c r="BX181" s="750"/>
      <c r="BY181" s="752"/>
      <c r="BZ181" s="750"/>
      <c r="CA181" s="752"/>
      <c r="CB181" s="750"/>
      <c r="CC181" s="752"/>
      <c r="CD181" s="750"/>
      <c r="CE181" s="752"/>
      <c r="CF181" s="750"/>
      <c r="CG181" s="752"/>
      <c r="CH181" s="750"/>
      <c r="CI181" s="752"/>
      <c r="CJ181" s="750"/>
      <c r="CK181" s="752"/>
      <c r="CL181" s="750"/>
      <c r="CM181" s="752"/>
      <c r="CN181" s="750"/>
      <c r="CO181" s="752"/>
      <c r="CP181" s="750"/>
      <c r="CQ181" s="752"/>
      <c r="CR181" s="750"/>
      <c r="CS181" s="752"/>
      <c r="CT181" s="750"/>
      <c r="CU181" s="752"/>
      <c r="CV181" s="750"/>
      <c r="CW181" s="752"/>
      <c r="CX181" s="750"/>
      <c r="CY181" s="752"/>
      <c r="CZ181" s="750"/>
      <c r="DA181" s="752"/>
      <c r="DB181" s="793"/>
      <c r="DC181" s="750"/>
      <c r="DD181" s="756"/>
      <c r="DE181" s="750"/>
      <c r="DF181" s="756"/>
      <c r="DG181" s="750"/>
      <c r="DH181" s="756"/>
      <c r="DI181" s="750"/>
      <c r="DJ181" s="756"/>
      <c r="DK181" s="750"/>
      <c r="DL181" s="752"/>
      <c r="DM181" s="750"/>
      <c r="DN181" s="752"/>
      <c r="DO181" s="750"/>
      <c r="DP181" s="752"/>
      <c r="DQ181" s="750"/>
      <c r="DR181" s="752"/>
      <c r="DS181" s="750"/>
      <c r="DT181" s="752"/>
      <c r="DU181" s="750"/>
      <c r="DV181" s="752"/>
      <c r="DW181" s="750"/>
      <c r="DX181" s="752"/>
      <c r="DY181" s="750"/>
      <c r="DZ181" s="752"/>
      <c r="EA181" s="750"/>
      <c r="EB181" s="752"/>
      <c r="EC181" s="750"/>
      <c r="ED181" s="752"/>
      <c r="EE181" s="750"/>
      <c r="EF181" s="752"/>
      <c r="EG181" s="750"/>
      <c r="EH181" s="752"/>
      <c r="EI181" s="750"/>
      <c r="EJ181" s="752"/>
      <c r="EK181" s="750"/>
      <c r="EL181" s="752"/>
      <c r="EM181" s="750"/>
      <c r="EN181" s="752"/>
      <c r="EO181" s="750"/>
      <c r="EP181" s="752"/>
      <c r="EQ181" s="750"/>
      <c r="ER181" s="752"/>
      <c r="ES181" s="750"/>
      <c r="ET181" s="752"/>
      <c r="EU181" s="812"/>
      <c r="EV181" s="710"/>
    </row>
    <row r="182" spans="1:152" ht="12.75" hidden="1" customHeight="1" outlineLevel="1" x14ac:dyDescent="0.2">
      <c r="A182" s="803" t="str">
        <f>+A47</f>
        <v>Quarterly income statement ratios are annualized where appropriate     E = Morgan Stanley Research Estimates      NM = Not Meaningful       NA = Not Applicable              CAGR = Cumulative Average Growth Rate</v>
      </c>
      <c r="B182" s="750"/>
      <c r="C182" s="767"/>
      <c r="D182" s="750"/>
      <c r="E182" s="767"/>
      <c r="F182" s="750"/>
      <c r="G182" s="767"/>
      <c r="H182" s="750"/>
      <c r="I182" s="752"/>
      <c r="J182" s="750"/>
      <c r="K182" s="752"/>
      <c r="L182" s="750"/>
      <c r="M182" s="752"/>
      <c r="N182" s="750"/>
      <c r="O182" s="752"/>
      <c r="P182" s="750"/>
      <c r="Q182" s="752"/>
      <c r="R182" s="750"/>
      <c r="S182" s="752"/>
      <c r="T182" s="750"/>
      <c r="U182" s="752"/>
      <c r="V182" s="750"/>
      <c r="W182" s="752"/>
      <c r="X182" s="750"/>
      <c r="Y182" s="752"/>
      <c r="Z182" s="750"/>
      <c r="AA182" s="752"/>
      <c r="AB182" s="750"/>
      <c r="AC182" s="752"/>
      <c r="AD182" s="750"/>
      <c r="AE182" s="752"/>
      <c r="AF182" s="750"/>
      <c r="AG182" s="752"/>
      <c r="AH182" s="750"/>
      <c r="AI182" s="752"/>
      <c r="AJ182" s="750"/>
      <c r="AK182" s="752"/>
      <c r="AL182" s="750"/>
      <c r="AM182" s="752"/>
      <c r="AN182" s="750"/>
      <c r="AO182" s="752"/>
      <c r="AP182" s="750"/>
      <c r="AQ182" s="752"/>
      <c r="AR182" s="750"/>
      <c r="AS182" s="752"/>
      <c r="AT182" s="750"/>
      <c r="AU182" s="752"/>
      <c r="AV182" s="750"/>
      <c r="AW182" s="752"/>
      <c r="AX182" s="750"/>
      <c r="AY182" s="752"/>
      <c r="AZ182" s="750"/>
      <c r="BA182" s="752"/>
      <c r="BB182" s="750"/>
      <c r="BC182" s="752"/>
      <c r="BD182" s="750"/>
      <c r="BE182" s="752"/>
      <c r="BF182" s="750"/>
      <c r="BG182" s="752"/>
      <c r="BH182" s="750"/>
      <c r="BI182" s="752"/>
      <c r="BJ182" s="750"/>
      <c r="BK182" s="752"/>
      <c r="BL182" s="750"/>
      <c r="BM182" s="752"/>
      <c r="BN182" s="750"/>
      <c r="BO182" s="752"/>
      <c r="BP182" s="750"/>
      <c r="BQ182" s="752"/>
      <c r="BR182" s="750"/>
      <c r="BS182" s="752"/>
      <c r="BT182" s="750"/>
      <c r="BU182" s="752"/>
      <c r="BV182" s="750"/>
      <c r="BW182" s="752"/>
      <c r="BX182" s="750"/>
      <c r="BY182" s="752"/>
      <c r="BZ182" s="750"/>
      <c r="CA182" s="752"/>
      <c r="CB182" s="750"/>
      <c r="CC182" s="752"/>
      <c r="CD182" s="750"/>
      <c r="CE182" s="752"/>
      <c r="CF182" s="750"/>
      <c r="CG182" s="752"/>
      <c r="CH182" s="750"/>
      <c r="CI182" s="752"/>
      <c r="CJ182" s="750"/>
      <c r="CK182" s="752"/>
      <c r="CL182" s="750"/>
      <c r="CM182" s="752"/>
      <c r="CN182" s="750"/>
      <c r="CO182" s="752"/>
      <c r="CP182" s="750"/>
      <c r="CQ182" s="752"/>
      <c r="CR182" s="750"/>
      <c r="CS182" s="752"/>
      <c r="CT182" s="750"/>
      <c r="CU182" s="752"/>
      <c r="CV182" s="750"/>
      <c r="CW182" s="752"/>
      <c r="CX182" s="750"/>
      <c r="CY182" s="752"/>
      <c r="CZ182" s="750"/>
      <c r="DA182" s="752"/>
      <c r="DB182" s="753"/>
      <c r="DC182" s="750"/>
      <c r="DD182" s="767"/>
      <c r="DE182" s="750"/>
      <c r="DF182" s="767"/>
      <c r="DG182" s="750"/>
      <c r="DH182" s="767"/>
      <c r="DI182" s="750"/>
      <c r="DJ182" s="767"/>
      <c r="DK182" s="750"/>
      <c r="DL182" s="752"/>
      <c r="DM182" s="750"/>
      <c r="DN182" s="752"/>
      <c r="DO182" s="750"/>
      <c r="DP182" s="752"/>
      <c r="DQ182" s="750"/>
      <c r="DR182" s="752"/>
      <c r="DS182" s="750"/>
      <c r="DT182" s="752"/>
      <c r="DU182" s="750"/>
      <c r="DV182" s="752"/>
      <c r="DW182" s="750"/>
      <c r="DX182" s="752"/>
      <c r="DY182" s="750"/>
      <c r="DZ182" s="752"/>
      <c r="EA182" s="750"/>
      <c r="EB182" s="752"/>
      <c r="EC182" s="750"/>
      <c r="ED182" s="752"/>
      <c r="EE182" s="750"/>
      <c r="EF182" s="752"/>
      <c r="EG182" s="750"/>
      <c r="EH182" s="752"/>
      <c r="EI182" s="750"/>
      <c r="EJ182" s="752"/>
      <c r="EK182" s="750"/>
      <c r="EL182" s="752"/>
      <c r="EM182" s="750"/>
      <c r="EN182" s="752"/>
      <c r="EO182" s="750"/>
      <c r="EP182" s="752"/>
      <c r="EQ182" s="750"/>
      <c r="ER182" s="752"/>
      <c r="ES182" s="750"/>
      <c r="ET182" s="752"/>
      <c r="EU182" s="767"/>
      <c r="EV182" s="710"/>
    </row>
    <row r="183" spans="1:152" ht="12.75" hidden="1" customHeight="1" outlineLevel="1" x14ac:dyDescent="0.2">
      <c r="A183" s="795" t="s">
        <v>473</v>
      </c>
      <c r="B183" s="750"/>
      <c r="C183" s="767"/>
      <c r="D183" s="750"/>
      <c r="E183" s="767"/>
      <c r="F183" s="750"/>
      <c r="G183" s="767"/>
      <c r="H183" s="750"/>
      <c r="I183" s="752"/>
      <c r="J183" s="750"/>
      <c r="K183" s="752"/>
      <c r="L183" s="750"/>
      <c r="M183" s="752"/>
      <c r="N183" s="750"/>
      <c r="O183" s="752"/>
      <c r="P183" s="750"/>
      <c r="Q183" s="752"/>
      <c r="R183" s="750"/>
      <c r="S183" s="752"/>
      <c r="T183" s="750"/>
      <c r="U183" s="752"/>
      <c r="V183" s="750"/>
      <c r="W183" s="752"/>
      <c r="X183" s="750"/>
      <c r="Y183" s="752"/>
      <c r="Z183" s="750"/>
      <c r="AA183" s="752"/>
      <c r="AB183" s="750"/>
      <c r="AC183" s="752"/>
      <c r="AD183" s="750"/>
      <c r="AE183" s="752"/>
      <c r="AF183" s="750"/>
      <c r="AG183" s="752"/>
      <c r="AH183" s="750"/>
      <c r="AI183" s="752"/>
      <c r="AJ183" s="750"/>
      <c r="AK183" s="752"/>
      <c r="AL183" s="750"/>
      <c r="AM183" s="752"/>
      <c r="AN183" s="750"/>
      <c r="AO183" s="752"/>
      <c r="AP183" s="750"/>
      <c r="AQ183" s="752"/>
      <c r="AR183" s="750"/>
      <c r="AS183" s="752"/>
      <c r="AT183" s="750"/>
      <c r="AU183" s="752"/>
      <c r="AV183" s="750"/>
      <c r="AW183" s="752"/>
      <c r="AX183" s="750"/>
      <c r="AY183" s="752"/>
      <c r="AZ183" s="750"/>
      <c r="BA183" s="752"/>
      <c r="BB183" s="750"/>
      <c r="BC183" s="752"/>
      <c r="BD183" s="750"/>
      <c r="BE183" s="752"/>
      <c r="BF183" s="750"/>
      <c r="BG183" s="752"/>
      <c r="BH183" s="750"/>
      <c r="BI183" s="752"/>
      <c r="BJ183" s="750"/>
      <c r="BK183" s="752"/>
      <c r="BL183" s="750"/>
      <c r="BM183" s="752"/>
      <c r="BN183" s="750"/>
      <c r="BO183" s="752"/>
      <c r="BP183" s="750"/>
      <c r="BQ183" s="752"/>
      <c r="BR183" s="750"/>
      <c r="BS183" s="752"/>
      <c r="BT183" s="750"/>
      <c r="BU183" s="752"/>
      <c r="BV183" s="750"/>
      <c r="BW183" s="752"/>
      <c r="BX183" s="750"/>
      <c r="BY183" s="752"/>
      <c r="BZ183" s="750"/>
      <c r="CA183" s="752"/>
      <c r="CB183" s="750"/>
      <c r="CC183" s="752"/>
      <c r="CD183" s="750"/>
      <c r="CE183" s="752"/>
      <c r="CF183" s="750"/>
      <c r="CG183" s="752"/>
      <c r="CH183" s="750"/>
      <c r="CI183" s="752"/>
      <c r="CJ183" s="750"/>
      <c r="CK183" s="752"/>
      <c r="CL183" s="750"/>
      <c r="CM183" s="752"/>
      <c r="CN183" s="750"/>
      <c r="CO183" s="752"/>
      <c r="CP183" s="750"/>
      <c r="CQ183" s="752"/>
      <c r="CR183" s="750"/>
      <c r="CS183" s="752"/>
      <c r="CT183" s="750"/>
      <c r="CU183" s="752"/>
      <c r="CV183" s="750"/>
      <c r="CW183" s="752"/>
      <c r="CX183" s="750"/>
      <c r="CY183" s="752"/>
      <c r="CZ183" s="750"/>
      <c r="DA183" s="752"/>
      <c r="DB183" s="753"/>
      <c r="DC183" s="750"/>
      <c r="DD183" s="767"/>
      <c r="DE183" s="750"/>
      <c r="DF183" s="767"/>
      <c r="DG183" s="750"/>
      <c r="DH183" s="767"/>
      <c r="DI183" s="750"/>
      <c r="DJ183" s="767"/>
      <c r="DK183" s="750"/>
      <c r="DL183" s="752"/>
      <c r="DM183" s="750"/>
      <c r="DN183" s="752"/>
      <c r="DO183" s="750"/>
      <c r="DP183" s="752"/>
      <c r="DQ183" s="750"/>
      <c r="DR183" s="752"/>
      <c r="DS183" s="750"/>
      <c r="DT183" s="752"/>
      <c r="DU183" s="750"/>
      <c r="DV183" s="752"/>
      <c r="DW183" s="750"/>
      <c r="DX183" s="752"/>
      <c r="DY183" s="750"/>
      <c r="DZ183" s="752"/>
      <c r="EA183" s="750"/>
      <c r="EB183" s="752"/>
      <c r="EC183" s="750"/>
      <c r="ED183" s="752"/>
      <c r="EE183" s="750"/>
      <c r="EF183" s="752"/>
      <c r="EG183" s="750"/>
      <c r="EH183" s="752"/>
      <c r="EI183" s="750"/>
      <c r="EJ183" s="752"/>
      <c r="EK183" s="750"/>
      <c r="EL183" s="752"/>
      <c r="EM183" s="750"/>
      <c r="EN183" s="752"/>
      <c r="EO183" s="750"/>
      <c r="EP183" s="752"/>
      <c r="EQ183" s="750"/>
      <c r="ER183" s="752"/>
      <c r="ES183" s="750"/>
      <c r="ET183" s="752"/>
      <c r="EU183" s="767"/>
      <c r="EV183" s="710"/>
    </row>
    <row r="184" spans="1:152" s="722" customFormat="1" ht="12.75" hidden="1" customHeight="1" outlineLevel="1" x14ac:dyDescent="0.2">
      <c r="A184" s="804"/>
      <c r="B184" s="798"/>
      <c r="C184" s="799"/>
      <c r="D184" s="798"/>
      <c r="E184" s="799"/>
      <c r="F184" s="798"/>
      <c r="G184" s="799"/>
      <c r="H184" s="798"/>
      <c r="I184" s="800"/>
      <c r="J184" s="798"/>
      <c r="K184" s="800"/>
      <c r="L184" s="798"/>
      <c r="M184" s="800"/>
      <c r="N184" s="798"/>
      <c r="O184" s="800"/>
      <c r="P184" s="798"/>
      <c r="Q184" s="800"/>
      <c r="R184" s="798"/>
      <c r="S184" s="800"/>
      <c r="T184" s="798"/>
      <c r="U184" s="800"/>
      <c r="V184" s="798"/>
      <c r="W184" s="800"/>
      <c r="X184" s="798"/>
      <c r="Y184" s="800"/>
      <c r="Z184" s="798"/>
      <c r="AA184" s="800"/>
      <c r="AB184" s="798"/>
      <c r="AC184" s="800"/>
      <c r="AD184" s="798"/>
      <c r="AE184" s="800"/>
      <c r="AF184" s="798"/>
      <c r="AG184" s="800"/>
      <c r="AH184" s="798"/>
      <c r="AI184" s="800"/>
      <c r="AJ184" s="798"/>
      <c r="AK184" s="800"/>
      <c r="AL184" s="798"/>
      <c r="AM184" s="800"/>
      <c r="AN184" s="798"/>
      <c r="AO184" s="800"/>
      <c r="AP184" s="798"/>
      <c r="AQ184" s="800"/>
      <c r="AR184" s="798"/>
      <c r="AS184" s="800"/>
      <c r="AT184" s="798"/>
      <c r="AU184" s="800"/>
      <c r="AV184" s="798"/>
      <c r="AW184" s="800"/>
      <c r="AX184" s="798"/>
      <c r="AY184" s="800"/>
      <c r="AZ184" s="798"/>
      <c r="BA184" s="800"/>
      <c r="BB184" s="798"/>
      <c r="BC184" s="800"/>
      <c r="BD184" s="798"/>
      <c r="BE184" s="800"/>
      <c r="BF184" s="798"/>
      <c r="BG184" s="800"/>
      <c r="BH184" s="798"/>
      <c r="BI184" s="800"/>
      <c r="BJ184" s="798"/>
      <c r="BK184" s="800"/>
      <c r="BL184" s="798"/>
      <c r="BM184" s="800"/>
      <c r="BN184" s="798"/>
      <c r="BO184" s="800"/>
      <c r="BP184" s="798"/>
      <c r="BQ184" s="800"/>
      <c r="BR184" s="798"/>
      <c r="BS184" s="800"/>
      <c r="BT184" s="798"/>
      <c r="BU184" s="800"/>
      <c r="BV184" s="798"/>
      <c r="BW184" s="800"/>
      <c r="BX184" s="798"/>
      <c r="BY184" s="800"/>
      <c r="BZ184" s="798"/>
      <c r="CA184" s="800"/>
      <c r="CB184" s="798"/>
      <c r="CC184" s="800"/>
      <c r="CD184" s="798"/>
      <c r="CE184" s="800"/>
      <c r="CF184" s="798"/>
      <c r="CG184" s="800"/>
      <c r="CH184" s="798"/>
      <c r="CI184" s="800"/>
      <c r="CJ184" s="798"/>
      <c r="CK184" s="800"/>
      <c r="CL184" s="798"/>
      <c r="CM184" s="800"/>
      <c r="CN184" s="798"/>
      <c r="CO184" s="800"/>
      <c r="CP184" s="798"/>
      <c r="CQ184" s="800"/>
      <c r="CR184" s="798"/>
      <c r="CS184" s="800"/>
      <c r="CT184" s="798"/>
      <c r="CU184" s="800"/>
      <c r="CV184" s="798"/>
      <c r="CW184" s="800"/>
      <c r="CX184" s="798"/>
      <c r="CY184" s="800"/>
      <c r="CZ184" s="798"/>
      <c r="DA184" s="800"/>
      <c r="DB184" s="801"/>
      <c r="DC184" s="798"/>
      <c r="DD184" s="799"/>
      <c r="DE184" s="798"/>
      <c r="DF184" s="799"/>
      <c r="DG184" s="798"/>
      <c r="DH184" s="799"/>
      <c r="DI184" s="798"/>
      <c r="DJ184" s="799"/>
      <c r="DK184" s="798"/>
      <c r="DL184" s="800"/>
      <c r="DM184" s="798"/>
      <c r="DN184" s="800"/>
      <c r="DO184" s="798"/>
      <c r="DP184" s="800"/>
      <c r="DQ184" s="798"/>
      <c r="DR184" s="800"/>
      <c r="DS184" s="798"/>
      <c r="DT184" s="800"/>
      <c r="DU184" s="798"/>
      <c r="DV184" s="800"/>
      <c r="DW184" s="798"/>
      <c r="DX184" s="800"/>
      <c r="DY184" s="798"/>
      <c r="DZ184" s="800"/>
      <c r="EA184" s="798"/>
      <c r="EB184" s="800"/>
      <c r="EC184" s="798"/>
      <c r="ED184" s="800"/>
      <c r="EE184" s="798"/>
      <c r="EF184" s="800"/>
      <c r="EG184" s="798"/>
      <c r="EH184" s="800"/>
      <c r="EI184" s="798"/>
      <c r="EJ184" s="800"/>
      <c r="EK184" s="798"/>
      <c r="EL184" s="800"/>
      <c r="EM184" s="798"/>
      <c r="EN184" s="800"/>
      <c r="EO184" s="798"/>
      <c r="EP184" s="800"/>
      <c r="EQ184" s="798"/>
      <c r="ER184" s="800"/>
      <c r="ES184" s="798"/>
      <c r="ET184" s="800"/>
      <c r="EU184" s="799"/>
      <c r="EV184" s="721"/>
    </row>
    <row r="185" spans="1:152" ht="21.95" hidden="1" customHeight="1" outlineLevel="1" x14ac:dyDescent="0.25">
      <c r="A185" s="709" t="str">
        <f>INPUT!$B$4</f>
        <v>Unum Group</v>
      </c>
      <c r="B185" s="728"/>
      <c r="C185" s="729"/>
      <c r="D185" s="728"/>
      <c r="E185" s="729"/>
      <c r="F185" s="728"/>
      <c r="G185" s="729"/>
      <c r="H185" s="728"/>
      <c r="I185" s="730"/>
      <c r="J185" s="728"/>
      <c r="K185" s="730"/>
      <c r="L185" s="728"/>
      <c r="M185" s="730"/>
      <c r="N185" s="728"/>
      <c r="O185" s="730"/>
      <c r="P185" s="728"/>
      <c r="Q185" s="730"/>
      <c r="R185" s="728"/>
      <c r="S185" s="730"/>
      <c r="T185" s="728"/>
      <c r="U185" s="730"/>
      <c r="V185" s="728"/>
      <c r="W185" s="730"/>
      <c r="X185" s="728"/>
      <c r="Y185" s="730"/>
      <c r="Z185" s="728"/>
      <c r="AA185" s="730"/>
      <c r="AB185" s="728"/>
      <c r="AC185" s="730"/>
      <c r="AD185" s="728"/>
      <c r="AE185" s="730"/>
      <c r="AF185" s="728"/>
      <c r="AG185" s="730"/>
      <c r="AH185" s="728"/>
      <c r="AI185" s="730"/>
      <c r="AJ185" s="728"/>
      <c r="AK185" s="730"/>
      <c r="AL185" s="728"/>
      <c r="AM185" s="730"/>
      <c r="AN185" s="728"/>
      <c r="AO185" s="730"/>
      <c r="AP185" s="728"/>
      <c r="AQ185" s="730"/>
      <c r="AR185" s="728"/>
      <c r="AS185" s="730"/>
      <c r="AT185" s="728"/>
      <c r="AU185" s="730"/>
      <c r="AV185" s="728"/>
      <c r="AW185" s="730"/>
      <c r="AX185" s="728"/>
      <c r="AY185" s="730"/>
      <c r="AZ185" s="728"/>
      <c r="BA185" s="730"/>
      <c r="BB185" s="728"/>
      <c r="BC185" s="730"/>
      <c r="BD185" s="728"/>
      <c r="BE185" s="730"/>
      <c r="BF185" s="728"/>
      <c r="BG185" s="730"/>
      <c r="BH185" s="728"/>
      <c r="BI185" s="730"/>
      <c r="BJ185" s="728"/>
      <c r="BK185" s="730"/>
      <c r="BL185" s="728"/>
      <c r="BM185" s="730"/>
      <c r="BN185" s="728"/>
      <c r="BO185" s="730"/>
      <c r="BP185" s="728"/>
      <c r="BQ185" s="730"/>
      <c r="BR185" s="728"/>
      <c r="BS185" s="730"/>
      <c r="BT185" s="728"/>
      <c r="BU185" s="730"/>
      <c r="BV185" s="728"/>
      <c r="BW185" s="730"/>
      <c r="BX185" s="728"/>
      <c r="BY185" s="730"/>
      <c r="BZ185" s="728"/>
      <c r="CA185" s="730"/>
      <c r="CB185" s="728"/>
      <c r="CC185" s="730"/>
      <c r="CD185" s="728"/>
      <c r="CE185" s="730"/>
      <c r="CF185" s="728"/>
      <c r="CG185" s="730"/>
      <c r="CH185" s="728"/>
      <c r="CI185" s="730"/>
      <c r="CJ185" s="728"/>
      <c r="CK185" s="730"/>
      <c r="CL185" s="728"/>
      <c r="CM185" s="730"/>
      <c r="CN185" s="728"/>
      <c r="CO185" s="730"/>
      <c r="CP185" s="728"/>
      <c r="CQ185" s="730"/>
      <c r="CR185" s="728"/>
      <c r="CS185" s="730"/>
      <c r="CT185" s="728"/>
      <c r="CU185" s="730"/>
      <c r="CV185" s="728"/>
      <c r="CW185" s="730"/>
      <c r="CX185" s="728"/>
      <c r="CY185" s="730"/>
      <c r="CZ185" s="728"/>
      <c r="DA185" s="730"/>
      <c r="DB185" s="730"/>
      <c r="DC185" s="728"/>
      <c r="DD185" s="729"/>
      <c r="DE185" s="728"/>
      <c r="DF185" s="729"/>
      <c r="DG185" s="728"/>
      <c r="DH185" s="729"/>
      <c r="DI185" s="728"/>
      <c r="DJ185" s="729"/>
      <c r="DK185" s="728"/>
      <c r="DL185" s="730"/>
      <c r="DM185" s="728"/>
      <c r="DN185" s="730"/>
      <c r="DO185" s="728"/>
      <c r="DP185" s="730"/>
      <c r="DQ185" s="728"/>
      <c r="DR185" s="730"/>
      <c r="DS185" s="728"/>
      <c r="DT185" s="730"/>
      <c r="DU185" s="728"/>
      <c r="DV185" s="730"/>
      <c r="DW185" s="728"/>
      <c r="DX185" s="730"/>
      <c r="DY185" s="728"/>
      <c r="DZ185" s="730"/>
      <c r="EA185" s="728"/>
      <c r="EB185" s="730"/>
      <c r="EC185" s="728"/>
      <c r="ED185" s="730"/>
      <c r="EE185" s="728"/>
      <c r="EF185" s="730"/>
      <c r="EG185" s="728"/>
      <c r="EH185" s="730"/>
      <c r="EI185" s="728"/>
      <c r="EJ185" s="730"/>
      <c r="EK185" s="728"/>
      <c r="EL185" s="730"/>
      <c r="EM185" s="728"/>
      <c r="EN185" s="730"/>
      <c r="EO185" s="728"/>
      <c r="EP185" s="730"/>
      <c r="EQ185" s="728"/>
      <c r="ER185" s="730"/>
      <c r="ES185" s="728"/>
      <c r="ET185" s="730"/>
      <c r="EU185" s="729"/>
      <c r="EV185" s="710"/>
    </row>
    <row r="186" spans="1:152" ht="12.75" hidden="1" customHeight="1" outlineLevel="1" x14ac:dyDescent="0.2">
      <c r="A186" s="731" t="s">
        <v>313</v>
      </c>
      <c r="B186" s="732"/>
      <c r="C186" s="733"/>
      <c r="D186" s="732"/>
      <c r="E186" s="733"/>
      <c r="F186" s="732"/>
      <c r="G186" s="733"/>
      <c r="H186" s="732"/>
      <c r="I186" s="734"/>
      <c r="J186" s="732"/>
      <c r="K186" s="734"/>
      <c r="L186" s="732"/>
      <c r="M186" s="734"/>
      <c r="N186" s="732"/>
      <c r="O186" s="734"/>
      <c r="P186" s="732"/>
      <c r="Q186" s="734"/>
      <c r="R186" s="732"/>
      <c r="S186" s="734"/>
      <c r="T186" s="732"/>
      <c r="U186" s="734"/>
      <c r="V186" s="732"/>
      <c r="W186" s="734"/>
      <c r="X186" s="732"/>
      <c r="Y186" s="734"/>
      <c r="Z186" s="732"/>
      <c r="AA186" s="734"/>
      <c r="AB186" s="732"/>
      <c r="AC186" s="734"/>
      <c r="AD186" s="732"/>
      <c r="AE186" s="734"/>
      <c r="AF186" s="732"/>
      <c r="AG186" s="734"/>
      <c r="AH186" s="732"/>
      <c r="AI186" s="734"/>
      <c r="AJ186" s="732"/>
      <c r="AK186" s="734"/>
      <c r="AL186" s="732"/>
      <c r="AM186" s="734"/>
      <c r="AN186" s="732"/>
      <c r="AO186" s="734"/>
      <c r="AP186" s="732"/>
      <c r="AQ186" s="734"/>
      <c r="AR186" s="732"/>
      <c r="AS186" s="734"/>
      <c r="AT186" s="732"/>
      <c r="AU186" s="734"/>
      <c r="AV186" s="732"/>
      <c r="AW186" s="734"/>
      <c r="AX186" s="732"/>
      <c r="AY186" s="734"/>
      <c r="AZ186" s="732"/>
      <c r="BA186" s="734"/>
      <c r="BB186" s="732"/>
      <c r="BC186" s="734"/>
      <c r="BD186" s="732"/>
      <c r="BE186" s="734"/>
      <c r="BF186" s="732"/>
      <c r="BG186" s="734"/>
      <c r="BH186" s="732"/>
      <c r="BI186" s="734"/>
      <c r="BJ186" s="732"/>
      <c r="BK186" s="734"/>
      <c r="BL186" s="732"/>
      <c r="BM186" s="734"/>
      <c r="BN186" s="732"/>
      <c r="BO186" s="734"/>
      <c r="BP186" s="732"/>
      <c r="BQ186" s="734"/>
      <c r="BR186" s="732"/>
      <c r="BS186" s="734"/>
      <c r="BT186" s="732"/>
      <c r="BU186" s="734"/>
      <c r="BV186" s="732"/>
      <c r="BW186" s="734"/>
      <c r="BX186" s="732"/>
      <c r="BY186" s="734"/>
      <c r="BZ186" s="732"/>
      <c r="CA186" s="734"/>
      <c r="CB186" s="732"/>
      <c r="CC186" s="734"/>
      <c r="CD186" s="732"/>
      <c r="CE186" s="734"/>
      <c r="CF186" s="732"/>
      <c r="CG186" s="734"/>
      <c r="CH186" s="732"/>
      <c r="CI186" s="734"/>
      <c r="CJ186" s="732"/>
      <c r="CK186" s="734"/>
      <c r="CL186" s="732"/>
      <c r="CM186" s="734"/>
      <c r="CN186" s="732"/>
      <c r="CO186" s="734"/>
      <c r="CP186" s="732"/>
      <c r="CQ186" s="734"/>
      <c r="CR186" s="732"/>
      <c r="CS186" s="734"/>
      <c r="CT186" s="732"/>
      <c r="CU186" s="734"/>
      <c r="CV186" s="732"/>
      <c r="CW186" s="734"/>
      <c r="CX186" s="732"/>
      <c r="CY186" s="734"/>
      <c r="CZ186" s="732"/>
      <c r="DA186" s="734"/>
      <c r="DB186" s="734"/>
      <c r="DC186" s="732"/>
      <c r="DD186" s="733"/>
      <c r="DE186" s="732"/>
      <c r="DF186" s="733"/>
      <c r="DG186" s="732"/>
      <c r="DH186" s="733"/>
      <c r="DI186" s="732"/>
      <c r="DJ186" s="733"/>
      <c r="DK186" s="732"/>
      <c r="DL186" s="734"/>
      <c r="DM186" s="732"/>
      <c r="DN186" s="734"/>
      <c r="DO186" s="732"/>
      <c r="DP186" s="734"/>
      <c r="DQ186" s="732"/>
      <c r="DR186" s="734"/>
      <c r="DS186" s="732"/>
      <c r="DT186" s="734"/>
      <c r="DU186" s="732"/>
      <c r="DV186" s="734"/>
      <c r="DW186" s="732"/>
      <c r="DX186" s="734"/>
      <c r="DY186" s="732"/>
      <c r="DZ186" s="734"/>
      <c r="EA186" s="732"/>
      <c r="EB186" s="734"/>
      <c r="EC186" s="732"/>
      <c r="ED186" s="734"/>
      <c r="EE186" s="732"/>
      <c r="EF186" s="734"/>
      <c r="EG186" s="732"/>
      <c r="EH186" s="734"/>
      <c r="EI186" s="732"/>
      <c r="EJ186" s="734"/>
      <c r="EK186" s="732"/>
      <c r="EL186" s="734"/>
      <c r="EM186" s="732"/>
      <c r="EN186" s="734"/>
      <c r="EO186" s="732"/>
      <c r="EP186" s="734"/>
      <c r="EQ186" s="732"/>
      <c r="ER186" s="734"/>
      <c r="ES186" s="732"/>
      <c r="ET186" s="734"/>
      <c r="EU186" s="733"/>
      <c r="EV186" s="710"/>
    </row>
    <row r="187" spans="1:152" ht="12.75" hidden="1" customHeight="1" outlineLevel="1" x14ac:dyDescent="0.2">
      <c r="A187" s="712" t="str">
        <f>A$3</f>
        <v>($Millions Except Per Share Data)</v>
      </c>
      <c r="B187" s="736"/>
      <c r="C187" s="737" t="str">
        <f>C$3</f>
        <v>1Q06/</v>
      </c>
      <c r="D187" s="736"/>
      <c r="E187" s="737" t="str">
        <f>E$3</f>
        <v>2Q06/</v>
      </c>
      <c r="F187" s="736"/>
      <c r="G187" s="737" t="str">
        <f>G$3</f>
        <v>3Q06/</v>
      </c>
      <c r="H187" s="736"/>
      <c r="I187" s="738" t="str">
        <f>I$3</f>
        <v>4Q06/</v>
      </c>
      <c r="J187" s="736"/>
      <c r="K187" s="738" t="str">
        <f>K$3</f>
        <v>1Q07/</v>
      </c>
      <c r="L187" s="736"/>
      <c r="M187" s="738" t="str">
        <f>M$3</f>
        <v>2Q07/</v>
      </c>
      <c r="N187" s="736"/>
      <c r="O187" s="738" t="str">
        <f>O$3</f>
        <v>3Q07/</v>
      </c>
      <c r="P187" s="736"/>
      <c r="Q187" s="738" t="str">
        <f>Q$3</f>
        <v>4Q07/</v>
      </c>
      <c r="R187" s="736"/>
      <c r="S187" s="738" t="str">
        <f>S$3</f>
        <v>1Q08/</v>
      </c>
      <c r="T187" s="736"/>
      <c r="U187" s="738" t="str">
        <f>U$3</f>
        <v>2Q08/</v>
      </c>
      <c r="V187" s="736"/>
      <c r="W187" s="738" t="str">
        <f>W$3</f>
        <v>3Q08/</v>
      </c>
      <c r="X187" s="736"/>
      <c r="Y187" s="738" t="str">
        <f>Y$3</f>
        <v>4Q08/</v>
      </c>
      <c r="Z187" s="736"/>
      <c r="AA187" s="738" t="str">
        <f>AA$3</f>
        <v>1Q09/</v>
      </c>
      <c r="AB187" s="736"/>
      <c r="AC187" s="738" t="str">
        <f>AC$3</f>
        <v>2Q09/</v>
      </c>
      <c r="AD187" s="736"/>
      <c r="AE187" s="738" t="str">
        <f>AE$3</f>
        <v>3Q09/</v>
      </c>
      <c r="AF187" s="736"/>
      <c r="AG187" s="738" t="str">
        <f>AG$3</f>
        <v>4Q09/</v>
      </c>
      <c r="AH187" s="736"/>
      <c r="AI187" s="738" t="str">
        <f>AI$3</f>
        <v>1Q10/</v>
      </c>
      <c r="AJ187" s="736"/>
      <c r="AK187" s="738" t="str">
        <f>AK$3</f>
        <v>2Q10/</v>
      </c>
      <c r="AL187" s="736"/>
      <c r="AM187" s="738" t="str">
        <f>AM$3</f>
        <v>3Q10/</v>
      </c>
      <c r="AN187" s="736"/>
      <c r="AO187" s="738">
        <f>AO$3</f>
        <v>0</v>
      </c>
      <c r="AP187" s="736"/>
      <c r="AQ187" s="738" t="str">
        <f>AQ$3</f>
        <v>1Q11/</v>
      </c>
      <c r="AR187" s="736"/>
      <c r="AS187" s="738" t="str">
        <f>AS$3</f>
        <v>2Q11/</v>
      </c>
      <c r="AT187" s="736"/>
      <c r="AU187" s="738" t="str">
        <f>AU$3</f>
        <v>3Q11/</v>
      </c>
      <c r="AV187" s="736"/>
      <c r="AW187" s="738" t="str">
        <f>AW$3</f>
        <v>4Q11/</v>
      </c>
      <c r="AX187" s="736"/>
      <c r="AY187" s="738" t="str">
        <f>AY$3</f>
        <v>1Q12/</v>
      </c>
      <c r="AZ187" s="736"/>
      <c r="BA187" s="738" t="str">
        <f>BA$3</f>
        <v>2Q12/</v>
      </c>
      <c r="BB187" s="736"/>
      <c r="BC187" s="738" t="str">
        <f>BC$3</f>
        <v>3Q12/</v>
      </c>
      <c r="BD187" s="736"/>
      <c r="BE187" s="738" t="str">
        <f>BE$3</f>
        <v>4Q12/</v>
      </c>
      <c r="BF187" s="736"/>
      <c r="BG187" s="738" t="str">
        <f>BG$3</f>
        <v>1Q13/</v>
      </c>
      <c r="BH187" s="736"/>
      <c r="BI187" s="738" t="str">
        <f>BI$3</f>
        <v>2Q13/</v>
      </c>
      <c r="BJ187" s="736"/>
      <c r="BK187" s="738" t="str">
        <f>BK$3</f>
        <v>3Q13/</v>
      </c>
      <c r="BL187" s="736"/>
      <c r="BM187" s="738" t="str">
        <f>BM$3</f>
        <v>4Q13/</v>
      </c>
      <c r="BN187" s="736"/>
      <c r="BO187" s="738" t="str">
        <f>BO$3</f>
        <v>1Q14/</v>
      </c>
      <c r="BP187" s="736"/>
      <c r="BQ187" s="738" t="str">
        <f>BQ$3</f>
        <v>2Q14/</v>
      </c>
      <c r="BR187" s="736"/>
      <c r="BS187" s="738" t="str">
        <f>BS$3</f>
        <v>3Q14/</v>
      </c>
      <c r="BT187" s="736"/>
      <c r="BU187" s="738" t="str">
        <f>BU$3</f>
        <v>4Q14/</v>
      </c>
      <c r="BV187" s="736"/>
      <c r="BW187" s="738" t="str">
        <f>BW$3</f>
        <v>1Q15/</v>
      </c>
      <c r="BX187" s="736"/>
      <c r="BY187" s="738" t="str">
        <f>BY$3</f>
        <v>2Q15/</v>
      </c>
      <c r="BZ187" s="736"/>
      <c r="CA187" s="738" t="str">
        <f>CA$3</f>
        <v>3Q15/</v>
      </c>
      <c r="CB187" s="736"/>
      <c r="CC187" s="738" t="str">
        <f>CC$3</f>
        <v>4Q15/</v>
      </c>
      <c r="CD187" s="736"/>
      <c r="CE187" s="738" t="str">
        <f>CE$3</f>
        <v>1Q16/</v>
      </c>
      <c r="CF187" s="736"/>
      <c r="CG187" s="738" t="str">
        <f>CG$3</f>
        <v>2Q16/</v>
      </c>
      <c r="CH187" s="736"/>
      <c r="CI187" s="738" t="str">
        <f>CI$3</f>
        <v>3Q16/</v>
      </c>
      <c r="CJ187" s="736"/>
      <c r="CK187" s="738" t="str">
        <f>CK$3</f>
        <v>4Q16/</v>
      </c>
      <c r="CL187" s="736"/>
      <c r="CM187" s="738" t="str">
        <f t="shared" ref="CM187" si="242">CM$3</f>
        <v>1Q17/</v>
      </c>
      <c r="CN187" s="736"/>
      <c r="CO187" s="738" t="str">
        <f t="shared" ref="CO187" si="243">CO$3</f>
        <v>2Q17/</v>
      </c>
      <c r="CP187" s="736"/>
      <c r="CQ187" s="738" t="str">
        <f t="shared" ref="CQ187:CS187" si="244">CQ$3</f>
        <v>3Q17/</v>
      </c>
      <c r="CR187" s="736"/>
      <c r="CS187" s="738" t="str">
        <f t="shared" si="244"/>
        <v>4Q17/</v>
      </c>
      <c r="CT187" s="736"/>
      <c r="CU187" s="738" t="str">
        <f t="shared" ref="CU187" si="245">CU$3</f>
        <v>1Q18E/</v>
      </c>
      <c r="CV187" s="736"/>
      <c r="CW187" s="738" t="str">
        <f t="shared" ref="CW187" si="246">CW$3</f>
        <v>2Q18E/</v>
      </c>
      <c r="CX187" s="736"/>
      <c r="CY187" s="738" t="str">
        <f t="shared" ref="CY187:DA187" si="247">CY$3</f>
        <v>3Q18E/</v>
      </c>
      <c r="CZ187" s="736"/>
      <c r="DA187" s="738" t="str">
        <f t="shared" si="247"/>
        <v>4Q18E/</v>
      </c>
      <c r="DB187" s="739"/>
      <c r="DC187" s="736"/>
      <c r="DD187" s="737" t="str">
        <f>DD$3</f>
        <v>2001/</v>
      </c>
      <c r="DE187" s="736"/>
      <c r="DF187" s="737" t="str">
        <f>DF$3</f>
        <v>2002/</v>
      </c>
      <c r="DG187" s="736"/>
      <c r="DH187" s="737" t="str">
        <f>DH$3</f>
        <v>2003/</v>
      </c>
      <c r="DI187" s="736"/>
      <c r="DJ187" s="737" t="str">
        <f>DJ$3</f>
        <v>2004/</v>
      </c>
      <c r="DK187" s="736"/>
      <c r="DL187" s="738" t="str">
        <f>DL$3</f>
        <v>2005/</v>
      </c>
      <c r="DM187" s="736"/>
      <c r="DN187" s="738" t="str">
        <f>DN$3</f>
        <v>2006/</v>
      </c>
      <c r="DO187" s="736"/>
      <c r="DP187" s="738" t="str">
        <f>DP$3</f>
        <v>2007/</v>
      </c>
      <c r="DQ187" s="736"/>
      <c r="DR187" s="738" t="str">
        <f>DR$3</f>
        <v>2008/</v>
      </c>
      <c r="DS187" s="736"/>
      <c r="DT187" s="738" t="str">
        <f>DT$3</f>
        <v>2009/</v>
      </c>
      <c r="DU187" s="736"/>
      <c r="DV187" s="738" t="str">
        <f>DV$3</f>
        <v>2010/</v>
      </c>
      <c r="DW187" s="736"/>
      <c r="DX187" s="738" t="str">
        <f>DX$3</f>
        <v>2011/</v>
      </c>
      <c r="DY187" s="736"/>
      <c r="DZ187" s="738" t="str">
        <f>DZ$3</f>
        <v>2012/</v>
      </c>
      <c r="EA187" s="736"/>
      <c r="EB187" s="738" t="str">
        <f>EB$3</f>
        <v>2013/</v>
      </c>
      <c r="EC187" s="736"/>
      <c r="ED187" s="738" t="str">
        <f>ED$3</f>
        <v>2014/</v>
      </c>
      <c r="EE187" s="736"/>
      <c r="EF187" s="738" t="str">
        <f>EF$3</f>
        <v>2015/</v>
      </c>
      <c r="EG187" s="736"/>
      <c r="EH187" s="738" t="str">
        <f>EH$3</f>
        <v>2016/</v>
      </c>
      <c r="EI187" s="736"/>
      <c r="EJ187" s="738" t="str">
        <f>EJ$3</f>
        <v>2017/</v>
      </c>
      <c r="EK187" s="736"/>
      <c r="EL187" s="738" t="str">
        <f>EL$3</f>
        <v>2018E/</v>
      </c>
      <c r="EM187" s="736"/>
      <c r="EN187" s="738" t="str">
        <f>EN$3</f>
        <v>2019E/</v>
      </c>
      <c r="EO187" s="736"/>
      <c r="EP187" s="738" t="str">
        <f>EP$3</f>
        <v>2020E/</v>
      </c>
      <c r="EQ187" s="736"/>
      <c r="ER187" s="738" t="str">
        <f>ER$3</f>
        <v>2021E/</v>
      </c>
      <c r="ES187" s="736"/>
      <c r="ET187" s="738" t="str">
        <f>ET$3</f>
        <v>2022E/</v>
      </c>
      <c r="EU187" s="737"/>
      <c r="EV187" s="710"/>
    </row>
    <row r="188" spans="1:152" ht="12.75" hidden="1" customHeight="1" outlineLevel="1" x14ac:dyDescent="0.2">
      <c r="A188" s="740"/>
      <c r="B188" s="732"/>
      <c r="C188" s="741" t="str">
        <f>C$4</f>
        <v>1Q05</v>
      </c>
      <c r="D188" s="732"/>
      <c r="E188" s="741" t="str">
        <f>E$4</f>
        <v>2Q05</v>
      </c>
      <c r="F188" s="732"/>
      <c r="G188" s="741" t="str">
        <f>G$4</f>
        <v>3Q05</v>
      </c>
      <c r="H188" s="732"/>
      <c r="I188" s="734" t="str">
        <f>I$4</f>
        <v>4Q05</v>
      </c>
      <c r="J188" s="732"/>
      <c r="K188" s="734" t="str">
        <f>K$4</f>
        <v>1Q06</v>
      </c>
      <c r="L188" s="732"/>
      <c r="M188" s="734" t="str">
        <f>M$4</f>
        <v>2Q06</v>
      </c>
      <c r="N188" s="732"/>
      <c r="O188" s="734" t="str">
        <f>O$4</f>
        <v>3Q06</v>
      </c>
      <c r="P188" s="732"/>
      <c r="Q188" s="734" t="str">
        <f>Q$4</f>
        <v>4Q06</v>
      </c>
      <c r="R188" s="732"/>
      <c r="S188" s="734" t="str">
        <f>S$4</f>
        <v>1Q07</v>
      </c>
      <c r="T188" s="732"/>
      <c r="U188" s="734" t="str">
        <f>U$4</f>
        <v>2Q07</v>
      </c>
      <c r="V188" s="732"/>
      <c r="W188" s="734" t="str">
        <f>W$4</f>
        <v>3Q07</v>
      </c>
      <c r="X188" s="732"/>
      <c r="Y188" s="734" t="str">
        <f>Y$4</f>
        <v>4Q07</v>
      </c>
      <c r="Z188" s="732"/>
      <c r="AA188" s="734" t="str">
        <f>AA$4</f>
        <v>1Q08</v>
      </c>
      <c r="AB188" s="732"/>
      <c r="AC188" s="734" t="str">
        <f>AC$4</f>
        <v>2Q08</v>
      </c>
      <c r="AD188" s="732"/>
      <c r="AE188" s="734" t="str">
        <f>AE$4</f>
        <v>3Q08</v>
      </c>
      <c r="AF188" s="732"/>
      <c r="AG188" s="734" t="str">
        <f>AG$4</f>
        <v>4Q08</v>
      </c>
      <c r="AH188" s="732"/>
      <c r="AI188" s="734" t="str">
        <f>AI$4</f>
        <v>1Q09</v>
      </c>
      <c r="AJ188" s="732"/>
      <c r="AK188" s="734" t="str">
        <f>AK$4</f>
        <v>2Q09</v>
      </c>
      <c r="AL188" s="732"/>
      <c r="AM188" s="734" t="str">
        <f>AM$4</f>
        <v>3Q09</v>
      </c>
      <c r="AN188" s="732"/>
      <c r="AO188" s="734" t="str">
        <f>AO$4</f>
        <v>4Q09</v>
      </c>
      <c r="AP188" s="732"/>
      <c r="AQ188" s="734" t="str">
        <f>AQ$4</f>
        <v>1Q10</v>
      </c>
      <c r="AR188" s="732"/>
      <c r="AS188" s="734" t="str">
        <f>AS$4</f>
        <v>2Q10</v>
      </c>
      <c r="AT188" s="732"/>
      <c r="AU188" s="734" t="str">
        <f>AU$4</f>
        <v>3Q10</v>
      </c>
      <c r="AV188" s="732"/>
      <c r="AW188" s="734" t="str">
        <f>AW$4</f>
        <v>4Q10</v>
      </c>
      <c r="AX188" s="732"/>
      <c r="AY188" s="734" t="str">
        <f>AY$4</f>
        <v>1Q11</v>
      </c>
      <c r="AZ188" s="732"/>
      <c r="BA188" s="734" t="str">
        <f>BA$4</f>
        <v>2Q11</v>
      </c>
      <c r="BB188" s="732"/>
      <c r="BC188" s="734" t="str">
        <f>BC$4</f>
        <v>3Q11</v>
      </c>
      <c r="BD188" s="732"/>
      <c r="BE188" s="734" t="str">
        <f>BE$4</f>
        <v>4Q11</v>
      </c>
      <c r="BF188" s="732"/>
      <c r="BG188" s="734" t="str">
        <f>BG$4</f>
        <v>1Q12</v>
      </c>
      <c r="BH188" s="732"/>
      <c r="BI188" s="734" t="str">
        <f>BI$4</f>
        <v>2Q12</v>
      </c>
      <c r="BJ188" s="732"/>
      <c r="BK188" s="734" t="str">
        <f>BK$4</f>
        <v>3Q12</v>
      </c>
      <c r="BL188" s="732"/>
      <c r="BM188" s="734" t="str">
        <f>BM$4</f>
        <v>4Q12</v>
      </c>
      <c r="BN188" s="732"/>
      <c r="BO188" s="734" t="str">
        <f>BO$4</f>
        <v>1Q13</v>
      </c>
      <c r="BP188" s="732"/>
      <c r="BQ188" s="734" t="str">
        <f>BQ$4</f>
        <v>2Q13</v>
      </c>
      <c r="BR188" s="732"/>
      <c r="BS188" s="734" t="str">
        <f>BS$4</f>
        <v>3Q13</v>
      </c>
      <c r="BT188" s="732"/>
      <c r="BU188" s="734" t="str">
        <f>BU$4</f>
        <v>4Q13</v>
      </c>
      <c r="BV188" s="732"/>
      <c r="BW188" s="734" t="str">
        <f>BW$4</f>
        <v>1Q14</v>
      </c>
      <c r="BX188" s="732"/>
      <c r="BY188" s="734" t="str">
        <f>BY$4</f>
        <v>2Q14</v>
      </c>
      <c r="BZ188" s="732"/>
      <c r="CA188" s="734" t="str">
        <f>CA$4</f>
        <v>3Q14</v>
      </c>
      <c r="CB188" s="732"/>
      <c r="CC188" s="734" t="str">
        <f>CC$4</f>
        <v>4Q14</v>
      </c>
      <c r="CD188" s="732"/>
      <c r="CE188" s="734" t="str">
        <f>CE$4</f>
        <v>1Q15</v>
      </c>
      <c r="CF188" s="732"/>
      <c r="CG188" s="734" t="str">
        <f>CG$4</f>
        <v>2Q15</v>
      </c>
      <c r="CH188" s="732"/>
      <c r="CI188" s="734" t="str">
        <f>CI$4</f>
        <v>3Q15</v>
      </c>
      <c r="CJ188" s="732"/>
      <c r="CK188" s="734" t="str">
        <f>CK$4</f>
        <v>4Q15</v>
      </c>
      <c r="CL188" s="732"/>
      <c r="CM188" s="734" t="str">
        <f t="shared" ref="CM188" si="248">CM$4</f>
        <v>1Q16</v>
      </c>
      <c r="CN188" s="732"/>
      <c r="CO188" s="734" t="str">
        <f t="shared" ref="CO188" si="249">CO$4</f>
        <v>2Q16</v>
      </c>
      <c r="CP188" s="732"/>
      <c r="CQ188" s="734" t="str">
        <f t="shared" ref="CQ188:CS188" si="250">CQ$4</f>
        <v>3Q16</v>
      </c>
      <c r="CR188" s="732"/>
      <c r="CS188" s="734" t="str">
        <f t="shared" si="250"/>
        <v>4Q16</v>
      </c>
      <c r="CT188" s="732"/>
      <c r="CU188" s="734" t="str">
        <f t="shared" ref="CU188" si="251">CU$4</f>
        <v>1Q17</v>
      </c>
      <c r="CV188" s="732"/>
      <c r="CW188" s="734" t="str">
        <f t="shared" ref="CW188" si="252">CW$4</f>
        <v>2Q17</v>
      </c>
      <c r="CX188" s="732"/>
      <c r="CY188" s="734" t="str">
        <f t="shared" ref="CY188:DA188" si="253">CY$4</f>
        <v>3Q17</v>
      </c>
      <c r="CZ188" s="732"/>
      <c r="DA188" s="734" t="str">
        <f t="shared" si="253"/>
        <v>4Q17</v>
      </c>
      <c r="DB188" s="742"/>
      <c r="DC188" s="732"/>
      <c r="DD188" s="741" t="str">
        <f>DD$4</f>
        <v>2000</v>
      </c>
      <c r="DE188" s="732"/>
      <c r="DF188" s="741" t="str">
        <f>DF$4</f>
        <v>2001</v>
      </c>
      <c r="DG188" s="732"/>
      <c r="DH188" s="741" t="str">
        <f>DH$4</f>
        <v>2002</v>
      </c>
      <c r="DI188" s="732"/>
      <c r="DJ188" s="741" t="str">
        <f>DJ$4</f>
        <v>2003</v>
      </c>
      <c r="DK188" s="732"/>
      <c r="DL188" s="734" t="str">
        <f>DL$4</f>
        <v>2004</v>
      </c>
      <c r="DM188" s="732"/>
      <c r="DN188" s="734" t="str">
        <f>DN$4</f>
        <v>2005</v>
      </c>
      <c r="DO188" s="732"/>
      <c r="DP188" s="734">
        <f>DP$4</f>
        <v>2006</v>
      </c>
      <c r="DQ188" s="732"/>
      <c r="DR188" s="734">
        <f>DR$4</f>
        <v>2007</v>
      </c>
      <c r="DS188" s="732"/>
      <c r="DT188" s="734">
        <f>DT$4</f>
        <v>2008</v>
      </c>
      <c r="DU188" s="732"/>
      <c r="DV188" s="734" t="str">
        <f>DV$4</f>
        <v>2009</v>
      </c>
      <c r="DW188" s="732"/>
      <c r="DX188" s="734" t="str">
        <f>DX$4</f>
        <v>2010</v>
      </c>
      <c r="DY188" s="732"/>
      <c r="DZ188" s="734" t="str">
        <f>DZ$4</f>
        <v>2011</v>
      </c>
      <c r="EA188" s="732"/>
      <c r="EB188" s="734" t="str">
        <f>EB$4</f>
        <v>2012</v>
      </c>
      <c r="EC188" s="732"/>
      <c r="ED188" s="734" t="str">
        <f>ED$4</f>
        <v>2013</v>
      </c>
      <c r="EE188" s="732"/>
      <c r="EF188" s="734" t="str">
        <f>EF$4</f>
        <v>2014</v>
      </c>
      <c r="EG188" s="732"/>
      <c r="EH188" s="734" t="str">
        <f>EH$4</f>
        <v>2015</v>
      </c>
      <c r="EI188" s="732"/>
      <c r="EJ188" s="734" t="str">
        <f>EJ$4</f>
        <v>2016</v>
      </c>
      <c r="EK188" s="732"/>
      <c r="EL188" s="734" t="str">
        <f>EL$4</f>
        <v>2017</v>
      </c>
      <c r="EM188" s="732"/>
      <c r="EN188" s="734" t="str">
        <f>EN$4</f>
        <v>2018E</v>
      </c>
      <c r="EO188" s="732"/>
      <c r="EP188" s="734" t="str">
        <f>EP$4</f>
        <v>2019E</v>
      </c>
      <c r="EQ188" s="732"/>
      <c r="ER188" s="734" t="str">
        <f>ER$4</f>
        <v>2020E</v>
      </c>
      <c r="ES188" s="732"/>
      <c r="ET188" s="734" t="str">
        <f>ET$4</f>
        <v>2021E</v>
      </c>
      <c r="EU188" s="741" t="str">
        <f>EU$4</f>
        <v>CAGR</v>
      </c>
      <c r="EV188" s="710"/>
    </row>
    <row r="189" spans="1:152" ht="12.75" hidden="1" customHeight="1" outlineLevel="1" x14ac:dyDescent="0.2">
      <c r="A189" s="743"/>
      <c r="B189" s="744" t="str">
        <f t="shared" ref="B189:CL189" si="254">B$5</f>
        <v>1Q06</v>
      </c>
      <c r="C189" s="745" t="str">
        <f t="shared" si="254"/>
        <v>% Chg</v>
      </c>
      <c r="D189" s="744" t="str">
        <f t="shared" si="254"/>
        <v>2Q06</v>
      </c>
      <c r="E189" s="745" t="str">
        <f t="shared" si="254"/>
        <v>% Chg</v>
      </c>
      <c r="F189" s="744" t="str">
        <f t="shared" si="254"/>
        <v>3Q06</v>
      </c>
      <c r="G189" s="745" t="str">
        <f t="shared" si="254"/>
        <v>% Chg</v>
      </c>
      <c r="H189" s="744" t="str">
        <f t="shared" si="254"/>
        <v>4Q06</v>
      </c>
      <c r="I189" s="746" t="str">
        <f t="shared" si="254"/>
        <v>% Chg</v>
      </c>
      <c r="J189" s="744" t="str">
        <f t="shared" si="254"/>
        <v>1Q07</v>
      </c>
      <c r="K189" s="746" t="str">
        <f t="shared" si="254"/>
        <v>% Chg</v>
      </c>
      <c r="L189" s="744" t="str">
        <f t="shared" si="254"/>
        <v>2Q07</v>
      </c>
      <c r="M189" s="746" t="str">
        <f t="shared" si="254"/>
        <v>% Chg</v>
      </c>
      <c r="N189" s="744" t="str">
        <f t="shared" si="254"/>
        <v>3Q07</v>
      </c>
      <c r="O189" s="746" t="str">
        <f t="shared" si="254"/>
        <v>% Chg</v>
      </c>
      <c r="P189" s="744" t="str">
        <f t="shared" si="254"/>
        <v>4Q07</v>
      </c>
      <c r="Q189" s="746" t="str">
        <f t="shared" si="254"/>
        <v>% Chg</v>
      </c>
      <c r="R189" s="744" t="str">
        <f t="shared" si="254"/>
        <v>1Q08</v>
      </c>
      <c r="S189" s="746" t="str">
        <f t="shared" si="254"/>
        <v>% Chg</v>
      </c>
      <c r="T189" s="744" t="str">
        <f t="shared" si="254"/>
        <v>2Q08</v>
      </c>
      <c r="U189" s="746" t="str">
        <f t="shared" si="254"/>
        <v>% Chg</v>
      </c>
      <c r="V189" s="744" t="str">
        <f t="shared" si="254"/>
        <v>3Q08</v>
      </c>
      <c r="W189" s="746" t="str">
        <f t="shared" si="254"/>
        <v>% Chg</v>
      </c>
      <c r="X189" s="744" t="str">
        <f t="shared" si="254"/>
        <v>4Q08</v>
      </c>
      <c r="Y189" s="746" t="str">
        <f t="shared" si="254"/>
        <v>% Chg</v>
      </c>
      <c r="Z189" s="744" t="str">
        <f t="shared" si="254"/>
        <v>1Q09</v>
      </c>
      <c r="AA189" s="746" t="str">
        <f t="shared" si="254"/>
        <v>% Chg</v>
      </c>
      <c r="AB189" s="744" t="str">
        <f t="shared" si="254"/>
        <v>2Q09</v>
      </c>
      <c r="AC189" s="746" t="str">
        <f t="shared" si="254"/>
        <v>% Chg</v>
      </c>
      <c r="AD189" s="744" t="str">
        <f t="shared" si="254"/>
        <v>3Q09</v>
      </c>
      <c r="AE189" s="746" t="str">
        <f t="shared" si="254"/>
        <v>% Chg</v>
      </c>
      <c r="AF189" s="744" t="str">
        <f t="shared" si="254"/>
        <v>4Q09</v>
      </c>
      <c r="AG189" s="746" t="str">
        <f t="shared" si="254"/>
        <v>% Chg</v>
      </c>
      <c r="AH189" s="744" t="str">
        <f t="shared" si="254"/>
        <v>1Q10</v>
      </c>
      <c r="AI189" s="746" t="str">
        <f t="shared" si="254"/>
        <v>% Chg</v>
      </c>
      <c r="AJ189" s="744" t="str">
        <f t="shared" si="254"/>
        <v>2Q10</v>
      </c>
      <c r="AK189" s="746" t="str">
        <f t="shared" si="254"/>
        <v>% Chg</v>
      </c>
      <c r="AL189" s="744" t="str">
        <f t="shared" si="254"/>
        <v>3Q10</v>
      </c>
      <c r="AM189" s="746" t="str">
        <f t="shared" si="254"/>
        <v>% Chg</v>
      </c>
      <c r="AN189" s="744" t="str">
        <f t="shared" si="254"/>
        <v>4Q10</v>
      </c>
      <c r="AO189" s="746" t="str">
        <f t="shared" si="254"/>
        <v>% Chg</v>
      </c>
      <c r="AP189" s="744" t="str">
        <f t="shared" si="254"/>
        <v>1Q11</v>
      </c>
      <c r="AQ189" s="746" t="str">
        <f t="shared" si="254"/>
        <v>% Chg</v>
      </c>
      <c r="AR189" s="744" t="str">
        <f t="shared" si="254"/>
        <v>2Q11</v>
      </c>
      <c r="AS189" s="746" t="str">
        <f t="shared" si="254"/>
        <v>% Chg</v>
      </c>
      <c r="AT189" s="744" t="str">
        <f t="shared" si="254"/>
        <v>3Q11</v>
      </c>
      <c r="AU189" s="746" t="str">
        <f t="shared" si="254"/>
        <v>% Chg</v>
      </c>
      <c r="AV189" s="744" t="str">
        <f t="shared" si="254"/>
        <v>4Q11</v>
      </c>
      <c r="AW189" s="746" t="str">
        <f t="shared" si="254"/>
        <v>% Chg</v>
      </c>
      <c r="AX189" s="744" t="str">
        <f t="shared" si="254"/>
        <v>1Q12</v>
      </c>
      <c r="AY189" s="746" t="str">
        <f t="shared" si="254"/>
        <v>% Chg</v>
      </c>
      <c r="AZ189" s="744" t="str">
        <f t="shared" si="254"/>
        <v>2Q12</v>
      </c>
      <c r="BA189" s="746" t="str">
        <f t="shared" si="254"/>
        <v>% Chg</v>
      </c>
      <c r="BB189" s="744" t="str">
        <f t="shared" si="254"/>
        <v>3Q12</v>
      </c>
      <c r="BC189" s="746" t="str">
        <f t="shared" si="254"/>
        <v>% Chg</v>
      </c>
      <c r="BD189" s="744" t="str">
        <f t="shared" si="254"/>
        <v>4Q12</v>
      </c>
      <c r="BE189" s="746" t="str">
        <f t="shared" si="254"/>
        <v>% Chg</v>
      </c>
      <c r="BF189" s="744" t="str">
        <f t="shared" si="254"/>
        <v>1Q13</v>
      </c>
      <c r="BG189" s="746" t="str">
        <f t="shared" si="254"/>
        <v>% Chg</v>
      </c>
      <c r="BH189" s="744" t="str">
        <f t="shared" si="254"/>
        <v>2Q13</v>
      </c>
      <c r="BI189" s="746" t="str">
        <f t="shared" si="254"/>
        <v>% Chg</v>
      </c>
      <c r="BJ189" s="744" t="str">
        <f t="shared" si="254"/>
        <v>3Q13</v>
      </c>
      <c r="BK189" s="746" t="str">
        <f t="shared" si="254"/>
        <v>% Chg</v>
      </c>
      <c r="BL189" s="744" t="str">
        <f t="shared" si="254"/>
        <v>4Q13</v>
      </c>
      <c r="BM189" s="746" t="str">
        <f t="shared" si="254"/>
        <v>% Chg</v>
      </c>
      <c r="BN189" s="744" t="str">
        <f t="shared" si="254"/>
        <v>1Q14</v>
      </c>
      <c r="BO189" s="746" t="str">
        <f>BO$5</f>
        <v>% Chg</v>
      </c>
      <c r="BP189" s="744" t="str">
        <f t="shared" si="254"/>
        <v>2Q14</v>
      </c>
      <c r="BQ189" s="746" t="str">
        <f>BQ$5</f>
        <v>% Chg</v>
      </c>
      <c r="BR189" s="744" t="str">
        <f t="shared" si="254"/>
        <v>3Q14</v>
      </c>
      <c r="BS189" s="746" t="str">
        <f>BS$5</f>
        <v>% Chg</v>
      </c>
      <c r="BT189" s="744" t="str">
        <f t="shared" si="254"/>
        <v>4Q14</v>
      </c>
      <c r="BU189" s="746" t="str">
        <f>BU$5</f>
        <v>% Chg</v>
      </c>
      <c r="BV189" s="744" t="str">
        <f t="shared" si="254"/>
        <v>1Q15</v>
      </c>
      <c r="BW189" s="746" t="str">
        <f>BW$5</f>
        <v>% Chg</v>
      </c>
      <c r="BX189" s="744" t="str">
        <f t="shared" si="254"/>
        <v>2Q15</v>
      </c>
      <c r="BY189" s="746" t="str">
        <f>BY$5</f>
        <v>% Chg</v>
      </c>
      <c r="BZ189" s="744" t="str">
        <f t="shared" si="254"/>
        <v>3Q15</v>
      </c>
      <c r="CA189" s="746" t="str">
        <f>CA$5</f>
        <v>% Chg</v>
      </c>
      <c r="CB189" s="744" t="str">
        <f t="shared" si="254"/>
        <v>4Q15</v>
      </c>
      <c r="CC189" s="746" t="str">
        <f>CC$5</f>
        <v>% Chg</v>
      </c>
      <c r="CD189" s="744" t="str">
        <f t="shared" si="254"/>
        <v>1Q16</v>
      </c>
      <c r="CE189" s="746" t="str">
        <f>CE$5</f>
        <v>% Chg</v>
      </c>
      <c r="CF189" s="744" t="str">
        <f t="shared" si="254"/>
        <v>2Q16</v>
      </c>
      <c r="CG189" s="746" t="str">
        <f>CG$5</f>
        <v>% Chg</v>
      </c>
      <c r="CH189" s="744" t="str">
        <f t="shared" si="254"/>
        <v>3Q16</v>
      </c>
      <c r="CI189" s="746" t="str">
        <f>CI$5</f>
        <v>% Chg</v>
      </c>
      <c r="CJ189" s="744" t="str">
        <f t="shared" si="254"/>
        <v>4Q16</v>
      </c>
      <c r="CK189" s="746" t="str">
        <f>CK$5</f>
        <v>% Chg</v>
      </c>
      <c r="CL189" s="744" t="str">
        <f t="shared" si="254"/>
        <v>1Q17</v>
      </c>
      <c r="CM189" s="746" t="str">
        <f t="shared" ref="CM189:DA189" si="255">CM$5</f>
        <v>% Chg</v>
      </c>
      <c r="CN189" s="744" t="str">
        <f t="shared" si="255"/>
        <v>2Q17</v>
      </c>
      <c r="CO189" s="746" t="str">
        <f t="shared" si="255"/>
        <v>% Chg</v>
      </c>
      <c r="CP189" s="744" t="str">
        <f t="shared" si="255"/>
        <v>3Q17</v>
      </c>
      <c r="CQ189" s="746" t="str">
        <f t="shared" si="255"/>
        <v>% Chg</v>
      </c>
      <c r="CR189" s="744" t="str">
        <f t="shared" si="255"/>
        <v>4Q17</v>
      </c>
      <c r="CS189" s="746" t="str">
        <f t="shared" si="255"/>
        <v>% Chg</v>
      </c>
      <c r="CT189" s="744" t="str">
        <f t="shared" si="255"/>
        <v>1Q18E</v>
      </c>
      <c r="CU189" s="746" t="str">
        <f t="shared" si="255"/>
        <v>% Chg</v>
      </c>
      <c r="CV189" s="744" t="str">
        <f t="shared" si="255"/>
        <v>2Q18E</v>
      </c>
      <c r="CW189" s="746" t="str">
        <f t="shared" si="255"/>
        <v>% Chg</v>
      </c>
      <c r="CX189" s="744" t="str">
        <f t="shared" si="255"/>
        <v>3Q18E</v>
      </c>
      <c r="CY189" s="746" t="str">
        <f t="shared" si="255"/>
        <v>% Chg</v>
      </c>
      <c r="CZ189" s="744" t="str">
        <f t="shared" si="255"/>
        <v>4Q18E</v>
      </c>
      <c r="DA189" s="746" t="str">
        <f t="shared" si="255"/>
        <v>% Chg</v>
      </c>
      <c r="DB189" s="747"/>
      <c r="DC189" s="744" t="str">
        <f t="shared" ref="DC189:ET189" si="256">DC$5</f>
        <v>2001</v>
      </c>
      <c r="DD189" s="745" t="str">
        <f t="shared" si="256"/>
        <v>% Chg</v>
      </c>
      <c r="DE189" s="744" t="str">
        <f t="shared" si="256"/>
        <v>2002</v>
      </c>
      <c r="DF189" s="745" t="str">
        <f t="shared" si="256"/>
        <v>% Chg</v>
      </c>
      <c r="DG189" s="744" t="str">
        <f t="shared" si="256"/>
        <v>2003</v>
      </c>
      <c r="DH189" s="745" t="str">
        <f t="shared" si="256"/>
        <v>% Chg</v>
      </c>
      <c r="DI189" s="744" t="str">
        <f t="shared" si="256"/>
        <v>2004</v>
      </c>
      <c r="DJ189" s="745" t="str">
        <f t="shared" si="256"/>
        <v>% Chg</v>
      </c>
      <c r="DK189" s="744" t="str">
        <f t="shared" si="256"/>
        <v>2005</v>
      </c>
      <c r="DL189" s="746" t="str">
        <f t="shared" si="256"/>
        <v>% Chg</v>
      </c>
      <c r="DM189" s="748">
        <f t="shared" si="256"/>
        <v>2006</v>
      </c>
      <c r="DN189" s="746" t="str">
        <f t="shared" si="256"/>
        <v>% Chg</v>
      </c>
      <c r="DO189" s="748">
        <f t="shared" si="256"/>
        <v>2007</v>
      </c>
      <c r="DP189" s="746" t="str">
        <f t="shared" si="256"/>
        <v>% Chg</v>
      </c>
      <c r="DQ189" s="748">
        <f t="shared" si="256"/>
        <v>2008</v>
      </c>
      <c r="DR189" s="746" t="str">
        <f t="shared" si="256"/>
        <v>% Chg</v>
      </c>
      <c r="DS189" s="744" t="str">
        <f t="shared" si="256"/>
        <v>2009</v>
      </c>
      <c r="DT189" s="746" t="str">
        <f t="shared" si="256"/>
        <v>% Chg</v>
      </c>
      <c r="DU189" s="744" t="str">
        <f t="shared" si="256"/>
        <v>2010</v>
      </c>
      <c r="DV189" s="746" t="str">
        <f t="shared" si="256"/>
        <v>% Chg</v>
      </c>
      <c r="DW189" s="744" t="str">
        <f t="shared" si="256"/>
        <v>2011</v>
      </c>
      <c r="DX189" s="746" t="str">
        <f t="shared" si="256"/>
        <v>% Chg</v>
      </c>
      <c r="DY189" s="744" t="str">
        <f t="shared" si="256"/>
        <v>2012</v>
      </c>
      <c r="DZ189" s="746" t="str">
        <f t="shared" si="256"/>
        <v>% Chg</v>
      </c>
      <c r="EA189" s="744" t="str">
        <f t="shared" si="256"/>
        <v>2013</v>
      </c>
      <c r="EB189" s="746" t="str">
        <f t="shared" si="256"/>
        <v>% Chg</v>
      </c>
      <c r="EC189" s="744" t="str">
        <f t="shared" si="256"/>
        <v>2014</v>
      </c>
      <c r="ED189" s="746" t="str">
        <f t="shared" si="256"/>
        <v>% Chg</v>
      </c>
      <c r="EE189" s="744" t="str">
        <f t="shared" si="256"/>
        <v>2015</v>
      </c>
      <c r="EF189" s="746" t="str">
        <f t="shared" si="256"/>
        <v>% Chg</v>
      </c>
      <c r="EG189" s="744" t="str">
        <f t="shared" si="256"/>
        <v>2016</v>
      </c>
      <c r="EH189" s="746" t="str">
        <f t="shared" si="256"/>
        <v>% Chg</v>
      </c>
      <c r="EI189" s="744" t="str">
        <f t="shared" si="256"/>
        <v>2017</v>
      </c>
      <c r="EJ189" s="746" t="str">
        <f t="shared" si="256"/>
        <v>% Chg</v>
      </c>
      <c r="EK189" s="744" t="str">
        <f t="shared" si="256"/>
        <v>2018E</v>
      </c>
      <c r="EL189" s="746" t="str">
        <f t="shared" si="256"/>
        <v>% Chg</v>
      </c>
      <c r="EM189" s="744" t="str">
        <f t="shared" si="256"/>
        <v>2019E</v>
      </c>
      <c r="EN189" s="746" t="str">
        <f t="shared" si="256"/>
        <v>% Chg</v>
      </c>
      <c r="EO189" s="744" t="str">
        <f t="shared" si="256"/>
        <v>2020E</v>
      </c>
      <c r="EP189" s="746" t="str">
        <f t="shared" si="256"/>
        <v>% Chg</v>
      </c>
      <c r="EQ189" s="744" t="str">
        <f t="shared" si="256"/>
        <v>2021E</v>
      </c>
      <c r="ER189" s="746" t="str">
        <f t="shared" si="256"/>
        <v>% Chg</v>
      </c>
      <c r="ES189" s="744" t="str">
        <f t="shared" si="256"/>
        <v>2022E</v>
      </c>
      <c r="ET189" s="746" t="str">
        <f t="shared" si="256"/>
        <v>% Chg</v>
      </c>
      <c r="EU189" s="745" t="str">
        <f>EU$5</f>
        <v>(%)</v>
      </c>
      <c r="EV189" s="710"/>
    </row>
    <row r="190" spans="1:152" ht="12.75" hidden="1" customHeight="1" outlineLevel="1" x14ac:dyDescent="0.2">
      <c r="A190" s="749"/>
      <c r="B190" s="750"/>
      <c r="C190" s="767"/>
      <c r="D190" s="750"/>
      <c r="E190" s="767"/>
      <c r="F190" s="750"/>
      <c r="G190" s="767"/>
      <c r="H190" s="750"/>
      <c r="I190" s="752"/>
      <c r="J190" s="750"/>
      <c r="K190" s="752"/>
      <c r="L190" s="750"/>
      <c r="M190" s="752"/>
      <c r="N190" s="750"/>
      <c r="O190" s="752"/>
      <c r="P190" s="750"/>
      <c r="Q190" s="752"/>
      <c r="R190" s="750"/>
      <c r="S190" s="752"/>
      <c r="T190" s="750"/>
      <c r="U190" s="752"/>
      <c r="V190" s="750"/>
      <c r="W190" s="752"/>
      <c r="X190" s="750"/>
      <c r="Y190" s="752"/>
      <c r="Z190" s="750"/>
      <c r="AA190" s="752"/>
      <c r="AB190" s="750"/>
      <c r="AC190" s="752"/>
      <c r="AD190" s="750"/>
      <c r="AE190" s="752"/>
      <c r="AF190" s="750"/>
      <c r="AG190" s="752"/>
      <c r="AH190" s="750"/>
      <c r="AI190" s="752"/>
      <c r="AJ190" s="750"/>
      <c r="AK190" s="752"/>
      <c r="AL190" s="750"/>
      <c r="AM190" s="752"/>
      <c r="AN190" s="750"/>
      <c r="AO190" s="752"/>
      <c r="AP190" s="750"/>
      <c r="AQ190" s="752"/>
      <c r="AR190" s="750"/>
      <c r="AS190" s="752"/>
      <c r="AT190" s="750"/>
      <c r="AU190" s="752"/>
      <c r="AV190" s="750"/>
      <c r="AW190" s="752"/>
      <c r="AX190" s="750"/>
      <c r="AY190" s="752"/>
      <c r="AZ190" s="750"/>
      <c r="BA190" s="752"/>
      <c r="BB190" s="750"/>
      <c r="BC190" s="752"/>
      <c r="BD190" s="750"/>
      <c r="BE190" s="752"/>
      <c r="BF190" s="750"/>
      <c r="BG190" s="752"/>
      <c r="BH190" s="750"/>
      <c r="BI190" s="752"/>
      <c r="BJ190" s="750"/>
      <c r="BK190" s="752"/>
      <c r="BL190" s="750"/>
      <c r="BM190" s="752"/>
      <c r="BN190" s="750"/>
      <c r="BO190" s="752"/>
      <c r="BP190" s="750"/>
      <c r="BQ190" s="752"/>
      <c r="BR190" s="750"/>
      <c r="BS190" s="752"/>
      <c r="BT190" s="750"/>
      <c r="BU190" s="752"/>
      <c r="BV190" s="750"/>
      <c r="BW190" s="752"/>
      <c r="BX190" s="750"/>
      <c r="BY190" s="752"/>
      <c r="BZ190" s="750"/>
      <c r="CA190" s="752"/>
      <c r="CB190" s="750"/>
      <c r="CC190" s="752"/>
      <c r="CD190" s="750"/>
      <c r="CE190" s="752"/>
      <c r="CF190" s="750"/>
      <c r="CG190" s="752"/>
      <c r="CH190" s="750"/>
      <c r="CI190" s="752"/>
      <c r="CJ190" s="750"/>
      <c r="CK190" s="752"/>
      <c r="CL190" s="750"/>
      <c r="CM190" s="752"/>
      <c r="CN190" s="750"/>
      <c r="CO190" s="752"/>
      <c r="CP190" s="750"/>
      <c r="CQ190" s="752"/>
      <c r="CR190" s="750"/>
      <c r="CS190" s="752"/>
      <c r="CT190" s="750"/>
      <c r="CU190" s="752"/>
      <c r="CV190" s="750"/>
      <c r="CW190" s="752"/>
      <c r="CX190" s="750"/>
      <c r="CY190" s="752"/>
      <c r="CZ190" s="750"/>
      <c r="DA190" s="752"/>
      <c r="DB190" s="753"/>
      <c r="DC190" s="750"/>
      <c r="DD190" s="767"/>
      <c r="DE190" s="750"/>
      <c r="DF190" s="767"/>
      <c r="DG190" s="750"/>
      <c r="DH190" s="767"/>
      <c r="DI190" s="750"/>
      <c r="DJ190" s="767"/>
      <c r="DK190" s="750"/>
      <c r="DL190" s="752"/>
      <c r="DM190" s="750"/>
      <c r="DN190" s="752"/>
      <c r="DO190" s="750"/>
      <c r="DP190" s="752"/>
      <c r="DQ190" s="750"/>
      <c r="DR190" s="752"/>
      <c r="DS190" s="750"/>
      <c r="DT190" s="752"/>
      <c r="DU190" s="750"/>
      <c r="DV190" s="752"/>
      <c r="DW190" s="750"/>
      <c r="DX190" s="752"/>
      <c r="DY190" s="750"/>
      <c r="DZ190" s="752"/>
      <c r="EA190" s="750"/>
      <c r="EB190" s="752"/>
      <c r="EC190" s="750"/>
      <c r="ED190" s="752"/>
      <c r="EE190" s="750"/>
      <c r="EF190" s="752"/>
      <c r="EG190" s="750"/>
      <c r="EH190" s="752"/>
      <c r="EI190" s="750"/>
      <c r="EJ190" s="752"/>
      <c r="EK190" s="750"/>
      <c r="EL190" s="752"/>
      <c r="EM190" s="750"/>
      <c r="EN190" s="752"/>
      <c r="EO190" s="750"/>
      <c r="EP190" s="752"/>
      <c r="EQ190" s="750"/>
      <c r="ER190" s="752"/>
      <c r="ES190" s="750"/>
      <c r="ET190" s="752"/>
      <c r="EU190" s="767"/>
      <c r="EV190" s="710"/>
    </row>
    <row r="191" spans="1:152" ht="12.75" hidden="1" customHeight="1" outlineLevel="1" x14ac:dyDescent="0.2">
      <c r="A191" s="749" t="s">
        <v>285</v>
      </c>
      <c r="B191" s="750"/>
      <c r="C191" s="767"/>
      <c r="D191" s="750"/>
      <c r="E191" s="767"/>
      <c r="F191" s="750"/>
      <c r="G191" s="767"/>
      <c r="H191" s="750"/>
      <c r="I191" s="752"/>
      <c r="J191" s="750"/>
      <c r="K191" s="752"/>
      <c r="L191" s="750"/>
      <c r="M191" s="752"/>
      <c r="N191" s="750"/>
      <c r="O191" s="752"/>
      <c r="P191" s="750"/>
      <c r="Q191" s="752"/>
      <c r="R191" s="750"/>
      <c r="S191" s="752"/>
      <c r="T191" s="750"/>
      <c r="U191" s="752"/>
      <c r="V191" s="750"/>
      <c r="W191" s="752"/>
      <c r="X191" s="750"/>
      <c r="Y191" s="752"/>
      <c r="Z191" s="750"/>
      <c r="AA191" s="752"/>
      <c r="AB191" s="750"/>
      <c r="AC191" s="752"/>
      <c r="AD191" s="750"/>
      <c r="AE191" s="752"/>
      <c r="AF191" s="750"/>
      <c r="AG191" s="752"/>
      <c r="AH191" s="750"/>
      <c r="AI191" s="752"/>
      <c r="AJ191" s="750"/>
      <c r="AK191" s="752"/>
      <c r="AL191" s="750"/>
      <c r="AM191" s="752"/>
      <c r="AN191" s="750"/>
      <c r="AO191" s="752"/>
      <c r="AP191" s="750"/>
      <c r="AQ191" s="752"/>
      <c r="AR191" s="750"/>
      <c r="AS191" s="752"/>
      <c r="AT191" s="750"/>
      <c r="AU191" s="752"/>
      <c r="AV191" s="750"/>
      <c r="AW191" s="752"/>
      <c r="AX191" s="750"/>
      <c r="AY191" s="752"/>
      <c r="AZ191" s="750"/>
      <c r="BA191" s="752"/>
      <c r="BB191" s="750"/>
      <c r="BC191" s="752"/>
      <c r="BD191" s="750"/>
      <c r="BE191" s="752"/>
      <c r="BF191" s="750"/>
      <c r="BG191" s="752"/>
      <c r="BH191" s="750"/>
      <c r="BI191" s="752"/>
      <c r="BJ191" s="750"/>
      <c r="BK191" s="752"/>
      <c r="BL191" s="750"/>
      <c r="BM191" s="752"/>
      <c r="BN191" s="750"/>
      <c r="BO191" s="752"/>
      <c r="BP191" s="750"/>
      <c r="BQ191" s="752"/>
      <c r="BR191" s="750"/>
      <c r="BS191" s="752"/>
      <c r="BT191" s="750"/>
      <c r="BU191" s="752"/>
      <c r="BV191" s="750"/>
      <c r="BW191" s="752"/>
      <c r="BX191" s="750"/>
      <c r="BY191" s="752"/>
      <c r="BZ191" s="750"/>
      <c r="CA191" s="752"/>
      <c r="CB191" s="750"/>
      <c r="CC191" s="752"/>
      <c r="CD191" s="750"/>
      <c r="CE191" s="752"/>
      <c r="CF191" s="750"/>
      <c r="CG191" s="752"/>
      <c r="CH191" s="750"/>
      <c r="CI191" s="752"/>
      <c r="CJ191" s="750"/>
      <c r="CK191" s="752"/>
      <c r="CL191" s="750"/>
      <c r="CM191" s="752"/>
      <c r="CN191" s="750"/>
      <c r="CO191" s="752"/>
      <c r="CP191" s="750"/>
      <c r="CQ191" s="752"/>
      <c r="CR191" s="750"/>
      <c r="CS191" s="752"/>
      <c r="CT191" s="750"/>
      <c r="CU191" s="752"/>
      <c r="CV191" s="750"/>
      <c r="CW191" s="752"/>
      <c r="CX191" s="750"/>
      <c r="CY191" s="752"/>
      <c r="CZ191" s="750"/>
      <c r="DA191" s="752"/>
      <c r="DB191" s="753"/>
      <c r="DC191" s="750"/>
      <c r="DD191" s="767"/>
      <c r="DE191" s="750"/>
      <c r="DF191" s="767"/>
      <c r="DG191" s="750"/>
      <c r="DH191" s="767"/>
      <c r="DI191" s="750"/>
      <c r="DJ191" s="767"/>
      <c r="DK191" s="750"/>
      <c r="DL191" s="752"/>
      <c r="DM191" s="750"/>
      <c r="DN191" s="752"/>
      <c r="DO191" s="750"/>
      <c r="DP191" s="752"/>
      <c r="DQ191" s="750"/>
      <c r="DR191" s="752"/>
      <c r="DS191" s="750"/>
      <c r="DT191" s="752"/>
      <c r="DU191" s="750"/>
      <c r="DV191" s="752"/>
      <c r="DW191" s="750"/>
      <c r="DX191" s="752"/>
      <c r="DY191" s="750"/>
      <c r="DZ191" s="752"/>
      <c r="EA191" s="750"/>
      <c r="EB191" s="752"/>
      <c r="EC191" s="750"/>
      <c r="ED191" s="752"/>
      <c r="EE191" s="750"/>
      <c r="EF191" s="752"/>
      <c r="EG191" s="750"/>
      <c r="EH191" s="752"/>
      <c r="EI191" s="750"/>
      <c r="EJ191" s="752"/>
      <c r="EK191" s="750"/>
      <c r="EL191" s="752"/>
      <c r="EM191" s="750"/>
      <c r="EN191" s="752"/>
      <c r="EO191" s="750"/>
      <c r="EP191" s="752"/>
      <c r="EQ191" s="750"/>
      <c r="ER191" s="752"/>
      <c r="ES191" s="750"/>
      <c r="ET191" s="752"/>
      <c r="EU191" s="767"/>
      <c r="EV191" s="710"/>
    </row>
    <row r="192" spans="1:152" ht="12.75" hidden="1" customHeight="1" outlineLevel="1" x14ac:dyDescent="0.2">
      <c r="A192" s="754" t="str">
        <f>INPUT!B107</f>
        <v>Premium Income</v>
      </c>
      <c r="B192" s="750">
        <f>INPUT!AS107</f>
        <v>325.2</v>
      </c>
      <c r="C192" s="767">
        <f>INPUT!AT107</f>
        <v>6.938507070042732</v>
      </c>
      <c r="D192" s="750">
        <f>INPUT!AU107</f>
        <v>327.2</v>
      </c>
      <c r="E192" s="767">
        <f>INPUT!AV107</f>
        <v>5.8899676375404386</v>
      </c>
      <c r="F192" s="750">
        <f>INPUT!AW107</f>
        <v>332.3</v>
      </c>
      <c r="G192" s="767">
        <f>INPUT!AX107</f>
        <v>6.6431322207958887</v>
      </c>
      <c r="H192" s="750">
        <f>INPUT!AY107</f>
        <v>328.1</v>
      </c>
      <c r="I192" s="752">
        <f>INPUT!AZ107</f>
        <v>4.757343550447013</v>
      </c>
      <c r="J192" s="750">
        <f>INPUT!BA107</f>
        <v>341.6</v>
      </c>
      <c r="K192" s="752">
        <f>INPUT!BB107</f>
        <v>5.0430504305043256</v>
      </c>
      <c r="L192" s="750">
        <f>INPUT!BC107</f>
        <v>347.2</v>
      </c>
      <c r="M192" s="752">
        <f>INPUT!BD107</f>
        <v>6.112469437652801</v>
      </c>
      <c r="N192" s="750">
        <f>INPUT!BE107</f>
        <v>352.4</v>
      </c>
      <c r="O192" s="752">
        <f>INPUT!BF107</f>
        <v>6.048751128498342</v>
      </c>
      <c r="P192" s="750">
        <f>INPUT!BG107</f>
        <v>353.1</v>
      </c>
      <c r="Q192" s="752">
        <f>INPUT!BH107</f>
        <v>7.6196281621456974</v>
      </c>
      <c r="R192" s="750">
        <f>INPUT!BI107</f>
        <v>369.6</v>
      </c>
      <c r="S192" s="752">
        <f>INPUT!BJ107</f>
        <v>8.196721311475418</v>
      </c>
      <c r="T192" s="750">
        <f>INPUT!BK107</f>
        <v>372.7</v>
      </c>
      <c r="U192" s="752">
        <f>INPUT!BL107</f>
        <v>7.3444700460829404</v>
      </c>
      <c r="V192" s="750">
        <f>INPUT!BM107</f>
        <v>376.4</v>
      </c>
      <c r="W192" s="752">
        <f>INPUT!BN107</f>
        <v>6.8104426787741312</v>
      </c>
      <c r="X192" s="750">
        <f>INPUT!BO107</f>
        <v>380.3</v>
      </c>
      <c r="Y192" s="752">
        <f>INPUT!BP107</f>
        <v>7.7032002265646993</v>
      </c>
      <c r="Z192" s="750">
        <f>INPUT!BQ107</f>
        <v>392.6</v>
      </c>
      <c r="AA192" s="752">
        <f>INPUT!BR107</f>
        <v>6.222943722943719</v>
      </c>
      <c r="AB192" s="750">
        <f>INPUT!BS107</f>
        <v>390.9</v>
      </c>
      <c r="AC192" s="752">
        <f>INPUT!BT107</f>
        <v>4.8832841427421503</v>
      </c>
      <c r="AD192" s="750">
        <f>INPUT!BU107</f>
        <v>384.4</v>
      </c>
      <c r="AE192" s="752">
        <f>INPUT!BV107</f>
        <v>2.1253985122210439</v>
      </c>
      <c r="AF192" s="750">
        <f>INPUT!BW107</f>
        <v>382.9</v>
      </c>
      <c r="AG192" s="752">
        <f>INPUT!BX107</f>
        <v>0.68367078622140198</v>
      </c>
      <c r="AH192" s="750">
        <f>INPUT!BY107</f>
        <v>249</v>
      </c>
      <c r="AI192" s="752">
        <f>INPUT!BZ107</f>
        <v>-36.576668364747846</v>
      </c>
      <c r="AJ192" s="750">
        <f>INPUT!CA107</f>
        <v>248.6</v>
      </c>
      <c r="AK192" s="752">
        <f>INPUT!CB107</f>
        <v>-36.403172166794576</v>
      </c>
      <c r="AL192" s="750">
        <f>INPUT!CC107</f>
        <v>247.6</v>
      </c>
      <c r="AM192" s="752">
        <f>INPUT!CD107</f>
        <v>-35.587929240374606</v>
      </c>
      <c r="AN192" s="750">
        <f>INPUT!CE107</f>
        <v>243.5</v>
      </c>
      <c r="AO192" s="752">
        <f>INPUT!CF107</f>
        <v>-36.406372420997648</v>
      </c>
      <c r="AP192" s="750">
        <f>INPUT!CG107</f>
        <v>260.3</v>
      </c>
      <c r="AQ192" s="752">
        <f>INPUT!CH107</f>
        <v>4.5381526104417702</v>
      </c>
      <c r="AR192" s="750">
        <f>INPUT!CI107</f>
        <v>261.3</v>
      </c>
      <c r="AS192" s="752">
        <f>INPUT!CJ107</f>
        <v>5.1086082059533355</v>
      </c>
      <c r="AT192" s="750">
        <f>INPUT!CK107</f>
        <v>260.2</v>
      </c>
      <c r="AU192" s="752">
        <f>INPUT!CL107</f>
        <v>5.0888529886914391</v>
      </c>
      <c r="AV192" s="750">
        <f>INPUT!CM107</f>
        <v>262.89999999999998</v>
      </c>
      <c r="AW192" s="752">
        <f>INPUT!CN107</f>
        <v>7.9671457905543974</v>
      </c>
      <c r="AX192" s="750">
        <f>INPUT!CO107</f>
        <v>276.89999999999998</v>
      </c>
      <c r="AY192" s="752">
        <f>INPUT!CP107</f>
        <v>6.3772570111409799</v>
      </c>
      <c r="AZ192" s="750">
        <f>INPUT!CQ107</f>
        <v>276.10000000000002</v>
      </c>
      <c r="BA192" s="752">
        <f>INPUT!CR107</f>
        <v>5.6639877535400007</v>
      </c>
      <c r="BB192" s="750">
        <f>INPUT!CS107</f>
        <v>272.89999999999998</v>
      </c>
      <c r="BC192" s="752">
        <f>INPUT!CT107</f>
        <v>4.880860876249038</v>
      </c>
      <c r="BD192" s="750">
        <f>INPUT!CU107</f>
        <v>277.7</v>
      </c>
      <c r="BE192" s="752">
        <f>INPUT!CV107</f>
        <v>5.6295169265880629</v>
      </c>
      <c r="BF192" s="750">
        <f>INPUT!CW107</f>
        <v>282.89999999999998</v>
      </c>
      <c r="BG192" s="752">
        <f>INPUT!CX107</f>
        <v>2.1668472372697645</v>
      </c>
      <c r="BH192" s="750">
        <f>INPUT!CY107</f>
        <v>273.8</v>
      </c>
      <c r="BI192" s="752">
        <f>INPUT!CZ107</f>
        <v>-0.83303151032234624</v>
      </c>
      <c r="BJ192" s="750">
        <f>INPUT!DA107</f>
        <v>274.39999999999998</v>
      </c>
      <c r="BK192" s="752">
        <f>INPUT!DB107</f>
        <v>0.54965188713813617</v>
      </c>
      <c r="BL192" s="750">
        <f>INPUT!DC107</f>
        <v>277</v>
      </c>
      <c r="BM192" s="752">
        <f>INPUT!DD107</f>
        <v>-0.25207057976233127</v>
      </c>
      <c r="BN192" s="750">
        <f>INPUT!DE107</f>
        <v>291.2</v>
      </c>
      <c r="BO192" s="752">
        <f>INPUT!DF107</f>
        <v>2.9338989042064334</v>
      </c>
      <c r="BP192" s="750">
        <f>INPUT!DG107</f>
        <v>289.39999999999998</v>
      </c>
      <c r="BQ192" s="752">
        <f>INPUT!DH107</f>
        <v>5.6975894813732442</v>
      </c>
      <c r="BR192" s="750">
        <f>INPUT!DI107</f>
        <v>288.39999999999998</v>
      </c>
      <c r="BS192" s="752">
        <f>INPUT!DJ107</f>
        <v>5.1020408163265252</v>
      </c>
      <c r="BT192" s="750">
        <f>INPUT!DK107</f>
        <v>290.89999999999998</v>
      </c>
      <c r="BU192" s="752">
        <f>INPUT!DL107</f>
        <v>5.018050541516228</v>
      </c>
      <c r="BV192" s="750">
        <f>INPUT!DM107</f>
        <v>309.60000000000002</v>
      </c>
      <c r="BW192" s="752">
        <f>INPUT!DN107</f>
        <v>6.3186813186813406</v>
      </c>
      <c r="BX192" s="750">
        <f>INPUT!DO107</f>
        <v>306.10000000000002</v>
      </c>
      <c r="BY192" s="752">
        <f>INPUT!DP107</f>
        <v>5.7705597788528129</v>
      </c>
      <c r="BZ192" s="750">
        <f>INPUT!DQ107</f>
        <v>305.7</v>
      </c>
      <c r="CA192" s="752">
        <f>INPUT!DR107</f>
        <v>5.9986130374479973</v>
      </c>
      <c r="CB192" s="750">
        <f>INPUT!DS107</f>
        <v>307.39999999999998</v>
      </c>
      <c r="CC192" s="752">
        <f>INPUT!DT107</f>
        <v>5.6720522516328531</v>
      </c>
      <c r="CD192" s="750">
        <f>INPUT!DU107</f>
        <v>327.10000000000002</v>
      </c>
      <c r="CE192" s="752">
        <f>INPUT!DV107</f>
        <v>5.6524547803617597</v>
      </c>
      <c r="CF192" s="750">
        <f>INPUT!DW107</f>
        <v>326.7</v>
      </c>
      <c r="CG192" s="752">
        <f>INPUT!DX107</f>
        <v>6.7298268539692785</v>
      </c>
      <c r="CH192" s="750">
        <f>INPUT!DY107</f>
        <v>342.7</v>
      </c>
      <c r="CI192" s="752">
        <f>INPUT!DZ107</f>
        <v>12.103369316323187</v>
      </c>
      <c r="CJ192" s="750">
        <f>INPUT!EA107</f>
        <v>341.4</v>
      </c>
      <c r="CK192" s="752">
        <f>INPUT!EB107</f>
        <v>11.060507482108006</v>
      </c>
      <c r="CL192" s="750">
        <f>INPUT!EC107</f>
        <v>363.7</v>
      </c>
      <c r="CM192" s="752">
        <f>INPUT!ED107</f>
        <v>11.189238764903697</v>
      </c>
      <c r="CN192" s="750">
        <f>INPUT!EE107</f>
        <v>361.1</v>
      </c>
      <c r="CO192" s="752">
        <f>INPUT!EF107</f>
        <v>10.529537802265088</v>
      </c>
      <c r="CP192" s="750">
        <f>INPUT!EG107</f>
        <v>357.4</v>
      </c>
      <c r="CQ192" s="752">
        <f>INPUT!EH107</f>
        <v>4.2894660052523959</v>
      </c>
      <c r="CR192" s="750">
        <f>INPUT!EI107</f>
        <v>356.9</v>
      </c>
      <c r="CS192" s="752">
        <f>INPUT!EJ107</f>
        <v>4.5401288810779095</v>
      </c>
      <c r="CT192" s="750">
        <f>INPUT!EK107</f>
        <v>363.32419999999996</v>
      </c>
      <c r="CU192" s="752">
        <f>INPUT!EL107</f>
        <v>-0.10332691778939251</v>
      </c>
      <c r="CV192" s="750">
        <f>INPUT!EM107</f>
        <v>369.86403559999997</v>
      </c>
      <c r="CW192" s="752">
        <f>INPUT!EN107</f>
        <v>2.4270383827194486</v>
      </c>
      <c r="CX192" s="750">
        <f>INPUT!EO107</f>
        <v>376.52158824079999</v>
      </c>
      <c r="CY192" s="752">
        <f>INPUT!EP107</f>
        <v>5.3501925687744922</v>
      </c>
      <c r="CZ192" s="750">
        <f>INPUT!EQ107</f>
        <v>382.16941206441197</v>
      </c>
      <c r="DA192" s="752">
        <f>INPUT!ER107</f>
        <v>7.0802499480000058</v>
      </c>
      <c r="DB192" s="793"/>
      <c r="DC192" s="750">
        <f>INPUT!FB107</f>
        <v>0</v>
      </c>
      <c r="DD192" s="767">
        <f>INPUT!FC107</f>
        <v>0</v>
      </c>
      <c r="DE192" s="750">
        <f>INPUT!FD107</f>
        <v>902.6</v>
      </c>
      <c r="DF192" s="767" t="str">
        <f>INPUT!FE107</f>
        <v>NA</v>
      </c>
      <c r="DG192" s="750">
        <f>INPUT!FF107</f>
        <v>1057.4000000000001</v>
      </c>
      <c r="DH192" s="767">
        <f>INPUT!FG107</f>
        <v>17.150454243297155</v>
      </c>
      <c r="DI192" s="750">
        <f>INPUT!FH107</f>
        <v>1153.5</v>
      </c>
      <c r="DJ192" s="767">
        <f>INPUT!FI107</f>
        <v>9.0883298657083333</v>
      </c>
      <c r="DK192" s="750">
        <f>INPUT!FJ107</f>
        <v>1237.9000000000001</v>
      </c>
      <c r="DL192" s="752">
        <f>INPUT!FK107</f>
        <v>7.3168617251842205</v>
      </c>
      <c r="DM192" s="750">
        <f>INPUT!FL107</f>
        <v>1312.8000000000002</v>
      </c>
      <c r="DN192" s="752">
        <f>INPUT!FM107</f>
        <v>6.0505695128847403</v>
      </c>
      <c r="DO192" s="750">
        <f>INPUT!FN107</f>
        <v>1394.2999999999997</v>
      </c>
      <c r="DP192" s="752">
        <f>INPUT!FO107</f>
        <v>6.2081048141376938</v>
      </c>
      <c r="DQ192" s="750">
        <f>INPUT!FP107</f>
        <v>1498.9999999999998</v>
      </c>
      <c r="DR192" s="752">
        <f>INPUT!FQ107</f>
        <v>7.5091443735207708</v>
      </c>
      <c r="DS192" s="750">
        <f>INPUT!FR107</f>
        <v>956.1</v>
      </c>
      <c r="DT192" s="752">
        <f>INPUT!FS107</f>
        <v>-36.217478318879238</v>
      </c>
      <c r="DU192" s="750">
        <f>INPUT!FT107</f>
        <v>988.7</v>
      </c>
      <c r="DV192" s="752">
        <f>INPUT!FU107</f>
        <v>3.4096851793745442</v>
      </c>
      <c r="DW192" s="750">
        <f>INPUT!FV107</f>
        <v>1044.6999999999998</v>
      </c>
      <c r="DX192" s="752">
        <f>INPUT!FW107</f>
        <v>5.6640032365732562</v>
      </c>
      <c r="DY192" s="750">
        <f>INPUT!FX107</f>
        <v>1103.5999999999999</v>
      </c>
      <c r="DZ192" s="752">
        <f>INPUT!FY107</f>
        <v>5.6379821958457033</v>
      </c>
      <c r="EA192" s="750">
        <f>INPUT!FZ107</f>
        <v>1108.0999999999999</v>
      </c>
      <c r="EB192" s="752">
        <f>INPUT!GA107</f>
        <v>0.40775643349040269</v>
      </c>
      <c r="EC192" s="750">
        <f>INPUT!GB107</f>
        <v>1159.8999999999999</v>
      </c>
      <c r="ED192" s="752">
        <f>INPUT!GC107</f>
        <v>4.6746683512318254</v>
      </c>
      <c r="EE192" s="750">
        <f>INPUT!GD107</f>
        <v>1228.8000000000002</v>
      </c>
      <c r="EF192" s="752">
        <f>INPUT!GE107</f>
        <v>5.9401672557979346</v>
      </c>
      <c r="EG192" s="750">
        <f>INPUT!GF107</f>
        <v>1337.9</v>
      </c>
      <c r="EH192" s="752">
        <f>INPUT!GG107</f>
        <v>8.8785807291666519</v>
      </c>
      <c r="EI192" s="750">
        <f>INPUT!GH107</f>
        <v>1439.1</v>
      </c>
      <c r="EJ192" s="752">
        <f>INPUT!GI107</f>
        <v>7.5640929815382174</v>
      </c>
      <c r="EK192" s="750">
        <f>INPUT!GJ107</f>
        <v>1491.8792359052118</v>
      </c>
      <c r="EL192" s="752">
        <f>INPUT!GK107</f>
        <v>3.6675169137107888</v>
      </c>
      <c r="EM192" s="750">
        <f>INPUT!GL107</f>
        <v>1566.4731977004724</v>
      </c>
      <c r="EN192" s="752">
        <f>INPUT!GM107</f>
        <v>5.0000000000000044</v>
      </c>
      <c r="EO192" s="750">
        <f>INPUT!GN107</f>
        <v>1644.7968575854961</v>
      </c>
      <c r="EP192" s="752">
        <f>INPUT!GO107</f>
        <v>5.0000000000000044</v>
      </c>
      <c r="EQ192" s="750">
        <f>INPUT!GP107</f>
        <v>1727.036700464771</v>
      </c>
      <c r="ER192" s="752">
        <f>INPUT!GQ107</f>
        <v>5.0000000000000044</v>
      </c>
      <c r="ES192" s="750">
        <f>INPUT!GR107</f>
        <v>1813.3885354880097</v>
      </c>
      <c r="ET192" s="752">
        <f>INPUT!GS107</f>
        <v>5.0000000000000044</v>
      </c>
      <c r="EU192" s="767">
        <f>INPUT!GT107</f>
        <v>4.7321402196822682</v>
      </c>
      <c r="EV192" s="710"/>
    </row>
    <row r="193" spans="1:152" ht="12.75" hidden="1" customHeight="1" outlineLevel="1" x14ac:dyDescent="0.2">
      <c r="A193" s="754" t="str">
        <f>INPUT!B108</f>
        <v>Net Investment Income</v>
      </c>
      <c r="B193" s="750">
        <f>INPUT!AS108</f>
        <v>69.3</v>
      </c>
      <c r="C193" s="767">
        <f>INPUT!AT108</f>
        <v>24.864864864864835</v>
      </c>
      <c r="D193" s="750">
        <f>INPUT!AU108</f>
        <v>73.099999999999994</v>
      </c>
      <c r="E193" s="767">
        <f>INPUT!AV108</f>
        <v>23.063973063973052</v>
      </c>
      <c r="F193" s="750">
        <f>INPUT!AW108</f>
        <v>76.900000000000006</v>
      </c>
      <c r="G193" s="767">
        <f>INPUT!AX108</f>
        <v>27.529021558872312</v>
      </c>
      <c r="H193" s="750">
        <f>INPUT!AY108</f>
        <v>80.599999999999994</v>
      </c>
      <c r="I193" s="752">
        <f>INPUT!AZ108</f>
        <v>23.241590214067266</v>
      </c>
      <c r="J193" s="750">
        <f>INPUT!BA108</f>
        <v>80.7</v>
      </c>
      <c r="K193" s="752">
        <f>INPUT!BB108</f>
        <v>16.450216450216448</v>
      </c>
      <c r="L193" s="750">
        <f>INPUT!BC108</f>
        <v>79.399999999999991</v>
      </c>
      <c r="M193" s="752">
        <f>INPUT!BD108</f>
        <v>8.618331053351568</v>
      </c>
      <c r="N193" s="750">
        <f>INPUT!BE108</f>
        <v>82.300000000000011</v>
      </c>
      <c r="O193" s="752">
        <f>INPUT!BF108</f>
        <v>7.0221066319896108</v>
      </c>
      <c r="P193" s="750">
        <f>INPUT!BG108</f>
        <v>88</v>
      </c>
      <c r="Q193" s="752">
        <f>INPUT!BH108</f>
        <v>9.1811414392059643</v>
      </c>
      <c r="R193" s="750">
        <f>INPUT!BI108</f>
        <v>87.899999999999991</v>
      </c>
      <c r="S193" s="752">
        <f>INPUT!BJ108</f>
        <v>8.9219330855018431</v>
      </c>
      <c r="T193" s="750">
        <f>INPUT!BK108</f>
        <v>93.899999999999991</v>
      </c>
      <c r="U193" s="752">
        <f>INPUT!BL108</f>
        <v>18.261964735516379</v>
      </c>
      <c r="V193" s="750">
        <f>INPUT!BM108</f>
        <v>96.199999999999989</v>
      </c>
      <c r="W193" s="752">
        <f>INPUT!BN108</f>
        <v>16.88942891859049</v>
      </c>
      <c r="X193" s="750">
        <f>INPUT!BO108</f>
        <v>101.1</v>
      </c>
      <c r="Y193" s="752">
        <f>INPUT!BP108</f>
        <v>14.886363636363619</v>
      </c>
      <c r="Z193" s="750">
        <f>INPUT!BQ108</f>
        <v>103.8</v>
      </c>
      <c r="AA193" s="752">
        <f>INPUT!BR108</f>
        <v>18.088737201365191</v>
      </c>
      <c r="AB193" s="750">
        <f>INPUT!BS108</f>
        <v>110.4</v>
      </c>
      <c r="AC193" s="752">
        <f>INPUT!BT108</f>
        <v>17.571884984025576</v>
      </c>
      <c r="AD193" s="750">
        <f>INPUT!BU108</f>
        <v>113.5</v>
      </c>
      <c r="AE193" s="752">
        <f>INPUT!BV108</f>
        <v>17.983367983367991</v>
      </c>
      <c r="AF193" s="750">
        <f>INPUT!BW108</f>
        <v>116.9</v>
      </c>
      <c r="AG193" s="752">
        <f>INPUT!BX108</f>
        <v>15.628090999010901</v>
      </c>
      <c r="AH193" s="750">
        <f>INPUT!BY108</f>
        <v>46.2</v>
      </c>
      <c r="AI193" s="752" t="str">
        <f>INPUT!BZ108</f>
        <v>NM</v>
      </c>
      <c r="AJ193" s="750">
        <f>INPUT!CA108</f>
        <v>50.4</v>
      </c>
      <c r="AK193" s="752" t="str">
        <f>INPUT!CB108</f>
        <v>NM</v>
      </c>
      <c r="AL193" s="750">
        <f>INPUT!CC108</f>
        <v>49.4</v>
      </c>
      <c r="AM193" s="752" t="str">
        <f>INPUT!CD108</f>
        <v>NM</v>
      </c>
      <c r="AN193" s="750">
        <f>INPUT!CE108</f>
        <v>51.3</v>
      </c>
      <c r="AO193" s="752" t="str">
        <f>INPUT!CF108</f>
        <v>NM</v>
      </c>
      <c r="AP193" s="750">
        <f>INPUT!CG108</f>
        <v>51.8</v>
      </c>
      <c r="AQ193" s="752">
        <f>INPUT!CH108</f>
        <v>12.12121212121211</v>
      </c>
      <c r="AR193" s="750">
        <f>INPUT!CI108</f>
        <v>51.7</v>
      </c>
      <c r="AS193" s="752">
        <f>INPUT!CJ108</f>
        <v>2.5793650793650924</v>
      </c>
      <c r="AT193" s="750">
        <f>INPUT!CK108</f>
        <v>53.3</v>
      </c>
      <c r="AU193" s="752">
        <f>INPUT!CL108</f>
        <v>7.8947368421052655</v>
      </c>
      <c r="AV193" s="750">
        <f>INPUT!CM108</f>
        <v>54.1</v>
      </c>
      <c r="AW193" s="752">
        <f>INPUT!CN108</f>
        <v>5.4580896686159841</v>
      </c>
      <c r="AX193" s="750">
        <f>INPUT!CO108</f>
        <v>56.3</v>
      </c>
      <c r="AY193" s="752">
        <f>INPUT!CP108</f>
        <v>8.6872586872586801</v>
      </c>
      <c r="AZ193" s="750">
        <f>INPUT!CQ108</f>
        <v>56.7</v>
      </c>
      <c r="BA193" s="752">
        <f>INPUT!CR108</f>
        <v>9.6711798839458361</v>
      </c>
      <c r="BB193" s="750">
        <f>INPUT!CS108</f>
        <v>57.5</v>
      </c>
      <c r="BC193" s="752">
        <f>INPUT!CT108</f>
        <v>7.879924953095685</v>
      </c>
      <c r="BD193" s="750">
        <f>INPUT!CU108</f>
        <v>58</v>
      </c>
      <c r="BE193" s="752">
        <f>INPUT!CV108</f>
        <v>7.2088724584103536</v>
      </c>
      <c r="BF193" s="750">
        <f>INPUT!CW108</f>
        <v>57.2</v>
      </c>
      <c r="BG193" s="752">
        <f>INPUT!CX108</f>
        <v>1.598579040852588</v>
      </c>
      <c r="BH193" s="750">
        <f>INPUT!CY108</f>
        <v>57.6</v>
      </c>
      <c r="BI193" s="752">
        <f>INPUT!CZ108</f>
        <v>1.5873015873015817</v>
      </c>
      <c r="BJ193" s="750">
        <f>INPUT!DA108</f>
        <v>58.2</v>
      </c>
      <c r="BK193" s="752">
        <f>INPUT!DB108</f>
        <v>1.2173913043478368</v>
      </c>
      <c r="BL193" s="750">
        <f>INPUT!DC108</f>
        <v>59.9</v>
      </c>
      <c r="BM193" s="752">
        <f>INPUT!DD108</f>
        <v>3.2758620689655071</v>
      </c>
      <c r="BN193" s="750">
        <f>INPUT!DE108</f>
        <v>57.5</v>
      </c>
      <c r="BO193" s="752">
        <f>INPUT!DF108</f>
        <v>0.52447552447552059</v>
      </c>
      <c r="BP193" s="750">
        <f>INPUT!DG108</f>
        <v>57.5</v>
      </c>
      <c r="BQ193" s="752">
        <f>INPUT!DH108</f>
        <v>-0.17361111111111605</v>
      </c>
      <c r="BR193" s="750">
        <f>INPUT!DI108</f>
        <v>55.8</v>
      </c>
      <c r="BS193" s="752">
        <f>INPUT!DJ108</f>
        <v>-4.1237113402061931</v>
      </c>
      <c r="BT193" s="750">
        <f>INPUT!DK108</f>
        <v>57</v>
      </c>
      <c r="BU193" s="752">
        <f>INPUT!DL108</f>
        <v>-4.8414023372287174</v>
      </c>
      <c r="BV193" s="750">
        <f>INPUT!DM108</f>
        <v>56.5</v>
      </c>
      <c r="BW193" s="752">
        <f>INPUT!DN108</f>
        <v>-1.7391304347826098</v>
      </c>
      <c r="BX193" s="750">
        <f>INPUT!DO108</f>
        <v>56.7</v>
      </c>
      <c r="BY193" s="752">
        <f>INPUT!DP108</f>
        <v>-1.3913043478260834</v>
      </c>
      <c r="BZ193" s="750">
        <f>INPUT!DQ108</f>
        <v>57.9</v>
      </c>
      <c r="CA193" s="752">
        <f>INPUT!DR108</f>
        <v>3.7634408602150504</v>
      </c>
      <c r="CB193" s="750">
        <f>INPUT!DS108</f>
        <v>62.6</v>
      </c>
      <c r="CC193" s="752">
        <f>INPUT!DT108</f>
        <v>9.8245614035087812</v>
      </c>
      <c r="CD193" s="750">
        <f>INPUT!DU108</f>
        <v>58.1</v>
      </c>
      <c r="CE193" s="752">
        <f>INPUT!DV108</f>
        <v>2.831858407079646</v>
      </c>
      <c r="CF193" s="750">
        <f>INPUT!DW108</f>
        <v>59</v>
      </c>
      <c r="CG193" s="752">
        <f>INPUT!DX108</f>
        <v>4.0564373897707284</v>
      </c>
      <c r="CH193" s="750">
        <f>INPUT!DY108</f>
        <v>59.1</v>
      </c>
      <c r="CI193" s="752">
        <f>INPUT!DZ108</f>
        <v>2.0725388601036343</v>
      </c>
      <c r="CJ193" s="750">
        <f>INPUT!EA108</f>
        <v>59.6</v>
      </c>
      <c r="CK193" s="752">
        <f>INPUT!EB108</f>
        <v>-4.7923322683706022</v>
      </c>
      <c r="CL193" s="750">
        <f>INPUT!EC108</f>
        <v>59.4</v>
      </c>
      <c r="CM193" s="752">
        <f>INPUT!ED108</f>
        <v>2.2375215146299476</v>
      </c>
      <c r="CN193" s="750">
        <f>INPUT!EE108</f>
        <v>59.7</v>
      </c>
      <c r="CO193" s="752">
        <f>INPUT!EF108</f>
        <v>1.1864406779661163</v>
      </c>
      <c r="CP193" s="750">
        <f>INPUT!EG108</f>
        <v>60</v>
      </c>
      <c r="CQ193" s="752">
        <f>INPUT!EH108</f>
        <v>1.5228426395939021</v>
      </c>
      <c r="CR193" s="750">
        <f>INPUT!EI108</f>
        <v>61.7</v>
      </c>
      <c r="CS193" s="752">
        <f>INPUT!EJ108</f>
        <v>3.5234899328859148</v>
      </c>
      <c r="CT193" s="750">
        <f>INPUT!EK108</f>
        <v>62.317</v>
      </c>
      <c r="CU193" s="752">
        <f>INPUT!EL108</f>
        <v>4.91077441077441</v>
      </c>
      <c r="CV193" s="750">
        <f>INPUT!EM108</f>
        <v>62.940170000000002</v>
      </c>
      <c r="CW193" s="752">
        <f>INPUT!EN108</f>
        <v>5.4274204355108768</v>
      </c>
      <c r="CX193" s="750">
        <f>INPUT!EO108</f>
        <v>63.569571700000004</v>
      </c>
      <c r="CY193" s="752">
        <f>INPUT!EP108</f>
        <v>5.9492861666666785</v>
      </c>
      <c r="CZ193" s="750">
        <f>INPUT!EQ108</f>
        <v>63.8874195585</v>
      </c>
      <c r="DA193" s="752">
        <f>INPUT!ER108</f>
        <v>3.5452504999999856</v>
      </c>
      <c r="DB193" s="793"/>
      <c r="DC193" s="750">
        <f>INPUT!FB108</f>
        <v>0</v>
      </c>
      <c r="DD193" s="767">
        <f>INPUT!FC108</f>
        <v>0</v>
      </c>
      <c r="DE193" s="750">
        <f>INPUT!FD108</f>
        <v>174.4</v>
      </c>
      <c r="DF193" s="767" t="str">
        <f>INPUT!FE108</f>
        <v>NA</v>
      </c>
      <c r="DG193" s="750">
        <f>INPUT!FF108</f>
        <v>219.3</v>
      </c>
      <c r="DH193" s="767">
        <f>INPUT!FG108</f>
        <v>25.745412844036707</v>
      </c>
      <c r="DI193" s="750">
        <f>INPUT!FH108</f>
        <v>222.1</v>
      </c>
      <c r="DJ193" s="767">
        <f>INPUT!FI108</f>
        <v>1.276789785681709</v>
      </c>
      <c r="DK193" s="750">
        <f>INPUT!FJ108</f>
        <v>240.6</v>
      </c>
      <c r="DL193" s="752">
        <f>INPUT!FK108</f>
        <v>8.3295812696983376</v>
      </c>
      <c r="DM193" s="750">
        <f>INPUT!FL108</f>
        <v>299.89999999999998</v>
      </c>
      <c r="DN193" s="752">
        <f>INPUT!FM108</f>
        <v>24.646716541978385</v>
      </c>
      <c r="DO193" s="750">
        <f>INPUT!FN108</f>
        <v>330.4</v>
      </c>
      <c r="DP193" s="752">
        <f>INPUT!FO108</f>
        <v>10.170056685561857</v>
      </c>
      <c r="DQ193" s="750">
        <f>INPUT!FP108</f>
        <v>379.1</v>
      </c>
      <c r="DR193" s="752">
        <f>INPUT!FQ108</f>
        <v>14.739709443099279</v>
      </c>
      <c r="DS193" s="750">
        <f>INPUT!FR108</f>
        <v>178.4</v>
      </c>
      <c r="DT193" s="752" t="str">
        <f>INPUT!FS108</f>
        <v>NM</v>
      </c>
      <c r="DU193" s="750">
        <f>INPUT!FT108</f>
        <v>197.3</v>
      </c>
      <c r="DV193" s="752">
        <f>INPUT!FU108</f>
        <v>10.594170403587455</v>
      </c>
      <c r="DW193" s="750">
        <f>INPUT!FV108</f>
        <v>210.9</v>
      </c>
      <c r="DX193" s="752">
        <f>INPUT!FW108</f>
        <v>6.893056259503294</v>
      </c>
      <c r="DY193" s="750">
        <f>INPUT!FX108</f>
        <v>227</v>
      </c>
      <c r="DZ193" s="752">
        <f>INPUT!FY108</f>
        <v>7.6339497392128974</v>
      </c>
      <c r="EA193" s="750">
        <f>INPUT!FZ108</f>
        <v>232.9</v>
      </c>
      <c r="EB193" s="752">
        <f>INPUT!GA108</f>
        <v>2.5991189427312822</v>
      </c>
      <c r="EC193" s="750">
        <f>INPUT!GB108</f>
        <v>227.8</v>
      </c>
      <c r="ED193" s="752">
        <f>INPUT!GC108</f>
        <v>-2.1897810218978075</v>
      </c>
      <c r="EE193" s="750">
        <f>INPUT!GD108</f>
        <v>233.7</v>
      </c>
      <c r="EF193" s="752">
        <f>INPUT!GE108</f>
        <v>2.589991220368737</v>
      </c>
      <c r="EG193" s="750">
        <f>INPUT!GF108</f>
        <v>235.79999999999998</v>
      </c>
      <c r="EH193" s="752">
        <f>INPUT!GG108</f>
        <v>0.89858793324775199</v>
      </c>
      <c r="EI193" s="750">
        <f>INPUT!GH108</f>
        <v>240.8</v>
      </c>
      <c r="EJ193" s="752">
        <f>INPUT!GI108</f>
        <v>2.120441051738764</v>
      </c>
      <c r="EK193" s="750">
        <f>INPUT!GJ108</f>
        <v>252.71416125850001</v>
      </c>
      <c r="EL193" s="752">
        <f>INPUT!GK108</f>
        <v>4.947741386420268</v>
      </c>
      <c r="EM193" s="750">
        <f>INPUT!GL108</f>
        <v>260.29558609625502</v>
      </c>
      <c r="EN193" s="752">
        <f>INPUT!GM108</f>
        <v>3.0000000000000027</v>
      </c>
      <c r="EO193" s="750">
        <f>INPUT!GN108</f>
        <v>268.10445367914269</v>
      </c>
      <c r="EP193" s="752">
        <f>INPUT!GO108</f>
        <v>3.0000000000000027</v>
      </c>
      <c r="EQ193" s="750">
        <f>INPUT!GP108</f>
        <v>276.14758728951699</v>
      </c>
      <c r="ER193" s="752">
        <f>INPUT!GQ108</f>
        <v>3.0000000000000027</v>
      </c>
      <c r="ES193" s="750">
        <f>INPUT!GR108</f>
        <v>284.43201490820252</v>
      </c>
      <c r="ET193" s="752">
        <f>INPUT!GS108</f>
        <v>3.0000000000000027</v>
      </c>
      <c r="EU193" s="767">
        <f>INPUT!GT108</f>
        <v>3.3866347124839491</v>
      </c>
      <c r="EV193" s="710"/>
    </row>
    <row r="194" spans="1:152" ht="12.75" hidden="1" customHeight="1" outlineLevel="1" x14ac:dyDescent="0.2">
      <c r="A194" s="754" t="str">
        <f>INPUT!B109</f>
        <v>Other Income</v>
      </c>
      <c r="B194" s="750">
        <f>INPUT!AS109</f>
        <v>5.9</v>
      </c>
      <c r="C194" s="767">
        <f>INPUT!AT109</f>
        <v>-10.606060606060597</v>
      </c>
      <c r="D194" s="750">
        <f>INPUT!AU109</f>
        <v>6.7</v>
      </c>
      <c r="E194" s="767">
        <f>INPUT!AV109</f>
        <v>3.0769230769230882</v>
      </c>
      <c r="F194" s="750">
        <f>INPUT!AW109</f>
        <v>6.5</v>
      </c>
      <c r="G194" s="767">
        <f>INPUT!AX109</f>
        <v>4.8387096774193505</v>
      </c>
      <c r="H194" s="750">
        <f>INPUT!AY109</f>
        <v>7.1</v>
      </c>
      <c r="I194" s="752">
        <f>INPUT!AZ109</f>
        <v>1.4285714285714235</v>
      </c>
      <c r="J194" s="750">
        <f>INPUT!BA109</f>
        <v>9.4</v>
      </c>
      <c r="K194" s="752">
        <f>INPUT!BB109</f>
        <v>59.322033898305079</v>
      </c>
      <c r="L194" s="750">
        <f>INPUT!BC109</f>
        <v>9.3000000000000007</v>
      </c>
      <c r="M194" s="752">
        <f>INPUT!BD109</f>
        <v>38.805970149253731</v>
      </c>
      <c r="N194" s="750">
        <f>INPUT!BE109</f>
        <v>7.7</v>
      </c>
      <c r="O194" s="752">
        <f>INPUT!BF109</f>
        <v>18.461538461538463</v>
      </c>
      <c r="P194" s="750">
        <f>INPUT!BG109</f>
        <v>6.7</v>
      </c>
      <c r="Q194" s="752">
        <f>INPUT!BH109</f>
        <v>-5.6338028169014009</v>
      </c>
      <c r="R194" s="750">
        <f>INPUT!BI109</f>
        <v>7.7</v>
      </c>
      <c r="S194" s="752">
        <f>INPUT!BJ109</f>
        <v>-18.085106382978722</v>
      </c>
      <c r="T194" s="750">
        <f>INPUT!BK109</f>
        <v>7.4</v>
      </c>
      <c r="U194" s="752">
        <f>INPUT!BL109</f>
        <v>-20.430107526881724</v>
      </c>
      <c r="V194" s="750">
        <f>INPUT!BM109</f>
        <v>7.4</v>
      </c>
      <c r="W194" s="752">
        <f>INPUT!BN109</f>
        <v>-3.8961038961038974</v>
      </c>
      <c r="X194" s="750">
        <f>INPUT!BO109</f>
        <v>7.7</v>
      </c>
      <c r="Y194" s="752">
        <f>INPUT!BP109</f>
        <v>14.925373134328357</v>
      </c>
      <c r="Z194" s="750">
        <f>INPUT!BQ109</f>
        <v>7.7</v>
      </c>
      <c r="AA194" s="752">
        <f>INPUT!BR109</f>
        <v>0</v>
      </c>
      <c r="AB194" s="750">
        <f>INPUT!BS109</f>
        <v>7.6</v>
      </c>
      <c r="AC194" s="752">
        <f>INPUT!BT109</f>
        <v>2.7027027027026973</v>
      </c>
      <c r="AD194" s="750">
        <f>INPUT!BU109</f>
        <v>6.4</v>
      </c>
      <c r="AE194" s="752">
        <f>INPUT!BV109</f>
        <v>-13.513513513513509</v>
      </c>
      <c r="AF194" s="750">
        <f>INPUT!BW109</f>
        <v>6.2</v>
      </c>
      <c r="AG194" s="752">
        <f>INPUT!BX109</f>
        <v>-19.480519480519476</v>
      </c>
      <c r="AH194" s="750">
        <f>INPUT!BY109</f>
        <v>7.7</v>
      </c>
      <c r="AI194" s="752">
        <f>INPUT!BZ109</f>
        <v>0</v>
      </c>
      <c r="AJ194" s="750">
        <f>INPUT!CA109</f>
        <v>8.4</v>
      </c>
      <c r="AK194" s="752">
        <f>INPUT!CB109</f>
        <v>10.526315789473696</v>
      </c>
      <c r="AL194" s="750">
        <f>INPUT!CC109</f>
        <v>7.5</v>
      </c>
      <c r="AM194" s="752">
        <f>INPUT!CD109</f>
        <v>17.1875</v>
      </c>
      <c r="AN194" s="750">
        <f>INPUT!CE109</f>
        <v>10.1</v>
      </c>
      <c r="AO194" s="752">
        <f>INPUT!CF109</f>
        <v>62.903225806451601</v>
      </c>
      <c r="AP194" s="750">
        <f>INPUT!CG109</f>
        <v>8.3000000000000007</v>
      </c>
      <c r="AQ194" s="752">
        <f>INPUT!CH109</f>
        <v>7.7922077922077948</v>
      </c>
      <c r="AR194" s="750">
        <f>INPUT!CI109</f>
        <v>7</v>
      </c>
      <c r="AS194" s="752">
        <f>INPUT!CJ109</f>
        <v>-16.666666666666675</v>
      </c>
      <c r="AT194" s="750">
        <f>INPUT!CK109</f>
        <v>6.8</v>
      </c>
      <c r="AU194" s="752">
        <f>INPUT!CL109</f>
        <v>-9.3333333333333375</v>
      </c>
      <c r="AV194" s="750">
        <f>INPUT!CM109</f>
        <v>7.9</v>
      </c>
      <c r="AW194" s="752">
        <f>INPUT!CN109</f>
        <v>-21.78217821782178</v>
      </c>
      <c r="AX194" s="750">
        <f>INPUT!CO109</f>
        <v>7.1</v>
      </c>
      <c r="AY194" s="752">
        <f>INPUT!CP109</f>
        <v>-14.457831325301218</v>
      </c>
      <c r="AZ194" s="750">
        <f>INPUT!CQ109</f>
        <v>7.2</v>
      </c>
      <c r="BA194" s="752">
        <f>INPUT!CR109</f>
        <v>2.8571428571428692</v>
      </c>
      <c r="BB194" s="750">
        <f>INPUT!CS109</f>
        <v>7.3</v>
      </c>
      <c r="BC194" s="752">
        <f>INPUT!CT109</f>
        <v>7.3529411764705843</v>
      </c>
      <c r="BD194" s="750">
        <f>INPUT!CU109</f>
        <v>7.4</v>
      </c>
      <c r="BE194" s="752">
        <f>INPUT!CV109</f>
        <v>-6.3291139240506329</v>
      </c>
      <c r="BF194" s="750">
        <f>INPUT!CW109</f>
        <v>8.4</v>
      </c>
      <c r="BG194" s="752">
        <f>INPUT!CX109</f>
        <v>18.309859154929597</v>
      </c>
      <c r="BH194" s="750">
        <f>INPUT!CY109</f>
        <v>9</v>
      </c>
      <c r="BI194" s="752">
        <f>INPUT!CZ109</f>
        <v>25</v>
      </c>
      <c r="BJ194" s="750">
        <f>INPUT!DA109</f>
        <v>6.5</v>
      </c>
      <c r="BK194" s="752">
        <f>INPUT!DB109</f>
        <v>-10.95890410958904</v>
      </c>
      <c r="BL194" s="750">
        <f>INPUT!DC109</f>
        <v>7</v>
      </c>
      <c r="BM194" s="752">
        <f>INPUT!DD109</f>
        <v>-5.4054054054054053</v>
      </c>
      <c r="BN194" s="750">
        <f>INPUT!DE109</f>
        <v>8.6999999999999993</v>
      </c>
      <c r="BO194" s="752">
        <f>INPUT!DF109</f>
        <v>3.5714285714285587</v>
      </c>
      <c r="BP194" s="750">
        <f>INPUT!DG109</f>
        <v>7</v>
      </c>
      <c r="BQ194" s="752">
        <f>INPUT!DH109</f>
        <v>-22.222222222222221</v>
      </c>
      <c r="BR194" s="750">
        <f>INPUT!DI109</f>
        <v>6.9</v>
      </c>
      <c r="BS194" s="752">
        <f>INPUT!DJ109</f>
        <v>6.1538461538461542</v>
      </c>
      <c r="BT194" s="750">
        <f>INPUT!DK109</f>
        <v>7.1</v>
      </c>
      <c r="BU194" s="752">
        <f>INPUT!DL109</f>
        <v>1.4285714285714235</v>
      </c>
      <c r="BV194" s="750">
        <f>INPUT!DM109</f>
        <v>7</v>
      </c>
      <c r="BW194" s="752">
        <f>INPUT!DN109</f>
        <v>-19.540229885057471</v>
      </c>
      <c r="BX194" s="750">
        <f>INPUT!DO109</f>
        <v>5.9</v>
      </c>
      <c r="BY194" s="752">
        <f>INPUT!DP109</f>
        <v>-15.714285714285714</v>
      </c>
      <c r="BZ194" s="750">
        <f>INPUT!DQ109</f>
        <v>6</v>
      </c>
      <c r="CA194" s="752">
        <f>INPUT!DR109</f>
        <v>-13.043478260869568</v>
      </c>
      <c r="CB194" s="750">
        <f>INPUT!DS109</f>
        <v>5.3</v>
      </c>
      <c r="CC194" s="752">
        <f>INPUT!DT109</f>
        <v>-25.352112676056336</v>
      </c>
      <c r="CD194" s="750">
        <f>INPUT!DU109</f>
        <v>5.0999999999999996</v>
      </c>
      <c r="CE194" s="752">
        <f>INPUT!DV109</f>
        <v>-27.142857142857146</v>
      </c>
      <c r="CF194" s="750">
        <f>INPUT!DW109</f>
        <v>4.2</v>
      </c>
      <c r="CG194" s="752">
        <f>INPUT!DX109</f>
        <v>-28.8135593220339</v>
      </c>
      <c r="CH194" s="750">
        <f>INPUT!DY109</f>
        <v>4.8</v>
      </c>
      <c r="CI194" s="752">
        <f>INPUT!DZ109</f>
        <v>-20.000000000000007</v>
      </c>
      <c r="CJ194" s="750">
        <f>INPUT!EA109</f>
        <v>3.6</v>
      </c>
      <c r="CK194" s="752">
        <f>INPUT!EB109</f>
        <v>-32.075471698113198</v>
      </c>
      <c r="CL194" s="750">
        <f>INPUT!EC109</f>
        <v>3.7</v>
      </c>
      <c r="CM194" s="752">
        <f>INPUT!ED109</f>
        <v>-27.450980392156854</v>
      </c>
      <c r="CN194" s="750">
        <f>INPUT!EE109</f>
        <v>3.3</v>
      </c>
      <c r="CO194" s="752">
        <f>INPUT!EF109</f>
        <v>-21.428571428571441</v>
      </c>
      <c r="CP194" s="750">
        <f>INPUT!EG109</f>
        <v>1.3</v>
      </c>
      <c r="CQ194" s="752" t="str">
        <f>INPUT!EH109</f>
        <v>NM</v>
      </c>
      <c r="CR194" s="750">
        <f>INPUT!EI109</f>
        <v>1.8</v>
      </c>
      <c r="CS194" s="752">
        <f>INPUT!EJ109</f>
        <v>-50</v>
      </c>
      <c r="CT194" s="750">
        <f>INPUT!EK109</f>
        <v>1.8360000000000001</v>
      </c>
      <c r="CU194" s="752" t="str">
        <f>INPUT!EL109</f>
        <v>NM</v>
      </c>
      <c r="CV194" s="750">
        <f>INPUT!EM109</f>
        <v>1.8727200000000002</v>
      </c>
      <c r="CW194" s="752">
        <f>INPUT!EN109</f>
        <v>-43.250909090909083</v>
      </c>
      <c r="CX194" s="750">
        <f>INPUT!EO109</f>
        <v>1.9101744000000003</v>
      </c>
      <c r="CY194" s="752">
        <f>INPUT!EP109</f>
        <v>46.936492307692326</v>
      </c>
      <c r="CZ194" s="750">
        <f>INPUT!EQ109</f>
        <v>1.9483778880000002</v>
      </c>
      <c r="DA194" s="752">
        <f>INPUT!ER109</f>
        <v>8.2432160000000199</v>
      </c>
      <c r="DB194" s="793"/>
      <c r="DC194" s="750">
        <f>INPUT!FB109</f>
        <v>0</v>
      </c>
      <c r="DD194" s="767">
        <f>INPUT!FC109</f>
        <v>0</v>
      </c>
      <c r="DE194" s="750">
        <f>INPUT!FD109</f>
        <v>10.1</v>
      </c>
      <c r="DF194" s="767" t="str">
        <f>INPUT!FE109</f>
        <v>NA</v>
      </c>
      <c r="DG194" s="750">
        <f>INPUT!FF109</f>
        <v>13.7</v>
      </c>
      <c r="DH194" s="767">
        <f>INPUT!FG109</f>
        <v>35.643564356435633</v>
      </c>
      <c r="DI194" s="750">
        <f>INPUT!FH109</f>
        <v>20.8</v>
      </c>
      <c r="DJ194" s="767">
        <f>INPUT!FI109</f>
        <v>51.824817518248189</v>
      </c>
      <c r="DK194" s="750">
        <f>INPUT!FJ109</f>
        <v>26.299999999999997</v>
      </c>
      <c r="DL194" s="752">
        <f>INPUT!FK109</f>
        <v>26.442307692307665</v>
      </c>
      <c r="DM194" s="750">
        <f>INPUT!FL109</f>
        <v>26.200000000000003</v>
      </c>
      <c r="DN194" s="752">
        <f>INPUT!FM109</f>
        <v>-0.38022813688211032</v>
      </c>
      <c r="DO194" s="750">
        <f>INPUT!FN109</f>
        <v>33.1</v>
      </c>
      <c r="DP194" s="752">
        <f>INPUT!FO109</f>
        <v>26.335877862595414</v>
      </c>
      <c r="DQ194" s="750">
        <f>INPUT!FP109</f>
        <v>30.2</v>
      </c>
      <c r="DR194" s="752">
        <f>INPUT!FQ109</f>
        <v>-8.7613293051359555</v>
      </c>
      <c r="DS194" s="750">
        <f>INPUT!FR109</f>
        <v>28</v>
      </c>
      <c r="DT194" s="752">
        <f>INPUT!FS109</f>
        <v>-7.2847682119205226</v>
      </c>
      <c r="DU194" s="750">
        <f>INPUT!FT109</f>
        <v>33.700000000000003</v>
      </c>
      <c r="DV194" s="752">
        <f>INPUT!FU109</f>
        <v>20.357142857142875</v>
      </c>
      <c r="DW194" s="750">
        <f>INPUT!FV109</f>
        <v>30</v>
      </c>
      <c r="DX194" s="752">
        <f>INPUT!FW109</f>
        <v>-10.979228486646896</v>
      </c>
      <c r="DY194" s="750">
        <f>INPUT!FX109</f>
        <v>29</v>
      </c>
      <c r="DZ194" s="752">
        <f>INPUT!FY109</f>
        <v>-3.3333333333333326</v>
      </c>
      <c r="EA194" s="750">
        <f>INPUT!FZ109</f>
        <v>30.9</v>
      </c>
      <c r="EB194" s="752">
        <f>INPUT!GA109</f>
        <v>6.5517241379310365</v>
      </c>
      <c r="EC194" s="750">
        <f>INPUT!GB109</f>
        <v>29.700000000000003</v>
      </c>
      <c r="ED194" s="752">
        <f>INPUT!GC109</f>
        <v>-3.8834951456310551</v>
      </c>
      <c r="EE194" s="750">
        <f>INPUT!GD109</f>
        <v>24.2</v>
      </c>
      <c r="EF194" s="752">
        <f>INPUT!GE109</f>
        <v>-18.518518518518533</v>
      </c>
      <c r="EG194" s="750">
        <f>INPUT!GF109</f>
        <v>17.700000000000003</v>
      </c>
      <c r="EH194" s="752">
        <f>INPUT!GG109</f>
        <v>-26.859504132231393</v>
      </c>
      <c r="EI194" s="750">
        <f>INPUT!GH109</f>
        <v>10.100000000000001</v>
      </c>
      <c r="EJ194" s="752">
        <f>INPUT!GI109</f>
        <v>-42.937853107344637</v>
      </c>
      <c r="EK194" s="750">
        <f>INPUT!GJ109</f>
        <v>7.5672722880000007</v>
      </c>
      <c r="EL194" s="752">
        <f>INPUT!GK109</f>
        <v>-25.076512000000008</v>
      </c>
      <c r="EM194" s="750">
        <f>INPUT!GL109</f>
        <v>7.9456359024000012</v>
      </c>
      <c r="EN194" s="752">
        <f>INPUT!GM109</f>
        <v>5.0000000000000044</v>
      </c>
      <c r="EO194" s="750">
        <f>INPUT!GN109</f>
        <v>8.3429176975200008</v>
      </c>
      <c r="EP194" s="752">
        <f>INPUT!GO109</f>
        <v>5.0000000000000044</v>
      </c>
      <c r="EQ194" s="750">
        <f>INPUT!GP109</f>
        <v>8.7600635823960005</v>
      </c>
      <c r="ER194" s="752">
        <f>INPUT!GQ109</f>
        <v>5.0000000000000044</v>
      </c>
      <c r="ES194" s="750">
        <f>INPUT!GR109</f>
        <v>9.1980667615158005</v>
      </c>
      <c r="ET194" s="752">
        <f>INPUT!GS109</f>
        <v>5.0000000000000044</v>
      </c>
      <c r="EU194" s="767">
        <f>INPUT!GT109</f>
        <v>-1.8534503076597542</v>
      </c>
      <c r="EV194" s="710"/>
    </row>
    <row r="195" spans="1:152" ht="12.75" hidden="1" customHeight="1" outlineLevel="1" x14ac:dyDescent="0.2">
      <c r="A195" s="754" t="str">
        <f>INPUT!B110</f>
        <v xml:space="preserve"> Total Revenues</v>
      </c>
      <c r="B195" s="750">
        <f>INPUT!AS110</f>
        <v>400.4</v>
      </c>
      <c r="C195" s="767">
        <f>INPUT!AT110</f>
        <v>9.3391589295466879</v>
      </c>
      <c r="D195" s="750">
        <f>INPUT!AU110</f>
        <v>406.99999999999994</v>
      </c>
      <c r="E195" s="767">
        <f>INPUT!AV110</f>
        <v>8.562283275540139</v>
      </c>
      <c r="F195" s="750">
        <f>INPUT!AW110</f>
        <v>415.70000000000005</v>
      </c>
      <c r="G195" s="767">
        <f>INPUT!AX110</f>
        <v>9.9444591377942473</v>
      </c>
      <c r="H195" s="750">
        <f>INPUT!AY110</f>
        <v>415.80000000000007</v>
      </c>
      <c r="I195" s="752">
        <f>INPUT!AZ110</f>
        <v>7.8319502074688963</v>
      </c>
      <c r="J195" s="750">
        <f>INPUT!BA110</f>
        <v>431.7</v>
      </c>
      <c r="K195" s="752">
        <f>INPUT!BB110</f>
        <v>7.8171828171828217</v>
      </c>
      <c r="L195" s="750">
        <f>INPUT!BC110</f>
        <v>435.9</v>
      </c>
      <c r="M195" s="752">
        <f>INPUT!BD110</f>
        <v>7.100737100737109</v>
      </c>
      <c r="N195" s="750">
        <f>INPUT!BE110</f>
        <v>442.4</v>
      </c>
      <c r="O195" s="752">
        <f>INPUT!BF110</f>
        <v>6.4229011306230266</v>
      </c>
      <c r="P195" s="750">
        <f>INPUT!BG110</f>
        <v>447.8</v>
      </c>
      <c r="Q195" s="752">
        <f>INPUT!BH110</f>
        <v>7.6960076960076895</v>
      </c>
      <c r="R195" s="750">
        <f>INPUT!BI110</f>
        <v>465.2</v>
      </c>
      <c r="S195" s="752">
        <f>INPUT!BJ110</f>
        <v>7.7600185313875469</v>
      </c>
      <c r="T195" s="750">
        <f>INPUT!BK110</f>
        <v>473.99999999999994</v>
      </c>
      <c r="U195" s="752">
        <f>INPUT!BL110</f>
        <v>8.740536820371636</v>
      </c>
      <c r="V195" s="750">
        <f>INPUT!BM110</f>
        <v>479.99999999999994</v>
      </c>
      <c r="W195" s="752">
        <f>INPUT!BN110</f>
        <v>8.4990958408679873</v>
      </c>
      <c r="X195" s="750">
        <f>INPUT!BO110</f>
        <v>489.09999999999997</v>
      </c>
      <c r="Y195" s="752">
        <f>INPUT!BP110</f>
        <v>9.2228673514962001</v>
      </c>
      <c r="Z195" s="750">
        <f>INPUT!BQ110</f>
        <v>504.1</v>
      </c>
      <c r="AA195" s="752">
        <f>INPUT!BR110</f>
        <v>8.3619948409286327</v>
      </c>
      <c r="AB195" s="750">
        <f>INPUT!BS110</f>
        <v>508.9</v>
      </c>
      <c r="AC195" s="752">
        <f>INPUT!BT110</f>
        <v>7.3628691983122385</v>
      </c>
      <c r="AD195" s="750">
        <f>INPUT!BU110</f>
        <v>504.29999999999995</v>
      </c>
      <c r="AE195" s="752">
        <f>INPUT!BV110</f>
        <v>5.062499999999992</v>
      </c>
      <c r="AF195" s="750">
        <f>INPUT!BW110</f>
        <v>505.99999999999994</v>
      </c>
      <c r="AG195" s="752">
        <f>INPUT!BX110</f>
        <v>3.4553261091801124</v>
      </c>
      <c r="AH195" s="750">
        <f>INPUT!BY110</f>
        <v>302.89999999999998</v>
      </c>
      <c r="AI195" s="752">
        <f>INPUT!BZ110</f>
        <v>-39.912715731005754</v>
      </c>
      <c r="AJ195" s="750">
        <f>INPUT!CA110</f>
        <v>307.39999999999998</v>
      </c>
      <c r="AK195" s="752">
        <f>INPUT!CB110</f>
        <v>-39.595205344861469</v>
      </c>
      <c r="AL195" s="750">
        <f>INPUT!CC110</f>
        <v>304.5</v>
      </c>
      <c r="AM195" s="752">
        <f>INPUT!CD110</f>
        <v>-39.619274241522895</v>
      </c>
      <c r="AN195" s="750">
        <f>INPUT!CE110</f>
        <v>304.90000000000003</v>
      </c>
      <c r="AO195" s="752">
        <f>INPUT!CF110</f>
        <v>-39.743083003952549</v>
      </c>
      <c r="AP195" s="750">
        <f>INPUT!CG110</f>
        <v>320.40000000000003</v>
      </c>
      <c r="AQ195" s="752">
        <f>INPUT!CH110</f>
        <v>5.7774843182568647</v>
      </c>
      <c r="AR195" s="750">
        <f>INPUT!CI110</f>
        <v>320</v>
      </c>
      <c r="AS195" s="752">
        <f>INPUT!CJ110</f>
        <v>4.0988939492518028</v>
      </c>
      <c r="AT195" s="750">
        <f>INPUT!CK110</f>
        <v>320.3</v>
      </c>
      <c r="AU195" s="752">
        <f>INPUT!CL110</f>
        <v>5.1888341543514072</v>
      </c>
      <c r="AV195" s="750">
        <f>INPUT!CM110</f>
        <v>324.89999999999998</v>
      </c>
      <c r="AW195" s="752">
        <f>INPUT!CN110</f>
        <v>6.5595277140045649</v>
      </c>
      <c r="AX195" s="750">
        <f>INPUT!CO110</f>
        <v>340.3</v>
      </c>
      <c r="AY195" s="752">
        <f>INPUT!CP110</f>
        <v>6.2109862671660299</v>
      </c>
      <c r="AZ195" s="750">
        <f>INPUT!CQ110</f>
        <v>340</v>
      </c>
      <c r="BA195" s="752">
        <f>INPUT!CR110</f>
        <v>6.25</v>
      </c>
      <c r="BB195" s="750">
        <f>INPUT!CS110</f>
        <v>337.7</v>
      </c>
      <c r="BC195" s="752">
        <f>INPUT!CT110</f>
        <v>5.4324071183265543</v>
      </c>
      <c r="BD195" s="750">
        <f>INPUT!CU110</f>
        <v>343.09999999999997</v>
      </c>
      <c r="BE195" s="752">
        <f>INPUT!CV110</f>
        <v>5.6017236072637644</v>
      </c>
      <c r="BF195" s="750">
        <f>INPUT!CW110</f>
        <v>348.49999999999994</v>
      </c>
      <c r="BG195" s="752">
        <f>INPUT!CX110</f>
        <v>2.409638554216853</v>
      </c>
      <c r="BH195" s="750">
        <f>INPUT!CY110</f>
        <v>340.40000000000003</v>
      </c>
      <c r="BI195" s="752">
        <f>INPUT!CZ110</f>
        <v>0.11764705882353343</v>
      </c>
      <c r="BJ195" s="750">
        <f>INPUT!DA110</f>
        <v>339.09999999999997</v>
      </c>
      <c r="BK195" s="752">
        <f>INPUT!DB110</f>
        <v>0.41456914421083013</v>
      </c>
      <c r="BL195" s="750">
        <f>INPUT!DC110</f>
        <v>343.9</v>
      </c>
      <c r="BM195" s="752">
        <f>INPUT!DD110</f>
        <v>0.23316817254444011</v>
      </c>
      <c r="BN195" s="750">
        <f>INPUT!DE110</f>
        <v>357.4</v>
      </c>
      <c r="BO195" s="752">
        <f>INPUT!DF110</f>
        <v>2.5538020086083302</v>
      </c>
      <c r="BP195" s="750">
        <f>INPUT!DG110</f>
        <v>353.9</v>
      </c>
      <c r="BQ195" s="752">
        <f>INPUT!DH110</f>
        <v>3.9659224441833008</v>
      </c>
      <c r="BR195" s="750">
        <f>INPUT!DI110</f>
        <v>351.09999999999997</v>
      </c>
      <c r="BS195" s="752">
        <f>INPUT!DJ110</f>
        <v>3.5387791212031949</v>
      </c>
      <c r="BT195" s="750">
        <f>INPUT!DK110</f>
        <v>355</v>
      </c>
      <c r="BU195" s="752">
        <f>INPUT!DL110</f>
        <v>3.2276824658330927</v>
      </c>
      <c r="BV195" s="750">
        <f>INPUT!DM110</f>
        <v>373.1</v>
      </c>
      <c r="BW195" s="752">
        <f>INPUT!DN110</f>
        <v>4.3928371572467872</v>
      </c>
      <c r="BX195" s="750">
        <f>INPUT!DO110</f>
        <v>368.7</v>
      </c>
      <c r="BY195" s="752">
        <f>INPUT!DP110</f>
        <v>4.1819723085617433</v>
      </c>
      <c r="BZ195" s="750">
        <f>INPUT!DQ110</f>
        <v>369.59999999999997</v>
      </c>
      <c r="CA195" s="752">
        <f>INPUT!DR110</f>
        <v>5.2691540871546483</v>
      </c>
      <c r="CB195" s="750">
        <f>INPUT!DS110</f>
        <v>375.3</v>
      </c>
      <c r="CC195" s="752">
        <f>INPUT!DT110</f>
        <v>5.7183098591549353</v>
      </c>
      <c r="CD195" s="750">
        <f>INPUT!DU110</f>
        <v>390.30000000000007</v>
      </c>
      <c r="CE195" s="752">
        <f>INPUT!DV110</f>
        <v>4.6100241222192473</v>
      </c>
      <c r="CF195" s="750">
        <f>INPUT!DW110</f>
        <v>389.9</v>
      </c>
      <c r="CG195" s="752">
        <f>INPUT!DX110</f>
        <v>5.749932194195817</v>
      </c>
      <c r="CH195" s="750">
        <f>INPUT!DY110</f>
        <v>406.6</v>
      </c>
      <c r="CI195" s="752">
        <f>INPUT!DZ110</f>
        <v>10.010822510822525</v>
      </c>
      <c r="CJ195" s="750">
        <f>INPUT!EA110</f>
        <v>404.6</v>
      </c>
      <c r="CK195" s="752">
        <f>INPUT!EB110</f>
        <v>7.8070876632027719</v>
      </c>
      <c r="CL195" s="750">
        <f>INPUT!EC110</f>
        <v>426.79999999999995</v>
      </c>
      <c r="CM195" s="752">
        <f>INPUT!ED110</f>
        <v>9.3517806815269999</v>
      </c>
      <c r="CN195" s="750">
        <f>INPUT!EE110</f>
        <v>424.1</v>
      </c>
      <c r="CO195" s="752">
        <f>INPUT!EF110</f>
        <v>8.7714798666324931</v>
      </c>
      <c r="CP195" s="750">
        <f>INPUT!EG110</f>
        <v>418.7</v>
      </c>
      <c r="CQ195" s="752">
        <f>INPUT!EH110</f>
        <v>2.9758976881455901</v>
      </c>
      <c r="CR195" s="750">
        <f>INPUT!EI110</f>
        <v>420.4</v>
      </c>
      <c r="CS195" s="752">
        <f>INPUT!EJ110</f>
        <v>3.9050914483440335</v>
      </c>
      <c r="CT195" s="750">
        <f>INPUT!EK110</f>
        <v>427.47719999999998</v>
      </c>
      <c r="CU195" s="752">
        <f>INPUT!EL110</f>
        <v>0.15866916588567204</v>
      </c>
      <c r="CV195" s="750">
        <f>INPUT!EM110</f>
        <v>434.6769256</v>
      </c>
      <c r="CW195" s="752">
        <f>INPUT!EN110</f>
        <v>2.4939697241216585</v>
      </c>
      <c r="CX195" s="750">
        <f>INPUT!EO110</f>
        <v>442.00133434079999</v>
      </c>
      <c r="CY195" s="752">
        <f>INPUT!EP110</f>
        <v>5.5651622500119347</v>
      </c>
      <c r="CZ195" s="750">
        <f>INPUT!EQ110</f>
        <v>448.00520951091198</v>
      </c>
      <c r="DA195" s="752">
        <f>INPUT!ER110</f>
        <v>6.5664152024053291</v>
      </c>
      <c r="DB195" s="793"/>
      <c r="DC195" s="750">
        <f>INPUT!FB110</f>
        <v>0</v>
      </c>
      <c r="DD195" s="767">
        <f>INPUT!FC110</f>
        <v>0</v>
      </c>
      <c r="DE195" s="750">
        <f>INPUT!FD110</f>
        <v>1087.0999999999999</v>
      </c>
      <c r="DF195" s="767" t="str">
        <f>INPUT!FE110</f>
        <v>NA</v>
      </c>
      <c r="DG195" s="750">
        <f>INPUT!FF110</f>
        <v>1290.4000000000001</v>
      </c>
      <c r="DH195" s="767">
        <f>INPUT!FG110</f>
        <v>18.701131450648532</v>
      </c>
      <c r="DI195" s="750">
        <f>INPUT!FH110</f>
        <v>1396.3999999999999</v>
      </c>
      <c r="DJ195" s="767">
        <f>INPUT!FI110</f>
        <v>8.2145071295722119</v>
      </c>
      <c r="DK195" s="750">
        <f>INPUT!FJ110</f>
        <v>1504.8</v>
      </c>
      <c r="DL195" s="752">
        <f>INPUT!FK110</f>
        <v>7.7628186765969609</v>
      </c>
      <c r="DM195" s="750">
        <f>INPUT!FL110</f>
        <v>1638.9000000000003</v>
      </c>
      <c r="DN195" s="752">
        <f>INPUT!FM110</f>
        <v>8.911483253588548</v>
      </c>
      <c r="DO195" s="750">
        <f>INPUT!FN110</f>
        <v>1757.7999999999997</v>
      </c>
      <c r="DP195" s="752">
        <f>INPUT!FO110</f>
        <v>7.2548660687045796</v>
      </c>
      <c r="DQ195" s="750">
        <f>INPUT!FP110</f>
        <v>1908.3</v>
      </c>
      <c r="DR195" s="752">
        <f>INPUT!FQ110</f>
        <v>8.5618386619638276</v>
      </c>
      <c r="DS195" s="750">
        <f>INPUT!FR110</f>
        <v>1162.5</v>
      </c>
      <c r="DT195" s="752">
        <f>INPUT!FS110</f>
        <v>-39.081905360792327</v>
      </c>
      <c r="DU195" s="750">
        <f>INPUT!FT110</f>
        <v>1219.7</v>
      </c>
      <c r="DV195" s="752">
        <f>INPUT!FU110</f>
        <v>4.9204301075268964</v>
      </c>
      <c r="DW195" s="750">
        <f>INPUT!FV110</f>
        <v>1285.5999999999999</v>
      </c>
      <c r="DX195" s="752">
        <f>INPUT!FW110</f>
        <v>5.4029679429367761</v>
      </c>
      <c r="DY195" s="750">
        <f>INPUT!FX110</f>
        <v>1359.6</v>
      </c>
      <c r="DZ195" s="752">
        <f>INPUT!FY110</f>
        <v>5.7560672059738582</v>
      </c>
      <c r="EA195" s="750">
        <f>INPUT!FZ110</f>
        <v>1371.9</v>
      </c>
      <c r="EB195" s="752">
        <f>INPUT!GA110</f>
        <v>0.90467784642542792</v>
      </c>
      <c r="EC195" s="750">
        <f>INPUT!GB110</f>
        <v>1417.3999999999999</v>
      </c>
      <c r="ED195" s="752">
        <f>INPUT!GC110</f>
        <v>3.3165682629929139</v>
      </c>
      <c r="EE195" s="750">
        <f>INPUT!GD110</f>
        <v>1486.7000000000003</v>
      </c>
      <c r="EF195" s="752">
        <f>INPUT!GE110</f>
        <v>4.8892338083815767</v>
      </c>
      <c r="EG195" s="750">
        <f>INPUT!GF110</f>
        <v>1591.4</v>
      </c>
      <c r="EH195" s="752">
        <f>INPUT!GG110</f>
        <v>7.0424429945516787</v>
      </c>
      <c r="EI195" s="750">
        <f>INPUT!GH110</f>
        <v>1689.9999999999998</v>
      </c>
      <c r="EJ195" s="752">
        <f>INPUT!GI110</f>
        <v>6.1958024381048027</v>
      </c>
      <c r="EK195" s="750">
        <f>INPUT!GJ110</f>
        <v>1752.1606694517118</v>
      </c>
      <c r="EL195" s="752">
        <f>INPUT!GK110</f>
        <v>3.6781461214030697</v>
      </c>
      <c r="EM195" s="750">
        <f>INPUT!GL110</f>
        <v>1834.7144196991273</v>
      </c>
      <c r="EN195" s="752">
        <f>INPUT!GM110</f>
        <v>4.7115399681496362</v>
      </c>
      <c r="EO195" s="750">
        <f>INPUT!GN110</f>
        <v>1921.244228962159</v>
      </c>
      <c r="EP195" s="752">
        <f>INPUT!GO110</f>
        <v>4.7162549295939771</v>
      </c>
      <c r="EQ195" s="750">
        <f>INPUT!GP110</f>
        <v>2011.9443513366841</v>
      </c>
      <c r="ER195" s="752">
        <f>INPUT!GQ110</f>
        <v>4.7209053907488085</v>
      </c>
      <c r="ES195" s="750">
        <f>INPUT!GR110</f>
        <v>2107.0186171577279</v>
      </c>
      <c r="ET195" s="752">
        <f>INPUT!GS110</f>
        <v>4.725491823761363</v>
      </c>
      <c r="EU195" s="767">
        <f>INPUT!GT110</f>
        <v>4.509635649862731</v>
      </c>
      <c r="EV195" s="710"/>
    </row>
    <row r="196" spans="1:152" ht="12.75" hidden="1" customHeight="1" outlineLevel="1" x14ac:dyDescent="0.2">
      <c r="A196" s="754"/>
      <c r="B196" s="750"/>
      <c r="C196" s="767"/>
      <c r="D196" s="750"/>
      <c r="E196" s="767"/>
      <c r="F196" s="750"/>
      <c r="G196" s="767"/>
      <c r="H196" s="750"/>
      <c r="I196" s="752"/>
      <c r="J196" s="750"/>
      <c r="K196" s="752"/>
      <c r="L196" s="750"/>
      <c r="M196" s="752"/>
      <c r="N196" s="750"/>
      <c r="O196" s="752"/>
      <c r="P196" s="750"/>
      <c r="Q196" s="752"/>
      <c r="R196" s="750"/>
      <c r="S196" s="752"/>
      <c r="T196" s="750"/>
      <c r="U196" s="752"/>
      <c r="V196" s="750"/>
      <c r="W196" s="752"/>
      <c r="X196" s="750"/>
      <c r="Y196" s="752"/>
      <c r="Z196" s="750"/>
      <c r="AA196" s="752"/>
      <c r="AB196" s="750"/>
      <c r="AC196" s="752"/>
      <c r="AD196" s="750"/>
      <c r="AE196" s="752"/>
      <c r="AF196" s="750"/>
      <c r="AG196" s="752"/>
      <c r="AH196" s="750"/>
      <c r="AI196" s="752"/>
      <c r="AJ196" s="750"/>
      <c r="AK196" s="752"/>
      <c r="AL196" s="750"/>
      <c r="AM196" s="752"/>
      <c r="AN196" s="750"/>
      <c r="AO196" s="752"/>
      <c r="AP196" s="750"/>
      <c r="AQ196" s="752"/>
      <c r="AR196" s="750"/>
      <c r="AS196" s="752"/>
      <c r="AT196" s="750"/>
      <c r="AU196" s="752"/>
      <c r="AV196" s="750"/>
      <c r="AW196" s="752"/>
      <c r="AX196" s="750"/>
      <c r="AY196" s="752"/>
      <c r="AZ196" s="750"/>
      <c r="BA196" s="752"/>
      <c r="BB196" s="750"/>
      <c r="BC196" s="752"/>
      <c r="BD196" s="750"/>
      <c r="BE196" s="752"/>
      <c r="BF196" s="750"/>
      <c r="BG196" s="752"/>
      <c r="BH196" s="750"/>
      <c r="BI196" s="752"/>
      <c r="BJ196" s="750"/>
      <c r="BK196" s="752"/>
      <c r="BL196" s="750"/>
      <c r="BM196" s="752"/>
      <c r="BN196" s="750"/>
      <c r="BO196" s="752"/>
      <c r="BP196" s="750"/>
      <c r="BQ196" s="752"/>
      <c r="BR196" s="750"/>
      <c r="BS196" s="752"/>
      <c r="BT196" s="750"/>
      <c r="BU196" s="752"/>
      <c r="BV196" s="750"/>
      <c r="BW196" s="752"/>
      <c r="BX196" s="750"/>
      <c r="BY196" s="752"/>
      <c r="BZ196" s="750"/>
      <c r="CA196" s="752"/>
      <c r="CB196" s="750"/>
      <c r="CC196" s="752"/>
      <c r="CD196" s="750"/>
      <c r="CE196" s="752"/>
      <c r="CF196" s="750"/>
      <c r="CG196" s="752"/>
      <c r="CH196" s="750"/>
      <c r="CI196" s="752"/>
      <c r="CJ196" s="750"/>
      <c r="CK196" s="752"/>
      <c r="CL196" s="750"/>
      <c r="CM196" s="752"/>
      <c r="CN196" s="750"/>
      <c r="CO196" s="752"/>
      <c r="CP196" s="750"/>
      <c r="CQ196" s="752"/>
      <c r="CR196" s="750"/>
      <c r="CS196" s="752"/>
      <c r="CT196" s="750"/>
      <c r="CU196" s="752"/>
      <c r="CV196" s="750"/>
      <c r="CW196" s="752"/>
      <c r="CX196" s="750"/>
      <c r="CY196" s="752"/>
      <c r="CZ196" s="750"/>
      <c r="DA196" s="752"/>
      <c r="DB196" s="793"/>
      <c r="DC196" s="750"/>
      <c r="DD196" s="767"/>
      <c r="DE196" s="750"/>
      <c r="DF196" s="767"/>
      <c r="DG196" s="750"/>
      <c r="DH196" s="767"/>
      <c r="DI196" s="750"/>
      <c r="DJ196" s="767"/>
      <c r="DK196" s="750"/>
      <c r="DL196" s="752"/>
      <c r="DM196" s="750"/>
      <c r="DN196" s="752"/>
      <c r="DO196" s="750"/>
      <c r="DP196" s="752"/>
      <c r="DQ196" s="750"/>
      <c r="DR196" s="752"/>
      <c r="DS196" s="750"/>
      <c r="DT196" s="752"/>
      <c r="DU196" s="750"/>
      <c r="DV196" s="752"/>
      <c r="DW196" s="750"/>
      <c r="DX196" s="752"/>
      <c r="DY196" s="750"/>
      <c r="DZ196" s="752"/>
      <c r="EA196" s="750"/>
      <c r="EB196" s="752"/>
      <c r="EC196" s="750"/>
      <c r="ED196" s="752"/>
      <c r="EE196" s="750"/>
      <c r="EF196" s="752"/>
      <c r="EG196" s="750"/>
      <c r="EH196" s="752"/>
      <c r="EI196" s="750"/>
      <c r="EJ196" s="752"/>
      <c r="EK196" s="750"/>
      <c r="EL196" s="752"/>
      <c r="EM196" s="750"/>
      <c r="EN196" s="752"/>
      <c r="EO196" s="750"/>
      <c r="EP196" s="752"/>
      <c r="EQ196" s="750"/>
      <c r="ER196" s="752"/>
      <c r="ES196" s="750"/>
      <c r="ET196" s="752"/>
      <c r="EU196" s="767"/>
      <c r="EV196" s="710"/>
    </row>
    <row r="197" spans="1:152" ht="12.75" hidden="1" customHeight="1" outlineLevel="1" x14ac:dyDescent="0.2">
      <c r="A197" s="749" t="s">
        <v>454</v>
      </c>
      <c r="B197" s="750"/>
      <c r="C197" s="767"/>
      <c r="D197" s="750"/>
      <c r="E197" s="767"/>
      <c r="F197" s="750"/>
      <c r="G197" s="767"/>
      <c r="H197" s="750"/>
      <c r="I197" s="752"/>
      <c r="J197" s="750"/>
      <c r="K197" s="752"/>
      <c r="L197" s="750"/>
      <c r="M197" s="752"/>
      <c r="N197" s="750"/>
      <c r="O197" s="752"/>
      <c r="P197" s="750"/>
      <c r="Q197" s="752"/>
      <c r="R197" s="750"/>
      <c r="S197" s="752"/>
      <c r="T197" s="750"/>
      <c r="U197" s="752"/>
      <c r="V197" s="750"/>
      <c r="W197" s="752"/>
      <c r="X197" s="750"/>
      <c r="Y197" s="752"/>
      <c r="Z197" s="750"/>
      <c r="AA197" s="752"/>
      <c r="AB197" s="750"/>
      <c r="AC197" s="752"/>
      <c r="AD197" s="750"/>
      <c r="AE197" s="752"/>
      <c r="AF197" s="750"/>
      <c r="AG197" s="752"/>
      <c r="AH197" s="750"/>
      <c r="AI197" s="752"/>
      <c r="AJ197" s="750"/>
      <c r="AK197" s="752"/>
      <c r="AL197" s="750"/>
      <c r="AM197" s="752"/>
      <c r="AN197" s="750"/>
      <c r="AO197" s="752"/>
      <c r="AP197" s="750"/>
      <c r="AQ197" s="752"/>
      <c r="AR197" s="750"/>
      <c r="AS197" s="752"/>
      <c r="AT197" s="750"/>
      <c r="AU197" s="752"/>
      <c r="AV197" s="750"/>
      <c r="AW197" s="752"/>
      <c r="AX197" s="750"/>
      <c r="AY197" s="752"/>
      <c r="AZ197" s="750"/>
      <c r="BA197" s="752"/>
      <c r="BB197" s="750"/>
      <c r="BC197" s="752"/>
      <c r="BD197" s="750"/>
      <c r="BE197" s="752"/>
      <c r="BF197" s="750"/>
      <c r="BG197" s="752"/>
      <c r="BH197" s="750"/>
      <c r="BI197" s="752"/>
      <c r="BJ197" s="750"/>
      <c r="BK197" s="752"/>
      <c r="BL197" s="750"/>
      <c r="BM197" s="752"/>
      <c r="BN197" s="750"/>
      <c r="BO197" s="752"/>
      <c r="BP197" s="750"/>
      <c r="BQ197" s="752"/>
      <c r="BR197" s="750"/>
      <c r="BS197" s="752"/>
      <c r="BT197" s="750"/>
      <c r="BU197" s="752"/>
      <c r="BV197" s="750"/>
      <c r="BW197" s="752"/>
      <c r="BX197" s="750"/>
      <c r="BY197" s="752"/>
      <c r="BZ197" s="750"/>
      <c r="CA197" s="752"/>
      <c r="CB197" s="750"/>
      <c r="CC197" s="752"/>
      <c r="CD197" s="750"/>
      <c r="CE197" s="752"/>
      <c r="CF197" s="750"/>
      <c r="CG197" s="752"/>
      <c r="CH197" s="750"/>
      <c r="CI197" s="752"/>
      <c r="CJ197" s="750"/>
      <c r="CK197" s="752"/>
      <c r="CL197" s="750"/>
      <c r="CM197" s="752"/>
      <c r="CN197" s="750"/>
      <c r="CO197" s="752"/>
      <c r="CP197" s="750"/>
      <c r="CQ197" s="752"/>
      <c r="CR197" s="750"/>
      <c r="CS197" s="752"/>
      <c r="CT197" s="750"/>
      <c r="CU197" s="752"/>
      <c r="CV197" s="750"/>
      <c r="CW197" s="752"/>
      <c r="CX197" s="750"/>
      <c r="CY197" s="752"/>
      <c r="CZ197" s="750"/>
      <c r="DA197" s="752"/>
      <c r="DB197" s="793"/>
      <c r="DC197" s="750"/>
      <c r="DD197" s="767"/>
      <c r="DE197" s="750"/>
      <c r="DF197" s="767"/>
      <c r="DG197" s="750"/>
      <c r="DH197" s="767"/>
      <c r="DI197" s="750"/>
      <c r="DJ197" s="767"/>
      <c r="DK197" s="750"/>
      <c r="DL197" s="752"/>
      <c r="DM197" s="750"/>
      <c r="DN197" s="752"/>
      <c r="DO197" s="750"/>
      <c r="DP197" s="752"/>
      <c r="DQ197" s="750"/>
      <c r="DR197" s="752"/>
      <c r="DS197" s="750"/>
      <c r="DT197" s="752"/>
      <c r="DU197" s="750"/>
      <c r="DV197" s="752"/>
      <c r="DW197" s="750"/>
      <c r="DX197" s="752"/>
      <c r="DY197" s="750"/>
      <c r="DZ197" s="752"/>
      <c r="EA197" s="750"/>
      <c r="EB197" s="752"/>
      <c r="EC197" s="750"/>
      <c r="ED197" s="752"/>
      <c r="EE197" s="750"/>
      <c r="EF197" s="752"/>
      <c r="EG197" s="750"/>
      <c r="EH197" s="752"/>
      <c r="EI197" s="750"/>
      <c r="EJ197" s="752"/>
      <c r="EK197" s="750"/>
      <c r="EL197" s="752"/>
      <c r="EM197" s="750"/>
      <c r="EN197" s="752"/>
      <c r="EO197" s="750"/>
      <c r="EP197" s="752"/>
      <c r="EQ197" s="750"/>
      <c r="ER197" s="752"/>
      <c r="ES197" s="750"/>
      <c r="ET197" s="752"/>
      <c r="EU197" s="767"/>
      <c r="EV197" s="710"/>
    </row>
    <row r="198" spans="1:152" ht="12.75" hidden="1" customHeight="1" outlineLevel="1" x14ac:dyDescent="0.2">
      <c r="A198" s="754" t="str">
        <f>INPUT!B113</f>
        <v>Benefit Expense</v>
      </c>
      <c r="B198" s="750">
        <f>INPUT!AS113</f>
        <v>231.9</v>
      </c>
      <c r="C198" s="767">
        <f>INPUT!AT113</f>
        <v>5.7455540355677348</v>
      </c>
      <c r="D198" s="750">
        <f>INPUT!AU113</f>
        <v>246</v>
      </c>
      <c r="E198" s="767">
        <f>INPUT!AV113</f>
        <v>11.869031377899052</v>
      </c>
      <c r="F198" s="750">
        <f>INPUT!AW113</f>
        <v>249.4</v>
      </c>
      <c r="G198" s="767">
        <f>INPUT!AX113</f>
        <v>6.8551842330762724</v>
      </c>
      <c r="H198" s="750">
        <f>INPUT!AY113</f>
        <v>255</v>
      </c>
      <c r="I198" s="752">
        <f>INPUT!AZ113</f>
        <v>8.6030664395229994</v>
      </c>
      <c r="J198" s="750">
        <f>INPUT!BA113</f>
        <v>259.5</v>
      </c>
      <c r="K198" s="752">
        <f>INPUT!BB113</f>
        <v>11.901681759379045</v>
      </c>
      <c r="L198" s="750">
        <f>INPUT!BC113</f>
        <v>267.8</v>
      </c>
      <c r="M198" s="752">
        <f>INPUT!BD113</f>
        <v>8.8617886178861802</v>
      </c>
      <c r="N198" s="750">
        <f>INPUT!BE113</f>
        <v>272.7</v>
      </c>
      <c r="O198" s="752">
        <f>INPUT!BF113</f>
        <v>9.3424218123496328</v>
      </c>
      <c r="P198" s="750">
        <f>INPUT!BG113</f>
        <v>267.39999999999998</v>
      </c>
      <c r="Q198" s="752">
        <f>INPUT!BH113</f>
        <v>4.8627450980392117</v>
      </c>
      <c r="R198" s="750">
        <f>INPUT!BI113</f>
        <v>273.2</v>
      </c>
      <c r="S198" s="752">
        <f>INPUT!BJ113</f>
        <v>5.2793834296724462</v>
      </c>
      <c r="T198" s="750">
        <f>INPUT!BK113</f>
        <v>278.8</v>
      </c>
      <c r="U198" s="752">
        <f>INPUT!BL113</f>
        <v>4.1075429424944021</v>
      </c>
      <c r="V198" s="750">
        <f>INPUT!BM113</f>
        <v>286.7</v>
      </c>
      <c r="W198" s="752">
        <f>INPUT!BN113</f>
        <v>5.1338467180051417</v>
      </c>
      <c r="X198" s="750">
        <f>INPUT!BO113</f>
        <v>288.2</v>
      </c>
      <c r="Y198" s="752">
        <f>INPUT!BP113</f>
        <v>7.7786088257292496</v>
      </c>
      <c r="Z198" s="750">
        <f>INPUT!BQ113</f>
        <v>291.10000000000002</v>
      </c>
      <c r="AA198" s="752">
        <f>INPUT!BR113</f>
        <v>6.5519765739385116</v>
      </c>
      <c r="AB198" s="750">
        <f>INPUT!BS113</f>
        <v>297.7</v>
      </c>
      <c r="AC198" s="752">
        <f>INPUT!BT113</f>
        <v>6.7790530846484787</v>
      </c>
      <c r="AD198" s="750">
        <f>INPUT!BU113</f>
        <v>299.10000000000002</v>
      </c>
      <c r="AE198" s="752">
        <f>INPUT!BV113</f>
        <v>4.3250784792466135</v>
      </c>
      <c r="AF198" s="750">
        <f>INPUT!BW113</f>
        <v>289.7</v>
      </c>
      <c r="AG198" s="752">
        <f>INPUT!BX113</f>
        <v>0.52047189451769338</v>
      </c>
      <c r="AH198" s="750">
        <f>INPUT!BY113</f>
        <v>132.6</v>
      </c>
      <c r="AI198" s="752" t="str">
        <f>INPUT!BZ113</f>
        <v>NM</v>
      </c>
      <c r="AJ198" s="750">
        <f>INPUT!CA113</f>
        <v>136.80000000000001</v>
      </c>
      <c r="AK198" s="752" t="str">
        <f>INPUT!CB113</f>
        <v>NM</v>
      </c>
      <c r="AL198" s="750">
        <f>INPUT!CC113</f>
        <v>134.9</v>
      </c>
      <c r="AM198" s="752" t="str">
        <f>INPUT!CD113</f>
        <v>NM</v>
      </c>
      <c r="AN198" s="750">
        <f>INPUT!CE113</f>
        <v>132.4</v>
      </c>
      <c r="AO198" s="752" t="str">
        <f>INPUT!CF113</f>
        <v>NM</v>
      </c>
      <c r="AP198" s="750">
        <f>INPUT!CG113</f>
        <v>133.9</v>
      </c>
      <c r="AQ198" s="752">
        <f>INPUT!CH113</f>
        <v>0.98039215686276382</v>
      </c>
      <c r="AR198" s="750">
        <f>INPUT!CI113</f>
        <v>133.4</v>
      </c>
      <c r="AS198" s="752">
        <f>INPUT!CJ113</f>
        <v>-2.4853801169590684</v>
      </c>
      <c r="AT198" s="750">
        <f>INPUT!CK113</f>
        <v>133</v>
      </c>
      <c r="AU198" s="752">
        <f>INPUT!CL113</f>
        <v>-1.4084507042253613</v>
      </c>
      <c r="AV198" s="750">
        <f>INPUT!CM113</f>
        <v>136.5</v>
      </c>
      <c r="AW198" s="752">
        <f>INPUT!CN113</f>
        <v>3.09667673716012</v>
      </c>
      <c r="AX198" s="750">
        <f>INPUT!CO113</f>
        <v>138.80000000000001</v>
      </c>
      <c r="AY198" s="752">
        <f>INPUT!CP113</f>
        <v>3.6594473487677304</v>
      </c>
      <c r="AZ198" s="750">
        <f>INPUT!CQ113</f>
        <v>135.4</v>
      </c>
      <c r="BA198" s="752">
        <f>INPUT!CR113</f>
        <v>1.4992503748125996</v>
      </c>
      <c r="BB198" s="750">
        <f>INPUT!CS113</f>
        <v>140.6</v>
      </c>
      <c r="BC198" s="752">
        <f>INPUT!CT113</f>
        <v>5.7142857142857162</v>
      </c>
      <c r="BD198" s="750">
        <f>INPUT!CU113</f>
        <v>145.80000000000001</v>
      </c>
      <c r="BE198" s="752">
        <f>INPUT!CV113</f>
        <v>6.8131868131868112</v>
      </c>
      <c r="BF198" s="750">
        <f>INPUT!CW113</f>
        <v>131.19999999999999</v>
      </c>
      <c r="BG198" s="752">
        <f>INPUT!CX113</f>
        <v>-5.4755043227665894</v>
      </c>
      <c r="BH198" s="750">
        <f>INPUT!CY113</f>
        <v>137.80000000000001</v>
      </c>
      <c r="BI198" s="752">
        <f>INPUT!CZ113</f>
        <v>1.7725258493353158</v>
      </c>
      <c r="BJ198" s="750">
        <f>INPUT!DA113</f>
        <v>143.4</v>
      </c>
      <c r="BK198" s="752">
        <f>INPUT!DB113</f>
        <v>1.9914651493598834</v>
      </c>
      <c r="BL198" s="750">
        <f>INPUT!DC113</f>
        <v>167.2</v>
      </c>
      <c r="BM198" s="752">
        <f>INPUT!DD113</f>
        <v>14.677640603566511</v>
      </c>
      <c r="BN198" s="750">
        <f>INPUT!DE113</f>
        <v>137.69999999999999</v>
      </c>
      <c r="BO198" s="752">
        <f>INPUT!DF113</f>
        <v>4.9542682926829285</v>
      </c>
      <c r="BP198" s="750">
        <f>INPUT!DG113</f>
        <v>144.19999999999999</v>
      </c>
      <c r="BQ198" s="752">
        <f>INPUT!DH113</f>
        <v>4.6444121915819814</v>
      </c>
      <c r="BR198" s="750">
        <f>INPUT!DI113</f>
        <v>142.4</v>
      </c>
      <c r="BS198" s="752">
        <f>INPUT!DJ113</f>
        <v>-0.69735006973500324</v>
      </c>
      <c r="BT198" s="750">
        <f>INPUT!DK113</f>
        <v>141.6</v>
      </c>
      <c r="BU198" s="752">
        <f>INPUT!DL113</f>
        <v>-15.311004784688997</v>
      </c>
      <c r="BV198" s="750">
        <f>INPUT!DM113</f>
        <v>136.1</v>
      </c>
      <c r="BW198" s="752">
        <f>INPUT!DN113</f>
        <v>-1.1619462599854691</v>
      </c>
      <c r="BX198" s="750">
        <f>INPUT!DO113</f>
        <v>142.1</v>
      </c>
      <c r="BY198" s="752">
        <f>INPUT!DP113</f>
        <v>-1.4563106796116498</v>
      </c>
      <c r="BZ198" s="750">
        <f>INPUT!DQ113</f>
        <v>147.69999999999999</v>
      </c>
      <c r="CA198" s="752">
        <f>INPUT!DR113</f>
        <v>3.7219101123595388</v>
      </c>
      <c r="CB198" s="750">
        <f>INPUT!DS113</f>
        <v>155.19999999999999</v>
      </c>
      <c r="CC198" s="752">
        <f>INPUT!DT113</f>
        <v>9.6045197740112886</v>
      </c>
      <c r="CD198" s="750">
        <f>INPUT!DU113</f>
        <v>152</v>
      </c>
      <c r="CE198" s="752">
        <f>INPUT!DV113</f>
        <v>11.682586333578261</v>
      </c>
      <c r="CF198" s="750">
        <f>INPUT!DW113</f>
        <v>152.80000000000001</v>
      </c>
      <c r="CG198" s="752">
        <f>INPUT!DX113</f>
        <v>7.5299085151302014</v>
      </c>
      <c r="CH198" s="750">
        <f>INPUT!DY113</f>
        <v>171.4</v>
      </c>
      <c r="CI198" s="752">
        <f>INPUT!DZ113</f>
        <v>16.046039268788093</v>
      </c>
      <c r="CJ198" s="750">
        <f>INPUT!EA113</f>
        <v>171.7</v>
      </c>
      <c r="CK198" s="752">
        <f>INPUT!EB113</f>
        <v>10.631443298969078</v>
      </c>
      <c r="CL198" s="750">
        <f>INPUT!EC113</f>
        <v>178.9</v>
      </c>
      <c r="CM198" s="752">
        <f>INPUT!ED113</f>
        <v>17.69736842105263</v>
      </c>
      <c r="CN198" s="750">
        <f>INPUT!EE113</f>
        <v>177</v>
      </c>
      <c r="CO198" s="752">
        <f>INPUT!EF113</f>
        <v>15.837696335078522</v>
      </c>
      <c r="CP198" s="750">
        <f>INPUT!EG113</f>
        <v>173</v>
      </c>
      <c r="CQ198" s="752">
        <f>INPUT!EH113</f>
        <v>0.93348891481912499</v>
      </c>
      <c r="CR198" s="750">
        <f>INPUT!EI113</f>
        <v>166.2</v>
      </c>
      <c r="CS198" s="752">
        <f>INPUT!EJ113</f>
        <v>-3.2032615026208466</v>
      </c>
      <c r="CT198" s="750">
        <f>INPUT!EK113</f>
        <v>172.82484199999999</v>
      </c>
      <c r="CU198" s="752">
        <f>INPUT!EL113</f>
        <v>-3.3958401341531719</v>
      </c>
      <c r="CV198" s="750">
        <f>INPUT!EM113</f>
        <v>175.93568915599997</v>
      </c>
      <c r="CW198" s="752">
        <f>INPUT!EN113</f>
        <v>-0.60130556158194404</v>
      </c>
      <c r="CX198" s="750">
        <f>INPUT!EO113</f>
        <v>179.10253156080799</v>
      </c>
      <c r="CY198" s="752">
        <f>INPUT!EP113</f>
        <v>3.5274748906404474</v>
      </c>
      <c r="CZ198" s="750">
        <f>INPUT!EQ113</f>
        <v>181.78906953422012</v>
      </c>
      <c r="DA198" s="752">
        <f>INPUT!ER113</f>
        <v>9.3797048942359407</v>
      </c>
      <c r="DB198" s="793"/>
      <c r="DC198" s="750">
        <f>INPUT!FB113</f>
        <v>0</v>
      </c>
      <c r="DD198" s="767">
        <f>INPUT!FC113</f>
        <v>0</v>
      </c>
      <c r="DE198" s="750">
        <f>INPUT!FD113</f>
        <v>635.1</v>
      </c>
      <c r="DF198" s="767" t="str">
        <f>INPUT!FE113</f>
        <v>NA</v>
      </c>
      <c r="DG198" s="750">
        <f>INPUT!FF113</f>
        <v>745.4</v>
      </c>
      <c r="DH198" s="767">
        <f>INPUT!FG113</f>
        <v>17.367343725397568</v>
      </c>
      <c r="DI198" s="750">
        <f>INPUT!FH113</f>
        <v>837</v>
      </c>
      <c r="DJ198" s="767">
        <f>INPUT!FI113</f>
        <v>12.288704051515964</v>
      </c>
      <c r="DK198" s="750">
        <f>INPUT!FJ113</f>
        <v>907.4</v>
      </c>
      <c r="DL198" s="752">
        <f>INPUT!FK113</f>
        <v>8.4109916367980819</v>
      </c>
      <c r="DM198" s="750">
        <f>INPUT!FL113</f>
        <v>982.3</v>
      </c>
      <c r="DN198" s="752">
        <f>INPUT!FM113</f>
        <v>8.2543530967599708</v>
      </c>
      <c r="DO198" s="750">
        <f>INPUT!FN113</f>
        <v>1067.4000000000001</v>
      </c>
      <c r="DP198" s="752">
        <f>INPUT!FO113</f>
        <v>8.6633411381451744</v>
      </c>
      <c r="DQ198" s="750">
        <f>INPUT!FP113</f>
        <v>1126.9000000000001</v>
      </c>
      <c r="DR198" s="752">
        <f>INPUT!FQ113</f>
        <v>5.5742926737867737</v>
      </c>
      <c r="DS198" s="750">
        <f>INPUT!FR113</f>
        <v>513.79999999999995</v>
      </c>
      <c r="DT198" s="752" t="str">
        <f>INPUT!FS113</f>
        <v>NM</v>
      </c>
      <c r="DU198" s="750">
        <f>INPUT!FT113</f>
        <v>536.69999999999993</v>
      </c>
      <c r="DV198" s="752">
        <f>INPUT!FU113</f>
        <v>4.4569871545348416</v>
      </c>
      <c r="DW198" s="750">
        <f>INPUT!FV113</f>
        <v>536.79999999999995</v>
      </c>
      <c r="DX198" s="752">
        <f>INPUT!FW113</f>
        <v>1.8632383081795822E-2</v>
      </c>
      <c r="DY198" s="750">
        <f>INPUT!FX113</f>
        <v>560.60000000000014</v>
      </c>
      <c r="DZ198" s="752">
        <f>INPUT!FY113</f>
        <v>4.4336810730253751</v>
      </c>
      <c r="EA198" s="750">
        <f>INPUT!FZ113</f>
        <v>579.59999999999991</v>
      </c>
      <c r="EB198" s="752">
        <f>INPUT!GA113</f>
        <v>3.3892258294683897</v>
      </c>
      <c r="EC198" s="750">
        <f>INPUT!GB113</f>
        <v>565.9</v>
      </c>
      <c r="ED198" s="752">
        <f>INPUT!GC113</f>
        <v>-2.3636991028295307</v>
      </c>
      <c r="EE198" s="750">
        <f>INPUT!GD113</f>
        <v>581.09999999999991</v>
      </c>
      <c r="EF198" s="752">
        <f>INPUT!GE113</f>
        <v>2.6859869234846956</v>
      </c>
      <c r="EG198" s="750">
        <f>INPUT!GF113</f>
        <v>647.90000000000009</v>
      </c>
      <c r="EH198" s="752">
        <f>INPUT!GG113</f>
        <v>11.495439683359177</v>
      </c>
      <c r="EI198" s="750">
        <f>INPUT!GH113</f>
        <v>695.09999999999991</v>
      </c>
      <c r="EJ198" s="752">
        <f>INPUT!GI113</f>
        <v>7.285074857231022</v>
      </c>
      <c r="EK198" s="750">
        <f>INPUT!GJ113</f>
        <v>709.65213225102798</v>
      </c>
      <c r="EL198" s="752">
        <f>INPUT!GK113</f>
        <v>2.0935307511189771</v>
      </c>
      <c r="EM198" s="750">
        <f>INPUT!GL113</f>
        <v>745.13473886357929</v>
      </c>
      <c r="EN198" s="752">
        <f>INPUT!GM113</f>
        <v>4.9999999999999822</v>
      </c>
      <c r="EO198" s="750">
        <f>INPUT!GN113</f>
        <v>782.39147580675842</v>
      </c>
      <c r="EP198" s="752">
        <f>INPUT!GO113</f>
        <v>5.0000000000000266</v>
      </c>
      <c r="EQ198" s="750">
        <f>INPUT!GP113</f>
        <v>821.5110495970963</v>
      </c>
      <c r="ER198" s="752">
        <f>INPUT!GQ113</f>
        <v>5.0000000000000044</v>
      </c>
      <c r="ES198" s="750">
        <f>INPUT!GR113</f>
        <v>864.39999061243918</v>
      </c>
      <c r="ET198" s="752">
        <f>INPUT!GS113</f>
        <v>5.2207381795263075</v>
      </c>
      <c r="EU198" s="767">
        <f>INPUT!GT113</f>
        <v>4.4560245070069726</v>
      </c>
      <c r="EV198" s="710"/>
    </row>
    <row r="199" spans="1:152" ht="12.75" hidden="1" customHeight="1" outlineLevel="1" x14ac:dyDescent="0.2">
      <c r="A199" s="754" t="str">
        <f>INPUT!B114</f>
        <v xml:space="preserve">Commissions </v>
      </c>
      <c r="B199" s="750">
        <f>INPUT!AS114</f>
        <v>64.8</v>
      </c>
      <c r="C199" s="767">
        <f>INPUT!AT114</f>
        <v>10.580204778156975</v>
      </c>
      <c r="D199" s="750">
        <f>INPUT!AU114</f>
        <v>57</v>
      </c>
      <c r="E199" s="767">
        <f>INPUT!AV114</f>
        <v>-4.6822742474916357</v>
      </c>
      <c r="F199" s="750">
        <f>INPUT!AW114</f>
        <v>58.3</v>
      </c>
      <c r="G199" s="767">
        <f>INPUT!AX114</f>
        <v>5.0450450450450379</v>
      </c>
      <c r="H199" s="750">
        <f>INPUT!AY114</f>
        <v>59.2</v>
      </c>
      <c r="I199" s="752">
        <f>INPUT!AZ114</f>
        <v>8.0291970802919721</v>
      </c>
      <c r="J199" s="750">
        <f>INPUT!BA114</f>
        <v>61.5</v>
      </c>
      <c r="K199" s="752">
        <f>INPUT!BB114</f>
        <v>-5.0925925925925934</v>
      </c>
      <c r="L199" s="750">
        <f>INPUT!BC114</f>
        <v>59.6</v>
      </c>
      <c r="M199" s="752">
        <f>INPUT!BD114</f>
        <v>4.5614035087719218</v>
      </c>
      <c r="N199" s="750">
        <f>INPUT!BE114</f>
        <v>62.6</v>
      </c>
      <c r="O199" s="752">
        <f>INPUT!BF114</f>
        <v>7.3756432246998349</v>
      </c>
      <c r="P199" s="750">
        <f>INPUT!BG114</f>
        <v>61.4</v>
      </c>
      <c r="Q199" s="752">
        <f>INPUT!BH114</f>
        <v>3.716216216216206</v>
      </c>
      <c r="R199" s="750">
        <f>INPUT!BI114</f>
        <v>67.8</v>
      </c>
      <c r="S199" s="752">
        <f>INPUT!BJ114</f>
        <v>10.243902439024378</v>
      </c>
      <c r="T199" s="750">
        <f>INPUT!BK114</f>
        <v>67.900000000000006</v>
      </c>
      <c r="U199" s="752">
        <f>INPUT!BL114</f>
        <v>13.926174496644306</v>
      </c>
      <c r="V199" s="750">
        <f>INPUT!BM114</f>
        <v>65.7</v>
      </c>
      <c r="W199" s="752">
        <f>INPUT!BN114</f>
        <v>4.9520766773162972</v>
      </c>
      <c r="X199" s="750">
        <f>INPUT!BO114</f>
        <v>65.900000000000006</v>
      </c>
      <c r="Y199" s="752">
        <f>INPUT!BP114</f>
        <v>7.3289902280130326</v>
      </c>
      <c r="Z199" s="750">
        <f>INPUT!BQ114</f>
        <v>72.3</v>
      </c>
      <c r="AA199" s="752">
        <f>INPUT!BR114</f>
        <v>6.6371681415929196</v>
      </c>
      <c r="AB199" s="750">
        <f>INPUT!BS114</f>
        <v>69.400000000000006</v>
      </c>
      <c r="AC199" s="752">
        <f>INPUT!BT114</f>
        <v>2.2091310751104487</v>
      </c>
      <c r="AD199" s="750">
        <f>INPUT!BU114</f>
        <v>63.7</v>
      </c>
      <c r="AE199" s="752">
        <f>INPUT!BV114</f>
        <v>-3.0441400304414001</v>
      </c>
      <c r="AF199" s="750">
        <f>INPUT!BW114</f>
        <v>63.6</v>
      </c>
      <c r="AG199" s="752">
        <f>INPUT!BX114</f>
        <v>-3.490136570561464</v>
      </c>
      <c r="AH199" s="750">
        <f>INPUT!BY114</f>
        <v>56.9</v>
      </c>
      <c r="AI199" s="752">
        <f>INPUT!BZ114</f>
        <v>-21.300138312586448</v>
      </c>
      <c r="AJ199" s="750">
        <f>INPUT!CA114</f>
        <v>53.2</v>
      </c>
      <c r="AK199" s="752">
        <f>INPUT!CB114</f>
        <v>-23.342939481268012</v>
      </c>
      <c r="AL199" s="750">
        <f>INPUT!CC114</f>
        <v>52.6</v>
      </c>
      <c r="AM199" s="752">
        <f>INPUT!CD114</f>
        <v>-17.425431711146</v>
      </c>
      <c r="AN199" s="750">
        <f>INPUT!CE114</f>
        <v>48.9</v>
      </c>
      <c r="AO199" s="752">
        <f>INPUT!CF114</f>
        <v>-23.113207547169811</v>
      </c>
      <c r="AP199" s="750">
        <f>INPUT!CG114</f>
        <v>58.7</v>
      </c>
      <c r="AQ199" s="752">
        <f>INPUT!CH114</f>
        <v>3.1634446397188043</v>
      </c>
      <c r="AR199" s="750">
        <f>INPUT!CI114</f>
        <v>55.3</v>
      </c>
      <c r="AS199" s="752">
        <f>INPUT!CJ114</f>
        <v>3.9473684210526105</v>
      </c>
      <c r="AT199" s="750">
        <f>INPUT!CK114</f>
        <v>55.4</v>
      </c>
      <c r="AU199" s="752">
        <f>INPUT!CL114</f>
        <v>5.323193916349811</v>
      </c>
      <c r="AV199" s="750">
        <f>INPUT!CM114</f>
        <v>49.6</v>
      </c>
      <c r="AW199" s="752">
        <f>INPUT!CN114</f>
        <v>1.4314928425357865</v>
      </c>
      <c r="AX199" s="750">
        <f>INPUT!CO114</f>
        <v>62.7</v>
      </c>
      <c r="AY199" s="752">
        <f>INPUT!CP114</f>
        <v>6.8143100511073307</v>
      </c>
      <c r="AZ199" s="750">
        <f>INPUT!CQ114</f>
        <v>63.5</v>
      </c>
      <c r="BA199" s="752">
        <f>INPUT!CR114</f>
        <v>14.828209764918633</v>
      </c>
      <c r="BB199" s="750">
        <f>INPUT!CS114</f>
        <v>58.9</v>
      </c>
      <c r="BC199" s="752">
        <f>INPUT!CT114</f>
        <v>6.3176895306859215</v>
      </c>
      <c r="BD199" s="750">
        <f>INPUT!CU114</f>
        <v>58.5</v>
      </c>
      <c r="BE199" s="752">
        <f>INPUT!CV114</f>
        <v>17.943548387096776</v>
      </c>
      <c r="BF199" s="750">
        <f>INPUT!CW114</f>
        <v>63.9</v>
      </c>
      <c r="BG199" s="752">
        <f>INPUT!CX114</f>
        <v>1.9138755980861122</v>
      </c>
      <c r="BH199" s="750">
        <f>INPUT!CY114</f>
        <v>54.8</v>
      </c>
      <c r="BI199" s="752">
        <f>INPUT!CZ114</f>
        <v>-13.700787401574811</v>
      </c>
      <c r="BJ199" s="750">
        <f>INPUT!DA114</f>
        <v>56.6</v>
      </c>
      <c r="BK199" s="752">
        <f>INPUT!DB114</f>
        <v>-3.9049235993208753</v>
      </c>
      <c r="BL199" s="750">
        <f>INPUT!DC114</f>
        <v>57</v>
      </c>
      <c r="BM199" s="752">
        <f>INPUT!DD114</f>
        <v>-2.5641025641025661</v>
      </c>
      <c r="BN199" s="750">
        <f>INPUT!DE114</f>
        <v>66.599999999999994</v>
      </c>
      <c r="BO199" s="752">
        <f>INPUT!DF114</f>
        <v>4.2253521126760507</v>
      </c>
      <c r="BP199" s="750">
        <f>INPUT!DG114</f>
        <v>61.9</v>
      </c>
      <c r="BQ199" s="752">
        <f>INPUT!DH114</f>
        <v>12.956204379562042</v>
      </c>
      <c r="BR199" s="750">
        <f>INPUT!DI114</f>
        <v>62.3</v>
      </c>
      <c r="BS199" s="752">
        <f>INPUT!DJ114</f>
        <v>10.070671378091856</v>
      </c>
      <c r="BT199" s="750">
        <f>INPUT!DK114</f>
        <v>63.4</v>
      </c>
      <c r="BU199" s="752">
        <f>INPUT!DL114</f>
        <v>11.228070175438587</v>
      </c>
      <c r="BV199" s="750">
        <f>INPUT!DM114</f>
        <v>71.099999999999994</v>
      </c>
      <c r="BW199" s="752">
        <f>INPUT!DN114</f>
        <v>6.7567567567567544</v>
      </c>
      <c r="BX199" s="750">
        <f>INPUT!DO114</f>
        <v>66.3</v>
      </c>
      <c r="BY199" s="752">
        <f>INPUT!DP114</f>
        <v>7.1082390953150165</v>
      </c>
      <c r="BZ199" s="750">
        <f>INPUT!DQ114</f>
        <v>65</v>
      </c>
      <c r="CA199" s="752">
        <f>INPUT!DR114</f>
        <v>4.3338683788122001</v>
      </c>
      <c r="CB199" s="750">
        <f>INPUT!DS114</f>
        <v>66.400000000000006</v>
      </c>
      <c r="CC199" s="752">
        <f>INPUT!DT114</f>
        <v>4.7318611987381853</v>
      </c>
      <c r="CD199" s="750">
        <f>INPUT!DU114</f>
        <v>71.5</v>
      </c>
      <c r="CE199" s="752">
        <f>INPUT!DV114</f>
        <v>0.56258790436005679</v>
      </c>
      <c r="CF199" s="750">
        <f>INPUT!DW114</f>
        <v>69.5</v>
      </c>
      <c r="CG199" s="752">
        <f>INPUT!DX114</f>
        <v>4.8265460030165963</v>
      </c>
      <c r="CH199" s="750">
        <f>INPUT!DY114</f>
        <v>69.7</v>
      </c>
      <c r="CI199" s="752">
        <f>INPUT!DZ114</f>
        <v>7.2307692307692406</v>
      </c>
      <c r="CJ199" s="750">
        <f>INPUT!EA114</f>
        <v>64.7</v>
      </c>
      <c r="CK199" s="752">
        <f>INPUT!EB114</f>
        <v>-2.5602409638554202</v>
      </c>
      <c r="CL199" s="750">
        <f>INPUT!EC114</f>
        <v>74.2</v>
      </c>
      <c r="CM199" s="752">
        <f>INPUT!ED114</f>
        <v>3.7762237762237749</v>
      </c>
      <c r="CN199" s="750">
        <f>INPUT!EE114</f>
        <v>67.7</v>
      </c>
      <c r="CO199" s="752">
        <f>INPUT!EF114</f>
        <v>-2.5899280575539474</v>
      </c>
      <c r="CP199" s="750">
        <f>INPUT!EG114</f>
        <v>65</v>
      </c>
      <c r="CQ199" s="752">
        <f>INPUT!EH114</f>
        <v>-6.7431850789096188</v>
      </c>
      <c r="CR199" s="750">
        <f>INPUT!EI114</f>
        <v>70.7</v>
      </c>
      <c r="CS199" s="752">
        <f>INPUT!EJ114</f>
        <v>9.2735703245749654</v>
      </c>
      <c r="CT199" s="750">
        <f>INPUT!EK114</f>
        <v>70.121570599999998</v>
      </c>
      <c r="CU199" s="752">
        <f>INPUT!EL114</f>
        <v>-5.496535579514827</v>
      </c>
      <c r="CV199" s="750">
        <f>INPUT!EM114</f>
        <v>71.383758870799994</v>
      </c>
      <c r="CW199" s="752">
        <f>INPUT!EN114</f>
        <v>5.4412981843426689</v>
      </c>
      <c r="CX199" s="750">
        <f>INPUT!EO114</f>
        <v>72.668666530474397</v>
      </c>
      <c r="CY199" s="752">
        <f>INPUT!EP114</f>
        <v>11.797948508422152</v>
      </c>
      <c r="CZ199" s="750">
        <f>INPUT!EQ114</f>
        <v>73.758696528431514</v>
      </c>
      <c r="DA199" s="752">
        <f>INPUT!ER114</f>
        <v>4.3263034348394847</v>
      </c>
      <c r="DB199" s="793"/>
      <c r="DC199" s="750">
        <f>INPUT!FB114</f>
        <v>0</v>
      </c>
      <c r="DD199" s="767">
        <f>INPUT!FC114</f>
        <v>0</v>
      </c>
      <c r="DE199" s="750">
        <f>INPUT!FD114</f>
        <v>213.6</v>
      </c>
      <c r="DF199" s="767" t="str">
        <f>INPUT!FE114</f>
        <v>NA</v>
      </c>
      <c r="DG199" s="750">
        <f>INPUT!FF114</f>
        <v>235.5</v>
      </c>
      <c r="DH199" s="767">
        <f>INPUT!FG114</f>
        <v>10.252808988764039</v>
      </c>
      <c r="DI199" s="750">
        <f>INPUT!FH114</f>
        <v>233.1</v>
      </c>
      <c r="DJ199" s="767">
        <f>INPUT!FI114</f>
        <v>-1.0191082802547768</v>
      </c>
      <c r="DK199" s="750">
        <f>INPUT!FJ114</f>
        <v>228.7</v>
      </c>
      <c r="DL199" s="752">
        <f>INPUT!FK114</f>
        <v>-1.8876018876018863</v>
      </c>
      <c r="DM199" s="750">
        <f>INPUT!FL114</f>
        <v>239.3</v>
      </c>
      <c r="DN199" s="752">
        <f>INPUT!FM114</f>
        <v>4.6348928727590888</v>
      </c>
      <c r="DO199" s="750">
        <f>INPUT!FN114</f>
        <v>245.1</v>
      </c>
      <c r="DP199" s="752">
        <f>INPUT!FO114</f>
        <v>2.4237358963643985</v>
      </c>
      <c r="DQ199" s="750">
        <f>INPUT!FP114</f>
        <v>267.29999999999995</v>
      </c>
      <c r="DR199" s="752">
        <f>INPUT!FQ114</f>
        <v>9.0575275397796631</v>
      </c>
      <c r="DS199" s="750">
        <f>INPUT!FR114</f>
        <v>200.7</v>
      </c>
      <c r="DT199" s="752">
        <f>INPUT!FS114</f>
        <v>-24.915824915824903</v>
      </c>
      <c r="DU199" s="750">
        <f>INPUT!FT114</f>
        <v>211.6</v>
      </c>
      <c r="DV199" s="752">
        <f>INPUT!FU114</f>
        <v>5.4309915296462341</v>
      </c>
      <c r="DW199" s="750">
        <f>INPUT!FV114</f>
        <v>219</v>
      </c>
      <c r="DX199" s="752">
        <f>INPUT!FW114</f>
        <v>3.4971644612476371</v>
      </c>
      <c r="DY199" s="750">
        <f>INPUT!FX114</f>
        <v>243.6</v>
      </c>
      <c r="DZ199" s="752">
        <f>INPUT!FY114</f>
        <v>11.232876712328753</v>
      </c>
      <c r="EA199" s="750">
        <f>INPUT!FZ114</f>
        <v>232.29999999999998</v>
      </c>
      <c r="EB199" s="752">
        <f>INPUT!GA114</f>
        <v>-4.6387520525451587</v>
      </c>
      <c r="EC199" s="750">
        <f>INPUT!GB114</f>
        <v>254.20000000000002</v>
      </c>
      <c r="ED199" s="752">
        <f>INPUT!GC114</f>
        <v>9.4274644855790068</v>
      </c>
      <c r="EE199" s="750">
        <f>INPUT!GD114</f>
        <v>268.79999999999995</v>
      </c>
      <c r="EF199" s="752">
        <f>INPUT!GE114</f>
        <v>5.7435090479936779</v>
      </c>
      <c r="EG199" s="750">
        <f>INPUT!GF114</f>
        <v>275.39999999999998</v>
      </c>
      <c r="EH199" s="752">
        <f>INPUT!GG114</f>
        <v>2.4553571428571619</v>
      </c>
      <c r="EI199" s="750">
        <f>INPUT!GH114</f>
        <v>277.60000000000002</v>
      </c>
      <c r="EJ199" s="752">
        <f>INPUT!GI114</f>
        <v>0.79883805374003636</v>
      </c>
      <c r="EK199" s="750">
        <f>INPUT!GJ114</f>
        <v>287.93269252970595</v>
      </c>
      <c r="EL199" s="752">
        <f>INPUT!GK114</f>
        <v>3.7221514876462303</v>
      </c>
      <c r="EM199" s="750">
        <f>INPUT!GL114</f>
        <v>302.32932715619125</v>
      </c>
      <c r="EN199" s="752">
        <f>INPUT!GM114</f>
        <v>5.0000000000000044</v>
      </c>
      <c r="EO199" s="750">
        <f>INPUT!GN114</f>
        <v>317.44579351400085</v>
      </c>
      <c r="EP199" s="752">
        <f>INPUT!GO114</f>
        <v>5.0000000000000044</v>
      </c>
      <c r="EQ199" s="750">
        <f>INPUT!GP114</f>
        <v>333.31808318970087</v>
      </c>
      <c r="ER199" s="752">
        <f>INPUT!GQ114</f>
        <v>4.9999999999999822</v>
      </c>
      <c r="ES199" s="750">
        <f>INPUT!GR114</f>
        <v>349.9839873491859</v>
      </c>
      <c r="ET199" s="752">
        <f>INPUT!GS114</f>
        <v>5.0000000000000044</v>
      </c>
      <c r="EU199" s="767">
        <f>INPUT!GT114</f>
        <v>4.743177023058176</v>
      </c>
      <c r="EV199" s="710"/>
    </row>
    <row r="200" spans="1:152" ht="12.75" hidden="1" customHeight="1" outlineLevel="1" x14ac:dyDescent="0.2">
      <c r="A200" s="754" t="str">
        <f>INPUT!B115</f>
        <v>Net Change in DPAC</v>
      </c>
      <c r="B200" s="750">
        <f>INPUT!AS115</f>
        <v>-13.399999999999999</v>
      </c>
      <c r="C200" s="767">
        <f>INPUT!AT115</f>
        <v>-22.988505747126442</v>
      </c>
      <c r="D200" s="750">
        <f>INPUT!AU115</f>
        <v>-9.9000000000000057</v>
      </c>
      <c r="E200" s="767">
        <f>INPUT!AV115</f>
        <v>-28.776978417266143</v>
      </c>
      <c r="F200" s="750">
        <f>INPUT!AW115</f>
        <v>-11.899999999999999</v>
      </c>
      <c r="G200" s="767">
        <f>INPUT!AX115</f>
        <v>-20.134228187919469</v>
      </c>
      <c r="H200" s="750">
        <f>INPUT!AY115</f>
        <v>-17.899999999999999</v>
      </c>
      <c r="I200" s="752">
        <f>INPUT!AZ115</f>
        <v>7.1856287425149823</v>
      </c>
      <c r="J200" s="750">
        <f>INPUT!BA115</f>
        <v>-11.399999999999999</v>
      </c>
      <c r="K200" s="752">
        <f>INPUT!BB115</f>
        <v>-14.925373134328357</v>
      </c>
      <c r="L200" s="750">
        <f>INPUT!BC115</f>
        <v>-5.0999999999999943</v>
      </c>
      <c r="M200" s="752">
        <f>INPUT!BD115</f>
        <v>-48.484848484848577</v>
      </c>
      <c r="N200" s="750">
        <f>INPUT!BE115</f>
        <v>-8.3999999999999986</v>
      </c>
      <c r="O200" s="752">
        <f>INPUT!BF115</f>
        <v>-29.411764705882359</v>
      </c>
      <c r="P200" s="750">
        <f>INPUT!BG115</f>
        <v>-11.300000000000004</v>
      </c>
      <c r="Q200" s="752">
        <f>INPUT!BH115</f>
        <v>-36.87150837988824</v>
      </c>
      <c r="R200" s="750">
        <f>INPUT!BI115</f>
        <v>-8.5</v>
      </c>
      <c r="S200" s="752">
        <f>INPUT!BJ115</f>
        <v>-25.438596491228061</v>
      </c>
      <c r="T200" s="750">
        <f>INPUT!BK115</f>
        <v>-14.299999999999997</v>
      </c>
      <c r="U200" s="752" t="str">
        <f>INPUT!BL115</f>
        <v>NM</v>
      </c>
      <c r="V200" s="750">
        <f>INPUT!BM115</f>
        <v>-9.7999999999999972</v>
      </c>
      <c r="W200" s="752">
        <f>INPUT!BN115</f>
        <v>16.66666666666665</v>
      </c>
      <c r="X200" s="750">
        <f>INPUT!BO115</f>
        <v>-8.8000000000000043</v>
      </c>
      <c r="Y200" s="752">
        <f>INPUT!BP115</f>
        <v>-22.123893805309724</v>
      </c>
      <c r="Z200" s="750">
        <f>INPUT!BQ115</f>
        <v>-12.200000000000003</v>
      </c>
      <c r="AA200" s="752">
        <f>INPUT!BR115</f>
        <v>43.529411764705905</v>
      </c>
      <c r="AB200" s="750">
        <f>INPUT!BS115</f>
        <v>-4.5</v>
      </c>
      <c r="AC200" s="752" t="str">
        <f>INPUT!BT115</f>
        <v>NM</v>
      </c>
      <c r="AD200" s="750">
        <f>INPUT!BU115</f>
        <v>-1</v>
      </c>
      <c r="AE200" s="752" t="str">
        <f>INPUT!BV115</f>
        <v>NM</v>
      </c>
      <c r="AF200" s="750">
        <f>INPUT!BW115</f>
        <v>-3.1999999999999957</v>
      </c>
      <c r="AG200" s="752" t="str">
        <f>INPUT!BX115</f>
        <v>NM</v>
      </c>
      <c r="AH200" s="750">
        <f>INPUT!BY115</f>
        <v>-4.5</v>
      </c>
      <c r="AI200" s="752" t="str">
        <f>INPUT!BZ115</f>
        <v>NM</v>
      </c>
      <c r="AJ200" s="750">
        <f>INPUT!CA115</f>
        <v>-5.3999999999999986</v>
      </c>
      <c r="AK200" s="752">
        <f>INPUT!CB115</f>
        <v>19.999999999999972</v>
      </c>
      <c r="AL200" s="750">
        <f>INPUT!CC115</f>
        <v>-4.8999999999999986</v>
      </c>
      <c r="AM200" s="752" t="str">
        <f>INPUT!CD115</f>
        <v>NM</v>
      </c>
      <c r="AN200" s="750">
        <f>INPUT!CE115</f>
        <v>-1.3999999999999986</v>
      </c>
      <c r="AO200" s="752" t="str">
        <f>INPUT!CF115</f>
        <v>NM</v>
      </c>
      <c r="AP200" s="750">
        <f>INPUT!CG115</f>
        <v>-5.5</v>
      </c>
      <c r="AQ200" s="752">
        <f>INPUT!CH115</f>
        <v>22.222222222222232</v>
      </c>
      <c r="AR200" s="750">
        <f>INPUT!CI115</f>
        <v>-5.7000000000000028</v>
      </c>
      <c r="AS200" s="752">
        <f>INPUT!CJ115</f>
        <v>5.5555555555556468</v>
      </c>
      <c r="AT200" s="750">
        <f>INPUT!CK115</f>
        <v>-12.199999999999996</v>
      </c>
      <c r="AU200" s="752" t="str">
        <f>INPUT!CL115</f>
        <v>NM</v>
      </c>
      <c r="AV200" s="750">
        <f>INPUT!CM115</f>
        <v>-2.3999999999999986</v>
      </c>
      <c r="AW200" s="752">
        <f>INPUT!CN115</f>
        <v>71.428571428571502</v>
      </c>
      <c r="AX200" s="750">
        <f>INPUT!CO115</f>
        <v>-4.7000000000000028</v>
      </c>
      <c r="AY200" s="752">
        <f>INPUT!CP115</f>
        <v>-14.545454545454495</v>
      </c>
      <c r="AZ200" s="750">
        <f>INPUT!CQ115</f>
        <v>-8.1000000000000014</v>
      </c>
      <c r="BA200" s="752">
        <f>INPUT!CR115</f>
        <v>42.10526315789469</v>
      </c>
      <c r="BB200" s="750">
        <f>INPUT!CS115</f>
        <v>-11.700000000000003</v>
      </c>
      <c r="BC200" s="752">
        <f>INPUT!CT115</f>
        <v>-4.0983606557376433</v>
      </c>
      <c r="BD200" s="750">
        <f>INPUT!CU115</f>
        <v>-11.400000000000006</v>
      </c>
      <c r="BE200" s="752" t="str">
        <f>INPUT!CV115</f>
        <v>NM</v>
      </c>
      <c r="BF200" s="750">
        <f>INPUT!CW115</f>
        <v>15.800000000000004</v>
      </c>
      <c r="BG200" s="752" t="str">
        <f>INPUT!CX115</f>
        <v>NM</v>
      </c>
      <c r="BH200" s="750">
        <f>INPUT!CY115</f>
        <v>-1.6000000000000014</v>
      </c>
      <c r="BI200" s="752" t="str">
        <f>INPUT!CZ115</f>
        <v>NM</v>
      </c>
      <c r="BJ200" s="750">
        <f>INPUT!DA115</f>
        <v>-9.1000000000000014</v>
      </c>
      <c r="BK200" s="752">
        <f>INPUT!DB115</f>
        <v>-22.222222222222232</v>
      </c>
      <c r="BL200" s="750">
        <f>INPUT!DC115</f>
        <v>-9.5</v>
      </c>
      <c r="BM200" s="752">
        <f>INPUT!DD115</f>
        <v>-16.666666666666707</v>
      </c>
      <c r="BN200" s="750">
        <f>INPUT!DE115</f>
        <v>1.8999999999999986</v>
      </c>
      <c r="BO200" s="752" t="str">
        <f>INPUT!DF115</f>
        <v>NM</v>
      </c>
      <c r="BP200" s="750">
        <f>INPUT!DG115</f>
        <v>-5.3999999999999986</v>
      </c>
      <c r="BQ200" s="752" t="str">
        <f>INPUT!DH115</f>
        <v>NM</v>
      </c>
      <c r="BR200" s="750">
        <f>INPUT!DI115</f>
        <v>-7.2000000000000028</v>
      </c>
      <c r="BS200" s="752">
        <f>INPUT!DJ115</f>
        <v>-20.879120879120862</v>
      </c>
      <c r="BT200" s="750">
        <f>INPUT!DK115</f>
        <v>-10.100000000000001</v>
      </c>
      <c r="BU200" s="752">
        <f>INPUT!DL115</f>
        <v>6.3157894736842302</v>
      </c>
      <c r="BV200" s="750">
        <f>INPUT!DM115</f>
        <v>6.7999999999999972</v>
      </c>
      <c r="BW200" s="752" t="str">
        <f>INPUT!DN115</f>
        <v>NM</v>
      </c>
      <c r="BX200" s="750">
        <f>INPUT!DO115</f>
        <v>-3.6000000000000014</v>
      </c>
      <c r="BY200" s="752">
        <f>INPUT!DP115</f>
        <v>-33.333333333333293</v>
      </c>
      <c r="BZ200" s="750">
        <f>INPUT!DQ115</f>
        <v>-5.7999999999999972</v>
      </c>
      <c r="CA200" s="752">
        <f>INPUT!DR115</f>
        <v>-19.444444444444521</v>
      </c>
      <c r="CB200" s="750">
        <f>INPUT!DS115</f>
        <v>-15.800000000000004</v>
      </c>
      <c r="CC200" s="752">
        <f>INPUT!DT115</f>
        <v>56.435643564356461</v>
      </c>
      <c r="CD200" s="750">
        <f>INPUT!DU115</f>
        <v>-0.80000000000000426</v>
      </c>
      <c r="CE200" s="752" t="str">
        <f>INPUT!DV115</f>
        <v>NM</v>
      </c>
      <c r="CF200" s="750">
        <f>INPUT!DW115</f>
        <v>-3.6000000000000014</v>
      </c>
      <c r="CG200" s="752">
        <f>INPUT!DX115</f>
        <v>0</v>
      </c>
      <c r="CH200" s="750">
        <f>INPUT!DY115</f>
        <v>-7.7000000000000028</v>
      </c>
      <c r="CI200" s="752">
        <f>INPUT!DZ115</f>
        <v>32.758620689655295</v>
      </c>
      <c r="CJ200" s="750">
        <f>INPUT!EA115</f>
        <v>-9.7999999999999972</v>
      </c>
      <c r="CK200" s="752">
        <f>INPUT!EB115</f>
        <v>-37.974683544303836</v>
      </c>
      <c r="CL200" s="750">
        <f>INPUT!EC115</f>
        <v>-0.5</v>
      </c>
      <c r="CM200" s="752">
        <f>INPUT!ED115</f>
        <v>-37.500000000000334</v>
      </c>
      <c r="CN200" s="750">
        <f>INPUT!EE115</f>
        <v>3.4000000000000057</v>
      </c>
      <c r="CO200" s="752" t="str">
        <f>INPUT!EF115</f>
        <v>NM</v>
      </c>
      <c r="CP200" s="750">
        <f>INPUT!EG115</f>
        <v>-9</v>
      </c>
      <c r="CQ200" s="752">
        <f>INPUT!EH115</f>
        <v>16.883116883116834</v>
      </c>
      <c r="CR200" s="750">
        <f>INPUT!EI115</f>
        <v>-14.5</v>
      </c>
      <c r="CS200" s="752">
        <f>INPUT!EJ115</f>
        <v>47.959183673469433</v>
      </c>
      <c r="CT200" s="750">
        <f>INPUT!EK115</f>
        <v>2.5</v>
      </c>
      <c r="CU200" s="752" t="str">
        <f>INPUT!EL115</f>
        <v>NM</v>
      </c>
      <c r="CV200" s="750">
        <f>INPUT!EM115</f>
        <v>2.5374999999999996</v>
      </c>
      <c r="CW200" s="752">
        <f>INPUT!EN115</f>
        <v>-25.36764705882366</v>
      </c>
      <c r="CX200" s="750">
        <f>INPUT!EO115</f>
        <v>2.5755624999999993</v>
      </c>
      <c r="CY200" s="752" t="str">
        <f>INPUT!EP115</f>
        <v>NM</v>
      </c>
      <c r="CZ200" s="750">
        <f>INPUT!EQ115</f>
        <v>2.614195937499999</v>
      </c>
      <c r="DA200" s="752" t="str">
        <f>INPUT!ER115</f>
        <v>NM</v>
      </c>
      <c r="DB200" s="793"/>
      <c r="DC200" s="750">
        <f>INPUT!FB115</f>
        <v>0</v>
      </c>
      <c r="DD200" s="767">
        <f>INPUT!FC115</f>
        <v>0</v>
      </c>
      <c r="DE200" s="750">
        <f>INPUT!FD115</f>
        <v>-167.9</v>
      </c>
      <c r="DF200" s="767" t="str">
        <f>INPUT!FE115</f>
        <v>NA</v>
      </c>
      <c r="DG200" s="750">
        <f>INPUT!FF115</f>
        <v>-139.69999999999999</v>
      </c>
      <c r="DH200" s="767">
        <f>INPUT!FG115</f>
        <v>-16.795711733174524</v>
      </c>
      <c r="DI200" s="750">
        <f>INPUT!FH115</f>
        <v>-96.100000000000009</v>
      </c>
      <c r="DJ200" s="767">
        <f>INPUT!FI115</f>
        <v>-31.209735146743011</v>
      </c>
      <c r="DK200" s="750">
        <f>INPUT!FJ115</f>
        <v>-62.899999999999991</v>
      </c>
      <c r="DL200" s="752">
        <f>INPUT!FK115</f>
        <v>-34.547346514047881</v>
      </c>
      <c r="DM200" s="750">
        <f>INPUT!FL115</f>
        <v>-53.1</v>
      </c>
      <c r="DN200" s="752">
        <f>INPUT!FM115</f>
        <v>-15.58028616852145</v>
      </c>
      <c r="DO200" s="750">
        <f>INPUT!FN115</f>
        <v>-36.199999999999996</v>
      </c>
      <c r="DP200" s="752">
        <f>INPUT!FO115</f>
        <v>-31.826741996233533</v>
      </c>
      <c r="DQ200" s="750">
        <f>INPUT!FP115</f>
        <v>-41.4</v>
      </c>
      <c r="DR200" s="752">
        <f>INPUT!FQ115</f>
        <v>14.364640883977909</v>
      </c>
      <c r="DS200" s="750">
        <f>INPUT!FR115</f>
        <v>-28.200000000000017</v>
      </c>
      <c r="DT200" s="752">
        <f>INPUT!FS115</f>
        <v>-31.884057971014446</v>
      </c>
      <c r="DU200" s="750">
        <f>INPUT!FT115</f>
        <v>-16.199999999999996</v>
      </c>
      <c r="DV200" s="752">
        <f>INPUT!FU115</f>
        <v>-42.553191489361751</v>
      </c>
      <c r="DW200" s="750">
        <f>INPUT!FV115</f>
        <v>-25.799999999999997</v>
      </c>
      <c r="DX200" s="752">
        <f>INPUT!FW115</f>
        <v>59.259259259259281</v>
      </c>
      <c r="DY200" s="750">
        <f>INPUT!FX115</f>
        <v>-35.900000000000013</v>
      </c>
      <c r="DZ200" s="752">
        <f>INPUT!FY115</f>
        <v>39.147286821705492</v>
      </c>
      <c r="EA200" s="750">
        <f>INPUT!FZ115</f>
        <v>-4.3999999999999986</v>
      </c>
      <c r="EB200" s="752" t="str">
        <f>INPUT!GA115</f>
        <v>NM</v>
      </c>
      <c r="EC200" s="750">
        <f>INPUT!GB115</f>
        <v>-20.800000000000004</v>
      </c>
      <c r="ED200" s="752" t="str">
        <f>INPUT!GC115</f>
        <v>NM</v>
      </c>
      <c r="EE200" s="750">
        <f>INPUT!GD115</f>
        <v>-18.400000000000006</v>
      </c>
      <c r="EF200" s="752">
        <f>INPUT!GE115</f>
        <v>-11.538461538461531</v>
      </c>
      <c r="EG200" s="750">
        <f>INPUT!GF115</f>
        <v>-21.900000000000006</v>
      </c>
      <c r="EH200" s="752">
        <f>INPUT!GG115</f>
        <v>19.021739130434767</v>
      </c>
      <c r="EI200" s="750">
        <f>INPUT!GH115</f>
        <v>-20.599999999999994</v>
      </c>
      <c r="EJ200" s="752">
        <f>INPUT!GI115</f>
        <v>-5.9360730593607798</v>
      </c>
      <c r="EK200" s="750">
        <f>INPUT!GJ115</f>
        <v>10.227258437499998</v>
      </c>
      <c r="EL200" s="752" t="str">
        <f>INPUT!GK115</f>
        <v>NM</v>
      </c>
      <c r="EM200" s="750">
        <f>INPUT!GL115</f>
        <v>10.738621359374998</v>
      </c>
      <c r="EN200" s="752">
        <f>INPUT!GM115</f>
        <v>5.0000000000000044</v>
      </c>
      <c r="EO200" s="750">
        <f>INPUT!GN115</f>
        <v>11.275552427343747</v>
      </c>
      <c r="EP200" s="752">
        <f>INPUT!GO115</f>
        <v>5.0000000000000044</v>
      </c>
      <c r="EQ200" s="750">
        <f>INPUT!GP115</f>
        <v>11.839330048710933</v>
      </c>
      <c r="ER200" s="752">
        <f>INPUT!GQ115</f>
        <v>4.9999999999999822</v>
      </c>
      <c r="ES200" s="750">
        <f>INPUT!GR115</f>
        <v>12.431296551146479</v>
      </c>
      <c r="ET200" s="752">
        <f>INPUT!GS115</f>
        <v>5.0000000000000044</v>
      </c>
      <c r="EU200" s="767" t="str">
        <f>INPUT!GT115</f>
        <v>NM</v>
      </c>
      <c r="EV200" s="710"/>
    </row>
    <row r="201" spans="1:152" ht="12.75" hidden="1" customHeight="1" outlineLevel="1" x14ac:dyDescent="0.2">
      <c r="A201" s="754" t="str">
        <f>INPUT!B116</f>
        <v>Operating Expenses</v>
      </c>
      <c r="B201" s="750">
        <f>INPUT!AS116</f>
        <v>60.9</v>
      </c>
      <c r="C201" s="767">
        <f>INPUT!AT116</f>
        <v>-5.1401869158878561</v>
      </c>
      <c r="D201" s="750">
        <f>INPUT!AU116</f>
        <v>64.599999999999994</v>
      </c>
      <c r="E201" s="767">
        <f>INPUT!AV116</f>
        <v>-1.6742770167427867</v>
      </c>
      <c r="F201" s="750">
        <f>INPUT!AW116</f>
        <v>61.1</v>
      </c>
      <c r="G201" s="767">
        <f>INPUT!AX116</f>
        <v>-5.4179566563467336</v>
      </c>
      <c r="H201" s="750">
        <f>INPUT!AY116</f>
        <v>65</v>
      </c>
      <c r="I201" s="752">
        <f>INPUT!AZ116</f>
        <v>-1.3657056145675139</v>
      </c>
      <c r="J201" s="750">
        <f>INPUT!BA116</f>
        <v>64.3</v>
      </c>
      <c r="K201" s="752">
        <f>INPUT!BB116</f>
        <v>5.5829228243021278</v>
      </c>
      <c r="L201" s="750">
        <f>INPUT!BC116</f>
        <v>64.3</v>
      </c>
      <c r="M201" s="752">
        <f>INPUT!BD116</f>
        <v>-0.46439628482971562</v>
      </c>
      <c r="N201" s="750">
        <f>INPUT!BE116</f>
        <v>65.400000000000006</v>
      </c>
      <c r="O201" s="752">
        <f>INPUT!BF116</f>
        <v>7.0376432078559814</v>
      </c>
      <c r="P201" s="750">
        <f>INPUT!BG116</f>
        <v>72.7</v>
      </c>
      <c r="Q201" s="752">
        <f>INPUT!BH116</f>
        <v>11.84615384615384</v>
      </c>
      <c r="R201" s="750">
        <f>INPUT!BI116</f>
        <v>69.900000000000006</v>
      </c>
      <c r="S201" s="752">
        <f>INPUT!BJ116</f>
        <v>8.7091757387247384</v>
      </c>
      <c r="T201" s="750">
        <f>INPUT!BK116</f>
        <v>71.3</v>
      </c>
      <c r="U201" s="752">
        <f>INPUT!BL116</f>
        <v>10.886469673405919</v>
      </c>
      <c r="V201" s="750">
        <f>INPUT!BM116</f>
        <v>71.3</v>
      </c>
      <c r="W201" s="752">
        <f>INPUT!BN116</f>
        <v>9.0214067278287402</v>
      </c>
      <c r="X201" s="750">
        <f>INPUT!BO116</f>
        <v>71.2</v>
      </c>
      <c r="Y201" s="752">
        <f>INPUT!BP116</f>
        <v>-2.063273727647863</v>
      </c>
      <c r="Z201" s="750">
        <f>INPUT!BQ116</f>
        <v>75.3</v>
      </c>
      <c r="AA201" s="752">
        <f>INPUT!BR116</f>
        <v>7.7253218884119956</v>
      </c>
      <c r="AB201" s="750">
        <f>INPUT!BS116</f>
        <v>72</v>
      </c>
      <c r="AC201" s="752">
        <f>INPUT!BT116</f>
        <v>0.9817671809256634</v>
      </c>
      <c r="AD201" s="750">
        <f>INPUT!BU116</f>
        <v>70.400000000000006</v>
      </c>
      <c r="AE201" s="752">
        <f>INPUT!BV116</f>
        <v>-1.2622720897615625</v>
      </c>
      <c r="AF201" s="750">
        <f>INPUT!BW116</f>
        <v>73.2</v>
      </c>
      <c r="AG201" s="752">
        <f>INPUT!BX116</f>
        <v>2.8089887640449396</v>
      </c>
      <c r="AH201" s="750">
        <f>INPUT!BY116</f>
        <v>61.7</v>
      </c>
      <c r="AI201" s="752">
        <f>INPUT!BZ116</f>
        <v>-18.061088977423633</v>
      </c>
      <c r="AJ201" s="750">
        <f>INPUT!CA116</f>
        <v>57.1</v>
      </c>
      <c r="AK201" s="752">
        <f>INPUT!CB116</f>
        <v>-20.694444444444436</v>
      </c>
      <c r="AL201" s="750">
        <f>INPUT!CC116</f>
        <v>60.5</v>
      </c>
      <c r="AM201" s="752">
        <f>INPUT!CD116</f>
        <v>-14.062500000000011</v>
      </c>
      <c r="AN201" s="750">
        <f>INPUT!CE116</f>
        <v>60.2</v>
      </c>
      <c r="AO201" s="752">
        <f>INPUT!CF116</f>
        <v>-17.759562841530052</v>
      </c>
      <c r="AP201" s="750">
        <f>INPUT!CG116</f>
        <v>64</v>
      </c>
      <c r="AQ201" s="752">
        <f>INPUT!CH116</f>
        <v>3.7277147487844386</v>
      </c>
      <c r="AR201" s="750">
        <f>INPUT!CI116</f>
        <v>62.1</v>
      </c>
      <c r="AS201" s="752">
        <f>INPUT!CJ116</f>
        <v>8.7565674255691839</v>
      </c>
      <c r="AT201" s="750">
        <f>INPUT!CK116</f>
        <v>59.9</v>
      </c>
      <c r="AU201" s="752">
        <f>INPUT!CL116</f>
        <v>-0.991735537190086</v>
      </c>
      <c r="AV201" s="750">
        <f>INPUT!CM116</f>
        <v>63.5</v>
      </c>
      <c r="AW201" s="752">
        <f>INPUT!CN116</f>
        <v>5.4817275747508276</v>
      </c>
      <c r="AX201" s="750">
        <f>INPUT!CO116</f>
        <v>64.7</v>
      </c>
      <c r="AY201" s="752">
        <f>INPUT!CP116</f>
        <v>1.0937500000000044</v>
      </c>
      <c r="AZ201" s="750">
        <f>INPUT!CQ116</f>
        <v>64.2</v>
      </c>
      <c r="BA201" s="752">
        <f>INPUT!CR116</f>
        <v>3.3816425120772875</v>
      </c>
      <c r="BB201" s="750">
        <f>INPUT!CS116</f>
        <v>64.2</v>
      </c>
      <c r="BC201" s="752">
        <f>INPUT!CT116</f>
        <v>7.1786310517529373</v>
      </c>
      <c r="BD201" s="750">
        <f>INPUT!CU116</f>
        <v>66.599999999999994</v>
      </c>
      <c r="BE201" s="752">
        <f>INPUT!CV116</f>
        <v>4.8818897637795233</v>
      </c>
      <c r="BF201" s="750">
        <f>INPUT!CW116</f>
        <v>66.599999999999994</v>
      </c>
      <c r="BG201" s="752">
        <f>INPUT!CX116</f>
        <v>2.9366306027820643</v>
      </c>
      <c r="BH201" s="750">
        <f>INPUT!CY116</f>
        <v>66.400000000000006</v>
      </c>
      <c r="BI201" s="752">
        <f>INPUT!CZ116</f>
        <v>3.4267912772585785</v>
      </c>
      <c r="BJ201" s="750">
        <f>INPUT!DA116</f>
        <v>66.900000000000006</v>
      </c>
      <c r="BK201" s="752">
        <f>INPUT!DB116</f>
        <v>4.20560747663552</v>
      </c>
      <c r="BL201" s="750">
        <f>INPUT!DC116</f>
        <v>70.3</v>
      </c>
      <c r="BM201" s="752">
        <f>INPUT!DD116</f>
        <v>5.555555555555558</v>
      </c>
      <c r="BN201" s="750">
        <f>INPUT!DE116</f>
        <v>70</v>
      </c>
      <c r="BO201" s="752">
        <f>INPUT!DF116</f>
        <v>5.1051051051051122</v>
      </c>
      <c r="BP201" s="750">
        <f>INPUT!DG116</f>
        <v>70.7</v>
      </c>
      <c r="BQ201" s="752">
        <f>INPUT!DH116</f>
        <v>6.475903614457823</v>
      </c>
      <c r="BR201" s="750">
        <f>INPUT!DI116</f>
        <v>71.900000000000006</v>
      </c>
      <c r="BS201" s="752">
        <f>INPUT!DJ116</f>
        <v>7.4738415545590353</v>
      </c>
      <c r="BT201" s="750">
        <f>INPUT!DK116</f>
        <v>75.8</v>
      </c>
      <c r="BU201" s="752">
        <f>INPUT!DL116</f>
        <v>7.8236130867709752</v>
      </c>
      <c r="BV201" s="750">
        <f>INPUT!DM116</f>
        <v>77</v>
      </c>
      <c r="BW201" s="752">
        <f>INPUT!DN116</f>
        <v>10.000000000000009</v>
      </c>
      <c r="BX201" s="750">
        <f>INPUT!DO116</f>
        <v>74.8</v>
      </c>
      <c r="BY201" s="752">
        <f>INPUT!DP116</f>
        <v>5.7991513437057884</v>
      </c>
      <c r="BZ201" s="750">
        <f>INPUT!DQ116</f>
        <v>75</v>
      </c>
      <c r="CA201" s="752">
        <f>INPUT!DR116</f>
        <v>4.311543810848395</v>
      </c>
      <c r="CB201" s="750">
        <f>INPUT!DS116</f>
        <v>75.7</v>
      </c>
      <c r="CC201" s="752">
        <f>INPUT!DT116</f>
        <v>-0.13192612137202797</v>
      </c>
      <c r="CD201" s="750">
        <f>INPUT!DU116</f>
        <v>77.5</v>
      </c>
      <c r="CE201" s="752">
        <f>INPUT!DV116</f>
        <v>0.64935064935065512</v>
      </c>
      <c r="CF201" s="750">
        <f>INPUT!DW116</f>
        <v>75.3</v>
      </c>
      <c r="CG201" s="752">
        <f>INPUT!DX116</f>
        <v>0.66844919786095414</v>
      </c>
      <c r="CH201" s="750">
        <f>INPUT!DY116</f>
        <v>81</v>
      </c>
      <c r="CI201" s="752">
        <f>INPUT!DZ116</f>
        <v>8.0000000000000071</v>
      </c>
      <c r="CJ201" s="750">
        <f>INPUT!EA116</f>
        <v>83.5</v>
      </c>
      <c r="CK201" s="752">
        <f>INPUT!EB116</f>
        <v>10.303830911492739</v>
      </c>
      <c r="CL201" s="750">
        <f>INPUT!EC116</f>
        <v>79.8</v>
      </c>
      <c r="CM201" s="752">
        <f>INPUT!ED116</f>
        <v>2.9677419354838586</v>
      </c>
      <c r="CN201" s="750">
        <f>INPUT!EE116</f>
        <v>81.5</v>
      </c>
      <c r="CO201" s="752">
        <f>INPUT!EF116</f>
        <v>8.2337317397078493</v>
      </c>
      <c r="CP201" s="750">
        <f>INPUT!EG116</f>
        <v>81.400000000000006</v>
      </c>
      <c r="CQ201" s="752">
        <f>INPUT!EH116</f>
        <v>0.49382716049384268</v>
      </c>
      <c r="CR201" s="750">
        <f>INPUT!EI116</f>
        <v>85.6</v>
      </c>
      <c r="CS201" s="752">
        <f>INPUT!EJ116</f>
        <v>2.5149700598802394</v>
      </c>
      <c r="CT201" s="750">
        <f>INPUT!EK116</f>
        <v>83.564565999999999</v>
      </c>
      <c r="CU201" s="752">
        <f>INPUT!EL116</f>
        <v>4.7175012531328386</v>
      </c>
      <c r="CV201" s="750">
        <f>INPUT!EM116</f>
        <v>85.06872818799998</v>
      </c>
      <c r="CW201" s="752">
        <f>INPUT!EN116</f>
        <v>4.3788075926380232</v>
      </c>
      <c r="CX201" s="750">
        <f>INPUT!EO116</f>
        <v>86.599965295383996</v>
      </c>
      <c r="CY201" s="752">
        <f>INPUT!EP116</f>
        <v>6.3881637535429858</v>
      </c>
      <c r="CZ201" s="750">
        <f>INPUT!EQ116</f>
        <v>87.898964774814758</v>
      </c>
      <c r="DA201" s="752">
        <f>INPUT!ER116</f>
        <v>2.6857065126340673</v>
      </c>
      <c r="DB201" s="793"/>
      <c r="DC201" s="750">
        <f>INPUT!FB116</f>
        <v>0</v>
      </c>
      <c r="DD201" s="767">
        <f>INPUT!FC116</f>
        <v>0</v>
      </c>
      <c r="DE201" s="750">
        <f>INPUT!FD116</f>
        <v>217.3</v>
      </c>
      <c r="DF201" s="767" t="str">
        <f>INPUT!FE116</f>
        <v>NA</v>
      </c>
      <c r="DG201" s="750">
        <f>INPUT!FF116</f>
        <v>233.10000000000002</v>
      </c>
      <c r="DH201" s="767">
        <f>INPUT!FG116</f>
        <v>7.271053842613906</v>
      </c>
      <c r="DI201" s="750">
        <f>INPUT!FH116</f>
        <v>242.29999999999998</v>
      </c>
      <c r="DJ201" s="767">
        <f>INPUT!FI116</f>
        <v>3.946803946803934</v>
      </c>
      <c r="DK201" s="750">
        <f>INPUT!FJ116</f>
        <v>260.39999999999998</v>
      </c>
      <c r="DL201" s="752">
        <f>INPUT!FK116</f>
        <v>7.4700784151877864</v>
      </c>
      <c r="DM201" s="750">
        <f>INPUT!FL116</f>
        <v>251.6</v>
      </c>
      <c r="DN201" s="752">
        <f>INPUT!FM116</f>
        <v>-3.3794162826420782</v>
      </c>
      <c r="DO201" s="750">
        <f>INPUT!FN116</f>
        <v>266.7</v>
      </c>
      <c r="DP201" s="752">
        <f>INPUT!FO116</f>
        <v>6.0015898251192246</v>
      </c>
      <c r="DQ201" s="750">
        <f>INPUT!FP116</f>
        <v>283.7</v>
      </c>
      <c r="DR201" s="752">
        <f>INPUT!FQ116</f>
        <v>6.3742032245969193</v>
      </c>
      <c r="DS201" s="750">
        <f>INPUT!FR116</f>
        <v>229.1</v>
      </c>
      <c r="DT201" s="752">
        <f>INPUT!FS116</f>
        <v>-19.245682058512514</v>
      </c>
      <c r="DU201" s="750">
        <f>INPUT!FT116</f>
        <v>239.5</v>
      </c>
      <c r="DV201" s="752">
        <f>INPUT!FU116</f>
        <v>4.5395024006983808</v>
      </c>
      <c r="DW201" s="750">
        <f>INPUT!FV116</f>
        <v>249.5</v>
      </c>
      <c r="DX201" s="752">
        <f>INPUT!FW116</f>
        <v>4.175365344467652</v>
      </c>
      <c r="DY201" s="750">
        <f>INPUT!FX116</f>
        <v>259.70000000000005</v>
      </c>
      <c r="DZ201" s="752">
        <f>INPUT!FY116</f>
        <v>4.0881763527054193</v>
      </c>
      <c r="EA201" s="750">
        <f>INPUT!FZ116</f>
        <v>270.2</v>
      </c>
      <c r="EB201" s="752">
        <f>INPUT!GA116</f>
        <v>4.0431266846360892</v>
      </c>
      <c r="EC201" s="750">
        <f>INPUT!GB116</f>
        <v>288.39999999999998</v>
      </c>
      <c r="ED201" s="752">
        <f>INPUT!GC116</f>
        <v>6.7357512953367893</v>
      </c>
      <c r="EE201" s="750">
        <f>INPUT!GD116</f>
        <v>302.5</v>
      </c>
      <c r="EF201" s="752">
        <f>INPUT!GE116</f>
        <v>4.8890429958391213</v>
      </c>
      <c r="EG201" s="750">
        <f>INPUT!GF116</f>
        <v>317.3</v>
      </c>
      <c r="EH201" s="752">
        <f>INPUT!GG116</f>
        <v>4.8925619834710776</v>
      </c>
      <c r="EI201" s="750">
        <f>INPUT!GH116</f>
        <v>328.3</v>
      </c>
      <c r="EJ201" s="752">
        <f>INPUT!GI116</f>
        <v>3.4667507091080907</v>
      </c>
      <c r="EK201" s="750">
        <f>INPUT!GJ116</f>
        <v>343.13222425819873</v>
      </c>
      <c r="EL201" s="752">
        <f>INPUT!GK116</f>
        <v>4.5178873768500605</v>
      </c>
      <c r="EM201" s="750">
        <f>INPUT!GL116</f>
        <v>360.2888354711086</v>
      </c>
      <c r="EN201" s="752">
        <f>INPUT!GM116</f>
        <v>4.9999999999999822</v>
      </c>
      <c r="EO201" s="750">
        <f>INPUT!GN116</f>
        <v>378.30327724466412</v>
      </c>
      <c r="EP201" s="752">
        <f>INPUT!GO116</f>
        <v>5.0000000000000266</v>
      </c>
      <c r="EQ201" s="750">
        <f>INPUT!GP116</f>
        <v>397.21844110689727</v>
      </c>
      <c r="ER201" s="752">
        <f>INPUT!GQ116</f>
        <v>4.9999999999999822</v>
      </c>
      <c r="ES201" s="750">
        <f>INPUT!GR116</f>
        <v>418.89275169773026</v>
      </c>
      <c r="ET201" s="752">
        <f>INPUT!GS116</f>
        <v>5.456521739130471</v>
      </c>
      <c r="EU201" s="767">
        <f>INPUT!GT116</f>
        <v>4.994462010681322</v>
      </c>
      <c r="EV201" s="710"/>
    </row>
    <row r="202" spans="1:152" ht="12.75" hidden="1" customHeight="1" outlineLevel="1" x14ac:dyDescent="0.2">
      <c r="A202" s="754" t="str">
        <f>INPUT!B117</f>
        <v xml:space="preserve"> Total Benefits and Expenses</v>
      </c>
      <c r="B202" s="750">
        <f>INPUT!AS117</f>
        <v>344.2</v>
      </c>
      <c r="C202" s="767">
        <f>INPUT!AT117</f>
        <v>6.0055435786880107</v>
      </c>
      <c r="D202" s="750">
        <f>INPUT!AU117</f>
        <v>357.70000000000005</v>
      </c>
      <c r="E202" s="767">
        <f>INPUT!AV117</f>
        <v>7.9034690799396845</v>
      </c>
      <c r="F202" s="750">
        <f>INPUT!AW117</f>
        <v>356.90000000000003</v>
      </c>
      <c r="G202" s="767">
        <f>INPUT!AX117</f>
        <v>5.4046072061429529</v>
      </c>
      <c r="H202" s="750">
        <f>INPUT!AY117</f>
        <v>361.3</v>
      </c>
      <c r="I202" s="752">
        <f>INPUT!AZ117</f>
        <v>6.6410861865407345</v>
      </c>
      <c r="J202" s="750">
        <f>INPUT!BA117</f>
        <v>373.90000000000003</v>
      </c>
      <c r="K202" s="752">
        <f>INPUT!BB117</f>
        <v>8.6287042417199533</v>
      </c>
      <c r="L202" s="750">
        <f>INPUT!BC117</f>
        <v>386.60000000000008</v>
      </c>
      <c r="M202" s="752">
        <f>INPUT!BD117</f>
        <v>8.079396142018469</v>
      </c>
      <c r="N202" s="750">
        <f>INPUT!BE117</f>
        <v>392.30000000000007</v>
      </c>
      <c r="O202" s="752">
        <f>INPUT!BF117</f>
        <v>9.9187447464275778</v>
      </c>
      <c r="P202" s="750">
        <f>INPUT!BG117</f>
        <v>390.19999999999993</v>
      </c>
      <c r="Q202" s="752">
        <f>INPUT!BH117</f>
        <v>7.9988928867976483</v>
      </c>
      <c r="R202" s="750">
        <f>INPUT!BI117</f>
        <v>402.4</v>
      </c>
      <c r="S202" s="752">
        <f>INPUT!BJ117</f>
        <v>7.6223589194971852</v>
      </c>
      <c r="T202" s="750">
        <f>INPUT!BK117</f>
        <v>403.70000000000005</v>
      </c>
      <c r="U202" s="752">
        <f>INPUT!BL117</f>
        <v>4.4231764097258042</v>
      </c>
      <c r="V202" s="750">
        <f>INPUT!BM117</f>
        <v>413.9</v>
      </c>
      <c r="W202" s="752">
        <f>INPUT!BN117</f>
        <v>5.5059903135355359</v>
      </c>
      <c r="X202" s="750">
        <f>INPUT!BO117</f>
        <v>416.5</v>
      </c>
      <c r="Y202" s="752">
        <f>INPUT!BP117</f>
        <v>6.7401332649923207</v>
      </c>
      <c r="Z202" s="750">
        <f>INPUT!BQ117</f>
        <v>426.50000000000006</v>
      </c>
      <c r="AA202" s="752">
        <f>INPUT!BR117</f>
        <v>5.9890656063618541</v>
      </c>
      <c r="AB202" s="750">
        <f>INPUT!BS117</f>
        <v>434.6</v>
      </c>
      <c r="AC202" s="752">
        <f>INPUT!BT117</f>
        <v>7.6541986623730462</v>
      </c>
      <c r="AD202" s="750">
        <f>INPUT!BU117</f>
        <v>432.20000000000005</v>
      </c>
      <c r="AE202" s="752">
        <f>INPUT!BV117</f>
        <v>4.4213578158975864</v>
      </c>
      <c r="AF202" s="750">
        <f>INPUT!BW117</f>
        <v>423.3</v>
      </c>
      <c r="AG202" s="752">
        <f>INPUT!BX117</f>
        <v>1.6326530612244872</v>
      </c>
      <c r="AH202" s="750">
        <f>INPUT!BY117</f>
        <v>246.7</v>
      </c>
      <c r="AI202" s="752">
        <f>INPUT!BZ117</f>
        <v>-42.157092614302471</v>
      </c>
      <c r="AJ202" s="750">
        <f>INPUT!CA117</f>
        <v>241.7</v>
      </c>
      <c r="AK202" s="752">
        <f>INPUT!CB117</f>
        <v>-44.385641969627251</v>
      </c>
      <c r="AL202" s="750">
        <f>INPUT!CC117</f>
        <v>243.1</v>
      </c>
      <c r="AM202" s="752">
        <f>INPUT!CD117</f>
        <v>-43.752892179546507</v>
      </c>
      <c r="AN202" s="750">
        <f>INPUT!CE117</f>
        <v>240.10000000000002</v>
      </c>
      <c r="AO202" s="752">
        <f>INPUT!CF117</f>
        <v>-43.278998346326482</v>
      </c>
      <c r="AP202" s="750">
        <f>INPUT!CG117</f>
        <v>251.10000000000002</v>
      </c>
      <c r="AQ202" s="752">
        <f>INPUT!CH117</f>
        <v>1.7835427644913082</v>
      </c>
      <c r="AR202" s="750">
        <f>INPUT!CI117</f>
        <v>245.1</v>
      </c>
      <c r="AS202" s="752">
        <f>INPUT!CJ117</f>
        <v>1.4067025237898267</v>
      </c>
      <c r="AT202" s="750">
        <f>INPUT!CK117</f>
        <v>236.10000000000002</v>
      </c>
      <c r="AU202" s="752">
        <f>INPUT!CL117</f>
        <v>-2.8794734677087486</v>
      </c>
      <c r="AV202" s="750">
        <f>INPUT!CM117</f>
        <v>247.2</v>
      </c>
      <c r="AW202" s="752">
        <f>INPUT!CN117</f>
        <v>2.9571012078300596</v>
      </c>
      <c r="AX202" s="750">
        <f>INPUT!CO117</f>
        <v>261.5</v>
      </c>
      <c r="AY202" s="752">
        <f>INPUT!CP117</f>
        <v>4.1417761847869272</v>
      </c>
      <c r="AZ202" s="750">
        <f>INPUT!CQ117</f>
        <v>255</v>
      </c>
      <c r="BA202" s="752">
        <f>INPUT!CR117</f>
        <v>4.0391676866585069</v>
      </c>
      <c r="BB202" s="750">
        <f>INPUT!CS117</f>
        <v>252</v>
      </c>
      <c r="BC202" s="752">
        <f>INPUT!CT117</f>
        <v>6.7344345616264123</v>
      </c>
      <c r="BD202" s="750">
        <f>INPUT!CU117</f>
        <v>259.5</v>
      </c>
      <c r="BE202" s="752">
        <f>INPUT!CV117</f>
        <v>4.9757281553398203</v>
      </c>
      <c r="BF202" s="750">
        <f>INPUT!CW117</f>
        <v>277.5</v>
      </c>
      <c r="BG202" s="752">
        <f>INPUT!CX117</f>
        <v>6.118546845124273</v>
      </c>
      <c r="BH202" s="750">
        <f>INPUT!CY117</f>
        <v>257.40000000000003</v>
      </c>
      <c r="BI202" s="752">
        <f>INPUT!CZ117</f>
        <v>0.94117647058824527</v>
      </c>
      <c r="BJ202" s="750">
        <f>INPUT!DA117</f>
        <v>257.8</v>
      </c>
      <c r="BK202" s="752">
        <f>INPUT!DB117</f>
        <v>2.3015873015873156</v>
      </c>
      <c r="BL202" s="750">
        <f>INPUT!DC117</f>
        <v>285</v>
      </c>
      <c r="BM202" s="752">
        <f>INPUT!DD117</f>
        <v>9.8265895953757223</v>
      </c>
      <c r="BN202" s="750">
        <f>INPUT!DE117</f>
        <v>276.2</v>
      </c>
      <c r="BO202" s="752">
        <f>INPUT!DF117</f>
        <v>-0.46846846846847479</v>
      </c>
      <c r="BP202" s="750">
        <f>INPUT!DG117</f>
        <v>271.39999999999998</v>
      </c>
      <c r="BQ202" s="752">
        <f>INPUT!DH117</f>
        <v>5.4390054390054177</v>
      </c>
      <c r="BR202" s="750">
        <f>INPUT!DI117</f>
        <v>269.39999999999998</v>
      </c>
      <c r="BS202" s="752">
        <f>INPUT!DJ117</f>
        <v>4.4996121024049485</v>
      </c>
      <c r="BT202" s="750">
        <f>INPUT!DK117</f>
        <v>270.7</v>
      </c>
      <c r="BU202" s="752">
        <f>INPUT!DL117</f>
        <v>-5.0175438596491322</v>
      </c>
      <c r="BV202" s="750">
        <f>INPUT!DM117</f>
        <v>291</v>
      </c>
      <c r="BW202" s="752">
        <f>INPUT!DN117</f>
        <v>5.3584359160028905</v>
      </c>
      <c r="BX202" s="750">
        <f>INPUT!DO117</f>
        <v>279.59999999999997</v>
      </c>
      <c r="BY202" s="752">
        <f>INPUT!DP117</f>
        <v>3.0213706705968901</v>
      </c>
      <c r="BZ202" s="750">
        <f>INPUT!DQ117</f>
        <v>281.89999999999998</v>
      </c>
      <c r="CA202" s="752">
        <f>INPUT!DR117</f>
        <v>4.6399406087602069</v>
      </c>
      <c r="CB202" s="750">
        <f>INPUT!DS117</f>
        <v>281.5</v>
      </c>
      <c r="CC202" s="752">
        <f>INPUT!DT117</f>
        <v>3.9896564462504669</v>
      </c>
      <c r="CD202" s="750">
        <f>INPUT!DU117</f>
        <v>300.2</v>
      </c>
      <c r="CE202" s="752">
        <f>INPUT!DV117</f>
        <v>3.1615120274913977</v>
      </c>
      <c r="CF202" s="750">
        <f>INPUT!DW117</f>
        <v>294</v>
      </c>
      <c r="CG202" s="752">
        <f>INPUT!DX117</f>
        <v>5.1502145922746934</v>
      </c>
      <c r="CH202" s="750">
        <f>INPUT!DY117</f>
        <v>314.40000000000003</v>
      </c>
      <c r="CI202" s="752">
        <f>INPUT!DZ117</f>
        <v>11.528910961333839</v>
      </c>
      <c r="CJ202" s="750">
        <f>INPUT!EA117</f>
        <v>310.09999999999997</v>
      </c>
      <c r="CK202" s="752">
        <f>INPUT!EB117</f>
        <v>10.159857904085246</v>
      </c>
      <c r="CL202" s="750">
        <f>INPUT!EC117</f>
        <v>332.40000000000003</v>
      </c>
      <c r="CM202" s="752">
        <f>INPUT!ED117</f>
        <v>10.726182544970042</v>
      </c>
      <c r="CN202" s="750">
        <f>INPUT!EE117</f>
        <v>329.6</v>
      </c>
      <c r="CO202" s="752">
        <f>INPUT!EF117</f>
        <v>12.10884353741497</v>
      </c>
      <c r="CP202" s="750">
        <f>INPUT!EG117</f>
        <v>310.39999999999998</v>
      </c>
      <c r="CQ202" s="752">
        <f>INPUT!EH117</f>
        <v>-1.2722646310432739</v>
      </c>
      <c r="CR202" s="750">
        <f>INPUT!EI117</f>
        <v>308</v>
      </c>
      <c r="CS202" s="752">
        <f>INPUT!EJ117</f>
        <v>-0.67720090293452717</v>
      </c>
      <c r="CT202" s="750">
        <f>INPUT!EK117</f>
        <v>329.01097859999999</v>
      </c>
      <c r="CU202" s="752">
        <f>INPUT!EL117</f>
        <v>-1.0195611913357494</v>
      </c>
      <c r="CV202" s="750">
        <f>INPUT!EM117</f>
        <v>334.92567621479992</v>
      </c>
      <c r="CW202" s="752">
        <f>INPUT!EN117</f>
        <v>1.6157998224514358</v>
      </c>
      <c r="CX202" s="750">
        <f>INPUT!EO117</f>
        <v>340.94672588666634</v>
      </c>
      <c r="CY202" s="752">
        <f>INPUT!EP117</f>
        <v>9.8410843707043671</v>
      </c>
      <c r="CZ202" s="750">
        <f>INPUT!EQ117</f>
        <v>346.06092677496639</v>
      </c>
      <c r="DA202" s="752">
        <f>INPUT!ER117</f>
        <v>12.357443758105969</v>
      </c>
      <c r="DB202" s="793"/>
      <c r="DC202" s="750">
        <f>INPUT!FB117</f>
        <v>0</v>
      </c>
      <c r="DD202" s="767">
        <f>INPUT!FC117</f>
        <v>0</v>
      </c>
      <c r="DE202" s="750">
        <f>INPUT!FD117</f>
        <v>898.10000000000014</v>
      </c>
      <c r="DF202" s="767" t="str">
        <f>INPUT!FE117</f>
        <v>NA</v>
      </c>
      <c r="DG202" s="750">
        <f>INPUT!FF117</f>
        <v>1074.3000000000002</v>
      </c>
      <c r="DH202" s="767">
        <f>INPUT!FG117</f>
        <v>19.619196080614643</v>
      </c>
      <c r="DI202" s="750">
        <f>INPUT!FH117</f>
        <v>1216.3</v>
      </c>
      <c r="DJ202" s="767">
        <f>INPUT!FI117</f>
        <v>13.217909336311994</v>
      </c>
      <c r="DK202" s="750">
        <f>INPUT!FJ117</f>
        <v>1333.6</v>
      </c>
      <c r="DL202" s="752">
        <f>INPUT!FK117</f>
        <v>9.6440023020636367</v>
      </c>
      <c r="DM202" s="750">
        <f>INPUT!FL117</f>
        <v>1420.1</v>
      </c>
      <c r="DN202" s="752">
        <f>INPUT!FM117</f>
        <v>6.486202759448112</v>
      </c>
      <c r="DO202" s="750">
        <f>INPUT!FN117</f>
        <v>1543</v>
      </c>
      <c r="DP202" s="752">
        <f>INPUT!FO117</f>
        <v>8.6543201183015395</v>
      </c>
      <c r="DQ202" s="750">
        <f>INPUT!FP117</f>
        <v>1636.5</v>
      </c>
      <c r="DR202" s="752">
        <f>INPUT!FQ117</f>
        <v>6.0596241088788139</v>
      </c>
      <c r="DS202" s="750">
        <f>INPUT!FR117</f>
        <v>915.4</v>
      </c>
      <c r="DT202" s="752">
        <f>INPUT!FS117</f>
        <v>-44.063550259700577</v>
      </c>
      <c r="DU202" s="750">
        <f>INPUT!FT117</f>
        <v>971.59999999999991</v>
      </c>
      <c r="DV202" s="752">
        <f>INPUT!FU117</f>
        <v>6.139392615250161</v>
      </c>
      <c r="DW202" s="750">
        <f>INPUT!FV117</f>
        <v>979.5</v>
      </c>
      <c r="DX202" s="752">
        <f>INPUT!FW117</f>
        <v>0.8130918073281368</v>
      </c>
      <c r="DY202" s="750">
        <f>INPUT!FX117</f>
        <v>1028.0000000000002</v>
      </c>
      <c r="DZ202" s="752">
        <f>INPUT!FY117</f>
        <v>4.9515058703420323</v>
      </c>
      <c r="EA202" s="750">
        <f>INPUT!FZ117</f>
        <v>1077.6999999999998</v>
      </c>
      <c r="EB202" s="752">
        <f>INPUT!GA117</f>
        <v>4.8346303501945131</v>
      </c>
      <c r="EC202" s="750">
        <f>INPUT!GB117</f>
        <v>1087.7</v>
      </c>
      <c r="ED202" s="752">
        <f>INPUT!GC117</f>
        <v>0.92790201354739921</v>
      </c>
      <c r="EE202" s="750">
        <f>INPUT!GD117</f>
        <v>1134</v>
      </c>
      <c r="EF202" s="752">
        <f>INPUT!GE117</f>
        <v>4.2566884251172166</v>
      </c>
      <c r="EG202" s="750">
        <f>INPUT!GF117</f>
        <v>1218.7</v>
      </c>
      <c r="EH202" s="752">
        <f>INPUT!GG117</f>
        <v>7.469135802469129</v>
      </c>
      <c r="EI202" s="750">
        <f>INPUT!GH117</f>
        <v>1280.3999999999999</v>
      </c>
      <c r="EJ202" s="752">
        <f>INPUT!GI117</f>
        <v>5.0627718060227922</v>
      </c>
      <c r="EK202" s="750">
        <f>INPUT!GJ117</f>
        <v>1350.9443074764326</v>
      </c>
      <c r="EL202" s="752">
        <f>INPUT!GK117</f>
        <v>5.5095522865067803</v>
      </c>
      <c r="EM202" s="750">
        <f>INPUT!GL117</f>
        <v>1418.4915228502541</v>
      </c>
      <c r="EN202" s="752">
        <f>INPUT!GM117</f>
        <v>4.9999999999999822</v>
      </c>
      <c r="EO202" s="750">
        <f>INPUT!GN117</f>
        <v>1489.416098992767</v>
      </c>
      <c r="EP202" s="752">
        <f>INPUT!GO117</f>
        <v>5.0000000000000266</v>
      </c>
      <c r="EQ202" s="750">
        <f>INPUT!GP117</f>
        <v>1563.8869039424053</v>
      </c>
      <c r="ER202" s="752">
        <f>INPUT!GQ117</f>
        <v>4.9999999999999822</v>
      </c>
      <c r="ES202" s="750">
        <f>INPUT!GR117</f>
        <v>1645.7080262105019</v>
      </c>
      <c r="ET202" s="752">
        <f>INPUT!GS117</f>
        <v>5.2319078868064972</v>
      </c>
      <c r="EU202" s="767">
        <f>INPUT!GT117</f>
        <v>5.1480987531547617</v>
      </c>
      <c r="EV202" s="710"/>
    </row>
    <row r="203" spans="1:152" ht="12.75" hidden="1" customHeight="1" outlineLevel="1" x14ac:dyDescent="0.2">
      <c r="A203" s="754"/>
      <c r="B203" s="750"/>
      <c r="C203" s="767"/>
      <c r="D203" s="750"/>
      <c r="E203" s="767"/>
      <c r="F203" s="750"/>
      <c r="G203" s="767"/>
      <c r="H203" s="750"/>
      <c r="I203" s="752"/>
      <c r="J203" s="750"/>
      <c r="K203" s="752"/>
      <c r="L203" s="750"/>
      <c r="M203" s="752"/>
      <c r="N203" s="750"/>
      <c r="O203" s="752"/>
      <c r="P203" s="750"/>
      <c r="Q203" s="752"/>
      <c r="R203" s="750"/>
      <c r="S203" s="752"/>
      <c r="T203" s="750"/>
      <c r="U203" s="752"/>
      <c r="V203" s="750"/>
      <c r="W203" s="752"/>
      <c r="X203" s="750"/>
      <c r="Y203" s="752"/>
      <c r="Z203" s="750"/>
      <c r="AA203" s="752"/>
      <c r="AB203" s="750"/>
      <c r="AC203" s="752"/>
      <c r="AD203" s="750"/>
      <c r="AE203" s="752"/>
      <c r="AF203" s="750"/>
      <c r="AG203" s="752"/>
      <c r="AH203" s="750"/>
      <c r="AI203" s="752"/>
      <c r="AJ203" s="750"/>
      <c r="AK203" s="752"/>
      <c r="AL203" s="750"/>
      <c r="AM203" s="752"/>
      <c r="AN203" s="750"/>
      <c r="AO203" s="752"/>
      <c r="AP203" s="750"/>
      <c r="AQ203" s="752"/>
      <c r="AR203" s="750"/>
      <c r="AS203" s="752"/>
      <c r="AT203" s="750"/>
      <c r="AU203" s="752"/>
      <c r="AV203" s="750"/>
      <c r="AW203" s="752"/>
      <c r="AX203" s="750"/>
      <c r="AY203" s="752"/>
      <c r="AZ203" s="750"/>
      <c r="BA203" s="752"/>
      <c r="BB203" s="750"/>
      <c r="BC203" s="752"/>
      <c r="BD203" s="750"/>
      <c r="BE203" s="752"/>
      <c r="BF203" s="750"/>
      <c r="BG203" s="752"/>
      <c r="BH203" s="750"/>
      <c r="BI203" s="752"/>
      <c r="BJ203" s="750"/>
      <c r="BK203" s="752"/>
      <c r="BL203" s="750"/>
      <c r="BM203" s="752"/>
      <c r="BN203" s="750"/>
      <c r="BO203" s="752"/>
      <c r="BP203" s="750"/>
      <c r="BQ203" s="752"/>
      <c r="BR203" s="750"/>
      <c r="BS203" s="752"/>
      <c r="BT203" s="750"/>
      <c r="BU203" s="752"/>
      <c r="BV203" s="750"/>
      <c r="BW203" s="752"/>
      <c r="BX203" s="750"/>
      <c r="BY203" s="752"/>
      <c r="BZ203" s="750"/>
      <c r="CA203" s="752"/>
      <c r="CB203" s="750"/>
      <c r="CC203" s="752"/>
      <c r="CD203" s="750"/>
      <c r="CE203" s="752"/>
      <c r="CF203" s="750"/>
      <c r="CG203" s="752"/>
      <c r="CH203" s="750"/>
      <c r="CI203" s="752"/>
      <c r="CJ203" s="750"/>
      <c r="CK203" s="752"/>
      <c r="CL203" s="750"/>
      <c r="CM203" s="752"/>
      <c r="CN203" s="750"/>
      <c r="CO203" s="752"/>
      <c r="CP203" s="750"/>
      <c r="CQ203" s="752"/>
      <c r="CR203" s="750"/>
      <c r="CS203" s="752"/>
      <c r="CT203" s="750"/>
      <c r="CU203" s="752"/>
      <c r="CV203" s="750"/>
      <c r="CW203" s="752"/>
      <c r="CX203" s="750"/>
      <c r="CY203" s="752"/>
      <c r="CZ203" s="750"/>
      <c r="DA203" s="752"/>
      <c r="DB203" s="753"/>
      <c r="DC203" s="750"/>
      <c r="DD203" s="767"/>
      <c r="DE203" s="750"/>
      <c r="DF203" s="767"/>
      <c r="DG203" s="750"/>
      <c r="DH203" s="767"/>
      <c r="DI203" s="750"/>
      <c r="DJ203" s="767"/>
      <c r="DK203" s="750"/>
      <c r="DL203" s="752"/>
      <c r="DM203" s="750"/>
      <c r="DN203" s="752"/>
      <c r="DO203" s="750"/>
      <c r="DP203" s="752"/>
      <c r="DQ203" s="750"/>
      <c r="DR203" s="752"/>
      <c r="DS203" s="750"/>
      <c r="DT203" s="752"/>
      <c r="DU203" s="750"/>
      <c r="DV203" s="752"/>
      <c r="DW203" s="750"/>
      <c r="DX203" s="752"/>
      <c r="DY203" s="750"/>
      <c r="DZ203" s="752"/>
      <c r="EA203" s="750"/>
      <c r="EB203" s="752"/>
      <c r="EC203" s="750"/>
      <c r="ED203" s="752"/>
      <c r="EE203" s="750"/>
      <c r="EF203" s="752"/>
      <c r="EG203" s="750"/>
      <c r="EH203" s="752"/>
      <c r="EI203" s="750"/>
      <c r="EJ203" s="752"/>
      <c r="EK203" s="750"/>
      <c r="EL203" s="752"/>
      <c r="EM203" s="750"/>
      <c r="EN203" s="752"/>
      <c r="EO203" s="750"/>
      <c r="EP203" s="752"/>
      <c r="EQ203" s="750"/>
      <c r="ER203" s="752"/>
      <c r="ES203" s="750"/>
      <c r="ET203" s="752"/>
      <c r="EU203" s="767"/>
      <c r="EV203" s="710"/>
    </row>
    <row r="204" spans="1:152" ht="12.75" hidden="1" customHeight="1" outlineLevel="1" x14ac:dyDescent="0.2">
      <c r="A204" s="805" t="str">
        <f>INPUT!B125</f>
        <v>Pretax Earnings</v>
      </c>
      <c r="B204" s="806">
        <f>INPUT!AS125</f>
        <v>56.199999999999989</v>
      </c>
      <c r="C204" s="807">
        <f>INPUT!AT125</f>
        <v>35.421686746987731</v>
      </c>
      <c r="D204" s="806">
        <f>INPUT!AU125</f>
        <v>49.299999999999898</v>
      </c>
      <c r="E204" s="807">
        <f>INPUT!AV125</f>
        <v>13.594470046082762</v>
      </c>
      <c r="F204" s="806">
        <f>INPUT!AW125</f>
        <v>58.800000000000011</v>
      </c>
      <c r="G204" s="807">
        <f>INPUT!AX125</f>
        <v>48.860759493670926</v>
      </c>
      <c r="H204" s="806">
        <f>INPUT!AY125</f>
        <v>54.500000000000057</v>
      </c>
      <c r="I204" s="808">
        <f>INPUT!AZ125</f>
        <v>16.452991452991551</v>
      </c>
      <c r="J204" s="806">
        <f>INPUT!BA125</f>
        <v>57.799999999999955</v>
      </c>
      <c r="K204" s="808">
        <f>INPUT!BB125</f>
        <v>2.846975088967918</v>
      </c>
      <c r="L204" s="806">
        <f>INPUT!BC125</f>
        <v>49.299999999999898</v>
      </c>
      <c r="M204" s="808">
        <f>INPUT!BD125</f>
        <v>0</v>
      </c>
      <c r="N204" s="806">
        <f>INPUT!BE125</f>
        <v>50.099999999999909</v>
      </c>
      <c r="O204" s="808">
        <f>INPUT!BF125</f>
        <v>-14.795918367347106</v>
      </c>
      <c r="P204" s="806">
        <f>INPUT!BG125</f>
        <v>57.60000000000008</v>
      </c>
      <c r="Q204" s="808">
        <f>INPUT!BH125</f>
        <v>5.6880733944954409</v>
      </c>
      <c r="R204" s="806">
        <f>INPUT!BI125</f>
        <v>62.800000000000011</v>
      </c>
      <c r="S204" s="808">
        <f>INPUT!BJ125</f>
        <v>8.6505190311419788</v>
      </c>
      <c r="T204" s="806">
        <f>INPUT!BK125</f>
        <v>70.299999999999898</v>
      </c>
      <c r="U204" s="808">
        <f>INPUT!BL125</f>
        <v>42.59634888438142</v>
      </c>
      <c r="V204" s="806">
        <f>INPUT!BM125</f>
        <v>66.099999999999966</v>
      </c>
      <c r="W204" s="808">
        <f>INPUT!BN125</f>
        <v>31.936127744511154</v>
      </c>
      <c r="X204" s="806">
        <f>INPUT!BO125</f>
        <v>72.599999999999966</v>
      </c>
      <c r="Y204" s="808">
        <f>INPUT!BP125</f>
        <v>26.04166666666643</v>
      </c>
      <c r="Z204" s="806">
        <f>INPUT!BQ125</f>
        <v>77.599999999999966</v>
      </c>
      <c r="AA204" s="808">
        <f>INPUT!BR125</f>
        <v>23.566878980891648</v>
      </c>
      <c r="AB204" s="806">
        <f>INPUT!BS125</f>
        <v>74.299999999999955</v>
      </c>
      <c r="AC204" s="808">
        <f>INPUT!BT125</f>
        <v>5.6899004267426223</v>
      </c>
      <c r="AD204" s="806">
        <f>INPUT!BU125</f>
        <v>72.099999999999909</v>
      </c>
      <c r="AE204" s="808">
        <f>INPUT!BV125</f>
        <v>9.0771558245082318</v>
      </c>
      <c r="AF204" s="806">
        <f>INPUT!BW125</f>
        <v>82.699999999999932</v>
      </c>
      <c r="AG204" s="808">
        <f>INPUT!BX125</f>
        <v>13.911845730027505</v>
      </c>
      <c r="AH204" s="806">
        <f>INPUT!BY125</f>
        <v>56.199999999999989</v>
      </c>
      <c r="AI204" s="808">
        <f>INPUT!BZ125</f>
        <v>-27.577319587628846</v>
      </c>
      <c r="AJ204" s="806">
        <f>INPUT!CA125</f>
        <v>65.699999999999989</v>
      </c>
      <c r="AK204" s="808">
        <f>INPUT!CB125</f>
        <v>-11.574697173620418</v>
      </c>
      <c r="AL204" s="806">
        <f>INPUT!CC125</f>
        <v>61.400000000000006</v>
      </c>
      <c r="AM204" s="808">
        <f>INPUT!CD125</f>
        <v>-14.840499306518605</v>
      </c>
      <c r="AN204" s="806">
        <f>INPUT!CE125</f>
        <v>64.800000000000011</v>
      </c>
      <c r="AO204" s="808">
        <f>INPUT!CF125</f>
        <v>-21.644498186215156</v>
      </c>
      <c r="AP204" s="806">
        <f>INPUT!CG125</f>
        <v>69.300000000000011</v>
      </c>
      <c r="AQ204" s="808">
        <f>INPUT!CH125</f>
        <v>23.309608540925318</v>
      </c>
      <c r="AR204" s="806">
        <f>INPUT!CI125</f>
        <v>74.900000000000006</v>
      </c>
      <c r="AS204" s="808">
        <f>INPUT!CJ125</f>
        <v>14.003044140030463</v>
      </c>
      <c r="AT204" s="806">
        <f>INPUT!CK125</f>
        <v>84.199999999999989</v>
      </c>
      <c r="AU204" s="808">
        <f>INPUT!CL125</f>
        <v>37.133550488599319</v>
      </c>
      <c r="AV204" s="806">
        <f>INPUT!CM125</f>
        <v>77.699999999999989</v>
      </c>
      <c r="AW204" s="808">
        <f>INPUT!CN125</f>
        <v>19.907407407407373</v>
      </c>
      <c r="AX204" s="806">
        <f>INPUT!CO125</f>
        <v>78.800000000000011</v>
      </c>
      <c r="AY204" s="808">
        <f>INPUT!CP125</f>
        <v>13.708513708513713</v>
      </c>
      <c r="AZ204" s="806">
        <f>INPUT!CQ125</f>
        <v>85</v>
      </c>
      <c r="BA204" s="808">
        <f>INPUT!CR125</f>
        <v>13.484646194926553</v>
      </c>
      <c r="BB204" s="806">
        <f>INPUT!CS125</f>
        <v>85.699999999999989</v>
      </c>
      <c r="BC204" s="808">
        <f>INPUT!CT125</f>
        <v>1.7814726840855055</v>
      </c>
      <c r="BD204" s="806">
        <f>INPUT!CU125</f>
        <v>83.599999999999966</v>
      </c>
      <c r="BE204" s="808">
        <f>INPUT!CV125</f>
        <v>7.5933075933075633</v>
      </c>
      <c r="BF204" s="806">
        <f>INPUT!CW125</f>
        <v>70.999999999999943</v>
      </c>
      <c r="BG204" s="808">
        <f>INPUT!CX125</f>
        <v>-9.8984771573604853</v>
      </c>
      <c r="BH204" s="806">
        <f>INPUT!CY125</f>
        <v>83</v>
      </c>
      <c r="BI204" s="808">
        <f>INPUT!CZ125</f>
        <v>-2.352941176470591</v>
      </c>
      <c r="BJ204" s="806">
        <f>INPUT!DA125</f>
        <v>81.299999999999955</v>
      </c>
      <c r="BK204" s="808">
        <f>INPUT!DB125</f>
        <v>-5.1341890315052874</v>
      </c>
      <c r="BL204" s="806">
        <f>INPUT!DC125</f>
        <v>58.899999999999977</v>
      </c>
      <c r="BM204" s="808">
        <f>INPUT!DD125</f>
        <v>-29.54545454545454</v>
      </c>
      <c r="BN204" s="806">
        <f>INPUT!DE125</f>
        <v>81.199999999999989</v>
      </c>
      <c r="BO204" s="808">
        <f>INPUT!DF125</f>
        <v>14.366197183098661</v>
      </c>
      <c r="BP204" s="806">
        <f>INPUT!DG125</f>
        <v>82.5</v>
      </c>
      <c r="BQ204" s="808">
        <f>INPUT!DH125</f>
        <v>-0.60240963855421326</v>
      </c>
      <c r="BR204" s="806">
        <f>INPUT!DI125</f>
        <v>81.699999999999989</v>
      </c>
      <c r="BS204" s="808">
        <f>INPUT!DJ125</f>
        <v>0.49200492004923824</v>
      </c>
      <c r="BT204" s="806">
        <f>INPUT!DK125</f>
        <v>84.300000000000011</v>
      </c>
      <c r="BU204" s="808">
        <f>INPUT!DL125</f>
        <v>43.12393887945678</v>
      </c>
      <c r="BV204" s="806">
        <f>INPUT!DM125</f>
        <v>82.100000000000023</v>
      </c>
      <c r="BW204" s="808">
        <f>INPUT!DN125</f>
        <v>1.108374384236499</v>
      </c>
      <c r="BX204" s="806">
        <f>INPUT!DO125</f>
        <v>89.100000000000023</v>
      </c>
      <c r="BY204" s="808">
        <f>INPUT!DP125</f>
        <v>8.0000000000000284</v>
      </c>
      <c r="BZ204" s="806">
        <f>INPUT!DQ125</f>
        <v>87.699999999999989</v>
      </c>
      <c r="CA204" s="808">
        <f>INPUT!DR125</f>
        <v>7.3439412484700206</v>
      </c>
      <c r="CB204" s="806">
        <f>INPUT!DS125</f>
        <v>93.800000000000011</v>
      </c>
      <c r="CC204" s="808">
        <f>INPUT!DT125</f>
        <v>11.26927639383155</v>
      </c>
      <c r="CD204" s="806">
        <f>INPUT!DU125</f>
        <v>90.10000000000008</v>
      </c>
      <c r="CE204" s="808">
        <f>INPUT!DV125</f>
        <v>9.7442143727162644</v>
      </c>
      <c r="CF204" s="806">
        <f>INPUT!DW125</f>
        <v>95.899999999999977</v>
      </c>
      <c r="CG204" s="808">
        <f>INPUT!DX125</f>
        <v>7.6318742985409083</v>
      </c>
      <c r="CH204" s="806">
        <f>INPUT!DY125</f>
        <v>92.199999999999989</v>
      </c>
      <c r="CI204" s="808">
        <f>INPUT!DZ125</f>
        <v>5.1311288483466333</v>
      </c>
      <c r="CJ204" s="806">
        <f>INPUT!EA125</f>
        <v>94.500000000000057</v>
      </c>
      <c r="CK204" s="808">
        <f>INPUT!EB125</f>
        <v>0.74626865671647558</v>
      </c>
      <c r="CL204" s="806">
        <f>INPUT!EC125</f>
        <v>94.39999999999992</v>
      </c>
      <c r="CM204" s="808">
        <f>INPUT!ED125</f>
        <v>4.7724750277467587</v>
      </c>
      <c r="CN204" s="806">
        <f>INPUT!EE125</f>
        <v>94.5</v>
      </c>
      <c r="CO204" s="808">
        <f>INPUT!EF125</f>
        <v>-1.4598540145985162</v>
      </c>
      <c r="CP204" s="806">
        <f>INPUT!EG125</f>
        <v>108.30000000000001</v>
      </c>
      <c r="CQ204" s="808">
        <f>INPUT!EH125</f>
        <v>17.462039045553169</v>
      </c>
      <c r="CR204" s="806">
        <f>INPUT!EI125</f>
        <v>120.49999999999997</v>
      </c>
      <c r="CS204" s="808">
        <f>INPUT!EJ125</f>
        <v>27.513227513227399</v>
      </c>
      <c r="CT204" s="806">
        <f>INPUT!EK125</f>
        <v>98.466221399999995</v>
      </c>
      <c r="CU204" s="808">
        <f>INPUT!EL125</f>
        <v>4.3074379237288962</v>
      </c>
      <c r="CV204" s="806">
        <f>INPUT!EM125</f>
        <v>99.751249385200083</v>
      </c>
      <c r="CW204" s="808">
        <f>INPUT!EN125</f>
        <v>5.5568776562963773</v>
      </c>
      <c r="CX204" s="806">
        <f>INPUT!EO125</f>
        <v>101.05460845413364</v>
      </c>
      <c r="CY204" s="808">
        <f>INPUT!EP125</f>
        <v>-6.6901122307168714</v>
      </c>
      <c r="CZ204" s="806">
        <f>INPUT!EQ125</f>
        <v>101.94428273594559</v>
      </c>
      <c r="DA204" s="808">
        <f>INPUT!ER125</f>
        <v>-15.398935488841815</v>
      </c>
      <c r="DB204" s="809"/>
      <c r="DC204" s="810">
        <f>INPUT!FB125</f>
        <v>0</v>
      </c>
      <c r="DD204" s="807">
        <f>INPUT!FC125</f>
        <v>0</v>
      </c>
      <c r="DE204" s="810">
        <f>INPUT!FD125</f>
        <v>188.99999999999977</v>
      </c>
      <c r="DF204" s="807" t="str">
        <f>INPUT!FE125</f>
        <v>NA</v>
      </c>
      <c r="DG204" s="810">
        <f>INPUT!FF125</f>
        <v>216.09999999999991</v>
      </c>
      <c r="DH204" s="807">
        <f>INPUT!FG125</f>
        <v>14.338624338624427</v>
      </c>
      <c r="DI204" s="810">
        <f>INPUT!FH125</f>
        <v>180.09999999999991</v>
      </c>
      <c r="DJ204" s="807">
        <f>INPUT!FI125</f>
        <v>-16.658954187875985</v>
      </c>
      <c r="DK204" s="810">
        <f>INPUT!FJ125</f>
        <v>171.20000000000005</v>
      </c>
      <c r="DL204" s="808">
        <f>INPUT!FK125</f>
        <v>-4.9416990560798846</v>
      </c>
      <c r="DM204" s="810">
        <f>INPUT!FL125</f>
        <v>218.80000000000041</v>
      </c>
      <c r="DN204" s="808">
        <f>INPUT!FM125</f>
        <v>27.803738317757222</v>
      </c>
      <c r="DO204" s="810">
        <f>INPUT!FN125</f>
        <v>214.79999999999973</v>
      </c>
      <c r="DP204" s="808">
        <f>INPUT!FO125</f>
        <v>-1.8281535648997593</v>
      </c>
      <c r="DQ204" s="806">
        <f>INPUT!FP125</f>
        <v>271.79999999999995</v>
      </c>
      <c r="DR204" s="808">
        <f>INPUT!FQ125</f>
        <v>26.536312849162158</v>
      </c>
      <c r="DS204" s="806">
        <f>INPUT!FR125</f>
        <v>247.10000000000002</v>
      </c>
      <c r="DT204" s="808">
        <f>INPUT!FS125</f>
        <v>-9.0875643855776076</v>
      </c>
      <c r="DU204" s="806">
        <f>INPUT!FT125</f>
        <v>248.10000000000014</v>
      </c>
      <c r="DV204" s="808">
        <f>INPUT!FU125</f>
        <v>0.40469445568600548</v>
      </c>
      <c r="DW204" s="806">
        <f>INPUT!FV125</f>
        <v>306.09999999999991</v>
      </c>
      <c r="DX204" s="808">
        <f>INPUT!FW125</f>
        <v>23.377670294236097</v>
      </c>
      <c r="DY204" s="806">
        <f>INPUT!FX125</f>
        <v>331.59999999999968</v>
      </c>
      <c r="DZ204" s="808">
        <f>INPUT!FY125</f>
        <v>8.3306109114667635</v>
      </c>
      <c r="EA204" s="806">
        <f>INPUT!FZ125</f>
        <v>294.20000000000027</v>
      </c>
      <c r="EB204" s="808">
        <f>INPUT!GA125</f>
        <v>-11.278648974668105</v>
      </c>
      <c r="EC204" s="806">
        <f>INPUT!GB125</f>
        <v>329.69999999999982</v>
      </c>
      <c r="ED204" s="808">
        <f>INPUT!GC125</f>
        <v>12.066621346022943</v>
      </c>
      <c r="EE204" s="806">
        <f>INPUT!GD125</f>
        <v>352.70000000000027</v>
      </c>
      <c r="EF204" s="808">
        <f>INPUT!GE125</f>
        <v>6.9760388231727255</v>
      </c>
      <c r="EG204" s="806">
        <f>INPUT!GF125</f>
        <v>372.70000000000005</v>
      </c>
      <c r="EH204" s="808">
        <f>INPUT!GG125</f>
        <v>5.6705415367166889</v>
      </c>
      <c r="EI204" s="806">
        <f>INPUT!GH125</f>
        <v>417.69999999999993</v>
      </c>
      <c r="EJ204" s="808">
        <f>INPUT!GI125</f>
        <v>12.074054199087714</v>
      </c>
      <c r="EK204" s="806">
        <f>INPUT!GJ125</f>
        <v>401.21636197527914</v>
      </c>
      <c r="EL204" s="808">
        <f>INPUT!GK125</f>
        <v>-3.9462863358201594</v>
      </c>
      <c r="EM204" s="806">
        <f>INPUT!GL125</f>
        <v>416.22289684887323</v>
      </c>
      <c r="EN204" s="808">
        <f>INPUT!GM125</f>
        <v>3.7402599434662953</v>
      </c>
      <c r="EO204" s="806">
        <f>INPUT!GN125</f>
        <v>431.82812996939197</v>
      </c>
      <c r="EP204" s="808">
        <f>INPUT!GO125</f>
        <v>3.7492490775164811</v>
      </c>
      <c r="EQ204" s="806">
        <f>INPUT!GP125</f>
        <v>448.05744739427882</v>
      </c>
      <c r="ER204" s="808">
        <f>INPUT!GQ125</f>
        <v>3.7582816631323235</v>
      </c>
      <c r="ES204" s="806">
        <f>INPUT!GR125</f>
        <v>461.31059094722605</v>
      </c>
      <c r="ET204" s="808">
        <f>INPUT!GS125</f>
        <v>2.9579116762866287</v>
      </c>
      <c r="EU204" s="807">
        <f>INPUT!GT125</f>
        <v>2.0060169785684812</v>
      </c>
      <c r="EV204" s="724"/>
    </row>
    <row r="205" spans="1:152" ht="12.75" hidden="1" customHeight="1" outlineLevel="2" x14ac:dyDescent="0.2">
      <c r="A205" s="759" t="s">
        <v>517</v>
      </c>
      <c r="B205" s="760"/>
      <c r="C205" s="761"/>
      <c r="D205" s="760"/>
      <c r="E205" s="761"/>
      <c r="F205" s="760"/>
      <c r="G205" s="761"/>
      <c r="H205" s="762"/>
      <c r="I205" s="763"/>
      <c r="J205" s="760"/>
      <c r="K205" s="763"/>
      <c r="L205" s="760"/>
      <c r="M205" s="763"/>
      <c r="N205" s="760"/>
      <c r="O205" s="763"/>
      <c r="P205" s="760"/>
      <c r="Q205" s="763"/>
      <c r="R205" s="760"/>
      <c r="S205" s="763"/>
      <c r="T205" s="760"/>
      <c r="U205" s="763"/>
      <c r="V205" s="760"/>
      <c r="W205" s="763"/>
      <c r="X205" s="760"/>
      <c r="Y205" s="763"/>
      <c r="Z205" s="760"/>
      <c r="AA205" s="763"/>
      <c r="AB205" s="760"/>
      <c r="AC205" s="763"/>
      <c r="AD205" s="760"/>
      <c r="AE205" s="763"/>
      <c r="AF205" s="760"/>
      <c r="AG205" s="763"/>
      <c r="AH205" s="760"/>
      <c r="AI205" s="763"/>
      <c r="AJ205" s="760"/>
      <c r="AK205" s="763"/>
      <c r="AL205" s="760"/>
      <c r="AM205" s="763"/>
      <c r="AN205" s="760"/>
      <c r="AO205" s="763"/>
      <c r="AP205" s="764">
        <f>(AP192+AP193+AP194-AP198-AP199-AP200-AP201)-AP204</f>
        <v>0</v>
      </c>
      <c r="AQ205" s="763"/>
      <c r="AR205" s="764">
        <f>(AR192+AR193+AR194-AR198-AR199-AR200-AR201)-AR204</f>
        <v>0</v>
      </c>
      <c r="AS205" s="763"/>
      <c r="AT205" s="764">
        <f>(AT192+AT193+AT194-AT198-AT199-AT200-AT201)-AT204</f>
        <v>0</v>
      </c>
      <c r="AU205" s="763"/>
      <c r="AV205" s="764">
        <f>(AV192+AV193+AV194-AV198-AV199-AV200-AV201)-AV204</f>
        <v>0</v>
      </c>
      <c r="AW205" s="763"/>
      <c r="AX205" s="764">
        <f>(AX192+AX193+AX194-AX198-AX199-AX200-AX201)-AX204</f>
        <v>0</v>
      </c>
      <c r="AY205" s="763"/>
      <c r="AZ205" s="764">
        <f>(AZ192+AZ193+AZ194-AZ198-AZ199-AZ200-AZ201)-AZ204</f>
        <v>0</v>
      </c>
      <c r="BA205" s="763"/>
      <c r="BB205" s="764">
        <f>(BB192+BB193+BB194-BB198-BB199-BB200-BB201)-BB204</f>
        <v>0</v>
      </c>
      <c r="BC205" s="763"/>
      <c r="BD205" s="764">
        <f>(BD192+BD193+BD194-BD198-BD199-BD200-BD201)-BD204</f>
        <v>0</v>
      </c>
      <c r="BE205" s="763"/>
      <c r="BF205" s="764">
        <f>(BF192+BF193+BF194-BF198-BF199-BF200-BF201)-BF204</f>
        <v>0</v>
      </c>
      <c r="BG205" s="763"/>
      <c r="BH205" s="764">
        <f>(BH192+BH193+BH194-BH198-BH199-BH200-BH201)-BH204</f>
        <v>0</v>
      </c>
      <c r="BI205" s="763"/>
      <c r="BJ205" s="764">
        <f>(BJ192+BJ193+BJ194-BJ198-BJ199-BJ200-BJ201)-BJ204</f>
        <v>0</v>
      </c>
      <c r="BK205" s="763"/>
      <c r="BL205" s="764">
        <f>(BL192+BL193+BL194-BL198-BL199-BL200-BL201)-BL204</f>
        <v>0</v>
      </c>
      <c r="BM205" s="763"/>
      <c r="BN205" s="764">
        <f>(BN192+BN193+BN194-BN198-BN199-BN200-BN201)-BN204</f>
        <v>0</v>
      </c>
      <c r="BO205" s="763"/>
      <c r="BP205" s="764">
        <f>(BP192+BP193+BP194-BP198-BP199-BP200-BP201)-BP204</f>
        <v>0</v>
      </c>
      <c r="BQ205" s="763"/>
      <c r="BR205" s="764">
        <f>(BR192+BR193+BR194-BR198-BR199-BR200-BR201)-BR204</f>
        <v>0</v>
      </c>
      <c r="BS205" s="763"/>
      <c r="BT205" s="764">
        <f>(BT192+BT193+BT194-BT198-BT199-BT200-BT201)-BT204</f>
        <v>0</v>
      </c>
      <c r="BU205" s="763"/>
      <c r="BV205" s="764">
        <f>(BV192+BV193+BV194-BV198-BV199-BV200-BV201)-BV204</f>
        <v>0</v>
      </c>
      <c r="BW205" s="763"/>
      <c r="BX205" s="764">
        <f>(BX192+BX193+BX194-BX198-BX199-BX200-BX201)-BX204</f>
        <v>0</v>
      </c>
      <c r="BY205" s="763"/>
      <c r="BZ205" s="764">
        <f>(BZ192+BZ193+BZ194-BZ198-BZ199-BZ200-BZ201)-BZ204</f>
        <v>0</v>
      </c>
      <c r="CA205" s="763"/>
      <c r="CB205" s="764">
        <f>(CB192+CB193+CB194-CB198-CB199-CB200-CB201)-CB204</f>
        <v>0</v>
      </c>
      <c r="CC205" s="763"/>
      <c r="CD205" s="764">
        <f>(CD192+CD193+CD194-CD198-CD199-CD200-CD201)-CD204</f>
        <v>0</v>
      </c>
      <c r="CE205" s="763"/>
      <c r="CF205" s="764">
        <f>(CF192+CF193+CF194-CF198-CF199-CF200-CF201)-CF204</f>
        <v>0</v>
      </c>
      <c r="CG205" s="763"/>
      <c r="CH205" s="764">
        <f>(CH192+CH193+CH194-CH198-CH199-CH200-CH201)-CH204</f>
        <v>0</v>
      </c>
      <c r="CI205" s="763"/>
      <c r="CJ205" s="764">
        <f>(CJ192+CJ193+CJ194-CJ198-CJ199-CJ200-CJ201)-CJ204</f>
        <v>0</v>
      </c>
      <c r="CK205" s="763"/>
      <c r="CL205" s="764">
        <f t="shared" ref="CL205" si="257">(CL192+CL193+CL194-CL198-CL199-CL200-CL201)-CL204</f>
        <v>0</v>
      </c>
      <c r="CM205" s="763"/>
      <c r="CN205" s="764">
        <f t="shared" ref="CN205" si="258">(CN192+CN193+CN194-CN198-CN199-CN200-CN201)-CN204</f>
        <v>0</v>
      </c>
      <c r="CO205" s="763"/>
      <c r="CP205" s="764">
        <f t="shared" ref="CP205" si="259">(CP192+CP193+CP194-CP198-CP199-CP200-CP201)-CP204</f>
        <v>0</v>
      </c>
      <c r="CQ205" s="763"/>
      <c r="CR205" s="764">
        <f t="shared" ref="CR205" si="260">(CR192+CR193+CR194-CR198-CR199-CR200-CR201)-CR204</f>
        <v>-8.0999999999999659</v>
      </c>
      <c r="CS205" s="763"/>
      <c r="CT205" s="764">
        <f t="shared" ref="CT205" si="261">(CT192+CT193+CT194-CT198-CT199-CT200-CT201)-CT204</f>
        <v>0</v>
      </c>
      <c r="CU205" s="763"/>
      <c r="CV205" s="764">
        <f t="shared" ref="CV205" si="262">(CV192+CV193+CV194-CV198-CV199-CV200-CV201)-CV204</f>
        <v>0</v>
      </c>
      <c r="CW205" s="763"/>
      <c r="CX205" s="764">
        <f t="shared" ref="CX205" si="263">(CX192+CX193+CX194-CX198-CX199-CX200-CX201)-CX204</f>
        <v>0</v>
      </c>
      <c r="CY205" s="763"/>
      <c r="CZ205" s="764">
        <f t="shared" ref="CZ205" si="264">(CZ192+CZ193+CZ194-CZ198-CZ199-CZ200-CZ201)-CZ204</f>
        <v>0</v>
      </c>
      <c r="DA205" s="763"/>
      <c r="DB205" s="765"/>
      <c r="DC205" s="766"/>
      <c r="DD205" s="761"/>
      <c r="DE205" s="766"/>
      <c r="DF205" s="761"/>
      <c r="DG205" s="766"/>
      <c r="DH205" s="761"/>
      <c r="DI205" s="766"/>
      <c r="DJ205" s="761"/>
      <c r="DK205" s="766"/>
      <c r="DL205" s="763"/>
      <c r="DM205" s="766"/>
      <c r="DN205" s="763"/>
      <c r="DO205" s="766"/>
      <c r="DP205" s="763"/>
      <c r="DQ205" s="760"/>
      <c r="DR205" s="763"/>
      <c r="DS205" s="760"/>
      <c r="DT205" s="763"/>
      <c r="DU205" s="764">
        <f>(DU192+DU193+DU194-DU198-DU199-DU200-DU201)-DU204</f>
        <v>0</v>
      </c>
      <c r="DV205" s="763"/>
      <c r="DW205" s="764">
        <f>(DW192+DW193+DW194-DW198-DW199-DW200-DW201)-DW204</f>
        <v>0</v>
      </c>
      <c r="DX205" s="763"/>
      <c r="DY205" s="764">
        <f>(DY192+DY193+DY194-DY198-DY199-DY200-DY201)-DY204</f>
        <v>0</v>
      </c>
      <c r="DZ205" s="763"/>
      <c r="EA205" s="764">
        <f>(EA192+EA193+EA194-EA198-EA199-EA200-EA201)-EA204</f>
        <v>0</v>
      </c>
      <c r="EB205" s="763"/>
      <c r="EC205" s="764">
        <f>(EC192+EC193+EC194-EC198-EC199-EC200-EC201)-EC204</f>
        <v>0</v>
      </c>
      <c r="ED205" s="763"/>
      <c r="EE205" s="764">
        <f>(EE192+EE193+EE194-EE198-EE199-EE200-EE201)-EE204</f>
        <v>0</v>
      </c>
      <c r="EF205" s="763"/>
      <c r="EG205" s="764">
        <f>(EG192+EG193+EG194-EG198-EG199-EG200-EG201)-EG204</f>
        <v>0</v>
      </c>
      <c r="EH205" s="763"/>
      <c r="EI205" s="764">
        <f>(EI192+EI193+EI194-EI198-EI199-EI200-EI201)-EI204</f>
        <v>-8.1000000000000796</v>
      </c>
      <c r="EJ205" s="763"/>
      <c r="EK205" s="764">
        <f>(EK192+EK193+EK194-EK198-EK199-EK200-EK201)-EK204</f>
        <v>0</v>
      </c>
      <c r="EL205" s="763"/>
      <c r="EM205" s="764">
        <f>(EM192+EM193+EM194-EM198-EM199-EM200-EM201)-EM204</f>
        <v>0</v>
      </c>
      <c r="EN205" s="763"/>
      <c r="EO205" s="764">
        <f>(EO192+EO193+EO194-EO198-EO199-EO200-EO201)-EO204</f>
        <v>0</v>
      </c>
      <c r="EP205" s="763"/>
      <c r="EQ205" s="764">
        <f>(EQ192+EQ193+EQ194-EQ198-EQ199-EQ200-EQ201)-EQ204</f>
        <v>0</v>
      </c>
      <c r="ER205" s="763"/>
      <c r="ES205" s="764">
        <f>(ES192+ES193+ES194-ES198-ES199-ES200-ES201)-ES204</f>
        <v>0</v>
      </c>
      <c r="ET205" s="763"/>
      <c r="EU205" s="761"/>
      <c r="EV205" s="710"/>
    </row>
    <row r="206" spans="1:152" ht="12.75" hidden="1" customHeight="1" outlineLevel="1" collapsed="1" x14ac:dyDescent="0.2">
      <c r="A206" s="754"/>
      <c r="B206" s="750"/>
      <c r="C206" s="767"/>
      <c r="D206" s="750"/>
      <c r="E206" s="767"/>
      <c r="F206" s="750"/>
      <c r="G206" s="767"/>
      <c r="H206" s="750"/>
      <c r="I206" s="752"/>
      <c r="J206" s="750"/>
      <c r="K206" s="752"/>
      <c r="L206" s="750"/>
      <c r="M206" s="752"/>
      <c r="N206" s="750"/>
      <c r="O206" s="752"/>
      <c r="P206" s="750"/>
      <c r="Q206" s="752"/>
      <c r="R206" s="750"/>
      <c r="S206" s="752"/>
      <c r="T206" s="750"/>
      <c r="U206" s="752"/>
      <c r="V206" s="750"/>
      <c r="W206" s="752"/>
      <c r="X206" s="750"/>
      <c r="Y206" s="752"/>
      <c r="Z206" s="750"/>
      <c r="AA206" s="752"/>
      <c r="AB206" s="750"/>
      <c r="AC206" s="752"/>
      <c r="AD206" s="750"/>
      <c r="AE206" s="752"/>
      <c r="AF206" s="750"/>
      <c r="AG206" s="752"/>
      <c r="AH206" s="750"/>
      <c r="AI206" s="752"/>
      <c r="AJ206" s="750"/>
      <c r="AK206" s="752"/>
      <c r="AL206" s="750"/>
      <c r="AM206" s="752"/>
      <c r="AN206" s="750"/>
      <c r="AO206" s="752"/>
      <c r="AP206" s="750"/>
      <c r="AQ206" s="752"/>
      <c r="AR206" s="750"/>
      <c r="AS206" s="752"/>
      <c r="AT206" s="750"/>
      <c r="AU206" s="752"/>
      <c r="AV206" s="750"/>
      <c r="AW206" s="752"/>
      <c r="AX206" s="750"/>
      <c r="AY206" s="752"/>
      <c r="AZ206" s="750"/>
      <c r="BA206" s="752"/>
      <c r="BB206" s="750"/>
      <c r="BC206" s="752"/>
      <c r="BD206" s="750"/>
      <c r="BE206" s="752"/>
      <c r="BF206" s="750"/>
      <c r="BG206" s="752"/>
      <c r="BH206" s="750"/>
      <c r="BI206" s="752"/>
      <c r="BJ206" s="750"/>
      <c r="BK206" s="752"/>
      <c r="BL206" s="750"/>
      <c r="BM206" s="752"/>
      <c r="BN206" s="750"/>
      <c r="BO206" s="752"/>
      <c r="BP206" s="750"/>
      <c r="BQ206" s="752"/>
      <c r="BR206" s="750"/>
      <c r="BS206" s="752"/>
      <c r="BT206" s="750"/>
      <c r="BU206" s="752"/>
      <c r="BV206" s="750"/>
      <c r="BW206" s="752"/>
      <c r="BX206" s="750"/>
      <c r="BY206" s="752"/>
      <c r="BZ206" s="750"/>
      <c r="CA206" s="752"/>
      <c r="CB206" s="750"/>
      <c r="CC206" s="752"/>
      <c r="CD206" s="750"/>
      <c r="CE206" s="752"/>
      <c r="CF206" s="750"/>
      <c r="CG206" s="752"/>
      <c r="CH206" s="750"/>
      <c r="CI206" s="752"/>
      <c r="CJ206" s="750"/>
      <c r="CK206" s="752"/>
      <c r="CL206" s="750"/>
      <c r="CM206" s="752"/>
      <c r="CN206" s="750"/>
      <c r="CO206" s="752"/>
      <c r="CP206" s="750"/>
      <c r="CQ206" s="752"/>
      <c r="CR206" s="750"/>
      <c r="CS206" s="752"/>
      <c r="CT206" s="750"/>
      <c r="CU206" s="752"/>
      <c r="CV206" s="750"/>
      <c r="CW206" s="752"/>
      <c r="CX206" s="750"/>
      <c r="CY206" s="752"/>
      <c r="CZ206" s="750"/>
      <c r="DA206" s="752"/>
      <c r="DB206" s="753"/>
      <c r="DC206" s="750"/>
      <c r="DD206" s="767"/>
      <c r="DE206" s="750"/>
      <c r="DF206" s="767"/>
      <c r="DG206" s="750"/>
      <c r="DH206" s="767"/>
      <c r="DI206" s="750"/>
      <c r="DJ206" s="767"/>
      <c r="DK206" s="750"/>
      <c r="DL206" s="752"/>
      <c r="DM206" s="750"/>
      <c r="DN206" s="752"/>
      <c r="DO206" s="750"/>
      <c r="DP206" s="752"/>
      <c r="DQ206" s="750"/>
      <c r="DR206" s="752"/>
      <c r="DS206" s="750"/>
      <c r="DT206" s="752"/>
      <c r="DU206" s="750"/>
      <c r="DV206" s="752"/>
      <c r="DW206" s="750"/>
      <c r="DX206" s="752"/>
      <c r="DY206" s="750"/>
      <c r="DZ206" s="752"/>
      <c r="EA206" s="750"/>
      <c r="EB206" s="752"/>
      <c r="EC206" s="750"/>
      <c r="ED206" s="752"/>
      <c r="EE206" s="750"/>
      <c r="EF206" s="752"/>
      <c r="EG206" s="750"/>
      <c r="EH206" s="752"/>
      <c r="EI206" s="750"/>
      <c r="EJ206" s="752"/>
      <c r="EK206" s="750"/>
      <c r="EL206" s="752"/>
      <c r="EM206" s="750"/>
      <c r="EN206" s="752"/>
      <c r="EO206" s="750"/>
      <c r="EP206" s="752"/>
      <c r="EQ206" s="750"/>
      <c r="ER206" s="752"/>
      <c r="ES206" s="750"/>
      <c r="ET206" s="752"/>
      <c r="EU206" s="767"/>
      <c r="EV206" s="710"/>
    </row>
    <row r="207" spans="1:152" ht="12.75" hidden="1" customHeight="1" outlineLevel="1" x14ac:dyDescent="0.2">
      <c r="A207" s="749" t="s">
        <v>260</v>
      </c>
      <c r="B207" s="793">
        <f>INPUT!AS449</f>
        <v>27.863163113534966</v>
      </c>
      <c r="C207" s="767">
        <f>INPUT!AT449</f>
        <v>24.075001045331756</v>
      </c>
      <c r="D207" s="793">
        <f>INPUT!AU449</f>
        <v>22.771362586605061</v>
      </c>
      <c r="E207" s="767">
        <f>INPUT!AV449</f>
        <v>5.0945605091472279</v>
      </c>
      <c r="F207" s="793">
        <f>INPUT!AW449</f>
        <v>24.049079754601223</v>
      </c>
      <c r="G207" s="767">
        <f>INPUT!AX449</f>
        <v>27.247029587636828</v>
      </c>
      <c r="H207" s="793">
        <f>INPUT!AY449</f>
        <v>20.566037735849068</v>
      </c>
      <c r="I207" s="752">
        <f>INPUT!AZ449</f>
        <v>-17.691904531527168</v>
      </c>
      <c r="J207" s="793">
        <f>INPUT!BA449</f>
        <v>21.927162367223051</v>
      </c>
      <c r="K207" s="752">
        <f>INPUT!BB449</f>
        <v>-21.304116557493114</v>
      </c>
      <c r="L207" s="793">
        <f>INPUT!BC449</f>
        <v>17.894736842105228</v>
      </c>
      <c r="M207" s="752">
        <f>INPUT!BD449</f>
        <v>-21.415607985481032</v>
      </c>
      <c r="N207" s="793">
        <f>INPUT!BE449</f>
        <v>15.415384615384594</v>
      </c>
      <c r="O207" s="752">
        <f>INPUT!BF449</f>
        <v>-35.900313971742627</v>
      </c>
      <c r="P207" s="793">
        <f>INPUT!BG449</f>
        <v>18.611473272490244</v>
      </c>
      <c r="Q207" s="752">
        <f>INPUT!BH449</f>
        <v>-9.5038455557814316</v>
      </c>
      <c r="R207" s="793">
        <f>INPUT!BI449</f>
        <v>20.05108556832695</v>
      </c>
      <c r="S207" s="752">
        <f>INPUT!BJ449</f>
        <v>-8.5559488614015962</v>
      </c>
      <c r="T207" s="793">
        <f>INPUT!BK449</f>
        <v>20.621883250219991</v>
      </c>
      <c r="U207" s="752">
        <f>INPUT!BL449</f>
        <v>15.239935810053119</v>
      </c>
      <c r="V207" s="793">
        <f>INPUT!BM449</f>
        <v>20.300982800982801</v>
      </c>
      <c r="W207" s="752">
        <f>INPUT!BN449</f>
        <v>31.69300220198441</v>
      </c>
      <c r="X207" s="793">
        <f>INPUT!BO449</f>
        <v>23.404255319148909</v>
      </c>
      <c r="Y207" s="752">
        <f>INPUT!BP449</f>
        <v>25.75176062898208</v>
      </c>
      <c r="Z207" s="793">
        <f>INPUT!BQ449</f>
        <v>24.619289340101517</v>
      </c>
      <c r="AA207" s="752">
        <f>INPUT!BR449</f>
        <v>22.7828251802515</v>
      </c>
      <c r="AB207" s="793">
        <f>INPUT!BS449</f>
        <v>22.939178758876171</v>
      </c>
      <c r="AC207" s="752">
        <f>INPUT!BT449</f>
        <v>11.237070254635739</v>
      </c>
      <c r="AD207" s="793">
        <f>INPUT!BU449</f>
        <v>22.552392868314026</v>
      </c>
      <c r="AE207" s="752">
        <f>INPUT!BV449</f>
        <v>11.09015306994019</v>
      </c>
      <c r="AF207" s="793">
        <f>INPUT!BW449</f>
        <v>25.699192044748287</v>
      </c>
      <c r="AG207" s="752">
        <f>INPUT!BX449</f>
        <v>9.8056387366519004</v>
      </c>
      <c r="AH207" s="793">
        <f>INPUT!BY449</f>
        <v>16.52455160246986</v>
      </c>
      <c r="AI207" s="752">
        <f>INPUT!BZ449</f>
        <v>-32.879656377596632</v>
      </c>
      <c r="AJ207" s="793">
        <f>INPUT!CA449</f>
        <v>19.121071012805587</v>
      </c>
      <c r="AK207" s="752">
        <f>INPUT!CB449</f>
        <v>-16.644483162210822</v>
      </c>
      <c r="AL207" s="793">
        <f>INPUT!CC449</f>
        <v>18.583535108958834</v>
      </c>
      <c r="AM207" s="752">
        <f>INPUT!CD449</f>
        <v>-17.598388705490375</v>
      </c>
      <c r="AN207" s="793">
        <f>INPUT!CE449</f>
        <v>20.663265306122433</v>
      </c>
      <c r="AO207" s="752">
        <f>INPUT!CF449</f>
        <v>-19.595661722972192</v>
      </c>
      <c r="AP207" s="793">
        <f>INPUT!CG449</f>
        <v>21.642723297938801</v>
      </c>
      <c r="AQ207" s="752">
        <f>INPUT!CH449</f>
        <v>30.973135117953497</v>
      </c>
      <c r="AR207" s="793">
        <f>INPUT!CI449</f>
        <v>21.641144177983236</v>
      </c>
      <c r="AS207" s="752">
        <f>INPUT!CJ449</f>
        <v>13.179560723821005</v>
      </c>
      <c r="AT207" s="793">
        <f>INPUT!CK449</f>
        <v>24.547723019338736</v>
      </c>
      <c r="AU207" s="752">
        <f>INPUT!CL449</f>
        <v>32.093936247386324</v>
      </c>
      <c r="AV207" s="793">
        <f>INPUT!CM449</f>
        <v>-12.59727626459143</v>
      </c>
      <c r="AW207" s="752" t="str">
        <f>INPUT!CN449</f>
        <v>NM</v>
      </c>
      <c r="AX207" s="793">
        <f>INPUT!CO449</f>
        <v>25.485122897800789</v>
      </c>
      <c r="AY207" s="752">
        <f>INPUT!CP449</f>
        <v>17.753771311339218</v>
      </c>
      <c r="AZ207" s="793">
        <f>INPUT!CQ449</f>
        <v>27.410512737826515</v>
      </c>
      <c r="BA207" s="752">
        <f>INPUT!CR449</f>
        <v>26.659258458768488</v>
      </c>
      <c r="BB207" s="793">
        <f>INPUT!CS449</f>
        <v>27.58287737367235</v>
      </c>
      <c r="BC207" s="752">
        <f>INPUT!CT449</f>
        <v>12.364300965684327</v>
      </c>
      <c r="BD207" s="793">
        <f>INPUT!CU449</f>
        <v>26.99386503067484</v>
      </c>
      <c r="BE207" s="752" t="str">
        <f>INPUT!CV449</f>
        <v>NM</v>
      </c>
      <c r="BF207" s="793">
        <f>INPUT!CW449</f>
        <v>25.961538461538435</v>
      </c>
      <c r="BG207" s="752">
        <f>INPUT!CX449</f>
        <v>1.869386958219299</v>
      </c>
      <c r="BH207" s="793">
        <f>INPUT!CY449</f>
        <v>26.357573832962849</v>
      </c>
      <c r="BI207" s="752">
        <f>INPUT!CZ449</f>
        <v>-3.84136887527321</v>
      </c>
      <c r="BJ207" s="793">
        <f>INPUT!DA449</f>
        <v>25.695322376738289</v>
      </c>
      <c r="BK207" s="752">
        <f>INPUT!DB449</f>
        <v>-6.843212806854293</v>
      </c>
      <c r="BL207" s="793">
        <f>INPUT!DC449</f>
        <v>28.137384412153231</v>
      </c>
      <c r="BM207" s="752">
        <f>INPUT!DD449</f>
        <v>4.2362195268404124</v>
      </c>
      <c r="BN207" s="793">
        <f>INPUT!DE449</f>
        <v>24.992305324715314</v>
      </c>
      <c r="BO207" s="752">
        <f>INPUT!DF449</f>
        <v>-3.7333424529483183</v>
      </c>
      <c r="BP207" s="793">
        <f>INPUT!DG449</f>
        <v>25.361205041500153</v>
      </c>
      <c r="BQ207" s="752">
        <f>INPUT!DH449</f>
        <v>-3.7801991859229278</v>
      </c>
      <c r="BR207" s="793">
        <f>INPUT!DI449</f>
        <v>25.756620428751571</v>
      </c>
      <c r="BS207" s="752">
        <f>INPUT!DJ449</f>
        <v>0.23855724055352745</v>
      </c>
      <c r="BT207" s="793">
        <f>INPUT!DK449</f>
        <v>-22.606596942880131</v>
      </c>
      <c r="BU207" s="752" t="str">
        <f>INPUT!DL449</f>
        <v>NM</v>
      </c>
      <c r="BV207" s="793">
        <f>INPUT!DM449</f>
        <v>25.793276782909206</v>
      </c>
      <c r="BW207" s="752">
        <f>INPUT!DN449</f>
        <v>3.2048722508275285</v>
      </c>
      <c r="BX207" s="793">
        <f>INPUT!DO449</f>
        <v>27.931034482758633</v>
      </c>
      <c r="BY207" s="752">
        <f>INPUT!DP449</f>
        <v>10.132915360501627</v>
      </c>
      <c r="BZ207" s="793">
        <f>INPUT!DQ449</f>
        <v>26.943164362519177</v>
      </c>
      <c r="CA207" s="752">
        <f>INPUT!DR449</f>
        <v>4.6067531920573446</v>
      </c>
      <c r="CB207" s="793">
        <f>INPUT!DS449</f>
        <v>29.376761666144702</v>
      </c>
      <c r="CC207" s="752" t="str">
        <f>INPUT!DT449</f>
        <v>NM</v>
      </c>
      <c r="CD207" s="793">
        <f>INPUT!DU449</f>
        <v>27.748691099476481</v>
      </c>
      <c r="CE207" s="752">
        <f>INPUT!DV449</f>
        <v>7.5811008156317028</v>
      </c>
      <c r="CF207" s="793">
        <f>INPUT!DW449</f>
        <v>28.63541355628546</v>
      </c>
      <c r="CG207" s="752">
        <f>INPUT!DX449</f>
        <v>2.5218510039849429</v>
      </c>
      <c r="CH207" s="793">
        <f>INPUT!DY449</f>
        <v>28.713796325132336</v>
      </c>
      <c r="CI207" s="752">
        <f>INPUT!DZ449</f>
        <v>6.571729804225579</v>
      </c>
      <c r="CJ207" s="793">
        <f>INPUT!EA449</f>
        <v>27.567094515752643</v>
      </c>
      <c r="CK207" s="752">
        <f>INPUT!EB449</f>
        <v>-6.1601995855030349</v>
      </c>
      <c r="CL207" s="793">
        <f>INPUT!EC449</f>
        <v>27.772874374816119</v>
      </c>
      <c r="CM207" s="752">
        <f>INPUT!ED449</f>
        <v>8.7151048865496961E-2</v>
      </c>
      <c r="CN207" s="793">
        <f>INPUT!EE449</f>
        <v>26.732673267326724</v>
      </c>
      <c r="CO207" s="752">
        <f>INPUT!EF449</f>
        <v>-6.6447103521614199</v>
      </c>
      <c r="CP207" s="793">
        <f>INPUT!EG449</f>
        <v>30.387205387205395</v>
      </c>
      <c r="CQ207" s="752">
        <f>INPUT!EH449</f>
        <v>5.8278920806036805</v>
      </c>
      <c r="CR207" s="793">
        <f>INPUT!EI449</f>
        <v>27.085009385894349</v>
      </c>
      <c r="CS207" s="752">
        <f>INPUT!EJ449</f>
        <v>-1.7487701853483917</v>
      </c>
      <c r="CT207" s="793">
        <f>INPUT!EK449</f>
        <v>28.076640933500506</v>
      </c>
      <c r="CU207" s="752">
        <f>INPUT!EL449</f>
        <v>1.0937526832290656</v>
      </c>
      <c r="CV207" s="793">
        <f>INPUT!EM449</f>
        <v>28.256106788413206</v>
      </c>
      <c r="CW207" s="752">
        <f>INPUT!EN449</f>
        <v>5.6987698381383289</v>
      </c>
      <c r="CX207" s="793">
        <f>INPUT!EO449</f>
        <v>28.511836641361306</v>
      </c>
      <c r="CY207" s="752">
        <f>INPUT!EP449</f>
        <v>-6.1715736012819322</v>
      </c>
      <c r="CZ207" s="793">
        <f>INPUT!EQ449</f>
        <v>28.576942328462856</v>
      </c>
      <c r="DA207" s="752">
        <f>INPUT!ER449</f>
        <v>5.5083345968692576</v>
      </c>
      <c r="DB207" s="753"/>
      <c r="DC207" s="793">
        <f>INPUT!FB449</f>
        <v>0</v>
      </c>
      <c r="DD207" s="767" t="str">
        <f>INPUT!FC449</f>
        <v>NA</v>
      </c>
      <c r="DE207" s="793">
        <f>INPUT!FD449</f>
        <v>17.875721176581823</v>
      </c>
      <c r="DF207" s="767" t="str">
        <f>INPUT!FE449</f>
        <v>NA</v>
      </c>
      <c r="DG207" s="793">
        <f>INPUT!FF449</f>
        <v>-318.262150220916</v>
      </c>
      <c r="DH207" s="767" t="str">
        <f>INPUT!FG449</f>
        <v>NM</v>
      </c>
      <c r="DI207" s="793">
        <f>INPUT!FH449</f>
        <v>-133.40740740740716</v>
      </c>
      <c r="DJ207" s="767" t="str">
        <f>INPUT!FI449</f>
        <v>NM</v>
      </c>
      <c r="DK207" s="793">
        <f>INPUT!FJ449</f>
        <v>21.909393396467859</v>
      </c>
      <c r="DL207" s="752" t="str">
        <f>INPUT!FK449</f>
        <v>NM</v>
      </c>
      <c r="DM207" s="793">
        <f>INPUT!FL449</f>
        <v>23.585210736229424</v>
      </c>
      <c r="DN207" s="752">
        <f>INPUT!FM449</f>
        <v>7.6488532084677985</v>
      </c>
      <c r="DO207" s="793">
        <f>INPUT!FN449</f>
        <v>18.302160731061552</v>
      </c>
      <c r="DP207" s="752">
        <f>INPUT!FO449</f>
        <v>-22.399842275110725</v>
      </c>
      <c r="DQ207" s="793">
        <f>INPUT!FP449</f>
        <v>21.07140088378944</v>
      </c>
      <c r="DR207" s="752">
        <f>INPUT!FQ449</f>
        <v>15.130673330980349</v>
      </c>
      <c r="DS207" s="793">
        <f>INPUT!FR449</f>
        <v>18.780877099642794</v>
      </c>
      <c r="DT207" s="752">
        <f>INPUT!FS449</f>
        <v>-10.870296648899046</v>
      </c>
      <c r="DU207" s="793">
        <f>INPUT!FT449</f>
        <v>18.68645025231606</v>
      </c>
      <c r="DV207" s="752">
        <f>INPUT!FU449</f>
        <v>-0.50278188194166074</v>
      </c>
      <c r="DW207" s="793">
        <f>INPUT!FV449</f>
        <v>81.221291542826279</v>
      </c>
      <c r="DX207" s="752" t="str">
        <f>INPUT!FW449</f>
        <v>NM</v>
      </c>
      <c r="DY207" s="793">
        <f>INPUT!FX449</f>
        <v>26.405478579391623</v>
      </c>
      <c r="DZ207" s="752" t="str">
        <f>INPUT!FY449</f>
        <v>NM</v>
      </c>
      <c r="EA207" s="793">
        <f>INPUT!FZ449</f>
        <v>26.522750983067194</v>
      </c>
      <c r="EB207" s="752">
        <f>INPUT!GA449</f>
        <v>0.44412148533106155</v>
      </c>
      <c r="EC207" s="793">
        <f>INPUT!GB449</f>
        <v>55.458368376787185</v>
      </c>
      <c r="ED207" s="752" t="str">
        <f>INPUT!GC449</f>
        <v>NM</v>
      </c>
      <c r="EE207" s="793">
        <f>INPUT!GD449</f>
        <v>27.509554636923827</v>
      </c>
      <c r="EF207" s="752" t="str">
        <f>INPUT!GE449</f>
        <v>NM</v>
      </c>
      <c r="EG207" s="793">
        <f>INPUT!GF449</f>
        <v>28.160181337363031</v>
      </c>
      <c r="EH207" s="752">
        <f>INPUT!GG449</f>
        <v>2.3650935430482134</v>
      </c>
      <c r="EI207" s="793">
        <f>INPUT!GH449</f>
        <v>27.989034933577006</v>
      </c>
      <c r="EJ207" s="752">
        <f>INPUT!GI449</f>
        <v>-0.60776030429515737</v>
      </c>
      <c r="EK207" s="793">
        <f>INPUT!GJ449</f>
        <v>28.356575199397422</v>
      </c>
      <c r="EL207" s="752">
        <f>INPUT!GK449</f>
        <v>1.3131580516893671</v>
      </c>
      <c r="EM207" s="793">
        <f>INPUT!GL449</f>
        <v>28.726587898120172</v>
      </c>
      <c r="EN207" s="752">
        <f>INPUT!GM449</f>
        <v>1.3048567964251578</v>
      </c>
      <c r="EO207" s="793">
        <f>INPUT!GN449</f>
        <v>28.989816076429324</v>
      </c>
      <c r="EP207" s="752">
        <f>INPUT!GO449</f>
        <v>0.91632246489803393</v>
      </c>
      <c r="EQ207" s="793">
        <f>INPUT!GP449</f>
        <v>29.179990035374669</v>
      </c>
      <c r="ER207" s="752">
        <f>INPUT!GQ449</f>
        <v>0.65600264052716462</v>
      </c>
      <c r="ES207" s="793">
        <f>INPUT!GR449</f>
        <v>29.280933273907216</v>
      </c>
      <c r="ET207" s="752">
        <f>INPUT!GS449</f>
        <v>0.34593308088926022</v>
      </c>
      <c r="EU207" s="767">
        <f>INPUT!GT449</f>
        <v>0.90655935644667895</v>
      </c>
      <c r="EV207" s="710"/>
    </row>
    <row r="208" spans="1:152" ht="12.75" hidden="1" customHeight="1" outlineLevel="1" x14ac:dyDescent="0.2">
      <c r="A208" s="754"/>
      <c r="B208" s="793"/>
      <c r="C208" s="767"/>
      <c r="D208" s="793"/>
      <c r="E208" s="767"/>
      <c r="F208" s="793"/>
      <c r="G208" s="767"/>
      <c r="H208" s="793"/>
      <c r="I208" s="752"/>
      <c r="J208" s="793"/>
      <c r="K208" s="752"/>
      <c r="L208" s="793"/>
      <c r="M208" s="752"/>
      <c r="N208" s="793"/>
      <c r="O208" s="752"/>
      <c r="P208" s="793"/>
      <c r="Q208" s="752"/>
      <c r="R208" s="793"/>
      <c r="S208" s="752"/>
      <c r="T208" s="793"/>
      <c r="U208" s="752"/>
      <c r="V208" s="793"/>
      <c r="W208" s="752"/>
      <c r="X208" s="793"/>
      <c r="Y208" s="752"/>
      <c r="Z208" s="793"/>
      <c r="AA208" s="752"/>
      <c r="AB208" s="793"/>
      <c r="AC208" s="752"/>
      <c r="AD208" s="793"/>
      <c r="AE208" s="752"/>
      <c r="AF208" s="793"/>
      <c r="AG208" s="752"/>
      <c r="AH208" s="793"/>
      <c r="AI208" s="752"/>
      <c r="AJ208" s="793"/>
      <c r="AK208" s="752"/>
      <c r="AL208" s="793"/>
      <c r="AM208" s="752"/>
      <c r="AN208" s="793"/>
      <c r="AO208" s="752"/>
      <c r="AP208" s="793"/>
      <c r="AQ208" s="752"/>
      <c r="AR208" s="793"/>
      <c r="AS208" s="752"/>
      <c r="AT208" s="793"/>
      <c r="AU208" s="752"/>
      <c r="AV208" s="793"/>
      <c r="AW208" s="752"/>
      <c r="AX208" s="793"/>
      <c r="AY208" s="752"/>
      <c r="AZ208" s="793"/>
      <c r="BA208" s="752"/>
      <c r="BB208" s="793"/>
      <c r="BC208" s="752"/>
      <c r="BD208" s="793"/>
      <c r="BE208" s="752"/>
      <c r="BF208" s="793"/>
      <c r="BG208" s="752"/>
      <c r="BH208" s="793"/>
      <c r="BI208" s="752"/>
      <c r="BJ208" s="793"/>
      <c r="BK208" s="752"/>
      <c r="BL208" s="793"/>
      <c r="BM208" s="752"/>
      <c r="BN208" s="793"/>
      <c r="BO208" s="752"/>
      <c r="BP208" s="793"/>
      <c r="BQ208" s="752"/>
      <c r="BR208" s="793"/>
      <c r="BS208" s="752"/>
      <c r="BT208" s="793"/>
      <c r="BU208" s="752"/>
      <c r="BV208" s="793"/>
      <c r="BW208" s="752"/>
      <c r="BX208" s="793"/>
      <c r="BY208" s="752"/>
      <c r="BZ208" s="793"/>
      <c r="CA208" s="752"/>
      <c r="CB208" s="793"/>
      <c r="CC208" s="752"/>
      <c r="CD208" s="793"/>
      <c r="CE208" s="752"/>
      <c r="CF208" s="793"/>
      <c r="CG208" s="752"/>
      <c r="CH208" s="793"/>
      <c r="CI208" s="752"/>
      <c r="CJ208" s="793"/>
      <c r="CK208" s="752"/>
      <c r="CL208" s="793"/>
      <c r="CM208" s="752"/>
      <c r="CN208" s="793"/>
      <c r="CO208" s="752"/>
      <c r="CP208" s="793"/>
      <c r="CQ208" s="752"/>
      <c r="CR208" s="793"/>
      <c r="CS208" s="752"/>
      <c r="CT208" s="793"/>
      <c r="CU208" s="752"/>
      <c r="CV208" s="793"/>
      <c r="CW208" s="752"/>
      <c r="CX208" s="793"/>
      <c r="CY208" s="752"/>
      <c r="CZ208" s="793"/>
      <c r="DA208" s="752"/>
      <c r="DB208" s="753"/>
      <c r="DC208" s="793"/>
      <c r="DD208" s="767"/>
      <c r="DE208" s="793"/>
      <c r="DF208" s="767"/>
      <c r="DG208" s="793"/>
      <c r="DH208" s="767"/>
      <c r="DI208" s="793"/>
      <c r="DJ208" s="767"/>
      <c r="DK208" s="793"/>
      <c r="DL208" s="752"/>
      <c r="DM208" s="793"/>
      <c r="DN208" s="752"/>
      <c r="DO208" s="793"/>
      <c r="DP208" s="752"/>
      <c r="DQ208" s="793"/>
      <c r="DR208" s="752"/>
      <c r="DS208" s="793"/>
      <c r="DT208" s="752"/>
      <c r="DU208" s="793"/>
      <c r="DV208" s="752"/>
      <c r="DW208" s="793"/>
      <c r="DX208" s="752"/>
      <c r="DY208" s="793"/>
      <c r="DZ208" s="752"/>
      <c r="EA208" s="793"/>
      <c r="EB208" s="752"/>
      <c r="EC208" s="793"/>
      <c r="ED208" s="752"/>
      <c r="EE208" s="793"/>
      <c r="EF208" s="752"/>
      <c r="EG208" s="793"/>
      <c r="EH208" s="752"/>
      <c r="EI208" s="793"/>
      <c r="EJ208" s="752"/>
      <c r="EK208" s="793"/>
      <c r="EL208" s="752"/>
      <c r="EM208" s="793"/>
      <c r="EN208" s="752"/>
      <c r="EO208" s="793"/>
      <c r="EP208" s="752"/>
      <c r="EQ208" s="793"/>
      <c r="ER208" s="752"/>
      <c r="ES208" s="793"/>
      <c r="ET208" s="752"/>
      <c r="EU208" s="767"/>
      <c r="EV208" s="710"/>
    </row>
    <row r="209" spans="1:152" ht="12.75" hidden="1" customHeight="1" outlineLevel="1" x14ac:dyDescent="0.2">
      <c r="A209" s="749" t="s">
        <v>450</v>
      </c>
      <c r="B209" s="793"/>
      <c r="C209" s="767"/>
      <c r="D209" s="793"/>
      <c r="E209" s="767"/>
      <c r="F209" s="793"/>
      <c r="G209" s="767"/>
      <c r="H209" s="793"/>
      <c r="I209" s="752"/>
      <c r="J209" s="793"/>
      <c r="K209" s="752"/>
      <c r="L209" s="793"/>
      <c r="M209" s="752"/>
      <c r="N209" s="793"/>
      <c r="O209" s="752"/>
      <c r="P209" s="793"/>
      <c r="Q209" s="752"/>
      <c r="R209" s="793"/>
      <c r="S209" s="752"/>
      <c r="T209" s="793"/>
      <c r="U209" s="752"/>
      <c r="V209" s="793"/>
      <c r="W209" s="752"/>
      <c r="X209" s="793"/>
      <c r="Y209" s="752"/>
      <c r="Z209" s="793"/>
      <c r="AA209" s="752"/>
      <c r="AB209" s="793"/>
      <c r="AC209" s="752"/>
      <c r="AD209" s="793"/>
      <c r="AE209" s="752"/>
      <c r="AF209" s="793"/>
      <c r="AG209" s="752"/>
      <c r="AH209" s="793"/>
      <c r="AI209" s="752"/>
      <c r="AJ209" s="793"/>
      <c r="AK209" s="752"/>
      <c r="AL209" s="793"/>
      <c r="AM209" s="752"/>
      <c r="AN209" s="793"/>
      <c r="AO209" s="752"/>
      <c r="AP209" s="793"/>
      <c r="AQ209" s="752"/>
      <c r="AR209" s="793"/>
      <c r="AS209" s="752"/>
      <c r="AT209" s="793"/>
      <c r="AU209" s="752"/>
      <c r="AV209" s="793"/>
      <c r="AW209" s="752"/>
      <c r="AX209" s="793"/>
      <c r="AY209" s="752"/>
      <c r="AZ209" s="793"/>
      <c r="BA209" s="752"/>
      <c r="BB209" s="793"/>
      <c r="BC209" s="752"/>
      <c r="BD209" s="793"/>
      <c r="BE209" s="752"/>
      <c r="BF209" s="793"/>
      <c r="BG209" s="752"/>
      <c r="BH209" s="793"/>
      <c r="BI209" s="752"/>
      <c r="BJ209" s="793"/>
      <c r="BK209" s="752"/>
      <c r="BL209" s="793"/>
      <c r="BM209" s="752"/>
      <c r="BN209" s="793"/>
      <c r="BO209" s="752"/>
      <c r="BP209" s="793"/>
      <c r="BQ209" s="752"/>
      <c r="BR209" s="793"/>
      <c r="BS209" s="752"/>
      <c r="BT209" s="793"/>
      <c r="BU209" s="752"/>
      <c r="BV209" s="793"/>
      <c r="BW209" s="752"/>
      <c r="BX209" s="793"/>
      <c r="BY209" s="752"/>
      <c r="BZ209" s="793"/>
      <c r="CA209" s="752"/>
      <c r="CB209" s="793"/>
      <c r="CC209" s="752"/>
      <c r="CD209" s="793"/>
      <c r="CE209" s="752"/>
      <c r="CF209" s="793"/>
      <c r="CG209" s="752"/>
      <c r="CH209" s="793"/>
      <c r="CI209" s="752"/>
      <c r="CJ209" s="793"/>
      <c r="CK209" s="752"/>
      <c r="CL209" s="793"/>
      <c r="CM209" s="752"/>
      <c r="CN209" s="793"/>
      <c r="CO209" s="752"/>
      <c r="CP209" s="793"/>
      <c r="CQ209" s="752"/>
      <c r="CR209" s="793"/>
      <c r="CS209" s="752"/>
      <c r="CT209" s="793"/>
      <c r="CU209" s="752"/>
      <c r="CV209" s="793"/>
      <c r="CW209" s="752"/>
      <c r="CX209" s="793"/>
      <c r="CY209" s="752"/>
      <c r="CZ209" s="793"/>
      <c r="DA209" s="752"/>
      <c r="DB209" s="753"/>
      <c r="DC209" s="793"/>
      <c r="DD209" s="767"/>
      <c r="DE209" s="793"/>
      <c r="DF209" s="767"/>
      <c r="DG209" s="793"/>
      <c r="DH209" s="767"/>
      <c r="DI209" s="793"/>
      <c r="DJ209" s="767"/>
      <c r="DK209" s="793"/>
      <c r="DL209" s="752"/>
      <c r="DM209" s="793"/>
      <c r="DN209" s="752"/>
      <c r="DO209" s="793"/>
      <c r="DP209" s="752"/>
      <c r="DQ209" s="793"/>
      <c r="DR209" s="752"/>
      <c r="DS209" s="793"/>
      <c r="DT209" s="752"/>
      <c r="DU209" s="793"/>
      <c r="DV209" s="752"/>
      <c r="DW209" s="793"/>
      <c r="DX209" s="752"/>
      <c r="DY209" s="793"/>
      <c r="DZ209" s="752"/>
      <c r="EA209" s="793"/>
      <c r="EB209" s="752"/>
      <c r="EC209" s="793"/>
      <c r="ED209" s="752"/>
      <c r="EE209" s="793"/>
      <c r="EF209" s="752"/>
      <c r="EG209" s="793"/>
      <c r="EH209" s="752"/>
      <c r="EI209" s="793"/>
      <c r="EJ209" s="752"/>
      <c r="EK209" s="793"/>
      <c r="EL209" s="752"/>
      <c r="EM209" s="793"/>
      <c r="EN209" s="752"/>
      <c r="EO209" s="793"/>
      <c r="EP209" s="752"/>
      <c r="EQ209" s="793"/>
      <c r="ER209" s="752"/>
      <c r="ES209" s="793"/>
      <c r="ET209" s="752"/>
      <c r="EU209" s="767"/>
      <c r="EV209" s="710"/>
    </row>
    <row r="210" spans="1:152" ht="12.75" hidden="1" customHeight="1" outlineLevel="1" x14ac:dyDescent="0.2">
      <c r="A210" s="754" t="str">
        <f>INPUT!B126</f>
        <v>Pretax Earnings/Revenues (%)</v>
      </c>
      <c r="B210" s="793">
        <f>INPUT!AS126</f>
        <v>14.035964035964035</v>
      </c>
      <c r="C210" s="767">
        <f>INPUT!AT126</f>
        <v>23.854699517349953</v>
      </c>
      <c r="D210" s="793">
        <f>INPUT!AU126</f>
        <v>12.11302211302209</v>
      </c>
      <c r="E210" s="767">
        <f>INPUT!AV126</f>
        <v>4.6352993127185327</v>
      </c>
      <c r="F210" s="793">
        <f>INPUT!AW126</f>
        <v>14.144815973057495</v>
      </c>
      <c r="G210" s="767">
        <f>INPUT!AX126</f>
        <v>35.396327073747848</v>
      </c>
      <c r="H210" s="793">
        <f>INPUT!AY126</f>
        <v>13.107263107263121</v>
      </c>
      <c r="I210" s="752">
        <f>INPUT!AZ126</f>
        <v>7.9948857726636291</v>
      </c>
      <c r="J210" s="793">
        <f>INPUT!BA126</f>
        <v>13.388927495946248</v>
      </c>
      <c r="K210" s="752">
        <f>INPUT!BB126</f>
        <v>-4.6098475199843776</v>
      </c>
      <c r="L210" s="793">
        <f>INPUT!BC126</f>
        <v>11.309933470979558</v>
      </c>
      <c r="M210" s="752">
        <f>INPUT!BD126</f>
        <v>-6.629961000229434</v>
      </c>
      <c r="N210" s="793">
        <f>INPUT!BE126</f>
        <v>11.324593128390577</v>
      </c>
      <c r="O210" s="752">
        <f>INPUT!BF126</f>
        <v>-19.938208104218337</v>
      </c>
      <c r="P210" s="793">
        <f>INPUT!BG126</f>
        <v>12.862885216614577</v>
      </c>
      <c r="Q210" s="752">
        <f>INPUT!BH126</f>
        <v>-1.8644463657186083</v>
      </c>
      <c r="R210" s="793">
        <f>INPUT!BI126</f>
        <v>13.499570077386073</v>
      </c>
      <c r="S210" s="752">
        <f>INPUT!BJ126</f>
        <v>0.82637374407563691</v>
      </c>
      <c r="T210" s="793">
        <f>INPUT!BK126</f>
        <v>14.831223628691964</v>
      </c>
      <c r="U210" s="752">
        <f>INPUT!BL126</f>
        <v>31.134490461396357</v>
      </c>
      <c r="V210" s="793">
        <f>INPUT!BM126</f>
        <v>13.770833333333327</v>
      </c>
      <c r="W210" s="752">
        <f>INPUT!BN126</f>
        <v>21.601131071191105</v>
      </c>
      <c r="X210" s="793">
        <f>INPUT!BO126</f>
        <v>14.843590267838882</v>
      </c>
      <c r="Y210" s="752">
        <f>INPUT!BP126</f>
        <v>15.398606283650039</v>
      </c>
      <c r="Z210" s="793">
        <f>INPUT!BQ126</f>
        <v>15.393771077167221</v>
      </c>
      <c r="AA210" s="752">
        <f>INPUT!BR126</f>
        <v>14.031565367805566</v>
      </c>
      <c r="AB210" s="793">
        <f>INPUT!BS126</f>
        <v>14.600117901355858</v>
      </c>
      <c r="AC210" s="752">
        <f>INPUT!BT126</f>
        <v>-1.5582377632619382</v>
      </c>
      <c r="AD210" s="793">
        <f>INPUT!BU126</f>
        <v>14.297045409478468</v>
      </c>
      <c r="AE210" s="752">
        <f>INPUT!BV126</f>
        <v>3.8212072095259897</v>
      </c>
      <c r="AF210" s="793">
        <f>INPUT!BW126</f>
        <v>16.343873517786552</v>
      </c>
      <c r="AG210" s="752">
        <f>INPUT!BX126</f>
        <v>10.107280131534502</v>
      </c>
      <c r="AH210" s="793">
        <f>INPUT!BY126</f>
        <v>18.553978210630572</v>
      </c>
      <c r="AI210" s="752">
        <f>INPUT!BZ126</f>
        <v>20.529129071892726</v>
      </c>
      <c r="AJ210" s="793">
        <f>INPUT!CA126</f>
        <v>21.372804163955756</v>
      </c>
      <c r="AK210" s="752">
        <f>INPUT!CB126</f>
        <v>46.38788747021654</v>
      </c>
      <c r="AL210" s="793">
        <f>INPUT!CC126</f>
        <v>20.164203612479476</v>
      </c>
      <c r="AM210" s="752">
        <f>INPUT!CD126</f>
        <v>41.037557306149949</v>
      </c>
      <c r="AN210" s="793">
        <f>INPUT!CE126</f>
        <v>21.252869793374877</v>
      </c>
      <c r="AO210" s="752">
        <f>INPUT!CF126</f>
        <v>30.03569668014141</v>
      </c>
      <c r="AP210" s="793">
        <f>INPUT!CG126</f>
        <v>21.629213483146067</v>
      </c>
      <c r="AQ210" s="752">
        <f>INPUT!CH126</f>
        <v>16.574533168059503</v>
      </c>
      <c r="AR210" s="793">
        <f>INPUT!CI126</f>
        <v>23.40625</v>
      </c>
      <c r="AS210" s="752">
        <f>INPUT!CJ126</f>
        <v>9.5141742770167514</v>
      </c>
      <c r="AT210" s="793">
        <f>INPUT!CK126</f>
        <v>26.287855135810172</v>
      </c>
      <c r="AU210" s="752">
        <f>INPUT!CL126</f>
        <v>30.368923271240988</v>
      </c>
      <c r="AV210" s="793">
        <f>INPUT!CM126</f>
        <v>23.915050784856877</v>
      </c>
      <c r="AW210" s="752">
        <f>INPUT!CN126</f>
        <v>12.526218893562691</v>
      </c>
      <c r="AX210" s="793">
        <f>INPUT!CO126</f>
        <v>23.156038789303558</v>
      </c>
      <c r="AY210" s="752">
        <f>INPUT!CP126</f>
        <v>7.0590884284684075</v>
      </c>
      <c r="AZ210" s="793">
        <f>INPUT!CQ126</f>
        <v>25</v>
      </c>
      <c r="BA210" s="752">
        <f>INPUT!CR126</f>
        <v>6.809078771695587</v>
      </c>
      <c r="BB210" s="793">
        <f>INPUT!CS126</f>
        <v>25.377554042049155</v>
      </c>
      <c r="BC210" s="752">
        <f>INPUT!CT126</f>
        <v>-3.4628199564329387</v>
      </c>
      <c r="BD210" s="793">
        <f>INPUT!CU126</f>
        <v>24.366074030894776</v>
      </c>
      <c r="BE210" s="752">
        <f>INPUT!CV126</f>
        <v>1.8859389013862637</v>
      </c>
      <c r="BF210" s="793">
        <f>INPUT!CW126</f>
        <v>20.373027259684349</v>
      </c>
      <c r="BG210" s="752">
        <f>INPUT!CX126</f>
        <v>-12.01851298895199</v>
      </c>
      <c r="BH210" s="793">
        <f>INPUT!CY126</f>
        <v>24.383078730904813</v>
      </c>
      <c r="BI210" s="752">
        <f>INPUT!CZ126</f>
        <v>-2.4676850763807434</v>
      </c>
      <c r="BJ210" s="793">
        <f>INPUT!DA126</f>
        <v>23.975228546151566</v>
      </c>
      <c r="BK210" s="752">
        <f>INPUT!DB126</f>
        <v>-5.5258497078718332</v>
      </c>
      <c r="BL210" s="793">
        <f>INPUT!DC126</f>
        <v>17.127071823204414</v>
      </c>
      <c r="BM210" s="752">
        <f>INPUT!DD126</f>
        <v>-29.709349969600051</v>
      </c>
      <c r="BN210" s="793">
        <f>INPUT!DE126</f>
        <v>22.719641857862339</v>
      </c>
      <c r="BO210" s="752">
        <f>INPUT!DF126</f>
        <v>11.518242076972252</v>
      </c>
      <c r="BP210" s="793">
        <f>INPUT!DG126</f>
        <v>23.311669963266461</v>
      </c>
      <c r="BQ210" s="752">
        <f>INPUT!DH126</f>
        <v>-4.3940668012541595</v>
      </c>
      <c r="BR210" s="793">
        <f>INPUT!DI126</f>
        <v>23.26972372543435</v>
      </c>
      <c r="BS210" s="752">
        <f>INPUT!DJ126</f>
        <v>-2.9426406482805478</v>
      </c>
      <c r="BT210" s="793">
        <f>INPUT!DK126</f>
        <v>23.74647887323944</v>
      </c>
      <c r="BU210" s="752">
        <f>INPUT!DL126</f>
        <v>38.648796001817431</v>
      </c>
      <c r="BV210" s="793">
        <f>INPUT!DM126</f>
        <v>22.00482444384884</v>
      </c>
      <c r="BW210" s="752">
        <f>INPUT!DN126</f>
        <v>-3.1462530020741952</v>
      </c>
      <c r="BX210" s="793">
        <f>INPUT!DO126</f>
        <v>24.165988608624904</v>
      </c>
      <c r="BY210" s="752">
        <f>INPUT!DP126</f>
        <v>3.6647681041497293</v>
      </c>
      <c r="BZ210" s="793">
        <f>INPUT!DQ126</f>
        <v>23.728354978354975</v>
      </c>
      <c r="CA210" s="752">
        <f>INPUT!DR126</f>
        <v>1.9709355312170329</v>
      </c>
      <c r="CB210" s="793">
        <f>INPUT!DS126</f>
        <v>24.993338662403414</v>
      </c>
      <c r="CC210" s="752">
        <f>INPUT!DT126</f>
        <v>5.250714414628832</v>
      </c>
      <c r="CD210" s="793">
        <f>INPUT!DU126</f>
        <v>23.084806559057153</v>
      </c>
      <c r="CE210" s="752">
        <f>INPUT!DV126</f>
        <v>4.9079333396372826</v>
      </c>
      <c r="CF210" s="793">
        <f>INPUT!DW126</f>
        <v>24.596050269299816</v>
      </c>
      <c r="CG210" s="752">
        <f>INPUT!DX126</f>
        <v>1.7796154241396245</v>
      </c>
      <c r="CH210" s="793">
        <f>INPUT!DY126</f>
        <v>22.675848499754053</v>
      </c>
      <c r="CI210" s="752">
        <f>INPUT!DZ126</f>
        <v>-4.435648739919051</v>
      </c>
      <c r="CJ210" s="793">
        <f>INPUT!EA126</f>
        <v>23.356401384083057</v>
      </c>
      <c r="CK210" s="752">
        <f>INPUT!EB126</f>
        <v>-6.5494942489725982</v>
      </c>
      <c r="CL210" s="793">
        <f>INPUT!EC126</f>
        <v>22.118088097469524</v>
      </c>
      <c r="CM210" s="752">
        <f>INPUT!ED126</f>
        <v>-4.1876827475876954</v>
      </c>
      <c r="CN210" s="793">
        <f>INPUT!EE126</f>
        <v>22.282480547040791</v>
      </c>
      <c r="CO210" s="752">
        <f>INPUT!EF126</f>
        <v>-9.4062652211553086</v>
      </c>
      <c r="CP210" s="793">
        <f>INPUT!EG126</f>
        <v>25.86577501791259</v>
      </c>
      <c r="CQ210" s="752">
        <f>INPUT!EH126</f>
        <v>14.067506749276149</v>
      </c>
      <c r="CR210" s="793">
        <f>INPUT!EI126</f>
        <v>28.663177925784961</v>
      </c>
      <c r="CS210" s="752">
        <f>INPUT!EJ126</f>
        <v>22.720865489657037</v>
      </c>
      <c r="CT210" s="793">
        <f>INPUT!EK126</f>
        <v>23.034262739626815</v>
      </c>
      <c r="CU210" s="752">
        <f>INPUT!EL126</f>
        <v>4.1421963694145303</v>
      </c>
      <c r="CV210" s="793">
        <f>INPUT!EM126</f>
        <v>22.948365443486537</v>
      </c>
      <c r="CW210" s="752">
        <f>INPUT!EN126</f>
        <v>2.9883786728321704</v>
      </c>
      <c r="CX210" s="793">
        <f>INPUT!EO126</f>
        <v>22.862964566576775</v>
      </c>
      <c r="CY210" s="752">
        <f>INPUT!EP126</f>
        <v>-11.609203471600239</v>
      </c>
      <c r="CZ210" s="793">
        <f>INPUT!EQ126</f>
        <v>22.755155648131485</v>
      </c>
      <c r="DA210" s="752">
        <f>INPUT!ER126</f>
        <v>-20.611888510585242</v>
      </c>
      <c r="DB210" s="753"/>
      <c r="DC210" s="793">
        <f>INPUT!FB126</f>
        <v>0</v>
      </c>
      <c r="DD210" s="767">
        <f>INPUT!FC126</f>
        <v>0</v>
      </c>
      <c r="DE210" s="793">
        <f>INPUT!FD126</f>
        <v>17.385705086928507</v>
      </c>
      <c r="DF210" s="767" t="str">
        <f>INPUT!FE126</f>
        <v>NA</v>
      </c>
      <c r="DG210" s="793">
        <f>INPUT!FF126</f>
        <v>16.746745195288273</v>
      </c>
      <c r="DH210" s="767">
        <f>INPUT!FG126</f>
        <v>-3.6752026359899381</v>
      </c>
      <c r="DI210" s="793">
        <f>INPUT!FH126</f>
        <v>12.897450587224284</v>
      </c>
      <c r="DJ210" s="767">
        <f>INPUT!FI126</f>
        <v>-22.985329765135464</v>
      </c>
      <c r="DK210" s="793">
        <f>INPUT!FJ126</f>
        <v>11.376927166400854</v>
      </c>
      <c r="DL210" s="752">
        <f>INPUT!FK126</f>
        <v>-11.789333175112937</v>
      </c>
      <c r="DM210" s="793">
        <f>INPUT!FL126</f>
        <v>13.350417963268068</v>
      </c>
      <c r="DN210" s="752">
        <f>INPUT!FM126</f>
        <v>17.346430789286103</v>
      </c>
      <c r="DO210" s="793">
        <f>INPUT!FN126</f>
        <v>12.219820229832731</v>
      </c>
      <c r="DP210" s="752">
        <f>INPUT!FO126</f>
        <v>-8.4686317428115725</v>
      </c>
      <c r="DQ210" s="793">
        <f>INPUT!FP126</f>
        <v>14.243043546612167</v>
      </c>
      <c r="DR210" s="752">
        <f>INPUT!FQ126</f>
        <v>16.556899191037687</v>
      </c>
      <c r="DS210" s="793">
        <f>INPUT!FR126</f>
        <v>21.255913978494625</v>
      </c>
      <c r="DT210" s="752">
        <f>INPUT!FS126</f>
        <v>49.237162049894387</v>
      </c>
      <c r="DU210" s="793">
        <f>INPUT!FT126</f>
        <v>20.341067475608767</v>
      </c>
      <c r="DV210" s="752">
        <f>INPUT!FU126</f>
        <v>-4.3039621999385265</v>
      </c>
      <c r="DW210" s="793">
        <f>INPUT!FV126</f>
        <v>23.809894212818911</v>
      </c>
      <c r="DX210" s="752">
        <f>INPUT!FW126</f>
        <v>17.053317095426081</v>
      </c>
      <c r="DY210" s="793">
        <f>INPUT!FX126</f>
        <v>24.389526331273885</v>
      </c>
      <c r="DZ210" s="752">
        <f>INPUT!FY126</f>
        <v>2.4344170254352093</v>
      </c>
      <c r="EA210" s="793">
        <f>INPUT!FZ126</f>
        <v>21.444711713681773</v>
      </c>
      <c r="EB210" s="752">
        <f>INPUT!GA126</f>
        <v>-12.074095157051378</v>
      </c>
      <c r="EC210" s="793">
        <f>INPUT!GB126</f>
        <v>23.260900239875816</v>
      </c>
      <c r="ED210" s="752">
        <f>INPUT!GC126</f>
        <v>8.4691673660285627</v>
      </c>
      <c r="EE210" s="793">
        <f>INPUT!GD126</f>
        <v>23.72368332548599</v>
      </c>
      <c r="EF210" s="752">
        <f>INPUT!GE126</f>
        <v>1.9895321369240548</v>
      </c>
      <c r="EG210" s="793">
        <f>INPUT!GF126</f>
        <v>23.41963051401282</v>
      </c>
      <c r="EH210" s="752">
        <f>INPUT!GG126</f>
        <v>-1.2816425143667765</v>
      </c>
      <c r="EI210" s="793">
        <f>INPUT!GH126</f>
        <v>24.715976331360945</v>
      </c>
      <c r="EJ210" s="752">
        <f>INPUT!GI126</f>
        <v>5.5352957706675809</v>
      </c>
      <c r="EK210" s="793">
        <f>INPUT!GJ126</f>
        <v>22.898377356046247</v>
      </c>
      <c r="EL210" s="752">
        <f>INPUT!GK126</f>
        <v>-7.3539436635907123</v>
      </c>
      <c r="EM210" s="793">
        <f>INPUT!GL126</f>
        <v>22.685977304147919</v>
      </c>
      <c r="EN210" s="752">
        <f>INPUT!GM126</f>
        <v>-0.92757686973066189</v>
      </c>
      <c r="EO210" s="793">
        <f>INPUT!GN126</f>
        <v>22.476482867701943</v>
      </c>
      <c r="EP210" s="752">
        <f>INPUT!GO126</f>
        <v>-0.92345343397514101</v>
      </c>
      <c r="EQ210" s="793">
        <f>INPUT!GP126</f>
        <v>22.269872777375824</v>
      </c>
      <c r="ER210" s="752">
        <f>INPUT!GQ126</f>
        <v>-0.91922785047038325</v>
      </c>
      <c r="ES210" s="793">
        <f>INPUT!GR126</f>
        <v>21.893996910644908</v>
      </c>
      <c r="ET210" s="752">
        <f>INPUT!GS126</f>
        <v>-1.6878222452746616</v>
      </c>
      <c r="EU210" s="767">
        <f>INPUT!GT126</f>
        <v>-2.3955864506906233</v>
      </c>
      <c r="EV210" s="710"/>
    </row>
    <row r="211" spans="1:152" ht="12.75" hidden="1" customHeight="1" outlineLevel="1" x14ac:dyDescent="0.2">
      <c r="A211" s="754"/>
      <c r="B211" s="793"/>
      <c r="C211" s="767"/>
      <c r="D211" s="793"/>
      <c r="E211" s="767"/>
      <c r="F211" s="793"/>
      <c r="G211" s="767"/>
      <c r="H211" s="793"/>
      <c r="I211" s="752"/>
      <c r="J211" s="793"/>
      <c r="K211" s="752"/>
      <c r="L211" s="793"/>
      <c r="M211" s="752"/>
      <c r="N211" s="793"/>
      <c r="O211" s="752"/>
      <c r="P211" s="793"/>
      <c r="Q211" s="752"/>
      <c r="R211" s="793"/>
      <c r="S211" s="752"/>
      <c r="T211" s="793"/>
      <c r="U211" s="752"/>
      <c r="V211" s="793"/>
      <c r="W211" s="752"/>
      <c r="X211" s="793"/>
      <c r="Y211" s="752"/>
      <c r="Z211" s="793"/>
      <c r="AA211" s="752"/>
      <c r="AB211" s="793"/>
      <c r="AC211" s="752"/>
      <c r="AD211" s="793"/>
      <c r="AE211" s="752"/>
      <c r="AF211" s="793"/>
      <c r="AG211" s="752"/>
      <c r="AH211" s="793"/>
      <c r="AI211" s="752"/>
      <c r="AJ211" s="793"/>
      <c r="AK211" s="752"/>
      <c r="AL211" s="793"/>
      <c r="AM211" s="752"/>
      <c r="AN211" s="793"/>
      <c r="AO211" s="752"/>
      <c r="AP211" s="793"/>
      <c r="AQ211" s="752"/>
      <c r="AR211" s="793"/>
      <c r="AS211" s="752"/>
      <c r="AT211" s="793"/>
      <c r="AU211" s="752"/>
      <c r="AV211" s="793"/>
      <c r="AW211" s="752"/>
      <c r="AX211" s="793"/>
      <c r="AY211" s="752"/>
      <c r="AZ211" s="793"/>
      <c r="BA211" s="752"/>
      <c r="BB211" s="793"/>
      <c r="BC211" s="752"/>
      <c r="BD211" s="793"/>
      <c r="BE211" s="752"/>
      <c r="BF211" s="793"/>
      <c r="BG211" s="752"/>
      <c r="BH211" s="793"/>
      <c r="BI211" s="752"/>
      <c r="BJ211" s="793"/>
      <c r="BK211" s="752"/>
      <c r="BL211" s="793"/>
      <c r="BM211" s="752"/>
      <c r="BN211" s="793"/>
      <c r="BO211" s="752"/>
      <c r="BP211" s="793"/>
      <c r="BQ211" s="752"/>
      <c r="BR211" s="793"/>
      <c r="BS211" s="752"/>
      <c r="BT211" s="793"/>
      <c r="BU211" s="752"/>
      <c r="BV211" s="793"/>
      <c r="BW211" s="752"/>
      <c r="BX211" s="793"/>
      <c r="BY211" s="752"/>
      <c r="BZ211" s="793"/>
      <c r="CA211" s="752"/>
      <c r="CB211" s="793"/>
      <c r="CC211" s="752"/>
      <c r="CD211" s="793"/>
      <c r="CE211" s="752"/>
      <c r="CF211" s="793"/>
      <c r="CG211" s="752"/>
      <c r="CH211" s="793"/>
      <c r="CI211" s="752"/>
      <c r="CJ211" s="793"/>
      <c r="CK211" s="752"/>
      <c r="CL211" s="793"/>
      <c r="CM211" s="752"/>
      <c r="CN211" s="793"/>
      <c r="CO211" s="752"/>
      <c r="CP211" s="793"/>
      <c r="CQ211" s="752"/>
      <c r="CR211" s="793"/>
      <c r="CS211" s="752"/>
      <c r="CT211" s="793"/>
      <c r="CU211" s="752"/>
      <c r="CV211" s="793"/>
      <c r="CW211" s="752"/>
      <c r="CX211" s="793"/>
      <c r="CY211" s="752"/>
      <c r="CZ211" s="793"/>
      <c r="DA211" s="752"/>
      <c r="DB211" s="753"/>
      <c r="DC211" s="793"/>
      <c r="DD211" s="767"/>
      <c r="DE211" s="793"/>
      <c r="DF211" s="767"/>
      <c r="DG211" s="793"/>
      <c r="DH211" s="767"/>
      <c r="DI211" s="793"/>
      <c r="DJ211" s="767"/>
      <c r="DK211" s="793"/>
      <c r="DL211" s="752"/>
      <c r="DM211" s="793"/>
      <c r="DN211" s="752"/>
      <c r="DO211" s="793"/>
      <c r="DP211" s="752"/>
      <c r="DQ211" s="793"/>
      <c r="DR211" s="752"/>
      <c r="DS211" s="793"/>
      <c r="DT211" s="752"/>
      <c r="DU211" s="793"/>
      <c r="DV211" s="752"/>
      <c r="DW211" s="793"/>
      <c r="DX211" s="752"/>
      <c r="DY211" s="793"/>
      <c r="DZ211" s="752"/>
      <c r="EA211" s="793"/>
      <c r="EB211" s="752"/>
      <c r="EC211" s="793"/>
      <c r="ED211" s="752"/>
      <c r="EE211" s="793"/>
      <c r="EF211" s="752"/>
      <c r="EG211" s="793"/>
      <c r="EH211" s="752"/>
      <c r="EI211" s="793"/>
      <c r="EJ211" s="752"/>
      <c r="EK211" s="793"/>
      <c r="EL211" s="752"/>
      <c r="EM211" s="793"/>
      <c r="EN211" s="752"/>
      <c r="EO211" s="793"/>
      <c r="EP211" s="752"/>
      <c r="EQ211" s="793"/>
      <c r="ER211" s="752"/>
      <c r="ES211" s="793"/>
      <c r="ET211" s="752"/>
      <c r="EU211" s="767"/>
      <c r="EV211" s="710"/>
    </row>
    <row r="212" spans="1:152" ht="12.75" hidden="1" customHeight="1" outlineLevel="1" x14ac:dyDescent="0.2">
      <c r="A212" s="749" t="s">
        <v>438</v>
      </c>
      <c r="B212" s="793"/>
      <c r="C212" s="767"/>
      <c r="D212" s="793"/>
      <c r="E212" s="767"/>
      <c r="F212" s="793"/>
      <c r="G212" s="767"/>
      <c r="H212" s="793"/>
      <c r="I212" s="752"/>
      <c r="J212" s="793"/>
      <c r="K212" s="752"/>
      <c r="L212" s="793"/>
      <c r="M212" s="752"/>
      <c r="N212" s="793"/>
      <c r="O212" s="752"/>
      <c r="P212" s="793"/>
      <c r="Q212" s="752"/>
      <c r="R212" s="793"/>
      <c r="S212" s="752"/>
      <c r="T212" s="793"/>
      <c r="U212" s="752"/>
      <c r="V212" s="793"/>
      <c r="W212" s="752"/>
      <c r="X212" s="793"/>
      <c r="Y212" s="752"/>
      <c r="Z212" s="793"/>
      <c r="AA212" s="752"/>
      <c r="AB212" s="793"/>
      <c r="AC212" s="752"/>
      <c r="AD212" s="793"/>
      <c r="AE212" s="752"/>
      <c r="AF212" s="793"/>
      <c r="AG212" s="752"/>
      <c r="AH212" s="793"/>
      <c r="AI212" s="752"/>
      <c r="AJ212" s="793"/>
      <c r="AK212" s="752"/>
      <c r="AL212" s="793"/>
      <c r="AM212" s="752"/>
      <c r="AN212" s="793"/>
      <c r="AO212" s="752"/>
      <c r="AP212" s="793"/>
      <c r="AQ212" s="752"/>
      <c r="AR212" s="793"/>
      <c r="AS212" s="752"/>
      <c r="AT212" s="793"/>
      <c r="AU212" s="752"/>
      <c r="AV212" s="793"/>
      <c r="AW212" s="752"/>
      <c r="AX212" s="793"/>
      <c r="AY212" s="752"/>
      <c r="AZ212" s="793"/>
      <c r="BA212" s="752"/>
      <c r="BB212" s="793"/>
      <c r="BC212" s="752"/>
      <c r="BD212" s="793"/>
      <c r="BE212" s="752"/>
      <c r="BF212" s="793"/>
      <c r="BG212" s="752"/>
      <c r="BH212" s="793"/>
      <c r="BI212" s="752"/>
      <c r="BJ212" s="793"/>
      <c r="BK212" s="752"/>
      <c r="BL212" s="793"/>
      <c r="BM212" s="752"/>
      <c r="BN212" s="793"/>
      <c r="BO212" s="752"/>
      <c r="BP212" s="793"/>
      <c r="BQ212" s="752"/>
      <c r="BR212" s="793"/>
      <c r="BS212" s="752"/>
      <c r="BT212" s="793"/>
      <c r="BU212" s="752"/>
      <c r="BV212" s="793"/>
      <c r="BW212" s="752"/>
      <c r="BX212" s="793"/>
      <c r="BY212" s="752"/>
      <c r="BZ212" s="793"/>
      <c r="CA212" s="752"/>
      <c r="CB212" s="793"/>
      <c r="CC212" s="752"/>
      <c r="CD212" s="793"/>
      <c r="CE212" s="752"/>
      <c r="CF212" s="793"/>
      <c r="CG212" s="752"/>
      <c r="CH212" s="793"/>
      <c r="CI212" s="752"/>
      <c r="CJ212" s="793"/>
      <c r="CK212" s="752"/>
      <c r="CL212" s="793"/>
      <c r="CM212" s="752"/>
      <c r="CN212" s="793"/>
      <c r="CO212" s="752"/>
      <c r="CP212" s="793"/>
      <c r="CQ212" s="752"/>
      <c r="CR212" s="793"/>
      <c r="CS212" s="752"/>
      <c r="CT212" s="793"/>
      <c r="CU212" s="752"/>
      <c r="CV212" s="793"/>
      <c r="CW212" s="752"/>
      <c r="CX212" s="793"/>
      <c r="CY212" s="752"/>
      <c r="CZ212" s="793"/>
      <c r="DA212" s="752"/>
      <c r="DB212" s="753"/>
      <c r="DC212" s="793"/>
      <c r="DD212" s="767"/>
      <c r="DE212" s="793"/>
      <c r="DF212" s="767"/>
      <c r="DG212" s="793"/>
      <c r="DH212" s="767"/>
      <c r="DI212" s="793"/>
      <c r="DJ212" s="767"/>
      <c r="DK212" s="793"/>
      <c r="DL212" s="752"/>
      <c r="DM212" s="793"/>
      <c r="DN212" s="752"/>
      <c r="DO212" s="793"/>
      <c r="DP212" s="752"/>
      <c r="DQ212" s="793"/>
      <c r="DR212" s="752"/>
      <c r="DS212" s="793"/>
      <c r="DT212" s="752"/>
      <c r="DU212" s="793"/>
      <c r="DV212" s="752"/>
      <c r="DW212" s="793"/>
      <c r="DX212" s="752"/>
      <c r="DY212" s="793"/>
      <c r="DZ212" s="752"/>
      <c r="EA212" s="793"/>
      <c r="EB212" s="752"/>
      <c r="EC212" s="793"/>
      <c r="ED212" s="752"/>
      <c r="EE212" s="793"/>
      <c r="EF212" s="752"/>
      <c r="EG212" s="793"/>
      <c r="EH212" s="752"/>
      <c r="EI212" s="793"/>
      <c r="EJ212" s="752"/>
      <c r="EK212" s="793"/>
      <c r="EL212" s="752"/>
      <c r="EM212" s="793"/>
      <c r="EN212" s="752"/>
      <c r="EO212" s="793"/>
      <c r="EP212" s="752"/>
      <c r="EQ212" s="793"/>
      <c r="ER212" s="752"/>
      <c r="ES212" s="793"/>
      <c r="ET212" s="752"/>
      <c r="EU212" s="767"/>
      <c r="EV212" s="710"/>
    </row>
    <row r="213" spans="1:152" ht="12.75" hidden="1" customHeight="1" outlineLevel="1" x14ac:dyDescent="0.2">
      <c r="A213" s="754" t="str">
        <f>INPUT!B119</f>
        <v>Benefits/Premiums (%)</v>
      </c>
      <c r="B213" s="793">
        <f>INPUT!AS119</f>
        <v>71.309963099631005</v>
      </c>
      <c r="C213" s="767">
        <f>INPUT!AT119</f>
        <v>-1.1155504851901976</v>
      </c>
      <c r="D213" s="793">
        <f>INPUT!AU119</f>
        <v>75.183374083129578</v>
      </c>
      <c r="E213" s="767">
        <f>INPUT!AV119</f>
        <v>5.646487456512217</v>
      </c>
      <c r="F213" s="793">
        <f>INPUT!AW119</f>
        <v>75.052663256093894</v>
      </c>
      <c r="G213" s="767">
        <f>INPUT!AX119</f>
        <v>0.19884263324276841</v>
      </c>
      <c r="H213" s="793">
        <f>INPUT!AY119</f>
        <v>77.720207253886002</v>
      </c>
      <c r="I213" s="752">
        <f>INPUT!AZ119</f>
        <v>3.6710771376366802</v>
      </c>
      <c r="J213" s="793">
        <f>INPUT!BA119</f>
        <v>75.966042154566736</v>
      </c>
      <c r="K213" s="752">
        <f>INPUT!BB119</f>
        <v>6.5293527756149272</v>
      </c>
      <c r="L213" s="793">
        <f>INPUT!BC119</f>
        <v>77.131336405529964</v>
      </c>
      <c r="M213" s="752">
        <f>INPUT!BD119</f>
        <v>2.590948259713044</v>
      </c>
      <c r="N213" s="793">
        <f>INPUT!BE119</f>
        <v>77.383654937570938</v>
      </c>
      <c r="O213" s="752">
        <f>INPUT!BF119</f>
        <v>3.1058080824170942</v>
      </c>
      <c r="P213" s="793">
        <f>INPUT!BG119</f>
        <v>75.729255168507493</v>
      </c>
      <c r="Q213" s="752">
        <f>INPUT!BH119</f>
        <v>-2.5616916831870173</v>
      </c>
      <c r="R213" s="793">
        <f>INPUT!BI119</f>
        <v>73.917748917748909</v>
      </c>
      <c r="S213" s="752">
        <f>INPUT!BJ119</f>
        <v>-2.6963274362118317</v>
      </c>
      <c r="T213" s="793">
        <f>INPUT!BK119</f>
        <v>74.805473571236931</v>
      </c>
      <c r="U213" s="752">
        <f>INPUT!BL119</f>
        <v>-3.0154577149609452</v>
      </c>
      <c r="V213" s="793">
        <f>INPUT!BM119</f>
        <v>76.168969181721579</v>
      </c>
      <c r="W213" s="752">
        <f>INPUT!BN119</f>
        <v>-1.5696929239505497</v>
      </c>
      <c r="X213" s="793">
        <f>INPUT!BO119</f>
        <v>75.782277149618722</v>
      </c>
      <c r="Y213" s="752">
        <f>INPUT!BP119</f>
        <v>7.0015188969230202E-2</v>
      </c>
      <c r="Z213" s="793">
        <f>INPUT!BQ119</f>
        <v>74.146714212939386</v>
      </c>
      <c r="AA213" s="752">
        <f>INPUT!BR119</f>
        <v>0.30975685615812765</v>
      </c>
      <c r="AB213" s="793">
        <f>INPUT!BS119</f>
        <v>76.157585060117682</v>
      </c>
      <c r="AC213" s="752">
        <f>INPUT!BT119</f>
        <v>1.8075034142964741</v>
      </c>
      <c r="AD213" s="793">
        <f>INPUT!BU119</f>
        <v>77.809573361082215</v>
      </c>
      <c r="AE213" s="752">
        <f>INPUT!BV119</f>
        <v>2.1539009874828929</v>
      </c>
      <c r="AF213" s="793">
        <f>INPUT!BW119</f>
        <v>75.659441107338736</v>
      </c>
      <c r="AG213" s="752">
        <f>INPUT!BX119</f>
        <v>-0.16209072477126885</v>
      </c>
      <c r="AH213" s="793">
        <f>INPUT!BY119</f>
        <v>53.253012048192772</v>
      </c>
      <c r="AI213" s="752">
        <f>INPUT!BZ119</f>
        <v>-28.178864547851322</v>
      </c>
      <c r="AJ213" s="793">
        <f>INPUT!CA119</f>
        <v>55.028157683024951</v>
      </c>
      <c r="AK213" s="752">
        <f>INPUT!CB119</f>
        <v>-27.744350559978326</v>
      </c>
      <c r="AL213" s="793">
        <f>INPUT!CC119</f>
        <v>54.483037156704363</v>
      </c>
      <c r="AM213" s="752">
        <f>INPUT!CD119</f>
        <v>-29.979005406094437</v>
      </c>
      <c r="AN213" s="793">
        <f>INPUT!CE119</f>
        <v>54.373716632443539</v>
      </c>
      <c r="AO213" s="752">
        <f>INPUT!CF119</f>
        <v>-28.133599935924646</v>
      </c>
      <c r="AP213" s="793">
        <f>INPUT!CG119</f>
        <v>51.440645409143293</v>
      </c>
      <c r="AQ213" s="752">
        <f>INPUT!CH119</f>
        <v>-3.4033129194820488</v>
      </c>
      <c r="AR213" s="793">
        <f>INPUT!CI119</f>
        <v>51.052430156907768</v>
      </c>
      <c r="AS213" s="752">
        <f>INPUT!CJ119</f>
        <v>-7.2248966593035924</v>
      </c>
      <c r="AT213" s="793">
        <f>INPUT!CK119</f>
        <v>51.11452728670254</v>
      </c>
      <c r="AU213" s="752">
        <f>INPUT!CL119</f>
        <v>-6.1826763811152823</v>
      </c>
      <c r="AV213" s="793">
        <f>INPUT!CM119</f>
        <v>51.92088246481552</v>
      </c>
      <c r="AW213" s="752">
        <f>INPUT!CN119</f>
        <v>-4.5110658596482107</v>
      </c>
      <c r="AX213" s="793">
        <f>INPUT!CO119</f>
        <v>50.126399422174075</v>
      </c>
      <c r="AY213" s="752">
        <f>INPUT!CP119</f>
        <v>-2.5548784944592007</v>
      </c>
      <c r="AZ213" s="793">
        <f>INPUT!CQ119</f>
        <v>49.040202825063375</v>
      </c>
      <c r="BA213" s="752">
        <f>INPUT!CR119</f>
        <v>-3.941491767698202</v>
      </c>
      <c r="BB213" s="793">
        <f>INPUT!CS119</f>
        <v>51.520703554415533</v>
      </c>
      <c r="BC213" s="752">
        <f>INPUT!CT119</f>
        <v>0.79463958540542112</v>
      </c>
      <c r="BD213" s="793">
        <f>INPUT!CU119</f>
        <v>52.502700756211752</v>
      </c>
      <c r="BE213" s="752">
        <f>INPUT!CV119</f>
        <v>1.1205862916342069</v>
      </c>
      <c r="BF213" s="793">
        <f>INPUT!CW119</f>
        <v>46.376811594202898</v>
      </c>
      <c r="BG213" s="752">
        <f>INPUT!CX119</f>
        <v>-7.480265630873328</v>
      </c>
      <c r="BH213" s="793">
        <f>INPUT!CY119</f>
        <v>50.32870708546384</v>
      </c>
      <c r="BI213" s="752">
        <f>INPUT!CZ119</f>
        <v>2.6274448027811648</v>
      </c>
      <c r="BJ213" s="793">
        <f>INPUT!DA119</f>
        <v>52.259475218658899</v>
      </c>
      <c r="BK213" s="752">
        <f>INPUT!DB119</f>
        <v>1.433931629957419</v>
      </c>
      <c r="BL213" s="793">
        <f>INPUT!DC119</f>
        <v>60.361010830324901</v>
      </c>
      <c r="BM213" s="752">
        <f>INPUT!DD119</f>
        <v>14.967439695344442</v>
      </c>
      <c r="BN213" s="793">
        <f>INPUT!DE119</f>
        <v>47.287087912087912</v>
      </c>
      <c r="BO213" s="752">
        <f>INPUT!DF119</f>
        <v>1.9627833104395531</v>
      </c>
      <c r="BP213" s="793">
        <f>INPUT!DG119</f>
        <v>49.82722874913614</v>
      </c>
      <c r="BQ213" s="752">
        <f>INPUT!DH119</f>
        <v>-0.99640615737680571</v>
      </c>
      <c r="BR213" s="793">
        <f>INPUT!DI119</f>
        <v>49.375866851595013</v>
      </c>
      <c r="BS213" s="752">
        <f>INPUT!DJ119</f>
        <v>-5.5178670566410792</v>
      </c>
      <c r="BT213" s="793">
        <f>INPUT!DK119</f>
        <v>48.676521141285669</v>
      </c>
      <c r="BU213" s="752">
        <f>INPUT!DL119</f>
        <v>-19.357677295836528</v>
      </c>
      <c r="BV213" s="793">
        <f>INPUT!DM119</f>
        <v>43.959948320413432</v>
      </c>
      <c r="BW213" s="752">
        <f>INPUT!DN119</f>
        <v>-7.0360424770922965</v>
      </c>
      <c r="BX213" s="793">
        <f>INPUT!DO119</f>
        <v>46.42273766742894</v>
      </c>
      <c r="BY213" s="752">
        <f>INPUT!DP119</f>
        <v>-6.8325916716093227</v>
      </c>
      <c r="BZ213" s="793">
        <f>INPUT!DQ119</f>
        <v>48.315341838403661</v>
      </c>
      <c r="CA213" s="752">
        <f>INPUT!DR119</f>
        <v>-2.1478610519970909</v>
      </c>
      <c r="CB213" s="793">
        <f>INPUT!DS119</f>
        <v>50.487963565387119</v>
      </c>
      <c r="CC213" s="752">
        <f>INPUT!DT119</f>
        <v>3.7213884263496588</v>
      </c>
      <c r="CD213" s="793">
        <f>INPUT!DU119</f>
        <v>46.468969734026288</v>
      </c>
      <c r="CE213" s="752">
        <f>INPUT!DV119</f>
        <v>5.7075167498496837</v>
      </c>
      <c r="CF213" s="793">
        <f>INPUT!DW119</f>
        <v>46.770737679828592</v>
      </c>
      <c r="CG213" s="752">
        <f>INPUT!DX119</f>
        <v>0.74963267977152803</v>
      </c>
      <c r="CH213" s="793">
        <f>INPUT!DY119</f>
        <v>50.014590020426027</v>
      </c>
      <c r="CI213" s="752">
        <f>INPUT!DZ119</f>
        <v>3.5169950524322147</v>
      </c>
      <c r="CJ213" s="793">
        <f>INPUT!EA119</f>
        <v>50.292911540714705</v>
      </c>
      <c r="CK213" s="752">
        <f>INPUT!EB119</f>
        <v>-0.38633371381636694</v>
      </c>
      <c r="CL213" s="793">
        <f>INPUT!EC119</f>
        <v>49.188891943909816</v>
      </c>
      <c r="CM213" s="752">
        <f>INPUT!ED119</f>
        <v>5.8532010187690942</v>
      </c>
      <c r="CN213" s="793">
        <f>INPUT!EE119</f>
        <v>49.016892827471608</v>
      </c>
      <c r="CO213" s="752">
        <f>INPUT!EF119</f>
        <v>4.8024796252288837</v>
      </c>
      <c r="CP213" s="793">
        <f>INPUT!EG119</f>
        <v>48.405148293228876</v>
      </c>
      <c r="CQ213" s="752">
        <f>INPUT!EH119</f>
        <v>-3.2179444568871896</v>
      </c>
      <c r="CR213" s="793">
        <f>INPUT!EI119</f>
        <v>46.567666012888765</v>
      </c>
      <c r="CS213" s="752">
        <f>INPUT!EJ119</f>
        <v>-7.407098562607894</v>
      </c>
      <c r="CT213" s="793">
        <f>INPUT!EK119</f>
        <v>47.567666012888765</v>
      </c>
      <c r="CU213" s="752">
        <f>INPUT!EL119</f>
        <v>-3.2959187876599016</v>
      </c>
      <c r="CV213" s="793">
        <f>INPUT!EM119</f>
        <v>47.567666012888765</v>
      </c>
      <c r="CW213" s="752">
        <f>INPUT!EN119</f>
        <v>-2.9565864561913235</v>
      </c>
      <c r="CX213" s="793">
        <f>INPUT!EO119</f>
        <v>47.567666012888765</v>
      </c>
      <c r="CY213" s="752">
        <f>INPUT!EP119</f>
        <v>-1.7301512542980069</v>
      </c>
      <c r="CZ213" s="793">
        <f>INPUT!EQ119</f>
        <v>47.567666012888765</v>
      </c>
      <c r="DA213" s="752">
        <f>INPUT!ER119</f>
        <v>2.1474127557159939</v>
      </c>
      <c r="DB213" s="753"/>
      <c r="DC213" s="793">
        <f>INPUT!FB119</f>
        <v>0</v>
      </c>
      <c r="DD213" s="767">
        <f>INPUT!FC119</f>
        <v>0</v>
      </c>
      <c r="DE213" s="793">
        <f>INPUT!FD119</f>
        <v>70.36339463771327</v>
      </c>
      <c r="DF213" s="767" t="str">
        <f>INPUT!FE119</f>
        <v>NA</v>
      </c>
      <c r="DG213" s="793">
        <f>INPUT!FF119</f>
        <v>70.493663703423479</v>
      </c>
      <c r="DH213" s="767">
        <f>INPUT!FG119</f>
        <v>0.18513755111011498</v>
      </c>
      <c r="DI213" s="793">
        <f>INPUT!FH119</f>
        <v>72.561768530559164</v>
      </c>
      <c r="DJ213" s="767">
        <f>INPUT!FI119</f>
        <v>2.9337456992396982</v>
      </c>
      <c r="DK213" s="793">
        <f>INPUT!FJ119</f>
        <v>73.301559092010663</v>
      </c>
      <c r="DL213" s="752">
        <f>INPUT!FK119</f>
        <v>1.0195321536849544</v>
      </c>
      <c r="DM213" s="793">
        <f>INPUT!FL119</f>
        <v>74.824801950030448</v>
      </c>
      <c r="DN213" s="752">
        <f>INPUT!FM119</f>
        <v>2.0780497398530828</v>
      </c>
      <c r="DO213" s="793">
        <f>INPUT!FN119</f>
        <v>76.554543498529753</v>
      </c>
      <c r="DP213" s="752">
        <f>INPUT!FO119</f>
        <v>2.3117221875902372</v>
      </c>
      <c r="DQ213" s="793">
        <f>INPUT!FP119</f>
        <v>75.176784523015357</v>
      </c>
      <c r="DR213" s="752">
        <f>INPUT!FQ119</f>
        <v>-1.799708955930035</v>
      </c>
      <c r="DS213" s="793">
        <f>INPUT!FR119</f>
        <v>53.739148624620846</v>
      </c>
      <c r="DT213" s="752">
        <f>INPUT!FS119</f>
        <v>-28.516297996000862</v>
      </c>
      <c r="DU213" s="793">
        <f>INPUT!FT119</f>
        <v>54.283402447658538</v>
      </c>
      <c r="DV213" s="752">
        <f>INPUT!FU119</f>
        <v>1.0127697162443328</v>
      </c>
      <c r="DW213" s="793">
        <f>INPUT!FV119</f>
        <v>51.383172202546191</v>
      </c>
      <c r="DX213" s="752">
        <f>INPUT!FW119</f>
        <v>-5.342756928158332</v>
      </c>
      <c r="DY213" s="793">
        <f>INPUT!FX119</f>
        <v>50.79739035882568</v>
      </c>
      <c r="DZ213" s="752">
        <f>INPUT!FY119</f>
        <v>-1.1400266246922808</v>
      </c>
      <c r="EA213" s="793">
        <f>INPUT!FZ119</f>
        <v>52.305748578648135</v>
      </c>
      <c r="EB213" s="752">
        <f>INPUT!GA119</f>
        <v>2.9693616328863026</v>
      </c>
      <c r="EC213" s="793">
        <f>INPUT!GB119</f>
        <v>48.788688680058627</v>
      </c>
      <c r="ED213" s="752">
        <f>INPUT!GC119</f>
        <v>-6.7240408447671429</v>
      </c>
      <c r="EE213" s="793">
        <f>INPUT!GD119</f>
        <v>47.290039062499986</v>
      </c>
      <c r="EF213" s="752">
        <f>INPUT!GE119</f>
        <v>-3.0717153055420887</v>
      </c>
      <c r="EG213" s="793">
        <f>INPUT!GF119</f>
        <v>48.426638762239335</v>
      </c>
      <c r="EH213" s="752">
        <f>INPUT!GG119</f>
        <v>2.403465343382738</v>
      </c>
      <c r="EI213" s="793">
        <f>INPUT!GH119</f>
        <v>48.301021471753174</v>
      </c>
      <c r="EJ213" s="752">
        <f>INPUT!GI119</f>
        <v>-0.25939708742311884</v>
      </c>
      <c r="EK213" s="793">
        <f>INPUT!GJ119</f>
        <v>47.567666012888758</v>
      </c>
      <c r="EL213" s="752">
        <f>INPUT!GK119</f>
        <v>-1.5183021735747149</v>
      </c>
      <c r="EM213" s="793">
        <f>INPUT!GL119</f>
        <v>47.567666012888758</v>
      </c>
      <c r="EN213" s="752">
        <f>INPUT!GM119</f>
        <v>0</v>
      </c>
      <c r="EO213" s="793">
        <f>INPUT!GN119</f>
        <v>47.567666012888758</v>
      </c>
      <c r="EP213" s="752">
        <f>INPUT!GO119</f>
        <v>0</v>
      </c>
      <c r="EQ213" s="793">
        <f>INPUT!GP119</f>
        <v>47.567666012888758</v>
      </c>
      <c r="ER213" s="752">
        <f>INPUT!GQ119</f>
        <v>0</v>
      </c>
      <c r="ES213" s="793">
        <f>INPUT!GR119</f>
        <v>47.667666012888759</v>
      </c>
      <c r="ET213" s="752">
        <f>INPUT!GS119</f>
        <v>0.21022683764408967</v>
      </c>
      <c r="EU213" s="767">
        <f>INPUT!GT119</f>
        <v>-0.26363990279977267</v>
      </c>
      <c r="EV213" s="710"/>
    </row>
    <row r="214" spans="1:152" ht="12.75" hidden="1" customHeight="1" outlineLevel="1" x14ac:dyDescent="0.2">
      <c r="A214" s="754" t="str">
        <f>INPUT!B121</f>
        <v>Commissions/Premiums (%)</v>
      </c>
      <c r="B214" s="793">
        <f>INPUT!AS121</f>
        <v>19.926199261992618</v>
      </c>
      <c r="C214" s="767">
        <f>INPUT!AT121</f>
        <v>3.4054128937193617</v>
      </c>
      <c r="D214" s="793">
        <f>INPUT!AU121</f>
        <v>17.420537897310513</v>
      </c>
      <c r="E214" s="767">
        <f>INPUT!AV121</f>
        <v>-9.984177085803525</v>
      </c>
      <c r="F214" s="793">
        <f>INPUT!AW121</f>
        <v>17.54438760156485</v>
      </c>
      <c r="G214" s="767">
        <f>INPUT!AX121</f>
        <v>-1.4985373577007577</v>
      </c>
      <c r="H214" s="793">
        <f>INPUT!AY121</f>
        <v>18.043279487960987</v>
      </c>
      <c r="I214" s="752">
        <f>INPUT!AZ121</f>
        <v>3.1232688983463541</v>
      </c>
      <c r="J214" s="793">
        <f>INPUT!BA121</f>
        <v>18.003512880562059</v>
      </c>
      <c r="K214" s="752">
        <f>INPUT!BB121</f>
        <v>-9.6490372105126241</v>
      </c>
      <c r="L214" s="793">
        <f>INPUT!BC121</f>
        <v>17.165898617511523</v>
      </c>
      <c r="M214" s="752">
        <f>INPUT!BD121</f>
        <v>-1.4617188131619274</v>
      </c>
      <c r="N214" s="793">
        <f>INPUT!BE121</f>
        <v>17.763904653802499</v>
      </c>
      <c r="O214" s="752">
        <f>INPUT!BF121</f>
        <v>1.2512095447439142</v>
      </c>
      <c r="P214" s="793">
        <f>INPUT!BG121</f>
        <v>17.388841687907107</v>
      </c>
      <c r="Q214" s="752">
        <f>INPUT!BH121</f>
        <v>-3.6270446317175353</v>
      </c>
      <c r="R214" s="793">
        <f>INPUT!BI121</f>
        <v>18.344155844155843</v>
      </c>
      <c r="S214" s="752">
        <f>INPUT!BJ121</f>
        <v>1.8920916481892203</v>
      </c>
      <c r="T214" s="793">
        <f>INPUT!BK121</f>
        <v>18.218406224845722</v>
      </c>
      <c r="U214" s="752">
        <f>INPUT!BL121</f>
        <v>6.1313865984300886</v>
      </c>
      <c r="V214" s="793">
        <f>INPUT!BM121</f>
        <v>17.454835281615306</v>
      </c>
      <c r="W214" s="752">
        <f>INPUT!BN121</f>
        <v>-1.7398729514179978</v>
      </c>
      <c r="X214" s="793">
        <f>INPUT!BO121</f>
        <v>17.328424927688669</v>
      </c>
      <c r="Y214" s="752">
        <f>INPUT!BP121</f>
        <v>-0.34744557057215797</v>
      </c>
      <c r="Z214" s="793">
        <f>INPUT!BQ121</f>
        <v>18.415690269994904</v>
      </c>
      <c r="AA214" s="752">
        <f>INPUT!BR121</f>
        <v>0.38995757802533504</v>
      </c>
      <c r="AB214" s="793">
        <f>INPUT!BS121</f>
        <v>17.753901253517526</v>
      </c>
      <c r="AC214" s="752">
        <f>INPUT!BT121</f>
        <v>-2.549646580471554</v>
      </c>
      <c r="AD214" s="793">
        <f>INPUT!BU121</f>
        <v>16.571279916753383</v>
      </c>
      <c r="AE214" s="752">
        <f>INPUT!BV121</f>
        <v>-5.0619518924509554</v>
      </c>
      <c r="AF214" s="793">
        <f>INPUT!BW121</f>
        <v>16.610080961086446</v>
      </c>
      <c r="AG214" s="752">
        <f>INPUT!BX121</f>
        <v>-4.1454660166741375</v>
      </c>
      <c r="AH214" s="793">
        <f>INPUT!BY121</f>
        <v>22.85140562248996</v>
      </c>
      <c r="AI214" s="752">
        <f>INPUT!BZ121</f>
        <v>24.08660923083761</v>
      </c>
      <c r="AJ214" s="793">
        <f>INPUT!CA121</f>
        <v>21.399839098954146</v>
      </c>
      <c r="AK214" s="752">
        <f>INPUT!CB121</f>
        <v>20.535981322495324</v>
      </c>
      <c r="AL214" s="793">
        <f>INPUT!CC121</f>
        <v>21.24394184168013</v>
      </c>
      <c r="AM214" s="752">
        <f>INPUT!CD121</f>
        <v>28.197350768317754</v>
      </c>
      <c r="AN214" s="793">
        <f>INPUT!CE121</f>
        <v>20.08213552361396</v>
      </c>
      <c r="AO214" s="752">
        <f>INPUT!CF121</f>
        <v>20.903297043895996</v>
      </c>
      <c r="AP214" s="793">
        <f>INPUT!CG121</f>
        <v>22.550902804456396</v>
      </c>
      <c r="AQ214" s="752">
        <f>INPUT!CH121</f>
        <v>-1.3150299066846616</v>
      </c>
      <c r="AR214" s="793">
        <f>INPUT!CI121</f>
        <v>21.163413700727133</v>
      </c>
      <c r="AS214" s="752">
        <f>INPUT!CJ121</f>
        <v>-1.1047998872036779</v>
      </c>
      <c r="AT214" s="793">
        <f>INPUT!CK121</f>
        <v>21.291314373558802</v>
      </c>
      <c r="AU214" s="752">
        <f>INPUT!CL121</f>
        <v>0.22299313485092398</v>
      </c>
      <c r="AV214" s="793">
        <f>INPUT!CM121</f>
        <v>18.86648915937619</v>
      </c>
      <c r="AW214" s="752">
        <f>INPUT!CN121</f>
        <v>-6.0533719773394061</v>
      </c>
      <c r="AX214" s="793">
        <f>INPUT!CO121</f>
        <v>22.643553629469125</v>
      </c>
      <c r="AY214" s="752">
        <f>INPUT!CP121</f>
        <v>0.41085195486905146</v>
      </c>
      <c r="AZ214" s="793">
        <f>INPUT!CQ121</f>
        <v>22.998913437160446</v>
      </c>
      <c r="BA214" s="752">
        <f>INPUT!CR121</f>
        <v>8.6729851922246795</v>
      </c>
      <c r="BB214" s="793">
        <f>INPUT!CS121</f>
        <v>21.582997434957861</v>
      </c>
      <c r="BC214" s="752">
        <f>INPUT!CT121</f>
        <v>1.3699626818779009</v>
      </c>
      <c r="BD214" s="793">
        <f>INPUT!CU121</f>
        <v>21.06589845156644</v>
      </c>
      <c r="BE214" s="752">
        <f>INPUT!CV121</f>
        <v>11.657756107193883</v>
      </c>
      <c r="BF214" s="793">
        <f>INPUT!CW121</f>
        <v>22.587486744432663</v>
      </c>
      <c r="BG214" s="752">
        <f>INPUT!CX121</f>
        <v>-0.24760638702705506</v>
      </c>
      <c r="BH214" s="793">
        <f>INPUT!CY121</f>
        <v>20.014609203798393</v>
      </c>
      <c r="BI214" s="752">
        <f>INPUT!CZ121</f>
        <v>-12.975848800492329</v>
      </c>
      <c r="BJ214" s="793">
        <f>INPUT!DA121</f>
        <v>20.626822157434404</v>
      </c>
      <c r="BK214" s="752">
        <f>INPUT!DB121</f>
        <v>-4.4302246729397528</v>
      </c>
      <c r="BL214" s="793">
        <f>INPUT!DC121</f>
        <v>20.577617328519857</v>
      </c>
      <c r="BM214" s="752">
        <f>INPUT!DD121</f>
        <v>-2.3178746644450632</v>
      </c>
      <c r="BN214" s="793">
        <f>INPUT!DE121</f>
        <v>22.87087912087912</v>
      </c>
      <c r="BO214" s="752">
        <f>INPUT!DF121</f>
        <v>1.254643244079845</v>
      </c>
      <c r="BP214" s="793">
        <f>INPUT!DG121</f>
        <v>21.389080856945405</v>
      </c>
      <c r="BQ214" s="752">
        <f>INPUT!DH121</f>
        <v>6.867341945833072</v>
      </c>
      <c r="BR214" s="793">
        <f>INPUT!DI121</f>
        <v>21.601941747572816</v>
      </c>
      <c r="BS214" s="752">
        <f>INPUT!DJ121</f>
        <v>4.7274349034272189</v>
      </c>
      <c r="BT214" s="793">
        <f>INPUT!DK121</f>
        <v>21.794431075971126</v>
      </c>
      <c r="BU214" s="752">
        <f>INPUT!DL121</f>
        <v>5.9132878604210681</v>
      </c>
      <c r="BV214" s="793">
        <f>INPUT!DM121</f>
        <v>22.965116279069765</v>
      </c>
      <c r="BW214" s="752">
        <f>INPUT!DN121</f>
        <v>0.41203994692364798</v>
      </c>
      <c r="BX214" s="793">
        <f>INPUT!DO121</f>
        <v>21.659588369813783</v>
      </c>
      <c r="BY214" s="752">
        <f>INPUT!DP121</f>
        <v>1.2646990989355178</v>
      </c>
      <c r="BZ214" s="793">
        <f>INPUT!DQ121</f>
        <v>21.262675825973176</v>
      </c>
      <c r="CA214" s="752">
        <f>INPUT!DR121</f>
        <v>-1.5705343786410308</v>
      </c>
      <c r="CB214" s="793">
        <f>INPUT!DS121</f>
        <v>21.600520494469748</v>
      </c>
      <c r="CC214" s="752">
        <f>INPUT!DT121</f>
        <v>-0.88972536527998081</v>
      </c>
      <c r="CD214" s="793">
        <f>INPUT!DU121</f>
        <v>21.858758789361048</v>
      </c>
      <c r="CE214" s="752">
        <f>INPUT!DV121</f>
        <v>-4.8175566640480838</v>
      </c>
      <c r="CF214" s="793">
        <f>INPUT!DW121</f>
        <v>21.27333945515764</v>
      </c>
      <c r="CG214" s="752">
        <f>INPUT!DX121</f>
        <v>-1.7832698759614685</v>
      </c>
      <c r="CH214" s="793">
        <f>INPUT!DY121</f>
        <v>20.338488473883864</v>
      </c>
      <c r="CI214" s="752">
        <f>INPUT!DZ121</f>
        <v>-4.3465242082108109</v>
      </c>
      <c r="CJ214" s="793">
        <f>INPUT!EA121</f>
        <v>18.95137668424136</v>
      </c>
      <c r="CK214" s="752">
        <f>INPUT!EB121</f>
        <v>-12.264259145545275</v>
      </c>
      <c r="CL214" s="793">
        <f>INPUT!EC121</f>
        <v>20.401429749793788</v>
      </c>
      <c r="CM214" s="752">
        <f>INPUT!ED121</f>
        <v>-6.6670255782160908</v>
      </c>
      <c r="CN214" s="793">
        <f>INPUT!EE121</f>
        <v>18.748269177513155</v>
      </c>
      <c r="CO214" s="752">
        <f>INPUT!EF121</f>
        <v>-11.86964690225112</v>
      </c>
      <c r="CP214" s="793">
        <f>INPUT!EG121</f>
        <v>18.186905428091777</v>
      </c>
      <c r="CQ214" s="752">
        <f>INPUT!EH121</f>
        <v>-10.57887388512121</v>
      </c>
      <c r="CR214" s="793">
        <f>INPUT!EI121</f>
        <v>19.809470439899133</v>
      </c>
      <c r="CS214" s="752">
        <f>INPUT!EJ121</f>
        <v>4.5278702964693052</v>
      </c>
      <c r="CT214" s="793">
        <f>INPUT!EK121</f>
        <v>19.3</v>
      </c>
      <c r="CU214" s="752">
        <f>INPUT!EL121</f>
        <v>-5.3987870619946143</v>
      </c>
      <c r="CV214" s="793">
        <f>INPUT!EM121</f>
        <v>19.3</v>
      </c>
      <c r="CW214" s="752">
        <f>INPUT!EN121</f>
        <v>2.9428360413589427</v>
      </c>
      <c r="CX214" s="793">
        <f>INPUT!EO121</f>
        <v>19.3</v>
      </c>
      <c r="CY214" s="752">
        <f>INPUT!EP121</f>
        <v>6.1203076923076916</v>
      </c>
      <c r="CZ214" s="793">
        <f>INPUT!EQ121</f>
        <v>19.3</v>
      </c>
      <c r="DA214" s="752">
        <f>INPUT!ER121</f>
        <v>-2.5718528995756773</v>
      </c>
      <c r="DB214" s="753"/>
      <c r="DC214" s="793">
        <f>INPUT!FB121</f>
        <v>0</v>
      </c>
      <c r="DD214" s="767">
        <f>INPUT!FC121</f>
        <v>0</v>
      </c>
      <c r="DE214" s="793">
        <f>INPUT!FD121</f>
        <v>23.664967870596055</v>
      </c>
      <c r="DF214" s="767" t="str">
        <f>INPUT!FE121</f>
        <v>NA</v>
      </c>
      <c r="DG214" s="793">
        <f>INPUT!FF121</f>
        <v>22.271609608473614</v>
      </c>
      <c r="DH214" s="767">
        <f>INPUT!FG121</f>
        <v>-5.8878519072645847</v>
      </c>
      <c r="DI214" s="793">
        <f>INPUT!FH121</f>
        <v>20.208062418725618</v>
      </c>
      <c r="DJ214" s="767">
        <f>INPUT!FI121</f>
        <v>-9.2653706940107554</v>
      </c>
      <c r="DK214" s="793">
        <f>INPUT!FJ121</f>
        <v>18.474836416511835</v>
      </c>
      <c r="DL214" s="752">
        <f>INPUT!FK121</f>
        <v>-8.5769034472483856</v>
      </c>
      <c r="DM214" s="793">
        <f>INPUT!FL121</f>
        <v>18.228214503351616</v>
      </c>
      <c r="DN214" s="752">
        <f>INPUT!FM121</f>
        <v>-1.3349071547924529</v>
      </c>
      <c r="DO214" s="793">
        <f>INPUT!FN121</f>
        <v>17.578713332855202</v>
      </c>
      <c r="DP214" s="752">
        <f>INPUT!FO121</f>
        <v>-3.5631639641775736</v>
      </c>
      <c r="DQ214" s="793">
        <f>INPUT!FP121</f>
        <v>17.831887925283521</v>
      </c>
      <c r="DR214" s="752">
        <f>INPUT!FQ121</f>
        <v>1.4402339217576721</v>
      </c>
      <c r="DS214" s="793">
        <f>INPUT!FR121</f>
        <v>20.99152808283652</v>
      </c>
      <c r="DT214" s="752">
        <f>INPUT!FS121</f>
        <v>17.719044504945547</v>
      </c>
      <c r="DU214" s="793">
        <f>INPUT!FT121</f>
        <v>21.401840801051886</v>
      </c>
      <c r="DV214" s="752">
        <f>INPUT!FU121</f>
        <v>1.9546586441739455</v>
      </c>
      <c r="DW214" s="793">
        <f>INPUT!FV121</f>
        <v>20.962955872499286</v>
      </c>
      <c r="DX214" s="752">
        <f>INPUT!FW121</f>
        <v>-2.0506877545366509</v>
      </c>
      <c r="DY214" s="793">
        <f>INPUT!FX121</f>
        <v>22.073214932946723</v>
      </c>
      <c r="DZ214" s="752">
        <f>INPUT!FY121</f>
        <v>5.2962905956595252</v>
      </c>
      <c r="EA214" s="793">
        <f>INPUT!FZ121</f>
        <v>20.963811930331197</v>
      </c>
      <c r="EB214" s="752">
        <f>INPUT!GA121</f>
        <v>-5.0260145882039975</v>
      </c>
      <c r="EC214" s="793">
        <f>INPUT!GB121</f>
        <v>21.915682386412627</v>
      </c>
      <c r="ED214" s="752">
        <f>INPUT!GC121</f>
        <v>4.5405409056557655</v>
      </c>
      <c r="EE214" s="793">
        <f>INPUT!GD121</f>
        <v>21.874999999999993</v>
      </c>
      <c r="EF214" s="752">
        <f>INPUT!GE121</f>
        <v>-0.18563139260430184</v>
      </c>
      <c r="EG214" s="793">
        <f>INPUT!GF121</f>
        <v>20.58449809402795</v>
      </c>
      <c r="EH214" s="752">
        <f>INPUT!GG121</f>
        <v>-5.899437284443632</v>
      </c>
      <c r="EI214" s="793">
        <f>INPUT!GH121</f>
        <v>19.289833923980268</v>
      </c>
      <c r="EJ214" s="752">
        <f>INPUT!GI121</f>
        <v>-6.2895105051081863</v>
      </c>
      <c r="EK214" s="793">
        <f>INPUT!GJ121</f>
        <v>19.300000000000004</v>
      </c>
      <c r="EL214" s="752">
        <f>INPUT!GK121</f>
        <v>5.2701729106630069E-2</v>
      </c>
      <c r="EM214" s="793">
        <f>INPUT!GL121</f>
        <v>19.300000000000004</v>
      </c>
      <c r="EN214" s="752">
        <f>INPUT!GM121</f>
        <v>0</v>
      </c>
      <c r="EO214" s="793">
        <f>INPUT!GN121</f>
        <v>19.300000000000004</v>
      </c>
      <c r="EP214" s="752">
        <f>INPUT!GO121</f>
        <v>0</v>
      </c>
      <c r="EQ214" s="793">
        <f>INPUT!GP121</f>
        <v>19.300000000000004</v>
      </c>
      <c r="ER214" s="752">
        <f>INPUT!GQ121</f>
        <v>0</v>
      </c>
      <c r="ES214" s="793">
        <f>INPUT!GR121</f>
        <v>19.300000000000004</v>
      </c>
      <c r="ET214" s="752">
        <f>INPUT!GS121</f>
        <v>0</v>
      </c>
      <c r="EU214" s="767">
        <f>INPUT!GT121</f>
        <v>1.0538124545877992E-2</v>
      </c>
      <c r="EV214" s="710"/>
    </row>
    <row r="215" spans="1:152" ht="12.75" hidden="1" customHeight="1" outlineLevel="1" x14ac:dyDescent="0.2">
      <c r="A215" s="754" t="str">
        <f>INPUT!B122</f>
        <v>Other Expenses/Premiums (%)</v>
      </c>
      <c r="B215" s="793">
        <f>INPUT!AS122</f>
        <v>18.726937269372694</v>
      </c>
      <c r="C215" s="767">
        <f>INPUT!AT122</f>
        <v>-11.294990286351458</v>
      </c>
      <c r="D215" s="793">
        <f>INPUT!AU122</f>
        <v>19.743276283618581</v>
      </c>
      <c r="E215" s="767">
        <f>INPUT!AV122</f>
        <v>-7.1434951044422874</v>
      </c>
      <c r="F215" s="793">
        <f>INPUT!AW122</f>
        <v>18.386999699067108</v>
      </c>
      <c r="G215" s="767">
        <f>INPUT!AX122</f>
        <v>-11.309766157440993</v>
      </c>
      <c r="H215" s="793">
        <f>INPUT!AY122</f>
        <v>19.811033221578786</v>
      </c>
      <c r="I215" s="752">
        <f>INPUT!AZ122</f>
        <v>-5.8449832321930799</v>
      </c>
      <c r="J215" s="793">
        <f>INPUT!BA122</f>
        <v>18.823185011709601</v>
      </c>
      <c r="K215" s="752">
        <f>INPUT!BB122</f>
        <v>0.51395346154288202</v>
      </c>
      <c r="L215" s="793">
        <f>INPUT!BC122</f>
        <v>18.519585253456221</v>
      </c>
      <c r="M215" s="752">
        <f>INPUT!BD122</f>
        <v>-6.1980140103579657</v>
      </c>
      <c r="N215" s="793">
        <f>INPUT!BE122</f>
        <v>18.558456299659483</v>
      </c>
      <c r="O215" s="752">
        <f>INPUT!BF122</f>
        <v>0.93248818947375689</v>
      </c>
      <c r="P215" s="793">
        <f>INPUT!BG122</f>
        <v>20.589068252619654</v>
      </c>
      <c r="Q215" s="752">
        <f>INPUT!BH122</f>
        <v>3.9272814413001456</v>
      </c>
      <c r="R215" s="793">
        <f>INPUT!BI122</f>
        <v>18.912337662337663</v>
      </c>
      <c r="S215" s="752">
        <f>INPUT!BJ122</f>
        <v>0.47363212215467687</v>
      </c>
      <c r="T215" s="793">
        <f>INPUT!BK122</f>
        <v>19.130668097665684</v>
      </c>
      <c r="U215" s="752">
        <f>INPUT!BL122</f>
        <v>3.2996572863067675</v>
      </c>
      <c r="V215" s="793">
        <f>INPUT!BM122</f>
        <v>18.942614240170034</v>
      </c>
      <c r="W215" s="752">
        <f>INPUT!BN122</f>
        <v>2.069988658041555</v>
      </c>
      <c r="X215" s="793">
        <f>INPUT!BO122</f>
        <v>18.722061530370759</v>
      </c>
      <c r="Y215" s="752">
        <f>INPUT!BP122</f>
        <v>-9.0679514941689803</v>
      </c>
      <c r="Z215" s="793">
        <f>INPUT!BQ122</f>
        <v>19.179826795720835</v>
      </c>
      <c r="AA215" s="752">
        <f>INPUT!BR122</f>
        <v>1.4143631430389103</v>
      </c>
      <c r="AB215" s="793">
        <f>INPUT!BS122</f>
        <v>18.41903300076746</v>
      </c>
      <c r="AC215" s="752">
        <f>INPUT!BT122</f>
        <v>-3.7198653662548153</v>
      </c>
      <c r="AD215" s="793">
        <f>INPUT!BU122</f>
        <v>18.31425598335068</v>
      </c>
      <c r="AE215" s="752">
        <f>INPUT!BV122</f>
        <v>-3.3171675717644455</v>
      </c>
      <c r="AF215" s="793">
        <f>INPUT!BW122</f>
        <v>19.117262992948554</v>
      </c>
      <c r="AG215" s="752">
        <f>INPUT!BX122</f>
        <v>2.1108864637406688</v>
      </c>
      <c r="AH215" s="793">
        <f>INPUT!BY122</f>
        <v>24.779116465863453</v>
      </c>
      <c r="AI215" s="752">
        <f>INPUT!BZ122</f>
        <v>29.193640431580235</v>
      </c>
      <c r="AJ215" s="793">
        <f>INPUT!CA122</f>
        <v>22.968624296057925</v>
      </c>
      <c r="AK215" s="752">
        <f>INPUT!CB122</f>
        <v>24.700489407347813</v>
      </c>
      <c r="AL215" s="793">
        <f>INPUT!CC122</f>
        <v>24.434571890145396</v>
      </c>
      <c r="AM215" s="752">
        <f>INPUT!CD122</f>
        <v>33.418315831987044</v>
      </c>
      <c r="AN215" s="793">
        <f>INPUT!CE122</f>
        <v>24.722792607802877</v>
      </c>
      <c r="AO215" s="752">
        <f>INPUT!CF122</f>
        <v>29.321820895187422</v>
      </c>
      <c r="AP215" s="793">
        <f>INPUT!CG122</f>
        <v>24.587014982712255</v>
      </c>
      <c r="AQ215" s="752">
        <f>INPUT!CH122</f>
        <v>-0.77525558030224762</v>
      </c>
      <c r="AR215" s="793">
        <f>INPUT!CI122</f>
        <v>23.765786452353616</v>
      </c>
      <c r="AS215" s="752">
        <f>INPUT!CJ122</f>
        <v>3.4706569536796739</v>
      </c>
      <c r="AT215" s="793">
        <f>INPUT!CK122</f>
        <v>23.020753266717911</v>
      </c>
      <c r="AU215" s="752">
        <f>INPUT!CL122</f>
        <v>-5.7861403497627357</v>
      </c>
      <c r="AV215" s="793">
        <f>INPUT!CM122</f>
        <v>24.153670597185243</v>
      </c>
      <c r="AW215" s="752">
        <f>INPUT!CN122</f>
        <v>-2.3020134482623522</v>
      </c>
      <c r="AX215" s="793">
        <f>INPUT!CO122</f>
        <v>23.365836041892383</v>
      </c>
      <c r="AY215" s="752">
        <f>INPUT!CP122</f>
        <v>-4.9667637233658191</v>
      </c>
      <c r="AZ215" s="793">
        <f>INPUT!CQ122</f>
        <v>23.252444766388987</v>
      </c>
      <c r="BA215" s="752">
        <f>INPUT!CR122</f>
        <v>-2.1600029394936882</v>
      </c>
      <c r="BB215" s="793">
        <f>INPUT!CS122</f>
        <v>23.525100769512644</v>
      </c>
      <c r="BC215" s="752">
        <f>INPUT!CT122</f>
        <v>2.1908384011216864</v>
      </c>
      <c r="BD215" s="793">
        <f>INPUT!CU122</f>
        <v>23.982715160244865</v>
      </c>
      <c r="BE215" s="752">
        <f>INPUT!CV122</f>
        <v>-0.70778243104921978</v>
      </c>
      <c r="BF215" s="793">
        <f>INPUT!CW122</f>
        <v>23.541887592788971</v>
      </c>
      <c r="BG215" s="752">
        <f>INPUT!CX122</f>
        <v>0.75345710113239317</v>
      </c>
      <c r="BH215" s="793">
        <f>INPUT!CY122</f>
        <v>24.25127830533236</v>
      </c>
      <c r="BI215" s="752">
        <f>INPUT!CZ122</f>
        <v>4.2956065436489999</v>
      </c>
      <c r="BJ215" s="793">
        <f>INPUT!DA122</f>
        <v>24.380466472303212</v>
      </c>
      <c r="BK215" s="752">
        <f>INPUT!DB122</f>
        <v>3.6359704095256351</v>
      </c>
      <c r="BL215" s="793">
        <f>INPUT!DC122</f>
        <v>25.379061371841154</v>
      </c>
      <c r="BM215" s="752">
        <f>INPUT!DD122</f>
        <v>5.8223024468512019</v>
      </c>
      <c r="BN215" s="793">
        <f>INPUT!DE122</f>
        <v>24.03846153846154</v>
      </c>
      <c r="BO215" s="752">
        <f>INPUT!DF122</f>
        <v>2.1093208593208734</v>
      </c>
      <c r="BP215" s="793">
        <f>INPUT!DG122</f>
        <v>24.429854872149278</v>
      </c>
      <c r="BQ215" s="752">
        <f>INPUT!DH122</f>
        <v>0.73635939750711366</v>
      </c>
      <c r="BR215" s="793">
        <f>INPUT!DI122</f>
        <v>24.930651872399448</v>
      </c>
      <c r="BS215" s="752">
        <f>INPUT!DJ122</f>
        <v>2.2566647800658757</v>
      </c>
      <c r="BT215" s="793">
        <f>INPUT!DK122</f>
        <v>26.057064283258853</v>
      </c>
      <c r="BU215" s="752">
        <f>INPUT!DL122</f>
        <v>2.6715050705932164</v>
      </c>
      <c r="BV215" s="793">
        <f>INPUT!DM122</f>
        <v>24.870801033591729</v>
      </c>
      <c r="BW215" s="752">
        <f>INPUT!DN122</f>
        <v>3.4625322997415831</v>
      </c>
      <c r="BX215" s="793">
        <f>INPUT!DO122</f>
        <v>24.436458673636064</v>
      </c>
      <c r="BY215" s="752">
        <f>INPUT!DP122</f>
        <v>2.7031685293854579E-2</v>
      </c>
      <c r="BZ215" s="793">
        <f>INPUT!DQ122</f>
        <v>24.533856722276742</v>
      </c>
      <c r="CA215" s="752">
        <f>INPUT!DR122</f>
        <v>-1.5915955673906579</v>
      </c>
      <c r="CB215" s="793">
        <f>INPUT!DS122</f>
        <v>24.625894599869881</v>
      </c>
      <c r="CC215" s="752">
        <f>INPUT!DT122</f>
        <v>-5.4924440751695558</v>
      </c>
      <c r="CD215" s="793">
        <f>INPUT!DU122</f>
        <v>23.693060226230507</v>
      </c>
      <c r="CE215" s="752">
        <f>INPUT!DV122</f>
        <v>-4.7354357657017454</v>
      </c>
      <c r="CF215" s="793">
        <f>INPUT!DW122</f>
        <v>23.048668503213957</v>
      </c>
      <c r="CG215" s="752">
        <f>INPUT!DX122</f>
        <v>-5.6791787589065112</v>
      </c>
      <c r="CH215" s="793">
        <f>INPUT!DY122</f>
        <v>23.635833090166329</v>
      </c>
      <c r="CI215" s="752">
        <f>INPUT!DZ122</f>
        <v>-3.6603443244820455</v>
      </c>
      <c r="CJ215" s="793">
        <f>INPUT!EA122</f>
        <v>24.458113649677799</v>
      </c>
      <c r="CK215" s="752">
        <f>INPUT!EB122</f>
        <v>-0.68131920857392725</v>
      </c>
      <c r="CL215" s="793">
        <f>INPUT!EC122</f>
        <v>21.941160296948034</v>
      </c>
      <c r="CM215" s="752">
        <f>INPUT!ED122</f>
        <v>-7.3941479595909243</v>
      </c>
      <c r="CN215" s="793">
        <f>INPUT!EE122</f>
        <v>22.56992522846857</v>
      </c>
      <c r="CO215" s="752">
        <f>INPUT!EF122</f>
        <v>-2.0770973155287864</v>
      </c>
      <c r="CP215" s="793">
        <f>INPUT!EG122</f>
        <v>22.775601566871856</v>
      </c>
      <c r="CQ215" s="752">
        <f>INPUT!EH122</f>
        <v>-3.6395227534940289</v>
      </c>
      <c r="CR215" s="793">
        <f>INPUT!EI122</f>
        <v>23.984309330344633</v>
      </c>
      <c r="CS215" s="752">
        <f>INPUT!EJ122</f>
        <v>-1.9372071212017117</v>
      </c>
      <c r="CT215" s="793">
        <f>INPUT!EK122</f>
        <v>23</v>
      </c>
      <c r="CU215" s="752">
        <f>INPUT!EL122</f>
        <v>4.8258145363408556</v>
      </c>
      <c r="CV215" s="793">
        <f>INPUT!EM122</f>
        <v>23</v>
      </c>
      <c r="CW215" s="752">
        <f>INPUT!EN122</f>
        <v>1.9055214723926239</v>
      </c>
      <c r="CX215" s="793">
        <f>INPUT!EO122</f>
        <v>23</v>
      </c>
      <c r="CY215" s="752">
        <f>INPUT!EP122</f>
        <v>0.98525798525797015</v>
      </c>
      <c r="CZ215" s="793">
        <f>INPUT!EQ122</f>
        <v>23</v>
      </c>
      <c r="DA215" s="752">
        <f>INPUT!ER122</f>
        <v>-4.1039719626168143</v>
      </c>
      <c r="DB215" s="753"/>
      <c r="DC215" s="793">
        <f>INPUT!FB122</f>
        <v>0</v>
      </c>
      <c r="DD215" s="767">
        <f>INPUT!FC122</f>
        <v>0</v>
      </c>
      <c r="DE215" s="793">
        <f>INPUT!FD122</f>
        <v>24.07489474850432</v>
      </c>
      <c r="DF215" s="767" t="str">
        <f>INPUT!FE122</f>
        <v>NA</v>
      </c>
      <c r="DG215" s="793">
        <f>INPUT!FF122</f>
        <v>22.044637790807641</v>
      </c>
      <c r="DH215" s="767">
        <f>INPUT!FG122</f>
        <v>-8.4330875748597443</v>
      </c>
      <c r="DI215" s="793">
        <f>INPUT!FH122</f>
        <v>21.005635023840483</v>
      </c>
      <c r="DJ215" s="767">
        <f>INPUT!FI122</f>
        <v>-4.7131768588205674</v>
      </c>
      <c r="DK215" s="793">
        <f>INPUT!FJ122</f>
        <v>21.035624848533804</v>
      </c>
      <c r="DL215" s="752">
        <f>INPUT!FK122</f>
        <v>0.14277037880208177</v>
      </c>
      <c r="DM215" s="793">
        <f>INPUT!FL122</f>
        <v>19.165143205362583</v>
      </c>
      <c r="DN215" s="752">
        <f>INPUT!FM122</f>
        <v>-8.8919709142920684</v>
      </c>
      <c r="DO215" s="793">
        <f>INPUT!FN122</f>
        <v>19.127877788137422</v>
      </c>
      <c r="DP215" s="752">
        <f>INPUT!FO122</f>
        <v>-0.19444371913033276</v>
      </c>
      <c r="DQ215" s="793">
        <f>INPUT!FP122</f>
        <v>18.925950633755839</v>
      </c>
      <c r="DR215" s="752">
        <f>INPUT!FQ122</f>
        <v>-1.0556694089022933</v>
      </c>
      <c r="DS215" s="793">
        <f>INPUT!FR122</f>
        <v>23.961928668549316</v>
      </c>
      <c r="DT215" s="752">
        <f>INPUT!FS122</f>
        <v>26.608851160223558</v>
      </c>
      <c r="DU215" s="793">
        <f>INPUT!FT122</f>
        <v>24.223728127844645</v>
      </c>
      <c r="DV215" s="752">
        <f>INPUT!FU122</f>
        <v>1.0925642210050768</v>
      </c>
      <c r="DW215" s="793">
        <f>INPUT!FV122</f>
        <v>23.882454293098501</v>
      </c>
      <c r="DX215" s="752">
        <f>INPUT!FW122</f>
        <v>-1.4088410873215551</v>
      </c>
      <c r="DY215" s="793">
        <f>INPUT!FX122</f>
        <v>23.532076839434584</v>
      </c>
      <c r="DZ215" s="752">
        <f>INPUT!FY122</f>
        <v>-1.4670914863434636</v>
      </c>
      <c r="EA215" s="793">
        <f>INPUT!FZ122</f>
        <v>24.384080859128236</v>
      </c>
      <c r="EB215" s="752">
        <f>INPUT!GA122</f>
        <v>3.6206069931995044</v>
      </c>
      <c r="EC215" s="793">
        <f>INPUT!GB122</f>
        <v>24.864212432106218</v>
      </c>
      <c r="ED215" s="752">
        <f>INPUT!GC122</f>
        <v>1.9690369948812014</v>
      </c>
      <c r="EE215" s="793">
        <f>INPUT!GD122</f>
        <v>24.617513020833329</v>
      </c>
      <c r="EF215" s="752">
        <f>INPUT!GE122</f>
        <v>-0.99218670990091073</v>
      </c>
      <c r="EG215" s="793">
        <f>INPUT!GF122</f>
        <v>23.716271769190524</v>
      </c>
      <c r="EH215" s="752">
        <f>INPUT!GG122</f>
        <v>-3.6609760331196006</v>
      </c>
      <c r="EI215" s="793">
        <f>INPUT!GH122</f>
        <v>22.812869154332571</v>
      </c>
      <c r="EJ215" s="752">
        <f>INPUT!GI122</f>
        <v>-3.8092100801085826</v>
      </c>
      <c r="EK215" s="793">
        <f>INPUT!GJ122</f>
        <v>23</v>
      </c>
      <c r="EL215" s="752">
        <f>INPUT!GK122</f>
        <v>0.82028632348460917</v>
      </c>
      <c r="EM215" s="793">
        <f>INPUT!GL122</f>
        <v>23</v>
      </c>
      <c r="EN215" s="752">
        <f>INPUT!GM122</f>
        <v>0</v>
      </c>
      <c r="EO215" s="793">
        <f>INPUT!GN122</f>
        <v>23</v>
      </c>
      <c r="EP215" s="752">
        <f>INPUT!GO122</f>
        <v>0</v>
      </c>
      <c r="EQ215" s="793">
        <f>INPUT!GP122</f>
        <v>23</v>
      </c>
      <c r="ER215" s="752">
        <f>INPUT!GQ122</f>
        <v>0</v>
      </c>
      <c r="ES215" s="793">
        <f>INPUT!GR122</f>
        <v>23.1</v>
      </c>
      <c r="ET215" s="752">
        <f>INPUT!GS122</f>
        <v>0.43478260869564966</v>
      </c>
      <c r="EU215" s="767">
        <f>INPUT!GT122</f>
        <v>0.25046923556495404</v>
      </c>
      <c r="EV215" s="710"/>
    </row>
    <row r="216" spans="1:152" ht="12.75" hidden="1" customHeight="1" outlineLevel="1" x14ac:dyDescent="0.2">
      <c r="A216" s="754"/>
      <c r="B216" s="793"/>
      <c r="C216" s="767"/>
      <c r="D216" s="793"/>
      <c r="E216" s="767"/>
      <c r="F216" s="793"/>
      <c r="G216" s="767"/>
      <c r="H216" s="793"/>
      <c r="I216" s="752"/>
      <c r="J216" s="793"/>
      <c r="K216" s="752"/>
      <c r="L216" s="793"/>
      <c r="M216" s="752"/>
      <c r="N216" s="793"/>
      <c r="O216" s="752"/>
      <c r="P216" s="793"/>
      <c r="Q216" s="752"/>
      <c r="R216" s="793"/>
      <c r="S216" s="752"/>
      <c r="T216" s="793"/>
      <c r="U216" s="752"/>
      <c r="V216" s="793"/>
      <c r="W216" s="752"/>
      <c r="X216" s="793"/>
      <c r="Y216" s="752"/>
      <c r="Z216" s="793"/>
      <c r="AA216" s="752"/>
      <c r="AB216" s="793"/>
      <c r="AC216" s="752"/>
      <c r="AD216" s="793"/>
      <c r="AE216" s="752"/>
      <c r="AF216" s="793"/>
      <c r="AG216" s="752"/>
      <c r="AH216" s="793"/>
      <c r="AI216" s="752"/>
      <c r="AJ216" s="793"/>
      <c r="AK216" s="752"/>
      <c r="AL216" s="793"/>
      <c r="AM216" s="752"/>
      <c r="AN216" s="793"/>
      <c r="AO216" s="752"/>
      <c r="AP216" s="793"/>
      <c r="AQ216" s="752"/>
      <c r="AR216" s="793"/>
      <c r="AS216" s="752"/>
      <c r="AT216" s="793"/>
      <c r="AU216" s="752"/>
      <c r="AV216" s="793"/>
      <c r="AW216" s="752"/>
      <c r="AX216" s="793"/>
      <c r="AY216" s="752"/>
      <c r="AZ216" s="793"/>
      <c r="BA216" s="752"/>
      <c r="BB216" s="793"/>
      <c r="BC216" s="752"/>
      <c r="BD216" s="793"/>
      <c r="BE216" s="752"/>
      <c r="BF216" s="793"/>
      <c r="BG216" s="752"/>
      <c r="BH216" s="793"/>
      <c r="BI216" s="752"/>
      <c r="BJ216" s="793"/>
      <c r="BK216" s="752"/>
      <c r="BL216" s="793"/>
      <c r="BM216" s="752"/>
      <c r="BN216" s="793"/>
      <c r="BO216" s="752"/>
      <c r="BP216" s="793"/>
      <c r="BQ216" s="752"/>
      <c r="BR216" s="793"/>
      <c r="BS216" s="752"/>
      <c r="BT216" s="793"/>
      <c r="BU216" s="752"/>
      <c r="BV216" s="793"/>
      <c r="BW216" s="752"/>
      <c r="BX216" s="793"/>
      <c r="BY216" s="752"/>
      <c r="BZ216" s="793"/>
      <c r="CA216" s="752"/>
      <c r="CB216" s="793"/>
      <c r="CC216" s="752"/>
      <c r="CD216" s="793"/>
      <c r="CE216" s="752"/>
      <c r="CF216" s="793"/>
      <c r="CG216" s="752"/>
      <c r="CH216" s="793"/>
      <c r="CI216" s="752"/>
      <c r="CJ216" s="793"/>
      <c r="CK216" s="752"/>
      <c r="CL216" s="793"/>
      <c r="CM216" s="752"/>
      <c r="CN216" s="793"/>
      <c r="CO216" s="752"/>
      <c r="CP216" s="793"/>
      <c r="CQ216" s="752"/>
      <c r="CR216" s="793"/>
      <c r="CS216" s="752"/>
      <c r="CT216" s="793"/>
      <c r="CU216" s="752"/>
      <c r="CV216" s="793"/>
      <c r="CW216" s="752"/>
      <c r="CX216" s="793"/>
      <c r="CY216" s="752"/>
      <c r="CZ216" s="793"/>
      <c r="DA216" s="752"/>
      <c r="DB216" s="753"/>
      <c r="DC216" s="793"/>
      <c r="DD216" s="767"/>
      <c r="DE216" s="793"/>
      <c r="DF216" s="767"/>
      <c r="DG216" s="793"/>
      <c r="DH216" s="767"/>
      <c r="DI216" s="793"/>
      <c r="DJ216" s="767"/>
      <c r="DK216" s="793"/>
      <c r="DL216" s="752"/>
      <c r="DM216" s="793"/>
      <c r="DN216" s="752"/>
      <c r="DO216" s="793"/>
      <c r="DP216" s="752"/>
      <c r="DQ216" s="793"/>
      <c r="DR216" s="752"/>
      <c r="DS216" s="793"/>
      <c r="DT216" s="752"/>
      <c r="DU216" s="793"/>
      <c r="DV216" s="752"/>
      <c r="DW216" s="793"/>
      <c r="DX216" s="752"/>
      <c r="DY216" s="793"/>
      <c r="DZ216" s="752"/>
      <c r="EA216" s="793"/>
      <c r="EB216" s="752"/>
      <c r="EC216" s="793"/>
      <c r="ED216" s="752"/>
      <c r="EE216" s="793"/>
      <c r="EF216" s="752"/>
      <c r="EG216" s="793"/>
      <c r="EH216" s="752"/>
      <c r="EI216" s="793"/>
      <c r="EJ216" s="752"/>
      <c r="EK216" s="793"/>
      <c r="EL216" s="752"/>
      <c r="EM216" s="793"/>
      <c r="EN216" s="752"/>
      <c r="EO216" s="793"/>
      <c r="EP216" s="752"/>
      <c r="EQ216" s="793"/>
      <c r="ER216" s="752"/>
      <c r="ES216" s="793"/>
      <c r="ET216" s="752"/>
      <c r="EU216" s="767"/>
      <c r="EV216" s="710"/>
    </row>
    <row r="217" spans="1:152" ht="12.75" hidden="1" customHeight="1" outlineLevel="1" x14ac:dyDescent="0.2">
      <c r="A217" s="749" t="str">
        <f>+INPUT!B131</f>
        <v>Sales Data</v>
      </c>
      <c r="B217" s="793"/>
      <c r="C217" s="767"/>
      <c r="D217" s="793"/>
      <c r="E217" s="767"/>
      <c r="F217" s="793"/>
      <c r="G217" s="767"/>
      <c r="H217" s="793"/>
      <c r="I217" s="752"/>
      <c r="J217" s="793"/>
      <c r="K217" s="752"/>
      <c r="L217" s="793"/>
      <c r="M217" s="752"/>
      <c r="N217" s="793"/>
      <c r="O217" s="752"/>
      <c r="P217" s="793"/>
      <c r="Q217" s="752"/>
      <c r="R217" s="793"/>
      <c r="S217" s="752"/>
      <c r="T217" s="793"/>
      <c r="U217" s="752"/>
      <c r="V217" s="793"/>
      <c r="W217" s="752"/>
      <c r="X217" s="793"/>
      <c r="Y217" s="752"/>
      <c r="Z217" s="793"/>
      <c r="AA217" s="752"/>
      <c r="AB217" s="793"/>
      <c r="AC217" s="752"/>
      <c r="AD217" s="793"/>
      <c r="AE217" s="752"/>
      <c r="AF217" s="793"/>
      <c r="AG217" s="752"/>
      <c r="AH217" s="793"/>
      <c r="AI217" s="752"/>
      <c r="AJ217" s="793"/>
      <c r="AK217" s="752"/>
      <c r="AL217" s="793"/>
      <c r="AM217" s="752"/>
      <c r="AN217" s="793"/>
      <c r="AO217" s="752"/>
      <c r="AP217" s="793"/>
      <c r="AQ217" s="752"/>
      <c r="AR217" s="793"/>
      <c r="AS217" s="752"/>
      <c r="AT217" s="793"/>
      <c r="AU217" s="752"/>
      <c r="AV217" s="793"/>
      <c r="AW217" s="752"/>
      <c r="AX217" s="793"/>
      <c r="AY217" s="752"/>
      <c r="AZ217" s="793"/>
      <c r="BA217" s="752"/>
      <c r="BB217" s="793"/>
      <c r="BC217" s="752"/>
      <c r="BD217" s="793"/>
      <c r="BE217" s="752"/>
      <c r="BF217" s="793"/>
      <c r="BG217" s="752"/>
      <c r="BH217" s="793"/>
      <c r="BI217" s="752"/>
      <c r="BJ217" s="793"/>
      <c r="BK217" s="752"/>
      <c r="BL217" s="793"/>
      <c r="BM217" s="752"/>
      <c r="BN217" s="793"/>
      <c r="BO217" s="752"/>
      <c r="BP217" s="793"/>
      <c r="BQ217" s="752"/>
      <c r="BR217" s="793"/>
      <c r="BS217" s="752"/>
      <c r="BT217" s="793"/>
      <c r="BU217" s="752"/>
      <c r="BV217" s="793"/>
      <c r="BW217" s="752"/>
      <c r="BX217" s="793"/>
      <c r="BY217" s="752"/>
      <c r="BZ217" s="793"/>
      <c r="CA217" s="752"/>
      <c r="CB217" s="793"/>
      <c r="CC217" s="752"/>
      <c r="CD217" s="793"/>
      <c r="CE217" s="752"/>
      <c r="CF217" s="793"/>
      <c r="CG217" s="752"/>
      <c r="CH217" s="793"/>
      <c r="CI217" s="752"/>
      <c r="CJ217" s="793"/>
      <c r="CK217" s="752"/>
      <c r="CL217" s="793"/>
      <c r="CM217" s="752"/>
      <c r="CN217" s="793"/>
      <c r="CO217" s="752"/>
      <c r="CP217" s="793"/>
      <c r="CQ217" s="752"/>
      <c r="CR217" s="793"/>
      <c r="CS217" s="752"/>
      <c r="CT217" s="793"/>
      <c r="CU217" s="752"/>
      <c r="CV217" s="793"/>
      <c r="CW217" s="752"/>
      <c r="CX217" s="793"/>
      <c r="CY217" s="752"/>
      <c r="CZ217" s="793"/>
      <c r="DA217" s="752"/>
      <c r="DB217" s="753"/>
      <c r="DC217" s="793"/>
      <c r="DD217" s="767"/>
      <c r="DE217" s="793"/>
      <c r="DF217" s="767"/>
      <c r="DG217" s="793"/>
      <c r="DH217" s="767"/>
      <c r="DI217" s="793"/>
      <c r="DJ217" s="767"/>
      <c r="DK217" s="793"/>
      <c r="DL217" s="752"/>
      <c r="DM217" s="793"/>
      <c r="DN217" s="752"/>
      <c r="DO217" s="793"/>
      <c r="DP217" s="752"/>
      <c r="DQ217" s="793"/>
      <c r="DR217" s="752"/>
      <c r="DS217" s="793"/>
      <c r="DT217" s="752"/>
      <c r="DU217" s="793"/>
      <c r="DV217" s="752"/>
      <c r="DW217" s="793"/>
      <c r="DX217" s="752"/>
      <c r="DY217" s="793"/>
      <c r="DZ217" s="752"/>
      <c r="EA217" s="793"/>
      <c r="EB217" s="752"/>
      <c r="EC217" s="793"/>
      <c r="ED217" s="752"/>
      <c r="EE217" s="793"/>
      <c r="EF217" s="752"/>
      <c r="EG217" s="793"/>
      <c r="EH217" s="752"/>
      <c r="EI217" s="793"/>
      <c r="EJ217" s="752"/>
      <c r="EK217" s="793"/>
      <c r="EL217" s="752"/>
      <c r="EM217" s="793"/>
      <c r="EN217" s="752"/>
      <c r="EO217" s="793"/>
      <c r="EP217" s="752"/>
      <c r="EQ217" s="793"/>
      <c r="ER217" s="752"/>
      <c r="ES217" s="793"/>
      <c r="ET217" s="752"/>
      <c r="EU217" s="767"/>
      <c r="EV217" s="710"/>
    </row>
    <row r="218" spans="1:152" ht="12.75" hidden="1" customHeight="1" outlineLevel="1" x14ac:dyDescent="0.2">
      <c r="A218" s="754" t="str">
        <f>+INPUT!B132</f>
        <v xml:space="preserve">  Individual Income Protection - Recently Issued</v>
      </c>
      <c r="B218" s="793">
        <f>+INPUT!AS132</f>
        <v>12.3</v>
      </c>
      <c r="C218" s="756">
        <f>+INPUT!AT132</f>
        <v>-7.518796992481203</v>
      </c>
      <c r="D218" s="793">
        <f>+INPUT!AU132</f>
        <v>12.6</v>
      </c>
      <c r="E218" s="756">
        <f>+INPUT!AV132</f>
        <v>5.0000000000000044</v>
      </c>
      <c r="F218" s="793">
        <f>+INPUT!AW132</f>
        <v>14.1</v>
      </c>
      <c r="G218" s="756">
        <f>+INPUT!AX132</f>
        <v>5.2238805970149294</v>
      </c>
      <c r="H218" s="793">
        <f>+INPUT!AY132</f>
        <v>16.399999999999999</v>
      </c>
      <c r="I218" s="752">
        <f>+INPUT!AZ132</f>
        <v>8.6092715231788084</v>
      </c>
      <c r="J218" s="793">
        <f>+INPUT!BA132</f>
        <v>14.5</v>
      </c>
      <c r="K218" s="752">
        <f>+INPUT!BB132</f>
        <v>17.886178861788604</v>
      </c>
      <c r="L218" s="793">
        <f>+INPUT!BC132</f>
        <v>14.5</v>
      </c>
      <c r="M218" s="752">
        <f>+INPUT!BD132</f>
        <v>15.079365079365093</v>
      </c>
      <c r="N218" s="793">
        <f>+INPUT!BE132</f>
        <v>15.2</v>
      </c>
      <c r="O218" s="752">
        <f>+INPUT!BF132</f>
        <v>7.8014184397163122</v>
      </c>
      <c r="P218" s="793">
        <f>+INPUT!BG132</f>
        <v>15.5</v>
      </c>
      <c r="Q218" s="752">
        <f>+INPUT!BH132</f>
        <v>-5.4878048780487738</v>
      </c>
      <c r="R218" s="793">
        <f>+INPUT!BI132</f>
        <v>16.5</v>
      </c>
      <c r="S218" s="752">
        <f>+INPUT!BJ132</f>
        <v>13.793103448275868</v>
      </c>
      <c r="T218" s="793">
        <f>+INPUT!BK132</f>
        <v>12.8</v>
      </c>
      <c r="U218" s="752">
        <f>+INPUT!BL132</f>
        <v>-11.724137931034473</v>
      </c>
      <c r="V218" s="793">
        <f>+INPUT!BM132</f>
        <v>15.1</v>
      </c>
      <c r="W218" s="752">
        <f>+INPUT!BN132</f>
        <v>0</v>
      </c>
      <c r="X218" s="793">
        <f>+INPUT!BO132</f>
        <v>13.5</v>
      </c>
      <c r="Y218" s="752">
        <f>+INPUT!BP132</f>
        <v>0</v>
      </c>
      <c r="Z218" s="793">
        <f>+INPUT!BQ132</f>
        <v>15.7</v>
      </c>
      <c r="AA218" s="752">
        <f>+INPUT!BR132</f>
        <v>-4.8484848484848575</v>
      </c>
      <c r="AB218" s="793">
        <f>+INPUT!BS132</f>
        <v>11.6</v>
      </c>
      <c r="AC218" s="752">
        <f>+INPUT!BT132</f>
        <v>0</v>
      </c>
      <c r="AD218" s="793">
        <f>+INPUT!BU132</f>
        <v>12.2</v>
      </c>
      <c r="AE218" s="752">
        <f>+INPUT!BV132</f>
        <v>0</v>
      </c>
      <c r="AF218" s="793">
        <f>+INPUT!BW132</f>
        <v>12.1</v>
      </c>
      <c r="AG218" s="752">
        <f>+INPUT!BX132</f>
        <v>0</v>
      </c>
      <c r="AH218" s="793">
        <f>+INPUT!BY132</f>
        <v>9.6</v>
      </c>
      <c r="AI218" s="752">
        <f>+INPUT!BZ132</f>
        <v>-38.853503184713375</v>
      </c>
      <c r="AJ218" s="793">
        <f>+INPUT!CA132</f>
        <v>10.3</v>
      </c>
      <c r="AK218" s="752">
        <f>+INPUT!CB132</f>
        <v>-11.206896551724132</v>
      </c>
      <c r="AL218" s="793">
        <f>+INPUT!CC132</f>
        <v>11.6</v>
      </c>
      <c r="AM218" s="752">
        <f>+INPUT!CD132</f>
        <v>-4.9180327868852398</v>
      </c>
      <c r="AN218" s="793">
        <f>+INPUT!CE132</f>
        <v>11.2</v>
      </c>
      <c r="AO218" s="752">
        <f>+INPUT!CF132</f>
        <v>-7.4380165289256279</v>
      </c>
      <c r="AP218" s="793">
        <f>+INPUT!CG132</f>
        <v>14.2</v>
      </c>
      <c r="AQ218" s="752">
        <f>+INPUT!CH132</f>
        <v>47.916666666666671</v>
      </c>
      <c r="AR218" s="793">
        <f>+INPUT!CI132</f>
        <v>13.5</v>
      </c>
      <c r="AS218" s="752">
        <f>+INPUT!CJ132</f>
        <v>31.06796116504853</v>
      </c>
      <c r="AT218" s="793">
        <f>+INPUT!CK132</f>
        <v>12.9</v>
      </c>
      <c r="AU218" s="752">
        <f>+INPUT!CL132</f>
        <v>11.206896551724155</v>
      </c>
      <c r="AV218" s="793">
        <f>+INPUT!CM132</f>
        <v>15</v>
      </c>
      <c r="AW218" s="752">
        <f>+INPUT!CN132</f>
        <v>33.928571428571445</v>
      </c>
      <c r="AX218" s="793">
        <f>+INPUT!CO132</f>
        <v>14.9</v>
      </c>
      <c r="AY218" s="752">
        <f>+INPUT!CP132</f>
        <v>4.929577464788748</v>
      </c>
      <c r="AZ218" s="793">
        <f>+INPUT!CQ132</f>
        <v>15.3</v>
      </c>
      <c r="BA218" s="752">
        <f>+INPUT!CR132</f>
        <v>13.33333333333333</v>
      </c>
      <c r="BB218" s="793">
        <f>+INPUT!CS132</f>
        <v>14.6</v>
      </c>
      <c r="BC218" s="752">
        <f>+INPUT!CT132</f>
        <v>13.178294573643413</v>
      </c>
      <c r="BD218" s="793">
        <f>+INPUT!CU132</f>
        <v>12.2</v>
      </c>
      <c r="BE218" s="752">
        <f>+INPUT!CV132</f>
        <v>-18.666666666666675</v>
      </c>
      <c r="BF218" s="793">
        <f>+INPUT!CW132</f>
        <v>15.2</v>
      </c>
      <c r="BG218" s="752">
        <f>+INPUT!CX132</f>
        <v>2.0134228187919323</v>
      </c>
      <c r="BH218" s="793">
        <f>+INPUT!CY132</f>
        <v>10.199999999999999</v>
      </c>
      <c r="BI218" s="752">
        <f>+INPUT!CZ132</f>
        <v>-33.333333333333336</v>
      </c>
      <c r="BJ218" s="793">
        <f>+INPUT!DA132</f>
        <v>11.2</v>
      </c>
      <c r="BK218" s="752">
        <f>+INPUT!DB132</f>
        <v>-23.287671232876718</v>
      </c>
      <c r="BL218" s="793">
        <f>+INPUT!DC132</f>
        <v>15.6</v>
      </c>
      <c r="BM218" s="752">
        <f>+INPUT!DD132</f>
        <v>27.868852459016402</v>
      </c>
      <c r="BN218" s="793">
        <f>+INPUT!DE132</f>
        <v>14.6</v>
      </c>
      <c r="BO218" s="752">
        <f>+INPUT!DF132</f>
        <v>-3.9473684210526327</v>
      </c>
      <c r="BP218" s="793">
        <f>+INPUT!DG132</f>
        <v>11.7</v>
      </c>
      <c r="BQ218" s="752">
        <f>+INPUT!DH132</f>
        <v>14.705882352941169</v>
      </c>
      <c r="BR218" s="793">
        <f>+INPUT!DI132</f>
        <v>14.4</v>
      </c>
      <c r="BS218" s="752">
        <f>+INPUT!DJ132</f>
        <v>28.57142857142858</v>
      </c>
      <c r="BT218" s="793">
        <f>+INPUT!DK132</f>
        <v>16.100000000000001</v>
      </c>
      <c r="BU218" s="752">
        <f>+INPUT!DL132</f>
        <v>3.2051282051282159</v>
      </c>
      <c r="BV218" s="793">
        <f>+INPUT!DM132</f>
        <v>12.3</v>
      </c>
      <c r="BW218" s="752">
        <f>+INPUT!DN132</f>
        <v>-15.753424657534243</v>
      </c>
      <c r="BX218" s="793">
        <f>+INPUT!DO132</f>
        <v>13</v>
      </c>
      <c r="BY218" s="752">
        <f>+INPUT!DP132</f>
        <v>11.111111111111116</v>
      </c>
      <c r="BZ218" s="793">
        <f>+INPUT!DQ132</f>
        <v>21.2</v>
      </c>
      <c r="CA218" s="752">
        <f>+INPUT!DR132</f>
        <v>47.222222222222207</v>
      </c>
      <c r="CB218" s="793">
        <f>+INPUT!DS132</f>
        <v>21</v>
      </c>
      <c r="CC218" s="752">
        <f>+INPUT!DT132</f>
        <v>30.434782608695631</v>
      </c>
      <c r="CD218" s="793">
        <f>+INPUT!DU132</f>
        <v>16.7</v>
      </c>
      <c r="CE218" s="752">
        <f>+INPUT!DV132</f>
        <v>35.77235772357723</v>
      </c>
      <c r="CF218" s="793">
        <f>+INPUT!DW132</f>
        <v>14.6</v>
      </c>
      <c r="CG218" s="752">
        <f>+INPUT!DX132</f>
        <v>12.307692307692308</v>
      </c>
      <c r="CH218" s="793">
        <f>+INPUT!DY132</f>
        <v>16.399999999999999</v>
      </c>
      <c r="CI218" s="752">
        <f>+INPUT!DZ132</f>
        <v>-22.64150943396227</v>
      </c>
      <c r="CJ218" s="793">
        <f>+INPUT!EA132</f>
        <v>17.399999999999999</v>
      </c>
      <c r="CK218" s="752">
        <f>+INPUT!EB132</f>
        <v>-17.142857142857149</v>
      </c>
      <c r="CL218" s="793">
        <f>+INPUT!EC132</f>
        <v>16.2</v>
      </c>
      <c r="CM218" s="752">
        <f>+INPUT!ED132</f>
        <v>-2.9940119760479056</v>
      </c>
      <c r="CN218" s="793">
        <f>+INPUT!EE132</f>
        <v>13.6</v>
      </c>
      <c r="CO218" s="752">
        <f>+INPUT!EF132</f>
        <v>-6.8493150684931559</v>
      </c>
      <c r="CP218" s="793">
        <f>+INPUT!EG132</f>
        <v>20.399999999999999</v>
      </c>
      <c r="CQ218" s="752">
        <f>+INPUT!EH132</f>
        <v>24.390243902439025</v>
      </c>
      <c r="CR218" s="793">
        <f>+INPUT!EI132</f>
        <v>17.7</v>
      </c>
      <c r="CS218" s="752">
        <f>+INPUT!EJ132</f>
        <v>1.7241379310344973</v>
      </c>
      <c r="CT218" s="793">
        <f>+INPUT!EK132</f>
        <v>0</v>
      </c>
      <c r="CU218" s="752" t="str">
        <f>+INPUT!EL132</f>
        <v>NM</v>
      </c>
      <c r="CV218" s="793">
        <f>+INPUT!EM132</f>
        <v>0</v>
      </c>
      <c r="CW218" s="752" t="str">
        <f>+INPUT!EN132</f>
        <v>NM</v>
      </c>
      <c r="CX218" s="793">
        <f>+INPUT!EO132</f>
        <v>0</v>
      </c>
      <c r="CY218" s="752" t="str">
        <f>+INPUT!EP132</f>
        <v>NM</v>
      </c>
      <c r="CZ218" s="793">
        <f>+INPUT!EQ132</f>
        <v>0</v>
      </c>
      <c r="DA218" s="752" t="str">
        <f>+INPUT!ER132</f>
        <v>NM</v>
      </c>
      <c r="DB218" s="753"/>
      <c r="DC218" s="793">
        <f>+INPUT!FB132</f>
        <v>0</v>
      </c>
      <c r="DD218" s="756">
        <f>+INPUT!FC132</f>
        <v>0</v>
      </c>
      <c r="DE218" s="793">
        <f>+INPUT!FD132</f>
        <v>83.9</v>
      </c>
      <c r="DF218" s="756" t="str">
        <f>+INPUT!FE132</f>
        <v>NA</v>
      </c>
      <c r="DG218" s="793">
        <f>+INPUT!FF132</f>
        <v>72.900000000000006</v>
      </c>
      <c r="DH218" s="756">
        <f>+INPUT!FG132</f>
        <v>-13.110846245530395</v>
      </c>
      <c r="DI218" s="793">
        <f>+INPUT!FH132</f>
        <v>61.6</v>
      </c>
      <c r="DJ218" s="756">
        <f>+INPUT!FI132</f>
        <v>-15.500685871056241</v>
      </c>
      <c r="DK218" s="793">
        <f>+INPUT!FJ132</f>
        <v>0</v>
      </c>
      <c r="DL218" s="752" t="str">
        <f>+INPUT!FK132</f>
        <v>NM</v>
      </c>
      <c r="DM218" s="793">
        <f>+INPUT!FL132</f>
        <v>0</v>
      </c>
      <c r="DN218" s="752" t="str">
        <f>+INPUT!FM132</f>
        <v>NA</v>
      </c>
      <c r="DO218" s="793">
        <f>+INPUT!FN132</f>
        <v>0</v>
      </c>
      <c r="DP218" s="752" t="str">
        <f>+INPUT!FO132</f>
        <v>NA</v>
      </c>
      <c r="DQ218" s="793">
        <f>+INPUT!FP132</f>
        <v>57.9</v>
      </c>
      <c r="DR218" s="752" t="str">
        <f>+INPUT!FQ132</f>
        <v>NA</v>
      </c>
      <c r="DS218" s="793">
        <f>+INPUT!FR132</f>
        <v>51.6</v>
      </c>
      <c r="DT218" s="752">
        <f>+INPUT!FS132</f>
        <v>-10.880829015544036</v>
      </c>
      <c r="DU218" s="793">
        <f>+INPUT!FT132</f>
        <v>42.7</v>
      </c>
      <c r="DV218" s="752">
        <f>+INPUT!FU132</f>
        <v>-17.248062015503873</v>
      </c>
      <c r="DW218" s="793">
        <f>+INPUT!FV132</f>
        <v>55.6</v>
      </c>
      <c r="DX218" s="752">
        <f>+INPUT!FW132</f>
        <v>30.210772833723642</v>
      </c>
      <c r="DY218" s="793">
        <f>+INPUT!FX132</f>
        <v>57</v>
      </c>
      <c r="DZ218" s="752">
        <f>+INPUT!FY132</f>
        <v>2.5179856115107979</v>
      </c>
      <c r="EA218" s="793">
        <f>+INPUT!FZ132</f>
        <v>52.199999999999996</v>
      </c>
      <c r="EB218" s="752">
        <f>+INPUT!GA132</f>
        <v>-8.4210526315789522</v>
      </c>
      <c r="EC218" s="793">
        <f>+INPUT!GB132</f>
        <v>56.8</v>
      </c>
      <c r="ED218" s="752">
        <f>+INPUT!GC132</f>
        <v>8.8122605363984761</v>
      </c>
      <c r="EE218" s="793">
        <f>+INPUT!GD132</f>
        <v>0</v>
      </c>
      <c r="EF218" s="752" t="str">
        <f>+INPUT!GE132</f>
        <v>NM</v>
      </c>
      <c r="EG218" s="793">
        <f>+INPUT!GF132</f>
        <v>0</v>
      </c>
      <c r="EH218" s="752" t="str">
        <f>+INPUT!GG132</f>
        <v>NA</v>
      </c>
      <c r="EI218" s="793">
        <f>+INPUT!GH132</f>
        <v>0</v>
      </c>
      <c r="EJ218" s="752" t="str">
        <f>+INPUT!GI132</f>
        <v>NA</v>
      </c>
      <c r="EK218" s="793">
        <f>+INPUT!GJ132</f>
        <v>0</v>
      </c>
      <c r="EL218" s="752" t="str">
        <f>+INPUT!GK132</f>
        <v>NA</v>
      </c>
      <c r="EM218" s="793">
        <f>+INPUT!GL132</f>
        <v>0</v>
      </c>
      <c r="EN218" s="752" t="str">
        <f>+INPUT!GM132</f>
        <v>NA</v>
      </c>
      <c r="EO218" s="793">
        <f>+INPUT!GN132</f>
        <v>0</v>
      </c>
      <c r="EP218" s="752" t="str">
        <f>+INPUT!GO132</f>
        <v>NA</v>
      </c>
      <c r="EQ218" s="793">
        <f>+INPUT!GP132</f>
        <v>0</v>
      </c>
      <c r="ER218" s="752" t="str">
        <f>+INPUT!GQ132</f>
        <v>NA</v>
      </c>
      <c r="ES218" s="793">
        <f>+INPUT!GR132</f>
        <v>0</v>
      </c>
      <c r="ET218" s="752" t="str">
        <f>+INPUT!GS132</f>
        <v>NA</v>
      </c>
      <c r="EU218" s="756">
        <f>+INPUT!GT132</f>
        <v>0</v>
      </c>
      <c r="EV218" s="710"/>
    </row>
    <row r="219" spans="1:152" ht="12.75" hidden="1" customHeight="1" outlineLevel="1" x14ac:dyDescent="0.2">
      <c r="A219" s="754" t="str">
        <f>+INPUT!B133</f>
        <v xml:space="preserve">  Group Long Term Care</v>
      </c>
      <c r="B219" s="793">
        <f>+INPUT!AS133</f>
        <v>3.9</v>
      </c>
      <c r="C219" s="756">
        <f>+INPUT!AT133</f>
        <v>-21.999999999999996</v>
      </c>
      <c r="D219" s="793">
        <f>+INPUT!AU133</f>
        <v>4.4000000000000004</v>
      </c>
      <c r="E219" s="756">
        <f>+INPUT!AV133</f>
        <v>-18.518518518518512</v>
      </c>
      <c r="F219" s="793">
        <f>+INPUT!AW133</f>
        <v>5.5</v>
      </c>
      <c r="G219" s="756">
        <f>+INPUT!AX133</f>
        <v>27.906976744186053</v>
      </c>
      <c r="H219" s="793">
        <f>+INPUT!AY133</f>
        <v>11.3</v>
      </c>
      <c r="I219" s="752">
        <f>+INPUT!AZ133</f>
        <v>76.5625</v>
      </c>
      <c r="J219" s="793">
        <f>+INPUT!BA133</f>
        <v>6.1</v>
      </c>
      <c r="K219" s="752">
        <f>+INPUT!BB133</f>
        <v>56.410256410256409</v>
      </c>
      <c r="L219" s="793">
        <f>+INPUT!BC133</f>
        <v>7.1</v>
      </c>
      <c r="M219" s="752">
        <f>+INPUT!BD133</f>
        <v>61.363636363636353</v>
      </c>
      <c r="N219" s="793">
        <f>+INPUT!BE133</f>
        <v>8.1999999999999993</v>
      </c>
      <c r="O219" s="752">
        <f>+INPUT!BF133</f>
        <v>49.090909090909072</v>
      </c>
      <c r="P219" s="793">
        <f>+INPUT!BG133</f>
        <v>11.4</v>
      </c>
      <c r="Q219" s="752">
        <f>+INPUT!BH133</f>
        <v>0.88495575221239076</v>
      </c>
      <c r="R219" s="793">
        <f>+INPUT!BI133</f>
        <v>8.8000000000000007</v>
      </c>
      <c r="S219" s="752">
        <f>+INPUT!BJ133</f>
        <v>44.262295081967238</v>
      </c>
      <c r="T219" s="793">
        <f>+INPUT!BK133</f>
        <v>7.9</v>
      </c>
      <c r="U219" s="752">
        <f>+INPUT!BL133</f>
        <v>11.267605633802823</v>
      </c>
      <c r="V219" s="793">
        <f>+INPUT!BM133</f>
        <v>5.5</v>
      </c>
      <c r="W219" s="752">
        <f>+INPUT!BN133</f>
        <v>0</v>
      </c>
      <c r="X219" s="793">
        <f>+INPUT!BO133</f>
        <v>10</v>
      </c>
      <c r="Y219" s="752">
        <f>+INPUT!BP133</f>
        <v>0</v>
      </c>
      <c r="Z219" s="793">
        <f>+INPUT!BQ133</f>
        <v>7</v>
      </c>
      <c r="AA219" s="752">
        <f>+INPUT!BR133</f>
        <v>-20.45454545454546</v>
      </c>
      <c r="AB219" s="793">
        <f>+INPUT!BS133</f>
        <v>4.9000000000000004</v>
      </c>
      <c r="AC219" s="752">
        <f>+INPUT!BT133</f>
        <v>0</v>
      </c>
      <c r="AD219" s="793">
        <f>+INPUT!BU133</f>
        <v>3.3</v>
      </c>
      <c r="AE219" s="752">
        <f>+INPUT!BV133</f>
        <v>0</v>
      </c>
      <c r="AF219" s="793">
        <f>+INPUT!BW133</f>
        <v>7.2</v>
      </c>
      <c r="AG219" s="752">
        <f>+INPUT!BX133</f>
        <v>0</v>
      </c>
      <c r="AH219" s="793">
        <f>+INPUT!BY133</f>
        <v>5.4</v>
      </c>
      <c r="AI219" s="752">
        <f>+INPUT!BZ133</f>
        <v>-22.857142857142854</v>
      </c>
      <c r="AJ219" s="793">
        <f>+INPUT!CA133</f>
        <v>5.2</v>
      </c>
      <c r="AK219" s="752">
        <f>+INPUT!CB133</f>
        <v>6.1224489795918435</v>
      </c>
      <c r="AL219" s="793">
        <f>+INPUT!CC133</f>
        <v>5.7</v>
      </c>
      <c r="AM219" s="752">
        <f>+INPUT!CD133</f>
        <v>72.727272727272748</v>
      </c>
      <c r="AN219" s="793">
        <f>+INPUT!CE133</f>
        <v>9.5</v>
      </c>
      <c r="AO219" s="752">
        <f>+INPUT!CF133</f>
        <v>31.944444444444443</v>
      </c>
      <c r="AP219" s="793">
        <f>+INPUT!CG133</f>
        <v>7</v>
      </c>
      <c r="AQ219" s="752">
        <f>+INPUT!CH133</f>
        <v>29.629629629629626</v>
      </c>
      <c r="AR219" s="793">
        <f>+INPUT!CI133</f>
        <v>8.4</v>
      </c>
      <c r="AS219" s="752">
        <f>+INPUT!CJ133</f>
        <v>61.53846153846154</v>
      </c>
      <c r="AT219" s="793">
        <f>+INPUT!CK133</f>
        <v>7.4</v>
      </c>
      <c r="AU219" s="752">
        <f>+INPUT!CL133</f>
        <v>29.824561403508774</v>
      </c>
      <c r="AV219" s="793">
        <f>+INPUT!CM133</f>
        <v>0</v>
      </c>
      <c r="AW219" s="752">
        <f>+INPUT!CN133</f>
        <v>0</v>
      </c>
      <c r="AX219" s="793">
        <f>+INPUT!CO133</f>
        <v>0</v>
      </c>
      <c r="AY219" s="752">
        <f>+INPUT!CP133</f>
        <v>0</v>
      </c>
      <c r="AZ219" s="793">
        <f>+INPUT!CQ133</f>
        <v>0</v>
      </c>
      <c r="BA219" s="752">
        <f>+INPUT!CR133</f>
        <v>0</v>
      </c>
      <c r="BB219" s="793">
        <f>+INPUT!CS133</f>
        <v>0</v>
      </c>
      <c r="BC219" s="752">
        <f>+INPUT!CT133</f>
        <v>0</v>
      </c>
      <c r="BD219" s="793">
        <f>+INPUT!CU133</f>
        <v>0</v>
      </c>
      <c r="BE219" s="752">
        <f>+INPUT!CV133</f>
        <v>0</v>
      </c>
      <c r="BF219" s="793">
        <f>+INPUT!CW133</f>
        <v>0</v>
      </c>
      <c r="BG219" s="752">
        <f>+INPUT!CX133</f>
        <v>0</v>
      </c>
      <c r="BH219" s="793">
        <f>+INPUT!CY133</f>
        <v>0</v>
      </c>
      <c r="BI219" s="752">
        <f>+INPUT!CZ133</f>
        <v>0</v>
      </c>
      <c r="BJ219" s="793">
        <f>+INPUT!DA133</f>
        <v>0</v>
      </c>
      <c r="BK219" s="752">
        <f>+INPUT!DB133</f>
        <v>0</v>
      </c>
      <c r="BL219" s="793">
        <f>+INPUT!DC133</f>
        <v>0</v>
      </c>
      <c r="BM219" s="752">
        <f>+INPUT!DD133</f>
        <v>0</v>
      </c>
      <c r="BN219" s="793">
        <f>+INPUT!DE133</f>
        <v>0</v>
      </c>
      <c r="BO219" s="752">
        <f>+INPUT!DF133</f>
        <v>0</v>
      </c>
      <c r="BP219" s="793">
        <f>+INPUT!DG133</f>
        <v>0</v>
      </c>
      <c r="BQ219" s="752">
        <f>+INPUT!DH133</f>
        <v>0</v>
      </c>
      <c r="BR219" s="793">
        <f>+INPUT!DI133</f>
        <v>0</v>
      </c>
      <c r="BS219" s="752">
        <f>+INPUT!DJ133</f>
        <v>0</v>
      </c>
      <c r="BT219" s="793">
        <f>+INPUT!DK133</f>
        <v>0</v>
      </c>
      <c r="BU219" s="752">
        <f>+INPUT!DL133</f>
        <v>0</v>
      </c>
      <c r="BV219" s="793">
        <f>+INPUT!DM133</f>
        <v>0</v>
      </c>
      <c r="BW219" s="752">
        <f>+INPUT!DN133</f>
        <v>0</v>
      </c>
      <c r="BX219" s="793">
        <f>+INPUT!DO133</f>
        <v>0</v>
      </c>
      <c r="BY219" s="752">
        <f>+INPUT!DP133</f>
        <v>0</v>
      </c>
      <c r="BZ219" s="793">
        <f>+INPUT!DQ133</f>
        <v>0</v>
      </c>
      <c r="CA219" s="752">
        <f>+INPUT!DR133</f>
        <v>0</v>
      </c>
      <c r="CB219" s="793">
        <f>+INPUT!DS133</f>
        <v>0</v>
      </c>
      <c r="CC219" s="752">
        <f>+INPUT!DT133</f>
        <v>0</v>
      </c>
      <c r="CD219" s="793">
        <f>+INPUT!DU133</f>
        <v>0</v>
      </c>
      <c r="CE219" s="752">
        <f>+INPUT!DV133</f>
        <v>0</v>
      </c>
      <c r="CF219" s="793">
        <f>+INPUT!DW133</f>
        <v>0</v>
      </c>
      <c r="CG219" s="752">
        <f>+INPUT!DX133</f>
        <v>0</v>
      </c>
      <c r="CH219" s="793">
        <f>+INPUT!DY133</f>
        <v>0</v>
      </c>
      <c r="CI219" s="752">
        <f>+INPUT!DZ133</f>
        <v>0</v>
      </c>
      <c r="CJ219" s="793">
        <f>+INPUT!EA133</f>
        <v>0</v>
      </c>
      <c r="CK219" s="752">
        <f>+INPUT!EB133</f>
        <v>0</v>
      </c>
      <c r="CL219" s="793">
        <f>+INPUT!EC133</f>
        <v>0</v>
      </c>
      <c r="CM219" s="752">
        <f>+INPUT!ED133</f>
        <v>0</v>
      </c>
      <c r="CN219" s="793">
        <f>+INPUT!EE133</f>
        <v>0</v>
      </c>
      <c r="CO219" s="752">
        <f>+INPUT!EF133</f>
        <v>0</v>
      </c>
      <c r="CP219" s="793">
        <f>+INPUT!EG133</f>
        <v>0</v>
      </c>
      <c r="CQ219" s="752">
        <f>+INPUT!EH133</f>
        <v>0</v>
      </c>
      <c r="CR219" s="793">
        <f>+INPUT!EI133</f>
        <v>0</v>
      </c>
      <c r="CS219" s="752">
        <f>+INPUT!EJ133</f>
        <v>0</v>
      </c>
      <c r="CT219" s="793">
        <f>+INPUT!EK133</f>
        <v>0</v>
      </c>
      <c r="CU219" s="752">
        <f>+INPUT!EL133</f>
        <v>0</v>
      </c>
      <c r="CV219" s="793">
        <f>+INPUT!EM133</f>
        <v>0</v>
      </c>
      <c r="CW219" s="752">
        <f>+INPUT!EN133</f>
        <v>0</v>
      </c>
      <c r="CX219" s="793">
        <f>+INPUT!EO133</f>
        <v>0</v>
      </c>
      <c r="CY219" s="752">
        <f>+INPUT!EP133</f>
        <v>0</v>
      </c>
      <c r="CZ219" s="793">
        <f>+INPUT!EQ133</f>
        <v>0</v>
      </c>
      <c r="DA219" s="752">
        <f>+INPUT!ER133</f>
        <v>0</v>
      </c>
      <c r="DB219" s="753"/>
      <c r="DC219" s="793">
        <f>+INPUT!FB133</f>
        <v>0</v>
      </c>
      <c r="DD219" s="756">
        <f>+INPUT!FC133</f>
        <v>0</v>
      </c>
      <c r="DE219" s="793">
        <f>+INPUT!FD133</f>
        <v>23.484999999999999</v>
      </c>
      <c r="DF219" s="756" t="str">
        <f>+INPUT!FE133</f>
        <v>NA</v>
      </c>
      <c r="DG219" s="793">
        <f>+INPUT!FF133</f>
        <v>27</v>
      </c>
      <c r="DH219" s="756">
        <f>+INPUT!FG133</f>
        <v>14.967000212901848</v>
      </c>
      <c r="DI219" s="793">
        <f>+INPUT!FH133</f>
        <v>18.7</v>
      </c>
      <c r="DJ219" s="756">
        <f>+INPUT!FI133</f>
        <v>-30.740740740740748</v>
      </c>
      <c r="DK219" s="793">
        <f>+INPUT!FJ133</f>
        <v>0</v>
      </c>
      <c r="DL219" s="752" t="str">
        <f>+INPUT!FK133</f>
        <v>NM</v>
      </c>
      <c r="DM219" s="793">
        <f>+INPUT!FL133</f>
        <v>0</v>
      </c>
      <c r="DN219" s="752" t="str">
        <f>+INPUT!FM133</f>
        <v>NA</v>
      </c>
      <c r="DO219" s="793">
        <f>+INPUT!FN133</f>
        <v>0</v>
      </c>
      <c r="DP219" s="752" t="str">
        <f>+INPUT!FO133</f>
        <v>NA</v>
      </c>
      <c r="DQ219" s="793">
        <f>+INPUT!FP133</f>
        <v>32.200000000000003</v>
      </c>
      <c r="DR219" s="752" t="str">
        <f>+INPUT!FQ133</f>
        <v>NA</v>
      </c>
      <c r="DS219" s="793">
        <f>+INPUT!FR133</f>
        <v>22.4</v>
      </c>
      <c r="DT219" s="752">
        <f>+INPUT!FS133</f>
        <v>-30.434782608695667</v>
      </c>
      <c r="DU219" s="793">
        <f>+INPUT!FT133</f>
        <v>25.8</v>
      </c>
      <c r="DV219" s="752">
        <f>+INPUT!FU133</f>
        <v>15.178571428571441</v>
      </c>
      <c r="DW219" s="793">
        <f>+INPUT!FV133</f>
        <v>22.8</v>
      </c>
      <c r="DX219" s="752">
        <f>+INPUT!FW133</f>
        <v>-11.627906976744185</v>
      </c>
      <c r="DY219" s="793">
        <f>+INPUT!FX133</f>
        <v>0</v>
      </c>
      <c r="DZ219" s="752" t="str">
        <f>+INPUT!FY133</f>
        <v>NM</v>
      </c>
      <c r="EA219" s="793">
        <f>+INPUT!FZ133</f>
        <v>0</v>
      </c>
      <c r="EB219" s="752" t="str">
        <f>+INPUT!GA133</f>
        <v>NA</v>
      </c>
      <c r="EC219" s="793">
        <f>+INPUT!GB133</f>
        <v>0</v>
      </c>
      <c r="ED219" s="752" t="str">
        <f>+INPUT!GC133</f>
        <v>NA</v>
      </c>
      <c r="EE219" s="793">
        <f>+INPUT!GD133</f>
        <v>0</v>
      </c>
      <c r="EF219" s="752" t="str">
        <f>+INPUT!GE133</f>
        <v>NA</v>
      </c>
      <c r="EG219" s="793">
        <f>+INPUT!GF133</f>
        <v>0</v>
      </c>
      <c r="EH219" s="752" t="str">
        <f>+INPUT!GG133</f>
        <v>NA</v>
      </c>
      <c r="EI219" s="793">
        <f>+INPUT!GH133</f>
        <v>0</v>
      </c>
      <c r="EJ219" s="752" t="str">
        <f>+INPUT!GI133</f>
        <v>NA</v>
      </c>
      <c r="EK219" s="793">
        <f>+INPUT!GJ133</f>
        <v>0</v>
      </c>
      <c r="EL219" s="752" t="str">
        <f>+INPUT!GK133</f>
        <v>NA</v>
      </c>
      <c r="EM219" s="793">
        <f>+INPUT!GL133</f>
        <v>0</v>
      </c>
      <c r="EN219" s="752" t="str">
        <f>+INPUT!GM133</f>
        <v>NA</v>
      </c>
      <c r="EO219" s="793">
        <f>+INPUT!GN133</f>
        <v>0</v>
      </c>
      <c r="EP219" s="752" t="str">
        <f>+INPUT!GO133</f>
        <v>NA</v>
      </c>
      <c r="EQ219" s="793">
        <f>+INPUT!GP133</f>
        <v>0</v>
      </c>
      <c r="ER219" s="752" t="str">
        <f>+INPUT!GQ133</f>
        <v>NA</v>
      </c>
      <c r="ES219" s="793">
        <f>+INPUT!GR133</f>
        <v>0</v>
      </c>
      <c r="ET219" s="752" t="str">
        <f>+INPUT!GS133</f>
        <v>NA</v>
      </c>
      <c r="EU219" s="756">
        <f>+INPUT!GT133</f>
        <v>0</v>
      </c>
      <c r="EV219" s="710"/>
    </row>
    <row r="220" spans="1:152" ht="12.75" hidden="1" customHeight="1" outlineLevel="1" x14ac:dyDescent="0.2">
      <c r="A220" s="754" t="str">
        <f>+INPUT!B134</f>
        <v xml:space="preserve">  Individual Long Term Care</v>
      </c>
      <c r="B220" s="793">
        <f>+INPUT!AS134</f>
        <v>2.7</v>
      </c>
      <c r="C220" s="756">
        <f>+INPUT!AT134</f>
        <v>-12.903225806451612</v>
      </c>
      <c r="D220" s="793">
        <f>+INPUT!AU134</f>
        <v>2.8</v>
      </c>
      <c r="E220" s="756">
        <f>+INPUT!AV134</f>
        <v>-15.151515151515149</v>
      </c>
      <c r="F220" s="793">
        <f>+INPUT!AW134</f>
        <v>2.9</v>
      </c>
      <c r="G220" s="756">
        <f>+INPUT!AX134</f>
        <v>-17.142857142857149</v>
      </c>
      <c r="H220" s="793">
        <f>+INPUT!AY134</f>
        <v>2.6</v>
      </c>
      <c r="I220" s="752">
        <f>+INPUT!AZ134</f>
        <v>-16.129032258064512</v>
      </c>
      <c r="J220" s="793">
        <f>+INPUT!BA134</f>
        <v>2.1</v>
      </c>
      <c r="K220" s="752">
        <f>+INPUT!BB134</f>
        <v>-22.222222222222221</v>
      </c>
      <c r="L220" s="793">
        <f>+INPUT!BC134</f>
        <v>2.2999999999999998</v>
      </c>
      <c r="M220" s="752">
        <f>+INPUT!BD134</f>
        <v>-17.857142857142861</v>
      </c>
      <c r="N220" s="793">
        <f>+INPUT!BE134</f>
        <v>2.2000000000000002</v>
      </c>
      <c r="O220" s="752">
        <f>+INPUT!BF134</f>
        <v>-24.137931034482751</v>
      </c>
      <c r="P220" s="793">
        <f>+INPUT!BG134</f>
        <v>3.3</v>
      </c>
      <c r="Q220" s="752">
        <f>+INPUT!BH134</f>
        <v>26.923076923076916</v>
      </c>
      <c r="R220" s="793">
        <f>+INPUT!BI134</f>
        <v>2.7</v>
      </c>
      <c r="S220" s="752">
        <f>+INPUT!BJ134</f>
        <v>28.57142857142858</v>
      </c>
      <c r="T220" s="793">
        <f>+INPUT!BK134</f>
        <v>2.2000000000000002</v>
      </c>
      <c r="U220" s="752">
        <f>+INPUT!BL134</f>
        <v>-4.3478260869565073</v>
      </c>
      <c r="V220" s="793">
        <f>+INPUT!BM134</f>
        <v>1.6</v>
      </c>
      <c r="W220" s="752">
        <f>+INPUT!BN134</f>
        <v>0</v>
      </c>
      <c r="X220" s="793">
        <f>+INPUT!BO134</f>
        <v>1.9</v>
      </c>
      <c r="Y220" s="752">
        <f>+INPUT!BP134</f>
        <v>0</v>
      </c>
      <c r="Z220" s="793">
        <f>+INPUT!BQ134</f>
        <v>1.5</v>
      </c>
      <c r="AA220" s="752">
        <f>+INPUT!BR134</f>
        <v>-44.44444444444445</v>
      </c>
      <c r="AB220" s="793">
        <f>+INPUT!BS134</f>
        <v>0.8</v>
      </c>
      <c r="AC220" s="752">
        <f>+INPUT!BT134</f>
        <v>0</v>
      </c>
      <c r="AD220" s="793">
        <f>+INPUT!BU134</f>
        <v>0.4</v>
      </c>
      <c r="AE220" s="752">
        <f>+INPUT!BV134</f>
        <v>0</v>
      </c>
      <c r="AF220" s="793">
        <f>+INPUT!BW134</f>
        <v>1</v>
      </c>
      <c r="AG220" s="752">
        <f>+INPUT!BX134</f>
        <v>0</v>
      </c>
      <c r="AH220" s="793">
        <f>+INPUT!BY134</f>
        <v>0</v>
      </c>
      <c r="AI220" s="752" t="str">
        <f>+INPUT!BZ134</f>
        <v>NM</v>
      </c>
      <c r="AJ220" s="793">
        <f>+INPUT!CA134</f>
        <v>0.1</v>
      </c>
      <c r="AK220" s="752" t="str">
        <f>+INPUT!CB134</f>
        <v>NM</v>
      </c>
      <c r="AL220" s="793">
        <f>+INPUT!CC134</f>
        <v>0</v>
      </c>
      <c r="AM220" s="752" t="str">
        <f>+INPUT!CD134</f>
        <v>NM</v>
      </c>
      <c r="AN220" s="793">
        <f>+INPUT!CE134</f>
        <v>0.1</v>
      </c>
      <c r="AO220" s="752" t="str">
        <f>+INPUT!CF134</f>
        <v>NM</v>
      </c>
      <c r="AP220" s="793">
        <f>+INPUT!CG134</f>
        <v>0</v>
      </c>
      <c r="AQ220" s="752" t="str">
        <f>+INPUT!CH134</f>
        <v>NA</v>
      </c>
      <c r="AR220" s="793">
        <f>+INPUT!CI134</f>
        <v>0</v>
      </c>
      <c r="AS220" s="752" t="str">
        <f>+INPUT!CJ134</f>
        <v>NM</v>
      </c>
      <c r="AT220" s="793">
        <f>+INPUT!CK134</f>
        <v>0</v>
      </c>
      <c r="AU220" s="752" t="str">
        <f>+INPUT!CL134</f>
        <v>NA</v>
      </c>
      <c r="AV220" s="793">
        <f>+INPUT!CM134</f>
        <v>0</v>
      </c>
      <c r="AW220" s="752">
        <f>+INPUT!CN134</f>
        <v>0</v>
      </c>
      <c r="AX220" s="793">
        <f>+INPUT!CO134</f>
        <v>0</v>
      </c>
      <c r="AY220" s="752">
        <f>+INPUT!CP134</f>
        <v>0</v>
      </c>
      <c r="AZ220" s="793">
        <f>+INPUT!CQ134</f>
        <v>0</v>
      </c>
      <c r="BA220" s="752">
        <f>+INPUT!CR134</f>
        <v>0</v>
      </c>
      <c r="BB220" s="793">
        <f>+INPUT!CS134</f>
        <v>0</v>
      </c>
      <c r="BC220" s="752">
        <f>+INPUT!CT134</f>
        <v>0</v>
      </c>
      <c r="BD220" s="793">
        <f>+INPUT!CU134</f>
        <v>0</v>
      </c>
      <c r="BE220" s="752">
        <f>+INPUT!CV134</f>
        <v>0</v>
      </c>
      <c r="BF220" s="793">
        <f>+INPUT!CW134</f>
        <v>0</v>
      </c>
      <c r="BG220" s="752">
        <f>+INPUT!CX134</f>
        <v>0</v>
      </c>
      <c r="BH220" s="793">
        <f>+INPUT!CY134</f>
        <v>0</v>
      </c>
      <c r="BI220" s="752">
        <f>+INPUT!CZ134</f>
        <v>0</v>
      </c>
      <c r="BJ220" s="793">
        <f>+INPUT!DA134</f>
        <v>0</v>
      </c>
      <c r="BK220" s="752">
        <f>+INPUT!DB134</f>
        <v>0</v>
      </c>
      <c r="BL220" s="793">
        <f>+INPUT!DC134</f>
        <v>0</v>
      </c>
      <c r="BM220" s="752">
        <f>+INPUT!DD134</f>
        <v>0</v>
      </c>
      <c r="BN220" s="793">
        <f>+INPUT!DE134</f>
        <v>0</v>
      </c>
      <c r="BO220" s="752">
        <f>+INPUT!DF134</f>
        <v>0</v>
      </c>
      <c r="BP220" s="793">
        <f>+INPUT!DG134</f>
        <v>0</v>
      </c>
      <c r="BQ220" s="752">
        <f>+INPUT!DH134</f>
        <v>0</v>
      </c>
      <c r="BR220" s="793">
        <f>+INPUT!DI134</f>
        <v>0</v>
      </c>
      <c r="BS220" s="752">
        <f>+INPUT!DJ134</f>
        <v>0</v>
      </c>
      <c r="BT220" s="793">
        <f>+INPUT!DK134</f>
        <v>0</v>
      </c>
      <c r="BU220" s="752">
        <f>+INPUT!DL134</f>
        <v>0</v>
      </c>
      <c r="BV220" s="793">
        <f>+INPUT!DM134</f>
        <v>0</v>
      </c>
      <c r="BW220" s="752">
        <f>+INPUT!DN134</f>
        <v>0</v>
      </c>
      <c r="BX220" s="793">
        <f>+INPUT!DO134</f>
        <v>0</v>
      </c>
      <c r="BY220" s="752">
        <f>+INPUT!DP134</f>
        <v>0</v>
      </c>
      <c r="BZ220" s="793">
        <f>+INPUT!DQ134</f>
        <v>0</v>
      </c>
      <c r="CA220" s="752">
        <f>+INPUT!DR134</f>
        <v>0</v>
      </c>
      <c r="CB220" s="793">
        <f>+INPUT!DS134</f>
        <v>0</v>
      </c>
      <c r="CC220" s="752">
        <f>+INPUT!DT134</f>
        <v>0</v>
      </c>
      <c r="CD220" s="793">
        <f>+INPUT!DU134</f>
        <v>0</v>
      </c>
      <c r="CE220" s="752">
        <f>+INPUT!DV134</f>
        <v>0</v>
      </c>
      <c r="CF220" s="793">
        <f>+INPUT!DW134</f>
        <v>0</v>
      </c>
      <c r="CG220" s="752">
        <f>+INPUT!DX134</f>
        <v>0</v>
      </c>
      <c r="CH220" s="793">
        <f>+INPUT!DY134</f>
        <v>0</v>
      </c>
      <c r="CI220" s="752">
        <f>+INPUT!DZ134</f>
        <v>0</v>
      </c>
      <c r="CJ220" s="793">
        <f>+INPUT!EA134</f>
        <v>0</v>
      </c>
      <c r="CK220" s="752">
        <f>+INPUT!EB134</f>
        <v>0</v>
      </c>
      <c r="CL220" s="793">
        <f>+INPUT!EC134</f>
        <v>0</v>
      </c>
      <c r="CM220" s="752">
        <f>+INPUT!ED134</f>
        <v>0</v>
      </c>
      <c r="CN220" s="793">
        <f>+INPUT!EE134</f>
        <v>0</v>
      </c>
      <c r="CO220" s="752">
        <f>+INPUT!EF134</f>
        <v>0</v>
      </c>
      <c r="CP220" s="793">
        <f>+INPUT!EG134</f>
        <v>0</v>
      </c>
      <c r="CQ220" s="752">
        <f>+INPUT!EH134</f>
        <v>0</v>
      </c>
      <c r="CR220" s="793">
        <f>+INPUT!EI134</f>
        <v>0</v>
      </c>
      <c r="CS220" s="752">
        <f>+INPUT!EJ134</f>
        <v>0</v>
      </c>
      <c r="CT220" s="793">
        <f>+INPUT!EK134</f>
        <v>0</v>
      </c>
      <c r="CU220" s="752">
        <f>+INPUT!EL134</f>
        <v>0</v>
      </c>
      <c r="CV220" s="793">
        <f>+INPUT!EM134</f>
        <v>0</v>
      </c>
      <c r="CW220" s="752">
        <f>+INPUT!EN134</f>
        <v>0</v>
      </c>
      <c r="CX220" s="793">
        <f>+INPUT!EO134</f>
        <v>0</v>
      </c>
      <c r="CY220" s="752">
        <f>+INPUT!EP134</f>
        <v>0</v>
      </c>
      <c r="CZ220" s="793">
        <f>+INPUT!EQ134</f>
        <v>0</v>
      </c>
      <c r="DA220" s="752">
        <f>+INPUT!ER134</f>
        <v>0</v>
      </c>
      <c r="DB220" s="753"/>
      <c r="DC220" s="793">
        <f>+INPUT!FB134</f>
        <v>0</v>
      </c>
      <c r="DD220" s="756">
        <f>+INPUT!FC134</f>
        <v>0</v>
      </c>
      <c r="DE220" s="793">
        <f>+INPUT!FD134</f>
        <v>63.67</v>
      </c>
      <c r="DF220" s="756" t="str">
        <f>+INPUT!FE134</f>
        <v>NA</v>
      </c>
      <c r="DG220" s="793">
        <f>+INPUT!FF134</f>
        <v>43.900000000000006</v>
      </c>
      <c r="DH220" s="756">
        <f>+INPUT!FG134</f>
        <v>-31.05073032825506</v>
      </c>
      <c r="DI220" s="793">
        <f>+INPUT!FH134</f>
        <v>19.5</v>
      </c>
      <c r="DJ220" s="756" t="str">
        <f>+INPUT!FI134</f>
        <v>NM</v>
      </c>
      <c r="DK220" s="793">
        <f>+INPUT!FJ134</f>
        <v>0</v>
      </c>
      <c r="DL220" s="752" t="str">
        <f>+INPUT!FK134</f>
        <v>NM</v>
      </c>
      <c r="DM220" s="793">
        <f>+INPUT!FL134</f>
        <v>0</v>
      </c>
      <c r="DN220" s="752" t="str">
        <f>+INPUT!FM134</f>
        <v>NA</v>
      </c>
      <c r="DO220" s="793">
        <f>+INPUT!FN134</f>
        <v>0</v>
      </c>
      <c r="DP220" s="752" t="str">
        <f>+INPUT!FO134</f>
        <v>NA</v>
      </c>
      <c r="DQ220" s="793">
        <f>+INPUT!FP134</f>
        <v>8.4</v>
      </c>
      <c r="DR220" s="752" t="str">
        <f>+INPUT!FQ134</f>
        <v>NA</v>
      </c>
      <c r="DS220" s="793">
        <f>+INPUT!FR134</f>
        <v>3.6999999999999997</v>
      </c>
      <c r="DT220" s="752" t="str">
        <f>+INPUT!FS134</f>
        <v>NM</v>
      </c>
      <c r="DU220" s="793">
        <f>+INPUT!FT134</f>
        <v>0.2</v>
      </c>
      <c r="DV220" s="752" t="str">
        <f>+INPUT!FU134</f>
        <v>NM</v>
      </c>
      <c r="DW220" s="793">
        <f>+INPUT!FV134</f>
        <v>0</v>
      </c>
      <c r="DX220" s="752" t="str">
        <f>+INPUT!FW134</f>
        <v>NM</v>
      </c>
      <c r="DY220" s="793">
        <f>+INPUT!FX134</f>
        <v>0</v>
      </c>
      <c r="DZ220" s="752" t="str">
        <f>+INPUT!FY134</f>
        <v>NA</v>
      </c>
      <c r="EA220" s="793">
        <f>+INPUT!FZ134</f>
        <v>0</v>
      </c>
      <c r="EB220" s="752" t="str">
        <f>+INPUT!GA134</f>
        <v>NA</v>
      </c>
      <c r="EC220" s="793">
        <f>+INPUT!GB134</f>
        <v>0</v>
      </c>
      <c r="ED220" s="752" t="str">
        <f>+INPUT!GC134</f>
        <v>NA</v>
      </c>
      <c r="EE220" s="793">
        <f>+INPUT!GD134</f>
        <v>0</v>
      </c>
      <c r="EF220" s="752" t="str">
        <f>+INPUT!GE134</f>
        <v>NA</v>
      </c>
      <c r="EG220" s="793">
        <f>+INPUT!GF134</f>
        <v>0</v>
      </c>
      <c r="EH220" s="752" t="str">
        <f>+INPUT!GG134</f>
        <v>NA</v>
      </c>
      <c r="EI220" s="793">
        <f>+INPUT!GH134</f>
        <v>0</v>
      </c>
      <c r="EJ220" s="752" t="str">
        <f>+INPUT!GI134</f>
        <v>NA</v>
      </c>
      <c r="EK220" s="793">
        <f>+INPUT!GJ134</f>
        <v>0</v>
      </c>
      <c r="EL220" s="752" t="str">
        <f>+INPUT!GK134</f>
        <v>NA</v>
      </c>
      <c r="EM220" s="793">
        <f>+INPUT!GL134</f>
        <v>0</v>
      </c>
      <c r="EN220" s="752" t="str">
        <f>+INPUT!GM134</f>
        <v>NA</v>
      </c>
      <c r="EO220" s="793">
        <f>+INPUT!GN134</f>
        <v>0</v>
      </c>
      <c r="EP220" s="752" t="str">
        <f>+INPUT!GO134</f>
        <v>NA</v>
      </c>
      <c r="EQ220" s="793">
        <f>+INPUT!GP134</f>
        <v>0</v>
      </c>
      <c r="ER220" s="752" t="str">
        <f>+INPUT!GQ134</f>
        <v>NA</v>
      </c>
      <c r="ES220" s="793">
        <f>+INPUT!GR134</f>
        <v>0</v>
      </c>
      <c r="ET220" s="752" t="str">
        <f>+INPUT!GS134</f>
        <v>NA</v>
      </c>
      <c r="EU220" s="756">
        <f>+INPUT!GT134</f>
        <v>0</v>
      </c>
      <c r="EV220" s="710"/>
    </row>
    <row r="221" spans="1:152" ht="12.75" hidden="1" customHeight="1" outlineLevel="1" x14ac:dyDescent="0.2">
      <c r="A221" s="754" t="str">
        <f>+INPUT!B136</f>
        <v xml:space="preserve">  Voluntary Workspace Benefits</v>
      </c>
      <c r="B221" s="793">
        <f>+INPUT!AS136</f>
        <v>54.7</v>
      </c>
      <c r="C221" s="756">
        <f>+INPUT!AT136</f>
        <v>7.4656188605108031</v>
      </c>
      <c r="D221" s="793">
        <f>+INPUT!AU136</f>
        <v>25.8</v>
      </c>
      <c r="E221" s="756">
        <f>+INPUT!AV136</f>
        <v>6.1728395061728447</v>
      </c>
      <c r="F221" s="793">
        <f>+INPUT!AW136</f>
        <v>28.2</v>
      </c>
      <c r="G221" s="756">
        <f>+INPUT!AX136</f>
        <v>2.5454545454545396</v>
      </c>
      <c r="H221" s="793">
        <f>+INPUT!AY136</f>
        <v>25.5</v>
      </c>
      <c r="I221" s="752">
        <f>+INPUT!AZ136</f>
        <v>-7.2727272727272751</v>
      </c>
      <c r="J221" s="793">
        <f>+INPUT!BA136</f>
        <v>49.4</v>
      </c>
      <c r="K221" s="752">
        <f>+INPUT!BB136</f>
        <v>-9.6892138939670964</v>
      </c>
      <c r="L221" s="793">
        <f>+INPUT!BC136</f>
        <v>28.6</v>
      </c>
      <c r="M221" s="752">
        <f>+INPUT!BD136</f>
        <v>10.852713178294572</v>
      </c>
      <c r="N221" s="793">
        <f>+INPUT!BE136</f>
        <v>31.3</v>
      </c>
      <c r="O221" s="752">
        <f>+INPUT!BF136</f>
        <v>10.99290780141844</v>
      </c>
      <c r="P221" s="793">
        <f>+INPUT!BG136</f>
        <v>29.1</v>
      </c>
      <c r="Q221" s="752">
        <f>+INPUT!BH136</f>
        <v>14.117647058823547</v>
      </c>
      <c r="R221" s="793">
        <f>+INPUT!BI136</f>
        <v>66.2</v>
      </c>
      <c r="S221" s="752">
        <f>+INPUT!BJ136</f>
        <v>34.008097165991913</v>
      </c>
      <c r="T221" s="793">
        <f>+INPUT!BK136</f>
        <v>27.7</v>
      </c>
      <c r="U221" s="752">
        <f>+INPUT!BL136</f>
        <v>-3.1468531468531569</v>
      </c>
      <c r="V221" s="793">
        <f>+INPUT!BM136</f>
        <v>35.4</v>
      </c>
      <c r="W221" s="752">
        <f>+INPUT!BN136</f>
        <v>0</v>
      </c>
      <c r="X221" s="793">
        <f>+INPUT!BO136</f>
        <v>29.3</v>
      </c>
      <c r="Y221" s="752">
        <f>+INPUT!BP136</f>
        <v>0</v>
      </c>
      <c r="Z221" s="793">
        <f>+INPUT!BQ136</f>
        <v>73.8</v>
      </c>
      <c r="AA221" s="752">
        <f>+INPUT!BR136</f>
        <v>11.480362537764343</v>
      </c>
      <c r="AB221" s="793">
        <f>+INPUT!BS136</f>
        <v>26</v>
      </c>
      <c r="AC221" s="752">
        <f>+INPUT!BT136</f>
        <v>0</v>
      </c>
      <c r="AD221" s="793">
        <f>+INPUT!BU136</f>
        <v>29.1</v>
      </c>
      <c r="AE221" s="752">
        <f>+INPUT!BV136</f>
        <v>0</v>
      </c>
      <c r="AF221" s="793">
        <f>+INPUT!BW136</f>
        <v>33</v>
      </c>
      <c r="AG221" s="752">
        <f>+INPUT!BX136</f>
        <v>0</v>
      </c>
      <c r="AH221" s="793">
        <f>+INPUT!BY136</f>
        <v>74.8</v>
      </c>
      <c r="AI221" s="752">
        <f>+INPUT!BZ136</f>
        <v>1.3550135501354976</v>
      </c>
      <c r="AJ221" s="793">
        <f>+INPUT!CA136</f>
        <v>39.200000000000003</v>
      </c>
      <c r="AK221" s="752">
        <f>+INPUT!CB136</f>
        <v>50.769230769230788</v>
      </c>
      <c r="AL221" s="793">
        <f>+INPUT!CC136</f>
        <v>36.9</v>
      </c>
      <c r="AM221" s="752">
        <f>+INPUT!CD136</f>
        <v>26.8041237113402</v>
      </c>
      <c r="AN221" s="793">
        <f>+INPUT!CE136</f>
        <v>36.299999999999997</v>
      </c>
      <c r="AO221" s="752">
        <f>+INPUT!CF136</f>
        <v>9.9999999999999858</v>
      </c>
      <c r="AP221" s="793">
        <f>+INPUT!CG136</f>
        <v>82</v>
      </c>
      <c r="AQ221" s="752">
        <f>+INPUT!CH136</f>
        <v>9.625668449197855</v>
      </c>
      <c r="AR221" s="793">
        <f>+INPUT!CI136</f>
        <v>33.9</v>
      </c>
      <c r="AS221" s="752">
        <f>+INPUT!CJ136</f>
        <v>-13.520408163265319</v>
      </c>
      <c r="AT221" s="793">
        <f>+INPUT!CK136</f>
        <v>42.7</v>
      </c>
      <c r="AU221" s="752">
        <f>+INPUT!CL136</f>
        <v>15.718157181571835</v>
      </c>
      <c r="AV221" s="793">
        <f>+INPUT!CM136</f>
        <v>40.299999999999997</v>
      </c>
      <c r="AW221" s="752">
        <f>+INPUT!CN136</f>
        <v>11.019283746556475</v>
      </c>
      <c r="AX221" s="793">
        <f>+INPUT!CO136</f>
        <v>94.9</v>
      </c>
      <c r="AY221" s="752">
        <f>+INPUT!CP136</f>
        <v>15.731707317073184</v>
      </c>
      <c r="AZ221" s="793">
        <f>+INPUT!CQ136</f>
        <v>36.6</v>
      </c>
      <c r="BA221" s="752">
        <f>+INPUT!CR136</f>
        <v>7.9646017699115168</v>
      </c>
      <c r="BB221" s="793">
        <f>+INPUT!CS136</f>
        <v>43.8</v>
      </c>
      <c r="BC221" s="752">
        <f>+INPUT!CT136</f>
        <v>2.5761124121779666</v>
      </c>
      <c r="BD221" s="793">
        <f>+INPUT!CU136</f>
        <v>41.1</v>
      </c>
      <c r="BE221" s="752">
        <f>+INPUT!CV136</f>
        <v>1.9851116625310361</v>
      </c>
      <c r="BF221" s="793">
        <f>+INPUT!CW136</f>
        <v>98.6</v>
      </c>
      <c r="BG221" s="752">
        <f>+INPUT!CX136</f>
        <v>3.8988408851422518</v>
      </c>
      <c r="BH221" s="793">
        <f>+INPUT!CY136</f>
        <v>33.200000000000003</v>
      </c>
      <c r="BI221" s="752">
        <f>+INPUT!CZ136</f>
        <v>-9.2896174863387966</v>
      </c>
      <c r="BJ221" s="793">
        <f>+INPUT!DA136</f>
        <v>46.6</v>
      </c>
      <c r="BK221" s="752">
        <f>+INPUT!DB136</f>
        <v>6.3926940639269514</v>
      </c>
      <c r="BL221" s="793">
        <f>+INPUT!DC136</f>
        <v>40.4</v>
      </c>
      <c r="BM221" s="752">
        <f>+INPUT!DD136</f>
        <v>-1.7031630170316392</v>
      </c>
      <c r="BN221" s="793">
        <f>+INPUT!DE136</f>
        <v>103.3</v>
      </c>
      <c r="BO221" s="752">
        <f>+INPUT!DF136</f>
        <v>4.7667342799188717</v>
      </c>
      <c r="BP221" s="793">
        <f>+INPUT!DG136</f>
        <v>39.9</v>
      </c>
      <c r="BQ221" s="752">
        <f>+INPUT!DH136</f>
        <v>20.180722891566248</v>
      </c>
      <c r="BR221" s="793">
        <f>+INPUT!DI136</f>
        <v>46.1</v>
      </c>
      <c r="BS221" s="752">
        <f>+INPUT!DJ136</f>
        <v>-1.0729613733905574</v>
      </c>
      <c r="BT221" s="793">
        <f>+INPUT!DK136</f>
        <v>48.8</v>
      </c>
      <c r="BU221" s="752">
        <f>+INPUT!DL136</f>
        <v>20.792079207920789</v>
      </c>
      <c r="BV221" s="793">
        <f>+INPUT!DM136</f>
        <v>131.9</v>
      </c>
      <c r="BW221" s="752">
        <f>+INPUT!DN136</f>
        <v>27.686350435624398</v>
      </c>
      <c r="BX221" s="793">
        <f>+INPUT!DO136</f>
        <v>39.299999999999997</v>
      </c>
      <c r="BY221" s="752">
        <f>+INPUT!DP136</f>
        <v>-1.5037593984962405</v>
      </c>
      <c r="BZ221" s="793">
        <f>+INPUT!DQ136</f>
        <v>46.2</v>
      </c>
      <c r="CA221" s="752">
        <f>+INPUT!DR136</f>
        <v>0.21691973969630851</v>
      </c>
      <c r="CB221" s="793">
        <f>+INPUT!DS136</f>
        <v>45.2</v>
      </c>
      <c r="CC221" s="752">
        <f>+INPUT!DT136</f>
        <v>-7.3770491803278553</v>
      </c>
      <c r="CD221" s="793">
        <f>+INPUT!DU136</f>
        <v>125.9</v>
      </c>
      <c r="CE221" s="752">
        <f>+INPUT!DV136</f>
        <v>-4.5489006823351001</v>
      </c>
      <c r="CF221" s="793">
        <f>+INPUT!DW136</f>
        <v>44.8</v>
      </c>
      <c r="CG221" s="752">
        <f>+INPUT!DX136</f>
        <v>13.994910941475824</v>
      </c>
      <c r="CH221" s="793">
        <f>+INPUT!DY136</f>
        <v>50.1</v>
      </c>
      <c r="CI221" s="752">
        <f>+INPUT!DZ136</f>
        <v>8.4415584415584277</v>
      </c>
      <c r="CJ221" s="793">
        <f>+INPUT!EA136</f>
        <v>45.4</v>
      </c>
      <c r="CK221" s="752">
        <f>+INPUT!EB136</f>
        <v>0.44247787610618428</v>
      </c>
      <c r="CL221" s="793">
        <f>+INPUT!EC136</f>
        <v>147.30000000000001</v>
      </c>
      <c r="CM221" s="752">
        <f>+INPUT!ED136</f>
        <v>0</v>
      </c>
      <c r="CN221" s="793">
        <f>+INPUT!EE136</f>
        <v>49.6</v>
      </c>
      <c r="CO221" s="752">
        <f>+INPUT!EF136</f>
        <v>10.714285714285721</v>
      </c>
      <c r="CP221" s="793">
        <f>+INPUT!EG136</f>
        <v>44.8</v>
      </c>
      <c r="CQ221" s="752">
        <f>+INPUT!EH136</f>
        <v>-10.578842315369275</v>
      </c>
      <c r="CR221" s="793">
        <f>+INPUT!EI136</f>
        <v>50.8</v>
      </c>
      <c r="CS221" s="752">
        <f>+INPUT!EJ136</f>
        <v>11.894273127753308</v>
      </c>
      <c r="CT221" s="793">
        <f>+INPUT!EK136</f>
        <v>0</v>
      </c>
      <c r="CU221" s="752" t="str">
        <f>+INPUT!EL136</f>
        <v>NM</v>
      </c>
      <c r="CV221" s="793">
        <f>+INPUT!EM136</f>
        <v>0</v>
      </c>
      <c r="CW221" s="752" t="str">
        <f>+INPUT!EN136</f>
        <v>NM</v>
      </c>
      <c r="CX221" s="793">
        <f>+INPUT!EO136</f>
        <v>0</v>
      </c>
      <c r="CY221" s="752" t="str">
        <f>+INPUT!EP136</f>
        <v>NM</v>
      </c>
      <c r="CZ221" s="793">
        <f>+INPUT!EQ136</f>
        <v>0</v>
      </c>
      <c r="DA221" s="752" t="str">
        <f>+INPUT!ER136</f>
        <v>NM</v>
      </c>
      <c r="DB221" s="753"/>
      <c r="DC221" s="793">
        <f>+INPUT!FB136</f>
        <v>0</v>
      </c>
      <c r="DD221" s="756">
        <f>+INPUT!FC136</f>
        <v>0</v>
      </c>
      <c r="DE221" s="793">
        <f>+INPUT!FD136</f>
        <v>79.099999999999994</v>
      </c>
      <c r="DF221" s="756" t="str">
        <f>+INPUT!FE136</f>
        <v>NA</v>
      </c>
      <c r="DG221" s="793">
        <f>+INPUT!FF136</f>
        <v>105.8</v>
      </c>
      <c r="DH221" s="756">
        <f>+INPUT!FG136</f>
        <v>33.754740834386851</v>
      </c>
      <c r="DI221" s="793">
        <f>+INPUT!FH136</f>
        <v>114.1</v>
      </c>
      <c r="DJ221" s="756">
        <f>+INPUT!FI136</f>
        <v>7.844990548204156</v>
      </c>
      <c r="DK221" s="793">
        <f>+INPUT!FJ136</f>
        <v>0</v>
      </c>
      <c r="DL221" s="752" t="str">
        <f>+INPUT!FK136</f>
        <v>NM</v>
      </c>
      <c r="DM221" s="793">
        <f>+INPUT!FL136</f>
        <v>0</v>
      </c>
      <c r="DN221" s="752" t="str">
        <f>+INPUT!FM136</f>
        <v>NA</v>
      </c>
      <c r="DO221" s="793">
        <f>+INPUT!FN136</f>
        <v>0</v>
      </c>
      <c r="DP221" s="752" t="str">
        <f>+INPUT!FO136</f>
        <v>NA</v>
      </c>
      <c r="DQ221" s="793">
        <f>+INPUT!FP136</f>
        <v>158.60000000000002</v>
      </c>
      <c r="DR221" s="752" t="str">
        <f>+INPUT!FQ136</f>
        <v>NA</v>
      </c>
      <c r="DS221" s="793">
        <f>+INPUT!FR136</f>
        <v>161.9</v>
      </c>
      <c r="DT221" s="752">
        <f>+INPUT!FS136</f>
        <v>2.0807061790668158</v>
      </c>
      <c r="DU221" s="793">
        <f>+INPUT!FT136</f>
        <v>187.2</v>
      </c>
      <c r="DV221" s="752">
        <f>+INPUT!FU136</f>
        <v>15.626930203829502</v>
      </c>
      <c r="DW221" s="793">
        <f>+INPUT!FV136</f>
        <v>198.90000000000003</v>
      </c>
      <c r="DX221" s="752">
        <f>+INPUT!FW136</f>
        <v>6.2500000000000222</v>
      </c>
      <c r="DY221" s="793">
        <f>+INPUT!FX136</f>
        <v>216.4</v>
      </c>
      <c r="DZ221" s="752">
        <f>+INPUT!FY136</f>
        <v>8.7983911513323179</v>
      </c>
      <c r="EA221" s="793">
        <f>+INPUT!FZ136</f>
        <v>218.8</v>
      </c>
      <c r="EB221" s="752">
        <f>+INPUT!GA136</f>
        <v>1.109057301293892</v>
      </c>
      <c r="EC221" s="793">
        <f>+INPUT!GB136</f>
        <v>238.09999999999997</v>
      </c>
      <c r="ED221" s="752">
        <f>+INPUT!GC136</f>
        <v>8.8208409506398411</v>
      </c>
      <c r="EE221" s="793">
        <f>+INPUT!GD136</f>
        <v>0</v>
      </c>
      <c r="EF221" s="752" t="str">
        <f>+INPUT!GE136</f>
        <v>NM</v>
      </c>
      <c r="EG221" s="793">
        <f>+INPUT!GF136</f>
        <v>0</v>
      </c>
      <c r="EH221" s="752" t="str">
        <f>+INPUT!GG136</f>
        <v>NA</v>
      </c>
      <c r="EI221" s="793">
        <f>+INPUT!GH136</f>
        <v>0</v>
      </c>
      <c r="EJ221" s="752" t="str">
        <f>+INPUT!GI136</f>
        <v>NA</v>
      </c>
      <c r="EK221" s="793">
        <f>+INPUT!GJ136</f>
        <v>0</v>
      </c>
      <c r="EL221" s="752" t="str">
        <f>+INPUT!GK136</f>
        <v>NA</v>
      </c>
      <c r="EM221" s="793">
        <f>+INPUT!GL136</f>
        <v>0</v>
      </c>
      <c r="EN221" s="752" t="str">
        <f>+INPUT!GM136</f>
        <v>NA</v>
      </c>
      <c r="EO221" s="793">
        <f>+INPUT!GN136</f>
        <v>0</v>
      </c>
      <c r="EP221" s="752" t="str">
        <f>+INPUT!GO136</f>
        <v>NA</v>
      </c>
      <c r="EQ221" s="793">
        <f>+INPUT!GP136</f>
        <v>0</v>
      </c>
      <c r="ER221" s="752" t="str">
        <f>+INPUT!GQ136</f>
        <v>NA</v>
      </c>
      <c r="ES221" s="793">
        <f>+INPUT!GR136</f>
        <v>0</v>
      </c>
      <c r="ET221" s="752" t="str">
        <f>+INPUT!GS136</f>
        <v>NA</v>
      </c>
      <c r="EU221" s="756">
        <f>+INPUT!GT136</f>
        <v>0</v>
      </c>
      <c r="EV221" s="710"/>
    </row>
    <row r="222" spans="1:152" ht="12.75" hidden="1" customHeight="1" outlineLevel="1" x14ac:dyDescent="0.2">
      <c r="A222" s="749" t="str">
        <f>+INPUT!B137</f>
        <v xml:space="preserve">Total </v>
      </c>
      <c r="B222" s="793">
        <f>+INPUT!AS137</f>
        <v>67</v>
      </c>
      <c r="C222" s="756">
        <f>+INPUT!AT137</f>
        <v>-7.3305670816044444</v>
      </c>
      <c r="D222" s="793">
        <f>+INPUT!AU137</f>
        <v>38.4</v>
      </c>
      <c r="E222" s="756">
        <f>+INPUT!AV137</f>
        <v>-14.666666666666671</v>
      </c>
      <c r="F222" s="793">
        <f>+INPUT!AW137</f>
        <v>42.3</v>
      </c>
      <c r="G222" s="756">
        <f>+INPUT!AX137</f>
        <v>-13.141683778234093</v>
      </c>
      <c r="H222" s="793">
        <f>+INPUT!AY137</f>
        <v>41.9</v>
      </c>
      <c r="I222" s="752">
        <f>+INPUT!AZ137</f>
        <v>1.3365442504515332</v>
      </c>
      <c r="J222" s="793">
        <f>+INPUT!BA137</f>
        <v>63.9</v>
      </c>
      <c r="K222" s="752">
        <f>+INPUT!BB137</f>
        <v>-4.6268656716417889</v>
      </c>
      <c r="L222" s="793">
        <f>+INPUT!BC137</f>
        <v>43.1</v>
      </c>
      <c r="M222" s="752">
        <f>+INPUT!BD137</f>
        <v>12.239583333333348</v>
      </c>
      <c r="N222" s="793">
        <f>+INPUT!BE137</f>
        <v>46.5</v>
      </c>
      <c r="O222" s="752">
        <f>+INPUT!BF137</f>
        <v>9.9290780141844124</v>
      </c>
      <c r="P222" s="793">
        <f>+INPUT!BG137</f>
        <v>44.6</v>
      </c>
      <c r="Q222" s="752">
        <f>+INPUT!BH137</f>
        <v>6.4439140811455964</v>
      </c>
      <c r="R222" s="793">
        <f>+INPUT!BI137</f>
        <v>82.7</v>
      </c>
      <c r="S222" s="752">
        <f>+INPUT!BJ137</f>
        <v>29.42097026604069</v>
      </c>
      <c r="T222" s="793">
        <f>+INPUT!BK137</f>
        <v>40.5</v>
      </c>
      <c r="U222" s="752">
        <f>+INPUT!BL137</f>
        <v>-6.0324825986078912</v>
      </c>
      <c r="V222" s="793">
        <f>+INPUT!BM137</f>
        <v>50.5</v>
      </c>
      <c r="W222" s="752">
        <f>+INPUT!BN137</f>
        <v>0</v>
      </c>
      <c r="X222" s="793">
        <f>+INPUT!BO137</f>
        <v>42.8</v>
      </c>
      <c r="Y222" s="752">
        <f>+INPUT!BP137</f>
        <v>0</v>
      </c>
      <c r="Z222" s="793">
        <f>+INPUT!BQ137</f>
        <v>89.5</v>
      </c>
      <c r="AA222" s="752">
        <f>+INPUT!BR137</f>
        <v>8.222490931076166</v>
      </c>
      <c r="AB222" s="793">
        <f>+INPUT!BS137</f>
        <v>37.6</v>
      </c>
      <c r="AC222" s="752">
        <f>+INPUT!BT137</f>
        <v>0</v>
      </c>
      <c r="AD222" s="793">
        <f>+INPUT!BU137</f>
        <v>41.3</v>
      </c>
      <c r="AE222" s="752">
        <f>+INPUT!BV137</f>
        <v>0</v>
      </c>
      <c r="AF222" s="793">
        <f>+INPUT!BW137</f>
        <v>45.1</v>
      </c>
      <c r="AG222" s="752">
        <f>+INPUT!BX137</f>
        <v>0</v>
      </c>
      <c r="AH222" s="793">
        <f>+INPUT!BY137</f>
        <v>84.399999999999991</v>
      </c>
      <c r="AI222" s="752">
        <f>+INPUT!BZ137</f>
        <v>-5.6983240223463794</v>
      </c>
      <c r="AJ222" s="793">
        <f>+INPUT!CA137</f>
        <v>49.5</v>
      </c>
      <c r="AK222" s="752">
        <f>+INPUT!CB137</f>
        <v>31.64893617021276</v>
      </c>
      <c r="AL222" s="793">
        <f>+INPUT!CC137</f>
        <v>48.5</v>
      </c>
      <c r="AM222" s="752">
        <f>+INPUT!CD137</f>
        <v>17.433414043583539</v>
      </c>
      <c r="AN222" s="793">
        <f>+INPUT!CE137</f>
        <v>47.5</v>
      </c>
      <c r="AO222" s="752">
        <f>+INPUT!CF137</f>
        <v>5.3215077605321515</v>
      </c>
      <c r="AP222" s="793">
        <f>+INPUT!CG137</f>
        <v>96.2</v>
      </c>
      <c r="AQ222" s="752">
        <f>+INPUT!CH137</f>
        <v>13.981042654028442</v>
      </c>
      <c r="AR222" s="793">
        <f>+INPUT!CI137</f>
        <v>47.4</v>
      </c>
      <c r="AS222" s="752">
        <f>+INPUT!CJ137</f>
        <v>-4.2424242424242475</v>
      </c>
      <c r="AT222" s="793">
        <f>+INPUT!CK137</f>
        <v>55.6</v>
      </c>
      <c r="AU222" s="752">
        <f>+INPUT!CL137</f>
        <v>14.639175257731951</v>
      </c>
      <c r="AV222" s="793">
        <f>+INPUT!CM137</f>
        <v>55.3</v>
      </c>
      <c r="AW222" s="752">
        <f>+INPUT!CN137</f>
        <v>16.421052631578938</v>
      </c>
      <c r="AX222" s="793">
        <f>+INPUT!CO137</f>
        <v>109.80000000000001</v>
      </c>
      <c r="AY222" s="752">
        <f>+INPUT!CP137</f>
        <v>14.137214137214137</v>
      </c>
      <c r="AZ222" s="793">
        <f>+INPUT!CQ137</f>
        <v>51.900000000000006</v>
      </c>
      <c r="BA222" s="752">
        <f>+INPUT!CR137</f>
        <v>9.4936708860759556</v>
      </c>
      <c r="BB222" s="793">
        <f>+INPUT!CS137</f>
        <v>58.4</v>
      </c>
      <c r="BC222" s="752">
        <f>+INPUT!CT137</f>
        <v>5.0359712230215736</v>
      </c>
      <c r="BD222" s="793">
        <f>+INPUT!CU137</f>
        <v>53.3</v>
      </c>
      <c r="BE222" s="752">
        <f>+INPUT!CV137</f>
        <v>-3.6166365280289381</v>
      </c>
      <c r="BF222" s="793">
        <f>+INPUT!CW137</f>
        <v>113.8</v>
      </c>
      <c r="BG222" s="752">
        <f>+INPUT!CX137</f>
        <v>3.6429872495446158</v>
      </c>
      <c r="BH222" s="793">
        <f>+INPUT!CY137</f>
        <v>43.400000000000006</v>
      </c>
      <c r="BI222" s="752">
        <f>+INPUT!CZ137</f>
        <v>-16.377649325626198</v>
      </c>
      <c r="BJ222" s="793">
        <f>+INPUT!DA137</f>
        <v>57.8</v>
      </c>
      <c r="BK222" s="752">
        <f>+INPUT!DB137</f>
        <v>-1.0273972602739767</v>
      </c>
      <c r="BL222" s="793">
        <f>+INPUT!DC137</f>
        <v>56</v>
      </c>
      <c r="BM222" s="752">
        <f>+INPUT!DD137</f>
        <v>5.065666041275807</v>
      </c>
      <c r="BN222" s="793">
        <f>+INPUT!DE137</f>
        <v>117.89999999999999</v>
      </c>
      <c r="BO222" s="752">
        <f>+INPUT!DF137</f>
        <v>3.6028119507908629</v>
      </c>
      <c r="BP222" s="793">
        <f>+INPUT!DG137</f>
        <v>51.599999999999994</v>
      </c>
      <c r="BQ222" s="752">
        <f>+INPUT!DH137</f>
        <v>18.894009216589836</v>
      </c>
      <c r="BR222" s="793">
        <f>+INPUT!DI137</f>
        <v>60.5</v>
      </c>
      <c r="BS222" s="752">
        <f>+INPUT!DJ137</f>
        <v>4.6712802768166251</v>
      </c>
      <c r="BT222" s="793">
        <f>+INPUT!DK137</f>
        <v>64.900000000000006</v>
      </c>
      <c r="BU222" s="752">
        <f>+INPUT!DL137</f>
        <v>15.892857142857153</v>
      </c>
      <c r="BV222" s="793">
        <f>+INPUT!DM137</f>
        <v>144.20000000000002</v>
      </c>
      <c r="BW222" s="752">
        <f>+INPUT!DN137</f>
        <v>22.307039864291788</v>
      </c>
      <c r="BX222" s="793">
        <f>+INPUT!DO137</f>
        <v>52.3</v>
      </c>
      <c r="BY222" s="752">
        <f>+INPUT!DP137</f>
        <v>1.3565891472868241</v>
      </c>
      <c r="BZ222" s="793">
        <f>+INPUT!DQ137</f>
        <v>67.400000000000006</v>
      </c>
      <c r="CA222" s="752">
        <f>+INPUT!DR137</f>
        <v>11.404958677685961</v>
      </c>
      <c r="CB222" s="793">
        <f>+INPUT!DS137</f>
        <v>66.2</v>
      </c>
      <c r="CC222" s="752">
        <f>+INPUT!DT137</f>
        <v>2.003081664098616</v>
      </c>
      <c r="CD222" s="793">
        <f>+INPUT!DU137</f>
        <v>142.6</v>
      </c>
      <c r="CE222" s="752">
        <f>+INPUT!DV137</f>
        <v>-1.1095700416088872</v>
      </c>
      <c r="CF222" s="793">
        <f>+INPUT!DW137</f>
        <v>59.4</v>
      </c>
      <c r="CG222" s="752">
        <f>+INPUT!DX137</f>
        <v>13.575525812619516</v>
      </c>
      <c r="CH222" s="793">
        <f>+INPUT!DY137</f>
        <v>66.5</v>
      </c>
      <c r="CI222" s="752">
        <f>+INPUT!DZ137</f>
        <v>-1.335311572700304</v>
      </c>
      <c r="CJ222" s="793">
        <f>+INPUT!EA137</f>
        <v>72.8</v>
      </c>
      <c r="CK222" s="752">
        <f>+INPUT!EB137</f>
        <v>9.9697885196374578</v>
      </c>
      <c r="CL222" s="793">
        <f>+INPUT!EC137</f>
        <v>173.4</v>
      </c>
      <c r="CM222" s="752">
        <f>+INPUT!ED137</f>
        <v>0</v>
      </c>
      <c r="CN222" s="793">
        <f>+INPUT!EE137</f>
        <v>73.600000000000009</v>
      </c>
      <c r="CO222" s="752">
        <f>+INPUT!EF137</f>
        <v>23.905723905723917</v>
      </c>
      <c r="CP222" s="793">
        <f>+INPUT!EG137</f>
        <v>74.899999999999991</v>
      </c>
      <c r="CQ222" s="752">
        <f>+INPUT!EH137</f>
        <v>12.631578947368416</v>
      </c>
      <c r="CR222" s="793">
        <f>+INPUT!EI137</f>
        <v>93.3</v>
      </c>
      <c r="CS222" s="752">
        <f>+INPUT!EJ137</f>
        <v>28.159340659340671</v>
      </c>
      <c r="CT222" s="793">
        <f>+INPUT!EK137</f>
        <v>0</v>
      </c>
      <c r="CU222" s="752" t="str">
        <f>+INPUT!EL137</f>
        <v>NM</v>
      </c>
      <c r="CV222" s="793">
        <f>+INPUT!EM137</f>
        <v>0</v>
      </c>
      <c r="CW222" s="752" t="str">
        <f>+INPUT!EN137</f>
        <v>NM</v>
      </c>
      <c r="CX222" s="793">
        <f>+INPUT!EO137</f>
        <v>0</v>
      </c>
      <c r="CY222" s="752" t="str">
        <f>+INPUT!EP137</f>
        <v>NM</v>
      </c>
      <c r="CZ222" s="793">
        <f>+INPUT!EQ137</f>
        <v>0</v>
      </c>
      <c r="DA222" s="752" t="str">
        <f>+INPUT!ER137</f>
        <v>NM</v>
      </c>
      <c r="DB222" s="753"/>
      <c r="DC222" s="793">
        <f>+INPUT!FB137</f>
        <v>0</v>
      </c>
      <c r="DD222" s="756">
        <f>+INPUT!FC137</f>
        <v>0</v>
      </c>
      <c r="DE222" s="793">
        <f>+INPUT!FD137</f>
        <v>0</v>
      </c>
      <c r="DF222" s="756" t="str">
        <f>+INPUT!FE137</f>
        <v>NA</v>
      </c>
      <c r="DG222" s="793">
        <f>+INPUT!FF137</f>
        <v>0</v>
      </c>
      <c r="DH222" s="756" t="str">
        <f>+INPUT!FG137</f>
        <v>NA</v>
      </c>
      <c r="DI222" s="793">
        <f>+INPUT!FH137</f>
        <v>213.89999999999998</v>
      </c>
      <c r="DJ222" s="756" t="str">
        <f>+INPUT!FI137</f>
        <v>NA</v>
      </c>
      <c r="DK222" s="793">
        <f>+INPUT!FJ137</f>
        <v>0</v>
      </c>
      <c r="DL222" s="752" t="str">
        <f>+INPUT!FK137</f>
        <v>NM</v>
      </c>
      <c r="DM222" s="793">
        <f>+INPUT!FL137</f>
        <v>0</v>
      </c>
      <c r="DN222" s="752" t="str">
        <f>+INPUT!FM137</f>
        <v>NA</v>
      </c>
      <c r="DO222" s="793">
        <f>+INPUT!FN137</f>
        <v>0</v>
      </c>
      <c r="DP222" s="752" t="str">
        <f>+INPUT!FO137</f>
        <v>NA</v>
      </c>
      <c r="DQ222" s="793">
        <f>+INPUT!FP137</f>
        <v>216.50000000000003</v>
      </c>
      <c r="DR222" s="752" t="str">
        <f>+INPUT!FQ137</f>
        <v>NA</v>
      </c>
      <c r="DS222" s="793">
        <f>+INPUT!FR137</f>
        <v>213.5</v>
      </c>
      <c r="DT222" s="752">
        <f>+INPUT!FS137</f>
        <v>-1.3856812933025542</v>
      </c>
      <c r="DU222" s="793">
        <f>+INPUT!FT137</f>
        <v>229.89999999999998</v>
      </c>
      <c r="DV222" s="752">
        <f>+INPUT!FU137</f>
        <v>7.6814988290398123</v>
      </c>
      <c r="DW222" s="793">
        <f>+INPUT!FV137</f>
        <v>254.50000000000003</v>
      </c>
      <c r="DX222" s="752">
        <f>+INPUT!FW137</f>
        <v>10.7003044802088</v>
      </c>
      <c r="DY222" s="793">
        <f>+INPUT!FX137</f>
        <v>273.39999999999998</v>
      </c>
      <c r="DZ222" s="752">
        <f>+INPUT!FY137</f>
        <v>7.4263261296659833</v>
      </c>
      <c r="EA222" s="793">
        <f>+INPUT!FZ137</f>
        <v>271</v>
      </c>
      <c r="EB222" s="752">
        <f>+INPUT!GA137</f>
        <v>-0.87783467446963526</v>
      </c>
      <c r="EC222" s="793">
        <f>+INPUT!GB137</f>
        <v>294.89999999999998</v>
      </c>
      <c r="ED222" s="752">
        <f>+INPUT!GC137</f>
        <v>8.8191881918819206</v>
      </c>
      <c r="EE222" s="793">
        <f>+INPUT!GD137</f>
        <v>0</v>
      </c>
      <c r="EF222" s="752" t="str">
        <f>+INPUT!GE137</f>
        <v>NM</v>
      </c>
      <c r="EG222" s="793">
        <f>+INPUT!GF137</f>
        <v>0</v>
      </c>
      <c r="EH222" s="752" t="str">
        <f>+INPUT!GG137</f>
        <v>NA</v>
      </c>
      <c r="EI222" s="793">
        <f>+INPUT!GH137</f>
        <v>0</v>
      </c>
      <c r="EJ222" s="752" t="str">
        <f>+INPUT!GI137</f>
        <v>NA</v>
      </c>
      <c r="EK222" s="793">
        <f>+INPUT!GJ137</f>
        <v>0</v>
      </c>
      <c r="EL222" s="752" t="str">
        <f>+INPUT!GK137</f>
        <v>NA</v>
      </c>
      <c r="EM222" s="793">
        <f>+INPUT!GL137</f>
        <v>0</v>
      </c>
      <c r="EN222" s="752" t="str">
        <f>+INPUT!GM137</f>
        <v>NA</v>
      </c>
      <c r="EO222" s="793">
        <f>+INPUT!GN137</f>
        <v>0</v>
      </c>
      <c r="EP222" s="752" t="str">
        <f>+INPUT!GO137</f>
        <v>NA</v>
      </c>
      <c r="EQ222" s="793">
        <f>+INPUT!GP137</f>
        <v>0</v>
      </c>
      <c r="ER222" s="752" t="str">
        <f>+INPUT!GQ137</f>
        <v>NA</v>
      </c>
      <c r="ES222" s="793">
        <f>+INPUT!GR137</f>
        <v>0</v>
      </c>
      <c r="ET222" s="752" t="str">
        <f>+INPUT!GS137</f>
        <v>NA</v>
      </c>
      <c r="EU222" s="756">
        <f>+INPUT!GT137</f>
        <v>0</v>
      </c>
      <c r="EV222" s="710"/>
    </row>
    <row r="223" spans="1:152" ht="12.75" hidden="1" customHeight="1" outlineLevel="1" x14ac:dyDescent="0.2">
      <c r="A223" s="725"/>
      <c r="B223" s="750"/>
      <c r="C223" s="767"/>
      <c r="D223" s="750"/>
      <c r="E223" s="767"/>
      <c r="F223" s="750"/>
      <c r="G223" s="767"/>
      <c r="H223" s="750"/>
      <c r="I223" s="752"/>
      <c r="J223" s="750"/>
      <c r="K223" s="752"/>
      <c r="L223" s="750"/>
      <c r="M223" s="752"/>
      <c r="N223" s="750"/>
      <c r="O223" s="752"/>
      <c r="P223" s="750"/>
      <c r="Q223" s="752"/>
      <c r="R223" s="750"/>
      <c r="S223" s="752"/>
      <c r="T223" s="750"/>
      <c r="U223" s="752"/>
      <c r="V223" s="750"/>
      <c r="W223" s="752"/>
      <c r="X223" s="750"/>
      <c r="Y223" s="752"/>
      <c r="Z223" s="750"/>
      <c r="AA223" s="752"/>
      <c r="AB223" s="750"/>
      <c r="AC223" s="752"/>
      <c r="AD223" s="750"/>
      <c r="AE223" s="752"/>
      <c r="AF223" s="750"/>
      <c r="AG223" s="752"/>
      <c r="AH223" s="750"/>
      <c r="AI223" s="752"/>
      <c r="AJ223" s="750"/>
      <c r="AK223" s="752"/>
      <c r="AL223" s="750"/>
      <c r="AM223" s="752"/>
      <c r="AN223" s="750"/>
      <c r="AO223" s="752"/>
      <c r="AP223" s="750"/>
      <c r="AQ223" s="752"/>
      <c r="AR223" s="750"/>
      <c r="AS223" s="752"/>
      <c r="AT223" s="750"/>
      <c r="AU223" s="752"/>
      <c r="AV223" s="750"/>
      <c r="AW223" s="752"/>
      <c r="AX223" s="750"/>
      <c r="AY223" s="752"/>
      <c r="AZ223" s="750"/>
      <c r="BA223" s="752"/>
      <c r="BB223" s="750"/>
      <c r="BC223" s="752"/>
      <c r="BD223" s="750"/>
      <c r="BE223" s="752"/>
      <c r="BF223" s="750"/>
      <c r="BG223" s="752"/>
      <c r="BH223" s="750"/>
      <c r="BI223" s="752"/>
      <c r="BJ223" s="750"/>
      <c r="BK223" s="752"/>
      <c r="BL223" s="750"/>
      <c r="BM223" s="752"/>
      <c r="BN223" s="750"/>
      <c r="BO223" s="752"/>
      <c r="BP223" s="750"/>
      <c r="BQ223" s="752"/>
      <c r="BR223" s="750"/>
      <c r="BS223" s="752"/>
      <c r="BT223" s="750"/>
      <c r="BU223" s="752"/>
      <c r="BV223" s="750"/>
      <c r="BW223" s="752"/>
      <c r="BX223" s="750"/>
      <c r="BY223" s="752"/>
      <c r="BZ223" s="750"/>
      <c r="CA223" s="752"/>
      <c r="CB223" s="750"/>
      <c r="CC223" s="752"/>
      <c r="CD223" s="750"/>
      <c r="CE223" s="752"/>
      <c r="CF223" s="750"/>
      <c r="CG223" s="752"/>
      <c r="CH223" s="750"/>
      <c r="CI223" s="752"/>
      <c r="CJ223" s="750"/>
      <c r="CK223" s="752"/>
      <c r="CL223" s="750"/>
      <c r="CM223" s="752"/>
      <c r="CN223" s="750"/>
      <c r="CO223" s="752"/>
      <c r="CP223" s="750"/>
      <c r="CQ223" s="752"/>
      <c r="CR223" s="750"/>
      <c r="CS223" s="752"/>
      <c r="CT223" s="750"/>
      <c r="CU223" s="752"/>
      <c r="CV223" s="750"/>
      <c r="CW223" s="752"/>
      <c r="CX223" s="750"/>
      <c r="CY223" s="752"/>
      <c r="CZ223" s="750"/>
      <c r="DA223" s="752"/>
      <c r="DB223" s="753"/>
      <c r="DC223" s="750"/>
      <c r="DD223" s="767"/>
      <c r="DE223" s="750"/>
      <c r="DF223" s="767"/>
      <c r="DG223" s="750"/>
      <c r="DH223" s="767"/>
      <c r="DI223" s="750"/>
      <c r="DJ223" s="767"/>
      <c r="DK223" s="750"/>
      <c r="DL223" s="752"/>
      <c r="DM223" s="750"/>
      <c r="DN223" s="752"/>
      <c r="DO223" s="750"/>
      <c r="DP223" s="752"/>
      <c r="DQ223" s="750"/>
      <c r="DR223" s="752"/>
      <c r="DS223" s="750"/>
      <c r="DT223" s="752"/>
      <c r="DU223" s="750"/>
      <c r="DV223" s="752"/>
      <c r="DW223" s="750"/>
      <c r="DX223" s="752"/>
      <c r="DY223" s="750"/>
      <c r="DZ223" s="752"/>
      <c r="EA223" s="750"/>
      <c r="EB223" s="752"/>
      <c r="EC223" s="750"/>
      <c r="ED223" s="752"/>
      <c r="EE223" s="750"/>
      <c r="EF223" s="752"/>
      <c r="EG223" s="750"/>
      <c r="EH223" s="752"/>
      <c r="EI223" s="750"/>
      <c r="EJ223" s="752"/>
      <c r="EK223" s="750"/>
      <c r="EL223" s="752"/>
      <c r="EM223" s="750"/>
      <c r="EN223" s="752"/>
      <c r="EO223" s="750"/>
      <c r="EP223" s="752"/>
      <c r="EQ223" s="750"/>
      <c r="ER223" s="752"/>
      <c r="ES223" s="750"/>
      <c r="ET223" s="752"/>
      <c r="EU223" s="767"/>
      <c r="EV223" s="710"/>
    </row>
    <row r="224" spans="1:152" ht="12.75" hidden="1" customHeight="1" outlineLevel="1" x14ac:dyDescent="0.2">
      <c r="A224" s="803" t="str">
        <f>+A47</f>
        <v>Quarterly income statement ratios are annualized where appropriate     E = Morgan Stanley Research Estimates      NM = Not Meaningful       NA = Not Applicable              CAGR = Cumulative Average Growth Rate</v>
      </c>
      <c r="B224" s="750"/>
      <c r="C224" s="767"/>
      <c r="D224" s="750"/>
      <c r="E224" s="767"/>
      <c r="F224" s="750"/>
      <c r="G224" s="767"/>
      <c r="H224" s="750"/>
      <c r="I224" s="752"/>
      <c r="J224" s="750"/>
      <c r="K224" s="752"/>
      <c r="L224" s="750"/>
      <c r="M224" s="752"/>
      <c r="N224" s="750"/>
      <c r="O224" s="752"/>
      <c r="P224" s="750"/>
      <c r="Q224" s="752"/>
      <c r="R224" s="750"/>
      <c r="S224" s="752"/>
      <c r="T224" s="750"/>
      <c r="U224" s="752"/>
      <c r="V224" s="750"/>
      <c r="W224" s="752"/>
      <c r="X224" s="750"/>
      <c r="Y224" s="752"/>
      <c r="Z224" s="750"/>
      <c r="AA224" s="752"/>
      <c r="AB224" s="750"/>
      <c r="AC224" s="752"/>
      <c r="AD224" s="750"/>
      <c r="AE224" s="752"/>
      <c r="AF224" s="750"/>
      <c r="AG224" s="752"/>
      <c r="AH224" s="750"/>
      <c r="AI224" s="752"/>
      <c r="AJ224" s="750"/>
      <c r="AK224" s="752"/>
      <c r="AL224" s="750"/>
      <c r="AM224" s="752"/>
      <c r="AN224" s="750"/>
      <c r="AO224" s="752"/>
      <c r="AP224" s="750"/>
      <c r="AQ224" s="752"/>
      <c r="AR224" s="750"/>
      <c r="AS224" s="752"/>
      <c r="AT224" s="750"/>
      <c r="AU224" s="752"/>
      <c r="AV224" s="750"/>
      <c r="AW224" s="752"/>
      <c r="AX224" s="750"/>
      <c r="AY224" s="752"/>
      <c r="AZ224" s="750"/>
      <c r="BA224" s="752"/>
      <c r="BB224" s="750"/>
      <c r="BC224" s="752"/>
      <c r="BD224" s="750"/>
      <c r="BE224" s="752"/>
      <c r="BF224" s="750"/>
      <c r="BG224" s="752"/>
      <c r="BH224" s="750"/>
      <c r="BI224" s="752"/>
      <c r="BJ224" s="750"/>
      <c r="BK224" s="752"/>
      <c r="BL224" s="750"/>
      <c r="BM224" s="752"/>
      <c r="BN224" s="750"/>
      <c r="BO224" s="752"/>
      <c r="BP224" s="750"/>
      <c r="BQ224" s="752"/>
      <c r="BR224" s="750"/>
      <c r="BS224" s="752"/>
      <c r="BT224" s="750"/>
      <c r="BU224" s="752"/>
      <c r="BV224" s="750"/>
      <c r="BW224" s="752"/>
      <c r="BX224" s="750"/>
      <c r="BY224" s="752"/>
      <c r="BZ224" s="750"/>
      <c r="CA224" s="752"/>
      <c r="CB224" s="750"/>
      <c r="CC224" s="752"/>
      <c r="CD224" s="750"/>
      <c r="CE224" s="752"/>
      <c r="CF224" s="750"/>
      <c r="CG224" s="752"/>
      <c r="CH224" s="750"/>
      <c r="CI224" s="752"/>
      <c r="CJ224" s="750"/>
      <c r="CK224" s="752"/>
      <c r="CL224" s="750"/>
      <c r="CM224" s="752"/>
      <c r="CN224" s="750"/>
      <c r="CO224" s="752"/>
      <c r="CP224" s="750"/>
      <c r="CQ224" s="752"/>
      <c r="CR224" s="750"/>
      <c r="CS224" s="752"/>
      <c r="CT224" s="750"/>
      <c r="CU224" s="752"/>
      <c r="CV224" s="750"/>
      <c r="CW224" s="752"/>
      <c r="CX224" s="750"/>
      <c r="CY224" s="752"/>
      <c r="CZ224" s="750"/>
      <c r="DA224" s="752"/>
      <c r="DB224" s="753"/>
      <c r="DC224" s="750"/>
      <c r="DD224" s="767"/>
      <c r="DE224" s="750"/>
      <c r="DF224" s="767"/>
      <c r="DG224" s="750"/>
      <c r="DH224" s="767"/>
      <c r="DI224" s="750"/>
      <c r="DJ224" s="767"/>
      <c r="DK224" s="750"/>
      <c r="DL224" s="752"/>
      <c r="DM224" s="750"/>
      <c r="DN224" s="752"/>
      <c r="DO224" s="750"/>
      <c r="DP224" s="752"/>
      <c r="DQ224" s="750"/>
      <c r="DR224" s="752"/>
      <c r="DS224" s="750"/>
      <c r="DT224" s="752"/>
      <c r="DU224" s="750"/>
      <c r="DV224" s="752"/>
      <c r="DW224" s="750"/>
      <c r="DX224" s="752"/>
      <c r="DY224" s="750"/>
      <c r="DZ224" s="752"/>
      <c r="EA224" s="750"/>
      <c r="EB224" s="752"/>
      <c r="EC224" s="750"/>
      <c r="ED224" s="752"/>
      <c r="EE224" s="750"/>
      <c r="EF224" s="752"/>
      <c r="EG224" s="750"/>
      <c r="EH224" s="752"/>
      <c r="EI224" s="750"/>
      <c r="EJ224" s="752"/>
      <c r="EK224" s="750"/>
      <c r="EL224" s="752"/>
      <c r="EM224" s="750"/>
      <c r="EN224" s="752"/>
      <c r="EO224" s="750"/>
      <c r="EP224" s="752"/>
      <c r="EQ224" s="750"/>
      <c r="ER224" s="752"/>
      <c r="ES224" s="750"/>
      <c r="ET224" s="752"/>
      <c r="EU224" s="767"/>
      <c r="EV224" s="710"/>
    </row>
    <row r="225" spans="1:152" ht="12.75" hidden="1" customHeight="1" outlineLevel="1" x14ac:dyDescent="0.2">
      <c r="A225" s="795" t="s">
        <v>398</v>
      </c>
      <c r="B225" s="750"/>
      <c r="C225" s="767"/>
      <c r="D225" s="750"/>
      <c r="E225" s="767"/>
      <c r="F225" s="750"/>
      <c r="G225" s="767"/>
      <c r="H225" s="750"/>
      <c r="I225" s="752"/>
      <c r="J225" s="750"/>
      <c r="K225" s="752"/>
      <c r="L225" s="750"/>
      <c r="M225" s="752"/>
      <c r="N225" s="750"/>
      <c r="O225" s="752"/>
      <c r="P225" s="750"/>
      <c r="Q225" s="752"/>
      <c r="R225" s="750"/>
      <c r="S225" s="752"/>
      <c r="T225" s="750"/>
      <c r="U225" s="752"/>
      <c r="V225" s="750"/>
      <c r="W225" s="752"/>
      <c r="X225" s="750"/>
      <c r="Y225" s="752"/>
      <c r="Z225" s="750"/>
      <c r="AA225" s="752"/>
      <c r="AB225" s="750"/>
      <c r="AC225" s="752"/>
      <c r="AD225" s="750"/>
      <c r="AE225" s="752"/>
      <c r="AF225" s="750"/>
      <c r="AG225" s="752"/>
      <c r="AH225" s="750"/>
      <c r="AI225" s="752"/>
      <c r="AJ225" s="750"/>
      <c r="AK225" s="752"/>
      <c r="AL225" s="750"/>
      <c r="AM225" s="752"/>
      <c r="AN225" s="750"/>
      <c r="AO225" s="752"/>
      <c r="AP225" s="750"/>
      <c r="AQ225" s="752"/>
      <c r="AR225" s="750"/>
      <c r="AS225" s="752"/>
      <c r="AT225" s="750"/>
      <c r="AU225" s="752"/>
      <c r="AV225" s="750"/>
      <c r="AW225" s="752"/>
      <c r="AX225" s="750"/>
      <c r="AY225" s="752"/>
      <c r="AZ225" s="750"/>
      <c r="BA225" s="752"/>
      <c r="BB225" s="750"/>
      <c r="BC225" s="752"/>
      <c r="BD225" s="750"/>
      <c r="BE225" s="752"/>
      <c r="BF225" s="750"/>
      <c r="BG225" s="752"/>
      <c r="BH225" s="750"/>
      <c r="BI225" s="752"/>
      <c r="BJ225" s="750"/>
      <c r="BK225" s="752"/>
      <c r="BL225" s="750"/>
      <c r="BM225" s="752"/>
      <c r="BN225" s="750"/>
      <c r="BO225" s="752"/>
      <c r="BP225" s="750"/>
      <c r="BQ225" s="752"/>
      <c r="BR225" s="750"/>
      <c r="BS225" s="752"/>
      <c r="BT225" s="750"/>
      <c r="BU225" s="752"/>
      <c r="BV225" s="750"/>
      <c r="BW225" s="752"/>
      <c r="BX225" s="750"/>
      <c r="BY225" s="752"/>
      <c r="BZ225" s="750"/>
      <c r="CA225" s="752"/>
      <c r="CB225" s="750"/>
      <c r="CC225" s="752"/>
      <c r="CD225" s="750"/>
      <c r="CE225" s="752"/>
      <c r="CF225" s="750"/>
      <c r="CG225" s="752"/>
      <c r="CH225" s="750"/>
      <c r="CI225" s="752"/>
      <c r="CJ225" s="750"/>
      <c r="CK225" s="752"/>
      <c r="CL225" s="750"/>
      <c r="CM225" s="752"/>
      <c r="CN225" s="750"/>
      <c r="CO225" s="752"/>
      <c r="CP225" s="750"/>
      <c r="CQ225" s="752"/>
      <c r="CR225" s="750"/>
      <c r="CS225" s="752"/>
      <c r="CT225" s="750"/>
      <c r="CU225" s="752"/>
      <c r="CV225" s="750"/>
      <c r="CW225" s="752"/>
      <c r="CX225" s="750"/>
      <c r="CY225" s="752"/>
      <c r="CZ225" s="750"/>
      <c r="DA225" s="752"/>
      <c r="DB225" s="753"/>
      <c r="DC225" s="750"/>
      <c r="DD225" s="767"/>
      <c r="DE225" s="750"/>
      <c r="DF225" s="767"/>
      <c r="DG225" s="750"/>
      <c r="DH225" s="767"/>
      <c r="DI225" s="750"/>
      <c r="DJ225" s="767"/>
      <c r="DK225" s="750"/>
      <c r="DL225" s="752"/>
      <c r="DM225" s="750"/>
      <c r="DN225" s="752"/>
      <c r="DO225" s="750"/>
      <c r="DP225" s="752"/>
      <c r="DQ225" s="750"/>
      <c r="DR225" s="752"/>
      <c r="DS225" s="750"/>
      <c r="DT225" s="752"/>
      <c r="DU225" s="750"/>
      <c r="DV225" s="752"/>
      <c r="DW225" s="750"/>
      <c r="DX225" s="752"/>
      <c r="DY225" s="750"/>
      <c r="DZ225" s="752"/>
      <c r="EA225" s="750"/>
      <c r="EB225" s="752"/>
      <c r="EC225" s="750"/>
      <c r="ED225" s="752"/>
      <c r="EE225" s="750"/>
      <c r="EF225" s="752"/>
      <c r="EG225" s="750"/>
      <c r="EH225" s="752"/>
      <c r="EI225" s="750"/>
      <c r="EJ225" s="752"/>
      <c r="EK225" s="750"/>
      <c r="EL225" s="752"/>
      <c r="EM225" s="750"/>
      <c r="EN225" s="752"/>
      <c r="EO225" s="750"/>
      <c r="EP225" s="752"/>
      <c r="EQ225" s="750"/>
      <c r="ER225" s="752"/>
      <c r="ES225" s="750"/>
      <c r="ET225" s="752"/>
      <c r="EU225" s="767"/>
      <c r="EV225" s="710"/>
    </row>
    <row r="226" spans="1:152" ht="12.75" hidden="1" customHeight="1" outlineLevel="1" x14ac:dyDescent="0.2">
      <c r="A226" s="795"/>
      <c r="B226" s="750"/>
      <c r="C226" s="767"/>
      <c r="D226" s="750"/>
      <c r="E226" s="767"/>
      <c r="F226" s="750"/>
      <c r="G226" s="767"/>
      <c r="H226" s="750"/>
      <c r="I226" s="752"/>
      <c r="J226" s="750"/>
      <c r="K226" s="752"/>
      <c r="L226" s="750"/>
      <c r="M226" s="752"/>
      <c r="N226" s="750"/>
      <c r="O226" s="752"/>
      <c r="P226" s="750"/>
      <c r="Q226" s="752"/>
      <c r="R226" s="750"/>
      <c r="S226" s="752"/>
      <c r="T226" s="750"/>
      <c r="U226" s="752"/>
      <c r="V226" s="750"/>
      <c r="W226" s="752"/>
      <c r="X226" s="750"/>
      <c r="Y226" s="752"/>
      <c r="Z226" s="750"/>
      <c r="AA226" s="752"/>
      <c r="AB226" s="750"/>
      <c r="AC226" s="752"/>
      <c r="AD226" s="750"/>
      <c r="AE226" s="752"/>
      <c r="AF226" s="750"/>
      <c r="AG226" s="752"/>
      <c r="AH226" s="750"/>
      <c r="AI226" s="752"/>
      <c r="AJ226" s="750"/>
      <c r="AK226" s="752"/>
      <c r="AL226" s="750"/>
      <c r="AM226" s="752"/>
      <c r="AN226" s="750"/>
      <c r="AO226" s="752"/>
      <c r="AP226" s="750"/>
      <c r="AQ226" s="752"/>
      <c r="AR226" s="750"/>
      <c r="AS226" s="752"/>
      <c r="AT226" s="750"/>
      <c r="AU226" s="752"/>
      <c r="AV226" s="750"/>
      <c r="AW226" s="752"/>
      <c r="AX226" s="750"/>
      <c r="AY226" s="752"/>
      <c r="AZ226" s="750"/>
      <c r="BA226" s="752"/>
      <c r="BB226" s="750"/>
      <c r="BC226" s="752"/>
      <c r="BD226" s="750"/>
      <c r="BE226" s="752"/>
      <c r="BF226" s="750"/>
      <c r="BG226" s="752"/>
      <c r="BH226" s="750"/>
      <c r="BI226" s="752"/>
      <c r="BJ226" s="750"/>
      <c r="BK226" s="752"/>
      <c r="BL226" s="750"/>
      <c r="BM226" s="752"/>
      <c r="BN226" s="750"/>
      <c r="BO226" s="752"/>
      <c r="BP226" s="750"/>
      <c r="BQ226" s="752"/>
      <c r="BR226" s="750"/>
      <c r="BS226" s="752"/>
      <c r="BT226" s="750"/>
      <c r="BU226" s="752"/>
      <c r="BV226" s="750"/>
      <c r="BW226" s="752"/>
      <c r="BX226" s="750"/>
      <c r="BY226" s="752"/>
      <c r="BZ226" s="750"/>
      <c r="CA226" s="752"/>
      <c r="CB226" s="750"/>
      <c r="CC226" s="752"/>
      <c r="CD226" s="750"/>
      <c r="CE226" s="752"/>
      <c r="CF226" s="750"/>
      <c r="CG226" s="752"/>
      <c r="CH226" s="750"/>
      <c r="CI226" s="752"/>
      <c r="CJ226" s="750"/>
      <c r="CK226" s="752"/>
      <c r="CL226" s="750"/>
      <c r="CM226" s="752"/>
      <c r="CN226" s="750"/>
      <c r="CO226" s="752"/>
      <c r="CP226" s="750"/>
      <c r="CQ226" s="752"/>
      <c r="CR226" s="750"/>
      <c r="CS226" s="752"/>
      <c r="CT226" s="750"/>
      <c r="CU226" s="752"/>
      <c r="CV226" s="750"/>
      <c r="CW226" s="752"/>
      <c r="CX226" s="750"/>
      <c r="CY226" s="752"/>
      <c r="CZ226" s="750"/>
      <c r="DA226" s="752"/>
      <c r="DB226" s="753"/>
      <c r="DC226" s="750"/>
      <c r="DD226" s="767"/>
      <c r="DE226" s="750"/>
      <c r="DF226" s="767"/>
      <c r="DG226" s="750"/>
      <c r="DH226" s="767"/>
      <c r="DI226" s="750"/>
      <c r="DJ226" s="767"/>
      <c r="DK226" s="750"/>
      <c r="DL226" s="752"/>
      <c r="DM226" s="750"/>
      <c r="DN226" s="752"/>
      <c r="DO226" s="750"/>
      <c r="DP226" s="752"/>
      <c r="DQ226" s="750"/>
      <c r="DR226" s="752"/>
      <c r="DS226" s="750"/>
      <c r="DT226" s="752"/>
      <c r="DU226" s="750"/>
      <c r="DV226" s="752"/>
      <c r="DW226" s="750"/>
      <c r="DX226" s="752"/>
      <c r="DY226" s="750"/>
      <c r="DZ226" s="752"/>
      <c r="EA226" s="750"/>
      <c r="EB226" s="752"/>
      <c r="EC226" s="750"/>
      <c r="ED226" s="752"/>
      <c r="EE226" s="750"/>
      <c r="EF226" s="752"/>
      <c r="EG226" s="750"/>
      <c r="EH226" s="752"/>
      <c r="EI226" s="750"/>
      <c r="EJ226" s="752"/>
      <c r="EK226" s="750"/>
      <c r="EL226" s="752"/>
      <c r="EM226" s="750"/>
      <c r="EN226" s="752"/>
      <c r="EO226" s="750"/>
      <c r="EP226" s="752"/>
      <c r="EQ226" s="750"/>
      <c r="ER226" s="752"/>
      <c r="ES226" s="750"/>
      <c r="ET226" s="752"/>
      <c r="EU226" s="767"/>
      <c r="EV226" s="710"/>
    </row>
    <row r="227" spans="1:152" ht="21.95" hidden="1" customHeight="1" outlineLevel="1" x14ac:dyDescent="0.25">
      <c r="A227" s="709" t="str">
        <f>INPUT!$B$4</f>
        <v>Unum Group</v>
      </c>
      <c r="B227" s="728"/>
      <c r="C227" s="729"/>
      <c r="D227" s="728"/>
      <c r="E227" s="729"/>
      <c r="F227" s="728"/>
      <c r="G227" s="729"/>
      <c r="H227" s="728"/>
      <c r="I227" s="730"/>
      <c r="J227" s="728"/>
      <c r="K227" s="730"/>
      <c r="L227" s="728"/>
      <c r="M227" s="730"/>
      <c r="N227" s="728"/>
      <c r="O227" s="730"/>
      <c r="P227" s="728"/>
      <c r="Q227" s="730"/>
      <c r="R227" s="728"/>
      <c r="S227" s="730"/>
      <c r="T227" s="728"/>
      <c r="U227" s="730"/>
      <c r="V227" s="728"/>
      <c r="W227" s="730"/>
      <c r="X227" s="728"/>
      <c r="Y227" s="730"/>
      <c r="Z227" s="728"/>
      <c r="AA227" s="730"/>
      <c r="AB227" s="728"/>
      <c r="AC227" s="730"/>
      <c r="AD227" s="728"/>
      <c r="AE227" s="730"/>
      <c r="AF227" s="728"/>
      <c r="AG227" s="730"/>
      <c r="AH227" s="728"/>
      <c r="AI227" s="730"/>
      <c r="AJ227" s="728"/>
      <c r="AK227" s="730"/>
      <c r="AL227" s="728"/>
      <c r="AM227" s="730"/>
      <c r="AN227" s="728"/>
      <c r="AO227" s="730"/>
      <c r="AP227" s="728"/>
      <c r="AQ227" s="730"/>
      <c r="AR227" s="728"/>
      <c r="AS227" s="730"/>
      <c r="AT227" s="728"/>
      <c r="AU227" s="730"/>
      <c r="AV227" s="728"/>
      <c r="AW227" s="730"/>
      <c r="AX227" s="728"/>
      <c r="AY227" s="730"/>
      <c r="AZ227" s="728"/>
      <c r="BA227" s="730"/>
      <c r="BB227" s="728"/>
      <c r="BC227" s="730"/>
      <c r="BD227" s="728"/>
      <c r="BE227" s="730"/>
      <c r="BF227" s="728"/>
      <c r="BG227" s="730"/>
      <c r="BH227" s="728"/>
      <c r="BI227" s="730"/>
      <c r="BJ227" s="728"/>
      <c r="BK227" s="730"/>
      <c r="BL227" s="728"/>
      <c r="BM227" s="730"/>
      <c r="BN227" s="728"/>
      <c r="BO227" s="730"/>
      <c r="BP227" s="728"/>
      <c r="BQ227" s="730"/>
      <c r="BR227" s="728"/>
      <c r="BS227" s="730"/>
      <c r="BT227" s="728"/>
      <c r="BU227" s="730"/>
      <c r="BV227" s="728"/>
      <c r="BW227" s="730"/>
      <c r="BX227" s="728"/>
      <c r="BY227" s="730"/>
      <c r="BZ227" s="728"/>
      <c r="CA227" s="730"/>
      <c r="CB227" s="728"/>
      <c r="CC227" s="730"/>
      <c r="CD227" s="728"/>
      <c r="CE227" s="730"/>
      <c r="CF227" s="728"/>
      <c r="CG227" s="730"/>
      <c r="CH227" s="728"/>
      <c r="CI227" s="730"/>
      <c r="CJ227" s="728"/>
      <c r="CK227" s="730"/>
      <c r="CL227" s="728"/>
      <c r="CM227" s="730"/>
      <c r="CN227" s="728"/>
      <c r="CO227" s="730"/>
      <c r="CP227" s="728"/>
      <c r="CQ227" s="730"/>
      <c r="CR227" s="728"/>
      <c r="CS227" s="730"/>
      <c r="CT227" s="728"/>
      <c r="CU227" s="730"/>
      <c r="CV227" s="728"/>
      <c r="CW227" s="730"/>
      <c r="CX227" s="728"/>
      <c r="CY227" s="730"/>
      <c r="CZ227" s="728"/>
      <c r="DA227" s="730"/>
      <c r="DB227" s="730"/>
      <c r="DC227" s="728"/>
      <c r="DD227" s="729"/>
      <c r="DE227" s="728"/>
      <c r="DF227" s="729"/>
      <c r="DG227" s="728"/>
      <c r="DH227" s="729"/>
      <c r="DI227" s="728"/>
      <c r="DJ227" s="729"/>
      <c r="DK227" s="728"/>
      <c r="DL227" s="730"/>
      <c r="DM227" s="728"/>
      <c r="DN227" s="730"/>
      <c r="DO227" s="728"/>
      <c r="DP227" s="730"/>
      <c r="DQ227" s="728"/>
      <c r="DR227" s="730"/>
      <c r="DS227" s="728"/>
      <c r="DT227" s="730"/>
      <c r="DU227" s="728"/>
      <c r="DV227" s="730"/>
      <c r="DW227" s="728"/>
      <c r="DX227" s="730"/>
      <c r="DY227" s="728"/>
      <c r="DZ227" s="730"/>
      <c r="EA227" s="728"/>
      <c r="EB227" s="730"/>
      <c r="EC227" s="728"/>
      <c r="ED227" s="730"/>
      <c r="EE227" s="728"/>
      <c r="EF227" s="730"/>
      <c r="EG227" s="728"/>
      <c r="EH227" s="730"/>
      <c r="EI227" s="728"/>
      <c r="EJ227" s="730"/>
      <c r="EK227" s="728"/>
      <c r="EL227" s="730"/>
      <c r="EM227" s="728"/>
      <c r="EN227" s="730"/>
      <c r="EO227" s="728"/>
      <c r="EP227" s="730"/>
      <c r="EQ227" s="728"/>
      <c r="ER227" s="730"/>
      <c r="ES227" s="728"/>
      <c r="ET227" s="730"/>
      <c r="EU227" s="729"/>
      <c r="EV227" s="710"/>
    </row>
    <row r="228" spans="1:152" ht="12.75" hidden="1" customHeight="1" outlineLevel="1" x14ac:dyDescent="0.2">
      <c r="A228" s="731" t="s">
        <v>34</v>
      </c>
      <c r="B228" s="732"/>
      <c r="C228" s="733"/>
      <c r="D228" s="732"/>
      <c r="E228" s="733"/>
      <c r="F228" s="732"/>
      <c r="G228" s="733"/>
      <c r="H228" s="732"/>
      <c r="I228" s="734"/>
      <c r="J228" s="732"/>
      <c r="K228" s="734"/>
      <c r="L228" s="732"/>
      <c r="M228" s="734"/>
      <c r="N228" s="732"/>
      <c r="O228" s="734"/>
      <c r="P228" s="732"/>
      <c r="Q228" s="734"/>
      <c r="R228" s="732"/>
      <c r="S228" s="734"/>
      <c r="T228" s="732"/>
      <c r="U228" s="734"/>
      <c r="V228" s="732"/>
      <c r="W228" s="734"/>
      <c r="X228" s="732"/>
      <c r="Y228" s="734"/>
      <c r="Z228" s="732"/>
      <c r="AA228" s="734"/>
      <c r="AB228" s="732"/>
      <c r="AC228" s="734"/>
      <c r="AD228" s="732"/>
      <c r="AE228" s="734"/>
      <c r="AF228" s="732"/>
      <c r="AG228" s="734"/>
      <c r="AH228" s="732"/>
      <c r="AI228" s="734"/>
      <c r="AJ228" s="732"/>
      <c r="AK228" s="734"/>
      <c r="AL228" s="732"/>
      <c r="AM228" s="734"/>
      <c r="AN228" s="732"/>
      <c r="AO228" s="734"/>
      <c r="AP228" s="732"/>
      <c r="AQ228" s="734"/>
      <c r="AR228" s="732"/>
      <c r="AS228" s="734"/>
      <c r="AT228" s="732"/>
      <c r="AU228" s="734"/>
      <c r="AV228" s="732"/>
      <c r="AW228" s="734"/>
      <c r="AX228" s="732"/>
      <c r="AY228" s="734"/>
      <c r="AZ228" s="732"/>
      <c r="BA228" s="734"/>
      <c r="BB228" s="732"/>
      <c r="BC228" s="734"/>
      <c r="BD228" s="732"/>
      <c r="BE228" s="734"/>
      <c r="BF228" s="732"/>
      <c r="BG228" s="734"/>
      <c r="BH228" s="732"/>
      <c r="BI228" s="734"/>
      <c r="BJ228" s="732"/>
      <c r="BK228" s="734"/>
      <c r="BL228" s="732"/>
      <c r="BM228" s="734"/>
      <c r="BN228" s="732"/>
      <c r="BO228" s="734"/>
      <c r="BP228" s="732"/>
      <c r="BQ228" s="734"/>
      <c r="BR228" s="732"/>
      <c r="BS228" s="734"/>
      <c r="BT228" s="732"/>
      <c r="BU228" s="734"/>
      <c r="BV228" s="732"/>
      <c r="BW228" s="734"/>
      <c r="BX228" s="732"/>
      <c r="BY228" s="734"/>
      <c r="BZ228" s="732"/>
      <c r="CA228" s="734"/>
      <c r="CB228" s="732"/>
      <c r="CC228" s="734"/>
      <c r="CD228" s="732"/>
      <c r="CE228" s="734"/>
      <c r="CF228" s="732"/>
      <c r="CG228" s="734"/>
      <c r="CH228" s="732"/>
      <c r="CI228" s="734"/>
      <c r="CJ228" s="732"/>
      <c r="CK228" s="734"/>
      <c r="CL228" s="732"/>
      <c r="CM228" s="734"/>
      <c r="CN228" s="732"/>
      <c r="CO228" s="734"/>
      <c r="CP228" s="732"/>
      <c r="CQ228" s="734"/>
      <c r="CR228" s="732"/>
      <c r="CS228" s="734"/>
      <c r="CT228" s="732"/>
      <c r="CU228" s="734"/>
      <c r="CV228" s="732"/>
      <c r="CW228" s="734"/>
      <c r="CX228" s="732"/>
      <c r="CY228" s="734"/>
      <c r="CZ228" s="732"/>
      <c r="DA228" s="734"/>
      <c r="DB228" s="734"/>
      <c r="DC228" s="732"/>
      <c r="DD228" s="733"/>
      <c r="DE228" s="732"/>
      <c r="DF228" s="733"/>
      <c r="DG228" s="732"/>
      <c r="DH228" s="733"/>
      <c r="DI228" s="732"/>
      <c r="DJ228" s="733"/>
      <c r="DK228" s="732"/>
      <c r="DL228" s="734"/>
      <c r="DM228" s="732"/>
      <c r="DN228" s="734"/>
      <c r="DO228" s="732"/>
      <c r="DP228" s="734"/>
      <c r="DQ228" s="732"/>
      <c r="DR228" s="734"/>
      <c r="DS228" s="732"/>
      <c r="DT228" s="734"/>
      <c r="DU228" s="732"/>
      <c r="DV228" s="734"/>
      <c r="DW228" s="732"/>
      <c r="DX228" s="734"/>
      <c r="DY228" s="732"/>
      <c r="DZ228" s="734"/>
      <c r="EA228" s="732"/>
      <c r="EB228" s="734"/>
      <c r="EC228" s="732"/>
      <c r="ED228" s="734"/>
      <c r="EE228" s="732"/>
      <c r="EF228" s="734"/>
      <c r="EG228" s="732"/>
      <c r="EH228" s="734"/>
      <c r="EI228" s="732"/>
      <c r="EJ228" s="734"/>
      <c r="EK228" s="732"/>
      <c r="EL228" s="734"/>
      <c r="EM228" s="732"/>
      <c r="EN228" s="734"/>
      <c r="EO228" s="732"/>
      <c r="EP228" s="734"/>
      <c r="EQ228" s="732"/>
      <c r="ER228" s="734"/>
      <c r="ES228" s="732"/>
      <c r="ET228" s="734"/>
      <c r="EU228" s="733"/>
      <c r="EV228" s="710"/>
    </row>
    <row r="229" spans="1:152" ht="12.75" hidden="1" customHeight="1" outlineLevel="1" x14ac:dyDescent="0.2">
      <c r="A229" s="712" t="str">
        <f>A$3</f>
        <v>($Millions Except Per Share Data)</v>
      </c>
      <c r="B229" s="736"/>
      <c r="C229" s="737" t="str">
        <f>C$3</f>
        <v>1Q06/</v>
      </c>
      <c r="D229" s="736"/>
      <c r="E229" s="737" t="str">
        <f>E$3</f>
        <v>2Q06/</v>
      </c>
      <c r="F229" s="736"/>
      <c r="G229" s="737" t="str">
        <f>G$3</f>
        <v>3Q06/</v>
      </c>
      <c r="H229" s="736"/>
      <c r="I229" s="738" t="str">
        <f>I$3</f>
        <v>4Q06/</v>
      </c>
      <c r="J229" s="736"/>
      <c r="K229" s="738" t="str">
        <f>K$3</f>
        <v>1Q07/</v>
      </c>
      <c r="L229" s="736"/>
      <c r="M229" s="738" t="str">
        <f>M$3</f>
        <v>2Q07/</v>
      </c>
      <c r="N229" s="736"/>
      <c r="O229" s="738" t="str">
        <f>O$3</f>
        <v>3Q07/</v>
      </c>
      <c r="P229" s="736"/>
      <c r="Q229" s="738" t="str">
        <f>Q$3</f>
        <v>4Q07/</v>
      </c>
      <c r="R229" s="736"/>
      <c r="S229" s="738" t="str">
        <f>S$3</f>
        <v>1Q08/</v>
      </c>
      <c r="T229" s="736"/>
      <c r="U229" s="738" t="str">
        <f>U$3</f>
        <v>2Q08/</v>
      </c>
      <c r="V229" s="736"/>
      <c r="W229" s="738" t="str">
        <f>W$3</f>
        <v>3Q08/</v>
      </c>
      <c r="X229" s="736"/>
      <c r="Y229" s="738" t="str">
        <f>Y$3</f>
        <v>4Q08/</v>
      </c>
      <c r="Z229" s="736"/>
      <c r="AA229" s="738" t="str">
        <f>AA$3</f>
        <v>1Q09/</v>
      </c>
      <c r="AB229" s="736"/>
      <c r="AC229" s="738" t="str">
        <f>AC$3</f>
        <v>2Q09/</v>
      </c>
      <c r="AD229" s="736"/>
      <c r="AE229" s="738" t="str">
        <f>AE$3</f>
        <v>3Q09/</v>
      </c>
      <c r="AF229" s="736"/>
      <c r="AG229" s="738" t="str">
        <f>AG$3</f>
        <v>4Q09/</v>
      </c>
      <c r="AH229" s="736"/>
      <c r="AI229" s="738" t="str">
        <f>AI$3</f>
        <v>1Q10/</v>
      </c>
      <c r="AJ229" s="736"/>
      <c r="AK229" s="738" t="str">
        <f>AK$3</f>
        <v>2Q10/</v>
      </c>
      <c r="AL229" s="736"/>
      <c r="AM229" s="738" t="str">
        <f>AM$3</f>
        <v>3Q10/</v>
      </c>
      <c r="AN229" s="736"/>
      <c r="AO229" s="738">
        <f>AO$3</f>
        <v>0</v>
      </c>
      <c r="AP229" s="736"/>
      <c r="AQ229" s="738" t="str">
        <f>AQ$3</f>
        <v>1Q11/</v>
      </c>
      <c r="AR229" s="736"/>
      <c r="AS229" s="738" t="str">
        <f>AS$3</f>
        <v>2Q11/</v>
      </c>
      <c r="AT229" s="736"/>
      <c r="AU229" s="738" t="str">
        <f>AU$3</f>
        <v>3Q11/</v>
      </c>
      <c r="AV229" s="736"/>
      <c r="AW229" s="738" t="str">
        <f>AW$3</f>
        <v>4Q11/</v>
      </c>
      <c r="AX229" s="736"/>
      <c r="AY229" s="738" t="str">
        <f>AY$3</f>
        <v>1Q12/</v>
      </c>
      <c r="AZ229" s="736"/>
      <c r="BA229" s="738" t="str">
        <f>BA$3</f>
        <v>2Q12/</v>
      </c>
      <c r="BB229" s="736"/>
      <c r="BC229" s="738" t="str">
        <f>BC$3</f>
        <v>3Q12/</v>
      </c>
      <c r="BD229" s="736"/>
      <c r="BE229" s="738" t="str">
        <f>BE$3</f>
        <v>4Q12/</v>
      </c>
      <c r="BF229" s="736"/>
      <c r="BG229" s="738" t="str">
        <f>BG$3</f>
        <v>1Q13/</v>
      </c>
      <c r="BH229" s="736"/>
      <c r="BI229" s="738" t="str">
        <f>BI$3</f>
        <v>2Q13/</v>
      </c>
      <c r="BJ229" s="736"/>
      <c r="BK229" s="738" t="str">
        <f>BK$3</f>
        <v>3Q13/</v>
      </c>
      <c r="BL229" s="736"/>
      <c r="BM229" s="738" t="str">
        <f>BM$3</f>
        <v>4Q13/</v>
      </c>
      <c r="BN229" s="736"/>
      <c r="BO229" s="738" t="str">
        <f>BO$3</f>
        <v>1Q14/</v>
      </c>
      <c r="BP229" s="736"/>
      <c r="BQ229" s="738" t="str">
        <f>BQ$3</f>
        <v>2Q14/</v>
      </c>
      <c r="BR229" s="736"/>
      <c r="BS229" s="738" t="str">
        <f>BS$3</f>
        <v>3Q14/</v>
      </c>
      <c r="BT229" s="736"/>
      <c r="BU229" s="738" t="str">
        <f>BU$3</f>
        <v>4Q14/</v>
      </c>
      <c r="BV229" s="736"/>
      <c r="BW229" s="738" t="str">
        <f>BW$3</f>
        <v>1Q15/</v>
      </c>
      <c r="BX229" s="736"/>
      <c r="BY229" s="738" t="str">
        <f>BY$3</f>
        <v>2Q15/</v>
      </c>
      <c r="BZ229" s="736"/>
      <c r="CA229" s="738" t="str">
        <f>CA$3</f>
        <v>3Q15/</v>
      </c>
      <c r="CB229" s="736"/>
      <c r="CC229" s="738" t="str">
        <f>CC$3</f>
        <v>4Q15/</v>
      </c>
      <c r="CD229" s="736"/>
      <c r="CE229" s="738" t="str">
        <f>CE$3</f>
        <v>1Q16/</v>
      </c>
      <c r="CF229" s="736"/>
      <c r="CG229" s="738" t="str">
        <f>CG$3</f>
        <v>2Q16/</v>
      </c>
      <c r="CH229" s="736"/>
      <c r="CI229" s="738" t="str">
        <f>CI$3</f>
        <v>3Q16/</v>
      </c>
      <c r="CJ229" s="736"/>
      <c r="CK229" s="738" t="str">
        <f>CK$3</f>
        <v>4Q16/</v>
      </c>
      <c r="CL229" s="736"/>
      <c r="CM229" s="738" t="str">
        <f t="shared" ref="CM229" si="265">CM$3</f>
        <v>1Q17/</v>
      </c>
      <c r="CN229" s="736"/>
      <c r="CO229" s="738" t="str">
        <f t="shared" ref="CO229" si="266">CO$3</f>
        <v>2Q17/</v>
      </c>
      <c r="CP229" s="736"/>
      <c r="CQ229" s="738" t="str">
        <f t="shared" ref="CQ229:CS229" si="267">CQ$3</f>
        <v>3Q17/</v>
      </c>
      <c r="CR229" s="736"/>
      <c r="CS229" s="738" t="str">
        <f t="shared" si="267"/>
        <v>4Q17/</v>
      </c>
      <c r="CT229" s="736"/>
      <c r="CU229" s="738" t="str">
        <f t="shared" ref="CU229" si="268">CU$3</f>
        <v>1Q18E/</v>
      </c>
      <c r="CV229" s="736"/>
      <c r="CW229" s="738" t="str">
        <f t="shared" ref="CW229" si="269">CW$3</f>
        <v>2Q18E/</v>
      </c>
      <c r="CX229" s="736"/>
      <c r="CY229" s="738" t="str">
        <f t="shared" ref="CY229:DA229" si="270">CY$3</f>
        <v>3Q18E/</v>
      </c>
      <c r="CZ229" s="736"/>
      <c r="DA229" s="738" t="str">
        <f t="shared" si="270"/>
        <v>4Q18E/</v>
      </c>
      <c r="DB229" s="739"/>
      <c r="DC229" s="736"/>
      <c r="DD229" s="737" t="str">
        <f>DD$3</f>
        <v>2001/</v>
      </c>
      <c r="DE229" s="736"/>
      <c r="DF229" s="737" t="str">
        <f>DF$3</f>
        <v>2002/</v>
      </c>
      <c r="DG229" s="736"/>
      <c r="DH229" s="737" t="str">
        <f>DH$3</f>
        <v>2003/</v>
      </c>
      <c r="DI229" s="736"/>
      <c r="DJ229" s="737" t="str">
        <f>DJ$3</f>
        <v>2004/</v>
      </c>
      <c r="DK229" s="736"/>
      <c r="DL229" s="738" t="str">
        <f>DL$3</f>
        <v>2005/</v>
      </c>
      <c r="DM229" s="736"/>
      <c r="DN229" s="738" t="str">
        <f>DN$3</f>
        <v>2006/</v>
      </c>
      <c r="DO229" s="736"/>
      <c r="DP229" s="738" t="str">
        <f>DP$3</f>
        <v>2007/</v>
      </c>
      <c r="DQ229" s="736"/>
      <c r="DR229" s="738" t="str">
        <f>DR$3</f>
        <v>2008/</v>
      </c>
      <c r="DS229" s="736"/>
      <c r="DT229" s="738" t="str">
        <f>DT$3</f>
        <v>2009/</v>
      </c>
      <c r="DU229" s="736"/>
      <c r="DV229" s="738" t="str">
        <f>DV$3</f>
        <v>2010/</v>
      </c>
      <c r="DW229" s="736"/>
      <c r="DX229" s="738" t="str">
        <f>DX$3</f>
        <v>2011/</v>
      </c>
      <c r="DY229" s="736"/>
      <c r="DZ229" s="738" t="str">
        <f>DZ$3</f>
        <v>2012/</v>
      </c>
      <c r="EA229" s="736"/>
      <c r="EB229" s="738" t="str">
        <f>EB$3</f>
        <v>2013/</v>
      </c>
      <c r="EC229" s="736"/>
      <c r="ED229" s="738" t="str">
        <f>ED$3</f>
        <v>2014/</v>
      </c>
      <c r="EE229" s="736"/>
      <c r="EF229" s="738" t="str">
        <f>EF$3</f>
        <v>2015/</v>
      </c>
      <c r="EG229" s="736"/>
      <c r="EH229" s="738" t="str">
        <f>EH$3</f>
        <v>2016/</v>
      </c>
      <c r="EI229" s="736"/>
      <c r="EJ229" s="738" t="str">
        <f>EJ$3</f>
        <v>2017/</v>
      </c>
      <c r="EK229" s="736"/>
      <c r="EL229" s="738" t="str">
        <f>EL$3</f>
        <v>2018E/</v>
      </c>
      <c r="EM229" s="736"/>
      <c r="EN229" s="738" t="str">
        <f>EN$3</f>
        <v>2019E/</v>
      </c>
      <c r="EO229" s="736"/>
      <c r="EP229" s="738" t="str">
        <f>EP$3</f>
        <v>2020E/</v>
      </c>
      <c r="EQ229" s="736"/>
      <c r="ER229" s="738" t="str">
        <f>ER$3</f>
        <v>2021E/</v>
      </c>
      <c r="ES229" s="736"/>
      <c r="ET229" s="738" t="str">
        <f>ET$3</f>
        <v>2022E/</v>
      </c>
      <c r="EU229" s="737"/>
      <c r="EV229" s="710"/>
    </row>
    <row r="230" spans="1:152" ht="12.75" hidden="1" customHeight="1" outlineLevel="1" x14ac:dyDescent="0.2">
      <c r="A230" s="740"/>
      <c r="B230" s="732"/>
      <c r="C230" s="741" t="str">
        <f>C$4</f>
        <v>1Q05</v>
      </c>
      <c r="D230" s="732"/>
      <c r="E230" s="741" t="str">
        <f>E$4</f>
        <v>2Q05</v>
      </c>
      <c r="F230" s="732"/>
      <c r="G230" s="741" t="str">
        <f>G$4</f>
        <v>3Q05</v>
      </c>
      <c r="H230" s="732"/>
      <c r="I230" s="734" t="str">
        <f>I$4</f>
        <v>4Q05</v>
      </c>
      <c r="J230" s="732"/>
      <c r="K230" s="734" t="str">
        <f>K$4</f>
        <v>1Q06</v>
      </c>
      <c r="L230" s="732"/>
      <c r="M230" s="734" t="str">
        <f>M$4</f>
        <v>2Q06</v>
      </c>
      <c r="N230" s="732"/>
      <c r="O230" s="734" t="str">
        <f>O$4</f>
        <v>3Q06</v>
      </c>
      <c r="P230" s="732"/>
      <c r="Q230" s="734" t="str">
        <f>Q$4</f>
        <v>4Q06</v>
      </c>
      <c r="R230" s="732"/>
      <c r="S230" s="734" t="str">
        <f>S$4</f>
        <v>1Q07</v>
      </c>
      <c r="T230" s="732"/>
      <c r="U230" s="734" t="str">
        <f>U$4</f>
        <v>2Q07</v>
      </c>
      <c r="V230" s="732"/>
      <c r="W230" s="734" t="str">
        <f>W$4</f>
        <v>3Q07</v>
      </c>
      <c r="X230" s="732"/>
      <c r="Y230" s="734" t="str">
        <f>Y$4</f>
        <v>4Q07</v>
      </c>
      <c r="Z230" s="732"/>
      <c r="AA230" s="734" t="str">
        <f>AA$4</f>
        <v>1Q08</v>
      </c>
      <c r="AB230" s="732"/>
      <c r="AC230" s="734" t="str">
        <f>AC$4</f>
        <v>2Q08</v>
      </c>
      <c r="AD230" s="732"/>
      <c r="AE230" s="734" t="str">
        <f>AE$4</f>
        <v>3Q08</v>
      </c>
      <c r="AF230" s="732"/>
      <c r="AG230" s="734" t="str">
        <f>AG$4</f>
        <v>4Q08</v>
      </c>
      <c r="AH230" s="732"/>
      <c r="AI230" s="734" t="str">
        <f>AI$4</f>
        <v>1Q09</v>
      </c>
      <c r="AJ230" s="732"/>
      <c r="AK230" s="734" t="str">
        <f>AK$4</f>
        <v>2Q09</v>
      </c>
      <c r="AL230" s="732"/>
      <c r="AM230" s="734" t="str">
        <f>AM$4</f>
        <v>3Q09</v>
      </c>
      <c r="AN230" s="732"/>
      <c r="AO230" s="734" t="str">
        <f>AO$4</f>
        <v>4Q09</v>
      </c>
      <c r="AP230" s="732"/>
      <c r="AQ230" s="734" t="str">
        <f>AQ$4</f>
        <v>1Q10</v>
      </c>
      <c r="AR230" s="732"/>
      <c r="AS230" s="734" t="str">
        <f>AS$4</f>
        <v>2Q10</v>
      </c>
      <c r="AT230" s="732"/>
      <c r="AU230" s="734" t="str">
        <f>AU$4</f>
        <v>3Q10</v>
      </c>
      <c r="AV230" s="732"/>
      <c r="AW230" s="734" t="str">
        <f>AW$4</f>
        <v>4Q10</v>
      </c>
      <c r="AX230" s="732"/>
      <c r="AY230" s="734" t="str">
        <f>AY$4</f>
        <v>1Q11</v>
      </c>
      <c r="AZ230" s="732"/>
      <c r="BA230" s="734" t="str">
        <f>BA$4</f>
        <v>2Q11</v>
      </c>
      <c r="BB230" s="732"/>
      <c r="BC230" s="734" t="str">
        <f>BC$4</f>
        <v>3Q11</v>
      </c>
      <c r="BD230" s="732"/>
      <c r="BE230" s="734" t="str">
        <f>BE$4</f>
        <v>4Q11</v>
      </c>
      <c r="BF230" s="732"/>
      <c r="BG230" s="734" t="str">
        <f>BG$4</f>
        <v>1Q12</v>
      </c>
      <c r="BH230" s="732"/>
      <c r="BI230" s="734" t="str">
        <f>BI$4</f>
        <v>2Q12</v>
      </c>
      <c r="BJ230" s="732"/>
      <c r="BK230" s="734" t="str">
        <f>BK$4</f>
        <v>3Q12</v>
      </c>
      <c r="BL230" s="732"/>
      <c r="BM230" s="734" t="str">
        <f>BM$4</f>
        <v>4Q12</v>
      </c>
      <c r="BN230" s="732"/>
      <c r="BO230" s="734" t="str">
        <f>BO$4</f>
        <v>1Q13</v>
      </c>
      <c r="BP230" s="732"/>
      <c r="BQ230" s="734" t="str">
        <f>BQ$4</f>
        <v>2Q13</v>
      </c>
      <c r="BR230" s="732"/>
      <c r="BS230" s="734" t="str">
        <f>BS$4</f>
        <v>3Q13</v>
      </c>
      <c r="BT230" s="732"/>
      <c r="BU230" s="734" t="str">
        <f>BU$4</f>
        <v>4Q13</v>
      </c>
      <c r="BV230" s="732"/>
      <c r="BW230" s="734" t="str">
        <f>BW$4</f>
        <v>1Q14</v>
      </c>
      <c r="BX230" s="732"/>
      <c r="BY230" s="734" t="str">
        <f>BY$4</f>
        <v>2Q14</v>
      </c>
      <c r="BZ230" s="732"/>
      <c r="CA230" s="734" t="str">
        <f>CA$4</f>
        <v>3Q14</v>
      </c>
      <c r="CB230" s="732"/>
      <c r="CC230" s="734" t="str">
        <f>CC$4</f>
        <v>4Q14</v>
      </c>
      <c r="CD230" s="732"/>
      <c r="CE230" s="734" t="str">
        <f>CE$4</f>
        <v>1Q15</v>
      </c>
      <c r="CF230" s="732"/>
      <c r="CG230" s="734" t="str">
        <f>CG$4</f>
        <v>2Q15</v>
      </c>
      <c r="CH230" s="732"/>
      <c r="CI230" s="734" t="str">
        <f>CI$4</f>
        <v>3Q15</v>
      </c>
      <c r="CJ230" s="732"/>
      <c r="CK230" s="734" t="str">
        <f>CK$4</f>
        <v>4Q15</v>
      </c>
      <c r="CL230" s="732"/>
      <c r="CM230" s="734" t="str">
        <f t="shared" ref="CM230" si="271">CM$4</f>
        <v>1Q16</v>
      </c>
      <c r="CN230" s="732"/>
      <c r="CO230" s="734" t="str">
        <f t="shared" ref="CO230" si="272">CO$4</f>
        <v>2Q16</v>
      </c>
      <c r="CP230" s="732"/>
      <c r="CQ230" s="734" t="str">
        <f t="shared" ref="CQ230:CS230" si="273">CQ$4</f>
        <v>3Q16</v>
      </c>
      <c r="CR230" s="732"/>
      <c r="CS230" s="734" t="str">
        <f t="shared" si="273"/>
        <v>4Q16</v>
      </c>
      <c r="CT230" s="732"/>
      <c r="CU230" s="734" t="str">
        <f t="shared" ref="CU230" si="274">CU$4</f>
        <v>1Q17</v>
      </c>
      <c r="CV230" s="732"/>
      <c r="CW230" s="734" t="str">
        <f t="shared" ref="CW230" si="275">CW$4</f>
        <v>2Q17</v>
      </c>
      <c r="CX230" s="732"/>
      <c r="CY230" s="734" t="str">
        <f t="shared" ref="CY230:DA230" si="276">CY$4</f>
        <v>3Q17</v>
      </c>
      <c r="CZ230" s="732"/>
      <c r="DA230" s="734" t="str">
        <f t="shared" si="276"/>
        <v>4Q17</v>
      </c>
      <c r="DB230" s="742"/>
      <c r="DC230" s="732"/>
      <c r="DD230" s="741" t="str">
        <f>DD$4</f>
        <v>2000</v>
      </c>
      <c r="DE230" s="732"/>
      <c r="DF230" s="741" t="str">
        <f>DF$4</f>
        <v>2001</v>
      </c>
      <c r="DG230" s="732"/>
      <c r="DH230" s="741" t="str">
        <f>DH$4</f>
        <v>2002</v>
      </c>
      <c r="DI230" s="732"/>
      <c r="DJ230" s="741" t="str">
        <f>DJ$4</f>
        <v>2003</v>
      </c>
      <c r="DK230" s="732"/>
      <c r="DL230" s="734" t="str">
        <f>DL$4</f>
        <v>2004</v>
      </c>
      <c r="DM230" s="732"/>
      <c r="DN230" s="734" t="str">
        <f>DN$4</f>
        <v>2005</v>
      </c>
      <c r="DO230" s="732"/>
      <c r="DP230" s="734">
        <f>DP$4</f>
        <v>2006</v>
      </c>
      <c r="DQ230" s="732"/>
      <c r="DR230" s="734">
        <f>DR$4</f>
        <v>2007</v>
      </c>
      <c r="DS230" s="732"/>
      <c r="DT230" s="734">
        <f>DT$4</f>
        <v>2008</v>
      </c>
      <c r="DU230" s="732"/>
      <c r="DV230" s="734" t="str">
        <f>DV$4</f>
        <v>2009</v>
      </c>
      <c r="DW230" s="732"/>
      <c r="DX230" s="734" t="str">
        <f>DX$4</f>
        <v>2010</v>
      </c>
      <c r="DY230" s="732"/>
      <c r="DZ230" s="734" t="str">
        <f>DZ$4</f>
        <v>2011</v>
      </c>
      <c r="EA230" s="732"/>
      <c r="EB230" s="734" t="str">
        <f>EB$4</f>
        <v>2012</v>
      </c>
      <c r="EC230" s="732"/>
      <c r="ED230" s="734" t="str">
        <f>ED$4</f>
        <v>2013</v>
      </c>
      <c r="EE230" s="732"/>
      <c r="EF230" s="734" t="str">
        <f>EF$4</f>
        <v>2014</v>
      </c>
      <c r="EG230" s="732"/>
      <c r="EH230" s="734" t="str">
        <f>EH$4</f>
        <v>2015</v>
      </c>
      <c r="EI230" s="732"/>
      <c r="EJ230" s="734" t="str">
        <f>EJ$4</f>
        <v>2016</v>
      </c>
      <c r="EK230" s="732"/>
      <c r="EL230" s="734" t="str">
        <f>EL$4</f>
        <v>2017</v>
      </c>
      <c r="EM230" s="732"/>
      <c r="EN230" s="734" t="str">
        <f>EN$4</f>
        <v>2018E</v>
      </c>
      <c r="EO230" s="732"/>
      <c r="EP230" s="734" t="str">
        <f>EP$4</f>
        <v>2019E</v>
      </c>
      <c r="EQ230" s="732"/>
      <c r="ER230" s="734" t="str">
        <f>ER$4</f>
        <v>2020E</v>
      </c>
      <c r="ES230" s="732"/>
      <c r="ET230" s="734" t="str">
        <f>ET$4</f>
        <v>2021E</v>
      </c>
      <c r="EU230" s="741" t="str">
        <f>EU$4</f>
        <v>CAGR</v>
      </c>
      <c r="EV230" s="710"/>
    </row>
    <row r="231" spans="1:152" ht="12.75" hidden="1" customHeight="1" outlineLevel="1" x14ac:dyDescent="0.2">
      <c r="A231" s="743"/>
      <c r="B231" s="744" t="str">
        <f t="shared" ref="B231:CL231" si="277">B$5</f>
        <v>1Q06</v>
      </c>
      <c r="C231" s="745" t="str">
        <f t="shared" si="277"/>
        <v>% Chg</v>
      </c>
      <c r="D231" s="744" t="str">
        <f t="shared" si="277"/>
        <v>2Q06</v>
      </c>
      <c r="E231" s="745" t="str">
        <f t="shared" si="277"/>
        <v>% Chg</v>
      </c>
      <c r="F231" s="744" t="str">
        <f t="shared" si="277"/>
        <v>3Q06</v>
      </c>
      <c r="G231" s="745" t="str">
        <f t="shared" si="277"/>
        <v>% Chg</v>
      </c>
      <c r="H231" s="744" t="str">
        <f t="shared" si="277"/>
        <v>4Q06</v>
      </c>
      <c r="I231" s="746" t="str">
        <f t="shared" si="277"/>
        <v>% Chg</v>
      </c>
      <c r="J231" s="744" t="str">
        <f t="shared" si="277"/>
        <v>1Q07</v>
      </c>
      <c r="K231" s="746" t="str">
        <f t="shared" si="277"/>
        <v>% Chg</v>
      </c>
      <c r="L231" s="744" t="str">
        <f t="shared" si="277"/>
        <v>2Q07</v>
      </c>
      <c r="M231" s="746" t="str">
        <f t="shared" si="277"/>
        <v>% Chg</v>
      </c>
      <c r="N231" s="744" t="str">
        <f t="shared" si="277"/>
        <v>3Q07</v>
      </c>
      <c r="O231" s="746" t="str">
        <f t="shared" si="277"/>
        <v>% Chg</v>
      </c>
      <c r="P231" s="744" t="str">
        <f t="shared" si="277"/>
        <v>4Q07</v>
      </c>
      <c r="Q231" s="746" t="str">
        <f t="shared" si="277"/>
        <v>% Chg</v>
      </c>
      <c r="R231" s="744" t="str">
        <f t="shared" si="277"/>
        <v>1Q08</v>
      </c>
      <c r="S231" s="746" t="str">
        <f t="shared" si="277"/>
        <v>% Chg</v>
      </c>
      <c r="T231" s="744" t="str">
        <f t="shared" si="277"/>
        <v>2Q08</v>
      </c>
      <c r="U231" s="746" t="str">
        <f t="shared" si="277"/>
        <v>% Chg</v>
      </c>
      <c r="V231" s="744" t="str">
        <f t="shared" si="277"/>
        <v>3Q08</v>
      </c>
      <c r="W231" s="746" t="str">
        <f t="shared" si="277"/>
        <v>% Chg</v>
      </c>
      <c r="X231" s="744" t="str">
        <f t="shared" si="277"/>
        <v>4Q08</v>
      </c>
      <c r="Y231" s="746" t="str">
        <f t="shared" si="277"/>
        <v>% Chg</v>
      </c>
      <c r="Z231" s="744" t="str">
        <f t="shared" si="277"/>
        <v>1Q09</v>
      </c>
      <c r="AA231" s="746" t="str">
        <f t="shared" si="277"/>
        <v>% Chg</v>
      </c>
      <c r="AB231" s="744" t="str">
        <f t="shared" si="277"/>
        <v>2Q09</v>
      </c>
      <c r="AC231" s="746" t="str">
        <f t="shared" si="277"/>
        <v>% Chg</v>
      </c>
      <c r="AD231" s="744" t="str">
        <f t="shared" si="277"/>
        <v>3Q09</v>
      </c>
      <c r="AE231" s="746" t="str">
        <f t="shared" si="277"/>
        <v>% Chg</v>
      </c>
      <c r="AF231" s="744" t="str">
        <f t="shared" si="277"/>
        <v>4Q09</v>
      </c>
      <c r="AG231" s="746" t="str">
        <f t="shared" si="277"/>
        <v>% Chg</v>
      </c>
      <c r="AH231" s="744" t="str">
        <f t="shared" si="277"/>
        <v>1Q10</v>
      </c>
      <c r="AI231" s="746" t="str">
        <f t="shared" si="277"/>
        <v>% Chg</v>
      </c>
      <c r="AJ231" s="744" t="str">
        <f t="shared" si="277"/>
        <v>2Q10</v>
      </c>
      <c r="AK231" s="746" t="str">
        <f t="shared" si="277"/>
        <v>% Chg</v>
      </c>
      <c r="AL231" s="744" t="str">
        <f t="shared" si="277"/>
        <v>3Q10</v>
      </c>
      <c r="AM231" s="746" t="str">
        <f t="shared" si="277"/>
        <v>% Chg</v>
      </c>
      <c r="AN231" s="744" t="str">
        <f t="shared" si="277"/>
        <v>4Q10</v>
      </c>
      <c r="AO231" s="746" t="str">
        <f t="shared" si="277"/>
        <v>% Chg</v>
      </c>
      <c r="AP231" s="744" t="str">
        <f t="shared" si="277"/>
        <v>1Q11</v>
      </c>
      <c r="AQ231" s="746" t="str">
        <f t="shared" si="277"/>
        <v>% Chg</v>
      </c>
      <c r="AR231" s="744" t="str">
        <f t="shared" si="277"/>
        <v>2Q11</v>
      </c>
      <c r="AS231" s="746" t="str">
        <f t="shared" si="277"/>
        <v>% Chg</v>
      </c>
      <c r="AT231" s="744" t="str">
        <f t="shared" si="277"/>
        <v>3Q11</v>
      </c>
      <c r="AU231" s="746" t="str">
        <f t="shared" si="277"/>
        <v>% Chg</v>
      </c>
      <c r="AV231" s="744" t="str">
        <f t="shared" si="277"/>
        <v>4Q11</v>
      </c>
      <c r="AW231" s="746" t="str">
        <f t="shared" si="277"/>
        <v>% Chg</v>
      </c>
      <c r="AX231" s="744" t="str">
        <f t="shared" si="277"/>
        <v>1Q12</v>
      </c>
      <c r="AY231" s="746" t="str">
        <f t="shared" si="277"/>
        <v>% Chg</v>
      </c>
      <c r="AZ231" s="744" t="str">
        <f t="shared" si="277"/>
        <v>2Q12</v>
      </c>
      <c r="BA231" s="746" t="str">
        <f t="shared" si="277"/>
        <v>% Chg</v>
      </c>
      <c r="BB231" s="744" t="str">
        <f t="shared" si="277"/>
        <v>3Q12</v>
      </c>
      <c r="BC231" s="746" t="str">
        <f t="shared" si="277"/>
        <v>% Chg</v>
      </c>
      <c r="BD231" s="744" t="str">
        <f t="shared" si="277"/>
        <v>4Q12</v>
      </c>
      <c r="BE231" s="746" t="str">
        <f t="shared" si="277"/>
        <v>% Chg</v>
      </c>
      <c r="BF231" s="744" t="str">
        <f t="shared" si="277"/>
        <v>1Q13</v>
      </c>
      <c r="BG231" s="746" t="str">
        <f t="shared" si="277"/>
        <v>% Chg</v>
      </c>
      <c r="BH231" s="744" t="str">
        <f t="shared" si="277"/>
        <v>2Q13</v>
      </c>
      <c r="BI231" s="746" t="str">
        <f t="shared" si="277"/>
        <v>% Chg</v>
      </c>
      <c r="BJ231" s="744" t="str">
        <f t="shared" si="277"/>
        <v>3Q13</v>
      </c>
      <c r="BK231" s="746" t="str">
        <f t="shared" si="277"/>
        <v>% Chg</v>
      </c>
      <c r="BL231" s="744" t="str">
        <f t="shared" si="277"/>
        <v>4Q13</v>
      </c>
      <c r="BM231" s="746" t="str">
        <f t="shared" si="277"/>
        <v>% Chg</v>
      </c>
      <c r="BN231" s="744" t="str">
        <f t="shared" si="277"/>
        <v>1Q14</v>
      </c>
      <c r="BO231" s="746" t="str">
        <f>BO$5</f>
        <v>% Chg</v>
      </c>
      <c r="BP231" s="744" t="str">
        <f t="shared" si="277"/>
        <v>2Q14</v>
      </c>
      <c r="BQ231" s="746" t="str">
        <f>BQ$5</f>
        <v>% Chg</v>
      </c>
      <c r="BR231" s="744" t="str">
        <f t="shared" si="277"/>
        <v>3Q14</v>
      </c>
      <c r="BS231" s="746" t="str">
        <f>BS$5</f>
        <v>% Chg</v>
      </c>
      <c r="BT231" s="744" t="str">
        <f t="shared" si="277"/>
        <v>4Q14</v>
      </c>
      <c r="BU231" s="746" t="str">
        <f>BU$5</f>
        <v>% Chg</v>
      </c>
      <c r="BV231" s="744" t="str">
        <f t="shared" si="277"/>
        <v>1Q15</v>
      </c>
      <c r="BW231" s="746" t="str">
        <f>BW$5</f>
        <v>% Chg</v>
      </c>
      <c r="BX231" s="744" t="str">
        <f t="shared" si="277"/>
        <v>2Q15</v>
      </c>
      <c r="BY231" s="746" t="str">
        <f>BY$5</f>
        <v>% Chg</v>
      </c>
      <c r="BZ231" s="744" t="str">
        <f t="shared" si="277"/>
        <v>3Q15</v>
      </c>
      <c r="CA231" s="746" t="str">
        <f>CA$5</f>
        <v>% Chg</v>
      </c>
      <c r="CB231" s="744" t="str">
        <f t="shared" si="277"/>
        <v>4Q15</v>
      </c>
      <c r="CC231" s="746" t="str">
        <f>CC$5</f>
        <v>% Chg</v>
      </c>
      <c r="CD231" s="744" t="str">
        <f t="shared" si="277"/>
        <v>1Q16</v>
      </c>
      <c r="CE231" s="746" t="str">
        <f>CE$5</f>
        <v>% Chg</v>
      </c>
      <c r="CF231" s="744" t="str">
        <f t="shared" si="277"/>
        <v>2Q16</v>
      </c>
      <c r="CG231" s="746" t="str">
        <f>CG$5</f>
        <v>% Chg</v>
      </c>
      <c r="CH231" s="744" t="str">
        <f t="shared" si="277"/>
        <v>3Q16</v>
      </c>
      <c r="CI231" s="746" t="str">
        <f>CI$5</f>
        <v>% Chg</v>
      </c>
      <c r="CJ231" s="744" t="str">
        <f t="shared" si="277"/>
        <v>4Q16</v>
      </c>
      <c r="CK231" s="746" t="str">
        <f>CK$5</f>
        <v>% Chg</v>
      </c>
      <c r="CL231" s="744" t="str">
        <f t="shared" si="277"/>
        <v>1Q17</v>
      </c>
      <c r="CM231" s="746" t="str">
        <f t="shared" ref="CM231:DA231" si="278">CM$5</f>
        <v>% Chg</v>
      </c>
      <c r="CN231" s="744" t="str">
        <f t="shared" si="278"/>
        <v>2Q17</v>
      </c>
      <c r="CO231" s="746" t="str">
        <f t="shared" si="278"/>
        <v>% Chg</v>
      </c>
      <c r="CP231" s="744" t="str">
        <f t="shared" si="278"/>
        <v>3Q17</v>
      </c>
      <c r="CQ231" s="746" t="str">
        <f t="shared" si="278"/>
        <v>% Chg</v>
      </c>
      <c r="CR231" s="744" t="str">
        <f t="shared" si="278"/>
        <v>4Q17</v>
      </c>
      <c r="CS231" s="746" t="str">
        <f t="shared" si="278"/>
        <v>% Chg</v>
      </c>
      <c r="CT231" s="744" t="str">
        <f t="shared" si="278"/>
        <v>1Q18E</v>
      </c>
      <c r="CU231" s="746" t="str">
        <f t="shared" si="278"/>
        <v>% Chg</v>
      </c>
      <c r="CV231" s="744" t="str">
        <f t="shared" si="278"/>
        <v>2Q18E</v>
      </c>
      <c r="CW231" s="746" t="str">
        <f t="shared" si="278"/>
        <v>% Chg</v>
      </c>
      <c r="CX231" s="744" t="str">
        <f t="shared" si="278"/>
        <v>3Q18E</v>
      </c>
      <c r="CY231" s="746" t="str">
        <f t="shared" si="278"/>
        <v>% Chg</v>
      </c>
      <c r="CZ231" s="744" t="str">
        <f t="shared" si="278"/>
        <v>4Q18E</v>
      </c>
      <c r="DA231" s="746" t="str">
        <f t="shared" si="278"/>
        <v>% Chg</v>
      </c>
      <c r="DB231" s="747"/>
      <c r="DC231" s="744" t="str">
        <f t="shared" ref="DC231:ET231" si="279">DC$5</f>
        <v>2001</v>
      </c>
      <c r="DD231" s="745" t="str">
        <f t="shared" si="279"/>
        <v>% Chg</v>
      </c>
      <c r="DE231" s="744" t="str">
        <f t="shared" si="279"/>
        <v>2002</v>
      </c>
      <c r="DF231" s="745" t="str">
        <f t="shared" si="279"/>
        <v>% Chg</v>
      </c>
      <c r="DG231" s="744" t="str">
        <f t="shared" si="279"/>
        <v>2003</v>
      </c>
      <c r="DH231" s="745" t="str">
        <f t="shared" si="279"/>
        <v>% Chg</v>
      </c>
      <c r="DI231" s="744" t="str">
        <f t="shared" si="279"/>
        <v>2004</v>
      </c>
      <c r="DJ231" s="745" t="str">
        <f t="shared" si="279"/>
        <v>% Chg</v>
      </c>
      <c r="DK231" s="744" t="str">
        <f t="shared" si="279"/>
        <v>2005</v>
      </c>
      <c r="DL231" s="746" t="str">
        <f t="shared" si="279"/>
        <v>% Chg</v>
      </c>
      <c r="DM231" s="748">
        <f t="shared" si="279"/>
        <v>2006</v>
      </c>
      <c r="DN231" s="746" t="str">
        <f t="shared" si="279"/>
        <v>% Chg</v>
      </c>
      <c r="DO231" s="748">
        <f t="shared" si="279"/>
        <v>2007</v>
      </c>
      <c r="DP231" s="746" t="str">
        <f t="shared" si="279"/>
        <v>% Chg</v>
      </c>
      <c r="DQ231" s="748">
        <f t="shared" si="279"/>
        <v>2008</v>
      </c>
      <c r="DR231" s="746" t="str">
        <f t="shared" si="279"/>
        <v>% Chg</v>
      </c>
      <c r="DS231" s="744" t="str">
        <f t="shared" si="279"/>
        <v>2009</v>
      </c>
      <c r="DT231" s="746" t="str">
        <f t="shared" si="279"/>
        <v>% Chg</v>
      </c>
      <c r="DU231" s="744" t="str">
        <f t="shared" si="279"/>
        <v>2010</v>
      </c>
      <c r="DV231" s="746" t="str">
        <f t="shared" si="279"/>
        <v>% Chg</v>
      </c>
      <c r="DW231" s="744" t="str">
        <f t="shared" si="279"/>
        <v>2011</v>
      </c>
      <c r="DX231" s="746" t="str">
        <f t="shared" si="279"/>
        <v>% Chg</v>
      </c>
      <c r="DY231" s="744" t="str">
        <f t="shared" si="279"/>
        <v>2012</v>
      </c>
      <c r="DZ231" s="746" t="str">
        <f t="shared" si="279"/>
        <v>% Chg</v>
      </c>
      <c r="EA231" s="744" t="str">
        <f t="shared" si="279"/>
        <v>2013</v>
      </c>
      <c r="EB231" s="746" t="str">
        <f t="shared" si="279"/>
        <v>% Chg</v>
      </c>
      <c r="EC231" s="744" t="str">
        <f t="shared" si="279"/>
        <v>2014</v>
      </c>
      <c r="ED231" s="746" t="str">
        <f t="shared" si="279"/>
        <v>% Chg</v>
      </c>
      <c r="EE231" s="744" t="str">
        <f t="shared" si="279"/>
        <v>2015</v>
      </c>
      <c r="EF231" s="746" t="str">
        <f t="shared" si="279"/>
        <v>% Chg</v>
      </c>
      <c r="EG231" s="744" t="str">
        <f t="shared" si="279"/>
        <v>2016</v>
      </c>
      <c r="EH231" s="746" t="str">
        <f t="shared" si="279"/>
        <v>% Chg</v>
      </c>
      <c r="EI231" s="744" t="str">
        <f t="shared" si="279"/>
        <v>2017</v>
      </c>
      <c r="EJ231" s="746" t="str">
        <f t="shared" si="279"/>
        <v>% Chg</v>
      </c>
      <c r="EK231" s="744" t="str">
        <f t="shared" si="279"/>
        <v>2018E</v>
      </c>
      <c r="EL231" s="746" t="str">
        <f t="shared" si="279"/>
        <v>% Chg</v>
      </c>
      <c r="EM231" s="744" t="str">
        <f t="shared" si="279"/>
        <v>2019E</v>
      </c>
      <c r="EN231" s="746" t="str">
        <f t="shared" si="279"/>
        <v>% Chg</v>
      </c>
      <c r="EO231" s="744" t="str">
        <f t="shared" si="279"/>
        <v>2020E</v>
      </c>
      <c r="EP231" s="746" t="str">
        <f t="shared" si="279"/>
        <v>% Chg</v>
      </c>
      <c r="EQ231" s="744" t="str">
        <f t="shared" si="279"/>
        <v>2021E</v>
      </c>
      <c r="ER231" s="746" t="str">
        <f t="shared" si="279"/>
        <v>% Chg</v>
      </c>
      <c r="ES231" s="744" t="str">
        <f t="shared" si="279"/>
        <v>2022E</v>
      </c>
      <c r="ET231" s="746" t="str">
        <f t="shared" si="279"/>
        <v>% Chg</v>
      </c>
      <c r="EU231" s="745" t="str">
        <f>EU$5</f>
        <v>(%)</v>
      </c>
      <c r="EV231" s="710"/>
    </row>
    <row r="232" spans="1:152" ht="12.75" hidden="1" customHeight="1" outlineLevel="1" x14ac:dyDescent="0.2">
      <c r="A232" s="749"/>
      <c r="B232" s="750"/>
      <c r="C232" s="767"/>
      <c r="D232" s="750"/>
      <c r="E232" s="767"/>
      <c r="F232" s="750"/>
      <c r="G232" s="767"/>
      <c r="H232" s="750"/>
      <c r="I232" s="752"/>
      <c r="J232" s="750"/>
      <c r="K232" s="752"/>
      <c r="L232" s="750"/>
      <c r="M232" s="752"/>
      <c r="N232" s="750"/>
      <c r="O232" s="752"/>
      <c r="P232" s="750"/>
      <c r="Q232" s="752"/>
      <c r="R232" s="750"/>
      <c r="S232" s="752"/>
      <c r="T232" s="750"/>
      <c r="U232" s="752"/>
      <c r="V232" s="750"/>
      <c r="W232" s="752"/>
      <c r="X232" s="750"/>
      <c r="Y232" s="752"/>
      <c r="Z232" s="750"/>
      <c r="AA232" s="752"/>
      <c r="AB232" s="750"/>
      <c r="AC232" s="752"/>
      <c r="AD232" s="750"/>
      <c r="AE232" s="752"/>
      <c r="AF232" s="750"/>
      <c r="AG232" s="752"/>
      <c r="AH232" s="750"/>
      <c r="AI232" s="752"/>
      <c r="AJ232" s="750"/>
      <c r="AK232" s="752"/>
      <c r="AL232" s="750"/>
      <c r="AM232" s="752"/>
      <c r="AN232" s="750"/>
      <c r="AO232" s="752"/>
      <c r="AP232" s="750"/>
      <c r="AQ232" s="752"/>
      <c r="AR232" s="750"/>
      <c r="AS232" s="752"/>
      <c r="AT232" s="750"/>
      <c r="AU232" s="752"/>
      <c r="AV232" s="750"/>
      <c r="AW232" s="752"/>
      <c r="AX232" s="750"/>
      <c r="AY232" s="752"/>
      <c r="AZ232" s="750"/>
      <c r="BA232" s="752"/>
      <c r="BB232" s="750"/>
      <c r="BC232" s="752"/>
      <c r="BD232" s="750"/>
      <c r="BE232" s="752"/>
      <c r="BF232" s="750"/>
      <c r="BG232" s="752"/>
      <c r="BH232" s="750"/>
      <c r="BI232" s="752"/>
      <c r="BJ232" s="750"/>
      <c r="BK232" s="752"/>
      <c r="BL232" s="750"/>
      <c r="BM232" s="752"/>
      <c r="BN232" s="750"/>
      <c r="BO232" s="752"/>
      <c r="BP232" s="750"/>
      <c r="BQ232" s="752"/>
      <c r="BR232" s="750"/>
      <c r="BS232" s="752"/>
      <c r="BT232" s="750"/>
      <c r="BU232" s="752"/>
      <c r="BV232" s="750"/>
      <c r="BW232" s="752"/>
      <c r="BX232" s="750"/>
      <c r="BY232" s="752"/>
      <c r="BZ232" s="750"/>
      <c r="CA232" s="752"/>
      <c r="CB232" s="750"/>
      <c r="CC232" s="752"/>
      <c r="CD232" s="750"/>
      <c r="CE232" s="752"/>
      <c r="CF232" s="750"/>
      <c r="CG232" s="752"/>
      <c r="CH232" s="750"/>
      <c r="CI232" s="752"/>
      <c r="CJ232" s="750"/>
      <c r="CK232" s="752"/>
      <c r="CL232" s="750"/>
      <c r="CM232" s="752"/>
      <c r="CN232" s="750"/>
      <c r="CO232" s="752"/>
      <c r="CP232" s="750"/>
      <c r="CQ232" s="752"/>
      <c r="CR232" s="750"/>
      <c r="CS232" s="752"/>
      <c r="CT232" s="750"/>
      <c r="CU232" s="752"/>
      <c r="CV232" s="750"/>
      <c r="CW232" s="752"/>
      <c r="CX232" s="750"/>
      <c r="CY232" s="752"/>
      <c r="CZ232" s="750"/>
      <c r="DA232" s="752"/>
      <c r="DB232" s="753"/>
      <c r="DC232" s="750"/>
      <c r="DD232" s="767"/>
      <c r="DE232" s="750"/>
      <c r="DF232" s="767"/>
      <c r="DG232" s="750"/>
      <c r="DH232" s="767"/>
      <c r="DI232" s="750"/>
      <c r="DJ232" s="767"/>
      <c r="DK232" s="750"/>
      <c r="DL232" s="752"/>
      <c r="DM232" s="750"/>
      <c r="DN232" s="752"/>
      <c r="DO232" s="750"/>
      <c r="DP232" s="752"/>
      <c r="DQ232" s="750"/>
      <c r="DR232" s="752"/>
      <c r="DS232" s="750"/>
      <c r="DT232" s="752"/>
      <c r="DU232" s="750"/>
      <c r="DV232" s="752"/>
      <c r="DW232" s="750"/>
      <c r="DX232" s="752"/>
      <c r="DY232" s="750"/>
      <c r="DZ232" s="752"/>
      <c r="EA232" s="750"/>
      <c r="EB232" s="752"/>
      <c r="EC232" s="750"/>
      <c r="ED232" s="752"/>
      <c r="EE232" s="750"/>
      <c r="EF232" s="752"/>
      <c r="EG232" s="750"/>
      <c r="EH232" s="752"/>
      <c r="EI232" s="750"/>
      <c r="EJ232" s="752"/>
      <c r="EK232" s="750"/>
      <c r="EL232" s="752"/>
      <c r="EM232" s="750"/>
      <c r="EN232" s="752"/>
      <c r="EO232" s="750"/>
      <c r="EP232" s="752"/>
      <c r="EQ232" s="750"/>
      <c r="ER232" s="752"/>
      <c r="ES232" s="750"/>
      <c r="ET232" s="752"/>
      <c r="EU232" s="767"/>
      <c r="EV232" s="710"/>
    </row>
    <row r="233" spans="1:152" ht="12.75" hidden="1" customHeight="1" outlineLevel="1" x14ac:dyDescent="0.2">
      <c r="A233" s="749" t="s">
        <v>285</v>
      </c>
      <c r="B233" s="750"/>
      <c r="C233" s="767"/>
      <c r="D233" s="750"/>
      <c r="E233" s="767"/>
      <c r="F233" s="750"/>
      <c r="G233" s="767"/>
      <c r="H233" s="750"/>
      <c r="I233" s="752"/>
      <c r="J233" s="750"/>
      <c r="K233" s="752"/>
      <c r="L233" s="750"/>
      <c r="M233" s="752"/>
      <c r="N233" s="750"/>
      <c r="O233" s="752"/>
      <c r="P233" s="750"/>
      <c r="Q233" s="752"/>
      <c r="R233" s="750"/>
      <c r="S233" s="752"/>
      <c r="T233" s="750"/>
      <c r="U233" s="752"/>
      <c r="V233" s="750"/>
      <c r="W233" s="752"/>
      <c r="X233" s="750"/>
      <c r="Y233" s="752"/>
      <c r="Z233" s="750"/>
      <c r="AA233" s="752"/>
      <c r="AB233" s="750"/>
      <c r="AC233" s="752"/>
      <c r="AD233" s="750"/>
      <c r="AE233" s="752"/>
      <c r="AF233" s="750"/>
      <c r="AG233" s="752"/>
      <c r="AH233" s="750"/>
      <c r="AI233" s="752"/>
      <c r="AJ233" s="750"/>
      <c r="AK233" s="752"/>
      <c r="AL233" s="750"/>
      <c r="AM233" s="752"/>
      <c r="AN233" s="750"/>
      <c r="AO233" s="752"/>
      <c r="AP233" s="750"/>
      <c r="AQ233" s="752"/>
      <c r="AR233" s="750"/>
      <c r="AS233" s="752"/>
      <c r="AT233" s="750"/>
      <c r="AU233" s="752"/>
      <c r="AV233" s="750"/>
      <c r="AW233" s="752"/>
      <c r="AX233" s="750"/>
      <c r="AY233" s="752"/>
      <c r="AZ233" s="750"/>
      <c r="BA233" s="752"/>
      <c r="BB233" s="750"/>
      <c r="BC233" s="752"/>
      <c r="BD233" s="750"/>
      <c r="BE233" s="752"/>
      <c r="BF233" s="750"/>
      <c r="BG233" s="752"/>
      <c r="BH233" s="750"/>
      <c r="BI233" s="752"/>
      <c r="BJ233" s="750"/>
      <c r="BK233" s="752"/>
      <c r="BL233" s="750"/>
      <c r="BM233" s="752"/>
      <c r="BN233" s="750"/>
      <c r="BO233" s="752"/>
      <c r="BP233" s="750"/>
      <c r="BQ233" s="752"/>
      <c r="BR233" s="750"/>
      <c r="BS233" s="752"/>
      <c r="BT233" s="750"/>
      <c r="BU233" s="752"/>
      <c r="BV233" s="750"/>
      <c r="BW233" s="752"/>
      <c r="BX233" s="750"/>
      <c r="BY233" s="752"/>
      <c r="BZ233" s="750"/>
      <c r="CA233" s="752"/>
      <c r="CB233" s="750"/>
      <c r="CC233" s="752"/>
      <c r="CD233" s="750"/>
      <c r="CE233" s="752"/>
      <c r="CF233" s="750"/>
      <c r="CG233" s="752"/>
      <c r="CH233" s="750"/>
      <c r="CI233" s="752"/>
      <c r="CJ233" s="750"/>
      <c r="CK233" s="752"/>
      <c r="CL233" s="750"/>
      <c r="CM233" s="752"/>
      <c r="CN233" s="750"/>
      <c r="CO233" s="752"/>
      <c r="CP233" s="750"/>
      <c r="CQ233" s="752"/>
      <c r="CR233" s="750"/>
      <c r="CS233" s="752"/>
      <c r="CT233" s="750"/>
      <c r="CU233" s="752"/>
      <c r="CV233" s="750"/>
      <c r="CW233" s="752"/>
      <c r="CX233" s="750"/>
      <c r="CY233" s="752"/>
      <c r="CZ233" s="750"/>
      <c r="DA233" s="752"/>
      <c r="DB233" s="753"/>
      <c r="DC233" s="750"/>
      <c r="DD233" s="767"/>
      <c r="DE233" s="750"/>
      <c r="DF233" s="767"/>
      <c r="DG233" s="750"/>
      <c r="DH233" s="767"/>
      <c r="DI233" s="750"/>
      <c r="DJ233" s="767"/>
      <c r="DK233" s="750"/>
      <c r="DL233" s="752"/>
      <c r="DM233" s="750"/>
      <c r="DN233" s="752"/>
      <c r="DO233" s="750"/>
      <c r="DP233" s="752"/>
      <c r="DQ233" s="750"/>
      <c r="DR233" s="752"/>
      <c r="DS233" s="750"/>
      <c r="DT233" s="752"/>
      <c r="DU233" s="750"/>
      <c r="DV233" s="752"/>
      <c r="DW233" s="750"/>
      <c r="DX233" s="752"/>
      <c r="DY233" s="750"/>
      <c r="DZ233" s="752"/>
      <c r="EA233" s="750"/>
      <c r="EB233" s="752"/>
      <c r="EC233" s="750"/>
      <c r="ED233" s="752"/>
      <c r="EE233" s="750"/>
      <c r="EF233" s="752"/>
      <c r="EG233" s="750"/>
      <c r="EH233" s="752"/>
      <c r="EI233" s="750"/>
      <c r="EJ233" s="752"/>
      <c r="EK233" s="750"/>
      <c r="EL233" s="752"/>
      <c r="EM233" s="750"/>
      <c r="EN233" s="752"/>
      <c r="EO233" s="750"/>
      <c r="EP233" s="752"/>
      <c r="EQ233" s="750"/>
      <c r="ER233" s="752"/>
      <c r="ES233" s="750"/>
      <c r="ET233" s="752"/>
      <c r="EU233" s="767"/>
      <c r="EV233" s="710"/>
    </row>
    <row r="234" spans="1:152" ht="12.75" hidden="1" customHeight="1" outlineLevel="1" x14ac:dyDescent="0.2">
      <c r="A234" s="813" t="str">
        <f>INPUT!B188</f>
        <v>Total Premiums</v>
      </c>
      <c r="B234" s="814">
        <f>INPUT!AS188</f>
        <v>191.4</v>
      </c>
      <c r="C234" s="756">
        <f>INPUT!AT188</f>
        <v>0.73684210526314686</v>
      </c>
      <c r="D234" s="814">
        <f>INPUT!AU188</f>
        <v>200.7</v>
      </c>
      <c r="E234" s="756">
        <f>INPUT!AV188</f>
        <v>3.9357845675815684</v>
      </c>
      <c r="F234" s="814">
        <f>INPUT!AW188</f>
        <v>219.7</v>
      </c>
      <c r="G234" s="756">
        <f>INPUT!AX188</f>
        <v>7.6960784313725439</v>
      </c>
      <c r="H234" s="814">
        <f>INPUT!AY188</f>
        <v>231</v>
      </c>
      <c r="I234" s="752">
        <f>INPUT!AZ188</f>
        <v>16.548940464177608</v>
      </c>
      <c r="J234" s="814">
        <f>INPUT!BA188</f>
        <v>222.3</v>
      </c>
      <c r="K234" s="752">
        <f>INPUT!BB188</f>
        <v>16.144200626959247</v>
      </c>
      <c r="L234" s="814">
        <f>INPUT!BC188</f>
        <v>247</v>
      </c>
      <c r="M234" s="752">
        <f>INPUT!BD188</f>
        <v>23.069257598405592</v>
      </c>
      <c r="N234" s="814">
        <f>INPUT!BE188</f>
        <v>247.6</v>
      </c>
      <c r="O234" s="752">
        <f>INPUT!BF188</f>
        <v>12.699135184342293</v>
      </c>
      <c r="P234" s="814">
        <f>INPUT!BG188</f>
        <v>251.4</v>
      </c>
      <c r="Q234" s="752">
        <f>INPUT!BH188</f>
        <v>8.831168831168835</v>
      </c>
      <c r="R234" s="814">
        <f>INPUT!BI188</f>
        <v>240.6</v>
      </c>
      <c r="S234" s="752">
        <f>INPUT!BJ188</f>
        <v>8.2321187584345488</v>
      </c>
      <c r="T234" s="814">
        <f>INPUT!BK188</f>
        <v>241.7</v>
      </c>
      <c r="U234" s="752">
        <f>INPUT!BL188</f>
        <v>-2.1457489878542568</v>
      </c>
      <c r="V234" s="814">
        <f>INPUT!BM188</f>
        <v>224.7</v>
      </c>
      <c r="W234" s="752">
        <f>INPUT!BN188</f>
        <v>-9.2487883683360259</v>
      </c>
      <c r="X234" s="814">
        <f>INPUT!BO188</f>
        <v>182.3</v>
      </c>
      <c r="Y234" s="752">
        <f>INPUT!BP188</f>
        <v>-27.486077963404931</v>
      </c>
      <c r="Z234" s="814">
        <f>INPUT!BQ188</f>
        <v>163</v>
      </c>
      <c r="AA234" s="752">
        <f>INPUT!BR188</f>
        <v>-32.252701579384869</v>
      </c>
      <c r="AB234" s="814">
        <f>INPUT!BS188</f>
        <v>173.4</v>
      </c>
      <c r="AC234" s="752">
        <f>INPUT!BT188</f>
        <v>-28.258171286719069</v>
      </c>
      <c r="AD234" s="814">
        <f>INPUT!BU188</f>
        <v>169.7</v>
      </c>
      <c r="AE234" s="752">
        <f>INPUT!BV188</f>
        <v>-24.477080551846907</v>
      </c>
      <c r="AF234" s="814">
        <f>INPUT!BW188</f>
        <v>180</v>
      </c>
      <c r="AG234" s="752">
        <f>INPUT!BX188</f>
        <v>-1.2616566099835524</v>
      </c>
      <c r="AH234" s="814">
        <f>INPUT!BY188</f>
        <v>165.8</v>
      </c>
      <c r="AI234" s="752">
        <f>INPUT!BZ188</f>
        <v>1.7177914110429571</v>
      </c>
      <c r="AJ234" s="814">
        <f>INPUT!CA188</f>
        <v>152.9</v>
      </c>
      <c r="AK234" s="752">
        <f>INPUT!CB188</f>
        <v>-11.82237600922722</v>
      </c>
      <c r="AL234" s="814">
        <f>INPUT!CC188</f>
        <v>161.4</v>
      </c>
      <c r="AM234" s="752">
        <f>INPUT!CD188</f>
        <v>-4.890984089569816</v>
      </c>
      <c r="AN234" s="814">
        <f>INPUT!CE188</f>
        <v>170.5</v>
      </c>
      <c r="AO234" s="752">
        <f>INPUT!CF188</f>
        <v>-5.2777777777777812</v>
      </c>
      <c r="AP234" s="814">
        <f>INPUT!CG188</f>
        <v>167.1</v>
      </c>
      <c r="AQ234" s="752">
        <f>INPUT!CH188</f>
        <v>0.78407720144750837</v>
      </c>
      <c r="AR234" s="814">
        <f>INPUT!CI188</f>
        <v>175.8</v>
      </c>
      <c r="AS234" s="752">
        <f>INPUT!CJ188</f>
        <v>14.977109221713537</v>
      </c>
      <c r="AT234" s="814">
        <f>INPUT!CK188</f>
        <v>175.5</v>
      </c>
      <c r="AU234" s="752">
        <f>INPUT!CL188</f>
        <v>8.7360594795538926</v>
      </c>
      <c r="AV234" s="814">
        <f>INPUT!CM188</f>
        <v>169.2</v>
      </c>
      <c r="AW234" s="752">
        <f>INPUT!CN188</f>
        <v>-0.76246334310851038</v>
      </c>
      <c r="AX234" s="814">
        <f>INPUT!CO188</f>
        <v>170.7</v>
      </c>
      <c r="AY234" s="752">
        <f>INPUT!CP188</f>
        <v>2.1543985637342944</v>
      </c>
      <c r="AZ234" s="814">
        <f>INPUT!CQ188</f>
        <v>173.2</v>
      </c>
      <c r="BA234" s="752">
        <f>INPUT!CR188</f>
        <v>-1.4789533560864765</v>
      </c>
      <c r="BB234" s="814">
        <f>INPUT!CS188</f>
        <v>175.2</v>
      </c>
      <c r="BC234" s="752">
        <f>INPUT!CT188</f>
        <v>-0.17094017094018144</v>
      </c>
      <c r="BD234" s="814">
        <f>INPUT!CU188</f>
        <v>175.5</v>
      </c>
      <c r="BE234" s="752">
        <f>INPUT!CV188</f>
        <v>3.7234042553191626</v>
      </c>
      <c r="BF234" s="814">
        <f>INPUT!CW188</f>
        <v>143.80000000000001</v>
      </c>
      <c r="BG234" s="752">
        <f>INPUT!CX188</f>
        <v>-15.758640890451069</v>
      </c>
      <c r="BH234" s="814">
        <f>INPUT!CY188</f>
        <v>137.6</v>
      </c>
      <c r="BI234" s="752">
        <f>INPUT!CZ188</f>
        <v>-20.554272517321014</v>
      </c>
      <c r="BJ234" s="814">
        <f>INPUT!DA188</f>
        <v>137.30000000000001</v>
      </c>
      <c r="BK234" s="752">
        <f>INPUT!DB188</f>
        <v>-21.632420091324189</v>
      </c>
      <c r="BL234" s="814">
        <f>INPUT!DC188</f>
        <v>137.9</v>
      </c>
      <c r="BM234" s="752">
        <f>INPUT!DD188</f>
        <v>-21.424501424501418</v>
      </c>
      <c r="BN234" s="814">
        <f>INPUT!DE188</f>
        <v>151.69999999999999</v>
      </c>
      <c r="BO234" s="752">
        <f>INPUT!DF188</f>
        <v>5.4937413073713248</v>
      </c>
      <c r="BP234" s="814">
        <f>INPUT!DG188</f>
        <v>154</v>
      </c>
      <c r="BQ234" s="752">
        <f>INPUT!DH188</f>
        <v>11.91860465116279</v>
      </c>
      <c r="BR234" s="814">
        <f>INPUT!DI188</f>
        <v>152.6</v>
      </c>
      <c r="BS234" s="752">
        <f>INPUT!DJ188</f>
        <v>11.143481427530944</v>
      </c>
      <c r="BT234" s="814">
        <f>INPUT!DK188</f>
        <v>148.9</v>
      </c>
      <c r="BU234" s="752">
        <f>INPUT!DL188</f>
        <v>7.9767947788252247</v>
      </c>
      <c r="BV234" s="814">
        <f>INPUT!DM188</f>
        <v>139</v>
      </c>
      <c r="BW234" s="752">
        <f>INPUT!DN188</f>
        <v>-8.3717864205669059</v>
      </c>
      <c r="BX234" s="814">
        <f>INPUT!DO188</f>
        <v>142.19999999999999</v>
      </c>
      <c r="BY234" s="752">
        <f>INPUT!DP188</f>
        <v>-7.66233766233767</v>
      </c>
      <c r="BZ234" s="814">
        <f>INPUT!DQ188</f>
        <v>144.6</v>
      </c>
      <c r="CA234" s="752">
        <f>INPUT!DR188</f>
        <v>-5.2424639580602843</v>
      </c>
      <c r="CB234" s="814">
        <f>INPUT!DS188</f>
        <v>150.4</v>
      </c>
      <c r="CC234" s="752">
        <f>INPUT!DT188</f>
        <v>1.0073875083948858</v>
      </c>
      <c r="CD234" s="814">
        <f>INPUT!DU188</f>
        <v>139.30000000000001</v>
      </c>
      <c r="CE234" s="752">
        <f>INPUT!DV188</f>
        <v>0.21582733812950394</v>
      </c>
      <c r="CF234" s="814">
        <f>INPUT!DW188</f>
        <v>140.80000000000001</v>
      </c>
      <c r="CG234" s="752">
        <f>INPUT!DX188</f>
        <v>-0.98452883263008273</v>
      </c>
      <c r="CH234" s="814">
        <f>INPUT!DY188</f>
        <v>127.3</v>
      </c>
      <c r="CI234" s="752">
        <f>INPUT!DZ188</f>
        <v>-11.964038727524207</v>
      </c>
      <c r="CJ234" s="814">
        <f>INPUT!EA188</f>
        <v>121.9</v>
      </c>
      <c r="CK234" s="752">
        <f>INPUT!EB188</f>
        <v>-18.949468085106382</v>
      </c>
      <c r="CL234" s="814">
        <f>INPUT!EC188</f>
        <v>121.3</v>
      </c>
      <c r="CM234" s="752">
        <f>INPUT!ED188</f>
        <v>-12.921751615218957</v>
      </c>
      <c r="CN234" s="814">
        <f>INPUT!EE188</f>
        <v>126.8</v>
      </c>
      <c r="CO234" s="752">
        <f>INPUT!EF188</f>
        <v>-9.9431818181818237</v>
      </c>
      <c r="CP234" s="814">
        <f>INPUT!EG188</f>
        <v>131.5</v>
      </c>
      <c r="CQ234" s="752">
        <f>INPUT!EH188</f>
        <v>3.2992930086410022</v>
      </c>
      <c r="CR234" s="814">
        <f>INPUT!EI188</f>
        <v>133.4</v>
      </c>
      <c r="CS234" s="752">
        <f>INPUT!EJ188</f>
        <v>9.4339622641509422</v>
      </c>
      <c r="CT234" s="814">
        <f>INPUT!EK188</f>
        <v>138.70103277005515</v>
      </c>
      <c r="CU234" s="752">
        <f>INPUT!EL188</f>
        <v>14.345451582897905</v>
      </c>
      <c r="CV234" s="814">
        <f>INPUT!EM188</f>
        <v>140.44647542481462</v>
      </c>
      <c r="CW234" s="752">
        <f>INPUT!EN188</f>
        <v>10.762204593702386</v>
      </c>
      <c r="CX234" s="814">
        <f>INPUT!EO188</f>
        <v>142.41452752833112</v>
      </c>
      <c r="CY234" s="752">
        <f>INPUT!EP188</f>
        <v>8.3000209340920996</v>
      </c>
      <c r="CZ234" s="814">
        <f>INPUT!EQ188</f>
        <v>141.04839827459787</v>
      </c>
      <c r="DA234" s="752">
        <f>INPUT!ER188</f>
        <v>5.7334319899534192</v>
      </c>
      <c r="DB234" s="753"/>
      <c r="DC234" s="814">
        <f>INPUT!FB188</f>
        <v>0</v>
      </c>
      <c r="DD234" s="756">
        <f>INPUT!FC188</f>
        <v>0</v>
      </c>
      <c r="DE234" s="814">
        <f>INPUT!FD188</f>
        <v>313.8</v>
      </c>
      <c r="DF234" s="756" t="str">
        <f>INPUT!FE188</f>
        <v>NA</v>
      </c>
      <c r="DG234" s="814">
        <f>INPUT!FF188</f>
        <v>477</v>
      </c>
      <c r="DH234" s="756">
        <f>INPUT!FG188</f>
        <v>52.007648183556412</v>
      </c>
      <c r="DI234" s="814">
        <f>INPUT!FH188</f>
        <v>659.1</v>
      </c>
      <c r="DJ234" s="756">
        <f>INPUT!FI188</f>
        <v>38.176100628930818</v>
      </c>
      <c r="DK234" s="814">
        <f>INPUT!FJ188</f>
        <v>785.3</v>
      </c>
      <c r="DL234" s="752">
        <f>INPUT!FK188</f>
        <v>19.147322105901978</v>
      </c>
      <c r="DM234" s="814">
        <f>INPUT!FL188</f>
        <v>842.8</v>
      </c>
      <c r="DN234" s="752">
        <f>INPUT!FM188</f>
        <v>7.322042531516626</v>
      </c>
      <c r="DO234" s="814">
        <f>INPUT!FN188</f>
        <v>968.3</v>
      </c>
      <c r="DP234" s="752">
        <f>INPUT!FO188</f>
        <v>14.890840056953024</v>
      </c>
      <c r="DQ234" s="814">
        <f>INPUT!FP188</f>
        <v>889.3</v>
      </c>
      <c r="DR234" s="752">
        <f>INPUT!FQ188</f>
        <v>-8.1586285242177041</v>
      </c>
      <c r="DS234" s="814">
        <f>INPUT!FR188</f>
        <v>686.09999999999991</v>
      </c>
      <c r="DT234" s="752">
        <f>INPUT!FS188</f>
        <v>-22.849432137636349</v>
      </c>
      <c r="DU234" s="814">
        <f>INPUT!FT188</f>
        <v>650.6</v>
      </c>
      <c r="DV234" s="752">
        <f>INPUT!FU188</f>
        <v>-5.1741728610989473</v>
      </c>
      <c r="DW234" s="814">
        <f>INPUT!FV188</f>
        <v>687.59999999999991</v>
      </c>
      <c r="DX234" s="752">
        <f>INPUT!FW188</f>
        <v>5.6870581002151699</v>
      </c>
      <c r="DY234" s="814">
        <f>INPUT!FX188</f>
        <v>694.59999999999991</v>
      </c>
      <c r="DZ234" s="752">
        <f>INPUT!FY188</f>
        <v>1.0180337405468309</v>
      </c>
      <c r="EA234" s="814">
        <f>INPUT!FZ188</f>
        <v>556.6</v>
      </c>
      <c r="EB234" s="752">
        <f>INPUT!GA188</f>
        <v>-19.867549668874162</v>
      </c>
      <c r="EC234" s="814">
        <f>INPUT!GB188</f>
        <v>607.19999999999993</v>
      </c>
      <c r="ED234" s="752">
        <f>INPUT!GC188</f>
        <v>9.0909090909090828</v>
      </c>
      <c r="EE234" s="814">
        <f>INPUT!GD188</f>
        <v>576.19999999999993</v>
      </c>
      <c r="EF234" s="752">
        <f>INPUT!GE188</f>
        <v>-5.1054018445322757</v>
      </c>
      <c r="EG234" s="814">
        <f>INPUT!GF188</f>
        <v>529.30000000000007</v>
      </c>
      <c r="EH234" s="752">
        <f>INPUT!GG188</f>
        <v>-8.1395348837209109</v>
      </c>
      <c r="EI234" s="814">
        <f>INPUT!GH188</f>
        <v>513</v>
      </c>
      <c r="EJ234" s="752">
        <f>INPUT!GI188</f>
        <v>-3.0795390137918099</v>
      </c>
      <c r="EK234" s="814">
        <f>INPUT!GJ188</f>
        <v>562.61043399779874</v>
      </c>
      <c r="EL234" s="752">
        <f>INPUT!GK188</f>
        <v>9.6706499021050227</v>
      </c>
      <c r="EM234" s="814">
        <f>INPUT!GL188</f>
        <v>585.11485135771068</v>
      </c>
      <c r="EN234" s="752">
        <f>INPUT!GM188</f>
        <v>4.0000000000000036</v>
      </c>
      <c r="EO234" s="814">
        <f>INPUT!GN188</f>
        <v>608.51944541201908</v>
      </c>
      <c r="EP234" s="752">
        <f>INPUT!GO188</f>
        <v>4.0000000000000036</v>
      </c>
      <c r="EQ234" s="814">
        <f>INPUT!GP188</f>
        <v>632.86022322849988</v>
      </c>
      <c r="ER234" s="752">
        <f>INPUT!GQ188</f>
        <v>4.0000000000000036</v>
      </c>
      <c r="ES234" s="814">
        <f>INPUT!GR188</f>
        <v>658.17463215763985</v>
      </c>
      <c r="ET234" s="752">
        <f>INPUT!GS188</f>
        <v>4.0000000000000036</v>
      </c>
      <c r="EU234" s="756">
        <f>INPUT!GT188</f>
        <v>5.1101739597718021</v>
      </c>
      <c r="EV234" s="710"/>
    </row>
    <row r="235" spans="1:152" ht="12.75" hidden="1" customHeight="1" outlineLevel="1" x14ac:dyDescent="0.2">
      <c r="A235" s="813" t="str">
        <f>INPUT!B189</f>
        <v>Net Investment Income</v>
      </c>
      <c r="B235" s="814">
        <f>INPUT!AS189</f>
        <v>38</v>
      </c>
      <c r="C235" s="756">
        <f>INPUT!AT189</f>
        <v>0.79575596816976457</v>
      </c>
      <c r="D235" s="814">
        <f>INPUT!AU189</f>
        <v>39.9</v>
      </c>
      <c r="E235" s="756">
        <f>INPUT!AV189</f>
        <v>0.7575757575757569</v>
      </c>
      <c r="F235" s="814">
        <f>INPUT!AW189</f>
        <v>45.8</v>
      </c>
      <c r="G235" s="756">
        <f>INPUT!AX189</f>
        <v>16.836734693877542</v>
      </c>
      <c r="H235" s="814">
        <f>INPUT!AY189</f>
        <v>50.9</v>
      </c>
      <c r="I235" s="752">
        <f>INPUT!AZ189</f>
        <v>35.013262599469485</v>
      </c>
      <c r="J235" s="814">
        <f>INPUT!BA189</f>
        <v>43.099999999999994</v>
      </c>
      <c r="K235" s="752">
        <f>INPUT!BB189</f>
        <v>13.421052631578934</v>
      </c>
      <c r="L235" s="814">
        <f>INPUT!BC189</f>
        <v>46.3</v>
      </c>
      <c r="M235" s="752">
        <f>INPUT!BD189</f>
        <v>16.040100250626566</v>
      </c>
      <c r="N235" s="814">
        <f>INPUT!BE189</f>
        <v>44</v>
      </c>
      <c r="O235" s="752">
        <f>INPUT!BF189</f>
        <v>-3.9301310043668103</v>
      </c>
      <c r="P235" s="814">
        <f>INPUT!BG189</f>
        <v>54</v>
      </c>
      <c r="Q235" s="752">
        <f>INPUT!BH189</f>
        <v>6.0903732809430178</v>
      </c>
      <c r="R235" s="814">
        <f>INPUT!BI189</f>
        <v>42.5</v>
      </c>
      <c r="S235" s="752">
        <f>INPUT!BJ189</f>
        <v>-1.3921113689094988</v>
      </c>
      <c r="T235" s="814">
        <f>INPUT!BK189</f>
        <v>54.9</v>
      </c>
      <c r="U235" s="752">
        <f>INPUT!BL189</f>
        <v>18.574514038876888</v>
      </c>
      <c r="V235" s="814">
        <f>INPUT!BM189</f>
        <v>45.8</v>
      </c>
      <c r="W235" s="752">
        <f>INPUT!BN189</f>
        <v>4.0909090909090784</v>
      </c>
      <c r="X235" s="814">
        <f>INPUT!BO189</f>
        <v>42.1</v>
      </c>
      <c r="Y235" s="752">
        <f>INPUT!BP189</f>
        <v>-22.037037037037031</v>
      </c>
      <c r="Z235" s="814">
        <f>INPUT!BQ189</f>
        <v>26.9</v>
      </c>
      <c r="AA235" s="752">
        <f>INPUT!BR189</f>
        <v>-36.705882352941174</v>
      </c>
      <c r="AB235" s="814">
        <f>INPUT!BS189</f>
        <v>34.299999999999997</v>
      </c>
      <c r="AC235" s="752">
        <f>INPUT!BT189</f>
        <v>-37.522768670309659</v>
      </c>
      <c r="AD235" s="814">
        <f>INPUT!BU189</f>
        <v>22.5</v>
      </c>
      <c r="AE235" s="752" t="str">
        <f>INPUT!BV189</f>
        <v>NM</v>
      </c>
      <c r="AF235" s="814">
        <f>INPUT!BW189</f>
        <v>40.799999999999997</v>
      </c>
      <c r="AG235" s="752">
        <f>INPUT!BX189</f>
        <v>-3.0878859857482288</v>
      </c>
      <c r="AH235" s="814">
        <f>INPUT!BY189</f>
        <v>39.799999999999997</v>
      </c>
      <c r="AI235" s="752">
        <f>INPUT!BZ189</f>
        <v>47.955390334572478</v>
      </c>
      <c r="AJ235" s="814">
        <f>INPUT!CA189</f>
        <v>43.1</v>
      </c>
      <c r="AK235" s="752">
        <f>INPUT!CB189</f>
        <v>25.65597667638486</v>
      </c>
      <c r="AL235" s="814">
        <f>INPUT!CC189</f>
        <v>39</v>
      </c>
      <c r="AM235" s="752">
        <f>INPUT!CD189</f>
        <v>73.333333333333343</v>
      </c>
      <c r="AN235" s="814">
        <f>INPUT!CE189</f>
        <v>48.6</v>
      </c>
      <c r="AO235" s="752">
        <f>INPUT!CF189</f>
        <v>19.11764705882355</v>
      </c>
      <c r="AP235" s="814">
        <f>INPUT!CG189</f>
        <v>44.9</v>
      </c>
      <c r="AQ235" s="752">
        <f>INPUT!CH189</f>
        <v>12.814070351758788</v>
      </c>
      <c r="AR235" s="814">
        <f>INPUT!CI189</f>
        <v>51.1</v>
      </c>
      <c r="AS235" s="752">
        <f>INPUT!CJ189</f>
        <v>18.561484918793504</v>
      </c>
      <c r="AT235" s="814">
        <f>INPUT!CK189</f>
        <v>43.3</v>
      </c>
      <c r="AU235" s="752">
        <f>INPUT!CL189</f>
        <v>11.025641025641008</v>
      </c>
      <c r="AV235" s="814">
        <f>INPUT!CM189</f>
        <v>50.6</v>
      </c>
      <c r="AW235" s="752">
        <f>INPUT!CN189</f>
        <v>4.1152263374485631</v>
      </c>
      <c r="AX235" s="814">
        <f>INPUT!CO189</f>
        <v>36.5</v>
      </c>
      <c r="AY235" s="752">
        <f>INPUT!CP189</f>
        <v>-18.70824053452116</v>
      </c>
      <c r="AZ235" s="814">
        <f>INPUT!CQ189</f>
        <v>49.2</v>
      </c>
      <c r="BA235" s="752">
        <f>INPUT!CR189</f>
        <v>-3.7181996086105618</v>
      </c>
      <c r="BB235" s="814">
        <f>INPUT!CS189</f>
        <v>34.799999999999997</v>
      </c>
      <c r="BC235" s="752">
        <f>INPUT!CT189</f>
        <v>-19.630484988452658</v>
      </c>
      <c r="BD235" s="814">
        <f>INPUT!CU189</f>
        <v>50.3</v>
      </c>
      <c r="BE235" s="752">
        <f>INPUT!CV189</f>
        <v>-0.59288537549407883</v>
      </c>
      <c r="BF235" s="814">
        <f>INPUT!CW189</f>
        <v>30.8</v>
      </c>
      <c r="BG235" s="752">
        <f>INPUT!CX189</f>
        <v>-15.616438356164386</v>
      </c>
      <c r="BH235" s="814">
        <f>INPUT!CY189</f>
        <v>45.4</v>
      </c>
      <c r="BI235" s="752">
        <f>INPUT!CZ189</f>
        <v>-7.7235772357723604</v>
      </c>
      <c r="BJ235" s="814">
        <f>INPUT!DA189</f>
        <v>30.3</v>
      </c>
      <c r="BK235" s="752">
        <f>INPUT!DB189</f>
        <v>-12.931034482758609</v>
      </c>
      <c r="BL235" s="814">
        <f>INPUT!DC189</f>
        <v>42</v>
      </c>
      <c r="BM235" s="752">
        <f>INPUT!DD189</f>
        <v>-16.50099403578529</v>
      </c>
      <c r="BN235" s="814">
        <f>INPUT!DE189</f>
        <v>33.6</v>
      </c>
      <c r="BO235" s="752">
        <f>INPUT!DF189</f>
        <v>9.0909090909090828</v>
      </c>
      <c r="BP235" s="814">
        <f>INPUT!DG189</f>
        <v>44.3</v>
      </c>
      <c r="BQ235" s="752">
        <f>INPUT!DH189</f>
        <v>-2.4229074889867919</v>
      </c>
      <c r="BR235" s="814">
        <f>INPUT!DI189</f>
        <v>34.4</v>
      </c>
      <c r="BS235" s="752">
        <f>INPUT!DJ189</f>
        <v>13.531353135313529</v>
      </c>
      <c r="BT235" s="814">
        <f>INPUT!DK189</f>
        <v>38.700000000000003</v>
      </c>
      <c r="BU235" s="752">
        <f>INPUT!DL189</f>
        <v>-7.8571428571428514</v>
      </c>
      <c r="BV235" s="814">
        <f>INPUT!DM189</f>
        <v>23.5</v>
      </c>
      <c r="BW235" s="752">
        <f>INPUT!DN189</f>
        <v>-30.059523809523814</v>
      </c>
      <c r="BX235" s="814">
        <f>INPUT!DO189</f>
        <v>38.6</v>
      </c>
      <c r="BY235" s="752">
        <f>INPUT!DP189</f>
        <v>-12.866817155756195</v>
      </c>
      <c r="BZ235" s="814">
        <f>INPUT!DQ189</f>
        <v>28</v>
      </c>
      <c r="CA235" s="752">
        <f>INPUT!DR189</f>
        <v>-18.604651162790699</v>
      </c>
      <c r="CB235" s="814">
        <f>INPUT!DS189</f>
        <v>34.799999999999997</v>
      </c>
      <c r="CC235" s="752">
        <f>INPUT!DT189</f>
        <v>-10.077519379844979</v>
      </c>
      <c r="CD235" s="814">
        <f>INPUT!DU189</f>
        <v>26.8</v>
      </c>
      <c r="CE235" s="752">
        <f>INPUT!DV189</f>
        <v>14.042553191489372</v>
      </c>
      <c r="CF235" s="814">
        <f>INPUT!DW189</f>
        <v>34</v>
      </c>
      <c r="CG235" s="752">
        <f>INPUT!DX189</f>
        <v>-11.917098445595853</v>
      </c>
      <c r="CH235" s="814">
        <f>INPUT!DY189</f>
        <v>28.5</v>
      </c>
      <c r="CI235" s="752">
        <f>INPUT!DZ189</f>
        <v>1.7857142857142794</v>
      </c>
      <c r="CJ235" s="814">
        <f>INPUT!EA189</f>
        <v>28.8</v>
      </c>
      <c r="CK235" s="752">
        <f>INPUT!EB189</f>
        <v>-17.241379310344819</v>
      </c>
      <c r="CL235" s="814">
        <f>INPUT!EC189</f>
        <v>26.6</v>
      </c>
      <c r="CM235" s="752">
        <f>INPUT!ED189</f>
        <v>-0.74626865671642006</v>
      </c>
      <c r="CN235" s="814">
        <f>INPUT!EE189</f>
        <v>33.200000000000003</v>
      </c>
      <c r="CO235" s="752">
        <f>INPUT!EF189</f>
        <v>-2.3529411764705799</v>
      </c>
      <c r="CP235" s="814">
        <f>INPUT!EG189</f>
        <v>28.5</v>
      </c>
      <c r="CQ235" s="752">
        <f>INPUT!EH189</f>
        <v>0</v>
      </c>
      <c r="CR235" s="814">
        <f>INPUT!EI189</f>
        <v>31.9</v>
      </c>
      <c r="CS235" s="752">
        <f>INPUT!EJ189</f>
        <v>10.763888888888884</v>
      </c>
      <c r="CT235" s="814">
        <f>INPUT!EK189</f>
        <v>33.228039584921945</v>
      </c>
      <c r="CU235" s="752">
        <f>INPUT!EL189</f>
        <v>24.917442048578732</v>
      </c>
      <c r="CV235" s="814">
        <f>INPUT!EM189</f>
        <v>33.228039584921945</v>
      </c>
      <c r="CW235" s="752">
        <f>INPUT!EN189</f>
        <v>8.4456581090175398E-2</v>
      </c>
      <c r="CX235" s="814">
        <f>INPUT!EO189</f>
        <v>33.228039584921945</v>
      </c>
      <c r="CY235" s="752">
        <f>INPUT!EP189</f>
        <v>16.589612578673485</v>
      </c>
      <c r="CZ235" s="814">
        <f>INPUT!EQ189</f>
        <v>33.228039584921945</v>
      </c>
      <c r="DA235" s="752">
        <f>INPUT!ER189</f>
        <v>4.1631334950531285</v>
      </c>
      <c r="DB235" s="753"/>
      <c r="DC235" s="814">
        <f>INPUT!FB189</f>
        <v>0</v>
      </c>
      <c r="DD235" s="756">
        <f>INPUT!FC189</f>
        <v>0</v>
      </c>
      <c r="DE235" s="814">
        <f>INPUT!FD189</f>
        <v>80.599999999999994</v>
      </c>
      <c r="DF235" s="756" t="str">
        <f>INPUT!FE189</f>
        <v>NA</v>
      </c>
      <c r="DG235" s="814">
        <f>INPUT!FF189</f>
        <v>106.5</v>
      </c>
      <c r="DH235" s="756">
        <f>INPUT!FG189</f>
        <v>32.133995037220856</v>
      </c>
      <c r="DI235" s="814">
        <f>INPUT!FH189</f>
        <v>139.6</v>
      </c>
      <c r="DJ235" s="756">
        <f>INPUT!FI189</f>
        <v>31.079812206572765</v>
      </c>
      <c r="DK235" s="814">
        <f>INPUT!FJ189</f>
        <v>154.19999999999999</v>
      </c>
      <c r="DL235" s="752">
        <f>INPUT!FK189</f>
        <v>10.458452722063027</v>
      </c>
      <c r="DM235" s="814">
        <f>INPUT!FL189</f>
        <v>174.6</v>
      </c>
      <c r="DN235" s="752">
        <f>INPUT!FM189</f>
        <v>13.229571984435795</v>
      </c>
      <c r="DO235" s="814">
        <f>INPUT!FN189</f>
        <v>187.39999999999998</v>
      </c>
      <c r="DP235" s="752">
        <f>INPUT!FO189</f>
        <v>7.3310423825887705</v>
      </c>
      <c r="DQ235" s="814">
        <f>INPUT!FP189</f>
        <v>185.29999999999998</v>
      </c>
      <c r="DR235" s="752">
        <f>INPUT!FQ189</f>
        <v>-1.1205976520811123</v>
      </c>
      <c r="DS235" s="814">
        <f>INPUT!FR189</f>
        <v>124.49999999999999</v>
      </c>
      <c r="DT235" s="752">
        <f>INPUT!FS189</f>
        <v>-32.811656772800866</v>
      </c>
      <c r="DU235" s="814">
        <f>INPUT!FT189</f>
        <v>170.5</v>
      </c>
      <c r="DV235" s="752">
        <f>INPUT!FU189</f>
        <v>36.947791164658653</v>
      </c>
      <c r="DW235" s="814">
        <f>INPUT!FV189</f>
        <v>189.9</v>
      </c>
      <c r="DX235" s="752">
        <f>INPUT!FW189</f>
        <v>11.378299120234603</v>
      </c>
      <c r="DY235" s="814">
        <f>INPUT!FX189</f>
        <v>170.8</v>
      </c>
      <c r="DZ235" s="752">
        <f>INPUT!FY189</f>
        <v>-10.057925223802</v>
      </c>
      <c r="EA235" s="814">
        <f>INPUT!FZ189</f>
        <v>148.5</v>
      </c>
      <c r="EB235" s="752">
        <f>INPUT!GA189</f>
        <v>-13.056206088992983</v>
      </c>
      <c r="EC235" s="814">
        <f>INPUT!GB189</f>
        <v>151</v>
      </c>
      <c r="ED235" s="752">
        <f>INPUT!GC189</f>
        <v>1.6835016835016869</v>
      </c>
      <c r="EE235" s="814">
        <f>INPUT!GD189</f>
        <v>124.89999999999999</v>
      </c>
      <c r="EF235" s="752">
        <f>INPUT!GE189</f>
        <v>-17.284768211920532</v>
      </c>
      <c r="EG235" s="814">
        <f>INPUT!GF189</f>
        <v>118.1</v>
      </c>
      <c r="EH235" s="752">
        <f>INPUT!GG189</f>
        <v>-5.4443554843875086</v>
      </c>
      <c r="EI235" s="814">
        <f>INPUT!GH189</f>
        <v>120.20000000000002</v>
      </c>
      <c r="EJ235" s="752">
        <f>INPUT!GI189</f>
        <v>1.778154106689267</v>
      </c>
      <c r="EK235" s="814">
        <f>INPUT!GJ189</f>
        <v>132.91215833968778</v>
      </c>
      <c r="EL235" s="752">
        <f>INPUT!GK189</f>
        <v>10.575838884931589</v>
      </c>
      <c r="EM235" s="814">
        <f>INPUT!GL189</f>
        <v>138.22864467327528</v>
      </c>
      <c r="EN235" s="752">
        <f>INPUT!GM189</f>
        <v>4.0000000000000036</v>
      </c>
      <c r="EO235" s="814">
        <f>INPUT!GN189</f>
        <v>143.75779046020631</v>
      </c>
      <c r="EP235" s="752">
        <f>INPUT!GO189</f>
        <v>4.0000000000000036</v>
      </c>
      <c r="EQ235" s="814">
        <f>INPUT!GP189</f>
        <v>149.50810207861457</v>
      </c>
      <c r="ER235" s="752">
        <f>INPUT!GQ189</f>
        <v>4.0000000000000036</v>
      </c>
      <c r="ES235" s="814">
        <f>INPUT!GR189</f>
        <v>155.48842616175915</v>
      </c>
      <c r="ET235" s="752">
        <f>INPUT!GS189</f>
        <v>4.0000000000000036</v>
      </c>
      <c r="EU235" s="756">
        <f>INPUT!GT189</f>
        <v>5.2831135751911784</v>
      </c>
      <c r="EV235" s="710"/>
    </row>
    <row r="236" spans="1:152" ht="12.75" hidden="1" customHeight="1" outlineLevel="1" x14ac:dyDescent="0.2">
      <c r="A236" s="813" t="str">
        <f>INPUT!B190</f>
        <v>Other Income</v>
      </c>
      <c r="B236" s="814">
        <f>INPUT!AS190</f>
        <v>0.1</v>
      </c>
      <c r="C236" s="756" t="str">
        <f>INPUT!AT190</f>
        <v>NM</v>
      </c>
      <c r="D236" s="814">
        <f>INPUT!AU190</f>
        <v>-0.1</v>
      </c>
      <c r="E236" s="756">
        <f>INPUT!AV190</f>
        <v>0</v>
      </c>
      <c r="F236" s="814">
        <f>INPUT!AW190</f>
        <v>0</v>
      </c>
      <c r="G236" s="756" t="str">
        <f>INPUT!AX190</f>
        <v>NA</v>
      </c>
      <c r="H236" s="814">
        <f>INPUT!AY190</f>
        <v>0.1</v>
      </c>
      <c r="I236" s="752" t="str">
        <f>INPUT!AZ190</f>
        <v>NA</v>
      </c>
      <c r="J236" s="814">
        <f>INPUT!BA190</f>
        <v>1.7</v>
      </c>
      <c r="K236" s="752" t="str">
        <f>INPUT!BB190</f>
        <v>NM</v>
      </c>
      <c r="L236" s="814">
        <f>INPUT!BC190</f>
        <v>0.3</v>
      </c>
      <c r="M236" s="752" t="str">
        <f>INPUT!BD190</f>
        <v>NM</v>
      </c>
      <c r="N236" s="814">
        <f>INPUT!BE190</f>
        <v>0.7</v>
      </c>
      <c r="O236" s="752" t="str">
        <f>INPUT!BF190</f>
        <v>NA</v>
      </c>
      <c r="P236" s="814">
        <f>INPUT!BG190</f>
        <v>0.4</v>
      </c>
      <c r="Q236" s="752" t="str">
        <f>INPUT!BH190</f>
        <v>NM</v>
      </c>
      <c r="R236" s="814">
        <f>INPUT!BI190</f>
        <v>0.2</v>
      </c>
      <c r="S236" s="752" t="str">
        <f>INPUT!BJ190</f>
        <v>NM</v>
      </c>
      <c r="T236" s="814">
        <f>INPUT!BK190</f>
        <v>-3.1999999999999997</v>
      </c>
      <c r="U236" s="752" t="str">
        <f>INPUT!BL190</f>
        <v>NM</v>
      </c>
      <c r="V236" s="814">
        <f>INPUT!BM190</f>
        <v>0.9</v>
      </c>
      <c r="W236" s="752">
        <f>INPUT!BN190</f>
        <v>28.57142857142858</v>
      </c>
      <c r="X236" s="814">
        <f>INPUT!BO190</f>
        <v>0.7</v>
      </c>
      <c r="Y236" s="752">
        <f>INPUT!BP190</f>
        <v>74.999999999999972</v>
      </c>
      <c r="Z236" s="814">
        <f>INPUT!BQ190</f>
        <v>0.6</v>
      </c>
      <c r="AA236" s="752" t="str">
        <f>INPUT!BR190</f>
        <v>NM</v>
      </c>
      <c r="AB236" s="814">
        <f>INPUT!BS190</f>
        <v>0.6</v>
      </c>
      <c r="AC236" s="752" t="str">
        <f>INPUT!BT190</f>
        <v>NM</v>
      </c>
      <c r="AD236" s="814">
        <f>INPUT!BU190</f>
        <v>0.6</v>
      </c>
      <c r="AE236" s="752">
        <f>INPUT!BV190</f>
        <v>-33.333333333333336</v>
      </c>
      <c r="AF236" s="814">
        <f>INPUT!BW190</f>
        <v>0.6</v>
      </c>
      <c r="AG236" s="752">
        <f>INPUT!BX190</f>
        <v>-14.285714285714279</v>
      </c>
      <c r="AH236" s="814">
        <f>INPUT!BY190</f>
        <v>0.5</v>
      </c>
      <c r="AI236" s="752">
        <f>INPUT!BZ190</f>
        <v>-16.666666666666664</v>
      </c>
      <c r="AJ236" s="814">
        <f>INPUT!CA190</f>
        <v>0.4</v>
      </c>
      <c r="AK236" s="752">
        <f>INPUT!CB190</f>
        <v>-33.333333333333329</v>
      </c>
      <c r="AL236" s="814">
        <f>INPUT!CC190</f>
        <v>0.2</v>
      </c>
      <c r="AM236" s="752" t="str">
        <f>INPUT!CD190</f>
        <v>NM</v>
      </c>
      <c r="AN236" s="814">
        <f>INPUT!CE190</f>
        <v>0.1</v>
      </c>
      <c r="AO236" s="752" t="str">
        <f>INPUT!CF190</f>
        <v>NM</v>
      </c>
      <c r="AP236" s="814">
        <f>INPUT!CG190</f>
        <v>0.1</v>
      </c>
      <c r="AQ236" s="752" t="str">
        <f>INPUT!CH190</f>
        <v>NM</v>
      </c>
      <c r="AR236" s="814">
        <f>INPUT!CI190</f>
        <v>0</v>
      </c>
      <c r="AS236" s="752" t="str">
        <f>INPUT!CJ190</f>
        <v>NM</v>
      </c>
      <c r="AT236" s="814">
        <f>INPUT!CK190</f>
        <v>0</v>
      </c>
      <c r="AU236" s="752" t="str">
        <f>INPUT!CL190</f>
        <v>NM</v>
      </c>
      <c r="AV236" s="814">
        <f>INPUT!CM190</f>
        <v>0.2</v>
      </c>
      <c r="AW236" s="752">
        <f>INPUT!CN190</f>
        <v>100</v>
      </c>
      <c r="AX236" s="814">
        <f>INPUT!CO190</f>
        <v>0.1</v>
      </c>
      <c r="AY236" s="752">
        <f>INPUT!CP190</f>
        <v>0</v>
      </c>
      <c r="AZ236" s="814">
        <f>INPUT!CQ190</f>
        <v>0</v>
      </c>
      <c r="BA236" s="752" t="str">
        <f>INPUT!CR190</f>
        <v>NA</v>
      </c>
      <c r="BB236" s="814">
        <f>INPUT!CS190</f>
        <v>0</v>
      </c>
      <c r="BC236" s="752" t="str">
        <f>INPUT!CT190</f>
        <v>NA</v>
      </c>
      <c r="BD236" s="814">
        <f>INPUT!CU190</f>
        <v>0</v>
      </c>
      <c r="BE236" s="752" t="str">
        <f>INPUT!CV190</f>
        <v>NM</v>
      </c>
      <c r="BF236" s="814">
        <f>INPUT!CW190</f>
        <v>0.1</v>
      </c>
      <c r="BG236" s="752">
        <f>INPUT!CX190</f>
        <v>0</v>
      </c>
      <c r="BH236" s="814">
        <f>INPUT!CY190</f>
        <v>-0.1</v>
      </c>
      <c r="BI236" s="752" t="str">
        <f>INPUT!CZ190</f>
        <v>NA</v>
      </c>
      <c r="BJ236" s="814">
        <f>INPUT!DA190</f>
        <v>0.1</v>
      </c>
      <c r="BK236" s="752" t="str">
        <f>INPUT!DB190</f>
        <v>NA</v>
      </c>
      <c r="BL236" s="814">
        <f>INPUT!DC190</f>
        <v>0</v>
      </c>
      <c r="BM236" s="752" t="str">
        <f>INPUT!DD190</f>
        <v>NA</v>
      </c>
      <c r="BN236" s="814">
        <f>INPUT!DE190</f>
        <v>-0.1</v>
      </c>
      <c r="BO236" s="752" t="str">
        <f>INPUT!DF190</f>
        <v>NM</v>
      </c>
      <c r="BP236" s="814">
        <f>INPUT!DG190</f>
        <v>0.2</v>
      </c>
      <c r="BQ236" s="752" t="str">
        <f>INPUT!DH190</f>
        <v>NM</v>
      </c>
      <c r="BR236" s="814">
        <f>INPUT!DI190</f>
        <v>0</v>
      </c>
      <c r="BS236" s="752" t="str">
        <f>INPUT!DJ190</f>
        <v>NM</v>
      </c>
      <c r="BT236" s="814">
        <f>INPUT!DK190</f>
        <v>-0.1</v>
      </c>
      <c r="BU236" s="752" t="str">
        <f>INPUT!DL190</f>
        <v>NA</v>
      </c>
      <c r="BV236" s="814">
        <f>INPUT!DM190</f>
        <v>0</v>
      </c>
      <c r="BW236" s="752" t="str">
        <f>INPUT!DN190</f>
        <v>NM</v>
      </c>
      <c r="BX236" s="814">
        <f>INPUT!DO190</f>
        <v>0</v>
      </c>
      <c r="BY236" s="752" t="str">
        <f>INPUT!DP190</f>
        <v>NM</v>
      </c>
      <c r="BZ236" s="814">
        <f>INPUT!DQ190</f>
        <v>0</v>
      </c>
      <c r="CA236" s="752" t="str">
        <f>INPUT!DR190</f>
        <v>NA</v>
      </c>
      <c r="CB236" s="814">
        <f>INPUT!DS190</f>
        <v>0</v>
      </c>
      <c r="CC236" s="752" t="str">
        <f>INPUT!DT190</f>
        <v>NM</v>
      </c>
      <c r="CD236" s="814">
        <f>INPUT!DU190</f>
        <v>0</v>
      </c>
      <c r="CE236" s="752" t="str">
        <f>INPUT!DV190</f>
        <v>NA</v>
      </c>
      <c r="CF236" s="814">
        <f>INPUT!DW190</f>
        <v>0.2</v>
      </c>
      <c r="CG236" s="752" t="str">
        <f>INPUT!DX190</f>
        <v>NA</v>
      </c>
      <c r="CH236" s="814">
        <f>INPUT!DY190</f>
        <v>0</v>
      </c>
      <c r="CI236" s="752" t="str">
        <f>INPUT!DZ190</f>
        <v>NA</v>
      </c>
      <c r="CJ236" s="814">
        <f>INPUT!EA190</f>
        <v>0</v>
      </c>
      <c r="CK236" s="752" t="str">
        <f>INPUT!EB190</f>
        <v>NA</v>
      </c>
      <c r="CL236" s="814">
        <f>INPUT!EC190</f>
        <v>0</v>
      </c>
      <c r="CM236" s="752" t="str">
        <f>INPUT!ED190</f>
        <v>NA</v>
      </c>
      <c r="CN236" s="814">
        <f>INPUT!EE190</f>
        <v>0</v>
      </c>
      <c r="CO236" s="752" t="str">
        <f>INPUT!EF190</f>
        <v>NM</v>
      </c>
      <c r="CP236" s="814">
        <f>INPUT!EG190</f>
        <v>0</v>
      </c>
      <c r="CQ236" s="752" t="str">
        <f>INPUT!EH190</f>
        <v>NA</v>
      </c>
      <c r="CR236" s="814">
        <f>INPUT!EI190</f>
        <v>0.1</v>
      </c>
      <c r="CS236" s="752" t="str">
        <f>INPUT!EJ190</f>
        <v>NA</v>
      </c>
      <c r="CT236" s="814">
        <f>INPUT!EK190</f>
        <v>0</v>
      </c>
      <c r="CU236" s="752" t="str">
        <f>INPUT!EL190</f>
        <v>NA</v>
      </c>
      <c r="CV236" s="814">
        <f>INPUT!EM190</f>
        <v>0</v>
      </c>
      <c r="CW236" s="752" t="str">
        <f>INPUT!EN190</f>
        <v>NA</v>
      </c>
      <c r="CX236" s="814">
        <f>INPUT!EO190</f>
        <v>0</v>
      </c>
      <c r="CY236" s="752" t="str">
        <f>INPUT!EP190</f>
        <v>NA</v>
      </c>
      <c r="CZ236" s="814">
        <f>INPUT!EQ190</f>
        <v>0</v>
      </c>
      <c r="DA236" s="752" t="str">
        <f>INPUT!ER190</f>
        <v>NM</v>
      </c>
      <c r="DB236" s="815"/>
      <c r="DC236" s="814">
        <f>INPUT!FB190</f>
        <v>0</v>
      </c>
      <c r="DD236" s="756">
        <f>INPUT!FC190</f>
        <v>0</v>
      </c>
      <c r="DE236" s="814">
        <f>INPUT!FD190</f>
        <v>8.8000000000000007</v>
      </c>
      <c r="DF236" s="756" t="str">
        <f>INPUT!FE190</f>
        <v>NA</v>
      </c>
      <c r="DG236" s="814">
        <f>INPUT!FF190</f>
        <v>9.9</v>
      </c>
      <c r="DH236" s="756">
        <f>INPUT!FG190</f>
        <v>12.5</v>
      </c>
      <c r="DI236" s="814">
        <f>INPUT!FH190</f>
        <v>3.1</v>
      </c>
      <c r="DJ236" s="756" t="str">
        <f>INPUT!FI190</f>
        <v>NM</v>
      </c>
      <c r="DK236" s="814">
        <f>INPUT!FJ190</f>
        <v>0.4</v>
      </c>
      <c r="DL236" s="752" t="str">
        <f>INPUT!FK190</f>
        <v>NM</v>
      </c>
      <c r="DM236" s="814">
        <f>INPUT!FL190</f>
        <v>0.1</v>
      </c>
      <c r="DN236" s="752" t="str">
        <f>INPUT!FM190</f>
        <v>NM</v>
      </c>
      <c r="DO236" s="814">
        <f>INPUT!FN190</f>
        <v>3.1</v>
      </c>
      <c r="DP236" s="752" t="str">
        <f>INPUT!FO190</f>
        <v>NM</v>
      </c>
      <c r="DQ236" s="814">
        <f>INPUT!FP190</f>
        <v>-1.3999999999999997</v>
      </c>
      <c r="DR236" s="752" t="str">
        <f>INPUT!FQ190</f>
        <v>NM</v>
      </c>
      <c r="DS236" s="814">
        <f>INPUT!FR190</f>
        <v>2.4</v>
      </c>
      <c r="DT236" s="752" t="str">
        <f>INPUT!FS190</f>
        <v>NM</v>
      </c>
      <c r="DU236" s="814">
        <f>INPUT!FT190</f>
        <v>1.2000000000000002</v>
      </c>
      <c r="DV236" s="752">
        <f>INPUT!FU190</f>
        <v>-49.999999999999986</v>
      </c>
      <c r="DW236" s="814">
        <f>INPUT!FV190</f>
        <v>0.30000000000000004</v>
      </c>
      <c r="DX236" s="752" t="str">
        <f>INPUT!FW190</f>
        <v>NM</v>
      </c>
      <c r="DY236" s="814">
        <f>INPUT!FX190</f>
        <v>0.1</v>
      </c>
      <c r="DZ236" s="752" t="str">
        <f>INPUT!FY190</f>
        <v>NM</v>
      </c>
      <c r="EA236" s="814">
        <f>INPUT!FZ190</f>
        <v>0.1</v>
      </c>
      <c r="EB236" s="752">
        <f>INPUT!GA190</f>
        <v>0</v>
      </c>
      <c r="EC236" s="814">
        <f>INPUT!GB190</f>
        <v>0</v>
      </c>
      <c r="ED236" s="752" t="str">
        <f>INPUT!GC190</f>
        <v>NM</v>
      </c>
      <c r="EE236" s="814">
        <f>INPUT!GD190</f>
        <v>0</v>
      </c>
      <c r="EF236" s="752" t="str">
        <f>INPUT!GE190</f>
        <v>NA</v>
      </c>
      <c r="EG236" s="814">
        <f>INPUT!GF190</f>
        <v>0.2</v>
      </c>
      <c r="EH236" s="752" t="str">
        <f>INPUT!GG190</f>
        <v>NA</v>
      </c>
      <c r="EI236" s="814">
        <f>INPUT!GH190</f>
        <v>0.1</v>
      </c>
      <c r="EJ236" s="752">
        <f>INPUT!GI190</f>
        <v>-50</v>
      </c>
      <c r="EK236" s="814">
        <f>INPUT!GJ190</f>
        <v>0</v>
      </c>
      <c r="EL236" s="752" t="str">
        <f>INPUT!GK190</f>
        <v>NM</v>
      </c>
      <c r="EM236" s="814">
        <f>INPUT!GL190</f>
        <v>0</v>
      </c>
      <c r="EN236" s="752" t="str">
        <f>INPUT!GM190</f>
        <v>NA</v>
      </c>
      <c r="EO236" s="814">
        <f>INPUT!GN190</f>
        <v>0</v>
      </c>
      <c r="EP236" s="752" t="str">
        <f>INPUT!GO190</f>
        <v>NA</v>
      </c>
      <c r="EQ236" s="814">
        <f>INPUT!GP190</f>
        <v>0</v>
      </c>
      <c r="ER236" s="752" t="str">
        <f>INPUT!GQ190</f>
        <v>NA</v>
      </c>
      <c r="ES236" s="814">
        <f>INPUT!GR190</f>
        <v>0</v>
      </c>
      <c r="ET236" s="752" t="str">
        <f>INPUT!GS190</f>
        <v>NA</v>
      </c>
      <c r="EU236" s="756" t="str">
        <f>INPUT!GT190</f>
        <v>NM</v>
      </c>
      <c r="EV236" s="724"/>
    </row>
    <row r="237" spans="1:152" ht="12.75" hidden="1" customHeight="1" outlineLevel="1" x14ac:dyDescent="0.2">
      <c r="A237" s="813" t="str">
        <f>INPUT!B191</f>
        <v xml:space="preserve"> Total Revenues</v>
      </c>
      <c r="B237" s="814">
        <f>INPUT!AS191</f>
        <v>229.5</v>
      </c>
      <c r="C237" s="756">
        <f>INPUT!AT191</f>
        <v>0.56967572304995606</v>
      </c>
      <c r="D237" s="814">
        <f>INPUT!AU191</f>
        <v>240.5</v>
      </c>
      <c r="E237" s="756">
        <f>INPUT!AV191</f>
        <v>3.3963886500429918</v>
      </c>
      <c r="F237" s="814">
        <f>INPUT!AW191</f>
        <v>265.5</v>
      </c>
      <c r="G237" s="756">
        <f>INPUT!AX191</f>
        <v>9.1694078947368354</v>
      </c>
      <c r="H237" s="814">
        <f>INPUT!AY191</f>
        <v>282</v>
      </c>
      <c r="I237" s="752">
        <f>INPUT!AZ191</f>
        <v>19.542178889359917</v>
      </c>
      <c r="J237" s="814">
        <f>INPUT!BA191</f>
        <v>267.10000000000002</v>
      </c>
      <c r="K237" s="752">
        <f>INPUT!BB191</f>
        <v>16.383442265795225</v>
      </c>
      <c r="L237" s="814">
        <f>INPUT!BC191</f>
        <v>293.60000000000002</v>
      </c>
      <c r="M237" s="752">
        <f>INPUT!BD191</f>
        <v>22.079002079002088</v>
      </c>
      <c r="N237" s="814">
        <f>INPUT!BE191</f>
        <v>292.3</v>
      </c>
      <c r="O237" s="752">
        <f>INPUT!BF191</f>
        <v>10.094161958568737</v>
      </c>
      <c r="P237" s="814">
        <f>INPUT!BG191</f>
        <v>305.8</v>
      </c>
      <c r="Q237" s="752">
        <f>INPUT!BH191</f>
        <v>8.4397163120567331</v>
      </c>
      <c r="R237" s="814">
        <f>INPUT!BI191</f>
        <v>283.3</v>
      </c>
      <c r="S237" s="752">
        <f>INPUT!BJ191</f>
        <v>6.0651441407712392</v>
      </c>
      <c r="T237" s="814">
        <f>INPUT!BK191</f>
        <v>293.39999999999998</v>
      </c>
      <c r="U237" s="752">
        <f>INPUT!BL191</f>
        <v>-6.8119891008189271E-2</v>
      </c>
      <c r="V237" s="814">
        <f>INPUT!BM191</f>
        <v>271.39999999999998</v>
      </c>
      <c r="W237" s="752">
        <f>INPUT!BN191</f>
        <v>-7.1501881628464048</v>
      </c>
      <c r="X237" s="814">
        <f>INPUT!BO191</f>
        <v>225.10000000000002</v>
      </c>
      <c r="Y237" s="752">
        <f>INPUT!BP191</f>
        <v>-26.389797253106607</v>
      </c>
      <c r="Z237" s="814">
        <f>INPUT!BQ191</f>
        <v>190.5</v>
      </c>
      <c r="AA237" s="752">
        <f>INPUT!BR191</f>
        <v>-32.756794917049071</v>
      </c>
      <c r="AB237" s="814">
        <f>INPUT!BS191</f>
        <v>208.3</v>
      </c>
      <c r="AC237" s="752">
        <f>INPUT!BT191</f>
        <v>-29.004771642808446</v>
      </c>
      <c r="AD237" s="814">
        <f>INPUT!BU191</f>
        <v>192.79999999999998</v>
      </c>
      <c r="AE237" s="752">
        <f>INPUT!BV191</f>
        <v>-28.960943257184969</v>
      </c>
      <c r="AF237" s="814">
        <f>INPUT!BW191</f>
        <v>221.4</v>
      </c>
      <c r="AG237" s="752">
        <f>INPUT!BX191</f>
        <v>-1.6437139049311544</v>
      </c>
      <c r="AH237" s="814">
        <f>INPUT!BY191</f>
        <v>206.10000000000002</v>
      </c>
      <c r="AI237" s="752">
        <f>INPUT!BZ191</f>
        <v>8.1889763779527733</v>
      </c>
      <c r="AJ237" s="814">
        <f>INPUT!CA191</f>
        <v>196.4</v>
      </c>
      <c r="AK237" s="752">
        <f>INPUT!CB191</f>
        <v>-5.7129140662506073</v>
      </c>
      <c r="AL237" s="814">
        <f>INPUT!CC191</f>
        <v>200.60000000000002</v>
      </c>
      <c r="AM237" s="752">
        <f>INPUT!CD191</f>
        <v>4.045643153527001</v>
      </c>
      <c r="AN237" s="814">
        <f>INPUT!CE191</f>
        <v>219.2</v>
      </c>
      <c r="AO237" s="752">
        <f>INPUT!CF191</f>
        <v>-0.9936766034327138</v>
      </c>
      <c r="AP237" s="814">
        <f>INPUT!CG191</f>
        <v>212.1</v>
      </c>
      <c r="AQ237" s="752">
        <f>INPUT!CH191</f>
        <v>2.9112081513828159</v>
      </c>
      <c r="AR237" s="814">
        <f>INPUT!CI191</f>
        <v>226.9</v>
      </c>
      <c r="AS237" s="752">
        <f>INPUT!CJ191</f>
        <v>15.529531568228116</v>
      </c>
      <c r="AT237" s="814">
        <f>INPUT!CK191</f>
        <v>218.8</v>
      </c>
      <c r="AU237" s="752">
        <f>INPUT!CL191</f>
        <v>9.0727816550348894</v>
      </c>
      <c r="AV237" s="814">
        <f>INPUT!CM191</f>
        <v>220</v>
      </c>
      <c r="AW237" s="752">
        <f>INPUT!CN191</f>
        <v>0.36496350364965124</v>
      </c>
      <c r="AX237" s="814">
        <f>INPUT!CO191</f>
        <v>207.29999999999998</v>
      </c>
      <c r="AY237" s="752">
        <f>INPUT!CP191</f>
        <v>-2.2630834512022635</v>
      </c>
      <c r="AZ237" s="814">
        <f>INPUT!CQ191</f>
        <v>222.39999999999998</v>
      </c>
      <c r="BA237" s="752">
        <f>INPUT!CR191</f>
        <v>-1.9832525341560325</v>
      </c>
      <c r="BB237" s="814">
        <f>INPUT!CS191</f>
        <v>210</v>
      </c>
      <c r="BC237" s="752">
        <f>INPUT!CT191</f>
        <v>-4.0219378427788</v>
      </c>
      <c r="BD237" s="814">
        <f>INPUT!CU191</f>
        <v>225.8</v>
      </c>
      <c r="BE237" s="752">
        <f>INPUT!CV191</f>
        <v>2.6363636363636367</v>
      </c>
      <c r="BF237" s="814">
        <f>INPUT!CW191</f>
        <v>174.70000000000002</v>
      </c>
      <c r="BG237" s="752">
        <f>INPUT!CX191</f>
        <v>-15.726000964785324</v>
      </c>
      <c r="BH237" s="814">
        <f>INPUT!CY191</f>
        <v>182.89999999999998</v>
      </c>
      <c r="BI237" s="752">
        <f>INPUT!CZ191</f>
        <v>-17.760791366906481</v>
      </c>
      <c r="BJ237" s="814">
        <f>INPUT!DA191</f>
        <v>167.70000000000002</v>
      </c>
      <c r="BK237" s="752">
        <f>INPUT!DB191</f>
        <v>-20.142857142857139</v>
      </c>
      <c r="BL237" s="814">
        <f>INPUT!DC191</f>
        <v>179.9</v>
      </c>
      <c r="BM237" s="752">
        <f>INPUT!DD191</f>
        <v>-20.327723649247119</v>
      </c>
      <c r="BN237" s="814">
        <f>INPUT!DE191</f>
        <v>185.2</v>
      </c>
      <c r="BO237" s="752">
        <f>INPUT!DF191</f>
        <v>6.0103033772180625</v>
      </c>
      <c r="BP237" s="814">
        <f>INPUT!DG191</f>
        <v>198.5</v>
      </c>
      <c r="BQ237" s="752">
        <f>INPUT!DH191</f>
        <v>8.5292509568070116</v>
      </c>
      <c r="BR237" s="814">
        <f>INPUT!DI191</f>
        <v>187</v>
      </c>
      <c r="BS237" s="752">
        <f>INPUT!DJ191</f>
        <v>11.508646392367305</v>
      </c>
      <c r="BT237" s="814">
        <f>INPUT!DK191</f>
        <v>187.5</v>
      </c>
      <c r="BU237" s="752">
        <f>INPUT!DL191</f>
        <v>4.2245692051139594</v>
      </c>
      <c r="BV237" s="814">
        <f>INPUT!DM191</f>
        <v>162.5</v>
      </c>
      <c r="BW237" s="752">
        <f>INPUT!DN191</f>
        <v>-12.257019438444916</v>
      </c>
      <c r="BX237" s="814">
        <f>INPUT!DO191</f>
        <v>180.79999999999998</v>
      </c>
      <c r="BY237" s="752">
        <f>INPUT!DP191</f>
        <v>-8.9168765743073095</v>
      </c>
      <c r="BZ237" s="814">
        <f>INPUT!DQ191</f>
        <v>172.6</v>
      </c>
      <c r="CA237" s="752">
        <f>INPUT!DR191</f>
        <v>-7.7005347593582911</v>
      </c>
      <c r="CB237" s="814">
        <f>INPUT!DS191</f>
        <v>185.2</v>
      </c>
      <c r="CC237" s="752">
        <f>INPUT!DT191</f>
        <v>-1.2266666666666759</v>
      </c>
      <c r="CD237" s="814">
        <f>INPUT!DU191</f>
        <v>166.10000000000002</v>
      </c>
      <c r="CE237" s="752">
        <f>INPUT!DV191</f>
        <v>2.2153846153846191</v>
      </c>
      <c r="CF237" s="814">
        <f>INPUT!DW191</f>
        <v>175</v>
      </c>
      <c r="CG237" s="752">
        <f>INPUT!DX191</f>
        <v>-3.2079646017698971</v>
      </c>
      <c r="CH237" s="814">
        <f>INPUT!DY191</f>
        <v>155.80000000000001</v>
      </c>
      <c r="CI237" s="752">
        <f>INPUT!DZ191</f>
        <v>-9.7334878331401971</v>
      </c>
      <c r="CJ237" s="814">
        <f>INPUT!EA191</f>
        <v>150.70000000000002</v>
      </c>
      <c r="CK237" s="752">
        <f>INPUT!EB191</f>
        <v>-18.628509719222453</v>
      </c>
      <c r="CL237" s="814">
        <f>INPUT!EC191</f>
        <v>147.9</v>
      </c>
      <c r="CM237" s="752">
        <f>INPUT!ED191</f>
        <v>-10.957254665863946</v>
      </c>
      <c r="CN237" s="814">
        <f>INPUT!EE191</f>
        <v>160</v>
      </c>
      <c r="CO237" s="752">
        <f>INPUT!EF191</f>
        <v>-8.5714285714285747</v>
      </c>
      <c r="CP237" s="814">
        <f>INPUT!EG191</f>
        <v>160</v>
      </c>
      <c r="CQ237" s="752">
        <f>INPUT!EH191</f>
        <v>2.695763799743256</v>
      </c>
      <c r="CR237" s="814">
        <f>INPUT!EI191</f>
        <v>165.4</v>
      </c>
      <c r="CS237" s="752">
        <f>INPUT!EJ191</f>
        <v>9.7544790975447881</v>
      </c>
      <c r="CT237" s="814">
        <f>INPUT!EK191</f>
        <v>171.92907235497711</v>
      </c>
      <c r="CU237" s="752">
        <f>INPUT!EL191</f>
        <v>16.246837292073767</v>
      </c>
      <c r="CV237" s="814">
        <f>INPUT!EM191</f>
        <v>173.67451500973658</v>
      </c>
      <c r="CW237" s="752">
        <f>INPUT!EN191</f>
        <v>8.546571881085363</v>
      </c>
      <c r="CX237" s="814">
        <f>INPUT!EO191</f>
        <v>175.64256711325305</v>
      </c>
      <c r="CY237" s="752">
        <f>INPUT!EP191</f>
        <v>9.7766044457831658</v>
      </c>
      <c r="CZ237" s="814">
        <f>INPUT!EQ191</f>
        <v>174.27643785951983</v>
      </c>
      <c r="DA237" s="752">
        <f>INPUT!ER191</f>
        <v>5.3666492500119789</v>
      </c>
      <c r="DB237" s="753"/>
      <c r="DC237" s="814">
        <f>INPUT!FB191</f>
        <v>0</v>
      </c>
      <c r="DD237" s="756">
        <f>INPUT!FC191</f>
        <v>0</v>
      </c>
      <c r="DE237" s="814">
        <f>INPUT!FD191</f>
        <v>403.2</v>
      </c>
      <c r="DF237" s="756" t="str">
        <f>INPUT!FE191</f>
        <v>NA</v>
      </c>
      <c r="DG237" s="814">
        <f>INPUT!FF191</f>
        <v>593.4</v>
      </c>
      <c r="DH237" s="756">
        <f>INPUT!FG191</f>
        <v>47.172619047619044</v>
      </c>
      <c r="DI237" s="814">
        <f>INPUT!FH191</f>
        <v>801.8</v>
      </c>
      <c r="DJ237" s="756">
        <f>INPUT!FI191</f>
        <v>35.11964947758679</v>
      </c>
      <c r="DK237" s="814">
        <f>INPUT!FJ191</f>
        <v>939.9</v>
      </c>
      <c r="DL237" s="752">
        <f>INPUT!FK191</f>
        <v>17.223746570217013</v>
      </c>
      <c r="DM237" s="814">
        <f>INPUT!FL191</f>
        <v>1017.5</v>
      </c>
      <c r="DN237" s="752">
        <f>INPUT!FM191</f>
        <v>8.2561974678157171</v>
      </c>
      <c r="DO237" s="814">
        <f>INPUT!FN191</f>
        <v>1158.8</v>
      </c>
      <c r="DP237" s="752">
        <f>INPUT!FO191</f>
        <v>13.886977886977881</v>
      </c>
      <c r="DQ237" s="814">
        <f>INPUT!FP191</f>
        <v>1073.1999999999998</v>
      </c>
      <c r="DR237" s="752">
        <f>INPUT!FQ191</f>
        <v>-7.3869520193303506</v>
      </c>
      <c r="DS237" s="814">
        <f>INPUT!FR191</f>
        <v>812.99999999999989</v>
      </c>
      <c r="DT237" s="752">
        <f>INPUT!FS191</f>
        <v>-24.245247856876627</v>
      </c>
      <c r="DU237" s="814">
        <f>INPUT!FT191</f>
        <v>822.3</v>
      </c>
      <c r="DV237" s="752">
        <f>INPUT!FU191</f>
        <v>1.143911439114409</v>
      </c>
      <c r="DW237" s="814">
        <f>INPUT!FV191</f>
        <v>877.8</v>
      </c>
      <c r="DX237" s="752">
        <f>INPUT!FW191</f>
        <v>6.7493615468807056</v>
      </c>
      <c r="DY237" s="814">
        <f>INPUT!FX191</f>
        <v>865.49999999999989</v>
      </c>
      <c r="DZ237" s="752">
        <f>INPUT!FY191</f>
        <v>-1.4012303485987809</v>
      </c>
      <c r="EA237" s="814">
        <f>INPUT!FZ191</f>
        <v>705.2</v>
      </c>
      <c r="EB237" s="752">
        <f>INPUT!GA191</f>
        <v>-18.521086077411887</v>
      </c>
      <c r="EC237" s="814">
        <f>INPUT!GB191</f>
        <v>758.19999999999993</v>
      </c>
      <c r="ED237" s="752">
        <f>INPUT!GC191</f>
        <v>7.5155984117980523</v>
      </c>
      <c r="EE237" s="814">
        <f>INPUT!GD191</f>
        <v>701.09999999999991</v>
      </c>
      <c r="EF237" s="752">
        <f>INPUT!GE191</f>
        <v>-7.5309944605645001</v>
      </c>
      <c r="EG237" s="814">
        <f>INPUT!GF191</f>
        <v>647.6</v>
      </c>
      <c r="EH237" s="752">
        <f>INPUT!GG191</f>
        <v>-7.6308657823420223</v>
      </c>
      <c r="EI237" s="814">
        <f>INPUT!GH191</f>
        <v>633.29999999999995</v>
      </c>
      <c r="EJ237" s="752">
        <f>INPUT!GI191</f>
        <v>-2.2081531809759247</v>
      </c>
      <c r="EK237" s="814">
        <f>INPUT!GJ191</f>
        <v>695.52259233748646</v>
      </c>
      <c r="EL237" s="752">
        <f>INPUT!GK191</f>
        <v>9.8251369552323489</v>
      </c>
      <c r="EM237" s="814">
        <f>INPUT!GL191</f>
        <v>723.34349603098599</v>
      </c>
      <c r="EN237" s="752">
        <f>INPUT!GM191</f>
        <v>4.0000000000000036</v>
      </c>
      <c r="EO237" s="814">
        <f>INPUT!GN191</f>
        <v>752.27723587222545</v>
      </c>
      <c r="EP237" s="752">
        <f>INPUT!GO191</f>
        <v>4.0000000000000036</v>
      </c>
      <c r="EQ237" s="814">
        <f>INPUT!GP191</f>
        <v>782.36832530711445</v>
      </c>
      <c r="ER237" s="752">
        <f>INPUT!GQ191</f>
        <v>4.0000000000000036</v>
      </c>
      <c r="ES237" s="814">
        <f>INPUT!GR191</f>
        <v>813.66305831939894</v>
      </c>
      <c r="ET237" s="752">
        <f>INPUT!GS191</f>
        <v>3.9999999999999813</v>
      </c>
      <c r="EU237" s="756">
        <f>INPUT!GT191</f>
        <v>5.1397698803659519</v>
      </c>
      <c r="EV237" s="710"/>
    </row>
    <row r="238" spans="1:152" ht="12.75" hidden="1" customHeight="1" outlineLevel="1" x14ac:dyDescent="0.2">
      <c r="A238" s="813"/>
      <c r="B238" s="750"/>
      <c r="C238" s="756"/>
      <c r="D238" s="750"/>
      <c r="E238" s="756"/>
      <c r="F238" s="750"/>
      <c r="G238" s="756"/>
      <c r="H238" s="750"/>
      <c r="I238" s="752"/>
      <c r="J238" s="750"/>
      <c r="K238" s="752"/>
      <c r="L238" s="750"/>
      <c r="M238" s="752"/>
      <c r="N238" s="750"/>
      <c r="O238" s="752"/>
      <c r="P238" s="750"/>
      <c r="Q238" s="752"/>
      <c r="R238" s="750"/>
      <c r="S238" s="752"/>
      <c r="T238" s="750"/>
      <c r="U238" s="752"/>
      <c r="V238" s="750"/>
      <c r="W238" s="752"/>
      <c r="X238" s="750"/>
      <c r="Y238" s="752"/>
      <c r="Z238" s="750"/>
      <c r="AA238" s="752"/>
      <c r="AB238" s="750"/>
      <c r="AC238" s="752"/>
      <c r="AD238" s="750"/>
      <c r="AE238" s="752"/>
      <c r="AF238" s="750"/>
      <c r="AG238" s="752"/>
      <c r="AH238" s="750"/>
      <c r="AI238" s="752"/>
      <c r="AJ238" s="750"/>
      <c r="AK238" s="752"/>
      <c r="AL238" s="750"/>
      <c r="AM238" s="752"/>
      <c r="AN238" s="750"/>
      <c r="AO238" s="752"/>
      <c r="AP238" s="750"/>
      <c r="AQ238" s="752"/>
      <c r="AR238" s="750"/>
      <c r="AS238" s="752"/>
      <c r="AT238" s="750"/>
      <c r="AU238" s="752"/>
      <c r="AV238" s="750"/>
      <c r="AW238" s="752"/>
      <c r="AX238" s="750"/>
      <c r="AY238" s="752"/>
      <c r="AZ238" s="750"/>
      <c r="BA238" s="752"/>
      <c r="BB238" s="750"/>
      <c r="BC238" s="752"/>
      <c r="BD238" s="750"/>
      <c r="BE238" s="752"/>
      <c r="BF238" s="750"/>
      <c r="BG238" s="752"/>
      <c r="BH238" s="750"/>
      <c r="BI238" s="752"/>
      <c r="BJ238" s="750"/>
      <c r="BK238" s="752"/>
      <c r="BL238" s="750"/>
      <c r="BM238" s="752"/>
      <c r="BN238" s="750"/>
      <c r="BO238" s="752"/>
      <c r="BP238" s="750"/>
      <c r="BQ238" s="752"/>
      <c r="BR238" s="750"/>
      <c r="BS238" s="752"/>
      <c r="BT238" s="750"/>
      <c r="BU238" s="752"/>
      <c r="BV238" s="750"/>
      <c r="BW238" s="752"/>
      <c r="BX238" s="750"/>
      <c r="BY238" s="752"/>
      <c r="BZ238" s="750"/>
      <c r="CA238" s="752"/>
      <c r="CB238" s="750"/>
      <c r="CC238" s="752"/>
      <c r="CD238" s="750"/>
      <c r="CE238" s="752"/>
      <c r="CF238" s="750"/>
      <c r="CG238" s="752"/>
      <c r="CH238" s="750"/>
      <c r="CI238" s="752"/>
      <c r="CJ238" s="750"/>
      <c r="CK238" s="752"/>
      <c r="CL238" s="750"/>
      <c r="CM238" s="752"/>
      <c r="CN238" s="750"/>
      <c r="CO238" s="752"/>
      <c r="CP238" s="750"/>
      <c r="CQ238" s="752"/>
      <c r="CR238" s="750"/>
      <c r="CS238" s="752"/>
      <c r="CT238" s="750"/>
      <c r="CU238" s="752"/>
      <c r="CV238" s="750"/>
      <c r="CW238" s="752"/>
      <c r="CX238" s="750"/>
      <c r="CY238" s="752"/>
      <c r="CZ238" s="750"/>
      <c r="DA238" s="752"/>
      <c r="DB238" s="753"/>
      <c r="DC238" s="750"/>
      <c r="DD238" s="756"/>
      <c r="DE238" s="750"/>
      <c r="DF238" s="756"/>
      <c r="DG238" s="750"/>
      <c r="DH238" s="756"/>
      <c r="DI238" s="750"/>
      <c r="DJ238" s="756"/>
      <c r="DK238" s="750"/>
      <c r="DL238" s="752"/>
      <c r="DM238" s="750"/>
      <c r="DN238" s="752"/>
      <c r="DO238" s="750"/>
      <c r="DP238" s="752"/>
      <c r="DQ238" s="750"/>
      <c r="DR238" s="752"/>
      <c r="DS238" s="750"/>
      <c r="DT238" s="752"/>
      <c r="DU238" s="750"/>
      <c r="DV238" s="752"/>
      <c r="DW238" s="750"/>
      <c r="DX238" s="752"/>
      <c r="DY238" s="750"/>
      <c r="DZ238" s="752"/>
      <c r="EA238" s="750"/>
      <c r="EB238" s="752"/>
      <c r="EC238" s="750"/>
      <c r="ED238" s="752"/>
      <c r="EE238" s="750"/>
      <c r="EF238" s="752"/>
      <c r="EG238" s="750"/>
      <c r="EH238" s="752"/>
      <c r="EI238" s="750"/>
      <c r="EJ238" s="752"/>
      <c r="EK238" s="750"/>
      <c r="EL238" s="752"/>
      <c r="EM238" s="750"/>
      <c r="EN238" s="752"/>
      <c r="EO238" s="750"/>
      <c r="EP238" s="752"/>
      <c r="EQ238" s="750"/>
      <c r="ER238" s="752"/>
      <c r="ES238" s="750"/>
      <c r="ET238" s="752"/>
      <c r="EU238" s="756"/>
      <c r="EV238" s="710"/>
    </row>
    <row r="239" spans="1:152" ht="12.75" hidden="1" customHeight="1" outlineLevel="1" x14ac:dyDescent="0.2">
      <c r="A239" s="749" t="s">
        <v>454</v>
      </c>
      <c r="B239" s="793"/>
      <c r="C239" s="756"/>
      <c r="D239" s="793"/>
      <c r="E239" s="756"/>
      <c r="F239" s="793"/>
      <c r="G239" s="756"/>
      <c r="H239" s="793"/>
      <c r="I239" s="752"/>
      <c r="J239" s="793"/>
      <c r="K239" s="752"/>
      <c r="L239" s="793"/>
      <c r="M239" s="752"/>
      <c r="N239" s="793"/>
      <c r="O239" s="752"/>
      <c r="P239" s="793"/>
      <c r="Q239" s="752"/>
      <c r="R239" s="793"/>
      <c r="S239" s="752"/>
      <c r="T239" s="793"/>
      <c r="U239" s="752"/>
      <c r="V239" s="793"/>
      <c r="W239" s="752"/>
      <c r="X239" s="793"/>
      <c r="Y239" s="752"/>
      <c r="Z239" s="793"/>
      <c r="AA239" s="752"/>
      <c r="AB239" s="793"/>
      <c r="AC239" s="752"/>
      <c r="AD239" s="793"/>
      <c r="AE239" s="752"/>
      <c r="AF239" s="793"/>
      <c r="AG239" s="752"/>
      <c r="AH239" s="793"/>
      <c r="AI239" s="752"/>
      <c r="AJ239" s="793"/>
      <c r="AK239" s="752"/>
      <c r="AL239" s="793"/>
      <c r="AM239" s="752"/>
      <c r="AN239" s="793"/>
      <c r="AO239" s="752"/>
      <c r="AP239" s="793"/>
      <c r="AQ239" s="752"/>
      <c r="AR239" s="793"/>
      <c r="AS239" s="752"/>
      <c r="AT239" s="793"/>
      <c r="AU239" s="752"/>
      <c r="AV239" s="793"/>
      <c r="AW239" s="752"/>
      <c r="AX239" s="793"/>
      <c r="AY239" s="752"/>
      <c r="AZ239" s="793"/>
      <c r="BA239" s="752"/>
      <c r="BB239" s="793"/>
      <c r="BC239" s="752"/>
      <c r="BD239" s="793"/>
      <c r="BE239" s="752"/>
      <c r="BF239" s="793"/>
      <c r="BG239" s="752"/>
      <c r="BH239" s="793"/>
      <c r="BI239" s="752"/>
      <c r="BJ239" s="793"/>
      <c r="BK239" s="752"/>
      <c r="BL239" s="793"/>
      <c r="BM239" s="752"/>
      <c r="BN239" s="793"/>
      <c r="BO239" s="752"/>
      <c r="BP239" s="793"/>
      <c r="BQ239" s="752"/>
      <c r="BR239" s="793"/>
      <c r="BS239" s="752"/>
      <c r="BT239" s="793"/>
      <c r="BU239" s="752"/>
      <c r="BV239" s="793"/>
      <c r="BW239" s="752"/>
      <c r="BX239" s="793"/>
      <c r="BY239" s="752"/>
      <c r="BZ239" s="793"/>
      <c r="CA239" s="752"/>
      <c r="CB239" s="793"/>
      <c r="CC239" s="752"/>
      <c r="CD239" s="793"/>
      <c r="CE239" s="752"/>
      <c r="CF239" s="793"/>
      <c r="CG239" s="752"/>
      <c r="CH239" s="793"/>
      <c r="CI239" s="752"/>
      <c r="CJ239" s="793"/>
      <c r="CK239" s="752"/>
      <c r="CL239" s="793"/>
      <c r="CM239" s="752"/>
      <c r="CN239" s="793"/>
      <c r="CO239" s="752"/>
      <c r="CP239" s="793"/>
      <c r="CQ239" s="752"/>
      <c r="CR239" s="793"/>
      <c r="CS239" s="752"/>
      <c r="CT239" s="793"/>
      <c r="CU239" s="752"/>
      <c r="CV239" s="793"/>
      <c r="CW239" s="752"/>
      <c r="CX239" s="793"/>
      <c r="CY239" s="752"/>
      <c r="CZ239" s="793"/>
      <c r="DA239" s="752"/>
      <c r="DB239" s="753"/>
      <c r="DC239" s="793"/>
      <c r="DD239" s="756"/>
      <c r="DE239" s="793"/>
      <c r="DF239" s="756"/>
      <c r="DG239" s="793"/>
      <c r="DH239" s="756"/>
      <c r="DI239" s="793"/>
      <c r="DJ239" s="756"/>
      <c r="DK239" s="793"/>
      <c r="DL239" s="752"/>
      <c r="DM239" s="793"/>
      <c r="DN239" s="752"/>
      <c r="DO239" s="793"/>
      <c r="DP239" s="752"/>
      <c r="DQ239" s="793"/>
      <c r="DR239" s="752"/>
      <c r="DS239" s="793"/>
      <c r="DT239" s="752"/>
      <c r="DU239" s="793"/>
      <c r="DV239" s="752"/>
      <c r="DW239" s="793"/>
      <c r="DX239" s="752"/>
      <c r="DY239" s="793"/>
      <c r="DZ239" s="752"/>
      <c r="EA239" s="793"/>
      <c r="EB239" s="752"/>
      <c r="EC239" s="793"/>
      <c r="ED239" s="752"/>
      <c r="EE239" s="793"/>
      <c r="EF239" s="752"/>
      <c r="EG239" s="793"/>
      <c r="EH239" s="752"/>
      <c r="EI239" s="793"/>
      <c r="EJ239" s="752"/>
      <c r="EK239" s="793"/>
      <c r="EL239" s="752"/>
      <c r="EM239" s="793"/>
      <c r="EN239" s="752"/>
      <c r="EO239" s="793"/>
      <c r="EP239" s="752"/>
      <c r="EQ239" s="793"/>
      <c r="ER239" s="752"/>
      <c r="ES239" s="793"/>
      <c r="ET239" s="752"/>
      <c r="EU239" s="756"/>
      <c r="EV239" s="710"/>
    </row>
    <row r="240" spans="1:152" ht="12.75" hidden="1" customHeight="1" outlineLevel="1" x14ac:dyDescent="0.2">
      <c r="A240" s="813" t="str">
        <f>INPUT!B194</f>
        <v>Total Benefits Expense</v>
      </c>
      <c r="B240" s="814">
        <f>INPUT!AS194</f>
        <v>129.1</v>
      </c>
      <c r="C240" s="756">
        <f>INPUT!AT194</f>
        <v>-0.23183925811438577</v>
      </c>
      <c r="D240" s="814">
        <f>INPUT!AU194</f>
        <v>137.80000000000001</v>
      </c>
      <c r="E240" s="756">
        <f>INPUT!AV194</f>
        <v>-1.851851851851849</v>
      </c>
      <c r="F240" s="814">
        <f>INPUT!AW194</f>
        <v>147.6</v>
      </c>
      <c r="G240" s="756">
        <f>INPUT!AX194</f>
        <v>1.0266940451745477</v>
      </c>
      <c r="H240" s="814">
        <f>INPUT!AY194</f>
        <v>139</v>
      </c>
      <c r="I240" s="752">
        <f>INPUT!AZ194</f>
        <v>7.0053887605850518</v>
      </c>
      <c r="J240" s="814">
        <f>INPUT!BA194</f>
        <v>135.80000000000001</v>
      </c>
      <c r="K240" s="752">
        <f>INPUT!BB194</f>
        <v>5.1897753679318592</v>
      </c>
      <c r="L240" s="814">
        <f>INPUT!BC194</f>
        <v>153.6</v>
      </c>
      <c r="M240" s="752">
        <f>INPUT!BD194</f>
        <v>11.465892597968065</v>
      </c>
      <c r="N240" s="814">
        <f>INPUT!BE194</f>
        <v>132</v>
      </c>
      <c r="O240" s="752">
        <f>INPUT!BF194</f>
        <v>-10.569105691056912</v>
      </c>
      <c r="P240" s="814">
        <f>INPUT!BG194</f>
        <v>152.9</v>
      </c>
      <c r="Q240" s="752">
        <f>INPUT!BH194</f>
        <v>10.000000000000009</v>
      </c>
      <c r="R240" s="814">
        <f>INPUT!BI194</f>
        <v>137.80000000000001</v>
      </c>
      <c r="S240" s="752">
        <f>INPUT!BJ194</f>
        <v>1.4727540500736325</v>
      </c>
      <c r="T240" s="814">
        <f>INPUT!BK194</f>
        <v>141</v>
      </c>
      <c r="U240" s="752">
        <f>INPUT!BL194</f>
        <v>-8.203125</v>
      </c>
      <c r="V240" s="814">
        <f>INPUT!BM194</f>
        <v>117.8</v>
      </c>
      <c r="W240" s="752">
        <f>INPUT!BN194</f>
        <v>-10.757575757575754</v>
      </c>
      <c r="X240" s="814">
        <f>INPUT!BO194</f>
        <v>114.8</v>
      </c>
      <c r="Y240" s="752">
        <f>INPUT!BP194</f>
        <v>-24.918247220405497</v>
      </c>
      <c r="Z240" s="814">
        <f>INPUT!BQ194</f>
        <v>86.8</v>
      </c>
      <c r="AA240" s="752">
        <f>INPUT!BR194</f>
        <v>-37.010159651669092</v>
      </c>
      <c r="AB240" s="814">
        <f>INPUT!BS194</f>
        <v>94.3</v>
      </c>
      <c r="AC240" s="752">
        <f>INPUT!BT194</f>
        <v>-33.120567375886523</v>
      </c>
      <c r="AD240" s="814">
        <f>INPUT!BU194</f>
        <v>85.2</v>
      </c>
      <c r="AE240" s="752">
        <f>INPUT!BV194</f>
        <v>-27.674023769100163</v>
      </c>
      <c r="AF240" s="814">
        <f>INPUT!BW194</f>
        <v>107.3</v>
      </c>
      <c r="AG240" s="752">
        <f>INPUT!BX194</f>
        <v>-6.5331010452961635</v>
      </c>
      <c r="AH240" s="814">
        <f>INPUT!BY194</f>
        <v>104.6</v>
      </c>
      <c r="AI240" s="752">
        <f>INPUT!BZ194</f>
        <v>20.506912442396306</v>
      </c>
      <c r="AJ240" s="814">
        <f>INPUT!CA194</f>
        <v>100.9</v>
      </c>
      <c r="AK240" s="752">
        <f>INPUT!CB194</f>
        <v>6.9989395546129485</v>
      </c>
      <c r="AL240" s="814">
        <f>INPUT!CC194</f>
        <v>108</v>
      </c>
      <c r="AM240" s="752">
        <f>INPUT!CD194</f>
        <v>26.760563380281678</v>
      </c>
      <c r="AN240" s="814">
        <f>INPUT!CE194</f>
        <v>122.3</v>
      </c>
      <c r="AO240" s="752">
        <f>INPUT!CF194</f>
        <v>13.979496738117426</v>
      </c>
      <c r="AP240" s="814">
        <f>INPUT!CG194</f>
        <v>115.8</v>
      </c>
      <c r="AQ240" s="752">
        <f>INPUT!CH194</f>
        <v>10.707456978967489</v>
      </c>
      <c r="AR240" s="814">
        <f>INPUT!CI194</f>
        <v>122.7</v>
      </c>
      <c r="AS240" s="752">
        <f>INPUT!CJ194</f>
        <v>21.605550049554001</v>
      </c>
      <c r="AT240" s="814">
        <f>INPUT!CK194</f>
        <v>138.30000000000001</v>
      </c>
      <c r="AU240" s="752">
        <f>INPUT!CL194</f>
        <v>28.055555555555568</v>
      </c>
      <c r="AV240" s="814">
        <f>INPUT!CM194</f>
        <v>117</v>
      </c>
      <c r="AW240" s="752">
        <f>INPUT!CN194</f>
        <v>-4.333605887162717</v>
      </c>
      <c r="AX240" s="814">
        <f>INPUT!CO194</f>
        <v>123.6</v>
      </c>
      <c r="AY240" s="752">
        <f>INPUT!CP194</f>
        <v>6.7357512953367893</v>
      </c>
      <c r="AZ240" s="814">
        <f>INPUT!CQ194</f>
        <v>147.9</v>
      </c>
      <c r="BA240" s="752">
        <f>INPUT!CR194</f>
        <v>20.537897310513454</v>
      </c>
      <c r="BB240" s="814">
        <f>INPUT!CS194</f>
        <v>136.19999999999999</v>
      </c>
      <c r="BC240" s="752">
        <f>INPUT!CT194</f>
        <v>-1.518438177874204</v>
      </c>
      <c r="BD240" s="814">
        <f>INPUT!CU194</f>
        <v>133.69999999999999</v>
      </c>
      <c r="BE240" s="752">
        <f>INPUT!CV194</f>
        <v>14.273504273504267</v>
      </c>
      <c r="BF240" s="814">
        <f>INPUT!CW194</f>
        <v>100</v>
      </c>
      <c r="BG240" s="752">
        <f>INPUT!CX194</f>
        <v>-19.09385113268608</v>
      </c>
      <c r="BH240" s="814">
        <f>INPUT!CY194</f>
        <v>115.8</v>
      </c>
      <c r="BI240" s="752">
        <f>INPUT!CZ194</f>
        <v>-21.703853955375262</v>
      </c>
      <c r="BJ240" s="814">
        <f>INPUT!DA194</f>
        <v>96.9</v>
      </c>
      <c r="BK240" s="752">
        <f>INPUT!DB194</f>
        <v>-28.854625550660785</v>
      </c>
      <c r="BL240" s="814">
        <f>INPUT!DC194</f>
        <v>100.6</v>
      </c>
      <c r="BM240" s="752">
        <f>INPUT!DD194</f>
        <v>-24.756918474195956</v>
      </c>
      <c r="BN240" s="814">
        <f>INPUT!DE194</f>
        <v>106.4</v>
      </c>
      <c r="BO240" s="752">
        <f>INPUT!DF194</f>
        <v>6.4000000000000057</v>
      </c>
      <c r="BP240" s="814">
        <f>INPUT!DG194</f>
        <v>114</v>
      </c>
      <c r="BQ240" s="752">
        <f>INPUT!DH194</f>
        <v>-1.5544041450777146</v>
      </c>
      <c r="BR240" s="814">
        <f>INPUT!DI194</f>
        <v>108</v>
      </c>
      <c r="BS240" s="752">
        <f>INPUT!DJ194</f>
        <v>11.455108359133126</v>
      </c>
      <c r="BT240" s="814">
        <f>INPUT!DK194</f>
        <v>102.6</v>
      </c>
      <c r="BU240" s="752">
        <f>INPUT!DL194</f>
        <v>1.9880715705765439</v>
      </c>
      <c r="BV240" s="814">
        <f>INPUT!DM194</f>
        <v>90.9</v>
      </c>
      <c r="BW240" s="752">
        <f>INPUT!DN194</f>
        <v>-14.56766917293233</v>
      </c>
      <c r="BX240" s="814">
        <f>INPUT!DO194</f>
        <v>100.6</v>
      </c>
      <c r="BY240" s="752">
        <f>INPUT!DP194</f>
        <v>-11.754385964912284</v>
      </c>
      <c r="BZ240" s="814">
        <f>INPUT!DQ194</f>
        <v>98</v>
      </c>
      <c r="CA240" s="752">
        <f>INPUT!DR194</f>
        <v>-9.259259259259256</v>
      </c>
      <c r="CB240" s="814">
        <f>INPUT!DS194</f>
        <v>105.3</v>
      </c>
      <c r="CC240" s="752">
        <f>INPUT!DT194</f>
        <v>2.6315789473684292</v>
      </c>
      <c r="CD240" s="814">
        <f>INPUT!DU194</f>
        <v>94.7</v>
      </c>
      <c r="CE240" s="752">
        <f>INPUT!DV194</f>
        <v>4.1804180418041792</v>
      </c>
      <c r="CF240" s="814">
        <f>INPUT!DW194</f>
        <v>98.8</v>
      </c>
      <c r="CG240" s="752">
        <f>INPUT!DX194</f>
        <v>-1.7892644135188873</v>
      </c>
      <c r="CH240" s="814">
        <f>INPUT!DY194</f>
        <v>91.3</v>
      </c>
      <c r="CI240" s="752">
        <f>INPUT!DZ194</f>
        <v>-6.8367346938775553</v>
      </c>
      <c r="CJ240" s="814">
        <f>INPUT!EA194</f>
        <v>82.6</v>
      </c>
      <c r="CK240" s="752">
        <f>INPUT!EB194</f>
        <v>-21.557454890788229</v>
      </c>
      <c r="CL240" s="814">
        <f>INPUT!EC194</f>
        <v>86.7</v>
      </c>
      <c r="CM240" s="752">
        <f>INPUT!ED194</f>
        <v>-8.4477296726504729</v>
      </c>
      <c r="CN240" s="814">
        <f>INPUT!EE194</f>
        <v>95.8</v>
      </c>
      <c r="CO240" s="752">
        <f>INPUT!EF194</f>
        <v>-3.0364372469635637</v>
      </c>
      <c r="CP240" s="814">
        <f>INPUT!EG194</f>
        <v>98.4</v>
      </c>
      <c r="CQ240" s="752">
        <f>INPUT!EH194</f>
        <v>7.7765607886089994</v>
      </c>
      <c r="CR240" s="814">
        <f>INPUT!EI194</f>
        <v>101</v>
      </c>
      <c r="CS240" s="752">
        <f>INPUT!EJ194</f>
        <v>22.276029055690081</v>
      </c>
      <c r="CT240" s="814">
        <f>INPUT!EK194</f>
        <v>104.02577457754137</v>
      </c>
      <c r="CU240" s="752">
        <f>INPUT!EL194</f>
        <v>19.983592361639403</v>
      </c>
      <c r="CV240" s="814">
        <f>INPUT!EM194</f>
        <v>105.33485656861097</v>
      </c>
      <c r="CW240" s="752">
        <f>INPUT!EN194</f>
        <v>9.9528774202619843</v>
      </c>
      <c r="CX240" s="814">
        <f>INPUT!EO194</f>
        <v>106.81089564624834</v>
      </c>
      <c r="CY240" s="752">
        <f>INPUT!EP194</f>
        <v>8.5476581770816296</v>
      </c>
      <c r="CZ240" s="814">
        <f>INPUT!EQ194</f>
        <v>106.52680279689004</v>
      </c>
      <c r="DA240" s="752">
        <f>INPUT!ER194</f>
        <v>5.4720819771188589</v>
      </c>
      <c r="DB240" s="753"/>
      <c r="DC240" s="814">
        <f>INPUT!FB194</f>
        <v>0</v>
      </c>
      <c r="DD240" s="756">
        <f>INPUT!FC194</f>
        <v>0</v>
      </c>
      <c r="DE240" s="814">
        <f>INPUT!FD194</f>
        <v>230.8</v>
      </c>
      <c r="DF240" s="756" t="str">
        <f>INPUT!FE194</f>
        <v>NA</v>
      </c>
      <c r="DG240" s="814">
        <f>INPUT!FF194</f>
        <v>344.5</v>
      </c>
      <c r="DH240" s="756">
        <f>INPUT!FG194</f>
        <v>49.263431542460999</v>
      </c>
      <c r="DI240" s="814">
        <f>INPUT!FH194</f>
        <v>464.5</v>
      </c>
      <c r="DJ240" s="756">
        <f>INPUT!FI194</f>
        <v>34.833091436865018</v>
      </c>
      <c r="DK240" s="814">
        <f>INPUT!FJ194</f>
        <v>545.79999999999995</v>
      </c>
      <c r="DL240" s="752">
        <f>INPUT!FK194</f>
        <v>17.502691065662003</v>
      </c>
      <c r="DM240" s="814">
        <f>INPUT!FL194</f>
        <v>553.5</v>
      </c>
      <c r="DN240" s="752">
        <f>INPUT!FM194</f>
        <v>1.4107731769879228</v>
      </c>
      <c r="DO240" s="814">
        <f>INPUT!FN194</f>
        <v>574.29999999999995</v>
      </c>
      <c r="DP240" s="752">
        <f>INPUT!FO194</f>
        <v>3.7579042457091205</v>
      </c>
      <c r="DQ240" s="814">
        <f>INPUT!FP194</f>
        <v>511.40000000000003</v>
      </c>
      <c r="DR240" s="752">
        <f>INPUT!FQ194</f>
        <v>-10.952463869057972</v>
      </c>
      <c r="DS240" s="814">
        <f>INPUT!FR194</f>
        <v>373.6</v>
      </c>
      <c r="DT240" s="752">
        <f>INPUT!FS194</f>
        <v>-26.945639421196709</v>
      </c>
      <c r="DU240" s="814">
        <f>INPUT!FT194</f>
        <v>435.8</v>
      </c>
      <c r="DV240" s="752">
        <f>INPUT!FU194</f>
        <v>16.648822269807283</v>
      </c>
      <c r="DW240" s="814">
        <f>INPUT!FV194</f>
        <v>493.8</v>
      </c>
      <c r="DX240" s="752">
        <f>INPUT!FW194</f>
        <v>13.30885727397888</v>
      </c>
      <c r="DY240" s="814">
        <f>INPUT!FX194</f>
        <v>541.4</v>
      </c>
      <c r="DZ240" s="752">
        <f>INPUT!FY194</f>
        <v>9.6395301741595709</v>
      </c>
      <c r="EA240" s="814">
        <f>INPUT!FZ194</f>
        <v>413.30000000000007</v>
      </c>
      <c r="EB240" s="752">
        <f>INPUT!GA194</f>
        <v>-23.660879202068696</v>
      </c>
      <c r="EC240" s="814">
        <f>INPUT!GB194</f>
        <v>431</v>
      </c>
      <c r="ED240" s="752">
        <f>INPUT!GC194</f>
        <v>4.2826034357609233</v>
      </c>
      <c r="EE240" s="814">
        <f>INPUT!GD194</f>
        <v>394.8</v>
      </c>
      <c r="EF240" s="752">
        <f>INPUT!GE194</f>
        <v>-8.399071925754054</v>
      </c>
      <c r="EG240" s="814">
        <f>INPUT!GF194</f>
        <v>367.4</v>
      </c>
      <c r="EH240" s="752">
        <f>INPUT!GG194</f>
        <v>-6.9402228976697122</v>
      </c>
      <c r="EI240" s="814">
        <f>INPUT!GH194</f>
        <v>381.9</v>
      </c>
      <c r="EJ240" s="752">
        <f>INPUT!GI194</f>
        <v>3.946652150244967</v>
      </c>
      <c r="EK240" s="814">
        <f>INPUT!GJ194</f>
        <v>422.69832958929072</v>
      </c>
      <c r="EL240" s="752">
        <f>INPUT!GK194</f>
        <v>10.682987585569714</v>
      </c>
      <c r="EM240" s="814">
        <f>INPUT!GL194</f>
        <v>439.02114792150462</v>
      </c>
      <c r="EN240" s="752">
        <f>INPUT!GM194</f>
        <v>3.861576256540622</v>
      </c>
      <c r="EO240" s="814">
        <f>INPUT!GN194</f>
        <v>455.97347439295277</v>
      </c>
      <c r="EP240" s="752">
        <f>INPUT!GO194</f>
        <v>3.8613917693275157</v>
      </c>
      <c r="EQ240" s="814">
        <f>INPUT!GP194</f>
        <v>473.57955314544245</v>
      </c>
      <c r="ER240" s="752">
        <f>INPUT!GQ194</f>
        <v>3.8612067896995672</v>
      </c>
      <c r="ES240" s="814">
        <f>INPUT!GR194</f>
        <v>492.52273527126016</v>
      </c>
      <c r="ET240" s="752">
        <f>INPUT!GS194</f>
        <v>4.0000000000000036</v>
      </c>
      <c r="EU240" s="756">
        <f>INPUT!GT194</f>
        <v>5.219279807964039</v>
      </c>
      <c r="EV240" s="710"/>
    </row>
    <row r="241" spans="1:152" ht="12.75" hidden="1" customHeight="1" outlineLevel="1" x14ac:dyDescent="0.2">
      <c r="A241" s="813" t="str">
        <f>INPUT!B195</f>
        <v xml:space="preserve">Commissions </v>
      </c>
      <c r="B241" s="814">
        <f>INPUT!AS195</f>
        <v>11.9</v>
      </c>
      <c r="C241" s="756">
        <f>INPUT!AT195</f>
        <v>-18.493150684931503</v>
      </c>
      <c r="D241" s="814">
        <f>INPUT!AU195</f>
        <v>11.2</v>
      </c>
      <c r="E241" s="756">
        <f>INPUT!AV195</f>
        <v>-5.8823529411764834</v>
      </c>
      <c r="F241" s="814">
        <f>INPUT!AW195</f>
        <v>13.8</v>
      </c>
      <c r="G241" s="756">
        <f>INPUT!AX195</f>
        <v>-4.8275862068965498</v>
      </c>
      <c r="H241" s="814">
        <f>INPUT!AY195</f>
        <v>12.8</v>
      </c>
      <c r="I241" s="752">
        <f>INPUT!AZ195</f>
        <v>-16.883116883116877</v>
      </c>
      <c r="J241" s="814">
        <f>INPUT!BA195</f>
        <v>15.4</v>
      </c>
      <c r="K241" s="752">
        <f>INPUT!BB195</f>
        <v>29.411764705882359</v>
      </c>
      <c r="L241" s="814">
        <f>INPUT!BC195</f>
        <v>17.899999999999999</v>
      </c>
      <c r="M241" s="752">
        <f>INPUT!BD195</f>
        <v>59.821428571428555</v>
      </c>
      <c r="N241" s="814">
        <f>INPUT!BE195</f>
        <v>16</v>
      </c>
      <c r="O241" s="752">
        <f>INPUT!BF195</f>
        <v>15.94202898550725</v>
      </c>
      <c r="P241" s="814">
        <f>INPUT!BG195</f>
        <v>17.7</v>
      </c>
      <c r="Q241" s="752">
        <f>INPUT!BH195</f>
        <v>38.281249999999979</v>
      </c>
      <c r="R241" s="814">
        <f>INPUT!BI195</f>
        <v>17.100000000000001</v>
      </c>
      <c r="S241" s="752">
        <f>INPUT!BJ195</f>
        <v>11.038961038961048</v>
      </c>
      <c r="T241" s="814">
        <f>INPUT!BK195</f>
        <v>13.7</v>
      </c>
      <c r="U241" s="752">
        <f>INPUT!BL195</f>
        <v>-23.463687150837988</v>
      </c>
      <c r="V241" s="814">
        <f>INPUT!BM195</f>
        <v>15.9</v>
      </c>
      <c r="W241" s="752">
        <f>INPUT!BN195</f>
        <v>-0.62499999999999778</v>
      </c>
      <c r="X241" s="814">
        <f>INPUT!BO195</f>
        <v>12.3</v>
      </c>
      <c r="Y241" s="752">
        <f>INPUT!BP195</f>
        <v>-30.508474576271183</v>
      </c>
      <c r="Z241" s="814">
        <f>INPUT!BQ195</f>
        <v>10.6</v>
      </c>
      <c r="AA241" s="752">
        <f>INPUT!BR195</f>
        <v>-38.011695906432749</v>
      </c>
      <c r="AB241" s="814">
        <f>INPUT!BS195</f>
        <v>11.6</v>
      </c>
      <c r="AC241" s="752">
        <f>INPUT!BT195</f>
        <v>-15.328467153284675</v>
      </c>
      <c r="AD241" s="814">
        <f>INPUT!BU195</f>
        <v>11.1</v>
      </c>
      <c r="AE241" s="752">
        <f>INPUT!BV195</f>
        <v>-30.188679245283023</v>
      </c>
      <c r="AF241" s="814">
        <f>INPUT!BW195</f>
        <v>13.4</v>
      </c>
      <c r="AG241" s="752">
        <f>INPUT!BX195</f>
        <v>8.9430894308943021</v>
      </c>
      <c r="AH241" s="814">
        <f>INPUT!BY195</f>
        <v>10.3</v>
      </c>
      <c r="AI241" s="752">
        <f>INPUT!BZ195</f>
        <v>-2.8301886792452713</v>
      </c>
      <c r="AJ241" s="814">
        <f>INPUT!CA195</f>
        <v>9.9</v>
      </c>
      <c r="AK241" s="752">
        <f>INPUT!CB195</f>
        <v>-14.655172413793094</v>
      </c>
      <c r="AL241" s="814">
        <f>INPUT!CC195</f>
        <v>11.7</v>
      </c>
      <c r="AM241" s="752">
        <f>INPUT!CD195</f>
        <v>5.4054054054053946</v>
      </c>
      <c r="AN241" s="814">
        <f>INPUT!CE195</f>
        <v>12.2</v>
      </c>
      <c r="AO241" s="752">
        <f>INPUT!CF195</f>
        <v>-8.9552238805970177</v>
      </c>
      <c r="AP241" s="814">
        <f>INPUT!CG195</f>
        <v>10.9</v>
      </c>
      <c r="AQ241" s="752">
        <f>INPUT!CH195</f>
        <v>5.8252427184465994</v>
      </c>
      <c r="AR241" s="814">
        <f>INPUT!CI195</f>
        <v>11.4</v>
      </c>
      <c r="AS241" s="752">
        <f>INPUT!CJ195</f>
        <v>15.151515151515159</v>
      </c>
      <c r="AT241" s="814">
        <f>INPUT!CK195</f>
        <v>11</v>
      </c>
      <c r="AU241" s="752">
        <f>INPUT!CL195</f>
        <v>-5.9829059829059723</v>
      </c>
      <c r="AV241" s="814">
        <f>INPUT!CM195</f>
        <v>12.4</v>
      </c>
      <c r="AW241" s="752">
        <f>INPUT!CN195</f>
        <v>1.6393442622950838</v>
      </c>
      <c r="AX241" s="814">
        <f>INPUT!CO195</f>
        <v>10.6</v>
      </c>
      <c r="AY241" s="752">
        <f>INPUT!CP195</f>
        <v>-2.7522935779816571</v>
      </c>
      <c r="AZ241" s="814">
        <f>INPUT!CQ195</f>
        <v>10</v>
      </c>
      <c r="BA241" s="752">
        <f>INPUT!CR195</f>
        <v>-12.280701754385969</v>
      </c>
      <c r="BB241" s="814">
        <f>INPUT!CS195</f>
        <v>11.1</v>
      </c>
      <c r="BC241" s="752">
        <f>INPUT!CT195</f>
        <v>0.90909090909090384</v>
      </c>
      <c r="BD241" s="814">
        <f>INPUT!CU195</f>
        <v>10.9</v>
      </c>
      <c r="BE241" s="752">
        <f>INPUT!CV195</f>
        <v>-12.096774193548388</v>
      </c>
      <c r="BF241" s="814">
        <f>INPUT!CW195</f>
        <v>10.3</v>
      </c>
      <c r="BG241" s="752">
        <f>INPUT!CX195</f>
        <v>-2.8301886792452713</v>
      </c>
      <c r="BH241" s="814">
        <f>INPUT!CY195</f>
        <v>8.5</v>
      </c>
      <c r="BI241" s="752">
        <f>INPUT!CZ195</f>
        <v>-15.000000000000002</v>
      </c>
      <c r="BJ241" s="814">
        <f>INPUT!DA195</f>
        <v>9.6</v>
      </c>
      <c r="BK241" s="752">
        <f>INPUT!DB195</f>
        <v>-13.513513513513509</v>
      </c>
      <c r="BL241" s="814">
        <f>INPUT!DC195</f>
        <v>9.6</v>
      </c>
      <c r="BM241" s="752">
        <f>INPUT!DD195</f>
        <v>-11.926605504587162</v>
      </c>
      <c r="BN241" s="814">
        <f>INPUT!DE195</f>
        <v>9.9</v>
      </c>
      <c r="BO241" s="752">
        <f>INPUT!DF195</f>
        <v>-3.8834951456310662</v>
      </c>
      <c r="BP241" s="814">
        <f>INPUT!DG195</f>
        <v>10.6</v>
      </c>
      <c r="BQ241" s="752">
        <f>INPUT!DH195</f>
        <v>24.705882352941178</v>
      </c>
      <c r="BR241" s="814">
        <f>INPUT!DI195</f>
        <v>11.5</v>
      </c>
      <c r="BS241" s="752">
        <f>INPUT!DJ195</f>
        <v>19.791666666666675</v>
      </c>
      <c r="BT241" s="814">
        <f>INPUT!DK195</f>
        <v>10.8</v>
      </c>
      <c r="BU241" s="752">
        <f>INPUT!DL195</f>
        <v>12.500000000000021</v>
      </c>
      <c r="BV241" s="814">
        <f>INPUT!DM195</f>
        <v>12</v>
      </c>
      <c r="BW241" s="752">
        <f>INPUT!DN195</f>
        <v>21.212121212121215</v>
      </c>
      <c r="BX241" s="814">
        <f>INPUT!DO195</f>
        <v>10.3</v>
      </c>
      <c r="BY241" s="752">
        <f>INPUT!DP195</f>
        <v>-2.8301886792452713</v>
      </c>
      <c r="BZ241" s="814">
        <f>INPUT!DQ195</f>
        <v>11.3</v>
      </c>
      <c r="CA241" s="752">
        <f>INPUT!DR195</f>
        <v>-1.7391304347825987</v>
      </c>
      <c r="CB241" s="814">
        <f>INPUT!DS195</f>
        <v>8.1999999999999993</v>
      </c>
      <c r="CC241" s="752">
        <f>INPUT!DT195</f>
        <v>-24.07407407407408</v>
      </c>
      <c r="CD241" s="814">
        <f>INPUT!DU195</f>
        <v>9</v>
      </c>
      <c r="CE241" s="752">
        <f>INPUT!DV195</f>
        <v>-25</v>
      </c>
      <c r="CF241" s="814">
        <f>INPUT!DW195</f>
        <v>9.6999999999999993</v>
      </c>
      <c r="CG241" s="752">
        <f>INPUT!DX195</f>
        <v>-5.82524271844661</v>
      </c>
      <c r="CH241" s="814">
        <f>INPUT!DY195</f>
        <v>9.1999999999999993</v>
      </c>
      <c r="CI241" s="752">
        <f>INPUT!DZ195</f>
        <v>-18.584070796460182</v>
      </c>
      <c r="CJ241" s="814">
        <f>INPUT!EA195</f>
        <v>11</v>
      </c>
      <c r="CK241" s="752">
        <f>INPUT!EB195</f>
        <v>34.146341463414643</v>
      </c>
      <c r="CL241" s="814">
        <f>INPUT!EC195</f>
        <v>8.8000000000000007</v>
      </c>
      <c r="CM241" s="752">
        <f>INPUT!ED195</f>
        <v>-2.2222222222222143</v>
      </c>
      <c r="CN241" s="814">
        <f>INPUT!EE195</f>
        <v>9</v>
      </c>
      <c r="CO241" s="752">
        <f>INPUT!EF195</f>
        <v>-7.2164948453608213</v>
      </c>
      <c r="CP241" s="814">
        <f>INPUT!EG195</f>
        <v>9.1999999999999993</v>
      </c>
      <c r="CQ241" s="752">
        <f>INPUT!EH195</f>
        <v>0</v>
      </c>
      <c r="CR241" s="814">
        <f>INPUT!EI195</f>
        <v>8.5</v>
      </c>
      <c r="CS241" s="752">
        <f>INPUT!EJ195</f>
        <v>-22.72727272727273</v>
      </c>
      <c r="CT241" s="814">
        <f>INPUT!EK195</f>
        <v>9.7090722939038603</v>
      </c>
      <c r="CU241" s="752">
        <f>INPUT!EL195</f>
        <v>10.330366976180215</v>
      </c>
      <c r="CV241" s="814">
        <f>INPUT!EM195</f>
        <v>9.8312532797370231</v>
      </c>
      <c r="CW241" s="752">
        <f>INPUT!EN195</f>
        <v>9.2361475526336001</v>
      </c>
      <c r="CX241" s="814">
        <f>INPUT!EO195</f>
        <v>9.9690169269831799</v>
      </c>
      <c r="CY241" s="752">
        <f>INPUT!EP195</f>
        <v>8.3588796411215185</v>
      </c>
      <c r="CZ241" s="814">
        <f>INPUT!EQ195</f>
        <v>9.8733878792218519</v>
      </c>
      <c r="DA241" s="752">
        <f>INPUT!ER195</f>
        <v>16.157504461433557</v>
      </c>
      <c r="DB241" s="753"/>
      <c r="DC241" s="814">
        <f>INPUT!FB195</f>
        <v>0</v>
      </c>
      <c r="DD241" s="756">
        <f>INPUT!FC195</f>
        <v>0</v>
      </c>
      <c r="DE241" s="814">
        <f>INPUT!FD195</f>
        <v>28.9</v>
      </c>
      <c r="DF241" s="756" t="str">
        <f>INPUT!FE195</f>
        <v>NA</v>
      </c>
      <c r="DG241" s="814">
        <f>INPUT!FF195</f>
        <v>34.1</v>
      </c>
      <c r="DH241" s="756">
        <f>INPUT!FG195</f>
        <v>17.993079584775096</v>
      </c>
      <c r="DI241" s="814">
        <f>INPUT!FH195</f>
        <v>48.9</v>
      </c>
      <c r="DJ241" s="756">
        <f>INPUT!FI195</f>
        <v>43.401759530791772</v>
      </c>
      <c r="DK241" s="814">
        <f>INPUT!FJ195</f>
        <v>56.4</v>
      </c>
      <c r="DL241" s="752">
        <f>INPUT!FK195</f>
        <v>15.337423312883436</v>
      </c>
      <c r="DM241" s="814">
        <f>INPUT!FL195</f>
        <v>49.7</v>
      </c>
      <c r="DN241" s="752">
        <f>INPUT!FM195</f>
        <v>-11.879432624113473</v>
      </c>
      <c r="DO241" s="814">
        <f>INPUT!FN195</f>
        <v>67</v>
      </c>
      <c r="DP241" s="752">
        <f>INPUT!FO195</f>
        <v>34.808853118712271</v>
      </c>
      <c r="DQ241" s="814">
        <f>INPUT!FP195</f>
        <v>59</v>
      </c>
      <c r="DR241" s="752">
        <f>INPUT!FQ195</f>
        <v>-11.940298507462687</v>
      </c>
      <c r="DS241" s="814">
        <f>INPUT!FR195</f>
        <v>46.699999999999996</v>
      </c>
      <c r="DT241" s="752">
        <f>INPUT!FS195</f>
        <v>-20.847457627118647</v>
      </c>
      <c r="DU241" s="814">
        <f>INPUT!FT195</f>
        <v>44.1</v>
      </c>
      <c r="DV241" s="752">
        <f>INPUT!FU195</f>
        <v>-5.5674518201284666</v>
      </c>
      <c r="DW241" s="814">
        <f>INPUT!FV195</f>
        <v>45.699999999999996</v>
      </c>
      <c r="DX241" s="752">
        <f>INPUT!FW195</f>
        <v>3.6281179138321962</v>
      </c>
      <c r="DY241" s="814">
        <f>INPUT!FX195</f>
        <v>42.6</v>
      </c>
      <c r="DZ241" s="752">
        <f>INPUT!FY195</f>
        <v>-6.7833698030634437</v>
      </c>
      <c r="EA241" s="814">
        <f>INPUT!FZ195</f>
        <v>38</v>
      </c>
      <c r="EB241" s="752">
        <f>INPUT!GA195</f>
        <v>-10.7981220657277</v>
      </c>
      <c r="EC241" s="814">
        <f>INPUT!GB195</f>
        <v>42.8</v>
      </c>
      <c r="ED241" s="752">
        <f>INPUT!GC195</f>
        <v>12.631578947368416</v>
      </c>
      <c r="EE241" s="814">
        <f>INPUT!GD195</f>
        <v>41.8</v>
      </c>
      <c r="EF241" s="752">
        <f>INPUT!GE195</f>
        <v>-2.3364485981308358</v>
      </c>
      <c r="EG241" s="814">
        <f>INPUT!GF195</f>
        <v>38.9</v>
      </c>
      <c r="EH241" s="752">
        <f>INPUT!GG195</f>
        <v>-6.9377990430621983</v>
      </c>
      <c r="EI241" s="814">
        <f>INPUT!GH195</f>
        <v>35.5</v>
      </c>
      <c r="EJ241" s="752">
        <f>INPUT!GI195</f>
        <v>-8.7403598971722332</v>
      </c>
      <c r="EK241" s="814">
        <f>INPUT!GJ195</f>
        <v>39.382730379845917</v>
      </c>
      <c r="EL241" s="752">
        <f>INPUT!GK195</f>
        <v>10.937268675622303</v>
      </c>
      <c r="EM241" s="814">
        <f>INPUT!GL195</f>
        <v>40.958039595039757</v>
      </c>
      <c r="EN241" s="752">
        <f>INPUT!GM195</f>
        <v>4.0000000000000036</v>
      </c>
      <c r="EO241" s="814">
        <f>INPUT!GN195</f>
        <v>42.596361178841342</v>
      </c>
      <c r="EP241" s="752">
        <f>INPUT!GO195</f>
        <v>3.9999999999999813</v>
      </c>
      <c r="EQ241" s="814">
        <f>INPUT!GP195</f>
        <v>44.300215625994994</v>
      </c>
      <c r="ER241" s="752">
        <f>INPUT!GQ195</f>
        <v>4.0000000000000036</v>
      </c>
      <c r="ES241" s="814">
        <f>INPUT!GR195</f>
        <v>46.072224251034797</v>
      </c>
      <c r="ET241" s="752">
        <f>INPUT!GS195</f>
        <v>4.0000000000000036</v>
      </c>
      <c r="EU241" s="756">
        <f>INPUT!GT195</f>
        <v>5.3518497474211779</v>
      </c>
      <c r="EV241" s="710"/>
    </row>
    <row r="242" spans="1:152" ht="12.75" hidden="1" customHeight="1" outlineLevel="1" x14ac:dyDescent="0.2">
      <c r="A242" s="813" t="str">
        <f>INPUT!B196</f>
        <v>Net Change in DPAC</v>
      </c>
      <c r="B242" s="814">
        <f>INPUT!AS196</f>
        <v>-2.8999999999999995</v>
      </c>
      <c r="C242" s="756">
        <f>INPUT!AT196</f>
        <v>-14.705882352941202</v>
      </c>
      <c r="D242" s="814">
        <f>INPUT!AU196</f>
        <v>-3.3</v>
      </c>
      <c r="E242" s="756">
        <f>INPUT!AV196</f>
        <v>-28.260869565217394</v>
      </c>
      <c r="F242" s="814">
        <f>INPUT!AW196</f>
        <v>-0.7000000000000004</v>
      </c>
      <c r="G242" s="756" t="str">
        <f>INPUT!AX196</f>
        <v>NM</v>
      </c>
      <c r="H242" s="814">
        <f>INPUT!AY196</f>
        <v>7.7999999999999989</v>
      </c>
      <c r="I242" s="752" t="str">
        <f>INPUT!AZ196</f>
        <v>NM</v>
      </c>
      <c r="J242" s="814">
        <f>INPUT!BA196</f>
        <v>2.5999999999999996</v>
      </c>
      <c r="K242" s="752" t="str">
        <f>INPUT!BB196</f>
        <v>NM</v>
      </c>
      <c r="L242" s="814">
        <f>INPUT!BC196</f>
        <v>1.9000000000000004</v>
      </c>
      <c r="M242" s="752" t="str">
        <f>INPUT!BD196</f>
        <v>NM</v>
      </c>
      <c r="N242" s="814">
        <f>INPUT!BE196</f>
        <v>1.9000000000000004</v>
      </c>
      <c r="O242" s="752" t="str">
        <f>INPUT!BF196</f>
        <v>NM</v>
      </c>
      <c r="P242" s="814">
        <f>INPUT!BG196</f>
        <v>1.8000000000000007</v>
      </c>
      <c r="Q242" s="752" t="str">
        <f>INPUT!BH196</f>
        <v>NM</v>
      </c>
      <c r="R242" s="814">
        <f>INPUT!BI196</f>
        <v>-1.1999999999999993</v>
      </c>
      <c r="S242" s="752" t="str">
        <f>INPUT!BJ196</f>
        <v>NM</v>
      </c>
      <c r="T242" s="814">
        <f>INPUT!BK196</f>
        <v>-3.5999999999999996</v>
      </c>
      <c r="U242" s="752" t="str">
        <f>INPUT!BL196</f>
        <v>NM</v>
      </c>
      <c r="V242" s="814">
        <f>INPUT!BM196</f>
        <v>-1.5</v>
      </c>
      <c r="W242" s="752" t="str">
        <f>INPUT!BN196</f>
        <v>NM</v>
      </c>
      <c r="X242" s="814">
        <f>INPUT!BO196</f>
        <v>1.3000000000000007</v>
      </c>
      <c r="Y242" s="752">
        <f>INPUT!BP196</f>
        <v>-27.777777777777768</v>
      </c>
      <c r="Z242" s="814">
        <f>INPUT!BQ196</f>
        <v>1</v>
      </c>
      <c r="AA242" s="752" t="str">
        <f>INPUT!BR196</f>
        <v>NM</v>
      </c>
      <c r="AB242" s="814">
        <f>INPUT!BS196</f>
        <v>0.70000000000000018</v>
      </c>
      <c r="AC242" s="752" t="str">
        <f>INPUT!BT196</f>
        <v>NM</v>
      </c>
      <c r="AD242" s="814">
        <f>INPUT!BU196</f>
        <v>-0.20000000000000018</v>
      </c>
      <c r="AE242" s="752" t="str">
        <f>INPUT!BV196</f>
        <v>NM</v>
      </c>
      <c r="AF242" s="814">
        <f>INPUT!BW196</f>
        <v>-9.9999999999999645E-2</v>
      </c>
      <c r="AG242" s="752" t="str">
        <f>INPUT!BX196</f>
        <v>NM</v>
      </c>
      <c r="AH242" s="814">
        <f>INPUT!BY196</f>
        <v>0.20000000000000018</v>
      </c>
      <c r="AI242" s="752" t="str">
        <f>INPUT!BZ196</f>
        <v>NM</v>
      </c>
      <c r="AJ242" s="814">
        <f>INPUT!CA196</f>
        <v>-0.5</v>
      </c>
      <c r="AK242" s="752" t="str">
        <f>INPUT!CB196</f>
        <v>NM</v>
      </c>
      <c r="AL242" s="814">
        <f>INPUT!CC196</f>
        <v>-0.40000000000000036</v>
      </c>
      <c r="AM242" s="752">
        <f>INPUT!CD196</f>
        <v>100</v>
      </c>
      <c r="AN242" s="814">
        <f>INPUT!CE196</f>
        <v>-0.80000000000000027</v>
      </c>
      <c r="AO242" s="752" t="str">
        <f>INPUT!CF196</f>
        <v>NM</v>
      </c>
      <c r="AP242" s="814">
        <f>INPUT!CG196</f>
        <v>0.29999999999999982</v>
      </c>
      <c r="AQ242" s="752">
        <f>INPUT!CH196</f>
        <v>49.99999999999978</v>
      </c>
      <c r="AR242" s="814">
        <f>INPUT!CI196</f>
        <v>-0.29999999999999982</v>
      </c>
      <c r="AS242" s="752">
        <f>INPUT!CJ196</f>
        <v>-40.000000000000036</v>
      </c>
      <c r="AT242" s="814">
        <f>INPUT!CK196</f>
        <v>0.29999999999999982</v>
      </c>
      <c r="AU242" s="752" t="str">
        <f>INPUT!CL196</f>
        <v>NM</v>
      </c>
      <c r="AV242" s="814">
        <f>INPUT!CM196</f>
        <v>-0.40000000000000036</v>
      </c>
      <c r="AW242" s="752">
        <f>INPUT!CN196</f>
        <v>-49.999999999999979</v>
      </c>
      <c r="AX242" s="814">
        <f>INPUT!CO196</f>
        <v>0.29999999999999982</v>
      </c>
      <c r="AY242" s="752">
        <f>INPUT!CP196</f>
        <v>0</v>
      </c>
      <c r="AZ242" s="814">
        <f>INPUT!CQ196</f>
        <v>0.59999999999999964</v>
      </c>
      <c r="BA242" s="752" t="str">
        <f>INPUT!CR196</f>
        <v>NM</v>
      </c>
      <c r="BB242" s="814">
        <f>INPUT!CS196</f>
        <v>1</v>
      </c>
      <c r="BC242" s="752" t="str">
        <f>INPUT!CT196</f>
        <v>NM</v>
      </c>
      <c r="BD242" s="814">
        <f>INPUT!CU196</f>
        <v>2</v>
      </c>
      <c r="BE242" s="752" t="str">
        <f>INPUT!CV196</f>
        <v>NM</v>
      </c>
      <c r="BF242" s="814">
        <f>INPUT!CW196</f>
        <v>1.7999999999999998</v>
      </c>
      <c r="BG242" s="752" t="str">
        <f>INPUT!CX196</f>
        <v>NM</v>
      </c>
      <c r="BH242" s="814">
        <f>INPUT!CY196</f>
        <v>1.1000000000000001</v>
      </c>
      <c r="BI242" s="752">
        <f>INPUT!CZ196</f>
        <v>83.333333333333456</v>
      </c>
      <c r="BJ242" s="814">
        <f>INPUT!DA196</f>
        <v>1.2000000000000002</v>
      </c>
      <c r="BK242" s="752">
        <f>INPUT!DB196</f>
        <v>20.000000000000018</v>
      </c>
      <c r="BL242" s="814">
        <f>INPUT!DC196</f>
        <v>0.79999999999999982</v>
      </c>
      <c r="BM242" s="752" t="str">
        <f>INPUT!DD196</f>
        <v>NM</v>
      </c>
      <c r="BN242" s="814">
        <f>INPUT!DE196</f>
        <v>1</v>
      </c>
      <c r="BO242" s="752">
        <f>INPUT!DF196</f>
        <v>-44.444444444444443</v>
      </c>
      <c r="BP242" s="814">
        <f>INPUT!DG196</f>
        <v>0.70000000000000018</v>
      </c>
      <c r="BQ242" s="752">
        <f>INPUT!DH196</f>
        <v>-36.363636363636353</v>
      </c>
      <c r="BR242" s="814">
        <f>INPUT!DI196</f>
        <v>0.30000000000000027</v>
      </c>
      <c r="BS242" s="752" t="str">
        <f>INPUT!DJ196</f>
        <v>NM</v>
      </c>
      <c r="BT242" s="814">
        <f>INPUT!DK196</f>
        <v>0</v>
      </c>
      <c r="BU242" s="752" t="str">
        <f>INPUT!DL196</f>
        <v>NM</v>
      </c>
      <c r="BV242" s="814">
        <f>INPUT!DM196</f>
        <v>0.79999999999999982</v>
      </c>
      <c r="BW242" s="752">
        <f>INPUT!DN196</f>
        <v>-20.000000000000018</v>
      </c>
      <c r="BX242" s="814">
        <f>INPUT!DO196</f>
        <v>0.19999999999999973</v>
      </c>
      <c r="BY242" s="752" t="str">
        <f>INPUT!DP196</f>
        <v>NM</v>
      </c>
      <c r="BZ242" s="814">
        <f>INPUT!DQ196</f>
        <v>0.60000000000000009</v>
      </c>
      <c r="CA242" s="752">
        <f>INPUT!DR196</f>
        <v>99.999999999999844</v>
      </c>
      <c r="CB242" s="814">
        <f>INPUT!DS196</f>
        <v>0.10000000000000009</v>
      </c>
      <c r="CC242" s="752" t="str">
        <f>INPUT!DT196</f>
        <v>NA</v>
      </c>
      <c r="CD242" s="814">
        <f>INPUT!DU196</f>
        <v>0.70000000000000018</v>
      </c>
      <c r="CE242" s="752">
        <f>INPUT!DV196</f>
        <v>-12.499999999999956</v>
      </c>
      <c r="CF242" s="814">
        <f>INPUT!DW196</f>
        <v>0.39999999999999991</v>
      </c>
      <c r="CG242" s="752">
        <f>INPUT!DX196</f>
        <v>100.00000000000023</v>
      </c>
      <c r="CH242" s="814">
        <f>INPUT!DY196</f>
        <v>0.19999999999999973</v>
      </c>
      <c r="CI242" s="752" t="str">
        <f>INPUT!DZ196</f>
        <v>NM</v>
      </c>
      <c r="CJ242" s="814">
        <f>INPUT!EA196</f>
        <v>0.19999999999999973</v>
      </c>
      <c r="CK242" s="752">
        <f>INPUT!EB196</f>
        <v>99.999999999999559</v>
      </c>
      <c r="CL242" s="814">
        <f>INPUT!EC196</f>
        <v>0.40000000000000013</v>
      </c>
      <c r="CM242" s="752">
        <f>INPUT!ED196</f>
        <v>-42.857142857142847</v>
      </c>
      <c r="CN242" s="814">
        <f>INPUT!EE196</f>
        <v>0.29999999999999982</v>
      </c>
      <c r="CO242" s="752">
        <f>INPUT!EF196</f>
        <v>-25.000000000000021</v>
      </c>
      <c r="CP242" s="814">
        <f>INPUT!EG196</f>
        <v>0.69999999999999973</v>
      </c>
      <c r="CQ242" s="752" t="str">
        <f>INPUT!EH196</f>
        <v>NM</v>
      </c>
      <c r="CR242" s="814">
        <f>INPUT!EI196</f>
        <v>0.69999999999999973</v>
      </c>
      <c r="CS242" s="752" t="str">
        <f>INPUT!EJ196</f>
        <v>NM</v>
      </c>
      <c r="CT242" s="814">
        <f>INPUT!EK196</f>
        <v>0.45511753996361343</v>
      </c>
      <c r="CU242" s="752">
        <f>INPUT!EL196</f>
        <v>13.779384990903321</v>
      </c>
      <c r="CV242" s="814">
        <f>INPUT!EM196</f>
        <v>0.33064163054456669</v>
      </c>
      <c r="CW242" s="752">
        <f>INPUT!EN196</f>
        <v>10.213876848188953</v>
      </c>
      <c r="CX242" s="814">
        <f>INPUT!EO196</f>
        <v>0.75434717551617592</v>
      </c>
      <c r="CY242" s="752">
        <f>INPUT!EP196</f>
        <v>7.763882216596607</v>
      </c>
      <c r="CZ242" s="814">
        <f>INPUT!EQ196</f>
        <v>0.73646999410823955</v>
      </c>
      <c r="DA242" s="752">
        <f>INPUT!ER196</f>
        <v>5.2099991583199667</v>
      </c>
      <c r="DB242" s="753"/>
      <c r="DC242" s="814">
        <f>INPUT!FB196</f>
        <v>0</v>
      </c>
      <c r="DD242" s="756">
        <f>INPUT!FC196</f>
        <v>0</v>
      </c>
      <c r="DE242" s="814">
        <f>INPUT!FD196</f>
        <v>-15.8</v>
      </c>
      <c r="DF242" s="756" t="str">
        <f>INPUT!FE196</f>
        <v>NA</v>
      </c>
      <c r="DG242" s="814">
        <f>INPUT!FF196</f>
        <v>-16.600000000000001</v>
      </c>
      <c r="DH242" s="756">
        <f>INPUT!FG196</f>
        <v>5.0632911392405111</v>
      </c>
      <c r="DI242" s="814">
        <f>INPUT!FH196</f>
        <v>-18.500000000000004</v>
      </c>
      <c r="DJ242" s="756">
        <f>INPUT!FI196</f>
        <v>11.44578313253013</v>
      </c>
      <c r="DK242" s="814">
        <f>INPUT!FJ196</f>
        <v>-12.5</v>
      </c>
      <c r="DL242" s="752">
        <f>INPUT!FK196</f>
        <v>-32.432432432432442</v>
      </c>
      <c r="DM242" s="814">
        <f>INPUT!FL196</f>
        <v>0.89999999999999947</v>
      </c>
      <c r="DN242" s="752" t="str">
        <f>INPUT!FM196</f>
        <v>NM</v>
      </c>
      <c r="DO242" s="814">
        <f>INPUT!FN196</f>
        <v>8.2000000000000011</v>
      </c>
      <c r="DP242" s="752" t="str">
        <f>INPUT!FO196</f>
        <v>NM</v>
      </c>
      <c r="DQ242" s="814">
        <f>INPUT!FP196</f>
        <v>-4.9999999999999982</v>
      </c>
      <c r="DR242" s="752" t="str">
        <f>INPUT!FQ196</f>
        <v>NM</v>
      </c>
      <c r="DS242" s="814">
        <f>INPUT!FR196</f>
        <v>-1</v>
      </c>
      <c r="DT242" s="752" t="str">
        <f>INPUT!FS196</f>
        <v>NM</v>
      </c>
      <c r="DU242" s="814">
        <f>INPUT!FT196</f>
        <v>-1.5000000000000004</v>
      </c>
      <c r="DV242" s="752">
        <f>INPUT!FU196</f>
        <v>50.000000000000043</v>
      </c>
      <c r="DW242" s="814">
        <f>INPUT!FV196</f>
        <v>-0.10000000000000053</v>
      </c>
      <c r="DX242" s="752" t="str">
        <f>INPUT!FW196</f>
        <v>NM</v>
      </c>
      <c r="DY242" s="814">
        <f>INPUT!FX196</f>
        <v>3.8999999999999995</v>
      </c>
      <c r="DZ242" s="752" t="str">
        <f>INPUT!FY196</f>
        <v>NM</v>
      </c>
      <c r="EA242" s="814">
        <f>INPUT!FZ196</f>
        <v>4.8999999999999995</v>
      </c>
      <c r="EB242" s="752">
        <f>INPUT!GA196</f>
        <v>25.641025641025639</v>
      </c>
      <c r="EC242" s="814">
        <f>INPUT!GB196</f>
        <v>2.0000000000000004</v>
      </c>
      <c r="ED242" s="752" t="str">
        <f>INPUT!GC196</f>
        <v>NM</v>
      </c>
      <c r="EE242" s="814">
        <f>INPUT!GD196</f>
        <v>1.6999999999999997</v>
      </c>
      <c r="EF242" s="752">
        <f>INPUT!GE196</f>
        <v>-15.000000000000036</v>
      </c>
      <c r="EG242" s="814">
        <f>INPUT!GF196</f>
        <v>1.4999999999999996</v>
      </c>
      <c r="EH242" s="752">
        <f>INPUT!GG196</f>
        <v>-11.764705882352954</v>
      </c>
      <c r="EI242" s="814">
        <f>INPUT!GH196</f>
        <v>2.0999999999999996</v>
      </c>
      <c r="EJ242" s="752">
        <f>INPUT!GI196</f>
        <v>40.000000000000014</v>
      </c>
      <c r="EK242" s="814">
        <f>INPUT!GJ196</f>
        <v>2.2765763401325954</v>
      </c>
      <c r="EL242" s="752">
        <f>INPUT!GK196</f>
        <v>8.4083971491712326</v>
      </c>
      <c r="EM242" s="814">
        <f>INPUT!GL196</f>
        <v>2.2765763401325954</v>
      </c>
      <c r="EN242" s="752">
        <f>INPUT!GM196</f>
        <v>0</v>
      </c>
      <c r="EO242" s="814">
        <f>INPUT!GN196</f>
        <v>2.2765763401325954</v>
      </c>
      <c r="EP242" s="752">
        <f>INPUT!GO196</f>
        <v>0</v>
      </c>
      <c r="EQ242" s="814">
        <f>INPUT!GP196</f>
        <v>2.2765763401325954</v>
      </c>
      <c r="ER242" s="752">
        <f>INPUT!GQ196</f>
        <v>0</v>
      </c>
      <c r="ES242" s="814">
        <f>INPUT!GR196</f>
        <v>2.2765763401325954</v>
      </c>
      <c r="ET242" s="752">
        <f>INPUT!GS196</f>
        <v>0</v>
      </c>
      <c r="EU242" s="756">
        <f>INPUT!GT196</f>
        <v>1.6278141387398026</v>
      </c>
      <c r="EV242" s="710"/>
    </row>
    <row r="243" spans="1:152" ht="12.75" hidden="1" customHeight="1" outlineLevel="1" x14ac:dyDescent="0.2">
      <c r="A243" s="813" t="str">
        <f>INPUT!B197</f>
        <v>Operating Expenses</v>
      </c>
      <c r="B243" s="814">
        <f>INPUT!AS197</f>
        <v>37</v>
      </c>
      <c r="C243" s="756">
        <f>INPUT!AT197</f>
        <v>-8.1885856079404249</v>
      </c>
      <c r="D243" s="814">
        <f>INPUT!AU197</f>
        <v>38.699999999999996</v>
      </c>
      <c r="E243" s="756">
        <f>INPUT!AV197</f>
        <v>-11.238532110091759</v>
      </c>
      <c r="F243" s="814">
        <f>INPUT!AW197</f>
        <v>39.299999999999997</v>
      </c>
      <c r="G243" s="756">
        <f>INPUT!AX197</f>
        <v>-4.842615012106533</v>
      </c>
      <c r="H243" s="814">
        <f>INPUT!AY197</f>
        <v>40.6</v>
      </c>
      <c r="I243" s="752">
        <f>INPUT!AZ197</f>
        <v>-5.5813953488372032</v>
      </c>
      <c r="J243" s="814">
        <f>INPUT!BA197</f>
        <v>40.9</v>
      </c>
      <c r="K243" s="752">
        <f>INPUT!BB197</f>
        <v>10.540540540540544</v>
      </c>
      <c r="L243" s="814">
        <f>INPUT!BC197</f>
        <v>46.1</v>
      </c>
      <c r="M243" s="752">
        <f>INPUT!BD197</f>
        <v>19.121447028423798</v>
      </c>
      <c r="N243" s="814">
        <f>INPUT!BE197</f>
        <v>44.8</v>
      </c>
      <c r="O243" s="752">
        <f>INPUT!BF197</f>
        <v>13.994910941475824</v>
      </c>
      <c r="P243" s="814">
        <f>INPUT!BG197</f>
        <v>51.7</v>
      </c>
      <c r="Q243" s="752">
        <f>INPUT!BH197</f>
        <v>27.33990147783252</v>
      </c>
      <c r="R243" s="814">
        <f>INPUT!BI197</f>
        <v>45.3</v>
      </c>
      <c r="S243" s="752">
        <f>INPUT!BJ197</f>
        <v>10.757946210268955</v>
      </c>
      <c r="T243" s="814">
        <f>INPUT!BK197</f>
        <v>49.7</v>
      </c>
      <c r="U243" s="752">
        <f>INPUT!BL197</f>
        <v>7.8091106290672396</v>
      </c>
      <c r="V243" s="814">
        <f>INPUT!BM197</f>
        <v>46.7</v>
      </c>
      <c r="W243" s="752">
        <f>INPUT!BN197</f>
        <v>4.2410714285714413</v>
      </c>
      <c r="X243" s="814">
        <f>INPUT!BO197</f>
        <v>42.1</v>
      </c>
      <c r="Y243" s="752">
        <f>INPUT!BP197</f>
        <v>-18.568665377176018</v>
      </c>
      <c r="Z243" s="814">
        <f>INPUT!BQ197</f>
        <v>29.8</v>
      </c>
      <c r="AA243" s="752">
        <f>INPUT!BR197</f>
        <v>-34.216335540838848</v>
      </c>
      <c r="AB243" s="814">
        <f>INPUT!BS197</f>
        <v>34.4</v>
      </c>
      <c r="AC243" s="752">
        <f>INPUT!BT197</f>
        <v>-30.784708249496983</v>
      </c>
      <c r="AD243" s="814">
        <f>INPUT!BU197</f>
        <v>38</v>
      </c>
      <c r="AE243" s="752">
        <f>INPUT!BV197</f>
        <v>-18.629550321199151</v>
      </c>
      <c r="AF243" s="814">
        <f>INPUT!BW197</f>
        <v>39.5</v>
      </c>
      <c r="AG243" s="752">
        <f>INPUT!BX197</f>
        <v>-6.1757719714964354</v>
      </c>
      <c r="AH243" s="814">
        <f>INPUT!BY197</f>
        <v>30.4</v>
      </c>
      <c r="AI243" s="752">
        <f>INPUT!BZ197</f>
        <v>2.0134228187919323</v>
      </c>
      <c r="AJ243" s="814">
        <f>INPUT!CA197</f>
        <v>33.299999999999997</v>
      </c>
      <c r="AK243" s="752">
        <f>INPUT!CB197</f>
        <v>-3.1976744186046568</v>
      </c>
      <c r="AL243" s="814">
        <f>INPUT!CC197</f>
        <v>33.5</v>
      </c>
      <c r="AM243" s="752">
        <f>INPUT!CD197</f>
        <v>-11.842105263157897</v>
      </c>
      <c r="AN243" s="814">
        <f>INPUT!CE197</f>
        <v>37.700000000000003</v>
      </c>
      <c r="AO243" s="752">
        <f>INPUT!CF197</f>
        <v>-4.5569620253164462</v>
      </c>
      <c r="AP243" s="814">
        <f>INPUT!CG197</f>
        <v>36.200000000000003</v>
      </c>
      <c r="AQ243" s="752">
        <f>INPUT!CH197</f>
        <v>19.078947368421062</v>
      </c>
      <c r="AR243" s="814">
        <f>INPUT!CI197</f>
        <v>37.9</v>
      </c>
      <c r="AS243" s="752">
        <f>INPUT!CJ197</f>
        <v>13.813813813813812</v>
      </c>
      <c r="AT243" s="814">
        <f>INPUT!CK197</f>
        <v>34.5</v>
      </c>
      <c r="AU243" s="752">
        <f>INPUT!CL197</f>
        <v>2.9850746268656803</v>
      </c>
      <c r="AV243" s="814">
        <f>INPUT!CM197</f>
        <v>39.1</v>
      </c>
      <c r="AW243" s="752">
        <f>INPUT!CN197</f>
        <v>3.7135278514588865</v>
      </c>
      <c r="AX243" s="814">
        <f>INPUT!CO197</f>
        <v>34</v>
      </c>
      <c r="AY243" s="752">
        <f>INPUT!CP197</f>
        <v>-6.0773480662983488</v>
      </c>
      <c r="AZ243" s="814">
        <f>INPUT!CQ197</f>
        <v>33.9</v>
      </c>
      <c r="BA243" s="752">
        <f>INPUT!CR197</f>
        <v>-10.554089709762538</v>
      </c>
      <c r="BB243" s="814">
        <f>INPUT!CS197</f>
        <v>34.200000000000003</v>
      </c>
      <c r="BC243" s="752">
        <f>INPUT!CT197</f>
        <v>-0.86956521739129933</v>
      </c>
      <c r="BD243" s="814">
        <f>INPUT!CU197</f>
        <v>44.2</v>
      </c>
      <c r="BE243" s="752">
        <f>INPUT!CV197</f>
        <v>13.043478260869579</v>
      </c>
      <c r="BF243" s="814">
        <f>INPUT!CW197</f>
        <v>31.3</v>
      </c>
      <c r="BG243" s="752">
        <f>INPUT!CX197</f>
        <v>-7.9411764705882293</v>
      </c>
      <c r="BH243" s="814">
        <f>INPUT!CY197</f>
        <v>24</v>
      </c>
      <c r="BI243" s="752">
        <f>INPUT!CZ197</f>
        <v>-29.20353982300885</v>
      </c>
      <c r="BJ243" s="814">
        <f>INPUT!DA197</f>
        <v>28.7</v>
      </c>
      <c r="BK243" s="752">
        <f>INPUT!DB197</f>
        <v>-16.081871345029253</v>
      </c>
      <c r="BL243" s="814">
        <f>INPUT!DC197</f>
        <v>33</v>
      </c>
      <c r="BM243" s="752">
        <f>INPUT!DD197</f>
        <v>-25.339366515837114</v>
      </c>
      <c r="BN243" s="814">
        <f>INPUT!DE197</f>
        <v>31.4</v>
      </c>
      <c r="BO243" s="752">
        <f>INPUT!DF197</f>
        <v>0.31948881789136685</v>
      </c>
      <c r="BP243" s="814">
        <f>INPUT!DG197</f>
        <v>33.6</v>
      </c>
      <c r="BQ243" s="752">
        <f>INPUT!DH197</f>
        <v>40.000000000000014</v>
      </c>
      <c r="BR243" s="814">
        <f>INPUT!DI197</f>
        <v>33.700000000000003</v>
      </c>
      <c r="BS243" s="752">
        <f>INPUT!DJ197</f>
        <v>17.421602787456457</v>
      </c>
      <c r="BT243" s="814">
        <f>INPUT!DK197</f>
        <v>35.9</v>
      </c>
      <c r="BU243" s="752">
        <f>INPUT!DL197</f>
        <v>8.787878787878789</v>
      </c>
      <c r="BV243" s="814">
        <f>INPUT!DM197</f>
        <v>26.2</v>
      </c>
      <c r="BW243" s="752">
        <f>INPUT!DN197</f>
        <v>-16.560509554140125</v>
      </c>
      <c r="BX243" s="814">
        <f>INPUT!DO197</f>
        <v>31.4</v>
      </c>
      <c r="BY243" s="752">
        <f>INPUT!DP197</f>
        <v>-6.5476190476190581</v>
      </c>
      <c r="BZ243" s="814">
        <f>INPUT!DQ197</f>
        <v>30</v>
      </c>
      <c r="CA243" s="752">
        <f>INPUT!DR197</f>
        <v>-10.979228486646896</v>
      </c>
      <c r="CB243" s="814">
        <f>INPUT!DS197</f>
        <v>34.6</v>
      </c>
      <c r="CC243" s="752">
        <f>INPUT!DT197</f>
        <v>-3.6211699164345301</v>
      </c>
      <c r="CD243" s="814">
        <f>INPUT!DU197</f>
        <v>28.1</v>
      </c>
      <c r="CE243" s="752">
        <f>INPUT!DV197</f>
        <v>7.2519083969465825</v>
      </c>
      <c r="CF243" s="814">
        <f>INPUT!DW197</f>
        <v>29.2</v>
      </c>
      <c r="CG243" s="752">
        <f>INPUT!DX197</f>
        <v>-7.0063694267515908</v>
      </c>
      <c r="CH243" s="814">
        <f>INPUT!DY197</f>
        <v>26.9</v>
      </c>
      <c r="CI243" s="752">
        <f>INPUT!DZ197</f>
        <v>-10.333333333333339</v>
      </c>
      <c r="CJ243" s="814">
        <f>INPUT!EA197</f>
        <v>27</v>
      </c>
      <c r="CK243" s="752">
        <f>INPUT!EB197</f>
        <v>-21.965317919075144</v>
      </c>
      <c r="CL243" s="814">
        <f>INPUT!EC197</f>
        <v>25.4</v>
      </c>
      <c r="CM243" s="752">
        <f>INPUT!ED197</f>
        <v>-9.6085409252669169</v>
      </c>
      <c r="CN243" s="814">
        <f>INPUT!EE197</f>
        <v>26</v>
      </c>
      <c r="CO243" s="752">
        <f>INPUT!EF197</f>
        <v>-10.95890410958904</v>
      </c>
      <c r="CP243" s="814">
        <f>INPUT!EG197</f>
        <v>25.8</v>
      </c>
      <c r="CQ243" s="752">
        <f>INPUT!EH197</f>
        <v>-4.0892193308550091</v>
      </c>
      <c r="CR243" s="814">
        <f>INPUT!EI197</f>
        <v>25.5</v>
      </c>
      <c r="CS243" s="752">
        <f>INPUT!EJ197</f>
        <v>-5.555555555555558</v>
      </c>
      <c r="CT243" s="814">
        <f>INPUT!EK197</f>
        <v>27.508651576796339</v>
      </c>
      <c r="CU243" s="752">
        <f>INPUT!EL197</f>
        <v>8.3017778614029147</v>
      </c>
      <c r="CV243" s="814">
        <f>INPUT!EM197</f>
        <v>27.787922401557854</v>
      </c>
      <c r="CW243" s="752">
        <f>INPUT!EN197</f>
        <v>6.8766246213763704</v>
      </c>
      <c r="CX243" s="814">
        <f>INPUT!EO197</f>
        <v>28.102810738120489</v>
      </c>
      <c r="CY243" s="752">
        <f>INPUT!EP197</f>
        <v>8.9256230159708849</v>
      </c>
      <c r="CZ243" s="814">
        <f>INPUT!EQ197</f>
        <v>27.884230057523173</v>
      </c>
      <c r="DA243" s="752">
        <f>INPUT!ER197</f>
        <v>9.3499217942085266</v>
      </c>
      <c r="DB243" s="753"/>
      <c r="DC243" s="814">
        <f>INPUT!FB197</f>
        <v>0</v>
      </c>
      <c r="DD243" s="756">
        <f>INPUT!FC197</f>
        <v>0</v>
      </c>
      <c r="DE243" s="814">
        <f>INPUT!FD197</f>
        <v>89.8</v>
      </c>
      <c r="DF243" s="756" t="str">
        <f>INPUT!FE197</f>
        <v>NA</v>
      </c>
      <c r="DG243" s="814">
        <f>INPUT!FF197</f>
        <v>119.4</v>
      </c>
      <c r="DH243" s="756">
        <f>INPUT!FG197</f>
        <v>32.962138084632528</v>
      </c>
      <c r="DI243" s="814">
        <f>INPUT!FH197</f>
        <v>155.6</v>
      </c>
      <c r="DJ243" s="756">
        <f>INPUT!FI197</f>
        <v>30.318257956448889</v>
      </c>
      <c r="DK243" s="814">
        <f>INPUT!FJ197</f>
        <v>168.2</v>
      </c>
      <c r="DL243" s="752">
        <f>INPUT!FK197</f>
        <v>8.0976863753213344</v>
      </c>
      <c r="DM243" s="814">
        <f>INPUT!FL197</f>
        <v>155.6</v>
      </c>
      <c r="DN243" s="752">
        <f>INPUT!FM197</f>
        <v>-7.4910820451843048</v>
      </c>
      <c r="DO243" s="814">
        <f>INPUT!FN197</f>
        <v>183.5</v>
      </c>
      <c r="DP243" s="752">
        <f>INPUT!FO197</f>
        <v>17.930591259640117</v>
      </c>
      <c r="DQ243" s="814">
        <f>INPUT!FP197</f>
        <v>183.79999999999998</v>
      </c>
      <c r="DR243" s="752">
        <f>INPUT!FQ197</f>
        <v>0.16348773841960984</v>
      </c>
      <c r="DS243" s="814">
        <f>INPUT!FR197</f>
        <v>141.69999999999999</v>
      </c>
      <c r="DT243" s="752">
        <f>INPUT!FS197</f>
        <v>-22.905331882480962</v>
      </c>
      <c r="DU243" s="814">
        <f>INPUT!FT197</f>
        <v>134.89999999999998</v>
      </c>
      <c r="DV243" s="752">
        <f>INPUT!FU197</f>
        <v>-4.7988708539167373</v>
      </c>
      <c r="DW243" s="814">
        <f>INPUT!FV197</f>
        <v>147.69999999999999</v>
      </c>
      <c r="DX243" s="752">
        <f>INPUT!FW197</f>
        <v>9.4885100074129092</v>
      </c>
      <c r="DY243" s="814">
        <f>INPUT!FX197</f>
        <v>146.30000000000001</v>
      </c>
      <c r="DZ243" s="752">
        <f>INPUT!FY197</f>
        <v>-0.94786729857818663</v>
      </c>
      <c r="EA243" s="814">
        <f>INPUT!FZ197</f>
        <v>117</v>
      </c>
      <c r="EB243" s="752">
        <f>INPUT!GA197</f>
        <v>-20.027341079972661</v>
      </c>
      <c r="EC243" s="814">
        <f>INPUT!GB197</f>
        <v>134.6</v>
      </c>
      <c r="ED243" s="752">
        <f>INPUT!GC197</f>
        <v>15.042735042735034</v>
      </c>
      <c r="EE243" s="814">
        <f>INPUT!GD197</f>
        <v>122.19999999999999</v>
      </c>
      <c r="EF243" s="752">
        <f>INPUT!GE197</f>
        <v>-9.212481426448738</v>
      </c>
      <c r="EG243" s="814">
        <f>INPUT!GF197</f>
        <v>111.19999999999999</v>
      </c>
      <c r="EH243" s="752">
        <f>INPUT!GG197</f>
        <v>-9.0016366612111316</v>
      </c>
      <c r="EI243" s="814">
        <f>INPUT!GH197</f>
        <v>102.7</v>
      </c>
      <c r="EJ243" s="752">
        <f>INPUT!GI197</f>
        <v>-7.6438848920863167</v>
      </c>
      <c r="EK243" s="814">
        <f>INPUT!GJ197</f>
        <v>111.28361477399785</v>
      </c>
      <c r="EL243" s="752">
        <f>INPUT!GK197</f>
        <v>8.3579501207379217</v>
      </c>
      <c r="EM243" s="814">
        <f>INPUT!GL197</f>
        <v>115.73495936495777</v>
      </c>
      <c r="EN243" s="752">
        <f>INPUT!GM197</f>
        <v>4.0000000000000036</v>
      </c>
      <c r="EO243" s="814">
        <f>INPUT!GN197</f>
        <v>120.3643577395561</v>
      </c>
      <c r="EP243" s="752">
        <f>INPUT!GO197</f>
        <v>4.0000000000000036</v>
      </c>
      <c r="EQ243" s="814">
        <f>INPUT!GP197</f>
        <v>125.17893204913834</v>
      </c>
      <c r="ER243" s="752">
        <f>INPUT!GQ197</f>
        <v>4.0000000000000036</v>
      </c>
      <c r="ES243" s="814">
        <f>INPUT!GR197</f>
        <v>130.18608933110386</v>
      </c>
      <c r="ET243" s="752">
        <f>INPUT!GS197</f>
        <v>3.9999999999999813</v>
      </c>
      <c r="EU243" s="756">
        <f>INPUT!GT197</f>
        <v>4.8573378601860506</v>
      </c>
      <c r="EV243" s="710"/>
    </row>
    <row r="244" spans="1:152" ht="12.75" hidden="1" customHeight="1" outlineLevel="1" x14ac:dyDescent="0.2">
      <c r="A244" s="813" t="str">
        <f>INPUT!B198</f>
        <v xml:space="preserve"> Total Benefits and Expenses</v>
      </c>
      <c r="B244" s="814">
        <f>INPUT!AS198</f>
        <v>175.1</v>
      </c>
      <c r="C244" s="756">
        <f>INPUT!AT198</f>
        <v>-3.2061912658927549</v>
      </c>
      <c r="D244" s="814">
        <f>INPUT!AU198</f>
        <v>184.39999999999998</v>
      </c>
      <c r="E244" s="756">
        <f>INPUT!AV198</f>
        <v>-3.6069001568217685</v>
      </c>
      <c r="F244" s="814">
        <f>INPUT!AW198</f>
        <v>200</v>
      </c>
      <c r="G244" s="756">
        <f>INPUT!AX198</f>
        <v>0.45203415369163835</v>
      </c>
      <c r="H244" s="814">
        <f>INPUT!AY198</f>
        <v>200.20000000000002</v>
      </c>
      <c r="I244" s="752">
        <f>INPUT!AZ198</f>
        <v>7.2883172561629017</v>
      </c>
      <c r="J244" s="814">
        <f>INPUT!BA198</f>
        <v>194.70000000000002</v>
      </c>
      <c r="K244" s="752">
        <f>INPUT!BB198</f>
        <v>11.193603655054263</v>
      </c>
      <c r="L244" s="814">
        <f>INPUT!BC198</f>
        <v>219.5</v>
      </c>
      <c r="M244" s="752">
        <f>INPUT!BD198</f>
        <v>19.034707158351427</v>
      </c>
      <c r="N244" s="814">
        <f>INPUT!BE198</f>
        <v>194.7</v>
      </c>
      <c r="O244" s="752">
        <f>INPUT!BF198</f>
        <v>-2.6500000000000079</v>
      </c>
      <c r="P244" s="814">
        <f>INPUT!BG198</f>
        <v>224.10000000000002</v>
      </c>
      <c r="Q244" s="752">
        <f>INPUT!BH198</f>
        <v>11.938061938061949</v>
      </c>
      <c r="R244" s="814">
        <f>INPUT!BI198</f>
        <v>199</v>
      </c>
      <c r="S244" s="752">
        <f>INPUT!BJ198</f>
        <v>2.2085259373394894</v>
      </c>
      <c r="T244" s="814">
        <f>INPUT!BK198</f>
        <v>200.8</v>
      </c>
      <c r="U244" s="752">
        <f>INPUT!BL198</f>
        <v>-8.5193621867881486</v>
      </c>
      <c r="V244" s="814">
        <f>INPUT!BM198</f>
        <v>178.89999999999998</v>
      </c>
      <c r="W244" s="752">
        <f>INPUT!BN198</f>
        <v>-8.1150487930148998</v>
      </c>
      <c r="X244" s="814">
        <f>INPUT!BO198</f>
        <v>170.5</v>
      </c>
      <c r="Y244" s="752">
        <f>INPUT!BP198</f>
        <v>-23.917893797411882</v>
      </c>
      <c r="Z244" s="814">
        <f>INPUT!BQ198</f>
        <v>128.19999999999999</v>
      </c>
      <c r="AA244" s="752">
        <f>INPUT!BR198</f>
        <v>-35.577889447236188</v>
      </c>
      <c r="AB244" s="814">
        <f>INPUT!BS198</f>
        <v>141</v>
      </c>
      <c r="AC244" s="752">
        <f>INPUT!BT198</f>
        <v>-29.780876494023911</v>
      </c>
      <c r="AD244" s="814">
        <f>INPUT!BU198</f>
        <v>134.1</v>
      </c>
      <c r="AE244" s="752">
        <f>INPUT!BV198</f>
        <v>-25.041922861934029</v>
      </c>
      <c r="AF244" s="814">
        <f>INPUT!BW198</f>
        <v>160.10000000000002</v>
      </c>
      <c r="AG244" s="752">
        <f>INPUT!BX198</f>
        <v>-6.0997067448680165</v>
      </c>
      <c r="AH244" s="814">
        <f>INPUT!BY198</f>
        <v>145.5</v>
      </c>
      <c r="AI244" s="752">
        <f>INPUT!BZ198</f>
        <v>13.494539781591275</v>
      </c>
      <c r="AJ244" s="814">
        <f>INPUT!CA198</f>
        <v>143.60000000000002</v>
      </c>
      <c r="AK244" s="752">
        <f>INPUT!CB198</f>
        <v>1.8439716312056875</v>
      </c>
      <c r="AL244" s="814">
        <f>INPUT!CC198</f>
        <v>152.80000000000001</v>
      </c>
      <c r="AM244" s="752">
        <f>INPUT!CD198</f>
        <v>13.944817300522017</v>
      </c>
      <c r="AN244" s="814">
        <f>INPUT!CE198</f>
        <v>171.39999999999998</v>
      </c>
      <c r="AO244" s="752">
        <f>INPUT!CF198</f>
        <v>7.0580886945658561</v>
      </c>
      <c r="AP244" s="814">
        <f>INPUT!CG198</f>
        <v>163.19999999999999</v>
      </c>
      <c r="AQ244" s="752">
        <f>INPUT!CH198</f>
        <v>12.164948453608249</v>
      </c>
      <c r="AR244" s="814">
        <f>INPUT!CI198</f>
        <v>171.7</v>
      </c>
      <c r="AS244" s="752">
        <f>INPUT!CJ198</f>
        <v>19.56824512534816</v>
      </c>
      <c r="AT244" s="814">
        <f>INPUT!CK198</f>
        <v>184.10000000000002</v>
      </c>
      <c r="AU244" s="752">
        <f>INPUT!CL198</f>
        <v>20.484293193717274</v>
      </c>
      <c r="AV244" s="814">
        <f>INPUT!CM198</f>
        <v>168.1</v>
      </c>
      <c r="AW244" s="752">
        <f>INPUT!CN198</f>
        <v>-1.9253208868144633</v>
      </c>
      <c r="AX244" s="814">
        <f>INPUT!CO198</f>
        <v>168.5</v>
      </c>
      <c r="AY244" s="752">
        <f>INPUT!CP198</f>
        <v>3.2475490196078427</v>
      </c>
      <c r="AZ244" s="814">
        <f>INPUT!CQ198</f>
        <v>192.4</v>
      </c>
      <c r="BA244" s="752">
        <f>INPUT!CR198</f>
        <v>12.055911473500291</v>
      </c>
      <c r="BB244" s="814">
        <f>INPUT!CS198</f>
        <v>182.5</v>
      </c>
      <c r="BC244" s="752">
        <f>INPUT!CT198</f>
        <v>-0.86909288430202514</v>
      </c>
      <c r="BD244" s="814">
        <f>INPUT!CU198</f>
        <v>190.8</v>
      </c>
      <c r="BE244" s="752">
        <f>INPUT!CV198</f>
        <v>13.503866745984539</v>
      </c>
      <c r="BF244" s="814">
        <f>INPUT!CW198</f>
        <v>143.4</v>
      </c>
      <c r="BG244" s="752">
        <f>INPUT!CX198</f>
        <v>-14.896142433234417</v>
      </c>
      <c r="BH244" s="814">
        <f>INPUT!CY198</f>
        <v>149.39999999999998</v>
      </c>
      <c r="BI244" s="752">
        <f>INPUT!CZ198</f>
        <v>-22.349272349272365</v>
      </c>
      <c r="BJ244" s="814">
        <f>INPUT!DA198</f>
        <v>136.4</v>
      </c>
      <c r="BK244" s="752">
        <f>INPUT!DB198</f>
        <v>-25.260273972602732</v>
      </c>
      <c r="BL244" s="814">
        <f>INPUT!DC198</f>
        <v>144</v>
      </c>
      <c r="BM244" s="752">
        <f>INPUT!DD198</f>
        <v>-24.528301886792459</v>
      </c>
      <c r="BN244" s="814">
        <f>INPUT!DE198</f>
        <v>148.70000000000002</v>
      </c>
      <c r="BO244" s="752">
        <f>INPUT!DF198</f>
        <v>3.6959553695955494</v>
      </c>
      <c r="BP244" s="814">
        <f>INPUT!DG198</f>
        <v>158.9</v>
      </c>
      <c r="BQ244" s="752">
        <f>INPUT!DH198</f>
        <v>6.3587684069611905</v>
      </c>
      <c r="BR244" s="814">
        <f>INPUT!DI198</f>
        <v>153.5</v>
      </c>
      <c r="BS244" s="752">
        <f>INPUT!DJ198</f>
        <v>12.536656891495589</v>
      </c>
      <c r="BT244" s="814">
        <f>INPUT!DK198</f>
        <v>149.29999999999998</v>
      </c>
      <c r="BU244" s="752">
        <f>INPUT!DL198</f>
        <v>3.6805555555555536</v>
      </c>
      <c r="BV244" s="814">
        <f>INPUT!DM198</f>
        <v>129.9</v>
      </c>
      <c r="BW244" s="752">
        <f>INPUT!DN198</f>
        <v>-12.642905178211173</v>
      </c>
      <c r="BX244" s="814">
        <f>INPUT!DO198</f>
        <v>142.5</v>
      </c>
      <c r="BY244" s="752">
        <f>INPUT!DP198</f>
        <v>-10.320956576463193</v>
      </c>
      <c r="BZ244" s="814">
        <f>INPUT!DQ198</f>
        <v>139.89999999999998</v>
      </c>
      <c r="CA244" s="752">
        <f>INPUT!DR198</f>
        <v>-8.8599348534202154</v>
      </c>
      <c r="CB244" s="814">
        <f>INPUT!DS198</f>
        <v>148.19999999999999</v>
      </c>
      <c r="CC244" s="752">
        <f>INPUT!DT198</f>
        <v>-0.73677160080374282</v>
      </c>
      <c r="CD244" s="814">
        <f>INPUT!DU198</f>
        <v>132.5</v>
      </c>
      <c r="CE244" s="752">
        <f>INPUT!DV198</f>
        <v>2.0015396458814338</v>
      </c>
      <c r="CF244" s="814">
        <f>INPUT!DW198</f>
        <v>138.1</v>
      </c>
      <c r="CG244" s="752">
        <f>INPUT!DX198</f>
        <v>-3.087719298245617</v>
      </c>
      <c r="CH244" s="814">
        <f>INPUT!DY198</f>
        <v>127.6</v>
      </c>
      <c r="CI244" s="752">
        <f>INPUT!DZ198</f>
        <v>-8.791994281629723</v>
      </c>
      <c r="CJ244" s="814">
        <f>INPUT!EA198</f>
        <v>120.8</v>
      </c>
      <c r="CK244" s="752">
        <f>INPUT!EB198</f>
        <v>-18.488529014844801</v>
      </c>
      <c r="CL244" s="814">
        <f>INPUT!EC198</f>
        <v>121.30000000000001</v>
      </c>
      <c r="CM244" s="752">
        <f>INPUT!ED198</f>
        <v>-8.4528301886792399</v>
      </c>
      <c r="CN244" s="814">
        <f>INPUT!EE198</f>
        <v>131.1</v>
      </c>
      <c r="CO244" s="752">
        <f>INPUT!EF198</f>
        <v>-5.0687907313540892</v>
      </c>
      <c r="CP244" s="814">
        <f>INPUT!EG198</f>
        <v>134.10000000000002</v>
      </c>
      <c r="CQ244" s="752">
        <f>INPUT!EH198</f>
        <v>5.0940438871473592</v>
      </c>
      <c r="CR244" s="814">
        <f>INPUT!EI198</f>
        <v>135.69999999999999</v>
      </c>
      <c r="CS244" s="752">
        <f>INPUT!EJ198</f>
        <v>12.334437086092699</v>
      </c>
      <c r="CT244" s="814">
        <f>INPUT!EK198</f>
        <v>141.69861598820518</v>
      </c>
      <c r="CU244" s="752">
        <f>INPUT!EL198</f>
        <v>16.816666107341426</v>
      </c>
      <c r="CV244" s="814">
        <f>INPUT!EM198</f>
        <v>143.28467388045041</v>
      </c>
      <c r="CW244" s="752">
        <f>INPUT!EN198</f>
        <v>9.2941829751719496</v>
      </c>
      <c r="CX244" s="814">
        <f>INPUT!EO198</f>
        <v>145.63707048686817</v>
      </c>
      <c r="CY244" s="752">
        <f>INPUT!EP198</f>
        <v>8.603333696396831</v>
      </c>
      <c r="CZ244" s="814">
        <f>INPUT!EQ198</f>
        <v>145.02089072774331</v>
      </c>
      <c r="DA244" s="752">
        <f>INPUT!ER198</f>
        <v>6.8687477728395896</v>
      </c>
      <c r="DB244" s="753"/>
      <c r="DC244" s="814">
        <f>INPUT!FB198</f>
        <v>0</v>
      </c>
      <c r="DD244" s="756">
        <f>INPUT!FC198</f>
        <v>0</v>
      </c>
      <c r="DE244" s="814">
        <f>INPUT!FD198</f>
        <v>333.7</v>
      </c>
      <c r="DF244" s="756" t="str">
        <f>INPUT!FE198</f>
        <v>NA</v>
      </c>
      <c r="DG244" s="814">
        <f>INPUT!FF198</f>
        <v>481.4</v>
      </c>
      <c r="DH244" s="756">
        <f>INPUT!FG198</f>
        <v>44.261312556188194</v>
      </c>
      <c r="DI244" s="814">
        <f>INPUT!FH198</f>
        <v>650.5</v>
      </c>
      <c r="DJ244" s="756">
        <f>INPUT!FI198</f>
        <v>35.126713751557958</v>
      </c>
      <c r="DK244" s="814">
        <f>INPUT!FJ198</f>
        <v>757.89999999999986</v>
      </c>
      <c r="DL244" s="752">
        <f>INPUT!FK198</f>
        <v>16.510376633358923</v>
      </c>
      <c r="DM244" s="814">
        <f>INPUT!FL198</f>
        <v>759.7</v>
      </c>
      <c r="DN244" s="752">
        <f>INPUT!FM198</f>
        <v>0.23749835070592251</v>
      </c>
      <c r="DO244" s="814">
        <f>INPUT!FN198</f>
        <v>833</v>
      </c>
      <c r="DP244" s="752">
        <f>INPUT!FO198</f>
        <v>9.6485454784783329</v>
      </c>
      <c r="DQ244" s="814">
        <f>INPUT!FP198</f>
        <v>749.2</v>
      </c>
      <c r="DR244" s="752">
        <f>INPUT!FQ198</f>
        <v>-10.06002400960384</v>
      </c>
      <c r="DS244" s="814">
        <f>INPUT!FR198</f>
        <v>561</v>
      </c>
      <c r="DT244" s="752">
        <f>INPUT!FS198</f>
        <v>-25.120128136679131</v>
      </c>
      <c r="DU244" s="814">
        <f>INPUT!FT198</f>
        <v>613.29999999999995</v>
      </c>
      <c r="DV244" s="752">
        <f>INPUT!FU198</f>
        <v>9.3226381461675381</v>
      </c>
      <c r="DW244" s="814">
        <f>INPUT!FV198</f>
        <v>687.09999999999991</v>
      </c>
      <c r="DX244" s="752">
        <f>INPUT!FW198</f>
        <v>12.033262677319412</v>
      </c>
      <c r="DY244" s="814">
        <f>INPUT!FX198</f>
        <v>734.2</v>
      </c>
      <c r="DZ244" s="752">
        <f>INPUT!FY198</f>
        <v>6.8548973948479253</v>
      </c>
      <c r="EA244" s="814">
        <f>INPUT!FZ198</f>
        <v>573.20000000000005</v>
      </c>
      <c r="EB244" s="752">
        <f>INPUT!GA198</f>
        <v>-21.928629801144105</v>
      </c>
      <c r="EC244" s="814">
        <f>INPUT!GB198</f>
        <v>610.4</v>
      </c>
      <c r="ED244" s="752">
        <f>INPUT!GC198</f>
        <v>6.4898813677599421</v>
      </c>
      <c r="EE244" s="814">
        <f>INPUT!GD198</f>
        <v>560.5</v>
      </c>
      <c r="EF244" s="752">
        <f>INPUT!GE198</f>
        <v>-8.1749672346002615</v>
      </c>
      <c r="EG244" s="814">
        <f>INPUT!GF198</f>
        <v>519</v>
      </c>
      <c r="EH244" s="752">
        <f>INPUT!GG198</f>
        <v>-7.4041034790365723</v>
      </c>
      <c r="EI244" s="814">
        <f>INPUT!GH198</f>
        <v>522.20000000000005</v>
      </c>
      <c r="EJ244" s="752">
        <f>INPUT!GI198</f>
        <v>0.61657032755300101</v>
      </c>
      <c r="EK244" s="814">
        <f>INPUT!GJ198</f>
        <v>575.64125108326709</v>
      </c>
      <c r="EL244" s="752">
        <f>INPUT!GK198</f>
        <v>10.233866542180593</v>
      </c>
      <c r="EM244" s="814">
        <f>INPUT!GL198</f>
        <v>597.99072322163465</v>
      </c>
      <c r="EN244" s="752">
        <f>INPUT!GM198</f>
        <v>3.8825348420234551</v>
      </c>
      <c r="EO244" s="814">
        <f>INPUT!GN198</f>
        <v>621.21076965148279</v>
      </c>
      <c r="EP244" s="752">
        <f>INPUT!GO198</f>
        <v>3.8830111451815918</v>
      </c>
      <c r="EQ244" s="814">
        <f>INPUT!GP198</f>
        <v>645.3352771607083</v>
      </c>
      <c r="ER244" s="752">
        <f>INPUT!GQ198</f>
        <v>3.8834657555534724</v>
      </c>
      <c r="ES244" s="814">
        <f>INPUT!GR198</f>
        <v>671.05762519353141</v>
      </c>
      <c r="ET244" s="752">
        <f>INPUT!GS198</f>
        <v>3.9858890321313512</v>
      </c>
      <c r="EU244" s="756">
        <f>INPUT!GT198</f>
        <v>5.1440229347311295</v>
      </c>
      <c r="EV244" s="710"/>
    </row>
    <row r="245" spans="1:152" ht="12.75" hidden="1" customHeight="1" outlineLevel="1" x14ac:dyDescent="0.2">
      <c r="A245" s="813"/>
      <c r="B245" s="793"/>
      <c r="C245" s="816"/>
      <c r="D245" s="793"/>
      <c r="E245" s="816"/>
      <c r="F245" s="793"/>
      <c r="G245" s="816"/>
      <c r="H245" s="793"/>
      <c r="I245" s="752"/>
      <c r="J245" s="793"/>
      <c r="K245" s="752"/>
      <c r="L245" s="793"/>
      <c r="M245" s="752"/>
      <c r="N245" s="793"/>
      <c r="O245" s="752"/>
      <c r="P245" s="793"/>
      <c r="Q245" s="752"/>
      <c r="R245" s="793"/>
      <c r="S245" s="752"/>
      <c r="T245" s="793"/>
      <c r="U245" s="752"/>
      <c r="V245" s="793"/>
      <c r="W245" s="752"/>
      <c r="X245" s="793"/>
      <c r="Y245" s="752"/>
      <c r="Z245" s="793"/>
      <c r="AA245" s="752"/>
      <c r="AB245" s="793"/>
      <c r="AC245" s="752"/>
      <c r="AD245" s="793"/>
      <c r="AE245" s="752"/>
      <c r="AF245" s="793"/>
      <c r="AG245" s="752"/>
      <c r="AH245" s="793"/>
      <c r="AI245" s="752"/>
      <c r="AJ245" s="793"/>
      <c r="AK245" s="752"/>
      <c r="AL245" s="793"/>
      <c r="AM245" s="752"/>
      <c r="AN245" s="793"/>
      <c r="AO245" s="752"/>
      <c r="AP245" s="793"/>
      <c r="AQ245" s="752"/>
      <c r="AR245" s="793"/>
      <c r="AS245" s="752"/>
      <c r="AT245" s="793"/>
      <c r="AU245" s="752"/>
      <c r="AV245" s="793"/>
      <c r="AW245" s="752"/>
      <c r="AX245" s="793"/>
      <c r="AY245" s="752"/>
      <c r="AZ245" s="793"/>
      <c r="BA245" s="752"/>
      <c r="BB245" s="793"/>
      <c r="BC245" s="752"/>
      <c r="BD245" s="793"/>
      <c r="BE245" s="752"/>
      <c r="BF245" s="793"/>
      <c r="BG245" s="752"/>
      <c r="BH245" s="793"/>
      <c r="BI245" s="752"/>
      <c r="BJ245" s="793"/>
      <c r="BK245" s="752"/>
      <c r="BL245" s="793"/>
      <c r="BM245" s="752"/>
      <c r="BN245" s="793"/>
      <c r="BO245" s="752"/>
      <c r="BP245" s="793"/>
      <c r="BQ245" s="752"/>
      <c r="BR245" s="793"/>
      <c r="BS245" s="752"/>
      <c r="BT245" s="793"/>
      <c r="BU245" s="752"/>
      <c r="BV245" s="793"/>
      <c r="BW245" s="752"/>
      <c r="BX245" s="793"/>
      <c r="BY245" s="752"/>
      <c r="BZ245" s="793"/>
      <c r="CA245" s="752"/>
      <c r="CB245" s="793"/>
      <c r="CC245" s="752"/>
      <c r="CD245" s="793"/>
      <c r="CE245" s="752"/>
      <c r="CF245" s="793"/>
      <c r="CG245" s="752"/>
      <c r="CH245" s="793"/>
      <c r="CI245" s="752"/>
      <c r="CJ245" s="793"/>
      <c r="CK245" s="752"/>
      <c r="CL245" s="793"/>
      <c r="CM245" s="752"/>
      <c r="CN245" s="793"/>
      <c r="CO245" s="752"/>
      <c r="CP245" s="793"/>
      <c r="CQ245" s="752"/>
      <c r="CR245" s="793"/>
      <c r="CS245" s="752"/>
      <c r="CT245" s="793"/>
      <c r="CU245" s="752"/>
      <c r="CV245" s="793"/>
      <c r="CW245" s="752"/>
      <c r="CX245" s="793"/>
      <c r="CY245" s="752"/>
      <c r="CZ245" s="793"/>
      <c r="DA245" s="752"/>
      <c r="DB245" s="753"/>
      <c r="DC245" s="793"/>
      <c r="DD245" s="816"/>
      <c r="DE245" s="793"/>
      <c r="DF245" s="816"/>
      <c r="DG245" s="793"/>
      <c r="DH245" s="816"/>
      <c r="DI245" s="793"/>
      <c r="DJ245" s="816"/>
      <c r="DK245" s="793"/>
      <c r="DL245" s="752"/>
      <c r="DM245" s="793"/>
      <c r="DN245" s="752"/>
      <c r="DO245" s="793"/>
      <c r="DP245" s="752"/>
      <c r="DQ245" s="793"/>
      <c r="DR245" s="752"/>
      <c r="DS245" s="793"/>
      <c r="DT245" s="752"/>
      <c r="DU245" s="793"/>
      <c r="DV245" s="752"/>
      <c r="DW245" s="793"/>
      <c r="DX245" s="752"/>
      <c r="DY245" s="793"/>
      <c r="DZ245" s="752"/>
      <c r="EA245" s="793"/>
      <c r="EB245" s="752"/>
      <c r="EC245" s="793"/>
      <c r="ED245" s="752"/>
      <c r="EE245" s="793"/>
      <c r="EF245" s="752"/>
      <c r="EG245" s="793"/>
      <c r="EH245" s="752"/>
      <c r="EI245" s="793"/>
      <c r="EJ245" s="752"/>
      <c r="EK245" s="793"/>
      <c r="EL245" s="752"/>
      <c r="EM245" s="793"/>
      <c r="EN245" s="752"/>
      <c r="EO245" s="793"/>
      <c r="EP245" s="752"/>
      <c r="EQ245" s="793"/>
      <c r="ER245" s="752"/>
      <c r="ES245" s="793"/>
      <c r="ET245" s="752"/>
      <c r="EU245" s="793"/>
      <c r="EV245" s="710"/>
    </row>
    <row r="246" spans="1:152" ht="12.75" hidden="1" customHeight="1" outlineLevel="1" x14ac:dyDescent="0.2">
      <c r="A246" s="805" t="str">
        <f>INPUT!B205</f>
        <v>Pretax Earnings</v>
      </c>
      <c r="B246" s="817">
        <f>INPUT!AS205</f>
        <v>54.400000000000006</v>
      </c>
      <c r="C246" s="807">
        <f>INPUT!AT205</f>
        <v>15.010570824524239</v>
      </c>
      <c r="D246" s="817">
        <f>INPUT!AU205</f>
        <v>56.100000000000023</v>
      </c>
      <c r="E246" s="807">
        <f>INPUT!AV205</f>
        <v>35.835351089588485</v>
      </c>
      <c r="F246" s="817">
        <f>INPUT!AW205</f>
        <v>65.5</v>
      </c>
      <c r="G246" s="807">
        <f>INPUT!AX205</f>
        <v>48.526077097505585</v>
      </c>
      <c r="H246" s="817">
        <f>INPUT!AY205</f>
        <v>81.799999999999983</v>
      </c>
      <c r="I246" s="808">
        <f>INPUT!AZ205</f>
        <v>65.922920892495057</v>
      </c>
      <c r="J246" s="817">
        <f>INPUT!BA205</f>
        <v>72.400000000000006</v>
      </c>
      <c r="K246" s="808">
        <f>INPUT!BB205</f>
        <v>33.088235294117638</v>
      </c>
      <c r="L246" s="817">
        <f>INPUT!BC205</f>
        <v>74.100000000000023</v>
      </c>
      <c r="M246" s="808">
        <f>INPUT!BD205</f>
        <v>32.085561497326196</v>
      </c>
      <c r="N246" s="817">
        <f>INPUT!BE205</f>
        <v>97.600000000000023</v>
      </c>
      <c r="O246" s="808">
        <f>INPUT!BF205</f>
        <v>49.007633587786302</v>
      </c>
      <c r="P246" s="817">
        <f>INPUT!BG205</f>
        <v>81.699999999999989</v>
      </c>
      <c r="Q246" s="808">
        <f>INPUT!BH205</f>
        <v>-0.12224938875304847</v>
      </c>
      <c r="R246" s="817">
        <f>INPUT!BI205</f>
        <v>84.300000000000011</v>
      </c>
      <c r="S246" s="808">
        <f>INPUT!BJ205</f>
        <v>16.436464088397805</v>
      </c>
      <c r="T246" s="817">
        <f>INPUT!BK205</f>
        <v>92.599999999999966</v>
      </c>
      <c r="U246" s="808">
        <f>INPUT!BL205</f>
        <v>24.966261808366987</v>
      </c>
      <c r="V246" s="817">
        <f>INPUT!BM205</f>
        <v>92.5</v>
      </c>
      <c r="W246" s="808">
        <f>INPUT!BN205</f>
        <v>-5.2254098360655981</v>
      </c>
      <c r="X246" s="817">
        <f>INPUT!BO205</f>
        <v>54.600000000000023</v>
      </c>
      <c r="Y246" s="808">
        <f>INPUT!BP205</f>
        <v>-33.170134638922853</v>
      </c>
      <c r="Z246" s="817">
        <f>INPUT!BQ205</f>
        <v>62.300000000000011</v>
      </c>
      <c r="AA246" s="808">
        <f>INPUT!BR205</f>
        <v>-26.097271648873065</v>
      </c>
      <c r="AB246" s="817">
        <f>INPUT!BS205</f>
        <v>67.300000000000011</v>
      </c>
      <c r="AC246" s="808">
        <f>INPUT!BT205</f>
        <v>-27.321814254859579</v>
      </c>
      <c r="AD246" s="817">
        <f>INPUT!BU205</f>
        <v>58.699999999999989</v>
      </c>
      <c r="AE246" s="808">
        <f>INPUT!BV205</f>
        <v>-36.540540540540555</v>
      </c>
      <c r="AF246" s="817">
        <f>INPUT!BW205</f>
        <v>61.299999999999983</v>
      </c>
      <c r="AG246" s="808">
        <f>INPUT!BX205</f>
        <v>12.271062271062183</v>
      </c>
      <c r="AH246" s="817">
        <f>INPUT!BY205</f>
        <v>60.600000000000023</v>
      </c>
      <c r="AI246" s="808">
        <f>INPUT!BZ205</f>
        <v>-2.728731942215068</v>
      </c>
      <c r="AJ246" s="817">
        <f>INPUT!CA205</f>
        <v>52.799999999999983</v>
      </c>
      <c r="AK246" s="808">
        <f>INPUT!CB205</f>
        <v>-21.545319465081757</v>
      </c>
      <c r="AL246" s="817">
        <f>INPUT!CC205</f>
        <v>47.800000000000011</v>
      </c>
      <c r="AM246" s="808">
        <f>INPUT!CD205</f>
        <v>-18.568994889267433</v>
      </c>
      <c r="AN246" s="817">
        <f>INPUT!CE205</f>
        <v>47.800000000000011</v>
      </c>
      <c r="AO246" s="808">
        <f>INPUT!CF205</f>
        <v>-22.022838499184296</v>
      </c>
      <c r="AP246" s="817">
        <f>INPUT!CG205</f>
        <v>48.900000000000006</v>
      </c>
      <c r="AQ246" s="808">
        <f>INPUT!CH205</f>
        <v>-19.306930693069326</v>
      </c>
      <c r="AR246" s="817">
        <f>INPUT!CI205</f>
        <v>55.200000000000017</v>
      </c>
      <c r="AS246" s="808">
        <f>INPUT!CJ205</f>
        <v>4.545454545454608</v>
      </c>
      <c r="AT246" s="817">
        <f>INPUT!CK205</f>
        <v>34.699999999999989</v>
      </c>
      <c r="AU246" s="808">
        <f>INPUT!CL205</f>
        <v>-27.405857740585816</v>
      </c>
      <c r="AV246" s="817">
        <f>INPUT!CM205</f>
        <v>51.900000000000006</v>
      </c>
      <c r="AW246" s="808">
        <f>INPUT!CN205</f>
        <v>8.5774058577405619</v>
      </c>
      <c r="AX246" s="817">
        <f>INPUT!CO205</f>
        <v>38.799999999999983</v>
      </c>
      <c r="AY246" s="808">
        <f>INPUT!CP205</f>
        <v>-20.654396728016401</v>
      </c>
      <c r="AZ246" s="817">
        <f>INPUT!CQ205</f>
        <v>29.999999999999972</v>
      </c>
      <c r="BA246" s="808">
        <f>INPUT!CR205</f>
        <v>-45.652173913043548</v>
      </c>
      <c r="BB246" s="817">
        <f>INPUT!CS205</f>
        <v>27.5</v>
      </c>
      <c r="BC246" s="808">
        <f>INPUT!CT205</f>
        <v>-20.749279538904876</v>
      </c>
      <c r="BD246" s="817">
        <f>INPUT!CU205</f>
        <v>35</v>
      </c>
      <c r="BE246" s="808">
        <f>INPUT!CV205</f>
        <v>-32.562620423892106</v>
      </c>
      <c r="BF246" s="817">
        <f>INPUT!CW205</f>
        <v>31.300000000000011</v>
      </c>
      <c r="BG246" s="808">
        <f>INPUT!CX205</f>
        <v>-19.329896907216426</v>
      </c>
      <c r="BH246" s="817">
        <f>INPUT!CY205</f>
        <v>33.5</v>
      </c>
      <c r="BI246" s="808">
        <f>INPUT!CZ205</f>
        <v>11.666666666666782</v>
      </c>
      <c r="BJ246" s="817">
        <f>INPUT!DA205</f>
        <v>31.300000000000011</v>
      </c>
      <c r="BK246" s="808">
        <f>INPUT!DB205</f>
        <v>13.818181818181863</v>
      </c>
      <c r="BL246" s="817">
        <f>INPUT!DC205</f>
        <v>35.900000000000006</v>
      </c>
      <c r="BM246" s="808">
        <f>INPUT!DD205</f>
        <v>2.5714285714285801</v>
      </c>
      <c r="BN246" s="817">
        <f>INPUT!DE205</f>
        <v>36.499999999999972</v>
      </c>
      <c r="BO246" s="808">
        <f>INPUT!DF205</f>
        <v>16.613418530351296</v>
      </c>
      <c r="BP246" s="817">
        <f>INPUT!DG205</f>
        <v>39.599999999999994</v>
      </c>
      <c r="BQ246" s="808">
        <f>INPUT!DH205</f>
        <v>18.208955223880572</v>
      </c>
      <c r="BR246" s="817">
        <f>INPUT!DI205</f>
        <v>33.5</v>
      </c>
      <c r="BS246" s="808">
        <f>INPUT!DJ205</f>
        <v>7.0287539936101817</v>
      </c>
      <c r="BT246" s="817">
        <f>INPUT!DK205</f>
        <v>38.200000000000017</v>
      </c>
      <c r="BU246" s="808">
        <f>INPUT!DL205</f>
        <v>6.4066852367688387</v>
      </c>
      <c r="BV246" s="817">
        <f>INPUT!DM205</f>
        <v>32.599999999999994</v>
      </c>
      <c r="BW246" s="808">
        <f>INPUT!DN205</f>
        <v>-10.68493150684926</v>
      </c>
      <c r="BX246" s="817">
        <f>INPUT!DO205</f>
        <v>38.299999999999983</v>
      </c>
      <c r="BY246" s="808">
        <f>INPUT!DP205</f>
        <v>-3.2828282828283095</v>
      </c>
      <c r="BZ246" s="817">
        <f>INPUT!DQ205</f>
        <v>32.700000000000017</v>
      </c>
      <c r="CA246" s="808">
        <f>INPUT!DR205</f>
        <v>-2.3880597014924843</v>
      </c>
      <c r="CB246" s="817">
        <f>INPUT!DS205</f>
        <v>37</v>
      </c>
      <c r="CC246" s="808">
        <f>INPUT!DT205</f>
        <v>-3.1413612565445503</v>
      </c>
      <c r="CD246" s="817">
        <f>INPUT!DU205</f>
        <v>33.600000000000023</v>
      </c>
      <c r="CE246" s="808">
        <f>INPUT!DV205</f>
        <v>3.0674846625767804</v>
      </c>
      <c r="CF246" s="817">
        <f>INPUT!DW205</f>
        <v>36.900000000000006</v>
      </c>
      <c r="CG246" s="808">
        <f>INPUT!DX205</f>
        <v>-3.6553524804176951</v>
      </c>
      <c r="CH246" s="817">
        <f>INPUT!DY205</f>
        <v>28.200000000000017</v>
      </c>
      <c r="CI246" s="808">
        <f>INPUT!DZ205</f>
        <v>-13.761467889908252</v>
      </c>
      <c r="CJ246" s="817">
        <f>INPUT!EA205</f>
        <v>29.90000000000002</v>
      </c>
      <c r="CK246" s="808">
        <f>INPUT!EB205</f>
        <v>-19.189189189189136</v>
      </c>
      <c r="CL246" s="817">
        <f>INPUT!EC205</f>
        <v>26.599999999999994</v>
      </c>
      <c r="CM246" s="808">
        <f>INPUT!ED205</f>
        <v>-20.833333333333403</v>
      </c>
      <c r="CN246" s="817">
        <f>INPUT!EE205</f>
        <v>28.900000000000006</v>
      </c>
      <c r="CO246" s="808">
        <f>INPUT!EF205</f>
        <v>-21.680216802168019</v>
      </c>
      <c r="CP246" s="817">
        <f>INPUT!EG205</f>
        <v>25.899999999999977</v>
      </c>
      <c r="CQ246" s="808">
        <f>INPUT!EH205</f>
        <v>-8.1560283687944661</v>
      </c>
      <c r="CR246" s="817">
        <f>INPUT!EI205</f>
        <v>29.700000000000017</v>
      </c>
      <c r="CS246" s="808">
        <f>INPUT!EJ205</f>
        <v>-0.66889632107024477</v>
      </c>
      <c r="CT246" s="817">
        <f>INPUT!EK205</f>
        <v>30.230456366771932</v>
      </c>
      <c r="CU246" s="808">
        <f>INPUT!EL205</f>
        <v>13.648332205909552</v>
      </c>
      <c r="CV246" s="817">
        <f>INPUT!EM205</f>
        <v>30.389841129286168</v>
      </c>
      <c r="CW246" s="808">
        <f>INPUT!EN205</f>
        <v>5.1551596169071345</v>
      </c>
      <c r="CX246" s="817">
        <f>INPUT!EO205</f>
        <v>30.005496626384883</v>
      </c>
      <c r="CY246" s="808">
        <f>INPUT!EP205</f>
        <v>15.851338325810449</v>
      </c>
      <c r="CZ246" s="817">
        <f>INPUT!EQ205</f>
        <v>29.255547131776524</v>
      </c>
      <c r="DA246" s="808">
        <f>INPUT!ER205</f>
        <v>-1.4964743037828021</v>
      </c>
      <c r="DB246" s="809"/>
      <c r="DC246" s="818">
        <f>INPUT!FB205</f>
        <v>0</v>
      </c>
      <c r="DD246" s="807">
        <f>INPUT!FC205</f>
        <v>0</v>
      </c>
      <c r="DE246" s="818">
        <f>INPUT!FD205</f>
        <v>69.5</v>
      </c>
      <c r="DF246" s="807" t="str">
        <f>INPUT!FE205</f>
        <v>NA</v>
      </c>
      <c r="DG246" s="818">
        <f>INPUT!FF205</f>
        <v>112</v>
      </c>
      <c r="DH246" s="807">
        <f>INPUT!FG205</f>
        <v>61.151079136690647</v>
      </c>
      <c r="DI246" s="818">
        <f>INPUT!FH205</f>
        <v>151.29999999999995</v>
      </c>
      <c r="DJ246" s="807">
        <f>INPUT!FI205</f>
        <v>35.089285714285666</v>
      </c>
      <c r="DK246" s="818">
        <f>INPUT!FJ205</f>
        <v>182.00000000000011</v>
      </c>
      <c r="DL246" s="808">
        <f>INPUT!FK205</f>
        <v>20.290812954395342</v>
      </c>
      <c r="DM246" s="818">
        <f>INPUT!FL205</f>
        <v>257.79999999999995</v>
      </c>
      <c r="DN246" s="808">
        <f>INPUT!FM205</f>
        <v>41.648351648351543</v>
      </c>
      <c r="DO246" s="818">
        <f>INPUT!FN205</f>
        <v>325.79999999999995</v>
      </c>
      <c r="DP246" s="808">
        <f>INPUT!FO205</f>
        <v>26.377036462373948</v>
      </c>
      <c r="DQ246" s="817">
        <f>INPUT!FP205</f>
        <v>323.99999999999977</v>
      </c>
      <c r="DR246" s="808">
        <f>INPUT!FQ205</f>
        <v>-0.55248618784535797</v>
      </c>
      <c r="DS246" s="817">
        <f>INPUT!FR205</f>
        <v>251.99999999999989</v>
      </c>
      <c r="DT246" s="808">
        <f>INPUT!FS205</f>
        <v>-22.2222222222222</v>
      </c>
      <c r="DU246" s="817">
        <f>INPUT!FT205</f>
        <v>209</v>
      </c>
      <c r="DV246" s="808">
        <f>INPUT!FU205</f>
        <v>-17.063492063492024</v>
      </c>
      <c r="DW246" s="817">
        <f>INPUT!FV205</f>
        <v>190.70000000000005</v>
      </c>
      <c r="DX246" s="808">
        <f>INPUT!FW205</f>
        <v>-8.7559808612439944</v>
      </c>
      <c r="DY246" s="817">
        <f>INPUT!FX205</f>
        <v>131.29999999999984</v>
      </c>
      <c r="DZ246" s="808">
        <f>INPUT!FY205</f>
        <v>-31.148400629260721</v>
      </c>
      <c r="EA246" s="817">
        <f>INPUT!FZ205</f>
        <v>132</v>
      </c>
      <c r="EB246" s="808">
        <f>INPUT!GA205</f>
        <v>0.53313023610066512</v>
      </c>
      <c r="EC246" s="817">
        <f>INPUT!GB205</f>
        <v>147.79999999999995</v>
      </c>
      <c r="ED246" s="808">
        <f>INPUT!GC205</f>
        <v>11.96969696969694</v>
      </c>
      <c r="EE246" s="817">
        <f>INPUT!GD205</f>
        <v>140.59999999999991</v>
      </c>
      <c r="EF246" s="808">
        <f>INPUT!GE205</f>
        <v>-4.8714479025710684</v>
      </c>
      <c r="EG246" s="817">
        <f>INPUT!GF205</f>
        <v>128.60000000000002</v>
      </c>
      <c r="EH246" s="808">
        <f>INPUT!GG205</f>
        <v>-8.5348506401137225</v>
      </c>
      <c r="EI246" s="817">
        <f>INPUT!GH205</f>
        <v>111.09999999999991</v>
      </c>
      <c r="EJ246" s="808">
        <f>INPUT!GI205</f>
        <v>-13.60808709175747</v>
      </c>
      <c r="EK246" s="817">
        <f>INPUT!GJ205</f>
        <v>119.88134125421936</v>
      </c>
      <c r="EL246" s="808">
        <f>INPUT!GK205</f>
        <v>7.9039975285503772</v>
      </c>
      <c r="EM246" s="817">
        <f>INPUT!GL205</f>
        <v>125.35277280935134</v>
      </c>
      <c r="EN246" s="808">
        <f>INPUT!GM205</f>
        <v>4.564039322457436</v>
      </c>
      <c r="EO246" s="817">
        <f>INPUT!GN205</f>
        <v>131.06646622074265</v>
      </c>
      <c r="EP246" s="808">
        <f>INPUT!GO205</f>
        <v>4.5580909646739665</v>
      </c>
      <c r="EQ246" s="817">
        <f>INPUT!GP205</f>
        <v>137.03304814640614</v>
      </c>
      <c r="ER246" s="808">
        <f>INPUT!GQ205</f>
        <v>4.5523329480895214</v>
      </c>
      <c r="ES246" s="817">
        <f>INPUT!GR205</f>
        <v>142.60543312586753</v>
      </c>
      <c r="ET246" s="808">
        <f>INPUT!GS205</f>
        <v>4.0664533518278478</v>
      </c>
      <c r="EU246" s="807">
        <f>INPUT!GT205</f>
        <v>5.119770151790215</v>
      </c>
      <c r="EV246" s="724"/>
    </row>
    <row r="247" spans="1:152" ht="12.75" hidden="1" customHeight="1" outlineLevel="2" x14ac:dyDescent="0.2">
      <c r="A247" s="759" t="s">
        <v>517</v>
      </c>
      <c r="B247" s="760"/>
      <c r="C247" s="761"/>
      <c r="D247" s="760"/>
      <c r="E247" s="761"/>
      <c r="F247" s="760"/>
      <c r="G247" s="761"/>
      <c r="H247" s="762"/>
      <c r="I247" s="763"/>
      <c r="J247" s="760"/>
      <c r="K247" s="763"/>
      <c r="L247" s="760"/>
      <c r="M247" s="763"/>
      <c r="N247" s="760"/>
      <c r="O247" s="763"/>
      <c r="P247" s="760"/>
      <c r="Q247" s="763"/>
      <c r="R247" s="760"/>
      <c r="S247" s="763"/>
      <c r="T247" s="760"/>
      <c r="U247" s="763"/>
      <c r="V247" s="760"/>
      <c r="W247" s="763"/>
      <c r="X247" s="760"/>
      <c r="Y247" s="763"/>
      <c r="Z247" s="760"/>
      <c r="AA247" s="763"/>
      <c r="AB247" s="760"/>
      <c r="AC247" s="763"/>
      <c r="AD247" s="760"/>
      <c r="AE247" s="763"/>
      <c r="AF247" s="760"/>
      <c r="AG247" s="763"/>
      <c r="AH247" s="760"/>
      <c r="AI247" s="763"/>
      <c r="AJ247" s="760"/>
      <c r="AK247" s="763"/>
      <c r="AL247" s="760"/>
      <c r="AM247" s="763"/>
      <c r="AN247" s="760"/>
      <c r="AO247" s="763"/>
      <c r="AP247" s="764">
        <f>(AP234+AP235+AP236-AP240-AP241-AP242-AP243)-AP246</f>
        <v>0</v>
      </c>
      <c r="AQ247" s="763"/>
      <c r="AR247" s="764">
        <f>(AR234+AR235+AR236-AR240-AR241-AR242-AR243)-AR246</f>
        <v>0</v>
      </c>
      <c r="AS247" s="763"/>
      <c r="AT247" s="764">
        <f>(AT234+AT235+AT236-AT240-AT241-AT242-AT243)-AT246</f>
        <v>0</v>
      </c>
      <c r="AU247" s="763"/>
      <c r="AV247" s="764">
        <f>(AV234+AV235+AV236-AV240-AV241-AV242-AV243)-AV246</f>
        <v>0</v>
      </c>
      <c r="AW247" s="763"/>
      <c r="AX247" s="764">
        <f>(AX234+AX235+AX236-AX240-AX241-AX242-AX243)-AX246</f>
        <v>0</v>
      </c>
      <c r="AY247" s="763"/>
      <c r="AZ247" s="764">
        <f>(AZ234+AZ235+AZ236-AZ240-AZ241-AZ242-AZ243)-AZ246</f>
        <v>0</v>
      </c>
      <c r="BA247" s="763"/>
      <c r="BB247" s="764">
        <f>(BB234+BB235+BB236-BB240-BB241-BB242-BB243)-BB246</f>
        <v>0</v>
      </c>
      <c r="BC247" s="763"/>
      <c r="BD247" s="764">
        <f>(BD234+BD235+BD236-BD240-BD241-BD242-BD243)-BD246</f>
        <v>0</v>
      </c>
      <c r="BE247" s="763"/>
      <c r="BF247" s="764">
        <f>(BF234+BF235+BF236-BF240-BF241-BF242-BF243)-BF246</f>
        <v>0</v>
      </c>
      <c r="BG247" s="763"/>
      <c r="BH247" s="764">
        <f>(BH234+BH235+BH236-BH240-BH241-BH242-BH243)-BH246</f>
        <v>0</v>
      </c>
      <c r="BI247" s="763"/>
      <c r="BJ247" s="764">
        <f>(BJ234+BJ235+BJ236-BJ240-BJ241-BJ242-BJ243)-BJ246</f>
        <v>0</v>
      </c>
      <c r="BK247" s="763"/>
      <c r="BL247" s="764">
        <f>(BL234+BL235+BL236-BL240-BL241-BL242-BL243)-BL246</f>
        <v>0</v>
      </c>
      <c r="BM247" s="763"/>
      <c r="BN247" s="764">
        <f>(BN234+BN235+BN236-BN240-BN241-BN242-BN243)-BN246</f>
        <v>0</v>
      </c>
      <c r="BO247" s="763"/>
      <c r="BP247" s="764">
        <f>(BP234+BP235+BP236-BP240-BP241-BP242-BP243)-BP246</f>
        <v>0</v>
      </c>
      <c r="BQ247" s="763"/>
      <c r="BR247" s="764">
        <f>(BR234+BR235+BR236-BR240-BR241-BR242-BR243)-BR246</f>
        <v>0</v>
      </c>
      <c r="BS247" s="763"/>
      <c r="BT247" s="764">
        <f>(BT234+BT235+BT236-BT240-BT241-BT242-BT243)-BT246</f>
        <v>0</v>
      </c>
      <c r="BU247" s="763"/>
      <c r="BV247" s="764">
        <f>(BV234+BV235+BV236-BV240-BV241-BV242-BV243)-BV246</f>
        <v>0</v>
      </c>
      <c r="BW247" s="763"/>
      <c r="BX247" s="764">
        <f>(BX234+BX235+BX236-BX240-BX241-BX242-BX243)-BX246</f>
        <v>0</v>
      </c>
      <c r="BY247" s="763"/>
      <c r="BZ247" s="764">
        <f>(BZ234+BZ235+BZ236-BZ240-BZ241-BZ242-BZ243)-BZ246</f>
        <v>0</v>
      </c>
      <c r="CA247" s="763"/>
      <c r="CB247" s="764">
        <f>(CB234+CB235+CB236-CB240-CB241-CB242-CB243)-CB246</f>
        <v>0</v>
      </c>
      <c r="CC247" s="763"/>
      <c r="CD247" s="764">
        <f>(CD234+CD235+CD236-CD240-CD241-CD242-CD243)-CD246</f>
        <v>0</v>
      </c>
      <c r="CE247" s="763"/>
      <c r="CF247" s="764">
        <f>(CF234+CF235+CF236-CF240-CF241-CF242-CF243)-CF246</f>
        <v>0</v>
      </c>
      <c r="CG247" s="763"/>
      <c r="CH247" s="764">
        <f>(CH234+CH235+CH236-CH240-CH241-CH242-CH243)-CH246</f>
        <v>0</v>
      </c>
      <c r="CI247" s="763"/>
      <c r="CJ247" s="764">
        <f>(CJ234+CJ235+CJ236-CJ240-CJ241-CJ242-CJ243)-CJ246</f>
        <v>0</v>
      </c>
      <c r="CK247" s="763"/>
      <c r="CL247" s="764">
        <f t="shared" ref="CL247" si="280">(CL234+CL235+CL236-CL240-CL241-CL242-CL243)-CL246</f>
        <v>0</v>
      </c>
      <c r="CM247" s="763"/>
      <c r="CN247" s="764">
        <f t="shared" ref="CN247" si="281">(CN234+CN235+CN236-CN240-CN241-CN242-CN243)-CN246</f>
        <v>0</v>
      </c>
      <c r="CO247" s="763"/>
      <c r="CP247" s="764">
        <f t="shared" ref="CP247" si="282">(CP234+CP235+CP236-CP240-CP241-CP242-CP243)-CP246</f>
        <v>0</v>
      </c>
      <c r="CQ247" s="763"/>
      <c r="CR247" s="764">
        <f t="shared" ref="CR247" si="283">(CR234+CR235+CR236-CR240-CR241-CR242-CR243)-CR246</f>
        <v>0</v>
      </c>
      <c r="CS247" s="763"/>
      <c r="CT247" s="764">
        <f t="shared" ref="CT247" si="284">(CT234+CT235+CT236-CT240-CT241-CT242-CT243)-CT246</f>
        <v>0</v>
      </c>
      <c r="CU247" s="763"/>
      <c r="CV247" s="764">
        <f t="shared" ref="CV247" si="285">(CV234+CV235+CV236-CV240-CV241-CV242-CV243)-CV246</f>
        <v>0</v>
      </c>
      <c r="CW247" s="763"/>
      <c r="CX247" s="764">
        <f t="shared" ref="CX247" si="286">(CX234+CX235+CX236-CX240-CX241-CX242-CX243)-CX246</f>
        <v>0</v>
      </c>
      <c r="CY247" s="763"/>
      <c r="CZ247" s="764">
        <f t="shared" ref="CZ247" si="287">(CZ234+CZ235+CZ236-CZ240-CZ241-CZ242-CZ243)-CZ246</f>
        <v>0</v>
      </c>
      <c r="DA247" s="763"/>
      <c r="DB247" s="765"/>
      <c r="DC247" s="766"/>
      <c r="DD247" s="761"/>
      <c r="DE247" s="766"/>
      <c r="DF247" s="761"/>
      <c r="DG247" s="766"/>
      <c r="DH247" s="761"/>
      <c r="DI247" s="766"/>
      <c r="DJ247" s="761"/>
      <c r="DK247" s="766"/>
      <c r="DL247" s="763"/>
      <c r="DM247" s="766"/>
      <c r="DN247" s="763"/>
      <c r="DO247" s="766"/>
      <c r="DP247" s="763"/>
      <c r="DQ247" s="760"/>
      <c r="DR247" s="763"/>
      <c r="DS247" s="760"/>
      <c r="DT247" s="763"/>
      <c r="DU247" s="764">
        <f>(DU234+DU235+DU236-DU240-DU241-DU242-DU243)-DU246</f>
        <v>0</v>
      </c>
      <c r="DV247" s="763"/>
      <c r="DW247" s="764">
        <f>(DW234+DW235+DW236-DW240-DW241-DW242-DW243)-DW246</f>
        <v>0</v>
      </c>
      <c r="DX247" s="763"/>
      <c r="DY247" s="764">
        <f>(DY234+DY235+DY236-DY240-DY241-DY242-DY243)-DY246</f>
        <v>0</v>
      </c>
      <c r="DZ247" s="763"/>
      <c r="EA247" s="764">
        <f>(EA234+EA235+EA236-EA240-EA241-EA242-EA243)-EA246</f>
        <v>0</v>
      </c>
      <c r="EB247" s="763"/>
      <c r="EC247" s="764">
        <f>(EC234+EC235+EC236-EC240-EC241-EC242-EC243)-EC246</f>
        <v>0</v>
      </c>
      <c r="ED247" s="763"/>
      <c r="EE247" s="764">
        <f>(EE234+EE235+EE236-EE240-EE241-EE242-EE243)-EE246</f>
        <v>0</v>
      </c>
      <c r="EF247" s="763"/>
      <c r="EG247" s="764">
        <f>(EG234+EG235+EG236-EG240-EG241-EG242-EG243)-EG246</f>
        <v>0</v>
      </c>
      <c r="EH247" s="763"/>
      <c r="EI247" s="764">
        <f>(EI234+EI235+EI236-EI240-EI241-EI242-EI243)-EI246</f>
        <v>1.8474111129762605E-13</v>
      </c>
      <c r="EJ247" s="763"/>
      <c r="EK247" s="764">
        <f>(EK234+EK235+EK236-EK240-EK241-EK242-EK243)-EK246</f>
        <v>0</v>
      </c>
      <c r="EL247" s="763"/>
      <c r="EM247" s="764">
        <f>(EM234+EM235+EM236-EM240-EM241-EM242-EM243)-EM246</f>
        <v>-1.1368683772161603E-13</v>
      </c>
      <c r="EN247" s="763"/>
      <c r="EO247" s="764">
        <f>(EO234+EO235+EO236-EO240-EO241-EO242-EO243)-EO246</f>
        <v>0</v>
      </c>
      <c r="EP247" s="763"/>
      <c r="EQ247" s="764">
        <f>(EQ234+EQ235+EQ236-EQ240-EQ241-EQ242-EQ243)-EQ246</f>
        <v>0</v>
      </c>
      <c r="ER247" s="763"/>
      <c r="ES247" s="764">
        <f>(ES234+ES235+ES236-ES240-ES241-ES242-ES243)-ES246</f>
        <v>0</v>
      </c>
      <c r="ET247" s="763"/>
      <c r="EU247" s="761"/>
      <c r="EV247" s="710"/>
    </row>
    <row r="248" spans="1:152" ht="12.75" hidden="1" customHeight="1" outlineLevel="1" collapsed="1" x14ac:dyDescent="0.2">
      <c r="A248" s="813"/>
      <c r="B248" s="793"/>
      <c r="C248" s="816"/>
      <c r="D248" s="793"/>
      <c r="E248" s="816"/>
      <c r="F248" s="793"/>
      <c r="G248" s="816"/>
      <c r="H248" s="793"/>
      <c r="I248" s="752"/>
      <c r="J248" s="793"/>
      <c r="K248" s="752"/>
      <c r="L248" s="793"/>
      <c r="M248" s="752"/>
      <c r="N248" s="793"/>
      <c r="O248" s="752"/>
      <c r="P248" s="793"/>
      <c r="Q248" s="752"/>
      <c r="R248" s="793"/>
      <c r="S248" s="752"/>
      <c r="T248" s="793"/>
      <c r="U248" s="752"/>
      <c r="V248" s="793"/>
      <c r="W248" s="752"/>
      <c r="X248" s="793"/>
      <c r="Y248" s="752"/>
      <c r="Z248" s="793"/>
      <c r="AA248" s="752"/>
      <c r="AB248" s="793"/>
      <c r="AC248" s="752"/>
      <c r="AD248" s="793"/>
      <c r="AE248" s="752"/>
      <c r="AF248" s="793"/>
      <c r="AG248" s="752"/>
      <c r="AH248" s="793"/>
      <c r="AI248" s="752"/>
      <c r="AJ248" s="793"/>
      <c r="AK248" s="752"/>
      <c r="AL248" s="793"/>
      <c r="AM248" s="752"/>
      <c r="AN248" s="793"/>
      <c r="AO248" s="752"/>
      <c r="AP248" s="793"/>
      <c r="AQ248" s="752"/>
      <c r="AR248" s="793"/>
      <c r="AS248" s="752"/>
      <c r="AT248" s="793"/>
      <c r="AU248" s="752"/>
      <c r="AV248" s="793"/>
      <c r="AW248" s="752"/>
      <c r="AX248" s="793"/>
      <c r="AY248" s="752"/>
      <c r="AZ248" s="793"/>
      <c r="BA248" s="752"/>
      <c r="BB248" s="793"/>
      <c r="BC248" s="752"/>
      <c r="BD248" s="793"/>
      <c r="BE248" s="752"/>
      <c r="BF248" s="793"/>
      <c r="BG248" s="752"/>
      <c r="BH248" s="793"/>
      <c r="BI248" s="752"/>
      <c r="BJ248" s="793"/>
      <c r="BK248" s="752"/>
      <c r="BL248" s="793"/>
      <c r="BM248" s="752"/>
      <c r="BN248" s="793"/>
      <c r="BO248" s="752"/>
      <c r="BP248" s="793"/>
      <c r="BQ248" s="752"/>
      <c r="BR248" s="793"/>
      <c r="BS248" s="752"/>
      <c r="BT248" s="793"/>
      <c r="BU248" s="752"/>
      <c r="BV248" s="793"/>
      <c r="BW248" s="752"/>
      <c r="BX248" s="793"/>
      <c r="BY248" s="752"/>
      <c r="BZ248" s="793"/>
      <c r="CA248" s="752"/>
      <c r="CB248" s="793"/>
      <c r="CC248" s="752"/>
      <c r="CD248" s="793"/>
      <c r="CE248" s="752"/>
      <c r="CF248" s="793"/>
      <c r="CG248" s="752"/>
      <c r="CH248" s="793"/>
      <c r="CI248" s="752"/>
      <c r="CJ248" s="793"/>
      <c r="CK248" s="752"/>
      <c r="CL248" s="793"/>
      <c r="CM248" s="752"/>
      <c r="CN248" s="793"/>
      <c r="CO248" s="752"/>
      <c r="CP248" s="793"/>
      <c r="CQ248" s="752"/>
      <c r="CR248" s="793"/>
      <c r="CS248" s="752"/>
      <c r="CT248" s="793"/>
      <c r="CU248" s="752"/>
      <c r="CV248" s="793"/>
      <c r="CW248" s="752"/>
      <c r="CX248" s="793"/>
      <c r="CY248" s="752"/>
      <c r="CZ248" s="793"/>
      <c r="DA248" s="752"/>
      <c r="DB248" s="753"/>
      <c r="DC248" s="793"/>
      <c r="DD248" s="816"/>
      <c r="DE248" s="793"/>
      <c r="DF248" s="816"/>
      <c r="DG248" s="793"/>
      <c r="DH248" s="816"/>
      <c r="DI248" s="793"/>
      <c r="DJ248" s="816"/>
      <c r="DK248" s="793"/>
      <c r="DL248" s="752"/>
      <c r="DM248" s="793"/>
      <c r="DN248" s="752"/>
      <c r="DO248" s="793"/>
      <c r="DP248" s="752"/>
      <c r="DQ248" s="793"/>
      <c r="DR248" s="752"/>
      <c r="DS248" s="793"/>
      <c r="DT248" s="752"/>
      <c r="DU248" s="793"/>
      <c r="DV248" s="752"/>
      <c r="DW248" s="793"/>
      <c r="DX248" s="752"/>
      <c r="DY248" s="793"/>
      <c r="DZ248" s="752"/>
      <c r="EA248" s="793"/>
      <c r="EB248" s="752"/>
      <c r="EC248" s="793"/>
      <c r="ED248" s="752"/>
      <c r="EE248" s="793"/>
      <c r="EF248" s="752"/>
      <c r="EG248" s="793"/>
      <c r="EH248" s="752"/>
      <c r="EI248" s="793"/>
      <c r="EJ248" s="752"/>
      <c r="EK248" s="793"/>
      <c r="EL248" s="752"/>
      <c r="EM248" s="793"/>
      <c r="EN248" s="752"/>
      <c r="EO248" s="793"/>
      <c r="EP248" s="752"/>
      <c r="EQ248" s="793"/>
      <c r="ER248" s="752"/>
      <c r="ES248" s="793"/>
      <c r="ET248" s="752"/>
      <c r="EU248" s="793"/>
      <c r="EV248" s="710"/>
    </row>
    <row r="249" spans="1:152" ht="12.75" hidden="1" customHeight="1" outlineLevel="1" x14ac:dyDescent="0.2">
      <c r="A249" s="749" t="s">
        <v>260</v>
      </c>
      <c r="B249" s="793">
        <f>INPUT!AS450</f>
        <v>26.970748636589015</v>
      </c>
      <c r="C249" s="756">
        <f>INPUT!AT450</f>
        <v>5.3740876964409878</v>
      </c>
      <c r="D249" s="793">
        <f>INPUT!AU450</f>
        <v>25.91224018475755</v>
      </c>
      <c r="E249" s="756">
        <f>INPUT!AV450</f>
        <v>25.671227820991092</v>
      </c>
      <c r="F249" s="793">
        <f>INPUT!AW450</f>
        <v>26.789366053169722</v>
      </c>
      <c r="G249" s="756">
        <f>INPUT!AX450</f>
        <v>26.960941159012862</v>
      </c>
      <c r="H249" s="793">
        <f>INPUT!AY450</f>
        <v>26.71698113207545</v>
      </c>
      <c r="I249" s="752">
        <f>INPUT!AZ450</f>
        <v>1.5028512380879322</v>
      </c>
      <c r="J249" s="793">
        <f>INPUT!BA450</f>
        <v>27.46585735963582</v>
      </c>
      <c r="K249" s="752">
        <f>INPUT!BB450</f>
        <v>1.8357248058555209</v>
      </c>
      <c r="L249" s="793">
        <f>INPUT!BC450</f>
        <v>26.896551724137939</v>
      </c>
      <c r="M249" s="752">
        <f>INPUT!BD450</f>
        <v>3.7986354416373214</v>
      </c>
      <c r="N249" s="793">
        <f>INPUT!BE450</f>
        <v>30.030769230769256</v>
      </c>
      <c r="O249" s="752">
        <f>INPUT!BF450</f>
        <v>12.099588960657815</v>
      </c>
      <c r="P249" s="793">
        <f>INPUT!BG450</f>
        <v>26.303780964797909</v>
      </c>
      <c r="Q249" s="752">
        <f>INPUT!BH450</f>
        <v>-1.5465825470133976</v>
      </c>
      <c r="R249" s="793">
        <f>INPUT!BI450</f>
        <v>26.91570881226054</v>
      </c>
      <c r="S249" s="752">
        <f>INPUT!BJ450</f>
        <v>-2.0030270316039211</v>
      </c>
      <c r="T249" s="793">
        <f>INPUT!BK450</f>
        <v>25.403344089175722</v>
      </c>
      <c r="U249" s="752">
        <f>INPUT!BL450</f>
        <v>-5.5516694120390175</v>
      </c>
      <c r="V249" s="793">
        <f>INPUT!BM450</f>
        <v>25.214987714987725</v>
      </c>
      <c r="W249" s="752">
        <f>INPUT!BN450</f>
        <v>-16.036157711362662</v>
      </c>
      <c r="X249" s="793">
        <f>INPUT!BO450</f>
        <v>17.601547388781427</v>
      </c>
      <c r="Y249" s="752">
        <f>INPUT!BP450</f>
        <v>-33.083584400518674</v>
      </c>
      <c r="Z249" s="793">
        <f>INPUT!BQ450</f>
        <v>19.765228426395947</v>
      </c>
      <c r="AA249" s="752">
        <f>INPUT!BR450</f>
        <v>-26.566197590187311</v>
      </c>
      <c r="AB249" s="793">
        <f>INPUT!BS450</f>
        <v>20.778017906761338</v>
      </c>
      <c r="AC249" s="752">
        <f>INPUT!BT450</f>
        <v>-18.207548447864465</v>
      </c>
      <c r="AD249" s="793">
        <f>INPUT!BU450</f>
        <v>18.360963403190496</v>
      </c>
      <c r="AE249" s="752">
        <f>INPUT!BV450</f>
        <v>-27.182342459454045</v>
      </c>
      <c r="AF249" s="793">
        <f>INPUT!BW450</f>
        <v>19.049098819142333</v>
      </c>
      <c r="AG249" s="752">
        <f>INPUT!BX450</f>
        <v>8.2240009834789962</v>
      </c>
      <c r="AH249" s="793">
        <f>INPUT!BY450</f>
        <v>17.818288738606299</v>
      </c>
      <c r="AI249" s="752">
        <f>INPUT!BZ450</f>
        <v>-9.8503272807591742</v>
      </c>
      <c r="AJ249" s="793">
        <f>INPUT!CA450</f>
        <v>15.366705471478459</v>
      </c>
      <c r="AK249" s="752">
        <f>INPUT!CB450</f>
        <v>-26.043448704132622</v>
      </c>
      <c r="AL249" s="793">
        <f>INPUT!CC450</f>
        <v>14.46731234866828</v>
      </c>
      <c r="AM249" s="752">
        <f>INPUT!CD450</f>
        <v>-21.206137003931048</v>
      </c>
      <c r="AN249" s="793">
        <f>INPUT!CE450</f>
        <v>15.2423469387755</v>
      </c>
      <c r="AO249" s="752">
        <f>INPUT!CF450</f>
        <v>-19.983894863002394</v>
      </c>
      <c r="AP249" s="793">
        <f>INPUT!CG450</f>
        <v>15.271705184259845</v>
      </c>
      <c r="AQ249" s="752">
        <f>INPUT!CH450</f>
        <v>-14.291964799228197</v>
      </c>
      <c r="AR249" s="793">
        <f>INPUT!CI450</f>
        <v>15.949147645189251</v>
      </c>
      <c r="AS249" s="752">
        <f>INPUT!CJ450</f>
        <v>3.7902865698300703</v>
      </c>
      <c r="AT249" s="793">
        <f>INPUT!CK450</f>
        <v>10.823456019962565</v>
      </c>
      <c r="AU249" s="752">
        <f>INPUT!CL450</f>
        <v>-25.186822824359169</v>
      </c>
      <c r="AV249" s="793">
        <f>INPUT!CM450</f>
        <v>-8.4143968871595298</v>
      </c>
      <c r="AW249" s="752" t="str">
        <f>INPUT!CN450</f>
        <v>NM</v>
      </c>
      <c r="AX249" s="793">
        <f>INPUT!CO450</f>
        <v>12.548512289780076</v>
      </c>
      <c r="AY249" s="752">
        <f>INPUT!CP450</f>
        <v>-17.831623002299011</v>
      </c>
      <c r="AZ249" s="793">
        <f>INPUT!CQ450</f>
        <v>9.6742986133505244</v>
      </c>
      <c r="BA249" s="752">
        <f>INPUT!CR450</f>
        <v>-39.342848730423604</v>
      </c>
      <c r="BB249" s="793">
        <f>INPUT!CS450</f>
        <v>8.850981654328935</v>
      </c>
      <c r="BC249" s="752">
        <f>INPUT!CT450</f>
        <v>-18.224071516488248</v>
      </c>
      <c r="BD249" s="793">
        <f>INPUT!CU450</f>
        <v>11.30125928317727</v>
      </c>
      <c r="BE249" s="752" t="str">
        <f>INPUT!CV450</f>
        <v>NM</v>
      </c>
      <c r="BF249" s="793">
        <f>INPUT!CW450</f>
        <v>10.032051282051283</v>
      </c>
      <c r="BG249" s="752">
        <f>INPUT!CX450</f>
        <v>-20.053859370869663</v>
      </c>
      <c r="BH249" s="793">
        <f>INPUT!CY450</f>
        <v>10.638297872340429</v>
      </c>
      <c r="BI249" s="752">
        <f>INPUT!CZ450</f>
        <v>9.9645390070923092</v>
      </c>
      <c r="BJ249" s="793">
        <f>INPUT!DA450</f>
        <v>9.8925410872313542</v>
      </c>
      <c r="BK249" s="752">
        <f>INPUT!DB450</f>
        <v>11.767727847373877</v>
      </c>
      <c r="BL249" s="793">
        <f>INPUT!DC450</f>
        <v>11.856010568031708</v>
      </c>
      <c r="BM249" s="752">
        <f>INPUT!DD450</f>
        <v>4.9087563691262659</v>
      </c>
      <c r="BN249" s="793">
        <f>INPUT!DE450</f>
        <v>11.234225915666359</v>
      </c>
      <c r="BO249" s="752">
        <f>INPUT!DF450</f>
        <v>11.983338200891502</v>
      </c>
      <c r="BP249" s="793">
        <f>INPUT!DG450</f>
        <v>12.173378419920072</v>
      </c>
      <c r="BQ249" s="752">
        <f>INPUT!DH450</f>
        <v>14.429757147248633</v>
      </c>
      <c r="BR249" s="793">
        <f>INPUT!DI450</f>
        <v>10.561160151324083</v>
      </c>
      <c r="BS249" s="752">
        <f>INPUT!DJ450</f>
        <v>6.7588201878255427</v>
      </c>
      <c r="BT249" s="793">
        <f>INPUT!DK450</f>
        <v>-10.244033252882815</v>
      </c>
      <c r="BU249" s="752" t="str">
        <f>INPUT!DL450</f>
        <v>NM</v>
      </c>
      <c r="BV249" s="793">
        <f>INPUT!DM450</f>
        <v>10.241910147659437</v>
      </c>
      <c r="BW249" s="752">
        <f>INPUT!DN450</f>
        <v>-8.8329696719301012</v>
      </c>
      <c r="BX249" s="793">
        <f>INPUT!DO450</f>
        <v>12.006269592476485</v>
      </c>
      <c r="BY249" s="752">
        <f>INPUT!DP450</f>
        <v>-1.3727399385706773</v>
      </c>
      <c r="BZ249" s="793">
        <f>INPUT!DQ450</f>
        <v>10.046082949308754</v>
      </c>
      <c r="CA249" s="752">
        <f>INPUT!DR450</f>
        <v>-4.8770892083361828</v>
      </c>
      <c r="CB249" s="793">
        <f>INPUT!DS450</f>
        <v>11.587848418415287</v>
      </c>
      <c r="CC249" s="752" t="str">
        <f>INPUT!DT450</f>
        <v>NM</v>
      </c>
      <c r="CD249" s="793">
        <f>INPUT!DU450</f>
        <v>10.348013550970139</v>
      </c>
      <c r="CE249" s="752">
        <f>INPUT!DV450</f>
        <v>1.0359727998096924</v>
      </c>
      <c r="CF249" s="793">
        <f>INPUT!DW450</f>
        <v>11.018214392355931</v>
      </c>
      <c r="CG249" s="752">
        <f>INPUT!DX450</f>
        <v>-8.2294937033539632</v>
      </c>
      <c r="CH249" s="793">
        <f>INPUT!DY450</f>
        <v>8.7823108066023039</v>
      </c>
      <c r="CI249" s="752">
        <f>INPUT!DZ450</f>
        <v>-12.579750227857788</v>
      </c>
      <c r="CJ249" s="793">
        <f>INPUT!EA450</f>
        <v>8.7222870478413128</v>
      </c>
      <c r="CK249" s="752">
        <f>INPUT!EB450</f>
        <v>-24.729020152007287</v>
      </c>
      <c r="CL249" s="793">
        <f>INPUT!EC450</f>
        <v>7.8258311268020044</v>
      </c>
      <c r="CM249" s="752">
        <f>INPUT!ED450</f>
        <v>-24.373590271648581</v>
      </c>
      <c r="CN249" s="793">
        <f>INPUT!EE450</f>
        <v>8.175388967468173</v>
      </c>
      <c r="CO249" s="752">
        <f>INPUT!EF450</f>
        <v>-25.801144574387802</v>
      </c>
      <c r="CP249" s="793">
        <f>INPUT!EG450</f>
        <v>7.2671156004489283</v>
      </c>
      <c r="CQ249" s="752">
        <f>INPUT!EH450</f>
        <v>-17.252807826093928</v>
      </c>
      <c r="CR249" s="793">
        <f>INPUT!EI450</f>
        <v>7.9646017699115124</v>
      </c>
      <c r="CS249" s="752">
        <f>INPUT!EJ450</f>
        <v>-8.6867730192085375</v>
      </c>
      <c r="CT249" s="793">
        <f>INPUT!EK450</f>
        <v>8.6199069751823529</v>
      </c>
      <c r="CU249" s="752">
        <f>INPUT!EL450</f>
        <v>10.146856423476702</v>
      </c>
      <c r="CV249" s="793">
        <f>INPUT!EM450</f>
        <v>8.608399408773975</v>
      </c>
      <c r="CW249" s="752">
        <f>INPUT!EN450</f>
        <v>5.2965117993633681</v>
      </c>
      <c r="CX249" s="793">
        <f>INPUT!EO450</f>
        <v>8.4658367514500892</v>
      </c>
      <c r="CY249" s="752">
        <f>INPUT!EP450</f>
        <v>16.495143560494753</v>
      </c>
      <c r="CZ249" s="793">
        <f>INPUT!EQ450</f>
        <v>8.2008922985694674</v>
      </c>
      <c r="DA249" s="752">
        <f>INPUT!ER450</f>
        <v>2.9667588598165429</v>
      </c>
      <c r="DB249" s="753"/>
      <c r="DC249" s="793">
        <f>INPUT!FB450</f>
        <v>0</v>
      </c>
      <c r="DD249" s="756" t="str">
        <f>INPUT!FC450</f>
        <v>NA</v>
      </c>
      <c r="DE249" s="793">
        <f>INPUT!FD450</f>
        <v>6.5733472051451765</v>
      </c>
      <c r="DF249" s="756" t="str">
        <f>INPUT!FE450</f>
        <v>NA</v>
      </c>
      <c r="DG249" s="793">
        <f>INPUT!FF450</f>
        <v>-164.948453608249</v>
      </c>
      <c r="DH249" s="756" t="str">
        <f>INPUT!FG450</f>
        <v>NM</v>
      </c>
      <c r="DI249" s="793">
        <f>INPUT!FH450</f>
        <v>-112.07407407407391</v>
      </c>
      <c r="DJ249" s="756">
        <f>INPUT!FI450</f>
        <v>-32.055092592593347</v>
      </c>
      <c r="DK249" s="793">
        <f>INPUT!FJ450</f>
        <v>23.291528026618877</v>
      </c>
      <c r="DL249" s="752" t="str">
        <f>INPUT!FK450</f>
        <v>NM</v>
      </c>
      <c r="DM249" s="793">
        <f>INPUT!FL450</f>
        <v>26.603427832273351</v>
      </c>
      <c r="DN249" s="752">
        <f>INPUT!FM450</f>
        <v>14.21933246229894</v>
      </c>
      <c r="DO249" s="793">
        <f>INPUT!FN450</f>
        <v>27.739345802374238</v>
      </c>
      <c r="DP249" s="752">
        <f>INPUT!FO450</f>
        <v>4.2698180748079073</v>
      </c>
      <c r="DQ249" s="793">
        <f>INPUT!FP450</f>
        <v>23.846809830219385</v>
      </c>
      <c r="DR249" s="752">
        <f>INPUT!FQ450</f>
        <v>-14.032544241983125</v>
      </c>
      <c r="DS249" s="793">
        <f>INPUT!FR450</f>
        <v>19.153302424564878</v>
      </c>
      <c r="DT249" s="752">
        <f>INPUT!FS450</f>
        <v>-19.681908980993988</v>
      </c>
      <c r="DU249" s="793">
        <f>INPUT!FT450</f>
        <v>15.741507870753946</v>
      </c>
      <c r="DV249" s="752">
        <f>INPUT!FU450</f>
        <v>-17.813087676385088</v>
      </c>
      <c r="DW249" s="793">
        <f>INPUT!FV450</f>
        <v>51.526614428532866</v>
      </c>
      <c r="DX249" s="752" t="str">
        <f>INPUT!FW450</f>
        <v>NM</v>
      </c>
      <c r="DY249" s="793">
        <f>INPUT!FX450</f>
        <v>10.455486542443062</v>
      </c>
      <c r="DZ249" s="752" t="str">
        <f>INPUT!FY450</f>
        <v>NM</v>
      </c>
      <c r="EA249" s="793">
        <f>INPUT!FZ450</f>
        <v>10.593050316989007</v>
      </c>
      <c r="EB249" s="752">
        <f>INPUT!GA450</f>
        <v>1.3157089723899285</v>
      </c>
      <c r="EC249" s="793">
        <f>INPUT!GB450</f>
        <v>24.861227922624046</v>
      </c>
      <c r="ED249" s="752" t="str">
        <f>INPUT!GC450</f>
        <v>NM</v>
      </c>
      <c r="EE249" s="793">
        <f>INPUT!GD450</f>
        <v>10.966383277435453</v>
      </c>
      <c r="EF249" s="752" t="str">
        <f>INPUT!GE450</f>
        <v>NM</v>
      </c>
      <c r="EG249" s="793">
        <f>INPUT!GF450</f>
        <v>9.7166603702304428</v>
      </c>
      <c r="EH249" s="752">
        <f>INPUT!GG450</f>
        <v>-11.395944091945543</v>
      </c>
      <c r="EI249" s="793">
        <f>INPUT!GH450</f>
        <v>7.8090953820200983</v>
      </c>
      <c r="EJ249" s="752">
        <f>INPUT!GI450</f>
        <v>-19.631899392662465</v>
      </c>
      <c r="EK249" s="793">
        <f>INPUT!GJ450</f>
        <v>8.4727957044018822</v>
      </c>
      <c r="EL249" s="752">
        <f>INPUT!GK450</f>
        <v>8.4990679446675479</v>
      </c>
      <c r="EM249" s="793">
        <f>INPUT!GL450</f>
        <v>8.6515121432360669</v>
      </c>
      <c r="EN249" s="752">
        <f>INPUT!GM450</f>
        <v>2.1092971560890517</v>
      </c>
      <c r="EO249" s="793">
        <f>INPUT!GN450</f>
        <v>8.7988541871882742</v>
      </c>
      <c r="EP249" s="752">
        <f>INPUT!GO450</f>
        <v>1.7030785082744471</v>
      </c>
      <c r="EQ249" s="793">
        <f>INPUT!GP450</f>
        <v>8.9243533450532411</v>
      </c>
      <c r="ER249" s="752">
        <f>INPUT!GQ450</f>
        <v>1.4263125083684436</v>
      </c>
      <c r="ES249" s="793">
        <f>INPUT!GR450</f>
        <v>9.0516460141988286</v>
      </c>
      <c r="ET249" s="752">
        <f>INPUT!GS450</f>
        <v>1.4263517391559288</v>
      </c>
      <c r="EU249" s="756">
        <f>INPUT!GT450</f>
        <v>2.9971877472268371</v>
      </c>
      <c r="EV249" s="710"/>
    </row>
    <row r="250" spans="1:152" ht="12.75" hidden="1" customHeight="1" outlineLevel="1" x14ac:dyDescent="0.2">
      <c r="A250" s="813"/>
      <c r="B250" s="793"/>
      <c r="C250" s="756"/>
      <c r="D250" s="793"/>
      <c r="E250" s="756"/>
      <c r="F250" s="793"/>
      <c r="G250" s="756"/>
      <c r="H250" s="793"/>
      <c r="I250" s="752"/>
      <c r="J250" s="793"/>
      <c r="K250" s="752"/>
      <c r="L250" s="793"/>
      <c r="M250" s="752"/>
      <c r="N250" s="793"/>
      <c r="O250" s="752"/>
      <c r="P250" s="793"/>
      <c r="Q250" s="752"/>
      <c r="R250" s="793"/>
      <c r="S250" s="752"/>
      <c r="T250" s="793"/>
      <c r="U250" s="752"/>
      <c r="V250" s="793"/>
      <c r="W250" s="752"/>
      <c r="X250" s="793"/>
      <c r="Y250" s="752"/>
      <c r="Z250" s="793"/>
      <c r="AA250" s="752"/>
      <c r="AB250" s="793"/>
      <c r="AC250" s="752"/>
      <c r="AD250" s="793"/>
      <c r="AE250" s="752"/>
      <c r="AF250" s="793"/>
      <c r="AG250" s="752"/>
      <c r="AH250" s="793"/>
      <c r="AI250" s="752"/>
      <c r="AJ250" s="793"/>
      <c r="AK250" s="752"/>
      <c r="AL250" s="793"/>
      <c r="AM250" s="752"/>
      <c r="AN250" s="793"/>
      <c r="AO250" s="752"/>
      <c r="AP250" s="793"/>
      <c r="AQ250" s="752"/>
      <c r="AR250" s="793"/>
      <c r="AS250" s="752"/>
      <c r="AT250" s="793"/>
      <c r="AU250" s="752"/>
      <c r="AV250" s="793"/>
      <c r="AW250" s="752"/>
      <c r="AX250" s="793"/>
      <c r="AY250" s="752"/>
      <c r="AZ250" s="793"/>
      <c r="BA250" s="752"/>
      <c r="BB250" s="793"/>
      <c r="BC250" s="752"/>
      <c r="BD250" s="793"/>
      <c r="BE250" s="752"/>
      <c r="BF250" s="793"/>
      <c r="BG250" s="752"/>
      <c r="BH250" s="793"/>
      <c r="BI250" s="752"/>
      <c r="BJ250" s="793"/>
      <c r="BK250" s="752"/>
      <c r="BL250" s="793"/>
      <c r="BM250" s="752"/>
      <c r="BN250" s="793"/>
      <c r="BO250" s="752"/>
      <c r="BP250" s="793"/>
      <c r="BQ250" s="752"/>
      <c r="BR250" s="793"/>
      <c r="BS250" s="752"/>
      <c r="BT250" s="793"/>
      <c r="BU250" s="752"/>
      <c r="BV250" s="793"/>
      <c r="BW250" s="752"/>
      <c r="BX250" s="793"/>
      <c r="BY250" s="752"/>
      <c r="BZ250" s="793"/>
      <c r="CA250" s="752"/>
      <c r="CB250" s="793"/>
      <c r="CC250" s="752"/>
      <c r="CD250" s="793"/>
      <c r="CE250" s="752"/>
      <c r="CF250" s="793"/>
      <c r="CG250" s="752"/>
      <c r="CH250" s="793"/>
      <c r="CI250" s="752"/>
      <c r="CJ250" s="793"/>
      <c r="CK250" s="752"/>
      <c r="CL250" s="793"/>
      <c r="CM250" s="752"/>
      <c r="CN250" s="793"/>
      <c r="CO250" s="752"/>
      <c r="CP250" s="793"/>
      <c r="CQ250" s="752"/>
      <c r="CR250" s="793"/>
      <c r="CS250" s="752"/>
      <c r="CT250" s="793"/>
      <c r="CU250" s="752"/>
      <c r="CV250" s="793"/>
      <c r="CW250" s="752"/>
      <c r="CX250" s="793"/>
      <c r="CY250" s="752"/>
      <c r="CZ250" s="793"/>
      <c r="DA250" s="752"/>
      <c r="DB250" s="753"/>
      <c r="DC250" s="793"/>
      <c r="DD250" s="756"/>
      <c r="DE250" s="793"/>
      <c r="DF250" s="756"/>
      <c r="DG250" s="793"/>
      <c r="DH250" s="756"/>
      <c r="DI250" s="793"/>
      <c r="DJ250" s="756"/>
      <c r="DK250" s="793"/>
      <c r="DL250" s="752"/>
      <c r="DM250" s="793"/>
      <c r="DN250" s="752"/>
      <c r="DO250" s="793"/>
      <c r="DP250" s="752"/>
      <c r="DQ250" s="793"/>
      <c r="DR250" s="752"/>
      <c r="DS250" s="793"/>
      <c r="DT250" s="752"/>
      <c r="DU250" s="793"/>
      <c r="DV250" s="752"/>
      <c r="DW250" s="793"/>
      <c r="DX250" s="752"/>
      <c r="DY250" s="793"/>
      <c r="DZ250" s="752"/>
      <c r="EA250" s="793"/>
      <c r="EB250" s="752"/>
      <c r="EC250" s="793"/>
      <c r="ED250" s="752"/>
      <c r="EE250" s="793"/>
      <c r="EF250" s="752"/>
      <c r="EG250" s="793"/>
      <c r="EH250" s="752"/>
      <c r="EI250" s="793"/>
      <c r="EJ250" s="752"/>
      <c r="EK250" s="793"/>
      <c r="EL250" s="752"/>
      <c r="EM250" s="793"/>
      <c r="EN250" s="752"/>
      <c r="EO250" s="793"/>
      <c r="EP250" s="752"/>
      <c r="EQ250" s="793"/>
      <c r="ER250" s="752"/>
      <c r="ES250" s="793"/>
      <c r="ET250" s="752"/>
      <c r="EU250" s="756"/>
      <c r="EV250" s="710"/>
    </row>
    <row r="251" spans="1:152" ht="12.75" hidden="1" customHeight="1" outlineLevel="1" x14ac:dyDescent="0.2">
      <c r="A251" s="749" t="s">
        <v>450</v>
      </c>
      <c r="B251" s="793"/>
      <c r="C251" s="756"/>
      <c r="D251" s="793"/>
      <c r="E251" s="756"/>
      <c r="F251" s="793"/>
      <c r="G251" s="756"/>
      <c r="H251" s="793"/>
      <c r="I251" s="752"/>
      <c r="J251" s="793"/>
      <c r="K251" s="752"/>
      <c r="L251" s="793"/>
      <c r="M251" s="752"/>
      <c r="N251" s="793"/>
      <c r="O251" s="752"/>
      <c r="P251" s="793"/>
      <c r="Q251" s="752"/>
      <c r="R251" s="793"/>
      <c r="S251" s="752"/>
      <c r="T251" s="793"/>
      <c r="U251" s="752"/>
      <c r="V251" s="793"/>
      <c r="W251" s="752"/>
      <c r="X251" s="793"/>
      <c r="Y251" s="752"/>
      <c r="Z251" s="793"/>
      <c r="AA251" s="752"/>
      <c r="AB251" s="793"/>
      <c r="AC251" s="752"/>
      <c r="AD251" s="793"/>
      <c r="AE251" s="752"/>
      <c r="AF251" s="793"/>
      <c r="AG251" s="752"/>
      <c r="AH251" s="793"/>
      <c r="AI251" s="752"/>
      <c r="AJ251" s="793"/>
      <c r="AK251" s="752"/>
      <c r="AL251" s="793"/>
      <c r="AM251" s="752"/>
      <c r="AN251" s="793"/>
      <c r="AO251" s="752"/>
      <c r="AP251" s="793"/>
      <c r="AQ251" s="752"/>
      <c r="AR251" s="793"/>
      <c r="AS251" s="752"/>
      <c r="AT251" s="793"/>
      <c r="AU251" s="752"/>
      <c r="AV251" s="793"/>
      <c r="AW251" s="752"/>
      <c r="AX251" s="793"/>
      <c r="AY251" s="752"/>
      <c r="AZ251" s="793"/>
      <c r="BA251" s="752"/>
      <c r="BB251" s="793"/>
      <c r="BC251" s="752"/>
      <c r="BD251" s="793"/>
      <c r="BE251" s="752"/>
      <c r="BF251" s="793"/>
      <c r="BG251" s="752"/>
      <c r="BH251" s="793"/>
      <c r="BI251" s="752"/>
      <c r="BJ251" s="793"/>
      <c r="BK251" s="752"/>
      <c r="BL251" s="793"/>
      <c r="BM251" s="752"/>
      <c r="BN251" s="793"/>
      <c r="BO251" s="752"/>
      <c r="BP251" s="793"/>
      <c r="BQ251" s="752"/>
      <c r="BR251" s="793"/>
      <c r="BS251" s="752"/>
      <c r="BT251" s="793"/>
      <c r="BU251" s="752"/>
      <c r="BV251" s="793"/>
      <c r="BW251" s="752"/>
      <c r="BX251" s="793"/>
      <c r="BY251" s="752"/>
      <c r="BZ251" s="793"/>
      <c r="CA251" s="752"/>
      <c r="CB251" s="793"/>
      <c r="CC251" s="752"/>
      <c r="CD251" s="793"/>
      <c r="CE251" s="752"/>
      <c r="CF251" s="793"/>
      <c r="CG251" s="752"/>
      <c r="CH251" s="793"/>
      <c r="CI251" s="752"/>
      <c r="CJ251" s="793"/>
      <c r="CK251" s="752"/>
      <c r="CL251" s="793"/>
      <c r="CM251" s="752"/>
      <c r="CN251" s="793"/>
      <c r="CO251" s="752"/>
      <c r="CP251" s="793"/>
      <c r="CQ251" s="752"/>
      <c r="CR251" s="793"/>
      <c r="CS251" s="752"/>
      <c r="CT251" s="793"/>
      <c r="CU251" s="752"/>
      <c r="CV251" s="793"/>
      <c r="CW251" s="752"/>
      <c r="CX251" s="793"/>
      <c r="CY251" s="752"/>
      <c r="CZ251" s="793"/>
      <c r="DA251" s="752"/>
      <c r="DB251" s="753"/>
      <c r="DC251" s="793"/>
      <c r="DD251" s="756"/>
      <c r="DE251" s="793"/>
      <c r="DF251" s="756"/>
      <c r="DG251" s="793"/>
      <c r="DH251" s="756"/>
      <c r="DI251" s="793"/>
      <c r="DJ251" s="756"/>
      <c r="DK251" s="793"/>
      <c r="DL251" s="752"/>
      <c r="DM251" s="793"/>
      <c r="DN251" s="752"/>
      <c r="DO251" s="793"/>
      <c r="DP251" s="752"/>
      <c r="DQ251" s="793"/>
      <c r="DR251" s="752"/>
      <c r="DS251" s="793"/>
      <c r="DT251" s="752"/>
      <c r="DU251" s="793"/>
      <c r="DV251" s="752"/>
      <c r="DW251" s="793"/>
      <c r="DX251" s="752"/>
      <c r="DY251" s="793"/>
      <c r="DZ251" s="752"/>
      <c r="EA251" s="793"/>
      <c r="EB251" s="752"/>
      <c r="EC251" s="793"/>
      <c r="ED251" s="752"/>
      <c r="EE251" s="793"/>
      <c r="EF251" s="752"/>
      <c r="EG251" s="793"/>
      <c r="EH251" s="752"/>
      <c r="EI251" s="793"/>
      <c r="EJ251" s="752"/>
      <c r="EK251" s="793"/>
      <c r="EL251" s="752"/>
      <c r="EM251" s="793"/>
      <c r="EN251" s="752"/>
      <c r="EO251" s="793"/>
      <c r="EP251" s="752"/>
      <c r="EQ251" s="793"/>
      <c r="ER251" s="752"/>
      <c r="ES251" s="793"/>
      <c r="ET251" s="752"/>
      <c r="EU251" s="756"/>
      <c r="EV251" s="710"/>
    </row>
    <row r="252" spans="1:152" ht="12.75" hidden="1" customHeight="1" outlineLevel="1" x14ac:dyDescent="0.2">
      <c r="A252" s="813" t="str">
        <f>INPUT!B206</f>
        <v>Pretax Earnings/Revenues (%)</v>
      </c>
      <c r="B252" s="793">
        <f>INPUT!AS206</f>
        <v>23.703703703703706</v>
      </c>
      <c r="C252" s="756">
        <f>INPUT!AT206</f>
        <v>14.359094824211027</v>
      </c>
      <c r="D252" s="793">
        <f>INPUT!AU206</f>
        <v>23.326403326403337</v>
      </c>
      <c r="E252" s="756">
        <f>INPUT!AV206</f>
        <v>31.373399847976223</v>
      </c>
      <c r="F252" s="793">
        <f>INPUT!AW206</f>
        <v>24.670433145009415</v>
      </c>
      <c r="G252" s="756">
        <f>INPUT!AX206</f>
        <v>36.051005461820537</v>
      </c>
      <c r="H252" s="793">
        <f>INPUT!AY206</f>
        <v>29.007092198581553</v>
      </c>
      <c r="I252" s="752">
        <f>INPUT!AZ206</f>
        <v>38.798641980636781</v>
      </c>
      <c r="J252" s="793">
        <f>INPUT!BA206</f>
        <v>27.105952826656683</v>
      </c>
      <c r="K252" s="752">
        <f>INPUT!BB206</f>
        <v>14.353238487457865</v>
      </c>
      <c r="L252" s="793">
        <f>INPUT!BC206</f>
        <v>25.238419618528617</v>
      </c>
      <c r="M252" s="752">
        <f>INPUT!BD206</f>
        <v>8.1967899867402707</v>
      </c>
      <c r="N252" s="793">
        <f>INPUT!BE206</f>
        <v>33.390352377694157</v>
      </c>
      <c r="O252" s="752">
        <f>INPUT!BF206</f>
        <v>35.345626813401523</v>
      </c>
      <c r="P252" s="793">
        <f>INPUT!BG206</f>
        <v>26.716808371484625</v>
      </c>
      <c r="Q252" s="752">
        <f>INPUT!BH206</f>
        <v>-7.8955995017278013</v>
      </c>
      <c r="R252" s="793">
        <f>INPUT!BI206</f>
        <v>29.756441934345219</v>
      </c>
      <c r="S252" s="752">
        <f>INPUT!BJ206</f>
        <v>9.7782547052984512</v>
      </c>
      <c r="T252" s="793">
        <f>INPUT!BK206</f>
        <v>31.561008861622348</v>
      </c>
      <c r="U252" s="752">
        <f>INPUT!BL206</f>
        <v>25.051446717575153</v>
      </c>
      <c r="V252" s="793">
        <f>INPUT!BM206</f>
        <v>34.082535003684598</v>
      </c>
      <c r="W252" s="752">
        <f>INPUT!BN206</f>
        <v>2.0730018604201428</v>
      </c>
      <c r="X252" s="793">
        <f>INPUT!BO206</f>
        <v>24.255886272767665</v>
      </c>
      <c r="Y252" s="752">
        <f>INPUT!BP206</f>
        <v>-9.2111380390164861</v>
      </c>
      <c r="Z252" s="793">
        <f>INPUT!BQ206</f>
        <v>32.703412073490817</v>
      </c>
      <c r="AA252" s="752">
        <f>INPUT!BR206</f>
        <v>9.903637490153594</v>
      </c>
      <c r="AB252" s="793">
        <f>INPUT!BS206</f>
        <v>32.309169467114742</v>
      </c>
      <c r="AC252" s="752">
        <f>INPUT!BT206</f>
        <v>2.3705218320893007</v>
      </c>
      <c r="AD252" s="793">
        <f>INPUT!BU206</f>
        <v>30.446058091286304</v>
      </c>
      <c r="AE252" s="752">
        <f>INPUT!BV206</f>
        <v>-10.669619827296184</v>
      </c>
      <c r="AF252" s="793">
        <f>INPUT!BW206</f>
        <v>27.68744354110207</v>
      </c>
      <c r="AG252" s="752">
        <f>INPUT!BX206</f>
        <v>14.147317602602104</v>
      </c>
      <c r="AH252" s="793">
        <f>INPUT!BY206</f>
        <v>29.403202328966525</v>
      </c>
      <c r="AI252" s="752">
        <f>INPUT!BZ206</f>
        <v>-10.091331562309435</v>
      </c>
      <c r="AJ252" s="793">
        <f>INPUT!CA206</f>
        <v>26.883910386965365</v>
      </c>
      <c r="AK252" s="752">
        <f>INPUT!CB206</f>
        <v>-16.791700837966051</v>
      </c>
      <c r="AL252" s="793">
        <f>INPUT!CC206</f>
        <v>23.828514456630113</v>
      </c>
      <c r="AM252" s="752">
        <f>INPUT!CD206</f>
        <v>-21.73530515778047</v>
      </c>
      <c r="AN252" s="793">
        <f>INPUT!CE206</f>
        <v>21.8065693430657</v>
      </c>
      <c r="AO252" s="752">
        <f>INPUT!CF206</f>
        <v>-21.240221002369541</v>
      </c>
      <c r="AP252" s="793">
        <f>INPUT!CG206</f>
        <v>23.055162659123056</v>
      </c>
      <c r="AQ252" s="752">
        <f>INPUT!CH206</f>
        <v>-21.589620065259719</v>
      </c>
      <c r="AR252" s="793">
        <f>INPUT!CI206</f>
        <v>24.327897752313802</v>
      </c>
      <c r="AS252" s="752">
        <f>INPUT!CJ206</f>
        <v>-9.5075924516205834</v>
      </c>
      <c r="AT252" s="793">
        <f>INPUT!CK206</f>
        <v>15.859232175502736</v>
      </c>
      <c r="AU252" s="752">
        <f>INPUT!CL206</f>
        <v>-33.444310158873471</v>
      </c>
      <c r="AV252" s="793">
        <f>INPUT!CM206</f>
        <v>23.590909090909093</v>
      </c>
      <c r="AW252" s="752">
        <f>INPUT!CN206</f>
        <v>8.1825789273487715</v>
      </c>
      <c r="AX252" s="793">
        <f>INPUT!CO206</f>
        <v>18.716835504100331</v>
      </c>
      <c r="AY252" s="752">
        <f>INPUT!CP206</f>
        <v>-18.817161341110832</v>
      </c>
      <c r="AZ252" s="793">
        <f>INPUT!CQ206</f>
        <v>13.489208633093513</v>
      </c>
      <c r="BA252" s="752">
        <f>INPUT!CR206</f>
        <v>-44.55251016578049</v>
      </c>
      <c r="BB252" s="793">
        <f>INPUT!CS206</f>
        <v>13.095238095238097</v>
      </c>
      <c r="BC252" s="752">
        <f>INPUT!CT206</f>
        <v>-17.428296967201828</v>
      </c>
      <c r="BD252" s="793">
        <f>INPUT!CU206</f>
        <v>15.500442869796279</v>
      </c>
      <c r="BE252" s="752">
        <f>INPUT!CV206</f>
        <v>-34.294847180054312</v>
      </c>
      <c r="BF252" s="793">
        <f>INPUT!CW206</f>
        <v>17.916428162564401</v>
      </c>
      <c r="BG252" s="752">
        <f>INPUT!CX206</f>
        <v>-4.2764031417628416</v>
      </c>
      <c r="BH252" s="793">
        <f>INPUT!CY206</f>
        <v>18.316019682886825</v>
      </c>
      <c r="BI252" s="752">
        <f>INPUT!CZ206</f>
        <v>35.782759249134457</v>
      </c>
      <c r="BJ252" s="793">
        <f>INPUT!DA206</f>
        <v>18.664281454979132</v>
      </c>
      <c r="BK252" s="752">
        <f>INPUT!DB206</f>
        <v>42.527240201658813</v>
      </c>
      <c r="BL252" s="793">
        <f>INPUT!DC206</f>
        <v>19.955530850472485</v>
      </c>
      <c r="BM252" s="752">
        <f>INPUT!DD206</f>
        <v>28.741681886762493</v>
      </c>
      <c r="BN252" s="793">
        <f>INPUT!DE206</f>
        <v>19.708423326133897</v>
      </c>
      <c r="BO252" s="752">
        <f>INPUT!DF206</f>
        <v>10.001966615833568</v>
      </c>
      <c r="BP252" s="793">
        <f>INPUT!DG206</f>
        <v>19.949622166246851</v>
      </c>
      <c r="BQ252" s="752">
        <f>INPUT!DH206</f>
        <v>8.9189819166134008</v>
      </c>
      <c r="BR252" s="793">
        <f>INPUT!DI206</f>
        <v>17.914438502673796</v>
      </c>
      <c r="BS252" s="752">
        <f>INPUT!DJ206</f>
        <v>-4.0175291725752293</v>
      </c>
      <c r="BT252" s="793">
        <f>INPUT!DK206</f>
        <v>20.373333333333342</v>
      </c>
      <c r="BU252" s="752">
        <f>INPUT!DL206</f>
        <v>2.093667595171822</v>
      </c>
      <c r="BV252" s="793">
        <f>INPUT!DM206</f>
        <v>20.061538461538458</v>
      </c>
      <c r="BW252" s="752">
        <f>INPUT!DN206</f>
        <v>1.7916965226554726</v>
      </c>
      <c r="BX252" s="793">
        <f>INPUT!DO206</f>
        <v>21.183628318584063</v>
      </c>
      <c r="BY252" s="752">
        <f>INPUT!DP206</f>
        <v>6.1856116474478862</v>
      </c>
      <c r="BZ252" s="793">
        <f>INPUT!DQ206</f>
        <v>18.945538818076489</v>
      </c>
      <c r="CA252" s="752">
        <f>INPUT!DR206</f>
        <v>5.7556942979195114</v>
      </c>
      <c r="CB252" s="793">
        <f>INPUT!DS206</f>
        <v>19.978401727861772</v>
      </c>
      <c r="CC252" s="752">
        <f>INPUT!DT206</f>
        <v>-1.9384731943957956</v>
      </c>
      <c r="CD252" s="793">
        <f>INPUT!DU206</f>
        <v>20.228777844671892</v>
      </c>
      <c r="CE252" s="752">
        <f>INPUT!DV206</f>
        <v>0.83363189445346819</v>
      </c>
      <c r="CF252" s="793">
        <f>INPUT!DW206</f>
        <v>21.085714285714289</v>
      </c>
      <c r="CG252" s="752">
        <f>INPUT!DX206</f>
        <v>-0.46221559119725697</v>
      </c>
      <c r="CH252" s="793">
        <f>INPUT!DY206</f>
        <v>18.100128369704759</v>
      </c>
      <c r="CI252" s="752">
        <f>INPUT!DZ206</f>
        <v>-4.4623193696929793</v>
      </c>
      <c r="CJ252" s="793">
        <f>INPUT!EA206</f>
        <v>19.840743198407441</v>
      </c>
      <c r="CK252" s="752">
        <f>INPUT!EB206</f>
        <v>-0.68903674743087118</v>
      </c>
      <c r="CL252" s="793">
        <f>INPUT!EC206</f>
        <v>17.985125084516561</v>
      </c>
      <c r="CM252" s="752">
        <f>INPUT!ED206</f>
        <v>-11.091390579220251</v>
      </c>
      <c r="CN252" s="793">
        <f>INPUT!EE206</f>
        <v>18.062500000000004</v>
      </c>
      <c r="CO252" s="752">
        <f>INPUT!EF206</f>
        <v>-14.337737127371275</v>
      </c>
      <c r="CP252" s="793">
        <f>INPUT!EG206</f>
        <v>16.187499999999986</v>
      </c>
      <c r="CQ252" s="752">
        <f>INPUT!EH206</f>
        <v>-10.566932624113601</v>
      </c>
      <c r="CR252" s="793">
        <f>INPUT!EI206</f>
        <v>17.956469165659016</v>
      </c>
      <c r="CS252" s="752">
        <f>INPUT!EJ206</f>
        <v>-9.4969932018457381</v>
      </c>
      <c r="CT252" s="793">
        <f>INPUT!EK206</f>
        <v>17.583097467283462</v>
      </c>
      <c r="CU252" s="752">
        <f>INPUT!EL206</f>
        <v>-2.235334007096812</v>
      </c>
      <c r="CV252" s="793">
        <f>INPUT!EM206</f>
        <v>17.498158050179352</v>
      </c>
      <c r="CW252" s="752">
        <f>INPUT!EN206</f>
        <v>-3.1243844972769663</v>
      </c>
      <c r="CX252" s="793">
        <f>INPUT!EO206</f>
        <v>17.083271509597989</v>
      </c>
      <c r="CY252" s="752">
        <f>INPUT!EP206</f>
        <v>5.5337236114162414</v>
      </c>
      <c r="CZ252" s="793">
        <f>INPUT!EQ206</f>
        <v>16.786863153215663</v>
      </c>
      <c r="DA252" s="752">
        <f>INPUT!ER206</f>
        <v>-6.5135634497687001</v>
      </c>
      <c r="DB252" s="813"/>
      <c r="DC252" s="793">
        <f>INPUT!FB206</f>
        <v>0</v>
      </c>
      <c r="DD252" s="756">
        <f>INPUT!FC206</f>
        <v>0</v>
      </c>
      <c r="DE252" s="793">
        <f>INPUT!FD206</f>
        <v>17.237103174603174</v>
      </c>
      <c r="DF252" s="756" t="str">
        <f>INPUT!FE206</f>
        <v>NA</v>
      </c>
      <c r="DG252" s="793">
        <f>INPUT!FF206</f>
        <v>18.874283788338388</v>
      </c>
      <c r="DH252" s="756">
        <f>INPUT!FG206</f>
        <v>9.4980032152235836</v>
      </c>
      <c r="DI252" s="793">
        <f>INPUT!FH206</f>
        <v>18.870042404589668</v>
      </c>
      <c r="DJ252" s="756">
        <f>INPUT!FI206</f>
        <v>-2.247175996866746E-2</v>
      </c>
      <c r="DK252" s="793">
        <f>INPUT!FJ206</f>
        <v>19.363762102351327</v>
      </c>
      <c r="DL252" s="752">
        <f>INPUT!FK206</f>
        <v>2.6164207116014415</v>
      </c>
      <c r="DM252" s="793">
        <f>INPUT!FL206</f>
        <v>25.336609336609335</v>
      </c>
      <c r="DN252" s="752">
        <f>INPUT!FM206</f>
        <v>30.845489645489543</v>
      </c>
      <c r="DO252" s="793">
        <f>INPUT!FN206</f>
        <v>28.11529168104936</v>
      </c>
      <c r="DP252" s="752">
        <f>INPUT!FO206</f>
        <v>10.967064722528018</v>
      </c>
      <c r="DQ252" s="793">
        <f>INPUT!FP206</f>
        <v>30.190085724934757</v>
      </c>
      <c r="DR252" s="752">
        <f>INPUT!FQ206</f>
        <v>7.3795928117077914</v>
      </c>
      <c r="DS252" s="793">
        <f>INPUT!FR206</f>
        <v>30.996309963099623</v>
      </c>
      <c r="DT252" s="752">
        <f>INPUT!FS206</f>
        <v>2.6704933716004131</v>
      </c>
      <c r="DU252" s="793">
        <f>INPUT!FT206</f>
        <v>25.416514654019217</v>
      </c>
      <c r="DV252" s="752">
        <f>INPUT!FU206</f>
        <v>-18.001482485247511</v>
      </c>
      <c r="DW252" s="793">
        <f>INPUT!FV206</f>
        <v>21.724766461608574</v>
      </c>
      <c r="DX252" s="752">
        <f>INPUT!FW206</f>
        <v>-14.5249977924367</v>
      </c>
      <c r="DY252" s="793">
        <f>INPUT!FX206</f>
        <v>15.170421721548221</v>
      </c>
      <c r="DZ252" s="752">
        <f>INPUT!FY206</f>
        <v>-30.169920360907053</v>
      </c>
      <c r="EA252" s="793">
        <f>INPUT!FZ206</f>
        <v>18.718094157685762</v>
      </c>
      <c r="EB252" s="752">
        <f>INPUT!GA206</f>
        <v>23.385456919094018</v>
      </c>
      <c r="EC252" s="793">
        <f>INPUT!GB206</f>
        <v>19.493537325243995</v>
      </c>
      <c r="ED252" s="752">
        <f>INPUT!GC206</f>
        <v>4.1427463769853512</v>
      </c>
      <c r="EE252" s="793">
        <f>INPUT!GD206</f>
        <v>20.054200542005411</v>
      </c>
      <c r="EF252" s="752">
        <f>INPUT!GE206</f>
        <v>2.8761491945095141</v>
      </c>
      <c r="EG252" s="793">
        <f>INPUT!GF206</f>
        <v>19.857936998147007</v>
      </c>
      <c r="EH252" s="752">
        <f>INPUT!GG206</f>
        <v>-0.97866550923987328</v>
      </c>
      <c r="EI252" s="793">
        <f>INPUT!GH206</f>
        <v>17.54302858045159</v>
      </c>
      <c r="EJ252" s="752">
        <f>INPUT!GI206</f>
        <v>-11.657345966559497</v>
      </c>
      <c r="EK252" s="793">
        <f>INPUT!GJ206</f>
        <v>17.236153444178804</v>
      </c>
      <c r="EL252" s="752">
        <f>INPUT!GK206</f>
        <v>-1.7492711413281348</v>
      </c>
      <c r="EM252" s="793">
        <f>INPUT!GL206</f>
        <v>17.329632947163677</v>
      </c>
      <c r="EN252" s="752">
        <f>INPUT!GM206</f>
        <v>0.54234550236291756</v>
      </c>
      <c r="EO252" s="793">
        <f>INPUT!GN206</f>
        <v>17.422628250711064</v>
      </c>
      <c r="EP252" s="752">
        <f>INPUT!GO206</f>
        <v>0.53662592757111049</v>
      </c>
      <c r="EQ252" s="793">
        <f>INPUT!GP206</f>
        <v>17.515157977876285</v>
      </c>
      <c r="ER252" s="752">
        <f>INPUT!GQ206</f>
        <v>0.5310893731629962</v>
      </c>
      <c r="ES252" s="793">
        <f>INPUT!GR206</f>
        <v>17.526349717832286</v>
      </c>
      <c r="ET252" s="752">
        <f>INPUT!GS206</f>
        <v>6.3897453680628047E-2</v>
      </c>
      <c r="EU252" s="756">
        <f>INPUT!GT206</f>
        <v>-1.9022039517957445E-2</v>
      </c>
      <c r="EV252" s="710"/>
    </row>
    <row r="253" spans="1:152" ht="12.75" hidden="1" customHeight="1" outlineLevel="1" x14ac:dyDescent="0.2">
      <c r="A253" s="813"/>
      <c r="B253" s="793"/>
      <c r="C253" s="756"/>
      <c r="D253" s="793"/>
      <c r="E253" s="756"/>
      <c r="F253" s="793"/>
      <c r="G253" s="756"/>
      <c r="H253" s="793"/>
      <c r="I253" s="752"/>
      <c r="J253" s="793"/>
      <c r="K253" s="752"/>
      <c r="L253" s="793"/>
      <c r="M253" s="752"/>
      <c r="N253" s="793"/>
      <c r="O253" s="752"/>
      <c r="P253" s="793"/>
      <c r="Q253" s="752"/>
      <c r="R253" s="793"/>
      <c r="S253" s="752"/>
      <c r="T253" s="793"/>
      <c r="U253" s="752"/>
      <c r="V253" s="793"/>
      <c r="W253" s="752"/>
      <c r="X253" s="793"/>
      <c r="Y253" s="752"/>
      <c r="Z253" s="793"/>
      <c r="AA253" s="752"/>
      <c r="AB253" s="793"/>
      <c r="AC253" s="752"/>
      <c r="AD253" s="793"/>
      <c r="AE253" s="752"/>
      <c r="AF253" s="793"/>
      <c r="AG253" s="752"/>
      <c r="AH253" s="793"/>
      <c r="AI253" s="752"/>
      <c r="AJ253" s="793"/>
      <c r="AK253" s="752"/>
      <c r="AL253" s="793"/>
      <c r="AM253" s="752"/>
      <c r="AN253" s="793"/>
      <c r="AO253" s="752"/>
      <c r="AP253" s="793"/>
      <c r="AQ253" s="752"/>
      <c r="AR253" s="793"/>
      <c r="AS253" s="752"/>
      <c r="AT253" s="793"/>
      <c r="AU253" s="752"/>
      <c r="AV253" s="793"/>
      <c r="AW253" s="752"/>
      <c r="AX253" s="793"/>
      <c r="AY253" s="752"/>
      <c r="AZ253" s="793"/>
      <c r="BA253" s="752"/>
      <c r="BB253" s="793"/>
      <c r="BC253" s="752"/>
      <c r="BD253" s="793"/>
      <c r="BE253" s="752"/>
      <c r="BF253" s="793"/>
      <c r="BG253" s="752"/>
      <c r="BH253" s="793"/>
      <c r="BI253" s="752"/>
      <c r="BJ253" s="793"/>
      <c r="BK253" s="752"/>
      <c r="BL253" s="793"/>
      <c r="BM253" s="752"/>
      <c r="BN253" s="793"/>
      <c r="BO253" s="752"/>
      <c r="BP253" s="793"/>
      <c r="BQ253" s="752"/>
      <c r="BR253" s="793"/>
      <c r="BS253" s="752"/>
      <c r="BT253" s="793"/>
      <c r="BU253" s="752"/>
      <c r="BV253" s="793"/>
      <c r="BW253" s="752"/>
      <c r="BX253" s="793"/>
      <c r="BY253" s="752"/>
      <c r="BZ253" s="793"/>
      <c r="CA253" s="752"/>
      <c r="CB253" s="793"/>
      <c r="CC253" s="752"/>
      <c r="CD253" s="793"/>
      <c r="CE253" s="752"/>
      <c r="CF253" s="793"/>
      <c r="CG253" s="752"/>
      <c r="CH253" s="793"/>
      <c r="CI253" s="752"/>
      <c r="CJ253" s="793"/>
      <c r="CK253" s="752"/>
      <c r="CL253" s="793"/>
      <c r="CM253" s="752"/>
      <c r="CN253" s="793"/>
      <c r="CO253" s="752"/>
      <c r="CP253" s="793"/>
      <c r="CQ253" s="752"/>
      <c r="CR253" s="793"/>
      <c r="CS253" s="752"/>
      <c r="CT253" s="793"/>
      <c r="CU253" s="752"/>
      <c r="CV253" s="793"/>
      <c r="CW253" s="752"/>
      <c r="CX253" s="793"/>
      <c r="CY253" s="752"/>
      <c r="CZ253" s="793"/>
      <c r="DA253" s="752"/>
      <c r="DB253" s="753"/>
      <c r="DC253" s="793"/>
      <c r="DD253" s="756"/>
      <c r="DE253" s="793"/>
      <c r="DF253" s="756"/>
      <c r="DG253" s="793"/>
      <c r="DH253" s="756"/>
      <c r="DI253" s="793"/>
      <c r="DJ253" s="756"/>
      <c r="DK253" s="793"/>
      <c r="DL253" s="752"/>
      <c r="DM253" s="793"/>
      <c r="DN253" s="752"/>
      <c r="DO253" s="793"/>
      <c r="DP253" s="752"/>
      <c r="DQ253" s="793"/>
      <c r="DR253" s="752"/>
      <c r="DS253" s="793"/>
      <c r="DT253" s="752"/>
      <c r="DU253" s="793"/>
      <c r="DV253" s="752"/>
      <c r="DW253" s="793"/>
      <c r="DX253" s="752"/>
      <c r="DY253" s="793"/>
      <c r="DZ253" s="752"/>
      <c r="EA253" s="793"/>
      <c r="EB253" s="752"/>
      <c r="EC253" s="793"/>
      <c r="ED253" s="752"/>
      <c r="EE253" s="793"/>
      <c r="EF253" s="752"/>
      <c r="EG253" s="793"/>
      <c r="EH253" s="752"/>
      <c r="EI253" s="793"/>
      <c r="EJ253" s="752"/>
      <c r="EK253" s="793"/>
      <c r="EL253" s="752"/>
      <c r="EM253" s="793"/>
      <c r="EN253" s="752"/>
      <c r="EO253" s="793"/>
      <c r="EP253" s="752"/>
      <c r="EQ253" s="793"/>
      <c r="ER253" s="752"/>
      <c r="ES253" s="793"/>
      <c r="ET253" s="752"/>
      <c r="EU253" s="756"/>
      <c r="EV253" s="710"/>
    </row>
    <row r="254" spans="1:152" ht="12.75" hidden="1" customHeight="1" outlineLevel="1" x14ac:dyDescent="0.2">
      <c r="A254" s="749" t="s">
        <v>438</v>
      </c>
      <c r="B254" s="793"/>
      <c r="C254" s="756"/>
      <c r="D254" s="793"/>
      <c r="E254" s="756"/>
      <c r="F254" s="793"/>
      <c r="G254" s="756"/>
      <c r="H254" s="793"/>
      <c r="I254" s="752"/>
      <c r="J254" s="793"/>
      <c r="K254" s="752"/>
      <c r="L254" s="793"/>
      <c r="M254" s="752"/>
      <c r="N254" s="793"/>
      <c r="O254" s="752"/>
      <c r="P254" s="793"/>
      <c r="Q254" s="752"/>
      <c r="R254" s="793"/>
      <c r="S254" s="752"/>
      <c r="T254" s="793"/>
      <c r="U254" s="752"/>
      <c r="V254" s="793"/>
      <c r="W254" s="752"/>
      <c r="X254" s="793"/>
      <c r="Y254" s="752"/>
      <c r="Z254" s="793"/>
      <c r="AA254" s="752"/>
      <c r="AB254" s="793"/>
      <c r="AC254" s="752"/>
      <c r="AD254" s="793"/>
      <c r="AE254" s="752"/>
      <c r="AF254" s="793"/>
      <c r="AG254" s="752"/>
      <c r="AH254" s="793"/>
      <c r="AI254" s="752"/>
      <c r="AJ254" s="793"/>
      <c r="AK254" s="752"/>
      <c r="AL254" s="793"/>
      <c r="AM254" s="752"/>
      <c r="AN254" s="793"/>
      <c r="AO254" s="752"/>
      <c r="AP254" s="793"/>
      <c r="AQ254" s="752"/>
      <c r="AR254" s="793"/>
      <c r="AS254" s="752"/>
      <c r="AT254" s="793"/>
      <c r="AU254" s="752"/>
      <c r="AV254" s="793"/>
      <c r="AW254" s="752"/>
      <c r="AX254" s="793"/>
      <c r="AY254" s="752"/>
      <c r="AZ254" s="793"/>
      <c r="BA254" s="752"/>
      <c r="BB254" s="793"/>
      <c r="BC254" s="752"/>
      <c r="BD254" s="793"/>
      <c r="BE254" s="752"/>
      <c r="BF254" s="793"/>
      <c r="BG254" s="752"/>
      <c r="BH254" s="793"/>
      <c r="BI254" s="752"/>
      <c r="BJ254" s="793"/>
      <c r="BK254" s="752"/>
      <c r="BL254" s="793"/>
      <c r="BM254" s="752"/>
      <c r="BN254" s="793"/>
      <c r="BO254" s="752"/>
      <c r="BP254" s="793"/>
      <c r="BQ254" s="752"/>
      <c r="BR254" s="793"/>
      <c r="BS254" s="752"/>
      <c r="BT254" s="793"/>
      <c r="BU254" s="752"/>
      <c r="BV254" s="793"/>
      <c r="BW254" s="752"/>
      <c r="BX254" s="793"/>
      <c r="BY254" s="752"/>
      <c r="BZ254" s="793"/>
      <c r="CA254" s="752"/>
      <c r="CB254" s="793"/>
      <c r="CC254" s="752"/>
      <c r="CD254" s="793"/>
      <c r="CE254" s="752"/>
      <c r="CF254" s="793"/>
      <c r="CG254" s="752"/>
      <c r="CH254" s="793"/>
      <c r="CI254" s="752"/>
      <c r="CJ254" s="793"/>
      <c r="CK254" s="752"/>
      <c r="CL254" s="793"/>
      <c r="CM254" s="752"/>
      <c r="CN254" s="793"/>
      <c r="CO254" s="752"/>
      <c r="CP254" s="793"/>
      <c r="CQ254" s="752"/>
      <c r="CR254" s="793"/>
      <c r="CS254" s="752"/>
      <c r="CT254" s="793"/>
      <c r="CU254" s="752"/>
      <c r="CV254" s="793"/>
      <c r="CW254" s="752"/>
      <c r="CX254" s="793"/>
      <c r="CY254" s="752"/>
      <c r="CZ254" s="793"/>
      <c r="DA254" s="752"/>
      <c r="DB254" s="753"/>
      <c r="DC254" s="793"/>
      <c r="DD254" s="756"/>
      <c r="DE254" s="793"/>
      <c r="DF254" s="756"/>
      <c r="DG254" s="793"/>
      <c r="DH254" s="756"/>
      <c r="DI254" s="793"/>
      <c r="DJ254" s="756"/>
      <c r="DK254" s="793"/>
      <c r="DL254" s="752"/>
      <c r="DM254" s="793"/>
      <c r="DN254" s="752"/>
      <c r="DO254" s="793"/>
      <c r="DP254" s="752"/>
      <c r="DQ254" s="793"/>
      <c r="DR254" s="752"/>
      <c r="DS254" s="793"/>
      <c r="DT254" s="752"/>
      <c r="DU254" s="793"/>
      <c r="DV254" s="752"/>
      <c r="DW254" s="793"/>
      <c r="DX254" s="752"/>
      <c r="DY254" s="793"/>
      <c r="DZ254" s="752"/>
      <c r="EA254" s="793"/>
      <c r="EB254" s="752"/>
      <c r="EC254" s="793"/>
      <c r="ED254" s="752"/>
      <c r="EE254" s="793"/>
      <c r="EF254" s="752"/>
      <c r="EG254" s="793"/>
      <c r="EH254" s="752"/>
      <c r="EI254" s="793"/>
      <c r="EJ254" s="752"/>
      <c r="EK254" s="793"/>
      <c r="EL254" s="752"/>
      <c r="EM254" s="793"/>
      <c r="EN254" s="752"/>
      <c r="EO254" s="793"/>
      <c r="EP254" s="752"/>
      <c r="EQ254" s="793"/>
      <c r="ER254" s="752"/>
      <c r="ES254" s="793"/>
      <c r="ET254" s="752"/>
      <c r="EU254" s="756"/>
      <c r="EV254" s="710"/>
    </row>
    <row r="255" spans="1:152" ht="12.75" hidden="1" customHeight="1" outlineLevel="1" x14ac:dyDescent="0.2">
      <c r="A255" s="754" t="str">
        <f>INPUT!B200</f>
        <v>Benefits/Premiums (%)</v>
      </c>
      <c r="B255" s="793">
        <f>INPUT!AS200</f>
        <v>67.450365726227787</v>
      </c>
      <c r="C255" s="756">
        <f>INPUT!AT200</f>
        <v>-0.96159591975825132</v>
      </c>
      <c r="D255" s="793">
        <f>INPUT!AU200</f>
        <v>68.659691081215755</v>
      </c>
      <c r="E255" s="756">
        <f>INPUT!AV200</f>
        <v>-5.5684733063905973</v>
      </c>
      <c r="F255" s="793">
        <f>INPUT!AW200</f>
        <v>67.182521620391441</v>
      </c>
      <c r="G255" s="756">
        <f>INPUT!AX200</f>
        <v>-6.192782953046871</v>
      </c>
      <c r="H255" s="793">
        <f>INPUT!AY200</f>
        <v>60.173160173160177</v>
      </c>
      <c r="I255" s="752">
        <f>INPUT!AZ200</f>
        <v>-8.1884499898356786</v>
      </c>
      <c r="J255" s="793">
        <f>INPUT!BA200</f>
        <v>61.088618983355822</v>
      </c>
      <c r="K255" s="752">
        <f>INPUT!BB200</f>
        <v>-9.431745364722655</v>
      </c>
      <c r="L255" s="793">
        <f>INPUT!BC200</f>
        <v>62.186234817813769</v>
      </c>
      <c r="M255" s="752">
        <f>INPUT!BD200</f>
        <v>-9.4283212776834375</v>
      </c>
      <c r="N255" s="793">
        <f>INPUT!BE200</f>
        <v>53.311793214862682</v>
      </c>
      <c r="O255" s="752">
        <f>INPUT!BF200</f>
        <v>-20.646334896305341</v>
      </c>
      <c r="P255" s="793">
        <f>INPUT!BG200</f>
        <v>60.819411296738267</v>
      </c>
      <c r="Q255" s="752">
        <f>INPUT!BH200</f>
        <v>1.0739856801909253</v>
      </c>
      <c r="R255" s="793">
        <f>INPUT!BI200</f>
        <v>57.273482959268506</v>
      </c>
      <c r="S255" s="752">
        <f>INPUT!BJ200</f>
        <v>-6.2452484400192247</v>
      </c>
      <c r="T255" s="793">
        <f>INPUT!BK200</f>
        <v>58.336781133636741</v>
      </c>
      <c r="U255" s="752">
        <f>INPUT!BL200</f>
        <v>-6.1902022134877939</v>
      </c>
      <c r="V255" s="793">
        <f>INPUT!BM200</f>
        <v>52.425456163773923</v>
      </c>
      <c r="W255" s="752">
        <f>INPUT!BN200</f>
        <v>-1.6625534382543661</v>
      </c>
      <c r="X255" s="793">
        <f>INPUT!BO200</f>
        <v>62.973121228743821</v>
      </c>
      <c r="Y255" s="752">
        <f>INPUT!BP200</f>
        <v>3.5411555062537348</v>
      </c>
      <c r="Z255" s="793">
        <f>INPUT!BQ200</f>
        <v>53.25153374233129</v>
      </c>
      <c r="AA255" s="752">
        <f>INPUT!BR200</f>
        <v>-7.0223583570035881</v>
      </c>
      <c r="AB255" s="793">
        <f>INPUT!BS200</f>
        <v>54.382929642445212</v>
      </c>
      <c r="AC255" s="752">
        <f>INPUT!BT200</f>
        <v>-6.7776305349006583</v>
      </c>
      <c r="AD255" s="793">
        <f>INPUT!BU200</f>
        <v>50.206246317030057</v>
      </c>
      <c r="AE255" s="752">
        <f>INPUT!BV200</f>
        <v>-4.2330768468874957</v>
      </c>
      <c r="AF255" s="793">
        <f>INPUT!BW200</f>
        <v>59.611111111111114</v>
      </c>
      <c r="AG255" s="752">
        <f>INPUT!BX200</f>
        <v>-5.3388017808749355</v>
      </c>
      <c r="AH255" s="793">
        <f>INPUT!BY200</f>
        <v>63.088057901085634</v>
      </c>
      <c r="AI255" s="752">
        <f>INPUT!BZ200</f>
        <v>18.471813800425775</v>
      </c>
      <c r="AJ255" s="793">
        <f>INPUT!CA200</f>
        <v>65.990843688685416</v>
      </c>
      <c r="AK255" s="752">
        <f>INPUT!CB200</f>
        <v>21.344775139109771</v>
      </c>
      <c r="AL255" s="793">
        <f>INPUT!CC200</f>
        <v>66.914498141263934</v>
      </c>
      <c r="AM255" s="752">
        <f>INPUT!CD200</f>
        <v>33.27922927901983</v>
      </c>
      <c r="AN255" s="793">
        <f>INPUT!CE200</f>
        <v>71.730205278592379</v>
      </c>
      <c r="AO255" s="752">
        <f>INPUT!CF200</f>
        <v>20.330260485989072</v>
      </c>
      <c r="AP255" s="793">
        <f>INPUT!CG200</f>
        <v>69.299820466786358</v>
      </c>
      <c r="AQ255" s="752">
        <f>INPUT!CH200</f>
        <v>9.8461781395141621</v>
      </c>
      <c r="AR255" s="793">
        <f>INPUT!CI200</f>
        <v>69.795221843003404</v>
      </c>
      <c r="AS255" s="752">
        <f>INPUT!CJ200</f>
        <v>5.7650091159090255</v>
      </c>
      <c r="AT255" s="793">
        <f>INPUT!CK200</f>
        <v>78.803418803418808</v>
      </c>
      <c r="AU255" s="752">
        <f>INPUT!CL200</f>
        <v>17.767331433998113</v>
      </c>
      <c r="AV255" s="793">
        <f>INPUT!CM200</f>
        <v>69.148936170212778</v>
      </c>
      <c r="AW255" s="752">
        <f>INPUT!CN200</f>
        <v>-3.5985804004801447</v>
      </c>
      <c r="AX255" s="793">
        <f>INPUT!CO200</f>
        <v>72.40773286467487</v>
      </c>
      <c r="AY255" s="752">
        <f>INPUT!CP200</f>
        <v>4.4847336933261595</v>
      </c>
      <c r="AZ255" s="793">
        <f>INPUT!CQ200</f>
        <v>85.392609699769068</v>
      </c>
      <c r="BA255" s="752">
        <f>INPUT!CR200</f>
        <v>22.347357662749822</v>
      </c>
      <c r="BB255" s="793">
        <f>INPUT!CS200</f>
        <v>77.739726027397253</v>
      </c>
      <c r="BC255" s="752">
        <f>INPUT!CT200</f>
        <v>-1.3498053665349397</v>
      </c>
      <c r="BD255" s="793">
        <f>INPUT!CU200</f>
        <v>76.182336182336172</v>
      </c>
      <c r="BE255" s="752">
        <f>INPUT!CV200</f>
        <v>10.171378479070746</v>
      </c>
      <c r="BF255" s="793">
        <f>INPUT!CW200</f>
        <v>69.54102920723227</v>
      </c>
      <c r="BG255" s="752">
        <f>INPUT!CX200</f>
        <v>-3.9591125754486423</v>
      </c>
      <c r="BH255" s="793">
        <f>INPUT!CY200</f>
        <v>84.156976744186053</v>
      </c>
      <c r="BI255" s="752">
        <f>INPUT!CZ200</f>
        <v>-1.4470022170857244</v>
      </c>
      <c r="BJ255" s="793">
        <f>INPUT!DA200</f>
        <v>70.575382374362704</v>
      </c>
      <c r="BK255" s="752">
        <f>INPUT!DB200</f>
        <v>-9.2158076946523781</v>
      </c>
      <c r="BL255" s="793">
        <f>INPUT!DC200</f>
        <v>72.951414068165334</v>
      </c>
      <c r="BM255" s="752">
        <f>INPUT!DD200</f>
        <v>-4.241038377239958</v>
      </c>
      <c r="BN255" s="793">
        <f>INPUT!DE200</f>
        <v>70.138431114040884</v>
      </c>
      <c r="BO255" s="752">
        <f>INPUT!DF200</f>
        <v>0.85906394199077862</v>
      </c>
      <c r="BP255" s="793">
        <f>INPUT!DG200</f>
        <v>74.025974025974023</v>
      </c>
      <c r="BQ255" s="752">
        <f>INPUT!DH200</f>
        <v>-12.038220846511017</v>
      </c>
      <c r="BR255" s="793">
        <f>INPUT!DI200</f>
        <v>70.773263433813895</v>
      </c>
      <c r="BS255" s="752">
        <f>INPUT!DJ200</f>
        <v>0.28038255379410071</v>
      </c>
      <c r="BT255" s="793">
        <f>INPUT!DK200</f>
        <v>68.905305574210871</v>
      </c>
      <c r="BU255" s="752">
        <f>INPUT!DL200</f>
        <v>-5.5463057784922558</v>
      </c>
      <c r="BV255" s="793">
        <f>INPUT!DM200</f>
        <v>65.395683453237424</v>
      </c>
      <c r="BW255" s="752">
        <f>INPUT!DN200</f>
        <v>-6.7619813923297407</v>
      </c>
      <c r="BX255" s="793">
        <f>INPUT!DO200</f>
        <v>70.745428973277086</v>
      </c>
      <c r="BY255" s="752">
        <f>INPUT!DP200</f>
        <v>-4.4316134922397161</v>
      </c>
      <c r="BZ255" s="793">
        <f>INPUT!DQ200</f>
        <v>67.7731673582296</v>
      </c>
      <c r="CA255" s="752">
        <f>INPUT!DR200</f>
        <v>-4.2390246401311398</v>
      </c>
      <c r="CB255" s="793">
        <f>INPUT!DS200</f>
        <v>70.013297872340416</v>
      </c>
      <c r="CC255" s="752">
        <f>INPUT!DT200</f>
        <v>1.6079927211646083</v>
      </c>
      <c r="CD255" s="793">
        <f>INPUT!DU200</f>
        <v>67.982770997846373</v>
      </c>
      <c r="CE255" s="752">
        <f>INPUT!DV200</f>
        <v>3.9560524609531855</v>
      </c>
      <c r="CF255" s="793">
        <f>INPUT!DW200</f>
        <v>70.170454545454547</v>
      </c>
      <c r="CG255" s="752">
        <f>INPUT!DX200</f>
        <v>-0.81273721308513514</v>
      </c>
      <c r="CH255" s="793">
        <f>INPUT!DY200</f>
        <v>71.720345640219946</v>
      </c>
      <c r="CI255" s="752">
        <f>INPUT!DZ200</f>
        <v>5.8241018324061589</v>
      </c>
      <c r="CJ255" s="793">
        <f>INPUT!EA200</f>
        <v>67.760459392945023</v>
      </c>
      <c r="CK255" s="752">
        <f>INPUT!EB200</f>
        <v>-3.217729414065218</v>
      </c>
      <c r="CL255" s="793">
        <f>INPUT!EC200</f>
        <v>71.475680131904369</v>
      </c>
      <c r="CM255" s="752">
        <f>INPUT!ED200</f>
        <v>5.1379328656206757</v>
      </c>
      <c r="CN255" s="793">
        <f>INPUT!EE200</f>
        <v>75.552050473186114</v>
      </c>
      <c r="CO255" s="752">
        <f>INPUT!EF200</f>
        <v>7.6693188929615852</v>
      </c>
      <c r="CP255" s="793">
        <f>INPUT!EG200</f>
        <v>74.828897338403038</v>
      </c>
      <c r="CQ255" s="752">
        <f>INPUT!EH200</f>
        <v>4.3342675923188079</v>
      </c>
      <c r="CR255" s="793">
        <f>INPUT!EI200</f>
        <v>75.712143928035985</v>
      </c>
      <c r="CS255" s="752">
        <f>INPUT!EJ200</f>
        <v>11.734992068130602</v>
      </c>
      <c r="CT255" s="793">
        <f>INPUT!EK200</f>
        <v>75</v>
      </c>
      <c r="CU255" s="752">
        <f>INPUT!EL200</f>
        <v>4.9307958477508684</v>
      </c>
      <c r="CV255" s="793">
        <f>INPUT!EM200</f>
        <v>75</v>
      </c>
      <c r="CW255" s="752">
        <f>INPUT!EN200</f>
        <v>-0.73068893528183132</v>
      </c>
      <c r="CX255" s="793">
        <f>INPUT!EO200</f>
        <v>75</v>
      </c>
      <c r="CY255" s="752">
        <f>INPUT!EP200</f>
        <v>0.22865853658537993</v>
      </c>
      <c r="CZ255" s="793">
        <f>INPUT!EQ200</f>
        <v>75</v>
      </c>
      <c r="DA255" s="752">
        <f>INPUT!ER200</f>
        <v>-0.94059405940594143</v>
      </c>
      <c r="DB255" s="753"/>
      <c r="DC255" s="793">
        <f>INPUT!FB200</f>
        <v>0</v>
      </c>
      <c r="DD255" s="756">
        <f>INPUT!FC200</f>
        <v>0</v>
      </c>
      <c r="DE255" s="793">
        <f>INPUT!FD200</f>
        <v>73.550031867431485</v>
      </c>
      <c r="DF255" s="756" t="str">
        <f>INPUT!FE200</f>
        <v>NA</v>
      </c>
      <c r="DG255" s="793">
        <f>INPUT!FF200</f>
        <v>72.222222222222214</v>
      </c>
      <c r="DH255" s="756">
        <f>INPUT!FG200</f>
        <v>-1.8053148469093117</v>
      </c>
      <c r="DI255" s="793">
        <f>INPUT!FH200</f>
        <v>70.474890001517224</v>
      </c>
      <c r="DJ255" s="756">
        <f>INPUT!FI200</f>
        <v>-2.41938307482229</v>
      </c>
      <c r="DK255" s="793">
        <f>INPUT!FJ200</f>
        <v>69.502101107856873</v>
      </c>
      <c r="DL255" s="752">
        <f>INPUT!FK200</f>
        <v>-1.3803340361927652</v>
      </c>
      <c r="DM255" s="793">
        <f>INPUT!FL200</f>
        <v>65.673943996203135</v>
      </c>
      <c r="DN255" s="752">
        <f>INPUT!FM200</f>
        <v>-5.5079732132313648</v>
      </c>
      <c r="DO255" s="793">
        <f>INPUT!FN200</f>
        <v>59.310131157699054</v>
      </c>
      <c r="DP255" s="752">
        <f>INPUT!FO200</f>
        <v>-9.6900116717095521</v>
      </c>
      <c r="DQ255" s="793">
        <f>INPUT!FP200</f>
        <v>57.50590351962218</v>
      </c>
      <c r="DR255" s="752">
        <f>INPUT!FQ200</f>
        <v>-3.0420226744729884</v>
      </c>
      <c r="DS255" s="793">
        <f>INPUT!FR200</f>
        <v>54.452703687509121</v>
      </c>
      <c r="DT255" s="752">
        <f>INPUT!FS200</f>
        <v>-5.309367639222029</v>
      </c>
      <c r="DU255" s="793">
        <f>INPUT!FT200</f>
        <v>66.984322164156168</v>
      </c>
      <c r="DV255" s="752">
        <f>INPUT!FU200</f>
        <v>23.013767229195771</v>
      </c>
      <c r="DW255" s="793">
        <f>INPUT!FV200</f>
        <v>71.815008726003498</v>
      </c>
      <c r="DX255" s="752">
        <f>INPUT!FW200</f>
        <v>7.2116674555710691</v>
      </c>
      <c r="DY255" s="793">
        <f>INPUT!FX200</f>
        <v>77.944140512525209</v>
      </c>
      <c r="DZ255" s="752">
        <f>INPUT!FY200</f>
        <v>8.5346112118516171</v>
      </c>
      <c r="EA255" s="793">
        <f>INPUT!FZ200</f>
        <v>74.254401724757471</v>
      </c>
      <c r="EB255" s="752">
        <f>INPUT!GA200</f>
        <v>-4.7338244587799565</v>
      </c>
      <c r="EC255" s="793">
        <f>INPUT!GB200</f>
        <v>70.981554677206859</v>
      </c>
      <c r="ED255" s="752">
        <f>INPUT!GC200</f>
        <v>-4.4076135172191444</v>
      </c>
      <c r="EE255" s="793">
        <f>INPUT!GD200</f>
        <v>68.517875737591126</v>
      </c>
      <c r="EF255" s="752">
        <f>INPUT!GE200</f>
        <v>-3.470872046716178</v>
      </c>
      <c r="EG255" s="793">
        <f>INPUT!GF200</f>
        <v>69.412431513319461</v>
      </c>
      <c r="EH255" s="752">
        <f>INPUT!GG200</f>
        <v>1.3055801367139575</v>
      </c>
      <c r="EI255" s="793">
        <f>INPUT!GH200</f>
        <v>74.444444444444429</v>
      </c>
      <c r="EJ255" s="752">
        <f>INPUT!GI200</f>
        <v>7.2494405129135631</v>
      </c>
      <c r="EK255" s="793">
        <f>INPUT!GJ200</f>
        <v>75.13161933128039</v>
      </c>
      <c r="EL255" s="752">
        <f>INPUT!GK200</f>
        <v>0.92307074351098972</v>
      </c>
      <c r="EM255" s="793">
        <f>INPUT!GL200</f>
        <v>75.031619331280396</v>
      </c>
      <c r="EN255" s="752">
        <f>INPUT!GM200</f>
        <v>-0.13309975332630453</v>
      </c>
      <c r="EO255" s="793">
        <f>INPUT!GN200</f>
        <v>74.931619331280402</v>
      </c>
      <c r="EP255" s="752">
        <f>INPUT!GO200</f>
        <v>-0.13327714487737508</v>
      </c>
      <c r="EQ255" s="793">
        <f>INPUT!GP200</f>
        <v>74.831619331280407</v>
      </c>
      <c r="ER255" s="752">
        <f>INPUT!GQ200</f>
        <v>-0.13345500990427084</v>
      </c>
      <c r="ES255" s="793">
        <f>INPUT!GR200</f>
        <v>74.831619331280407</v>
      </c>
      <c r="ET255" s="752">
        <f>INPUT!GS200</f>
        <v>0</v>
      </c>
      <c r="EU255" s="756">
        <f>INPUT!GT200</f>
        <v>0.10380141529782172</v>
      </c>
      <c r="EV255" s="710"/>
    </row>
    <row r="256" spans="1:152" ht="12.75" hidden="1" customHeight="1" outlineLevel="1" x14ac:dyDescent="0.2">
      <c r="A256" s="754" t="str">
        <f>INPUT!B202</f>
        <v>Commissions/Premiums (%)</v>
      </c>
      <c r="B256" s="793">
        <f>INPUT!AS202</f>
        <v>6.2173458725182869</v>
      </c>
      <c r="C256" s="756">
        <f>INPUT!AT202</f>
        <v>-19.089334535720901</v>
      </c>
      <c r="D256" s="793">
        <f>INPUT!AU202</f>
        <v>5.5804683607374193</v>
      </c>
      <c r="E256" s="756">
        <f>INPUT!AV202</f>
        <v>-9.4463495413112941</v>
      </c>
      <c r="F256" s="793">
        <f>INPUT!AW202</f>
        <v>6.2812926718252173</v>
      </c>
      <c r="G256" s="756">
        <f>INPUT!AX202</f>
        <v>-11.628709996390041</v>
      </c>
      <c r="H256" s="793">
        <f>INPUT!AY202</f>
        <v>5.5411255411255409</v>
      </c>
      <c r="I256" s="752">
        <f>INPUT!AZ202</f>
        <v>-28.684994659020646</v>
      </c>
      <c r="J256" s="793">
        <f>INPUT!BA202</f>
        <v>6.9275753486279807</v>
      </c>
      <c r="K256" s="752">
        <f>INPUT!BB202</f>
        <v>11.423354767008021</v>
      </c>
      <c r="L256" s="793">
        <f>INPUT!BC202</f>
        <v>7.2469635627530362</v>
      </c>
      <c r="M256" s="752">
        <f>INPUT!BD202</f>
        <v>29.862998843262002</v>
      </c>
      <c r="N256" s="793">
        <f>INPUT!BE202</f>
        <v>6.4620355411954762</v>
      </c>
      <c r="O256" s="752">
        <f>INPUT!BF202</f>
        <v>2.8774788696120268</v>
      </c>
      <c r="P256" s="793">
        <f>INPUT!BG202</f>
        <v>7.0405727923627675</v>
      </c>
      <c r="Q256" s="752">
        <f>INPUT!BH202</f>
        <v>27.060337112171815</v>
      </c>
      <c r="R256" s="793">
        <f>INPUT!BI202</f>
        <v>7.1072319201995029</v>
      </c>
      <c r="S256" s="752">
        <f>INPUT!BJ202</f>
        <v>2.5933542766460649</v>
      </c>
      <c r="T256" s="793">
        <f>INPUT!BK202</f>
        <v>5.6681836988001653</v>
      </c>
      <c r="U256" s="752">
        <f>INPUT!BL202</f>
        <v>-21.785398122701626</v>
      </c>
      <c r="V256" s="793">
        <f>INPUT!BM202</f>
        <v>7.0761014686248336</v>
      </c>
      <c r="W256" s="752">
        <f>INPUT!BN202</f>
        <v>9.5026702269693111</v>
      </c>
      <c r="X256" s="793">
        <f>INPUT!BO202</f>
        <v>6.7471201316511245</v>
      </c>
      <c r="Y256" s="752">
        <f>INPUT!BP202</f>
        <v>-4.1680225368874062</v>
      </c>
      <c r="Z256" s="793">
        <f>INPUT!BQ202</f>
        <v>6.5030674846625764</v>
      </c>
      <c r="AA256" s="752">
        <f>INPUT!BR202</f>
        <v>-8.5006996017651719</v>
      </c>
      <c r="AB256" s="793">
        <f>INPUT!BS202</f>
        <v>6.6897347174163775</v>
      </c>
      <c r="AC256" s="752">
        <f>INPUT!BT202</f>
        <v>18.02254607295901</v>
      </c>
      <c r="AD256" s="793">
        <f>INPUT!BU202</f>
        <v>6.5409546258102536</v>
      </c>
      <c r="AE256" s="752">
        <f>INPUT!BV202</f>
        <v>-7.5627355710966127</v>
      </c>
      <c r="AF256" s="793">
        <f>INPUT!BW202</f>
        <v>7.4444444444444455</v>
      </c>
      <c r="AG256" s="752">
        <f>INPUT!BX202</f>
        <v>10.335140018066857</v>
      </c>
      <c r="AH256" s="793">
        <f>INPUT!BY202</f>
        <v>6.2123039806996383</v>
      </c>
      <c r="AI256" s="752">
        <f>INPUT!BZ202</f>
        <v>-4.4711746364112237</v>
      </c>
      <c r="AJ256" s="793">
        <f>INPUT!CA202</f>
        <v>6.4748201438848918</v>
      </c>
      <c r="AK256" s="752">
        <f>INPUT!CB202</f>
        <v>-3.2126023319275498</v>
      </c>
      <c r="AL256" s="793">
        <f>INPUT!CC202</f>
        <v>7.2490706319702598</v>
      </c>
      <c r="AM256" s="752">
        <f>INPUT!CD202</f>
        <v>10.825881643725509</v>
      </c>
      <c r="AN256" s="793">
        <f>INPUT!CE202</f>
        <v>7.1554252199413488</v>
      </c>
      <c r="AO256" s="752">
        <f>INPUT!CF202</f>
        <v>-3.882347791832641</v>
      </c>
      <c r="AP256" s="793">
        <f>INPUT!CG202</f>
        <v>6.5230400957510479</v>
      </c>
      <c r="AQ256" s="752">
        <f>INPUT!CH202</f>
        <v>5.0019463956819221</v>
      </c>
      <c r="AR256" s="793">
        <f>INPUT!CI202</f>
        <v>6.4846416382252556</v>
      </c>
      <c r="AS256" s="752">
        <f>INPUT!CJ202</f>
        <v>0.15168752370118277</v>
      </c>
      <c r="AT256" s="793">
        <f>INPUT!CK202</f>
        <v>6.267806267806268</v>
      </c>
      <c r="AU256" s="752">
        <f>INPUT!CL202</f>
        <v>-13.536416100518656</v>
      </c>
      <c r="AV256" s="793">
        <f>INPUT!CM202</f>
        <v>7.3286052009456277</v>
      </c>
      <c r="AW256" s="752">
        <f>INPUT!CN202</f>
        <v>2.4202612099368581</v>
      </c>
      <c r="AX256" s="793">
        <f>INPUT!CO202</f>
        <v>6.2097246631517287</v>
      </c>
      <c r="AY256" s="752">
        <f>INPUT!CP202</f>
        <v>-4.8032118153528707</v>
      </c>
      <c r="AZ256" s="793">
        <f>INPUT!CQ202</f>
        <v>5.7736720554272525</v>
      </c>
      <c r="BA256" s="752">
        <f>INPUT!CR202</f>
        <v>-10.963899355779738</v>
      </c>
      <c r="BB256" s="793">
        <f>INPUT!CS202</f>
        <v>6.3356164383561646</v>
      </c>
      <c r="BC256" s="752">
        <f>INPUT!CT202</f>
        <v>1.081880448318806</v>
      </c>
      <c r="BD256" s="793">
        <f>INPUT!CU202</f>
        <v>6.2108262108262116</v>
      </c>
      <c r="BE256" s="752">
        <f>INPUT!CV202</f>
        <v>-15.252274607113325</v>
      </c>
      <c r="BF256" s="793">
        <f>INPUT!CW202</f>
        <v>7.1627260083449231</v>
      </c>
      <c r="BG256" s="752">
        <f>INPUT!CX202</f>
        <v>15.346917889101718</v>
      </c>
      <c r="BH256" s="793">
        <f>INPUT!CY202</f>
        <v>6.1773255813953494</v>
      </c>
      <c r="BI256" s="752">
        <f>INPUT!CZ202</f>
        <v>6.9912790697674421</v>
      </c>
      <c r="BJ256" s="793">
        <f>INPUT!DA202</f>
        <v>6.9919883466860888</v>
      </c>
      <c r="BK256" s="752">
        <f>INPUT!DB202</f>
        <v>10.360032282829067</v>
      </c>
      <c r="BL256" s="793">
        <f>INPUT!DC202</f>
        <v>6.9615663524292968</v>
      </c>
      <c r="BM256" s="752">
        <f>INPUT!DD202</f>
        <v>12.087605032233162</v>
      </c>
      <c r="BN256" s="793">
        <f>INPUT!DE202</f>
        <v>6.5260382333553064</v>
      </c>
      <c r="BO256" s="752">
        <f>INPUT!DF202</f>
        <v>-8.8889031110200847</v>
      </c>
      <c r="BP256" s="793">
        <f>INPUT!DG202</f>
        <v>6.883116883116883</v>
      </c>
      <c r="BQ256" s="752">
        <f>INPUT!DH202</f>
        <v>11.42551566080976</v>
      </c>
      <c r="BR256" s="793">
        <f>INPUT!DI202</f>
        <v>7.536041939711664</v>
      </c>
      <c r="BS256" s="752">
        <f>INPUT!DJ202</f>
        <v>7.781099825251192</v>
      </c>
      <c r="BT256" s="793">
        <f>INPUT!DK202</f>
        <v>7.2531900604432504</v>
      </c>
      <c r="BU256" s="752">
        <f>INPUT!DL202</f>
        <v>4.1890530557421091</v>
      </c>
      <c r="BV256" s="793">
        <f>INPUT!DM202</f>
        <v>8.6330935251798557</v>
      </c>
      <c r="BW256" s="752">
        <f>INPUT!DN202</f>
        <v>32.28689775452365</v>
      </c>
      <c r="BX256" s="793">
        <f>INPUT!DO202</f>
        <v>7.2433192686357257</v>
      </c>
      <c r="BY256" s="752">
        <f>INPUT!DP202</f>
        <v>5.2331289971605521</v>
      </c>
      <c r="BZ256" s="793">
        <f>INPUT!DQ202</f>
        <v>7.8146611341632104</v>
      </c>
      <c r="CA256" s="752">
        <f>INPUT!DR202</f>
        <v>3.6971555715918258</v>
      </c>
      <c r="CB256" s="793">
        <f>INPUT!DS202</f>
        <v>5.4521276595744679</v>
      </c>
      <c r="CC256" s="752">
        <f>INPUT!DT202</f>
        <v>-24.83131402679275</v>
      </c>
      <c r="CD256" s="793">
        <f>INPUT!DU202</f>
        <v>6.4608758076094759</v>
      </c>
      <c r="CE256" s="752">
        <f>INPUT!DV202</f>
        <v>-25.16152189519023</v>
      </c>
      <c r="CF256" s="793">
        <f>INPUT!DW202</f>
        <v>6.8892045454545441</v>
      </c>
      <c r="CG256" s="752">
        <f>INPUT!DX202</f>
        <v>-4.8888459841130105</v>
      </c>
      <c r="CH256" s="793">
        <f>INPUT!DY202</f>
        <v>7.2270227808326784</v>
      </c>
      <c r="CI256" s="752">
        <f>INPUT!DZ202</f>
        <v>-7.5196907868668061</v>
      </c>
      <c r="CJ256" s="793">
        <f>INPUT!EA202</f>
        <v>9.0237899917965549</v>
      </c>
      <c r="CK256" s="752">
        <f>INPUT!EB202</f>
        <v>65.50951399587828</v>
      </c>
      <c r="CL256" s="793">
        <f>INPUT!EC202</f>
        <v>7.2547403132728778</v>
      </c>
      <c r="CM256" s="752">
        <f>INPUT!ED202</f>
        <v>12.287258404323541</v>
      </c>
      <c r="CN256" s="793">
        <f>INPUT!EE202</f>
        <v>7.0977917981072558</v>
      </c>
      <c r="CO256" s="752">
        <f>INPUT!EF202</f>
        <v>3.0277407395362665</v>
      </c>
      <c r="CP256" s="793">
        <f>INPUT!EG202</f>
        <v>6.9961977186311781</v>
      </c>
      <c r="CQ256" s="752">
        <f>INPUT!EH202</f>
        <v>-3.1939163498098888</v>
      </c>
      <c r="CR256" s="793">
        <f>INPUT!EI202</f>
        <v>6.3718140929535236</v>
      </c>
      <c r="CS256" s="752">
        <f>INPUT!EJ202</f>
        <v>-29.388714733542322</v>
      </c>
      <c r="CT256" s="793">
        <f>INPUT!EK202</f>
        <v>7</v>
      </c>
      <c r="CU256" s="752">
        <f>INPUT!EL202</f>
        <v>-3.5113636363636402</v>
      </c>
      <c r="CV256" s="793">
        <f>INPUT!EM202</f>
        <v>7</v>
      </c>
      <c r="CW256" s="752">
        <f>INPUT!EN202</f>
        <v>-1.3777777777777778</v>
      </c>
      <c r="CX256" s="793">
        <f>INPUT!EO202</f>
        <v>7</v>
      </c>
      <c r="CY256" s="752">
        <f>INPUT!EP202</f>
        <v>5.4347826086975637E-2</v>
      </c>
      <c r="CZ256" s="793">
        <f>INPUT!EQ202</f>
        <v>7</v>
      </c>
      <c r="DA256" s="752">
        <f>INPUT!ER202</f>
        <v>9.8588235294117652</v>
      </c>
      <c r="DB256" s="753"/>
      <c r="DC256" s="793">
        <f>INPUT!FB202</f>
        <v>0</v>
      </c>
      <c r="DD256" s="756">
        <f>INPUT!FC202</f>
        <v>0</v>
      </c>
      <c r="DE256" s="793">
        <f>INPUT!FD202</f>
        <v>9.2096876991714449</v>
      </c>
      <c r="DF256" s="756" t="str">
        <f>INPUT!FE202</f>
        <v>NA</v>
      </c>
      <c r="DG256" s="793">
        <f>INPUT!FF202</f>
        <v>7.1488469601677149</v>
      </c>
      <c r="DH256" s="756">
        <f>INPUT!FG202</f>
        <v>-22.376879719701403</v>
      </c>
      <c r="DI256" s="793">
        <f>INPUT!FH202</f>
        <v>7.4192080109239873</v>
      </c>
      <c r="DJ256" s="756">
        <f>INPUT!FI202</f>
        <v>3.7818833199630975</v>
      </c>
      <c r="DK256" s="793">
        <f>INPUT!FJ202</f>
        <v>7.1819686743919515</v>
      </c>
      <c r="DL256" s="752">
        <f>INPUT!FK202</f>
        <v>-3.1976369469992827</v>
      </c>
      <c r="DM256" s="793">
        <f>INPUT!FL202</f>
        <v>5.897009966777409</v>
      </c>
      <c r="DN256" s="752">
        <f>INPUT!FM202</f>
        <v>-17.891455196625895</v>
      </c>
      <c r="DO256" s="793">
        <f>INPUT!FN202</f>
        <v>6.9193431787669111</v>
      </c>
      <c r="DP256" s="752">
        <f>INPUT!FO202</f>
        <v>17.336467425850156</v>
      </c>
      <c r="DQ256" s="793">
        <f>INPUT!FP202</f>
        <v>6.6344315753963796</v>
      </c>
      <c r="DR256" s="752">
        <f>INPUT!FQ202</f>
        <v>-4.1176105305027688</v>
      </c>
      <c r="DS256" s="793">
        <f>INPUT!FR202</f>
        <v>6.8065879609386384</v>
      </c>
      <c r="DT256" s="752">
        <f>INPUT!FS202</f>
        <v>2.5948927739445793</v>
      </c>
      <c r="DU256" s="793">
        <f>INPUT!FT202</f>
        <v>6.7783584383645863</v>
      </c>
      <c r="DV256" s="752">
        <f>INPUT!FU202</f>
        <v>-0.41473823207831551</v>
      </c>
      <c r="DW256" s="793">
        <f>INPUT!FV202</f>
        <v>6.6463059918557308</v>
      </c>
      <c r="DX256" s="752">
        <f>INPUT!FW202</f>
        <v>-1.9481478843233924</v>
      </c>
      <c r="DY256" s="793">
        <f>INPUT!FX202</f>
        <v>6.1330262021307238</v>
      </c>
      <c r="DZ256" s="752">
        <f>INPUT!FY202</f>
        <v>-7.7227830068909098</v>
      </c>
      <c r="EA256" s="793">
        <f>INPUT!FZ202</f>
        <v>6.8271649299317279</v>
      </c>
      <c r="EB256" s="752">
        <f>INPUT!GA202</f>
        <v>11.318046017149697</v>
      </c>
      <c r="EC256" s="793">
        <f>INPUT!GB202</f>
        <v>7.0487483530961796</v>
      </c>
      <c r="ED256" s="752">
        <f>INPUT!GC202</f>
        <v>3.2456140350877405</v>
      </c>
      <c r="EE256" s="793">
        <f>INPUT!GD202</f>
        <v>7.2544255466851792</v>
      </c>
      <c r="EF256" s="752">
        <f>INPUT!GE202</f>
        <v>2.9179250454962835</v>
      </c>
      <c r="EG256" s="793">
        <f>INPUT!GF202</f>
        <v>7.3493293028528237</v>
      </c>
      <c r="EH256" s="752">
        <f>INPUT!GG202</f>
        <v>1.3082187632487363</v>
      </c>
      <c r="EI256" s="793">
        <f>INPUT!GH202</f>
        <v>6.9200779727095512</v>
      </c>
      <c r="EJ256" s="752">
        <f>INPUT!GI202</f>
        <v>-5.8406871219751739</v>
      </c>
      <c r="EK256" s="793">
        <f>INPUT!GJ202</f>
        <v>7.0000000000000009</v>
      </c>
      <c r="EL256" s="752">
        <f>INPUT!GK202</f>
        <v>1.1549295774648138</v>
      </c>
      <c r="EM256" s="793">
        <f>INPUT!GL202</f>
        <v>7.0000000000000009</v>
      </c>
      <c r="EN256" s="752">
        <f>INPUT!GM202</f>
        <v>0</v>
      </c>
      <c r="EO256" s="793">
        <f>INPUT!GN202</f>
        <v>7.0000000000000009</v>
      </c>
      <c r="EP256" s="752">
        <f>INPUT!GO202</f>
        <v>0</v>
      </c>
      <c r="EQ256" s="793">
        <f>INPUT!GP202</f>
        <v>7.0000000000000009</v>
      </c>
      <c r="ER256" s="752">
        <f>INPUT!GQ202</f>
        <v>0</v>
      </c>
      <c r="ES256" s="793">
        <f>INPUT!GR202</f>
        <v>7.0000000000000009</v>
      </c>
      <c r="ET256" s="752">
        <f>INPUT!GS202</f>
        <v>0</v>
      </c>
      <c r="EU256" s="756">
        <f>INPUT!GT202</f>
        <v>0.22992616085089068</v>
      </c>
      <c r="EV256" s="710"/>
    </row>
    <row r="257" spans="1:152" ht="12.75" hidden="1" customHeight="1" outlineLevel="1" x14ac:dyDescent="0.2">
      <c r="A257" s="754" t="str">
        <f>INPUT!B203</f>
        <v>Other Expenses/Revenues (%)</v>
      </c>
      <c r="B257" s="793">
        <f>INPUT!AS203</f>
        <v>16.122004357298476</v>
      </c>
      <c r="C257" s="756">
        <f>INPUT!AT203</f>
        <v>-8.7086502646274599</v>
      </c>
      <c r="D257" s="793">
        <f>INPUT!AU203</f>
        <v>16.091476091476089</v>
      </c>
      <c r="E257" s="756">
        <f>INPUT!AV203</f>
        <v>-14.154189475290401</v>
      </c>
      <c r="F257" s="793">
        <f>INPUT!AW203</f>
        <v>14.802259887005647</v>
      </c>
      <c r="G257" s="756">
        <f>INPUT!AX203</f>
        <v>-12.835118534630185</v>
      </c>
      <c r="H257" s="793">
        <f>INPUT!AY203</f>
        <v>14.397163120567377</v>
      </c>
      <c r="I257" s="752">
        <f>INPUT!AZ203</f>
        <v>-21.016493485073397</v>
      </c>
      <c r="J257" s="793">
        <f>INPUT!BA203</f>
        <v>15.312616997379259</v>
      </c>
      <c r="K257" s="752">
        <f>INPUT!BB203</f>
        <v>-5.0203891649043371</v>
      </c>
      <c r="L257" s="793">
        <f>INPUT!BC203</f>
        <v>15.701634877384196</v>
      </c>
      <c r="M257" s="752">
        <f>INPUT!BD203</f>
        <v>-2.4226566405452288</v>
      </c>
      <c r="N257" s="793">
        <f>INPUT!BE203</f>
        <v>15.326719124187477</v>
      </c>
      <c r="O257" s="752">
        <f>INPUT!BF203</f>
        <v>3.5431024801978683</v>
      </c>
      <c r="P257" s="793">
        <f>INPUT!BG203</f>
        <v>16.906474820143885</v>
      </c>
      <c r="Q257" s="752">
        <f>INPUT!BH203</f>
        <v>17.429209341886075</v>
      </c>
      <c r="R257" s="793">
        <f>INPUT!BI203</f>
        <v>15.990116484292269</v>
      </c>
      <c r="S257" s="752">
        <f>INPUT!BJ203</f>
        <v>4.424452639473464</v>
      </c>
      <c r="T257" s="793">
        <f>INPUT!BK203</f>
        <v>16.939331970006819</v>
      </c>
      <c r="U257" s="752">
        <f>INPUT!BL203</f>
        <v>7.8826001386985256</v>
      </c>
      <c r="V257" s="793">
        <f>INPUT!BM203</f>
        <v>17.207074428887253</v>
      </c>
      <c r="W257" s="752">
        <f>INPUT!BN203</f>
        <v>12.26847891883358</v>
      </c>
      <c r="X257" s="793">
        <f>INPUT!BO203</f>
        <v>18.702798756108397</v>
      </c>
      <c r="Y257" s="752">
        <f>INPUT!BP203</f>
        <v>10.625064982939026</v>
      </c>
      <c r="Z257" s="793">
        <f>INPUT!BQ203</f>
        <v>15.643044619422572</v>
      </c>
      <c r="AA257" s="752">
        <f>INPUT!BR203</f>
        <v>-2.170539940785543</v>
      </c>
      <c r="AB257" s="793">
        <f>INPUT!BS203</f>
        <v>16.514642342774842</v>
      </c>
      <c r="AC257" s="752">
        <f>INPUT!BT203</f>
        <v>-2.5071214613654358</v>
      </c>
      <c r="AD257" s="793">
        <f>INPUT!BU203</f>
        <v>19.709543568464731</v>
      </c>
      <c r="AE257" s="752">
        <f>INPUT!BV203</f>
        <v>14.543257483540195</v>
      </c>
      <c r="AF257" s="793">
        <f>INPUT!BW203</f>
        <v>17.841011743450768</v>
      </c>
      <c r="AG257" s="752">
        <f>INPUT!BX203</f>
        <v>-4.6077970676777324</v>
      </c>
      <c r="AH257" s="793">
        <f>INPUT!BY203</f>
        <v>14.750121300339639</v>
      </c>
      <c r="AI257" s="752">
        <f>INPUT!BZ203</f>
        <v>-5.7081171907818362</v>
      </c>
      <c r="AJ257" s="793">
        <f>INPUT!CA203</f>
        <v>16.955193482688387</v>
      </c>
      <c r="AK257" s="752">
        <f>INPUT!CB203</f>
        <v>2.6676396059299723</v>
      </c>
      <c r="AL257" s="793">
        <f>INPUT!CC203</f>
        <v>16.699900299102691</v>
      </c>
      <c r="AM257" s="752">
        <f>INPUT!CD203</f>
        <v>-15.269979535078981</v>
      </c>
      <c r="AN257" s="793">
        <f>INPUT!CE203</f>
        <v>17.198905109489054</v>
      </c>
      <c r="AO257" s="752">
        <f>INPUT!CF203</f>
        <v>-3.5990483230157855</v>
      </c>
      <c r="AP257" s="793">
        <f>INPUT!CG203</f>
        <v>17.067421027817069</v>
      </c>
      <c r="AQ257" s="752">
        <f>INPUT!CH203</f>
        <v>15.710377428720346</v>
      </c>
      <c r="AR257" s="793">
        <f>INPUT!CI203</f>
        <v>16.703393565447332</v>
      </c>
      <c r="AS257" s="752">
        <f>INPUT!CJ203</f>
        <v>-1.4850902025868806</v>
      </c>
      <c r="AT257" s="793">
        <f>INPUT!CK203</f>
        <v>15.767824497257768</v>
      </c>
      <c r="AU257" s="752">
        <f>INPUT!CL203</f>
        <v>-5.5813255477639263</v>
      </c>
      <c r="AV257" s="793">
        <f>INPUT!CM203</f>
        <v>17.772727272727273</v>
      </c>
      <c r="AW257" s="752">
        <f>INPUT!CN203</f>
        <v>3.3363877501808359</v>
      </c>
      <c r="AX257" s="793">
        <f>INPUT!CO203</f>
        <v>16.401350699469369</v>
      </c>
      <c r="AY257" s="752">
        <f>INPUT!CP203</f>
        <v>-3.9025833326670534</v>
      </c>
      <c r="AZ257" s="793">
        <f>INPUT!CQ203</f>
        <v>15.242805755395683</v>
      </c>
      <c r="BA257" s="752">
        <f>INPUT!CR203</f>
        <v>-8.7442578918395579</v>
      </c>
      <c r="BB257" s="793">
        <f>INPUT!CS203</f>
        <v>16.285714285714288</v>
      </c>
      <c r="BC257" s="752">
        <f>INPUT!CT203</f>
        <v>3.2844720496894686</v>
      </c>
      <c r="BD257" s="793">
        <f>INPUT!CU203</f>
        <v>19.574844995571304</v>
      </c>
      <c r="BE257" s="752">
        <f>INPUT!CV203</f>
        <v>10.139792813956184</v>
      </c>
      <c r="BF257" s="793">
        <f>INPUT!CW203</f>
        <v>17.916428162564394</v>
      </c>
      <c r="BG257" s="752">
        <f>INPUT!CX203</f>
        <v>9.2375164146940811</v>
      </c>
      <c r="BH257" s="793">
        <f>INPUT!CY203</f>
        <v>13.121924548933844</v>
      </c>
      <c r="BI257" s="752">
        <f>INPUT!CZ203</f>
        <v>-13.91398172026882</v>
      </c>
      <c r="BJ257" s="793">
        <f>INPUT!DA203</f>
        <v>17.113893858079901</v>
      </c>
      <c r="BK257" s="752">
        <f>INPUT!DB203</f>
        <v>5.0853131636485083</v>
      </c>
      <c r="BL257" s="793">
        <f>INPUT!DC203</f>
        <v>18.343524180100054</v>
      </c>
      <c r="BM257" s="752">
        <f>INPUT!DD203</f>
        <v>-6.2903221749639915</v>
      </c>
      <c r="BN257" s="793">
        <f>INPUT!DE203</f>
        <v>16.954643628509718</v>
      </c>
      <c r="BO257" s="752">
        <f>INPUT!DF203</f>
        <v>-5.3681711852828107</v>
      </c>
      <c r="BP257" s="793">
        <f>INPUT!DG203</f>
        <v>16.926952141057935</v>
      </c>
      <c r="BQ257" s="752">
        <f>INPUT!DH203</f>
        <v>28.99748110831235</v>
      </c>
      <c r="BR257" s="793">
        <f>INPUT!DI203</f>
        <v>18.021390374331553</v>
      </c>
      <c r="BS257" s="752">
        <f>INPUT!DJ203</f>
        <v>5.3026887029756775</v>
      </c>
      <c r="BT257" s="793">
        <f>INPUT!DK203</f>
        <v>19.146666666666665</v>
      </c>
      <c r="BU257" s="752">
        <f>INPUT!DL203</f>
        <v>4.3783434343434235</v>
      </c>
      <c r="BV257" s="793">
        <f>INPUT!DM203</f>
        <v>16.123076923076923</v>
      </c>
      <c r="BW257" s="752">
        <f>INPUT!DN203</f>
        <v>-4.9046545810876978</v>
      </c>
      <c r="BX257" s="793">
        <f>INPUT!DO203</f>
        <v>17.367256637168143</v>
      </c>
      <c r="BY257" s="752">
        <f>INPUT!DP203</f>
        <v>2.6012036451748877</v>
      </c>
      <c r="BZ257" s="793">
        <f>INPUT!DQ203</f>
        <v>17.381228273464657</v>
      </c>
      <c r="CA257" s="752">
        <f>INPUT!DR203</f>
        <v>-3.5522348030299522</v>
      </c>
      <c r="CB257" s="793">
        <f>INPUT!DS203</f>
        <v>18.682505399568036</v>
      </c>
      <c r="CC257" s="752">
        <f>INPUT!DT203</f>
        <v>-2.4242406011418582</v>
      </c>
      <c r="CD257" s="793">
        <f>INPUT!DU203</f>
        <v>16.917519566526188</v>
      </c>
      <c r="CE257" s="752">
        <f>INPUT!DV203</f>
        <v>4.9273637236834311</v>
      </c>
      <c r="CF257" s="793">
        <f>INPUT!DW203</f>
        <v>16.685714285714283</v>
      </c>
      <c r="CG257" s="752">
        <f>INPUT!DX203</f>
        <v>-3.924294813466811</v>
      </c>
      <c r="CH257" s="793">
        <f>INPUT!DY203</f>
        <v>17.265725288831835</v>
      </c>
      <c r="CI257" s="752">
        <f>INPUT!DZ203</f>
        <v>-0.66452717158750341</v>
      </c>
      <c r="CJ257" s="793">
        <f>INPUT!EA203</f>
        <v>17.916390179163898</v>
      </c>
      <c r="CK257" s="752">
        <f>INPUT!EB203</f>
        <v>-4.100709214417531</v>
      </c>
      <c r="CL257" s="793">
        <f>INPUT!EC203</f>
        <v>17.173766058147397</v>
      </c>
      <c r="CM257" s="752">
        <f>INPUT!ED203</f>
        <v>1.5146812191559667</v>
      </c>
      <c r="CN257" s="793">
        <f>INPUT!EE203</f>
        <v>16.25</v>
      </c>
      <c r="CO257" s="752">
        <f>INPUT!EF203</f>
        <v>-2.611301369862995</v>
      </c>
      <c r="CP257" s="793">
        <f>INPUT!EG203</f>
        <v>16.125</v>
      </c>
      <c r="CQ257" s="752">
        <f>INPUT!EH203</f>
        <v>-6.6068773234200684</v>
      </c>
      <c r="CR257" s="793">
        <f>INPUT!EI203</f>
        <v>15.417170495767834</v>
      </c>
      <c r="CS257" s="752">
        <f>INPUT!EJ203</f>
        <v>-13.949348381029147</v>
      </c>
      <c r="CT257" s="793">
        <f>INPUT!EK203</f>
        <v>16</v>
      </c>
      <c r="CU257" s="752">
        <f>INPUT!EL203</f>
        <v>-6.8346456692913389</v>
      </c>
      <c r="CV257" s="793">
        <f>INPUT!EM203</f>
        <v>16</v>
      </c>
      <c r="CW257" s="752">
        <f>INPUT!EN203</f>
        <v>-1.538461538461533</v>
      </c>
      <c r="CX257" s="793">
        <f>INPUT!EO203</f>
        <v>16</v>
      </c>
      <c r="CY257" s="752">
        <f>INPUT!EP203</f>
        <v>-0.77519379844961378</v>
      </c>
      <c r="CZ257" s="793">
        <f>INPUT!EQ203</f>
        <v>16</v>
      </c>
      <c r="DA257" s="752">
        <f>INPUT!ER203</f>
        <v>3.7803921568627441</v>
      </c>
      <c r="DB257" s="753"/>
      <c r="DC257" s="793">
        <f>INPUT!FB203</f>
        <v>0</v>
      </c>
      <c r="DD257" s="756">
        <f>INPUT!FC203</f>
        <v>0</v>
      </c>
      <c r="DE257" s="793">
        <f>INPUT!FD203</f>
        <v>22.271825396825395</v>
      </c>
      <c r="DF257" s="756" t="str">
        <f>INPUT!FE203</f>
        <v>NA</v>
      </c>
      <c r="DG257" s="793">
        <f>INPUT!FF203</f>
        <v>20.121334681496464</v>
      </c>
      <c r="DH257" s="756">
        <f>INPUT!FG203</f>
        <v>-9.6556554167107507</v>
      </c>
      <c r="DI257" s="793">
        <f>INPUT!FH203</f>
        <v>19.406335744574708</v>
      </c>
      <c r="DJ257" s="756">
        <f>INPUT!FI203</f>
        <v>-3.5534369277166689</v>
      </c>
      <c r="DK257" s="793">
        <f>INPUT!FJ203</f>
        <v>17.895520800085116</v>
      </c>
      <c r="DL257" s="752">
        <f>INPUT!FK203</f>
        <v>-7.7851633836231056</v>
      </c>
      <c r="DM257" s="793">
        <f>INPUT!FL203</f>
        <v>15.29238329238329</v>
      </c>
      <c r="DN257" s="752">
        <f>INPUT!FM203</f>
        <v>-14.546307630730947</v>
      </c>
      <c r="DO257" s="793">
        <f>INPUT!FN203</f>
        <v>15.83534691059717</v>
      </c>
      <c r="DP257" s="752">
        <f>INPUT!FO203</f>
        <v>3.5505493671762478</v>
      </c>
      <c r="DQ257" s="793">
        <f>INPUT!FP203</f>
        <v>17.126351099515468</v>
      </c>
      <c r="DR257" s="752">
        <f>INPUT!FQ203</f>
        <v>8.1526738644061236</v>
      </c>
      <c r="DS257" s="793">
        <f>INPUT!FR203</f>
        <v>17.429274292742928</v>
      </c>
      <c r="DT257" s="752">
        <f>INPUT!FS203</f>
        <v>1.7687550107274852</v>
      </c>
      <c r="DU257" s="793">
        <f>INPUT!FT203</f>
        <v>16.405204913048763</v>
      </c>
      <c r="DV257" s="752">
        <f>INPUT!FU203</f>
        <v>-5.8755709646531873</v>
      </c>
      <c r="DW257" s="793">
        <f>INPUT!FV203</f>
        <v>16.826156299840513</v>
      </c>
      <c r="DX257" s="752">
        <f>INPUT!FW203</f>
        <v>2.5659623822005706</v>
      </c>
      <c r="DY257" s="793">
        <f>INPUT!FX203</f>
        <v>16.903523974581169</v>
      </c>
      <c r="DZ257" s="752">
        <f>INPUT!FY203</f>
        <v>0.45980599111272724</v>
      </c>
      <c r="EA257" s="793">
        <f>INPUT!FZ203</f>
        <v>16.591038003403288</v>
      </c>
      <c r="EB257" s="752">
        <f>INPUT!GA203</f>
        <v>-1.8486439374877373</v>
      </c>
      <c r="EC257" s="793">
        <f>INPUT!GB203</f>
        <v>17.752571880770248</v>
      </c>
      <c r="ED257" s="752">
        <f>INPUT!GC203</f>
        <v>7.0009717121297443</v>
      </c>
      <c r="EE257" s="793">
        <f>INPUT!GD203</f>
        <v>17.429753244900869</v>
      </c>
      <c r="EF257" s="752">
        <f>INPUT!GE203</f>
        <v>-1.8184330588124964</v>
      </c>
      <c r="EG257" s="793">
        <f>INPUT!GF203</f>
        <v>17.171093267449038</v>
      </c>
      <c r="EH257" s="752">
        <f>INPUT!GG203</f>
        <v>-1.4840139950202835</v>
      </c>
      <c r="EI257" s="793">
        <f>INPUT!GH203</f>
        <v>16.216642981209539</v>
      </c>
      <c r="EJ257" s="752">
        <f>INPUT!GI203</f>
        <v>-5.5584712713012578</v>
      </c>
      <c r="EK257" s="793">
        <f>INPUT!GJ203</f>
        <v>16.000000000000004</v>
      </c>
      <c r="EL257" s="752">
        <f>INPUT!GK203</f>
        <v>-1.3359298928919072</v>
      </c>
      <c r="EM257" s="793">
        <f>INPUT!GL203</f>
        <v>16.000000000000004</v>
      </c>
      <c r="EN257" s="752">
        <f>INPUT!GM203</f>
        <v>0</v>
      </c>
      <c r="EO257" s="793">
        <f>INPUT!GN203</f>
        <v>16.000000000000004</v>
      </c>
      <c r="EP257" s="752">
        <f>INPUT!GO203</f>
        <v>0</v>
      </c>
      <c r="EQ257" s="793">
        <f>INPUT!GP203</f>
        <v>16.000000000000004</v>
      </c>
      <c r="ER257" s="752">
        <f>INPUT!GQ203</f>
        <v>0</v>
      </c>
      <c r="ES257" s="793">
        <f>INPUT!GR203</f>
        <v>16.000000000000004</v>
      </c>
      <c r="ET257" s="752">
        <f>INPUT!GS203</f>
        <v>0</v>
      </c>
      <c r="EU257" s="756">
        <f>INPUT!GT203</f>
        <v>-0.26862529802116342</v>
      </c>
      <c r="EV257" s="710"/>
    </row>
    <row r="258" spans="1:152" ht="12.75" hidden="1" customHeight="1" outlineLevel="1" x14ac:dyDescent="0.2">
      <c r="A258" s="754"/>
      <c r="B258" s="793"/>
      <c r="C258" s="756"/>
      <c r="D258" s="793"/>
      <c r="E258" s="756"/>
      <c r="F258" s="793"/>
      <c r="G258" s="756"/>
      <c r="H258" s="793"/>
      <c r="I258" s="752"/>
      <c r="J258" s="793"/>
      <c r="K258" s="752"/>
      <c r="L258" s="793"/>
      <c r="M258" s="752"/>
      <c r="N258" s="793"/>
      <c r="O258" s="752"/>
      <c r="P258" s="793"/>
      <c r="Q258" s="752"/>
      <c r="R258" s="793"/>
      <c r="S258" s="752"/>
      <c r="T258" s="793"/>
      <c r="U258" s="752"/>
      <c r="V258" s="793"/>
      <c r="W258" s="752"/>
      <c r="X258" s="793"/>
      <c r="Y258" s="752"/>
      <c r="Z258" s="793"/>
      <c r="AA258" s="752"/>
      <c r="AB258" s="793"/>
      <c r="AC258" s="752"/>
      <c r="AD258" s="793"/>
      <c r="AE258" s="752"/>
      <c r="AF258" s="793"/>
      <c r="AG258" s="752"/>
      <c r="AH258" s="793"/>
      <c r="AI258" s="752"/>
      <c r="AJ258" s="793"/>
      <c r="AK258" s="752"/>
      <c r="AL258" s="793"/>
      <c r="AM258" s="752"/>
      <c r="AN258" s="793"/>
      <c r="AO258" s="752"/>
      <c r="AP258" s="793"/>
      <c r="AQ258" s="752"/>
      <c r="AR258" s="793"/>
      <c r="AS258" s="752"/>
      <c r="AT258" s="793"/>
      <c r="AU258" s="752"/>
      <c r="AV258" s="793"/>
      <c r="AW258" s="752"/>
      <c r="AX258" s="793"/>
      <c r="AY258" s="752"/>
      <c r="AZ258" s="793"/>
      <c r="BA258" s="752"/>
      <c r="BB258" s="793"/>
      <c r="BC258" s="752"/>
      <c r="BD258" s="793"/>
      <c r="BE258" s="752"/>
      <c r="BF258" s="793"/>
      <c r="BG258" s="752"/>
      <c r="BH258" s="793"/>
      <c r="BI258" s="752"/>
      <c r="BJ258" s="793"/>
      <c r="BK258" s="752"/>
      <c r="BL258" s="793"/>
      <c r="BM258" s="752"/>
      <c r="BN258" s="793"/>
      <c r="BO258" s="752"/>
      <c r="BP258" s="793"/>
      <c r="BQ258" s="752"/>
      <c r="BR258" s="793"/>
      <c r="BS258" s="752"/>
      <c r="BT258" s="793"/>
      <c r="BU258" s="752"/>
      <c r="BV258" s="793"/>
      <c r="BW258" s="752"/>
      <c r="BX258" s="793"/>
      <c r="BY258" s="752"/>
      <c r="BZ258" s="793"/>
      <c r="CA258" s="752"/>
      <c r="CB258" s="793"/>
      <c r="CC258" s="752"/>
      <c r="CD258" s="793"/>
      <c r="CE258" s="752"/>
      <c r="CF258" s="793"/>
      <c r="CG258" s="752"/>
      <c r="CH258" s="793"/>
      <c r="CI258" s="752"/>
      <c r="CJ258" s="793"/>
      <c r="CK258" s="752"/>
      <c r="CL258" s="793"/>
      <c r="CM258" s="752"/>
      <c r="CN258" s="793"/>
      <c r="CO258" s="752"/>
      <c r="CP258" s="793"/>
      <c r="CQ258" s="752"/>
      <c r="CR258" s="793"/>
      <c r="CS258" s="752"/>
      <c r="CT258" s="793"/>
      <c r="CU258" s="752"/>
      <c r="CV258" s="793"/>
      <c r="CW258" s="752"/>
      <c r="CX258" s="793"/>
      <c r="CY258" s="752"/>
      <c r="CZ258" s="793"/>
      <c r="DA258" s="752"/>
      <c r="DB258" s="753"/>
      <c r="DC258" s="793"/>
      <c r="DD258" s="756"/>
      <c r="DE258" s="793"/>
      <c r="DF258" s="756"/>
      <c r="DG258" s="793"/>
      <c r="DH258" s="756"/>
      <c r="DI258" s="793"/>
      <c r="DJ258" s="756"/>
      <c r="DK258" s="793"/>
      <c r="DL258" s="752"/>
      <c r="DM258" s="793"/>
      <c r="DN258" s="752"/>
      <c r="DO258" s="793"/>
      <c r="DP258" s="752"/>
      <c r="DQ258" s="793"/>
      <c r="DR258" s="752"/>
      <c r="DS258" s="793"/>
      <c r="DT258" s="752"/>
      <c r="DU258" s="793"/>
      <c r="DV258" s="752"/>
      <c r="DW258" s="793"/>
      <c r="DX258" s="752"/>
      <c r="DY258" s="793"/>
      <c r="DZ258" s="752"/>
      <c r="EA258" s="793"/>
      <c r="EB258" s="752"/>
      <c r="EC258" s="793"/>
      <c r="ED258" s="752"/>
      <c r="EE258" s="793"/>
      <c r="EF258" s="752"/>
      <c r="EG258" s="793"/>
      <c r="EH258" s="752"/>
      <c r="EI258" s="793"/>
      <c r="EJ258" s="752"/>
      <c r="EK258" s="793"/>
      <c r="EL258" s="752"/>
      <c r="EM258" s="793"/>
      <c r="EN258" s="752"/>
      <c r="EO258" s="793"/>
      <c r="EP258" s="752"/>
      <c r="EQ258" s="793"/>
      <c r="ER258" s="752"/>
      <c r="ES258" s="793"/>
      <c r="ET258" s="752"/>
      <c r="EU258" s="756"/>
      <c r="EV258" s="710"/>
    </row>
    <row r="259" spans="1:152" ht="12.75" hidden="1" customHeight="1" outlineLevel="2" x14ac:dyDescent="0.2">
      <c r="A259" s="754" t="str">
        <f>INPUT!B212</f>
        <v>Sales Data</v>
      </c>
      <c r="B259" s="793"/>
      <c r="C259" s="756"/>
      <c r="D259" s="793"/>
      <c r="E259" s="756"/>
      <c r="F259" s="793"/>
      <c r="G259" s="756"/>
      <c r="H259" s="793"/>
      <c r="I259" s="752"/>
      <c r="J259" s="793"/>
      <c r="K259" s="752"/>
      <c r="L259" s="793"/>
      <c r="M259" s="752"/>
      <c r="N259" s="793"/>
      <c r="O259" s="752"/>
      <c r="P259" s="793"/>
      <c r="Q259" s="752"/>
      <c r="R259" s="793"/>
      <c r="S259" s="752"/>
      <c r="T259" s="793"/>
      <c r="U259" s="752"/>
      <c r="V259" s="793"/>
      <c r="W259" s="752"/>
      <c r="X259" s="793"/>
      <c r="Y259" s="752"/>
      <c r="Z259" s="793"/>
      <c r="AA259" s="752"/>
      <c r="AB259" s="793"/>
      <c r="AC259" s="752"/>
      <c r="AD259" s="793"/>
      <c r="AE259" s="752"/>
      <c r="AF259" s="793"/>
      <c r="AG259" s="752"/>
      <c r="AH259" s="793"/>
      <c r="AI259" s="752"/>
      <c r="AJ259" s="793"/>
      <c r="AK259" s="752"/>
      <c r="AL259" s="793"/>
      <c r="AM259" s="752"/>
      <c r="AN259" s="793"/>
      <c r="AO259" s="752"/>
      <c r="AP259" s="793"/>
      <c r="AQ259" s="752"/>
      <c r="AR259" s="793"/>
      <c r="AS259" s="752"/>
      <c r="AT259" s="793"/>
      <c r="AU259" s="752"/>
      <c r="AV259" s="793"/>
      <c r="AW259" s="752"/>
      <c r="AX259" s="793"/>
      <c r="AY259" s="752"/>
      <c r="AZ259" s="793"/>
      <c r="BA259" s="752"/>
      <c r="BB259" s="793"/>
      <c r="BC259" s="752"/>
      <c r="BD259" s="793"/>
      <c r="BE259" s="752"/>
      <c r="BF259" s="793"/>
      <c r="BG259" s="752"/>
      <c r="BH259" s="793"/>
      <c r="BI259" s="752"/>
      <c r="BJ259" s="793"/>
      <c r="BK259" s="752"/>
      <c r="BL259" s="793"/>
      <c r="BM259" s="752"/>
      <c r="BN259" s="793"/>
      <c r="BO259" s="752"/>
      <c r="BP259" s="793"/>
      <c r="BQ259" s="752"/>
      <c r="BR259" s="793"/>
      <c r="BS259" s="752"/>
      <c r="BT259" s="793"/>
      <c r="BU259" s="752"/>
      <c r="BV259" s="793"/>
      <c r="BW259" s="752"/>
      <c r="BX259" s="793"/>
      <c r="BY259" s="752"/>
      <c r="BZ259" s="793"/>
      <c r="CA259" s="752"/>
      <c r="CB259" s="793"/>
      <c r="CC259" s="752"/>
      <c r="CD259" s="793"/>
      <c r="CE259" s="752"/>
      <c r="CF259" s="793"/>
      <c r="CG259" s="752"/>
      <c r="CH259" s="793"/>
      <c r="CI259" s="752"/>
      <c r="CJ259" s="793"/>
      <c r="CK259" s="752"/>
      <c r="CL259" s="793"/>
      <c r="CM259" s="752"/>
      <c r="CN259" s="793"/>
      <c r="CO259" s="752"/>
      <c r="CP259" s="793"/>
      <c r="CQ259" s="752"/>
      <c r="CR259" s="793"/>
      <c r="CS259" s="752"/>
      <c r="CT259" s="793"/>
      <c r="CU259" s="752"/>
      <c r="CV259" s="793"/>
      <c r="CW259" s="752"/>
      <c r="CX259" s="793"/>
      <c r="CY259" s="752"/>
      <c r="CZ259" s="793"/>
      <c r="DA259" s="752"/>
      <c r="DB259" s="753"/>
      <c r="DC259" s="793"/>
      <c r="DD259" s="756"/>
      <c r="DE259" s="793"/>
      <c r="DF259" s="756"/>
      <c r="DG259" s="793"/>
      <c r="DH259" s="756"/>
      <c r="DI259" s="793"/>
      <c r="DJ259" s="756"/>
      <c r="DK259" s="793"/>
      <c r="DL259" s="752"/>
      <c r="DM259" s="793"/>
      <c r="DN259" s="752"/>
      <c r="DO259" s="793"/>
      <c r="DP259" s="752"/>
      <c r="DQ259" s="793"/>
      <c r="DR259" s="752"/>
      <c r="DS259" s="793"/>
      <c r="DT259" s="752"/>
      <c r="DU259" s="793"/>
      <c r="DV259" s="752"/>
      <c r="DW259" s="793"/>
      <c r="DX259" s="752"/>
      <c r="DY259" s="793"/>
      <c r="DZ259" s="752"/>
      <c r="EA259" s="793"/>
      <c r="EB259" s="752"/>
      <c r="EC259" s="793"/>
      <c r="ED259" s="752"/>
      <c r="EE259" s="793"/>
      <c r="EF259" s="752"/>
      <c r="EG259" s="793"/>
      <c r="EH259" s="752"/>
      <c r="EI259" s="793"/>
      <c r="EJ259" s="752"/>
      <c r="EK259" s="793"/>
      <c r="EL259" s="752"/>
      <c r="EM259" s="793"/>
      <c r="EN259" s="752"/>
      <c r="EO259" s="793"/>
      <c r="EP259" s="752"/>
      <c r="EQ259" s="793"/>
      <c r="ER259" s="752"/>
      <c r="ES259" s="793"/>
      <c r="ET259" s="752"/>
      <c r="EU259" s="756"/>
      <c r="EV259" s="710"/>
    </row>
    <row r="260" spans="1:152" ht="12.75" hidden="1" customHeight="1" outlineLevel="2" x14ac:dyDescent="0.2">
      <c r="A260" s="754" t="str">
        <f>INPUT!B213</f>
        <v>Group Long Term Income Protection</v>
      </c>
      <c r="B260" s="793">
        <f>INPUT!AS213</f>
        <v>7.2</v>
      </c>
      <c r="C260" s="756" t="str">
        <f>INPUT!AT213</f>
        <v>NM</v>
      </c>
      <c r="D260" s="793">
        <f>INPUT!AU213</f>
        <v>14.1</v>
      </c>
      <c r="E260" s="756" t="str">
        <f>INPUT!AV213</f>
        <v>NM</v>
      </c>
      <c r="F260" s="793">
        <f>INPUT!AW213</f>
        <v>18</v>
      </c>
      <c r="G260" s="756">
        <f>INPUT!AX213</f>
        <v>5.2631578947368363</v>
      </c>
      <c r="H260" s="793">
        <f>INPUT!AY213</f>
        <v>39.799999999999997</v>
      </c>
      <c r="I260" s="752" t="str">
        <f>INPUT!AZ213</f>
        <v>NM</v>
      </c>
      <c r="J260" s="793">
        <f>INPUT!BA213</f>
        <v>16.3</v>
      </c>
      <c r="K260" s="752" t="str">
        <f>INPUT!BB213</f>
        <v>NM</v>
      </c>
      <c r="L260" s="793">
        <f>INPUT!BC213</f>
        <v>22.2</v>
      </c>
      <c r="M260" s="752">
        <f>INPUT!BD213</f>
        <v>57.446808510638306</v>
      </c>
      <c r="N260" s="793">
        <f>INPUT!BE213</f>
        <v>16.600000000000001</v>
      </c>
      <c r="O260" s="752">
        <f>INPUT!BF213</f>
        <v>-7.7777777777777724</v>
      </c>
      <c r="P260" s="793">
        <f>INPUT!BG213</f>
        <v>29.3</v>
      </c>
      <c r="Q260" s="752">
        <f>INPUT!BH213</f>
        <v>-26.38190954773869</v>
      </c>
      <c r="R260" s="793">
        <f>INPUT!BI213</f>
        <v>14.8</v>
      </c>
      <c r="S260" s="752">
        <f>INPUT!BJ213</f>
        <v>-9.2024539877300633</v>
      </c>
      <c r="T260" s="793">
        <f>INPUT!BK213</f>
        <v>23.2</v>
      </c>
      <c r="U260" s="752">
        <f>INPUT!BL213</f>
        <v>4.5045045045045029</v>
      </c>
      <c r="V260" s="793">
        <f>INPUT!BM213</f>
        <v>16.2</v>
      </c>
      <c r="W260" s="752">
        <f>INPUT!BN213</f>
        <v>0</v>
      </c>
      <c r="X260" s="793">
        <f>INPUT!BO213</f>
        <v>18.5</v>
      </c>
      <c r="Y260" s="752">
        <f>INPUT!BP213</f>
        <v>0</v>
      </c>
      <c r="Z260" s="793">
        <f>INPUT!BQ213</f>
        <v>16.3</v>
      </c>
      <c r="AA260" s="752">
        <f>INPUT!BR213</f>
        <v>0</v>
      </c>
      <c r="AB260" s="793">
        <f>INPUT!BS213</f>
        <v>15.5</v>
      </c>
      <c r="AC260" s="752">
        <f>INPUT!BT213</f>
        <v>0</v>
      </c>
      <c r="AD260" s="793">
        <f>INPUT!BU213</f>
        <v>13.5</v>
      </c>
      <c r="AE260" s="752">
        <f>INPUT!BV213</f>
        <v>0</v>
      </c>
      <c r="AF260" s="793">
        <f>INPUT!BW213</f>
        <v>18.5</v>
      </c>
      <c r="AG260" s="752">
        <f>INPUT!BX213</f>
        <v>0</v>
      </c>
      <c r="AH260" s="793">
        <f>INPUT!BY213</f>
        <v>11.7</v>
      </c>
      <c r="AI260" s="752">
        <f>INPUT!BZ213</f>
        <v>0</v>
      </c>
      <c r="AJ260" s="793">
        <f>INPUT!CA213</f>
        <v>13.7</v>
      </c>
      <c r="AK260" s="752">
        <f>INPUT!CB213</f>
        <v>0</v>
      </c>
      <c r="AL260" s="793">
        <f>INPUT!CC213</f>
        <v>14.5</v>
      </c>
      <c r="AM260" s="752">
        <f>INPUT!CD213</f>
        <v>0</v>
      </c>
      <c r="AN260" s="793">
        <f>INPUT!CE213</f>
        <v>14.1</v>
      </c>
      <c r="AO260" s="752">
        <f>INPUT!CF213</f>
        <v>-23.783783783783786</v>
      </c>
      <c r="AP260" s="793">
        <f>INPUT!CG213</f>
        <v>8.1999999999999993</v>
      </c>
      <c r="AQ260" s="752">
        <f>INPUT!CH213</f>
        <v>-29.914529914529918</v>
      </c>
      <c r="AR260" s="793">
        <f>INPUT!CI213</f>
        <v>12.6</v>
      </c>
      <c r="AS260" s="752">
        <f>INPUT!CJ213</f>
        <v>-8.0291970802919721</v>
      </c>
      <c r="AT260" s="793">
        <f>INPUT!CK213</f>
        <v>9.9</v>
      </c>
      <c r="AU260" s="752">
        <f>INPUT!CL213</f>
        <v>-31.72413793103448</v>
      </c>
      <c r="AV260" s="793">
        <f>INPUT!CM213</f>
        <v>17.100000000000001</v>
      </c>
      <c r="AW260" s="752">
        <f>INPUT!CN213</f>
        <v>21.276595744680861</v>
      </c>
      <c r="AX260" s="793">
        <f>INPUT!CO213</f>
        <v>11.2</v>
      </c>
      <c r="AY260" s="752">
        <f>INPUT!CP213</f>
        <v>36.585365853658544</v>
      </c>
      <c r="AZ260" s="793">
        <f>INPUT!CQ213</f>
        <v>13.5</v>
      </c>
      <c r="BA260" s="752">
        <f>INPUT!CR213</f>
        <v>7.1428571428571397</v>
      </c>
      <c r="BB260" s="793">
        <f>INPUT!CS213</f>
        <v>10.4</v>
      </c>
      <c r="BC260" s="752">
        <f>INPUT!CT213</f>
        <v>5.0505050505050608</v>
      </c>
      <c r="BD260" s="793">
        <f>INPUT!CU213</f>
        <v>16.100000000000001</v>
      </c>
      <c r="BE260" s="752">
        <f>INPUT!CV213</f>
        <v>-5.8479532163742682</v>
      </c>
      <c r="BF260" s="793">
        <f>INPUT!CW213</f>
        <v>10.9</v>
      </c>
      <c r="BG260" s="752">
        <f>INPUT!CX213</f>
        <v>-2.6785714285714191</v>
      </c>
      <c r="BH260" s="793">
        <f>INPUT!CY213</f>
        <v>13.8</v>
      </c>
      <c r="BI260" s="752">
        <f>INPUT!CZ213</f>
        <v>2.2222222222222365</v>
      </c>
      <c r="BJ260" s="793">
        <f>INPUT!DA213</f>
        <v>10.3</v>
      </c>
      <c r="BK260" s="752">
        <f>INPUT!DB213</f>
        <v>-0.96153846153845812</v>
      </c>
      <c r="BL260" s="793">
        <f>INPUT!DC213</f>
        <v>15.5</v>
      </c>
      <c r="BM260" s="752">
        <f>INPUT!DD213</f>
        <v>-3.7267080745341685</v>
      </c>
      <c r="BN260" s="793">
        <f>INPUT!DE213</f>
        <v>12.3</v>
      </c>
      <c r="BO260" s="752">
        <f>INPUT!DF213</f>
        <v>12.844036697247718</v>
      </c>
      <c r="BP260" s="793">
        <f>INPUT!DG213</f>
        <v>14.8</v>
      </c>
      <c r="BQ260" s="752">
        <f>INPUT!DH213</f>
        <v>7.2463768115942129</v>
      </c>
      <c r="BR260" s="793">
        <f>INPUT!DI213</f>
        <v>12</v>
      </c>
      <c r="BS260" s="752">
        <f>INPUT!DJ213</f>
        <v>16.50485436893203</v>
      </c>
      <c r="BT260" s="793">
        <f>INPUT!DK213</f>
        <v>18.3</v>
      </c>
      <c r="BU260" s="752">
        <f>INPUT!DL213</f>
        <v>18.06451612903226</v>
      </c>
      <c r="BV260" s="793">
        <f>INPUT!DM213</f>
        <v>10.6</v>
      </c>
      <c r="BW260" s="752">
        <f>INPUT!DN213</f>
        <v>-13.821138211382122</v>
      </c>
      <c r="BX260" s="793">
        <f>INPUT!DO213</f>
        <v>14.4</v>
      </c>
      <c r="BY260" s="752">
        <f>INPUT!DP213</f>
        <v>-2.7027027027027084</v>
      </c>
      <c r="BZ260" s="793">
        <f>INPUT!DQ213</f>
        <v>11.8</v>
      </c>
      <c r="CA260" s="752">
        <f>INPUT!DR213</f>
        <v>-1.6666666666666607</v>
      </c>
      <c r="CB260" s="793">
        <f>INPUT!DS213</f>
        <v>16.600000000000001</v>
      </c>
      <c r="CC260" s="752">
        <f>INPUT!DT213</f>
        <v>-9.2896174863387966</v>
      </c>
      <c r="CD260" s="793">
        <f>INPUT!DU213</f>
        <v>10.199999999999999</v>
      </c>
      <c r="CE260" s="752">
        <f>INPUT!DV213</f>
        <v>-3.7735849056603765</v>
      </c>
      <c r="CF260" s="793">
        <f>INPUT!DW213</f>
        <v>14.6</v>
      </c>
      <c r="CG260" s="752">
        <f>INPUT!DX213</f>
        <v>1.388888888888884</v>
      </c>
      <c r="CH260" s="793">
        <f>INPUT!DY213</f>
        <v>11.6</v>
      </c>
      <c r="CI260" s="752">
        <f>INPUT!DZ213</f>
        <v>-1.6949152542372947</v>
      </c>
      <c r="CJ260" s="793">
        <f>INPUT!EA213</f>
        <v>13.8</v>
      </c>
      <c r="CK260" s="752">
        <f>INPUT!EB213</f>
        <v>-16.867469879518072</v>
      </c>
      <c r="CL260" s="793">
        <f>INPUT!EC213</f>
        <v>13.5</v>
      </c>
      <c r="CM260" s="752">
        <f>INPUT!ED213</f>
        <v>32.352941176470608</v>
      </c>
      <c r="CN260" s="793">
        <f>INPUT!EE213</f>
        <v>11.5</v>
      </c>
      <c r="CO260" s="752">
        <f>INPUT!EF213</f>
        <v>-21.232876712328764</v>
      </c>
      <c r="CP260" s="793">
        <f>INPUT!EG213</f>
        <v>6.5</v>
      </c>
      <c r="CQ260" s="752">
        <f>INPUT!EH213</f>
        <v>-43.965517241379303</v>
      </c>
      <c r="CR260" s="793">
        <f>INPUT!EI213</f>
        <v>15.6</v>
      </c>
      <c r="CS260" s="752">
        <f>INPUT!EJ213</f>
        <v>13.043478260869556</v>
      </c>
      <c r="CT260" s="793">
        <f>INPUT!EK213</f>
        <v>0</v>
      </c>
      <c r="CU260" s="752" t="str">
        <f>INPUT!EL213</f>
        <v>NM</v>
      </c>
      <c r="CV260" s="793">
        <f>INPUT!EM213</f>
        <v>0</v>
      </c>
      <c r="CW260" s="752" t="str">
        <f>INPUT!EN213</f>
        <v>NM</v>
      </c>
      <c r="CX260" s="793">
        <f>INPUT!EO213</f>
        <v>0</v>
      </c>
      <c r="CY260" s="752" t="str">
        <f>INPUT!EP213</f>
        <v>NM</v>
      </c>
      <c r="CZ260" s="793">
        <f>INPUT!EQ213</f>
        <v>0</v>
      </c>
      <c r="DA260" s="752" t="str">
        <f>INPUT!ER213</f>
        <v>NM</v>
      </c>
      <c r="DB260" s="753"/>
      <c r="DC260" s="793">
        <f>INPUT!FB213</f>
        <v>0</v>
      </c>
      <c r="DD260" s="756">
        <f>INPUT!FC213</f>
        <v>0</v>
      </c>
      <c r="DE260" s="793">
        <f>INPUT!FD213</f>
        <v>57</v>
      </c>
      <c r="DF260" s="756" t="str">
        <f>INPUT!FE213</f>
        <v>NA</v>
      </c>
      <c r="DG260" s="793">
        <f>INPUT!FF213</f>
        <v>81.5</v>
      </c>
      <c r="DH260" s="756">
        <f>INPUT!FG213</f>
        <v>42.982456140350877</v>
      </c>
      <c r="DI260" s="793">
        <f>INPUT!FH213</f>
        <v>103.3</v>
      </c>
      <c r="DJ260" s="756">
        <f>INPUT!FI213</f>
        <v>26.748466257668714</v>
      </c>
      <c r="DK260" s="793">
        <f>INPUT!FJ213</f>
        <v>0</v>
      </c>
      <c r="DL260" s="752" t="str">
        <f>INPUT!FK213</f>
        <v>NM</v>
      </c>
      <c r="DM260" s="793">
        <f>INPUT!FL213</f>
        <v>0</v>
      </c>
      <c r="DN260" s="752" t="str">
        <f>INPUT!FM213</f>
        <v>NA</v>
      </c>
      <c r="DO260" s="793">
        <f>INPUT!FN213</f>
        <v>0</v>
      </c>
      <c r="DP260" s="752" t="str">
        <f>INPUT!FO213</f>
        <v>NA</v>
      </c>
      <c r="DQ260" s="793">
        <f>INPUT!FP213</f>
        <v>72.7</v>
      </c>
      <c r="DR260" s="752" t="str">
        <f>INPUT!FQ213</f>
        <v>NA</v>
      </c>
      <c r="DS260" s="793">
        <f>INPUT!FR213</f>
        <v>63.8</v>
      </c>
      <c r="DT260" s="752">
        <f>INPUT!FS213</f>
        <v>-12.242090784044024</v>
      </c>
      <c r="DU260" s="793">
        <f>INPUT!FT213</f>
        <v>54</v>
      </c>
      <c r="DV260" s="752">
        <f>INPUT!FU213</f>
        <v>-15.36050156739811</v>
      </c>
      <c r="DW260" s="793">
        <f>INPUT!FV213</f>
        <v>47.8</v>
      </c>
      <c r="DX260" s="752">
        <f>INPUT!FW213</f>
        <v>-11.481481481481481</v>
      </c>
      <c r="DY260" s="793">
        <f>INPUT!FX213</f>
        <v>51.2</v>
      </c>
      <c r="DZ260" s="752">
        <f>INPUT!FY213</f>
        <v>7.1129707112970841</v>
      </c>
      <c r="EA260" s="793">
        <f>INPUT!FZ213</f>
        <v>50.5</v>
      </c>
      <c r="EB260" s="752">
        <f>INPUT!GA213</f>
        <v>-1.3671875</v>
      </c>
      <c r="EC260" s="793">
        <f>INPUT!GB213</f>
        <v>57.400000000000006</v>
      </c>
      <c r="ED260" s="752">
        <f>INPUT!GC213</f>
        <v>13.663366336633676</v>
      </c>
      <c r="EE260" s="793">
        <f>INPUT!GD213</f>
        <v>55.7</v>
      </c>
      <c r="EF260" s="752">
        <f>INPUT!GE213</f>
        <v>-2.9616724738676048</v>
      </c>
      <c r="EG260" s="793">
        <f>INPUT!GF213</f>
        <v>50.2</v>
      </c>
      <c r="EH260" s="752">
        <f>INPUT!GG213</f>
        <v>-9.8743267504488372</v>
      </c>
      <c r="EI260" s="793">
        <f>INPUT!GH213</f>
        <v>47.1</v>
      </c>
      <c r="EJ260" s="752">
        <f>INPUT!GI213</f>
        <v>-6.1752988047808817</v>
      </c>
      <c r="EK260" s="793">
        <f>INPUT!GJ213</f>
        <v>0</v>
      </c>
      <c r="EL260" s="752" t="str">
        <f>INPUT!GK213</f>
        <v>NM</v>
      </c>
      <c r="EM260" s="793">
        <f>INPUT!GL213</f>
        <v>0</v>
      </c>
      <c r="EN260" s="752" t="str">
        <f>INPUT!GM213</f>
        <v>NA</v>
      </c>
      <c r="EO260" s="793">
        <f>INPUT!GN213</f>
        <v>0</v>
      </c>
      <c r="EP260" s="752" t="str">
        <f>INPUT!GO213</f>
        <v>NA</v>
      </c>
      <c r="EQ260" s="793">
        <f>INPUT!GP213</f>
        <v>0</v>
      </c>
      <c r="ER260" s="752" t="str">
        <f>INPUT!GQ213</f>
        <v>NA</v>
      </c>
      <c r="ES260" s="793">
        <f>INPUT!GR213</f>
        <v>0</v>
      </c>
      <c r="ET260" s="752" t="str">
        <f>INPUT!GS213</f>
        <v>NA</v>
      </c>
      <c r="EU260" s="756">
        <f>INPUT!GT213</f>
        <v>0</v>
      </c>
      <c r="EV260" s="710"/>
    </row>
    <row r="261" spans="1:152" ht="12.75" hidden="1" customHeight="1" outlineLevel="2" x14ac:dyDescent="0.2">
      <c r="A261" s="754" t="str">
        <f>INPUT!B214</f>
        <v>Group Life</v>
      </c>
      <c r="B261" s="793">
        <f>INPUT!AS214</f>
        <v>3.1</v>
      </c>
      <c r="C261" s="756" t="str">
        <f>INPUT!AT214</f>
        <v>NM</v>
      </c>
      <c r="D261" s="793">
        <f>INPUT!AU214</f>
        <v>4.5999999999999996</v>
      </c>
      <c r="E261" s="756">
        <f>INPUT!AV214</f>
        <v>-8.0000000000000071</v>
      </c>
      <c r="F261" s="793">
        <f>INPUT!AW214</f>
        <v>6</v>
      </c>
      <c r="G261" s="756">
        <f>INPUT!AX214</f>
        <v>-6.25</v>
      </c>
      <c r="H261" s="793">
        <f>INPUT!AY214</f>
        <v>2.8</v>
      </c>
      <c r="I261" s="752" t="str">
        <f>INPUT!AZ214</f>
        <v>NM</v>
      </c>
      <c r="J261" s="793">
        <f>INPUT!BA214</f>
        <v>2.8</v>
      </c>
      <c r="K261" s="752">
        <f>INPUT!BB214</f>
        <v>-9.6774193548387224</v>
      </c>
      <c r="L261" s="793">
        <f>INPUT!BC214</f>
        <v>4</v>
      </c>
      <c r="M261" s="752">
        <f>INPUT!BD214</f>
        <v>-13.043478260869556</v>
      </c>
      <c r="N261" s="793">
        <f>INPUT!BE214</f>
        <v>3.4</v>
      </c>
      <c r="O261" s="752">
        <f>INPUT!BF214</f>
        <v>-43.333333333333336</v>
      </c>
      <c r="P261" s="793">
        <f>INPUT!BG214</f>
        <v>3</v>
      </c>
      <c r="Q261" s="752">
        <f>INPUT!BH214</f>
        <v>7.1428571428571397</v>
      </c>
      <c r="R261" s="793">
        <f>INPUT!BI214</f>
        <v>2.1</v>
      </c>
      <c r="S261" s="752">
        <f>INPUT!BJ214</f>
        <v>-24.999999999999989</v>
      </c>
      <c r="T261" s="793">
        <f>INPUT!BK214</f>
        <v>5.8</v>
      </c>
      <c r="U261" s="752">
        <f>INPUT!BL214</f>
        <v>44.999999999999993</v>
      </c>
      <c r="V261" s="793">
        <f>INPUT!BM214</f>
        <v>4.8</v>
      </c>
      <c r="W261" s="752">
        <f>INPUT!BN214</f>
        <v>0</v>
      </c>
      <c r="X261" s="793">
        <f>INPUT!BO214</f>
        <v>6.9</v>
      </c>
      <c r="Y261" s="752">
        <f>INPUT!BP214</f>
        <v>0</v>
      </c>
      <c r="Z261" s="793">
        <f>INPUT!BQ214</f>
        <v>2.1</v>
      </c>
      <c r="AA261" s="752">
        <f>INPUT!BR214</f>
        <v>0</v>
      </c>
      <c r="AB261" s="793">
        <f>INPUT!BS214</f>
        <v>12.6</v>
      </c>
      <c r="AC261" s="752">
        <f>INPUT!BT214</f>
        <v>0</v>
      </c>
      <c r="AD261" s="793">
        <f>INPUT!BU214</f>
        <v>17.100000000000001</v>
      </c>
      <c r="AE261" s="752">
        <f>INPUT!BV214</f>
        <v>0</v>
      </c>
      <c r="AF261" s="793">
        <f>INPUT!BW214</f>
        <v>22</v>
      </c>
      <c r="AG261" s="752">
        <f>INPUT!BX214</f>
        <v>0</v>
      </c>
      <c r="AH261" s="793">
        <f>INPUT!BY214</f>
        <v>10.9</v>
      </c>
      <c r="AI261" s="752">
        <f>INPUT!BZ214</f>
        <v>0</v>
      </c>
      <c r="AJ261" s="793">
        <f>INPUT!CA214</f>
        <v>16.100000000000001</v>
      </c>
      <c r="AK261" s="752">
        <f>INPUT!CB214</f>
        <v>0</v>
      </c>
      <c r="AL261" s="793">
        <f>INPUT!CC214</f>
        <v>14</v>
      </c>
      <c r="AM261" s="752">
        <f>INPUT!CD214</f>
        <v>0</v>
      </c>
      <c r="AN261" s="793">
        <f>INPUT!CE214</f>
        <v>16.3</v>
      </c>
      <c r="AO261" s="752">
        <f>INPUT!CF214</f>
        <v>-25.909090909090903</v>
      </c>
      <c r="AP261" s="793">
        <f>INPUT!CG214</f>
        <v>6.8</v>
      </c>
      <c r="AQ261" s="752">
        <f>INPUT!CH214</f>
        <v>-37.614678899082577</v>
      </c>
      <c r="AR261" s="793">
        <f>INPUT!CI214</f>
        <v>9.6999999999999993</v>
      </c>
      <c r="AS261" s="752">
        <f>INPUT!CJ214</f>
        <v>-39.751552795031067</v>
      </c>
      <c r="AT261" s="793">
        <f>INPUT!CK214</f>
        <v>9</v>
      </c>
      <c r="AU261" s="752">
        <f>INPUT!CL214</f>
        <v>-35.714285714285708</v>
      </c>
      <c r="AV261" s="793">
        <f>INPUT!CM214</f>
        <v>8.3000000000000007</v>
      </c>
      <c r="AW261" s="752">
        <f>INPUT!CN214</f>
        <v>-49.079754601226988</v>
      </c>
      <c r="AX261" s="793">
        <f>INPUT!CO214</f>
        <v>18</v>
      </c>
      <c r="AY261" s="752" t="str">
        <f>INPUT!CP214</f>
        <v>NM</v>
      </c>
      <c r="AZ261" s="793">
        <f>INPUT!CQ214</f>
        <v>9.1</v>
      </c>
      <c r="BA261" s="752">
        <f>INPUT!CR214</f>
        <v>-6.1855670103092786</v>
      </c>
      <c r="BB261" s="793">
        <f>INPUT!CS214</f>
        <v>5.6</v>
      </c>
      <c r="BC261" s="752">
        <f>INPUT!CT214</f>
        <v>-37.777777777777779</v>
      </c>
      <c r="BD261" s="793">
        <f>INPUT!CU214</f>
        <v>5.3</v>
      </c>
      <c r="BE261" s="752">
        <f>INPUT!CV214</f>
        <v>-36.144578313253021</v>
      </c>
      <c r="BF261" s="793">
        <f>INPUT!CW214</f>
        <v>4.5</v>
      </c>
      <c r="BG261" s="752" t="str">
        <f>INPUT!CX214</f>
        <v>NM</v>
      </c>
      <c r="BH261" s="793">
        <f>INPUT!CY214</f>
        <v>6.8</v>
      </c>
      <c r="BI261" s="752">
        <f>INPUT!CZ214</f>
        <v>-25.274725274725274</v>
      </c>
      <c r="BJ261" s="793">
        <f>INPUT!DA214</f>
        <v>6.1</v>
      </c>
      <c r="BK261" s="752">
        <f>INPUT!DB214</f>
        <v>8.9285714285714199</v>
      </c>
      <c r="BL261" s="793">
        <f>INPUT!DC214</f>
        <v>4</v>
      </c>
      <c r="BM261" s="752">
        <f>INPUT!DD214</f>
        <v>-24.528301886792448</v>
      </c>
      <c r="BN261" s="793">
        <f>INPUT!DE214</f>
        <v>4</v>
      </c>
      <c r="BO261" s="752">
        <f>INPUT!DF214</f>
        <v>-11.111111111111116</v>
      </c>
      <c r="BP261" s="793">
        <f>INPUT!DG214</f>
        <v>5.4</v>
      </c>
      <c r="BQ261" s="752">
        <f>INPUT!DH214</f>
        <v>-20.588235294117641</v>
      </c>
      <c r="BR261" s="793">
        <f>INPUT!DI214</f>
        <v>8.4</v>
      </c>
      <c r="BS261" s="752">
        <f>INPUT!DJ214</f>
        <v>37.704918032786907</v>
      </c>
      <c r="BT261" s="793">
        <f>INPUT!DK214</f>
        <v>6</v>
      </c>
      <c r="BU261" s="752">
        <f>INPUT!DL214</f>
        <v>50</v>
      </c>
      <c r="BV261" s="793">
        <f>INPUT!DM214</f>
        <v>5.5</v>
      </c>
      <c r="BW261" s="752">
        <f>INPUT!DN214</f>
        <v>37.5</v>
      </c>
      <c r="BX261" s="793">
        <f>INPUT!DO214</f>
        <v>4.7</v>
      </c>
      <c r="BY261" s="752">
        <f>INPUT!DP214</f>
        <v>-12.962962962962965</v>
      </c>
      <c r="BZ261" s="793">
        <f>INPUT!DQ214</f>
        <v>6.7</v>
      </c>
      <c r="CA261" s="752">
        <f>INPUT!DR214</f>
        <v>-20.238095238095244</v>
      </c>
      <c r="CB261" s="793">
        <f>INPUT!DS214</f>
        <v>8.8000000000000007</v>
      </c>
      <c r="CC261" s="752">
        <f>INPUT!DT214</f>
        <v>46.666666666666679</v>
      </c>
      <c r="CD261" s="793">
        <f>INPUT!DU214</f>
        <v>4.7</v>
      </c>
      <c r="CE261" s="752">
        <f>INPUT!DV214</f>
        <v>-14.54545454545454</v>
      </c>
      <c r="CF261" s="793">
        <f>INPUT!DW214</f>
        <v>5.4</v>
      </c>
      <c r="CG261" s="752">
        <f>INPUT!DX214</f>
        <v>14.893617021276606</v>
      </c>
      <c r="CH261" s="793">
        <f>INPUT!DY214</f>
        <v>6.1</v>
      </c>
      <c r="CI261" s="752">
        <f>INPUT!DZ214</f>
        <v>-8.9552238805970177</v>
      </c>
      <c r="CJ261" s="793">
        <f>INPUT!EA214</f>
        <v>7.6</v>
      </c>
      <c r="CK261" s="752">
        <f>INPUT!EB214</f>
        <v>-13.636363636363647</v>
      </c>
      <c r="CL261" s="793">
        <f>INPUT!EC214</f>
        <v>3.9</v>
      </c>
      <c r="CM261" s="752">
        <f>INPUT!ED214</f>
        <v>-17.021276595744684</v>
      </c>
      <c r="CN261" s="793">
        <f>INPUT!EE214</f>
        <v>6</v>
      </c>
      <c r="CO261" s="752">
        <f>INPUT!EF214</f>
        <v>11.111111111111093</v>
      </c>
      <c r="CP261" s="793">
        <f>INPUT!EG214</f>
        <v>7.8</v>
      </c>
      <c r="CQ261" s="752">
        <f>INPUT!EH214</f>
        <v>27.868852459016402</v>
      </c>
      <c r="CR261" s="793">
        <f>INPUT!EI214</f>
        <v>6.7</v>
      </c>
      <c r="CS261" s="752">
        <f>INPUT!EJ214</f>
        <v>-11.842105263157887</v>
      </c>
      <c r="CT261" s="793">
        <f>INPUT!EK214</f>
        <v>0</v>
      </c>
      <c r="CU261" s="752" t="str">
        <f>INPUT!EL214</f>
        <v>NM</v>
      </c>
      <c r="CV261" s="793">
        <f>INPUT!EM214</f>
        <v>0</v>
      </c>
      <c r="CW261" s="752" t="str">
        <f>INPUT!EN214</f>
        <v>NM</v>
      </c>
      <c r="CX261" s="793">
        <f>INPUT!EO214</f>
        <v>0</v>
      </c>
      <c r="CY261" s="752" t="str">
        <f>INPUT!EP214</f>
        <v>NM</v>
      </c>
      <c r="CZ261" s="793">
        <f>INPUT!EQ214</f>
        <v>0</v>
      </c>
      <c r="DA261" s="752" t="str">
        <f>INPUT!ER214</f>
        <v>NM</v>
      </c>
      <c r="DB261" s="753"/>
      <c r="DC261" s="793">
        <f>INPUT!FB214</f>
        <v>0</v>
      </c>
      <c r="DD261" s="756">
        <f>INPUT!FC214</f>
        <v>0</v>
      </c>
      <c r="DE261" s="793">
        <f>INPUT!FD214</f>
        <v>14.5</v>
      </c>
      <c r="DF261" s="756" t="str">
        <f>INPUT!FE214</f>
        <v>NA</v>
      </c>
      <c r="DG261" s="793">
        <f>INPUT!FF214</f>
        <v>27.7</v>
      </c>
      <c r="DH261" s="756">
        <f>INPUT!FG214</f>
        <v>91.034482758620697</v>
      </c>
      <c r="DI261" s="793">
        <f>INPUT!FH214</f>
        <v>68.099999999999994</v>
      </c>
      <c r="DJ261" s="756" t="str">
        <f>INPUT!FI214</f>
        <v>NM</v>
      </c>
      <c r="DK261" s="793">
        <f>INPUT!FJ214</f>
        <v>0</v>
      </c>
      <c r="DL261" s="752" t="str">
        <f>INPUT!FK214</f>
        <v>NM</v>
      </c>
      <c r="DM261" s="793">
        <f>INPUT!FL214</f>
        <v>0</v>
      </c>
      <c r="DN261" s="752" t="str">
        <f>INPUT!FM214</f>
        <v>NA</v>
      </c>
      <c r="DO261" s="793">
        <f>INPUT!FN214</f>
        <v>0</v>
      </c>
      <c r="DP261" s="752" t="str">
        <f>INPUT!FO214</f>
        <v>NA</v>
      </c>
      <c r="DQ261" s="793">
        <f>INPUT!FP214</f>
        <v>19.600000000000001</v>
      </c>
      <c r="DR261" s="752" t="str">
        <f>INPUT!FQ214</f>
        <v>NA</v>
      </c>
      <c r="DS261" s="793">
        <f>INPUT!FR214</f>
        <v>53.8</v>
      </c>
      <c r="DT261" s="752" t="str">
        <f>INPUT!FS214</f>
        <v>NM</v>
      </c>
      <c r="DU261" s="793">
        <f>INPUT!FT214</f>
        <v>57.3</v>
      </c>
      <c r="DV261" s="752">
        <f>INPUT!FU214</f>
        <v>6.505576208178443</v>
      </c>
      <c r="DW261" s="793">
        <f>INPUT!FV214</f>
        <v>33.799999999999997</v>
      </c>
      <c r="DX261" s="752">
        <f>INPUT!FW214</f>
        <v>-41.012216404886559</v>
      </c>
      <c r="DY261" s="793">
        <f>INPUT!FX214</f>
        <v>38</v>
      </c>
      <c r="DZ261" s="752">
        <f>INPUT!FY214</f>
        <v>12.426035502958598</v>
      </c>
      <c r="EA261" s="793">
        <f>INPUT!FZ214</f>
        <v>21.4</v>
      </c>
      <c r="EB261" s="752">
        <f>INPUT!GA214</f>
        <v>-43.684210526315795</v>
      </c>
      <c r="EC261" s="793">
        <f>INPUT!GB214</f>
        <v>23.8</v>
      </c>
      <c r="ED261" s="752">
        <f>INPUT!GC214</f>
        <v>11.214953271028039</v>
      </c>
      <c r="EE261" s="793">
        <f>INPUT!GD214</f>
        <v>25.3</v>
      </c>
      <c r="EF261" s="752">
        <f>INPUT!GE214</f>
        <v>6.3025210084033612</v>
      </c>
      <c r="EG261" s="793">
        <f>INPUT!GF214</f>
        <v>23.800000000000004</v>
      </c>
      <c r="EH261" s="752">
        <f>INPUT!GG214</f>
        <v>-5.9288537549406994</v>
      </c>
      <c r="EI261" s="793">
        <f>INPUT!GH214</f>
        <v>24.4</v>
      </c>
      <c r="EJ261" s="752">
        <f>INPUT!GI214</f>
        <v>2.5210084033613134</v>
      </c>
      <c r="EK261" s="793">
        <f>INPUT!GJ214</f>
        <v>0</v>
      </c>
      <c r="EL261" s="752" t="str">
        <f>INPUT!GK214</f>
        <v>NM</v>
      </c>
      <c r="EM261" s="793">
        <f>INPUT!GL214</f>
        <v>0</v>
      </c>
      <c r="EN261" s="752" t="str">
        <f>INPUT!GM214</f>
        <v>NA</v>
      </c>
      <c r="EO261" s="793">
        <f>INPUT!GN214</f>
        <v>0</v>
      </c>
      <c r="EP261" s="752" t="str">
        <f>INPUT!GO214</f>
        <v>NA</v>
      </c>
      <c r="EQ261" s="793">
        <f>INPUT!GP214</f>
        <v>0</v>
      </c>
      <c r="ER261" s="752" t="str">
        <f>INPUT!GQ214</f>
        <v>NA</v>
      </c>
      <c r="ES261" s="793">
        <f>INPUT!GR214</f>
        <v>0</v>
      </c>
      <c r="ET261" s="752" t="str">
        <f>INPUT!GS214</f>
        <v>NA</v>
      </c>
      <c r="EU261" s="756">
        <f>INPUT!GT214</f>
        <v>0</v>
      </c>
      <c r="EV261" s="710"/>
    </row>
    <row r="262" spans="1:152" ht="12.75" hidden="1" customHeight="1" outlineLevel="2" x14ac:dyDescent="0.2">
      <c r="A262" s="754" t="str">
        <f>INPUT!B215</f>
        <v>Other</v>
      </c>
      <c r="B262" s="793">
        <f>INPUT!AS215</f>
        <v>1.4</v>
      </c>
      <c r="C262" s="756" t="str">
        <f>INPUT!AT215</f>
        <v>NM</v>
      </c>
      <c r="D262" s="793">
        <f>INPUT!AU215</f>
        <v>1.3</v>
      </c>
      <c r="E262" s="756">
        <f>INPUT!AV215</f>
        <v>-40.909090909090921</v>
      </c>
      <c r="F262" s="793">
        <f>INPUT!AW215</f>
        <v>1.4</v>
      </c>
      <c r="G262" s="756">
        <f>INPUT!AX215</f>
        <v>16.666666666666675</v>
      </c>
      <c r="H262" s="793">
        <f>INPUT!AY215</f>
        <v>1.4</v>
      </c>
      <c r="I262" s="752">
        <f>INPUT!AZ215</f>
        <v>16.666666666666675</v>
      </c>
      <c r="J262" s="793">
        <f>INPUT!BA215</f>
        <v>1.7</v>
      </c>
      <c r="K262" s="752">
        <f>INPUT!BB215</f>
        <v>21.428571428571441</v>
      </c>
      <c r="L262" s="793">
        <f>INPUT!BC215</f>
        <v>1.6</v>
      </c>
      <c r="M262" s="752">
        <f>INPUT!BD215</f>
        <v>23.076923076923084</v>
      </c>
      <c r="N262" s="793">
        <f>INPUT!BE215</f>
        <v>2.2000000000000002</v>
      </c>
      <c r="O262" s="752">
        <f>INPUT!BF215</f>
        <v>57.14285714285716</v>
      </c>
      <c r="P262" s="793">
        <f>INPUT!BG215</f>
        <v>2.2999999999999998</v>
      </c>
      <c r="Q262" s="752">
        <f>INPUT!BH215</f>
        <v>64.285714285714278</v>
      </c>
      <c r="R262" s="793">
        <f>INPUT!BI215</f>
        <v>1.8</v>
      </c>
      <c r="S262" s="752">
        <f>INPUT!BJ215</f>
        <v>5.8823529411764719</v>
      </c>
      <c r="T262" s="793">
        <f>INPUT!BK215</f>
        <v>1.9</v>
      </c>
      <c r="U262" s="752">
        <f>INPUT!BL215</f>
        <v>18.749999999999979</v>
      </c>
      <c r="V262" s="793">
        <f>INPUT!BM215</f>
        <v>1.9</v>
      </c>
      <c r="W262" s="752">
        <f>INPUT!BN215</f>
        <v>0</v>
      </c>
      <c r="X262" s="793">
        <f>INPUT!BO215</f>
        <v>1.6</v>
      </c>
      <c r="Y262" s="752">
        <f>INPUT!BP215</f>
        <v>0</v>
      </c>
      <c r="Z262" s="793">
        <f>INPUT!BQ215</f>
        <v>1.2</v>
      </c>
      <c r="AA262" s="752">
        <f>INPUT!BR215</f>
        <v>0</v>
      </c>
      <c r="AB262" s="793">
        <f>INPUT!BS215</f>
        <v>1.4</v>
      </c>
      <c r="AC262" s="752">
        <f>INPUT!BT215</f>
        <v>0</v>
      </c>
      <c r="AD262" s="793">
        <f>INPUT!BU215</f>
        <v>1.5</v>
      </c>
      <c r="AE262" s="752">
        <f>INPUT!BV215</f>
        <v>0</v>
      </c>
      <c r="AF262" s="793">
        <f>INPUT!BW215</f>
        <v>1.5</v>
      </c>
      <c r="AG262" s="752">
        <f>INPUT!BX215</f>
        <v>0</v>
      </c>
      <c r="AH262" s="793">
        <f>INPUT!BY215</f>
        <v>1.6</v>
      </c>
      <c r="AI262" s="752">
        <f>INPUT!BZ215</f>
        <v>0</v>
      </c>
      <c r="AJ262" s="793">
        <f>INPUT!CA215</f>
        <v>3</v>
      </c>
      <c r="AK262" s="752">
        <f>INPUT!CB215</f>
        <v>0</v>
      </c>
      <c r="AL262" s="793">
        <f>INPUT!CC215</f>
        <v>1.1000000000000001</v>
      </c>
      <c r="AM262" s="752">
        <f>INPUT!CD215</f>
        <v>0</v>
      </c>
      <c r="AN262" s="793">
        <f>INPUT!CE215</f>
        <v>2.2000000000000002</v>
      </c>
      <c r="AO262" s="752">
        <f>INPUT!CF215</f>
        <v>46.666666666666679</v>
      </c>
      <c r="AP262" s="793">
        <f>INPUT!CG215</f>
        <v>2.6</v>
      </c>
      <c r="AQ262" s="752">
        <f>INPUT!CH215</f>
        <v>62.5</v>
      </c>
      <c r="AR262" s="793">
        <f>INPUT!CI215</f>
        <v>1.4</v>
      </c>
      <c r="AS262" s="752" t="str">
        <f>INPUT!CJ215</f>
        <v>NM</v>
      </c>
      <c r="AT262" s="793">
        <f>INPUT!CK215</f>
        <v>2.4</v>
      </c>
      <c r="AU262" s="752" t="str">
        <f>INPUT!CL215</f>
        <v>NM</v>
      </c>
      <c r="AV262" s="793">
        <f>INPUT!CM215</f>
        <v>2.2000000000000002</v>
      </c>
      <c r="AW262" s="752">
        <f>INPUT!CN215</f>
        <v>0</v>
      </c>
      <c r="AX262" s="793">
        <f>INPUT!CO215</f>
        <v>1.6</v>
      </c>
      <c r="AY262" s="752">
        <f>INPUT!CP215</f>
        <v>-38.46153846153846</v>
      </c>
      <c r="AZ262" s="793">
        <f>INPUT!CQ215</f>
        <v>1.4</v>
      </c>
      <c r="BA262" s="752">
        <f>INPUT!CR215</f>
        <v>0</v>
      </c>
      <c r="BB262" s="793">
        <f>INPUT!CS215</f>
        <v>1</v>
      </c>
      <c r="BC262" s="752" t="str">
        <f>INPUT!CT215</f>
        <v>NM</v>
      </c>
      <c r="BD262" s="793">
        <f>INPUT!CU215</f>
        <v>0.9</v>
      </c>
      <c r="BE262" s="752" t="str">
        <f>INPUT!CV215</f>
        <v>NM</v>
      </c>
      <c r="BF262" s="793">
        <f>INPUT!CW215</f>
        <v>1</v>
      </c>
      <c r="BG262" s="752">
        <f>INPUT!CX215</f>
        <v>-37.5</v>
      </c>
      <c r="BH262" s="793">
        <f>INPUT!CY215</f>
        <v>1.1000000000000001</v>
      </c>
      <c r="BI262" s="752">
        <f>INPUT!CZ215</f>
        <v>-21.42857142857142</v>
      </c>
      <c r="BJ262" s="793">
        <f>INPUT!DA215</f>
        <v>0.9</v>
      </c>
      <c r="BK262" s="752">
        <f>INPUT!DB215</f>
        <v>-9.9999999999999982</v>
      </c>
      <c r="BL262" s="793">
        <f>INPUT!DC215</f>
        <v>0.9</v>
      </c>
      <c r="BM262" s="752">
        <f>INPUT!DD215</f>
        <v>0</v>
      </c>
      <c r="BN262" s="793">
        <f>INPUT!DE215</f>
        <v>1</v>
      </c>
      <c r="BO262" s="752">
        <f>INPUT!DF215</f>
        <v>0</v>
      </c>
      <c r="BP262" s="793">
        <f>INPUT!DG215</f>
        <v>0.9</v>
      </c>
      <c r="BQ262" s="752">
        <f>INPUT!DH215</f>
        <v>-18.181818181818187</v>
      </c>
      <c r="BR262" s="793">
        <f>INPUT!DI215</f>
        <v>1</v>
      </c>
      <c r="BS262" s="752">
        <f>INPUT!DJ215</f>
        <v>11.111111111111116</v>
      </c>
      <c r="BT262" s="793">
        <f>INPUT!DK215</f>
        <v>1</v>
      </c>
      <c r="BU262" s="752">
        <f>INPUT!DL215</f>
        <v>11.111111111111116</v>
      </c>
      <c r="BV262" s="793">
        <f>INPUT!DM215</f>
        <v>0.6</v>
      </c>
      <c r="BW262" s="752">
        <f>INPUT!DN215</f>
        <v>-40</v>
      </c>
      <c r="BX262" s="793">
        <f>INPUT!DO215</f>
        <v>1.4</v>
      </c>
      <c r="BY262" s="752">
        <f>INPUT!DP215</f>
        <v>55.555555555555536</v>
      </c>
      <c r="BZ262" s="793">
        <f>INPUT!DQ215</f>
        <v>1.2</v>
      </c>
      <c r="CA262" s="752">
        <f>INPUT!DR215</f>
        <v>19.999999999999996</v>
      </c>
      <c r="CB262" s="793">
        <f>INPUT!DS215</f>
        <v>1.8</v>
      </c>
      <c r="CC262" s="752">
        <f>INPUT!DT215</f>
        <v>80</v>
      </c>
      <c r="CD262" s="793">
        <f>INPUT!DU215</f>
        <v>3.5</v>
      </c>
      <c r="CE262" s="752" t="str">
        <f>INPUT!DV215</f>
        <v>NM</v>
      </c>
      <c r="CF262" s="793">
        <f>INPUT!DW215</f>
        <v>3</v>
      </c>
      <c r="CG262" s="752" t="str">
        <f>INPUT!DX215</f>
        <v>NM</v>
      </c>
      <c r="CH262" s="793">
        <f>INPUT!DY215</f>
        <v>1.7</v>
      </c>
      <c r="CI262" s="752">
        <f>INPUT!DZ215</f>
        <v>41.666666666666671</v>
      </c>
      <c r="CJ262" s="793">
        <f>INPUT!EA215</f>
        <v>2.2999999999999998</v>
      </c>
      <c r="CK262" s="752">
        <f>INPUT!EB215</f>
        <v>27.777777777777768</v>
      </c>
      <c r="CL262" s="793">
        <f>INPUT!EC215</f>
        <v>2.2999999999999998</v>
      </c>
      <c r="CM262" s="752">
        <f>INPUT!ED215</f>
        <v>-34.285714285714285</v>
      </c>
      <c r="CN262" s="793">
        <f>INPUT!EE215</f>
        <v>7.7</v>
      </c>
      <c r="CO262" s="752" t="str">
        <f>INPUT!EF215</f>
        <v>NM</v>
      </c>
      <c r="CP262" s="793">
        <f>INPUT!EG215</f>
        <v>2.2000000000000002</v>
      </c>
      <c r="CQ262" s="752">
        <f>INPUT!EH215</f>
        <v>29.411764705882359</v>
      </c>
      <c r="CR262" s="793">
        <f>INPUT!EI215</f>
        <v>2.2000000000000002</v>
      </c>
      <c r="CS262" s="752">
        <f>INPUT!EJ215</f>
        <v>-4.3478260869565073</v>
      </c>
      <c r="CT262" s="793">
        <f>INPUT!EK215</f>
        <v>0</v>
      </c>
      <c r="CU262" s="752" t="str">
        <f>INPUT!EL215</f>
        <v>NM</v>
      </c>
      <c r="CV262" s="793">
        <f>INPUT!EM215</f>
        <v>0</v>
      </c>
      <c r="CW262" s="752" t="str">
        <f>INPUT!EN215</f>
        <v>NM</v>
      </c>
      <c r="CX262" s="793">
        <f>INPUT!EO215</f>
        <v>0</v>
      </c>
      <c r="CY262" s="752" t="str">
        <f>INPUT!EP215</f>
        <v>NM</v>
      </c>
      <c r="CZ262" s="793">
        <f>INPUT!EQ215</f>
        <v>0</v>
      </c>
      <c r="DA262" s="752" t="str">
        <f>INPUT!ER215</f>
        <v>NM</v>
      </c>
      <c r="DB262" s="753"/>
      <c r="DC262" s="793">
        <f>INPUT!FB215</f>
        <v>0</v>
      </c>
      <c r="DD262" s="756">
        <f>INPUT!FC215</f>
        <v>0</v>
      </c>
      <c r="DE262" s="793">
        <f>INPUT!FD215</f>
        <v>22.7</v>
      </c>
      <c r="DF262" s="756" t="str">
        <f>INPUT!FE215</f>
        <v>NA</v>
      </c>
      <c r="DG262" s="793">
        <f>INPUT!FF215</f>
        <v>19.399999999999999</v>
      </c>
      <c r="DH262" s="756">
        <f>INPUT!FG215</f>
        <v>-14.537444933920707</v>
      </c>
      <c r="DI262" s="793">
        <f>INPUT!FH215</f>
        <v>11.1</v>
      </c>
      <c r="DJ262" s="756">
        <f>INPUT!FI215</f>
        <v>-42.783505154639165</v>
      </c>
      <c r="DK262" s="793">
        <f>INPUT!FJ215</f>
        <v>0</v>
      </c>
      <c r="DL262" s="752" t="str">
        <f>INPUT!FK215</f>
        <v>NM</v>
      </c>
      <c r="DM262" s="793">
        <f>INPUT!FL215</f>
        <v>0</v>
      </c>
      <c r="DN262" s="752" t="str">
        <f>INPUT!FM215</f>
        <v>NA</v>
      </c>
      <c r="DO262" s="793">
        <f>INPUT!FN215</f>
        <v>0</v>
      </c>
      <c r="DP262" s="752" t="str">
        <f>INPUT!FO215</f>
        <v>NA</v>
      </c>
      <c r="DQ262" s="793">
        <f>INPUT!FP215</f>
        <v>7.1999999999999993</v>
      </c>
      <c r="DR262" s="752" t="str">
        <f>INPUT!FQ215</f>
        <v>NA</v>
      </c>
      <c r="DS262" s="793">
        <f>INPUT!FR215</f>
        <v>5.6</v>
      </c>
      <c r="DT262" s="752">
        <f>INPUT!FS215</f>
        <v>-22.222222222222221</v>
      </c>
      <c r="DU262" s="793">
        <f>INPUT!FT215</f>
        <v>7.8999999999999995</v>
      </c>
      <c r="DV262" s="752">
        <f>INPUT!FU215</f>
        <v>41.071428571428584</v>
      </c>
      <c r="DW262" s="793">
        <f>INPUT!FV215</f>
        <v>8.6000000000000014</v>
      </c>
      <c r="DX262" s="752">
        <f>INPUT!FW215</f>
        <v>8.860759493670912</v>
      </c>
      <c r="DY262" s="793">
        <f>INPUT!FX215</f>
        <v>4.9000000000000004</v>
      </c>
      <c r="DZ262" s="752">
        <f>INPUT!FY215</f>
        <v>-43.023255813953497</v>
      </c>
      <c r="EA262" s="793">
        <f>INPUT!FZ215</f>
        <v>3.9</v>
      </c>
      <c r="EB262" s="752">
        <f>INPUT!GA215</f>
        <v>-20.408163265306133</v>
      </c>
      <c r="EC262" s="793">
        <f>INPUT!GB215</f>
        <v>3.9</v>
      </c>
      <c r="ED262" s="752">
        <f>INPUT!GC215</f>
        <v>0</v>
      </c>
      <c r="EE262" s="793">
        <f>INPUT!GD215</f>
        <v>5</v>
      </c>
      <c r="EF262" s="752">
        <f>INPUT!GE215</f>
        <v>28.205128205128215</v>
      </c>
      <c r="EG262" s="793">
        <f>INPUT!GF215</f>
        <v>10.5</v>
      </c>
      <c r="EH262" s="752" t="str">
        <f>INPUT!GG215</f>
        <v>NM</v>
      </c>
      <c r="EI262" s="793">
        <f>INPUT!GH215</f>
        <v>14.399999999999999</v>
      </c>
      <c r="EJ262" s="752">
        <f>INPUT!GI215</f>
        <v>37.142857142857125</v>
      </c>
      <c r="EK262" s="793">
        <f>INPUT!GJ215</f>
        <v>0</v>
      </c>
      <c r="EL262" s="752" t="str">
        <f>INPUT!GK215</f>
        <v>NM</v>
      </c>
      <c r="EM262" s="793">
        <f>INPUT!GL215</f>
        <v>0</v>
      </c>
      <c r="EN262" s="752" t="str">
        <f>INPUT!GM215</f>
        <v>NA</v>
      </c>
      <c r="EO262" s="793">
        <f>INPUT!GN215</f>
        <v>0</v>
      </c>
      <c r="EP262" s="752" t="str">
        <f>INPUT!GO215</f>
        <v>NA</v>
      </c>
      <c r="EQ262" s="793">
        <f>INPUT!GP215</f>
        <v>0</v>
      </c>
      <c r="ER262" s="752" t="str">
        <f>INPUT!GQ215</f>
        <v>NA</v>
      </c>
      <c r="ES262" s="793">
        <f>INPUT!GR215</f>
        <v>0</v>
      </c>
      <c r="ET262" s="752" t="str">
        <f>INPUT!GS215</f>
        <v>NA</v>
      </c>
      <c r="EU262" s="756">
        <f>INPUT!GT215</f>
        <v>0</v>
      </c>
      <c r="EV262" s="710"/>
    </row>
    <row r="263" spans="1:152" ht="12.75" hidden="1" customHeight="1" outlineLevel="2" x14ac:dyDescent="0.2">
      <c r="A263" s="754" t="str">
        <f>INPUT!B216</f>
        <v>Total Sales</v>
      </c>
      <c r="B263" s="793">
        <f>INPUT!AS216</f>
        <v>11.700000000000001</v>
      </c>
      <c r="C263" s="756" t="str">
        <f>INPUT!AT216</f>
        <v>NM</v>
      </c>
      <c r="D263" s="793">
        <f>INPUT!AU216</f>
        <v>20</v>
      </c>
      <c r="E263" s="756" t="str">
        <f>INPUT!AV216</f>
        <v>NM</v>
      </c>
      <c r="F263" s="793">
        <f>INPUT!AW216</f>
        <v>25.4</v>
      </c>
      <c r="G263" s="756">
        <f>INPUT!AX216</f>
        <v>2.8340080971659853</v>
      </c>
      <c r="H263" s="793">
        <f>INPUT!AY216</f>
        <v>43.999999999999993</v>
      </c>
      <c r="I263" s="752">
        <f>INPUT!AZ216</f>
        <v>78.13765182186232</v>
      </c>
      <c r="J263" s="793">
        <f>INPUT!BA216</f>
        <v>20.8</v>
      </c>
      <c r="K263" s="752">
        <f>INPUT!BB216</f>
        <v>77.777777777777771</v>
      </c>
      <c r="L263" s="793">
        <f>INPUT!BC216</f>
        <v>27.8</v>
      </c>
      <c r="M263" s="752">
        <f>INPUT!BD216</f>
        <v>39.000000000000014</v>
      </c>
      <c r="N263" s="793">
        <f>INPUT!BE216</f>
        <v>22.2</v>
      </c>
      <c r="O263" s="752">
        <f>INPUT!BF216</f>
        <v>-12.598425196850393</v>
      </c>
      <c r="P263" s="793">
        <f>INPUT!BG216</f>
        <v>34.599999999999994</v>
      </c>
      <c r="Q263" s="752">
        <f>INPUT!BH216</f>
        <v>-21.363636363636363</v>
      </c>
      <c r="R263" s="793">
        <f>INPUT!BI216</f>
        <v>18.700000000000003</v>
      </c>
      <c r="S263" s="752">
        <f>INPUT!BJ216</f>
        <v>-10.096153846153832</v>
      </c>
      <c r="T263" s="793">
        <f>INPUT!BK216</f>
        <v>30.9</v>
      </c>
      <c r="U263" s="752">
        <f>INPUT!BL216</f>
        <v>11.151079136690644</v>
      </c>
      <c r="V263" s="793">
        <f>INPUT!BM216</f>
        <v>22.9</v>
      </c>
      <c r="W263" s="752">
        <f>INPUT!BN216</f>
        <v>0</v>
      </c>
      <c r="X263" s="793">
        <f>INPUT!BO216</f>
        <v>27</v>
      </c>
      <c r="Y263" s="752">
        <f>INPUT!BP216</f>
        <v>0</v>
      </c>
      <c r="Z263" s="793">
        <f>INPUT!BQ216</f>
        <v>19.600000000000001</v>
      </c>
      <c r="AA263" s="752">
        <f>INPUT!BR216</f>
        <v>0</v>
      </c>
      <c r="AB263" s="793">
        <f>INPUT!BS216</f>
        <v>29.5</v>
      </c>
      <c r="AC263" s="752">
        <f>INPUT!BT216</f>
        <v>0</v>
      </c>
      <c r="AD263" s="793">
        <f>INPUT!BU216</f>
        <v>32.1</v>
      </c>
      <c r="AE263" s="752">
        <f>INPUT!BV216</f>
        <v>0</v>
      </c>
      <c r="AF263" s="793">
        <f>INPUT!BW216</f>
        <v>42</v>
      </c>
      <c r="AG263" s="752">
        <f>INPUT!BX216</f>
        <v>0</v>
      </c>
      <c r="AH263" s="793">
        <f>INPUT!BY216</f>
        <v>24.200000000000003</v>
      </c>
      <c r="AI263" s="752">
        <f>INPUT!BZ216</f>
        <v>0</v>
      </c>
      <c r="AJ263" s="793">
        <f>INPUT!CA216</f>
        <v>32.799999999999997</v>
      </c>
      <c r="AK263" s="752">
        <f>INPUT!CB216</f>
        <v>0</v>
      </c>
      <c r="AL263" s="793">
        <f>INPUT!CC216</f>
        <v>29.6</v>
      </c>
      <c r="AM263" s="752">
        <f>INPUT!CD216</f>
        <v>0</v>
      </c>
      <c r="AN263" s="793">
        <f>INPUT!CE216</f>
        <v>32.6</v>
      </c>
      <c r="AO263" s="752">
        <f>INPUT!CF216</f>
        <v>-22.38095238095238</v>
      </c>
      <c r="AP263" s="793">
        <f>INPUT!CG216</f>
        <v>17.600000000000001</v>
      </c>
      <c r="AQ263" s="752">
        <f>INPUT!CH216</f>
        <v>-27.27272727272727</v>
      </c>
      <c r="AR263" s="793">
        <f>INPUT!CI216</f>
        <v>23.699999999999996</v>
      </c>
      <c r="AS263" s="752">
        <f>INPUT!CJ216</f>
        <v>-27.743902439024392</v>
      </c>
      <c r="AT263" s="793">
        <f>INPUT!CK216</f>
        <v>21.299999999999997</v>
      </c>
      <c r="AU263" s="752">
        <f>INPUT!CL216</f>
        <v>-28.040540540540547</v>
      </c>
      <c r="AV263" s="793">
        <f>INPUT!CM216</f>
        <v>27.6</v>
      </c>
      <c r="AW263" s="752">
        <f>INPUT!CN216</f>
        <v>-15.337423312883436</v>
      </c>
      <c r="AX263" s="793">
        <f>INPUT!CO216</f>
        <v>30.8</v>
      </c>
      <c r="AY263" s="752">
        <f>INPUT!CP216</f>
        <v>75</v>
      </c>
      <c r="AZ263" s="793">
        <f>INPUT!CQ216</f>
        <v>24</v>
      </c>
      <c r="BA263" s="752">
        <f>INPUT!CR216</f>
        <v>1.2658227848101555</v>
      </c>
      <c r="BB263" s="793">
        <f>INPUT!CS216</f>
        <v>17</v>
      </c>
      <c r="BC263" s="752">
        <f>INPUT!CT216</f>
        <v>-20.187793427230037</v>
      </c>
      <c r="BD263" s="793">
        <f>INPUT!CU216</f>
        <v>22.3</v>
      </c>
      <c r="BE263" s="752">
        <f>INPUT!CV216</f>
        <v>-19.202898550724633</v>
      </c>
      <c r="BF263" s="793">
        <f>INPUT!CW216</f>
        <v>16.399999999999999</v>
      </c>
      <c r="BG263" s="752">
        <f>INPUT!CX216</f>
        <v>-46.753246753246756</v>
      </c>
      <c r="BH263" s="793">
        <f>INPUT!CY216</f>
        <v>21.700000000000003</v>
      </c>
      <c r="BI263" s="752">
        <f>INPUT!CZ216</f>
        <v>-9.5833333333333215</v>
      </c>
      <c r="BJ263" s="793">
        <f>INPUT!DA216</f>
        <v>17.299999999999997</v>
      </c>
      <c r="BK263" s="752">
        <f>INPUT!DB216</f>
        <v>1.7647058823529349</v>
      </c>
      <c r="BL263" s="793">
        <f>INPUT!DC216</f>
        <v>20.399999999999999</v>
      </c>
      <c r="BM263" s="752">
        <f>INPUT!DD216</f>
        <v>-8.5201793721973225</v>
      </c>
      <c r="BN263" s="793">
        <f>INPUT!DE216</f>
        <v>17.3</v>
      </c>
      <c r="BO263" s="752">
        <f>INPUT!DF216</f>
        <v>5.4878048780487854</v>
      </c>
      <c r="BP263" s="793">
        <f>INPUT!DG216</f>
        <v>21.1</v>
      </c>
      <c r="BQ263" s="752">
        <f>INPUT!DH216</f>
        <v>-2.7649769585253559</v>
      </c>
      <c r="BR263" s="793">
        <f>INPUT!DI216</f>
        <v>21.4</v>
      </c>
      <c r="BS263" s="752">
        <f>INPUT!DJ216</f>
        <v>23.699421965317935</v>
      </c>
      <c r="BT263" s="793">
        <f>INPUT!DK216</f>
        <v>25.3</v>
      </c>
      <c r="BU263" s="752">
        <f>INPUT!DL216</f>
        <v>24.019607843137258</v>
      </c>
      <c r="BV263" s="793">
        <f>INPUT!DM216</f>
        <v>16.700000000000003</v>
      </c>
      <c r="BW263" s="752">
        <f>INPUT!DN216</f>
        <v>-3.4682080924855363</v>
      </c>
      <c r="BX263" s="793">
        <f>INPUT!DO216</f>
        <v>20.5</v>
      </c>
      <c r="BY263" s="752">
        <f>INPUT!DP216</f>
        <v>-2.8436018957346043</v>
      </c>
      <c r="BZ263" s="793">
        <f>INPUT!DQ216</f>
        <v>19.7</v>
      </c>
      <c r="CA263" s="752">
        <f>INPUT!DR216</f>
        <v>-7.9439252336448547</v>
      </c>
      <c r="CB263" s="793">
        <f>INPUT!DS216</f>
        <v>27.200000000000003</v>
      </c>
      <c r="CC263" s="752">
        <f>INPUT!DT216</f>
        <v>7.5098814229249022</v>
      </c>
      <c r="CD263" s="793">
        <f>INPUT!DU216</f>
        <v>18.399999999999999</v>
      </c>
      <c r="CE263" s="752">
        <f>INPUT!DV216</f>
        <v>10.179640718562855</v>
      </c>
      <c r="CF263" s="793">
        <f>INPUT!DW216</f>
        <v>23</v>
      </c>
      <c r="CG263" s="752">
        <f>INPUT!DX216</f>
        <v>12.195121951219523</v>
      </c>
      <c r="CH263" s="793">
        <f>INPUT!DY216</f>
        <v>19.399999999999999</v>
      </c>
      <c r="CI263" s="752">
        <f>INPUT!DZ216</f>
        <v>-1.5228426395939132</v>
      </c>
      <c r="CJ263" s="793">
        <f>INPUT!EA216</f>
        <v>23.7</v>
      </c>
      <c r="CK263" s="752">
        <f>INPUT!EB216</f>
        <v>-12.86764705882354</v>
      </c>
      <c r="CL263" s="793">
        <f>INPUT!EC216</f>
        <v>19.7</v>
      </c>
      <c r="CM263" s="752">
        <f>INPUT!ED216</f>
        <v>7.0652173913043459</v>
      </c>
      <c r="CN263" s="793">
        <f>INPUT!EE216</f>
        <v>25.2</v>
      </c>
      <c r="CO263" s="752">
        <f>INPUT!EF216</f>
        <v>9.565217391304337</v>
      </c>
      <c r="CP263" s="793">
        <f>INPUT!EG216</f>
        <v>16.5</v>
      </c>
      <c r="CQ263" s="752">
        <f>INPUT!EH216</f>
        <v>-14.948453608247414</v>
      </c>
      <c r="CR263" s="793">
        <f>INPUT!EI216</f>
        <v>24.5</v>
      </c>
      <c r="CS263" s="752">
        <f>INPUT!EJ216</f>
        <v>3.3755274261603407</v>
      </c>
      <c r="CT263" s="793">
        <f>INPUT!EK216</f>
        <v>0</v>
      </c>
      <c r="CU263" s="752" t="str">
        <f>INPUT!EL216</f>
        <v>NM</v>
      </c>
      <c r="CV263" s="793">
        <f>INPUT!EM216</f>
        <v>0</v>
      </c>
      <c r="CW263" s="752" t="str">
        <f>INPUT!EN216</f>
        <v>NM</v>
      </c>
      <c r="CX263" s="793">
        <f>INPUT!EO216</f>
        <v>0</v>
      </c>
      <c r="CY263" s="752" t="str">
        <f>INPUT!EP216</f>
        <v>NM</v>
      </c>
      <c r="CZ263" s="793">
        <f>INPUT!EQ216</f>
        <v>0</v>
      </c>
      <c r="DA263" s="752" t="str">
        <f>INPUT!ER216</f>
        <v>NM</v>
      </c>
      <c r="DB263" s="753"/>
      <c r="DC263" s="793">
        <f>INPUT!FB216</f>
        <v>0</v>
      </c>
      <c r="DD263" s="756">
        <f>INPUT!FC216</f>
        <v>0</v>
      </c>
      <c r="DE263" s="793">
        <f>INPUT!FD216</f>
        <v>94.2</v>
      </c>
      <c r="DF263" s="756" t="str">
        <f>INPUT!FE216</f>
        <v>NA</v>
      </c>
      <c r="DG263" s="793">
        <f>INPUT!FF216</f>
        <v>128.6</v>
      </c>
      <c r="DH263" s="756">
        <f>INPUT!FG216</f>
        <v>36.518046709129507</v>
      </c>
      <c r="DI263" s="793">
        <f>INPUT!FH216</f>
        <v>182.49999999999997</v>
      </c>
      <c r="DJ263" s="756">
        <f>INPUT!FI216</f>
        <v>41.912908242612737</v>
      </c>
      <c r="DK263" s="793">
        <f>INPUT!FJ216</f>
        <v>0</v>
      </c>
      <c r="DL263" s="752" t="str">
        <f>INPUT!FK216</f>
        <v>NM</v>
      </c>
      <c r="DM263" s="793">
        <f>INPUT!FL216</f>
        <v>0</v>
      </c>
      <c r="DN263" s="752" t="str">
        <f>INPUT!FM216</f>
        <v>NA</v>
      </c>
      <c r="DO263" s="793">
        <f>INPUT!FN216</f>
        <v>0</v>
      </c>
      <c r="DP263" s="752" t="str">
        <f>INPUT!FO216</f>
        <v>NA</v>
      </c>
      <c r="DQ263" s="793">
        <f>INPUT!FP216</f>
        <v>99.5</v>
      </c>
      <c r="DR263" s="752" t="str">
        <f>INPUT!FQ216</f>
        <v>NA</v>
      </c>
      <c r="DS263" s="793">
        <f>INPUT!FR216</f>
        <v>123.2</v>
      </c>
      <c r="DT263" s="752">
        <f>INPUT!FS216</f>
        <v>23.819095477386941</v>
      </c>
      <c r="DU263" s="793">
        <f>INPUT!FT216</f>
        <v>119.19999999999999</v>
      </c>
      <c r="DV263" s="752">
        <f>INPUT!FU216</f>
        <v>-3.2467532467532534</v>
      </c>
      <c r="DW263" s="793">
        <f>INPUT!FV216</f>
        <v>90.199999999999989</v>
      </c>
      <c r="DX263" s="752">
        <f>INPUT!FW216</f>
        <v>-24.328859060402685</v>
      </c>
      <c r="DY263" s="793">
        <f>INPUT!FX216</f>
        <v>94.1</v>
      </c>
      <c r="DZ263" s="752">
        <f>INPUT!FY216</f>
        <v>4.3237250554323703</v>
      </c>
      <c r="EA263" s="793">
        <f>INPUT!FZ216</f>
        <v>75.800000000000011</v>
      </c>
      <c r="EB263" s="752">
        <f>INPUT!GA216</f>
        <v>-19.447396386822511</v>
      </c>
      <c r="EC263" s="793">
        <f>INPUT!GB216</f>
        <v>85.100000000000009</v>
      </c>
      <c r="ED263" s="752">
        <f>INPUT!GC216</f>
        <v>12.269129287598934</v>
      </c>
      <c r="EE263" s="793">
        <f>INPUT!GD216</f>
        <v>86</v>
      </c>
      <c r="EF263" s="752">
        <f>INPUT!GE216</f>
        <v>1.0575793184488758</v>
      </c>
      <c r="EG263" s="793">
        <f>INPUT!GF216</f>
        <v>84.5</v>
      </c>
      <c r="EH263" s="752">
        <f>INPUT!GG216</f>
        <v>-1.744186046511631</v>
      </c>
      <c r="EI263" s="793">
        <f>INPUT!GH216</f>
        <v>85.9</v>
      </c>
      <c r="EJ263" s="752">
        <f>INPUT!GI216</f>
        <v>1.6568047337278236</v>
      </c>
      <c r="EK263" s="793">
        <f>INPUT!GJ216</f>
        <v>0</v>
      </c>
      <c r="EL263" s="752" t="str">
        <f>INPUT!GK216</f>
        <v>NM</v>
      </c>
      <c r="EM263" s="793">
        <f>INPUT!GL216</f>
        <v>0</v>
      </c>
      <c r="EN263" s="752" t="str">
        <f>INPUT!GM216</f>
        <v>NA</v>
      </c>
      <c r="EO263" s="793">
        <f>INPUT!GN216</f>
        <v>0</v>
      </c>
      <c r="EP263" s="752" t="str">
        <f>INPUT!GO216</f>
        <v>NA</v>
      </c>
      <c r="EQ263" s="793">
        <f>INPUT!GP216</f>
        <v>0</v>
      </c>
      <c r="ER263" s="752" t="str">
        <f>INPUT!GQ216</f>
        <v>NA</v>
      </c>
      <c r="ES263" s="793">
        <f>INPUT!GR216</f>
        <v>0</v>
      </c>
      <c r="ET263" s="752" t="str">
        <f>INPUT!GS216</f>
        <v>NA</v>
      </c>
      <c r="EU263" s="756">
        <f>INPUT!GT216</f>
        <v>0</v>
      </c>
      <c r="EV263" s="710"/>
    </row>
    <row r="264" spans="1:152" ht="12.75" hidden="1" customHeight="1" outlineLevel="2" x14ac:dyDescent="0.2">
      <c r="A264" s="754"/>
      <c r="B264" s="793"/>
      <c r="C264" s="767"/>
      <c r="D264" s="793"/>
      <c r="E264" s="767"/>
      <c r="F264" s="793"/>
      <c r="G264" s="767"/>
      <c r="H264" s="793"/>
      <c r="I264" s="752"/>
      <c r="J264" s="793"/>
      <c r="K264" s="752"/>
      <c r="L264" s="793"/>
      <c r="M264" s="752"/>
      <c r="N264" s="793"/>
      <c r="O264" s="752"/>
      <c r="P264" s="793"/>
      <c r="Q264" s="752"/>
      <c r="R264" s="793"/>
      <c r="S264" s="752"/>
      <c r="T264" s="793"/>
      <c r="U264" s="752"/>
      <c r="V264" s="793"/>
      <c r="W264" s="752"/>
      <c r="X264" s="793"/>
      <c r="Y264" s="752"/>
      <c r="Z264" s="793"/>
      <c r="AA264" s="752"/>
      <c r="AB264" s="793"/>
      <c r="AC264" s="752"/>
      <c r="AD264" s="793"/>
      <c r="AE264" s="752"/>
      <c r="AF264" s="793"/>
      <c r="AG264" s="752"/>
      <c r="AH264" s="793"/>
      <c r="AI264" s="752"/>
      <c r="AJ264" s="793"/>
      <c r="AK264" s="752"/>
      <c r="AL264" s="793"/>
      <c r="AM264" s="752"/>
      <c r="AN264" s="793"/>
      <c r="AO264" s="752"/>
      <c r="AP264" s="793"/>
      <c r="AQ264" s="752"/>
      <c r="AR264" s="793"/>
      <c r="AS264" s="752"/>
      <c r="AT264" s="793"/>
      <c r="AU264" s="752"/>
      <c r="AV264" s="793"/>
      <c r="AW264" s="752"/>
      <c r="AX264" s="793"/>
      <c r="AY264" s="752"/>
      <c r="AZ264" s="793"/>
      <c r="BA264" s="752"/>
      <c r="BB264" s="793"/>
      <c r="BC264" s="752"/>
      <c r="BD264" s="793"/>
      <c r="BE264" s="752"/>
      <c r="BF264" s="793"/>
      <c r="BG264" s="752"/>
      <c r="BH264" s="793"/>
      <c r="BI264" s="752"/>
      <c r="BJ264" s="793"/>
      <c r="BK264" s="752"/>
      <c r="BL264" s="793"/>
      <c r="BM264" s="752"/>
      <c r="BN264" s="793"/>
      <c r="BO264" s="752"/>
      <c r="BP264" s="793"/>
      <c r="BQ264" s="752"/>
      <c r="BR264" s="793"/>
      <c r="BS264" s="752"/>
      <c r="BT264" s="793"/>
      <c r="BU264" s="752"/>
      <c r="BV264" s="793"/>
      <c r="BW264" s="752"/>
      <c r="BX264" s="793"/>
      <c r="BY264" s="752"/>
      <c r="BZ264" s="793"/>
      <c r="CA264" s="752"/>
      <c r="CB264" s="793"/>
      <c r="CC264" s="752"/>
      <c r="CD264" s="793"/>
      <c r="CE264" s="752"/>
      <c r="CF264" s="793"/>
      <c r="CG264" s="752"/>
      <c r="CH264" s="793"/>
      <c r="CI264" s="752"/>
      <c r="CJ264" s="793"/>
      <c r="CK264" s="752"/>
      <c r="CL264" s="793"/>
      <c r="CM264" s="752"/>
      <c r="CN264" s="793"/>
      <c r="CO264" s="752"/>
      <c r="CP264" s="793"/>
      <c r="CQ264" s="752"/>
      <c r="CR264" s="793"/>
      <c r="CS264" s="752"/>
      <c r="CT264" s="793"/>
      <c r="CU264" s="752"/>
      <c r="CV264" s="793"/>
      <c r="CW264" s="752"/>
      <c r="CX264" s="793"/>
      <c r="CY264" s="752"/>
      <c r="CZ264" s="793"/>
      <c r="DA264" s="752"/>
      <c r="DB264" s="753"/>
      <c r="DC264" s="793"/>
      <c r="DD264" s="767"/>
      <c r="DE264" s="793"/>
      <c r="DF264" s="767"/>
      <c r="DG264" s="793"/>
      <c r="DH264" s="767"/>
      <c r="DI264" s="793"/>
      <c r="DJ264" s="767"/>
      <c r="DK264" s="793"/>
      <c r="DL264" s="752"/>
      <c r="DM264" s="793"/>
      <c r="DN264" s="752"/>
      <c r="DO264" s="793"/>
      <c r="DP264" s="752"/>
      <c r="DQ264" s="793"/>
      <c r="DR264" s="752"/>
      <c r="DS264" s="793"/>
      <c r="DT264" s="752"/>
      <c r="DU264" s="793"/>
      <c r="DV264" s="752"/>
      <c r="DW264" s="793"/>
      <c r="DX264" s="752"/>
      <c r="DY264" s="793"/>
      <c r="DZ264" s="752"/>
      <c r="EA264" s="793"/>
      <c r="EB264" s="752"/>
      <c r="EC264" s="793"/>
      <c r="ED264" s="752"/>
      <c r="EE264" s="793"/>
      <c r="EF264" s="752"/>
      <c r="EG264" s="793"/>
      <c r="EH264" s="752"/>
      <c r="EI264" s="793"/>
      <c r="EJ264" s="752"/>
      <c r="EK264" s="793"/>
      <c r="EL264" s="752"/>
      <c r="EM264" s="793"/>
      <c r="EN264" s="752"/>
      <c r="EO264" s="793"/>
      <c r="EP264" s="752"/>
      <c r="EQ264" s="793"/>
      <c r="ER264" s="752"/>
      <c r="ES264" s="793"/>
      <c r="ET264" s="752"/>
      <c r="EU264" s="767"/>
      <c r="EV264" s="710"/>
    </row>
    <row r="265" spans="1:152" ht="12.75" hidden="1" customHeight="1" outlineLevel="1" collapsed="1" x14ac:dyDescent="0.2">
      <c r="A265" s="803" t="str">
        <f>+A47</f>
        <v>Quarterly income statement ratios are annualized where appropriate     E = Morgan Stanley Research Estimates      NM = Not Meaningful       NA = Not Applicable              CAGR = Cumulative Average Growth Rate</v>
      </c>
      <c r="B265" s="750"/>
      <c r="C265" s="767"/>
      <c r="D265" s="750"/>
      <c r="E265" s="767"/>
      <c r="F265" s="750"/>
      <c r="G265" s="767"/>
      <c r="H265" s="750"/>
      <c r="I265" s="752"/>
      <c r="J265" s="750"/>
      <c r="K265" s="752"/>
      <c r="L265" s="750"/>
      <c r="M265" s="752"/>
      <c r="N265" s="750"/>
      <c r="O265" s="752"/>
      <c r="P265" s="750"/>
      <c r="Q265" s="752"/>
      <c r="R265" s="750"/>
      <c r="S265" s="752"/>
      <c r="T265" s="750"/>
      <c r="U265" s="752"/>
      <c r="V265" s="750"/>
      <c r="W265" s="752"/>
      <c r="X265" s="750"/>
      <c r="Y265" s="752"/>
      <c r="Z265" s="750"/>
      <c r="AA265" s="752"/>
      <c r="AB265" s="750"/>
      <c r="AC265" s="752"/>
      <c r="AD265" s="750"/>
      <c r="AE265" s="752"/>
      <c r="AF265" s="750"/>
      <c r="AG265" s="752"/>
      <c r="AH265" s="750"/>
      <c r="AI265" s="752"/>
      <c r="AJ265" s="750"/>
      <c r="AK265" s="752"/>
      <c r="AL265" s="750"/>
      <c r="AM265" s="752"/>
      <c r="AN265" s="750"/>
      <c r="AO265" s="752"/>
      <c r="AP265" s="750"/>
      <c r="AQ265" s="752"/>
      <c r="AR265" s="750"/>
      <c r="AS265" s="752"/>
      <c r="AT265" s="750"/>
      <c r="AU265" s="752"/>
      <c r="AV265" s="750"/>
      <c r="AW265" s="752"/>
      <c r="AX265" s="750"/>
      <c r="AY265" s="752"/>
      <c r="AZ265" s="750"/>
      <c r="BA265" s="752"/>
      <c r="BB265" s="750"/>
      <c r="BC265" s="752"/>
      <c r="BD265" s="750"/>
      <c r="BE265" s="752"/>
      <c r="BF265" s="750"/>
      <c r="BG265" s="752"/>
      <c r="BH265" s="750"/>
      <c r="BI265" s="752"/>
      <c r="BJ265" s="750"/>
      <c r="BK265" s="752"/>
      <c r="BL265" s="750"/>
      <c r="BM265" s="752"/>
      <c r="BN265" s="750"/>
      <c r="BO265" s="752"/>
      <c r="BP265" s="750"/>
      <c r="BQ265" s="752"/>
      <c r="BR265" s="750"/>
      <c r="BS265" s="752"/>
      <c r="BT265" s="750"/>
      <c r="BU265" s="752"/>
      <c r="BV265" s="750"/>
      <c r="BW265" s="752"/>
      <c r="BX265" s="750"/>
      <c r="BY265" s="752"/>
      <c r="BZ265" s="750"/>
      <c r="CA265" s="752"/>
      <c r="CB265" s="750"/>
      <c r="CC265" s="752"/>
      <c r="CD265" s="750"/>
      <c r="CE265" s="752"/>
      <c r="CF265" s="750"/>
      <c r="CG265" s="752"/>
      <c r="CH265" s="750"/>
      <c r="CI265" s="752"/>
      <c r="CJ265" s="750"/>
      <c r="CK265" s="752"/>
      <c r="CL265" s="750"/>
      <c r="CM265" s="752"/>
      <c r="CN265" s="750"/>
      <c r="CO265" s="752"/>
      <c r="CP265" s="750"/>
      <c r="CQ265" s="752"/>
      <c r="CR265" s="750"/>
      <c r="CS265" s="752"/>
      <c r="CT265" s="750"/>
      <c r="CU265" s="752"/>
      <c r="CV265" s="750"/>
      <c r="CW265" s="752"/>
      <c r="CX265" s="750"/>
      <c r="CY265" s="752"/>
      <c r="CZ265" s="750"/>
      <c r="DA265" s="752"/>
      <c r="DB265" s="753"/>
      <c r="DC265" s="750"/>
      <c r="DD265" s="767"/>
      <c r="DE265" s="750"/>
      <c r="DF265" s="767"/>
      <c r="DG265" s="750"/>
      <c r="DH265" s="767"/>
      <c r="DI265" s="750"/>
      <c r="DJ265" s="767"/>
      <c r="DK265" s="750"/>
      <c r="DL265" s="752"/>
      <c r="DM265" s="750"/>
      <c r="DN265" s="752"/>
      <c r="DO265" s="750"/>
      <c r="DP265" s="752"/>
      <c r="DQ265" s="750"/>
      <c r="DR265" s="752"/>
      <c r="DS265" s="750"/>
      <c r="DT265" s="752"/>
      <c r="DU265" s="750"/>
      <c r="DV265" s="752"/>
      <c r="DW265" s="750"/>
      <c r="DX265" s="752"/>
      <c r="DY265" s="750"/>
      <c r="DZ265" s="752"/>
      <c r="EA265" s="750"/>
      <c r="EB265" s="752"/>
      <c r="EC265" s="750"/>
      <c r="ED265" s="752"/>
      <c r="EE265" s="750"/>
      <c r="EF265" s="752"/>
      <c r="EG265" s="750"/>
      <c r="EH265" s="752"/>
      <c r="EI265" s="750"/>
      <c r="EJ265" s="752"/>
      <c r="EK265" s="750"/>
      <c r="EL265" s="752"/>
      <c r="EM265" s="750"/>
      <c r="EN265" s="752"/>
      <c r="EO265" s="750"/>
      <c r="EP265" s="752"/>
      <c r="EQ265" s="750"/>
      <c r="ER265" s="752"/>
      <c r="ES265" s="750"/>
      <c r="ET265" s="752"/>
      <c r="EU265" s="767"/>
      <c r="EV265" s="710"/>
    </row>
    <row r="266" spans="1:152" ht="12.75" hidden="1" customHeight="1" outlineLevel="1" x14ac:dyDescent="0.2">
      <c r="A266" s="803" t="s">
        <v>280</v>
      </c>
      <c r="B266" s="750"/>
      <c r="C266" s="767"/>
      <c r="D266" s="750"/>
      <c r="E266" s="767"/>
      <c r="F266" s="750"/>
      <c r="G266" s="767"/>
      <c r="H266" s="750"/>
      <c r="I266" s="752"/>
      <c r="J266" s="750"/>
      <c r="K266" s="752"/>
      <c r="L266" s="750"/>
      <c r="M266" s="752"/>
      <c r="N266" s="750"/>
      <c r="O266" s="752"/>
      <c r="P266" s="750"/>
      <c r="Q266" s="752"/>
      <c r="R266" s="750"/>
      <c r="S266" s="752"/>
      <c r="T266" s="750"/>
      <c r="U266" s="752"/>
      <c r="V266" s="750"/>
      <c r="W266" s="752"/>
      <c r="X266" s="750"/>
      <c r="Y266" s="752"/>
      <c r="Z266" s="750"/>
      <c r="AA266" s="752"/>
      <c r="AB266" s="750"/>
      <c r="AC266" s="752"/>
      <c r="AD266" s="750"/>
      <c r="AE266" s="752"/>
      <c r="AF266" s="750"/>
      <c r="AG266" s="752"/>
      <c r="AH266" s="750"/>
      <c r="AI266" s="752"/>
      <c r="AJ266" s="750"/>
      <c r="AK266" s="752"/>
      <c r="AL266" s="750"/>
      <c r="AM266" s="752"/>
      <c r="AN266" s="750"/>
      <c r="AO266" s="752"/>
      <c r="AP266" s="750"/>
      <c r="AQ266" s="752"/>
      <c r="AR266" s="750"/>
      <c r="AS266" s="752"/>
      <c r="AT266" s="750"/>
      <c r="AU266" s="752"/>
      <c r="AV266" s="750"/>
      <c r="AW266" s="752"/>
      <c r="AX266" s="750"/>
      <c r="AY266" s="752"/>
      <c r="AZ266" s="750"/>
      <c r="BA266" s="752"/>
      <c r="BB266" s="750"/>
      <c r="BC266" s="752"/>
      <c r="BD266" s="750"/>
      <c r="BE266" s="752"/>
      <c r="BF266" s="750"/>
      <c r="BG266" s="752"/>
      <c r="BH266" s="750"/>
      <c r="BI266" s="752"/>
      <c r="BJ266" s="750"/>
      <c r="BK266" s="752"/>
      <c r="BL266" s="750"/>
      <c r="BM266" s="752"/>
      <c r="BN266" s="750"/>
      <c r="BO266" s="752"/>
      <c r="BP266" s="750"/>
      <c r="BQ266" s="752"/>
      <c r="BR266" s="750"/>
      <c r="BS266" s="752"/>
      <c r="BT266" s="750"/>
      <c r="BU266" s="752"/>
      <c r="BV266" s="750"/>
      <c r="BW266" s="752"/>
      <c r="BX266" s="750"/>
      <c r="BY266" s="752"/>
      <c r="BZ266" s="750"/>
      <c r="CA266" s="752"/>
      <c r="CB266" s="750"/>
      <c r="CC266" s="752"/>
      <c r="CD266" s="750"/>
      <c r="CE266" s="752"/>
      <c r="CF266" s="750"/>
      <c r="CG266" s="752"/>
      <c r="CH266" s="750"/>
      <c r="CI266" s="752"/>
      <c r="CJ266" s="750"/>
      <c r="CK266" s="752"/>
      <c r="CL266" s="750"/>
      <c r="CM266" s="752"/>
      <c r="CN266" s="750"/>
      <c r="CO266" s="752"/>
      <c r="CP266" s="750"/>
      <c r="CQ266" s="752"/>
      <c r="CR266" s="750"/>
      <c r="CS266" s="752"/>
      <c r="CT266" s="750"/>
      <c r="CU266" s="752"/>
      <c r="CV266" s="750"/>
      <c r="CW266" s="752"/>
      <c r="CX266" s="750"/>
      <c r="CY266" s="752"/>
      <c r="CZ266" s="750"/>
      <c r="DA266" s="752"/>
      <c r="DB266" s="753"/>
      <c r="DC266" s="750"/>
      <c r="DD266" s="767"/>
      <c r="DE266" s="750"/>
      <c r="DF266" s="767"/>
      <c r="DG266" s="750"/>
      <c r="DH266" s="767"/>
      <c r="DI266" s="750"/>
      <c r="DJ266" s="767"/>
      <c r="DK266" s="750"/>
      <c r="DL266" s="752"/>
      <c r="DM266" s="750"/>
      <c r="DN266" s="752"/>
      <c r="DO266" s="750"/>
      <c r="DP266" s="752"/>
      <c r="DQ266" s="750"/>
      <c r="DR266" s="752"/>
      <c r="DS266" s="750"/>
      <c r="DT266" s="752"/>
      <c r="DU266" s="750"/>
      <c r="DV266" s="752"/>
      <c r="DW266" s="750"/>
      <c r="DX266" s="752"/>
      <c r="DY266" s="750"/>
      <c r="DZ266" s="752"/>
      <c r="EA266" s="750"/>
      <c r="EB266" s="752"/>
      <c r="EC266" s="750"/>
      <c r="ED266" s="752"/>
      <c r="EE266" s="750"/>
      <c r="EF266" s="752"/>
      <c r="EG266" s="750"/>
      <c r="EH266" s="752"/>
      <c r="EI266" s="750"/>
      <c r="EJ266" s="752"/>
      <c r="EK266" s="750"/>
      <c r="EL266" s="752"/>
      <c r="EM266" s="750"/>
      <c r="EN266" s="752"/>
      <c r="EO266" s="750"/>
      <c r="EP266" s="752"/>
      <c r="EQ266" s="750"/>
      <c r="ER266" s="752"/>
      <c r="ES266" s="750"/>
      <c r="ET266" s="752"/>
      <c r="EU266" s="767"/>
      <c r="EV266" s="710"/>
    </row>
    <row r="267" spans="1:152" s="722" customFormat="1" ht="12.75" hidden="1" customHeight="1" outlineLevel="1" x14ac:dyDescent="0.2">
      <c r="A267" s="813"/>
      <c r="B267" s="798"/>
      <c r="C267" s="799"/>
      <c r="D267" s="798"/>
      <c r="E267" s="799"/>
      <c r="F267" s="798"/>
      <c r="G267" s="799"/>
      <c r="H267" s="798"/>
      <c r="I267" s="800"/>
      <c r="J267" s="798"/>
      <c r="K267" s="800"/>
      <c r="L267" s="798"/>
      <c r="M267" s="800"/>
      <c r="N267" s="798"/>
      <c r="O267" s="800"/>
      <c r="P267" s="798"/>
      <c r="Q267" s="800"/>
      <c r="R267" s="798"/>
      <c r="S267" s="800"/>
      <c r="T267" s="798"/>
      <c r="U267" s="800"/>
      <c r="V267" s="798"/>
      <c r="W267" s="800"/>
      <c r="X267" s="798"/>
      <c r="Y267" s="800"/>
      <c r="Z267" s="798"/>
      <c r="AA267" s="800"/>
      <c r="AB267" s="798"/>
      <c r="AC267" s="800"/>
      <c r="AD267" s="798"/>
      <c r="AE267" s="800"/>
      <c r="AF267" s="798"/>
      <c r="AG267" s="800"/>
      <c r="AH267" s="798"/>
      <c r="AI267" s="800"/>
      <c r="AJ267" s="798"/>
      <c r="AK267" s="800"/>
      <c r="AL267" s="798"/>
      <c r="AM267" s="800"/>
      <c r="AN267" s="798"/>
      <c r="AO267" s="800"/>
      <c r="AP267" s="798"/>
      <c r="AQ267" s="800"/>
      <c r="AR267" s="798"/>
      <c r="AS267" s="800"/>
      <c r="AT267" s="798"/>
      <c r="AU267" s="800"/>
      <c r="AV267" s="798"/>
      <c r="AW267" s="800"/>
      <c r="AX267" s="798"/>
      <c r="AY267" s="800"/>
      <c r="AZ267" s="798"/>
      <c r="BA267" s="800"/>
      <c r="BB267" s="798"/>
      <c r="BC267" s="800"/>
      <c r="BD267" s="798"/>
      <c r="BE267" s="800"/>
      <c r="BF267" s="798"/>
      <c r="BG267" s="800"/>
      <c r="BH267" s="798"/>
      <c r="BI267" s="800"/>
      <c r="BJ267" s="798"/>
      <c r="BK267" s="800"/>
      <c r="BL267" s="798"/>
      <c r="BM267" s="800"/>
      <c r="BN267" s="798"/>
      <c r="BO267" s="800"/>
      <c r="BP267" s="798"/>
      <c r="BQ267" s="800"/>
      <c r="BR267" s="798"/>
      <c r="BS267" s="800"/>
      <c r="BT267" s="798"/>
      <c r="BU267" s="800"/>
      <c r="BV267" s="798"/>
      <c r="BW267" s="800"/>
      <c r="BX267" s="798"/>
      <c r="BY267" s="800"/>
      <c r="BZ267" s="798"/>
      <c r="CA267" s="800"/>
      <c r="CB267" s="798"/>
      <c r="CC267" s="800"/>
      <c r="CD267" s="798"/>
      <c r="CE267" s="800"/>
      <c r="CF267" s="798"/>
      <c r="CG267" s="800"/>
      <c r="CH267" s="798"/>
      <c r="CI267" s="800"/>
      <c r="CJ267" s="798"/>
      <c r="CK267" s="800"/>
      <c r="CL267" s="798"/>
      <c r="CM267" s="800"/>
      <c r="CN267" s="798"/>
      <c r="CO267" s="800"/>
      <c r="CP267" s="798"/>
      <c r="CQ267" s="800"/>
      <c r="CR267" s="798"/>
      <c r="CS267" s="800"/>
      <c r="CT267" s="798"/>
      <c r="CU267" s="800"/>
      <c r="CV267" s="798"/>
      <c r="CW267" s="800"/>
      <c r="CX267" s="798"/>
      <c r="CY267" s="800"/>
      <c r="CZ267" s="798"/>
      <c r="DA267" s="800"/>
      <c r="DB267" s="801"/>
      <c r="DC267" s="798"/>
      <c r="DD267" s="799"/>
      <c r="DE267" s="798"/>
      <c r="DF267" s="799"/>
      <c r="DG267" s="798"/>
      <c r="DH267" s="799"/>
      <c r="DI267" s="798"/>
      <c r="DJ267" s="799"/>
      <c r="DK267" s="798"/>
      <c r="DL267" s="800"/>
      <c r="DM267" s="798"/>
      <c r="DN267" s="800"/>
      <c r="DO267" s="798"/>
      <c r="DP267" s="800"/>
      <c r="DQ267" s="798"/>
      <c r="DR267" s="800"/>
      <c r="DS267" s="798"/>
      <c r="DT267" s="800"/>
      <c r="DU267" s="798"/>
      <c r="DV267" s="800"/>
      <c r="DW267" s="798"/>
      <c r="DX267" s="800"/>
      <c r="DY267" s="798"/>
      <c r="DZ267" s="800"/>
      <c r="EA267" s="798"/>
      <c r="EB267" s="800"/>
      <c r="EC267" s="798"/>
      <c r="ED267" s="800"/>
      <c r="EE267" s="798"/>
      <c r="EF267" s="800"/>
      <c r="EG267" s="798"/>
      <c r="EH267" s="800"/>
      <c r="EI267" s="798"/>
      <c r="EJ267" s="800"/>
      <c r="EK267" s="798"/>
      <c r="EL267" s="800"/>
      <c r="EM267" s="798"/>
      <c r="EN267" s="800"/>
      <c r="EO267" s="798"/>
      <c r="EP267" s="800"/>
      <c r="EQ267" s="798"/>
      <c r="ER267" s="800"/>
      <c r="ES267" s="798"/>
      <c r="ET267" s="800"/>
      <c r="EU267" s="799"/>
      <c r="EV267" s="721"/>
    </row>
    <row r="268" spans="1:152" ht="21.95" hidden="1" customHeight="1" outlineLevel="1" x14ac:dyDescent="0.25">
      <c r="A268" s="709" t="str">
        <f>INPUT!$B$4</f>
        <v>Unum Group</v>
      </c>
      <c r="B268" s="728"/>
      <c r="C268" s="729"/>
      <c r="D268" s="728"/>
      <c r="E268" s="729"/>
      <c r="F268" s="728"/>
      <c r="G268" s="729"/>
      <c r="H268" s="728"/>
      <c r="I268" s="730"/>
      <c r="J268" s="728"/>
      <c r="K268" s="730"/>
      <c r="L268" s="728"/>
      <c r="M268" s="730"/>
      <c r="N268" s="728"/>
      <c r="O268" s="730"/>
      <c r="P268" s="728"/>
      <c r="Q268" s="730"/>
      <c r="R268" s="728"/>
      <c r="S268" s="730"/>
      <c r="T268" s="728"/>
      <c r="U268" s="730"/>
      <c r="V268" s="728"/>
      <c r="W268" s="730"/>
      <c r="X268" s="728"/>
      <c r="Y268" s="730"/>
      <c r="Z268" s="728"/>
      <c r="AA268" s="730"/>
      <c r="AB268" s="728"/>
      <c r="AC268" s="730"/>
      <c r="AD268" s="728"/>
      <c r="AE268" s="730"/>
      <c r="AF268" s="728"/>
      <c r="AG268" s="730"/>
      <c r="AH268" s="728"/>
      <c r="AI268" s="730"/>
      <c r="AJ268" s="728"/>
      <c r="AK268" s="730"/>
      <c r="AL268" s="728"/>
      <c r="AM268" s="730"/>
      <c r="AN268" s="728"/>
      <c r="AO268" s="730"/>
      <c r="AP268" s="728"/>
      <c r="AQ268" s="730"/>
      <c r="AR268" s="728"/>
      <c r="AS268" s="730"/>
      <c r="AT268" s="728"/>
      <c r="AU268" s="730"/>
      <c r="AV268" s="728"/>
      <c r="AW268" s="730"/>
      <c r="AX268" s="728"/>
      <c r="AY268" s="730"/>
      <c r="AZ268" s="728"/>
      <c r="BA268" s="730"/>
      <c r="BB268" s="728"/>
      <c r="BC268" s="730"/>
      <c r="BD268" s="728"/>
      <c r="BE268" s="730"/>
      <c r="BF268" s="728"/>
      <c r="BG268" s="730"/>
      <c r="BH268" s="728"/>
      <c r="BI268" s="730"/>
      <c r="BJ268" s="728"/>
      <c r="BK268" s="730"/>
      <c r="BL268" s="728"/>
      <c r="BM268" s="730"/>
      <c r="BN268" s="728"/>
      <c r="BO268" s="730"/>
      <c r="BP268" s="728"/>
      <c r="BQ268" s="730"/>
      <c r="BR268" s="728"/>
      <c r="BS268" s="730"/>
      <c r="BT268" s="728"/>
      <c r="BU268" s="730"/>
      <c r="BV268" s="728"/>
      <c r="BW268" s="730"/>
      <c r="BX268" s="728"/>
      <c r="BY268" s="730"/>
      <c r="BZ268" s="728"/>
      <c r="CA268" s="730"/>
      <c r="CB268" s="728"/>
      <c r="CC268" s="730"/>
      <c r="CD268" s="728"/>
      <c r="CE268" s="730"/>
      <c r="CF268" s="728"/>
      <c r="CG268" s="730"/>
      <c r="CH268" s="728"/>
      <c r="CI268" s="730"/>
      <c r="CJ268" s="728"/>
      <c r="CK268" s="730"/>
      <c r="CL268" s="728"/>
      <c r="CM268" s="730"/>
      <c r="CN268" s="728"/>
      <c r="CO268" s="730"/>
      <c r="CP268" s="728"/>
      <c r="CQ268" s="730"/>
      <c r="CR268" s="728"/>
      <c r="CS268" s="730"/>
      <c r="CT268" s="728"/>
      <c r="CU268" s="730"/>
      <c r="CV268" s="728"/>
      <c r="CW268" s="730"/>
      <c r="CX268" s="728"/>
      <c r="CY268" s="730"/>
      <c r="CZ268" s="728"/>
      <c r="DA268" s="730"/>
      <c r="DB268" s="730"/>
      <c r="DC268" s="728"/>
      <c r="DD268" s="729"/>
      <c r="DE268" s="728"/>
      <c r="DF268" s="729"/>
      <c r="DG268" s="728"/>
      <c r="DH268" s="729"/>
      <c r="DI268" s="728"/>
      <c r="DJ268" s="729"/>
      <c r="DK268" s="728"/>
      <c r="DL268" s="730"/>
      <c r="DM268" s="728"/>
      <c r="DN268" s="730"/>
      <c r="DO268" s="728"/>
      <c r="DP268" s="730"/>
      <c r="DQ268" s="728"/>
      <c r="DR268" s="730"/>
      <c r="DS268" s="728"/>
      <c r="DT268" s="730"/>
      <c r="DU268" s="728"/>
      <c r="DV268" s="730"/>
      <c r="DW268" s="728"/>
      <c r="DX268" s="730"/>
      <c r="DY268" s="728"/>
      <c r="DZ268" s="730"/>
      <c r="EA268" s="728"/>
      <c r="EB268" s="730"/>
      <c r="EC268" s="728"/>
      <c r="ED268" s="730"/>
      <c r="EE268" s="728"/>
      <c r="EF268" s="730"/>
      <c r="EG268" s="728"/>
      <c r="EH268" s="730"/>
      <c r="EI268" s="728"/>
      <c r="EJ268" s="730"/>
      <c r="EK268" s="728"/>
      <c r="EL268" s="730"/>
      <c r="EM268" s="728"/>
      <c r="EN268" s="730"/>
      <c r="EO268" s="728"/>
      <c r="EP268" s="730"/>
      <c r="EQ268" s="728"/>
      <c r="ER268" s="730"/>
      <c r="ES268" s="728"/>
      <c r="ET268" s="730"/>
      <c r="EU268" s="729"/>
      <c r="EV268" s="710"/>
    </row>
    <row r="269" spans="1:152" ht="12.75" hidden="1" customHeight="1" outlineLevel="1" x14ac:dyDescent="0.2">
      <c r="A269" s="731" t="s">
        <v>533</v>
      </c>
      <c r="B269" s="732"/>
      <c r="C269" s="733"/>
      <c r="D269" s="732"/>
      <c r="E269" s="733"/>
      <c r="F269" s="732"/>
      <c r="G269" s="733"/>
      <c r="H269" s="732"/>
      <c r="I269" s="734"/>
      <c r="J269" s="732"/>
      <c r="K269" s="734"/>
      <c r="L269" s="732"/>
      <c r="M269" s="734"/>
      <c r="N269" s="732"/>
      <c r="O269" s="734"/>
      <c r="P269" s="732"/>
      <c r="Q269" s="734"/>
      <c r="R269" s="732"/>
      <c r="S269" s="734"/>
      <c r="T269" s="732"/>
      <c r="U269" s="734"/>
      <c r="V269" s="732"/>
      <c r="W269" s="734"/>
      <c r="X269" s="732"/>
      <c r="Y269" s="734"/>
      <c r="Z269" s="732"/>
      <c r="AA269" s="734"/>
      <c r="AB269" s="732"/>
      <c r="AC269" s="734"/>
      <c r="AD269" s="732"/>
      <c r="AE269" s="734"/>
      <c r="AF269" s="732"/>
      <c r="AG269" s="734"/>
      <c r="AH269" s="732"/>
      <c r="AI269" s="734"/>
      <c r="AJ269" s="732"/>
      <c r="AK269" s="734"/>
      <c r="AL269" s="732"/>
      <c r="AM269" s="734"/>
      <c r="AN269" s="732"/>
      <c r="AO269" s="734"/>
      <c r="AP269" s="732"/>
      <c r="AQ269" s="734"/>
      <c r="AR269" s="732"/>
      <c r="AS269" s="734"/>
      <c r="AT269" s="732"/>
      <c r="AU269" s="734"/>
      <c r="AV269" s="732"/>
      <c r="AW269" s="734"/>
      <c r="AX269" s="732"/>
      <c r="AY269" s="734"/>
      <c r="AZ269" s="732"/>
      <c r="BA269" s="734"/>
      <c r="BB269" s="732"/>
      <c r="BC269" s="734"/>
      <c r="BD269" s="732"/>
      <c r="BE269" s="734"/>
      <c r="BF269" s="732"/>
      <c r="BG269" s="734"/>
      <c r="BH269" s="732"/>
      <c r="BI269" s="734"/>
      <c r="BJ269" s="732"/>
      <c r="BK269" s="734"/>
      <c r="BL269" s="732"/>
      <c r="BM269" s="734"/>
      <c r="BN269" s="732"/>
      <c r="BO269" s="734"/>
      <c r="BP269" s="732"/>
      <c r="BQ269" s="734"/>
      <c r="BR269" s="732"/>
      <c r="BS269" s="734"/>
      <c r="BT269" s="732"/>
      <c r="BU269" s="734"/>
      <c r="BV269" s="732"/>
      <c r="BW269" s="734"/>
      <c r="BX269" s="732"/>
      <c r="BY269" s="734"/>
      <c r="BZ269" s="732"/>
      <c r="CA269" s="734"/>
      <c r="CB269" s="732"/>
      <c r="CC269" s="734"/>
      <c r="CD269" s="732"/>
      <c r="CE269" s="734"/>
      <c r="CF269" s="732"/>
      <c r="CG269" s="734"/>
      <c r="CH269" s="732"/>
      <c r="CI269" s="734"/>
      <c r="CJ269" s="732"/>
      <c r="CK269" s="734"/>
      <c r="CL269" s="732"/>
      <c r="CM269" s="734"/>
      <c r="CN269" s="732"/>
      <c r="CO269" s="734"/>
      <c r="CP269" s="732"/>
      <c r="CQ269" s="734"/>
      <c r="CR269" s="732"/>
      <c r="CS269" s="734"/>
      <c r="CT269" s="732"/>
      <c r="CU269" s="734"/>
      <c r="CV269" s="732"/>
      <c r="CW269" s="734"/>
      <c r="CX269" s="732"/>
      <c r="CY269" s="734"/>
      <c r="CZ269" s="732"/>
      <c r="DA269" s="734"/>
      <c r="DB269" s="734"/>
      <c r="DC269" s="732"/>
      <c r="DD269" s="733"/>
      <c r="DE269" s="732"/>
      <c r="DF269" s="733"/>
      <c r="DG269" s="732"/>
      <c r="DH269" s="733"/>
      <c r="DI269" s="732"/>
      <c r="DJ269" s="733"/>
      <c r="DK269" s="732"/>
      <c r="DL269" s="734"/>
      <c r="DM269" s="732"/>
      <c r="DN269" s="734"/>
      <c r="DO269" s="732"/>
      <c r="DP269" s="734"/>
      <c r="DQ269" s="732"/>
      <c r="DR269" s="734"/>
      <c r="DS269" s="732"/>
      <c r="DT269" s="734"/>
      <c r="DU269" s="732"/>
      <c r="DV269" s="734"/>
      <c r="DW269" s="732"/>
      <c r="DX269" s="734"/>
      <c r="DY269" s="732"/>
      <c r="DZ269" s="734"/>
      <c r="EA269" s="732"/>
      <c r="EB269" s="734"/>
      <c r="EC269" s="732"/>
      <c r="ED269" s="734"/>
      <c r="EE269" s="732"/>
      <c r="EF269" s="734"/>
      <c r="EG269" s="732"/>
      <c r="EH269" s="734"/>
      <c r="EI269" s="732"/>
      <c r="EJ269" s="734"/>
      <c r="EK269" s="732"/>
      <c r="EL269" s="734"/>
      <c r="EM269" s="732"/>
      <c r="EN269" s="734"/>
      <c r="EO269" s="732"/>
      <c r="EP269" s="734"/>
      <c r="EQ269" s="732"/>
      <c r="ER269" s="734"/>
      <c r="ES269" s="732"/>
      <c r="ET269" s="734"/>
      <c r="EU269" s="733"/>
      <c r="EV269" s="710"/>
    </row>
    <row r="270" spans="1:152" ht="12.75" hidden="1" customHeight="1" outlineLevel="1" x14ac:dyDescent="0.2">
      <c r="A270" s="712" t="str">
        <f>A$3</f>
        <v>($Millions Except Per Share Data)</v>
      </c>
      <c r="B270" s="736"/>
      <c r="C270" s="737" t="str">
        <f>C$3</f>
        <v>1Q06/</v>
      </c>
      <c r="D270" s="736"/>
      <c r="E270" s="737" t="str">
        <f>E$3</f>
        <v>2Q06/</v>
      </c>
      <c r="F270" s="736"/>
      <c r="G270" s="737" t="str">
        <f>G$3</f>
        <v>3Q06/</v>
      </c>
      <c r="H270" s="736"/>
      <c r="I270" s="738" t="str">
        <f>I$3</f>
        <v>4Q06/</v>
      </c>
      <c r="J270" s="736"/>
      <c r="K270" s="738" t="str">
        <f>K$3</f>
        <v>1Q07/</v>
      </c>
      <c r="L270" s="736"/>
      <c r="M270" s="738" t="str">
        <f>M$3</f>
        <v>2Q07/</v>
      </c>
      <c r="N270" s="736"/>
      <c r="O270" s="738" t="str">
        <f>O$3</f>
        <v>3Q07/</v>
      </c>
      <c r="P270" s="736"/>
      <c r="Q270" s="738" t="str">
        <f>Q$3</f>
        <v>4Q07/</v>
      </c>
      <c r="R270" s="736"/>
      <c r="S270" s="738" t="str">
        <f>S$3</f>
        <v>1Q08/</v>
      </c>
      <c r="T270" s="736"/>
      <c r="U270" s="738" t="str">
        <f>U$3</f>
        <v>2Q08/</v>
      </c>
      <c r="V270" s="736"/>
      <c r="W270" s="738" t="str">
        <f>W$3</f>
        <v>3Q08/</v>
      </c>
      <c r="X270" s="736"/>
      <c r="Y270" s="738" t="str">
        <f>Y$3</f>
        <v>4Q08/</v>
      </c>
      <c r="Z270" s="736"/>
      <c r="AA270" s="738" t="str">
        <f>AA$3</f>
        <v>1Q09/</v>
      </c>
      <c r="AB270" s="736"/>
      <c r="AC270" s="738" t="str">
        <f>AC$3</f>
        <v>2Q09/</v>
      </c>
      <c r="AD270" s="736"/>
      <c r="AE270" s="738" t="str">
        <f>AE$3</f>
        <v>3Q09/</v>
      </c>
      <c r="AF270" s="736"/>
      <c r="AG270" s="738" t="str">
        <f>AG$3</f>
        <v>4Q09/</v>
      </c>
      <c r="AH270" s="736"/>
      <c r="AI270" s="738" t="str">
        <f>AI$3</f>
        <v>1Q10/</v>
      </c>
      <c r="AJ270" s="736"/>
      <c r="AK270" s="738" t="str">
        <f>AK$3</f>
        <v>2Q10/</v>
      </c>
      <c r="AL270" s="736"/>
      <c r="AM270" s="738" t="str">
        <f>AM$3</f>
        <v>3Q10/</v>
      </c>
      <c r="AN270" s="736"/>
      <c r="AO270" s="738">
        <f>AO$3</f>
        <v>0</v>
      </c>
      <c r="AP270" s="736"/>
      <c r="AQ270" s="738" t="str">
        <f>AQ$3</f>
        <v>1Q11/</v>
      </c>
      <c r="AR270" s="736"/>
      <c r="AS270" s="738" t="str">
        <f>AS$3</f>
        <v>2Q11/</v>
      </c>
      <c r="AT270" s="736"/>
      <c r="AU270" s="738" t="str">
        <f>AU$3</f>
        <v>3Q11/</v>
      </c>
      <c r="AV270" s="736"/>
      <c r="AW270" s="738" t="str">
        <f>AW$3</f>
        <v>4Q11/</v>
      </c>
      <c r="AX270" s="736"/>
      <c r="AY270" s="738" t="str">
        <f>AY$3</f>
        <v>1Q12/</v>
      </c>
      <c r="AZ270" s="736"/>
      <c r="BA270" s="738" t="str">
        <f>BA$3</f>
        <v>2Q12/</v>
      </c>
      <c r="BB270" s="736"/>
      <c r="BC270" s="738" t="str">
        <f>BC$3</f>
        <v>3Q12/</v>
      </c>
      <c r="BD270" s="736"/>
      <c r="BE270" s="738" t="str">
        <f>BE$3</f>
        <v>4Q12/</v>
      </c>
      <c r="BF270" s="736"/>
      <c r="BG270" s="738" t="str">
        <f>BG$3</f>
        <v>1Q13/</v>
      </c>
      <c r="BH270" s="736"/>
      <c r="BI270" s="738" t="str">
        <f>BI$3</f>
        <v>2Q13/</v>
      </c>
      <c r="BJ270" s="736"/>
      <c r="BK270" s="738" t="str">
        <f>BK$3</f>
        <v>3Q13/</v>
      </c>
      <c r="BL270" s="736"/>
      <c r="BM270" s="738" t="str">
        <f>BM$3</f>
        <v>4Q13/</v>
      </c>
      <c r="BN270" s="736"/>
      <c r="BO270" s="738" t="str">
        <f>BO$3</f>
        <v>1Q14/</v>
      </c>
      <c r="BP270" s="736"/>
      <c r="BQ270" s="738" t="str">
        <f>BQ$3</f>
        <v>2Q14/</v>
      </c>
      <c r="BR270" s="736"/>
      <c r="BS270" s="738" t="str">
        <f>BS$3</f>
        <v>3Q14/</v>
      </c>
      <c r="BT270" s="736"/>
      <c r="BU270" s="738" t="str">
        <f>BU$3</f>
        <v>4Q14/</v>
      </c>
      <c r="BV270" s="736"/>
      <c r="BW270" s="738" t="str">
        <f>BW$3</f>
        <v>1Q15/</v>
      </c>
      <c r="BX270" s="736"/>
      <c r="BY270" s="738" t="str">
        <f>BY$3</f>
        <v>2Q15/</v>
      </c>
      <c r="BZ270" s="736"/>
      <c r="CA270" s="738" t="str">
        <f>CA$3</f>
        <v>3Q15/</v>
      </c>
      <c r="CB270" s="736"/>
      <c r="CC270" s="738" t="str">
        <f>CC$3</f>
        <v>4Q15/</v>
      </c>
      <c r="CD270" s="736"/>
      <c r="CE270" s="738" t="str">
        <f>CE$3</f>
        <v>1Q16/</v>
      </c>
      <c r="CF270" s="736"/>
      <c r="CG270" s="738" t="str">
        <f>CG$3</f>
        <v>2Q16/</v>
      </c>
      <c r="CH270" s="736"/>
      <c r="CI270" s="738" t="str">
        <f>CI$3</f>
        <v>3Q16/</v>
      </c>
      <c r="CJ270" s="736"/>
      <c r="CK270" s="738" t="str">
        <f>CK$3</f>
        <v>4Q16/</v>
      </c>
      <c r="CL270" s="736"/>
      <c r="CM270" s="738" t="str">
        <f t="shared" ref="CM270" si="288">CM$3</f>
        <v>1Q17/</v>
      </c>
      <c r="CN270" s="736"/>
      <c r="CO270" s="738" t="str">
        <f t="shared" ref="CO270" si="289">CO$3</f>
        <v>2Q17/</v>
      </c>
      <c r="CP270" s="736"/>
      <c r="CQ270" s="738" t="str">
        <f t="shared" ref="CQ270:CS270" si="290">CQ$3</f>
        <v>3Q17/</v>
      </c>
      <c r="CR270" s="736"/>
      <c r="CS270" s="738" t="str">
        <f t="shared" si="290"/>
        <v>4Q17/</v>
      </c>
      <c r="CT270" s="736"/>
      <c r="CU270" s="738" t="str">
        <f t="shared" ref="CU270" si="291">CU$3</f>
        <v>1Q18E/</v>
      </c>
      <c r="CV270" s="736"/>
      <c r="CW270" s="738" t="str">
        <f t="shared" ref="CW270" si="292">CW$3</f>
        <v>2Q18E/</v>
      </c>
      <c r="CX270" s="736"/>
      <c r="CY270" s="738" t="str">
        <f t="shared" ref="CY270:DA270" si="293">CY$3</f>
        <v>3Q18E/</v>
      </c>
      <c r="CZ270" s="736"/>
      <c r="DA270" s="738" t="str">
        <f t="shared" si="293"/>
        <v>4Q18E/</v>
      </c>
      <c r="DB270" s="739"/>
      <c r="DC270" s="736"/>
      <c r="DD270" s="737" t="str">
        <f>DD$3</f>
        <v>2001/</v>
      </c>
      <c r="DE270" s="736"/>
      <c r="DF270" s="737" t="str">
        <f>DF$3</f>
        <v>2002/</v>
      </c>
      <c r="DG270" s="736"/>
      <c r="DH270" s="737" t="str">
        <f>DH$3</f>
        <v>2003/</v>
      </c>
      <c r="DI270" s="736"/>
      <c r="DJ270" s="737" t="str">
        <f>DJ$3</f>
        <v>2004/</v>
      </c>
      <c r="DK270" s="736"/>
      <c r="DL270" s="738" t="str">
        <f>DL3</f>
        <v>2005/</v>
      </c>
      <c r="DM270" s="736"/>
      <c r="DN270" s="738" t="str">
        <f>DN3</f>
        <v>2006/</v>
      </c>
      <c r="DO270" s="736"/>
      <c r="DP270" s="738" t="str">
        <f>DP3</f>
        <v>2007/</v>
      </c>
      <c r="DQ270" s="736"/>
      <c r="DR270" s="738" t="str">
        <f>DR3</f>
        <v>2008/</v>
      </c>
      <c r="DS270" s="736"/>
      <c r="DT270" s="738" t="str">
        <f>DT3</f>
        <v>2009/</v>
      </c>
      <c r="DU270" s="736"/>
      <c r="DV270" s="738" t="str">
        <f>DV3</f>
        <v>2010/</v>
      </c>
      <c r="DW270" s="736"/>
      <c r="DX270" s="738" t="str">
        <f>DX3</f>
        <v>2011/</v>
      </c>
      <c r="DY270" s="736"/>
      <c r="DZ270" s="738" t="str">
        <f>DZ3</f>
        <v>2012/</v>
      </c>
      <c r="EA270" s="736"/>
      <c r="EB270" s="738" t="str">
        <f>EB3</f>
        <v>2013/</v>
      </c>
      <c r="EC270" s="736"/>
      <c r="ED270" s="738" t="str">
        <f>ED3</f>
        <v>2014/</v>
      </c>
      <c r="EE270" s="736"/>
      <c r="EF270" s="738" t="str">
        <f>EF3</f>
        <v>2015/</v>
      </c>
      <c r="EG270" s="736"/>
      <c r="EH270" s="738" t="str">
        <f>EH3</f>
        <v>2016/</v>
      </c>
      <c r="EI270" s="736"/>
      <c r="EJ270" s="738" t="str">
        <f>EJ3</f>
        <v>2017/</v>
      </c>
      <c r="EK270" s="736"/>
      <c r="EL270" s="738" t="str">
        <f>EL3</f>
        <v>2018E/</v>
      </c>
      <c r="EM270" s="736"/>
      <c r="EN270" s="738" t="str">
        <f>EN3</f>
        <v>2019E/</v>
      </c>
      <c r="EO270" s="736"/>
      <c r="EP270" s="738" t="str">
        <f>EP3</f>
        <v>2020E/</v>
      </c>
      <c r="EQ270" s="736"/>
      <c r="ER270" s="738" t="str">
        <f>ER3</f>
        <v>2021E/</v>
      </c>
      <c r="ES270" s="736"/>
      <c r="ET270" s="738" t="str">
        <f>ET3</f>
        <v>2022E/</v>
      </c>
      <c r="EU270" s="737"/>
      <c r="EV270" s="710"/>
    </row>
    <row r="271" spans="1:152" ht="12.75" hidden="1" customHeight="1" outlineLevel="1" x14ac:dyDescent="0.2">
      <c r="A271" s="740"/>
      <c r="B271" s="732"/>
      <c r="C271" s="741" t="str">
        <f>C$4</f>
        <v>1Q05</v>
      </c>
      <c r="D271" s="732"/>
      <c r="E271" s="741" t="str">
        <f>E$4</f>
        <v>2Q05</v>
      </c>
      <c r="F271" s="732"/>
      <c r="G271" s="741" t="str">
        <f>G$4</f>
        <v>3Q05</v>
      </c>
      <c r="H271" s="732"/>
      <c r="I271" s="734" t="str">
        <f>I$4</f>
        <v>4Q05</v>
      </c>
      <c r="J271" s="732"/>
      <c r="K271" s="734" t="str">
        <f>K$4</f>
        <v>1Q06</v>
      </c>
      <c r="L271" s="732"/>
      <c r="M271" s="734" t="str">
        <f>M$4</f>
        <v>2Q06</v>
      </c>
      <c r="N271" s="732"/>
      <c r="O271" s="734" t="str">
        <f>O$4</f>
        <v>3Q06</v>
      </c>
      <c r="P271" s="732"/>
      <c r="Q271" s="734" t="str">
        <f>Q$4</f>
        <v>4Q06</v>
      </c>
      <c r="R271" s="732"/>
      <c r="S271" s="734" t="str">
        <f>S$4</f>
        <v>1Q07</v>
      </c>
      <c r="T271" s="732"/>
      <c r="U271" s="734" t="str">
        <f>U$4</f>
        <v>2Q07</v>
      </c>
      <c r="V271" s="732"/>
      <c r="W271" s="734" t="str">
        <f>W$4</f>
        <v>3Q07</v>
      </c>
      <c r="X271" s="732"/>
      <c r="Y271" s="734" t="str">
        <f>Y$4</f>
        <v>4Q07</v>
      </c>
      <c r="Z271" s="732"/>
      <c r="AA271" s="734" t="str">
        <f>AA$4</f>
        <v>1Q08</v>
      </c>
      <c r="AB271" s="732"/>
      <c r="AC271" s="734" t="str">
        <f>AC$4</f>
        <v>2Q08</v>
      </c>
      <c r="AD271" s="732"/>
      <c r="AE271" s="734" t="str">
        <f>AE$4</f>
        <v>3Q08</v>
      </c>
      <c r="AF271" s="732"/>
      <c r="AG271" s="734" t="str">
        <f>AG$4</f>
        <v>4Q08</v>
      </c>
      <c r="AH271" s="732"/>
      <c r="AI271" s="734" t="str">
        <f>AI$4</f>
        <v>1Q09</v>
      </c>
      <c r="AJ271" s="732"/>
      <c r="AK271" s="734" t="str">
        <f>AK$4</f>
        <v>2Q09</v>
      </c>
      <c r="AL271" s="732"/>
      <c r="AM271" s="734" t="str">
        <f>AM$4</f>
        <v>3Q09</v>
      </c>
      <c r="AN271" s="732"/>
      <c r="AO271" s="734" t="str">
        <f>AO$4</f>
        <v>4Q09</v>
      </c>
      <c r="AP271" s="732"/>
      <c r="AQ271" s="734" t="str">
        <f>AQ$4</f>
        <v>1Q10</v>
      </c>
      <c r="AR271" s="732"/>
      <c r="AS271" s="734" t="str">
        <f>AS$4</f>
        <v>2Q10</v>
      </c>
      <c r="AT271" s="732"/>
      <c r="AU271" s="734" t="str">
        <f>AU$4</f>
        <v>3Q10</v>
      </c>
      <c r="AV271" s="732"/>
      <c r="AW271" s="734" t="str">
        <f>AW$4</f>
        <v>4Q10</v>
      </c>
      <c r="AX271" s="732"/>
      <c r="AY271" s="734" t="str">
        <f>AY$4</f>
        <v>1Q11</v>
      </c>
      <c r="AZ271" s="732"/>
      <c r="BA271" s="734" t="str">
        <f>BA$4</f>
        <v>2Q11</v>
      </c>
      <c r="BB271" s="732"/>
      <c r="BC271" s="734" t="str">
        <f>BC$4</f>
        <v>3Q11</v>
      </c>
      <c r="BD271" s="732"/>
      <c r="BE271" s="734" t="str">
        <f>BE$4</f>
        <v>4Q11</v>
      </c>
      <c r="BF271" s="732"/>
      <c r="BG271" s="734" t="str">
        <f>BG$4</f>
        <v>1Q12</v>
      </c>
      <c r="BH271" s="732"/>
      <c r="BI271" s="734" t="str">
        <f>BI$4</f>
        <v>2Q12</v>
      </c>
      <c r="BJ271" s="732"/>
      <c r="BK271" s="734" t="str">
        <f>BK$4</f>
        <v>3Q12</v>
      </c>
      <c r="BL271" s="732"/>
      <c r="BM271" s="734" t="str">
        <f>BM$4</f>
        <v>4Q12</v>
      </c>
      <c r="BN271" s="732"/>
      <c r="BO271" s="734" t="str">
        <f>BO$4</f>
        <v>1Q13</v>
      </c>
      <c r="BP271" s="732"/>
      <c r="BQ271" s="734" t="str">
        <f>BQ$4</f>
        <v>2Q13</v>
      </c>
      <c r="BR271" s="732"/>
      <c r="BS271" s="734" t="str">
        <f>BS$4</f>
        <v>3Q13</v>
      </c>
      <c r="BT271" s="732"/>
      <c r="BU271" s="734" t="str">
        <f>BU$4</f>
        <v>4Q13</v>
      </c>
      <c r="BV271" s="732"/>
      <c r="BW271" s="734" t="str">
        <f>BW$4</f>
        <v>1Q14</v>
      </c>
      <c r="BX271" s="732"/>
      <c r="BY271" s="734" t="str">
        <f>BY$4</f>
        <v>2Q14</v>
      </c>
      <c r="BZ271" s="732"/>
      <c r="CA271" s="734" t="str">
        <f>CA$4</f>
        <v>3Q14</v>
      </c>
      <c r="CB271" s="732"/>
      <c r="CC271" s="734" t="str">
        <f>CC$4</f>
        <v>4Q14</v>
      </c>
      <c r="CD271" s="732"/>
      <c r="CE271" s="734" t="str">
        <f>CE$4</f>
        <v>1Q15</v>
      </c>
      <c r="CF271" s="732"/>
      <c r="CG271" s="734" t="str">
        <f>CG$4</f>
        <v>2Q15</v>
      </c>
      <c r="CH271" s="732"/>
      <c r="CI271" s="734" t="str">
        <f>CI$4</f>
        <v>3Q15</v>
      </c>
      <c r="CJ271" s="732"/>
      <c r="CK271" s="734" t="str">
        <f>CK$4</f>
        <v>4Q15</v>
      </c>
      <c r="CL271" s="732"/>
      <c r="CM271" s="734" t="str">
        <f t="shared" ref="CM271" si="294">CM$4</f>
        <v>1Q16</v>
      </c>
      <c r="CN271" s="732"/>
      <c r="CO271" s="734" t="str">
        <f t="shared" ref="CO271" si="295">CO$4</f>
        <v>2Q16</v>
      </c>
      <c r="CP271" s="732"/>
      <c r="CQ271" s="734" t="str">
        <f t="shared" ref="CQ271:CS271" si="296">CQ$4</f>
        <v>3Q16</v>
      </c>
      <c r="CR271" s="732"/>
      <c r="CS271" s="734" t="str">
        <f t="shared" si="296"/>
        <v>4Q16</v>
      </c>
      <c r="CT271" s="732"/>
      <c r="CU271" s="734" t="str">
        <f t="shared" ref="CU271" si="297">CU$4</f>
        <v>1Q17</v>
      </c>
      <c r="CV271" s="732"/>
      <c r="CW271" s="734" t="str">
        <f t="shared" ref="CW271" si="298">CW$4</f>
        <v>2Q17</v>
      </c>
      <c r="CX271" s="732"/>
      <c r="CY271" s="734" t="str">
        <f t="shared" ref="CY271:DA271" si="299">CY$4</f>
        <v>3Q17</v>
      </c>
      <c r="CZ271" s="732"/>
      <c r="DA271" s="734" t="str">
        <f t="shared" si="299"/>
        <v>4Q17</v>
      </c>
      <c r="DB271" s="742"/>
      <c r="DC271" s="732"/>
      <c r="DD271" s="741" t="str">
        <f>DD$4</f>
        <v>2000</v>
      </c>
      <c r="DE271" s="732"/>
      <c r="DF271" s="741" t="str">
        <f>DF$4</f>
        <v>2001</v>
      </c>
      <c r="DG271" s="732"/>
      <c r="DH271" s="741" t="str">
        <f>DH$4</f>
        <v>2002</v>
      </c>
      <c r="DI271" s="732"/>
      <c r="DJ271" s="741" t="str">
        <f>DJ$4</f>
        <v>2003</v>
      </c>
      <c r="DK271" s="732"/>
      <c r="DL271" s="734" t="str">
        <f>DL4</f>
        <v>2004</v>
      </c>
      <c r="DM271" s="732"/>
      <c r="DN271" s="734" t="str">
        <f>DN4</f>
        <v>2005</v>
      </c>
      <c r="DO271" s="732"/>
      <c r="DP271" s="734">
        <f>DP4</f>
        <v>2006</v>
      </c>
      <c r="DQ271" s="732"/>
      <c r="DR271" s="734">
        <f>DR4</f>
        <v>2007</v>
      </c>
      <c r="DS271" s="732"/>
      <c r="DT271" s="734">
        <f>DT4</f>
        <v>2008</v>
      </c>
      <c r="DU271" s="732"/>
      <c r="DV271" s="734" t="str">
        <f>DV4</f>
        <v>2009</v>
      </c>
      <c r="DW271" s="732"/>
      <c r="DX271" s="734" t="str">
        <f>DX4</f>
        <v>2010</v>
      </c>
      <c r="DY271" s="732"/>
      <c r="DZ271" s="734" t="str">
        <f>DZ4</f>
        <v>2011</v>
      </c>
      <c r="EA271" s="732"/>
      <c r="EB271" s="734" t="str">
        <f>EB4</f>
        <v>2012</v>
      </c>
      <c r="EC271" s="732"/>
      <c r="ED271" s="734" t="str">
        <f>ED4</f>
        <v>2013</v>
      </c>
      <c r="EE271" s="732"/>
      <c r="EF271" s="734" t="str">
        <f>EF4</f>
        <v>2014</v>
      </c>
      <c r="EG271" s="732"/>
      <c r="EH271" s="734" t="str">
        <f>EH4</f>
        <v>2015</v>
      </c>
      <c r="EI271" s="732"/>
      <c r="EJ271" s="734" t="str">
        <f>EJ4</f>
        <v>2016</v>
      </c>
      <c r="EK271" s="732"/>
      <c r="EL271" s="734" t="str">
        <f>EL4</f>
        <v>2017</v>
      </c>
      <c r="EM271" s="732"/>
      <c r="EN271" s="734" t="str">
        <f>EN4</f>
        <v>2018E</v>
      </c>
      <c r="EO271" s="732"/>
      <c r="EP271" s="734" t="str">
        <f>EP4</f>
        <v>2019E</v>
      </c>
      <c r="EQ271" s="732"/>
      <c r="ER271" s="734" t="str">
        <f>ER4</f>
        <v>2020E</v>
      </c>
      <c r="ES271" s="732"/>
      <c r="ET271" s="734" t="str">
        <f>ET4</f>
        <v>2021E</v>
      </c>
      <c r="EU271" s="741" t="str">
        <f>EU4</f>
        <v>CAGR</v>
      </c>
      <c r="EV271" s="710"/>
    </row>
    <row r="272" spans="1:152" ht="12.75" hidden="1" customHeight="1" outlineLevel="1" x14ac:dyDescent="0.2">
      <c r="A272" s="743"/>
      <c r="B272" s="744" t="str">
        <f t="shared" ref="B272:CL272" si="300">B$5</f>
        <v>1Q06</v>
      </c>
      <c r="C272" s="745" t="str">
        <f t="shared" si="300"/>
        <v>% Chg</v>
      </c>
      <c r="D272" s="744" t="str">
        <f t="shared" si="300"/>
        <v>2Q06</v>
      </c>
      <c r="E272" s="745" t="str">
        <f t="shared" si="300"/>
        <v>% Chg</v>
      </c>
      <c r="F272" s="744" t="str">
        <f t="shared" si="300"/>
        <v>3Q06</v>
      </c>
      <c r="G272" s="745" t="str">
        <f t="shared" si="300"/>
        <v>% Chg</v>
      </c>
      <c r="H272" s="744" t="str">
        <f t="shared" si="300"/>
        <v>4Q06</v>
      </c>
      <c r="I272" s="746" t="str">
        <f t="shared" si="300"/>
        <v>% Chg</v>
      </c>
      <c r="J272" s="744" t="str">
        <f t="shared" si="300"/>
        <v>1Q07</v>
      </c>
      <c r="K272" s="746" t="str">
        <f t="shared" si="300"/>
        <v>% Chg</v>
      </c>
      <c r="L272" s="744" t="str">
        <f t="shared" si="300"/>
        <v>2Q07</v>
      </c>
      <c r="M272" s="746" t="str">
        <f t="shared" si="300"/>
        <v>% Chg</v>
      </c>
      <c r="N272" s="744" t="str">
        <f t="shared" si="300"/>
        <v>3Q07</v>
      </c>
      <c r="O272" s="746" t="str">
        <f t="shared" si="300"/>
        <v>% Chg</v>
      </c>
      <c r="P272" s="744" t="str">
        <f t="shared" si="300"/>
        <v>4Q07</v>
      </c>
      <c r="Q272" s="746" t="str">
        <f t="shared" si="300"/>
        <v>% Chg</v>
      </c>
      <c r="R272" s="744" t="str">
        <f t="shared" si="300"/>
        <v>1Q08</v>
      </c>
      <c r="S272" s="746" t="str">
        <f t="shared" si="300"/>
        <v>% Chg</v>
      </c>
      <c r="T272" s="744" t="str">
        <f t="shared" si="300"/>
        <v>2Q08</v>
      </c>
      <c r="U272" s="746" t="str">
        <f t="shared" si="300"/>
        <v>% Chg</v>
      </c>
      <c r="V272" s="744" t="str">
        <f t="shared" si="300"/>
        <v>3Q08</v>
      </c>
      <c r="W272" s="746" t="str">
        <f t="shared" si="300"/>
        <v>% Chg</v>
      </c>
      <c r="X272" s="744" t="str">
        <f t="shared" si="300"/>
        <v>4Q08</v>
      </c>
      <c r="Y272" s="746" t="str">
        <f t="shared" si="300"/>
        <v>% Chg</v>
      </c>
      <c r="Z272" s="744" t="str">
        <f t="shared" si="300"/>
        <v>1Q09</v>
      </c>
      <c r="AA272" s="746" t="str">
        <f t="shared" si="300"/>
        <v>% Chg</v>
      </c>
      <c r="AB272" s="744" t="str">
        <f t="shared" si="300"/>
        <v>2Q09</v>
      </c>
      <c r="AC272" s="746" t="str">
        <f t="shared" si="300"/>
        <v>% Chg</v>
      </c>
      <c r="AD272" s="744" t="str">
        <f t="shared" si="300"/>
        <v>3Q09</v>
      </c>
      <c r="AE272" s="746" t="str">
        <f t="shared" si="300"/>
        <v>% Chg</v>
      </c>
      <c r="AF272" s="744" t="str">
        <f t="shared" si="300"/>
        <v>4Q09</v>
      </c>
      <c r="AG272" s="746" t="str">
        <f t="shared" si="300"/>
        <v>% Chg</v>
      </c>
      <c r="AH272" s="744" t="str">
        <f t="shared" si="300"/>
        <v>1Q10</v>
      </c>
      <c r="AI272" s="746" t="str">
        <f t="shared" si="300"/>
        <v>% Chg</v>
      </c>
      <c r="AJ272" s="744" t="str">
        <f t="shared" si="300"/>
        <v>2Q10</v>
      </c>
      <c r="AK272" s="746" t="str">
        <f t="shared" si="300"/>
        <v>% Chg</v>
      </c>
      <c r="AL272" s="744" t="str">
        <f t="shared" si="300"/>
        <v>3Q10</v>
      </c>
      <c r="AM272" s="746" t="str">
        <f t="shared" si="300"/>
        <v>% Chg</v>
      </c>
      <c r="AN272" s="744" t="str">
        <f t="shared" si="300"/>
        <v>4Q10</v>
      </c>
      <c r="AO272" s="746" t="str">
        <f t="shared" si="300"/>
        <v>% Chg</v>
      </c>
      <c r="AP272" s="744" t="str">
        <f t="shared" si="300"/>
        <v>1Q11</v>
      </c>
      <c r="AQ272" s="746" t="str">
        <f t="shared" si="300"/>
        <v>% Chg</v>
      </c>
      <c r="AR272" s="744" t="str">
        <f t="shared" si="300"/>
        <v>2Q11</v>
      </c>
      <c r="AS272" s="746" t="str">
        <f t="shared" si="300"/>
        <v>% Chg</v>
      </c>
      <c r="AT272" s="744" t="str">
        <f t="shared" si="300"/>
        <v>3Q11</v>
      </c>
      <c r="AU272" s="746" t="str">
        <f t="shared" si="300"/>
        <v>% Chg</v>
      </c>
      <c r="AV272" s="744" t="str">
        <f t="shared" si="300"/>
        <v>4Q11</v>
      </c>
      <c r="AW272" s="746" t="str">
        <f t="shared" si="300"/>
        <v>% Chg</v>
      </c>
      <c r="AX272" s="744" t="str">
        <f t="shared" si="300"/>
        <v>1Q12</v>
      </c>
      <c r="AY272" s="746" t="str">
        <f t="shared" si="300"/>
        <v>% Chg</v>
      </c>
      <c r="AZ272" s="744" t="str">
        <f t="shared" si="300"/>
        <v>2Q12</v>
      </c>
      <c r="BA272" s="746" t="str">
        <f t="shared" si="300"/>
        <v>% Chg</v>
      </c>
      <c r="BB272" s="744" t="str">
        <f t="shared" si="300"/>
        <v>3Q12</v>
      </c>
      <c r="BC272" s="746" t="str">
        <f t="shared" si="300"/>
        <v>% Chg</v>
      </c>
      <c r="BD272" s="744" t="str">
        <f t="shared" si="300"/>
        <v>4Q12</v>
      </c>
      <c r="BE272" s="746" t="str">
        <f t="shared" si="300"/>
        <v>% Chg</v>
      </c>
      <c r="BF272" s="744" t="str">
        <f t="shared" si="300"/>
        <v>1Q13</v>
      </c>
      <c r="BG272" s="746" t="str">
        <f t="shared" si="300"/>
        <v>% Chg</v>
      </c>
      <c r="BH272" s="744" t="str">
        <f t="shared" si="300"/>
        <v>2Q13</v>
      </c>
      <c r="BI272" s="746" t="str">
        <f t="shared" si="300"/>
        <v>% Chg</v>
      </c>
      <c r="BJ272" s="744" t="str">
        <f t="shared" si="300"/>
        <v>3Q13</v>
      </c>
      <c r="BK272" s="746" t="str">
        <f t="shared" si="300"/>
        <v>% Chg</v>
      </c>
      <c r="BL272" s="744" t="str">
        <f t="shared" si="300"/>
        <v>4Q13</v>
      </c>
      <c r="BM272" s="746" t="str">
        <f t="shared" si="300"/>
        <v>% Chg</v>
      </c>
      <c r="BN272" s="744" t="str">
        <f t="shared" si="300"/>
        <v>1Q14</v>
      </c>
      <c r="BO272" s="746" t="str">
        <f>BO$5</f>
        <v>% Chg</v>
      </c>
      <c r="BP272" s="744" t="str">
        <f t="shared" si="300"/>
        <v>2Q14</v>
      </c>
      <c r="BQ272" s="746" t="str">
        <f>BQ$5</f>
        <v>% Chg</v>
      </c>
      <c r="BR272" s="744" t="str">
        <f t="shared" si="300"/>
        <v>3Q14</v>
      </c>
      <c r="BS272" s="746" t="str">
        <f>BS$5</f>
        <v>% Chg</v>
      </c>
      <c r="BT272" s="744" t="str">
        <f t="shared" si="300"/>
        <v>4Q14</v>
      </c>
      <c r="BU272" s="746" t="str">
        <f>BU$5</f>
        <v>% Chg</v>
      </c>
      <c r="BV272" s="744" t="str">
        <f t="shared" si="300"/>
        <v>1Q15</v>
      </c>
      <c r="BW272" s="746" t="str">
        <f>BW$5</f>
        <v>% Chg</v>
      </c>
      <c r="BX272" s="744" t="str">
        <f t="shared" si="300"/>
        <v>2Q15</v>
      </c>
      <c r="BY272" s="746" t="str">
        <f>BY$5</f>
        <v>% Chg</v>
      </c>
      <c r="BZ272" s="744" t="str">
        <f t="shared" si="300"/>
        <v>3Q15</v>
      </c>
      <c r="CA272" s="746" t="str">
        <f>CA$5</f>
        <v>% Chg</v>
      </c>
      <c r="CB272" s="744" t="str">
        <f t="shared" si="300"/>
        <v>4Q15</v>
      </c>
      <c r="CC272" s="746" t="str">
        <f>CC$5</f>
        <v>% Chg</v>
      </c>
      <c r="CD272" s="744" t="str">
        <f t="shared" si="300"/>
        <v>1Q16</v>
      </c>
      <c r="CE272" s="746" t="str">
        <f>CE$5</f>
        <v>% Chg</v>
      </c>
      <c r="CF272" s="744" t="str">
        <f t="shared" si="300"/>
        <v>2Q16</v>
      </c>
      <c r="CG272" s="746" t="str">
        <f>CG$5</f>
        <v>% Chg</v>
      </c>
      <c r="CH272" s="744" t="str">
        <f t="shared" si="300"/>
        <v>3Q16</v>
      </c>
      <c r="CI272" s="746" t="str">
        <f>CI$5</f>
        <v>% Chg</v>
      </c>
      <c r="CJ272" s="744" t="str">
        <f t="shared" si="300"/>
        <v>4Q16</v>
      </c>
      <c r="CK272" s="746" t="str">
        <f>CK$5</f>
        <v>% Chg</v>
      </c>
      <c r="CL272" s="744" t="str">
        <f t="shared" si="300"/>
        <v>1Q17</v>
      </c>
      <c r="CM272" s="746" t="str">
        <f t="shared" ref="CM272:DA272" si="301">CM$5</f>
        <v>% Chg</v>
      </c>
      <c r="CN272" s="744" t="str">
        <f t="shared" si="301"/>
        <v>2Q17</v>
      </c>
      <c r="CO272" s="746" t="str">
        <f t="shared" si="301"/>
        <v>% Chg</v>
      </c>
      <c r="CP272" s="744" t="str">
        <f t="shared" si="301"/>
        <v>3Q17</v>
      </c>
      <c r="CQ272" s="746" t="str">
        <f t="shared" si="301"/>
        <v>% Chg</v>
      </c>
      <c r="CR272" s="744" t="str">
        <f t="shared" si="301"/>
        <v>4Q17</v>
      </c>
      <c r="CS272" s="746" t="str">
        <f t="shared" si="301"/>
        <v>% Chg</v>
      </c>
      <c r="CT272" s="744" t="str">
        <f t="shared" si="301"/>
        <v>1Q18E</v>
      </c>
      <c r="CU272" s="746" t="str">
        <f t="shared" si="301"/>
        <v>% Chg</v>
      </c>
      <c r="CV272" s="744" t="str">
        <f t="shared" si="301"/>
        <v>2Q18E</v>
      </c>
      <c r="CW272" s="746" t="str">
        <f t="shared" si="301"/>
        <v>% Chg</v>
      </c>
      <c r="CX272" s="744" t="str">
        <f t="shared" si="301"/>
        <v>3Q18E</v>
      </c>
      <c r="CY272" s="746" t="str">
        <f t="shared" si="301"/>
        <v>% Chg</v>
      </c>
      <c r="CZ272" s="744" t="str">
        <f t="shared" si="301"/>
        <v>4Q18E</v>
      </c>
      <c r="DA272" s="746" t="str">
        <f t="shared" si="301"/>
        <v>% Chg</v>
      </c>
      <c r="DB272" s="747"/>
      <c r="DC272" s="744" t="str">
        <f t="shared" ref="DC272:DK272" si="302">DC$5</f>
        <v>2001</v>
      </c>
      <c r="DD272" s="745" t="str">
        <f t="shared" si="302"/>
        <v>% Chg</v>
      </c>
      <c r="DE272" s="744" t="str">
        <f t="shared" si="302"/>
        <v>2002</v>
      </c>
      <c r="DF272" s="745" t="str">
        <f t="shared" si="302"/>
        <v>% Chg</v>
      </c>
      <c r="DG272" s="744" t="str">
        <f t="shared" si="302"/>
        <v>2003</v>
      </c>
      <c r="DH272" s="745" t="str">
        <f t="shared" si="302"/>
        <v>% Chg</v>
      </c>
      <c r="DI272" s="744" t="str">
        <f t="shared" si="302"/>
        <v>2004</v>
      </c>
      <c r="DJ272" s="745" t="str">
        <f t="shared" si="302"/>
        <v>% Chg</v>
      </c>
      <c r="DK272" s="744" t="str">
        <f t="shared" si="302"/>
        <v>2005</v>
      </c>
      <c r="DL272" s="746" t="str">
        <f>DL5</f>
        <v>% Chg</v>
      </c>
      <c r="DM272" s="748">
        <f>DM$5</f>
        <v>2006</v>
      </c>
      <c r="DN272" s="746" t="str">
        <f>DN5</f>
        <v>% Chg</v>
      </c>
      <c r="DO272" s="748">
        <f>DO$5</f>
        <v>2007</v>
      </c>
      <c r="DP272" s="746" t="str">
        <f>DP5</f>
        <v>% Chg</v>
      </c>
      <c r="DQ272" s="748">
        <f>DQ$5</f>
        <v>2008</v>
      </c>
      <c r="DR272" s="746" t="str">
        <f>DR5</f>
        <v>% Chg</v>
      </c>
      <c r="DS272" s="744" t="str">
        <f>DS$5</f>
        <v>2009</v>
      </c>
      <c r="DT272" s="746" t="str">
        <f>DT5</f>
        <v>% Chg</v>
      </c>
      <c r="DU272" s="744" t="str">
        <f>DU$5</f>
        <v>2010</v>
      </c>
      <c r="DV272" s="746" t="str">
        <f>DV5</f>
        <v>% Chg</v>
      </c>
      <c r="DW272" s="744" t="str">
        <f>DW$5</f>
        <v>2011</v>
      </c>
      <c r="DX272" s="746" t="str">
        <f>DX5</f>
        <v>% Chg</v>
      </c>
      <c r="DY272" s="744" t="str">
        <f>DY$5</f>
        <v>2012</v>
      </c>
      <c r="DZ272" s="746" t="str">
        <f>DZ5</f>
        <v>% Chg</v>
      </c>
      <c r="EA272" s="744" t="str">
        <f>EA$5</f>
        <v>2013</v>
      </c>
      <c r="EB272" s="746" t="str">
        <f>EB5</f>
        <v>% Chg</v>
      </c>
      <c r="EC272" s="744" t="str">
        <f>EC$5</f>
        <v>2014</v>
      </c>
      <c r="ED272" s="746" t="str">
        <f>ED5</f>
        <v>% Chg</v>
      </c>
      <c r="EE272" s="744" t="str">
        <f>EE$5</f>
        <v>2015</v>
      </c>
      <c r="EF272" s="746" t="str">
        <f>EF5</f>
        <v>% Chg</v>
      </c>
      <c r="EG272" s="744" t="str">
        <f>EG$5</f>
        <v>2016</v>
      </c>
      <c r="EH272" s="746" t="str">
        <f>EH5</f>
        <v>% Chg</v>
      </c>
      <c r="EI272" s="744" t="str">
        <f>EI$5</f>
        <v>2017</v>
      </c>
      <c r="EJ272" s="746" t="str">
        <f>EJ5</f>
        <v>% Chg</v>
      </c>
      <c r="EK272" s="744" t="str">
        <f>EK$5</f>
        <v>2018E</v>
      </c>
      <c r="EL272" s="746" t="str">
        <f>EL5</f>
        <v>% Chg</v>
      </c>
      <c r="EM272" s="744" t="str">
        <f>EM$5</f>
        <v>2019E</v>
      </c>
      <c r="EN272" s="746" t="str">
        <f>EN5</f>
        <v>% Chg</v>
      </c>
      <c r="EO272" s="744" t="str">
        <f>EO$5</f>
        <v>2020E</v>
      </c>
      <c r="EP272" s="746" t="str">
        <f>EP5</f>
        <v>% Chg</v>
      </c>
      <c r="EQ272" s="744" t="str">
        <f>EQ$5</f>
        <v>2021E</v>
      </c>
      <c r="ER272" s="746" t="str">
        <f>ER5</f>
        <v>% Chg</v>
      </c>
      <c r="ES272" s="744" t="str">
        <f>ES$5</f>
        <v>2022E</v>
      </c>
      <c r="ET272" s="746" t="str">
        <f>ET5</f>
        <v>% Chg</v>
      </c>
      <c r="EU272" s="745" t="str">
        <f>EU5</f>
        <v>(%)</v>
      </c>
      <c r="EV272" s="710"/>
    </row>
    <row r="273" spans="1:152" ht="12.75" hidden="1" customHeight="1" outlineLevel="1" x14ac:dyDescent="0.2">
      <c r="A273" s="740"/>
      <c r="B273" s="732"/>
      <c r="C273" s="741"/>
      <c r="D273" s="732"/>
      <c r="E273" s="741"/>
      <c r="F273" s="732"/>
      <c r="G273" s="741"/>
      <c r="H273" s="732"/>
      <c r="I273" s="734"/>
      <c r="J273" s="732"/>
      <c r="K273" s="734"/>
      <c r="L273" s="732"/>
      <c r="M273" s="734"/>
      <c r="N273" s="732"/>
      <c r="O273" s="734"/>
      <c r="P273" s="732"/>
      <c r="Q273" s="734"/>
      <c r="R273" s="732"/>
      <c r="S273" s="734"/>
      <c r="T273" s="732"/>
      <c r="U273" s="734"/>
      <c r="V273" s="732"/>
      <c r="W273" s="734"/>
      <c r="X273" s="732"/>
      <c r="Y273" s="734"/>
      <c r="Z273" s="732"/>
      <c r="AA273" s="734"/>
      <c r="AB273" s="732"/>
      <c r="AC273" s="734"/>
      <c r="AD273" s="732"/>
      <c r="AE273" s="734"/>
      <c r="AF273" s="732"/>
      <c r="AG273" s="734"/>
      <c r="AH273" s="732"/>
      <c r="AI273" s="734"/>
      <c r="AJ273" s="732"/>
      <c r="AK273" s="734"/>
      <c r="AL273" s="732"/>
      <c r="AM273" s="734"/>
      <c r="AN273" s="732"/>
      <c r="AO273" s="734"/>
      <c r="AP273" s="732"/>
      <c r="AQ273" s="734"/>
      <c r="AR273" s="732"/>
      <c r="AS273" s="734"/>
      <c r="AT273" s="732"/>
      <c r="AU273" s="734"/>
      <c r="AV273" s="732"/>
      <c r="AW273" s="734"/>
      <c r="AX273" s="732"/>
      <c r="AY273" s="734"/>
      <c r="AZ273" s="732"/>
      <c r="BA273" s="734"/>
      <c r="BB273" s="732"/>
      <c r="BC273" s="734"/>
      <c r="BD273" s="732"/>
      <c r="BE273" s="734"/>
      <c r="BF273" s="732"/>
      <c r="BG273" s="734"/>
      <c r="BH273" s="732"/>
      <c r="BI273" s="734"/>
      <c r="BJ273" s="732"/>
      <c r="BK273" s="734"/>
      <c r="BL273" s="732"/>
      <c r="BM273" s="734"/>
      <c r="BN273" s="732"/>
      <c r="BO273" s="734"/>
      <c r="BP273" s="732"/>
      <c r="BQ273" s="734"/>
      <c r="BR273" s="732"/>
      <c r="BS273" s="734"/>
      <c r="BT273" s="732"/>
      <c r="BU273" s="734"/>
      <c r="BV273" s="732"/>
      <c r="BW273" s="734"/>
      <c r="BX273" s="732"/>
      <c r="BY273" s="734"/>
      <c r="BZ273" s="732"/>
      <c r="CA273" s="734"/>
      <c r="CB273" s="732"/>
      <c r="CC273" s="734"/>
      <c r="CD273" s="732"/>
      <c r="CE273" s="734"/>
      <c r="CF273" s="732"/>
      <c r="CG273" s="734"/>
      <c r="CH273" s="732"/>
      <c r="CI273" s="734"/>
      <c r="CJ273" s="732"/>
      <c r="CK273" s="734"/>
      <c r="CL273" s="732"/>
      <c r="CM273" s="734"/>
      <c r="CN273" s="732"/>
      <c r="CO273" s="734"/>
      <c r="CP273" s="732"/>
      <c r="CQ273" s="734"/>
      <c r="CR273" s="732"/>
      <c r="CS273" s="734"/>
      <c r="CT273" s="732"/>
      <c r="CU273" s="734"/>
      <c r="CV273" s="732"/>
      <c r="CW273" s="734"/>
      <c r="CX273" s="732"/>
      <c r="CY273" s="734"/>
      <c r="CZ273" s="732"/>
      <c r="DA273" s="734"/>
      <c r="DB273" s="742"/>
      <c r="DC273" s="732"/>
      <c r="DD273" s="741"/>
      <c r="DE273" s="732"/>
      <c r="DF273" s="741"/>
      <c r="DG273" s="732"/>
      <c r="DH273" s="741"/>
      <c r="DI273" s="732"/>
      <c r="DJ273" s="741"/>
      <c r="DK273" s="732"/>
      <c r="DL273" s="734"/>
      <c r="DM273" s="732"/>
      <c r="DN273" s="734"/>
      <c r="DO273" s="732"/>
      <c r="DP273" s="734"/>
      <c r="DQ273" s="732"/>
      <c r="DR273" s="734"/>
      <c r="DS273" s="732"/>
      <c r="DT273" s="734"/>
      <c r="DU273" s="732"/>
      <c r="DV273" s="734"/>
      <c r="DW273" s="732"/>
      <c r="DX273" s="734"/>
      <c r="DY273" s="732"/>
      <c r="DZ273" s="734"/>
      <c r="EA273" s="732"/>
      <c r="EB273" s="734"/>
      <c r="EC273" s="732"/>
      <c r="ED273" s="734"/>
      <c r="EE273" s="732"/>
      <c r="EF273" s="734"/>
      <c r="EG273" s="732"/>
      <c r="EH273" s="734"/>
      <c r="EI273" s="732"/>
      <c r="EJ273" s="734"/>
      <c r="EK273" s="732"/>
      <c r="EL273" s="734"/>
      <c r="EM273" s="732"/>
      <c r="EN273" s="734"/>
      <c r="EO273" s="732"/>
      <c r="EP273" s="734"/>
      <c r="EQ273" s="732"/>
      <c r="ER273" s="734"/>
      <c r="ES273" s="732"/>
      <c r="ET273" s="734"/>
      <c r="EU273" s="741"/>
      <c r="EV273" s="710"/>
    </row>
    <row r="274" spans="1:152" ht="12.75" hidden="1" customHeight="1" outlineLevel="1" x14ac:dyDescent="0.2">
      <c r="A274" s="749" t="s">
        <v>285</v>
      </c>
      <c r="B274" s="750"/>
      <c r="C274" s="767"/>
      <c r="D274" s="750"/>
      <c r="E274" s="767"/>
      <c r="F274" s="750"/>
      <c r="G274" s="767"/>
      <c r="H274" s="750"/>
      <c r="I274" s="752"/>
      <c r="J274" s="750"/>
      <c r="K274" s="752"/>
      <c r="L274" s="750"/>
      <c r="M274" s="752"/>
      <c r="N274" s="750"/>
      <c r="O274" s="752"/>
      <c r="P274" s="750"/>
      <c r="Q274" s="752"/>
      <c r="R274" s="750"/>
      <c r="S274" s="752"/>
      <c r="T274" s="750"/>
      <c r="U274" s="752"/>
      <c r="V274" s="750"/>
      <c r="W274" s="752"/>
      <c r="X274" s="750"/>
      <c r="Y274" s="752"/>
      <c r="Z274" s="750"/>
      <c r="AA274" s="752"/>
      <c r="AB274" s="750"/>
      <c r="AC274" s="752"/>
      <c r="AD274" s="750"/>
      <c r="AE274" s="752"/>
      <c r="AF274" s="750"/>
      <c r="AG274" s="752"/>
      <c r="AH274" s="750"/>
      <c r="AI274" s="752"/>
      <c r="AJ274" s="750"/>
      <c r="AK274" s="752"/>
      <c r="AL274" s="750"/>
      <c r="AM274" s="752"/>
      <c r="AN274" s="750"/>
      <c r="AO274" s="752"/>
      <c r="AP274" s="750"/>
      <c r="AQ274" s="752"/>
      <c r="AR274" s="750"/>
      <c r="AS274" s="752"/>
      <c r="AT274" s="750"/>
      <c r="AU274" s="752"/>
      <c r="AV274" s="750"/>
      <c r="AW274" s="752"/>
      <c r="AX274" s="750"/>
      <c r="AY274" s="752"/>
      <c r="AZ274" s="750"/>
      <c r="BA274" s="752"/>
      <c r="BB274" s="750"/>
      <c r="BC274" s="752"/>
      <c r="BD274" s="750"/>
      <c r="BE274" s="752"/>
      <c r="BF274" s="750"/>
      <c r="BG274" s="752"/>
      <c r="BH274" s="750"/>
      <c r="BI274" s="752"/>
      <c r="BJ274" s="750"/>
      <c r="BK274" s="752"/>
      <c r="BL274" s="750"/>
      <c r="BM274" s="752"/>
      <c r="BN274" s="750"/>
      <c r="BO274" s="752"/>
      <c r="BP274" s="750"/>
      <c r="BQ274" s="752"/>
      <c r="BR274" s="750"/>
      <c r="BS274" s="752"/>
      <c r="BT274" s="750"/>
      <c r="BU274" s="752"/>
      <c r="BV274" s="750"/>
      <c r="BW274" s="752"/>
      <c r="BX274" s="750"/>
      <c r="BY274" s="752"/>
      <c r="BZ274" s="750"/>
      <c r="CA274" s="752"/>
      <c r="CB274" s="750"/>
      <c r="CC274" s="752"/>
      <c r="CD274" s="750"/>
      <c r="CE274" s="752"/>
      <c r="CF274" s="750"/>
      <c r="CG274" s="752"/>
      <c r="CH274" s="750"/>
      <c r="CI274" s="752"/>
      <c r="CJ274" s="750"/>
      <c r="CK274" s="752"/>
      <c r="CL274" s="750"/>
      <c r="CM274" s="752"/>
      <c r="CN274" s="750"/>
      <c r="CO274" s="752"/>
      <c r="CP274" s="750"/>
      <c r="CQ274" s="752"/>
      <c r="CR274" s="750"/>
      <c r="CS274" s="752"/>
      <c r="CT274" s="750"/>
      <c r="CU274" s="752"/>
      <c r="CV274" s="750"/>
      <c r="CW274" s="752"/>
      <c r="CX274" s="750"/>
      <c r="CY274" s="752"/>
      <c r="CZ274" s="750"/>
      <c r="DA274" s="752"/>
      <c r="DB274" s="753"/>
      <c r="DC274" s="750"/>
      <c r="DD274" s="767"/>
      <c r="DE274" s="750"/>
      <c r="DF274" s="767"/>
      <c r="DG274" s="750"/>
      <c r="DH274" s="767"/>
      <c r="DI274" s="750"/>
      <c r="DJ274" s="767"/>
      <c r="DK274" s="750"/>
      <c r="DL274" s="752"/>
      <c r="DM274" s="750"/>
      <c r="DN274" s="752"/>
      <c r="DO274" s="750"/>
      <c r="DP274" s="752"/>
      <c r="DQ274" s="750"/>
      <c r="DR274" s="752"/>
      <c r="DS274" s="750"/>
      <c r="DT274" s="752"/>
      <c r="DU274" s="750"/>
      <c r="DV274" s="752"/>
      <c r="DW274" s="750"/>
      <c r="DX274" s="752"/>
      <c r="DY274" s="750"/>
      <c r="DZ274" s="752"/>
      <c r="EA274" s="750"/>
      <c r="EB274" s="752"/>
      <c r="EC274" s="750"/>
      <c r="ED274" s="752"/>
      <c r="EE274" s="750"/>
      <c r="EF274" s="752"/>
      <c r="EG274" s="750"/>
      <c r="EH274" s="752"/>
      <c r="EI274" s="750"/>
      <c r="EJ274" s="752"/>
      <c r="EK274" s="750"/>
      <c r="EL274" s="752"/>
      <c r="EM274" s="750"/>
      <c r="EN274" s="752"/>
      <c r="EO274" s="750"/>
      <c r="EP274" s="752"/>
      <c r="EQ274" s="750"/>
      <c r="ER274" s="752"/>
      <c r="ES274" s="750"/>
      <c r="ET274" s="752"/>
      <c r="EU274" s="767"/>
      <c r="EV274" s="710"/>
    </row>
    <row r="275" spans="1:152" ht="12.75" hidden="1" customHeight="1" outlineLevel="1" x14ac:dyDescent="0.2">
      <c r="A275" s="754" t="str">
        <f>INPUT!B221</f>
        <v>Total Premiums</v>
      </c>
      <c r="B275" s="750">
        <f>INPUT!AS221</f>
        <v>202.6</v>
      </c>
      <c r="C275" s="767">
        <f>INPUT!AT221</f>
        <v>4.702842377260974</v>
      </c>
      <c r="D275" s="750">
        <f>INPUT!AU221</f>
        <v>209.5</v>
      </c>
      <c r="E275" s="767">
        <f>INPUT!AV221</f>
        <v>7.1063394683026582</v>
      </c>
      <c r="F275" s="750">
        <f>INPUT!AW221</f>
        <v>212.8</v>
      </c>
      <c r="G275" s="767">
        <f>INPUT!AX221</f>
        <v>7.8014184397163122</v>
      </c>
      <c r="H275" s="750">
        <f>INPUT!AY221</f>
        <v>217.2</v>
      </c>
      <c r="I275" s="752">
        <f>INPUT!AZ221</f>
        <v>8.3291770573566062</v>
      </c>
      <c r="J275" s="750">
        <f>INPUT!BA221</f>
        <v>223.4</v>
      </c>
      <c r="K275" s="752">
        <f>INPUT!BB221</f>
        <v>10.26653504442252</v>
      </c>
      <c r="L275" s="750">
        <f>INPUT!BC221</f>
        <v>224.8</v>
      </c>
      <c r="M275" s="752">
        <f>INPUT!BD221</f>
        <v>7.3031026252983411</v>
      </c>
      <c r="N275" s="750">
        <f>INPUT!BE221</f>
        <v>227</v>
      </c>
      <c r="O275" s="752">
        <f>INPUT!BF221</f>
        <v>6.6729323308270638</v>
      </c>
      <c r="P275" s="750">
        <f>INPUT!BG221</f>
        <v>232</v>
      </c>
      <c r="Q275" s="752">
        <f>INPUT!BH221</f>
        <v>6.8139963167587636</v>
      </c>
      <c r="R275" s="750">
        <f>INPUT!BI221</f>
        <v>240.4</v>
      </c>
      <c r="S275" s="752">
        <f>INPUT!BJ221</f>
        <v>7.6096687555953446</v>
      </c>
      <c r="T275" s="750">
        <f>INPUT!BK221</f>
        <v>242.6</v>
      </c>
      <c r="U275" s="752">
        <f>INPUT!BL221</f>
        <v>7.9181494661921592</v>
      </c>
      <c r="V275" s="750">
        <f>INPUT!BM221</f>
        <v>245.2</v>
      </c>
      <c r="W275" s="752">
        <f>INPUT!BN221</f>
        <v>8.0176211453744539</v>
      </c>
      <c r="X275" s="750">
        <f>INPUT!BO221</f>
        <v>249.1</v>
      </c>
      <c r="Y275" s="752">
        <f>INPUT!BP221</f>
        <v>7.3706896551724022</v>
      </c>
      <c r="Z275" s="750">
        <f>INPUT!BQ221</f>
        <v>253.4</v>
      </c>
      <c r="AA275" s="752">
        <f>INPUT!BR221</f>
        <v>5.4076539101497456</v>
      </c>
      <c r="AB275" s="750">
        <f>INPUT!BS221</f>
        <v>250.8</v>
      </c>
      <c r="AC275" s="752">
        <f>INPUT!BT221</f>
        <v>3.3800494641385015</v>
      </c>
      <c r="AD275" s="750">
        <f>INPUT!BU221</f>
        <v>253.5</v>
      </c>
      <c r="AE275" s="752">
        <f>INPUT!BV221</f>
        <v>3.3849918433931592</v>
      </c>
      <c r="AF275" s="750">
        <f>INPUT!BW221</f>
        <v>257.39999999999998</v>
      </c>
      <c r="AG275" s="752">
        <f>INPUT!BX221</f>
        <v>3.3319951826575656</v>
      </c>
      <c r="AH275" s="750">
        <f>INPUT!BY221</f>
        <v>265.10000000000002</v>
      </c>
      <c r="AI275" s="752">
        <f>INPUT!BZ221</f>
        <v>4.6172059984214808</v>
      </c>
      <c r="AJ275" s="750">
        <f>INPUT!CA221</f>
        <v>267.7</v>
      </c>
      <c r="AK275" s="752">
        <f>INPUT!CB221</f>
        <v>6.738437001594888</v>
      </c>
      <c r="AL275" s="750">
        <f>INPUT!CC221</f>
        <v>269.3</v>
      </c>
      <c r="AM275" s="752">
        <f>INPUT!CD221</f>
        <v>6.2327416173570072</v>
      </c>
      <c r="AN275" s="750">
        <f>INPUT!CE221</f>
        <v>273.60000000000002</v>
      </c>
      <c r="AO275" s="752">
        <f>INPUT!CF221</f>
        <v>6.2937062937063137</v>
      </c>
      <c r="AP275" s="750">
        <f>INPUT!CG221</f>
        <v>280.39999999999998</v>
      </c>
      <c r="AQ275" s="752">
        <f>INPUT!CH221</f>
        <v>5.7714070162202757</v>
      </c>
      <c r="AR275" s="750">
        <f>INPUT!CI221</f>
        <v>282</v>
      </c>
      <c r="AS275" s="752">
        <f>INPUT!CJ221</f>
        <v>5.3418005229734833</v>
      </c>
      <c r="AT275" s="750">
        <f>INPUT!CK221</f>
        <v>283.7</v>
      </c>
      <c r="AU275" s="752">
        <f>INPUT!CL221</f>
        <v>5.3471964352023615</v>
      </c>
      <c r="AV275" s="750">
        <f>INPUT!CM221</f>
        <v>289.2</v>
      </c>
      <c r="AW275" s="752">
        <f>INPUT!CN221</f>
        <v>5.7017543859648967</v>
      </c>
      <c r="AX275" s="750">
        <f>INPUT!CO221</f>
        <v>296.3</v>
      </c>
      <c r="AY275" s="752">
        <f>INPUT!CP221</f>
        <v>5.6704707560627732</v>
      </c>
      <c r="AZ275" s="750">
        <f>INPUT!CQ221</f>
        <v>296.89999999999998</v>
      </c>
      <c r="BA275" s="752">
        <f>INPUT!CR221</f>
        <v>5.283687943262394</v>
      </c>
      <c r="BB275" s="750">
        <f>INPUT!CS221</f>
        <v>299.39999999999998</v>
      </c>
      <c r="BC275" s="752">
        <f>INPUT!CT221</f>
        <v>5.5340148043708126</v>
      </c>
      <c r="BD275" s="750">
        <f>INPUT!CU221</f>
        <v>301.89999999999998</v>
      </c>
      <c r="BE275" s="752">
        <f>INPUT!CV221</f>
        <v>4.3914246196403939</v>
      </c>
      <c r="BF275" s="750">
        <f>INPUT!CW221</f>
        <v>307.10000000000002</v>
      </c>
      <c r="BG275" s="752">
        <f>INPUT!CX221</f>
        <v>3.6449544380695365</v>
      </c>
      <c r="BH275" s="750">
        <f>INPUT!CY221</f>
        <v>307.89999999999998</v>
      </c>
      <c r="BI275" s="752">
        <f>INPUT!CZ221</f>
        <v>3.7049511620074194</v>
      </c>
      <c r="BJ275" s="750">
        <f>INPUT!DA221</f>
        <v>309.10000000000002</v>
      </c>
      <c r="BK275" s="752">
        <f>INPUT!DB221</f>
        <v>3.2398129592518421</v>
      </c>
      <c r="BL275" s="750">
        <f>INPUT!DC221</f>
        <v>308.10000000000002</v>
      </c>
      <c r="BM275" s="752">
        <f>INPUT!DD221</f>
        <v>2.0536601523683418</v>
      </c>
      <c r="BN275" s="750">
        <f>INPUT!DE221</f>
        <v>316.39999999999998</v>
      </c>
      <c r="BO275" s="752">
        <f>INPUT!DF221</f>
        <v>3.0283295343536132</v>
      </c>
      <c r="BP275" s="750">
        <f>INPUT!DG221</f>
        <v>316.8</v>
      </c>
      <c r="BQ275" s="752">
        <f>INPUT!DH221</f>
        <v>2.8905488795063494</v>
      </c>
      <c r="BR275" s="750">
        <f>INPUT!DI221</f>
        <v>319.39999999999998</v>
      </c>
      <c r="BS275" s="752">
        <f>INPUT!DJ221</f>
        <v>3.3322549336784135</v>
      </c>
      <c r="BT275" s="750">
        <f>INPUT!DK221</f>
        <v>321.10000000000002</v>
      </c>
      <c r="BU275" s="752">
        <f>INPUT!DL221</f>
        <v>4.2194092827004148</v>
      </c>
      <c r="BV275" s="750">
        <f>INPUT!DM221</f>
        <v>332.2</v>
      </c>
      <c r="BW275" s="752">
        <f>INPUT!DN221</f>
        <v>4.9936788874842097</v>
      </c>
      <c r="BX275" s="750">
        <f>INPUT!DO221</f>
        <v>335.9</v>
      </c>
      <c r="BY275" s="752">
        <f>INPUT!DP221</f>
        <v>6.0290404040403978</v>
      </c>
      <c r="BZ275" s="750">
        <f>INPUT!DQ221</f>
        <v>333.1</v>
      </c>
      <c r="CA275" s="752">
        <f>INPUT!DR221</f>
        <v>4.2892924232937002</v>
      </c>
      <c r="CB275" s="750">
        <f>INPUT!DS221</f>
        <v>337.4</v>
      </c>
      <c r="CC275" s="752">
        <f>INPUT!DT221</f>
        <v>5.0763002180006067</v>
      </c>
      <c r="CD275" s="750">
        <f>INPUT!DU221</f>
        <v>351.2</v>
      </c>
      <c r="CE275" s="752">
        <f>INPUT!DV221</f>
        <v>5.7194461167971111</v>
      </c>
      <c r="CF275" s="750">
        <f>INPUT!DW221</f>
        <v>351.4</v>
      </c>
      <c r="CG275" s="752">
        <f>INPUT!DX221</f>
        <v>4.6144685918428019</v>
      </c>
      <c r="CH275" s="750">
        <f>INPUT!DY221</f>
        <v>354.1</v>
      </c>
      <c r="CI275" s="752">
        <f>INPUT!DZ221</f>
        <v>6.3044130891624084</v>
      </c>
      <c r="CJ275" s="750">
        <f>INPUT!EA221</f>
        <v>360.4</v>
      </c>
      <c r="CK275" s="752">
        <f>INPUT!EB221</f>
        <v>6.8168346176644912</v>
      </c>
      <c r="CL275" s="750">
        <f>INPUT!EC221</f>
        <v>374.3</v>
      </c>
      <c r="CM275" s="752">
        <f>INPUT!ED221</f>
        <v>6.5774487471526255</v>
      </c>
      <c r="CN275" s="750">
        <f>INPUT!EE221</f>
        <v>376.3</v>
      </c>
      <c r="CO275" s="752">
        <f>INPUT!EF221</f>
        <v>7.0859419464997186</v>
      </c>
      <c r="CP275" s="750">
        <f>INPUT!EG221</f>
        <v>378.7</v>
      </c>
      <c r="CQ275" s="752">
        <f>INPUT!EH221</f>
        <v>6.9471900593052638</v>
      </c>
      <c r="CR275" s="750">
        <f>INPUT!EI221</f>
        <v>382.1</v>
      </c>
      <c r="CS275" s="752">
        <f>INPUT!EJ221</f>
        <v>6.0210876803551638</v>
      </c>
      <c r="CT275" s="750">
        <f>INPUT!EK221</f>
        <v>389.74200000000002</v>
      </c>
      <c r="CU275" s="752">
        <f>INPUT!EL221</f>
        <v>4.125567726422652</v>
      </c>
      <c r="CV275" s="750">
        <f>INPUT!EM221</f>
        <v>397.53684000000004</v>
      </c>
      <c r="CW275" s="752">
        <f>INPUT!EN221</f>
        <v>5.6435928780228517</v>
      </c>
      <c r="CX275" s="750">
        <f>INPUT!EO221</f>
        <v>405.48757680000006</v>
      </c>
      <c r="CY275" s="752">
        <f>INPUT!EP221</f>
        <v>7.0735613414312226</v>
      </c>
      <c r="CZ275" s="750">
        <f>INPUT!EQ221</f>
        <v>413.59732833600009</v>
      </c>
      <c r="DA275" s="752">
        <f>INPUT!ER221</f>
        <v>8.2432160000000199</v>
      </c>
      <c r="DB275" s="753"/>
      <c r="DC275" s="750">
        <f>INPUT!FB221</f>
        <v>611.9</v>
      </c>
      <c r="DD275" s="767" t="str">
        <f>INPUT!FC221</f>
        <v>NA</v>
      </c>
      <c r="DE275" s="750">
        <f>INPUT!FD221</f>
        <v>636.70000000000005</v>
      </c>
      <c r="DF275" s="767">
        <f>INPUT!FE221</f>
        <v>4.0529498284033405</v>
      </c>
      <c r="DG275" s="750">
        <f>INPUT!FF221</f>
        <v>693.5</v>
      </c>
      <c r="DH275" s="767">
        <f>INPUT!FG221</f>
        <v>8.920998900581111</v>
      </c>
      <c r="DI275" s="750">
        <f>INPUT!FH221</f>
        <v>741</v>
      </c>
      <c r="DJ275" s="767">
        <f>INPUT!FI221</f>
        <v>6.8493150684931559</v>
      </c>
      <c r="DK275" s="750">
        <f>INPUT!FJ221</f>
        <v>787</v>
      </c>
      <c r="DL275" s="752">
        <f>INPUT!FK221</f>
        <v>6.2078272604588314</v>
      </c>
      <c r="DM275" s="750">
        <f>INPUT!FL221</f>
        <v>842.10000000000014</v>
      </c>
      <c r="DN275" s="752">
        <f>INPUT!FM221</f>
        <v>7.0012706480305109</v>
      </c>
      <c r="DO275" s="750">
        <f>INPUT!FN221</f>
        <v>907.2</v>
      </c>
      <c r="DP275" s="752">
        <f>INPUT!FO221</f>
        <v>7.7306733167082253</v>
      </c>
      <c r="DQ275" s="750">
        <f>INPUT!FP221</f>
        <v>977.30000000000007</v>
      </c>
      <c r="DR275" s="752">
        <f>INPUT!FQ221</f>
        <v>7.727072310405636</v>
      </c>
      <c r="DS275" s="750">
        <f>INPUT!FR221</f>
        <v>1015.1</v>
      </c>
      <c r="DT275" s="752">
        <f>INPUT!FS221</f>
        <v>3.8677990381663641</v>
      </c>
      <c r="DU275" s="750">
        <f>INPUT!FT221</f>
        <v>1075.6999999999998</v>
      </c>
      <c r="DV275" s="752">
        <f>INPUT!FU221</f>
        <v>5.9698551866810945</v>
      </c>
      <c r="DW275" s="750">
        <f>INPUT!FV221</f>
        <v>1135.3</v>
      </c>
      <c r="DX275" s="752">
        <f>INPUT!FW221</f>
        <v>5.5405782281305438</v>
      </c>
      <c r="DY275" s="750">
        <f>INPUT!FX221</f>
        <v>1194.5</v>
      </c>
      <c r="DZ275" s="752">
        <f>INPUT!FY221</f>
        <v>5.2144807539857396</v>
      </c>
      <c r="EA275" s="750">
        <f>INPUT!FZ221</f>
        <v>1232.2</v>
      </c>
      <c r="EB275" s="752">
        <f>INPUT!GA221</f>
        <v>3.1561322729175334</v>
      </c>
      <c r="EC275" s="750">
        <f>INPUT!GB221</f>
        <v>1273.7</v>
      </c>
      <c r="ED275" s="752">
        <f>INPUT!GC221</f>
        <v>3.3679597467943578</v>
      </c>
      <c r="EE275" s="750">
        <f>INPUT!GD221</f>
        <v>1338.6</v>
      </c>
      <c r="EF275" s="752">
        <f>INPUT!GE221</f>
        <v>5.0953913794457018</v>
      </c>
      <c r="EG275" s="750">
        <f>INPUT!GF221</f>
        <v>1417.1</v>
      </c>
      <c r="EH275" s="752">
        <f>INPUT!GG221</f>
        <v>5.8643358733004636</v>
      </c>
      <c r="EI275" s="750">
        <f>INPUT!GH221</f>
        <v>1511.4</v>
      </c>
      <c r="EJ275" s="752">
        <f>INPUT!GI221</f>
        <v>6.6544351139651514</v>
      </c>
      <c r="EK275" s="750">
        <f>INPUT!GJ221</f>
        <v>1606.3637451360003</v>
      </c>
      <c r="EL275" s="752">
        <f>INPUT!GK221</f>
        <v>6.2831642937673848</v>
      </c>
      <c r="EM275" s="750">
        <f>INPUT!GL221</f>
        <v>1638.4910200387203</v>
      </c>
      <c r="EN275" s="752">
        <f>INPUT!GM221</f>
        <v>2.0000000000000018</v>
      </c>
      <c r="EO275" s="750">
        <f>INPUT!GN221</f>
        <v>1671.2608404394948</v>
      </c>
      <c r="EP275" s="752">
        <f>INPUT!GO221</f>
        <v>2.0000000000000018</v>
      </c>
      <c r="EQ275" s="750">
        <f>INPUT!GP221</f>
        <v>1704.6860572482847</v>
      </c>
      <c r="ER275" s="752">
        <f>INPUT!GQ221</f>
        <v>2.0000000000000018</v>
      </c>
      <c r="ES275" s="750">
        <f>INPUT!GR221</f>
        <v>1738.7797783932504</v>
      </c>
      <c r="ET275" s="752">
        <f>INPUT!GS221</f>
        <v>2.0000000000000018</v>
      </c>
      <c r="EU275" s="767">
        <f>INPUT!GT221</f>
        <v>2.8425964297081441</v>
      </c>
      <c r="EV275" s="710"/>
    </row>
    <row r="276" spans="1:152" ht="12.75" hidden="1" customHeight="1" outlineLevel="1" x14ac:dyDescent="0.2">
      <c r="A276" s="754" t="str">
        <f>INPUT!B222</f>
        <v>Net Investment Income</v>
      </c>
      <c r="B276" s="750">
        <f>INPUT!AS222</f>
        <v>22.6</v>
      </c>
      <c r="C276" s="767">
        <f>INPUT!AT222</f>
        <v>-9.5999999999999979</v>
      </c>
      <c r="D276" s="750">
        <f>INPUT!AU222</f>
        <v>23.4</v>
      </c>
      <c r="E276" s="767">
        <f>INPUT!AV222</f>
        <v>0.42918454935620964</v>
      </c>
      <c r="F276" s="750">
        <f>INPUT!AW222</f>
        <v>23.6</v>
      </c>
      <c r="G276" s="767">
        <f>INPUT!AX222</f>
        <v>0.85470085470087387</v>
      </c>
      <c r="H276" s="750">
        <f>INPUT!AY222</f>
        <v>24</v>
      </c>
      <c r="I276" s="752">
        <f>INPUT!AZ222</f>
        <v>-1.2345679012345734</v>
      </c>
      <c r="J276" s="750">
        <f>INPUT!BA222</f>
        <v>24.4</v>
      </c>
      <c r="K276" s="752">
        <f>INPUT!BB222</f>
        <v>7.9646017699114946</v>
      </c>
      <c r="L276" s="750">
        <f>INPUT!BC222</f>
        <v>24.9</v>
      </c>
      <c r="M276" s="752">
        <f>INPUT!BD222</f>
        <v>6.4102564102564097</v>
      </c>
      <c r="N276" s="750">
        <f>INPUT!BE222</f>
        <v>24.9</v>
      </c>
      <c r="O276" s="752">
        <f>INPUT!BF222</f>
        <v>5.5084745762711718</v>
      </c>
      <c r="P276" s="750">
        <f>INPUT!BG222</f>
        <v>25.6</v>
      </c>
      <c r="Q276" s="752">
        <f>INPUT!BH222</f>
        <v>6.6666666666666652</v>
      </c>
      <c r="R276" s="750">
        <f>INPUT!BI222</f>
        <v>25.9</v>
      </c>
      <c r="S276" s="752">
        <f>INPUT!BJ222</f>
        <v>6.1475409836065475</v>
      </c>
      <c r="T276" s="750">
        <f>INPUT!BK222</f>
        <v>26.4</v>
      </c>
      <c r="U276" s="752">
        <f>INPUT!BL222</f>
        <v>6.024096385542177</v>
      </c>
      <c r="V276" s="750">
        <f>INPUT!BM222</f>
        <v>26.5</v>
      </c>
      <c r="W276" s="752">
        <f>INPUT!BN222</f>
        <v>6.4257028112449932</v>
      </c>
      <c r="X276" s="750">
        <f>INPUT!BO222</f>
        <v>26.9</v>
      </c>
      <c r="Y276" s="752">
        <f>INPUT!BP222</f>
        <v>5.0781249999999778</v>
      </c>
      <c r="Z276" s="750">
        <f>INPUT!BQ222</f>
        <v>27.6</v>
      </c>
      <c r="AA276" s="752">
        <f>INPUT!BR222</f>
        <v>6.5637065637065728</v>
      </c>
      <c r="AB276" s="750">
        <f>INPUT!BS222</f>
        <v>28.4</v>
      </c>
      <c r="AC276" s="752">
        <f>INPUT!BT222</f>
        <v>7.575757575757569</v>
      </c>
      <c r="AD276" s="750">
        <f>INPUT!BU222</f>
        <v>29.4</v>
      </c>
      <c r="AE276" s="752">
        <f>INPUT!BV222</f>
        <v>10.943396226415093</v>
      </c>
      <c r="AF276" s="750">
        <f>INPUT!BW222</f>
        <v>28.9</v>
      </c>
      <c r="AG276" s="752">
        <f>INPUT!BX222</f>
        <v>7.4349442379182173</v>
      </c>
      <c r="AH276" s="750">
        <f>INPUT!BY222</f>
        <v>29.9</v>
      </c>
      <c r="AI276" s="752">
        <f>INPUT!BZ222</f>
        <v>8.333333333333325</v>
      </c>
      <c r="AJ276" s="750">
        <f>INPUT!CA222</f>
        <v>29.3</v>
      </c>
      <c r="AK276" s="752">
        <f>INPUT!CB222</f>
        <v>3.1690140845070491</v>
      </c>
      <c r="AL276" s="750">
        <f>INPUT!CC222</f>
        <v>31.9</v>
      </c>
      <c r="AM276" s="752">
        <f>INPUT!CD222</f>
        <v>8.5034013605442169</v>
      </c>
      <c r="AN276" s="750">
        <f>INPUT!CE222</f>
        <v>31.4</v>
      </c>
      <c r="AO276" s="752">
        <f>INPUT!CF222</f>
        <v>8.6505190311418687</v>
      </c>
      <c r="AP276" s="750">
        <f>INPUT!CG222</f>
        <v>31.3</v>
      </c>
      <c r="AQ276" s="752">
        <f>INPUT!CH222</f>
        <v>4.6822742474916357</v>
      </c>
      <c r="AR276" s="750">
        <f>INPUT!CI222</f>
        <v>35.799999999999997</v>
      </c>
      <c r="AS276" s="752">
        <f>INPUT!CJ222</f>
        <v>22.184300341296925</v>
      </c>
      <c r="AT276" s="750">
        <f>INPUT!CK222</f>
        <v>32.5</v>
      </c>
      <c r="AU276" s="752">
        <f>INPUT!CL222</f>
        <v>1.8808777429467183</v>
      </c>
      <c r="AV276" s="750">
        <f>INPUT!CM222</f>
        <v>32.799999999999997</v>
      </c>
      <c r="AW276" s="752">
        <f>INPUT!CN222</f>
        <v>4.4585987261146487</v>
      </c>
      <c r="AX276" s="750">
        <f>INPUT!CO222</f>
        <v>35.6</v>
      </c>
      <c r="AY276" s="752">
        <f>INPUT!CP222</f>
        <v>13.738019169329085</v>
      </c>
      <c r="AZ276" s="750">
        <f>INPUT!CQ222</f>
        <v>34</v>
      </c>
      <c r="BA276" s="752">
        <f>INPUT!CR222</f>
        <v>-5.0279329608938443</v>
      </c>
      <c r="BB276" s="750">
        <f>INPUT!CS222</f>
        <v>33.9</v>
      </c>
      <c r="BC276" s="752">
        <f>INPUT!CT222</f>
        <v>4.3076923076923013</v>
      </c>
      <c r="BD276" s="750">
        <f>INPUT!CU222</f>
        <v>35.1</v>
      </c>
      <c r="BE276" s="752">
        <f>INPUT!CV222</f>
        <v>7.0121951219512368</v>
      </c>
      <c r="BF276" s="750">
        <f>INPUT!CW222</f>
        <v>39.4</v>
      </c>
      <c r="BG276" s="752">
        <f>INPUT!CX222</f>
        <v>10.67415730337078</v>
      </c>
      <c r="BH276" s="750">
        <f>INPUT!CY222</f>
        <v>34</v>
      </c>
      <c r="BI276" s="752">
        <f>INPUT!CZ222</f>
        <v>0</v>
      </c>
      <c r="BJ276" s="750">
        <f>INPUT!DA222</f>
        <v>35.9</v>
      </c>
      <c r="BK276" s="752">
        <f>INPUT!DB222</f>
        <v>5.8997050147492569</v>
      </c>
      <c r="BL276" s="750">
        <f>INPUT!DC222</f>
        <v>34.799999999999997</v>
      </c>
      <c r="BM276" s="752">
        <f>INPUT!DD222</f>
        <v>-0.85470085470086277</v>
      </c>
      <c r="BN276" s="750">
        <f>INPUT!DE222</f>
        <v>36.6</v>
      </c>
      <c r="BO276" s="752">
        <f>INPUT!DF222</f>
        <v>-7.106598984771562</v>
      </c>
      <c r="BP276" s="750">
        <f>INPUT!DG222</f>
        <v>35.799999999999997</v>
      </c>
      <c r="BQ276" s="752">
        <f>INPUT!DH222</f>
        <v>5.2941176470588047</v>
      </c>
      <c r="BR276" s="750">
        <f>INPUT!DI222</f>
        <v>35.5</v>
      </c>
      <c r="BS276" s="752">
        <f>INPUT!DJ222</f>
        <v>-1.114206128133699</v>
      </c>
      <c r="BT276" s="750">
        <f>INPUT!DK222</f>
        <v>37.6</v>
      </c>
      <c r="BU276" s="752">
        <f>INPUT!DL222</f>
        <v>8.0459770114942764</v>
      </c>
      <c r="BV276" s="750">
        <f>INPUT!DM222</f>
        <v>37</v>
      </c>
      <c r="BW276" s="752">
        <f>INPUT!DN222</f>
        <v>1.0928961748633892</v>
      </c>
      <c r="BX276" s="750">
        <f>INPUT!DO222</f>
        <v>36.9</v>
      </c>
      <c r="BY276" s="752">
        <f>INPUT!DP222</f>
        <v>3.0726256983240274</v>
      </c>
      <c r="BZ276" s="750">
        <f>INPUT!DQ222</f>
        <v>35.9</v>
      </c>
      <c r="CA276" s="752">
        <f>INPUT!DR222</f>
        <v>1.1267605633802802</v>
      </c>
      <c r="CB276" s="750">
        <f>INPUT!DS222</f>
        <v>35.6</v>
      </c>
      <c r="CC276" s="752">
        <f>INPUT!DT222</f>
        <v>-5.3191489361702153</v>
      </c>
      <c r="CD276" s="750">
        <f>INPUT!DU222</f>
        <v>34</v>
      </c>
      <c r="CE276" s="752">
        <f>INPUT!DV222</f>
        <v>-8.1081081081081035</v>
      </c>
      <c r="CF276" s="750">
        <f>INPUT!DW222</f>
        <v>35.6</v>
      </c>
      <c r="CG276" s="752">
        <f>INPUT!DX222</f>
        <v>-3.5230352303523005</v>
      </c>
      <c r="CH276" s="750">
        <f>INPUT!DY222</f>
        <v>36.1</v>
      </c>
      <c r="CI276" s="752">
        <f>INPUT!DZ222</f>
        <v>0.55710306406686616</v>
      </c>
      <c r="CJ276" s="750">
        <f>INPUT!EA222</f>
        <v>35.799999999999997</v>
      </c>
      <c r="CK276" s="752">
        <f>INPUT!EB222</f>
        <v>0.56179775280897903</v>
      </c>
      <c r="CL276" s="750">
        <f>INPUT!EC222</f>
        <v>35.1</v>
      </c>
      <c r="CM276" s="752">
        <f>INPUT!ED222</f>
        <v>3.2352941176470695</v>
      </c>
      <c r="CN276" s="750">
        <f>INPUT!EE222</f>
        <v>36.700000000000003</v>
      </c>
      <c r="CO276" s="752">
        <f>INPUT!EF222</f>
        <v>3.0898876404494402</v>
      </c>
      <c r="CP276" s="750">
        <f>INPUT!EG222</f>
        <v>36</v>
      </c>
      <c r="CQ276" s="752">
        <f>INPUT!EH222</f>
        <v>-0.27700831024931594</v>
      </c>
      <c r="CR276" s="750">
        <f>INPUT!EI222</f>
        <v>37.1</v>
      </c>
      <c r="CS276" s="752">
        <f>INPUT!EJ222</f>
        <v>3.6312849162011274</v>
      </c>
      <c r="CT276" s="750">
        <f>INPUT!EK222</f>
        <v>37.285499999999999</v>
      </c>
      <c r="CU276" s="752">
        <f>INPUT!EL222</f>
        <v>6.2264957264957177</v>
      </c>
      <c r="CV276" s="750">
        <f>INPUT!EM222</f>
        <v>37.471927499999993</v>
      </c>
      <c r="CW276" s="752">
        <f>INPUT!EN222</f>
        <v>2.1033446866484784</v>
      </c>
      <c r="CX276" s="750">
        <f>INPUT!EO222</f>
        <v>37.659287137499987</v>
      </c>
      <c r="CY276" s="752">
        <f>INPUT!EP222</f>
        <v>4.6091309374999723</v>
      </c>
      <c r="CZ276" s="750">
        <f>INPUT!EQ222</f>
        <v>37.847583573187485</v>
      </c>
      <c r="DA276" s="752">
        <f>INPUT!ER222</f>
        <v>2.0150500624999568</v>
      </c>
      <c r="DB276" s="753"/>
      <c r="DC276" s="750">
        <f>INPUT!FB222</f>
        <v>82.800000000000011</v>
      </c>
      <c r="DD276" s="767" t="str">
        <f>INPUT!FC222</f>
        <v>NA</v>
      </c>
      <c r="DE276" s="750">
        <f>INPUT!FD222</f>
        <v>79.599999999999994</v>
      </c>
      <c r="DF276" s="767">
        <f>INPUT!FE222</f>
        <v>-3.8647342995169254</v>
      </c>
      <c r="DG276" s="750">
        <f>INPUT!FF222</f>
        <v>89.999999999999986</v>
      </c>
      <c r="DH276" s="767">
        <f>INPUT!FG222</f>
        <v>13.065326633165819</v>
      </c>
      <c r="DI276" s="750">
        <f>INPUT!FH222</f>
        <v>94.5</v>
      </c>
      <c r="DJ276" s="767">
        <f>INPUT!FI222</f>
        <v>5.0000000000000266</v>
      </c>
      <c r="DK276" s="750">
        <f>INPUT!FJ222</f>
        <v>96</v>
      </c>
      <c r="DL276" s="752">
        <f>INPUT!FK222</f>
        <v>1.5873015873015817</v>
      </c>
      <c r="DM276" s="750">
        <f>INPUT!FL222</f>
        <v>93.6</v>
      </c>
      <c r="DN276" s="752">
        <f>INPUT!FM222</f>
        <v>-2.5000000000000022</v>
      </c>
      <c r="DO276" s="750">
        <f>INPUT!FN222</f>
        <v>99.799999999999983</v>
      </c>
      <c r="DP276" s="752">
        <f>INPUT!FO222</f>
        <v>6.6239316239316226</v>
      </c>
      <c r="DQ276" s="750">
        <f>INPUT!FP222</f>
        <v>105.69999999999999</v>
      </c>
      <c r="DR276" s="752">
        <f>INPUT!FQ222</f>
        <v>5.9118236472945895</v>
      </c>
      <c r="DS276" s="750">
        <f>INPUT!FR222</f>
        <v>114.30000000000001</v>
      </c>
      <c r="DT276" s="752">
        <f>INPUT!FS222</f>
        <v>8.1362346263008654</v>
      </c>
      <c r="DU276" s="750">
        <f>INPUT!FT222</f>
        <v>122.5</v>
      </c>
      <c r="DV276" s="752">
        <f>INPUT!FU222</f>
        <v>7.1741032370953528</v>
      </c>
      <c r="DW276" s="750">
        <f>INPUT!FV222</f>
        <v>132.39999999999998</v>
      </c>
      <c r="DX276" s="752">
        <f>INPUT!FW222</f>
        <v>8.0816326530612095</v>
      </c>
      <c r="DY276" s="750">
        <f>INPUT!FX222</f>
        <v>137.69999999999999</v>
      </c>
      <c r="DZ276" s="752">
        <f>INPUT!FY222</f>
        <v>4.0030211480362565</v>
      </c>
      <c r="EA276" s="750">
        <f>INPUT!FZ222</f>
        <v>144.10000000000002</v>
      </c>
      <c r="EB276" s="752">
        <f>INPUT!GA222</f>
        <v>4.6477850399419207</v>
      </c>
      <c r="EC276" s="750">
        <f>INPUT!GB222</f>
        <v>145.5</v>
      </c>
      <c r="ED276" s="752">
        <f>INPUT!GC222</f>
        <v>0.97154753643302616</v>
      </c>
      <c r="EE276" s="750">
        <f>INPUT!GD222</f>
        <v>145.4</v>
      </c>
      <c r="EF276" s="752">
        <f>INPUT!GE222</f>
        <v>-6.8728522336769515E-2</v>
      </c>
      <c r="EG276" s="750">
        <f>INPUT!GF222</f>
        <v>141.5</v>
      </c>
      <c r="EH276" s="752">
        <f>INPUT!GG222</f>
        <v>-2.6822558459422274</v>
      </c>
      <c r="EI276" s="750">
        <f>INPUT!GH222</f>
        <v>144.9</v>
      </c>
      <c r="EJ276" s="752">
        <f>INPUT!GI222</f>
        <v>2.4028268551236742</v>
      </c>
      <c r="EK276" s="750">
        <f>INPUT!GJ222</f>
        <v>150.26429821068746</v>
      </c>
      <c r="EL276" s="752">
        <f>INPUT!GK222</f>
        <v>3.7020691585144538</v>
      </c>
      <c r="EM276" s="750">
        <f>INPUT!GL222</f>
        <v>153.26958417490121</v>
      </c>
      <c r="EN276" s="752">
        <f>INPUT!GM222</f>
        <v>2.0000000000000018</v>
      </c>
      <c r="EO276" s="750">
        <f>INPUT!GN222</f>
        <v>156.33497585839925</v>
      </c>
      <c r="EP276" s="752">
        <f>INPUT!GO222</f>
        <v>2.0000000000000018</v>
      </c>
      <c r="EQ276" s="750">
        <f>INPUT!GP222</f>
        <v>159.46167537556724</v>
      </c>
      <c r="ER276" s="752">
        <f>INPUT!GQ222</f>
        <v>2.0000000000000018</v>
      </c>
      <c r="ES276" s="750">
        <f>INPUT!GR222</f>
        <v>162.65090888307859</v>
      </c>
      <c r="ET276" s="752">
        <f>INPUT!GS222</f>
        <v>2.0000000000000018</v>
      </c>
      <c r="EU276" s="767">
        <f>INPUT!GT222</f>
        <v>2.3381641310474155</v>
      </c>
      <c r="EV276" s="710"/>
    </row>
    <row r="277" spans="1:152" ht="12.75" hidden="1" customHeight="1" outlineLevel="1" x14ac:dyDescent="0.2">
      <c r="A277" s="754" t="str">
        <f>INPUT!B223</f>
        <v>Other Income</v>
      </c>
      <c r="B277" s="750">
        <f>INPUT!AS223</f>
        <v>0.3</v>
      </c>
      <c r="C277" s="767" t="str">
        <f>INPUT!AT223</f>
        <v>NM</v>
      </c>
      <c r="D277" s="750">
        <f>INPUT!AU223</f>
        <v>0.4</v>
      </c>
      <c r="E277" s="767" t="str">
        <f>INPUT!AV223</f>
        <v>NM</v>
      </c>
      <c r="F277" s="750">
        <f>INPUT!AW223</f>
        <v>0.2</v>
      </c>
      <c r="G277" s="767" t="str">
        <f>INPUT!AX223</f>
        <v>NM</v>
      </c>
      <c r="H277" s="750">
        <f>INPUT!AY223</f>
        <v>0.2</v>
      </c>
      <c r="I277" s="752" t="str">
        <f>INPUT!AZ223</f>
        <v>NM</v>
      </c>
      <c r="J277" s="750">
        <f>INPUT!BA223</f>
        <v>0.3</v>
      </c>
      <c r="K277" s="752">
        <f>INPUT!BB223</f>
        <v>0</v>
      </c>
      <c r="L277" s="750">
        <f>INPUT!BC223</f>
        <v>0.3</v>
      </c>
      <c r="M277" s="752">
        <f>INPUT!BD223</f>
        <v>-25.000000000000011</v>
      </c>
      <c r="N277" s="750">
        <f>INPUT!BE223</f>
        <v>0.3</v>
      </c>
      <c r="O277" s="752">
        <f>INPUT!BF223</f>
        <v>49.999999999999979</v>
      </c>
      <c r="P277" s="750">
        <f>INPUT!BG223</f>
        <v>0</v>
      </c>
      <c r="Q277" s="752" t="str">
        <f>INPUT!BH223</f>
        <v>NM</v>
      </c>
      <c r="R277" s="750">
        <f>INPUT!BI223</f>
        <v>0.1</v>
      </c>
      <c r="S277" s="752" t="str">
        <f>INPUT!BJ223</f>
        <v>NM</v>
      </c>
      <c r="T277" s="750">
        <f>INPUT!BK223</f>
        <v>0.1</v>
      </c>
      <c r="U277" s="752" t="str">
        <f>INPUT!BL223</f>
        <v>NM</v>
      </c>
      <c r="V277" s="750">
        <f>INPUT!BM223</f>
        <v>0.1</v>
      </c>
      <c r="W277" s="752" t="str">
        <f>INPUT!BN223</f>
        <v>NM</v>
      </c>
      <c r="X277" s="750">
        <f>INPUT!BO223</f>
        <v>0.1</v>
      </c>
      <c r="Y277" s="752" t="str">
        <f>INPUT!BP223</f>
        <v>NA</v>
      </c>
      <c r="Z277" s="750">
        <f>INPUT!BQ223</f>
        <v>0.1</v>
      </c>
      <c r="AA277" s="752">
        <f>INPUT!BR223</f>
        <v>0</v>
      </c>
      <c r="AB277" s="750">
        <f>INPUT!BS223</f>
        <v>0.2</v>
      </c>
      <c r="AC277" s="752">
        <f>INPUT!BT223</f>
        <v>100</v>
      </c>
      <c r="AD277" s="750">
        <f>INPUT!BU223</f>
        <v>0.1</v>
      </c>
      <c r="AE277" s="752">
        <f>INPUT!BV223</f>
        <v>0</v>
      </c>
      <c r="AF277" s="750">
        <f>INPUT!BW223</f>
        <v>0.1</v>
      </c>
      <c r="AG277" s="752">
        <f>INPUT!BX223</f>
        <v>0</v>
      </c>
      <c r="AH277" s="750">
        <f>INPUT!BY223</f>
        <v>0.2</v>
      </c>
      <c r="AI277" s="752">
        <f>INPUT!BZ223</f>
        <v>100</v>
      </c>
      <c r="AJ277" s="750">
        <f>INPUT!CA223</f>
        <v>0.1</v>
      </c>
      <c r="AK277" s="752">
        <f>INPUT!CB223</f>
        <v>-50</v>
      </c>
      <c r="AL277" s="750">
        <f>INPUT!CC223</f>
        <v>0.2</v>
      </c>
      <c r="AM277" s="752">
        <f>INPUT!CD223</f>
        <v>100</v>
      </c>
      <c r="AN277" s="750">
        <f>INPUT!CE223</f>
        <v>0.2</v>
      </c>
      <c r="AO277" s="752">
        <f>INPUT!CF223</f>
        <v>100</v>
      </c>
      <c r="AP277" s="750">
        <f>INPUT!CG223</f>
        <v>0.1</v>
      </c>
      <c r="AQ277" s="752">
        <f>INPUT!CH223</f>
        <v>-50</v>
      </c>
      <c r="AR277" s="750">
        <f>INPUT!CI223</f>
        <v>0.2</v>
      </c>
      <c r="AS277" s="752">
        <f>INPUT!CJ223</f>
        <v>100</v>
      </c>
      <c r="AT277" s="750">
        <f>INPUT!CK223</f>
        <v>0.1</v>
      </c>
      <c r="AU277" s="752">
        <f>INPUT!CL223</f>
        <v>-50</v>
      </c>
      <c r="AV277" s="750">
        <f>INPUT!CM223</f>
        <v>0.1</v>
      </c>
      <c r="AW277" s="752">
        <f>INPUT!CN223</f>
        <v>-50</v>
      </c>
      <c r="AX277" s="750">
        <f>INPUT!CO223</f>
        <v>0.1</v>
      </c>
      <c r="AY277" s="752">
        <f>INPUT!CP223</f>
        <v>0</v>
      </c>
      <c r="AZ277" s="750">
        <f>INPUT!CQ223</f>
        <v>0.1</v>
      </c>
      <c r="BA277" s="752">
        <f>INPUT!CR223</f>
        <v>-50</v>
      </c>
      <c r="BB277" s="750">
        <f>INPUT!CS223</f>
        <v>0</v>
      </c>
      <c r="BC277" s="752" t="str">
        <f>INPUT!CT223</f>
        <v>NM</v>
      </c>
      <c r="BD277" s="750">
        <f>INPUT!CU223</f>
        <v>0.1</v>
      </c>
      <c r="BE277" s="752">
        <f>INPUT!CV223</f>
        <v>0</v>
      </c>
      <c r="BF277" s="750">
        <f>INPUT!CW223</f>
        <v>0</v>
      </c>
      <c r="BG277" s="752" t="str">
        <f>INPUT!CX223</f>
        <v>NM</v>
      </c>
      <c r="BH277" s="750">
        <f>INPUT!CY223</f>
        <v>0.1</v>
      </c>
      <c r="BI277" s="752">
        <f>INPUT!CZ223</f>
        <v>0</v>
      </c>
      <c r="BJ277" s="750">
        <f>INPUT!DA223</f>
        <v>0</v>
      </c>
      <c r="BK277" s="752" t="str">
        <f>INPUT!DB223</f>
        <v>NA</v>
      </c>
      <c r="BL277" s="750">
        <f>INPUT!DC223</f>
        <v>0.1</v>
      </c>
      <c r="BM277" s="752">
        <f>INPUT!DD223</f>
        <v>0</v>
      </c>
      <c r="BN277" s="750">
        <f>INPUT!DE223</f>
        <v>-0.1</v>
      </c>
      <c r="BO277" s="752" t="str">
        <f>INPUT!DF223</f>
        <v>NA</v>
      </c>
      <c r="BP277" s="750">
        <f>INPUT!DG223</f>
        <v>0.1</v>
      </c>
      <c r="BQ277" s="752">
        <f>INPUT!DH223</f>
        <v>0</v>
      </c>
      <c r="BR277" s="750">
        <f>INPUT!DI223</f>
        <v>0.1</v>
      </c>
      <c r="BS277" s="752" t="str">
        <f>INPUT!DJ223</f>
        <v>NA</v>
      </c>
      <c r="BT277" s="750">
        <f>INPUT!DK223</f>
        <v>0</v>
      </c>
      <c r="BU277" s="752" t="str">
        <f>INPUT!DL223</f>
        <v>NM</v>
      </c>
      <c r="BV277" s="750">
        <f>INPUT!DM223</f>
        <v>0</v>
      </c>
      <c r="BW277" s="752" t="str">
        <f>INPUT!DN223</f>
        <v>NM</v>
      </c>
      <c r="BX277" s="750">
        <f>INPUT!DO223</f>
        <v>0</v>
      </c>
      <c r="BY277" s="752" t="str">
        <f>INPUT!DP223</f>
        <v>NM</v>
      </c>
      <c r="BZ277" s="750">
        <f>INPUT!DQ223</f>
        <v>0.1</v>
      </c>
      <c r="CA277" s="752">
        <f>INPUT!DR223</f>
        <v>0</v>
      </c>
      <c r="CB277" s="750">
        <f>INPUT!DS223</f>
        <v>0</v>
      </c>
      <c r="CC277" s="752" t="str">
        <f>INPUT!DT223</f>
        <v>NA</v>
      </c>
      <c r="CD277" s="750">
        <f>INPUT!DU223</f>
        <v>0.3</v>
      </c>
      <c r="CE277" s="752" t="str">
        <f>INPUT!DV223</f>
        <v>NA</v>
      </c>
      <c r="CF277" s="750">
        <f>INPUT!DW223</f>
        <v>0.3</v>
      </c>
      <c r="CG277" s="752" t="str">
        <f>INPUT!DX223</f>
        <v>NA</v>
      </c>
      <c r="CH277" s="750">
        <f>INPUT!DY223</f>
        <v>0.4</v>
      </c>
      <c r="CI277" s="752" t="str">
        <f>INPUT!DZ223</f>
        <v>NM</v>
      </c>
      <c r="CJ277" s="750">
        <f>INPUT!EA223</f>
        <v>0.2</v>
      </c>
      <c r="CK277" s="752" t="str">
        <f>INPUT!EB223</f>
        <v>NA</v>
      </c>
      <c r="CL277" s="750">
        <f>INPUT!EC223</f>
        <v>0.3</v>
      </c>
      <c r="CM277" s="752">
        <f>INPUT!ED223</f>
        <v>0</v>
      </c>
      <c r="CN277" s="750">
        <f>INPUT!EE223</f>
        <v>0.2</v>
      </c>
      <c r="CO277" s="752">
        <f>INPUT!EF223</f>
        <v>-33.333333333333329</v>
      </c>
      <c r="CP277" s="750">
        <f>INPUT!EG223</f>
        <v>0.3</v>
      </c>
      <c r="CQ277" s="752">
        <f>INPUT!EH223</f>
        <v>-25.000000000000011</v>
      </c>
      <c r="CR277" s="750">
        <f>INPUT!EI223</f>
        <v>0.3</v>
      </c>
      <c r="CS277" s="752">
        <f>INPUT!EJ223</f>
        <v>49.999999999999979</v>
      </c>
      <c r="CT277" s="750">
        <f>INPUT!EK223</f>
        <v>0.32100000000000001</v>
      </c>
      <c r="CU277" s="752">
        <f>INPUT!EL223</f>
        <v>7.0000000000000062</v>
      </c>
      <c r="CV277" s="750">
        <f>INPUT!EM223</f>
        <v>0.21400000000000002</v>
      </c>
      <c r="CW277" s="752">
        <f>INPUT!EN223</f>
        <v>7.0000000000000062</v>
      </c>
      <c r="CX277" s="750">
        <f>INPUT!EO223</f>
        <v>0.32100000000000001</v>
      </c>
      <c r="CY277" s="752">
        <f>INPUT!EP223</f>
        <v>7.0000000000000062</v>
      </c>
      <c r="CZ277" s="750">
        <f>INPUT!EQ223</f>
        <v>0.32100000000000001</v>
      </c>
      <c r="DA277" s="752">
        <f>INPUT!ER223</f>
        <v>7.0000000000000062</v>
      </c>
      <c r="DB277" s="753"/>
      <c r="DC277" s="750">
        <f>INPUT!FB223</f>
        <v>3.8</v>
      </c>
      <c r="DD277" s="767" t="str">
        <f>INPUT!FC223</f>
        <v>NA</v>
      </c>
      <c r="DE277" s="750">
        <f>INPUT!FD223</f>
        <v>3.6999999999999997</v>
      </c>
      <c r="DF277" s="767">
        <f>INPUT!FE223</f>
        <v>-2.6315789473684181</v>
      </c>
      <c r="DG277" s="750">
        <f>INPUT!FF223</f>
        <v>2.5</v>
      </c>
      <c r="DH277" s="767">
        <f>INPUT!FG223</f>
        <v>-32.432432432432421</v>
      </c>
      <c r="DI277" s="750">
        <f>INPUT!FH223</f>
        <v>2.2999999999999998</v>
      </c>
      <c r="DJ277" s="767">
        <f>INPUT!FI223</f>
        <v>-8.0000000000000071</v>
      </c>
      <c r="DK277" s="750">
        <f>INPUT!FJ223</f>
        <v>4.4000000000000004</v>
      </c>
      <c r="DL277" s="752">
        <f>INPUT!FK223</f>
        <v>91.304347826086982</v>
      </c>
      <c r="DM277" s="750">
        <f>INPUT!FL223</f>
        <v>1.0999999999999999</v>
      </c>
      <c r="DN277" s="752" t="str">
        <f>INPUT!FM223</f>
        <v>NM</v>
      </c>
      <c r="DO277" s="750">
        <f>INPUT!FN223</f>
        <v>0.89999999999999991</v>
      </c>
      <c r="DP277" s="752">
        <f>INPUT!FO223</f>
        <v>-18.181818181818176</v>
      </c>
      <c r="DQ277" s="750">
        <f>INPUT!FP223</f>
        <v>0.4</v>
      </c>
      <c r="DR277" s="752" t="str">
        <f>INPUT!FQ223</f>
        <v>NM</v>
      </c>
      <c r="DS277" s="750">
        <f>INPUT!FR223</f>
        <v>0.5</v>
      </c>
      <c r="DT277" s="752">
        <f>INPUT!FS223</f>
        <v>25</v>
      </c>
      <c r="DU277" s="750">
        <f>INPUT!FT223</f>
        <v>0.7</v>
      </c>
      <c r="DV277" s="752">
        <f>INPUT!FU223</f>
        <v>39.999999999999993</v>
      </c>
      <c r="DW277" s="750">
        <f>INPUT!FV223</f>
        <v>0.5</v>
      </c>
      <c r="DX277" s="752">
        <f>INPUT!FW223</f>
        <v>-28.571428571428569</v>
      </c>
      <c r="DY277" s="750">
        <f>INPUT!FX223</f>
        <v>0.30000000000000004</v>
      </c>
      <c r="DZ277" s="752">
        <f>INPUT!FY223</f>
        <v>-39.999999999999993</v>
      </c>
      <c r="EA277" s="750">
        <f>INPUT!FZ223</f>
        <v>0.2</v>
      </c>
      <c r="EB277" s="752">
        <f>INPUT!GA223</f>
        <v>-33.333333333333336</v>
      </c>
      <c r="EC277" s="750">
        <f>INPUT!GB223</f>
        <v>0.1</v>
      </c>
      <c r="ED277" s="752">
        <f>INPUT!GC223</f>
        <v>-50</v>
      </c>
      <c r="EE277" s="750">
        <f>INPUT!GD223</f>
        <v>0.1</v>
      </c>
      <c r="EF277" s="752">
        <f>INPUT!GE223</f>
        <v>0</v>
      </c>
      <c r="EG277" s="750">
        <f>INPUT!GF223</f>
        <v>1.2</v>
      </c>
      <c r="EH277" s="752" t="str">
        <f>INPUT!GG223</f>
        <v>NM</v>
      </c>
      <c r="EI277" s="750">
        <f>INPUT!GH223</f>
        <v>1.1000000000000001</v>
      </c>
      <c r="EJ277" s="752">
        <f>INPUT!GI223</f>
        <v>-8.333333333333325</v>
      </c>
      <c r="EK277" s="750">
        <f>INPUT!GJ223</f>
        <v>1.177</v>
      </c>
      <c r="EL277" s="752">
        <f>INPUT!GK223</f>
        <v>7.0000000000000062</v>
      </c>
      <c r="EM277" s="750">
        <f>INPUT!GL223</f>
        <v>1.2593900000000002</v>
      </c>
      <c r="EN277" s="752">
        <f>INPUT!GM223</f>
        <v>7.0000000000000062</v>
      </c>
      <c r="EO277" s="750">
        <f>INPUT!GN223</f>
        <v>1.3475473000000002</v>
      </c>
      <c r="EP277" s="752">
        <f>INPUT!GO223</f>
        <v>7.0000000000000062</v>
      </c>
      <c r="EQ277" s="750">
        <f>INPUT!GP223</f>
        <v>1.4418756110000004</v>
      </c>
      <c r="ER277" s="752">
        <f>INPUT!GQ223</f>
        <v>7.0000000000000062</v>
      </c>
      <c r="ES277" s="750">
        <f>INPUT!GR223</f>
        <v>1.5428069037700005</v>
      </c>
      <c r="ET277" s="752">
        <f>INPUT!GS223</f>
        <v>7.0000000000000062</v>
      </c>
      <c r="EU277" s="767">
        <f>INPUT!GT223</f>
        <v>7.0000000000000062</v>
      </c>
      <c r="EV277" s="710"/>
    </row>
    <row r="278" spans="1:152" ht="12.75" hidden="1" customHeight="1" outlineLevel="1" x14ac:dyDescent="0.2">
      <c r="A278" s="754" t="str">
        <f>INPUT!B224</f>
        <v xml:space="preserve"> Total Revenues</v>
      </c>
      <c r="B278" s="750">
        <f>INPUT!AS224</f>
        <v>225.5</v>
      </c>
      <c r="C278" s="767">
        <f>INPUT!AT224</f>
        <v>2.6399635867091487</v>
      </c>
      <c r="D278" s="750">
        <f>INPUT!AU224</f>
        <v>233.3</v>
      </c>
      <c r="E278" s="767">
        <f>INPUT!AV224</f>
        <v>6.0936789449749895</v>
      </c>
      <c r="F278" s="750">
        <f>INPUT!AW224</f>
        <v>236.60000000000002</v>
      </c>
      <c r="G278" s="767">
        <f>INPUT!AX224</f>
        <v>6.5285907248987085</v>
      </c>
      <c r="H278" s="750">
        <f>INPUT!AY224</f>
        <v>241.39999999999998</v>
      </c>
      <c r="I278" s="752">
        <f>INPUT!AZ224</f>
        <v>6.9561364643331736</v>
      </c>
      <c r="J278" s="750">
        <f>INPUT!BA224</f>
        <v>248.1</v>
      </c>
      <c r="K278" s="752">
        <f>INPUT!BB224</f>
        <v>10.022172949002206</v>
      </c>
      <c r="L278" s="750">
        <f>INPUT!BC224</f>
        <v>250</v>
      </c>
      <c r="M278" s="752">
        <f>INPUT!BD224</f>
        <v>7.1581654522074434</v>
      </c>
      <c r="N278" s="750">
        <f>INPUT!BE224</f>
        <v>252.2</v>
      </c>
      <c r="O278" s="752">
        <f>INPUT!BF224</f>
        <v>6.59340659340657</v>
      </c>
      <c r="P278" s="750">
        <f>INPUT!BG224</f>
        <v>257.60000000000002</v>
      </c>
      <c r="Q278" s="752">
        <f>INPUT!BH224</f>
        <v>6.7108533554266936</v>
      </c>
      <c r="R278" s="750">
        <f>INPUT!BI224</f>
        <v>266.39999999999998</v>
      </c>
      <c r="S278" s="752">
        <f>INPUT!BJ224</f>
        <v>7.3760580411124543</v>
      </c>
      <c r="T278" s="750">
        <f>INPUT!BK224</f>
        <v>269.10000000000002</v>
      </c>
      <c r="U278" s="752">
        <f>INPUT!BL224</f>
        <v>7.6400000000000023</v>
      </c>
      <c r="V278" s="750">
        <f>INPUT!BM224</f>
        <v>271.8</v>
      </c>
      <c r="W278" s="752">
        <f>INPUT!BN224</f>
        <v>7.7716098334655204</v>
      </c>
      <c r="X278" s="750">
        <f>INPUT!BO224</f>
        <v>276.10000000000002</v>
      </c>
      <c r="Y278" s="752">
        <f>INPUT!BP224</f>
        <v>7.1816770186335477</v>
      </c>
      <c r="Z278" s="750">
        <f>INPUT!BQ224</f>
        <v>281.10000000000002</v>
      </c>
      <c r="AA278" s="752">
        <f>INPUT!BR224</f>
        <v>5.5180180180180338</v>
      </c>
      <c r="AB278" s="750">
        <f>INPUT!BS224</f>
        <v>279.40000000000003</v>
      </c>
      <c r="AC278" s="752">
        <f>INPUT!BT224</f>
        <v>3.827573392790784</v>
      </c>
      <c r="AD278" s="750">
        <f>INPUT!BU224</f>
        <v>283</v>
      </c>
      <c r="AE278" s="752">
        <f>INPUT!BV224</f>
        <v>4.1206769683590938</v>
      </c>
      <c r="AF278" s="750">
        <f>INPUT!BW224</f>
        <v>286.39999999999998</v>
      </c>
      <c r="AG278" s="752">
        <f>INPUT!BX224</f>
        <v>3.7305324157913544</v>
      </c>
      <c r="AH278" s="750">
        <f>INPUT!BY224</f>
        <v>295.20000000000005</v>
      </c>
      <c r="AI278" s="752">
        <f>INPUT!BZ224</f>
        <v>5.0160085378868846</v>
      </c>
      <c r="AJ278" s="750">
        <f>INPUT!CA224</f>
        <v>297.09999999999997</v>
      </c>
      <c r="AK278" s="752">
        <f>INPUT!CB224</f>
        <v>6.3350035790980419</v>
      </c>
      <c r="AL278" s="750">
        <f>INPUT!CC224</f>
        <v>301.40000000000003</v>
      </c>
      <c r="AM278" s="752">
        <f>INPUT!CD224</f>
        <v>6.5017667844523119</v>
      </c>
      <c r="AN278" s="750">
        <f>INPUT!CE224</f>
        <v>305.20000000000005</v>
      </c>
      <c r="AO278" s="752">
        <f>INPUT!CF224</f>
        <v>6.5642458100558798</v>
      </c>
      <c r="AP278" s="750">
        <f>INPUT!CG224</f>
        <v>311.79999999999995</v>
      </c>
      <c r="AQ278" s="752">
        <f>INPUT!CH224</f>
        <v>5.6233062330623085</v>
      </c>
      <c r="AR278" s="750">
        <f>INPUT!CI224</f>
        <v>318</v>
      </c>
      <c r="AS278" s="752">
        <f>INPUT!CJ224</f>
        <v>7.0346684617973887</v>
      </c>
      <c r="AT278" s="750">
        <f>INPUT!CK224</f>
        <v>316.3</v>
      </c>
      <c r="AU278" s="752">
        <f>INPUT!CL224</f>
        <v>4.9435965494359468</v>
      </c>
      <c r="AV278" s="750">
        <f>INPUT!CM224</f>
        <v>322.09999999999997</v>
      </c>
      <c r="AW278" s="752">
        <f>INPUT!CN224</f>
        <v>5.5373525557011583</v>
      </c>
      <c r="AX278" s="750">
        <f>INPUT!CO224</f>
        <v>332</v>
      </c>
      <c r="AY278" s="752">
        <f>INPUT!CP224</f>
        <v>6.4785118665811492</v>
      </c>
      <c r="AZ278" s="750">
        <f>INPUT!CQ224</f>
        <v>331</v>
      </c>
      <c r="BA278" s="752">
        <f>INPUT!CR224</f>
        <v>4.088050314465419</v>
      </c>
      <c r="BB278" s="750">
        <f>INPUT!CS224</f>
        <v>333.29999999999995</v>
      </c>
      <c r="BC278" s="752">
        <f>INPUT!CT224</f>
        <v>5.3746443250078935</v>
      </c>
      <c r="BD278" s="750">
        <f>INPUT!CU224</f>
        <v>337.09999999999997</v>
      </c>
      <c r="BE278" s="752">
        <f>INPUT!CV224</f>
        <v>4.6569388388699062</v>
      </c>
      <c r="BF278" s="750">
        <f>INPUT!CW224</f>
        <v>346.5</v>
      </c>
      <c r="BG278" s="752">
        <f>INPUT!CX224</f>
        <v>4.3674698795180822</v>
      </c>
      <c r="BH278" s="750">
        <f>INPUT!CY224</f>
        <v>342</v>
      </c>
      <c r="BI278" s="752">
        <f>INPUT!CZ224</f>
        <v>3.3232628398791597</v>
      </c>
      <c r="BJ278" s="750">
        <f>INPUT!DA224</f>
        <v>345</v>
      </c>
      <c r="BK278" s="752">
        <f>INPUT!DB224</f>
        <v>3.5103510351035316</v>
      </c>
      <c r="BL278" s="750">
        <f>INPUT!DC224</f>
        <v>343</v>
      </c>
      <c r="BM278" s="752">
        <f>INPUT!DD224</f>
        <v>1.7502224859092363</v>
      </c>
      <c r="BN278" s="750">
        <f>INPUT!DE224</f>
        <v>352.9</v>
      </c>
      <c r="BO278" s="752">
        <f>INPUT!DF224</f>
        <v>1.8470418470418304</v>
      </c>
      <c r="BP278" s="750">
        <f>INPUT!DG224</f>
        <v>352.7</v>
      </c>
      <c r="BQ278" s="752">
        <f>INPUT!DH224</f>
        <v>3.1286549707602251</v>
      </c>
      <c r="BR278" s="750">
        <f>INPUT!DI224</f>
        <v>355</v>
      </c>
      <c r="BS278" s="752">
        <f>INPUT!DJ224</f>
        <v>2.8985507246376718</v>
      </c>
      <c r="BT278" s="750">
        <f>INPUT!DK224</f>
        <v>358.70000000000005</v>
      </c>
      <c r="BU278" s="752">
        <f>INPUT!DL224</f>
        <v>4.5772594752186757</v>
      </c>
      <c r="BV278" s="750">
        <f>INPUT!DM224</f>
        <v>369.2</v>
      </c>
      <c r="BW278" s="752">
        <f>INPUT!DN224</f>
        <v>4.618872201756874</v>
      </c>
      <c r="BX278" s="750">
        <f>INPUT!DO224</f>
        <v>372.79999999999995</v>
      </c>
      <c r="BY278" s="752">
        <f>INPUT!DP224</f>
        <v>5.6988942444003321</v>
      </c>
      <c r="BZ278" s="750">
        <f>INPUT!DQ224</f>
        <v>369.1</v>
      </c>
      <c r="CA278" s="752">
        <f>INPUT!DR224</f>
        <v>3.9718309859154921</v>
      </c>
      <c r="CB278" s="750">
        <f>INPUT!DS224</f>
        <v>373</v>
      </c>
      <c r="CC278" s="752">
        <f>INPUT!DT224</f>
        <v>3.9866183440200542</v>
      </c>
      <c r="CD278" s="750">
        <f>INPUT!DU224</f>
        <v>385.5</v>
      </c>
      <c r="CE278" s="752">
        <f>INPUT!DV224</f>
        <v>4.4149512459371598</v>
      </c>
      <c r="CF278" s="750">
        <f>INPUT!DW224</f>
        <v>387.29999999999995</v>
      </c>
      <c r="CG278" s="752">
        <f>INPUT!DX224</f>
        <v>3.8894849785407803</v>
      </c>
      <c r="CH278" s="750">
        <f>INPUT!DY224</f>
        <v>390.6</v>
      </c>
      <c r="CI278" s="752">
        <f>INPUT!DZ224</f>
        <v>5.8249796803034437</v>
      </c>
      <c r="CJ278" s="750">
        <f>INPUT!EA224</f>
        <v>396.4</v>
      </c>
      <c r="CK278" s="752">
        <f>INPUT!EB224</f>
        <v>6.2734584450402142</v>
      </c>
      <c r="CL278" s="750">
        <f>INPUT!EC224</f>
        <v>409.7</v>
      </c>
      <c r="CM278" s="752">
        <f>INPUT!ED224</f>
        <v>6.2775616083009078</v>
      </c>
      <c r="CN278" s="750">
        <f>INPUT!EE224</f>
        <v>413.20000000000005</v>
      </c>
      <c r="CO278" s="752">
        <f>INPUT!EF224</f>
        <v>6.6873224890266147</v>
      </c>
      <c r="CP278" s="750">
        <f>INPUT!EG224</f>
        <v>415</v>
      </c>
      <c r="CQ278" s="752">
        <f>INPUT!EH224</f>
        <v>6.2467997951868748</v>
      </c>
      <c r="CR278" s="750">
        <f>INPUT!EI224</f>
        <v>419.5</v>
      </c>
      <c r="CS278" s="752">
        <f>INPUT!EJ224</f>
        <v>5.827447023208876</v>
      </c>
      <c r="CT278" s="750">
        <f>INPUT!EK224</f>
        <v>427.3485</v>
      </c>
      <c r="CU278" s="752">
        <f>INPUT!EL224</f>
        <v>4.3076641444959707</v>
      </c>
      <c r="CV278" s="750">
        <f>INPUT!EM224</f>
        <v>435.22276750000003</v>
      </c>
      <c r="CW278" s="752">
        <f>INPUT!EN224</f>
        <v>5.3298082042594341</v>
      </c>
      <c r="CX278" s="750">
        <f>INPUT!EO224</f>
        <v>443.46786393750006</v>
      </c>
      <c r="CY278" s="752">
        <f>INPUT!EP224</f>
        <v>6.85972625000002</v>
      </c>
      <c r="CZ278" s="750">
        <f>INPUT!EQ224</f>
        <v>451.76591190918759</v>
      </c>
      <c r="DA278" s="752">
        <f>INPUT!ER224</f>
        <v>7.6915165456943102</v>
      </c>
      <c r="DB278" s="753"/>
      <c r="DC278" s="750">
        <f>INPUT!FB224</f>
        <v>698.5</v>
      </c>
      <c r="DD278" s="767" t="str">
        <f>INPUT!FC224</f>
        <v>NA</v>
      </c>
      <c r="DE278" s="750">
        <f>INPUT!FD224</f>
        <v>720.00000000000011</v>
      </c>
      <c r="DF278" s="767">
        <f>INPUT!FE224</f>
        <v>3.0780243378668803</v>
      </c>
      <c r="DG278" s="750">
        <f>INPUT!FF224</f>
        <v>786</v>
      </c>
      <c r="DH278" s="767">
        <f>INPUT!FG224</f>
        <v>9.1666666666666572</v>
      </c>
      <c r="DI278" s="750">
        <f>INPUT!FH224</f>
        <v>837.8</v>
      </c>
      <c r="DJ278" s="767">
        <f>INPUT!FI224</f>
        <v>6.5903307888040663</v>
      </c>
      <c r="DK278" s="750">
        <f>INPUT!FJ224</f>
        <v>887.4</v>
      </c>
      <c r="DL278" s="752">
        <f>INPUT!FK224</f>
        <v>5.9202673669133565</v>
      </c>
      <c r="DM278" s="750">
        <f>INPUT!FL224</f>
        <v>936.80000000000018</v>
      </c>
      <c r="DN278" s="752">
        <f>INPUT!FM224</f>
        <v>5.566824430921824</v>
      </c>
      <c r="DO278" s="750">
        <f>INPUT!FN224</f>
        <v>1007.9000000000001</v>
      </c>
      <c r="DP278" s="752">
        <f>INPUT!FO224</f>
        <v>7.589666951323637</v>
      </c>
      <c r="DQ278" s="750">
        <f>INPUT!FP224</f>
        <v>1083.4000000000001</v>
      </c>
      <c r="DR278" s="752">
        <f>INPUT!FQ224</f>
        <v>7.4908225022323638</v>
      </c>
      <c r="DS278" s="750">
        <f>INPUT!FR224</f>
        <v>1129.9000000000001</v>
      </c>
      <c r="DT278" s="752">
        <f>INPUT!FS224</f>
        <v>4.2920435665497525</v>
      </c>
      <c r="DU278" s="750">
        <f>INPUT!FT224</f>
        <v>1198.8999999999999</v>
      </c>
      <c r="DV278" s="752">
        <f>INPUT!FU224</f>
        <v>6.1067351093016864</v>
      </c>
      <c r="DW278" s="750">
        <f>INPUT!FV224</f>
        <v>1268.1999999999998</v>
      </c>
      <c r="DX278" s="752">
        <f>INPUT!FW224</f>
        <v>5.7802986070564666</v>
      </c>
      <c r="DY278" s="750">
        <f>INPUT!FX224</f>
        <v>1332.5</v>
      </c>
      <c r="DZ278" s="752">
        <f>INPUT!FY224</f>
        <v>5.0701782053304001</v>
      </c>
      <c r="EA278" s="750">
        <f>INPUT!FZ224</f>
        <v>1376.5</v>
      </c>
      <c r="EB278" s="752">
        <f>INPUT!GA224</f>
        <v>3.3020637898686589</v>
      </c>
      <c r="EC278" s="750">
        <f>INPUT!GB224</f>
        <v>1419.3</v>
      </c>
      <c r="ED278" s="752">
        <f>INPUT!GC224</f>
        <v>3.1093352706138777</v>
      </c>
      <c r="EE278" s="750">
        <f>INPUT!GD224</f>
        <v>1484.1</v>
      </c>
      <c r="EF278" s="752">
        <f>INPUT!GE224</f>
        <v>4.5656309448319554</v>
      </c>
      <c r="EG278" s="750">
        <f>INPUT!GF224</f>
        <v>1559.8</v>
      </c>
      <c r="EH278" s="752">
        <f>INPUT!GG224</f>
        <v>5.100734451856348</v>
      </c>
      <c r="EI278" s="750">
        <f>INPUT!GH224</f>
        <v>1657.4</v>
      </c>
      <c r="EJ278" s="752">
        <f>INPUT!GI224</f>
        <v>6.257212463136308</v>
      </c>
      <c r="EK278" s="750">
        <f>INPUT!GJ224</f>
        <v>1757.8050433466876</v>
      </c>
      <c r="EL278" s="752">
        <f>INPUT!GK224</f>
        <v>6.0579849973867228</v>
      </c>
      <c r="EM278" s="750">
        <f>INPUT!GL224</f>
        <v>1793.0199942136214</v>
      </c>
      <c r="EN278" s="752">
        <f>INPUT!GM224</f>
        <v>2.0033479253130482</v>
      </c>
      <c r="EO278" s="750">
        <f>INPUT!GN224</f>
        <v>1828.9433635978939</v>
      </c>
      <c r="EP278" s="752">
        <f>INPUT!GO224</f>
        <v>2.0035119240278121</v>
      </c>
      <c r="EQ278" s="750">
        <f>INPUT!GP224</f>
        <v>1865.589608234852</v>
      </c>
      <c r="ER278" s="752">
        <f>INPUT!GQ224</f>
        <v>2.0036839503257076</v>
      </c>
      <c r="ES278" s="750">
        <f>INPUT!GR224</f>
        <v>1902.9734941800989</v>
      </c>
      <c r="ET278" s="752">
        <f>INPUT!GS224</f>
        <v>2.003864396554933</v>
      </c>
      <c r="EU278" s="767">
        <f>INPUT!GT224</f>
        <v>2.8018856813970539</v>
      </c>
      <c r="EV278" s="710"/>
    </row>
    <row r="279" spans="1:152" ht="12.75" hidden="1" customHeight="1" outlineLevel="1" x14ac:dyDescent="0.2">
      <c r="A279" s="754"/>
      <c r="B279" s="750"/>
      <c r="C279" s="767"/>
      <c r="D279" s="750"/>
      <c r="E279" s="767"/>
      <c r="F279" s="750"/>
      <c r="G279" s="767"/>
      <c r="H279" s="750"/>
      <c r="I279" s="752"/>
      <c r="J279" s="750"/>
      <c r="K279" s="752"/>
      <c r="L279" s="750"/>
      <c r="M279" s="752"/>
      <c r="N279" s="750"/>
      <c r="O279" s="752"/>
      <c r="P279" s="750"/>
      <c r="Q279" s="752"/>
      <c r="R279" s="750"/>
      <c r="S279" s="752"/>
      <c r="T279" s="750"/>
      <c r="U279" s="752"/>
      <c r="V279" s="750"/>
      <c r="W279" s="752"/>
      <c r="X279" s="750"/>
      <c r="Y279" s="752"/>
      <c r="Z279" s="750"/>
      <c r="AA279" s="752"/>
      <c r="AB279" s="750"/>
      <c r="AC279" s="752"/>
      <c r="AD279" s="750"/>
      <c r="AE279" s="752"/>
      <c r="AF279" s="750"/>
      <c r="AG279" s="752"/>
      <c r="AH279" s="750"/>
      <c r="AI279" s="752"/>
      <c r="AJ279" s="750"/>
      <c r="AK279" s="752"/>
      <c r="AL279" s="750"/>
      <c r="AM279" s="752"/>
      <c r="AN279" s="750"/>
      <c r="AO279" s="752"/>
      <c r="AP279" s="750"/>
      <c r="AQ279" s="752"/>
      <c r="AR279" s="750"/>
      <c r="AS279" s="752"/>
      <c r="AT279" s="750"/>
      <c r="AU279" s="752"/>
      <c r="AV279" s="750"/>
      <c r="AW279" s="752"/>
      <c r="AX279" s="750"/>
      <c r="AY279" s="752"/>
      <c r="AZ279" s="750"/>
      <c r="BA279" s="752"/>
      <c r="BB279" s="750"/>
      <c r="BC279" s="752"/>
      <c r="BD279" s="750"/>
      <c r="BE279" s="752"/>
      <c r="BF279" s="750"/>
      <c r="BG279" s="752"/>
      <c r="BH279" s="750"/>
      <c r="BI279" s="752"/>
      <c r="BJ279" s="750"/>
      <c r="BK279" s="752"/>
      <c r="BL279" s="750"/>
      <c r="BM279" s="752"/>
      <c r="BN279" s="750"/>
      <c r="BO279" s="752"/>
      <c r="BP279" s="750"/>
      <c r="BQ279" s="752"/>
      <c r="BR279" s="750"/>
      <c r="BS279" s="752"/>
      <c r="BT279" s="750"/>
      <c r="BU279" s="752"/>
      <c r="BV279" s="750"/>
      <c r="BW279" s="752"/>
      <c r="BX279" s="750"/>
      <c r="BY279" s="752"/>
      <c r="BZ279" s="750"/>
      <c r="CA279" s="752"/>
      <c r="CB279" s="750"/>
      <c r="CC279" s="752"/>
      <c r="CD279" s="750"/>
      <c r="CE279" s="752"/>
      <c r="CF279" s="750"/>
      <c r="CG279" s="752"/>
      <c r="CH279" s="750"/>
      <c r="CI279" s="752"/>
      <c r="CJ279" s="750"/>
      <c r="CK279" s="752"/>
      <c r="CL279" s="750"/>
      <c r="CM279" s="752"/>
      <c r="CN279" s="750"/>
      <c r="CO279" s="752"/>
      <c r="CP279" s="750"/>
      <c r="CQ279" s="752"/>
      <c r="CR279" s="750"/>
      <c r="CS279" s="752"/>
      <c r="CT279" s="750"/>
      <c r="CU279" s="752"/>
      <c r="CV279" s="750"/>
      <c r="CW279" s="752"/>
      <c r="CX279" s="750"/>
      <c r="CY279" s="752"/>
      <c r="CZ279" s="750"/>
      <c r="DA279" s="752"/>
      <c r="DB279" s="753"/>
      <c r="DC279" s="750"/>
      <c r="DD279" s="767"/>
      <c r="DE279" s="750"/>
      <c r="DF279" s="767"/>
      <c r="DG279" s="750"/>
      <c r="DH279" s="767"/>
      <c r="DI279" s="750"/>
      <c r="DJ279" s="767"/>
      <c r="DK279" s="750"/>
      <c r="DL279" s="752"/>
      <c r="DM279" s="750"/>
      <c r="DN279" s="752"/>
      <c r="DO279" s="750"/>
      <c r="DP279" s="752"/>
      <c r="DQ279" s="750"/>
      <c r="DR279" s="752"/>
      <c r="DS279" s="750"/>
      <c r="DT279" s="752"/>
      <c r="DU279" s="750"/>
      <c r="DV279" s="752"/>
      <c r="DW279" s="750"/>
      <c r="DX279" s="752"/>
      <c r="DY279" s="750"/>
      <c r="DZ279" s="752"/>
      <c r="EA279" s="750"/>
      <c r="EB279" s="752"/>
      <c r="EC279" s="750"/>
      <c r="ED279" s="752"/>
      <c r="EE279" s="750"/>
      <c r="EF279" s="752"/>
      <c r="EG279" s="750"/>
      <c r="EH279" s="752"/>
      <c r="EI279" s="750"/>
      <c r="EJ279" s="752"/>
      <c r="EK279" s="750"/>
      <c r="EL279" s="752"/>
      <c r="EM279" s="750"/>
      <c r="EN279" s="752"/>
      <c r="EO279" s="750"/>
      <c r="EP279" s="752"/>
      <c r="EQ279" s="750"/>
      <c r="ER279" s="752"/>
      <c r="ES279" s="750"/>
      <c r="ET279" s="752"/>
      <c r="EU279" s="767"/>
      <c r="EV279" s="710"/>
    </row>
    <row r="280" spans="1:152" ht="12.75" hidden="1" customHeight="1" outlineLevel="1" x14ac:dyDescent="0.2">
      <c r="A280" s="749" t="s">
        <v>454</v>
      </c>
      <c r="B280" s="750"/>
      <c r="C280" s="767"/>
      <c r="D280" s="750"/>
      <c r="E280" s="767"/>
      <c r="F280" s="750"/>
      <c r="G280" s="767"/>
      <c r="H280" s="750"/>
      <c r="I280" s="752"/>
      <c r="J280" s="750"/>
      <c r="K280" s="752"/>
      <c r="L280" s="750"/>
      <c r="M280" s="752"/>
      <c r="N280" s="750"/>
      <c r="O280" s="752"/>
      <c r="P280" s="750"/>
      <c r="Q280" s="752"/>
      <c r="R280" s="750"/>
      <c r="S280" s="752"/>
      <c r="T280" s="750"/>
      <c r="U280" s="752"/>
      <c r="V280" s="750"/>
      <c r="W280" s="752"/>
      <c r="X280" s="750"/>
      <c r="Y280" s="752"/>
      <c r="Z280" s="750"/>
      <c r="AA280" s="752"/>
      <c r="AB280" s="750"/>
      <c r="AC280" s="752"/>
      <c r="AD280" s="750"/>
      <c r="AE280" s="752"/>
      <c r="AF280" s="750"/>
      <c r="AG280" s="752"/>
      <c r="AH280" s="750"/>
      <c r="AI280" s="752"/>
      <c r="AJ280" s="750"/>
      <c r="AK280" s="752"/>
      <c r="AL280" s="750"/>
      <c r="AM280" s="752"/>
      <c r="AN280" s="750"/>
      <c r="AO280" s="752"/>
      <c r="AP280" s="750"/>
      <c r="AQ280" s="752"/>
      <c r="AR280" s="750"/>
      <c r="AS280" s="752"/>
      <c r="AT280" s="750"/>
      <c r="AU280" s="752"/>
      <c r="AV280" s="750"/>
      <c r="AW280" s="752"/>
      <c r="AX280" s="750"/>
      <c r="AY280" s="752"/>
      <c r="AZ280" s="750"/>
      <c r="BA280" s="752"/>
      <c r="BB280" s="750"/>
      <c r="BC280" s="752"/>
      <c r="BD280" s="750"/>
      <c r="BE280" s="752"/>
      <c r="BF280" s="750"/>
      <c r="BG280" s="752"/>
      <c r="BH280" s="750"/>
      <c r="BI280" s="752"/>
      <c r="BJ280" s="750"/>
      <c r="BK280" s="752"/>
      <c r="BL280" s="750"/>
      <c r="BM280" s="752"/>
      <c r="BN280" s="750"/>
      <c r="BO280" s="752"/>
      <c r="BP280" s="750"/>
      <c r="BQ280" s="752"/>
      <c r="BR280" s="750"/>
      <c r="BS280" s="752"/>
      <c r="BT280" s="750"/>
      <c r="BU280" s="752"/>
      <c r="BV280" s="750"/>
      <c r="BW280" s="752"/>
      <c r="BX280" s="750"/>
      <c r="BY280" s="752"/>
      <c r="BZ280" s="750"/>
      <c r="CA280" s="752"/>
      <c r="CB280" s="750"/>
      <c r="CC280" s="752"/>
      <c r="CD280" s="750"/>
      <c r="CE280" s="752"/>
      <c r="CF280" s="750"/>
      <c r="CG280" s="752"/>
      <c r="CH280" s="750"/>
      <c r="CI280" s="752"/>
      <c r="CJ280" s="750"/>
      <c r="CK280" s="752"/>
      <c r="CL280" s="750"/>
      <c r="CM280" s="752"/>
      <c r="CN280" s="750"/>
      <c r="CO280" s="752"/>
      <c r="CP280" s="750"/>
      <c r="CQ280" s="752"/>
      <c r="CR280" s="750"/>
      <c r="CS280" s="752"/>
      <c r="CT280" s="750"/>
      <c r="CU280" s="752"/>
      <c r="CV280" s="750"/>
      <c r="CW280" s="752"/>
      <c r="CX280" s="750"/>
      <c r="CY280" s="752"/>
      <c r="CZ280" s="750"/>
      <c r="DA280" s="752"/>
      <c r="DB280" s="753"/>
      <c r="DC280" s="750"/>
      <c r="DD280" s="767"/>
      <c r="DE280" s="750"/>
      <c r="DF280" s="767"/>
      <c r="DG280" s="750"/>
      <c r="DH280" s="767"/>
      <c r="DI280" s="750"/>
      <c r="DJ280" s="767"/>
      <c r="DK280" s="750"/>
      <c r="DL280" s="752"/>
      <c r="DM280" s="750"/>
      <c r="DN280" s="752"/>
      <c r="DO280" s="750"/>
      <c r="DP280" s="752"/>
      <c r="DQ280" s="750"/>
      <c r="DR280" s="752"/>
      <c r="DS280" s="750"/>
      <c r="DT280" s="752"/>
      <c r="DU280" s="750"/>
      <c r="DV280" s="752"/>
      <c r="DW280" s="750"/>
      <c r="DX280" s="752"/>
      <c r="DY280" s="750"/>
      <c r="DZ280" s="752"/>
      <c r="EA280" s="750"/>
      <c r="EB280" s="752"/>
      <c r="EC280" s="750"/>
      <c r="ED280" s="752"/>
      <c r="EE280" s="750"/>
      <c r="EF280" s="752"/>
      <c r="EG280" s="750"/>
      <c r="EH280" s="752"/>
      <c r="EI280" s="750"/>
      <c r="EJ280" s="752"/>
      <c r="EK280" s="750"/>
      <c r="EL280" s="752"/>
      <c r="EM280" s="750"/>
      <c r="EN280" s="752"/>
      <c r="EO280" s="750"/>
      <c r="EP280" s="752"/>
      <c r="EQ280" s="750"/>
      <c r="ER280" s="752"/>
      <c r="ES280" s="750"/>
      <c r="ET280" s="752"/>
      <c r="EU280" s="767"/>
      <c r="EV280" s="710"/>
    </row>
    <row r="281" spans="1:152" ht="12.75" hidden="1" customHeight="1" outlineLevel="1" x14ac:dyDescent="0.2">
      <c r="A281" s="754" t="str">
        <f>INPUT!B227</f>
        <v>Total Benefits Expense</v>
      </c>
      <c r="B281" s="750">
        <f>INPUT!AS227</f>
        <v>105.5</v>
      </c>
      <c r="C281" s="767">
        <f>INPUT!AT227</f>
        <v>1.344860710854956</v>
      </c>
      <c r="D281" s="750">
        <f>INPUT!AU227</f>
        <v>110.4</v>
      </c>
      <c r="E281" s="767">
        <f>INPUT!AV227</f>
        <v>4.9429657794676896</v>
      </c>
      <c r="F281" s="750">
        <f>INPUT!AW227</f>
        <v>112</v>
      </c>
      <c r="G281" s="767">
        <f>INPUT!AX227</f>
        <v>1.4492753623188248</v>
      </c>
      <c r="H281" s="750">
        <f>INPUT!AY227</f>
        <v>113.5</v>
      </c>
      <c r="I281" s="752">
        <f>INPUT!AZ227</f>
        <v>0</v>
      </c>
      <c r="J281" s="750">
        <f>INPUT!BA227</f>
        <v>110</v>
      </c>
      <c r="K281" s="752">
        <f>INPUT!BB227</f>
        <v>4.2654028436019065</v>
      </c>
      <c r="L281" s="750">
        <f>INPUT!BC227</f>
        <v>106</v>
      </c>
      <c r="M281" s="752">
        <f>INPUT!BD227</f>
        <v>-3.9855072463768182</v>
      </c>
      <c r="N281" s="750">
        <f>INPUT!BE227</f>
        <v>110.4</v>
      </c>
      <c r="O281" s="752">
        <f>INPUT!BF227</f>
        <v>-1.4285714285714235</v>
      </c>
      <c r="P281" s="750">
        <f>INPUT!BG227</f>
        <v>111.4</v>
      </c>
      <c r="Q281" s="752">
        <f>INPUT!BH227</f>
        <v>-1.8502202643171706</v>
      </c>
      <c r="R281" s="750">
        <f>INPUT!BI227</f>
        <v>113.5</v>
      </c>
      <c r="S281" s="752">
        <f>INPUT!BJ227</f>
        <v>3.1818181818181746</v>
      </c>
      <c r="T281" s="750">
        <f>INPUT!BK227</f>
        <v>113.8</v>
      </c>
      <c r="U281" s="752">
        <f>INPUT!BL227</f>
        <v>7.3584905660377231</v>
      </c>
      <c r="V281" s="750">
        <f>INPUT!BM227</f>
        <v>116.5</v>
      </c>
      <c r="W281" s="752">
        <f>INPUT!BN227</f>
        <v>5.5253623188405765</v>
      </c>
      <c r="X281" s="750">
        <f>INPUT!BO227</f>
        <v>120.2</v>
      </c>
      <c r="Y281" s="752">
        <f>INPUT!BP227</f>
        <v>7.8994614003590646</v>
      </c>
      <c r="Z281" s="750">
        <f>INPUT!BQ227</f>
        <v>117.3</v>
      </c>
      <c r="AA281" s="752">
        <f>INPUT!BR227</f>
        <v>3.3480176211453827</v>
      </c>
      <c r="AB281" s="750">
        <f>INPUT!BS227</f>
        <v>116.4</v>
      </c>
      <c r="AC281" s="752">
        <f>INPUT!BT227</f>
        <v>2.2847100175747093</v>
      </c>
      <c r="AD281" s="750">
        <f>INPUT!BU227</f>
        <v>122.1</v>
      </c>
      <c r="AE281" s="752">
        <f>INPUT!BV227</f>
        <v>4.8068669527896901</v>
      </c>
      <c r="AF281" s="750">
        <f>INPUT!BW227</f>
        <v>124.8</v>
      </c>
      <c r="AG281" s="752">
        <f>INPUT!BX227</f>
        <v>3.8269550748752046</v>
      </c>
      <c r="AH281" s="750">
        <f>INPUT!BY227</f>
        <v>124.8</v>
      </c>
      <c r="AI281" s="752">
        <f>INPUT!BZ227</f>
        <v>6.3938618925831303</v>
      </c>
      <c r="AJ281" s="750">
        <f>INPUT!CA227</f>
        <v>129.4</v>
      </c>
      <c r="AK281" s="752">
        <f>INPUT!CB227</f>
        <v>11.168384879725091</v>
      </c>
      <c r="AL281" s="750">
        <f>INPUT!CC227</f>
        <v>134.30000000000001</v>
      </c>
      <c r="AM281" s="752">
        <f>INPUT!CD227</f>
        <v>9.9918099918099976</v>
      </c>
      <c r="AN281" s="750">
        <f>INPUT!CE227</f>
        <v>146.19999999999999</v>
      </c>
      <c r="AO281" s="752">
        <f>INPUT!CF227</f>
        <v>17.14743589743588</v>
      </c>
      <c r="AP281" s="750">
        <f>INPUT!CG227</f>
        <v>144.1</v>
      </c>
      <c r="AQ281" s="752">
        <f>INPUT!CH227</f>
        <v>15.464743589743591</v>
      </c>
      <c r="AR281" s="750">
        <f>INPUT!CI227</f>
        <v>144.30000000000001</v>
      </c>
      <c r="AS281" s="752">
        <f>INPUT!CJ227</f>
        <v>11.514683153013916</v>
      </c>
      <c r="AT281" s="750">
        <f>INPUT!CK227</f>
        <v>149.1</v>
      </c>
      <c r="AU281" s="752">
        <f>INPUT!CL227</f>
        <v>11.020104244229323</v>
      </c>
      <c r="AV281" s="750">
        <f>INPUT!CM227</f>
        <v>151.9</v>
      </c>
      <c r="AW281" s="752">
        <f>INPUT!CN227</f>
        <v>3.8987688098495399</v>
      </c>
      <c r="AX281" s="750">
        <f>INPUT!CO227</f>
        <v>154.4</v>
      </c>
      <c r="AY281" s="752">
        <f>INPUT!CP227</f>
        <v>7.1478140180430305</v>
      </c>
      <c r="AZ281" s="750">
        <f>INPUT!CQ227</f>
        <v>155.80000000000001</v>
      </c>
      <c r="BA281" s="752">
        <f>INPUT!CR227</f>
        <v>7.9695079695079718</v>
      </c>
      <c r="BB281" s="750">
        <f>INPUT!CS227</f>
        <v>158.5</v>
      </c>
      <c r="BC281" s="752">
        <f>INPUT!CT227</f>
        <v>6.3044936284373021</v>
      </c>
      <c r="BD281" s="750">
        <f>INPUT!CU227</f>
        <v>158.6</v>
      </c>
      <c r="BE281" s="752">
        <f>INPUT!CV227</f>
        <v>4.4107965766951862</v>
      </c>
      <c r="BF281" s="750">
        <f>INPUT!CW227</f>
        <v>161.30000000000001</v>
      </c>
      <c r="BG281" s="752">
        <f>INPUT!CX227</f>
        <v>4.4689119170984393</v>
      </c>
      <c r="BH281" s="750">
        <f>INPUT!CY227</f>
        <v>160.30000000000001</v>
      </c>
      <c r="BI281" s="752">
        <f>INPUT!CZ227</f>
        <v>2.8883183568677806</v>
      </c>
      <c r="BJ281" s="750">
        <f>INPUT!DA227</f>
        <v>164</v>
      </c>
      <c r="BK281" s="752">
        <f>INPUT!DB227</f>
        <v>3.4700315457413256</v>
      </c>
      <c r="BL281" s="750">
        <f>INPUT!DC227</f>
        <v>181.4</v>
      </c>
      <c r="BM281" s="752">
        <f>INPUT!DD227</f>
        <v>14.375788146279955</v>
      </c>
      <c r="BN281" s="750">
        <f>INPUT!DE227</f>
        <v>159.80000000000001</v>
      </c>
      <c r="BO281" s="752">
        <f>INPUT!DF227</f>
        <v>-0.92994420334779893</v>
      </c>
      <c r="BP281" s="750">
        <f>INPUT!DG227</f>
        <v>164.6</v>
      </c>
      <c r="BQ281" s="752">
        <f>INPUT!DH227</f>
        <v>2.682470368059886</v>
      </c>
      <c r="BR281" s="750">
        <f>INPUT!DI227</f>
        <v>168.3</v>
      </c>
      <c r="BS281" s="752">
        <f>INPUT!DJ227</f>
        <v>2.6219512195122086</v>
      </c>
      <c r="BT281" s="750">
        <f>INPUT!DK227</f>
        <v>167.9</v>
      </c>
      <c r="BU281" s="752">
        <f>INPUT!DL227</f>
        <v>-7.442116868798232</v>
      </c>
      <c r="BV281" s="750">
        <f>INPUT!DM227</f>
        <v>170.4</v>
      </c>
      <c r="BW281" s="752">
        <f>INPUT!DN227</f>
        <v>6.6332916145181331</v>
      </c>
      <c r="BX281" s="750">
        <f>INPUT!DO227</f>
        <v>169.3</v>
      </c>
      <c r="BY281" s="752">
        <f>INPUT!DP227</f>
        <v>2.8554070473876259</v>
      </c>
      <c r="BZ281" s="750">
        <f>INPUT!DQ227</f>
        <v>170.5</v>
      </c>
      <c r="CA281" s="752">
        <f>INPUT!DR227</f>
        <v>1.3071895424836555</v>
      </c>
      <c r="CB281" s="750">
        <f>INPUT!DS227</f>
        <v>172.8</v>
      </c>
      <c r="CC281" s="752">
        <f>INPUT!DT227</f>
        <v>2.9184038117927358</v>
      </c>
      <c r="CD281" s="750">
        <f>INPUT!DU227</f>
        <v>178.9</v>
      </c>
      <c r="CE281" s="752">
        <f>INPUT!DV227</f>
        <v>4.9882629107981247</v>
      </c>
      <c r="CF281" s="750">
        <f>INPUT!DW227</f>
        <v>179.7</v>
      </c>
      <c r="CG281" s="752">
        <f>INPUT!DX227</f>
        <v>6.1429415239220075</v>
      </c>
      <c r="CH281" s="750">
        <f>INPUT!DY227</f>
        <v>182.6</v>
      </c>
      <c r="CI281" s="752">
        <f>INPUT!DZ227</f>
        <v>7.0967741935483941</v>
      </c>
      <c r="CJ281" s="750">
        <f>INPUT!EA227</f>
        <v>185.2</v>
      </c>
      <c r="CK281" s="752">
        <f>INPUT!EB227</f>
        <v>7.1759259259259078</v>
      </c>
      <c r="CL281" s="750">
        <f>INPUT!EC227</f>
        <v>190.2</v>
      </c>
      <c r="CM281" s="752">
        <f>INPUT!ED227</f>
        <v>6.3163778647288948</v>
      </c>
      <c r="CN281" s="750">
        <f>INPUT!EE227</f>
        <v>192.9</v>
      </c>
      <c r="CO281" s="752">
        <f>INPUT!EF227</f>
        <v>7.3455759599332371</v>
      </c>
      <c r="CP281" s="750">
        <f>INPUT!EG227</f>
        <v>196.1</v>
      </c>
      <c r="CQ281" s="752">
        <f>INPUT!EH227</f>
        <v>7.3932092004381111</v>
      </c>
      <c r="CR281" s="750">
        <f>INPUT!EI227</f>
        <v>209.4</v>
      </c>
      <c r="CS281" s="752">
        <f>INPUT!EJ227</f>
        <v>13.066954643628526</v>
      </c>
      <c r="CT281" s="750">
        <f>INPUT!EK227</f>
        <v>202.66584</v>
      </c>
      <c r="CU281" s="752">
        <f>INPUT!EL227</f>
        <v>6.5540694006309241</v>
      </c>
      <c r="CV281" s="750">
        <f>INPUT!EM227</f>
        <v>206.71915680000004</v>
      </c>
      <c r="CW281" s="752">
        <f>INPUT!EN227</f>
        <v>7.1638967340591053</v>
      </c>
      <c r="CX281" s="750">
        <f>INPUT!EO227</f>
        <v>210.85353993600003</v>
      </c>
      <c r="CY281" s="752">
        <f>INPUT!EP227</f>
        <v>7.5234777848036893</v>
      </c>
      <c r="CZ281" s="750">
        <f>INPUT!EQ227</f>
        <v>215.07061073472005</v>
      </c>
      <c r="DA281" s="752">
        <f>INPUT!ER227</f>
        <v>2.7080280490544562</v>
      </c>
      <c r="DB281" s="753"/>
      <c r="DC281" s="750">
        <f>INPUT!FB227</f>
        <v>346.4</v>
      </c>
      <c r="DD281" s="767" t="str">
        <f>INPUT!FC227</f>
        <v>NA</v>
      </c>
      <c r="DE281" s="750">
        <f>INPUT!FD227</f>
        <v>357.20000000000005</v>
      </c>
      <c r="DF281" s="767">
        <f>INPUT!FE227</f>
        <v>3.1177829099307441</v>
      </c>
      <c r="DG281" s="750">
        <f>INPUT!FF227</f>
        <v>395.4</v>
      </c>
      <c r="DH281" s="767">
        <f>INPUT!FG227</f>
        <v>10.694288913773775</v>
      </c>
      <c r="DI281" s="750">
        <f>INPUT!FH227</f>
        <v>408.29999999999995</v>
      </c>
      <c r="DJ281" s="767">
        <f>INPUT!FI227</f>
        <v>3.2625189681335209</v>
      </c>
      <c r="DK281" s="750">
        <f>INPUT!FJ227</f>
        <v>433.20000000000005</v>
      </c>
      <c r="DL281" s="752">
        <f>INPUT!FK227</f>
        <v>6.0984570168993724</v>
      </c>
      <c r="DM281" s="750">
        <f>INPUT!FL227</f>
        <v>441.4</v>
      </c>
      <c r="DN281" s="752">
        <f>INPUT!FM227</f>
        <v>1.8928901200369275</v>
      </c>
      <c r="DO281" s="750">
        <f>INPUT!FN227</f>
        <v>437.79999999999995</v>
      </c>
      <c r="DP281" s="752">
        <f>INPUT!FO227</f>
        <v>-0.81558676937019126</v>
      </c>
      <c r="DQ281" s="750">
        <f>INPUT!FP227</f>
        <v>464</v>
      </c>
      <c r="DR281" s="752">
        <f>INPUT!FQ227</f>
        <v>5.9844677935130264</v>
      </c>
      <c r="DS281" s="750">
        <f>INPUT!FR227</f>
        <v>480.59999999999997</v>
      </c>
      <c r="DT281" s="752">
        <f>INPUT!FS227</f>
        <v>3.5775862068965436</v>
      </c>
      <c r="DU281" s="750">
        <f>INPUT!FT227</f>
        <v>534.70000000000005</v>
      </c>
      <c r="DV281" s="752">
        <f>INPUT!FU227</f>
        <v>11.256762380357909</v>
      </c>
      <c r="DW281" s="750">
        <f>INPUT!FV227</f>
        <v>589.4</v>
      </c>
      <c r="DX281" s="752">
        <f>INPUT!FW227</f>
        <v>10.23003553394426</v>
      </c>
      <c r="DY281" s="750">
        <f>INPUT!FX227</f>
        <v>627.30000000000007</v>
      </c>
      <c r="DZ281" s="752">
        <f>INPUT!FY227</f>
        <v>6.4302680692229552</v>
      </c>
      <c r="EA281" s="750">
        <f>INPUT!FZ227</f>
        <v>667</v>
      </c>
      <c r="EB281" s="752">
        <f>INPUT!GA227</f>
        <v>6.3287103459269689</v>
      </c>
      <c r="EC281" s="750">
        <f>INPUT!GB227</f>
        <v>660.6</v>
      </c>
      <c r="ED281" s="752">
        <f>INPUT!GC227</f>
        <v>-0.95952023988005175</v>
      </c>
      <c r="EE281" s="750">
        <f>INPUT!GD227</f>
        <v>683</v>
      </c>
      <c r="EF281" s="752">
        <f>INPUT!GE227</f>
        <v>3.3908567968513381</v>
      </c>
      <c r="EG281" s="750">
        <f>INPUT!GF227</f>
        <v>726.40000000000009</v>
      </c>
      <c r="EH281" s="752">
        <f>INPUT!GG227</f>
        <v>6.354319180087864</v>
      </c>
      <c r="EI281" s="750">
        <f>INPUT!GH227</f>
        <v>788.6</v>
      </c>
      <c r="EJ281" s="752">
        <f>INPUT!GI227</f>
        <v>8.562775330396466</v>
      </c>
      <c r="EK281" s="750">
        <f>INPUT!GJ227</f>
        <v>835.30914747072018</v>
      </c>
      <c r="EL281" s="752">
        <f>INPUT!GK227</f>
        <v>5.9230468514735124</v>
      </c>
      <c r="EM281" s="750">
        <f>INPUT!GL227</f>
        <v>855.29231246021209</v>
      </c>
      <c r="EN281" s="752">
        <f>INPUT!GM227</f>
        <v>2.3923076923076936</v>
      </c>
      <c r="EO281" s="750">
        <f>INPUT!GN227</f>
        <v>872.39815870941629</v>
      </c>
      <c r="EP281" s="752">
        <f>INPUT!GO227</f>
        <v>2.0000000000000018</v>
      </c>
      <c r="EQ281" s="750">
        <f>INPUT!GP227</f>
        <v>888.14143582635631</v>
      </c>
      <c r="ER281" s="752">
        <f>INPUT!GQ227</f>
        <v>1.8045977011494241</v>
      </c>
      <c r="ES281" s="750">
        <f>INPUT!GR227</f>
        <v>905.90426454288342</v>
      </c>
      <c r="ET281" s="752">
        <f>INPUT!GS227</f>
        <v>2.0000000000000018</v>
      </c>
      <c r="EU281" s="767">
        <f>INPUT!GT227</f>
        <v>2.8123074505287171</v>
      </c>
      <c r="EV281" s="710"/>
    </row>
    <row r="282" spans="1:152" ht="12.75" hidden="1" customHeight="1" outlineLevel="1" x14ac:dyDescent="0.2">
      <c r="A282" s="754" t="str">
        <f>INPUT!B228</f>
        <v xml:space="preserve">Commissions </v>
      </c>
      <c r="B282" s="750">
        <f>INPUT!AS228</f>
        <v>43.7</v>
      </c>
      <c r="C282" s="767">
        <f>INPUT!AT228</f>
        <v>2.5821596244131495</v>
      </c>
      <c r="D282" s="750">
        <f>INPUT!AU228</f>
        <v>49.1</v>
      </c>
      <c r="E282" s="767">
        <f>INPUT!AV228</f>
        <v>16.07565011820331</v>
      </c>
      <c r="F282" s="750">
        <f>INPUT!AW228</f>
        <v>45</v>
      </c>
      <c r="G282" s="767">
        <f>INPUT!AX228</f>
        <v>5.1401869158878677</v>
      </c>
      <c r="H282" s="750">
        <f>INPUT!AY228</f>
        <v>47.1</v>
      </c>
      <c r="I282" s="752">
        <f>INPUT!AZ228</f>
        <v>9.5348837209302317</v>
      </c>
      <c r="J282" s="750">
        <f>INPUT!BA228</f>
        <v>49.4</v>
      </c>
      <c r="K282" s="752">
        <f>INPUT!BB228</f>
        <v>13.043478260869556</v>
      </c>
      <c r="L282" s="750">
        <f>INPUT!BC228</f>
        <v>49.7</v>
      </c>
      <c r="M282" s="752">
        <f>INPUT!BD228</f>
        <v>1.2219959266802416</v>
      </c>
      <c r="N282" s="750">
        <f>INPUT!BE228</f>
        <v>50.7</v>
      </c>
      <c r="O282" s="752">
        <f>INPUT!BF228</f>
        <v>12.666666666666671</v>
      </c>
      <c r="P282" s="750">
        <f>INPUT!BG228</f>
        <v>51.8</v>
      </c>
      <c r="Q282" s="752">
        <f>INPUT!BH228</f>
        <v>9.9787685774946908</v>
      </c>
      <c r="R282" s="750">
        <f>INPUT!BI228</f>
        <v>53.1</v>
      </c>
      <c r="S282" s="752">
        <f>INPUT!BJ228</f>
        <v>7.4898785425101311</v>
      </c>
      <c r="T282" s="750">
        <f>INPUT!BK228</f>
        <v>53.4</v>
      </c>
      <c r="U282" s="752">
        <f>INPUT!BL228</f>
        <v>7.444668008048283</v>
      </c>
      <c r="V282" s="750">
        <f>INPUT!BM228</f>
        <v>52.6</v>
      </c>
      <c r="W282" s="752">
        <f>INPUT!BN228</f>
        <v>3.7475345167652829</v>
      </c>
      <c r="X282" s="750">
        <f>INPUT!BO228</f>
        <v>52.7</v>
      </c>
      <c r="Y282" s="752">
        <f>INPUT!BP228</f>
        <v>1.7374517374517451</v>
      </c>
      <c r="Z282" s="750">
        <f>INPUT!BQ228</f>
        <v>54.3</v>
      </c>
      <c r="AA282" s="752">
        <f>INPUT!BR228</f>
        <v>2.2598870056497189</v>
      </c>
      <c r="AB282" s="750">
        <f>INPUT!BS228</f>
        <v>53.1</v>
      </c>
      <c r="AC282" s="752">
        <f>INPUT!BT228</f>
        <v>-0.56179775280897903</v>
      </c>
      <c r="AD282" s="750">
        <f>INPUT!BU228</f>
        <v>53.4</v>
      </c>
      <c r="AE282" s="752">
        <f>INPUT!BV228</f>
        <v>1.5209125475285079</v>
      </c>
      <c r="AF282" s="750">
        <f>INPUT!BW228</f>
        <v>54.5</v>
      </c>
      <c r="AG282" s="752">
        <f>INPUT!BX228</f>
        <v>3.4155597722960174</v>
      </c>
      <c r="AH282" s="750">
        <f>INPUT!BY228</f>
        <v>57.7</v>
      </c>
      <c r="AI282" s="752">
        <f>INPUT!BZ228</f>
        <v>6.26151012891345</v>
      </c>
      <c r="AJ282" s="750">
        <f>INPUT!CA228</f>
        <v>54.5</v>
      </c>
      <c r="AK282" s="752">
        <f>INPUT!CB228</f>
        <v>2.6365348399246757</v>
      </c>
      <c r="AL282" s="750">
        <f>INPUT!CC228</f>
        <v>59.5</v>
      </c>
      <c r="AM282" s="752">
        <f>INPUT!CD228</f>
        <v>11.423220973782765</v>
      </c>
      <c r="AN282" s="750">
        <f>INPUT!CE228</f>
        <v>60.9</v>
      </c>
      <c r="AO282" s="752">
        <f>INPUT!CF228</f>
        <v>11.743119266055047</v>
      </c>
      <c r="AP282" s="750">
        <f>INPUT!CG228</f>
        <v>61.2</v>
      </c>
      <c r="AQ282" s="752">
        <f>INPUT!CH228</f>
        <v>6.0658578856152445</v>
      </c>
      <c r="AR282" s="750">
        <f>INPUT!CI228</f>
        <v>60.5</v>
      </c>
      <c r="AS282" s="752">
        <f>INPUT!CJ228</f>
        <v>11.009174311926607</v>
      </c>
      <c r="AT282" s="750">
        <f>INPUT!CK228</f>
        <v>61.8</v>
      </c>
      <c r="AU282" s="752">
        <f>INPUT!CL228</f>
        <v>3.8655462184873812</v>
      </c>
      <c r="AV282" s="750">
        <f>INPUT!CM228</f>
        <v>62.4</v>
      </c>
      <c r="AW282" s="752">
        <f>INPUT!CN228</f>
        <v>2.4630541871921263</v>
      </c>
      <c r="AX282" s="750">
        <f>INPUT!CO228</f>
        <v>63.9</v>
      </c>
      <c r="AY282" s="752">
        <f>INPUT!CP228</f>
        <v>4.4117647058823373</v>
      </c>
      <c r="AZ282" s="750">
        <f>INPUT!CQ228</f>
        <v>63.3</v>
      </c>
      <c r="BA282" s="752">
        <f>INPUT!CR228</f>
        <v>4.6280991735537125</v>
      </c>
      <c r="BB282" s="750">
        <f>INPUT!CS228</f>
        <v>64</v>
      </c>
      <c r="BC282" s="752">
        <f>INPUT!CT228</f>
        <v>3.5598705501618255</v>
      </c>
      <c r="BD282" s="750">
        <f>INPUT!CU228</f>
        <v>63.3</v>
      </c>
      <c r="BE282" s="752">
        <f>INPUT!CV228</f>
        <v>1.4423076923076872</v>
      </c>
      <c r="BF282" s="750">
        <f>INPUT!CW228</f>
        <v>64</v>
      </c>
      <c r="BG282" s="752">
        <f>INPUT!CX228</f>
        <v>0.15649452269170805</v>
      </c>
      <c r="BH282" s="750">
        <f>INPUT!CY228</f>
        <v>62.5</v>
      </c>
      <c r="BI282" s="752">
        <f>INPUT!CZ228</f>
        <v>-1.2638230647709303</v>
      </c>
      <c r="BJ282" s="750">
        <f>INPUT!DA228</f>
        <v>61.9</v>
      </c>
      <c r="BK282" s="752">
        <f>INPUT!DB228</f>
        <v>-3.2812500000000022</v>
      </c>
      <c r="BL282" s="750">
        <f>INPUT!DC228</f>
        <v>64.099999999999994</v>
      </c>
      <c r="BM282" s="752">
        <f>INPUT!DD228</f>
        <v>1.2638230647709303</v>
      </c>
      <c r="BN282" s="750">
        <f>INPUT!DE228</f>
        <v>63.5</v>
      </c>
      <c r="BO282" s="752">
        <f>INPUT!DF228</f>
        <v>-0.78125</v>
      </c>
      <c r="BP282" s="750">
        <f>INPUT!DG228</f>
        <v>63.5</v>
      </c>
      <c r="BQ282" s="752">
        <f>INPUT!DH228</f>
        <v>1.6000000000000014</v>
      </c>
      <c r="BR282" s="750">
        <f>INPUT!DI228</f>
        <v>64.599999999999994</v>
      </c>
      <c r="BS282" s="752">
        <f>INPUT!DJ228</f>
        <v>4.3618739903069415</v>
      </c>
      <c r="BT282" s="750">
        <f>INPUT!DK228</f>
        <v>70.7</v>
      </c>
      <c r="BU282" s="752">
        <f>INPUT!DL228</f>
        <v>10.296411856474275</v>
      </c>
      <c r="BV282" s="750">
        <f>INPUT!DM228</f>
        <v>73.400000000000006</v>
      </c>
      <c r="BW282" s="752">
        <f>INPUT!DN228</f>
        <v>15.590551181102374</v>
      </c>
      <c r="BX282" s="750">
        <f>INPUT!DO228</f>
        <v>71.7</v>
      </c>
      <c r="BY282" s="752">
        <f>INPUT!DP228</f>
        <v>12.913385826771663</v>
      </c>
      <c r="BZ282" s="750">
        <f>INPUT!DQ228</f>
        <v>72.7</v>
      </c>
      <c r="CA282" s="752">
        <f>INPUT!DR228</f>
        <v>12.538699690402488</v>
      </c>
      <c r="CB282" s="750">
        <f>INPUT!DS228</f>
        <v>75.7</v>
      </c>
      <c r="CC282" s="752">
        <f>INPUT!DT228</f>
        <v>7.0721357850070721</v>
      </c>
      <c r="CD282" s="750">
        <f>INPUT!DU228</f>
        <v>77.8</v>
      </c>
      <c r="CE282" s="752">
        <f>INPUT!DV228</f>
        <v>5.9945504087193235</v>
      </c>
      <c r="CF282" s="750">
        <f>INPUT!DW228</f>
        <v>76.8</v>
      </c>
      <c r="CG282" s="752">
        <f>INPUT!DX228</f>
        <v>7.1129707112970619</v>
      </c>
      <c r="CH282" s="750">
        <f>INPUT!DY228</f>
        <v>78.7</v>
      </c>
      <c r="CI282" s="752">
        <f>INPUT!DZ228</f>
        <v>8.253094910591475</v>
      </c>
      <c r="CJ282" s="750">
        <f>INPUT!EA228</f>
        <v>80.3</v>
      </c>
      <c r="CK282" s="752">
        <f>INPUT!EB228</f>
        <v>6.07661822985468</v>
      </c>
      <c r="CL282" s="750">
        <f>INPUT!EC228</f>
        <v>85.2</v>
      </c>
      <c r="CM282" s="752">
        <f>INPUT!ED228</f>
        <v>9.5115681233933316</v>
      </c>
      <c r="CN282" s="750">
        <f>INPUT!EE228</f>
        <v>85.2</v>
      </c>
      <c r="CO282" s="752">
        <f>INPUT!EF228</f>
        <v>10.9375</v>
      </c>
      <c r="CP282" s="750">
        <f>INPUT!EG228</f>
        <v>86.4</v>
      </c>
      <c r="CQ282" s="752">
        <f>INPUT!EH228</f>
        <v>9.783989834815765</v>
      </c>
      <c r="CR282" s="750">
        <f>INPUT!EI228</f>
        <v>87.7</v>
      </c>
      <c r="CS282" s="752">
        <f>INPUT!EJ228</f>
        <v>9.2154420921544364</v>
      </c>
      <c r="CT282" s="750">
        <f>INPUT!EK228</f>
        <v>89.453999999999994</v>
      </c>
      <c r="CU282" s="752">
        <f>INPUT!EL228</f>
        <v>4.9929577464788544</v>
      </c>
      <c r="CV282" s="750">
        <f>INPUT!EM228</f>
        <v>91.243080000000006</v>
      </c>
      <c r="CW282" s="752">
        <f>INPUT!EN228</f>
        <v>7.0928169014084608</v>
      </c>
      <c r="CX282" s="750">
        <f>INPUT!EO228</f>
        <v>93.067941600000012</v>
      </c>
      <c r="CY282" s="752">
        <f>INPUT!EP228</f>
        <v>7.7175250000000029</v>
      </c>
      <c r="CZ282" s="750">
        <f>INPUT!EQ228</f>
        <v>94.929300432000019</v>
      </c>
      <c r="DA282" s="752">
        <f>INPUT!ER228</f>
        <v>8.2432160000000199</v>
      </c>
      <c r="DB282" s="753"/>
      <c r="DC282" s="750">
        <f>INPUT!FB228</f>
        <v>135.70000000000002</v>
      </c>
      <c r="DD282" s="767" t="str">
        <f>INPUT!FC228</f>
        <v>NA</v>
      </c>
      <c r="DE282" s="750">
        <f>INPUT!FD228</f>
        <v>143.89999999999998</v>
      </c>
      <c r="DF282" s="767">
        <f>INPUT!FE228</f>
        <v>6.0427413411937803</v>
      </c>
      <c r="DG282" s="750">
        <f>INPUT!FF228</f>
        <v>164.9</v>
      </c>
      <c r="DH282" s="767">
        <f>INPUT!FG228</f>
        <v>14.593467685893003</v>
      </c>
      <c r="DI282" s="750">
        <f>INPUT!FH228</f>
        <v>173.89999999999998</v>
      </c>
      <c r="DJ282" s="767">
        <f>INPUT!FI228</f>
        <v>5.4578532443905203</v>
      </c>
      <c r="DK282" s="750">
        <f>INPUT!FJ228</f>
        <v>170.7</v>
      </c>
      <c r="DL282" s="752">
        <f>INPUT!FK228</f>
        <v>-1.840138010350767</v>
      </c>
      <c r="DM282" s="750">
        <f>INPUT!FL228</f>
        <v>184.9</v>
      </c>
      <c r="DN282" s="752">
        <f>INPUT!FM228</f>
        <v>8.3186877562976047</v>
      </c>
      <c r="DO282" s="750">
        <f>INPUT!FN228</f>
        <v>201.60000000000002</v>
      </c>
      <c r="DP282" s="752">
        <f>INPUT!FO228</f>
        <v>9.0319091400757223</v>
      </c>
      <c r="DQ282" s="750">
        <f>INPUT!FP228</f>
        <v>211.8</v>
      </c>
      <c r="DR282" s="752">
        <f>INPUT!FQ228</f>
        <v>5.0595238095238138</v>
      </c>
      <c r="DS282" s="750">
        <f>INPUT!FR228</f>
        <v>215.3</v>
      </c>
      <c r="DT282" s="752">
        <f>INPUT!FS228</f>
        <v>1.6525023607176559</v>
      </c>
      <c r="DU282" s="750">
        <f>INPUT!FT228</f>
        <v>232.6</v>
      </c>
      <c r="DV282" s="752">
        <f>INPUT!FU228</f>
        <v>8.0352995819786166</v>
      </c>
      <c r="DW282" s="750">
        <f>INPUT!FV228</f>
        <v>245.9</v>
      </c>
      <c r="DX282" s="752">
        <f>INPUT!FW228</f>
        <v>5.7179707652622591</v>
      </c>
      <c r="DY282" s="750">
        <f>INPUT!FX228</f>
        <v>254.5</v>
      </c>
      <c r="DZ282" s="752">
        <f>INPUT!FY228</f>
        <v>3.4973566490443142</v>
      </c>
      <c r="EA282" s="750">
        <f>INPUT!FZ228</f>
        <v>252.5</v>
      </c>
      <c r="EB282" s="752">
        <f>INPUT!GA228</f>
        <v>-0.78585461689587577</v>
      </c>
      <c r="EC282" s="750">
        <f>INPUT!GB228</f>
        <v>262.3</v>
      </c>
      <c r="ED282" s="752">
        <f>INPUT!GC228</f>
        <v>3.8811881188118846</v>
      </c>
      <c r="EE282" s="750">
        <f>INPUT!GD228</f>
        <v>293.5</v>
      </c>
      <c r="EF282" s="752">
        <f>INPUT!GE228</f>
        <v>11.894776972931753</v>
      </c>
      <c r="EG282" s="750">
        <f>INPUT!GF228</f>
        <v>313.60000000000002</v>
      </c>
      <c r="EH282" s="752">
        <f>INPUT!GG228</f>
        <v>6.848381601362874</v>
      </c>
      <c r="EI282" s="750">
        <f>INPUT!GH228</f>
        <v>344.5</v>
      </c>
      <c r="EJ282" s="752">
        <f>INPUT!GI228</f>
        <v>9.8533163265306136</v>
      </c>
      <c r="EK282" s="750">
        <f>INPUT!GJ228</f>
        <v>368.69432203200006</v>
      </c>
      <c r="EL282" s="752">
        <f>INPUT!GK228</f>
        <v>7.023025263280136</v>
      </c>
      <c r="EM282" s="750">
        <f>INPUT!GL228</f>
        <v>376.06820847264004</v>
      </c>
      <c r="EN282" s="752">
        <f>INPUT!GM228</f>
        <v>2.0000000000000018</v>
      </c>
      <c r="EO282" s="750">
        <f>INPUT!GN228</f>
        <v>383.58957264209289</v>
      </c>
      <c r="EP282" s="752">
        <f>INPUT!GO228</f>
        <v>2.000000000000024</v>
      </c>
      <c r="EQ282" s="750">
        <f>INPUT!GP228</f>
        <v>391.26136409493478</v>
      </c>
      <c r="ER282" s="752">
        <f>INPUT!GQ228</f>
        <v>2.0000000000000018</v>
      </c>
      <c r="ES282" s="750">
        <f>INPUT!GR228</f>
        <v>399.08659137683338</v>
      </c>
      <c r="ET282" s="752">
        <f>INPUT!GS228</f>
        <v>1.9999999999999796</v>
      </c>
      <c r="EU282" s="767">
        <f>INPUT!GT228</f>
        <v>2.9853814786358512</v>
      </c>
      <c r="EV282" s="710"/>
    </row>
    <row r="283" spans="1:152" ht="12.75" hidden="1" customHeight="1" outlineLevel="1" x14ac:dyDescent="0.2">
      <c r="A283" s="754" t="str">
        <f>INPUT!B229</f>
        <v>Net Change in DPAC</v>
      </c>
      <c r="B283" s="750">
        <f>INPUT!AS229</f>
        <v>-10.600000000000001</v>
      </c>
      <c r="C283" s="767">
        <f>INPUT!AT229</f>
        <v>-2.7522935779816238</v>
      </c>
      <c r="D283" s="750">
        <f>INPUT!AU229</f>
        <v>-11.200000000000003</v>
      </c>
      <c r="E283" s="767">
        <f>INPUT!AV229</f>
        <v>13.131313131313171</v>
      </c>
      <c r="F283" s="750">
        <f>INPUT!AW229</f>
        <v>-10.499999999999996</v>
      </c>
      <c r="G283" s="767">
        <f>INPUT!AX229</f>
        <v>3.9603960396039417</v>
      </c>
      <c r="H283" s="750">
        <f>INPUT!AY229</f>
        <v>-10.3</v>
      </c>
      <c r="I283" s="752">
        <f>INPUT!AZ229</f>
        <v>32.051282051282115</v>
      </c>
      <c r="J283" s="750">
        <f>INPUT!BA229</f>
        <v>-14</v>
      </c>
      <c r="K283" s="752">
        <f>INPUT!BB229</f>
        <v>32.075471698113198</v>
      </c>
      <c r="L283" s="750">
        <f>INPUT!BC229</f>
        <v>-13.800000000000004</v>
      </c>
      <c r="M283" s="752">
        <f>INPUT!BD229</f>
        <v>23.214285714285722</v>
      </c>
      <c r="N283" s="750">
        <f>INPUT!BE229</f>
        <v>-14.399999999999999</v>
      </c>
      <c r="O283" s="752">
        <f>INPUT!BF229</f>
        <v>37.142857142857167</v>
      </c>
      <c r="P283" s="750">
        <f>INPUT!BG229</f>
        <v>-14.799999999999997</v>
      </c>
      <c r="Q283" s="752">
        <f>INPUT!BH229</f>
        <v>43.689320388349472</v>
      </c>
      <c r="R283" s="750">
        <f>INPUT!BI229</f>
        <v>-15</v>
      </c>
      <c r="S283" s="752">
        <f>INPUT!BJ229</f>
        <v>7.1428571428571397</v>
      </c>
      <c r="T283" s="750">
        <f>INPUT!BK229</f>
        <v>-16</v>
      </c>
      <c r="U283" s="752">
        <f>INPUT!BL229</f>
        <v>15.942028985507207</v>
      </c>
      <c r="V283" s="750">
        <f>INPUT!BM229</f>
        <v>-12.800000000000004</v>
      </c>
      <c r="W283" s="752">
        <f>INPUT!BN229</f>
        <v>-11.111111111111072</v>
      </c>
      <c r="X283" s="750">
        <f>INPUT!BO229</f>
        <v>-13.600000000000001</v>
      </c>
      <c r="Y283" s="752">
        <f>INPUT!BP229</f>
        <v>-8.1081081081080804</v>
      </c>
      <c r="Z283" s="750">
        <f>INPUT!BQ229</f>
        <v>-11.399999999999999</v>
      </c>
      <c r="AA283" s="752">
        <f>INPUT!BR229</f>
        <v>-24.000000000000011</v>
      </c>
      <c r="AB283" s="750">
        <f>INPUT!BS229</f>
        <v>-12.800000000000004</v>
      </c>
      <c r="AC283" s="752">
        <f>INPUT!BT229</f>
        <v>-19.999999999999972</v>
      </c>
      <c r="AD283" s="750">
        <f>INPUT!BU229</f>
        <v>-12.800000000000004</v>
      </c>
      <c r="AE283" s="752">
        <f>INPUT!BV229</f>
        <v>0</v>
      </c>
      <c r="AF283" s="750">
        <f>INPUT!BW229</f>
        <v>-13.5</v>
      </c>
      <c r="AG283" s="752">
        <f>INPUT!BX229</f>
        <v>-0.73529411764706731</v>
      </c>
      <c r="AH283" s="750">
        <f>INPUT!BY229</f>
        <v>-9.7999999999999972</v>
      </c>
      <c r="AI283" s="752">
        <f>INPUT!BZ229</f>
        <v>-14.035087719298255</v>
      </c>
      <c r="AJ283" s="750">
        <f>INPUT!CA229</f>
        <v>-9.7999999999999972</v>
      </c>
      <c r="AK283" s="752">
        <f>INPUT!CB229</f>
        <v>-23.437500000000043</v>
      </c>
      <c r="AL283" s="750">
        <f>INPUT!CC229</f>
        <v>-15.5</v>
      </c>
      <c r="AM283" s="752">
        <f>INPUT!CD229</f>
        <v>21.093749999999957</v>
      </c>
      <c r="AN283" s="750">
        <f>INPUT!CE229</f>
        <v>-11.599999999999994</v>
      </c>
      <c r="AO283" s="752">
        <f>INPUT!CF229</f>
        <v>-14.074074074074117</v>
      </c>
      <c r="AP283" s="750">
        <f>INPUT!CG229</f>
        <v>-13.199999999999996</v>
      </c>
      <c r="AQ283" s="752">
        <f>INPUT!CH229</f>
        <v>34.6938775510204</v>
      </c>
      <c r="AR283" s="750">
        <f>INPUT!CI229</f>
        <v>-13.099999999999994</v>
      </c>
      <c r="AS283" s="752">
        <f>INPUT!CJ229</f>
        <v>33.673469387755084</v>
      </c>
      <c r="AT283" s="750">
        <f>INPUT!CK229</f>
        <v>-14.899999999999999</v>
      </c>
      <c r="AU283" s="752">
        <f>INPUT!CL229</f>
        <v>-3.8709677419354938</v>
      </c>
      <c r="AV283" s="750">
        <f>INPUT!CM229</f>
        <v>-10.699999999999996</v>
      </c>
      <c r="AW283" s="752">
        <f>INPUT!CN229</f>
        <v>-7.7586206896551602</v>
      </c>
      <c r="AX283" s="750">
        <f>INPUT!CO229</f>
        <v>-10</v>
      </c>
      <c r="AY283" s="752">
        <f>INPUT!CP229</f>
        <v>-24.242424242424221</v>
      </c>
      <c r="AZ283" s="750">
        <f>INPUT!CQ229</f>
        <v>-9.5</v>
      </c>
      <c r="BA283" s="752">
        <f>INPUT!CR229</f>
        <v>-27.480916030534321</v>
      </c>
      <c r="BB283" s="750">
        <f>INPUT!CS229</f>
        <v>-10.700000000000003</v>
      </c>
      <c r="BC283" s="752">
        <f>INPUT!CT229</f>
        <v>-28.187919463087219</v>
      </c>
      <c r="BD283" s="750">
        <f>INPUT!CU229</f>
        <v>-9.6000000000000014</v>
      </c>
      <c r="BE283" s="752">
        <f>INPUT!CV229</f>
        <v>-10.280373831775647</v>
      </c>
      <c r="BF283" s="750">
        <f>INPUT!CW229</f>
        <v>-8.8999999999999986</v>
      </c>
      <c r="BG283" s="752">
        <f>INPUT!CX229</f>
        <v>-11.000000000000011</v>
      </c>
      <c r="BH283" s="750">
        <f>INPUT!CY229</f>
        <v>-7.7000000000000028</v>
      </c>
      <c r="BI283" s="752">
        <f>INPUT!CZ229</f>
        <v>-18.947368421052602</v>
      </c>
      <c r="BJ283" s="750">
        <f>INPUT!DA229</f>
        <v>-4.8000000000000043</v>
      </c>
      <c r="BK283" s="752" t="str">
        <f>INPUT!DB229</f>
        <v>NM</v>
      </c>
      <c r="BL283" s="750">
        <f>INPUT!DC229</f>
        <v>-9.3999999999999986</v>
      </c>
      <c r="BM283" s="752">
        <f>INPUT!DD229</f>
        <v>-2.0833333333333592</v>
      </c>
      <c r="BN283" s="750">
        <f>INPUT!DE229</f>
        <v>-8</v>
      </c>
      <c r="BO283" s="752">
        <f>INPUT!DF229</f>
        <v>-10.112359550561777</v>
      </c>
      <c r="BP283" s="750">
        <f>INPUT!DG229</f>
        <v>-8.9000000000000057</v>
      </c>
      <c r="BQ283" s="752">
        <f>INPUT!DH229</f>
        <v>15.584415584415613</v>
      </c>
      <c r="BR283" s="750">
        <f>INPUT!DI229</f>
        <v>-8.0999999999999943</v>
      </c>
      <c r="BS283" s="752">
        <f>INPUT!DJ229</f>
        <v>68.74999999999973</v>
      </c>
      <c r="BT283" s="750">
        <f>INPUT!DK229</f>
        <v>-15.599999999999994</v>
      </c>
      <c r="BU283" s="752">
        <f>INPUT!DL229</f>
        <v>65.95744680851061</v>
      </c>
      <c r="BV283" s="750">
        <f>INPUT!DM229</f>
        <v>-14.799999999999997</v>
      </c>
      <c r="BW283" s="752">
        <f>INPUT!DN229</f>
        <v>84.999999999999972</v>
      </c>
      <c r="BX283" s="750">
        <f>INPUT!DO229</f>
        <v>-8.3000000000000043</v>
      </c>
      <c r="BY283" s="752">
        <f>INPUT!DP229</f>
        <v>-6.7415730337078816</v>
      </c>
      <c r="BZ283" s="750">
        <f>INPUT!DQ229</f>
        <v>-13.900000000000006</v>
      </c>
      <c r="CA283" s="752">
        <f>INPUT!DR229</f>
        <v>71.604938271605121</v>
      </c>
      <c r="CB283" s="750">
        <f>INPUT!DS229</f>
        <v>-17.099999999999994</v>
      </c>
      <c r="CC283" s="752">
        <f>INPUT!DT229</f>
        <v>9.6153846153846256</v>
      </c>
      <c r="CD283" s="750">
        <f>INPUT!DU229</f>
        <v>-14.599999999999994</v>
      </c>
      <c r="CE283" s="752">
        <f>INPUT!DV229</f>
        <v>-1.3513513513513709</v>
      </c>
      <c r="CF283" s="750">
        <f>INPUT!DW229</f>
        <v>-13.399999999999999</v>
      </c>
      <c r="CG283" s="752">
        <f>INPUT!DX229</f>
        <v>61.445783132530018</v>
      </c>
      <c r="CH283" s="750">
        <f>INPUT!DY229</f>
        <v>-17.299999999999997</v>
      </c>
      <c r="CI283" s="752">
        <f>INPUT!DZ229</f>
        <v>24.460431654676196</v>
      </c>
      <c r="CJ283" s="750">
        <f>INPUT!EA229</f>
        <v>-16.700000000000003</v>
      </c>
      <c r="CK283" s="752">
        <f>INPUT!EB229</f>
        <v>-2.3391812865496631</v>
      </c>
      <c r="CL283" s="750">
        <f>INPUT!EC229</f>
        <v>-17.200000000000003</v>
      </c>
      <c r="CM283" s="752">
        <f>INPUT!ED229</f>
        <v>17.808219178082261</v>
      </c>
      <c r="CN283" s="750">
        <f>INPUT!EE229</f>
        <v>-16.300000000000004</v>
      </c>
      <c r="CO283" s="752">
        <f>INPUT!EF229</f>
        <v>21.64179104477617</v>
      </c>
      <c r="CP283" s="750">
        <f>INPUT!EG229</f>
        <v>-18.799999999999997</v>
      </c>
      <c r="CQ283" s="752">
        <f>INPUT!EH229</f>
        <v>8.6705202312138852</v>
      </c>
      <c r="CR283" s="750">
        <f>INPUT!EI229</f>
        <v>-18.799999999999997</v>
      </c>
      <c r="CS283" s="752">
        <f>INPUT!EJ229</f>
        <v>12.574850299401152</v>
      </c>
      <c r="CT283" s="750">
        <f>INPUT!EK229</f>
        <v>-18.799999999999997</v>
      </c>
      <c r="CU283" s="752">
        <f>INPUT!EL229</f>
        <v>9.302325581395321</v>
      </c>
      <c r="CV283" s="750">
        <f>INPUT!EM229</f>
        <v>-18.799999999999997</v>
      </c>
      <c r="CW283" s="752">
        <f>INPUT!EN229</f>
        <v>15.337423312883391</v>
      </c>
      <c r="CX283" s="750">
        <f>INPUT!EO229</f>
        <v>-18.799999999999997</v>
      </c>
      <c r="CY283" s="752">
        <f>INPUT!EP229</f>
        <v>0</v>
      </c>
      <c r="CZ283" s="750">
        <f>INPUT!EQ229</f>
        <v>-18.799999999999997</v>
      </c>
      <c r="DA283" s="752">
        <f>INPUT!ER229</f>
        <v>0</v>
      </c>
      <c r="DB283" s="753"/>
      <c r="DC283" s="750">
        <f>INPUT!FB229</f>
        <v>-34.9</v>
      </c>
      <c r="DD283" s="767" t="str">
        <f>INPUT!FC229</f>
        <v>NA</v>
      </c>
      <c r="DE283" s="750">
        <f>INPUT!FD229</f>
        <v>-40.700000000000003</v>
      </c>
      <c r="DF283" s="767">
        <f>INPUT!FE229</f>
        <v>16.618911174785111</v>
      </c>
      <c r="DG283" s="750">
        <f>INPUT!FF229</f>
        <v>-47.800000000000004</v>
      </c>
      <c r="DH283" s="767">
        <f>INPUT!FG229</f>
        <v>17.444717444717451</v>
      </c>
      <c r="DI283" s="750">
        <f>INPUT!FH229</f>
        <v>-42.5</v>
      </c>
      <c r="DJ283" s="767">
        <f>INPUT!FI229</f>
        <v>-11.087866108786615</v>
      </c>
      <c r="DK283" s="750">
        <f>INPUT!FJ229</f>
        <v>-38.699999999999989</v>
      </c>
      <c r="DL283" s="752">
        <f>INPUT!FK229</f>
        <v>-8.9411764705882639</v>
      </c>
      <c r="DM283" s="750">
        <f>INPUT!FL229</f>
        <v>-42.599999999999994</v>
      </c>
      <c r="DN283" s="752">
        <f>INPUT!FM229</f>
        <v>10.077519379844979</v>
      </c>
      <c r="DO283" s="750">
        <f>INPUT!FN229</f>
        <v>-57</v>
      </c>
      <c r="DP283" s="752">
        <f>INPUT!FO229</f>
        <v>33.80281690140847</v>
      </c>
      <c r="DQ283" s="750">
        <f>INPUT!FP229</f>
        <v>-57.400000000000006</v>
      </c>
      <c r="DR283" s="752">
        <f>INPUT!FQ229</f>
        <v>0.70175438596491446</v>
      </c>
      <c r="DS283" s="750">
        <f>INPUT!FR229</f>
        <v>-38.700000000000017</v>
      </c>
      <c r="DT283" s="752">
        <f>INPUT!FS229</f>
        <v>-32.578397212543528</v>
      </c>
      <c r="DU283" s="750">
        <f>INPUT!FT229</f>
        <v>-46.699999999999989</v>
      </c>
      <c r="DV283" s="752">
        <f>INPUT!FU229</f>
        <v>20.671834625322916</v>
      </c>
      <c r="DW283" s="750">
        <f>INPUT!FV229</f>
        <v>-51.899999999999984</v>
      </c>
      <c r="DX283" s="752">
        <f>INPUT!FW229</f>
        <v>11.134903640256955</v>
      </c>
      <c r="DY283" s="750">
        <f>INPUT!FX229</f>
        <v>-39.800000000000004</v>
      </c>
      <c r="DZ283" s="752">
        <f>INPUT!FY229</f>
        <v>-23.314065510597271</v>
      </c>
      <c r="EA283" s="750">
        <f>INPUT!FZ229</f>
        <v>-30.800000000000004</v>
      </c>
      <c r="EB283" s="752">
        <f>INPUT!GA229</f>
        <v>-22.613065326633162</v>
      </c>
      <c r="EC283" s="750">
        <f>INPUT!GB229</f>
        <v>-40.599999999999994</v>
      </c>
      <c r="ED283" s="752">
        <f>INPUT!GC229</f>
        <v>31.818181818181792</v>
      </c>
      <c r="EE283" s="750">
        <f>INPUT!GD229</f>
        <v>-54.1</v>
      </c>
      <c r="EF283" s="752">
        <f>INPUT!GE229</f>
        <v>33.251231527093616</v>
      </c>
      <c r="EG283" s="750">
        <f>INPUT!GF229</f>
        <v>-61.999999999999993</v>
      </c>
      <c r="EH283" s="752">
        <f>INPUT!GG229</f>
        <v>14.602587800369671</v>
      </c>
      <c r="EI283" s="750">
        <f>INPUT!GH229</f>
        <v>-71.099999999999994</v>
      </c>
      <c r="EJ283" s="752">
        <f>INPUT!GI229</f>
        <v>14.677419354838705</v>
      </c>
      <c r="EK283" s="750">
        <f>INPUT!GJ229</f>
        <v>-75.199999999999989</v>
      </c>
      <c r="EL283" s="752">
        <f>INPUT!GK229</f>
        <v>5.7665260196905654</v>
      </c>
      <c r="EM283" s="750">
        <f>INPUT!GL229</f>
        <v>-76.703999999999994</v>
      </c>
      <c r="EN283" s="752">
        <f>INPUT!GM229</f>
        <v>2.0000000000000018</v>
      </c>
      <c r="EO283" s="750">
        <f>INPUT!GN229</f>
        <v>-78.238080000000011</v>
      </c>
      <c r="EP283" s="752">
        <f>INPUT!GO229</f>
        <v>2.000000000000024</v>
      </c>
      <c r="EQ283" s="750">
        <f>INPUT!GP229</f>
        <v>-79.802841600000008</v>
      </c>
      <c r="ER283" s="752">
        <f>INPUT!GQ229</f>
        <v>2.0000000000000018</v>
      </c>
      <c r="ES283" s="750">
        <f>INPUT!GR229</f>
        <v>-81.398898431999996</v>
      </c>
      <c r="ET283" s="752">
        <f>INPUT!GS229</f>
        <v>1.9999999999999796</v>
      </c>
      <c r="EU283" s="767">
        <f>INPUT!GT229</f>
        <v>2.7424186940189221</v>
      </c>
      <c r="EV283" s="710"/>
    </row>
    <row r="284" spans="1:152" ht="12.75" hidden="1" customHeight="1" outlineLevel="1" x14ac:dyDescent="0.2">
      <c r="A284" s="754" t="str">
        <f>INPUT!B230</f>
        <v>Operating Expenses</v>
      </c>
      <c r="B284" s="750">
        <f>INPUT!AS230</f>
        <v>40.699999999999996</v>
      </c>
      <c r="C284" s="767">
        <f>INPUT!AT230</f>
        <v>1.4962593516209433</v>
      </c>
      <c r="D284" s="750">
        <f>INPUT!AU230</f>
        <v>35.1</v>
      </c>
      <c r="E284" s="767">
        <f>INPUT!AV230</f>
        <v>-9.3023255813953316</v>
      </c>
      <c r="F284" s="750">
        <f>INPUT!AW230</f>
        <v>38</v>
      </c>
      <c r="G284" s="767">
        <f>INPUT!AX230</f>
        <v>2.7027027027026973</v>
      </c>
      <c r="H284" s="750">
        <f>INPUT!AY230</f>
        <v>40.6</v>
      </c>
      <c r="I284" s="752">
        <f>INPUT!AZ230</f>
        <v>6.0052219321148792</v>
      </c>
      <c r="J284" s="750">
        <f>INPUT!BA230</f>
        <v>43.1</v>
      </c>
      <c r="K284" s="752">
        <f>INPUT!BB230</f>
        <v>5.8968058968059012</v>
      </c>
      <c r="L284" s="750">
        <f>INPUT!BC230</f>
        <v>43.2</v>
      </c>
      <c r="M284" s="752">
        <f>INPUT!BD230</f>
        <v>23.076923076923084</v>
      </c>
      <c r="N284" s="750">
        <f>INPUT!BE230</f>
        <v>43.1</v>
      </c>
      <c r="O284" s="752">
        <f>INPUT!BF230</f>
        <v>13.421052631578956</v>
      </c>
      <c r="P284" s="750">
        <f>INPUT!BG230</f>
        <v>50.4</v>
      </c>
      <c r="Q284" s="752">
        <f>INPUT!BH230</f>
        <v>24.13793103448274</v>
      </c>
      <c r="R284" s="750">
        <f>INPUT!BI230</f>
        <v>47.4</v>
      </c>
      <c r="S284" s="752">
        <f>INPUT!BJ230</f>
        <v>9.9767981438515072</v>
      </c>
      <c r="T284" s="750">
        <f>INPUT!BK230</f>
        <v>49.7</v>
      </c>
      <c r="U284" s="752">
        <f>INPUT!BL230</f>
        <v>15.046296296296301</v>
      </c>
      <c r="V284" s="750">
        <f>INPUT!BM230</f>
        <v>49.3</v>
      </c>
      <c r="W284" s="752">
        <f>INPUT!BN230</f>
        <v>14.38515081206495</v>
      </c>
      <c r="X284" s="750">
        <f>INPUT!BO230</f>
        <v>50.5</v>
      </c>
      <c r="Y284" s="752">
        <f>INPUT!BP230</f>
        <v>0.19841269841269771</v>
      </c>
      <c r="Z284" s="750">
        <f>INPUT!BQ230</f>
        <v>50</v>
      </c>
      <c r="AA284" s="752">
        <f>INPUT!BR230</f>
        <v>5.4852320675105481</v>
      </c>
      <c r="AB284" s="750">
        <f>INPUT!BS230</f>
        <v>51.4</v>
      </c>
      <c r="AC284" s="752">
        <f>INPUT!BT230</f>
        <v>3.4205231388329871</v>
      </c>
      <c r="AD284" s="750">
        <f>INPUT!BU230</f>
        <v>49.9</v>
      </c>
      <c r="AE284" s="752">
        <f>INPUT!BV230</f>
        <v>1.2170385395537497</v>
      </c>
      <c r="AF284" s="750">
        <f>INPUT!BW230</f>
        <v>52.3</v>
      </c>
      <c r="AG284" s="752">
        <f>INPUT!BX230</f>
        <v>3.5643564356435675</v>
      </c>
      <c r="AH284" s="750">
        <f>INPUT!BY230</f>
        <v>52.3</v>
      </c>
      <c r="AI284" s="752">
        <f>INPUT!BZ230</f>
        <v>4.6000000000000041</v>
      </c>
      <c r="AJ284" s="750">
        <f>INPUT!CA230</f>
        <v>51.9</v>
      </c>
      <c r="AK284" s="752">
        <f>INPUT!CB230</f>
        <v>0.97276264591439343</v>
      </c>
      <c r="AL284" s="750">
        <f>INPUT!CC230</f>
        <v>52.1</v>
      </c>
      <c r="AM284" s="752">
        <f>INPUT!CD230</f>
        <v>4.4088176352705455</v>
      </c>
      <c r="AN284" s="750">
        <f>INPUT!CE230</f>
        <v>52.3</v>
      </c>
      <c r="AO284" s="752">
        <f>INPUT!CF230</f>
        <v>0</v>
      </c>
      <c r="AP284" s="750">
        <f>INPUT!CG230</f>
        <v>53.2</v>
      </c>
      <c r="AQ284" s="752">
        <f>INPUT!CH230</f>
        <v>1.7208413001912115</v>
      </c>
      <c r="AR284" s="750">
        <f>INPUT!CI230</f>
        <v>54.4</v>
      </c>
      <c r="AS284" s="752">
        <f>INPUT!CJ230</f>
        <v>4.8169556840077066</v>
      </c>
      <c r="AT284" s="750">
        <f>INPUT!CK230</f>
        <v>53.6</v>
      </c>
      <c r="AU284" s="752">
        <f>INPUT!CL230</f>
        <v>2.8790786948176494</v>
      </c>
      <c r="AV284" s="750">
        <f>INPUT!CM230</f>
        <v>53.5</v>
      </c>
      <c r="AW284" s="752">
        <f>INPUT!CN230</f>
        <v>2.2944550669216079</v>
      </c>
      <c r="AX284" s="750">
        <f>INPUT!CO230</f>
        <v>54</v>
      </c>
      <c r="AY284" s="752">
        <f>INPUT!CP230</f>
        <v>1.5037593984962294</v>
      </c>
      <c r="AZ284" s="750">
        <f>INPUT!CQ230</f>
        <v>53.8</v>
      </c>
      <c r="BA284" s="752">
        <f>INPUT!CR230</f>
        <v>-1.1029411764705954</v>
      </c>
      <c r="BB284" s="750">
        <f>INPUT!CS230</f>
        <v>52.8</v>
      </c>
      <c r="BC284" s="752">
        <f>INPUT!CT230</f>
        <v>-1.4925373134328401</v>
      </c>
      <c r="BD284" s="750">
        <f>INPUT!CU230</f>
        <v>56.5</v>
      </c>
      <c r="BE284" s="752">
        <f>INPUT!CV230</f>
        <v>5.6074766355140193</v>
      </c>
      <c r="BF284" s="750">
        <f>INPUT!CW230</f>
        <v>55</v>
      </c>
      <c r="BG284" s="752">
        <f>INPUT!CX230</f>
        <v>1.8518518518518601</v>
      </c>
      <c r="BH284" s="750">
        <f>INPUT!CY230</f>
        <v>56.1</v>
      </c>
      <c r="BI284" s="752">
        <f>INPUT!CZ230</f>
        <v>4.2750929368029711</v>
      </c>
      <c r="BJ284" s="750">
        <f>INPUT!DA230</f>
        <v>55.3</v>
      </c>
      <c r="BK284" s="752">
        <f>INPUT!DB230</f>
        <v>4.7348484848484862</v>
      </c>
      <c r="BL284" s="750">
        <f>INPUT!DC230</f>
        <v>57.9</v>
      </c>
      <c r="BM284" s="752">
        <f>INPUT!DD230</f>
        <v>2.4778761061946986</v>
      </c>
      <c r="BN284" s="750">
        <f>INPUT!DE230</f>
        <v>58.5</v>
      </c>
      <c r="BO284" s="752">
        <f>INPUT!DF230</f>
        <v>6.3636363636363713</v>
      </c>
      <c r="BP284" s="750">
        <f>INPUT!DG230</f>
        <v>58.6</v>
      </c>
      <c r="BQ284" s="752">
        <f>INPUT!DH230</f>
        <v>4.4563279857397609</v>
      </c>
      <c r="BR284" s="750">
        <f>INPUT!DI230</f>
        <v>59.2</v>
      </c>
      <c r="BS284" s="752">
        <f>INPUT!DJ230</f>
        <v>7.0524412296564254</v>
      </c>
      <c r="BT284" s="750">
        <f>INPUT!DK230</f>
        <v>61.7</v>
      </c>
      <c r="BU284" s="752">
        <f>INPUT!DL230</f>
        <v>6.5630397236615012</v>
      </c>
      <c r="BV284" s="750">
        <f>INPUT!DM230</f>
        <v>62.6</v>
      </c>
      <c r="BW284" s="752">
        <f>INPUT!DN230</f>
        <v>7.0085470085470059</v>
      </c>
      <c r="BX284" s="750">
        <f>INPUT!DO230</f>
        <v>62.5</v>
      </c>
      <c r="BY284" s="752">
        <f>INPUT!DP230</f>
        <v>6.6552901023890776</v>
      </c>
      <c r="BZ284" s="750">
        <f>INPUT!DQ230</f>
        <v>63.5</v>
      </c>
      <c r="CA284" s="752">
        <f>INPUT!DR230</f>
        <v>7.2635135135135087</v>
      </c>
      <c r="CB284" s="750">
        <f>INPUT!DS230</f>
        <v>64</v>
      </c>
      <c r="CC284" s="752">
        <f>INPUT!DT230</f>
        <v>3.7277147487844386</v>
      </c>
      <c r="CD284" s="750">
        <f>INPUT!DU230</f>
        <v>66</v>
      </c>
      <c r="CE284" s="752">
        <f>INPUT!DV230</f>
        <v>5.4313099041533475</v>
      </c>
      <c r="CF284" s="750">
        <f>INPUT!DW230</f>
        <v>66.3</v>
      </c>
      <c r="CG284" s="752">
        <f>INPUT!DX230</f>
        <v>6.0799999999999965</v>
      </c>
      <c r="CH284" s="750">
        <f>INPUT!DY230</f>
        <v>67.599999999999994</v>
      </c>
      <c r="CI284" s="752">
        <f>INPUT!DZ230</f>
        <v>6.4566929133858197</v>
      </c>
      <c r="CJ284" s="750">
        <f>INPUT!EA230</f>
        <v>67.7</v>
      </c>
      <c r="CK284" s="752">
        <f>INPUT!EB230</f>
        <v>5.7812500000000044</v>
      </c>
      <c r="CL284" s="750">
        <f>INPUT!EC230</f>
        <v>69.099999999999994</v>
      </c>
      <c r="CM284" s="752">
        <f>INPUT!ED230</f>
        <v>4.6969696969696884</v>
      </c>
      <c r="CN284" s="750">
        <f>INPUT!EE230</f>
        <v>69.599999999999994</v>
      </c>
      <c r="CO284" s="752">
        <f>INPUT!EF230</f>
        <v>4.9773755656108642</v>
      </c>
      <c r="CP284" s="750">
        <f>INPUT!EG230</f>
        <v>69.599999999999994</v>
      </c>
      <c r="CQ284" s="752">
        <f>INPUT!EH230</f>
        <v>2.9585798816567976</v>
      </c>
      <c r="CR284" s="750">
        <f>INPUT!EI230</f>
        <v>74.5</v>
      </c>
      <c r="CS284" s="752">
        <f>INPUT!EJ230</f>
        <v>10.044313146233375</v>
      </c>
      <c r="CT284" s="750">
        <f>INPUT!EK230</f>
        <v>76.068033000000014</v>
      </c>
      <c r="CU284" s="752">
        <f>INPUT!EL230</f>
        <v>10.083984081042008</v>
      </c>
      <c r="CV284" s="750">
        <f>INPUT!EM230</f>
        <v>77.469652615000015</v>
      </c>
      <c r="CW284" s="752">
        <f>INPUT!EN230</f>
        <v>11.306972147988548</v>
      </c>
      <c r="CX284" s="750">
        <f>INPUT!EO230</f>
        <v>78.937279780875016</v>
      </c>
      <c r="CY284" s="752">
        <f>INPUT!EP230</f>
        <v>13.415631869073309</v>
      </c>
      <c r="CZ284" s="750">
        <f>INPUT!EQ230</f>
        <v>80.414332319835395</v>
      </c>
      <c r="DA284" s="752">
        <f>INPUT!ER230</f>
        <v>7.9387011004501851</v>
      </c>
      <c r="DB284" s="753"/>
      <c r="DC284" s="750">
        <f>INPUT!FB230</f>
        <v>113.3</v>
      </c>
      <c r="DD284" s="767" t="str">
        <f>INPUT!FC230</f>
        <v>NA</v>
      </c>
      <c r="DE284" s="750">
        <f>INPUT!FD230</f>
        <v>122.1</v>
      </c>
      <c r="DF284" s="767">
        <f>INPUT!FE230</f>
        <v>7.7669902912621325</v>
      </c>
      <c r="DG284" s="750">
        <f>INPUT!FF230</f>
        <v>126.8</v>
      </c>
      <c r="DH284" s="767">
        <f>INPUT!FG230</f>
        <v>3.8493038493038423</v>
      </c>
      <c r="DI284" s="750">
        <f>INPUT!FH230</f>
        <v>142.5</v>
      </c>
      <c r="DJ284" s="767">
        <f>INPUT!FI230</f>
        <v>12.381703470031557</v>
      </c>
      <c r="DK284" s="750">
        <f>INPUT!FJ230</f>
        <v>154.1</v>
      </c>
      <c r="DL284" s="752">
        <f>INPUT!FK230</f>
        <v>8.1403508771929811</v>
      </c>
      <c r="DM284" s="750">
        <f>INPUT!FL230</f>
        <v>154.4</v>
      </c>
      <c r="DN284" s="752">
        <f>INPUT!FM230</f>
        <v>0.19467878001298011</v>
      </c>
      <c r="DO284" s="750">
        <f>INPUT!FN230</f>
        <v>179.8</v>
      </c>
      <c r="DP284" s="752">
        <f>INPUT!FO230</f>
        <v>16.450777202072551</v>
      </c>
      <c r="DQ284" s="750">
        <f>INPUT!FP230</f>
        <v>196.89999999999998</v>
      </c>
      <c r="DR284" s="752">
        <f>INPUT!FQ230</f>
        <v>9.5105672969966406</v>
      </c>
      <c r="DS284" s="750">
        <f>INPUT!FR230</f>
        <v>203.60000000000002</v>
      </c>
      <c r="DT284" s="752">
        <f>INPUT!FS230</f>
        <v>3.4027425088877905</v>
      </c>
      <c r="DU284" s="750">
        <f>INPUT!FT230</f>
        <v>208.59999999999997</v>
      </c>
      <c r="DV284" s="752">
        <f>INPUT!FU230</f>
        <v>2.4557956777995882</v>
      </c>
      <c r="DW284" s="750">
        <f>INPUT!FV230</f>
        <v>214.7</v>
      </c>
      <c r="DX284" s="752">
        <f>INPUT!FW230</f>
        <v>2.9242569511026106</v>
      </c>
      <c r="DY284" s="750">
        <f>INPUT!FX230</f>
        <v>217.1</v>
      </c>
      <c r="DZ284" s="752">
        <f>INPUT!FY230</f>
        <v>1.1178388448998655</v>
      </c>
      <c r="EA284" s="750">
        <f>INPUT!FZ230</f>
        <v>224.29999999999998</v>
      </c>
      <c r="EB284" s="752">
        <f>INPUT!GA230</f>
        <v>3.3164440350069047</v>
      </c>
      <c r="EC284" s="750">
        <f>INPUT!GB230</f>
        <v>238</v>
      </c>
      <c r="ED284" s="752">
        <f>INPUT!GC230</f>
        <v>6.1078912171199429</v>
      </c>
      <c r="EE284" s="750">
        <f>INPUT!GD230</f>
        <v>252.6</v>
      </c>
      <c r="EF284" s="752">
        <f>INPUT!GE230</f>
        <v>6.1344537815126055</v>
      </c>
      <c r="EG284" s="750">
        <f>INPUT!GF230</f>
        <v>267.60000000000002</v>
      </c>
      <c r="EH284" s="752">
        <f>INPUT!GG230</f>
        <v>5.9382422802850554</v>
      </c>
      <c r="EI284" s="750">
        <f>INPUT!GH230</f>
        <v>282.79999999999995</v>
      </c>
      <c r="EJ284" s="752">
        <f>INPUT!GI230</f>
        <v>5.6801195814648375</v>
      </c>
      <c r="EK284" s="750">
        <f>INPUT!GJ230</f>
        <v>312.88929771571048</v>
      </c>
      <c r="EL284" s="752">
        <f>INPUT!GK230</f>
        <v>10.639779956050411</v>
      </c>
      <c r="EM284" s="750">
        <f>INPUT!GL230</f>
        <v>319.1575589700247</v>
      </c>
      <c r="EN284" s="752">
        <f>INPUT!GM230</f>
        <v>2.003347925313026</v>
      </c>
      <c r="EO284" s="750">
        <f>INPUT!GN230</f>
        <v>325.55191872042519</v>
      </c>
      <c r="EP284" s="752">
        <f>INPUT!GO230</f>
        <v>2.0035119240277899</v>
      </c>
      <c r="EQ284" s="750">
        <f>INPUT!GP230</f>
        <v>332.07495026580375</v>
      </c>
      <c r="ER284" s="752">
        <f>INPUT!GQ230</f>
        <v>2.0036839503257076</v>
      </c>
      <c r="ES284" s="750">
        <f>INPUT!GR230</f>
        <v>338.72928196405769</v>
      </c>
      <c r="ET284" s="752">
        <f>INPUT!GS230</f>
        <v>2.003864396554933</v>
      </c>
      <c r="EU284" s="767">
        <f>INPUT!GT230</f>
        <v>3.6751487804842276</v>
      </c>
      <c r="EV284" s="710"/>
    </row>
    <row r="285" spans="1:152" ht="12.75" hidden="1" customHeight="1" outlineLevel="1" x14ac:dyDescent="0.2">
      <c r="A285" s="754" t="str">
        <f>INPUT!B231</f>
        <v xml:space="preserve"> Total Benefits and Expenses</v>
      </c>
      <c r="B285" s="750">
        <f>INPUT!AS231</f>
        <v>179.29999999999998</v>
      </c>
      <c r="C285" s="767">
        <f>INPUT!AT231</f>
        <v>1.9329164297896551</v>
      </c>
      <c r="D285" s="750">
        <f>INPUT!AU231</f>
        <v>183.4</v>
      </c>
      <c r="E285" s="767">
        <f>INPUT!AV231</f>
        <v>4.0272263187748347</v>
      </c>
      <c r="F285" s="750">
        <f>INPUT!AW231</f>
        <v>184.5</v>
      </c>
      <c r="G285" s="767">
        <f>INPUT!AX231</f>
        <v>2.4430871737923354</v>
      </c>
      <c r="H285" s="750">
        <f>INPUT!AY231</f>
        <v>190.89999999999998</v>
      </c>
      <c r="I285" s="752">
        <f>INPUT!AZ231</f>
        <v>2.0855614973261938</v>
      </c>
      <c r="J285" s="750">
        <f>INPUT!BA231</f>
        <v>188.5</v>
      </c>
      <c r="K285" s="752">
        <f>INPUT!BB231</f>
        <v>5.1310652537646551</v>
      </c>
      <c r="L285" s="750">
        <f>INPUT!BC231</f>
        <v>185.09999999999997</v>
      </c>
      <c r="M285" s="752">
        <f>INPUT!BD231</f>
        <v>0.9269356597600753</v>
      </c>
      <c r="N285" s="750">
        <f>INPUT!BE231</f>
        <v>189.8</v>
      </c>
      <c r="O285" s="752">
        <f>INPUT!BF231</f>
        <v>2.872628726287263</v>
      </c>
      <c r="P285" s="750">
        <f>INPUT!BG231</f>
        <v>198.79999999999998</v>
      </c>
      <c r="Q285" s="752">
        <f>INPUT!BH231</f>
        <v>4.1382922996333171</v>
      </c>
      <c r="R285" s="750">
        <f>INPUT!BI231</f>
        <v>199</v>
      </c>
      <c r="S285" s="752">
        <f>INPUT!BJ231</f>
        <v>5.5702917771883298</v>
      </c>
      <c r="T285" s="750">
        <f>INPUT!BK231</f>
        <v>200.89999999999998</v>
      </c>
      <c r="U285" s="752">
        <f>INPUT!BL231</f>
        <v>8.5359265262020543</v>
      </c>
      <c r="V285" s="750">
        <f>INPUT!BM231</f>
        <v>205.59999999999997</v>
      </c>
      <c r="W285" s="752">
        <f>INPUT!BN231</f>
        <v>8.3245521601685635</v>
      </c>
      <c r="X285" s="750">
        <f>INPUT!BO231</f>
        <v>209.8</v>
      </c>
      <c r="Y285" s="752">
        <f>INPUT!BP231</f>
        <v>5.5331991951710346</v>
      </c>
      <c r="Z285" s="750">
        <f>INPUT!BQ231</f>
        <v>210.2</v>
      </c>
      <c r="AA285" s="752">
        <f>INPUT!BR231</f>
        <v>5.6281407035175812</v>
      </c>
      <c r="AB285" s="750">
        <f>INPUT!BS231</f>
        <v>208.1</v>
      </c>
      <c r="AC285" s="752">
        <f>INPUT!BT231</f>
        <v>3.5838725734196109</v>
      </c>
      <c r="AD285" s="750">
        <f>INPUT!BU231</f>
        <v>212.6</v>
      </c>
      <c r="AE285" s="752">
        <f>INPUT!BV231</f>
        <v>3.4046692607003992</v>
      </c>
      <c r="AF285" s="750">
        <f>INPUT!BW231</f>
        <v>218.10000000000002</v>
      </c>
      <c r="AG285" s="752">
        <f>INPUT!BX231</f>
        <v>3.9561487130600703</v>
      </c>
      <c r="AH285" s="750">
        <f>INPUT!BY231</f>
        <v>225</v>
      </c>
      <c r="AI285" s="752">
        <f>INPUT!BZ231</f>
        <v>7.0409134157944919</v>
      </c>
      <c r="AJ285" s="750">
        <f>INPUT!CA231</f>
        <v>226.00000000000003</v>
      </c>
      <c r="AK285" s="752">
        <f>INPUT!CB231</f>
        <v>8.601633829889499</v>
      </c>
      <c r="AL285" s="750">
        <f>INPUT!CC231</f>
        <v>230.4</v>
      </c>
      <c r="AM285" s="752">
        <f>INPUT!CD231</f>
        <v>8.3725305738476141</v>
      </c>
      <c r="AN285" s="750">
        <f>INPUT!CE231</f>
        <v>247.8</v>
      </c>
      <c r="AO285" s="752">
        <f>INPUT!CF231</f>
        <v>13.617606602475929</v>
      </c>
      <c r="AP285" s="750">
        <f>INPUT!CG231</f>
        <v>245.3</v>
      </c>
      <c r="AQ285" s="752">
        <f>INPUT!CH231</f>
        <v>9.0222222222222204</v>
      </c>
      <c r="AR285" s="750">
        <f>INPUT!CI231</f>
        <v>246.10000000000002</v>
      </c>
      <c r="AS285" s="752">
        <f>INPUT!CJ231</f>
        <v>8.893805309734514</v>
      </c>
      <c r="AT285" s="750">
        <f>INPUT!CK231</f>
        <v>249.59999999999997</v>
      </c>
      <c r="AU285" s="752">
        <f>INPUT!CL231</f>
        <v>8.333333333333325</v>
      </c>
      <c r="AV285" s="750">
        <f>INPUT!CM231</f>
        <v>257.10000000000002</v>
      </c>
      <c r="AW285" s="752">
        <f>INPUT!CN231</f>
        <v>3.7530266343825724</v>
      </c>
      <c r="AX285" s="750">
        <f>INPUT!CO231</f>
        <v>262.3</v>
      </c>
      <c r="AY285" s="752">
        <f>INPUT!CP231</f>
        <v>6.9302894415002037</v>
      </c>
      <c r="AZ285" s="750">
        <f>INPUT!CQ231</f>
        <v>263.40000000000003</v>
      </c>
      <c r="BA285" s="752">
        <f>INPUT!CR231</f>
        <v>7.0296627387240962</v>
      </c>
      <c r="BB285" s="750">
        <f>INPUT!CS231</f>
        <v>264.60000000000002</v>
      </c>
      <c r="BC285" s="752">
        <f>INPUT!CT231</f>
        <v>6.0096153846154188</v>
      </c>
      <c r="BD285" s="750">
        <f>INPUT!CU231</f>
        <v>268.79999999999995</v>
      </c>
      <c r="BE285" s="752">
        <f>INPUT!CV231</f>
        <v>4.5507584597432649</v>
      </c>
      <c r="BF285" s="750">
        <f>INPUT!CW231</f>
        <v>271.39999999999998</v>
      </c>
      <c r="BG285" s="752">
        <f>INPUT!CX231</f>
        <v>3.4693099504384151</v>
      </c>
      <c r="BH285" s="750">
        <f>INPUT!CY231</f>
        <v>271.20000000000005</v>
      </c>
      <c r="BI285" s="752">
        <f>INPUT!CZ231</f>
        <v>2.9612756264236983</v>
      </c>
      <c r="BJ285" s="750">
        <f>INPUT!DA231</f>
        <v>276.39999999999998</v>
      </c>
      <c r="BK285" s="752">
        <f>INPUT!DB231</f>
        <v>4.4595616024187379</v>
      </c>
      <c r="BL285" s="750">
        <f>INPUT!DC231</f>
        <v>294</v>
      </c>
      <c r="BM285" s="752">
        <f>INPUT!DD231</f>
        <v>9.3750000000000213</v>
      </c>
      <c r="BN285" s="750">
        <f>INPUT!DE231</f>
        <v>273.8</v>
      </c>
      <c r="BO285" s="752">
        <f>INPUT!DF231</f>
        <v>0.88430361090643395</v>
      </c>
      <c r="BP285" s="750">
        <f>INPUT!DG231</f>
        <v>277.8</v>
      </c>
      <c r="BQ285" s="752">
        <f>INPUT!DH231</f>
        <v>2.4336283185840468</v>
      </c>
      <c r="BR285" s="750">
        <f>INPUT!DI231</f>
        <v>284</v>
      </c>
      <c r="BS285" s="752">
        <f>INPUT!DJ231</f>
        <v>2.7496382054992941</v>
      </c>
      <c r="BT285" s="750">
        <f>INPUT!DK231</f>
        <v>284.70000000000005</v>
      </c>
      <c r="BU285" s="752">
        <f>INPUT!DL231</f>
        <v>-3.1632653061224314</v>
      </c>
      <c r="BV285" s="750">
        <f>INPUT!DM231</f>
        <v>291.60000000000002</v>
      </c>
      <c r="BW285" s="752">
        <f>INPUT!DN231</f>
        <v>6.5010956902848749</v>
      </c>
      <c r="BX285" s="750">
        <f>INPUT!DO231</f>
        <v>295.2</v>
      </c>
      <c r="BY285" s="752">
        <f>INPUT!DP231</f>
        <v>6.2634989200863744</v>
      </c>
      <c r="BZ285" s="750">
        <f>INPUT!DQ231</f>
        <v>292.79999999999995</v>
      </c>
      <c r="CA285" s="752">
        <f>INPUT!DR231</f>
        <v>3.0985915492957483</v>
      </c>
      <c r="CB285" s="750">
        <f>INPUT!DS231</f>
        <v>295.39999999999998</v>
      </c>
      <c r="CC285" s="752">
        <f>INPUT!DT231</f>
        <v>3.7583421145064744</v>
      </c>
      <c r="CD285" s="750">
        <f>INPUT!DU231</f>
        <v>308.10000000000002</v>
      </c>
      <c r="CE285" s="752">
        <f>INPUT!DV231</f>
        <v>5.6584362139917799</v>
      </c>
      <c r="CF285" s="750">
        <f>INPUT!DW231</f>
        <v>309.39999999999998</v>
      </c>
      <c r="CG285" s="752">
        <f>INPUT!DX231</f>
        <v>4.8102981029810365</v>
      </c>
      <c r="CH285" s="750">
        <f>INPUT!DY231</f>
        <v>311.60000000000002</v>
      </c>
      <c r="CI285" s="752">
        <f>INPUT!DZ231</f>
        <v>6.4207650273224282</v>
      </c>
      <c r="CJ285" s="750">
        <f>INPUT!EA231</f>
        <v>316.5</v>
      </c>
      <c r="CK285" s="752">
        <f>INPUT!EB231</f>
        <v>7.1428571428571619</v>
      </c>
      <c r="CL285" s="750">
        <f>INPUT!EC231</f>
        <v>327.29999999999995</v>
      </c>
      <c r="CM285" s="752">
        <f>INPUT!ED231</f>
        <v>6.2317429406036684</v>
      </c>
      <c r="CN285" s="750">
        <f>INPUT!EE231</f>
        <v>331.4</v>
      </c>
      <c r="CO285" s="752">
        <f>INPUT!EF231</f>
        <v>7.1105365223012251</v>
      </c>
      <c r="CP285" s="750">
        <f>INPUT!EG231</f>
        <v>333.29999999999995</v>
      </c>
      <c r="CQ285" s="752">
        <f>INPUT!EH231</f>
        <v>6.9640564826700668</v>
      </c>
      <c r="CR285" s="750">
        <f>INPUT!EI231</f>
        <v>352.8</v>
      </c>
      <c r="CS285" s="752">
        <f>INPUT!EJ231</f>
        <v>11.469194312796205</v>
      </c>
      <c r="CT285" s="750">
        <f>INPUT!EK231</f>
        <v>349.38787300000001</v>
      </c>
      <c r="CU285" s="752">
        <f>INPUT!EL231</f>
        <v>6.7485099297281081</v>
      </c>
      <c r="CV285" s="750">
        <f>INPUT!EM231</f>
        <v>356.63188941500005</v>
      </c>
      <c r="CW285" s="752">
        <f>INPUT!EN231</f>
        <v>7.6137264378394853</v>
      </c>
      <c r="CX285" s="750">
        <f>INPUT!EO231</f>
        <v>364.05876131687506</v>
      </c>
      <c r="CY285" s="752">
        <f>INPUT!EP231</f>
        <v>9.2285512501875555</v>
      </c>
      <c r="CZ285" s="750">
        <f>INPUT!EQ231</f>
        <v>371.61424348655544</v>
      </c>
      <c r="DA285" s="752">
        <f>INPUT!ER231</f>
        <v>5.3328354553728641</v>
      </c>
      <c r="DB285" s="753"/>
      <c r="DC285" s="750">
        <f>INPUT!FB231</f>
        <v>560.5</v>
      </c>
      <c r="DD285" s="767" t="str">
        <f>INPUT!FC231</f>
        <v>NA</v>
      </c>
      <c r="DE285" s="750">
        <f>INPUT!FD231</f>
        <v>582.5</v>
      </c>
      <c r="DF285" s="767">
        <f>INPUT!FE231</f>
        <v>3.9250669045495012</v>
      </c>
      <c r="DG285" s="750">
        <f>INPUT!FF231</f>
        <v>639.29999999999995</v>
      </c>
      <c r="DH285" s="767">
        <f>INPUT!FG231</f>
        <v>9.7510729613733851</v>
      </c>
      <c r="DI285" s="750">
        <f>INPUT!FH231</f>
        <v>682.19999999999993</v>
      </c>
      <c r="DJ285" s="767">
        <f>INPUT!FI231</f>
        <v>6.7104645706241195</v>
      </c>
      <c r="DK285" s="750">
        <f>INPUT!FJ231</f>
        <v>719.30000000000007</v>
      </c>
      <c r="DL285" s="752">
        <f>INPUT!FK231</f>
        <v>5.4382878921137801</v>
      </c>
      <c r="DM285" s="750">
        <f>INPUT!FL231</f>
        <v>738.09999999999991</v>
      </c>
      <c r="DN285" s="752">
        <f>INPUT!FM231</f>
        <v>2.613652161823965</v>
      </c>
      <c r="DO285" s="750">
        <f>INPUT!FN231</f>
        <v>762.2</v>
      </c>
      <c r="DP285" s="752">
        <f>INPUT!FO231</f>
        <v>3.2651402249017858</v>
      </c>
      <c r="DQ285" s="750">
        <f>INPUT!FP231</f>
        <v>815.3</v>
      </c>
      <c r="DR285" s="752">
        <f>INPUT!FQ231</f>
        <v>6.9666754132773345</v>
      </c>
      <c r="DS285" s="750">
        <f>INPUT!FR231</f>
        <v>860.8</v>
      </c>
      <c r="DT285" s="752">
        <f>INPUT!FS231</f>
        <v>5.5807678155280316</v>
      </c>
      <c r="DU285" s="750">
        <f>INPUT!FT231</f>
        <v>929.2</v>
      </c>
      <c r="DV285" s="752">
        <f>INPUT!FU231</f>
        <v>7.9460966542751033</v>
      </c>
      <c r="DW285" s="750">
        <f>INPUT!FV231</f>
        <v>998.09999999999991</v>
      </c>
      <c r="DX285" s="752">
        <f>INPUT!FW231</f>
        <v>7.4149806284976139</v>
      </c>
      <c r="DY285" s="750">
        <f>INPUT!FX231</f>
        <v>1059.1000000000001</v>
      </c>
      <c r="DZ285" s="752">
        <f>INPUT!FY231</f>
        <v>6.1116120629195692</v>
      </c>
      <c r="EA285" s="750">
        <f>INPUT!FZ231</f>
        <v>1113</v>
      </c>
      <c r="EB285" s="752">
        <f>INPUT!GA231</f>
        <v>5.0892267019167159</v>
      </c>
      <c r="EC285" s="750">
        <f>INPUT!GB231</f>
        <v>1120.3000000000002</v>
      </c>
      <c r="ED285" s="752">
        <f>INPUT!GC231</f>
        <v>0.65588499550766066</v>
      </c>
      <c r="EE285" s="750">
        <f>INPUT!GD231</f>
        <v>1175</v>
      </c>
      <c r="EF285" s="752">
        <f>INPUT!GE231</f>
        <v>4.8826207265910693</v>
      </c>
      <c r="EG285" s="750">
        <f>INPUT!GF231</f>
        <v>1245.5999999999999</v>
      </c>
      <c r="EH285" s="752">
        <f>INPUT!GG231</f>
        <v>6.0085106382978593</v>
      </c>
      <c r="EI285" s="750">
        <f>INPUT!GH231</f>
        <v>1344.8</v>
      </c>
      <c r="EJ285" s="752">
        <f>INPUT!GI231</f>
        <v>7.9640333975594224</v>
      </c>
      <c r="EK285" s="750">
        <f>INPUT!GJ231</f>
        <v>1441.6927672184306</v>
      </c>
      <c r="EL285" s="752">
        <f>INPUT!GK231</f>
        <v>7.204994587926139</v>
      </c>
      <c r="EM285" s="750">
        <f>INPUT!GL231</f>
        <v>1473.8140799028768</v>
      </c>
      <c r="EN285" s="752">
        <f>INPUT!GM231</f>
        <v>2.2280275947017758</v>
      </c>
      <c r="EO285" s="750">
        <f>INPUT!GN231</f>
        <v>1503.3015700719343</v>
      </c>
      <c r="EP285" s="752">
        <f>INPUT!GO231</f>
        <v>2.0007605145827334</v>
      </c>
      <c r="EQ285" s="750">
        <f>INPUT!GP231</f>
        <v>1531.6749085870947</v>
      </c>
      <c r="ER285" s="752">
        <f>INPUT!GQ231</f>
        <v>1.8874016418277684</v>
      </c>
      <c r="ES285" s="750">
        <f>INPUT!GR231</f>
        <v>1562.3212394517745</v>
      </c>
      <c r="ET285" s="752">
        <f>INPUT!GS231</f>
        <v>2.0008378209283251</v>
      </c>
      <c r="EU285" s="767">
        <f>INPUT!GT231</f>
        <v>3.0439569022486568</v>
      </c>
      <c r="EV285" s="710"/>
    </row>
    <row r="286" spans="1:152" ht="12.75" hidden="1" customHeight="1" outlineLevel="1" x14ac:dyDescent="0.2">
      <c r="A286" s="754"/>
      <c r="B286" s="750"/>
      <c r="C286" s="767"/>
      <c r="D286" s="750"/>
      <c r="E286" s="767"/>
      <c r="F286" s="750"/>
      <c r="G286" s="767"/>
      <c r="H286" s="750"/>
      <c r="I286" s="752"/>
      <c r="J286" s="750"/>
      <c r="K286" s="752"/>
      <c r="L286" s="750"/>
      <c r="M286" s="752"/>
      <c r="N286" s="750"/>
      <c r="O286" s="752"/>
      <c r="P286" s="750"/>
      <c r="Q286" s="752"/>
      <c r="R286" s="750"/>
      <c r="S286" s="752"/>
      <c r="T286" s="750"/>
      <c r="U286" s="752"/>
      <c r="V286" s="750"/>
      <c r="W286" s="752"/>
      <c r="X286" s="750"/>
      <c r="Y286" s="752"/>
      <c r="Z286" s="750"/>
      <c r="AA286" s="752"/>
      <c r="AB286" s="750"/>
      <c r="AC286" s="752"/>
      <c r="AD286" s="750"/>
      <c r="AE286" s="752"/>
      <c r="AF286" s="750"/>
      <c r="AG286" s="752"/>
      <c r="AH286" s="750"/>
      <c r="AI286" s="752"/>
      <c r="AJ286" s="750"/>
      <c r="AK286" s="752"/>
      <c r="AL286" s="750"/>
      <c r="AM286" s="752"/>
      <c r="AN286" s="750"/>
      <c r="AO286" s="752"/>
      <c r="AP286" s="750"/>
      <c r="AQ286" s="752"/>
      <c r="AR286" s="750"/>
      <c r="AS286" s="752"/>
      <c r="AT286" s="750"/>
      <c r="AU286" s="752"/>
      <c r="AV286" s="750"/>
      <c r="AW286" s="752"/>
      <c r="AX286" s="750"/>
      <c r="AY286" s="752"/>
      <c r="AZ286" s="750"/>
      <c r="BA286" s="752"/>
      <c r="BB286" s="750"/>
      <c r="BC286" s="752"/>
      <c r="BD286" s="750"/>
      <c r="BE286" s="752"/>
      <c r="BF286" s="750"/>
      <c r="BG286" s="752"/>
      <c r="BH286" s="750"/>
      <c r="BI286" s="752"/>
      <c r="BJ286" s="750"/>
      <c r="BK286" s="752"/>
      <c r="BL286" s="750"/>
      <c r="BM286" s="752"/>
      <c r="BN286" s="750"/>
      <c r="BO286" s="752"/>
      <c r="BP286" s="750"/>
      <c r="BQ286" s="752"/>
      <c r="BR286" s="750"/>
      <c r="BS286" s="752"/>
      <c r="BT286" s="750"/>
      <c r="BU286" s="752"/>
      <c r="BV286" s="750"/>
      <c r="BW286" s="752"/>
      <c r="BX286" s="750"/>
      <c r="BY286" s="752"/>
      <c r="BZ286" s="750"/>
      <c r="CA286" s="752"/>
      <c r="CB286" s="750"/>
      <c r="CC286" s="752"/>
      <c r="CD286" s="750"/>
      <c r="CE286" s="752"/>
      <c r="CF286" s="750"/>
      <c r="CG286" s="752"/>
      <c r="CH286" s="750"/>
      <c r="CI286" s="752"/>
      <c r="CJ286" s="750"/>
      <c r="CK286" s="752"/>
      <c r="CL286" s="750"/>
      <c r="CM286" s="752"/>
      <c r="CN286" s="750"/>
      <c r="CO286" s="752"/>
      <c r="CP286" s="750"/>
      <c r="CQ286" s="752"/>
      <c r="CR286" s="750"/>
      <c r="CS286" s="752"/>
      <c r="CT286" s="750"/>
      <c r="CU286" s="752"/>
      <c r="CV286" s="750"/>
      <c r="CW286" s="752"/>
      <c r="CX286" s="750"/>
      <c r="CY286" s="752"/>
      <c r="CZ286" s="750"/>
      <c r="DA286" s="752"/>
      <c r="DB286" s="753"/>
      <c r="DC286" s="750"/>
      <c r="DD286" s="767"/>
      <c r="DE286" s="750"/>
      <c r="DF286" s="767"/>
      <c r="DG286" s="750"/>
      <c r="DH286" s="767"/>
      <c r="DI286" s="750"/>
      <c r="DJ286" s="767"/>
      <c r="DK286" s="750"/>
      <c r="DL286" s="752"/>
      <c r="DM286" s="750"/>
      <c r="DN286" s="752"/>
      <c r="DO286" s="750"/>
      <c r="DP286" s="752"/>
      <c r="DQ286" s="750"/>
      <c r="DR286" s="752"/>
      <c r="DS286" s="750"/>
      <c r="DT286" s="752"/>
      <c r="DU286" s="750"/>
      <c r="DV286" s="752"/>
      <c r="DW286" s="750"/>
      <c r="DX286" s="752"/>
      <c r="DY286" s="750"/>
      <c r="DZ286" s="752"/>
      <c r="EA286" s="750"/>
      <c r="EB286" s="752"/>
      <c r="EC286" s="750"/>
      <c r="ED286" s="752"/>
      <c r="EE286" s="750"/>
      <c r="EF286" s="752"/>
      <c r="EG286" s="750"/>
      <c r="EH286" s="752"/>
      <c r="EI286" s="750"/>
      <c r="EJ286" s="752"/>
      <c r="EK286" s="750"/>
      <c r="EL286" s="752"/>
      <c r="EM286" s="750"/>
      <c r="EN286" s="752"/>
      <c r="EO286" s="750"/>
      <c r="EP286" s="752"/>
      <c r="EQ286" s="750"/>
      <c r="ER286" s="752"/>
      <c r="ES286" s="750"/>
      <c r="ET286" s="752"/>
      <c r="EU286" s="767"/>
      <c r="EV286" s="710"/>
    </row>
    <row r="287" spans="1:152" ht="12.75" hidden="1" customHeight="1" outlineLevel="1" x14ac:dyDescent="0.2">
      <c r="A287" s="805" t="str">
        <f>INPUT!B239</f>
        <v>Pretax Earnings</v>
      </c>
      <c r="B287" s="806">
        <f>INPUT!AS239</f>
        <v>46.200000000000017</v>
      </c>
      <c r="C287" s="807">
        <f>INPUT!AT239</f>
        <v>5.4794520547945424</v>
      </c>
      <c r="D287" s="806">
        <f>INPUT!AU239</f>
        <v>49.900000000000006</v>
      </c>
      <c r="E287" s="807">
        <f>INPUT!AV239</f>
        <v>14.449541284403633</v>
      </c>
      <c r="F287" s="806">
        <f>INPUT!AW239</f>
        <v>52.100000000000023</v>
      </c>
      <c r="G287" s="807">
        <f>INPUT!AX239</f>
        <v>24.047619047619094</v>
      </c>
      <c r="H287" s="806">
        <f>INPUT!AY239</f>
        <v>50.5</v>
      </c>
      <c r="I287" s="808">
        <f>INPUT!AZ239</f>
        <v>30.490956072351459</v>
      </c>
      <c r="J287" s="806">
        <f>INPUT!BA239</f>
        <v>59.599999999999994</v>
      </c>
      <c r="K287" s="808">
        <f>INPUT!BB239</f>
        <v>29.004329004328945</v>
      </c>
      <c r="L287" s="806">
        <f>INPUT!BC239</f>
        <v>64.900000000000034</v>
      </c>
      <c r="M287" s="808">
        <f>INPUT!BD239</f>
        <v>30.060120240481012</v>
      </c>
      <c r="N287" s="806">
        <f>INPUT!BE239</f>
        <v>62.399999999999977</v>
      </c>
      <c r="O287" s="808">
        <f>INPUT!BF239</f>
        <v>19.769673704414494</v>
      </c>
      <c r="P287" s="806">
        <f>INPUT!BG239</f>
        <v>58.80000000000004</v>
      </c>
      <c r="Q287" s="808">
        <f>INPUT!BH239</f>
        <v>16.435643564356518</v>
      </c>
      <c r="R287" s="806">
        <f>INPUT!BI239</f>
        <v>67.399999999999977</v>
      </c>
      <c r="S287" s="808">
        <f>INPUT!BJ239</f>
        <v>13.087248322147627</v>
      </c>
      <c r="T287" s="806">
        <f>INPUT!BK239</f>
        <v>68.200000000000045</v>
      </c>
      <c r="U287" s="808">
        <f>INPUT!BL239</f>
        <v>5.0847457627118731</v>
      </c>
      <c r="V287" s="806">
        <f>INPUT!BM239</f>
        <v>66.200000000000045</v>
      </c>
      <c r="W287" s="808">
        <f>INPUT!BN239</f>
        <v>6.0897435897437013</v>
      </c>
      <c r="X287" s="806">
        <f>INPUT!BO239</f>
        <v>66.300000000000011</v>
      </c>
      <c r="Y287" s="808">
        <f>INPUT!BP239</f>
        <v>12.755102040816269</v>
      </c>
      <c r="Z287" s="806">
        <f>INPUT!BQ239</f>
        <v>70.900000000000034</v>
      </c>
      <c r="AA287" s="808">
        <f>INPUT!BR239</f>
        <v>5.1928783382790167</v>
      </c>
      <c r="AB287" s="806">
        <f>INPUT!BS239</f>
        <v>71.30000000000004</v>
      </c>
      <c r="AC287" s="808">
        <f>INPUT!BT239</f>
        <v>4.5454545454545414</v>
      </c>
      <c r="AD287" s="806">
        <f>INPUT!BU239</f>
        <v>70.400000000000006</v>
      </c>
      <c r="AE287" s="808">
        <f>INPUT!BV239</f>
        <v>6.3444108761328666</v>
      </c>
      <c r="AF287" s="806">
        <f>INPUT!BW239</f>
        <v>68.299999999999955</v>
      </c>
      <c r="AG287" s="808">
        <f>INPUT!BX239</f>
        <v>3.0165912518852922</v>
      </c>
      <c r="AH287" s="806">
        <f>INPUT!BY239</f>
        <v>70.200000000000045</v>
      </c>
      <c r="AI287" s="808">
        <f>INPUT!BZ239</f>
        <v>-0.9873060648801002</v>
      </c>
      <c r="AJ287" s="806">
        <f>INPUT!CA239</f>
        <v>71.099999999999937</v>
      </c>
      <c r="AK287" s="808">
        <f>INPUT!CB239</f>
        <v>-0.2805049088360434</v>
      </c>
      <c r="AL287" s="806">
        <f>INPUT!CC239</f>
        <v>71.000000000000028</v>
      </c>
      <c r="AM287" s="808">
        <f>INPUT!CD239</f>
        <v>0.8522727272727515</v>
      </c>
      <c r="AN287" s="806">
        <f>INPUT!CE239</f>
        <v>57.400000000000034</v>
      </c>
      <c r="AO287" s="808">
        <f>INPUT!CF239</f>
        <v>-15.959004392386422</v>
      </c>
      <c r="AP287" s="806">
        <f>INPUT!CG239</f>
        <v>66.499999999999943</v>
      </c>
      <c r="AQ287" s="808">
        <f>INPUT!CH239</f>
        <v>-5.2706552706554106</v>
      </c>
      <c r="AR287" s="806">
        <f>INPUT!CI239</f>
        <v>71.899999999999977</v>
      </c>
      <c r="AS287" s="808">
        <f>INPUT!CJ239</f>
        <v>1.1251758087201802</v>
      </c>
      <c r="AT287" s="806">
        <f>INPUT!CK239</f>
        <v>66.700000000000045</v>
      </c>
      <c r="AU287" s="808">
        <f>INPUT!CL239</f>
        <v>-6.0563380281689838</v>
      </c>
      <c r="AV287" s="806">
        <f>INPUT!CM239</f>
        <v>64.999999999999943</v>
      </c>
      <c r="AW287" s="808">
        <f>INPUT!CN239</f>
        <v>13.240418118466724</v>
      </c>
      <c r="AX287" s="806">
        <f>INPUT!CO239</f>
        <v>69.699999999999989</v>
      </c>
      <c r="AY287" s="808">
        <f>INPUT!CP239</f>
        <v>4.8120300751880452</v>
      </c>
      <c r="AZ287" s="806">
        <f>INPUT!CQ239</f>
        <v>67.599999999999966</v>
      </c>
      <c r="BA287" s="808">
        <f>INPUT!CR239</f>
        <v>-5.9805285118219924</v>
      </c>
      <c r="BB287" s="806">
        <f>INPUT!CS239</f>
        <v>68.699999999999932</v>
      </c>
      <c r="BC287" s="808">
        <f>INPUT!CT239</f>
        <v>2.9985007496250216</v>
      </c>
      <c r="BD287" s="806">
        <f>INPUT!CU239</f>
        <v>68.300000000000011</v>
      </c>
      <c r="BE287" s="808">
        <f>INPUT!CV239</f>
        <v>5.0769230769231788</v>
      </c>
      <c r="BF287" s="806">
        <f>INPUT!CW239</f>
        <v>75.100000000000023</v>
      </c>
      <c r="BG287" s="808">
        <f>INPUT!CX239</f>
        <v>7.7474892395983375</v>
      </c>
      <c r="BH287" s="806">
        <f>INPUT!CY239</f>
        <v>70.799999999999955</v>
      </c>
      <c r="BI287" s="808">
        <f>INPUT!CZ239</f>
        <v>4.7337278106508673</v>
      </c>
      <c r="BJ287" s="806">
        <f>INPUT!DA239</f>
        <v>68.600000000000023</v>
      </c>
      <c r="BK287" s="808">
        <f>INPUT!DB239</f>
        <v>-0.14556040756901201</v>
      </c>
      <c r="BL287" s="806">
        <f>INPUT!DC239</f>
        <v>49</v>
      </c>
      <c r="BM287" s="808">
        <f>INPUT!DD239</f>
        <v>-28.257686676427539</v>
      </c>
      <c r="BN287" s="806">
        <f>INPUT!DE239</f>
        <v>79.099999999999966</v>
      </c>
      <c r="BO287" s="808">
        <f>INPUT!DF239</f>
        <v>5.3262316910784868</v>
      </c>
      <c r="BP287" s="806">
        <f>INPUT!DG239</f>
        <v>74.899999999999977</v>
      </c>
      <c r="BQ287" s="808">
        <f>INPUT!DH239</f>
        <v>5.7909604519774449</v>
      </c>
      <c r="BR287" s="806">
        <f>INPUT!DI239</f>
        <v>71</v>
      </c>
      <c r="BS287" s="808">
        <f>INPUT!DJ239</f>
        <v>3.4985422740524408</v>
      </c>
      <c r="BT287" s="806">
        <f>INPUT!DK239</f>
        <v>74</v>
      </c>
      <c r="BU287" s="808">
        <f>INPUT!DL239</f>
        <v>51.020408163265294</v>
      </c>
      <c r="BV287" s="806">
        <f>INPUT!DM239</f>
        <v>77.599999999999966</v>
      </c>
      <c r="BW287" s="808">
        <f>INPUT!DN239</f>
        <v>-1.896333754740831</v>
      </c>
      <c r="BX287" s="806">
        <f>INPUT!DO239</f>
        <v>77.599999999999966</v>
      </c>
      <c r="BY287" s="808">
        <f>INPUT!DP239</f>
        <v>3.6048064085447029</v>
      </c>
      <c r="BZ287" s="806">
        <f>INPUT!DQ239</f>
        <v>76.300000000000068</v>
      </c>
      <c r="CA287" s="808">
        <f>INPUT!DR239</f>
        <v>7.4647887323944673</v>
      </c>
      <c r="CB287" s="806">
        <f>INPUT!DS239</f>
        <v>77.600000000000023</v>
      </c>
      <c r="CC287" s="808">
        <f>INPUT!DT239</f>
        <v>4.864864864864904</v>
      </c>
      <c r="CD287" s="806">
        <f>INPUT!DU239</f>
        <v>77.399999999999977</v>
      </c>
      <c r="CE287" s="808">
        <f>INPUT!DV239</f>
        <v>-0.25773195876287458</v>
      </c>
      <c r="CF287" s="806">
        <f>INPUT!DW239</f>
        <v>77.899999999999977</v>
      </c>
      <c r="CG287" s="808">
        <f>INPUT!DX239</f>
        <v>0.38659793814435073</v>
      </c>
      <c r="CH287" s="806">
        <f>INPUT!DY239</f>
        <v>79</v>
      </c>
      <c r="CI287" s="808">
        <f>INPUT!DZ239</f>
        <v>3.5386631716906036</v>
      </c>
      <c r="CJ287" s="806">
        <f>INPUT!EA239</f>
        <v>79.899999999999977</v>
      </c>
      <c r="CK287" s="808">
        <f>INPUT!EB239</f>
        <v>2.9639175257731409</v>
      </c>
      <c r="CL287" s="806">
        <f>INPUT!EC239</f>
        <v>82.400000000000034</v>
      </c>
      <c r="CM287" s="808">
        <f>INPUT!ED239</f>
        <v>6.4599483204135222</v>
      </c>
      <c r="CN287" s="806">
        <f>INPUT!EE239</f>
        <v>81.800000000000068</v>
      </c>
      <c r="CO287" s="808">
        <f>INPUT!EF239</f>
        <v>5.0064184852375959</v>
      </c>
      <c r="CP287" s="806">
        <f>INPUT!EG239</f>
        <v>81.700000000000045</v>
      </c>
      <c r="CQ287" s="808">
        <f>INPUT!EH239</f>
        <v>3.4177215189874044</v>
      </c>
      <c r="CR287" s="806">
        <f>INPUT!EI239</f>
        <v>79.099999999999994</v>
      </c>
      <c r="CS287" s="808">
        <f>INPUT!EJ239</f>
        <v>-1.001251564455552</v>
      </c>
      <c r="CT287" s="806">
        <f>INPUT!EK239</f>
        <v>77.960626999999988</v>
      </c>
      <c r="CU287" s="808">
        <f>INPUT!EL239</f>
        <v>-5.3875885922330617</v>
      </c>
      <c r="CV287" s="806">
        <f>INPUT!EM239</f>
        <v>78.590878084999986</v>
      </c>
      <c r="CW287" s="808">
        <f>INPUT!EN239</f>
        <v>-3.9231319254279695</v>
      </c>
      <c r="CX287" s="806">
        <f>INPUT!EO239</f>
        <v>79.409102620624992</v>
      </c>
      <c r="CY287" s="808">
        <f>INPUT!EP239</f>
        <v>-2.8040359600673859</v>
      </c>
      <c r="CZ287" s="806">
        <f>INPUT!EQ239</f>
        <v>80.151668422632156</v>
      </c>
      <c r="DA287" s="808">
        <f>INPUT!ER239</f>
        <v>1.3295428857549529</v>
      </c>
      <c r="DB287" s="809"/>
      <c r="DC287" s="810">
        <f>INPUT!FB239</f>
        <v>138</v>
      </c>
      <c r="DD287" s="807" t="str">
        <f>INPUT!FC239</f>
        <v>NA</v>
      </c>
      <c r="DE287" s="810">
        <f>INPUT!FD239</f>
        <v>137.50000000000011</v>
      </c>
      <c r="DF287" s="807">
        <f>INPUT!FE239</f>
        <v>-0.36231884057962294</v>
      </c>
      <c r="DG287" s="810">
        <f>INPUT!FF239</f>
        <v>146.70000000000005</v>
      </c>
      <c r="DH287" s="807">
        <f>INPUT!FG239</f>
        <v>6.6909090909090363</v>
      </c>
      <c r="DI287" s="810">
        <f>INPUT!FH239</f>
        <v>155.60000000000002</v>
      </c>
      <c r="DJ287" s="807">
        <f>INPUT!FI239</f>
        <v>6.0668029993183215</v>
      </c>
      <c r="DK287" s="810">
        <f>INPUT!FJ239</f>
        <v>168.09999999999991</v>
      </c>
      <c r="DL287" s="808">
        <f>INPUT!FK239</f>
        <v>8.0334190231361688</v>
      </c>
      <c r="DM287" s="810">
        <f>INPUT!FL239</f>
        <v>198.70000000000027</v>
      </c>
      <c r="DN287" s="808">
        <f>INPUT!FM239</f>
        <v>18.20345032718642</v>
      </c>
      <c r="DO287" s="810">
        <f>INPUT!FN239</f>
        <v>245.70000000000005</v>
      </c>
      <c r="DP287" s="808">
        <f>INPUT!FO239</f>
        <v>23.653749370910781</v>
      </c>
      <c r="DQ287" s="806">
        <f>INPUT!FP239</f>
        <v>268.10000000000014</v>
      </c>
      <c r="DR287" s="808">
        <f>INPUT!FQ239</f>
        <v>9.1168091168091436</v>
      </c>
      <c r="DS287" s="806">
        <f>INPUT!FR239</f>
        <v>269.10000000000014</v>
      </c>
      <c r="DT287" s="808">
        <f>INPUT!FS239</f>
        <v>0.37299515106303804</v>
      </c>
      <c r="DU287" s="806">
        <f>INPUT!FT239</f>
        <v>269.69999999999982</v>
      </c>
      <c r="DV287" s="808">
        <f>INPUT!FU239</f>
        <v>0.22296544035662613</v>
      </c>
      <c r="DW287" s="806">
        <f>INPUT!FV239</f>
        <v>270.09999999999991</v>
      </c>
      <c r="DX287" s="808">
        <f>INPUT!FW239</f>
        <v>0.14831294030408504</v>
      </c>
      <c r="DY287" s="806">
        <f>INPUT!FX239</f>
        <v>273.39999999999986</v>
      </c>
      <c r="DZ287" s="808">
        <f>INPUT!FY239</f>
        <v>1.2217697149203843</v>
      </c>
      <c r="EA287" s="806">
        <f>INPUT!FZ239</f>
        <v>263.5</v>
      </c>
      <c r="EB287" s="808">
        <f>INPUT!GA239</f>
        <v>-3.6210680321872246</v>
      </c>
      <c r="EC287" s="806">
        <f>INPUT!GB239</f>
        <v>298.99999999999977</v>
      </c>
      <c r="ED287" s="808">
        <f>INPUT!GC239</f>
        <v>13.472485768500864</v>
      </c>
      <c r="EE287" s="806">
        <f>INPUT!GD239</f>
        <v>309.09999999999991</v>
      </c>
      <c r="EF287" s="808">
        <f>INPUT!GE239</f>
        <v>3.3779264214047311</v>
      </c>
      <c r="EG287" s="806">
        <f>INPUT!GF239</f>
        <v>314.20000000000005</v>
      </c>
      <c r="EH287" s="808">
        <f>INPUT!GG239</f>
        <v>1.649951472015565</v>
      </c>
      <c r="EI287" s="806">
        <f>INPUT!GH239</f>
        <v>325.00000000000011</v>
      </c>
      <c r="EJ287" s="808">
        <f>INPUT!GI239</f>
        <v>3.437301082113331</v>
      </c>
      <c r="EK287" s="806">
        <f>INPUT!GJ239</f>
        <v>316.11227612825701</v>
      </c>
      <c r="EL287" s="808">
        <f>INPUT!GK239</f>
        <v>-2.7346842682286487</v>
      </c>
      <c r="EM287" s="806">
        <f>INPUT!GL239</f>
        <v>319.20591431074467</v>
      </c>
      <c r="EN287" s="808">
        <f>INPUT!GM239</f>
        <v>0.9786517057732036</v>
      </c>
      <c r="EO287" s="806">
        <f>INPUT!GN239</f>
        <v>325.64179352595966</v>
      </c>
      <c r="EP287" s="808">
        <f>INPUT!GO239</f>
        <v>2.0162155294371154</v>
      </c>
      <c r="EQ287" s="806">
        <f>INPUT!GP239</f>
        <v>333.91469964775729</v>
      </c>
      <c r="ER287" s="808">
        <f>INPUT!GQ239</f>
        <v>2.540492739651401</v>
      </c>
      <c r="ES287" s="806">
        <f>INPUT!GR239</f>
        <v>340.65225472832435</v>
      </c>
      <c r="ET287" s="808">
        <f>INPUT!GS239</f>
        <v>2.0177473731088913</v>
      </c>
      <c r="EU287" s="807">
        <f>INPUT!GT239</f>
        <v>0.94517874140382929</v>
      </c>
      <c r="EV287" s="724"/>
    </row>
    <row r="288" spans="1:152" ht="12.75" hidden="1" customHeight="1" outlineLevel="2" x14ac:dyDescent="0.2">
      <c r="A288" s="759" t="s">
        <v>517</v>
      </c>
      <c r="B288" s="760"/>
      <c r="C288" s="761"/>
      <c r="D288" s="760"/>
      <c r="E288" s="761"/>
      <c r="F288" s="760"/>
      <c r="G288" s="761"/>
      <c r="H288" s="762"/>
      <c r="I288" s="763"/>
      <c r="J288" s="760"/>
      <c r="K288" s="763"/>
      <c r="L288" s="760"/>
      <c r="M288" s="763"/>
      <c r="N288" s="760"/>
      <c r="O288" s="763"/>
      <c r="P288" s="760"/>
      <c r="Q288" s="763"/>
      <c r="R288" s="760"/>
      <c r="S288" s="763"/>
      <c r="T288" s="760"/>
      <c r="U288" s="763"/>
      <c r="V288" s="760"/>
      <c r="W288" s="763"/>
      <c r="X288" s="760"/>
      <c r="Y288" s="763"/>
      <c r="Z288" s="760"/>
      <c r="AA288" s="763"/>
      <c r="AB288" s="760"/>
      <c r="AC288" s="763"/>
      <c r="AD288" s="760"/>
      <c r="AE288" s="763"/>
      <c r="AF288" s="760"/>
      <c r="AG288" s="763"/>
      <c r="AH288" s="760"/>
      <c r="AI288" s="763"/>
      <c r="AJ288" s="760"/>
      <c r="AK288" s="763"/>
      <c r="AL288" s="760"/>
      <c r="AM288" s="763"/>
      <c r="AN288" s="760"/>
      <c r="AO288" s="763"/>
      <c r="AP288" s="764">
        <f>(AP275+AP276+AP277-AP281-AP282-AP283-AP284)-AP287</f>
        <v>0</v>
      </c>
      <c r="AQ288" s="763"/>
      <c r="AR288" s="764">
        <f>(AR275+AR276+AR277-AR281-AR282-AR283-AR284)-AR287</f>
        <v>0</v>
      </c>
      <c r="AS288" s="763"/>
      <c r="AT288" s="764">
        <f>(AT275+AT276+AT277-AT281-AT282-AT283-AT284)-AT287</f>
        <v>0</v>
      </c>
      <c r="AU288" s="763"/>
      <c r="AV288" s="764">
        <f>(AV275+AV276+AV277-AV281-AV282-AV283-AV284)-AV287</f>
        <v>0</v>
      </c>
      <c r="AW288" s="763"/>
      <c r="AX288" s="764">
        <f>(AX275+AX276+AX277-AX281-AX282-AX283-AX284)-AX287</f>
        <v>0</v>
      </c>
      <c r="AY288" s="763"/>
      <c r="AZ288" s="764">
        <f>(AZ275+AZ276+AZ277-AZ281-AZ282-AZ283-AZ284)-AZ287</f>
        <v>0</v>
      </c>
      <c r="BA288" s="763"/>
      <c r="BB288" s="764">
        <f>(BB275+BB276+BB277-BB281-BB282-BB283-BB284)-BB287</f>
        <v>0</v>
      </c>
      <c r="BC288" s="763"/>
      <c r="BD288" s="764">
        <f>(BD275+BD276+BD277-BD281-BD282-BD283-BD284)-BD287</f>
        <v>0</v>
      </c>
      <c r="BE288" s="763"/>
      <c r="BF288" s="764">
        <f>(BF275+BF276+BF277-BF281-BF282-BF283-BF284)-BF287</f>
        <v>0</v>
      </c>
      <c r="BG288" s="763"/>
      <c r="BH288" s="764">
        <f>(BH275+BH276+BH277-BH281-BH282-BH283-BH284)-BH287</f>
        <v>0</v>
      </c>
      <c r="BI288" s="763"/>
      <c r="BJ288" s="764">
        <f>(BJ275+BJ276+BJ277-BJ281-BJ282-BJ283-BJ284)-BJ287</f>
        <v>0</v>
      </c>
      <c r="BK288" s="763"/>
      <c r="BL288" s="764">
        <f>(BL275+BL276+BL277-BL281-BL282-BL283-BL284)-BL287</f>
        <v>6.3948846218409017E-14</v>
      </c>
      <c r="BM288" s="763"/>
      <c r="BN288" s="764">
        <f>(BN275+BN276+BN277-BN281-BN282-BN283-BN284)-BN287</f>
        <v>0</v>
      </c>
      <c r="BO288" s="763"/>
      <c r="BP288" s="764">
        <f>(BP275+BP276+BP277-BP281-BP282-BP283-BP284)-BP287</f>
        <v>0</v>
      </c>
      <c r="BQ288" s="763"/>
      <c r="BR288" s="764">
        <f>(BR275+BR276+BR277-BR281-BR282-BR283-BR284)-BR287</f>
        <v>0</v>
      </c>
      <c r="BS288" s="763"/>
      <c r="BT288" s="764">
        <f>(BT275+BT276+BT277-BT281-BT282-BT283-BT284)-BT287</f>
        <v>0</v>
      </c>
      <c r="BU288" s="763"/>
      <c r="BV288" s="764">
        <f>(BV275+BV276+BV277-BV281-BV282-BV283-BV284)-BV287</f>
        <v>0</v>
      </c>
      <c r="BW288" s="763"/>
      <c r="BX288" s="764">
        <f>(BX275+BX276+BX277-BX281-BX282-BX283-BX284)-BX287</f>
        <v>0</v>
      </c>
      <c r="BY288" s="763"/>
      <c r="BZ288" s="764">
        <f>(BZ275+BZ276+BZ277-BZ281-BZ282-BZ283-BZ284)-BZ287</f>
        <v>0</v>
      </c>
      <c r="CA288" s="763"/>
      <c r="CB288" s="764">
        <f>(CB275+CB276+CB277-CB281-CB282-CB283-CB284)-CB287</f>
        <v>0</v>
      </c>
      <c r="CC288" s="763"/>
      <c r="CD288" s="764">
        <f>(CD275+CD276+CD277-CD281-CD282-CD283-CD284)-CD287</f>
        <v>0</v>
      </c>
      <c r="CE288" s="763"/>
      <c r="CF288" s="764">
        <f>(CF275+CF276+CF277-CF281-CF282-CF283-CF284)-CF287</f>
        <v>0</v>
      </c>
      <c r="CG288" s="763"/>
      <c r="CH288" s="764">
        <f>(CH275+CH276+CH277-CH281-CH282-CH283-CH284)-CH287</f>
        <v>0</v>
      </c>
      <c r="CI288" s="763"/>
      <c r="CJ288" s="764">
        <f>(CJ275+CJ276+CJ277-CJ281-CJ282-CJ283-CJ284)-CJ287</f>
        <v>0</v>
      </c>
      <c r="CK288" s="763"/>
      <c r="CL288" s="764">
        <f t="shared" ref="CL288" si="303">(CL275+CL276+CL277-CL281-CL282-CL283-CL284)-CL287</f>
        <v>0</v>
      </c>
      <c r="CM288" s="763"/>
      <c r="CN288" s="764">
        <f t="shared" ref="CN288" si="304">(CN275+CN276+CN277-CN281-CN282-CN283-CN284)-CN287</f>
        <v>0</v>
      </c>
      <c r="CO288" s="763"/>
      <c r="CP288" s="764">
        <f t="shared" ref="CP288" si="305">(CP275+CP276+CP277-CP281-CP282-CP283-CP284)-CP287</f>
        <v>0</v>
      </c>
      <c r="CQ288" s="763"/>
      <c r="CR288" s="764">
        <f t="shared" ref="CR288" si="306">(CR275+CR276+CR277-CR281-CR282-CR283-CR284)-CR287</f>
        <v>-12.399999999999949</v>
      </c>
      <c r="CS288" s="763"/>
      <c r="CT288" s="764">
        <f t="shared" ref="CT288" si="307">(CT275+CT276+CT277-CT281-CT282-CT283-CT284)-CT287</f>
        <v>0</v>
      </c>
      <c r="CU288" s="763"/>
      <c r="CV288" s="764">
        <f t="shared" ref="CV288" si="308">(CV275+CV276+CV277-CV281-CV282-CV283-CV284)-CV287</f>
        <v>0</v>
      </c>
      <c r="CW288" s="763"/>
      <c r="CX288" s="764">
        <f t="shared" ref="CX288" si="309">(CX275+CX276+CX277-CX281-CX282-CX283-CX284)-CX287</f>
        <v>0</v>
      </c>
      <c r="CY288" s="763"/>
      <c r="CZ288" s="764">
        <f t="shared" ref="CZ288" si="310">(CZ275+CZ276+CZ277-CZ281-CZ282-CZ283-CZ284)-CZ287</f>
        <v>0</v>
      </c>
      <c r="DA288" s="763"/>
      <c r="DB288" s="765"/>
      <c r="DC288" s="766"/>
      <c r="DD288" s="761"/>
      <c r="DE288" s="766"/>
      <c r="DF288" s="761"/>
      <c r="DG288" s="766"/>
      <c r="DH288" s="761"/>
      <c r="DI288" s="766"/>
      <c r="DJ288" s="761"/>
      <c r="DK288" s="766"/>
      <c r="DL288" s="763"/>
      <c r="DM288" s="766"/>
      <c r="DN288" s="763"/>
      <c r="DO288" s="766"/>
      <c r="DP288" s="763"/>
      <c r="DQ288" s="760"/>
      <c r="DR288" s="763"/>
      <c r="DS288" s="760"/>
      <c r="DT288" s="763"/>
      <c r="DU288" s="764">
        <f>(DU275+DU276+DU277-DU281-DU282-DU283-DU284)-DU287</f>
        <v>0</v>
      </c>
      <c r="DV288" s="763"/>
      <c r="DW288" s="764">
        <f>(DW275+DW276+DW277-DW281-DW282-DW283-DW284)-DW287</f>
        <v>0</v>
      </c>
      <c r="DX288" s="763"/>
      <c r="DY288" s="764">
        <f>(DY275+DY276+DY277-DY281-DY282-DY283-DY284)-DY287</f>
        <v>0</v>
      </c>
      <c r="DZ288" s="763"/>
      <c r="EA288" s="764">
        <f>(EA275+EA276+EA277-EA281-EA282-EA283-EA284)-EA287</f>
        <v>0</v>
      </c>
      <c r="EB288" s="763"/>
      <c r="EC288" s="764">
        <f>(EC275+EC276+EC277-EC281-EC282-EC283-EC284)-EC287</f>
        <v>0</v>
      </c>
      <c r="ED288" s="763"/>
      <c r="EE288" s="764">
        <f>(EE275+EE276+EE277-EE281-EE282-EE283-EE284)-EE287</f>
        <v>0</v>
      </c>
      <c r="EF288" s="763"/>
      <c r="EG288" s="764">
        <f>(EG275+EG276+EG277-EG281-EG282-EG283-EG284)-EG287</f>
        <v>0</v>
      </c>
      <c r="EH288" s="763"/>
      <c r="EI288" s="764">
        <f>(EI275+EI276+EI277-EI281-EI282-EI283-EI284)-EI287</f>
        <v>-12.399999999999977</v>
      </c>
      <c r="EJ288" s="763"/>
      <c r="EK288" s="764">
        <f>(EK275+EK276+EK277-EK281-EK282-EK283-EK284)-EK287</f>
        <v>0</v>
      </c>
      <c r="EL288" s="763"/>
      <c r="EM288" s="764">
        <f>(EM275+EM276+EM277-EM281-EM282-EM283-EM284)-EM287</f>
        <v>0</v>
      </c>
      <c r="EN288" s="763"/>
      <c r="EO288" s="764">
        <f>(EO275+EO276+EO277-EO281-EO282-EO283-EO284)-EO287</f>
        <v>0</v>
      </c>
      <c r="EP288" s="763"/>
      <c r="EQ288" s="764">
        <f>(EQ275+EQ276+EQ277-EQ281-EQ282-EQ283-EQ284)-EQ287</f>
        <v>0</v>
      </c>
      <c r="ER288" s="763"/>
      <c r="ES288" s="764">
        <f>(ES275+ES276+ES277-ES281-ES282-ES283-ES284)-ES287</f>
        <v>0</v>
      </c>
      <c r="ET288" s="763"/>
      <c r="EU288" s="761"/>
      <c r="EV288" s="710"/>
    </row>
    <row r="289" spans="1:152" ht="12.75" hidden="1" customHeight="1" outlineLevel="1" collapsed="1" x14ac:dyDescent="0.2">
      <c r="A289" s="754"/>
      <c r="B289" s="750"/>
      <c r="C289" s="767"/>
      <c r="D289" s="750"/>
      <c r="E289" s="767"/>
      <c r="F289" s="750"/>
      <c r="G289" s="767"/>
      <c r="H289" s="750"/>
      <c r="I289" s="752"/>
      <c r="J289" s="750"/>
      <c r="K289" s="752"/>
      <c r="L289" s="750"/>
      <c r="M289" s="752"/>
      <c r="N289" s="750"/>
      <c r="O289" s="752"/>
      <c r="P289" s="750"/>
      <c r="Q289" s="752"/>
      <c r="R289" s="750"/>
      <c r="S289" s="752"/>
      <c r="T289" s="750"/>
      <c r="U289" s="752"/>
      <c r="V289" s="750"/>
      <c r="W289" s="752"/>
      <c r="X289" s="750"/>
      <c r="Y289" s="752"/>
      <c r="Z289" s="750"/>
      <c r="AA289" s="752"/>
      <c r="AB289" s="750"/>
      <c r="AC289" s="752"/>
      <c r="AD289" s="750"/>
      <c r="AE289" s="752"/>
      <c r="AF289" s="750"/>
      <c r="AG289" s="752"/>
      <c r="AH289" s="750"/>
      <c r="AI289" s="752"/>
      <c r="AJ289" s="750"/>
      <c r="AK289" s="752"/>
      <c r="AL289" s="750"/>
      <c r="AM289" s="752"/>
      <c r="AN289" s="750"/>
      <c r="AO289" s="752"/>
      <c r="AP289" s="750"/>
      <c r="AQ289" s="752"/>
      <c r="AR289" s="750"/>
      <c r="AS289" s="752"/>
      <c r="AT289" s="750"/>
      <c r="AU289" s="752"/>
      <c r="AV289" s="750"/>
      <c r="AW289" s="752"/>
      <c r="AX289" s="750"/>
      <c r="AY289" s="752"/>
      <c r="AZ289" s="750"/>
      <c r="BA289" s="752"/>
      <c r="BB289" s="750"/>
      <c r="BC289" s="752"/>
      <c r="BD289" s="750"/>
      <c r="BE289" s="752"/>
      <c r="BF289" s="750"/>
      <c r="BG289" s="752"/>
      <c r="BH289" s="750"/>
      <c r="BI289" s="752"/>
      <c r="BJ289" s="750"/>
      <c r="BK289" s="752"/>
      <c r="BL289" s="750"/>
      <c r="BM289" s="752"/>
      <c r="BN289" s="750"/>
      <c r="BO289" s="752"/>
      <c r="BP289" s="750"/>
      <c r="BQ289" s="752"/>
      <c r="BR289" s="750"/>
      <c r="BS289" s="752"/>
      <c r="BT289" s="750"/>
      <c r="BU289" s="752"/>
      <c r="BV289" s="750"/>
      <c r="BW289" s="752"/>
      <c r="BX289" s="750"/>
      <c r="BY289" s="752"/>
      <c r="BZ289" s="750"/>
      <c r="CA289" s="752"/>
      <c r="CB289" s="750"/>
      <c r="CC289" s="752"/>
      <c r="CD289" s="750"/>
      <c r="CE289" s="752"/>
      <c r="CF289" s="750"/>
      <c r="CG289" s="752"/>
      <c r="CH289" s="750"/>
      <c r="CI289" s="752"/>
      <c r="CJ289" s="750"/>
      <c r="CK289" s="752"/>
      <c r="CL289" s="750"/>
      <c r="CM289" s="752"/>
      <c r="CN289" s="750"/>
      <c r="CO289" s="752"/>
      <c r="CP289" s="750"/>
      <c r="CQ289" s="752"/>
      <c r="CR289" s="750"/>
      <c r="CS289" s="752"/>
      <c r="CT289" s="750"/>
      <c r="CU289" s="752"/>
      <c r="CV289" s="750"/>
      <c r="CW289" s="752"/>
      <c r="CX289" s="750"/>
      <c r="CY289" s="752"/>
      <c r="CZ289" s="750"/>
      <c r="DA289" s="752"/>
      <c r="DB289" s="753"/>
      <c r="DC289" s="750"/>
      <c r="DD289" s="767"/>
      <c r="DE289" s="750"/>
      <c r="DF289" s="767"/>
      <c r="DG289" s="750"/>
      <c r="DH289" s="767"/>
      <c r="DI289" s="750"/>
      <c r="DJ289" s="767"/>
      <c r="DK289" s="750"/>
      <c r="DL289" s="752"/>
      <c r="DM289" s="750"/>
      <c r="DN289" s="752"/>
      <c r="DO289" s="750"/>
      <c r="DP289" s="752"/>
      <c r="DQ289" s="750"/>
      <c r="DR289" s="752"/>
      <c r="DS289" s="750"/>
      <c r="DT289" s="752"/>
      <c r="DU289" s="750"/>
      <c r="DV289" s="752"/>
      <c r="DW289" s="750"/>
      <c r="DX289" s="752"/>
      <c r="DY289" s="750"/>
      <c r="DZ289" s="752"/>
      <c r="EA289" s="750"/>
      <c r="EB289" s="752"/>
      <c r="EC289" s="750"/>
      <c r="ED289" s="752"/>
      <c r="EE289" s="750"/>
      <c r="EF289" s="752"/>
      <c r="EG289" s="750"/>
      <c r="EH289" s="752"/>
      <c r="EI289" s="750"/>
      <c r="EJ289" s="752"/>
      <c r="EK289" s="750"/>
      <c r="EL289" s="752"/>
      <c r="EM289" s="750"/>
      <c r="EN289" s="752"/>
      <c r="EO289" s="750"/>
      <c r="EP289" s="752"/>
      <c r="EQ289" s="750"/>
      <c r="ER289" s="752"/>
      <c r="ES289" s="750"/>
      <c r="ET289" s="752"/>
      <c r="EU289" s="767"/>
      <c r="EV289" s="710"/>
    </row>
    <row r="290" spans="1:152" ht="12.75" hidden="1" customHeight="1" outlineLevel="1" x14ac:dyDescent="0.2">
      <c r="A290" s="749" t="s">
        <v>260</v>
      </c>
      <c r="B290" s="793">
        <f>INPUT!AS451</f>
        <v>22.905304908279646</v>
      </c>
      <c r="C290" s="767">
        <f>INPUT!AT451</f>
        <v>-3.3584395650664733</v>
      </c>
      <c r="D290" s="793">
        <f>INPUT!AU451</f>
        <v>23.048498845265623</v>
      </c>
      <c r="E290" s="767">
        <f>INPUT!AV451</f>
        <v>5.8856495116214491</v>
      </c>
      <c r="F290" s="793">
        <f>INPUT!AW451</f>
        <v>21.308793456032717</v>
      </c>
      <c r="G290" s="767">
        <f>INPUT!AX451</f>
        <v>6.0366150550199116</v>
      </c>
      <c r="H290" s="793">
        <f>INPUT!AY451</f>
        <v>19.0566037735849</v>
      </c>
      <c r="I290" s="752">
        <f>INPUT!AZ451</f>
        <v>-27.394184564840284</v>
      </c>
      <c r="J290" s="793">
        <f>INPUT!BA451</f>
        <v>22.610015174506827</v>
      </c>
      <c r="K290" s="752">
        <f>INPUT!BB451</f>
        <v>-1.2891761753674791</v>
      </c>
      <c r="L290" s="793">
        <f>INPUT!BC451</f>
        <v>23.557168784029052</v>
      </c>
      <c r="M290" s="752">
        <f>INPUT!BD451</f>
        <v>2.2069547443343218</v>
      </c>
      <c r="N290" s="793">
        <f>INPUT!BE451</f>
        <v>19.200000000000003</v>
      </c>
      <c r="O290" s="752">
        <f>INPUT!BF451</f>
        <v>-9.8963531669865379</v>
      </c>
      <c r="P290" s="793">
        <f>INPUT!BG451</f>
        <v>19.165580182529343</v>
      </c>
      <c r="Q290" s="752">
        <f>INPUT!BH451</f>
        <v>0.57185640337182875</v>
      </c>
      <c r="R290" s="793">
        <f>INPUT!BI451</f>
        <v>21.519795657726686</v>
      </c>
      <c r="S290" s="752">
        <f>INPUT!BJ451</f>
        <v>-4.8218433661618381</v>
      </c>
      <c r="T290" s="793">
        <f>INPUT!BK451</f>
        <v>20.005866823115312</v>
      </c>
      <c r="U290" s="752">
        <f>INPUT!BL451</f>
        <v>-15.075249464279427</v>
      </c>
      <c r="V290" s="793">
        <f>INPUT!BM451</f>
        <v>20.331695331695354</v>
      </c>
      <c r="W290" s="752">
        <f>INPUT!BN451</f>
        <v>5.8942465192466154</v>
      </c>
      <c r="X290" s="793">
        <f>INPUT!BO451</f>
        <v>21.373307543520298</v>
      </c>
      <c r="Y290" s="752">
        <f>INPUT!BP451</f>
        <v>11.519230516190904</v>
      </c>
      <c r="Z290" s="793">
        <f>INPUT!BQ451</f>
        <v>22.493654822335042</v>
      </c>
      <c r="AA290" s="752">
        <f>INPUT!BR451</f>
        <v>4.525410836132604</v>
      </c>
      <c r="AB290" s="793">
        <f>INPUT!BS451</f>
        <v>22.012966965112689</v>
      </c>
      <c r="AC290" s="752">
        <f>INPUT!BT451</f>
        <v>10.032557747901837</v>
      </c>
      <c r="AD290" s="793">
        <f>INPUT!BU451</f>
        <v>22.020644354081966</v>
      </c>
      <c r="AE290" s="752">
        <f>INPUT!BV451</f>
        <v>8.3069758563305118</v>
      </c>
      <c r="AF290" s="793">
        <f>INPUT!BW451</f>
        <v>21.224362958359229</v>
      </c>
      <c r="AG290" s="752">
        <f>INPUT!BX451</f>
        <v>-0.69687195048210304</v>
      </c>
      <c r="AH290" s="793">
        <f>INPUT!BY451</f>
        <v>20.640987944722152</v>
      </c>
      <c r="AI290" s="752">
        <f>INPUT!BZ451</f>
        <v>-8.236397740812162</v>
      </c>
      <c r="AJ290" s="793">
        <f>INPUT!CA451</f>
        <v>20.692665890570414</v>
      </c>
      <c r="AK290" s="752">
        <f>INPUT!CB451</f>
        <v>-5.9978333526541805</v>
      </c>
      <c r="AL290" s="793">
        <f>INPUT!CC451</f>
        <v>21.489104116222762</v>
      </c>
      <c r="AM290" s="752">
        <f>INPUT!CD451</f>
        <v>-2.4138269040282267</v>
      </c>
      <c r="AN290" s="793">
        <f>INPUT!CE451</f>
        <v>18.303571428571423</v>
      </c>
      <c r="AO290" s="752">
        <f>INPUT!CF451</f>
        <v>-13.761503869483393</v>
      </c>
      <c r="AP290" s="793">
        <f>INPUT!CG451</f>
        <v>20.768269831355394</v>
      </c>
      <c r="AQ290" s="752">
        <f>INPUT!CH451</f>
        <v>0.61664629122457626</v>
      </c>
      <c r="AR290" s="793">
        <f>INPUT!CI451</f>
        <v>19.618607338919372</v>
      </c>
      <c r="AS290" s="752">
        <f>INPUT!CJ451</f>
        <v>-5.1905276842095454</v>
      </c>
      <c r="AT290" s="793">
        <f>INPUT!CK451</f>
        <v>20.804741110417979</v>
      </c>
      <c r="AU290" s="752">
        <f>INPUT!CL451</f>
        <v>-3.1846977058859194</v>
      </c>
      <c r="AV290" s="793">
        <f>INPUT!CM451</f>
        <v>-10.538261997405952</v>
      </c>
      <c r="AW290" s="752" t="str">
        <f>INPUT!CN451</f>
        <v>NM</v>
      </c>
      <c r="AX290" s="793">
        <f>INPUT!CO451</f>
        <v>22.542043984476066</v>
      </c>
      <c r="AY290" s="752">
        <f>INPUT!CP451</f>
        <v>8.5407892305148891</v>
      </c>
      <c r="AZ290" s="793">
        <f>INPUT!CQ451</f>
        <v>21.799419542083196</v>
      </c>
      <c r="BA290" s="752">
        <f>INPUT!CR451</f>
        <v>11.116039816126655</v>
      </c>
      <c r="BB290" s="793">
        <f>INPUT!CS451</f>
        <v>22.111361441905352</v>
      </c>
      <c r="BC290" s="752">
        <f>INPUT!CT451</f>
        <v>6.2803969756349609</v>
      </c>
      <c r="BD290" s="793">
        <f>INPUT!CU451</f>
        <v>22.053600258314507</v>
      </c>
      <c r="BE290" s="752" t="str">
        <f>INPUT!CV451</f>
        <v>NM</v>
      </c>
      <c r="BF290" s="793">
        <f>INPUT!CW451</f>
        <v>22.467948717948715</v>
      </c>
      <c r="BG290" s="752">
        <f>INPUT!CX451</f>
        <v>-0.32869808336093431</v>
      </c>
      <c r="BH290" s="793">
        <f>INPUT!CY451</f>
        <v>22.483328040647816</v>
      </c>
      <c r="BI290" s="752">
        <f>INPUT!CZ451</f>
        <v>3.1372784823208377</v>
      </c>
      <c r="BJ290" s="793">
        <f>INPUT!DA451</f>
        <v>21.681415929203546</v>
      </c>
      <c r="BK290" s="752">
        <f>INPUT!DB451</f>
        <v>-1.9444551789876474</v>
      </c>
      <c r="BL290" s="793">
        <f>INPUT!DC451</f>
        <v>22.820343461030383</v>
      </c>
      <c r="BM290" s="752">
        <f>INPUT!DD451</f>
        <v>3.4767257669269025</v>
      </c>
      <c r="BN290" s="793">
        <f>INPUT!DE451</f>
        <v>24.345952600800256</v>
      </c>
      <c r="BO290" s="752">
        <f>INPUT!DF451</f>
        <v>8.3585907482122792</v>
      </c>
      <c r="BP290" s="793">
        <f>INPUT!DG451</f>
        <v>23.024900092222556</v>
      </c>
      <c r="BQ290" s="752">
        <f>INPUT!DH451</f>
        <v>2.4087717378656226</v>
      </c>
      <c r="BR290" s="793">
        <f>INPUT!DI451</f>
        <v>22.383354350567462</v>
      </c>
      <c r="BS290" s="752">
        <f>INPUT!DJ451</f>
        <v>3.2375119026172516</v>
      </c>
      <c r="BT290" s="793">
        <f>INPUT!DK451</f>
        <v>-19.844462322338426</v>
      </c>
      <c r="BU290" s="752" t="str">
        <f>INPUT!DL451</f>
        <v>NM</v>
      </c>
      <c r="BV290" s="793">
        <f>INPUT!DM451</f>
        <v>24.379516179704666</v>
      </c>
      <c r="BW290" s="752">
        <f>INPUT!DN451</f>
        <v>0.13786102131532196</v>
      </c>
      <c r="BX290" s="793">
        <f>INPUT!DO451</f>
        <v>24.326018808777423</v>
      </c>
      <c r="BY290" s="752">
        <f>INPUT!DP451</f>
        <v>5.6509201401241382</v>
      </c>
      <c r="BZ290" s="793">
        <f>INPUT!DQ451</f>
        <v>23.440860215053767</v>
      </c>
      <c r="CA290" s="752">
        <f>INPUT!DR451</f>
        <v>4.7245191579585288</v>
      </c>
      <c r="CB290" s="793">
        <f>INPUT!DS451</f>
        <v>24.303163169433152</v>
      </c>
      <c r="CC290" s="752" t="str">
        <f>INPUT!DT451</f>
        <v>NM</v>
      </c>
      <c r="CD290" s="793">
        <f>INPUT!DU451</f>
        <v>23.837388358484763</v>
      </c>
      <c r="CE290" s="752">
        <f>INPUT!DV451</f>
        <v>-2.223702132658445</v>
      </c>
      <c r="CF290" s="793">
        <f>INPUT!DW451</f>
        <v>23.260674828306957</v>
      </c>
      <c r="CG290" s="752">
        <f>INPUT!DX451</f>
        <v>-4.379442393944311</v>
      </c>
      <c r="CH290" s="793">
        <f>INPUT!DY451</f>
        <v>24.60292743693552</v>
      </c>
      <c r="CI290" s="752">
        <f>INPUT!DZ451</f>
        <v>4.9574427355505879</v>
      </c>
      <c r="CJ290" s="793">
        <f>INPUT!EA451</f>
        <v>23.308051341890312</v>
      </c>
      <c r="CK290" s="752">
        <f>INPUT!EB451</f>
        <v>-4.0945774037941751</v>
      </c>
      <c r="CL290" s="793">
        <f>INPUT!EC451</f>
        <v>24.242424242424271</v>
      </c>
      <c r="CM290" s="752">
        <f>INPUT!ED451</f>
        <v>1.6991621642785226</v>
      </c>
      <c r="CN290" s="793">
        <f>INPUT!EE451</f>
        <v>23.140028288543153</v>
      </c>
      <c r="CO290" s="752">
        <f>INPUT!EF451</f>
        <v>-0.51867170945953944</v>
      </c>
      <c r="CP290" s="793">
        <f>INPUT!EG451</f>
        <v>22.923681257014607</v>
      </c>
      <c r="CQ290" s="752">
        <f>INPUT!EH451</f>
        <v>-6.825391751551968</v>
      </c>
      <c r="CR290" s="793">
        <f>INPUT!EI451</f>
        <v>21.212121212121222</v>
      </c>
      <c r="CS290" s="752">
        <f>INPUT!EJ451</f>
        <v>-8.9923009822884143</v>
      </c>
      <c r="CT290" s="793">
        <f>INPUT!EK451</f>
        <v>22.22967937743536</v>
      </c>
      <c r="CU290" s="752">
        <f>INPUT!EL451</f>
        <v>-8.3025725680792473</v>
      </c>
      <c r="CV290" s="793">
        <f>INPUT!EM451</f>
        <v>22.262099547140107</v>
      </c>
      <c r="CW290" s="752">
        <f>INPUT!EN451</f>
        <v>-3.793983008386026</v>
      </c>
      <c r="CX290" s="793">
        <f>INPUT!EO451</f>
        <v>22.404711634541417</v>
      </c>
      <c r="CY290" s="752">
        <f>INPUT!EP451</f>
        <v>-2.2639017558071517</v>
      </c>
      <c r="CZ290" s="793">
        <f>INPUT!EQ451</f>
        <v>22.468053573699908</v>
      </c>
      <c r="DA290" s="752">
        <f>INPUT!ER451</f>
        <v>5.9208239902995174</v>
      </c>
      <c r="DB290" s="753"/>
      <c r="DC290" s="793">
        <f>INPUT!FB451</f>
        <v>0</v>
      </c>
      <c r="DD290" s="793" t="str">
        <f>INPUT!FC451</f>
        <v>NA</v>
      </c>
      <c r="DE290" s="793">
        <f>INPUT!FD451</f>
        <v>13.004823607301619</v>
      </c>
      <c r="DF290" s="793" t="str">
        <f>INPUT!FE451</f>
        <v>NA</v>
      </c>
      <c r="DG290" s="793">
        <f>INPUT!FF451</f>
        <v>-216.05301914580477</v>
      </c>
      <c r="DH290" s="793" t="str">
        <f>INPUT!FG451</f>
        <v>NM</v>
      </c>
      <c r="DI290" s="793">
        <f>INPUT!FH451</f>
        <v>-115.25925925925912</v>
      </c>
      <c r="DJ290" s="793">
        <f>INPUT!FI451</f>
        <v>-46.652326491454545</v>
      </c>
      <c r="DK290" s="793">
        <f>INPUT!FJ451</f>
        <v>22.851292551830014</v>
      </c>
      <c r="DL290" s="793" t="str">
        <f>INPUT!FK451</f>
        <v>NM</v>
      </c>
      <c r="DM290" s="793">
        <f>INPUT!FL451</f>
        <v>21.418562035140692</v>
      </c>
      <c r="DN290" s="793">
        <f>INPUT!FM451</f>
        <v>-6.269800771399181</v>
      </c>
      <c r="DO290" s="793">
        <f>INPUT!FN451</f>
        <v>20.983858570330518</v>
      </c>
      <c r="DP290" s="793">
        <f>INPUT!FO451</f>
        <v>-2.0295641887488558</v>
      </c>
      <c r="DQ290" s="793">
        <f>INPUT!FP451</f>
        <v>20.784556942398648</v>
      </c>
      <c r="DR290" s="793">
        <f>INPUT!FQ451</f>
        <v>-0.94978541369730163</v>
      </c>
      <c r="DS290" s="793">
        <f>INPUT!FR451</f>
        <v>20.452990803374657</v>
      </c>
      <c r="DT290" s="793">
        <f>INPUT!FS451</f>
        <v>-1.5952523786909589</v>
      </c>
      <c r="DU290" s="793">
        <f>INPUT!FT451</f>
        <v>20.313323793025532</v>
      </c>
      <c r="DV290" s="793">
        <f>INPUT!FU451</f>
        <v>-0.68286839656761522</v>
      </c>
      <c r="DW290" s="793">
        <f>INPUT!FV451</f>
        <v>71.899486625236449</v>
      </c>
      <c r="DX290" s="793" t="str">
        <f>INPUT!FW451</f>
        <v>NM</v>
      </c>
      <c r="DY290" s="793">
        <f>INPUT!FX451</f>
        <v>21.770982640547867</v>
      </c>
      <c r="DZ290" s="793" t="str">
        <f>INPUT!FY451</f>
        <v>NM</v>
      </c>
      <c r="EA290" s="793">
        <f>INPUT!FZ451</f>
        <v>22.357756199341949</v>
      </c>
      <c r="EB290" s="793">
        <f>INPUT!GA451</f>
        <v>2.6952093457703219</v>
      </c>
      <c r="EC290" s="793">
        <f>INPUT!GB451</f>
        <v>50.294365012615607</v>
      </c>
      <c r="ED290" s="793" t="str">
        <f>INPUT!GC451</f>
        <v>NM</v>
      </c>
      <c r="EE290" s="793">
        <f>INPUT!GD451</f>
        <v>24.108883862413226</v>
      </c>
      <c r="EF290" s="793" t="str">
        <f>INPUT!GE451</f>
        <v>NM</v>
      </c>
      <c r="EG290" s="793">
        <f>INPUT!GF451</f>
        <v>23.74008311295805</v>
      </c>
      <c r="EH290" s="793">
        <f>INPUT!GG451</f>
        <v>-1.5297296696100915</v>
      </c>
      <c r="EI290" s="793">
        <f>INPUT!GH451</f>
        <v>22.843888381246941</v>
      </c>
      <c r="EJ290" s="793">
        <f>INPUT!GI451</f>
        <v>-3.7750277766379847</v>
      </c>
      <c r="EK290" s="793">
        <f>INPUT!GJ451</f>
        <v>22.341714792867567</v>
      </c>
      <c r="EL290" s="793">
        <f>INPUT!GK451</f>
        <v>-2.1982841974994893</v>
      </c>
      <c r="EM290" s="793">
        <f>INPUT!GL451</f>
        <v>22.030735993788582</v>
      </c>
      <c r="EN290" s="793">
        <f>INPUT!GM451</f>
        <v>-1.3919200113424735</v>
      </c>
      <c r="EO290" s="793">
        <f>INPUT!GN451</f>
        <v>21.86123377785804</v>
      </c>
      <c r="EP290" s="793">
        <f>INPUT!GO451</f>
        <v>-0.76938971071294215</v>
      </c>
      <c r="EQ290" s="793">
        <f>INPUT!GP451</f>
        <v>21.74638021318848</v>
      </c>
      <c r="ER290" s="793">
        <f>INPUT!GQ451</f>
        <v>-0.52537549269469075</v>
      </c>
      <c r="ES290" s="793">
        <f>INPUT!GR451</f>
        <v>21.622343245631672</v>
      </c>
      <c r="ET290" s="793">
        <f>INPUT!GS451</f>
        <v>-0.57037983490044741</v>
      </c>
      <c r="EU290" s="793">
        <f>INPUT!GT451</f>
        <v>-1.0931101543254385</v>
      </c>
      <c r="EV290" s="710"/>
    </row>
    <row r="291" spans="1:152" ht="12.75" hidden="1" customHeight="1" outlineLevel="1" x14ac:dyDescent="0.2">
      <c r="A291" s="754"/>
      <c r="B291" s="793"/>
      <c r="C291" s="767"/>
      <c r="D291" s="793"/>
      <c r="E291" s="767"/>
      <c r="F291" s="793"/>
      <c r="G291" s="767"/>
      <c r="H291" s="793"/>
      <c r="I291" s="752"/>
      <c r="J291" s="793"/>
      <c r="K291" s="752"/>
      <c r="L291" s="793"/>
      <c r="M291" s="752"/>
      <c r="N291" s="793"/>
      <c r="O291" s="752"/>
      <c r="P291" s="793"/>
      <c r="Q291" s="752"/>
      <c r="R291" s="793"/>
      <c r="S291" s="752"/>
      <c r="T291" s="793"/>
      <c r="U291" s="752"/>
      <c r="V291" s="793"/>
      <c r="W291" s="752"/>
      <c r="X291" s="793"/>
      <c r="Y291" s="752"/>
      <c r="Z291" s="793"/>
      <c r="AA291" s="752"/>
      <c r="AB291" s="793"/>
      <c r="AC291" s="752"/>
      <c r="AD291" s="793"/>
      <c r="AE291" s="752"/>
      <c r="AF291" s="793"/>
      <c r="AG291" s="752"/>
      <c r="AH291" s="793"/>
      <c r="AI291" s="752"/>
      <c r="AJ291" s="793"/>
      <c r="AK291" s="752"/>
      <c r="AL291" s="793"/>
      <c r="AM291" s="752"/>
      <c r="AN291" s="793"/>
      <c r="AO291" s="752"/>
      <c r="AP291" s="793"/>
      <c r="AQ291" s="752"/>
      <c r="AR291" s="793"/>
      <c r="AS291" s="752"/>
      <c r="AT291" s="793"/>
      <c r="AU291" s="752"/>
      <c r="AV291" s="793"/>
      <c r="AW291" s="752"/>
      <c r="AX291" s="793"/>
      <c r="AY291" s="752"/>
      <c r="AZ291" s="793"/>
      <c r="BA291" s="752"/>
      <c r="BB291" s="793"/>
      <c r="BC291" s="752"/>
      <c r="BD291" s="793"/>
      <c r="BE291" s="752"/>
      <c r="BF291" s="793"/>
      <c r="BG291" s="752"/>
      <c r="BH291" s="793"/>
      <c r="BI291" s="752"/>
      <c r="BJ291" s="793"/>
      <c r="BK291" s="752"/>
      <c r="BL291" s="793"/>
      <c r="BM291" s="752"/>
      <c r="BN291" s="793"/>
      <c r="BO291" s="752"/>
      <c r="BP291" s="793"/>
      <c r="BQ291" s="752"/>
      <c r="BR291" s="793"/>
      <c r="BS291" s="752"/>
      <c r="BT291" s="793"/>
      <c r="BU291" s="752"/>
      <c r="BV291" s="793"/>
      <c r="BW291" s="752"/>
      <c r="BX291" s="793"/>
      <c r="BY291" s="752"/>
      <c r="BZ291" s="793"/>
      <c r="CA291" s="752"/>
      <c r="CB291" s="793"/>
      <c r="CC291" s="752"/>
      <c r="CD291" s="793"/>
      <c r="CE291" s="752"/>
      <c r="CF291" s="793"/>
      <c r="CG291" s="752"/>
      <c r="CH291" s="793"/>
      <c r="CI291" s="752"/>
      <c r="CJ291" s="793"/>
      <c r="CK291" s="752"/>
      <c r="CL291" s="793"/>
      <c r="CM291" s="752"/>
      <c r="CN291" s="793"/>
      <c r="CO291" s="752"/>
      <c r="CP291" s="793"/>
      <c r="CQ291" s="752"/>
      <c r="CR291" s="793"/>
      <c r="CS291" s="752"/>
      <c r="CT291" s="793"/>
      <c r="CU291" s="752"/>
      <c r="CV291" s="793"/>
      <c r="CW291" s="752"/>
      <c r="CX291" s="793"/>
      <c r="CY291" s="752"/>
      <c r="CZ291" s="793"/>
      <c r="DA291" s="752"/>
      <c r="DB291" s="753"/>
      <c r="DC291" s="793"/>
      <c r="DD291" s="767"/>
      <c r="DE291" s="793"/>
      <c r="DF291" s="767"/>
      <c r="DG291" s="793"/>
      <c r="DH291" s="767"/>
      <c r="DI291" s="793"/>
      <c r="DJ291" s="767"/>
      <c r="DK291" s="793"/>
      <c r="DL291" s="752"/>
      <c r="DM291" s="793"/>
      <c r="DN291" s="752"/>
      <c r="DO291" s="793"/>
      <c r="DP291" s="752"/>
      <c r="DQ291" s="793"/>
      <c r="DR291" s="752"/>
      <c r="DS291" s="793"/>
      <c r="DT291" s="752"/>
      <c r="DU291" s="793"/>
      <c r="DV291" s="752"/>
      <c r="DW291" s="793"/>
      <c r="DX291" s="752"/>
      <c r="DY291" s="793"/>
      <c r="DZ291" s="752"/>
      <c r="EA291" s="793"/>
      <c r="EB291" s="752"/>
      <c r="EC291" s="793"/>
      <c r="ED291" s="752"/>
      <c r="EE291" s="793"/>
      <c r="EF291" s="752"/>
      <c r="EG291" s="793"/>
      <c r="EH291" s="752"/>
      <c r="EI291" s="793"/>
      <c r="EJ291" s="752"/>
      <c r="EK291" s="793"/>
      <c r="EL291" s="752"/>
      <c r="EM291" s="793"/>
      <c r="EN291" s="752"/>
      <c r="EO291" s="793"/>
      <c r="EP291" s="752"/>
      <c r="EQ291" s="793"/>
      <c r="ER291" s="752"/>
      <c r="ES291" s="793"/>
      <c r="ET291" s="752"/>
      <c r="EU291" s="767"/>
      <c r="EV291" s="710"/>
    </row>
    <row r="292" spans="1:152" ht="12.75" hidden="1" customHeight="1" outlineLevel="1" x14ac:dyDescent="0.2">
      <c r="A292" s="749" t="s">
        <v>450</v>
      </c>
      <c r="B292" s="793"/>
      <c r="C292" s="767"/>
      <c r="D292" s="793"/>
      <c r="E292" s="767"/>
      <c r="F292" s="793"/>
      <c r="G292" s="767"/>
      <c r="H292" s="793"/>
      <c r="I292" s="752"/>
      <c r="J292" s="793"/>
      <c r="K292" s="752"/>
      <c r="L292" s="793"/>
      <c r="M292" s="752"/>
      <c r="N292" s="793"/>
      <c r="O292" s="752"/>
      <c r="P292" s="793"/>
      <c r="Q292" s="752"/>
      <c r="R292" s="793"/>
      <c r="S292" s="752"/>
      <c r="T292" s="793"/>
      <c r="U292" s="752"/>
      <c r="V292" s="793"/>
      <c r="W292" s="752"/>
      <c r="X292" s="793"/>
      <c r="Y292" s="752"/>
      <c r="Z292" s="793"/>
      <c r="AA292" s="752"/>
      <c r="AB292" s="793"/>
      <c r="AC292" s="752"/>
      <c r="AD292" s="793"/>
      <c r="AE292" s="752"/>
      <c r="AF292" s="793"/>
      <c r="AG292" s="752"/>
      <c r="AH292" s="793"/>
      <c r="AI292" s="752"/>
      <c r="AJ292" s="793"/>
      <c r="AK292" s="752"/>
      <c r="AL292" s="793"/>
      <c r="AM292" s="752"/>
      <c r="AN292" s="793"/>
      <c r="AO292" s="752"/>
      <c r="AP292" s="793"/>
      <c r="AQ292" s="752"/>
      <c r="AR292" s="793"/>
      <c r="AS292" s="752"/>
      <c r="AT292" s="793"/>
      <c r="AU292" s="752"/>
      <c r="AV292" s="793"/>
      <c r="AW292" s="752"/>
      <c r="AX292" s="793"/>
      <c r="AY292" s="752"/>
      <c r="AZ292" s="793"/>
      <c r="BA292" s="752"/>
      <c r="BB292" s="793"/>
      <c r="BC292" s="752"/>
      <c r="BD292" s="793"/>
      <c r="BE292" s="752"/>
      <c r="BF292" s="793"/>
      <c r="BG292" s="752"/>
      <c r="BH292" s="793"/>
      <c r="BI292" s="752"/>
      <c r="BJ292" s="793"/>
      <c r="BK292" s="752"/>
      <c r="BL292" s="793"/>
      <c r="BM292" s="752"/>
      <c r="BN292" s="793"/>
      <c r="BO292" s="752"/>
      <c r="BP292" s="793"/>
      <c r="BQ292" s="752"/>
      <c r="BR292" s="793"/>
      <c r="BS292" s="752"/>
      <c r="BT292" s="793"/>
      <c r="BU292" s="752"/>
      <c r="BV292" s="793"/>
      <c r="BW292" s="752"/>
      <c r="BX292" s="793"/>
      <c r="BY292" s="752"/>
      <c r="BZ292" s="793"/>
      <c r="CA292" s="752"/>
      <c r="CB292" s="793"/>
      <c r="CC292" s="752"/>
      <c r="CD292" s="793"/>
      <c r="CE292" s="752"/>
      <c r="CF292" s="793"/>
      <c r="CG292" s="752"/>
      <c r="CH292" s="793"/>
      <c r="CI292" s="752"/>
      <c r="CJ292" s="793"/>
      <c r="CK292" s="752"/>
      <c r="CL292" s="793"/>
      <c r="CM292" s="752"/>
      <c r="CN292" s="793"/>
      <c r="CO292" s="752"/>
      <c r="CP292" s="793"/>
      <c r="CQ292" s="752"/>
      <c r="CR292" s="793"/>
      <c r="CS292" s="752"/>
      <c r="CT292" s="793"/>
      <c r="CU292" s="752"/>
      <c r="CV292" s="793"/>
      <c r="CW292" s="752"/>
      <c r="CX292" s="793"/>
      <c r="CY292" s="752"/>
      <c r="CZ292" s="793"/>
      <c r="DA292" s="752"/>
      <c r="DB292" s="753"/>
      <c r="DC292" s="793"/>
      <c r="DD292" s="767"/>
      <c r="DE292" s="793"/>
      <c r="DF292" s="767"/>
      <c r="DG292" s="793"/>
      <c r="DH292" s="767"/>
      <c r="DI292" s="793"/>
      <c r="DJ292" s="767"/>
      <c r="DK292" s="793"/>
      <c r="DL292" s="752"/>
      <c r="DM292" s="793"/>
      <c r="DN292" s="752"/>
      <c r="DO292" s="793"/>
      <c r="DP292" s="752"/>
      <c r="DQ292" s="793"/>
      <c r="DR292" s="752"/>
      <c r="DS292" s="793"/>
      <c r="DT292" s="752"/>
      <c r="DU292" s="793"/>
      <c r="DV292" s="752"/>
      <c r="DW292" s="793"/>
      <c r="DX292" s="752"/>
      <c r="DY292" s="793"/>
      <c r="DZ292" s="752"/>
      <c r="EA292" s="793"/>
      <c r="EB292" s="752"/>
      <c r="EC292" s="793"/>
      <c r="ED292" s="752"/>
      <c r="EE292" s="793"/>
      <c r="EF292" s="752"/>
      <c r="EG292" s="793"/>
      <c r="EH292" s="752"/>
      <c r="EI292" s="793"/>
      <c r="EJ292" s="752"/>
      <c r="EK292" s="793"/>
      <c r="EL292" s="752"/>
      <c r="EM292" s="793"/>
      <c r="EN292" s="752"/>
      <c r="EO292" s="793"/>
      <c r="EP292" s="752"/>
      <c r="EQ292" s="793"/>
      <c r="ER292" s="752"/>
      <c r="ES292" s="793"/>
      <c r="ET292" s="752"/>
      <c r="EU292" s="767"/>
      <c r="EV292" s="710"/>
    </row>
    <row r="293" spans="1:152" ht="12.75" hidden="1" customHeight="1" outlineLevel="1" x14ac:dyDescent="0.2">
      <c r="A293" s="754" t="str">
        <f>INPUT!B240</f>
        <v>Pretax Earnings/Revenues (%)</v>
      </c>
      <c r="B293" s="793">
        <f>INPUT!AS240</f>
        <v>20.487804878048788</v>
      </c>
      <c r="C293" s="767">
        <f>INPUT!AT240</f>
        <v>2.7664550618109018</v>
      </c>
      <c r="D293" s="793">
        <f>INPUT!AU240</f>
        <v>21.38876982426061</v>
      </c>
      <c r="E293" s="767">
        <f>INPUT!AV240</f>
        <v>7.8759285402501211</v>
      </c>
      <c r="F293" s="793">
        <f>INPUT!AW240</f>
        <v>22.020287404902795</v>
      </c>
      <c r="G293" s="767">
        <f>INPUT!AX240</f>
        <v>16.445376967355017</v>
      </c>
      <c r="H293" s="793">
        <f>INPUT!AY240</f>
        <v>20.91963545981773</v>
      </c>
      <c r="I293" s="752">
        <f>INPUT!AZ240</f>
        <v>22.004178896146321</v>
      </c>
      <c r="J293" s="793">
        <f>INPUT!BA240</f>
        <v>24.022571543732365</v>
      </c>
      <c r="K293" s="752">
        <f>INPUT!BB240</f>
        <v>17.253027772979369</v>
      </c>
      <c r="L293" s="793">
        <f>INPUT!BC240</f>
        <v>25.960000000000015</v>
      </c>
      <c r="M293" s="752">
        <f>INPUT!BD240</f>
        <v>21.372104208416886</v>
      </c>
      <c r="N293" s="793">
        <f>INPUT!BE240</f>
        <v>24.742268041237107</v>
      </c>
      <c r="O293" s="752">
        <f>INPUT!BF240</f>
        <v>12.361240279399199</v>
      </c>
      <c r="P293" s="793">
        <f>INPUT!BG240</f>
        <v>22.826086956521753</v>
      </c>
      <c r="Q293" s="752">
        <f>INPUT!BH240</f>
        <v>9.1132156693930924</v>
      </c>
      <c r="R293" s="793">
        <f>INPUT!BI240</f>
        <v>25.300300300300293</v>
      </c>
      <c r="S293" s="752">
        <f>INPUT!BJ240</f>
        <v>5.3188675252433315</v>
      </c>
      <c r="T293" s="793">
        <f>INPUT!BK240</f>
        <v>25.343738387216664</v>
      </c>
      <c r="U293" s="752">
        <f>INPUT!BL240</f>
        <v>-2.3738891093349368</v>
      </c>
      <c r="V293" s="793">
        <f>INPUT!BM240</f>
        <v>24.35614422369391</v>
      </c>
      <c r="W293" s="752">
        <f>INPUT!BN240</f>
        <v>-1.5605837625704222</v>
      </c>
      <c r="X293" s="793">
        <f>INPUT!BO240</f>
        <v>24.013038754074611</v>
      </c>
      <c r="Y293" s="752">
        <f>INPUT!BP240</f>
        <v>5.1999793035649056</v>
      </c>
      <c r="Z293" s="793">
        <f>INPUT!BQ240</f>
        <v>25.222340803984356</v>
      </c>
      <c r="AA293" s="752">
        <f>INPUT!BR240</f>
        <v>-0.30813664419236941</v>
      </c>
      <c r="AB293" s="793">
        <f>INPUT!BS240</f>
        <v>25.518969219756631</v>
      </c>
      <c r="AC293" s="752">
        <f>INPUT!BT240</f>
        <v>0.69141667208951763</v>
      </c>
      <c r="AD293" s="793">
        <f>INPUT!BU240</f>
        <v>24.876325088339225</v>
      </c>
      <c r="AE293" s="752">
        <f>INPUT!BV240</f>
        <v>2.135727477501459</v>
      </c>
      <c r="AF293" s="793">
        <f>INPUT!BW240</f>
        <v>23.847765363128477</v>
      </c>
      <c r="AG293" s="752">
        <f>INPUT!BX240</f>
        <v>-0.6882652072432438</v>
      </c>
      <c r="AH293" s="793">
        <f>INPUT!BY240</f>
        <v>23.78048780487806</v>
      </c>
      <c r="AI293" s="752">
        <f>INPUT!BZ240</f>
        <v>-5.7165709174722075</v>
      </c>
      <c r="AJ293" s="793">
        <f>INPUT!CA240</f>
        <v>23.931336250420713</v>
      </c>
      <c r="AK293" s="752">
        <f>INPUT!CB240</f>
        <v>-6.2213836133584222</v>
      </c>
      <c r="AL293" s="793">
        <f>INPUT!CC240</f>
        <v>23.556735235567359</v>
      </c>
      <c r="AM293" s="752">
        <f>INPUT!CD240</f>
        <v>-5.3046012547505406</v>
      </c>
      <c r="AN293" s="793">
        <f>INPUT!CE240</f>
        <v>18.807339449541296</v>
      </c>
      <c r="AO293" s="752">
        <f>INPUT!CF240</f>
        <v>-21.135841605437335</v>
      </c>
      <c r="AP293" s="793">
        <f>INPUT!CG240</f>
        <v>21.327774214239884</v>
      </c>
      <c r="AQ293" s="752">
        <f>INPUT!CH240</f>
        <v>-10.313975099093863</v>
      </c>
      <c r="AR293" s="793">
        <f>INPUT!CI240</f>
        <v>22.610062893081754</v>
      </c>
      <c r="AS293" s="752">
        <f>INPUT!CJ240</f>
        <v>-5.5211014692743365</v>
      </c>
      <c r="AT293" s="793">
        <f>INPUT!CK240</f>
        <v>21.087575086942788</v>
      </c>
      <c r="AU293" s="752">
        <f>INPUT!CL240</f>
        <v>-10.481758715428812</v>
      </c>
      <c r="AV293" s="793">
        <f>INPUT!CM240</f>
        <v>20.180068301769623</v>
      </c>
      <c r="AW293" s="752">
        <f>INPUT!CN240</f>
        <v>7.2988997508725673</v>
      </c>
      <c r="AX293" s="793">
        <f>INPUT!CO240</f>
        <v>20.993975903614455</v>
      </c>
      <c r="AY293" s="752">
        <f>INPUT!CP240</f>
        <v>-1.5650874173384843</v>
      </c>
      <c r="AZ293" s="793">
        <f>INPUT!CQ240</f>
        <v>20.422960725075516</v>
      </c>
      <c r="BA293" s="752">
        <f>INPUT!CR240</f>
        <v>-9.673136153351658</v>
      </c>
      <c r="BB293" s="793">
        <f>INPUT!CS240</f>
        <v>20.612061206120593</v>
      </c>
      <c r="BC293" s="752">
        <f>INPUT!CT240</f>
        <v>-2.2549481334941612</v>
      </c>
      <c r="BD293" s="793">
        <f>INPUT!CU240</f>
        <v>20.261050133491551</v>
      </c>
      <c r="BE293" s="752">
        <f>INPUT!CV240</f>
        <v>0.40129612304051765</v>
      </c>
      <c r="BF293" s="793">
        <f>INPUT!CW240</f>
        <v>21.673881673881681</v>
      </c>
      <c r="BG293" s="752">
        <f>INPUT!CX240</f>
        <v>3.2385755484751755</v>
      </c>
      <c r="BH293" s="793">
        <f>INPUT!CY240</f>
        <v>20.7017543859649</v>
      </c>
      <c r="BI293" s="752">
        <f>INPUT!CZ240</f>
        <v>1.3650991383785005</v>
      </c>
      <c r="BJ293" s="793">
        <f>INPUT!DA240</f>
        <v>19.884057971014499</v>
      </c>
      <c r="BK293" s="752">
        <f>INPUT!DB240</f>
        <v>-3.5319283589644979</v>
      </c>
      <c r="BL293" s="793">
        <f>INPUT!DC240</f>
        <v>14.285714285714285</v>
      </c>
      <c r="BM293" s="752">
        <f>INPUT!DD240</f>
        <v>-29.491738130098334</v>
      </c>
      <c r="BN293" s="793">
        <f>INPUT!DE240</f>
        <v>22.41428166619438</v>
      </c>
      <c r="BO293" s="752">
        <f>INPUT!DF240</f>
        <v>3.4160931735865541</v>
      </c>
      <c r="BP293" s="793">
        <f>INPUT!DG240</f>
        <v>21.236178055004249</v>
      </c>
      <c r="BQ293" s="752">
        <f>INPUT!DH240</f>
        <v>2.5815380623087192</v>
      </c>
      <c r="BR293" s="793">
        <f>INPUT!DI240</f>
        <v>20</v>
      </c>
      <c r="BS293" s="752">
        <f>INPUT!DJ240</f>
        <v>0.58309037900872163</v>
      </c>
      <c r="BT293" s="793">
        <f>INPUT!DK240</f>
        <v>20.630052969054919</v>
      </c>
      <c r="BU293" s="752">
        <f>INPUT!DL240</f>
        <v>44.410370783384437</v>
      </c>
      <c r="BV293" s="793">
        <f>INPUT!DM240</f>
        <v>21.018418201516784</v>
      </c>
      <c r="BW293" s="752">
        <f>INPUT!DN240</f>
        <v>-6.2275627899459396</v>
      </c>
      <c r="BX293" s="793">
        <f>INPUT!DO240</f>
        <v>20.815450643776817</v>
      </c>
      <c r="BY293" s="752">
        <f>INPUT!DP240</f>
        <v>-1.9811823489975344</v>
      </c>
      <c r="BZ293" s="793">
        <f>INPUT!DQ240</f>
        <v>20.671904632890833</v>
      </c>
      <c r="CA293" s="752">
        <f>INPUT!DR240</f>
        <v>3.359523164454159</v>
      </c>
      <c r="CB293" s="793">
        <f>INPUT!DS240</f>
        <v>20.804289544235932</v>
      </c>
      <c r="CC293" s="752">
        <f>INPUT!DT240</f>
        <v>0.84457647996525331</v>
      </c>
      <c r="CD293" s="793">
        <f>INPUT!DU240</f>
        <v>20.077821011673148</v>
      </c>
      <c r="CE293" s="752">
        <f>INPUT!DV240</f>
        <v>-4.4751093104416277</v>
      </c>
      <c r="CF293" s="793">
        <f>INPUT!DW240</f>
        <v>20.1136070229796</v>
      </c>
      <c r="CG293" s="752">
        <f>INPUT!DX240</f>
        <v>-3.3717435803247708</v>
      </c>
      <c r="CH293" s="793">
        <f>INPUT!DY240</f>
        <v>20.225294418842804</v>
      </c>
      <c r="CI293" s="752">
        <f>INPUT!DZ240</f>
        <v>-2.1604695937762375</v>
      </c>
      <c r="CJ293" s="793">
        <f>INPUT!EA240</f>
        <v>20.156407669021188</v>
      </c>
      <c r="CK293" s="752">
        <f>INPUT!EB240</f>
        <v>-3.1141744775141644</v>
      </c>
      <c r="CL293" s="793">
        <f>INPUT!EC240</f>
        <v>20.112277276055661</v>
      </c>
      <c r="CM293" s="752">
        <f>INPUT!ED240</f>
        <v>0.17161356485089208</v>
      </c>
      <c r="CN293" s="793">
        <f>INPUT!EE240</f>
        <v>19.796708615682494</v>
      </c>
      <c r="CO293" s="752">
        <f>INPUT!EF240</f>
        <v>-1.5755424023898512</v>
      </c>
      <c r="CP293" s="793">
        <f>INPUT!EG240</f>
        <v>19.686746987951818</v>
      </c>
      <c r="CQ293" s="752">
        <f>INPUT!EH240</f>
        <v>-2.6627421076711344</v>
      </c>
      <c r="CR293" s="793">
        <f>INPUT!EI240</f>
        <v>18.855780691299167</v>
      </c>
      <c r="CS293" s="752">
        <f>INPUT!EJ240</f>
        <v>-6.4526725152566851</v>
      </c>
      <c r="CT293" s="793">
        <f>INPUT!EK240</f>
        <v>18.242868993339158</v>
      </c>
      <c r="CU293" s="752">
        <f>INPUT!EL240</f>
        <v>-9.2948613280212413</v>
      </c>
      <c r="CV293" s="793">
        <f>INPUT!EM240</f>
        <v>18.05762105149979</v>
      </c>
      <c r="CW293" s="752">
        <f>INPUT!EN240</f>
        <v>-8.7847308254314527</v>
      </c>
      <c r="CX293" s="793">
        <f>INPUT!EO240</f>
        <v>17.906393918955192</v>
      </c>
      <c r="CY293" s="752">
        <f>INPUT!EP240</f>
        <v>-9.0434091020024319</v>
      </c>
      <c r="CZ293" s="793">
        <f>INPUT!EQ240</f>
        <v>17.74185840713541</v>
      </c>
      <c r="DA293" s="752">
        <f>INPUT!ER240</f>
        <v>-5.9075903692376137</v>
      </c>
      <c r="DB293" s="753"/>
      <c r="DC293" s="793">
        <f>INPUT!FB240</f>
        <v>19.75662133142448</v>
      </c>
      <c r="DD293" s="767" t="str">
        <f>INPUT!FC240</f>
        <v>NA</v>
      </c>
      <c r="DE293" s="793">
        <f>INPUT!FD240</f>
        <v>19.097222222222236</v>
      </c>
      <c r="DF293" s="767">
        <f>INPUT!FE240</f>
        <v>-3.3376107085345441</v>
      </c>
      <c r="DG293" s="793">
        <f>INPUT!FF240</f>
        <v>18.664122137404586</v>
      </c>
      <c r="DH293" s="767">
        <f>INPUT!FG240</f>
        <v>-2.2678695350451417</v>
      </c>
      <c r="DI293" s="793">
        <f>INPUT!FH240</f>
        <v>18.572451659107188</v>
      </c>
      <c r="DJ293" s="767">
        <f>INPUT!FI240</f>
        <v>-0.49115879987563504</v>
      </c>
      <c r="DK293" s="793">
        <f>INPUT!FJ240</f>
        <v>18.942979490646824</v>
      </c>
      <c r="DL293" s="752">
        <f>INPUT!FK240</f>
        <v>1.9950399567089105</v>
      </c>
      <c r="DM293" s="793">
        <f>INPUT!FL240</f>
        <v>21.210503842869368</v>
      </c>
      <c r="DN293" s="752">
        <f>INPUT!FM240</f>
        <v>11.970262404296772</v>
      </c>
      <c r="DO293" s="793">
        <f>INPUT!FN240</f>
        <v>24.377418394682017</v>
      </c>
      <c r="DP293" s="752">
        <f>INPUT!FO240</f>
        <v>14.930878470750297</v>
      </c>
      <c r="DQ293" s="793">
        <f>INPUT!FP240</f>
        <v>24.746169466494379</v>
      </c>
      <c r="DR293" s="752">
        <f>INPUT!FQ240</f>
        <v>1.5126748281631297</v>
      </c>
      <c r="DS293" s="793">
        <f>INPUT!FR240</f>
        <v>23.816266926276672</v>
      </c>
      <c r="DT293" s="752">
        <f>INPUT!FS240</f>
        <v>-3.7577635661016906</v>
      </c>
      <c r="DU293" s="793">
        <f>INPUT!FT240</f>
        <v>22.495620985903734</v>
      </c>
      <c r="DV293" s="752">
        <f>INPUT!FU240</f>
        <v>-5.5451425047468694</v>
      </c>
      <c r="DW293" s="793">
        <f>INPUT!FV240</f>
        <v>21.297902539031693</v>
      </c>
      <c r="DX293" s="752">
        <f>INPUT!FW240</f>
        <v>-5.3242293138853984</v>
      </c>
      <c r="DY293" s="793">
        <f>INPUT!FX240</f>
        <v>20.51782363977485</v>
      </c>
      <c r="DZ293" s="752">
        <f>INPUT!FY240</f>
        <v>-3.6627029249815979</v>
      </c>
      <c r="EA293" s="793">
        <f>INPUT!FZ240</f>
        <v>19.142753359970939</v>
      </c>
      <c r="EB293" s="752">
        <f>INPUT!GA240</f>
        <v>-6.7018330206244041</v>
      </c>
      <c r="EC293" s="793">
        <f>INPUT!GB240</f>
        <v>21.066723032480787</v>
      </c>
      <c r="ED293" s="752">
        <f>INPUT!GC240</f>
        <v>10.050642330966998</v>
      </c>
      <c r="EE293" s="793">
        <f>INPUT!GD240</f>
        <v>20.827437504211304</v>
      </c>
      <c r="EF293" s="752">
        <f>INPUT!GE240</f>
        <v>-1.1358459875347116</v>
      </c>
      <c r="EG293" s="793">
        <f>INPUT!GF240</f>
        <v>20.143608154891655</v>
      </c>
      <c r="EH293" s="752">
        <f>INPUT!GG240</f>
        <v>-3.2833100528155579</v>
      </c>
      <c r="EI293" s="793">
        <f>INPUT!GH240</f>
        <v>19.609026185591897</v>
      </c>
      <c r="EJ293" s="752">
        <f>INPUT!GI240</f>
        <v>-2.6538540920234333</v>
      </c>
      <c r="EK293" s="793">
        <f>INPUT!GJ240</f>
        <v>17.983352438585023</v>
      </c>
      <c r="EL293" s="752">
        <f>INPUT!GK240</f>
        <v>-8.2904359024282837</v>
      </c>
      <c r="EM293" s="793">
        <f>INPUT!GL240</f>
        <v>17.802696865672225</v>
      </c>
      <c r="EN293" s="752">
        <f>INPUT!GM240</f>
        <v>-1.0045711639682042</v>
      </c>
      <c r="EO293" s="793">
        <f>INPUT!GN240</f>
        <v>17.804914028904523</v>
      </c>
      <c r="EP293" s="752">
        <f>INPUT!GO240</f>
        <v>1.2454086305169199E-2</v>
      </c>
      <c r="EQ293" s="793">
        <f>INPUT!GP240</f>
        <v>17.898614902968628</v>
      </c>
      <c r="ER293" s="752">
        <f>INPUT!GQ240</f>
        <v>0.52626411962444219</v>
      </c>
      <c r="ES293" s="793">
        <f>INPUT!GR240</f>
        <v>17.901050948431379</v>
      </c>
      <c r="ET293" s="752">
        <f>INPUT!GS240</f>
        <v>1.3610245686379585E-2</v>
      </c>
      <c r="EU293" s="767">
        <f>INPUT!GT240</f>
        <v>-1.8061020259370619</v>
      </c>
      <c r="EV293" s="710"/>
    </row>
    <row r="294" spans="1:152" ht="12.75" hidden="1" customHeight="1" outlineLevel="1" x14ac:dyDescent="0.2">
      <c r="A294" s="754"/>
      <c r="B294" s="793"/>
      <c r="C294" s="767"/>
      <c r="D294" s="793"/>
      <c r="E294" s="767"/>
      <c r="F294" s="793"/>
      <c r="G294" s="767"/>
      <c r="H294" s="793"/>
      <c r="I294" s="752"/>
      <c r="J294" s="793"/>
      <c r="K294" s="752"/>
      <c r="L294" s="793"/>
      <c r="M294" s="752"/>
      <c r="N294" s="793"/>
      <c r="O294" s="752"/>
      <c r="P294" s="793"/>
      <c r="Q294" s="752"/>
      <c r="R294" s="793"/>
      <c r="S294" s="752"/>
      <c r="T294" s="793"/>
      <c r="U294" s="752"/>
      <c r="V294" s="793"/>
      <c r="W294" s="752"/>
      <c r="X294" s="793"/>
      <c r="Y294" s="752"/>
      <c r="Z294" s="793"/>
      <c r="AA294" s="752"/>
      <c r="AB294" s="793"/>
      <c r="AC294" s="752"/>
      <c r="AD294" s="793"/>
      <c r="AE294" s="752"/>
      <c r="AF294" s="793"/>
      <c r="AG294" s="752"/>
      <c r="AH294" s="793"/>
      <c r="AI294" s="752"/>
      <c r="AJ294" s="793"/>
      <c r="AK294" s="752"/>
      <c r="AL294" s="793"/>
      <c r="AM294" s="752"/>
      <c r="AN294" s="793"/>
      <c r="AO294" s="752"/>
      <c r="AP294" s="793"/>
      <c r="AQ294" s="752"/>
      <c r="AR294" s="793"/>
      <c r="AS294" s="752"/>
      <c r="AT294" s="793"/>
      <c r="AU294" s="752"/>
      <c r="AV294" s="793"/>
      <c r="AW294" s="752"/>
      <c r="AX294" s="793"/>
      <c r="AY294" s="752"/>
      <c r="AZ294" s="793"/>
      <c r="BA294" s="752"/>
      <c r="BB294" s="793"/>
      <c r="BC294" s="752"/>
      <c r="BD294" s="793"/>
      <c r="BE294" s="752"/>
      <c r="BF294" s="793"/>
      <c r="BG294" s="752"/>
      <c r="BH294" s="793"/>
      <c r="BI294" s="752"/>
      <c r="BJ294" s="793"/>
      <c r="BK294" s="752"/>
      <c r="BL294" s="793"/>
      <c r="BM294" s="752"/>
      <c r="BN294" s="793"/>
      <c r="BO294" s="752"/>
      <c r="BP294" s="793"/>
      <c r="BQ294" s="752"/>
      <c r="BR294" s="793"/>
      <c r="BS294" s="752"/>
      <c r="BT294" s="793"/>
      <c r="BU294" s="752"/>
      <c r="BV294" s="793"/>
      <c r="BW294" s="752"/>
      <c r="BX294" s="793"/>
      <c r="BY294" s="752"/>
      <c r="BZ294" s="793"/>
      <c r="CA294" s="752"/>
      <c r="CB294" s="793"/>
      <c r="CC294" s="752"/>
      <c r="CD294" s="793"/>
      <c r="CE294" s="752"/>
      <c r="CF294" s="793"/>
      <c r="CG294" s="752"/>
      <c r="CH294" s="793"/>
      <c r="CI294" s="752"/>
      <c r="CJ294" s="793"/>
      <c r="CK294" s="752"/>
      <c r="CL294" s="793"/>
      <c r="CM294" s="752"/>
      <c r="CN294" s="793"/>
      <c r="CO294" s="752"/>
      <c r="CP294" s="793"/>
      <c r="CQ294" s="752"/>
      <c r="CR294" s="793"/>
      <c r="CS294" s="752"/>
      <c r="CT294" s="793"/>
      <c r="CU294" s="752"/>
      <c r="CV294" s="793"/>
      <c r="CW294" s="752"/>
      <c r="CX294" s="793"/>
      <c r="CY294" s="752"/>
      <c r="CZ294" s="793"/>
      <c r="DA294" s="752"/>
      <c r="DB294" s="753"/>
      <c r="DC294" s="793"/>
      <c r="DD294" s="767"/>
      <c r="DE294" s="793"/>
      <c r="DF294" s="767"/>
      <c r="DG294" s="793"/>
      <c r="DH294" s="767"/>
      <c r="DI294" s="793"/>
      <c r="DJ294" s="767"/>
      <c r="DK294" s="793"/>
      <c r="DL294" s="752"/>
      <c r="DM294" s="793"/>
      <c r="DN294" s="752"/>
      <c r="DO294" s="793"/>
      <c r="DP294" s="752"/>
      <c r="DQ294" s="793"/>
      <c r="DR294" s="752"/>
      <c r="DS294" s="793"/>
      <c r="DT294" s="752"/>
      <c r="DU294" s="793"/>
      <c r="DV294" s="752"/>
      <c r="DW294" s="793"/>
      <c r="DX294" s="752"/>
      <c r="DY294" s="793"/>
      <c r="DZ294" s="752"/>
      <c r="EA294" s="793"/>
      <c r="EB294" s="752"/>
      <c r="EC294" s="793"/>
      <c r="ED294" s="752"/>
      <c r="EE294" s="793"/>
      <c r="EF294" s="752"/>
      <c r="EG294" s="793"/>
      <c r="EH294" s="752"/>
      <c r="EI294" s="793"/>
      <c r="EJ294" s="752"/>
      <c r="EK294" s="793"/>
      <c r="EL294" s="752"/>
      <c r="EM294" s="793"/>
      <c r="EN294" s="752"/>
      <c r="EO294" s="793"/>
      <c r="EP294" s="752"/>
      <c r="EQ294" s="793"/>
      <c r="ER294" s="752"/>
      <c r="ES294" s="793"/>
      <c r="ET294" s="752"/>
      <c r="EU294" s="767"/>
      <c r="EV294" s="710"/>
    </row>
    <row r="295" spans="1:152" ht="12.75" hidden="1" customHeight="1" outlineLevel="1" x14ac:dyDescent="0.2">
      <c r="A295" s="749" t="s">
        <v>438</v>
      </c>
      <c r="B295" s="793"/>
      <c r="C295" s="767"/>
      <c r="D295" s="793"/>
      <c r="E295" s="767"/>
      <c r="F295" s="793"/>
      <c r="G295" s="767"/>
      <c r="H295" s="793"/>
      <c r="I295" s="752"/>
      <c r="J295" s="793"/>
      <c r="K295" s="752"/>
      <c r="L295" s="793"/>
      <c r="M295" s="752"/>
      <c r="N295" s="793"/>
      <c r="O295" s="752"/>
      <c r="P295" s="793"/>
      <c r="Q295" s="752"/>
      <c r="R295" s="793"/>
      <c r="S295" s="752"/>
      <c r="T295" s="793"/>
      <c r="U295" s="752"/>
      <c r="V295" s="793"/>
      <c r="W295" s="752"/>
      <c r="X295" s="793"/>
      <c r="Y295" s="752"/>
      <c r="Z295" s="793"/>
      <c r="AA295" s="752"/>
      <c r="AB295" s="793"/>
      <c r="AC295" s="752"/>
      <c r="AD295" s="793"/>
      <c r="AE295" s="752"/>
      <c r="AF295" s="793"/>
      <c r="AG295" s="752"/>
      <c r="AH295" s="793"/>
      <c r="AI295" s="752"/>
      <c r="AJ295" s="793"/>
      <c r="AK295" s="752"/>
      <c r="AL295" s="793"/>
      <c r="AM295" s="752"/>
      <c r="AN295" s="793"/>
      <c r="AO295" s="752"/>
      <c r="AP295" s="793"/>
      <c r="AQ295" s="752"/>
      <c r="AR295" s="793"/>
      <c r="AS295" s="752"/>
      <c r="AT295" s="793"/>
      <c r="AU295" s="752"/>
      <c r="AV295" s="793"/>
      <c r="AW295" s="752"/>
      <c r="AX295" s="793"/>
      <c r="AY295" s="752"/>
      <c r="AZ295" s="793"/>
      <c r="BA295" s="752"/>
      <c r="BB295" s="793"/>
      <c r="BC295" s="752"/>
      <c r="BD295" s="793"/>
      <c r="BE295" s="752"/>
      <c r="BF295" s="793"/>
      <c r="BG295" s="752"/>
      <c r="BH295" s="793"/>
      <c r="BI295" s="752"/>
      <c r="BJ295" s="793"/>
      <c r="BK295" s="752"/>
      <c r="BL295" s="793"/>
      <c r="BM295" s="752"/>
      <c r="BN295" s="793"/>
      <c r="BO295" s="752"/>
      <c r="BP295" s="793"/>
      <c r="BQ295" s="752"/>
      <c r="BR295" s="793"/>
      <c r="BS295" s="752"/>
      <c r="BT295" s="793"/>
      <c r="BU295" s="752"/>
      <c r="BV295" s="793"/>
      <c r="BW295" s="752"/>
      <c r="BX295" s="793"/>
      <c r="BY295" s="752"/>
      <c r="BZ295" s="793"/>
      <c r="CA295" s="752"/>
      <c r="CB295" s="793"/>
      <c r="CC295" s="752"/>
      <c r="CD295" s="793"/>
      <c r="CE295" s="752"/>
      <c r="CF295" s="793"/>
      <c r="CG295" s="752"/>
      <c r="CH295" s="793"/>
      <c r="CI295" s="752"/>
      <c r="CJ295" s="793"/>
      <c r="CK295" s="752"/>
      <c r="CL295" s="793"/>
      <c r="CM295" s="752"/>
      <c r="CN295" s="793"/>
      <c r="CO295" s="752"/>
      <c r="CP295" s="793"/>
      <c r="CQ295" s="752"/>
      <c r="CR295" s="793"/>
      <c r="CS295" s="752"/>
      <c r="CT295" s="793"/>
      <c r="CU295" s="752"/>
      <c r="CV295" s="793"/>
      <c r="CW295" s="752"/>
      <c r="CX295" s="793"/>
      <c r="CY295" s="752"/>
      <c r="CZ295" s="793"/>
      <c r="DA295" s="752"/>
      <c r="DB295" s="753"/>
      <c r="DC295" s="793"/>
      <c r="DD295" s="767"/>
      <c r="DE295" s="793"/>
      <c r="DF295" s="767"/>
      <c r="DG295" s="793"/>
      <c r="DH295" s="767"/>
      <c r="DI295" s="793"/>
      <c r="DJ295" s="767"/>
      <c r="DK295" s="793"/>
      <c r="DL295" s="752"/>
      <c r="DM295" s="793"/>
      <c r="DN295" s="752"/>
      <c r="DO295" s="793"/>
      <c r="DP295" s="752"/>
      <c r="DQ295" s="793"/>
      <c r="DR295" s="752"/>
      <c r="DS295" s="793"/>
      <c r="DT295" s="752"/>
      <c r="DU295" s="793"/>
      <c r="DV295" s="752"/>
      <c r="DW295" s="793"/>
      <c r="DX295" s="752"/>
      <c r="DY295" s="793"/>
      <c r="DZ295" s="752"/>
      <c r="EA295" s="793"/>
      <c r="EB295" s="752"/>
      <c r="EC295" s="793"/>
      <c r="ED295" s="752"/>
      <c r="EE295" s="793"/>
      <c r="EF295" s="752"/>
      <c r="EG295" s="793"/>
      <c r="EH295" s="752"/>
      <c r="EI295" s="793"/>
      <c r="EJ295" s="752"/>
      <c r="EK295" s="793"/>
      <c r="EL295" s="752"/>
      <c r="EM295" s="793"/>
      <c r="EN295" s="752"/>
      <c r="EO295" s="793"/>
      <c r="EP295" s="752"/>
      <c r="EQ295" s="793"/>
      <c r="ER295" s="752"/>
      <c r="ES295" s="793"/>
      <c r="ET295" s="752"/>
      <c r="EU295" s="767"/>
      <c r="EV295" s="710"/>
    </row>
    <row r="296" spans="1:152" ht="12.75" hidden="1" customHeight="1" outlineLevel="1" x14ac:dyDescent="0.2">
      <c r="A296" s="754" t="str">
        <f>INPUT!B233</f>
        <v>Benefits/Premiums (%)</v>
      </c>
      <c r="B296" s="793">
        <f>INPUT!AS233</f>
        <v>52.073050345508385</v>
      </c>
      <c r="C296" s="767">
        <f>INPUT!AT233</f>
        <v>-3.2071542569080402</v>
      </c>
      <c r="D296" s="793">
        <f>INPUT!AU233</f>
        <v>52.696897374701678</v>
      </c>
      <c r="E296" s="767">
        <f>INPUT!AV233</f>
        <v>-2.0198372006497323</v>
      </c>
      <c r="F296" s="793">
        <f>INPUT!AW233</f>
        <v>52.631578947368418</v>
      </c>
      <c r="G296" s="767">
        <f>INPUT!AX233</f>
        <v>-5.8924485125858128</v>
      </c>
      <c r="H296" s="793">
        <f>INPUT!AY233</f>
        <v>52.255985267035001</v>
      </c>
      <c r="I296" s="752">
        <f>INPUT!AZ233</f>
        <v>-7.6887661141804671</v>
      </c>
      <c r="J296" s="793">
        <f>INPUT!BA233</f>
        <v>49.239033124440461</v>
      </c>
      <c r="K296" s="752">
        <f>INPUT!BB233</f>
        <v>-5.4423875733493947</v>
      </c>
      <c r="L296" s="793">
        <f>INPUT!BC233</f>
        <v>47.153024911032027</v>
      </c>
      <c r="M296" s="752">
        <f>INPUT!BD233</f>
        <v>-10.52030145959051</v>
      </c>
      <c r="N296" s="793">
        <f>INPUT!BE233</f>
        <v>48.634361233480178</v>
      </c>
      <c r="O296" s="752">
        <f>INPUT!BF233</f>
        <v>-7.5947136563876523</v>
      </c>
      <c r="P296" s="793">
        <f>INPUT!BG233</f>
        <v>48.017241379310349</v>
      </c>
      <c r="Q296" s="752">
        <f>INPUT!BH233</f>
        <v>-8.1114993164210993</v>
      </c>
      <c r="R296" s="793">
        <f>INPUT!BI233</f>
        <v>47.212978369384359</v>
      </c>
      <c r="S296" s="752">
        <f>INPUT!BJ233</f>
        <v>-4.114733020723027</v>
      </c>
      <c r="T296" s="793">
        <f>INPUT!BK233</f>
        <v>46.908491343775758</v>
      </c>
      <c r="U296" s="752">
        <f>INPUT!BL233</f>
        <v>-0.51859571621895029</v>
      </c>
      <c r="V296" s="793">
        <f>INPUT!BM233</f>
        <v>47.512234910277328</v>
      </c>
      <c r="W296" s="752">
        <f>INPUT!BN233</f>
        <v>-2.3072706102087559</v>
      </c>
      <c r="X296" s="793">
        <f>INPUT!BO233</f>
        <v>48.253713368125247</v>
      </c>
      <c r="Y296" s="752">
        <f>INPUT!BP233</f>
        <v>0.49247308263067335</v>
      </c>
      <c r="Z296" s="793">
        <f>INPUT!BQ233</f>
        <v>46.290449881610101</v>
      </c>
      <c r="AA296" s="752">
        <f>INPUT!BR233</f>
        <v>-1.9539722331359588</v>
      </c>
      <c r="AB296" s="793">
        <f>INPUT!BS233</f>
        <v>46.411483253588514</v>
      </c>
      <c r="AC296" s="752">
        <f>INPUT!BT233</f>
        <v>-1.0595269128244711</v>
      </c>
      <c r="AD296" s="793">
        <f>INPUT!BU233</f>
        <v>48.165680473372781</v>
      </c>
      <c r="AE296" s="752">
        <f>INPUT!BV233</f>
        <v>1.375320618635234</v>
      </c>
      <c r="AF296" s="793">
        <f>INPUT!BW233</f>
        <v>48.484848484848484</v>
      </c>
      <c r="AG296" s="752">
        <f>INPUT!BX233</f>
        <v>0.47899964705289122</v>
      </c>
      <c r="AH296" s="793">
        <f>INPUT!BY233</f>
        <v>47.076574877404745</v>
      </c>
      <c r="AI296" s="752">
        <f>INPUT!BZ233</f>
        <v>1.6982444495683202</v>
      </c>
      <c r="AJ296" s="793">
        <f>INPUT!CA233</f>
        <v>48.337691445648119</v>
      </c>
      <c r="AK296" s="752">
        <f>INPUT!CB233</f>
        <v>4.150283630314</v>
      </c>
      <c r="AL296" s="793">
        <f>INPUT!CC233</f>
        <v>49.870033419977723</v>
      </c>
      <c r="AM296" s="752">
        <f>INPUT!CD233</f>
        <v>3.5385214739095172</v>
      </c>
      <c r="AN296" s="793">
        <f>INPUT!CE233</f>
        <v>53.435672514619867</v>
      </c>
      <c r="AO296" s="752">
        <f>INPUT!CF233</f>
        <v>10.211074561403466</v>
      </c>
      <c r="AP296" s="793">
        <f>INPUT!CG233</f>
        <v>51.390870185449359</v>
      </c>
      <c r="AQ296" s="752">
        <f>INPUT!CH233</f>
        <v>9.1644205622005472</v>
      </c>
      <c r="AR296" s="793">
        <f>INPUT!CI233</f>
        <v>51.170212765957444</v>
      </c>
      <c r="AS296" s="752">
        <f>INPUT!CJ233</f>
        <v>5.8598605675951099</v>
      </c>
      <c r="AT296" s="793">
        <f>INPUT!CK233</f>
        <v>52.5555163905534</v>
      </c>
      <c r="AU296" s="752">
        <f>INPUT!CL233</f>
        <v>5.3849632462846575</v>
      </c>
      <c r="AV296" s="793">
        <f>INPUT!CM233</f>
        <v>52.524204702627941</v>
      </c>
      <c r="AW296" s="752">
        <f>INPUT!CN233</f>
        <v>-1.7057290927564361</v>
      </c>
      <c r="AX296" s="793">
        <f>INPUT!CO233</f>
        <v>52.109348633142083</v>
      </c>
      <c r="AY296" s="752">
        <f>INPUT!CP233</f>
        <v>1.3980663201460075</v>
      </c>
      <c r="AZ296" s="793">
        <f>INPUT!CQ233</f>
        <v>52.47558100370496</v>
      </c>
      <c r="BA296" s="752">
        <f>INPUT!CR233</f>
        <v>2.5510314833319336</v>
      </c>
      <c r="BB296" s="793">
        <f>INPUT!CS233</f>
        <v>52.93921175684703</v>
      </c>
      <c r="BC296" s="752">
        <f>INPUT!CT233</f>
        <v>0.73007629387995543</v>
      </c>
      <c r="BD296" s="793">
        <f>INPUT!CU233</f>
        <v>52.533951639615772</v>
      </c>
      <c r="BE296" s="752">
        <f>INPUT!CV233</f>
        <v>1.8557038689137606E-2</v>
      </c>
      <c r="BF296" s="793">
        <f>INPUT!CW233</f>
        <v>52.523607945294692</v>
      </c>
      <c r="BG296" s="752">
        <f>INPUT!CX233</f>
        <v>0.79498079139130873</v>
      </c>
      <c r="BH296" s="793">
        <f>INPUT!CY233</f>
        <v>52.062357908411826</v>
      </c>
      <c r="BI296" s="752">
        <f>INPUT!CZ233</f>
        <v>-0.78745787543345047</v>
      </c>
      <c r="BJ296" s="793">
        <f>INPUT!DA233</f>
        <v>53.05726302167583</v>
      </c>
      <c r="BK296" s="752">
        <f>INPUT!DB233</f>
        <v>0.22299399804253106</v>
      </c>
      <c r="BL296" s="793">
        <f>INPUT!DC233</f>
        <v>58.876987990912042</v>
      </c>
      <c r="BM296" s="752">
        <f>INPUT!DD233</f>
        <v>12.074165664920189</v>
      </c>
      <c r="BN296" s="793">
        <f>INPUT!DE233</f>
        <v>50.50568900126423</v>
      </c>
      <c r="BO296" s="752">
        <f>INPUT!DF233</f>
        <v>-3.8419275121621466</v>
      </c>
      <c r="BP296" s="793">
        <f>INPUT!DG233</f>
        <v>51.957070707070706</v>
      </c>
      <c r="BQ296" s="752">
        <f>INPUT!DH233</f>
        <v>-0.2022328714468502</v>
      </c>
      <c r="BR296" s="793">
        <f>INPUT!DI233</f>
        <v>52.692548528490924</v>
      </c>
      <c r="BS296" s="752">
        <f>INPUT!DJ233</f>
        <v>-0.68739786489910859</v>
      </c>
      <c r="BT296" s="793">
        <f>INPUT!DK233</f>
        <v>52.289006540018676</v>
      </c>
      <c r="BU296" s="752">
        <f>INPUT!DL233</f>
        <v>-11.189399586660675</v>
      </c>
      <c r="BV296" s="793">
        <f>INPUT!DM233</f>
        <v>51.294400963275145</v>
      </c>
      <c r="BW296" s="752">
        <f>INPUT!DN233</f>
        <v>1.5616299423044655</v>
      </c>
      <c r="BX296" s="793">
        <f>INPUT!DO233</f>
        <v>50.401905328966954</v>
      </c>
      <c r="BY296" s="752">
        <f>INPUT!DP233</f>
        <v>-2.9931737046371087</v>
      </c>
      <c r="BZ296" s="793">
        <f>INPUT!DQ233</f>
        <v>51.185830081056736</v>
      </c>
      <c r="CA296" s="752">
        <f>INPUT!DR233</f>
        <v>-2.8594525972102214</v>
      </c>
      <c r="CB296" s="793">
        <f>INPUT!DS233</f>
        <v>51.215174866627159</v>
      </c>
      <c r="CC296" s="752">
        <f>INPUT!DT233</f>
        <v>-2.0536471133175471</v>
      </c>
      <c r="CD296" s="793">
        <f>INPUT!DU233</f>
        <v>50.939635535307524</v>
      </c>
      <c r="CE296" s="752">
        <f>INPUT!DV233</f>
        <v>-0.69162602799790474</v>
      </c>
      <c r="CF296" s="793">
        <f>INPUT!DW233</f>
        <v>51.138303927148556</v>
      </c>
      <c r="CG296" s="752">
        <f>INPUT!DX233</f>
        <v>1.4610530958605983</v>
      </c>
      <c r="CH296" s="793">
        <f>INPUT!DY233</f>
        <v>51.567353854843255</v>
      </c>
      <c r="CI296" s="752">
        <f>INPUT!DZ233</f>
        <v>0.74536990644158418</v>
      </c>
      <c r="CJ296" s="793">
        <f>INPUT!EA233</f>
        <v>51.387347391786911</v>
      </c>
      <c r="CK296" s="752">
        <f>INPUT!EB233</f>
        <v>0.33617482632466444</v>
      </c>
      <c r="CL296" s="793">
        <f>INPUT!EC233</f>
        <v>50.814854394870423</v>
      </c>
      <c r="CM296" s="752">
        <f>INPUT!ED233</f>
        <v>-0.24495884025438341</v>
      </c>
      <c r="CN296" s="793">
        <f>INPUT!EE233</f>
        <v>51.262290725484981</v>
      </c>
      <c r="CO296" s="752">
        <f>INPUT!EF233</f>
        <v>0.24245387276249364</v>
      </c>
      <c r="CP296" s="793">
        <f>INPUT!EG233</f>
        <v>51.782413519936618</v>
      </c>
      <c r="CQ296" s="752">
        <f>INPUT!EH233</f>
        <v>0.41704615229769537</v>
      </c>
      <c r="CR296" s="793">
        <f>INPUT!EI233</f>
        <v>54.802407746663171</v>
      </c>
      <c r="CS296" s="752">
        <f>INPUT!EJ233</f>
        <v>6.6457222024697948</v>
      </c>
      <c r="CT296" s="793">
        <f>INPUT!EK233</f>
        <v>52</v>
      </c>
      <c r="CU296" s="752">
        <f>INPUT!EL233</f>
        <v>2.332281808622505</v>
      </c>
      <c r="CV296" s="793">
        <f>INPUT!EM233</f>
        <v>52</v>
      </c>
      <c r="CW296" s="752">
        <f>INPUT!EN233</f>
        <v>1.4390876101607164</v>
      </c>
      <c r="CX296" s="793">
        <f>INPUT!EO233</f>
        <v>52</v>
      </c>
      <c r="CY296" s="752">
        <f>INPUT!EP233</f>
        <v>0.42019377868436347</v>
      </c>
      <c r="CZ296" s="793">
        <f>INPUT!EQ233</f>
        <v>52</v>
      </c>
      <c r="DA296" s="752">
        <f>INPUT!ER233</f>
        <v>-5.1136580706781176</v>
      </c>
      <c r="DB296" s="753"/>
      <c r="DC296" s="793">
        <f>INPUT!FB233</f>
        <v>56.610557280601405</v>
      </c>
      <c r="DD296" s="767" t="str">
        <f>INPUT!FC233</f>
        <v>NA</v>
      </c>
      <c r="DE296" s="793">
        <f>INPUT!FD233</f>
        <v>56.101774776189728</v>
      </c>
      <c r="DF296" s="767">
        <f>INPUT!FE233</f>
        <v>-0.89874138120527025</v>
      </c>
      <c r="DG296" s="793">
        <f>INPUT!FF233</f>
        <v>57.015140591204037</v>
      </c>
      <c r="DH296" s="767">
        <f>INPUT!FG233</f>
        <v>1.6280515521265748</v>
      </c>
      <c r="DI296" s="793">
        <f>INPUT!FH233</f>
        <v>55.101214574898783</v>
      </c>
      <c r="DJ296" s="767">
        <f>INPUT!FI233</f>
        <v>-3.3568732734134854</v>
      </c>
      <c r="DK296" s="793">
        <f>INPUT!FJ233</f>
        <v>55.044472681067347</v>
      </c>
      <c r="DL296" s="752">
        <f>INPUT!FK233</f>
        <v>-0.1029775736691052</v>
      </c>
      <c r="DM296" s="793">
        <f>INPUT!FL233</f>
        <v>52.416577603610016</v>
      </c>
      <c r="DN296" s="752">
        <f>INPUT!FM233</f>
        <v>-4.7741307155099726</v>
      </c>
      <c r="DO296" s="793">
        <f>INPUT!FN233</f>
        <v>48.258377425044088</v>
      </c>
      <c r="DP296" s="752">
        <f>INPUT!FO233</f>
        <v>-7.9329867928644493</v>
      </c>
      <c r="DQ296" s="793">
        <f>INPUT!FP233</f>
        <v>47.47774480712166</v>
      </c>
      <c r="DR296" s="752">
        <f>INPUT!FQ233</f>
        <v>-1.6176105778419991</v>
      </c>
      <c r="DS296" s="793">
        <f>INPUT!FR233</f>
        <v>47.345089153777948</v>
      </c>
      <c r="DT296" s="752">
        <f>INPUT!FS233</f>
        <v>-0.27940596985519539</v>
      </c>
      <c r="DU296" s="793">
        <f>INPUT!FT233</f>
        <v>49.707167425862245</v>
      </c>
      <c r="DV296" s="752">
        <f>INPUT!FU233</f>
        <v>4.9890671119283692</v>
      </c>
      <c r="DW296" s="793">
        <f>INPUT!FV233</f>
        <v>51.915793182418746</v>
      </c>
      <c r="DX296" s="752">
        <f>INPUT!FW233</f>
        <v>4.4432742216716337</v>
      </c>
      <c r="DY296" s="793">
        <f>INPUT!FX233</f>
        <v>52.51569694432817</v>
      </c>
      <c r="DZ296" s="752">
        <f>INPUT!FY233</f>
        <v>1.1555323055578048</v>
      </c>
      <c r="EA296" s="793">
        <f>INPUT!FZ233</f>
        <v>54.13082291835741</v>
      </c>
      <c r="EB296" s="752">
        <f>INPUT!GA233</f>
        <v>3.0755108815206933</v>
      </c>
      <c r="EC296" s="793">
        <f>INPUT!GB233</f>
        <v>51.864646306037528</v>
      </c>
      <c r="ED296" s="752">
        <f>INPUT!GC233</f>
        <v>-4.1864809920548085</v>
      </c>
      <c r="EE296" s="793">
        <f>INPUT!GD233</f>
        <v>51.023457343493206</v>
      </c>
      <c r="EF296" s="752">
        <f>INPUT!GE233</f>
        <v>-1.6218927968402963</v>
      </c>
      <c r="EG296" s="793">
        <f>INPUT!GF233</f>
        <v>51.259614706089906</v>
      </c>
      <c r="EH296" s="752">
        <f>INPUT!GG233</f>
        <v>0.46284076950504627</v>
      </c>
      <c r="EI296" s="793">
        <f>INPUT!GH233</f>
        <v>52.176789731374882</v>
      </c>
      <c r="EJ296" s="752">
        <f>INPUT!GI233</f>
        <v>1.7892741304120774</v>
      </c>
      <c r="EK296" s="793">
        <f>INPUT!GJ233</f>
        <v>52</v>
      </c>
      <c r="EL296" s="752">
        <f>INPUT!GK233</f>
        <v>-0.33882830332233604</v>
      </c>
      <c r="EM296" s="793">
        <f>INPUT!GL233</f>
        <v>52.2</v>
      </c>
      <c r="EN296" s="752">
        <f>INPUT!GM233</f>
        <v>0.38461538461538325</v>
      </c>
      <c r="EO296" s="793">
        <f>INPUT!GN233</f>
        <v>52.2</v>
      </c>
      <c r="EP296" s="752">
        <f>INPUT!GO233</f>
        <v>0</v>
      </c>
      <c r="EQ296" s="793">
        <f>INPUT!GP233</f>
        <v>52.1</v>
      </c>
      <c r="ER296" s="752">
        <f>INPUT!GQ233</f>
        <v>-0.19157088122605526</v>
      </c>
      <c r="ES296" s="793">
        <f>INPUT!GR233</f>
        <v>52.1</v>
      </c>
      <c r="ET296" s="752">
        <f>INPUT!GS233</f>
        <v>0</v>
      </c>
      <c r="EU296" s="767">
        <f>INPUT!GT233</f>
        <v>-2.9451783823952749E-2</v>
      </c>
      <c r="EV296" s="710"/>
    </row>
    <row r="297" spans="1:152" ht="12.75" hidden="1" customHeight="1" outlineLevel="1" x14ac:dyDescent="0.2">
      <c r="A297" s="754" t="str">
        <f>INPUT!B235</f>
        <v>Commissions/Premiums (%)</v>
      </c>
      <c r="B297" s="793">
        <f>INPUT!AS235</f>
        <v>21.569595261599211</v>
      </c>
      <c r="C297" s="767">
        <f>INPUT!AT235</f>
        <v>-2.0254299737218928</v>
      </c>
      <c r="D297" s="793">
        <f>INPUT!AU235</f>
        <v>23.436754176610979</v>
      </c>
      <c r="E297" s="767">
        <f>INPUT!AV235</f>
        <v>8.3742108024848161</v>
      </c>
      <c r="F297" s="793">
        <f>INPUT!AW235</f>
        <v>21.146616541353382</v>
      </c>
      <c r="G297" s="767">
        <f>INPUT!AX235</f>
        <v>-2.4686424003935059</v>
      </c>
      <c r="H297" s="793">
        <f>INPUT!AY235</f>
        <v>21.685082872928181</v>
      </c>
      <c r="I297" s="752">
        <f>INPUT!AZ235</f>
        <v>1.1130026981883923</v>
      </c>
      <c r="J297" s="793">
        <f>INPUT!BA235</f>
        <v>22.112802148612353</v>
      </c>
      <c r="K297" s="752">
        <f>INPUT!BB235</f>
        <v>2.5183916546650531</v>
      </c>
      <c r="L297" s="793">
        <f>INPUT!BC235</f>
        <v>22.108540925266905</v>
      </c>
      <c r="M297" s="752">
        <f>INPUT!BD235</f>
        <v>-5.6672235469772625</v>
      </c>
      <c r="N297" s="793">
        <f>INPUT!BE235</f>
        <v>22.334801762114541</v>
      </c>
      <c r="O297" s="752">
        <f>INPUT!BF235</f>
        <v>5.6187958883994416</v>
      </c>
      <c r="P297" s="793">
        <f>INPUT!BG235</f>
        <v>22.327586206896548</v>
      </c>
      <c r="Q297" s="752">
        <f>INPUT!BH235</f>
        <v>2.9628816165165439</v>
      </c>
      <c r="R297" s="793">
        <f>INPUT!BI235</f>
        <v>22.088186356073212</v>
      </c>
      <c r="S297" s="752">
        <f>INPUT!BJ235</f>
        <v>-0.11131919136121438</v>
      </c>
      <c r="T297" s="793">
        <f>INPUT!BK235</f>
        <v>22.011541632316568</v>
      </c>
      <c r="U297" s="752">
        <f>INPUT!BL235</f>
        <v>-0.43874126871701336</v>
      </c>
      <c r="V297" s="793">
        <f>INPUT!BM235</f>
        <v>21.45187601957586</v>
      </c>
      <c r="W297" s="752">
        <f>INPUT!BN235</f>
        <v>-3.953138926159383</v>
      </c>
      <c r="X297" s="793">
        <f>INPUT!BO235</f>
        <v>21.156162183861905</v>
      </c>
      <c r="Y297" s="752">
        <f>INPUT!BP235</f>
        <v>-5.2465323039389444</v>
      </c>
      <c r="Z297" s="793">
        <f>INPUT!BQ235</f>
        <v>21.428571428571427</v>
      </c>
      <c r="AA297" s="752">
        <f>INPUT!BR235</f>
        <v>-2.9862792574657071</v>
      </c>
      <c r="AB297" s="793">
        <f>INPUT!BS235</f>
        <v>21.172248803827749</v>
      </c>
      <c r="AC297" s="752">
        <f>INPUT!BT235</f>
        <v>-3.8129670447825337</v>
      </c>
      <c r="AD297" s="793">
        <f>INPUT!BU235</f>
        <v>21.065088757396449</v>
      </c>
      <c r="AE297" s="752">
        <f>INPUT!BV235</f>
        <v>-1.8030463248363438</v>
      </c>
      <c r="AF297" s="793">
        <f>INPUT!BW235</f>
        <v>21.173271173271175</v>
      </c>
      <c r="AG297" s="752">
        <f>INPUT!BX235</f>
        <v>8.0870004968680576E-2</v>
      </c>
      <c r="AH297" s="793">
        <f>INPUT!BY235</f>
        <v>21.765371557902675</v>
      </c>
      <c r="AI297" s="752">
        <f>INPUT!BZ235</f>
        <v>1.5717339368791494</v>
      </c>
      <c r="AJ297" s="793">
        <f>INPUT!CA235</f>
        <v>20.358610384759061</v>
      </c>
      <c r="AK297" s="752">
        <f>INPUT!CB235</f>
        <v>-3.8429475612509756</v>
      </c>
      <c r="AL297" s="793">
        <f>INPUT!CC235</f>
        <v>22.094318603787595</v>
      </c>
      <c r="AM297" s="752">
        <f>INPUT!CD235</f>
        <v>4.8859506752838122</v>
      </c>
      <c r="AN297" s="793">
        <f>INPUT!CE235</f>
        <v>22.258771929824558</v>
      </c>
      <c r="AO297" s="752">
        <f>INPUT!CF235</f>
        <v>5.1267503621438726</v>
      </c>
      <c r="AP297" s="793">
        <f>INPUT!CG235</f>
        <v>21.825962910128389</v>
      </c>
      <c r="AQ297" s="752">
        <f>INPUT!CH235</f>
        <v>0.27838418500929496</v>
      </c>
      <c r="AR297" s="793">
        <f>INPUT!CI235</f>
        <v>21.453900709219859</v>
      </c>
      <c r="AS297" s="752">
        <f>INPUT!CJ235</f>
        <v>5.3799856854707562</v>
      </c>
      <c r="AT297" s="793">
        <f>INPUT!CK235</f>
        <v>21.783574198096581</v>
      </c>
      <c r="AU297" s="752">
        <f>INPUT!CL235</f>
        <v>-1.4064448479426894</v>
      </c>
      <c r="AV297" s="793">
        <f>INPUT!CM235</f>
        <v>21.57676348547718</v>
      </c>
      <c r="AW297" s="752">
        <f>INPUT!CN235</f>
        <v>-3.0639985282995497</v>
      </c>
      <c r="AX297" s="793">
        <f>INPUT!CO235</f>
        <v>21.565980425244682</v>
      </c>
      <c r="AY297" s="752">
        <f>INPUT!CP235</f>
        <v>-1.1911615810684895</v>
      </c>
      <c r="AZ297" s="793">
        <f>INPUT!CQ235</f>
        <v>21.320309868642642</v>
      </c>
      <c r="BA297" s="752">
        <f>INPUT!CR235</f>
        <v>-0.62268788500454697</v>
      </c>
      <c r="BB297" s="793">
        <f>INPUT!CS235</f>
        <v>21.376085504342019</v>
      </c>
      <c r="BC297" s="752">
        <f>INPUT!CT235</f>
        <v>-1.8706236637244245</v>
      </c>
      <c r="BD297" s="793">
        <f>INPUT!CU235</f>
        <v>20.967207684663798</v>
      </c>
      <c r="BE297" s="752">
        <f>INPUT!CV235</f>
        <v>-2.8250566922312537</v>
      </c>
      <c r="BF297" s="793">
        <f>INPUT!CW235</f>
        <v>20.840117225659395</v>
      </c>
      <c r="BG297" s="752">
        <f>INPUT!CX235</f>
        <v>-3.3657788112225417</v>
      </c>
      <c r="BH297" s="793">
        <f>INPUT!CY235</f>
        <v>20.298798311139983</v>
      </c>
      <c r="BI297" s="752">
        <f>INPUT!CZ235</f>
        <v>-4.7912603700243199</v>
      </c>
      <c r="BJ297" s="793">
        <f>INPUT!DA235</f>
        <v>20.025881591717891</v>
      </c>
      <c r="BK297" s="752">
        <f>INPUT!DB235</f>
        <v>-6.3164226787447486</v>
      </c>
      <c r="BL297" s="793">
        <f>INPUT!DC235</f>
        <v>20.804933463161309</v>
      </c>
      <c r="BM297" s="752">
        <f>INPUT!DD235</f>
        <v>-0.77394293004109382</v>
      </c>
      <c r="BN297" s="793">
        <f>INPUT!DE235</f>
        <v>20.069532237673833</v>
      </c>
      <c r="BO297" s="752">
        <f>INPUT!DF235</f>
        <v>-3.6976039032869723</v>
      </c>
      <c r="BP297" s="793">
        <f>INPUT!DG235</f>
        <v>20.044191919191917</v>
      </c>
      <c r="BQ297" s="752">
        <f>INPUT!DH235</f>
        <v>-1.254292929292955</v>
      </c>
      <c r="BR297" s="793">
        <f>INPUT!DI235</f>
        <v>20.225422667501565</v>
      </c>
      <c r="BS297" s="752">
        <f>INPUT!DJ235</f>
        <v>0.99641593739472345</v>
      </c>
      <c r="BT297" s="793">
        <f>INPUT!DK235</f>
        <v>22.018062908751169</v>
      </c>
      <c r="BU297" s="752">
        <f>INPUT!DL235</f>
        <v>5.8309700809085152</v>
      </c>
      <c r="BV297" s="793">
        <f>INPUT!DM235</f>
        <v>22.095123419626734</v>
      </c>
      <c r="BW297" s="752">
        <f>INPUT!DN235</f>
        <v>10.092866928659806</v>
      </c>
      <c r="BX297" s="793">
        <f>INPUT!DO235</f>
        <v>21.345638582911583</v>
      </c>
      <c r="BY297" s="752">
        <f>INPUT!DP235</f>
        <v>6.4928866624628379</v>
      </c>
      <c r="BZ297" s="793">
        <f>INPUT!DQ235</f>
        <v>21.82527769438607</v>
      </c>
      <c r="CA297" s="752">
        <f>INPUT!DR235</f>
        <v>7.9101191267323623</v>
      </c>
      <c r="CB297" s="793">
        <f>INPUT!DS235</f>
        <v>22.43627741553053</v>
      </c>
      <c r="CC297" s="752">
        <f>INPUT!DT235</f>
        <v>1.8994155322044293</v>
      </c>
      <c r="CD297" s="793">
        <f>INPUT!DU235</f>
        <v>22.15261958997722</v>
      </c>
      <c r="CE297" s="752">
        <f>INPUT!DV235</f>
        <v>0.26022108706309499</v>
      </c>
      <c r="CF297" s="793">
        <f>INPUT!DW235</f>
        <v>21.855435401252134</v>
      </c>
      <c r="CG297" s="752">
        <f>INPUT!DX235</f>
        <v>2.3882949969399103</v>
      </c>
      <c r="CH297" s="793">
        <f>INPUT!DY235</f>
        <v>22.225360067777462</v>
      </c>
      <c r="CI297" s="752">
        <f>INPUT!DZ235</f>
        <v>1.8331146984411628</v>
      </c>
      <c r="CJ297" s="793">
        <f>INPUT!EA235</f>
        <v>22.280799112097672</v>
      </c>
      <c r="CK297" s="752">
        <f>INPUT!EB235</f>
        <v>-0.69297727316045554</v>
      </c>
      <c r="CL297" s="793">
        <f>INPUT!EC235</f>
        <v>22.762489981298422</v>
      </c>
      <c r="CM297" s="752">
        <f>INPUT!ED235</f>
        <v>2.7530396070951868</v>
      </c>
      <c r="CN297" s="793">
        <f>INPUT!EE235</f>
        <v>22.641509433962266</v>
      </c>
      <c r="CO297" s="752">
        <f>INPUT!EF235</f>
        <v>3.5966981132075526</v>
      </c>
      <c r="CP297" s="793">
        <f>INPUT!EG235</f>
        <v>22.814893055188808</v>
      </c>
      <c r="CQ297" s="752">
        <f>INPUT!EH235</f>
        <v>2.652523898886372</v>
      </c>
      <c r="CR297" s="793">
        <f>INPUT!EI235</f>
        <v>22.952106778330279</v>
      </c>
      <c r="CS297" s="752">
        <f>INPUT!EJ235</f>
        <v>3.0129425019954192</v>
      </c>
      <c r="CT297" s="793">
        <f>INPUT!EK235</f>
        <v>22.952106778330279</v>
      </c>
      <c r="CU297" s="752">
        <f>INPUT!EL235</f>
        <v>0.83302308836883387</v>
      </c>
      <c r="CV297" s="793">
        <f>INPUT!EM235</f>
        <v>22.952106778330279</v>
      </c>
      <c r="CW297" s="752">
        <f>INPUT!EN235</f>
        <v>1.3718049376253871</v>
      </c>
      <c r="CX297" s="793">
        <f>INPUT!EO235</f>
        <v>22.952106778330279</v>
      </c>
      <c r="CY297" s="752">
        <f>INPUT!EP235</f>
        <v>0.60142172400086125</v>
      </c>
      <c r="CZ297" s="793">
        <f>INPUT!EQ235</f>
        <v>22.952106778330279</v>
      </c>
      <c r="DA297" s="752">
        <f>INPUT!ER235</f>
        <v>0</v>
      </c>
      <c r="DB297" s="753"/>
      <c r="DC297" s="793">
        <f>INPUT!FB235</f>
        <v>22.17682627880373</v>
      </c>
      <c r="DD297" s="767" t="str">
        <f>INPUT!FC235</f>
        <v>NA</v>
      </c>
      <c r="DE297" s="793">
        <f>INPUT!FD235</f>
        <v>22.60091094707083</v>
      </c>
      <c r="DF297" s="767">
        <f>INPUT!FE235</f>
        <v>1.912287461404838</v>
      </c>
      <c r="DG297" s="793">
        <f>INPUT!FF235</f>
        <v>23.777937995674119</v>
      </c>
      <c r="DH297" s="767">
        <f>INPUT!FG235</f>
        <v>5.2078743700188612</v>
      </c>
      <c r="DI297" s="793">
        <f>INPUT!FH235</f>
        <v>23.468286099865043</v>
      </c>
      <c r="DJ297" s="767">
        <f>INPUT!FI235</f>
        <v>-1.3022655533268312</v>
      </c>
      <c r="DK297" s="793">
        <f>INPUT!FJ235</f>
        <v>21.689961880559082</v>
      </c>
      <c r="DL297" s="752">
        <f>INPUT!FK235</f>
        <v>-7.5775632346504747</v>
      </c>
      <c r="DM297" s="793">
        <f>INPUT!FL235</f>
        <v>21.957012231326441</v>
      </c>
      <c r="DN297" s="752">
        <f>INPUT!FM235</f>
        <v>1.2312163213468841</v>
      </c>
      <c r="DO297" s="793">
        <f>INPUT!FN235</f>
        <v>22.222222222222225</v>
      </c>
      <c r="DP297" s="752">
        <f>INPUT!FO235</f>
        <v>1.2078601045610649</v>
      </c>
      <c r="DQ297" s="793">
        <f>INPUT!FP235</f>
        <v>21.671953340837</v>
      </c>
      <c r="DR297" s="752">
        <f>INPUT!FQ235</f>
        <v>-2.4762099662335113</v>
      </c>
      <c r="DS297" s="793">
        <f>INPUT!FR235</f>
        <v>21.209733031228449</v>
      </c>
      <c r="DT297" s="752">
        <f>INPUT!FS235</f>
        <v>-2.1328041009463505</v>
      </c>
      <c r="DU297" s="793">
        <f>INPUT!FT235</f>
        <v>21.623129125220789</v>
      </c>
      <c r="DV297" s="752">
        <f>INPUT!FU235</f>
        <v>1.949086739487349</v>
      </c>
      <c r="DW297" s="793">
        <f>INPUT!FV235</f>
        <v>21.659473266977894</v>
      </c>
      <c r="DX297" s="752">
        <f>INPUT!FW235</f>
        <v>0.16807993675029831</v>
      </c>
      <c r="DY297" s="793">
        <f>INPUT!FX235</f>
        <v>21.30598576810381</v>
      </c>
      <c r="DZ297" s="752">
        <f>INPUT!FY235</f>
        <v>-1.6320226005357763</v>
      </c>
      <c r="EA297" s="793">
        <f>INPUT!FZ235</f>
        <v>20.491803278688526</v>
      </c>
      <c r="EB297" s="752">
        <f>INPUT!GA235</f>
        <v>-3.8213791104383388</v>
      </c>
      <c r="EC297" s="793">
        <f>INPUT!GB235</f>
        <v>20.593546360995525</v>
      </c>
      <c r="ED297" s="752">
        <f>INPUT!GC235</f>
        <v>0.49650624165815671</v>
      </c>
      <c r="EE297" s="793">
        <f>INPUT!GD235</f>
        <v>21.925892723741224</v>
      </c>
      <c r="EF297" s="752">
        <f>INPUT!GE235</f>
        <v>6.4697276486054056</v>
      </c>
      <c r="EG297" s="793">
        <f>INPUT!GF235</f>
        <v>22.129701503069651</v>
      </c>
      <c r="EH297" s="752">
        <f>INPUT!GG235</f>
        <v>0.92953469168324254</v>
      </c>
      <c r="EI297" s="793">
        <f>INPUT!GH235</f>
        <v>22.793436548895063</v>
      </c>
      <c r="EJ297" s="752">
        <f>INPUT!GI235</f>
        <v>2.9992950683647601</v>
      </c>
      <c r="EK297" s="793">
        <f>INPUT!GJ235</f>
        <v>22.952106778330279</v>
      </c>
      <c r="EL297" s="752">
        <f>INPUT!GK235</f>
        <v>0.69612245215786572</v>
      </c>
      <c r="EM297" s="793">
        <f>INPUT!GL235</f>
        <v>22.952106778330279</v>
      </c>
      <c r="EN297" s="752">
        <f>INPUT!GM235</f>
        <v>0</v>
      </c>
      <c r="EO297" s="793">
        <f>INPUT!GN235</f>
        <v>22.952106778330279</v>
      </c>
      <c r="EP297" s="752">
        <f>INPUT!GO235</f>
        <v>0</v>
      </c>
      <c r="EQ297" s="793">
        <f>INPUT!GP235</f>
        <v>22.952106778330279</v>
      </c>
      <c r="ER297" s="752">
        <f>INPUT!GQ235</f>
        <v>0</v>
      </c>
      <c r="ES297" s="793">
        <f>INPUT!GR235</f>
        <v>22.952106778330279</v>
      </c>
      <c r="ET297" s="752">
        <f>INPUT!GS235</f>
        <v>0</v>
      </c>
      <c r="EU297" s="767">
        <f>INPUT!GT235</f>
        <v>0.13883843259958617</v>
      </c>
      <c r="EV297" s="710"/>
    </row>
    <row r="298" spans="1:152" ht="12.75" hidden="1" customHeight="1" outlineLevel="1" x14ac:dyDescent="0.2">
      <c r="A298" s="754" t="str">
        <f>INPUT!B236</f>
        <v>Other Expenses/Revenues (%)</v>
      </c>
      <c r="B298" s="793">
        <f>INPUT!AS236</f>
        <v>18.048780487804876</v>
      </c>
      <c r="C298" s="767">
        <f>INPUT!AT236</f>
        <v>-1.1142874521014701</v>
      </c>
      <c r="D298" s="793">
        <f>INPUT!AU236</f>
        <v>15.045006429489927</v>
      </c>
      <c r="E298" s="767">
        <f>INPUT!AV236</f>
        <v>-14.511707652588246</v>
      </c>
      <c r="F298" s="793">
        <f>INPUT!AW236</f>
        <v>16.060862214708365</v>
      </c>
      <c r="G298" s="767">
        <f>INPUT!AX236</f>
        <v>-3.5914189760343773</v>
      </c>
      <c r="H298" s="793">
        <f>INPUT!AY236</f>
        <v>16.818558409279209</v>
      </c>
      <c r="I298" s="752">
        <f>INPUT!AZ236</f>
        <v>-0.88906963513532</v>
      </c>
      <c r="J298" s="793">
        <f>INPUT!BA236</f>
        <v>17.372027408303104</v>
      </c>
      <c r="K298" s="752">
        <f>INPUT!BB236</f>
        <v>-3.7495778729152218</v>
      </c>
      <c r="L298" s="793">
        <f>INPUT!BC236</f>
        <v>17.28</v>
      </c>
      <c r="M298" s="752">
        <f>INPUT!BD236</f>
        <v>14.855384615384626</v>
      </c>
      <c r="N298" s="793">
        <f>INPUT!BE236</f>
        <v>17.089611419508326</v>
      </c>
      <c r="O298" s="752">
        <f>INPUT!BF236</f>
        <v>6.4053174172544969</v>
      </c>
      <c r="P298" s="793">
        <f>INPUT!BG236</f>
        <v>19.565217391304344</v>
      </c>
      <c r="Q298" s="752">
        <f>INPUT!BH236</f>
        <v>16.331120154208566</v>
      </c>
      <c r="R298" s="793">
        <f>INPUT!BI236</f>
        <v>17.792792792792795</v>
      </c>
      <c r="S298" s="752">
        <f>INPUT!BJ236</f>
        <v>2.4220856587445994</v>
      </c>
      <c r="T298" s="793">
        <f>INPUT!BK236</f>
        <v>18.468970642883686</v>
      </c>
      <c r="U298" s="752">
        <f>INPUT!BL236</f>
        <v>6.8806171463176247</v>
      </c>
      <c r="V298" s="793">
        <f>INPUT!BM236</f>
        <v>18.138337012509194</v>
      </c>
      <c r="W298" s="752">
        <f>INPUT!BN236</f>
        <v>6.1366263237776941</v>
      </c>
      <c r="X298" s="793">
        <f>INPUT!BO236</f>
        <v>18.290474465773269</v>
      </c>
      <c r="Y298" s="752">
        <f>INPUT!BP236</f>
        <v>-6.5153527304921628</v>
      </c>
      <c r="Z298" s="793">
        <f>INPUT!BQ236</f>
        <v>17.787264318747773</v>
      </c>
      <c r="AA298" s="752">
        <f>INPUT!BR236</f>
        <v>-3.1071423746709126E-2</v>
      </c>
      <c r="AB298" s="793">
        <f>INPUT!BS236</f>
        <v>18.396564065855404</v>
      </c>
      <c r="AC298" s="752">
        <f>INPUT!BT236</f>
        <v>-0.39204446435232576</v>
      </c>
      <c r="AD298" s="793">
        <f>INPUT!BU236</f>
        <v>17.632508833922262</v>
      </c>
      <c r="AE298" s="752">
        <f>INPUT!BV236</f>
        <v>-2.7887241164285537</v>
      </c>
      <c r="AF298" s="793">
        <f>INPUT!BW236</f>
        <v>18.261173184357542</v>
      </c>
      <c r="AG298" s="752">
        <f>INPUT!BX236</f>
        <v>-0.1601996791857796</v>
      </c>
      <c r="AH298" s="793">
        <f>INPUT!BY236</f>
        <v>17.716802168021676</v>
      </c>
      <c r="AI298" s="752">
        <f>INPUT!BZ236</f>
        <v>-0.39613821138212435</v>
      </c>
      <c r="AJ298" s="793">
        <f>INPUT!CA236</f>
        <v>17.468865701783912</v>
      </c>
      <c r="AK298" s="752">
        <f>INPUT!CB236</f>
        <v>-5.0427806015870598</v>
      </c>
      <c r="AL298" s="793">
        <f>INPUT!CC236</f>
        <v>17.285998672859986</v>
      </c>
      <c r="AM298" s="752">
        <f>INPUT!CD236</f>
        <v>-1.9651778673471787</v>
      </c>
      <c r="AN298" s="793">
        <f>INPUT!CE236</f>
        <v>17.136304062909563</v>
      </c>
      <c r="AO298" s="752">
        <f>INPUT!CF236</f>
        <v>-6.1598951507208621</v>
      </c>
      <c r="AP298" s="793">
        <f>INPUT!CG236</f>
        <v>17.062219371391922</v>
      </c>
      <c r="AQ298" s="752">
        <f>INPUT!CH236</f>
        <v>-3.6947006035392582</v>
      </c>
      <c r="AR298" s="793">
        <f>INPUT!CI236</f>
        <v>17.10691823899371</v>
      </c>
      <c r="AS298" s="752">
        <f>INPUT!CJ236</f>
        <v>-2.0719574411361963</v>
      </c>
      <c r="AT298" s="793">
        <f>INPUT!CK236</f>
        <v>16.945937401201391</v>
      </c>
      <c r="AU298" s="752">
        <f>INPUT!CL236</f>
        <v>-1.9672642471765922</v>
      </c>
      <c r="AV298" s="793">
        <f>INPUT!CM236</f>
        <v>16.609748525302702</v>
      </c>
      <c r="AW298" s="752">
        <f>INPUT!CN236</f>
        <v>-3.0727485674495902</v>
      </c>
      <c r="AX298" s="793">
        <f>INPUT!CO236</f>
        <v>16.265060240963855</v>
      </c>
      <c r="AY298" s="752">
        <f>INPUT!CP236</f>
        <v>-4.6720717456291583</v>
      </c>
      <c r="AZ298" s="793">
        <f>INPUT!CQ236</f>
        <v>16.253776435045317</v>
      </c>
      <c r="BA298" s="752">
        <f>INPUT!CR236</f>
        <v>-4.98711569219833</v>
      </c>
      <c r="BB298" s="793">
        <f>INPUT!CS236</f>
        <v>15.841584158415841</v>
      </c>
      <c r="BC298" s="752">
        <f>INPUT!CT236</f>
        <v>-6.5169203487512988</v>
      </c>
      <c r="BD298" s="793">
        <f>INPUT!CU236</f>
        <v>16.760605161673094</v>
      </c>
      <c r="BE298" s="752">
        <f>INPUT!CV236</f>
        <v>0.90824154345614527</v>
      </c>
      <c r="BF298" s="793">
        <f>INPUT!CW236</f>
        <v>15.873015873015872</v>
      </c>
      <c r="BG298" s="752">
        <f>INPUT!CX236</f>
        <v>-2.410346854791301</v>
      </c>
      <c r="BH298" s="793">
        <f>INPUT!CY236</f>
        <v>16.403508771929825</v>
      </c>
      <c r="BI298" s="752">
        <f>INPUT!CZ236</f>
        <v>0.92121567860170561</v>
      </c>
      <c r="BJ298" s="793">
        <f>INPUT!DA236</f>
        <v>16.028985507246375</v>
      </c>
      <c r="BK298" s="752">
        <f>INPUT!DB236</f>
        <v>1.1829710144927397</v>
      </c>
      <c r="BL298" s="793">
        <f>INPUT!DC236</f>
        <v>16.880466472303208</v>
      </c>
      <c r="BM298" s="752">
        <f>INPUT!DD236</f>
        <v>0.71513712944091257</v>
      </c>
      <c r="BN298" s="793">
        <f>INPUT!DE236</f>
        <v>16.576933975630492</v>
      </c>
      <c r="BO298" s="752">
        <f>INPUT!DF236</f>
        <v>4.4346840464721149</v>
      </c>
      <c r="BP298" s="793">
        <f>INPUT!DG236</f>
        <v>16.614686702580098</v>
      </c>
      <c r="BQ298" s="752">
        <f>INPUT!DH236</f>
        <v>1.2873948713439054</v>
      </c>
      <c r="BR298" s="793">
        <f>INPUT!DI236</f>
        <v>16.676056338028168</v>
      </c>
      <c r="BS298" s="752">
        <f>INPUT!DJ236</f>
        <v>4.0368795048773665</v>
      </c>
      <c r="BT298" s="793">
        <f>INPUT!DK236</f>
        <v>17.201003624198492</v>
      </c>
      <c r="BU298" s="752">
        <f>INPUT!DL236</f>
        <v>1.8988643022466611</v>
      </c>
      <c r="BV298" s="793">
        <f>INPUT!DM236</f>
        <v>16.95557963163597</v>
      </c>
      <c r="BW298" s="752">
        <f>INPUT!DN236</f>
        <v>2.2841718291338964</v>
      </c>
      <c r="BX298" s="793">
        <f>INPUT!DO236</f>
        <v>16.765021459227469</v>
      </c>
      <c r="BY298" s="752">
        <f>INPUT!DP236</f>
        <v>0.90483052337078096</v>
      </c>
      <c r="BZ298" s="793">
        <f>INPUT!DQ236</f>
        <v>17.204009753454347</v>
      </c>
      <c r="CA298" s="752">
        <f>INPUT!DR236</f>
        <v>3.1659368661536069</v>
      </c>
      <c r="CB298" s="793">
        <f>INPUT!DS236</f>
        <v>17.158176943699733</v>
      </c>
      <c r="CC298" s="752">
        <f>INPUT!DT236</f>
        <v>-0.2489778005657195</v>
      </c>
      <c r="CD298" s="793">
        <f>INPUT!DU236</f>
        <v>17.120622568093385</v>
      </c>
      <c r="CE298" s="752">
        <f>INPUT!DV236</f>
        <v>0.97338421949004772</v>
      </c>
      <c r="CF298" s="793">
        <f>INPUT!DW236</f>
        <v>17.118512780790088</v>
      </c>
      <c r="CG298" s="752">
        <f>INPUT!DX236</f>
        <v>2.1085050348567114</v>
      </c>
      <c r="CH298" s="793">
        <f>INPUT!DY236</f>
        <v>17.306707629288272</v>
      </c>
      <c r="CI298" s="752">
        <f>INPUT!DZ236</f>
        <v>0.59694151134332962</v>
      </c>
      <c r="CJ298" s="793">
        <f>INPUT!EA236</f>
        <v>17.078708375378408</v>
      </c>
      <c r="CK298" s="752">
        <f>INPUT!EB236</f>
        <v>-0.46315274974771947</v>
      </c>
      <c r="CL298" s="793">
        <f>INPUT!EC236</f>
        <v>16.865999511837927</v>
      </c>
      <c r="CM298" s="752">
        <f>INPUT!ED236</f>
        <v>-1.487230124037564</v>
      </c>
      <c r="CN298" s="793">
        <f>INPUT!EE236</f>
        <v>16.844143272023228</v>
      </c>
      <c r="CO298" s="752">
        <f>INPUT!EF236</f>
        <v>-1.6027648679548201</v>
      </c>
      <c r="CP298" s="793">
        <f>INPUT!EG236</f>
        <v>16.771084337349397</v>
      </c>
      <c r="CQ298" s="752">
        <f>INPUT!EH236</f>
        <v>-3.0948884294574652</v>
      </c>
      <c r="CR298" s="793">
        <f>INPUT!EI236</f>
        <v>17.759237187127532</v>
      </c>
      <c r="CS298" s="752">
        <f>INPUT!EJ236</f>
        <v>3.984662052841248</v>
      </c>
      <c r="CT298" s="793">
        <f>INPUT!EK236</f>
        <v>17.8</v>
      </c>
      <c r="CU298" s="752">
        <f>INPUT!EL236</f>
        <v>5.537771345875564</v>
      </c>
      <c r="CV298" s="793">
        <f>INPUT!EM236</f>
        <v>17.8</v>
      </c>
      <c r="CW298" s="752">
        <f>INPUT!EN236</f>
        <v>5.6747126436782036</v>
      </c>
      <c r="CX298" s="793">
        <f>INPUT!EO236</f>
        <v>17.8</v>
      </c>
      <c r="CY298" s="752">
        <f>INPUT!EP236</f>
        <v>6.1350574712643713</v>
      </c>
      <c r="CZ298" s="793">
        <f>INPUT!EQ236</f>
        <v>17.8</v>
      </c>
      <c r="DA298" s="752">
        <f>INPUT!ER236</f>
        <v>0.2295302013422873</v>
      </c>
      <c r="DB298" s="753"/>
      <c r="DC298" s="793">
        <f>INPUT!FB236</f>
        <v>16.220472440944881</v>
      </c>
      <c r="DD298" s="767" t="str">
        <f>INPUT!FC236</f>
        <v>NA</v>
      </c>
      <c r="DE298" s="793">
        <f>INPUT!FD236</f>
        <v>16.958333333333332</v>
      </c>
      <c r="DF298" s="767">
        <f>INPUT!FE236</f>
        <v>4.5489482200647302</v>
      </c>
      <c r="DG298" s="793">
        <f>INPUT!FF236</f>
        <v>16.132315521628499</v>
      </c>
      <c r="DH298" s="767">
        <f>INPUT!FG236</f>
        <v>-4.870866702927767</v>
      </c>
      <c r="DI298" s="793">
        <f>INPUT!FH236</f>
        <v>17.008832656958703</v>
      </c>
      <c r="DJ298" s="767">
        <f>INPUT!FI236</f>
        <v>5.4333002237345385</v>
      </c>
      <c r="DK298" s="793">
        <f>INPUT!FJ236</f>
        <v>17.365336939373449</v>
      </c>
      <c r="DL298" s="752">
        <f>INPUT!FK236</f>
        <v>2.0959950021549156</v>
      </c>
      <c r="DM298" s="793">
        <f>INPUT!FL236</f>
        <v>16.481639624252772</v>
      </c>
      <c r="DN298" s="752">
        <f>INPUT!FM236</f>
        <v>-5.0888578678656042</v>
      </c>
      <c r="DO298" s="793">
        <f>INPUT!FN236</f>
        <v>17.839071336442107</v>
      </c>
      <c r="DP298" s="752">
        <f>INPUT!FO236</f>
        <v>8.236023497273127</v>
      </c>
      <c r="DQ298" s="793">
        <f>INPUT!FP236</f>
        <v>18.174266199003135</v>
      </c>
      <c r="DR298" s="752">
        <f>INPUT!FQ236</f>
        <v>1.8789927807300266</v>
      </c>
      <c r="DS298" s="793">
        <f>INPUT!FR236</f>
        <v>18.019293742809097</v>
      </c>
      <c r="DT298" s="752">
        <f>INPUT!FS236</f>
        <v>-0.85270268684927153</v>
      </c>
      <c r="DU298" s="793">
        <f>INPUT!FT236</f>
        <v>17.399282675786136</v>
      </c>
      <c r="DV298" s="752">
        <f>INPUT!FU236</f>
        <v>-3.4408178026976599</v>
      </c>
      <c r="DW298" s="793">
        <f>INPUT!FV236</f>
        <v>16.929506387005205</v>
      </c>
      <c r="DX298" s="752">
        <f>INPUT!FW236</f>
        <v>-2.6999750365266473</v>
      </c>
      <c r="DY298" s="793">
        <f>INPUT!FX236</f>
        <v>16.292682926829269</v>
      </c>
      <c r="DZ298" s="752">
        <f>INPUT!FY236</f>
        <v>-3.7616185942949354</v>
      </c>
      <c r="EA298" s="793">
        <f>INPUT!FZ236</f>
        <v>16.29495096258627</v>
      </c>
      <c r="EB298" s="752">
        <f>INPUT!GA236</f>
        <v>1.3920578748072288E-2</v>
      </c>
      <c r="EC298" s="793">
        <f>INPUT!GB236</f>
        <v>16.76882970478405</v>
      </c>
      <c r="ED298" s="752">
        <f>INPUT!GC236</f>
        <v>2.9081323612806242</v>
      </c>
      <c r="EE298" s="793">
        <f>INPUT!GD236</f>
        <v>17.020416413988276</v>
      </c>
      <c r="EF298" s="752">
        <f>INPUT!GE236</f>
        <v>1.5003235982082197</v>
      </c>
      <c r="EG298" s="793">
        <f>INPUT!GF236</f>
        <v>17.156045646877807</v>
      </c>
      <c r="EH298" s="752">
        <f>INPUT!GG236</f>
        <v>0.79686201318824867</v>
      </c>
      <c r="EI298" s="793">
        <f>INPUT!GH236</f>
        <v>17.062869554724262</v>
      </c>
      <c r="EJ298" s="752">
        <f>INPUT!GI236</f>
        <v>-0.54310937421935268</v>
      </c>
      <c r="EK298" s="793">
        <f>INPUT!GJ236</f>
        <v>17.800000000000004</v>
      </c>
      <c r="EL298" s="752">
        <f>INPUT!GK236</f>
        <v>4.3200848656294699</v>
      </c>
      <c r="EM298" s="793">
        <f>INPUT!GL236</f>
        <v>17.800000000000004</v>
      </c>
      <c r="EN298" s="752">
        <f>INPUT!GM236</f>
        <v>0</v>
      </c>
      <c r="EO298" s="793">
        <f>INPUT!GN236</f>
        <v>17.800000000000004</v>
      </c>
      <c r="EP298" s="752">
        <f>INPUT!GO236</f>
        <v>0</v>
      </c>
      <c r="EQ298" s="793">
        <f>INPUT!GP236</f>
        <v>17.800000000000004</v>
      </c>
      <c r="ER298" s="752">
        <f>INPUT!GQ236</f>
        <v>0</v>
      </c>
      <c r="ES298" s="793">
        <f>INPUT!GR236</f>
        <v>17.800000000000004</v>
      </c>
      <c r="ET298" s="752">
        <f>INPUT!GS236</f>
        <v>0</v>
      </c>
      <c r="EU298" s="767">
        <f>INPUT!GT236</f>
        <v>0.84946214098990946</v>
      </c>
      <c r="EV298" s="710"/>
    </row>
    <row r="299" spans="1:152" ht="12.75" hidden="1" customHeight="1" outlineLevel="1" x14ac:dyDescent="0.2">
      <c r="A299" s="754"/>
      <c r="B299" s="793"/>
      <c r="C299" s="767"/>
      <c r="D299" s="793"/>
      <c r="E299" s="767"/>
      <c r="F299" s="793"/>
      <c r="G299" s="767"/>
      <c r="H299" s="793"/>
      <c r="I299" s="752"/>
      <c r="J299" s="793"/>
      <c r="K299" s="752"/>
      <c r="L299" s="793"/>
      <c r="M299" s="752"/>
      <c r="N299" s="793"/>
      <c r="O299" s="752"/>
      <c r="P299" s="793"/>
      <c r="Q299" s="752"/>
      <c r="R299" s="793"/>
      <c r="S299" s="752"/>
      <c r="T299" s="793"/>
      <c r="U299" s="752"/>
      <c r="V299" s="793"/>
      <c r="W299" s="752"/>
      <c r="X299" s="793"/>
      <c r="Y299" s="752"/>
      <c r="Z299" s="793"/>
      <c r="AA299" s="752"/>
      <c r="AB299" s="793"/>
      <c r="AC299" s="752"/>
      <c r="AD299" s="793"/>
      <c r="AE299" s="752"/>
      <c r="AF299" s="793"/>
      <c r="AG299" s="752"/>
      <c r="AH299" s="793"/>
      <c r="AI299" s="752"/>
      <c r="AJ299" s="793"/>
      <c r="AK299" s="752"/>
      <c r="AL299" s="793"/>
      <c r="AM299" s="752"/>
      <c r="AN299" s="793"/>
      <c r="AO299" s="752"/>
      <c r="AP299" s="793"/>
      <c r="AQ299" s="752"/>
      <c r="AR299" s="793"/>
      <c r="AS299" s="752"/>
      <c r="AT299" s="793"/>
      <c r="AU299" s="752"/>
      <c r="AV299" s="793"/>
      <c r="AW299" s="752"/>
      <c r="AX299" s="793"/>
      <c r="AY299" s="752"/>
      <c r="AZ299" s="793"/>
      <c r="BA299" s="752"/>
      <c r="BB299" s="793"/>
      <c r="BC299" s="752"/>
      <c r="BD299" s="793"/>
      <c r="BE299" s="752"/>
      <c r="BF299" s="793"/>
      <c r="BG299" s="752"/>
      <c r="BH299" s="793"/>
      <c r="BI299" s="752"/>
      <c r="BJ299" s="793"/>
      <c r="BK299" s="752"/>
      <c r="BL299" s="793"/>
      <c r="BM299" s="752"/>
      <c r="BN299" s="793"/>
      <c r="BO299" s="752"/>
      <c r="BP299" s="793"/>
      <c r="BQ299" s="752"/>
      <c r="BR299" s="793"/>
      <c r="BS299" s="752"/>
      <c r="BT299" s="793"/>
      <c r="BU299" s="752"/>
      <c r="BV299" s="793"/>
      <c r="BW299" s="752"/>
      <c r="BX299" s="793"/>
      <c r="BY299" s="752"/>
      <c r="BZ299" s="793"/>
      <c r="CA299" s="752"/>
      <c r="CB299" s="793"/>
      <c r="CC299" s="752"/>
      <c r="CD299" s="793"/>
      <c r="CE299" s="752"/>
      <c r="CF299" s="793"/>
      <c r="CG299" s="752"/>
      <c r="CH299" s="793"/>
      <c r="CI299" s="752"/>
      <c r="CJ299" s="793"/>
      <c r="CK299" s="752"/>
      <c r="CL299" s="793"/>
      <c r="CM299" s="752"/>
      <c r="CN299" s="793"/>
      <c r="CO299" s="752"/>
      <c r="CP299" s="793"/>
      <c r="CQ299" s="752"/>
      <c r="CR299" s="793"/>
      <c r="CS299" s="752"/>
      <c r="CT299" s="793"/>
      <c r="CU299" s="752"/>
      <c r="CV299" s="793"/>
      <c r="CW299" s="752"/>
      <c r="CX299" s="793"/>
      <c r="CY299" s="752"/>
      <c r="CZ299" s="793"/>
      <c r="DA299" s="752"/>
      <c r="DB299" s="753"/>
      <c r="DC299" s="793"/>
      <c r="DD299" s="767"/>
      <c r="DE299" s="793"/>
      <c r="DF299" s="767"/>
      <c r="DG299" s="793"/>
      <c r="DH299" s="767"/>
      <c r="DI299" s="793"/>
      <c r="DJ299" s="767"/>
      <c r="DK299" s="793"/>
      <c r="DL299" s="752"/>
      <c r="DM299" s="793"/>
      <c r="DN299" s="752"/>
      <c r="DO299" s="793"/>
      <c r="DP299" s="752"/>
      <c r="DQ299" s="793"/>
      <c r="DR299" s="752"/>
      <c r="DS299" s="793"/>
      <c r="DT299" s="752"/>
      <c r="DU299" s="793"/>
      <c r="DV299" s="752"/>
      <c r="DW299" s="793"/>
      <c r="DX299" s="752"/>
      <c r="DY299" s="793"/>
      <c r="DZ299" s="752"/>
      <c r="EA299" s="793"/>
      <c r="EB299" s="752"/>
      <c r="EC299" s="793"/>
      <c r="ED299" s="752"/>
      <c r="EE299" s="793"/>
      <c r="EF299" s="752"/>
      <c r="EG299" s="793"/>
      <c r="EH299" s="752"/>
      <c r="EI299" s="793"/>
      <c r="EJ299" s="752"/>
      <c r="EK299" s="793"/>
      <c r="EL299" s="752"/>
      <c r="EM299" s="793"/>
      <c r="EN299" s="752"/>
      <c r="EO299" s="793"/>
      <c r="EP299" s="752"/>
      <c r="EQ299" s="793"/>
      <c r="ER299" s="752"/>
      <c r="ES299" s="793"/>
      <c r="ET299" s="752"/>
      <c r="EU299" s="767"/>
      <c r="EV299" s="710"/>
    </row>
    <row r="300" spans="1:152" ht="12.75" hidden="1" customHeight="1" outlineLevel="1" x14ac:dyDescent="0.2">
      <c r="A300" s="749" t="str">
        <f>+INPUT!B246</f>
        <v>Sales Data</v>
      </c>
      <c r="B300" s="793"/>
      <c r="C300" s="767"/>
      <c r="D300" s="793"/>
      <c r="E300" s="767"/>
      <c r="F300" s="793"/>
      <c r="G300" s="767"/>
      <c r="H300" s="793"/>
      <c r="I300" s="752"/>
      <c r="J300" s="793"/>
      <c r="K300" s="752"/>
      <c r="L300" s="793"/>
      <c r="M300" s="752"/>
      <c r="N300" s="793"/>
      <c r="O300" s="752"/>
      <c r="P300" s="793"/>
      <c r="Q300" s="752"/>
      <c r="R300" s="793"/>
      <c r="S300" s="752"/>
      <c r="T300" s="793"/>
      <c r="U300" s="752"/>
      <c r="V300" s="793"/>
      <c r="W300" s="752"/>
      <c r="X300" s="793"/>
      <c r="Y300" s="752"/>
      <c r="Z300" s="793"/>
      <c r="AA300" s="752"/>
      <c r="AB300" s="793"/>
      <c r="AC300" s="752"/>
      <c r="AD300" s="793"/>
      <c r="AE300" s="752"/>
      <c r="AF300" s="793"/>
      <c r="AG300" s="752"/>
      <c r="AH300" s="793"/>
      <c r="AI300" s="752"/>
      <c r="AJ300" s="793"/>
      <c r="AK300" s="752"/>
      <c r="AL300" s="793"/>
      <c r="AM300" s="752"/>
      <c r="AN300" s="793"/>
      <c r="AO300" s="752"/>
      <c r="AP300" s="793"/>
      <c r="AQ300" s="752"/>
      <c r="AR300" s="793"/>
      <c r="AS300" s="752"/>
      <c r="AT300" s="793"/>
      <c r="AU300" s="752"/>
      <c r="AV300" s="793"/>
      <c r="AW300" s="752"/>
      <c r="AX300" s="793"/>
      <c r="AY300" s="752"/>
      <c r="AZ300" s="793"/>
      <c r="BA300" s="752"/>
      <c r="BB300" s="793"/>
      <c r="BC300" s="752"/>
      <c r="BD300" s="793"/>
      <c r="BE300" s="752"/>
      <c r="BF300" s="793"/>
      <c r="BG300" s="752"/>
      <c r="BH300" s="793"/>
      <c r="BI300" s="752"/>
      <c r="BJ300" s="793"/>
      <c r="BK300" s="752"/>
      <c r="BL300" s="793"/>
      <c r="BM300" s="752"/>
      <c r="BN300" s="793"/>
      <c r="BO300" s="752"/>
      <c r="BP300" s="793"/>
      <c r="BQ300" s="752"/>
      <c r="BR300" s="793"/>
      <c r="BS300" s="752"/>
      <c r="BT300" s="793"/>
      <c r="BU300" s="752"/>
      <c r="BV300" s="793"/>
      <c r="BW300" s="752"/>
      <c r="BX300" s="793"/>
      <c r="BY300" s="752"/>
      <c r="BZ300" s="793"/>
      <c r="CA300" s="752"/>
      <c r="CB300" s="793"/>
      <c r="CC300" s="752"/>
      <c r="CD300" s="793"/>
      <c r="CE300" s="752"/>
      <c r="CF300" s="793"/>
      <c r="CG300" s="752"/>
      <c r="CH300" s="793"/>
      <c r="CI300" s="752"/>
      <c r="CJ300" s="793"/>
      <c r="CK300" s="752"/>
      <c r="CL300" s="793"/>
      <c r="CM300" s="752"/>
      <c r="CN300" s="793"/>
      <c r="CO300" s="752"/>
      <c r="CP300" s="793"/>
      <c r="CQ300" s="752"/>
      <c r="CR300" s="793"/>
      <c r="CS300" s="752"/>
      <c r="CT300" s="793"/>
      <c r="CU300" s="752"/>
      <c r="CV300" s="793"/>
      <c r="CW300" s="752"/>
      <c r="CX300" s="793"/>
      <c r="CY300" s="752"/>
      <c r="CZ300" s="793"/>
      <c r="DA300" s="752"/>
      <c r="DB300" s="753"/>
      <c r="DC300" s="793"/>
      <c r="DD300" s="767"/>
      <c r="DE300" s="793"/>
      <c r="DF300" s="767"/>
      <c r="DG300" s="793"/>
      <c r="DH300" s="767"/>
      <c r="DI300" s="793"/>
      <c r="DJ300" s="767"/>
      <c r="DK300" s="793"/>
      <c r="DL300" s="752"/>
      <c r="DM300" s="793"/>
      <c r="DN300" s="752"/>
      <c r="DO300" s="793"/>
      <c r="DP300" s="752"/>
      <c r="DQ300" s="793"/>
      <c r="DR300" s="752"/>
      <c r="DS300" s="793"/>
      <c r="DT300" s="752"/>
      <c r="DU300" s="793"/>
      <c r="DV300" s="752"/>
      <c r="DW300" s="793"/>
      <c r="DX300" s="752"/>
      <c r="DY300" s="793"/>
      <c r="DZ300" s="752"/>
      <c r="EA300" s="793"/>
      <c r="EB300" s="752"/>
      <c r="EC300" s="793"/>
      <c r="ED300" s="752"/>
      <c r="EE300" s="793"/>
      <c r="EF300" s="752"/>
      <c r="EG300" s="793"/>
      <c r="EH300" s="752"/>
      <c r="EI300" s="793"/>
      <c r="EJ300" s="752"/>
      <c r="EK300" s="793"/>
      <c r="EL300" s="752"/>
      <c r="EM300" s="793"/>
      <c r="EN300" s="752"/>
      <c r="EO300" s="793"/>
      <c r="EP300" s="752"/>
      <c r="EQ300" s="793"/>
      <c r="ER300" s="752"/>
      <c r="ES300" s="793"/>
      <c r="ET300" s="752"/>
      <c r="EU300" s="767"/>
      <c r="EV300" s="710"/>
    </row>
    <row r="301" spans="1:152" ht="12.75" hidden="1" customHeight="1" outlineLevel="1" x14ac:dyDescent="0.2">
      <c r="A301" s="754" t="str">
        <f>+INPUT!B247</f>
        <v>Colonial Sales</v>
      </c>
      <c r="B301" s="793"/>
      <c r="C301" s="767">
        <f>+INPUT!AT247</f>
        <v>9.6247960848287128</v>
      </c>
      <c r="D301" s="793"/>
      <c r="E301" s="767">
        <f>+INPUT!AV247</f>
        <v>10.9256449165402</v>
      </c>
      <c r="F301" s="793"/>
      <c r="G301" s="767">
        <f>+INPUT!AX247</f>
        <v>17.770597738287574</v>
      </c>
      <c r="H301" s="793"/>
      <c r="I301" s="752">
        <f>+INPUT!AZ247</f>
        <v>4.7276464542651775</v>
      </c>
      <c r="J301" s="793"/>
      <c r="K301" s="752">
        <f>+INPUT!BB247</f>
        <v>0.59523809523809312</v>
      </c>
      <c r="L301" s="793"/>
      <c r="M301" s="752">
        <f>+INPUT!BD247</f>
        <v>7.523939808481539</v>
      </c>
      <c r="N301" s="793"/>
      <c r="O301" s="752">
        <f>+INPUT!BF247</f>
        <v>2.1947873799725626</v>
      </c>
      <c r="P301" s="793"/>
      <c r="Q301" s="752">
        <f>+INPUT!BH247</f>
        <v>0</v>
      </c>
      <c r="R301" s="793"/>
      <c r="S301" s="752">
        <f>+INPUT!BJ247</f>
        <v>0.14792899408284654</v>
      </c>
      <c r="T301" s="793"/>
      <c r="U301" s="752">
        <f>+INPUT!BL247</f>
        <v>3.30788804071247</v>
      </c>
      <c r="V301" s="793"/>
      <c r="W301" s="752">
        <f>+INPUT!BN247</f>
        <v>1.8791946308724938</v>
      </c>
      <c r="X301" s="793"/>
      <c r="Y301" s="752">
        <f>+INPUT!BP247</f>
        <v>1.0507880910683109</v>
      </c>
      <c r="Z301" s="793"/>
      <c r="AA301" s="752">
        <f>+INPUT!BR247</f>
        <v>-0.1477104874446189</v>
      </c>
      <c r="AB301" s="793"/>
      <c r="AC301" s="752">
        <f>+INPUT!BT247</f>
        <v>-3.9408866995073955</v>
      </c>
      <c r="AD301" s="793"/>
      <c r="AE301" s="752">
        <f>+INPUT!BV247</f>
        <v>0</v>
      </c>
      <c r="AF301" s="793"/>
      <c r="AG301" s="752">
        <f>+INPUT!BX247</f>
        <v>0</v>
      </c>
      <c r="AH301" s="793"/>
      <c r="AI301" s="752">
        <f>+INPUT!BZ247</f>
        <v>0</v>
      </c>
      <c r="AJ301" s="793"/>
      <c r="AK301" s="752">
        <f>+INPUT!CB247</f>
        <v>7.5641025641025816</v>
      </c>
      <c r="AL301" s="793"/>
      <c r="AM301" s="752">
        <f>+INPUT!CD247</f>
        <v>2.2929936305732479</v>
      </c>
      <c r="AN301" s="793"/>
      <c r="AO301" s="752"/>
      <c r="AP301" s="793"/>
      <c r="AQ301" s="752">
        <f>+INPUT!CH247</f>
        <v>-3.6834924965893578</v>
      </c>
      <c r="AR301" s="793"/>
      <c r="AS301" s="752">
        <f>+INPUT!CJ247</f>
        <v>0</v>
      </c>
      <c r="AT301" s="793"/>
      <c r="AU301" s="752">
        <f>+INPUT!CL247</f>
        <v>0</v>
      </c>
      <c r="AV301" s="793"/>
      <c r="AW301" s="752">
        <f>+INPUT!CN247</f>
        <v>4.2044517724649788</v>
      </c>
      <c r="AX301" s="793"/>
      <c r="AY301" s="752">
        <f>+INPUT!CP247</f>
        <v>0.70821529745042078</v>
      </c>
      <c r="AZ301" s="793"/>
      <c r="BA301" s="752">
        <f>+INPUT!CR247</f>
        <v>0.1166861143523823</v>
      </c>
      <c r="BB301" s="793"/>
      <c r="BC301" s="752">
        <f>+INPUT!CT247</f>
        <v>-5.7692307692307709</v>
      </c>
      <c r="BD301" s="793"/>
      <c r="BE301" s="752">
        <f>+INPUT!CV247</f>
        <v>0.15822784810126667</v>
      </c>
      <c r="BF301" s="793"/>
      <c r="BG301" s="752">
        <f>+INPUT!CX247</f>
        <v>-4.9226441631504914</v>
      </c>
      <c r="BH301" s="793"/>
      <c r="BI301" s="752">
        <f>+INPUT!CZ247</f>
        <v>-1.9813519813519864</v>
      </c>
      <c r="BJ301" s="793"/>
      <c r="BK301" s="752">
        <f>+INPUT!DB247</f>
        <v>-2.9336734693877653</v>
      </c>
      <c r="BL301" s="793"/>
      <c r="BM301" s="752">
        <f>+INPUT!DD247</f>
        <v>10.426540284360208</v>
      </c>
      <c r="BN301" s="793"/>
      <c r="BO301" s="752">
        <f>+INPUT!DF247</f>
        <v>6.5088757396449815</v>
      </c>
      <c r="BP301" s="793"/>
      <c r="BQ301" s="752">
        <f>+INPUT!DH247</f>
        <v>7.7288941736028516</v>
      </c>
      <c r="BR301" s="793"/>
      <c r="BS301" s="752">
        <f>+INPUT!DJ247</f>
        <v>12.746386333771365</v>
      </c>
      <c r="BT301" s="793"/>
      <c r="BU301" s="752">
        <f>+INPUT!DL247</f>
        <v>15.665236051502118</v>
      </c>
      <c r="BV301" s="793"/>
      <c r="BW301" s="752">
        <f>+INPUT!DN247</f>
        <v>7.638888888888884</v>
      </c>
      <c r="BX301" s="793"/>
      <c r="BY301" s="752">
        <f>+INPUT!DP247</f>
        <v>5.7395143487858791</v>
      </c>
      <c r="BZ301" s="793"/>
      <c r="CA301" s="752">
        <f>+INPUT!DR247</f>
        <v>11.072261072261069</v>
      </c>
      <c r="CB301" s="793"/>
      <c r="CC301" s="752">
        <f>+INPUT!DT247</f>
        <v>5.0711193568336643</v>
      </c>
      <c r="CD301" s="793"/>
      <c r="CE301" s="752">
        <f>+INPUT!DV247</f>
        <v>16.000000000000014</v>
      </c>
      <c r="CF301" s="793"/>
      <c r="CG301" s="752">
        <f>+INPUT!DX247</f>
        <v>13.256784968684766</v>
      </c>
      <c r="CH301" s="793"/>
      <c r="CI301" s="752">
        <f>+INPUT!DZ247</f>
        <v>9.3389296956978072</v>
      </c>
      <c r="CJ301" s="793"/>
      <c r="CK301" s="752">
        <f>+INPUT!EB247</f>
        <v>6.5332548557975212</v>
      </c>
      <c r="CL301" s="793"/>
      <c r="CM301" s="752">
        <f>+INPUT!ED247</f>
        <v>7.2302558398220196</v>
      </c>
      <c r="CN301" s="793"/>
      <c r="CO301" s="752">
        <f>+INPUT!EF247</f>
        <v>7.4654377880184253</v>
      </c>
      <c r="CP301" s="793"/>
      <c r="CQ301" s="752">
        <f>+INPUT!EH247</f>
        <v>2.5911708253358867</v>
      </c>
      <c r="CR301" s="793"/>
      <c r="CS301" s="752">
        <f>+INPUT!EJ247</f>
        <v>10.386740331491717</v>
      </c>
      <c r="CT301" s="793"/>
      <c r="CU301" s="752" t="str">
        <f>+INPUT!EL247</f>
        <v>NM</v>
      </c>
      <c r="CV301" s="793"/>
      <c r="CW301" s="752" t="str">
        <f>+INPUT!EN247</f>
        <v>NM</v>
      </c>
      <c r="CX301" s="793"/>
      <c r="CY301" s="752" t="str">
        <f>+INPUT!EP247</f>
        <v>NM</v>
      </c>
      <c r="CZ301" s="793"/>
      <c r="DA301" s="752" t="str">
        <f>+INPUT!ER247</f>
        <v>NM</v>
      </c>
      <c r="DB301" s="753"/>
      <c r="DC301" s="793">
        <f>+INPUT!FB247</f>
        <v>243.00399999999999</v>
      </c>
      <c r="DD301" s="767" t="str">
        <f>+INPUT!FC247</f>
        <v>NA</v>
      </c>
      <c r="DE301" s="793">
        <f>+INPUT!FD247</f>
        <v>257.52999999999997</v>
      </c>
      <c r="DF301" s="767">
        <f>+INPUT!FE247</f>
        <v>5.9776793797632788</v>
      </c>
      <c r="DG301" s="793">
        <f>+INPUT!FF247</f>
        <v>219.60000000000002</v>
      </c>
      <c r="DH301" s="767">
        <f>+INPUT!FG247</f>
        <v>-14.728381159476545</v>
      </c>
      <c r="DI301" s="793"/>
      <c r="DJ301" s="767"/>
      <c r="DK301" s="793"/>
      <c r="DL301" s="752"/>
      <c r="DM301" s="793"/>
      <c r="DN301" s="752"/>
      <c r="DO301" s="793"/>
      <c r="DP301" s="752"/>
      <c r="DQ301" s="793"/>
      <c r="DR301" s="752"/>
      <c r="DS301" s="793"/>
      <c r="DT301" s="752"/>
      <c r="DU301" s="793"/>
      <c r="DV301" s="752"/>
      <c r="DW301" s="793"/>
      <c r="DX301" s="752"/>
      <c r="DY301" s="793"/>
      <c r="DZ301" s="752"/>
      <c r="EA301" s="793"/>
      <c r="EB301" s="752"/>
      <c r="EC301" s="793"/>
      <c r="ED301" s="752"/>
      <c r="EE301" s="793"/>
      <c r="EF301" s="752"/>
      <c r="EG301" s="793"/>
      <c r="EH301" s="752"/>
      <c r="EI301" s="793"/>
      <c r="EJ301" s="752"/>
      <c r="EK301" s="793"/>
      <c r="EL301" s="752"/>
      <c r="EM301" s="793"/>
      <c r="EN301" s="752"/>
      <c r="EO301" s="793"/>
      <c r="EP301" s="752"/>
      <c r="EQ301" s="793"/>
      <c r="ER301" s="752"/>
      <c r="ES301" s="793"/>
      <c r="ET301" s="752"/>
      <c r="EU301" s="767"/>
      <c r="EV301" s="710"/>
    </row>
    <row r="302" spans="1:152" ht="12.75" hidden="1" customHeight="1" outlineLevel="1" x14ac:dyDescent="0.2">
      <c r="A302" s="754"/>
      <c r="B302" s="793"/>
      <c r="C302" s="767"/>
      <c r="D302" s="793"/>
      <c r="E302" s="767"/>
      <c r="F302" s="793"/>
      <c r="G302" s="767"/>
      <c r="H302" s="793"/>
      <c r="I302" s="752"/>
      <c r="J302" s="793"/>
      <c r="K302" s="752"/>
      <c r="L302" s="793"/>
      <c r="M302" s="752"/>
      <c r="N302" s="793"/>
      <c r="O302" s="752"/>
      <c r="P302" s="793"/>
      <c r="Q302" s="752"/>
      <c r="R302" s="793"/>
      <c r="S302" s="752"/>
      <c r="T302" s="793"/>
      <c r="U302" s="752"/>
      <c r="V302" s="793"/>
      <c r="W302" s="752"/>
      <c r="X302" s="793"/>
      <c r="Y302" s="752"/>
      <c r="Z302" s="793"/>
      <c r="AA302" s="752"/>
      <c r="AB302" s="793"/>
      <c r="AC302" s="752"/>
      <c r="AD302" s="793"/>
      <c r="AE302" s="752"/>
      <c r="AF302" s="793"/>
      <c r="AG302" s="752"/>
      <c r="AH302" s="793"/>
      <c r="AI302" s="752"/>
      <c r="AJ302" s="793"/>
      <c r="AK302" s="752"/>
      <c r="AL302" s="793"/>
      <c r="AM302" s="752"/>
      <c r="AN302" s="793"/>
      <c r="AO302" s="752"/>
      <c r="AP302" s="793"/>
      <c r="AQ302" s="752"/>
      <c r="AR302" s="793"/>
      <c r="AS302" s="752"/>
      <c r="AT302" s="793"/>
      <c r="AU302" s="752"/>
      <c r="AV302" s="793"/>
      <c r="AW302" s="752"/>
      <c r="AX302" s="793"/>
      <c r="AY302" s="752"/>
      <c r="AZ302" s="793"/>
      <c r="BA302" s="752"/>
      <c r="BB302" s="793"/>
      <c r="BC302" s="752"/>
      <c r="BD302" s="793"/>
      <c r="BE302" s="752"/>
      <c r="BF302" s="793"/>
      <c r="BG302" s="752"/>
      <c r="BH302" s="793"/>
      <c r="BI302" s="752"/>
      <c r="BJ302" s="793"/>
      <c r="BK302" s="752"/>
      <c r="BL302" s="793"/>
      <c r="BM302" s="752"/>
      <c r="BN302" s="793"/>
      <c r="BO302" s="752"/>
      <c r="BP302" s="793"/>
      <c r="BQ302" s="752"/>
      <c r="BR302" s="793"/>
      <c r="BS302" s="752"/>
      <c r="BT302" s="793"/>
      <c r="BU302" s="752"/>
      <c r="BV302" s="793"/>
      <c r="BW302" s="752"/>
      <c r="BX302" s="793"/>
      <c r="BY302" s="752"/>
      <c r="BZ302" s="793"/>
      <c r="CA302" s="752"/>
      <c r="CB302" s="793"/>
      <c r="CC302" s="752"/>
      <c r="CD302" s="793"/>
      <c r="CE302" s="752"/>
      <c r="CF302" s="793"/>
      <c r="CG302" s="752"/>
      <c r="CH302" s="793"/>
      <c r="CI302" s="752"/>
      <c r="CJ302" s="793"/>
      <c r="CK302" s="752"/>
      <c r="CL302" s="793"/>
      <c r="CM302" s="752"/>
      <c r="CN302" s="793"/>
      <c r="CO302" s="752"/>
      <c r="CP302" s="793"/>
      <c r="CQ302" s="752"/>
      <c r="CR302" s="793"/>
      <c r="CS302" s="752"/>
      <c r="CT302" s="793"/>
      <c r="CU302" s="752"/>
      <c r="CV302" s="793"/>
      <c r="CW302" s="752"/>
      <c r="CX302" s="793"/>
      <c r="CY302" s="752"/>
      <c r="CZ302" s="793"/>
      <c r="DA302" s="752"/>
      <c r="DB302" s="753"/>
      <c r="DC302" s="793"/>
      <c r="DD302" s="767"/>
      <c r="DE302" s="793"/>
      <c r="DF302" s="767"/>
      <c r="DG302" s="793"/>
      <c r="DH302" s="767"/>
      <c r="DI302" s="793"/>
      <c r="DJ302" s="767"/>
      <c r="DK302" s="793"/>
      <c r="DL302" s="752"/>
      <c r="DM302" s="793"/>
      <c r="DN302" s="752"/>
      <c r="DO302" s="793"/>
      <c r="DP302" s="752"/>
      <c r="DQ302" s="793"/>
      <c r="DR302" s="752"/>
      <c r="DS302" s="793"/>
      <c r="DT302" s="752"/>
      <c r="DU302" s="793"/>
      <c r="DV302" s="752"/>
      <c r="DW302" s="793"/>
      <c r="DX302" s="752"/>
      <c r="DY302" s="793"/>
      <c r="DZ302" s="752"/>
      <c r="EA302" s="793"/>
      <c r="EB302" s="752"/>
      <c r="EC302" s="793"/>
      <c r="ED302" s="752"/>
      <c r="EE302" s="793"/>
      <c r="EF302" s="752"/>
      <c r="EG302" s="793"/>
      <c r="EH302" s="752"/>
      <c r="EI302" s="793"/>
      <c r="EJ302" s="752"/>
      <c r="EK302" s="793"/>
      <c r="EL302" s="752"/>
      <c r="EM302" s="793"/>
      <c r="EN302" s="752"/>
      <c r="EO302" s="793"/>
      <c r="EP302" s="752"/>
      <c r="EQ302" s="793"/>
      <c r="ER302" s="752"/>
      <c r="ES302" s="793"/>
      <c r="ET302" s="752"/>
      <c r="EU302" s="767"/>
      <c r="EV302" s="710"/>
    </row>
    <row r="303" spans="1:152" ht="21.95" hidden="1" customHeight="1" outlineLevel="1" x14ac:dyDescent="0.25">
      <c r="A303" s="709" t="str">
        <f>INPUT!$B$4</f>
        <v>Unum Group</v>
      </c>
      <c r="B303" s="728"/>
      <c r="C303" s="729"/>
      <c r="D303" s="728"/>
      <c r="E303" s="729"/>
      <c r="F303" s="728"/>
      <c r="G303" s="729"/>
      <c r="H303" s="728"/>
      <c r="I303" s="730"/>
      <c r="J303" s="728"/>
      <c r="K303" s="730"/>
      <c r="L303" s="728"/>
      <c r="M303" s="730"/>
      <c r="N303" s="728"/>
      <c r="O303" s="730"/>
      <c r="P303" s="728"/>
      <c r="Q303" s="730"/>
      <c r="R303" s="728"/>
      <c r="S303" s="730"/>
      <c r="T303" s="728"/>
      <c r="U303" s="730"/>
      <c r="V303" s="728"/>
      <c r="W303" s="730"/>
      <c r="X303" s="728"/>
      <c r="Y303" s="730"/>
      <c r="Z303" s="728"/>
      <c r="AA303" s="730"/>
      <c r="AB303" s="728"/>
      <c r="AC303" s="730"/>
      <c r="AD303" s="728"/>
      <c r="AE303" s="730"/>
      <c r="AF303" s="728"/>
      <c r="AG303" s="730"/>
      <c r="AH303" s="728"/>
      <c r="AI303" s="730"/>
      <c r="AJ303" s="728"/>
      <c r="AK303" s="730"/>
      <c r="AL303" s="728"/>
      <c r="AM303" s="730"/>
      <c r="AN303" s="728"/>
      <c r="AO303" s="730"/>
      <c r="AP303" s="728"/>
      <c r="AQ303" s="730"/>
      <c r="AR303" s="728"/>
      <c r="AS303" s="730"/>
      <c r="AT303" s="728"/>
      <c r="AU303" s="730"/>
      <c r="AV303" s="728"/>
      <c r="AW303" s="730"/>
      <c r="AX303" s="728"/>
      <c r="AY303" s="730"/>
      <c r="AZ303" s="728"/>
      <c r="BA303" s="730"/>
      <c r="BB303" s="728"/>
      <c r="BC303" s="730"/>
      <c r="BD303" s="728"/>
      <c r="BE303" s="730"/>
      <c r="BF303" s="728"/>
      <c r="BG303" s="730"/>
      <c r="BH303" s="728"/>
      <c r="BI303" s="730"/>
      <c r="BJ303" s="728"/>
      <c r="BK303" s="730"/>
      <c r="BL303" s="728"/>
      <c r="BM303" s="730"/>
      <c r="BN303" s="728"/>
      <c r="BO303" s="730"/>
      <c r="BP303" s="728"/>
      <c r="BQ303" s="730"/>
      <c r="BR303" s="728"/>
      <c r="BS303" s="730"/>
      <c r="BT303" s="728"/>
      <c r="BU303" s="730"/>
      <c r="BV303" s="728"/>
      <c r="BW303" s="730"/>
      <c r="BX303" s="728"/>
      <c r="BY303" s="730"/>
      <c r="BZ303" s="728"/>
      <c r="CA303" s="730"/>
      <c r="CB303" s="728"/>
      <c r="CC303" s="730"/>
      <c r="CD303" s="728"/>
      <c r="CE303" s="730"/>
      <c r="CF303" s="728"/>
      <c r="CG303" s="730"/>
      <c r="CH303" s="728"/>
      <c r="CI303" s="730"/>
      <c r="CJ303" s="728"/>
      <c r="CK303" s="730"/>
      <c r="CL303" s="728"/>
      <c r="CM303" s="730"/>
      <c r="CN303" s="728"/>
      <c r="CO303" s="730"/>
      <c r="CP303" s="728"/>
      <c r="CQ303" s="730"/>
      <c r="CR303" s="728"/>
      <c r="CS303" s="730"/>
      <c r="CT303" s="728"/>
      <c r="CU303" s="730"/>
      <c r="CV303" s="728"/>
      <c r="CW303" s="730"/>
      <c r="CX303" s="728"/>
      <c r="CY303" s="730"/>
      <c r="CZ303" s="728"/>
      <c r="DA303" s="730"/>
      <c r="DB303" s="730"/>
      <c r="DC303" s="728"/>
      <c r="DD303" s="729"/>
      <c r="DE303" s="728"/>
      <c r="DF303" s="729"/>
      <c r="DG303" s="728"/>
      <c r="DH303" s="729"/>
      <c r="DI303" s="728"/>
      <c r="DJ303" s="729"/>
      <c r="DK303" s="728"/>
      <c r="DL303" s="730"/>
      <c r="DM303" s="728"/>
      <c r="DN303" s="730"/>
      <c r="DO303" s="728"/>
      <c r="DP303" s="730"/>
      <c r="DQ303" s="728"/>
      <c r="DR303" s="730"/>
      <c r="DS303" s="728"/>
      <c r="DT303" s="730"/>
      <c r="DU303" s="728"/>
      <c r="DV303" s="730"/>
      <c r="DW303" s="728"/>
      <c r="DX303" s="730"/>
      <c r="DY303" s="728"/>
      <c r="DZ303" s="730"/>
      <c r="EA303" s="728"/>
      <c r="EB303" s="730"/>
      <c r="EC303" s="728"/>
      <c r="ED303" s="730"/>
      <c r="EE303" s="728"/>
      <c r="EF303" s="730"/>
      <c r="EG303" s="728"/>
      <c r="EH303" s="730"/>
      <c r="EI303" s="728"/>
      <c r="EJ303" s="730"/>
      <c r="EK303" s="728"/>
      <c r="EL303" s="730"/>
      <c r="EM303" s="728"/>
      <c r="EN303" s="730"/>
      <c r="EO303" s="728"/>
      <c r="EP303" s="730"/>
      <c r="EQ303" s="728"/>
      <c r="ER303" s="730"/>
      <c r="ES303" s="728"/>
      <c r="ET303" s="730"/>
      <c r="EU303" s="729"/>
      <c r="EV303" s="710"/>
    </row>
    <row r="304" spans="1:152" ht="12.75" hidden="1" customHeight="1" outlineLevel="1" x14ac:dyDescent="0.2">
      <c r="A304" s="731" t="s">
        <v>214</v>
      </c>
      <c r="B304" s="732"/>
      <c r="C304" s="733"/>
      <c r="D304" s="732"/>
      <c r="E304" s="733"/>
      <c r="F304" s="732"/>
      <c r="G304" s="733"/>
      <c r="H304" s="732"/>
      <c r="I304" s="734"/>
      <c r="J304" s="732"/>
      <c r="K304" s="734"/>
      <c r="L304" s="732"/>
      <c r="M304" s="734"/>
      <c r="N304" s="732"/>
      <c r="O304" s="734"/>
      <c r="P304" s="732"/>
      <c r="Q304" s="734"/>
      <c r="R304" s="732"/>
      <c r="S304" s="734"/>
      <c r="T304" s="732"/>
      <c r="U304" s="734"/>
      <c r="V304" s="732"/>
      <c r="W304" s="734"/>
      <c r="X304" s="732"/>
      <c r="Y304" s="734"/>
      <c r="Z304" s="732"/>
      <c r="AA304" s="734"/>
      <c r="AB304" s="732"/>
      <c r="AC304" s="734"/>
      <c r="AD304" s="732"/>
      <c r="AE304" s="734"/>
      <c r="AF304" s="732"/>
      <c r="AG304" s="734"/>
      <c r="AH304" s="732"/>
      <c r="AI304" s="734"/>
      <c r="AJ304" s="732"/>
      <c r="AK304" s="734"/>
      <c r="AL304" s="732"/>
      <c r="AM304" s="734"/>
      <c r="AN304" s="732"/>
      <c r="AO304" s="734"/>
      <c r="AP304" s="732"/>
      <c r="AQ304" s="734"/>
      <c r="AR304" s="732"/>
      <c r="AS304" s="734"/>
      <c r="AT304" s="732"/>
      <c r="AU304" s="734"/>
      <c r="AV304" s="732"/>
      <c r="AW304" s="734"/>
      <c r="AX304" s="732"/>
      <c r="AY304" s="734"/>
      <c r="AZ304" s="732"/>
      <c r="BA304" s="734"/>
      <c r="BB304" s="732"/>
      <c r="BC304" s="734"/>
      <c r="BD304" s="732"/>
      <c r="BE304" s="734"/>
      <c r="BF304" s="732"/>
      <c r="BG304" s="734"/>
      <c r="BH304" s="732"/>
      <c r="BI304" s="734"/>
      <c r="BJ304" s="732"/>
      <c r="BK304" s="734"/>
      <c r="BL304" s="732"/>
      <c r="BM304" s="734"/>
      <c r="BN304" s="732"/>
      <c r="BO304" s="734"/>
      <c r="BP304" s="732"/>
      <c r="BQ304" s="734"/>
      <c r="BR304" s="732"/>
      <c r="BS304" s="734"/>
      <c r="BT304" s="732"/>
      <c r="BU304" s="734"/>
      <c r="BV304" s="732"/>
      <c r="BW304" s="734"/>
      <c r="BX304" s="732"/>
      <c r="BY304" s="734"/>
      <c r="BZ304" s="732"/>
      <c r="CA304" s="734"/>
      <c r="CB304" s="732"/>
      <c r="CC304" s="734"/>
      <c r="CD304" s="732"/>
      <c r="CE304" s="734"/>
      <c r="CF304" s="732"/>
      <c r="CG304" s="734"/>
      <c r="CH304" s="732"/>
      <c r="CI304" s="734"/>
      <c r="CJ304" s="732"/>
      <c r="CK304" s="734"/>
      <c r="CL304" s="732"/>
      <c r="CM304" s="734"/>
      <c r="CN304" s="732"/>
      <c r="CO304" s="734"/>
      <c r="CP304" s="732"/>
      <c r="CQ304" s="734"/>
      <c r="CR304" s="732"/>
      <c r="CS304" s="734"/>
      <c r="CT304" s="732"/>
      <c r="CU304" s="734"/>
      <c r="CV304" s="732"/>
      <c r="CW304" s="734"/>
      <c r="CX304" s="732"/>
      <c r="CY304" s="734"/>
      <c r="CZ304" s="732"/>
      <c r="DA304" s="734"/>
      <c r="DB304" s="734"/>
      <c r="DC304" s="732"/>
      <c r="DD304" s="733"/>
      <c r="DE304" s="732"/>
      <c r="DF304" s="733"/>
      <c r="DG304" s="732"/>
      <c r="DH304" s="733"/>
      <c r="DI304" s="732"/>
      <c r="DJ304" s="733"/>
      <c r="DK304" s="732"/>
      <c r="DL304" s="734"/>
      <c r="DM304" s="732"/>
      <c r="DN304" s="734"/>
      <c r="DO304" s="732"/>
      <c r="DP304" s="734"/>
      <c r="DQ304" s="732"/>
      <c r="DR304" s="734"/>
      <c r="DS304" s="732"/>
      <c r="DT304" s="734"/>
      <c r="DU304" s="732"/>
      <c r="DV304" s="734"/>
      <c r="DW304" s="732"/>
      <c r="DX304" s="734"/>
      <c r="DY304" s="732"/>
      <c r="DZ304" s="734"/>
      <c r="EA304" s="732"/>
      <c r="EB304" s="734"/>
      <c r="EC304" s="732"/>
      <c r="ED304" s="734"/>
      <c r="EE304" s="732"/>
      <c r="EF304" s="734"/>
      <c r="EG304" s="732"/>
      <c r="EH304" s="734"/>
      <c r="EI304" s="732"/>
      <c r="EJ304" s="734"/>
      <c r="EK304" s="732"/>
      <c r="EL304" s="734"/>
      <c r="EM304" s="732"/>
      <c r="EN304" s="734"/>
      <c r="EO304" s="732"/>
      <c r="EP304" s="734"/>
      <c r="EQ304" s="732"/>
      <c r="ER304" s="734"/>
      <c r="ES304" s="732"/>
      <c r="ET304" s="734"/>
      <c r="EU304" s="733"/>
      <c r="EV304" s="710"/>
    </row>
    <row r="305" spans="1:152" ht="12.75" hidden="1" customHeight="1" outlineLevel="1" x14ac:dyDescent="0.2">
      <c r="A305" s="712" t="str">
        <f>A$3</f>
        <v>($Millions Except Per Share Data)</v>
      </c>
      <c r="B305" s="736"/>
      <c r="C305" s="737" t="str">
        <f>C$3</f>
        <v>1Q06/</v>
      </c>
      <c r="D305" s="736"/>
      <c r="E305" s="737" t="str">
        <f>E$3</f>
        <v>2Q06/</v>
      </c>
      <c r="F305" s="736"/>
      <c r="G305" s="737" t="str">
        <f>G$3</f>
        <v>3Q06/</v>
      </c>
      <c r="H305" s="736"/>
      <c r="I305" s="738" t="str">
        <f>I$3</f>
        <v>4Q06/</v>
      </c>
      <c r="J305" s="736"/>
      <c r="K305" s="738" t="str">
        <f>K$3</f>
        <v>1Q07/</v>
      </c>
      <c r="L305" s="736"/>
      <c r="M305" s="738" t="str">
        <f>M$3</f>
        <v>2Q07/</v>
      </c>
      <c r="N305" s="736"/>
      <c r="O305" s="738" t="str">
        <f>O$3</f>
        <v>3Q07/</v>
      </c>
      <c r="P305" s="736"/>
      <c r="Q305" s="738" t="str">
        <f>Q$3</f>
        <v>4Q07/</v>
      </c>
      <c r="R305" s="736"/>
      <c r="S305" s="738" t="str">
        <f>S$3</f>
        <v>1Q08/</v>
      </c>
      <c r="T305" s="736"/>
      <c r="U305" s="738" t="str">
        <f>U$3</f>
        <v>2Q08/</v>
      </c>
      <c r="V305" s="736"/>
      <c r="W305" s="738" t="str">
        <f>W$3</f>
        <v>3Q08/</v>
      </c>
      <c r="X305" s="736"/>
      <c r="Y305" s="738" t="str">
        <f>Y$3</f>
        <v>4Q08/</v>
      </c>
      <c r="Z305" s="736"/>
      <c r="AA305" s="738" t="str">
        <f>AA$3</f>
        <v>1Q09/</v>
      </c>
      <c r="AB305" s="736"/>
      <c r="AC305" s="738" t="str">
        <f>AC$3</f>
        <v>2Q09/</v>
      </c>
      <c r="AD305" s="736"/>
      <c r="AE305" s="738" t="str">
        <f>AE$3</f>
        <v>3Q09/</v>
      </c>
      <c r="AF305" s="736"/>
      <c r="AG305" s="738" t="str">
        <f>AG$3</f>
        <v>4Q09/</v>
      </c>
      <c r="AH305" s="736"/>
      <c r="AI305" s="738" t="str">
        <f>AI$3</f>
        <v>1Q10/</v>
      </c>
      <c r="AJ305" s="736"/>
      <c r="AK305" s="738" t="str">
        <f>AK$3</f>
        <v>2Q10/</v>
      </c>
      <c r="AL305" s="736"/>
      <c r="AM305" s="738" t="str">
        <f>AM$3</f>
        <v>3Q10/</v>
      </c>
      <c r="AN305" s="736"/>
      <c r="AO305" s="738">
        <f>AO$3</f>
        <v>0</v>
      </c>
      <c r="AP305" s="736"/>
      <c r="AQ305" s="738" t="str">
        <f>AQ$3</f>
        <v>1Q11/</v>
      </c>
      <c r="AR305" s="736"/>
      <c r="AS305" s="738" t="str">
        <f>AS$3</f>
        <v>2Q11/</v>
      </c>
      <c r="AT305" s="736"/>
      <c r="AU305" s="738" t="str">
        <f>AU$3</f>
        <v>3Q11/</v>
      </c>
      <c r="AV305" s="736"/>
      <c r="AW305" s="738" t="str">
        <f>AW$3</f>
        <v>4Q11/</v>
      </c>
      <c r="AX305" s="736"/>
      <c r="AY305" s="738" t="str">
        <f>AY$3</f>
        <v>1Q12/</v>
      </c>
      <c r="AZ305" s="736"/>
      <c r="BA305" s="738" t="str">
        <f>BA$3</f>
        <v>2Q12/</v>
      </c>
      <c r="BB305" s="736"/>
      <c r="BC305" s="738" t="str">
        <f>BC$3</f>
        <v>3Q12/</v>
      </c>
      <c r="BD305" s="736"/>
      <c r="BE305" s="738" t="str">
        <f>BE$3</f>
        <v>4Q12/</v>
      </c>
      <c r="BF305" s="736"/>
      <c r="BG305" s="738" t="str">
        <f>BG$3</f>
        <v>1Q13/</v>
      </c>
      <c r="BH305" s="736"/>
      <c r="BI305" s="738" t="str">
        <f>BI$3</f>
        <v>2Q13/</v>
      </c>
      <c r="BJ305" s="736"/>
      <c r="BK305" s="738" t="str">
        <f>BK$3</f>
        <v>3Q13/</v>
      </c>
      <c r="BL305" s="736"/>
      <c r="BM305" s="738" t="str">
        <f>BM$3</f>
        <v>4Q13/</v>
      </c>
      <c r="BN305" s="736"/>
      <c r="BO305" s="738" t="str">
        <f>BO$3</f>
        <v>1Q14/</v>
      </c>
      <c r="BP305" s="736"/>
      <c r="BQ305" s="738" t="str">
        <f>BQ$3</f>
        <v>2Q14/</v>
      </c>
      <c r="BR305" s="736"/>
      <c r="BS305" s="738" t="str">
        <f>BS$3</f>
        <v>3Q14/</v>
      </c>
      <c r="BT305" s="736"/>
      <c r="BU305" s="738" t="str">
        <f>BU$3</f>
        <v>4Q14/</v>
      </c>
      <c r="BV305" s="736"/>
      <c r="BW305" s="738" t="str">
        <f>BW$3</f>
        <v>1Q15/</v>
      </c>
      <c r="BX305" s="736"/>
      <c r="BY305" s="738" t="str">
        <f>BY$3</f>
        <v>2Q15/</v>
      </c>
      <c r="BZ305" s="736"/>
      <c r="CA305" s="738" t="str">
        <f>CA$3</f>
        <v>3Q15/</v>
      </c>
      <c r="CB305" s="736"/>
      <c r="CC305" s="738" t="str">
        <f>CC$3</f>
        <v>4Q15/</v>
      </c>
      <c r="CD305" s="736"/>
      <c r="CE305" s="738" t="str">
        <f>CE$3</f>
        <v>1Q16/</v>
      </c>
      <c r="CF305" s="736"/>
      <c r="CG305" s="738" t="str">
        <f>CG$3</f>
        <v>2Q16/</v>
      </c>
      <c r="CH305" s="736"/>
      <c r="CI305" s="738" t="str">
        <f>CI$3</f>
        <v>3Q16/</v>
      </c>
      <c r="CJ305" s="736"/>
      <c r="CK305" s="738" t="str">
        <f>CK$3</f>
        <v>4Q16/</v>
      </c>
      <c r="CL305" s="736"/>
      <c r="CM305" s="738" t="str">
        <f t="shared" ref="CM305" si="311">CM$3</f>
        <v>1Q17/</v>
      </c>
      <c r="CN305" s="736"/>
      <c r="CO305" s="738" t="str">
        <f t="shared" ref="CO305" si="312">CO$3</f>
        <v>2Q17/</v>
      </c>
      <c r="CP305" s="736"/>
      <c r="CQ305" s="738" t="str">
        <f t="shared" ref="CQ305:CS305" si="313">CQ$3</f>
        <v>3Q17/</v>
      </c>
      <c r="CR305" s="736"/>
      <c r="CS305" s="738" t="str">
        <f t="shared" si="313"/>
        <v>4Q17/</v>
      </c>
      <c r="CT305" s="736"/>
      <c r="CU305" s="738" t="str">
        <f t="shared" ref="CU305" si="314">CU$3</f>
        <v>1Q18E/</v>
      </c>
      <c r="CV305" s="736"/>
      <c r="CW305" s="738" t="str">
        <f t="shared" ref="CW305" si="315">CW$3</f>
        <v>2Q18E/</v>
      </c>
      <c r="CX305" s="736"/>
      <c r="CY305" s="738" t="str">
        <f t="shared" ref="CY305:DA305" si="316">CY$3</f>
        <v>3Q18E/</v>
      </c>
      <c r="CZ305" s="736"/>
      <c r="DA305" s="738" t="str">
        <f t="shared" si="316"/>
        <v>4Q18E/</v>
      </c>
      <c r="DB305" s="739"/>
      <c r="DC305" s="736"/>
      <c r="DD305" s="737" t="str">
        <f>DD$3</f>
        <v>2001/</v>
      </c>
      <c r="DE305" s="736"/>
      <c r="DF305" s="737" t="str">
        <f>DF$3</f>
        <v>2002/</v>
      </c>
      <c r="DG305" s="736"/>
      <c r="DH305" s="737" t="str">
        <f>DH$3</f>
        <v>2003/</v>
      </c>
      <c r="DI305" s="736"/>
      <c r="DJ305" s="737" t="str">
        <f>DJ$3</f>
        <v>2004/</v>
      </c>
      <c r="DK305" s="736"/>
      <c r="DL305" s="738" t="str">
        <f>DL$3</f>
        <v>2005/</v>
      </c>
      <c r="DM305" s="736"/>
      <c r="DN305" s="738" t="str">
        <f>DN$3</f>
        <v>2006/</v>
      </c>
      <c r="DO305" s="736"/>
      <c r="DP305" s="738" t="str">
        <f>DP$3</f>
        <v>2007/</v>
      </c>
      <c r="DQ305" s="736"/>
      <c r="DR305" s="738" t="str">
        <f>DR$3</f>
        <v>2008/</v>
      </c>
      <c r="DS305" s="736"/>
      <c r="DT305" s="738" t="str">
        <f>DT$3</f>
        <v>2009/</v>
      </c>
      <c r="DU305" s="736"/>
      <c r="DV305" s="738" t="str">
        <f>DV$3</f>
        <v>2010/</v>
      </c>
      <c r="DW305" s="736"/>
      <c r="DX305" s="738" t="str">
        <f>DX$3</f>
        <v>2011/</v>
      </c>
      <c r="DY305" s="736"/>
      <c r="DZ305" s="738" t="str">
        <f>DZ$3</f>
        <v>2012/</v>
      </c>
      <c r="EA305" s="736"/>
      <c r="EB305" s="738" t="str">
        <f>EB$3</f>
        <v>2013/</v>
      </c>
      <c r="EC305" s="736"/>
      <c r="ED305" s="738" t="str">
        <f>ED$3</f>
        <v>2014/</v>
      </c>
      <c r="EE305" s="736"/>
      <c r="EF305" s="738" t="str">
        <f>EF$3</f>
        <v>2015/</v>
      </c>
      <c r="EG305" s="736"/>
      <c r="EH305" s="738" t="str">
        <f>EH$3</f>
        <v>2016/</v>
      </c>
      <c r="EI305" s="736"/>
      <c r="EJ305" s="738" t="str">
        <f>EJ$3</f>
        <v>2017/</v>
      </c>
      <c r="EK305" s="736"/>
      <c r="EL305" s="738" t="str">
        <f>EL$3</f>
        <v>2018E/</v>
      </c>
      <c r="EM305" s="736"/>
      <c r="EN305" s="738" t="str">
        <f>EN$3</f>
        <v>2019E/</v>
      </c>
      <c r="EO305" s="736"/>
      <c r="EP305" s="738" t="str">
        <f>EP$3</f>
        <v>2020E/</v>
      </c>
      <c r="EQ305" s="736"/>
      <c r="ER305" s="738" t="str">
        <f>ER$3</f>
        <v>2021E/</v>
      </c>
      <c r="ES305" s="736"/>
      <c r="ET305" s="738" t="str">
        <f>ET$3</f>
        <v>2022E/</v>
      </c>
      <c r="EU305" s="737"/>
      <c r="EV305" s="710"/>
    </row>
    <row r="306" spans="1:152" ht="12.75" hidden="1" customHeight="1" outlineLevel="1" x14ac:dyDescent="0.2">
      <c r="A306" s="740"/>
      <c r="B306" s="732"/>
      <c r="C306" s="741" t="str">
        <f>C$4</f>
        <v>1Q05</v>
      </c>
      <c r="D306" s="732"/>
      <c r="E306" s="741" t="str">
        <f>E$4</f>
        <v>2Q05</v>
      </c>
      <c r="F306" s="732"/>
      <c r="G306" s="741" t="str">
        <f>G$4</f>
        <v>3Q05</v>
      </c>
      <c r="H306" s="732"/>
      <c r="I306" s="734" t="str">
        <f>I$4</f>
        <v>4Q05</v>
      </c>
      <c r="J306" s="732"/>
      <c r="K306" s="734" t="str">
        <f>K$4</f>
        <v>1Q06</v>
      </c>
      <c r="L306" s="732"/>
      <c r="M306" s="734" t="str">
        <f>M$4</f>
        <v>2Q06</v>
      </c>
      <c r="N306" s="732"/>
      <c r="O306" s="734" t="str">
        <f>O$4</f>
        <v>3Q06</v>
      </c>
      <c r="P306" s="732"/>
      <c r="Q306" s="734" t="str">
        <f>Q$4</f>
        <v>4Q06</v>
      </c>
      <c r="R306" s="732"/>
      <c r="S306" s="734" t="str">
        <f>S$4</f>
        <v>1Q07</v>
      </c>
      <c r="T306" s="732"/>
      <c r="U306" s="734" t="str">
        <f>U$4</f>
        <v>2Q07</v>
      </c>
      <c r="V306" s="732"/>
      <c r="W306" s="734" t="str">
        <f>W$4</f>
        <v>3Q07</v>
      </c>
      <c r="X306" s="732"/>
      <c r="Y306" s="734" t="str">
        <f>Y$4</f>
        <v>4Q07</v>
      </c>
      <c r="Z306" s="732"/>
      <c r="AA306" s="734" t="str">
        <f>AA$4</f>
        <v>1Q08</v>
      </c>
      <c r="AB306" s="732"/>
      <c r="AC306" s="734" t="str">
        <f>AC$4</f>
        <v>2Q08</v>
      </c>
      <c r="AD306" s="732"/>
      <c r="AE306" s="734" t="str">
        <f>AE$4</f>
        <v>3Q08</v>
      </c>
      <c r="AF306" s="732"/>
      <c r="AG306" s="734" t="str">
        <f>AG$4</f>
        <v>4Q08</v>
      </c>
      <c r="AH306" s="732"/>
      <c r="AI306" s="734" t="str">
        <f>AI$4</f>
        <v>1Q09</v>
      </c>
      <c r="AJ306" s="732"/>
      <c r="AK306" s="734" t="str">
        <f>AK$4</f>
        <v>2Q09</v>
      </c>
      <c r="AL306" s="732"/>
      <c r="AM306" s="734" t="str">
        <f>AM$4</f>
        <v>3Q09</v>
      </c>
      <c r="AN306" s="732"/>
      <c r="AO306" s="734" t="str">
        <f>AO$4</f>
        <v>4Q09</v>
      </c>
      <c r="AP306" s="732"/>
      <c r="AQ306" s="734" t="str">
        <f>AQ$4</f>
        <v>1Q10</v>
      </c>
      <c r="AR306" s="732"/>
      <c r="AS306" s="734" t="str">
        <f>AS$4</f>
        <v>2Q10</v>
      </c>
      <c r="AT306" s="732"/>
      <c r="AU306" s="734" t="str">
        <f>AU$4</f>
        <v>3Q10</v>
      </c>
      <c r="AV306" s="732"/>
      <c r="AW306" s="734" t="str">
        <f>AW$4</f>
        <v>4Q10</v>
      </c>
      <c r="AX306" s="732"/>
      <c r="AY306" s="734" t="str">
        <f>AY$4</f>
        <v>1Q11</v>
      </c>
      <c r="AZ306" s="732"/>
      <c r="BA306" s="734" t="str">
        <f>BA$4</f>
        <v>2Q11</v>
      </c>
      <c r="BB306" s="732"/>
      <c r="BC306" s="734" t="str">
        <f>BC$4</f>
        <v>3Q11</v>
      </c>
      <c r="BD306" s="732"/>
      <c r="BE306" s="734" t="str">
        <f>BE$4</f>
        <v>4Q11</v>
      </c>
      <c r="BF306" s="732"/>
      <c r="BG306" s="734" t="str">
        <f>BG$4</f>
        <v>1Q12</v>
      </c>
      <c r="BH306" s="732"/>
      <c r="BI306" s="734" t="str">
        <f>BI$4</f>
        <v>2Q12</v>
      </c>
      <c r="BJ306" s="732"/>
      <c r="BK306" s="734" t="str">
        <f>BK$4</f>
        <v>3Q12</v>
      </c>
      <c r="BL306" s="732"/>
      <c r="BM306" s="734" t="str">
        <f>BM$4</f>
        <v>4Q12</v>
      </c>
      <c r="BN306" s="732"/>
      <c r="BO306" s="734" t="str">
        <f>BO$4</f>
        <v>1Q13</v>
      </c>
      <c r="BP306" s="732"/>
      <c r="BQ306" s="734" t="str">
        <f>BQ$4</f>
        <v>2Q13</v>
      </c>
      <c r="BR306" s="732"/>
      <c r="BS306" s="734" t="str">
        <f>BS$4</f>
        <v>3Q13</v>
      </c>
      <c r="BT306" s="732"/>
      <c r="BU306" s="734" t="str">
        <f>BU$4</f>
        <v>4Q13</v>
      </c>
      <c r="BV306" s="732"/>
      <c r="BW306" s="734" t="str">
        <f>BW$4</f>
        <v>1Q14</v>
      </c>
      <c r="BX306" s="732"/>
      <c r="BY306" s="734" t="str">
        <f>BY$4</f>
        <v>2Q14</v>
      </c>
      <c r="BZ306" s="732"/>
      <c r="CA306" s="734" t="str">
        <f>CA$4</f>
        <v>3Q14</v>
      </c>
      <c r="CB306" s="732"/>
      <c r="CC306" s="734" t="str">
        <f>CC$4</f>
        <v>4Q14</v>
      </c>
      <c r="CD306" s="732"/>
      <c r="CE306" s="734" t="str">
        <f>CE$4</f>
        <v>1Q15</v>
      </c>
      <c r="CF306" s="732"/>
      <c r="CG306" s="734" t="str">
        <f>CG$4</f>
        <v>2Q15</v>
      </c>
      <c r="CH306" s="732"/>
      <c r="CI306" s="734" t="str">
        <f>CI$4</f>
        <v>3Q15</v>
      </c>
      <c r="CJ306" s="732"/>
      <c r="CK306" s="734" t="str">
        <f>CK$4</f>
        <v>4Q15</v>
      </c>
      <c r="CL306" s="732"/>
      <c r="CM306" s="734" t="str">
        <f t="shared" ref="CM306" si="317">CM$4</f>
        <v>1Q16</v>
      </c>
      <c r="CN306" s="732"/>
      <c r="CO306" s="734" t="str">
        <f t="shared" ref="CO306" si="318">CO$4</f>
        <v>2Q16</v>
      </c>
      <c r="CP306" s="732"/>
      <c r="CQ306" s="734" t="str">
        <f t="shared" ref="CQ306:CS306" si="319">CQ$4</f>
        <v>3Q16</v>
      </c>
      <c r="CR306" s="732"/>
      <c r="CS306" s="734" t="str">
        <f t="shared" si="319"/>
        <v>4Q16</v>
      </c>
      <c r="CT306" s="732"/>
      <c r="CU306" s="734" t="str">
        <f t="shared" ref="CU306" si="320">CU$4</f>
        <v>1Q17</v>
      </c>
      <c r="CV306" s="732"/>
      <c r="CW306" s="734" t="str">
        <f t="shared" ref="CW306" si="321">CW$4</f>
        <v>2Q17</v>
      </c>
      <c r="CX306" s="732"/>
      <c r="CY306" s="734" t="str">
        <f t="shared" ref="CY306:DA306" si="322">CY$4</f>
        <v>3Q17</v>
      </c>
      <c r="CZ306" s="732"/>
      <c r="DA306" s="734" t="str">
        <f t="shared" si="322"/>
        <v>4Q17</v>
      </c>
      <c r="DB306" s="742"/>
      <c r="DC306" s="732"/>
      <c r="DD306" s="741" t="str">
        <f>DD$4</f>
        <v>2000</v>
      </c>
      <c r="DE306" s="732"/>
      <c r="DF306" s="741" t="str">
        <f>DF$4</f>
        <v>2001</v>
      </c>
      <c r="DG306" s="732"/>
      <c r="DH306" s="741" t="str">
        <f>DH$4</f>
        <v>2002</v>
      </c>
      <c r="DI306" s="732"/>
      <c r="DJ306" s="741" t="str">
        <f>DJ$4</f>
        <v>2003</v>
      </c>
      <c r="DK306" s="732"/>
      <c r="DL306" s="734" t="str">
        <f>DL$4</f>
        <v>2004</v>
      </c>
      <c r="DM306" s="732"/>
      <c r="DN306" s="734" t="str">
        <f>DN$4</f>
        <v>2005</v>
      </c>
      <c r="DO306" s="732"/>
      <c r="DP306" s="734">
        <f>DP$4</f>
        <v>2006</v>
      </c>
      <c r="DQ306" s="732"/>
      <c r="DR306" s="734">
        <f>DR$4</f>
        <v>2007</v>
      </c>
      <c r="DS306" s="732"/>
      <c r="DT306" s="734">
        <f>DT$4</f>
        <v>2008</v>
      </c>
      <c r="DU306" s="732"/>
      <c r="DV306" s="734" t="str">
        <f>DV$4</f>
        <v>2009</v>
      </c>
      <c r="DW306" s="732"/>
      <c r="DX306" s="734" t="str">
        <f>DX$4</f>
        <v>2010</v>
      </c>
      <c r="DY306" s="732"/>
      <c r="DZ306" s="734" t="str">
        <f>DZ$4</f>
        <v>2011</v>
      </c>
      <c r="EA306" s="732"/>
      <c r="EB306" s="734" t="str">
        <f>EB$4</f>
        <v>2012</v>
      </c>
      <c r="EC306" s="732"/>
      <c r="ED306" s="734" t="str">
        <f>ED$4</f>
        <v>2013</v>
      </c>
      <c r="EE306" s="732"/>
      <c r="EF306" s="734" t="str">
        <f>EF$4</f>
        <v>2014</v>
      </c>
      <c r="EG306" s="732"/>
      <c r="EH306" s="734" t="str">
        <f>EH$4</f>
        <v>2015</v>
      </c>
      <c r="EI306" s="732"/>
      <c r="EJ306" s="734" t="str">
        <f>EJ$4</f>
        <v>2016</v>
      </c>
      <c r="EK306" s="732"/>
      <c r="EL306" s="734" t="str">
        <f>EL$4</f>
        <v>2017</v>
      </c>
      <c r="EM306" s="732"/>
      <c r="EN306" s="734" t="str">
        <f>EN$4</f>
        <v>2018E</v>
      </c>
      <c r="EO306" s="732"/>
      <c r="EP306" s="734" t="str">
        <f>EP$4</f>
        <v>2019E</v>
      </c>
      <c r="EQ306" s="732"/>
      <c r="ER306" s="734" t="str">
        <f>ER$4</f>
        <v>2020E</v>
      </c>
      <c r="ES306" s="732"/>
      <c r="ET306" s="734" t="str">
        <f>ET$4</f>
        <v>2021E</v>
      </c>
      <c r="EU306" s="741" t="str">
        <f>EU$4</f>
        <v>CAGR</v>
      </c>
      <c r="EV306" s="710"/>
    </row>
    <row r="307" spans="1:152" ht="12.75" hidden="1" customHeight="1" outlineLevel="1" x14ac:dyDescent="0.2">
      <c r="A307" s="743"/>
      <c r="B307" s="744" t="str">
        <f t="shared" ref="B307:CL307" si="323">B$5</f>
        <v>1Q06</v>
      </c>
      <c r="C307" s="745" t="str">
        <f t="shared" si="323"/>
        <v>% Chg</v>
      </c>
      <c r="D307" s="744" t="str">
        <f t="shared" si="323"/>
        <v>2Q06</v>
      </c>
      <c r="E307" s="745" t="str">
        <f t="shared" si="323"/>
        <v>% Chg</v>
      </c>
      <c r="F307" s="744" t="str">
        <f t="shared" si="323"/>
        <v>3Q06</v>
      </c>
      <c r="G307" s="745" t="str">
        <f t="shared" si="323"/>
        <v>% Chg</v>
      </c>
      <c r="H307" s="744" t="str">
        <f t="shared" si="323"/>
        <v>4Q06</v>
      </c>
      <c r="I307" s="746" t="str">
        <f t="shared" si="323"/>
        <v>% Chg</v>
      </c>
      <c r="J307" s="744" t="str">
        <f t="shared" si="323"/>
        <v>1Q07</v>
      </c>
      <c r="K307" s="746" t="str">
        <f t="shared" si="323"/>
        <v>% Chg</v>
      </c>
      <c r="L307" s="744" t="str">
        <f t="shared" si="323"/>
        <v>2Q07</v>
      </c>
      <c r="M307" s="746" t="str">
        <f t="shared" si="323"/>
        <v>% Chg</v>
      </c>
      <c r="N307" s="744" t="str">
        <f t="shared" si="323"/>
        <v>3Q07</v>
      </c>
      <c r="O307" s="746" t="str">
        <f t="shared" si="323"/>
        <v>% Chg</v>
      </c>
      <c r="P307" s="744" t="str">
        <f t="shared" si="323"/>
        <v>4Q07</v>
      </c>
      <c r="Q307" s="746" t="str">
        <f t="shared" si="323"/>
        <v>% Chg</v>
      </c>
      <c r="R307" s="744" t="str">
        <f t="shared" si="323"/>
        <v>1Q08</v>
      </c>
      <c r="S307" s="746" t="str">
        <f t="shared" si="323"/>
        <v>% Chg</v>
      </c>
      <c r="T307" s="744" t="str">
        <f t="shared" si="323"/>
        <v>2Q08</v>
      </c>
      <c r="U307" s="746" t="str">
        <f t="shared" si="323"/>
        <v>% Chg</v>
      </c>
      <c r="V307" s="744" t="str">
        <f t="shared" si="323"/>
        <v>3Q08</v>
      </c>
      <c r="W307" s="746" t="str">
        <f t="shared" si="323"/>
        <v>% Chg</v>
      </c>
      <c r="X307" s="744" t="str">
        <f t="shared" si="323"/>
        <v>4Q08</v>
      </c>
      <c r="Y307" s="746" t="str">
        <f t="shared" si="323"/>
        <v>% Chg</v>
      </c>
      <c r="Z307" s="744" t="str">
        <f t="shared" si="323"/>
        <v>1Q09</v>
      </c>
      <c r="AA307" s="746" t="str">
        <f t="shared" si="323"/>
        <v>% Chg</v>
      </c>
      <c r="AB307" s="744" t="str">
        <f t="shared" si="323"/>
        <v>2Q09</v>
      </c>
      <c r="AC307" s="746" t="str">
        <f t="shared" si="323"/>
        <v>% Chg</v>
      </c>
      <c r="AD307" s="744" t="str">
        <f t="shared" si="323"/>
        <v>3Q09</v>
      </c>
      <c r="AE307" s="746" t="str">
        <f t="shared" si="323"/>
        <v>% Chg</v>
      </c>
      <c r="AF307" s="744" t="str">
        <f t="shared" si="323"/>
        <v>4Q09</v>
      </c>
      <c r="AG307" s="746" t="str">
        <f t="shared" si="323"/>
        <v>% Chg</v>
      </c>
      <c r="AH307" s="744" t="str">
        <f t="shared" si="323"/>
        <v>1Q10</v>
      </c>
      <c r="AI307" s="746" t="str">
        <f t="shared" si="323"/>
        <v>% Chg</v>
      </c>
      <c r="AJ307" s="744" t="str">
        <f t="shared" si="323"/>
        <v>2Q10</v>
      </c>
      <c r="AK307" s="746" t="str">
        <f t="shared" si="323"/>
        <v>% Chg</v>
      </c>
      <c r="AL307" s="744" t="str">
        <f t="shared" si="323"/>
        <v>3Q10</v>
      </c>
      <c r="AM307" s="746" t="str">
        <f t="shared" si="323"/>
        <v>% Chg</v>
      </c>
      <c r="AN307" s="744" t="str">
        <f t="shared" si="323"/>
        <v>4Q10</v>
      </c>
      <c r="AO307" s="746" t="str">
        <f t="shared" si="323"/>
        <v>% Chg</v>
      </c>
      <c r="AP307" s="744" t="str">
        <f t="shared" si="323"/>
        <v>1Q11</v>
      </c>
      <c r="AQ307" s="746" t="str">
        <f t="shared" si="323"/>
        <v>% Chg</v>
      </c>
      <c r="AR307" s="744" t="str">
        <f t="shared" si="323"/>
        <v>2Q11</v>
      </c>
      <c r="AS307" s="746" t="str">
        <f t="shared" si="323"/>
        <v>% Chg</v>
      </c>
      <c r="AT307" s="744" t="str">
        <f t="shared" si="323"/>
        <v>3Q11</v>
      </c>
      <c r="AU307" s="746" t="str">
        <f t="shared" si="323"/>
        <v>% Chg</v>
      </c>
      <c r="AV307" s="744" t="str">
        <f t="shared" si="323"/>
        <v>4Q11</v>
      </c>
      <c r="AW307" s="746" t="str">
        <f t="shared" si="323"/>
        <v>% Chg</v>
      </c>
      <c r="AX307" s="744" t="str">
        <f t="shared" si="323"/>
        <v>1Q12</v>
      </c>
      <c r="AY307" s="746" t="str">
        <f t="shared" si="323"/>
        <v>% Chg</v>
      </c>
      <c r="AZ307" s="744" t="str">
        <f t="shared" si="323"/>
        <v>2Q12</v>
      </c>
      <c r="BA307" s="746" t="str">
        <f t="shared" si="323"/>
        <v>% Chg</v>
      </c>
      <c r="BB307" s="744" t="str">
        <f t="shared" si="323"/>
        <v>3Q12</v>
      </c>
      <c r="BC307" s="746" t="str">
        <f t="shared" si="323"/>
        <v>% Chg</v>
      </c>
      <c r="BD307" s="744" t="str">
        <f t="shared" si="323"/>
        <v>4Q12</v>
      </c>
      <c r="BE307" s="746" t="str">
        <f t="shared" si="323"/>
        <v>% Chg</v>
      </c>
      <c r="BF307" s="744" t="str">
        <f t="shared" si="323"/>
        <v>1Q13</v>
      </c>
      <c r="BG307" s="746" t="str">
        <f t="shared" si="323"/>
        <v>% Chg</v>
      </c>
      <c r="BH307" s="744" t="str">
        <f t="shared" si="323"/>
        <v>2Q13</v>
      </c>
      <c r="BI307" s="746" t="str">
        <f t="shared" si="323"/>
        <v>% Chg</v>
      </c>
      <c r="BJ307" s="744" t="str">
        <f t="shared" si="323"/>
        <v>3Q13</v>
      </c>
      <c r="BK307" s="746" t="str">
        <f t="shared" si="323"/>
        <v>% Chg</v>
      </c>
      <c r="BL307" s="744" t="str">
        <f t="shared" si="323"/>
        <v>4Q13</v>
      </c>
      <c r="BM307" s="746" t="str">
        <f t="shared" si="323"/>
        <v>% Chg</v>
      </c>
      <c r="BN307" s="744" t="str">
        <f t="shared" si="323"/>
        <v>1Q14</v>
      </c>
      <c r="BO307" s="746" t="str">
        <f>BO$5</f>
        <v>% Chg</v>
      </c>
      <c r="BP307" s="744" t="str">
        <f t="shared" si="323"/>
        <v>2Q14</v>
      </c>
      <c r="BQ307" s="746" t="str">
        <f>BQ$5</f>
        <v>% Chg</v>
      </c>
      <c r="BR307" s="744" t="str">
        <f t="shared" si="323"/>
        <v>3Q14</v>
      </c>
      <c r="BS307" s="746" t="str">
        <f>BS$5</f>
        <v>% Chg</v>
      </c>
      <c r="BT307" s="744" t="str">
        <f t="shared" si="323"/>
        <v>4Q14</v>
      </c>
      <c r="BU307" s="746" t="str">
        <f>BU$5</f>
        <v>% Chg</v>
      </c>
      <c r="BV307" s="744" t="str">
        <f t="shared" si="323"/>
        <v>1Q15</v>
      </c>
      <c r="BW307" s="746" t="str">
        <f>BW$5</f>
        <v>% Chg</v>
      </c>
      <c r="BX307" s="744" t="str">
        <f t="shared" si="323"/>
        <v>2Q15</v>
      </c>
      <c r="BY307" s="746" t="str">
        <f>BY$5</f>
        <v>% Chg</v>
      </c>
      <c r="BZ307" s="744" t="str">
        <f t="shared" si="323"/>
        <v>3Q15</v>
      </c>
      <c r="CA307" s="746" t="str">
        <f>CA$5</f>
        <v>% Chg</v>
      </c>
      <c r="CB307" s="744" t="str">
        <f t="shared" si="323"/>
        <v>4Q15</v>
      </c>
      <c r="CC307" s="746" t="str">
        <f>CC$5</f>
        <v>% Chg</v>
      </c>
      <c r="CD307" s="744" t="str">
        <f t="shared" si="323"/>
        <v>1Q16</v>
      </c>
      <c r="CE307" s="746" t="str">
        <f>CE$5</f>
        <v>% Chg</v>
      </c>
      <c r="CF307" s="744" t="str">
        <f t="shared" si="323"/>
        <v>2Q16</v>
      </c>
      <c r="CG307" s="746" t="str">
        <f>CG$5</f>
        <v>% Chg</v>
      </c>
      <c r="CH307" s="744" t="str">
        <f t="shared" si="323"/>
        <v>3Q16</v>
      </c>
      <c r="CI307" s="746" t="str">
        <f>CI$5</f>
        <v>% Chg</v>
      </c>
      <c r="CJ307" s="744" t="str">
        <f t="shared" si="323"/>
        <v>4Q16</v>
      </c>
      <c r="CK307" s="746" t="str">
        <f>CK$5</f>
        <v>% Chg</v>
      </c>
      <c r="CL307" s="744" t="str">
        <f t="shared" si="323"/>
        <v>1Q17</v>
      </c>
      <c r="CM307" s="746" t="str">
        <f t="shared" ref="CM307:DA307" si="324">CM$5</f>
        <v>% Chg</v>
      </c>
      <c r="CN307" s="744" t="str">
        <f t="shared" si="324"/>
        <v>2Q17</v>
      </c>
      <c r="CO307" s="746" t="str">
        <f t="shared" si="324"/>
        <v>% Chg</v>
      </c>
      <c r="CP307" s="744" t="str">
        <f t="shared" si="324"/>
        <v>3Q17</v>
      </c>
      <c r="CQ307" s="746" t="str">
        <f t="shared" si="324"/>
        <v>% Chg</v>
      </c>
      <c r="CR307" s="744" t="str">
        <f t="shared" si="324"/>
        <v>4Q17</v>
      </c>
      <c r="CS307" s="746" t="str">
        <f t="shared" si="324"/>
        <v>% Chg</v>
      </c>
      <c r="CT307" s="744" t="str">
        <f t="shared" si="324"/>
        <v>1Q18E</v>
      </c>
      <c r="CU307" s="746" t="str">
        <f t="shared" si="324"/>
        <v>% Chg</v>
      </c>
      <c r="CV307" s="744" t="str">
        <f t="shared" si="324"/>
        <v>2Q18E</v>
      </c>
      <c r="CW307" s="746" t="str">
        <f t="shared" si="324"/>
        <v>% Chg</v>
      </c>
      <c r="CX307" s="744" t="str">
        <f t="shared" si="324"/>
        <v>3Q18E</v>
      </c>
      <c r="CY307" s="746" t="str">
        <f t="shared" si="324"/>
        <v>% Chg</v>
      </c>
      <c r="CZ307" s="744" t="str">
        <f t="shared" si="324"/>
        <v>4Q18E</v>
      </c>
      <c r="DA307" s="746" t="str">
        <f t="shared" si="324"/>
        <v>% Chg</v>
      </c>
      <c r="DB307" s="747"/>
      <c r="DC307" s="744" t="str">
        <f t="shared" ref="DC307:ET307" si="325">DC$5</f>
        <v>2001</v>
      </c>
      <c r="DD307" s="745" t="str">
        <f t="shared" si="325"/>
        <v>% Chg</v>
      </c>
      <c r="DE307" s="744" t="str">
        <f t="shared" si="325"/>
        <v>2002</v>
      </c>
      <c r="DF307" s="745" t="str">
        <f t="shared" si="325"/>
        <v>% Chg</v>
      </c>
      <c r="DG307" s="744" t="str">
        <f t="shared" si="325"/>
        <v>2003</v>
      </c>
      <c r="DH307" s="745" t="str">
        <f t="shared" si="325"/>
        <v>% Chg</v>
      </c>
      <c r="DI307" s="744" t="str">
        <f t="shared" si="325"/>
        <v>2004</v>
      </c>
      <c r="DJ307" s="745" t="str">
        <f t="shared" si="325"/>
        <v>% Chg</v>
      </c>
      <c r="DK307" s="744" t="str">
        <f t="shared" si="325"/>
        <v>2005</v>
      </c>
      <c r="DL307" s="746" t="str">
        <f t="shared" si="325"/>
        <v>% Chg</v>
      </c>
      <c r="DM307" s="748">
        <f t="shared" si="325"/>
        <v>2006</v>
      </c>
      <c r="DN307" s="746" t="str">
        <f t="shared" si="325"/>
        <v>% Chg</v>
      </c>
      <c r="DO307" s="748">
        <f t="shared" si="325"/>
        <v>2007</v>
      </c>
      <c r="DP307" s="746" t="str">
        <f t="shared" si="325"/>
        <v>% Chg</v>
      </c>
      <c r="DQ307" s="748">
        <f t="shared" si="325"/>
        <v>2008</v>
      </c>
      <c r="DR307" s="746" t="str">
        <f t="shared" si="325"/>
        <v>% Chg</v>
      </c>
      <c r="DS307" s="744" t="str">
        <f t="shared" si="325"/>
        <v>2009</v>
      </c>
      <c r="DT307" s="746" t="str">
        <f t="shared" si="325"/>
        <v>% Chg</v>
      </c>
      <c r="DU307" s="744" t="str">
        <f t="shared" si="325"/>
        <v>2010</v>
      </c>
      <c r="DV307" s="746" t="str">
        <f t="shared" si="325"/>
        <v>% Chg</v>
      </c>
      <c r="DW307" s="744" t="str">
        <f t="shared" si="325"/>
        <v>2011</v>
      </c>
      <c r="DX307" s="746" t="str">
        <f t="shared" si="325"/>
        <v>% Chg</v>
      </c>
      <c r="DY307" s="744" t="str">
        <f t="shared" si="325"/>
        <v>2012</v>
      </c>
      <c r="DZ307" s="746" t="str">
        <f t="shared" si="325"/>
        <v>% Chg</v>
      </c>
      <c r="EA307" s="744" t="str">
        <f t="shared" si="325"/>
        <v>2013</v>
      </c>
      <c r="EB307" s="746" t="str">
        <f t="shared" si="325"/>
        <v>% Chg</v>
      </c>
      <c r="EC307" s="744" t="str">
        <f t="shared" si="325"/>
        <v>2014</v>
      </c>
      <c r="ED307" s="746" t="str">
        <f t="shared" si="325"/>
        <v>% Chg</v>
      </c>
      <c r="EE307" s="744" t="str">
        <f t="shared" si="325"/>
        <v>2015</v>
      </c>
      <c r="EF307" s="746" t="str">
        <f t="shared" si="325"/>
        <v>% Chg</v>
      </c>
      <c r="EG307" s="744" t="str">
        <f t="shared" si="325"/>
        <v>2016</v>
      </c>
      <c r="EH307" s="746" t="str">
        <f t="shared" si="325"/>
        <v>% Chg</v>
      </c>
      <c r="EI307" s="744" t="str">
        <f t="shared" si="325"/>
        <v>2017</v>
      </c>
      <c r="EJ307" s="746" t="str">
        <f t="shared" si="325"/>
        <v>% Chg</v>
      </c>
      <c r="EK307" s="744" t="str">
        <f t="shared" si="325"/>
        <v>2018E</v>
      </c>
      <c r="EL307" s="746" t="str">
        <f t="shared" si="325"/>
        <v>% Chg</v>
      </c>
      <c r="EM307" s="744" t="str">
        <f t="shared" si="325"/>
        <v>2019E</v>
      </c>
      <c r="EN307" s="746" t="str">
        <f t="shared" si="325"/>
        <v>% Chg</v>
      </c>
      <c r="EO307" s="744" t="str">
        <f t="shared" si="325"/>
        <v>2020E</v>
      </c>
      <c r="EP307" s="746" t="str">
        <f t="shared" si="325"/>
        <v>% Chg</v>
      </c>
      <c r="EQ307" s="744" t="str">
        <f t="shared" si="325"/>
        <v>2021E</v>
      </c>
      <c r="ER307" s="746" t="str">
        <f t="shared" si="325"/>
        <v>% Chg</v>
      </c>
      <c r="ES307" s="744" t="str">
        <f t="shared" si="325"/>
        <v>2022E</v>
      </c>
      <c r="ET307" s="746" t="str">
        <f t="shared" si="325"/>
        <v>% Chg</v>
      </c>
      <c r="EU307" s="745" t="str">
        <f>EU$5</f>
        <v>(%)</v>
      </c>
      <c r="EV307" s="710"/>
    </row>
    <row r="308" spans="1:152" ht="12.75" hidden="1" customHeight="1" outlineLevel="1" x14ac:dyDescent="0.2">
      <c r="A308" s="749"/>
      <c r="B308" s="750"/>
      <c r="C308" s="767"/>
      <c r="D308" s="750"/>
      <c r="E308" s="767"/>
      <c r="F308" s="750"/>
      <c r="G308" s="767"/>
      <c r="H308" s="750"/>
      <c r="I308" s="752"/>
      <c r="J308" s="750"/>
      <c r="K308" s="752"/>
      <c r="L308" s="750"/>
      <c r="M308" s="752"/>
      <c r="N308" s="750"/>
      <c r="O308" s="752"/>
      <c r="P308" s="750"/>
      <c r="Q308" s="752"/>
      <c r="R308" s="750"/>
      <c r="S308" s="752"/>
      <c r="T308" s="750"/>
      <c r="U308" s="752"/>
      <c r="V308" s="750"/>
      <c r="W308" s="752"/>
      <c r="X308" s="750"/>
      <c r="Y308" s="752"/>
      <c r="Z308" s="750"/>
      <c r="AA308" s="752"/>
      <c r="AB308" s="750"/>
      <c r="AC308" s="752"/>
      <c r="AD308" s="750"/>
      <c r="AE308" s="752"/>
      <c r="AF308" s="750"/>
      <c r="AG308" s="752"/>
      <c r="AH308" s="750"/>
      <c r="AI308" s="752"/>
      <c r="AJ308" s="750"/>
      <c r="AK308" s="752"/>
      <c r="AL308" s="750"/>
      <c r="AM308" s="752"/>
      <c r="AN308" s="750"/>
      <c r="AO308" s="752"/>
      <c r="AP308" s="750"/>
      <c r="AQ308" s="752"/>
      <c r="AR308" s="750"/>
      <c r="AS308" s="752"/>
      <c r="AT308" s="750"/>
      <c r="AU308" s="752"/>
      <c r="AV308" s="750"/>
      <c r="AW308" s="752"/>
      <c r="AX308" s="750"/>
      <c r="AY308" s="752"/>
      <c r="AZ308" s="750"/>
      <c r="BA308" s="752"/>
      <c r="BB308" s="750"/>
      <c r="BC308" s="752"/>
      <c r="BD308" s="750"/>
      <c r="BE308" s="752"/>
      <c r="BF308" s="750"/>
      <c r="BG308" s="752"/>
      <c r="BH308" s="750"/>
      <c r="BI308" s="752"/>
      <c r="BJ308" s="750"/>
      <c r="BK308" s="752"/>
      <c r="BL308" s="750"/>
      <c r="BM308" s="752"/>
      <c r="BN308" s="750"/>
      <c r="BO308" s="752"/>
      <c r="BP308" s="750"/>
      <c r="BQ308" s="752"/>
      <c r="BR308" s="750"/>
      <c r="BS308" s="752"/>
      <c r="BT308" s="750"/>
      <c r="BU308" s="752"/>
      <c r="BV308" s="750"/>
      <c r="BW308" s="752"/>
      <c r="BX308" s="750"/>
      <c r="BY308" s="752"/>
      <c r="BZ308" s="750"/>
      <c r="CA308" s="752"/>
      <c r="CB308" s="750"/>
      <c r="CC308" s="752"/>
      <c r="CD308" s="750"/>
      <c r="CE308" s="752"/>
      <c r="CF308" s="750"/>
      <c r="CG308" s="752"/>
      <c r="CH308" s="750"/>
      <c r="CI308" s="752"/>
      <c r="CJ308" s="750"/>
      <c r="CK308" s="752"/>
      <c r="CL308" s="750"/>
      <c r="CM308" s="752"/>
      <c r="CN308" s="750"/>
      <c r="CO308" s="752"/>
      <c r="CP308" s="750"/>
      <c r="CQ308" s="752"/>
      <c r="CR308" s="750"/>
      <c r="CS308" s="752"/>
      <c r="CT308" s="750"/>
      <c r="CU308" s="752"/>
      <c r="CV308" s="750"/>
      <c r="CW308" s="752"/>
      <c r="CX308" s="750"/>
      <c r="CY308" s="752"/>
      <c r="CZ308" s="750"/>
      <c r="DA308" s="752"/>
      <c r="DB308" s="753"/>
      <c r="DC308" s="750"/>
      <c r="DD308" s="767"/>
      <c r="DE308" s="750"/>
      <c r="DF308" s="767"/>
      <c r="DG308" s="750"/>
      <c r="DH308" s="767"/>
      <c r="DI308" s="750"/>
      <c r="DJ308" s="767"/>
      <c r="DK308" s="750"/>
      <c r="DL308" s="752"/>
      <c r="DM308" s="750"/>
      <c r="DN308" s="752"/>
      <c r="DO308" s="750"/>
      <c r="DP308" s="752"/>
      <c r="DQ308" s="750"/>
      <c r="DR308" s="752"/>
      <c r="DS308" s="750"/>
      <c r="DT308" s="752"/>
      <c r="DU308" s="750"/>
      <c r="DV308" s="752"/>
      <c r="DW308" s="750"/>
      <c r="DX308" s="752"/>
      <c r="DY308" s="750"/>
      <c r="DZ308" s="752"/>
      <c r="EA308" s="750"/>
      <c r="EB308" s="752"/>
      <c r="EC308" s="750"/>
      <c r="ED308" s="752"/>
      <c r="EE308" s="750"/>
      <c r="EF308" s="752"/>
      <c r="EG308" s="750"/>
      <c r="EH308" s="752"/>
      <c r="EI308" s="750"/>
      <c r="EJ308" s="752"/>
      <c r="EK308" s="750"/>
      <c r="EL308" s="752"/>
      <c r="EM308" s="750"/>
      <c r="EN308" s="752"/>
      <c r="EO308" s="750"/>
      <c r="EP308" s="752"/>
      <c r="EQ308" s="750"/>
      <c r="ER308" s="752"/>
      <c r="ES308" s="750"/>
      <c r="ET308" s="752"/>
      <c r="EU308" s="767"/>
      <c r="EV308" s="710"/>
    </row>
    <row r="309" spans="1:152" ht="12.75" hidden="1" customHeight="1" outlineLevel="1" x14ac:dyDescent="0.2">
      <c r="A309" s="749" t="s">
        <v>285</v>
      </c>
      <c r="B309" s="750"/>
      <c r="C309" s="767"/>
      <c r="D309" s="750"/>
      <c r="E309" s="767"/>
      <c r="F309" s="750"/>
      <c r="G309" s="767"/>
      <c r="H309" s="750"/>
      <c r="I309" s="752"/>
      <c r="J309" s="750"/>
      <c r="K309" s="752"/>
      <c r="L309" s="750"/>
      <c r="M309" s="752"/>
      <c r="N309" s="750"/>
      <c r="O309" s="752"/>
      <c r="P309" s="750"/>
      <c r="Q309" s="752"/>
      <c r="R309" s="750"/>
      <c r="S309" s="752"/>
      <c r="T309" s="750"/>
      <c r="U309" s="752"/>
      <c r="V309" s="750"/>
      <c r="W309" s="752"/>
      <c r="X309" s="750"/>
      <c r="Y309" s="752"/>
      <c r="Z309" s="750"/>
      <c r="AA309" s="752"/>
      <c r="AB309" s="750"/>
      <c r="AC309" s="752"/>
      <c r="AD309" s="750"/>
      <c r="AE309" s="752"/>
      <c r="AF309" s="750"/>
      <c r="AG309" s="752"/>
      <c r="AH309" s="750"/>
      <c r="AI309" s="752"/>
      <c r="AJ309" s="750"/>
      <c r="AK309" s="752"/>
      <c r="AL309" s="750"/>
      <c r="AM309" s="752"/>
      <c r="AN309" s="750"/>
      <c r="AO309" s="752"/>
      <c r="AP309" s="750"/>
      <c r="AQ309" s="752"/>
      <c r="AR309" s="750"/>
      <c r="AS309" s="752"/>
      <c r="AT309" s="750"/>
      <c r="AU309" s="752"/>
      <c r="AV309" s="750"/>
      <c r="AW309" s="752"/>
      <c r="AX309" s="750"/>
      <c r="AY309" s="752"/>
      <c r="AZ309" s="750"/>
      <c r="BA309" s="752"/>
      <c r="BB309" s="750"/>
      <c r="BC309" s="752"/>
      <c r="BD309" s="750"/>
      <c r="BE309" s="752"/>
      <c r="BF309" s="750"/>
      <c r="BG309" s="752"/>
      <c r="BH309" s="750"/>
      <c r="BI309" s="752"/>
      <c r="BJ309" s="750"/>
      <c r="BK309" s="752"/>
      <c r="BL309" s="750"/>
      <c r="BM309" s="752"/>
      <c r="BN309" s="750"/>
      <c r="BO309" s="752"/>
      <c r="BP309" s="750"/>
      <c r="BQ309" s="752"/>
      <c r="BR309" s="750"/>
      <c r="BS309" s="752"/>
      <c r="BT309" s="750"/>
      <c r="BU309" s="752"/>
      <c r="BV309" s="750"/>
      <c r="BW309" s="752"/>
      <c r="BX309" s="750"/>
      <c r="BY309" s="752"/>
      <c r="BZ309" s="750"/>
      <c r="CA309" s="752"/>
      <c r="CB309" s="750"/>
      <c r="CC309" s="752"/>
      <c r="CD309" s="750"/>
      <c r="CE309" s="752"/>
      <c r="CF309" s="750"/>
      <c r="CG309" s="752"/>
      <c r="CH309" s="750"/>
      <c r="CI309" s="752"/>
      <c r="CJ309" s="750"/>
      <c r="CK309" s="752"/>
      <c r="CL309" s="750"/>
      <c r="CM309" s="752"/>
      <c r="CN309" s="750"/>
      <c r="CO309" s="752"/>
      <c r="CP309" s="750"/>
      <c r="CQ309" s="752"/>
      <c r="CR309" s="750"/>
      <c r="CS309" s="752"/>
      <c r="CT309" s="750"/>
      <c r="CU309" s="752"/>
      <c r="CV309" s="750"/>
      <c r="CW309" s="752"/>
      <c r="CX309" s="750"/>
      <c r="CY309" s="752"/>
      <c r="CZ309" s="750"/>
      <c r="DA309" s="752"/>
      <c r="DB309" s="753"/>
      <c r="DC309" s="750"/>
      <c r="DD309" s="767"/>
      <c r="DE309" s="750"/>
      <c r="DF309" s="767"/>
      <c r="DG309" s="750"/>
      <c r="DH309" s="767"/>
      <c r="DI309" s="750"/>
      <c r="DJ309" s="767"/>
      <c r="DK309" s="750"/>
      <c r="DL309" s="752"/>
      <c r="DM309" s="750"/>
      <c r="DN309" s="752"/>
      <c r="DO309" s="750"/>
      <c r="DP309" s="752"/>
      <c r="DQ309" s="750"/>
      <c r="DR309" s="752"/>
      <c r="DS309" s="750"/>
      <c r="DT309" s="752"/>
      <c r="DU309" s="750"/>
      <c r="DV309" s="752"/>
      <c r="DW309" s="750"/>
      <c r="DX309" s="752"/>
      <c r="DY309" s="750"/>
      <c r="DZ309" s="752"/>
      <c r="EA309" s="750"/>
      <c r="EB309" s="752"/>
      <c r="EC309" s="750"/>
      <c r="ED309" s="752"/>
      <c r="EE309" s="750"/>
      <c r="EF309" s="752"/>
      <c r="EG309" s="750"/>
      <c r="EH309" s="752"/>
      <c r="EI309" s="750"/>
      <c r="EJ309" s="752"/>
      <c r="EK309" s="750"/>
      <c r="EL309" s="752"/>
      <c r="EM309" s="750"/>
      <c r="EN309" s="752"/>
      <c r="EO309" s="750"/>
      <c r="EP309" s="752"/>
      <c r="EQ309" s="750"/>
      <c r="ER309" s="752"/>
      <c r="ES309" s="750"/>
      <c r="ET309" s="752"/>
      <c r="EU309" s="767"/>
      <c r="EV309" s="710"/>
    </row>
    <row r="310" spans="1:152" ht="12.75" hidden="1" customHeight="1" outlineLevel="1" x14ac:dyDescent="0.2">
      <c r="A310" s="754" t="str">
        <f>INPUT!B252</f>
        <v>Premium Income</v>
      </c>
      <c r="B310" s="750">
        <f>INPUT!AS252</f>
        <v>271</v>
      </c>
      <c r="C310" s="756">
        <f>INPUT!AT252</f>
        <v>11.983471074380159</v>
      </c>
      <c r="D310" s="750">
        <f>INPUT!AU252</f>
        <v>264.2</v>
      </c>
      <c r="E310" s="756">
        <f>INPUT!AV252</f>
        <v>13.487972508591062</v>
      </c>
      <c r="F310" s="750">
        <f>INPUT!AW252</f>
        <v>257.8</v>
      </c>
      <c r="G310" s="756">
        <f>INPUT!AX252</f>
        <v>7.763975155279379E-2</v>
      </c>
      <c r="H310" s="750">
        <f>INPUT!AY252</f>
        <v>269.8</v>
      </c>
      <c r="I310" s="752">
        <f>INPUT!AZ252</f>
        <v>-3.4013605442176909</v>
      </c>
      <c r="J310" s="750">
        <f>INPUT!BA252</f>
        <v>252.3</v>
      </c>
      <c r="K310" s="752">
        <f>INPUT!BB252</f>
        <v>-6.9003690036900327</v>
      </c>
      <c r="L310" s="750">
        <f>INPUT!BC252</f>
        <v>249.4</v>
      </c>
      <c r="M310" s="752">
        <f>INPUT!BD252</f>
        <v>-5.6018168054504098</v>
      </c>
      <c r="N310" s="750">
        <f>INPUT!BE252</f>
        <v>256</v>
      </c>
      <c r="O310" s="752">
        <f>INPUT!BF252</f>
        <v>-0.69821567106284066</v>
      </c>
      <c r="P310" s="750">
        <f>INPUT!BG252</f>
        <v>252.2</v>
      </c>
      <c r="Q310" s="752">
        <f>INPUT!BH252</f>
        <v>-6.5233506300963811</v>
      </c>
      <c r="R310" s="750">
        <f>INPUT!BI252</f>
        <v>238.4</v>
      </c>
      <c r="S310" s="752">
        <f>INPUT!BJ252</f>
        <v>-5.5093143083630665</v>
      </c>
      <c r="T310" s="750">
        <f>INPUT!BK252</f>
        <v>237.2</v>
      </c>
      <c r="U310" s="752">
        <f>INPUT!BL252</f>
        <v>-4.8917401764234203</v>
      </c>
      <c r="V310" s="750">
        <f>INPUT!BM252</f>
        <v>237.5</v>
      </c>
      <c r="W310" s="752">
        <f>INPUT!BN252</f>
        <v>-7.2265625</v>
      </c>
      <c r="X310" s="750">
        <f>INPUT!BO252</f>
        <v>239.2</v>
      </c>
      <c r="Y310" s="752">
        <f>INPUT!BP252</f>
        <v>-5.1546391752577359</v>
      </c>
      <c r="Z310" s="750">
        <f>INPUT!BQ252</f>
        <v>229.6</v>
      </c>
      <c r="AA310" s="752">
        <f>INPUT!BR252</f>
        <v>-3.6912751677852351</v>
      </c>
      <c r="AB310" s="750">
        <f>INPUT!BS252</f>
        <v>228</v>
      </c>
      <c r="AC310" s="752">
        <f>INPUT!BT252</f>
        <v>-3.8785834738617186</v>
      </c>
      <c r="AD310" s="750">
        <f>INPUT!BU252</f>
        <v>221.5</v>
      </c>
      <c r="AE310" s="752">
        <f>INPUT!BV252</f>
        <v>-6.7368421052631628</v>
      </c>
      <c r="AF310" s="750">
        <f>INPUT!BW252</f>
        <v>219.4</v>
      </c>
      <c r="AG310" s="752">
        <f>INPUT!BX252</f>
        <v>-8.2775919732441352</v>
      </c>
      <c r="AH310" s="750">
        <f>INPUT!BY252</f>
        <v>365.4</v>
      </c>
      <c r="AI310" s="752">
        <f>INPUT!BZ252</f>
        <v>59.146341463414622</v>
      </c>
      <c r="AJ310" s="750">
        <f>INPUT!CA252</f>
        <v>362.2</v>
      </c>
      <c r="AK310" s="752">
        <f>INPUT!CB252</f>
        <v>58.859649122807014</v>
      </c>
      <c r="AL310" s="750">
        <f>INPUT!CC252</f>
        <v>358.3</v>
      </c>
      <c r="AM310" s="752">
        <f>INPUT!CD252</f>
        <v>61.760722347629795</v>
      </c>
      <c r="AN310" s="750">
        <f>INPUT!CE252</f>
        <v>363.8</v>
      </c>
      <c r="AO310" s="752">
        <f>INPUT!CF252</f>
        <v>65.815861440291698</v>
      </c>
      <c r="AP310" s="750">
        <f>INPUT!CG252</f>
        <v>353.2</v>
      </c>
      <c r="AQ310" s="752">
        <f>INPUT!CH252</f>
        <v>-3.3388067870826488</v>
      </c>
      <c r="AR310" s="750">
        <f>INPUT!CI252</f>
        <v>347.4</v>
      </c>
      <c r="AS310" s="752">
        <f>INPUT!CJ252</f>
        <v>-4.086140254003312</v>
      </c>
      <c r="AT310" s="750">
        <f>INPUT!CK252</f>
        <v>347.6</v>
      </c>
      <c r="AU310" s="752">
        <f>INPUT!CL252</f>
        <v>-2.9863243092380642</v>
      </c>
      <c r="AV310" s="750">
        <f>INPUT!CM252</f>
        <v>347.1</v>
      </c>
      <c r="AW310" s="752">
        <f>INPUT!CN252</f>
        <v>-4.5904343045629403</v>
      </c>
      <c r="AX310" s="750">
        <f>INPUT!CO252</f>
        <v>342.9</v>
      </c>
      <c r="AY310" s="752">
        <f>INPUT!CP252</f>
        <v>-2.9161947904869812</v>
      </c>
      <c r="AZ310" s="750">
        <f>INPUT!CQ252</f>
        <v>342.5</v>
      </c>
      <c r="BA310" s="752">
        <f>INPUT!CR252</f>
        <v>-1.4104778353483005</v>
      </c>
      <c r="BB310" s="750">
        <f>INPUT!CS252</f>
        <v>342.9</v>
      </c>
      <c r="BC310" s="752">
        <f>INPUT!CT252</f>
        <v>-1.3521288837744616</v>
      </c>
      <c r="BD310" s="750">
        <f>INPUT!CU252</f>
        <v>342.2</v>
      </c>
      <c r="BE310" s="752">
        <f>INPUT!CV252</f>
        <v>-1.4116969173149085</v>
      </c>
      <c r="BF310" s="750">
        <f>INPUT!CW252</f>
        <v>340.3</v>
      </c>
      <c r="BG310" s="752">
        <f>INPUT!CX252</f>
        <v>-0.75823855351413449</v>
      </c>
      <c r="BH310" s="750">
        <f>INPUT!CY252</f>
        <v>328.8</v>
      </c>
      <c r="BI310" s="752">
        <f>INPUT!CZ252</f>
        <v>-3.9999999999999925</v>
      </c>
      <c r="BJ310" s="750">
        <f>INPUT!DA252</f>
        <v>326.3</v>
      </c>
      <c r="BK310" s="752">
        <f>INPUT!DB252</f>
        <v>-4.8410615339749103</v>
      </c>
      <c r="BL310" s="750">
        <f>INPUT!DC252</f>
        <v>323.39999999999998</v>
      </c>
      <c r="BM310" s="752">
        <f>INPUT!DD252</f>
        <v>-5.4938632378725867</v>
      </c>
      <c r="BN310" s="750">
        <f>INPUT!DE252</f>
        <v>317.89999999999998</v>
      </c>
      <c r="BO310" s="752">
        <f>INPUT!DF252</f>
        <v>-6.5824272700558462</v>
      </c>
      <c r="BP310" s="750">
        <f>INPUT!DG252</f>
        <v>315.10000000000002</v>
      </c>
      <c r="BQ310" s="752">
        <f>INPUT!DH252</f>
        <v>-4.1666666666666625</v>
      </c>
      <c r="BR310" s="750">
        <f>INPUT!DI252</f>
        <v>312.5</v>
      </c>
      <c r="BS310" s="752">
        <f>INPUT!DJ252</f>
        <v>-4.2292368985596074</v>
      </c>
      <c r="BT310" s="750">
        <f>INPUT!DK252</f>
        <v>311.10000000000002</v>
      </c>
      <c r="BU310" s="752">
        <f>INPUT!DL252</f>
        <v>-3.8033395176252149</v>
      </c>
      <c r="BV310" s="750">
        <f>INPUT!DM252</f>
        <v>304.89999999999998</v>
      </c>
      <c r="BW310" s="752">
        <f>INPUT!DN252</f>
        <v>-4.0893362692670632</v>
      </c>
      <c r="BX310" s="750">
        <f>INPUT!DO252</f>
        <v>303</v>
      </c>
      <c r="BY310" s="752">
        <f>INPUT!DP252</f>
        <v>-3.8400507775309456</v>
      </c>
      <c r="BZ310" s="750">
        <f>INPUT!DQ252</f>
        <v>301.3</v>
      </c>
      <c r="CA310" s="752">
        <f>INPUT!DR252</f>
        <v>-3.5839999999999983</v>
      </c>
      <c r="CB310" s="750">
        <f>INPUT!DS252</f>
        <v>298.39999999999998</v>
      </c>
      <c r="CC310" s="752">
        <f>INPUT!DT252</f>
        <v>-4.0822886531661995</v>
      </c>
      <c r="CD310" s="750">
        <f>INPUT!DU252</f>
        <v>295.7</v>
      </c>
      <c r="CE310" s="752">
        <f>INPUT!DV252</f>
        <v>-3.0173827484421101</v>
      </c>
      <c r="CF310" s="750">
        <f>INPUT!DW252</f>
        <v>290</v>
      </c>
      <c r="CG310" s="752">
        <f>INPUT!DX252</f>
        <v>-4.2904290429042868</v>
      </c>
      <c r="CH310" s="750">
        <f>INPUT!DY252</f>
        <v>293</v>
      </c>
      <c r="CI310" s="752">
        <f>INPUT!DZ252</f>
        <v>-2.7547295054762722</v>
      </c>
      <c r="CJ310" s="750">
        <f>INPUT!EA252</f>
        <v>291.7</v>
      </c>
      <c r="CK310" s="752">
        <f>INPUT!EB252</f>
        <v>-2.2453083109919558</v>
      </c>
      <c r="CL310" s="750">
        <f>INPUT!EC252</f>
        <v>286.89999999999998</v>
      </c>
      <c r="CM310" s="752">
        <f>INPUT!ED252</f>
        <v>-2.9759891782211723</v>
      </c>
      <c r="CN310" s="750">
        <f>INPUT!EE252</f>
        <v>281.39999999999998</v>
      </c>
      <c r="CO310" s="752">
        <f>INPUT!EF252</f>
        <v>-2.9655172413793229</v>
      </c>
      <c r="CP310" s="750">
        <f>INPUT!EG252</f>
        <v>282.5</v>
      </c>
      <c r="CQ310" s="752">
        <f>INPUT!EH252</f>
        <v>-3.5836177474402708</v>
      </c>
      <c r="CR310" s="750">
        <f>INPUT!EI252</f>
        <v>278.39999999999998</v>
      </c>
      <c r="CS310" s="752">
        <f>INPUT!EJ252</f>
        <v>-4.5594789166952365</v>
      </c>
      <c r="CT310" s="750">
        <f>INPUT!EK252</f>
        <v>275.61599999999999</v>
      </c>
      <c r="CU310" s="752">
        <f>INPUT!EL252</f>
        <v>-3.9330777274311557</v>
      </c>
      <c r="CV310" s="750">
        <f>INPUT!EM252</f>
        <v>273.96230399999996</v>
      </c>
      <c r="CW310" s="752">
        <f>INPUT!EN252</f>
        <v>-2.6431044776119461</v>
      </c>
      <c r="CX310" s="750">
        <f>INPUT!EO252</f>
        <v>272.31853017599997</v>
      </c>
      <c r="CY310" s="752">
        <f>INPUT!EP252</f>
        <v>-3.6040601146902773</v>
      </c>
      <c r="CZ310" s="750">
        <f>INPUT!EQ252</f>
        <v>270.68461899494395</v>
      </c>
      <c r="DA310" s="752">
        <f>INPUT!ER252</f>
        <v>-2.7713293840000097</v>
      </c>
      <c r="DB310" s="753"/>
      <c r="DC310" s="750">
        <f>INPUT!FB252</f>
        <v>0</v>
      </c>
      <c r="DD310" s="756">
        <f>INPUT!FC252</f>
        <v>0</v>
      </c>
      <c r="DE310" s="750">
        <f>INPUT!FD252</f>
        <v>1106.3</v>
      </c>
      <c r="DF310" s="756" t="str">
        <f>INPUT!FE252</f>
        <v>NA</v>
      </c>
      <c r="DG310" s="750">
        <f>INPUT!FF252</f>
        <v>1028.5</v>
      </c>
      <c r="DH310" s="756">
        <f>INPUT!FG252</f>
        <v>-7.0324505107113744</v>
      </c>
      <c r="DI310" s="750">
        <f>INPUT!FH252</f>
        <v>986.59999999999991</v>
      </c>
      <c r="DJ310" s="756">
        <f>INPUT!FI252</f>
        <v>-4.0738940204180896</v>
      </c>
      <c r="DK310" s="750">
        <f>INPUT!FJ252</f>
        <v>1011.7</v>
      </c>
      <c r="DL310" s="752">
        <f>INPUT!FK252</f>
        <v>2.5440908169471088</v>
      </c>
      <c r="DM310" s="750">
        <f>INPUT!FL252</f>
        <v>1062.8</v>
      </c>
      <c r="DN310" s="752">
        <f>INPUT!FM252</f>
        <v>5.0509044183058016</v>
      </c>
      <c r="DO310" s="750">
        <f>INPUT!FN252</f>
        <v>1009.9000000000001</v>
      </c>
      <c r="DP310" s="752">
        <f>INPUT!FO252</f>
        <v>-4.977418140760248</v>
      </c>
      <c r="DQ310" s="750">
        <f>INPUT!FP252</f>
        <v>952.3</v>
      </c>
      <c r="DR310" s="752">
        <f>INPUT!FQ252</f>
        <v>-5.7035350034656984</v>
      </c>
      <c r="DS310" s="750">
        <f>INPUT!FR252</f>
        <v>1495.9</v>
      </c>
      <c r="DT310" s="752">
        <f>INPUT!FS252</f>
        <v>57.082852042423625</v>
      </c>
      <c r="DU310" s="750">
        <f>INPUT!FT252</f>
        <v>1449.6999999999998</v>
      </c>
      <c r="DV310" s="752">
        <f>INPUT!FU252</f>
        <v>-3.0884417407580855</v>
      </c>
      <c r="DW310" s="750">
        <f>INPUT!FV252</f>
        <v>1395.2999999999997</v>
      </c>
      <c r="DX310" s="752">
        <f>INPUT!FW252</f>
        <v>-3.7525005173484227</v>
      </c>
      <c r="DY310" s="750">
        <f>INPUT!FX252</f>
        <v>1370.5</v>
      </c>
      <c r="DZ310" s="752">
        <f>INPUT!FY252</f>
        <v>-1.7773955421772958</v>
      </c>
      <c r="EA310" s="750">
        <f>INPUT!FZ252</f>
        <v>1318.8000000000002</v>
      </c>
      <c r="EB310" s="752">
        <f>INPUT!GA252</f>
        <v>-3.7723458591754744</v>
      </c>
      <c r="EC310" s="750">
        <f>INPUT!GB252</f>
        <v>1256.5999999999999</v>
      </c>
      <c r="ED310" s="752">
        <f>INPUT!GC252</f>
        <v>-4.716408856536269</v>
      </c>
      <c r="EE310" s="750">
        <f>INPUT!GD252</f>
        <v>1207.5999999999999</v>
      </c>
      <c r="EF310" s="752">
        <f>INPUT!GE252</f>
        <v>-3.8994111093426764</v>
      </c>
      <c r="EG310" s="750">
        <f>INPUT!GF252</f>
        <v>1170.4000000000001</v>
      </c>
      <c r="EH310" s="752">
        <f>INPUT!GG252</f>
        <v>-3.0804902285524904</v>
      </c>
      <c r="EI310" s="750">
        <f>INPUT!GH252</f>
        <v>1129.1999999999998</v>
      </c>
      <c r="EJ310" s="752">
        <f>INPUT!GI252</f>
        <v>-3.5201640464798567</v>
      </c>
      <c r="EK310" s="750">
        <f>INPUT!GJ252</f>
        <v>1092.5814531709439</v>
      </c>
      <c r="EL310" s="752">
        <f>INPUT!GK252</f>
        <v>-3.2428752062571675</v>
      </c>
      <c r="EM310" s="750">
        <f>INPUT!GL252</f>
        <v>1059.8040095758156</v>
      </c>
      <c r="EN310" s="752">
        <f>INPUT!GM252</f>
        <v>-2.9999999999999916</v>
      </c>
      <c r="EO310" s="750">
        <f>INPUT!GN252</f>
        <v>1028.009889288541</v>
      </c>
      <c r="EP310" s="752">
        <f>INPUT!GO252</f>
        <v>-3.0000000000000138</v>
      </c>
      <c r="EQ310" s="750">
        <f>INPUT!GP252</f>
        <v>997.16959260988472</v>
      </c>
      <c r="ER310" s="752">
        <f>INPUT!GQ252</f>
        <v>-3.0000000000000027</v>
      </c>
      <c r="ES310" s="750">
        <f>INPUT!GR252</f>
        <v>967.25450483158818</v>
      </c>
      <c r="ET310" s="752">
        <f>INPUT!GS252</f>
        <v>-3.0000000000000027</v>
      </c>
      <c r="EU310" s="756">
        <f>INPUT!GT252</f>
        <v>-3.0486237646666026</v>
      </c>
      <c r="EV310" s="710"/>
    </row>
    <row r="311" spans="1:152" ht="12.75" hidden="1" customHeight="1" outlineLevel="1" x14ac:dyDescent="0.2">
      <c r="A311" s="754" t="str">
        <f>INPUT!B253</f>
        <v>Net Investment Income</v>
      </c>
      <c r="B311" s="750">
        <f>INPUT!AS253</f>
        <v>202.2</v>
      </c>
      <c r="C311" s="756">
        <f>INPUT!AT253</f>
        <v>12.395775430794886</v>
      </c>
      <c r="D311" s="750">
        <f>INPUT!AU253</f>
        <v>214</v>
      </c>
      <c r="E311" s="756">
        <f>INPUT!AV253</f>
        <v>12.809699525566698</v>
      </c>
      <c r="F311" s="750">
        <f>INPUT!AW253</f>
        <v>207</v>
      </c>
      <c r="G311" s="756">
        <f>INPUT!AX253</f>
        <v>7.3094867807153907</v>
      </c>
      <c r="H311" s="750">
        <f>INPUT!AY253</f>
        <v>205.5</v>
      </c>
      <c r="I311" s="752">
        <f>INPUT!AZ253</f>
        <v>-0.96385542168674343</v>
      </c>
      <c r="J311" s="750">
        <f>INPUT!BA253</f>
        <v>204.6</v>
      </c>
      <c r="K311" s="752">
        <f>INPUT!BB253</f>
        <v>1.1869436201780381</v>
      </c>
      <c r="L311" s="750">
        <f>INPUT!BC253</f>
        <v>203.4</v>
      </c>
      <c r="M311" s="752">
        <f>INPUT!BD253</f>
        <v>-4.953271028037376</v>
      </c>
      <c r="N311" s="750">
        <f>INPUT!BE253</f>
        <v>213.6</v>
      </c>
      <c r="O311" s="752">
        <f>INPUT!BF253</f>
        <v>3.1884057971014457</v>
      </c>
      <c r="P311" s="750">
        <f>INPUT!BG253</f>
        <v>206</v>
      </c>
      <c r="Q311" s="752">
        <f>INPUT!BH253</f>
        <v>0.24330900243310083</v>
      </c>
      <c r="R311" s="750">
        <f>INPUT!BI253</f>
        <v>190.89999999999998</v>
      </c>
      <c r="S311" s="752">
        <f>INPUT!BJ253</f>
        <v>-6.6959921798631523</v>
      </c>
      <c r="T311" s="750">
        <f>INPUT!BK253</f>
        <v>198.4</v>
      </c>
      <c r="U311" s="752">
        <f>INPUT!BL253</f>
        <v>-2.4582104228121904</v>
      </c>
      <c r="V311" s="750">
        <f>INPUT!BM253</f>
        <v>189.29999999999998</v>
      </c>
      <c r="W311" s="752">
        <f>INPUT!BN253</f>
        <v>-11.376404494382031</v>
      </c>
      <c r="X311" s="750">
        <f>INPUT!BO253</f>
        <v>188.9</v>
      </c>
      <c r="Y311" s="752">
        <f>INPUT!BP253</f>
        <v>-8.3009708737864063</v>
      </c>
      <c r="Z311" s="750">
        <f>INPUT!BQ253</f>
        <v>186.4</v>
      </c>
      <c r="AA311" s="752">
        <f>INPUT!BR253</f>
        <v>-2.357255107386047</v>
      </c>
      <c r="AB311" s="750">
        <f>INPUT!BS253</f>
        <v>187.4</v>
      </c>
      <c r="AC311" s="752">
        <f>INPUT!BT253</f>
        <v>-7.0564516129032251</v>
      </c>
      <c r="AD311" s="750">
        <f>INPUT!BU253</f>
        <v>184.4</v>
      </c>
      <c r="AE311" s="752">
        <f>INPUT!BV253</f>
        <v>-2.5884838880084415</v>
      </c>
      <c r="AF311" s="750">
        <f>INPUT!BW253</f>
        <v>182.4</v>
      </c>
      <c r="AG311" s="752">
        <f>INPUT!BX253</f>
        <v>-3.4409740603493888</v>
      </c>
      <c r="AH311" s="750">
        <f>INPUT!BY253</f>
        <v>290.8</v>
      </c>
      <c r="AI311" s="752">
        <f>INPUT!BZ253</f>
        <v>56.008583690987138</v>
      </c>
      <c r="AJ311" s="750">
        <f>INPUT!CA253</f>
        <v>293</v>
      </c>
      <c r="AK311" s="752">
        <f>INPUT!CB253</f>
        <v>55.176093916755597</v>
      </c>
      <c r="AL311" s="750">
        <f>INPUT!CC253</f>
        <v>290.8</v>
      </c>
      <c r="AM311" s="752">
        <f>INPUT!CD253</f>
        <v>57.700650759219087</v>
      </c>
      <c r="AN311" s="750">
        <f>INPUT!CE253</f>
        <v>291.8</v>
      </c>
      <c r="AO311" s="752">
        <f>INPUT!CF253</f>
        <v>59.978070175438589</v>
      </c>
      <c r="AP311" s="750">
        <f>INPUT!CG253</f>
        <v>294.3</v>
      </c>
      <c r="AQ311" s="752">
        <f>INPUT!CH253</f>
        <v>1.2035763411279321</v>
      </c>
      <c r="AR311" s="750">
        <f>INPUT!CI253</f>
        <v>294.5</v>
      </c>
      <c r="AS311" s="752">
        <f>INPUT!CJ253</f>
        <v>0.51194539249146409</v>
      </c>
      <c r="AT311" s="750">
        <f>INPUT!CK253</f>
        <v>300.10000000000002</v>
      </c>
      <c r="AU311" s="752">
        <f>INPUT!CL253</f>
        <v>3.1980742778541904</v>
      </c>
      <c r="AV311" s="750">
        <f>INPUT!CM253</f>
        <v>300.8</v>
      </c>
      <c r="AW311" s="752">
        <f>INPUT!CN253</f>
        <v>3.0843043180260432</v>
      </c>
      <c r="AX311" s="750">
        <f>INPUT!CO253</f>
        <v>301.60000000000002</v>
      </c>
      <c r="AY311" s="752">
        <f>INPUT!CP253</f>
        <v>2.4804621134896454</v>
      </c>
      <c r="AZ311" s="750">
        <f>INPUT!CQ253</f>
        <v>304.5</v>
      </c>
      <c r="BA311" s="752">
        <f>INPUT!CR253</f>
        <v>3.395585738539908</v>
      </c>
      <c r="BB311" s="750">
        <f>INPUT!CS253</f>
        <v>307.3</v>
      </c>
      <c r="BC311" s="752">
        <f>INPUT!CT253</f>
        <v>2.3992002665778056</v>
      </c>
      <c r="BD311" s="750">
        <f>INPUT!CU253</f>
        <v>317.10000000000002</v>
      </c>
      <c r="BE311" s="752">
        <f>INPUT!CV253</f>
        <v>5.4188829787234161</v>
      </c>
      <c r="BF311" s="750">
        <f>INPUT!CW253</f>
        <v>312.39999999999998</v>
      </c>
      <c r="BG311" s="752">
        <f>INPUT!CX253</f>
        <v>3.5809018567639184</v>
      </c>
      <c r="BH311" s="750">
        <f>INPUT!CY253</f>
        <v>315.60000000000002</v>
      </c>
      <c r="BI311" s="752">
        <f>INPUT!CZ253</f>
        <v>3.6453201970443327</v>
      </c>
      <c r="BJ311" s="750">
        <f>INPUT!DA253</f>
        <v>314.7</v>
      </c>
      <c r="BK311" s="752">
        <f>INPUT!DB253</f>
        <v>2.4080702896192463</v>
      </c>
      <c r="BL311" s="750">
        <f>INPUT!DC253</f>
        <v>327.5</v>
      </c>
      <c r="BM311" s="752">
        <f>INPUT!DD253</f>
        <v>3.2797224850204865</v>
      </c>
      <c r="BN311" s="750">
        <f>INPUT!DE253</f>
        <v>315.5</v>
      </c>
      <c r="BO311" s="752">
        <f>INPUT!DF253</f>
        <v>0.99231754161333008</v>
      </c>
      <c r="BP311" s="750">
        <f>INPUT!DG253</f>
        <v>325.8</v>
      </c>
      <c r="BQ311" s="752">
        <f>INPUT!DH253</f>
        <v>3.2319391634980876</v>
      </c>
      <c r="BR311" s="750">
        <f>INPUT!DI253</f>
        <v>317.2</v>
      </c>
      <c r="BS311" s="752">
        <f>INPUT!DJ253</f>
        <v>0.79440737210041412</v>
      </c>
      <c r="BT311" s="750">
        <f>INPUT!DK253</f>
        <v>323</v>
      </c>
      <c r="BU311" s="752">
        <f>INPUT!DL253</f>
        <v>-1.3740458015267132</v>
      </c>
      <c r="BV311" s="750">
        <f>INPUT!DM253</f>
        <v>320.39999999999998</v>
      </c>
      <c r="BW311" s="752">
        <f>INPUT!DN253</f>
        <v>1.5530903328050627</v>
      </c>
      <c r="BX311" s="750">
        <f>INPUT!DO253</f>
        <v>331.7</v>
      </c>
      <c r="BY311" s="752">
        <f>INPUT!DP253</f>
        <v>1.8109269490484969</v>
      </c>
      <c r="BZ311" s="750">
        <f>INPUT!DQ253</f>
        <v>327.5</v>
      </c>
      <c r="CA311" s="752">
        <f>INPUT!DR253</f>
        <v>3.2471626733921788</v>
      </c>
      <c r="CB311" s="750">
        <f>INPUT!DS253</f>
        <v>340.4</v>
      </c>
      <c r="CC311" s="752">
        <f>INPUT!DT253</f>
        <v>5.3869969040247545</v>
      </c>
      <c r="CD311" s="750">
        <f>INPUT!DU253</f>
        <v>333.4</v>
      </c>
      <c r="CE311" s="752">
        <f>INPUT!DV253</f>
        <v>4.0574282147315843</v>
      </c>
      <c r="CF311" s="750">
        <f>INPUT!DW253</f>
        <v>341.1</v>
      </c>
      <c r="CG311" s="752">
        <f>INPUT!DX253</f>
        <v>2.8338860416038614</v>
      </c>
      <c r="CH311" s="750">
        <f>INPUT!DY253</f>
        <v>334.1</v>
      </c>
      <c r="CI311" s="752">
        <f>INPUT!DZ253</f>
        <v>2.0152671755725216</v>
      </c>
      <c r="CJ311" s="750">
        <f>INPUT!EA253</f>
        <v>343.6</v>
      </c>
      <c r="CK311" s="752">
        <f>INPUT!EB253</f>
        <v>0.94007050528790437</v>
      </c>
      <c r="CL311" s="750">
        <f>INPUT!EC253</f>
        <v>335.3</v>
      </c>
      <c r="CM311" s="752">
        <f>INPUT!ED253</f>
        <v>0.56988602279544054</v>
      </c>
      <c r="CN311" s="750">
        <f>INPUT!EE253</f>
        <v>340</v>
      </c>
      <c r="CO311" s="752">
        <f>INPUT!EF253</f>
        <v>-0.32248607446497823</v>
      </c>
      <c r="CP311" s="750">
        <f>INPUT!EG253</f>
        <v>337.2</v>
      </c>
      <c r="CQ311" s="752">
        <f>INPUT!EH253</f>
        <v>0.9278659084106522</v>
      </c>
      <c r="CR311" s="750">
        <f>INPUT!EI253</f>
        <v>341.5</v>
      </c>
      <c r="CS311" s="752">
        <f>INPUT!EJ253</f>
        <v>-0.61117578579744647</v>
      </c>
      <c r="CT311" s="750">
        <f>INPUT!EK253</f>
        <v>338.93875000000003</v>
      </c>
      <c r="CU311" s="752">
        <f>INPUT!EL253</f>
        <v>1.0852221890844005</v>
      </c>
      <c r="CV311" s="750">
        <f>INPUT!EM253</f>
        <v>336.39670937500006</v>
      </c>
      <c r="CW311" s="752">
        <f>INPUT!EN253</f>
        <v>-1.0597913602941045</v>
      </c>
      <c r="CX311" s="750">
        <f>INPUT!EO253</f>
        <v>333.87373405468759</v>
      </c>
      <c r="CY311" s="752">
        <f>INPUT!EP253</f>
        <v>-0.98643711308197268</v>
      </c>
      <c r="CZ311" s="750">
        <f>INPUT!EQ253</f>
        <v>331.36968104927746</v>
      </c>
      <c r="DA311" s="752">
        <f>INPUT!ER253</f>
        <v>-2.9664184335937205</v>
      </c>
      <c r="DB311" s="753"/>
      <c r="DC311" s="750">
        <f>INPUT!FB253</f>
        <v>0</v>
      </c>
      <c r="DD311" s="756">
        <f>INPUT!FC253</f>
        <v>0</v>
      </c>
      <c r="DE311" s="750">
        <f>INPUT!FD253</f>
        <v>814.5</v>
      </c>
      <c r="DF311" s="756" t="str">
        <f>INPUT!FE253</f>
        <v>NA</v>
      </c>
      <c r="DG311" s="750">
        <f>INPUT!FF253</f>
        <v>824.2</v>
      </c>
      <c r="DH311" s="756">
        <f>INPUT!FG253</f>
        <v>1.1909146715776586</v>
      </c>
      <c r="DI311" s="750">
        <f>INPUT!FH253</f>
        <v>799.1</v>
      </c>
      <c r="DJ311" s="756">
        <f>INPUT!FI253</f>
        <v>-3.0453773355981539</v>
      </c>
      <c r="DK311" s="750">
        <f>INPUT!FJ253</f>
        <v>769.99999999999989</v>
      </c>
      <c r="DL311" s="752">
        <f>INPUT!FK253</f>
        <v>-3.6415967963959628</v>
      </c>
      <c r="DM311" s="750">
        <f>INPUT!FL253</f>
        <v>828.7</v>
      </c>
      <c r="DN311" s="752">
        <f>INPUT!FM253</f>
        <v>7.6233766233766431</v>
      </c>
      <c r="DO311" s="750">
        <f>INPUT!FN253</f>
        <v>827.6</v>
      </c>
      <c r="DP311" s="752">
        <f>INPUT!FO253</f>
        <v>-0.13273802341016161</v>
      </c>
      <c r="DQ311" s="750">
        <f>INPUT!FP253</f>
        <v>767.49999999999989</v>
      </c>
      <c r="DR311" s="752">
        <f>INPUT!FQ253</f>
        <v>-7.261962300628344</v>
      </c>
      <c r="DS311" s="750">
        <f>INPUT!FR253</f>
        <v>1106.8</v>
      </c>
      <c r="DT311" s="752">
        <f>INPUT!FS253</f>
        <v>44.208469055374607</v>
      </c>
      <c r="DU311" s="750">
        <f>INPUT!FT253</f>
        <v>1166.3999999999999</v>
      </c>
      <c r="DV311" s="752">
        <f>INPUT!FU253</f>
        <v>5.3848933863389847</v>
      </c>
      <c r="DW311" s="750">
        <f>INPUT!FV253</f>
        <v>1189.7</v>
      </c>
      <c r="DX311" s="752">
        <f>INPUT!FW253</f>
        <v>1.9975994513031781</v>
      </c>
      <c r="DY311" s="750">
        <f>INPUT!FX253</f>
        <v>1229.7</v>
      </c>
      <c r="DZ311" s="752">
        <f>INPUT!FY253</f>
        <v>3.3621921492813289</v>
      </c>
      <c r="EA311" s="750">
        <f>INPUT!FZ253</f>
        <v>1270.2</v>
      </c>
      <c r="EB311" s="752">
        <f>INPUT!GA253</f>
        <v>3.2934862161502876</v>
      </c>
      <c r="EC311" s="750">
        <f>INPUT!GB253</f>
        <v>1281.5</v>
      </c>
      <c r="ED311" s="752">
        <f>INPUT!GC253</f>
        <v>0.88962368131002556</v>
      </c>
      <c r="EE311" s="750">
        <f>INPUT!GD253</f>
        <v>1320</v>
      </c>
      <c r="EF311" s="752">
        <f>INPUT!GE253</f>
        <v>3.0042918454935563</v>
      </c>
      <c r="EG311" s="750">
        <f>INPUT!GF253</f>
        <v>1352.2</v>
      </c>
      <c r="EH311" s="752">
        <f>INPUT!GG253</f>
        <v>2.4393939393939412</v>
      </c>
      <c r="EI311" s="750">
        <f>INPUT!GH253</f>
        <v>1354</v>
      </c>
      <c r="EJ311" s="752">
        <f>INPUT!GI253</f>
        <v>0.13311640289896953</v>
      </c>
      <c r="EK311" s="750">
        <f>INPUT!GJ253</f>
        <v>1340.5788744789652</v>
      </c>
      <c r="EL311" s="752">
        <f>INPUT!GK253</f>
        <v>-0.99122049638366017</v>
      </c>
      <c r="EM311" s="750">
        <f>INPUT!GL253</f>
        <v>1300.3615082445963</v>
      </c>
      <c r="EN311" s="752">
        <f>INPUT!GM253</f>
        <v>-2.9999999999999916</v>
      </c>
      <c r="EO311" s="750">
        <f>INPUT!GN253</f>
        <v>1261.3506629972583</v>
      </c>
      <c r="EP311" s="752">
        <f>INPUT!GO253</f>
        <v>-3.0000000000000138</v>
      </c>
      <c r="EQ311" s="750">
        <f>INPUT!GP253</f>
        <v>1223.5101431073406</v>
      </c>
      <c r="ER311" s="752">
        <f>INPUT!GQ253</f>
        <v>-2.9999999999999916</v>
      </c>
      <c r="ES311" s="750">
        <f>INPUT!GR253</f>
        <v>1186.8048388141203</v>
      </c>
      <c r="ET311" s="752">
        <f>INPUT!GS253</f>
        <v>-3.0000000000000027</v>
      </c>
      <c r="EU311" s="756">
        <f>INPUT!GT253</f>
        <v>-2.6015313335851054</v>
      </c>
      <c r="EV311" s="710"/>
    </row>
    <row r="312" spans="1:152" ht="12.75" hidden="1" customHeight="1" outlineLevel="1" x14ac:dyDescent="0.2">
      <c r="A312" s="754" t="str">
        <f>INPUT!B254</f>
        <v>Other Income</v>
      </c>
      <c r="B312" s="750">
        <f>INPUT!AS254</f>
        <v>26.3</v>
      </c>
      <c r="C312" s="756">
        <f>INPUT!AT254</f>
        <v>6.4777327935222839</v>
      </c>
      <c r="D312" s="750">
        <f>INPUT!AU254</f>
        <v>23.9</v>
      </c>
      <c r="E312" s="756">
        <f>INPUT!AV254</f>
        <v>20.707070707070695</v>
      </c>
      <c r="F312" s="750">
        <f>INPUT!AW254</f>
        <v>25.5</v>
      </c>
      <c r="G312" s="756">
        <f>INPUT!AX254</f>
        <v>-0.77821011673151474</v>
      </c>
      <c r="H312" s="750">
        <f>INPUT!AY254</f>
        <v>29.4</v>
      </c>
      <c r="I312" s="752">
        <f>INPUT!AZ254</f>
        <v>17.599999999999994</v>
      </c>
      <c r="J312" s="750">
        <f>INPUT!BA254</f>
        <v>25.3</v>
      </c>
      <c r="K312" s="752">
        <f>INPUT!BB254</f>
        <v>-3.802281368821292</v>
      </c>
      <c r="L312" s="750">
        <f>INPUT!BC254</f>
        <v>25.8</v>
      </c>
      <c r="M312" s="752">
        <f>INPUT!BD254</f>
        <v>7.9497907949790836</v>
      </c>
      <c r="N312" s="750">
        <f>INPUT!BE254</f>
        <v>27.5</v>
      </c>
      <c r="O312" s="752">
        <f>INPUT!BF254</f>
        <v>7.8431372549019551</v>
      </c>
      <c r="P312" s="750">
        <f>INPUT!BG254</f>
        <v>25.1</v>
      </c>
      <c r="Q312" s="752">
        <f>INPUT!BH254</f>
        <v>-14.625850340136049</v>
      </c>
      <c r="R312" s="750">
        <f>INPUT!BI254</f>
        <v>24.1</v>
      </c>
      <c r="S312" s="752">
        <f>INPUT!BJ254</f>
        <v>-4.743083003952564</v>
      </c>
      <c r="T312" s="750">
        <f>INPUT!BK254</f>
        <v>25.4</v>
      </c>
      <c r="U312" s="752">
        <f>INPUT!BL254</f>
        <v>-1.5503875968992276</v>
      </c>
      <c r="V312" s="750">
        <f>INPUT!BM254</f>
        <v>23.799999999999997</v>
      </c>
      <c r="W312" s="752">
        <f>INPUT!BN254</f>
        <v>-13.454545454545464</v>
      </c>
      <c r="X312" s="750">
        <f>INPUT!BO254</f>
        <v>25.3</v>
      </c>
      <c r="Y312" s="752">
        <f>INPUT!BP254</f>
        <v>0.79681274900398336</v>
      </c>
      <c r="Z312" s="750">
        <f>INPUT!BQ254</f>
        <v>26.9</v>
      </c>
      <c r="AA312" s="752">
        <f>INPUT!BR254</f>
        <v>11.618257261410768</v>
      </c>
      <c r="AB312" s="750">
        <f>INPUT!BS254</f>
        <v>25.8</v>
      </c>
      <c r="AC312" s="752">
        <f>INPUT!BT254</f>
        <v>1.5748031496063186</v>
      </c>
      <c r="AD312" s="750">
        <f>INPUT!BU254</f>
        <v>24.3</v>
      </c>
      <c r="AE312" s="752">
        <f>INPUT!BV254</f>
        <v>2.1008403361344685</v>
      </c>
      <c r="AF312" s="750">
        <f>INPUT!BW254</f>
        <v>23.8</v>
      </c>
      <c r="AG312" s="752">
        <f>INPUT!BX254</f>
        <v>-5.928853754940711</v>
      </c>
      <c r="AH312" s="750">
        <f>INPUT!BY254</f>
        <v>28.6</v>
      </c>
      <c r="AI312" s="752">
        <f>INPUT!BZ254</f>
        <v>6.3197026022304925</v>
      </c>
      <c r="AJ312" s="750">
        <f>INPUT!CA254</f>
        <v>28.6</v>
      </c>
      <c r="AK312" s="752">
        <f>INPUT!CB254</f>
        <v>10.852713178294572</v>
      </c>
      <c r="AL312" s="750">
        <f>INPUT!CC254</f>
        <v>27.8</v>
      </c>
      <c r="AM312" s="752">
        <f>INPUT!CD254</f>
        <v>14.403292181069949</v>
      </c>
      <c r="AN312" s="750">
        <f>INPUT!CE254</f>
        <v>28.6</v>
      </c>
      <c r="AO312" s="752">
        <f>INPUT!CF254</f>
        <v>20.168067226890752</v>
      </c>
      <c r="AP312" s="750">
        <f>INPUT!CG254</f>
        <v>27.5</v>
      </c>
      <c r="AQ312" s="752">
        <f>INPUT!CH254</f>
        <v>-3.8461538461538547</v>
      </c>
      <c r="AR312" s="750">
        <f>INPUT!CI254</f>
        <v>26.7</v>
      </c>
      <c r="AS312" s="752">
        <f>INPUT!CJ254</f>
        <v>-6.643356643356646</v>
      </c>
      <c r="AT312" s="750">
        <f>INPUT!CK254</f>
        <v>26.4</v>
      </c>
      <c r="AU312" s="752">
        <f>INPUT!CL254</f>
        <v>-5.0359712230215852</v>
      </c>
      <c r="AV312" s="750">
        <f>INPUT!CM254</f>
        <v>25.5</v>
      </c>
      <c r="AW312" s="752">
        <f>INPUT!CN254</f>
        <v>-10.839160839160844</v>
      </c>
      <c r="AX312" s="750">
        <f>INPUT!CO254</f>
        <v>25.9</v>
      </c>
      <c r="AY312" s="752">
        <f>INPUT!CP254</f>
        <v>-5.8181818181818219</v>
      </c>
      <c r="AZ312" s="750">
        <f>INPUT!CQ254</f>
        <v>26.6</v>
      </c>
      <c r="BA312" s="752">
        <f>INPUT!CR254</f>
        <v>-0.37453183520598232</v>
      </c>
      <c r="BB312" s="750">
        <f>INPUT!CS254</f>
        <v>26.4</v>
      </c>
      <c r="BC312" s="752">
        <f>INPUT!CT254</f>
        <v>0</v>
      </c>
      <c r="BD312" s="750">
        <f>INPUT!CU254</f>
        <v>21.2</v>
      </c>
      <c r="BE312" s="752">
        <f>INPUT!CV254</f>
        <v>-16.862745098039223</v>
      </c>
      <c r="BF312" s="750">
        <f>INPUT!CW254</f>
        <v>24.1</v>
      </c>
      <c r="BG312" s="752">
        <f>INPUT!CX254</f>
        <v>-6.9498069498069359</v>
      </c>
      <c r="BH312" s="750">
        <f>INPUT!CY254</f>
        <v>23.8</v>
      </c>
      <c r="BI312" s="752">
        <f>INPUT!CZ254</f>
        <v>-10.526315789473683</v>
      </c>
      <c r="BJ312" s="750">
        <f>INPUT!DA254</f>
        <v>23.6</v>
      </c>
      <c r="BK312" s="752">
        <f>INPUT!DB254</f>
        <v>-10.606060606060597</v>
      </c>
      <c r="BL312" s="750">
        <f>INPUT!DC254</f>
        <v>22.4</v>
      </c>
      <c r="BM312" s="752">
        <f>INPUT!DD254</f>
        <v>5.6603773584905648</v>
      </c>
      <c r="BN312" s="750">
        <f>INPUT!DE254</f>
        <v>21.6</v>
      </c>
      <c r="BO312" s="752">
        <f>INPUT!DF254</f>
        <v>-10.373443983402487</v>
      </c>
      <c r="BP312" s="750">
        <f>INPUT!DG254</f>
        <v>24.5</v>
      </c>
      <c r="BQ312" s="752">
        <f>INPUT!DH254</f>
        <v>2.9411764705882248</v>
      </c>
      <c r="BR312" s="750">
        <f>INPUT!DI254</f>
        <v>23.4</v>
      </c>
      <c r="BS312" s="752">
        <f>INPUT!DJ254</f>
        <v>-0.84745762711865291</v>
      </c>
      <c r="BT312" s="750">
        <f>INPUT!DK254</f>
        <v>22.3</v>
      </c>
      <c r="BU312" s="752">
        <f>INPUT!DL254</f>
        <v>-0.44642857142855874</v>
      </c>
      <c r="BV312" s="750">
        <f>INPUT!DM254</f>
        <v>23.2</v>
      </c>
      <c r="BW312" s="752">
        <f>INPUT!DN254</f>
        <v>7.4074074074073959</v>
      </c>
      <c r="BX312" s="750">
        <f>INPUT!DO254</f>
        <v>22.8</v>
      </c>
      <c r="BY312" s="752">
        <f>INPUT!DP254</f>
        <v>-6.938775510204076</v>
      </c>
      <c r="BZ312" s="750">
        <f>INPUT!DQ254</f>
        <v>21.5</v>
      </c>
      <c r="CA312" s="752">
        <f>INPUT!DR254</f>
        <v>-8.1196581196581121</v>
      </c>
      <c r="CB312" s="750">
        <f>INPUT!DS254</f>
        <v>21.8</v>
      </c>
      <c r="CC312" s="752">
        <f>INPUT!DT254</f>
        <v>-2.2421524663677084</v>
      </c>
      <c r="CD312" s="750">
        <f>INPUT!DU254</f>
        <v>22.4</v>
      </c>
      <c r="CE312" s="752">
        <f>INPUT!DV254</f>
        <v>-3.4482758620689724</v>
      </c>
      <c r="CF312" s="750">
        <f>INPUT!DW254</f>
        <v>21.4</v>
      </c>
      <c r="CG312" s="752">
        <f>INPUT!DX254</f>
        <v>-6.14035087719299</v>
      </c>
      <c r="CH312" s="750">
        <f>INPUT!DY254</f>
        <v>21.5</v>
      </c>
      <c r="CI312" s="752">
        <f>INPUT!DZ254</f>
        <v>0</v>
      </c>
      <c r="CJ312" s="750">
        <f>INPUT!EA254</f>
        <v>20.7</v>
      </c>
      <c r="CK312" s="752">
        <f>INPUT!EB254</f>
        <v>-5.0458715596330306</v>
      </c>
      <c r="CL312" s="750">
        <f>INPUT!EC254</f>
        <v>20.8</v>
      </c>
      <c r="CM312" s="752">
        <f>INPUT!ED254</f>
        <v>-7.1428571428571281</v>
      </c>
      <c r="CN312" s="750">
        <f>INPUT!EE254</f>
        <v>20.2</v>
      </c>
      <c r="CO312" s="752">
        <f>INPUT!EF254</f>
        <v>-5.6074766355140193</v>
      </c>
      <c r="CP312" s="750">
        <f>INPUT!EG254</f>
        <v>18.899999999999999</v>
      </c>
      <c r="CQ312" s="752">
        <f>INPUT!EH254</f>
        <v>-12.093023255813961</v>
      </c>
      <c r="CR312" s="750">
        <f>INPUT!EI254</f>
        <v>19.899999999999999</v>
      </c>
      <c r="CS312" s="752">
        <f>INPUT!EJ254</f>
        <v>-3.8647342995169143</v>
      </c>
      <c r="CT312" s="750">
        <f>INPUT!EK254</f>
        <v>19.8005</v>
      </c>
      <c r="CU312" s="752">
        <f>INPUT!EL254</f>
        <v>-4.8052884615384706</v>
      </c>
      <c r="CV312" s="750">
        <f>INPUT!EM254</f>
        <v>19.701497499999999</v>
      </c>
      <c r="CW312" s="752">
        <f>INPUT!EN254</f>
        <v>-2.4678341584158492</v>
      </c>
      <c r="CX312" s="750">
        <f>INPUT!EO254</f>
        <v>19.602990012499998</v>
      </c>
      <c r="CY312" s="752">
        <f>INPUT!EP254</f>
        <v>3.719523875661368</v>
      </c>
      <c r="CZ312" s="750">
        <f>INPUT!EQ254</f>
        <v>19.504975062437499</v>
      </c>
      <c r="DA312" s="752">
        <f>INPUT!ER254</f>
        <v>-1.9850499374999941</v>
      </c>
      <c r="DB312" s="753"/>
      <c r="DC312" s="750">
        <f>INPUT!FB254</f>
        <v>0</v>
      </c>
      <c r="DD312" s="756">
        <f>INPUT!FC254</f>
        <v>0</v>
      </c>
      <c r="DE312" s="750">
        <f>INPUT!FD254</f>
        <v>85.7</v>
      </c>
      <c r="DF312" s="756" t="str">
        <f>INPUT!FE254</f>
        <v>NA</v>
      </c>
      <c r="DG312" s="750">
        <f>INPUT!FF254</f>
        <v>95.9</v>
      </c>
      <c r="DH312" s="756">
        <f>INPUT!FG254</f>
        <v>11.901983663943994</v>
      </c>
      <c r="DI312" s="750">
        <f>INPUT!FH254</f>
        <v>100.3</v>
      </c>
      <c r="DJ312" s="756">
        <f>INPUT!FI254</f>
        <v>4.588112617309692</v>
      </c>
      <c r="DK312" s="750">
        <f>INPUT!FJ254</f>
        <v>95.2</v>
      </c>
      <c r="DL312" s="752">
        <f>INPUT!FK254</f>
        <v>-5.0847457627118615</v>
      </c>
      <c r="DM312" s="750">
        <f>INPUT!FL254</f>
        <v>105.1</v>
      </c>
      <c r="DN312" s="752">
        <f>INPUT!FM254</f>
        <v>10.399159663865532</v>
      </c>
      <c r="DO312" s="750">
        <f>INPUT!FN254</f>
        <v>103.69999999999999</v>
      </c>
      <c r="DP312" s="752">
        <f>INPUT!FO254</f>
        <v>-1.3320647002854513</v>
      </c>
      <c r="DQ312" s="750">
        <f>INPUT!FP254</f>
        <v>98.6</v>
      </c>
      <c r="DR312" s="752">
        <f>INPUT!FQ254</f>
        <v>-4.9180327868852398</v>
      </c>
      <c r="DS312" s="750">
        <f>INPUT!FR254</f>
        <v>131.1</v>
      </c>
      <c r="DT312" s="752">
        <f>INPUT!FS254</f>
        <v>32.961460446247457</v>
      </c>
      <c r="DU312" s="750">
        <f>INPUT!FT254</f>
        <v>113.6</v>
      </c>
      <c r="DV312" s="752">
        <f>INPUT!FU254</f>
        <v>-13.348588863463007</v>
      </c>
      <c r="DW312" s="750">
        <f>INPUT!FV254</f>
        <v>106.1</v>
      </c>
      <c r="DX312" s="752">
        <f>INPUT!FW254</f>
        <v>-6.602112676056338</v>
      </c>
      <c r="DY312" s="750">
        <f>INPUT!FX254</f>
        <v>100.10000000000001</v>
      </c>
      <c r="DZ312" s="752">
        <f>INPUT!FY254</f>
        <v>-5.6550424128180783</v>
      </c>
      <c r="EA312" s="750">
        <f>INPUT!FZ254</f>
        <v>93.9</v>
      </c>
      <c r="EB312" s="752">
        <f>INPUT!GA254</f>
        <v>-6.1938061938061946</v>
      </c>
      <c r="EC312" s="750">
        <f>INPUT!GB254</f>
        <v>91.8</v>
      </c>
      <c r="ED312" s="752">
        <f>INPUT!GC254</f>
        <v>-2.2364217252396235</v>
      </c>
      <c r="EE312" s="750">
        <f>INPUT!GD254</f>
        <v>89.3</v>
      </c>
      <c r="EF312" s="752">
        <f>INPUT!GE254</f>
        <v>-2.7233115468409563</v>
      </c>
      <c r="EG312" s="750">
        <f>INPUT!GF254</f>
        <v>86</v>
      </c>
      <c r="EH312" s="752">
        <f>INPUT!GG254</f>
        <v>-3.6954087346024567</v>
      </c>
      <c r="EI312" s="750">
        <f>INPUT!GH254</f>
        <v>79.8</v>
      </c>
      <c r="EJ312" s="752">
        <f>INPUT!GI254</f>
        <v>-7.209302325581401</v>
      </c>
      <c r="EK312" s="750">
        <f>INPUT!GJ254</f>
        <v>78.609962574937498</v>
      </c>
      <c r="EL312" s="752">
        <f>INPUT!GK254</f>
        <v>-1.4912749687500004</v>
      </c>
      <c r="EM312" s="750">
        <f>INPUT!GL254</f>
        <v>77.037763323438753</v>
      </c>
      <c r="EN312" s="752">
        <f>INPUT!GM254</f>
        <v>-1.9999999999999907</v>
      </c>
      <c r="EO312" s="750">
        <f>INPUT!GN254</f>
        <v>75.497008056969975</v>
      </c>
      <c r="EP312" s="752">
        <f>INPUT!GO254</f>
        <v>-2.0000000000000018</v>
      </c>
      <c r="EQ312" s="750">
        <f>INPUT!GP254</f>
        <v>73.987067895830577</v>
      </c>
      <c r="ER312" s="752">
        <f>INPUT!GQ254</f>
        <v>-2.0000000000000018</v>
      </c>
      <c r="ES312" s="750">
        <f>INPUT!GR254</f>
        <v>72.507326537913968</v>
      </c>
      <c r="ET312" s="752">
        <f>INPUT!GS254</f>
        <v>-2.0000000000000018</v>
      </c>
      <c r="EU312" s="756">
        <f>INPUT!GT254</f>
        <v>-1.898465604363675</v>
      </c>
      <c r="EV312" s="710"/>
    </row>
    <row r="313" spans="1:152" ht="12.75" hidden="1" customHeight="1" outlineLevel="1" x14ac:dyDescent="0.2">
      <c r="A313" s="754" t="str">
        <f>INPUT!B256</f>
        <v xml:space="preserve"> Total Revenues</v>
      </c>
      <c r="B313" s="750">
        <f>INPUT!AS256</f>
        <v>499.5</v>
      </c>
      <c r="C313" s="756">
        <f>INPUT!AT256</f>
        <v>11.845051500223924</v>
      </c>
      <c r="D313" s="750">
        <f>INPUT!AU256</f>
        <v>502.09999999999997</v>
      </c>
      <c r="E313" s="756">
        <f>INPUT!AV256</f>
        <v>13.520235134524071</v>
      </c>
      <c r="F313" s="750">
        <f>INPUT!AW256</f>
        <v>490.3</v>
      </c>
      <c r="G313" s="756">
        <f>INPUT!AX256</f>
        <v>2.9609407811843846</v>
      </c>
      <c r="H313" s="750">
        <f>INPUT!AY256</f>
        <v>504.7</v>
      </c>
      <c r="I313" s="752">
        <f>INPUT!AZ256</f>
        <v>-1.3872606486909023</v>
      </c>
      <c r="J313" s="750">
        <f>INPUT!BA256</f>
        <v>482.2</v>
      </c>
      <c r="K313" s="752">
        <f>INPUT!BB256</f>
        <v>-3.4634634634634676</v>
      </c>
      <c r="L313" s="750">
        <f>INPUT!BC256</f>
        <v>478.6</v>
      </c>
      <c r="M313" s="752">
        <f>INPUT!BD256</f>
        <v>-4.6803425612427674</v>
      </c>
      <c r="N313" s="750">
        <f>INPUT!BE256</f>
        <v>497.1</v>
      </c>
      <c r="O313" s="752">
        <f>INPUT!BF256</f>
        <v>1.3869059759330948</v>
      </c>
      <c r="P313" s="750">
        <f>INPUT!BG256</f>
        <v>483.3</v>
      </c>
      <c r="Q313" s="752">
        <f>INPUT!BH256</f>
        <v>-4.2401426590053415</v>
      </c>
      <c r="R313" s="750">
        <f>INPUT!BI256</f>
        <v>453.4</v>
      </c>
      <c r="S313" s="752">
        <f>INPUT!BJ256</f>
        <v>-5.9726254666113698</v>
      </c>
      <c r="T313" s="750">
        <f>INPUT!BK256</f>
        <v>461</v>
      </c>
      <c r="U313" s="752">
        <f>INPUT!BL256</f>
        <v>-3.6773923944839138</v>
      </c>
      <c r="V313" s="750">
        <f>INPUT!BM256</f>
        <v>450.59999999999997</v>
      </c>
      <c r="W313" s="752">
        <f>INPUT!BN256</f>
        <v>-9.3542546771273489</v>
      </c>
      <c r="X313" s="750">
        <f>INPUT!BO256</f>
        <v>453.40000000000003</v>
      </c>
      <c r="Y313" s="752">
        <f>INPUT!BP256</f>
        <v>-6.1866335609352285</v>
      </c>
      <c r="Z313" s="750">
        <f>INPUT!BQ256</f>
        <v>442.9</v>
      </c>
      <c r="AA313" s="752">
        <f>INPUT!BR256</f>
        <v>-2.3158359064843426</v>
      </c>
      <c r="AB313" s="750">
        <f>INPUT!BS256</f>
        <v>441.2</v>
      </c>
      <c r="AC313" s="752">
        <f>INPUT!BT256</f>
        <v>-4.2950108459869902</v>
      </c>
      <c r="AD313" s="750">
        <f>INPUT!BU256</f>
        <v>430.2</v>
      </c>
      <c r="AE313" s="752">
        <f>INPUT!BV256</f>
        <v>-4.5272969374167698</v>
      </c>
      <c r="AF313" s="750">
        <f>INPUT!BW256</f>
        <v>425.6</v>
      </c>
      <c r="AG313" s="752">
        <f>INPUT!BX256</f>
        <v>-6.1314512571680631</v>
      </c>
      <c r="AH313" s="750">
        <f>INPUT!BY256</f>
        <v>684.80000000000007</v>
      </c>
      <c r="AI313" s="752">
        <f>INPUT!BZ256</f>
        <v>54.617295100474173</v>
      </c>
      <c r="AJ313" s="750">
        <f>INPUT!CA256</f>
        <v>683.80000000000007</v>
      </c>
      <c r="AK313" s="752">
        <f>INPUT!CB256</f>
        <v>54.986400725294658</v>
      </c>
      <c r="AL313" s="750">
        <f>INPUT!CC256</f>
        <v>676.9</v>
      </c>
      <c r="AM313" s="752">
        <f>INPUT!CD256</f>
        <v>57.345420734542074</v>
      </c>
      <c r="AN313" s="750">
        <f>INPUT!CE256</f>
        <v>684.2</v>
      </c>
      <c r="AO313" s="752">
        <f>INPUT!CF256</f>
        <v>60.761278195488735</v>
      </c>
      <c r="AP313" s="750">
        <f>INPUT!CG256</f>
        <v>675</v>
      </c>
      <c r="AQ313" s="752">
        <f>INPUT!CH256</f>
        <v>-1.4310747663551449</v>
      </c>
      <c r="AR313" s="750">
        <f>INPUT!CI256</f>
        <v>668.6</v>
      </c>
      <c r="AS313" s="752">
        <f>INPUT!CJ256</f>
        <v>-2.2228721848493782</v>
      </c>
      <c r="AT313" s="750">
        <f>INPUT!CK256</f>
        <v>674.1</v>
      </c>
      <c r="AU313" s="752">
        <f>INPUT!CL256</f>
        <v>-0.41365046535676298</v>
      </c>
      <c r="AV313" s="750">
        <f>INPUT!CM256</f>
        <v>673.40000000000009</v>
      </c>
      <c r="AW313" s="752">
        <f>INPUT!CN256</f>
        <v>-1.5784858228588106</v>
      </c>
      <c r="AX313" s="750">
        <f>INPUT!CO256</f>
        <v>670.4</v>
      </c>
      <c r="AY313" s="752">
        <f>INPUT!CP256</f>
        <v>-0.68148148148148291</v>
      </c>
      <c r="AZ313" s="750">
        <f>INPUT!CQ256</f>
        <v>673.6</v>
      </c>
      <c r="BA313" s="752">
        <f>INPUT!CR256</f>
        <v>0.74783128926114717</v>
      </c>
      <c r="BB313" s="750">
        <f>INPUT!CS256</f>
        <v>676.6</v>
      </c>
      <c r="BC313" s="752">
        <f>INPUT!CT256</f>
        <v>0.37086485684616477</v>
      </c>
      <c r="BD313" s="750">
        <f>INPUT!CU256</f>
        <v>680.5</v>
      </c>
      <c r="BE313" s="752">
        <f>INPUT!CV256</f>
        <v>1.0543510543510326</v>
      </c>
      <c r="BF313" s="750">
        <f>INPUT!CW256</f>
        <v>676.80000000000007</v>
      </c>
      <c r="BG313" s="752">
        <f>INPUT!CX256</f>
        <v>0.95465393794751385</v>
      </c>
      <c r="BH313" s="750">
        <f>INPUT!CY256</f>
        <v>668.2</v>
      </c>
      <c r="BI313" s="752">
        <f>INPUT!CZ256</f>
        <v>-0.8016627078384797</v>
      </c>
      <c r="BJ313" s="750">
        <f>INPUT!DA256</f>
        <v>664.6</v>
      </c>
      <c r="BK313" s="752">
        <f>INPUT!DB256</f>
        <v>-1.7735737511084815</v>
      </c>
      <c r="BL313" s="750">
        <f>INPUT!DC256</f>
        <v>673.3</v>
      </c>
      <c r="BM313" s="752">
        <f>INPUT!DD256</f>
        <v>-1.0580455547391732</v>
      </c>
      <c r="BN313" s="750">
        <f>INPUT!DE256</f>
        <v>655</v>
      </c>
      <c r="BO313" s="752">
        <f>INPUT!DF256</f>
        <v>-3.2210401891253015</v>
      </c>
      <c r="BP313" s="750">
        <f>INPUT!DG256</f>
        <v>665.40000000000009</v>
      </c>
      <c r="BQ313" s="752">
        <f>INPUT!DH256</f>
        <v>-0.41903621670158486</v>
      </c>
      <c r="BR313" s="750">
        <f>INPUT!DI256</f>
        <v>653.1</v>
      </c>
      <c r="BS313" s="752">
        <f>INPUT!DJ256</f>
        <v>-1.7303641287992777</v>
      </c>
      <c r="BT313" s="750">
        <f>INPUT!DK256</f>
        <v>656.4</v>
      </c>
      <c r="BU313" s="752">
        <f>INPUT!DL256</f>
        <v>-2.5100252487746832</v>
      </c>
      <c r="BV313" s="750">
        <f>INPUT!DM256</f>
        <v>648.5</v>
      </c>
      <c r="BW313" s="752">
        <f>INPUT!DN256</f>
        <v>-0.992366412213741</v>
      </c>
      <c r="BX313" s="750">
        <f>INPUT!DO256</f>
        <v>657.5</v>
      </c>
      <c r="BY313" s="752">
        <f>INPUT!DP256</f>
        <v>-1.1872557859934019</v>
      </c>
      <c r="BZ313" s="750">
        <f>INPUT!DQ256</f>
        <v>650.29999999999995</v>
      </c>
      <c r="CA313" s="752">
        <f>INPUT!DR256</f>
        <v>-0.42872454448018571</v>
      </c>
      <c r="CB313" s="750">
        <f>INPUT!DS256</f>
        <v>660.59999999999991</v>
      </c>
      <c r="CC313" s="752">
        <f>INPUT!DT256</f>
        <v>0.63985374771480252</v>
      </c>
      <c r="CD313" s="750">
        <f>INPUT!DU256</f>
        <v>651.49999999999989</v>
      </c>
      <c r="CE313" s="752">
        <f>INPUT!DV256</f>
        <v>0.46260601387815292</v>
      </c>
      <c r="CF313" s="750">
        <f>INPUT!DW256</f>
        <v>652.5</v>
      </c>
      <c r="CG313" s="752">
        <f>INPUT!DX256</f>
        <v>-0.76045627376425395</v>
      </c>
      <c r="CH313" s="750">
        <f>INPUT!DY256</f>
        <v>648.6</v>
      </c>
      <c r="CI313" s="752">
        <f>INPUT!DZ256</f>
        <v>-0.26141780716590901</v>
      </c>
      <c r="CJ313" s="750">
        <f>INPUT!EA256</f>
        <v>656</v>
      </c>
      <c r="CK313" s="752">
        <f>INPUT!EB256</f>
        <v>-0.69633666363910773</v>
      </c>
      <c r="CL313" s="750">
        <f>INPUT!EC256</f>
        <v>643</v>
      </c>
      <c r="CM313" s="752">
        <f>INPUT!ED256</f>
        <v>-1.3046815042210058</v>
      </c>
      <c r="CN313" s="750">
        <f>INPUT!EE256</f>
        <v>641.6</v>
      </c>
      <c r="CO313" s="752">
        <f>INPUT!EF256</f>
        <v>-1.6704980842911832</v>
      </c>
      <c r="CP313" s="750">
        <f>INPUT!EG256</f>
        <v>638.6</v>
      </c>
      <c r="CQ313" s="752">
        <f>INPUT!EH256</f>
        <v>-1.5417823003391895</v>
      </c>
      <c r="CR313" s="750">
        <f>INPUT!EI256</f>
        <v>639.79999999999995</v>
      </c>
      <c r="CS313" s="752">
        <f>INPUT!EJ256</f>
        <v>-2.469512195121959</v>
      </c>
      <c r="CT313" s="750">
        <f>INPUT!EK256</f>
        <v>634.35525000000007</v>
      </c>
      <c r="CU313" s="752">
        <f>INPUT!EL256</f>
        <v>-1.3444401244167903</v>
      </c>
      <c r="CV313" s="750">
        <f>INPUT!EM256</f>
        <v>630.06051087499998</v>
      </c>
      <c r="CW313" s="752">
        <f>INPUT!EN256</f>
        <v>-1.7985488037718267</v>
      </c>
      <c r="CX313" s="750">
        <f>INPUT!EO256</f>
        <v>625.79525424318751</v>
      </c>
      <c r="CY313" s="752">
        <f>INPUT!EP256</f>
        <v>-2.0051277414363411</v>
      </c>
      <c r="CZ313" s="750">
        <f>INPUT!EQ256</f>
        <v>621.55927510665902</v>
      </c>
      <c r="DA313" s="752">
        <f>INPUT!ER256</f>
        <v>-2.8510042033980887</v>
      </c>
      <c r="DB313" s="753"/>
      <c r="DC313" s="750">
        <f>INPUT!FB256</f>
        <v>0</v>
      </c>
      <c r="DD313" s="756">
        <f>INPUT!FC256</f>
        <v>0</v>
      </c>
      <c r="DE313" s="750">
        <f>INPUT!FD256</f>
        <v>2006.5</v>
      </c>
      <c r="DF313" s="756" t="str">
        <f>INPUT!FE256</f>
        <v>NA</v>
      </c>
      <c r="DG313" s="750">
        <f>INPUT!FF256</f>
        <v>1948.6000000000001</v>
      </c>
      <c r="DH313" s="756">
        <f>INPUT!FG256</f>
        <v>-2.8856217293795061</v>
      </c>
      <c r="DI313" s="750">
        <f>INPUT!FH256</f>
        <v>1885.9999999999998</v>
      </c>
      <c r="DJ313" s="756">
        <f>INPUT!FI256</f>
        <v>-3.2125628656471505</v>
      </c>
      <c r="DK313" s="750">
        <f>INPUT!FJ256</f>
        <v>1876.8999999999999</v>
      </c>
      <c r="DL313" s="752">
        <f>INPUT!FK256</f>
        <v>-0.48250265111345891</v>
      </c>
      <c r="DM313" s="750">
        <f>INPUT!FL256</f>
        <v>1996.6</v>
      </c>
      <c r="DN313" s="752">
        <f>INPUT!FM256</f>
        <v>6.3775374287388775</v>
      </c>
      <c r="DO313" s="750">
        <f>INPUT!FN256</f>
        <v>1941.2</v>
      </c>
      <c r="DP313" s="752">
        <f>INPUT!FO256</f>
        <v>-2.7747170189321824</v>
      </c>
      <c r="DQ313" s="750">
        <f>INPUT!FP256</f>
        <v>1818.3999999999996</v>
      </c>
      <c r="DR313" s="752">
        <f>INPUT!FQ256</f>
        <v>-6.3259839274675711</v>
      </c>
      <c r="DS313" s="750">
        <f>INPUT!FR256</f>
        <v>2733.7999999999997</v>
      </c>
      <c r="DT313" s="752">
        <f>INPUT!FS256</f>
        <v>50.340959084909834</v>
      </c>
      <c r="DU313" s="750">
        <f>INPUT!FT256</f>
        <v>2729.6999999999994</v>
      </c>
      <c r="DV313" s="752">
        <f>INPUT!FU256</f>
        <v>-0.14997439461557072</v>
      </c>
      <c r="DW313" s="750">
        <f>INPUT!FV256</f>
        <v>2691.1</v>
      </c>
      <c r="DX313" s="752">
        <f>INPUT!FW256</f>
        <v>-1.4140748067553055</v>
      </c>
      <c r="DY313" s="750">
        <f>INPUT!FX256</f>
        <v>2700.2999999999997</v>
      </c>
      <c r="DZ313" s="752">
        <f>INPUT!FY256</f>
        <v>0.34186763776893336</v>
      </c>
      <c r="EA313" s="750">
        <f>INPUT!FZ256</f>
        <v>2682.9</v>
      </c>
      <c r="EB313" s="752">
        <f>INPUT!GA256</f>
        <v>-0.64437284746138301</v>
      </c>
      <c r="EC313" s="750">
        <f>INPUT!GB256</f>
        <v>2629.9</v>
      </c>
      <c r="ED313" s="752">
        <f>INPUT!GC256</f>
        <v>-1.9754743001975439</v>
      </c>
      <c r="EE313" s="750">
        <f>INPUT!GD256</f>
        <v>2616.9</v>
      </c>
      <c r="EF313" s="752">
        <f>INPUT!GE256</f>
        <v>-0.49431537320810959</v>
      </c>
      <c r="EG313" s="750">
        <f>INPUT!GF256</f>
        <v>2608.6000000000004</v>
      </c>
      <c r="EH313" s="752">
        <f>INPUT!GG256</f>
        <v>-0.3171691696281731</v>
      </c>
      <c r="EI313" s="750">
        <f>INPUT!GH256</f>
        <v>2563</v>
      </c>
      <c r="EJ313" s="752">
        <f>INPUT!GI256</f>
        <v>-1.7480640956835214</v>
      </c>
      <c r="EK313" s="750">
        <f>INPUT!GJ256</f>
        <v>2511.7702902248466</v>
      </c>
      <c r="EL313" s="752">
        <f>INPUT!GK256</f>
        <v>-1.9988181730453913</v>
      </c>
      <c r="EM313" s="750">
        <f>INPUT!GL256</f>
        <v>2437.2032811438507</v>
      </c>
      <c r="EN313" s="752">
        <f>INPUT!GM256</f>
        <v>-2.9687033631694448</v>
      </c>
      <c r="EO313" s="750">
        <f>INPUT!GN256</f>
        <v>2364.8575603427694</v>
      </c>
      <c r="EP313" s="752">
        <f>INPUT!GO256</f>
        <v>-2.9683909159652577</v>
      </c>
      <c r="EQ313" s="750">
        <f>INPUT!GP256</f>
        <v>2294.6668036130559</v>
      </c>
      <c r="ER313" s="752">
        <f>INPUT!GQ256</f>
        <v>-2.9680754522712016</v>
      </c>
      <c r="ES313" s="750">
        <f>INPUT!GR256</f>
        <v>2226.5666701836226</v>
      </c>
      <c r="ET313" s="752">
        <f>INPUT!GS256</f>
        <v>-2.9677569450260344</v>
      </c>
      <c r="EU313" s="756">
        <f>INPUT!GT256</f>
        <v>-2.7751191662503727</v>
      </c>
      <c r="EV313" s="710"/>
    </row>
    <row r="314" spans="1:152" ht="12.75" hidden="1" customHeight="1" outlineLevel="1" x14ac:dyDescent="0.2">
      <c r="A314" s="754"/>
      <c r="B314" s="750"/>
      <c r="C314" s="756"/>
      <c r="D314" s="750"/>
      <c r="E314" s="756"/>
      <c r="F314" s="750"/>
      <c r="G314" s="756"/>
      <c r="H314" s="750"/>
      <c r="I314" s="752"/>
      <c r="J314" s="750"/>
      <c r="K314" s="752"/>
      <c r="L314" s="750"/>
      <c r="M314" s="752"/>
      <c r="N314" s="750"/>
      <c r="O314" s="752"/>
      <c r="P314" s="750"/>
      <c r="Q314" s="752"/>
      <c r="R314" s="750"/>
      <c r="S314" s="752"/>
      <c r="T314" s="750"/>
      <c r="U314" s="752"/>
      <c r="V314" s="750"/>
      <c r="W314" s="752"/>
      <c r="X314" s="750"/>
      <c r="Y314" s="752"/>
      <c r="Z314" s="750"/>
      <c r="AA314" s="752"/>
      <c r="AB314" s="750"/>
      <c r="AC314" s="752"/>
      <c r="AD314" s="750"/>
      <c r="AE314" s="752"/>
      <c r="AF314" s="750"/>
      <c r="AG314" s="752"/>
      <c r="AH314" s="750"/>
      <c r="AI314" s="752"/>
      <c r="AJ314" s="750"/>
      <c r="AK314" s="752"/>
      <c r="AL314" s="750"/>
      <c r="AM314" s="752"/>
      <c r="AN314" s="750"/>
      <c r="AO314" s="752"/>
      <c r="AP314" s="750"/>
      <c r="AQ314" s="752"/>
      <c r="AR314" s="750"/>
      <c r="AS314" s="752"/>
      <c r="AT314" s="750"/>
      <c r="AU314" s="752"/>
      <c r="AV314" s="750"/>
      <c r="AW314" s="752"/>
      <c r="AX314" s="750"/>
      <c r="AY314" s="752"/>
      <c r="AZ314" s="750"/>
      <c r="BA314" s="752"/>
      <c r="BB314" s="750"/>
      <c r="BC314" s="752"/>
      <c r="BD314" s="750"/>
      <c r="BE314" s="752"/>
      <c r="BF314" s="750"/>
      <c r="BG314" s="752"/>
      <c r="BH314" s="750"/>
      <c r="BI314" s="752"/>
      <c r="BJ314" s="750"/>
      <c r="BK314" s="752"/>
      <c r="BL314" s="750"/>
      <c r="BM314" s="752"/>
      <c r="BN314" s="750"/>
      <c r="BO314" s="752"/>
      <c r="BP314" s="750"/>
      <c r="BQ314" s="752"/>
      <c r="BR314" s="750"/>
      <c r="BS314" s="752"/>
      <c r="BT314" s="750"/>
      <c r="BU314" s="752"/>
      <c r="BV314" s="750"/>
      <c r="BW314" s="752"/>
      <c r="BX314" s="750"/>
      <c r="BY314" s="752"/>
      <c r="BZ314" s="750"/>
      <c r="CA314" s="752"/>
      <c r="CB314" s="750"/>
      <c r="CC314" s="752"/>
      <c r="CD314" s="750"/>
      <c r="CE314" s="752"/>
      <c r="CF314" s="750"/>
      <c r="CG314" s="752"/>
      <c r="CH314" s="750"/>
      <c r="CI314" s="752"/>
      <c r="CJ314" s="750"/>
      <c r="CK314" s="752"/>
      <c r="CL314" s="750"/>
      <c r="CM314" s="752"/>
      <c r="CN314" s="750"/>
      <c r="CO314" s="752"/>
      <c r="CP314" s="750"/>
      <c r="CQ314" s="752"/>
      <c r="CR314" s="750"/>
      <c r="CS314" s="752"/>
      <c r="CT314" s="750"/>
      <c r="CU314" s="752"/>
      <c r="CV314" s="750"/>
      <c r="CW314" s="752"/>
      <c r="CX314" s="750"/>
      <c r="CY314" s="752"/>
      <c r="CZ314" s="750"/>
      <c r="DA314" s="752"/>
      <c r="DB314" s="753"/>
      <c r="DC314" s="750"/>
      <c r="DD314" s="756"/>
      <c r="DE314" s="750"/>
      <c r="DF314" s="756"/>
      <c r="DG314" s="750"/>
      <c r="DH314" s="756"/>
      <c r="DI314" s="750"/>
      <c r="DJ314" s="756"/>
      <c r="DK314" s="750"/>
      <c r="DL314" s="752"/>
      <c r="DM314" s="750"/>
      <c r="DN314" s="752"/>
      <c r="DO314" s="750"/>
      <c r="DP314" s="752"/>
      <c r="DQ314" s="750"/>
      <c r="DR314" s="752"/>
      <c r="DS314" s="750"/>
      <c r="DT314" s="752"/>
      <c r="DU314" s="750"/>
      <c r="DV314" s="752"/>
      <c r="DW314" s="750"/>
      <c r="DX314" s="752"/>
      <c r="DY314" s="750"/>
      <c r="DZ314" s="752"/>
      <c r="EA314" s="750"/>
      <c r="EB314" s="752"/>
      <c r="EC314" s="750"/>
      <c r="ED314" s="752"/>
      <c r="EE314" s="750"/>
      <c r="EF314" s="752"/>
      <c r="EG314" s="750"/>
      <c r="EH314" s="752"/>
      <c r="EI314" s="750"/>
      <c r="EJ314" s="752"/>
      <c r="EK314" s="750"/>
      <c r="EL314" s="752"/>
      <c r="EM314" s="750"/>
      <c r="EN314" s="752"/>
      <c r="EO314" s="750"/>
      <c r="EP314" s="752"/>
      <c r="EQ314" s="750"/>
      <c r="ER314" s="752"/>
      <c r="ES314" s="750"/>
      <c r="ET314" s="752"/>
      <c r="EU314" s="756"/>
      <c r="EV314" s="710"/>
    </row>
    <row r="315" spans="1:152" ht="12.75" hidden="1" customHeight="1" outlineLevel="1" x14ac:dyDescent="0.2">
      <c r="A315" s="749" t="s">
        <v>454</v>
      </c>
      <c r="B315" s="750"/>
      <c r="C315" s="756"/>
      <c r="D315" s="750"/>
      <c r="E315" s="756"/>
      <c r="F315" s="750"/>
      <c r="G315" s="756"/>
      <c r="H315" s="750"/>
      <c r="I315" s="752"/>
      <c r="J315" s="750"/>
      <c r="K315" s="752"/>
      <c r="L315" s="750"/>
      <c r="M315" s="752"/>
      <c r="N315" s="750"/>
      <c r="O315" s="752"/>
      <c r="P315" s="750"/>
      <c r="Q315" s="752"/>
      <c r="R315" s="750"/>
      <c r="S315" s="752"/>
      <c r="T315" s="750"/>
      <c r="U315" s="752"/>
      <c r="V315" s="750"/>
      <c r="W315" s="752"/>
      <c r="X315" s="750"/>
      <c r="Y315" s="752"/>
      <c r="Z315" s="750"/>
      <c r="AA315" s="752"/>
      <c r="AB315" s="750"/>
      <c r="AC315" s="752"/>
      <c r="AD315" s="750"/>
      <c r="AE315" s="752"/>
      <c r="AF315" s="750"/>
      <c r="AG315" s="752"/>
      <c r="AH315" s="750"/>
      <c r="AI315" s="752"/>
      <c r="AJ315" s="750"/>
      <c r="AK315" s="752"/>
      <c r="AL315" s="750"/>
      <c r="AM315" s="752"/>
      <c r="AN315" s="750"/>
      <c r="AO315" s="752"/>
      <c r="AP315" s="750"/>
      <c r="AQ315" s="752"/>
      <c r="AR315" s="750"/>
      <c r="AS315" s="752"/>
      <c r="AT315" s="750"/>
      <c r="AU315" s="752"/>
      <c r="AV315" s="750"/>
      <c r="AW315" s="752"/>
      <c r="AX315" s="750"/>
      <c r="AY315" s="752"/>
      <c r="AZ315" s="750"/>
      <c r="BA315" s="752"/>
      <c r="BB315" s="750"/>
      <c r="BC315" s="752"/>
      <c r="BD315" s="750"/>
      <c r="BE315" s="752"/>
      <c r="BF315" s="750"/>
      <c r="BG315" s="752"/>
      <c r="BH315" s="750"/>
      <c r="BI315" s="752"/>
      <c r="BJ315" s="750"/>
      <c r="BK315" s="752"/>
      <c r="BL315" s="750"/>
      <c r="BM315" s="752"/>
      <c r="BN315" s="750"/>
      <c r="BO315" s="752"/>
      <c r="BP315" s="750"/>
      <c r="BQ315" s="752"/>
      <c r="BR315" s="750"/>
      <c r="BS315" s="752"/>
      <c r="BT315" s="750"/>
      <c r="BU315" s="752"/>
      <c r="BV315" s="750"/>
      <c r="BW315" s="752"/>
      <c r="BX315" s="750"/>
      <c r="BY315" s="752"/>
      <c r="BZ315" s="750"/>
      <c r="CA315" s="752"/>
      <c r="CB315" s="750"/>
      <c r="CC315" s="752"/>
      <c r="CD315" s="750"/>
      <c r="CE315" s="752"/>
      <c r="CF315" s="750"/>
      <c r="CG315" s="752"/>
      <c r="CH315" s="750"/>
      <c r="CI315" s="752"/>
      <c r="CJ315" s="750"/>
      <c r="CK315" s="752"/>
      <c r="CL315" s="750"/>
      <c r="CM315" s="752"/>
      <c r="CN315" s="750"/>
      <c r="CO315" s="752"/>
      <c r="CP315" s="750"/>
      <c r="CQ315" s="752"/>
      <c r="CR315" s="750"/>
      <c r="CS315" s="752"/>
      <c r="CT315" s="750"/>
      <c r="CU315" s="752"/>
      <c r="CV315" s="750"/>
      <c r="CW315" s="752"/>
      <c r="CX315" s="750"/>
      <c r="CY315" s="752"/>
      <c r="CZ315" s="750"/>
      <c r="DA315" s="752"/>
      <c r="DB315" s="753"/>
      <c r="DC315" s="750"/>
      <c r="DD315" s="756"/>
      <c r="DE315" s="750"/>
      <c r="DF315" s="756"/>
      <c r="DG315" s="750"/>
      <c r="DH315" s="756"/>
      <c r="DI315" s="750"/>
      <c r="DJ315" s="756"/>
      <c r="DK315" s="750"/>
      <c r="DL315" s="752"/>
      <c r="DM315" s="750"/>
      <c r="DN315" s="752"/>
      <c r="DO315" s="750"/>
      <c r="DP315" s="752"/>
      <c r="DQ315" s="750"/>
      <c r="DR315" s="752"/>
      <c r="DS315" s="750"/>
      <c r="DT315" s="752"/>
      <c r="DU315" s="750"/>
      <c r="DV315" s="752"/>
      <c r="DW315" s="750"/>
      <c r="DX315" s="752"/>
      <c r="DY315" s="750"/>
      <c r="DZ315" s="752"/>
      <c r="EA315" s="750"/>
      <c r="EB315" s="752"/>
      <c r="EC315" s="750"/>
      <c r="ED315" s="752"/>
      <c r="EE315" s="750"/>
      <c r="EF315" s="752"/>
      <c r="EG315" s="750"/>
      <c r="EH315" s="752"/>
      <c r="EI315" s="750"/>
      <c r="EJ315" s="752"/>
      <c r="EK315" s="750"/>
      <c r="EL315" s="752"/>
      <c r="EM315" s="750"/>
      <c r="EN315" s="752"/>
      <c r="EO315" s="750"/>
      <c r="EP315" s="752"/>
      <c r="EQ315" s="750"/>
      <c r="ER315" s="752"/>
      <c r="ES315" s="750"/>
      <c r="ET315" s="752"/>
      <c r="EU315" s="756"/>
      <c r="EV315" s="710"/>
    </row>
    <row r="316" spans="1:152" ht="12.75" hidden="1" customHeight="1" outlineLevel="1" x14ac:dyDescent="0.2">
      <c r="A316" s="754" t="str">
        <f>INPUT!B259</f>
        <v>Benefits</v>
      </c>
      <c r="B316" s="750">
        <f>INPUT!AS259</f>
        <v>417.2</v>
      </c>
      <c r="C316" s="756">
        <f>INPUT!AT259</f>
        <v>12.301480484522198</v>
      </c>
      <c r="D316" s="750">
        <f>INPUT!AU259</f>
        <v>415</v>
      </c>
      <c r="E316" s="756">
        <f>INPUT!AV259</f>
        <v>16.507580011229649</v>
      </c>
      <c r="F316" s="750">
        <f>INPUT!AW259</f>
        <v>408.6</v>
      </c>
      <c r="G316" s="756">
        <f>INPUT!AX259</f>
        <v>4.3678160919540243</v>
      </c>
      <c r="H316" s="750">
        <f>INPUT!AY259</f>
        <v>421.7</v>
      </c>
      <c r="I316" s="752">
        <f>INPUT!AZ259</f>
        <v>0.30922930542340854</v>
      </c>
      <c r="J316" s="750">
        <f>INPUT!BA259</f>
        <v>405.9</v>
      </c>
      <c r="K316" s="752">
        <f>INPUT!BB259</f>
        <v>-2.708533077660602</v>
      </c>
      <c r="L316" s="750">
        <f>INPUT!BC259</f>
        <v>401.3</v>
      </c>
      <c r="M316" s="752">
        <f>INPUT!BD259</f>
        <v>-3.3012048192771037</v>
      </c>
      <c r="N316" s="750">
        <f>INPUT!BE259</f>
        <v>415.6</v>
      </c>
      <c r="O316" s="752">
        <f>INPUT!BF259</f>
        <v>1.7131669114047954</v>
      </c>
      <c r="P316" s="750">
        <f>INPUT!BG259</f>
        <v>404.9</v>
      </c>
      <c r="Q316" s="752">
        <f>INPUT!BH259</f>
        <v>-3.9838747925065254</v>
      </c>
      <c r="R316" s="750">
        <f>INPUT!BI259</f>
        <v>387.5</v>
      </c>
      <c r="S316" s="752">
        <f>INPUT!BJ259</f>
        <v>-4.533136240453306</v>
      </c>
      <c r="T316" s="750">
        <f>INPUT!BK259</f>
        <v>385.1</v>
      </c>
      <c r="U316" s="752">
        <f>INPUT!BL259</f>
        <v>-4.0368801395464722</v>
      </c>
      <c r="V316" s="750">
        <f>INPUT!BM259</f>
        <v>384.2</v>
      </c>
      <c r="W316" s="752">
        <f>INPUT!BN259</f>
        <v>-7.5553416746872104</v>
      </c>
      <c r="X316" s="750">
        <f>INPUT!BO259</f>
        <v>388</v>
      </c>
      <c r="Y316" s="752">
        <f>INPUT!BP259</f>
        <v>-4.1738700913805822</v>
      </c>
      <c r="Z316" s="750">
        <f>INPUT!BQ259</f>
        <v>376.2</v>
      </c>
      <c r="AA316" s="752">
        <f>INPUT!BR259</f>
        <v>-2.9161290322580635</v>
      </c>
      <c r="AB316" s="750">
        <f>INPUT!BS259</f>
        <v>376.3</v>
      </c>
      <c r="AC316" s="752">
        <f>INPUT!BT259</f>
        <v>-2.2851207478577051</v>
      </c>
      <c r="AD316" s="750">
        <f>INPUT!BU259</f>
        <v>369.7</v>
      </c>
      <c r="AE316" s="752">
        <f>INPUT!BV259</f>
        <v>-3.7740760020822495</v>
      </c>
      <c r="AF316" s="750">
        <f>INPUT!BW259</f>
        <v>367.4</v>
      </c>
      <c r="AG316" s="752">
        <f>INPUT!BX259</f>
        <v>-5.3092783505154673</v>
      </c>
      <c r="AH316" s="750">
        <f>INPUT!BY259</f>
        <v>561.1</v>
      </c>
      <c r="AI316" s="752">
        <f>INPUT!BZ259</f>
        <v>49.149388623072852</v>
      </c>
      <c r="AJ316" s="750">
        <f>INPUT!CA259</f>
        <v>562.5</v>
      </c>
      <c r="AK316" s="752">
        <f>INPUT!CB259</f>
        <v>49.481796439011426</v>
      </c>
      <c r="AL316" s="750">
        <f>INPUT!CC259</f>
        <v>564.29999999999995</v>
      </c>
      <c r="AM316" s="752">
        <f>INPUT!CD259</f>
        <v>52.637273464971599</v>
      </c>
      <c r="AN316" s="750">
        <f>INPUT!CE259</f>
        <v>571.29999999999995</v>
      </c>
      <c r="AO316" s="752">
        <f>INPUT!CF259</f>
        <v>55.498094719651611</v>
      </c>
      <c r="AP316" s="750">
        <f>INPUT!CG259</f>
        <v>562.70000000000005</v>
      </c>
      <c r="AQ316" s="752">
        <f>INPUT!CH259</f>
        <v>0.28515416146854822</v>
      </c>
      <c r="AR316" s="750">
        <f>INPUT!CI259</f>
        <v>559.29999999999995</v>
      </c>
      <c r="AS316" s="752">
        <f>INPUT!CJ259</f>
        <v>-0.56888888888889655</v>
      </c>
      <c r="AT316" s="750">
        <f>INPUT!CK259</f>
        <v>565.9</v>
      </c>
      <c r="AU316" s="752">
        <f>INPUT!CL259</f>
        <v>0.28353712564239686</v>
      </c>
      <c r="AV316" s="750">
        <f>INPUT!CM259</f>
        <v>1324.9</v>
      </c>
      <c r="AW316" s="752" t="str">
        <f>INPUT!CN259</f>
        <v>NM</v>
      </c>
      <c r="AX316" s="750">
        <f>INPUT!CO259</f>
        <v>578.70000000000005</v>
      </c>
      <c r="AY316" s="752">
        <f>INPUT!CP259</f>
        <v>2.8434334458859123</v>
      </c>
      <c r="AZ316" s="750">
        <f>INPUT!CQ259</f>
        <v>575.1</v>
      </c>
      <c r="BA316" s="752">
        <f>INPUT!CR259</f>
        <v>2.8249597711425212</v>
      </c>
      <c r="BB316" s="750">
        <f>INPUT!CS259</f>
        <v>580.5</v>
      </c>
      <c r="BC316" s="752">
        <f>INPUT!CT259</f>
        <v>2.5799611238734865</v>
      </c>
      <c r="BD316" s="750">
        <f>INPUT!CU259</f>
        <v>580.6</v>
      </c>
      <c r="BE316" s="752" t="str">
        <f>INPUT!CV259</f>
        <v>NM</v>
      </c>
      <c r="BF316" s="750">
        <f>INPUT!CW259</f>
        <v>579.29999999999995</v>
      </c>
      <c r="BG316" s="752">
        <f>INPUT!CX259</f>
        <v>0.10368066355623817</v>
      </c>
      <c r="BH316" s="750">
        <f>INPUT!CY259</f>
        <v>571</v>
      </c>
      <c r="BI316" s="752">
        <f>INPUT!CZ259</f>
        <v>-0.71291949226222062</v>
      </c>
      <c r="BJ316" s="750">
        <f>INPUT!DA259</f>
        <v>570.70000000000005</v>
      </c>
      <c r="BK316" s="752">
        <f>INPUT!DB259</f>
        <v>-1.6881998277347043</v>
      </c>
      <c r="BL316" s="750">
        <f>INPUT!DC259</f>
        <v>572</v>
      </c>
      <c r="BM316" s="752">
        <f>INPUT!DD259</f>
        <v>-1.4812263176024798</v>
      </c>
      <c r="BN316" s="750">
        <f>INPUT!DE259</f>
        <v>555.6</v>
      </c>
      <c r="BO316" s="752">
        <f>INPUT!DF259</f>
        <v>-4.0911444847229301</v>
      </c>
      <c r="BP316" s="750">
        <f>INPUT!DG259</f>
        <v>560</v>
      </c>
      <c r="BQ316" s="752">
        <f>INPUT!DH259</f>
        <v>-1.9264448336252182</v>
      </c>
      <c r="BR316" s="750">
        <f>INPUT!DI259</f>
        <v>559.29999999999995</v>
      </c>
      <c r="BS316" s="752">
        <f>INPUT!DJ259</f>
        <v>-1.9975468722621459</v>
      </c>
      <c r="BT316" s="750">
        <f>INPUT!DK259</f>
        <v>1256.2</v>
      </c>
      <c r="BU316" s="752" t="str">
        <f>INPUT!DL259</f>
        <v>NM</v>
      </c>
      <c r="BV316" s="750">
        <f>INPUT!DM259</f>
        <v>552.70000000000005</v>
      </c>
      <c r="BW316" s="752">
        <f>INPUT!DN259</f>
        <v>-0.52195824334052565</v>
      </c>
      <c r="BX316" s="750">
        <f>INPUT!DO259</f>
        <v>553.1</v>
      </c>
      <c r="BY316" s="752">
        <f>INPUT!DP259</f>
        <v>-1.2321428571428483</v>
      </c>
      <c r="BZ316" s="750">
        <f>INPUT!DQ259</f>
        <v>555.79999999999995</v>
      </c>
      <c r="CA316" s="752">
        <f>INPUT!DR259</f>
        <v>-0.62578222778473247</v>
      </c>
      <c r="CB316" s="750">
        <f>INPUT!DS259</f>
        <v>566.70000000000005</v>
      </c>
      <c r="CC316" s="752" t="str">
        <f>INPUT!DT259</f>
        <v>NM</v>
      </c>
      <c r="CD316" s="750">
        <f>INPUT!DU259</f>
        <v>554</v>
      </c>
      <c r="CE316" s="752">
        <f>INPUT!DV259</f>
        <v>0.23520897412701025</v>
      </c>
      <c r="CF316" s="750">
        <f>INPUT!DW259</f>
        <v>556.6</v>
      </c>
      <c r="CG316" s="752">
        <f>INPUT!DX259</f>
        <v>0.63279696257458884</v>
      </c>
      <c r="CH316" s="750">
        <f>INPUT!DY259</f>
        <v>556.6</v>
      </c>
      <c r="CI316" s="752">
        <f>INPUT!DZ259</f>
        <v>0.14393666786614023</v>
      </c>
      <c r="CJ316" s="750">
        <f>INPUT!EA259</f>
        <v>556.5</v>
      </c>
      <c r="CK316" s="752">
        <f>INPUT!EB259</f>
        <v>-1.7998941238750787</v>
      </c>
      <c r="CL316" s="750">
        <f>INPUT!EC259</f>
        <v>548.70000000000005</v>
      </c>
      <c r="CM316" s="752">
        <f>INPUT!ED259</f>
        <v>-0.95667870036100222</v>
      </c>
      <c r="CN316" s="750">
        <f>INPUT!EE259</f>
        <v>547.6</v>
      </c>
      <c r="CO316" s="752">
        <f>INPUT!EF259</f>
        <v>-1.6169601149838342</v>
      </c>
      <c r="CP316" s="750">
        <f>INPUT!EG259</f>
        <v>550.4</v>
      </c>
      <c r="CQ316" s="752">
        <f>INPUT!EH259</f>
        <v>-1.1139058569888727</v>
      </c>
      <c r="CR316" s="750">
        <f>INPUT!EI259</f>
        <v>545.1</v>
      </c>
      <c r="CS316" s="752">
        <f>INPUT!EJ259</f>
        <v>-2.0485175202156314</v>
      </c>
      <c r="CT316" s="750">
        <f>INPUT!EK259</f>
        <v>542.95639199999994</v>
      </c>
      <c r="CU316" s="752">
        <f>INPUT!EL259</f>
        <v>-1.0467665390924252</v>
      </c>
      <c r="CV316" s="750">
        <f>INPUT!EM259</f>
        <v>539.69865364799989</v>
      </c>
      <c r="CW316" s="752">
        <f>INPUT!EN259</f>
        <v>-1.4429047392257366</v>
      </c>
      <c r="CX316" s="750">
        <f>INPUT!EO259</f>
        <v>536.46046172611193</v>
      </c>
      <c r="CY316" s="752">
        <f>INPUT!EP259</f>
        <v>-2.5326195991802414</v>
      </c>
      <c r="CZ316" s="750">
        <f>INPUT!EQ259</f>
        <v>533.24169895575517</v>
      </c>
      <c r="DA316" s="752">
        <f>INPUT!ER259</f>
        <v>-2.175435891440991</v>
      </c>
      <c r="DB316" s="753"/>
      <c r="DC316" s="750">
        <f>INPUT!FB259</f>
        <v>0</v>
      </c>
      <c r="DD316" s="756">
        <f>INPUT!FC259</f>
        <v>0</v>
      </c>
      <c r="DE316" s="750">
        <f>INPUT!FD259</f>
        <v>1544.1999999999998</v>
      </c>
      <c r="DF316" s="756" t="str">
        <f>INPUT!FE259</f>
        <v>NA</v>
      </c>
      <c r="DG316" s="750">
        <f>INPUT!FF259</f>
        <v>1533.6</v>
      </c>
      <c r="DH316" s="756">
        <f>INPUT!FG259</f>
        <v>-0.6864395803652279</v>
      </c>
      <c r="DI316" s="750">
        <f>INPUT!FH259</f>
        <v>1618.9</v>
      </c>
      <c r="DJ316" s="756">
        <f>INPUT!FI259</f>
        <v>5.5620761606677283</v>
      </c>
      <c r="DK316" s="750">
        <f>INPUT!FJ259</f>
        <v>1539.6</v>
      </c>
      <c r="DL316" s="752">
        <f>INPUT!FK259</f>
        <v>-4.8983877941812466</v>
      </c>
      <c r="DM316" s="750">
        <f>INPUT!FL259</f>
        <v>1662.5000000000002</v>
      </c>
      <c r="DN316" s="752">
        <f>INPUT!FM259</f>
        <v>7.9825928812678804</v>
      </c>
      <c r="DO316" s="750">
        <f>INPUT!FN259</f>
        <v>1627.7000000000003</v>
      </c>
      <c r="DP316" s="752">
        <f>INPUT!FO259</f>
        <v>-2.0932330827067691</v>
      </c>
      <c r="DQ316" s="750">
        <f>INPUT!FP259</f>
        <v>1544.8</v>
      </c>
      <c r="DR316" s="752">
        <f>INPUT!FQ259</f>
        <v>-5.0930761196780967</v>
      </c>
      <c r="DS316" s="750">
        <f>INPUT!FR259</f>
        <v>2245.3000000000002</v>
      </c>
      <c r="DT316" s="752">
        <f>INPUT!FS259</f>
        <v>45.345675815639574</v>
      </c>
      <c r="DU316" s="750">
        <f>INPUT!FT259</f>
        <v>2259.1999999999998</v>
      </c>
      <c r="DV316" s="752">
        <f>INPUT!FU259</f>
        <v>0.61907094820290443</v>
      </c>
      <c r="DW316" s="750">
        <f>INPUT!FV259</f>
        <v>3012.8</v>
      </c>
      <c r="DX316" s="752">
        <f>INPUT!FW259</f>
        <v>33.35694050991502</v>
      </c>
      <c r="DY316" s="750">
        <f>INPUT!FX259</f>
        <v>2314.9</v>
      </c>
      <c r="DZ316" s="752">
        <f>INPUT!FY259</f>
        <v>-23.164498141263945</v>
      </c>
      <c r="EA316" s="750">
        <f>INPUT!FZ259</f>
        <v>2293</v>
      </c>
      <c r="EB316" s="752">
        <f>INPUT!GA259</f>
        <v>-0.94604518553718098</v>
      </c>
      <c r="EC316" s="750">
        <f>INPUT!GB259</f>
        <v>2931.1</v>
      </c>
      <c r="ED316" s="752">
        <f>INPUT!GC259</f>
        <v>27.82817269952027</v>
      </c>
      <c r="EE316" s="750">
        <f>INPUT!GD259</f>
        <v>2228.3000000000002</v>
      </c>
      <c r="EF316" s="752">
        <f>INPUT!GE259</f>
        <v>-23.977346388727771</v>
      </c>
      <c r="EG316" s="750">
        <f>INPUT!GF259</f>
        <v>2223.6999999999998</v>
      </c>
      <c r="EH316" s="752">
        <f>INPUT!GG259</f>
        <v>-0.20643539918324683</v>
      </c>
      <c r="EI316" s="750">
        <f>INPUT!GH259</f>
        <v>2191.8000000000002</v>
      </c>
      <c r="EJ316" s="752">
        <f>INPUT!GI259</f>
        <v>-1.4345460268921029</v>
      </c>
      <c r="EK316" s="750">
        <f>INPUT!GJ259</f>
        <v>2152.357206329867</v>
      </c>
      <c r="EL316" s="752">
        <f>INPUT!GK259</f>
        <v>-1.7995617150348142</v>
      </c>
      <c r="EM316" s="750">
        <f>INPUT!GL259</f>
        <v>2087.7864901399712</v>
      </c>
      <c r="EN316" s="752">
        <f>INPUT!GM259</f>
        <v>-2.9999999999999916</v>
      </c>
      <c r="EO316" s="750">
        <f>INPUT!GN259</f>
        <v>2025.1528954357718</v>
      </c>
      <c r="EP316" s="752">
        <f>INPUT!GO259</f>
        <v>-3.0000000000000138</v>
      </c>
      <c r="EQ316" s="750">
        <f>INPUT!GP259</f>
        <v>1964.3983085726984</v>
      </c>
      <c r="ER316" s="752">
        <f>INPUT!GQ259</f>
        <v>-3.0000000000000138</v>
      </c>
      <c r="ES316" s="750">
        <f>INPUT!GR259</f>
        <v>1905.4663593155176</v>
      </c>
      <c r="ET316" s="752">
        <f>INPUT!GS259</f>
        <v>-2.9999999999999916</v>
      </c>
      <c r="EU316" s="756">
        <f>INPUT!GT259</f>
        <v>-2.7610920902513492</v>
      </c>
      <c r="EV316" s="710"/>
    </row>
    <row r="317" spans="1:152" ht="12.75" hidden="1" customHeight="1" outlineLevel="1" x14ac:dyDescent="0.2">
      <c r="A317" s="754" t="str">
        <f>INPUT!B260</f>
        <v xml:space="preserve">Commissions </v>
      </c>
      <c r="B317" s="750">
        <f>INPUT!AS260</f>
        <v>20.5</v>
      </c>
      <c r="C317" s="756">
        <f>INPUT!AT260</f>
        <v>10.810810810810811</v>
      </c>
      <c r="D317" s="750">
        <f>INPUT!AU260</f>
        <v>18.899999999999999</v>
      </c>
      <c r="E317" s="756">
        <f>INPUT!AV260</f>
        <v>10.526315789473673</v>
      </c>
      <c r="F317" s="750">
        <f>INPUT!AW260</f>
        <v>18.3</v>
      </c>
      <c r="G317" s="756">
        <f>INPUT!AX260</f>
        <v>-3.6842105263157898</v>
      </c>
      <c r="H317" s="750">
        <f>INPUT!AY260</f>
        <v>18.5</v>
      </c>
      <c r="I317" s="752">
        <f>INPUT!AZ260</f>
        <v>-8.8669950738916263</v>
      </c>
      <c r="J317" s="750">
        <f>INPUT!BA260</f>
        <v>18</v>
      </c>
      <c r="K317" s="752">
        <f>INPUT!BB260</f>
        <v>-12.195121951219512</v>
      </c>
      <c r="L317" s="750">
        <f>INPUT!BC260</f>
        <v>16.7</v>
      </c>
      <c r="M317" s="752">
        <f>INPUT!BD260</f>
        <v>-11.640211640211639</v>
      </c>
      <c r="N317" s="750">
        <f>INPUT!BE260</f>
        <v>17.8</v>
      </c>
      <c r="O317" s="752">
        <f>INPUT!BF260</f>
        <v>-2.732240437158473</v>
      </c>
      <c r="P317" s="750">
        <f>INPUT!BG260</f>
        <v>16.600000000000001</v>
      </c>
      <c r="Q317" s="752">
        <f>INPUT!BH260</f>
        <v>-10.270270270270265</v>
      </c>
      <c r="R317" s="750">
        <f>INPUT!BI260</f>
        <v>16.100000000000001</v>
      </c>
      <c r="S317" s="752">
        <f>INPUT!BJ260</f>
        <v>-10.555555555555552</v>
      </c>
      <c r="T317" s="750">
        <f>INPUT!BK260</f>
        <v>15.2</v>
      </c>
      <c r="U317" s="752">
        <f>INPUT!BL260</f>
        <v>-8.9820359281437163</v>
      </c>
      <c r="V317" s="750">
        <f>INPUT!BM260</f>
        <v>15.6</v>
      </c>
      <c r="W317" s="752">
        <f>INPUT!BN260</f>
        <v>-12.359550561797761</v>
      </c>
      <c r="X317" s="750">
        <f>INPUT!BO260</f>
        <v>15.8</v>
      </c>
      <c r="Y317" s="752">
        <f>INPUT!BP260</f>
        <v>-4.8192771084337398</v>
      </c>
      <c r="Z317" s="750">
        <f>INPUT!BQ260</f>
        <v>15.3</v>
      </c>
      <c r="AA317" s="752">
        <f>INPUT!BR260</f>
        <v>-4.9689440993788914</v>
      </c>
      <c r="AB317" s="750">
        <f>INPUT!BS260</f>
        <v>14.8</v>
      </c>
      <c r="AC317" s="752">
        <f>INPUT!BT260</f>
        <v>-2.631578947368407</v>
      </c>
      <c r="AD317" s="750">
        <f>INPUT!BU260</f>
        <v>14.2</v>
      </c>
      <c r="AE317" s="752">
        <f>INPUT!BV260</f>
        <v>-8.9743589743589762</v>
      </c>
      <c r="AF317" s="750">
        <f>INPUT!BW260</f>
        <v>13.8</v>
      </c>
      <c r="AG317" s="752">
        <f>INPUT!BX260</f>
        <v>-12.658227848101266</v>
      </c>
      <c r="AH317" s="750">
        <f>INPUT!BY260</f>
        <v>30</v>
      </c>
      <c r="AI317" s="752">
        <f>INPUT!BZ260</f>
        <v>96.078431372549005</v>
      </c>
      <c r="AJ317" s="750">
        <f>INPUT!CA260</f>
        <v>29.2</v>
      </c>
      <c r="AK317" s="752">
        <f>INPUT!CB260</f>
        <v>97.297297297297277</v>
      </c>
      <c r="AL317" s="750">
        <f>INPUT!CC260</f>
        <v>29.5</v>
      </c>
      <c r="AM317" s="752" t="str">
        <f>INPUT!CD260</f>
        <v>NM</v>
      </c>
      <c r="AN317" s="750">
        <f>INPUT!CE260</f>
        <v>29.4</v>
      </c>
      <c r="AO317" s="752" t="str">
        <f>INPUT!CF260</f>
        <v>NM</v>
      </c>
      <c r="AP317" s="750">
        <f>INPUT!CG260</f>
        <v>29.2</v>
      </c>
      <c r="AQ317" s="752">
        <f>INPUT!CH260</f>
        <v>-2.6666666666666727</v>
      </c>
      <c r="AR317" s="750">
        <f>INPUT!CI260</f>
        <v>27.8</v>
      </c>
      <c r="AS317" s="752">
        <f>INPUT!CJ260</f>
        <v>-4.7945205479452024</v>
      </c>
      <c r="AT317" s="750">
        <f>INPUT!CK260</f>
        <v>28.2</v>
      </c>
      <c r="AU317" s="752">
        <f>INPUT!CL260</f>
        <v>-4.4067796610169463</v>
      </c>
      <c r="AV317" s="750">
        <f>INPUT!CM260</f>
        <v>28.4</v>
      </c>
      <c r="AW317" s="752">
        <f>INPUT!CN260</f>
        <v>-3.4013605442176909</v>
      </c>
      <c r="AX317" s="750">
        <f>INPUT!CO260</f>
        <v>28.5</v>
      </c>
      <c r="AY317" s="752">
        <f>INPUT!CP260</f>
        <v>-2.3972602739726012</v>
      </c>
      <c r="AZ317" s="750">
        <f>INPUT!CQ260</f>
        <v>27.8</v>
      </c>
      <c r="BA317" s="752">
        <f>INPUT!CR260</f>
        <v>0</v>
      </c>
      <c r="BB317" s="750">
        <f>INPUT!CS260</f>
        <v>28.2</v>
      </c>
      <c r="BC317" s="752">
        <f>INPUT!CT260</f>
        <v>0</v>
      </c>
      <c r="BD317" s="750">
        <f>INPUT!CU260</f>
        <v>28.1</v>
      </c>
      <c r="BE317" s="752">
        <f>INPUT!CV260</f>
        <v>-1.0563380281690016</v>
      </c>
      <c r="BF317" s="750">
        <f>INPUT!CW260</f>
        <v>28</v>
      </c>
      <c r="BG317" s="752">
        <f>INPUT!CX260</f>
        <v>-1.7543859649122862</v>
      </c>
      <c r="BH317" s="750">
        <f>INPUT!CY260</f>
        <v>27.1</v>
      </c>
      <c r="BI317" s="752">
        <f>INPUT!CZ260</f>
        <v>-2.5179856115107868</v>
      </c>
      <c r="BJ317" s="750">
        <f>INPUT!DA260</f>
        <v>26.8</v>
      </c>
      <c r="BK317" s="752">
        <f>INPUT!DB260</f>
        <v>-4.9645390070921946</v>
      </c>
      <c r="BL317" s="750">
        <f>INPUT!DC260</f>
        <v>31.9</v>
      </c>
      <c r="BM317" s="752">
        <f>INPUT!DD260</f>
        <v>13.523131672597843</v>
      </c>
      <c r="BN317" s="750">
        <f>INPUT!DE260</f>
        <v>26.1</v>
      </c>
      <c r="BO317" s="752">
        <f>INPUT!DF260</f>
        <v>-6.7857142857142838</v>
      </c>
      <c r="BP317" s="750">
        <f>INPUT!DG260</f>
        <v>25.4</v>
      </c>
      <c r="BQ317" s="752">
        <f>INPUT!DH260</f>
        <v>-6.2730627306273217</v>
      </c>
      <c r="BR317" s="750">
        <f>INPUT!DI260</f>
        <v>25.6</v>
      </c>
      <c r="BS317" s="752">
        <f>INPUT!DJ260</f>
        <v>-4.4776119402985088</v>
      </c>
      <c r="BT317" s="750">
        <f>INPUT!DK260</f>
        <v>24.4</v>
      </c>
      <c r="BU317" s="752">
        <f>INPUT!DL260</f>
        <v>-23.510971786833856</v>
      </c>
      <c r="BV317" s="750">
        <f>INPUT!DM260</f>
        <v>25.6</v>
      </c>
      <c r="BW317" s="752">
        <f>INPUT!DN260</f>
        <v>-1.9157088122605415</v>
      </c>
      <c r="BX317" s="750">
        <f>INPUT!DO260</f>
        <v>24.1</v>
      </c>
      <c r="BY317" s="752">
        <f>INPUT!DP260</f>
        <v>-5.1181102362204633</v>
      </c>
      <c r="BZ317" s="750">
        <f>INPUT!DQ260</f>
        <v>24.9</v>
      </c>
      <c r="CA317" s="752">
        <f>INPUT!DR260</f>
        <v>-2.7343750000000111</v>
      </c>
      <c r="CB317" s="750">
        <f>INPUT!DS260</f>
        <v>24.2</v>
      </c>
      <c r="CC317" s="752">
        <f>INPUT!DT260</f>
        <v>-0.81967213114754189</v>
      </c>
      <c r="CD317" s="750">
        <f>INPUT!DU260</f>
        <v>24.1</v>
      </c>
      <c r="CE317" s="752">
        <f>INPUT!DV260</f>
        <v>-5.859375</v>
      </c>
      <c r="CF317" s="750">
        <f>INPUT!DW260</f>
        <v>23.1</v>
      </c>
      <c r="CG317" s="752">
        <f>INPUT!DX260</f>
        <v>-4.1493775933609918</v>
      </c>
      <c r="CH317" s="750">
        <f>INPUT!DY260</f>
        <v>23.5</v>
      </c>
      <c r="CI317" s="752">
        <f>INPUT!DZ260</f>
        <v>-5.6224899598393492</v>
      </c>
      <c r="CJ317" s="750">
        <f>INPUT!EA260</f>
        <v>23.1</v>
      </c>
      <c r="CK317" s="752">
        <f>INPUT!EB260</f>
        <v>-4.5454545454545414</v>
      </c>
      <c r="CL317" s="750">
        <f>INPUT!EC260</f>
        <v>23</v>
      </c>
      <c r="CM317" s="752">
        <f>INPUT!ED260</f>
        <v>-4.5643153526971014</v>
      </c>
      <c r="CN317" s="750">
        <f>INPUT!EE260</f>
        <v>22.4</v>
      </c>
      <c r="CO317" s="752">
        <f>INPUT!EF260</f>
        <v>-3.0303030303030387</v>
      </c>
      <c r="CP317" s="750">
        <f>INPUT!EG260</f>
        <v>22.7</v>
      </c>
      <c r="CQ317" s="752">
        <f>INPUT!EH260</f>
        <v>-3.4042553191489411</v>
      </c>
      <c r="CR317" s="750">
        <f>INPUT!EI260</f>
        <v>21.9</v>
      </c>
      <c r="CS317" s="752">
        <f>INPUT!EJ260</f>
        <v>-5.1948051948052072</v>
      </c>
      <c r="CT317" s="750">
        <f>INPUT!EK260</f>
        <v>21.956615999999997</v>
      </c>
      <c r="CU317" s="752">
        <f>INPUT!EL260</f>
        <v>-4.5364521739130526</v>
      </c>
      <c r="CV317" s="750">
        <f>INPUT!EM260</f>
        <v>21.824876303999996</v>
      </c>
      <c r="CW317" s="752">
        <f>INPUT!EN260</f>
        <v>-2.5675165000000111</v>
      </c>
      <c r="CX317" s="750">
        <f>INPUT!EO260</f>
        <v>21.693927046175997</v>
      </c>
      <c r="CY317" s="752">
        <f>INPUT!EP260</f>
        <v>-4.4320394441585975</v>
      </c>
      <c r="CZ317" s="750">
        <f>INPUT!EQ260</f>
        <v>21.563763483898938</v>
      </c>
      <c r="DA317" s="752">
        <f>INPUT!ER260</f>
        <v>-1.5353265575390851</v>
      </c>
      <c r="DB317" s="753"/>
      <c r="DC317" s="750">
        <f>INPUT!FB260</f>
        <v>0</v>
      </c>
      <c r="DD317" s="756">
        <f>INPUT!FC260</f>
        <v>0</v>
      </c>
      <c r="DE317" s="750">
        <f>INPUT!FD260</f>
        <v>109.2</v>
      </c>
      <c r="DF317" s="756" t="str">
        <f>INPUT!FE260</f>
        <v>NA</v>
      </c>
      <c r="DG317" s="750">
        <f>INPUT!FF260</f>
        <v>85.5</v>
      </c>
      <c r="DH317" s="756">
        <f>INPUT!FG260</f>
        <v>-21.703296703296704</v>
      </c>
      <c r="DI317" s="750">
        <f>INPUT!FH260</f>
        <v>76.3</v>
      </c>
      <c r="DJ317" s="756">
        <f>INPUT!FI260</f>
        <v>-10.760233918128659</v>
      </c>
      <c r="DK317" s="750">
        <f>INPUT!FJ260</f>
        <v>74.900000000000006</v>
      </c>
      <c r="DL317" s="752">
        <f>INPUT!FK260</f>
        <v>-1.8348623853210899</v>
      </c>
      <c r="DM317" s="750">
        <f>INPUT!FL260</f>
        <v>76.2</v>
      </c>
      <c r="DN317" s="752">
        <f>INPUT!FM260</f>
        <v>1.735647530040052</v>
      </c>
      <c r="DO317" s="750">
        <f>INPUT!FN260</f>
        <v>69.099999999999994</v>
      </c>
      <c r="DP317" s="752">
        <f>INPUT!FO260</f>
        <v>-9.3175853018372834</v>
      </c>
      <c r="DQ317" s="750">
        <f>INPUT!FP260</f>
        <v>62.7</v>
      </c>
      <c r="DR317" s="752">
        <f>INPUT!FQ260</f>
        <v>-9.261939218523862</v>
      </c>
      <c r="DS317" s="750">
        <f>INPUT!FR260</f>
        <v>126.8</v>
      </c>
      <c r="DT317" s="752" t="str">
        <f>INPUT!FS260</f>
        <v>NM</v>
      </c>
      <c r="DU317" s="750">
        <f>INPUT!FT260</f>
        <v>118.1</v>
      </c>
      <c r="DV317" s="752">
        <f>INPUT!FU260</f>
        <v>-6.8611987381703488</v>
      </c>
      <c r="DW317" s="750">
        <f>INPUT!FV260</f>
        <v>113.6</v>
      </c>
      <c r="DX317" s="752">
        <f>INPUT!FW260</f>
        <v>-3.8103302286198182</v>
      </c>
      <c r="DY317" s="750">
        <f>INPUT!FX260</f>
        <v>112.6</v>
      </c>
      <c r="DZ317" s="752">
        <f>INPUT!FY260</f>
        <v>-0.88028169014084945</v>
      </c>
      <c r="EA317" s="750">
        <f>INPUT!FZ260</f>
        <v>113.80000000000001</v>
      </c>
      <c r="EB317" s="752">
        <f>INPUT!GA260</f>
        <v>1.0657193605684068</v>
      </c>
      <c r="EC317" s="750">
        <f>INPUT!GB260</f>
        <v>101.5</v>
      </c>
      <c r="ED317" s="752">
        <f>INPUT!GC260</f>
        <v>-10.80843585237259</v>
      </c>
      <c r="EE317" s="750">
        <f>INPUT!GD260</f>
        <v>98.8</v>
      </c>
      <c r="EF317" s="752">
        <f>INPUT!GE260</f>
        <v>-2.6600985221674867</v>
      </c>
      <c r="EG317" s="750">
        <f>INPUT!GF260</f>
        <v>93.800000000000011</v>
      </c>
      <c r="EH317" s="752">
        <f>INPUT!GG260</f>
        <v>-5.060728744939258</v>
      </c>
      <c r="EI317" s="750">
        <f>INPUT!GH260</f>
        <v>90</v>
      </c>
      <c r="EJ317" s="752">
        <f>INPUT!GI260</f>
        <v>-4.0511727078891386</v>
      </c>
      <c r="EK317" s="750">
        <f>INPUT!GJ260</f>
        <v>87.039182834074936</v>
      </c>
      <c r="EL317" s="752">
        <f>INPUT!GK260</f>
        <v>-3.2897968510278486</v>
      </c>
      <c r="EM317" s="750">
        <f>INPUT!GL260</f>
        <v>84.428007349052692</v>
      </c>
      <c r="EN317" s="752">
        <f>INPUT!GM260</f>
        <v>-2.9999999999999916</v>
      </c>
      <c r="EO317" s="750">
        <f>INPUT!GN260</f>
        <v>81.895167128581093</v>
      </c>
      <c r="EP317" s="752">
        <f>INPUT!GO260</f>
        <v>-3.0000000000000249</v>
      </c>
      <c r="EQ317" s="750">
        <f>INPUT!GP260</f>
        <v>79.438312114723658</v>
      </c>
      <c r="ER317" s="752">
        <f>INPUT!GQ260</f>
        <v>-3.0000000000000027</v>
      </c>
      <c r="ES317" s="750">
        <f>INPUT!GR260</f>
        <v>77.055162751281955</v>
      </c>
      <c r="ET317" s="752">
        <f>INPUT!GS260</f>
        <v>-2.9999999999999916</v>
      </c>
      <c r="EU317" s="756">
        <f>INPUT!GT260</f>
        <v>-3.0580287583073407</v>
      </c>
      <c r="EV317" s="710"/>
    </row>
    <row r="318" spans="1:152" ht="12.75" hidden="1" customHeight="1" outlineLevel="1" x14ac:dyDescent="0.2">
      <c r="A318" s="754" t="str">
        <f>INPUT!B261</f>
        <v>Net Change in DPAC</v>
      </c>
      <c r="B318" s="750">
        <f>INPUT!AS261</f>
        <v>0</v>
      </c>
      <c r="C318" s="756" t="str">
        <f>INPUT!AT261</f>
        <v>NA</v>
      </c>
      <c r="D318" s="750">
        <f>INPUT!AU261</f>
        <v>0</v>
      </c>
      <c r="E318" s="756" t="str">
        <f>INPUT!AV261</f>
        <v>NA</v>
      </c>
      <c r="F318" s="750">
        <f>INPUT!AW261</f>
        <v>0</v>
      </c>
      <c r="G318" s="756" t="str">
        <f>INPUT!AX261</f>
        <v>NA</v>
      </c>
      <c r="H318" s="750">
        <f>INPUT!AY261</f>
        <v>0</v>
      </c>
      <c r="I318" s="752" t="str">
        <f>INPUT!AZ261</f>
        <v>NA</v>
      </c>
      <c r="J318" s="750">
        <f>INPUT!BA261</f>
        <v>0</v>
      </c>
      <c r="K318" s="752" t="str">
        <f>INPUT!BB261</f>
        <v>NA</v>
      </c>
      <c r="L318" s="750">
        <f>INPUT!BC261</f>
        <v>0</v>
      </c>
      <c r="M318" s="752" t="str">
        <f>INPUT!BD261</f>
        <v>NA</v>
      </c>
      <c r="N318" s="750">
        <f>INPUT!BE261</f>
        <v>0</v>
      </c>
      <c r="O318" s="752" t="str">
        <f>INPUT!BF261</f>
        <v>NA</v>
      </c>
      <c r="P318" s="750">
        <f>INPUT!BG261</f>
        <v>0</v>
      </c>
      <c r="Q318" s="752" t="str">
        <f>INPUT!BH261</f>
        <v>NA</v>
      </c>
      <c r="R318" s="750">
        <f>INPUT!BI261</f>
        <v>0</v>
      </c>
      <c r="S318" s="752" t="str">
        <f>INPUT!BJ261</f>
        <v>NA</v>
      </c>
      <c r="T318" s="750">
        <f>INPUT!BK261</f>
        <v>0</v>
      </c>
      <c r="U318" s="752" t="str">
        <f>INPUT!BL261</f>
        <v>NA</v>
      </c>
      <c r="V318" s="750">
        <f>INPUT!BM261</f>
        <v>0</v>
      </c>
      <c r="W318" s="752" t="str">
        <f>INPUT!BN261</f>
        <v>NA</v>
      </c>
      <c r="X318" s="750">
        <f>INPUT!BO261</f>
        <v>0</v>
      </c>
      <c r="Y318" s="752" t="str">
        <f>INPUT!BP261</f>
        <v>NA</v>
      </c>
      <c r="Z318" s="750">
        <f>INPUT!BQ261</f>
        <v>0</v>
      </c>
      <c r="AA318" s="752" t="str">
        <f>INPUT!BR261</f>
        <v>NA</v>
      </c>
      <c r="AB318" s="750">
        <f>INPUT!BS261</f>
        <v>0</v>
      </c>
      <c r="AC318" s="752" t="str">
        <f>INPUT!BT261</f>
        <v>NA</v>
      </c>
      <c r="AD318" s="750">
        <f>INPUT!BU261</f>
        <v>0</v>
      </c>
      <c r="AE318" s="752" t="str">
        <f>INPUT!BV261</f>
        <v>NA</v>
      </c>
      <c r="AF318" s="750">
        <f>INPUT!BW261</f>
        <v>0</v>
      </c>
      <c r="AG318" s="752" t="str">
        <f>INPUT!BX261</f>
        <v>NA</v>
      </c>
      <c r="AH318" s="750">
        <f>INPUT!BY261</f>
        <v>3.5999999999999996</v>
      </c>
      <c r="AI318" s="752" t="str">
        <f>INPUT!BZ261</f>
        <v>NA</v>
      </c>
      <c r="AJ318" s="750">
        <f>INPUT!CA261</f>
        <v>3.5999999999999996</v>
      </c>
      <c r="AK318" s="752" t="str">
        <f>INPUT!CB261</f>
        <v>NA</v>
      </c>
      <c r="AL318" s="750">
        <f>INPUT!CC261</f>
        <v>3.5</v>
      </c>
      <c r="AM318" s="752" t="str">
        <f>INPUT!CD261</f>
        <v>NA</v>
      </c>
      <c r="AN318" s="750">
        <f>INPUT!CE261</f>
        <v>3.5</v>
      </c>
      <c r="AO318" s="752" t="str">
        <f>INPUT!CF261</f>
        <v>NA</v>
      </c>
      <c r="AP318" s="750">
        <f>INPUT!CG261</f>
        <v>2.7</v>
      </c>
      <c r="AQ318" s="752">
        <f>INPUT!CH261</f>
        <v>-24.999999999999989</v>
      </c>
      <c r="AR318" s="750">
        <f>INPUT!CI261</f>
        <v>2.8000000000000003</v>
      </c>
      <c r="AS318" s="752">
        <f>INPUT!CJ261</f>
        <v>-22.222222222222211</v>
      </c>
      <c r="AT318" s="750">
        <f>INPUT!CK261</f>
        <v>2.2000000000000002</v>
      </c>
      <c r="AU318" s="752">
        <f>INPUT!CL261</f>
        <v>-37.142857142857132</v>
      </c>
      <c r="AV318" s="750">
        <f>INPUT!CM261</f>
        <v>195.7</v>
      </c>
      <c r="AW318" s="752" t="str">
        <f>INPUT!CN261</f>
        <v>NM</v>
      </c>
      <c r="AX318" s="750">
        <f>INPUT!CO261</f>
        <v>0</v>
      </c>
      <c r="AY318" s="752" t="str">
        <f>INPUT!CP261</f>
        <v>NM</v>
      </c>
      <c r="AZ318" s="750">
        <f>INPUT!CQ261</f>
        <v>0</v>
      </c>
      <c r="BA318" s="752" t="str">
        <f>INPUT!CR261</f>
        <v>NM</v>
      </c>
      <c r="BB318" s="750">
        <f>INPUT!CS261</f>
        <v>0</v>
      </c>
      <c r="BC318" s="752" t="str">
        <f>INPUT!CT261</f>
        <v>NM</v>
      </c>
      <c r="BD318" s="750">
        <f>INPUT!CU261</f>
        <v>0</v>
      </c>
      <c r="BE318" s="752" t="str">
        <f>INPUT!CV261</f>
        <v>NM</v>
      </c>
      <c r="BF318" s="750">
        <f>INPUT!CW261</f>
        <v>0</v>
      </c>
      <c r="BG318" s="752" t="str">
        <f>INPUT!CX261</f>
        <v>NA</v>
      </c>
      <c r="BH318" s="750">
        <f>INPUT!CY261</f>
        <v>0</v>
      </c>
      <c r="BI318" s="752" t="str">
        <f>INPUT!CZ261</f>
        <v>NA</v>
      </c>
      <c r="BJ318" s="750">
        <f>INPUT!DA261</f>
        <v>0</v>
      </c>
      <c r="BK318" s="752" t="str">
        <f>INPUT!DB261</f>
        <v>NA</v>
      </c>
      <c r="BL318" s="750">
        <f>INPUT!DC261</f>
        <v>0</v>
      </c>
      <c r="BM318" s="752" t="str">
        <f>INPUT!DD261</f>
        <v>NA</v>
      </c>
      <c r="BN318" s="750">
        <f>INPUT!DE261</f>
        <v>0</v>
      </c>
      <c r="BO318" s="752" t="str">
        <f>INPUT!DF261</f>
        <v>NA</v>
      </c>
      <c r="BP318" s="750">
        <f>INPUT!DG261</f>
        <v>0</v>
      </c>
      <c r="BQ318" s="752" t="str">
        <f>INPUT!DH261</f>
        <v>NA</v>
      </c>
      <c r="BR318" s="750">
        <f>INPUT!DI261</f>
        <v>0</v>
      </c>
      <c r="BS318" s="752" t="str">
        <f>INPUT!DJ261</f>
        <v>NA</v>
      </c>
      <c r="BT318" s="750">
        <f>INPUT!DK261</f>
        <v>0</v>
      </c>
      <c r="BU318" s="752" t="str">
        <f>INPUT!DL261</f>
        <v>NA</v>
      </c>
      <c r="BV318" s="750">
        <f>INPUT!DM261</f>
        <v>0</v>
      </c>
      <c r="BW318" s="752" t="str">
        <f>INPUT!DN261</f>
        <v>NA</v>
      </c>
      <c r="BX318" s="750">
        <f>INPUT!DO261</f>
        <v>0</v>
      </c>
      <c r="BY318" s="752" t="str">
        <f>INPUT!DP261</f>
        <v>NA</v>
      </c>
      <c r="BZ318" s="750">
        <f>INPUT!DQ261</f>
        <v>0</v>
      </c>
      <c r="CA318" s="752" t="str">
        <f>INPUT!DR261</f>
        <v>NA</v>
      </c>
      <c r="CB318" s="750">
        <f>INPUT!DS261</f>
        <v>0</v>
      </c>
      <c r="CC318" s="752" t="str">
        <f>INPUT!DT261</f>
        <v>NA</v>
      </c>
      <c r="CD318" s="750">
        <f>INPUT!DU261</f>
        <v>0</v>
      </c>
      <c r="CE318" s="752" t="str">
        <f>INPUT!DV261</f>
        <v>NA</v>
      </c>
      <c r="CF318" s="750">
        <f>INPUT!DW261</f>
        <v>0</v>
      </c>
      <c r="CG318" s="752" t="str">
        <f>INPUT!DX261</f>
        <v>NA</v>
      </c>
      <c r="CH318" s="750">
        <f>INPUT!DY261</f>
        <v>0</v>
      </c>
      <c r="CI318" s="752" t="str">
        <f>INPUT!DZ261</f>
        <v>NA</v>
      </c>
      <c r="CJ318" s="750">
        <f>INPUT!EA261</f>
        <v>0</v>
      </c>
      <c r="CK318" s="752" t="str">
        <f>INPUT!EB261</f>
        <v>NA</v>
      </c>
      <c r="CL318" s="750">
        <f>INPUT!EC261</f>
        <v>0</v>
      </c>
      <c r="CM318" s="752" t="str">
        <f>INPUT!ED261</f>
        <v>NA</v>
      </c>
      <c r="CN318" s="750">
        <f>INPUT!EE261</f>
        <v>0</v>
      </c>
      <c r="CO318" s="752" t="str">
        <f>INPUT!EF261</f>
        <v>NA</v>
      </c>
      <c r="CP318" s="750">
        <f>INPUT!EG261</f>
        <v>0</v>
      </c>
      <c r="CQ318" s="752" t="str">
        <f>INPUT!EH261</f>
        <v>NA</v>
      </c>
      <c r="CR318" s="750">
        <f>INPUT!EI261</f>
        <v>0</v>
      </c>
      <c r="CS318" s="752" t="str">
        <f>INPUT!EJ261</f>
        <v>NA</v>
      </c>
      <c r="CT318" s="750">
        <f>INPUT!EK261</f>
        <v>0</v>
      </c>
      <c r="CU318" s="752" t="str">
        <f>INPUT!EL261</f>
        <v>NA</v>
      </c>
      <c r="CV318" s="750">
        <f>INPUT!EM261</f>
        <v>0</v>
      </c>
      <c r="CW318" s="752" t="str">
        <f>INPUT!EN261</f>
        <v>NA</v>
      </c>
      <c r="CX318" s="750">
        <f>INPUT!EO261</f>
        <v>0</v>
      </c>
      <c r="CY318" s="752" t="str">
        <f>INPUT!EP261</f>
        <v>NA</v>
      </c>
      <c r="CZ318" s="750">
        <f>INPUT!EQ261</f>
        <v>0</v>
      </c>
      <c r="DA318" s="752" t="str">
        <f>INPUT!ER261</f>
        <v>NA</v>
      </c>
      <c r="DB318" s="753"/>
      <c r="DC318" s="750">
        <f>INPUT!FB261</f>
        <v>0</v>
      </c>
      <c r="DD318" s="756">
        <f>INPUT!FC261</f>
        <v>0</v>
      </c>
      <c r="DE318" s="750">
        <f>INPUT!FD261</f>
        <v>22.8</v>
      </c>
      <c r="DF318" s="756" t="str">
        <f>INPUT!FE261</f>
        <v>NA</v>
      </c>
      <c r="DG318" s="750">
        <f>INPUT!FF261</f>
        <v>33.799999999999997</v>
      </c>
      <c r="DH318" s="756">
        <f>INPUT!FG261</f>
        <v>48.245614035087691</v>
      </c>
      <c r="DI318" s="750">
        <f>INPUT!FH261</f>
        <v>0</v>
      </c>
      <c r="DJ318" s="756" t="str">
        <f>INPUT!FI261</f>
        <v>NM</v>
      </c>
      <c r="DK318" s="750">
        <f>INPUT!FJ261</f>
        <v>0</v>
      </c>
      <c r="DL318" s="752" t="str">
        <f>INPUT!FK261</f>
        <v>NA</v>
      </c>
      <c r="DM318" s="750">
        <f>INPUT!FL261</f>
        <v>0</v>
      </c>
      <c r="DN318" s="752" t="str">
        <f>INPUT!FM261</f>
        <v>NA</v>
      </c>
      <c r="DO318" s="750">
        <f>INPUT!FN261</f>
        <v>0</v>
      </c>
      <c r="DP318" s="752" t="str">
        <f>INPUT!FO261</f>
        <v>NA</v>
      </c>
      <c r="DQ318" s="750">
        <f>INPUT!FP261</f>
        <v>0</v>
      </c>
      <c r="DR318" s="752" t="str">
        <f>INPUT!FQ261</f>
        <v>NA</v>
      </c>
      <c r="DS318" s="750">
        <f>INPUT!FR261</f>
        <v>9.9</v>
      </c>
      <c r="DT318" s="752" t="str">
        <f>INPUT!FS261</f>
        <v>NA</v>
      </c>
      <c r="DU318" s="750">
        <f>INPUT!FT261</f>
        <v>14.2</v>
      </c>
      <c r="DV318" s="752">
        <f>INPUT!FU261</f>
        <v>43.434343434343425</v>
      </c>
      <c r="DW318" s="750">
        <f>INPUT!FV261</f>
        <v>203.39999999999998</v>
      </c>
      <c r="DX318" s="752" t="str">
        <f>INPUT!FW261</f>
        <v>NM</v>
      </c>
      <c r="DY318" s="750">
        <f>INPUT!FX261</f>
        <v>0</v>
      </c>
      <c r="DZ318" s="752" t="str">
        <f>INPUT!FY261</f>
        <v>NM</v>
      </c>
      <c r="EA318" s="750">
        <f>INPUT!FZ261</f>
        <v>0</v>
      </c>
      <c r="EB318" s="752" t="str">
        <f>INPUT!GA261</f>
        <v>NA</v>
      </c>
      <c r="EC318" s="750">
        <f>INPUT!GB261</f>
        <v>0</v>
      </c>
      <c r="ED318" s="752" t="str">
        <f>INPUT!GC261</f>
        <v>NA</v>
      </c>
      <c r="EE318" s="750">
        <f>INPUT!GD261</f>
        <v>0</v>
      </c>
      <c r="EF318" s="752" t="str">
        <f>INPUT!GE261</f>
        <v>NA</v>
      </c>
      <c r="EG318" s="750">
        <f>INPUT!GF261</f>
        <v>0</v>
      </c>
      <c r="EH318" s="752" t="str">
        <f>INPUT!GG261</f>
        <v>NA</v>
      </c>
      <c r="EI318" s="750">
        <f>INPUT!GH261</f>
        <v>0</v>
      </c>
      <c r="EJ318" s="752" t="str">
        <f>INPUT!GI261</f>
        <v>NA</v>
      </c>
      <c r="EK318" s="750">
        <f>INPUT!GJ261</f>
        <v>0</v>
      </c>
      <c r="EL318" s="752" t="str">
        <f>INPUT!GK261</f>
        <v>NA</v>
      </c>
      <c r="EM318" s="750">
        <f>INPUT!GL261</f>
        <v>0</v>
      </c>
      <c r="EN318" s="752" t="str">
        <f>INPUT!GM261</f>
        <v>NA</v>
      </c>
      <c r="EO318" s="750">
        <f>INPUT!GN261</f>
        <v>0</v>
      </c>
      <c r="EP318" s="752" t="str">
        <f>INPUT!GO261</f>
        <v>NA</v>
      </c>
      <c r="EQ318" s="750">
        <f>INPUT!GP261</f>
        <v>0</v>
      </c>
      <c r="ER318" s="752" t="str">
        <f>INPUT!GQ261</f>
        <v>NA</v>
      </c>
      <c r="ES318" s="750">
        <f>INPUT!GR261</f>
        <v>0</v>
      </c>
      <c r="ET318" s="752" t="str">
        <f>INPUT!GS261</f>
        <v>NA</v>
      </c>
      <c r="EU318" s="756" t="str">
        <f>INPUT!GT261</f>
        <v>NA</v>
      </c>
      <c r="EV318" s="710"/>
    </row>
    <row r="319" spans="1:152" ht="12.75" hidden="1" customHeight="1" outlineLevel="1" x14ac:dyDescent="0.2">
      <c r="A319" s="754" t="str">
        <f>INPUT!B262</f>
        <v>Amortization of Value of Business Acquired (VOBA)</v>
      </c>
      <c r="B319" s="750">
        <f>INPUT!AS262</f>
        <v>0</v>
      </c>
      <c r="C319" s="756" t="str">
        <f>INPUT!AT262</f>
        <v>NA</v>
      </c>
      <c r="D319" s="750">
        <f>INPUT!AU262</f>
        <v>0</v>
      </c>
      <c r="E319" s="756" t="str">
        <f>INPUT!AV262</f>
        <v>NA</v>
      </c>
      <c r="F319" s="750">
        <f>INPUT!AW262</f>
        <v>0</v>
      </c>
      <c r="G319" s="756" t="str">
        <f>INPUT!AX262</f>
        <v>NA</v>
      </c>
      <c r="H319" s="750">
        <f>INPUT!AY262</f>
        <v>0</v>
      </c>
      <c r="I319" s="752" t="str">
        <f>INPUT!AZ262</f>
        <v>NA</v>
      </c>
      <c r="J319" s="750">
        <f>INPUT!BA262</f>
        <v>0</v>
      </c>
      <c r="K319" s="752" t="str">
        <f>INPUT!BB262</f>
        <v>NA</v>
      </c>
      <c r="L319" s="750">
        <f>INPUT!BC262</f>
        <v>0</v>
      </c>
      <c r="M319" s="752" t="str">
        <f>INPUT!BD262</f>
        <v>NA</v>
      </c>
      <c r="N319" s="750">
        <f>INPUT!BE262</f>
        <v>0</v>
      </c>
      <c r="O319" s="752" t="str">
        <f>INPUT!BF262</f>
        <v>NA</v>
      </c>
      <c r="P319" s="750">
        <f>INPUT!BG262</f>
        <v>0</v>
      </c>
      <c r="Q319" s="752" t="str">
        <f>INPUT!BH262</f>
        <v>NA</v>
      </c>
      <c r="R319" s="750">
        <f>INPUT!BI262</f>
        <v>0</v>
      </c>
      <c r="S319" s="752" t="str">
        <f>INPUT!BJ262</f>
        <v>NA</v>
      </c>
      <c r="T319" s="750">
        <f>INPUT!BK262</f>
        <v>0</v>
      </c>
      <c r="U319" s="752" t="str">
        <f>INPUT!BL262</f>
        <v>NA</v>
      </c>
      <c r="V319" s="750">
        <f>INPUT!BM262</f>
        <v>0</v>
      </c>
      <c r="W319" s="752" t="str">
        <f>INPUT!BN262</f>
        <v>NA</v>
      </c>
      <c r="X319" s="750">
        <f>INPUT!BO262</f>
        <v>0</v>
      </c>
      <c r="Y319" s="752" t="str">
        <f>INPUT!BP262</f>
        <v>NA</v>
      </c>
      <c r="Z319" s="750">
        <f>INPUT!BQ262</f>
        <v>0</v>
      </c>
      <c r="AA319" s="752" t="str">
        <f>INPUT!BR262</f>
        <v>NA</v>
      </c>
      <c r="AB319" s="750">
        <f>INPUT!BS262</f>
        <v>0</v>
      </c>
      <c r="AC319" s="752" t="str">
        <f>INPUT!BT262</f>
        <v>NA</v>
      </c>
      <c r="AD319" s="750">
        <f>INPUT!BU262</f>
        <v>0</v>
      </c>
      <c r="AE319" s="752" t="str">
        <f>INPUT!BV262</f>
        <v>NA</v>
      </c>
      <c r="AF319" s="750">
        <f>INPUT!BW262</f>
        <v>0</v>
      </c>
      <c r="AG319" s="752" t="str">
        <f>INPUT!BX262</f>
        <v>NA</v>
      </c>
      <c r="AH319" s="750">
        <f>INPUT!BY262</f>
        <v>0</v>
      </c>
      <c r="AI319" s="752" t="str">
        <f>INPUT!BZ262</f>
        <v>NA</v>
      </c>
      <c r="AJ319" s="750">
        <f>INPUT!CA262</f>
        <v>0</v>
      </c>
      <c r="AK319" s="752" t="str">
        <f>INPUT!CB262</f>
        <v>NA</v>
      </c>
      <c r="AL319" s="750">
        <f>INPUT!CC262</f>
        <v>0</v>
      </c>
      <c r="AM319" s="752" t="str">
        <f>INPUT!CD262</f>
        <v>NA</v>
      </c>
      <c r="AN319" s="750">
        <f>INPUT!CE262</f>
        <v>0</v>
      </c>
      <c r="AO319" s="752" t="str">
        <f>INPUT!CF262</f>
        <v>NA</v>
      </c>
      <c r="AP319" s="750">
        <f>INPUT!CG262</f>
        <v>0</v>
      </c>
      <c r="AQ319" s="752" t="str">
        <f>INPUT!CH262</f>
        <v>NA</v>
      </c>
      <c r="AR319" s="750">
        <f>INPUT!CI262</f>
        <v>0</v>
      </c>
      <c r="AS319" s="752" t="str">
        <f>INPUT!CJ262</f>
        <v>NA</v>
      </c>
      <c r="AT319" s="750">
        <f>INPUT!CK262</f>
        <v>0</v>
      </c>
      <c r="AU319" s="752" t="str">
        <f>INPUT!CL262</f>
        <v>NA</v>
      </c>
      <c r="AV319" s="750">
        <f>INPUT!CM262</f>
        <v>0</v>
      </c>
      <c r="AW319" s="752" t="str">
        <f>INPUT!CN262</f>
        <v>NA</v>
      </c>
      <c r="AX319" s="750">
        <f>INPUT!CO262</f>
        <v>0</v>
      </c>
      <c r="AY319" s="752" t="str">
        <f>INPUT!CP262</f>
        <v>NA</v>
      </c>
      <c r="AZ319" s="750">
        <f>INPUT!CQ262</f>
        <v>0</v>
      </c>
      <c r="BA319" s="752" t="str">
        <f>INPUT!CR262</f>
        <v>NA</v>
      </c>
      <c r="BB319" s="750">
        <f>INPUT!CS262</f>
        <v>0</v>
      </c>
      <c r="BC319" s="752" t="str">
        <f>INPUT!CT262</f>
        <v>NA</v>
      </c>
      <c r="BD319" s="750">
        <f>INPUT!CU262</f>
        <v>0</v>
      </c>
      <c r="BE319" s="752" t="str">
        <f>INPUT!CV262</f>
        <v>NA</v>
      </c>
      <c r="BF319" s="750">
        <f>INPUT!CW262</f>
        <v>0</v>
      </c>
      <c r="BG319" s="752" t="str">
        <f>INPUT!CX262</f>
        <v>NA</v>
      </c>
      <c r="BH319" s="750">
        <f>INPUT!CY262</f>
        <v>0</v>
      </c>
      <c r="BI319" s="752" t="str">
        <f>INPUT!CZ262</f>
        <v>NA</v>
      </c>
      <c r="BJ319" s="750">
        <f>INPUT!DA262</f>
        <v>0</v>
      </c>
      <c r="BK319" s="752" t="str">
        <f>INPUT!DB262</f>
        <v>NA</v>
      </c>
      <c r="BL319" s="750">
        <f>INPUT!DC262</f>
        <v>0</v>
      </c>
      <c r="BM319" s="752" t="str">
        <f>INPUT!DD262</f>
        <v>NA</v>
      </c>
      <c r="BN319" s="750">
        <f>INPUT!DE262</f>
        <v>0</v>
      </c>
      <c r="BO319" s="752" t="str">
        <f>INPUT!DF262</f>
        <v>NA</v>
      </c>
      <c r="BP319" s="750">
        <f>INPUT!DG262</f>
        <v>0</v>
      </c>
      <c r="BQ319" s="752" t="str">
        <f>INPUT!DH262</f>
        <v>NA</v>
      </c>
      <c r="BR319" s="750">
        <f>INPUT!DI262</f>
        <v>0</v>
      </c>
      <c r="BS319" s="752" t="str">
        <f>INPUT!DJ262</f>
        <v>NA</v>
      </c>
      <c r="BT319" s="750">
        <f>INPUT!DK262</f>
        <v>0</v>
      </c>
      <c r="BU319" s="752" t="str">
        <f>INPUT!DL262</f>
        <v>NA</v>
      </c>
      <c r="BV319" s="750">
        <f>INPUT!DM262</f>
        <v>0</v>
      </c>
      <c r="BW319" s="752" t="str">
        <f>INPUT!DN262</f>
        <v>NA</v>
      </c>
      <c r="BX319" s="750">
        <f>INPUT!DO262</f>
        <v>0</v>
      </c>
      <c r="BY319" s="752" t="str">
        <f>INPUT!DP262</f>
        <v>NA</v>
      </c>
      <c r="BZ319" s="750">
        <f>INPUT!DQ262</f>
        <v>0</v>
      </c>
      <c r="CA319" s="752" t="str">
        <f>INPUT!DR262</f>
        <v>NA</v>
      </c>
      <c r="CB319" s="750">
        <f>INPUT!DS262</f>
        <v>0</v>
      </c>
      <c r="CC319" s="752" t="str">
        <f>INPUT!DT262</f>
        <v>NA</v>
      </c>
      <c r="CD319" s="750">
        <f>INPUT!DU262</f>
        <v>0</v>
      </c>
      <c r="CE319" s="752" t="str">
        <f>INPUT!DV262</f>
        <v>NA</v>
      </c>
      <c r="CF319" s="750">
        <f>INPUT!DW262</f>
        <v>0</v>
      </c>
      <c r="CG319" s="752" t="str">
        <f>INPUT!DX262</f>
        <v>NA</v>
      </c>
      <c r="CH319" s="750">
        <f>INPUT!DY262</f>
        <v>0</v>
      </c>
      <c r="CI319" s="752" t="str">
        <f>INPUT!DZ262</f>
        <v>NA</v>
      </c>
      <c r="CJ319" s="750">
        <f>INPUT!EA262</f>
        <v>0</v>
      </c>
      <c r="CK319" s="752" t="str">
        <f>INPUT!EB262</f>
        <v>NA</v>
      </c>
      <c r="CL319" s="750">
        <f>INPUT!EC262</f>
        <v>0</v>
      </c>
      <c r="CM319" s="752" t="str">
        <f>INPUT!ED262</f>
        <v>NA</v>
      </c>
      <c r="CN319" s="750">
        <f>INPUT!EE262</f>
        <v>0</v>
      </c>
      <c r="CO319" s="752" t="str">
        <f>INPUT!EF262</f>
        <v>NA</v>
      </c>
      <c r="CP319" s="750">
        <f>INPUT!EG262</f>
        <v>0</v>
      </c>
      <c r="CQ319" s="752" t="str">
        <f>INPUT!EH262</f>
        <v>NA</v>
      </c>
      <c r="CR319" s="750">
        <f>INPUT!EI262</f>
        <v>0</v>
      </c>
      <c r="CS319" s="752" t="str">
        <f>INPUT!EJ262</f>
        <v>NA</v>
      </c>
      <c r="CT319" s="750">
        <f>INPUT!EK262</f>
        <v>0</v>
      </c>
      <c r="CU319" s="752" t="str">
        <f>INPUT!EL262</f>
        <v>NA</v>
      </c>
      <c r="CV319" s="750">
        <f>INPUT!EM262</f>
        <v>0</v>
      </c>
      <c r="CW319" s="752" t="str">
        <f>INPUT!EN262</f>
        <v>NA</v>
      </c>
      <c r="CX319" s="750">
        <f>INPUT!EO262</f>
        <v>0</v>
      </c>
      <c r="CY319" s="752" t="str">
        <f>INPUT!EP262</f>
        <v>NA</v>
      </c>
      <c r="CZ319" s="750">
        <f>INPUT!EQ262</f>
        <v>0</v>
      </c>
      <c r="DA319" s="752" t="str">
        <f>INPUT!ER262</f>
        <v>NA</v>
      </c>
      <c r="DB319" s="753"/>
      <c r="DC319" s="750">
        <f>INPUT!FB262</f>
        <v>0</v>
      </c>
      <c r="DD319" s="756">
        <f>INPUT!FC262</f>
        <v>0</v>
      </c>
      <c r="DE319" s="750">
        <f>INPUT!FD262</f>
        <v>34.900000000000006</v>
      </c>
      <c r="DF319" s="756" t="str">
        <f>INPUT!FE262</f>
        <v>NA</v>
      </c>
      <c r="DG319" s="750">
        <f>INPUT!FF262</f>
        <v>32.700000000000003</v>
      </c>
      <c r="DH319" s="756">
        <f>INPUT!FG262</f>
        <v>-6.3037249283667718</v>
      </c>
      <c r="DI319" s="750">
        <f>INPUT!FH262</f>
        <v>856.4</v>
      </c>
      <c r="DJ319" s="756" t="str">
        <f>INPUT!FI262</f>
        <v>NM</v>
      </c>
      <c r="DK319" s="750">
        <f>INPUT!FJ262</f>
        <v>0</v>
      </c>
      <c r="DL319" s="752" t="str">
        <f>INPUT!FK262</f>
        <v>NM</v>
      </c>
      <c r="DM319" s="750">
        <f>INPUT!FL262</f>
        <v>0</v>
      </c>
      <c r="DN319" s="752" t="str">
        <f>INPUT!FM262</f>
        <v>NA</v>
      </c>
      <c r="DO319" s="750">
        <f>INPUT!FN262</f>
        <v>0</v>
      </c>
      <c r="DP319" s="752" t="str">
        <f>INPUT!FO262</f>
        <v>NA</v>
      </c>
      <c r="DQ319" s="750">
        <f>INPUT!FP262</f>
        <v>0</v>
      </c>
      <c r="DR319" s="752" t="str">
        <f>INPUT!FQ262</f>
        <v>NA</v>
      </c>
      <c r="DS319" s="750">
        <f>INPUT!FR262</f>
        <v>0</v>
      </c>
      <c r="DT319" s="752" t="str">
        <f>INPUT!FS262</f>
        <v>NA</v>
      </c>
      <c r="DU319" s="750">
        <f>INPUT!FT262</f>
        <v>0</v>
      </c>
      <c r="DV319" s="752" t="str">
        <f>INPUT!FU262</f>
        <v>NA</v>
      </c>
      <c r="DW319" s="750">
        <f>INPUT!FV262</f>
        <v>0</v>
      </c>
      <c r="DX319" s="752" t="str">
        <f>INPUT!FW262</f>
        <v>NA</v>
      </c>
      <c r="DY319" s="750">
        <f>INPUT!FX262</f>
        <v>0</v>
      </c>
      <c r="DZ319" s="752" t="str">
        <f>INPUT!FY262</f>
        <v>NA</v>
      </c>
      <c r="EA319" s="750">
        <f>INPUT!FZ262</f>
        <v>0</v>
      </c>
      <c r="EB319" s="752" t="str">
        <f>INPUT!GA262</f>
        <v>NA</v>
      </c>
      <c r="EC319" s="750">
        <f>INPUT!GB262</f>
        <v>0</v>
      </c>
      <c r="ED319" s="752" t="str">
        <f>INPUT!GC262</f>
        <v>NA</v>
      </c>
      <c r="EE319" s="750">
        <f>INPUT!GD262</f>
        <v>0</v>
      </c>
      <c r="EF319" s="752" t="str">
        <f>INPUT!GE262</f>
        <v>NA</v>
      </c>
      <c r="EG319" s="750">
        <f>INPUT!GF262</f>
        <v>0</v>
      </c>
      <c r="EH319" s="752" t="str">
        <f>INPUT!GG262</f>
        <v>NA</v>
      </c>
      <c r="EI319" s="750">
        <f>INPUT!GH262</f>
        <v>0</v>
      </c>
      <c r="EJ319" s="752" t="str">
        <f>INPUT!GI262</f>
        <v>NA</v>
      </c>
      <c r="EK319" s="750">
        <f>INPUT!GJ262</f>
        <v>0</v>
      </c>
      <c r="EL319" s="752" t="str">
        <f>INPUT!GK262</f>
        <v>NA</v>
      </c>
      <c r="EM319" s="750">
        <f>INPUT!GL262</f>
        <v>0</v>
      </c>
      <c r="EN319" s="752" t="str">
        <f>INPUT!GM262</f>
        <v>NA</v>
      </c>
      <c r="EO319" s="750">
        <f>INPUT!GN262</f>
        <v>0</v>
      </c>
      <c r="EP319" s="752" t="str">
        <f>INPUT!GO262</f>
        <v>NA</v>
      </c>
      <c r="EQ319" s="750">
        <f>INPUT!GP262</f>
        <v>0</v>
      </c>
      <c r="ER319" s="752" t="str">
        <f>INPUT!GQ262</f>
        <v>NA</v>
      </c>
      <c r="ES319" s="750">
        <f>INPUT!GR262</f>
        <v>0</v>
      </c>
      <c r="ET319" s="752" t="str">
        <f>INPUT!GS262</f>
        <v>NA</v>
      </c>
      <c r="EU319" s="756" t="str">
        <f>INPUT!GT262</f>
        <v>NA</v>
      </c>
      <c r="EV319" s="710"/>
    </row>
    <row r="320" spans="1:152" ht="12.75" hidden="1" customHeight="1" outlineLevel="1" x14ac:dyDescent="0.2">
      <c r="A320" s="754" t="str">
        <f>INPUT!B263</f>
        <v>Operating Expenses</v>
      </c>
      <c r="B320" s="750">
        <f>INPUT!AS263</f>
        <v>33.9</v>
      </c>
      <c r="C320" s="756">
        <f>INPUT!AT263</f>
        <v>1.1940298507462588</v>
      </c>
      <c r="D320" s="750">
        <f>INPUT!AU263</f>
        <v>35</v>
      </c>
      <c r="E320" s="756">
        <f>INPUT!AV263</f>
        <v>-15.254237288135586</v>
      </c>
      <c r="F320" s="750">
        <f>INPUT!AW263</f>
        <v>34.700000000000003</v>
      </c>
      <c r="G320" s="756">
        <f>INPUT!AX263</f>
        <v>-3.6111111111110983</v>
      </c>
      <c r="H320" s="750">
        <f>INPUT!AY263</f>
        <v>35.799999999999997</v>
      </c>
      <c r="I320" s="752">
        <f>INPUT!AZ263</f>
        <v>-4.2780748663101669</v>
      </c>
      <c r="J320" s="750">
        <f>INPUT!BA263</f>
        <v>35.799999999999997</v>
      </c>
      <c r="K320" s="752">
        <f>INPUT!BB263</f>
        <v>5.6047197640118007</v>
      </c>
      <c r="L320" s="750">
        <f>INPUT!BC263</f>
        <v>31.2</v>
      </c>
      <c r="M320" s="752">
        <f>INPUT!BD263</f>
        <v>-10.857142857142854</v>
      </c>
      <c r="N320" s="750">
        <f>INPUT!BE263</f>
        <v>34.299999999999997</v>
      </c>
      <c r="O320" s="752">
        <f>INPUT!BF263</f>
        <v>-1.1527377521614035</v>
      </c>
      <c r="P320" s="750">
        <f>INPUT!BG263</f>
        <v>46.8</v>
      </c>
      <c r="Q320" s="752">
        <f>INPUT!BH263</f>
        <v>30.72625698324023</v>
      </c>
      <c r="R320" s="750">
        <f>INPUT!BI263</f>
        <v>46.9</v>
      </c>
      <c r="S320" s="752">
        <f>INPUT!BJ263</f>
        <v>31.00558659217878</v>
      </c>
      <c r="T320" s="750">
        <f>INPUT!BK263</f>
        <v>45.500000000000007</v>
      </c>
      <c r="U320" s="752">
        <f>INPUT!BL263</f>
        <v>45.833333333333371</v>
      </c>
      <c r="V320" s="750">
        <f>INPUT!BM263</f>
        <v>48.300000000000004</v>
      </c>
      <c r="W320" s="752">
        <f>INPUT!BN263</f>
        <v>40.816326530612265</v>
      </c>
      <c r="X320" s="750">
        <f>INPUT!BO263</f>
        <v>42.5</v>
      </c>
      <c r="Y320" s="752">
        <f>INPUT!BP263</f>
        <v>-9.1880341880341767</v>
      </c>
      <c r="Z320" s="750">
        <f>INPUT!BQ263</f>
        <v>40.099999999999994</v>
      </c>
      <c r="AA320" s="752">
        <f>INPUT!BR263</f>
        <v>-14.498933901918987</v>
      </c>
      <c r="AB320" s="750">
        <f>INPUT!BS263</f>
        <v>40.099999999999994</v>
      </c>
      <c r="AC320" s="752">
        <f>INPUT!BT263</f>
        <v>-11.868131868131893</v>
      </c>
      <c r="AD320" s="750">
        <f>INPUT!BU263</f>
        <v>39.1</v>
      </c>
      <c r="AE320" s="752">
        <f>INPUT!BV263</f>
        <v>-19.047619047619047</v>
      </c>
      <c r="AF320" s="750">
        <f>INPUT!BW263</f>
        <v>38.6</v>
      </c>
      <c r="AG320" s="752">
        <f>INPUT!BX263</f>
        <v>-9.1764705882352864</v>
      </c>
      <c r="AH320" s="750">
        <f>INPUT!BY263</f>
        <v>54.199999999999996</v>
      </c>
      <c r="AI320" s="752">
        <f>INPUT!BZ263</f>
        <v>35.162094763092291</v>
      </c>
      <c r="AJ320" s="750">
        <f>INPUT!CA263</f>
        <v>64.7</v>
      </c>
      <c r="AK320" s="752">
        <f>INPUT!CB263</f>
        <v>61.346633416458872</v>
      </c>
      <c r="AL320" s="750">
        <f>INPUT!CC263</f>
        <v>49.9</v>
      </c>
      <c r="AM320" s="752">
        <f>INPUT!CD263</f>
        <v>27.621483375959066</v>
      </c>
      <c r="AN320" s="750">
        <f>INPUT!CE263</f>
        <v>50.8</v>
      </c>
      <c r="AO320" s="752">
        <f>INPUT!CF263</f>
        <v>31.606217616580288</v>
      </c>
      <c r="AP320" s="750">
        <f>INPUT!CG263</f>
        <v>48.5</v>
      </c>
      <c r="AQ320" s="752">
        <f>INPUT!CH263</f>
        <v>-10.516605166051651</v>
      </c>
      <c r="AR320" s="750">
        <f>INPUT!CI263</f>
        <v>48.300000000000004</v>
      </c>
      <c r="AS320" s="752">
        <f>INPUT!CJ263</f>
        <v>-25.347758887171558</v>
      </c>
      <c r="AT320" s="750">
        <f>INPUT!CK263</f>
        <v>47</v>
      </c>
      <c r="AU320" s="752">
        <f>INPUT!CL263</f>
        <v>-5.8116232464929807</v>
      </c>
      <c r="AV320" s="750">
        <f>INPUT!CM263</f>
        <v>46.7</v>
      </c>
      <c r="AW320" s="752">
        <f>INPUT!CN263</f>
        <v>-8.0708661417322691</v>
      </c>
      <c r="AX320" s="750">
        <f>INPUT!CO263</f>
        <v>47.800000000000004</v>
      </c>
      <c r="AY320" s="752">
        <f>INPUT!CP263</f>
        <v>-1.4432989690721598</v>
      </c>
      <c r="AZ320" s="750">
        <f>INPUT!CQ263</f>
        <v>45</v>
      </c>
      <c r="BA320" s="752">
        <f>INPUT!CR263</f>
        <v>-6.8322981366459761</v>
      </c>
      <c r="BB320" s="750">
        <f>INPUT!CS263</f>
        <v>42.3</v>
      </c>
      <c r="BC320" s="752">
        <f>INPUT!CT263</f>
        <v>-10.000000000000009</v>
      </c>
      <c r="BD320" s="750">
        <f>INPUT!CU263</f>
        <v>43</v>
      </c>
      <c r="BE320" s="752">
        <f>INPUT!CV263</f>
        <v>-7.9229122055674566</v>
      </c>
      <c r="BF320" s="750">
        <f>INPUT!CW263</f>
        <v>42.900000000000006</v>
      </c>
      <c r="BG320" s="752">
        <f>INPUT!CX263</f>
        <v>-10.251046025104593</v>
      </c>
      <c r="BH320" s="750">
        <f>INPUT!CY263</f>
        <v>41</v>
      </c>
      <c r="BI320" s="752">
        <f>INPUT!CZ263</f>
        <v>-8.8888888888888911</v>
      </c>
      <c r="BJ320" s="750">
        <f>INPUT!DA263</f>
        <v>42.1</v>
      </c>
      <c r="BK320" s="752">
        <f>INPUT!DB263</f>
        <v>-0.47281323877067516</v>
      </c>
      <c r="BL320" s="750">
        <f>INPUT!DC263</f>
        <v>42.8</v>
      </c>
      <c r="BM320" s="752">
        <f>INPUT!DD263</f>
        <v>-0.46511627906977715</v>
      </c>
      <c r="BN320" s="750">
        <f>INPUT!DE263</f>
        <v>45</v>
      </c>
      <c r="BO320" s="752">
        <f>INPUT!DF263</f>
        <v>4.8951048951048737</v>
      </c>
      <c r="BP320" s="750">
        <f>INPUT!DG263</f>
        <v>43.4</v>
      </c>
      <c r="BQ320" s="752">
        <f>INPUT!DH263</f>
        <v>5.8536585365853711</v>
      </c>
      <c r="BR320" s="750">
        <f>INPUT!DI263</f>
        <v>42.5</v>
      </c>
      <c r="BS320" s="752">
        <f>INPUT!DJ263</f>
        <v>0.95011876484560887</v>
      </c>
      <c r="BT320" s="750">
        <f>INPUT!DK263</f>
        <v>44.599999999999994</v>
      </c>
      <c r="BU320" s="752">
        <f>INPUT!DL263</f>
        <v>4.2056074766354978</v>
      </c>
      <c r="BV320" s="750">
        <f>INPUT!DM263</f>
        <v>43.5</v>
      </c>
      <c r="BW320" s="752">
        <f>INPUT!DN263</f>
        <v>-3.3333333333333326</v>
      </c>
      <c r="BX320" s="750">
        <f>INPUT!DO263</f>
        <v>43.7</v>
      </c>
      <c r="BY320" s="752">
        <f>INPUT!DP263</f>
        <v>0.69124423963133896</v>
      </c>
      <c r="BZ320" s="750">
        <f>INPUT!DQ263</f>
        <v>41.9</v>
      </c>
      <c r="CA320" s="752">
        <f>INPUT!DR263</f>
        <v>-1.4117647058823568</v>
      </c>
      <c r="CB320" s="750">
        <f>INPUT!DS263</f>
        <v>41.6</v>
      </c>
      <c r="CC320" s="752">
        <f>INPUT!DT263</f>
        <v>-6.7264573991031256</v>
      </c>
      <c r="CD320" s="750">
        <f>INPUT!DU263</f>
        <v>39.700000000000003</v>
      </c>
      <c r="CE320" s="752">
        <f>INPUT!DV263</f>
        <v>-8.735632183908038</v>
      </c>
      <c r="CF320" s="750">
        <f>INPUT!DW263</f>
        <v>40.200000000000003</v>
      </c>
      <c r="CG320" s="752">
        <f>INPUT!DX263</f>
        <v>-8.0091533180778001</v>
      </c>
      <c r="CH320" s="750">
        <f>INPUT!DY263</f>
        <v>39.900000000000006</v>
      </c>
      <c r="CI320" s="752">
        <f>INPUT!DZ263</f>
        <v>-4.7732696897374582</v>
      </c>
      <c r="CJ320" s="750">
        <f>INPUT!EA263</f>
        <v>41.8</v>
      </c>
      <c r="CK320" s="752">
        <f>INPUT!EB263</f>
        <v>0.48076923076922906</v>
      </c>
      <c r="CL320" s="750">
        <f>INPUT!EC263</f>
        <v>39.700000000000003</v>
      </c>
      <c r="CM320" s="752">
        <f>INPUT!ED263</f>
        <v>0</v>
      </c>
      <c r="CN320" s="750">
        <f>INPUT!EE263</f>
        <v>39</v>
      </c>
      <c r="CO320" s="752">
        <f>INPUT!EF263</f>
        <v>-2.9850746268656803</v>
      </c>
      <c r="CP320" s="750">
        <f>INPUT!EG263</f>
        <v>38.900000000000006</v>
      </c>
      <c r="CQ320" s="752">
        <f>INPUT!EH263</f>
        <v>-2.5062656641604009</v>
      </c>
      <c r="CR320" s="750">
        <f>INPUT!EI263</f>
        <v>39.700000000000003</v>
      </c>
      <c r="CS320" s="752">
        <f>INPUT!EJ263</f>
        <v>-5.0239234449760639</v>
      </c>
      <c r="CT320" s="750">
        <f>INPUT!EK263</f>
        <v>39.362149773366689</v>
      </c>
      <c r="CU320" s="752">
        <f>INPUT!EL263</f>
        <v>-0.85100812753983179</v>
      </c>
      <c r="CV320" s="750">
        <f>INPUT!EM263</f>
        <v>39.095658458483122</v>
      </c>
      <c r="CW320" s="752">
        <f>INPUT!EN263</f>
        <v>0.24527809867467276</v>
      </c>
      <c r="CX320" s="750">
        <f>INPUT!EO263</f>
        <v>38.830996551194978</v>
      </c>
      <c r="CY320" s="752">
        <f>INPUT!EP263</f>
        <v>-0.17738675785353708</v>
      </c>
      <c r="CZ320" s="750">
        <f>INPUT!EQ263</f>
        <v>38.568151331250959</v>
      </c>
      <c r="DA320" s="752">
        <f>INPUT!ER263</f>
        <v>-2.8510042033980887</v>
      </c>
      <c r="DB320" s="753"/>
      <c r="DC320" s="750">
        <f>INPUT!FB263</f>
        <v>0</v>
      </c>
      <c r="DD320" s="756">
        <f>INPUT!FC263</f>
        <v>0</v>
      </c>
      <c r="DE320" s="750">
        <f>INPUT!FD263</f>
        <v>212.4</v>
      </c>
      <c r="DF320" s="756" t="str">
        <f>INPUT!FE263</f>
        <v>NA</v>
      </c>
      <c r="DG320" s="750">
        <f>INPUT!FF263</f>
        <v>200.5</v>
      </c>
      <c r="DH320" s="756">
        <f>INPUT!FG263</f>
        <v>-5.6026365348399221</v>
      </c>
      <c r="DI320" s="750">
        <f>INPUT!FH263</f>
        <v>157.20000000000002</v>
      </c>
      <c r="DJ320" s="756">
        <f>INPUT!FI263</f>
        <v>-21.596009975062337</v>
      </c>
      <c r="DK320" s="750">
        <f>INPUT!FJ263</f>
        <v>148.19999999999999</v>
      </c>
      <c r="DL320" s="752">
        <f>INPUT!FK263</f>
        <v>-5.7251908396946716</v>
      </c>
      <c r="DM320" s="750">
        <f>INPUT!FL263</f>
        <v>139.4</v>
      </c>
      <c r="DN320" s="752">
        <f>INPUT!FM263</f>
        <v>-5.937921727395401</v>
      </c>
      <c r="DO320" s="750">
        <f>INPUT!FN263</f>
        <v>148.1</v>
      </c>
      <c r="DP320" s="752">
        <f>INPUT!FO263</f>
        <v>6.2410329985652657</v>
      </c>
      <c r="DQ320" s="750">
        <f>INPUT!FP263</f>
        <v>183.20000000000002</v>
      </c>
      <c r="DR320" s="752">
        <f>INPUT!FQ263</f>
        <v>23.700202565833916</v>
      </c>
      <c r="DS320" s="750">
        <f>INPUT!FR263</f>
        <v>227.79999999999998</v>
      </c>
      <c r="DT320" s="752">
        <f>INPUT!FS263</f>
        <v>24.344978165938834</v>
      </c>
      <c r="DU320" s="750">
        <f>INPUT!FT263</f>
        <v>219.60000000000002</v>
      </c>
      <c r="DV320" s="752">
        <f>INPUT!FU263</f>
        <v>-3.5996488147497674</v>
      </c>
      <c r="DW320" s="750">
        <f>INPUT!FV263</f>
        <v>190.5</v>
      </c>
      <c r="DX320" s="752">
        <f>INPUT!FW263</f>
        <v>-13.251366120218588</v>
      </c>
      <c r="DY320" s="750">
        <f>INPUT!FX263</f>
        <v>178.10000000000002</v>
      </c>
      <c r="DZ320" s="752">
        <f>INPUT!FY263</f>
        <v>-6.5091863517060204</v>
      </c>
      <c r="EA320" s="750">
        <f>INPUT!FZ263</f>
        <v>168.8</v>
      </c>
      <c r="EB320" s="752">
        <f>INPUT!GA263</f>
        <v>-5.2217855137563269</v>
      </c>
      <c r="EC320" s="750">
        <f>INPUT!GB263</f>
        <v>175.5</v>
      </c>
      <c r="ED320" s="752">
        <f>INPUT!GC263</f>
        <v>3.9691943127962093</v>
      </c>
      <c r="EE320" s="750">
        <f>INPUT!GD263</f>
        <v>170.7</v>
      </c>
      <c r="EF320" s="752">
        <f>INPUT!GE263</f>
        <v>-2.7350427350427364</v>
      </c>
      <c r="EG320" s="750">
        <f>INPUT!GF263</f>
        <v>161.60000000000002</v>
      </c>
      <c r="EH320" s="752">
        <f>INPUT!GG263</f>
        <v>-5.330990041007599</v>
      </c>
      <c r="EI320" s="750">
        <f>INPUT!GH263</f>
        <v>157.30000000000001</v>
      </c>
      <c r="EJ320" s="752">
        <f>INPUT!GI263</f>
        <v>-2.6608910891089188</v>
      </c>
      <c r="EK320" s="750">
        <f>INPUT!GJ263</f>
        <v>155.85695611429574</v>
      </c>
      <c r="EL320" s="752">
        <f>INPUT!GK263</f>
        <v>-0.91738327126781316</v>
      </c>
      <c r="EM320" s="750">
        <f>INPUT!GL263</f>
        <v>151.2300254163971</v>
      </c>
      <c r="EN320" s="752">
        <f>INPUT!GM263</f>
        <v>-2.9687033631694559</v>
      </c>
      <c r="EO320" s="750">
        <f>INPUT!GN263</f>
        <v>146.7409270797248</v>
      </c>
      <c r="EP320" s="752">
        <f>INPUT!GO263</f>
        <v>-2.9683909159652688</v>
      </c>
      <c r="EQ320" s="750">
        <f>INPUT!GP263</f>
        <v>142.3855456446363</v>
      </c>
      <c r="ER320" s="752">
        <f>INPUT!GQ263</f>
        <v>-2.9680754522712016</v>
      </c>
      <c r="ES320" s="750">
        <f>INPUT!GR263</f>
        <v>138.1598887250544</v>
      </c>
      <c r="ET320" s="752">
        <f>INPUT!GS263</f>
        <v>-2.9677569450260233</v>
      </c>
      <c r="EU320" s="756">
        <f>INPUT!GT263</f>
        <v>-2.5614863676550637</v>
      </c>
      <c r="EV320" s="710"/>
    </row>
    <row r="321" spans="1:152" ht="12.75" hidden="1" customHeight="1" outlineLevel="1" x14ac:dyDescent="0.2">
      <c r="A321" s="754" t="str">
        <f>INPUT!B264</f>
        <v xml:space="preserve"> Total Benefits and Expenses</v>
      </c>
      <c r="B321" s="750">
        <f>INPUT!AS264</f>
        <v>471.59999999999997</v>
      </c>
      <c r="C321" s="756">
        <f>INPUT!AT264</f>
        <v>11.357733175914998</v>
      </c>
      <c r="D321" s="750">
        <f>INPUT!AU264</f>
        <v>468.9</v>
      </c>
      <c r="E321" s="756">
        <f>INPUT!AV264</f>
        <v>13.096960926193901</v>
      </c>
      <c r="F321" s="750">
        <f>INPUT!AW264</f>
        <v>461.6</v>
      </c>
      <c r="G321" s="756">
        <f>INPUT!AX264</f>
        <v>3.3818589025755852</v>
      </c>
      <c r="H321" s="750">
        <f>INPUT!AY264</f>
        <v>476</v>
      </c>
      <c r="I321" s="752">
        <f>INPUT!AZ264</f>
        <v>-0.43923865300146137</v>
      </c>
      <c r="J321" s="750">
        <f>INPUT!BA264</f>
        <v>459.7</v>
      </c>
      <c r="K321" s="752">
        <f>INPUT!BB264</f>
        <v>-2.5233248515691198</v>
      </c>
      <c r="L321" s="750">
        <f>INPUT!BC264</f>
        <v>449.2</v>
      </c>
      <c r="M321" s="752">
        <f>INPUT!BD264</f>
        <v>-4.2013222435487325</v>
      </c>
      <c r="N321" s="750">
        <f>INPUT!BE264</f>
        <v>467.70000000000005</v>
      </c>
      <c r="O321" s="752">
        <f>INPUT!BF264</f>
        <v>1.3214904679376138</v>
      </c>
      <c r="P321" s="750">
        <f>INPUT!BG264</f>
        <v>468.3</v>
      </c>
      <c r="Q321" s="752">
        <f>INPUT!BH264</f>
        <v>-1.6176470588235237</v>
      </c>
      <c r="R321" s="750">
        <f>INPUT!BI264</f>
        <v>450.5</v>
      </c>
      <c r="S321" s="752">
        <f>INPUT!BJ264</f>
        <v>-2.0013051990428465</v>
      </c>
      <c r="T321" s="750">
        <f>INPUT!BK264</f>
        <v>445.8</v>
      </c>
      <c r="U321" s="752">
        <f>INPUT!BL264</f>
        <v>-0.75690115761353205</v>
      </c>
      <c r="V321" s="750">
        <f>INPUT!BM264</f>
        <v>448.1</v>
      </c>
      <c r="W321" s="752">
        <f>INPUT!BN264</f>
        <v>-4.1907205473594278</v>
      </c>
      <c r="X321" s="750">
        <f>INPUT!BO264</f>
        <v>446.3</v>
      </c>
      <c r="Y321" s="752">
        <f>INPUT!BP264</f>
        <v>-4.6978432628656863</v>
      </c>
      <c r="Z321" s="750">
        <f>INPUT!BQ264</f>
        <v>431.6</v>
      </c>
      <c r="AA321" s="752">
        <f>INPUT!BR264</f>
        <v>-4.1953385127635912</v>
      </c>
      <c r="AB321" s="750">
        <f>INPUT!BS264</f>
        <v>431.20000000000005</v>
      </c>
      <c r="AC321" s="752">
        <f>INPUT!BT264</f>
        <v>-3.2750112157918232</v>
      </c>
      <c r="AD321" s="750">
        <f>INPUT!BU264</f>
        <v>423</v>
      </c>
      <c r="AE321" s="752">
        <f>INPUT!BV264</f>
        <v>-5.6014282526221866</v>
      </c>
      <c r="AF321" s="750">
        <f>INPUT!BW264</f>
        <v>419.8</v>
      </c>
      <c r="AG321" s="752">
        <f>INPUT!BX264</f>
        <v>-5.9377100604974249</v>
      </c>
      <c r="AH321" s="750">
        <f>INPUT!BY264</f>
        <v>648.90000000000009</v>
      </c>
      <c r="AI321" s="752">
        <f>INPUT!BZ264</f>
        <v>50.347544022242843</v>
      </c>
      <c r="AJ321" s="750">
        <f>INPUT!CA264</f>
        <v>660.00000000000011</v>
      </c>
      <c r="AK321" s="752">
        <f>INPUT!CB264</f>
        <v>53.061224489795933</v>
      </c>
      <c r="AL321" s="750">
        <f>INPUT!CC264</f>
        <v>647.19999999999993</v>
      </c>
      <c r="AM321" s="752">
        <f>INPUT!CD264</f>
        <v>53.002364066193827</v>
      </c>
      <c r="AN321" s="750">
        <f>INPUT!CE264</f>
        <v>654.99999999999989</v>
      </c>
      <c r="AO321" s="752">
        <f>INPUT!CF264</f>
        <v>56.026679371129084</v>
      </c>
      <c r="AP321" s="750">
        <f>INPUT!CG264</f>
        <v>643.10000000000014</v>
      </c>
      <c r="AQ321" s="752">
        <f>INPUT!CH264</f>
        <v>-0.89382031129603412</v>
      </c>
      <c r="AR321" s="750">
        <f>INPUT!CI264</f>
        <v>638.19999999999982</v>
      </c>
      <c r="AS321" s="752">
        <f>INPUT!CJ264</f>
        <v>-3.3030303030303521</v>
      </c>
      <c r="AT321" s="750">
        <f>INPUT!CK264</f>
        <v>643.30000000000007</v>
      </c>
      <c r="AU321" s="752">
        <f>INPUT!CL264</f>
        <v>-0.60259579728056956</v>
      </c>
      <c r="AV321" s="750">
        <f>INPUT!CM264</f>
        <v>1595.7000000000003</v>
      </c>
      <c r="AW321" s="752" t="str">
        <f>INPUT!CN264</f>
        <v>NM</v>
      </c>
      <c r="AX321" s="750">
        <f>INPUT!CO264</f>
        <v>655</v>
      </c>
      <c r="AY321" s="752">
        <f>INPUT!CP264</f>
        <v>1.8504120665526091</v>
      </c>
      <c r="AZ321" s="750">
        <f>INPUT!CQ264</f>
        <v>647.9</v>
      </c>
      <c r="BA321" s="752">
        <f>INPUT!CR264</f>
        <v>1.5198997179567852</v>
      </c>
      <c r="BB321" s="750">
        <f>INPUT!CS264</f>
        <v>651</v>
      </c>
      <c r="BC321" s="752">
        <f>INPUT!CT264</f>
        <v>1.196953210010876</v>
      </c>
      <c r="BD321" s="750">
        <f>INPUT!CU264</f>
        <v>651.70000000000005</v>
      </c>
      <c r="BE321" s="752" t="str">
        <f>INPUT!CV264</f>
        <v>NM</v>
      </c>
      <c r="BF321" s="750">
        <f>INPUT!CW264</f>
        <v>650.19999999999993</v>
      </c>
      <c r="BG321" s="752">
        <f>INPUT!CX264</f>
        <v>-0.73282442748092702</v>
      </c>
      <c r="BH321" s="750">
        <f>INPUT!CY264</f>
        <v>639.1</v>
      </c>
      <c r="BI321" s="752">
        <f>INPUT!CZ264</f>
        <v>-1.3582342954159499</v>
      </c>
      <c r="BJ321" s="750">
        <f>INPUT!DA264</f>
        <v>639.6</v>
      </c>
      <c r="BK321" s="752">
        <f>INPUT!DB264</f>
        <v>-1.7511520737327202</v>
      </c>
      <c r="BL321" s="750">
        <f>INPUT!DC264</f>
        <v>646.69999999999993</v>
      </c>
      <c r="BM321" s="752">
        <f>INPUT!DD264</f>
        <v>-0.76722418290626759</v>
      </c>
      <c r="BN321" s="750">
        <f>INPUT!DE264</f>
        <v>626.70000000000005</v>
      </c>
      <c r="BO321" s="752">
        <f>INPUT!DF264</f>
        <v>-3.6142725315287394</v>
      </c>
      <c r="BP321" s="750">
        <f>INPUT!DG264</f>
        <v>628.79999999999995</v>
      </c>
      <c r="BQ321" s="752">
        <f>INPUT!DH264</f>
        <v>-1.6116413706775301</v>
      </c>
      <c r="BR321" s="750">
        <f>INPUT!DI264</f>
        <v>627.4</v>
      </c>
      <c r="BS321" s="752">
        <f>INPUT!DJ264</f>
        <v>-1.907442151344596</v>
      </c>
      <c r="BT321" s="750">
        <f>INPUT!DK264</f>
        <v>1325.2</v>
      </c>
      <c r="BU321" s="752" t="str">
        <f>INPUT!DL264</f>
        <v>NM</v>
      </c>
      <c r="BV321" s="750">
        <f>INPUT!DM264</f>
        <v>621.80000000000007</v>
      </c>
      <c r="BW321" s="752">
        <f>INPUT!DN264</f>
        <v>-0.78187330461145788</v>
      </c>
      <c r="BX321" s="750">
        <f>INPUT!DO264</f>
        <v>620.90000000000009</v>
      </c>
      <c r="BY321" s="752">
        <f>INPUT!DP264</f>
        <v>-1.2563613231551973</v>
      </c>
      <c r="BZ321" s="750">
        <f>INPUT!DQ264</f>
        <v>622.59999999999991</v>
      </c>
      <c r="CA321" s="752">
        <f>INPUT!DR264</f>
        <v>-0.76506216130061144</v>
      </c>
      <c r="CB321" s="750">
        <f>INPUT!DS264</f>
        <v>632.50000000000011</v>
      </c>
      <c r="CC321" s="752" t="str">
        <f>INPUT!DT264</f>
        <v>NM</v>
      </c>
      <c r="CD321" s="750">
        <f>INPUT!DU264</f>
        <v>617.80000000000007</v>
      </c>
      <c r="CE321" s="752">
        <f>INPUT!DV264</f>
        <v>-0.64329366355740936</v>
      </c>
      <c r="CF321" s="750">
        <f>INPUT!DW264</f>
        <v>619.90000000000009</v>
      </c>
      <c r="CG321" s="752">
        <f>INPUT!DX264</f>
        <v>-0.16105653084232951</v>
      </c>
      <c r="CH321" s="750">
        <f>INPUT!DY264</f>
        <v>620</v>
      </c>
      <c r="CI321" s="752">
        <f>INPUT!DZ264</f>
        <v>-0.41760359781559675</v>
      </c>
      <c r="CJ321" s="750">
        <f>INPUT!EA264</f>
        <v>621.4</v>
      </c>
      <c r="CK321" s="752">
        <f>INPUT!EB264</f>
        <v>-1.7549407114624715</v>
      </c>
      <c r="CL321" s="750">
        <f>INPUT!EC264</f>
        <v>611.40000000000009</v>
      </c>
      <c r="CM321" s="752">
        <f>INPUT!ED264</f>
        <v>-1.0359339592101002</v>
      </c>
      <c r="CN321" s="750">
        <f>INPUT!EE264</f>
        <v>609</v>
      </c>
      <c r="CO321" s="752">
        <f>INPUT!EF264</f>
        <v>-1.7583481206646323</v>
      </c>
      <c r="CP321" s="750">
        <f>INPUT!EG264</f>
        <v>612</v>
      </c>
      <c r="CQ321" s="752">
        <f>INPUT!EH264</f>
        <v>-1.2903225806451646</v>
      </c>
      <c r="CR321" s="750">
        <f>INPUT!EI264</f>
        <v>606.70000000000005</v>
      </c>
      <c r="CS321" s="752">
        <f>INPUT!EJ264</f>
        <v>-2.3656260057933642</v>
      </c>
      <c r="CT321" s="750">
        <f>INPUT!EK264</f>
        <v>604.27515777336669</v>
      </c>
      <c r="CU321" s="752">
        <f>INPUT!EL264</f>
        <v>-1.1653323890470024</v>
      </c>
      <c r="CV321" s="750">
        <f>INPUT!EM264</f>
        <v>600.61918841048305</v>
      </c>
      <c r="CW321" s="752">
        <f>INPUT!EN264</f>
        <v>-1.3761595385085257</v>
      </c>
      <c r="CX321" s="750">
        <f>INPUT!EO264</f>
        <v>596.98538532348289</v>
      </c>
      <c r="CY321" s="752">
        <f>INPUT!EP264</f>
        <v>-2.4533684111956111</v>
      </c>
      <c r="CZ321" s="750">
        <f>INPUT!EQ264</f>
        <v>593.37361377090508</v>
      </c>
      <c r="DA321" s="752">
        <f>INPUT!ER264</f>
        <v>-2.1965363819177464</v>
      </c>
      <c r="DB321" s="753"/>
      <c r="DC321" s="750">
        <f>INPUT!FB264</f>
        <v>0</v>
      </c>
      <c r="DD321" s="756">
        <f>INPUT!FC264</f>
        <v>0</v>
      </c>
      <c r="DE321" s="750">
        <f>INPUT!FD264</f>
        <v>1923.5</v>
      </c>
      <c r="DF321" s="756" t="str">
        <f>INPUT!FE264</f>
        <v>NA</v>
      </c>
      <c r="DG321" s="750">
        <f>INPUT!FF264</f>
        <v>1886.1</v>
      </c>
      <c r="DH321" s="756">
        <f>INPUT!FG264</f>
        <v>-1.9443722381076167</v>
      </c>
      <c r="DI321" s="750">
        <f>INPUT!FH264</f>
        <v>2708.8</v>
      </c>
      <c r="DJ321" s="756">
        <f>INPUT!FI264</f>
        <v>43.619108212714089</v>
      </c>
      <c r="DK321" s="750">
        <f>INPUT!FJ264</f>
        <v>1762.6999999999998</v>
      </c>
      <c r="DL321" s="752">
        <f>INPUT!FK264</f>
        <v>-34.926904902539881</v>
      </c>
      <c r="DM321" s="750">
        <f>INPUT!FL264</f>
        <v>1878.1000000000004</v>
      </c>
      <c r="DN321" s="752">
        <f>INPUT!FM264</f>
        <v>6.5467748340614085</v>
      </c>
      <c r="DO321" s="750">
        <f>INPUT!FN264</f>
        <v>1844.9</v>
      </c>
      <c r="DP321" s="752">
        <f>INPUT!FO264</f>
        <v>-1.7677439965923192</v>
      </c>
      <c r="DQ321" s="750">
        <f>INPUT!FP264</f>
        <v>1790.7</v>
      </c>
      <c r="DR321" s="752">
        <f>INPUT!FQ264</f>
        <v>-2.9378286085966709</v>
      </c>
      <c r="DS321" s="750">
        <f>INPUT!FR264</f>
        <v>2609.8000000000006</v>
      </c>
      <c r="DT321" s="752">
        <f>INPUT!FS264</f>
        <v>45.741888646897898</v>
      </c>
      <c r="DU321" s="750">
        <f>INPUT!FT264</f>
        <v>2611.0999999999995</v>
      </c>
      <c r="DV321" s="752">
        <f>INPUT!FU264</f>
        <v>4.9812246149083528E-2</v>
      </c>
      <c r="DW321" s="750">
        <f>INPUT!FV264</f>
        <v>3520.3</v>
      </c>
      <c r="DX321" s="752">
        <f>INPUT!FW264</f>
        <v>34.820573704568993</v>
      </c>
      <c r="DY321" s="750">
        <f>INPUT!FX264</f>
        <v>2605.6</v>
      </c>
      <c r="DZ321" s="752">
        <f>INPUT!FY264</f>
        <v>-25.983580944805851</v>
      </c>
      <c r="EA321" s="750">
        <f>INPUT!FZ264</f>
        <v>2575.6000000000004</v>
      </c>
      <c r="EB321" s="752">
        <f>INPUT!GA264</f>
        <v>-1.1513662879950703</v>
      </c>
      <c r="EC321" s="750">
        <f>INPUT!GB264</f>
        <v>3208.1</v>
      </c>
      <c r="ED321" s="752">
        <f>INPUT!GC264</f>
        <v>24.557384687063188</v>
      </c>
      <c r="EE321" s="750">
        <f>INPUT!GD264</f>
        <v>2497.8000000000002</v>
      </c>
      <c r="EF321" s="752">
        <f>INPUT!GE264</f>
        <v>-22.140831021476881</v>
      </c>
      <c r="EG321" s="750">
        <f>INPUT!GF264</f>
        <v>2479.1</v>
      </c>
      <c r="EH321" s="752">
        <f>INPUT!GG264</f>
        <v>-0.74865881976140525</v>
      </c>
      <c r="EI321" s="750">
        <f>INPUT!GH264</f>
        <v>2439.1000000000004</v>
      </c>
      <c r="EJ321" s="752">
        <f>INPUT!GI264</f>
        <v>-1.6134887660844477</v>
      </c>
      <c r="EK321" s="750">
        <f>INPUT!GJ264</f>
        <v>2395.2533452782377</v>
      </c>
      <c r="EL321" s="752">
        <f>INPUT!GK264</f>
        <v>-1.7976571162216626</v>
      </c>
      <c r="EM321" s="750">
        <f>INPUT!GL264</f>
        <v>2323.4445229054209</v>
      </c>
      <c r="EN321" s="752">
        <f>INPUT!GM264</f>
        <v>-2.9979635563132989</v>
      </c>
      <c r="EO321" s="750">
        <f>INPUT!GN264</f>
        <v>2253.7889896440779</v>
      </c>
      <c r="EP321" s="752">
        <f>INPUT!GO264</f>
        <v>-2.9979426052419877</v>
      </c>
      <c r="EQ321" s="750">
        <f>INPUT!GP264</f>
        <v>2186.2221663320584</v>
      </c>
      <c r="ER321" s="752">
        <f>INPUT!GQ264</f>
        <v>-2.9979214390735809</v>
      </c>
      <c r="ES321" s="750">
        <f>INPUT!GR264</f>
        <v>2120.681410791854</v>
      </c>
      <c r="ET321" s="752">
        <f>INPUT!GS264</f>
        <v>-2.9979000556089708</v>
      </c>
      <c r="EU321" s="756">
        <f>INPUT!GT264</f>
        <v>-2.7590563566425086</v>
      </c>
      <c r="EV321" s="710"/>
    </row>
    <row r="322" spans="1:152" ht="12.75" hidden="1" customHeight="1" outlineLevel="1" x14ac:dyDescent="0.2">
      <c r="A322" s="754"/>
      <c r="B322" s="750"/>
      <c r="C322" s="756"/>
      <c r="D322" s="750"/>
      <c r="E322" s="756"/>
      <c r="F322" s="750"/>
      <c r="G322" s="756"/>
      <c r="H322" s="750"/>
      <c r="I322" s="752"/>
      <c r="J322" s="750"/>
      <c r="K322" s="752"/>
      <c r="L322" s="750"/>
      <c r="M322" s="752"/>
      <c r="N322" s="750"/>
      <c r="O322" s="752"/>
      <c r="P322" s="750"/>
      <c r="Q322" s="752"/>
      <c r="R322" s="750"/>
      <c r="S322" s="752"/>
      <c r="T322" s="750"/>
      <c r="U322" s="752"/>
      <c r="V322" s="750"/>
      <c r="W322" s="752"/>
      <c r="X322" s="750"/>
      <c r="Y322" s="752"/>
      <c r="Z322" s="750"/>
      <c r="AA322" s="752"/>
      <c r="AB322" s="750"/>
      <c r="AC322" s="752"/>
      <c r="AD322" s="750"/>
      <c r="AE322" s="752"/>
      <c r="AF322" s="750"/>
      <c r="AG322" s="752"/>
      <c r="AH322" s="750"/>
      <c r="AI322" s="752"/>
      <c r="AJ322" s="750"/>
      <c r="AK322" s="752"/>
      <c r="AL322" s="750"/>
      <c r="AM322" s="752"/>
      <c r="AN322" s="750"/>
      <c r="AO322" s="752"/>
      <c r="AP322" s="750"/>
      <c r="AQ322" s="752"/>
      <c r="AR322" s="750"/>
      <c r="AS322" s="752"/>
      <c r="AT322" s="750"/>
      <c r="AU322" s="752"/>
      <c r="AV322" s="750"/>
      <c r="AW322" s="752"/>
      <c r="AX322" s="750"/>
      <c r="AY322" s="752"/>
      <c r="AZ322" s="750"/>
      <c r="BA322" s="752"/>
      <c r="BB322" s="750"/>
      <c r="BC322" s="752"/>
      <c r="BD322" s="750"/>
      <c r="BE322" s="752"/>
      <c r="BF322" s="750"/>
      <c r="BG322" s="752"/>
      <c r="BH322" s="750"/>
      <c r="BI322" s="752"/>
      <c r="BJ322" s="750"/>
      <c r="BK322" s="752"/>
      <c r="BL322" s="750"/>
      <c r="BM322" s="752"/>
      <c r="BN322" s="750"/>
      <c r="BO322" s="752"/>
      <c r="BP322" s="750"/>
      <c r="BQ322" s="752"/>
      <c r="BR322" s="750"/>
      <c r="BS322" s="752"/>
      <c r="BT322" s="750"/>
      <c r="BU322" s="752"/>
      <c r="BV322" s="750"/>
      <c r="BW322" s="752"/>
      <c r="BX322" s="750"/>
      <c r="BY322" s="752"/>
      <c r="BZ322" s="750"/>
      <c r="CA322" s="752"/>
      <c r="CB322" s="750"/>
      <c r="CC322" s="752"/>
      <c r="CD322" s="750"/>
      <c r="CE322" s="752"/>
      <c r="CF322" s="750"/>
      <c r="CG322" s="752"/>
      <c r="CH322" s="750"/>
      <c r="CI322" s="752"/>
      <c r="CJ322" s="750"/>
      <c r="CK322" s="752"/>
      <c r="CL322" s="750"/>
      <c r="CM322" s="752"/>
      <c r="CN322" s="750"/>
      <c r="CO322" s="752"/>
      <c r="CP322" s="750"/>
      <c r="CQ322" s="752"/>
      <c r="CR322" s="750"/>
      <c r="CS322" s="752"/>
      <c r="CT322" s="750"/>
      <c r="CU322" s="752"/>
      <c r="CV322" s="750"/>
      <c r="CW322" s="752"/>
      <c r="CX322" s="750"/>
      <c r="CY322" s="752"/>
      <c r="CZ322" s="750"/>
      <c r="DA322" s="752"/>
      <c r="DB322" s="753"/>
      <c r="DC322" s="750"/>
      <c r="DD322" s="756"/>
      <c r="DE322" s="750"/>
      <c r="DF322" s="756"/>
      <c r="DG322" s="750"/>
      <c r="DH322" s="756"/>
      <c r="DI322" s="750"/>
      <c r="DJ322" s="756"/>
      <c r="DK322" s="750"/>
      <c r="DL322" s="752"/>
      <c r="DM322" s="750"/>
      <c r="DN322" s="752"/>
      <c r="DO322" s="750"/>
      <c r="DP322" s="752"/>
      <c r="DQ322" s="750"/>
      <c r="DR322" s="752"/>
      <c r="DS322" s="750"/>
      <c r="DT322" s="752"/>
      <c r="DU322" s="750"/>
      <c r="DV322" s="752"/>
      <c r="DW322" s="750"/>
      <c r="DX322" s="752"/>
      <c r="DY322" s="750"/>
      <c r="DZ322" s="752"/>
      <c r="EA322" s="750"/>
      <c r="EB322" s="752"/>
      <c r="EC322" s="750"/>
      <c r="ED322" s="752"/>
      <c r="EE322" s="750"/>
      <c r="EF322" s="752"/>
      <c r="EG322" s="750"/>
      <c r="EH322" s="752"/>
      <c r="EI322" s="750"/>
      <c r="EJ322" s="752"/>
      <c r="EK322" s="750"/>
      <c r="EL322" s="752"/>
      <c r="EM322" s="750"/>
      <c r="EN322" s="752"/>
      <c r="EO322" s="750"/>
      <c r="EP322" s="752"/>
      <c r="EQ322" s="750"/>
      <c r="ER322" s="752"/>
      <c r="ES322" s="750"/>
      <c r="ET322" s="752"/>
      <c r="EU322" s="756"/>
      <c r="EV322" s="710"/>
    </row>
    <row r="323" spans="1:152" ht="12.75" hidden="1" customHeight="1" outlineLevel="1" x14ac:dyDescent="0.2">
      <c r="A323" s="805" t="str">
        <f>INPUT!B276</f>
        <v>Pretax Earnings</v>
      </c>
      <c r="B323" s="806">
        <f>INPUT!AS276</f>
        <v>27.900000000000034</v>
      </c>
      <c r="C323" s="807">
        <f>INPUT!AT276</f>
        <v>20.779220779221099</v>
      </c>
      <c r="D323" s="806">
        <f>INPUT!AU276</f>
        <v>33.199999999999989</v>
      </c>
      <c r="E323" s="807">
        <f>INPUT!AV276</f>
        <v>19.855595667870052</v>
      </c>
      <c r="F323" s="806">
        <f>INPUT!AW276</f>
        <v>28.699999999999989</v>
      </c>
      <c r="G323" s="807">
        <f>INPUT!AX276</f>
        <v>-3.3670033670033628</v>
      </c>
      <c r="H323" s="806">
        <f>INPUT!AY276</f>
        <v>28.699999999999989</v>
      </c>
      <c r="I323" s="808">
        <f>INPUT!AZ276</f>
        <v>-14.836795252225665</v>
      </c>
      <c r="J323" s="806">
        <f>INPUT!BA276</f>
        <v>22.5</v>
      </c>
      <c r="K323" s="808">
        <f>INPUT!BB276</f>
        <v>-19.354838709677512</v>
      </c>
      <c r="L323" s="806">
        <f>INPUT!BC276</f>
        <v>29.400000000000034</v>
      </c>
      <c r="M323" s="808">
        <f>INPUT!BD276</f>
        <v>-11.445783132529986</v>
      </c>
      <c r="N323" s="806">
        <f>INPUT!BE276</f>
        <v>29.399999999999977</v>
      </c>
      <c r="O323" s="808">
        <f>INPUT!BF276</f>
        <v>2.4390243902438602</v>
      </c>
      <c r="P323" s="806">
        <f>INPUT!BG276</f>
        <v>15</v>
      </c>
      <c r="Q323" s="808">
        <f>INPUT!BH276</f>
        <v>-47.735191637630635</v>
      </c>
      <c r="R323" s="806">
        <f>INPUT!BI276</f>
        <v>2.8999999999999773</v>
      </c>
      <c r="S323" s="808" t="str">
        <f>INPUT!BJ276</f>
        <v>NM</v>
      </c>
      <c r="T323" s="806">
        <f>INPUT!BK276</f>
        <v>15.199999999999989</v>
      </c>
      <c r="U323" s="808">
        <f>INPUT!BL276</f>
        <v>-48.299319727891252</v>
      </c>
      <c r="V323" s="806">
        <f>INPUT!BM276</f>
        <v>2.4999999999999432</v>
      </c>
      <c r="W323" s="808" t="str">
        <f>INPUT!BN276</f>
        <v>NM</v>
      </c>
      <c r="X323" s="806">
        <f>INPUT!BO276</f>
        <v>7.1000000000000227</v>
      </c>
      <c r="Y323" s="808" t="str">
        <f>INPUT!BP276</f>
        <v>NM</v>
      </c>
      <c r="Z323" s="806">
        <f>INPUT!BQ276</f>
        <v>11.299999999999955</v>
      </c>
      <c r="AA323" s="808" t="str">
        <f>INPUT!BR276</f>
        <v>NM</v>
      </c>
      <c r="AB323" s="806">
        <f>INPUT!BS276</f>
        <v>9.9999999999999432</v>
      </c>
      <c r="AC323" s="808">
        <f>INPUT!BT276</f>
        <v>-34.210526315789799</v>
      </c>
      <c r="AD323" s="806">
        <f>INPUT!BU276</f>
        <v>7.1999999999999886</v>
      </c>
      <c r="AE323" s="808" t="str">
        <f>INPUT!BV276</f>
        <v>NM</v>
      </c>
      <c r="AF323" s="806">
        <f>INPUT!BW276</f>
        <v>5.8000000000000114</v>
      </c>
      <c r="AG323" s="808">
        <f>INPUT!BX276</f>
        <v>-18.309859154929676</v>
      </c>
      <c r="AH323" s="806">
        <f>INPUT!BY276</f>
        <v>35.899999999999977</v>
      </c>
      <c r="AI323" s="808" t="str">
        <f>INPUT!BZ276</f>
        <v>NM</v>
      </c>
      <c r="AJ323" s="806">
        <f>INPUT!CA276</f>
        <v>23.799999999999955</v>
      </c>
      <c r="AK323" s="808" t="str">
        <f>INPUT!CB276</f>
        <v>NM</v>
      </c>
      <c r="AL323" s="806">
        <f>INPUT!CC276</f>
        <v>29.700000000000045</v>
      </c>
      <c r="AM323" s="808" t="str">
        <f>INPUT!CD276</f>
        <v>NM</v>
      </c>
      <c r="AN323" s="806">
        <f>INPUT!CE276</f>
        <v>29.200000000000159</v>
      </c>
      <c r="AO323" s="808" t="str">
        <f>INPUT!CF276</f>
        <v>NM</v>
      </c>
      <c r="AP323" s="806">
        <f>INPUT!CG276</f>
        <v>31.899999999999864</v>
      </c>
      <c r="AQ323" s="808">
        <f>INPUT!CH276</f>
        <v>-11.142061281337368</v>
      </c>
      <c r="AR323" s="806">
        <f>INPUT!CI276</f>
        <v>30.400000000000205</v>
      </c>
      <c r="AS323" s="808">
        <f>INPUT!CJ276</f>
        <v>27.731092436975892</v>
      </c>
      <c r="AT323" s="806">
        <f>INPUT!CK276</f>
        <v>30.799999999999955</v>
      </c>
      <c r="AU323" s="808">
        <f>INPUT!CL276</f>
        <v>3.7037037037033871</v>
      </c>
      <c r="AV323" s="806">
        <f>INPUT!CM276</f>
        <v>-922.30000000000018</v>
      </c>
      <c r="AW323" s="808" t="str">
        <f>INPUT!CN276</f>
        <v>NM</v>
      </c>
      <c r="AX323" s="806">
        <f>INPUT!CO276</f>
        <v>15.399999999999977</v>
      </c>
      <c r="AY323" s="808" t="str">
        <f>INPUT!CP276</f>
        <v>NM</v>
      </c>
      <c r="AZ323" s="806">
        <f>INPUT!CQ276</f>
        <v>25.700000000000045</v>
      </c>
      <c r="BA323" s="808">
        <f>INPUT!CR276</f>
        <v>-15.460526315789892</v>
      </c>
      <c r="BB323" s="806">
        <f>INPUT!CS276</f>
        <v>25.600000000000023</v>
      </c>
      <c r="BC323" s="808">
        <f>INPUT!CT276</f>
        <v>-16.883116883116688</v>
      </c>
      <c r="BD323" s="806">
        <f>INPUT!CU276</f>
        <v>28.799999999999955</v>
      </c>
      <c r="BE323" s="808" t="str">
        <f>INPUT!CV276</f>
        <v>NM</v>
      </c>
      <c r="BF323" s="806">
        <f>INPUT!CW276</f>
        <v>26.600000000000136</v>
      </c>
      <c r="BG323" s="808">
        <f>INPUT!CX276</f>
        <v>72.727272727273856</v>
      </c>
      <c r="BH323" s="806">
        <f>INPUT!CY276</f>
        <v>29.100000000000023</v>
      </c>
      <c r="BI323" s="808">
        <f>INPUT!CZ276</f>
        <v>13.229571984435683</v>
      </c>
      <c r="BJ323" s="806">
        <f>INPUT!DA276</f>
        <v>25</v>
      </c>
      <c r="BK323" s="808">
        <f>INPUT!DB276</f>
        <v>-2.3437500000000888</v>
      </c>
      <c r="BL323" s="806">
        <f>INPUT!DC276</f>
        <v>26.600000000000023</v>
      </c>
      <c r="BM323" s="808">
        <f>INPUT!DD276</f>
        <v>-7.6388888888886619</v>
      </c>
      <c r="BN323" s="806">
        <f>INPUT!DE276</f>
        <v>28.299999999999955</v>
      </c>
      <c r="BO323" s="808">
        <f>INPUT!DF276</f>
        <v>6.3909774436083033</v>
      </c>
      <c r="BP323" s="806">
        <f>INPUT!DG276</f>
        <v>36.600000000000136</v>
      </c>
      <c r="BQ323" s="808">
        <f>INPUT!DH276</f>
        <v>25.773195876289034</v>
      </c>
      <c r="BR323" s="806">
        <f>INPUT!DI276</f>
        <v>25.700000000000045</v>
      </c>
      <c r="BS323" s="808">
        <f>INPUT!DJ276</f>
        <v>2.8000000000001801</v>
      </c>
      <c r="BT323" s="806">
        <f>INPUT!DK276</f>
        <v>-668.80000000000007</v>
      </c>
      <c r="BU323" s="808" t="str">
        <f>INPUT!DL276</f>
        <v>NM</v>
      </c>
      <c r="BV323" s="806">
        <f>INPUT!DM276</f>
        <v>26.699999999999932</v>
      </c>
      <c r="BW323" s="808">
        <f>INPUT!DN276</f>
        <v>-5.6537102473499079</v>
      </c>
      <c r="BX323" s="806">
        <f>INPUT!DO276</f>
        <v>36.599999999999909</v>
      </c>
      <c r="BY323" s="808">
        <f>INPUT!DP276</f>
        <v>-6.2172489379008766E-13</v>
      </c>
      <c r="BZ323" s="806">
        <f>INPUT!DQ276</f>
        <v>27.700000000000045</v>
      </c>
      <c r="CA323" s="808">
        <f>INPUT!DR276</f>
        <v>7.7821011673151697</v>
      </c>
      <c r="CB323" s="806">
        <f>INPUT!DS276</f>
        <v>28.099999999999795</v>
      </c>
      <c r="CC323" s="808" t="str">
        <f>INPUT!DT276</f>
        <v>NM</v>
      </c>
      <c r="CD323" s="806">
        <f>INPUT!DU276</f>
        <v>33.699999999999818</v>
      </c>
      <c r="CE323" s="808">
        <f>INPUT!DV276</f>
        <v>26.217228464419119</v>
      </c>
      <c r="CF323" s="806">
        <f>INPUT!DW276</f>
        <v>32.599999999999909</v>
      </c>
      <c r="CG323" s="808">
        <f>INPUT!DX276</f>
        <v>-10.928961748633903</v>
      </c>
      <c r="CH323" s="806">
        <f>INPUT!DY276</f>
        <v>28.600000000000023</v>
      </c>
      <c r="CI323" s="808">
        <f>INPUT!DZ276</f>
        <v>3.2490974729241007</v>
      </c>
      <c r="CJ323" s="806">
        <f>INPUT!EA276</f>
        <v>34.600000000000023</v>
      </c>
      <c r="CK323" s="808">
        <f>INPUT!EB276</f>
        <v>23.131672597865748</v>
      </c>
      <c r="CL323" s="806">
        <f>INPUT!EC276</f>
        <v>31.599999999999909</v>
      </c>
      <c r="CM323" s="808">
        <f>INPUT!ED276</f>
        <v>-6.2314540059344781</v>
      </c>
      <c r="CN323" s="806">
        <f>INPUT!EE276</f>
        <v>32.600000000000023</v>
      </c>
      <c r="CO323" s="808">
        <f>INPUT!EF276</f>
        <v>3.5527136788005009E-13</v>
      </c>
      <c r="CP323" s="806">
        <f>INPUT!EG276</f>
        <v>26.600000000000023</v>
      </c>
      <c r="CQ323" s="808">
        <f>INPUT!EH276</f>
        <v>-6.9930069930069898</v>
      </c>
      <c r="CR323" s="806">
        <f>INPUT!EI276</f>
        <v>33.099999999999909</v>
      </c>
      <c r="CS323" s="808">
        <f>INPUT!EJ276</f>
        <v>-4.3352601156072641</v>
      </c>
      <c r="CT323" s="806">
        <f>INPUT!EK276</f>
        <v>30.080092226633383</v>
      </c>
      <c r="CU323" s="808">
        <f>INPUT!EL276</f>
        <v>-4.8098347258434533</v>
      </c>
      <c r="CV323" s="806">
        <f>INPUT!EM276</f>
        <v>29.441322464516929</v>
      </c>
      <c r="CW323" s="808">
        <f>INPUT!EN276</f>
        <v>-9.6891948941199129</v>
      </c>
      <c r="CX323" s="806">
        <f>INPUT!EO276</f>
        <v>28.809868919704627</v>
      </c>
      <c r="CY323" s="808">
        <f>INPUT!EP276</f>
        <v>8.3077778936263336</v>
      </c>
      <c r="CZ323" s="806">
        <f>INPUT!EQ276</f>
        <v>28.185661335753935</v>
      </c>
      <c r="DA323" s="808">
        <f>INPUT!ER276</f>
        <v>-14.846944604972778</v>
      </c>
      <c r="DB323" s="811"/>
      <c r="DC323" s="810">
        <f>INPUT!FB276</f>
        <v>0</v>
      </c>
      <c r="DD323" s="807">
        <f>INPUT!FC276</f>
        <v>0</v>
      </c>
      <c r="DE323" s="810">
        <f>INPUT!FD276</f>
        <v>83</v>
      </c>
      <c r="DF323" s="807" t="str">
        <f>INPUT!FE276</f>
        <v>NA</v>
      </c>
      <c r="DG323" s="810">
        <f>INPUT!FF276</f>
        <v>62.500000000000227</v>
      </c>
      <c r="DH323" s="807">
        <f>INPUT!FG276</f>
        <v>-24.69879518072262</v>
      </c>
      <c r="DI323" s="810">
        <f>INPUT!FH276</f>
        <v>-822.80000000000041</v>
      </c>
      <c r="DJ323" s="807" t="str">
        <f>INPUT!FI276</f>
        <v>NM</v>
      </c>
      <c r="DK323" s="810">
        <f>INPUT!FJ276</f>
        <v>114.20000000000005</v>
      </c>
      <c r="DL323" s="808" t="str">
        <f>INPUT!FK276</f>
        <v>NM</v>
      </c>
      <c r="DM323" s="810">
        <f>INPUT!FL276</f>
        <v>118.49999999999955</v>
      </c>
      <c r="DN323" s="808">
        <f>INPUT!FM276</f>
        <v>3.7653239929942961</v>
      </c>
      <c r="DO323" s="810">
        <f>INPUT!FN276</f>
        <v>96.299999999999955</v>
      </c>
      <c r="DP323" s="808">
        <f>INPUT!FO276</f>
        <v>-18.734177215189597</v>
      </c>
      <c r="DQ323" s="806">
        <f>INPUT!FP276</f>
        <v>27.699999999999591</v>
      </c>
      <c r="DR323" s="808" t="str">
        <f>INPUT!FQ276</f>
        <v>NM</v>
      </c>
      <c r="DS323" s="806">
        <f>INPUT!FR276</f>
        <v>123.99999999999909</v>
      </c>
      <c r="DT323" s="808" t="str">
        <f>INPUT!FS276</f>
        <v>NM</v>
      </c>
      <c r="DU323" s="806">
        <f>INPUT!FT276</f>
        <v>118.59999999999991</v>
      </c>
      <c r="DV323" s="808">
        <f>INPUT!FU276</f>
        <v>-4.3548387096767893</v>
      </c>
      <c r="DW323" s="806">
        <f>INPUT!FV276</f>
        <v>-829.20000000000027</v>
      </c>
      <c r="DX323" s="808" t="str">
        <f>INPUT!FW276</f>
        <v>NM</v>
      </c>
      <c r="DY323" s="806">
        <f>INPUT!FX276</f>
        <v>94.699999999999818</v>
      </c>
      <c r="DZ323" s="808" t="str">
        <f>INPUT!FY276</f>
        <v>NM</v>
      </c>
      <c r="EA323" s="806">
        <f>INPUT!FZ276</f>
        <v>107.29999999999973</v>
      </c>
      <c r="EB323" s="808">
        <f>INPUT!GA276</f>
        <v>13.305174234424433</v>
      </c>
      <c r="EC323" s="806">
        <f>INPUT!GB276</f>
        <v>-578.19999999999982</v>
      </c>
      <c r="ED323" s="808" t="str">
        <f>INPUT!GC276</f>
        <v>NM</v>
      </c>
      <c r="EE323" s="806">
        <f>INPUT!GD276</f>
        <v>119.09999999999991</v>
      </c>
      <c r="EF323" s="808" t="str">
        <f>INPUT!GE276</f>
        <v>NM</v>
      </c>
      <c r="EG323" s="806">
        <f>INPUT!GF276</f>
        <v>129.50000000000045</v>
      </c>
      <c r="EH323" s="808">
        <f>INPUT!GG276</f>
        <v>8.7321578505462192</v>
      </c>
      <c r="EI323" s="806">
        <f>INPUT!GH276</f>
        <v>123.89999999999964</v>
      </c>
      <c r="EJ323" s="808">
        <f>INPUT!GI276</f>
        <v>-4.3243243243249463</v>
      </c>
      <c r="EK323" s="806">
        <f>INPUT!GJ276</f>
        <v>116.51694494660887</v>
      </c>
      <c r="EL323" s="808">
        <f>INPUT!GK276</f>
        <v>-5.9588822061265372</v>
      </c>
      <c r="EM323" s="806">
        <f>INPUT!GL276</f>
        <v>113.75875823842989</v>
      </c>
      <c r="EN323" s="808">
        <f>INPUT!GM276</f>
        <v>-2.3671979294023315</v>
      </c>
      <c r="EO323" s="806">
        <f>INPUT!GN276</f>
        <v>111.06857069869147</v>
      </c>
      <c r="EP323" s="808">
        <f>INPUT!GO276</f>
        <v>-2.3648179545877168</v>
      </c>
      <c r="EQ323" s="806">
        <f>INPUT!GP276</f>
        <v>108.44463728099754</v>
      </c>
      <c r="ER323" s="808">
        <f>INPUT!GQ276</f>
        <v>-2.3624445702215668</v>
      </c>
      <c r="ES323" s="806">
        <f>INPUT!GR276</f>
        <v>105.88525939176861</v>
      </c>
      <c r="ET323" s="808">
        <f>INPUT!GS276</f>
        <v>-2.3600778732812411</v>
      </c>
      <c r="EU323" s="807">
        <f>INPUT!GT276</f>
        <v>-3.0935153109152957</v>
      </c>
      <c r="EV323" s="710"/>
    </row>
    <row r="324" spans="1:152" ht="12.75" hidden="1" customHeight="1" outlineLevel="2" x14ac:dyDescent="0.2">
      <c r="A324" s="759" t="s">
        <v>517</v>
      </c>
      <c r="B324" s="760"/>
      <c r="C324" s="761"/>
      <c r="D324" s="760"/>
      <c r="E324" s="761"/>
      <c r="F324" s="760"/>
      <c r="G324" s="761"/>
      <c r="H324" s="762"/>
      <c r="I324" s="763"/>
      <c r="J324" s="760"/>
      <c r="K324" s="763"/>
      <c r="L324" s="760"/>
      <c r="M324" s="763"/>
      <c r="N324" s="760"/>
      <c r="O324" s="763"/>
      <c r="P324" s="760"/>
      <c r="Q324" s="763"/>
      <c r="R324" s="760"/>
      <c r="S324" s="763"/>
      <c r="T324" s="760"/>
      <c r="U324" s="763"/>
      <c r="V324" s="760"/>
      <c r="W324" s="763"/>
      <c r="X324" s="760"/>
      <c r="Y324" s="763"/>
      <c r="Z324" s="760"/>
      <c r="AA324" s="763"/>
      <c r="AB324" s="760"/>
      <c r="AC324" s="763"/>
      <c r="AD324" s="760"/>
      <c r="AE324" s="763"/>
      <c r="AF324" s="760"/>
      <c r="AG324" s="763"/>
      <c r="AH324" s="760"/>
      <c r="AI324" s="763"/>
      <c r="AJ324" s="760"/>
      <c r="AK324" s="763"/>
      <c r="AL324" s="760"/>
      <c r="AM324" s="763"/>
      <c r="AN324" s="760"/>
      <c r="AO324" s="763"/>
      <c r="AP324" s="764">
        <f>(AP310+AP311+AP312-AP316-AP317-AP318-AP319-AP320)-AP323</f>
        <v>8.5265128291212022E-14</v>
      </c>
      <c r="AQ324" s="763"/>
      <c r="AR324" s="764">
        <f>(AR310+AR311+AR312-AR316-AR317-AR318-AR319-AR320)-AR323</f>
        <v>-1.3500311979441904E-13</v>
      </c>
      <c r="AS324" s="763"/>
      <c r="AT324" s="764">
        <f>(AT310+AT311+AT312-AT316-AT317-AT318-AT319-AT320)-AT323</f>
        <v>8.5265128291212022E-14</v>
      </c>
      <c r="AU324" s="763"/>
      <c r="AV324" s="764">
        <f>(AV310+AV311+AV312-AV316-AV317-AV318-AV319-AV320)-AV323</f>
        <v>0</v>
      </c>
      <c r="AW324" s="763"/>
      <c r="AX324" s="764">
        <f>(AX310+AX311+AX312-AX316-AX317-AX318-AX319-AX320)-AX323</f>
        <v>-4.9737991503207013E-14</v>
      </c>
      <c r="AY324" s="763"/>
      <c r="AZ324" s="764">
        <f>(AZ310+AZ311+AZ312-AZ316-AZ317-AZ318-AZ319-AZ320)-AZ323</f>
        <v>-4.2632564145606011E-14</v>
      </c>
      <c r="BA324" s="763"/>
      <c r="BB324" s="764">
        <f>(BB310+BB311+BB312-BB316-BB317-BB318-BB319-BB320)-BB323</f>
        <v>0</v>
      </c>
      <c r="BC324" s="763"/>
      <c r="BD324" s="764">
        <f>(BD310+BD311+BD312-BD316-BD317-BD318-BD319-BD320)-BD323</f>
        <v>2.8421709430404007E-14</v>
      </c>
      <c r="BE324" s="763"/>
      <c r="BF324" s="764">
        <f>(BF310+BF311+BF312-BF316-BF317-BF318-BF319-BF320)-BF323</f>
        <v>-2.8421709430404007E-14</v>
      </c>
      <c r="BG324" s="763"/>
      <c r="BH324" s="764">
        <f>(BH310+BH311+BH312-BH316-BH317-BH318-BH319-BH320)-BH323</f>
        <v>2.8421709430404007E-14</v>
      </c>
      <c r="BI324" s="763"/>
      <c r="BJ324" s="764">
        <f>(BJ310+BJ311+BJ312-BJ316-BJ317-BJ318-BJ319-BJ320)-BJ323</f>
        <v>0</v>
      </c>
      <c r="BK324" s="763"/>
      <c r="BL324" s="764">
        <f>(BL310+BL311+BL312-BL316-BL317-BL318-BL319-BL320)-BL323</f>
        <v>-7.1054273576010019E-14</v>
      </c>
      <c r="BM324" s="763"/>
      <c r="BN324" s="764">
        <f>(BN310+BN311+BN312-BN316-BN317-BN318-BN319-BN320)-BN323</f>
        <v>2.8421709430404007E-14</v>
      </c>
      <c r="BO324" s="763"/>
      <c r="BP324" s="764">
        <f>(BP310+BP311+BP312-BP316-BP317-BP318-BP319-BP320)-BP323</f>
        <v>0</v>
      </c>
      <c r="BQ324" s="763"/>
      <c r="BR324" s="764">
        <f>(BR310+BR311+BR312-BR316-BR317-BR318-BR319-BR320)-BR323</f>
        <v>2.8421709430404007E-14</v>
      </c>
      <c r="BS324" s="763"/>
      <c r="BT324" s="764">
        <f>(BT310+BT311+BT312-BT316-BT317-BT318-BT319-BT320)-BT323</f>
        <v>0</v>
      </c>
      <c r="BU324" s="763"/>
      <c r="BV324" s="764">
        <f>(BV310+BV311+BV312-BV316-BV317-BV318-BV319-BV320)-BV323</f>
        <v>2.8421709430404007E-14</v>
      </c>
      <c r="BW324" s="763"/>
      <c r="BX324" s="764">
        <f>(BX310+BX311+BX312-BX316-BX317-BX318-BX319-BX320)-BX323</f>
        <v>7.1054273576010019E-14</v>
      </c>
      <c r="BY324" s="763"/>
      <c r="BZ324" s="764">
        <f>(BZ310+BZ311+BZ312-BZ316-BZ317-BZ318-BZ319-BZ320)-BZ323</f>
        <v>-4.9737991503207013E-14</v>
      </c>
      <c r="CA324" s="763"/>
      <c r="CB324" s="764">
        <f>(CB310+CB311+CB312-CB316-CB317-CB318-CB319-CB320)-CB323</f>
        <v>6.3948846218409017E-14</v>
      </c>
      <c r="CC324" s="763"/>
      <c r="CD324" s="764">
        <f>(CD310+CD311+CD312-CD316-CD317-CD318-CD319-CD320)-CD323</f>
        <v>7.1054273576010019E-14</v>
      </c>
      <c r="CE324" s="763"/>
      <c r="CF324" s="764">
        <f>(CF310+CF311+CF312-CF316-CF317-CF318-CF319-CF320)-CF323</f>
        <v>7.1054273576010019E-14</v>
      </c>
      <c r="CG324" s="763"/>
      <c r="CH324" s="764">
        <f>(CH310+CH311+CH312-CH316-CH317-CH318-CH319-CH320)-CH323</f>
        <v>-2.8421709430404007E-14</v>
      </c>
      <c r="CI324" s="763"/>
      <c r="CJ324" s="764">
        <f>(CJ310+CJ311+CJ312-CJ316-CJ317-CJ318-CJ319-CJ320)-CJ323</f>
        <v>0</v>
      </c>
      <c r="CK324" s="763"/>
      <c r="CL324" s="764">
        <f t="shared" ref="CL324" si="326">(CL310+CL311+CL312-CL316-CL317-CL318-CL319-CL320)-CL323</f>
        <v>4.2632564145606011E-14</v>
      </c>
      <c r="CM324" s="763"/>
      <c r="CN324" s="764">
        <f t="shared" ref="CN324" si="327">(CN310+CN311+CN312-CN316-CN317-CN318-CN319-CN320)-CN323</f>
        <v>0</v>
      </c>
      <c r="CO324" s="763"/>
      <c r="CP324" s="764">
        <f t="shared" ref="CP324" si="328">(CP310+CP311+CP312-CP316-CP317-CP318-CP319-CP320)-CP323</f>
        <v>0</v>
      </c>
      <c r="CQ324" s="763"/>
      <c r="CR324" s="764">
        <f t="shared" ref="CR324" si="329">(CR310+CR311+CR312-CR316-CR317-CR318-CR319-CR320)-CR323</f>
        <v>0</v>
      </c>
      <c r="CS324" s="763"/>
      <c r="CT324" s="764">
        <f t="shared" ref="CT324" si="330">(CT310+CT311+CT312-CT316-CT317-CT318-CT319-CT320)-CT323</f>
        <v>6.3948846218409017E-14</v>
      </c>
      <c r="CU324" s="763"/>
      <c r="CV324" s="764">
        <f t="shared" ref="CV324" si="331">(CV310+CV311+CV312-CV316-CV317-CV318-CV319-CV320)-CV323</f>
        <v>3.5527136788005009E-14</v>
      </c>
      <c r="CW324" s="763"/>
      <c r="CX324" s="764">
        <f t="shared" ref="CX324" si="332">(CX310+CX311+CX312-CX316-CX317-CX318-CX319-CX320)-CX323</f>
        <v>0</v>
      </c>
      <c r="CY324" s="763"/>
      <c r="CZ324" s="764">
        <f t="shared" ref="CZ324" si="333">(CZ310+CZ311+CZ312-CZ316-CZ317-CZ318-CZ319-CZ320)-CZ323</f>
        <v>0</v>
      </c>
      <c r="DA324" s="763"/>
      <c r="DB324" s="765"/>
      <c r="DC324" s="766"/>
      <c r="DD324" s="761"/>
      <c r="DE324" s="766"/>
      <c r="DF324" s="761"/>
      <c r="DG324" s="766"/>
      <c r="DH324" s="761"/>
      <c r="DI324" s="766"/>
      <c r="DJ324" s="761"/>
      <c r="DK324" s="766"/>
      <c r="DL324" s="763"/>
      <c r="DM324" s="766"/>
      <c r="DN324" s="763"/>
      <c r="DO324" s="766"/>
      <c r="DP324" s="763"/>
      <c r="DQ324" s="760"/>
      <c r="DR324" s="763"/>
      <c r="DS324" s="760"/>
      <c r="DT324" s="763"/>
      <c r="DU324" s="764">
        <f>(DU310+DU311+DU312-DU316-DU317-DU318-DU319-DU320)-DU323</f>
        <v>-3.979039320256561E-13</v>
      </c>
      <c r="DV324" s="763"/>
      <c r="DW324" s="764">
        <f>(DW310+DW311+DW312-DW316-DW317-DW318-DW319-DW320)-DW323</f>
        <v>0</v>
      </c>
      <c r="DX324" s="763"/>
      <c r="DY324" s="764">
        <f>(DY310+DY311+DY312-DY316-DY317-DY318-DY319-DY320)-DY323</f>
        <v>-2.2737367544323206E-13</v>
      </c>
      <c r="DZ324" s="763"/>
      <c r="EA324" s="764">
        <f>(EA310+EA311+EA312-EA316-EA317-EA318-EA319-EA320)-EA323</f>
        <v>3.4106051316484809E-13</v>
      </c>
      <c r="EB324" s="763"/>
      <c r="EC324" s="764">
        <f>(EC310+EC311+EC312-EC316-EC317-EC318-EC319-EC320)-EC323</f>
        <v>0</v>
      </c>
      <c r="ED324" s="763"/>
      <c r="EE324" s="764">
        <f>(EE310+EE311+EE312-EE316-EE317-EE318-EE319-EE320)-EE323</f>
        <v>0</v>
      </c>
      <c r="EF324" s="763"/>
      <c r="EG324" s="764">
        <f>(EG310+EG311+EG312-EG316-EG317-EG318-EG319-EG320)-EG323</f>
        <v>0</v>
      </c>
      <c r="EH324" s="763"/>
      <c r="EI324" s="764">
        <f>(EI310+EI311+EI312-EI316-EI317-EI318-EI319-EI320)-EI323</f>
        <v>1.7053025658242404E-13</v>
      </c>
      <c r="EJ324" s="763"/>
      <c r="EK324" s="764">
        <f>(EK310+EK311+EK312-EK316-EK317-EK318-EK319-EK320)-EK323</f>
        <v>0</v>
      </c>
      <c r="EL324" s="763"/>
      <c r="EM324" s="764">
        <f>(EM310+EM311+EM312-EM316-EM317-EM318-EM319-EM320)-EM323</f>
        <v>-1.1368683772161603E-13</v>
      </c>
      <c r="EN324" s="763"/>
      <c r="EO324" s="764">
        <f>(EO310+EO311+EO312-EO316-EO317-EO318-EO319-EO320)-EO323</f>
        <v>1.9895196601282805E-13</v>
      </c>
      <c r="EP324" s="763"/>
      <c r="EQ324" s="764">
        <f>(EQ310+EQ311+EQ312-EQ316-EQ317-EQ318-EQ319-EQ320)-EQ323</f>
        <v>0</v>
      </c>
      <c r="ER324" s="763"/>
      <c r="ES324" s="764">
        <f>(ES310+ES311+ES312-ES316-ES317-ES318-ES319-ES320)-ES323</f>
        <v>0</v>
      </c>
      <c r="ET324" s="763"/>
      <c r="EU324" s="761"/>
      <c r="EV324" s="710"/>
    </row>
    <row r="325" spans="1:152" ht="12.75" hidden="1" customHeight="1" outlineLevel="1" collapsed="1" x14ac:dyDescent="0.2">
      <c r="A325" s="754"/>
      <c r="B325" s="750"/>
      <c r="C325" s="767"/>
      <c r="D325" s="750"/>
      <c r="E325" s="767"/>
      <c r="F325" s="750"/>
      <c r="G325" s="767"/>
      <c r="H325" s="750"/>
      <c r="I325" s="752"/>
      <c r="J325" s="750"/>
      <c r="K325" s="752"/>
      <c r="L325" s="750"/>
      <c r="M325" s="752"/>
      <c r="N325" s="750"/>
      <c r="O325" s="752"/>
      <c r="P325" s="750"/>
      <c r="Q325" s="752"/>
      <c r="R325" s="750"/>
      <c r="S325" s="752"/>
      <c r="T325" s="750"/>
      <c r="U325" s="752"/>
      <c r="V325" s="750"/>
      <c r="W325" s="752"/>
      <c r="X325" s="750"/>
      <c r="Y325" s="752"/>
      <c r="Z325" s="750"/>
      <c r="AA325" s="752"/>
      <c r="AB325" s="750"/>
      <c r="AC325" s="752"/>
      <c r="AD325" s="750"/>
      <c r="AE325" s="752"/>
      <c r="AF325" s="750"/>
      <c r="AG325" s="752"/>
      <c r="AH325" s="750"/>
      <c r="AI325" s="752"/>
      <c r="AJ325" s="750"/>
      <c r="AK325" s="752"/>
      <c r="AL325" s="750"/>
      <c r="AM325" s="752"/>
      <c r="AN325" s="750"/>
      <c r="AO325" s="752"/>
      <c r="AP325" s="750"/>
      <c r="AQ325" s="752"/>
      <c r="AR325" s="750"/>
      <c r="AS325" s="752"/>
      <c r="AT325" s="750"/>
      <c r="AU325" s="752"/>
      <c r="AV325" s="750"/>
      <c r="AW325" s="752"/>
      <c r="AX325" s="750"/>
      <c r="AY325" s="752"/>
      <c r="AZ325" s="750"/>
      <c r="BA325" s="752"/>
      <c r="BB325" s="750"/>
      <c r="BC325" s="752"/>
      <c r="BD325" s="750"/>
      <c r="BE325" s="752"/>
      <c r="BF325" s="750"/>
      <c r="BG325" s="752"/>
      <c r="BH325" s="750"/>
      <c r="BI325" s="752"/>
      <c r="BJ325" s="750"/>
      <c r="BK325" s="752"/>
      <c r="BL325" s="750"/>
      <c r="BM325" s="752"/>
      <c r="BN325" s="750"/>
      <c r="BO325" s="752"/>
      <c r="BP325" s="750"/>
      <c r="BQ325" s="752"/>
      <c r="BR325" s="750"/>
      <c r="BS325" s="752"/>
      <c r="BT325" s="750"/>
      <c r="BU325" s="752"/>
      <c r="BV325" s="750"/>
      <c r="BW325" s="752"/>
      <c r="BX325" s="750"/>
      <c r="BY325" s="752"/>
      <c r="BZ325" s="750"/>
      <c r="CA325" s="752"/>
      <c r="CB325" s="750"/>
      <c r="CC325" s="752"/>
      <c r="CD325" s="750"/>
      <c r="CE325" s="752"/>
      <c r="CF325" s="750"/>
      <c r="CG325" s="752"/>
      <c r="CH325" s="750"/>
      <c r="CI325" s="752"/>
      <c r="CJ325" s="750"/>
      <c r="CK325" s="752"/>
      <c r="CL325" s="750"/>
      <c r="CM325" s="752"/>
      <c r="CN325" s="750"/>
      <c r="CO325" s="752"/>
      <c r="CP325" s="750"/>
      <c r="CQ325" s="752"/>
      <c r="CR325" s="750"/>
      <c r="CS325" s="752"/>
      <c r="CT325" s="750"/>
      <c r="CU325" s="752"/>
      <c r="CV325" s="750"/>
      <c r="CW325" s="752"/>
      <c r="CX325" s="750"/>
      <c r="CY325" s="752"/>
      <c r="CZ325" s="750"/>
      <c r="DA325" s="752"/>
      <c r="DB325" s="753"/>
      <c r="DC325" s="750"/>
      <c r="DD325" s="767"/>
      <c r="DE325" s="750"/>
      <c r="DF325" s="767"/>
      <c r="DG325" s="750"/>
      <c r="DH325" s="767"/>
      <c r="DI325" s="750"/>
      <c r="DJ325" s="767"/>
      <c r="DK325" s="750"/>
      <c r="DL325" s="752"/>
      <c r="DM325" s="750"/>
      <c r="DN325" s="752"/>
      <c r="DO325" s="750"/>
      <c r="DP325" s="752"/>
      <c r="DQ325" s="750"/>
      <c r="DR325" s="752"/>
      <c r="DS325" s="750"/>
      <c r="DT325" s="752"/>
      <c r="DU325" s="750"/>
      <c r="DV325" s="752"/>
      <c r="DW325" s="750"/>
      <c r="DX325" s="752"/>
      <c r="DY325" s="750"/>
      <c r="DZ325" s="752"/>
      <c r="EA325" s="750"/>
      <c r="EB325" s="752"/>
      <c r="EC325" s="750"/>
      <c r="ED325" s="752"/>
      <c r="EE325" s="750"/>
      <c r="EF325" s="752"/>
      <c r="EG325" s="750"/>
      <c r="EH325" s="752"/>
      <c r="EI325" s="750"/>
      <c r="EJ325" s="752"/>
      <c r="EK325" s="750"/>
      <c r="EL325" s="752"/>
      <c r="EM325" s="750"/>
      <c r="EN325" s="752"/>
      <c r="EO325" s="750"/>
      <c r="EP325" s="752"/>
      <c r="EQ325" s="750"/>
      <c r="ER325" s="752"/>
      <c r="ES325" s="750"/>
      <c r="ET325" s="752"/>
      <c r="EU325" s="767"/>
      <c r="EV325" s="725"/>
    </row>
    <row r="326" spans="1:152" ht="12.75" hidden="1" customHeight="1" outlineLevel="1" x14ac:dyDescent="0.2">
      <c r="A326" s="749" t="s">
        <v>260</v>
      </c>
      <c r="B326" s="793">
        <f>INPUT!AS454</f>
        <v>100</v>
      </c>
      <c r="C326" s="756">
        <f>INPUT!AT454</f>
        <v>20.942408376963286</v>
      </c>
      <c r="D326" s="793">
        <f>INPUT!AU454</f>
        <v>100.00000000000001</v>
      </c>
      <c r="E326" s="756">
        <f>INPUT!AV454</f>
        <v>2.2204460492503131E-14</v>
      </c>
      <c r="F326" s="793">
        <f>INPUT!AW454</f>
        <v>100</v>
      </c>
      <c r="G326" s="756">
        <f>INPUT!AX454</f>
        <v>2.2204460492503131E-14</v>
      </c>
      <c r="H326" s="793">
        <f>INPUT!AY454</f>
        <v>93.584905660377345</v>
      </c>
      <c r="I326" s="752">
        <f>INPUT!AZ454</f>
        <v>-13.328457129209493</v>
      </c>
      <c r="J326" s="793">
        <f>INPUT!BA452</f>
        <v>8.5356600910470419</v>
      </c>
      <c r="K326" s="752">
        <f>INPUT!BB452</f>
        <v>-38.292378481570431</v>
      </c>
      <c r="L326" s="793">
        <f>INPUT!BC452</f>
        <v>10.671506352087127</v>
      </c>
      <c r="M326" s="752">
        <f>INPUT!BD452</f>
        <v>-30.410207071480102</v>
      </c>
      <c r="N326" s="793">
        <f>INPUT!BE452</f>
        <v>9.0461538461538442</v>
      </c>
      <c r="O326" s="752">
        <f>INPUT!BF452</f>
        <v>-22.934333958724153</v>
      </c>
      <c r="P326" s="793">
        <f>INPUT!BG452</f>
        <v>4.8891786179921768</v>
      </c>
      <c r="Q326" s="752" t="str">
        <f>INPUT!BH452</f>
        <v>NM</v>
      </c>
      <c r="R326" s="793">
        <f>INPUT!BI452</f>
        <v>0.92592592592591871</v>
      </c>
      <c r="S326" s="752" t="str">
        <f>INPUT!BJ452</f>
        <v>NM</v>
      </c>
      <c r="T326" s="793">
        <f>INPUT!BK452</f>
        <v>0.93869169844528932</v>
      </c>
      <c r="U326" s="752" t="str">
        <f>INPUT!BL452</f>
        <v>NM</v>
      </c>
      <c r="V326" s="793">
        <f>INPUT!BM452</f>
        <v>2.2113022113021947</v>
      </c>
      <c r="W326" s="752" t="str">
        <f>INPUT!BN452</f>
        <v>NM</v>
      </c>
      <c r="X326" s="793">
        <f>INPUT!BO452</f>
        <v>2.2888459058671882</v>
      </c>
      <c r="Y326" s="752" t="str">
        <f>INPUT!BP452</f>
        <v>NM</v>
      </c>
      <c r="Z326" s="793">
        <f>INPUT!BQ452</f>
        <v>3.5850253807106465</v>
      </c>
      <c r="AA326" s="752" t="str">
        <f>INPUT!BR452</f>
        <v>NM</v>
      </c>
      <c r="AB326" s="793">
        <f>INPUT!BS452</f>
        <v>3.0873726458783386</v>
      </c>
      <c r="AC326" s="752" t="str">
        <f>INPUT!BT452</f>
        <v>NM</v>
      </c>
      <c r="AD326" s="793">
        <f>INPUT!BU452</f>
        <v>2.2521113543947426</v>
      </c>
      <c r="AE326" s="752">
        <f>INPUT!BV452</f>
        <v>1.8454801376296848</v>
      </c>
      <c r="AF326" s="793">
        <f>INPUT!BW452</f>
        <v>1.8023617153511546</v>
      </c>
      <c r="AG326" s="752">
        <f>INPUT!BX452</f>
        <v>-21.254562802545529</v>
      </c>
      <c r="AH326" s="793">
        <f>INPUT!BY452</f>
        <v>10.555718906204051</v>
      </c>
      <c r="AI326" s="752" t="str">
        <f>INPUT!BZ452</f>
        <v>NM</v>
      </c>
      <c r="AJ326" s="793">
        <f>INPUT!CA452</f>
        <v>6.9266589057042944</v>
      </c>
      <c r="AK326" s="752" t="str">
        <f>INPUT!CB452</f>
        <v>NM</v>
      </c>
      <c r="AL326" s="793">
        <f>INPUT!CC452</f>
        <v>8.9891041162227729</v>
      </c>
      <c r="AM326" s="752" t="str">
        <f>INPUT!CD452</f>
        <v>NM</v>
      </c>
      <c r="AN326" s="793">
        <f>INPUT!CE452</f>
        <v>9.3112244897959613</v>
      </c>
      <c r="AO326" s="752" t="str">
        <f>INPUT!CF452</f>
        <v>NM</v>
      </c>
      <c r="AP326" s="793">
        <f>INPUT!CG452</f>
        <v>9.9625234228606736</v>
      </c>
      <c r="AQ326" s="752">
        <f>INPUT!CH452</f>
        <v>-5.6196597182474273</v>
      </c>
      <c r="AR326" s="793">
        <f>INPUT!CI452</f>
        <v>8.7835885582202238</v>
      </c>
      <c r="AS326" s="752">
        <f>INPUT!CJ452</f>
        <v>26.808446580019929</v>
      </c>
      <c r="AT326" s="793">
        <f>INPUT!CK452</f>
        <v>9.606986899563303</v>
      </c>
      <c r="AU326" s="752">
        <f>INPUT!CL452</f>
        <v>6.8736859129868932</v>
      </c>
      <c r="AV326" s="793">
        <f>INPUT!CM452</f>
        <v>-4.9935149156938756</v>
      </c>
      <c r="AW326" s="752" t="str">
        <f>INPUT!CN452</f>
        <v>NM</v>
      </c>
      <c r="AX326" s="793">
        <f>INPUT!CO452</f>
        <v>4.9805950840879625</v>
      </c>
      <c r="AY326" s="752" t="str">
        <f>INPUT!CP452</f>
        <v>NM</v>
      </c>
      <c r="AZ326" s="793">
        <f>INPUT!CQ452</f>
        <v>8.2876491454369727</v>
      </c>
      <c r="BA326" s="752">
        <f>INPUT!CR452</f>
        <v>-5.6462049593513868</v>
      </c>
      <c r="BB326" s="793">
        <f>INPUT!CS452</f>
        <v>8.2394592854843971</v>
      </c>
      <c r="BC326" s="752">
        <f>INPUT!CT452</f>
        <v>-14.234719255639538</v>
      </c>
      <c r="BD326" s="793">
        <f>INPUT!CU452</f>
        <v>9.2993219244429959</v>
      </c>
      <c r="BE326" s="752" t="str">
        <f>INPUT!CV452</f>
        <v>NM</v>
      </c>
      <c r="BF326" s="793">
        <f>INPUT!CW452</f>
        <v>8.5256410256410664</v>
      </c>
      <c r="BG326" s="752">
        <f>INPUT!CX452</f>
        <v>71.177156177157201</v>
      </c>
      <c r="BH326" s="793">
        <f>INPUT!CY452</f>
        <v>9.2410288980628863</v>
      </c>
      <c r="BI326" s="752">
        <f>INPUT!CZ452</f>
        <v>11.503621061840285</v>
      </c>
      <c r="BJ326" s="793">
        <f>INPUT!DA452</f>
        <v>7.9013906447534756</v>
      </c>
      <c r="BK326" s="752">
        <f>INPUT!DB452</f>
        <v>-4.1030440107459825</v>
      </c>
      <c r="BL326" s="793">
        <f>INPUT!DC452</f>
        <v>8.7846763540290702</v>
      </c>
      <c r="BM326" s="752">
        <f>INPUT!DD452</f>
        <v>-5.5342268457358674</v>
      </c>
      <c r="BN326" s="793">
        <f>INPUT!DE452</f>
        <v>8.710372422283772</v>
      </c>
      <c r="BO326" s="752">
        <f>INPUT!DF452</f>
        <v>2.1667742764106768</v>
      </c>
      <c r="BP326" s="793">
        <f>INPUT!DG452</f>
        <v>11.251152782047383</v>
      </c>
      <c r="BQ326" s="752">
        <f>INPUT!DH452</f>
        <v>21.752165328753172</v>
      </c>
      <c r="BR326" s="793">
        <f>INPUT!DI452</f>
        <v>8.1021437578814766</v>
      </c>
      <c r="BS326" s="752">
        <f>INPUT!DJ452</f>
        <v>2.5407313997479752</v>
      </c>
      <c r="BT326" s="793">
        <f>INPUT!DK452</f>
        <v>-7.8841512469830981</v>
      </c>
      <c r="BU326" s="752" t="str">
        <f>INPUT!DL452</f>
        <v>NM</v>
      </c>
      <c r="BV326" s="793">
        <f>INPUT!DM452</f>
        <v>8.3883129123468194</v>
      </c>
      <c r="BW326" s="752">
        <f>INPUT!DN452</f>
        <v>-3.6974252571913779</v>
      </c>
      <c r="BX326" s="793">
        <f>INPUT!DO452</f>
        <v>11.473354231974895</v>
      </c>
      <c r="BY326" s="752">
        <f>INPUT!DP452</f>
        <v>1.9749216300934291</v>
      </c>
      <c r="BZ326" s="793">
        <f>INPUT!DQ452</f>
        <v>8.5099846390169063</v>
      </c>
      <c r="CA326" s="752">
        <f>INPUT!DR452</f>
        <v>5.0337403695003058</v>
      </c>
      <c r="CB326" s="793">
        <f>INPUT!DS452</f>
        <v>8.8005010961477623</v>
      </c>
      <c r="CC326" s="752" t="str">
        <f>INPUT!DT452</f>
        <v>NM</v>
      </c>
      <c r="CD326" s="793">
        <f>INPUT!DU452</f>
        <v>10.378811210347964</v>
      </c>
      <c r="CE326" s="752">
        <f>INPUT!DV452</f>
        <v>23.729423530103588</v>
      </c>
      <c r="CF326" s="793">
        <f>INPUT!DW452</f>
        <v>9.7342490295610382</v>
      </c>
      <c r="CG326" s="752">
        <f>INPUT!DX452</f>
        <v>-15.157774851639939</v>
      </c>
      <c r="CH326" s="793">
        <f>INPUT!DY452</f>
        <v>8.9068825910931189</v>
      </c>
      <c r="CI326" s="752">
        <f>INPUT!DZ452</f>
        <v>4.6639091480435768</v>
      </c>
      <c r="CJ326" s="793">
        <f>INPUT!EA452</f>
        <v>10.093348891481922</v>
      </c>
      <c r="CK326" s="752">
        <f>INPUT!EB452</f>
        <v>14.690615695736664</v>
      </c>
      <c r="CL326" s="793">
        <f>INPUT!EC452</f>
        <v>9.2968520152985974</v>
      </c>
      <c r="CM326" s="752">
        <f>INPUT!ED452</f>
        <v>-10.424692897107747</v>
      </c>
      <c r="CN326" s="793">
        <f>INPUT!EE452</f>
        <v>9.2220650636492252</v>
      </c>
      <c r="CO326" s="752">
        <f>INPUT!EF452</f>
        <v>-5.2616690240449904</v>
      </c>
      <c r="CP326" s="793">
        <f>INPUT!EG452</f>
        <v>7.4635241301908044</v>
      </c>
      <c r="CQ326" s="752">
        <f>INPUT!EH452</f>
        <v>-16.20497908376689</v>
      </c>
      <c r="CR326" s="793">
        <f>INPUT!EI452</f>
        <v>8.8763743631000072</v>
      </c>
      <c r="CS326" s="752">
        <f>INPUT!EJ452</f>
        <v>-12.057192726280929</v>
      </c>
      <c r="CT326" s="793">
        <f>INPUT!EK452</f>
        <v>8.5770321708898773</v>
      </c>
      <c r="CU326" s="752">
        <f>INPUT!EL452</f>
        <v>-7.7426191491938079</v>
      </c>
      <c r="CV326" s="793">
        <f>INPUT!EM452</f>
        <v>8.3397166118395116</v>
      </c>
      <c r="CW326" s="752">
        <f>INPUT!EN452</f>
        <v>-9.567796862415145</v>
      </c>
      <c r="CX326" s="793">
        <f>INPUT!EO452</f>
        <v>8.1284989261076142</v>
      </c>
      <c r="CY326" s="752">
        <f>INPUT!EP452</f>
        <v>8.9096623031861277</v>
      </c>
      <c r="CZ326" s="793">
        <f>INPUT!EQ452</f>
        <v>7.9009827414031131</v>
      </c>
      <c r="DA326" s="752">
        <f>INPUT!ER452</f>
        <v>-10.98862645712304</v>
      </c>
      <c r="DB326" s="793"/>
      <c r="DC326" s="793">
        <f>INPUT!FB452</f>
        <v>0</v>
      </c>
      <c r="DD326" s="756" t="str">
        <f>INPUT!FC452</f>
        <v>NA</v>
      </c>
      <c r="DE326" s="793">
        <f>INPUT!FD452</f>
        <v>7.8501844320438785</v>
      </c>
      <c r="DF326" s="756" t="str">
        <f>INPUT!FE452</f>
        <v>NA</v>
      </c>
      <c r="DG326" s="793">
        <f>INPUT!FF452</f>
        <v>-92.047128129603578</v>
      </c>
      <c r="DH326" s="756" t="str">
        <f>INPUT!FG452</f>
        <v>NM</v>
      </c>
      <c r="DI326" s="793">
        <f>INPUT!FH452</f>
        <v>609.48148148148096</v>
      </c>
      <c r="DJ326" s="756" t="str">
        <f>INPUT!FI452</f>
        <v>NM</v>
      </c>
      <c r="DK326" s="793">
        <f>INPUT!FJ452</f>
        <v>14.614793959559755</v>
      </c>
      <c r="DL326" s="752" t="str">
        <f>INPUT!FK452</f>
        <v>NM</v>
      </c>
      <c r="DM326" s="793">
        <f>INPUT!FL452</f>
        <v>12.773525924328933</v>
      </c>
      <c r="DN326" s="752">
        <f>INPUT!FM452</f>
        <v>-12.598658868032974</v>
      </c>
      <c r="DO326" s="793">
        <f>INPUT!FN452</f>
        <v>8.224442736356643</v>
      </c>
      <c r="DP326" s="752">
        <f>INPUT!FO452</f>
        <v>-35.613371084235531</v>
      </c>
      <c r="DQ326" s="793">
        <f>INPUT!FP452</f>
        <v>1.5815179471276526</v>
      </c>
      <c r="DR326" s="752" t="str">
        <f>INPUT!FQ452</f>
        <v>NM</v>
      </c>
      <c r="DS326" s="793">
        <f>INPUT!FR452</f>
        <v>9.4246408755794775</v>
      </c>
      <c r="DT326" s="752" t="str">
        <f>INPUT!FS452</f>
        <v>NM</v>
      </c>
      <c r="DU326" s="793">
        <f>INPUT!FT452</f>
        <v>8.932740830006777</v>
      </c>
      <c r="DV326" s="752">
        <f>INPUT!FU452</f>
        <v>-5.2192974996774666</v>
      </c>
      <c r="DW326" s="793">
        <f>INPUT!FV452</f>
        <v>33.477438530126946</v>
      </c>
      <c r="DX326" s="752" t="str">
        <f>INPUT!FW452</f>
        <v>NM</v>
      </c>
      <c r="DY326" s="793">
        <f>INPUT!FX452</f>
        <v>7.5410097149227511</v>
      </c>
      <c r="DZ326" s="752" t="str">
        <f>INPUT!FY452</f>
        <v>NM</v>
      </c>
      <c r="EA326" s="793">
        <f>INPUT!FZ452</f>
        <v>8.6108659016130122</v>
      </c>
      <c r="EB326" s="752">
        <f>INPUT!GA452</f>
        <v>14.187174226458609</v>
      </c>
      <c r="EC326" s="793">
        <f>INPUT!GB452</f>
        <v>20.185029436501299</v>
      </c>
      <c r="ED326" s="752" t="str">
        <f>INPUT!GC452</f>
        <v>NM</v>
      </c>
      <c r="EE326" s="793">
        <f>INPUT!GD452</f>
        <v>9.289447001013956</v>
      </c>
      <c r="EF326" s="752" t="str">
        <f>INPUT!GE452</f>
        <v>NM</v>
      </c>
      <c r="EG326" s="793">
        <f>INPUT!GF452</f>
        <v>9.7846618813751682</v>
      </c>
      <c r="EH326" s="752">
        <f>INPUT!GG452</f>
        <v>5.3309403703703628</v>
      </c>
      <c r="EI326" s="793">
        <f>INPUT!GH452</f>
        <v>8.708793139804575</v>
      </c>
      <c r="EJ326" s="752">
        <f>INPUT!GI452</f>
        <v>-10.995461617518732</v>
      </c>
      <c r="EK326" s="793">
        <f>INPUT!GJ452</f>
        <v>8.2350118901335847</v>
      </c>
      <c r="EL326" s="752">
        <f>INPUT!GK452</f>
        <v>-5.4402629855279994</v>
      </c>
      <c r="EM326" s="793">
        <f>INPUT!GL452</f>
        <v>7.8513243563911956</v>
      </c>
      <c r="EN326" s="752">
        <f>INPUT!GM452</f>
        <v>-4.6592225835409788</v>
      </c>
      <c r="EO326" s="793">
        <f>INPUT!GN452</f>
        <v>7.4563401801896898</v>
      </c>
      <c r="EP326" s="752">
        <f>INPUT!GO452</f>
        <v>-5.0307968219396981</v>
      </c>
      <c r="EQ326" s="793">
        <f>INPUT!GP452</f>
        <v>7.062517214371236</v>
      </c>
      <c r="ER326" s="752">
        <f>INPUT!GQ452</f>
        <v>-5.2817193998843877</v>
      </c>
      <c r="ES326" s="793">
        <f>INPUT!GR452</f>
        <v>6.7208932025049091</v>
      </c>
      <c r="ET326" s="752">
        <f>INPUT!GS452</f>
        <v>-4.8371423601088033</v>
      </c>
      <c r="EU326" s="756">
        <f>INPUT!GT454</f>
        <v>0.27640393401302532</v>
      </c>
      <c r="EV326" s="710"/>
    </row>
    <row r="327" spans="1:152" ht="12.75" hidden="1" customHeight="1" outlineLevel="1" x14ac:dyDescent="0.2">
      <c r="A327" s="754"/>
      <c r="B327" s="793"/>
      <c r="C327" s="756"/>
      <c r="D327" s="793"/>
      <c r="E327" s="756"/>
      <c r="F327" s="793"/>
      <c r="G327" s="756"/>
      <c r="H327" s="793"/>
      <c r="I327" s="752"/>
      <c r="J327" s="793"/>
      <c r="K327" s="752"/>
      <c r="L327" s="793"/>
      <c r="M327" s="752"/>
      <c r="N327" s="793"/>
      <c r="O327" s="752"/>
      <c r="P327" s="793"/>
      <c r="Q327" s="752"/>
      <c r="R327" s="793"/>
      <c r="S327" s="752"/>
      <c r="T327" s="793"/>
      <c r="U327" s="752"/>
      <c r="V327" s="793"/>
      <c r="W327" s="752"/>
      <c r="X327" s="793"/>
      <c r="Y327" s="752"/>
      <c r="Z327" s="793"/>
      <c r="AA327" s="752"/>
      <c r="AB327" s="793"/>
      <c r="AC327" s="752"/>
      <c r="AD327" s="793"/>
      <c r="AE327" s="752"/>
      <c r="AF327" s="793"/>
      <c r="AG327" s="752"/>
      <c r="AH327" s="793"/>
      <c r="AI327" s="752"/>
      <c r="AJ327" s="793"/>
      <c r="AK327" s="752"/>
      <c r="AL327" s="793"/>
      <c r="AM327" s="752"/>
      <c r="AN327" s="793"/>
      <c r="AO327" s="752"/>
      <c r="AP327" s="793"/>
      <c r="AQ327" s="752"/>
      <c r="AR327" s="793"/>
      <c r="AS327" s="752"/>
      <c r="AT327" s="793"/>
      <c r="AU327" s="752"/>
      <c r="AV327" s="793"/>
      <c r="AW327" s="752"/>
      <c r="AX327" s="793"/>
      <c r="AY327" s="752"/>
      <c r="AZ327" s="793"/>
      <c r="BA327" s="752"/>
      <c r="BB327" s="793"/>
      <c r="BC327" s="752"/>
      <c r="BD327" s="793"/>
      <c r="BE327" s="752"/>
      <c r="BF327" s="793"/>
      <c r="BG327" s="752"/>
      <c r="BH327" s="793"/>
      <c r="BI327" s="752"/>
      <c r="BJ327" s="793"/>
      <c r="BK327" s="752"/>
      <c r="BL327" s="793"/>
      <c r="BM327" s="752"/>
      <c r="BN327" s="793"/>
      <c r="BO327" s="752"/>
      <c r="BP327" s="793"/>
      <c r="BQ327" s="752"/>
      <c r="BR327" s="793"/>
      <c r="BS327" s="752"/>
      <c r="BT327" s="793"/>
      <c r="BU327" s="752"/>
      <c r="BV327" s="793"/>
      <c r="BW327" s="752"/>
      <c r="BX327" s="793"/>
      <c r="BY327" s="752"/>
      <c r="BZ327" s="793"/>
      <c r="CA327" s="752"/>
      <c r="CB327" s="793"/>
      <c r="CC327" s="752"/>
      <c r="CD327" s="793"/>
      <c r="CE327" s="752"/>
      <c r="CF327" s="793"/>
      <c r="CG327" s="752"/>
      <c r="CH327" s="793"/>
      <c r="CI327" s="752"/>
      <c r="CJ327" s="793"/>
      <c r="CK327" s="752"/>
      <c r="CL327" s="793"/>
      <c r="CM327" s="752"/>
      <c r="CN327" s="793"/>
      <c r="CO327" s="752"/>
      <c r="CP327" s="793"/>
      <c r="CQ327" s="752"/>
      <c r="CR327" s="793"/>
      <c r="CS327" s="752"/>
      <c r="CT327" s="793"/>
      <c r="CU327" s="752"/>
      <c r="CV327" s="793"/>
      <c r="CW327" s="752"/>
      <c r="CX327" s="793"/>
      <c r="CY327" s="752"/>
      <c r="CZ327" s="793"/>
      <c r="DA327" s="752"/>
      <c r="DB327" s="753"/>
      <c r="DC327" s="793"/>
      <c r="DD327" s="756"/>
      <c r="DE327" s="793"/>
      <c r="DF327" s="756"/>
      <c r="DG327" s="793"/>
      <c r="DH327" s="756"/>
      <c r="DI327" s="793"/>
      <c r="DJ327" s="756"/>
      <c r="DK327" s="793"/>
      <c r="DL327" s="752"/>
      <c r="DM327" s="793"/>
      <c r="DN327" s="752"/>
      <c r="DO327" s="793"/>
      <c r="DP327" s="752"/>
      <c r="DQ327" s="793"/>
      <c r="DR327" s="752"/>
      <c r="DS327" s="793"/>
      <c r="DT327" s="752"/>
      <c r="DU327" s="793"/>
      <c r="DV327" s="752"/>
      <c r="DW327" s="793"/>
      <c r="DX327" s="752"/>
      <c r="DY327" s="793"/>
      <c r="DZ327" s="752"/>
      <c r="EA327" s="793"/>
      <c r="EB327" s="752"/>
      <c r="EC327" s="793"/>
      <c r="ED327" s="752"/>
      <c r="EE327" s="793"/>
      <c r="EF327" s="752"/>
      <c r="EG327" s="793"/>
      <c r="EH327" s="752"/>
      <c r="EI327" s="793"/>
      <c r="EJ327" s="752"/>
      <c r="EK327" s="793"/>
      <c r="EL327" s="752"/>
      <c r="EM327" s="793"/>
      <c r="EN327" s="752"/>
      <c r="EO327" s="793"/>
      <c r="EP327" s="752"/>
      <c r="EQ327" s="793"/>
      <c r="ER327" s="752"/>
      <c r="ES327" s="793"/>
      <c r="ET327" s="752"/>
      <c r="EU327" s="756"/>
      <c r="EV327" s="710"/>
    </row>
    <row r="328" spans="1:152" ht="12.75" hidden="1" customHeight="1" outlineLevel="1" x14ac:dyDescent="0.2">
      <c r="A328" s="749" t="s">
        <v>450</v>
      </c>
      <c r="B328" s="793"/>
      <c r="C328" s="756"/>
      <c r="D328" s="793"/>
      <c r="E328" s="756"/>
      <c r="F328" s="793"/>
      <c r="G328" s="756"/>
      <c r="H328" s="793"/>
      <c r="I328" s="752"/>
      <c r="J328" s="793"/>
      <c r="K328" s="752"/>
      <c r="L328" s="793"/>
      <c r="M328" s="752"/>
      <c r="N328" s="793"/>
      <c r="O328" s="752"/>
      <c r="P328" s="793"/>
      <c r="Q328" s="752"/>
      <c r="R328" s="793"/>
      <c r="S328" s="752"/>
      <c r="T328" s="793"/>
      <c r="U328" s="752"/>
      <c r="V328" s="793"/>
      <c r="W328" s="752"/>
      <c r="X328" s="793"/>
      <c r="Y328" s="752"/>
      <c r="Z328" s="793"/>
      <c r="AA328" s="752"/>
      <c r="AB328" s="793"/>
      <c r="AC328" s="752"/>
      <c r="AD328" s="793"/>
      <c r="AE328" s="752"/>
      <c r="AF328" s="793"/>
      <c r="AG328" s="752"/>
      <c r="AH328" s="793"/>
      <c r="AI328" s="752"/>
      <c r="AJ328" s="793"/>
      <c r="AK328" s="752"/>
      <c r="AL328" s="793"/>
      <c r="AM328" s="752"/>
      <c r="AN328" s="793"/>
      <c r="AO328" s="752"/>
      <c r="AP328" s="793"/>
      <c r="AQ328" s="752"/>
      <c r="AR328" s="793"/>
      <c r="AS328" s="752"/>
      <c r="AT328" s="793"/>
      <c r="AU328" s="752"/>
      <c r="AV328" s="793"/>
      <c r="AW328" s="752"/>
      <c r="AX328" s="793"/>
      <c r="AY328" s="752"/>
      <c r="AZ328" s="793"/>
      <c r="BA328" s="752"/>
      <c r="BB328" s="793"/>
      <c r="BC328" s="752"/>
      <c r="BD328" s="793"/>
      <c r="BE328" s="752"/>
      <c r="BF328" s="793"/>
      <c r="BG328" s="752"/>
      <c r="BH328" s="793"/>
      <c r="BI328" s="752"/>
      <c r="BJ328" s="793"/>
      <c r="BK328" s="752"/>
      <c r="BL328" s="793"/>
      <c r="BM328" s="752"/>
      <c r="BN328" s="793"/>
      <c r="BO328" s="752"/>
      <c r="BP328" s="793"/>
      <c r="BQ328" s="752"/>
      <c r="BR328" s="793"/>
      <c r="BS328" s="752"/>
      <c r="BT328" s="793"/>
      <c r="BU328" s="752"/>
      <c r="BV328" s="793"/>
      <c r="BW328" s="752"/>
      <c r="BX328" s="793"/>
      <c r="BY328" s="752"/>
      <c r="BZ328" s="793"/>
      <c r="CA328" s="752"/>
      <c r="CB328" s="793"/>
      <c r="CC328" s="752"/>
      <c r="CD328" s="793"/>
      <c r="CE328" s="752"/>
      <c r="CF328" s="793"/>
      <c r="CG328" s="752"/>
      <c r="CH328" s="793"/>
      <c r="CI328" s="752"/>
      <c r="CJ328" s="793"/>
      <c r="CK328" s="752"/>
      <c r="CL328" s="793"/>
      <c r="CM328" s="752"/>
      <c r="CN328" s="793"/>
      <c r="CO328" s="752"/>
      <c r="CP328" s="793"/>
      <c r="CQ328" s="752"/>
      <c r="CR328" s="793"/>
      <c r="CS328" s="752"/>
      <c r="CT328" s="793"/>
      <c r="CU328" s="752"/>
      <c r="CV328" s="793"/>
      <c r="CW328" s="752"/>
      <c r="CX328" s="793"/>
      <c r="CY328" s="752"/>
      <c r="CZ328" s="793"/>
      <c r="DA328" s="752"/>
      <c r="DB328" s="753"/>
      <c r="DC328" s="793"/>
      <c r="DD328" s="756"/>
      <c r="DE328" s="793"/>
      <c r="DF328" s="756"/>
      <c r="DG328" s="793"/>
      <c r="DH328" s="756"/>
      <c r="DI328" s="793"/>
      <c r="DJ328" s="756"/>
      <c r="DK328" s="793"/>
      <c r="DL328" s="752"/>
      <c r="DM328" s="793"/>
      <c r="DN328" s="752"/>
      <c r="DO328" s="793"/>
      <c r="DP328" s="752"/>
      <c r="DQ328" s="793"/>
      <c r="DR328" s="752"/>
      <c r="DS328" s="793"/>
      <c r="DT328" s="752"/>
      <c r="DU328" s="793"/>
      <c r="DV328" s="752"/>
      <c r="DW328" s="793"/>
      <c r="DX328" s="752"/>
      <c r="DY328" s="793"/>
      <c r="DZ328" s="752"/>
      <c r="EA328" s="793"/>
      <c r="EB328" s="752"/>
      <c r="EC328" s="793"/>
      <c r="ED328" s="752"/>
      <c r="EE328" s="793"/>
      <c r="EF328" s="752"/>
      <c r="EG328" s="793"/>
      <c r="EH328" s="752"/>
      <c r="EI328" s="793"/>
      <c r="EJ328" s="752"/>
      <c r="EK328" s="793"/>
      <c r="EL328" s="752"/>
      <c r="EM328" s="793"/>
      <c r="EN328" s="752"/>
      <c r="EO328" s="793"/>
      <c r="EP328" s="752"/>
      <c r="EQ328" s="793"/>
      <c r="ER328" s="752"/>
      <c r="ES328" s="793"/>
      <c r="ET328" s="752"/>
      <c r="EU328" s="756"/>
      <c r="EV328" s="710"/>
    </row>
    <row r="329" spans="1:152" ht="12.75" hidden="1" customHeight="1" outlineLevel="1" x14ac:dyDescent="0.2">
      <c r="A329" s="754" t="str">
        <f>+INPUT!B277</f>
        <v>Pretax Earnings/Revenues (%)</v>
      </c>
      <c r="B329" s="793">
        <f>INPUT!AS277</f>
        <v>5.5855855855855925</v>
      </c>
      <c r="C329" s="756">
        <f>INPUT!AT277</f>
        <v>7.9879879879882765</v>
      </c>
      <c r="D329" s="793">
        <f>INPUT!AU277</f>
        <v>6.6122286397132024</v>
      </c>
      <c r="E329" s="756">
        <f>INPUT!AV277</f>
        <v>5.5808204817743956</v>
      </c>
      <c r="F329" s="793">
        <f>INPUT!AW277</f>
        <v>5.8535590454823554</v>
      </c>
      <c r="G329" s="756">
        <f>INPUT!AX277</f>
        <v>-6.145965742131354</v>
      </c>
      <c r="H329" s="793">
        <f>INPUT!AY277</f>
        <v>5.6865464632454907</v>
      </c>
      <c r="I329" s="752">
        <f>INPUT!AZ277</f>
        <v>-13.638739469167993</v>
      </c>
      <c r="J329" s="793">
        <f>INPUT!BA277</f>
        <v>4.6661136457901282</v>
      </c>
      <c r="K329" s="752">
        <f>INPUT!BB277</f>
        <v>-16.461513760854263</v>
      </c>
      <c r="L329" s="793">
        <f>INPUT!BC277</f>
        <v>6.1429168407856318</v>
      </c>
      <c r="M329" s="752">
        <f>INPUT!BD277</f>
        <v>-7.097634163901601</v>
      </c>
      <c r="N329" s="793">
        <f>INPUT!BE277</f>
        <v>5.9143029571514738</v>
      </c>
      <c r="O329" s="752">
        <f>INPUT!BF277</f>
        <v>1.0377261286191208</v>
      </c>
      <c r="P329" s="793">
        <f>INPUT!BG277</f>
        <v>3.1036623215394163</v>
      </c>
      <c r="Q329" s="752">
        <f>INPUT!BH277</f>
        <v>-45.420962589514147</v>
      </c>
      <c r="R329" s="793">
        <f>INPUT!BI277</f>
        <v>0.63961182179090814</v>
      </c>
      <c r="S329" s="752" t="str">
        <f>INPUT!BJ277</f>
        <v>NM</v>
      </c>
      <c r="T329" s="793">
        <f>INPUT!BK277</f>
        <v>3.2971800433839453</v>
      </c>
      <c r="U329" s="752">
        <f>INPUT!BL277</f>
        <v>-46.32549766110359</v>
      </c>
      <c r="V329" s="793">
        <f>INPUT!BM277</f>
        <v>0.55481580115400431</v>
      </c>
      <c r="W329" s="752" t="str">
        <f>INPUT!BN277</f>
        <v>NM</v>
      </c>
      <c r="X329" s="793">
        <f>INPUT!BO277</f>
        <v>1.565946184384654</v>
      </c>
      <c r="Y329" s="752">
        <f>INPUT!BP277</f>
        <v>-49.545213939126441</v>
      </c>
      <c r="Z329" s="793">
        <f>INPUT!BQ277</f>
        <v>2.5513659968390052</v>
      </c>
      <c r="AA329" s="752" t="str">
        <f>INPUT!BR277</f>
        <v>NM</v>
      </c>
      <c r="AB329" s="793">
        <f>INPUT!BS277</f>
        <v>2.2665457842248284</v>
      </c>
      <c r="AC329" s="752">
        <f>INPUT!BT277</f>
        <v>-31.258052202128507</v>
      </c>
      <c r="AD329" s="793">
        <f>INPUT!BU277</f>
        <v>1.6736401673640142</v>
      </c>
      <c r="AE329" s="752" t="str">
        <f>INPUT!BV277</f>
        <v>NM</v>
      </c>
      <c r="AF329" s="793">
        <f>INPUT!BW277</f>
        <v>1.3627819548872206</v>
      </c>
      <c r="AG329" s="752">
        <f>INPUT!BX277</f>
        <v>-12.973896007624797</v>
      </c>
      <c r="AH329" s="793">
        <f>INPUT!BY277</f>
        <v>5.242406542056071</v>
      </c>
      <c r="AI329" s="752" t="str">
        <f>INPUT!BZ277</f>
        <v>NM</v>
      </c>
      <c r="AJ329" s="793">
        <f>INPUT!CA277</f>
        <v>3.4805498683825613</v>
      </c>
      <c r="AK329" s="752">
        <f>INPUT!CB277</f>
        <v>53.561860193039479</v>
      </c>
      <c r="AL329" s="793">
        <f>INPUT!CC277</f>
        <v>4.3876495789629262</v>
      </c>
      <c r="AM329" s="752" t="str">
        <f>INPUT!CD277</f>
        <v>NM</v>
      </c>
      <c r="AN329" s="793">
        <f>INPUT!CE277</f>
        <v>4.267757965507184</v>
      </c>
      <c r="AO329" s="752" t="str">
        <f>INPUT!CF277</f>
        <v>NM</v>
      </c>
      <c r="AP329" s="793">
        <f>INPUT!CG277</f>
        <v>4.7259259259259059</v>
      </c>
      <c r="AQ329" s="752">
        <f>INPUT!CH277</f>
        <v>-9.8519756525330742</v>
      </c>
      <c r="AR329" s="793">
        <f>INPUT!CI277</f>
        <v>4.5468142387077783</v>
      </c>
      <c r="AS329" s="752">
        <f>INPUT!CJ277</f>
        <v>30.634940186066583</v>
      </c>
      <c r="AT329" s="793">
        <f>INPUT!CK277</f>
        <v>4.5690550363447491</v>
      </c>
      <c r="AU329" s="752">
        <f>INPUT!CL277</f>
        <v>4.134456367062489</v>
      </c>
      <c r="AV329" s="793">
        <f>INPUT!CM277</f>
        <v>-136.96168696168698</v>
      </c>
      <c r="AW329" s="752" t="str">
        <f>INPUT!CN277</f>
        <v>NM</v>
      </c>
      <c r="AX329" s="793">
        <f>INPUT!CO277</f>
        <v>2.2971360381861543</v>
      </c>
      <c r="AY329" s="752" t="str">
        <f>INPUT!CP277</f>
        <v>NM</v>
      </c>
      <c r="AZ329" s="793">
        <f>INPUT!CQ277</f>
        <v>3.8153206650831417</v>
      </c>
      <c r="BA329" s="752">
        <f>INPUT!CR277</f>
        <v>-16.088046162020685</v>
      </c>
      <c r="BB329" s="793">
        <f>INPUT!CS277</f>
        <v>3.783624002364768</v>
      </c>
      <c r="BC329" s="752">
        <f>INPUT!CT277</f>
        <v>-17.190229220970977</v>
      </c>
      <c r="BD329" s="793">
        <f>INPUT!CU277</f>
        <v>4.2321822189566429</v>
      </c>
      <c r="BE329" s="752" t="str">
        <f>INPUT!CV277</f>
        <v>NM</v>
      </c>
      <c r="BF329" s="793">
        <f>INPUT!CW277</f>
        <v>3.9302600472813434</v>
      </c>
      <c r="BG329" s="752">
        <f>INPUT!CX277</f>
        <v>71.093917902429624</v>
      </c>
      <c r="BH329" s="793">
        <f>INPUT!CY277</f>
        <v>4.3549835378629185</v>
      </c>
      <c r="BI329" s="752">
        <f>INPUT!CZ277</f>
        <v>14.144626891224</v>
      </c>
      <c r="BJ329" s="793">
        <f>INPUT!DA277</f>
        <v>3.7616611495636469</v>
      </c>
      <c r="BK329" s="752">
        <f>INPUT!DB277</f>
        <v>-0.58047133614212987</v>
      </c>
      <c r="BL329" s="793">
        <f>INPUT!DC277</f>
        <v>3.9506906282489269</v>
      </c>
      <c r="BM329" s="752">
        <f>INPUT!DD277</f>
        <v>-6.651216231826429</v>
      </c>
      <c r="BN329" s="793">
        <f>INPUT!DE277</f>
        <v>4.320610687022894</v>
      </c>
      <c r="BO329" s="752">
        <f>INPUT!DF277</f>
        <v>9.9319290592887235</v>
      </c>
      <c r="BP329" s="793">
        <f>INPUT!DG277</f>
        <v>5.5004508566276122</v>
      </c>
      <c r="BQ329" s="752">
        <f>INPUT!DH277</f>
        <v>26.302448879675879</v>
      </c>
      <c r="BR329" s="793">
        <f>INPUT!DI277</f>
        <v>3.9350788546930096</v>
      </c>
      <c r="BS329" s="752">
        <f>INPUT!DJ277</f>
        <v>4.6101362731589823</v>
      </c>
      <c r="BT329" s="793">
        <f>INPUT!DK277</f>
        <v>-101.88909201706278</v>
      </c>
      <c r="BU329" s="752" t="str">
        <f>INPUT!DL277</f>
        <v>NM</v>
      </c>
      <c r="BV329" s="793">
        <f>INPUT!DM277</f>
        <v>4.1171935235157946</v>
      </c>
      <c r="BW329" s="752">
        <f>INPUT!DN277</f>
        <v>-4.7080650917720952</v>
      </c>
      <c r="BX329" s="793">
        <f>INPUT!DO277</f>
        <v>5.5665399239543589</v>
      </c>
      <c r="BY329" s="752">
        <f>INPUT!DP277</f>
        <v>1.2015209125469051</v>
      </c>
      <c r="BZ329" s="793">
        <f>INPUT!DQ277</f>
        <v>4.2595725049977009</v>
      </c>
      <c r="CA329" s="752">
        <f>INPUT!DR277</f>
        <v>8.2461791056028577</v>
      </c>
      <c r="CB329" s="793">
        <f>INPUT!DS277</f>
        <v>4.2537087496215253</v>
      </c>
      <c r="CC329" s="752" t="str">
        <f>INPUT!DT277</f>
        <v>NM</v>
      </c>
      <c r="CD329" s="793">
        <f>INPUT!DU277</f>
        <v>5.1726784343821679</v>
      </c>
      <c r="CE329" s="752">
        <f>INPUT!DV277</f>
        <v>25.636028640331276</v>
      </c>
      <c r="CF329" s="793">
        <f>INPUT!DW277</f>
        <v>4.9961685823754642</v>
      </c>
      <c r="CG329" s="752">
        <f>INPUT!DX277</f>
        <v>-10.246425057052576</v>
      </c>
      <c r="CH329" s="793">
        <f>INPUT!DY277</f>
        <v>4.4094973789700926</v>
      </c>
      <c r="CI329" s="752">
        <f>INPUT!DZ277</f>
        <v>3.5197164456406638</v>
      </c>
      <c r="CJ329" s="793">
        <f>INPUT!EA277</f>
        <v>5.2743902439024426</v>
      </c>
      <c r="CK329" s="752">
        <f>INPUT!EB277</f>
        <v>23.99509591181419</v>
      </c>
      <c r="CL329" s="793">
        <f>INPUT!EC277</f>
        <v>4.914463452566082</v>
      </c>
      <c r="CM329" s="752">
        <f>INPUT!ED277</f>
        <v>-4.9919009095899414</v>
      </c>
      <c r="CN329" s="793">
        <f>INPUT!EE277</f>
        <v>5.0810473815461377</v>
      </c>
      <c r="CO329" s="752">
        <f>INPUT!EF277</f>
        <v>1.6988778054866538</v>
      </c>
      <c r="CP329" s="793">
        <f>INPUT!EG277</f>
        <v>4.1653617287817131</v>
      </c>
      <c r="CQ329" s="752">
        <f>INPUT!EH277</f>
        <v>-5.5365868081182823</v>
      </c>
      <c r="CR329" s="793">
        <f>INPUT!EI277</f>
        <v>5.173491716161287</v>
      </c>
      <c r="CS329" s="752">
        <f>INPUT!EJ277</f>
        <v>-1.9129894276935899</v>
      </c>
      <c r="CT329" s="793">
        <f>INPUT!EK277</f>
        <v>4.7418370426718122</v>
      </c>
      <c r="CU329" s="752">
        <f>INPUT!EL277</f>
        <v>-3.5126196696840473</v>
      </c>
      <c r="CV329" s="793">
        <f>INPUT!EM277</f>
        <v>4.6727769724260497</v>
      </c>
      <c r="CW329" s="752">
        <f>INPUT!EN277</f>
        <v>-8.0351624077131376</v>
      </c>
      <c r="CX329" s="793">
        <f>INPUT!EO277</f>
        <v>4.6037212210159959</v>
      </c>
      <c r="CY329" s="752">
        <f>INPUT!EP277</f>
        <v>10.523923749654607</v>
      </c>
      <c r="CZ329" s="793">
        <f>INPUT!EQ277</f>
        <v>4.5346698962729342</v>
      </c>
      <c r="DA329" s="752">
        <f>INPUT!ER277</f>
        <v>-12.347981884125957</v>
      </c>
      <c r="DB329" s="793"/>
      <c r="DC329" s="793">
        <f>INPUT!FB277</f>
        <v>0</v>
      </c>
      <c r="DD329" s="756">
        <f>INPUT!FC277</f>
        <v>0</v>
      </c>
      <c r="DE329" s="793">
        <f>INPUT!FD277</f>
        <v>4.1365561923747816</v>
      </c>
      <c r="DF329" s="756" t="str">
        <f>INPUT!FE277</f>
        <v>NA</v>
      </c>
      <c r="DG329" s="793">
        <f>INPUT!FF277</f>
        <v>3.2074309760854063</v>
      </c>
      <c r="DH329" s="756">
        <f>INPUT!FG277</f>
        <v>-22.461322246802794</v>
      </c>
      <c r="DI329" s="793">
        <f>INPUT!FH277</f>
        <v>-43.626723223754006</v>
      </c>
      <c r="DJ329" s="756" t="str">
        <f>INPUT!FI277</f>
        <v>NM</v>
      </c>
      <c r="DK329" s="793">
        <f>INPUT!FJ277</f>
        <v>6.0845010389472032</v>
      </c>
      <c r="DL329" s="752" t="str">
        <f>INPUT!FK277</f>
        <v>NM</v>
      </c>
      <c r="DM329" s="793">
        <f>INPUT!FL277</f>
        <v>5.935089652409073</v>
      </c>
      <c r="DN329" s="752">
        <f>INPUT!FM277</f>
        <v>-2.4556062293644154</v>
      </c>
      <c r="DO329" s="793">
        <f>INPUT!FN277</f>
        <v>4.9608489594065501</v>
      </c>
      <c r="DP329" s="752">
        <f>INPUT!FO277</f>
        <v>-16.414927997036667</v>
      </c>
      <c r="DQ329" s="793">
        <f>INPUT!FP277</f>
        <v>1.5233172019357455</v>
      </c>
      <c r="DR329" s="752" t="str">
        <f>INPUT!FQ277</f>
        <v>NM</v>
      </c>
      <c r="DS329" s="793">
        <f>INPUT!FR277</f>
        <v>4.5358109591045102</v>
      </c>
      <c r="DT329" s="752" t="str">
        <f>INPUT!FS277</f>
        <v>NM</v>
      </c>
      <c r="DU329" s="793">
        <f>INPUT!FT277</f>
        <v>4.3447997948492487</v>
      </c>
      <c r="DV329" s="752">
        <f>INPUT!FU277</f>
        <v>-4.2111800067825556</v>
      </c>
      <c r="DW329" s="793">
        <f>INPUT!FV277</f>
        <v>-30.812678830218136</v>
      </c>
      <c r="DX329" s="752" t="str">
        <f>INPUT!FW277</f>
        <v>NM</v>
      </c>
      <c r="DY329" s="793">
        <f>INPUT!FX277</f>
        <v>3.5070177387697599</v>
      </c>
      <c r="DZ329" s="752" t="str">
        <f>INPUT!FY277</f>
        <v>NM</v>
      </c>
      <c r="EA329" s="793">
        <f>INPUT!FZ277</f>
        <v>3.9994036303999301</v>
      </c>
      <c r="EB329" s="752">
        <f>INPUT!GA277</f>
        <v>14.040017140115646</v>
      </c>
      <c r="EC329" s="793">
        <f>INPUT!GB277</f>
        <v>-21.985626829917479</v>
      </c>
      <c r="ED329" s="752" t="str">
        <f>INPUT!GC277</f>
        <v>NM</v>
      </c>
      <c r="EE329" s="793">
        <f>INPUT!GD277</f>
        <v>4.5511865183996294</v>
      </c>
      <c r="EF329" s="752" t="str">
        <f>INPUT!GE277</f>
        <v>NM</v>
      </c>
      <c r="EG329" s="793">
        <f>INPUT!GF277</f>
        <v>4.9643486927854186</v>
      </c>
      <c r="EH329" s="752">
        <f>INPUT!GG277</f>
        <v>9.0781200180535038</v>
      </c>
      <c r="EI329" s="793">
        <f>INPUT!GH277</f>
        <v>4.8341786968396274</v>
      </c>
      <c r="EJ329" s="752">
        <f>INPUT!GI277</f>
        <v>-2.6220961499937467</v>
      </c>
      <c r="EK329" s="793">
        <f>INPUT!GJ277</f>
        <v>4.638837611865319</v>
      </c>
      <c r="EL329" s="752">
        <f>INPUT!GK277</f>
        <v>-4.0408329361513617</v>
      </c>
      <c r="EM329" s="793">
        <f>INPUT!GL277</f>
        <v>4.6675941690444294</v>
      </c>
      <c r="EN329" s="752">
        <f>INPUT!GM277</f>
        <v>0.61990868370895846</v>
      </c>
      <c r="EO329" s="793">
        <f>INPUT!GN277</f>
        <v>4.6966283534892002</v>
      </c>
      <c r="EP329" s="752">
        <f>INPUT!GO277</f>
        <v>0.62203746498197265</v>
      </c>
      <c r="EQ329" s="793">
        <f>INPUT!GP277</f>
        <v>4.7259426558246531</v>
      </c>
      <c r="ER329" s="752">
        <f>INPUT!GQ277</f>
        <v>0.62415631234000735</v>
      </c>
      <c r="ES329" s="793">
        <f>INPUT!GR277</f>
        <v>4.7555395852142333</v>
      </c>
      <c r="ET329" s="752">
        <f>INPUT!GS277</f>
        <v>0.62626509767531591</v>
      </c>
      <c r="EU329" s="756">
        <f>INPUT!GT277</f>
        <v>-0.32748422207825589</v>
      </c>
      <c r="EV329" s="710"/>
    </row>
    <row r="330" spans="1:152" ht="12.75" hidden="1" customHeight="1" outlineLevel="1" x14ac:dyDescent="0.2">
      <c r="A330" s="754"/>
      <c r="B330" s="793"/>
      <c r="C330" s="756"/>
      <c r="D330" s="793"/>
      <c r="E330" s="756"/>
      <c r="F330" s="793"/>
      <c r="G330" s="756"/>
      <c r="H330" s="793"/>
      <c r="I330" s="752"/>
      <c r="J330" s="793"/>
      <c r="K330" s="752"/>
      <c r="L330" s="793"/>
      <c r="M330" s="752"/>
      <c r="N330" s="793"/>
      <c r="O330" s="752"/>
      <c r="P330" s="793"/>
      <c r="Q330" s="752"/>
      <c r="R330" s="793"/>
      <c r="S330" s="752"/>
      <c r="T330" s="793"/>
      <c r="U330" s="752"/>
      <c r="V330" s="793"/>
      <c r="W330" s="752"/>
      <c r="X330" s="793"/>
      <c r="Y330" s="752"/>
      <c r="Z330" s="793"/>
      <c r="AA330" s="752"/>
      <c r="AB330" s="793"/>
      <c r="AC330" s="752"/>
      <c r="AD330" s="793"/>
      <c r="AE330" s="752"/>
      <c r="AF330" s="793"/>
      <c r="AG330" s="752"/>
      <c r="AH330" s="793"/>
      <c r="AI330" s="752"/>
      <c r="AJ330" s="793"/>
      <c r="AK330" s="752"/>
      <c r="AL330" s="793"/>
      <c r="AM330" s="752"/>
      <c r="AN330" s="793"/>
      <c r="AO330" s="752"/>
      <c r="AP330" s="793"/>
      <c r="AQ330" s="752"/>
      <c r="AR330" s="793"/>
      <c r="AS330" s="752"/>
      <c r="AT330" s="793"/>
      <c r="AU330" s="752"/>
      <c r="AV330" s="793"/>
      <c r="AW330" s="752"/>
      <c r="AX330" s="793"/>
      <c r="AY330" s="752"/>
      <c r="AZ330" s="793"/>
      <c r="BA330" s="752"/>
      <c r="BB330" s="793"/>
      <c r="BC330" s="752"/>
      <c r="BD330" s="793"/>
      <c r="BE330" s="752"/>
      <c r="BF330" s="793"/>
      <c r="BG330" s="752"/>
      <c r="BH330" s="793"/>
      <c r="BI330" s="752"/>
      <c r="BJ330" s="793"/>
      <c r="BK330" s="752"/>
      <c r="BL330" s="793"/>
      <c r="BM330" s="752"/>
      <c r="BN330" s="793"/>
      <c r="BO330" s="752"/>
      <c r="BP330" s="793"/>
      <c r="BQ330" s="752"/>
      <c r="BR330" s="793"/>
      <c r="BS330" s="752"/>
      <c r="BT330" s="793"/>
      <c r="BU330" s="752"/>
      <c r="BV330" s="793"/>
      <c r="BW330" s="752"/>
      <c r="BX330" s="793"/>
      <c r="BY330" s="752"/>
      <c r="BZ330" s="793"/>
      <c r="CA330" s="752"/>
      <c r="CB330" s="793"/>
      <c r="CC330" s="752"/>
      <c r="CD330" s="793"/>
      <c r="CE330" s="752"/>
      <c r="CF330" s="793"/>
      <c r="CG330" s="752"/>
      <c r="CH330" s="793"/>
      <c r="CI330" s="752"/>
      <c r="CJ330" s="793"/>
      <c r="CK330" s="752"/>
      <c r="CL330" s="793"/>
      <c r="CM330" s="752"/>
      <c r="CN330" s="793"/>
      <c r="CO330" s="752"/>
      <c r="CP330" s="793"/>
      <c r="CQ330" s="752"/>
      <c r="CR330" s="793"/>
      <c r="CS330" s="752"/>
      <c r="CT330" s="793"/>
      <c r="CU330" s="752"/>
      <c r="CV330" s="793"/>
      <c r="CW330" s="752"/>
      <c r="CX330" s="793"/>
      <c r="CY330" s="752"/>
      <c r="CZ330" s="793"/>
      <c r="DA330" s="752"/>
      <c r="DB330" s="753"/>
      <c r="DC330" s="793"/>
      <c r="DD330" s="756"/>
      <c r="DE330" s="793"/>
      <c r="DF330" s="756"/>
      <c r="DG330" s="793"/>
      <c r="DH330" s="756"/>
      <c r="DI330" s="793"/>
      <c r="DJ330" s="756"/>
      <c r="DK330" s="793"/>
      <c r="DL330" s="752"/>
      <c r="DM330" s="793"/>
      <c r="DN330" s="752"/>
      <c r="DO330" s="793"/>
      <c r="DP330" s="752"/>
      <c r="DQ330" s="793"/>
      <c r="DR330" s="752"/>
      <c r="DS330" s="793"/>
      <c r="DT330" s="752"/>
      <c r="DU330" s="793"/>
      <c r="DV330" s="752"/>
      <c r="DW330" s="793"/>
      <c r="DX330" s="752"/>
      <c r="DY330" s="793"/>
      <c r="DZ330" s="752"/>
      <c r="EA330" s="793"/>
      <c r="EB330" s="752"/>
      <c r="EC330" s="793"/>
      <c r="ED330" s="752"/>
      <c r="EE330" s="793"/>
      <c r="EF330" s="752"/>
      <c r="EG330" s="793"/>
      <c r="EH330" s="752"/>
      <c r="EI330" s="793"/>
      <c r="EJ330" s="752"/>
      <c r="EK330" s="793"/>
      <c r="EL330" s="752"/>
      <c r="EM330" s="793"/>
      <c r="EN330" s="752"/>
      <c r="EO330" s="793"/>
      <c r="EP330" s="752"/>
      <c r="EQ330" s="793"/>
      <c r="ER330" s="752"/>
      <c r="ES330" s="793"/>
      <c r="ET330" s="752"/>
      <c r="EU330" s="756"/>
      <c r="EV330" s="710"/>
    </row>
    <row r="331" spans="1:152" ht="12.75" hidden="1" customHeight="1" outlineLevel="1" x14ac:dyDescent="0.2">
      <c r="A331" s="749" t="s">
        <v>438</v>
      </c>
      <c r="B331" s="793"/>
      <c r="C331" s="756"/>
      <c r="D331" s="793"/>
      <c r="E331" s="756"/>
      <c r="F331" s="793"/>
      <c r="G331" s="756"/>
      <c r="H331" s="793"/>
      <c r="I331" s="752"/>
      <c r="J331" s="793"/>
      <c r="K331" s="752"/>
      <c r="L331" s="793"/>
      <c r="M331" s="752"/>
      <c r="N331" s="793"/>
      <c r="O331" s="752"/>
      <c r="P331" s="793"/>
      <c r="Q331" s="752"/>
      <c r="R331" s="793"/>
      <c r="S331" s="752"/>
      <c r="T331" s="793"/>
      <c r="U331" s="752"/>
      <c r="V331" s="793"/>
      <c r="W331" s="752"/>
      <c r="X331" s="793"/>
      <c r="Y331" s="752"/>
      <c r="Z331" s="793"/>
      <c r="AA331" s="752"/>
      <c r="AB331" s="793"/>
      <c r="AC331" s="752"/>
      <c r="AD331" s="793"/>
      <c r="AE331" s="752"/>
      <c r="AF331" s="793"/>
      <c r="AG331" s="752"/>
      <c r="AH331" s="793"/>
      <c r="AI331" s="752"/>
      <c r="AJ331" s="793"/>
      <c r="AK331" s="752"/>
      <c r="AL331" s="793"/>
      <c r="AM331" s="752"/>
      <c r="AN331" s="793"/>
      <c r="AO331" s="752"/>
      <c r="AP331" s="793"/>
      <c r="AQ331" s="752"/>
      <c r="AR331" s="793"/>
      <c r="AS331" s="752"/>
      <c r="AT331" s="793"/>
      <c r="AU331" s="752"/>
      <c r="AV331" s="793"/>
      <c r="AW331" s="752"/>
      <c r="AX331" s="793"/>
      <c r="AY331" s="752"/>
      <c r="AZ331" s="793"/>
      <c r="BA331" s="752"/>
      <c r="BB331" s="793"/>
      <c r="BC331" s="752"/>
      <c r="BD331" s="793"/>
      <c r="BE331" s="752"/>
      <c r="BF331" s="793"/>
      <c r="BG331" s="752"/>
      <c r="BH331" s="793"/>
      <c r="BI331" s="752"/>
      <c r="BJ331" s="793"/>
      <c r="BK331" s="752"/>
      <c r="BL331" s="793"/>
      <c r="BM331" s="752"/>
      <c r="BN331" s="793"/>
      <c r="BO331" s="752"/>
      <c r="BP331" s="793"/>
      <c r="BQ331" s="752"/>
      <c r="BR331" s="793"/>
      <c r="BS331" s="752"/>
      <c r="BT331" s="793"/>
      <c r="BU331" s="752"/>
      <c r="BV331" s="793"/>
      <c r="BW331" s="752"/>
      <c r="BX331" s="793"/>
      <c r="BY331" s="752"/>
      <c r="BZ331" s="793"/>
      <c r="CA331" s="752"/>
      <c r="CB331" s="793"/>
      <c r="CC331" s="752"/>
      <c r="CD331" s="793"/>
      <c r="CE331" s="752"/>
      <c r="CF331" s="793"/>
      <c r="CG331" s="752"/>
      <c r="CH331" s="793"/>
      <c r="CI331" s="752"/>
      <c r="CJ331" s="793"/>
      <c r="CK331" s="752"/>
      <c r="CL331" s="793"/>
      <c r="CM331" s="752"/>
      <c r="CN331" s="793"/>
      <c r="CO331" s="752"/>
      <c r="CP331" s="793"/>
      <c r="CQ331" s="752"/>
      <c r="CR331" s="793"/>
      <c r="CS331" s="752"/>
      <c r="CT331" s="793"/>
      <c r="CU331" s="752"/>
      <c r="CV331" s="793"/>
      <c r="CW331" s="752"/>
      <c r="CX331" s="793"/>
      <c r="CY331" s="752"/>
      <c r="CZ331" s="793"/>
      <c r="DA331" s="752"/>
      <c r="DB331" s="753"/>
      <c r="DC331" s="793"/>
      <c r="DD331" s="756"/>
      <c r="DE331" s="793"/>
      <c r="DF331" s="756"/>
      <c r="DG331" s="793"/>
      <c r="DH331" s="756"/>
      <c r="DI331" s="793"/>
      <c r="DJ331" s="756"/>
      <c r="DK331" s="793"/>
      <c r="DL331" s="752"/>
      <c r="DM331" s="793"/>
      <c r="DN331" s="752"/>
      <c r="DO331" s="793"/>
      <c r="DP331" s="752"/>
      <c r="DQ331" s="793"/>
      <c r="DR331" s="752"/>
      <c r="DS331" s="793"/>
      <c r="DT331" s="752"/>
      <c r="DU331" s="793"/>
      <c r="DV331" s="752"/>
      <c r="DW331" s="793"/>
      <c r="DX331" s="752"/>
      <c r="DY331" s="793"/>
      <c r="DZ331" s="752"/>
      <c r="EA331" s="793"/>
      <c r="EB331" s="752"/>
      <c r="EC331" s="793"/>
      <c r="ED331" s="752"/>
      <c r="EE331" s="793"/>
      <c r="EF331" s="752"/>
      <c r="EG331" s="793"/>
      <c r="EH331" s="752"/>
      <c r="EI331" s="793"/>
      <c r="EJ331" s="752"/>
      <c r="EK331" s="793"/>
      <c r="EL331" s="752"/>
      <c r="EM331" s="793"/>
      <c r="EN331" s="752"/>
      <c r="EO331" s="793"/>
      <c r="EP331" s="752"/>
      <c r="EQ331" s="793"/>
      <c r="ER331" s="752"/>
      <c r="ES331" s="793"/>
      <c r="ET331" s="752"/>
      <c r="EU331" s="756"/>
      <c r="EV331" s="710"/>
    </row>
    <row r="332" spans="1:152" ht="12.75" hidden="1" customHeight="1" outlineLevel="1" x14ac:dyDescent="0.2">
      <c r="A332" s="754" t="str">
        <f>+INPUT!B270</f>
        <v>Total</v>
      </c>
      <c r="B332" s="750">
        <f>INPUT!AS270</f>
        <v>153.94833948339485</v>
      </c>
      <c r="C332" s="756">
        <f>INPUT!AT270</f>
        <v>0.28397888285747186</v>
      </c>
      <c r="D332" s="750">
        <f>INPUT!AU270</f>
        <v>157.07797123391373</v>
      </c>
      <c r="E332" s="756">
        <f>INPUT!AV270</f>
        <v>2.6607290939222761</v>
      </c>
      <c r="F332" s="750">
        <f>INPUT!AW270</f>
        <v>158.49495733126454</v>
      </c>
      <c r="G332" s="756">
        <f>INPUT!AX270</f>
        <v>4.2868480422318056</v>
      </c>
      <c r="H332" s="750">
        <f>INPUT!AY270</f>
        <v>156.30096367679761</v>
      </c>
      <c r="I332" s="752">
        <f>INPUT!AZ270</f>
        <v>3.8412444218115516</v>
      </c>
      <c r="J332" s="750">
        <f>INPUT!BA270</f>
        <v>160.87990487514864</v>
      </c>
      <c r="K332" s="752">
        <f>INPUT!BB270</f>
        <v>4.5025268963693188</v>
      </c>
      <c r="L332" s="750">
        <f>INPUT!BC270</f>
        <v>160.90617481956698</v>
      </c>
      <c r="M332" s="752">
        <f>INPUT!BD270</f>
        <v>2.4371358730833403</v>
      </c>
      <c r="N332" s="750">
        <f>INPUT!BE270</f>
        <v>162.34375</v>
      </c>
      <c r="O332" s="752">
        <f>INPUT!BF270</f>
        <v>2.4283376162506087</v>
      </c>
      <c r="P332" s="750">
        <f>INPUT!BG270</f>
        <v>160.5471847739889</v>
      </c>
      <c r="Q332" s="752">
        <f>INPUT!BH270</f>
        <v>2.716695404368541</v>
      </c>
      <c r="R332" s="750">
        <f>INPUT!BI270</f>
        <v>162.54194630872482</v>
      </c>
      <c r="S332" s="752">
        <f>INPUT!BJ270</f>
        <v>1.0330944904934025</v>
      </c>
      <c r="T332" s="750">
        <f>INPUT!BK270</f>
        <v>162.35244519392919</v>
      </c>
      <c r="U332" s="752">
        <f>INPUT!BL270</f>
        <v>0.8988283861598223</v>
      </c>
      <c r="V332" s="750">
        <f>INPUT!BM270</f>
        <v>161.7684210526316</v>
      </c>
      <c r="W332" s="752">
        <f>INPUT!BN270</f>
        <v>-0.35438934197861149</v>
      </c>
      <c r="X332" s="750">
        <f>INPUT!BO270</f>
        <v>162.20735785953178</v>
      </c>
      <c r="Y332" s="752">
        <f>INPUT!BP270</f>
        <v>1.0340717514791598</v>
      </c>
      <c r="Z332" s="750">
        <f>INPUT!BQ270</f>
        <v>163.85017421602788</v>
      </c>
      <c r="AA332" s="752">
        <f>INPUT!BR270</f>
        <v>0.80485556929303925</v>
      </c>
      <c r="AB332" s="750">
        <f>INPUT!BS270</f>
        <v>165.04385964912279</v>
      </c>
      <c r="AC332" s="752">
        <f>INPUT!BT270</f>
        <v>1.6577603447725853</v>
      </c>
      <c r="AD332" s="750">
        <f>INPUT!BU270</f>
        <v>166.90744920993228</v>
      </c>
      <c r="AE332" s="752">
        <f>INPUT!BV270</f>
        <v>3.1767808104084194</v>
      </c>
      <c r="AF332" s="750">
        <f>INPUT!BW270</f>
        <v>167.4567000911577</v>
      </c>
      <c r="AG332" s="752">
        <f>INPUT!BX270</f>
        <v>3.2361924273322629</v>
      </c>
      <c r="AH332" s="750">
        <f>INPUT!BY270</f>
        <v>153.5577449370553</v>
      </c>
      <c r="AI332" s="752">
        <f>INPUT!BZ270</f>
        <v>-6.2816102138546048</v>
      </c>
      <c r="AJ332" s="750">
        <f>INPUT!CA270</f>
        <v>155.30093870789619</v>
      </c>
      <c r="AK332" s="752">
        <f>INPUT!CB270</f>
        <v>-5.9032313967570138</v>
      </c>
      <c r="AL332" s="750">
        <f>INPUT!CC270</f>
        <v>157.4937203460787</v>
      </c>
      <c r="AM332" s="752">
        <f>INPUT!CD270</f>
        <v>-5.6400891083136839</v>
      </c>
      <c r="AN332" s="750">
        <f>INPUT!CE270</f>
        <v>157.03683342495876</v>
      </c>
      <c r="AO332" s="752">
        <f>INPUT!CF270</f>
        <v>-6.222424459891263</v>
      </c>
      <c r="AP332" s="750">
        <f>INPUT!CG270</f>
        <v>159.31483578708949</v>
      </c>
      <c r="AQ332" s="752">
        <f>INPUT!CH270</f>
        <v>3.7491374026064728</v>
      </c>
      <c r="AR332" s="750">
        <f>INPUT!CI270</f>
        <v>160.99597006332758</v>
      </c>
      <c r="AS332" s="752">
        <f>INPUT!CJ270</f>
        <v>3.6670939678884462</v>
      </c>
      <c r="AT332" s="750">
        <f>INPUT!CK270</f>
        <v>162.80207134637513</v>
      </c>
      <c r="AU332" s="752">
        <f>INPUT!CL270</f>
        <v>3.3705159727205558</v>
      </c>
      <c r="AV332" s="750">
        <f>INPUT!CM270</f>
        <v>381.70556035724576</v>
      </c>
      <c r="AW332" s="752" t="str">
        <f>INPUT!CN270</f>
        <v>NM</v>
      </c>
      <c r="AX332" s="750">
        <f>INPUT!CO270</f>
        <v>168.76640419947509</v>
      </c>
      <c r="AY332" s="752">
        <f>INPUT!CP270</f>
        <v>5.9326354420732086</v>
      </c>
      <c r="AZ332" s="750">
        <f>INPUT!CQ270</f>
        <v>167.91240875912411</v>
      </c>
      <c r="BA332" s="752">
        <f>INPUT!CR270</f>
        <v>4.296032188306298</v>
      </c>
      <c r="BB332" s="750">
        <f>INPUT!CS270</f>
        <v>169.29133858267718</v>
      </c>
      <c r="BC332" s="752">
        <f>INPUT!CT270</f>
        <v>3.9859856712115116</v>
      </c>
      <c r="BD332" s="750">
        <f>INPUT!CU270</f>
        <v>169.666861484512</v>
      </c>
      <c r="BE332" s="752" t="str">
        <f>INPUT!CV270</f>
        <v>NM</v>
      </c>
      <c r="BF332" s="750">
        <f>INPUT!CW270</f>
        <v>170.23214810461354</v>
      </c>
      <c r="BG332" s="752">
        <f>INPUT!CX270</f>
        <v>0.86850455343352451</v>
      </c>
      <c r="BH332" s="750">
        <f>INPUT!CY270</f>
        <v>173.66180048661798</v>
      </c>
      <c r="BI332" s="752">
        <f>INPUT!CZ270</f>
        <v>3.4240421955601619</v>
      </c>
      <c r="BJ332" s="750">
        <f>INPUT!DA270</f>
        <v>174.90039840637451</v>
      </c>
      <c r="BK332" s="752">
        <f>INPUT!DB270</f>
        <v>3.3132585935328418</v>
      </c>
      <c r="BL332" s="750">
        <f>INPUT!DC270</f>
        <v>176.87074829931976</v>
      </c>
      <c r="BM332" s="752">
        <f>INPUT!DD270</f>
        <v>4.2459009094509392</v>
      </c>
      <c r="BN332" s="750">
        <f>INPUT!DE270</f>
        <v>174.77194086190627</v>
      </c>
      <c r="BO332" s="752">
        <f>INPUT!DF270</f>
        <v>2.6668245732896834</v>
      </c>
      <c r="BP332" s="750">
        <f>INPUT!DG270</f>
        <v>177.72135829895271</v>
      </c>
      <c r="BQ332" s="752">
        <f>INPUT!DH270</f>
        <v>2.3376227823041384</v>
      </c>
      <c r="BR332" s="750">
        <f>INPUT!DI270</f>
        <v>178.97599999999997</v>
      </c>
      <c r="BS332" s="752">
        <f>INPUT!DJ270</f>
        <v>2.3302414578587616</v>
      </c>
      <c r="BT332" s="750">
        <f>INPUT!DK270</f>
        <v>403.79299260687878</v>
      </c>
      <c r="BU332" s="752" t="str">
        <f>INPUT!DL270</f>
        <v>NM</v>
      </c>
      <c r="BV332" s="750">
        <f>INPUT!DM270</f>
        <v>181.27254837651691</v>
      </c>
      <c r="BW332" s="752">
        <f>INPUT!DN270</f>
        <v>3.7194800736046085</v>
      </c>
      <c r="BX332" s="750">
        <f>INPUT!DO270</f>
        <v>182.54125412541256</v>
      </c>
      <c r="BY332" s="752">
        <f>INPUT!DP270</f>
        <v>2.7120520980669749</v>
      </c>
      <c r="BZ332" s="750">
        <f>INPUT!DQ270</f>
        <v>184.46730833056753</v>
      </c>
      <c r="CA332" s="752">
        <f>INPUT!DR270</f>
        <v>3.0681813933530533</v>
      </c>
      <c r="CB332" s="750">
        <f>INPUT!DS270</f>
        <v>189.91286863270778</v>
      </c>
      <c r="CC332" s="752" t="str">
        <f>INPUT!DT270</f>
        <v>NM</v>
      </c>
      <c r="CD332" s="750">
        <f>INPUT!DU270</f>
        <v>187.35204599256002</v>
      </c>
      <c r="CE332" s="752">
        <f>INPUT!DV270</f>
        <v>3.3537883537751778</v>
      </c>
      <c r="CF332" s="750">
        <f>INPUT!DW270</f>
        <v>191.93103448275863</v>
      </c>
      <c r="CG332" s="752">
        <f>INPUT!DX270</f>
        <v>5.1439223436555048</v>
      </c>
      <c r="CH332" s="750">
        <f>INPUT!DY270</f>
        <v>189.96587030716725</v>
      </c>
      <c r="CI332" s="752">
        <f>INPUT!DZ270</f>
        <v>2.9807785598227721</v>
      </c>
      <c r="CJ332" s="750">
        <f>INPUT!EA270</f>
        <v>190.77819677751114</v>
      </c>
      <c r="CK332" s="752">
        <f>INPUT!EB270</f>
        <v>0.45564481808597623</v>
      </c>
      <c r="CL332" s="750">
        <f>INPUT!EC270</f>
        <v>191.25130707563613</v>
      </c>
      <c r="CM332" s="752">
        <f>INPUT!ED270</f>
        <v>2.0812481990353904</v>
      </c>
      <c r="CN332" s="750">
        <f>INPUT!EE270</f>
        <v>194.59843638948121</v>
      </c>
      <c r="CO332" s="752">
        <f>INPUT!EF270</f>
        <v>1.3897710257807061</v>
      </c>
      <c r="CP332" s="750">
        <f>INPUT!EG270</f>
        <v>194.83185840707964</v>
      </c>
      <c r="CQ332" s="752">
        <f>INPUT!EH270</f>
        <v>2.5615064916894248</v>
      </c>
      <c r="CR332" s="750">
        <f>INPUT!EI270</f>
        <v>195.79741379310346</v>
      </c>
      <c r="CS332" s="752">
        <f>INPUT!EJ270</f>
        <v>2.6309175264120022</v>
      </c>
      <c r="CT332" s="750">
        <f>INPUT!EK270</f>
        <v>196.99741379310345</v>
      </c>
      <c r="CU332" s="752">
        <f>INPUT!EL270</f>
        <v>3.0044797106640653</v>
      </c>
      <c r="CV332" s="750">
        <f>INPUT!EM270</f>
        <v>196.99741379310345</v>
      </c>
      <c r="CW332" s="752">
        <f>INPUT!EN270</f>
        <v>1.2327834941185056</v>
      </c>
      <c r="CX332" s="750">
        <f>INPUT!EO270</f>
        <v>196.99741379310345</v>
      </c>
      <c r="CY332" s="752">
        <f>INPUT!EP270</f>
        <v>1.1114996303628777</v>
      </c>
      <c r="CZ332" s="750">
        <f>INPUT!EQ270</f>
        <v>196.99741379310345</v>
      </c>
      <c r="DA332" s="752">
        <f>INPUT!ER270</f>
        <v>0.61287837094110564</v>
      </c>
      <c r="DB332" s="793"/>
      <c r="DC332" s="750">
        <f>INPUT!FB270</f>
        <v>0</v>
      </c>
      <c r="DD332" s="756">
        <f>INPUT!FC270</f>
        <v>0</v>
      </c>
      <c r="DE332" s="750">
        <f>INPUT!FD270</f>
        <v>139.58239175630479</v>
      </c>
      <c r="DF332" s="756" t="str">
        <f>INPUT!FE270</f>
        <v>NA</v>
      </c>
      <c r="DG332" s="750">
        <f>INPUT!FF270</f>
        <v>149.11035488575595</v>
      </c>
      <c r="DH332" s="756">
        <f>INPUT!FG270</f>
        <v>6.8260494820048034</v>
      </c>
      <c r="DI332" s="750">
        <f>INPUT!FH270</f>
        <v>164.08878978309346</v>
      </c>
      <c r="DJ332" s="756">
        <f>INPUT!FI270</f>
        <v>10.045201024981498</v>
      </c>
      <c r="DK332" s="750">
        <f>INPUT!FJ270</f>
        <v>152.1794998517347</v>
      </c>
      <c r="DL332" s="752">
        <f>INPUT!FK270</f>
        <v>-7.2578327545114281</v>
      </c>
      <c r="DM332" s="750">
        <f>INPUT!FL270</f>
        <v>156.42642077531053</v>
      </c>
      <c r="DN332" s="752">
        <f>INPUT!FM270</f>
        <v>2.7907312927914152</v>
      </c>
      <c r="DO332" s="750">
        <f>INPUT!FN270</f>
        <v>161.17437370036637</v>
      </c>
      <c r="DP332" s="752">
        <f>INPUT!FO270</f>
        <v>3.0352627781951025</v>
      </c>
      <c r="DQ332" s="750">
        <f>INPUT!FP270</f>
        <v>162.21778851202353</v>
      </c>
      <c r="DR332" s="752">
        <f>INPUT!FQ270</f>
        <v>0.64738257559289192</v>
      </c>
      <c r="DS332" s="750">
        <f>INPUT!FR270</f>
        <v>150.09693161307572</v>
      </c>
      <c r="DT332" s="752">
        <f>INPUT!FS270</f>
        <v>-7.471965319049712</v>
      </c>
      <c r="DU332" s="750">
        <f>INPUT!FT270</f>
        <v>155.83913913223427</v>
      </c>
      <c r="DV332" s="752">
        <f>INPUT!FU270</f>
        <v>3.8256661594928243</v>
      </c>
      <c r="DW332" s="750">
        <f>INPUT!FV270</f>
        <v>215.92489070450807</v>
      </c>
      <c r="DX332" s="752">
        <f>INPUT!FW270</f>
        <v>38.556265073621333</v>
      </c>
      <c r="DY332" s="750">
        <f>INPUT!FX270</f>
        <v>168.90915724188253</v>
      </c>
      <c r="DZ332" s="752">
        <f>INPUT!FY270</f>
        <v>-21.774114743893193</v>
      </c>
      <c r="EA332" s="750">
        <f>INPUT!FZ270</f>
        <v>173.8701850166818</v>
      </c>
      <c r="EB332" s="752">
        <f>INPUT!GA270</f>
        <v>2.9370981750237224</v>
      </c>
      <c r="EC332" s="750">
        <f>INPUT!GB270</f>
        <v>233.25640617539395</v>
      </c>
      <c r="ED332" s="752">
        <f>INPUT!GC270</f>
        <v>34.155494314919132</v>
      </c>
      <c r="EE332" s="750">
        <f>INPUT!GD270</f>
        <v>184.52302086783706</v>
      </c>
      <c r="EF332" s="752">
        <f>INPUT!GE270</f>
        <v>-20.892624604235944</v>
      </c>
      <c r="EG332" s="750">
        <f>INPUT!GF270</f>
        <v>189.99487354750511</v>
      </c>
      <c r="EH332" s="752">
        <f>INPUT!GG270</f>
        <v>2.9654038037818742</v>
      </c>
      <c r="EI332" s="750">
        <f>INPUT!GH270</f>
        <v>194.10201912858668</v>
      </c>
      <c r="EJ332" s="752">
        <f>INPUT!GI270</f>
        <v>2.1617138949039383</v>
      </c>
      <c r="EK332" s="750">
        <f>INPUT!GJ270</f>
        <v>196.99741379310345</v>
      </c>
      <c r="EL332" s="752">
        <f>INPUT!GK270</f>
        <v>1.4916870404107829</v>
      </c>
      <c r="EM332" s="750">
        <f>INPUT!GL270</f>
        <v>196.99741379310345</v>
      </c>
      <c r="EN332" s="752">
        <f>INPUT!GM270</f>
        <v>0</v>
      </c>
      <c r="EO332" s="750">
        <f>INPUT!GN270</f>
        <v>196.99741379310345</v>
      </c>
      <c r="EP332" s="752">
        <f>INPUT!GO270</f>
        <v>0</v>
      </c>
      <c r="EQ332" s="750">
        <f>INPUT!GP270</f>
        <v>196.99741379310345</v>
      </c>
      <c r="ER332" s="752">
        <f>INPUT!GQ270</f>
        <v>0</v>
      </c>
      <c r="ES332" s="750">
        <f>INPUT!GR270</f>
        <v>196.99741379310345</v>
      </c>
      <c r="ET332" s="752">
        <f>INPUT!GS270</f>
        <v>0</v>
      </c>
      <c r="EU332" s="756">
        <f>INPUT!GT270</f>
        <v>0.29657307155426249</v>
      </c>
      <c r="EV332" s="710"/>
    </row>
    <row r="333" spans="1:152" ht="12.75" hidden="1" customHeight="1" outlineLevel="1" x14ac:dyDescent="0.2">
      <c r="A333" s="754" t="str">
        <f>+INPUT!B272</f>
        <v>Commissions/Premiums (%)</v>
      </c>
      <c r="B333" s="793">
        <f>INPUT!AS272</f>
        <v>7.5645756457564577</v>
      </c>
      <c r="C333" s="756">
        <f>INPUT!AT272</f>
        <v>-1.0471726338884935</v>
      </c>
      <c r="D333" s="793">
        <f>INPUT!AU272</f>
        <v>7.1536714610143823</v>
      </c>
      <c r="E333" s="756">
        <f>INPUT!AV272</f>
        <v>-2.6096657237340337</v>
      </c>
      <c r="F333" s="793">
        <f>INPUT!AW272</f>
        <v>7.0985259891388663</v>
      </c>
      <c r="G333" s="756">
        <f>INPUT!AX272</f>
        <v>-3.7589318525172444</v>
      </c>
      <c r="H333" s="793">
        <f>INPUT!AY272</f>
        <v>6.8569310600444773</v>
      </c>
      <c r="I333" s="752">
        <f>INPUT!AZ272</f>
        <v>-5.6580864497328687</v>
      </c>
      <c r="J333" s="750">
        <f>INPUT!BA272</f>
        <v>7.1343638525564801</v>
      </c>
      <c r="K333" s="752">
        <f>INPUT!BB272</f>
        <v>-5.6871900466923915</v>
      </c>
      <c r="L333" s="750">
        <f>INPUT!BC272</f>
        <v>6.696070569366479</v>
      </c>
      <c r="M333" s="752">
        <f>INPUT!BD272</f>
        <v>-6.3967278081151324</v>
      </c>
      <c r="N333" s="750">
        <f>INPUT!BE272</f>
        <v>6.953125</v>
      </c>
      <c r="O333" s="752">
        <f>INPUT!BF272</f>
        <v>-2.0483265027322228</v>
      </c>
      <c r="P333" s="750">
        <f>INPUT!BG272</f>
        <v>6.5820777160983353</v>
      </c>
      <c r="Q333" s="752">
        <f>INPUT!BH272</f>
        <v>-4.0084017403604904</v>
      </c>
      <c r="R333" s="793">
        <f>INPUT!BI272</f>
        <v>6.7533557046979871</v>
      </c>
      <c r="S333" s="752">
        <f>INPUT!BJ272</f>
        <v>-5.3404642058165415</v>
      </c>
      <c r="T333" s="793">
        <f>INPUT!BK272</f>
        <v>6.4080944350758857</v>
      </c>
      <c r="U333" s="752">
        <f>INPUT!BL272</f>
        <v>-4.300673526471499</v>
      </c>
      <c r="V333" s="793">
        <f>INPUT!BM272</f>
        <v>6.5684210526315789</v>
      </c>
      <c r="W333" s="752">
        <f>INPUT!BN272</f>
        <v>-5.5328208160851595</v>
      </c>
      <c r="X333" s="793">
        <f>INPUT!BO272</f>
        <v>6.6053511705685626</v>
      </c>
      <c r="Y333" s="752">
        <f>INPUT!BP272</f>
        <v>0.35358826610791816</v>
      </c>
      <c r="Z333" s="793">
        <f>INPUT!BQ272</f>
        <v>6.6637630662020912</v>
      </c>
      <c r="AA333" s="752">
        <f>INPUT!BR272</f>
        <v>-1.3266388209578595</v>
      </c>
      <c r="AB333" s="793">
        <f>INPUT!BS272</f>
        <v>6.4912280701754392</v>
      </c>
      <c r="AC333" s="752">
        <f>INPUT!BT272</f>
        <v>1.297322253000921</v>
      </c>
      <c r="AD333" s="793">
        <f>INPUT!BU272</f>
        <v>6.4108352144469531</v>
      </c>
      <c r="AE333" s="752">
        <f>INPUT!BV272</f>
        <v>-2.3991433697979847</v>
      </c>
      <c r="AF333" s="793">
        <f>INPUT!BW272</f>
        <v>6.2898814949863269</v>
      </c>
      <c r="AG333" s="752">
        <f>INPUT!BX272</f>
        <v>-4.775971291093084</v>
      </c>
      <c r="AH333" s="793">
        <f>INPUT!BY272</f>
        <v>8.2101806239737289</v>
      </c>
      <c r="AI333" s="752">
        <f>INPUT!BZ272</f>
        <v>23.206370670873721</v>
      </c>
      <c r="AJ333" s="793">
        <f>INPUT!CA272</f>
        <v>8.0618442849254546</v>
      </c>
      <c r="AK333" s="752">
        <f>INPUT!CB272</f>
        <v>24.195979524527257</v>
      </c>
      <c r="AL333" s="793">
        <f>INPUT!CC272</f>
        <v>8.233324030142338</v>
      </c>
      <c r="AM333" s="752">
        <f>INPUT!CD272</f>
        <v>28.428258639192094</v>
      </c>
      <c r="AN333" s="793">
        <f>INPUT!CE272</f>
        <v>8.0813633864760863</v>
      </c>
      <c r="AO333" s="752">
        <f>INPUT!CF272</f>
        <v>28.481965724119807</v>
      </c>
      <c r="AP333" s="793">
        <f>INPUT!CG272</f>
        <v>8.2672706681766712</v>
      </c>
      <c r="AQ333" s="752">
        <f>INPUT!CH272</f>
        <v>0.69535673839182799</v>
      </c>
      <c r="AR333" s="793">
        <f>INPUT!CI272</f>
        <v>8.0023028209556717</v>
      </c>
      <c r="AS333" s="752">
        <f>INPUT!CJ272</f>
        <v>-0.73855884417313167</v>
      </c>
      <c r="AT333" s="793">
        <f>INPUT!CK272</f>
        <v>8.112773302646719</v>
      </c>
      <c r="AU333" s="752">
        <f>INPUT!CL272</f>
        <v>-1.4641805309044131</v>
      </c>
      <c r="AV333" s="793">
        <f>INPUT!CM272</f>
        <v>8.1820800921924501</v>
      </c>
      <c r="AW333" s="752">
        <f>INPUT!CN272</f>
        <v>1.2462835897827595</v>
      </c>
      <c r="AX333" s="793">
        <f>INPUT!CO272</f>
        <v>8.3114610673665794</v>
      </c>
      <c r="AY333" s="752">
        <f>INPUT!CP272</f>
        <v>0.5345222258176463</v>
      </c>
      <c r="AZ333" s="793">
        <f>INPUT!CQ272</f>
        <v>8.1167883211678831</v>
      </c>
      <c r="BA333" s="752">
        <f>INPUT!CR272</f>
        <v>1.4306569343065512</v>
      </c>
      <c r="BB333" s="793">
        <f>INPUT!CS272</f>
        <v>8.2239720034995631</v>
      </c>
      <c r="BC333" s="752">
        <f>INPUT!CT272</f>
        <v>1.3706620005832892</v>
      </c>
      <c r="BD333" s="793">
        <f>INPUT!CU272</f>
        <v>8.2115721800116894</v>
      </c>
      <c r="BE333" s="752">
        <f>INPUT!CV272</f>
        <v>0.36044731274851305</v>
      </c>
      <c r="BF333" s="793">
        <f>INPUT!CW272</f>
        <v>8.2280340875697906</v>
      </c>
      <c r="BG333" s="752">
        <f>INPUT!CX272</f>
        <v>-1.0037582937655776</v>
      </c>
      <c r="BH333" s="793">
        <f>INPUT!CY272</f>
        <v>8.2420924574209238</v>
      </c>
      <c r="BI333" s="752">
        <f>INPUT!CZ272</f>
        <v>1.5437649880095883</v>
      </c>
      <c r="BJ333" s="793">
        <f>INPUT!DA272</f>
        <v>8.2133006435795277</v>
      </c>
      <c r="BK333" s="752">
        <f>INPUT!DB272</f>
        <v>-0.12975919562341343</v>
      </c>
      <c r="BL333" s="793">
        <f>INPUT!DC272</f>
        <v>9.8639455782312915</v>
      </c>
      <c r="BM333" s="752">
        <f>INPUT!DD272</f>
        <v>20.122497397535511</v>
      </c>
      <c r="BN333" s="793">
        <f>INPUT!DE272</f>
        <v>8.2101289713746475</v>
      </c>
      <c r="BO333" s="752">
        <f>INPUT!DF272</f>
        <v>-0.21761110861454602</v>
      </c>
      <c r="BP333" s="793">
        <f>INPUT!DG272</f>
        <v>8.0609330371310683</v>
      </c>
      <c r="BQ333" s="752">
        <f>INPUT!DH272</f>
        <v>-2.1979785015241449</v>
      </c>
      <c r="BR333" s="793">
        <f>INPUT!DI272</f>
        <v>8.1920000000000002</v>
      </c>
      <c r="BS333" s="752">
        <f>INPUT!DJ272</f>
        <v>-0.25934328358208081</v>
      </c>
      <c r="BT333" s="793">
        <f>INPUT!DK272</f>
        <v>7.8431372549019596</v>
      </c>
      <c r="BU333" s="752">
        <f>INPUT!DL272</f>
        <v>-20.486815415821503</v>
      </c>
      <c r="BV333" s="793">
        <f>INPUT!DM272</f>
        <v>8.3961954739258786</v>
      </c>
      <c r="BW333" s="752">
        <f>INPUT!DN272</f>
        <v>2.26630425904355</v>
      </c>
      <c r="BX333" s="793">
        <f>INPUT!DO272</f>
        <v>7.9537953795379552</v>
      </c>
      <c r="BY333" s="752">
        <f>INPUT!DP272</f>
        <v>-1.329097476676766</v>
      </c>
      <c r="BZ333" s="793">
        <f>INPUT!DQ272</f>
        <v>8.264188516428808</v>
      </c>
      <c r="CA333" s="752">
        <f>INPUT!DR272</f>
        <v>0.88120747593760651</v>
      </c>
      <c r="CB333" s="793">
        <f>INPUT!DS272</f>
        <v>8.1099195710455767</v>
      </c>
      <c r="CC333" s="752">
        <f>INPUT!DT272</f>
        <v>3.4014745308311278</v>
      </c>
      <c r="CD333" s="793">
        <f>INPUT!DU272</f>
        <v>8.1501521812647955</v>
      </c>
      <c r="CE333" s="752">
        <f>INPUT!DV272</f>
        <v>-2.9304140598579775</v>
      </c>
      <c r="CF333" s="793">
        <f>INPUT!DW272</f>
        <v>7.9655172413793105</v>
      </c>
      <c r="CG333" s="752">
        <f>INPUT!DX272</f>
        <v>0.14737444555728008</v>
      </c>
      <c r="CH333" s="793">
        <f>INPUT!DY272</f>
        <v>8.0204778156996586</v>
      </c>
      <c r="CI333" s="752">
        <f>INPUT!DZ272</f>
        <v>-2.948997354606131</v>
      </c>
      <c r="CJ333" s="793">
        <f>INPUT!EA272</f>
        <v>7.9190949605759355</v>
      </c>
      <c r="CK333" s="752">
        <f>INPUT!EB272</f>
        <v>-2.352977841493431</v>
      </c>
      <c r="CL333" s="793">
        <f>INPUT!EC272</f>
        <v>8.0167305681422114</v>
      </c>
      <c r="CM333" s="752">
        <f>INPUT!ED272</f>
        <v>-1.6370444398484674</v>
      </c>
      <c r="CN333" s="793">
        <f>INPUT!EE272</f>
        <v>7.9601990049751246</v>
      </c>
      <c r="CO333" s="752">
        <f>INPUT!EF272</f>
        <v>-6.6765738407525976E-2</v>
      </c>
      <c r="CP333" s="793">
        <f>INPUT!EG272</f>
        <v>8.0353982300884947</v>
      </c>
      <c r="CQ333" s="752">
        <f>INPUT!EH272</f>
        <v>0.18602899642250481</v>
      </c>
      <c r="CR333" s="793">
        <f>INPUT!EI272</f>
        <v>7.8663793103448274</v>
      </c>
      <c r="CS333" s="752">
        <f>INPUT!EJ272</f>
        <v>-0.66567771309152812</v>
      </c>
      <c r="CT333" s="793">
        <f>INPUT!EK272</f>
        <v>7.966379310344827</v>
      </c>
      <c r="CU333" s="752">
        <f>INPUT!EL272</f>
        <v>-0.62807721139432893</v>
      </c>
      <c r="CV333" s="793">
        <f>INPUT!EM272</f>
        <v>7.966379310344827</v>
      </c>
      <c r="CW333" s="752">
        <f>INPUT!EN272</f>
        <v>7.7640086206898218E-2</v>
      </c>
      <c r="CX333" s="793">
        <f>INPUT!EO272</f>
        <v>7.966379310344827</v>
      </c>
      <c r="CY333" s="752">
        <f>INPUT!EP272</f>
        <v>-0.85893589548837745</v>
      </c>
      <c r="CZ333" s="793">
        <f>INPUT!EQ272</f>
        <v>7.966379310344827</v>
      </c>
      <c r="DA333" s="752">
        <f>INPUT!ER272</f>
        <v>1.2712328767123138</v>
      </c>
      <c r="DB333" s="793"/>
      <c r="DC333" s="793">
        <f>INPUT!FB272</f>
        <v>0</v>
      </c>
      <c r="DD333" s="756">
        <f>INPUT!FC272</f>
        <v>0</v>
      </c>
      <c r="DE333" s="793">
        <f>INPUT!FD272</f>
        <v>9.870740305522915</v>
      </c>
      <c r="DF333" s="756" t="str">
        <f>INPUT!FE272</f>
        <v>NA</v>
      </c>
      <c r="DG333" s="793">
        <f>INPUT!FF272</f>
        <v>8.3130772970345159</v>
      </c>
      <c r="DH333" s="756">
        <f>INPUT!FG272</f>
        <v>-15.780609764567</v>
      </c>
      <c r="DI333" s="793">
        <f>INPUT!FH272</f>
        <v>7.7336306507196433</v>
      </c>
      <c r="DJ333" s="756">
        <f>INPUT!FI272</f>
        <v>-6.9703026401736423</v>
      </c>
      <c r="DK333" s="793">
        <f>INPUT!FJ272</f>
        <v>7.4033804487496297</v>
      </c>
      <c r="DL333" s="752">
        <f>INPUT!FK272</f>
        <v>-4.2703125722623252</v>
      </c>
      <c r="DM333" s="750">
        <f>INPUT!FL272</f>
        <v>7.1697403086187439</v>
      </c>
      <c r="DN333" s="752">
        <f>INPUT!FM272</f>
        <v>-3.1558575403260014</v>
      </c>
      <c r="DO333" s="750">
        <f>INPUT!FN272</f>
        <v>6.8422616100604001</v>
      </c>
      <c r="DP333" s="752">
        <f>INPUT!FO272</f>
        <v>-4.5675112969528531</v>
      </c>
      <c r="DQ333" s="750">
        <f>INPUT!FP272</f>
        <v>6.5840596450698312</v>
      </c>
      <c r="DR333" s="752">
        <f>INPUT!FQ272</f>
        <v>-3.773634796584302</v>
      </c>
      <c r="DS333" s="793">
        <f>INPUT!FR272</f>
        <v>8.4765024400026725</v>
      </c>
      <c r="DT333" s="752">
        <f>INPUT!FS272</f>
        <v>28.742795432448887</v>
      </c>
      <c r="DU333" s="793">
        <f>INPUT!FT272</f>
        <v>8.146513071670002</v>
      </c>
      <c r="DV333" s="752">
        <f>INPUT!FU272</f>
        <v>-3.8929897167889749</v>
      </c>
      <c r="DW333" s="793">
        <f>INPUT!FV272</f>
        <v>8.1416182899734828</v>
      </c>
      <c r="DX333" s="752">
        <f>INPUT!FW272</f>
        <v>-6.0084377861502336E-2</v>
      </c>
      <c r="DY333" s="793">
        <f>INPUT!FX272</f>
        <v>8.2159795695001812</v>
      </c>
      <c r="DZ333" s="752">
        <f>INPUT!FY272</f>
        <v>0.91334765249648786</v>
      </c>
      <c r="EA333" s="793">
        <f>INPUT!FZ272</f>
        <v>8.6290567182286928</v>
      </c>
      <c r="EB333" s="752">
        <f>INPUT!GA272</f>
        <v>5.0277285287071427</v>
      </c>
      <c r="EC333" s="793">
        <f>INPUT!GB272</f>
        <v>8.0773515836383893</v>
      </c>
      <c r="ED333" s="752">
        <f>INPUT!GC272</f>
        <v>-6.3935740904893841</v>
      </c>
      <c r="EE333" s="793">
        <f>INPUT!GD272</f>
        <v>8.1815170586286854</v>
      </c>
      <c r="EF333" s="752">
        <f>INPUT!GE272</f>
        <v>1.2895993682049856</v>
      </c>
      <c r="EG333" s="793">
        <f>INPUT!GF272</f>
        <v>8.0143540669856463</v>
      </c>
      <c r="EH333" s="752">
        <f>INPUT!GG272</f>
        <v>-2.0431784282199827</v>
      </c>
      <c r="EI333" s="793">
        <f>INPUT!GH272</f>
        <v>7.9702444208289061</v>
      </c>
      <c r="EJ333" s="752">
        <f>INPUT!GI272</f>
        <v>-0.55038304756768186</v>
      </c>
      <c r="EK333" s="793">
        <f>INPUT!GJ272</f>
        <v>7.966379310344827</v>
      </c>
      <c r="EL333" s="752">
        <f>INPUT!GK272</f>
        <v>-4.849425287357656E-2</v>
      </c>
      <c r="EM333" s="793">
        <f>INPUT!GL272</f>
        <v>7.966379310344827</v>
      </c>
      <c r="EN333" s="752">
        <f>INPUT!GM272</f>
        <v>0</v>
      </c>
      <c r="EO333" s="793">
        <f>INPUT!GN272</f>
        <v>7.966379310344827</v>
      </c>
      <c r="EP333" s="752">
        <f>INPUT!GO272</f>
        <v>0</v>
      </c>
      <c r="EQ333" s="793">
        <f>INPUT!GP272</f>
        <v>7.966379310344827</v>
      </c>
      <c r="ER333" s="752">
        <f>INPUT!GQ272</f>
        <v>0</v>
      </c>
      <c r="ES333" s="793">
        <f>INPUT!GR272</f>
        <v>7.966379310344827</v>
      </c>
      <c r="ET333" s="752">
        <f>INPUT!GS272</f>
        <v>0</v>
      </c>
      <c r="EU333" s="756">
        <f>INPUT!GT272</f>
        <v>-9.7007324763587199E-3</v>
      </c>
      <c r="EV333" s="710"/>
    </row>
    <row r="334" spans="1:152" ht="12.75" hidden="1" customHeight="1" outlineLevel="1" x14ac:dyDescent="0.2">
      <c r="A334" s="754" t="str">
        <f>+INPUT!B273</f>
        <v>Other Expenses/Revenues (%)</v>
      </c>
      <c r="B334" s="793">
        <f>INPUT!AS273</f>
        <v>6.7867867867867862</v>
      </c>
      <c r="C334" s="756">
        <f>INPUT!AT273</f>
        <v>-9.5230155528663101</v>
      </c>
      <c r="D334" s="793">
        <f>INPUT!AU273</f>
        <v>6.9707229635530776</v>
      </c>
      <c r="E334" s="756">
        <f>INPUT!AV273</f>
        <v>-25.34743906102841</v>
      </c>
      <c r="F334" s="793">
        <f>INPUT!AW273</f>
        <v>7.0772996124821548</v>
      </c>
      <c r="G334" s="756">
        <f>INPUT!AX273</f>
        <v>-6.3830534593332882</v>
      </c>
      <c r="H334" s="793">
        <f>INPUT!AY273</f>
        <v>7.093322765999603</v>
      </c>
      <c r="I334" s="752">
        <f>INPUT!AZ273</f>
        <v>-2.9314815069893863</v>
      </c>
      <c r="J334" s="750">
        <f>INPUT!BA273</f>
        <v>7.4243052675238479</v>
      </c>
      <c r="K334" s="752">
        <f>INPUT!BB273</f>
        <v>9.3935245170549297</v>
      </c>
      <c r="L334" s="750">
        <f>INPUT!BC273</f>
        <v>6.5190137902214786</v>
      </c>
      <c r="M334" s="752">
        <f>INPUT!BD273</f>
        <v>-6.480090740851308</v>
      </c>
      <c r="N334" s="750">
        <f>INPUT!BE273</f>
        <v>6.9000201166767239</v>
      </c>
      <c r="O334" s="752">
        <f>INPUT!BF273</f>
        <v>-2.5049030776196801</v>
      </c>
      <c r="P334" s="750">
        <f>INPUT!BG273</f>
        <v>9.6834264432029791</v>
      </c>
      <c r="Q334" s="752">
        <f>INPUT!BH273</f>
        <v>36.514673907389493</v>
      </c>
      <c r="R334" s="793">
        <f>INPUT!BI273</f>
        <v>10.344067048963387</v>
      </c>
      <c r="S334" s="752">
        <f>INPUT!BJ273</f>
        <v>39.327070698607436</v>
      </c>
      <c r="T334" s="793">
        <f>INPUT!BK273</f>
        <v>9.8698481561822131</v>
      </c>
      <c r="U334" s="752">
        <f>INPUT!BL273</f>
        <v>51.40093998553872</v>
      </c>
      <c r="V334" s="793">
        <f>INPUT!BM273</f>
        <v>10.719041278295608</v>
      </c>
      <c r="W334" s="752">
        <f>INPUT!BN273</f>
        <v>55.347971412266681</v>
      </c>
      <c r="X334" s="793">
        <f>INPUT!BO273</f>
        <v>9.37362152624614</v>
      </c>
      <c r="Y334" s="752">
        <f>INPUT!BP273</f>
        <v>-3.1993315462658156</v>
      </c>
      <c r="Z334" s="793">
        <f>INPUT!BQ273</f>
        <v>9.0539625197561513</v>
      </c>
      <c r="AA334" s="752">
        <f>INPUT!BR273</f>
        <v>-12.471927367645218</v>
      </c>
      <c r="AB334" s="793">
        <f>INPUT!BS273</f>
        <v>9.0888485947416129</v>
      </c>
      <c r="AC334" s="752">
        <f>INPUT!BT273</f>
        <v>-7.9129845675630079</v>
      </c>
      <c r="AD334" s="793">
        <f>INPUT!BU273</f>
        <v>9.0887959088795913</v>
      </c>
      <c r="AE334" s="752">
        <f>INPUT!BV273</f>
        <v>-15.20887294945873</v>
      </c>
      <c r="AF334" s="793">
        <f>INPUT!BW273</f>
        <v>9.0695488721804516</v>
      </c>
      <c r="AG334" s="752">
        <f>INPUT!BX273</f>
        <v>-3.2439186200796</v>
      </c>
      <c r="AH334" s="793">
        <f>INPUT!BY273</f>
        <v>7.9147196261682238</v>
      </c>
      <c r="AI334" s="752">
        <f>INPUT!BZ273</f>
        <v>-12.582809914466164</v>
      </c>
      <c r="AJ334" s="793">
        <f>INPUT!CA273</f>
        <v>9.4618309447206776</v>
      </c>
      <c r="AK334" s="752">
        <f>INPUT!CB273</f>
        <v>4.1037359803182794</v>
      </c>
      <c r="AL334" s="793">
        <f>INPUT!CC273</f>
        <v>7.371842221893929</v>
      </c>
      <c r="AM334" s="752">
        <f>INPUT!CD273</f>
        <v>-18.890881742742504</v>
      </c>
      <c r="AN334" s="793">
        <f>INPUT!CE273</f>
        <v>7.4247296112247865</v>
      </c>
      <c r="AO334" s="752">
        <f>INPUT!CF273</f>
        <v>-18.135623768464537</v>
      </c>
      <c r="AP334" s="793">
        <f>INPUT!CG273</f>
        <v>7.1851851851851851</v>
      </c>
      <c r="AQ334" s="752">
        <f>INPUT!CH273</f>
        <v>-9.2174388410550705</v>
      </c>
      <c r="AR334" s="793">
        <f>INPUT!CI273</f>
        <v>7.2240502542626386</v>
      </c>
      <c r="AS334" s="752">
        <f>INPUT!CJ273</f>
        <v>-23.650609522955289</v>
      </c>
      <c r="AT334" s="793">
        <f>INPUT!CK273</f>
        <v>6.9722593087079066</v>
      </c>
      <c r="AU334" s="752">
        <f>INPUT!CL273</f>
        <v>-5.4203942672468646</v>
      </c>
      <c r="AV334" s="793">
        <f>INPUT!CM273</f>
        <v>6.9349569349569347</v>
      </c>
      <c r="AW334" s="752">
        <f>INPUT!CN273</f>
        <v>-6.5965052185524513</v>
      </c>
      <c r="AX334" s="793">
        <f>INPUT!CO273</f>
        <v>7.1300715990453467</v>
      </c>
      <c r="AY334" s="752">
        <f>INPUT!CP273</f>
        <v>-0.76704475555444684</v>
      </c>
      <c r="AZ334" s="793">
        <f>INPUT!CQ273</f>
        <v>6.6805225653206648</v>
      </c>
      <c r="BA334" s="752">
        <f>INPUT!CR273</f>
        <v>-7.5238636195984139</v>
      </c>
      <c r="BB334" s="793">
        <f>INPUT!CS273</f>
        <v>6.2518474726574045</v>
      </c>
      <c r="BC334" s="752">
        <f>INPUT!CT273</f>
        <v>-10.332545078332844</v>
      </c>
      <c r="BD334" s="793">
        <f>INPUT!CU273</f>
        <v>6.3188831741366638</v>
      </c>
      <c r="BE334" s="752">
        <f>INPUT!CV273</f>
        <v>-8.8835989408216349</v>
      </c>
      <c r="BF334" s="793">
        <f>INPUT!CW273</f>
        <v>6.3386524822695041</v>
      </c>
      <c r="BG334" s="752">
        <f>INPUT!CX273</f>
        <v>-11.09973589720763</v>
      </c>
      <c r="BH334" s="793">
        <f>INPUT!CY273</f>
        <v>6.1358874588446568</v>
      </c>
      <c r="BI334" s="752">
        <f>INPUT!CZ273</f>
        <v>-8.1525823938275348</v>
      </c>
      <c r="BJ334" s="793">
        <f>INPUT!DA273</f>
        <v>6.3346373758651815</v>
      </c>
      <c r="BK334" s="752">
        <f>INPUT!DB273</f>
        <v>1.3242470097017067</v>
      </c>
      <c r="BL334" s="793">
        <f>INPUT!DC273</f>
        <v>6.3567503341749596</v>
      </c>
      <c r="BM334" s="752">
        <f>INPUT!DD273</f>
        <v>0.59926982339675305</v>
      </c>
      <c r="BN334" s="793">
        <f>INPUT!DE273</f>
        <v>6.8702290076335881</v>
      </c>
      <c r="BO334" s="752">
        <f>INPUT!DF273</f>
        <v>8.386270218331294</v>
      </c>
      <c r="BP334" s="793">
        <f>INPUT!DG273</f>
        <v>6.5223925458370902</v>
      </c>
      <c r="BQ334" s="752">
        <f>INPUT!DH273</f>
        <v>6.2990902226425449</v>
      </c>
      <c r="BR334" s="793">
        <f>INPUT!DI273</f>
        <v>6.5074261215740306</v>
      </c>
      <c r="BS334" s="752">
        <f>INPUT!DJ273</f>
        <v>2.7276817196698611</v>
      </c>
      <c r="BT334" s="793">
        <f>INPUT!DK273</f>
        <v>6.7946374162096275</v>
      </c>
      <c r="BU334" s="752">
        <f>INPUT!DL273</f>
        <v>6.8885367367743422</v>
      </c>
      <c r="BV334" s="793">
        <f>INPUT!DM273</f>
        <v>6.7077872012336153</v>
      </c>
      <c r="BW334" s="752">
        <f>INPUT!DN273</f>
        <v>-2.3644307375996099</v>
      </c>
      <c r="BX334" s="793">
        <f>INPUT!DO273</f>
        <v>6.6463878326996202</v>
      </c>
      <c r="BY334" s="752">
        <f>INPUT!DP273</f>
        <v>1.9010705962748231</v>
      </c>
      <c r="BZ334" s="793">
        <f>INPUT!DQ273</f>
        <v>6.4431800707365827</v>
      </c>
      <c r="CA334" s="752">
        <f>INPUT!DR273</f>
        <v>-0.98727284239852331</v>
      </c>
      <c r="CB334" s="793">
        <f>INPUT!DS273</f>
        <v>6.2973054798667878</v>
      </c>
      <c r="CC334" s="752">
        <f>INPUT!DT273</f>
        <v>-7.3194771976556101</v>
      </c>
      <c r="CD334" s="793">
        <f>INPUT!DU273</f>
        <v>6.0936300844205693</v>
      </c>
      <c r="CE334" s="752">
        <f>INPUT!DV273</f>
        <v>-9.1558825345577137</v>
      </c>
      <c r="CF334" s="793">
        <f>INPUT!DW273</f>
        <v>6.1609195402298855</v>
      </c>
      <c r="CG334" s="752">
        <f>INPUT!DX273</f>
        <v>-7.3042426155343403</v>
      </c>
      <c r="CH334" s="793">
        <f>INPUT!DY273</f>
        <v>6.1517113783533768</v>
      </c>
      <c r="CI334" s="752">
        <f>INPUT!DZ273</f>
        <v>-4.52367758130785</v>
      </c>
      <c r="CJ334" s="793">
        <f>INPUT!EA273</f>
        <v>6.3719512195121952</v>
      </c>
      <c r="CK334" s="752">
        <f>INPUT!EB273</f>
        <v>1.1853599906191281</v>
      </c>
      <c r="CL334" s="793">
        <f>INPUT!EC273</f>
        <v>6.1741835147744952</v>
      </c>
      <c r="CM334" s="752">
        <f>INPUT!ED273</f>
        <v>1.3219284603421366</v>
      </c>
      <c r="CN334" s="793">
        <f>INPUT!EE273</f>
        <v>6.0785536159600992</v>
      </c>
      <c r="CO334" s="752">
        <f>INPUT!EF273</f>
        <v>-1.3369095916924256</v>
      </c>
      <c r="CP334" s="793">
        <f>INPUT!EG273</f>
        <v>6.0914500469777639</v>
      </c>
      <c r="CQ334" s="752">
        <f>INPUT!EH273</f>
        <v>-0.97958645439154557</v>
      </c>
      <c r="CR334" s="793">
        <f>INPUT!EI273</f>
        <v>6.2050640825257899</v>
      </c>
      <c r="CS334" s="752">
        <f>INPUT!EJ273</f>
        <v>-2.6190899967244441</v>
      </c>
      <c r="CT334" s="793">
        <f>INPUT!EK273</f>
        <v>6.2050640825257899</v>
      </c>
      <c r="CU334" s="752">
        <f>INPUT!EL273</f>
        <v>0.50015629884339052</v>
      </c>
      <c r="CV334" s="793">
        <f>INPUT!EM273</f>
        <v>6.2050640825257899</v>
      </c>
      <c r="CW334" s="752">
        <f>INPUT!EN273</f>
        <v>2.0812593679114588</v>
      </c>
      <c r="CX334" s="793">
        <f>INPUT!EO273</f>
        <v>6.2050640825257899</v>
      </c>
      <c r="CY334" s="752">
        <f>INPUT!EP273</f>
        <v>1.8651394113359698</v>
      </c>
      <c r="CZ334" s="793">
        <f>INPUT!EQ273</f>
        <v>6.2050640825257899</v>
      </c>
      <c r="DA334" s="752">
        <f>INPUT!ER273</f>
        <v>0</v>
      </c>
      <c r="DB334" s="793"/>
      <c r="DC334" s="793">
        <f>INPUT!FB273</f>
        <v>0</v>
      </c>
      <c r="DD334" s="756">
        <f>INPUT!FC273</f>
        <v>0</v>
      </c>
      <c r="DE334" s="793">
        <f>INPUT!FD273</f>
        <v>10.58559681036631</v>
      </c>
      <c r="DF334" s="756" t="str">
        <f>INPUT!FE273</f>
        <v>NA</v>
      </c>
      <c r="DG334" s="793">
        <f>INPUT!FF273</f>
        <v>10.289438571281945</v>
      </c>
      <c r="DH334" s="756">
        <f>INPUT!FG273</f>
        <v>-2.7977472067927445</v>
      </c>
      <c r="DI334" s="793">
        <f>INPUT!FH273</f>
        <v>8.3351007423117718</v>
      </c>
      <c r="DJ334" s="756">
        <f>INPUT!FI273</f>
        <v>-18.993629394170974</v>
      </c>
      <c r="DK334" s="793">
        <f>INPUT!FJ273</f>
        <v>7.8959987212957534</v>
      </c>
      <c r="DL334" s="752">
        <f>INPUT!FK273</f>
        <v>-5.2681069442507056</v>
      </c>
      <c r="DM334" s="750">
        <f>INPUT!FL273</f>
        <v>6.9818691776019239</v>
      </c>
      <c r="DN334" s="752">
        <f>INPUT!FM273</f>
        <v>-11.577123755458496</v>
      </c>
      <c r="DO334" s="750">
        <f>INPUT!FN273</f>
        <v>7.6293014630125695</v>
      </c>
      <c r="DP334" s="752">
        <f>INPUT!FO273</f>
        <v>9.2730509401068417</v>
      </c>
      <c r="DQ334" s="750">
        <f>INPUT!FP273</f>
        <v>10.074791025076994</v>
      </c>
      <c r="DR334" s="752">
        <f>INPUT!FQ273</f>
        <v>32.053911802022014</v>
      </c>
      <c r="DS334" s="793">
        <f>INPUT!FR273</f>
        <v>8.332723681322701</v>
      </c>
      <c r="DT334" s="752">
        <f>INPUT!FS273</f>
        <v>-17.291349660932344</v>
      </c>
      <c r="DU334" s="793">
        <f>INPUT!FT273</f>
        <v>8.0448400923178394</v>
      </c>
      <c r="DV334" s="752">
        <f>INPUT!FU273</f>
        <v>-3.4548558192339374</v>
      </c>
      <c r="DW334" s="793">
        <f>INPUT!FV273</f>
        <v>7.078889673367768</v>
      </c>
      <c r="DX334" s="752">
        <f>INPUT!FW273</f>
        <v>-12.007080412604775</v>
      </c>
      <c r="DY334" s="793">
        <f>INPUT!FX273</f>
        <v>6.5955634559123082</v>
      </c>
      <c r="DZ334" s="752">
        <f>INPUT!FY273</f>
        <v>-6.8277122508891726</v>
      </c>
      <c r="EA334" s="793">
        <f>INPUT!FZ273</f>
        <v>6.2916992806291709</v>
      </c>
      <c r="EB334" s="752">
        <f>INPUT!GA273</f>
        <v>-4.6070995649469708</v>
      </c>
      <c r="EC334" s="793">
        <f>INPUT!GB273</f>
        <v>6.673257538309441</v>
      </c>
      <c r="ED334" s="752">
        <f>INPUT!GC273</f>
        <v>6.0644706725734299</v>
      </c>
      <c r="EE334" s="793">
        <f>INPUT!GD273</f>
        <v>6.5229852115098002</v>
      </c>
      <c r="EF334" s="752">
        <f>INPUT!GE273</f>
        <v>-2.2518586453012857</v>
      </c>
      <c r="EG334" s="793">
        <f>INPUT!GF273</f>
        <v>6.1948938127731346</v>
      </c>
      <c r="EH334" s="752">
        <f>INPUT!GG273</f>
        <v>-5.0297737630578769</v>
      </c>
      <c r="EI334" s="793">
        <f>INPUT!GH273</f>
        <v>6.1373390557939915</v>
      </c>
      <c r="EJ334" s="752">
        <f>INPUT!GI273</f>
        <v>-0.92906769217693252</v>
      </c>
      <c r="EK334" s="793">
        <f>INPUT!GJ273</f>
        <v>6.205064082525789</v>
      </c>
      <c r="EL334" s="752">
        <f>INPUT!GK273</f>
        <v>1.1034916943013062</v>
      </c>
      <c r="EM334" s="793">
        <f>INPUT!GL273</f>
        <v>6.205064082525789</v>
      </c>
      <c r="EN334" s="752">
        <f>INPUT!GM273</f>
        <v>0</v>
      </c>
      <c r="EO334" s="793">
        <f>INPUT!GN273</f>
        <v>6.205064082525789</v>
      </c>
      <c r="EP334" s="752">
        <f>INPUT!GO273</f>
        <v>0</v>
      </c>
      <c r="EQ334" s="793">
        <f>INPUT!GP273</f>
        <v>6.205064082525789</v>
      </c>
      <c r="ER334" s="752">
        <f>INPUT!GQ273</f>
        <v>0</v>
      </c>
      <c r="ES334" s="793">
        <f>INPUT!GR273</f>
        <v>6.205064082525789</v>
      </c>
      <c r="ET334" s="752">
        <f>INPUT!GS273</f>
        <v>0</v>
      </c>
      <c r="EU334" s="756">
        <f>INPUT!GT273</f>
        <v>0.21973058415016844</v>
      </c>
      <c r="EV334" s="710"/>
    </row>
    <row r="335" spans="1:152" ht="12.75" hidden="1" customHeight="1" outlineLevel="1" x14ac:dyDescent="0.2">
      <c r="A335" s="754"/>
      <c r="B335" s="750"/>
      <c r="C335" s="756"/>
      <c r="D335" s="750"/>
      <c r="E335" s="756"/>
      <c r="F335" s="750"/>
      <c r="G335" s="756"/>
      <c r="H335" s="750"/>
      <c r="I335" s="752"/>
      <c r="J335" s="750"/>
      <c r="K335" s="752"/>
      <c r="L335" s="750"/>
      <c r="M335" s="752"/>
      <c r="N335" s="750"/>
      <c r="O335" s="752"/>
      <c r="P335" s="750"/>
      <c r="Q335" s="752"/>
      <c r="R335" s="750"/>
      <c r="S335" s="752"/>
      <c r="T335" s="750"/>
      <c r="U335" s="752"/>
      <c r="V335" s="750"/>
      <c r="W335" s="752"/>
      <c r="X335" s="750"/>
      <c r="Y335" s="752"/>
      <c r="Z335" s="750"/>
      <c r="AA335" s="752"/>
      <c r="AB335" s="750"/>
      <c r="AC335" s="752"/>
      <c r="AD335" s="750"/>
      <c r="AE335" s="752"/>
      <c r="AF335" s="750"/>
      <c r="AG335" s="752"/>
      <c r="AH335" s="750"/>
      <c r="AI335" s="752"/>
      <c r="AJ335" s="750"/>
      <c r="AK335" s="752"/>
      <c r="AL335" s="750"/>
      <c r="AM335" s="752"/>
      <c r="AN335" s="750"/>
      <c r="AO335" s="752"/>
      <c r="AP335" s="750"/>
      <c r="AQ335" s="752"/>
      <c r="AR335" s="750"/>
      <c r="AS335" s="752"/>
      <c r="AT335" s="750"/>
      <c r="AU335" s="752"/>
      <c r="AV335" s="750"/>
      <c r="AW335" s="752"/>
      <c r="AX335" s="750"/>
      <c r="AY335" s="752"/>
      <c r="AZ335" s="750"/>
      <c r="BA335" s="752"/>
      <c r="BB335" s="750"/>
      <c r="BC335" s="752"/>
      <c r="BD335" s="750"/>
      <c r="BE335" s="752"/>
      <c r="BF335" s="750"/>
      <c r="BG335" s="752"/>
      <c r="BH335" s="750"/>
      <c r="BI335" s="752"/>
      <c r="BJ335" s="750"/>
      <c r="BK335" s="752"/>
      <c r="BL335" s="750"/>
      <c r="BM335" s="752"/>
      <c r="BN335" s="750"/>
      <c r="BO335" s="752"/>
      <c r="BP335" s="750"/>
      <c r="BQ335" s="752"/>
      <c r="BR335" s="750"/>
      <c r="BS335" s="752"/>
      <c r="BT335" s="750"/>
      <c r="BU335" s="752"/>
      <c r="BV335" s="750"/>
      <c r="BW335" s="752"/>
      <c r="BX335" s="750"/>
      <c r="BY335" s="752"/>
      <c r="BZ335" s="750"/>
      <c r="CA335" s="752"/>
      <c r="CB335" s="750"/>
      <c r="CC335" s="752"/>
      <c r="CD335" s="750"/>
      <c r="CE335" s="752"/>
      <c r="CF335" s="750"/>
      <c r="CG335" s="752"/>
      <c r="CH335" s="750"/>
      <c r="CI335" s="752"/>
      <c r="CJ335" s="750"/>
      <c r="CK335" s="752"/>
      <c r="CL335" s="750"/>
      <c r="CM335" s="752"/>
      <c r="CN335" s="750"/>
      <c r="CO335" s="752"/>
      <c r="CP335" s="750"/>
      <c r="CQ335" s="752"/>
      <c r="CR335" s="750"/>
      <c r="CS335" s="752"/>
      <c r="CT335" s="750"/>
      <c r="CU335" s="752"/>
      <c r="CV335" s="750"/>
      <c r="CW335" s="752"/>
      <c r="CX335" s="750"/>
      <c r="CY335" s="752"/>
      <c r="CZ335" s="750"/>
      <c r="DA335" s="752"/>
      <c r="DB335" s="793"/>
      <c r="DC335" s="750"/>
      <c r="DD335" s="756"/>
      <c r="DE335" s="750"/>
      <c r="DF335" s="756"/>
      <c r="DG335" s="750"/>
      <c r="DH335" s="756"/>
      <c r="DI335" s="750"/>
      <c r="DJ335" s="756"/>
      <c r="DK335" s="750"/>
      <c r="DL335" s="752"/>
      <c r="DM335" s="750"/>
      <c r="DN335" s="752"/>
      <c r="DO335" s="750"/>
      <c r="DP335" s="752"/>
      <c r="DQ335" s="750"/>
      <c r="DR335" s="752"/>
      <c r="DS335" s="750"/>
      <c r="DT335" s="752"/>
      <c r="DU335" s="750"/>
      <c r="DV335" s="752"/>
      <c r="DW335" s="750"/>
      <c r="DX335" s="752"/>
      <c r="DY335" s="750"/>
      <c r="DZ335" s="752"/>
      <c r="EA335" s="750"/>
      <c r="EB335" s="752"/>
      <c r="EC335" s="750"/>
      <c r="ED335" s="752"/>
      <c r="EE335" s="750"/>
      <c r="EF335" s="752"/>
      <c r="EG335" s="750"/>
      <c r="EH335" s="752"/>
      <c r="EI335" s="750"/>
      <c r="EJ335" s="752"/>
      <c r="EK335" s="750"/>
      <c r="EL335" s="752"/>
      <c r="EM335" s="750"/>
      <c r="EN335" s="752"/>
      <c r="EO335" s="750"/>
      <c r="EP335" s="752"/>
      <c r="EQ335" s="750"/>
      <c r="ER335" s="752"/>
      <c r="ES335" s="750"/>
      <c r="ET335" s="752"/>
      <c r="EU335" s="812"/>
      <c r="EV335" s="710"/>
    </row>
    <row r="336" spans="1:152" ht="12.75" hidden="1" customHeight="1" outlineLevel="1" x14ac:dyDescent="0.2">
      <c r="A336" s="803" t="str">
        <f>+A47</f>
        <v>Quarterly income statement ratios are annualized where appropriate     E = Morgan Stanley Research Estimates      NM = Not Meaningful       NA = Not Applicable              CAGR = Cumulative Average Growth Rate</v>
      </c>
      <c r="B336" s="750"/>
      <c r="C336" s="767"/>
      <c r="D336" s="750"/>
      <c r="E336" s="767"/>
      <c r="F336" s="750"/>
      <c r="G336" s="767"/>
      <c r="H336" s="750"/>
      <c r="I336" s="752"/>
      <c r="J336" s="750"/>
      <c r="K336" s="752"/>
      <c r="L336" s="750"/>
      <c r="M336" s="752"/>
      <c r="N336" s="750"/>
      <c r="O336" s="752"/>
      <c r="P336" s="750"/>
      <c r="Q336" s="752"/>
      <c r="R336" s="750"/>
      <c r="S336" s="752"/>
      <c r="T336" s="750"/>
      <c r="U336" s="752"/>
      <c r="V336" s="750"/>
      <c r="W336" s="752"/>
      <c r="X336" s="750"/>
      <c r="Y336" s="752"/>
      <c r="Z336" s="750"/>
      <c r="AA336" s="752"/>
      <c r="AB336" s="750"/>
      <c r="AC336" s="752"/>
      <c r="AD336" s="750"/>
      <c r="AE336" s="752"/>
      <c r="AF336" s="750"/>
      <c r="AG336" s="752"/>
      <c r="AH336" s="750"/>
      <c r="AI336" s="752"/>
      <c r="AJ336" s="750"/>
      <c r="AK336" s="752"/>
      <c r="AL336" s="750"/>
      <c r="AM336" s="752"/>
      <c r="AN336" s="750"/>
      <c r="AO336" s="752"/>
      <c r="AP336" s="750"/>
      <c r="AQ336" s="752"/>
      <c r="AR336" s="750"/>
      <c r="AS336" s="752"/>
      <c r="AT336" s="750"/>
      <c r="AU336" s="752"/>
      <c r="AV336" s="750"/>
      <c r="AW336" s="752"/>
      <c r="AX336" s="750"/>
      <c r="AY336" s="752"/>
      <c r="AZ336" s="750"/>
      <c r="BA336" s="752"/>
      <c r="BB336" s="750"/>
      <c r="BC336" s="752"/>
      <c r="BD336" s="750"/>
      <c r="BE336" s="752"/>
      <c r="BF336" s="750"/>
      <c r="BG336" s="752"/>
      <c r="BH336" s="750"/>
      <c r="BI336" s="752"/>
      <c r="BJ336" s="750"/>
      <c r="BK336" s="752"/>
      <c r="BL336" s="750"/>
      <c r="BM336" s="752"/>
      <c r="BN336" s="750"/>
      <c r="BO336" s="752"/>
      <c r="BP336" s="750"/>
      <c r="BQ336" s="752"/>
      <c r="BR336" s="750"/>
      <c r="BS336" s="752"/>
      <c r="BT336" s="750"/>
      <c r="BU336" s="752"/>
      <c r="BV336" s="750"/>
      <c r="BW336" s="752"/>
      <c r="BX336" s="750"/>
      <c r="BY336" s="752"/>
      <c r="BZ336" s="750"/>
      <c r="CA336" s="752"/>
      <c r="CB336" s="750"/>
      <c r="CC336" s="752"/>
      <c r="CD336" s="750"/>
      <c r="CE336" s="752"/>
      <c r="CF336" s="750"/>
      <c r="CG336" s="752"/>
      <c r="CH336" s="750"/>
      <c r="CI336" s="752"/>
      <c r="CJ336" s="750"/>
      <c r="CK336" s="752"/>
      <c r="CL336" s="750"/>
      <c r="CM336" s="752"/>
      <c r="CN336" s="750"/>
      <c r="CO336" s="752"/>
      <c r="CP336" s="750"/>
      <c r="CQ336" s="752"/>
      <c r="CR336" s="750"/>
      <c r="CS336" s="752"/>
      <c r="CT336" s="750"/>
      <c r="CU336" s="752"/>
      <c r="CV336" s="750"/>
      <c r="CW336" s="752"/>
      <c r="CX336" s="750"/>
      <c r="CY336" s="752"/>
      <c r="CZ336" s="750"/>
      <c r="DA336" s="752"/>
      <c r="DB336" s="753"/>
      <c r="DC336" s="750"/>
      <c r="DD336" s="767"/>
      <c r="DE336" s="750"/>
      <c r="DF336" s="767"/>
      <c r="DG336" s="750"/>
      <c r="DH336" s="767"/>
      <c r="DI336" s="750"/>
      <c r="DJ336" s="767"/>
      <c r="DK336" s="750"/>
      <c r="DL336" s="752"/>
      <c r="DM336" s="750"/>
      <c r="DN336" s="752"/>
      <c r="DO336" s="750"/>
      <c r="DP336" s="752"/>
      <c r="DQ336" s="750"/>
      <c r="DR336" s="752"/>
      <c r="DS336" s="750"/>
      <c r="DT336" s="752"/>
      <c r="DU336" s="750"/>
      <c r="DV336" s="752"/>
      <c r="DW336" s="750"/>
      <c r="DX336" s="752"/>
      <c r="DY336" s="750"/>
      <c r="DZ336" s="752"/>
      <c r="EA336" s="750"/>
      <c r="EB336" s="752"/>
      <c r="EC336" s="750"/>
      <c r="ED336" s="752"/>
      <c r="EE336" s="750"/>
      <c r="EF336" s="752"/>
      <c r="EG336" s="750"/>
      <c r="EH336" s="752"/>
      <c r="EI336" s="750"/>
      <c r="EJ336" s="752"/>
      <c r="EK336" s="750"/>
      <c r="EL336" s="752"/>
      <c r="EM336" s="750"/>
      <c r="EN336" s="752"/>
      <c r="EO336" s="750"/>
      <c r="EP336" s="752"/>
      <c r="EQ336" s="750"/>
      <c r="ER336" s="752"/>
      <c r="ES336" s="750"/>
      <c r="ET336" s="752"/>
      <c r="EU336" s="767"/>
      <c r="EV336" s="710"/>
    </row>
    <row r="337" spans="1:152" ht="12.75" hidden="1" customHeight="1" outlineLevel="1" x14ac:dyDescent="0.2">
      <c r="A337" s="795" t="s">
        <v>473</v>
      </c>
      <c r="B337" s="750"/>
      <c r="C337" s="767"/>
      <c r="D337" s="750"/>
      <c r="E337" s="767"/>
      <c r="F337" s="750"/>
      <c r="G337" s="767"/>
      <c r="H337" s="750"/>
      <c r="I337" s="752"/>
      <c r="J337" s="750"/>
      <c r="K337" s="752"/>
      <c r="L337" s="750"/>
      <c r="M337" s="752"/>
      <c r="N337" s="750"/>
      <c r="O337" s="752"/>
      <c r="P337" s="750"/>
      <c r="Q337" s="752"/>
      <c r="R337" s="750"/>
      <c r="S337" s="752"/>
      <c r="T337" s="750"/>
      <c r="U337" s="752"/>
      <c r="V337" s="750"/>
      <c r="W337" s="752"/>
      <c r="X337" s="750"/>
      <c r="Y337" s="752"/>
      <c r="Z337" s="750"/>
      <c r="AA337" s="752"/>
      <c r="AB337" s="750"/>
      <c r="AC337" s="752"/>
      <c r="AD337" s="750"/>
      <c r="AE337" s="752"/>
      <c r="AF337" s="750"/>
      <c r="AG337" s="752"/>
      <c r="AH337" s="750"/>
      <c r="AI337" s="752"/>
      <c r="AJ337" s="750"/>
      <c r="AK337" s="752"/>
      <c r="AL337" s="750"/>
      <c r="AM337" s="752"/>
      <c r="AN337" s="750"/>
      <c r="AO337" s="752"/>
      <c r="AP337" s="750"/>
      <c r="AQ337" s="752"/>
      <c r="AR337" s="750"/>
      <c r="AS337" s="752"/>
      <c r="AT337" s="750"/>
      <c r="AU337" s="752"/>
      <c r="AV337" s="750"/>
      <c r="AW337" s="752"/>
      <c r="AX337" s="750"/>
      <c r="AY337" s="752"/>
      <c r="AZ337" s="750"/>
      <c r="BA337" s="752"/>
      <c r="BB337" s="750"/>
      <c r="BC337" s="752"/>
      <c r="BD337" s="750"/>
      <c r="BE337" s="752"/>
      <c r="BF337" s="750"/>
      <c r="BG337" s="752"/>
      <c r="BH337" s="750"/>
      <c r="BI337" s="752"/>
      <c r="BJ337" s="750"/>
      <c r="BK337" s="752"/>
      <c r="BL337" s="750"/>
      <c r="BM337" s="752"/>
      <c r="BN337" s="750"/>
      <c r="BO337" s="752"/>
      <c r="BP337" s="750"/>
      <c r="BQ337" s="752"/>
      <c r="BR337" s="750"/>
      <c r="BS337" s="752"/>
      <c r="BT337" s="750"/>
      <c r="BU337" s="752"/>
      <c r="BV337" s="750"/>
      <c r="BW337" s="752"/>
      <c r="BX337" s="750"/>
      <c r="BY337" s="752"/>
      <c r="BZ337" s="750"/>
      <c r="CA337" s="752"/>
      <c r="CB337" s="750"/>
      <c r="CC337" s="752"/>
      <c r="CD337" s="750"/>
      <c r="CE337" s="752"/>
      <c r="CF337" s="750"/>
      <c r="CG337" s="752"/>
      <c r="CH337" s="750"/>
      <c r="CI337" s="752"/>
      <c r="CJ337" s="750"/>
      <c r="CK337" s="752"/>
      <c r="CL337" s="750"/>
      <c r="CM337" s="752"/>
      <c r="CN337" s="750"/>
      <c r="CO337" s="752"/>
      <c r="CP337" s="750"/>
      <c r="CQ337" s="752"/>
      <c r="CR337" s="750"/>
      <c r="CS337" s="752"/>
      <c r="CT337" s="750"/>
      <c r="CU337" s="752"/>
      <c r="CV337" s="750"/>
      <c r="CW337" s="752"/>
      <c r="CX337" s="750"/>
      <c r="CY337" s="752"/>
      <c r="CZ337" s="750"/>
      <c r="DA337" s="752"/>
      <c r="DB337" s="753"/>
      <c r="DC337" s="750"/>
      <c r="DD337" s="767"/>
      <c r="DE337" s="750"/>
      <c r="DF337" s="767"/>
      <c r="DG337" s="750"/>
      <c r="DH337" s="767"/>
      <c r="DI337" s="750"/>
      <c r="DJ337" s="767"/>
      <c r="DK337" s="750"/>
      <c r="DL337" s="752"/>
      <c r="DM337" s="750"/>
      <c r="DN337" s="752"/>
      <c r="DO337" s="750"/>
      <c r="DP337" s="752"/>
      <c r="DQ337" s="750"/>
      <c r="DR337" s="752"/>
      <c r="DS337" s="750"/>
      <c r="DT337" s="752"/>
      <c r="DU337" s="750"/>
      <c r="DV337" s="752"/>
      <c r="DW337" s="750"/>
      <c r="DX337" s="752"/>
      <c r="DY337" s="750"/>
      <c r="DZ337" s="752"/>
      <c r="EA337" s="750"/>
      <c r="EB337" s="752"/>
      <c r="EC337" s="750"/>
      <c r="ED337" s="752"/>
      <c r="EE337" s="750"/>
      <c r="EF337" s="752"/>
      <c r="EG337" s="750"/>
      <c r="EH337" s="752"/>
      <c r="EI337" s="750"/>
      <c r="EJ337" s="752"/>
      <c r="EK337" s="750"/>
      <c r="EL337" s="752"/>
      <c r="EM337" s="750"/>
      <c r="EN337" s="752"/>
      <c r="EO337" s="750"/>
      <c r="EP337" s="752"/>
      <c r="EQ337" s="750"/>
      <c r="ER337" s="752"/>
      <c r="ES337" s="750"/>
      <c r="ET337" s="752"/>
      <c r="EU337" s="767"/>
      <c r="EV337" s="710"/>
    </row>
    <row r="338" spans="1:152" s="722" customFormat="1" ht="12.75" hidden="1" customHeight="1" outlineLevel="1" x14ac:dyDescent="0.2">
      <c r="A338" s="804"/>
      <c r="B338" s="798"/>
      <c r="C338" s="799"/>
      <c r="D338" s="798"/>
      <c r="E338" s="799"/>
      <c r="F338" s="798"/>
      <c r="G338" s="799"/>
      <c r="H338" s="798"/>
      <c r="I338" s="800"/>
      <c r="J338" s="798"/>
      <c r="K338" s="800"/>
      <c r="L338" s="798"/>
      <c r="M338" s="800"/>
      <c r="N338" s="798"/>
      <c r="O338" s="800"/>
      <c r="P338" s="798"/>
      <c r="Q338" s="800"/>
      <c r="R338" s="798"/>
      <c r="S338" s="800"/>
      <c r="T338" s="798"/>
      <c r="U338" s="800"/>
      <c r="V338" s="798"/>
      <c r="W338" s="800"/>
      <c r="X338" s="798"/>
      <c r="Y338" s="800"/>
      <c r="Z338" s="798"/>
      <c r="AA338" s="800"/>
      <c r="AB338" s="798"/>
      <c r="AC338" s="800"/>
      <c r="AD338" s="798"/>
      <c r="AE338" s="800"/>
      <c r="AF338" s="798"/>
      <c r="AG338" s="800"/>
      <c r="AH338" s="798"/>
      <c r="AI338" s="800"/>
      <c r="AJ338" s="798"/>
      <c r="AK338" s="800"/>
      <c r="AL338" s="798"/>
      <c r="AM338" s="800"/>
      <c r="AN338" s="798"/>
      <c r="AO338" s="800"/>
      <c r="AP338" s="798"/>
      <c r="AQ338" s="800"/>
      <c r="AR338" s="798"/>
      <c r="AS338" s="800"/>
      <c r="AT338" s="798"/>
      <c r="AU338" s="800"/>
      <c r="AV338" s="798"/>
      <c r="AW338" s="800"/>
      <c r="AX338" s="798"/>
      <c r="AY338" s="800"/>
      <c r="AZ338" s="798"/>
      <c r="BA338" s="800"/>
      <c r="BB338" s="798"/>
      <c r="BC338" s="800"/>
      <c r="BD338" s="798"/>
      <c r="BE338" s="800"/>
      <c r="BF338" s="798"/>
      <c r="BG338" s="800"/>
      <c r="BH338" s="798"/>
      <c r="BI338" s="800"/>
      <c r="BJ338" s="798"/>
      <c r="BK338" s="800"/>
      <c r="BL338" s="798"/>
      <c r="BM338" s="800"/>
      <c r="BN338" s="798"/>
      <c r="BO338" s="800"/>
      <c r="BP338" s="798"/>
      <c r="BQ338" s="800"/>
      <c r="BR338" s="798"/>
      <c r="BS338" s="800"/>
      <c r="BT338" s="798"/>
      <c r="BU338" s="800"/>
      <c r="BV338" s="798"/>
      <c r="BW338" s="800"/>
      <c r="BX338" s="798"/>
      <c r="BY338" s="800"/>
      <c r="BZ338" s="798"/>
      <c r="CA338" s="800"/>
      <c r="CB338" s="798"/>
      <c r="CC338" s="800"/>
      <c r="CD338" s="798"/>
      <c r="CE338" s="800"/>
      <c r="CF338" s="798"/>
      <c r="CG338" s="800"/>
      <c r="CH338" s="798"/>
      <c r="CI338" s="800"/>
      <c r="CJ338" s="798"/>
      <c r="CK338" s="800"/>
      <c r="CL338" s="798"/>
      <c r="CM338" s="800"/>
      <c r="CN338" s="798"/>
      <c r="CO338" s="800"/>
      <c r="CP338" s="798"/>
      <c r="CQ338" s="800"/>
      <c r="CR338" s="798"/>
      <c r="CS338" s="800"/>
      <c r="CT338" s="798"/>
      <c r="CU338" s="800"/>
      <c r="CV338" s="798"/>
      <c r="CW338" s="800"/>
      <c r="CX338" s="798"/>
      <c r="CY338" s="800"/>
      <c r="CZ338" s="798"/>
      <c r="DA338" s="800"/>
      <c r="DB338" s="801"/>
      <c r="DC338" s="798"/>
      <c r="DD338" s="799"/>
      <c r="DE338" s="798"/>
      <c r="DF338" s="799"/>
      <c r="DG338" s="798"/>
      <c r="DH338" s="799"/>
      <c r="DI338" s="798"/>
      <c r="DJ338" s="799"/>
      <c r="DK338" s="798"/>
      <c r="DL338" s="800"/>
      <c r="DM338" s="798"/>
      <c r="DN338" s="800"/>
      <c r="DO338" s="798"/>
      <c r="DP338" s="800"/>
      <c r="DQ338" s="798"/>
      <c r="DR338" s="800"/>
      <c r="DS338" s="798"/>
      <c r="DT338" s="800"/>
      <c r="DU338" s="798"/>
      <c r="DV338" s="800"/>
      <c r="DW338" s="798"/>
      <c r="DX338" s="800"/>
      <c r="DY338" s="798"/>
      <c r="DZ338" s="800"/>
      <c r="EA338" s="798"/>
      <c r="EB338" s="800"/>
      <c r="EC338" s="798"/>
      <c r="ED338" s="800"/>
      <c r="EE338" s="798"/>
      <c r="EF338" s="800"/>
      <c r="EG338" s="798"/>
      <c r="EH338" s="800"/>
      <c r="EI338" s="798"/>
      <c r="EJ338" s="800"/>
      <c r="EK338" s="798"/>
      <c r="EL338" s="800"/>
      <c r="EM338" s="798"/>
      <c r="EN338" s="800"/>
      <c r="EO338" s="798"/>
      <c r="EP338" s="800"/>
      <c r="EQ338" s="798"/>
      <c r="ER338" s="800"/>
      <c r="ES338" s="798"/>
      <c r="ET338" s="800"/>
      <c r="EU338" s="799"/>
      <c r="EV338" s="721"/>
    </row>
    <row r="339" spans="1:152" ht="21.95" hidden="1" customHeight="1" outlineLevel="2" x14ac:dyDescent="0.2">
      <c r="A339" s="727" t="str">
        <f>INPUT!$B$4</f>
        <v>Unum Group</v>
      </c>
      <c r="B339" s="728"/>
      <c r="C339" s="729"/>
      <c r="D339" s="728"/>
      <c r="E339" s="729"/>
      <c r="F339" s="728"/>
      <c r="G339" s="729"/>
      <c r="H339" s="728"/>
      <c r="I339" s="730"/>
      <c r="J339" s="728"/>
      <c r="K339" s="730"/>
      <c r="L339" s="728"/>
      <c r="M339" s="730"/>
      <c r="N339" s="728"/>
      <c r="O339" s="730"/>
      <c r="P339" s="728"/>
      <c r="Q339" s="730"/>
      <c r="R339" s="728"/>
      <c r="S339" s="730"/>
      <c r="T339" s="728"/>
      <c r="U339" s="730"/>
      <c r="V339" s="728"/>
      <c r="W339" s="730"/>
      <c r="X339" s="728"/>
      <c r="Y339" s="730"/>
      <c r="Z339" s="728"/>
      <c r="AA339" s="730"/>
      <c r="AB339" s="728"/>
      <c r="AC339" s="730"/>
      <c r="AD339" s="728"/>
      <c r="AE339" s="730"/>
      <c r="AF339" s="728"/>
      <c r="AG339" s="730"/>
      <c r="AH339" s="728"/>
      <c r="AI339" s="730"/>
      <c r="AJ339" s="728"/>
      <c r="AK339" s="730"/>
      <c r="AL339" s="728"/>
      <c r="AM339" s="730"/>
      <c r="AN339" s="728"/>
      <c r="AO339" s="730"/>
      <c r="AP339" s="728"/>
      <c r="AQ339" s="730"/>
      <c r="AR339" s="728"/>
      <c r="AS339" s="730"/>
      <c r="AT339" s="728"/>
      <c r="AU339" s="730"/>
      <c r="AV339" s="728"/>
      <c r="AW339" s="730"/>
      <c r="AX339" s="728"/>
      <c r="AY339" s="730"/>
      <c r="AZ339" s="728"/>
      <c r="BA339" s="730"/>
      <c r="BB339" s="728"/>
      <c r="BC339" s="730"/>
      <c r="BD339" s="728"/>
      <c r="BE339" s="730"/>
      <c r="BF339" s="728"/>
      <c r="BG339" s="730"/>
      <c r="BH339" s="728"/>
      <c r="BI339" s="730"/>
      <c r="BJ339" s="728"/>
      <c r="BK339" s="730"/>
      <c r="BL339" s="728"/>
      <c r="BM339" s="730"/>
      <c r="BN339" s="728"/>
      <c r="BO339" s="730"/>
      <c r="BP339" s="728"/>
      <c r="BQ339" s="730"/>
      <c r="BR339" s="728"/>
      <c r="BS339" s="730"/>
      <c r="BT339" s="728"/>
      <c r="BU339" s="730"/>
      <c r="BV339" s="728"/>
      <c r="BW339" s="730"/>
      <c r="BX339" s="728"/>
      <c r="BY339" s="730"/>
      <c r="BZ339" s="728"/>
      <c r="CA339" s="730"/>
      <c r="CB339" s="728"/>
      <c r="CC339" s="730"/>
      <c r="CD339" s="728"/>
      <c r="CE339" s="730"/>
      <c r="CF339" s="728"/>
      <c r="CG339" s="730"/>
      <c r="CH339" s="728"/>
      <c r="CI339" s="730"/>
      <c r="CJ339" s="728"/>
      <c r="CK339" s="730"/>
      <c r="CL339" s="728"/>
      <c r="CM339" s="730"/>
      <c r="CN339" s="728"/>
      <c r="CO339" s="730"/>
      <c r="CP339" s="728"/>
      <c r="CQ339" s="730"/>
      <c r="CR339" s="728"/>
      <c r="CS339" s="730"/>
      <c r="CT339" s="728"/>
      <c r="CU339" s="730"/>
      <c r="CV339" s="728"/>
      <c r="CW339" s="730"/>
      <c r="CX339" s="728"/>
      <c r="CY339" s="730"/>
      <c r="CZ339" s="728"/>
      <c r="DA339" s="730"/>
      <c r="DB339" s="730"/>
      <c r="DC339" s="728"/>
      <c r="DD339" s="729"/>
      <c r="DE339" s="728"/>
      <c r="DF339" s="729"/>
      <c r="DG339" s="728"/>
      <c r="DH339" s="729"/>
      <c r="DI339" s="728"/>
      <c r="DJ339" s="729"/>
      <c r="DK339" s="728"/>
      <c r="DL339" s="730"/>
      <c r="DM339" s="728"/>
      <c r="DN339" s="730"/>
      <c r="DO339" s="728"/>
      <c r="DP339" s="730"/>
      <c r="DQ339" s="728"/>
      <c r="DR339" s="730"/>
      <c r="DS339" s="728"/>
      <c r="DT339" s="730"/>
      <c r="DU339" s="728"/>
      <c r="DV339" s="730"/>
      <c r="DW339" s="728"/>
      <c r="DX339" s="730"/>
      <c r="DY339" s="728"/>
      <c r="DZ339" s="730"/>
      <c r="EA339" s="728"/>
      <c r="EB339" s="730"/>
      <c r="EC339" s="728"/>
      <c r="ED339" s="730"/>
      <c r="EE339" s="728"/>
      <c r="EF339" s="730"/>
      <c r="EG339" s="728"/>
      <c r="EH339" s="730"/>
      <c r="EI339" s="728"/>
      <c r="EJ339" s="730"/>
      <c r="EK339" s="728"/>
      <c r="EL339" s="730"/>
      <c r="EM339" s="728"/>
      <c r="EN339" s="730"/>
      <c r="EO339" s="728"/>
      <c r="EP339" s="730"/>
      <c r="EQ339" s="728"/>
      <c r="ER339" s="730"/>
      <c r="ES339" s="728"/>
      <c r="ET339" s="730"/>
      <c r="EU339" s="729"/>
      <c r="EV339" s="710"/>
    </row>
    <row r="340" spans="1:152" ht="12.75" hidden="1" customHeight="1" outlineLevel="2" x14ac:dyDescent="0.2">
      <c r="A340" s="731" t="s">
        <v>481</v>
      </c>
      <c r="B340" s="732"/>
      <c r="C340" s="733"/>
      <c r="D340" s="732"/>
      <c r="E340" s="733"/>
      <c r="F340" s="732"/>
      <c r="G340" s="733"/>
      <c r="H340" s="732"/>
      <c r="I340" s="734"/>
      <c r="J340" s="732"/>
      <c r="K340" s="734"/>
      <c r="L340" s="732"/>
      <c r="M340" s="734"/>
      <c r="N340" s="732"/>
      <c r="O340" s="734"/>
      <c r="P340" s="732"/>
      <c r="Q340" s="734"/>
      <c r="R340" s="732"/>
      <c r="S340" s="734"/>
      <c r="T340" s="732"/>
      <c r="U340" s="734"/>
      <c r="V340" s="732"/>
      <c r="W340" s="734"/>
      <c r="X340" s="732"/>
      <c r="Y340" s="734"/>
      <c r="Z340" s="732"/>
      <c r="AA340" s="734"/>
      <c r="AB340" s="732"/>
      <c r="AC340" s="734"/>
      <c r="AD340" s="732"/>
      <c r="AE340" s="734"/>
      <c r="AF340" s="732"/>
      <c r="AG340" s="734"/>
      <c r="AH340" s="732"/>
      <c r="AI340" s="734"/>
      <c r="AJ340" s="732"/>
      <c r="AK340" s="734"/>
      <c r="AL340" s="732"/>
      <c r="AM340" s="734"/>
      <c r="AN340" s="732"/>
      <c r="AO340" s="734"/>
      <c r="AP340" s="732"/>
      <c r="AQ340" s="734"/>
      <c r="AR340" s="732"/>
      <c r="AS340" s="734"/>
      <c r="AT340" s="732"/>
      <c r="AU340" s="734"/>
      <c r="AV340" s="732"/>
      <c r="AW340" s="734"/>
      <c r="AX340" s="732"/>
      <c r="AY340" s="734"/>
      <c r="AZ340" s="732"/>
      <c r="BA340" s="734"/>
      <c r="BB340" s="732"/>
      <c r="BC340" s="734"/>
      <c r="BD340" s="732"/>
      <c r="BE340" s="734"/>
      <c r="BF340" s="732"/>
      <c r="BG340" s="734"/>
      <c r="BH340" s="732"/>
      <c r="BI340" s="734"/>
      <c r="BJ340" s="732"/>
      <c r="BK340" s="734"/>
      <c r="BL340" s="732"/>
      <c r="BM340" s="734"/>
      <c r="BN340" s="732"/>
      <c r="BO340" s="734"/>
      <c r="BP340" s="732"/>
      <c r="BQ340" s="734"/>
      <c r="BR340" s="732"/>
      <c r="BS340" s="734"/>
      <c r="BT340" s="732"/>
      <c r="BU340" s="734"/>
      <c r="BV340" s="732"/>
      <c r="BW340" s="734"/>
      <c r="BX340" s="732"/>
      <c r="BY340" s="734"/>
      <c r="BZ340" s="732"/>
      <c r="CA340" s="734"/>
      <c r="CB340" s="732"/>
      <c r="CC340" s="734"/>
      <c r="CD340" s="732"/>
      <c r="CE340" s="734"/>
      <c r="CF340" s="732"/>
      <c r="CG340" s="734"/>
      <c r="CH340" s="732"/>
      <c r="CI340" s="734"/>
      <c r="CJ340" s="732"/>
      <c r="CK340" s="734"/>
      <c r="CL340" s="732"/>
      <c r="CM340" s="734"/>
      <c r="CN340" s="732"/>
      <c r="CO340" s="734"/>
      <c r="CP340" s="732"/>
      <c r="CQ340" s="734"/>
      <c r="CR340" s="732"/>
      <c r="CS340" s="734"/>
      <c r="CT340" s="732"/>
      <c r="CU340" s="734"/>
      <c r="CV340" s="732"/>
      <c r="CW340" s="734"/>
      <c r="CX340" s="732"/>
      <c r="CY340" s="734"/>
      <c r="CZ340" s="732"/>
      <c r="DA340" s="734"/>
      <c r="DB340" s="734"/>
      <c r="DC340" s="732"/>
      <c r="DD340" s="733"/>
      <c r="DE340" s="732"/>
      <c r="DF340" s="733"/>
      <c r="DG340" s="732"/>
      <c r="DH340" s="733"/>
      <c r="DI340" s="732"/>
      <c r="DJ340" s="733"/>
      <c r="DK340" s="732"/>
      <c r="DL340" s="734"/>
      <c r="DM340" s="732"/>
      <c r="DN340" s="734"/>
      <c r="DO340" s="732"/>
      <c r="DP340" s="734"/>
      <c r="DQ340" s="732"/>
      <c r="DR340" s="734"/>
      <c r="DS340" s="732"/>
      <c r="DT340" s="734"/>
      <c r="DU340" s="732"/>
      <c r="DV340" s="734"/>
      <c r="DW340" s="732"/>
      <c r="DX340" s="734"/>
      <c r="DY340" s="732"/>
      <c r="DZ340" s="734"/>
      <c r="EA340" s="732"/>
      <c r="EB340" s="734"/>
      <c r="EC340" s="732"/>
      <c r="ED340" s="734"/>
      <c r="EE340" s="732"/>
      <c r="EF340" s="734"/>
      <c r="EG340" s="732"/>
      <c r="EH340" s="734"/>
      <c r="EI340" s="732"/>
      <c r="EJ340" s="734"/>
      <c r="EK340" s="732"/>
      <c r="EL340" s="734"/>
      <c r="EM340" s="732"/>
      <c r="EN340" s="734"/>
      <c r="EO340" s="732"/>
      <c r="EP340" s="734"/>
      <c r="EQ340" s="732"/>
      <c r="ER340" s="734"/>
      <c r="ES340" s="732"/>
      <c r="ET340" s="734"/>
      <c r="EU340" s="733"/>
      <c r="EV340" s="710"/>
    </row>
    <row r="341" spans="1:152" ht="12.75" hidden="1" customHeight="1" outlineLevel="2" x14ac:dyDescent="0.2">
      <c r="A341" s="735" t="str">
        <f>A$3</f>
        <v>($Millions Except Per Share Data)</v>
      </c>
      <c r="B341" s="736"/>
      <c r="C341" s="737" t="str">
        <f>C$3</f>
        <v>1Q06/</v>
      </c>
      <c r="D341" s="736"/>
      <c r="E341" s="737" t="str">
        <f>E$3</f>
        <v>2Q06/</v>
      </c>
      <c r="F341" s="736"/>
      <c r="G341" s="737" t="str">
        <f>G$3</f>
        <v>3Q06/</v>
      </c>
      <c r="H341" s="736"/>
      <c r="I341" s="738" t="str">
        <f>I$3</f>
        <v>4Q06/</v>
      </c>
      <c r="J341" s="736"/>
      <c r="K341" s="738" t="str">
        <f>K$3</f>
        <v>1Q07/</v>
      </c>
      <c r="L341" s="736"/>
      <c r="M341" s="738" t="str">
        <f>M$3</f>
        <v>2Q07/</v>
      </c>
      <c r="N341" s="736"/>
      <c r="O341" s="738" t="str">
        <f>O$3</f>
        <v>3Q07/</v>
      </c>
      <c r="P341" s="736"/>
      <c r="Q341" s="738" t="str">
        <f>Q$3</f>
        <v>4Q07/</v>
      </c>
      <c r="R341" s="736"/>
      <c r="S341" s="738" t="str">
        <f>S$3</f>
        <v>1Q08/</v>
      </c>
      <c r="T341" s="736"/>
      <c r="U341" s="738" t="str">
        <f>U$3</f>
        <v>2Q08/</v>
      </c>
      <c r="V341" s="736"/>
      <c r="W341" s="738" t="str">
        <f>W$3</f>
        <v>3Q08/</v>
      </c>
      <c r="X341" s="736"/>
      <c r="Y341" s="738" t="str">
        <f>Y$3</f>
        <v>4Q08/</v>
      </c>
      <c r="Z341" s="736"/>
      <c r="AA341" s="738" t="str">
        <f>AA$3</f>
        <v>1Q09/</v>
      </c>
      <c r="AB341" s="736"/>
      <c r="AC341" s="738" t="str">
        <f>AC$3</f>
        <v>2Q09/</v>
      </c>
      <c r="AD341" s="736"/>
      <c r="AE341" s="738" t="str">
        <f>AE$3</f>
        <v>3Q09/</v>
      </c>
      <c r="AF341" s="736"/>
      <c r="AG341" s="738" t="str">
        <f>AG$3</f>
        <v>4Q09/</v>
      </c>
      <c r="AH341" s="736"/>
      <c r="AI341" s="738" t="str">
        <f>AI$3</f>
        <v>1Q10/</v>
      </c>
      <c r="AJ341" s="736"/>
      <c r="AK341" s="738" t="str">
        <f>AK$3</f>
        <v>2Q10/</v>
      </c>
      <c r="AL341" s="736"/>
      <c r="AM341" s="738" t="str">
        <f>AM$3</f>
        <v>3Q10/</v>
      </c>
      <c r="AN341" s="736"/>
      <c r="AO341" s="738">
        <f>AO$3</f>
        <v>0</v>
      </c>
      <c r="AP341" s="736"/>
      <c r="AQ341" s="738" t="str">
        <f>AQ$3</f>
        <v>1Q11/</v>
      </c>
      <c r="AR341" s="736"/>
      <c r="AS341" s="738" t="str">
        <f>AS$3</f>
        <v>2Q11/</v>
      </c>
      <c r="AT341" s="736"/>
      <c r="AU341" s="738" t="str">
        <f>AU$3</f>
        <v>3Q11/</v>
      </c>
      <c r="AV341" s="736"/>
      <c r="AW341" s="738" t="str">
        <f>AW$3</f>
        <v>4Q11/</v>
      </c>
      <c r="AX341" s="736"/>
      <c r="AY341" s="738" t="str">
        <f>AY$3</f>
        <v>1Q12/</v>
      </c>
      <c r="AZ341" s="736"/>
      <c r="BA341" s="738" t="str">
        <f>BA$3</f>
        <v>2Q12/</v>
      </c>
      <c r="BB341" s="736"/>
      <c r="BC341" s="738" t="str">
        <f>BC$3</f>
        <v>3Q12/</v>
      </c>
      <c r="BD341" s="736"/>
      <c r="BE341" s="738" t="str">
        <f>BE$3</f>
        <v>4Q12/</v>
      </c>
      <c r="BF341" s="736"/>
      <c r="BG341" s="738" t="str">
        <f>BG$3</f>
        <v>1Q13/</v>
      </c>
      <c r="BH341" s="736"/>
      <c r="BI341" s="738" t="str">
        <f>BI$3</f>
        <v>2Q13/</v>
      </c>
      <c r="BJ341" s="736"/>
      <c r="BK341" s="738" t="str">
        <f>BK$3</f>
        <v>3Q13/</v>
      </c>
      <c r="BL341" s="736"/>
      <c r="BM341" s="738" t="str">
        <f>BM$3</f>
        <v>4Q13/</v>
      </c>
      <c r="BN341" s="736"/>
      <c r="BO341" s="738" t="str">
        <f>BO$3</f>
        <v>1Q14/</v>
      </c>
      <c r="BP341" s="736"/>
      <c r="BQ341" s="738" t="str">
        <f>BQ$3</f>
        <v>2Q14/</v>
      </c>
      <c r="BR341" s="736"/>
      <c r="BS341" s="738" t="str">
        <f>BS$3</f>
        <v>3Q14/</v>
      </c>
      <c r="BT341" s="736"/>
      <c r="BU341" s="738" t="str">
        <f>BU$3</f>
        <v>4Q14/</v>
      </c>
      <c r="BV341" s="736"/>
      <c r="BW341" s="738" t="str">
        <f>BW$3</f>
        <v>1Q15/</v>
      </c>
      <c r="BX341" s="736"/>
      <c r="BY341" s="738" t="str">
        <f>BY$3</f>
        <v>2Q15/</v>
      </c>
      <c r="BZ341" s="736"/>
      <c r="CA341" s="738" t="str">
        <f>CA$3</f>
        <v>3Q15/</v>
      </c>
      <c r="CB341" s="736"/>
      <c r="CC341" s="738" t="str">
        <f>CC$3</f>
        <v>4Q15/</v>
      </c>
      <c r="CD341" s="736"/>
      <c r="CE341" s="738" t="str">
        <f>CE$3</f>
        <v>1Q16/</v>
      </c>
      <c r="CF341" s="736"/>
      <c r="CG341" s="738" t="str">
        <f>CG$3</f>
        <v>2Q16/</v>
      </c>
      <c r="CH341" s="736"/>
      <c r="CI341" s="738" t="str">
        <f>CI$3</f>
        <v>3Q16/</v>
      </c>
      <c r="CJ341" s="736"/>
      <c r="CK341" s="738" t="str">
        <f>CK$3</f>
        <v>4Q16/</v>
      </c>
      <c r="CL341" s="736"/>
      <c r="CM341" s="738" t="str">
        <f t="shared" ref="CM341" si="334">CM$3</f>
        <v>1Q17/</v>
      </c>
      <c r="CN341" s="736"/>
      <c r="CO341" s="738" t="str">
        <f t="shared" ref="CO341" si="335">CO$3</f>
        <v>2Q17/</v>
      </c>
      <c r="CP341" s="736"/>
      <c r="CQ341" s="738" t="str">
        <f t="shared" ref="CQ341:CS341" si="336">CQ$3</f>
        <v>3Q17/</v>
      </c>
      <c r="CR341" s="736"/>
      <c r="CS341" s="738" t="str">
        <f t="shared" si="336"/>
        <v>4Q17/</v>
      </c>
      <c r="CT341" s="736"/>
      <c r="CU341" s="738" t="str">
        <f t="shared" ref="CU341" si="337">CU$3</f>
        <v>1Q18E/</v>
      </c>
      <c r="CV341" s="736"/>
      <c r="CW341" s="738" t="str">
        <f t="shared" ref="CW341" si="338">CW$3</f>
        <v>2Q18E/</v>
      </c>
      <c r="CX341" s="736"/>
      <c r="CY341" s="738" t="str">
        <f t="shared" ref="CY341:DA341" si="339">CY$3</f>
        <v>3Q18E/</v>
      </c>
      <c r="CZ341" s="736"/>
      <c r="DA341" s="738" t="str">
        <f t="shared" si="339"/>
        <v>4Q18E/</v>
      </c>
      <c r="DB341" s="739"/>
      <c r="DC341" s="736"/>
      <c r="DD341" s="737" t="str">
        <f>DD$3</f>
        <v>2001/</v>
      </c>
      <c r="DE341" s="736"/>
      <c r="DF341" s="737" t="str">
        <f>DF$3</f>
        <v>2002/</v>
      </c>
      <c r="DG341" s="736"/>
      <c r="DH341" s="737" t="str">
        <f>DH$3</f>
        <v>2003/</v>
      </c>
      <c r="DI341" s="736"/>
      <c r="DJ341" s="737" t="str">
        <f>DJ$3</f>
        <v>2004/</v>
      </c>
      <c r="DK341" s="736"/>
      <c r="DL341" s="738" t="str">
        <f>DL$3</f>
        <v>2005/</v>
      </c>
      <c r="DM341" s="736"/>
      <c r="DN341" s="738" t="str">
        <f>DN$3</f>
        <v>2006/</v>
      </c>
      <c r="DO341" s="736"/>
      <c r="DP341" s="738" t="str">
        <f>DP$3</f>
        <v>2007/</v>
      </c>
      <c r="DQ341" s="736"/>
      <c r="DR341" s="738" t="str">
        <f>DR$3</f>
        <v>2008/</v>
      </c>
      <c r="DS341" s="736"/>
      <c r="DT341" s="738" t="str">
        <f>DT$3</f>
        <v>2009/</v>
      </c>
      <c r="DU341" s="736"/>
      <c r="DV341" s="738" t="str">
        <f>DV$3</f>
        <v>2010/</v>
      </c>
      <c r="DW341" s="736"/>
      <c r="DX341" s="738" t="str">
        <f>DX$3</f>
        <v>2011/</v>
      </c>
      <c r="DY341" s="736"/>
      <c r="DZ341" s="738" t="str">
        <f>DZ$3</f>
        <v>2012/</v>
      </c>
      <c r="EA341" s="736"/>
      <c r="EB341" s="738" t="str">
        <f>EB$3</f>
        <v>2013/</v>
      </c>
      <c r="EC341" s="736"/>
      <c r="ED341" s="738" t="str">
        <f>ED$3</f>
        <v>2014/</v>
      </c>
      <c r="EE341" s="736"/>
      <c r="EF341" s="738" t="str">
        <f>EF$3</f>
        <v>2015/</v>
      </c>
      <c r="EG341" s="736"/>
      <c r="EH341" s="738" t="str">
        <f>EH$3</f>
        <v>2016/</v>
      </c>
      <c r="EI341" s="736"/>
      <c r="EJ341" s="738" t="str">
        <f>EJ$3</f>
        <v>2017/</v>
      </c>
      <c r="EK341" s="736"/>
      <c r="EL341" s="738" t="str">
        <f>EL$3</f>
        <v>2018E/</v>
      </c>
      <c r="EM341" s="736"/>
      <c r="EN341" s="738" t="str">
        <f>EN$3</f>
        <v>2019E/</v>
      </c>
      <c r="EO341" s="736"/>
      <c r="EP341" s="738" t="str">
        <f>EP$3</f>
        <v>2020E/</v>
      </c>
      <c r="EQ341" s="736"/>
      <c r="ER341" s="738" t="str">
        <f>ER$3</f>
        <v>2021E/</v>
      </c>
      <c r="ES341" s="736"/>
      <c r="ET341" s="738" t="str">
        <f>ET$3</f>
        <v>2022E/</v>
      </c>
      <c r="EU341" s="737"/>
      <c r="EV341" s="710"/>
    </row>
    <row r="342" spans="1:152" ht="12.75" hidden="1" customHeight="1" outlineLevel="2" x14ac:dyDescent="0.2">
      <c r="A342" s="740"/>
      <c r="B342" s="732"/>
      <c r="C342" s="741" t="str">
        <f>C$4</f>
        <v>1Q05</v>
      </c>
      <c r="D342" s="732"/>
      <c r="E342" s="741" t="str">
        <f>E$4</f>
        <v>2Q05</v>
      </c>
      <c r="F342" s="732"/>
      <c r="G342" s="741" t="str">
        <f>G$4</f>
        <v>3Q05</v>
      </c>
      <c r="H342" s="732"/>
      <c r="I342" s="734" t="str">
        <f>I$4</f>
        <v>4Q05</v>
      </c>
      <c r="J342" s="732"/>
      <c r="K342" s="734" t="str">
        <f>K$4</f>
        <v>1Q06</v>
      </c>
      <c r="L342" s="732"/>
      <c r="M342" s="734" t="str">
        <f>M$4</f>
        <v>2Q06</v>
      </c>
      <c r="N342" s="732"/>
      <c r="O342" s="734" t="str">
        <f>O$4</f>
        <v>3Q06</v>
      </c>
      <c r="P342" s="732"/>
      <c r="Q342" s="734" t="str">
        <f>Q$4</f>
        <v>4Q06</v>
      </c>
      <c r="R342" s="732"/>
      <c r="S342" s="734" t="str">
        <f>S$4</f>
        <v>1Q07</v>
      </c>
      <c r="T342" s="732"/>
      <c r="U342" s="734" t="str">
        <f>U$4</f>
        <v>2Q07</v>
      </c>
      <c r="V342" s="732"/>
      <c r="W342" s="734" t="str">
        <f>W$4</f>
        <v>3Q07</v>
      </c>
      <c r="X342" s="732"/>
      <c r="Y342" s="734" t="str">
        <f>Y$4</f>
        <v>4Q07</v>
      </c>
      <c r="Z342" s="732"/>
      <c r="AA342" s="734" t="str">
        <f>AA$4</f>
        <v>1Q08</v>
      </c>
      <c r="AB342" s="732"/>
      <c r="AC342" s="734" t="str">
        <f>AC$4</f>
        <v>2Q08</v>
      </c>
      <c r="AD342" s="732"/>
      <c r="AE342" s="734" t="str">
        <f>AE$4</f>
        <v>3Q08</v>
      </c>
      <c r="AF342" s="732"/>
      <c r="AG342" s="734" t="str">
        <f>AG$4</f>
        <v>4Q08</v>
      </c>
      <c r="AH342" s="732"/>
      <c r="AI342" s="734" t="str">
        <f>AI$4</f>
        <v>1Q09</v>
      </c>
      <c r="AJ342" s="732"/>
      <c r="AK342" s="734" t="str">
        <f>AK$4</f>
        <v>2Q09</v>
      </c>
      <c r="AL342" s="732"/>
      <c r="AM342" s="734" t="str">
        <f>AM$4</f>
        <v>3Q09</v>
      </c>
      <c r="AN342" s="732"/>
      <c r="AO342" s="734" t="str">
        <f>AO$4</f>
        <v>4Q09</v>
      </c>
      <c r="AP342" s="732"/>
      <c r="AQ342" s="734" t="str">
        <f>AQ$4</f>
        <v>1Q10</v>
      </c>
      <c r="AR342" s="732"/>
      <c r="AS342" s="734" t="str">
        <f>AS$4</f>
        <v>2Q10</v>
      </c>
      <c r="AT342" s="732"/>
      <c r="AU342" s="734" t="str">
        <f>AU$4</f>
        <v>3Q10</v>
      </c>
      <c r="AV342" s="732"/>
      <c r="AW342" s="734" t="str">
        <f>AW$4</f>
        <v>4Q10</v>
      </c>
      <c r="AX342" s="732"/>
      <c r="AY342" s="734" t="str">
        <f>AY$4</f>
        <v>1Q11</v>
      </c>
      <c r="AZ342" s="732"/>
      <c r="BA342" s="734" t="str">
        <f>BA$4</f>
        <v>2Q11</v>
      </c>
      <c r="BB342" s="732"/>
      <c r="BC342" s="734" t="str">
        <f>BC$4</f>
        <v>3Q11</v>
      </c>
      <c r="BD342" s="732"/>
      <c r="BE342" s="734" t="str">
        <f>BE$4</f>
        <v>4Q11</v>
      </c>
      <c r="BF342" s="732"/>
      <c r="BG342" s="734" t="str">
        <f>BG$4</f>
        <v>1Q12</v>
      </c>
      <c r="BH342" s="732"/>
      <c r="BI342" s="734" t="str">
        <f>BI$4</f>
        <v>2Q12</v>
      </c>
      <c r="BJ342" s="732"/>
      <c r="BK342" s="734" t="str">
        <f>BK$4</f>
        <v>3Q12</v>
      </c>
      <c r="BL342" s="732"/>
      <c r="BM342" s="734" t="str">
        <f>BM$4</f>
        <v>4Q12</v>
      </c>
      <c r="BN342" s="732"/>
      <c r="BO342" s="734" t="str">
        <f>BO$4</f>
        <v>1Q13</v>
      </c>
      <c r="BP342" s="732"/>
      <c r="BQ342" s="734" t="str">
        <f>BQ$4</f>
        <v>2Q13</v>
      </c>
      <c r="BR342" s="732"/>
      <c r="BS342" s="734" t="str">
        <f>BS$4</f>
        <v>3Q13</v>
      </c>
      <c r="BT342" s="732"/>
      <c r="BU342" s="734" t="str">
        <f>BU$4</f>
        <v>4Q13</v>
      </c>
      <c r="BV342" s="732"/>
      <c r="BW342" s="734" t="str">
        <f>BW$4</f>
        <v>1Q14</v>
      </c>
      <c r="BX342" s="732"/>
      <c r="BY342" s="734" t="str">
        <f>BY$4</f>
        <v>2Q14</v>
      </c>
      <c r="BZ342" s="732"/>
      <c r="CA342" s="734" t="str">
        <f>CA$4</f>
        <v>3Q14</v>
      </c>
      <c r="CB342" s="732"/>
      <c r="CC342" s="734" t="str">
        <f>CC$4</f>
        <v>4Q14</v>
      </c>
      <c r="CD342" s="732"/>
      <c r="CE342" s="734" t="str">
        <f>CE$4</f>
        <v>1Q15</v>
      </c>
      <c r="CF342" s="732"/>
      <c r="CG342" s="734" t="str">
        <f>CG$4</f>
        <v>2Q15</v>
      </c>
      <c r="CH342" s="732"/>
      <c r="CI342" s="734" t="str">
        <f>CI$4</f>
        <v>3Q15</v>
      </c>
      <c r="CJ342" s="732"/>
      <c r="CK342" s="734" t="str">
        <f>CK$4</f>
        <v>4Q15</v>
      </c>
      <c r="CL342" s="732"/>
      <c r="CM342" s="734" t="str">
        <f t="shared" ref="CM342" si="340">CM$4</f>
        <v>1Q16</v>
      </c>
      <c r="CN342" s="732"/>
      <c r="CO342" s="734" t="str">
        <f t="shared" ref="CO342" si="341">CO$4</f>
        <v>2Q16</v>
      </c>
      <c r="CP342" s="732"/>
      <c r="CQ342" s="734" t="str">
        <f t="shared" ref="CQ342:CS342" si="342">CQ$4</f>
        <v>3Q16</v>
      </c>
      <c r="CR342" s="732"/>
      <c r="CS342" s="734" t="str">
        <f t="shared" si="342"/>
        <v>4Q16</v>
      </c>
      <c r="CT342" s="732"/>
      <c r="CU342" s="734" t="str">
        <f t="shared" ref="CU342" si="343">CU$4</f>
        <v>1Q17</v>
      </c>
      <c r="CV342" s="732"/>
      <c r="CW342" s="734" t="str">
        <f t="shared" ref="CW342" si="344">CW$4</f>
        <v>2Q17</v>
      </c>
      <c r="CX342" s="732"/>
      <c r="CY342" s="734" t="str">
        <f t="shared" ref="CY342:DA342" si="345">CY$4</f>
        <v>3Q17</v>
      </c>
      <c r="CZ342" s="732"/>
      <c r="DA342" s="734" t="str">
        <f t="shared" si="345"/>
        <v>4Q17</v>
      </c>
      <c r="DB342" s="742"/>
      <c r="DC342" s="732"/>
      <c r="DD342" s="741" t="str">
        <f>DD$4</f>
        <v>2000</v>
      </c>
      <c r="DE342" s="732"/>
      <c r="DF342" s="741" t="str">
        <f>DF$4</f>
        <v>2001</v>
      </c>
      <c r="DG342" s="732"/>
      <c r="DH342" s="741" t="str">
        <f>DH$4</f>
        <v>2002</v>
      </c>
      <c r="DI342" s="732"/>
      <c r="DJ342" s="741" t="str">
        <f>DJ$4</f>
        <v>2003</v>
      </c>
      <c r="DK342" s="732"/>
      <c r="DL342" s="734" t="str">
        <f>DL$4</f>
        <v>2004</v>
      </c>
      <c r="DM342" s="732"/>
      <c r="DN342" s="734" t="str">
        <f>DN$4</f>
        <v>2005</v>
      </c>
      <c r="DO342" s="732"/>
      <c r="DP342" s="734">
        <f>DP$4</f>
        <v>2006</v>
      </c>
      <c r="DQ342" s="732"/>
      <c r="DR342" s="734">
        <f>DR$4</f>
        <v>2007</v>
      </c>
      <c r="DS342" s="732"/>
      <c r="DT342" s="734">
        <f>DT$4</f>
        <v>2008</v>
      </c>
      <c r="DU342" s="732"/>
      <c r="DV342" s="734" t="str">
        <f>DV$4</f>
        <v>2009</v>
      </c>
      <c r="DW342" s="732"/>
      <c r="DX342" s="734" t="str">
        <f>DX$4</f>
        <v>2010</v>
      </c>
      <c r="DY342" s="732"/>
      <c r="DZ342" s="734" t="str">
        <f>DZ$4</f>
        <v>2011</v>
      </c>
      <c r="EA342" s="732"/>
      <c r="EB342" s="734" t="str">
        <f>EB$4</f>
        <v>2012</v>
      </c>
      <c r="EC342" s="732"/>
      <c r="ED342" s="734" t="str">
        <f>ED$4</f>
        <v>2013</v>
      </c>
      <c r="EE342" s="732"/>
      <c r="EF342" s="734" t="str">
        <f>EF$4</f>
        <v>2014</v>
      </c>
      <c r="EG342" s="732"/>
      <c r="EH342" s="734" t="str">
        <f>EH$4</f>
        <v>2015</v>
      </c>
      <c r="EI342" s="732"/>
      <c r="EJ342" s="734" t="str">
        <f>EJ$4</f>
        <v>2016</v>
      </c>
      <c r="EK342" s="732"/>
      <c r="EL342" s="734" t="str">
        <f>EL$4</f>
        <v>2017</v>
      </c>
      <c r="EM342" s="732"/>
      <c r="EN342" s="734" t="str">
        <f>EN$4</f>
        <v>2018E</v>
      </c>
      <c r="EO342" s="732"/>
      <c r="EP342" s="734" t="str">
        <f>EP$4</f>
        <v>2019E</v>
      </c>
      <c r="EQ342" s="732"/>
      <c r="ER342" s="734" t="str">
        <f>ER$4</f>
        <v>2020E</v>
      </c>
      <c r="ES342" s="732"/>
      <c r="ET342" s="734" t="str">
        <f>ET$4</f>
        <v>2021E</v>
      </c>
      <c r="EU342" s="741" t="str">
        <f>EU$4</f>
        <v>CAGR</v>
      </c>
      <c r="EV342" s="710"/>
    </row>
    <row r="343" spans="1:152" ht="12.75" hidden="1" customHeight="1" outlineLevel="2" x14ac:dyDescent="0.2">
      <c r="A343" s="743"/>
      <c r="B343" s="744" t="str">
        <f t="shared" ref="B343:CL343" si="346">B$5</f>
        <v>1Q06</v>
      </c>
      <c r="C343" s="745" t="str">
        <f t="shared" si="346"/>
        <v>% Chg</v>
      </c>
      <c r="D343" s="744" t="str">
        <f t="shared" si="346"/>
        <v>2Q06</v>
      </c>
      <c r="E343" s="745" t="str">
        <f t="shared" si="346"/>
        <v>% Chg</v>
      </c>
      <c r="F343" s="744" t="str">
        <f t="shared" si="346"/>
        <v>3Q06</v>
      </c>
      <c r="G343" s="745" t="str">
        <f t="shared" si="346"/>
        <v>% Chg</v>
      </c>
      <c r="H343" s="744" t="str">
        <f t="shared" si="346"/>
        <v>4Q06</v>
      </c>
      <c r="I343" s="746" t="str">
        <f t="shared" si="346"/>
        <v>% Chg</v>
      </c>
      <c r="J343" s="744" t="str">
        <f t="shared" si="346"/>
        <v>1Q07</v>
      </c>
      <c r="K343" s="746" t="str">
        <f t="shared" si="346"/>
        <v>% Chg</v>
      </c>
      <c r="L343" s="744" t="str">
        <f t="shared" si="346"/>
        <v>2Q07</v>
      </c>
      <c r="M343" s="746" t="str">
        <f t="shared" si="346"/>
        <v>% Chg</v>
      </c>
      <c r="N343" s="744" t="str">
        <f t="shared" si="346"/>
        <v>3Q07</v>
      </c>
      <c r="O343" s="746" t="str">
        <f t="shared" si="346"/>
        <v>% Chg</v>
      </c>
      <c r="P343" s="744" t="str">
        <f t="shared" si="346"/>
        <v>4Q07</v>
      </c>
      <c r="Q343" s="746" t="str">
        <f t="shared" si="346"/>
        <v>% Chg</v>
      </c>
      <c r="R343" s="744" t="str">
        <f t="shared" si="346"/>
        <v>1Q08</v>
      </c>
      <c r="S343" s="746" t="str">
        <f t="shared" si="346"/>
        <v>% Chg</v>
      </c>
      <c r="T343" s="744" t="str">
        <f t="shared" si="346"/>
        <v>2Q08</v>
      </c>
      <c r="U343" s="746" t="str">
        <f t="shared" si="346"/>
        <v>% Chg</v>
      </c>
      <c r="V343" s="744" t="str">
        <f t="shared" si="346"/>
        <v>3Q08</v>
      </c>
      <c r="W343" s="746" t="str">
        <f t="shared" si="346"/>
        <v>% Chg</v>
      </c>
      <c r="X343" s="744" t="str">
        <f t="shared" si="346"/>
        <v>4Q08</v>
      </c>
      <c r="Y343" s="746" t="str">
        <f t="shared" si="346"/>
        <v>% Chg</v>
      </c>
      <c r="Z343" s="744" t="str">
        <f t="shared" si="346"/>
        <v>1Q09</v>
      </c>
      <c r="AA343" s="746" t="str">
        <f t="shared" si="346"/>
        <v>% Chg</v>
      </c>
      <c r="AB343" s="744" t="str">
        <f t="shared" si="346"/>
        <v>2Q09</v>
      </c>
      <c r="AC343" s="746" t="str">
        <f t="shared" si="346"/>
        <v>% Chg</v>
      </c>
      <c r="AD343" s="744" t="str">
        <f t="shared" si="346"/>
        <v>3Q09</v>
      </c>
      <c r="AE343" s="746" t="str">
        <f t="shared" si="346"/>
        <v>% Chg</v>
      </c>
      <c r="AF343" s="744" t="str">
        <f t="shared" si="346"/>
        <v>4Q09</v>
      </c>
      <c r="AG343" s="746" t="str">
        <f t="shared" si="346"/>
        <v>% Chg</v>
      </c>
      <c r="AH343" s="744" t="str">
        <f t="shared" si="346"/>
        <v>1Q10</v>
      </c>
      <c r="AI343" s="746" t="str">
        <f t="shared" si="346"/>
        <v>% Chg</v>
      </c>
      <c r="AJ343" s="744" t="str">
        <f t="shared" si="346"/>
        <v>2Q10</v>
      </c>
      <c r="AK343" s="746" t="str">
        <f t="shared" si="346"/>
        <v>% Chg</v>
      </c>
      <c r="AL343" s="744" t="str">
        <f t="shared" si="346"/>
        <v>3Q10</v>
      </c>
      <c r="AM343" s="746" t="str">
        <f t="shared" si="346"/>
        <v>% Chg</v>
      </c>
      <c r="AN343" s="744" t="str">
        <f t="shared" si="346"/>
        <v>4Q10</v>
      </c>
      <c r="AO343" s="746" t="str">
        <f t="shared" si="346"/>
        <v>% Chg</v>
      </c>
      <c r="AP343" s="744" t="str">
        <f t="shared" si="346"/>
        <v>1Q11</v>
      </c>
      <c r="AQ343" s="746" t="str">
        <f t="shared" si="346"/>
        <v>% Chg</v>
      </c>
      <c r="AR343" s="744" t="str">
        <f t="shared" si="346"/>
        <v>2Q11</v>
      </c>
      <c r="AS343" s="746" t="str">
        <f t="shared" si="346"/>
        <v>% Chg</v>
      </c>
      <c r="AT343" s="744" t="str">
        <f t="shared" si="346"/>
        <v>3Q11</v>
      </c>
      <c r="AU343" s="746" t="str">
        <f t="shared" si="346"/>
        <v>% Chg</v>
      </c>
      <c r="AV343" s="744" t="str">
        <f t="shared" si="346"/>
        <v>4Q11</v>
      </c>
      <c r="AW343" s="746" t="str">
        <f t="shared" si="346"/>
        <v>% Chg</v>
      </c>
      <c r="AX343" s="744" t="str">
        <f t="shared" si="346"/>
        <v>1Q12</v>
      </c>
      <c r="AY343" s="746" t="str">
        <f t="shared" si="346"/>
        <v>% Chg</v>
      </c>
      <c r="AZ343" s="744" t="str">
        <f t="shared" si="346"/>
        <v>2Q12</v>
      </c>
      <c r="BA343" s="746" t="str">
        <f t="shared" si="346"/>
        <v>% Chg</v>
      </c>
      <c r="BB343" s="744" t="str">
        <f t="shared" si="346"/>
        <v>3Q12</v>
      </c>
      <c r="BC343" s="746" t="str">
        <f t="shared" si="346"/>
        <v>% Chg</v>
      </c>
      <c r="BD343" s="744" t="str">
        <f t="shared" si="346"/>
        <v>4Q12</v>
      </c>
      <c r="BE343" s="746" t="str">
        <f t="shared" si="346"/>
        <v>% Chg</v>
      </c>
      <c r="BF343" s="744" t="str">
        <f t="shared" si="346"/>
        <v>1Q13</v>
      </c>
      <c r="BG343" s="746" t="str">
        <f t="shared" si="346"/>
        <v>% Chg</v>
      </c>
      <c r="BH343" s="744" t="str">
        <f t="shared" si="346"/>
        <v>2Q13</v>
      </c>
      <c r="BI343" s="746" t="str">
        <f t="shared" si="346"/>
        <v>% Chg</v>
      </c>
      <c r="BJ343" s="744" t="str">
        <f t="shared" si="346"/>
        <v>3Q13</v>
      </c>
      <c r="BK343" s="746" t="str">
        <f t="shared" si="346"/>
        <v>% Chg</v>
      </c>
      <c r="BL343" s="744" t="str">
        <f t="shared" si="346"/>
        <v>4Q13</v>
      </c>
      <c r="BM343" s="746" t="str">
        <f t="shared" si="346"/>
        <v>% Chg</v>
      </c>
      <c r="BN343" s="744" t="str">
        <f t="shared" si="346"/>
        <v>1Q14</v>
      </c>
      <c r="BO343" s="746" t="str">
        <f>BO$5</f>
        <v>% Chg</v>
      </c>
      <c r="BP343" s="744" t="str">
        <f t="shared" si="346"/>
        <v>2Q14</v>
      </c>
      <c r="BQ343" s="746" t="str">
        <f>BQ$5</f>
        <v>% Chg</v>
      </c>
      <c r="BR343" s="744" t="str">
        <f t="shared" si="346"/>
        <v>3Q14</v>
      </c>
      <c r="BS343" s="746" t="str">
        <f>BS$5</f>
        <v>% Chg</v>
      </c>
      <c r="BT343" s="744" t="str">
        <f t="shared" si="346"/>
        <v>4Q14</v>
      </c>
      <c r="BU343" s="746" t="str">
        <f>BU$5</f>
        <v>% Chg</v>
      </c>
      <c r="BV343" s="744" t="str">
        <f t="shared" si="346"/>
        <v>1Q15</v>
      </c>
      <c r="BW343" s="746" t="str">
        <f>BW$5</f>
        <v>% Chg</v>
      </c>
      <c r="BX343" s="744" t="str">
        <f t="shared" si="346"/>
        <v>2Q15</v>
      </c>
      <c r="BY343" s="746" t="str">
        <f>BY$5</f>
        <v>% Chg</v>
      </c>
      <c r="BZ343" s="744" t="str">
        <f t="shared" si="346"/>
        <v>3Q15</v>
      </c>
      <c r="CA343" s="746" t="str">
        <f>CA$5</f>
        <v>% Chg</v>
      </c>
      <c r="CB343" s="744" t="str">
        <f t="shared" si="346"/>
        <v>4Q15</v>
      </c>
      <c r="CC343" s="746" t="str">
        <f>CC$5</f>
        <v>% Chg</v>
      </c>
      <c r="CD343" s="744" t="str">
        <f t="shared" si="346"/>
        <v>1Q16</v>
      </c>
      <c r="CE343" s="746" t="str">
        <f>CE$5</f>
        <v>% Chg</v>
      </c>
      <c r="CF343" s="744" t="str">
        <f t="shared" si="346"/>
        <v>2Q16</v>
      </c>
      <c r="CG343" s="746" t="str">
        <f>CG$5</f>
        <v>% Chg</v>
      </c>
      <c r="CH343" s="744" t="str">
        <f t="shared" si="346"/>
        <v>3Q16</v>
      </c>
      <c r="CI343" s="746" t="str">
        <f>CI$5</f>
        <v>% Chg</v>
      </c>
      <c r="CJ343" s="744" t="str">
        <f t="shared" si="346"/>
        <v>4Q16</v>
      </c>
      <c r="CK343" s="746" t="str">
        <f>CK$5</f>
        <v>% Chg</v>
      </c>
      <c r="CL343" s="744" t="str">
        <f t="shared" si="346"/>
        <v>1Q17</v>
      </c>
      <c r="CM343" s="746" t="str">
        <f t="shared" ref="CM343:DA343" si="347">CM$5</f>
        <v>% Chg</v>
      </c>
      <c r="CN343" s="744" t="str">
        <f t="shared" si="347"/>
        <v>2Q17</v>
      </c>
      <c r="CO343" s="746" t="str">
        <f t="shared" si="347"/>
        <v>% Chg</v>
      </c>
      <c r="CP343" s="744" t="str">
        <f t="shared" si="347"/>
        <v>3Q17</v>
      </c>
      <c r="CQ343" s="746" t="str">
        <f t="shared" si="347"/>
        <v>% Chg</v>
      </c>
      <c r="CR343" s="744" t="str">
        <f t="shared" si="347"/>
        <v>4Q17</v>
      </c>
      <c r="CS343" s="746" t="str">
        <f t="shared" si="347"/>
        <v>% Chg</v>
      </c>
      <c r="CT343" s="744" t="str">
        <f t="shared" si="347"/>
        <v>1Q18E</v>
      </c>
      <c r="CU343" s="746" t="str">
        <f t="shared" si="347"/>
        <v>% Chg</v>
      </c>
      <c r="CV343" s="744" t="str">
        <f t="shared" si="347"/>
        <v>2Q18E</v>
      </c>
      <c r="CW343" s="746" t="str">
        <f t="shared" si="347"/>
        <v>% Chg</v>
      </c>
      <c r="CX343" s="744" t="str">
        <f t="shared" si="347"/>
        <v>3Q18E</v>
      </c>
      <c r="CY343" s="746" t="str">
        <f t="shared" si="347"/>
        <v>% Chg</v>
      </c>
      <c r="CZ343" s="744" t="str">
        <f t="shared" si="347"/>
        <v>4Q18E</v>
      </c>
      <c r="DA343" s="746" t="str">
        <f t="shared" si="347"/>
        <v>% Chg</v>
      </c>
      <c r="DB343" s="747"/>
      <c r="DC343" s="744" t="str">
        <f t="shared" ref="DC343:ET343" si="348">DC$5</f>
        <v>2001</v>
      </c>
      <c r="DD343" s="745" t="str">
        <f t="shared" si="348"/>
        <v>% Chg</v>
      </c>
      <c r="DE343" s="744" t="str">
        <f t="shared" si="348"/>
        <v>2002</v>
      </c>
      <c r="DF343" s="745" t="str">
        <f t="shared" si="348"/>
        <v>% Chg</v>
      </c>
      <c r="DG343" s="744" t="str">
        <f t="shared" si="348"/>
        <v>2003</v>
      </c>
      <c r="DH343" s="745" t="str">
        <f t="shared" si="348"/>
        <v>% Chg</v>
      </c>
      <c r="DI343" s="744" t="str">
        <f t="shared" si="348"/>
        <v>2004</v>
      </c>
      <c r="DJ343" s="745" t="str">
        <f t="shared" si="348"/>
        <v>% Chg</v>
      </c>
      <c r="DK343" s="744" t="str">
        <f t="shared" si="348"/>
        <v>2005</v>
      </c>
      <c r="DL343" s="746" t="str">
        <f t="shared" si="348"/>
        <v>% Chg</v>
      </c>
      <c r="DM343" s="748">
        <f t="shared" si="348"/>
        <v>2006</v>
      </c>
      <c r="DN343" s="746" t="str">
        <f t="shared" si="348"/>
        <v>% Chg</v>
      </c>
      <c r="DO343" s="748">
        <f t="shared" si="348"/>
        <v>2007</v>
      </c>
      <c r="DP343" s="746" t="str">
        <f t="shared" si="348"/>
        <v>% Chg</v>
      </c>
      <c r="DQ343" s="748">
        <f t="shared" si="348"/>
        <v>2008</v>
      </c>
      <c r="DR343" s="746" t="str">
        <f t="shared" si="348"/>
        <v>% Chg</v>
      </c>
      <c r="DS343" s="744" t="str">
        <f t="shared" si="348"/>
        <v>2009</v>
      </c>
      <c r="DT343" s="746" t="str">
        <f t="shared" si="348"/>
        <v>% Chg</v>
      </c>
      <c r="DU343" s="744" t="str">
        <f t="shared" si="348"/>
        <v>2010</v>
      </c>
      <c r="DV343" s="746" t="str">
        <f t="shared" si="348"/>
        <v>% Chg</v>
      </c>
      <c r="DW343" s="744" t="str">
        <f t="shared" si="348"/>
        <v>2011</v>
      </c>
      <c r="DX343" s="746" t="str">
        <f t="shared" si="348"/>
        <v>% Chg</v>
      </c>
      <c r="DY343" s="744" t="str">
        <f t="shared" si="348"/>
        <v>2012</v>
      </c>
      <c r="DZ343" s="746" t="str">
        <f t="shared" si="348"/>
        <v>% Chg</v>
      </c>
      <c r="EA343" s="744" t="str">
        <f t="shared" si="348"/>
        <v>2013</v>
      </c>
      <c r="EB343" s="746" t="str">
        <f t="shared" si="348"/>
        <v>% Chg</v>
      </c>
      <c r="EC343" s="744" t="str">
        <f t="shared" si="348"/>
        <v>2014</v>
      </c>
      <c r="ED343" s="746" t="str">
        <f t="shared" si="348"/>
        <v>% Chg</v>
      </c>
      <c r="EE343" s="744" t="str">
        <f t="shared" si="348"/>
        <v>2015</v>
      </c>
      <c r="EF343" s="746" t="str">
        <f t="shared" si="348"/>
        <v>% Chg</v>
      </c>
      <c r="EG343" s="744" t="str">
        <f t="shared" si="348"/>
        <v>2016</v>
      </c>
      <c r="EH343" s="746" t="str">
        <f t="shared" si="348"/>
        <v>% Chg</v>
      </c>
      <c r="EI343" s="744" t="str">
        <f t="shared" si="348"/>
        <v>2017</v>
      </c>
      <c r="EJ343" s="746" t="str">
        <f t="shared" si="348"/>
        <v>% Chg</v>
      </c>
      <c r="EK343" s="744" t="str">
        <f t="shared" si="348"/>
        <v>2018E</v>
      </c>
      <c r="EL343" s="746" t="str">
        <f t="shared" si="348"/>
        <v>% Chg</v>
      </c>
      <c r="EM343" s="744" t="str">
        <f t="shared" si="348"/>
        <v>2019E</v>
      </c>
      <c r="EN343" s="746" t="str">
        <f t="shared" si="348"/>
        <v>% Chg</v>
      </c>
      <c r="EO343" s="744" t="str">
        <f t="shared" si="348"/>
        <v>2020E</v>
      </c>
      <c r="EP343" s="746" t="str">
        <f t="shared" si="348"/>
        <v>% Chg</v>
      </c>
      <c r="EQ343" s="744" t="str">
        <f t="shared" si="348"/>
        <v>2021E</v>
      </c>
      <c r="ER343" s="746" t="str">
        <f t="shared" si="348"/>
        <v>% Chg</v>
      </c>
      <c r="ES343" s="744" t="str">
        <f t="shared" si="348"/>
        <v>2022E</v>
      </c>
      <c r="ET343" s="746" t="str">
        <f t="shared" si="348"/>
        <v>% Chg</v>
      </c>
      <c r="EU343" s="745" t="str">
        <f>EU$5</f>
        <v>(%)</v>
      </c>
      <c r="EV343" s="710"/>
    </row>
    <row r="344" spans="1:152" ht="12.75" hidden="1" customHeight="1" outlineLevel="2" x14ac:dyDescent="0.2">
      <c r="A344" s="749"/>
      <c r="B344" s="750"/>
      <c r="C344" s="767"/>
      <c r="D344" s="750"/>
      <c r="E344" s="767"/>
      <c r="F344" s="750"/>
      <c r="G344" s="767"/>
      <c r="H344" s="750"/>
      <c r="I344" s="752"/>
      <c r="J344" s="750"/>
      <c r="K344" s="752"/>
      <c r="L344" s="750"/>
      <c r="M344" s="752"/>
      <c r="N344" s="750"/>
      <c r="O344" s="752"/>
      <c r="P344" s="750"/>
      <c r="Q344" s="752"/>
      <c r="R344" s="750"/>
      <c r="S344" s="752"/>
      <c r="T344" s="750"/>
      <c r="U344" s="752"/>
      <c r="V344" s="750"/>
      <c r="W344" s="752"/>
      <c r="X344" s="750"/>
      <c r="Y344" s="752"/>
      <c r="Z344" s="750"/>
      <c r="AA344" s="752"/>
      <c r="AB344" s="750"/>
      <c r="AC344" s="752"/>
      <c r="AD344" s="750"/>
      <c r="AE344" s="752"/>
      <c r="AF344" s="750"/>
      <c r="AG344" s="752"/>
      <c r="AH344" s="750"/>
      <c r="AI344" s="752"/>
      <c r="AJ344" s="750"/>
      <c r="AK344" s="752"/>
      <c r="AL344" s="750"/>
      <c r="AM344" s="752"/>
      <c r="AN344" s="750"/>
      <c r="AO344" s="752"/>
      <c r="AP344" s="750"/>
      <c r="AQ344" s="752"/>
      <c r="AR344" s="750"/>
      <c r="AS344" s="752"/>
      <c r="AT344" s="750"/>
      <c r="AU344" s="752"/>
      <c r="AV344" s="750"/>
      <c r="AW344" s="752"/>
      <c r="AX344" s="750"/>
      <c r="AY344" s="752"/>
      <c r="AZ344" s="750"/>
      <c r="BA344" s="752"/>
      <c r="BB344" s="750"/>
      <c r="BC344" s="752"/>
      <c r="BD344" s="750"/>
      <c r="BE344" s="752"/>
      <c r="BF344" s="750"/>
      <c r="BG344" s="752"/>
      <c r="BH344" s="750"/>
      <c r="BI344" s="752"/>
      <c r="BJ344" s="750"/>
      <c r="BK344" s="752"/>
      <c r="BL344" s="750"/>
      <c r="BM344" s="752"/>
      <c r="BN344" s="750"/>
      <c r="BO344" s="752"/>
      <c r="BP344" s="750"/>
      <c r="BQ344" s="752"/>
      <c r="BR344" s="750"/>
      <c r="BS344" s="752"/>
      <c r="BT344" s="750"/>
      <c r="BU344" s="752"/>
      <c r="BV344" s="750"/>
      <c r="BW344" s="752"/>
      <c r="BX344" s="750"/>
      <c r="BY344" s="752"/>
      <c r="BZ344" s="750"/>
      <c r="CA344" s="752"/>
      <c r="CB344" s="750"/>
      <c r="CC344" s="752"/>
      <c r="CD344" s="750"/>
      <c r="CE344" s="752"/>
      <c r="CF344" s="750"/>
      <c r="CG344" s="752"/>
      <c r="CH344" s="750"/>
      <c r="CI344" s="752"/>
      <c r="CJ344" s="750"/>
      <c r="CK344" s="752"/>
      <c r="CL344" s="750"/>
      <c r="CM344" s="752"/>
      <c r="CN344" s="750"/>
      <c r="CO344" s="752"/>
      <c r="CP344" s="750"/>
      <c r="CQ344" s="752"/>
      <c r="CR344" s="750"/>
      <c r="CS344" s="752"/>
      <c r="CT344" s="750"/>
      <c r="CU344" s="752"/>
      <c r="CV344" s="750"/>
      <c r="CW344" s="752"/>
      <c r="CX344" s="750"/>
      <c r="CY344" s="752"/>
      <c r="CZ344" s="750"/>
      <c r="DA344" s="752"/>
      <c r="DB344" s="753"/>
      <c r="DC344" s="750"/>
      <c r="DD344" s="767"/>
      <c r="DE344" s="750"/>
      <c r="DF344" s="767"/>
      <c r="DG344" s="750"/>
      <c r="DH344" s="767"/>
      <c r="DI344" s="750"/>
      <c r="DJ344" s="767"/>
      <c r="DK344" s="750"/>
      <c r="DL344" s="752"/>
      <c r="DM344" s="750"/>
      <c r="DN344" s="752"/>
      <c r="DO344" s="750"/>
      <c r="DP344" s="752"/>
      <c r="DQ344" s="750"/>
      <c r="DR344" s="752"/>
      <c r="DS344" s="750"/>
      <c r="DT344" s="752"/>
      <c r="DU344" s="750"/>
      <c r="DV344" s="752"/>
      <c r="DW344" s="750"/>
      <c r="DX344" s="752"/>
      <c r="DY344" s="750"/>
      <c r="DZ344" s="752"/>
      <c r="EA344" s="750"/>
      <c r="EB344" s="752"/>
      <c r="EC344" s="750"/>
      <c r="ED344" s="752"/>
      <c r="EE344" s="750"/>
      <c r="EF344" s="752"/>
      <c r="EG344" s="750"/>
      <c r="EH344" s="752"/>
      <c r="EI344" s="750"/>
      <c r="EJ344" s="752"/>
      <c r="EK344" s="750"/>
      <c r="EL344" s="752"/>
      <c r="EM344" s="750"/>
      <c r="EN344" s="752"/>
      <c r="EO344" s="750"/>
      <c r="EP344" s="752"/>
      <c r="EQ344" s="750"/>
      <c r="ER344" s="752"/>
      <c r="ES344" s="750"/>
      <c r="ET344" s="752"/>
      <c r="EU344" s="767"/>
      <c r="EV344" s="710"/>
    </row>
    <row r="345" spans="1:152" ht="12.75" hidden="1" customHeight="1" outlineLevel="2" x14ac:dyDescent="0.2">
      <c r="A345" s="749" t="s">
        <v>285</v>
      </c>
      <c r="B345" s="750"/>
      <c r="C345" s="767"/>
      <c r="D345" s="750"/>
      <c r="E345" s="767"/>
      <c r="F345" s="750"/>
      <c r="G345" s="767"/>
      <c r="H345" s="750"/>
      <c r="I345" s="752"/>
      <c r="J345" s="750"/>
      <c r="K345" s="752"/>
      <c r="L345" s="750"/>
      <c r="M345" s="752"/>
      <c r="N345" s="750"/>
      <c r="O345" s="752"/>
      <c r="P345" s="750"/>
      <c r="Q345" s="752"/>
      <c r="R345" s="750"/>
      <c r="S345" s="752"/>
      <c r="T345" s="750"/>
      <c r="U345" s="752"/>
      <c r="V345" s="750"/>
      <c r="W345" s="752"/>
      <c r="X345" s="750"/>
      <c r="Y345" s="752"/>
      <c r="Z345" s="750"/>
      <c r="AA345" s="752"/>
      <c r="AB345" s="750"/>
      <c r="AC345" s="752"/>
      <c r="AD345" s="750"/>
      <c r="AE345" s="752"/>
      <c r="AF345" s="750"/>
      <c r="AG345" s="752"/>
      <c r="AH345" s="750"/>
      <c r="AI345" s="752"/>
      <c r="AJ345" s="750"/>
      <c r="AK345" s="752"/>
      <c r="AL345" s="750"/>
      <c r="AM345" s="752"/>
      <c r="AN345" s="750"/>
      <c r="AO345" s="752"/>
      <c r="AP345" s="750"/>
      <c r="AQ345" s="752"/>
      <c r="AR345" s="750"/>
      <c r="AS345" s="752"/>
      <c r="AT345" s="750"/>
      <c r="AU345" s="752"/>
      <c r="AV345" s="750"/>
      <c r="AW345" s="752"/>
      <c r="AX345" s="750"/>
      <c r="AY345" s="752"/>
      <c r="AZ345" s="750"/>
      <c r="BA345" s="752"/>
      <c r="BB345" s="750"/>
      <c r="BC345" s="752"/>
      <c r="BD345" s="750"/>
      <c r="BE345" s="752"/>
      <c r="BF345" s="750"/>
      <c r="BG345" s="752"/>
      <c r="BH345" s="750"/>
      <c r="BI345" s="752"/>
      <c r="BJ345" s="750"/>
      <c r="BK345" s="752"/>
      <c r="BL345" s="750"/>
      <c r="BM345" s="752"/>
      <c r="BN345" s="750"/>
      <c r="BO345" s="752"/>
      <c r="BP345" s="750"/>
      <c r="BQ345" s="752"/>
      <c r="BR345" s="750"/>
      <c r="BS345" s="752"/>
      <c r="BT345" s="750"/>
      <c r="BU345" s="752"/>
      <c r="BV345" s="750"/>
      <c r="BW345" s="752"/>
      <c r="BX345" s="750"/>
      <c r="BY345" s="752"/>
      <c r="BZ345" s="750"/>
      <c r="CA345" s="752"/>
      <c r="CB345" s="750"/>
      <c r="CC345" s="752"/>
      <c r="CD345" s="750"/>
      <c r="CE345" s="752"/>
      <c r="CF345" s="750"/>
      <c r="CG345" s="752"/>
      <c r="CH345" s="750"/>
      <c r="CI345" s="752"/>
      <c r="CJ345" s="750"/>
      <c r="CK345" s="752"/>
      <c r="CL345" s="750"/>
      <c r="CM345" s="752"/>
      <c r="CN345" s="750"/>
      <c r="CO345" s="752"/>
      <c r="CP345" s="750"/>
      <c r="CQ345" s="752"/>
      <c r="CR345" s="750"/>
      <c r="CS345" s="752"/>
      <c r="CT345" s="750"/>
      <c r="CU345" s="752"/>
      <c r="CV345" s="750"/>
      <c r="CW345" s="752"/>
      <c r="CX345" s="750"/>
      <c r="CY345" s="752"/>
      <c r="CZ345" s="750"/>
      <c r="DA345" s="752"/>
      <c r="DB345" s="753"/>
      <c r="DC345" s="750"/>
      <c r="DD345" s="767"/>
      <c r="DE345" s="750"/>
      <c r="DF345" s="767"/>
      <c r="DG345" s="750"/>
      <c r="DH345" s="767"/>
      <c r="DI345" s="750"/>
      <c r="DJ345" s="767"/>
      <c r="DK345" s="750"/>
      <c r="DL345" s="752"/>
      <c r="DM345" s="750"/>
      <c r="DN345" s="752"/>
      <c r="DO345" s="750"/>
      <c r="DP345" s="752"/>
      <c r="DQ345" s="750"/>
      <c r="DR345" s="752"/>
      <c r="DS345" s="750"/>
      <c r="DT345" s="752"/>
      <c r="DU345" s="750"/>
      <c r="DV345" s="752"/>
      <c r="DW345" s="750"/>
      <c r="DX345" s="752"/>
      <c r="DY345" s="750"/>
      <c r="DZ345" s="752"/>
      <c r="EA345" s="750"/>
      <c r="EB345" s="752"/>
      <c r="EC345" s="750"/>
      <c r="ED345" s="752"/>
      <c r="EE345" s="750"/>
      <c r="EF345" s="752"/>
      <c r="EG345" s="750"/>
      <c r="EH345" s="752"/>
      <c r="EI345" s="750"/>
      <c r="EJ345" s="752"/>
      <c r="EK345" s="750"/>
      <c r="EL345" s="752"/>
      <c r="EM345" s="750"/>
      <c r="EN345" s="752"/>
      <c r="EO345" s="750"/>
      <c r="EP345" s="752"/>
      <c r="EQ345" s="750"/>
      <c r="ER345" s="752"/>
      <c r="ES345" s="750"/>
      <c r="ET345" s="752"/>
      <c r="EU345" s="767"/>
      <c r="EV345" s="710"/>
    </row>
    <row r="346" spans="1:152" ht="12.75" hidden="1" customHeight="1" outlineLevel="2" x14ac:dyDescent="0.2">
      <c r="A346" s="754" t="str">
        <f>INPUT!B313</f>
        <v>Premium Income</v>
      </c>
      <c r="B346" s="755">
        <f>INPUT!AS313</f>
        <v>1.2</v>
      </c>
      <c r="C346" s="756" t="str">
        <f>INPUT!AT313</f>
        <v>NM</v>
      </c>
      <c r="D346" s="755">
        <f>INPUT!AU313</f>
        <v>1.2</v>
      </c>
      <c r="E346" s="756">
        <f>INPUT!AV313</f>
        <v>0</v>
      </c>
      <c r="F346" s="755">
        <f>INPUT!AW313</f>
        <v>0.1</v>
      </c>
      <c r="G346" s="756" t="str">
        <f>INPUT!AX313</f>
        <v>NM</v>
      </c>
      <c r="H346" s="755">
        <f>INPUT!AY313</f>
        <v>2</v>
      </c>
      <c r="I346" s="752">
        <f>INPUT!AZ313</f>
        <v>42.857142857142861</v>
      </c>
      <c r="J346" s="755">
        <f>INPUT!BA313</f>
        <v>1.1000000000000001</v>
      </c>
      <c r="K346" s="752">
        <f>INPUT!BB313</f>
        <v>-8.333333333333325</v>
      </c>
      <c r="L346" s="755">
        <f>INPUT!BC313</f>
        <v>-0.2</v>
      </c>
      <c r="M346" s="752" t="str">
        <f>INPUT!BD313</f>
        <v>NM</v>
      </c>
      <c r="N346" s="755">
        <f>INPUT!BE313</f>
        <v>0.6</v>
      </c>
      <c r="O346" s="752" t="str">
        <f>INPUT!BF313</f>
        <v>NM</v>
      </c>
      <c r="P346" s="755">
        <f>INPUT!BG313</f>
        <v>0.2</v>
      </c>
      <c r="Q346" s="752" t="str">
        <f>INPUT!BH313</f>
        <v>NM</v>
      </c>
      <c r="R346" s="755">
        <f>INPUT!BI313</f>
        <v>0.7</v>
      </c>
      <c r="S346" s="752">
        <f>INPUT!BJ313</f>
        <v>-36.363636363636374</v>
      </c>
      <c r="T346" s="755">
        <f>INPUT!BK313</f>
        <v>0.2</v>
      </c>
      <c r="U346" s="752" t="str">
        <f>INPUT!BL313</f>
        <v>NM</v>
      </c>
      <c r="V346" s="755">
        <f>INPUT!BM313</f>
        <v>0</v>
      </c>
      <c r="W346" s="752">
        <f>INPUT!BN313</f>
        <v>0</v>
      </c>
      <c r="X346" s="755"/>
      <c r="Y346" s="752"/>
      <c r="Z346" s="755"/>
      <c r="AA346" s="752"/>
      <c r="AB346" s="755"/>
      <c r="AC346" s="752"/>
      <c r="AD346" s="755"/>
      <c r="AE346" s="752"/>
      <c r="AF346" s="755"/>
      <c r="AG346" s="752"/>
      <c r="AH346" s="755"/>
      <c r="AI346" s="752"/>
      <c r="AJ346" s="755"/>
      <c r="AK346" s="752"/>
      <c r="AL346" s="755"/>
      <c r="AM346" s="752"/>
      <c r="AN346" s="755"/>
      <c r="AO346" s="752"/>
      <c r="AP346" s="755"/>
      <c r="AQ346" s="752"/>
      <c r="AR346" s="755"/>
      <c r="AS346" s="752"/>
      <c r="AT346" s="755"/>
      <c r="AU346" s="752"/>
      <c r="AV346" s="755"/>
      <c r="AW346" s="752"/>
      <c r="AX346" s="755"/>
      <c r="AY346" s="752"/>
      <c r="AZ346" s="755"/>
      <c r="BA346" s="752"/>
      <c r="BB346" s="755"/>
      <c r="BC346" s="752"/>
      <c r="BD346" s="755"/>
      <c r="BE346" s="752"/>
      <c r="BF346" s="755"/>
      <c r="BG346" s="752"/>
      <c r="BH346" s="755"/>
      <c r="BI346" s="752"/>
      <c r="BJ346" s="755"/>
      <c r="BK346" s="752"/>
      <c r="BL346" s="755"/>
      <c r="BM346" s="752"/>
      <c r="BN346" s="755"/>
      <c r="BO346" s="752"/>
      <c r="BP346" s="755"/>
      <c r="BQ346" s="752"/>
      <c r="BR346" s="755"/>
      <c r="BS346" s="752"/>
      <c r="BT346" s="755"/>
      <c r="BU346" s="752"/>
      <c r="BV346" s="755"/>
      <c r="BW346" s="752"/>
      <c r="BX346" s="755"/>
      <c r="BY346" s="752"/>
      <c r="BZ346" s="755"/>
      <c r="CA346" s="752"/>
      <c r="CB346" s="755"/>
      <c r="CC346" s="752"/>
      <c r="CD346" s="755"/>
      <c r="CE346" s="752"/>
      <c r="CF346" s="755"/>
      <c r="CG346" s="752"/>
      <c r="CH346" s="755"/>
      <c r="CI346" s="752"/>
      <c r="CJ346" s="755"/>
      <c r="CK346" s="752"/>
      <c r="CL346" s="755"/>
      <c r="CM346" s="752"/>
      <c r="CN346" s="755"/>
      <c r="CO346" s="752"/>
      <c r="CP346" s="755"/>
      <c r="CQ346" s="752"/>
      <c r="CR346" s="755"/>
      <c r="CS346" s="752"/>
      <c r="CT346" s="755"/>
      <c r="CU346" s="752"/>
      <c r="CV346" s="755"/>
      <c r="CW346" s="752"/>
      <c r="CX346" s="755"/>
      <c r="CY346" s="752"/>
      <c r="CZ346" s="755"/>
      <c r="DA346" s="752"/>
      <c r="DB346" s="753"/>
      <c r="DC346" s="755">
        <f>INPUT!FB313</f>
        <v>111.89999999999999</v>
      </c>
      <c r="DD346" s="756" t="str">
        <f>INPUT!FC313</f>
        <v>NA</v>
      </c>
      <c r="DE346" s="755">
        <f>INPUT!FD313</f>
        <v>37.6</v>
      </c>
      <c r="DF346" s="756" t="str">
        <f>INPUT!FE313</f>
        <v>NM</v>
      </c>
      <c r="DG346" s="755">
        <f>INPUT!FF313</f>
        <v>34.299999999999997</v>
      </c>
      <c r="DH346" s="756">
        <f>INPUT!FG313</f>
        <v>-8.7765957446808596</v>
      </c>
      <c r="DI346" s="755">
        <f>INPUT!FH313</f>
        <v>31.299999999999997</v>
      </c>
      <c r="DJ346" s="756">
        <f>INPUT!FI313</f>
        <v>-8.7463556851311903</v>
      </c>
      <c r="DK346" s="755">
        <f>INPUT!FJ313</f>
        <v>2.5999999999999996</v>
      </c>
      <c r="DL346" s="752" t="str">
        <f>INPUT!FK313</f>
        <v>NM</v>
      </c>
      <c r="DM346" s="755">
        <f>INPUT!FL313</f>
        <v>4.5</v>
      </c>
      <c r="DN346" s="752">
        <f>INPUT!FM313</f>
        <v>73.076923076923109</v>
      </c>
      <c r="DO346" s="755">
        <f>INPUT!FN313</f>
        <v>1.7</v>
      </c>
      <c r="DP346" s="752" t="str">
        <f>INPUT!FO313</f>
        <v>NM</v>
      </c>
      <c r="DQ346" s="755">
        <f>INPUT!FP313</f>
        <v>0.89999999999999991</v>
      </c>
      <c r="DR346" s="752">
        <f>INPUT!FQ313</f>
        <v>-47.058823529411761</v>
      </c>
      <c r="DS346" s="755"/>
      <c r="DT346" s="752"/>
      <c r="DU346" s="755"/>
      <c r="DV346" s="752"/>
      <c r="DW346" s="755"/>
      <c r="DX346" s="752"/>
      <c r="DY346" s="755"/>
      <c r="DZ346" s="752"/>
      <c r="EA346" s="755"/>
      <c r="EB346" s="752"/>
      <c r="EC346" s="755"/>
      <c r="ED346" s="752"/>
      <c r="EE346" s="755"/>
      <c r="EF346" s="752"/>
      <c r="EG346" s="755"/>
      <c r="EH346" s="752"/>
      <c r="EI346" s="755"/>
      <c r="EJ346" s="752"/>
      <c r="EK346" s="755"/>
      <c r="EL346" s="752"/>
      <c r="EM346" s="755"/>
      <c r="EN346" s="752"/>
      <c r="EO346" s="755"/>
      <c r="EP346" s="752"/>
      <c r="EQ346" s="755"/>
      <c r="ER346" s="752"/>
      <c r="ES346" s="755"/>
      <c r="ET346" s="752"/>
      <c r="EU346" s="756"/>
      <c r="EV346" s="710"/>
    </row>
    <row r="347" spans="1:152" ht="12.75" hidden="1" customHeight="1" outlineLevel="2" x14ac:dyDescent="0.2">
      <c r="A347" s="754" t="str">
        <f>INPUT!B314</f>
        <v>Net Investment Income</v>
      </c>
      <c r="B347" s="755">
        <f>INPUT!AS314</f>
        <v>28.7</v>
      </c>
      <c r="C347" s="756">
        <f>INPUT!AT314</f>
        <v>-1.3745704467354014</v>
      </c>
      <c r="D347" s="755">
        <f>INPUT!AU314</f>
        <v>28.4</v>
      </c>
      <c r="E347" s="756">
        <f>INPUT!AV314</f>
        <v>-13.414634146341465</v>
      </c>
      <c r="F347" s="755">
        <f>INPUT!AW314</f>
        <v>28</v>
      </c>
      <c r="G347" s="756">
        <f>INPUT!AX314</f>
        <v>-5.0847457627118615</v>
      </c>
      <c r="H347" s="755">
        <f>INPUT!AY314</f>
        <v>28.1</v>
      </c>
      <c r="I347" s="752">
        <f>INPUT!AZ314</f>
        <v>-3.4364261168384869</v>
      </c>
      <c r="J347" s="755">
        <f>INPUT!BA314</f>
        <v>28.1</v>
      </c>
      <c r="K347" s="752">
        <f>INPUT!BB314</f>
        <v>-2.0905923344947674</v>
      </c>
      <c r="L347" s="755">
        <f>INPUT!BC314</f>
        <v>26.9</v>
      </c>
      <c r="M347" s="752">
        <f>INPUT!BD314</f>
        <v>-5.2816901408450745</v>
      </c>
      <c r="N347" s="755">
        <f>INPUT!BE314</f>
        <v>24.7</v>
      </c>
      <c r="O347" s="752">
        <f>INPUT!BF314</f>
        <v>-11.785714285714288</v>
      </c>
      <c r="P347" s="755">
        <f>INPUT!BG314</f>
        <v>28.7</v>
      </c>
      <c r="Q347" s="752">
        <f>INPUT!BH314</f>
        <v>2.1352313167259718</v>
      </c>
      <c r="R347" s="755">
        <f>INPUT!BI314</f>
        <v>25.9</v>
      </c>
      <c r="S347" s="752">
        <f>INPUT!BJ314</f>
        <v>-7.8291814946619294</v>
      </c>
      <c r="T347" s="755">
        <f>INPUT!BK314</f>
        <v>25.9</v>
      </c>
      <c r="U347" s="752">
        <f>INPUT!BL314</f>
        <v>-3.7174721189591087</v>
      </c>
      <c r="V347" s="755">
        <f>INPUT!BM314</f>
        <v>27</v>
      </c>
      <c r="W347" s="752">
        <f>INPUT!BN314</f>
        <v>0</v>
      </c>
      <c r="X347" s="755"/>
      <c r="Y347" s="752"/>
      <c r="Z347" s="755"/>
      <c r="AA347" s="752"/>
      <c r="AB347" s="755"/>
      <c r="AC347" s="752"/>
      <c r="AD347" s="755"/>
      <c r="AE347" s="752"/>
      <c r="AF347" s="755"/>
      <c r="AG347" s="752"/>
      <c r="AH347" s="755"/>
      <c r="AI347" s="752"/>
      <c r="AJ347" s="755"/>
      <c r="AK347" s="752"/>
      <c r="AL347" s="755"/>
      <c r="AM347" s="752"/>
      <c r="AN347" s="755"/>
      <c r="AO347" s="752"/>
      <c r="AP347" s="755"/>
      <c r="AQ347" s="752"/>
      <c r="AR347" s="755"/>
      <c r="AS347" s="752"/>
      <c r="AT347" s="755"/>
      <c r="AU347" s="752"/>
      <c r="AV347" s="755"/>
      <c r="AW347" s="752"/>
      <c r="AX347" s="755"/>
      <c r="AY347" s="752"/>
      <c r="AZ347" s="755"/>
      <c r="BA347" s="752"/>
      <c r="BB347" s="755"/>
      <c r="BC347" s="752"/>
      <c r="BD347" s="755"/>
      <c r="BE347" s="752"/>
      <c r="BF347" s="755"/>
      <c r="BG347" s="752"/>
      <c r="BH347" s="755"/>
      <c r="BI347" s="752"/>
      <c r="BJ347" s="755"/>
      <c r="BK347" s="752"/>
      <c r="BL347" s="755"/>
      <c r="BM347" s="752"/>
      <c r="BN347" s="755"/>
      <c r="BO347" s="752"/>
      <c r="BP347" s="755"/>
      <c r="BQ347" s="752"/>
      <c r="BR347" s="755"/>
      <c r="BS347" s="752"/>
      <c r="BT347" s="755"/>
      <c r="BU347" s="752"/>
      <c r="BV347" s="755"/>
      <c r="BW347" s="752"/>
      <c r="BX347" s="755"/>
      <c r="BY347" s="752"/>
      <c r="BZ347" s="755"/>
      <c r="CA347" s="752"/>
      <c r="CB347" s="755"/>
      <c r="CC347" s="752"/>
      <c r="CD347" s="755"/>
      <c r="CE347" s="752"/>
      <c r="CF347" s="755"/>
      <c r="CG347" s="752"/>
      <c r="CH347" s="755"/>
      <c r="CI347" s="752"/>
      <c r="CJ347" s="755"/>
      <c r="CK347" s="752"/>
      <c r="CL347" s="755"/>
      <c r="CM347" s="752"/>
      <c r="CN347" s="755"/>
      <c r="CO347" s="752"/>
      <c r="CP347" s="755"/>
      <c r="CQ347" s="752"/>
      <c r="CR347" s="755"/>
      <c r="CS347" s="752"/>
      <c r="CT347" s="755"/>
      <c r="CU347" s="752"/>
      <c r="CV347" s="755"/>
      <c r="CW347" s="752"/>
      <c r="CX347" s="755"/>
      <c r="CY347" s="752"/>
      <c r="CZ347" s="755"/>
      <c r="DA347" s="752"/>
      <c r="DB347" s="753"/>
      <c r="DC347" s="755">
        <f>INPUT!FB314</f>
        <v>184.20000000000002</v>
      </c>
      <c r="DD347" s="756" t="str">
        <f>INPUT!FC314</f>
        <v>NA</v>
      </c>
      <c r="DE347" s="755">
        <f>INPUT!FD314</f>
        <v>154.19999999999999</v>
      </c>
      <c r="DF347" s="756">
        <f>INPUT!FE314</f>
        <v>-16.286644951140083</v>
      </c>
      <c r="DG347" s="755">
        <f>INPUT!FF314</f>
        <v>140.1</v>
      </c>
      <c r="DH347" s="756">
        <f>INPUT!FG314</f>
        <v>-9.143968871595332</v>
      </c>
      <c r="DI347" s="755">
        <f>INPUT!FH314</f>
        <v>127.30000000000001</v>
      </c>
      <c r="DJ347" s="756">
        <f>INPUT!FI314</f>
        <v>-9.1363311920056987</v>
      </c>
      <c r="DK347" s="755">
        <f>INPUT!FJ314</f>
        <v>120.5</v>
      </c>
      <c r="DL347" s="752">
        <f>INPUT!FK314</f>
        <v>-5.3417124901806829</v>
      </c>
      <c r="DM347" s="755">
        <f>INPUT!FL314</f>
        <v>113.19999999999999</v>
      </c>
      <c r="DN347" s="752">
        <f>INPUT!FM314</f>
        <v>-6.0580912863070662</v>
      </c>
      <c r="DO347" s="755">
        <f>INPUT!FN314</f>
        <v>108.4</v>
      </c>
      <c r="DP347" s="752">
        <f>INPUT!FO314</f>
        <v>-4.2402826855123532</v>
      </c>
      <c r="DQ347" s="755">
        <f>INPUT!FP314</f>
        <v>78.8</v>
      </c>
      <c r="DR347" s="752">
        <f>INPUT!FQ314</f>
        <v>-27.306273062730636</v>
      </c>
      <c r="DS347" s="755"/>
      <c r="DT347" s="752"/>
      <c r="DU347" s="755"/>
      <c r="DV347" s="752"/>
      <c r="DW347" s="755"/>
      <c r="DX347" s="752"/>
      <c r="DY347" s="755"/>
      <c r="DZ347" s="752"/>
      <c r="EA347" s="755"/>
      <c r="EB347" s="752"/>
      <c r="EC347" s="755"/>
      <c r="ED347" s="752"/>
      <c r="EE347" s="755"/>
      <c r="EF347" s="752"/>
      <c r="EG347" s="755"/>
      <c r="EH347" s="752"/>
      <c r="EI347" s="755"/>
      <c r="EJ347" s="752"/>
      <c r="EK347" s="755"/>
      <c r="EL347" s="752"/>
      <c r="EM347" s="755"/>
      <c r="EN347" s="752"/>
      <c r="EO347" s="755"/>
      <c r="EP347" s="752"/>
      <c r="EQ347" s="755"/>
      <c r="ER347" s="752"/>
      <c r="ES347" s="755"/>
      <c r="ET347" s="752"/>
      <c r="EU347" s="756"/>
      <c r="EV347" s="710"/>
    </row>
    <row r="348" spans="1:152" ht="12.75" hidden="1" customHeight="1" outlineLevel="2" x14ac:dyDescent="0.2">
      <c r="A348" s="754" t="str">
        <f>INPUT!B315</f>
        <v>Other Income</v>
      </c>
      <c r="B348" s="755">
        <f>INPUT!AS315</f>
        <v>8.3000000000000007</v>
      </c>
      <c r="C348" s="756" t="str">
        <f>INPUT!AT315</f>
        <v>NM</v>
      </c>
      <c r="D348" s="755">
        <f>INPUT!AU315</f>
        <v>54.7</v>
      </c>
      <c r="E348" s="756">
        <f>INPUT!AV315</f>
        <v>3.402646502835549</v>
      </c>
      <c r="F348" s="755">
        <f>INPUT!AW315</f>
        <v>53.9</v>
      </c>
      <c r="G348" s="756">
        <f>INPUT!AX315</f>
        <v>3.0592734225621365</v>
      </c>
      <c r="H348" s="755">
        <f>INPUT!AY315</f>
        <v>8.8000000000000007</v>
      </c>
      <c r="I348" s="752">
        <f>INPUT!AZ315</f>
        <v>-16.981132075471685</v>
      </c>
      <c r="J348" s="755">
        <f>INPUT!BA315</f>
        <v>8.1999999999999993</v>
      </c>
      <c r="K348" s="752">
        <f>INPUT!BB315</f>
        <v>-1.2048192771084487</v>
      </c>
      <c r="L348" s="755">
        <f>INPUT!BC315</f>
        <v>9.1</v>
      </c>
      <c r="M348" s="752" t="str">
        <f>INPUT!BD315</f>
        <v>NM</v>
      </c>
      <c r="N348" s="755">
        <f>INPUT!BE315</f>
        <v>4.9000000000000004</v>
      </c>
      <c r="O348" s="752" t="str">
        <f>INPUT!BF315</f>
        <v>NM</v>
      </c>
      <c r="P348" s="755">
        <f>INPUT!BG315</f>
        <v>6.3</v>
      </c>
      <c r="Q348" s="752">
        <f>INPUT!BH315</f>
        <v>-28.409090909090917</v>
      </c>
      <c r="R348" s="755">
        <f>INPUT!BI315</f>
        <v>8</v>
      </c>
      <c r="S348" s="752">
        <f>INPUT!BJ315</f>
        <v>-2.4390243902438935</v>
      </c>
      <c r="T348" s="755">
        <f>INPUT!BK315</f>
        <v>8</v>
      </c>
      <c r="U348" s="752">
        <f>INPUT!BL315</f>
        <v>-12.087912087912089</v>
      </c>
      <c r="V348" s="755">
        <f>INPUT!BM315</f>
        <v>6.9</v>
      </c>
      <c r="W348" s="752">
        <f>INPUT!BN315</f>
        <v>0</v>
      </c>
      <c r="X348" s="755"/>
      <c r="Y348" s="752"/>
      <c r="Z348" s="755"/>
      <c r="AA348" s="752"/>
      <c r="AB348" s="755"/>
      <c r="AC348" s="752"/>
      <c r="AD348" s="755"/>
      <c r="AE348" s="752"/>
      <c r="AF348" s="755"/>
      <c r="AG348" s="752"/>
      <c r="AH348" s="755"/>
      <c r="AI348" s="752"/>
      <c r="AJ348" s="755"/>
      <c r="AK348" s="752"/>
      <c r="AL348" s="755"/>
      <c r="AM348" s="752"/>
      <c r="AN348" s="755"/>
      <c r="AO348" s="752"/>
      <c r="AP348" s="755"/>
      <c r="AQ348" s="752"/>
      <c r="AR348" s="755"/>
      <c r="AS348" s="752"/>
      <c r="AT348" s="755"/>
      <c r="AU348" s="752"/>
      <c r="AV348" s="755"/>
      <c r="AW348" s="752"/>
      <c r="AX348" s="755"/>
      <c r="AY348" s="752"/>
      <c r="AZ348" s="755"/>
      <c r="BA348" s="752"/>
      <c r="BB348" s="755"/>
      <c r="BC348" s="752"/>
      <c r="BD348" s="755"/>
      <c r="BE348" s="752"/>
      <c r="BF348" s="755"/>
      <c r="BG348" s="752"/>
      <c r="BH348" s="755"/>
      <c r="BI348" s="752"/>
      <c r="BJ348" s="755"/>
      <c r="BK348" s="752"/>
      <c r="BL348" s="755"/>
      <c r="BM348" s="752"/>
      <c r="BN348" s="755"/>
      <c r="BO348" s="752"/>
      <c r="BP348" s="755"/>
      <c r="BQ348" s="752"/>
      <c r="BR348" s="755"/>
      <c r="BS348" s="752"/>
      <c r="BT348" s="755"/>
      <c r="BU348" s="752"/>
      <c r="BV348" s="755"/>
      <c r="BW348" s="752"/>
      <c r="BX348" s="755"/>
      <c r="BY348" s="752"/>
      <c r="BZ348" s="755"/>
      <c r="CA348" s="752"/>
      <c r="CB348" s="755"/>
      <c r="CC348" s="752"/>
      <c r="CD348" s="755"/>
      <c r="CE348" s="752"/>
      <c r="CF348" s="755"/>
      <c r="CG348" s="752"/>
      <c r="CH348" s="755"/>
      <c r="CI348" s="752"/>
      <c r="CJ348" s="755"/>
      <c r="CK348" s="752"/>
      <c r="CL348" s="755"/>
      <c r="CM348" s="752"/>
      <c r="CN348" s="755"/>
      <c r="CO348" s="752"/>
      <c r="CP348" s="755"/>
      <c r="CQ348" s="752"/>
      <c r="CR348" s="755"/>
      <c r="CS348" s="752"/>
      <c r="CT348" s="755"/>
      <c r="CU348" s="752"/>
      <c r="CV348" s="755"/>
      <c r="CW348" s="752"/>
      <c r="CX348" s="755"/>
      <c r="CY348" s="752"/>
      <c r="CZ348" s="755"/>
      <c r="DA348" s="752"/>
      <c r="DB348" s="753"/>
      <c r="DC348" s="755">
        <f>INPUT!FB315</f>
        <v>201</v>
      </c>
      <c r="DD348" s="756" t="str">
        <f>INPUT!FC315</f>
        <v>NA</v>
      </c>
      <c r="DE348" s="755">
        <f>INPUT!FD315</f>
        <v>214.3</v>
      </c>
      <c r="DF348" s="756">
        <f>INPUT!FE315</f>
        <v>6.6169154228855831</v>
      </c>
      <c r="DG348" s="755">
        <f>INPUT!FF315</f>
        <v>204.39999999999998</v>
      </c>
      <c r="DH348" s="756">
        <f>INPUT!FG315</f>
        <v>-4.6196920205319847</v>
      </c>
      <c r="DI348" s="755">
        <f>INPUT!FH315</f>
        <v>208.3</v>
      </c>
      <c r="DJ348" s="756">
        <f>INPUT!FI315</f>
        <v>1.9080234833659615</v>
      </c>
      <c r="DK348" s="755">
        <f>INPUT!FJ315</f>
        <v>169.4</v>
      </c>
      <c r="DL348" s="752">
        <f>INPUT!FK315</f>
        <v>-18.674987998079693</v>
      </c>
      <c r="DM348" s="755">
        <f>INPUT!FL315</f>
        <v>125.7</v>
      </c>
      <c r="DN348" s="752">
        <f>INPUT!FM315</f>
        <v>-25.796930342384893</v>
      </c>
      <c r="DO348" s="755">
        <f>INPUT!FN315</f>
        <v>28.499999999999996</v>
      </c>
      <c r="DP348" s="752" t="str">
        <f>INPUT!FO315</f>
        <v>NM</v>
      </c>
      <c r="DQ348" s="755">
        <f>INPUT!FP315</f>
        <v>22.9</v>
      </c>
      <c r="DR348" s="752">
        <f>INPUT!FQ315</f>
        <v>-19.649122807017537</v>
      </c>
      <c r="DS348" s="755"/>
      <c r="DT348" s="752"/>
      <c r="DU348" s="755"/>
      <c r="DV348" s="752"/>
      <c r="DW348" s="755"/>
      <c r="DX348" s="752"/>
      <c r="DY348" s="755"/>
      <c r="DZ348" s="752"/>
      <c r="EA348" s="755"/>
      <c r="EB348" s="752"/>
      <c r="EC348" s="755"/>
      <c r="ED348" s="752"/>
      <c r="EE348" s="755"/>
      <c r="EF348" s="752"/>
      <c r="EG348" s="755"/>
      <c r="EH348" s="752"/>
      <c r="EI348" s="755"/>
      <c r="EJ348" s="752"/>
      <c r="EK348" s="755"/>
      <c r="EL348" s="752"/>
      <c r="EM348" s="755"/>
      <c r="EN348" s="752"/>
      <c r="EO348" s="755"/>
      <c r="EP348" s="752"/>
      <c r="EQ348" s="755"/>
      <c r="ER348" s="752"/>
      <c r="ES348" s="755"/>
      <c r="ET348" s="752"/>
      <c r="EU348" s="756"/>
      <c r="EV348" s="710"/>
    </row>
    <row r="349" spans="1:152" ht="12.75" hidden="1" customHeight="1" outlineLevel="2" x14ac:dyDescent="0.2">
      <c r="A349" s="754" t="str">
        <f>INPUT!B316</f>
        <v xml:space="preserve"> Total Revenues</v>
      </c>
      <c r="B349" s="755">
        <f>INPUT!AS316</f>
        <v>38.200000000000003</v>
      </c>
      <c r="C349" s="756" t="str">
        <f>INPUT!AT316</f>
        <v>NM</v>
      </c>
      <c r="D349" s="755">
        <f>INPUT!AU316</f>
        <v>84.3</v>
      </c>
      <c r="E349" s="756">
        <f>INPUT!AV316</f>
        <v>-2.9919447640966768</v>
      </c>
      <c r="F349" s="755">
        <f>INPUT!AW316</f>
        <v>82</v>
      </c>
      <c r="G349" s="756">
        <f>INPUT!AX316</f>
        <v>0.61349693251533388</v>
      </c>
      <c r="H349" s="755">
        <f>INPUT!AY316</f>
        <v>38.900000000000006</v>
      </c>
      <c r="I349" s="752">
        <f>INPUT!AZ316</f>
        <v>-5.352798053527974</v>
      </c>
      <c r="J349" s="755">
        <f>INPUT!BA316</f>
        <v>37.400000000000006</v>
      </c>
      <c r="K349" s="752">
        <f>INPUT!BB316</f>
        <v>-2.0942408376963262</v>
      </c>
      <c r="L349" s="755">
        <f>INPUT!BC316</f>
        <v>35.799999999999997</v>
      </c>
      <c r="M349" s="752" t="str">
        <f>INPUT!BD316</f>
        <v>NM</v>
      </c>
      <c r="N349" s="755">
        <f>INPUT!BE316</f>
        <v>30.200000000000003</v>
      </c>
      <c r="O349" s="752" t="str">
        <f>INPUT!BF316</f>
        <v>NM</v>
      </c>
      <c r="P349" s="755">
        <f>INPUT!BG316</f>
        <v>35.199999999999996</v>
      </c>
      <c r="Q349" s="752">
        <f>INPUT!BH316</f>
        <v>-9.511568123393344</v>
      </c>
      <c r="R349" s="755">
        <f>INPUT!BI316</f>
        <v>34.599999999999994</v>
      </c>
      <c r="S349" s="752">
        <f>INPUT!BJ316</f>
        <v>-7.4866310160428107</v>
      </c>
      <c r="T349" s="755">
        <f>INPUT!BK316</f>
        <v>34.099999999999994</v>
      </c>
      <c r="U349" s="752">
        <f>INPUT!BL316</f>
        <v>-4.7486033519553157</v>
      </c>
      <c r="V349" s="755">
        <f>INPUT!BM316</f>
        <v>33.9</v>
      </c>
      <c r="W349" s="752">
        <f>INPUT!BN316</f>
        <v>0</v>
      </c>
      <c r="X349" s="755"/>
      <c r="Y349" s="752"/>
      <c r="Z349" s="755"/>
      <c r="AA349" s="752"/>
      <c r="AB349" s="755"/>
      <c r="AC349" s="752"/>
      <c r="AD349" s="755"/>
      <c r="AE349" s="752"/>
      <c r="AF349" s="755"/>
      <c r="AG349" s="752"/>
      <c r="AH349" s="755"/>
      <c r="AI349" s="752"/>
      <c r="AJ349" s="755"/>
      <c r="AK349" s="752"/>
      <c r="AL349" s="755"/>
      <c r="AM349" s="752"/>
      <c r="AN349" s="755"/>
      <c r="AO349" s="752"/>
      <c r="AP349" s="755"/>
      <c r="AQ349" s="752"/>
      <c r="AR349" s="755"/>
      <c r="AS349" s="752"/>
      <c r="AT349" s="755"/>
      <c r="AU349" s="752"/>
      <c r="AV349" s="755"/>
      <c r="AW349" s="752"/>
      <c r="AX349" s="755"/>
      <c r="AY349" s="752"/>
      <c r="AZ349" s="755"/>
      <c r="BA349" s="752"/>
      <c r="BB349" s="755"/>
      <c r="BC349" s="752"/>
      <c r="BD349" s="755"/>
      <c r="BE349" s="752"/>
      <c r="BF349" s="755"/>
      <c r="BG349" s="752"/>
      <c r="BH349" s="755"/>
      <c r="BI349" s="752"/>
      <c r="BJ349" s="755"/>
      <c r="BK349" s="752"/>
      <c r="BL349" s="755"/>
      <c r="BM349" s="752"/>
      <c r="BN349" s="755"/>
      <c r="BO349" s="752"/>
      <c r="BP349" s="755"/>
      <c r="BQ349" s="752"/>
      <c r="BR349" s="755"/>
      <c r="BS349" s="752"/>
      <c r="BT349" s="755"/>
      <c r="BU349" s="752"/>
      <c r="BV349" s="755"/>
      <c r="BW349" s="752"/>
      <c r="BX349" s="755"/>
      <c r="BY349" s="752"/>
      <c r="BZ349" s="755"/>
      <c r="CA349" s="752"/>
      <c r="CB349" s="755"/>
      <c r="CC349" s="752"/>
      <c r="CD349" s="755"/>
      <c r="CE349" s="752"/>
      <c r="CF349" s="755"/>
      <c r="CG349" s="752"/>
      <c r="CH349" s="755"/>
      <c r="CI349" s="752"/>
      <c r="CJ349" s="755"/>
      <c r="CK349" s="752"/>
      <c r="CL349" s="755"/>
      <c r="CM349" s="752"/>
      <c r="CN349" s="755"/>
      <c r="CO349" s="752"/>
      <c r="CP349" s="755"/>
      <c r="CQ349" s="752"/>
      <c r="CR349" s="755"/>
      <c r="CS349" s="752"/>
      <c r="CT349" s="755"/>
      <c r="CU349" s="752"/>
      <c r="CV349" s="755"/>
      <c r="CW349" s="752"/>
      <c r="CX349" s="755"/>
      <c r="CY349" s="752"/>
      <c r="CZ349" s="755"/>
      <c r="DA349" s="752"/>
      <c r="DB349" s="753"/>
      <c r="DC349" s="755">
        <f>INPUT!FB316</f>
        <v>497.1</v>
      </c>
      <c r="DD349" s="756" t="str">
        <f>INPUT!FC316</f>
        <v>NA</v>
      </c>
      <c r="DE349" s="755">
        <f>INPUT!FD316</f>
        <v>406.1</v>
      </c>
      <c r="DF349" s="756">
        <f>INPUT!FE316</f>
        <v>-18.306175819754579</v>
      </c>
      <c r="DG349" s="755">
        <f>INPUT!FF316</f>
        <v>378.8</v>
      </c>
      <c r="DH349" s="756">
        <f>INPUT!FG316</f>
        <v>-6.7224821472543717</v>
      </c>
      <c r="DI349" s="755">
        <f>INPUT!FH316</f>
        <v>366.90000000000003</v>
      </c>
      <c r="DJ349" s="756">
        <f>INPUT!FI316</f>
        <v>-3.1414994720168843</v>
      </c>
      <c r="DK349" s="755">
        <f>INPUT!FJ316</f>
        <v>292.5</v>
      </c>
      <c r="DL349" s="752">
        <f>INPUT!FK316</f>
        <v>-20.278004905968938</v>
      </c>
      <c r="DM349" s="755">
        <f>INPUT!FL316</f>
        <v>243.39999999999998</v>
      </c>
      <c r="DN349" s="752">
        <f>INPUT!FM316</f>
        <v>-16.786324786324791</v>
      </c>
      <c r="DO349" s="755">
        <f>INPUT!FN316</f>
        <v>138.6</v>
      </c>
      <c r="DP349" s="752">
        <f>INPUT!FO316</f>
        <v>-43.056696795398523</v>
      </c>
      <c r="DQ349" s="755">
        <f>INPUT!FP316</f>
        <v>102.6</v>
      </c>
      <c r="DR349" s="752">
        <f>INPUT!FQ316</f>
        <v>-25.97402597402597</v>
      </c>
      <c r="DS349" s="755"/>
      <c r="DT349" s="752"/>
      <c r="DU349" s="755"/>
      <c r="DV349" s="752"/>
      <c r="DW349" s="755"/>
      <c r="DX349" s="752"/>
      <c r="DY349" s="755"/>
      <c r="DZ349" s="752"/>
      <c r="EA349" s="755"/>
      <c r="EB349" s="752"/>
      <c r="EC349" s="755"/>
      <c r="ED349" s="752"/>
      <c r="EE349" s="755"/>
      <c r="EF349" s="752"/>
      <c r="EG349" s="755"/>
      <c r="EH349" s="752"/>
      <c r="EI349" s="755"/>
      <c r="EJ349" s="752"/>
      <c r="EK349" s="755"/>
      <c r="EL349" s="752"/>
      <c r="EM349" s="755"/>
      <c r="EN349" s="752"/>
      <c r="EO349" s="755"/>
      <c r="EP349" s="752"/>
      <c r="EQ349" s="755"/>
      <c r="ER349" s="752"/>
      <c r="ES349" s="755"/>
      <c r="ET349" s="752"/>
      <c r="EU349" s="756"/>
      <c r="EV349" s="710"/>
    </row>
    <row r="350" spans="1:152" ht="12.75" hidden="1" customHeight="1" outlineLevel="2" x14ac:dyDescent="0.2">
      <c r="A350" s="754"/>
      <c r="B350" s="750"/>
      <c r="C350" s="756"/>
      <c r="D350" s="750"/>
      <c r="E350" s="756"/>
      <c r="F350" s="750"/>
      <c r="G350" s="756"/>
      <c r="H350" s="750"/>
      <c r="I350" s="752"/>
      <c r="J350" s="750"/>
      <c r="K350" s="752"/>
      <c r="L350" s="750"/>
      <c r="M350" s="752"/>
      <c r="N350" s="750"/>
      <c r="O350" s="752"/>
      <c r="P350" s="750"/>
      <c r="Q350" s="752"/>
      <c r="R350" s="750"/>
      <c r="S350" s="752"/>
      <c r="T350" s="750"/>
      <c r="U350" s="752"/>
      <c r="V350" s="750"/>
      <c r="W350" s="752"/>
      <c r="X350" s="750"/>
      <c r="Y350" s="752"/>
      <c r="Z350" s="750"/>
      <c r="AA350" s="752"/>
      <c r="AB350" s="750"/>
      <c r="AC350" s="752"/>
      <c r="AD350" s="750"/>
      <c r="AE350" s="752"/>
      <c r="AF350" s="750"/>
      <c r="AG350" s="752"/>
      <c r="AH350" s="750"/>
      <c r="AI350" s="752"/>
      <c r="AJ350" s="750"/>
      <c r="AK350" s="752"/>
      <c r="AL350" s="750"/>
      <c r="AM350" s="752"/>
      <c r="AN350" s="750"/>
      <c r="AO350" s="752"/>
      <c r="AP350" s="750"/>
      <c r="AQ350" s="752"/>
      <c r="AR350" s="750"/>
      <c r="AS350" s="752"/>
      <c r="AT350" s="750"/>
      <c r="AU350" s="752"/>
      <c r="AV350" s="750"/>
      <c r="AW350" s="752"/>
      <c r="AX350" s="750"/>
      <c r="AY350" s="752"/>
      <c r="AZ350" s="750"/>
      <c r="BA350" s="752"/>
      <c r="BB350" s="750"/>
      <c r="BC350" s="752"/>
      <c r="BD350" s="750"/>
      <c r="BE350" s="752"/>
      <c r="BF350" s="750"/>
      <c r="BG350" s="752"/>
      <c r="BH350" s="750"/>
      <c r="BI350" s="752"/>
      <c r="BJ350" s="750"/>
      <c r="BK350" s="752"/>
      <c r="BL350" s="750"/>
      <c r="BM350" s="752"/>
      <c r="BN350" s="750"/>
      <c r="BO350" s="752"/>
      <c r="BP350" s="750"/>
      <c r="BQ350" s="752"/>
      <c r="BR350" s="750"/>
      <c r="BS350" s="752"/>
      <c r="BT350" s="750"/>
      <c r="BU350" s="752"/>
      <c r="BV350" s="750"/>
      <c r="BW350" s="752"/>
      <c r="BX350" s="750"/>
      <c r="BY350" s="752"/>
      <c r="BZ350" s="750"/>
      <c r="CA350" s="752"/>
      <c r="CB350" s="750"/>
      <c r="CC350" s="752"/>
      <c r="CD350" s="750"/>
      <c r="CE350" s="752"/>
      <c r="CF350" s="750"/>
      <c r="CG350" s="752"/>
      <c r="CH350" s="750"/>
      <c r="CI350" s="752"/>
      <c r="CJ350" s="750"/>
      <c r="CK350" s="752"/>
      <c r="CL350" s="750"/>
      <c r="CM350" s="752"/>
      <c r="CN350" s="750"/>
      <c r="CO350" s="752"/>
      <c r="CP350" s="750"/>
      <c r="CQ350" s="752"/>
      <c r="CR350" s="750"/>
      <c r="CS350" s="752"/>
      <c r="CT350" s="750"/>
      <c r="CU350" s="752"/>
      <c r="CV350" s="750"/>
      <c r="CW350" s="752"/>
      <c r="CX350" s="750"/>
      <c r="CY350" s="752"/>
      <c r="CZ350" s="750"/>
      <c r="DA350" s="752"/>
      <c r="DB350" s="753"/>
      <c r="DC350" s="750"/>
      <c r="DD350" s="756"/>
      <c r="DE350" s="750"/>
      <c r="DF350" s="756"/>
      <c r="DG350" s="750"/>
      <c r="DH350" s="756"/>
      <c r="DI350" s="750"/>
      <c r="DJ350" s="756"/>
      <c r="DK350" s="750"/>
      <c r="DL350" s="752"/>
      <c r="DM350" s="750"/>
      <c r="DN350" s="752"/>
      <c r="DO350" s="750"/>
      <c r="DP350" s="752"/>
      <c r="DQ350" s="750"/>
      <c r="DR350" s="752"/>
      <c r="DS350" s="750"/>
      <c r="DT350" s="752"/>
      <c r="DU350" s="750"/>
      <c r="DV350" s="752"/>
      <c r="DW350" s="750"/>
      <c r="DX350" s="752"/>
      <c r="DY350" s="750"/>
      <c r="DZ350" s="752"/>
      <c r="EA350" s="750"/>
      <c r="EB350" s="752"/>
      <c r="EC350" s="750"/>
      <c r="ED350" s="752"/>
      <c r="EE350" s="750"/>
      <c r="EF350" s="752"/>
      <c r="EG350" s="750"/>
      <c r="EH350" s="752"/>
      <c r="EI350" s="750"/>
      <c r="EJ350" s="752"/>
      <c r="EK350" s="750"/>
      <c r="EL350" s="752"/>
      <c r="EM350" s="750"/>
      <c r="EN350" s="752"/>
      <c r="EO350" s="750"/>
      <c r="EP350" s="752"/>
      <c r="EQ350" s="750"/>
      <c r="ER350" s="752"/>
      <c r="ES350" s="750"/>
      <c r="ET350" s="752"/>
      <c r="EU350" s="756"/>
      <c r="EV350" s="710"/>
    </row>
    <row r="351" spans="1:152" ht="12.75" hidden="1" customHeight="1" outlineLevel="2" x14ac:dyDescent="0.2">
      <c r="A351" s="749" t="s">
        <v>454</v>
      </c>
      <c r="B351" s="750"/>
      <c r="C351" s="756"/>
      <c r="D351" s="750"/>
      <c r="E351" s="756"/>
      <c r="F351" s="750"/>
      <c r="G351" s="756"/>
      <c r="H351" s="750"/>
      <c r="I351" s="752"/>
      <c r="J351" s="750"/>
      <c r="K351" s="752"/>
      <c r="L351" s="750"/>
      <c r="M351" s="752"/>
      <c r="N351" s="750"/>
      <c r="O351" s="752"/>
      <c r="P351" s="750"/>
      <c r="Q351" s="752"/>
      <c r="R351" s="750"/>
      <c r="S351" s="752"/>
      <c r="T351" s="750"/>
      <c r="U351" s="752"/>
      <c r="V351" s="750"/>
      <c r="W351" s="752"/>
      <c r="X351" s="750"/>
      <c r="Y351" s="752"/>
      <c r="Z351" s="750"/>
      <c r="AA351" s="752"/>
      <c r="AB351" s="750"/>
      <c r="AC351" s="752"/>
      <c r="AD351" s="750"/>
      <c r="AE351" s="752"/>
      <c r="AF351" s="750"/>
      <c r="AG351" s="752"/>
      <c r="AH351" s="750"/>
      <c r="AI351" s="752"/>
      <c r="AJ351" s="750"/>
      <c r="AK351" s="752"/>
      <c r="AL351" s="750"/>
      <c r="AM351" s="752"/>
      <c r="AN351" s="750"/>
      <c r="AO351" s="752"/>
      <c r="AP351" s="750"/>
      <c r="AQ351" s="752"/>
      <c r="AR351" s="750"/>
      <c r="AS351" s="752"/>
      <c r="AT351" s="750"/>
      <c r="AU351" s="752"/>
      <c r="AV351" s="750"/>
      <c r="AW351" s="752"/>
      <c r="AX351" s="750"/>
      <c r="AY351" s="752"/>
      <c r="AZ351" s="750"/>
      <c r="BA351" s="752"/>
      <c r="BB351" s="750"/>
      <c r="BC351" s="752"/>
      <c r="BD351" s="750"/>
      <c r="BE351" s="752"/>
      <c r="BF351" s="750"/>
      <c r="BG351" s="752"/>
      <c r="BH351" s="750"/>
      <c r="BI351" s="752"/>
      <c r="BJ351" s="750"/>
      <c r="BK351" s="752"/>
      <c r="BL351" s="750"/>
      <c r="BM351" s="752"/>
      <c r="BN351" s="750"/>
      <c r="BO351" s="752"/>
      <c r="BP351" s="750"/>
      <c r="BQ351" s="752"/>
      <c r="BR351" s="750"/>
      <c r="BS351" s="752"/>
      <c r="BT351" s="750"/>
      <c r="BU351" s="752"/>
      <c r="BV351" s="750"/>
      <c r="BW351" s="752"/>
      <c r="BX351" s="750"/>
      <c r="BY351" s="752"/>
      <c r="BZ351" s="750"/>
      <c r="CA351" s="752"/>
      <c r="CB351" s="750"/>
      <c r="CC351" s="752"/>
      <c r="CD351" s="750"/>
      <c r="CE351" s="752"/>
      <c r="CF351" s="750"/>
      <c r="CG351" s="752"/>
      <c r="CH351" s="750"/>
      <c r="CI351" s="752"/>
      <c r="CJ351" s="750"/>
      <c r="CK351" s="752"/>
      <c r="CL351" s="750"/>
      <c r="CM351" s="752"/>
      <c r="CN351" s="750"/>
      <c r="CO351" s="752"/>
      <c r="CP351" s="750"/>
      <c r="CQ351" s="752"/>
      <c r="CR351" s="750"/>
      <c r="CS351" s="752"/>
      <c r="CT351" s="750"/>
      <c r="CU351" s="752"/>
      <c r="CV351" s="750"/>
      <c r="CW351" s="752"/>
      <c r="CX351" s="750"/>
      <c r="CY351" s="752"/>
      <c r="CZ351" s="750"/>
      <c r="DA351" s="752"/>
      <c r="DB351" s="753"/>
      <c r="DC351" s="750"/>
      <c r="DD351" s="756"/>
      <c r="DE351" s="750"/>
      <c r="DF351" s="756"/>
      <c r="DG351" s="750"/>
      <c r="DH351" s="756"/>
      <c r="DI351" s="750"/>
      <c r="DJ351" s="756"/>
      <c r="DK351" s="750"/>
      <c r="DL351" s="752"/>
      <c r="DM351" s="750"/>
      <c r="DN351" s="752"/>
      <c r="DO351" s="750"/>
      <c r="DP351" s="752"/>
      <c r="DQ351" s="750"/>
      <c r="DR351" s="752"/>
      <c r="DS351" s="750"/>
      <c r="DT351" s="752"/>
      <c r="DU351" s="750"/>
      <c r="DV351" s="752"/>
      <c r="DW351" s="750"/>
      <c r="DX351" s="752"/>
      <c r="DY351" s="750"/>
      <c r="DZ351" s="752"/>
      <c r="EA351" s="750"/>
      <c r="EB351" s="752"/>
      <c r="EC351" s="750"/>
      <c r="ED351" s="752"/>
      <c r="EE351" s="750"/>
      <c r="EF351" s="752"/>
      <c r="EG351" s="750"/>
      <c r="EH351" s="752"/>
      <c r="EI351" s="750"/>
      <c r="EJ351" s="752"/>
      <c r="EK351" s="750"/>
      <c r="EL351" s="752"/>
      <c r="EM351" s="750"/>
      <c r="EN351" s="752"/>
      <c r="EO351" s="750"/>
      <c r="EP351" s="752"/>
      <c r="EQ351" s="750"/>
      <c r="ER351" s="752"/>
      <c r="ES351" s="750"/>
      <c r="ET351" s="752"/>
      <c r="EU351" s="756"/>
      <c r="EV351" s="710"/>
    </row>
    <row r="352" spans="1:152" ht="12.75" hidden="1" customHeight="1" outlineLevel="2" x14ac:dyDescent="0.2">
      <c r="A352" s="754" t="str">
        <f>INPUT!B319</f>
        <v>Benefits</v>
      </c>
      <c r="B352" s="755">
        <f>INPUT!AS319</f>
        <v>31.4</v>
      </c>
      <c r="C352" s="756">
        <f>INPUT!AT319</f>
        <v>-4.8484848484848575</v>
      </c>
      <c r="D352" s="755">
        <f>INPUT!AU319</f>
        <v>30.6</v>
      </c>
      <c r="E352" s="756">
        <f>INPUT!AV319</f>
        <v>4.081632653061229</v>
      </c>
      <c r="F352" s="755">
        <f>INPUT!AW319</f>
        <v>27.3</v>
      </c>
      <c r="G352" s="756">
        <f>INPUT!AX319</f>
        <v>2.2471910112359605</v>
      </c>
      <c r="H352" s="755">
        <f>INPUT!AY319</f>
        <v>31.2</v>
      </c>
      <c r="I352" s="752">
        <f>INPUT!AZ319</f>
        <v>-5.7401812688821829</v>
      </c>
      <c r="J352" s="755">
        <f>INPUT!BA319</f>
        <v>31.6</v>
      </c>
      <c r="K352" s="752">
        <f>INPUT!BB319</f>
        <v>0.63694267515923553</v>
      </c>
      <c r="L352" s="755">
        <f>INPUT!BC319</f>
        <v>30.6</v>
      </c>
      <c r="M352" s="752">
        <f>INPUT!BD319</f>
        <v>0</v>
      </c>
      <c r="N352" s="755">
        <f>INPUT!BE319</f>
        <v>25.5</v>
      </c>
      <c r="O352" s="752">
        <f>INPUT!BF319</f>
        <v>-6.5934065934065922</v>
      </c>
      <c r="P352" s="755">
        <f>INPUT!BG319</f>
        <v>27.5</v>
      </c>
      <c r="Q352" s="752">
        <f>INPUT!BH319</f>
        <v>-11.858974358974361</v>
      </c>
      <c r="R352" s="755">
        <f>INPUT!BI319</f>
        <v>28.2</v>
      </c>
      <c r="S352" s="752">
        <f>INPUT!BJ319</f>
        <v>-10.759493670886078</v>
      </c>
      <c r="T352" s="755">
        <f>INPUT!BK319</f>
        <v>28</v>
      </c>
      <c r="U352" s="752">
        <f>INPUT!BL319</f>
        <v>-8.4967320261437944</v>
      </c>
      <c r="V352" s="755">
        <f>INPUT!BM319</f>
        <v>27.1</v>
      </c>
      <c r="W352" s="752">
        <f>INPUT!BN319</f>
        <v>0</v>
      </c>
      <c r="X352" s="755"/>
      <c r="Y352" s="752"/>
      <c r="Z352" s="755"/>
      <c r="AA352" s="752"/>
      <c r="AB352" s="755"/>
      <c r="AC352" s="752"/>
      <c r="AD352" s="755"/>
      <c r="AE352" s="752"/>
      <c r="AF352" s="755"/>
      <c r="AG352" s="752"/>
      <c r="AH352" s="755"/>
      <c r="AI352" s="752"/>
      <c r="AJ352" s="755"/>
      <c r="AK352" s="752"/>
      <c r="AL352" s="755"/>
      <c r="AM352" s="752"/>
      <c r="AN352" s="755"/>
      <c r="AO352" s="752"/>
      <c r="AP352" s="755"/>
      <c r="AQ352" s="752"/>
      <c r="AR352" s="755"/>
      <c r="AS352" s="752"/>
      <c r="AT352" s="755"/>
      <c r="AU352" s="752"/>
      <c r="AV352" s="755"/>
      <c r="AW352" s="752"/>
      <c r="AX352" s="755"/>
      <c r="AY352" s="752"/>
      <c r="AZ352" s="755"/>
      <c r="BA352" s="752"/>
      <c r="BB352" s="755"/>
      <c r="BC352" s="752"/>
      <c r="BD352" s="755"/>
      <c r="BE352" s="752"/>
      <c r="BF352" s="755"/>
      <c r="BG352" s="752"/>
      <c r="BH352" s="755"/>
      <c r="BI352" s="752"/>
      <c r="BJ352" s="755"/>
      <c r="BK352" s="752"/>
      <c r="BL352" s="755"/>
      <c r="BM352" s="752"/>
      <c r="BN352" s="755"/>
      <c r="BO352" s="752"/>
      <c r="BP352" s="755"/>
      <c r="BQ352" s="752"/>
      <c r="BR352" s="755"/>
      <c r="BS352" s="752"/>
      <c r="BT352" s="755"/>
      <c r="BU352" s="752"/>
      <c r="BV352" s="755"/>
      <c r="BW352" s="752"/>
      <c r="BX352" s="755"/>
      <c r="BY352" s="752"/>
      <c r="BZ352" s="755"/>
      <c r="CA352" s="752"/>
      <c r="CB352" s="755"/>
      <c r="CC352" s="752"/>
      <c r="CD352" s="755"/>
      <c r="CE352" s="752"/>
      <c r="CF352" s="755"/>
      <c r="CG352" s="752"/>
      <c r="CH352" s="755"/>
      <c r="CI352" s="752"/>
      <c r="CJ352" s="755"/>
      <c r="CK352" s="752"/>
      <c r="CL352" s="755"/>
      <c r="CM352" s="752"/>
      <c r="CN352" s="755"/>
      <c r="CO352" s="752"/>
      <c r="CP352" s="755"/>
      <c r="CQ352" s="752"/>
      <c r="CR352" s="755"/>
      <c r="CS352" s="752"/>
      <c r="CT352" s="755"/>
      <c r="CU352" s="752"/>
      <c r="CV352" s="755"/>
      <c r="CW352" s="752"/>
      <c r="CX352" s="755"/>
      <c r="CY352" s="752"/>
      <c r="CZ352" s="755"/>
      <c r="DA352" s="752"/>
      <c r="DB352" s="753"/>
      <c r="DC352" s="755">
        <f>INPUT!FB319</f>
        <v>213.00000000000003</v>
      </c>
      <c r="DD352" s="756" t="str">
        <f>INPUT!FC319</f>
        <v>NA</v>
      </c>
      <c r="DE352" s="755">
        <f>INPUT!FD319</f>
        <v>161.10000000000002</v>
      </c>
      <c r="DF352" s="756">
        <f>INPUT!FE319</f>
        <v>-24.366197183098592</v>
      </c>
      <c r="DG352" s="755">
        <f>INPUT!FF319</f>
        <v>157.10000000000002</v>
      </c>
      <c r="DH352" s="756">
        <f>INPUT!FG319</f>
        <v>-2.4829298572315306</v>
      </c>
      <c r="DI352" s="755">
        <f>INPUT!FH319</f>
        <v>142.30000000000001</v>
      </c>
      <c r="DJ352" s="756">
        <f>INPUT!FI319</f>
        <v>-9.4207511139401738</v>
      </c>
      <c r="DK352" s="755">
        <f>INPUT!FJ319</f>
        <v>122.19999999999999</v>
      </c>
      <c r="DL352" s="752">
        <f>INPUT!FK319</f>
        <v>-14.125087842586105</v>
      </c>
      <c r="DM352" s="755">
        <f>INPUT!FL319</f>
        <v>120.5</v>
      </c>
      <c r="DN352" s="752">
        <f>INPUT!FM319</f>
        <v>-1.3911620294598914</v>
      </c>
      <c r="DO352" s="755">
        <f>INPUT!FN319</f>
        <v>115.2</v>
      </c>
      <c r="DP352" s="752">
        <f>INPUT!FO319</f>
        <v>-4.3983402489626506</v>
      </c>
      <c r="DQ352" s="755">
        <f>INPUT!FP319</f>
        <v>83.300000000000011</v>
      </c>
      <c r="DR352" s="752">
        <f>INPUT!FQ319</f>
        <v>-27.690972222222211</v>
      </c>
      <c r="DS352" s="755"/>
      <c r="DT352" s="752"/>
      <c r="DU352" s="755"/>
      <c r="DV352" s="752"/>
      <c r="DW352" s="755"/>
      <c r="DX352" s="752"/>
      <c r="DY352" s="755"/>
      <c r="DZ352" s="752"/>
      <c r="EA352" s="755"/>
      <c r="EB352" s="752"/>
      <c r="EC352" s="755"/>
      <c r="ED352" s="752"/>
      <c r="EE352" s="755"/>
      <c r="EF352" s="752"/>
      <c r="EG352" s="755"/>
      <c r="EH352" s="752"/>
      <c r="EI352" s="755"/>
      <c r="EJ352" s="752"/>
      <c r="EK352" s="755"/>
      <c r="EL352" s="752"/>
      <c r="EM352" s="755"/>
      <c r="EN352" s="752"/>
      <c r="EO352" s="755"/>
      <c r="EP352" s="752"/>
      <c r="EQ352" s="755"/>
      <c r="ER352" s="752"/>
      <c r="ES352" s="755"/>
      <c r="ET352" s="752"/>
      <c r="EU352" s="756"/>
      <c r="EV352" s="710"/>
    </row>
    <row r="353" spans="1:152" ht="12.75" hidden="1" customHeight="1" outlineLevel="2" x14ac:dyDescent="0.2">
      <c r="A353" s="754" t="str">
        <f>INPUT!B320</f>
        <v xml:space="preserve">Commissions </v>
      </c>
      <c r="B353" s="755">
        <f>INPUT!AS320</f>
        <v>0.4</v>
      </c>
      <c r="C353" s="756" t="str">
        <f>INPUT!AT320</f>
        <v>NM</v>
      </c>
      <c r="D353" s="755">
        <f>INPUT!AU320</f>
        <v>0.3</v>
      </c>
      <c r="E353" s="756">
        <f>INPUT!AV320</f>
        <v>-25.000000000000011</v>
      </c>
      <c r="F353" s="755">
        <f>INPUT!AW320</f>
        <v>0.4</v>
      </c>
      <c r="G353" s="756" t="str">
        <f>INPUT!AX320</f>
        <v>NA</v>
      </c>
      <c r="H353" s="755">
        <f>INPUT!AY320</f>
        <v>1.9</v>
      </c>
      <c r="I353" s="752" t="str">
        <f>INPUT!AZ320</f>
        <v>NM</v>
      </c>
      <c r="J353" s="755">
        <f>INPUT!BA320</f>
        <v>0.7</v>
      </c>
      <c r="K353" s="752">
        <f>INPUT!BB320</f>
        <v>74.999999999999972</v>
      </c>
      <c r="L353" s="755">
        <f>INPUT!BC320</f>
        <v>0.4</v>
      </c>
      <c r="M353" s="752">
        <f>INPUT!BD320</f>
        <v>33.33333333333335</v>
      </c>
      <c r="N353" s="755">
        <f>INPUT!BE320</f>
        <v>0.4</v>
      </c>
      <c r="O353" s="752">
        <f>INPUT!BF320</f>
        <v>0</v>
      </c>
      <c r="P353" s="755">
        <f>INPUT!BG320</f>
        <v>0.4</v>
      </c>
      <c r="Q353" s="752" t="str">
        <f>INPUT!BH320</f>
        <v>NM</v>
      </c>
      <c r="R353" s="755">
        <f>INPUT!BI320</f>
        <v>0.4</v>
      </c>
      <c r="S353" s="752">
        <f>INPUT!BJ320</f>
        <v>-42.857142857142847</v>
      </c>
      <c r="T353" s="755">
        <f>INPUT!BK320</f>
        <v>0.3</v>
      </c>
      <c r="U353" s="752">
        <f>INPUT!BL320</f>
        <v>-25.000000000000011</v>
      </c>
      <c r="V353" s="755">
        <f>INPUT!BM320</f>
        <v>0.3</v>
      </c>
      <c r="W353" s="752">
        <f>INPUT!BN320</f>
        <v>0</v>
      </c>
      <c r="X353" s="755"/>
      <c r="Y353" s="752"/>
      <c r="Z353" s="755"/>
      <c r="AA353" s="752"/>
      <c r="AB353" s="755"/>
      <c r="AC353" s="752"/>
      <c r="AD353" s="755"/>
      <c r="AE353" s="752"/>
      <c r="AF353" s="755"/>
      <c r="AG353" s="752"/>
      <c r="AH353" s="755"/>
      <c r="AI353" s="752"/>
      <c r="AJ353" s="755"/>
      <c r="AK353" s="752"/>
      <c r="AL353" s="755"/>
      <c r="AM353" s="752"/>
      <c r="AN353" s="755"/>
      <c r="AO353" s="752"/>
      <c r="AP353" s="755"/>
      <c r="AQ353" s="752"/>
      <c r="AR353" s="755"/>
      <c r="AS353" s="752"/>
      <c r="AT353" s="755"/>
      <c r="AU353" s="752"/>
      <c r="AV353" s="755"/>
      <c r="AW353" s="752"/>
      <c r="AX353" s="755"/>
      <c r="AY353" s="752"/>
      <c r="AZ353" s="755"/>
      <c r="BA353" s="752"/>
      <c r="BB353" s="755"/>
      <c r="BC353" s="752"/>
      <c r="BD353" s="755"/>
      <c r="BE353" s="752"/>
      <c r="BF353" s="755"/>
      <c r="BG353" s="752"/>
      <c r="BH353" s="755"/>
      <c r="BI353" s="752"/>
      <c r="BJ353" s="755"/>
      <c r="BK353" s="752"/>
      <c r="BL353" s="755"/>
      <c r="BM353" s="752"/>
      <c r="BN353" s="755"/>
      <c r="BO353" s="752"/>
      <c r="BP353" s="755"/>
      <c r="BQ353" s="752"/>
      <c r="BR353" s="755"/>
      <c r="BS353" s="752"/>
      <c r="BT353" s="755"/>
      <c r="BU353" s="752"/>
      <c r="BV353" s="755"/>
      <c r="BW353" s="752"/>
      <c r="BX353" s="755"/>
      <c r="BY353" s="752"/>
      <c r="BZ353" s="755"/>
      <c r="CA353" s="752"/>
      <c r="CB353" s="755"/>
      <c r="CC353" s="752"/>
      <c r="CD353" s="755"/>
      <c r="CE353" s="752"/>
      <c r="CF353" s="755"/>
      <c r="CG353" s="752"/>
      <c r="CH353" s="755"/>
      <c r="CI353" s="752"/>
      <c r="CJ353" s="755"/>
      <c r="CK353" s="752"/>
      <c r="CL353" s="755"/>
      <c r="CM353" s="752"/>
      <c r="CN353" s="755"/>
      <c r="CO353" s="752"/>
      <c r="CP353" s="755"/>
      <c r="CQ353" s="752"/>
      <c r="CR353" s="755"/>
      <c r="CS353" s="752"/>
      <c r="CT353" s="755"/>
      <c r="CU353" s="752"/>
      <c r="CV353" s="755"/>
      <c r="CW353" s="752"/>
      <c r="CX353" s="755"/>
      <c r="CY353" s="752"/>
      <c r="CZ353" s="755"/>
      <c r="DA353" s="752"/>
      <c r="DB353" s="753"/>
      <c r="DC353" s="755">
        <f>INPUT!FB320</f>
        <v>5.4999999999999991</v>
      </c>
      <c r="DD353" s="756" t="str">
        <f>INPUT!FC320</f>
        <v>NA</v>
      </c>
      <c r="DE353" s="755">
        <f>INPUT!FD320</f>
        <v>3.1</v>
      </c>
      <c r="DF353" s="756">
        <f>INPUT!FE320</f>
        <v>-43.636363636363626</v>
      </c>
      <c r="DG353" s="755">
        <f>INPUT!FF320</f>
        <v>10.799999999999999</v>
      </c>
      <c r="DH353" s="756" t="str">
        <f>INPUT!FG320</f>
        <v>NM</v>
      </c>
      <c r="DI353" s="755">
        <f>INPUT!FH320</f>
        <v>4.9000000000000004</v>
      </c>
      <c r="DJ353" s="756" t="str">
        <f>INPUT!FI320</f>
        <v>NM</v>
      </c>
      <c r="DK353" s="755">
        <f>INPUT!FJ320</f>
        <v>1.1000000000000001</v>
      </c>
      <c r="DL353" s="752" t="str">
        <f>INPUT!FK320</f>
        <v>NM</v>
      </c>
      <c r="DM353" s="755">
        <f>INPUT!FL320</f>
        <v>3</v>
      </c>
      <c r="DN353" s="752" t="str">
        <f>INPUT!FM320</f>
        <v>NM</v>
      </c>
      <c r="DO353" s="755">
        <f>INPUT!FN320</f>
        <v>1.9</v>
      </c>
      <c r="DP353" s="752">
        <f>INPUT!FO320</f>
        <v>-36.666666666666671</v>
      </c>
      <c r="DQ353" s="755">
        <f>INPUT!FP320</f>
        <v>1</v>
      </c>
      <c r="DR353" s="752">
        <f>INPUT!FQ320</f>
        <v>-47.368421052631582</v>
      </c>
      <c r="DS353" s="755"/>
      <c r="DT353" s="752"/>
      <c r="DU353" s="755"/>
      <c r="DV353" s="752"/>
      <c r="DW353" s="755"/>
      <c r="DX353" s="752"/>
      <c r="DY353" s="755"/>
      <c r="DZ353" s="752"/>
      <c r="EA353" s="755"/>
      <c r="EB353" s="752"/>
      <c r="EC353" s="755"/>
      <c r="ED353" s="752"/>
      <c r="EE353" s="755"/>
      <c r="EF353" s="752"/>
      <c r="EG353" s="755"/>
      <c r="EH353" s="752"/>
      <c r="EI353" s="755"/>
      <c r="EJ353" s="752"/>
      <c r="EK353" s="755"/>
      <c r="EL353" s="752"/>
      <c r="EM353" s="755"/>
      <c r="EN353" s="752"/>
      <c r="EO353" s="755"/>
      <c r="EP353" s="752"/>
      <c r="EQ353" s="755"/>
      <c r="ER353" s="752"/>
      <c r="ES353" s="755"/>
      <c r="ET353" s="752"/>
      <c r="EU353" s="756"/>
      <c r="EV353" s="710"/>
    </row>
    <row r="354" spans="1:152" ht="12.75" hidden="1" customHeight="1" outlineLevel="2" x14ac:dyDescent="0.2">
      <c r="A354" s="754" t="str">
        <f>INPUT!B321</f>
        <v>Net Change in DPAC</v>
      </c>
      <c r="B354" s="755">
        <f>INPUT!AS321</f>
        <v>0</v>
      </c>
      <c r="C354" s="756" t="str">
        <f>INPUT!AT321</f>
        <v>NA</v>
      </c>
      <c r="D354" s="755">
        <f>INPUT!AU321</f>
        <v>0</v>
      </c>
      <c r="E354" s="756" t="str">
        <f>INPUT!AV321</f>
        <v>NM</v>
      </c>
      <c r="F354" s="755">
        <f>INPUT!AW321</f>
        <v>0</v>
      </c>
      <c r="G354" s="756" t="str">
        <f>INPUT!AX321</f>
        <v>NM</v>
      </c>
      <c r="H354" s="755">
        <f>INPUT!AY321</f>
        <v>0</v>
      </c>
      <c r="I354" s="752" t="str">
        <f>INPUT!AZ321</f>
        <v>NM</v>
      </c>
      <c r="J354" s="755">
        <f>INPUT!BA321</f>
        <v>0</v>
      </c>
      <c r="K354" s="752" t="str">
        <f>INPUT!BB321</f>
        <v>NA</v>
      </c>
      <c r="L354" s="755">
        <f>INPUT!BC321</f>
        <v>0</v>
      </c>
      <c r="M354" s="752" t="str">
        <f>INPUT!BD321</f>
        <v>NA</v>
      </c>
      <c r="N354" s="755">
        <f>INPUT!BE321</f>
        <v>0</v>
      </c>
      <c r="O354" s="752" t="str">
        <f>INPUT!BF321</f>
        <v>NA</v>
      </c>
      <c r="P354" s="755">
        <f>INPUT!BG321</f>
        <v>0</v>
      </c>
      <c r="Q354" s="752" t="str">
        <f>INPUT!BH321</f>
        <v>NA</v>
      </c>
      <c r="R354" s="755">
        <f>INPUT!BI321</f>
        <v>0</v>
      </c>
      <c r="S354" s="752" t="str">
        <f>INPUT!BJ321</f>
        <v>NA</v>
      </c>
      <c r="T354" s="755">
        <f>INPUT!BK321</f>
        <v>0</v>
      </c>
      <c r="U354" s="752" t="str">
        <f>INPUT!BL321</f>
        <v>NA</v>
      </c>
      <c r="V354" s="755">
        <f>INPUT!BM321</f>
        <v>0</v>
      </c>
      <c r="W354" s="752">
        <f>INPUT!BN321</f>
        <v>0</v>
      </c>
      <c r="X354" s="755"/>
      <c r="Y354" s="752"/>
      <c r="Z354" s="755"/>
      <c r="AA354" s="752"/>
      <c r="AB354" s="755"/>
      <c r="AC354" s="752"/>
      <c r="AD354" s="755"/>
      <c r="AE354" s="752"/>
      <c r="AF354" s="755"/>
      <c r="AG354" s="752"/>
      <c r="AH354" s="755"/>
      <c r="AI354" s="752"/>
      <c r="AJ354" s="755"/>
      <c r="AK354" s="752"/>
      <c r="AL354" s="755"/>
      <c r="AM354" s="752"/>
      <c r="AN354" s="755"/>
      <c r="AO354" s="752"/>
      <c r="AP354" s="755"/>
      <c r="AQ354" s="752"/>
      <c r="AR354" s="755"/>
      <c r="AS354" s="752"/>
      <c r="AT354" s="755"/>
      <c r="AU354" s="752"/>
      <c r="AV354" s="755"/>
      <c r="AW354" s="752"/>
      <c r="AX354" s="755"/>
      <c r="AY354" s="752"/>
      <c r="AZ354" s="755"/>
      <c r="BA354" s="752"/>
      <c r="BB354" s="755"/>
      <c r="BC354" s="752"/>
      <c r="BD354" s="755"/>
      <c r="BE354" s="752"/>
      <c r="BF354" s="755"/>
      <c r="BG354" s="752"/>
      <c r="BH354" s="755"/>
      <c r="BI354" s="752"/>
      <c r="BJ354" s="755"/>
      <c r="BK354" s="752"/>
      <c r="BL354" s="755"/>
      <c r="BM354" s="752"/>
      <c r="BN354" s="755"/>
      <c r="BO354" s="752"/>
      <c r="BP354" s="755"/>
      <c r="BQ354" s="752"/>
      <c r="BR354" s="755"/>
      <c r="BS354" s="752"/>
      <c r="BT354" s="755"/>
      <c r="BU354" s="752"/>
      <c r="BV354" s="755"/>
      <c r="BW354" s="752"/>
      <c r="BX354" s="755"/>
      <c r="BY354" s="752"/>
      <c r="BZ354" s="755"/>
      <c r="CA354" s="752"/>
      <c r="CB354" s="755"/>
      <c r="CC354" s="752"/>
      <c r="CD354" s="755"/>
      <c r="CE354" s="752"/>
      <c r="CF354" s="755"/>
      <c r="CG354" s="752"/>
      <c r="CH354" s="755"/>
      <c r="CI354" s="752"/>
      <c r="CJ354" s="755"/>
      <c r="CK354" s="752"/>
      <c r="CL354" s="755"/>
      <c r="CM354" s="752"/>
      <c r="CN354" s="755"/>
      <c r="CO354" s="752"/>
      <c r="CP354" s="755"/>
      <c r="CQ354" s="752"/>
      <c r="CR354" s="755"/>
      <c r="CS354" s="752"/>
      <c r="CT354" s="755"/>
      <c r="CU354" s="752"/>
      <c r="CV354" s="755"/>
      <c r="CW354" s="752"/>
      <c r="CX354" s="755"/>
      <c r="CY354" s="752"/>
      <c r="CZ354" s="755"/>
      <c r="DA354" s="752"/>
      <c r="DB354" s="753"/>
      <c r="DC354" s="755">
        <f>INPUT!FB321</f>
        <v>30.3</v>
      </c>
      <c r="DD354" s="756" t="str">
        <f>INPUT!FC321</f>
        <v>NA</v>
      </c>
      <c r="DE354" s="755">
        <f>INPUT!FD321</f>
        <v>0.1</v>
      </c>
      <c r="DF354" s="756" t="str">
        <f>INPUT!FE321</f>
        <v>NM</v>
      </c>
      <c r="DG354" s="755">
        <f>INPUT!FF321</f>
        <v>0.1</v>
      </c>
      <c r="DH354" s="756">
        <f>INPUT!FG321</f>
        <v>0</v>
      </c>
      <c r="DI354" s="755">
        <f>INPUT!FH321</f>
        <v>0.1</v>
      </c>
      <c r="DJ354" s="756">
        <f>INPUT!FI321</f>
        <v>0</v>
      </c>
      <c r="DK354" s="755">
        <f>INPUT!FJ321</f>
        <v>0.5</v>
      </c>
      <c r="DL354" s="752" t="str">
        <f>INPUT!FK321</f>
        <v>NM</v>
      </c>
      <c r="DM354" s="755">
        <f>INPUT!FL321</f>
        <v>0</v>
      </c>
      <c r="DN354" s="752" t="str">
        <f>INPUT!FM321</f>
        <v>NM</v>
      </c>
      <c r="DO354" s="755">
        <f>INPUT!FN321</f>
        <v>0</v>
      </c>
      <c r="DP354" s="752" t="str">
        <f>INPUT!FO321</f>
        <v>NA</v>
      </c>
      <c r="DQ354" s="755">
        <f>INPUT!FP321</f>
        <v>0</v>
      </c>
      <c r="DR354" s="752" t="str">
        <f>INPUT!FQ321</f>
        <v>NA</v>
      </c>
      <c r="DS354" s="755"/>
      <c r="DT354" s="752"/>
      <c r="DU354" s="755"/>
      <c r="DV354" s="752"/>
      <c r="DW354" s="755"/>
      <c r="DX354" s="752"/>
      <c r="DY354" s="755"/>
      <c r="DZ354" s="752"/>
      <c r="EA354" s="755"/>
      <c r="EB354" s="752"/>
      <c r="EC354" s="755"/>
      <c r="ED354" s="752"/>
      <c r="EE354" s="755"/>
      <c r="EF354" s="752"/>
      <c r="EG354" s="755"/>
      <c r="EH354" s="752"/>
      <c r="EI354" s="755"/>
      <c r="EJ354" s="752"/>
      <c r="EK354" s="755"/>
      <c r="EL354" s="752"/>
      <c r="EM354" s="755"/>
      <c r="EN354" s="752"/>
      <c r="EO354" s="755"/>
      <c r="EP354" s="752"/>
      <c r="EQ354" s="755"/>
      <c r="ER354" s="752"/>
      <c r="ES354" s="755"/>
      <c r="ET354" s="752"/>
      <c r="EU354" s="756"/>
      <c r="EV354" s="710"/>
    </row>
    <row r="355" spans="1:152" ht="12.75" hidden="1" customHeight="1" outlineLevel="2" x14ac:dyDescent="0.2">
      <c r="A355" s="754" t="str">
        <f>INPUT!B322</f>
        <v>Operating Expenses</v>
      </c>
      <c r="B355" s="755">
        <f>INPUT!AS322</f>
        <v>1.6</v>
      </c>
      <c r="C355" s="756" t="str">
        <f>INPUT!AT322</f>
        <v>NM</v>
      </c>
      <c r="D355" s="755">
        <f>INPUT!AU322</f>
        <v>44.7</v>
      </c>
      <c r="E355" s="756">
        <f>INPUT!AV322</f>
        <v>3.7122969837587005</v>
      </c>
      <c r="F355" s="755">
        <f>INPUT!AW322</f>
        <v>43.7</v>
      </c>
      <c r="G355" s="756">
        <f>INPUT!AX322</f>
        <v>5.8111380145278613</v>
      </c>
      <c r="H355" s="755">
        <f>INPUT!AY322</f>
        <v>-0.6</v>
      </c>
      <c r="I355" s="752" t="str">
        <f>INPUT!AZ322</f>
        <v>NM</v>
      </c>
      <c r="J355" s="755">
        <f>INPUT!BA322</f>
        <v>1.5</v>
      </c>
      <c r="K355" s="752">
        <f>INPUT!BB322</f>
        <v>-6.25</v>
      </c>
      <c r="L355" s="755">
        <f>INPUT!BC322</f>
        <v>0.8</v>
      </c>
      <c r="M355" s="752" t="str">
        <f>INPUT!BD322</f>
        <v>NM</v>
      </c>
      <c r="N355" s="755">
        <f>INPUT!BE322</f>
        <v>0.7</v>
      </c>
      <c r="O355" s="752" t="str">
        <f>INPUT!BF322</f>
        <v>NM</v>
      </c>
      <c r="P355" s="755">
        <f>INPUT!BG322</f>
        <v>1</v>
      </c>
      <c r="Q355" s="752" t="str">
        <f>INPUT!BH322</f>
        <v>NM</v>
      </c>
      <c r="R355" s="755">
        <f>INPUT!BI322</f>
        <v>2.1</v>
      </c>
      <c r="S355" s="752">
        <f>INPUT!BJ322</f>
        <v>40.000000000000014</v>
      </c>
      <c r="T355" s="755">
        <f>INPUT!BK322</f>
        <v>2.4</v>
      </c>
      <c r="U355" s="752" t="str">
        <f>INPUT!BL322</f>
        <v>NM</v>
      </c>
      <c r="V355" s="755">
        <f>INPUT!BM322</f>
        <v>3</v>
      </c>
      <c r="W355" s="752">
        <f>INPUT!BN322</f>
        <v>0</v>
      </c>
      <c r="X355" s="755"/>
      <c r="Y355" s="752"/>
      <c r="Z355" s="755"/>
      <c r="AA355" s="752"/>
      <c r="AB355" s="755"/>
      <c r="AC355" s="752"/>
      <c r="AD355" s="755"/>
      <c r="AE355" s="752"/>
      <c r="AF355" s="755"/>
      <c r="AG355" s="752"/>
      <c r="AH355" s="755"/>
      <c r="AI355" s="752"/>
      <c r="AJ355" s="755"/>
      <c r="AK355" s="752"/>
      <c r="AL355" s="755"/>
      <c r="AM355" s="752"/>
      <c r="AN355" s="755"/>
      <c r="AO355" s="752"/>
      <c r="AP355" s="755"/>
      <c r="AQ355" s="752"/>
      <c r="AR355" s="755"/>
      <c r="AS355" s="752"/>
      <c r="AT355" s="755"/>
      <c r="AU355" s="752"/>
      <c r="AV355" s="755"/>
      <c r="AW355" s="752"/>
      <c r="AX355" s="755"/>
      <c r="AY355" s="752"/>
      <c r="AZ355" s="755"/>
      <c r="BA355" s="752"/>
      <c r="BB355" s="755"/>
      <c r="BC355" s="752"/>
      <c r="BD355" s="755"/>
      <c r="BE355" s="752"/>
      <c r="BF355" s="755"/>
      <c r="BG355" s="752"/>
      <c r="BH355" s="755"/>
      <c r="BI355" s="752"/>
      <c r="BJ355" s="755"/>
      <c r="BK355" s="752"/>
      <c r="BL355" s="755"/>
      <c r="BM355" s="752"/>
      <c r="BN355" s="755"/>
      <c r="BO355" s="752"/>
      <c r="BP355" s="755"/>
      <c r="BQ355" s="752"/>
      <c r="BR355" s="755"/>
      <c r="BS355" s="752"/>
      <c r="BT355" s="755"/>
      <c r="BU355" s="752"/>
      <c r="BV355" s="755"/>
      <c r="BW355" s="752"/>
      <c r="BX355" s="755"/>
      <c r="BY355" s="752"/>
      <c r="BZ355" s="755"/>
      <c r="CA355" s="752"/>
      <c r="CB355" s="755"/>
      <c r="CC355" s="752"/>
      <c r="CD355" s="755"/>
      <c r="CE355" s="752"/>
      <c r="CF355" s="755"/>
      <c r="CG355" s="752"/>
      <c r="CH355" s="755"/>
      <c r="CI355" s="752"/>
      <c r="CJ355" s="755"/>
      <c r="CK355" s="752"/>
      <c r="CL355" s="755"/>
      <c r="CM355" s="752"/>
      <c r="CN355" s="755"/>
      <c r="CO355" s="752"/>
      <c r="CP355" s="755"/>
      <c r="CQ355" s="752"/>
      <c r="CR355" s="755"/>
      <c r="CS355" s="752"/>
      <c r="CT355" s="755"/>
      <c r="CU355" s="752"/>
      <c r="CV355" s="755"/>
      <c r="CW355" s="752"/>
      <c r="CX355" s="755"/>
      <c r="CY355" s="752"/>
      <c r="CZ355" s="755"/>
      <c r="DA355" s="752"/>
      <c r="DB355" s="753"/>
      <c r="DC355" s="755">
        <f>INPUT!FB322</f>
        <v>181.29999999999998</v>
      </c>
      <c r="DD355" s="756" t="str">
        <f>INPUT!FC322</f>
        <v>NA</v>
      </c>
      <c r="DE355" s="755">
        <f>INPUT!FD322</f>
        <v>177.5</v>
      </c>
      <c r="DF355" s="756">
        <f>INPUT!FE322</f>
        <v>-2.0959735245449473</v>
      </c>
      <c r="DG355" s="755">
        <f>INPUT!FF322</f>
        <v>168.7</v>
      </c>
      <c r="DH355" s="756">
        <f>INPUT!FG322</f>
        <v>-4.9577464788732488</v>
      </c>
      <c r="DI355" s="755">
        <f>INPUT!FH322</f>
        <v>174.2</v>
      </c>
      <c r="DJ355" s="756">
        <f>INPUT!FI322</f>
        <v>3.2602252519265074</v>
      </c>
      <c r="DK355" s="755">
        <f>INPUT!FJ322</f>
        <v>127.2</v>
      </c>
      <c r="DL355" s="752">
        <f>INPUT!FK322</f>
        <v>-26.980482204362801</v>
      </c>
      <c r="DM355" s="755">
        <f>INPUT!FL322</f>
        <v>89.4</v>
      </c>
      <c r="DN355" s="752">
        <f>INPUT!FM322</f>
        <v>-29.716981132075471</v>
      </c>
      <c r="DO355" s="755">
        <f>INPUT!FN322</f>
        <v>4</v>
      </c>
      <c r="DP355" s="752" t="str">
        <f>INPUT!FO322</f>
        <v>NM</v>
      </c>
      <c r="DQ355" s="755">
        <f>INPUT!FP322</f>
        <v>7.5</v>
      </c>
      <c r="DR355" s="752">
        <f>INPUT!FQ322</f>
        <v>87.5</v>
      </c>
      <c r="DS355" s="755"/>
      <c r="DT355" s="752"/>
      <c r="DU355" s="755"/>
      <c r="DV355" s="752"/>
      <c r="DW355" s="755"/>
      <c r="DX355" s="752"/>
      <c r="DY355" s="755"/>
      <c r="DZ355" s="752"/>
      <c r="EA355" s="755"/>
      <c r="EB355" s="752"/>
      <c r="EC355" s="755"/>
      <c r="ED355" s="752"/>
      <c r="EE355" s="755"/>
      <c r="EF355" s="752"/>
      <c r="EG355" s="755"/>
      <c r="EH355" s="752"/>
      <c r="EI355" s="755"/>
      <c r="EJ355" s="752"/>
      <c r="EK355" s="755"/>
      <c r="EL355" s="752"/>
      <c r="EM355" s="755"/>
      <c r="EN355" s="752"/>
      <c r="EO355" s="755"/>
      <c r="EP355" s="752"/>
      <c r="EQ355" s="755"/>
      <c r="ER355" s="752"/>
      <c r="ES355" s="755"/>
      <c r="ET355" s="752"/>
      <c r="EU355" s="756"/>
      <c r="EV355" s="710"/>
    </row>
    <row r="356" spans="1:152" ht="12.75" hidden="1" customHeight="1" outlineLevel="2" x14ac:dyDescent="0.2">
      <c r="A356" s="754" t="str">
        <f>INPUT!B323</f>
        <v xml:space="preserve"> Total Benefits and Expenses</v>
      </c>
      <c r="B356" s="755">
        <f>INPUT!AS323</f>
        <v>33.4</v>
      </c>
      <c r="C356" s="756" t="str">
        <f>INPUT!AT323</f>
        <v>NM</v>
      </c>
      <c r="D356" s="755">
        <f>INPUT!AU323</f>
        <v>75.600000000000009</v>
      </c>
      <c r="E356" s="756">
        <f>INPUT!AV323</f>
        <v>3.561643835616457</v>
      </c>
      <c r="F356" s="755">
        <f>INPUT!AW323</f>
        <v>71.400000000000006</v>
      </c>
      <c r="G356" s="756">
        <f>INPUT!AX323</f>
        <v>5.1546391752577581</v>
      </c>
      <c r="H356" s="755">
        <f>INPUT!AY323</f>
        <v>32.5</v>
      </c>
      <c r="I356" s="752">
        <f>INPUT!AZ323</f>
        <v>-10.71428571428571</v>
      </c>
      <c r="J356" s="755">
        <f>INPUT!BA323</f>
        <v>33.800000000000004</v>
      </c>
      <c r="K356" s="752">
        <f>INPUT!BB323</f>
        <v>1.1976047904191711</v>
      </c>
      <c r="L356" s="755">
        <f>INPUT!BC323</f>
        <v>31.8</v>
      </c>
      <c r="M356" s="752" t="str">
        <f>INPUT!BD323</f>
        <v>NM</v>
      </c>
      <c r="N356" s="755">
        <f>INPUT!BE323</f>
        <v>26.599999999999998</v>
      </c>
      <c r="O356" s="752" t="str">
        <f>INPUT!BF323</f>
        <v>NM</v>
      </c>
      <c r="P356" s="755">
        <f>INPUT!BG323</f>
        <v>28.9</v>
      </c>
      <c r="Q356" s="752">
        <f>INPUT!BH323</f>
        <v>-11.076923076923084</v>
      </c>
      <c r="R356" s="755">
        <f>INPUT!BI323</f>
        <v>30.7</v>
      </c>
      <c r="S356" s="752">
        <f>INPUT!BJ323</f>
        <v>-9.1715976331361091</v>
      </c>
      <c r="T356" s="755">
        <f>INPUT!BK323</f>
        <v>30.7</v>
      </c>
      <c r="U356" s="752">
        <f>INPUT!BL323</f>
        <v>-3.4591194968553451</v>
      </c>
      <c r="V356" s="755">
        <f>INPUT!BM323</f>
        <v>30.400000000000002</v>
      </c>
      <c r="W356" s="752">
        <f>INPUT!BN323</f>
        <v>0</v>
      </c>
      <c r="X356" s="755"/>
      <c r="Y356" s="752"/>
      <c r="Z356" s="755"/>
      <c r="AA356" s="752"/>
      <c r="AB356" s="755"/>
      <c r="AC356" s="752"/>
      <c r="AD356" s="755"/>
      <c r="AE356" s="752"/>
      <c r="AF356" s="755"/>
      <c r="AG356" s="752"/>
      <c r="AH356" s="755"/>
      <c r="AI356" s="752"/>
      <c r="AJ356" s="755"/>
      <c r="AK356" s="752"/>
      <c r="AL356" s="755"/>
      <c r="AM356" s="752"/>
      <c r="AN356" s="755"/>
      <c r="AO356" s="752"/>
      <c r="AP356" s="755"/>
      <c r="AQ356" s="752"/>
      <c r="AR356" s="755"/>
      <c r="AS356" s="752"/>
      <c r="AT356" s="755"/>
      <c r="AU356" s="752"/>
      <c r="AV356" s="755"/>
      <c r="AW356" s="752"/>
      <c r="AX356" s="755"/>
      <c r="AY356" s="752"/>
      <c r="AZ356" s="755"/>
      <c r="BA356" s="752"/>
      <c r="BB356" s="755"/>
      <c r="BC356" s="752"/>
      <c r="BD356" s="755"/>
      <c r="BE356" s="752"/>
      <c r="BF356" s="755"/>
      <c r="BG356" s="752"/>
      <c r="BH356" s="755"/>
      <c r="BI356" s="752"/>
      <c r="BJ356" s="755"/>
      <c r="BK356" s="752"/>
      <c r="BL356" s="755"/>
      <c r="BM356" s="752"/>
      <c r="BN356" s="755"/>
      <c r="BO356" s="752"/>
      <c r="BP356" s="755"/>
      <c r="BQ356" s="752"/>
      <c r="BR356" s="755"/>
      <c r="BS356" s="752"/>
      <c r="BT356" s="755"/>
      <c r="BU356" s="752"/>
      <c r="BV356" s="755"/>
      <c r="BW356" s="752"/>
      <c r="BX356" s="755"/>
      <c r="BY356" s="752"/>
      <c r="BZ356" s="755"/>
      <c r="CA356" s="752"/>
      <c r="CB356" s="755"/>
      <c r="CC356" s="752"/>
      <c r="CD356" s="755"/>
      <c r="CE356" s="752"/>
      <c r="CF356" s="755"/>
      <c r="CG356" s="752"/>
      <c r="CH356" s="755"/>
      <c r="CI356" s="752"/>
      <c r="CJ356" s="755"/>
      <c r="CK356" s="752"/>
      <c r="CL356" s="755"/>
      <c r="CM356" s="752"/>
      <c r="CN356" s="755"/>
      <c r="CO356" s="752"/>
      <c r="CP356" s="755"/>
      <c r="CQ356" s="752"/>
      <c r="CR356" s="755"/>
      <c r="CS356" s="752"/>
      <c r="CT356" s="755"/>
      <c r="CU356" s="752"/>
      <c r="CV356" s="755"/>
      <c r="CW356" s="752"/>
      <c r="CX356" s="755"/>
      <c r="CY356" s="752"/>
      <c r="CZ356" s="755"/>
      <c r="DA356" s="752"/>
      <c r="DB356" s="753"/>
      <c r="DC356" s="755">
        <f>INPUT!FB323</f>
        <v>430.1</v>
      </c>
      <c r="DD356" s="756" t="str">
        <f>INPUT!FC323</f>
        <v>NA</v>
      </c>
      <c r="DE356" s="755">
        <f>INPUT!FD323</f>
        <v>341.8</v>
      </c>
      <c r="DF356" s="756">
        <f>INPUT!FE323</f>
        <v>-20.530109276912345</v>
      </c>
      <c r="DG356" s="755">
        <f>INPUT!FF323</f>
        <v>336.70000000000005</v>
      </c>
      <c r="DH356" s="756">
        <f>INPUT!FG323</f>
        <v>-1.4921006436512507</v>
      </c>
      <c r="DI356" s="755">
        <f>INPUT!FH323</f>
        <v>321.5</v>
      </c>
      <c r="DJ356" s="756">
        <f>INPUT!FI323</f>
        <v>-4.5144045144045242</v>
      </c>
      <c r="DK356" s="755">
        <f>INPUT!FJ323</f>
        <v>251</v>
      </c>
      <c r="DL356" s="752">
        <f>INPUT!FK323</f>
        <v>-21.928460342146195</v>
      </c>
      <c r="DM356" s="755">
        <f>INPUT!FL323</f>
        <v>212.9</v>
      </c>
      <c r="DN356" s="752">
        <f>INPUT!FM323</f>
        <v>-15.17928286852589</v>
      </c>
      <c r="DO356" s="755">
        <f>INPUT!FN323</f>
        <v>121.10000000000001</v>
      </c>
      <c r="DP356" s="752">
        <f>INPUT!FO323</f>
        <v>-43.118835133865666</v>
      </c>
      <c r="DQ356" s="755">
        <f>INPUT!FP323</f>
        <v>91.800000000000011</v>
      </c>
      <c r="DR356" s="752">
        <f>INPUT!FQ323</f>
        <v>-24.194880264244421</v>
      </c>
      <c r="DS356" s="755"/>
      <c r="DT356" s="752"/>
      <c r="DU356" s="755"/>
      <c r="DV356" s="752"/>
      <c r="DW356" s="755"/>
      <c r="DX356" s="752"/>
      <c r="DY356" s="755"/>
      <c r="DZ356" s="752"/>
      <c r="EA356" s="755"/>
      <c r="EB356" s="752"/>
      <c r="EC356" s="755"/>
      <c r="ED356" s="752"/>
      <c r="EE356" s="755"/>
      <c r="EF356" s="752"/>
      <c r="EG356" s="755"/>
      <c r="EH356" s="752"/>
      <c r="EI356" s="755"/>
      <c r="EJ356" s="752"/>
      <c r="EK356" s="755"/>
      <c r="EL356" s="752"/>
      <c r="EM356" s="755"/>
      <c r="EN356" s="752"/>
      <c r="EO356" s="755"/>
      <c r="EP356" s="752"/>
      <c r="EQ356" s="755"/>
      <c r="ER356" s="752"/>
      <c r="ES356" s="755"/>
      <c r="ET356" s="752"/>
      <c r="EU356" s="756"/>
      <c r="EV356" s="710"/>
    </row>
    <row r="357" spans="1:152" ht="12.75" hidden="1" customHeight="1" outlineLevel="2" x14ac:dyDescent="0.2">
      <c r="A357" s="754"/>
      <c r="B357" s="750"/>
      <c r="C357" s="751"/>
      <c r="D357" s="750"/>
      <c r="E357" s="751"/>
      <c r="F357" s="750"/>
      <c r="G357" s="751"/>
      <c r="H357" s="750"/>
      <c r="I357" s="752"/>
      <c r="J357" s="750"/>
      <c r="K357" s="752"/>
      <c r="L357" s="750"/>
      <c r="M357" s="752"/>
      <c r="N357" s="750"/>
      <c r="O357" s="752"/>
      <c r="P357" s="750"/>
      <c r="Q357" s="752"/>
      <c r="R357" s="750"/>
      <c r="S357" s="752"/>
      <c r="T357" s="750"/>
      <c r="U357" s="752"/>
      <c r="V357" s="750"/>
      <c r="W357" s="752"/>
      <c r="X357" s="750"/>
      <c r="Y357" s="752"/>
      <c r="Z357" s="750"/>
      <c r="AA357" s="752"/>
      <c r="AB357" s="750"/>
      <c r="AC357" s="752"/>
      <c r="AD357" s="750"/>
      <c r="AE357" s="752"/>
      <c r="AF357" s="750"/>
      <c r="AG357" s="752"/>
      <c r="AH357" s="750"/>
      <c r="AI357" s="752"/>
      <c r="AJ357" s="750"/>
      <c r="AK357" s="752"/>
      <c r="AL357" s="750"/>
      <c r="AM357" s="752"/>
      <c r="AN357" s="750"/>
      <c r="AO357" s="752"/>
      <c r="AP357" s="750"/>
      <c r="AQ357" s="752"/>
      <c r="AR357" s="750"/>
      <c r="AS357" s="752"/>
      <c r="AT357" s="750"/>
      <c r="AU357" s="752"/>
      <c r="AV357" s="750"/>
      <c r="AW357" s="752"/>
      <c r="AX357" s="750"/>
      <c r="AY357" s="752"/>
      <c r="AZ357" s="750"/>
      <c r="BA357" s="752"/>
      <c r="BB357" s="750"/>
      <c r="BC357" s="752"/>
      <c r="BD357" s="750"/>
      <c r="BE357" s="752"/>
      <c r="BF357" s="750"/>
      <c r="BG357" s="752"/>
      <c r="BH357" s="750"/>
      <c r="BI357" s="752"/>
      <c r="BJ357" s="750"/>
      <c r="BK357" s="752"/>
      <c r="BL357" s="750"/>
      <c r="BM357" s="752"/>
      <c r="BN357" s="750"/>
      <c r="BO357" s="752"/>
      <c r="BP357" s="750"/>
      <c r="BQ357" s="752"/>
      <c r="BR357" s="750"/>
      <c r="BS357" s="752"/>
      <c r="BT357" s="750"/>
      <c r="BU357" s="752"/>
      <c r="BV357" s="750"/>
      <c r="BW357" s="752"/>
      <c r="BX357" s="750"/>
      <c r="BY357" s="752"/>
      <c r="BZ357" s="750"/>
      <c r="CA357" s="752"/>
      <c r="CB357" s="750"/>
      <c r="CC357" s="752"/>
      <c r="CD357" s="750"/>
      <c r="CE357" s="752"/>
      <c r="CF357" s="750"/>
      <c r="CG357" s="752"/>
      <c r="CH357" s="750"/>
      <c r="CI357" s="752"/>
      <c r="CJ357" s="750"/>
      <c r="CK357" s="752"/>
      <c r="CL357" s="750"/>
      <c r="CM357" s="752"/>
      <c r="CN357" s="750"/>
      <c r="CO357" s="752"/>
      <c r="CP357" s="750"/>
      <c r="CQ357" s="752"/>
      <c r="CR357" s="750"/>
      <c r="CS357" s="752"/>
      <c r="CT357" s="750"/>
      <c r="CU357" s="752"/>
      <c r="CV357" s="750"/>
      <c r="CW357" s="752"/>
      <c r="CX357" s="750"/>
      <c r="CY357" s="752"/>
      <c r="CZ357" s="750"/>
      <c r="DA357" s="752"/>
      <c r="DB357" s="753"/>
      <c r="DC357" s="750"/>
      <c r="DD357" s="751"/>
      <c r="DE357" s="750"/>
      <c r="DF357" s="751"/>
      <c r="DG357" s="750"/>
      <c r="DH357" s="751"/>
      <c r="DI357" s="750"/>
      <c r="DJ357" s="751"/>
      <c r="DK357" s="750"/>
      <c r="DL357" s="752"/>
      <c r="DM357" s="750"/>
      <c r="DN357" s="752"/>
      <c r="DO357" s="750"/>
      <c r="DP357" s="752"/>
      <c r="DQ357" s="750"/>
      <c r="DR357" s="752"/>
      <c r="DS357" s="750"/>
      <c r="DT357" s="752"/>
      <c r="DU357" s="750"/>
      <c r="DV357" s="752"/>
      <c r="DW357" s="750"/>
      <c r="DX357" s="752"/>
      <c r="DY357" s="750"/>
      <c r="DZ357" s="752"/>
      <c r="EA357" s="750"/>
      <c r="EB357" s="752"/>
      <c r="EC357" s="750"/>
      <c r="ED357" s="752"/>
      <c r="EE357" s="750"/>
      <c r="EF357" s="752"/>
      <c r="EG357" s="750"/>
      <c r="EH357" s="752"/>
      <c r="EI357" s="750"/>
      <c r="EJ357" s="752"/>
      <c r="EK357" s="750"/>
      <c r="EL357" s="752"/>
      <c r="EM357" s="750"/>
      <c r="EN357" s="752"/>
      <c r="EO357" s="750"/>
      <c r="EP357" s="752"/>
      <c r="EQ357" s="750"/>
      <c r="ER357" s="752"/>
      <c r="ES357" s="750"/>
      <c r="ET357" s="752"/>
      <c r="EU357" s="750"/>
      <c r="EV357" s="710"/>
    </row>
    <row r="358" spans="1:152" ht="12.75" hidden="1" customHeight="1" outlineLevel="2" x14ac:dyDescent="0.2">
      <c r="A358" s="805" t="str">
        <f>INPUT!B329</f>
        <v>Pretax Earnings</v>
      </c>
      <c r="B358" s="817">
        <f>INPUT!AS329</f>
        <v>4.8000000000000043</v>
      </c>
      <c r="C358" s="807">
        <f>INPUT!AT329</f>
        <v>-48.387096774193559</v>
      </c>
      <c r="D358" s="817">
        <f>INPUT!AU329</f>
        <v>8.6999999999999886</v>
      </c>
      <c r="E358" s="807">
        <f>INPUT!AV329</f>
        <v>-37.410071942446152</v>
      </c>
      <c r="F358" s="817">
        <f>INPUT!AW329</f>
        <v>10.599999999999994</v>
      </c>
      <c r="G358" s="807">
        <f>INPUT!AX329</f>
        <v>-22.058823529411853</v>
      </c>
      <c r="H358" s="817">
        <f>INPUT!AY329</f>
        <v>6.4000000000000057</v>
      </c>
      <c r="I358" s="808">
        <f>INPUT!AZ329</f>
        <v>36.170212765957487</v>
      </c>
      <c r="J358" s="817">
        <f>INPUT!BA329</f>
        <v>3.6000000000000014</v>
      </c>
      <c r="K358" s="808">
        <f>INPUT!BB329</f>
        <v>-25.000000000000032</v>
      </c>
      <c r="L358" s="817">
        <f>INPUT!BC329</f>
        <v>3.9999999999999964</v>
      </c>
      <c r="M358" s="808" t="str">
        <f>INPUT!BD329</f>
        <v>NM</v>
      </c>
      <c r="N358" s="817">
        <f>INPUT!BE329</f>
        <v>3.600000000000005</v>
      </c>
      <c r="O358" s="808" t="str">
        <f>INPUT!BF329</f>
        <v>NM</v>
      </c>
      <c r="P358" s="817">
        <f>INPUT!BG329</f>
        <v>6.2999999999999972</v>
      </c>
      <c r="Q358" s="808">
        <f>INPUT!BH329</f>
        <v>-1.5625000000001332</v>
      </c>
      <c r="R358" s="817">
        <f>INPUT!BI329</f>
        <v>3.899999999999995</v>
      </c>
      <c r="S358" s="808">
        <f>INPUT!BJ329</f>
        <v>8.3333333333331474</v>
      </c>
      <c r="T358" s="817">
        <f>INPUT!BK329</f>
        <v>3.399999999999995</v>
      </c>
      <c r="U358" s="808">
        <f>INPUT!BL329</f>
        <v>-15.000000000000046</v>
      </c>
      <c r="V358" s="817">
        <f>INPUT!BM329</f>
        <v>3.4999999999999964</v>
      </c>
      <c r="W358" s="808">
        <f>INPUT!BN329</f>
        <v>0</v>
      </c>
      <c r="X358" s="817"/>
      <c r="Y358" s="808"/>
      <c r="Z358" s="817"/>
      <c r="AA358" s="808"/>
      <c r="AB358" s="817"/>
      <c r="AC358" s="808"/>
      <c r="AD358" s="817"/>
      <c r="AE358" s="808"/>
      <c r="AF358" s="817"/>
      <c r="AG358" s="808"/>
      <c r="AH358" s="817"/>
      <c r="AI358" s="808"/>
      <c r="AJ358" s="817"/>
      <c r="AK358" s="808"/>
      <c r="AL358" s="817"/>
      <c r="AM358" s="808"/>
      <c r="AN358" s="817"/>
      <c r="AO358" s="808"/>
      <c r="AP358" s="817"/>
      <c r="AQ358" s="808"/>
      <c r="AR358" s="817"/>
      <c r="AS358" s="808"/>
      <c r="AT358" s="817"/>
      <c r="AU358" s="808"/>
      <c r="AV358" s="817"/>
      <c r="AW358" s="808"/>
      <c r="AX358" s="817"/>
      <c r="AY358" s="808"/>
      <c r="AZ358" s="817"/>
      <c r="BA358" s="808"/>
      <c r="BB358" s="817"/>
      <c r="BC358" s="808"/>
      <c r="BD358" s="817"/>
      <c r="BE358" s="808"/>
      <c r="BF358" s="817"/>
      <c r="BG358" s="808"/>
      <c r="BH358" s="817"/>
      <c r="BI358" s="808"/>
      <c r="BJ358" s="817"/>
      <c r="BK358" s="808"/>
      <c r="BL358" s="817"/>
      <c r="BM358" s="808"/>
      <c r="BN358" s="817"/>
      <c r="BO358" s="808"/>
      <c r="BP358" s="817"/>
      <c r="BQ358" s="808"/>
      <c r="BR358" s="817"/>
      <c r="BS358" s="808"/>
      <c r="BT358" s="817"/>
      <c r="BU358" s="808"/>
      <c r="BV358" s="817"/>
      <c r="BW358" s="808"/>
      <c r="BX358" s="817"/>
      <c r="BY358" s="808"/>
      <c r="BZ358" s="817"/>
      <c r="CA358" s="808"/>
      <c r="CB358" s="817"/>
      <c r="CC358" s="808"/>
      <c r="CD358" s="817"/>
      <c r="CE358" s="808"/>
      <c r="CF358" s="817"/>
      <c r="CG358" s="808"/>
      <c r="CH358" s="817"/>
      <c r="CI358" s="808"/>
      <c r="CJ358" s="817"/>
      <c r="CK358" s="808"/>
      <c r="CL358" s="817"/>
      <c r="CM358" s="808"/>
      <c r="CN358" s="817"/>
      <c r="CO358" s="808"/>
      <c r="CP358" s="817"/>
      <c r="CQ358" s="808"/>
      <c r="CR358" s="817"/>
      <c r="CS358" s="808"/>
      <c r="CT358" s="817"/>
      <c r="CU358" s="808"/>
      <c r="CV358" s="817"/>
      <c r="CW358" s="808"/>
      <c r="CX358" s="817"/>
      <c r="CY358" s="808"/>
      <c r="CZ358" s="817"/>
      <c r="DA358" s="808"/>
      <c r="DB358" s="809"/>
      <c r="DC358" s="818">
        <f>INPUT!FB329</f>
        <v>67</v>
      </c>
      <c r="DD358" s="807" t="str">
        <f>INPUT!FC329</f>
        <v>NA</v>
      </c>
      <c r="DE358" s="818">
        <f>INPUT!FD329</f>
        <v>64.300000000000011</v>
      </c>
      <c r="DF358" s="807">
        <f>INPUT!FE329</f>
        <v>-4.0298507462686377</v>
      </c>
      <c r="DG358" s="818">
        <f>INPUT!FF329</f>
        <v>42.099999999999966</v>
      </c>
      <c r="DH358" s="807">
        <f>INPUT!FG329</f>
        <v>-34.525660964230234</v>
      </c>
      <c r="DI358" s="818">
        <f>INPUT!FH329</f>
        <v>45.400000000000034</v>
      </c>
      <c r="DJ358" s="807">
        <f>INPUT!FI329</f>
        <v>7.8384798099764064</v>
      </c>
      <c r="DK358" s="818">
        <f>INPUT!FJ329</f>
        <v>41.5</v>
      </c>
      <c r="DL358" s="808">
        <f>INPUT!FK329</f>
        <v>-8.5903083700441201</v>
      </c>
      <c r="DM358" s="818">
        <f>INPUT!FL329</f>
        <v>30.499999999999972</v>
      </c>
      <c r="DN358" s="808">
        <f>INPUT!FM329</f>
        <v>-26.506024096385605</v>
      </c>
      <c r="DO358" s="818">
        <f>INPUT!FN329</f>
        <v>17.499999999999986</v>
      </c>
      <c r="DP358" s="808">
        <f>INPUT!FO329</f>
        <v>-42.62295081967212</v>
      </c>
      <c r="DQ358" s="817">
        <f>INPUT!FP329</f>
        <v>10.799999999999983</v>
      </c>
      <c r="DR358" s="808">
        <f>INPUT!FQ329</f>
        <v>-38.285714285714334</v>
      </c>
      <c r="DS358" s="817"/>
      <c r="DT358" s="808"/>
      <c r="DU358" s="817"/>
      <c r="DV358" s="808"/>
      <c r="DW358" s="817"/>
      <c r="DX358" s="808"/>
      <c r="DY358" s="817"/>
      <c r="DZ358" s="808"/>
      <c r="EA358" s="817"/>
      <c r="EB358" s="808"/>
      <c r="EC358" s="817"/>
      <c r="ED358" s="808"/>
      <c r="EE358" s="817"/>
      <c r="EF358" s="808"/>
      <c r="EG358" s="817"/>
      <c r="EH358" s="808"/>
      <c r="EI358" s="817"/>
      <c r="EJ358" s="808"/>
      <c r="EK358" s="817"/>
      <c r="EL358" s="808"/>
      <c r="EM358" s="817"/>
      <c r="EN358" s="808"/>
      <c r="EO358" s="817"/>
      <c r="EP358" s="808"/>
      <c r="EQ358" s="817"/>
      <c r="ER358" s="808"/>
      <c r="ES358" s="817"/>
      <c r="ET358" s="808"/>
      <c r="EU358" s="807"/>
      <c r="EV358" s="724"/>
    </row>
    <row r="359" spans="1:152" ht="12.75" hidden="1" customHeight="1" outlineLevel="2" x14ac:dyDescent="0.2">
      <c r="A359" s="754"/>
      <c r="B359" s="750"/>
      <c r="C359" s="751"/>
      <c r="D359" s="750"/>
      <c r="E359" s="751"/>
      <c r="F359" s="750"/>
      <c r="G359" s="751"/>
      <c r="H359" s="750"/>
      <c r="I359" s="752"/>
      <c r="J359" s="750"/>
      <c r="K359" s="752"/>
      <c r="L359" s="750"/>
      <c r="M359" s="752"/>
      <c r="N359" s="750"/>
      <c r="O359" s="752"/>
      <c r="P359" s="750"/>
      <c r="Q359" s="752"/>
      <c r="R359" s="750"/>
      <c r="S359" s="752"/>
      <c r="T359" s="750"/>
      <c r="U359" s="752"/>
      <c r="V359" s="750"/>
      <c r="W359" s="752"/>
      <c r="X359" s="750"/>
      <c r="Y359" s="752"/>
      <c r="Z359" s="750"/>
      <c r="AA359" s="752"/>
      <c r="AB359" s="750"/>
      <c r="AC359" s="752"/>
      <c r="AD359" s="750"/>
      <c r="AE359" s="752"/>
      <c r="AF359" s="750"/>
      <c r="AG359" s="752"/>
      <c r="AH359" s="750"/>
      <c r="AI359" s="752"/>
      <c r="AJ359" s="750"/>
      <c r="AK359" s="752"/>
      <c r="AL359" s="750"/>
      <c r="AM359" s="752"/>
      <c r="AN359" s="750"/>
      <c r="AO359" s="752"/>
      <c r="AP359" s="750"/>
      <c r="AQ359" s="752"/>
      <c r="AR359" s="750"/>
      <c r="AS359" s="752"/>
      <c r="AT359" s="750"/>
      <c r="AU359" s="752"/>
      <c r="AV359" s="750"/>
      <c r="AW359" s="752"/>
      <c r="AX359" s="750"/>
      <c r="AY359" s="752"/>
      <c r="AZ359" s="750"/>
      <c r="BA359" s="752"/>
      <c r="BB359" s="750"/>
      <c r="BC359" s="752"/>
      <c r="BD359" s="750"/>
      <c r="BE359" s="752"/>
      <c r="BF359" s="750"/>
      <c r="BG359" s="752"/>
      <c r="BH359" s="750"/>
      <c r="BI359" s="752"/>
      <c r="BJ359" s="750"/>
      <c r="BK359" s="752"/>
      <c r="BL359" s="750"/>
      <c r="BM359" s="752"/>
      <c r="BN359" s="750"/>
      <c r="BO359" s="752"/>
      <c r="BP359" s="750"/>
      <c r="BQ359" s="752"/>
      <c r="BR359" s="750"/>
      <c r="BS359" s="752"/>
      <c r="BT359" s="750"/>
      <c r="BU359" s="752"/>
      <c r="BV359" s="750"/>
      <c r="BW359" s="752"/>
      <c r="BX359" s="750"/>
      <c r="BY359" s="752"/>
      <c r="BZ359" s="750"/>
      <c r="CA359" s="752"/>
      <c r="CB359" s="750"/>
      <c r="CC359" s="752"/>
      <c r="CD359" s="750"/>
      <c r="CE359" s="752"/>
      <c r="CF359" s="750"/>
      <c r="CG359" s="752"/>
      <c r="CH359" s="750"/>
      <c r="CI359" s="752"/>
      <c r="CJ359" s="750"/>
      <c r="CK359" s="752"/>
      <c r="CL359" s="750"/>
      <c r="CM359" s="752"/>
      <c r="CN359" s="750"/>
      <c r="CO359" s="752"/>
      <c r="CP359" s="750"/>
      <c r="CQ359" s="752"/>
      <c r="CR359" s="750"/>
      <c r="CS359" s="752"/>
      <c r="CT359" s="750"/>
      <c r="CU359" s="752"/>
      <c r="CV359" s="750"/>
      <c r="CW359" s="752"/>
      <c r="CX359" s="750"/>
      <c r="CY359" s="752"/>
      <c r="CZ359" s="750"/>
      <c r="DA359" s="752"/>
      <c r="DB359" s="753"/>
      <c r="DC359" s="750"/>
      <c r="DD359" s="751"/>
      <c r="DE359" s="750"/>
      <c r="DF359" s="751"/>
      <c r="DG359" s="750"/>
      <c r="DH359" s="751"/>
      <c r="DI359" s="750"/>
      <c r="DJ359" s="751"/>
      <c r="DK359" s="750"/>
      <c r="DL359" s="752"/>
      <c r="DM359" s="750"/>
      <c r="DN359" s="752"/>
      <c r="DO359" s="750"/>
      <c r="DP359" s="752"/>
      <c r="DQ359" s="750"/>
      <c r="DR359" s="752"/>
      <c r="DS359" s="750"/>
      <c r="DT359" s="752"/>
      <c r="DU359" s="750"/>
      <c r="DV359" s="752"/>
      <c r="DW359" s="750"/>
      <c r="DX359" s="752"/>
      <c r="DY359" s="750"/>
      <c r="DZ359" s="752"/>
      <c r="EA359" s="750"/>
      <c r="EB359" s="752"/>
      <c r="EC359" s="750"/>
      <c r="ED359" s="752"/>
      <c r="EE359" s="750"/>
      <c r="EF359" s="752"/>
      <c r="EG359" s="750"/>
      <c r="EH359" s="752"/>
      <c r="EI359" s="750"/>
      <c r="EJ359" s="752"/>
      <c r="EK359" s="750"/>
      <c r="EL359" s="752"/>
      <c r="EM359" s="750"/>
      <c r="EN359" s="752"/>
      <c r="EO359" s="750"/>
      <c r="EP359" s="752"/>
      <c r="EQ359" s="750"/>
      <c r="ER359" s="752"/>
      <c r="ES359" s="750"/>
      <c r="ET359" s="752"/>
      <c r="EU359" s="750"/>
      <c r="EV359" s="710"/>
    </row>
    <row r="360" spans="1:152" ht="12.75" hidden="1" customHeight="1" outlineLevel="2" x14ac:dyDescent="0.2">
      <c r="A360" s="749" t="s">
        <v>260</v>
      </c>
      <c r="B360" s="793">
        <f>INPUT!AS453</f>
        <v>-13.931581556767474</v>
      </c>
      <c r="C360" s="756" t="str">
        <f>INPUT!AT453</f>
        <v>NM</v>
      </c>
      <c r="D360" s="793">
        <f>INPUT!AU453</f>
        <v>-12.563510392609716</v>
      </c>
      <c r="E360" s="756">
        <f>INPUT!AV453</f>
        <v>6.1802165248828089</v>
      </c>
      <c r="F360" s="793">
        <f>INPUT!AW453</f>
        <v>-8.1799591002044956</v>
      </c>
      <c r="G360" s="756">
        <f>INPUT!AX453</f>
        <v>-11.875698353466957</v>
      </c>
      <c r="H360" s="793">
        <f>INPUT!AY453</f>
        <v>-9.773584905660373</v>
      </c>
      <c r="I360" s="752">
        <f>INPUT!AZ453</f>
        <v>-45.872488088995055</v>
      </c>
      <c r="J360" s="793">
        <f>INPUT!BA453</f>
        <v>-10.546282245827014</v>
      </c>
      <c r="K360" s="752">
        <f>INPUT!BB453</f>
        <v>-24.29946160201748</v>
      </c>
      <c r="L360" s="793">
        <f>INPUT!BC453</f>
        <v>-16.551724137931036</v>
      </c>
      <c r="M360" s="752">
        <f>INPUT!BD453</f>
        <v>31.744421906693553</v>
      </c>
      <c r="N360" s="793">
        <f>INPUT!BE453</f>
        <v>-6.8307692307692349</v>
      </c>
      <c r="O360" s="752">
        <f>INPUT!BF453</f>
        <v>-16.493846153846071</v>
      </c>
      <c r="P360" s="793">
        <f>INPUT!BG453</f>
        <v>-3.1290743155149912</v>
      </c>
      <c r="Q360" s="752" t="str">
        <f>INPUT!BH453</f>
        <v>NM</v>
      </c>
      <c r="R360" s="793">
        <f>INPUT!BI453</f>
        <v>9.5785440613025921E-2</v>
      </c>
      <c r="S360" s="752" t="str">
        <f>INPUT!BJ453</f>
        <v>NM</v>
      </c>
      <c r="T360" s="793">
        <f>INPUT!BK453</f>
        <v>-1.9653857436198301</v>
      </c>
      <c r="U360" s="752" t="str">
        <f>INPUT!BL453</f>
        <v>NM</v>
      </c>
      <c r="V360" s="793">
        <f>INPUT!BM453</f>
        <v>-2.2113022113022174</v>
      </c>
      <c r="W360" s="752" t="str">
        <f>INPUT!BN453</f>
        <v>NM</v>
      </c>
      <c r="X360" s="793"/>
      <c r="Y360" s="752"/>
      <c r="Z360" s="793"/>
      <c r="AA360" s="752"/>
      <c r="AB360" s="793"/>
      <c r="AC360" s="752"/>
      <c r="AD360" s="793"/>
      <c r="AE360" s="752"/>
      <c r="AF360" s="793"/>
      <c r="AG360" s="752"/>
      <c r="AH360" s="793"/>
      <c r="AI360" s="752"/>
      <c r="AJ360" s="793"/>
      <c r="AK360" s="752"/>
      <c r="AL360" s="793"/>
      <c r="AM360" s="752"/>
      <c r="AN360" s="793"/>
      <c r="AO360" s="752"/>
      <c r="AP360" s="793"/>
      <c r="AQ360" s="752"/>
      <c r="AR360" s="793"/>
      <c r="AS360" s="752"/>
      <c r="AT360" s="793"/>
      <c r="AU360" s="752"/>
      <c r="AV360" s="793"/>
      <c r="AW360" s="752"/>
      <c r="AX360" s="793"/>
      <c r="AY360" s="752"/>
      <c r="AZ360" s="793"/>
      <c r="BA360" s="752"/>
      <c r="BB360" s="793"/>
      <c r="BC360" s="752"/>
      <c r="BD360" s="793"/>
      <c r="BE360" s="752"/>
      <c r="BF360" s="793"/>
      <c r="BG360" s="752"/>
      <c r="BH360" s="793"/>
      <c r="BI360" s="752"/>
      <c r="BJ360" s="793"/>
      <c r="BK360" s="752"/>
      <c r="BL360" s="793"/>
      <c r="BM360" s="752"/>
      <c r="BN360" s="793"/>
      <c r="BO360" s="752"/>
      <c r="BP360" s="793"/>
      <c r="BQ360" s="752"/>
      <c r="BR360" s="793"/>
      <c r="BS360" s="752"/>
      <c r="BT360" s="793"/>
      <c r="BU360" s="752"/>
      <c r="BV360" s="793"/>
      <c r="BW360" s="752"/>
      <c r="BX360" s="793"/>
      <c r="BY360" s="752"/>
      <c r="BZ360" s="793"/>
      <c r="CA360" s="752"/>
      <c r="CB360" s="793"/>
      <c r="CC360" s="752"/>
      <c r="CD360" s="793"/>
      <c r="CE360" s="752"/>
      <c r="CF360" s="793"/>
      <c r="CG360" s="752"/>
      <c r="CH360" s="793"/>
      <c r="CI360" s="752"/>
      <c r="CJ360" s="793"/>
      <c r="CK360" s="752"/>
      <c r="CL360" s="793"/>
      <c r="CM360" s="752"/>
      <c r="CN360" s="793"/>
      <c r="CO360" s="752"/>
      <c r="CP360" s="793"/>
      <c r="CQ360" s="752"/>
      <c r="CR360" s="793"/>
      <c r="CS360" s="752"/>
      <c r="CT360" s="793"/>
      <c r="CU360" s="752"/>
      <c r="CV360" s="793"/>
      <c r="CW360" s="752"/>
      <c r="CX360" s="793"/>
      <c r="CY360" s="752"/>
      <c r="CZ360" s="793"/>
      <c r="DA360" s="752"/>
      <c r="DB360" s="753"/>
      <c r="DC360" s="793">
        <f>INPUT!FB453</f>
        <v>100</v>
      </c>
      <c r="DD360" s="756" t="str">
        <f>INPUT!FC453</f>
        <v>NA</v>
      </c>
      <c r="DE360" s="793">
        <f>INPUT!FD453</f>
        <v>6.0815284214508614</v>
      </c>
      <c r="DF360" s="756" t="str">
        <f>INPUT!FE453</f>
        <v>NM</v>
      </c>
      <c r="DG360" s="793">
        <f>INPUT!FF453</f>
        <v>-62.002945508100694</v>
      </c>
      <c r="DH360" s="756" t="str">
        <f>INPUT!FG453</f>
        <v>NM</v>
      </c>
      <c r="DI360" s="793">
        <f>INPUT!FH453</f>
        <v>-33.629629629629612</v>
      </c>
      <c r="DJ360" s="756">
        <f>INPUT!FI453</f>
        <v>-45.761238673353198</v>
      </c>
      <c r="DK360" s="793">
        <f>INPUT!FJ453</f>
        <v>-17.765549014589173</v>
      </c>
      <c r="DL360" s="752">
        <f>INPUT!FK453</f>
        <v>-47.17292693899693</v>
      </c>
      <c r="DM360" s="793">
        <f>INPUT!FL453</f>
        <v>-10.908698932844665</v>
      </c>
      <c r="DN360" s="752">
        <f>INPUT!FM453</f>
        <v>-38.596330888021654</v>
      </c>
      <c r="DO360" s="793">
        <f>INPUT!FN453</f>
        <v>-8.9845418054488029</v>
      </c>
      <c r="DP360" s="752">
        <f>INPUT!FO453</f>
        <v>-17.638740781473739</v>
      </c>
      <c r="DQ360" s="793">
        <f>INPUT!FP453</f>
        <v>-1.0853554539111538</v>
      </c>
      <c r="DR360" s="752" t="str">
        <f>INPUT!FQ453</f>
        <v>NM</v>
      </c>
      <c r="DS360" s="793"/>
      <c r="DT360" s="752"/>
      <c r="DU360" s="793"/>
      <c r="DV360" s="752"/>
      <c r="DW360" s="793"/>
      <c r="DX360" s="752"/>
      <c r="DY360" s="793"/>
      <c r="DZ360" s="752"/>
      <c r="EA360" s="793"/>
      <c r="EB360" s="752"/>
      <c r="EC360" s="793"/>
      <c r="ED360" s="752"/>
      <c r="EE360" s="793"/>
      <c r="EF360" s="752"/>
      <c r="EG360" s="793"/>
      <c r="EH360" s="752"/>
      <c r="EI360" s="793"/>
      <c r="EJ360" s="752"/>
      <c r="EK360" s="793"/>
      <c r="EL360" s="752"/>
      <c r="EM360" s="793"/>
      <c r="EN360" s="752"/>
      <c r="EO360" s="793"/>
      <c r="EP360" s="752"/>
      <c r="EQ360" s="793"/>
      <c r="ER360" s="752"/>
      <c r="ES360" s="793"/>
      <c r="ET360" s="752"/>
      <c r="EU360" s="756"/>
      <c r="EV360" s="710"/>
    </row>
    <row r="361" spans="1:152" ht="12.75" hidden="1" customHeight="1" outlineLevel="2" x14ac:dyDescent="0.2">
      <c r="A361" s="754"/>
      <c r="B361" s="793"/>
      <c r="C361" s="756"/>
      <c r="D361" s="793"/>
      <c r="E361" s="756"/>
      <c r="F361" s="793"/>
      <c r="G361" s="756"/>
      <c r="H361" s="793"/>
      <c r="I361" s="752"/>
      <c r="J361" s="793"/>
      <c r="K361" s="752"/>
      <c r="L361" s="793"/>
      <c r="M361" s="752"/>
      <c r="N361" s="793"/>
      <c r="O361" s="752"/>
      <c r="P361" s="793"/>
      <c r="Q361" s="752"/>
      <c r="R361" s="793"/>
      <c r="S361" s="752"/>
      <c r="T361" s="793"/>
      <c r="U361" s="752"/>
      <c r="V361" s="793"/>
      <c r="W361" s="752"/>
      <c r="X361" s="793"/>
      <c r="Y361" s="752"/>
      <c r="Z361" s="793"/>
      <c r="AA361" s="752"/>
      <c r="AB361" s="793"/>
      <c r="AC361" s="752"/>
      <c r="AD361" s="793"/>
      <c r="AE361" s="752"/>
      <c r="AF361" s="793"/>
      <c r="AG361" s="752"/>
      <c r="AH361" s="793"/>
      <c r="AI361" s="752"/>
      <c r="AJ361" s="793"/>
      <c r="AK361" s="752"/>
      <c r="AL361" s="793"/>
      <c r="AM361" s="752"/>
      <c r="AN361" s="793"/>
      <c r="AO361" s="752"/>
      <c r="AP361" s="793"/>
      <c r="AQ361" s="752"/>
      <c r="AR361" s="793"/>
      <c r="AS361" s="752"/>
      <c r="AT361" s="793"/>
      <c r="AU361" s="752"/>
      <c r="AV361" s="793"/>
      <c r="AW361" s="752"/>
      <c r="AX361" s="793"/>
      <c r="AY361" s="752"/>
      <c r="AZ361" s="793"/>
      <c r="BA361" s="752"/>
      <c r="BB361" s="793"/>
      <c r="BC361" s="752"/>
      <c r="BD361" s="793"/>
      <c r="BE361" s="752"/>
      <c r="BF361" s="793"/>
      <c r="BG361" s="752"/>
      <c r="BH361" s="793"/>
      <c r="BI361" s="752"/>
      <c r="BJ361" s="793"/>
      <c r="BK361" s="752"/>
      <c r="BL361" s="793"/>
      <c r="BM361" s="752"/>
      <c r="BN361" s="793"/>
      <c r="BO361" s="752"/>
      <c r="BP361" s="793"/>
      <c r="BQ361" s="752"/>
      <c r="BR361" s="793"/>
      <c r="BS361" s="752"/>
      <c r="BT361" s="793"/>
      <c r="BU361" s="752"/>
      <c r="BV361" s="793"/>
      <c r="BW361" s="752"/>
      <c r="BX361" s="793"/>
      <c r="BY361" s="752"/>
      <c r="BZ361" s="793"/>
      <c r="CA361" s="752"/>
      <c r="CB361" s="793"/>
      <c r="CC361" s="752"/>
      <c r="CD361" s="793"/>
      <c r="CE361" s="752"/>
      <c r="CF361" s="793"/>
      <c r="CG361" s="752"/>
      <c r="CH361" s="793"/>
      <c r="CI361" s="752"/>
      <c r="CJ361" s="793"/>
      <c r="CK361" s="752"/>
      <c r="CL361" s="793"/>
      <c r="CM361" s="752"/>
      <c r="CN361" s="793"/>
      <c r="CO361" s="752"/>
      <c r="CP361" s="793"/>
      <c r="CQ361" s="752"/>
      <c r="CR361" s="793"/>
      <c r="CS361" s="752"/>
      <c r="CT361" s="793"/>
      <c r="CU361" s="752"/>
      <c r="CV361" s="793"/>
      <c r="CW361" s="752"/>
      <c r="CX361" s="793"/>
      <c r="CY361" s="752"/>
      <c r="CZ361" s="793"/>
      <c r="DA361" s="752"/>
      <c r="DB361" s="753"/>
      <c r="DC361" s="793"/>
      <c r="DD361" s="756"/>
      <c r="DE361" s="793"/>
      <c r="DF361" s="756"/>
      <c r="DG361" s="793"/>
      <c r="DH361" s="756"/>
      <c r="DI361" s="793"/>
      <c r="DJ361" s="756"/>
      <c r="DK361" s="793"/>
      <c r="DL361" s="752"/>
      <c r="DM361" s="793"/>
      <c r="DN361" s="752"/>
      <c r="DO361" s="793"/>
      <c r="DP361" s="752"/>
      <c r="DQ361" s="793"/>
      <c r="DR361" s="752"/>
      <c r="DS361" s="793"/>
      <c r="DT361" s="752"/>
      <c r="DU361" s="793"/>
      <c r="DV361" s="752"/>
      <c r="DW361" s="793"/>
      <c r="DX361" s="752"/>
      <c r="DY361" s="793"/>
      <c r="DZ361" s="752"/>
      <c r="EA361" s="793"/>
      <c r="EB361" s="752"/>
      <c r="EC361" s="793"/>
      <c r="ED361" s="752"/>
      <c r="EE361" s="793"/>
      <c r="EF361" s="752"/>
      <c r="EG361" s="793"/>
      <c r="EH361" s="752"/>
      <c r="EI361" s="793"/>
      <c r="EJ361" s="752"/>
      <c r="EK361" s="793"/>
      <c r="EL361" s="752"/>
      <c r="EM361" s="793"/>
      <c r="EN361" s="752"/>
      <c r="EO361" s="793"/>
      <c r="EP361" s="752"/>
      <c r="EQ361" s="793"/>
      <c r="ER361" s="752"/>
      <c r="ES361" s="793"/>
      <c r="ET361" s="752"/>
      <c r="EU361" s="756"/>
      <c r="EV361" s="710"/>
    </row>
    <row r="362" spans="1:152" ht="12.75" hidden="1" customHeight="1" outlineLevel="2" x14ac:dyDescent="0.2">
      <c r="A362" s="749" t="s">
        <v>450</v>
      </c>
      <c r="B362" s="793"/>
      <c r="C362" s="756"/>
      <c r="D362" s="793"/>
      <c r="E362" s="756"/>
      <c r="F362" s="793"/>
      <c r="G362" s="756"/>
      <c r="H362" s="793"/>
      <c r="I362" s="752"/>
      <c r="J362" s="793"/>
      <c r="K362" s="752"/>
      <c r="L362" s="793"/>
      <c r="M362" s="752"/>
      <c r="N362" s="793"/>
      <c r="O362" s="752"/>
      <c r="P362" s="793"/>
      <c r="Q362" s="752"/>
      <c r="R362" s="793"/>
      <c r="S362" s="752"/>
      <c r="T362" s="793"/>
      <c r="U362" s="752"/>
      <c r="V362" s="793"/>
      <c r="W362" s="752"/>
      <c r="X362" s="793"/>
      <c r="Y362" s="752"/>
      <c r="Z362" s="793"/>
      <c r="AA362" s="752"/>
      <c r="AB362" s="793"/>
      <c r="AC362" s="752"/>
      <c r="AD362" s="793"/>
      <c r="AE362" s="752"/>
      <c r="AF362" s="793"/>
      <c r="AG362" s="752"/>
      <c r="AH362" s="793"/>
      <c r="AI362" s="752"/>
      <c r="AJ362" s="793"/>
      <c r="AK362" s="752"/>
      <c r="AL362" s="793"/>
      <c r="AM362" s="752"/>
      <c r="AN362" s="793"/>
      <c r="AO362" s="752"/>
      <c r="AP362" s="793"/>
      <c r="AQ362" s="752"/>
      <c r="AR362" s="793"/>
      <c r="AS362" s="752"/>
      <c r="AT362" s="793"/>
      <c r="AU362" s="752"/>
      <c r="AV362" s="793"/>
      <c r="AW362" s="752"/>
      <c r="AX362" s="793"/>
      <c r="AY362" s="752"/>
      <c r="AZ362" s="793"/>
      <c r="BA362" s="752"/>
      <c r="BB362" s="793"/>
      <c r="BC362" s="752"/>
      <c r="BD362" s="793"/>
      <c r="BE362" s="752"/>
      <c r="BF362" s="793"/>
      <c r="BG362" s="752"/>
      <c r="BH362" s="793"/>
      <c r="BI362" s="752"/>
      <c r="BJ362" s="793"/>
      <c r="BK362" s="752"/>
      <c r="BL362" s="793"/>
      <c r="BM362" s="752"/>
      <c r="BN362" s="793"/>
      <c r="BO362" s="752"/>
      <c r="BP362" s="793"/>
      <c r="BQ362" s="752"/>
      <c r="BR362" s="793"/>
      <c r="BS362" s="752"/>
      <c r="BT362" s="793"/>
      <c r="BU362" s="752"/>
      <c r="BV362" s="793"/>
      <c r="BW362" s="752"/>
      <c r="BX362" s="793"/>
      <c r="BY362" s="752"/>
      <c r="BZ362" s="793"/>
      <c r="CA362" s="752"/>
      <c r="CB362" s="793"/>
      <c r="CC362" s="752"/>
      <c r="CD362" s="793"/>
      <c r="CE362" s="752"/>
      <c r="CF362" s="793"/>
      <c r="CG362" s="752"/>
      <c r="CH362" s="793"/>
      <c r="CI362" s="752"/>
      <c r="CJ362" s="793"/>
      <c r="CK362" s="752"/>
      <c r="CL362" s="793"/>
      <c r="CM362" s="752"/>
      <c r="CN362" s="793"/>
      <c r="CO362" s="752"/>
      <c r="CP362" s="793"/>
      <c r="CQ362" s="752"/>
      <c r="CR362" s="793"/>
      <c r="CS362" s="752"/>
      <c r="CT362" s="793"/>
      <c r="CU362" s="752"/>
      <c r="CV362" s="793"/>
      <c r="CW362" s="752"/>
      <c r="CX362" s="793"/>
      <c r="CY362" s="752"/>
      <c r="CZ362" s="793"/>
      <c r="DA362" s="752"/>
      <c r="DB362" s="753"/>
      <c r="DC362" s="793"/>
      <c r="DD362" s="756"/>
      <c r="DE362" s="793"/>
      <c r="DF362" s="756"/>
      <c r="DG362" s="793"/>
      <c r="DH362" s="756"/>
      <c r="DI362" s="793"/>
      <c r="DJ362" s="756"/>
      <c r="DK362" s="793"/>
      <c r="DL362" s="752"/>
      <c r="DM362" s="793"/>
      <c r="DN362" s="752"/>
      <c r="DO362" s="793"/>
      <c r="DP362" s="752"/>
      <c r="DQ362" s="793"/>
      <c r="DR362" s="752"/>
      <c r="DS362" s="793"/>
      <c r="DT362" s="752"/>
      <c r="DU362" s="793"/>
      <c r="DV362" s="752"/>
      <c r="DW362" s="793"/>
      <c r="DX362" s="752"/>
      <c r="DY362" s="793"/>
      <c r="DZ362" s="752"/>
      <c r="EA362" s="793"/>
      <c r="EB362" s="752"/>
      <c r="EC362" s="793"/>
      <c r="ED362" s="752"/>
      <c r="EE362" s="793"/>
      <c r="EF362" s="752"/>
      <c r="EG362" s="793"/>
      <c r="EH362" s="752"/>
      <c r="EI362" s="793"/>
      <c r="EJ362" s="752"/>
      <c r="EK362" s="793"/>
      <c r="EL362" s="752"/>
      <c r="EM362" s="793"/>
      <c r="EN362" s="752"/>
      <c r="EO362" s="793"/>
      <c r="EP362" s="752"/>
      <c r="EQ362" s="793"/>
      <c r="ER362" s="752"/>
      <c r="ES362" s="793"/>
      <c r="ET362" s="752"/>
      <c r="EU362" s="756"/>
      <c r="EV362" s="710"/>
    </row>
    <row r="363" spans="1:152" ht="12.75" hidden="1" customHeight="1" outlineLevel="2" x14ac:dyDescent="0.2">
      <c r="A363" s="754" t="str">
        <f>INPUT!B330</f>
        <v>Pretax Earnings/Revenues (%)</v>
      </c>
      <c r="B363" s="819">
        <f>INPUT!AS330</f>
        <v>12.56544502617802</v>
      </c>
      <c r="C363" s="756">
        <f>INPUT!AT330</f>
        <v>12.143219050835953</v>
      </c>
      <c r="D363" s="819">
        <f>INPUT!AU330</f>
        <v>10.320284697508884</v>
      </c>
      <c r="E363" s="756">
        <f>INPUT!AV330</f>
        <v>-35.479658977444487</v>
      </c>
      <c r="F363" s="819">
        <f>INPUT!AW330</f>
        <v>12.926829268292675</v>
      </c>
      <c r="G363" s="756">
        <f>INPUT!AX330</f>
        <v>-22.534074605452037</v>
      </c>
      <c r="H363" s="819">
        <f>INPUT!AY330</f>
        <v>16.452442159383047</v>
      </c>
      <c r="I363" s="752">
        <f>INPUT!AZ330</f>
        <v>43.871355904392082</v>
      </c>
      <c r="J363" s="820">
        <f>INPUT!BA330</f>
        <v>9.6256684491978639</v>
      </c>
      <c r="K363" s="752">
        <f>INPUT!BB330</f>
        <v>-23.395721925133728</v>
      </c>
      <c r="L363" s="820">
        <f>INPUT!BC330</f>
        <v>11.17318435754189</v>
      </c>
      <c r="M363" s="752">
        <f>INPUT!BD330</f>
        <v>8.2643036023887895</v>
      </c>
      <c r="N363" s="820">
        <f>INPUT!BE330</f>
        <v>11.920529801324518</v>
      </c>
      <c r="O363" s="752">
        <f>INPUT!BF330</f>
        <v>-7.7845807822064961</v>
      </c>
      <c r="P363" s="820">
        <f>INPUT!BG330</f>
        <v>17.897727272727266</v>
      </c>
      <c r="Q363" s="752">
        <f>INPUT!BH330</f>
        <v>8.7846235795453254</v>
      </c>
      <c r="R363" s="820">
        <f>INPUT!BI330</f>
        <v>11.271676300578022</v>
      </c>
      <c r="S363" s="752">
        <f>INPUT!BJ330</f>
        <v>17.100192678227199</v>
      </c>
      <c r="T363" s="820">
        <f>INPUT!BK330</f>
        <v>9.9706744868035067</v>
      </c>
      <c r="U363" s="752">
        <f>INPUT!BL330</f>
        <v>-10.762463343108541</v>
      </c>
      <c r="V363" s="820">
        <f>INPUT!BM330</f>
        <v>10.324483775811199</v>
      </c>
      <c r="W363" s="752">
        <f>INPUT!BN330</f>
        <v>0</v>
      </c>
      <c r="X363" s="820"/>
      <c r="Y363" s="752"/>
      <c r="Z363" s="820"/>
      <c r="AA363" s="752"/>
      <c r="AB363" s="820"/>
      <c r="AC363" s="752"/>
      <c r="AD363" s="820"/>
      <c r="AE363" s="752"/>
      <c r="AF363" s="820"/>
      <c r="AG363" s="752"/>
      <c r="AH363" s="820"/>
      <c r="AI363" s="752"/>
      <c r="AJ363" s="820"/>
      <c r="AK363" s="752"/>
      <c r="AL363" s="820"/>
      <c r="AM363" s="752"/>
      <c r="AN363" s="820"/>
      <c r="AO363" s="752"/>
      <c r="AP363" s="820"/>
      <c r="AQ363" s="752"/>
      <c r="AR363" s="820"/>
      <c r="AS363" s="752"/>
      <c r="AT363" s="820"/>
      <c r="AU363" s="752"/>
      <c r="AV363" s="820"/>
      <c r="AW363" s="752"/>
      <c r="AX363" s="820"/>
      <c r="AY363" s="752"/>
      <c r="AZ363" s="820"/>
      <c r="BA363" s="752"/>
      <c r="BB363" s="820"/>
      <c r="BC363" s="752"/>
      <c r="BD363" s="820"/>
      <c r="BE363" s="752"/>
      <c r="BF363" s="820"/>
      <c r="BG363" s="752"/>
      <c r="BH363" s="820"/>
      <c r="BI363" s="752"/>
      <c r="BJ363" s="820"/>
      <c r="BK363" s="752"/>
      <c r="BL363" s="820"/>
      <c r="BM363" s="752"/>
      <c r="BN363" s="820"/>
      <c r="BO363" s="752"/>
      <c r="BP363" s="820"/>
      <c r="BQ363" s="752"/>
      <c r="BR363" s="820"/>
      <c r="BS363" s="752"/>
      <c r="BT363" s="820"/>
      <c r="BU363" s="752"/>
      <c r="BV363" s="820"/>
      <c r="BW363" s="752"/>
      <c r="BX363" s="820"/>
      <c r="BY363" s="752"/>
      <c r="BZ363" s="820"/>
      <c r="CA363" s="752"/>
      <c r="CB363" s="820"/>
      <c r="CC363" s="752"/>
      <c r="CD363" s="820"/>
      <c r="CE363" s="752"/>
      <c r="CF363" s="820"/>
      <c r="CG363" s="752"/>
      <c r="CH363" s="820"/>
      <c r="CI363" s="752"/>
      <c r="CJ363" s="820"/>
      <c r="CK363" s="752"/>
      <c r="CL363" s="820"/>
      <c r="CM363" s="752"/>
      <c r="CN363" s="820"/>
      <c r="CO363" s="752"/>
      <c r="CP363" s="820"/>
      <c r="CQ363" s="752"/>
      <c r="CR363" s="820"/>
      <c r="CS363" s="752"/>
      <c r="CT363" s="820"/>
      <c r="CU363" s="752"/>
      <c r="CV363" s="820"/>
      <c r="CW363" s="752"/>
      <c r="CX363" s="820"/>
      <c r="CY363" s="752"/>
      <c r="CZ363" s="820"/>
      <c r="DA363" s="752"/>
      <c r="DB363" s="753"/>
      <c r="DC363" s="819">
        <f>INPUT!FB330</f>
        <v>13.478173405753369</v>
      </c>
      <c r="DD363" s="756" t="str">
        <f>INPUT!FC330</f>
        <v>NA</v>
      </c>
      <c r="DE363" s="819">
        <f>INPUT!FD330</f>
        <v>15.833538537306085</v>
      </c>
      <c r="DF363" s="756">
        <f>INPUT!FE330</f>
        <v>17.475403087982922</v>
      </c>
      <c r="DG363" s="819">
        <f>INPUT!FF330</f>
        <v>11.114044350580771</v>
      </c>
      <c r="DH363" s="756">
        <f>INPUT!FG330</f>
        <v>-29.806945400142293</v>
      </c>
      <c r="DI363" s="819">
        <f>INPUT!FH330</f>
        <v>12.373943853911156</v>
      </c>
      <c r="DJ363" s="756">
        <f>INPUT!FI330</f>
        <v>11.33610289457363</v>
      </c>
      <c r="DK363" s="819">
        <f>INPUT!FJ330</f>
        <v>14.188034188034187</v>
      </c>
      <c r="DL363" s="752">
        <f>INPUT!FK330</f>
        <v>14.660567039421579</v>
      </c>
      <c r="DM363" s="820">
        <f>INPUT!FL330</f>
        <v>12.530813475760056</v>
      </c>
      <c r="DN363" s="752">
        <f>INPUT!FM330</f>
        <v>-11.680411044341776</v>
      </c>
      <c r="DO363" s="820">
        <f>INPUT!FN330</f>
        <v>12.626262626262616</v>
      </c>
      <c r="DP363" s="752">
        <f>INPUT!FO330</f>
        <v>0.76171551581387664</v>
      </c>
      <c r="DQ363" s="820">
        <f>INPUT!FP330</f>
        <v>10.526315789473669</v>
      </c>
      <c r="DR363" s="752">
        <f>INPUT!FQ330</f>
        <v>-16.631578947368475</v>
      </c>
      <c r="DS363" s="820"/>
      <c r="DT363" s="752"/>
      <c r="DU363" s="820"/>
      <c r="DV363" s="752"/>
      <c r="DW363" s="820"/>
      <c r="DX363" s="752"/>
      <c r="DY363" s="820"/>
      <c r="DZ363" s="752"/>
      <c r="EA363" s="820"/>
      <c r="EB363" s="752"/>
      <c r="EC363" s="820"/>
      <c r="ED363" s="752"/>
      <c r="EE363" s="820"/>
      <c r="EF363" s="752"/>
      <c r="EG363" s="820"/>
      <c r="EH363" s="752"/>
      <c r="EI363" s="820"/>
      <c r="EJ363" s="752"/>
      <c r="EK363" s="820"/>
      <c r="EL363" s="752"/>
      <c r="EM363" s="820"/>
      <c r="EN363" s="752"/>
      <c r="EO363" s="820"/>
      <c r="EP363" s="752"/>
      <c r="EQ363" s="820"/>
      <c r="ER363" s="752"/>
      <c r="ES363" s="820"/>
      <c r="ET363" s="752"/>
      <c r="EU363" s="756"/>
      <c r="EV363" s="710"/>
    </row>
    <row r="364" spans="1:152" ht="12.75" hidden="1" customHeight="1" outlineLevel="2" x14ac:dyDescent="0.2">
      <c r="A364" s="754"/>
      <c r="B364" s="793"/>
      <c r="C364" s="756"/>
      <c r="D364" s="793"/>
      <c r="E364" s="756"/>
      <c r="F364" s="793"/>
      <c r="G364" s="756"/>
      <c r="H364" s="793"/>
      <c r="I364" s="752"/>
      <c r="J364" s="793"/>
      <c r="K364" s="752"/>
      <c r="L364" s="793"/>
      <c r="M364" s="752"/>
      <c r="N364" s="793"/>
      <c r="O364" s="752"/>
      <c r="P364" s="793"/>
      <c r="Q364" s="752"/>
      <c r="R364" s="793"/>
      <c r="S364" s="752"/>
      <c r="T364" s="793"/>
      <c r="U364" s="752"/>
      <c r="V364" s="793"/>
      <c r="W364" s="752"/>
      <c r="X364" s="793"/>
      <c r="Y364" s="752"/>
      <c r="Z364" s="793"/>
      <c r="AA364" s="752"/>
      <c r="AB364" s="793"/>
      <c r="AC364" s="752"/>
      <c r="AD364" s="793"/>
      <c r="AE364" s="752"/>
      <c r="AF364" s="793"/>
      <c r="AG364" s="752"/>
      <c r="AH364" s="793"/>
      <c r="AI364" s="752"/>
      <c r="AJ364" s="793"/>
      <c r="AK364" s="752"/>
      <c r="AL364" s="793"/>
      <c r="AM364" s="752"/>
      <c r="AN364" s="793"/>
      <c r="AO364" s="752"/>
      <c r="AP364" s="793"/>
      <c r="AQ364" s="752"/>
      <c r="AR364" s="793"/>
      <c r="AS364" s="752"/>
      <c r="AT364" s="793"/>
      <c r="AU364" s="752"/>
      <c r="AV364" s="793"/>
      <c r="AW364" s="752"/>
      <c r="AX364" s="793"/>
      <c r="AY364" s="752"/>
      <c r="AZ364" s="793"/>
      <c r="BA364" s="752"/>
      <c r="BB364" s="793"/>
      <c r="BC364" s="752"/>
      <c r="BD364" s="793"/>
      <c r="BE364" s="752"/>
      <c r="BF364" s="793"/>
      <c r="BG364" s="752"/>
      <c r="BH364" s="793"/>
      <c r="BI364" s="752"/>
      <c r="BJ364" s="793"/>
      <c r="BK364" s="752"/>
      <c r="BL364" s="793"/>
      <c r="BM364" s="752"/>
      <c r="BN364" s="793"/>
      <c r="BO364" s="752"/>
      <c r="BP364" s="793"/>
      <c r="BQ364" s="752"/>
      <c r="BR364" s="793"/>
      <c r="BS364" s="752"/>
      <c r="BT364" s="793"/>
      <c r="BU364" s="752"/>
      <c r="BV364" s="793"/>
      <c r="BW364" s="752"/>
      <c r="BX364" s="793"/>
      <c r="BY364" s="752"/>
      <c r="BZ364" s="793"/>
      <c r="CA364" s="752"/>
      <c r="CB364" s="793"/>
      <c r="CC364" s="752"/>
      <c r="CD364" s="793"/>
      <c r="CE364" s="752"/>
      <c r="CF364" s="793"/>
      <c r="CG364" s="752"/>
      <c r="CH364" s="793"/>
      <c r="CI364" s="752"/>
      <c r="CJ364" s="793"/>
      <c r="CK364" s="752"/>
      <c r="CL364" s="793"/>
      <c r="CM364" s="752"/>
      <c r="CN364" s="793"/>
      <c r="CO364" s="752"/>
      <c r="CP364" s="793"/>
      <c r="CQ364" s="752"/>
      <c r="CR364" s="793"/>
      <c r="CS364" s="752"/>
      <c r="CT364" s="793"/>
      <c r="CU364" s="752"/>
      <c r="CV364" s="793"/>
      <c r="CW364" s="752"/>
      <c r="CX364" s="793"/>
      <c r="CY364" s="752"/>
      <c r="CZ364" s="793"/>
      <c r="DA364" s="752"/>
      <c r="DB364" s="753"/>
      <c r="DC364" s="793"/>
      <c r="DD364" s="756"/>
      <c r="DE364" s="793"/>
      <c r="DF364" s="756"/>
      <c r="DG364" s="793"/>
      <c r="DH364" s="756"/>
      <c r="DI364" s="793"/>
      <c r="DJ364" s="756"/>
      <c r="DK364" s="793"/>
      <c r="DL364" s="752"/>
      <c r="DM364" s="793"/>
      <c r="DN364" s="752"/>
      <c r="DO364" s="793"/>
      <c r="DP364" s="752"/>
      <c r="DQ364" s="793"/>
      <c r="DR364" s="752"/>
      <c r="DS364" s="793"/>
      <c r="DT364" s="752"/>
      <c r="DU364" s="793"/>
      <c r="DV364" s="752"/>
      <c r="DW364" s="793"/>
      <c r="DX364" s="752"/>
      <c r="DY364" s="793"/>
      <c r="DZ364" s="752"/>
      <c r="EA364" s="793"/>
      <c r="EB364" s="752"/>
      <c r="EC364" s="793"/>
      <c r="ED364" s="752"/>
      <c r="EE364" s="793"/>
      <c r="EF364" s="752"/>
      <c r="EG364" s="793"/>
      <c r="EH364" s="752"/>
      <c r="EI364" s="793"/>
      <c r="EJ364" s="752"/>
      <c r="EK364" s="793"/>
      <c r="EL364" s="752"/>
      <c r="EM364" s="793"/>
      <c r="EN364" s="752"/>
      <c r="EO364" s="793"/>
      <c r="EP364" s="752"/>
      <c r="EQ364" s="793"/>
      <c r="ER364" s="752"/>
      <c r="ES364" s="793"/>
      <c r="ET364" s="752"/>
      <c r="EU364" s="756"/>
      <c r="EV364" s="710"/>
    </row>
    <row r="365" spans="1:152" ht="12.75" hidden="1" customHeight="1" outlineLevel="2" x14ac:dyDescent="0.2">
      <c r="A365" s="749" t="s">
        <v>438</v>
      </c>
      <c r="B365" s="793"/>
      <c r="C365" s="756"/>
      <c r="D365" s="793"/>
      <c r="E365" s="756"/>
      <c r="F365" s="793"/>
      <c r="G365" s="756"/>
      <c r="H365" s="793"/>
      <c r="I365" s="752"/>
      <c r="J365" s="793"/>
      <c r="K365" s="752"/>
      <c r="L365" s="793"/>
      <c r="M365" s="752"/>
      <c r="N365" s="793"/>
      <c r="O365" s="752"/>
      <c r="P365" s="793"/>
      <c r="Q365" s="752"/>
      <c r="R365" s="793"/>
      <c r="S365" s="752"/>
      <c r="T365" s="793"/>
      <c r="U365" s="752"/>
      <c r="V365" s="793"/>
      <c r="W365" s="752"/>
      <c r="X365" s="793"/>
      <c r="Y365" s="752"/>
      <c r="Z365" s="793"/>
      <c r="AA365" s="752"/>
      <c r="AB365" s="793"/>
      <c r="AC365" s="752"/>
      <c r="AD365" s="793"/>
      <c r="AE365" s="752"/>
      <c r="AF365" s="793"/>
      <c r="AG365" s="752"/>
      <c r="AH365" s="793"/>
      <c r="AI365" s="752"/>
      <c r="AJ365" s="793"/>
      <c r="AK365" s="752"/>
      <c r="AL365" s="793"/>
      <c r="AM365" s="752"/>
      <c r="AN365" s="793"/>
      <c r="AO365" s="752"/>
      <c r="AP365" s="793"/>
      <c r="AQ365" s="752"/>
      <c r="AR365" s="793"/>
      <c r="AS365" s="752"/>
      <c r="AT365" s="793"/>
      <c r="AU365" s="752"/>
      <c r="AV365" s="793"/>
      <c r="AW365" s="752"/>
      <c r="AX365" s="793"/>
      <c r="AY365" s="752"/>
      <c r="AZ365" s="793"/>
      <c r="BA365" s="752"/>
      <c r="BB365" s="793"/>
      <c r="BC365" s="752"/>
      <c r="BD365" s="793"/>
      <c r="BE365" s="752"/>
      <c r="BF365" s="793"/>
      <c r="BG365" s="752"/>
      <c r="BH365" s="793"/>
      <c r="BI365" s="752"/>
      <c r="BJ365" s="793"/>
      <c r="BK365" s="752"/>
      <c r="BL365" s="793"/>
      <c r="BM365" s="752"/>
      <c r="BN365" s="793"/>
      <c r="BO365" s="752"/>
      <c r="BP365" s="793"/>
      <c r="BQ365" s="752"/>
      <c r="BR365" s="793"/>
      <c r="BS365" s="752"/>
      <c r="BT365" s="793"/>
      <c r="BU365" s="752"/>
      <c r="BV365" s="793"/>
      <c r="BW365" s="752"/>
      <c r="BX365" s="793"/>
      <c r="BY365" s="752"/>
      <c r="BZ365" s="793"/>
      <c r="CA365" s="752"/>
      <c r="CB365" s="793"/>
      <c r="CC365" s="752"/>
      <c r="CD365" s="793"/>
      <c r="CE365" s="752"/>
      <c r="CF365" s="793"/>
      <c r="CG365" s="752"/>
      <c r="CH365" s="793"/>
      <c r="CI365" s="752"/>
      <c r="CJ365" s="793"/>
      <c r="CK365" s="752"/>
      <c r="CL365" s="793"/>
      <c r="CM365" s="752"/>
      <c r="CN365" s="793"/>
      <c r="CO365" s="752"/>
      <c r="CP365" s="793"/>
      <c r="CQ365" s="752"/>
      <c r="CR365" s="793"/>
      <c r="CS365" s="752"/>
      <c r="CT365" s="793"/>
      <c r="CU365" s="752"/>
      <c r="CV365" s="793"/>
      <c r="CW365" s="752"/>
      <c r="CX365" s="793"/>
      <c r="CY365" s="752"/>
      <c r="CZ365" s="793"/>
      <c r="DA365" s="752"/>
      <c r="DB365" s="753"/>
      <c r="DC365" s="793"/>
      <c r="DD365" s="756"/>
      <c r="DE365" s="793"/>
      <c r="DF365" s="756"/>
      <c r="DG365" s="793"/>
      <c r="DH365" s="756"/>
      <c r="DI365" s="793"/>
      <c r="DJ365" s="756"/>
      <c r="DK365" s="793"/>
      <c r="DL365" s="752"/>
      <c r="DM365" s="793"/>
      <c r="DN365" s="752"/>
      <c r="DO365" s="793"/>
      <c r="DP365" s="752"/>
      <c r="DQ365" s="793"/>
      <c r="DR365" s="752"/>
      <c r="DS365" s="793"/>
      <c r="DT365" s="752"/>
      <c r="DU365" s="793"/>
      <c r="DV365" s="752"/>
      <c r="DW365" s="793"/>
      <c r="DX365" s="752"/>
      <c r="DY365" s="793"/>
      <c r="DZ365" s="752"/>
      <c r="EA365" s="793"/>
      <c r="EB365" s="752"/>
      <c r="EC365" s="793"/>
      <c r="ED365" s="752"/>
      <c r="EE365" s="793"/>
      <c r="EF365" s="752"/>
      <c r="EG365" s="793"/>
      <c r="EH365" s="752"/>
      <c r="EI365" s="793"/>
      <c r="EJ365" s="752"/>
      <c r="EK365" s="793"/>
      <c r="EL365" s="752"/>
      <c r="EM365" s="793"/>
      <c r="EN365" s="752"/>
      <c r="EO365" s="793"/>
      <c r="EP365" s="752"/>
      <c r="EQ365" s="793"/>
      <c r="ER365" s="752"/>
      <c r="ES365" s="793"/>
      <c r="ET365" s="752"/>
      <c r="EU365" s="756"/>
      <c r="EV365" s="710"/>
    </row>
    <row r="366" spans="1:152" ht="12.75" hidden="1" customHeight="1" outlineLevel="2" x14ac:dyDescent="0.2">
      <c r="A366" s="754" t="str">
        <f>INPUT!B325</f>
        <v>Benefits/Premiums (%)</v>
      </c>
      <c r="B366" s="793">
        <f>INPUT!AS325</f>
        <v>2616.666666666667</v>
      </c>
      <c r="C366" s="756" t="str">
        <f>INPUT!AT325</f>
        <v>NM</v>
      </c>
      <c r="D366" s="793">
        <f>INPUT!AU325</f>
        <v>2550.0000000000005</v>
      </c>
      <c r="E366" s="756">
        <f>INPUT!AV325</f>
        <v>4.0816326530612512</v>
      </c>
      <c r="F366" s="793">
        <f>INPUT!AW325</f>
        <v>27300</v>
      </c>
      <c r="G366" s="756" t="str">
        <f>INPUT!AX325</f>
        <v>NM</v>
      </c>
      <c r="H366" s="793">
        <f>INPUT!AY325</f>
        <v>1560</v>
      </c>
      <c r="I366" s="752">
        <f>INPUT!AZ325</f>
        <v>-34.018126888217537</v>
      </c>
      <c r="J366" s="750">
        <f>INPUT!BA325</f>
        <v>2872.7272727272725</v>
      </c>
      <c r="K366" s="752">
        <f>INPUT!BB325</f>
        <v>9.785755645628246</v>
      </c>
      <c r="L366" s="750">
        <f>INPUT!BC325</f>
        <v>-15300</v>
      </c>
      <c r="M366" s="752" t="str">
        <f>INPUT!BD325</f>
        <v>NM</v>
      </c>
      <c r="N366" s="750">
        <f>INPUT!BE325</f>
        <v>4250</v>
      </c>
      <c r="O366" s="752" t="str">
        <f>INPUT!BF325</f>
        <v>NM</v>
      </c>
      <c r="P366" s="750">
        <f>INPUT!BG325</f>
        <v>13750</v>
      </c>
      <c r="Q366" s="752" t="str">
        <f>INPUT!BH325</f>
        <v>NM</v>
      </c>
      <c r="R366" s="793">
        <f>INPUT!BI87</f>
        <v>68.160054719562254</v>
      </c>
      <c r="S366" s="752">
        <f>INPUT!BJ325</f>
        <v>40.235081374321879</v>
      </c>
      <c r="T366" s="793">
        <f>INPUT!BK87</f>
        <v>69.494344644045242</v>
      </c>
      <c r="U366" s="752" t="str">
        <f>INPUT!BL325</f>
        <v>NM</v>
      </c>
      <c r="V366" s="793">
        <f>INPUT!BM87</f>
        <v>70.429570429570433</v>
      </c>
      <c r="W366" s="752">
        <f>INPUT!BN325</f>
        <v>0</v>
      </c>
      <c r="X366" s="793"/>
      <c r="Y366" s="752"/>
      <c r="Z366" s="793"/>
      <c r="AA366" s="752"/>
      <c r="AB366" s="793"/>
      <c r="AC366" s="752"/>
      <c r="AD366" s="793"/>
      <c r="AE366" s="752"/>
      <c r="AF366" s="793"/>
      <c r="AG366" s="752"/>
      <c r="AH366" s="793"/>
      <c r="AI366" s="752"/>
      <c r="AJ366" s="793"/>
      <c r="AK366" s="752"/>
      <c r="AL366" s="793"/>
      <c r="AM366" s="752"/>
      <c r="AN366" s="793"/>
      <c r="AO366" s="752"/>
      <c r="AP366" s="793"/>
      <c r="AQ366" s="752"/>
      <c r="AR366" s="793"/>
      <c r="AS366" s="752"/>
      <c r="AT366" s="793"/>
      <c r="AU366" s="752"/>
      <c r="AV366" s="793"/>
      <c r="AW366" s="752"/>
      <c r="AX366" s="793"/>
      <c r="AY366" s="752"/>
      <c r="AZ366" s="793"/>
      <c r="BA366" s="752"/>
      <c r="BB366" s="793"/>
      <c r="BC366" s="752"/>
      <c r="BD366" s="793"/>
      <c r="BE366" s="752"/>
      <c r="BF366" s="793"/>
      <c r="BG366" s="752"/>
      <c r="BH366" s="793"/>
      <c r="BI366" s="752"/>
      <c r="BJ366" s="793"/>
      <c r="BK366" s="752"/>
      <c r="BL366" s="793"/>
      <c r="BM366" s="752"/>
      <c r="BN366" s="793"/>
      <c r="BO366" s="752"/>
      <c r="BP366" s="793"/>
      <c r="BQ366" s="752"/>
      <c r="BR366" s="793"/>
      <c r="BS366" s="752"/>
      <c r="BT366" s="793"/>
      <c r="BU366" s="752"/>
      <c r="BV366" s="793"/>
      <c r="BW366" s="752"/>
      <c r="BX366" s="793"/>
      <c r="BY366" s="752"/>
      <c r="BZ366" s="793"/>
      <c r="CA366" s="752"/>
      <c r="CB366" s="793"/>
      <c r="CC366" s="752"/>
      <c r="CD366" s="793"/>
      <c r="CE366" s="752"/>
      <c r="CF366" s="793"/>
      <c r="CG366" s="752"/>
      <c r="CH366" s="793"/>
      <c r="CI366" s="752"/>
      <c r="CJ366" s="793"/>
      <c r="CK366" s="752"/>
      <c r="CL366" s="793"/>
      <c r="CM366" s="752"/>
      <c r="CN366" s="793"/>
      <c r="CO366" s="752"/>
      <c r="CP366" s="793"/>
      <c r="CQ366" s="752"/>
      <c r="CR366" s="793"/>
      <c r="CS366" s="752"/>
      <c r="CT366" s="793"/>
      <c r="CU366" s="752"/>
      <c r="CV366" s="793"/>
      <c r="CW366" s="752"/>
      <c r="CX366" s="793"/>
      <c r="CY366" s="752"/>
      <c r="CZ366" s="793"/>
      <c r="DA366" s="752"/>
      <c r="DB366" s="753"/>
      <c r="DC366" s="793">
        <f>INPUT!FB325</f>
        <v>190.34852546916895</v>
      </c>
      <c r="DD366" s="756" t="str">
        <f>INPUT!FC325</f>
        <v>NA</v>
      </c>
      <c r="DE366" s="793">
        <f>INPUT!FD325</f>
        <v>428.45744680851067</v>
      </c>
      <c r="DF366" s="756" t="str">
        <f>INPUT!FE325</f>
        <v>NM</v>
      </c>
      <c r="DG366" s="793">
        <f>INPUT!FF325</f>
        <v>458.01749271137038</v>
      </c>
      <c r="DH366" s="756">
        <f>INPUT!FG325</f>
        <v>6.8991789320144381</v>
      </c>
      <c r="DI366" s="793">
        <f>INPUT!FH325</f>
        <v>454.63258785942503</v>
      </c>
      <c r="DJ366" s="756">
        <f>INPUT!FI325</f>
        <v>-0.73903396831143109</v>
      </c>
      <c r="DK366" s="793">
        <f>INPUT!FJ325</f>
        <v>4700</v>
      </c>
      <c r="DL366" s="752" t="str">
        <f>INPUT!FK325</f>
        <v>NM</v>
      </c>
      <c r="DM366" s="750">
        <f>INPUT!FL325</f>
        <v>2677.7777777777778</v>
      </c>
      <c r="DN366" s="752">
        <f>INPUT!FM325</f>
        <v>-43.026004728132385</v>
      </c>
      <c r="DO366" s="750">
        <f>INPUT!FN325</f>
        <v>6776.4705882352946</v>
      </c>
      <c r="DP366" s="752" t="str">
        <f>INPUT!FO325</f>
        <v>NM</v>
      </c>
      <c r="DQ366" s="750">
        <f>INPUT!FP325</f>
        <v>9255.5555555555566</v>
      </c>
      <c r="DR366" s="752">
        <f>INPUT!FQ325</f>
        <v>36.583719135802475</v>
      </c>
      <c r="DS366" s="793"/>
      <c r="DT366" s="752"/>
      <c r="DU366" s="793"/>
      <c r="DV366" s="752"/>
      <c r="DW366" s="793"/>
      <c r="DX366" s="752"/>
      <c r="DY366" s="793"/>
      <c r="DZ366" s="752"/>
      <c r="EA366" s="793"/>
      <c r="EB366" s="752"/>
      <c r="EC366" s="793"/>
      <c r="ED366" s="752"/>
      <c r="EE366" s="793"/>
      <c r="EF366" s="752"/>
      <c r="EG366" s="793"/>
      <c r="EH366" s="752"/>
      <c r="EI366" s="793"/>
      <c r="EJ366" s="752"/>
      <c r="EK366" s="793"/>
      <c r="EL366" s="752"/>
      <c r="EM366" s="793"/>
      <c r="EN366" s="752"/>
      <c r="EO366" s="793"/>
      <c r="EP366" s="752"/>
      <c r="EQ366" s="793"/>
      <c r="ER366" s="752"/>
      <c r="ES366" s="793"/>
      <c r="ET366" s="752"/>
      <c r="EU366" s="756"/>
      <c r="EV366" s="710"/>
    </row>
    <row r="367" spans="1:152" ht="12.75" hidden="1" customHeight="1" outlineLevel="2" x14ac:dyDescent="0.2">
      <c r="A367" s="754" t="str">
        <f>INPUT!B326</f>
        <v>Commissions/Premiums (%)</v>
      </c>
      <c r="B367" s="793">
        <f>INPUT!AS326</f>
        <v>33.333333333333336</v>
      </c>
      <c r="C367" s="756" t="str">
        <f>INPUT!AT326</f>
        <v>NM</v>
      </c>
      <c r="D367" s="793">
        <f>INPUT!AU326</f>
        <v>25</v>
      </c>
      <c r="E367" s="756">
        <f>INPUT!AV326</f>
        <v>-25</v>
      </c>
      <c r="F367" s="793">
        <f>INPUT!AW326</f>
        <v>400</v>
      </c>
      <c r="G367" s="756" t="str">
        <f>INPUT!AX326</f>
        <v>NA</v>
      </c>
      <c r="H367" s="793">
        <f>INPUT!AY326</f>
        <v>95</v>
      </c>
      <c r="I367" s="752">
        <f>INPUT!AZ326</f>
        <v>66.249999999999972</v>
      </c>
      <c r="J367" s="750">
        <f>INPUT!BA326</f>
        <v>63.636363636363626</v>
      </c>
      <c r="K367" s="752">
        <f>INPUT!BB326</f>
        <v>90.909090909090878</v>
      </c>
      <c r="L367" s="750">
        <f>INPUT!BC326</f>
        <v>-200</v>
      </c>
      <c r="M367" s="752" t="str">
        <f>INPUT!BD326</f>
        <v>NM</v>
      </c>
      <c r="N367" s="750">
        <f>INPUT!BE326</f>
        <v>66.666666666666671</v>
      </c>
      <c r="O367" s="752" t="str">
        <f>INPUT!BF326</f>
        <v>NM</v>
      </c>
      <c r="P367" s="750">
        <f>INPUT!BG326</f>
        <v>200</v>
      </c>
      <c r="Q367" s="752" t="str">
        <f>INPUT!BH326</f>
        <v>NM</v>
      </c>
      <c r="R367" s="793">
        <f>INPUT!BI89</f>
        <v>7.3871409028727779</v>
      </c>
      <c r="S367" s="752">
        <f>INPUT!BJ326</f>
        <v>-10.204081632653029</v>
      </c>
      <c r="T367" s="793">
        <f>INPUT!BK89</f>
        <v>6.9194943446440451</v>
      </c>
      <c r="U367" s="752" t="str">
        <f>INPUT!BL326</f>
        <v>NM</v>
      </c>
      <c r="V367" s="793">
        <f>INPUT!BM89</f>
        <v>7.0596070596070595</v>
      </c>
      <c r="W367" s="752">
        <f>INPUT!BN326</f>
        <v>0</v>
      </c>
      <c r="X367" s="793"/>
      <c r="Y367" s="752"/>
      <c r="Z367" s="793"/>
      <c r="AA367" s="752"/>
      <c r="AB367" s="793"/>
      <c r="AC367" s="752"/>
      <c r="AD367" s="793"/>
      <c r="AE367" s="752"/>
      <c r="AF367" s="793"/>
      <c r="AG367" s="752"/>
      <c r="AH367" s="793"/>
      <c r="AI367" s="752"/>
      <c r="AJ367" s="793"/>
      <c r="AK367" s="752"/>
      <c r="AL367" s="793"/>
      <c r="AM367" s="752"/>
      <c r="AN367" s="793"/>
      <c r="AO367" s="752"/>
      <c r="AP367" s="793"/>
      <c r="AQ367" s="752"/>
      <c r="AR367" s="793"/>
      <c r="AS367" s="752"/>
      <c r="AT367" s="793"/>
      <c r="AU367" s="752"/>
      <c r="AV367" s="793"/>
      <c r="AW367" s="752"/>
      <c r="AX367" s="793"/>
      <c r="AY367" s="752"/>
      <c r="AZ367" s="793"/>
      <c r="BA367" s="752"/>
      <c r="BB367" s="793"/>
      <c r="BC367" s="752"/>
      <c r="BD367" s="793"/>
      <c r="BE367" s="752"/>
      <c r="BF367" s="793"/>
      <c r="BG367" s="752"/>
      <c r="BH367" s="793"/>
      <c r="BI367" s="752"/>
      <c r="BJ367" s="793"/>
      <c r="BK367" s="752"/>
      <c r="BL367" s="793"/>
      <c r="BM367" s="752"/>
      <c r="BN367" s="793"/>
      <c r="BO367" s="752"/>
      <c r="BP367" s="793"/>
      <c r="BQ367" s="752"/>
      <c r="BR367" s="793"/>
      <c r="BS367" s="752"/>
      <c r="BT367" s="793"/>
      <c r="BU367" s="752"/>
      <c r="BV367" s="793"/>
      <c r="BW367" s="752"/>
      <c r="BX367" s="793"/>
      <c r="BY367" s="752"/>
      <c r="BZ367" s="793"/>
      <c r="CA367" s="752"/>
      <c r="CB367" s="793"/>
      <c r="CC367" s="752"/>
      <c r="CD367" s="793"/>
      <c r="CE367" s="752"/>
      <c r="CF367" s="793"/>
      <c r="CG367" s="752"/>
      <c r="CH367" s="793"/>
      <c r="CI367" s="752"/>
      <c r="CJ367" s="793"/>
      <c r="CK367" s="752"/>
      <c r="CL367" s="793"/>
      <c r="CM367" s="752"/>
      <c r="CN367" s="793"/>
      <c r="CO367" s="752"/>
      <c r="CP367" s="793"/>
      <c r="CQ367" s="752"/>
      <c r="CR367" s="793"/>
      <c r="CS367" s="752"/>
      <c r="CT367" s="793"/>
      <c r="CU367" s="752"/>
      <c r="CV367" s="793"/>
      <c r="CW367" s="752"/>
      <c r="CX367" s="793"/>
      <c r="CY367" s="752"/>
      <c r="CZ367" s="793"/>
      <c r="DA367" s="752"/>
      <c r="DB367" s="753"/>
      <c r="DC367" s="793">
        <f>INPUT!FB326</f>
        <v>4.9151027703306518</v>
      </c>
      <c r="DD367" s="756" t="str">
        <f>INPUT!FC326</f>
        <v>NA</v>
      </c>
      <c r="DE367" s="793">
        <f>INPUT!FD326</f>
        <v>8.2446808510638299</v>
      </c>
      <c r="DF367" s="756">
        <f>INPUT!FE326</f>
        <v>67.741779497098676</v>
      </c>
      <c r="DG367" s="793">
        <f>INPUT!FF326</f>
        <v>31.4868804664723</v>
      </c>
      <c r="DH367" s="756" t="str">
        <f>INPUT!FG326</f>
        <v>NM</v>
      </c>
      <c r="DI367" s="793">
        <f>INPUT!FH326</f>
        <v>15.65495207667732</v>
      </c>
      <c r="DJ367" s="756" t="str">
        <f>INPUT!FI326</f>
        <v>NM</v>
      </c>
      <c r="DK367" s="793">
        <f>INPUT!FJ326</f>
        <v>42.307692307692321</v>
      </c>
      <c r="DL367" s="752" t="str">
        <f>INPUT!FK326</f>
        <v>NM</v>
      </c>
      <c r="DM367" s="750">
        <f>INPUT!FL326</f>
        <v>66.666666666666657</v>
      </c>
      <c r="DN367" s="752">
        <f>INPUT!FM326</f>
        <v>57.5757575757575</v>
      </c>
      <c r="DO367" s="750">
        <f>INPUT!FN326</f>
        <v>111.76470588235294</v>
      </c>
      <c r="DP367" s="752">
        <f>INPUT!FO326</f>
        <v>67.647058823529434</v>
      </c>
      <c r="DQ367" s="750">
        <f>INPUT!FP326</f>
        <v>111.11111111111111</v>
      </c>
      <c r="DR367" s="752">
        <f>INPUT!FQ326</f>
        <v>-0.58479532163742132</v>
      </c>
      <c r="DS367" s="793"/>
      <c r="DT367" s="752"/>
      <c r="DU367" s="793"/>
      <c r="DV367" s="752"/>
      <c r="DW367" s="793"/>
      <c r="DX367" s="752"/>
      <c r="DY367" s="793"/>
      <c r="DZ367" s="752"/>
      <c r="EA367" s="793"/>
      <c r="EB367" s="752"/>
      <c r="EC367" s="793"/>
      <c r="ED367" s="752"/>
      <c r="EE367" s="793"/>
      <c r="EF367" s="752"/>
      <c r="EG367" s="793"/>
      <c r="EH367" s="752"/>
      <c r="EI367" s="793"/>
      <c r="EJ367" s="752"/>
      <c r="EK367" s="793"/>
      <c r="EL367" s="752"/>
      <c r="EM367" s="793"/>
      <c r="EN367" s="752"/>
      <c r="EO367" s="793"/>
      <c r="EP367" s="752"/>
      <c r="EQ367" s="793"/>
      <c r="ER367" s="752"/>
      <c r="ES367" s="793"/>
      <c r="ET367" s="752"/>
      <c r="EU367" s="756"/>
      <c r="EV367" s="710"/>
    </row>
    <row r="368" spans="1:152" ht="12.75" hidden="1" customHeight="1" outlineLevel="2" x14ac:dyDescent="0.2">
      <c r="A368" s="754" t="str">
        <f>INPUT!B327</f>
        <v>Other Expenses/Premiums (%)</v>
      </c>
      <c r="B368" s="793">
        <f>INPUT!AS327</f>
        <v>133.33333333333334</v>
      </c>
      <c r="C368" s="756" t="str">
        <f>INPUT!AT327</f>
        <v>NM</v>
      </c>
      <c r="D368" s="793">
        <f>INPUT!AU327</f>
        <v>3725.0000000000009</v>
      </c>
      <c r="E368" s="756">
        <f>INPUT!AV327</f>
        <v>3.7122969837587227</v>
      </c>
      <c r="F368" s="793">
        <f>INPUT!AW327</f>
        <v>43700</v>
      </c>
      <c r="G368" s="756" t="str">
        <f>INPUT!AX327</f>
        <v>NM</v>
      </c>
      <c r="H368" s="793">
        <f>INPUT!AY327</f>
        <v>-30</v>
      </c>
      <c r="I368" s="752" t="str">
        <f>INPUT!AZ327</f>
        <v>NM</v>
      </c>
      <c r="J368" s="750">
        <f>INPUT!BA327</f>
        <v>136.36363636363635</v>
      </c>
      <c r="K368" s="752">
        <f>INPUT!BB327</f>
        <v>2.2727272727272485</v>
      </c>
      <c r="L368" s="750">
        <f>INPUT!BC327</f>
        <v>-400</v>
      </c>
      <c r="M368" s="752" t="str">
        <f>INPUT!BD327</f>
        <v>NM</v>
      </c>
      <c r="N368" s="750">
        <f>INPUT!BE327</f>
        <v>116.66666666666667</v>
      </c>
      <c r="O368" s="752" t="str">
        <f>INPUT!BF327</f>
        <v>NM</v>
      </c>
      <c r="P368" s="750">
        <f>INPUT!BG327</f>
        <v>500</v>
      </c>
      <c r="Q368" s="752" t="str">
        <f>INPUT!BH327</f>
        <v>NM</v>
      </c>
      <c r="R368" s="793">
        <f>INPUT!BI90</f>
        <v>13.510178901912399</v>
      </c>
      <c r="S368" s="752" t="str">
        <f>INPUT!BJ327</f>
        <v>NM</v>
      </c>
      <c r="T368" s="793">
        <f>INPUT!BK90</f>
        <v>13.715486194477791</v>
      </c>
      <c r="U368" s="752" t="str">
        <f>INPUT!BL327</f>
        <v>NM</v>
      </c>
      <c r="V368" s="793">
        <f>INPUT!BM90</f>
        <v>13.415737111848056</v>
      </c>
      <c r="W368" s="752">
        <f>INPUT!BN327</f>
        <v>0</v>
      </c>
      <c r="X368" s="793"/>
      <c r="Y368" s="752"/>
      <c r="Z368" s="793"/>
      <c r="AA368" s="752"/>
      <c r="AB368" s="793"/>
      <c r="AC368" s="752"/>
      <c r="AD368" s="793"/>
      <c r="AE368" s="752"/>
      <c r="AF368" s="793"/>
      <c r="AG368" s="752"/>
      <c r="AH368" s="793"/>
      <c r="AI368" s="752"/>
      <c r="AJ368" s="793"/>
      <c r="AK368" s="752"/>
      <c r="AL368" s="793"/>
      <c r="AM368" s="752"/>
      <c r="AN368" s="793"/>
      <c r="AO368" s="752"/>
      <c r="AP368" s="793"/>
      <c r="AQ368" s="752"/>
      <c r="AR368" s="793"/>
      <c r="AS368" s="752"/>
      <c r="AT368" s="793"/>
      <c r="AU368" s="752"/>
      <c r="AV368" s="793"/>
      <c r="AW368" s="752"/>
      <c r="AX368" s="793"/>
      <c r="AY368" s="752"/>
      <c r="AZ368" s="793"/>
      <c r="BA368" s="752"/>
      <c r="BB368" s="793"/>
      <c r="BC368" s="752"/>
      <c r="BD368" s="793"/>
      <c r="BE368" s="752"/>
      <c r="BF368" s="793"/>
      <c r="BG368" s="752"/>
      <c r="BH368" s="793"/>
      <c r="BI368" s="752"/>
      <c r="BJ368" s="793"/>
      <c r="BK368" s="752"/>
      <c r="BL368" s="793"/>
      <c r="BM368" s="752"/>
      <c r="BN368" s="793"/>
      <c r="BO368" s="752"/>
      <c r="BP368" s="793"/>
      <c r="BQ368" s="752"/>
      <c r="BR368" s="793"/>
      <c r="BS368" s="752"/>
      <c r="BT368" s="793"/>
      <c r="BU368" s="752"/>
      <c r="BV368" s="793"/>
      <c r="BW368" s="752"/>
      <c r="BX368" s="793"/>
      <c r="BY368" s="752"/>
      <c r="BZ368" s="793"/>
      <c r="CA368" s="752"/>
      <c r="CB368" s="793"/>
      <c r="CC368" s="752"/>
      <c r="CD368" s="793"/>
      <c r="CE368" s="752"/>
      <c r="CF368" s="793"/>
      <c r="CG368" s="752"/>
      <c r="CH368" s="793"/>
      <c r="CI368" s="752"/>
      <c r="CJ368" s="793"/>
      <c r="CK368" s="752"/>
      <c r="CL368" s="793"/>
      <c r="CM368" s="752"/>
      <c r="CN368" s="793"/>
      <c r="CO368" s="752"/>
      <c r="CP368" s="793"/>
      <c r="CQ368" s="752"/>
      <c r="CR368" s="793"/>
      <c r="CS368" s="752"/>
      <c r="CT368" s="793"/>
      <c r="CU368" s="752"/>
      <c r="CV368" s="793"/>
      <c r="CW368" s="752"/>
      <c r="CX368" s="793"/>
      <c r="CY368" s="752"/>
      <c r="CZ368" s="793"/>
      <c r="DA368" s="752"/>
      <c r="DB368" s="753"/>
      <c r="DC368" s="793">
        <f>INPUT!FB327</f>
        <v>162.0196604110813</v>
      </c>
      <c r="DD368" s="756" t="str">
        <f>INPUT!FC327</f>
        <v>NA</v>
      </c>
      <c r="DE368" s="793">
        <f>INPUT!FD327</f>
        <v>472.07446808510633</v>
      </c>
      <c r="DF368" s="756" t="str">
        <f>INPUT!FE327</f>
        <v>NM</v>
      </c>
      <c r="DG368" s="793">
        <f>INPUT!FF327</f>
        <v>491.83673469387753</v>
      </c>
      <c r="DH368" s="756">
        <f>INPUT!FG327</f>
        <v>4.1862604196608366</v>
      </c>
      <c r="DI368" s="793">
        <f>INPUT!FH327</f>
        <v>556.54952076677318</v>
      </c>
      <c r="DJ368" s="756">
        <f>INPUT!FI327</f>
        <v>13.157371442207012</v>
      </c>
      <c r="DK368" s="793">
        <f>INPUT!FJ327</f>
        <v>4892.3076923076933</v>
      </c>
      <c r="DL368" s="752" t="str">
        <f>INPUT!FK327</f>
        <v>NM</v>
      </c>
      <c r="DM368" s="750">
        <f>INPUT!FL327</f>
        <v>1986.6666666666667</v>
      </c>
      <c r="DN368" s="752" t="str">
        <f>INPUT!FM327</f>
        <v>NM</v>
      </c>
      <c r="DO368" s="750">
        <f>INPUT!FN327</f>
        <v>235.29411764705884</v>
      </c>
      <c r="DP368" s="752" t="str">
        <f>INPUT!FO327</f>
        <v>NM</v>
      </c>
      <c r="DQ368" s="750">
        <f>INPUT!FP327</f>
        <v>833.33333333333337</v>
      </c>
      <c r="DR368" s="752" t="str">
        <f>INPUT!FQ327</f>
        <v>NM</v>
      </c>
      <c r="DS368" s="793"/>
      <c r="DT368" s="752"/>
      <c r="DU368" s="793"/>
      <c r="DV368" s="752"/>
      <c r="DW368" s="793"/>
      <c r="DX368" s="752"/>
      <c r="DY368" s="793"/>
      <c r="DZ368" s="752"/>
      <c r="EA368" s="793"/>
      <c r="EB368" s="752"/>
      <c r="EC368" s="793"/>
      <c r="ED368" s="752"/>
      <c r="EE368" s="793"/>
      <c r="EF368" s="752"/>
      <c r="EG368" s="793"/>
      <c r="EH368" s="752"/>
      <c r="EI368" s="793"/>
      <c r="EJ368" s="752"/>
      <c r="EK368" s="793"/>
      <c r="EL368" s="752"/>
      <c r="EM368" s="793"/>
      <c r="EN368" s="752"/>
      <c r="EO368" s="793"/>
      <c r="EP368" s="752"/>
      <c r="EQ368" s="793"/>
      <c r="ER368" s="752"/>
      <c r="ES368" s="793"/>
      <c r="ET368" s="752"/>
      <c r="EU368" s="756"/>
      <c r="EV368" s="710"/>
    </row>
    <row r="369" spans="1:152" ht="12.75" hidden="1" customHeight="1" outlineLevel="2" x14ac:dyDescent="0.2">
      <c r="A369" s="754"/>
      <c r="B369" s="750"/>
      <c r="C369" s="756"/>
      <c r="D369" s="750"/>
      <c r="E369" s="756"/>
      <c r="F369" s="750"/>
      <c r="G369" s="756"/>
      <c r="H369" s="750"/>
      <c r="I369" s="752"/>
      <c r="J369" s="750"/>
      <c r="K369" s="752"/>
      <c r="L369" s="750"/>
      <c r="M369" s="752"/>
      <c r="N369" s="750"/>
      <c r="O369" s="752"/>
      <c r="P369" s="750"/>
      <c r="Q369" s="752"/>
      <c r="R369" s="750"/>
      <c r="S369" s="752"/>
      <c r="T369" s="750"/>
      <c r="U369" s="752"/>
      <c r="V369" s="750"/>
      <c r="W369" s="752"/>
      <c r="X369" s="750"/>
      <c r="Y369" s="752"/>
      <c r="Z369" s="750"/>
      <c r="AA369" s="752"/>
      <c r="AB369" s="750"/>
      <c r="AC369" s="752"/>
      <c r="AD369" s="750"/>
      <c r="AE369" s="752"/>
      <c r="AF369" s="750"/>
      <c r="AG369" s="752"/>
      <c r="AH369" s="750"/>
      <c r="AI369" s="752"/>
      <c r="AJ369" s="750"/>
      <c r="AK369" s="752"/>
      <c r="AL369" s="750"/>
      <c r="AM369" s="752"/>
      <c r="AN369" s="750"/>
      <c r="AO369" s="752"/>
      <c r="AP369" s="750"/>
      <c r="AQ369" s="752"/>
      <c r="AR369" s="750"/>
      <c r="AS369" s="752"/>
      <c r="AT369" s="750"/>
      <c r="AU369" s="752"/>
      <c r="AV369" s="750"/>
      <c r="AW369" s="752"/>
      <c r="AX369" s="750"/>
      <c r="AY369" s="752"/>
      <c r="AZ369" s="750"/>
      <c r="BA369" s="752"/>
      <c r="BB369" s="750"/>
      <c r="BC369" s="752"/>
      <c r="BD369" s="750"/>
      <c r="BE369" s="752"/>
      <c r="BF369" s="750"/>
      <c r="BG369" s="752"/>
      <c r="BH369" s="750"/>
      <c r="BI369" s="752"/>
      <c r="BJ369" s="750"/>
      <c r="BK369" s="752"/>
      <c r="BL369" s="750"/>
      <c r="BM369" s="752"/>
      <c r="BN369" s="750"/>
      <c r="BO369" s="752"/>
      <c r="BP369" s="750"/>
      <c r="BQ369" s="752"/>
      <c r="BR369" s="750"/>
      <c r="BS369" s="752"/>
      <c r="BT369" s="750"/>
      <c r="BU369" s="752"/>
      <c r="BV369" s="750"/>
      <c r="BW369" s="752"/>
      <c r="BX369" s="750"/>
      <c r="BY369" s="752"/>
      <c r="BZ369" s="750"/>
      <c r="CA369" s="752"/>
      <c r="CB369" s="750"/>
      <c r="CC369" s="752"/>
      <c r="CD369" s="750"/>
      <c r="CE369" s="752"/>
      <c r="CF369" s="750"/>
      <c r="CG369" s="752"/>
      <c r="CH369" s="750"/>
      <c r="CI369" s="752"/>
      <c r="CJ369" s="750"/>
      <c r="CK369" s="752"/>
      <c r="CL369" s="750"/>
      <c r="CM369" s="752"/>
      <c r="CN369" s="750"/>
      <c r="CO369" s="752"/>
      <c r="CP369" s="750"/>
      <c r="CQ369" s="752"/>
      <c r="CR369" s="750"/>
      <c r="CS369" s="752"/>
      <c r="CT369" s="750"/>
      <c r="CU369" s="752"/>
      <c r="CV369" s="750"/>
      <c r="CW369" s="752"/>
      <c r="CX369" s="750"/>
      <c r="CY369" s="752"/>
      <c r="CZ369" s="750"/>
      <c r="DA369" s="752"/>
      <c r="DB369" s="753"/>
      <c r="DC369" s="750"/>
      <c r="DD369" s="756"/>
      <c r="DE369" s="750"/>
      <c r="DF369" s="756"/>
      <c r="DG369" s="750"/>
      <c r="DH369" s="756"/>
      <c r="DI369" s="750"/>
      <c r="DJ369" s="756"/>
      <c r="DK369" s="750"/>
      <c r="DL369" s="752"/>
      <c r="DM369" s="750"/>
      <c r="DN369" s="752"/>
      <c r="DO369" s="750"/>
      <c r="DP369" s="752"/>
      <c r="DQ369" s="750"/>
      <c r="DR369" s="752"/>
      <c r="DS369" s="750"/>
      <c r="DT369" s="752"/>
      <c r="DU369" s="750"/>
      <c r="DV369" s="752"/>
      <c r="DW369" s="750"/>
      <c r="DX369" s="752"/>
      <c r="DY369" s="750"/>
      <c r="DZ369" s="752"/>
      <c r="EA369" s="750"/>
      <c r="EB369" s="752"/>
      <c r="EC369" s="750"/>
      <c r="ED369" s="752"/>
      <c r="EE369" s="750"/>
      <c r="EF369" s="752"/>
      <c r="EG369" s="750"/>
      <c r="EH369" s="752"/>
      <c r="EI369" s="750"/>
      <c r="EJ369" s="752"/>
      <c r="EK369" s="750"/>
      <c r="EL369" s="752"/>
      <c r="EM369" s="750"/>
      <c r="EN369" s="752"/>
      <c r="EO369" s="750"/>
      <c r="EP369" s="752"/>
      <c r="EQ369" s="750"/>
      <c r="ER369" s="752"/>
      <c r="ES369" s="750"/>
      <c r="ET369" s="752"/>
      <c r="EU369" s="756"/>
      <c r="EV369" s="710"/>
    </row>
    <row r="370" spans="1:152" ht="12.75" hidden="1" customHeight="1" outlineLevel="2" x14ac:dyDescent="0.2">
      <c r="A370" s="803" t="str">
        <f>+A47</f>
        <v>Quarterly income statement ratios are annualized where appropriate     E = Morgan Stanley Research Estimates      NM = Not Meaningful       NA = Not Applicable              CAGR = Cumulative Average Growth Rate</v>
      </c>
      <c r="B370" s="750"/>
      <c r="C370" s="756"/>
      <c r="D370" s="750"/>
      <c r="E370" s="756"/>
      <c r="F370" s="750"/>
      <c r="G370" s="756"/>
      <c r="H370" s="750"/>
      <c r="I370" s="752"/>
      <c r="J370" s="750"/>
      <c r="K370" s="752"/>
      <c r="L370" s="750"/>
      <c r="M370" s="752"/>
      <c r="N370" s="750"/>
      <c r="O370" s="752"/>
      <c r="P370" s="750"/>
      <c r="Q370" s="752"/>
      <c r="R370" s="750"/>
      <c r="S370" s="752"/>
      <c r="T370" s="750"/>
      <c r="U370" s="752"/>
      <c r="V370" s="750"/>
      <c r="W370" s="752"/>
      <c r="X370" s="750"/>
      <c r="Y370" s="752"/>
      <c r="Z370" s="750"/>
      <c r="AA370" s="752"/>
      <c r="AB370" s="750"/>
      <c r="AC370" s="752"/>
      <c r="AD370" s="750"/>
      <c r="AE370" s="752"/>
      <c r="AF370" s="750"/>
      <c r="AG370" s="752"/>
      <c r="AH370" s="750"/>
      <c r="AI370" s="752"/>
      <c r="AJ370" s="750"/>
      <c r="AK370" s="752"/>
      <c r="AL370" s="750"/>
      <c r="AM370" s="752"/>
      <c r="AN370" s="750"/>
      <c r="AO370" s="752"/>
      <c r="AP370" s="750"/>
      <c r="AQ370" s="752"/>
      <c r="AR370" s="750"/>
      <c r="AS370" s="752"/>
      <c r="AT370" s="750"/>
      <c r="AU370" s="752"/>
      <c r="AV370" s="750"/>
      <c r="AW370" s="752"/>
      <c r="AX370" s="750"/>
      <c r="AY370" s="752"/>
      <c r="AZ370" s="750"/>
      <c r="BA370" s="752"/>
      <c r="BB370" s="750"/>
      <c r="BC370" s="752"/>
      <c r="BD370" s="750"/>
      <c r="BE370" s="752"/>
      <c r="BF370" s="750"/>
      <c r="BG370" s="752"/>
      <c r="BH370" s="750"/>
      <c r="BI370" s="752"/>
      <c r="BJ370" s="750"/>
      <c r="BK370" s="752"/>
      <c r="BL370" s="750"/>
      <c r="BM370" s="752"/>
      <c r="BN370" s="750"/>
      <c r="BO370" s="752"/>
      <c r="BP370" s="750"/>
      <c r="BQ370" s="752"/>
      <c r="BR370" s="750"/>
      <c r="BS370" s="752"/>
      <c r="BT370" s="750"/>
      <c r="BU370" s="752"/>
      <c r="BV370" s="750"/>
      <c r="BW370" s="752"/>
      <c r="BX370" s="750"/>
      <c r="BY370" s="752"/>
      <c r="BZ370" s="750"/>
      <c r="CA370" s="752"/>
      <c r="CB370" s="750"/>
      <c r="CC370" s="752"/>
      <c r="CD370" s="750"/>
      <c r="CE370" s="752"/>
      <c r="CF370" s="750"/>
      <c r="CG370" s="752"/>
      <c r="CH370" s="750"/>
      <c r="CI370" s="752"/>
      <c r="CJ370" s="750"/>
      <c r="CK370" s="752"/>
      <c r="CL370" s="750"/>
      <c r="CM370" s="752"/>
      <c r="CN370" s="750"/>
      <c r="CO370" s="752"/>
      <c r="CP370" s="750"/>
      <c r="CQ370" s="752"/>
      <c r="CR370" s="750"/>
      <c r="CS370" s="752"/>
      <c r="CT370" s="750"/>
      <c r="CU370" s="752"/>
      <c r="CV370" s="750"/>
      <c r="CW370" s="752"/>
      <c r="CX370" s="750"/>
      <c r="CY370" s="752"/>
      <c r="CZ370" s="750"/>
      <c r="DA370" s="752"/>
      <c r="DB370" s="753"/>
      <c r="DC370" s="750"/>
      <c r="DD370" s="756"/>
      <c r="DE370" s="750"/>
      <c r="DF370" s="756"/>
      <c r="DG370" s="750"/>
      <c r="DH370" s="756"/>
      <c r="DI370" s="750"/>
      <c r="DJ370" s="756"/>
      <c r="DK370" s="750"/>
      <c r="DL370" s="752"/>
      <c r="DM370" s="750"/>
      <c r="DN370" s="752"/>
      <c r="DO370" s="750"/>
      <c r="DP370" s="752"/>
      <c r="DQ370" s="750"/>
      <c r="DR370" s="752"/>
      <c r="DS370" s="750"/>
      <c r="DT370" s="752"/>
      <c r="DU370" s="750"/>
      <c r="DV370" s="752"/>
      <c r="DW370" s="750"/>
      <c r="DX370" s="752"/>
      <c r="DY370" s="750"/>
      <c r="DZ370" s="752"/>
      <c r="EA370" s="750"/>
      <c r="EB370" s="752"/>
      <c r="EC370" s="750"/>
      <c r="ED370" s="752"/>
      <c r="EE370" s="750"/>
      <c r="EF370" s="752"/>
      <c r="EG370" s="750"/>
      <c r="EH370" s="752"/>
      <c r="EI370" s="750"/>
      <c r="EJ370" s="752"/>
      <c r="EK370" s="750"/>
      <c r="EL370" s="752"/>
      <c r="EM370" s="750"/>
      <c r="EN370" s="752"/>
      <c r="EO370" s="750"/>
      <c r="EP370" s="752"/>
      <c r="EQ370" s="750"/>
      <c r="ER370" s="752"/>
      <c r="ES370" s="750"/>
      <c r="ET370" s="752"/>
      <c r="EU370" s="756"/>
      <c r="EV370" s="710"/>
    </row>
    <row r="371" spans="1:152" ht="12.75" hidden="1" customHeight="1" outlineLevel="2" x14ac:dyDescent="0.2">
      <c r="A371" s="803" t="s">
        <v>91</v>
      </c>
      <c r="B371" s="750"/>
      <c r="C371" s="767"/>
      <c r="D371" s="750"/>
      <c r="E371" s="767"/>
      <c r="F371" s="750"/>
      <c r="G371" s="767"/>
      <c r="H371" s="750"/>
      <c r="I371" s="752"/>
      <c r="J371" s="750"/>
      <c r="K371" s="752"/>
      <c r="L371" s="750"/>
      <c r="M371" s="752"/>
      <c r="N371" s="750"/>
      <c r="O371" s="752"/>
      <c r="P371" s="750"/>
      <c r="Q371" s="752"/>
      <c r="R371" s="750"/>
      <c r="S371" s="752"/>
      <c r="T371" s="750"/>
      <c r="U371" s="752"/>
      <c r="V371" s="750"/>
      <c r="W371" s="752"/>
      <c r="X371" s="750"/>
      <c r="Y371" s="752"/>
      <c r="Z371" s="750"/>
      <c r="AA371" s="752"/>
      <c r="AB371" s="750"/>
      <c r="AC371" s="752"/>
      <c r="AD371" s="750"/>
      <c r="AE371" s="752"/>
      <c r="AF371" s="750"/>
      <c r="AG371" s="752"/>
      <c r="AH371" s="750"/>
      <c r="AI371" s="752"/>
      <c r="AJ371" s="750"/>
      <c r="AK371" s="752"/>
      <c r="AL371" s="750"/>
      <c r="AM371" s="752"/>
      <c r="AN371" s="750"/>
      <c r="AO371" s="752"/>
      <c r="AP371" s="750"/>
      <c r="AQ371" s="752"/>
      <c r="AR371" s="750"/>
      <c r="AS371" s="752"/>
      <c r="AT371" s="750"/>
      <c r="AU371" s="752"/>
      <c r="AV371" s="750"/>
      <c r="AW371" s="752"/>
      <c r="AX371" s="750"/>
      <c r="AY371" s="752"/>
      <c r="AZ371" s="750"/>
      <c r="BA371" s="752"/>
      <c r="BB371" s="750"/>
      <c r="BC371" s="752"/>
      <c r="BD371" s="750"/>
      <c r="BE371" s="752"/>
      <c r="BF371" s="750"/>
      <c r="BG371" s="752"/>
      <c r="BH371" s="750"/>
      <c r="BI371" s="752"/>
      <c r="BJ371" s="750"/>
      <c r="BK371" s="752"/>
      <c r="BL371" s="750"/>
      <c r="BM371" s="752"/>
      <c r="BN371" s="750"/>
      <c r="BO371" s="752"/>
      <c r="BP371" s="750"/>
      <c r="BQ371" s="752"/>
      <c r="BR371" s="750"/>
      <c r="BS371" s="752"/>
      <c r="BT371" s="750"/>
      <c r="BU371" s="752"/>
      <c r="BV371" s="750"/>
      <c r="BW371" s="752"/>
      <c r="BX371" s="750"/>
      <c r="BY371" s="752"/>
      <c r="BZ371" s="750"/>
      <c r="CA371" s="752"/>
      <c r="CB371" s="750"/>
      <c r="CC371" s="752"/>
      <c r="CD371" s="750"/>
      <c r="CE371" s="752"/>
      <c r="CF371" s="750"/>
      <c r="CG371" s="752"/>
      <c r="CH371" s="750"/>
      <c r="CI371" s="752"/>
      <c r="CJ371" s="750"/>
      <c r="CK371" s="752"/>
      <c r="CL371" s="750"/>
      <c r="CM371" s="752"/>
      <c r="CN371" s="750"/>
      <c r="CO371" s="752"/>
      <c r="CP371" s="750"/>
      <c r="CQ371" s="752"/>
      <c r="CR371" s="750"/>
      <c r="CS371" s="752"/>
      <c r="CT371" s="750"/>
      <c r="CU371" s="752"/>
      <c r="CV371" s="750"/>
      <c r="CW371" s="752"/>
      <c r="CX371" s="750"/>
      <c r="CY371" s="752"/>
      <c r="CZ371" s="750"/>
      <c r="DA371" s="752"/>
      <c r="DB371" s="753"/>
      <c r="DC371" s="750"/>
      <c r="DD371" s="767"/>
      <c r="DE371" s="750"/>
      <c r="DF371" s="767"/>
      <c r="DG371" s="750"/>
      <c r="DH371" s="767"/>
      <c r="DI371" s="750"/>
      <c r="DJ371" s="767"/>
      <c r="DK371" s="750"/>
      <c r="DL371" s="752"/>
      <c r="DM371" s="750"/>
      <c r="DN371" s="752"/>
      <c r="DO371" s="750"/>
      <c r="DP371" s="752"/>
      <c r="DQ371" s="750"/>
      <c r="DR371" s="752"/>
      <c r="DS371" s="750"/>
      <c r="DT371" s="752"/>
      <c r="DU371" s="750"/>
      <c r="DV371" s="752"/>
      <c r="DW371" s="750"/>
      <c r="DX371" s="752"/>
      <c r="DY371" s="750"/>
      <c r="DZ371" s="752"/>
      <c r="EA371" s="750"/>
      <c r="EB371" s="752"/>
      <c r="EC371" s="750"/>
      <c r="ED371" s="752"/>
      <c r="EE371" s="750"/>
      <c r="EF371" s="752"/>
      <c r="EG371" s="750"/>
      <c r="EH371" s="752"/>
      <c r="EI371" s="750"/>
      <c r="EJ371" s="752"/>
      <c r="EK371" s="750"/>
      <c r="EL371" s="752"/>
      <c r="EM371" s="750"/>
      <c r="EN371" s="752"/>
      <c r="EO371" s="750"/>
      <c r="EP371" s="752"/>
      <c r="EQ371" s="750"/>
      <c r="ER371" s="752"/>
      <c r="ES371" s="750"/>
      <c r="ET371" s="752"/>
      <c r="EU371" s="767"/>
      <c r="EV371" s="710"/>
    </row>
    <row r="372" spans="1:152" ht="12.75" hidden="1" customHeight="1" outlineLevel="2" x14ac:dyDescent="0.2">
      <c r="A372" s="803"/>
      <c r="B372" s="750"/>
      <c r="C372" s="767"/>
      <c r="D372" s="750"/>
      <c r="E372" s="767"/>
      <c r="F372" s="750"/>
      <c r="G372" s="767"/>
      <c r="H372" s="750"/>
      <c r="I372" s="752"/>
      <c r="J372" s="750"/>
      <c r="K372" s="752"/>
      <c r="L372" s="750"/>
      <c r="M372" s="752"/>
      <c r="N372" s="750"/>
      <c r="O372" s="752"/>
      <c r="P372" s="750"/>
      <c r="Q372" s="752"/>
      <c r="R372" s="750"/>
      <c r="S372" s="752"/>
      <c r="T372" s="750"/>
      <c r="U372" s="752"/>
      <c r="V372" s="750"/>
      <c r="W372" s="752"/>
      <c r="X372" s="750"/>
      <c r="Y372" s="752"/>
      <c r="Z372" s="750"/>
      <c r="AA372" s="752"/>
      <c r="AB372" s="750"/>
      <c r="AC372" s="752"/>
      <c r="AD372" s="750"/>
      <c r="AE372" s="752"/>
      <c r="AF372" s="750"/>
      <c r="AG372" s="752"/>
      <c r="AH372" s="750"/>
      <c r="AI372" s="752"/>
      <c r="AJ372" s="750"/>
      <c r="AK372" s="752"/>
      <c r="AL372" s="750"/>
      <c r="AM372" s="752"/>
      <c r="AN372" s="750"/>
      <c r="AO372" s="752"/>
      <c r="AP372" s="750"/>
      <c r="AQ372" s="752"/>
      <c r="AR372" s="750"/>
      <c r="AS372" s="752"/>
      <c r="AT372" s="750"/>
      <c r="AU372" s="752"/>
      <c r="AV372" s="750"/>
      <c r="AW372" s="752"/>
      <c r="AX372" s="750"/>
      <c r="AY372" s="752"/>
      <c r="AZ372" s="750"/>
      <c r="BA372" s="752"/>
      <c r="BB372" s="750"/>
      <c r="BC372" s="752"/>
      <c r="BD372" s="750"/>
      <c r="BE372" s="752"/>
      <c r="BF372" s="750"/>
      <c r="BG372" s="752"/>
      <c r="BH372" s="750"/>
      <c r="BI372" s="752"/>
      <c r="BJ372" s="750"/>
      <c r="BK372" s="752"/>
      <c r="BL372" s="750"/>
      <c r="BM372" s="752"/>
      <c r="BN372" s="750"/>
      <c r="BO372" s="752"/>
      <c r="BP372" s="750"/>
      <c r="BQ372" s="752"/>
      <c r="BR372" s="750"/>
      <c r="BS372" s="752"/>
      <c r="BT372" s="750"/>
      <c r="BU372" s="752"/>
      <c r="BV372" s="750"/>
      <c r="BW372" s="752"/>
      <c r="BX372" s="750"/>
      <c r="BY372" s="752"/>
      <c r="BZ372" s="750"/>
      <c r="CA372" s="752"/>
      <c r="CB372" s="750"/>
      <c r="CC372" s="752"/>
      <c r="CD372" s="750"/>
      <c r="CE372" s="752"/>
      <c r="CF372" s="750"/>
      <c r="CG372" s="752"/>
      <c r="CH372" s="750"/>
      <c r="CI372" s="752"/>
      <c r="CJ372" s="750"/>
      <c r="CK372" s="752"/>
      <c r="CL372" s="750"/>
      <c r="CM372" s="752"/>
      <c r="CN372" s="750"/>
      <c r="CO372" s="752"/>
      <c r="CP372" s="750"/>
      <c r="CQ372" s="752"/>
      <c r="CR372" s="750"/>
      <c r="CS372" s="752"/>
      <c r="CT372" s="750"/>
      <c r="CU372" s="752"/>
      <c r="CV372" s="750"/>
      <c r="CW372" s="752"/>
      <c r="CX372" s="750"/>
      <c r="CY372" s="752"/>
      <c r="CZ372" s="750"/>
      <c r="DA372" s="752"/>
      <c r="DB372" s="753"/>
      <c r="DC372" s="750"/>
      <c r="DD372" s="767"/>
      <c r="DE372" s="750"/>
      <c r="DF372" s="767"/>
      <c r="DG372" s="750"/>
      <c r="DH372" s="767"/>
      <c r="DI372" s="750"/>
      <c r="DJ372" s="767"/>
      <c r="DK372" s="750"/>
      <c r="DL372" s="752"/>
      <c r="DM372" s="750"/>
      <c r="DN372" s="752"/>
      <c r="DO372" s="750"/>
      <c r="DP372" s="752"/>
      <c r="DQ372" s="750"/>
      <c r="DR372" s="752"/>
      <c r="DS372" s="750"/>
      <c r="DT372" s="752"/>
      <c r="DU372" s="750"/>
      <c r="DV372" s="752"/>
      <c r="DW372" s="750"/>
      <c r="DX372" s="752"/>
      <c r="DY372" s="750"/>
      <c r="DZ372" s="752"/>
      <c r="EA372" s="750"/>
      <c r="EB372" s="752"/>
      <c r="EC372" s="750"/>
      <c r="ED372" s="752"/>
      <c r="EE372" s="750"/>
      <c r="EF372" s="752"/>
      <c r="EG372" s="750"/>
      <c r="EH372" s="752"/>
      <c r="EI372" s="750"/>
      <c r="EJ372" s="752"/>
      <c r="EK372" s="750"/>
      <c r="EL372" s="752"/>
      <c r="EM372" s="750"/>
      <c r="EN372" s="752"/>
      <c r="EO372" s="750"/>
      <c r="EP372" s="752"/>
      <c r="EQ372" s="750"/>
      <c r="ER372" s="752"/>
      <c r="ES372" s="750"/>
      <c r="ET372" s="752"/>
      <c r="EU372" s="767"/>
      <c r="EV372" s="710"/>
    </row>
    <row r="373" spans="1:152" ht="21.95" hidden="1" customHeight="1" outlineLevel="1" collapsed="1" x14ac:dyDescent="0.25">
      <c r="A373" s="709" t="str">
        <f>INPUT!$B$4</f>
        <v>Unum Group</v>
      </c>
      <c r="B373" s="728"/>
      <c r="C373" s="729"/>
      <c r="D373" s="728"/>
      <c r="E373" s="729"/>
      <c r="F373" s="728"/>
      <c r="G373" s="729"/>
      <c r="H373" s="728"/>
      <c r="I373" s="730"/>
      <c r="J373" s="728"/>
      <c r="K373" s="730"/>
      <c r="L373" s="728"/>
      <c r="M373" s="730"/>
      <c r="N373" s="728"/>
      <c r="O373" s="730"/>
      <c r="P373" s="728"/>
      <c r="Q373" s="730"/>
      <c r="R373" s="728"/>
      <c r="S373" s="730"/>
      <c r="T373" s="728"/>
      <c r="U373" s="730"/>
      <c r="V373" s="728"/>
      <c r="W373" s="730"/>
      <c r="X373" s="728"/>
      <c r="Y373" s="730"/>
      <c r="Z373" s="728"/>
      <c r="AA373" s="730"/>
      <c r="AB373" s="728"/>
      <c r="AC373" s="730"/>
      <c r="AD373" s="728"/>
      <c r="AE373" s="730"/>
      <c r="AF373" s="728"/>
      <c r="AG373" s="730"/>
      <c r="AH373" s="728"/>
      <c r="AI373" s="730"/>
      <c r="AJ373" s="728"/>
      <c r="AK373" s="730"/>
      <c r="AL373" s="728"/>
      <c r="AM373" s="730"/>
      <c r="AN373" s="728"/>
      <c r="AO373" s="730"/>
      <c r="AP373" s="728"/>
      <c r="AQ373" s="730"/>
      <c r="AR373" s="728"/>
      <c r="AS373" s="730"/>
      <c r="AT373" s="728"/>
      <c r="AU373" s="730"/>
      <c r="AV373" s="728"/>
      <c r="AW373" s="730"/>
      <c r="AX373" s="728"/>
      <c r="AY373" s="730"/>
      <c r="AZ373" s="728"/>
      <c r="BA373" s="730"/>
      <c r="BB373" s="728"/>
      <c r="BC373" s="730"/>
      <c r="BD373" s="728"/>
      <c r="BE373" s="730"/>
      <c r="BF373" s="728"/>
      <c r="BG373" s="730"/>
      <c r="BH373" s="728"/>
      <c r="BI373" s="730"/>
      <c r="BJ373" s="728"/>
      <c r="BK373" s="730"/>
      <c r="BL373" s="728"/>
      <c r="BM373" s="730"/>
      <c r="BN373" s="728"/>
      <c r="BO373" s="730"/>
      <c r="BP373" s="728"/>
      <c r="BQ373" s="730"/>
      <c r="BR373" s="728"/>
      <c r="BS373" s="730"/>
      <c r="BT373" s="728"/>
      <c r="BU373" s="730"/>
      <c r="BV373" s="728"/>
      <c r="BW373" s="730"/>
      <c r="BX373" s="728"/>
      <c r="BY373" s="730"/>
      <c r="BZ373" s="728"/>
      <c r="CA373" s="730"/>
      <c r="CB373" s="728"/>
      <c r="CC373" s="730"/>
      <c r="CD373" s="728"/>
      <c r="CE373" s="730"/>
      <c r="CF373" s="728"/>
      <c r="CG373" s="730"/>
      <c r="CH373" s="728"/>
      <c r="CI373" s="730"/>
      <c r="CJ373" s="728"/>
      <c r="CK373" s="730"/>
      <c r="CL373" s="728"/>
      <c r="CM373" s="730"/>
      <c r="CN373" s="728"/>
      <c r="CO373" s="730"/>
      <c r="CP373" s="728"/>
      <c r="CQ373" s="730"/>
      <c r="CR373" s="728"/>
      <c r="CS373" s="730"/>
      <c r="CT373" s="728"/>
      <c r="CU373" s="730"/>
      <c r="CV373" s="728"/>
      <c r="CW373" s="730"/>
      <c r="CX373" s="728"/>
      <c r="CY373" s="730"/>
      <c r="CZ373" s="728"/>
      <c r="DA373" s="730"/>
      <c r="DB373" s="730"/>
      <c r="DC373" s="728"/>
      <c r="DD373" s="729"/>
      <c r="DE373" s="728"/>
      <c r="DF373" s="729"/>
      <c r="DG373" s="728"/>
      <c r="DH373" s="729"/>
      <c r="DI373" s="728"/>
      <c r="DJ373" s="729"/>
      <c r="DK373" s="728"/>
      <c r="DL373" s="730"/>
      <c r="DM373" s="728"/>
      <c r="DN373" s="730"/>
      <c r="DO373" s="728"/>
      <c r="DP373" s="730"/>
      <c r="DQ373" s="728"/>
      <c r="DR373" s="730"/>
      <c r="DS373" s="728"/>
      <c r="DT373" s="730"/>
      <c r="DU373" s="728"/>
      <c r="DV373" s="730"/>
      <c r="DW373" s="728"/>
      <c r="DX373" s="730"/>
      <c r="DY373" s="728"/>
      <c r="DZ373" s="730"/>
      <c r="EA373" s="728"/>
      <c r="EB373" s="730"/>
      <c r="EC373" s="728"/>
      <c r="ED373" s="730"/>
      <c r="EE373" s="728"/>
      <c r="EF373" s="730"/>
      <c r="EG373" s="728"/>
      <c r="EH373" s="730"/>
      <c r="EI373" s="728"/>
      <c r="EJ373" s="730"/>
      <c r="EK373" s="728"/>
      <c r="EL373" s="730"/>
      <c r="EM373" s="728"/>
      <c r="EN373" s="730"/>
      <c r="EO373" s="728"/>
      <c r="EP373" s="730"/>
      <c r="EQ373" s="728"/>
      <c r="ER373" s="730"/>
      <c r="ES373" s="728"/>
      <c r="ET373" s="730"/>
      <c r="EU373" s="729"/>
      <c r="EV373" s="710"/>
    </row>
    <row r="374" spans="1:152" ht="12.75" hidden="1" customHeight="1" outlineLevel="1" x14ac:dyDescent="0.2">
      <c r="A374" s="731" t="s">
        <v>297</v>
      </c>
      <c r="B374" s="732"/>
      <c r="C374" s="733"/>
      <c r="D374" s="732"/>
      <c r="E374" s="733"/>
      <c r="F374" s="732"/>
      <c r="G374" s="733"/>
      <c r="H374" s="732"/>
      <c r="I374" s="734"/>
      <c r="J374" s="732"/>
      <c r="K374" s="734"/>
      <c r="L374" s="732"/>
      <c r="M374" s="734"/>
      <c r="N374" s="732"/>
      <c r="O374" s="734"/>
      <c r="P374" s="732"/>
      <c r="Q374" s="734"/>
      <c r="R374" s="732"/>
      <c r="S374" s="734"/>
      <c r="T374" s="732"/>
      <c r="U374" s="734"/>
      <c r="V374" s="732"/>
      <c r="W374" s="734"/>
      <c r="X374" s="732"/>
      <c r="Y374" s="734"/>
      <c r="Z374" s="732"/>
      <c r="AA374" s="734"/>
      <c r="AB374" s="732"/>
      <c r="AC374" s="734"/>
      <c r="AD374" s="732"/>
      <c r="AE374" s="734"/>
      <c r="AF374" s="732"/>
      <c r="AG374" s="734"/>
      <c r="AH374" s="732"/>
      <c r="AI374" s="734"/>
      <c r="AJ374" s="732"/>
      <c r="AK374" s="734"/>
      <c r="AL374" s="732"/>
      <c r="AM374" s="734"/>
      <c r="AN374" s="732"/>
      <c r="AO374" s="734"/>
      <c r="AP374" s="732"/>
      <c r="AQ374" s="734"/>
      <c r="AR374" s="732"/>
      <c r="AS374" s="734"/>
      <c r="AT374" s="732"/>
      <c r="AU374" s="734"/>
      <c r="AV374" s="732"/>
      <c r="AW374" s="734"/>
      <c r="AX374" s="732"/>
      <c r="AY374" s="734"/>
      <c r="AZ374" s="732"/>
      <c r="BA374" s="734"/>
      <c r="BB374" s="732"/>
      <c r="BC374" s="734"/>
      <c r="BD374" s="732"/>
      <c r="BE374" s="734"/>
      <c r="BF374" s="732"/>
      <c r="BG374" s="734"/>
      <c r="BH374" s="732"/>
      <c r="BI374" s="734"/>
      <c r="BJ374" s="732"/>
      <c r="BK374" s="734"/>
      <c r="BL374" s="732"/>
      <c r="BM374" s="734"/>
      <c r="BN374" s="732"/>
      <c r="BO374" s="734"/>
      <c r="BP374" s="732"/>
      <c r="BQ374" s="734"/>
      <c r="BR374" s="732"/>
      <c r="BS374" s="734"/>
      <c r="BT374" s="732"/>
      <c r="BU374" s="734"/>
      <c r="BV374" s="732"/>
      <c r="BW374" s="734"/>
      <c r="BX374" s="732"/>
      <c r="BY374" s="734"/>
      <c r="BZ374" s="732"/>
      <c r="CA374" s="734"/>
      <c r="CB374" s="732"/>
      <c r="CC374" s="734"/>
      <c r="CD374" s="732"/>
      <c r="CE374" s="734"/>
      <c r="CF374" s="732"/>
      <c r="CG374" s="734"/>
      <c r="CH374" s="732"/>
      <c r="CI374" s="734"/>
      <c r="CJ374" s="732"/>
      <c r="CK374" s="734"/>
      <c r="CL374" s="732"/>
      <c r="CM374" s="734"/>
      <c r="CN374" s="732"/>
      <c r="CO374" s="734"/>
      <c r="CP374" s="732"/>
      <c r="CQ374" s="734"/>
      <c r="CR374" s="732"/>
      <c r="CS374" s="734"/>
      <c r="CT374" s="732"/>
      <c r="CU374" s="734"/>
      <c r="CV374" s="732"/>
      <c r="CW374" s="734"/>
      <c r="CX374" s="732"/>
      <c r="CY374" s="734"/>
      <c r="CZ374" s="732"/>
      <c r="DA374" s="734"/>
      <c r="DB374" s="734"/>
      <c r="DC374" s="732"/>
      <c r="DD374" s="733"/>
      <c r="DE374" s="732"/>
      <c r="DF374" s="733"/>
      <c r="DG374" s="732"/>
      <c r="DH374" s="733"/>
      <c r="DI374" s="732"/>
      <c r="DJ374" s="733"/>
      <c r="DK374" s="732"/>
      <c r="DL374" s="734"/>
      <c r="DM374" s="732"/>
      <c r="DN374" s="734"/>
      <c r="DO374" s="732"/>
      <c r="DP374" s="734"/>
      <c r="DQ374" s="732"/>
      <c r="DR374" s="734"/>
      <c r="DS374" s="732"/>
      <c r="DT374" s="734"/>
      <c r="DU374" s="732"/>
      <c r="DV374" s="734"/>
      <c r="DW374" s="732"/>
      <c r="DX374" s="734"/>
      <c r="DY374" s="732"/>
      <c r="DZ374" s="734"/>
      <c r="EA374" s="732"/>
      <c r="EB374" s="734"/>
      <c r="EC374" s="732"/>
      <c r="ED374" s="734"/>
      <c r="EE374" s="732"/>
      <c r="EF374" s="734"/>
      <c r="EG374" s="732"/>
      <c r="EH374" s="734"/>
      <c r="EI374" s="732"/>
      <c r="EJ374" s="734"/>
      <c r="EK374" s="732"/>
      <c r="EL374" s="734"/>
      <c r="EM374" s="732"/>
      <c r="EN374" s="734"/>
      <c r="EO374" s="732"/>
      <c r="EP374" s="734"/>
      <c r="EQ374" s="732"/>
      <c r="ER374" s="734"/>
      <c r="ES374" s="732"/>
      <c r="ET374" s="734"/>
      <c r="EU374" s="733"/>
      <c r="EV374" s="710"/>
    </row>
    <row r="375" spans="1:152" ht="12.75" hidden="1" customHeight="1" outlineLevel="1" x14ac:dyDescent="0.2">
      <c r="A375" s="712" t="str">
        <f>A$3</f>
        <v>($Millions Except Per Share Data)</v>
      </c>
      <c r="B375" s="736"/>
      <c r="C375" s="737" t="str">
        <f>C$3</f>
        <v>1Q06/</v>
      </c>
      <c r="D375" s="736"/>
      <c r="E375" s="737" t="str">
        <f>E$3</f>
        <v>2Q06/</v>
      </c>
      <c r="F375" s="736"/>
      <c r="G375" s="737" t="str">
        <f>G$3</f>
        <v>3Q06/</v>
      </c>
      <c r="H375" s="736"/>
      <c r="I375" s="738" t="str">
        <f>I$3</f>
        <v>4Q06/</v>
      </c>
      <c r="J375" s="736"/>
      <c r="K375" s="738" t="str">
        <f>K$3</f>
        <v>1Q07/</v>
      </c>
      <c r="L375" s="736"/>
      <c r="M375" s="738" t="str">
        <f>M$3</f>
        <v>2Q07/</v>
      </c>
      <c r="N375" s="736"/>
      <c r="O375" s="738" t="str">
        <f>O$3</f>
        <v>3Q07/</v>
      </c>
      <c r="P375" s="736"/>
      <c r="Q375" s="738" t="str">
        <f>Q$3</f>
        <v>4Q07/</v>
      </c>
      <c r="R375" s="736"/>
      <c r="S375" s="738" t="str">
        <f>S$3</f>
        <v>1Q08/</v>
      </c>
      <c r="T375" s="736"/>
      <c r="U375" s="738" t="str">
        <f>U$3</f>
        <v>2Q08/</v>
      </c>
      <c r="V375" s="736"/>
      <c r="W375" s="738" t="str">
        <f>W$3</f>
        <v>3Q08/</v>
      </c>
      <c r="X375" s="736"/>
      <c r="Y375" s="738" t="str">
        <f>Y$3</f>
        <v>4Q08/</v>
      </c>
      <c r="Z375" s="736"/>
      <c r="AA375" s="738" t="str">
        <f>AA$3</f>
        <v>1Q09/</v>
      </c>
      <c r="AB375" s="736"/>
      <c r="AC375" s="738" t="str">
        <f>AC$3</f>
        <v>2Q09/</v>
      </c>
      <c r="AD375" s="736"/>
      <c r="AE375" s="738" t="str">
        <f>AE$3</f>
        <v>3Q09/</v>
      </c>
      <c r="AF375" s="736"/>
      <c r="AG375" s="738" t="str">
        <f>AG$3</f>
        <v>4Q09/</v>
      </c>
      <c r="AH375" s="736"/>
      <c r="AI375" s="738" t="str">
        <f>AI$3</f>
        <v>1Q10/</v>
      </c>
      <c r="AJ375" s="736"/>
      <c r="AK375" s="738" t="str">
        <f>AK$3</f>
        <v>2Q10/</v>
      </c>
      <c r="AL375" s="736"/>
      <c r="AM375" s="738" t="str">
        <f>AM$3</f>
        <v>3Q10/</v>
      </c>
      <c r="AN375" s="736"/>
      <c r="AO375" s="738">
        <f>AO$3</f>
        <v>0</v>
      </c>
      <c r="AP375" s="736"/>
      <c r="AQ375" s="738" t="str">
        <f>AQ$3</f>
        <v>1Q11/</v>
      </c>
      <c r="AR375" s="736"/>
      <c r="AS375" s="738" t="str">
        <f>AS$3</f>
        <v>2Q11/</v>
      </c>
      <c r="AT375" s="736"/>
      <c r="AU375" s="738" t="str">
        <f>AU$3</f>
        <v>3Q11/</v>
      </c>
      <c r="AV375" s="736"/>
      <c r="AW375" s="738" t="str">
        <f>AW$3</f>
        <v>4Q11/</v>
      </c>
      <c r="AX375" s="736"/>
      <c r="AY375" s="738" t="str">
        <f>AY$3</f>
        <v>1Q12/</v>
      </c>
      <c r="AZ375" s="736"/>
      <c r="BA375" s="738" t="str">
        <f>BA$3</f>
        <v>2Q12/</v>
      </c>
      <c r="BB375" s="736"/>
      <c r="BC375" s="738" t="str">
        <f>BC$3</f>
        <v>3Q12/</v>
      </c>
      <c r="BD375" s="736"/>
      <c r="BE375" s="738" t="str">
        <f>BE$3</f>
        <v>4Q12/</v>
      </c>
      <c r="BF375" s="736"/>
      <c r="BG375" s="738" t="str">
        <f>BG$3</f>
        <v>1Q13/</v>
      </c>
      <c r="BH375" s="736"/>
      <c r="BI375" s="738" t="str">
        <f>BI$3</f>
        <v>2Q13/</v>
      </c>
      <c r="BJ375" s="736"/>
      <c r="BK375" s="738" t="str">
        <f>BK$3</f>
        <v>3Q13/</v>
      </c>
      <c r="BL375" s="736"/>
      <c r="BM375" s="738" t="str">
        <f>BM$3</f>
        <v>4Q13/</v>
      </c>
      <c r="BN375" s="736"/>
      <c r="BO375" s="738" t="str">
        <f>BO$3</f>
        <v>1Q14/</v>
      </c>
      <c r="BP375" s="736"/>
      <c r="BQ375" s="738" t="str">
        <f>BQ$3</f>
        <v>2Q14/</v>
      </c>
      <c r="BR375" s="736"/>
      <c r="BS375" s="738" t="str">
        <f>BS$3</f>
        <v>3Q14/</v>
      </c>
      <c r="BT375" s="736"/>
      <c r="BU375" s="738" t="str">
        <f>BU$3</f>
        <v>4Q14/</v>
      </c>
      <c r="BV375" s="736"/>
      <c r="BW375" s="738" t="str">
        <f>BW$3</f>
        <v>1Q15/</v>
      </c>
      <c r="BX375" s="736"/>
      <c r="BY375" s="738" t="str">
        <f>BY$3</f>
        <v>2Q15/</v>
      </c>
      <c r="BZ375" s="736"/>
      <c r="CA375" s="738" t="str">
        <f>CA$3</f>
        <v>3Q15/</v>
      </c>
      <c r="CB375" s="736"/>
      <c r="CC375" s="738" t="str">
        <f>CC$3</f>
        <v>4Q15/</v>
      </c>
      <c r="CD375" s="736"/>
      <c r="CE375" s="738" t="str">
        <f>CE$3</f>
        <v>1Q16/</v>
      </c>
      <c r="CF375" s="736"/>
      <c r="CG375" s="738" t="str">
        <f>CG$3</f>
        <v>2Q16/</v>
      </c>
      <c r="CH375" s="736"/>
      <c r="CI375" s="738" t="str">
        <f>CI$3</f>
        <v>3Q16/</v>
      </c>
      <c r="CJ375" s="736"/>
      <c r="CK375" s="738" t="str">
        <f>CK$3</f>
        <v>4Q16/</v>
      </c>
      <c r="CL375" s="736"/>
      <c r="CM375" s="738" t="str">
        <f t="shared" ref="CM375" si="349">CM$3</f>
        <v>1Q17/</v>
      </c>
      <c r="CN375" s="736"/>
      <c r="CO375" s="738" t="str">
        <f t="shared" ref="CO375" si="350">CO$3</f>
        <v>2Q17/</v>
      </c>
      <c r="CP375" s="736"/>
      <c r="CQ375" s="738" t="str">
        <f t="shared" ref="CQ375:CS375" si="351">CQ$3</f>
        <v>3Q17/</v>
      </c>
      <c r="CR375" s="736"/>
      <c r="CS375" s="738" t="str">
        <f t="shared" si="351"/>
        <v>4Q17/</v>
      </c>
      <c r="CT375" s="736"/>
      <c r="CU375" s="738" t="str">
        <f t="shared" ref="CU375" si="352">CU$3</f>
        <v>1Q18E/</v>
      </c>
      <c r="CV375" s="736"/>
      <c r="CW375" s="738" t="str">
        <f t="shared" ref="CW375" si="353">CW$3</f>
        <v>2Q18E/</v>
      </c>
      <c r="CX375" s="736"/>
      <c r="CY375" s="738" t="str">
        <f t="shared" ref="CY375:DA375" si="354">CY$3</f>
        <v>3Q18E/</v>
      </c>
      <c r="CZ375" s="736"/>
      <c r="DA375" s="738" t="str">
        <f t="shared" si="354"/>
        <v>4Q18E/</v>
      </c>
      <c r="DB375" s="739"/>
      <c r="DC375" s="736"/>
      <c r="DD375" s="737" t="str">
        <f>DD$3</f>
        <v>2001/</v>
      </c>
      <c r="DE375" s="736"/>
      <c r="DF375" s="737" t="str">
        <f>DF$3</f>
        <v>2002/</v>
      </c>
      <c r="DG375" s="736"/>
      <c r="DH375" s="737" t="str">
        <f>DH$3</f>
        <v>2003/</v>
      </c>
      <c r="DI375" s="736"/>
      <c r="DJ375" s="737" t="str">
        <f>DJ$3</f>
        <v>2004/</v>
      </c>
      <c r="DK375" s="736"/>
      <c r="DL375" s="738" t="str">
        <f>DL$3</f>
        <v>2005/</v>
      </c>
      <c r="DM375" s="736"/>
      <c r="DN375" s="738" t="str">
        <f>DN$3</f>
        <v>2006/</v>
      </c>
      <c r="DO375" s="736"/>
      <c r="DP375" s="738" t="str">
        <f>DP$3</f>
        <v>2007/</v>
      </c>
      <c r="DQ375" s="736"/>
      <c r="DR375" s="738" t="str">
        <f>DR$3</f>
        <v>2008/</v>
      </c>
      <c r="DS375" s="736"/>
      <c r="DT375" s="738" t="str">
        <f>DT$3</f>
        <v>2009/</v>
      </c>
      <c r="DU375" s="736"/>
      <c r="DV375" s="738" t="str">
        <f>DV$3</f>
        <v>2010/</v>
      </c>
      <c r="DW375" s="736"/>
      <c r="DX375" s="738" t="str">
        <f>DX$3</f>
        <v>2011/</v>
      </c>
      <c r="DY375" s="736"/>
      <c r="DZ375" s="738" t="str">
        <f>DZ$3</f>
        <v>2012/</v>
      </c>
      <c r="EA375" s="736"/>
      <c r="EB375" s="738" t="str">
        <f>EB$3</f>
        <v>2013/</v>
      </c>
      <c r="EC375" s="736"/>
      <c r="ED375" s="738" t="str">
        <f>ED$3</f>
        <v>2014/</v>
      </c>
      <c r="EE375" s="736"/>
      <c r="EF375" s="738" t="str">
        <f>EF$3</f>
        <v>2015/</v>
      </c>
      <c r="EG375" s="736"/>
      <c r="EH375" s="738" t="str">
        <f>EH$3</f>
        <v>2016/</v>
      </c>
      <c r="EI375" s="736"/>
      <c r="EJ375" s="738" t="str">
        <f>EJ$3</f>
        <v>2017/</v>
      </c>
      <c r="EK375" s="736"/>
      <c r="EL375" s="738" t="str">
        <f>EL$3</f>
        <v>2018E/</v>
      </c>
      <c r="EM375" s="736"/>
      <c r="EN375" s="738" t="str">
        <f>EN$3</f>
        <v>2019E/</v>
      </c>
      <c r="EO375" s="736"/>
      <c r="EP375" s="738" t="str">
        <f>EP$3</f>
        <v>2020E/</v>
      </c>
      <c r="EQ375" s="736"/>
      <c r="ER375" s="738" t="str">
        <f>ER$3</f>
        <v>2021E/</v>
      </c>
      <c r="ES375" s="736"/>
      <c r="ET375" s="738" t="str">
        <f>ET$3</f>
        <v>2022E/</v>
      </c>
      <c r="EU375" s="737"/>
      <c r="EV375" s="710"/>
    </row>
    <row r="376" spans="1:152" ht="12.75" hidden="1" customHeight="1" outlineLevel="1" x14ac:dyDescent="0.2">
      <c r="A376" s="740"/>
      <c r="B376" s="732"/>
      <c r="C376" s="741" t="str">
        <f>C$4</f>
        <v>1Q05</v>
      </c>
      <c r="D376" s="732"/>
      <c r="E376" s="741" t="str">
        <f>E$4</f>
        <v>2Q05</v>
      </c>
      <c r="F376" s="732"/>
      <c r="G376" s="741" t="str">
        <f>G$4</f>
        <v>3Q05</v>
      </c>
      <c r="H376" s="732"/>
      <c r="I376" s="734" t="str">
        <f>I$4</f>
        <v>4Q05</v>
      </c>
      <c r="J376" s="732"/>
      <c r="K376" s="734" t="str">
        <f>K$4</f>
        <v>1Q06</v>
      </c>
      <c r="L376" s="732"/>
      <c r="M376" s="734" t="str">
        <f>M$4</f>
        <v>2Q06</v>
      </c>
      <c r="N376" s="732"/>
      <c r="O376" s="734" t="str">
        <f>O$4</f>
        <v>3Q06</v>
      </c>
      <c r="P376" s="732"/>
      <c r="Q376" s="734" t="str">
        <f>Q$4</f>
        <v>4Q06</v>
      </c>
      <c r="R376" s="732"/>
      <c r="S376" s="734" t="str">
        <f>S$4</f>
        <v>1Q07</v>
      </c>
      <c r="T376" s="732"/>
      <c r="U376" s="734" t="str">
        <f>U$4</f>
        <v>2Q07</v>
      </c>
      <c r="V376" s="732"/>
      <c r="W376" s="734" t="str">
        <f>W$4</f>
        <v>3Q07</v>
      </c>
      <c r="X376" s="732"/>
      <c r="Y376" s="734" t="str">
        <f>Y$4</f>
        <v>4Q07</v>
      </c>
      <c r="Z376" s="732"/>
      <c r="AA376" s="734" t="str">
        <f>AA$4</f>
        <v>1Q08</v>
      </c>
      <c r="AB376" s="732"/>
      <c r="AC376" s="734" t="str">
        <f>AC$4</f>
        <v>2Q08</v>
      </c>
      <c r="AD376" s="732"/>
      <c r="AE376" s="734" t="str">
        <f>AE$4</f>
        <v>3Q08</v>
      </c>
      <c r="AF376" s="732"/>
      <c r="AG376" s="734" t="str">
        <f>AG$4</f>
        <v>4Q08</v>
      </c>
      <c r="AH376" s="732"/>
      <c r="AI376" s="734" t="str">
        <f>AI$4</f>
        <v>1Q09</v>
      </c>
      <c r="AJ376" s="732"/>
      <c r="AK376" s="734" t="str">
        <f>AK$4</f>
        <v>2Q09</v>
      </c>
      <c r="AL376" s="732"/>
      <c r="AM376" s="734" t="str">
        <f>AM$4</f>
        <v>3Q09</v>
      </c>
      <c r="AN376" s="732"/>
      <c r="AO376" s="734" t="str">
        <f>AO$4</f>
        <v>4Q09</v>
      </c>
      <c r="AP376" s="732"/>
      <c r="AQ376" s="734" t="str">
        <f>AQ$4</f>
        <v>1Q10</v>
      </c>
      <c r="AR376" s="732"/>
      <c r="AS376" s="734" t="str">
        <f>AS$4</f>
        <v>2Q10</v>
      </c>
      <c r="AT376" s="732"/>
      <c r="AU376" s="734" t="str">
        <f>AU$4</f>
        <v>3Q10</v>
      </c>
      <c r="AV376" s="732"/>
      <c r="AW376" s="734" t="str">
        <f>AW$4</f>
        <v>4Q10</v>
      </c>
      <c r="AX376" s="732"/>
      <c r="AY376" s="734" t="str">
        <f>AY$4</f>
        <v>1Q11</v>
      </c>
      <c r="AZ376" s="732"/>
      <c r="BA376" s="734" t="str">
        <f>BA$4</f>
        <v>2Q11</v>
      </c>
      <c r="BB376" s="732"/>
      <c r="BC376" s="734" t="str">
        <f>BC$4</f>
        <v>3Q11</v>
      </c>
      <c r="BD376" s="732"/>
      <c r="BE376" s="734" t="str">
        <f>BE$4</f>
        <v>4Q11</v>
      </c>
      <c r="BF376" s="732"/>
      <c r="BG376" s="734" t="str">
        <f>BG$4</f>
        <v>1Q12</v>
      </c>
      <c r="BH376" s="732"/>
      <c r="BI376" s="734" t="str">
        <f>BI$4</f>
        <v>2Q12</v>
      </c>
      <c r="BJ376" s="732"/>
      <c r="BK376" s="734" t="str">
        <f>BK$4</f>
        <v>3Q12</v>
      </c>
      <c r="BL376" s="732"/>
      <c r="BM376" s="734" t="str">
        <f>BM$4</f>
        <v>4Q12</v>
      </c>
      <c r="BN376" s="732"/>
      <c r="BO376" s="734" t="str">
        <f>BO$4</f>
        <v>1Q13</v>
      </c>
      <c r="BP376" s="732"/>
      <c r="BQ376" s="734" t="str">
        <f>BQ$4</f>
        <v>2Q13</v>
      </c>
      <c r="BR376" s="732"/>
      <c r="BS376" s="734" t="str">
        <f>BS$4</f>
        <v>3Q13</v>
      </c>
      <c r="BT376" s="732"/>
      <c r="BU376" s="734" t="str">
        <f>BU$4</f>
        <v>4Q13</v>
      </c>
      <c r="BV376" s="732"/>
      <c r="BW376" s="734" t="str">
        <f>BW$4</f>
        <v>1Q14</v>
      </c>
      <c r="BX376" s="732"/>
      <c r="BY376" s="734" t="str">
        <f>BY$4</f>
        <v>2Q14</v>
      </c>
      <c r="BZ376" s="732"/>
      <c r="CA376" s="734" t="str">
        <f>CA$4</f>
        <v>3Q14</v>
      </c>
      <c r="CB376" s="732"/>
      <c r="CC376" s="734" t="str">
        <f>CC$4</f>
        <v>4Q14</v>
      </c>
      <c r="CD376" s="732"/>
      <c r="CE376" s="734" t="str">
        <f>CE$4</f>
        <v>1Q15</v>
      </c>
      <c r="CF376" s="732"/>
      <c r="CG376" s="734" t="str">
        <f>CG$4</f>
        <v>2Q15</v>
      </c>
      <c r="CH376" s="732"/>
      <c r="CI376" s="734" t="str">
        <f>CI$4</f>
        <v>3Q15</v>
      </c>
      <c r="CJ376" s="732"/>
      <c r="CK376" s="734" t="str">
        <f>CK$4</f>
        <v>4Q15</v>
      </c>
      <c r="CL376" s="732"/>
      <c r="CM376" s="734" t="str">
        <f t="shared" ref="CM376" si="355">CM$4</f>
        <v>1Q16</v>
      </c>
      <c r="CN376" s="732"/>
      <c r="CO376" s="734" t="str">
        <f t="shared" ref="CO376" si="356">CO$4</f>
        <v>2Q16</v>
      </c>
      <c r="CP376" s="732"/>
      <c r="CQ376" s="734" t="str">
        <f t="shared" ref="CQ376:CS376" si="357">CQ$4</f>
        <v>3Q16</v>
      </c>
      <c r="CR376" s="732"/>
      <c r="CS376" s="734" t="str">
        <f t="shared" si="357"/>
        <v>4Q16</v>
      </c>
      <c r="CT376" s="732"/>
      <c r="CU376" s="734" t="str">
        <f t="shared" ref="CU376" si="358">CU$4</f>
        <v>1Q17</v>
      </c>
      <c r="CV376" s="732"/>
      <c r="CW376" s="734" t="str">
        <f t="shared" ref="CW376" si="359">CW$4</f>
        <v>2Q17</v>
      </c>
      <c r="CX376" s="732"/>
      <c r="CY376" s="734" t="str">
        <f t="shared" ref="CY376:DA376" si="360">CY$4</f>
        <v>3Q17</v>
      </c>
      <c r="CZ376" s="732"/>
      <c r="DA376" s="734" t="str">
        <f t="shared" si="360"/>
        <v>4Q17</v>
      </c>
      <c r="DB376" s="742"/>
      <c r="DC376" s="732"/>
      <c r="DD376" s="741" t="str">
        <f>DD$4</f>
        <v>2000</v>
      </c>
      <c r="DE376" s="732"/>
      <c r="DF376" s="741" t="str">
        <f>DF$4</f>
        <v>2001</v>
      </c>
      <c r="DG376" s="732"/>
      <c r="DH376" s="741" t="str">
        <f>DH$4</f>
        <v>2002</v>
      </c>
      <c r="DI376" s="732"/>
      <c r="DJ376" s="741" t="str">
        <f>DJ$4</f>
        <v>2003</v>
      </c>
      <c r="DK376" s="732"/>
      <c r="DL376" s="734" t="str">
        <f>DL$4</f>
        <v>2004</v>
      </c>
      <c r="DM376" s="732"/>
      <c r="DN376" s="734" t="str">
        <f>DN$4</f>
        <v>2005</v>
      </c>
      <c r="DO376" s="732"/>
      <c r="DP376" s="734">
        <f>DP$4</f>
        <v>2006</v>
      </c>
      <c r="DQ376" s="732"/>
      <c r="DR376" s="734">
        <f>DR$4</f>
        <v>2007</v>
      </c>
      <c r="DS376" s="732"/>
      <c r="DT376" s="734">
        <f>DT$4</f>
        <v>2008</v>
      </c>
      <c r="DU376" s="732"/>
      <c r="DV376" s="734" t="str">
        <f>DV$4</f>
        <v>2009</v>
      </c>
      <c r="DW376" s="732"/>
      <c r="DX376" s="734" t="str">
        <f>DX$4</f>
        <v>2010</v>
      </c>
      <c r="DY376" s="732"/>
      <c r="DZ376" s="734" t="str">
        <f>DZ$4</f>
        <v>2011</v>
      </c>
      <c r="EA376" s="732"/>
      <c r="EB376" s="734" t="str">
        <f>EB$4</f>
        <v>2012</v>
      </c>
      <c r="EC376" s="732"/>
      <c r="ED376" s="734" t="str">
        <f>ED$4</f>
        <v>2013</v>
      </c>
      <c r="EE376" s="732"/>
      <c r="EF376" s="734" t="str">
        <f>EF$4</f>
        <v>2014</v>
      </c>
      <c r="EG376" s="732"/>
      <c r="EH376" s="734" t="str">
        <f>EH$4</f>
        <v>2015</v>
      </c>
      <c r="EI376" s="732"/>
      <c r="EJ376" s="734" t="str">
        <f>EJ$4</f>
        <v>2016</v>
      </c>
      <c r="EK376" s="732"/>
      <c r="EL376" s="734" t="str">
        <f>EL$4</f>
        <v>2017</v>
      </c>
      <c r="EM376" s="732"/>
      <c r="EN376" s="734" t="str">
        <f>EN$4</f>
        <v>2018E</v>
      </c>
      <c r="EO376" s="732"/>
      <c r="EP376" s="734" t="str">
        <f>EP$4</f>
        <v>2019E</v>
      </c>
      <c r="EQ376" s="732"/>
      <c r="ER376" s="734" t="str">
        <f>ER$4</f>
        <v>2020E</v>
      </c>
      <c r="ES376" s="732"/>
      <c r="ET376" s="734" t="str">
        <f>ET$4</f>
        <v>2021E</v>
      </c>
      <c r="EU376" s="741" t="str">
        <f>EU$4</f>
        <v>CAGR</v>
      </c>
      <c r="EV376" s="710"/>
    </row>
    <row r="377" spans="1:152" ht="12.75" hidden="1" customHeight="1" outlineLevel="1" x14ac:dyDescent="0.2">
      <c r="A377" s="743"/>
      <c r="B377" s="744" t="str">
        <f t="shared" ref="B377:CL377" si="361">B$5</f>
        <v>1Q06</v>
      </c>
      <c r="C377" s="745" t="str">
        <f t="shared" si="361"/>
        <v>% Chg</v>
      </c>
      <c r="D377" s="744" t="str">
        <f t="shared" si="361"/>
        <v>2Q06</v>
      </c>
      <c r="E377" s="745" t="str">
        <f t="shared" si="361"/>
        <v>% Chg</v>
      </c>
      <c r="F377" s="744" t="str">
        <f t="shared" si="361"/>
        <v>3Q06</v>
      </c>
      <c r="G377" s="745" t="str">
        <f t="shared" si="361"/>
        <v>% Chg</v>
      </c>
      <c r="H377" s="744" t="str">
        <f t="shared" si="361"/>
        <v>4Q06</v>
      </c>
      <c r="I377" s="746" t="str">
        <f t="shared" si="361"/>
        <v>% Chg</v>
      </c>
      <c r="J377" s="744" t="str">
        <f t="shared" si="361"/>
        <v>1Q07</v>
      </c>
      <c r="K377" s="746" t="str">
        <f t="shared" si="361"/>
        <v>% Chg</v>
      </c>
      <c r="L377" s="744" t="str">
        <f t="shared" si="361"/>
        <v>2Q07</v>
      </c>
      <c r="M377" s="746" t="str">
        <f t="shared" si="361"/>
        <v>% Chg</v>
      </c>
      <c r="N377" s="744" t="str">
        <f t="shared" si="361"/>
        <v>3Q07</v>
      </c>
      <c r="O377" s="746" t="str">
        <f t="shared" si="361"/>
        <v>% Chg</v>
      </c>
      <c r="P377" s="744" t="str">
        <f t="shared" si="361"/>
        <v>4Q07</v>
      </c>
      <c r="Q377" s="746" t="str">
        <f t="shared" si="361"/>
        <v>% Chg</v>
      </c>
      <c r="R377" s="744" t="str">
        <f t="shared" si="361"/>
        <v>1Q08</v>
      </c>
      <c r="S377" s="746" t="str">
        <f t="shared" si="361"/>
        <v>% Chg</v>
      </c>
      <c r="T377" s="744" t="str">
        <f t="shared" si="361"/>
        <v>2Q08</v>
      </c>
      <c r="U377" s="746" t="str">
        <f t="shared" si="361"/>
        <v>% Chg</v>
      </c>
      <c r="V377" s="744" t="str">
        <f t="shared" si="361"/>
        <v>3Q08</v>
      </c>
      <c r="W377" s="746" t="str">
        <f t="shared" si="361"/>
        <v>% Chg</v>
      </c>
      <c r="X377" s="744" t="str">
        <f t="shared" si="361"/>
        <v>4Q08</v>
      </c>
      <c r="Y377" s="746" t="str">
        <f t="shared" si="361"/>
        <v>% Chg</v>
      </c>
      <c r="Z377" s="744" t="str">
        <f t="shared" si="361"/>
        <v>1Q09</v>
      </c>
      <c r="AA377" s="746" t="str">
        <f t="shared" si="361"/>
        <v>% Chg</v>
      </c>
      <c r="AB377" s="744" t="str">
        <f t="shared" si="361"/>
        <v>2Q09</v>
      </c>
      <c r="AC377" s="746" t="str">
        <f t="shared" si="361"/>
        <v>% Chg</v>
      </c>
      <c r="AD377" s="744" t="str">
        <f t="shared" si="361"/>
        <v>3Q09</v>
      </c>
      <c r="AE377" s="746" t="str">
        <f t="shared" si="361"/>
        <v>% Chg</v>
      </c>
      <c r="AF377" s="744" t="str">
        <f t="shared" si="361"/>
        <v>4Q09</v>
      </c>
      <c r="AG377" s="746" t="str">
        <f t="shared" si="361"/>
        <v>% Chg</v>
      </c>
      <c r="AH377" s="744" t="str">
        <f t="shared" si="361"/>
        <v>1Q10</v>
      </c>
      <c r="AI377" s="746" t="str">
        <f t="shared" si="361"/>
        <v>% Chg</v>
      </c>
      <c r="AJ377" s="744" t="str">
        <f t="shared" si="361"/>
        <v>2Q10</v>
      </c>
      <c r="AK377" s="746" t="str">
        <f t="shared" si="361"/>
        <v>% Chg</v>
      </c>
      <c r="AL377" s="744" t="str">
        <f t="shared" si="361"/>
        <v>3Q10</v>
      </c>
      <c r="AM377" s="746" t="str">
        <f t="shared" si="361"/>
        <v>% Chg</v>
      </c>
      <c r="AN377" s="744" t="str">
        <f t="shared" si="361"/>
        <v>4Q10</v>
      </c>
      <c r="AO377" s="746" t="str">
        <f t="shared" si="361"/>
        <v>% Chg</v>
      </c>
      <c r="AP377" s="744" t="str">
        <f t="shared" si="361"/>
        <v>1Q11</v>
      </c>
      <c r="AQ377" s="746" t="str">
        <f t="shared" si="361"/>
        <v>% Chg</v>
      </c>
      <c r="AR377" s="744" t="str">
        <f t="shared" si="361"/>
        <v>2Q11</v>
      </c>
      <c r="AS377" s="746" t="str">
        <f t="shared" si="361"/>
        <v>% Chg</v>
      </c>
      <c r="AT377" s="744" t="str">
        <f t="shared" si="361"/>
        <v>3Q11</v>
      </c>
      <c r="AU377" s="746" t="str">
        <f t="shared" si="361"/>
        <v>% Chg</v>
      </c>
      <c r="AV377" s="744" t="str">
        <f t="shared" si="361"/>
        <v>4Q11</v>
      </c>
      <c r="AW377" s="746" t="str">
        <f t="shared" si="361"/>
        <v>% Chg</v>
      </c>
      <c r="AX377" s="744" t="str">
        <f t="shared" si="361"/>
        <v>1Q12</v>
      </c>
      <c r="AY377" s="746" t="str">
        <f t="shared" si="361"/>
        <v>% Chg</v>
      </c>
      <c r="AZ377" s="744" t="str">
        <f t="shared" si="361"/>
        <v>2Q12</v>
      </c>
      <c r="BA377" s="746" t="str">
        <f t="shared" si="361"/>
        <v>% Chg</v>
      </c>
      <c r="BB377" s="744" t="str">
        <f t="shared" si="361"/>
        <v>3Q12</v>
      </c>
      <c r="BC377" s="746" t="str">
        <f t="shared" si="361"/>
        <v>% Chg</v>
      </c>
      <c r="BD377" s="744" t="str">
        <f t="shared" si="361"/>
        <v>4Q12</v>
      </c>
      <c r="BE377" s="746" t="str">
        <f t="shared" si="361"/>
        <v>% Chg</v>
      </c>
      <c r="BF377" s="744" t="str">
        <f t="shared" si="361"/>
        <v>1Q13</v>
      </c>
      <c r="BG377" s="746" t="str">
        <f t="shared" si="361"/>
        <v>% Chg</v>
      </c>
      <c r="BH377" s="744" t="str">
        <f t="shared" si="361"/>
        <v>2Q13</v>
      </c>
      <c r="BI377" s="746" t="str">
        <f t="shared" si="361"/>
        <v>% Chg</v>
      </c>
      <c r="BJ377" s="744" t="str">
        <f t="shared" si="361"/>
        <v>3Q13</v>
      </c>
      <c r="BK377" s="746" t="str">
        <f t="shared" si="361"/>
        <v>% Chg</v>
      </c>
      <c r="BL377" s="744" t="str">
        <f t="shared" si="361"/>
        <v>4Q13</v>
      </c>
      <c r="BM377" s="746" t="str">
        <f t="shared" si="361"/>
        <v>% Chg</v>
      </c>
      <c r="BN377" s="744" t="str">
        <f t="shared" si="361"/>
        <v>1Q14</v>
      </c>
      <c r="BO377" s="746" t="str">
        <f>BO$5</f>
        <v>% Chg</v>
      </c>
      <c r="BP377" s="744" t="str">
        <f t="shared" si="361"/>
        <v>2Q14</v>
      </c>
      <c r="BQ377" s="746" t="str">
        <f>BQ$5</f>
        <v>% Chg</v>
      </c>
      <c r="BR377" s="744" t="str">
        <f t="shared" si="361"/>
        <v>3Q14</v>
      </c>
      <c r="BS377" s="746" t="str">
        <f>BS$5</f>
        <v>% Chg</v>
      </c>
      <c r="BT377" s="744" t="str">
        <f t="shared" si="361"/>
        <v>4Q14</v>
      </c>
      <c r="BU377" s="746" t="str">
        <f>BU$5</f>
        <v>% Chg</v>
      </c>
      <c r="BV377" s="744" t="str">
        <f t="shared" si="361"/>
        <v>1Q15</v>
      </c>
      <c r="BW377" s="746" t="str">
        <f>BW$5</f>
        <v>% Chg</v>
      </c>
      <c r="BX377" s="744" t="str">
        <f t="shared" si="361"/>
        <v>2Q15</v>
      </c>
      <c r="BY377" s="746" t="str">
        <f>BY$5</f>
        <v>% Chg</v>
      </c>
      <c r="BZ377" s="744" t="str">
        <f t="shared" si="361"/>
        <v>3Q15</v>
      </c>
      <c r="CA377" s="746" t="str">
        <f>CA$5</f>
        <v>% Chg</v>
      </c>
      <c r="CB377" s="744" t="str">
        <f t="shared" si="361"/>
        <v>4Q15</v>
      </c>
      <c r="CC377" s="746" t="str">
        <f>CC$5</f>
        <v>% Chg</v>
      </c>
      <c r="CD377" s="744" t="str">
        <f t="shared" si="361"/>
        <v>1Q16</v>
      </c>
      <c r="CE377" s="746" t="str">
        <f>CE$5</f>
        <v>% Chg</v>
      </c>
      <c r="CF377" s="744" t="str">
        <f t="shared" si="361"/>
        <v>2Q16</v>
      </c>
      <c r="CG377" s="746" t="str">
        <f>CG$5</f>
        <v>% Chg</v>
      </c>
      <c r="CH377" s="744" t="str">
        <f t="shared" si="361"/>
        <v>3Q16</v>
      </c>
      <c r="CI377" s="746" t="str">
        <f>CI$5</f>
        <v>% Chg</v>
      </c>
      <c r="CJ377" s="744" t="str">
        <f t="shared" si="361"/>
        <v>4Q16</v>
      </c>
      <c r="CK377" s="746" t="str">
        <f>CK$5</f>
        <v>% Chg</v>
      </c>
      <c r="CL377" s="744" t="str">
        <f t="shared" si="361"/>
        <v>1Q17</v>
      </c>
      <c r="CM377" s="746" t="str">
        <f t="shared" ref="CM377:DA377" si="362">CM$5</f>
        <v>% Chg</v>
      </c>
      <c r="CN377" s="744" t="str">
        <f t="shared" si="362"/>
        <v>2Q17</v>
      </c>
      <c r="CO377" s="746" t="str">
        <f t="shared" si="362"/>
        <v>% Chg</v>
      </c>
      <c r="CP377" s="744" t="str">
        <f t="shared" si="362"/>
        <v>3Q17</v>
      </c>
      <c r="CQ377" s="746" t="str">
        <f t="shared" si="362"/>
        <v>% Chg</v>
      </c>
      <c r="CR377" s="744" t="str">
        <f t="shared" si="362"/>
        <v>4Q17</v>
      </c>
      <c r="CS377" s="746" t="str">
        <f t="shared" si="362"/>
        <v>% Chg</v>
      </c>
      <c r="CT377" s="744" t="str">
        <f t="shared" si="362"/>
        <v>1Q18E</v>
      </c>
      <c r="CU377" s="746" t="str">
        <f t="shared" si="362"/>
        <v>% Chg</v>
      </c>
      <c r="CV377" s="744" t="str">
        <f t="shared" si="362"/>
        <v>2Q18E</v>
      </c>
      <c r="CW377" s="746" t="str">
        <f t="shared" si="362"/>
        <v>% Chg</v>
      </c>
      <c r="CX377" s="744" t="str">
        <f t="shared" si="362"/>
        <v>3Q18E</v>
      </c>
      <c r="CY377" s="746" t="str">
        <f t="shared" si="362"/>
        <v>% Chg</v>
      </c>
      <c r="CZ377" s="744" t="str">
        <f t="shared" si="362"/>
        <v>4Q18E</v>
      </c>
      <c r="DA377" s="746" t="str">
        <f t="shared" si="362"/>
        <v>% Chg</v>
      </c>
      <c r="DB377" s="747"/>
      <c r="DC377" s="744" t="str">
        <f t="shared" ref="DC377:ET377" si="363">DC$5</f>
        <v>2001</v>
      </c>
      <c r="DD377" s="745" t="str">
        <f t="shared" si="363"/>
        <v>% Chg</v>
      </c>
      <c r="DE377" s="744" t="str">
        <f t="shared" si="363"/>
        <v>2002</v>
      </c>
      <c r="DF377" s="745" t="str">
        <f t="shared" si="363"/>
        <v>% Chg</v>
      </c>
      <c r="DG377" s="744" t="str">
        <f t="shared" si="363"/>
        <v>2003</v>
      </c>
      <c r="DH377" s="745" t="str">
        <f t="shared" si="363"/>
        <v>% Chg</v>
      </c>
      <c r="DI377" s="744" t="str">
        <f t="shared" si="363"/>
        <v>2004</v>
      </c>
      <c r="DJ377" s="745" t="str">
        <f t="shared" si="363"/>
        <v>% Chg</v>
      </c>
      <c r="DK377" s="744" t="str">
        <f t="shared" si="363"/>
        <v>2005</v>
      </c>
      <c r="DL377" s="746" t="str">
        <f t="shared" si="363"/>
        <v>% Chg</v>
      </c>
      <c r="DM377" s="748">
        <f t="shared" si="363"/>
        <v>2006</v>
      </c>
      <c r="DN377" s="746" t="str">
        <f t="shared" si="363"/>
        <v>% Chg</v>
      </c>
      <c r="DO377" s="748">
        <f t="shared" si="363"/>
        <v>2007</v>
      </c>
      <c r="DP377" s="746" t="str">
        <f t="shared" si="363"/>
        <v>% Chg</v>
      </c>
      <c r="DQ377" s="748">
        <f t="shared" si="363"/>
        <v>2008</v>
      </c>
      <c r="DR377" s="746" t="str">
        <f t="shared" si="363"/>
        <v>% Chg</v>
      </c>
      <c r="DS377" s="744" t="str">
        <f t="shared" si="363"/>
        <v>2009</v>
      </c>
      <c r="DT377" s="746" t="str">
        <f t="shared" si="363"/>
        <v>% Chg</v>
      </c>
      <c r="DU377" s="744" t="str">
        <f t="shared" si="363"/>
        <v>2010</v>
      </c>
      <c r="DV377" s="746" t="str">
        <f t="shared" si="363"/>
        <v>% Chg</v>
      </c>
      <c r="DW377" s="744" t="str">
        <f t="shared" si="363"/>
        <v>2011</v>
      </c>
      <c r="DX377" s="746" t="str">
        <f t="shared" si="363"/>
        <v>% Chg</v>
      </c>
      <c r="DY377" s="744" t="str">
        <f t="shared" si="363"/>
        <v>2012</v>
      </c>
      <c r="DZ377" s="746" t="str">
        <f t="shared" si="363"/>
        <v>% Chg</v>
      </c>
      <c r="EA377" s="744" t="str">
        <f t="shared" si="363"/>
        <v>2013</v>
      </c>
      <c r="EB377" s="746" t="str">
        <f t="shared" si="363"/>
        <v>% Chg</v>
      </c>
      <c r="EC377" s="744" t="str">
        <f t="shared" si="363"/>
        <v>2014</v>
      </c>
      <c r="ED377" s="746" t="str">
        <f t="shared" si="363"/>
        <v>% Chg</v>
      </c>
      <c r="EE377" s="744" t="str">
        <f t="shared" si="363"/>
        <v>2015</v>
      </c>
      <c r="EF377" s="746" t="str">
        <f t="shared" si="363"/>
        <v>% Chg</v>
      </c>
      <c r="EG377" s="744" t="str">
        <f t="shared" si="363"/>
        <v>2016</v>
      </c>
      <c r="EH377" s="746" t="str">
        <f t="shared" si="363"/>
        <v>% Chg</v>
      </c>
      <c r="EI377" s="744" t="str">
        <f t="shared" si="363"/>
        <v>2017</v>
      </c>
      <c r="EJ377" s="746" t="str">
        <f t="shared" si="363"/>
        <v>% Chg</v>
      </c>
      <c r="EK377" s="744" t="str">
        <f t="shared" si="363"/>
        <v>2018E</v>
      </c>
      <c r="EL377" s="746" t="str">
        <f t="shared" si="363"/>
        <v>% Chg</v>
      </c>
      <c r="EM377" s="744" t="str">
        <f t="shared" si="363"/>
        <v>2019E</v>
      </c>
      <c r="EN377" s="746" t="str">
        <f t="shared" si="363"/>
        <v>% Chg</v>
      </c>
      <c r="EO377" s="744" t="str">
        <f t="shared" si="363"/>
        <v>2020E</v>
      </c>
      <c r="EP377" s="746" t="str">
        <f t="shared" si="363"/>
        <v>% Chg</v>
      </c>
      <c r="EQ377" s="744" t="str">
        <f t="shared" si="363"/>
        <v>2021E</v>
      </c>
      <c r="ER377" s="746" t="str">
        <f t="shared" si="363"/>
        <v>% Chg</v>
      </c>
      <c r="ES377" s="744" t="str">
        <f t="shared" si="363"/>
        <v>2022E</v>
      </c>
      <c r="ET377" s="746" t="str">
        <f t="shared" si="363"/>
        <v>% Chg</v>
      </c>
      <c r="EU377" s="745" t="str">
        <f>EU$5</f>
        <v>(%)</v>
      </c>
      <c r="EV377" s="710"/>
    </row>
    <row r="378" spans="1:152" ht="12.75" hidden="1" customHeight="1" outlineLevel="1" x14ac:dyDescent="0.2">
      <c r="A378" s="749"/>
      <c r="B378" s="750"/>
      <c r="C378" s="767"/>
      <c r="D378" s="750"/>
      <c r="E378" s="767"/>
      <c r="F378" s="750"/>
      <c r="G378" s="767"/>
      <c r="H378" s="750"/>
      <c r="I378" s="752"/>
      <c r="J378" s="750"/>
      <c r="K378" s="752"/>
      <c r="L378" s="750"/>
      <c r="M378" s="752"/>
      <c r="N378" s="750"/>
      <c r="O378" s="752"/>
      <c r="P378" s="750"/>
      <c r="Q378" s="752"/>
      <c r="R378" s="750"/>
      <c r="S378" s="752"/>
      <c r="T378" s="750"/>
      <c r="U378" s="752"/>
      <c r="V378" s="750"/>
      <c r="W378" s="752"/>
      <c r="X378" s="750"/>
      <c r="Y378" s="752"/>
      <c r="Z378" s="750"/>
      <c r="AA378" s="752"/>
      <c r="AB378" s="750"/>
      <c r="AC378" s="752"/>
      <c r="AD378" s="750"/>
      <c r="AE378" s="752"/>
      <c r="AF378" s="750"/>
      <c r="AG378" s="752"/>
      <c r="AH378" s="750"/>
      <c r="AI378" s="752"/>
      <c r="AJ378" s="750"/>
      <c r="AK378" s="752"/>
      <c r="AL378" s="750"/>
      <c r="AM378" s="752"/>
      <c r="AN378" s="750"/>
      <c r="AO378" s="752"/>
      <c r="AP378" s="750"/>
      <c r="AQ378" s="752"/>
      <c r="AR378" s="750"/>
      <c r="AS378" s="752"/>
      <c r="AT378" s="750"/>
      <c r="AU378" s="752"/>
      <c r="AV378" s="750"/>
      <c r="AW378" s="752"/>
      <c r="AX378" s="750"/>
      <c r="AY378" s="752"/>
      <c r="AZ378" s="750"/>
      <c r="BA378" s="752"/>
      <c r="BB378" s="750"/>
      <c r="BC378" s="752"/>
      <c r="BD378" s="750"/>
      <c r="BE378" s="752"/>
      <c r="BF378" s="750"/>
      <c r="BG378" s="752"/>
      <c r="BH378" s="750"/>
      <c r="BI378" s="752"/>
      <c r="BJ378" s="750"/>
      <c r="BK378" s="752"/>
      <c r="BL378" s="750"/>
      <c r="BM378" s="752"/>
      <c r="BN378" s="750"/>
      <c r="BO378" s="752"/>
      <c r="BP378" s="750"/>
      <c r="BQ378" s="752"/>
      <c r="BR378" s="750"/>
      <c r="BS378" s="752"/>
      <c r="BT378" s="750"/>
      <c r="BU378" s="752"/>
      <c r="BV378" s="750"/>
      <c r="BW378" s="752"/>
      <c r="BX378" s="750"/>
      <c r="BY378" s="752"/>
      <c r="BZ378" s="750"/>
      <c r="CA378" s="752"/>
      <c r="CB378" s="750"/>
      <c r="CC378" s="752"/>
      <c r="CD378" s="750"/>
      <c r="CE378" s="752"/>
      <c r="CF378" s="750"/>
      <c r="CG378" s="752"/>
      <c r="CH378" s="750"/>
      <c r="CI378" s="752"/>
      <c r="CJ378" s="750"/>
      <c r="CK378" s="752"/>
      <c r="CL378" s="750"/>
      <c r="CM378" s="752"/>
      <c r="CN378" s="750"/>
      <c r="CO378" s="752"/>
      <c r="CP378" s="750"/>
      <c r="CQ378" s="752"/>
      <c r="CR378" s="750"/>
      <c r="CS378" s="752"/>
      <c r="CT378" s="750"/>
      <c r="CU378" s="752"/>
      <c r="CV378" s="750"/>
      <c r="CW378" s="752"/>
      <c r="CX378" s="750"/>
      <c r="CY378" s="752"/>
      <c r="CZ378" s="750"/>
      <c r="DA378" s="752"/>
      <c r="DB378" s="753"/>
      <c r="DC378" s="750"/>
      <c r="DD378" s="767"/>
      <c r="DE378" s="750"/>
      <c r="DF378" s="767"/>
      <c r="DG378" s="750"/>
      <c r="DH378" s="767"/>
      <c r="DI378" s="750"/>
      <c r="DJ378" s="767"/>
      <c r="DK378" s="750"/>
      <c r="DL378" s="752"/>
      <c r="DM378" s="750"/>
      <c r="DN378" s="752"/>
      <c r="DO378" s="750"/>
      <c r="DP378" s="752"/>
      <c r="DQ378" s="750"/>
      <c r="DR378" s="752"/>
      <c r="DS378" s="750"/>
      <c r="DT378" s="752"/>
      <c r="DU378" s="750"/>
      <c r="DV378" s="752"/>
      <c r="DW378" s="750"/>
      <c r="DX378" s="752"/>
      <c r="DY378" s="750"/>
      <c r="DZ378" s="752"/>
      <c r="EA378" s="750"/>
      <c r="EB378" s="752"/>
      <c r="EC378" s="750"/>
      <c r="ED378" s="752"/>
      <c r="EE378" s="750"/>
      <c r="EF378" s="752"/>
      <c r="EG378" s="750"/>
      <c r="EH378" s="752"/>
      <c r="EI378" s="750"/>
      <c r="EJ378" s="752"/>
      <c r="EK378" s="750"/>
      <c r="EL378" s="752"/>
      <c r="EM378" s="750"/>
      <c r="EN378" s="752"/>
      <c r="EO378" s="750"/>
      <c r="EP378" s="752"/>
      <c r="EQ378" s="750"/>
      <c r="ER378" s="752"/>
      <c r="ES378" s="750"/>
      <c r="ET378" s="752"/>
      <c r="EU378" s="767"/>
      <c r="EV378" s="710"/>
    </row>
    <row r="379" spans="1:152" ht="12.75" hidden="1" customHeight="1" outlineLevel="1" x14ac:dyDescent="0.2">
      <c r="A379" s="749" t="str">
        <f>'FORECAST-CORE'!A385</f>
        <v>REVENUES</v>
      </c>
      <c r="B379" s="750"/>
      <c r="C379" s="767"/>
      <c r="D379" s="750"/>
      <c r="E379" s="756"/>
      <c r="F379" s="750"/>
      <c r="G379" s="756"/>
      <c r="H379" s="750"/>
      <c r="I379" s="756"/>
      <c r="J379" s="750"/>
      <c r="K379" s="756"/>
      <c r="L379" s="750"/>
      <c r="M379" s="756"/>
      <c r="N379" s="750"/>
      <c r="O379" s="756"/>
      <c r="P379" s="750"/>
      <c r="Q379" s="756"/>
      <c r="R379" s="750"/>
      <c r="S379" s="756"/>
      <c r="T379" s="750"/>
      <c r="U379" s="756"/>
      <c r="V379" s="750"/>
      <c r="W379" s="756"/>
      <c r="X379" s="750"/>
      <c r="Y379" s="756"/>
      <c r="Z379" s="750"/>
      <c r="AA379" s="756"/>
      <c r="AB379" s="750"/>
      <c r="AC379" s="756"/>
      <c r="AD379" s="750"/>
      <c r="AE379" s="756"/>
      <c r="AF379" s="750"/>
      <c r="AG379" s="756"/>
      <c r="AH379" s="750"/>
      <c r="AI379" s="756"/>
      <c r="AJ379" s="750"/>
      <c r="AK379" s="756"/>
      <c r="AL379" s="750"/>
      <c r="AM379" s="756"/>
      <c r="AN379" s="750"/>
      <c r="AO379" s="756"/>
      <c r="AP379" s="750"/>
      <c r="AQ379" s="756"/>
      <c r="AR379" s="750"/>
      <c r="AS379" s="756"/>
      <c r="AT379" s="750"/>
      <c r="AU379" s="756"/>
      <c r="AV379" s="750"/>
      <c r="AW379" s="756"/>
      <c r="AX379" s="750"/>
      <c r="AY379" s="756"/>
      <c r="AZ379" s="750"/>
      <c r="BA379" s="756"/>
      <c r="BB379" s="750"/>
      <c r="BC379" s="756"/>
      <c r="BD379" s="750"/>
      <c r="BE379" s="756"/>
      <c r="BF379" s="750"/>
      <c r="BG379" s="756"/>
      <c r="BH379" s="750"/>
      <c r="BI379" s="756"/>
      <c r="BJ379" s="750"/>
      <c r="BK379" s="756"/>
      <c r="BL379" s="750"/>
      <c r="BM379" s="756"/>
      <c r="BN379" s="750"/>
      <c r="BO379" s="756"/>
      <c r="BP379" s="750"/>
      <c r="BQ379" s="756"/>
      <c r="BR379" s="750"/>
      <c r="BS379" s="756"/>
      <c r="BT379" s="750"/>
      <c r="BU379" s="756"/>
      <c r="BV379" s="750"/>
      <c r="BW379" s="756"/>
      <c r="BX379" s="750"/>
      <c r="BY379" s="756"/>
      <c r="BZ379" s="750"/>
      <c r="CA379" s="756"/>
      <c r="CB379" s="750"/>
      <c r="CC379" s="756"/>
      <c r="CD379" s="750"/>
      <c r="CE379" s="756"/>
      <c r="CF379" s="750"/>
      <c r="CG379" s="756"/>
      <c r="CH379" s="750"/>
      <c r="CI379" s="756"/>
      <c r="CJ379" s="750"/>
      <c r="CK379" s="756"/>
      <c r="CL379" s="750"/>
      <c r="CM379" s="756"/>
      <c r="CN379" s="750"/>
      <c r="CO379" s="756"/>
      <c r="CP379" s="750"/>
      <c r="CQ379" s="756"/>
      <c r="CR379" s="750"/>
      <c r="CS379" s="756"/>
      <c r="CT379" s="750"/>
      <c r="CU379" s="756"/>
      <c r="CV379" s="750"/>
      <c r="CW379" s="756"/>
      <c r="CX379" s="750"/>
      <c r="CY379" s="756"/>
      <c r="CZ379" s="750"/>
      <c r="DA379" s="756"/>
      <c r="DB379" s="750"/>
      <c r="DC379" s="812"/>
      <c r="DD379" s="751"/>
      <c r="DE379" s="812"/>
      <c r="DF379" s="751"/>
      <c r="DG379" s="812"/>
      <c r="DH379" s="751"/>
      <c r="DI379" s="821"/>
      <c r="DJ379" s="751"/>
      <c r="DK379" s="821"/>
      <c r="DL379" s="751"/>
      <c r="DM379" s="821"/>
      <c r="DN379" s="751"/>
      <c r="DO379" s="821"/>
      <c r="DP379" s="751"/>
      <c r="DQ379" s="752"/>
      <c r="DR379" s="751"/>
      <c r="DS379" s="752"/>
      <c r="DT379" s="751"/>
      <c r="DU379" s="752"/>
      <c r="DV379" s="751"/>
      <c r="DW379" s="752"/>
      <c r="DX379" s="751"/>
      <c r="DY379" s="752"/>
      <c r="DZ379" s="751"/>
      <c r="EA379" s="752"/>
      <c r="EB379" s="751"/>
      <c r="EC379" s="752"/>
      <c r="ED379" s="751"/>
      <c r="EE379" s="752"/>
      <c r="EF379" s="751"/>
      <c r="EG379" s="752"/>
      <c r="EH379" s="751"/>
      <c r="EI379" s="752"/>
      <c r="EJ379" s="751"/>
      <c r="EK379" s="752"/>
      <c r="EL379" s="751"/>
      <c r="EM379" s="752"/>
      <c r="EN379" s="751"/>
      <c r="EO379" s="752"/>
      <c r="EP379" s="751"/>
      <c r="EQ379" s="752"/>
      <c r="ER379" s="751"/>
      <c r="ES379" s="752"/>
      <c r="ET379" s="751"/>
      <c r="EU379" s="750"/>
      <c r="EV379" s="752"/>
    </row>
    <row r="380" spans="1:152" ht="12.75" hidden="1" customHeight="1" outlineLevel="1" x14ac:dyDescent="0.2">
      <c r="A380" s="754" t="str">
        <f>'FORECAST-CORE'!A386</f>
        <v>Premium Income</v>
      </c>
      <c r="B380" s="750">
        <f>'FORECAST-CORE'!AH386</f>
        <v>1.2</v>
      </c>
      <c r="C380" s="751">
        <f>'FORECAST-CORE'!AI386</f>
        <v>-14.285714285714279</v>
      </c>
      <c r="D380" s="750">
        <f>'FORECAST-CORE'!AJ386</f>
        <v>1.2</v>
      </c>
      <c r="E380" s="751">
        <f>'FORECAST-CORE'!AK386</f>
        <v>0</v>
      </c>
      <c r="F380" s="750">
        <f>'FORECAST-CORE'!AL386</f>
        <v>0.1</v>
      </c>
      <c r="G380" s="751" t="str">
        <f>'FORECAST-CORE'!AM386</f>
        <v>NM</v>
      </c>
      <c r="H380" s="750">
        <f>'FORECAST-CORE'!AN386</f>
        <v>2</v>
      </c>
      <c r="I380" s="751" t="str">
        <f>'FORECAST-CORE'!AO386</f>
        <v>NM</v>
      </c>
      <c r="J380" s="750">
        <f>'FORECAST-CORE'!AP386</f>
        <v>1.1000000000000001</v>
      </c>
      <c r="K380" s="751">
        <f>'FORECAST-CORE'!AQ386</f>
        <v>-44.999999999999993</v>
      </c>
      <c r="L380" s="750">
        <f>'FORECAST-CORE'!AR386</f>
        <v>-0.2</v>
      </c>
      <c r="M380" s="751" t="str">
        <f>'FORECAST-CORE'!AS386</f>
        <v>NM</v>
      </c>
      <c r="N380" s="750">
        <f>'FORECAST-CORE'!AT386</f>
        <v>0.6</v>
      </c>
      <c r="O380" s="751" t="str">
        <f>'FORECAST-CORE'!AU386</f>
        <v>NM</v>
      </c>
      <c r="P380" s="750">
        <f>'FORECAST-CORE'!AV386</f>
        <v>0.2</v>
      </c>
      <c r="Q380" s="751" t="str">
        <f>'FORECAST-CORE'!AW386</f>
        <v>NM</v>
      </c>
      <c r="R380" s="750">
        <f>'FORECAST-CORE'!AX386</f>
        <v>0.7</v>
      </c>
      <c r="S380" s="751" t="str">
        <f>'FORECAST-CORE'!AY386</f>
        <v>NM</v>
      </c>
      <c r="T380" s="750">
        <f>'FORECAST-CORE'!AZ386</f>
        <v>0.2</v>
      </c>
      <c r="U380" s="751" t="str">
        <f>'FORECAST-CORE'!BA386</f>
        <v>NM</v>
      </c>
      <c r="V380" s="750">
        <f>'FORECAST-CORE'!BB386</f>
        <v>0</v>
      </c>
      <c r="W380" s="751" t="str">
        <f>'FORECAST-CORE'!BC386</f>
        <v>NM</v>
      </c>
      <c r="X380" s="750">
        <f>'FORECAST-CORE'!BD386</f>
        <v>0.5</v>
      </c>
      <c r="Y380" s="751" t="str">
        <f>'FORECAST-CORE'!BE386</f>
        <v>NA</v>
      </c>
      <c r="Z380" s="750">
        <f>'FORECAST-CORE'!BF386</f>
        <v>0.5</v>
      </c>
      <c r="AA380" s="751">
        <f>'FORECAST-CORE'!BG386</f>
        <v>0</v>
      </c>
      <c r="AB380" s="750">
        <f>'FORECAST-CORE'!BH386</f>
        <v>0</v>
      </c>
      <c r="AC380" s="751" t="str">
        <f>'FORECAST-CORE'!BI386</f>
        <v>NM</v>
      </c>
      <c r="AD380" s="750">
        <f>'FORECAST-CORE'!BJ386</f>
        <v>1.2</v>
      </c>
      <c r="AE380" s="751" t="str">
        <f>'FORECAST-CORE'!BK386</f>
        <v>NA</v>
      </c>
      <c r="AF380" s="750">
        <f>'FORECAST-CORE'!BL386</f>
        <v>1</v>
      </c>
      <c r="AG380" s="751">
        <f>'FORECAST-CORE'!BM386</f>
        <v>-16.666666666666664</v>
      </c>
      <c r="AH380" s="750">
        <f>'FORECAST-CORE'!BN386</f>
        <v>0</v>
      </c>
      <c r="AI380" s="751" t="str">
        <f>'FORECAST-CORE'!BO386</f>
        <v>NM</v>
      </c>
      <c r="AJ380" s="750">
        <f>'FORECAST-CORE'!BP386</f>
        <v>0</v>
      </c>
      <c r="AK380" s="751" t="str">
        <f>'FORECAST-CORE'!BQ386</f>
        <v>NA</v>
      </c>
      <c r="AL380" s="750">
        <f>'FORECAST-CORE'!BR386</f>
        <v>0</v>
      </c>
      <c r="AM380" s="751" t="str">
        <f>'FORECAST-CORE'!BS386</f>
        <v>NA</v>
      </c>
      <c r="AN380" s="750">
        <f>'FORECAST-CORE'!BT386</f>
        <v>0</v>
      </c>
      <c r="AO380" s="751" t="str">
        <f>'FORECAST-CORE'!BU386</f>
        <v>NA</v>
      </c>
      <c r="AP380" s="750">
        <f>'FORECAST-CORE'!BV386</f>
        <v>0</v>
      </c>
      <c r="AQ380" s="751" t="str">
        <f>'FORECAST-CORE'!BW386</f>
        <v>NA</v>
      </c>
      <c r="AR380" s="750">
        <f>'FORECAST-CORE'!BX386</f>
        <v>0</v>
      </c>
      <c r="AS380" s="751" t="str">
        <f>'FORECAST-CORE'!BY386</f>
        <v>NA</v>
      </c>
      <c r="AT380" s="750">
        <f>'FORECAST-CORE'!BZ386</f>
        <v>0</v>
      </c>
      <c r="AU380" s="751" t="str">
        <f>'FORECAST-CORE'!CA386</f>
        <v>NA</v>
      </c>
      <c r="AV380" s="750">
        <f>'FORECAST-CORE'!CB386</f>
        <v>0</v>
      </c>
      <c r="AW380" s="751" t="str">
        <f>'FORECAST-CORE'!CC386</f>
        <v>NA</v>
      </c>
      <c r="AX380" s="750">
        <f>'FORECAST-CORE'!CD386</f>
        <v>0</v>
      </c>
      <c r="AY380" s="751" t="str">
        <f>'FORECAST-CORE'!CE386</f>
        <v>NA</v>
      </c>
      <c r="AZ380" s="750">
        <f>'FORECAST-CORE'!CF386</f>
        <v>0</v>
      </c>
      <c r="BA380" s="751" t="str">
        <f>'FORECAST-CORE'!CG386</f>
        <v>NA</v>
      </c>
      <c r="BB380" s="750">
        <f>'FORECAST-CORE'!CH386</f>
        <v>0</v>
      </c>
      <c r="BC380" s="751" t="str">
        <f>'FORECAST-CORE'!CI386</f>
        <v>NA</v>
      </c>
      <c r="BD380" s="750">
        <f>'FORECAST-CORE'!CJ386</f>
        <v>0</v>
      </c>
      <c r="BE380" s="751" t="str">
        <f>'FORECAST-CORE'!CK386</f>
        <v>NA</v>
      </c>
      <c r="BF380" s="750">
        <f>'FORECAST-CORE'!CL386</f>
        <v>0</v>
      </c>
      <c r="BG380" s="751" t="str">
        <f>'FORECAST-CORE'!CM386</f>
        <v>NA</v>
      </c>
      <c r="BH380" s="750">
        <f>'FORECAST-CORE'!CN386</f>
        <v>0</v>
      </c>
      <c r="BI380" s="751" t="str">
        <f>'FORECAST-CORE'!CO386</f>
        <v>NA</v>
      </c>
      <c r="BJ380" s="750">
        <f>'FORECAST-CORE'!CP386</f>
        <v>0</v>
      </c>
      <c r="BK380" s="751" t="str">
        <f>'FORECAST-CORE'!CQ386</f>
        <v>NA</v>
      </c>
      <c r="BL380" s="750">
        <f>'FORECAST-CORE'!CR386</f>
        <v>0</v>
      </c>
      <c r="BM380" s="751" t="str">
        <f>'FORECAST-CORE'!CS386</f>
        <v>NA</v>
      </c>
      <c r="BN380" s="750">
        <f>'FORECAST-CORE'!EH386</f>
        <v>0</v>
      </c>
      <c r="BO380" s="751">
        <f>'FORECAST-CORE'!EI386</f>
        <v>0</v>
      </c>
      <c r="BP380" s="750">
        <f>'FORECAST-CORE'!EJ386</f>
        <v>0</v>
      </c>
      <c r="BQ380" s="751">
        <f>'FORECAST-CORE'!EK386</f>
        <v>37.6</v>
      </c>
      <c r="BR380" s="750" t="str">
        <f>'FORECAST-CORE'!EL386</f>
        <v>NA</v>
      </c>
      <c r="BS380" s="751">
        <f>'FORECAST-CORE'!EM386</f>
        <v>34.299999999999997</v>
      </c>
      <c r="BT380" s="750">
        <f>'FORECAST-CORE'!EN386</f>
        <v>-8.7765957446808596</v>
      </c>
      <c r="BU380" s="751">
        <f>'FORECAST-CORE'!EO386</f>
        <v>31.299999999999997</v>
      </c>
      <c r="BV380" s="750">
        <f>'FORECAST-CORE'!EP386</f>
        <v>-8.7463556851311903</v>
      </c>
      <c r="BW380" s="751">
        <f>'FORECAST-CORE'!EQ386</f>
        <v>2.5999999999999996</v>
      </c>
      <c r="BX380" s="750" t="str">
        <f>'FORECAST-CORE'!ER386</f>
        <v>NM</v>
      </c>
      <c r="BY380" s="751">
        <f>'FORECAST-CORE'!ES386</f>
        <v>4.5</v>
      </c>
      <c r="BZ380" s="750">
        <f>'FORECAST-CORE'!ET386</f>
        <v>73.076923076923109</v>
      </c>
      <c r="CA380" s="751">
        <f>'FORECAST-CORE'!EU386</f>
        <v>1.7</v>
      </c>
      <c r="CB380" s="750" t="str">
        <f>'FORECAST-CORE'!EV386</f>
        <v>NM</v>
      </c>
      <c r="CC380" s="751">
        <f>'FORECAST-CORE'!EW386</f>
        <v>1.4</v>
      </c>
      <c r="CD380" s="750">
        <f>'FORECAST-CORE'!EX386</f>
        <v>-17.647058823529417</v>
      </c>
      <c r="CE380" s="751">
        <f>'FORECAST-CORE'!EY386</f>
        <v>0</v>
      </c>
      <c r="CF380" s="750" t="str">
        <f>'FORECAST-CORE'!EZ386</f>
        <v>NM</v>
      </c>
      <c r="CG380" s="751">
        <f>'FORECAST-CORE'!FA386</f>
        <v>0</v>
      </c>
      <c r="CH380" s="750" t="str">
        <f>'FORECAST-CORE'!FB386</f>
        <v>NA</v>
      </c>
      <c r="CI380" s="751">
        <f>'FORECAST-CORE'!FC386</f>
        <v>0</v>
      </c>
      <c r="CJ380" s="750" t="str">
        <f>'FORECAST-CORE'!FD386</f>
        <v>NA</v>
      </c>
      <c r="CK380" s="751">
        <f>'FORECAST-CORE'!FE386</f>
        <v>0</v>
      </c>
      <c r="CL380" s="750" t="str">
        <f>'FORECAST-CORE'!FF386</f>
        <v>NA</v>
      </c>
      <c r="CM380" s="751">
        <f>'FORECAST-CORE'!FG386</f>
        <v>0</v>
      </c>
      <c r="CN380" s="750" t="str">
        <f>'FORECAST-CORE'!FH386</f>
        <v>NA</v>
      </c>
      <c r="CO380" s="751">
        <f>'FORECAST-CORE'!FI386</f>
        <v>0</v>
      </c>
      <c r="CP380" s="750" t="str">
        <f>'FORECAST-CORE'!FJ386</f>
        <v>NA</v>
      </c>
      <c r="CQ380" s="751">
        <f>'FORECAST-CORE'!FK386</f>
        <v>0</v>
      </c>
      <c r="CR380" s="750" t="str">
        <f>'FORECAST-CORE'!FL386</f>
        <v>NA</v>
      </c>
      <c r="CS380" s="751">
        <f>'FORECAST-CORE'!FM386</f>
        <v>0</v>
      </c>
      <c r="CT380" s="750" t="str">
        <f>'FORECAST-CORE'!FN386</f>
        <v>NA</v>
      </c>
      <c r="CU380" s="751">
        <f>'FORECAST-CORE'!FO386</f>
        <v>0</v>
      </c>
      <c r="CV380" s="750" t="str">
        <f>'FORECAST-CORE'!FP386</f>
        <v>NA</v>
      </c>
      <c r="CW380" s="751">
        <f>'FORECAST-CORE'!FQ386</f>
        <v>0</v>
      </c>
      <c r="CX380" s="750" t="str">
        <f>'FORECAST-CORE'!FR386</f>
        <v>NA</v>
      </c>
      <c r="CY380" s="751">
        <f>'FORECAST-CORE'!FS386</f>
        <v>0</v>
      </c>
      <c r="CZ380" s="750" t="str">
        <f>'FORECAST-CORE'!FT386</f>
        <v>NA</v>
      </c>
      <c r="DA380" s="751">
        <f>'FORECAST-CORE'!FU386</f>
        <v>0</v>
      </c>
      <c r="DB380" s="750"/>
      <c r="DC380" s="750"/>
      <c r="DD380" s="751"/>
      <c r="DE380" s="750">
        <f>'FORECAST-CORE'!EK386</f>
        <v>37.6</v>
      </c>
      <c r="DF380" s="751" t="str">
        <f>'FORECAST-CORE'!EL386</f>
        <v>NA</v>
      </c>
      <c r="DG380" s="750">
        <f>'FORECAST-CORE'!EM386</f>
        <v>34.299999999999997</v>
      </c>
      <c r="DH380" s="751">
        <f>'FORECAST-CORE'!EN386</f>
        <v>-8.7765957446808596</v>
      </c>
      <c r="DI380" s="750">
        <f>'FORECAST-CORE'!EO386</f>
        <v>31.299999999999997</v>
      </c>
      <c r="DJ380" s="751">
        <f>'FORECAST-CORE'!EP386</f>
        <v>-8.7463556851311903</v>
      </c>
      <c r="DK380" s="750">
        <f>'FORECAST-CORE'!EQ386</f>
        <v>2.5999999999999996</v>
      </c>
      <c r="DL380" s="751" t="str">
        <f>'FORECAST-CORE'!ER386</f>
        <v>NM</v>
      </c>
      <c r="DM380" s="750">
        <f>'FORECAST-CORE'!ES386</f>
        <v>4.5</v>
      </c>
      <c r="DN380" s="751">
        <f>'FORECAST-CORE'!ET386</f>
        <v>73.076923076923109</v>
      </c>
      <c r="DO380" s="750">
        <f>'FORECAST-CORE'!EU386</f>
        <v>1.7</v>
      </c>
      <c r="DP380" s="751" t="str">
        <f>'FORECAST-CORE'!EV386</f>
        <v>NM</v>
      </c>
      <c r="DQ380" s="750">
        <f>'FORECAST-CORE'!EW386</f>
        <v>1.4</v>
      </c>
      <c r="DR380" s="751">
        <f>'FORECAST-CORE'!EX386</f>
        <v>-17.647058823529417</v>
      </c>
      <c r="DS380" s="750">
        <f>'FORECAST-CORE'!EY386</f>
        <v>0</v>
      </c>
      <c r="DT380" s="751" t="str">
        <f>'FORECAST-CORE'!EZ386</f>
        <v>NM</v>
      </c>
      <c r="DU380" s="750">
        <f>'FORECAST-CORE'!FA386</f>
        <v>0</v>
      </c>
      <c r="DV380" s="751" t="str">
        <f>'FORECAST-CORE'!FB386</f>
        <v>NA</v>
      </c>
      <c r="DW380" s="750">
        <f>'FORECAST-CORE'!FC386</f>
        <v>0</v>
      </c>
      <c r="DX380" s="751" t="str">
        <f>'FORECAST-CORE'!FD386</f>
        <v>NA</v>
      </c>
      <c r="DY380" s="750">
        <f>'FORECAST-CORE'!FE386</f>
        <v>0</v>
      </c>
      <c r="DZ380" s="751" t="str">
        <f>'FORECAST-CORE'!FF386</f>
        <v>NA</v>
      </c>
      <c r="EA380" s="750">
        <f>'FORECAST-CORE'!FG386</f>
        <v>0</v>
      </c>
      <c r="EB380" s="751" t="str">
        <f>'FORECAST-CORE'!FH386</f>
        <v>NA</v>
      </c>
      <c r="EC380" s="750">
        <f>'FORECAST-CORE'!FI386</f>
        <v>0</v>
      </c>
      <c r="ED380" s="751" t="str">
        <f>'FORECAST-CORE'!FJ386</f>
        <v>NA</v>
      </c>
      <c r="EE380" s="750">
        <f>'FORECAST-CORE'!FK386</f>
        <v>0</v>
      </c>
      <c r="EF380" s="751" t="str">
        <f>'FORECAST-CORE'!FL386</f>
        <v>NA</v>
      </c>
      <c r="EG380" s="750">
        <f>'FORECAST-CORE'!FM386</f>
        <v>0</v>
      </c>
      <c r="EH380" s="751" t="str">
        <f>'FORECAST-CORE'!FN386</f>
        <v>NA</v>
      </c>
      <c r="EI380" s="750">
        <f>'FORECAST-CORE'!FO386</f>
        <v>0</v>
      </c>
      <c r="EJ380" s="751" t="str">
        <f>'FORECAST-CORE'!FP386</f>
        <v>NA</v>
      </c>
      <c r="EK380" s="750">
        <f>'FORECAST-CORE'!FQ386</f>
        <v>0</v>
      </c>
      <c r="EL380" s="751" t="str">
        <f>'FORECAST-CORE'!FR386</f>
        <v>NA</v>
      </c>
      <c r="EM380" s="750">
        <f>'FORECAST-CORE'!GC386</f>
        <v>0</v>
      </c>
      <c r="EN380" s="751">
        <f>'FORECAST-CORE'!GD386</f>
        <v>0</v>
      </c>
      <c r="EO380" s="750">
        <f>'FORECAST-CORE'!GE386</f>
        <v>0</v>
      </c>
      <c r="EP380" s="751">
        <f>'FORECAST-CORE'!GF386</f>
        <v>0</v>
      </c>
      <c r="EQ380" s="750">
        <f>'FORECAST-CORE'!GG386</f>
        <v>0</v>
      </c>
      <c r="ER380" s="751">
        <f>'FORECAST-CORE'!GH386</f>
        <v>0</v>
      </c>
      <c r="ES380" s="750">
        <f>'FORECAST-CORE'!GI386</f>
        <v>0</v>
      </c>
      <c r="ET380" s="751">
        <f>'FORECAST-CORE'!GJ386</f>
        <v>0</v>
      </c>
      <c r="EU380" s="750" t="str">
        <f>'FORECAST-CORE'!GA386</f>
        <v>NA</v>
      </c>
      <c r="EV380" s="752"/>
    </row>
    <row r="381" spans="1:152" ht="12.75" hidden="1" customHeight="1" outlineLevel="1" x14ac:dyDescent="0.2">
      <c r="A381" s="754" t="str">
        <f>'FORECAST-CORE'!A387</f>
        <v>Net Investment Income</v>
      </c>
      <c r="B381" s="750">
        <f>'FORECAST-CORE'!AH387</f>
        <v>38.299999999999997</v>
      </c>
      <c r="C381" s="751">
        <f>'FORECAST-CORE'!AI387</f>
        <v>9.4285714285714306</v>
      </c>
      <c r="D381" s="750">
        <f>'FORECAST-CORE'!AJ387</f>
        <v>35.4</v>
      </c>
      <c r="E381" s="751">
        <f>'FORECAST-CORE'!AK387</f>
        <v>-7.5718015665796283</v>
      </c>
      <c r="F381" s="750">
        <f>'FORECAST-CORE'!AL387</f>
        <v>35.5</v>
      </c>
      <c r="G381" s="751">
        <f>'FORECAST-CORE'!AM387</f>
        <v>0.28248587570622874</v>
      </c>
      <c r="H381" s="750">
        <f>'FORECAST-CORE'!AN387</f>
        <v>31.400000000000002</v>
      </c>
      <c r="I381" s="751">
        <f>'FORECAST-CORE'!AO387</f>
        <v>-11.549295774647883</v>
      </c>
      <c r="J381" s="750">
        <f>'FORECAST-CORE'!AP387</f>
        <v>38.699999999999996</v>
      </c>
      <c r="K381" s="751">
        <f>'FORECAST-CORE'!AQ387</f>
        <v>23.248407643312085</v>
      </c>
      <c r="L381" s="750">
        <f>'FORECAST-CORE'!AR387</f>
        <v>40.499999999999993</v>
      </c>
      <c r="M381" s="751">
        <f>'FORECAST-CORE'!AS387</f>
        <v>4.6511627906976605</v>
      </c>
      <c r="N381" s="750">
        <f>'FORECAST-CORE'!AT387</f>
        <v>42.1</v>
      </c>
      <c r="O381" s="751">
        <f>'FORECAST-CORE'!AU387</f>
        <v>3.9506172839506304</v>
      </c>
      <c r="P381" s="750">
        <f>'FORECAST-CORE'!AV387</f>
        <v>54.699999999999996</v>
      </c>
      <c r="Q381" s="751">
        <f>'FORECAST-CORE'!AW387</f>
        <v>29.928741092636567</v>
      </c>
      <c r="R381" s="750">
        <f>'FORECAST-CORE'!AX387</f>
        <v>56.1</v>
      </c>
      <c r="S381" s="751">
        <f>'FORECAST-CORE'!AY387</f>
        <v>2.5594149908592323</v>
      </c>
      <c r="T381" s="750">
        <f>'FORECAST-CORE'!AZ387</f>
        <v>50.3</v>
      </c>
      <c r="U381" s="751">
        <f>'FORECAST-CORE'!BA387</f>
        <v>-10.338680926916233</v>
      </c>
      <c r="V381" s="750">
        <f>'FORECAST-CORE'!BB387</f>
        <v>48.8</v>
      </c>
      <c r="W381" s="751">
        <f>'FORECAST-CORE'!BC387</f>
        <v>-2.9821073558648159</v>
      </c>
      <c r="X381" s="750">
        <f>'FORECAST-CORE'!BD387</f>
        <v>42.3</v>
      </c>
      <c r="Y381" s="751">
        <f>'FORECAST-CORE'!BE387</f>
        <v>-13.319672131147541</v>
      </c>
      <c r="Z381" s="750">
        <f>'FORECAST-CORE'!BF387</f>
        <v>41.5</v>
      </c>
      <c r="AA381" s="751">
        <f>'FORECAST-CORE'!BG387</f>
        <v>-1.8912529550827339</v>
      </c>
      <c r="AB381" s="750">
        <f>'FORECAST-CORE'!BH387</f>
        <v>43.4</v>
      </c>
      <c r="AC381" s="751">
        <f>'FORECAST-CORE'!BI387</f>
        <v>4.5783132530120341</v>
      </c>
      <c r="AD381" s="750">
        <f>'FORECAST-CORE'!BJ387</f>
        <v>40.5</v>
      </c>
      <c r="AE381" s="751">
        <f>'FORECAST-CORE'!BK387</f>
        <v>-6.6820276497695836</v>
      </c>
      <c r="AF381" s="750">
        <f>'FORECAST-CORE'!BL387</f>
        <v>41.3</v>
      </c>
      <c r="AG381" s="751">
        <f>'FORECAST-CORE'!BM387</f>
        <v>1.9753086419753041</v>
      </c>
      <c r="AH381" s="750">
        <f>'FORECAST-CORE'!BN387</f>
        <v>23.2</v>
      </c>
      <c r="AI381" s="751">
        <f>'FORECAST-CORE'!BO387</f>
        <v>-43.825665859564168</v>
      </c>
      <c r="AJ381" s="750">
        <f>'FORECAST-CORE'!BP387</f>
        <v>26.6</v>
      </c>
      <c r="AK381" s="751">
        <f>'FORECAST-CORE'!BQ387</f>
        <v>14.655172413793105</v>
      </c>
      <c r="AL381" s="750">
        <f>'FORECAST-CORE'!BR387</f>
        <v>24.6</v>
      </c>
      <c r="AM381" s="751">
        <f>'FORECAST-CORE'!BS387</f>
        <v>-7.518796992481203</v>
      </c>
      <c r="AN381" s="750">
        <f>'FORECAST-CORE'!BT387</f>
        <v>20.2</v>
      </c>
      <c r="AO381" s="751">
        <f>'FORECAST-CORE'!BU387</f>
        <v>-17.886178861788625</v>
      </c>
      <c r="AP381" s="750">
        <f>'FORECAST-CORE'!BV387</f>
        <v>14.5</v>
      </c>
      <c r="AQ381" s="751">
        <f>'FORECAST-CORE'!BW387</f>
        <v>-28.21782178217822</v>
      </c>
      <c r="AR381" s="750">
        <f>'FORECAST-CORE'!BX387</f>
        <v>16.8</v>
      </c>
      <c r="AS381" s="751">
        <f>'FORECAST-CORE'!BY387</f>
        <v>15.862068965517251</v>
      </c>
      <c r="AT381" s="750">
        <f>'FORECAST-CORE'!BZ387</f>
        <v>13.3</v>
      </c>
      <c r="AU381" s="751">
        <f>'FORECAST-CORE'!CA387</f>
        <v>-20.833333333333336</v>
      </c>
      <c r="AV381" s="750">
        <f>'FORECAST-CORE'!CB387</f>
        <v>11.6</v>
      </c>
      <c r="AW381" s="751">
        <f>'FORECAST-CORE'!CC387</f>
        <v>-12.781954887218049</v>
      </c>
      <c r="AX381" s="750">
        <f>'FORECAST-CORE'!CD387</f>
        <v>7.2</v>
      </c>
      <c r="AY381" s="751">
        <f>'FORECAST-CORE'!CE387</f>
        <v>-37.931034482758619</v>
      </c>
      <c r="AZ381" s="750">
        <f>'FORECAST-CORE'!CF387</f>
        <v>8.9</v>
      </c>
      <c r="BA381" s="751">
        <f>'FORECAST-CORE'!CG387</f>
        <v>23.611111111111114</v>
      </c>
      <c r="BB381" s="750">
        <f>'FORECAST-CORE'!CH387</f>
        <v>6.9</v>
      </c>
      <c r="BC381" s="751">
        <f>'FORECAST-CORE'!CI387</f>
        <v>-22.471910112359549</v>
      </c>
      <c r="BD381" s="750">
        <f>'FORECAST-CORE'!CJ387</f>
        <v>0</v>
      </c>
      <c r="BE381" s="751" t="str">
        <f>'FORECAST-CORE'!CK387</f>
        <v>NM</v>
      </c>
      <c r="BF381" s="750">
        <f>'FORECAST-CORE'!CL387</f>
        <v>9.3000000000000007</v>
      </c>
      <c r="BG381" s="751" t="str">
        <f>'FORECAST-CORE'!CM387</f>
        <v>NA</v>
      </c>
      <c r="BH381" s="750">
        <f>'FORECAST-CORE'!CN387</f>
        <v>6.7</v>
      </c>
      <c r="BI381" s="751">
        <f>'FORECAST-CORE'!CO387</f>
        <v>-27.956989247311835</v>
      </c>
      <c r="BJ381" s="750">
        <f>'FORECAST-CORE'!CP387</f>
        <v>7.9</v>
      </c>
      <c r="BK381" s="751">
        <f>'FORECAST-CORE'!CQ387</f>
        <v>17.910447761194035</v>
      </c>
      <c r="BL381" s="750">
        <f>'FORECAST-CORE'!CR387</f>
        <v>0.8</v>
      </c>
      <c r="BM381" s="751" t="str">
        <f>'FORECAST-CORE'!CS387</f>
        <v>NM</v>
      </c>
      <c r="BN381" s="750">
        <f>'FORECAST-CORE'!EH387</f>
        <v>0</v>
      </c>
      <c r="BO381" s="751">
        <f>'FORECAST-CORE'!EI387</f>
        <v>0</v>
      </c>
      <c r="BP381" s="750">
        <f>'FORECAST-CORE'!EJ387</f>
        <v>0</v>
      </c>
      <c r="BQ381" s="751">
        <f>'FORECAST-CORE'!EK387</f>
        <v>159.1</v>
      </c>
      <c r="BR381" s="750" t="str">
        <f>'FORECAST-CORE'!EL387</f>
        <v>NA</v>
      </c>
      <c r="BS381" s="751">
        <f>'FORECAST-CORE'!EM387</f>
        <v>163.70000000000002</v>
      </c>
      <c r="BT381" s="750">
        <f>'FORECAST-CORE'!EN387</f>
        <v>2.8912633563796586</v>
      </c>
      <c r="BU381" s="751">
        <f>'FORECAST-CORE'!EO387</f>
        <v>159.70000000000002</v>
      </c>
      <c r="BV381" s="750">
        <f>'FORECAST-CORE'!EP387</f>
        <v>-2.4434941967012791</v>
      </c>
      <c r="BW381" s="751">
        <f>'FORECAST-CORE'!EQ387</f>
        <v>164.9</v>
      </c>
      <c r="BX381" s="750">
        <f>'FORECAST-CORE'!ER387</f>
        <v>3.2561051972448185</v>
      </c>
      <c r="BY381" s="751">
        <f>'FORECAST-CORE'!ES387</f>
        <v>140.6</v>
      </c>
      <c r="BZ381" s="750">
        <f>'FORECAST-CORE'!ET387</f>
        <v>-14.73620375985446</v>
      </c>
      <c r="CA381" s="751">
        <f>'FORECAST-CORE'!EU387</f>
        <v>175.99999999999997</v>
      </c>
      <c r="CB381" s="750">
        <f>'FORECAST-CORE'!EV387</f>
        <v>25.177809388335692</v>
      </c>
      <c r="CC381" s="751">
        <f>'FORECAST-CORE'!EW387</f>
        <v>197.5</v>
      </c>
      <c r="CD381" s="750">
        <f>'FORECAST-CORE'!EX387</f>
        <v>12.215909090909104</v>
      </c>
      <c r="CE381" s="751">
        <f>'FORECAST-CORE'!EY387</f>
        <v>66.7</v>
      </c>
      <c r="CF381" s="750" t="str">
        <f>'FORECAST-CORE'!EZ387</f>
        <v>NM</v>
      </c>
      <c r="CG381" s="751">
        <f>'FORECAST-CORE'!FA387</f>
        <v>94.600000000000009</v>
      </c>
      <c r="CH381" s="750">
        <f>'FORECAST-CORE'!FB387</f>
        <v>41.829085457271376</v>
      </c>
      <c r="CI381" s="751">
        <f>'FORECAST-CORE'!FC387</f>
        <v>56.2</v>
      </c>
      <c r="CJ381" s="750">
        <f>'FORECAST-CORE'!FD387</f>
        <v>-40.591966173361527</v>
      </c>
      <c r="CK381" s="751">
        <f>'FORECAST-CORE'!FE387</f>
        <v>45.1</v>
      </c>
      <c r="CL381" s="750">
        <f>'FORECAST-CORE'!FF387</f>
        <v>-19.7508896797153</v>
      </c>
      <c r="CM381" s="751">
        <f>'FORECAST-CORE'!FG387</f>
        <v>24.7</v>
      </c>
      <c r="CN381" s="750">
        <f>'FORECAST-CORE'!FH387</f>
        <v>-45.23281596452329</v>
      </c>
      <c r="CO381" s="751">
        <f>'FORECAST-CORE'!FI387</f>
        <v>35.299999999999997</v>
      </c>
      <c r="CP381" s="750">
        <f>'FORECAST-CORE'!FJ387</f>
        <v>42.914979757085007</v>
      </c>
      <c r="CQ381" s="751">
        <f>'FORECAST-CORE'!FK387</f>
        <v>25.599999999999998</v>
      </c>
      <c r="CR381" s="750">
        <f>'FORECAST-CORE'!FL387</f>
        <v>-27.478753541076482</v>
      </c>
      <c r="CS381" s="751">
        <f>'FORECAST-CORE'!FM387</f>
        <v>18.5</v>
      </c>
      <c r="CT381" s="750">
        <f>'FORECAST-CORE'!FN387</f>
        <v>-27.734374999999989</v>
      </c>
      <c r="CU381" s="751">
        <f>'FORECAST-CORE'!FO387</f>
        <v>21.4</v>
      </c>
      <c r="CV381" s="750">
        <f>'FORECAST-CORE'!FP387</f>
        <v>15.67567567567567</v>
      </c>
      <c r="CW381" s="751">
        <f>'FORECAST-CORE'!FQ387</f>
        <v>25.92</v>
      </c>
      <c r="CX381" s="750">
        <f>'FORECAST-CORE'!FR387</f>
        <v>21.121495327102814</v>
      </c>
      <c r="CY381" s="751">
        <f>'FORECAST-CORE'!FS387</f>
        <v>25.92</v>
      </c>
      <c r="CZ381" s="750">
        <f>'FORECAST-CORE'!FT387</f>
        <v>0</v>
      </c>
      <c r="DA381" s="751">
        <f>'FORECAST-CORE'!FU387</f>
        <v>25.92</v>
      </c>
      <c r="DB381" s="750"/>
      <c r="DC381" s="750"/>
      <c r="DD381" s="751"/>
      <c r="DE381" s="750">
        <f>'FORECAST-CORE'!EK387</f>
        <v>159.1</v>
      </c>
      <c r="DF381" s="751" t="str">
        <f>'FORECAST-CORE'!EL387</f>
        <v>NA</v>
      </c>
      <c r="DG381" s="750">
        <f>'FORECAST-CORE'!EM387</f>
        <v>163.70000000000002</v>
      </c>
      <c r="DH381" s="751">
        <f>'FORECAST-CORE'!EN387</f>
        <v>2.8912633563796586</v>
      </c>
      <c r="DI381" s="750">
        <f>'FORECAST-CORE'!EO387</f>
        <v>159.70000000000002</v>
      </c>
      <c r="DJ381" s="751">
        <f>'FORECAST-CORE'!EP387</f>
        <v>-2.4434941967012791</v>
      </c>
      <c r="DK381" s="750">
        <f>'FORECAST-CORE'!EQ387</f>
        <v>164.9</v>
      </c>
      <c r="DL381" s="751">
        <f>'FORECAST-CORE'!ER387</f>
        <v>3.2561051972448185</v>
      </c>
      <c r="DM381" s="750">
        <f>'FORECAST-CORE'!ES387</f>
        <v>140.6</v>
      </c>
      <c r="DN381" s="751">
        <f>'FORECAST-CORE'!ET387</f>
        <v>-14.73620375985446</v>
      </c>
      <c r="DO381" s="750">
        <f>'FORECAST-CORE'!EU387</f>
        <v>175.99999999999997</v>
      </c>
      <c r="DP381" s="751">
        <f>'FORECAST-CORE'!EV387</f>
        <v>25.177809388335692</v>
      </c>
      <c r="DQ381" s="750">
        <f>'FORECAST-CORE'!EW387</f>
        <v>197.5</v>
      </c>
      <c r="DR381" s="751">
        <f>'FORECAST-CORE'!EX387</f>
        <v>12.215909090909104</v>
      </c>
      <c r="DS381" s="750">
        <f>'FORECAST-CORE'!EY387</f>
        <v>66.7</v>
      </c>
      <c r="DT381" s="751" t="str">
        <f>'FORECAST-CORE'!EZ387</f>
        <v>NM</v>
      </c>
      <c r="DU381" s="750">
        <f>'FORECAST-CORE'!FA387</f>
        <v>94.600000000000009</v>
      </c>
      <c r="DV381" s="751">
        <f>'FORECAST-CORE'!FB387</f>
        <v>41.829085457271376</v>
      </c>
      <c r="DW381" s="750">
        <f>'FORECAST-CORE'!FC387</f>
        <v>56.2</v>
      </c>
      <c r="DX381" s="751">
        <f>'FORECAST-CORE'!FD387</f>
        <v>-40.591966173361527</v>
      </c>
      <c r="DY381" s="750">
        <f>'FORECAST-CORE'!FE387</f>
        <v>45.1</v>
      </c>
      <c r="DZ381" s="751">
        <f>'FORECAST-CORE'!FF387</f>
        <v>-19.7508896797153</v>
      </c>
      <c r="EA381" s="750">
        <f>'FORECAST-CORE'!FG387</f>
        <v>24.7</v>
      </c>
      <c r="EB381" s="751">
        <f>'FORECAST-CORE'!FH387</f>
        <v>-45.23281596452329</v>
      </c>
      <c r="EC381" s="750">
        <f>'FORECAST-CORE'!FI387</f>
        <v>35.299999999999997</v>
      </c>
      <c r="ED381" s="751">
        <f>'FORECAST-CORE'!FJ387</f>
        <v>42.914979757085007</v>
      </c>
      <c r="EE381" s="750">
        <f>'FORECAST-CORE'!FK387</f>
        <v>25.599999999999998</v>
      </c>
      <c r="EF381" s="751">
        <f>'FORECAST-CORE'!FL387</f>
        <v>-27.478753541076482</v>
      </c>
      <c r="EG381" s="750">
        <f>'FORECAST-CORE'!FM387</f>
        <v>18.5</v>
      </c>
      <c r="EH381" s="751">
        <f>'FORECAST-CORE'!FN387</f>
        <v>-27.734374999999989</v>
      </c>
      <c r="EI381" s="750">
        <f>'FORECAST-CORE'!FO387</f>
        <v>21.4</v>
      </c>
      <c r="EJ381" s="751">
        <f>'FORECAST-CORE'!FP387</f>
        <v>15.67567567567567</v>
      </c>
      <c r="EK381" s="750">
        <f>'FORECAST-CORE'!FQ387</f>
        <v>25.92</v>
      </c>
      <c r="EL381" s="751">
        <f>'FORECAST-CORE'!FR387</f>
        <v>21.121495327102814</v>
      </c>
      <c r="EM381" s="750">
        <f>'FORECAST-CORE'!GC387</f>
        <v>0</v>
      </c>
      <c r="EN381" s="751">
        <f>'FORECAST-CORE'!GD387</f>
        <v>0</v>
      </c>
      <c r="EO381" s="750">
        <f>'FORECAST-CORE'!GE387</f>
        <v>0</v>
      </c>
      <c r="EP381" s="751">
        <f>'FORECAST-CORE'!GF387</f>
        <v>0</v>
      </c>
      <c r="EQ381" s="750">
        <f>'FORECAST-CORE'!GG387</f>
        <v>0</v>
      </c>
      <c r="ER381" s="751">
        <f>'FORECAST-CORE'!GH387</f>
        <v>0</v>
      </c>
      <c r="ES381" s="750">
        <f>'FORECAST-CORE'!GI387</f>
        <v>0</v>
      </c>
      <c r="ET381" s="751">
        <f>'FORECAST-CORE'!GJ387</f>
        <v>0</v>
      </c>
      <c r="EU381" s="750">
        <f>'FORECAST-CORE'!GA387</f>
        <v>3.9068657075683966</v>
      </c>
      <c r="EV381" s="752"/>
    </row>
    <row r="382" spans="1:152" ht="12.75" hidden="1" customHeight="1" outlineLevel="1" x14ac:dyDescent="0.2">
      <c r="A382" s="754" t="str">
        <f>'FORECAST-CORE'!A388</f>
        <v>Refi Net Investment Income</v>
      </c>
      <c r="B382" s="750">
        <f>'FORECAST-CORE'!AH388</f>
        <v>5</v>
      </c>
      <c r="C382" s="751">
        <f>'FORECAST-CORE'!AI388</f>
        <v>0</v>
      </c>
      <c r="D382" s="750">
        <f>'FORECAST-CORE'!AJ388</f>
        <v>5</v>
      </c>
      <c r="E382" s="751">
        <f>'FORECAST-CORE'!AK388</f>
        <v>0</v>
      </c>
      <c r="F382" s="750">
        <f>'FORECAST-CORE'!AL388</f>
        <v>5</v>
      </c>
      <c r="G382" s="751">
        <f>'FORECAST-CORE'!AM388</f>
        <v>0</v>
      </c>
      <c r="H382" s="750">
        <f>'FORECAST-CORE'!AN388</f>
        <v>5</v>
      </c>
      <c r="I382" s="751">
        <f>'FORECAST-CORE'!AO388</f>
        <v>0</v>
      </c>
      <c r="J382" s="750">
        <f>'FORECAST-CORE'!AP388</f>
        <v>5</v>
      </c>
      <c r="K382" s="751">
        <f>'FORECAST-CORE'!AQ388</f>
        <v>0</v>
      </c>
      <c r="L382" s="750">
        <f>'FORECAST-CORE'!AR388</f>
        <v>0</v>
      </c>
      <c r="M382" s="751" t="str">
        <f>'FORECAST-CORE'!AS388</f>
        <v>NM</v>
      </c>
      <c r="N382" s="750">
        <f>'FORECAST-CORE'!AT388</f>
        <v>0</v>
      </c>
      <c r="O382" s="751" t="str">
        <f>'FORECAST-CORE'!AU388</f>
        <v>NA</v>
      </c>
      <c r="P382" s="750">
        <f>'FORECAST-CORE'!AV388</f>
        <v>0</v>
      </c>
      <c r="Q382" s="751" t="str">
        <f>'FORECAST-CORE'!AW388</f>
        <v>NA</v>
      </c>
      <c r="R382" s="750">
        <f>'FORECAST-CORE'!AX388</f>
        <v>0</v>
      </c>
      <c r="S382" s="751" t="str">
        <f>'FORECAST-CORE'!AY388</f>
        <v>NA</v>
      </c>
      <c r="T382" s="750">
        <f>'FORECAST-CORE'!AZ388</f>
        <v>0</v>
      </c>
      <c r="U382" s="751" t="str">
        <f>'FORECAST-CORE'!BA388</f>
        <v>NA</v>
      </c>
      <c r="V382" s="750">
        <f>'FORECAST-CORE'!BB388</f>
        <v>0</v>
      </c>
      <c r="W382" s="751" t="str">
        <f>'FORECAST-CORE'!BC388</f>
        <v>NA</v>
      </c>
      <c r="X382" s="750">
        <f>'FORECAST-CORE'!BD388</f>
        <v>0</v>
      </c>
      <c r="Y382" s="751" t="str">
        <f>'FORECAST-CORE'!BE388</f>
        <v>NA</v>
      </c>
      <c r="Z382" s="750">
        <f>'FORECAST-CORE'!BF388</f>
        <v>0</v>
      </c>
      <c r="AA382" s="751" t="str">
        <f>'FORECAST-CORE'!BG388</f>
        <v>NA</v>
      </c>
      <c r="AB382" s="750">
        <f>'FORECAST-CORE'!BH388</f>
        <v>0</v>
      </c>
      <c r="AC382" s="751" t="str">
        <f>'FORECAST-CORE'!BI388</f>
        <v>NA</v>
      </c>
      <c r="AD382" s="750">
        <f>'FORECAST-CORE'!BJ388</f>
        <v>0</v>
      </c>
      <c r="AE382" s="751" t="str">
        <f>'FORECAST-CORE'!BK388</f>
        <v>NA</v>
      </c>
      <c r="AF382" s="750">
        <f>'FORECAST-CORE'!BL388</f>
        <v>0</v>
      </c>
      <c r="AG382" s="751" t="str">
        <f>'FORECAST-CORE'!BM388</f>
        <v>NA</v>
      </c>
      <c r="AH382" s="750">
        <f>'FORECAST-CORE'!BN388</f>
        <v>0</v>
      </c>
      <c r="AI382" s="751" t="str">
        <f>'FORECAST-CORE'!BO388</f>
        <v>NA</v>
      </c>
      <c r="AJ382" s="750">
        <f>'FORECAST-CORE'!BP388</f>
        <v>0</v>
      </c>
      <c r="AK382" s="751" t="str">
        <f>'FORECAST-CORE'!BQ388</f>
        <v>NA</v>
      </c>
      <c r="AL382" s="750">
        <f>'FORECAST-CORE'!BR388</f>
        <v>0</v>
      </c>
      <c r="AM382" s="751" t="str">
        <f>'FORECAST-CORE'!BS388</f>
        <v>NA</v>
      </c>
      <c r="AN382" s="750">
        <f>'FORECAST-CORE'!BT388</f>
        <v>0</v>
      </c>
      <c r="AO382" s="751" t="str">
        <f>'FORECAST-CORE'!BU388</f>
        <v>NA</v>
      </c>
      <c r="AP382" s="750">
        <f>'FORECAST-CORE'!BV388</f>
        <v>0</v>
      </c>
      <c r="AQ382" s="751" t="str">
        <f>'FORECAST-CORE'!BW388</f>
        <v>NA</v>
      </c>
      <c r="AR382" s="750">
        <f>'FORECAST-CORE'!BX388</f>
        <v>0</v>
      </c>
      <c r="AS382" s="751" t="str">
        <f>'FORECAST-CORE'!BY388</f>
        <v>NA</v>
      </c>
      <c r="AT382" s="750">
        <f>'FORECAST-CORE'!BZ388</f>
        <v>0</v>
      </c>
      <c r="AU382" s="751" t="str">
        <f>'FORECAST-CORE'!CA388</f>
        <v>NA</v>
      </c>
      <c r="AV382" s="750">
        <f>'FORECAST-CORE'!CB388</f>
        <v>0</v>
      </c>
      <c r="AW382" s="751" t="str">
        <f>'FORECAST-CORE'!CC388</f>
        <v>NA</v>
      </c>
      <c r="AX382" s="750">
        <f>'FORECAST-CORE'!CD388</f>
        <v>0</v>
      </c>
      <c r="AY382" s="751" t="str">
        <f>'FORECAST-CORE'!CE388</f>
        <v>NA</v>
      </c>
      <c r="AZ382" s="750">
        <f>'FORECAST-CORE'!CF388</f>
        <v>0</v>
      </c>
      <c r="BA382" s="751" t="str">
        <f>'FORECAST-CORE'!CG388</f>
        <v>NA</v>
      </c>
      <c r="BB382" s="750">
        <f>'FORECAST-CORE'!CH388</f>
        <v>0</v>
      </c>
      <c r="BC382" s="751" t="str">
        <f>'FORECAST-CORE'!CI388</f>
        <v>NA</v>
      </c>
      <c r="BD382" s="750">
        <f>'FORECAST-CORE'!CJ388</f>
        <v>0</v>
      </c>
      <c r="BE382" s="751" t="str">
        <f>'FORECAST-CORE'!CK388</f>
        <v>NA</v>
      </c>
      <c r="BF382" s="750">
        <f>'FORECAST-CORE'!CL388</f>
        <v>0</v>
      </c>
      <c r="BG382" s="751" t="str">
        <f>'FORECAST-CORE'!CM388</f>
        <v>NA</v>
      </c>
      <c r="BH382" s="750">
        <f>'FORECAST-CORE'!CN388</f>
        <v>0</v>
      </c>
      <c r="BI382" s="751" t="str">
        <f>'FORECAST-CORE'!CO388</f>
        <v>NA</v>
      </c>
      <c r="BJ382" s="750">
        <f>'FORECAST-CORE'!CP388</f>
        <v>0</v>
      </c>
      <c r="BK382" s="751" t="str">
        <f>'FORECAST-CORE'!CQ388</f>
        <v>NA</v>
      </c>
      <c r="BL382" s="750">
        <f>'FORECAST-CORE'!CR388</f>
        <v>0</v>
      </c>
      <c r="BM382" s="751" t="str">
        <f>'FORECAST-CORE'!CS388</f>
        <v>NA</v>
      </c>
      <c r="BN382" s="750">
        <f>'FORECAST-CORE'!EH388</f>
        <v>0</v>
      </c>
      <c r="BO382" s="751">
        <f>'FORECAST-CORE'!EI388</f>
        <v>0</v>
      </c>
      <c r="BP382" s="750">
        <f>'FORECAST-CORE'!EJ388</f>
        <v>0</v>
      </c>
      <c r="BQ382" s="751">
        <f>'FORECAST-CORE'!EK388</f>
        <v>0</v>
      </c>
      <c r="BR382" s="750" t="str">
        <f>'FORECAST-CORE'!EL388</f>
        <v>NA</v>
      </c>
      <c r="BS382" s="751">
        <f>'FORECAST-CORE'!EM388</f>
        <v>0</v>
      </c>
      <c r="BT382" s="750" t="str">
        <f>'FORECAST-CORE'!EN388</f>
        <v>NA</v>
      </c>
      <c r="BU382" s="751">
        <f>'FORECAST-CORE'!EO388</f>
        <v>0</v>
      </c>
      <c r="BV382" s="750" t="str">
        <f>'FORECAST-CORE'!EP388</f>
        <v>NA</v>
      </c>
      <c r="BW382" s="751">
        <f>'FORECAST-CORE'!EQ388</f>
        <v>5</v>
      </c>
      <c r="BX382" s="750" t="str">
        <f>'FORECAST-CORE'!ER388</f>
        <v>NA</v>
      </c>
      <c r="BY382" s="751">
        <f>'FORECAST-CORE'!ES388</f>
        <v>20</v>
      </c>
      <c r="BZ382" s="750" t="str">
        <f>'FORECAST-CORE'!ET388</f>
        <v>NM</v>
      </c>
      <c r="CA382" s="751">
        <f>'FORECAST-CORE'!EU388</f>
        <v>5</v>
      </c>
      <c r="CB382" s="750" t="str">
        <f>'FORECAST-CORE'!EV388</f>
        <v>NM</v>
      </c>
      <c r="CC382" s="751">
        <f>'FORECAST-CORE'!EW388</f>
        <v>0</v>
      </c>
      <c r="CD382" s="750" t="str">
        <f>'FORECAST-CORE'!EX388</f>
        <v>NM</v>
      </c>
      <c r="CE382" s="751">
        <f>'FORECAST-CORE'!EY388</f>
        <v>0</v>
      </c>
      <c r="CF382" s="750" t="str">
        <f>'FORECAST-CORE'!EZ388</f>
        <v>NA</v>
      </c>
      <c r="CG382" s="751">
        <f>'FORECAST-CORE'!FA388</f>
        <v>0</v>
      </c>
      <c r="CH382" s="750" t="str">
        <f>'FORECAST-CORE'!FB388</f>
        <v>NA</v>
      </c>
      <c r="CI382" s="751">
        <f>'FORECAST-CORE'!FC388</f>
        <v>0</v>
      </c>
      <c r="CJ382" s="750" t="str">
        <f>'FORECAST-CORE'!FD388</f>
        <v>NA</v>
      </c>
      <c r="CK382" s="751">
        <f>'FORECAST-CORE'!FE388</f>
        <v>0</v>
      </c>
      <c r="CL382" s="750" t="str">
        <f>'FORECAST-CORE'!FF388</f>
        <v>NA</v>
      </c>
      <c r="CM382" s="751">
        <f>'FORECAST-CORE'!FG388</f>
        <v>0</v>
      </c>
      <c r="CN382" s="750" t="str">
        <f>'FORECAST-CORE'!FH388</f>
        <v>NA</v>
      </c>
      <c r="CO382" s="751">
        <f>'FORECAST-CORE'!FI388</f>
        <v>0</v>
      </c>
      <c r="CP382" s="750" t="str">
        <f>'FORECAST-CORE'!FJ388</f>
        <v>NA</v>
      </c>
      <c r="CQ382" s="751">
        <f>'FORECAST-CORE'!FK388</f>
        <v>0</v>
      </c>
      <c r="CR382" s="750" t="str">
        <f>'FORECAST-CORE'!FL388</f>
        <v>NA</v>
      </c>
      <c r="CS382" s="751">
        <f>'FORECAST-CORE'!FM388</f>
        <v>0</v>
      </c>
      <c r="CT382" s="750" t="str">
        <f>'FORECAST-CORE'!FN388</f>
        <v>NA</v>
      </c>
      <c r="CU382" s="751">
        <f>'FORECAST-CORE'!FO388</f>
        <v>0</v>
      </c>
      <c r="CV382" s="750" t="str">
        <f>'FORECAST-CORE'!FP388</f>
        <v>NA</v>
      </c>
      <c r="CW382" s="751">
        <f>'FORECAST-CORE'!FQ388</f>
        <v>0</v>
      </c>
      <c r="CX382" s="750" t="str">
        <f>'FORECAST-CORE'!FR388</f>
        <v>NA</v>
      </c>
      <c r="CY382" s="751">
        <f>'FORECAST-CORE'!FS388</f>
        <v>0</v>
      </c>
      <c r="CZ382" s="750" t="str">
        <f>'FORECAST-CORE'!FT388</f>
        <v>NA</v>
      </c>
      <c r="DA382" s="751">
        <f>'FORECAST-CORE'!FU388</f>
        <v>0</v>
      </c>
      <c r="DB382" s="750"/>
      <c r="DC382" s="750"/>
      <c r="DD382" s="751"/>
      <c r="DE382" s="750">
        <f>'FORECAST-CORE'!EK388</f>
        <v>0</v>
      </c>
      <c r="DF382" s="751" t="str">
        <f>'FORECAST-CORE'!EL388</f>
        <v>NA</v>
      </c>
      <c r="DG382" s="750">
        <f>'FORECAST-CORE'!EM388</f>
        <v>0</v>
      </c>
      <c r="DH382" s="751" t="str">
        <f>'FORECAST-CORE'!EN388</f>
        <v>NA</v>
      </c>
      <c r="DI382" s="750">
        <f>'FORECAST-CORE'!EO388</f>
        <v>0</v>
      </c>
      <c r="DJ382" s="751" t="str">
        <f>'FORECAST-CORE'!EP388</f>
        <v>NA</v>
      </c>
      <c r="DK382" s="750">
        <f>'FORECAST-CORE'!EQ388</f>
        <v>5</v>
      </c>
      <c r="DL382" s="751" t="str">
        <f>'FORECAST-CORE'!ER388</f>
        <v>NA</v>
      </c>
      <c r="DM382" s="750">
        <f>'FORECAST-CORE'!ES388</f>
        <v>20</v>
      </c>
      <c r="DN382" s="751" t="str">
        <f>'FORECAST-CORE'!ET388</f>
        <v>NM</v>
      </c>
      <c r="DO382" s="750">
        <f>'FORECAST-CORE'!EU388</f>
        <v>5</v>
      </c>
      <c r="DP382" s="751" t="str">
        <f>'FORECAST-CORE'!EV388</f>
        <v>NM</v>
      </c>
      <c r="DQ382" s="750">
        <f>'FORECAST-CORE'!EW388</f>
        <v>0</v>
      </c>
      <c r="DR382" s="751" t="str">
        <f>'FORECAST-CORE'!EX388</f>
        <v>NM</v>
      </c>
      <c r="DS382" s="750">
        <f>'FORECAST-CORE'!EY388</f>
        <v>0</v>
      </c>
      <c r="DT382" s="751" t="str">
        <f>'FORECAST-CORE'!EZ388</f>
        <v>NA</v>
      </c>
      <c r="DU382" s="750">
        <f>'FORECAST-CORE'!FA388</f>
        <v>0</v>
      </c>
      <c r="DV382" s="751" t="str">
        <f>'FORECAST-CORE'!FB388</f>
        <v>NA</v>
      </c>
      <c r="DW382" s="750">
        <f>'FORECAST-CORE'!FC388</f>
        <v>0</v>
      </c>
      <c r="DX382" s="751" t="str">
        <f>'FORECAST-CORE'!FD388</f>
        <v>NA</v>
      </c>
      <c r="DY382" s="750">
        <f>'FORECAST-CORE'!FE388</f>
        <v>0</v>
      </c>
      <c r="DZ382" s="751" t="str">
        <f>'FORECAST-CORE'!FF388</f>
        <v>NA</v>
      </c>
      <c r="EA382" s="750">
        <f>'FORECAST-CORE'!FG388</f>
        <v>0</v>
      </c>
      <c r="EB382" s="751" t="str">
        <f>'FORECAST-CORE'!FH388</f>
        <v>NA</v>
      </c>
      <c r="EC382" s="750">
        <f>'FORECAST-CORE'!FI388</f>
        <v>0</v>
      </c>
      <c r="ED382" s="751" t="str">
        <f>'FORECAST-CORE'!FJ388</f>
        <v>NA</v>
      </c>
      <c r="EE382" s="750">
        <f>'FORECAST-CORE'!FK388</f>
        <v>0</v>
      </c>
      <c r="EF382" s="751" t="str">
        <f>'FORECAST-CORE'!FL388</f>
        <v>NA</v>
      </c>
      <c r="EG382" s="750">
        <f>'FORECAST-CORE'!FM388</f>
        <v>0</v>
      </c>
      <c r="EH382" s="751" t="str">
        <f>'FORECAST-CORE'!FN388</f>
        <v>NA</v>
      </c>
      <c r="EI382" s="750">
        <f>'FORECAST-CORE'!FO388</f>
        <v>0</v>
      </c>
      <c r="EJ382" s="751" t="str">
        <f>'FORECAST-CORE'!FP388</f>
        <v>NA</v>
      </c>
      <c r="EK382" s="750">
        <f>'FORECAST-CORE'!FQ388</f>
        <v>0</v>
      </c>
      <c r="EL382" s="751" t="str">
        <f>'FORECAST-CORE'!FR388</f>
        <v>NA</v>
      </c>
      <c r="EM382" s="750">
        <f>'FORECAST-CORE'!GC388</f>
        <v>0</v>
      </c>
      <c r="EN382" s="751">
        <f>'FORECAST-CORE'!GD388</f>
        <v>0</v>
      </c>
      <c r="EO382" s="750">
        <f>'FORECAST-CORE'!GE388</f>
        <v>0</v>
      </c>
      <c r="EP382" s="751">
        <f>'FORECAST-CORE'!GF388</f>
        <v>0</v>
      </c>
      <c r="EQ382" s="750">
        <f>'FORECAST-CORE'!GG388</f>
        <v>0</v>
      </c>
      <c r="ER382" s="751">
        <f>'FORECAST-CORE'!GH388</f>
        <v>0</v>
      </c>
      <c r="ES382" s="750">
        <f>'FORECAST-CORE'!GI388</f>
        <v>0</v>
      </c>
      <c r="ET382" s="751">
        <f>'FORECAST-CORE'!GJ388</f>
        <v>0</v>
      </c>
      <c r="EU382" s="750" t="str">
        <f>'FORECAST-CORE'!GA388</f>
        <v>NA</v>
      </c>
      <c r="EV382" s="752"/>
    </row>
    <row r="383" spans="1:152" ht="12.75" hidden="1" customHeight="1" outlineLevel="1" x14ac:dyDescent="0.2">
      <c r="A383" s="754" t="str">
        <f>'FORECAST-CORE'!A389</f>
        <v>Other Income</v>
      </c>
      <c r="B383" s="750">
        <f>'FORECAST-CORE'!AH389</f>
        <v>11.700000000000001</v>
      </c>
      <c r="C383" s="751">
        <f>'FORECAST-CORE'!AI389</f>
        <v>17.000000000000014</v>
      </c>
      <c r="D383" s="750">
        <f>'FORECAST-CORE'!AJ389</f>
        <v>57.7</v>
      </c>
      <c r="E383" s="751" t="str">
        <f>'FORECAST-CORE'!AK389</f>
        <v>NM</v>
      </c>
      <c r="F383" s="750">
        <f>'FORECAST-CORE'!AL389</f>
        <v>57.4</v>
      </c>
      <c r="G383" s="751">
        <f>'FORECAST-CORE'!AM389</f>
        <v>-0.5199306759098854</v>
      </c>
      <c r="H383" s="750">
        <f>'FORECAST-CORE'!AN389</f>
        <v>14.600000000000001</v>
      </c>
      <c r="I383" s="751" t="str">
        <f>'FORECAST-CORE'!AO389</f>
        <v>NM</v>
      </c>
      <c r="J383" s="750">
        <f>'FORECAST-CORE'!AP389</f>
        <v>8.8999999999999986</v>
      </c>
      <c r="K383" s="751">
        <f>'FORECAST-CORE'!AQ389</f>
        <v>-39.041095890410972</v>
      </c>
      <c r="L383" s="750">
        <f>'FORECAST-CORE'!AR389</f>
        <v>9.6999999999999993</v>
      </c>
      <c r="M383" s="751">
        <f>'FORECAST-CORE'!AS389</f>
        <v>8.9887640449438209</v>
      </c>
      <c r="N383" s="750">
        <f>'FORECAST-CORE'!AT389</f>
        <v>5.3000000000000007</v>
      </c>
      <c r="O383" s="751">
        <f>'FORECAST-CORE'!AU389</f>
        <v>-45.360824742268022</v>
      </c>
      <c r="P383" s="750">
        <f>'FORECAST-CORE'!AV389</f>
        <v>6.8999999999999995</v>
      </c>
      <c r="Q383" s="751">
        <f>'FORECAST-CORE'!AW389</f>
        <v>30.188679245282991</v>
      </c>
      <c r="R383" s="750">
        <f>'FORECAST-CORE'!AX389</f>
        <v>10.199999999999999</v>
      </c>
      <c r="S383" s="751">
        <f>'FORECAST-CORE'!AY389</f>
        <v>47.826086956521728</v>
      </c>
      <c r="T383" s="750">
        <f>'FORECAST-CORE'!AZ389</f>
        <v>8.4</v>
      </c>
      <c r="U383" s="751">
        <f>'FORECAST-CORE'!BA389</f>
        <v>-17.647058823529406</v>
      </c>
      <c r="V383" s="750">
        <f>'FORECAST-CORE'!BB389</f>
        <v>9</v>
      </c>
      <c r="W383" s="751">
        <f>'FORECAST-CORE'!BC389</f>
        <v>7.1428571428571397</v>
      </c>
      <c r="X383" s="750">
        <f>'FORECAST-CORE'!BD389</f>
        <v>14.6</v>
      </c>
      <c r="Y383" s="751">
        <f>'FORECAST-CORE'!BE389</f>
        <v>62.222222222222221</v>
      </c>
      <c r="Z383" s="750">
        <f>'FORECAST-CORE'!BF389</f>
        <v>7.8</v>
      </c>
      <c r="AA383" s="751">
        <f>'FORECAST-CORE'!BG389</f>
        <v>-46.575342465753423</v>
      </c>
      <c r="AB383" s="750">
        <f>'FORECAST-CORE'!BH389</f>
        <v>10.6</v>
      </c>
      <c r="AC383" s="751">
        <f>'FORECAST-CORE'!BI389</f>
        <v>35.897435897435905</v>
      </c>
      <c r="AD383" s="750">
        <f>'FORECAST-CORE'!BJ389</f>
        <v>8.1</v>
      </c>
      <c r="AE383" s="751">
        <f>'FORECAST-CORE'!BK389</f>
        <v>-23.584905660377366</v>
      </c>
      <c r="AF383" s="750">
        <f>'FORECAST-CORE'!BL389</f>
        <v>8.3000000000000007</v>
      </c>
      <c r="AG383" s="751">
        <f>'FORECAST-CORE'!BM389</f>
        <v>2.4691358024691468</v>
      </c>
      <c r="AH383" s="750">
        <f>'FORECAST-CORE'!BN389</f>
        <v>0.5</v>
      </c>
      <c r="AI383" s="751" t="str">
        <f>'FORECAST-CORE'!BO389</f>
        <v>NM</v>
      </c>
      <c r="AJ383" s="750">
        <f>'FORECAST-CORE'!BP389</f>
        <v>0.8</v>
      </c>
      <c r="AK383" s="751">
        <f>'FORECAST-CORE'!BQ389</f>
        <v>60.000000000000007</v>
      </c>
      <c r="AL383" s="750">
        <f>'FORECAST-CORE'!BR389</f>
        <v>0.4</v>
      </c>
      <c r="AM383" s="751">
        <f>'FORECAST-CORE'!BS389</f>
        <v>-50</v>
      </c>
      <c r="AN383" s="750">
        <f>'FORECAST-CORE'!BT389</f>
        <v>1.6</v>
      </c>
      <c r="AO383" s="751" t="str">
        <f>'FORECAST-CORE'!BU389</f>
        <v>NM</v>
      </c>
      <c r="AP383" s="750">
        <f>'FORECAST-CORE'!BV389</f>
        <v>1</v>
      </c>
      <c r="AQ383" s="751">
        <f>'FORECAST-CORE'!BW389</f>
        <v>-37.5</v>
      </c>
      <c r="AR383" s="750">
        <f>'FORECAST-CORE'!BX389</f>
        <v>-0.4</v>
      </c>
      <c r="AS383" s="751" t="str">
        <f>'FORECAST-CORE'!BY389</f>
        <v>NM</v>
      </c>
      <c r="AT383" s="750">
        <f>'FORECAST-CORE'!BZ389</f>
        <v>2.2000000000000002</v>
      </c>
      <c r="AU383" s="751" t="str">
        <f>'FORECAST-CORE'!CA389</f>
        <v>NM</v>
      </c>
      <c r="AV383" s="750">
        <f>'FORECAST-CORE'!CB389</f>
        <v>17.8</v>
      </c>
      <c r="AW383" s="751" t="str">
        <f>'FORECAST-CORE'!CC389</f>
        <v>NM</v>
      </c>
      <c r="AX383" s="750">
        <f>'FORECAST-CORE'!CD389</f>
        <v>0.3</v>
      </c>
      <c r="AY383" s="751" t="str">
        <f>'FORECAST-CORE'!CE389</f>
        <v>NM</v>
      </c>
      <c r="AZ383" s="750">
        <f>'FORECAST-CORE'!CF389</f>
        <v>1.5</v>
      </c>
      <c r="BA383" s="751" t="str">
        <f>'FORECAST-CORE'!CG389</f>
        <v>NM</v>
      </c>
      <c r="BB383" s="750">
        <f>'FORECAST-CORE'!CH389</f>
        <v>0.4</v>
      </c>
      <c r="BC383" s="751" t="str">
        <f>'FORECAST-CORE'!CI389</f>
        <v>NM</v>
      </c>
      <c r="BD383" s="750">
        <f>'FORECAST-CORE'!CJ389</f>
        <v>0.6</v>
      </c>
      <c r="BE383" s="751">
        <f>'FORECAST-CORE'!CK389</f>
        <v>49.999999999999979</v>
      </c>
      <c r="BF383" s="750">
        <f>'FORECAST-CORE'!CL389</f>
        <v>1.6</v>
      </c>
      <c r="BG383" s="751" t="str">
        <f>'FORECAST-CORE'!CM389</f>
        <v>NM</v>
      </c>
      <c r="BH383" s="750">
        <f>'FORECAST-CORE'!CN389</f>
        <v>0.8</v>
      </c>
      <c r="BI383" s="751">
        <f>'FORECAST-CORE'!CO389</f>
        <v>-50</v>
      </c>
      <c r="BJ383" s="750">
        <f>'FORECAST-CORE'!CP389</f>
        <v>0.3</v>
      </c>
      <c r="BK383" s="751" t="str">
        <f>'FORECAST-CORE'!CQ389</f>
        <v>NM</v>
      </c>
      <c r="BL383" s="750">
        <f>'FORECAST-CORE'!CR389</f>
        <v>5</v>
      </c>
      <c r="BM383" s="751" t="str">
        <f>'FORECAST-CORE'!CS389</f>
        <v>NM</v>
      </c>
      <c r="BN383" s="750">
        <f>'FORECAST-CORE'!EH389</f>
        <v>0</v>
      </c>
      <c r="BO383" s="751">
        <f>'FORECAST-CORE'!EI389</f>
        <v>0</v>
      </c>
      <c r="BP383" s="750">
        <f>'FORECAST-CORE'!EJ389</f>
        <v>0</v>
      </c>
      <c r="BQ383" s="751">
        <f>'FORECAST-CORE'!EK389</f>
        <v>243.4</v>
      </c>
      <c r="BR383" s="750" t="str">
        <f>'FORECAST-CORE'!EL389</f>
        <v>NA</v>
      </c>
      <c r="BS383" s="751">
        <f>'FORECAST-CORE'!EM389</f>
        <v>212.4</v>
      </c>
      <c r="BT383" s="750">
        <f>'FORECAST-CORE'!EN389</f>
        <v>-12.736236647493836</v>
      </c>
      <c r="BU383" s="751">
        <f>'FORECAST-CORE'!EO389</f>
        <v>241.89999999999998</v>
      </c>
      <c r="BV383" s="750">
        <f>'FORECAST-CORE'!EP389</f>
        <v>13.888888888888884</v>
      </c>
      <c r="BW383" s="751">
        <f>'FORECAST-CORE'!EQ389</f>
        <v>181.2</v>
      </c>
      <c r="BX383" s="750">
        <f>'FORECAST-CORE'!ER389</f>
        <v>-25.093013642000827</v>
      </c>
      <c r="BY383" s="751">
        <f>'FORECAST-CORE'!ES389</f>
        <v>141.4</v>
      </c>
      <c r="BZ383" s="750">
        <f>'FORECAST-CORE'!ET389</f>
        <v>-21.964679911699768</v>
      </c>
      <c r="CA383" s="751">
        <f>'FORECAST-CORE'!EU389</f>
        <v>30.799999999999997</v>
      </c>
      <c r="CB383" s="750" t="str">
        <f>'FORECAST-CORE'!EV389</f>
        <v>NM</v>
      </c>
      <c r="CC383" s="751">
        <f>'FORECAST-CORE'!EW389</f>
        <v>42.2</v>
      </c>
      <c r="CD383" s="750">
        <f>'FORECAST-CORE'!EX389</f>
        <v>37.012987012987033</v>
      </c>
      <c r="CE383" s="751">
        <f>'FORECAST-CORE'!EY389</f>
        <v>4.4000000000000004</v>
      </c>
      <c r="CF383" s="750" t="str">
        <f>'FORECAST-CORE'!EZ389</f>
        <v>NM</v>
      </c>
      <c r="CG383" s="751">
        <f>'FORECAST-CORE'!FA389</f>
        <v>3.3000000000000003</v>
      </c>
      <c r="CH383" s="750">
        <f>'FORECAST-CORE'!FB389</f>
        <v>-25</v>
      </c>
      <c r="CI383" s="751">
        <f>'FORECAST-CORE'!FC389</f>
        <v>20.6</v>
      </c>
      <c r="CJ383" s="750" t="str">
        <f>'FORECAST-CORE'!FD389</f>
        <v>NM</v>
      </c>
      <c r="CK383" s="751">
        <f>'FORECAST-CORE'!FE389</f>
        <v>2.8000000000000003</v>
      </c>
      <c r="CL383" s="750" t="str">
        <f>'FORECAST-CORE'!FF389</f>
        <v>NM</v>
      </c>
      <c r="CM383" s="751">
        <f>'FORECAST-CORE'!FG389</f>
        <v>7.7</v>
      </c>
      <c r="CN383" s="750" t="str">
        <f>'FORECAST-CORE'!FH389</f>
        <v>NM</v>
      </c>
      <c r="CO383" s="751">
        <f>'FORECAST-CORE'!FI389</f>
        <v>5</v>
      </c>
      <c r="CP383" s="750">
        <f>'FORECAST-CORE'!FJ389</f>
        <v>-35.064935064935064</v>
      </c>
      <c r="CQ383" s="751">
        <f>'FORECAST-CORE'!FK389</f>
        <v>2.9</v>
      </c>
      <c r="CR383" s="750">
        <f>'FORECAST-CORE'!FL389</f>
        <v>-42.000000000000007</v>
      </c>
      <c r="CS383" s="751">
        <f>'FORECAST-CORE'!FM389</f>
        <v>4.9000000000000004</v>
      </c>
      <c r="CT383" s="750">
        <f>'FORECAST-CORE'!FN389</f>
        <v>68.965517241379331</v>
      </c>
      <c r="CU383" s="751">
        <f>'FORECAST-CORE'!FO389</f>
        <v>2.9</v>
      </c>
      <c r="CV383" s="750">
        <f>'FORECAST-CORE'!FP389</f>
        <v>-40.816326530612244</v>
      </c>
      <c r="CW383" s="751">
        <f>'FORECAST-CORE'!FQ389</f>
        <v>0</v>
      </c>
      <c r="CX383" s="750" t="str">
        <f>'FORECAST-CORE'!FR389</f>
        <v>NM</v>
      </c>
      <c r="CY383" s="751">
        <f>'FORECAST-CORE'!FS389</f>
        <v>0</v>
      </c>
      <c r="CZ383" s="750" t="str">
        <f>'FORECAST-CORE'!FT389</f>
        <v>NA</v>
      </c>
      <c r="DA383" s="751">
        <f>'FORECAST-CORE'!FU389</f>
        <v>0</v>
      </c>
      <c r="DB383" s="750"/>
      <c r="DC383" s="750"/>
      <c r="DD383" s="751"/>
      <c r="DE383" s="750">
        <f>'FORECAST-CORE'!EK389</f>
        <v>243.4</v>
      </c>
      <c r="DF383" s="751" t="str">
        <f>'FORECAST-CORE'!EL389</f>
        <v>NA</v>
      </c>
      <c r="DG383" s="750">
        <f>'FORECAST-CORE'!EM389</f>
        <v>212.4</v>
      </c>
      <c r="DH383" s="751">
        <f>'FORECAST-CORE'!EN389</f>
        <v>-12.736236647493836</v>
      </c>
      <c r="DI383" s="750">
        <f>'FORECAST-CORE'!EO389</f>
        <v>241.89999999999998</v>
      </c>
      <c r="DJ383" s="751">
        <f>'FORECAST-CORE'!EP389</f>
        <v>13.888888888888884</v>
      </c>
      <c r="DK383" s="750">
        <f>'FORECAST-CORE'!EQ389</f>
        <v>181.2</v>
      </c>
      <c r="DL383" s="751">
        <f>'FORECAST-CORE'!ER389</f>
        <v>-25.093013642000827</v>
      </c>
      <c r="DM383" s="750">
        <f>'FORECAST-CORE'!ES389</f>
        <v>141.4</v>
      </c>
      <c r="DN383" s="751">
        <f>'FORECAST-CORE'!ET389</f>
        <v>-21.964679911699768</v>
      </c>
      <c r="DO383" s="750">
        <f>'FORECAST-CORE'!EU389</f>
        <v>30.799999999999997</v>
      </c>
      <c r="DP383" s="751" t="str">
        <f>'FORECAST-CORE'!EV389</f>
        <v>NM</v>
      </c>
      <c r="DQ383" s="750">
        <f>'FORECAST-CORE'!EW389</f>
        <v>42.2</v>
      </c>
      <c r="DR383" s="751">
        <f>'FORECAST-CORE'!EX389</f>
        <v>37.012987012987033</v>
      </c>
      <c r="DS383" s="750">
        <f>'FORECAST-CORE'!EY389</f>
        <v>4.4000000000000004</v>
      </c>
      <c r="DT383" s="751" t="str">
        <f>'FORECAST-CORE'!EZ389</f>
        <v>NM</v>
      </c>
      <c r="DU383" s="750">
        <f>'FORECAST-CORE'!FA389</f>
        <v>3.3000000000000003</v>
      </c>
      <c r="DV383" s="751">
        <f>'FORECAST-CORE'!FB389</f>
        <v>-25</v>
      </c>
      <c r="DW383" s="750">
        <f>'FORECAST-CORE'!FC389</f>
        <v>20.6</v>
      </c>
      <c r="DX383" s="751" t="str">
        <f>'FORECAST-CORE'!FD389</f>
        <v>NM</v>
      </c>
      <c r="DY383" s="750">
        <f>'FORECAST-CORE'!FE389</f>
        <v>2.8000000000000003</v>
      </c>
      <c r="DZ383" s="751" t="str">
        <f>'FORECAST-CORE'!FF389</f>
        <v>NM</v>
      </c>
      <c r="EA383" s="750">
        <f>'FORECAST-CORE'!FG389</f>
        <v>7.7</v>
      </c>
      <c r="EB383" s="751" t="str">
        <f>'FORECAST-CORE'!FH389</f>
        <v>NM</v>
      </c>
      <c r="EC383" s="750">
        <f>'FORECAST-CORE'!FI389</f>
        <v>5</v>
      </c>
      <c r="ED383" s="751">
        <f>'FORECAST-CORE'!FJ389</f>
        <v>-35.064935064935064</v>
      </c>
      <c r="EE383" s="750">
        <f>'FORECAST-CORE'!FK389</f>
        <v>2.9</v>
      </c>
      <c r="EF383" s="751">
        <f>'FORECAST-CORE'!FL389</f>
        <v>-42.000000000000007</v>
      </c>
      <c r="EG383" s="750">
        <f>'FORECAST-CORE'!FM389</f>
        <v>4.9000000000000004</v>
      </c>
      <c r="EH383" s="751">
        <f>'FORECAST-CORE'!FN389</f>
        <v>68.965517241379331</v>
      </c>
      <c r="EI383" s="750">
        <f>'FORECAST-CORE'!FO389</f>
        <v>2.9</v>
      </c>
      <c r="EJ383" s="751">
        <f>'FORECAST-CORE'!FP389</f>
        <v>-40.816326530612244</v>
      </c>
      <c r="EK383" s="750">
        <f>'FORECAST-CORE'!FQ389</f>
        <v>0</v>
      </c>
      <c r="EL383" s="751" t="str">
        <f>'FORECAST-CORE'!FR389</f>
        <v>NM</v>
      </c>
      <c r="EM383" s="750">
        <f>'FORECAST-CORE'!GC389</f>
        <v>0</v>
      </c>
      <c r="EN383" s="751">
        <f>'FORECAST-CORE'!GD389</f>
        <v>0</v>
      </c>
      <c r="EO383" s="750">
        <f>'FORECAST-CORE'!GE389</f>
        <v>0</v>
      </c>
      <c r="EP383" s="751">
        <f>'FORECAST-CORE'!GF389</f>
        <v>0</v>
      </c>
      <c r="EQ383" s="750">
        <f>'FORECAST-CORE'!GG389</f>
        <v>0</v>
      </c>
      <c r="ER383" s="751">
        <f>'FORECAST-CORE'!GH389</f>
        <v>0</v>
      </c>
      <c r="ES383" s="750">
        <f>'FORECAST-CORE'!GI389</f>
        <v>0</v>
      </c>
      <c r="ET383" s="751">
        <f>'FORECAST-CORE'!GJ389</f>
        <v>0</v>
      </c>
      <c r="EU383" s="750" t="str">
        <f>'FORECAST-CORE'!GA389</f>
        <v>NM</v>
      </c>
      <c r="EV383" s="752"/>
    </row>
    <row r="384" spans="1:152" ht="12.75" hidden="1" customHeight="1" outlineLevel="1" x14ac:dyDescent="0.2">
      <c r="A384" s="749" t="str">
        <f>'FORECAST-CORE'!A390</f>
        <v xml:space="preserve"> Total Revenues</v>
      </c>
      <c r="B384" s="750">
        <f>'FORECAST-CORE'!AH390</f>
        <v>56.2</v>
      </c>
      <c r="C384" s="751">
        <f>'FORECAST-CORE'!AI390</f>
        <v>9.3385214007782213</v>
      </c>
      <c r="D384" s="750">
        <f>'FORECAST-CORE'!AJ390</f>
        <v>99.300000000000011</v>
      </c>
      <c r="E384" s="751">
        <f>'FORECAST-CORE'!AK390</f>
        <v>76.690391459074746</v>
      </c>
      <c r="F384" s="750">
        <f>'FORECAST-CORE'!AL390</f>
        <v>98</v>
      </c>
      <c r="G384" s="751">
        <f>'FORECAST-CORE'!AM390</f>
        <v>-1.3091641490433181</v>
      </c>
      <c r="H384" s="750">
        <f>'FORECAST-CORE'!AN390</f>
        <v>53.000000000000007</v>
      </c>
      <c r="I384" s="751">
        <f>'FORECAST-CORE'!AO390</f>
        <v>-45.918367346938773</v>
      </c>
      <c r="J384" s="750">
        <f>'FORECAST-CORE'!AP390</f>
        <v>53.699999999999996</v>
      </c>
      <c r="K384" s="751">
        <f>'FORECAST-CORE'!AQ390</f>
        <v>1.3207547169811207</v>
      </c>
      <c r="L384" s="750">
        <f>'FORECAST-CORE'!AR390</f>
        <v>49.999999999999986</v>
      </c>
      <c r="M384" s="751">
        <f>'FORECAST-CORE'!AS390</f>
        <v>-6.8901303538175256</v>
      </c>
      <c r="N384" s="750">
        <f>'FORECAST-CORE'!AT390</f>
        <v>48</v>
      </c>
      <c r="O384" s="751">
        <f>'FORECAST-CORE'!AU390</f>
        <v>-3.9999999999999702</v>
      </c>
      <c r="P384" s="750">
        <f>'FORECAST-CORE'!AV390</f>
        <v>61.8</v>
      </c>
      <c r="Q384" s="751">
        <f>'FORECAST-CORE'!AW390</f>
        <v>28.749999999999986</v>
      </c>
      <c r="R384" s="750">
        <f>'FORECAST-CORE'!AX390</f>
        <v>67</v>
      </c>
      <c r="S384" s="751">
        <f>'FORECAST-CORE'!AY390</f>
        <v>8.4142394822006583</v>
      </c>
      <c r="T384" s="750">
        <f>'FORECAST-CORE'!AZ390</f>
        <v>58.9</v>
      </c>
      <c r="U384" s="751">
        <f>'FORECAST-CORE'!BA390</f>
        <v>-12.089552238805968</v>
      </c>
      <c r="V384" s="750">
        <f>'FORECAST-CORE'!BB390</f>
        <v>57.8</v>
      </c>
      <c r="W384" s="751">
        <f>'FORECAST-CORE'!BC390</f>
        <v>-1.8675721561969505</v>
      </c>
      <c r="X384" s="750">
        <f>'FORECAST-CORE'!BD390</f>
        <v>57.4</v>
      </c>
      <c r="Y384" s="751">
        <f>'FORECAST-CORE'!BE390</f>
        <v>-0.69204152249134898</v>
      </c>
      <c r="Z384" s="750">
        <f>'FORECAST-CORE'!BF390</f>
        <v>49.8</v>
      </c>
      <c r="AA384" s="751">
        <f>'FORECAST-CORE'!BG390</f>
        <v>-13.240418118466902</v>
      </c>
      <c r="AB384" s="750">
        <f>'FORECAST-CORE'!BH390</f>
        <v>54</v>
      </c>
      <c r="AC384" s="751">
        <f>'FORECAST-CORE'!BI390</f>
        <v>8.4337349397590522</v>
      </c>
      <c r="AD384" s="750">
        <f>'FORECAST-CORE'!BJ390</f>
        <v>49.800000000000004</v>
      </c>
      <c r="AE384" s="751">
        <f>'FORECAST-CORE'!BK390</f>
        <v>-7.7777777777777724</v>
      </c>
      <c r="AF384" s="750">
        <f>'FORECAST-CORE'!BL390</f>
        <v>50.599999999999994</v>
      </c>
      <c r="AG384" s="751">
        <f>'FORECAST-CORE'!BM390</f>
        <v>1.6064257028112205</v>
      </c>
      <c r="AH384" s="750">
        <f>'FORECAST-CORE'!BN390</f>
        <v>23.7</v>
      </c>
      <c r="AI384" s="751" t="str">
        <f>'FORECAST-CORE'!BO390</f>
        <v>NM</v>
      </c>
      <c r="AJ384" s="750">
        <f>'FORECAST-CORE'!BP390</f>
        <v>27.400000000000002</v>
      </c>
      <c r="AK384" s="751">
        <f>'FORECAST-CORE'!BQ390</f>
        <v>15.61181434599157</v>
      </c>
      <c r="AL384" s="750">
        <f>'FORECAST-CORE'!BR390</f>
        <v>25</v>
      </c>
      <c r="AM384" s="751">
        <f>'FORECAST-CORE'!BS390</f>
        <v>-8.7591240875912533</v>
      </c>
      <c r="AN384" s="750">
        <f>'FORECAST-CORE'!BT390</f>
        <v>21.8</v>
      </c>
      <c r="AO384" s="751">
        <f>'FORECAST-CORE'!BU390</f>
        <v>-12.8</v>
      </c>
      <c r="AP384" s="750">
        <f>'FORECAST-CORE'!BV390</f>
        <v>15.5</v>
      </c>
      <c r="AQ384" s="751">
        <f>'FORECAST-CORE'!BW390</f>
        <v>-28.899082568807344</v>
      </c>
      <c r="AR384" s="750">
        <f>'FORECAST-CORE'!BX390</f>
        <v>16.400000000000002</v>
      </c>
      <c r="AS384" s="751">
        <f>'FORECAST-CORE'!BY390</f>
        <v>5.8064516129032295</v>
      </c>
      <c r="AT384" s="750">
        <f>'FORECAST-CORE'!BZ390</f>
        <v>15.5</v>
      </c>
      <c r="AU384" s="751">
        <f>'FORECAST-CORE'!CA390</f>
        <v>-5.4878048780487969</v>
      </c>
      <c r="AV384" s="750">
        <f>'FORECAST-CORE'!CB390</f>
        <v>29.4</v>
      </c>
      <c r="AW384" s="751">
        <f>'FORECAST-CORE'!CC390</f>
        <v>89.677419354838705</v>
      </c>
      <c r="AX384" s="750">
        <f>'FORECAST-CORE'!CD390</f>
        <v>7.5</v>
      </c>
      <c r="AY384" s="751" t="str">
        <f>'FORECAST-CORE'!CE390</f>
        <v>NM</v>
      </c>
      <c r="AZ384" s="750">
        <f>'FORECAST-CORE'!CF390</f>
        <v>10.4</v>
      </c>
      <c r="BA384" s="751">
        <f>'FORECAST-CORE'!CG390</f>
        <v>38.666666666666671</v>
      </c>
      <c r="BB384" s="750">
        <f>'FORECAST-CORE'!CH390</f>
        <v>7.3000000000000007</v>
      </c>
      <c r="BC384" s="751">
        <f>'FORECAST-CORE'!CI390</f>
        <v>-29.807692307692303</v>
      </c>
      <c r="BD384" s="750">
        <f>'FORECAST-CORE'!CJ390</f>
        <v>0.6</v>
      </c>
      <c r="BE384" s="751" t="str">
        <f>'FORECAST-CORE'!CK390</f>
        <v>NM</v>
      </c>
      <c r="BF384" s="750">
        <f>'FORECAST-CORE'!CL390</f>
        <v>10.9</v>
      </c>
      <c r="BG384" s="751" t="str">
        <f>'FORECAST-CORE'!CM390</f>
        <v>NM</v>
      </c>
      <c r="BH384" s="750">
        <f>'FORECAST-CORE'!CN390</f>
        <v>7.5</v>
      </c>
      <c r="BI384" s="751">
        <f>'FORECAST-CORE'!CO390</f>
        <v>-31.192660550458719</v>
      </c>
      <c r="BJ384" s="750">
        <f>'FORECAST-CORE'!CP390</f>
        <v>8.2000000000000011</v>
      </c>
      <c r="BK384" s="751">
        <f>'FORECAST-CORE'!CQ390</f>
        <v>9.3333333333333499</v>
      </c>
      <c r="BL384" s="750">
        <f>'FORECAST-CORE'!CR390</f>
        <v>5.8</v>
      </c>
      <c r="BM384" s="751">
        <f>'FORECAST-CORE'!CS390</f>
        <v>-29.268292682926845</v>
      </c>
      <c r="BN384" s="750">
        <f>'FORECAST-CORE'!EH390</f>
        <v>0</v>
      </c>
      <c r="BO384" s="751">
        <f>'FORECAST-CORE'!EI390</f>
        <v>0</v>
      </c>
      <c r="BP384" s="750">
        <f>'FORECAST-CORE'!EJ390</f>
        <v>0</v>
      </c>
      <c r="BQ384" s="751">
        <f>'FORECAST-CORE'!EK390</f>
        <v>440.1</v>
      </c>
      <c r="BR384" s="750" t="str">
        <f>'FORECAST-CORE'!EL390</f>
        <v>NA</v>
      </c>
      <c r="BS384" s="751">
        <f>'FORECAST-CORE'!EM390</f>
        <v>410.4</v>
      </c>
      <c r="BT384" s="750">
        <f>'FORECAST-CORE'!EN390</f>
        <v>-6.7484662576687171</v>
      </c>
      <c r="BU384" s="751">
        <f>'FORECAST-CORE'!EO390</f>
        <v>432.9</v>
      </c>
      <c r="BV384" s="750">
        <f>'FORECAST-CORE'!EP390</f>
        <v>5.4824561403508776</v>
      </c>
      <c r="BW384" s="751">
        <f>'FORECAST-CORE'!EQ390</f>
        <v>353.7</v>
      </c>
      <c r="BX384" s="750">
        <f>'FORECAST-CORE'!ER390</f>
        <v>-18.295218295218298</v>
      </c>
      <c r="BY384" s="751">
        <f>'FORECAST-CORE'!ES390</f>
        <v>306.5</v>
      </c>
      <c r="BZ384" s="750">
        <f>'FORECAST-CORE'!ET390</f>
        <v>-13.344642352275937</v>
      </c>
      <c r="CA384" s="751">
        <f>'FORECAST-CORE'!EU390</f>
        <v>213.49999999999994</v>
      </c>
      <c r="CB384" s="750">
        <f>'FORECAST-CORE'!EV390</f>
        <v>-30.342577487765109</v>
      </c>
      <c r="CC384" s="751">
        <f>'FORECAST-CORE'!EW390</f>
        <v>241.10000000000002</v>
      </c>
      <c r="CD384" s="750">
        <f>'FORECAST-CORE'!EX390</f>
        <v>12.927400468384121</v>
      </c>
      <c r="CE384" s="751">
        <f>'FORECAST-CORE'!EY390</f>
        <v>71.100000000000009</v>
      </c>
      <c r="CF384" s="750" t="str">
        <f>'FORECAST-CORE'!EZ390</f>
        <v>NM</v>
      </c>
      <c r="CG384" s="751">
        <f>'FORECAST-CORE'!FA390</f>
        <v>97.9</v>
      </c>
      <c r="CH384" s="750">
        <f>'FORECAST-CORE'!FB390</f>
        <v>37.693389592123758</v>
      </c>
      <c r="CI384" s="751">
        <f>'FORECAST-CORE'!FC390</f>
        <v>76.800000000000011</v>
      </c>
      <c r="CJ384" s="750">
        <f>'FORECAST-CORE'!FD390</f>
        <v>-21.552604698672106</v>
      </c>
      <c r="CK384" s="751">
        <f>'FORECAST-CORE'!FE390</f>
        <v>47.9</v>
      </c>
      <c r="CL384" s="750">
        <f>'FORECAST-CORE'!FF390</f>
        <v>-37.63020833333335</v>
      </c>
      <c r="CM384" s="751">
        <f>'FORECAST-CORE'!FG390</f>
        <v>32.4</v>
      </c>
      <c r="CN384" s="750">
        <f>'FORECAST-CORE'!FH390</f>
        <v>-32.359081419624211</v>
      </c>
      <c r="CO384" s="751">
        <f>'FORECAST-CORE'!FI390</f>
        <v>40.299999999999997</v>
      </c>
      <c r="CP384" s="750">
        <f>'FORECAST-CORE'!FJ390</f>
        <v>24.382716049382715</v>
      </c>
      <c r="CQ384" s="751">
        <f>'FORECAST-CORE'!FK390</f>
        <v>28.499999999999996</v>
      </c>
      <c r="CR384" s="750">
        <f>'FORECAST-CORE'!FL390</f>
        <v>-29.280397022332505</v>
      </c>
      <c r="CS384" s="751">
        <f>'FORECAST-CORE'!FM390</f>
        <v>23.4</v>
      </c>
      <c r="CT384" s="750">
        <f>'FORECAST-CORE'!FN390</f>
        <v>-17.894736842105264</v>
      </c>
      <c r="CU384" s="751">
        <f>'FORECAST-CORE'!FO390</f>
        <v>24.299999999999997</v>
      </c>
      <c r="CV384" s="750">
        <f>'FORECAST-CORE'!FP390</f>
        <v>3.8461538461538325</v>
      </c>
      <c r="CW384" s="751">
        <f>'FORECAST-CORE'!FQ390</f>
        <v>25.92</v>
      </c>
      <c r="CX384" s="750">
        <f>'FORECAST-CORE'!FR390</f>
        <v>6.6666666666666874</v>
      </c>
      <c r="CY384" s="751">
        <f>'FORECAST-CORE'!FS390</f>
        <v>25.92</v>
      </c>
      <c r="CZ384" s="750">
        <f>'FORECAST-CORE'!FT390</f>
        <v>0</v>
      </c>
      <c r="DA384" s="751">
        <f>'FORECAST-CORE'!FU390</f>
        <v>25.92</v>
      </c>
      <c r="DB384" s="750"/>
      <c r="DC384" s="750"/>
      <c r="DD384" s="751"/>
      <c r="DE384" s="750">
        <f>'FORECAST-CORE'!EK390</f>
        <v>440.1</v>
      </c>
      <c r="DF384" s="751" t="str">
        <f>'FORECAST-CORE'!EL390</f>
        <v>NA</v>
      </c>
      <c r="DG384" s="750">
        <f>'FORECAST-CORE'!EM390</f>
        <v>410.4</v>
      </c>
      <c r="DH384" s="751">
        <f>'FORECAST-CORE'!EN390</f>
        <v>-6.7484662576687171</v>
      </c>
      <c r="DI384" s="750">
        <f>'FORECAST-CORE'!EO390</f>
        <v>432.9</v>
      </c>
      <c r="DJ384" s="751">
        <f>'FORECAST-CORE'!EP390</f>
        <v>5.4824561403508776</v>
      </c>
      <c r="DK384" s="750">
        <f>'FORECAST-CORE'!EQ390</f>
        <v>353.7</v>
      </c>
      <c r="DL384" s="751">
        <f>'FORECAST-CORE'!ER390</f>
        <v>-18.295218295218298</v>
      </c>
      <c r="DM384" s="750">
        <f>'FORECAST-CORE'!ES390</f>
        <v>306.5</v>
      </c>
      <c r="DN384" s="751">
        <f>'FORECAST-CORE'!ET390</f>
        <v>-13.344642352275937</v>
      </c>
      <c r="DO384" s="750">
        <f>'FORECAST-CORE'!EU390</f>
        <v>213.49999999999994</v>
      </c>
      <c r="DP384" s="751">
        <f>'FORECAST-CORE'!EV390</f>
        <v>-30.342577487765109</v>
      </c>
      <c r="DQ384" s="750">
        <f>'FORECAST-CORE'!EW390</f>
        <v>241.10000000000002</v>
      </c>
      <c r="DR384" s="751">
        <f>'FORECAST-CORE'!EX390</f>
        <v>12.927400468384121</v>
      </c>
      <c r="DS384" s="750">
        <f>'FORECAST-CORE'!EY390</f>
        <v>71.100000000000009</v>
      </c>
      <c r="DT384" s="751" t="str">
        <f>'FORECAST-CORE'!EZ390</f>
        <v>NM</v>
      </c>
      <c r="DU384" s="750">
        <f>'FORECAST-CORE'!FA390</f>
        <v>97.9</v>
      </c>
      <c r="DV384" s="751">
        <f>'FORECAST-CORE'!FB390</f>
        <v>37.693389592123758</v>
      </c>
      <c r="DW384" s="750">
        <f>'FORECAST-CORE'!FC390</f>
        <v>76.800000000000011</v>
      </c>
      <c r="DX384" s="751">
        <f>'FORECAST-CORE'!FD390</f>
        <v>-21.552604698672106</v>
      </c>
      <c r="DY384" s="750">
        <f>'FORECAST-CORE'!FE390</f>
        <v>47.9</v>
      </c>
      <c r="DZ384" s="751">
        <f>'FORECAST-CORE'!FF390</f>
        <v>-37.63020833333335</v>
      </c>
      <c r="EA384" s="750">
        <f>'FORECAST-CORE'!FG390</f>
        <v>32.4</v>
      </c>
      <c r="EB384" s="751">
        <f>'FORECAST-CORE'!FH390</f>
        <v>-32.359081419624211</v>
      </c>
      <c r="EC384" s="750">
        <f>'FORECAST-CORE'!FI390</f>
        <v>40.299999999999997</v>
      </c>
      <c r="ED384" s="751">
        <f>'FORECAST-CORE'!FJ390</f>
        <v>24.382716049382715</v>
      </c>
      <c r="EE384" s="750">
        <f>'FORECAST-CORE'!FK390</f>
        <v>28.499999999999996</v>
      </c>
      <c r="EF384" s="751">
        <f>'FORECAST-CORE'!FL390</f>
        <v>-29.280397022332505</v>
      </c>
      <c r="EG384" s="750">
        <f>'FORECAST-CORE'!FM390</f>
        <v>23.4</v>
      </c>
      <c r="EH384" s="751">
        <f>'FORECAST-CORE'!FN390</f>
        <v>-17.894736842105264</v>
      </c>
      <c r="EI384" s="750">
        <f>'FORECAST-CORE'!FO390</f>
        <v>24.299999999999997</v>
      </c>
      <c r="EJ384" s="751">
        <f>'FORECAST-CORE'!FP390</f>
        <v>3.8461538461538325</v>
      </c>
      <c r="EK384" s="750">
        <f>'FORECAST-CORE'!FQ390</f>
        <v>25.92</v>
      </c>
      <c r="EL384" s="751">
        <f>'FORECAST-CORE'!FR390</f>
        <v>6.6666666666666874</v>
      </c>
      <c r="EM384" s="750">
        <f>'FORECAST-CORE'!GC390</f>
        <v>0</v>
      </c>
      <c r="EN384" s="751">
        <f>'FORECAST-CORE'!GD390</f>
        <v>0</v>
      </c>
      <c r="EO384" s="750">
        <f>'FORECAST-CORE'!GE390</f>
        <v>0</v>
      </c>
      <c r="EP384" s="751">
        <f>'FORECAST-CORE'!GF390</f>
        <v>0</v>
      </c>
      <c r="EQ384" s="750">
        <f>'FORECAST-CORE'!GG390</f>
        <v>0</v>
      </c>
      <c r="ER384" s="751">
        <f>'FORECAST-CORE'!GH390</f>
        <v>0</v>
      </c>
      <c r="ES384" s="750">
        <f>'FORECAST-CORE'!GI390</f>
        <v>0</v>
      </c>
      <c r="ET384" s="751">
        <f>'FORECAST-CORE'!GJ390</f>
        <v>0</v>
      </c>
      <c r="EU384" s="750">
        <f>'FORECAST-CORE'!GA390</f>
        <v>1.299136822423641</v>
      </c>
      <c r="EV384" s="752"/>
    </row>
    <row r="385" spans="1:152" ht="12.75" hidden="1" customHeight="1" outlineLevel="1" x14ac:dyDescent="0.2">
      <c r="A385" s="749"/>
      <c r="B385" s="750"/>
      <c r="C385" s="751"/>
      <c r="D385" s="750"/>
      <c r="E385" s="751"/>
      <c r="F385" s="750"/>
      <c r="G385" s="751"/>
      <c r="H385" s="750"/>
      <c r="I385" s="751"/>
      <c r="J385" s="750"/>
      <c r="K385" s="751"/>
      <c r="L385" s="750"/>
      <c r="M385" s="751"/>
      <c r="N385" s="750"/>
      <c r="O385" s="751"/>
      <c r="P385" s="750"/>
      <c r="Q385" s="751"/>
      <c r="R385" s="750"/>
      <c r="S385" s="751"/>
      <c r="T385" s="750"/>
      <c r="U385" s="751"/>
      <c r="V385" s="750"/>
      <c r="W385" s="751"/>
      <c r="X385" s="750"/>
      <c r="Y385" s="751"/>
      <c r="Z385" s="750"/>
      <c r="AA385" s="751"/>
      <c r="AB385" s="750"/>
      <c r="AC385" s="751"/>
      <c r="AD385" s="750"/>
      <c r="AE385" s="751"/>
      <c r="AF385" s="750"/>
      <c r="AG385" s="751"/>
      <c r="AH385" s="750"/>
      <c r="AI385" s="751"/>
      <c r="AJ385" s="750"/>
      <c r="AK385" s="751"/>
      <c r="AL385" s="750"/>
      <c r="AM385" s="751"/>
      <c r="AN385" s="750"/>
      <c r="AO385" s="751"/>
      <c r="AP385" s="750"/>
      <c r="AQ385" s="751"/>
      <c r="AR385" s="750"/>
      <c r="AS385" s="751"/>
      <c r="AT385" s="750"/>
      <c r="AU385" s="751"/>
      <c r="AV385" s="750"/>
      <c r="AW385" s="751"/>
      <c r="AX385" s="750"/>
      <c r="AY385" s="751"/>
      <c r="AZ385" s="750"/>
      <c r="BA385" s="751"/>
      <c r="BB385" s="750"/>
      <c r="BC385" s="751"/>
      <c r="BD385" s="750"/>
      <c r="BE385" s="751"/>
      <c r="BF385" s="750"/>
      <c r="BG385" s="751"/>
      <c r="BH385" s="750"/>
      <c r="BI385" s="751"/>
      <c r="BJ385" s="750"/>
      <c r="BK385" s="751"/>
      <c r="BL385" s="750"/>
      <c r="BM385" s="751"/>
      <c r="BN385" s="750"/>
      <c r="BO385" s="751"/>
      <c r="BP385" s="750"/>
      <c r="BQ385" s="751"/>
      <c r="BR385" s="750"/>
      <c r="BS385" s="751"/>
      <c r="BT385" s="750"/>
      <c r="BU385" s="751"/>
      <c r="BV385" s="750"/>
      <c r="BW385" s="751"/>
      <c r="BX385" s="750"/>
      <c r="BY385" s="751"/>
      <c r="BZ385" s="750"/>
      <c r="CA385" s="751"/>
      <c r="CB385" s="750"/>
      <c r="CC385" s="751"/>
      <c r="CD385" s="750"/>
      <c r="CE385" s="751"/>
      <c r="CF385" s="750"/>
      <c r="CG385" s="751"/>
      <c r="CH385" s="750"/>
      <c r="CI385" s="751"/>
      <c r="CJ385" s="750"/>
      <c r="CK385" s="751"/>
      <c r="CL385" s="750"/>
      <c r="CM385" s="751"/>
      <c r="CN385" s="750"/>
      <c r="CO385" s="751"/>
      <c r="CP385" s="750"/>
      <c r="CQ385" s="751"/>
      <c r="CR385" s="750"/>
      <c r="CS385" s="751"/>
      <c r="CT385" s="750"/>
      <c r="CU385" s="751"/>
      <c r="CV385" s="750"/>
      <c r="CW385" s="751"/>
      <c r="CX385" s="750"/>
      <c r="CY385" s="751"/>
      <c r="CZ385" s="750"/>
      <c r="DA385" s="751"/>
      <c r="DB385" s="750"/>
      <c r="DC385" s="750"/>
      <c r="DD385" s="751"/>
      <c r="DE385" s="750"/>
      <c r="DF385" s="751"/>
      <c r="DG385" s="750"/>
      <c r="DH385" s="751"/>
      <c r="DI385" s="750"/>
      <c r="DJ385" s="751"/>
      <c r="DK385" s="750"/>
      <c r="DL385" s="751"/>
      <c r="DM385" s="750"/>
      <c r="DN385" s="751"/>
      <c r="DO385" s="750"/>
      <c r="DP385" s="751"/>
      <c r="DQ385" s="750"/>
      <c r="DR385" s="751"/>
      <c r="DS385" s="750"/>
      <c r="DT385" s="751"/>
      <c r="DU385" s="750"/>
      <c r="DV385" s="751"/>
      <c r="DW385" s="750"/>
      <c r="DX385" s="751"/>
      <c r="DY385" s="750"/>
      <c r="DZ385" s="751"/>
      <c r="EA385" s="750"/>
      <c r="EB385" s="751"/>
      <c r="EC385" s="750"/>
      <c r="ED385" s="751"/>
      <c r="EE385" s="750"/>
      <c r="EF385" s="751"/>
      <c r="EG385" s="750"/>
      <c r="EH385" s="751"/>
      <c r="EI385" s="750"/>
      <c r="EJ385" s="751"/>
      <c r="EK385" s="750"/>
      <c r="EL385" s="751"/>
      <c r="EM385" s="750"/>
      <c r="EN385" s="751"/>
      <c r="EO385" s="750"/>
      <c r="EP385" s="751"/>
      <c r="EQ385" s="750"/>
      <c r="ER385" s="751"/>
      <c r="ES385" s="750"/>
      <c r="ET385" s="751"/>
      <c r="EU385" s="750"/>
      <c r="EV385" s="752"/>
    </row>
    <row r="386" spans="1:152" ht="12.75" hidden="1" customHeight="1" outlineLevel="1" x14ac:dyDescent="0.2">
      <c r="A386" s="749" t="str">
        <f>'FORECAST-CORE'!A392</f>
        <v>EXPENSES</v>
      </c>
      <c r="B386" s="750"/>
      <c r="C386" s="751"/>
      <c r="D386" s="750"/>
      <c r="E386" s="751"/>
      <c r="F386" s="750"/>
      <c r="G386" s="751"/>
      <c r="H386" s="750"/>
      <c r="I386" s="751"/>
      <c r="J386" s="750"/>
      <c r="K386" s="751"/>
      <c r="L386" s="750"/>
      <c r="M386" s="751"/>
      <c r="N386" s="750"/>
      <c r="O386" s="751"/>
      <c r="P386" s="750"/>
      <c r="Q386" s="751"/>
      <c r="R386" s="750"/>
      <c r="S386" s="751"/>
      <c r="T386" s="750"/>
      <c r="U386" s="751"/>
      <c r="V386" s="750"/>
      <c r="W386" s="751"/>
      <c r="X386" s="750"/>
      <c r="Y386" s="751"/>
      <c r="Z386" s="750"/>
      <c r="AA386" s="751"/>
      <c r="AB386" s="750"/>
      <c r="AC386" s="751"/>
      <c r="AD386" s="750"/>
      <c r="AE386" s="751"/>
      <c r="AF386" s="750"/>
      <c r="AG386" s="751"/>
      <c r="AH386" s="750"/>
      <c r="AI386" s="751"/>
      <c r="AJ386" s="750"/>
      <c r="AK386" s="751"/>
      <c r="AL386" s="750"/>
      <c r="AM386" s="751"/>
      <c r="AN386" s="750"/>
      <c r="AO386" s="751"/>
      <c r="AP386" s="750"/>
      <c r="AQ386" s="751"/>
      <c r="AR386" s="750"/>
      <c r="AS386" s="751"/>
      <c r="AT386" s="750"/>
      <c r="AU386" s="751"/>
      <c r="AV386" s="750"/>
      <c r="AW386" s="751"/>
      <c r="AX386" s="750"/>
      <c r="AY386" s="751"/>
      <c r="AZ386" s="750"/>
      <c r="BA386" s="751"/>
      <c r="BB386" s="750"/>
      <c r="BC386" s="751"/>
      <c r="BD386" s="750"/>
      <c r="BE386" s="751"/>
      <c r="BF386" s="750"/>
      <c r="BG386" s="751"/>
      <c r="BH386" s="750"/>
      <c r="BI386" s="751"/>
      <c r="BJ386" s="750"/>
      <c r="BK386" s="751"/>
      <c r="BL386" s="750"/>
      <c r="BM386" s="751"/>
      <c r="BN386" s="750"/>
      <c r="BO386" s="751"/>
      <c r="BP386" s="750"/>
      <c r="BQ386" s="751"/>
      <c r="BR386" s="750"/>
      <c r="BS386" s="751"/>
      <c r="BT386" s="750"/>
      <c r="BU386" s="751"/>
      <c r="BV386" s="750"/>
      <c r="BW386" s="751"/>
      <c r="BX386" s="750"/>
      <c r="BY386" s="751"/>
      <c r="BZ386" s="750"/>
      <c r="CA386" s="751"/>
      <c r="CB386" s="750"/>
      <c r="CC386" s="751"/>
      <c r="CD386" s="750"/>
      <c r="CE386" s="751"/>
      <c r="CF386" s="750"/>
      <c r="CG386" s="751"/>
      <c r="CH386" s="750"/>
      <c r="CI386" s="751"/>
      <c r="CJ386" s="750"/>
      <c r="CK386" s="751"/>
      <c r="CL386" s="750"/>
      <c r="CM386" s="751"/>
      <c r="CN386" s="750"/>
      <c r="CO386" s="751"/>
      <c r="CP386" s="750"/>
      <c r="CQ386" s="751"/>
      <c r="CR386" s="750"/>
      <c r="CS386" s="751"/>
      <c r="CT386" s="750"/>
      <c r="CU386" s="751"/>
      <c r="CV386" s="750"/>
      <c r="CW386" s="751"/>
      <c r="CX386" s="750"/>
      <c r="CY386" s="751"/>
      <c r="CZ386" s="750"/>
      <c r="DA386" s="751"/>
      <c r="DB386" s="750"/>
      <c r="DC386" s="750"/>
      <c r="DD386" s="751"/>
      <c r="DE386" s="750"/>
      <c r="DF386" s="751"/>
      <c r="DG386" s="750"/>
      <c r="DH386" s="751"/>
      <c r="DI386" s="750"/>
      <c r="DJ386" s="751"/>
      <c r="DK386" s="750"/>
      <c r="DL386" s="751"/>
      <c r="DM386" s="750"/>
      <c r="DN386" s="751"/>
      <c r="DO386" s="750"/>
      <c r="DP386" s="751"/>
      <c r="DQ386" s="750"/>
      <c r="DR386" s="751"/>
      <c r="DS386" s="750"/>
      <c r="DT386" s="751"/>
      <c r="DU386" s="750"/>
      <c r="DV386" s="751"/>
      <c r="DW386" s="750"/>
      <c r="DX386" s="751"/>
      <c r="DY386" s="750"/>
      <c r="DZ386" s="751"/>
      <c r="EA386" s="750"/>
      <c r="EB386" s="751"/>
      <c r="EC386" s="750"/>
      <c r="ED386" s="751"/>
      <c r="EE386" s="750"/>
      <c r="EF386" s="751"/>
      <c r="EG386" s="750"/>
      <c r="EH386" s="751"/>
      <c r="EI386" s="750"/>
      <c r="EJ386" s="751"/>
      <c r="EK386" s="750"/>
      <c r="EL386" s="751"/>
      <c r="EM386" s="750"/>
      <c r="EN386" s="751"/>
      <c r="EO386" s="750"/>
      <c r="EP386" s="751"/>
      <c r="EQ386" s="750"/>
      <c r="ER386" s="751"/>
      <c r="ES386" s="750"/>
      <c r="ET386" s="751"/>
      <c r="EU386" s="750"/>
      <c r="EV386" s="752"/>
    </row>
    <row r="387" spans="1:152" ht="12.75" hidden="1" customHeight="1" outlineLevel="1" x14ac:dyDescent="0.2">
      <c r="A387" s="754" t="str">
        <f>'FORECAST-CORE'!A393</f>
        <v>Benefits</v>
      </c>
      <c r="B387" s="750">
        <f>'FORECAST-CORE'!AH393</f>
        <v>31.4</v>
      </c>
      <c r="C387" s="751">
        <f>'FORECAST-CORE'!AI393</f>
        <v>-5.1359516616314327</v>
      </c>
      <c r="D387" s="750">
        <f>'FORECAST-CORE'!AJ393</f>
        <v>30.6</v>
      </c>
      <c r="E387" s="751">
        <f>'FORECAST-CORE'!AK393</f>
        <v>-2.547770700636931</v>
      </c>
      <c r="F387" s="750">
        <f>'FORECAST-CORE'!AL393</f>
        <v>27.3</v>
      </c>
      <c r="G387" s="751">
        <f>'FORECAST-CORE'!AM393</f>
        <v>-10.784313725490202</v>
      </c>
      <c r="H387" s="750">
        <f>'FORECAST-CORE'!AN393</f>
        <v>31.2</v>
      </c>
      <c r="I387" s="751">
        <f>'FORECAST-CORE'!AO393</f>
        <v>14.285714285714279</v>
      </c>
      <c r="J387" s="750">
        <f>'FORECAST-CORE'!AP393</f>
        <v>31.6</v>
      </c>
      <c r="K387" s="751">
        <f>'FORECAST-CORE'!AQ393</f>
        <v>1.2820512820512997</v>
      </c>
      <c r="L387" s="750">
        <f>'FORECAST-CORE'!AR393</f>
        <v>30.6</v>
      </c>
      <c r="M387" s="751">
        <f>'FORECAST-CORE'!AS393</f>
        <v>-3.1645569620253111</v>
      </c>
      <c r="N387" s="750">
        <f>'FORECAST-CORE'!AT393</f>
        <v>25.5</v>
      </c>
      <c r="O387" s="751">
        <f>'FORECAST-CORE'!AU393</f>
        <v>-16.666666666666675</v>
      </c>
      <c r="P387" s="750">
        <f>'FORECAST-CORE'!AV393</f>
        <v>27.5</v>
      </c>
      <c r="Q387" s="751">
        <f>'FORECAST-CORE'!AW393</f>
        <v>7.8431372549019551</v>
      </c>
      <c r="R387" s="750">
        <f>'FORECAST-CORE'!AX393</f>
        <v>28.2</v>
      </c>
      <c r="S387" s="751">
        <f>'FORECAST-CORE'!AY393</f>
        <v>2.5454545454545396</v>
      </c>
      <c r="T387" s="750">
        <f>'FORECAST-CORE'!AZ393</f>
        <v>28</v>
      </c>
      <c r="U387" s="751">
        <f>'FORECAST-CORE'!BA393</f>
        <v>-0.70921985815602939</v>
      </c>
      <c r="V387" s="750">
        <f>'FORECAST-CORE'!BB393</f>
        <v>27.1</v>
      </c>
      <c r="W387" s="751">
        <f>'FORECAST-CORE'!BC393</f>
        <v>-3.214285714285714</v>
      </c>
      <c r="X387" s="750">
        <f>'FORECAST-CORE'!BD393</f>
        <v>24.5</v>
      </c>
      <c r="Y387" s="751">
        <f>'FORECAST-CORE'!BE393</f>
        <v>-9.5940959409594129</v>
      </c>
      <c r="Z387" s="750">
        <f>'FORECAST-CORE'!BF393</f>
        <v>22.8</v>
      </c>
      <c r="AA387" s="751">
        <f>'FORECAST-CORE'!BG393</f>
        <v>-6.938775510204076</v>
      </c>
      <c r="AB387" s="750">
        <f>'FORECAST-CORE'!BH393</f>
        <v>23</v>
      </c>
      <c r="AC387" s="751">
        <f>'FORECAST-CORE'!BI393</f>
        <v>0.87719298245614308</v>
      </c>
      <c r="AD387" s="750">
        <f>'FORECAST-CORE'!BJ393</f>
        <v>24.1</v>
      </c>
      <c r="AE387" s="751">
        <f>'FORECAST-CORE'!BK393</f>
        <v>4.7826086956521907</v>
      </c>
      <c r="AF387" s="750">
        <f>'FORECAST-CORE'!BL393</f>
        <v>22</v>
      </c>
      <c r="AG387" s="751">
        <f>'FORECAST-CORE'!BM393</f>
        <v>-8.7136929460580941</v>
      </c>
      <c r="AH387" s="750">
        <f>'FORECAST-CORE'!BN393</f>
        <v>0</v>
      </c>
      <c r="AI387" s="751" t="str">
        <f>'FORECAST-CORE'!BO393</f>
        <v>NM</v>
      </c>
      <c r="AJ387" s="750">
        <f>'FORECAST-CORE'!BP393</f>
        <v>0</v>
      </c>
      <c r="AK387" s="751" t="str">
        <f>'FORECAST-CORE'!BQ393</f>
        <v>NA</v>
      </c>
      <c r="AL387" s="750">
        <f>'FORECAST-CORE'!BR393</f>
        <v>0</v>
      </c>
      <c r="AM387" s="751" t="str">
        <f>'FORECAST-CORE'!BS393</f>
        <v>NA</v>
      </c>
      <c r="AN387" s="750">
        <f>'FORECAST-CORE'!BT393</f>
        <v>0</v>
      </c>
      <c r="AO387" s="751" t="str">
        <f>'FORECAST-CORE'!BU393</f>
        <v>NA</v>
      </c>
      <c r="AP387" s="750">
        <f>'FORECAST-CORE'!BV393</f>
        <v>0</v>
      </c>
      <c r="AQ387" s="751" t="str">
        <f>'FORECAST-CORE'!BW393</f>
        <v>NA</v>
      </c>
      <c r="AR387" s="750">
        <f>'FORECAST-CORE'!BX393</f>
        <v>0</v>
      </c>
      <c r="AS387" s="751" t="str">
        <f>'FORECAST-CORE'!BY393</f>
        <v>NA</v>
      </c>
      <c r="AT387" s="750">
        <f>'FORECAST-CORE'!BZ393</f>
        <v>0</v>
      </c>
      <c r="AU387" s="751" t="str">
        <f>'FORECAST-CORE'!CA393</f>
        <v>NA</v>
      </c>
      <c r="AV387" s="750">
        <f>'FORECAST-CORE'!CB393</f>
        <v>0</v>
      </c>
      <c r="AW387" s="751" t="str">
        <f>'FORECAST-CORE'!CC393</f>
        <v>NA</v>
      </c>
      <c r="AX387" s="750">
        <f>'FORECAST-CORE'!CD393</f>
        <v>0</v>
      </c>
      <c r="AY387" s="751" t="str">
        <f>'FORECAST-CORE'!CE393</f>
        <v>NA</v>
      </c>
      <c r="AZ387" s="750">
        <f>'FORECAST-CORE'!CF393</f>
        <v>0</v>
      </c>
      <c r="BA387" s="751" t="str">
        <f>'FORECAST-CORE'!CG393</f>
        <v>NA</v>
      </c>
      <c r="BB387" s="750">
        <f>'FORECAST-CORE'!CH393</f>
        <v>0</v>
      </c>
      <c r="BC387" s="751" t="str">
        <f>'FORECAST-CORE'!CI393</f>
        <v>NA</v>
      </c>
      <c r="BD387" s="750">
        <f>'FORECAST-CORE'!CJ393</f>
        <v>0</v>
      </c>
      <c r="BE387" s="751" t="str">
        <f>'FORECAST-CORE'!CK393</f>
        <v>NA</v>
      </c>
      <c r="BF387" s="750">
        <f>'FORECAST-CORE'!CL393</f>
        <v>0</v>
      </c>
      <c r="BG387" s="751" t="str">
        <f>'FORECAST-CORE'!CM393</f>
        <v>NA</v>
      </c>
      <c r="BH387" s="750">
        <f>'FORECAST-CORE'!CN393</f>
        <v>0</v>
      </c>
      <c r="BI387" s="751" t="str">
        <f>'FORECAST-CORE'!CO393</f>
        <v>NA</v>
      </c>
      <c r="BJ387" s="750">
        <f>'FORECAST-CORE'!CP393</f>
        <v>0</v>
      </c>
      <c r="BK387" s="751" t="str">
        <f>'FORECAST-CORE'!CQ393</f>
        <v>NA</v>
      </c>
      <c r="BL387" s="750">
        <f>'FORECAST-CORE'!CR393</f>
        <v>0</v>
      </c>
      <c r="BM387" s="751" t="str">
        <f>'FORECAST-CORE'!CS393</f>
        <v>NA</v>
      </c>
      <c r="BN387" s="750">
        <f>'FORECAST-CORE'!EH393</f>
        <v>0</v>
      </c>
      <c r="BO387" s="751">
        <f>'FORECAST-CORE'!EI393</f>
        <v>0</v>
      </c>
      <c r="BP387" s="750">
        <f>'FORECAST-CORE'!EJ393</f>
        <v>0</v>
      </c>
      <c r="BQ387" s="751">
        <f>'FORECAST-CORE'!EK393</f>
        <v>161.10000000000002</v>
      </c>
      <c r="BR387" s="750" t="str">
        <f>'FORECAST-CORE'!EL393</f>
        <v>NA</v>
      </c>
      <c r="BS387" s="751">
        <f>'FORECAST-CORE'!EM393</f>
        <v>157.10000000000002</v>
      </c>
      <c r="BT387" s="750">
        <f>'FORECAST-CORE'!EN393</f>
        <v>-2.4829298572315306</v>
      </c>
      <c r="BU387" s="751">
        <f>'FORECAST-CORE'!EO393</f>
        <v>142.30000000000001</v>
      </c>
      <c r="BV387" s="750">
        <f>'FORECAST-CORE'!EP393</f>
        <v>-9.4207511139401738</v>
      </c>
      <c r="BW387" s="751">
        <f>'FORECAST-CORE'!EQ393</f>
        <v>122.19999999999999</v>
      </c>
      <c r="BX387" s="750">
        <f>'FORECAST-CORE'!ER393</f>
        <v>-14.125087842586105</v>
      </c>
      <c r="BY387" s="751">
        <f>'FORECAST-CORE'!ES393</f>
        <v>120.5</v>
      </c>
      <c r="BZ387" s="750">
        <f>'FORECAST-CORE'!ET393</f>
        <v>-1.3911620294598914</v>
      </c>
      <c r="CA387" s="751">
        <f>'FORECAST-CORE'!EU393</f>
        <v>115.2</v>
      </c>
      <c r="CB387" s="750">
        <f>'FORECAST-CORE'!EV393</f>
        <v>-4.3983402489626506</v>
      </c>
      <c r="CC387" s="751">
        <f>'FORECAST-CORE'!EW393</f>
        <v>107.80000000000001</v>
      </c>
      <c r="CD387" s="750">
        <f>'FORECAST-CORE'!EX393</f>
        <v>-6.4236111111111054</v>
      </c>
      <c r="CE387" s="751">
        <f>'FORECAST-CORE'!EY393</f>
        <v>0</v>
      </c>
      <c r="CF387" s="750" t="str">
        <f>'FORECAST-CORE'!EZ393</f>
        <v>NM</v>
      </c>
      <c r="CG387" s="751">
        <f>'FORECAST-CORE'!FA393</f>
        <v>0</v>
      </c>
      <c r="CH387" s="750" t="str">
        <f>'FORECAST-CORE'!FB393</f>
        <v>NA</v>
      </c>
      <c r="CI387" s="751">
        <f>'FORECAST-CORE'!FC393</f>
        <v>0</v>
      </c>
      <c r="CJ387" s="750" t="str">
        <f>'FORECAST-CORE'!FD393</f>
        <v>NA</v>
      </c>
      <c r="CK387" s="751">
        <f>'FORECAST-CORE'!FE393</f>
        <v>0</v>
      </c>
      <c r="CL387" s="750" t="str">
        <f>'FORECAST-CORE'!FF393</f>
        <v>NA</v>
      </c>
      <c r="CM387" s="751">
        <f>'FORECAST-CORE'!FG393</f>
        <v>0</v>
      </c>
      <c r="CN387" s="750" t="str">
        <f>'FORECAST-CORE'!FH393</f>
        <v>NA</v>
      </c>
      <c r="CO387" s="751">
        <f>'FORECAST-CORE'!FI393</f>
        <v>0</v>
      </c>
      <c r="CP387" s="750" t="str">
        <f>'FORECAST-CORE'!FJ393</f>
        <v>NA</v>
      </c>
      <c r="CQ387" s="751">
        <f>'FORECAST-CORE'!FK393</f>
        <v>0</v>
      </c>
      <c r="CR387" s="750" t="str">
        <f>'FORECAST-CORE'!FL393</f>
        <v>NA</v>
      </c>
      <c r="CS387" s="751">
        <f>'FORECAST-CORE'!FM393</f>
        <v>0</v>
      </c>
      <c r="CT387" s="750" t="str">
        <f>'FORECAST-CORE'!FN393</f>
        <v>NA</v>
      </c>
      <c r="CU387" s="751">
        <f>'FORECAST-CORE'!FO393</f>
        <v>0</v>
      </c>
      <c r="CV387" s="750" t="str">
        <f>'FORECAST-CORE'!FP393</f>
        <v>NA</v>
      </c>
      <c r="CW387" s="751">
        <f>'FORECAST-CORE'!FQ393</f>
        <v>0</v>
      </c>
      <c r="CX387" s="750" t="str">
        <f>'FORECAST-CORE'!FR393</f>
        <v>NA</v>
      </c>
      <c r="CY387" s="751">
        <f>'FORECAST-CORE'!FS393</f>
        <v>0</v>
      </c>
      <c r="CZ387" s="750" t="str">
        <f>'FORECAST-CORE'!FT393</f>
        <v>NA</v>
      </c>
      <c r="DA387" s="751">
        <f>'FORECAST-CORE'!FU393</f>
        <v>0</v>
      </c>
      <c r="DB387" s="750"/>
      <c r="DC387" s="750"/>
      <c r="DD387" s="751"/>
      <c r="DE387" s="750">
        <f>'FORECAST-CORE'!EK393</f>
        <v>161.10000000000002</v>
      </c>
      <c r="DF387" s="751" t="str">
        <f>'FORECAST-CORE'!EL393</f>
        <v>NA</v>
      </c>
      <c r="DG387" s="750">
        <f>'FORECAST-CORE'!EM393</f>
        <v>157.10000000000002</v>
      </c>
      <c r="DH387" s="751">
        <f>'FORECAST-CORE'!EN393</f>
        <v>-2.4829298572315306</v>
      </c>
      <c r="DI387" s="750">
        <f>'FORECAST-CORE'!EO393</f>
        <v>142.30000000000001</v>
      </c>
      <c r="DJ387" s="751">
        <f>'FORECAST-CORE'!EP393</f>
        <v>-9.4207511139401738</v>
      </c>
      <c r="DK387" s="750">
        <f>'FORECAST-CORE'!EQ393</f>
        <v>122.19999999999999</v>
      </c>
      <c r="DL387" s="751">
        <f>'FORECAST-CORE'!ER393</f>
        <v>-14.125087842586105</v>
      </c>
      <c r="DM387" s="750">
        <f>'FORECAST-CORE'!ES393</f>
        <v>120.5</v>
      </c>
      <c r="DN387" s="751">
        <f>'FORECAST-CORE'!ET393</f>
        <v>-1.3911620294598914</v>
      </c>
      <c r="DO387" s="750">
        <f>'FORECAST-CORE'!EU393</f>
        <v>115.2</v>
      </c>
      <c r="DP387" s="751">
        <f>'FORECAST-CORE'!EV393</f>
        <v>-4.3983402489626506</v>
      </c>
      <c r="DQ387" s="750">
        <f>'FORECAST-CORE'!EW393</f>
        <v>107.80000000000001</v>
      </c>
      <c r="DR387" s="751">
        <f>'FORECAST-CORE'!EX393</f>
        <v>-6.4236111111111054</v>
      </c>
      <c r="DS387" s="750">
        <f>'FORECAST-CORE'!EY393</f>
        <v>0</v>
      </c>
      <c r="DT387" s="751" t="str">
        <f>'FORECAST-CORE'!EZ393</f>
        <v>NM</v>
      </c>
      <c r="DU387" s="750">
        <f>'FORECAST-CORE'!FA393</f>
        <v>0</v>
      </c>
      <c r="DV387" s="751" t="str">
        <f>'FORECAST-CORE'!FB393</f>
        <v>NA</v>
      </c>
      <c r="DW387" s="750">
        <f>'FORECAST-CORE'!FC393</f>
        <v>0</v>
      </c>
      <c r="DX387" s="751" t="str">
        <f>'FORECAST-CORE'!FD393</f>
        <v>NA</v>
      </c>
      <c r="DY387" s="750">
        <f>'FORECAST-CORE'!FE393</f>
        <v>0</v>
      </c>
      <c r="DZ387" s="751" t="str">
        <f>'FORECAST-CORE'!FF393</f>
        <v>NA</v>
      </c>
      <c r="EA387" s="750">
        <f>'FORECAST-CORE'!FG393</f>
        <v>0</v>
      </c>
      <c r="EB387" s="751" t="str">
        <f>'FORECAST-CORE'!FH393</f>
        <v>NA</v>
      </c>
      <c r="EC387" s="750">
        <f>'FORECAST-CORE'!FI393</f>
        <v>0</v>
      </c>
      <c r="ED387" s="751" t="str">
        <f>'FORECAST-CORE'!FJ393</f>
        <v>NA</v>
      </c>
      <c r="EE387" s="750">
        <f>'FORECAST-CORE'!FK393</f>
        <v>0</v>
      </c>
      <c r="EF387" s="751" t="str">
        <f>'FORECAST-CORE'!FL393</f>
        <v>NA</v>
      </c>
      <c r="EG387" s="750">
        <f>'FORECAST-CORE'!FM393</f>
        <v>0</v>
      </c>
      <c r="EH387" s="751" t="str">
        <f>'FORECAST-CORE'!FN393</f>
        <v>NA</v>
      </c>
      <c r="EI387" s="750">
        <f>'FORECAST-CORE'!FO393</f>
        <v>0</v>
      </c>
      <c r="EJ387" s="751" t="str">
        <f>'FORECAST-CORE'!FP393</f>
        <v>NA</v>
      </c>
      <c r="EK387" s="750">
        <f>'FORECAST-CORE'!FQ393</f>
        <v>0</v>
      </c>
      <c r="EL387" s="751" t="str">
        <f>'FORECAST-CORE'!FR393</f>
        <v>NA</v>
      </c>
      <c r="EM387" s="750">
        <f>'FORECAST-CORE'!GC393</f>
        <v>0</v>
      </c>
      <c r="EN387" s="751">
        <f>'FORECAST-CORE'!GD393</f>
        <v>0</v>
      </c>
      <c r="EO387" s="750">
        <f>'FORECAST-CORE'!GE393</f>
        <v>0</v>
      </c>
      <c r="EP387" s="751">
        <f>'FORECAST-CORE'!GF393</f>
        <v>0</v>
      </c>
      <c r="EQ387" s="750">
        <f>'FORECAST-CORE'!GG393</f>
        <v>0</v>
      </c>
      <c r="ER387" s="751">
        <f>'FORECAST-CORE'!GH393</f>
        <v>0</v>
      </c>
      <c r="ES387" s="750">
        <f>'FORECAST-CORE'!GI393</f>
        <v>0</v>
      </c>
      <c r="ET387" s="751">
        <f>'FORECAST-CORE'!GJ393</f>
        <v>0</v>
      </c>
      <c r="EU387" s="750" t="str">
        <f>'FORECAST-CORE'!GA393</f>
        <v>NA</v>
      </c>
      <c r="EV387" s="752"/>
    </row>
    <row r="388" spans="1:152" ht="12.75" hidden="1" customHeight="1" outlineLevel="1" x14ac:dyDescent="0.2">
      <c r="A388" s="754" t="str">
        <f>'FORECAST-CORE'!A394</f>
        <v xml:space="preserve">Commissions </v>
      </c>
      <c r="B388" s="750">
        <f>'FORECAST-CORE'!AH394</f>
        <v>0.4</v>
      </c>
      <c r="C388" s="751">
        <f>'FORECAST-CORE'!AI394</f>
        <v>-50</v>
      </c>
      <c r="D388" s="750">
        <f>'FORECAST-CORE'!AJ394</f>
        <v>0.3</v>
      </c>
      <c r="E388" s="751">
        <f>'FORECAST-CORE'!AK394</f>
        <v>-25.000000000000011</v>
      </c>
      <c r="F388" s="750">
        <f>'FORECAST-CORE'!AL394</f>
        <v>0.4</v>
      </c>
      <c r="G388" s="751">
        <f>'FORECAST-CORE'!AM394</f>
        <v>33.33333333333335</v>
      </c>
      <c r="H388" s="750">
        <f>'FORECAST-CORE'!AN394</f>
        <v>1.9</v>
      </c>
      <c r="I388" s="751" t="str">
        <f>'FORECAST-CORE'!AO394</f>
        <v>NM</v>
      </c>
      <c r="J388" s="750">
        <f>'FORECAST-CORE'!AP394</f>
        <v>0.7</v>
      </c>
      <c r="K388" s="751" t="str">
        <f>'FORECAST-CORE'!AQ394</f>
        <v>NM</v>
      </c>
      <c r="L388" s="750">
        <f>'FORECAST-CORE'!AR394</f>
        <v>0.4</v>
      </c>
      <c r="M388" s="751">
        <f>'FORECAST-CORE'!AS394</f>
        <v>-42.857142857142847</v>
      </c>
      <c r="N388" s="750">
        <f>'FORECAST-CORE'!AT394</f>
        <v>0.4</v>
      </c>
      <c r="O388" s="751">
        <f>'FORECAST-CORE'!AU394</f>
        <v>0</v>
      </c>
      <c r="P388" s="750">
        <f>'FORECAST-CORE'!AV394</f>
        <v>0.4</v>
      </c>
      <c r="Q388" s="751">
        <f>'FORECAST-CORE'!AW394</f>
        <v>0</v>
      </c>
      <c r="R388" s="750">
        <f>'FORECAST-CORE'!AX394</f>
        <v>0.4</v>
      </c>
      <c r="S388" s="751">
        <f>'FORECAST-CORE'!AY394</f>
        <v>0</v>
      </c>
      <c r="T388" s="750">
        <f>'FORECAST-CORE'!AZ394</f>
        <v>0.3</v>
      </c>
      <c r="U388" s="751">
        <f>'FORECAST-CORE'!BA394</f>
        <v>-25.000000000000011</v>
      </c>
      <c r="V388" s="750">
        <f>'FORECAST-CORE'!BB394</f>
        <v>0.3</v>
      </c>
      <c r="W388" s="751">
        <f>'FORECAST-CORE'!BC394</f>
        <v>0</v>
      </c>
      <c r="X388" s="750">
        <f>'FORECAST-CORE'!BD394</f>
        <v>0.2</v>
      </c>
      <c r="Y388" s="751">
        <f>'FORECAST-CORE'!BE394</f>
        <v>-33.333333333333329</v>
      </c>
      <c r="Z388" s="750">
        <f>'FORECAST-CORE'!BF394</f>
        <v>0.2</v>
      </c>
      <c r="AA388" s="751">
        <f>'FORECAST-CORE'!BG394</f>
        <v>0</v>
      </c>
      <c r="AB388" s="750">
        <f>'FORECAST-CORE'!BH394</f>
        <v>0.3</v>
      </c>
      <c r="AC388" s="751">
        <f>'FORECAST-CORE'!BI394</f>
        <v>49.999999999999979</v>
      </c>
      <c r="AD388" s="750">
        <f>'FORECAST-CORE'!BJ394</f>
        <v>0</v>
      </c>
      <c r="AE388" s="751" t="str">
        <f>'FORECAST-CORE'!BK394</f>
        <v>NM</v>
      </c>
      <c r="AF388" s="750">
        <f>'FORECAST-CORE'!BL394</f>
        <v>-0.1</v>
      </c>
      <c r="AG388" s="751" t="str">
        <f>'FORECAST-CORE'!BM394</f>
        <v>NA</v>
      </c>
      <c r="AH388" s="750">
        <f>'FORECAST-CORE'!BN394</f>
        <v>0</v>
      </c>
      <c r="AI388" s="751" t="str">
        <f>'FORECAST-CORE'!BO394</f>
        <v>NM</v>
      </c>
      <c r="AJ388" s="750">
        <f>'FORECAST-CORE'!BP394</f>
        <v>0</v>
      </c>
      <c r="AK388" s="751" t="str">
        <f>'FORECAST-CORE'!BQ394</f>
        <v>NA</v>
      </c>
      <c r="AL388" s="750">
        <f>'FORECAST-CORE'!BR394</f>
        <v>0</v>
      </c>
      <c r="AM388" s="751" t="str">
        <f>'FORECAST-CORE'!BS394</f>
        <v>NA</v>
      </c>
      <c r="AN388" s="750">
        <f>'FORECAST-CORE'!BT394</f>
        <v>0</v>
      </c>
      <c r="AO388" s="751" t="str">
        <f>'FORECAST-CORE'!BU394</f>
        <v>NA</v>
      </c>
      <c r="AP388" s="750">
        <f>'FORECAST-CORE'!BV394</f>
        <v>0</v>
      </c>
      <c r="AQ388" s="751" t="str">
        <f>'FORECAST-CORE'!BW394</f>
        <v>NA</v>
      </c>
      <c r="AR388" s="750">
        <f>'FORECAST-CORE'!BX394</f>
        <v>0</v>
      </c>
      <c r="AS388" s="751" t="str">
        <f>'FORECAST-CORE'!BY394</f>
        <v>NA</v>
      </c>
      <c r="AT388" s="750">
        <f>'FORECAST-CORE'!BZ394</f>
        <v>0</v>
      </c>
      <c r="AU388" s="751" t="str">
        <f>'FORECAST-CORE'!CA394</f>
        <v>NA</v>
      </c>
      <c r="AV388" s="750">
        <f>'FORECAST-CORE'!CB394</f>
        <v>0</v>
      </c>
      <c r="AW388" s="751" t="str">
        <f>'FORECAST-CORE'!CC394</f>
        <v>NA</v>
      </c>
      <c r="AX388" s="750">
        <f>'FORECAST-CORE'!CD394</f>
        <v>0</v>
      </c>
      <c r="AY388" s="751" t="str">
        <f>'FORECAST-CORE'!CE394</f>
        <v>NA</v>
      </c>
      <c r="AZ388" s="750">
        <f>'FORECAST-CORE'!CF394</f>
        <v>0</v>
      </c>
      <c r="BA388" s="751" t="str">
        <f>'FORECAST-CORE'!CG394</f>
        <v>NA</v>
      </c>
      <c r="BB388" s="750">
        <f>'FORECAST-CORE'!CH394</f>
        <v>0</v>
      </c>
      <c r="BC388" s="751" t="str">
        <f>'FORECAST-CORE'!CI394</f>
        <v>NA</v>
      </c>
      <c r="BD388" s="750">
        <f>'FORECAST-CORE'!CJ394</f>
        <v>0</v>
      </c>
      <c r="BE388" s="751" t="str">
        <f>'FORECAST-CORE'!CK394</f>
        <v>NA</v>
      </c>
      <c r="BF388" s="750">
        <f>'FORECAST-CORE'!CL394</f>
        <v>0</v>
      </c>
      <c r="BG388" s="751" t="str">
        <f>'FORECAST-CORE'!CM394</f>
        <v>NA</v>
      </c>
      <c r="BH388" s="750">
        <f>'FORECAST-CORE'!CN394</f>
        <v>0</v>
      </c>
      <c r="BI388" s="751" t="str">
        <f>'FORECAST-CORE'!CO394</f>
        <v>NA</v>
      </c>
      <c r="BJ388" s="750">
        <f>'FORECAST-CORE'!CP394</f>
        <v>0</v>
      </c>
      <c r="BK388" s="751" t="str">
        <f>'FORECAST-CORE'!CQ394</f>
        <v>NA</v>
      </c>
      <c r="BL388" s="750">
        <f>'FORECAST-CORE'!CR394</f>
        <v>0</v>
      </c>
      <c r="BM388" s="751" t="str">
        <f>'FORECAST-CORE'!CS394</f>
        <v>NA</v>
      </c>
      <c r="BN388" s="750">
        <f>'FORECAST-CORE'!EH394</f>
        <v>0</v>
      </c>
      <c r="BO388" s="751">
        <f>'FORECAST-CORE'!EI394</f>
        <v>0</v>
      </c>
      <c r="BP388" s="750">
        <f>'FORECAST-CORE'!EJ394</f>
        <v>0</v>
      </c>
      <c r="BQ388" s="751">
        <f>'FORECAST-CORE'!EK394</f>
        <v>3.1</v>
      </c>
      <c r="BR388" s="750" t="str">
        <f>'FORECAST-CORE'!EL394</f>
        <v>NA</v>
      </c>
      <c r="BS388" s="751">
        <f>'FORECAST-CORE'!EM394</f>
        <v>10.799999999999999</v>
      </c>
      <c r="BT388" s="750" t="str">
        <f>'FORECAST-CORE'!EN394</f>
        <v>NM</v>
      </c>
      <c r="BU388" s="751">
        <f>'FORECAST-CORE'!EO394</f>
        <v>4.9000000000000004</v>
      </c>
      <c r="BV388" s="750" t="str">
        <f>'FORECAST-CORE'!EP394</f>
        <v>NM</v>
      </c>
      <c r="BW388" s="751">
        <f>'FORECAST-CORE'!EQ394</f>
        <v>1.1000000000000001</v>
      </c>
      <c r="BX388" s="750" t="str">
        <f>'FORECAST-CORE'!ER394</f>
        <v>NM</v>
      </c>
      <c r="BY388" s="751">
        <f>'FORECAST-CORE'!ES394</f>
        <v>3</v>
      </c>
      <c r="BZ388" s="750" t="str">
        <f>'FORECAST-CORE'!ET394</f>
        <v>NM</v>
      </c>
      <c r="CA388" s="751">
        <f>'FORECAST-CORE'!EU394</f>
        <v>1.9</v>
      </c>
      <c r="CB388" s="750">
        <f>'FORECAST-CORE'!EV394</f>
        <v>-36.666666666666671</v>
      </c>
      <c r="CC388" s="751">
        <f>'FORECAST-CORE'!EW394</f>
        <v>1.2</v>
      </c>
      <c r="CD388" s="750">
        <f>'FORECAST-CORE'!EX394</f>
        <v>-36.842105263157897</v>
      </c>
      <c r="CE388" s="751">
        <f>'FORECAST-CORE'!EY394</f>
        <v>0</v>
      </c>
      <c r="CF388" s="750" t="str">
        <f>'FORECAST-CORE'!EZ394</f>
        <v>NM</v>
      </c>
      <c r="CG388" s="751">
        <f>'FORECAST-CORE'!FA394</f>
        <v>0</v>
      </c>
      <c r="CH388" s="750" t="str">
        <f>'FORECAST-CORE'!FB394</f>
        <v>NA</v>
      </c>
      <c r="CI388" s="751">
        <f>'FORECAST-CORE'!FC394</f>
        <v>0</v>
      </c>
      <c r="CJ388" s="750" t="str">
        <f>'FORECAST-CORE'!FD394</f>
        <v>NA</v>
      </c>
      <c r="CK388" s="751">
        <f>'FORECAST-CORE'!FE394</f>
        <v>0</v>
      </c>
      <c r="CL388" s="750" t="str">
        <f>'FORECAST-CORE'!FF394</f>
        <v>NA</v>
      </c>
      <c r="CM388" s="751">
        <f>'FORECAST-CORE'!FG394</f>
        <v>0</v>
      </c>
      <c r="CN388" s="750" t="str">
        <f>'FORECAST-CORE'!FH394</f>
        <v>NA</v>
      </c>
      <c r="CO388" s="751">
        <f>'FORECAST-CORE'!FI394</f>
        <v>0</v>
      </c>
      <c r="CP388" s="750" t="str">
        <f>'FORECAST-CORE'!FJ394</f>
        <v>NA</v>
      </c>
      <c r="CQ388" s="751">
        <f>'FORECAST-CORE'!FK394</f>
        <v>0</v>
      </c>
      <c r="CR388" s="750" t="str">
        <f>'FORECAST-CORE'!FL394</f>
        <v>NA</v>
      </c>
      <c r="CS388" s="751">
        <f>'FORECAST-CORE'!FM394</f>
        <v>0</v>
      </c>
      <c r="CT388" s="750" t="str">
        <f>'FORECAST-CORE'!FN394</f>
        <v>NA</v>
      </c>
      <c r="CU388" s="751">
        <f>'FORECAST-CORE'!FO394</f>
        <v>0</v>
      </c>
      <c r="CV388" s="750" t="str">
        <f>'FORECAST-CORE'!FP394</f>
        <v>NA</v>
      </c>
      <c r="CW388" s="751">
        <f>'FORECAST-CORE'!FQ394</f>
        <v>0</v>
      </c>
      <c r="CX388" s="750" t="str">
        <f>'FORECAST-CORE'!FR394</f>
        <v>NA</v>
      </c>
      <c r="CY388" s="751">
        <f>'FORECAST-CORE'!FS394</f>
        <v>0</v>
      </c>
      <c r="CZ388" s="750" t="str">
        <f>'FORECAST-CORE'!FT394</f>
        <v>NA</v>
      </c>
      <c r="DA388" s="751">
        <f>'FORECAST-CORE'!FU394</f>
        <v>0</v>
      </c>
      <c r="DB388" s="750"/>
      <c r="DC388" s="750"/>
      <c r="DD388" s="751"/>
      <c r="DE388" s="750">
        <f>'FORECAST-CORE'!EK394</f>
        <v>3.1</v>
      </c>
      <c r="DF388" s="751" t="str">
        <f>'FORECAST-CORE'!EL394</f>
        <v>NA</v>
      </c>
      <c r="DG388" s="750">
        <f>'FORECAST-CORE'!EM394</f>
        <v>10.799999999999999</v>
      </c>
      <c r="DH388" s="751" t="str">
        <f>'FORECAST-CORE'!EN394</f>
        <v>NM</v>
      </c>
      <c r="DI388" s="750">
        <f>'FORECAST-CORE'!EO394</f>
        <v>4.9000000000000004</v>
      </c>
      <c r="DJ388" s="751" t="str">
        <f>'FORECAST-CORE'!EP394</f>
        <v>NM</v>
      </c>
      <c r="DK388" s="750">
        <f>'FORECAST-CORE'!EQ394</f>
        <v>1.1000000000000001</v>
      </c>
      <c r="DL388" s="751" t="str">
        <f>'FORECAST-CORE'!ER394</f>
        <v>NM</v>
      </c>
      <c r="DM388" s="750">
        <f>'FORECAST-CORE'!ES394</f>
        <v>3</v>
      </c>
      <c r="DN388" s="751" t="str">
        <f>'FORECAST-CORE'!ET394</f>
        <v>NM</v>
      </c>
      <c r="DO388" s="750">
        <f>'FORECAST-CORE'!EU394</f>
        <v>1.9</v>
      </c>
      <c r="DP388" s="751">
        <f>'FORECAST-CORE'!EV394</f>
        <v>-36.666666666666671</v>
      </c>
      <c r="DQ388" s="750">
        <f>'FORECAST-CORE'!EW394</f>
        <v>1.2</v>
      </c>
      <c r="DR388" s="751">
        <f>'FORECAST-CORE'!EX394</f>
        <v>-36.842105263157897</v>
      </c>
      <c r="DS388" s="750">
        <f>'FORECAST-CORE'!EY394</f>
        <v>0</v>
      </c>
      <c r="DT388" s="751" t="str">
        <f>'FORECAST-CORE'!EZ394</f>
        <v>NM</v>
      </c>
      <c r="DU388" s="750">
        <f>'FORECAST-CORE'!FA394</f>
        <v>0</v>
      </c>
      <c r="DV388" s="751" t="str">
        <f>'FORECAST-CORE'!FB394</f>
        <v>NA</v>
      </c>
      <c r="DW388" s="750">
        <f>'FORECAST-CORE'!FC394</f>
        <v>0</v>
      </c>
      <c r="DX388" s="751" t="str">
        <f>'FORECAST-CORE'!FD394</f>
        <v>NA</v>
      </c>
      <c r="DY388" s="750">
        <f>'FORECAST-CORE'!FE394</f>
        <v>0</v>
      </c>
      <c r="DZ388" s="751" t="str">
        <f>'FORECAST-CORE'!FF394</f>
        <v>NA</v>
      </c>
      <c r="EA388" s="750">
        <f>'FORECAST-CORE'!FG394</f>
        <v>0</v>
      </c>
      <c r="EB388" s="751" t="str">
        <f>'FORECAST-CORE'!FH394</f>
        <v>NA</v>
      </c>
      <c r="EC388" s="750">
        <f>'FORECAST-CORE'!FI394</f>
        <v>0</v>
      </c>
      <c r="ED388" s="751" t="str">
        <f>'FORECAST-CORE'!FJ394</f>
        <v>NA</v>
      </c>
      <c r="EE388" s="750">
        <f>'FORECAST-CORE'!FK394</f>
        <v>0</v>
      </c>
      <c r="EF388" s="751" t="str">
        <f>'FORECAST-CORE'!FL394</f>
        <v>NA</v>
      </c>
      <c r="EG388" s="750">
        <f>'FORECAST-CORE'!FM394</f>
        <v>0</v>
      </c>
      <c r="EH388" s="751" t="str">
        <f>'FORECAST-CORE'!FN394</f>
        <v>NA</v>
      </c>
      <c r="EI388" s="750">
        <f>'FORECAST-CORE'!FO394</f>
        <v>0</v>
      </c>
      <c r="EJ388" s="751" t="str">
        <f>'FORECAST-CORE'!FP394</f>
        <v>NA</v>
      </c>
      <c r="EK388" s="750">
        <f>'FORECAST-CORE'!FQ394</f>
        <v>0</v>
      </c>
      <c r="EL388" s="751" t="str">
        <f>'FORECAST-CORE'!FR394</f>
        <v>NA</v>
      </c>
      <c r="EM388" s="750">
        <f>'FORECAST-CORE'!GC394</f>
        <v>0</v>
      </c>
      <c r="EN388" s="751">
        <f>'FORECAST-CORE'!GD394</f>
        <v>0</v>
      </c>
      <c r="EO388" s="750">
        <f>'FORECAST-CORE'!GE394</f>
        <v>0</v>
      </c>
      <c r="EP388" s="751">
        <f>'FORECAST-CORE'!GF394</f>
        <v>0</v>
      </c>
      <c r="EQ388" s="750">
        <f>'FORECAST-CORE'!GG394</f>
        <v>0</v>
      </c>
      <c r="ER388" s="751">
        <f>'FORECAST-CORE'!GH394</f>
        <v>0</v>
      </c>
      <c r="ES388" s="750">
        <f>'FORECAST-CORE'!GI394</f>
        <v>0</v>
      </c>
      <c r="ET388" s="751">
        <f>'FORECAST-CORE'!GJ394</f>
        <v>0</v>
      </c>
      <c r="EU388" s="750" t="str">
        <f>'FORECAST-CORE'!GA394</f>
        <v>NA</v>
      </c>
      <c r="EV388" s="752"/>
    </row>
    <row r="389" spans="1:152" ht="12.75" hidden="1" customHeight="1" outlineLevel="1" x14ac:dyDescent="0.2">
      <c r="A389" s="754" t="str">
        <f>'FORECAST-CORE'!A395</f>
        <v>Net Change in DPAC</v>
      </c>
      <c r="B389" s="750">
        <f>'FORECAST-CORE'!AH395</f>
        <v>0</v>
      </c>
      <c r="C389" s="751" t="str">
        <f>'FORECAST-CORE'!AI395</f>
        <v>NM</v>
      </c>
      <c r="D389" s="750">
        <f>'FORECAST-CORE'!AJ395</f>
        <v>0</v>
      </c>
      <c r="E389" s="751" t="str">
        <f>'FORECAST-CORE'!AK395</f>
        <v>NA</v>
      </c>
      <c r="F389" s="750">
        <f>'FORECAST-CORE'!AL395</f>
        <v>0</v>
      </c>
      <c r="G389" s="751" t="str">
        <f>'FORECAST-CORE'!AM395</f>
        <v>NA</v>
      </c>
      <c r="H389" s="750">
        <f>'FORECAST-CORE'!AN395</f>
        <v>0</v>
      </c>
      <c r="I389" s="751" t="str">
        <f>'FORECAST-CORE'!AO395</f>
        <v>NA</v>
      </c>
      <c r="J389" s="750">
        <f>'FORECAST-CORE'!AP395</f>
        <v>0</v>
      </c>
      <c r="K389" s="751" t="str">
        <f>'FORECAST-CORE'!AQ395</f>
        <v>NA</v>
      </c>
      <c r="L389" s="750">
        <f>'FORECAST-CORE'!AR395</f>
        <v>0</v>
      </c>
      <c r="M389" s="751" t="str">
        <f>'FORECAST-CORE'!AS395</f>
        <v>NA</v>
      </c>
      <c r="N389" s="750">
        <f>'FORECAST-CORE'!AT395</f>
        <v>0</v>
      </c>
      <c r="O389" s="751" t="str">
        <f>'FORECAST-CORE'!AU395</f>
        <v>NA</v>
      </c>
      <c r="P389" s="750">
        <f>'FORECAST-CORE'!AV395</f>
        <v>0</v>
      </c>
      <c r="Q389" s="751" t="str">
        <f>'FORECAST-CORE'!AW395</f>
        <v>NA</v>
      </c>
      <c r="R389" s="750">
        <f>'FORECAST-CORE'!AX395</f>
        <v>0</v>
      </c>
      <c r="S389" s="751" t="str">
        <f>'FORECAST-CORE'!AY395</f>
        <v>NA</v>
      </c>
      <c r="T389" s="750">
        <f>'FORECAST-CORE'!AZ395</f>
        <v>0</v>
      </c>
      <c r="U389" s="751" t="str">
        <f>'FORECAST-CORE'!BA395</f>
        <v>NA</v>
      </c>
      <c r="V389" s="750">
        <f>'FORECAST-CORE'!BB395</f>
        <v>0</v>
      </c>
      <c r="W389" s="751" t="str">
        <f>'FORECAST-CORE'!BC395</f>
        <v>NA</v>
      </c>
      <c r="X389" s="750">
        <f>'FORECAST-CORE'!BD395</f>
        <v>0</v>
      </c>
      <c r="Y389" s="751" t="str">
        <f>'FORECAST-CORE'!BE395</f>
        <v>NA</v>
      </c>
      <c r="Z389" s="750">
        <f>'FORECAST-CORE'!BF395</f>
        <v>0</v>
      </c>
      <c r="AA389" s="751" t="str">
        <f>'FORECAST-CORE'!BG395</f>
        <v>NA</v>
      </c>
      <c r="AB389" s="750">
        <f>'FORECAST-CORE'!BH395</f>
        <v>0</v>
      </c>
      <c r="AC389" s="751" t="str">
        <f>'FORECAST-CORE'!BI395</f>
        <v>NA</v>
      </c>
      <c r="AD389" s="750">
        <f>'FORECAST-CORE'!BJ395</f>
        <v>0</v>
      </c>
      <c r="AE389" s="751" t="str">
        <f>'FORECAST-CORE'!BK395</f>
        <v>NA</v>
      </c>
      <c r="AF389" s="750">
        <f>'FORECAST-CORE'!BL395</f>
        <v>0</v>
      </c>
      <c r="AG389" s="751" t="str">
        <f>'FORECAST-CORE'!BM395</f>
        <v>NA</v>
      </c>
      <c r="AH389" s="750">
        <f>'FORECAST-CORE'!BN395</f>
        <v>0</v>
      </c>
      <c r="AI389" s="751" t="str">
        <f>'FORECAST-CORE'!BO395</f>
        <v>NA</v>
      </c>
      <c r="AJ389" s="750">
        <f>'FORECAST-CORE'!BP395</f>
        <v>0</v>
      </c>
      <c r="AK389" s="751" t="str">
        <f>'FORECAST-CORE'!BQ395</f>
        <v>NA</v>
      </c>
      <c r="AL389" s="750">
        <f>'FORECAST-CORE'!BR395</f>
        <v>0</v>
      </c>
      <c r="AM389" s="751" t="str">
        <f>'FORECAST-CORE'!BS395</f>
        <v>NA</v>
      </c>
      <c r="AN389" s="750">
        <f>'FORECAST-CORE'!BT395</f>
        <v>0</v>
      </c>
      <c r="AO389" s="751" t="str">
        <f>'FORECAST-CORE'!BU395</f>
        <v>NA</v>
      </c>
      <c r="AP389" s="750">
        <f>'FORECAST-CORE'!BV395</f>
        <v>0</v>
      </c>
      <c r="AQ389" s="751" t="str">
        <f>'FORECAST-CORE'!BW395</f>
        <v>NA</v>
      </c>
      <c r="AR389" s="750">
        <f>'FORECAST-CORE'!BX395</f>
        <v>0</v>
      </c>
      <c r="AS389" s="751" t="str">
        <f>'FORECAST-CORE'!BY395</f>
        <v>NA</v>
      </c>
      <c r="AT389" s="750">
        <f>'FORECAST-CORE'!BZ395</f>
        <v>0</v>
      </c>
      <c r="AU389" s="751" t="str">
        <f>'FORECAST-CORE'!CA395</f>
        <v>NA</v>
      </c>
      <c r="AV389" s="750">
        <f>'FORECAST-CORE'!CB395</f>
        <v>0</v>
      </c>
      <c r="AW389" s="751" t="str">
        <f>'FORECAST-CORE'!CC395</f>
        <v>NA</v>
      </c>
      <c r="AX389" s="750">
        <f>'FORECAST-CORE'!CD395</f>
        <v>0</v>
      </c>
      <c r="AY389" s="751" t="str">
        <f>'FORECAST-CORE'!CE395</f>
        <v>NA</v>
      </c>
      <c r="AZ389" s="750">
        <f>'FORECAST-CORE'!CF395</f>
        <v>0</v>
      </c>
      <c r="BA389" s="751" t="str">
        <f>'FORECAST-CORE'!CG395</f>
        <v>NA</v>
      </c>
      <c r="BB389" s="750">
        <f>'FORECAST-CORE'!CH395</f>
        <v>0</v>
      </c>
      <c r="BC389" s="751" t="str">
        <f>'FORECAST-CORE'!CI395</f>
        <v>NA</v>
      </c>
      <c r="BD389" s="750">
        <f>'FORECAST-CORE'!CJ395</f>
        <v>0</v>
      </c>
      <c r="BE389" s="751" t="str">
        <f>'FORECAST-CORE'!CK395</f>
        <v>NA</v>
      </c>
      <c r="BF389" s="750">
        <f>'FORECAST-CORE'!CL395</f>
        <v>0</v>
      </c>
      <c r="BG389" s="751" t="str">
        <f>'FORECAST-CORE'!CM395</f>
        <v>NA</v>
      </c>
      <c r="BH389" s="750">
        <f>'FORECAST-CORE'!CN395</f>
        <v>0</v>
      </c>
      <c r="BI389" s="751" t="str">
        <f>'FORECAST-CORE'!CO395</f>
        <v>NA</v>
      </c>
      <c r="BJ389" s="750">
        <f>'FORECAST-CORE'!CP395</f>
        <v>0</v>
      </c>
      <c r="BK389" s="751" t="str">
        <f>'FORECAST-CORE'!CQ395</f>
        <v>NA</v>
      </c>
      <c r="BL389" s="750">
        <f>'FORECAST-CORE'!CR395</f>
        <v>0</v>
      </c>
      <c r="BM389" s="751" t="str">
        <f>'FORECAST-CORE'!CS395</f>
        <v>NA</v>
      </c>
      <c r="BN389" s="750">
        <f>'FORECAST-CORE'!EH395</f>
        <v>0</v>
      </c>
      <c r="BO389" s="751">
        <f>'FORECAST-CORE'!EI395</f>
        <v>0</v>
      </c>
      <c r="BP389" s="750">
        <f>'FORECAST-CORE'!EJ395</f>
        <v>0</v>
      </c>
      <c r="BQ389" s="751">
        <f>'FORECAST-CORE'!EK395</f>
        <v>0.1</v>
      </c>
      <c r="BR389" s="750" t="str">
        <f>'FORECAST-CORE'!EL395</f>
        <v>NA</v>
      </c>
      <c r="BS389" s="751">
        <f>'FORECAST-CORE'!EM395</f>
        <v>0.1</v>
      </c>
      <c r="BT389" s="750">
        <f>'FORECAST-CORE'!EN395</f>
        <v>0</v>
      </c>
      <c r="BU389" s="751">
        <f>'FORECAST-CORE'!EO395</f>
        <v>0.1</v>
      </c>
      <c r="BV389" s="750">
        <f>'FORECAST-CORE'!EP395</f>
        <v>0</v>
      </c>
      <c r="BW389" s="751">
        <f>'FORECAST-CORE'!EQ395</f>
        <v>0.5</v>
      </c>
      <c r="BX389" s="750" t="str">
        <f>'FORECAST-CORE'!ER395</f>
        <v>NM</v>
      </c>
      <c r="BY389" s="751">
        <f>'FORECAST-CORE'!ES395</f>
        <v>0</v>
      </c>
      <c r="BZ389" s="750" t="str">
        <f>'FORECAST-CORE'!ET395</f>
        <v>NM</v>
      </c>
      <c r="CA389" s="751">
        <f>'FORECAST-CORE'!EU395</f>
        <v>0</v>
      </c>
      <c r="CB389" s="750" t="str">
        <f>'FORECAST-CORE'!EV395</f>
        <v>NA</v>
      </c>
      <c r="CC389" s="751">
        <f>'FORECAST-CORE'!EW395</f>
        <v>0</v>
      </c>
      <c r="CD389" s="750" t="str">
        <f>'FORECAST-CORE'!EX395</f>
        <v>NA</v>
      </c>
      <c r="CE389" s="751">
        <f>'FORECAST-CORE'!EY395</f>
        <v>0</v>
      </c>
      <c r="CF389" s="750" t="str">
        <f>'FORECAST-CORE'!EZ395</f>
        <v>NA</v>
      </c>
      <c r="CG389" s="751">
        <f>'FORECAST-CORE'!FA395</f>
        <v>0</v>
      </c>
      <c r="CH389" s="750" t="str">
        <f>'FORECAST-CORE'!FB395</f>
        <v>NA</v>
      </c>
      <c r="CI389" s="751">
        <f>'FORECAST-CORE'!FC395</f>
        <v>0</v>
      </c>
      <c r="CJ389" s="750" t="str">
        <f>'FORECAST-CORE'!FD395</f>
        <v>NA</v>
      </c>
      <c r="CK389" s="751">
        <f>'FORECAST-CORE'!FE395</f>
        <v>0</v>
      </c>
      <c r="CL389" s="750" t="str">
        <f>'FORECAST-CORE'!FF395</f>
        <v>NA</v>
      </c>
      <c r="CM389" s="751">
        <f>'FORECAST-CORE'!FG395</f>
        <v>0</v>
      </c>
      <c r="CN389" s="750" t="str">
        <f>'FORECAST-CORE'!FH395</f>
        <v>NA</v>
      </c>
      <c r="CO389" s="751">
        <f>'FORECAST-CORE'!FI395</f>
        <v>0</v>
      </c>
      <c r="CP389" s="750" t="str">
        <f>'FORECAST-CORE'!FJ395</f>
        <v>NA</v>
      </c>
      <c r="CQ389" s="751">
        <f>'FORECAST-CORE'!FK395</f>
        <v>0</v>
      </c>
      <c r="CR389" s="750" t="str">
        <f>'FORECAST-CORE'!FL395</f>
        <v>NA</v>
      </c>
      <c r="CS389" s="751">
        <f>'FORECAST-CORE'!FM395</f>
        <v>0</v>
      </c>
      <c r="CT389" s="750" t="str">
        <f>'FORECAST-CORE'!FN395</f>
        <v>NA</v>
      </c>
      <c r="CU389" s="751">
        <f>'FORECAST-CORE'!FO395</f>
        <v>0</v>
      </c>
      <c r="CV389" s="750" t="str">
        <f>'FORECAST-CORE'!FP395</f>
        <v>NA</v>
      </c>
      <c r="CW389" s="751">
        <f>'FORECAST-CORE'!FQ395</f>
        <v>0</v>
      </c>
      <c r="CX389" s="750" t="str">
        <f>'FORECAST-CORE'!FR395</f>
        <v>NA</v>
      </c>
      <c r="CY389" s="751">
        <f>'FORECAST-CORE'!FS395</f>
        <v>0</v>
      </c>
      <c r="CZ389" s="750" t="str">
        <f>'FORECAST-CORE'!FT395</f>
        <v>NA</v>
      </c>
      <c r="DA389" s="751">
        <f>'FORECAST-CORE'!FU395</f>
        <v>0</v>
      </c>
      <c r="DB389" s="750"/>
      <c r="DC389" s="750"/>
      <c r="DD389" s="751"/>
      <c r="DE389" s="750">
        <f>'FORECAST-CORE'!EK395</f>
        <v>0.1</v>
      </c>
      <c r="DF389" s="751" t="str">
        <f>'FORECAST-CORE'!EL395</f>
        <v>NA</v>
      </c>
      <c r="DG389" s="750">
        <f>'FORECAST-CORE'!EM395</f>
        <v>0.1</v>
      </c>
      <c r="DH389" s="751">
        <f>'FORECAST-CORE'!EN395</f>
        <v>0</v>
      </c>
      <c r="DI389" s="750">
        <f>'FORECAST-CORE'!EO395</f>
        <v>0.1</v>
      </c>
      <c r="DJ389" s="751">
        <f>'FORECAST-CORE'!EP395</f>
        <v>0</v>
      </c>
      <c r="DK389" s="750">
        <f>'FORECAST-CORE'!EQ395</f>
        <v>0.5</v>
      </c>
      <c r="DL389" s="751" t="str">
        <f>'FORECAST-CORE'!ER395</f>
        <v>NM</v>
      </c>
      <c r="DM389" s="750">
        <f>'FORECAST-CORE'!ES395</f>
        <v>0</v>
      </c>
      <c r="DN389" s="751" t="str">
        <f>'FORECAST-CORE'!ET395</f>
        <v>NM</v>
      </c>
      <c r="DO389" s="750">
        <f>'FORECAST-CORE'!EU395</f>
        <v>0</v>
      </c>
      <c r="DP389" s="751" t="str">
        <f>'FORECAST-CORE'!EV395</f>
        <v>NA</v>
      </c>
      <c r="DQ389" s="750">
        <f>'FORECAST-CORE'!EW395</f>
        <v>0</v>
      </c>
      <c r="DR389" s="751" t="str">
        <f>'FORECAST-CORE'!EX395</f>
        <v>NA</v>
      </c>
      <c r="DS389" s="750">
        <f>'FORECAST-CORE'!EY395</f>
        <v>0</v>
      </c>
      <c r="DT389" s="751" t="str">
        <f>'FORECAST-CORE'!EZ395</f>
        <v>NA</v>
      </c>
      <c r="DU389" s="750">
        <f>'FORECAST-CORE'!FA395</f>
        <v>0</v>
      </c>
      <c r="DV389" s="751" t="str">
        <f>'FORECAST-CORE'!FB395</f>
        <v>NA</v>
      </c>
      <c r="DW389" s="750">
        <f>'FORECAST-CORE'!FC395</f>
        <v>0</v>
      </c>
      <c r="DX389" s="751" t="str">
        <f>'FORECAST-CORE'!FD395</f>
        <v>NA</v>
      </c>
      <c r="DY389" s="750">
        <f>'FORECAST-CORE'!FE395</f>
        <v>0</v>
      </c>
      <c r="DZ389" s="751" t="str">
        <f>'FORECAST-CORE'!FF395</f>
        <v>NA</v>
      </c>
      <c r="EA389" s="750">
        <f>'FORECAST-CORE'!FG395</f>
        <v>0</v>
      </c>
      <c r="EB389" s="751" t="str">
        <f>'FORECAST-CORE'!FH395</f>
        <v>NA</v>
      </c>
      <c r="EC389" s="750">
        <f>'FORECAST-CORE'!FI395</f>
        <v>0</v>
      </c>
      <c r="ED389" s="751" t="str">
        <f>'FORECAST-CORE'!FJ395</f>
        <v>NA</v>
      </c>
      <c r="EE389" s="750">
        <f>'FORECAST-CORE'!FK395</f>
        <v>0</v>
      </c>
      <c r="EF389" s="751" t="str">
        <f>'FORECAST-CORE'!FL395</f>
        <v>NA</v>
      </c>
      <c r="EG389" s="750">
        <f>'FORECAST-CORE'!FM395</f>
        <v>0</v>
      </c>
      <c r="EH389" s="751" t="str">
        <f>'FORECAST-CORE'!FN395</f>
        <v>NA</v>
      </c>
      <c r="EI389" s="750">
        <f>'FORECAST-CORE'!FO395</f>
        <v>0</v>
      </c>
      <c r="EJ389" s="751" t="str">
        <f>'FORECAST-CORE'!FP395</f>
        <v>NA</v>
      </c>
      <c r="EK389" s="750">
        <f>'FORECAST-CORE'!FQ395</f>
        <v>0</v>
      </c>
      <c r="EL389" s="751" t="str">
        <f>'FORECAST-CORE'!FR395</f>
        <v>NA</v>
      </c>
      <c r="EM389" s="750">
        <f>'FORECAST-CORE'!GC395</f>
        <v>0</v>
      </c>
      <c r="EN389" s="751">
        <f>'FORECAST-CORE'!GD395</f>
        <v>0</v>
      </c>
      <c r="EO389" s="750">
        <f>'FORECAST-CORE'!GE395</f>
        <v>0</v>
      </c>
      <c r="EP389" s="751">
        <f>'FORECAST-CORE'!GF395</f>
        <v>0</v>
      </c>
      <c r="EQ389" s="750">
        <f>'FORECAST-CORE'!GG395</f>
        <v>0</v>
      </c>
      <c r="ER389" s="751">
        <f>'FORECAST-CORE'!GH395</f>
        <v>0</v>
      </c>
      <c r="ES389" s="750">
        <f>'FORECAST-CORE'!GI395</f>
        <v>0</v>
      </c>
      <c r="ET389" s="751">
        <f>'FORECAST-CORE'!GJ395</f>
        <v>0</v>
      </c>
      <c r="EU389" s="750" t="str">
        <f>'FORECAST-CORE'!GA395</f>
        <v>NA</v>
      </c>
      <c r="EV389" s="752"/>
    </row>
    <row r="390" spans="1:152" ht="12.75" hidden="1" customHeight="1" outlineLevel="1" x14ac:dyDescent="0.2">
      <c r="A390" s="754" t="str">
        <f>'FORECAST-CORE'!A396</f>
        <v>Amortization of Goodwill</v>
      </c>
      <c r="B390" s="750">
        <f>'FORECAST-CORE'!AH396</f>
        <v>0</v>
      </c>
      <c r="C390" s="751" t="str">
        <f>'FORECAST-CORE'!AI396</f>
        <v>NA</v>
      </c>
      <c r="D390" s="750">
        <f>'FORECAST-CORE'!AJ396</f>
        <v>0</v>
      </c>
      <c r="E390" s="751" t="str">
        <f>'FORECAST-CORE'!AK396</f>
        <v>NA</v>
      </c>
      <c r="F390" s="750">
        <f>'FORECAST-CORE'!AL396</f>
        <v>0</v>
      </c>
      <c r="G390" s="751" t="str">
        <f>'FORECAST-CORE'!AM396</f>
        <v>NA</v>
      </c>
      <c r="H390" s="750">
        <f>'FORECAST-CORE'!AN396</f>
        <v>0</v>
      </c>
      <c r="I390" s="751" t="str">
        <f>'FORECAST-CORE'!AO396</f>
        <v>NA</v>
      </c>
      <c r="J390" s="750">
        <f>'FORECAST-CORE'!AP396</f>
        <v>0</v>
      </c>
      <c r="K390" s="751" t="str">
        <f>'FORECAST-CORE'!AQ396</f>
        <v>NA</v>
      </c>
      <c r="L390" s="750">
        <f>'FORECAST-CORE'!AR396</f>
        <v>0</v>
      </c>
      <c r="M390" s="751" t="str">
        <f>'FORECAST-CORE'!AS396</f>
        <v>NA</v>
      </c>
      <c r="N390" s="750">
        <f>'FORECAST-CORE'!AT396</f>
        <v>0</v>
      </c>
      <c r="O390" s="751" t="str">
        <f>'FORECAST-CORE'!AU396</f>
        <v>NA</v>
      </c>
      <c r="P390" s="750">
        <f>'FORECAST-CORE'!AV396</f>
        <v>0</v>
      </c>
      <c r="Q390" s="751" t="str">
        <f>'FORECAST-CORE'!AW396</f>
        <v>NA</v>
      </c>
      <c r="R390" s="750">
        <f>'FORECAST-CORE'!AX396</f>
        <v>0</v>
      </c>
      <c r="S390" s="751" t="str">
        <f>'FORECAST-CORE'!AY396</f>
        <v>NA</v>
      </c>
      <c r="T390" s="750">
        <f>'FORECAST-CORE'!AZ396</f>
        <v>0</v>
      </c>
      <c r="U390" s="751" t="str">
        <f>'FORECAST-CORE'!BA396</f>
        <v>NA</v>
      </c>
      <c r="V390" s="750">
        <f>'FORECAST-CORE'!BB396</f>
        <v>0</v>
      </c>
      <c r="W390" s="751" t="str">
        <f>'FORECAST-CORE'!BC396</f>
        <v>NA</v>
      </c>
      <c r="X390" s="750">
        <f>'FORECAST-CORE'!BD396</f>
        <v>0</v>
      </c>
      <c r="Y390" s="751" t="str">
        <f>'FORECAST-CORE'!BE396</f>
        <v>NA</v>
      </c>
      <c r="Z390" s="750">
        <f>'FORECAST-CORE'!BF396</f>
        <v>0</v>
      </c>
      <c r="AA390" s="751" t="str">
        <f>'FORECAST-CORE'!BG396</f>
        <v>NA</v>
      </c>
      <c r="AB390" s="750">
        <f>'FORECAST-CORE'!BH396</f>
        <v>0</v>
      </c>
      <c r="AC390" s="751" t="str">
        <f>'FORECAST-CORE'!BI396</f>
        <v>NA</v>
      </c>
      <c r="AD390" s="750">
        <f>'FORECAST-CORE'!BJ396</f>
        <v>0</v>
      </c>
      <c r="AE390" s="751" t="str">
        <f>'FORECAST-CORE'!BK396</f>
        <v>NA</v>
      </c>
      <c r="AF390" s="750">
        <f>'FORECAST-CORE'!BL396</f>
        <v>0</v>
      </c>
      <c r="AG390" s="751" t="str">
        <f>'FORECAST-CORE'!BM396</f>
        <v>NA</v>
      </c>
      <c r="AH390" s="750">
        <f>'FORECAST-CORE'!BN396</f>
        <v>0</v>
      </c>
      <c r="AI390" s="751" t="str">
        <f>'FORECAST-CORE'!BO396</f>
        <v>NA</v>
      </c>
      <c r="AJ390" s="750">
        <f>'FORECAST-CORE'!BP396</f>
        <v>0</v>
      </c>
      <c r="AK390" s="751" t="str">
        <f>'FORECAST-CORE'!BQ396</f>
        <v>NA</v>
      </c>
      <c r="AL390" s="750">
        <f>'FORECAST-CORE'!BR396</f>
        <v>0</v>
      </c>
      <c r="AM390" s="751" t="str">
        <f>'FORECAST-CORE'!BS396</f>
        <v>NA</v>
      </c>
      <c r="AN390" s="750">
        <f>'FORECAST-CORE'!BT396</f>
        <v>0</v>
      </c>
      <c r="AO390" s="751" t="str">
        <f>'FORECAST-CORE'!BU396</f>
        <v>NA</v>
      </c>
      <c r="AP390" s="750">
        <f>'FORECAST-CORE'!BV396</f>
        <v>0</v>
      </c>
      <c r="AQ390" s="751" t="str">
        <f>'FORECAST-CORE'!BW396</f>
        <v>NA</v>
      </c>
      <c r="AR390" s="750">
        <f>'FORECAST-CORE'!BX396</f>
        <v>0</v>
      </c>
      <c r="AS390" s="751" t="str">
        <f>'FORECAST-CORE'!BY396</f>
        <v>NA</v>
      </c>
      <c r="AT390" s="750">
        <f>'FORECAST-CORE'!BZ396</f>
        <v>0</v>
      </c>
      <c r="AU390" s="751" t="str">
        <f>'FORECAST-CORE'!CA396</f>
        <v>NA</v>
      </c>
      <c r="AV390" s="750">
        <f>'FORECAST-CORE'!CB396</f>
        <v>0</v>
      </c>
      <c r="AW390" s="751" t="str">
        <f>'FORECAST-CORE'!CC396</f>
        <v>NA</v>
      </c>
      <c r="AX390" s="750">
        <f>'FORECAST-CORE'!CD396</f>
        <v>0</v>
      </c>
      <c r="AY390" s="751" t="str">
        <f>'FORECAST-CORE'!CE396</f>
        <v>NA</v>
      </c>
      <c r="AZ390" s="750">
        <f>'FORECAST-CORE'!CF396</f>
        <v>0</v>
      </c>
      <c r="BA390" s="751" t="str">
        <f>'FORECAST-CORE'!CG396</f>
        <v>NA</v>
      </c>
      <c r="BB390" s="750">
        <f>'FORECAST-CORE'!CH396</f>
        <v>0</v>
      </c>
      <c r="BC390" s="751" t="str">
        <f>'FORECAST-CORE'!CI396</f>
        <v>NA</v>
      </c>
      <c r="BD390" s="750">
        <f>'FORECAST-CORE'!CJ396</f>
        <v>0</v>
      </c>
      <c r="BE390" s="751" t="str">
        <f>'FORECAST-CORE'!CK396</f>
        <v>NA</v>
      </c>
      <c r="BF390" s="750">
        <f>'FORECAST-CORE'!CL396</f>
        <v>0</v>
      </c>
      <c r="BG390" s="751" t="str">
        <f>'FORECAST-CORE'!CM396</f>
        <v>NA</v>
      </c>
      <c r="BH390" s="750">
        <f>'FORECAST-CORE'!CN396</f>
        <v>0</v>
      </c>
      <c r="BI390" s="751" t="str">
        <f>'FORECAST-CORE'!CO396</f>
        <v>NA</v>
      </c>
      <c r="BJ390" s="750">
        <f>'FORECAST-CORE'!CP396</f>
        <v>0</v>
      </c>
      <c r="BK390" s="751" t="str">
        <f>'FORECAST-CORE'!CQ396</f>
        <v>NA</v>
      </c>
      <c r="BL390" s="750">
        <f>'FORECAST-CORE'!CR396</f>
        <v>0</v>
      </c>
      <c r="BM390" s="751" t="str">
        <f>'FORECAST-CORE'!CS396</f>
        <v>NA</v>
      </c>
      <c r="BN390" s="750">
        <f>'FORECAST-CORE'!EH396</f>
        <v>0</v>
      </c>
      <c r="BO390" s="751">
        <f>'FORECAST-CORE'!EI396</f>
        <v>0</v>
      </c>
      <c r="BP390" s="750">
        <f>'FORECAST-CORE'!EJ396</f>
        <v>0</v>
      </c>
      <c r="BQ390" s="751">
        <f>'FORECAST-CORE'!EK396</f>
        <v>0</v>
      </c>
      <c r="BR390" s="750" t="str">
        <f>'FORECAST-CORE'!EL396</f>
        <v>NA</v>
      </c>
      <c r="BS390" s="751">
        <f>'FORECAST-CORE'!EM396</f>
        <v>0</v>
      </c>
      <c r="BT390" s="750" t="str">
        <f>'FORECAST-CORE'!EN396</f>
        <v>NA</v>
      </c>
      <c r="BU390" s="751">
        <f>'FORECAST-CORE'!EO396</f>
        <v>0</v>
      </c>
      <c r="BV390" s="750" t="str">
        <f>'FORECAST-CORE'!EP396</f>
        <v>NA</v>
      </c>
      <c r="BW390" s="751">
        <f>'FORECAST-CORE'!EQ396</f>
        <v>0</v>
      </c>
      <c r="BX390" s="750" t="str">
        <f>'FORECAST-CORE'!ER396</f>
        <v>NA</v>
      </c>
      <c r="BY390" s="751">
        <f>'FORECAST-CORE'!ES396</f>
        <v>0</v>
      </c>
      <c r="BZ390" s="750" t="str">
        <f>'FORECAST-CORE'!ET396</f>
        <v>NA</v>
      </c>
      <c r="CA390" s="751">
        <f>'FORECAST-CORE'!EU396</f>
        <v>0</v>
      </c>
      <c r="CB390" s="750" t="str">
        <f>'FORECAST-CORE'!EV396</f>
        <v>NA</v>
      </c>
      <c r="CC390" s="751">
        <f>'FORECAST-CORE'!EW396</f>
        <v>0</v>
      </c>
      <c r="CD390" s="750" t="str">
        <f>'FORECAST-CORE'!EX396</f>
        <v>NA</v>
      </c>
      <c r="CE390" s="751">
        <f>'FORECAST-CORE'!EY396</f>
        <v>0</v>
      </c>
      <c r="CF390" s="750" t="str">
        <f>'FORECAST-CORE'!EZ396</f>
        <v>NA</v>
      </c>
      <c r="CG390" s="751">
        <f>'FORECAST-CORE'!FA396</f>
        <v>0</v>
      </c>
      <c r="CH390" s="750" t="str">
        <f>'FORECAST-CORE'!FB396</f>
        <v>NA</v>
      </c>
      <c r="CI390" s="751">
        <f>'FORECAST-CORE'!FC396</f>
        <v>0</v>
      </c>
      <c r="CJ390" s="750" t="str">
        <f>'FORECAST-CORE'!FD396</f>
        <v>NA</v>
      </c>
      <c r="CK390" s="751">
        <f>'FORECAST-CORE'!FE396</f>
        <v>0</v>
      </c>
      <c r="CL390" s="750" t="str">
        <f>'FORECAST-CORE'!FF396</f>
        <v>NA</v>
      </c>
      <c r="CM390" s="751">
        <f>'FORECAST-CORE'!FG396</f>
        <v>0</v>
      </c>
      <c r="CN390" s="750" t="str">
        <f>'FORECAST-CORE'!FH396</f>
        <v>NA</v>
      </c>
      <c r="CO390" s="751">
        <f>'FORECAST-CORE'!FI396</f>
        <v>0</v>
      </c>
      <c r="CP390" s="750" t="str">
        <f>'FORECAST-CORE'!FJ396</f>
        <v>NA</v>
      </c>
      <c r="CQ390" s="751">
        <f>'FORECAST-CORE'!FK396</f>
        <v>0</v>
      </c>
      <c r="CR390" s="750" t="str">
        <f>'FORECAST-CORE'!FL396</f>
        <v>NA</v>
      </c>
      <c r="CS390" s="751">
        <f>'FORECAST-CORE'!FM396</f>
        <v>0</v>
      </c>
      <c r="CT390" s="750" t="str">
        <f>'FORECAST-CORE'!FN396</f>
        <v>NA</v>
      </c>
      <c r="CU390" s="751">
        <f>'FORECAST-CORE'!FO396</f>
        <v>0</v>
      </c>
      <c r="CV390" s="750" t="str">
        <f>'FORECAST-CORE'!FP396</f>
        <v>NA</v>
      </c>
      <c r="CW390" s="751">
        <f>'FORECAST-CORE'!FQ396</f>
        <v>0</v>
      </c>
      <c r="CX390" s="750" t="str">
        <f>'FORECAST-CORE'!FR396</f>
        <v>NA</v>
      </c>
      <c r="CY390" s="751">
        <f>'FORECAST-CORE'!FS396</f>
        <v>0</v>
      </c>
      <c r="CZ390" s="750" t="str">
        <f>'FORECAST-CORE'!FT396</f>
        <v>NA</v>
      </c>
      <c r="DA390" s="751">
        <f>'FORECAST-CORE'!FU396</f>
        <v>0</v>
      </c>
      <c r="DB390" s="750"/>
      <c r="DC390" s="750"/>
      <c r="DD390" s="751"/>
      <c r="DE390" s="750">
        <f>'FORECAST-CORE'!EK396</f>
        <v>0</v>
      </c>
      <c r="DF390" s="751" t="str">
        <f>'FORECAST-CORE'!EL396</f>
        <v>NA</v>
      </c>
      <c r="DG390" s="750">
        <f>'FORECAST-CORE'!EM396</f>
        <v>0</v>
      </c>
      <c r="DH390" s="751" t="str">
        <f>'FORECAST-CORE'!EN396</f>
        <v>NA</v>
      </c>
      <c r="DI390" s="750">
        <f>'FORECAST-CORE'!EO396</f>
        <v>0</v>
      </c>
      <c r="DJ390" s="751" t="str">
        <f>'FORECAST-CORE'!EP396</f>
        <v>NA</v>
      </c>
      <c r="DK390" s="750">
        <f>'FORECAST-CORE'!EQ396</f>
        <v>0</v>
      </c>
      <c r="DL390" s="751" t="str">
        <f>'FORECAST-CORE'!ER396</f>
        <v>NA</v>
      </c>
      <c r="DM390" s="750">
        <f>'FORECAST-CORE'!ES396</f>
        <v>0</v>
      </c>
      <c r="DN390" s="751" t="str">
        <f>'FORECAST-CORE'!ET396</f>
        <v>NA</v>
      </c>
      <c r="DO390" s="750">
        <f>'FORECAST-CORE'!EU396</f>
        <v>0</v>
      </c>
      <c r="DP390" s="751" t="str">
        <f>'FORECAST-CORE'!EV396</f>
        <v>NA</v>
      </c>
      <c r="DQ390" s="750">
        <f>'FORECAST-CORE'!EW396</f>
        <v>0</v>
      </c>
      <c r="DR390" s="751" t="str">
        <f>'FORECAST-CORE'!EX396</f>
        <v>NA</v>
      </c>
      <c r="DS390" s="750">
        <f>'FORECAST-CORE'!EY396</f>
        <v>0</v>
      </c>
      <c r="DT390" s="751" t="str">
        <f>'FORECAST-CORE'!EZ396</f>
        <v>NA</v>
      </c>
      <c r="DU390" s="750">
        <f>'FORECAST-CORE'!FA396</f>
        <v>0</v>
      </c>
      <c r="DV390" s="751" t="str">
        <f>'FORECAST-CORE'!FB396</f>
        <v>NA</v>
      </c>
      <c r="DW390" s="750">
        <f>'FORECAST-CORE'!FC396</f>
        <v>0</v>
      </c>
      <c r="DX390" s="751" t="str">
        <f>'FORECAST-CORE'!FD396</f>
        <v>NA</v>
      </c>
      <c r="DY390" s="750">
        <f>'FORECAST-CORE'!FE396</f>
        <v>0</v>
      </c>
      <c r="DZ390" s="751" t="str">
        <f>'FORECAST-CORE'!FF396</f>
        <v>NA</v>
      </c>
      <c r="EA390" s="750">
        <f>'FORECAST-CORE'!FG396</f>
        <v>0</v>
      </c>
      <c r="EB390" s="751" t="str">
        <f>'FORECAST-CORE'!FH396</f>
        <v>NA</v>
      </c>
      <c r="EC390" s="750">
        <f>'FORECAST-CORE'!FI396</f>
        <v>0</v>
      </c>
      <c r="ED390" s="751" t="str">
        <f>'FORECAST-CORE'!FJ396</f>
        <v>NA</v>
      </c>
      <c r="EE390" s="750">
        <f>'FORECAST-CORE'!FK396</f>
        <v>0</v>
      </c>
      <c r="EF390" s="751" t="str">
        <f>'FORECAST-CORE'!FL396</f>
        <v>NA</v>
      </c>
      <c r="EG390" s="750">
        <f>'FORECAST-CORE'!FM396</f>
        <v>0</v>
      </c>
      <c r="EH390" s="751" t="str">
        <f>'FORECAST-CORE'!FN396</f>
        <v>NA</v>
      </c>
      <c r="EI390" s="750">
        <f>'FORECAST-CORE'!FO396</f>
        <v>0</v>
      </c>
      <c r="EJ390" s="751" t="str">
        <f>'FORECAST-CORE'!FP396</f>
        <v>NA</v>
      </c>
      <c r="EK390" s="750">
        <f>'FORECAST-CORE'!FQ396</f>
        <v>0</v>
      </c>
      <c r="EL390" s="751" t="str">
        <f>'FORECAST-CORE'!FR396</f>
        <v>NA</v>
      </c>
      <c r="EM390" s="750">
        <f>'FORECAST-CORE'!GC396</f>
        <v>0</v>
      </c>
      <c r="EN390" s="751">
        <f>'FORECAST-CORE'!GD396</f>
        <v>0</v>
      </c>
      <c r="EO390" s="750">
        <f>'FORECAST-CORE'!GE396</f>
        <v>0</v>
      </c>
      <c r="EP390" s="751">
        <f>'FORECAST-CORE'!GF396</f>
        <v>0</v>
      </c>
      <c r="EQ390" s="750">
        <f>'FORECAST-CORE'!GG396</f>
        <v>0</v>
      </c>
      <c r="ER390" s="751">
        <f>'FORECAST-CORE'!GH396</f>
        <v>0</v>
      </c>
      <c r="ES390" s="750">
        <f>'FORECAST-CORE'!GI396</f>
        <v>0</v>
      </c>
      <c r="ET390" s="751">
        <f>'FORECAST-CORE'!GJ396</f>
        <v>0</v>
      </c>
      <c r="EU390" s="750" t="str">
        <f>'FORECAST-CORE'!GA396</f>
        <v>NA</v>
      </c>
      <c r="EV390" s="752"/>
    </row>
    <row r="391" spans="1:152" ht="12.75" hidden="1" customHeight="1" outlineLevel="1" x14ac:dyDescent="0.2">
      <c r="A391" s="754" t="str">
        <f>'FORECAST-CORE'!A397</f>
        <v>Interest Expense</v>
      </c>
      <c r="B391" s="750">
        <f>'FORECAST-CORE'!AH397</f>
        <v>28.245312500000001</v>
      </c>
      <c r="C391" s="751">
        <f>'FORECAST-CORE'!AI397</f>
        <v>20.232790156301974</v>
      </c>
      <c r="D391" s="750">
        <f>'FORECAST-CORE'!AJ397</f>
        <v>29.145312500000003</v>
      </c>
      <c r="E391" s="751">
        <f>'FORECAST-CORE'!AK397</f>
        <v>3.1863694197046044</v>
      </c>
      <c r="F391" s="750">
        <f>'FORECAST-CORE'!AL397</f>
        <v>24.645312500000003</v>
      </c>
      <c r="G391" s="751">
        <f>'FORECAST-CORE'!AM397</f>
        <v>-15.439875623224141</v>
      </c>
      <c r="H391" s="750">
        <f>'FORECAST-CORE'!AN397</f>
        <v>26.245312499999997</v>
      </c>
      <c r="I391" s="751">
        <f>'FORECAST-CORE'!AO397</f>
        <v>6.4921067647245145</v>
      </c>
      <c r="J391" s="750">
        <f>'FORECAST-CORE'!AP397</f>
        <v>24.345312499999999</v>
      </c>
      <c r="K391" s="751">
        <f>'FORECAST-CORE'!AQ397</f>
        <v>-7.2393879859498629</v>
      </c>
      <c r="L391" s="750">
        <f>'FORECAST-CORE'!AR397</f>
        <v>23.145312499999999</v>
      </c>
      <c r="M391" s="751">
        <f>'FORECAST-CORE'!AS397</f>
        <v>-4.92908029009691</v>
      </c>
      <c r="N391" s="750">
        <f>'FORECAST-CORE'!AT397</f>
        <v>22.4453125</v>
      </c>
      <c r="O391" s="751">
        <f>'FORECAST-CORE'!AU397</f>
        <v>-3.0243704853844533</v>
      </c>
      <c r="P391" s="750">
        <f>'FORECAST-CORE'!AV397</f>
        <v>19.145312499999996</v>
      </c>
      <c r="Q391" s="751">
        <f>'FORECAST-CORE'!AW397</f>
        <v>-14.702401670727482</v>
      </c>
      <c r="R391" s="750">
        <f>'FORECAST-CORE'!AX397</f>
        <v>12.145312499999999</v>
      </c>
      <c r="S391" s="751">
        <f>'FORECAST-CORE'!AY397</f>
        <v>-36.562474496041773</v>
      </c>
      <c r="T391" s="750">
        <f>'FORECAST-CORE'!AZ397</f>
        <v>10.645312499999999</v>
      </c>
      <c r="U391" s="751">
        <f>'FORECAST-CORE'!BA397</f>
        <v>-12.350443844075642</v>
      </c>
      <c r="V391" s="750">
        <f>'FORECAST-CORE'!BB397</f>
        <v>8.6453125000000028</v>
      </c>
      <c r="W391" s="751">
        <f>'FORECAST-CORE'!BC397</f>
        <v>-18.787611918391278</v>
      </c>
      <c r="X391" s="750">
        <f>'FORECAST-CORE'!BD397</f>
        <v>26.9</v>
      </c>
      <c r="Y391" s="751" t="str">
        <f>'FORECAST-CORE'!BE397</f>
        <v>NM</v>
      </c>
      <c r="Z391" s="750">
        <f>'FORECAST-CORE'!BF397</f>
        <v>26</v>
      </c>
      <c r="AA391" s="751">
        <f>'FORECAST-CORE'!BG397</f>
        <v>-3.3457249070631967</v>
      </c>
      <c r="AB391" s="750">
        <f>'FORECAST-CORE'!BH397</f>
        <v>25.6</v>
      </c>
      <c r="AC391" s="751">
        <f>'FORECAST-CORE'!BI397</f>
        <v>-1.538461538461533</v>
      </c>
      <c r="AD391" s="750">
        <f>'FORECAST-CORE'!BJ397</f>
        <v>24.1</v>
      </c>
      <c r="AE391" s="751">
        <f>'FORECAST-CORE'!BK397</f>
        <v>-5.859375</v>
      </c>
      <c r="AF391" s="750">
        <f>'FORECAST-CORE'!BL397</f>
        <v>31.1</v>
      </c>
      <c r="AG391" s="751">
        <f>'FORECAST-CORE'!BM397</f>
        <v>29.045643153526978</v>
      </c>
      <c r="AH391" s="750">
        <f>'FORECAST-CORE'!BN397</f>
        <v>30.3</v>
      </c>
      <c r="AI391" s="751">
        <f>'FORECAST-CORE'!BO397</f>
        <v>-2.5723472668810365</v>
      </c>
      <c r="AJ391" s="750">
        <f>'FORECAST-CORE'!BP397</f>
        <v>30.8</v>
      </c>
      <c r="AK391" s="751">
        <f>'FORECAST-CORE'!BQ397</f>
        <v>1.650165016501659</v>
      </c>
      <c r="AL391" s="750">
        <f>'FORECAST-CORE'!BR397</f>
        <v>31.8</v>
      </c>
      <c r="AM391" s="751">
        <f>'FORECAST-CORE'!BS397</f>
        <v>3.2467532467532534</v>
      </c>
      <c r="AN391" s="750">
        <f>'FORECAST-CORE'!BT397</f>
        <v>36</v>
      </c>
      <c r="AO391" s="751">
        <f>'FORECAST-CORE'!BU397</f>
        <v>13.207547169811317</v>
      </c>
      <c r="AP391" s="750">
        <f>'FORECAST-CORE'!BV397</f>
        <v>34.9</v>
      </c>
      <c r="AQ391" s="751">
        <f>'FORECAST-CORE'!BW397</f>
        <v>-3.0555555555555558</v>
      </c>
      <c r="AR391" s="750">
        <f>'FORECAST-CORE'!BX397</f>
        <v>32.299999999999997</v>
      </c>
      <c r="AS391" s="751">
        <f>'FORECAST-CORE'!BY397</f>
        <v>-7.4498567335243626</v>
      </c>
      <c r="AT391" s="750">
        <f>'FORECAST-CORE'!BZ397</f>
        <v>32.200000000000003</v>
      </c>
      <c r="AU391" s="751">
        <f>'FORECAST-CORE'!CA397</f>
        <v>-0.30959752321979561</v>
      </c>
      <c r="AV391" s="750">
        <f>'FORECAST-CORE'!CB397</f>
        <v>32.4</v>
      </c>
      <c r="AW391" s="751">
        <f>'FORECAST-CORE'!CC397</f>
        <v>0.62111801242235032</v>
      </c>
      <c r="AX391" s="750">
        <f>'FORECAST-CORE'!CD397</f>
        <v>32.5</v>
      </c>
      <c r="AY391" s="751">
        <f>'FORECAST-CORE'!CE397</f>
        <v>0.30864197530864335</v>
      </c>
      <c r="AZ391" s="750">
        <f>'FORECAST-CORE'!CF397</f>
        <v>32.200000000000003</v>
      </c>
      <c r="BA391" s="751">
        <f>'FORECAST-CORE'!CG397</f>
        <v>-0.92307692307691536</v>
      </c>
      <c r="BB391" s="750">
        <f>'FORECAST-CORE'!CH397</f>
        <v>33.9</v>
      </c>
      <c r="BC391" s="751">
        <f>'FORECAST-CORE'!CI397</f>
        <v>5.2795031055900443</v>
      </c>
      <c r="BD391" s="750">
        <f>'FORECAST-CORE'!CJ397</f>
        <v>35.299999999999997</v>
      </c>
      <c r="BE391" s="751">
        <f>'FORECAST-CORE'!CK397</f>
        <v>4.1297935103244754</v>
      </c>
      <c r="BF391" s="750">
        <f>'FORECAST-CORE'!CL397</f>
        <v>34.799999999999997</v>
      </c>
      <c r="BG391" s="751">
        <f>'FORECAST-CORE'!CM397</f>
        <v>-1.4164305949008527</v>
      </c>
      <c r="BH391" s="750">
        <f>'FORECAST-CORE'!CN397</f>
        <v>35.200000000000003</v>
      </c>
      <c r="BI391" s="751">
        <f>'FORECAST-CORE'!CO397</f>
        <v>1.1494252873563315</v>
      </c>
      <c r="BJ391" s="750">
        <f>'FORECAST-CORE'!CP397</f>
        <v>32.800000000000004</v>
      </c>
      <c r="BK391" s="751">
        <f>'FORECAST-CORE'!CQ397</f>
        <v>-6.8181818181818121</v>
      </c>
      <c r="BL391" s="750">
        <f>'FORECAST-CORE'!CR397</f>
        <v>39.700000000000003</v>
      </c>
      <c r="BM391" s="751">
        <f>'FORECAST-CORE'!CS397</f>
        <v>21.036585365853643</v>
      </c>
      <c r="BN391" s="750">
        <f>'FORECAST-CORE'!EH397</f>
        <v>0</v>
      </c>
      <c r="BO391" s="751">
        <f>'FORECAST-CORE'!EI397</f>
        <v>0</v>
      </c>
      <c r="BP391" s="750">
        <f>'FORECAST-CORE'!EJ397</f>
        <v>0</v>
      </c>
      <c r="BQ391" s="751">
        <f>'FORECAST-CORE'!EK397</f>
        <v>162.4</v>
      </c>
      <c r="BR391" s="750" t="str">
        <f>'FORECAST-CORE'!EL397</f>
        <v>NA</v>
      </c>
      <c r="BS391" s="751">
        <f>'FORECAST-CORE'!EM397</f>
        <v>187.2</v>
      </c>
      <c r="BT391" s="750">
        <f>'FORECAST-CORE'!EN397</f>
        <v>15.270935960591125</v>
      </c>
      <c r="BU391" s="751">
        <f>'FORECAST-CORE'!EO397</f>
        <v>207.10000000000002</v>
      </c>
      <c r="BV391" s="750">
        <f>'FORECAST-CORE'!EP397</f>
        <v>10.630341880341909</v>
      </c>
      <c r="BW391" s="751">
        <f>'FORECAST-CORE'!EQ397</f>
        <v>178.9921875</v>
      </c>
      <c r="BX391" s="750">
        <f>'FORECAST-CORE'!ER397</f>
        <v>-13.572096813133761</v>
      </c>
      <c r="BY391" s="751">
        <f>'FORECAST-CORE'!ES397</f>
        <v>108.28125</v>
      </c>
      <c r="BZ391" s="750">
        <f>'FORECAST-CORE'!ET397</f>
        <v>-39.50504124656279</v>
      </c>
      <c r="CA391" s="751">
        <f>'FORECAST-CORE'!EU397</f>
        <v>89.081249999999983</v>
      </c>
      <c r="CB391" s="750">
        <f>'FORECAST-CORE'!EV397</f>
        <v>-17.731601731601742</v>
      </c>
      <c r="CC391" s="751">
        <f>'FORECAST-CORE'!EW397</f>
        <v>58.3359375</v>
      </c>
      <c r="CD391" s="750">
        <f>'FORECAST-CORE'!EX397</f>
        <v>-34.513786571248147</v>
      </c>
      <c r="CE391" s="751">
        <f>'FORECAST-CORE'!EY397</f>
        <v>106.8</v>
      </c>
      <c r="CF391" s="750">
        <f>'FORECAST-CORE'!EZ397</f>
        <v>83.077541181197262</v>
      </c>
      <c r="CG391" s="751">
        <f>'FORECAST-CORE'!FA397</f>
        <v>128.9</v>
      </c>
      <c r="CH391" s="750">
        <f>'FORECAST-CORE'!FB397</f>
        <v>20.692883895131086</v>
      </c>
      <c r="CI391" s="751">
        <f>'FORECAST-CORE'!FC397</f>
        <v>131.79999999999998</v>
      </c>
      <c r="CJ391" s="750">
        <f>'FORECAST-CORE'!FD397</f>
        <v>2.2498060512024631</v>
      </c>
      <c r="CK391" s="751">
        <f>'FORECAST-CORE'!FE397</f>
        <v>133.89999999999998</v>
      </c>
      <c r="CL391" s="750">
        <f>'FORECAST-CORE'!FF397</f>
        <v>1.5933232169954348</v>
      </c>
      <c r="CM391" s="751">
        <f>'FORECAST-CORE'!FG397</f>
        <v>142.5</v>
      </c>
      <c r="CN391" s="750">
        <f>'FORECAST-CORE'!FH397</f>
        <v>6.4227035100821617</v>
      </c>
      <c r="CO391" s="751">
        <f>'FORECAST-CORE'!FI397</f>
        <v>159.30000000000001</v>
      </c>
      <c r="CP391" s="750">
        <f>'FORECAST-CORE'!FJ397</f>
        <v>11.789473684210527</v>
      </c>
      <c r="CQ391" s="751">
        <f>'FORECAST-CORE'!FK397</f>
        <v>165.2</v>
      </c>
      <c r="CR391" s="750">
        <f>'FORECAST-CORE'!FL397</f>
        <v>3.7037037037036979</v>
      </c>
      <c r="CS391" s="751">
        <f>'FORECAST-CORE'!FM397</f>
        <v>186.4</v>
      </c>
      <c r="CT391" s="750">
        <f>'FORECAST-CORE'!FN397</f>
        <v>12.832929782082324</v>
      </c>
      <c r="CU391" s="751">
        <f>'FORECAST-CORE'!FO397</f>
        <v>191.7</v>
      </c>
      <c r="CV391" s="750">
        <f>'FORECAST-CORE'!FP397</f>
        <v>2.8433476394849722</v>
      </c>
      <c r="CW391" s="751">
        <f>'FORECAST-CORE'!FQ397</f>
        <v>170.7</v>
      </c>
      <c r="CX391" s="750">
        <f>'FORECAST-CORE'!FR397</f>
        <v>-10.954616588419409</v>
      </c>
      <c r="CY391" s="751">
        <f>'FORECAST-CORE'!FS397</f>
        <v>174.2</v>
      </c>
      <c r="CZ391" s="750">
        <f>'FORECAST-CORE'!FT397</f>
        <v>2.0503807850029254</v>
      </c>
      <c r="DA391" s="751">
        <f>'FORECAST-CORE'!FU397</f>
        <v>175.94199999999998</v>
      </c>
      <c r="DB391" s="750"/>
      <c r="DC391" s="750"/>
      <c r="DD391" s="751"/>
      <c r="DE391" s="750">
        <f>'FORECAST-CORE'!EK397</f>
        <v>162.4</v>
      </c>
      <c r="DF391" s="751" t="str">
        <f>'FORECAST-CORE'!EL397</f>
        <v>NA</v>
      </c>
      <c r="DG391" s="750">
        <f>'FORECAST-CORE'!EM397</f>
        <v>187.2</v>
      </c>
      <c r="DH391" s="751">
        <f>'FORECAST-CORE'!EN397</f>
        <v>15.270935960591125</v>
      </c>
      <c r="DI391" s="750">
        <f>'FORECAST-CORE'!EO397</f>
        <v>207.10000000000002</v>
      </c>
      <c r="DJ391" s="751">
        <f>'FORECAST-CORE'!EP397</f>
        <v>10.630341880341909</v>
      </c>
      <c r="DK391" s="750">
        <f>'FORECAST-CORE'!EQ397</f>
        <v>178.9921875</v>
      </c>
      <c r="DL391" s="751">
        <f>'FORECAST-CORE'!ER397</f>
        <v>-13.572096813133761</v>
      </c>
      <c r="DM391" s="750">
        <f>'FORECAST-CORE'!ES397</f>
        <v>108.28125</v>
      </c>
      <c r="DN391" s="751">
        <f>'FORECAST-CORE'!ET397</f>
        <v>-39.50504124656279</v>
      </c>
      <c r="DO391" s="750">
        <f>'FORECAST-CORE'!EU397</f>
        <v>89.081249999999983</v>
      </c>
      <c r="DP391" s="751">
        <f>'FORECAST-CORE'!EV397</f>
        <v>-17.731601731601742</v>
      </c>
      <c r="DQ391" s="750">
        <f>'FORECAST-CORE'!EW397</f>
        <v>58.3359375</v>
      </c>
      <c r="DR391" s="751">
        <f>'FORECAST-CORE'!EX397</f>
        <v>-34.513786571248147</v>
      </c>
      <c r="DS391" s="750">
        <f>'FORECAST-CORE'!EY397</f>
        <v>106.8</v>
      </c>
      <c r="DT391" s="751">
        <f>'FORECAST-CORE'!EZ397</f>
        <v>83.077541181197262</v>
      </c>
      <c r="DU391" s="750">
        <f>'FORECAST-CORE'!FA397</f>
        <v>128.9</v>
      </c>
      <c r="DV391" s="751">
        <f>'FORECAST-CORE'!FB397</f>
        <v>20.692883895131086</v>
      </c>
      <c r="DW391" s="750">
        <f>'FORECAST-CORE'!FC397</f>
        <v>131.79999999999998</v>
      </c>
      <c r="DX391" s="751">
        <f>'FORECAST-CORE'!FD397</f>
        <v>2.2498060512024631</v>
      </c>
      <c r="DY391" s="750">
        <f>'FORECAST-CORE'!FE397</f>
        <v>133.89999999999998</v>
      </c>
      <c r="DZ391" s="751">
        <f>'FORECAST-CORE'!FF397</f>
        <v>1.5933232169954348</v>
      </c>
      <c r="EA391" s="750">
        <f>'FORECAST-CORE'!FG397</f>
        <v>142.5</v>
      </c>
      <c r="EB391" s="751">
        <f>'FORECAST-CORE'!FH397</f>
        <v>6.4227035100821617</v>
      </c>
      <c r="EC391" s="750">
        <f>'FORECAST-CORE'!FI397</f>
        <v>159.30000000000001</v>
      </c>
      <c r="ED391" s="751">
        <f>'FORECAST-CORE'!FJ397</f>
        <v>11.789473684210527</v>
      </c>
      <c r="EE391" s="750">
        <f>'FORECAST-CORE'!FK397</f>
        <v>165.2</v>
      </c>
      <c r="EF391" s="751">
        <f>'FORECAST-CORE'!FL397</f>
        <v>3.7037037037036979</v>
      </c>
      <c r="EG391" s="750">
        <f>'FORECAST-CORE'!FM397</f>
        <v>186.4</v>
      </c>
      <c r="EH391" s="751">
        <f>'FORECAST-CORE'!FN397</f>
        <v>12.832929782082324</v>
      </c>
      <c r="EI391" s="750">
        <f>'FORECAST-CORE'!FO397</f>
        <v>191.7</v>
      </c>
      <c r="EJ391" s="751">
        <f>'FORECAST-CORE'!FP397</f>
        <v>2.8433476394849722</v>
      </c>
      <c r="EK391" s="750">
        <f>'FORECAST-CORE'!FQ397</f>
        <v>170.7</v>
      </c>
      <c r="EL391" s="751">
        <f>'FORECAST-CORE'!FR397</f>
        <v>-10.954616588419409</v>
      </c>
      <c r="EM391" s="750">
        <f>'FORECAST-CORE'!GC397</f>
        <v>0</v>
      </c>
      <c r="EN391" s="751">
        <f>'FORECAST-CORE'!GD397</f>
        <v>0</v>
      </c>
      <c r="EO391" s="750">
        <f>'FORECAST-CORE'!GE397</f>
        <v>0</v>
      </c>
      <c r="EP391" s="751">
        <f>'FORECAST-CORE'!GF397</f>
        <v>0</v>
      </c>
      <c r="EQ391" s="750">
        <f>'FORECAST-CORE'!GG397</f>
        <v>0</v>
      </c>
      <c r="ER391" s="751">
        <f>'FORECAST-CORE'!GH397</f>
        <v>0</v>
      </c>
      <c r="ES391" s="750">
        <f>'FORECAST-CORE'!GI397</f>
        <v>0</v>
      </c>
      <c r="ET391" s="751">
        <f>'FORECAST-CORE'!GJ397</f>
        <v>0</v>
      </c>
      <c r="EU391" s="750">
        <f>'FORECAST-CORE'!GA397</f>
        <v>-1.3088904033967563</v>
      </c>
      <c r="EV391" s="752"/>
    </row>
    <row r="392" spans="1:152" ht="12.75" hidden="1" customHeight="1" outlineLevel="1" x14ac:dyDescent="0.2">
      <c r="A392" s="754" t="str">
        <f>'FORECAST-CORE'!A398</f>
        <v>Interest Expense on 2011 Debt</v>
      </c>
      <c r="B392" s="750">
        <f>'FORECAST-CORE'!AH398</f>
        <v>10.9609375</v>
      </c>
      <c r="C392" s="751">
        <f>'FORECAST-CORE'!AI398</f>
        <v>0</v>
      </c>
      <c r="D392" s="750">
        <f>'FORECAST-CORE'!AJ398</f>
        <v>10.9609375</v>
      </c>
      <c r="E392" s="751">
        <f>'FORECAST-CORE'!AK398</f>
        <v>0</v>
      </c>
      <c r="F392" s="750">
        <f>'FORECAST-CORE'!AL398</f>
        <v>10.9609375</v>
      </c>
      <c r="G392" s="751">
        <f>'FORECAST-CORE'!AM398</f>
        <v>0</v>
      </c>
      <c r="H392" s="750">
        <f>'FORECAST-CORE'!AN398</f>
        <v>10.9609375</v>
      </c>
      <c r="I392" s="751">
        <f>'FORECAST-CORE'!AO398</f>
        <v>0</v>
      </c>
      <c r="J392" s="750">
        <f>'FORECAST-CORE'!AP398</f>
        <v>10.9609375</v>
      </c>
      <c r="K392" s="751">
        <f>'FORECAST-CORE'!AQ398</f>
        <v>0</v>
      </c>
      <c r="L392" s="750">
        <f>'FORECAST-CORE'!AR398</f>
        <v>10.9609375</v>
      </c>
      <c r="M392" s="751">
        <f>'FORECAST-CORE'!AS398</f>
        <v>0</v>
      </c>
      <c r="N392" s="750">
        <f>'FORECAST-CORE'!AT398</f>
        <v>10.9609375</v>
      </c>
      <c r="O392" s="751">
        <f>'FORECAST-CORE'!AU398</f>
        <v>0</v>
      </c>
      <c r="P392" s="750">
        <f>'FORECAST-CORE'!AV398</f>
        <v>10.9609375</v>
      </c>
      <c r="Q392" s="751">
        <f>'FORECAST-CORE'!AW398</f>
        <v>0</v>
      </c>
      <c r="R392" s="750">
        <f>'FORECAST-CORE'!AX398</f>
        <v>10.9609375</v>
      </c>
      <c r="S392" s="751">
        <f>'FORECAST-CORE'!AY398</f>
        <v>0</v>
      </c>
      <c r="T392" s="750">
        <f>'FORECAST-CORE'!AZ398</f>
        <v>10.9609375</v>
      </c>
      <c r="U392" s="751">
        <f>'FORECAST-CORE'!BA398</f>
        <v>0</v>
      </c>
      <c r="V392" s="750">
        <f>'FORECAST-CORE'!BB398</f>
        <v>10.9609375</v>
      </c>
      <c r="W392" s="751">
        <f>'FORECAST-CORE'!BC398</f>
        <v>0</v>
      </c>
      <c r="X392" s="750">
        <f>'FORECAST-CORE'!BD398</f>
        <v>0</v>
      </c>
      <c r="Y392" s="751">
        <f>'FORECAST-CORE'!BE398</f>
        <v>0</v>
      </c>
      <c r="Z392" s="750">
        <f>'FORECAST-CORE'!BF398</f>
        <v>0</v>
      </c>
      <c r="AA392" s="751">
        <f>'FORECAST-CORE'!BG398</f>
        <v>0</v>
      </c>
      <c r="AB392" s="750">
        <f>'FORECAST-CORE'!BH398</f>
        <v>0</v>
      </c>
      <c r="AC392" s="751">
        <f>'FORECAST-CORE'!BI398</f>
        <v>0</v>
      </c>
      <c r="AD392" s="750">
        <f>'FORECAST-CORE'!BJ398</f>
        <v>0</v>
      </c>
      <c r="AE392" s="751">
        <f>'FORECAST-CORE'!BK398</f>
        <v>0</v>
      </c>
      <c r="AF392" s="750">
        <f>'FORECAST-CORE'!BL398</f>
        <v>0</v>
      </c>
      <c r="AG392" s="751">
        <f>'FORECAST-CORE'!BM398</f>
        <v>0</v>
      </c>
      <c r="AH392" s="750">
        <f>'FORECAST-CORE'!BN398</f>
        <v>0</v>
      </c>
      <c r="AI392" s="751">
        <f>'FORECAST-CORE'!BO398</f>
        <v>0</v>
      </c>
      <c r="AJ392" s="750">
        <f>'FORECAST-CORE'!BP398</f>
        <v>0</v>
      </c>
      <c r="AK392" s="751">
        <f>'FORECAST-CORE'!BQ398</f>
        <v>0</v>
      </c>
      <c r="AL392" s="750">
        <f>'FORECAST-CORE'!BR398</f>
        <v>0</v>
      </c>
      <c r="AM392" s="751">
        <f>'FORECAST-CORE'!BS398</f>
        <v>0</v>
      </c>
      <c r="AN392" s="750">
        <f>'FORECAST-CORE'!BT398</f>
        <v>0</v>
      </c>
      <c r="AO392" s="751">
        <f>'FORECAST-CORE'!BU398</f>
        <v>0</v>
      </c>
      <c r="AP392" s="750">
        <f>'FORECAST-CORE'!BV398</f>
        <v>0</v>
      </c>
      <c r="AQ392" s="751">
        <f>'FORECAST-CORE'!BW398</f>
        <v>0</v>
      </c>
      <c r="AR392" s="750">
        <f>'FORECAST-CORE'!BX398</f>
        <v>0</v>
      </c>
      <c r="AS392" s="751">
        <f>'FORECAST-CORE'!BY398</f>
        <v>0</v>
      </c>
      <c r="AT392" s="750">
        <f>'FORECAST-CORE'!BZ398</f>
        <v>0</v>
      </c>
      <c r="AU392" s="751">
        <f>'FORECAST-CORE'!CA398</f>
        <v>0</v>
      </c>
      <c r="AV392" s="750">
        <f>'FORECAST-CORE'!CB398</f>
        <v>0</v>
      </c>
      <c r="AW392" s="751">
        <f>'FORECAST-CORE'!CC398</f>
        <v>0</v>
      </c>
      <c r="AX392" s="750">
        <f>'FORECAST-CORE'!CD398</f>
        <v>0</v>
      </c>
      <c r="AY392" s="751">
        <f>'FORECAST-CORE'!CE398</f>
        <v>0</v>
      </c>
      <c r="AZ392" s="750">
        <f>'FORECAST-CORE'!CF398</f>
        <v>0</v>
      </c>
      <c r="BA392" s="751">
        <f>'FORECAST-CORE'!CG398</f>
        <v>0</v>
      </c>
      <c r="BB392" s="750">
        <f>'FORECAST-CORE'!CH398</f>
        <v>0</v>
      </c>
      <c r="BC392" s="751">
        <f>'FORECAST-CORE'!CI398</f>
        <v>0</v>
      </c>
      <c r="BD392" s="750">
        <f>'FORECAST-CORE'!CJ398</f>
        <v>0</v>
      </c>
      <c r="BE392" s="751">
        <f>'FORECAST-CORE'!CK398</f>
        <v>0</v>
      </c>
      <c r="BF392" s="750">
        <f>'FORECAST-CORE'!CL398</f>
        <v>0</v>
      </c>
      <c r="BG392" s="751">
        <f>'FORECAST-CORE'!CM398</f>
        <v>0</v>
      </c>
      <c r="BH392" s="750">
        <f>'FORECAST-CORE'!CN398</f>
        <v>0</v>
      </c>
      <c r="BI392" s="751">
        <f>'FORECAST-CORE'!CO398</f>
        <v>0</v>
      </c>
      <c r="BJ392" s="750">
        <f>'FORECAST-CORE'!CP398</f>
        <v>0</v>
      </c>
      <c r="BK392" s="751">
        <f>'FORECAST-CORE'!CQ398</f>
        <v>0</v>
      </c>
      <c r="BL392" s="750">
        <f>'FORECAST-CORE'!CR398</f>
        <v>0</v>
      </c>
      <c r="BM392" s="751">
        <f>'FORECAST-CORE'!CS398</f>
        <v>0</v>
      </c>
      <c r="BN392" s="750">
        <f>'FORECAST-CORE'!EH398</f>
        <v>0</v>
      </c>
      <c r="BO392" s="751">
        <f>'FORECAST-CORE'!EI398</f>
        <v>0</v>
      </c>
      <c r="BP392" s="750">
        <f>'FORECAST-CORE'!EJ398</f>
        <v>0</v>
      </c>
      <c r="BQ392" s="751">
        <f>'FORECAST-CORE'!EK398</f>
        <v>0</v>
      </c>
      <c r="BR392" s="750" t="str">
        <f>'FORECAST-CORE'!EL398</f>
        <v>NA</v>
      </c>
      <c r="BS392" s="751">
        <f>'FORECAST-CORE'!EM398</f>
        <v>0</v>
      </c>
      <c r="BT392" s="750" t="str">
        <f>'FORECAST-CORE'!EN398</f>
        <v>NA</v>
      </c>
      <c r="BU392" s="751">
        <f>'FORECAST-CORE'!EO398</f>
        <v>0</v>
      </c>
      <c r="BV392" s="750" t="str">
        <f>'FORECAST-CORE'!EP398</f>
        <v>NA</v>
      </c>
      <c r="BW392" s="751">
        <f>'FORECAST-CORE'!EQ398</f>
        <v>10.9609375</v>
      </c>
      <c r="BX392" s="750" t="str">
        <f>'FORECAST-CORE'!ER398</f>
        <v>NA</v>
      </c>
      <c r="BY392" s="751">
        <f>'FORECAST-CORE'!ES398</f>
        <v>43.84375</v>
      </c>
      <c r="BZ392" s="750" t="str">
        <f>'FORECAST-CORE'!ET398</f>
        <v>NM</v>
      </c>
      <c r="CA392" s="751">
        <f>'FORECAST-CORE'!EU398</f>
        <v>43.84375</v>
      </c>
      <c r="CB392" s="750">
        <f>'FORECAST-CORE'!EV398</f>
        <v>0</v>
      </c>
      <c r="CC392" s="751">
        <f>'FORECAST-CORE'!EW398</f>
        <v>32.8828125</v>
      </c>
      <c r="CD392" s="750">
        <f>'FORECAST-CORE'!EX398</f>
        <v>-25</v>
      </c>
      <c r="CE392" s="751">
        <f>'FORECAST-CORE'!EY398</f>
        <v>0</v>
      </c>
      <c r="CF392" s="750" t="str">
        <f>'FORECAST-CORE'!EZ398</f>
        <v>NM</v>
      </c>
      <c r="CG392" s="751">
        <f>'FORECAST-CORE'!FA398</f>
        <v>0</v>
      </c>
      <c r="CH392" s="750" t="str">
        <f>'FORECAST-CORE'!FB398</f>
        <v>NA</v>
      </c>
      <c r="CI392" s="751">
        <f>'FORECAST-CORE'!FC398</f>
        <v>0</v>
      </c>
      <c r="CJ392" s="750" t="str">
        <f>'FORECAST-CORE'!FD398</f>
        <v>NA</v>
      </c>
      <c r="CK392" s="751">
        <f>'FORECAST-CORE'!FE398</f>
        <v>0</v>
      </c>
      <c r="CL392" s="750" t="str">
        <f>'FORECAST-CORE'!FF398</f>
        <v>NA</v>
      </c>
      <c r="CM392" s="751">
        <f>'FORECAST-CORE'!FG398</f>
        <v>0</v>
      </c>
      <c r="CN392" s="750" t="str">
        <f>'FORECAST-CORE'!FH398</f>
        <v>NA</v>
      </c>
      <c r="CO392" s="751">
        <f>'FORECAST-CORE'!FI398</f>
        <v>0</v>
      </c>
      <c r="CP392" s="750" t="str">
        <f>'FORECAST-CORE'!FJ398</f>
        <v>NA</v>
      </c>
      <c r="CQ392" s="751">
        <f>'FORECAST-CORE'!FK398</f>
        <v>0</v>
      </c>
      <c r="CR392" s="750" t="str">
        <f>'FORECAST-CORE'!FL398</f>
        <v>NA</v>
      </c>
      <c r="CS392" s="751">
        <f>'FORECAST-CORE'!FM398</f>
        <v>0</v>
      </c>
      <c r="CT392" s="750" t="str">
        <f>'FORECAST-CORE'!FN398</f>
        <v>NA</v>
      </c>
      <c r="CU392" s="751">
        <f>'FORECAST-CORE'!FO398</f>
        <v>0</v>
      </c>
      <c r="CV392" s="750" t="str">
        <f>'FORECAST-CORE'!FP398</f>
        <v>NA</v>
      </c>
      <c r="CW392" s="751">
        <f>'FORECAST-CORE'!FQ398</f>
        <v>0</v>
      </c>
      <c r="CX392" s="750" t="str">
        <f>'FORECAST-CORE'!FR398</f>
        <v>NA</v>
      </c>
      <c r="CY392" s="751">
        <f>'FORECAST-CORE'!FS398</f>
        <v>0</v>
      </c>
      <c r="CZ392" s="750" t="str">
        <f>'FORECAST-CORE'!FT398</f>
        <v>NA</v>
      </c>
      <c r="DA392" s="751">
        <f>'FORECAST-CORE'!FU398</f>
        <v>0</v>
      </c>
      <c r="DB392" s="750"/>
      <c r="DC392" s="750"/>
      <c r="DD392" s="751"/>
      <c r="DE392" s="750">
        <f>'FORECAST-CORE'!EK398</f>
        <v>0</v>
      </c>
      <c r="DF392" s="751" t="str">
        <f>'FORECAST-CORE'!EL398</f>
        <v>NA</v>
      </c>
      <c r="DG392" s="750">
        <f>'FORECAST-CORE'!EM398</f>
        <v>0</v>
      </c>
      <c r="DH392" s="751" t="str">
        <f>'FORECAST-CORE'!EN398</f>
        <v>NA</v>
      </c>
      <c r="DI392" s="750">
        <f>'FORECAST-CORE'!EO398</f>
        <v>0</v>
      </c>
      <c r="DJ392" s="751" t="str">
        <f>'FORECAST-CORE'!EP398</f>
        <v>NA</v>
      </c>
      <c r="DK392" s="750">
        <f>'FORECAST-CORE'!EQ398</f>
        <v>10.9609375</v>
      </c>
      <c r="DL392" s="751" t="str">
        <f>'FORECAST-CORE'!ER398</f>
        <v>NA</v>
      </c>
      <c r="DM392" s="750">
        <f>'FORECAST-CORE'!ES398</f>
        <v>43.84375</v>
      </c>
      <c r="DN392" s="751" t="str">
        <f>'FORECAST-CORE'!ET398</f>
        <v>NM</v>
      </c>
      <c r="DO392" s="750">
        <f>'FORECAST-CORE'!EU398</f>
        <v>43.84375</v>
      </c>
      <c r="DP392" s="751">
        <f>'FORECAST-CORE'!EV398</f>
        <v>0</v>
      </c>
      <c r="DQ392" s="750">
        <f>'FORECAST-CORE'!EW398</f>
        <v>32.8828125</v>
      </c>
      <c r="DR392" s="751">
        <f>'FORECAST-CORE'!EX398</f>
        <v>-25</v>
      </c>
      <c r="DS392" s="750">
        <f>'FORECAST-CORE'!EY398</f>
        <v>0</v>
      </c>
      <c r="DT392" s="751" t="str">
        <f>'FORECAST-CORE'!EZ398</f>
        <v>NM</v>
      </c>
      <c r="DU392" s="750">
        <f>'FORECAST-CORE'!FA398</f>
        <v>0</v>
      </c>
      <c r="DV392" s="751" t="str">
        <f>'FORECAST-CORE'!FB398</f>
        <v>NA</v>
      </c>
      <c r="DW392" s="750">
        <f>'FORECAST-CORE'!FC398</f>
        <v>0</v>
      </c>
      <c r="DX392" s="751" t="str">
        <f>'FORECAST-CORE'!FD398</f>
        <v>NA</v>
      </c>
      <c r="DY392" s="750">
        <f>'FORECAST-CORE'!FE398</f>
        <v>0</v>
      </c>
      <c r="DZ392" s="751" t="str">
        <f>'FORECAST-CORE'!FF398</f>
        <v>NA</v>
      </c>
      <c r="EA392" s="750">
        <f>'FORECAST-CORE'!FG398</f>
        <v>0</v>
      </c>
      <c r="EB392" s="751" t="str">
        <f>'FORECAST-CORE'!FH398</f>
        <v>NA</v>
      </c>
      <c r="EC392" s="750">
        <f>'FORECAST-CORE'!FI398</f>
        <v>0</v>
      </c>
      <c r="ED392" s="751" t="str">
        <f>'FORECAST-CORE'!FJ398</f>
        <v>NA</v>
      </c>
      <c r="EE392" s="750">
        <f>'FORECAST-CORE'!FK398</f>
        <v>0</v>
      </c>
      <c r="EF392" s="751" t="str">
        <f>'FORECAST-CORE'!FL398</f>
        <v>NA</v>
      </c>
      <c r="EG392" s="750">
        <f>'FORECAST-CORE'!FM398</f>
        <v>0</v>
      </c>
      <c r="EH392" s="751" t="str">
        <f>'FORECAST-CORE'!FN398</f>
        <v>NA</v>
      </c>
      <c r="EI392" s="750">
        <f>'FORECAST-CORE'!FO398</f>
        <v>0</v>
      </c>
      <c r="EJ392" s="751" t="str">
        <f>'FORECAST-CORE'!FP398</f>
        <v>NA</v>
      </c>
      <c r="EK392" s="750">
        <f>'FORECAST-CORE'!FQ398</f>
        <v>0</v>
      </c>
      <c r="EL392" s="751" t="str">
        <f>'FORECAST-CORE'!FR398</f>
        <v>NA</v>
      </c>
      <c r="EM392" s="750">
        <f>'FORECAST-CORE'!GC398</f>
        <v>0</v>
      </c>
      <c r="EN392" s="751">
        <f>'FORECAST-CORE'!GD398</f>
        <v>0</v>
      </c>
      <c r="EO392" s="750">
        <f>'FORECAST-CORE'!GE398</f>
        <v>0</v>
      </c>
      <c r="EP392" s="751">
        <f>'FORECAST-CORE'!GF398</f>
        <v>0</v>
      </c>
      <c r="EQ392" s="750">
        <f>'FORECAST-CORE'!GG398</f>
        <v>0</v>
      </c>
      <c r="ER392" s="751">
        <f>'FORECAST-CORE'!GH398</f>
        <v>0</v>
      </c>
      <c r="ES392" s="750">
        <f>'FORECAST-CORE'!GI398</f>
        <v>0</v>
      </c>
      <c r="ET392" s="751">
        <f>'FORECAST-CORE'!GJ398</f>
        <v>0</v>
      </c>
      <c r="EU392" s="750">
        <f>'FORECAST-CORE'!GA398</f>
        <v>0</v>
      </c>
      <c r="EV392" s="752"/>
    </row>
    <row r="393" spans="1:152" ht="12.75" hidden="1" customHeight="1" outlineLevel="1" x14ac:dyDescent="0.2">
      <c r="A393" s="754" t="str">
        <f>'FORECAST-CORE'!A399</f>
        <v>Interest Expense on ACES, Series 2007</v>
      </c>
      <c r="B393" s="750">
        <f>'FORECAST-CORE'!AH399</f>
        <v>6.1875</v>
      </c>
      <c r="C393" s="751">
        <f>'FORECAST-CORE'!AI399</f>
        <v>0</v>
      </c>
      <c r="D393" s="750">
        <f>'FORECAST-CORE'!AJ399</f>
        <v>6.1875</v>
      </c>
      <c r="E393" s="751">
        <f>'FORECAST-CORE'!AK399</f>
        <v>0</v>
      </c>
      <c r="F393" s="750">
        <f>'FORECAST-CORE'!AL399</f>
        <v>6.1875</v>
      </c>
      <c r="G393" s="751">
        <f>'FORECAST-CORE'!AM399</f>
        <v>0</v>
      </c>
      <c r="H393" s="750">
        <f>'FORECAST-CORE'!AN399</f>
        <v>6.1875</v>
      </c>
      <c r="I393" s="751">
        <f>'FORECAST-CORE'!AO399</f>
        <v>0</v>
      </c>
      <c r="J393" s="750">
        <f>'FORECAST-CORE'!AP399</f>
        <v>6.1875</v>
      </c>
      <c r="K393" s="751">
        <f>'FORECAST-CORE'!AQ399</f>
        <v>0</v>
      </c>
      <c r="L393" s="750">
        <f>'FORECAST-CORE'!AR399</f>
        <v>6.1875</v>
      </c>
      <c r="M393" s="751">
        <f>'FORECAST-CORE'!AS399</f>
        <v>0</v>
      </c>
      <c r="N393" s="750">
        <f>'FORECAST-CORE'!AT399</f>
        <v>6.1875</v>
      </c>
      <c r="O393" s="751">
        <f>'FORECAST-CORE'!AU399</f>
        <v>0</v>
      </c>
      <c r="P393" s="750">
        <f>'FORECAST-CORE'!AV399</f>
        <v>6.1875</v>
      </c>
      <c r="Q393" s="751">
        <f>'FORECAST-CORE'!AW399</f>
        <v>0</v>
      </c>
      <c r="R393" s="750">
        <f>'FORECAST-CORE'!AX399</f>
        <v>6.1875</v>
      </c>
      <c r="S393" s="751">
        <f>'FORECAST-CORE'!AY399</f>
        <v>0</v>
      </c>
      <c r="T393" s="750">
        <f>'FORECAST-CORE'!AZ399</f>
        <v>6.1875</v>
      </c>
      <c r="U393" s="751">
        <f>'FORECAST-CORE'!BA399</f>
        <v>0</v>
      </c>
      <c r="V393" s="750">
        <f>'FORECAST-CORE'!BB399</f>
        <v>6.1875</v>
      </c>
      <c r="W393" s="751">
        <f>'FORECAST-CORE'!BC399</f>
        <v>0</v>
      </c>
      <c r="X393" s="750">
        <f>'FORECAST-CORE'!BD399</f>
        <v>0</v>
      </c>
      <c r="Y393" s="751">
        <f>'FORECAST-CORE'!BE399</f>
        <v>0</v>
      </c>
      <c r="Z393" s="750">
        <f>'FORECAST-CORE'!BF399</f>
        <v>0</v>
      </c>
      <c r="AA393" s="751">
        <f>'FORECAST-CORE'!BG399</f>
        <v>0</v>
      </c>
      <c r="AB393" s="750">
        <f>'FORECAST-CORE'!BH399</f>
        <v>0</v>
      </c>
      <c r="AC393" s="751">
        <f>'FORECAST-CORE'!BI399</f>
        <v>0</v>
      </c>
      <c r="AD393" s="750">
        <f>'FORECAST-CORE'!BJ399</f>
        <v>0</v>
      </c>
      <c r="AE393" s="751">
        <f>'FORECAST-CORE'!BK399</f>
        <v>0</v>
      </c>
      <c r="AF393" s="750">
        <f>'FORECAST-CORE'!BL399</f>
        <v>0</v>
      </c>
      <c r="AG393" s="751">
        <f>'FORECAST-CORE'!BM399</f>
        <v>0</v>
      </c>
      <c r="AH393" s="750">
        <f>'FORECAST-CORE'!BN399</f>
        <v>0</v>
      </c>
      <c r="AI393" s="751">
        <f>'FORECAST-CORE'!BO399</f>
        <v>0</v>
      </c>
      <c r="AJ393" s="750">
        <f>'FORECAST-CORE'!BP399</f>
        <v>0</v>
      </c>
      <c r="AK393" s="751">
        <f>'FORECAST-CORE'!BQ399</f>
        <v>0</v>
      </c>
      <c r="AL393" s="750">
        <f>'FORECAST-CORE'!BR399</f>
        <v>0</v>
      </c>
      <c r="AM393" s="751">
        <f>'FORECAST-CORE'!BS399</f>
        <v>0</v>
      </c>
      <c r="AN393" s="750">
        <f>'FORECAST-CORE'!BT399</f>
        <v>0</v>
      </c>
      <c r="AO393" s="751">
        <f>'FORECAST-CORE'!BU399</f>
        <v>0</v>
      </c>
      <c r="AP393" s="750">
        <f>'FORECAST-CORE'!BV399</f>
        <v>0</v>
      </c>
      <c r="AQ393" s="751">
        <f>'FORECAST-CORE'!BW399</f>
        <v>0</v>
      </c>
      <c r="AR393" s="750">
        <f>'FORECAST-CORE'!BX399</f>
        <v>0</v>
      </c>
      <c r="AS393" s="751">
        <f>'FORECAST-CORE'!BY399</f>
        <v>0</v>
      </c>
      <c r="AT393" s="750">
        <f>'FORECAST-CORE'!BZ399</f>
        <v>0</v>
      </c>
      <c r="AU393" s="751">
        <f>'FORECAST-CORE'!CA399</f>
        <v>0</v>
      </c>
      <c r="AV393" s="750">
        <f>'FORECAST-CORE'!CB399</f>
        <v>0</v>
      </c>
      <c r="AW393" s="751">
        <f>'FORECAST-CORE'!CC399</f>
        <v>0</v>
      </c>
      <c r="AX393" s="750">
        <f>'FORECAST-CORE'!CD399</f>
        <v>0</v>
      </c>
      <c r="AY393" s="751">
        <f>'FORECAST-CORE'!CE399</f>
        <v>0</v>
      </c>
      <c r="AZ393" s="750">
        <f>'FORECAST-CORE'!CF399</f>
        <v>0</v>
      </c>
      <c r="BA393" s="751">
        <f>'FORECAST-CORE'!CG399</f>
        <v>0</v>
      </c>
      <c r="BB393" s="750">
        <f>'FORECAST-CORE'!CH399</f>
        <v>0</v>
      </c>
      <c r="BC393" s="751">
        <f>'FORECAST-CORE'!CI399</f>
        <v>0</v>
      </c>
      <c r="BD393" s="750">
        <f>'FORECAST-CORE'!CJ399</f>
        <v>0</v>
      </c>
      <c r="BE393" s="751">
        <f>'FORECAST-CORE'!CK399</f>
        <v>0</v>
      </c>
      <c r="BF393" s="750">
        <f>'FORECAST-CORE'!CL399</f>
        <v>0</v>
      </c>
      <c r="BG393" s="751">
        <f>'FORECAST-CORE'!CM399</f>
        <v>0</v>
      </c>
      <c r="BH393" s="750">
        <f>'FORECAST-CORE'!CN399</f>
        <v>0</v>
      </c>
      <c r="BI393" s="751">
        <f>'FORECAST-CORE'!CO399</f>
        <v>0</v>
      </c>
      <c r="BJ393" s="750">
        <f>'FORECAST-CORE'!CP399</f>
        <v>0</v>
      </c>
      <c r="BK393" s="751">
        <f>'FORECAST-CORE'!CQ399</f>
        <v>0</v>
      </c>
      <c r="BL393" s="750">
        <f>'FORECAST-CORE'!CR399</f>
        <v>0</v>
      </c>
      <c r="BM393" s="751">
        <f>'FORECAST-CORE'!CS399</f>
        <v>0</v>
      </c>
      <c r="BN393" s="750">
        <f>'FORECAST-CORE'!EH399</f>
        <v>0</v>
      </c>
      <c r="BO393" s="751">
        <f>'FORECAST-CORE'!EI399</f>
        <v>0</v>
      </c>
      <c r="BP393" s="750">
        <f>'FORECAST-CORE'!EJ399</f>
        <v>0</v>
      </c>
      <c r="BQ393" s="751">
        <f>'FORECAST-CORE'!EK399</f>
        <v>0</v>
      </c>
      <c r="BR393" s="750" t="str">
        <f>'FORECAST-CORE'!EL399</f>
        <v>NA</v>
      </c>
      <c r="BS393" s="751">
        <f>'FORECAST-CORE'!EM399</f>
        <v>0</v>
      </c>
      <c r="BT393" s="750" t="str">
        <f>'FORECAST-CORE'!EN399</f>
        <v>NA</v>
      </c>
      <c r="BU393" s="751">
        <f>'FORECAST-CORE'!EO399</f>
        <v>0</v>
      </c>
      <c r="BV393" s="750" t="str">
        <f>'FORECAST-CORE'!EP399</f>
        <v>NA</v>
      </c>
      <c r="BW393" s="751">
        <f>'FORECAST-CORE'!EQ399</f>
        <v>6.1875</v>
      </c>
      <c r="BX393" s="750" t="str">
        <f>'FORECAST-CORE'!ER399</f>
        <v>NA</v>
      </c>
      <c r="BY393" s="751">
        <f>'FORECAST-CORE'!ES399</f>
        <v>24.75</v>
      </c>
      <c r="BZ393" s="750" t="str">
        <f>'FORECAST-CORE'!ET399</f>
        <v>NM</v>
      </c>
      <c r="CA393" s="751">
        <f>'FORECAST-CORE'!EU399</f>
        <v>24.75</v>
      </c>
      <c r="CB393" s="750">
        <f>'FORECAST-CORE'!EV399</f>
        <v>0</v>
      </c>
      <c r="CC393" s="751">
        <f>'FORECAST-CORE'!EW399</f>
        <v>18.5625</v>
      </c>
      <c r="CD393" s="750">
        <f>'FORECAST-CORE'!EX399</f>
        <v>-25</v>
      </c>
      <c r="CE393" s="751">
        <f>'FORECAST-CORE'!EY399</f>
        <v>0</v>
      </c>
      <c r="CF393" s="750" t="str">
        <f>'FORECAST-CORE'!EZ399</f>
        <v>NM</v>
      </c>
      <c r="CG393" s="751">
        <f>'FORECAST-CORE'!FA399</f>
        <v>0</v>
      </c>
      <c r="CH393" s="750" t="str">
        <f>'FORECAST-CORE'!FB399</f>
        <v>NA</v>
      </c>
      <c r="CI393" s="751">
        <f>'FORECAST-CORE'!FC399</f>
        <v>0</v>
      </c>
      <c r="CJ393" s="750" t="str">
        <f>'FORECAST-CORE'!FD399</f>
        <v>NA</v>
      </c>
      <c r="CK393" s="751">
        <f>'FORECAST-CORE'!FE399</f>
        <v>0</v>
      </c>
      <c r="CL393" s="750" t="str">
        <f>'FORECAST-CORE'!FF399</f>
        <v>NA</v>
      </c>
      <c r="CM393" s="751">
        <f>'FORECAST-CORE'!FG399</f>
        <v>0</v>
      </c>
      <c r="CN393" s="750" t="str">
        <f>'FORECAST-CORE'!FH399</f>
        <v>NA</v>
      </c>
      <c r="CO393" s="751">
        <f>'FORECAST-CORE'!FI399</f>
        <v>0</v>
      </c>
      <c r="CP393" s="750" t="str">
        <f>'FORECAST-CORE'!FJ399</f>
        <v>NA</v>
      </c>
      <c r="CQ393" s="751">
        <f>'FORECAST-CORE'!FK399</f>
        <v>0</v>
      </c>
      <c r="CR393" s="750" t="str">
        <f>'FORECAST-CORE'!FL399</f>
        <v>NA</v>
      </c>
      <c r="CS393" s="751">
        <f>'FORECAST-CORE'!FM399</f>
        <v>0</v>
      </c>
      <c r="CT393" s="750" t="str">
        <f>'FORECAST-CORE'!FN399</f>
        <v>NA</v>
      </c>
      <c r="CU393" s="751">
        <f>'FORECAST-CORE'!FO399</f>
        <v>0</v>
      </c>
      <c r="CV393" s="750" t="str">
        <f>'FORECAST-CORE'!FP399</f>
        <v>NA</v>
      </c>
      <c r="CW393" s="751">
        <f>'FORECAST-CORE'!FQ399</f>
        <v>0</v>
      </c>
      <c r="CX393" s="750" t="str">
        <f>'FORECAST-CORE'!FR399</f>
        <v>NA</v>
      </c>
      <c r="CY393" s="751">
        <f>'FORECAST-CORE'!FS399</f>
        <v>0</v>
      </c>
      <c r="CZ393" s="750" t="str">
        <f>'FORECAST-CORE'!FT399</f>
        <v>NA</v>
      </c>
      <c r="DA393" s="751">
        <f>'FORECAST-CORE'!FU399</f>
        <v>0</v>
      </c>
      <c r="DB393" s="750"/>
      <c r="DC393" s="750"/>
      <c r="DD393" s="751"/>
      <c r="DE393" s="750">
        <f>'FORECAST-CORE'!EK399</f>
        <v>0</v>
      </c>
      <c r="DF393" s="751" t="str">
        <f>'FORECAST-CORE'!EL399</f>
        <v>NA</v>
      </c>
      <c r="DG393" s="750">
        <f>'FORECAST-CORE'!EM399</f>
        <v>0</v>
      </c>
      <c r="DH393" s="751" t="str">
        <f>'FORECAST-CORE'!EN399</f>
        <v>NA</v>
      </c>
      <c r="DI393" s="750">
        <f>'FORECAST-CORE'!EO399</f>
        <v>0</v>
      </c>
      <c r="DJ393" s="751" t="str">
        <f>'FORECAST-CORE'!EP399</f>
        <v>NA</v>
      </c>
      <c r="DK393" s="750">
        <f>'FORECAST-CORE'!EQ399</f>
        <v>6.1875</v>
      </c>
      <c r="DL393" s="751" t="str">
        <f>'FORECAST-CORE'!ER399</f>
        <v>NA</v>
      </c>
      <c r="DM393" s="750">
        <f>'FORECAST-CORE'!ES399</f>
        <v>24.75</v>
      </c>
      <c r="DN393" s="751" t="str">
        <f>'FORECAST-CORE'!ET399</f>
        <v>NM</v>
      </c>
      <c r="DO393" s="750">
        <f>'FORECAST-CORE'!EU399</f>
        <v>24.75</v>
      </c>
      <c r="DP393" s="751">
        <f>'FORECAST-CORE'!EV399</f>
        <v>0</v>
      </c>
      <c r="DQ393" s="750">
        <f>'FORECAST-CORE'!EW399</f>
        <v>18.5625</v>
      </c>
      <c r="DR393" s="751">
        <f>'FORECAST-CORE'!EX399</f>
        <v>-25</v>
      </c>
      <c r="DS393" s="750">
        <f>'FORECAST-CORE'!EY399</f>
        <v>0</v>
      </c>
      <c r="DT393" s="751" t="str">
        <f>'FORECAST-CORE'!EZ399</f>
        <v>NM</v>
      </c>
      <c r="DU393" s="750">
        <f>'FORECAST-CORE'!FA399</f>
        <v>0</v>
      </c>
      <c r="DV393" s="751" t="str">
        <f>'FORECAST-CORE'!FB399</f>
        <v>NA</v>
      </c>
      <c r="DW393" s="750">
        <f>'FORECAST-CORE'!FC399</f>
        <v>0</v>
      </c>
      <c r="DX393" s="751" t="str">
        <f>'FORECAST-CORE'!FD399</f>
        <v>NA</v>
      </c>
      <c r="DY393" s="750">
        <f>'FORECAST-CORE'!FE399</f>
        <v>0</v>
      </c>
      <c r="DZ393" s="751" t="str">
        <f>'FORECAST-CORE'!FF399</f>
        <v>NA</v>
      </c>
      <c r="EA393" s="750">
        <f>'FORECAST-CORE'!FG399</f>
        <v>0</v>
      </c>
      <c r="EB393" s="751" t="str">
        <f>'FORECAST-CORE'!FH399</f>
        <v>NA</v>
      </c>
      <c r="EC393" s="750">
        <f>'FORECAST-CORE'!FI399</f>
        <v>0</v>
      </c>
      <c r="ED393" s="751" t="str">
        <f>'FORECAST-CORE'!FJ399</f>
        <v>NA</v>
      </c>
      <c r="EE393" s="750">
        <f>'FORECAST-CORE'!FK399</f>
        <v>0</v>
      </c>
      <c r="EF393" s="751" t="str">
        <f>'FORECAST-CORE'!FL399</f>
        <v>NA</v>
      </c>
      <c r="EG393" s="750">
        <f>'FORECAST-CORE'!FM399</f>
        <v>0</v>
      </c>
      <c r="EH393" s="751" t="str">
        <f>'FORECAST-CORE'!FN399</f>
        <v>NA</v>
      </c>
      <c r="EI393" s="750">
        <f>'FORECAST-CORE'!FO399</f>
        <v>0</v>
      </c>
      <c r="EJ393" s="751" t="str">
        <f>'FORECAST-CORE'!FP399</f>
        <v>NA</v>
      </c>
      <c r="EK393" s="750">
        <f>'FORECAST-CORE'!FQ399</f>
        <v>0</v>
      </c>
      <c r="EL393" s="751" t="str">
        <f>'FORECAST-CORE'!FR399</f>
        <v>NA</v>
      </c>
      <c r="EM393" s="750">
        <f>'FORECAST-CORE'!GC399</f>
        <v>0</v>
      </c>
      <c r="EN393" s="751">
        <f>'FORECAST-CORE'!GD399</f>
        <v>0</v>
      </c>
      <c r="EO393" s="750">
        <f>'FORECAST-CORE'!GE399</f>
        <v>0</v>
      </c>
      <c r="EP393" s="751">
        <f>'FORECAST-CORE'!GF399</f>
        <v>0</v>
      </c>
      <c r="EQ393" s="750">
        <f>'FORECAST-CORE'!GG399</f>
        <v>0</v>
      </c>
      <c r="ER393" s="751">
        <f>'FORECAST-CORE'!GH399</f>
        <v>0</v>
      </c>
      <c r="ES393" s="750">
        <f>'FORECAST-CORE'!GI399</f>
        <v>0</v>
      </c>
      <c r="ET393" s="751">
        <f>'FORECAST-CORE'!GJ399</f>
        <v>0</v>
      </c>
      <c r="EU393" s="750">
        <f>'FORECAST-CORE'!GA399</f>
        <v>0</v>
      </c>
      <c r="EV393" s="752"/>
    </row>
    <row r="394" spans="1:152" ht="12.75" hidden="1" customHeight="1" outlineLevel="1" x14ac:dyDescent="0.2">
      <c r="A394" s="754" t="str">
        <f>'FORECAST-CORE'!A400</f>
        <v>Interest Expense on ACES, Series 2006</v>
      </c>
      <c r="B394" s="750">
        <f>'FORECAST-CORE'!AH400</f>
        <v>2.40625</v>
      </c>
      <c r="C394" s="751" t="str">
        <f>'FORECAST-CORE'!AI400</f>
        <v>NM</v>
      </c>
      <c r="D394" s="750">
        <f>'FORECAST-CORE'!AJ400</f>
        <v>2.40625</v>
      </c>
      <c r="E394" s="751">
        <f>'FORECAST-CORE'!AK400</f>
        <v>0</v>
      </c>
      <c r="F394" s="750">
        <f>'FORECAST-CORE'!AL400</f>
        <v>2.40625</v>
      </c>
      <c r="G394" s="751">
        <f>'FORECAST-CORE'!AM400</f>
        <v>0</v>
      </c>
      <c r="H394" s="750">
        <f>'FORECAST-CORE'!AN400</f>
        <v>2.40625</v>
      </c>
      <c r="I394" s="751">
        <f>'FORECAST-CORE'!AO400</f>
        <v>0</v>
      </c>
      <c r="J394" s="750">
        <f>'FORECAST-CORE'!AP400</f>
        <v>2.40625</v>
      </c>
      <c r="K394" s="751">
        <f>'FORECAST-CORE'!AQ400</f>
        <v>0</v>
      </c>
      <c r="L394" s="750">
        <f>'FORECAST-CORE'!AR400</f>
        <v>2.40625</v>
      </c>
      <c r="M394" s="751">
        <f>'FORECAST-CORE'!AS400</f>
        <v>0</v>
      </c>
      <c r="N394" s="750">
        <f>'FORECAST-CORE'!AT400</f>
        <v>2.40625</v>
      </c>
      <c r="O394" s="751">
        <f>'FORECAST-CORE'!AU400</f>
        <v>0</v>
      </c>
      <c r="P394" s="750">
        <f>'FORECAST-CORE'!AV400</f>
        <v>2.40625</v>
      </c>
      <c r="Q394" s="751">
        <f>'FORECAST-CORE'!AW400</f>
        <v>0</v>
      </c>
      <c r="R394" s="750">
        <f>'FORECAST-CORE'!AX400</f>
        <v>2.40625</v>
      </c>
      <c r="S394" s="751">
        <f>'FORECAST-CORE'!AY400</f>
        <v>0</v>
      </c>
      <c r="T394" s="750">
        <f>'FORECAST-CORE'!AZ400</f>
        <v>2.40625</v>
      </c>
      <c r="U394" s="751">
        <f>'FORECAST-CORE'!BA400</f>
        <v>0</v>
      </c>
      <c r="V394" s="750">
        <f>'FORECAST-CORE'!BB400</f>
        <v>2.40625</v>
      </c>
      <c r="W394" s="751">
        <f>'FORECAST-CORE'!BC400</f>
        <v>0</v>
      </c>
      <c r="X394" s="750">
        <f>'FORECAST-CORE'!BD400</f>
        <v>0</v>
      </c>
      <c r="Y394" s="751">
        <f>'FORECAST-CORE'!BE400</f>
        <v>0</v>
      </c>
      <c r="Z394" s="750">
        <f>'FORECAST-CORE'!BF400</f>
        <v>0</v>
      </c>
      <c r="AA394" s="751">
        <f>'FORECAST-CORE'!BG400</f>
        <v>0</v>
      </c>
      <c r="AB394" s="750">
        <f>'FORECAST-CORE'!BH400</f>
        <v>0</v>
      </c>
      <c r="AC394" s="751">
        <f>'FORECAST-CORE'!BI400</f>
        <v>0</v>
      </c>
      <c r="AD394" s="750">
        <f>'FORECAST-CORE'!BJ400</f>
        <v>0</v>
      </c>
      <c r="AE394" s="751">
        <f>'FORECAST-CORE'!BK400</f>
        <v>0</v>
      </c>
      <c r="AF394" s="750">
        <f>'FORECAST-CORE'!BL400</f>
        <v>0</v>
      </c>
      <c r="AG394" s="751">
        <f>'FORECAST-CORE'!BM400</f>
        <v>0</v>
      </c>
      <c r="AH394" s="750">
        <f>'FORECAST-CORE'!BN400</f>
        <v>0</v>
      </c>
      <c r="AI394" s="751">
        <f>'FORECAST-CORE'!BO400</f>
        <v>0</v>
      </c>
      <c r="AJ394" s="750">
        <f>'FORECAST-CORE'!BP400</f>
        <v>0</v>
      </c>
      <c r="AK394" s="751">
        <f>'FORECAST-CORE'!BQ400</f>
        <v>0</v>
      </c>
      <c r="AL394" s="750">
        <f>'FORECAST-CORE'!BR400</f>
        <v>0</v>
      </c>
      <c r="AM394" s="751">
        <f>'FORECAST-CORE'!BS400</f>
        <v>0</v>
      </c>
      <c r="AN394" s="750">
        <f>'FORECAST-CORE'!BT400</f>
        <v>0</v>
      </c>
      <c r="AO394" s="751">
        <f>'FORECAST-CORE'!BU400</f>
        <v>0</v>
      </c>
      <c r="AP394" s="750">
        <f>'FORECAST-CORE'!BV400</f>
        <v>0</v>
      </c>
      <c r="AQ394" s="751">
        <f>'FORECAST-CORE'!BW400</f>
        <v>0</v>
      </c>
      <c r="AR394" s="750">
        <f>'FORECAST-CORE'!BX400</f>
        <v>0</v>
      </c>
      <c r="AS394" s="751">
        <f>'FORECAST-CORE'!BY400</f>
        <v>0</v>
      </c>
      <c r="AT394" s="750">
        <f>'FORECAST-CORE'!BZ400</f>
        <v>0</v>
      </c>
      <c r="AU394" s="751">
        <f>'FORECAST-CORE'!CA400</f>
        <v>0</v>
      </c>
      <c r="AV394" s="750">
        <f>'FORECAST-CORE'!CB400</f>
        <v>0</v>
      </c>
      <c r="AW394" s="751">
        <f>'FORECAST-CORE'!CC400</f>
        <v>0</v>
      </c>
      <c r="AX394" s="750">
        <f>'FORECAST-CORE'!CD400</f>
        <v>0</v>
      </c>
      <c r="AY394" s="751">
        <f>'FORECAST-CORE'!CE400</f>
        <v>0</v>
      </c>
      <c r="AZ394" s="750">
        <f>'FORECAST-CORE'!CF400</f>
        <v>0</v>
      </c>
      <c r="BA394" s="751">
        <f>'FORECAST-CORE'!CG400</f>
        <v>0</v>
      </c>
      <c r="BB394" s="750">
        <f>'FORECAST-CORE'!CH400</f>
        <v>0</v>
      </c>
      <c r="BC394" s="751">
        <f>'FORECAST-CORE'!CI400</f>
        <v>0</v>
      </c>
      <c r="BD394" s="750">
        <f>'FORECAST-CORE'!CJ400</f>
        <v>0</v>
      </c>
      <c r="BE394" s="751">
        <f>'FORECAST-CORE'!CK400</f>
        <v>0</v>
      </c>
      <c r="BF394" s="750">
        <f>'FORECAST-CORE'!CL400</f>
        <v>0</v>
      </c>
      <c r="BG394" s="751">
        <f>'FORECAST-CORE'!CM400</f>
        <v>0</v>
      </c>
      <c r="BH394" s="750">
        <f>'FORECAST-CORE'!CN400</f>
        <v>0</v>
      </c>
      <c r="BI394" s="751">
        <f>'FORECAST-CORE'!CO400</f>
        <v>0</v>
      </c>
      <c r="BJ394" s="750">
        <f>'FORECAST-CORE'!CP400</f>
        <v>0</v>
      </c>
      <c r="BK394" s="751">
        <f>'FORECAST-CORE'!CQ400</f>
        <v>0</v>
      </c>
      <c r="BL394" s="750">
        <f>'FORECAST-CORE'!CR400</f>
        <v>0</v>
      </c>
      <c r="BM394" s="751">
        <f>'FORECAST-CORE'!CS400</f>
        <v>0</v>
      </c>
      <c r="BN394" s="750">
        <f>'FORECAST-CORE'!EH400</f>
        <v>0</v>
      </c>
      <c r="BO394" s="751">
        <f>'FORECAST-CORE'!EI400</f>
        <v>0</v>
      </c>
      <c r="BP394" s="750">
        <f>'FORECAST-CORE'!EJ400</f>
        <v>0</v>
      </c>
      <c r="BQ394" s="751">
        <f>'FORECAST-CORE'!EK400</f>
        <v>0</v>
      </c>
      <c r="BR394" s="750" t="str">
        <f>'FORECAST-CORE'!EL400</f>
        <v>NA</v>
      </c>
      <c r="BS394" s="751">
        <f>'FORECAST-CORE'!EM400</f>
        <v>0</v>
      </c>
      <c r="BT394" s="750" t="str">
        <f>'FORECAST-CORE'!EN400</f>
        <v>NA</v>
      </c>
      <c r="BU394" s="751">
        <f>'FORECAST-CORE'!EO400</f>
        <v>0</v>
      </c>
      <c r="BV394" s="750" t="str">
        <f>'FORECAST-CORE'!EP400</f>
        <v>NA</v>
      </c>
      <c r="BW394" s="751">
        <f>'FORECAST-CORE'!EQ400</f>
        <v>11.859375</v>
      </c>
      <c r="BX394" s="750" t="str">
        <f>'FORECAST-CORE'!ER400</f>
        <v>NA</v>
      </c>
      <c r="BY394" s="751">
        <f>'FORECAST-CORE'!ES400</f>
        <v>9.625</v>
      </c>
      <c r="BZ394" s="750">
        <f>'FORECAST-CORE'!ET400</f>
        <v>-18.840579710144922</v>
      </c>
      <c r="CA394" s="751">
        <f>'FORECAST-CORE'!EU400</f>
        <v>9.625</v>
      </c>
      <c r="CB394" s="750">
        <f>'FORECAST-CORE'!EV400</f>
        <v>0</v>
      </c>
      <c r="CC394" s="751">
        <f>'FORECAST-CORE'!EW400</f>
        <v>7.21875</v>
      </c>
      <c r="CD394" s="750">
        <f>'FORECAST-CORE'!EX400</f>
        <v>-25</v>
      </c>
      <c r="CE394" s="751">
        <f>'FORECAST-CORE'!EY400</f>
        <v>0</v>
      </c>
      <c r="CF394" s="750" t="str">
        <f>'FORECAST-CORE'!EZ400</f>
        <v>NM</v>
      </c>
      <c r="CG394" s="751">
        <f>'FORECAST-CORE'!FA400</f>
        <v>0</v>
      </c>
      <c r="CH394" s="750" t="str">
        <f>'FORECAST-CORE'!FB400</f>
        <v>NA</v>
      </c>
      <c r="CI394" s="751">
        <f>'FORECAST-CORE'!FC400</f>
        <v>0</v>
      </c>
      <c r="CJ394" s="750" t="str">
        <f>'FORECAST-CORE'!FD400</f>
        <v>NA</v>
      </c>
      <c r="CK394" s="751">
        <f>'FORECAST-CORE'!FE400</f>
        <v>0</v>
      </c>
      <c r="CL394" s="750" t="str">
        <f>'FORECAST-CORE'!FF400</f>
        <v>NA</v>
      </c>
      <c r="CM394" s="751">
        <f>'FORECAST-CORE'!FG400</f>
        <v>0</v>
      </c>
      <c r="CN394" s="750" t="str">
        <f>'FORECAST-CORE'!FH400</f>
        <v>NA</v>
      </c>
      <c r="CO394" s="751">
        <f>'FORECAST-CORE'!FI400</f>
        <v>0</v>
      </c>
      <c r="CP394" s="750" t="str">
        <f>'FORECAST-CORE'!FJ400</f>
        <v>NA</v>
      </c>
      <c r="CQ394" s="751">
        <f>'FORECAST-CORE'!FK400</f>
        <v>0</v>
      </c>
      <c r="CR394" s="750" t="str">
        <f>'FORECAST-CORE'!FL400</f>
        <v>NA</v>
      </c>
      <c r="CS394" s="751">
        <f>'FORECAST-CORE'!FM400</f>
        <v>0</v>
      </c>
      <c r="CT394" s="750" t="str">
        <f>'FORECAST-CORE'!FN400</f>
        <v>NA</v>
      </c>
      <c r="CU394" s="751">
        <f>'FORECAST-CORE'!FO400</f>
        <v>0</v>
      </c>
      <c r="CV394" s="750" t="str">
        <f>'FORECAST-CORE'!FP400</f>
        <v>NA</v>
      </c>
      <c r="CW394" s="751">
        <f>'FORECAST-CORE'!FQ400</f>
        <v>0</v>
      </c>
      <c r="CX394" s="750" t="str">
        <f>'FORECAST-CORE'!FR400</f>
        <v>NA</v>
      </c>
      <c r="CY394" s="751">
        <f>'FORECAST-CORE'!FS400</f>
        <v>0</v>
      </c>
      <c r="CZ394" s="750" t="str">
        <f>'FORECAST-CORE'!FT400</f>
        <v>NA</v>
      </c>
      <c r="DA394" s="751">
        <f>'FORECAST-CORE'!FU400</f>
        <v>0</v>
      </c>
      <c r="DB394" s="750"/>
      <c r="DC394" s="750"/>
      <c r="DD394" s="751"/>
      <c r="DE394" s="750">
        <f>'FORECAST-CORE'!EK400</f>
        <v>0</v>
      </c>
      <c r="DF394" s="751" t="str">
        <f>'FORECAST-CORE'!EL400</f>
        <v>NA</v>
      </c>
      <c r="DG394" s="750">
        <f>'FORECAST-CORE'!EM400</f>
        <v>0</v>
      </c>
      <c r="DH394" s="751" t="str">
        <f>'FORECAST-CORE'!EN400</f>
        <v>NA</v>
      </c>
      <c r="DI394" s="750">
        <f>'FORECAST-CORE'!EO400</f>
        <v>0</v>
      </c>
      <c r="DJ394" s="751" t="str">
        <f>'FORECAST-CORE'!EP400</f>
        <v>NA</v>
      </c>
      <c r="DK394" s="750">
        <f>'FORECAST-CORE'!EQ400</f>
        <v>11.859375</v>
      </c>
      <c r="DL394" s="751" t="str">
        <f>'FORECAST-CORE'!ER400</f>
        <v>NA</v>
      </c>
      <c r="DM394" s="750">
        <f>'FORECAST-CORE'!ES400</f>
        <v>9.625</v>
      </c>
      <c r="DN394" s="751">
        <f>'FORECAST-CORE'!ET400</f>
        <v>-18.840579710144922</v>
      </c>
      <c r="DO394" s="750">
        <f>'FORECAST-CORE'!EU400</f>
        <v>9.625</v>
      </c>
      <c r="DP394" s="751">
        <f>'FORECAST-CORE'!EV400</f>
        <v>0</v>
      </c>
      <c r="DQ394" s="750">
        <f>'FORECAST-CORE'!EW400</f>
        <v>7.21875</v>
      </c>
      <c r="DR394" s="751">
        <f>'FORECAST-CORE'!EX400</f>
        <v>-25</v>
      </c>
      <c r="DS394" s="750">
        <f>'FORECAST-CORE'!EY400</f>
        <v>0</v>
      </c>
      <c r="DT394" s="751" t="str">
        <f>'FORECAST-CORE'!EZ400</f>
        <v>NM</v>
      </c>
      <c r="DU394" s="750">
        <f>'FORECAST-CORE'!FA400</f>
        <v>0</v>
      </c>
      <c r="DV394" s="751" t="str">
        <f>'FORECAST-CORE'!FB400</f>
        <v>NA</v>
      </c>
      <c r="DW394" s="750">
        <f>'FORECAST-CORE'!FC400</f>
        <v>0</v>
      </c>
      <c r="DX394" s="751" t="str">
        <f>'FORECAST-CORE'!FD400</f>
        <v>NA</v>
      </c>
      <c r="DY394" s="750">
        <f>'FORECAST-CORE'!FE400</f>
        <v>0</v>
      </c>
      <c r="DZ394" s="751" t="str">
        <f>'FORECAST-CORE'!FF400</f>
        <v>NA</v>
      </c>
      <c r="EA394" s="750">
        <f>'FORECAST-CORE'!FG400</f>
        <v>0</v>
      </c>
      <c r="EB394" s="751" t="str">
        <f>'FORECAST-CORE'!FH400</f>
        <v>NA</v>
      </c>
      <c r="EC394" s="750">
        <f>'FORECAST-CORE'!FI400</f>
        <v>0</v>
      </c>
      <c r="ED394" s="751" t="str">
        <f>'FORECAST-CORE'!FJ400</f>
        <v>NA</v>
      </c>
      <c r="EE394" s="750">
        <f>'FORECAST-CORE'!FK400</f>
        <v>0</v>
      </c>
      <c r="EF394" s="751" t="str">
        <f>'FORECAST-CORE'!FL400</f>
        <v>NA</v>
      </c>
      <c r="EG394" s="750">
        <f>'FORECAST-CORE'!FM400</f>
        <v>0</v>
      </c>
      <c r="EH394" s="751" t="str">
        <f>'FORECAST-CORE'!FN400</f>
        <v>NA</v>
      </c>
      <c r="EI394" s="750">
        <f>'FORECAST-CORE'!FO400</f>
        <v>0</v>
      </c>
      <c r="EJ394" s="751" t="str">
        <f>'FORECAST-CORE'!FP400</f>
        <v>NA</v>
      </c>
      <c r="EK394" s="750">
        <f>'FORECAST-CORE'!FQ400</f>
        <v>0</v>
      </c>
      <c r="EL394" s="751" t="str">
        <f>'FORECAST-CORE'!FR400</f>
        <v>NA</v>
      </c>
      <c r="EM394" s="750">
        <f>'FORECAST-CORE'!GC400</f>
        <v>0</v>
      </c>
      <c r="EN394" s="751">
        <f>'FORECAST-CORE'!GD400</f>
        <v>0</v>
      </c>
      <c r="EO394" s="750">
        <f>'FORECAST-CORE'!GE400</f>
        <v>0</v>
      </c>
      <c r="EP394" s="751">
        <f>'FORECAST-CORE'!GF400</f>
        <v>0</v>
      </c>
      <c r="EQ394" s="750">
        <f>'FORECAST-CORE'!GG400</f>
        <v>0</v>
      </c>
      <c r="ER394" s="751">
        <f>'FORECAST-CORE'!GH400</f>
        <v>0</v>
      </c>
      <c r="ES394" s="750">
        <f>'FORECAST-CORE'!GI400</f>
        <v>0</v>
      </c>
      <c r="ET394" s="751">
        <f>'FORECAST-CORE'!GJ400</f>
        <v>0</v>
      </c>
      <c r="EU394" s="750">
        <f>'FORECAST-CORE'!GA400</f>
        <v>0</v>
      </c>
      <c r="EV394" s="752"/>
    </row>
    <row r="395" spans="1:152" ht="12.75" hidden="1" customHeight="1" outlineLevel="1" x14ac:dyDescent="0.2">
      <c r="A395" s="754" t="str">
        <f>'FORECAST-CORE'!A401</f>
        <v>Operating Expenses</v>
      </c>
      <c r="B395" s="750">
        <f>'FORECAST-CORE'!AH401</f>
        <v>1.6</v>
      </c>
      <c r="C395" s="751">
        <f>'FORECAST-CORE'!AI401</f>
        <v>-19.999999999999996</v>
      </c>
      <c r="D395" s="750">
        <f>'FORECAST-CORE'!AJ401</f>
        <v>44.7</v>
      </c>
      <c r="E395" s="751" t="str">
        <f>'FORECAST-CORE'!AK401</f>
        <v>NM</v>
      </c>
      <c r="F395" s="750">
        <f>'FORECAST-CORE'!AL401</f>
        <v>43.7</v>
      </c>
      <c r="G395" s="751">
        <f>'FORECAST-CORE'!AM401</f>
        <v>-2.2371364653243853</v>
      </c>
      <c r="H395" s="750">
        <f>'FORECAST-CORE'!AN401</f>
        <v>-0.6</v>
      </c>
      <c r="I395" s="751" t="str">
        <f>'FORECAST-CORE'!AO401</f>
        <v>NM</v>
      </c>
      <c r="J395" s="750">
        <f>'FORECAST-CORE'!AP401</f>
        <v>1.5</v>
      </c>
      <c r="K395" s="751" t="str">
        <f>'FORECAST-CORE'!AQ401</f>
        <v>NM</v>
      </c>
      <c r="L395" s="750">
        <f>'FORECAST-CORE'!AR401</f>
        <v>0.8</v>
      </c>
      <c r="M395" s="751">
        <f>'FORECAST-CORE'!AS401</f>
        <v>-46.666666666666664</v>
      </c>
      <c r="N395" s="750">
        <f>'FORECAST-CORE'!AT401</f>
        <v>0.7</v>
      </c>
      <c r="O395" s="751">
        <f>'FORECAST-CORE'!AU401</f>
        <v>-12.500000000000011</v>
      </c>
      <c r="P395" s="750">
        <f>'FORECAST-CORE'!AV401</f>
        <v>1</v>
      </c>
      <c r="Q395" s="751">
        <f>'FORECAST-CORE'!AW401</f>
        <v>42.857142857142861</v>
      </c>
      <c r="R395" s="750">
        <f>'FORECAST-CORE'!AX401</f>
        <v>2.1</v>
      </c>
      <c r="S395" s="751" t="str">
        <f>'FORECAST-CORE'!AY401</f>
        <v>NM</v>
      </c>
      <c r="T395" s="750">
        <f>'FORECAST-CORE'!AZ401</f>
        <v>2.4</v>
      </c>
      <c r="U395" s="751">
        <f>'FORECAST-CORE'!BA401</f>
        <v>14.285714285714279</v>
      </c>
      <c r="V395" s="750">
        <f>'FORECAST-CORE'!BB401</f>
        <v>3</v>
      </c>
      <c r="W395" s="751">
        <f>'FORECAST-CORE'!BC401</f>
        <v>25</v>
      </c>
      <c r="X395" s="750">
        <f>'FORECAST-CORE'!BD401</f>
        <v>0</v>
      </c>
      <c r="Y395" s="751">
        <f>'FORECAST-CORE'!BE401</f>
        <v>0</v>
      </c>
      <c r="Z395" s="750">
        <f>'FORECAST-CORE'!BF401</f>
        <v>0</v>
      </c>
      <c r="AA395" s="751">
        <f>'FORECAST-CORE'!BG401</f>
        <v>0</v>
      </c>
      <c r="AB395" s="750">
        <f>'FORECAST-CORE'!BH401</f>
        <v>0</v>
      </c>
      <c r="AC395" s="751">
        <f>'FORECAST-CORE'!BI401</f>
        <v>0</v>
      </c>
      <c r="AD395" s="750">
        <f>'FORECAST-CORE'!BJ401</f>
        <v>0</v>
      </c>
      <c r="AE395" s="751">
        <f>'FORECAST-CORE'!BK401</f>
        <v>0</v>
      </c>
      <c r="AF395" s="750">
        <f>'FORECAST-CORE'!BL401</f>
        <v>0</v>
      </c>
      <c r="AG395" s="751">
        <f>'FORECAST-CORE'!BM401</f>
        <v>0</v>
      </c>
      <c r="AH395" s="750">
        <f>'FORECAST-CORE'!BN401</f>
        <v>0</v>
      </c>
      <c r="AI395" s="751">
        <f>'FORECAST-CORE'!BO401</f>
        <v>0</v>
      </c>
      <c r="AJ395" s="750">
        <f>'FORECAST-CORE'!BP401</f>
        <v>0</v>
      </c>
      <c r="AK395" s="751">
        <f>'FORECAST-CORE'!BQ401</f>
        <v>0</v>
      </c>
      <c r="AL395" s="750">
        <f>'FORECAST-CORE'!BR401</f>
        <v>0</v>
      </c>
      <c r="AM395" s="751">
        <f>'FORECAST-CORE'!BS401</f>
        <v>0</v>
      </c>
      <c r="AN395" s="750">
        <f>'FORECAST-CORE'!BT401</f>
        <v>0</v>
      </c>
      <c r="AO395" s="751">
        <f>'FORECAST-CORE'!BU401</f>
        <v>0</v>
      </c>
      <c r="AP395" s="750">
        <f>'FORECAST-CORE'!BV401</f>
        <v>0</v>
      </c>
      <c r="AQ395" s="751">
        <f>'FORECAST-CORE'!BW401</f>
        <v>0</v>
      </c>
      <c r="AR395" s="750">
        <f>'FORECAST-CORE'!BX401</f>
        <v>0</v>
      </c>
      <c r="AS395" s="751">
        <f>'FORECAST-CORE'!BY401</f>
        <v>0</v>
      </c>
      <c r="AT395" s="750">
        <f>'FORECAST-CORE'!BZ401</f>
        <v>0</v>
      </c>
      <c r="AU395" s="751">
        <f>'FORECAST-CORE'!CA401</f>
        <v>0</v>
      </c>
      <c r="AV395" s="750">
        <f>'FORECAST-CORE'!CB401</f>
        <v>0</v>
      </c>
      <c r="AW395" s="751">
        <f>'FORECAST-CORE'!CC401</f>
        <v>0</v>
      </c>
      <c r="AX395" s="750">
        <f>'FORECAST-CORE'!CD401</f>
        <v>0</v>
      </c>
      <c r="AY395" s="751">
        <f>'FORECAST-CORE'!CE401</f>
        <v>0</v>
      </c>
      <c r="AZ395" s="750">
        <f>'FORECAST-CORE'!CF401</f>
        <v>0</v>
      </c>
      <c r="BA395" s="751">
        <f>'FORECAST-CORE'!CG401</f>
        <v>0</v>
      </c>
      <c r="BB395" s="750">
        <f>'FORECAST-CORE'!CH401</f>
        <v>0</v>
      </c>
      <c r="BC395" s="751">
        <f>'FORECAST-CORE'!CI401</f>
        <v>0</v>
      </c>
      <c r="BD395" s="750">
        <f>'FORECAST-CORE'!CJ401</f>
        <v>0</v>
      </c>
      <c r="BE395" s="751">
        <f>'FORECAST-CORE'!CK401</f>
        <v>0</v>
      </c>
      <c r="BF395" s="750">
        <f>'FORECAST-CORE'!CL401</f>
        <v>0</v>
      </c>
      <c r="BG395" s="751">
        <f>'FORECAST-CORE'!CM401</f>
        <v>0</v>
      </c>
      <c r="BH395" s="750">
        <f>'FORECAST-CORE'!CN401</f>
        <v>0</v>
      </c>
      <c r="BI395" s="751">
        <f>'FORECAST-CORE'!CO401</f>
        <v>0</v>
      </c>
      <c r="BJ395" s="750">
        <f>'FORECAST-CORE'!CP401</f>
        <v>0</v>
      </c>
      <c r="BK395" s="751">
        <f>'FORECAST-CORE'!CQ401</f>
        <v>0</v>
      </c>
      <c r="BL395" s="750">
        <f>'FORECAST-CORE'!CR401</f>
        <v>0</v>
      </c>
      <c r="BM395" s="751">
        <f>'FORECAST-CORE'!CS401</f>
        <v>0</v>
      </c>
      <c r="BN395" s="750">
        <f>'FORECAST-CORE'!EH401</f>
        <v>0</v>
      </c>
      <c r="BO395" s="751">
        <f>'FORECAST-CORE'!EI401</f>
        <v>0</v>
      </c>
      <c r="BP395" s="750">
        <f>'FORECAST-CORE'!EJ401</f>
        <v>0</v>
      </c>
      <c r="BQ395" s="751">
        <f>'FORECAST-CORE'!EK401</f>
        <v>177.5</v>
      </c>
      <c r="BR395" s="750" t="str">
        <f>'FORECAST-CORE'!EL401</f>
        <v>NA</v>
      </c>
      <c r="BS395" s="751">
        <f>'FORECAST-CORE'!EM401</f>
        <v>168.7</v>
      </c>
      <c r="BT395" s="750">
        <f>'FORECAST-CORE'!EN401</f>
        <v>-4.9577464788732488</v>
      </c>
      <c r="BU395" s="751">
        <f>'FORECAST-CORE'!EO401</f>
        <v>174.2</v>
      </c>
      <c r="BV395" s="750">
        <f>'FORECAST-CORE'!EP401</f>
        <v>3.2602252519265074</v>
      </c>
      <c r="BW395" s="751">
        <f>'FORECAST-CORE'!EQ401</f>
        <v>127.2</v>
      </c>
      <c r="BX395" s="750">
        <f>'FORECAST-CORE'!ER401</f>
        <v>-26.980482204362801</v>
      </c>
      <c r="BY395" s="751">
        <f>'FORECAST-CORE'!ES401</f>
        <v>89.4</v>
      </c>
      <c r="BZ395" s="750">
        <f>'FORECAST-CORE'!ET401</f>
        <v>-29.716981132075471</v>
      </c>
      <c r="CA395" s="751">
        <f>'FORECAST-CORE'!EU401</f>
        <v>4</v>
      </c>
      <c r="CB395" s="750" t="str">
        <f>'FORECAST-CORE'!EV401</f>
        <v>NM</v>
      </c>
      <c r="CC395" s="751">
        <f>'FORECAST-CORE'!EW401</f>
        <v>7.5</v>
      </c>
      <c r="CD395" s="750">
        <f>'FORECAST-CORE'!EX401</f>
        <v>87.5</v>
      </c>
      <c r="CE395" s="751">
        <f>'FORECAST-CORE'!EY401</f>
        <v>0</v>
      </c>
      <c r="CF395" s="750" t="str">
        <f>'FORECAST-CORE'!EZ401</f>
        <v>NM</v>
      </c>
      <c r="CG395" s="751">
        <f>'FORECAST-CORE'!FA401</f>
        <v>0</v>
      </c>
      <c r="CH395" s="750" t="str">
        <f>'FORECAST-CORE'!FB401</f>
        <v>NA</v>
      </c>
      <c r="CI395" s="751">
        <f>'FORECAST-CORE'!FC401</f>
        <v>0</v>
      </c>
      <c r="CJ395" s="750" t="str">
        <f>'FORECAST-CORE'!FD401</f>
        <v>NA</v>
      </c>
      <c r="CK395" s="751">
        <f>'FORECAST-CORE'!FE401</f>
        <v>0</v>
      </c>
      <c r="CL395" s="750" t="str">
        <f>'FORECAST-CORE'!FF401</f>
        <v>NA</v>
      </c>
      <c r="CM395" s="751">
        <f>'FORECAST-CORE'!FG401</f>
        <v>0</v>
      </c>
      <c r="CN395" s="750" t="str">
        <f>'FORECAST-CORE'!FH401</f>
        <v>NA</v>
      </c>
      <c r="CO395" s="751">
        <f>'FORECAST-CORE'!FI401</f>
        <v>0</v>
      </c>
      <c r="CP395" s="750" t="str">
        <f>'FORECAST-CORE'!FJ401</f>
        <v>NA</v>
      </c>
      <c r="CQ395" s="751">
        <f>'FORECAST-CORE'!FK401</f>
        <v>0</v>
      </c>
      <c r="CR395" s="750" t="str">
        <f>'FORECAST-CORE'!FL401</f>
        <v>NA</v>
      </c>
      <c r="CS395" s="751">
        <f>'FORECAST-CORE'!FM401</f>
        <v>0</v>
      </c>
      <c r="CT395" s="750" t="str">
        <f>'FORECAST-CORE'!FN401</f>
        <v>NA</v>
      </c>
      <c r="CU395" s="751">
        <f>'FORECAST-CORE'!FO401</f>
        <v>0</v>
      </c>
      <c r="CV395" s="750" t="str">
        <f>'FORECAST-CORE'!FP401</f>
        <v>NA</v>
      </c>
      <c r="CW395" s="751">
        <f>'FORECAST-CORE'!FQ401</f>
        <v>0</v>
      </c>
      <c r="CX395" s="750" t="str">
        <f>'FORECAST-CORE'!FR401</f>
        <v>NA</v>
      </c>
      <c r="CY395" s="751">
        <f>'FORECAST-CORE'!FS401</f>
        <v>0</v>
      </c>
      <c r="CZ395" s="750" t="str">
        <f>'FORECAST-CORE'!FT401</f>
        <v>NA</v>
      </c>
      <c r="DA395" s="751">
        <f>'FORECAST-CORE'!FU401</f>
        <v>0</v>
      </c>
      <c r="DB395" s="750"/>
      <c r="DC395" s="750"/>
      <c r="DD395" s="751"/>
      <c r="DE395" s="750">
        <f>'FORECAST-CORE'!EK401</f>
        <v>177.5</v>
      </c>
      <c r="DF395" s="751" t="str">
        <f>'FORECAST-CORE'!EL401</f>
        <v>NA</v>
      </c>
      <c r="DG395" s="750">
        <f>'FORECAST-CORE'!EM401</f>
        <v>168.7</v>
      </c>
      <c r="DH395" s="751">
        <f>'FORECAST-CORE'!EN401</f>
        <v>-4.9577464788732488</v>
      </c>
      <c r="DI395" s="750">
        <f>'FORECAST-CORE'!EO401</f>
        <v>174.2</v>
      </c>
      <c r="DJ395" s="751">
        <f>'FORECAST-CORE'!EP401</f>
        <v>3.2602252519265074</v>
      </c>
      <c r="DK395" s="750">
        <f>'FORECAST-CORE'!EQ401</f>
        <v>127.2</v>
      </c>
      <c r="DL395" s="751">
        <f>'FORECAST-CORE'!ER401</f>
        <v>-26.980482204362801</v>
      </c>
      <c r="DM395" s="750">
        <f>'FORECAST-CORE'!ES401</f>
        <v>89.4</v>
      </c>
      <c r="DN395" s="751">
        <f>'FORECAST-CORE'!ET401</f>
        <v>-29.716981132075471</v>
      </c>
      <c r="DO395" s="750">
        <f>'FORECAST-CORE'!EU401</f>
        <v>4</v>
      </c>
      <c r="DP395" s="751" t="str">
        <f>'FORECAST-CORE'!EV401</f>
        <v>NM</v>
      </c>
      <c r="DQ395" s="750">
        <f>'FORECAST-CORE'!EW401</f>
        <v>7.5</v>
      </c>
      <c r="DR395" s="751">
        <f>'FORECAST-CORE'!EX401</f>
        <v>87.5</v>
      </c>
      <c r="DS395" s="750">
        <f>'FORECAST-CORE'!EY401</f>
        <v>0</v>
      </c>
      <c r="DT395" s="751" t="str">
        <f>'FORECAST-CORE'!EZ401</f>
        <v>NM</v>
      </c>
      <c r="DU395" s="750">
        <f>'FORECAST-CORE'!FA401</f>
        <v>0</v>
      </c>
      <c r="DV395" s="751" t="str">
        <f>'FORECAST-CORE'!FB401</f>
        <v>NA</v>
      </c>
      <c r="DW395" s="750">
        <f>'FORECAST-CORE'!FC401</f>
        <v>0</v>
      </c>
      <c r="DX395" s="751" t="str">
        <f>'FORECAST-CORE'!FD401</f>
        <v>NA</v>
      </c>
      <c r="DY395" s="750">
        <f>'FORECAST-CORE'!FE401</f>
        <v>0</v>
      </c>
      <c r="DZ395" s="751" t="str">
        <f>'FORECAST-CORE'!FF401</f>
        <v>NA</v>
      </c>
      <c r="EA395" s="750">
        <f>'FORECAST-CORE'!FG401</f>
        <v>0</v>
      </c>
      <c r="EB395" s="751" t="str">
        <f>'FORECAST-CORE'!FH401</f>
        <v>NA</v>
      </c>
      <c r="EC395" s="750">
        <f>'FORECAST-CORE'!FI401</f>
        <v>0</v>
      </c>
      <c r="ED395" s="751" t="str">
        <f>'FORECAST-CORE'!FJ401</f>
        <v>NA</v>
      </c>
      <c r="EE395" s="750">
        <f>'FORECAST-CORE'!FK401</f>
        <v>0</v>
      </c>
      <c r="EF395" s="751" t="str">
        <f>'FORECAST-CORE'!FL401</f>
        <v>NA</v>
      </c>
      <c r="EG395" s="750">
        <f>'FORECAST-CORE'!FM401</f>
        <v>0</v>
      </c>
      <c r="EH395" s="751" t="str">
        <f>'FORECAST-CORE'!FN401</f>
        <v>NA</v>
      </c>
      <c r="EI395" s="750">
        <f>'FORECAST-CORE'!FO401</f>
        <v>0</v>
      </c>
      <c r="EJ395" s="751" t="str">
        <f>'FORECAST-CORE'!FP401</f>
        <v>NA</v>
      </c>
      <c r="EK395" s="750">
        <f>'FORECAST-CORE'!FQ401</f>
        <v>0</v>
      </c>
      <c r="EL395" s="751" t="str">
        <f>'FORECAST-CORE'!FR401</f>
        <v>NA</v>
      </c>
      <c r="EM395" s="750">
        <f>'FORECAST-CORE'!GC401</f>
        <v>0</v>
      </c>
      <c r="EN395" s="751">
        <f>'FORECAST-CORE'!GD401</f>
        <v>0</v>
      </c>
      <c r="EO395" s="750">
        <f>'FORECAST-CORE'!GE401</f>
        <v>0</v>
      </c>
      <c r="EP395" s="751">
        <f>'FORECAST-CORE'!GF401</f>
        <v>0</v>
      </c>
      <c r="EQ395" s="750">
        <f>'FORECAST-CORE'!GG401</f>
        <v>0</v>
      </c>
      <c r="ER395" s="751">
        <f>'FORECAST-CORE'!GH401</f>
        <v>0</v>
      </c>
      <c r="ES395" s="750">
        <f>'FORECAST-CORE'!GI401</f>
        <v>0</v>
      </c>
      <c r="ET395" s="751">
        <f>'FORECAST-CORE'!GJ401</f>
        <v>0</v>
      </c>
      <c r="EU395" s="750">
        <f>'FORECAST-CORE'!GA401</f>
        <v>0</v>
      </c>
      <c r="EV395" s="752"/>
    </row>
    <row r="396" spans="1:152" ht="12.75" hidden="1" customHeight="1" outlineLevel="1" x14ac:dyDescent="0.2">
      <c r="A396" s="754" t="str">
        <f>'FORECAST-CORE'!A402</f>
        <v>Other Expenses</v>
      </c>
      <c r="B396" s="750">
        <f>'FORECAST-CORE'!AH402</f>
        <v>3.1</v>
      </c>
      <c r="C396" s="751" t="str">
        <f>'FORECAST-CORE'!AI402</f>
        <v>NM</v>
      </c>
      <c r="D396" s="750">
        <f>'FORECAST-CORE'!AJ402</f>
        <v>2.2000000000000002</v>
      </c>
      <c r="E396" s="751">
        <f>'FORECAST-CORE'!AK402</f>
        <v>-29.032258064516125</v>
      </c>
      <c r="F396" s="750">
        <f>'FORECAST-CORE'!AL402</f>
        <v>2.3999999999999986</v>
      </c>
      <c r="G396" s="751">
        <f>'FORECAST-CORE'!AM402</f>
        <v>9.0909090909090153</v>
      </c>
      <c r="H396" s="750">
        <f>'FORECAST-CORE'!AN402</f>
        <v>6.6</v>
      </c>
      <c r="I396" s="751" t="str">
        <f>'FORECAST-CORE'!AO402</f>
        <v>NM</v>
      </c>
      <c r="J396" s="750">
        <f>'FORECAST-CORE'!AP402</f>
        <v>3.8</v>
      </c>
      <c r="K396" s="751">
        <f>'FORECAST-CORE'!AQ402</f>
        <v>-42.424242424242422</v>
      </c>
      <c r="L396" s="750">
        <f>'FORECAST-CORE'!AR402</f>
        <v>21.1</v>
      </c>
      <c r="M396" s="751" t="str">
        <f>'FORECAST-CORE'!AS402</f>
        <v>NM</v>
      </c>
      <c r="N396" s="750">
        <f>'FORECAST-CORE'!AT402</f>
        <v>1.6</v>
      </c>
      <c r="O396" s="751" t="str">
        <f>'FORECAST-CORE'!AU402</f>
        <v>NM</v>
      </c>
      <c r="P396" s="750">
        <f>'FORECAST-CORE'!AV402</f>
        <v>3.8000000000000029</v>
      </c>
      <c r="Q396" s="751" t="str">
        <f>'FORECAST-CORE'!AW402</f>
        <v>NM</v>
      </c>
      <c r="R396" s="750">
        <f>'FORECAST-CORE'!AX402</f>
        <v>4.3000000000000007</v>
      </c>
      <c r="S396" s="751">
        <f>'FORECAST-CORE'!AY402</f>
        <v>13.157894736842035</v>
      </c>
      <c r="T396" s="750">
        <f>'FORECAST-CORE'!AZ402</f>
        <v>4.7000000000000011</v>
      </c>
      <c r="U396" s="751">
        <f>'FORECAST-CORE'!BA402</f>
        <v>9.3023255813953654</v>
      </c>
      <c r="V396" s="750">
        <f>'FORECAST-CORE'!BB402</f>
        <v>6.3999999999999995</v>
      </c>
      <c r="W396" s="751">
        <f>'FORECAST-CORE'!BC402</f>
        <v>36.170212765957402</v>
      </c>
      <c r="X396" s="750">
        <f>'FORECAST-CORE'!BD402</f>
        <v>6.2</v>
      </c>
      <c r="Y396" s="751">
        <f>'FORECAST-CORE'!BE402</f>
        <v>-3.1249999999999889</v>
      </c>
      <c r="Z396" s="750">
        <f>'FORECAST-CORE'!BF402</f>
        <v>13.7</v>
      </c>
      <c r="AA396" s="751" t="str">
        <f>'FORECAST-CORE'!BG402</f>
        <v>NM</v>
      </c>
      <c r="AB396" s="750">
        <f>'FORECAST-CORE'!BH402</f>
        <v>21.1</v>
      </c>
      <c r="AC396" s="751">
        <f>'FORECAST-CORE'!BI402</f>
        <v>54.014598540146011</v>
      </c>
      <c r="AD396" s="750">
        <f>'FORECAST-CORE'!BJ402</f>
        <v>15.3</v>
      </c>
      <c r="AE396" s="751">
        <f>'FORECAST-CORE'!BK402</f>
        <v>-27.48815165876778</v>
      </c>
      <c r="AF396" s="750">
        <f>'FORECAST-CORE'!BL402</f>
        <v>14.2</v>
      </c>
      <c r="AG396" s="751">
        <f>'FORECAST-CORE'!BM402</f>
        <v>-7.1895424836601389</v>
      </c>
      <c r="AH396" s="750">
        <f>'FORECAST-CORE'!BN402</f>
        <v>2.5</v>
      </c>
      <c r="AI396" s="751" t="str">
        <f>'FORECAST-CORE'!BO402</f>
        <v>NM</v>
      </c>
      <c r="AJ396" s="750">
        <f>'FORECAST-CORE'!BP402</f>
        <v>1.5</v>
      </c>
      <c r="AK396" s="751">
        <f>'FORECAST-CORE'!BQ402</f>
        <v>-40</v>
      </c>
      <c r="AL396" s="750">
        <f>'FORECAST-CORE'!BR402</f>
        <v>2.3000000000000007</v>
      </c>
      <c r="AM396" s="751">
        <f>'FORECAST-CORE'!BS402</f>
        <v>53.333333333333385</v>
      </c>
      <c r="AN396" s="750">
        <f>'FORECAST-CORE'!BT402</f>
        <v>1.5999999999999996</v>
      </c>
      <c r="AO396" s="751">
        <f>'FORECAST-CORE'!BU402</f>
        <v>-30.434782608695688</v>
      </c>
      <c r="AP396" s="750">
        <f>'FORECAST-CORE'!BV402</f>
        <v>2.4000000000000004</v>
      </c>
      <c r="AQ396" s="751">
        <f>'FORECAST-CORE'!BW402</f>
        <v>50.000000000000043</v>
      </c>
      <c r="AR396" s="750">
        <f>'FORECAST-CORE'!BX402</f>
        <v>1.1000000000000001</v>
      </c>
      <c r="AS396" s="751" t="str">
        <f>'FORECAST-CORE'!BY402</f>
        <v>NM</v>
      </c>
      <c r="AT396" s="750">
        <f>'FORECAST-CORE'!BZ402</f>
        <v>4.0999999999999996</v>
      </c>
      <c r="AU396" s="751" t="str">
        <f>'FORECAST-CORE'!CA402</f>
        <v>NM</v>
      </c>
      <c r="AV396" s="750">
        <f>'FORECAST-CORE'!CB402</f>
        <v>15.799999999999999</v>
      </c>
      <c r="AW396" s="751" t="str">
        <f>'FORECAST-CORE'!CC402</f>
        <v>NM</v>
      </c>
      <c r="AX396" s="750">
        <f>'FORECAST-CORE'!CD402</f>
        <v>-4.4000000000000004</v>
      </c>
      <c r="AY396" s="751" t="str">
        <f>'FORECAST-CORE'!CE402</f>
        <v>NM</v>
      </c>
      <c r="AZ396" s="750">
        <f>'FORECAST-CORE'!CF402</f>
        <v>4.0999999999999996</v>
      </c>
      <c r="BA396" s="751" t="str">
        <f>'FORECAST-CORE'!CG402</f>
        <v>NM</v>
      </c>
      <c r="BB396" s="750">
        <f>'FORECAST-CORE'!CH402</f>
        <v>0.8</v>
      </c>
      <c r="BC396" s="751" t="str">
        <f>'FORECAST-CORE'!CI402</f>
        <v>NM</v>
      </c>
      <c r="BD396" s="750">
        <f>'FORECAST-CORE'!CJ402</f>
        <v>-0.1</v>
      </c>
      <c r="BE396" s="751" t="str">
        <f>'FORECAST-CORE'!CK402</f>
        <v>NM</v>
      </c>
      <c r="BF396" s="750">
        <f>'FORECAST-CORE'!CL402</f>
        <v>2.2999999999999998</v>
      </c>
      <c r="BG396" s="751" t="str">
        <f>'FORECAST-CORE'!CM402</f>
        <v>NM</v>
      </c>
      <c r="BH396" s="750">
        <f>'FORECAST-CORE'!CN402</f>
        <v>1.9</v>
      </c>
      <c r="BI396" s="751">
        <f>'FORECAST-CORE'!CO402</f>
        <v>-17.391304347826086</v>
      </c>
      <c r="BJ396" s="750">
        <f>'FORECAST-CORE'!CP402</f>
        <v>0.8</v>
      </c>
      <c r="BK396" s="751" t="str">
        <f>'FORECAST-CORE'!CQ402</f>
        <v>NM</v>
      </c>
      <c r="BL396" s="750">
        <f>'FORECAST-CORE'!CR402</f>
        <v>0</v>
      </c>
      <c r="BM396" s="751" t="str">
        <f>'FORECAST-CORE'!CS402</f>
        <v>NM</v>
      </c>
      <c r="BN396" s="750">
        <f>'FORECAST-CORE'!EH402</f>
        <v>0</v>
      </c>
      <c r="BO396" s="751">
        <f>'FORECAST-CORE'!EI402</f>
        <v>0</v>
      </c>
      <c r="BP396" s="750">
        <f>'FORECAST-CORE'!EJ402</f>
        <v>0</v>
      </c>
      <c r="BQ396" s="751">
        <f>'FORECAST-CORE'!EK402</f>
        <v>26.6</v>
      </c>
      <c r="BR396" s="750" t="str">
        <f>'FORECAST-CORE'!EL402</f>
        <v>NA</v>
      </c>
      <c r="BS396" s="751">
        <f>'FORECAST-CORE'!EM402</f>
        <v>37.9</v>
      </c>
      <c r="BT396" s="750">
        <f>'FORECAST-CORE'!EN402</f>
        <v>42.481203007518786</v>
      </c>
      <c r="BU396" s="751">
        <f>'FORECAST-CORE'!EO402</f>
        <v>12.6</v>
      </c>
      <c r="BV396" s="750" t="str">
        <f>'FORECAST-CORE'!EP402</f>
        <v>NM</v>
      </c>
      <c r="BW396" s="751">
        <f>'FORECAST-CORE'!EQ402</f>
        <v>6</v>
      </c>
      <c r="BX396" s="750" t="str">
        <f>'FORECAST-CORE'!ER402</f>
        <v>NM</v>
      </c>
      <c r="BY396" s="751">
        <f>'FORECAST-CORE'!ES402</f>
        <v>14.299999999999999</v>
      </c>
      <c r="BZ396" s="750" t="str">
        <f>'FORECAST-CORE'!ET402</f>
        <v>NM</v>
      </c>
      <c r="CA396" s="751">
        <f>'FORECAST-CORE'!EU402</f>
        <v>30.300000000000008</v>
      </c>
      <c r="CB396" s="750" t="str">
        <f>'FORECAST-CORE'!EV402</f>
        <v>NM</v>
      </c>
      <c r="CC396" s="751">
        <f>'FORECAST-CORE'!EW402</f>
        <v>21.6</v>
      </c>
      <c r="CD396" s="750">
        <f>'FORECAST-CORE'!EX402</f>
        <v>-28.712871287128728</v>
      </c>
      <c r="CE396" s="751">
        <f>'FORECAST-CORE'!EY402</f>
        <v>12.7</v>
      </c>
      <c r="CF396" s="750">
        <f>'FORECAST-CORE'!EZ402</f>
        <v>-41.203703703703709</v>
      </c>
      <c r="CG396" s="751">
        <f>'FORECAST-CORE'!FA402</f>
        <v>7.9</v>
      </c>
      <c r="CH396" s="750">
        <f>'FORECAST-CORE'!FB402</f>
        <v>-37.795275590551171</v>
      </c>
      <c r="CI396" s="751">
        <f>'FORECAST-CORE'!FC402</f>
        <v>23.4</v>
      </c>
      <c r="CJ396" s="750" t="str">
        <f>'FORECAST-CORE'!FD402</f>
        <v>NM</v>
      </c>
      <c r="CK396" s="751">
        <f>'FORECAST-CORE'!FE402</f>
        <v>0.39999999999999936</v>
      </c>
      <c r="CL396" s="750" t="str">
        <f>'FORECAST-CORE'!FF402</f>
        <v>NM</v>
      </c>
      <c r="CM396" s="751">
        <f>'FORECAST-CORE'!FG402</f>
        <v>4.9999999999999991</v>
      </c>
      <c r="CN396" s="750" t="str">
        <f>'FORECAST-CORE'!FH402</f>
        <v>NM</v>
      </c>
      <c r="CO396" s="751">
        <f>'FORECAST-CORE'!FI402</f>
        <v>0</v>
      </c>
      <c r="CP396" s="750" t="str">
        <f>'FORECAST-CORE'!FJ402</f>
        <v>NM</v>
      </c>
      <c r="CQ396" s="751">
        <f>'FORECAST-CORE'!FK402</f>
        <v>0</v>
      </c>
      <c r="CR396" s="750" t="str">
        <f>'FORECAST-CORE'!FL402</f>
        <v>NA</v>
      </c>
      <c r="CS396" s="751">
        <f>'FORECAST-CORE'!FM402</f>
        <v>0</v>
      </c>
      <c r="CT396" s="750" t="str">
        <f>'FORECAST-CORE'!FN402</f>
        <v>NA</v>
      </c>
      <c r="CU396" s="751">
        <f>'FORECAST-CORE'!FO402</f>
        <v>0</v>
      </c>
      <c r="CV396" s="750" t="str">
        <f>'FORECAST-CORE'!FP402</f>
        <v>NA</v>
      </c>
      <c r="CW396" s="751">
        <f>'FORECAST-CORE'!FQ402</f>
        <v>0</v>
      </c>
      <c r="CX396" s="750" t="str">
        <f>'FORECAST-CORE'!FR402</f>
        <v>NA</v>
      </c>
      <c r="CY396" s="751">
        <f>'FORECAST-CORE'!FS402</f>
        <v>0</v>
      </c>
      <c r="CZ396" s="750" t="str">
        <f>'FORECAST-CORE'!FT402</f>
        <v>NA</v>
      </c>
      <c r="DA396" s="751">
        <f>'FORECAST-CORE'!FU402</f>
        <v>0</v>
      </c>
      <c r="DB396" s="750"/>
      <c r="DC396" s="750"/>
      <c r="DD396" s="751"/>
      <c r="DE396" s="750">
        <f>'FORECAST-CORE'!EK402</f>
        <v>26.6</v>
      </c>
      <c r="DF396" s="751" t="str">
        <f>'FORECAST-CORE'!EL402</f>
        <v>NA</v>
      </c>
      <c r="DG396" s="750">
        <f>'FORECAST-CORE'!EM402</f>
        <v>37.9</v>
      </c>
      <c r="DH396" s="751">
        <f>'FORECAST-CORE'!EN402</f>
        <v>42.481203007518786</v>
      </c>
      <c r="DI396" s="750">
        <f>'FORECAST-CORE'!EO402</f>
        <v>12.6</v>
      </c>
      <c r="DJ396" s="751" t="str">
        <f>'FORECAST-CORE'!EP402</f>
        <v>NM</v>
      </c>
      <c r="DK396" s="750">
        <f>'FORECAST-CORE'!EQ402</f>
        <v>6</v>
      </c>
      <c r="DL396" s="751" t="str">
        <f>'FORECAST-CORE'!ER402</f>
        <v>NM</v>
      </c>
      <c r="DM396" s="750">
        <f>'FORECAST-CORE'!ES402</f>
        <v>14.299999999999999</v>
      </c>
      <c r="DN396" s="751" t="str">
        <f>'FORECAST-CORE'!ET402</f>
        <v>NM</v>
      </c>
      <c r="DO396" s="750">
        <f>'FORECAST-CORE'!EU402</f>
        <v>30.300000000000008</v>
      </c>
      <c r="DP396" s="751" t="str">
        <f>'FORECAST-CORE'!EV402</f>
        <v>NM</v>
      </c>
      <c r="DQ396" s="750">
        <f>'FORECAST-CORE'!EW402</f>
        <v>21.6</v>
      </c>
      <c r="DR396" s="751">
        <f>'FORECAST-CORE'!EX402</f>
        <v>-28.712871287128728</v>
      </c>
      <c r="DS396" s="750">
        <f>'FORECAST-CORE'!EY402</f>
        <v>12.7</v>
      </c>
      <c r="DT396" s="751">
        <f>'FORECAST-CORE'!EZ402</f>
        <v>-41.203703703703709</v>
      </c>
      <c r="DU396" s="750">
        <f>'FORECAST-CORE'!FA402</f>
        <v>7.9</v>
      </c>
      <c r="DV396" s="751">
        <f>'FORECAST-CORE'!FB402</f>
        <v>-37.795275590551171</v>
      </c>
      <c r="DW396" s="750">
        <f>'FORECAST-CORE'!FC402</f>
        <v>23.4</v>
      </c>
      <c r="DX396" s="751" t="str">
        <f>'FORECAST-CORE'!FD402</f>
        <v>NM</v>
      </c>
      <c r="DY396" s="750">
        <f>'FORECAST-CORE'!FE402</f>
        <v>0.39999999999999936</v>
      </c>
      <c r="DZ396" s="751" t="str">
        <f>'FORECAST-CORE'!FF402</f>
        <v>NM</v>
      </c>
      <c r="EA396" s="750">
        <f>'FORECAST-CORE'!FG402</f>
        <v>4.9999999999999991</v>
      </c>
      <c r="EB396" s="751" t="str">
        <f>'FORECAST-CORE'!FH402</f>
        <v>NM</v>
      </c>
      <c r="EC396" s="750">
        <f>'FORECAST-CORE'!FI402</f>
        <v>0</v>
      </c>
      <c r="ED396" s="751" t="str">
        <f>'FORECAST-CORE'!FJ402</f>
        <v>NM</v>
      </c>
      <c r="EE396" s="750">
        <f>'FORECAST-CORE'!FK402</f>
        <v>0</v>
      </c>
      <c r="EF396" s="751" t="str">
        <f>'FORECAST-CORE'!FL402</f>
        <v>NA</v>
      </c>
      <c r="EG396" s="750">
        <f>'FORECAST-CORE'!FM402</f>
        <v>0</v>
      </c>
      <c r="EH396" s="751" t="str">
        <f>'FORECAST-CORE'!FN402</f>
        <v>NA</v>
      </c>
      <c r="EI396" s="750">
        <f>'FORECAST-CORE'!FO402</f>
        <v>0</v>
      </c>
      <c r="EJ396" s="751" t="str">
        <f>'FORECAST-CORE'!FP402</f>
        <v>NA</v>
      </c>
      <c r="EK396" s="750">
        <f>'FORECAST-CORE'!FQ402</f>
        <v>0</v>
      </c>
      <c r="EL396" s="751" t="str">
        <f>'FORECAST-CORE'!FR402</f>
        <v>NA</v>
      </c>
      <c r="EM396" s="750">
        <f>'FORECAST-CORE'!GC402</f>
        <v>0</v>
      </c>
      <c r="EN396" s="751">
        <f>'FORECAST-CORE'!GD402</f>
        <v>0</v>
      </c>
      <c r="EO396" s="750">
        <f>'FORECAST-CORE'!GE402</f>
        <v>0</v>
      </c>
      <c r="EP396" s="751">
        <f>'FORECAST-CORE'!GF402</f>
        <v>0</v>
      </c>
      <c r="EQ396" s="750">
        <f>'FORECAST-CORE'!GG402</f>
        <v>0</v>
      </c>
      <c r="ER396" s="751">
        <f>'FORECAST-CORE'!GH402</f>
        <v>0</v>
      </c>
      <c r="ES396" s="750">
        <f>'FORECAST-CORE'!GI402</f>
        <v>0</v>
      </c>
      <c r="ET396" s="751">
        <f>'FORECAST-CORE'!GJ402</f>
        <v>0</v>
      </c>
      <c r="EU396" s="750" t="str">
        <f>'FORECAST-CORE'!GA402</f>
        <v>NA</v>
      </c>
      <c r="EV396" s="752"/>
    </row>
    <row r="397" spans="1:152" ht="12.75" hidden="1" customHeight="1" outlineLevel="1" x14ac:dyDescent="0.2">
      <c r="A397" s="749" t="str">
        <f>'FORECAST-CORE'!A403</f>
        <v xml:space="preserve"> Total Benefits and Expenses</v>
      </c>
      <c r="B397" s="750">
        <f>'FORECAST-CORE'!AH403</f>
        <v>84.299999999999983</v>
      </c>
      <c r="C397" s="751">
        <f>'FORECAST-CORE'!AI403</f>
        <v>-6.0200668896321252</v>
      </c>
      <c r="D397" s="750">
        <f>'FORECAST-CORE'!AJ403</f>
        <v>126.50000000000001</v>
      </c>
      <c r="E397" s="751">
        <f>'FORECAST-CORE'!AK403</f>
        <v>50.059311981020201</v>
      </c>
      <c r="F397" s="750">
        <f>'FORECAST-CORE'!AL403</f>
        <v>118</v>
      </c>
      <c r="G397" s="751">
        <f>'FORECAST-CORE'!AM403</f>
        <v>-6.7193675889328119</v>
      </c>
      <c r="H397" s="750">
        <f>'FORECAST-CORE'!AN403</f>
        <v>84.9</v>
      </c>
      <c r="I397" s="751">
        <f>'FORECAST-CORE'!AO403</f>
        <v>-28.050847457627114</v>
      </c>
      <c r="J397" s="750">
        <f>'FORECAST-CORE'!AP403</f>
        <v>81.5</v>
      </c>
      <c r="K397" s="751">
        <f>'FORECAST-CORE'!AQ403</f>
        <v>-4.0047114252061311</v>
      </c>
      <c r="L397" s="750">
        <f>'FORECAST-CORE'!AR403</f>
        <v>95.6</v>
      </c>
      <c r="M397" s="751">
        <f>'FORECAST-CORE'!AS403</f>
        <v>17.300613496932506</v>
      </c>
      <c r="N397" s="750">
        <f>'FORECAST-CORE'!AT403</f>
        <v>70.2</v>
      </c>
      <c r="O397" s="751">
        <f>'FORECAST-CORE'!AU403</f>
        <v>-26.56903765690376</v>
      </c>
      <c r="P397" s="750">
        <f>'FORECAST-CORE'!AV403</f>
        <v>71.399999999999991</v>
      </c>
      <c r="Q397" s="751">
        <f>'FORECAST-CORE'!AW403</f>
        <v>1.7094017094017033</v>
      </c>
      <c r="R397" s="750">
        <f>'FORECAST-CORE'!AX403</f>
        <v>66.7</v>
      </c>
      <c r="S397" s="751">
        <f>'FORECAST-CORE'!AY403</f>
        <v>-6.5826330532212758</v>
      </c>
      <c r="T397" s="750">
        <f>'FORECAST-CORE'!AZ403</f>
        <v>65.599999999999994</v>
      </c>
      <c r="U397" s="751">
        <f>'FORECAST-CORE'!BA403</f>
        <v>-1.6491754122938684</v>
      </c>
      <c r="V397" s="750">
        <f>'FORECAST-CORE'!BB403</f>
        <v>65.000000000000014</v>
      </c>
      <c r="W397" s="751">
        <f>'FORECAST-CORE'!BC403</f>
        <v>-0.91463414634143092</v>
      </c>
      <c r="X397" s="750">
        <f>'FORECAST-CORE'!BD403</f>
        <v>57.8</v>
      </c>
      <c r="Y397" s="751">
        <f>'FORECAST-CORE'!BE403</f>
        <v>-11.076923076923094</v>
      </c>
      <c r="Z397" s="750">
        <f>'FORECAST-CORE'!BF403</f>
        <v>62.7</v>
      </c>
      <c r="AA397" s="751">
        <f>'FORECAST-CORE'!BG403</f>
        <v>8.477508650519038</v>
      </c>
      <c r="AB397" s="750">
        <f>'FORECAST-CORE'!BH403</f>
        <v>70</v>
      </c>
      <c r="AC397" s="751">
        <f>'FORECAST-CORE'!BI403</f>
        <v>11.642743221690587</v>
      </c>
      <c r="AD397" s="750">
        <f>'FORECAST-CORE'!BJ403</f>
        <v>63.5</v>
      </c>
      <c r="AE397" s="751">
        <f>'FORECAST-CORE'!BK403</f>
        <v>-9.2857142857142865</v>
      </c>
      <c r="AF397" s="750">
        <f>'FORECAST-CORE'!BL403</f>
        <v>67.2</v>
      </c>
      <c r="AG397" s="751">
        <f>'FORECAST-CORE'!BM403</f>
        <v>5.8267716535433056</v>
      </c>
      <c r="AH397" s="750">
        <f>'FORECAST-CORE'!BN403</f>
        <v>32.799999999999997</v>
      </c>
      <c r="AI397" s="751" t="str">
        <f>'FORECAST-CORE'!BO403</f>
        <v>NM</v>
      </c>
      <c r="AJ397" s="750">
        <f>'FORECAST-CORE'!BP403</f>
        <v>32.299999999999997</v>
      </c>
      <c r="AK397" s="751">
        <f>'FORECAST-CORE'!BQ403</f>
        <v>-1.5243902439024404</v>
      </c>
      <c r="AL397" s="750">
        <f>'FORECAST-CORE'!BR403</f>
        <v>34.1</v>
      </c>
      <c r="AM397" s="751">
        <f>'FORECAST-CORE'!BS403</f>
        <v>5.5727554179566763</v>
      </c>
      <c r="AN397" s="750">
        <f>'FORECAST-CORE'!BT403</f>
        <v>37.6</v>
      </c>
      <c r="AO397" s="751">
        <f>'FORECAST-CORE'!BU403</f>
        <v>10.263929618768319</v>
      </c>
      <c r="AP397" s="750">
        <f>'FORECAST-CORE'!BV403</f>
        <v>37.299999999999997</v>
      </c>
      <c r="AQ397" s="751">
        <f>'FORECAST-CORE'!BW403</f>
        <v>-0.79787234042554278</v>
      </c>
      <c r="AR397" s="750">
        <f>'FORECAST-CORE'!BX403</f>
        <v>33.4</v>
      </c>
      <c r="AS397" s="751">
        <f>'FORECAST-CORE'!BY403</f>
        <v>-10.45576407506702</v>
      </c>
      <c r="AT397" s="750">
        <f>'FORECAST-CORE'!BZ403</f>
        <v>36.300000000000004</v>
      </c>
      <c r="AU397" s="751">
        <f>'FORECAST-CORE'!CA403</f>
        <v>8.6826347305389397</v>
      </c>
      <c r="AV397" s="750">
        <f>'FORECAST-CORE'!CB403</f>
        <v>48.199999999999996</v>
      </c>
      <c r="AW397" s="751">
        <f>'FORECAST-CORE'!CC403</f>
        <v>32.782369146005472</v>
      </c>
      <c r="AX397" s="750">
        <f>'FORECAST-CORE'!CD403</f>
        <v>28.1</v>
      </c>
      <c r="AY397" s="751">
        <f>'FORECAST-CORE'!CE403</f>
        <v>-41.701244813278002</v>
      </c>
      <c r="AZ397" s="750">
        <f>'FORECAST-CORE'!CF403</f>
        <v>36.300000000000004</v>
      </c>
      <c r="BA397" s="751">
        <f>'FORECAST-CORE'!CG403</f>
        <v>29.181494661921725</v>
      </c>
      <c r="BB397" s="750">
        <f>'FORECAST-CORE'!CH403</f>
        <v>34.699999999999996</v>
      </c>
      <c r="BC397" s="751">
        <f>'FORECAST-CORE'!CI403</f>
        <v>-4.4077134986226119</v>
      </c>
      <c r="BD397" s="750">
        <f>'FORECAST-CORE'!CJ403</f>
        <v>35.199999999999996</v>
      </c>
      <c r="BE397" s="751">
        <f>'FORECAST-CORE'!CK403</f>
        <v>1.4409221902017322</v>
      </c>
      <c r="BF397" s="750">
        <f>'FORECAST-CORE'!CL403</f>
        <v>37.099999999999994</v>
      </c>
      <c r="BG397" s="751">
        <f>'FORECAST-CORE'!CM403</f>
        <v>5.3977272727272707</v>
      </c>
      <c r="BH397" s="750">
        <f>'FORECAST-CORE'!CN403</f>
        <v>37.1</v>
      </c>
      <c r="BI397" s="751">
        <f>'FORECAST-CORE'!CO403</f>
        <v>2.2204460492503131E-14</v>
      </c>
      <c r="BJ397" s="750">
        <f>'FORECAST-CORE'!CP403</f>
        <v>33.6</v>
      </c>
      <c r="BK397" s="751">
        <f>'FORECAST-CORE'!CQ403</f>
        <v>-9.4339622641509422</v>
      </c>
      <c r="BL397" s="750">
        <f>'FORECAST-CORE'!CR403</f>
        <v>39.700000000000003</v>
      </c>
      <c r="BM397" s="751">
        <f>'FORECAST-CORE'!CS403</f>
        <v>18.154761904761905</v>
      </c>
      <c r="BN397" s="750">
        <f>'FORECAST-CORE'!EH403</f>
        <v>0</v>
      </c>
      <c r="BO397" s="751">
        <f>'FORECAST-CORE'!EI403</f>
        <v>0</v>
      </c>
      <c r="BP397" s="750">
        <f>'FORECAST-CORE'!EJ403</f>
        <v>0</v>
      </c>
      <c r="BQ397" s="751">
        <f>'FORECAST-CORE'!EK403</f>
        <v>530.80000000000007</v>
      </c>
      <c r="BR397" s="750" t="str">
        <f>'FORECAST-CORE'!EL403</f>
        <v>NA</v>
      </c>
      <c r="BS397" s="751">
        <f>'FORECAST-CORE'!EM403</f>
        <v>561.80000000000007</v>
      </c>
      <c r="BT397" s="750">
        <f>'FORECAST-CORE'!EN403</f>
        <v>5.8402411454408387</v>
      </c>
      <c r="BU397" s="751">
        <f>'FORECAST-CORE'!EO403</f>
        <v>541.20000000000005</v>
      </c>
      <c r="BV397" s="750">
        <f>'FORECAST-CORE'!EP403</f>
        <v>-3.6667853328586686</v>
      </c>
      <c r="BW397" s="751">
        <f>'FORECAST-CORE'!EQ403</f>
        <v>464.99999999999994</v>
      </c>
      <c r="BX397" s="750">
        <f>'FORECAST-CORE'!ER403</f>
        <v>-14.079822616408</v>
      </c>
      <c r="BY397" s="751">
        <f>'FORECAST-CORE'!ES403</f>
        <v>413.7</v>
      </c>
      <c r="BZ397" s="750">
        <f>'FORECAST-CORE'!ET403</f>
        <v>-11.032258064516121</v>
      </c>
      <c r="CA397" s="751">
        <f>'FORECAST-CORE'!EU403</f>
        <v>318.7</v>
      </c>
      <c r="CB397" s="750">
        <f>'FORECAST-CORE'!EV403</f>
        <v>-22.963500120860523</v>
      </c>
      <c r="CC397" s="751">
        <f>'FORECAST-CORE'!EW403</f>
        <v>255.1</v>
      </c>
      <c r="CD397" s="750">
        <f>'FORECAST-CORE'!EX403</f>
        <v>-19.956071540633825</v>
      </c>
      <c r="CE397" s="751">
        <f>'FORECAST-CORE'!EY403</f>
        <v>119.5</v>
      </c>
      <c r="CF397" s="750" t="str">
        <f>'FORECAST-CORE'!EZ403</f>
        <v>NM</v>
      </c>
      <c r="CG397" s="751">
        <f>'FORECAST-CORE'!FA403</f>
        <v>136.80000000000001</v>
      </c>
      <c r="CH397" s="750">
        <f>'FORECAST-CORE'!FB403</f>
        <v>14.476987447698765</v>
      </c>
      <c r="CI397" s="751">
        <f>'FORECAST-CORE'!FC403</f>
        <v>155.19999999999999</v>
      </c>
      <c r="CJ397" s="750">
        <f>'FORECAST-CORE'!FD403</f>
        <v>13.450292397660801</v>
      </c>
      <c r="CK397" s="751">
        <f>'FORECAST-CORE'!FE403</f>
        <v>134.29999999999998</v>
      </c>
      <c r="CL397" s="750">
        <f>'FORECAST-CORE'!FF403</f>
        <v>-13.466494845360833</v>
      </c>
      <c r="CM397" s="751">
        <f>'FORECAST-CORE'!FG403</f>
        <v>147.5</v>
      </c>
      <c r="CN397" s="750">
        <f>'FORECAST-CORE'!FH403</f>
        <v>9.8287416232315969</v>
      </c>
      <c r="CO397" s="751">
        <f>'FORECAST-CORE'!FI403</f>
        <v>159.30000000000001</v>
      </c>
      <c r="CP397" s="750">
        <f>'FORECAST-CORE'!FJ403</f>
        <v>8.0000000000000071</v>
      </c>
      <c r="CQ397" s="751">
        <f>'FORECAST-CORE'!FK403</f>
        <v>165.2</v>
      </c>
      <c r="CR397" s="750">
        <f>'FORECAST-CORE'!FL403</f>
        <v>3.7037037037036979</v>
      </c>
      <c r="CS397" s="751">
        <f>'FORECAST-CORE'!FM403</f>
        <v>186.4</v>
      </c>
      <c r="CT397" s="750">
        <f>'FORECAST-CORE'!FN403</f>
        <v>12.832929782082324</v>
      </c>
      <c r="CU397" s="751">
        <f>'FORECAST-CORE'!FO403</f>
        <v>191.7</v>
      </c>
      <c r="CV397" s="750">
        <f>'FORECAST-CORE'!FP403</f>
        <v>2.8433476394849722</v>
      </c>
      <c r="CW397" s="751">
        <f>'FORECAST-CORE'!FQ403</f>
        <v>170.7</v>
      </c>
      <c r="CX397" s="750">
        <f>'FORECAST-CORE'!FR403</f>
        <v>-10.954616588419409</v>
      </c>
      <c r="CY397" s="751">
        <f>'FORECAST-CORE'!FS403</f>
        <v>174.2</v>
      </c>
      <c r="CZ397" s="750">
        <f>'FORECAST-CORE'!FT403</f>
        <v>2.0503807850029254</v>
      </c>
      <c r="DA397" s="751">
        <f>'FORECAST-CORE'!FU403</f>
        <v>175.94199999999998</v>
      </c>
      <c r="DB397" s="750"/>
      <c r="DC397" s="750"/>
      <c r="DD397" s="751"/>
      <c r="DE397" s="750">
        <f>'FORECAST-CORE'!EK403</f>
        <v>530.80000000000007</v>
      </c>
      <c r="DF397" s="751" t="str">
        <f>'FORECAST-CORE'!EL403</f>
        <v>NA</v>
      </c>
      <c r="DG397" s="750">
        <f>'FORECAST-CORE'!EM403</f>
        <v>561.80000000000007</v>
      </c>
      <c r="DH397" s="751">
        <f>'FORECAST-CORE'!EN403</f>
        <v>5.8402411454408387</v>
      </c>
      <c r="DI397" s="750">
        <f>'FORECAST-CORE'!EO403</f>
        <v>541.20000000000005</v>
      </c>
      <c r="DJ397" s="751">
        <f>'FORECAST-CORE'!EP403</f>
        <v>-3.6667853328586686</v>
      </c>
      <c r="DK397" s="750">
        <f>'FORECAST-CORE'!EQ403</f>
        <v>464.99999999999994</v>
      </c>
      <c r="DL397" s="751">
        <f>'FORECAST-CORE'!ER403</f>
        <v>-14.079822616408</v>
      </c>
      <c r="DM397" s="750">
        <f>'FORECAST-CORE'!ES403</f>
        <v>413.7</v>
      </c>
      <c r="DN397" s="751">
        <f>'FORECAST-CORE'!ET403</f>
        <v>-11.032258064516121</v>
      </c>
      <c r="DO397" s="750">
        <f>'FORECAST-CORE'!EU403</f>
        <v>318.7</v>
      </c>
      <c r="DP397" s="751">
        <f>'FORECAST-CORE'!EV403</f>
        <v>-22.963500120860523</v>
      </c>
      <c r="DQ397" s="750">
        <f>'FORECAST-CORE'!EW403</f>
        <v>255.1</v>
      </c>
      <c r="DR397" s="751">
        <f>'FORECAST-CORE'!EX403</f>
        <v>-19.956071540633825</v>
      </c>
      <c r="DS397" s="750">
        <f>'FORECAST-CORE'!EY403</f>
        <v>119.5</v>
      </c>
      <c r="DT397" s="751" t="str">
        <f>'FORECAST-CORE'!EZ403</f>
        <v>NM</v>
      </c>
      <c r="DU397" s="750">
        <f>'FORECAST-CORE'!FA403</f>
        <v>136.80000000000001</v>
      </c>
      <c r="DV397" s="751">
        <f>'FORECAST-CORE'!FB403</f>
        <v>14.476987447698765</v>
      </c>
      <c r="DW397" s="750">
        <f>'FORECAST-CORE'!FC403</f>
        <v>155.19999999999999</v>
      </c>
      <c r="DX397" s="751">
        <f>'FORECAST-CORE'!FD403</f>
        <v>13.450292397660801</v>
      </c>
      <c r="DY397" s="750">
        <f>'FORECAST-CORE'!FE403</f>
        <v>134.29999999999998</v>
      </c>
      <c r="DZ397" s="751">
        <f>'FORECAST-CORE'!FF403</f>
        <v>-13.466494845360833</v>
      </c>
      <c r="EA397" s="750">
        <f>'FORECAST-CORE'!FG403</f>
        <v>147.5</v>
      </c>
      <c r="EB397" s="751">
        <f>'FORECAST-CORE'!FH403</f>
        <v>9.8287416232315969</v>
      </c>
      <c r="EC397" s="750">
        <f>'FORECAST-CORE'!FI403</f>
        <v>159.30000000000001</v>
      </c>
      <c r="ED397" s="751">
        <f>'FORECAST-CORE'!FJ403</f>
        <v>8.0000000000000071</v>
      </c>
      <c r="EE397" s="750">
        <f>'FORECAST-CORE'!FK403</f>
        <v>165.2</v>
      </c>
      <c r="EF397" s="751">
        <f>'FORECAST-CORE'!FL403</f>
        <v>3.7037037037036979</v>
      </c>
      <c r="EG397" s="750">
        <f>'FORECAST-CORE'!FM403</f>
        <v>186.4</v>
      </c>
      <c r="EH397" s="751">
        <f>'FORECAST-CORE'!FN403</f>
        <v>12.832929782082324</v>
      </c>
      <c r="EI397" s="750">
        <f>'FORECAST-CORE'!FO403</f>
        <v>191.7</v>
      </c>
      <c r="EJ397" s="751">
        <f>'FORECAST-CORE'!FP403</f>
        <v>2.8433476394849722</v>
      </c>
      <c r="EK397" s="750">
        <f>'FORECAST-CORE'!FQ403</f>
        <v>170.7</v>
      </c>
      <c r="EL397" s="751">
        <f>'FORECAST-CORE'!FR403</f>
        <v>-10.954616588419409</v>
      </c>
      <c r="EM397" s="750">
        <f>'FORECAST-CORE'!GC403</f>
        <v>0</v>
      </c>
      <c r="EN397" s="751">
        <f>'FORECAST-CORE'!GD403</f>
        <v>0</v>
      </c>
      <c r="EO397" s="750">
        <f>'FORECAST-CORE'!GE403</f>
        <v>0</v>
      </c>
      <c r="EP397" s="751">
        <f>'FORECAST-CORE'!GF403</f>
        <v>0</v>
      </c>
      <c r="EQ397" s="750">
        <f>'FORECAST-CORE'!GG403</f>
        <v>0</v>
      </c>
      <c r="ER397" s="751">
        <f>'FORECAST-CORE'!GH403</f>
        <v>0</v>
      </c>
      <c r="ES397" s="750">
        <f>'FORECAST-CORE'!GI403</f>
        <v>0</v>
      </c>
      <c r="ET397" s="751">
        <f>'FORECAST-CORE'!GJ403</f>
        <v>0</v>
      </c>
      <c r="EU397" s="750">
        <f>'FORECAST-CORE'!GA403</f>
        <v>-1.3088904033967563</v>
      </c>
      <c r="EV397" s="752"/>
    </row>
    <row r="398" spans="1:152" ht="12.75" hidden="1" customHeight="1" outlineLevel="1" x14ac:dyDescent="0.2">
      <c r="A398" s="749"/>
      <c r="B398" s="750"/>
      <c r="C398" s="751"/>
      <c r="D398" s="750"/>
      <c r="E398" s="751"/>
      <c r="F398" s="750"/>
      <c r="G398" s="751"/>
      <c r="H398" s="750"/>
      <c r="I398" s="751"/>
      <c r="J398" s="750"/>
      <c r="K398" s="751"/>
      <c r="L398" s="750"/>
      <c r="M398" s="751"/>
      <c r="N398" s="750"/>
      <c r="O398" s="751"/>
      <c r="P398" s="750"/>
      <c r="Q398" s="751"/>
      <c r="R398" s="750"/>
      <c r="S398" s="751"/>
      <c r="T398" s="750"/>
      <c r="U398" s="751"/>
      <c r="V398" s="750"/>
      <c r="W398" s="751"/>
      <c r="X398" s="750"/>
      <c r="Y398" s="751"/>
      <c r="Z398" s="750"/>
      <c r="AA398" s="751"/>
      <c r="AB398" s="750"/>
      <c r="AC398" s="751"/>
      <c r="AD398" s="750"/>
      <c r="AE398" s="751"/>
      <c r="AF398" s="750"/>
      <c r="AG398" s="751"/>
      <c r="AH398" s="750"/>
      <c r="AI398" s="751"/>
      <c r="AJ398" s="750"/>
      <c r="AK398" s="751"/>
      <c r="AL398" s="750"/>
      <c r="AM398" s="751"/>
      <c r="AN398" s="750"/>
      <c r="AO398" s="751"/>
      <c r="AP398" s="750"/>
      <c r="AQ398" s="751"/>
      <c r="AR398" s="750"/>
      <c r="AS398" s="751"/>
      <c r="AT398" s="750"/>
      <c r="AU398" s="751"/>
      <c r="AV398" s="750"/>
      <c r="AW398" s="751"/>
      <c r="AX398" s="750"/>
      <c r="AY398" s="751"/>
      <c r="AZ398" s="750"/>
      <c r="BA398" s="751"/>
      <c r="BB398" s="750"/>
      <c r="BC398" s="751"/>
      <c r="BD398" s="750"/>
      <c r="BE398" s="751"/>
      <c r="BF398" s="750"/>
      <c r="BG398" s="751"/>
      <c r="BH398" s="750"/>
      <c r="BI398" s="751"/>
      <c r="BJ398" s="750"/>
      <c r="BK398" s="751"/>
      <c r="BL398" s="750"/>
      <c r="BM398" s="751"/>
      <c r="BN398" s="750"/>
      <c r="BO398" s="751"/>
      <c r="BP398" s="750"/>
      <c r="BQ398" s="751"/>
      <c r="BR398" s="750"/>
      <c r="BS398" s="751"/>
      <c r="BT398" s="750"/>
      <c r="BU398" s="751"/>
      <c r="BV398" s="750"/>
      <c r="BW398" s="751"/>
      <c r="BX398" s="750"/>
      <c r="BY398" s="751"/>
      <c r="BZ398" s="750"/>
      <c r="CA398" s="751"/>
      <c r="CB398" s="750"/>
      <c r="CC398" s="751"/>
      <c r="CD398" s="750"/>
      <c r="CE398" s="751"/>
      <c r="CF398" s="750"/>
      <c r="CG398" s="751"/>
      <c r="CH398" s="750"/>
      <c r="CI398" s="751"/>
      <c r="CJ398" s="750"/>
      <c r="CK398" s="751"/>
      <c r="CL398" s="750"/>
      <c r="CM398" s="751"/>
      <c r="CN398" s="750"/>
      <c r="CO398" s="751"/>
      <c r="CP398" s="750"/>
      <c r="CQ398" s="751"/>
      <c r="CR398" s="750"/>
      <c r="CS398" s="751"/>
      <c r="CT398" s="750"/>
      <c r="CU398" s="751"/>
      <c r="CV398" s="750"/>
      <c r="CW398" s="751"/>
      <c r="CX398" s="750"/>
      <c r="CY398" s="751"/>
      <c r="CZ398" s="750"/>
      <c r="DA398" s="751"/>
      <c r="DB398" s="750"/>
      <c r="DC398" s="750"/>
      <c r="DD398" s="751"/>
      <c r="DE398" s="750"/>
      <c r="DF398" s="751"/>
      <c r="DG398" s="750"/>
      <c r="DH398" s="751"/>
      <c r="DI398" s="750"/>
      <c r="DJ398" s="751"/>
      <c r="DK398" s="750"/>
      <c r="DL398" s="751"/>
      <c r="DM398" s="750"/>
      <c r="DN398" s="751"/>
      <c r="DO398" s="750"/>
      <c r="DP398" s="751"/>
      <c r="DQ398" s="750"/>
      <c r="DR398" s="751"/>
      <c r="DS398" s="750"/>
      <c r="DT398" s="751"/>
      <c r="DU398" s="750"/>
      <c r="DV398" s="751"/>
      <c r="DW398" s="750"/>
      <c r="DX398" s="751"/>
      <c r="DY398" s="750"/>
      <c r="DZ398" s="751"/>
      <c r="EA398" s="750"/>
      <c r="EB398" s="751"/>
      <c r="EC398" s="750"/>
      <c r="ED398" s="751"/>
      <c r="EE398" s="750"/>
      <c r="EF398" s="751"/>
      <c r="EG398" s="750"/>
      <c r="EH398" s="751"/>
      <c r="EI398" s="750"/>
      <c r="EJ398" s="751"/>
      <c r="EK398" s="750"/>
      <c r="EL398" s="751"/>
      <c r="EM398" s="750"/>
      <c r="EN398" s="751"/>
      <c r="EO398" s="750"/>
      <c r="EP398" s="751"/>
      <c r="EQ398" s="750"/>
      <c r="ER398" s="751"/>
      <c r="ES398" s="750"/>
      <c r="ET398" s="751"/>
      <c r="EU398" s="750"/>
      <c r="EV398" s="752"/>
    </row>
    <row r="399" spans="1:152" ht="12.75" hidden="1" customHeight="1" outlineLevel="1" x14ac:dyDescent="0.2">
      <c r="A399" s="805" t="str">
        <f>'FORECAST-CORE'!A408</f>
        <v>Pretax Earnings</v>
      </c>
      <c r="B399" s="806">
        <f>'FORECAST-CORE'!AH408</f>
        <v>-28.09999999999998</v>
      </c>
      <c r="C399" s="822">
        <f>'FORECAST-CORE'!AI408</f>
        <v>-26.631853785900837</v>
      </c>
      <c r="D399" s="806">
        <f>'FORECAST-CORE'!AJ408</f>
        <v>-27.200000000000003</v>
      </c>
      <c r="E399" s="822">
        <f>'FORECAST-CORE'!AK408</f>
        <v>-3.202846975088891</v>
      </c>
      <c r="F399" s="806">
        <f>'FORECAST-CORE'!AL408</f>
        <v>-20</v>
      </c>
      <c r="G399" s="822">
        <f>'FORECAST-CORE'!AM408</f>
        <v>-26.470588235294123</v>
      </c>
      <c r="H399" s="806">
        <f>'FORECAST-CORE'!AN408</f>
        <v>-31.9</v>
      </c>
      <c r="I399" s="822">
        <f>'FORECAST-CORE'!AO408</f>
        <v>59.5</v>
      </c>
      <c r="J399" s="806">
        <f>'FORECAST-CORE'!AP408</f>
        <v>-27.800000000000004</v>
      </c>
      <c r="K399" s="822">
        <f>'FORECAST-CORE'!AQ408</f>
        <v>-12.852664576802486</v>
      </c>
      <c r="L399" s="806">
        <f>'FORECAST-CORE'!AR408</f>
        <v>-45.600000000000009</v>
      </c>
      <c r="M399" s="822">
        <f>'FORECAST-CORE'!AS408</f>
        <v>64.02877697841727</v>
      </c>
      <c r="N399" s="806">
        <f>'FORECAST-CORE'!AT408</f>
        <v>-22.200000000000003</v>
      </c>
      <c r="O399" s="822" t="str">
        <f>'FORECAST-CORE'!AU408</f>
        <v>NM</v>
      </c>
      <c r="P399" s="806">
        <f>'FORECAST-CORE'!AV408</f>
        <v>-9.5999999999999943</v>
      </c>
      <c r="Q399" s="822" t="str">
        <f>'FORECAST-CORE'!AW408</f>
        <v>NM</v>
      </c>
      <c r="R399" s="806">
        <f>'FORECAST-CORE'!AX408</f>
        <v>0.29999999999999716</v>
      </c>
      <c r="S399" s="822" t="str">
        <f>'FORECAST-CORE'!AY408</f>
        <v>NM</v>
      </c>
      <c r="T399" s="806">
        <f>'FORECAST-CORE'!AZ408</f>
        <v>-6.6999999999999957</v>
      </c>
      <c r="U399" s="822" t="str">
        <f>'FORECAST-CORE'!BA408</f>
        <v>NM</v>
      </c>
      <c r="V399" s="806">
        <f>'FORECAST-CORE'!BB408</f>
        <v>-7.2000000000000171</v>
      </c>
      <c r="W399" s="822">
        <f>'FORECAST-CORE'!BC408</f>
        <v>7.4626865671645115</v>
      </c>
      <c r="X399" s="806">
        <f>'FORECAST-CORE'!BD408</f>
        <v>-0.39999999999999858</v>
      </c>
      <c r="Y399" s="822" t="str">
        <f>'FORECAST-CORE'!BE408</f>
        <v>NM</v>
      </c>
      <c r="Z399" s="806">
        <f>'FORECAST-CORE'!BF408</f>
        <v>-12.900000000000006</v>
      </c>
      <c r="AA399" s="822" t="str">
        <f>'FORECAST-CORE'!BG408</f>
        <v>NM</v>
      </c>
      <c r="AB399" s="806">
        <f>'FORECAST-CORE'!BH408</f>
        <v>-16</v>
      </c>
      <c r="AC399" s="822">
        <f>'FORECAST-CORE'!BI408</f>
        <v>24.031007751937938</v>
      </c>
      <c r="AD399" s="806">
        <f>'FORECAST-CORE'!BJ408</f>
        <v>-13.699999999999996</v>
      </c>
      <c r="AE399" s="822">
        <f>'FORECAST-CORE'!BK408</f>
        <v>-14.375000000000027</v>
      </c>
      <c r="AF399" s="806">
        <f>'FORECAST-CORE'!BL408</f>
        <v>-16.600000000000009</v>
      </c>
      <c r="AG399" s="822">
        <f>'FORECAST-CORE'!BM408</f>
        <v>21.167883211678927</v>
      </c>
      <c r="AH399" s="806">
        <f>'FORECAST-CORE'!BN408</f>
        <v>-9.0999999999999979</v>
      </c>
      <c r="AI399" s="822">
        <f>'FORECAST-CORE'!BO408</f>
        <v>-45.180722891566305</v>
      </c>
      <c r="AJ399" s="806">
        <f>'FORECAST-CORE'!BP408</f>
        <v>-4.899999999999995</v>
      </c>
      <c r="AK399" s="822">
        <f>'FORECAST-CORE'!BQ408</f>
        <v>-46.153846153846203</v>
      </c>
      <c r="AL399" s="806">
        <f>'FORECAST-CORE'!BR408</f>
        <v>-9.1000000000000014</v>
      </c>
      <c r="AM399" s="822">
        <f>'FORECAST-CORE'!BS408</f>
        <v>85.71428571428595</v>
      </c>
      <c r="AN399" s="806">
        <f>'FORECAST-CORE'!BT408</f>
        <v>-15.8</v>
      </c>
      <c r="AO399" s="822">
        <f>'FORECAST-CORE'!BU408</f>
        <v>73.626373626373606</v>
      </c>
      <c r="AP399" s="806">
        <f>'FORECAST-CORE'!BV408</f>
        <v>-21.799999999999997</v>
      </c>
      <c r="AQ399" s="822">
        <f>'FORECAST-CORE'!BW408</f>
        <v>37.97468354430378</v>
      </c>
      <c r="AR399" s="806">
        <f>'FORECAST-CORE'!BX408</f>
        <v>-16.999999999999996</v>
      </c>
      <c r="AS399" s="822">
        <f>'FORECAST-CORE'!BY408</f>
        <v>-22.018348623853214</v>
      </c>
      <c r="AT399" s="806">
        <f>'FORECAST-CORE'!BZ408</f>
        <v>-20.800000000000004</v>
      </c>
      <c r="AU399" s="822">
        <f>'FORECAST-CORE'!CA408</f>
        <v>22.352941176470644</v>
      </c>
      <c r="AV399" s="806">
        <f>'FORECAST-CORE'!CB408</f>
        <v>-18.799999999999997</v>
      </c>
      <c r="AW399" s="822">
        <f>'FORECAST-CORE'!CC408</f>
        <v>-9.6153846153846487</v>
      </c>
      <c r="AX399" s="806">
        <f>'FORECAST-CORE'!CD408</f>
        <v>-20.6</v>
      </c>
      <c r="AY399" s="822">
        <f>'FORECAST-CORE'!CE408</f>
        <v>9.5744680851064032</v>
      </c>
      <c r="AZ399" s="806">
        <f>'FORECAST-CORE'!CF408</f>
        <v>-25.900000000000006</v>
      </c>
      <c r="BA399" s="822">
        <f>'FORECAST-CORE'!CG408</f>
        <v>25.728155339805838</v>
      </c>
      <c r="BB399" s="806">
        <f>'FORECAST-CORE'!CH408</f>
        <v>-27.399999999999995</v>
      </c>
      <c r="BC399" s="822">
        <f>'FORECAST-CORE'!CI408</f>
        <v>5.7915057915057577</v>
      </c>
      <c r="BD399" s="806">
        <f>'FORECAST-CORE'!CJ408</f>
        <v>-34.599999999999994</v>
      </c>
      <c r="BE399" s="822">
        <f>'FORECAST-CORE'!CK408</f>
        <v>26.277372262773735</v>
      </c>
      <c r="BF399" s="806">
        <f>'FORECAST-CORE'!CL408</f>
        <v>-26.199999999999996</v>
      </c>
      <c r="BG399" s="822">
        <f>'FORECAST-CORE'!CM408</f>
        <v>-24.277456647398843</v>
      </c>
      <c r="BH399" s="806">
        <f>'FORECAST-CORE'!CN408</f>
        <v>-29.6</v>
      </c>
      <c r="BI399" s="822">
        <f>'FORECAST-CORE'!CO408</f>
        <v>12.977099236641255</v>
      </c>
      <c r="BJ399" s="806">
        <f>'FORECAST-CORE'!CP408</f>
        <v>-25.4</v>
      </c>
      <c r="BK399" s="822">
        <f>'FORECAST-CORE'!CQ408</f>
        <v>-14.1891891891892</v>
      </c>
      <c r="BL399" s="806">
        <f>'FORECAST-CORE'!CR408</f>
        <v>-33.900000000000006</v>
      </c>
      <c r="BM399" s="822">
        <f>'FORECAST-CORE'!CS408</f>
        <v>33.464566929133888</v>
      </c>
      <c r="BN399" s="806">
        <f>'FORECAST-CORE'!EH408</f>
        <v>0</v>
      </c>
      <c r="BO399" s="822">
        <f>'FORECAST-CORE'!EI408</f>
        <v>0</v>
      </c>
      <c r="BP399" s="806">
        <f>'FORECAST-CORE'!EJ408</f>
        <v>0</v>
      </c>
      <c r="BQ399" s="822">
        <f>'FORECAST-CORE'!EK408</f>
        <v>-90.700000000000045</v>
      </c>
      <c r="BR399" s="806" t="str">
        <f>'FORECAST-CORE'!EL408</f>
        <v>NA</v>
      </c>
      <c r="BS399" s="822">
        <f>'FORECAST-CORE'!EM408</f>
        <v>-151.40000000000009</v>
      </c>
      <c r="BT399" s="806">
        <f>'FORECAST-CORE'!EN408</f>
        <v>66.923925027563413</v>
      </c>
      <c r="BU399" s="822">
        <f>'FORECAST-CORE'!EO408</f>
        <v>-108.30000000000007</v>
      </c>
      <c r="BV399" s="806">
        <f>'FORECAST-CORE'!EP408</f>
        <v>-28.467635402906211</v>
      </c>
      <c r="BW399" s="822">
        <f>'FORECAST-CORE'!EQ408</f>
        <v>-111.29999999999995</v>
      </c>
      <c r="BX399" s="806">
        <f>'FORECAST-CORE'!ER408</f>
        <v>2.7700831024929595</v>
      </c>
      <c r="BY399" s="822">
        <f>'FORECAST-CORE'!ES408</f>
        <v>-107.19999999999999</v>
      </c>
      <c r="BZ399" s="806">
        <f>'FORECAST-CORE'!ET408</f>
        <v>-3.6837376460017723</v>
      </c>
      <c r="CA399" s="822">
        <f>'FORECAST-CORE'!EU408</f>
        <v>-105.20000000000005</v>
      </c>
      <c r="CB399" s="806">
        <f>'FORECAST-CORE'!EV408</f>
        <v>-1.8656716417909891</v>
      </c>
      <c r="CC399" s="822">
        <f>'FORECAST-CORE'!EW408</f>
        <v>-13.999999999999972</v>
      </c>
      <c r="CD399" s="806" t="str">
        <f>'FORECAST-CORE'!EX408</f>
        <v>NM</v>
      </c>
      <c r="CE399" s="822">
        <f>'FORECAST-CORE'!EY408</f>
        <v>-48.399999999999991</v>
      </c>
      <c r="CF399" s="806" t="str">
        <f>'FORECAST-CORE'!EZ408</f>
        <v>NM</v>
      </c>
      <c r="CG399" s="822">
        <f>'FORECAST-CORE'!FA408</f>
        <v>-38.900000000000006</v>
      </c>
      <c r="CH399" s="806">
        <f>'FORECAST-CORE'!FB408</f>
        <v>-19.628099173553693</v>
      </c>
      <c r="CI399" s="822">
        <f>'FORECAST-CORE'!FC408</f>
        <v>-78.399999999999977</v>
      </c>
      <c r="CJ399" s="806" t="str">
        <f>'FORECAST-CORE'!FD408</f>
        <v>NM</v>
      </c>
      <c r="CK399" s="822">
        <f>'FORECAST-CORE'!FE408</f>
        <v>-86.399999999999977</v>
      </c>
      <c r="CL399" s="806">
        <f>'FORECAST-CORE'!FF408</f>
        <v>10.204081632653072</v>
      </c>
      <c r="CM399" s="822">
        <f>'FORECAST-CORE'!FG408</f>
        <v>-115.1</v>
      </c>
      <c r="CN399" s="806">
        <f>'FORECAST-CORE'!FH408</f>
        <v>33.217592592592624</v>
      </c>
      <c r="CO399" s="822">
        <f>'FORECAST-CORE'!FI408</f>
        <v>-119.00000000000001</v>
      </c>
      <c r="CP399" s="806">
        <f>'FORECAST-CORE'!FJ408</f>
        <v>3.3883579496090555</v>
      </c>
      <c r="CQ399" s="822">
        <f>'FORECAST-CORE'!FK408</f>
        <v>-136.69999999999999</v>
      </c>
      <c r="CR399" s="806">
        <f>'FORECAST-CORE'!FL408</f>
        <v>14.873949579831901</v>
      </c>
      <c r="CS399" s="822">
        <f>'FORECAST-CORE'!FM408</f>
        <v>-163</v>
      </c>
      <c r="CT399" s="806">
        <f>'FORECAST-CORE'!FN408</f>
        <v>19.239209948792979</v>
      </c>
      <c r="CU399" s="822">
        <f>'FORECAST-CORE'!FO408</f>
        <v>-146.79999999999998</v>
      </c>
      <c r="CV399" s="806">
        <f>'FORECAST-CORE'!FP408</f>
        <v>-9.9386503067484746</v>
      </c>
      <c r="CW399" s="822">
        <f>'FORECAST-CORE'!FQ408</f>
        <v>-144.77999999999997</v>
      </c>
      <c r="CX399" s="806">
        <f>'FORECAST-CORE'!FR408</f>
        <v>-1.3760217983651346</v>
      </c>
      <c r="CY399" s="822">
        <f>'FORECAST-CORE'!FS408</f>
        <v>-148.27999999999997</v>
      </c>
      <c r="CZ399" s="806">
        <f>'FORECAST-CORE'!FT408</f>
        <v>2.4174609752728227</v>
      </c>
      <c r="DA399" s="822">
        <f>'FORECAST-CORE'!FU408</f>
        <v>-150.02199999999999</v>
      </c>
      <c r="DB399" s="806"/>
      <c r="DC399" s="810"/>
      <c r="DD399" s="822"/>
      <c r="DE399" s="810">
        <f>'FORECAST-CORE'!EK408</f>
        <v>-90.700000000000045</v>
      </c>
      <c r="DF399" s="822" t="str">
        <f>'FORECAST-CORE'!EL408</f>
        <v>NA</v>
      </c>
      <c r="DG399" s="810">
        <f>'FORECAST-CORE'!EM408</f>
        <v>-151.40000000000009</v>
      </c>
      <c r="DH399" s="822">
        <f>'FORECAST-CORE'!EN408</f>
        <v>66.923925027563413</v>
      </c>
      <c r="DI399" s="810">
        <f>'FORECAST-CORE'!EO408</f>
        <v>-108.30000000000007</v>
      </c>
      <c r="DJ399" s="822">
        <f>'FORECAST-CORE'!EP408</f>
        <v>-28.467635402906211</v>
      </c>
      <c r="DK399" s="810">
        <f>'FORECAST-CORE'!EQ408</f>
        <v>-111.29999999999995</v>
      </c>
      <c r="DL399" s="822">
        <f>'FORECAST-CORE'!ER408</f>
        <v>2.7700831024929595</v>
      </c>
      <c r="DM399" s="810">
        <f>'FORECAST-CORE'!ES408</f>
        <v>-107.19999999999999</v>
      </c>
      <c r="DN399" s="822">
        <f>'FORECAST-CORE'!ET408</f>
        <v>-3.6837376460017723</v>
      </c>
      <c r="DO399" s="810">
        <f>'FORECAST-CORE'!EU408</f>
        <v>-105.20000000000005</v>
      </c>
      <c r="DP399" s="822">
        <f>'FORECAST-CORE'!EV408</f>
        <v>-1.8656716417909891</v>
      </c>
      <c r="DQ399" s="806">
        <f>'FORECAST-CORE'!EW408</f>
        <v>-13.999999999999972</v>
      </c>
      <c r="DR399" s="822" t="str">
        <f>'FORECAST-CORE'!EX408</f>
        <v>NM</v>
      </c>
      <c r="DS399" s="806">
        <f>'FORECAST-CORE'!EY408</f>
        <v>-48.399999999999991</v>
      </c>
      <c r="DT399" s="822" t="str">
        <f>'FORECAST-CORE'!EZ408</f>
        <v>NM</v>
      </c>
      <c r="DU399" s="806">
        <f>'FORECAST-CORE'!FA408</f>
        <v>-38.900000000000006</v>
      </c>
      <c r="DV399" s="822">
        <f>'FORECAST-CORE'!FB408</f>
        <v>-19.628099173553693</v>
      </c>
      <c r="DW399" s="806">
        <f>'FORECAST-CORE'!FC408</f>
        <v>-78.399999999999977</v>
      </c>
      <c r="DX399" s="822" t="str">
        <f>'FORECAST-CORE'!FD408</f>
        <v>NM</v>
      </c>
      <c r="DY399" s="806">
        <f>'FORECAST-CORE'!FE408</f>
        <v>-86.399999999999977</v>
      </c>
      <c r="DZ399" s="822">
        <f>'FORECAST-CORE'!FF408</f>
        <v>10.204081632653072</v>
      </c>
      <c r="EA399" s="806">
        <f>'FORECAST-CORE'!FG408</f>
        <v>-115.1</v>
      </c>
      <c r="EB399" s="822">
        <f>'FORECAST-CORE'!FH408</f>
        <v>33.217592592592624</v>
      </c>
      <c r="EC399" s="806">
        <f>'FORECAST-CORE'!FI408</f>
        <v>-119.00000000000001</v>
      </c>
      <c r="ED399" s="822">
        <f>'FORECAST-CORE'!FJ408</f>
        <v>3.3883579496090555</v>
      </c>
      <c r="EE399" s="806">
        <f>'FORECAST-CORE'!FK408</f>
        <v>-136.69999999999999</v>
      </c>
      <c r="EF399" s="822">
        <f>'FORECAST-CORE'!FL408</f>
        <v>14.873949579831901</v>
      </c>
      <c r="EG399" s="806">
        <f>'FORECAST-CORE'!FM408</f>
        <v>-163</v>
      </c>
      <c r="EH399" s="822">
        <f>'FORECAST-CORE'!FN408</f>
        <v>19.239209948792979</v>
      </c>
      <c r="EI399" s="806">
        <f>'FORECAST-CORE'!FO408</f>
        <v>-146.79999999999998</v>
      </c>
      <c r="EJ399" s="822">
        <f>'FORECAST-CORE'!FP408</f>
        <v>-9.9386503067484746</v>
      </c>
      <c r="EK399" s="806">
        <f>'FORECAST-CORE'!FQ408</f>
        <v>-144.77999999999997</v>
      </c>
      <c r="EL399" s="822">
        <f>'FORECAST-CORE'!FR408</f>
        <v>-1.3760217983651346</v>
      </c>
      <c r="EM399" s="806">
        <f>'FORECAST-CORE'!GC408</f>
        <v>0</v>
      </c>
      <c r="EN399" s="822">
        <f>'FORECAST-CORE'!GD408</f>
        <v>0</v>
      </c>
      <c r="EO399" s="806">
        <f>'FORECAST-CORE'!GE408</f>
        <v>0</v>
      </c>
      <c r="EP399" s="822">
        <f>'FORECAST-CORE'!GF408</f>
        <v>0</v>
      </c>
      <c r="EQ399" s="806">
        <f>'FORECAST-CORE'!GG408</f>
        <v>0</v>
      </c>
      <c r="ER399" s="822">
        <f>'FORECAST-CORE'!GH408</f>
        <v>0</v>
      </c>
      <c r="ES399" s="806">
        <f>'FORECAST-CORE'!GI408</f>
        <v>0</v>
      </c>
      <c r="ET399" s="822">
        <f>'FORECAST-CORE'!GJ408</f>
        <v>0</v>
      </c>
      <c r="EU399" s="810">
        <f>'FORECAST-CORE'!GA408</f>
        <v>0.90426514075188091</v>
      </c>
      <c r="EV399" s="823"/>
    </row>
    <row r="400" spans="1:152" ht="12.75" hidden="1" customHeight="1" outlineLevel="1" x14ac:dyDescent="0.2">
      <c r="A400" s="759" t="s">
        <v>517</v>
      </c>
      <c r="B400" s="760"/>
      <c r="C400" s="761"/>
      <c r="D400" s="760"/>
      <c r="E400" s="761"/>
      <c r="F400" s="760"/>
      <c r="G400" s="761"/>
      <c r="H400" s="762"/>
      <c r="I400" s="763"/>
      <c r="J400" s="760"/>
      <c r="K400" s="763"/>
      <c r="L400" s="760"/>
      <c r="M400" s="763"/>
      <c r="N400" s="760"/>
      <c r="O400" s="763"/>
      <c r="P400" s="760"/>
      <c r="Q400" s="763"/>
      <c r="R400" s="760"/>
      <c r="S400" s="763"/>
      <c r="T400" s="760"/>
      <c r="U400" s="763"/>
      <c r="V400" s="760"/>
      <c r="W400" s="763"/>
      <c r="X400" s="760"/>
      <c r="Y400" s="763"/>
      <c r="Z400" s="760"/>
      <c r="AA400" s="763"/>
      <c r="AB400" s="760"/>
      <c r="AC400" s="763"/>
      <c r="AD400" s="760"/>
      <c r="AE400" s="763"/>
      <c r="AF400" s="760"/>
      <c r="AG400" s="763"/>
      <c r="AH400" s="760"/>
      <c r="AI400" s="763"/>
      <c r="AJ400" s="760"/>
      <c r="AK400" s="763"/>
      <c r="AL400" s="760"/>
      <c r="AM400" s="763"/>
      <c r="AN400" s="760"/>
      <c r="AO400" s="763"/>
      <c r="AP400" s="764">
        <f>(AP380+AP381+AP382+AP383-AP387-AP388-AP389-AP390-AP391-AP392-AP393-AP394-AP395-AP396)-AP399</f>
        <v>0</v>
      </c>
      <c r="AQ400" s="763"/>
      <c r="AR400" s="764">
        <f>(AR380+AR381+AR382+AR383-AR387-AR388-AR389-AR390-AR391-AR392-AR393-AR394-AR395-AR396)-AR399</f>
        <v>0</v>
      </c>
      <c r="AS400" s="763"/>
      <c r="AT400" s="764">
        <f>(AT380+AT381+AT382+AT383-AT387-AT388-AT389-AT390-AT391-AT392-AT393-AT394-AT395-AT396)-AT399</f>
        <v>0</v>
      </c>
      <c r="AU400" s="763"/>
      <c r="AV400" s="764">
        <f>(AV380+AV381+AV382+AV383-AV387-AV388-AV389-AV390-AV391-AV392-AV393-AV394-AV395-AV396)-AV399</f>
        <v>0</v>
      </c>
      <c r="AW400" s="763"/>
      <c r="AX400" s="764">
        <f>(AX380+AX381+AX382+AX383-AX387-AX388-AX389-AX390-AX391-AX392-AX393-AX394-AX395-AX396)-AX399</f>
        <v>0</v>
      </c>
      <c r="AY400" s="763"/>
      <c r="AZ400" s="764">
        <f>(AZ380+AZ381+AZ382+AZ383-AZ387-AZ388-AZ389-AZ390-AZ391-AZ392-AZ393-AZ394-AZ395-AZ396)-AZ399</f>
        <v>0</v>
      </c>
      <c r="BA400" s="763"/>
      <c r="BB400" s="764">
        <f>(BB380+BB381+BB382+BB383-BB387-BB388-BB389-BB390-BB391-BB392-BB393-BB394-BB395-BB396)-BB399</f>
        <v>0</v>
      </c>
      <c r="BC400" s="763"/>
      <c r="BD400" s="764">
        <f>(BD380+BD381+BD382+BD383-BD387-BD388-BD389-BD390-BD391-BD392-BD393-BD394-BD395-BD396)-BD399</f>
        <v>0</v>
      </c>
      <c r="BE400" s="763"/>
      <c r="BF400" s="764">
        <f>(BF380+BF381+BF382+BF383-BF387-BF388-BF389-BF390-BF391-BF392-BF393-BF394-BF395-BF396)-BF399</f>
        <v>0</v>
      </c>
      <c r="BG400" s="763"/>
      <c r="BH400" s="764">
        <f>(BH380+BH381+BH382+BH383-BH387-BH388-BH389-BH390-BH391-BH392-BH393-BH394-BH395-BH396)-BH399</f>
        <v>0</v>
      </c>
      <c r="BI400" s="763"/>
      <c r="BJ400" s="764">
        <f>(BJ380+BJ381+BJ382+BJ383-BJ387-BJ388-BJ389-BJ390-BJ391-BJ392-BJ393-BJ394-BJ395-BJ396)-BJ399</f>
        <v>0</v>
      </c>
      <c r="BK400" s="763"/>
      <c r="BL400" s="764">
        <f>(BL380+BL381+BL382+BL383-BL387-BL388-BL389-BL390-BL391-BL392-BL393-BL394-BL395-BL396)-BL399</f>
        <v>0</v>
      </c>
      <c r="BM400" s="763"/>
      <c r="BN400" s="764">
        <f>(BN380+BN381+BN382+BN383-BN387-BN388-BN389-BN390-BN391-BN392-BN393-BN394-BN395-BN396)-BN399</f>
        <v>0</v>
      </c>
      <c r="BO400" s="763"/>
      <c r="BP400" s="764">
        <f>(BP380+BP381+BP382+BP383-BP387-BP388-BP389-BP390-BP391-BP392-BP393-BP394-BP395-BP396)-BP399</f>
        <v>0</v>
      </c>
      <c r="BQ400" s="763"/>
      <c r="BR400" s="764" t="e">
        <f>(BR380+BR381+BR382+BR383-BR387-BR388-BR389-BR390-BR391-BR392-BR393-BR394-BR395-BR396)-BR399</f>
        <v>#VALUE!</v>
      </c>
      <c r="BS400" s="763"/>
      <c r="BT400" s="764" t="e">
        <f>(BT380+BT381+BT382+BT383-BT387-BT388-BT389-BT390-BT391-BT392-BT393-BT394-BT395-BT396)-BT399</f>
        <v>#VALUE!</v>
      </c>
      <c r="BU400" s="763"/>
      <c r="BV400" s="764" t="e">
        <f>(BV380+BV381+BV382+BV383-BV387-BV388-BV389-BV390-BV391-BV392-BV393-BV394-BV395-BV396)-BV399</f>
        <v>#VALUE!</v>
      </c>
      <c r="BW400" s="763"/>
      <c r="BX400" s="764" t="e">
        <f>(BX380+BX381+BX382+BX383-BX387-BX388-BX389-BX390-BX391-BX392-BX393-BX394-BX395-BX396)-BX399</f>
        <v>#VALUE!</v>
      </c>
      <c r="BY400" s="763"/>
      <c r="BZ400" s="764" t="e">
        <f>(BZ380+BZ381+BZ382+BZ383-BZ387-BZ388-BZ389-BZ390-BZ391-BZ392-BZ393-BZ394-BZ395-BZ396)-BZ399</f>
        <v>#VALUE!</v>
      </c>
      <c r="CA400" s="763"/>
      <c r="CB400" s="764" t="e">
        <f>(CB380+CB381+CB382+CB383-CB387-CB388-CB389-CB390-CB391-CB392-CB393-CB394-CB395-CB396)-CB399</f>
        <v>#VALUE!</v>
      </c>
      <c r="CC400" s="763"/>
      <c r="CD400" s="764" t="e">
        <f>(CD380+CD381+CD382+CD383-CD387-CD388-CD389-CD390-CD391-CD392-CD393-CD394-CD395-CD396)-CD399</f>
        <v>#VALUE!</v>
      </c>
      <c r="CE400" s="763"/>
      <c r="CF400" s="764" t="e">
        <f>(CF380+CF381+CF382+CF383-CF387-CF388-CF389-CF390-CF391-CF392-CF393-CF394-CF395-CF396)-CF399</f>
        <v>#VALUE!</v>
      </c>
      <c r="CG400" s="763"/>
      <c r="CH400" s="764" t="e">
        <f>(CH380+CH381+CH382+CH383-CH387-CH388-CH389-CH390-CH391-CH392-CH393-CH394-CH395-CH396)-CH399</f>
        <v>#VALUE!</v>
      </c>
      <c r="CI400" s="763"/>
      <c r="CJ400" s="764" t="e">
        <f>(CJ380+CJ381+CJ382+CJ383-CJ387-CJ388-CJ389-CJ390-CJ391-CJ392-CJ393-CJ394-CJ395-CJ396)-CJ399</f>
        <v>#VALUE!</v>
      </c>
      <c r="CK400" s="763"/>
      <c r="CL400" s="764" t="e">
        <f t="shared" ref="CL400" si="364">(CL380+CL381+CL382+CL383-CL387-CL388-CL389-CL390-CL391-CL392-CL393-CL394-CL395-CL396)-CL399</f>
        <v>#VALUE!</v>
      </c>
      <c r="CM400" s="763"/>
      <c r="CN400" s="764" t="e">
        <f t="shared" ref="CN400" si="365">(CN380+CN381+CN382+CN383-CN387-CN388-CN389-CN390-CN391-CN392-CN393-CN394-CN395-CN396)-CN399</f>
        <v>#VALUE!</v>
      </c>
      <c r="CO400" s="763"/>
      <c r="CP400" s="764" t="e">
        <f t="shared" ref="CP400" si="366">(CP380+CP381+CP382+CP383-CP387-CP388-CP389-CP390-CP391-CP392-CP393-CP394-CP395-CP396)-CP399</f>
        <v>#VALUE!</v>
      </c>
      <c r="CQ400" s="763"/>
      <c r="CR400" s="764" t="e">
        <f t="shared" ref="CR400" si="367">(CR380+CR381+CR382+CR383-CR387-CR388-CR389-CR390-CR391-CR392-CR393-CR394-CR395-CR396)-CR399</f>
        <v>#VALUE!</v>
      </c>
      <c r="CS400" s="763"/>
      <c r="CT400" s="764" t="e">
        <f t="shared" ref="CT400" si="368">(CT380+CT381+CT382+CT383-CT387-CT388-CT389-CT390-CT391-CT392-CT393-CT394-CT395-CT396)-CT399</f>
        <v>#VALUE!</v>
      </c>
      <c r="CU400" s="763"/>
      <c r="CV400" s="764" t="e">
        <f t="shared" ref="CV400" si="369">(CV380+CV381+CV382+CV383-CV387-CV388-CV389-CV390-CV391-CV392-CV393-CV394-CV395-CV396)-CV399</f>
        <v>#VALUE!</v>
      </c>
      <c r="CW400" s="763"/>
      <c r="CX400" s="764" t="e">
        <f t="shared" ref="CX400" si="370">(CX380+CX381+CX382+CX383-CX387-CX388-CX389-CX390-CX391-CX392-CX393-CX394-CX395-CX396)-CX399</f>
        <v>#VALUE!</v>
      </c>
      <c r="CY400" s="763"/>
      <c r="CZ400" s="764" t="e">
        <f t="shared" ref="CZ400" si="371">(CZ380+CZ381+CZ382+CZ383-CZ387-CZ388-CZ389-CZ390-CZ391-CZ392-CZ393-CZ394-CZ395-CZ396)-CZ399</f>
        <v>#VALUE!</v>
      </c>
      <c r="DA400" s="763"/>
      <c r="DB400" s="765"/>
      <c r="DC400" s="766"/>
      <c r="DD400" s="761"/>
      <c r="DE400" s="766"/>
      <c r="DF400" s="761"/>
      <c r="DG400" s="766"/>
      <c r="DH400" s="761"/>
      <c r="DI400" s="766"/>
      <c r="DJ400" s="761"/>
      <c r="DK400" s="766"/>
      <c r="DL400" s="763"/>
      <c r="DM400" s="766"/>
      <c r="DN400" s="763"/>
      <c r="DO400" s="766"/>
      <c r="DP400" s="763"/>
      <c r="DQ400" s="760"/>
      <c r="DR400" s="763"/>
      <c r="DS400" s="760"/>
      <c r="DT400" s="763"/>
      <c r="DU400" s="764">
        <f>(DU380+DU381+DU382+DU383-DU387-DU388-DU389-DU390-DU391-DU392-DU393-DU394-DU395-DU396)-DU399</f>
        <v>0</v>
      </c>
      <c r="DV400" s="763"/>
      <c r="DW400" s="764">
        <f>(DW380+DW381+DW382+DW383-DW387-DW388-DW389-DW390-DW391-DW392-DW393-DW394-DW395-DW396)-DW399</f>
        <v>0</v>
      </c>
      <c r="DX400" s="763"/>
      <c r="DY400" s="764">
        <f>(DY380+DY381+DY382+DY383-DY387-DY388-DY389-DY390-DY391-DY392-DY393-DY394-DY395-DY396)-DY399</f>
        <v>0</v>
      </c>
      <c r="DZ400" s="763"/>
      <c r="EA400" s="764">
        <f>(EA380+EA381+EA382+EA383-EA387-EA388-EA389-EA390-EA391-EA392-EA393-EA394-EA395-EA396)-EA399</f>
        <v>0</v>
      </c>
      <c r="EB400" s="763"/>
      <c r="EC400" s="764">
        <f>(EC380+EC381+EC382+EC383-EC387-EC388-EC389-EC390-EC391-EC392-EC393-EC394-EC395-EC396)-EC399</f>
        <v>0</v>
      </c>
      <c r="ED400" s="763"/>
      <c r="EE400" s="764">
        <f>(EE380+EE381+EE382+EE383-EE387-EE388-EE389-EE390-EE391-EE392-EE393-EE394-EE395-EE396)-EE399</f>
        <v>0</v>
      </c>
      <c r="EF400" s="763"/>
      <c r="EG400" s="764">
        <f>(EG380+EG381+EG382+EG383-EG387-EG388-EG389-EG390-EG391-EG392-EG393-EG394-EG395-EG396)-EG399</f>
        <v>0</v>
      </c>
      <c r="EH400" s="763"/>
      <c r="EI400" s="764">
        <f>(EI380+EI381+EI382+EI383-EI387-EI388-EI389-EI390-EI391-EI392-EI393-EI394-EI395-EI396)-EI399</f>
        <v>-20.599999999999994</v>
      </c>
      <c r="EJ400" s="763"/>
      <c r="EK400" s="764">
        <f>(EK380+EK381+EK382+EK383-EK387-EK388-EK389-EK390-EK391-EK392-EK393-EK394-EK395-EK396)-EK399</f>
        <v>0</v>
      </c>
      <c r="EL400" s="763"/>
      <c r="EM400" s="764">
        <f>(EM380+EM381+EM382+EM383-EM387-EM388-EM389-EM390-EM391-EM392-EM393-EM394-EM395-EM396)-EM399</f>
        <v>0</v>
      </c>
      <c r="EN400" s="763"/>
      <c r="EO400" s="764">
        <f>(EO380+EO381+EO382+EO383-EO387-EO388-EO389-EO390-EO391-EO392-EO393-EO394-EO395-EO396)-EO399</f>
        <v>0</v>
      </c>
      <c r="EP400" s="763"/>
      <c r="EQ400" s="764">
        <f>(EQ380+EQ381+EQ382+EQ383-EQ387-EQ388-EQ389-EQ390-EQ391-EQ392-EQ393-EQ394-EQ395-EQ396)-EQ399</f>
        <v>0</v>
      </c>
      <c r="ER400" s="763"/>
      <c r="ES400" s="764">
        <f>(ES380+ES381+ES382+ES383-ES387-ES388-ES389-ES390-ES391-ES392-ES393-ES394-ES395-ES396)-ES399</f>
        <v>0</v>
      </c>
      <c r="ET400" s="763"/>
      <c r="EU400" s="761"/>
      <c r="EV400" s="710"/>
    </row>
    <row r="401" ht="12.75" customHeight="1" collapsed="1" x14ac:dyDescent="0.2"/>
  </sheetData>
  <phoneticPr fontId="3" type="noConversion"/>
  <pageMargins left="0.69" right="0.69" top="0.54" bottom="0.69" header="0.5" footer="0.5"/>
  <pageSetup scale="74" orientation="landscape" horizontalDpi="300" verticalDpi="300" r:id="rId1"/>
  <headerFooter alignWithMargins="0"/>
  <rowBreaks count="10" manualBreakCount="10">
    <brk id="50" max="16383" man="1"/>
    <brk id="101" max="16383" man="1"/>
    <brk id="144" max="16383" man="1"/>
    <brk id="184" max="16383" man="1"/>
    <brk id="226" max="16383" man="1"/>
    <brk id="267" max="16383" man="1"/>
    <brk id="302" max="16383" man="1"/>
    <brk id="338" max="16383" man="1"/>
    <brk id="372" max="16383" man="1"/>
    <brk id="396" max="16383" man="1"/>
  </rowBreaks>
  <ignoredErrors>
    <ignoredError sqref="DB397:DT397 DB387:DT396 EU397 EU380:EU384 DB380:DT384 EU387:EU396" formula="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pageSetUpPr fitToPage="1"/>
  </sheetPr>
  <dimension ref="A1:AS60"/>
  <sheetViews>
    <sheetView workbookViewId="0">
      <pane xSplit="1" ySplit="4" topLeftCell="N5" activePane="bottomRight" state="frozen"/>
      <selection pane="topRight" activeCell="B1" sqref="B1"/>
      <selection pane="bottomLeft" activeCell="A5" sqref="A5"/>
      <selection pane="bottomRight" activeCell="AD27" sqref="AD27"/>
    </sheetView>
  </sheetViews>
  <sheetFormatPr defaultRowHeight="12.75" outlineLevelCol="1" x14ac:dyDescent="0.2"/>
  <cols>
    <col min="1" max="1" width="30.85546875" style="9" customWidth="1"/>
    <col min="2" max="9" width="9.140625" style="9" hidden="1" customWidth="1" outlineLevel="1"/>
    <col min="10" max="10" width="9.140625" style="9" hidden="1" customWidth="1" outlineLevel="1" collapsed="1"/>
    <col min="11" max="13" width="9.140625" style="9" hidden="1" customWidth="1" outlineLevel="1"/>
    <col min="14" max="14" width="0.85546875" style="9" customWidth="1" collapsed="1"/>
    <col min="15" max="15" width="9.140625" style="9" hidden="1" customWidth="1" outlineLevel="1" collapsed="1"/>
    <col min="16" max="16" width="9.28515625" style="9" hidden="1" customWidth="1" outlineLevel="1"/>
    <col min="17" max="17" width="9.140625" style="9" hidden="1" customWidth="1" outlineLevel="1"/>
    <col min="18" max="18" width="9.28515625" style="9" customWidth="1" collapsed="1"/>
    <col min="19" max="22" width="9.28515625" style="9" customWidth="1"/>
    <col min="23" max="23" width="0.85546875" style="9" customWidth="1"/>
    <col min="24" max="24" width="10.5703125" style="9" hidden="1" customWidth="1" outlineLevel="1"/>
    <col min="25" max="25" width="12.5703125" style="9" hidden="1" customWidth="1" outlineLevel="1" collapsed="1"/>
    <col min="26" max="26" width="12.7109375" style="9" hidden="1" customWidth="1" outlineLevel="1" collapsed="1"/>
    <col min="27" max="27" width="12.7109375" style="9" customWidth="1" collapsed="1"/>
    <col min="28" max="30" width="14" style="9" customWidth="1"/>
    <col min="31" max="31" width="12.7109375" style="9" customWidth="1"/>
    <col min="32" max="36" width="9.140625" style="9"/>
    <col min="37" max="37" width="10.85546875" style="9" customWidth="1"/>
    <col min="38" max="41" width="9.140625" style="917" customWidth="1"/>
    <col min="42" max="42" width="9.140625" style="9" customWidth="1"/>
    <col min="43" max="16384" width="9.140625" style="9"/>
  </cols>
  <sheetData>
    <row r="1" spans="1:41" x14ac:dyDescent="0.2">
      <c r="B1" s="1031" t="s">
        <v>545</v>
      </c>
      <c r="C1" s="1031"/>
      <c r="D1" s="1031"/>
      <c r="E1" s="1031"/>
      <c r="F1" s="555"/>
      <c r="G1" s="555"/>
      <c r="H1" s="555"/>
      <c r="I1" s="555"/>
      <c r="J1" s="555"/>
      <c r="K1" s="555"/>
      <c r="L1" s="555"/>
      <c r="M1" s="555"/>
      <c r="O1" s="1031" t="s">
        <v>545</v>
      </c>
      <c r="P1" s="1031"/>
      <c r="Q1" s="1031"/>
      <c r="R1" s="555"/>
      <c r="S1" s="555"/>
      <c r="T1" s="555"/>
      <c r="U1" s="963"/>
      <c r="V1" s="1026"/>
      <c r="W1" s="435"/>
      <c r="X1" s="1031" t="s">
        <v>531</v>
      </c>
      <c r="Y1" s="1031"/>
      <c r="Z1" s="1031"/>
      <c r="AA1" s="1031"/>
      <c r="AB1" s="916"/>
      <c r="AC1" s="964"/>
      <c r="AD1" s="1027"/>
      <c r="AL1" s="917" t="s">
        <v>212</v>
      </c>
    </row>
    <row r="2" spans="1:41" x14ac:dyDescent="0.2">
      <c r="B2" s="440" t="s">
        <v>399</v>
      </c>
      <c r="C2" s="440" t="s">
        <v>400</v>
      </c>
      <c r="D2" s="440" t="s">
        <v>401</v>
      </c>
      <c r="E2" s="441" t="s">
        <v>402</v>
      </c>
      <c r="F2" s="441" t="s">
        <v>534</v>
      </c>
      <c r="G2" s="441" t="s">
        <v>535</v>
      </c>
      <c r="H2" s="441" t="s">
        <v>536</v>
      </c>
      <c r="I2" s="441" t="s">
        <v>537</v>
      </c>
      <c r="J2" s="441" t="s">
        <v>521</v>
      </c>
      <c r="K2" s="441" t="s">
        <v>522</v>
      </c>
      <c r="L2" s="441" t="s">
        <v>523</v>
      </c>
      <c r="M2" s="441" t="s">
        <v>524</v>
      </c>
      <c r="O2" s="237">
        <v>2011</v>
      </c>
      <c r="P2" s="441">
        <v>2012</v>
      </c>
      <c r="Q2" s="441">
        <v>2013</v>
      </c>
      <c r="R2" s="441">
        <v>2014</v>
      </c>
      <c r="S2" s="441">
        <v>2015</v>
      </c>
      <c r="T2" s="441">
        <v>2016</v>
      </c>
      <c r="U2" s="441" t="s">
        <v>616</v>
      </c>
      <c r="V2" s="441" t="s">
        <v>632</v>
      </c>
      <c r="X2" s="441">
        <v>2012</v>
      </c>
      <c r="Y2" s="441" t="s">
        <v>546</v>
      </c>
      <c r="Z2" s="441" t="s">
        <v>31</v>
      </c>
      <c r="AA2" s="441" t="s">
        <v>0</v>
      </c>
      <c r="AB2" s="441" t="s">
        <v>1</v>
      </c>
      <c r="AC2" s="441" t="s">
        <v>616</v>
      </c>
      <c r="AD2" s="441" t="s">
        <v>632</v>
      </c>
      <c r="AE2" s="965" t="s">
        <v>566</v>
      </c>
    </row>
    <row r="3" spans="1:41" x14ac:dyDescent="0.2">
      <c r="X3" s="443"/>
      <c r="Y3" s="443"/>
      <c r="Z3" s="443"/>
      <c r="AE3" s="870"/>
    </row>
    <row r="4" spans="1:41" x14ac:dyDescent="0.2">
      <c r="A4" s="237" t="s">
        <v>2</v>
      </c>
      <c r="O4" s="436"/>
      <c r="P4" s="436"/>
      <c r="Q4" s="436"/>
      <c r="R4" s="436"/>
      <c r="S4" s="436"/>
      <c r="T4" s="436"/>
      <c r="U4" s="436"/>
      <c r="V4" s="436"/>
      <c r="X4" s="443"/>
      <c r="Y4" s="456"/>
      <c r="Z4" s="456"/>
      <c r="AE4" s="870"/>
    </row>
    <row r="5" spans="1:41" x14ac:dyDescent="0.2">
      <c r="A5" s="9" t="s">
        <v>4</v>
      </c>
      <c r="B5" s="444">
        <f>INPUT!CO159</f>
        <v>205.89999999999964</v>
      </c>
      <c r="C5" s="444">
        <f>INPUT!CQ159</f>
        <v>212.70000000000027</v>
      </c>
      <c r="D5" s="444">
        <f>INPUT!CS159</f>
        <v>216.29999999999995</v>
      </c>
      <c r="E5" s="444">
        <f>INPUT!CU159</f>
        <v>212.19999999999982</v>
      </c>
      <c r="F5" s="444">
        <f>INPUT!CW159</f>
        <v>205.20000000000005</v>
      </c>
      <c r="G5" s="444">
        <f>INPUT!CY159</f>
        <v>211.09999999999991</v>
      </c>
      <c r="H5" s="444">
        <f>INPUT!DA159</f>
        <v>216.90000000000009</v>
      </c>
      <c r="I5" s="444">
        <f>INPUT!DC159</f>
        <v>225.20000000000005</v>
      </c>
      <c r="J5" s="444">
        <f>INPUT!DE159</f>
        <v>207.5</v>
      </c>
      <c r="K5" s="444">
        <f>INPUT!DG159</f>
        <v>215.79999999999973</v>
      </c>
      <c r="L5" s="444">
        <f>INPUT!DI159</f>
        <v>212.10000000000014</v>
      </c>
      <c r="M5" s="444">
        <f>INPUT!DK159</f>
        <v>209.5</v>
      </c>
      <c r="N5" s="444"/>
      <c r="O5" s="444">
        <f>INPUT!FV159</f>
        <v>816.89999999999964</v>
      </c>
      <c r="P5" s="444">
        <f>INPUT!FX159</f>
        <v>842.79999999999927</v>
      </c>
      <c r="Q5" s="444">
        <f>INPUT!FZ159</f>
        <v>858.40000000000055</v>
      </c>
      <c r="R5" s="444">
        <f>INPUT!GB159</f>
        <v>844.90000000000055</v>
      </c>
      <c r="S5" s="444">
        <f>INPUT!GD159</f>
        <v>850</v>
      </c>
      <c r="T5" s="444">
        <f>INPUT!GF159</f>
        <v>914.19999999999982</v>
      </c>
      <c r="U5" s="444">
        <f>INPUT!GH159</f>
        <v>1009.4999999999997</v>
      </c>
      <c r="V5" s="444">
        <f>INPUT!GJ159</f>
        <v>1007.1665440880697</v>
      </c>
      <c r="X5" s="437"/>
      <c r="Y5" s="451"/>
      <c r="Z5" s="451"/>
      <c r="AE5" s="870"/>
    </row>
    <row r="6" spans="1:41" s="431" customFormat="1" x14ac:dyDescent="0.2">
      <c r="A6" s="431" t="s">
        <v>542</v>
      </c>
      <c r="B6" s="445"/>
      <c r="C6" s="445"/>
      <c r="D6" s="445"/>
      <c r="E6" s="445"/>
      <c r="F6" s="447">
        <f>F5/B5-1</f>
        <v>-3.3997085964040386E-3</v>
      </c>
      <c r="G6" s="447">
        <f t="shared" ref="G6:M6" si="0">G5/C5-1</f>
        <v>-7.5223319228977514E-3</v>
      </c>
      <c r="H6" s="447">
        <f t="shared" si="0"/>
        <v>2.7739251040228563E-3</v>
      </c>
      <c r="I6" s="447">
        <f t="shared" si="0"/>
        <v>6.1262959472197176E-2</v>
      </c>
      <c r="J6" s="447">
        <f t="shared" si="0"/>
        <v>1.1208576998050557E-2</v>
      </c>
      <c r="K6" s="447">
        <f t="shared" si="0"/>
        <v>2.2264329701562335E-2</v>
      </c>
      <c r="L6" s="447">
        <f t="shared" si="0"/>
        <v>-2.2130013831258455E-2</v>
      </c>
      <c r="M6" s="447">
        <f t="shared" si="0"/>
        <v>-6.9715808170515259E-2</v>
      </c>
      <c r="N6" s="445"/>
      <c r="O6" s="446"/>
      <c r="P6" s="447">
        <f t="shared" ref="P6:V6" si="1">P5/O5-1</f>
        <v>3.1705227077977183E-2</v>
      </c>
      <c r="Q6" s="447">
        <f t="shared" si="1"/>
        <v>1.8509729473186187E-2</v>
      </c>
      <c r="R6" s="447">
        <f t="shared" si="1"/>
        <v>-1.572693383038215E-2</v>
      </c>
      <c r="S6" s="447">
        <f t="shared" si="1"/>
        <v>6.0362173038222E-3</v>
      </c>
      <c r="T6" s="447">
        <f t="shared" si="1"/>
        <v>7.5529411764705623E-2</v>
      </c>
      <c r="U6" s="447">
        <f t="shared" si="1"/>
        <v>0.10424414788886449</v>
      </c>
      <c r="V6" s="447">
        <f t="shared" si="1"/>
        <v>-2.3114966933431846E-3</v>
      </c>
      <c r="X6" s="448"/>
      <c r="Y6" s="451" t="s">
        <v>10</v>
      </c>
      <c r="Z6" s="451" t="s">
        <v>8</v>
      </c>
      <c r="AA6" s="880" t="s">
        <v>8</v>
      </c>
      <c r="AB6" s="880" t="s">
        <v>8</v>
      </c>
      <c r="AC6" s="880" t="s">
        <v>15</v>
      </c>
      <c r="AD6" s="880" t="s">
        <v>8</v>
      </c>
      <c r="AE6" s="966" t="s">
        <v>220</v>
      </c>
      <c r="AL6" s="918"/>
      <c r="AM6" s="918"/>
      <c r="AN6" s="918"/>
      <c r="AO6" s="918"/>
    </row>
    <row r="7" spans="1:41" x14ac:dyDescent="0.2">
      <c r="A7" s="9" t="s">
        <v>6</v>
      </c>
      <c r="B7" s="444">
        <f>Premiums_US _1Q12</f>
        <v>1112</v>
      </c>
      <c r="C7" s="444">
        <f>Premiums_US _2Q12</f>
        <v>1115</v>
      </c>
      <c r="D7" s="444">
        <f>Premiums_US _3Q12</f>
        <v>1111.9000000000001</v>
      </c>
      <c r="E7" s="444">
        <f>Premiums_US _4Q12</f>
        <v>1117.5999999999999</v>
      </c>
      <c r="F7" s="444">
        <f>Premiums_US _1Q13</f>
        <v>1139.7</v>
      </c>
      <c r="G7" s="444">
        <f>Premiums_US _2Q13</f>
        <v>1131.5</v>
      </c>
      <c r="H7" s="444">
        <f>Premiums_US _3Q13</f>
        <v>1124.5999999999999</v>
      </c>
      <c r="I7" s="444">
        <f>Premiums_US _4Q13</f>
        <v>1121.3</v>
      </c>
      <c r="J7" s="444">
        <f>Premiums_US _1Q14</f>
        <v>1152.5</v>
      </c>
      <c r="K7" s="444">
        <f>Premiums_US _2Q14</f>
        <v>1157.6999999999998</v>
      </c>
      <c r="L7" s="444">
        <f>Premiums_US _3Q14</f>
        <v>1162.6999999999998</v>
      </c>
      <c r="M7" s="444">
        <f>Premiums_US _4Q14</f>
        <v>1186.8</v>
      </c>
      <c r="N7" s="444"/>
      <c r="O7" s="444">
        <f>Premiums_US F2011_</f>
        <v>4296</v>
      </c>
      <c r="P7" s="444">
        <f>Premiums_US F2012_</f>
        <v>4456.5</v>
      </c>
      <c r="Q7" s="444">
        <f>Premiums_US F2013_</f>
        <v>4517.1000000000004</v>
      </c>
      <c r="R7" s="444">
        <f>Premiums_US F2014_</f>
        <v>4659.7</v>
      </c>
      <c r="S7" s="444">
        <f>Premiums_US F2015_</f>
        <v>4960</v>
      </c>
      <c r="T7" s="444">
        <f>Premiums_US F2016_</f>
        <v>5240.9000000000005</v>
      </c>
      <c r="U7" s="444">
        <f>Premiums_US F2017_</f>
        <v>5443.5</v>
      </c>
      <c r="V7" s="444">
        <f>Premiums_US F2018_</f>
        <v>5692.0149467434039</v>
      </c>
      <c r="X7" s="437"/>
      <c r="Y7" s="2"/>
      <c r="Z7" s="2"/>
      <c r="AA7" s="2"/>
      <c r="AB7" s="2"/>
      <c r="AC7" s="2"/>
      <c r="AD7" s="2"/>
      <c r="AE7" s="870"/>
    </row>
    <row r="8" spans="1:41" x14ac:dyDescent="0.2">
      <c r="A8" s="431" t="s">
        <v>542</v>
      </c>
      <c r="B8" s="445"/>
      <c r="C8" s="445"/>
      <c r="D8" s="445"/>
      <c r="E8" s="445"/>
      <c r="F8" s="447">
        <f t="shared" ref="F8:M8" si="2">F7/B7-1</f>
        <v>2.4910071942445988E-2</v>
      </c>
      <c r="G8" s="447">
        <f t="shared" si="2"/>
        <v>1.4798206278026971E-2</v>
      </c>
      <c r="H8" s="447">
        <f t="shared" si="2"/>
        <v>1.1421890457774753E-2</v>
      </c>
      <c r="I8" s="447">
        <f t="shared" si="2"/>
        <v>3.3106657122405903E-3</v>
      </c>
      <c r="J8" s="447">
        <f t="shared" si="2"/>
        <v>1.1231025708519748E-2</v>
      </c>
      <c r="K8" s="447">
        <f t="shared" si="2"/>
        <v>2.3155103844454183E-2</v>
      </c>
      <c r="L8" s="447">
        <f t="shared" si="2"/>
        <v>3.3878712431086422E-2</v>
      </c>
      <c r="M8" s="447">
        <f t="shared" si="2"/>
        <v>5.8414340497636719E-2</v>
      </c>
      <c r="N8" s="445"/>
      <c r="O8" s="446"/>
      <c r="P8" s="447">
        <f t="shared" ref="P8:V8" si="3">P7/O7-1</f>
        <v>3.7360335195530725E-2</v>
      </c>
      <c r="Q8" s="447">
        <f t="shared" si="3"/>
        <v>1.3598115112756659E-2</v>
      </c>
      <c r="R8" s="447">
        <f t="shared" si="3"/>
        <v>3.1568926966416333E-2</v>
      </c>
      <c r="S8" s="447">
        <f t="shared" si="3"/>
        <v>6.4446208983411024E-2</v>
      </c>
      <c r="T8" s="447">
        <f t="shared" si="3"/>
        <v>5.6633064516129039E-2</v>
      </c>
      <c r="U8" s="447">
        <f t="shared" si="3"/>
        <v>3.8657482493464679E-2</v>
      </c>
      <c r="V8" s="447">
        <f t="shared" si="3"/>
        <v>4.5653521951575904E-2</v>
      </c>
      <c r="X8" s="437"/>
      <c r="Y8" s="451" t="s">
        <v>8</v>
      </c>
      <c r="Z8" s="565" t="s">
        <v>10</v>
      </c>
      <c r="AA8" s="451" t="s">
        <v>554</v>
      </c>
      <c r="AB8" s="451" t="s">
        <v>554</v>
      </c>
      <c r="AC8" s="451" t="s">
        <v>9</v>
      </c>
      <c r="AD8" s="451" t="s">
        <v>554</v>
      </c>
      <c r="AE8" s="967" t="s">
        <v>220</v>
      </c>
    </row>
    <row r="9" spans="1:41" x14ac:dyDescent="0.2">
      <c r="A9" s="9" t="s">
        <v>485</v>
      </c>
      <c r="B9" s="444">
        <f>Sales_US _1Q12</f>
        <v>195.5</v>
      </c>
      <c r="C9" s="444">
        <f>Sales_US _2Q12</f>
        <v>161.6</v>
      </c>
      <c r="D9" s="444">
        <f>Sales_US _3Q12</f>
        <v>122.79999999999998</v>
      </c>
      <c r="E9" s="444">
        <f>Sales_US _4Q12</f>
        <v>281.2</v>
      </c>
      <c r="F9" s="444">
        <f>Sales_US _1Q13</f>
        <v>197.5</v>
      </c>
      <c r="G9" s="444">
        <f>Sales_US _2Q13</f>
        <v>131.4</v>
      </c>
      <c r="H9" s="444">
        <f>Sales_US _3Q13</f>
        <v>121.8</v>
      </c>
      <c r="I9" s="444">
        <f>Sales_US _4Q13</f>
        <v>294.89999999999998</v>
      </c>
      <c r="J9" s="444">
        <f>Sales_US _1Q14</f>
        <v>211.7</v>
      </c>
      <c r="K9" s="444">
        <f>Sales_US _2Q14</f>
        <v>184</v>
      </c>
      <c r="L9" s="444">
        <f>Sales_US _3Q14</f>
        <v>137.69999999999999</v>
      </c>
      <c r="M9" s="444">
        <f>Sales_US _4Q14</f>
        <v>368.7</v>
      </c>
      <c r="N9" s="444"/>
      <c r="O9" s="444">
        <f>Sales_US F2011_</f>
        <v>713.30000000000007</v>
      </c>
      <c r="P9" s="444">
        <f>Sales_US F2012_</f>
        <v>761.09999999999991</v>
      </c>
      <c r="Q9" s="444">
        <f>Sales_US F2013_</f>
        <v>745.59999999999991</v>
      </c>
      <c r="R9" s="444">
        <f>Sales_US F2014_</f>
        <v>902.09999999999991</v>
      </c>
      <c r="S9" s="444">
        <f>Sales_US F2015_</f>
        <v>939.60000000000014</v>
      </c>
      <c r="T9" s="444">
        <f>Sales_US F2016_</f>
        <v>933.8</v>
      </c>
      <c r="U9" s="444">
        <f>Sales_US F2017_</f>
        <v>1074.1999999999998</v>
      </c>
      <c r="V9" s="444">
        <f>Sales_US F2018_</f>
        <v>0</v>
      </c>
      <c r="X9" s="437"/>
      <c r="Y9" s="2"/>
      <c r="Z9" s="2"/>
      <c r="AA9" s="2"/>
      <c r="AB9" s="2"/>
      <c r="AC9" s="2"/>
      <c r="AD9" s="2"/>
      <c r="AE9" s="870"/>
    </row>
    <row r="10" spans="1:41" x14ac:dyDescent="0.2">
      <c r="A10" s="431" t="s">
        <v>542</v>
      </c>
      <c r="B10" s="445"/>
      <c r="C10" s="445"/>
      <c r="D10" s="445"/>
      <c r="E10" s="445"/>
      <c r="F10" s="447">
        <f t="shared" ref="F10:M10" si="4">F9/B9-1</f>
        <v>1.0230179028132946E-2</v>
      </c>
      <c r="G10" s="447">
        <f t="shared" si="4"/>
        <v>-0.18688118811881183</v>
      </c>
      <c r="H10" s="447">
        <f t="shared" si="4"/>
        <v>-8.1433224755699252E-3</v>
      </c>
      <c r="I10" s="447">
        <f t="shared" si="4"/>
        <v>4.8719772403982953E-2</v>
      </c>
      <c r="J10" s="447">
        <f t="shared" si="4"/>
        <v>7.189873417721504E-2</v>
      </c>
      <c r="K10" s="447">
        <f t="shared" si="4"/>
        <v>0.40030441400304406</v>
      </c>
      <c r="L10" s="447">
        <f t="shared" si="4"/>
        <v>0.13054187192118216</v>
      </c>
      <c r="M10" s="447">
        <f t="shared" si="4"/>
        <v>0.25025432349949139</v>
      </c>
      <c r="N10" s="445"/>
      <c r="O10" s="446"/>
      <c r="P10" s="447">
        <f>P9/O9-1</f>
        <v>6.7012477218561406E-2</v>
      </c>
      <c r="Q10" s="447">
        <f>Q9/P9-1</f>
        <v>-2.036526080672707E-2</v>
      </c>
      <c r="R10" s="559">
        <f>IF(ISERROR(R9/Q9-1), "NM",R9/Q9-1)</f>
        <v>0.20989806866952798</v>
      </c>
      <c r="S10" s="559">
        <f>IF(ISERROR(S9/R9-1), "NM",S9/R9-1)</f>
        <v>4.1569670768207834E-2</v>
      </c>
      <c r="T10" s="559">
        <f>IF(ISERROR(T9/S9-1), "NM",T9/S9-1)</f>
        <v>-6.1728395061729779E-3</v>
      </c>
      <c r="U10" s="559">
        <f>IF(ISERROR(U9/T9-1), "NM",U9/T9-1)</f>
        <v>0.15035339473120568</v>
      </c>
      <c r="V10" s="559">
        <f>IF(ISERROR(V9/U9-1), "NM",V9/U9-1)</f>
        <v>-1</v>
      </c>
      <c r="X10" s="437"/>
      <c r="Y10" s="451" t="s">
        <v>543</v>
      </c>
      <c r="Z10" s="451" t="s">
        <v>219</v>
      </c>
      <c r="AA10" s="451" t="s">
        <v>15</v>
      </c>
      <c r="AB10" s="451" t="s">
        <v>15</v>
      </c>
      <c r="AC10" s="451" t="s">
        <v>617</v>
      </c>
      <c r="AD10" s="451" t="s">
        <v>554</v>
      </c>
      <c r="AE10" s="967" t="s">
        <v>19</v>
      </c>
    </row>
    <row r="11" spans="1:41" x14ac:dyDescent="0.2">
      <c r="A11" s="9" t="s">
        <v>7</v>
      </c>
      <c r="B11" s="444"/>
      <c r="C11" s="444"/>
      <c r="D11" s="444"/>
      <c r="E11" s="444"/>
      <c r="F11" s="444"/>
      <c r="G11" s="444"/>
      <c r="H11" s="444"/>
      <c r="I11" s="444"/>
      <c r="J11" s="444"/>
      <c r="K11" s="444"/>
      <c r="L11" s="444"/>
      <c r="M11" s="444"/>
      <c r="N11" s="444"/>
      <c r="O11" s="444"/>
      <c r="P11" s="444"/>
      <c r="Q11" s="444"/>
      <c r="R11" s="444"/>
      <c r="S11" s="444"/>
      <c r="T11" s="444"/>
      <c r="U11" s="444"/>
      <c r="V11" s="444"/>
      <c r="X11" s="437"/>
      <c r="Y11" s="451" t="s">
        <v>13</v>
      </c>
      <c r="Z11" s="451" t="s">
        <v>13</v>
      </c>
      <c r="AA11" s="451" t="s">
        <v>13</v>
      </c>
      <c r="AB11" s="451" t="s">
        <v>13</v>
      </c>
      <c r="AC11" s="451" t="s">
        <v>13</v>
      </c>
      <c r="AD11" s="451" t="s">
        <v>634</v>
      </c>
      <c r="AE11" s="967" t="s">
        <v>13</v>
      </c>
    </row>
    <row r="12" spans="1:41" x14ac:dyDescent="0.2">
      <c r="B12" s="444"/>
      <c r="C12" s="444"/>
      <c r="D12" s="444"/>
      <c r="E12" s="444"/>
      <c r="F12" s="444"/>
      <c r="G12" s="444"/>
      <c r="H12" s="444"/>
      <c r="I12" s="444"/>
      <c r="J12" s="444"/>
      <c r="K12" s="444"/>
      <c r="L12" s="444"/>
      <c r="M12" s="444"/>
      <c r="N12" s="444"/>
      <c r="O12" s="444"/>
      <c r="P12" s="444"/>
      <c r="Q12" s="444"/>
      <c r="R12" s="444"/>
      <c r="S12" s="444"/>
      <c r="T12" s="444"/>
      <c r="U12" s="444"/>
      <c r="V12" s="444"/>
      <c r="X12" s="437"/>
      <c r="Y12" s="451"/>
      <c r="Z12" s="451"/>
      <c r="AA12" s="451"/>
      <c r="AB12" s="451"/>
      <c r="AC12" s="451"/>
      <c r="AD12" s="451"/>
      <c r="AE12" s="967"/>
    </row>
    <row r="13" spans="1:41" x14ac:dyDescent="0.2">
      <c r="A13" s="237" t="s">
        <v>158</v>
      </c>
      <c r="B13" s="444"/>
      <c r="C13" s="444"/>
      <c r="D13" s="444"/>
      <c r="E13" s="444"/>
      <c r="F13" s="444"/>
      <c r="G13" s="444"/>
      <c r="H13" s="444"/>
      <c r="I13" s="444"/>
      <c r="J13" s="444"/>
      <c r="K13" s="444"/>
      <c r="L13" s="444"/>
      <c r="M13" s="444"/>
      <c r="N13" s="444"/>
      <c r="O13" s="444"/>
      <c r="P13" s="444"/>
      <c r="Q13" s="444"/>
      <c r="R13" s="444"/>
      <c r="S13" s="444"/>
      <c r="T13" s="444"/>
      <c r="U13" s="444"/>
      <c r="V13" s="447"/>
      <c r="X13" s="437"/>
      <c r="Y13" s="451"/>
      <c r="Z13" s="451"/>
      <c r="AA13" s="451"/>
      <c r="AB13" s="451"/>
      <c r="AC13" s="451"/>
      <c r="AD13" s="451"/>
      <c r="AE13" s="967"/>
    </row>
    <row r="14" spans="1:41" x14ac:dyDescent="0.2">
      <c r="A14" s="9" t="s">
        <v>4</v>
      </c>
      <c r="B14" s="444">
        <f>INPUT!CO205</f>
        <v>38.799999999999983</v>
      </c>
      <c r="C14" s="444">
        <f>INPUT!CQ205</f>
        <v>29.999999999999972</v>
      </c>
      <c r="D14" s="444">
        <f>INPUT!CS205</f>
        <v>27.5</v>
      </c>
      <c r="E14" s="444">
        <f>INPUT!CU205</f>
        <v>35</v>
      </c>
      <c r="F14" s="444">
        <f>INPUT!CW205</f>
        <v>31.300000000000011</v>
      </c>
      <c r="G14" s="444">
        <f>INPUT!CY205</f>
        <v>33.5</v>
      </c>
      <c r="H14" s="444">
        <f>INPUT!DA205</f>
        <v>31.300000000000011</v>
      </c>
      <c r="I14" s="444">
        <f>INPUT!DC205</f>
        <v>35.900000000000006</v>
      </c>
      <c r="J14" s="444">
        <f>INPUT!DE205</f>
        <v>36.499999999999972</v>
      </c>
      <c r="K14" s="444">
        <f>INPUT!DG205</f>
        <v>39.599999999999994</v>
      </c>
      <c r="L14" s="444">
        <f>INPUT!DI205</f>
        <v>33.5</v>
      </c>
      <c r="M14" s="444">
        <f>INPUT!DK205</f>
        <v>38.200000000000017</v>
      </c>
      <c r="N14" s="444"/>
      <c r="O14" s="444">
        <f>INPUT!FV205</f>
        <v>190.70000000000005</v>
      </c>
      <c r="P14" s="444">
        <f>INPUT!FX205</f>
        <v>131.29999999999984</v>
      </c>
      <c r="Q14" s="444">
        <f>INPUT!FZ205</f>
        <v>132</v>
      </c>
      <c r="R14" s="444">
        <f>INPUT!GB205</f>
        <v>147.79999999999995</v>
      </c>
      <c r="S14" s="444">
        <f>INPUT!GD205</f>
        <v>140.59999999999991</v>
      </c>
      <c r="T14" s="444">
        <f>INPUT!GF205</f>
        <v>128.60000000000002</v>
      </c>
      <c r="U14" s="444">
        <f>INPUT!GH205</f>
        <v>111.09999999999991</v>
      </c>
      <c r="V14" s="444">
        <f>INPUT!GJ205</f>
        <v>119.88134125421936</v>
      </c>
      <c r="X14" s="437"/>
      <c r="Y14" s="451"/>
      <c r="Z14" s="451"/>
      <c r="AA14" s="451"/>
      <c r="AB14" s="451"/>
      <c r="AC14" s="451"/>
      <c r="AD14" s="451"/>
      <c r="AE14" s="967"/>
    </row>
    <row r="15" spans="1:41" x14ac:dyDescent="0.2">
      <c r="A15" s="431" t="s">
        <v>542</v>
      </c>
      <c r="B15" s="445"/>
      <c r="C15" s="445"/>
      <c r="D15" s="445"/>
      <c r="E15" s="445"/>
      <c r="F15" s="447">
        <f t="shared" ref="F15:M15" si="5">F14/B14-1</f>
        <v>-0.19329896907216426</v>
      </c>
      <c r="G15" s="447">
        <f t="shared" si="5"/>
        <v>0.11666666666666781</v>
      </c>
      <c r="H15" s="447">
        <f t="shared" si="5"/>
        <v>0.13818181818181863</v>
      </c>
      <c r="I15" s="447">
        <f t="shared" si="5"/>
        <v>2.5714285714285801E-2</v>
      </c>
      <c r="J15" s="447">
        <f t="shared" si="5"/>
        <v>0.16613418530351298</v>
      </c>
      <c r="K15" s="447">
        <f t="shared" si="5"/>
        <v>0.18208955223880574</v>
      </c>
      <c r="L15" s="447">
        <f t="shared" si="5"/>
        <v>7.0287539936101817E-2</v>
      </c>
      <c r="M15" s="447">
        <f t="shared" si="5"/>
        <v>6.4066852367688387E-2</v>
      </c>
      <c r="N15" s="445"/>
      <c r="O15" s="446"/>
      <c r="P15" s="447">
        <f t="shared" ref="P15:V15" si="6">P14/O14-1</f>
        <v>-0.3114840062926072</v>
      </c>
      <c r="Q15" s="447">
        <f t="shared" si="6"/>
        <v>5.3313023610066512E-3</v>
      </c>
      <c r="R15" s="447">
        <f t="shared" si="6"/>
        <v>0.11969696969696941</v>
      </c>
      <c r="S15" s="447">
        <f t="shared" si="6"/>
        <v>-4.8714479025710689E-2</v>
      </c>
      <c r="T15" s="447">
        <f t="shared" si="6"/>
        <v>-8.5348506401137225E-2</v>
      </c>
      <c r="U15" s="447">
        <f t="shared" si="6"/>
        <v>-0.1360808709175747</v>
      </c>
      <c r="V15" s="447">
        <f t="shared" si="6"/>
        <v>7.9039975285503772E-2</v>
      </c>
      <c r="X15" s="437"/>
      <c r="Y15" s="451" t="s">
        <v>11</v>
      </c>
      <c r="Z15" s="451" t="s">
        <v>19</v>
      </c>
      <c r="AA15" s="451" t="s">
        <v>8</v>
      </c>
      <c r="AB15" s="451" t="s">
        <v>9</v>
      </c>
      <c r="AC15" s="451" t="s">
        <v>10</v>
      </c>
      <c r="AD15" s="451" t="s">
        <v>10</v>
      </c>
      <c r="AE15" s="967" t="s">
        <v>220</v>
      </c>
      <c r="AF15" s="9" t="s">
        <v>578</v>
      </c>
    </row>
    <row r="16" spans="1:41" x14ac:dyDescent="0.2">
      <c r="A16" s="9" t="s">
        <v>6</v>
      </c>
      <c r="B16" s="444">
        <f>INPUT!CO188</f>
        <v>170.7</v>
      </c>
      <c r="C16" s="444">
        <f>INPUT!CQ188</f>
        <v>173.2</v>
      </c>
      <c r="D16" s="444">
        <f>INPUT!CS188</f>
        <v>175.2</v>
      </c>
      <c r="E16" s="444">
        <f>INPUT!CU188</f>
        <v>175.5</v>
      </c>
      <c r="F16" s="444">
        <f>INPUT!CW188</f>
        <v>143.80000000000001</v>
      </c>
      <c r="G16" s="444">
        <f>INPUT!CY188</f>
        <v>137.6</v>
      </c>
      <c r="H16" s="444">
        <f>INPUT!DA188</f>
        <v>137.30000000000001</v>
      </c>
      <c r="I16" s="444">
        <f>INPUT!DC188</f>
        <v>137.9</v>
      </c>
      <c r="J16" s="444">
        <f>INPUT!DE188</f>
        <v>151.69999999999999</v>
      </c>
      <c r="K16" s="444">
        <f>INPUT!DG188</f>
        <v>154</v>
      </c>
      <c r="L16" s="444">
        <f>INPUT!DI188</f>
        <v>152.6</v>
      </c>
      <c r="M16" s="444">
        <f>INPUT!DK188</f>
        <v>148.9</v>
      </c>
      <c r="N16" s="444"/>
      <c r="O16" s="444">
        <f>INPUT!FV188</f>
        <v>687.59999999999991</v>
      </c>
      <c r="P16" s="450">
        <f>INPUT!FX188</f>
        <v>694.59999999999991</v>
      </c>
      <c r="Q16" s="444">
        <f>INPUT!FZ188</f>
        <v>556.6</v>
      </c>
      <c r="R16" s="444">
        <f>INPUT!GB188</f>
        <v>607.19999999999993</v>
      </c>
      <c r="S16" s="450">
        <f>INPUT!GD188</f>
        <v>576.19999999999993</v>
      </c>
      <c r="T16" s="450">
        <f>INPUT!GF188</f>
        <v>529.30000000000007</v>
      </c>
      <c r="U16" s="450">
        <f>INPUT!GH188</f>
        <v>513</v>
      </c>
      <c r="V16" s="450">
        <f>INPUT!GJ188</f>
        <v>562.61043399779874</v>
      </c>
      <c r="X16" s="437"/>
      <c r="Y16" s="2"/>
      <c r="Z16" s="2"/>
      <c r="AA16" s="2"/>
      <c r="AB16" s="2"/>
      <c r="AC16" s="2"/>
      <c r="AD16" s="2"/>
      <c r="AE16" s="870"/>
    </row>
    <row r="17" spans="1:45" x14ac:dyDescent="0.2">
      <c r="A17" s="431" t="s">
        <v>542</v>
      </c>
      <c r="B17" s="445"/>
      <c r="C17" s="445"/>
      <c r="D17" s="445"/>
      <c r="E17" s="445"/>
      <c r="F17" s="447">
        <f t="shared" ref="F17:M17" si="7">F16/B16-1</f>
        <v>-0.1575864089045107</v>
      </c>
      <c r="G17" s="447">
        <f t="shared" si="7"/>
        <v>-0.20554272517321015</v>
      </c>
      <c r="H17" s="447">
        <f t="shared" si="7"/>
        <v>-0.21632420091324189</v>
      </c>
      <c r="I17" s="447">
        <f t="shared" si="7"/>
        <v>-0.21424501424501419</v>
      </c>
      <c r="J17" s="447">
        <f t="shared" si="7"/>
        <v>5.4937413073713248E-2</v>
      </c>
      <c r="K17" s="447">
        <f t="shared" si="7"/>
        <v>0.1191860465116279</v>
      </c>
      <c r="L17" s="447">
        <f t="shared" si="7"/>
        <v>0.11143481427530944</v>
      </c>
      <c r="M17" s="447">
        <f t="shared" si="7"/>
        <v>7.9767947788252247E-2</v>
      </c>
      <c r="N17" s="445"/>
      <c r="O17" s="446"/>
      <c r="P17" s="447">
        <f>P16/O16-1</f>
        <v>1.0180337405468309E-2</v>
      </c>
      <c r="Q17" s="447">
        <f>Q16/P16-1</f>
        <v>-0.19867549668874163</v>
      </c>
      <c r="R17" s="447">
        <f>R16/Q16-1</f>
        <v>9.0909090909090828E-2</v>
      </c>
      <c r="S17" s="559">
        <f>IF(ISERROR(S16/R16-1), "NM",S16/R16-1)</f>
        <v>-5.1054018445322757E-2</v>
      </c>
      <c r="T17" s="559">
        <f>IF(ISERROR(T16/S16-1), "NM",T16/S16-1)</f>
        <v>-8.1395348837209114E-2</v>
      </c>
      <c r="U17" s="559">
        <f>IF(ISERROR(U16/T16-1), "NM",U16/T16-1)</f>
        <v>-3.0795390137918099E-2</v>
      </c>
      <c r="V17" s="559">
        <f>IF(ISERROR(V16/U16-1), "NM",V16/U16-1)</f>
        <v>9.6706499021050218E-2</v>
      </c>
      <c r="X17" s="437"/>
      <c r="Y17" s="451" t="s">
        <v>395</v>
      </c>
      <c r="Z17" s="565" t="s">
        <v>10</v>
      </c>
      <c r="AA17" s="451" t="s">
        <v>10</v>
      </c>
      <c r="AB17" s="451" t="s">
        <v>555</v>
      </c>
      <c r="AC17" s="451" t="s">
        <v>8</v>
      </c>
      <c r="AD17" s="451" t="s">
        <v>8</v>
      </c>
      <c r="AE17" s="967" t="s">
        <v>220</v>
      </c>
      <c r="AF17" s="9" t="s">
        <v>579</v>
      </c>
    </row>
    <row r="18" spans="1:45" x14ac:dyDescent="0.2">
      <c r="A18" s="9" t="s">
        <v>485</v>
      </c>
      <c r="B18" s="444">
        <f>INPUT!CO216</f>
        <v>30.8</v>
      </c>
      <c r="C18" s="444">
        <f>INPUT!CQ216</f>
        <v>24</v>
      </c>
      <c r="D18" s="444">
        <f>INPUT!CS216</f>
        <v>17</v>
      </c>
      <c r="E18" s="444">
        <f>INPUT!CU216</f>
        <v>22.3</v>
      </c>
      <c r="F18" s="444">
        <f>INPUT!CW216</f>
        <v>16.399999999999999</v>
      </c>
      <c r="G18" s="444">
        <f>INPUT!CY216</f>
        <v>21.700000000000003</v>
      </c>
      <c r="H18" s="444">
        <f>INPUT!DA216</f>
        <v>17.299999999999997</v>
      </c>
      <c r="I18" s="444">
        <f>INPUT!DC216</f>
        <v>20.399999999999999</v>
      </c>
      <c r="J18" s="444">
        <f>INPUT!DE216</f>
        <v>17.3</v>
      </c>
      <c r="K18" s="444">
        <f>INPUT!DG216</f>
        <v>21.1</v>
      </c>
      <c r="L18" s="444">
        <f>INPUT!DI216</f>
        <v>21.4</v>
      </c>
      <c r="M18" s="444">
        <f>INPUT!DK216</f>
        <v>25.3</v>
      </c>
      <c r="N18" s="444"/>
      <c r="O18" s="444">
        <f>INPUT!FV216</f>
        <v>90.199999999999989</v>
      </c>
      <c r="P18" s="450">
        <f>INPUT!FX216</f>
        <v>94.1</v>
      </c>
      <c r="Q18" s="444">
        <f>INPUT!FZ216</f>
        <v>75.800000000000011</v>
      </c>
      <c r="R18" s="444">
        <f>INPUT!GB216</f>
        <v>85.100000000000009</v>
      </c>
      <c r="S18" s="450">
        <f>INPUT!GD216</f>
        <v>86</v>
      </c>
      <c r="T18" s="450">
        <f>INPUT!GF216</f>
        <v>84.5</v>
      </c>
      <c r="U18" s="450">
        <f>INPUT!GH216</f>
        <v>85.9</v>
      </c>
      <c r="V18" s="450">
        <f>INPUT!GJ216</f>
        <v>0</v>
      </c>
      <c r="X18" s="437"/>
      <c r="Y18" s="2"/>
      <c r="Z18" s="2"/>
      <c r="AA18" s="2"/>
      <c r="AB18" s="2"/>
      <c r="AC18" s="2"/>
      <c r="AD18" s="2"/>
      <c r="AE18" s="870"/>
    </row>
    <row r="19" spans="1:45" x14ac:dyDescent="0.2">
      <c r="A19" s="431" t="s">
        <v>542</v>
      </c>
      <c r="B19" s="445"/>
      <c r="C19" s="445"/>
      <c r="D19" s="445"/>
      <c r="E19" s="445"/>
      <c r="F19" s="447">
        <f t="shared" ref="F19:M19" si="8">F18/B18-1</f>
        <v>-0.46753246753246758</v>
      </c>
      <c r="G19" s="447">
        <f t="shared" si="8"/>
        <v>-9.5833333333333215E-2</v>
      </c>
      <c r="H19" s="447">
        <f t="shared" si="8"/>
        <v>1.7647058823529349E-2</v>
      </c>
      <c r="I19" s="447">
        <f t="shared" si="8"/>
        <v>-8.5201793721973229E-2</v>
      </c>
      <c r="J19" s="447">
        <f t="shared" si="8"/>
        <v>5.4878048780487854E-2</v>
      </c>
      <c r="K19" s="447">
        <f t="shared" si="8"/>
        <v>-2.7649769585253559E-2</v>
      </c>
      <c r="L19" s="447">
        <f t="shared" si="8"/>
        <v>0.23699421965317935</v>
      </c>
      <c r="M19" s="447">
        <f t="shared" si="8"/>
        <v>0.24019607843137258</v>
      </c>
      <c r="N19" s="445"/>
      <c r="O19" s="446"/>
      <c r="P19" s="447">
        <f>P18/O18-1</f>
        <v>4.3237250554323703E-2</v>
      </c>
      <c r="Q19" s="447">
        <f>Q18/P18-1</f>
        <v>-0.19447396386822513</v>
      </c>
      <c r="R19" s="559">
        <f>IF(ISERROR(R18/Q18-1), "NM",R18/Q18-1)</f>
        <v>0.12269129287598934</v>
      </c>
      <c r="S19" s="559">
        <f>IF(ISERROR(S18/R18-1), "NM",S18/R18-1)</f>
        <v>1.0575793184488758E-2</v>
      </c>
      <c r="T19" s="559">
        <f>IF(ISERROR(T18/S18-1), "NM",T18/S18-1)</f>
        <v>-1.744186046511631E-2</v>
      </c>
      <c r="U19" s="559" t="str">
        <f>IF(ISERROR(U18/#REF!-1), "NM",U18/#REF!-1)</f>
        <v>NM</v>
      </c>
      <c r="V19" s="559" t="str">
        <f>IF(ISERROR(V18/#REF!-1), "NM",V18/#REF!-1)</f>
        <v>NM</v>
      </c>
      <c r="X19" s="437"/>
      <c r="Y19" s="451" t="s">
        <v>396</v>
      </c>
      <c r="Z19" s="565" t="s">
        <v>220</v>
      </c>
      <c r="AA19" s="451" t="s">
        <v>555</v>
      </c>
      <c r="AB19" s="451" t="s">
        <v>13</v>
      </c>
      <c r="AC19" s="451" t="s">
        <v>558</v>
      </c>
      <c r="AD19" s="451" t="s">
        <v>543</v>
      </c>
      <c r="AE19" s="967" t="s">
        <v>556</v>
      </c>
    </row>
    <row r="20" spans="1:45" x14ac:dyDescent="0.2">
      <c r="A20" s="9" t="s">
        <v>7</v>
      </c>
      <c r="B20" s="444"/>
      <c r="C20" s="444"/>
      <c r="D20" s="444"/>
      <c r="E20" s="444"/>
      <c r="F20" s="444"/>
      <c r="G20" s="444"/>
      <c r="H20" s="444"/>
      <c r="I20" s="444"/>
      <c r="J20" s="444"/>
      <c r="K20" s="444"/>
      <c r="L20" s="444"/>
      <c r="M20" s="444"/>
      <c r="N20" s="444"/>
      <c r="O20" s="444"/>
      <c r="P20" s="450"/>
      <c r="Q20" s="444"/>
      <c r="R20" s="444"/>
      <c r="S20" s="450"/>
      <c r="T20" s="444"/>
      <c r="U20" s="444"/>
      <c r="V20" s="444"/>
      <c r="X20" s="437"/>
      <c r="Y20" s="451" t="s">
        <v>14</v>
      </c>
      <c r="Z20" s="451" t="s">
        <v>221</v>
      </c>
      <c r="AA20" s="451" t="s">
        <v>221</v>
      </c>
      <c r="AB20" s="451" t="s">
        <v>221</v>
      </c>
      <c r="AC20" s="451" t="s">
        <v>221</v>
      </c>
      <c r="AD20" s="451" t="s">
        <v>634</v>
      </c>
      <c r="AE20" s="967" t="s">
        <v>12</v>
      </c>
    </row>
    <row r="21" spans="1:45" x14ac:dyDescent="0.2">
      <c r="B21" s="444"/>
      <c r="C21" s="444"/>
      <c r="D21" s="444"/>
      <c r="E21" s="444"/>
      <c r="F21" s="444"/>
      <c r="G21" s="444"/>
      <c r="H21" s="444"/>
      <c r="I21" s="444"/>
      <c r="J21" s="444"/>
      <c r="K21" s="444"/>
      <c r="L21" s="444"/>
      <c r="M21" s="444"/>
      <c r="N21" s="444"/>
      <c r="O21" s="444"/>
      <c r="P21" s="450"/>
      <c r="Q21" s="444"/>
      <c r="R21" s="444"/>
      <c r="S21" s="450"/>
      <c r="T21" s="444"/>
      <c r="U21" s="444"/>
      <c r="V21" s="444"/>
      <c r="X21" s="437"/>
      <c r="Y21" s="451"/>
      <c r="Z21" s="451"/>
      <c r="AA21" s="451"/>
      <c r="AB21" s="451"/>
      <c r="AC21" s="451"/>
      <c r="AD21" s="451"/>
      <c r="AE21" s="967"/>
    </row>
    <row r="22" spans="1:45" x14ac:dyDescent="0.2">
      <c r="A22" s="237" t="s">
        <v>3</v>
      </c>
      <c r="B22" s="444"/>
      <c r="C22" s="444"/>
      <c r="D22" s="444"/>
      <c r="E22" s="444"/>
      <c r="F22" s="444"/>
      <c r="G22" s="444"/>
      <c r="H22" s="444"/>
      <c r="I22" s="444"/>
      <c r="J22" s="444"/>
      <c r="K22" s="444"/>
      <c r="L22" s="444"/>
      <c r="M22" s="444"/>
      <c r="N22" s="444"/>
      <c r="O22" s="444"/>
      <c r="P22" s="450"/>
      <c r="Q22" s="444"/>
      <c r="R22" s="444"/>
      <c r="S22" s="450"/>
      <c r="T22" s="444"/>
      <c r="U22" s="444"/>
      <c r="V22" s="444"/>
      <c r="X22" s="437"/>
      <c r="Y22" s="451"/>
      <c r="Z22" s="451"/>
      <c r="AA22" s="451"/>
      <c r="AB22" s="451"/>
      <c r="AC22" s="451"/>
      <c r="AD22" s="451"/>
      <c r="AE22" s="967"/>
      <c r="AL22" s="1030"/>
      <c r="AM22" s="1030"/>
      <c r="AN22" s="1030"/>
      <c r="AO22" s="1030"/>
      <c r="AP22" s="1030"/>
      <c r="AQ22" s="1030"/>
      <c r="AR22" s="1030"/>
      <c r="AS22" s="1030"/>
    </row>
    <row r="23" spans="1:45" x14ac:dyDescent="0.2">
      <c r="A23" s="9" t="s">
        <v>4</v>
      </c>
      <c r="B23" s="444">
        <f>INPUT!CO239</f>
        <v>69.699999999999989</v>
      </c>
      <c r="C23" s="444">
        <f>INPUT!CQ239</f>
        <v>67.599999999999966</v>
      </c>
      <c r="D23" s="444">
        <f>INPUT!CS239</f>
        <v>68.699999999999932</v>
      </c>
      <c r="E23" s="444">
        <f>INPUT!CU239</f>
        <v>68.300000000000011</v>
      </c>
      <c r="F23" s="444">
        <f>INPUT!CW239</f>
        <v>75.100000000000023</v>
      </c>
      <c r="G23" s="444">
        <f>INPUT!CY239</f>
        <v>70.799999999999955</v>
      </c>
      <c r="H23" s="444">
        <f>INPUT!DA239</f>
        <v>68.600000000000023</v>
      </c>
      <c r="I23" s="444">
        <f>INPUT!DC239</f>
        <v>49</v>
      </c>
      <c r="J23" s="444">
        <f>INPUT!DE239</f>
        <v>79.099999999999966</v>
      </c>
      <c r="K23" s="444">
        <f>INPUT!DG239</f>
        <v>74.899999999999977</v>
      </c>
      <c r="L23" s="444">
        <f>INPUT!DI239</f>
        <v>71</v>
      </c>
      <c r="M23" s="444">
        <f>INPUT!DK239</f>
        <v>74</v>
      </c>
      <c r="N23" s="444"/>
      <c r="O23" s="444">
        <f>INPUT!FV239</f>
        <v>270.09999999999991</v>
      </c>
      <c r="P23" s="450">
        <f>INPUT!FX239</f>
        <v>273.39999999999986</v>
      </c>
      <c r="Q23" s="444">
        <f>INPUT!FZ239</f>
        <v>263.5</v>
      </c>
      <c r="R23" s="444">
        <f>INPUT!GB239</f>
        <v>298.99999999999977</v>
      </c>
      <c r="S23" s="450">
        <f>INPUT!GD239</f>
        <v>309.09999999999991</v>
      </c>
      <c r="T23" s="450">
        <f>INPUT!GF239</f>
        <v>314.20000000000005</v>
      </c>
      <c r="U23" s="450">
        <f>INPUT!GH239</f>
        <v>325.00000000000011</v>
      </c>
      <c r="V23" s="450">
        <f>INPUT!GJ239</f>
        <v>316.11227612825701</v>
      </c>
      <c r="X23" s="437"/>
      <c r="Y23" s="451"/>
      <c r="Z23" s="451"/>
      <c r="AA23" s="451"/>
      <c r="AB23" s="451"/>
      <c r="AC23" s="451"/>
      <c r="AD23" s="451"/>
      <c r="AE23" s="967"/>
    </row>
    <row r="24" spans="1:45" x14ac:dyDescent="0.2">
      <c r="A24" s="431" t="s">
        <v>542</v>
      </c>
      <c r="B24" s="445"/>
      <c r="C24" s="445"/>
      <c r="D24" s="445"/>
      <c r="E24" s="445"/>
      <c r="F24" s="447">
        <f t="shared" ref="F24:M24" si="9">F23/B23-1</f>
        <v>7.7474892395983375E-2</v>
      </c>
      <c r="G24" s="447">
        <f t="shared" si="9"/>
        <v>4.7337278106508673E-2</v>
      </c>
      <c r="H24" s="447">
        <f t="shared" si="9"/>
        <v>-1.4556040756901201E-3</v>
      </c>
      <c r="I24" s="447">
        <f t="shared" si="9"/>
        <v>-0.2825768667642754</v>
      </c>
      <c r="J24" s="447">
        <f t="shared" si="9"/>
        <v>5.3262316910784868E-2</v>
      </c>
      <c r="K24" s="447">
        <f t="shared" si="9"/>
        <v>5.7909604519774449E-2</v>
      </c>
      <c r="L24" s="447">
        <f t="shared" si="9"/>
        <v>3.4985422740524408E-2</v>
      </c>
      <c r="M24" s="447">
        <f t="shared" si="9"/>
        <v>0.51020408163265296</v>
      </c>
      <c r="N24" s="445"/>
      <c r="O24" s="446"/>
      <c r="P24" s="447">
        <f t="shared" ref="P24:V24" si="10">P23/O23-1</f>
        <v>1.2217697149203843E-2</v>
      </c>
      <c r="Q24" s="447">
        <f t="shared" si="10"/>
        <v>-3.6210680321872246E-2</v>
      </c>
      <c r="R24" s="447">
        <f t="shared" si="10"/>
        <v>0.13472485768500864</v>
      </c>
      <c r="S24" s="447">
        <f t="shared" si="10"/>
        <v>3.3779264214047311E-2</v>
      </c>
      <c r="T24" s="447">
        <f t="shared" si="10"/>
        <v>1.649951472015565E-2</v>
      </c>
      <c r="U24" s="447">
        <f t="shared" si="10"/>
        <v>3.437301082113331E-2</v>
      </c>
      <c r="V24" s="447">
        <f t="shared" si="10"/>
        <v>-2.7346842682286487E-2</v>
      </c>
      <c r="X24" s="437"/>
      <c r="Y24" s="451" t="s">
        <v>8</v>
      </c>
      <c r="Z24" s="451" t="s">
        <v>8</v>
      </c>
      <c r="AA24" s="451" t="s">
        <v>15</v>
      </c>
      <c r="AB24" s="451" t="s">
        <v>15</v>
      </c>
      <c r="AC24" s="451" t="s">
        <v>9</v>
      </c>
      <c r="AD24" s="451" t="s">
        <v>15</v>
      </c>
      <c r="AE24" s="967" t="s">
        <v>554</v>
      </c>
    </row>
    <row r="25" spans="1:45" x14ac:dyDescent="0.2">
      <c r="A25" s="9" t="s">
        <v>6</v>
      </c>
      <c r="B25" s="444">
        <f>INPUT!CO221</f>
        <v>296.3</v>
      </c>
      <c r="C25" s="444">
        <f>INPUT!CQ221</f>
        <v>296.89999999999998</v>
      </c>
      <c r="D25" s="444">
        <f>INPUT!CS221</f>
        <v>299.39999999999998</v>
      </c>
      <c r="E25" s="444">
        <f>INPUT!CU221</f>
        <v>301.89999999999998</v>
      </c>
      <c r="F25" s="444">
        <f>INPUT!CW221</f>
        <v>307.10000000000002</v>
      </c>
      <c r="G25" s="444">
        <f>INPUT!CY221</f>
        <v>307.89999999999998</v>
      </c>
      <c r="H25" s="444">
        <f>INPUT!DA221</f>
        <v>309.10000000000002</v>
      </c>
      <c r="I25" s="444">
        <f>INPUT!DC221</f>
        <v>308.10000000000002</v>
      </c>
      <c r="J25" s="444">
        <f>INPUT!DE221</f>
        <v>316.39999999999998</v>
      </c>
      <c r="K25" s="444">
        <f>INPUT!DG221</f>
        <v>316.8</v>
      </c>
      <c r="L25" s="444">
        <f>INPUT!DI221</f>
        <v>319.39999999999998</v>
      </c>
      <c r="M25" s="444">
        <f>INPUT!DK221</f>
        <v>321.10000000000002</v>
      </c>
      <c r="N25" s="444"/>
      <c r="O25" s="444">
        <f>INPUT!FV221</f>
        <v>1135.3</v>
      </c>
      <c r="P25" s="450">
        <f>INPUT!FX221</f>
        <v>1194.5</v>
      </c>
      <c r="Q25" s="444">
        <f>INPUT!FZ221</f>
        <v>1232.2</v>
      </c>
      <c r="R25" s="444">
        <f>INPUT!GB221</f>
        <v>1273.7</v>
      </c>
      <c r="S25" s="450">
        <f>INPUT!GD221</f>
        <v>1338.6</v>
      </c>
      <c r="T25" s="450">
        <f>INPUT!GF221</f>
        <v>1417.1</v>
      </c>
      <c r="U25" s="450">
        <f>INPUT!GH221</f>
        <v>1511.4</v>
      </c>
      <c r="V25" s="450">
        <f>INPUT!GJ221</f>
        <v>1606.3637451360003</v>
      </c>
      <c r="X25" s="437"/>
      <c r="Y25" s="2"/>
      <c r="Z25" s="2"/>
      <c r="AA25" s="2"/>
      <c r="AB25" s="2"/>
      <c r="AC25" s="2"/>
      <c r="AD25" s="2"/>
      <c r="AE25" s="870"/>
    </row>
    <row r="26" spans="1:45" x14ac:dyDescent="0.2">
      <c r="A26" s="431" t="s">
        <v>542</v>
      </c>
      <c r="B26" s="445"/>
      <c r="C26" s="445"/>
      <c r="D26" s="445"/>
      <c r="E26" s="445"/>
      <c r="F26" s="447">
        <f t="shared" ref="F26:M26" si="11">F25/B25-1</f>
        <v>3.6449544380695365E-2</v>
      </c>
      <c r="G26" s="447">
        <f t="shared" si="11"/>
        <v>3.7049511620074194E-2</v>
      </c>
      <c r="H26" s="447">
        <f t="shared" si="11"/>
        <v>3.2398129592518421E-2</v>
      </c>
      <c r="I26" s="447">
        <f t="shared" si="11"/>
        <v>2.0536601523683418E-2</v>
      </c>
      <c r="J26" s="447">
        <f t="shared" si="11"/>
        <v>3.0283295343536132E-2</v>
      </c>
      <c r="K26" s="447">
        <f t="shared" si="11"/>
        <v>2.8905488795063494E-2</v>
      </c>
      <c r="L26" s="447">
        <f t="shared" si="11"/>
        <v>3.3322549336784135E-2</v>
      </c>
      <c r="M26" s="447">
        <f t="shared" si="11"/>
        <v>4.2194092827004148E-2</v>
      </c>
      <c r="N26" s="445"/>
      <c r="O26" s="446"/>
      <c r="P26" s="447">
        <f t="shared" ref="P26:V26" si="12">P25/O25-1</f>
        <v>5.2144807539857396E-2</v>
      </c>
      <c r="Q26" s="447">
        <f t="shared" si="12"/>
        <v>3.1561322729175334E-2</v>
      </c>
      <c r="R26" s="447">
        <f t="shared" si="12"/>
        <v>3.3679597467943578E-2</v>
      </c>
      <c r="S26" s="447">
        <f t="shared" si="12"/>
        <v>5.0953913794457018E-2</v>
      </c>
      <c r="T26" s="447">
        <f t="shared" si="12"/>
        <v>5.8643358733004636E-2</v>
      </c>
      <c r="U26" s="447">
        <f t="shared" si="12"/>
        <v>6.6544351139651514E-2</v>
      </c>
      <c r="V26" s="447">
        <f t="shared" si="12"/>
        <v>6.2831642937673848E-2</v>
      </c>
      <c r="X26" s="437"/>
      <c r="Y26" s="451" t="s">
        <v>9</v>
      </c>
      <c r="Z26" s="565" t="s">
        <v>15</v>
      </c>
      <c r="AA26" s="451" t="s">
        <v>15</v>
      </c>
      <c r="AB26" s="451" t="s">
        <v>9</v>
      </c>
      <c r="AC26" s="451" t="s">
        <v>557</v>
      </c>
      <c r="AD26" s="451" t="s">
        <v>558</v>
      </c>
      <c r="AE26" s="967" t="s">
        <v>557</v>
      </c>
    </row>
    <row r="27" spans="1:45" x14ac:dyDescent="0.2">
      <c r="A27" s="9" t="s">
        <v>485</v>
      </c>
      <c r="B27" s="444">
        <f>INPUT!CO247</f>
        <v>71.099999999999994</v>
      </c>
      <c r="C27" s="444">
        <f>INPUT!CQ247</f>
        <v>85.8</v>
      </c>
      <c r="D27" s="444">
        <f>INPUT!CS247</f>
        <v>78.400000000000006</v>
      </c>
      <c r="E27" s="444">
        <f>INPUT!CU247</f>
        <v>126.6</v>
      </c>
      <c r="F27" s="444">
        <f>INPUT!CW247</f>
        <v>67.599999999999994</v>
      </c>
      <c r="G27" s="444">
        <f>INPUT!CY247</f>
        <v>84.1</v>
      </c>
      <c r="H27" s="444">
        <f>INPUT!DA247</f>
        <v>76.099999999999994</v>
      </c>
      <c r="I27" s="444">
        <f>INPUT!DC247</f>
        <v>139.80000000000001</v>
      </c>
      <c r="J27" s="444">
        <f>INPUT!DE247</f>
        <v>72</v>
      </c>
      <c r="K27" s="444">
        <f>INPUT!DG247</f>
        <v>90.6</v>
      </c>
      <c r="L27" s="444">
        <f>INPUT!DI247</f>
        <v>85.8</v>
      </c>
      <c r="M27" s="444">
        <f>INPUT!DK247</f>
        <v>161.69999999999999</v>
      </c>
      <c r="N27" s="444"/>
      <c r="O27" s="444">
        <f>INPUT!FV247</f>
        <v>365.9</v>
      </c>
      <c r="P27" s="450">
        <f>INPUT!FX247</f>
        <v>361.9</v>
      </c>
      <c r="Q27" s="444">
        <f>INPUT!FZ247</f>
        <v>367.6</v>
      </c>
      <c r="R27" s="444">
        <f>INPUT!GB247</f>
        <v>410.09999999999997</v>
      </c>
      <c r="S27" s="444">
        <f>INPUT!GD247</f>
        <v>438.5</v>
      </c>
      <c r="T27" s="444">
        <f>INPUT!GF247</f>
        <v>483.6</v>
      </c>
      <c r="U27" s="444">
        <f>INPUT!GH247</f>
        <v>519.70000000000005</v>
      </c>
      <c r="V27" s="444">
        <f>INPUT!GJ247</f>
        <v>0</v>
      </c>
      <c r="X27" s="437"/>
      <c r="Y27" s="2"/>
      <c r="Z27" s="2"/>
      <c r="AA27" s="2"/>
      <c r="AB27" s="2"/>
      <c r="AC27" s="2"/>
      <c r="AD27" s="2"/>
      <c r="AE27" s="870"/>
    </row>
    <row r="28" spans="1:45" x14ac:dyDescent="0.2">
      <c r="A28" s="431" t="s">
        <v>542</v>
      </c>
      <c r="B28" s="444"/>
      <c r="C28" s="444"/>
      <c r="D28" s="444"/>
      <c r="E28" s="444"/>
      <c r="F28" s="447">
        <f t="shared" ref="F28:M28" si="13">F27/B27-1</f>
        <v>-4.9226441631504914E-2</v>
      </c>
      <c r="G28" s="447">
        <f t="shared" si="13"/>
        <v>-1.9813519813519864E-2</v>
      </c>
      <c r="H28" s="447">
        <f t="shared" si="13"/>
        <v>-2.9336734693877653E-2</v>
      </c>
      <c r="I28" s="447">
        <f t="shared" si="13"/>
        <v>0.10426540284360208</v>
      </c>
      <c r="J28" s="447">
        <f t="shared" si="13"/>
        <v>6.5088757396449815E-2</v>
      </c>
      <c r="K28" s="447">
        <f t="shared" si="13"/>
        <v>7.7288941736028516E-2</v>
      </c>
      <c r="L28" s="447">
        <f t="shared" si="13"/>
        <v>0.12746386333771365</v>
      </c>
      <c r="M28" s="447">
        <f t="shared" si="13"/>
        <v>0.15665236051502118</v>
      </c>
      <c r="N28" s="444"/>
      <c r="O28" s="444"/>
      <c r="P28" s="450"/>
      <c r="Q28" s="444"/>
      <c r="R28" s="447">
        <f>R27/Q27-1</f>
        <v>0.11561479869423263</v>
      </c>
      <c r="S28" s="447">
        <f>S27/R27-1</f>
        <v>6.9251402097049608E-2</v>
      </c>
      <c r="T28" s="447">
        <f>T27/S27-1</f>
        <v>0.10285062713797033</v>
      </c>
      <c r="U28" s="447"/>
      <c r="V28" s="447"/>
      <c r="X28" s="437"/>
      <c r="Y28" s="451" t="s">
        <v>543</v>
      </c>
      <c r="Z28" s="451" t="s">
        <v>220</v>
      </c>
      <c r="AA28" s="451" t="s">
        <v>19</v>
      </c>
      <c r="AB28" s="451" t="s">
        <v>558</v>
      </c>
      <c r="AC28" s="451" t="s">
        <v>617</v>
      </c>
      <c r="AD28" s="451" t="s">
        <v>635</v>
      </c>
      <c r="AE28" s="967" t="s">
        <v>558</v>
      </c>
    </row>
    <row r="29" spans="1:45" x14ac:dyDescent="0.2">
      <c r="A29" s="9" t="s">
        <v>7</v>
      </c>
      <c r="B29" s="444"/>
      <c r="C29" s="444"/>
      <c r="D29" s="444"/>
      <c r="E29" s="444"/>
      <c r="F29" s="444"/>
      <c r="G29" s="444"/>
      <c r="H29" s="444"/>
      <c r="I29" s="444"/>
      <c r="J29" s="444"/>
      <c r="K29" s="444"/>
      <c r="L29" s="444"/>
      <c r="M29" s="444"/>
      <c r="N29" s="444"/>
      <c r="O29" s="444"/>
      <c r="P29" s="450"/>
      <c r="Q29" s="444"/>
      <c r="R29" s="444"/>
      <c r="S29" s="444"/>
      <c r="T29" s="444"/>
      <c r="U29" s="444"/>
      <c r="V29" s="444"/>
      <c r="X29" s="437"/>
      <c r="Y29" s="451" t="s">
        <v>14</v>
      </c>
      <c r="Z29" s="451" t="s">
        <v>14</v>
      </c>
      <c r="AA29" s="451" t="s">
        <v>14</v>
      </c>
      <c r="AB29" s="451" t="s">
        <v>14</v>
      </c>
      <c r="AC29" s="451" t="s">
        <v>14</v>
      </c>
      <c r="AD29" s="451" t="s">
        <v>14</v>
      </c>
      <c r="AE29" s="967" t="s">
        <v>14</v>
      </c>
    </row>
    <row r="30" spans="1:45" x14ac:dyDescent="0.2">
      <c r="B30" s="444"/>
      <c r="C30" s="444"/>
      <c r="D30" s="444"/>
      <c r="E30" s="444"/>
      <c r="F30" s="444"/>
      <c r="G30" s="444"/>
      <c r="H30" s="444"/>
      <c r="I30" s="444"/>
      <c r="J30" s="444"/>
      <c r="K30" s="444"/>
      <c r="L30" s="444"/>
      <c r="M30" s="444"/>
      <c r="N30" s="444"/>
      <c r="O30" s="444"/>
      <c r="P30" s="450"/>
      <c r="Q30" s="444"/>
      <c r="R30" s="444"/>
      <c r="S30" s="444"/>
      <c r="T30" s="444"/>
      <c r="U30" s="444"/>
      <c r="V30" s="444"/>
      <c r="X30" s="437"/>
      <c r="Y30" s="451"/>
      <c r="Z30" s="451"/>
      <c r="AA30" s="451"/>
      <c r="AB30" s="451"/>
      <c r="AC30" s="451"/>
      <c r="AD30" s="451"/>
      <c r="AE30" s="967"/>
    </row>
    <row r="31" spans="1:45" x14ac:dyDescent="0.2">
      <c r="A31" s="237" t="s">
        <v>207</v>
      </c>
      <c r="B31" s="444"/>
      <c r="C31" s="444"/>
      <c r="D31" s="444"/>
      <c r="E31" s="444"/>
      <c r="F31" s="444"/>
      <c r="G31" s="444"/>
      <c r="H31" s="444"/>
      <c r="I31" s="444"/>
      <c r="J31" s="444"/>
      <c r="K31" s="444"/>
      <c r="L31" s="444"/>
      <c r="M31" s="444"/>
      <c r="N31" s="444"/>
      <c r="O31" s="444"/>
      <c r="P31" s="450"/>
      <c r="Q31" s="444"/>
      <c r="R31" s="444"/>
      <c r="S31" s="444"/>
      <c r="T31" s="444"/>
      <c r="U31" s="444"/>
      <c r="V31" s="444"/>
      <c r="X31" s="437"/>
      <c r="Y31" s="451"/>
      <c r="Z31" s="451"/>
      <c r="AA31" s="451"/>
      <c r="AB31" s="451"/>
      <c r="AC31" s="451"/>
      <c r="AD31" s="451"/>
      <c r="AE31" s="967"/>
    </row>
    <row r="32" spans="1:45" x14ac:dyDescent="0.2">
      <c r="A32" s="9" t="s">
        <v>6</v>
      </c>
      <c r="B32" s="444"/>
      <c r="C32" s="444"/>
      <c r="D32" s="444"/>
      <c r="E32" s="444"/>
      <c r="F32" s="444"/>
      <c r="G32" s="444"/>
      <c r="H32" s="444"/>
      <c r="I32" s="444"/>
      <c r="J32" s="444"/>
      <c r="K32" s="444"/>
      <c r="L32" s="444"/>
      <c r="M32" s="444"/>
      <c r="N32" s="444"/>
      <c r="O32" s="444"/>
      <c r="P32" s="444">
        <f>INPUT!FX252</f>
        <v>1370.5</v>
      </c>
      <c r="Q32" s="444">
        <f>INPUT!FZ252</f>
        <v>1318.8000000000002</v>
      </c>
      <c r="R32" s="444">
        <f>INPUT!GB252</f>
        <v>1256.5999999999999</v>
      </c>
      <c r="S32" s="444">
        <f>INPUT!GD252</f>
        <v>1207.5999999999999</v>
      </c>
      <c r="T32" s="444">
        <f>INPUT!GF252</f>
        <v>1170.4000000000001</v>
      </c>
      <c r="U32" s="444">
        <f>INPUT!GH252</f>
        <v>1129.1999999999998</v>
      </c>
      <c r="V32" s="444">
        <f>INPUT!GJ252</f>
        <v>1092.5814531709439</v>
      </c>
      <c r="X32" s="437"/>
      <c r="Y32" s="451"/>
      <c r="Z32" s="451"/>
      <c r="AA32" s="451"/>
      <c r="AB32" s="451"/>
      <c r="AC32" s="451"/>
      <c r="AD32" s="451"/>
      <c r="AE32" s="967"/>
    </row>
    <row r="33" spans="1:32" x14ac:dyDescent="0.2">
      <c r="A33" s="431" t="s">
        <v>542</v>
      </c>
      <c r="B33" s="444"/>
      <c r="C33" s="444"/>
      <c r="D33" s="444"/>
      <c r="E33" s="444"/>
      <c r="F33" s="444"/>
      <c r="G33" s="444"/>
      <c r="H33" s="444"/>
      <c r="I33" s="444"/>
      <c r="J33" s="444"/>
      <c r="K33" s="444"/>
      <c r="L33" s="444"/>
      <c r="M33" s="444"/>
      <c r="N33" s="444"/>
      <c r="O33" s="444"/>
      <c r="P33" s="450"/>
      <c r="Q33" s="447">
        <f t="shared" ref="Q33:V33" si="14">Q32/P32-1</f>
        <v>-3.7723458591754744E-2</v>
      </c>
      <c r="R33" s="447">
        <f t="shared" si="14"/>
        <v>-4.7164088565362694E-2</v>
      </c>
      <c r="S33" s="447">
        <f t="shared" si="14"/>
        <v>-3.8994111093426764E-2</v>
      </c>
      <c r="T33" s="447">
        <f t="shared" si="14"/>
        <v>-3.0804902285524904E-2</v>
      </c>
      <c r="U33" s="447">
        <f t="shared" si="14"/>
        <v>-3.5201640464798567E-2</v>
      </c>
      <c r="V33" s="447">
        <f t="shared" si="14"/>
        <v>-3.2428752062571675E-2</v>
      </c>
      <c r="X33" s="437"/>
      <c r="Y33" s="451"/>
      <c r="Z33" s="451" t="s">
        <v>314</v>
      </c>
      <c r="AA33" s="451" t="s">
        <v>314</v>
      </c>
      <c r="AB33" s="451" t="s">
        <v>605</v>
      </c>
      <c r="AC33" s="451" t="s">
        <v>618</v>
      </c>
      <c r="AD33" s="451" t="s">
        <v>618</v>
      </c>
      <c r="AE33" s="967" t="s">
        <v>314</v>
      </c>
    </row>
    <row r="34" spans="1:32" x14ac:dyDescent="0.2">
      <c r="A34" s="9" t="s">
        <v>519</v>
      </c>
      <c r="B34" s="444"/>
      <c r="C34" s="444"/>
      <c r="D34" s="444"/>
      <c r="E34" s="444"/>
      <c r="F34" s="444"/>
      <c r="G34" s="444"/>
      <c r="H34" s="444"/>
      <c r="I34" s="444"/>
      <c r="J34" s="444"/>
      <c r="K34" s="444"/>
      <c r="L34" s="444"/>
      <c r="M34" s="444"/>
      <c r="N34" s="444"/>
      <c r="O34" s="444"/>
      <c r="P34" s="450"/>
      <c r="Q34" s="444"/>
      <c r="R34" s="444"/>
      <c r="S34" s="444"/>
      <c r="T34" s="444"/>
      <c r="U34" s="444"/>
      <c r="V34" s="444"/>
      <c r="X34" s="437"/>
      <c r="Y34" s="451" t="s">
        <v>520</v>
      </c>
      <c r="Z34" s="451" t="s">
        <v>547</v>
      </c>
      <c r="AA34" s="451"/>
      <c r="AB34" s="451"/>
      <c r="AC34" s="451"/>
      <c r="AD34" s="451" t="s">
        <v>640</v>
      </c>
      <c r="AE34" s="967"/>
    </row>
    <row r="35" spans="1:32" x14ac:dyDescent="0.2">
      <c r="A35" s="9" t="s">
        <v>580</v>
      </c>
      <c r="B35" s="444">
        <f>INPUT!CO280</f>
        <v>15.399999999999977</v>
      </c>
      <c r="C35" s="444">
        <f>INPUT!CQ280</f>
        <v>25.700000000000045</v>
      </c>
      <c r="D35" s="444">
        <f>INPUT!CS280</f>
        <v>25.600000000000023</v>
      </c>
      <c r="E35" s="444">
        <f>INPUT!CU280</f>
        <v>28.799999999999955</v>
      </c>
      <c r="F35" s="444">
        <f>INPUT!CW280</f>
        <v>26.600000000000136</v>
      </c>
      <c r="G35" s="444">
        <f>INPUT!CY280</f>
        <v>29.100000000000023</v>
      </c>
      <c r="H35" s="444">
        <f>INPUT!DA280</f>
        <v>25</v>
      </c>
      <c r="I35" s="444">
        <f>INPUT!DC280</f>
        <v>26.600000000000023</v>
      </c>
      <c r="J35" s="444">
        <f>INPUT!DE280</f>
        <v>28.299999999999955</v>
      </c>
      <c r="K35" s="444">
        <f>INPUT!DG280</f>
        <v>36.600000000000136</v>
      </c>
      <c r="L35" s="444">
        <f>INPUT!DI280</f>
        <v>25.700000000000045</v>
      </c>
      <c r="M35" s="444">
        <f>INPUT!DK280</f>
        <v>29.399999999999977</v>
      </c>
      <c r="N35" s="444"/>
      <c r="O35" s="444">
        <f>INPUT!FV280</f>
        <v>123.89999999999975</v>
      </c>
      <c r="P35" s="450">
        <f>INPUT!FX280</f>
        <v>94.699999999999818</v>
      </c>
      <c r="Q35" s="444">
        <f>INPUT!FZ280</f>
        <v>107.29999999999973</v>
      </c>
      <c r="R35" s="444">
        <f>INPUT!GB280</f>
        <v>120.00000000000023</v>
      </c>
      <c r="S35" s="444">
        <f>INPUT!GD280</f>
        <v>119.09999999999991</v>
      </c>
      <c r="T35" s="444">
        <f>INPUT!GF280</f>
        <v>129.50000000000045</v>
      </c>
      <c r="U35" s="444">
        <f>INPUT!GH280</f>
        <v>123.89999999999964</v>
      </c>
      <c r="V35" s="444">
        <f>INPUT!GJ280</f>
        <v>116.51694494660887</v>
      </c>
      <c r="X35" s="437"/>
      <c r="Y35" s="451"/>
      <c r="Z35" s="451"/>
      <c r="AA35" s="451"/>
      <c r="AB35" s="451"/>
      <c r="AC35" s="451"/>
      <c r="AD35" s="451"/>
      <c r="AE35" s="967"/>
    </row>
    <row r="36" spans="1:32" x14ac:dyDescent="0.2">
      <c r="A36" s="431" t="s">
        <v>542</v>
      </c>
      <c r="B36" s="445"/>
      <c r="C36" s="445"/>
      <c r="D36" s="445"/>
      <c r="E36" s="445"/>
      <c r="F36" s="447">
        <f t="shared" ref="F36:M36" si="15">F35/B35-1</f>
        <v>0.72727272727273862</v>
      </c>
      <c r="G36" s="447">
        <f t="shared" si="15"/>
        <v>0.13229571984435684</v>
      </c>
      <c r="H36" s="447">
        <f t="shared" si="15"/>
        <v>-2.3437500000000888E-2</v>
      </c>
      <c r="I36" s="447">
        <f t="shared" si="15"/>
        <v>-7.6388888888886619E-2</v>
      </c>
      <c r="J36" s="447">
        <f t="shared" si="15"/>
        <v>6.3909774436083033E-2</v>
      </c>
      <c r="K36" s="447">
        <f t="shared" si="15"/>
        <v>0.25773195876289035</v>
      </c>
      <c r="L36" s="447">
        <f t="shared" si="15"/>
        <v>2.8000000000001801E-2</v>
      </c>
      <c r="M36" s="447">
        <f t="shared" si="15"/>
        <v>0.10526315789473495</v>
      </c>
      <c r="N36" s="445"/>
      <c r="O36" s="446"/>
      <c r="P36" s="447">
        <f t="shared" ref="P36:V36" si="16">P35/O35-1</f>
        <v>-0.23567393058918473</v>
      </c>
      <c r="Q36" s="447">
        <f t="shared" si="16"/>
        <v>0.13305174234424433</v>
      </c>
      <c r="R36" s="447">
        <f t="shared" si="16"/>
        <v>0.11835973904939912</v>
      </c>
      <c r="S36" s="447">
        <f t="shared" si="16"/>
        <v>-7.5000000000026157E-3</v>
      </c>
      <c r="T36" s="447">
        <f t="shared" si="16"/>
        <v>8.7321578505462183E-2</v>
      </c>
      <c r="U36" s="447">
        <f t="shared" si="16"/>
        <v>-4.3243243243249463E-2</v>
      </c>
      <c r="V36" s="447">
        <f t="shared" si="16"/>
        <v>-5.9588822061265367E-2</v>
      </c>
      <c r="X36" s="437"/>
      <c r="Y36" s="451" t="s">
        <v>12</v>
      </c>
      <c r="Z36" s="451" t="s">
        <v>222</v>
      </c>
      <c r="AA36" s="451" t="s">
        <v>559</v>
      </c>
      <c r="AB36" s="451" t="s">
        <v>8</v>
      </c>
      <c r="AC36" s="451" t="s">
        <v>619</v>
      </c>
      <c r="AD36" s="451" t="s">
        <v>8</v>
      </c>
      <c r="AE36" s="967" t="s">
        <v>314</v>
      </c>
    </row>
    <row r="37" spans="1:32" x14ac:dyDescent="0.2">
      <c r="A37" s="9" t="s">
        <v>7</v>
      </c>
      <c r="B37" s="444"/>
      <c r="C37" s="444"/>
      <c r="D37" s="444"/>
      <c r="E37" s="444"/>
      <c r="F37" s="444"/>
      <c r="G37" s="444"/>
      <c r="H37" s="444"/>
      <c r="I37" s="444"/>
      <c r="J37" s="444"/>
      <c r="K37" s="444"/>
      <c r="L37" s="444"/>
      <c r="M37" s="444"/>
      <c r="N37" s="444"/>
      <c r="O37" s="444"/>
      <c r="P37" s="450"/>
      <c r="Q37" s="444"/>
      <c r="R37" s="444"/>
      <c r="S37" s="444"/>
      <c r="T37" s="444"/>
      <c r="U37" s="444"/>
      <c r="V37" s="444"/>
      <c r="X37" s="437"/>
      <c r="Y37" s="451" t="s">
        <v>15</v>
      </c>
      <c r="Z37" s="451" t="s">
        <v>15</v>
      </c>
      <c r="AA37" s="451" t="s">
        <v>560</v>
      </c>
      <c r="AB37" s="451" t="s">
        <v>560</v>
      </c>
      <c r="AC37" s="451" t="s">
        <v>560</v>
      </c>
      <c r="AD37" s="451" t="s">
        <v>560</v>
      </c>
      <c r="AE37" s="967" t="s">
        <v>560</v>
      </c>
    </row>
    <row r="38" spans="1:32" x14ac:dyDescent="0.2">
      <c r="B38" s="444"/>
      <c r="C38" s="444"/>
      <c r="D38" s="444"/>
      <c r="E38" s="444"/>
      <c r="F38" s="444"/>
      <c r="G38" s="444"/>
      <c r="H38" s="444"/>
      <c r="I38" s="444"/>
      <c r="J38" s="444"/>
      <c r="K38" s="444"/>
      <c r="L38" s="444"/>
      <c r="M38" s="444"/>
      <c r="N38" s="444"/>
      <c r="O38" s="444"/>
      <c r="P38" s="450"/>
      <c r="Q38" s="444"/>
      <c r="R38" s="444"/>
      <c r="S38" s="444"/>
      <c r="T38" s="444"/>
      <c r="U38" s="444"/>
      <c r="V38" s="444"/>
      <c r="X38" s="437"/>
      <c r="Y38" s="437"/>
      <c r="Z38" s="437"/>
      <c r="AA38" s="451"/>
      <c r="AB38" s="451"/>
      <c r="AC38" s="451"/>
      <c r="AD38" s="451"/>
      <c r="AE38" s="967"/>
    </row>
    <row r="39" spans="1:32" x14ac:dyDescent="0.2">
      <c r="A39" s="237" t="s">
        <v>27</v>
      </c>
      <c r="B39" s="444">
        <f>Core_ATEarns _1Q12</f>
        <v>213.19999999999993</v>
      </c>
      <c r="C39" s="444">
        <f>Core_ATEarns _2Q12</f>
        <v>225.2999999999999</v>
      </c>
      <c r="D39" s="444">
        <f>Core_ATEarns _3Q12</f>
        <v>224</v>
      </c>
      <c r="E39" s="444">
        <f>Core_ATEarns _4Q12</f>
        <v>224.99999999999994</v>
      </c>
      <c r="F39" s="444">
        <f>Core_ATEarns _1Q13</f>
        <v>213.35000000000011</v>
      </c>
      <c r="G39" s="444">
        <f>Core_ATEarns _2Q13</f>
        <v>215.89999999999992</v>
      </c>
      <c r="H39" s="444">
        <f>Core_ATEarns _3Q13</f>
        <v>221.60000000000002</v>
      </c>
      <c r="I39" s="444">
        <f>Core_ATEarns _4Q13</f>
        <v>221.12499999999994</v>
      </c>
      <c r="J39" s="444">
        <f>Core_ATEarns _1Q14</f>
        <v>222.59999999999974</v>
      </c>
      <c r="K39" s="444">
        <f>Core_ATEarns _2Q14</f>
        <v>229.88000000000002</v>
      </c>
      <c r="L39" s="444">
        <f>Core_ATEarns _3Q14</f>
        <v>219.10000000000005</v>
      </c>
      <c r="M39" s="444">
        <f>Core_ATEarns _4Q14</f>
        <v>224.73000000000002</v>
      </c>
      <c r="N39" s="444"/>
      <c r="O39" s="444"/>
      <c r="P39" s="444">
        <f>Core_ATEarns F2012_</f>
        <v>881.2</v>
      </c>
      <c r="Q39" s="444">
        <f>Core_ATEarns F2013_</f>
        <v>871.97499999999991</v>
      </c>
      <c r="R39" s="444">
        <f>Core_ATEarns F2014_</f>
        <v>896.31000000000017</v>
      </c>
      <c r="S39" s="444">
        <f>Core_ATEarns F2015_</f>
        <v>893.19999999999959</v>
      </c>
      <c r="T39" s="444">
        <f>Core_ATEarns F2016_</f>
        <v>915.60000000000116</v>
      </c>
      <c r="U39" s="444">
        <f>Core_ATEarns F2017_</f>
        <v>962.92499999999973</v>
      </c>
      <c r="V39" s="444">
        <f>Core_ATEarns F2018_</f>
        <v>1138.992170665811</v>
      </c>
      <c r="X39" s="437"/>
      <c r="Y39" s="437"/>
      <c r="Z39" s="437"/>
      <c r="AA39" s="451"/>
      <c r="AB39" s="451"/>
      <c r="AC39" s="451"/>
      <c r="AD39" s="451"/>
      <c r="AE39" s="967"/>
    </row>
    <row r="40" spans="1:32" x14ac:dyDescent="0.2">
      <c r="A40" s="431" t="s">
        <v>542</v>
      </c>
      <c r="B40" s="444"/>
      <c r="C40" s="444"/>
      <c r="D40" s="444"/>
      <c r="E40" s="444"/>
      <c r="F40" s="447">
        <f t="shared" ref="F40:M40" si="17">F39/B39-1</f>
        <v>7.0356472795585212E-4</v>
      </c>
      <c r="G40" s="447">
        <f t="shared" si="17"/>
        <v>-4.1722148246781998E-2</v>
      </c>
      <c r="H40" s="447">
        <f t="shared" si="17"/>
        <v>-1.0714285714285565E-2</v>
      </c>
      <c r="I40" s="447">
        <f t="shared" si="17"/>
        <v>-1.722222222222225E-2</v>
      </c>
      <c r="J40" s="447">
        <f t="shared" si="17"/>
        <v>4.3355987813450403E-2</v>
      </c>
      <c r="K40" s="447">
        <f t="shared" si="17"/>
        <v>6.4752200092635936E-2</v>
      </c>
      <c r="L40" s="447">
        <f t="shared" si="17"/>
        <v>-1.1281588447653257E-2</v>
      </c>
      <c r="M40" s="447">
        <f t="shared" si="17"/>
        <v>1.630299604296237E-2</v>
      </c>
      <c r="N40" s="444"/>
      <c r="O40" s="444"/>
      <c r="P40" s="447"/>
      <c r="Q40" s="447">
        <f t="shared" ref="Q40:V40" si="18">Q39/P39-1</f>
        <v>-1.0468679073990184E-2</v>
      </c>
      <c r="R40" s="447">
        <f t="shared" si="18"/>
        <v>2.7907910203847974E-2</v>
      </c>
      <c r="S40" s="447">
        <f t="shared" si="18"/>
        <v>-3.4697816603637133E-3</v>
      </c>
      <c r="T40" s="447">
        <f t="shared" si="18"/>
        <v>2.5078369905957798E-2</v>
      </c>
      <c r="U40" s="447">
        <f t="shared" si="18"/>
        <v>5.1687418086499015E-2</v>
      </c>
      <c r="V40" s="447">
        <f t="shared" si="18"/>
        <v>0.18284619328173157</v>
      </c>
      <c r="X40" s="437"/>
      <c r="Y40" s="451" t="s">
        <v>397</v>
      </c>
      <c r="Z40" s="437" t="s">
        <v>543</v>
      </c>
      <c r="AA40" s="451" t="s">
        <v>10</v>
      </c>
      <c r="AB40" s="451" t="s">
        <v>10</v>
      </c>
      <c r="AC40" s="451" t="s">
        <v>10</v>
      </c>
      <c r="AD40" s="451" t="s">
        <v>8</v>
      </c>
      <c r="AE40" s="967" t="s">
        <v>220</v>
      </c>
    </row>
    <row r="41" spans="1:32" x14ac:dyDescent="0.2">
      <c r="B41" s="444"/>
      <c r="C41" s="444"/>
      <c r="D41" s="444"/>
      <c r="E41" s="444"/>
      <c r="F41" s="444"/>
      <c r="G41" s="444"/>
      <c r="H41" s="444"/>
      <c r="I41" s="444"/>
      <c r="J41" s="444"/>
      <c r="K41" s="444"/>
      <c r="L41" s="444"/>
      <c r="M41" s="444"/>
      <c r="N41" s="444"/>
      <c r="O41" s="444"/>
      <c r="P41" s="450"/>
      <c r="Q41" s="444"/>
      <c r="R41" s="444"/>
      <c r="S41" s="444"/>
      <c r="T41" s="444"/>
      <c r="U41" s="444"/>
      <c r="V41" s="444"/>
      <c r="X41" s="437"/>
      <c r="Y41" s="437"/>
      <c r="Z41" s="437"/>
      <c r="AA41" s="451"/>
      <c r="AB41" s="451"/>
      <c r="AC41" s="451"/>
      <c r="AD41" s="451"/>
      <c r="AE41" s="967"/>
    </row>
    <row r="42" spans="1:32" x14ac:dyDescent="0.2">
      <c r="A42" s="237" t="s">
        <v>5</v>
      </c>
      <c r="B42" s="442">
        <f>INPUT!CO493</f>
        <v>0.73193163253203442</v>
      </c>
      <c r="C42" s="442">
        <f>INPUT!CQ493</f>
        <v>0.75456235679350958</v>
      </c>
      <c r="D42" s="442">
        <f>INPUT!CS493</f>
        <v>0.77088506355398001</v>
      </c>
      <c r="E42" s="442">
        <f>INPUT!CU493</f>
        <v>0.8223684210526313</v>
      </c>
      <c r="F42" s="442">
        <f>INPUT!CW493</f>
        <v>0.78926673549816306</v>
      </c>
      <c r="G42" s="442">
        <f>INPUT!CY493</f>
        <v>0.8094136357937507</v>
      </c>
      <c r="H42" s="442">
        <f>INPUT!DA493</f>
        <v>0.81472778073582797</v>
      </c>
      <c r="I42" s="442">
        <f>INPUT!DC493</f>
        <v>0.84436840315471418</v>
      </c>
      <c r="J42" s="442">
        <f>INPUT!DE493</f>
        <v>0.85385500575373907</v>
      </c>
      <c r="K42" s="442">
        <f>INPUT!DG493</f>
        <v>0.89290382117524014</v>
      </c>
      <c r="L42" s="442">
        <f>INPUT!DI493</f>
        <v>0.85989010989011005</v>
      </c>
      <c r="M42" s="442">
        <f>INPUT!DK493</f>
        <v>0.89037242472266254</v>
      </c>
      <c r="N42" s="442"/>
      <c r="O42" s="449">
        <v>2.98</v>
      </c>
      <c r="P42" s="442">
        <f>INPUT!FX493</f>
        <v>3.127218823882048</v>
      </c>
      <c r="Q42" s="442">
        <f>INPUT!FZ493</f>
        <v>3.2782532708643006</v>
      </c>
      <c r="R42" s="442">
        <f>INPUT!GB493</f>
        <v>3.4950672645739917</v>
      </c>
      <c r="S42" s="442">
        <f>INPUT!GD493</f>
        <v>3.6030657523194822</v>
      </c>
      <c r="T42" s="442">
        <f>INPUT!GF493</f>
        <v>3.8813056379822002</v>
      </c>
      <c r="U42" s="442">
        <f>INPUT!GH493</f>
        <v>4.2354299538157019</v>
      </c>
      <c r="V42" s="442">
        <f>INPUT!GJ493</f>
        <v>5.1979661887095761</v>
      </c>
      <c r="Y42" s="437" t="s">
        <v>26</v>
      </c>
      <c r="Z42" s="451"/>
      <c r="AA42" s="451"/>
      <c r="AB42" s="451"/>
      <c r="AC42" s="451"/>
      <c r="AD42" s="451"/>
      <c r="AE42" s="967"/>
      <c r="AF42" s="455"/>
    </row>
    <row r="43" spans="1:32" x14ac:dyDescent="0.2">
      <c r="A43" s="431" t="s">
        <v>542</v>
      </c>
      <c r="B43" s="445"/>
      <c r="C43" s="445"/>
      <c r="D43" s="445"/>
      <c r="E43" s="445"/>
      <c r="F43" s="447">
        <f t="shared" ref="F43:M43" si="19">F42/B42-1</f>
        <v>7.8333959645635609E-2</v>
      </c>
      <c r="G43" s="447">
        <f t="shared" si="19"/>
        <v>7.2692837783917552E-2</v>
      </c>
      <c r="H43" s="447">
        <f t="shared" si="19"/>
        <v>5.6873221774101701E-2</v>
      </c>
      <c r="I43" s="447">
        <f t="shared" si="19"/>
        <v>2.6751978236132734E-2</v>
      </c>
      <c r="J43" s="447">
        <f t="shared" si="19"/>
        <v>8.183326035501759E-2</v>
      </c>
      <c r="K43" s="447">
        <f t="shared" si="19"/>
        <v>0.10314897314475657</v>
      </c>
      <c r="L43" s="447">
        <f t="shared" si="19"/>
        <v>5.5432415859802076E-2</v>
      </c>
      <c r="M43" s="447">
        <f t="shared" si="19"/>
        <v>5.4483352759374881E-2</v>
      </c>
      <c r="N43" s="445"/>
      <c r="O43" s="446"/>
      <c r="P43" s="447">
        <f t="shared" ref="P43:V43" si="20">P42/O42-1</f>
        <v>4.9402289893304641E-2</v>
      </c>
      <c r="Q43" s="447">
        <f t="shared" si="20"/>
        <v>4.8296731213315791E-2</v>
      </c>
      <c r="R43" s="447">
        <f t="shared" si="20"/>
        <v>6.6137047932397497E-2</v>
      </c>
      <c r="S43" s="447">
        <f t="shared" si="20"/>
        <v>3.0900260158127191E-2</v>
      </c>
      <c r="T43" s="447">
        <f t="shared" si="20"/>
        <v>7.7223094106345425E-2</v>
      </c>
      <c r="U43" s="447">
        <f t="shared" si="20"/>
        <v>9.1238451403585552E-2</v>
      </c>
      <c r="V43" s="447">
        <f t="shared" si="20"/>
        <v>0.22725821118272171</v>
      </c>
      <c r="X43" s="437" t="s">
        <v>543</v>
      </c>
      <c r="Y43" s="451" t="s">
        <v>16</v>
      </c>
      <c r="Z43" s="565" t="s">
        <v>224</v>
      </c>
      <c r="AA43" s="451" t="s">
        <v>561</v>
      </c>
      <c r="AB43" s="451" t="s">
        <v>220</v>
      </c>
      <c r="AC43" s="451" t="s">
        <v>19</v>
      </c>
      <c r="AD43" s="451" t="s">
        <v>220</v>
      </c>
      <c r="AE43" s="967" t="s">
        <v>562</v>
      </c>
    </row>
    <row r="44" spans="1:32" x14ac:dyDescent="0.2">
      <c r="A44" s="237" t="s">
        <v>322</v>
      </c>
      <c r="B44" s="442">
        <f>INPUT!CO536</f>
        <v>11.052072263549412</v>
      </c>
      <c r="C44" s="442">
        <f>INPUT!CQ536</f>
        <v>11.620964674175845</v>
      </c>
      <c r="D44" s="442">
        <f>INPUT!CS536</f>
        <v>11.43703249853208</v>
      </c>
      <c r="E44" s="442">
        <f>INPUT!CU536</f>
        <v>11.343870528624365</v>
      </c>
      <c r="F44" s="442">
        <f>INPUT!CW536</f>
        <v>10.597445303206765</v>
      </c>
      <c r="G44" s="442">
        <f>INPUT!CY536</f>
        <v>10.638088199063805</v>
      </c>
      <c r="H44" s="442">
        <f>INPUT!DA536</f>
        <v>10.793828618745509</v>
      </c>
      <c r="I44" s="442">
        <f>INPUT!DC536</f>
        <v>10.299665969769062</v>
      </c>
      <c r="J44" s="442">
        <f>INPUT!DE536</f>
        <v>10.559208770879151</v>
      </c>
      <c r="K44" s="442">
        <f>INPUT!DG536</f>
        <v>10.358183456394293</v>
      </c>
      <c r="L44" s="442">
        <f>INPUT!DI536</f>
        <v>10.128162161537485</v>
      </c>
      <c r="M44" s="442">
        <f>INPUT!DK536</f>
        <v>-10.749623164945248</v>
      </c>
      <c r="N44" s="442"/>
      <c r="O44" s="442">
        <f>INPUT!FV536</f>
        <v>3.8948577777216631</v>
      </c>
      <c r="P44" s="442">
        <f>INPUT!FX536</f>
        <v>11.230842759279911</v>
      </c>
      <c r="Q44" s="442">
        <f>INPUT!FZ536</f>
        <v>10.56232627752833</v>
      </c>
      <c r="R44" s="442">
        <f>INPUT!GB536</f>
        <v>5.183866574275406</v>
      </c>
      <c r="S44" s="442">
        <f>INPUT!GD536</f>
        <v>10.506195856098516</v>
      </c>
      <c r="T44" s="442">
        <f>INPUT!GF536</f>
        <v>10.365204790907253</v>
      </c>
      <c r="U44" s="442">
        <f>INPUT!GH536</f>
        <v>10.566217562708482</v>
      </c>
      <c r="V44" s="442">
        <f>INPUT!GJ536</f>
        <v>11.755682856275866</v>
      </c>
      <c r="X44" s="437" t="s">
        <v>17</v>
      </c>
      <c r="Y44" s="563" t="s">
        <v>393</v>
      </c>
      <c r="Z44" s="437"/>
      <c r="AA44" s="451" t="s">
        <v>17</v>
      </c>
      <c r="AB44" s="451" t="s">
        <v>17</v>
      </c>
      <c r="AC44" s="451" t="s">
        <v>556</v>
      </c>
      <c r="AD44" s="451" t="s">
        <v>556</v>
      </c>
      <c r="AE44" s="967" t="s">
        <v>563</v>
      </c>
    </row>
    <row r="45" spans="1:32" x14ac:dyDescent="0.2">
      <c r="A45" s="9" t="s">
        <v>485</v>
      </c>
      <c r="B45" s="442"/>
      <c r="C45" s="442"/>
      <c r="D45" s="442"/>
      <c r="E45" s="442"/>
      <c r="F45" s="442"/>
      <c r="G45" s="442"/>
      <c r="H45" s="442"/>
      <c r="I45" s="442"/>
      <c r="J45" s="442"/>
      <c r="K45" s="442"/>
      <c r="L45" s="442"/>
      <c r="M45" s="442"/>
      <c r="N45" s="442"/>
      <c r="O45" s="442"/>
      <c r="P45" s="442"/>
      <c r="Q45" s="442"/>
      <c r="R45" s="442"/>
      <c r="S45" s="442"/>
      <c r="T45" s="442"/>
      <c r="U45" s="442"/>
      <c r="V45" s="442"/>
      <c r="X45" s="437" t="s">
        <v>19</v>
      </c>
      <c r="Y45" s="437"/>
      <c r="Z45" s="437" t="s">
        <v>567</v>
      </c>
      <c r="AA45" s="451" t="s">
        <v>554</v>
      </c>
      <c r="AB45" s="451" t="s">
        <v>554</v>
      </c>
      <c r="AC45" s="451" t="s">
        <v>617</v>
      </c>
      <c r="AD45" s="451" t="s">
        <v>19</v>
      </c>
      <c r="AE45" s="967" t="s">
        <v>19</v>
      </c>
    </row>
    <row r="46" spans="1:32" x14ac:dyDescent="0.2">
      <c r="A46" s="9" t="s">
        <v>18</v>
      </c>
      <c r="B46" s="442"/>
      <c r="C46" s="442"/>
      <c r="D46" s="442"/>
      <c r="E46" s="442"/>
      <c r="F46" s="442"/>
      <c r="G46" s="442"/>
      <c r="H46" s="442"/>
      <c r="I46" s="442"/>
      <c r="J46" s="442"/>
      <c r="K46" s="442"/>
      <c r="L46" s="442"/>
      <c r="M46" s="442"/>
      <c r="N46" s="442"/>
      <c r="O46" s="442"/>
      <c r="P46" s="442"/>
      <c r="Q46" s="442"/>
      <c r="R46" s="442"/>
      <c r="S46" s="442"/>
      <c r="T46" s="442"/>
      <c r="U46" s="442"/>
      <c r="V46" s="442"/>
      <c r="X46" s="437" t="s">
        <v>10</v>
      </c>
      <c r="Y46" s="437"/>
      <c r="Z46" s="437" t="s">
        <v>8</v>
      </c>
      <c r="AA46" s="451" t="s">
        <v>15</v>
      </c>
      <c r="AB46" s="451" t="s">
        <v>9</v>
      </c>
      <c r="AC46" s="451" t="s">
        <v>554</v>
      </c>
      <c r="AD46" s="451" t="s">
        <v>554</v>
      </c>
      <c r="AE46" s="967" t="s">
        <v>9</v>
      </c>
    </row>
    <row r="47" spans="1:32" x14ac:dyDescent="0.2">
      <c r="A47" s="237"/>
      <c r="B47" s="442"/>
      <c r="C47" s="442"/>
      <c r="D47" s="442"/>
      <c r="E47" s="442"/>
      <c r="F47" s="442"/>
      <c r="G47" s="442"/>
      <c r="H47" s="442"/>
      <c r="I47" s="442"/>
      <c r="J47" s="442"/>
      <c r="K47" s="442"/>
      <c r="L47" s="442"/>
      <c r="M47" s="442"/>
      <c r="N47" s="442"/>
      <c r="O47" s="442"/>
      <c r="P47" s="442"/>
      <c r="Q47" s="442"/>
      <c r="R47" s="442"/>
      <c r="S47" s="442"/>
      <c r="T47" s="442"/>
      <c r="U47" s="442"/>
      <c r="V47" s="442"/>
      <c r="X47" s="437"/>
      <c r="Y47" s="437"/>
      <c r="Z47" s="437"/>
      <c r="AA47" s="4"/>
      <c r="AB47" s="4"/>
      <c r="AC47" s="4"/>
      <c r="AD47" s="4"/>
      <c r="AE47" s="870"/>
    </row>
    <row r="48" spans="1:32" x14ac:dyDescent="0.2">
      <c r="A48" s="237" t="s">
        <v>391</v>
      </c>
      <c r="B48" s="444">
        <f>ShareBuyback _1Q12</f>
        <v>175.2</v>
      </c>
      <c r="C48" s="444">
        <f>ShareBuyback _2Q12</f>
        <v>125.1</v>
      </c>
      <c r="D48" s="444">
        <f>ShareBuyback _3Q12</f>
        <v>100.2</v>
      </c>
      <c r="E48" s="444">
        <f>ShareBuyback _4Q12</f>
        <v>100.1</v>
      </c>
      <c r="F48" s="444">
        <f>ShareBuyback _1Q13</f>
        <v>95</v>
      </c>
      <c r="G48" s="444">
        <f>ShareBuyback _2Q13</f>
        <v>98</v>
      </c>
      <c r="H48" s="444">
        <f>ShareBuyback _3Q13</f>
        <v>75</v>
      </c>
      <c r="I48" s="444">
        <f>ShareBuyback _4Q13</f>
        <v>50.1</v>
      </c>
      <c r="J48" s="444">
        <f>ShareBuyback _1Q14</f>
        <v>100.1</v>
      </c>
      <c r="K48" s="444">
        <f>ShareBuyback _2Q14</f>
        <v>100</v>
      </c>
      <c r="L48" s="444">
        <f>ShareBuyback _3Q14</f>
        <v>100</v>
      </c>
      <c r="M48" s="444">
        <f>ShareBuyback _4Q14</f>
        <v>0</v>
      </c>
      <c r="N48" s="444"/>
      <c r="O48" s="444">
        <f>ShareBuyback F2011_</f>
        <v>619.9</v>
      </c>
      <c r="P48" s="444">
        <f>ShareBuyback F2012_</f>
        <v>500.59999999999991</v>
      </c>
      <c r="Q48" s="444">
        <f>ShareBuyback F2013_</f>
        <v>318.10000000000002</v>
      </c>
      <c r="R48" s="444">
        <f>ShareBuyback F2014_</f>
        <v>300.10000000000002</v>
      </c>
      <c r="S48" s="444">
        <f>ShareBuyback F2015_</f>
        <v>426.7</v>
      </c>
      <c r="T48" s="444">
        <f>ShareBuyback F2016_</f>
        <v>403.2</v>
      </c>
      <c r="U48" s="444">
        <f>ShareBuyback F2017_</f>
        <v>400.1</v>
      </c>
      <c r="V48" s="444">
        <f>ShareBuyback F2018_</f>
        <v>400</v>
      </c>
      <c r="X48" s="437" t="s">
        <v>28</v>
      </c>
      <c r="Y48" s="564">
        <v>500</v>
      </c>
      <c r="Z48" s="437" t="s">
        <v>223</v>
      </c>
      <c r="AA48" s="451" t="s">
        <v>564</v>
      </c>
      <c r="AB48" s="451" t="s">
        <v>606</v>
      </c>
      <c r="AC48" s="451" t="s">
        <v>9</v>
      </c>
      <c r="AD48" s="451" t="s">
        <v>636</v>
      </c>
      <c r="AE48" s="967" t="s">
        <v>606</v>
      </c>
    </row>
    <row r="49" spans="1:31" x14ac:dyDescent="0.2">
      <c r="A49" s="237"/>
      <c r="B49" s="442"/>
      <c r="C49" s="442"/>
      <c r="D49" s="442"/>
      <c r="E49" s="442"/>
      <c r="F49" s="442"/>
      <c r="G49" s="442"/>
      <c r="H49" s="442"/>
      <c r="I49" s="442"/>
      <c r="J49" s="442"/>
      <c r="K49" s="442"/>
      <c r="L49" s="442"/>
      <c r="M49" s="442"/>
      <c r="N49" s="442"/>
      <c r="O49" s="442"/>
      <c r="P49" s="442"/>
      <c r="Q49" s="442"/>
      <c r="R49" s="442"/>
      <c r="S49" s="442"/>
      <c r="T49" s="442"/>
      <c r="U49" s="442"/>
      <c r="V49" s="442"/>
      <c r="X49" s="437"/>
      <c r="Y49" s="437"/>
      <c r="Z49" s="437"/>
      <c r="AA49" s="4"/>
      <c r="AB49" s="4"/>
      <c r="AC49" s="4"/>
      <c r="AD49" s="4"/>
      <c r="AE49" s="870"/>
    </row>
    <row r="50" spans="1:31" x14ac:dyDescent="0.2">
      <c r="A50" s="237" t="s">
        <v>25</v>
      </c>
      <c r="B50" s="442"/>
      <c r="C50" s="442"/>
      <c r="D50" s="442"/>
      <c r="E50" s="442"/>
      <c r="F50" s="442"/>
      <c r="G50" s="442"/>
      <c r="H50" s="442"/>
      <c r="I50" s="442"/>
      <c r="J50" s="442"/>
      <c r="K50" s="442"/>
      <c r="L50" s="442"/>
      <c r="M50" s="442"/>
      <c r="N50" s="442"/>
      <c r="O50" s="442"/>
      <c r="P50" s="442"/>
      <c r="Q50" s="442"/>
      <c r="R50" s="442"/>
      <c r="S50" s="442"/>
      <c r="T50" s="442"/>
      <c r="U50" s="442"/>
      <c r="V50" s="442"/>
      <c r="X50" s="437"/>
      <c r="Y50" s="437"/>
      <c r="Z50" s="437"/>
      <c r="AA50" s="4"/>
      <c r="AB50" s="4"/>
      <c r="AC50" s="4"/>
      <c r="AD50" s="4"/>
      <c r="AE50" s="870"/>
    </row>
    <row r="51" spans="1:31" x14ac:dyDescent="0.2">
      <c r="A51" s="9" t="s">
        <v>20</v>
      </c>
      <c r="B51" s="442"/>
      <c r="C51" s="442"/>
      <c r="D51" s="442"/>
      <c r="E51" s="442"/>
      <c r="F51" s="442"/>
      <c r="G51" s="442"/>
      <c r="H51" s="442"/>
      <c r="I51" s="442"/>
      <c r="J51" s="442"/>
      <c r="K51" s="442"/>
      <c r="L51" s="442"/>
      <c r="M51" s="442"/>
      <c r="N51" s="442"/>
      <c r="O51" s="442"/>
      <c r="P51" s="442"/>
      <c r="Q51" s="442"/>
      <c r="R51" s="442"/>
      <c r="S51" s="442"/>
      <c r="T51" s="442"/>
      <c r="U51" s="442"/>
      <c r="V51" s="442"/>
      <c r="X51" s="437" t="s">
        <v>21</v>
      </c>
      <c r="Y51" s="451" t="s">
        <v>29</v>
      </c>
      <c r="Z51" s="451"/>
      <c r="AA51" s="4"/>
      <c r="AB51" s="4"/>
      <c r="AC51" s="4"/>
      <c r="AD51" s="4"/>
      <c r="AE51" s="870"/>
    </row>
    <row r="52" spans="1:31" x14ac:dyDescent="0.2">
      <c r="A52" s="9" t="s">
        <v>22</v>
      </c>
      <c r="B52" s="442"/>
      <c r="C52" s="442"/>
      <c r="D52" s="442"/>
      <c r="E52" s="442"/>
      <c r="F52" s="442"/>
      <c r="G52" s="442"/>
      <c r="H52" s="442"/>
      <c r="I52" s="442"/>
      <c r="J52" s="442"/>
      <c r="K52" s="442"/>
      <c r="L52" s="442"/>
      <c r="M52" s="442"/>
      <c r="N52" s="442"/>
      <c r="O52" s="442"/>
      <c r="P52" s="442"/>
      <c r="Q52" s="442"/>
      <c r="R52" s="442"/>
      <c r="S52" s="442"/>
      <c r="T52" s="442"/>
      <c r="U52" s="442"/>
      <c r="V52" s="442"/>
      <c r="X52" s="437" t="s">
        <v>23</v>
      </c>
      <c r="Y52" s="451" t="s">
        <v>23</v>
      </c>
      <c r="Z52" s="451" t="s">
        <v>23</v>
      </c>
      <c r="AA52" s="896" t="s">
        <v>607</v>
      </c>
      <c r="AB52" s="896" t="s">
        <v>23</v>
      </c>
      <c r="AC52" s="896" t="s">
        <v>607</v>
      </c>
      <c r="AD52" s="896" t="s">
        <v>637</v>
      </c>
      <c r="AE52" s="968"/>
    </row>
    <row r="53" spans="1:31" x14ac:dyDescent="0.2">
      <c r="A53" s="9" t="s">
        <v>392</v>
      </c>
      <c r="B53" s="442"/>
      <c r="C53" s="442"/>
      <c r="D53" s="442"/>
      <c r="E53" s="442"/>
      <c r="F53" s="442"/>
      <c r="G53" s="442"/>
      <c r="H53" s="442"/>
      <c r="I53" s="442"/>
      <c r="J53" s="442"/>
      <c r="K53" s="442"/>
      <c r="L53" s="442"/>
      <c r="M53" s="442"/>
      <c r="N53" s="442"/>
      <c r="O53" s="442"/>
      <c r="P53" s="442"/>
      <c r="Q53" s="442"/>
      <c r="R53" s="442"/>
      <c r="S53" s="442"/>
      <c r="T53" s="442"/>
      <c r="U53" s="442"/>
      <c r="V53" s="442"/>
      <c r="X53" s="437" t="s">
        <v>24</v>
      </c>
      <c r="Y53" s="451" t="s">
        <v>394</v>
      </c>
      <c r="Z53" s="451" t="s">
        <v>225</v>
      </c>
      <c r="AA53" s="451" t="s">
        <v>225</v>
      </c>
      <c r="AB53" s="451" t="s">
        <v>608</v>
      </c>
      <c r="AC53" s="451"/>
      <c r="AD53" s="451"/>
      <c r="AE53" s="967"/>
    </row>
    <row r="54" spans="1:31" x14ac:dyDescent="0.2">
      <c r="B54" s="442"/>
      <c r="C54" s="442"/>
      <c r="D54" s="442"/>
      <c r="E54" s="442"/>
      <c r="F54" s="442"/>
      <c r="G54" s="442"/>
      <c r="H54" s="442"/>
      <c r="I54" s="442"/>
      <c r="J54" s="442"/>
      <c r="K54" s="442"/>
      <c r="L54" s="442"/>
      <c r="M54" s="442"/>
      <c r="N54" s="442"/>
      <c r="O54" s="442"/>
      <c r="P54" s="442"/>
      <c r="Q54" s="442"/>
      <c r="R54" s="442"/>
      <c r="S54" s="442"/>
      <c r="T54" s="442"/>
      <c r="U54" s="442"/>
      <c r="V54" s="442"/>
      <c r="X54" s="437"/>
      <c r="Y54" s="451"/>
      <c r="Z54" s="451"/>
      <c r="AA54" s="451"/>
      <c r="AB54" s="451"/>
      <c r="AC54" s="451"/>
      <c r="AD54" s="451"/>
      <c r="AE54" s="870"/>
    </row>
    <row r="55" spans="1:31" x14ac:dyDescent="0.2">
      <c r="A55" s="237" t="s">
        <v>568</v>
      </c>
      <c r="B55" s="442"/>
      <c r="C55" s="442"/>
      <c r="D55" s="442"/>
      <c r="E55" s="442"/>
      <c r="F55" s="442"/>
      <c r="G55" s="442"/>
      <c r="H55" s="442"/>
      <c r="I55" s="442"/>
      <c r="J55" s="442"/>
      <c r="K55" s="442"/>
      <c r="L55" s="442"/>
      <c r="M55" s="442"/>
      <c r="N55" s="442"/>
      <c r="O55" s="442"/>
      <c r="P55" s="442"/>
      <c r="Q55" s="442"/>
      <c r="R55" s="442"/>
      <c r="S55" s="442"/>
      <c r="T55" s="442"/>
      <c r="U55" s="442"/>
      <c r="V55" s="442"/>
      <c r="X55" s="437"/>
      <c r="Y55" s="451"/>
      <c r="Z55" s="451"/>
      <c r="AA55" s="451"/>
      <c r="AB55" s="451"/>
      <c r="AC55" s="451"/>
      <c r="AD55" s="451"/>
      <c r="AE55" s="870"/>
    </row>
    <row r="56" spans="1:31" x14ac:dyDescent="0.2">
      <c r="A56" s="9" t="s">
        <v>569</v>
      </c>
      <c r="B56" s="442"/>
      <c r="C56" s="442"/>
      <c r="D56" s="442"/>
      <c r="E56" s="442"/>
      <c r="F56" s="442"/>
      <c r="G56" s="442"/>
      <c r="H56" s="442"/>
      <c r="I56" s="442"/>
      <c r="J56" s="442"/>
      <c r="K56" s="442"/>
      <c r="L56" s="442"/>
      <c r="M56" s="442"/>
      <c r="N56" s="442"/>
      <c r="O56" s="442"/>
      <c r="P56" s="442"/>
      <c r="Q56" s="442"/>
      <c r="R56" s="442"/>
      <c r="S56" s="442"/>
      <c r="T56" s="442"/>
      <c r="U56" s="442"/>
      <c r="V56" s="442"/>
      <c r="X56" s="437"/>
      <c r="Y56" s="451"/>
      <c r="Z56" s="451" t="s">
        <v>571</v>
      </c>
      <c r="AA56" s="451"/>
      <c r="AB56" s="451"/>
      <c r="AC56" s="451"/>
      <c r="AD56" s="451"/>
      <c r="AE56" s="870"/>
    </row>
    <row r="57" spans="1:31" x14ac:dyDescent="0.2">
      <c r="A57" s="9" t="s">
        <v>570</v>
      </c>
      <c r="B57" s="442"/>
      <c r="C57" s="442"/>
      <c r="D57" s="442"/>
      <c r="E57" s="442"/>
      <c r="F57" s="442"/>
      <c r="G57" s="442"/>
      <c r="H57" s="442"/>
      <c r="I57" s="442"/>
      <c r="J57" s="442"/>
      <c r="K57" s="442"/>
      <c r="L57" s="442"/>
      <c r="M57" s="442"/>
      <c r="N57" s="442"/>
      <c r="O57" s="442"/>
      <c r="P57" s="442"/>
      <c r="Q57" s="442"/>
      <c r="R57" s="442"/>
      <c r="S57" s="442"/>
      <c r="T57" s="442"/>
      <c r="U57" s="442"/>
      <c r="V57" s="442"/>
      <c r="X57" s="437"/>
      <c r="Y57" s="451"/>
      <c r="Z57" s="882" t="s">
        <v>572</v>
      </c>
      <c r="AA57" s="451"/>
      <c r="AB57" s="451"/>
      <c r="AC57" s="451"/>
      <c r="AD57" s="451"/>
      <c r="AE57" s="870"/>
    </row>
    <row r="58" spans="1:31" x14ac:dyDescent="0.2">
      <c r="B58" s="442"/>
      <c r="C58" s="442"/>
      <c r="D58" s="442"/>
      <c r="E58" s="442"/>
      <c r="F58" s="442"/>
      <c r="G58" s="442"/>
      <c r="H58" s="442"/>
      <c r="I58" s="442"/>
      <c r="J58" s="442"/>
      <c r="K58" s="442"/>
      <c r="L58" s="442"/>
      <c r="M58" s="442"/>
      <c r="N58" s="442"/>
      <c r="O58" s="442"/>
      <c r="P58" s="442"/>
      <c r="Q58" s="442"/>
      <c r="R58" s="442"/>
      <c r="S58" s="442"/>
      <c r="T58" s="442"/>
      <c r="U58" s="442"/>
      <c r="V58" s="442"/>
      <c r="X58" s="443"/>
      <c r="Y58" s="443"/>
      <c r="Z58" s="443"/>
      <c r="AA58" s="4"/>
      <c r="AB58" s="4"/>
      <c r="AC58" s="4"/>
      <c r="AD58" s="4"/>
      <c r="AE58" s="2"/>
    </row>
    <row r="59" spans="1:31" x14ac:dyDescent="0.2">
      <c r="A59" s="9" t="s">
        <v>633</v>
      </c>
      <c r="B59" s="442"/>
      <c r="C59" s="442"/>
      <c r="D59" s="442"/>
      <c r="E59" s="442"/>
      <c r="F59" s="442"/>
      <c r="G59" s="442"/>
      <c r="H59" s="442"/>
      <c r="I59" s="442"/>
      <c r="J59" s="442"/>
      <c r="K59" s="442"/>
      <c r="L59" s="442"/>
      <c r="M59" s="442"/>
      <c r="N59" s="442"/>
      <c r="O59" s="442"/>
      <c r="P59" s="442"/>
      <c r="Q59" s="442"/>
      <c r="R59" s="442"/>
      <c r="S59" s="442"/>
      <c r="T59" s="442">
        <f>T25+T16+T7</f>
        <v>7187.3000000000011</v>
      </c>
      <c r="U59" s="442">
        <f>U25+U16+U7</f>
        <v>7467.9</v>
      </c>
      <c r="V59" s="442">
        <f>V25+V16+V7</f>
        <v>7860.9891258772032</v>
      </c>
      <c r="X59" s="443"/>
      <c r="Y59" s="443"/>
      <c r="Z59" s="443"/>
      <c r="AA59" s="455"/>
      <c r="AB59" s="455"/>
      <c r="AC59" s="455"/>
      <c r="AD59" s="455"/>
    </row>
    <row r="60" spans="1:31" x14ac:dyDescent="0.2">
      <c r="U60" s="447">
        <f t="shared" ref="U60:V60" si="21">U59/T59-1</f>
        <v>3.9041086360663835E-2</v>
      </c>
      <c r="V60" s="447">
        <f t="shared" si="21"/>
        <v>5.263717054020578E-2</v>
      </c>
    </row>
  </sheetData>
  <mergeCells count="7">
    <mergeCell ref="AR22:AS22"/>
    <mergeCell ref="AN22:AO22"/>
    <mergeCell ref="B1:E1"/>
    <mergeCell ref="O1:Q1"/>
    <mergeCell ref="X1:AA1"/>
    <mergeCell ref="AL22:AM22"/>
    <mergeCell ref="AP22:AQ22"/>
  </mergeCells>
  <phoneticPr fontId="3" type="noConversion"/>
  <pageMargins left="0.28000000000000003" right="0.34" top="0.51" bottom="1" header="0.5" footer="0.5"/>
  <pageSetup scale="37" orientation="portrait" r:id="rId1"/>
  <headerFooter alignWithMargins="0"/>
  <ignoredErrors>
    <ignoredError sqref="R7:U7 R9:U11 R8:T8 R28:T28 V25 R13:U27 R12:T12" formula="1"/>
  </ignoredError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43"/>
  <sheetViews>
    <sheetView workbookViewId="0">
      <selection activeCell="B42" sqref="B42"/>
    </sheetView>
  </sheetViews>
  <sheetFormatPr defaultRowHeight="12.75" x14ac:dyDescent="0.2"/>
  <cols>
    <col min="1" max="1" width="29.5703125" style="873" bestFit="1" customWidth="1"/>
    <col min="2" max="2" width="19.85546875" style="1053" customWidth="1"/>
    <col min="3" max="3" width="12" style="873" bestFit="1" customWidth="1"/>
    <col min="4" max="256" width="9.140625" style="873"/>
    <col min="257" max="257" width="29.5703125" style="873" bestFit="1" customWidth="1"/>
    <col min="258" max="258" width="19.85546875" style="873" customWidth="1"/>
    <col min="259" max="259" width="12" style="873" bestFit="1" customWidth="1"/>
    <col min="260" max="512" width="9.140625" style="873"/>
    <col min="513" max="513" width="29.5703125" style="873" bestFit="1" customWidth="1"/>
    <col min="514" max="514" width="19.85546875" style="873" customWidth="1"/>
    <col min="515" max="515" width="12" style="873" bestFit="1" customWidth="1"/>
    <col min="516" max="768" width="9.140625" style="873"/>
    <col min="769" max="769" width="29.5703125" style="873" bestFit="1" customWidth="1"/>
    <col min="770" max="770" width="19.85546875" style="873" customWidth="1"/>
    <col min="771" max="771" width="12" style="873" bestFit="1" customWidth="1"/>
    <col min="772" max="1024" width="9.140625" style="873"/>
    <col min="1025" max="1025" width="29.5703125" style="873" bestFit="1" customWidth="1"/>
    <col min="1026" max="1026" width="19.85546875" style="873" customWidth="1"/>
    <col min="1027" max="1027" width="12" style="873" bestFit="1" customWidth="1"/>
    <col min="1028" max="1280" width="9.140625" style="873"/>
    <col min="1281" max="1281" width="29.5703125" style="873" bestFit="1" customWidth="1"/>
    <col min="1282" max="1282" width="19.85546875" style="873" customWidth="1"/>
    <col min="1283" max="1283" width="12" style="873" bestFit="1" customWidth="1"/>
    <col min="1284" max="1536" width="9.140625" style="873"/>
    <col min="1537" max="1537" width="29.5703125" style="873" bestFit="1" customWidth="1"/>
    <col min="1538" max="1538" width="19.85546875" style="873" customWidth="1"/>
    <col min="1539" max="1539" width="12" style="873" bestFit="1" customWidth="1"/>
    <col min="1540" max="1792" width="9.140625" style="873"/>
    <col min="1793" max="1793" width="29.5703125" style="873" bestFit="1" customWidth="1"/>
    <col min="1794" max="1794" width="19.85546875" style="873" customWidth="1"/>
    <col min="1795" max="1795" width="12" style="873" bestFit="1" customWidth="1"/>
    <col min="1796" max="2048" width="9.140625" style="873"/>
    <col min="2049" max="2049" width="29.5703125" style="873" bestFit="1" customWidth="1"/>
    <col min="2050" max="2050" width="19.85546875" style="873" customWidth="1"/>
    <col min="2051" max="2051" width="12" style="873" bestFit="1" customWidth="1"/>
    <col min="2052" max="2304" width="9.140625" style="873"/>
    <col min="2305" max="2305" width="29.5703125" style="873" bestFit="1" customWidth="1"/>
    <col min="2306" max="2306" width="19.85546875" style="873" customWidth="1"/>
    <col min="2307" max="2307" width="12" style="873" bestFit="1" customWidth="1"/>
    <col min="2308" max="2560" width="9.140625" style="873"/>
    <col min="2561" max="2561" width="29.5703125" style="873" bestFit="1" customWidth="1"/>
    <col min="2562" max="2562" width="19.85546875" style="873" customWidth="1"/>
    <col min="2563" max="2563" width="12" style="873" bestFit="1" customWidth="1"/>
    <col min="2564" max="2816" width="9.140625" style="873"/>
    <col min="2817" max="2817" width="29.5703125" style="873" bestFit="1" customWidth="1"/>
    <col min="2818" max="2818" width="19.85546875" style="873" customWidth="1"/>
    <col min="2819" max="2819" width="12" style="873" bestFit="1" customWidth="1"/>
    <col min="2820" max="3072" width="9.140625" style="873"/>
    <col min="3073" max="3073" width="29.5703125" style="873" bestFit="1" customWidth="1"/>
    <col min="3074" max="3074" width="19.85546875" style="873" customWidth="1"/>
    <col min="3075" max="3075" width="12" style="873" bestFit="1" customWidth="1"/>
    <col min="3076" max="3328" width="9.140625" style="873"/>
    <col min="3329" max="3329" width="29.5703125" style="873" bestFit="1" customWidth="1"/>
    <col min="3330" max="3330" width="19.85546875" style="873" customWidth="1"/>
    <col min="3331" max="3331" width="12" style="873" bestFit="1" customWidth="1"/>
    <col min="3332" max="3584" width="9.140625" style="873"/>
    <col min="3585" max="3585" width="29.5703125" style="873" bestFit="1" customWidth="1"/>
    <col min="3586" max="3586" width="19.85546875" style="873" customWidth="1"/>
    <col min="3587" max="3587" width="12" style="873" bestFit="1" customWidth="1"/>
    <col min="3588" max="3840" width="9.140625" style="873"/>
    <col min="3841" max="3841" width="29.5703125" style="873" bestFit="1" customWidth="1"/>
    <col min="3842" max="3842" width="19.85546875" style="873" customWidth="1"/>
    <col min="3843" max="3843" width="12" style="873" bestFit="1" customWidth="1"/>
    <col min="3844" max="4096" width="9.140625" style="873"/>
    <col min="4097" max="4097" width="29.5703125" style="873" bestFit="1" customWidth="1"/>
    <col min="4098" max="4098" width="19.85546875" style="873" customWidth="1"/>
    <col min="4099" max="4099" width="12" style="873" bestFit="1" customWidth="1"/>
    <col min="4100" max="4352" width="9.140625" style="873"/>
    <col min="4353" max="4353" width="29.5703125" style="873" bestFit="1" customWidth="1"/>
    <col min="4354" max="4354" width="19.85546875" style="873" customWidth="1"/>
    <col min="4355" max="4355" width="12" style="873" bestFit="1" customWidth="1"/>
    <col min="4356" max="4608" width="9.140625" style="873"/>
    <col min="4609" max="4609" width="29.5703125" style="873" bestFit="1" customWidth="1"/>
    <col min="4610" max="4610" width="19.85546875" style="873" customWidth="1"/>
    <col min="4611" max="4611" width="12" style="873" bestFit="1" customWidth="1"/>
    <col min="4612" max="4864" width="9.140625" style="873"/>
    <col min="4865" max="4865" width="29.5703125" style="873" bestFit="1" customWidth="1"/>
    <col min="4866" max="4866" width="19.85546875" style="873" customWidth="1"/>
    <col min="4867" max="4867" width="12" style="873" bestFit="1" customWidth="1"/>
    <col min="4868" max="5120" width="9.140625" style="873"/>
    <col min="5121" max="5121" width="29.5703125" style="873" bestFit="1" customWidth="1"/>
    <col min="5122" max="5122" width="19.85546875" style="873" customWidth="1"/>
    <col min="5123" max="5123" width="12" style="873" bestFit="1" customWidth="1"/>
    <col min="5124" max="5376" width="9.140625" style="873"/>
    <col min="5377" max="5377" width="29.5703125" style="873" bestFit="1" customWidth="1"/>
    <col min="5378" max="5378" width="19.85546875" style="873" customWidth="1"/>
    <col min="5379" max="5379" width="12" style="873" bestFit="1" customWidth="1"/>
    <col min="5380" max="5632" width="9.140625" style="873"/>
    <col min="5633" max="5633" width="29.5703125" style="873" bestFit="1" customWidth="1"/>
    <col min="5634" max="5634" width="19.85546875" style="873" customWidth="1"/>
    <col min="5635" max="5635" width="12" style="873" bestFit="1" customWidth="1"/>
    <col min="5636" max="5888" width="9.140625" style="873"/>
    <col min="5889" max="5889" width="29.5703125" style="873" bestFit="1" customWidth="1"/>
    <col min="5890" max="5890" width="19.85546875" style="873" customWidth="1"/>
    <col min="5891" max="5891" width="12" style="873" bestFit="1" customWidth="1"/>
    <col min="5892" max="6144" width="9.140625" style="873"/>
    <col min="6145" max="6145" width="29.5703125" style="873" bestFit="1" customWidth="1"/>
    <col min="6146" max="6146" width="19.85546875" style="873" customWidth="1"/>
    <col min="6147" max="6147" width="12" style="873" bestFit="1" customWidth="1"/>
    <col min="6148" max="6400" width="9.140625" style="873"/>
    <col min="6401" max="6401" width="29.5703125" style="873" bestFit="1" customWidth="1"/>
    <col min="6402" max="6402" width="19.85546875" style="873" customWidth="1"/>
    <col min="6403" max="6403" width="12" style="873" bestFit="1" customWidth="1"/>
    <col min="6404" max="6656" width="9.140625" style="873"/>
    <col min="6657" max="6657" width="29.5703125" style="873" bestFit="1" customWidth="1"/>
    <col min="6658" max="6658" width="19.85546875" style="873" customWidth="1"/>
    <col min="6659" max="6659" width="12" style="873" bestFit="1" customWidth="1"/>
    <col min="6660" max="6912" width="9.140625" style="873"/>
    <col min="6913" max="6913" width="29.5703125" style="873" bestFit="1" customWidth="1"/>
    <col min="6914" max="6914" width="19.85546875" style="873" customWidth="1"/>
    <col min="6915" max="6915" width="12" style="873" bestFit="1" customWidth="1"/>
    <col min="6916" max="7168" width="9.140625" style="873"/>
    <col min="7169" max="7169" width="29.5703125" style="873" bestFit="1" customWidth="1"/>
    <col min="7170" max="7170" width="19.85546875" style="873" customWidth="1"/>
    <col min="7171" max="7171" width="12" style="873" bestFit="1" customWidth="1"/>
    <col min="7172" max="7424" width="9.140625" style="873"/>
    <col min="7425" max="7425" width="29.5703125" style="873" bestFit="1" customWidth="1"/>
    <col min="7426" max="7426" width="19.85546875" style="873" customWidth="1"/>
    <col min="7427" max="7427" width="12" style="873" bestFit="1" customWidth="1"/>
    <col min="7428" max="7680" width="9.140625" style="873"/>
    <col min="7681" max="7681" width="29.5703125" style="873" bestFit="1" customWidth="1"/>
    <col min="7682" max="7682" width="19.85546875" style="873" customWidth="1"/>
    <col min="7683" max="7683" width="12" style="873" bestFit="1" customWidth="1"/>
    <col min="7684" max="7936" width="9.140625" style="873"/>
    <col min="7937" max="7937" width="29.5703125" style="873" bestFit="1" customWidth="1"/>
    <col min="7938" max="7938" width="19.85546875" style="873" customWidth="1"/>
    <col min="7939" max="7939" width="12" style="873" bestFit="1" customWidth="1"/>
    <col min="7940" max="8192" width="9.140625" style="873"/>
    <col min="8193" max="8193" width="29.5703125" style="873" bestFit="1" customWidth="1"/>
    <col min="8194" max="8194" width="19.85546875" style="873" customWidth="1"/>
    <col min="8195" max="8195" width="12" style="873" bestFit="1" customWidth="1"/>
    <col min="8196" max="8448" width="9.140625" style="873"/>
    <col min="8449" max="8449" width="29.5703125" style="873" bestFit="1" customWidth="1"/>
    <col min="8450" max="8450" width="19.85546875" style="873" customWidth="1"/>
    <col min="8451" max="8451" width="12" style="873" bestFit="1" customWidth="1"/>
    <col min="8452" max="8704" width="9.140625" style="873"/>
    <col min="8705" max="8705" width="29.5703125" style="873" bestFit="1" customWidth="1"/>
    <col min="8706" max="8706" width="19.85546875" style="873" customWidth="1"/>
    <col min="8707" max="8707" width="12" style="873" bestFit="1" customWidth="1"/>
    <col min="8708" max="8960" width="9.140625" style="873"/>
    <col min="8961" max="8961" width="29.5703125" style="873" bestFit="1" customWidth="1"/>
    <col min="8962" max="8962" width="19.85546875" style="873" customWidth="1"/>
    <col min="8963" max="8963" width="12" style="873" bestFit="1" customWidth="1"/>
    <col min="8964" max="9216" width="9.140625" style="873"/>
    <col min="9217" max="9217" width="29.5703125" style="873" bestFit="1" customWidth="1"/>
    <col min="9218" max="9218" width="19.85546875" style="873" customWidth="1"/>
    <col min="9219" max="9219" width="12" style="873" bestFit="1" customWidth="1"/>
    <col min="9220" max="9472" width="9.140625" style="873"/>
    <col min="9473" max="9473" width="29.5703125" style="873" bestFit="1" customWidth="1"/>
    <col min="9474" max="9474" width="19.85546875" style="873" customWidth="1"/>
    <col min="9475" max="9475" width="12" style="873" bestFit="1" customWidth="1"/>
    <col min="9476" max="9728" width="9.140625" style="873"/>
    <col min="9729" max="9729" width="29.5703125" style="873" bestFit="1" customWidth="1"/>
    <col min="9730" max="9730" width="19.85546875" style="873" customWidth="1"/>
    <col min="9731" max="9731" width="12" style="873" bestFit="1" customWidth="1"/>
    <col min="9732" max="9984" width="9.140625" style="873"/>
    <col min="9985" max="9985" width="29.5703125" style="873" bestFit="1" customWidth="1"/>
    <col min="9986" max="9986" width="19.85546875" style="873" customWidth="1"/>
    <col min="9987" max="9987" width="12" style="873" bestFit="1" customWidth="1"/>
    <col min="9988" max="10240" width="9.140625" style="873"/>
    <col min="10241" max="10241" width="29.5703125" style="873" bestFit="1" customWidth="1"/>
    <col min="10242" max="10242" width="19.85546875" style="873" customWidth="1"/>
    <col min="10243" max="10243" width="12" style="873" bestFit="1" customWidth="1"/>
    <col min="10244" max="10496" width="9.140625" style="873"/>
    <col min="10497" max="10497" width="29.5703125" style="873" bestFit="1" customWidth="1"/>
    <col min="10498" max="10498" width="19.85546875" style="873" customWidth="1"/>
    <col min="10499" max="10499" width="12" style="873" bestFit="1" customWidth="1"/>
    <col min="10500" max="10752" width="9.140625" style="873"/>
    <col min="10753" max="10753" width="29.5703125" style="873" bestFit="1" customWidth="1"/>
    <col min="10754" max="10754" width="19.85546875" style="873" customWidth="1"/>
    <col min="10755" max="10755" width="12" style="873" bestFit="1" customWidth="1"/>
    <col min="10756" max="11008" width="9.140625" style="873"/>
    <col min="11009" max="11009" width="29.5703125" style="873" bestFit="1" customWidth="1"/>
    <col min="11010" max="11010" width="19.85546875" style="873" customWidth="1"/>
    <col min="11011" max="11011" width="12" style="873" bestFit="1" customWidth="1"/>
    <col min="11012" max="11264" width="9.140625" style="873"/>
    <col min="11265" max="11265" width="29.5703125" style="873" bestFit="1" customWidth="1"/>
    <col min="11266" max="11266" width="19.85546875" style="873" customWidth="1"/>
    <col min="11267" max="11267" width="12" style="873" bestFit="1" customWidth="1"/>
    <col min="11268" max="11520" width="9.140625" style="873"/>
    <col min="11521" max="11521" width="29.5703125" style="873" bestFit="1" customWidth="1"/>
    <col min="11522" max="11522" width="19.85546875" style="873" customWidth="1"/>
    <col min="11523" max="11523" width="12" style="873" bestFit="1" customWidth="1"/>
    <col min="11524" max="11776" width="9.140625" style="873"/>
    <col min="11777" max="11777" width="29.5703125" style="873" bestFit="1" customWidth="1"/>
    <col min="11778" max="11778" width="19.85546875" style="873" customWidth="1"/>
    <col min="11779" max="11779" width="12" style="873" bestFit="1" customWidth="1"/>
    <col min="11780" max="12032" width="9.140625" style="873"/>
    <col min="12033" max="12033" width="29.5703125" style="873" bestFit="1" customWidth="1"/>
    <col min="12034" max="12034" width="19.85546875" style="873" customWidth="1"/>
    <col min="12035" max="12035" width="12" style="873" bestFit="1" customWidth="1"/>
    <col min="12036" max="12288" width="9.140625" style="873"/>
    <col min="12289" max="12289" width="29.5703125" style="873" bestFit="1" customWidth="1"/>
    <col min="12290" max="12290" width="19.85546875" style="873" customWidth="1"/>
    <col min="12291" max="12291" width="12" style="873" bestFit="1" customWidth="1"/>
    <col min="12292" max="12544" width="9.140625" style="873"/>
    <col min="12545" max="12545" width="29.5703125" style="873" bestFit="1" customWidth="1"/>
    <col min="12546" max="12546" width="19.85546875" style="873" customWidth="1"/>
    <col min="12547" max="12547" width="12" style="873" bestFit="1" customWidth="1"/>
    <col min="12548" max="12800" width="9.140625" style="873"/>
    <col min="12801" max="12801" width="29.5703125" style="873" bestFit="1" customWidth="1"/>
    <col min="12802" max="12802" width="19.85546875" style="873" customWidth="1"/>
    <col min="12803" max="12803" width="12" style="873" bestFit="1" customWidth="1"/>
    <col min="12804" max="13056" width="9.140625" style="873"/>
    <col min="13057" max="13057" width="29.5703125" style="873" bestFit="1" customWidth="1"/>
    <col min="13058" max="13058" width="19.85546875" style="873" customWidth="1"/>
    <col min="13059" max="13059" width="12" style="873" bestFit="1" customWidth="1"/>
    <col min="13060" max="13312" width="9.140625" style="873"/>
    <col min="13313" max="13313" width="29.5703125" style="873" bestFit="1" customWidth="1"/>
    <col min="13314" max="13314" width="19.85546875" style="873" customWidth="1"/>
    <col min="13315" max="13315" width="12" style="873" bestFit="1" customWidth="1"/>
    <col min="13316" max="13568" width="9.140625" style="873"/>
    <col min="13569" max="13569" width="29.5703125" style="873" bestFit="1" customWidth="1"/>
    <col min="13570" max="13570" width="19.85546875" style="873" customWidth="1"/>
    <col min="13571" max="13571" width="12" style="873" bestFit="1" customWidth="1"/>
    <col min="13572" max="13824" width="9.140625" style="873"/>
    <col min="13825" max="13825" width="29.5703125" style="873" bestFit="1" customWidth="1"/>
    <col min="13826" max="13826" width="19.85546875" style="873" customWidth="1"/>
    <col min="13827" max="13827" width="12" style="873" bestFit="1" customWidth="1"/>
    <col min="13828" max="14080" width="9.140625" style="873"/>
    <col min="14081" max="14081" width="29.5703125" style="873" bestFit="1" customWidth="1"/>
    <col min="14082" max="14082" width="19.85546875" style="873" customWidth="1"/>
    <col min="14083" max="14083" width="12" style="873" bestFit="1" customWidth="1"/>
    <col min="14084" max="14336" width="9.140625" style="873"/>
    <col min="14337" max="14337" width="29.5703125" style="873" bestFit="1" customWidth="1"/>
    <col min="14338" max="14338" width="19.85546875" style="873" customWidth="1"/>
    <col min="14339" max="14339" width="12" style="873" bestFit="1" customWidth="1"/>
    <col min="14340" max="14592" width="9.140625" style="873"/>
    <col min="14593" max="14593" width="29.5703125" style="873" bestFit="1" customWidth="1"/>
    <col min="14594" max="14594" width="19.85546875" style="873" customWidth="1"/>
    <col min="14595" max="14595" width="12" style="873" bestFit="1" customWidth="1"/>
    <col min="14596" max="14848" width="9.140625" style="873"/>
    <col min="14849" max="14849" width="29.5703125" style="873" bestFit="1" customWidth="1"/>
    <col min="14850" max="14850" width="19.85546875" style="873" customWidth="1"/>
    <col min="14851" max="14851" width="12" style="873" bestFit="1" customWidth="1"/>
    <col min="14852" max="15104" width="9.140625" style="873"/>
    <col min="15105" max="15105" width="29.5703125" style="873" bestFit="1" customWidth="1"/>
    <col min="15106" max="15106" width="19.85546875" style="873" customWidth="1"/>
    <col min="15107" max="15107" width="12" style="873" bestFit="1" customWidth="1"/>
    <col min="15108" max="15360" width="9.140625" style="873"/>
    <col min="15361" max="15361" width="29.5703125" style="873" bestFit="1" customWidth="1"/>
    <col min="15362" max="15362" width="19.85546875" style="873" customWidth="1"/>
    <col min="15363" max="15363" width="12" style="873" bestFit="1" customWidth="1"/>
    <col min="15364" max="15616" width="9.140625" style="873"/>
    <col min="15617" max="15617" width="29.5703125" style="873" bestFit="1" customWidth="1"/>
    <col min="15618" max="15618" width="19.85546875" style="873" customWidth="1"/>
    <col min="15619" max="15619" width="12" style="873" bestFit="1" customWidth="1"/>
    <col min="15620" max="15872" width="9.140625" style="873"/>
    <col min="15873" max="15873" width="29.5703125" style="873" bestFit="1" customWidth="1"/>
    <col min="15874" max="15874" width="19.85546875" style="873" customWidth="1"/>
    <col min="15875" max="15875" width="12" style="873" bestFit="1" customWidth="1"/>
    <col min="15876" max="16128" width="9.140625" style="873"/>
    <col min="16129" max="16129" width="29.5703125" style="873" bestFit="1" customWidth="1"/>
    <col min="16130" max="16130" width="19.85546875" style="873" customWidth="1"/>
    <col min="16131" max="16131" width="12" style="873" bestFit="1" customWidth="1"/>
    <col min="16132" max="16384" width="9.140625" style="873"/>
  </cols>
  <sheetData>
    <row r="1" spans="1:2" x14ac:dyDescent="0.2">
      <c r="A1" s="873" t="s">
        <v>940</v>
      </c>
      <c r="B1" s="1052">
        <v>6.1</v>
      </c>
    </row>
    <row r="2" spans="1:2" x14ac:dyDescent="0.2">
      <c r="A2" s="873" t="s">
        <v>941</v>
      </c>
      <c r="B2" s="1056">
        <v>43195.401099537034</v>
      </c>
    </row>
    <row r="3" spans="1:2" x14ac:dyDescent="0.2">
      <c r="A3" s="873" t="s">
        <v>942</v>
      </c>
      <c r="B3" s="1053" t="s">
        <v>641</v>
      </c>
    </row>
    <row r="4" spans="1:2" x14ac:dyDescent="0.2">
      <c r="A4" s="873" t="s">
        <v>943</v>
      </c>
      <c r="B4" s="1053" t="s">
        <v>944</v>
      </c>
    </row>
    <row r="5" spans="1:2" x14ac:dyDescent="0.2">
      <c r="A5" s="873" t="s">
        <v>945</v>
      </c>
      <c r="B5" s="1053" t="s">
        <v>946</v>
      </c>
    </row>
    <row r="6" spans="1:2" x14ac:dyDescent="0.2">
      <c r="A6" s="873" t="s">
        <v>947</v>
      </c>
    </row>
    <row r="7" spans="1:2" x14ac:dyDescent="0.2">
      <c r="A7" s="873" t="s">
        <v>135</v>
      </c>
      <c r="B7" s="1053" t="s">
        <v>410</v>
      </c>
    </row>
    <row r="8" spans="1:2" x14ac:dyDescent="0.2">
      <c r="A8" s="873" t="s">
        <v>948</v>
      </c>
      <c r="B8" s="1053" t="s">
        <v>949</v>
      </c>
    </row>
    <row r="9" spans="1:2" x14ac:dyDescent="0.2">
      <c r="A9" s="873" t="s">
        <v>950</v>
      </c>
      <c r="B9" s="1053" t="s">
        <v>987</v>
      </c>
    </row>
    <row r="10" spans="1:2" x14ac:dyDescent="0.2">
      <c r="A10" s="873" t="s">
        <v>951</v>
      </c>
    </row>
    <row r="11" spans="1:2" x14ac:dyDescent="0.2">
      <c r="A11" s="873" t="s">
        <v>952</v>
      </c>
    </row>
    <row r="12" spans="1:2" x14ac:dyDescent="0.2">
      <c r="A12" s="873" t="s">
        <v>953</v>
      </c>
    </row>
    <row r="13" spans="1:2" x14ac:dyDescent="0.2">
      <c r="A13" s="873" t="s">
        <v>954</v>
      </c>
    </row>
    <row r="14" spans="1:2" x14ac:dyDescent="0.2">
      <c r="A14" s="873" t="s">
        <v>955</v>
      </c>
    </row>
    <row r="15" spans="1:2" x14ac:dyDescent="0.2">
      <c r="A15" s="873" t="s">
        <v>956</v>
      </c>
    </row>
    <row r="16" spans="1:2" x14ac:dyDescent="0.2">
      <c r="A16" s="873" t="s">
        <v>957</v>
      </c>
    </row>
    <row r="17" spans="1:4" x14ac:dyDescent="0.2">
      <c r="A17" s="873" t="s">
        <v>958</v>
      </c>
      <c r="B17" s="1053" t="s">
        <v>988</v>
      </c>
    </row>
    <row r="18" spans="1:4" x14ac:dyDescent="0.2">
      <c r="A18" s="873" t="s">
        <v>959</v>
      </c>
      <c r="B18" s="1053" t="s">
        <v>991</v>
      </c>
    </row>
    <row r="19" spans="1:4" x14ac:dyDescent="0.2">
      <c r="A19" s="873" t="s">
        <v>960</v>
      </c>
      <c r="B19" s="1053" t="s">
        <v>336</v>
      </c>
    </row>
    <row r="20" spans="1:4" x14ac:dyDescent="0.2">
      <c r="A20" s="873" t="s">
        <v>961</v>
      </c>
      <c r="B20" s="1054" t="s">
        <v>992</v>
      </c>
    </row>
    <row r="21" spans="1:4" x14ac:dyDescent="0.2">
      <c r="A21" s="873" t="s">
        <v>962</v>
      </c>
      <c r="B21" s="1053" t="s">
        <v>336</v>
      </c>
    </row>
    <row r="22" spans="1:4" x14ac:dyDescent="0.2">
      <c r="A22" s="873" t="s">
        <v>963</v>
      </c>
      <c r="B22" s="1054">
        <v>2433842</v>
      </c>
    </row>
    <row r="23" spans="1:4" x14ac:dyDescent="0.2">
      <c r="A23" s="873" t="s">
        <v>352</v>
      </c>
      <c r="B23" s="1052">
        <v>47.68</v>
      </c>
    </row>
    <row r="24" spans="1:4" x14ac:dyDescent="0.2">
      <c r="A24" s="873" t="s">
        <v>507</v>
      </c>
      <c r="B24" s="1053" t="s">
        <v>415</v>
      </c>
      <c r="D24" s="873" t="s">
        <v>212</v>
      </c>
    </row>
    <row r="25" spans="1:4" x14ac:dyDescent="0.2">
      <c r="A25" s="873" t="s">
        <v>964</v>
      </c>
      <c r="B25" s="1053" t="s">
        <v>993</v>
      </c>
    </row>
    <row r="26" spans="1:4" x14ac:dyDescent="0.2">
      <c r="A26" s="873" t="s">
        <v>965</v>
      </c>
      <c r="B26" s="1053">
        <v>0</v>
      </c>
    </row>
    <row r="27" spans="1:4" x14ac:dyDescent="0.2">
      <c r="A27" s="873" t="s">
        <v>966</v>
      </c>
      <c r="B27" s="1053" t="s">
        <v>967</v>
      </c>
    </row>
    <row r="28" spans="1:4" x14ac:dyDescent="0.2">
      <c r="A28" s="873" t="s">
        <v>968</v>
      </c>
      <c r="B28" s="1053" t="s">
        <v>969</v>
      </c>
    </row>
    <row r="29" spans="1:4" x14ac:dyDescent="0.2">
      <c r="A29" s="873" t="s">
        <v>970</v>
      </c>
    </row>
    <row r="30" spans="1:4" x14ac:dyDescent="0.2">
      <c r="A30" s="873" t="s">
        <v>971</v>
      </c>
    </row>
    <row r="31" spans="1:4" x14ac:dyDescent="0.2">
      <c r="A31" s="873" t="s">
        <v>972</v>
      </c>
    </row>
    <row r="32" spans="1:4" x14ac:dyDescent="0.2">
      <c r="A32" s="873" t="s">
        <v>973</v>
      </c>
      <c r="B32" s="1052"/>
    </row>
    <row r="33" spans="1:2" x14ac:dyDescent="0.2">
      <c r="A33" s="873" t="s">
        <v>974</v>
      </c>
      <c r="B33" s="1052"/>
    </row>
    <row r="34" spans="1:2" x14ac:dyDescent="0.2">
      <c r="A34" s="873" t="s">
        <v>975</v>
      </c>
      <c r="B34" s="1052"/>
    </row>
    <row r="35" spans="1:2" x14ac:dyDescent="0.2">
      <c r="A35" s="873" t="s">
        <v>976</v>
      </c>
      <c r="B35" s="1053">
        <v>1000000</v>
      </c>
    </row>
    <row r="36" spans="1:2" x14ac:dyDescent="0.2">
      <c r="A36" s="873" t="s">
        <v>977</v>
      </c>
      <c r="B36" s="1053" t="s">
        <v>989</v>
      </c>
    </row>
    <row r="37" spans="1:2" x14ac:dyDescent="0.2">
      <c r="A37" s="873" t="s">
        <v>978</v>
      </c>
      <c r="B37" s="1053" t="s">
        <v>979</v>
      </c>
    </row>
    <row r="38" spans="1:2" x14ac:dyDescent="0.2">
      <c r="A38" s="873" t="s">
        <v>980</v>
      </c>
      <c r="B38" s="1053" t="s">
        <v>981</v>
      </c>
    </row>
    <row r="39" spans="1:2" x14ac:dyDescent="0.2">
      <c r="A39" s="873" t="s">
        <v>982</v>
      </c>
      <c r="B39" s="1053" t="s">
        <v>990</v>
      </c>
    </row>
    <row r="40" spans="1:2" x14ac:dyDescent="0.2">
      <c r="A40" s="873" t="s">
        <v>983</v>
      </c>
      <c r="B40" s="1053">
        <v>1500005428</v>
      </c>
    </row>
    <row r="41" spans="1:2" x14ac:dyDescent="0.2">
      <c r="A41" s="873" t="s">
        <v>984</v>
      </c>
      <c r="B41" s="1053">
        <v>1</v>
      </c>
    </row>
    <row r="42" spans="1:2" x14ac:dyDescent="0.2">
      <c r="A42" s="1055" t="s">
        <v>985</v>
      </c>
    </row>
    <row r="43" spans="1:2" x14ac:dyDescent="0.2">
      <c r="A43" s="873" t="s">
        <v>986</v>
      </c>
    </row>
  </sheetData>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3"/>
  <sheetViews>
    <sheetView workbookViewId="0">
      <selection activeCell="E11" sqref="E11"/>
    </sheetView>
  </sheetViews>
  <sheetFormatPr defaultRowHeight="12.75" x14ac:dyDescent="0.2"/>
  <cols>
    <col min="1" max="1" width="28.5703125" style="873" bestFit="1" customWidth="1"/>
    <col min="2" max="256" width="9.140625" style="873"/>
    <col min="257" max="257" width="28.5703125" style="873" bestFit="1" customWidth="1"/>
    <col min="258" max="512" width="9.140625" style="873"/>
    <col min="513" max="513" width="28.5703125" style="873" bestFit="1" customWidth="1"/>
    <col min="514" max="768" width="9.140625" style="873"/>
    <col min="769" max="769" width="28.5703125" style="873" bestFit="1" customWidth="1"/>
    <col min="770" max="1024" width="9.140625" style="873"/>
    <col min="1025" max="1025" width="28.5703125" style="873" bestFit="1" customWidth="1"/>
    <col min="1026" max="1280" width="9.140625" style="873"/>
    <col min="1281" max="1281" width="28.5703125" style="873" bestFit="1" customWidth="1"/>
    <col min="1282" max="1536" width="9.140625" style="873"/>
    <col min="1537" max="1537" width="28.5703125" style="873" bestFit="1" customWidth="1"/>
    <col min="1538" max="1792" width="9.140625" style="873"/>
    <col min="1793" max="1793" width="28.5703125" style="873" bestFit="1" customWidth="1"/>
    <col min="1794" max="2048" width="9.140625" style="873"/>
    <col min="2049" max="2049" width="28.5703125" style="873" bestFit="1" customWidth="1"/>
    <col min="2050" max="2304" width="9.140625" style="873"/>
    <col min="2305" max="2305" width="28.5703125" style="873" bestFit="1" customWidth="1"/>
    <col min="2306" max="2560" width="9.140625" style="873"/>
    <col min="2561" max="2561" width="28.5703125" style="873" bestFit="1" customWidth="1"/>
    <col min="2562" max="2816" width="9.140625" style="873"/>
    <col min="2817" max="2817" width="28.5703125" style="873" bestFit="1" customWidth="1"/>
    <col min="2818" max="3072" width="9.140625" style="873"/>
    <col min="3073" max="3073" width="28.5703125" style="873" bestFit="1" customWidth="1"/>
    <col min="3074" max="3328" width="9.140625" style="873"/>
    <col min="3329" max="3329" width="28.5703125" style="873" bestFit="1" customWidth="1"/>
    <col min="3330" max="3584" width="9.140625" style="873"/>
    <col min="3585" max="3585" width="28.5703125" style="873" bestFit="1" customWidth="1"/>
    <col min="3586" max="3840" width="9.140625" style="873"/>
    <col min="3841" max="3841" width="28.5703125" style="873" bestFit="1" customWidth="1"/>
    <col min="3842" max="4096" width="9.140625" style="873"/>
    <col min="4097" max="4097" width="28.5703125" style="873" bestFit="1" customWidth="1"/>
    <col min="4098" max="4352" width="9.140625" style="873"/>
    <col min="4353" max="4353" width="28.5703125" style="873" bestFit="1" customWidth="1"/>
    <col min="4354" max="4608" width="9.140625" style="873"/>
    <col min="4609" max="4609" width="28.5703125" style="873" bestFit="1" customWidth="1"/>
    <col min="4610" max="4864" width="9.140625" style="873"/>
    <col min="4865" max="4865" width="28.5703125" style="873" bestFit="1" customWidth="1"/>
    <col min="4866" max="5120" width="9.140625" style="873"/>
    <col min="5121" max="5121" width="28.5703125" style="873" bestFit="1" customWidth="1"/>
    <col min="5122" max="5376" width="9.140625" style="873"/>
    <col min="5377" max="5377" width="28.5703125" style="873" bestFit="1" customWidth="1"/>
    <col min="5378" max="5632" width="9.140625" style="873"/>
    <col min="5633" max="5633" width="28.5703125" style="873" bestFit="1" customWidth="1"/>
    <col min="5634" max="5888" width="9.140625" style="873"/>
    <col min="5889" max="5889" width="28.5703125" style="873" bestFit="1" customWidth="1"/>
    <col min="5890" max="6144" width="9.140625" style="873"/>
    <col min="6145" max="6145" width="28.5703125" style="873" bestFit="1" customWidth="1"/>
    <col min="6146" max="6400" width="9.140625" style="873"/>
    <col min="6401" max="6401" width="28.5703125" style="873" bestFit="1" customWidth="1"/>
    <col min="6402" max="6656" width="9.140625" style="873"/>
    <col min="6657" max="6657" width="28.5703125" style="873" bestFit="1" customWidth="1"/>
    <col min="6658" max="6912" width="9.140625" style="873"/>
    <col min="6913" max="6913" width="28.5703125" style="873" bestFit="1" customWidth="1"/>
    <col min="6914" max="7168" width="9.140625" style="873"/>
    <col min="7169" max="7169" width="28.5703125" style="873" bestFit="1" customWidth="1"/>
    <col min="7170" max="7424" width="9.140625" style="873"/>
    <col min="7425" max="7425" width="28.5703125" style="873" bestFit="1" customWidth="1"/>
    <col min="7426" max="7680" width="9.140625" style="873"/>
    <col min="7681" max="7681" width="28.5703125" style="873" bestFit="1" customWidth="1"/>
    <col min="7682" max="7936" width="9.140625" style="873"/>
    <col min="7937" max="7937" width="28.5703125" style="873" bestFit="1" customWidth="1"/>
    <col min="7938" max="8192" width="9.140625" style="873"/>
    <col min="8193" max="8193" width="28.5703125" style="873" bestFit="1" customWidth="1"/>
    <col min="8194" max="8448" width="9.140625" style="873"/>
    <col min="8449" max="8449" width="28.5703125" style="873" bestFit="1" customWidth="1"/>
    <col min="8450" max="8704" width="9.140625" style="873"/>
    <col min="8705" max="8705" width="28.5703125" style="873" bestFit="1" customWidth="1"/>
    <col min="8706" max="8960" width="9.140625" style="873"/>
    <col min="8961" max="8961" width="28.5703125" style="873" bestFit="1" customWidth="1"/>
    <col min="8962" max="9216" width="9.140625" style="873"/>
    <col min="9217" max="9217" width="28.5703125" style="873" bestFit="1" customWidth="1"/>
    <col min="9218" max="9472" width="9.140625" style="873"/>
    <col min="9473" max="9473" width="28.5703125" style="873" bestFit="1" customWidth="1"/>
    <col min="9474" max="9728" width="9.140625" style="873"/>
    <col min="9729" max="9729" width="28.5703125" style="873" bestFit="1" customWidth="1"/>
    <col min="9730" max="9984" width="9.140625" style="873"/>
    <col min="9985" max="9985" width="28.5703125" style="873" bestFit="1" customWidth="1"/>
    <col min="9986" max="10240" width="9.140625" style="873"/>
    <col min="10241" max="10241" width="28.5703125" style="873" bestFit="1" customWidth="1"/>
    <col min="10242" max="10496" width="9.140625" style="873"/>
    <col min="10497" max="10497" width="28.5703125" style="873" bestFit="1" customWidth="1"/>
    <col min="10498" max="10752" width="9.140625" style="873"/>
    <col min="10753" max="10753" width="28.5703125" style="873" bestFit="1" customWidth="1"/>
    <col min="10754" max="11008" width="9.140625" style="873"/>
    <col min="11009" max="11009" width="28.5703125" style="873" bestFit="1" customWidth="1"/>
    <col min="11010" max="11264" width="9.140625" style="873"/>
    <col min="11265" max="11265" width="28.5703125" style="873" bestFit="1" customWidth="1"/>
    <col min="11266" max="11520" width="9.140625" style="873"/>
    <col min="11521" max="11521" width="28.5703125" style="873" bestFit="1" customWidth="1"/>
    <col min="11522" max="11776" width="9.140625" style="873"/>
    <col min="11777" max="11777" width="28.5703125" style="873" bestFit="1" customWidth="1"/>
    <col min="11778" max="12032" width="9.140625" style="873"/>
    <col min="12033" max="12033" width="28.5703125" style="873" bestFit="1" customWidth="1"/>
    <col min="12034" max="12288" width="9.140625" style="873"/>
    <col min="12289" max="12289" width="28.5703125" style="873" bestFit="1" customWidth="1"/>
    <col min="12290" max="12544" width="9.140625" style="873"/>
    <col min="12545" max="12545" width="28.5703125" style="873" bestFit="1" customWidth="1"/>
    <col min="12546" max="12800" width="9.140625" style="873"/>
    <col min="12801" max="12801" width="28.5703125" style="873" bestFit="1" customWidth="1"/>
    <col min="12802" max="13056" width="9.140625" style="873"/>
    <col min="13057" max="13057" width="28.5703125" style="873" bestFit="1" customWidth="1"/>
    <col min="13058" max="13312" width="9.140625" style="873"/>
    <col min="13313" max="13313" width="28.5703125" style="873" bestFit="1" customWidth="1"/>
    <col min="13314" max="13568" width="9.140625" style="873"/>
    <col min="13569" max="13569" width="28.5703125" style="873" bestFit="1" customWidth="1"/>
    <col min="13570" max="13824" width="9.140625" style="873"/>
    <col min="13825" max="13825" width="28.5703125" style="873" bestFit="1" customWidth="1"/>
    <col min="13826" max="14080" width="9.140625" style="873"/>
    <col min="14081" max="14081" width="28.5703125" style="873" bestFit="1" customWidth="1"/>
    <col min="14082" max="14336" width="9.140625" style="873"/>
    <col min="14337" max="14337" width="28.5703125" style="873" bestFit="1" customWidth="1"/>
    <col min="14338" max="14592" width="9.140625" style="873"/>
    <col min="14593" max="14593" width="28.5703125" style="873" bestFit="1" customWidth="1"/>
    <col min="14594" max="14848" width="9.140625" style="873"/>
    <col min="14849" max="14849" width="28.5703125" style="873" bestFit="1" customWidth="1"/>
    <col min="14850" max="15104" width="9.140625" style="873"/>
    <col min="15105" max="15105" width="28.5703125" style="873" bestFit="1" customWidth="1"/>
    <col min="15106" max="15360" width="9.140625" style="873"/>
    <col min="15361" max="15361" width="28.5703125" style="873" bestFit="1" customWidth="1"/>
    <col min="15362" max="15616" width="9.140625" style="873"/>
    <col min="15617" max="15617" width="28.5703125" style="873" bestFit="1" customWidth="1"/>
    <col min="15618" max="15872" width="9.140625" style="873"/>
    <col min="15873" max="15873" width="28.5703125" style="873" bestFit="1" customWidth="1"/>
    <col min="15874" max="16128" width="9.140625" style="873"/>
    <col min="16129" max="16129" width="28.5703125" style="873" bestFit="1" customWidth="1"/>
    <col min="16130" max="16384" width="9.140625" style="873"/>
  </cols>
  <sheetData>
    <row r="1" spans="1:1" x14ac:dyDescent="0.2">
      <c r="A1" s="1057" t="s">
        <v>994</v>
      </c>
    </row>
    <row r="2" spans="1:1" x14ac:dyDescent="0.2">
      <c r="A2" s="1057" t="s">
        <v>999</v>
      </c>
    </row>
    <row r="3" spans="1:1" x14ac:dyDescent="0.2">
      <c r="A3" s="1057" t="s">
        <v>1000</v>
      </c>
    </row>
    <row r="4" spans="1:1" x14ac:dyDescent="0.2">
      <c r="A4" s="1057" t="s">
        <v>1001</v>
      </c>
    </row>
    <row r="5" spans="1:1" x14ac:dyDescent="0.2">
      <c r="A5" s="1057" t="s">
        <v>1002</v>
      </c>
    </row>
    <row r="6" spans="1:1" x14ac:dyDescent="0.2">
      <c r="A6" s="1057" t="s">
        <v>995</v>
      </c>
    </row>
    <row r="7" spans="1:1" x14ac:dyDescent="0.2">
      <c r="A7" s="1057" t="s">
        <v>1003</v>
      </c>
    </row>
    <row r="8" spans="1:1" x14ac:dyDescent="0.2">
      <c r="A8" s="1057" t="s">
        <v>1004</v>
      </c>
    </row>
    <row r="9" spans="1:1" x14ac:dyDescent="0.2">
      <c r="A9" s="1057" t="s">
        <v>1005</v>
      </c>
    </row>
    <row r="10" spans="1:1" x14ac:dyDescent="0.2">
      <c r="A10" s="1057" t="s">
        <v>996</v>
      </c>
    </row>
    <row r="11" spans="1:1" x14ac:dyDescent="0.2">
      <c r="A11" s="1057" t="s">
        <v>1006</v>
      </c>
    </row>
    <row r="12" spans="1:1" x14ac:dyDescent="0.2">
      <c r="A12" s="1057" t="s">
        <v>997</v>
      </c>
    </row>
    <row r="13" spans="1:1" x14ac:dyDescent="0.2">
      <c r="A13" s="1057" t="s">
        <v>998</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b8ad7f9e-0242-4cfd-9344-d7a91e46daa7</GUID>
    <SOURCE_ALTADDRESS>$B$6:$Q$54</SOURCE_ALTADDRESS>
    <SOURCETYPE>Table</SOURCETYPE>
    <SOURCE_OBJECTNAME>Linking_Range_13</SOURCE_OBJECTNAME>
    <OBJECTTYPE>Native</OBJECTTYPE>
    <SOURCE_SHEETCODE>Sheet2114</SOURCE_SHEETCODE>
    <SOURCE_SHEETNAME>A vs E</SOURCE_SHEETNAME>
    <SOURCEAPPLICATION>EXCEL_SOURCE</SOURCEAPPLICATION>
    <UPDATEDAT>4/29/2015 4:35:52 PM</UPDATEDAT>
    <SOURCE_ISOUTOFDATE>False</SOURCE_ISOUTOFDATE>
    <SOURCE_WORKBOOKNAME>UNM.xlsm</SOURCE_WORKBOOKNAME>
    <SOURCE_WORKBOOKPATH>\\MSAD\ROOT\NA\NY\LIB\ER\INSURANC\life&amp;annuities\models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/MSResearch/Content/ExternalAssets/2015-04/Images/051TVPzxTEG5jEJHIfQz_Q--.png</TARGET_BINARYFULLNAME>
    <TARGET_STORYFULLNAME>/MSResearch/Content/ExternalAssets/2015-04/Sections/20150427_123017_Linking_Range_13.xml</TARGET_STORYFULLNAME>
    <TARGET_UUID>b05bf67a-ecfa-11e4-aeba-9bba02fefb2a</TARGET_UUID>
    <LINKSTATUS>Unknown</LINKSTATUS>
  </Link>
  <Link>
    <GUID>b87907ea-93e1-4856-bbc0-cbd4c9e0bedc</GUID>
    <SOURCETYPE>Chart</SOURCETYPE>
    <SOURCE_OBJECTNAME>MWA_Risk_Reward</SOURCE_OBJECTNAME>
    <SOURCE_SHEETCODE>MWRSSData</SOURCE_SHEETCODE>
    <SOURCE_SHEETNAME>MWA RR</SOURCE_SHEETNAME>
    <OBJECTTYPE>Native</OBJECTTYPE>
    <SOURCEAPPLICATION>EXCEL_SOURCE</SOURCEAPPLICATION>
    <UPDATEDAT>4/29/2015 7:30:56 PM</UPDATEDAT>
    <SOURCE_ISOUTOFDATE>False</SOURCE_ISOUTOFDATE>
    <SOURCE_WORKBOOKNAME>UNM.xlsm</SOURCE_WORKBOOKNAME>
    <SOURCE_WORKBOOKPATH>\\MSAD\ROOT\NA\NY\LIB\ER\INSURANC\life&amp;annuities\models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/MSResearch/Content/ExternalAssets/2015-04/Images/ESs_aa4T8UaJOs-C91_VTA--.png</TARGET_BINARYFULLNAME>
    <TARGET_STORYFULLNAME>/MSResearch/Content/ExternalAssets/2015-04/Sections/20150421_071757_MWA_Risk_Reward.xml</TARGET_STORYFULLNAME>
    <TARGET_UUID>a575f0c6-e87c-11e4-b44c-544b7b2f2e67</TARGET_UUID>
    <HIDEGRIDLINES>False</HIDEGRIDLINES>
    <LINKSTATUS>Unknown</LINKSTATUS>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DCAFECF6-AEDC-46BF-84E2-83CDD346A148}">
  <ds:schemaRefs>
    <ds:schemaRef ds:uri="thomsonreuters.linking.metadata"/>
  </ds:schemaRefs>
</ds:datastoreItem>
</file>

<file path=customXml/itemProps2.xml><?xml version="1.0" encoding="utf-8"?>
<ds:datastoreItem xmlns:ds="http://schemas.openxmlformats.org/officeDocument/2006/customXml" ds:itemID="{D2C5DCF9-A158-49B8-A080-DC4B72E999C6}">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333</vt:i4>
      </vt:variant>
    </vt:vector>
  </HeadingPairs>
  <TitlesOfParts>
    <vt:vector size="340" baseType="lpstr">
      <vt:lpstr>ImportantDisclosures</vt:lpstr>
      <vt:lpstr>INPUT</vt:lpstr>
      <vt:lpstr>FORECAST-CORE</vt:lpstr>
      <vt:lpstr>FORECAST- REPORTED</vt:lpstr>
      <vt:lpstr>Guidance</vt:lpstr>
      <vt:lpstr>IndexInformation</vt:lpstr>
      <vt:lpstr>ModPubIndex</vt:lpstr>
      <vt:lpstr>_1Q01</vt:lpstr>
      <vt:lpstr>_1Q02</vt:lpstr>
      <vt:lpstr>_1Q03</vt:lpstr>
      <vt:lpstr>_1Q04</vt:lpstr>
      <vt:lpstr>_1Q05</vt:lpstr>
      <vt:lpstr>_1Q06</vt:lpstr>
      <vt:lpstr>_1Q07</vt:lpstr>
      <vt:lpstr>_1Q08</vt:lpstr>
      <vt:lpstr>_1Q09</vt:lpstr>
      <vt:lpstr>_1Q10</vt:lpstr>
      <vt:lpstr>_1Q11</vt:lpstr>
      <vt:lpstr>_1Q12</vt:lpstr>
      <vt:lpstr>_1Q13</vt:lpstr>
      <vt:lpstr>_1Q14</vt:lpstr>
      <vt:lpstr>_1Q15</vt:lpstr>
      <vt:lpstr>_1Q16</vt:lpstr>
      <vt:lpstr>_1Q17</vt:lpstr>
      <vt:lpstr>_1Q18</vt:lpstr>
      <vt:lpstr>_2Q01</vt:lpstr>
      <vt:lpstr>_2Q02</vt:lpstr>
      <vt:lpstr>_2Q03</vt:lpstr>
      <vt:lpstr>_2Q04</vt:lpstr>
      <vt:lpstr>_2Q05</vt:lpstr>
      <vt:lpstr>_2Q06</vt:lpstr>
      <vt:lpstr>_2Q07</vt:lpstr>
      <vt:lpstr>_2Q08</vt:lpstr>
      <vt:lpstr>_2Q09</vt:lpstr>
      <vt:lpstr>_2Q10</vt:lpstr>
      <vt:lpstr>_2Q11</vt:lpstr>
      <vt:lpstr>_2Q12</vt:lpstr>
      <vt:lpstr>_2Q13</vt:lpstr>
      <vt:lpstr>_2Q14</vt:lpstr>
      <vt:lpstr>_2Q15</vt:lpstr>
      <vt:lpstr>_2Q16</vt:lpstr>
      <vt:lpstr>_2Q17</vt:lpstr>
      <vt:lpstr>_2Q18</vt:lpstr>
      <vt:lpstr>_3Q01</vt:lpstr>
      <vt:lpstr>_3Q02</vt:lpstr>
      <vt:lpstr>_3Q03</vt:lpstr>
      <vt:lpstr>_3Q04</vt:lpstr>
      <vt:lpstr>_3Q05</vt:lpstr>
      <vt:lpstr>_3Q06</vt:lpstr>
      <vt:lpstr>_3Q07</vt:lpstr>
      <vt:lpstr>_3Q08</vt:lpstr>
      <vt:lpstr>_3Q09</vt:lpstr>
      <vt:lpstr>_3Q10</vt:lpstr>
      <vt:lpstr>_3Q11</vt:lpstr>
      <vt:lpstr>_3Q12</vt:lpstr>
      <vt:lpstr>_3Q13</vt:lpstr>
      <vt:lpstr>_3Q14</vt:lpstr>
      <vt:lpstr>_3Q15</vt:lpstr>
      <vt:lpstr>_3Q16</vt:lpstr>
      <vt:lpstr>_3Q17</vt:lpstr>
      <vt:lpstr>_3Q18</vt:lpstr>
      <vt:lpstr>_4Q00</vt:lpstr>
      <vt:lpstr>_4Q01</vt:lpstr>
      <vt:lpstr>_4Q02</vt:lpstr>
      <vt:lpstr>_4Q03</vt:lpstr>
      <vt:lpstr>_4Q04</vt:lpstr>
      <vt:lpstr>_4Q05</vt:lpstr>
      <vt:lpstr>_4Q06</vt:lpstr>
      <vt:lpstr>_4Q07</vt:lpstr>
      <vt:lpstr>_4Q08</vt:lpstr>
      <vt:lpstr>_4Q09</vt:lpstr>
      <vt:lpstr>_4Q10</vt:lpstr>
      <vt:lpstr>_4Q11</vt:lpstr>
      <vt:lpstr>_4Q12</vt:lpstr>
      <vt:lpstr>_4Q13</vt:lpstr>
      <vt:lpstr>_4Q14</vt:lpstr>
      <vt:lpstr>_4Q15</vt:lpstr>
      <vt:lpstr>_4Q16</vt:lpstr>
      <vt:lpstr>_4Q17</vt:lpstr>
      <vt:lpstr>_4Q18</vt:lpstr>
      <vt:lpstr>_5_Yr</vt:lpstr>
      <vt:lpstr>aa</vt:lpstr>
      <vt:lpstr>AdditionalInstructions</vt:lpstr>
      <vt:lpstr>ImportantDisclosures!Address</vt:lpstr>
      <vt:lpstr>AmtIssued</vt:lpstr>
      <vt:lpstr>AmtRepurch</vt:lpstr>
      <vt:lpstr>ModPubIndex!ANA</vt:lpstr>
      <vt:lpstr>ImportantDisclosures!Authors</vt:lpstr>
      <vt:lpstr>IndexInformation!Authors</vt:lpstr>
      <vt:lpstr>Avg_Eq_ex115</vt:lpstr>
      <vt:lpstr>Avg_Eq_incl115</vt:lpstr>
      <vt:lpstr>AvgBasicShrs</vt:lpstr>
      <vt:lpstr>AvgShrsOut</vt:lpstr>
      <vt:lpstr>BenefitRatio_USBrokerage</vt:lpstr>
      <vt:lpstr>BenefitsRatio</vt:lpstr>
      <vt:lpstr>BenefitsRatio_Group</vt:lpstr>
      <vt:lpstr>BIG</vt:lpstr>
      <vt:lpstr>BIG_FixPct</vt:lpstr>
      <vt:lpstr>BIG_ShrEqPct</vt:lpstr>
      <vt:lpstr>ModPubIndex!BRO</vt:lpstr>
      <vt:lpstr>Buybacks_AvgPrice</vt:lpstr>
      <vt:lpstr>BVPS_ex115</vt:lpstr>
      <vt:lpstr>bvps_excl115</vt:lpstr>
      <vt:lpstr>BVPS_incl115</vt:lpstr>
      <vt:lpstr>CB_LossRatio</vt:lpstr>
      <vt:lpstr>Colonial_BenefitRatio</vt:lpstr>
      <vt:lpstr>Colonial_Core_PTMargin</vt:lpstr>
      <vt:lpstr>Consolidated_NII</vt:lpstr>
      <vt:lpstr>Consolidated_OtherRevs</vt:lpstr>
      <vt:lpstr>Consolidated_Premiums</vt:lpstr>
      <vt:lpstr>Consolidated_Revenues</vt:lpstr>
      <vt:lpstr>CopyrightStamp</vt:lpstr>
      <vt:lpstr>Core_ATEarns</vt:lpstr>
      <vt:lpstr>Core_closedblock_PTearns</vt:lpstr>
      <vt:lpstr>Core_Corporate_PTEarns</vt:lpstr>
      <vt:lpstr>Core_Group_PTEarns</vt:lpstr>
      <vt:lpstr>Core_GroupDisability_PTEarns</vt:lpstr>
      <vt:lpstr>Core_GroupLife_PTEarns</vt:lpstr>
      <vt:lpstr>Core_Indiv_PTEarns</vt:lpstr>
      <vt:lpstr>Core_Intl_ATEarns</vt:lpstr>
      <vt:lpstr>Core_Intl_PTEarns</vt:lpstr>
      <vt:lpstr>Core_Life_PTearns</vt:lpstr>
      <vt:lpstr>Core_NonMed_PTEarns</vt:lpstr>
      <vt:lpstr>Core_OpEPS</vt:lpstr>
      <vt:lpstr>Core_Other_PTEarns</vt:lpstr>
      <vt:lpstr>Core_PT_Earnings</vt:lpstr>
      <vt:lpstr>Core_ROE</vt:lpstr>
      <vt:lpstr>Core_US_PTEarnings</vt:lpstr>
      <vt:lpstr>CoreOpEarns_AT</vt:lpstr>
      <vt:lpstr>CoreOpEarns_PT</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DAC</vt:lpstr>
      <vt:lpstr>DAC_Asset</vt:lpstr>
      <vt:lpstr>ImportantDisclosures!Date</vt:lpstr>
      <vt:lpstr>DebtService</vt:lpstr>
      <vt:lpstr>IndexInformation!Deleted</vt:lpstr>
      <vt:lpstr>IndexInformation!Description</vt:lpstr>
      <vt:lpstr>IndexInformation!Discipline</vt:lpstr>
      <vt:lpstr>ModPubIndex!DISCIPLINE</vt:lpstr>
      <vt:lpstr>DisclosuresText</vt:lpstr>
      <vt:lpstr>IndexInformation!Distribution</vt:lpstr>
      <vt:lpstr>DivAmt</vt:lpstr>
      <vt:lpstr>DiviAmt</vt:lpstr>
      <vt:lpstr>DivPayout</vt:lpstr>
      <vt:lpstr>DivPS</vt:lpstr>
      <vt:lpstr>ModPubIndex!DOCDAT</vt:lpstr>
      <vt:lpstr>ModPubIndex!DOCTIME</vt:lpstr>
      <vt:lpstr>IndexInformation!DocType</vt:lpstr>
      <vt:lpstr>ModPubIndex!EMAIL_ALERT</vt:lpstr>
      <vt:lpstr>IndexInformation!EmailAlert</vt:lpstr>
      <vt:lpstr>EOP_Eq_ex115</vt:lpstr>
      <vt:lpstr>EOP_Eq_incl115</vt:lpstr>
      <vt:lpstr>EOPShrsOut</vt:lpstr>
      <vt:lpstr>EPS_Cons</vt:lpstr>
      <vt:lpstr>EPS_ForConsensus</vt:lpstr>
      <vt:lpstr>F1998_</vt:lpstr>
      <vt:lpstr>F1999_</vt:lpstr>
      <vt:lpstr>F2000_</vt:lpstr>
      <vt:lpstr>F2001_</vt:lpstr>
      <vt:lpstr>F2002_</vt:lpstr>
      <vt:lpstr>F2003_</vt:lpstr>
      <vt:lpstr>F2004_</vt:lpstr>
      <vt:lpstr>F2005_</vt:lpstr>
      <vt:lpstr>F2006_</vt:lpstr>
      <vt:lpstr>F2007_</vt:lpstr>
      <vt:lpstr>F2008_</vt:lpstr>
      <vt:lpstr>F2009_</vt:lpstr>
      <vt:lpstr>F2010_</vt:lpstr>
      <vt:lpstr>F2011_</vt:lpstr>
      <vt:lpstr>F2012_</vt:lpstr>
      <vt:lpstr>F2013_</vt:lpstr>
      <vt:lpstr>F2014_</vt:lpstr>
      <vt:lpstr>F2015_</vt:lpstr>
      <vt:lpstr>F2016_</vt:lpstr>
      <vt:lpstr>F2017_</vt:lpstr>
      <vt:lpstr>F2018_</vt:lpstr>
      <vt:lpstr>F2019_</vt:lpstr>
      <vt:lpstr>F2020_</vt:lpstr>
      <vt:lpstr>F2021_</vt:lpstr>
      <vt:lpstr>F2022_</vt:lpstr>
      <vt:lpstr>FAS115_Adjmt</vt:lpstr>
      <vt:lpstr>FD_Adjustment</vt:lpstr>
      <vt:lpstr>IndexInformation!FiveYearGrowthRate</vt:lpstr>
      <vt:lpstr>IndexInformation!FollowingYearEPS</vt:lpstr>
      <vt:lpstr>IndexInformation!FollowingYearTotalRevenue</vt:lpstr>
      <vt:lpstr>IndexInformation!FollowingYearTotalRevenueActual</vt:lpstr>
      <vt:lpstr>Goodwill</vt:lpstr>
      <vt:lpstr>Group_BenefitRatio</vt:lpstr>
      <vt:lpstr>ModPubIndex!HL</vt:lpstr>
      <vt:lpstr>ModPubIndex!IND</vt:lpstr>
      <vt:lpstr>ImportantDisclosures!Industry</vt:lpstr>
      <vt:lpstr>IndustryId</vt:lpstr>
      <vt:lpstr>ImportantDisclosures!IndustryRating</vt:lpstr>
      <vt:lpstr>Int_Expense</vt:lpstr>
      <vt:lpstr>Intl_NII</vt:lpstr>
      <vt:lpstr>Intl_Revenues</vt:lpstr>
      <vt:lpstr>Investments</vt:lpstr>
      <vt:lpstr>invinc</vt:lpstr>
      <vt:lpstr>Issuance_Timing</vt:lpstr>
      <vt:lpstr>IndexInformation!KeepVersions</vt:lpstr>
      <vt:lpstr>Label</vt:lpstr>
      <vt:lpstr>LanguageCode</vt:lpstr>
      <vt:lpstr>ImportantDisclosures!LastCell</vt:lpstr>
      <vt:lpstr>Linking_Range_1</vt:lpstr>
      <vt:lpstr>Linking_Range_4</vt:lpstr>
      <vt:lpstr>Linking_Range_5</vt:lpstr>
      <vt:lpstr>Linking_Range_6</vt:lpstr>
      <vt:lpstr>Linking_Range_7</vt:lpstr>
      <vt:lpstr>Linking_Range_8</vt:lpstr>
      <vt:lpstr>Linking_Text_1</vt:lpstr>
      <vt:lpstr>LTC_BenefitRatio</vt:lpstr>
      <vt:lpstr>LTD_BenefitRatio</vt:lpstr>
      <vt:lpstr>LTD_to_Eq_ex115</vt:lpstr>
      <vt:lpstr>LTD_to_LTCap_ex115</vt:lpstr>
      <vt:lpstr>LTD_to_LTCap_incl115</vt:lpstr>
      <vt:lpstr>LTDebt</vt:lpstr>
      <vt:lpstr>IndexInformation!MacroVersion</vt:lpstr>
      <vt:lpstr>ImportantDisclosures!ModelPrice</vt:lpstr>
      <vt:lpstr>IndexInformation!Multiplier</vt:lpstr>
      <vt:lpstr>Net_EPS</vt:lpstr>
      <vt:lpstr>Net_Revenues</vt:lpstr>
      <vt:lpstr>NetEarns</vt:lpstr>
      <vt:lpstr>IndexInformation!NextYearEPS</vt:lpstr>
      <vt:lpstr>IndexInformation!NextYearTotalRevenue</vt:lpstr>
      <vt:lpstr>IndexInformation!NextYearTotalRevenueActual</vt:lpstr>
      <vt:lpstr>ObjectType</vt:lpstr>
      <vt:lpstr>Op_EPS</vt:lpstr>
      <vt:lpstr>Op_ROE</vt:lpstr>
      <vt:lpstr>Op_US_PTEarnings</vt:lpstr>
      <vt:lpstr>OpEarns_AT</vt:lpstr>
      <vt:lpstr>OpEarns_ForConsensus</vt:lpstr>
      <vt:lpstr>OpEarns_PT</vt:lpstr>
      <vt:lpstr>OpExpense_Life</vt:lpstr>
      <vt:lpstr>OpExpense_US</vt:lpstr>
      <vt:lpstr>OpExpenses_ClosedBlock</vt:lpstr>
      <vt:lpstr>OpExpenses_Intl</vt:lpstr>
      <vt:lpstr>OpROE_exclCB</vt:lpstr>
      <vt:lpstr>ModPubIndex!PANA</vt:lpstr>
      <vt:lpstr>IndexInformation!PathName</vt:lpstr>
      <vt:lpstr>PctContrib_Colonial</vt:lpstr>
      <vt:lpstr>PctContrib_Disab</vt:lpstr>
      <vt:lpstr>PctContrib_GroupInc</vt:lpstr>
      <vt:lpstr>PctContrib_GroupLife</vt:lpstr>
      <vt:lpstr>PctContrib_Indiv</vt:lpstr>
      <vt:lpstr>PctContrib_Indiv_Closed</vt:lpstr>
      <vt:lpstr>PctContrib_Intl</vt:lpstr>
      <vt:lpstr>PctContrib_LTC</vt:lpstr>
      <vt:lpstr>PctContrib_Other</vt:lpstr>
      <vt:lpstr>PctContrib_Supp</vt:lpstr>
      <vt:lpstr>PctContrib_TotIncProt</vt:lpstr>
      <vt:lpstr>Period</vt:lpstr>
      <vt:lpstr>PfdStk</vt:lpstr>
      <vt:lpstr>PolicyLiabilities</vt:lpstr>
      <vt:lpstr>Premium_grpdis</vt:lpstr>
      <vt:lpstr>Premium_GrpLife</vt:lpstr>
      <vt:lpstr>Premium_supplement</vt:lpstr>
      <vt:lpstr>Premium_UK</vt:lpstr>
      <vt:lpstr>Premiums_ClosedBLock</vt:lpstr>
      <vt:lpstr>Premiums_Life</vt:lpstr>
      <vt:lpstr>Premiums_Total</vt:lpstr>
      <vt:lpstr>Premiums_US</vt:lpstr>
      <vt:lpstr>INPUT!Print_Titles</vt:lpstr>
      <vt:lpstr>ModPubIndex!PRODUCT</vt:lpstr>
      <vt:lpstr>ModPubIndex!PSYM</vt:lpstr>
      <vt:lpstr>PT_OpEarns_UK</vt:lpstr>
      <vt:lpstr>PTEarns_CO</vt:lpstr>
      <vt:lpstr>PTEarns_Colonial</vt:lpstr>
      <vt:lpstr>PTEarns_Colonial_InvInc</vt:lpstr>
      <vt:lpstr>PTEarns_GroupInc</vt:lpstr>
      <vt:lpstr>PTEarns_GroupInc_InvInc</vt:lpstr>
      <vt:lpstr>PTEarns_GroupLife</vt:lpstr>
      <vt:lpstr>PTEarns_Indiv</vt:lpstr>
      <vt:lpstr>PTEarns_Indiv_Closed</vt:lpstr>
      <vt:lpstr>PTEarns_Indiv_InvInc</vt:lpstr>
      <vt:lpstr>PTEarns_Intl</vt:lpstr>
      <vt:lpstr>PTEarns_Other</vt:lpstr>
      <vt:lpstr>IndexInformation!PublishDate</vt:lpstr>
      <vt:lpstr>IndexInformation!Rating</vt:lpstr>
      <vt:lpstr>ImportantDisclosures!RatingsDefined</vt:lpstr>
      <vt:lpstr>RealGainLoss</vt:lpstr>
      <vt:lpstr>Rep_ROE_ex115</vt:lpstr>
      <vt:lpstr>Rep_ROE_incl115</vt:lpstr>
      <vt:lpstr>Rep_Timing</vt:lpstr>
      <vt:lpstr>reported_pt_earnings</vt:lpstr>
      <vt:lpstr>IndexInformation!ResearchTopic</vt:lpstr>
      <vt:lpstr>Rev</vt:lpstr>
      <vt:lpstr>Rev_Corp</vt:lpstr>
      <vt:lpstr>Revenue_Life</vt:lpstr>
      <vt:lpstr>Revenues_ClosedBlock</vt:lpstr>
      <vt:lpstr>Revenues_US</vt:lpstr>
      <vt:lpstr>IndexInformation!RIC</vt:lpstr>
      <vt:lpstr>Sales_ADD</vt:lpstr>
      <vt:lpstr>Sales_Colonial</vt:lpstr>
      <vt:lpstr>Sales_GroupDis</vt:lpstr>
      <vt:lpstr>Sales_GroupLife</vt:lpstr>
      <vt:lpstr>Sales_GroupLifeADD</vt:lpstr>
      <vt:lpstr>Sales_Intl_GroupLife</vt:lpstr>
      <vt:lpstr>Sales_Intl_GroupLT</vt:lpstr>
      <vt:lpstr>Sales_Intl_Other</vt:lpstr>
      <vt:lpstr>Sales_LTD</vt:lpstr>
      <vt:lpstr>Sales_STD</vt:lpstr>
      <vt:lpstr>Sales_supplement</vt:lpstr>
      <vt:lpstr>Sales_UK</vt:lpstr>
      <vt:lpstr>Sales_US</vt:lpstr>
      <vt:lpstr>IndexInformation!SEDOL</vt:lpstr>
      <vt:lpstr>SeptAcct</vt:lpstr>
      <vt:lpstr>ShareBuyback</vt:lpstr>
      <vt:lpstr>ShrsIssued</vt:lpstr>
      <vt:lpstr>ShrsRepurch</vt:lpstr>
      <vt:lpstr>ImportantDisclosures!SourceDefined</vt:lpstr>
      <vt:lpstr>STDebt</vt:lpstr>
      <vt:lpstr>ImportantDisclosures!StockRating</vt:lpstr>
      <vt:lpstr>IndexInformation!SubjectCode</vt:lpstr>
      <vt:lpstr>SubmitterUserId</vt:lpstr>
      <vt:lpstr>ModPubIndex!SUPPRESSED</vt:lpstr>
      <vt:lpstr>ImportantDisclosures!TargetPrice</vt:lpstr>
      <vt:lpstr>Taxes</vt:lpstr>
      <vt:lpstr>TaxRate</vt:lpstr>
      <vt:lpstr>TemplateRegion</vt:lpstr>
      <vt:lpstr>ImportantDisclosures!Ticker</vt:lpstr>
      <vt:lpstr>TickerRegion</vt:lpstr>
      <vt:lpstr>IndexInformation!Tickers</vt:lpstr>
      <vt:lpstr>Tot_Debt</vt:lpstr>
      <vt:lpstr>Total_Cap_ex115</vt:lpstr>
      <vt:lpstr>Total_Cap_incl115</vt:lpstr>
      <vt:lpstr>Total_Expenses</vt:lpstr>
      <vt:lpstr>TotalAssets</vt:lpstr>
      <vt:lpstr>TotalNonOpItems</vt:lpstr>
      <vt:lpstr>UK_BenefitRatio</vt:lpstr>
      <vt:lpstr>UK_PTMargin</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2000-08-14T17:54:36Z</dcterms:created>
  <dc:creator>mellettv</dc:creator>
  <cp:lastModifiedBy>Huang, Bob (Research)</cp:lastModifiedBy>
  <cp:lastPrinted>2018-04-04T19:37:35Z</cp:lastPrinted>
  <dcterms:modified xsi:type="dcterms:W3CDTF">2018-04-05T13:37:37Z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LinkingAutoNameNumberLinking_Text_" pid="3">
    <vt:lpwstr>1</vt:lpwstr>
  </property>
  <property fmtid="{D5CDD505-2E9C-101B-9397-08002B2CF9AE}" name="LinkingAutoNameNumberLinking_Range_" pid="4">
    <vt:lpwstr>16</vt:lpwstr>
  </property>
  <property fmtid="{D5CDD505-2E9C-101B-9397-08002B2CF9AE}" name="{A44787D4-0540-4523-9961-78E4036D8C6D}" pid="5">
    <vt:lpwstr>{EE7031EB-E6A2-49A8-A063-F2700D580227}</vt:lpwstr>
  </property>
  <property fmtid="{D5CDD505-2E9C-101B-9397-08002B2CF9AE}" name="ERModPubTicket" pid="6">
    <vt:lpwstr>NA</vt:lpwstr>
  </property>
  <property fmtid="{D5CDD505-2E9C-101B-9397-08002B2CF9AE}" name="ERCompanyUploadState" pid="7">
    <vt:lpwstr>P</vt:lpwstr>
  </property>
  <property fmtid="{D5CDD505-2E9C-101B-9397-08002B2CF9AE}" name="ModelId" pid="8">
    <vt:lpwstr>759694</vt:lpwstr>
  </property>
  <property fmtid="{D5CDD505-2E9C-101B-9397-08002B2CF9AE}" name="ERModPubCompanyName" pid="9">
    <vt:lpwstr>Unum Group</vt:lpwstr>
  </property>
  <property fmtid="{D5CDD505-2E9C-101B-9397-08002B2CF9AE}" name="MSDH34TAG" pid="10">
    <vt:lpwstr>.TEZUF76X5TAHATHESADREYAK-00-INB160+*94600-06=84ac0d0a/-38d6/-11e8/-bf62/-2af41e5950fc,MD=20180405095445/-0400,ZZ=000Z-6c86.</vt:lpwstr>
  </property>
</Properties>
</file>